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0" activeTab="4" autoFilterDateGrouping="1"/>
  </bookViews>
  <sheets>
    <sheet xmlns:r="http://schemas.openxmlformats.org/officeDocument/2006/relationships" name="Your recommendation" sheetId="1" state="visible" r:id="rId1"/>
    <sheet xmlns:r="http://schemas.openxmlformats.org/officeDocument/2006/relationships" name="Data" sheetId="2" state="visible" r:id="rId2"/>
    <sheet xmlns:r="http://schemas.openxmlformats.org/officeDocument/2006/relationships" name="Algorithm--&gt;" sheetId="3" state="visible" r:id="rId3"/>
    <sheet xmlns:r="http://schemas.openxmlformats.org/officeDocument/2006/relationships" name="Driver" sheetId="4" state="visible" r:id="rId4"/>
    <sheet xmlns:r="http://schemas.openxmlformats.org/officeDocument/2006/relationships" name="Data_Price " sheetId="5" state="visible" r:id="rId5"/>
    <sheet xmlns:r="http://schemas.openxmlformats.org/officeDocument/2006/relationships" name="Survey" sheetId="6" state="hidden" r:id="rId6"/>
    <sheet xmlns:r="http://schemas.openxmlformats.org/officeDocument/2006/relationships" name="Instructions" sheetId="7" state="hidden" r:id="rId7"/>
    <sheet xmlns:r="http://schemas.openxmlformats.org/officeDocument/2006/relationships" name="Other--&gt;" sheetId="8" state="hidden" r:id="rId8"/>
    <sheet xmlns:r="http://schemas.openxmlformats.org/officeDocument/2006/relationships" name="Summary_V" sheetId="9" state="hidden" r:id="rId9"/>
    <sheet xmlns:r="http://schemas.openxmlformats.org/officeDocument/2006/relationships" name="Analysis_old" sheetId="10" state="hidden" r:id="rId10"/>
    <sheet xmlns:r="http://schemas.openxmlformats.org/officeDocument/2006/relationships" name="Histograms" sheetId="11" state="hidden" r:id="rId11"/>
    <sheet xmlns:r="http://schemas.openxmlformats.org/officeDocument/2006/relationships" name="Length" sheetId="12" state="hidden" r:id="rId12"/>
  </sheets>
  <definedNames>
    <definedName name="_xlchart.v1.0" hidden="1">Histograms!$AC$17:$AC$1281</definedName>
    <definedName name="_xlchart.v1.1" hidden="1">Histograms!$S$17:$S$1281</definedName>
    <definedName name="_xlchart.v1.2" hidden="1">Histograms!$R$17:$R$1281</definedName>
    <definedName name="_xlchart.v1.3" hidden="1">Histograms!$AC$17:$AC$1281</definedName>
    <definedName name="_xlchart.v1.4" hidden="1">Histograms!$S$17:$S$1281</definedName>
    <definedName name="_xlchart.v1.5" hidden="1">Histograms!$AA$17:$AA$1281</definedName>
    <definedName name="_xlchart.v1.6" hidden="1">Histograms!$K$17:$K$1281</definedName>
    <definedName name="_xlchart.v1.7" hidden="1">Histograms!$M$17:$M$1281</definedName>
    <definedName name="_xlchart.v1.8" hidden="1">Histograms!$Q$17:$Q$1281</definedName>
    <definedName name="_xlnm._FilterDatabase" localSheetId="1" hidden="1">'Data'!$A$8:$DU$1273</definedName>
    <definedName name="_xlnm._FilterDatabase" localSheetId="4" hidden="1">'Data_Price '!$A$1:$AR$1266</definedName>
    <definedName name="_xlnm._FilterDatabase" localSheetId="10" hidden="1">'Histograms'!$A$16:$AG$1281</definedName>
  </definedNames>
  <calcPr calcId="191029" fullCalcOnLoad="1"/>
</workbook>
</file>

<file path=xl/styles.xml><?xml version="1.0" encoding="utf-8"?>
<styleSheet xmlns="http://schemas.openxmlformats.org/spreadsheetml/2006/main">
  <numFmts count="9"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>
    <font>
      <name val="Helvetica Neue"/>
      <color indexed="8"/>
      <sz val="10"/>
    </font>
    <font>
      <name val="Helvetica Neue"/>
      <family val="2"/>
      <color theme="1"/>
      <sz val="11"/>
      <scheme val="minor"/>
    </font>
    <font>
      <name val="Helvetica Neue"/>
      <family val="2"/>
      <color theme="1"/>
      <sz val="11"/>
      <scheme val="minor"/>
    </font>
    <font>
      <name val="Helvetica Neue"/>
      <family val="2"/>
      <b val="1"/>
      <color indexed="8"/>
      <sz val="10"/>
    </font>
    <font>
      <name val="Helvetica Neue"/>
      <family val="2"/>
      <color indexed="8"/>
      <sz val="10"/>
    </font>
    <font>
      <name val="Helvetica Neue"/>
      <family val="2"/>
      <i val="1"/>
      <color indexed="8"/>
      <sz val="10"/>
    </font>
    <font>
      <name val="Helvetica Neue"/>
      <family val="2"/>
      <color rgb="FFC00000"/>
      <sz val="10"/>
    </font>
    <font>
      <name val="Helvetica Neue"/>
      <family val="2"/>
      <color rgb="FF0070C0"/>
      <sz val="10"/>
    </font>
    <font>
      <name val="Helvetica Neue"/>
      <family val="2"/>
      <color theme="6" tint="-0.249977111117893"/>
      <sz val="10"/>
    </font>
    <font>
      <name val="Calibri"/>
      <family val="2"/>
      <color indexed="8"/>
      <sz val="11"/>
    </font>
    <font>
      <name val="Calibri"/>
      <family val="2"/>
      <b val="1"/>
      <color indexed="8"/>
      <sz val="11"/>
    </font>
    <font>
      <name val="Calibri"/>
      <family val="2"/>
      <strike val="1"/>
      <color indexed="8"/>
      <sz val="11"/>
    </font>
    <font>
      <name val="Calibri"/>
      <family val="2"/>
      <b val="1"/>
      <color indexed="8"/>
      <sz val="11"/>
      <u val="single"/>
    </font>
    <font>
      <name val="Century Gothic"/>
      <family val="2"/>
      <color rgb="FF2E2E2E"/>
      <sz val="10.5"/>
    </font>
    <font>
      <name val="Helvetica Neue"/>
      <family val="2"/>
      <b val="1"/>
      <color theme="0"/>
      <sz val="10"/>
    </font>
    <font>
      <name val="Calibri"/>
      <family val="2"/>
      <b val="1"/>
      <color theme="0"/>
      <sz val="11"/>
    </font>
    <font>
      <name val="Helvetica Neue"/>
      <family val="2"/>
      <color rgb="FFFF0000"/>
      <sz val="10"/>
    </font>
    <font>
      <name val="Helvetica Neue"/>
      <family val="2"/>
      <color theme="2"/>
      <sz val="10"/>
    </font>
    <font>
      <name val="Helvetica Neue"/>
      <family val="2"/>
      <color theme="0"/>
      <sz val="10"/>
    </font>
    <font>
      <name val="Helvetica Neue"/>
      <family val="2"/>
      <sz val="10"/>
    </font>
    <font>
      <name val="Calibri"/>
      <family val="2"/>
      <color indexed="8"/>
      <sz val="11"/>
      <u val="single"/>
    </font>
    <font>
      <name val="Helvetica Neue"/>
      <family val="2"/>
      <color indexed="8"/>
      <sz val="10"/>
      <u val="single"/>
    </font>
    <font>
      <name val="Helvetica Neue"/>
      <family val="2"/>
      <i val="1"/>
      <color indexed="8"/>
      <sz val="10"/>
      <u val="single"/>
    </font>
    <font>
      <name val="Calibri"/>
      <family val="2"/>
      <i val="1"/>
      <color rgb="FF000000"/>
      <sz val="11"/>
      <u val="single"/>
    </font>
    <font>
      <name val="Calibri"/>
      <family val="2"/>
      <color rgb="FF000000"/>
      <sz val="11"/>
    </font>
    <font>
      <name val="Helvetica Neue"/>
      <family val="2"/>
      <color theme="2" tint="-0.09997863704336681"/>
      <sz val="10"/>
    </font>
    <font>
      <name val="Arial"/>
      <family val="2"/>
      <color theme="2" tint="-0.09997863704336681"/>
      <sz val="8"/>
    </font>
    <font>
      <name val="Helvetica Neue"/>
      <family val="2"/>
      <b val="1"/>
      <color indexed="8"/>
      <sz val="11"/>
    </font>
    <font>
      <name val="Helvetica Neue"/>
      <family val="2"/>
      <b val="1"/>
      <color indexed="8"/>
      <sz val="12"/>
    </font>
    <font>
      <name val="Helvetica Neue"/>
      <family val="2"/>
      <b val="1"/>
      <color indexed="8"/>
      <sz val="10"/>
      <u val="single"/>
    </font>
    <font>
      <name val="Helvetica Neue"/>
      <family val="2"/>
      <b val="1"/>
      <color indexed="8"/>
      <sz val="14"/>
    </font>
    <font>
      <name val="Helvetica Neue"/>
      <family val="2"/>
      <b val="1"/>
      <color indexed="8"/>
      <sz val="18"/>
    </font>
    <font>
      <name val="Helvetica Neue"/>
      <family val="2"/>
      <color theme="10"/>
      <sz val="10"/>
      <u val="single"/>
    </font>
    <font>
      <name val="Helvetica Neue"/>
      <family val="2"/>
      <color indexed="8"/>
      <sz val="11"/>
      <scheme val="minor"/>
    </font>
    <font>
      <name val="Helvetica Neue"/>
      <family val="2"/>
      <b val="1"/>
      <color theme="0"/>
      <sz val="18"/>
    </font>
    <font>
      <name val="Helvetica Neue"/>
      <family val="2"/>
      <color theme="4" tint="-0.249977111117893"/>
      <sz val="10"/>
    </font>
    <font>
      <name val="Helvetica Neue"/>
      <family val="2"/>
      <color theme="10"/>
      <sz val="10"/>
    </font>
    <font>
      <name val="Helvetica Neue"/>
      <family val="2"/>
      <b val="1"/>
      <color theme="4" tint="-0.499984740745262"/>
      <sz val="14"/>
    </font>
    <font>
      <name val="Helvetica Neue"/>
      <family val="2"/>
      <b val="1"/>
      <color indexed="8"/>
      <sz val="12"/>
      <u val="single"/>
    </font>
    <font>
      <name val="Helvetica Neue"/>
      <family val="2"/>
      <color indexed="8"/>
      <sz val="11"/>
    </font>
    <font>
      <name val="Helvetica Neue"/>
      <family val="2"/>
      <b val="1"/>
      <sz val="10"/>
    </font>
    <font>
      <name val="Helvetica Neue"/>
      <family val="2"/>
      <b val="1"/>
      <color theme="4" tint="-0.499984740745262"/>
      <sz val="16"/>
    </font>
    <font>
      <name val="Helvetica Neue"/>
      <family val="2"/>
      <sz val="14"/>
    </font>
    <font>
      <name val="Helvetica Neue"/>
      <family val="2"/>
      <b val="1"/>
      <sz val="14"/>
    </font>
    <font>
      <name val="Helvetica Neue"/>
      <family val="2"/>
      <b val="1"/>
      <color indexed="8"/>
      <sz val="13"/>
    </font>
    <font>
      <name val="Helvetica Neue"/>
      <family val="2"/>
      <color indexed="8"/>
      <sz val="13"/>
    </font>
    <font>
      <name val="Helvetica Neue"/>
      <family val="2"/>
      <color theme="0"/>
      <sz val="13"/>
    </font>
    <font>
      <name val="Helvetica Neue"/>
      <family val="2"/>
      <color indexed="8"/>
      <sz val="12"/>
    </font>
    <font>
      <name val="Helvetica Neue"/>
      <family val="2"/>
      <color theme="0"/>
      <sz val="12"/>
    </font>
    <font>
      <name val="Helvetica Neue"/>
      <family val="2"/>
      <color theme="0"/>
      <sz val="11"/>
    </font>
    <font>
      <name val="Courier New"/>
      <family val="3"/>
      <sz val="9"/>
    </font>
    <font>
      <name val="Helvetica Neue"/>
      <family val="2"/>
      <b val="1"/>
      <color theme="0"/>
      <sz val="8"/>
    </font>
    <font>
      <name val="Helvetica Neue"/>
      <family val="2"/>
      <color theme="0"/>
      <sz val="8"/>
    </font>
    <font>
      <name val="Helvetica Neue"/>
      <family val="2"/>
      <b val="1"/>
      <color theme="10"/>
      <sz val="10"/>
      <u val="single"/>
    </font>
    <font>
      <name val="Helvetica Neue"/>
      <family val="2"/>
      <sz val="11"/>
    </font>
    <font>
      <name val="Helvetica Neue"/>
      <family val="2"/>
      <b val="1"/>
      <sz val="11"/>
    </font>
    <font>
      <name val="Helvetica Neue"/>
      <family val="2"/>
      <color theme="0"/>
      <sz val="10"/>
      <u val="single"/>
    </font>
    <font>
      <name val="Poppins"/>
      <b val="1"/>
      <color rgb="FF000000"/>
      <sz val="8"/>
    </font>
    <font>
      <name val="Amasis MT Pro Black"/>
      <family val="1"/>
      <b val="1"/>
      <color theme="4" tint="-0.499984740745262"/>
      <sz val="16"/>
    </font>
    <font>
      <name val="Calibri"/>
      <family val="2"/>
      <color rgb="FF000000"/>
      <sz val="12"/>
    </font>
  </fonts>
  <fills count="17">
    <fill>
      <patternFill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 applyAlignment="1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 applyAlignment="1">
      <alignment vertical="top" wrapText="1"/>
    </xf>
    <xf numFmtId="0" fontId="33" fillId="0" borderId="0"/>
    <xf numFmtId="0" fontId="2" fillId="0" borderId="0"/>
  </cellStyleXfs>
  <cellXfs count="335">
    <xf numFmtId="0" fontId="0" fillId="0" borderId="0" applyAlignment="1" pivotButton="0" quotePrefix="0" xfId="0">
      <alignment vertical="top" wrapText="1"/>
    </xf>
    <xf numFmtId="0" fontId="0" fillId="0" borderId="0" applyAlignment="1" pivotButton="0" quotePrefix="0" xfId="0">
      <alignment vertical="top"/>
    </xf>
    <xf numFmtId="49" fontId="3" fillId="2" borderId="1" applyAlignment="1" pivotButton="0" quotePrefix="0" xfId="0">
      <alignment vertical="top"/>
    </xf>
    <xf numFmtId="0" fontId="3" fillId="2" borderId="1" applyAlignment="1" pivotButton="0" quotePrefix="0" xfId="0">
      <alignment vertical="top"/>
    </xf>
    <xf numFmtId="49" fontId="3" fillId="3" borderId="2" applyAlignment="1" pivotButton="0" quotePrefix="0" xfId="0">
      <alignment vertical="top"/>
    </xf>
    <xf numFmtId="49" fontId="0" fillId="0" borderId="3" applyAlignment="1" pivotButton="0" quotePrefix="0" xfId="0">
      <alignment vertical="top"/>
    </xf>
    <xf numFmtId="49" fontId="0" fillId="0" borderId="4" applyAlignment="1" pivotButton="0" quotePrefix="0" xfId="0">
      <alignment vertical="top"/>
    </xf>
    <xf numFmtId="0" fontId="0" fillId="0" borderId="4" applyAlignment="1" pivotButton="0" quotePrefix="0" xfId="0">
      <alignment vertical="top"/>
    </xf>
    <xf numFmtId="0" fontId="0" fillId="0" borderId="4" applyAlignment="1" pivotButton="0" quotePrefix="0" xfId="0">
      <alignment vertical="top"/>
    </xf>
    <xf numFmtId="49" fontId="3" fillId="3" borderId="5" applyAlignment="1" pivotButton="0" quotePrefix="0" xfId="0">
      <alignment vertical="top"/>
    </xf>
    <xf numFmtId="49" fontId="0" fillId="0" borderId="6" applyAlignment="1" pivotButton="0" quotePrefix="0" xfId="0">
      <alignment vertical="top"/>
    </xf>
    <xf numFmtId="49" fontId="0" fillId="0" borderId="7" applyAlignment="1" pivotButton="0" quotePrefix="0" xfId="0">
      <alignment vertical="top"/>
    </xf>
    <xf numFmtId="0" fontId="0" fillId="0" borderId="7" applyAlignment="1" pivotButton="0" quotePrefix="0" xfId="0">
      <alignment vertical="top"/>
    </xf>
    <xf numFmtId="0" fontId="0" fillId="0" borderId="7" applyAlignment="1" pivotButton="0" quotePrefix="0" xfId="0">
      <alignment vertical="top"/>
    </xf>
    <xf numFmtId="0" fontId="3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2" fontId="0" fillId="0" borderId="0" applyAlignment="1" pivotButton="0" quotePrefix="0" xfId="0">
      <alignment vertical="top"/>
    </xf>
    <xf numFmtId="0" fontId="6" fillId="0" borderId="0" applyAlignment="1" pivotButton="0" quotePrefix="0" xfId="0">
      <alignment vertical="top"/>
    </xf>
    <xf numFmtId="0" fontId="7" fillId="0" borderId="0" applyAlignment="1" pivotButton="0" quotePrefix="0" xfId="0">
      <alignment vertical="top"/>
    </xf>
    <xf numFmtId="0" fontId="8" fillId="0" borderId="0" applyAlignment="1" pivotButton="0" quotePrefix="0" xfId="0">
      <alignment vertical="top"/>
    </xf>
    <xf numFmtId="2" fontId="8" fillId="0" borderId="0" applyAlignment="1" pivotButton="0" quotePrefix="0" xfId="0">
      <alignment vertical="top"/>
    </xf>
    <xf numFmtId="164" fontId="0" fillId="0" borderId="0" applyAlignment="1" pivotButton="0" quotePrefix="0" xfId="0">
      <alignment vertical="top"/>
    </xf>
    <xf numFmtId="0" fontId="0" fillId="0" borderId="0" applyAlignment="1" pivotButton="0" quotePrefix="0" xfId="0">
      <alignment vertical="top" wrapText="1"/>
    </xf>
    <xf numFmtId="0" fontId="10" fillId="0" borderId="0" applyAlignment="1" pivotButton="0" quotePrefix="0" xfId="0">
      <alignment horizontal="left" vertical="center"/>
    </xf>
    <xf numFmtId="0" fontId="13" fillId="0" borderId="8" applyAlignment="1" pivotButton="0" quotePrefix="0" xfId="0">
      <alignment horizontal="center" vertical="center" wrapText="1"/>
    </xf>
    <xf numFmtId="9" fontId="0" fillId="0" borderId="0" applyAlignment="1" pivotButton="0" quotePrefix="0" xfId="1">
      <alignment vertical="top" wrapText="1"/>
    </xf>
    <xf numFmtId="9" fontId="0" fillId="0" borderId="0" applyAlignment="1" pivotButton="0" quotePrefix="0" xfId="0">
      <alignment vertical="top" wrapText="1"/>
    </xf>
    <xf numFmtId="0" fontId="0" fillId="0" borderId="0" applyAlignment="1" pivotButton="0" quotePrefix="0" xfId="0">
      <alignment vertical="top"/>
    </xf>
    <xf numFmtId="0" fontId="11" fillId="0" borderId="0" applyAlignment="1" pivotButton="0" quotePrefix="0" xfId="0">
      <alignment horizontal="left" vertical="center"/>
    </xf>
    <xf numFmtId="0" fontId="15" fillId="4" borderId="0" applyAlignment="1" pivotButton="0" quotePrefix="0" xfId="0">
      <alignment horizontal="left" vertical="center"/>
    </xf>
    <xf numFmtId="0" fontId="9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horizontal="left" vertical="center"/>
    </xf>
    <xf numFmtId="0" fontId="14" fillId="4" borderId="0" applyAlignment="1" pivotButton="0" quotePrefix="0" xfId="0">
      <alignment vertical="top"/>
    </xf>
    <xf numFmtId="0" fontId="0" fillId="5" borderId="0" applyAlignment="1" pivotButton="0" quotePrefix="0" xfId="0">
      <alignment vertical="top"/>
    </xf>
    <xf numFmtId="0" fontId="14" fillId="5" borderId="0" applyAlignment="1" pivotButton="0" quotePrefix="0" xfId="0">
      <alignment vertical="top"/>
    </xf>
    <xf numFmtId="0" fontId="0" fillId="4" borderId="0" applyAlignment="1" pivotButton="0" quotePrefix="0" xfId="0">
      <alignment vertical="top"/>
    </xf>
    <xf numFmtId="9" fontId="0" fillId="0" borderId="0" applyAlignment="1" pivotButton="0" quotePrefix="0" xfId="0">
      <alignment vertical="top"/>
    </xf>
    <xf numFmtId="165" fontId="0" fillId="0" borderId="0" applyAlignment="1" pivotButton="0" quotePrefix="0" xfId="0">
      <alignment vertical="top"/>
    </xf>
    <xf numFmtId="0" fontId="3" fillId="0" borderId="0" applyAlignment="1" pivotButton="0" quotePrefix="0" xfId="0">
      <alignment vertical="top"/>
    </xf>
    <xf numFmtId="49" fontId="3" fillId="3" borderId="9" applyAlignment="1" pivotButton="0" quotePrefix="0" xfId="0">
      <alignment vertical="top"/>
    </xf>
    <xf numFmtId="49" fontId="3" fillId="3" borderId="10" applyAlignment="1" pivotButton="0" quotePrefix="0" xfId="0">
      <alignment vertical="top"/>
    </xf>
    <xf numFmtId="0" fontId="0" fillId="0" borderId="11" applyAlignment="1" pivotButton="0" quotePrefix="0" xfId="0">
      <alignment vertical="top"/>
    </xf>
    <xf numFmtId="0" fontId="0" fillId="0" borderId="12" applyAlignment="1" pivotButton="0" quotePrefix="0" xfId="0">
      <alignment vertical="top"/>
    </xf>
    <xf numFmtId="49" fontId="0" fillId="0" borderId="12" applyAlignment="1" pivotButton="0" quotePrefix="0" xfId="0">
      <alignment vertical="top"/>
    </xf>
    <xf numFmtId="49" fontId="3" fillId="2" borderId="13" applyAlignment="1" pivotButton="0" quotePrefix="0" xfId="0">
      <alignment vertical="top"/>
    </xf>
    <xf numFmtId="49" fontId="3" fillId="2" borderId="14" applyAlignment="1" pivotButton="0" quotePrefix="0" xfId="0">
      <alignment vertical="top"/>
    </xf>
    <xf numFmtId="0" fontId="3" fillId="2" borderId="14" applyAlignment="1" pivotButton="0" quotePrefix="0" xfId="0">
      <alignment vertical="top"/>
    </xf>
    <xf numFmtId="0" fontId="3" fillId="2" borderId="15" applyAlignment="1" pivotButton="0" quotePrefix="0" xfId="0">
      <alignment vertical="top"/>
    </xf>
    <xf numFmtId="49" fontId="3" fillId="3" borderId="16" applyAlignment="1" pivotButton="0" quotePrefix="0" xfId="0">
      <alignment vertical="top"/>
    </xf>
    <xf numFmtId="49" fontId="0" fillId="0" borderId="17" applyAlignment="1" pivotButton="0" quotePrefix="0" xfId="0">
      <alignment vertical="top"/>
    </xf>
    <xf numFmtId="49" fontId="0" fillId="0" borderId="18" applyAlignment="1" pivotButton="0" quotePrefix="0" xfId="0">
      <alignment vertical="top"/>
    </xf>
    <xf numFmtId="0" fontId="0" fillId="0" borderId="18" applyAlignment="1" pivotButton="0" quotePrefix="0" xfId="0">
      <alignment vertical="top"/>
    </xf>
    <xf numFmtId="0" fontId="0" fillId="0" borderId="18" applyAlignment="1" pivotButton="0" quotePrefix="0" xfId="0">
      <alignment vertical="top"/>
    </xf>
    <xf numFmtId="0" fontId="0" fillId="0" borderId="19" applyAlignment="1" pivotButton="0" quotePrefix="0" xfId="0">
      <alignment vertical="top"/>
    </xf>
    <xf numFmtId="1" fontId="0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16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9" fontId="17" fillId="0" borderId="0" applyAlignment="1" pivotButton="0" quotePrefix="0" xfId="0">
      <alignment vertical="top"/>
    </xf>
    <xf numFmtId="0" fontId="0" fillId="0" borderId="0" applyAlignment="1" pivotButton="0" quotePrefix="0" xfId="0">
      <alignment vertical="top" wrapText="1"/>
    </xf>
    <xf numFmtId="0" fontId="0" fillId="0" borderId="21" applyAlignment="1" pivotButton="0" quotePrefix="0" xfId="0">
      <alignment vertical="top" wrapText="1"/>
    </xf>
    <xf numFmtId="0" fontId="18" fillId="4" borderId="21" applyAlignment="1" pivotButton="0" quotePrefix="0" xfId="0">
      <alignment vertical="top" wrapText="1"/>
    </xf>
    <xf numFmtId="0" fontId="10" fillId="0" borderId="0" applyAlignment="1" pivotButton="0" quotePrefix="0" xfId="0">
      <alignment horizontal="left" vertical="center" indent="1"/>
    </xf>
    <xf numFmtId="0" fontId="0" fillId="0" borderId="0" applyAlignment="1" pivotButton="0" quotePrefix="0" xfId="0">
      <alignment horizontal="left" vertical="top" indent="1"/>
    </xf>
    <xf numFmtId="0" fontId="0" fillId="0" borderId="0" applyAlignment="1" pivotButton="0" quotePrefix="0" xfId="0">
      <alignment horizontal="left" vertical="top" indent="1"/>
    </xf>
    <xf numFmtId="0" fontId="19" fillId="0" borderId="0" applyAlignment="1" pivotButton="0" quotePrefix="0" xfId="0">
      <alignment horizontal="left" vertical="top" indent="1"/>
    </xf>
    <xf numFmtId="0" fontId="0" fillId="0" borderId="0" applyAlignment="1" pivotButton="0" quotePrefix="0" xfId="0">
      <alignment vertical="top"/>
    </xf>
    <xf numFmtId="9" fontId="0" fillId="0" borderId="0" applyAlignment="1" pivotButton="0" quotePrefix="0" xfId="0">
      <alignment vertical="top"/>
    </xf>
    <xf numFmtId="166" fontId="0" fillId="0" borderId="0" applyAlignment="1" pivotButton="0" quotePrefix="0" xfId="0">
      <alignment vertical="top"/>
    </xf>
    <xf numFmtId="0" fontId="20" fillId="0" borderId="0" applyAlignment="1" pivotButton="0" quotePrefix="0" xfId="0">
      <alignment horizontal="left" vertical="center"/>
    </xf>
    <xf numFmtId="0" fontId="21" fillId="0" borderId="0" applyAlignment="1" pivotButton="0" quotePrefix="0" xfId="0">
      <alignment vertical="top"/>
    </xf>
    <xf numFmtId="0" fontId="22" fillId="0" borderId="0" applyAlignment="1" pivotButton="0" quotePrefix="0" xfId="0">
      <alignment vertical="top"/>
    </xf>
    <xf numFmtId="0" fontId="0" fillId="7" borderId="0" applyAlignment="1" pivotButton="0" quotePrefix="0" xfId="0">
      <alignment vertical="top"/>
    </xf>
    <xf numFmtId="0" fontId="10" fillId="7" borderId="0" applyAlignment="1" pivotButton="0" quotePrefix="0" xfId="0">
      <alignment horizontal="left" vertical="center"/>
    </xf>
    <xf numFmtId="0" fontId="10" fillId="7" borderId="0" applyAlignment="1" pivotButton="0" quotePrefix="0" xfId="0">
      <alignment horizontal="left" vertical="center" indent="1"/>
    </xf>
    <xf numFmtId="0" fontId="3" fillId="7" borderId="0" applyAlignment="1" pivotButton="0" quotePrefix="0" xfId="0">
      <alignment vertical="top"/>
    </xf>
    <xf numFmtId="0" fontId="3" fillId="0" borderId="0" applyAlignment="1" pivotButton="0" quotePrefix="0" xfId="0">
      <alignment vertical="top"/>
    </xf>
    <xf numFmtId="0" fontId="10" fillId="0" borderId="0" applyAlignment="1" pivotButton="0" quotePrefix="0" xfId="0">
      <alignment horizontal="left" vertical="center" indent="1"/>
    </xf>
    <xf numFmtId="0" fontId="0" fillId="0" borderId="20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9" fillId="0" borderId="20" applyAlignment="1" pivotButton="0" quotePrefix="0" xfId="0">
      <alignment horizontal="left" vertical="center"/>
    </xf>
    <xf numFmtId="0" fontId="0" fillId="0" borderId="20" applyAlignment="1" pivotButton="0" quotePrefix="0" xfId="0">
      <alignment vertical="top"/>
    </xf>
    <xf numFmtId="0" fontId="10" fillId="0" borderId="0" applyAlignment="1" pivotButton="0" quotePrefix="0" xfId="0">
      <alignment horizontal="left" vertical="center" indent="1"/>
    </xf>
    <xf numFmtId="0" fontId="0" fillId="0" borderId="23" applyAlignment="1" pivotButton="0" quotePrefix="0" xfId="0">
      <alignment vertical="top"/>
    </xf>
    <xf numFmtId="0" fontId="0" fillId="0" borderId="0" applyAlignment="1" pivotButton="0" quotePrefix="0" xfId="0">
      <alignment horizontal="right" vertical="top"/>
    </xf>
    <xf numFmtId="0" fontId="20" fillId="0" borderId="0" applyAlignment="1" pivotButton="0" quotePrefix="0" xfId="0">
      <alignment horizontal="left" vertical="center"/>
    </xf>
    <xf numFmtId="9" fontId="0" fillId="0" borderId="0" applyAlignment="1" pivotButton="0" quotePrefix="0" xfId="0">
      <alignment vertical="top"/>
    </xf>
    <xf numFmtId="0" fontId="21" fillId="0" borderId="0" applyAlignment="1" pivotButton="0" quotePrefix="0" xfId="0">
      <alignment vertical="top"/>
    </xf>
    <xf numFmtId="0" fontId="0" fillId="0" borderId="0" applyAlignment="1" pivotButton="0" quotePrefix="0" xfId="0">
      <alignment horizontal="left" vertical="top"/>
    </xf>
    <xf numFmtId="0" fontId="17" fillId="0" borderId="0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9" fontId="0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0" fillId="0" borderId="24" applyAlignment="1" pivotButton="0" quotePrefix="0" xfId="0">
      <alignment vertical="top"/>
    </xf>
    <xf numFmtId="0" fontId="0" fillId="0" borderId="23" applyAlignment="1" pivotButton="0" quotePrefix="0" xfId="0">
      <alignment vertical="top" wrapText="1"/>
    </xf>
    <xf numFmtId="0" fontId="0" fillId="0" borderId="25" applyAlignment="1" pivotButton="0" quotePrefix="0" xfId="0">
      <alignment vertical="top" wrapText="1"/>
    </xf>
    <xf numFmtId="0" fontId="18" fillId="5" borderId="21" applyAlignment="1" pivotButton="0" quotePrefix="0" xfId="0">
      <alignment vertical="top"/>
    </xf>
    <xf numFmtId="0" fontId="18" fillId="5" borderId="21" applyAlignment="1" pivotButton="0" quotePrefix="0" xfId="0">
      <alignment vertical="top"/>
    </xf>
    <xf numFmtId="0" fontId="18" fillId="5" borderId="0" applyAlignment="1" pivotButton="0" quotePrefix="0" xfId="0">
      <alignment vertical="top"/>
    </xf>
    <xf numFmtId="0" fontId="21" fillId="0" borderId="0" applyAlignment="1" pivotButton="0" quotePrefix="0" xfId="0">
      <alignment vertical="top"/>
    </xf>
    <xf numFmtId="165" fontId="0" fillId="0" borderId="0" applyAlignment="1" pivotButton="0" quotePrefix="0" xfId="0">
      <alignment vertical="top"/>
    </xf>
    <xf numFmtId="1" fontId="0" fillId="0" borderId="0" applyAlignment="1" pivotButton="0" quotePrefix="0" xfId="0">
      <alignment vertical="top"/>
    </xf>
    <xf numFmtId="2" fontId="0" fillId="0" borderId="0" applyAlignment="1" pivotButton="0" quotePrefix="0" xfId="0">
      <alignment vertical="top" wrapText="1"/>
    </xf>
    <xf numFmtId="0" fontId="23" fillId="0" borderId="0" applyAlignment="1" pivotButton="0" quotePrefix="0" xfId="0">
      <alignment horizontal="left" vertical="center"/>
    </xf>
    <xf numFmtId="0" fontId="24" fillId="0" borderId="0" applyAlignment="1" pivotButton="0" quotePrefix="0" xfId="0">
      <alignment horizontal="left" vertical="center"/>
    </xf>
    <xf numFmtId="2" fontId="0" fillId="0" borderId="21" applyAlignment="1" pivotButton="0" quotePrefix="0" xfId="0">
      <alignment vertical="top" wrapText="1"/>
    </xf>
    <xf numFmtId="0" fontId="0" fillId="0" borderId="0" applyAlignment="1" pivotButton="0" quotePrefix="0" xfId="0">
      <alignment vertical="top"/>
    </xf>
    <xf numFmtId="0" fontId="18" fillId="6" borderId="21" applyAlignment="1" pivotButton="0" quotePrefix="0" xfId="0">
      <alignment vertical="top" wrapText="1"/>
    </xf>
    <xf numFmtId="9" fontId="0" fillId="0" borderId="21" applyAlignment="1" pivotButton="0" quotePrefix="0" xfId="0">
      <alignment vertical="top" wrapText="1"/>
    </xf>
    <xf numFmtId="0" fontId="0" fillId="0" borderId="26" applyAlignment="1" pivotButton="0" quotePrefix="0" xfId="0">
      <alignment vertical="top"/>
    </xf>
    <xf numFmtId="9" fontId="0" fillId="0" borderId="26" applyAlignment="1" pivotButton="0" quotePrefix="0" xfId="0">
      <alignment vertical="top"/>
    </xf>
    <xf numFmtId="0" fontId="0" fillId="0" borderId="26" applyAlignment="1" pivotButton="0" quotePrefix="0" xfId="0">
      <alignment vertical="top"/>
    </xf>
    <xf numFmtId="166" fontId="0" fillId="0" borderId="26" applyAlignment="1" pivotButton="0" quotePrefix="0" xfId="0">
      <alignment vertical="top"/>
    </xf>
    <xf numFmtId="0" fontId="0" fillId="0" borderId="27" applyAlignment="1" pivotButton="0" quotePrefix="0" xfId="0">
      <alignment vertical="top"/>
    </xf>
    <xf numFmtId="0" fontId="0" fillId="0" borderId="27" applyAlignment="1" pivotButton="0" quotePrefix="0" xfId="0">
      <alignment vertical="top"/>
    </xf>
    <xf numFmtId="9" fontId="0" fillId="0" borderId="26" applyAlignment="1" pivotButton="0" quotePrefix="0" xfId="0">
      <alignment vertical="top"/>
    </xf>
    <xf numFmtId="0" fontId="18" fillId="8" borderId="21" applyAlignment="1" pivotButton="0" quotePrefix="0" xfId="0">
      <alignment vertical="top" wrapText="1"/>
    </xf>
    <xf numFmtId="9" fontId="25" fillId="0" borderId="0" applyAlignment="1" pivotButton="0" quotePrefix="0" xfId="0">
      <alignment vertical="top"/>
    </xf>
    <xf numFmtId="0" fontId="25" fillId="0" borderId="0" applyAlignment="1" pivotButton="0" quotePrefix="0" xfId="0">
      <alignment vertical="top"/>
    </xf>
    <xf numFmtId="0" fontId="26" fillId="0" borderId="0" applyAlignment="1" pivotButton="0" quotePrefix="0" xfId="0">
      <alignment vertical="top"/>
    </xf>
    <xf numFmtId="0" fontId="28" fillId="0" borderId="0" applyAlignment="1" pivotButton="0" quotePrefix="0" xfId="0">
      <alignment vertical="top"/>
    </xf>
    <xf numFmtId="0" fontId="27" fillId="0" borderId="24" applyAlignment="1" pivotButton="0" quotePrefix="0" xfId="0">
      <alignment vertical="top"/>
    </xf>
    <xf numFmtId="0" fontId="9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top" wrapText="1"/>
    </xf>
    <xf numFmtId="167" fontId="3" fillId="0" borderId="0" applyAlignment="1" pivotButton="0" quotePrefix="0" xfId="0">
      <alignment vertical="top"/>
    </xf>
    <xf numFmtId="9" fontId="3" fillId="0" borderId="25" applyAlignment="1" pivotButton="0" quotePrefix="0" xfId="0">
      <alignment vertical="top"/>
    </xf>
    <xf numFmtId="9" fontId="3" fillId="0" borderId="0" applyAlignment="1" pivotButton="0" quotePrefix="0" xfId="0">
      <alignment vertical="top"/>
    </xf>
    <xf numFmtId="0" fontId="25" fillId="0" borderId="0" applyAlignment="1" pivotButton="0" quotePrefix="0" xfId="0">
      <alignment horizontal="left" vertical="top"/>
    </xf>
    <xf numFmtId="0" fontId="30" fillId="0" borderId="0" applyAlignment="1" pivotButton="0" quotePrefix="0" xfId="0">
      <alignment vertical="top"/>
    </xf>
    <xf numFmtId="0" fontId="31" fillId="0" borderId="0" applyAlignment="1" pivotButton="0" quotePrefix="0" xfId="0">
      <alignment vertical="top"/>
    </xf>
    <xf numFmtId="0" fontId="0" fillId="0" borderId="23" applyAlignment="1" pivotButton="0" quotePrefix="0" xfId="0">
      <alignment vertical="top"/>
    </xf>
    <xf numFmtId="0" fontId="18" fillId="6" borderId="0" applyAlignment="1" pivotButton="0" quotePrefix="0" xfId="0">
      <alignment vertical="top"/>
    </xf>
    <xf numFmtId="0" fontId="14" fillId="6" borderId="0" applyAlignment="1" pivotButton="0" quotePrefix="0" xfId="0">
      <alignment vertical="top"/>
    </xf>
    <xf numFmtId="168" fontId="27" fillId="0" borderId="0" applyAlignment="1" pivotButton="0" quotePrefix="0" xfId="3">
      <alignment horizontal="left" vertical="top" indent="4"/>
    </xf>
    <xf numFmtId="0" fontId="28" fillId="0" borderId="0" applyAlignment="1" pivotButton="0" quotePrefix="0" xfId="0">
      <alignment vertical="top"/>
    </xf>
    <xf numFmtId="0" fontId="30" fillId="0" borderId="0" applyAlignment="1" pivotButton="0" quotePrefix="0" xfId="0">
      <alignment vertical="top"/>
    </xf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vertical="top"/>
    </xf>
    <xf numFmtId="0" fontId="33" fillId="0" borderId="0" pivotButton="0" quotePrefix="0" xfId="5"/>
    <xf numFmtId="0" fontId="9" fillId="7" borderId="0" applyAlignment="1" pivotButton="0" quotePrefix="0" xfId="0">
      <alignment horizontal="left" vertical="center"/>
    </xf>
    <xf numFmtId="0" fontId="30" fillId="0" borderId="29" applyAlignment="1" pivotButton="0" quotePrefix="0" xfId="0">
      <alignment vertical="top"/>
    </xf>
    <xf numFmtId="0" fontId="0" fillId="0" borderId="30" applyAlignment="1" pivotButton="0" quotePrefix="0" xfId="0">
      <alignment vertical="top"/>
    </xf>
    <xf numFmtId="0" fontId="0" fillId="0" borderId="31" applyAlignment="1" pivotButton="0" quotePrefix="0" xfId="0">
      <alignment vertical="top"/>
    </xf>
    <xf numFmtId="0" fontId="28" fillId="0" borderId="30" applyAlignment="1" pivotButton="0" quotePrefix="0" xfId="0">
      <alignment vertical="top"/>
    </xf>
    <xf numFmtId="0" fontId="3" fillId="0" borderId="30" applyAlignment="1" pivotButton="0" quotePrefix="0" xfId="0">
      <alignment vertical="top"/>
    </xf>
    <xf numFmtId="0" fontId="27" fillId="0" borderId="32" applyAlignment="1" pivotButton="0" quotePrefix="0" xfId="0">
      <alignment vertical="top"/>
    </xf>
    <xf numFmtId="9" fontId="3" fillId="0" borderId="33" applyAlignment="1" pivotButton="0" quotePrefix="0" xfId="0">
      <alignment vertical="top"/>
    </xf>
    <xf numFmtId="9" fontId="3" fillId="0" borderId="31" applyAlignment="1" pivotButton="0" quotePrefix="0" xfId="0">
      <alignment vertical="top"/>
    </xf>
    <xf numFmtId="0" fontId="0" fillId="0" borderId="30" applyAlignment="1" pivotButton="0" quotePrefix="0" xfId="0">
      <alignment horizontal="left" vertical="top"/>
    </xf>
    <xf numFmtId="9" fontId="0" fillId="0" borderId="31" applyAlignment="1" pivotButton="0" quotePrefix="0" xfId="0">
      <alignment vertical="top"/>
    </xf>
    <xf numFmtId="0" fontId="25" fillId="0" borderId="30" applyAlignment="1" pivotButton="0" quotePrefix="0" xfId="0">
      <alignment horizontal="left" vertical="top"/>
    </xf>
    <xf numFmtId="0" fontId="25" fillId="0" borderId="31" applyAlignment="1" pivotButton="0" quotePrefix="0" xfId="0">
      <alignment horizontal="left" vertical="top"/>
    </xf>
    <xf numFmtId="0" fontId="25" fillId="0" borderId="31" applyAlignment="1" pivotButton="0" quotePrefix="0" xfId="0">
      <alignment vertical="top"/>
    </xf>
    <xf numFmtId="0" fontId="0" fillId="0" borderId="34" applyAlignment="1" pivotButton="0" quotePrefix="0" xfId="0">
      <alignment vertical="top"/>
    </xf>
    <xf numFmtId="0" fontId="0" fillId="0" borderId="35" applyAlignment="1" pivotButton="0" quotePrefix="0" xfId="0">
      <alignment vertical="top"/>
    </xf>
    <xf numFmtId="0" fontId="18" fillId="0" borderId="0" applyAlignment="1" pivotButton="0" quotePrefix="0" xfId="0">
      <alignment vertical="top"/>
    </xf>
    <xf numFmtId="169" fontId="32" fillId="0" borderId="0" applyAlignment="1" pivotButton="0" quotePrefix="0" xfId="4">
      <alignment vertical="top"/>
    </xf>
    <xf numFmtId="0" fontId="3" fillId="0" borderId="0" applyAlignment="1" pivotButton="0" quotePrefix="0" xfId="0">
      <alignment vertical="top"/>
    </xf>
    <xf numFmtId="0" fontId="18" fillId="0" borderId="0" applyAlignment="1" pivotButton="0" quotePrefix="0" xfId="0">
      <alignment vertical="top" wrapText="1"/>
    </xf>
    <xf numFmtId="0" fontId="35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9" fontId="18" fillId="4" borderId="21" applyAlignment="1" pivotButton="0" quotePrefix="0" xfId="1">
      <alignment vertical="top" wrapText="1"/>
    </xf>
    <xf numFmtId="0" fontId="33" fillId="0" borderId="0" pivotButton="0" quotePrefix="0" xfId="5"/>
    <xf numFmtId="22" fontId="33" fillId="0" borderId="0" pivotButton="0" quotePrefix="0" xfId="5"/>
    <xf numFmtId="49" fontId="33" fillId="0" borderId="0" applyAlignment="1" pivotButton="0" quotePrefix="0" xfId="5">
      <alignment wrapText="1"/>
    </xf>
    <xf numFmtId="0" fontId="33" fillId="9" borderId="0" pivotButton="0" quotePrefix="0" xfId="5"/>
    <xf numFmtId="0" fontId="37" fillId="0" borderId="28" applyAlignment="1" pivotButton="0" quotePrefix="0" xfId="0">
      <alignment vertical="top"/>
    </xf>
    <xf numFmtId="0" fontId="37" fillId="0" borderId="0" applyAlignment="1" pivotButton="0" quotePrefix="0" xfId="0">
      <alignment vertical="top"/>
    </xf>
    <xf numFmtId="0" fontId="3" fillId="0" borderId="0" applyAlignment="1" pivotButton="0" quotePrefix="0" xfId="0">
      <alignment vertical="top" wrapText="1"/>
    </xf>
    <xf numFmtId="0" fontId="34" fillId="0" borderId="28" applyAlignment="1" pivotButton="0" quotePrefix="0" xfId="0">
      <alignment vertical="top"/>
    </xf>
    <xf numFmtId="0" fontId="18" fillId="0" borderId="36" applyAlignment="1" pivotButton="0" quotePrefix="0" xfId="0">
      <alignment vertical="top"/>
    </xf>
    <xf numFmtId="0" fontId="18" fillId="0" borderId="29" applyAlignment="1" pivotButton="0" quotePrefix="0" xfId="0">
      <alignment vertical="top"/>
    </xf>
    <xf numFmtId="0" fontId="37" fillId="0" borderId="0" applyAlignment="1" pivotButton="0" quotePrefix="0" xfId="0">
      <alignment vertical="top"/>
    </xf>
    <xf numFmtId="0" fontId="30" fillId="0" borderId="31" applyAlignment="1" pivotButton="0" quotePrefix="0" xfId="0">
      <alignment vertical="top"/>
    </xf>
    <xf numFmtId="0" fontId="31" fillId="0" borderId="0" applyAlignment="1" pivotButton="0" quotePrefix="0" xfId="0">
      <alignment vertical="top"/>
    </xf>
    <xf numFmtId="0" fontId="25" fillId="0" borderId="0" applyAlignment="1" pivotButton="0" quotePrefix="0" xfId="0">
      <alignment vertical="top"/>
    </xf>
    <xf numFmtId="9" fontId="3" fillId="0" borderId="0" applyAlignment="1" pivotButton="0" quotePrefix="0" xfId="0">
      <alignment vertical="top"/>
    </xf>
    <xf numFmtId="0" fontId="0" fillId="0" borderId="0" applyAlignment="1" pivotButton="0" quotePrefix="0" xfId="0">
      <alignment horizontal="left" vertical="top"/>
    </xf>
    <xf numFmtId="0" fontId="25" fillId="0" borderId="0" applyAlignment="1" pivotButton="0" quotePrefix="0" xfId="0">
      <alignment horizontal="left" vertical="top"/>
    </xf>
    <xf numFmtId="0" fontId="0" fillId="0" borderId="31" applyAlignment="1" pivotButton="0" quotePrefix="0" xfId="0">
      <alignment vertical="top" wrapText="1"/>
    </xf>
    <xf numFmtId="0" fontId="0" fillId="0" borderId="37" applyAlignment="1" pivotButton="0" quotePrefix="0" xfId="0">
      <alignment vertical="top"/>
    </xf>
    <xf numFmtId="0" fontId="39" fillId="0" borderId="0" applyAlignment="1" pivotButton="0" quotePrefix="0" xfId="0">
      <alignment vertical="top"/>
    </xf>
    <xf numFmtId="0" fontId="0" fillId="0" borderId="0" pivotButton="0" quotePrefix="0" xfId="0"/>
    <xf numFmtId="0" fontId="40" fillId="12" borderId="24" applyAlignment="1" pivotButton="0" quotePrefix="0" xfId="0">
      <alignment vertical="top"/>
    </xf>
    <xf numFmtId="0" fontId="19" fillId="12" borderId="23" applyAlignment="1" pivotButton="0" quotePrefix="0" xfId="0">
      <alignment vertical="top"/>
    </xf>
    <xf numFmtId="0" fontId="19" fillId="12" borderId="25" applyAlignment="1" pivotButton="0" quotePrefix="0" xfId="0">
      <alignment vertical="top"/>
    </xf>
    <xf numFmtId="9" fontId="0" fillId="13" borderId="21" applyAlignment="1" pivotButton="0" quotePrefix="0" xfId="0">
      <alignment vertical="top"/>
    </xf>
    <xf numFmtId="0" fontId="14" fillId="4" borderId="21" applyAlignment="1" pivotButton="0" quotePrefix="0" xfId="0">
      <alignment vertical="top"/>
    </xf>
    <xf numFmtId="0" fontId="14" fillId="10" borderId="21" applyAlignment="1" pivotButton="0" quotePrefix="0" xfId="0">
      <alignment vertical="top"/>
    </xf>
    <xf numFmtId="0" fontId="0" fillId="13" borderId="21" applyAlignment="1" pivotButton="0" quotePrefix="0" xfId="0">
      <alignment vertical="top"/>
    </xf>
    <xf numFmtId="170" fontId="19" fillId="13" borderId="21" applyAlignment="1" pivotButton="0" quotePrefix="0" xfId="4">
      <alignment horizontal="left" vertical="top"/>
    </xf>
    <xf numFmtId="170" fontId="3" fillId="0" borderId="31" applyAlignment="1" pivotButton="0" quotePrefix="0" xfId="0">
      <alignment vertical="top"/>
    </xf>
    <xf numFmtId="0" fontId="32" fillId="0" borderId="30" applyAlignment="1" pivotButton="0" quotePrefix="0" xfId="4">
      <alignment vertical="top"/>
    </xf>
    <xf numFmtId="0" fontId="32" fillId="0" borderId="0" applyAlignment="1" pivotButton="0" quotePrefix="0" xfId="4">
      <alignment vertical="top"/>
    </xf>
    <xf numFmtId="170" fontId="3" fillId="0" borderId="0" applyAlignment="1" pivotButton="0" quotePrefix="0" xfId="0">
      <alignment vertical="top"/>
    </xf>
    <xf numFmtId="0" fontId="32" fillId="0" borderId="0" applyAlignment="1" pivotButton="0" quotePrefix="0" xfId="4">
      <alignment vertical="top"/>
    </xf>
    <xf numFmtId="0" fontId="3" fillId="13" borderId="0" applyAlignment="1" pivotButton="0" quotePrefix="0" xfId="0">
      <alignment horizontal="left" vertical="center" indent="1"/>
    </xf>
    <xf numFmtId="49" fontId="3" fillId="2" borderId="22" applyAlignment="1" pivotButton="0" quotePrefix="0" xfId="0">
      <alignment vertical="top"/>
    </xf>
    <xf numFmtId="170" fontId="0" fillId="13" borderId="21" applyAlignment="1" pivotButton="0" quotePrefix="0" xfId="0">
      <alignment horizontal="right" vertical="top"/>
    </xf>
    <xf numFmtId="0" fontId="31" fillId="0" borderId="30" applyAlignment="1" pivotButton="0" quotePrefix="0" xfId="0">
      <alignment vertical="top"/>
    </xf>
    <xf numFmtId="9" fontId="3" fillId="0" borderId="30" applyAlignment="1" pivotButton="0" quotePrefix="0" xfId="1">
      <alignment vertical="top"/>
    </xf>
    <xf numFmtId="0" fontId="0" fillId="0" borderId="0" applyAlignment="1" pivotButton="0" quotePrefix="0" xfId="0">
      <alignment horizontal="left" vertical="top" indent="1"/>
    </xf>
    <xf numFmtId="0" fontId="29" fillId="0" borderId="30" applyAlignment="1" pivotButton="0" quotePrefix="0" xfId="0">
      <alignment vertical="top"/>
    </xf>
    <xf numFmtId="0" fontId="3" fillId="0" borderId="0" applyAlignment="1" pivotButton="0" quotePrefix="0" xfId="0">
      <alignment horizontal="left" vertical="top"/>
    </xf>
    <xf numFmtId="0" fontId="3" fillId="0" borderId="34" applyAlignment="1" pivotButton="0" quotePrefix="0" xfId="0">
      <alignment horizontal="left" vertical="top"/>
    </xf>
    <xf numFmtId="9" fontId="0" fillId="0" borderId="37" applyAlignment="1" pivotButton="0" quotePrefix="0" xfId="0">
      <alignment horizontal="left" vertical="top"/>
    </xf>
    <xf numFmtId="0" fontId="41" fillId="0" borderId="30" applyAlignment="1" pivotButton="0" quotePrefix="0" xfId="0">
      <alignment horizontal="left"/>
    </xf>
    <xf numFmtId="170" fontId="43" fillId="0" borderId="31" applyAlignment="1" pivotButton="0" quotePrefix="0" xfId="0">
      <alignment horizontal="right" vertical="top"/>
    </xf>
    <xf numFmtId="0" fontId="31" fillId="0" borderId="0" applyAlignment="1" pivotButton="0" quotePrefix="0" xfId="0">
      <alignment horizontal="left" vertical="top" indent="1"/>
    </xf>
    <xf numFmtId="0" fontId="30" fillId="0" borderId="0" applyAlignment="1" pivotButton="0" quotePrefix="0" xfId="0">
      <alignment horizontal="left" vertical="top" indent="1"/>
    </xf>
    <xf numFmtId="0" fontId="39" fillId="0" borderId="0" applyAlignment="1" pivotButton="0" quotePrefix="0" xfId="0">
      <alignment horizontal="left" vertical="top" indent="2"/>
    </xf>
    <xf numFmtId="0" fontId="0" fillId="0" borderId="30" applyAlignment="1" pivotButton="0" quotePrefix="0" xfId="0">
      <alignment vertical="center"/>
    </xf>
    <xf numFmtId="0" fontId="42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vertical="center"/>
    </xf>
    <xf numFmtId="0" fontId="0" fillId="0" borderId="31" applyAlignment="1" pivotButton="0" quotePrefix="0" xfId="0">
      <alignment vertical="center"/>
    </xf>
    <xf numFmtId="0" fontId="1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vertical="center"/>
    </xf>
    <xf numFmtId="0" fontId="38" fillId="0" borderId="0" applyAlignment="1" pivotButton="0" quotePrefix="0" xfId="0">
      <alignment horizontal="left" indent="1"/>
    </xf>
    <xf numFmtId="0" fontId="3" fillId="0" borderId="0" applyAlignment="1" pivotButton="0" quotePrefix="0" xfId="0">
      <alignment horizontal="left" indent="1"/>
    </xf>
    <xf numFmtId="0" fontId="44" fillId="0" borderId="30" applyAlignment="1" pivotButton="0" quotePrefix="0" xfId="0">
      <alignment vertical="top"/>
    </xf>
    <xf numFmtId="0" fontId="45" fillId="0" borderId="31" applyAlignment="1" pivotButton="0" quotePrefix="0" xfId="0">
      <alignment vertical="top"/>
    </xf>
    <xf numFmtId="0" fontId="45" fillId="0" borderId="0" applyAlignment="1" pivotButton="0" quotePrefix="0" xfId="0">
      <alignment vertical="top"/>
    </xf>
    <xf numFmtId="0" fontId="44" fillId="0" borderId="0" applyAlignment="1" pivotButton="0" quotePrefix="0" xfId="0">
      <alignment vertical="top"/>
    </xf>
    <xf numFmtId="0" fontId="45" fillId="0" borderId="0" applyAlignment="1" pivotButton="0" quotePrefix="0" xfId="0">
      <alignment vertical="top"/>
    </xf>
    <xf numFmtId="0" fontId="46" fillId="0" borderId="0" applyAlignment="1" pivotButton="0" quotePrefix="0" xfId="0">
      <alignment vertical="top"/>
    </xf>
    <xf numFmtId="0" fontId="46" fillId="0" borderId="0" applyAlignment="1" pivotButton="0" quotePrefix="0" xfId="0">
      <alignment vertical="top" wrapText="1"/>
    </xf>
    <xf numFmtId="0" fontId="47" fillId="0" borderId="0" applyAlignment="1" pivotButton="0" quotePrefix="0" xfId="0">
      <alignment vertical="top"/>
    </xf>
    <xf numFmtId="0" fontId="47" fillId="0" borderId="0" applyAlignment="1" pivotButton="0" quotePrefix="0" xfId="0">
      <alignment vertical="top"/>
    </xf>
    <xf numFmtId="0" fontId="48" fillId="0" borderId="0" applyAlignment="1" pivotButton="0" quotePrefix="0" xfId="0">
      <alignment vertical="top"/>
    </xf>
    <xf numFmtId="0" fontId="27" fillId="0" borderId="30" applyAlignment="1" pivotButton="0" quotePrefix="0" xfId="0">
      <alignment vertical="top"/>
    </xf>
    <xf numFmtId="0" fontId="39" fillId="0" borderId="31" applyAlignment="1" pivotButton="0" quotePrefix="0" xfId="0">
      <alignment vertical="top"/>
    </xf>
    <xf numFmtId="0" fontId="39" fillId="0" borderId="0" applyAlignment="1" pivotButton="0" quotePrefix="0" xfId="0">
      <alignment vertical="top"/>
    </xf>
    <xf numFmtId="0" fontId="27" fillId="0" borderId="0" applyAlignment="1" pivotButton="0" quotePrefix="0" xfId="0">
      <alignment vertical="top"/>
    </xf>
    <xf numFmtId="0" fontId="49" fillId="0" borderId="0" applyAlignment="1" pivotButton="0" quotePrefix="0" xfId="0">
      <alignment vertical="top"/>
    </xf>
    <xf numFmtId="0" fontId="49" fillId="0" borderId="0" applyAlignment="1" pivotButton="0" quotePrefix="0" xfId="0">
      <alignment vertical="top" wrapText="1"/>
    </xf>
    <xf numFmtId="0" fontId="28" fillId="0" borderId="0" applyAlignment="1" pivotButton="0" quotePrefix="0" xfId="0">
      <alignment vertical="top" wrapText="1"/>
    </xf>
    <xf numFmtId="170" fontId="28" fillId="0" borderId="31" applyAlignment="1" pivotButton="0" quotePrefix="0" xfId="0">
      <alignment vertical="top"/>
    </xf>
    <xf numFmtId="170" fontId="28" fillId="0" borderId="20" applyAlignment="1" pivotButton="0" quotePrefix="0" xfId="0">
      <alignment vertical="top"/>
    </xf>
    <xf numFmtId="0" fontId="10" fillId="0" borderId="0" applyAlignment="1" pivotButton="0" quotePrefix="0" xfId="0">
      <alignment vertical="center" wrapText="1"/>
    </xf>
    <xf numFmtId="0" fontId="33" fillId="0" borderId="0" pivotButton="0" quotePrefix="0" xfId="5"/>
    <xf numFmtId="22" fontId="33" fillId="0" borderId="0" pivotButton="0" quotePrefix="0" xfId="5"/>
    <xf numFmtId="49" fontId="33" fillId="0" borderId="0" applyAlignment="1" pivotButton="0" quotePrefix="0" xfId="5">
      <alignment wrapText="1"/>
    </xf>
    <xf numFmtId="0" fontId="9" fillId="0" borderId="0" applyAlignment="1" pivotButton="0" quotePrefix="0" xfId="0">
      <alignment vertical="center" wrapText="1"/>
    </xf>
    <xf numFmtId="0" fontId="14" fillId="0" borderId="0" applyAlignment="1" pivotButton="0" quotePrefix="0" xfId="0">
      <alignment vertical="top"/>
    </xf>
    <xf numFmtId="0" fontId="25" fillId="0" borderId="0" applyAlignment="1" pivotButton="0" quotePrefix="0" xfId="0">
      <alignment vertical="top"/>
    </xf>
    <xf numFmtId="0" fontId="50" fillId="0" borderId="0" applyAlignment="1" pivotButton="0" quotePrefix="0" xfId="0">
      <alignment vertical="center"/>
    </xf>
    <xf numFmtId="0" fontId="3" fillId="13" borderId="0" applyAlignment="1" pivotButton="0" quotePrefix="0" xfId="0">
      <alignment vertical="center"/>
    </xf>
    <xf numFmtId="170" fontId="36" fillId="13" borderId="21" applyAlignment="1" pivotButton="0" quotePrefix="0" xfId="4">
      <alignment horizontal="left" vertical="top"/>
    </xf>
    <xf numFmtId="0" fontId="51" fillId="0" borderId="0" applyAlignment="1" pivotButton="0" quotePrefix="0" xfId="0">
      <alignment vertical="top"/>
    </xf>
    <xf numFmtId="0" fontId="52" fillId="0" borderId="0" applyAlignment="1" pivotButton="0" quotePrefix="0" xfId="0">
      <alignment vertical="top"/>
    </xf>
    <xf numFmtId="0" fontId="18" fillId="0" borderId="0" applyAlignment="1" pivotButton="0" quotePrefix="0" xfId="0">
      <alignment vertical="top"/>
    </xf>
    <xf numFmtId="0" fontId="27" fillId="0" borderId="0" applyAlignment="1" pivotButton="0" quotePrefix="0" xfId="0">
      <alignment vertical="top" wrapText="1"/>
    </xf>
    <xf numFmtId="0" fontId="27" fillId="0" borderId="0" applyAlignment="1" pivotButton="0" quotePrefix="0" xfId="0">
      <alignment vertical="top"/>
    </xf>
    <xf numFmtId="0" fontId="53" fillId="0" borderId="0" applyAlignment="1" pivotButton="0" quotePrefix="0" xfId="4">
      <alignment vertical="top"/>
    </xf>
    <xf numFmtId="0" fontId="28" fillId="0" borderId="0" applyAlignment="1" pivotButton="0" quotePrefix="0" xfId="0">
      <alignment vertical="top" wrapText="1"/>
    </xf>
    <xf numFmtId="0" fontId="3" fillId="0" borderId="31" applyAlignment="1" pivotButton="0" quotePrefix="0" xfId="0">
      <alignment vertical="top"/>
    </xf>
    <xf numFmtId="9" fontId="38" fillId="0" borderId="0" applyAlignment="1" pivotButton="0" quotePrefix="0" xfId="1">
      <alignment horizontal="left" indent="2"/>
    </xf>
    <xf numFmtId="9" fontId="38" fillId="0" borderId="0" applyAlignment="1" pivotButton="0" quotePrefix="0" xfId="1">
      <alignment horizontal="left"/>
    </xf>
    <xf numFmtId="0" fontId="54" fillId="0" borderId="0" applyAlignment="1" pivotButton="0" quotePrefix="0" xfId="0">
      <alignment horizontal="left"/>
    </xf>
    <xf numFmtId="0" fontId="19" fillId="0" borderId="0" applyAlignment="1" pivotButton="0" quotePrefix="0" xfId="0">
      <alignment vertical="top"/>
    </xf>
    <xf numFmtId="0" fontId="55" fillId="0" borderId="0" applyAlignment="1" pivotButton="0" quotePrefix="0" xfId="0">
      <alignment horizontal="left"/>
    </xf>
    <xf numFmtId="0" fontId="27" fillId="0" borderId="0" applyAlignment="1" pivotButton="0" quotePrefix="0" xfId="0">
      <alignment horizontal="left" indent="1"/>
    </xf>
    <xf numFmtId="0" fontId="27" fillId="0" borderId="0" applyAlignment="1" pivotButton="0" quotePrefix="0" xfId="0">
      <alignment horizontal="left" vertical="top" indent="1"/>
    </xf>
    <xf numFmtId="0" fontId="27" fillId="0" borderId="0" applyAlignment="1" pivotButton="0" quotePrefix="0" xfId="0">
      <alignment horizontal="left" vertical="top" indent="2"/>
    </xf>
    <xf numFmtId="0" fontId="48" fillId="0" borderId="0" applyAlignment="1" pivotButton="0" quotePrefix="0" xfId="0">
      <alignment vertical="top"/>
    </xf>
    <xf numFmtId="0" fontId="0" fillId="0" borderId="30" applyAlignment="1" pivotButton="0" quotePrefix="0" xfId="0">
      <alignment vertical="top" wrapText="1"/>
    </xf>
    <xf numFmtId="0" fontId="56" fillId="0" borderId="0" applyAlignment="1" pivotButton="0" quotePrefix="0" xfId="4">
      <alignment vertical="top"/>
    </xf>
    <xf numFmtId="0" fontId="57" fillId="0" borderId="0" applyAlignment="1" pivotButton="0" quotePrefix="0" xfId="0">
      <alignment vertical="center"/>
    </xf>
    <xf numFmtId="0" fontId="31" fillId="0" borderId="38" applyAlignment="1" pivotButton="0" quotePrefix="0" xfId="0">
      <alignment vertical="top"/>
    </xf>
    <xf numFmtId="0" fontId="0" fillId="0" borderId="39" applyAlignment="1" pivotButton="0" quotePrefix="0" xfId="0">
      <alignment vertical="top"/>
    </xf>
    <xf numFmtId="0" fontId="0" fillId="0" borderId="40" applyAlignment="1" pivotButton="0" quotePrefix="0" xfId="0">
      <alignment vertical="top"/>
    </xf>
    <xf numFmtId="0" fontId="0" fillId="9" borderId="0" pivotButton="0" quotePrefix="0" xfId="0"/>
    <xf numFmtId="22" fontId="0" fillId="0" borderId="0" pivotButton="0" quotePrefix="0" xfId="0"/>
    <xf numFmtId="49" fontId="0" fillId="0" borderId="0" pivotButton="0" quotePrefix="0" xfId="0"/>
    <xf numFmtId="0" fontId="35" fillId="0" borderId="0" applyAlignment="1" pivotButton="0" quotePrefix="0" xfId="0">
      <alignment horizontal="right" vertical="top"/>
    </xf>
    <xf numFmtId="49" fontId="35" fillId="0" borderId="0" applyAlignment="1" pivotButton="0" quotePrefix="0" xfId="0">
      <alignment horizontal="right" vertical="top"/>
    </xf>
    <xf numFmtId="171" fontId="0" fillId="0" borderId="0" applyAlignment="1" pivotButton="0" quotePrefix="0" xfId="0">
      <alignment vertical="top"/>
    </xf>
    <xf numFmtId="0" fontId="39" fillId="0" borderId="31" applyAlignment="1" pivotButton="0" quotePrefix="0" xfId="0">
      <alignment horizontal="right" vertical="top"/>
    </xf>
    <xf numFmtId="0" fontId="1" fillId="0" borderId="0" pivotButton="0" quotePrefix="0" xfId="6"/>
    <xf numFmtId="0" fontId="1" fillId="15" borderId="0" pivotButton="0" quotePrefix="0" xfId="6"/>
    <xf numFmtId="170" fontId="36" fillId="0" borderId="21" applyAlignment="1" pivotButton="0" quotePrefix="0" xfId="4">
      <alignment horizontal="left" vertical="top"/>
    </xf>
    <xf numFmtId="170" fontId="19" fillId="0" borderId="21" applyAlignment="1" pivotButton="0" quotePrefix="0" xfId="4">
      <alignment horizontal="left" vertical="top"/>
    </xf>
    <xf numFmtId="0" fontId="58" fillId="0" borderId="0" applyAlignment="1" pivotButton="0" quotePrefix="0" xfId="0">
      <alignment horizontal="left"/>
    </xf>
    <xf numFmtId="0" fontId="37" fillId="0" borderId="0" applyAlignment="1" pivotButton="0" quotePrefix="0" xfId="0">
      <alignment horizontal="left"/>
    </xf>
    <xf numFmtId="0" fontId="18" fillId="0" borderId="0" applyAlignment="1" pivotButton="0" quotePrefix="0" xfId="0">
      <alignment vertical="top" wrapText="1"/>
    </xf>
    <xf numFmtId="0" fontId="14" fillId="6" borderId="41" applyAlignment="1" pivotButton="0" quotePrefix="0" xfId="0">
      <alignment vertical="top"/>
    </xf>
    <xf numFmtId="0" fontId="18" fillId="6" borderId="0" applyAlignment="1" pivotButton="0" quotePrefix="0" xfId="0">
      <alignment vertical="top"/>
    </xf>
    <xf numFmtId="0" fontId="18" fillId="6" borderId="26" applyAlignment="1" pivotButton="0" quotePrefix="0" xfId="0">
      <alignment vertical="top"/>
    </xf>
    <xf numFmtId="0" fontId="3" fillId="0" borderId="42" applyAlignment="1" pivotButton="0" quotePrefix="0" xfId="0">
      <alignment vertical="top"/>
    </xf>
    <xf numFmtId="0" fontId="0" fillId="0" borderId="43" applyAlignment="1" pivotButton="0" quotePrefix="0" xfId="0">
      <alignment vertical="top"/>
    </xf>
    <xf numFmtId="0" fontId="0" fillId="0" borderId="44" applyAlignment="1" pivotButton="0" quotePrefix="0" xfId="0">
      <alignment vertical="top"/>
    </xf>
    <xf numFmtId="49" fontId="14" fillId="11" borderId="21" applyAlignment="1" pivotButton="0" quotePrefix="0" xfId="0">
      <alignment vertical="top"/>
    </xf>
    <xf numFmtId="0" fontId="14" fillId="5" borderId="21" applyAlignment="1" pivotButton="0" quotePrefix="0" xfId="0">
      <alignment vertical="top"/>
    </xf>
    <xf numFmtId="0" fontId="28" fillId="0" borderId="21" applyAlignment="1" pivotButton="0" quotePrefix="0" xfId="0">
      <alignment horizontal="center" vertical="top"/>
    </xf>
    <xf numFmtId="9" fontId="3" fillId="14" borderId="21" applyAlignment="1" pivotButton="0" quotePrefix="0" xfId="0">
      <alignment vertical="top"/>
    </xf>
    <xf numFmtId="0" fontId="0" fillId="13" borderId="21" applyAlignment="1" pivotButton="0" quotePrefix="0" xfId="0">
      <alignment vertical="top"/>
    </xf>
    <xf numFmtId="49" fontId="0" fillId="0" borderId="0" applyAlignment="1" pivotButton="0" quotePrefix="0" xfId="0">
      <alignment vertical="top" wrapText="1"/>
    </xf>
    <xf numFmtId="170" fontId="28" fillId="0" borderId="0" applyAlignment="1" pivotButton="0" quotePrefix="0" xfId="0">
      <alignment horizontal="right" vertical="top" wrapText="1"/>
    </xf>
    <xf numFmtId="170" fontId="28" fillId="0" borderId="31" applyAlignment="1" pivotButton="0" quotePrefix="0" xfId="0">
      <alignment horizontal="right" vertical="top" wrapText="1"/>
    </xf>
    <xf numFmtId="170" fontId="28" fillId="0" borderId="0" applyAlignment="1" pivotButton="0" quotePrefix="0" xfId="0">
      <alignment vertical="top"/>
    </xf>
    <xf numFmtId="0" fontId="27" fillId="0" borderId="0" applyAlignment="1" pivotButton="0" quotePrefix="0" xfId="0">
      <alignment horizontal="left" indent="2"/>
    </xf>
    <xf numFmtId="0" fontId="0" fillId="0" borderId="0" applyAlignment="1" pivotButton="0" quotePrefix="0" xfId="0">
      <alignment vertical="top" wrapText="1"/>
    </xf>
    <xf numFmtId="170" fontId="0" fillId="0" borderId="21" applyAlignment="1" pivotButton="0" quotePrefix="0" xfId="0">
      <alignment horizontal="right" vertical="top"/>
    </xf>
    <xf numFmtId="0" fontId="0" fillId="0" borderId="21" applyAlignment="1" pivotButton="0" quotePrefix="0" xfId="0">
      <alignment vertical="top"/>
    </xf>
    <xf numFmtId="4" fontId="0" fillId="0" borderId="0" applyAlignment="1" pivotButton="0" quotePrefix="0" xfId="0">
      <alignment vertical="top"/>
    </xf>
    <xf numFmtId="0" fontId="59" fillId="0" borderId="0" pivotButton="0" quotePrefix="0" xfId="0"/>
    <xf numFmtId="172" fontId="0" fillId="0" borderId="21" applyAlignment="1" pivotButton="0" quotePrefix="0" xfId="0">
      <alignment vertical="top" wrapText="1"/>
    </xf>
    <xf numFmtId="0" fontId="28" fillId="0" borderId="21" applyAlignment="1" pivotButton="0" quotePrefix="0" xfId="0">
      <alignment horizontal="center" vertical="top"/>
    </xf>
    <xf numFmtId="9" fontId="3" fillId="0" borderId="21" applyAlignment="1" pivotButton="0" quotePrefix="0" xfId="0">
      <alignment vertical="top"/>
    </xf>
    <xf numFmtId="9" fontId="0" fillId="0" borderId="21" applyAlignment="1" pivotButton="0" quotePrefix="0" xfId="0">
      <alignment vertical="top"/>
    </xf>
    <xf numFmtId="0" fontId="0" fillId="0" borderId="21" applyAlignment="1" pivotButton="0" quotePrefix="0" xfId="0">
      <alignment vertical="top"/>
    </xf>
    <xf numFmtId="170" fontId="0" fillId="0" borderId="0" pivotButton="0" quotePrefix="0" xfId="0"/>
    <xf numFmtId="0" fontId="1" fillId="16" borderId="0" pivotButton="0" quotePrefix="0" xfId="6"/>
    <xf numFmtId="170" fontId="43" fillId="0" borderId="31" applyAlignment="1" pivotButton="0" quotePrefix="0" xfId="0">
      <alignment horizontal="right" vertical="top"/>
    </xf>
    <xf numFmtId="171" fontId="0" fillId="0" borderId="0" applyAlignment="1" pivotButton="0" quotePrefix="0" xfId="0">
      <alignment vertical="top"/>
    </xf>
    <xf numFmtId="170" fontId="28" fillId="0" borderId="31" applyAlignment="1" pivotButton="0" quotePrefix="0" xfId="0">
      <alignment horizontal="right" vertical="top" wrapText="1"/>
    </xf>
    <xf numFmtId="170" fontId="28" fillId="0" borderId="0" applyAlignment="1" pivotButton="0" quotePrefix="0" xfId="0">
      <alignment horizontal="right" vertical="top" wrapText="1"/>
    </xf>
    <xf numFmtId="170" fontId="3" fillId="0" borderId="31" applyAlignment="1" pivotButton="0" quotePrefix="0" xfId="0">
      <alignment vertical="top"/>
    </xf>
    <xf numFmtId="170" fontId="3" fillId="0" borderId="0" applyAlignment="1" pivotButton="0" quotePrefix="0" xfId="0">
      <alignment vertical="top"/>
    </xf>
    <xf numFmtId="170" fontId="28" fillId="0" borderId="31" applyAlignment="1" pivotButton="0" quotePrefix="0" xfId="0">
      <alignment vertical="top"/>
    </xf>
    <xf numFmtId="170" fontId="28" fillId="0" borderId="0" applyAlignment="1" pivotButton="0" quotePrefix="0" xfId="0">
      <alignment vertical="top"/>
    </xf>
    <xf numFmtId="170" fontId="28" fillId="0" borderId="20" applyAlignment="1" pivotButton="0" quotePrefix="0" xfId="0">
      <alignment vertical="top"/>
    </xf>
    <xf numFmtId="169" fontId="32" fillId="0" borderId="0" applyAlignment="1" pivotButton="0" quotePrefix="0" xfId="4">
      <alignment vertical="top"/>
    </xf>
    <xf numFmtId="168" fontId="27" fillId="0" borderId="0" applyAlignment="1" pivotButton="0" quotePrefix="0" xfId="3">
      <alignment horizontal="left" vertical="top" indent="4"/>
    </xf>
    <xf numFmtId="170" fontId="36" fillId="13" borderId="21" applyAlignment="1" pivotButton="0" quotePrefix="0" xfId="4">
      <alignment horizontal="left" vertical="top"/>
    </xf>
    <xf numFmtId="170" fontId="19" fillId="13" borderId="21" applyAlignment="1" pivotButton="0" quotePrefix="0" xfId="4">
      <alignment horizontal="left" vertical="top"/>
    </xf>
    <xf numFmtId="170" fontId="0" fillId="13" borderId="21" applyAlignment="1" pivotButton="0" quotePrefix="0" xfId="0">
      <alignment horizontal="right" vertical="top"/>
    </xf>
    <xf numFmtId="170" fontId="36" fillId="0" borderId="21" applyAlignment="1" pivotButton="0" quotePrefix="0" xfId="4">
      <alignment horizontal="left" vertical="top"/>
    </xf>
    <xf numFmtId="170" fontId="19" fillId="0" borderId="21" applyAlignment="1" pivotButton="0" quotePrefix="0" xfId="4">
      <alignment horizontal="left" vertical="top"/>
    </xf>
    <xf numFmtId="170" fontId="0" fillId="0" borderId="21" applyAlignment="1" pivotButton="0" quotePrefix="0" xfId="0">
      <alignment horizontal="right" vertical="top"/>
    </xf>
    <xf numFmtId="172" fontId="0" fillId="0" borderId="21" applyAlignment="1" pivotButton="0" quotePrefix="0" xfId="0">
      <alignment vertical="top" wrapText="1"/>
    </xf>
    <xf numFmtId="170" fontId="0" fillId="0" borderId="0" pivotButton="0" quotePrefix="0" xfId="0"/>
    <xf numFmtId="167" fontId="3" fillId="0" borderId="0" applyAlignment="1" pivotButton="0" quotePrefix="0" xfId="0">
      <alignment vertical="top"/>
    </xf>
  </cellXfs>
  <cellStyles count="7">
    <cellStyle name="Normal" xfId="0" builtinId="0"/>
    <cellStyle name="Percent" xfId="1" builtinId="5"/>
    <cellStyle name="Normal 2" xfId="2"/>
    <cellStyle name="Currency" xfId="3" builtinId="4"/>
    <cellStyle name="Hyperlink" xfId="4" builtinId="8"/>
    <cellStyle name="Normal 3" xfId="5"/>
    <cellStyle name="Normal 4" xfId="6"/>
  </cellStyles>
  <dxfs count="38"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font>
        <name val="Helvetica Neue"/>
        <b val="1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diagonal/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</dxf>
    <dxf>
      <border outline="0">
        <left/>
        <right/>
        <top/>
        <bottom style="thin">
          <color indexed="11"/>
        </bottom>
        <diagonal/>
      </border>
    </dxf>
    <dxf>
      <font>
        <name val="Helvetica Neue"/>
        <b val="1"/>
        <strike val="0"/>
        <outline val="0"/>
        <shadow val="0"/>
        <condense val="0"/>
        <color indexed="8"/>
        <extend val="0"/>
        <sz val="10"/>
        <vertAlign val="baselin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  <diagonal/>
      </border>
    </dxf>
    <dxf>
      <font>
        <color theme="0"/>
      </font>
      <border>
        <left/>
        <right/>
        <top/>
        <bottom/>
        <diagonal/>
        <vertical/>
        <horizontal/>
      </border>
    </dxf>
  </dxf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Relationship Type="http://schemas.openxmlformats.org/officeDocument/2006/relationships/image" Target="/xl/media/image3.jpeg" Id="rId2"/><Relationship Type="http://schemas.openxmlformats.org/officeDocument/2006/relationships/image" Target="/xl/media/image4.jpeg" Id="rId3"/><Relationship Type="http://schemas.openxmlformats.org/officeDocument/2006/relationships/image" Target="/xl/media/image5.jpe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6.png" Id="rId1"/></Relationships>
</file>

<file path=xl/drawings/drawing1.xml><?xml version="1.0" encoding="utf-8"?>
<wsDr xmlns="http://schemas.openxmlformats.org/drawingml/2006/spreadsheetDrawing">
  <twoCellAnchor editAs="oneCell">
    <from>
      <col>1</col>
      <colOff>4789</colOff>
      <row>0</row>
      <rowOff>116288</rowOff>
    </from>
    <to>
      <col>5</col>
      <colOff>304800</colOff>
      <row>6</row>
      <rowOff>110066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7922" y="116288"/>
          <a:ext cx="6082745" cy="1094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1</col>
      <colOff>51020</colOff>
      <row>10</row>
      <rowOff>31970</rowOff>
    </from>
    <to>
      <col>5</col>
      <colOff>444280</colOff>
      <row>21</row>
      <rowOff>139480</rowOff>
    </to>
    <pic>
      <nvPicPr>
        <cNvPr id="2" name="Picture 1" descr="Rossignol BLACKOPS W BLAZER Skis 2022 - Fresh Skis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98670" y="1073370"/>
          <a:ext cx="2831660" cy="2831660"/>
        </a:xfrm>
        <a:prstGeom xmlns:a="http://schemas.openxmlformats.org/drawingml/2006/main" prst="rect">
          <avLst/>
        </a:prstGeom>
        <a:ln xmlns:a="http://schemas.openxmlformats.org/drawingml/2006/main" w="38100" cap="sq">
          <a:solidFill>
            <a:srgbClr val="000000"/>
          </a:solidFill>
          <a:prstDash val="solid"/>
          <a:miter lim="800000"/>
        </a:ln>
      </spPr>
    </pic>
    <clientData/>
  </twoCellAnchor>
  <twoCellAnchor editAs="oneCell">
    <from>
      <col>1</col>
      <colOff>54313</colOff>
      <row>24</row>
      <rowOff>238463</rowOff>
    </from>
    <to>
      <col>5</col>
      <colOff>415588</colOff>
      <row>41</row>
      <rowOff>117138</rowOff>
    </to>
    <pic>
      <nvPicPr>
        <cNvPr id="6" name="Picture 5" descr="Faction - CT 2.0 Skis 2022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01963" y="5197813"/>
          <a:ext cx="2799675" cy="2799675"/>
        </a:xfrm>
        <a:prstGeom xmlns:a="http://schemas.openxmlformats.org/drawingml/2006/main" prst="rect">
          <avLst/>
        </a:prstGeom>
        <a:ln xmlns:a="http://schemas.openxmlformats.org/drawingml/2006/main" w="38100" cap="sq">
          <a:solidFill>
            <a:srgbClr val="000000"/>
          </a:solidFill>
          <a:prstDash val="solid"/>
          <a:miter lim="800000"/>
        </a:ln>
      </spPr>
    </pic>
    <clientData/>
  </twoCellAnchor>
  <twoCellAnchor editAs="oneCell">
    <from>
      <col>1</col>
      <colOff>29376</colOff>
      <row>45</row>
      <rowOff>11984</rowOff>
    </from>
    <to>
      <col>5</col>
      <colOff>366583</colOff>
      <row>67</row>
      <rowOff>134066</rowOff>
    </to>
    <pic>
      <nvPicPr>
        <cNvPr id="12" name="Picture 11" descr="Buy Rossignol Blackops Holyshred 98mm 182 2022 Skis online at Blue Tomato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77026" y="8660684"/>
          <a:ext cx="2775607" cy="3697132"/>
        </a:xfrm>
        <a:prstGeom xmlns:a="http://schemas.openxmlformats.org/drawingml/2006/main" prst="rect">
          <avLst/>
        </a:prstGeom>
        <a:ln xmlns:a="http://schemas.openxmlformats.org/drawingml/2006/main" w="38100" cap="sq">
          <a:solidFill>
            <a:srgbClr val="000000"/>
          </a:solidFill>
          <a:prstDash val="solid"/>
          <a:miter lim="800000"/>
        </a:ln>
      </spPr>
    </pic>
    <clientData/>
  </twoCellAnchor>
  <twoCellAnchor editAs="oneCell">
    <from>
      <col>1</col>
      <colOff>45755</colOff>
      <row>71</row>
      <rowOff>141005</rowOff>
    </from>
    <to>
      <col>5</col>
      <colOff>322545</colOff>
      <row>88</row>
      <rowOff>74895</rowOff>
    </to>
    <pic>
      <nvPicPr>
        <cNvPr id="14" name="Picture 13" descr="Nordica Santa Ana 104 Free Skis Women's 2022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93405" y="13374405"/>
          <a:ext cx="2715190" cy="2715190"/>
        </a:xfrm>
        <a:prstGeom xmlns:a="http://schemas.openxmlformats.org/drawingml/2006/main" prst="rect">
          <avLst/>
        </a:prstGeom>
        <a:ln xmlns:a="http://schemas.openxmlformats.org/drawingml/2006/main" w="38100" cap="sq">
          <a:solidFill>
            <a:srgbClr val="000000"/>
          </a:solidFill>
          <a:prstDash val="solid"/>
          <a:miter lim="800000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17</col>
      <colOff>38100</colOff>
      <row>15</row>
      <rowOff>88900</rowOff>
    </from>
    <to>
      <col>21</col>
      <colOff>206927</colOff>
      <row>21</row>
      <rowOff>117612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794500" y="2603500"/>
          <a:ext cx="3953427" cy="98121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ables/table1.xml><?xml version="1.0" encoding="utf-8"?>
<table xmlns="http://schemas.openxmlformats.org/spreadsheetml/2006/main" id="1" name="Table4" displayName="Table4" ref="E215:AK1480" headerRowCount="1" totalsRowShown="0" headerRowDxfId="36" dataDxfId="34" headerRowBorderDxfId="35" tableBorderDxfId="33">
  <autoFilter ref="E215:AK1480"/>
  <tableColumns count="33">
    <tableColumn id="1" name="Year" dataDxfId="32"/>
    <tableColumn id="2" name="Brand" dataDxfId="31"/>
    <tableColumn id="3" name="Model" dataDxfId="30"/>
    <tableColumn id="4" name="Nominal Length (cm)" dataDxfId="29"/>
    <tableColumn id="5" name="Gender" dataDxfId="28"/>
    <tableColumn id="6" name="Nominal Length (cm)2" dataDxfId="27"/>
    <tableColumn id="7" name="Actual Length (cm)" dataDxfId="26"/>
    <tableColumn id="8" name="Running lenght (cm)" dataDxfId="25"/>
    <tableColumn id="9" name="Sidecut length (cm)" dataDxfId="24"/>
    <tableColumn id="10" name="Tip width (mm)" dataDxfId="23"/>
    <tableColumn id="11" name="Waist width (mm) " dataDxfId="22"/>
    <tableColumn id="12" name="Tail width (mm)" dataDxfId="21"/>
    <tableColumn id="13" name="Sidecut radius (m)" dataDxfId="20"/>
    <tableColumn id="14" name="Mass (g)" dataDxfId="19"/>
    <tableColumn id="15" name="Surface-to-weight Ratio (cm^2/g)" dataDxfId="18"/>
    <tableColumn id="16" name="Base area (cm2)" dataDxfId="17"/>
    <tableColumn id="17" name="Avg Bending Stiffness (El)" dataDxfId="16"/>
    <tableColumn id="18" name="Avg Torsional  Stiffness (GJ)" dataDxfId="15"/>
    <tableColumn id="19" name="Tip Height (mm)" dataDxfId="14"/>
    <tableColumn id="20" name="Tip Rocker Length (mm)" dataDxfId="13"/>
    <tableColumn id="21" name="Tail height (mm)" dataDxfId="12"/>
    <tableColumn id="22" name="Tail Rocker Length (mm)" dataDxfId="11"/>
    <tableColumn id="23" name="Tail/Tip Height Ratio (%)" dataDxfId="10"/>
    <tableColumn id="24" name="Tip  Taper Length (mm)" dataDxfId="9"/>
    <tableColumn id="25" name="Tail Taper Length (mm)" dataDxfId="8"/>
    <tableColumn id="26" name="Front  Contact Point Range (mm)" dataDxfId="7"/>
    <tableColumn id="27" name="Camber (mm)" dataDxfId="6"/>
    <tableColumn id="28" name="Setback (cm)" dataDxfId="5"/>
    <tableColumn id="29" name=" Powder" dataDxfId="4"/>
    <tableColumn id="30" name="Category" dataDxfId="3"/>
    <tableColumn id="31" name="Column3" dataDxfId="2"/>
    <tableColumn id="32" name="Column4" dataDxfId="1"/>
    <tableColumn id="33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5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6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7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8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9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0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1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2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3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49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0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1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2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3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4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5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6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7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8"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59"/><Relationship Type="http://schemas.openxmlformats.org/officeDocument/2006/relationships/drawing" Target="/xl/drawings/drawing1.xml" Id="rId1360"/></Relationships>
</file>

<file path=xl/worksheets/_rels/sheet4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theme="4" tint="-0.499984740745262"/>
    <outlinePr summaryBelow="1" summaryRight="1"/>
    <pageSetUpPr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8" defaultColWidth="8.6640625" defaultRowHeight="13.2" outlineLevelCol="0"/>
  <cols>
    <col width="1.33203125" customWidth="1" style="138" min="1" max="1"/>
    <col width="26.44140625" bestFit="1" customWidth="1" style="138" min="2" max="2"/>
    <col width="20.21875" customWidth="1" style="138" min="3" max="3"/>
    <col width="9.44140625" customWidth="1" style="184" min="4" max="4"/>
    <col width="26.33203125" bestFit="1" customWidth="1" style="184" min="5" max="5"/>
    <col width="18.21875" bestFit="1" customWidth="1" style="184" min="6" max="6"/>
    <col width="10.33203125" customWidth="1" style="184" min="7" max="7"/>
    <col width="27.21875" customWidth="1" style="184" min="8" max="8"/>
    <col width="18.77734375" customWidth="1" style="184" min="9" max="9"/>
    <col width="10.21875" customWidth="1" style="184" min="10" max="10"/>
    <col width="29.6640625" customWidth="1" style="184" min="11" max="11"/>
    <col width="15.6640625" customWidth="1" style="138" min="12" max="12"/>
    <col width="9.44140625" customWidth="1" style="138" min="13" max="13"/>
    <col width="29.6640625" customWidth="1" style="138" min="14" max="14"/>
    <col width="15.6640625" customWidth="1" style="138" min="15" max="15"/>
    <col width="8.6640625" customWidth="1" style="138" min="16" max="16"/>
    <col width="29.6640625" customWidth="1" style="138" min="17" max="17"/>
    <col width="15.6640625" customWidth="1" style="138" min="18" max="18"/>
    <col width="8.6640625" customWidth="1" style="138" min="19" max="19"/>
    <col width="29.6640625" customWidth="1" style="138" min="20" max="20"/>
    <col width="15.6640625" customWidth="1" style="138" min="21" max="21"/>
    <col width="8.6640625" customWidth="1" style="138" min="22" max="22"/>
    <col width="29.6640625" customWidth="1" style="138" min="23" max="23"/>
    <col width="15.6640625" customWidth="1" style="138" min="24" max="24"/>
    <col width="8.6640625" customWidth="1" style="138" min="25" max="25"/>
    <col width="29.6640625" customWidth="1" style="138" min="26" max="26"/>
    <col width="15.6640625" customWidth="1" style="138" min="27" max="27"/>
    <col width="8.6640625" customWidth="1" style="138" min="28" max="28"/>
    <col width="29.6640625" customWidth="1" style="138" min="29" max="29"/>
    <col width="15.6640625" customWidth="1" style="138" min="30" max="30"/>
    <col width="8.6640625" customWidth="1" style="138" min="31" max="54"/>
    <col width="8.6640625" customWidth="1" style="138" min="55" max="68"/>
    <col width="8.6640625" customWidth="1" style="138" min="69" max="16384"/>
  </cols>
  <sheetData>
    <row r="1">
      <c r="A1" s="306" t="n"/>
      <c r="D1" s="138" t="n"/>
      <c r="E1" s="138" t="n"/>
      <c r="F1" s="138" t="n"/>
      <c r="G1" s="138" t="n"/>
      <c r="H1" s="138" t="n"/>
      <c r="I1" s="138" t="n"/>
      <c r="J1" s="138" t="n"/>
      <c r="K1" s="138" t="n"/>
    </row>
    <row r="2">
      <c r="D2" s="138" t="n"/>
      <c r="E2" s="138" t="n"/>
      <c r="F2" s="138" t="n"/>
      <c r="G2" s="138" t="n"/>
      <c r="H2" s="138" t="n"/>
      <c r="I2" s="138" t="n"/>
      <c r="J2" s="138" t="n"/>
      <c r="K2" s="138" t="n"/>
    </row>
    <row r="3">
      <c r="D3" s="138" t="n"/>
      <c r="E3" s="138" t="n"/>
      <c r="F3" s="138" t="n"/>
      <c r="G3" s="138" t="n"/>
      <c r="H3" s="138" t="n"/>
      <c r="I3" s="138" t="n"/>
      <c r="J3" s="138" t="n"/>
      <c r="K3" s="138" t="n"/>
    </row>
    <row r="4">
      <c r="D4" s="138" t="n"/>
      <c r="E4" s="138" t="n"/>
      <c r="F4" s="138" t="n"/>
      <c r="G4" s="138" t="n"/>
      <c r="H4" s="138" t="n"/>
      <c r="I4" s="138" t="n"/>
      <c r="J4" s="138" t="n"/>
      <c r="K4" s="138" t="n"/>
    </row>
    <row r="5">
      <c r="D5" s="138" t="n"/>
      <c r="E5" s="138" t="n"/>
      <c r="F5" s="138" t="n"/>
      <c r="G5" s="138" t="n"/>
      <c r="H5" s="138" t="n"/>
      <c r="I5" s="138" t="n"/>
      <c r="J5" s="138" t="n"/>
      <c r="K5" s="138" t="n"/>
    </row>
    <row r="6" ht="22.8" customHeight="1" s="184">
      <c r="D6" s="138" t="n"/>
      <c r="F6" s="176" t="n"/>
      <c r="H6" s="138" t="n"/>
      <c r="I6" s="138" t="n"/>
      <c r="J6" s="138" t="n"/>
      <c r="K6" s="138" t="n"/>
    </row>
    <row r="7" ht="19.05" customHeight="1" s="184">
      <c r="B7" s="252">
        <f>_xlfn.CONCAT(Driver!AP5,"'s Recommendation - ",B35)</f>
        <v/>
      </c>
      <c r="D7" s="138" t="n"/>
      <c r="F7" s="176" t="n"/>
      <c r="G7" s="138" t="n"/>
      <c r="H7" s="138" t="n"/>
      <c r="I7" s="138" t="n"/>
      <c r="J7" s="138" t="n"/>
      <c r="K7" s="138" t="n"/>
    </row>
    <row r="8" ht="22.8" customHeight="1" s="184">
      <c r="B8" s="176" t="inlineStr">
        <is>
          <t>Better Decisions. No research</t>
        </is>
      </c>
      <c r="D8" s="138" t="n"/>
      <c r="E8" s="138" t="n"/>
      <c r="F8" s="138" t="n"/>
      <c r="G8" s="138" t="n"/>
      <c r="H8" s="269" t="n"/>
      <c r="I8" s="138" t="n"/>
      <c r="J8" s="138" t="n"/>
      <c r="K8" s="138" t="n"/>
    </row>
    <row r="9" ht="7.5" customHeight="1" s="184">
      <c r="D9" s="138" t="n"/>
      <c r="E9" s="138" t="n"/>
      <c r="F9" s="138" t="n"/>
      <c r="G9" s="138" t="n"/>
      <c r="H9" s="269" t="n"/>
      <c r="I9" s="138" t="n"/>
      <c r="J9" s="138" t="n"/>
      <c r="K9" s="138" t="n"/>
    </row>
    <row r="10" ht="18.45" customHeight="1" s="184">
      <c r="B10" s="254" t="inlineStr">
        <is>
          <t>This is the most accurate ski recomendation in the world</t>
        </is>
      </c>
      <c r="C10" s="170" t="n"/>
      <c r="D10" s="170" t="n"/>
      <c r="E10" s="170" t="n"/>
      <c r="F10" s="170" t="n"/>
      <c r="G10" s="170" t="n"/>
      <c r="H10" s="269" t="n"/>
      <c r="I10" s="138" t="n"/>
      <c r="J10" s="138" t="n"/>
      <c r="K10" s="138" t="n"/>
    </row>
    <row r="11" ht="18.45" customHeight="1" s="184">
      <c r="B11" s="254" t="inlineStr">
        <is>
          <t>Carve analyzes 25 technical specs across 1265 skis (&gt;32,000 data points) to deliver your optimal ski from the cheapest seller</t>
        </is>
      </c>
      <c r="C11" s="170" t="n"/>
      <c r="D11" s="170" t="n"/>
      <c r="E11" s="170" t="n"/>
      <c r="F11" s="170" t="n"/>
      <c r="G11" s="170" t="n"/>
      <c r="H11" s="269" t="n"/>
      <c r="I11" s="138" t="n"/>
      <c r="J11" s="138" t="n"/>
      <c r="K11" s="138" t="n"/>
    </row>
    <row r="12" ht="13.8" customHeight="1" s="184">
      <c r="B12" s="254" t="inlineStr">
        <is>
          <t>We consider every ski on the market, 100% unbiased by brands or retailers.</t>
        </is>
      </c>
      <c r="C12" s="123" t="n"/>
      <c r="D12" s="123" t="n"/>
      <c r="E12" s="123" t="n"/>
      <c r="F12" s="123" t="n"/>
      <c r="G12" s="123" t="n"/>
      <c r="H12" s="138" t="n"/>
      <c r="I12" s="138" t="n"/>
      <c r="J12" s="56" t="n"/>
    </row>
    <row r="13" ht="11.55" customHeight="1" s="184" thickBot="1">
      <c r="D13" s="138" t="n"/>
      <c r="E13" s="138" t="n"/>
      <c r="F13" s="138" t="n"/>
      <c r="G13" s="138" t="n"/>
      <c r="H13" s="138" t="n"/>
      <c r="I13" s="138" t="n"/>
      <c r="J13" s="138" t="n"/>
      <c r="K13" s="138" t="n"/>
    </row>
    <row r="14" ht="22.8" customHeight="1" s="184">
      <c r="B14" s="270">
        <f>IF(Driver!AP5="","Your top reccomendation",_xlfn.CONCAT(TRIM(Driver!AP5),", here's your top reccomendation"))</f>
        <v/>
      </c>
      <c r="C14" s="271" t="n"/>
      <c r="D14" s="271" t="n"/>
      <c r="E14" s="272" t="n"/>
      <c r="F14" s="210" t="inlineStr">
        <is>
          <t>Your skier profile</t>
        </is>
      </c>
      <c r="G14" s="138" t="n"/>
      <c r="H14" s="138" t="n"/>
      <c r="I14" s="138" t="n"/>
      <c r="J14" s="138" t="n"/>
      <c r="K14" s="138" t="n"/>
    </row>
    <row r="15" ht="9.449999999999999" customHeight="1" s="184">
      <c r="B15" s="201" t="n"/>
      <c r="C15" s="138" t="n"/>
      <c r="D15" s="138" t="n"/>
      <c r="E15" s="143" t="n"/>
      <c r="F15" s="210" t="n"/>
      <c r="G15" s="138" t="n"/>
      <c r="H15" s="138" t="n"/>
      <c r="I15" s="138" t="n"/>
      <c r="J15" s="138" t="n"/>
      <c r="K15" s="138" t="n"/>
    </row>
    <row r="16" ht="21.45" customHeight="1" s="184">
      <c r="B16" s="208" t="inlineStr">
        <is>
          <t>Your top pick:</t>
        </is>
      </c>
      <c r="C16" s="284">
        <f>IFERROR(HYPERLINK(BM75,IF(C37="SOLD OUT",_xlfn.CONCAT(B35,", ",C37),_xlfn.CONCAT(B35,", $",C37))),_xlfn.CONCAT(B35))</f>
        <v/>
      </c>
      <c r="D16" s="138" t="n"/>
      <c r="E16" s="315" t="n"/>
      <c r="F16" s="211" t="inlineStr">
        <is>
          <t>Target properties</t>
        </is>
      </c>
      <c r="G16" s="138" t="n"/>
      <c r="H16" s="138" t="n"/>
      <c r="I16" s="138" t="n"/>
      <c r="J16" s="138" t="n"/>
      <c r="K16" s="138" t="n"/>
    </row>
    <row r="17" ht="22.95" customFormat="1" customHeight="1" s="218">
      <c r="B17" s="213" t="n"/>
      <c r="C17" s="214" t="inlineStr">
        <is>
          <t>1265 skis considered</t>
        </is>
      </c>
      <c r="D17" s="218" t="n"/>
      <c r="E17" s="216" t="n"/>
      <c r="F17" s="219" t="inlineStr">
        <is>
          <t>Performance</t>
        </is>
      </c>
      <c r="G17" s="220" t="n"/>
      <c r="H17" s="258" t="inlineStr">
        <is>
          <t>Cost</t>
        </is>
      </c>
      <c r="I17" s="259" t="inlineStr">
        <is>
          <t>Aesthetic</t>
        </is>
      </c>
      <c r="J17" s="217" t="n"/>
    </row>
    <row r="18" ht="17.4" customHeight="1" s="184">
      <c r="B18" s="142" t="n"/>
      <c r="C18" s="285">
        <f>_xlfn.CONCAT(COUNT(_xlfn.ANCHORARRAY(M75))-2," skis that fit you and your goals")</f>
        <v/>
      </c>
      <c r="D18" s="138" t="n"/>
      <c r="E18" s="143" t="n"/>
      <c r="F18" s="263" t="inlineStr">
        <is>
          <t>Speed</t>
        </is>
      </c>
      <c r="G18" s="316">
        <f>Driver!J179</f>
        <v/>
      </c>
      <c r="H18" s="302">
        <f>IF(Driver!AL5="","See prices below",_xlfn.CONCAT("Max ",TEXT(Driver!AL5,"$#,##0")))</f>
        <v/>
      </c>
      <c r="I18" s="262" t="inlineStr">
        <is>
          <t>Color</t>
        </is>
      </c>
      <c r="J18" s="260">
        <f>IF(Driver!AN5="","Performance only",Driver!AN5)</f>
        <v/>
      </c>
      <c r="K18" s="261" t="n"/>
    </row>
    <row r="19" ht="13.8" customHeight="1" s="184">
      <c r="B19" s="202" t="n"/>
      <c r="C19" s="203" t="n"/>
      <c r="D19" s="138" t="n"/>
      <c r="E19" s="143" t="n"/>
      <c r="F19" s="264" t="inlineStr">
        <is>
          <t>Manueverability</t>
        </is>
      </c>
      <c r="G19" s="316">
        <f>AVERAGE(G20:G22)</f>
        <v/>
      </c>
      <c r="H19" s="303" t="n"/>
      <c r="I19" s="262" t="inlineStr">
        <is>
          <t>Style</t>
        </is>
      </c>
      <c r="J19" s="260">
        <f>IF(Driver!AO5="","Performance only",Driver!AO5)</f>
        <v/>
      </c>
      <c r="K19" s="260" t="n"/>
    </row>
    <row r="20" ht="13.8" customHeight="1" s="184">
      <c r="B20" s="204" t="inlineStr">
        <is>
          <t>Results summary</t>
        </is>
      </c>
      <c r="C20" s="205" t="inlineStr">
        <is>
          <t>Minimum</t>
        </is>
      </c>
      <c r="D20" s="205" t="inlineStr">
        <is>
          <t>Maximum</t>
        </is>
      </c>
      <c r="E20" s="257" t="inlineStr">
        <is>
          <t>Considerations</t>
        </is>
      </c>
      <c r="F20" s="265" t="inlineStr">
        <is>
          <t>Weight</t>
        </is>
      </c>
      <c r="G20" s="316">
        <f>Driver!J181</f>
        <v/>
      </c>
      <c r="H20" s="91" t="n"/>
      <c r="I20" s="91" t="n"/>
      <c r="K20" s="138" t="n"/>
    </row>
    <row r="21" ht="13.8" customHeight="1" s="184">
      <c r="B21" s="145" t="inlineStr">
        <is>
          <t>Ski length</t>
        </is>
      </c>
      <c r="C21" s="179">
        <f>_xlfn.CONCAT(ROUND(Driver!F54,1),"cm")</f>
        <v/>
      </c>
      <c r="D21" s="179">
        <f>_xlfn.CONCAT(ROUND(Driver!G54,1),"cm")</f>
        <v/>
      </c>
      <c r="E21" s="143" t="inlineStr">
        <is>
          <t>Height, skill level</t>
        </is>
      </c>
      <c r="F21" s="265" t="inlineStr">
        <is>
          <t>Turning</t>
        </is>
      </c>
      <c r="G21" s="316">
        <f>Driver!J182</f>
        <v/>
      </c>
      <c r="H21" s="91" t="n"/>
      <c r="K21" s="138" t="n"/>
    </row>
    <row r="22" ht="13.8" customHeight="1" s="184">
      <c r="B22" s="145" t="inlineStr">
        <is>
          <t>Ski width</t>
        </is>
      </c>
      <c r="C22" s="179">
        <f>_xlfn.CONCAT(Driver!F55,"mm")</f>
        <v/>
      </c>
      <c r="D22" s="179">
        <f>_xlfn.CONCAT(Driver!G55,"mm")</f>
        <v/>
      </c>
      <c r="E22" s="143" t="inlineStr">
        <is>
          <t>Run types</t>
        </is>
      </c>
      <c r="F22" s="265" t="inlineStr">
        <is>
          <t>Braking</t>
        </is>
      </c>
      <c r="G22" s="316">
        <f>Driver!J183</f>
        <v/>
      </c>
      <c r="H22" s="91" t="n"/>
      <c r="K22" s="138" t="n"/>
    </row>
    <row r="23" ht="13.8" customHeight="1" s="184">
      <c r="B23" s="145" t="inlineStr">
        <is>
          <t>Tip height</t>
        </is>
      </c>
      <c r="C23" s="179">
        <f>_xlfn.CONCAT(Driver!F56,"mm")</f>
        <v/>
      </c>
      <c r="D23" s="179" t="inlineStr">
        <is>
          <t>-</t>
        </is>
      </c>
      <c r="E23" s="143" t="inlineStr">
        <is>
          <t>Skiing backwards</t>
        </is>
      </c>
      <c r="F23" s="212" t="n"/>
      <c r="G23" s="91" t="n"/>
      <c r="H23" s="91" t="n"/>
      <c r="K23" s="138" t="n"/>
    </row>
    <row r="24" ht="18.45" customHeight="1" s="184" thickBot="1">
      <c r="B24" s="206" t="inlineStr">
        <is>
          <t>Match % from algorithm</t>
        </is>
      </c>
      <c r="C24" s="207">
        <f>MIN(_xlfn.ANCHORARRAY($M$75))</f>
        <v/>
      </c>
      <c r="D24" s="207">
        <f>MAX(_xlfn.ANCHORARRAY($M$75))</f>
        <v/>
      </c>
      <c r="E24" s="155" t="n"/>
      <c r="K24" s="138" t="n"/>
    </row>
    <row r="25">
      <c r="E25" s="138" t="n"/>
      <c r="K25" s="138" t="n"/>
    </row>
    <row r="26" ht="22.8" customHeight="1" s="184">
      <c r="B26" s="176" t="inlineStr">
        <is>
          <t>Your recommendation lineup</t>
        </is>
      </c>
      <c r="D26" s="138" t="n"/>
      <c r="E26" s="138" t="n"/>
      <c r="F26" s="138" t="n"/>
      <c r="G26" s="138" t="n"/>
      <c r="H26" s="138" t="n"/>
      <c r="I26" s="197" t="n"/>
      <c r="J26" s="197" t="n"/>
      <c r="K26" s="138" t="n"/>
      <c r="S26" s="252" t="n"/>
      <c r="T26" s="252" t="n"/>
      <c r="U26" s="252" t="n"/>
      <c r="V26" s="252" t="n"/>
      <c r="W26" s="252" t="n"/>
      <c r="X26" s="252" t="n"/>
      <c r="Y26" s="252" t="n"/>
      <c r="Z26" s="252" t="n"/>
      <c r="AA26" s="252" t="n"/>
      <c r="AB26" s="252" t="n"/>
      <c r="AC26" s="252" t="n"/>
      <c r="AD26" s="252" t="n"/>
    </row>
    <row r="27" ht="7.95" customHeight="1" s="184">
      <c r="B27" s="176" t="n"/>
      <c r="D27" s="138" t="n"/>
      <c r="E27" s="138" t="n"/>
      <c r="F27" s="138" t="n"/>
      <c r="G27" s="138" t="n"/>
      <c r="H27" s="138" t="n"/>
      <c r="I27" s="197" t="n"/>
      <c r="S27" s="252" t="n"/>
      <c r="T27" s="252" t="n"/>
      <c r="U27" s="252" t="n"/>
      <c r="V27" s="252" t="n"/>
      <c r="W27" s="252" t="n"/>
      <c r="X27" s="252" t="n"/>
      <c r="Y27" s="252" t="n"/>
      <c r="Z27" s="252" t="n"/>
      <c r="AA27" s="252" t="n"/>
      <c r="AB27" s="252" t="n"/>
      <c r="AC27" s="252" t="n"/>
      <c r="AD27" s="252" t="n"/>
    </row>
    <row r="28" ht="16.95" customHeight="1" s="184">
      <c r="B28" s="254" t="inlineStr">
        <is>
          <t>These 6 skis are your best match based on our analysis of 1265 skis and the data you provided.</t>
        </is>
      </c>
      <c r="C28" s="253" t="n"/>
      <c r="D28" s="253" t="n"/>
      <c r="E28" s="253" t="n"/>
      <c r="F28" s="253" t="n"/>
      <c r="G28" s="253" t="n"/>
      <c r="H28" s="253" t="n"/>
      <c r="I28" s="138" t="n"/>
      <c r="J28" s="138" t="n"/>
      <c r="K28" s="138" t="n"/>
      <c r="S28" s="252" t="n"/>
      <c r="T28" s="303" t="n"/>
      <c r="U28" s="303" t="n"/>
      <c r="V28" s="303" t="n"/>
      <c r="W28" s="303" t="n"/>
      <c r="X28" s="303" t="n"/>
      <c r="Y28" s="303" t="n"/>
      <c r="Z28" s="303" t="n"/>
      <c r="AA28" s="303" t="n"/>
      <c r="AB28" s="303" t="n"/>
      <c r="AC28" s="303" t="n"/>
      <c r="AD28" s="303" t="n"/>
      <c r="AE28" s="303" t="n"/>
    </row>
    <row r="29" ht="16.95" customHeight="1" s="184">
      <c r="B29" s="254" t="inlineStr">
        <is>
          <t>Compare cost, design, and performance to make a decision or simply choose #1.</t>
        </is>
      </c>
      <c r="C29" s="253" t="n"/>
      <c r="D29" s="253" t="n"/>
      <c r="E29" s="253" t="n"/>
      <c r="F29" s="253" t="n"/>
      <c r="G29" s="253" t="n"/>
      <c r="H29" s="253" t="n"/>
      <c r="I29" s="138" t="n"/>
      <c r="J29" s="138" t="n"/>
      <c r="K29" s="138" t="n"/>
      <c r="S29" s="252" t="n"/>
      <c r="T29" s="303" t="n"/>
      <c r="U29" s="303" t="n"/>
      <c r="V29" s="303" t="n"/>
      <c r="W29" s="303" t="n"/>
      <c r="X29" s="303" t="n"/>
      <c r="Y29" s="303" t="n"/>
      <c r="Z29" s="303" t="n"/>
      <c r="AA29" s="303" t="n"/>
      <c r="AB29" s="303" t="n"/>
      <c r="AC29" s="303" t="n"/>
      <c r="AD29" s="303" t="n"/>
      <c r="AE29" s="303" t="n"/>
    </row>
    <row r="30" ht="16.95" customHeight="1" s="184">
      <c r="B30" s="254" t="inlineStr">
        <is>
          <t>Performance wise, you can't go wrong with any of these choices. We've considered everything</t>
        </is>
      </c>
      <c r="D30" s="138" t="n"/>
      <c r="E30" s="138" t="n"/>
      <c r="F30" s="138" t="n"/>
      <c r="G30" s="138" t="n"/>
      <c r="H30" s="138" t="n"/>
      <c r="I30" s="138" t="n"/>
      <c r="J30" s="138" t="n"/>
      <c r="K30" s="138" t="n"/>
      <c r="S30" s="252" t="n"/>
      <c r="T30" s="303" t="n"/>
      <c r="U30" s="303" t="n"/>
      <c r="V30" s="303" t="n"/>
      <c r="W30" s="303" t="n"/>
      <c r="X30" s="303" t="n"/>
      <c r="Y30" s="303" t="n"/>
      <c r="Z30" s="303" t="n"/>
      <c r="AA30" s="303" t="n"/>
      <c r="AB30" s="303" t="n"/>
      <c r="AC30" s="303" t="n"/>
      <c r="AD30" s="303" t="n"/>
      <c r="AE30" s="303" t="n"/>
    </row>
    <row r="31" ht="13.95" customHeight="1" s="184" thickBot="1">
      <c r="B31" s="254" t="n"/>
      <c r="D31" s="138" t="n"/>
      <c r="E31" s="138" t="n"/>
      <c r="F31" s="138" t="n"/>
      <c r="G31" s="138" t="n"/>
      <c r="H31" s="138" t="n"/>
      <c r="I31" s="138" t="n"/>
      <c r="J31" s="138" t="n"/>
      <c r="K31" s="138" t="n"/>
      <c r="Q31" s="286" t="n"/>
      <c r="R31" s="286" t="n"/>
      <c r="S31" s="252" t="n"/>
      <c r="T31" s="303" t="n"/>
      <c r="U31" s="303" t="n"/>
      <c r="V31" s="303" t="n"/>
      <c r="W31" s="303" t="n"/>
      <c r="X31" s="303" t="n"/>
      <c r="Y31" s="303" t="n"/>
      <c r="Z31" s="303" t="n"/>
      <c r="AA31" s="303" t="n"/>
      <c r="AB31" s="303" t="n"/>
      <c r="AC31" s="303" t="n"/>
      <c r="AD31" s="303" t="n"/>
      <c r="AE31" s="303" t="n"/>
    </row>
    <row r="32" ht="7.5" customFormat="1" customHeight="1" s="252" thickBot="1">
      <c r="B32" s="171">
        <f>ROW(B75)</f>
        <v/>
      </c>
      <c r="C32" s="172" t="n"/>
      <c r="D32" s="172" t="n"/>
      <c r="E32" s="172">
        <f>B32+1</f>
        <v/>
      </c>
      <c r="F32" s="172" t="n"/>
      <c r="G32" s="172" t="n"/>
      <c r="H32" s="172">
        <f>E32+1</f>
        <v/>
      </c>
      <c r="I32" s="173" t="n"/>
      <c r="K32" s="252">
        <f>H32+1</f>
        <v/>
      </c>
      <c r="N32" s="252">
        <f>K32+1</f>
        <v/>
      </c>
      <c r="Q32" s="252">
        <f>N32+1</f>
        <v/>
      </c>
      <c r="T32" s="286">
        <f>Q32+1</f>
        <v/>
      </c>
      <c r="U32" s="286" t="n"/>
      <c r="V32" s="286" t="n"/>
      <c r="W32" s="286">
        <f>T32+1</f>
        <v/>
      </c>
      <c r="X32" s="286" t="n"/>
      <c r="Y32" s="286" t="n"/>
      <c r="Z32" s="286">
        <f>W32+1</f>
        <v/>
      </c>
      <c r="AA32" s="286" t="n"/>
      <c r="AB32" s="286" t="n"/>
      <c r="AC32" s="286">
        <f>Z32+1</f>
        <v/>
      </c>
      <c r="AD32" s="286" t="n"/>
      <c r="AE32" s="286" t="n"/>
    </row>
    <row r="33" ht="17.4" customHeight="1" s="184">
      <c r="B33" s="168" t="inlineStr">
        <is>
          <t>#1 Top match, 1262 skis considered</t>
        </is>
      </c>
      <c r="C33" s="141" t="n"/>
      <c r="D33" s="135" t="n"/>
      <c r="E33" s="174" t="inlineStr">
        <is>
          <t>#2 of 1262</t>
        </is>
      </c>
      <c r="F33" s="135" t="n"/>
      <c r="G33" s="135" t="n"/>
      <c r="H33" s="174" t="inlineStr">
        <is>
          <t>#3 of 1262</t>
        </is>
      </c>
      <c r="I33" s="175" t="n"/>
      <c r="J33" s="135" t="n"/>
      <c r="K33" s="174" t="inlineStr">
        <is>
          <t>#4 of 1262</t>
        </is>
      </c>
      <c r="N33" s="174" t="inlineStr">
        <is>
          <t>#5 of 1262</t>
        </is>
      </c>
      <c r="Q33" s="174" t="inlineStr">
        <is>
          <t>#6 of 1262</t>
        </is>
      </c>
      <c r="S33" s="252" t="n"/>
      <c r="T33" s="286" t="inlineStr">
        <is>
          <t>#7 of 1262</t>
        </is>
      </c>
      <c r="U33" s="286" t="n"/>
      <c r="V33" s="286" t="n"/>
      <c r="W33" s="286" t="inlineStr">
        <is>
          <t>#8 of 1262</t>
        </is>
      </c>
      <c r="X33" s="286" t="n"/>
      <c r="Y33" s="286" t="n"/>
      <c r="Z33" s="286" t="inlineStr">
        <is>
          <t>#9 of 1262</t>
        </is>
      </c>
      <c r="AA33" s="286" t="n"/>
      <c r="AB33" s="286" t="n"/>
      <c r="AC33" s="286" t="inlineStr">
        <is>
          <t>#10 of 1262</t>
        </is>
      </c>
      <c r="AD33" s="286" t="n"/>
      <c r="AE33" s="286" t="n"/>
      <c r="AF33" s="252" t="n"/>
    </row>
    <row r="34" ht="6" customHeight="1" s="184">
      <c r="B34" s="142" t="n"/>
      <c r="C34" s="143" t="n"/>
      <c r="D34" s="138" t="n"/>
      <c r="E34" s="138" t="n"/>
      <c r="F34" s="138" t="n"/>
      <c r="G34" s="176" t="n"/>
      <c r="H34" s="246" t="n"/>
      <c r="I34" s="143" t="n"/>
      <c r="J34" s="138" t="n"/>
      <c r="K34" s="138" t="n"/>
      <c r="S34" s="252" t="n"/>
      <c r="T34" s="286" t="n"/>
      <c r="U34" s="286" t="n"/>
      <c r="V34" s="286" t="n"/>
      <c r="W34" s="286" t="n"/>
      <c r="X34" s="286" t="n"/>
      <c r="Y34" s="286" t="n"/>
      <c r="Z34" s="286" t="n"/>
      <c r="AA34" s="286" t="n"/>
      <c r="AB34" s="286" t="n"/>
      <c r="AC34" s="286" t="n"/>
      <c r="AD34" s="286" t="n"/>
      <c r="AE34" s="286" t="n"/>
      <c r="AF34" s="252" t="n"/>
    </row>
    <row r="35" ht="19.5" customFormat="1" customHeight="1" s="225">
      <c r="B35" s="221">
        <f>_xlfn.CONCAT("2022 ",INDIRECT(_xlfn.CONCAT($E71,B$32))," ",INDIRECT(_xlfn.CONCAT($F71,B32))," ",INDIRECT(_xlfn.CONCAT($H71,B32))," cm")</f>
        <v/>
      </c>
      <c r="C35" s="222" t="n"/>
      <c r="D35" s="225" t="n"/>
      <c r="E35" s="224">
        <f>_xlfn.CONCAT("2022 ",INDIRECT(_xlfn.CONCAT($E71,E$32))," ",INDIRECT(_xlfn.CONCAT($F71,E32))," ",INDIRECT(_xlfn.CONCAT($H71,E32))," cm")</f>
        <v/>
      </c>
      <c r="F35" s="225" t="n"/>
      <c r="G35" s="225" t="n"/>
      <c r="H35" s="224">
        <f>_xlfn.CONCAT("2022 ",INDIRECT(_xlfn.CONCAT($E71,H$32))," ",INDIRECT(_xlfn.CONCAT($F71,H32))," ",INDIRECT(_xlfn.CONCAT($H71,H32))," cm")</f>
        <v/>
      </c>
      <c r="I35" s="222" t="n"/>
      <c r="K35" s="224">
        <f>_xlfn.CONCAT("2022 ",INDIRECT(_xlfn.CONCAT($E71,K$32))," ",INDIRECT(_xlfn.CONCAT($F71,K32))," ",INDIRECT(_xlfn.CONCAT($H71,K32))," cm")</f>
        <v/>
      </c>
      <c r="L35" s="225" t="n"/>
      <c r="N35" s="224">
        <f>_xlfn.CONCAT("2022",INDIRECT(_xlfn.CONCAT($E71,N$32))," ",INDIRECT(_xlfn.CONCAT($F71,N32))," ",INDIRECT(_xlfn.CONCAT($H71,N32))," cm")</f>
        <v/>
      </c>
      <c r="O35" s="225" t="n"/>
      <c r="Q35" s="224">
        <f>_xlfn.CONCAT("2022",INDIRECT(_xlfn.CONCAT($E71,Q$32))," ",INDIRECT(_xlfn.CONCAT($F71,Q32))," ",INDIRECT(_xlfn.CONCAT($H71,Q32))," cm")</f>
        <v/>
      </c>
      <c r="R35" s="225" t="n"/>
      <c r="S35" s="226" t="n"/>
      <c r="T35" s="227">
        <f>_xlfn.CONCAT("2022 ",INDIRECT(_xlfn.CONCAT("D",T32))," ",INDIRECT(_xlfn.CONCAT("E",T32))," ",INDIRECT(_xlfn.CONCAT("G",T32))," cm")</f>
        <v/>
      </c>
      <c r="U35" s="227" t="n"/>
      <c r="V35" s="227" t="n"/>
      <c r="W35" s="227">
        <f>_xlfn.CONCAT("2022 ",INDIRECT(_xlfn.CONCAT("D",W32))," ",INDIRECT(_xlfn.CONCAT("E",W32))," ",INDIRECT(_xlfn.CONCAT("G",W32))," cm")</f>
        <v/>
      </c>
      <c r="X35" s="227" t="n"/>
      <c r="Y35" s="227" t="n"/>
      <c r="Z35" s="227">
        <f>_xlfn.CONCAT("2022 ",INDIRECT(_xlfn.CONCAT("D",Z32))," ",INDIRECT(_xlfn.CONCAT("E",Z32))," ",INDIRECT(_xlfn.CONCAT("G",Z32))," cm")</f>
        <v/>
      </c>
      <c r="AA35" s="227" t="n"/>
      <c r="AB35" s="227" t="n"/>
      <c r="AC35" s="227">
        <f>_xlfn.CONCAT("2022 ",INDIRECT(_xlfn.CONCAT("D",AC32))," ",INDIRECT(_xlfn.CONCAT("E",AC32))," ",INDIRECT(_xlfn.CONCAT("G",AC32))," cm")</f>
        <v/>
      </c>
      <c r="AD35" s="227" t="n"/>
      <c r="AE35" s="227" t="n"/>
      <c r="AF35" s="226" t="n"/>
    </row>
    <row r="36" ht="19.5" customFormat="1" customHeight="1" s="233">
      <c r="B36" s="231">
        <f t="array" aca="1" ref="B36" ca="1">RIGHT(INDIRECT(_xlfn.CONCAT($G71,B$32)),LEN(INDIRECT(_xlfn.CONCAT($G71,B$32)))-1)</f>
        <v/>
      </c>
      <c r="C36" s="279" t="n"/>
      <c r="D36" s="233" t="n"/>
      <c r="E36" s="254">
        <f t="array" aca="1" ref="E36" ca="1">RIGHT(INDIRECT(_xlfn.CONCAT($G71,E$32)),LEN(INDIRECT(_xlfn.CONCAT($G71,E$32)))-1)</f>
        <v/>
      </c>
      <c r="F36" s="233" t="n"/>
      <c r="G36" s="233" t="n"/>
      <c r="H36" s="254">
        <f t="array" aca="1" ref="H36" ca="1">RIGHT(INDIRECT(_xlfn.CONCAT($G71,H$32)),LEN(INDIRECT(_xlfn.CONCAT($G71,H$32)))-1)</f>
        <v/>
      </c>
      <c r="I36" s="232" t="n"/>
      <c r="K36" s="254">
        <f t="array" aca="1" ref="K36" ca="1">RIGHT(INDIRECT(_xlfn.CONCAT($G71,K$32)),LEN(INDIRECT(_xlfn.CONCAT($G71,K$32)))-1)</f>
        <v/>
      </c>
      <c r="L36" s="233" t="n"/>
      <c r="N36" s="254">
        <f t="array" aca="1" ref="N36" ca="1">RIGHT(INDIRECT(_xlfn.CONCAT($G71,N$32)),LEN(INDIRECT(_xlfn.CONCAT($G71,N$32)))-1)</f>
        <v/>
      </c>
      <c r="O36" s="233" t="n"/>
      <c r="Q36" s="254">
        <f t="array" aca="1" ref="Q36" ca="1">RIGHT(INDIRECT(_xlfn.CONCAT($G71,Q$32)),LEN(INDIRECT(_xlfn.CONCAT($G71,Q$32)))-1)</f>
        <v/>
      </c>
      <c r="R36" s="233" t="n"/>
      <c r="S36" s="235" t="n"/>
      <c r="T36" s="236">
        <f t="array" aca="1" ref="T36" ca="1">RIGHT(INDIRECT(_xlfn.CONCAT("F",T32)),LEN(INDIRECT(_xlfn.CONCAT("F",T32)))-1)</f>
        <v/>
      </c>
      <c r="U36" s="236" t="n"/>
      <c r="V36" s="236" t="n"/>
      <c r="W36" s="236">
        <f t="array" aca="1" ref="W36" ca="1">RIGHT(INDIRECT(_xlfn.CONCAT("F",W32)),LEN(INDIRECT(_xlfn.CONCAT("F",W32)))-1)</f>
        <v/>
      </c>
      <c r="X36" s="236" t="n"/>
      <c r="Y36" s="236" t="n"/>
      <c r="Z36" s="236">
        <f t="array" aca="1" ref="Z36" ca="1">RIGHT(INDIRECT(_xlfn.CONCAT("F",Z32)),LEN(INDIRECT(_xlfn.CONCAT("F",Z32)))-1)</f>
        <v/>
      </c>
      <c r="AA36" s="236" t="n"/>
      <c r="AB36" s="236" t="n"/>
      <c r="AC36" s="236">
        <f t="array" aca="1" ref="AC36" ca="1">RIGHT(INDIRECT(_xlfn.CONCAT("F",AC32)),LEN(INDIRECT(_xlfn.CONCAT("F",AC32)))-1)</f>
        <v/>
      </c>
      <c r="AD36" s="236" t="n"/>
      <c r="AE36" s="236" t="n"/>
      <c r="AF36" s="235" t="n"/>
    </row>
    <row r="37" ht="19.5" customFormat="1" customHeight="1" s="229">
      <c r="B37" s="144" t="inlineStr">
        <is>
          <t>Cost</t>
        </is>
      </c>
      <c r="C37" s="317">
        <f>IF(C38="","SOLD OUT",C38)</f>
        <v/>
      </c>
      <c r="D37" s="229" t="n"/>
      <c r="E37" s="134" t="inlineStr">
        <is>
          <t>Cost</t>
        </is>
      </c>
      <c r="F37" s="318">
        <f>IF(F38="","SOLD OUT",F38)</f>
        <v/>
      </c>
      <c r="G37" s="229" t="n"/>
      <c r="H37" s="134" t="inlineStr">
        <is>
          <t>Cost</t>
        </is>
      </c>
      <c r="I37" s="317">
        <f>IF(I38="","SOLD OUT",I38)</f>
        <v/>
      </c>
      <c r="K37" s="134" t="inlineStr">
        <is>
          <t>Cost</t>
        </is>
      </c>
      <c r="L37" s="318">
        <f>IF(L38="","SOLD OUT",L38)</f>
        <v/>
      </c>
      <c r="N37" s="134" t="inlineStr">
        <is>
          <t>Cost</t>
        </is>
      </c>
      <c r="O37" s="318">
        <f>IF(O38="","SOLD OUT",O38)</f>
        <v/>
      </c>
      <c r="Q37" s="134" t="inlineStr">
        <is>
          <t>Cost</t>
        </is>
      </c>
      <c r="R37" s="318">
        <f>IF(R38="","SOLD OUT",R38)</f>
        <v/>
      </c>
      <c r="S37" s="266" t="n"/>
      <c r="T37" s="266" t="inlineStr">
        <is>
          <t>Cost</t>
        </is>
      </c>
      <c r="U37" s="266">
        <f t="array" aca="1" ref="U37" ca="1">INDIRECT(_xlfn.CONCAT("I",T32))</f>
        <v/>
      </c>
      <c r="V37" s="266" t="n"/>
      <c r="W37" s="266" t="inlineStr">
        <is>
          <t>Cost</t>
        </is>
      </c>
      <c r="X37" s="266">
        <f t="array" aca="1" ref="X37" ca="1">INDIRECT(_xlfn.CONCAT("I",W32))</f>
        <v/>
      </c>
      <c r="Y37" s="266" t="n"/>
      <c r="Z37" s="266" t="inlineStr">
        <is>
          <t>Cost</t>
        </is>
      </c>
      <c r="AA37" s="266">
        <f t="array" aca="1" ref="AA37" ca="1">INDIRECT(_xlfn.CONCAT("I",Z32))</f>
        <v/>
      </c>
      <c r="AB37" s="266" t="n"/>
      <c r="AC37" s="266" t="inlineStr">
        <is>
          <t>Cost</t>
        </is>
      </c>
      <c r="AD37" s="266">
        <f t="array" aca="1" ref="AD37" ca="1">INDIRECT(_xlfn.CONCAT("I",AC32))</f>
        <v/>
      </c>
      <c r="AE37" s="266" t="n"/>
      <c r="AF37" s="266" t="n"/>
    </row>
    <row r="38" ht="19.5" customHeight="1" s="184">
      <c r="B38" s="194">
        <f t="array" aca="1" ref="B38" ca="1">IFERROR(HYPERLINK(INDIRECT(_xlfn.CONCAT($BM71,B$32)),INDIRECT(_xlfn.CONCAT($BB71,B$32))),"")</f>
        <v/>
      </c>
      <c r="C38" s="319">
        <f t="array" aca="1" ref="C38" ca="1">IFERROR(INDIRECT(_xlfn.CONCAT($BC71,B$32)),"")</f>
        <v/>
      </c>
      <c r="D38" s="266" t="inlineStr">
        <is>
          <t>https://4frnt.com/products/switch</t>
        </is>
      </c>
      <c r="E38" s="197">
        <f t="array" aca="1" ref="E38" ca="1">IFERROR(HYPERLINK(INDIRECT(_xlfn.CONCAT($BM71,E$32)),INDIRECT(_xlfn.CONCAT($BB71,E$32))),"")</f>
        <v/>
      </c>
      <c r="F38" s="320">
        <f t="array" aca="1" ref="F38" ca="1">IFERROR(INDIRECT(_xlfn.CONCAT($BC71,E$32)),"")</f>
        <v/>
      </c>
      <c r="G38" s="252" t="n"/>
      <c r="H38" s="197">
        <f t="array" aca="1" ref="H38" ca="1">IFERROR(HYPERLINK(INDIRECT(_xlfn.CONCAT($BM71,H$32)),INDIRECT(_xlfn.CONCAT($BB71,H$32))),"")</f>
        <v/>
      </c>
      <c r="I38" s="319">
        <f t="array" aca="1" ref="I38" ca="1">IFERROR(INDIRECT(_xlfn.CONCAT($BC71,H$32)),"")</f>
        <v/>
      </c>
      <c r="J38" s="252" t="n"/>
      <c r="K38" s="197">
        <f t="array" aca="1" ref="K38" ca="1">IFERROR(HYPERLINK(INDIRECT(_xlfn.CONCAT($BM71,K$32)),INDIRECT(_xlfn.CONCAT($BB71,K$32))),"")</f>
        <v/>
      </c>
      <c r="L38" s="320">
        <f t="array" aca="1" ref="L38" ca="1">IFERROR(INDIRECT(_xlfn.CONCAT($BC71,K$32)),"")</f>
        <v/>
      </c>
      <c r="M38" s="266" t="inlineStr">
        <is>
          <t>https://www.google.com/aclk?sa=l&amp;ai=DChcSEwiq2YOklI_2AhUWisgKHYQbCIIYABANGgJxdQ&amp;sig=AOD64_0jdFLjn0D_zeFuvToA-oeNEtGb_Q&amp;ctype=5&amp;q=&amp;ved=2ahUKEwjs8fmjlI_2AhUJTN8KHV-4Df0Q9aACegQIAhB5&amp;adurl=</t>
        </is>
      </c>
      <c r="N38" s="197">
        <f t="array" aca="1" ref="N38" ca="1">IFERROR(HYPERLINK(INDIRECT(_xlfn.CONCAT($BM71,N$32)),INDIRECT(_xlfn.CONCAT($BB71,N$32))),"")</f>
        <v/>
      </c>
      <c r="O38" s="320">
        <f t="array" aca="1" ref="O38" ca="1">IFERROR(INDIRECT(_xlfn.CONCAT($BC71,N$32)),"")</f>
        <v/>
      </c>
      <c r="P38" s="303" t="n"/>
      <c r="Q38" s="197">
        <f t="array" aca="1" ref="Q38" ca="1">IFERROR(HYPERLINK(INDIRECT(_xlfn.CONCAT($BM71,Q$32)),INDIRECT(_xlfn.CONCAT($BB71,Q$32))),"")</f>
        <v/>
      </c>
      <c r="R38" s="320">
        <f t="array" aca="1" ref="R38" ca="1">IFERROR(INDIRECT(_xlfn.CONCAT($BC71,Q$32)),"")</f>
        <v/>
      </c>
      <c r="S38" s="252" t="n"/>
      <c r="T38" s="252" t="n"/>
      <c r="U38" s="252" t="n"/>
      <c r="V38" s="252" t="n"/>
      <c r="W38" s="252" t="n"/>
      <c r="X38" s="252" t="n"/>
      <c r="Y38" s="252" t="n"/>
      <c r="Z38" s="252" t="n"/>
      <c r="AA38" s="252" t="n"/>
      <c r="AB38" s="252" t="n"/>
      <c r="AC38" s="252" t="n"/>
      <c r="AD38" s="252" t="n"/>
      <c r="AE38" s="252" t="n"/>
      <c r="AF38" s="252" t="n"/>
    </row>
    <row r="39" ht="19.5" customHeight="1" s="184">
      <c r="B39" s="194">
        <f t="array" aca="1" ref="B39" ca="1">IFERROR(HYPERLINK(INDIRECT(_xlfn.CONCAT($BN71,B$32)),INDIRECT(_xlfn.CONCAT($BF71,B$32))),"")</f>
        <v/>
      </c>
      <c r="C39" s="319">
        <f t="array" aca="1" ref="C39" ca="1">IFERROR(INDIRECT(_xlfn.CONCAT($BG71,B$32)),"")</f>
        <v/>
      </c>
      <c r="D39" s="252" t="inlineStr">
        <is>
          <t>https://www.google.com/aclk?sa=l&amp;ai=DChcSEwjGit2XtI_2AhWKhMgKHXhbCq8YABALGgJxdQ&amp;ae=2&amp;sig=AOD64_359iNAfLukfFKjQxohTLeDj1ayqg&amp;ctype=5&amp;q=&amp;ved=2ahUKEwif2tSXtI_2AhVMTt8KHYEKBrwQ9aACegQIARBN&amp;adurl=</t>
        </is>
      </c>
      <c r="E39" s="197">
        <f t="array" aca="1" ref="E39" ca="1">IFERROR(HYPERLINK(INDIRECT(_xlfn.CONCAT($BN71,E$32)),INDIRECT(_xlfn.CONCAT($BF71,E$32))),"")</f>
        <v/>
      </c>
      <c r="F39" s="320">
        <f t="array" aca="1" ref="F39" ca="1">IFERROR(INDIRECT(_xlfn.CONCAT($BG71,E$32)),"")</f>
        <v/>
      </c>
      <c r="G39" s="252" t="n"/>
      <c r="H39" s="197">
        <f t="array" aca="1" ref="H39" ca="1">IFERROR(HYPERLINK(INDIRECT(_xlfn.CONCAT($BN71,H$32)),INDIRECT(_xlfn.CONCAT($BF71,H$32))),"")</f>
        <v/>
      </c>
      <c r="I39" s="319">
        <f t="array" aca="1" ref="I39" ca="1">IFERROR(INDIRECT(_xlfn.CONCAT($BG71,H$32)),"")</f>
        <v/>
      </c>
      <c r="J39" s="268" t="inlineStr">
        <is>
          <t>https://tinyurl.com/34auzhph</t>
        </is>
      </c>
      <c r="K39" s="197">
        <f t="array" aca="1" ref="K39" ca="1">IFERROR(HYPERLINK(INDIRECT(_xlfn.CONCAT($BN71,K$32)),INDIRECT(_xlfn.CONCAT($BF71,K$32))),"")</f>
        <v/>
      </c>
      <c r="L39" s="320">
        <f t="array" aca="1" ref="L39" ca="1">IFERROR(INDIRECT(_xlfn.CONCAT($BG71,K$32)),"")</f>
        <v/>
      </c>
      <c r="M39" s="252" t="n"/>
      <c r="N39" s="197">
        <f t="array" aca="1" ref="N39" ca="1">IFERROR(HYPERLINK(INDIRECT(_xlfn.CONCAT($BN71,N$32)),INDIRECT(_xlfn.CONCAT($BF71,N$32))),"")</f>
        <v/>
      </c>
      <c r="O39" s="320">
        <f t="array" aca="1" ref="O39" ca="1">IFERROR(INDIRECT(_xlfn.CONCAT($BG71,N$32)),"")</f>
        <v/>
      </c>
      <c r="P39" s="252" t="n"/>
      <c r="Q39" s="197">
        <f t="array" aca="1" ref="Q39" ca="1">IFERROR(HYPERLINK(INDIRECT(_xlfn.CONCAT($BN71,Q$32)),INDIRECT(_xlfn.CONCAT($BF71,Q$32))),"")</f>
        <v/>
      </c>
      <c r="R39" s="320">
        <f t="array" aca="1" ref="R39" ca="1">IFERROR(INDIRECT(_xlfn.CONCAT($BG71,Q$32)),"")</f>
        <v/>
      </c>
      <c r="S39" s="252" t="n"/>
      <c r="T39" s="252" t="n"/>
      <c r="U39" s="252" t="n"/>
      <c r="V39" s="252" t="n"/>
      <c r="W39" s="252" t="n"/>
      <c r="X39" s="252" t="n"/>
      <c r="Y39" s="252" t="n"/>
      <c r="Z39" s="252" t="n"/>
      <c r="AA39" s="252" t="n"/>
      <c r="AB39" s="252" t="n"/>
      <c r="AC39" s="252" t="n"/>
      <c r="AD39" s="252" t="n"/>
      <c r="AE39" s="252" t="n"/>
      <c r="AF39" s="252" t="n"/>
    </row>
    <row r="40" ht="19.5" customHeight="1" s="184">
      <c r="B40" s="194">
        <f t="array" aca="1" ref="B40" ca="1">IFERROR(HYPERLINK(INDIRECT(_xlfn.CONCAT($BO71,B$32)),INDIRECT(_xlfn.CONCAT($BJ71,B$32))),"")</f>
        <v/>
      </c>
      <c r="C40" s="319">
        <f t="array" aca="1" ref="C40" ca="1">IFERROR(INDIRECT(_xlfn.CONCAT($BK71,B$32)),"")</f>
        <v/>
      </c>
      <c r="D40" s="252" t="inlineStr">
        <is>
          <t>https://www.google.com/aclk?sa=l&amp;ai=DChcSEwjGit2XtI_2AhWKhMgKHXhbCq8YABAJGgJxdQ&amp;ae=2&amp;sig=AOD64_12f62iETyfXbYKvRYy_B8loRVtHA&amp;ctype=5&amp;q=&amp;ved=2ahUKEwif2tSXtI_2AhVMTt8KHYEKBrwQ9aACegQIARBk&amp;adurl=</t>
        </is>
      </c>
      <c r="E40" s="197">
        <f t="array" aca="1" ref="E40" ca="1">IFERROR(HYPERLINK(INDIRECT(_xlfn.CONCAT($BO71,E$32)),INDIRECT(_xlfn.CONCAT($BJ71,E$32))),"")</f>
        <v/>
      </c>
      <c r="F40" s="320">
        <f t="array" aca="1" ref="F40" ca="1">IFERROR(INDIRECT(_xlfn.CONCAT($BK71,E$32)),"")</f>
        <v/>
      </c>
      <c r="G40" s="252" t="inlineStr">
        <is>
          <t>https://www.google.com/aclk?sa=l&amp;ai=DChcSEwjQzeqQppf2AhXRPq0GHdVBDw8YABANGgJwdg&amp;ae=2&amp;sig=AOD64_3E7NJLF7HCPsIvjTz4jRbAEfQsoA&amp;ctype=5&amp;q=&amp;ved=2ahUKEwj12tyQppf2AhXLJUQIHWaRCfQQ9aACegQIARBg&amp;adurl=</t>
        </is>
      </c>
      <c r="H40" s="197">
        <f t="array" aca="1" ref="H40" ca="1">IFERROR(HYPERLINK(INDIRECT(_xlfn.CONCAT($BO71,H$32)),INDIRECT(_xlfn.CONCAT($BJ71,H$32))),"")</f>
        <v/>
      </c>
      <c r="I40" s="319">
        <f t="array" aca="1" ref="I40" ca="1">IFERROR(INDIRECT(_xlfn.CONCAT($BK71,H$32)),"")</f>
        <v/>
      </c>
      <c r="J40" s="268" t="inlineStr">
        <is>
          <t>https://tinyurl.com/sjhhazts</t>
        </is>
      </c>
      <c r="K40" s="197">
        <f t="array" aca="1" ref="K40" ca="1">IFERROR(HYPERLINK(INDIRECT(_xlfn.CONCAT($BO71,K$32)),INDIRECT(_xlfn.CONCAT($BJ71,K$32))),"")</f>
        <v/>
      </c>
      <c r="L40" s="320">
        <f t="array" aca="1" ref="L40" ca="1">IFERROR(INDIRECT(_xlfn.CONCAT($BK71,K$32)),"")</f>
        <v/>
      </c>
      <c r="M40" s="252" t="n"/>
      <c r="N40" s="197">
        <f t="array" aca="1" ref="N40" ca="1">IFERROR(HYPERLINK(INDIRECT(_xlfn.CONCAT($BO71,N$32)),INDIRECT(_xlfn.CONCAT($BJ71,N$32))),"")</f>
        <v/>
      </c>
      <c r="O40" s="320">
        <f t="array" aca="1" ref="O40" ca="1">IFERROR(INDIRECT(_xlfn.CONCAT($BK71,N$32)),"")</f>
        <v/>
      </c>
      <c r="P40" s="252" t="inlineStr">
        <is>
          <t>https://www.google.com/aclk?sa=l&amp;ai=DChcSEwjJq934qJf2AhXOIK0GHUlFAzYYABAOGgJwdg&amp;ae=2&amp;sig=AOD64_2GkJn42TrNRWJxa2cAuB7V0OIy7w&amp;ctype=5&amp;q=&amp;ved=2ahUKEwjr3c34qJf2AhUAJEQIHQJ3C2sQ9aACegQIARBP&amp;adurl=</t>
        </is>
      </c>
      <c r="Q40" s="197">
        <f t="array" aca="1" ref="Q40" ca="1">IFERROR(HYPERLINK(INDIRECT(_xlfn.CONCAT($BO71,Q$32)),INDIRECT(_xlfn.CONCAT($BJ71,Q$32))),"")</f>
        <v/>
      </c>
      <c r="R40" s="320">
        <f t="array" aca="1" ref="R40" ca="1">IFERROR(INDIRECT(_xlfn.CONCAT($BK71,Q$32)),"")</f>
        <v/>
      </c>
      <c r="S40" s="252" t="n"/>
      <c r="T40" s="252" t="n"/>
      <c r="U40" s="252" t="n"/>
      <c r="V40" s="252" t="n"/>
      <c r="W40" s="252" t="n"/>
      <c r="X40" s="252" t="n"/>
      <c r="Y40" s="252" t="n"/>
      <c r="Z40" s="252" t="n"/>
      <c r="AA40" s="252" t="n"/>
      <c r="AB40" s="252" t="n"/>
      <c r="AC40" s="252" t="n"/>
      <c r="AD40" s="252" t="n"/>
      <c r="AE40" s="252" t="n"/>
      <c r="AF40" s="252" t="n"/>
    </row>
    <row r="41" ht="19.5" customFormat="1" customHeight="1" s="229">
      <c r="B41" s="144" t="inlineStr">
        <is>
          <t>Match scores (Performance)</t>
        </is>
      </c>
      <c r="C41" s="321" t="n"/>
      <c r="D41" s="229" t="n"/>
      <c r="E41" s="256" t="inlineStr">
        <is>
          <t>Match Scores</t>
        </is>
      </c>
      <c r="F41" s="322" t="n"/>
      <c r="G41" s="229" t="n"/>
      <c r="H41" s="256" t="inlineStr">
        <is>
          <t>Match Scores</t>
        </is>
      </c>
      <c r="I41" s="321" t="n"/>
      <c r="K41" s="256" t="inlineStr">
        <is>
          <t>Match Scores</t>
        </is>
      </c>
      <c r="L41" s="323" t="n"/>
      <c r="N41" s="256" t="inlineStr">
        <is>
          <t>Match Scores</t>
        </is>
      </c>
      <c r="O41" s="323" t="inlineStr">
        <is>
          <t>ft</t>
        </is>
      </c>
      <c r="Q41" s="256" t="inlineStr">
        <is>
          <t>Match Scores</t>
        </is>
      </c>
      <c r="R41" s="323" t="n"/>
      <c r="S41" s="266" t="n"/>
      <c r="T41" s="266" t="n"/>
      <c r="U41" s="266" t="n"/>
      <c r="V41" s="266" t="n"/>
      <c r="W41" s="266" t="n"/>
      <c r="X41" s="266" t="n"/>
      <c r="Y41" s="266" t="n"/>
      <c r="Z41" s="266" t="n"/>
      <c r="AA41" s="266" t="n"/>
      <c r="AB41" s="266" t="n"/>
      <c r="AC41" s="266" t="n"/>
      <c r="AD41" s="266" t="n"/>
      <c r="AE41" s="266" t="n"/>
      <c r="AF41" s="266" t="n"/>
    </row>
    <row r="42" ht="19.5" customHeight="1" s="184">
      <c r="B42" s="146" t="inlineStr">
        <is>
          <t>Overall</t>
        </is>
      </c>
      <c r="C42" s="147">
        <f t="array" aca="1" ref="C42:C47" ca="1">TRANSPOSE(INDIRECT(_xlfn.CONCAT($M$71,B$32,":",$R$71,B$32)))</f>
        <v/>
      </c>
      <c r="D42" s="138" t="n"/>
      <c r="E42" s="121" t="inlineStr">
        <is>
          <t>Overall</t>
        </is>
      </c>
      <c r="F42" s="147">
        <f t="array" aca="1" ref="F42:F47" ca="1">TRANSPOSE(INDIRECT(_xlfn.CONCAT($M$71,E$32,":",$R$71,E$32)))</f>
        <v/>
      </c>
      <c r="G42" s="303" t="n"/>
      <c r="H42" s="121" t="inlineStr">
        <is>
          <t>Overall</t>
        </is>
      </c>
      <c r="I42" s="147">
        <f t="array" aca="1" ref="I42:I47" ca="1">TRANSPOSE(INDIRECT(_xlfn.CONCAT($M$71,H$32,":",$R$71,H$32)))</f>
        <v/>
      </c>
      <c r="J42" s="138" t="n"/>
      <c r="K42" s="121" t="inlineStr">
        <is>
          <t>Overall</t>
        </is>
      </c>
      <c r="L42" s="147">
        <f t="array" aca="1" ref="L42:L47" ca="1">TRANSPOSE(INDIRECT(_xlfn.CONCAT($M$71,K$32,":",$R$71,K$32)))</f>
        <v/>
      </c>
      <c r="N42" s="121" t="inlineStr">
        <is>
          <t>Overall</t>
        </is>
      </c>
      <c r="O42" s="147">
        <f t="array" aca="1" ref="O42:O47" ca="1">TRANSPOSE(INDIRECT(_xlfn.CONCAT($M$71,N$32,":",$R$71,N$32)))</f>
        <v/>
      </c>
      <c r="Q42" s="121" t="inlineStr">
        <is>
          <t>Overall</t>
        </is>
      </c>
      <c r="R42" s="147">
        <f t="array" aca="1" ref="R42:R47" ca="1">TRANSPOSE(INDIRECT(_xlfn.CONCAT($M$71,Q$32,":",$R$71,Q$32)))</f>
        <v/>
      </c>
      <c r="S42" s="252" t="n"/>
      <c r="T42" s="286" t="inlineStr">
        <is>
          <t>Overall match</t>
        </is>
      </c>
      <c r="U42" s="286">
        <f t="array" ref="U42:U47">TRANSPOSE($M82:$R82)</f>
        <v/>
      </c>
      <c r="V42" s="286" t="n"/>
      <c r="W42" s="286" t="inlineStr">
        <is>
          <t>Overall match</t>
        </is>
      </c>
      <c r="X42" s="286">
        <f t="array" ref="X42:X47">TRANSPOSE($M83:$R83)</f>
        <v/>
      </c>
      <c r="Y42" s="286" t="n"/>
      <c r="Z42" s="286" t="inlineStr">
        <is>
          <t>Overall match</t>
        </is>
      </c>
      <c r="AA42" s="286">
        <f t="array" ref="AA42:AA47">TRANSPOSE($M84:$R84)</f>
        <v/>
      </c>
      <c r="AB42" s="286" t="n"/>
      <c r="AC42" s="286" t="inlineStr">
        <is>
          <t>Overall match</t>
        </is>
      </c>
      <c r="AD42" s="286">
        <f t="array" ref="AD42:AD47">TRANSPOSE($M85:$R85)</f>
        <v/>
      </c>
      <c r="AE42" s="286" t="n"/>
      <c r="AF42" s="252" t="n"/>
    </row>
    <row r="43" ht="19.5" customHeight="1" s="184">
      <c r="B43" s="145" t="inlineStr">
        <is>
          <t>Speed</t>
        </is>
      </c>
      <c r="C43" s="148">
        <f/>
        <v/>
      </c>
      <c r="D43" s="138" t="n"/>
      <c r="E43" s="158" t="inlineStr">
        <is>
          <t>Speed</t>
        </is>
      </c>
      <c r="F43" s="178">
        <f/>
        <v/>
      </c>
      <c r="G43" s="138" t="n"/>
      <c r="H43" s="158" t="inlineStr">
        <is>
          <t>Speed</t>
        </is>
      </c>
      <c r="I43" s="148">
        <f/>
        <v/>
      </c>
      <c r="J43" s="138" t="n"/>
      <c r="K43" s="158" t="inlineStr">
        <is>
          <t>Speed</t>
        </is>
      </c>
      <c r="L43" s="178">
        <f/>
        <v/>
      </c>
      <c r="N43" s="158" t="inlineStr">
        <is>
          <t>Speed</t>
        </is>
      </c>
      <c r="O43" s="178">
        <f/>
        <v/>
      </c>
      <c r="Q43" s="158" t="inlineStr">
        <is>
          <t>Speed</t>
        </is>
      </c>
      <c r="R43" s="178">
        <f/>
        <v/>
      </c>
      <c r="S43" s="252" t="n"/>
      <c r="T43" s="286" t="inlineStr">
        <is>
          <t>Speed</t>
        </is>
      </c>
      <c r="U43" s="286" t="n">
        <v>0.9367408892491007</v>
      </c>
      <c r="V43" s="286" t="n"/>
      <c r="W43" s="286" t="inlineStr">
        <is>
          <t>Speed</t>
        </is>
      </c>
      <c r="X43" s="286" t="n">
        <v>0.9414316995833867</v>
      </c>
      <c r="Y43" s="286" t="n"/>
      <c r="Z43" s="286" t="inlineStr">
        <is>
          <t>Speed</t>
        </is>
      </c>
      <c r="AA43" s="286" t="n">
        <v>0.948199889092693</v>
      </c>
      <c r="AB43" s="286" t="n"/>
      <c r="AC43" s="286" t="inlineStr">
        <is>
          <t>Speed</t>
        </is>
      </c>
      <c r="AD43" s="286" t="n">
        <v>0.9420762890604635</v>
      </c>
      <c r="AE43" s="286" t="n"/>
      <c r="AF43" s="252" t="n"/>
    </row>
    <row r="44" ht="19.5" customHeight="1" s="184">
      <c r="B44" s="145" t="inlineStr">
        <is>
          <t>Manueverability</t>
        </is>
      </c>
      <c r="C44" s="148">
        <f/>
        <v/>
      </c>
      <c r="D44" s="138" t="n"/>
      <c r="E44" s="158" t="inlineStr">
        <is>
          <t>Manueverability</t>
        </is>
      </c>
      <c r="F44" s="178">
        <f/>
        <v/>
      </c>
      <c r="G44" s="138" t="n"/>
      <c r="H44" s="158" t="inlineStr">
        <is>
          <t>Manueverability</t>
        </is>
      </c>
      <c r="I44" s="148">
        <f/>
        <v/>
      </c>
      <c r="J44" s="138" t="n"/>
      <c r="K44" s="158" t="inlineStr">
        <is>
          <t>Manueverability</t>
        </is>
      </c>
      <c r="L44" s="178">
        <f/>
        <v/>
      </c>
      <c r="N44" s="158" t="inlineStr">
        <is>
          <t>Manueverability</t>
        </is>
      </c>
      <c r="O44" s="178">
        <f/>
        <v/>
      </c>
      <c r="Q44" s="158" t="inlineStr">
        <is>
          <t>Manueverability</t>
        </is>
      </c>
      <c r="R44" s="178">
        <f/>
        <v/>
      </c>
      <c r="S44" s="252" t="n"/>
      <c r="T44" s="286" t="inlineStr">
        <is>
          <t>Manueverability</t>
        </is>
      </c>
      <c r="U44" s="286" t="n">
        <v>0.9023194412692577</v>
      </c>
      <c r="V44" s="286" t="n"/>
      <c r="W44" s="286" t="inlineStr">
        <is>
          <t>Manueverability</t>
        </is>
      </c>
      <c r="X44" s="286" t="n">
        <v>0.8923309137791404</v>
      </c>
      <c r="Y44" s="286" t="n"/>
      <c r="Z44" s="286" t="inlineStr">
        <is>
          <t>Manueverability</t>
        </is>
      </c>
      <c r="AA44" s="286" t="n">
        <v>0.8847158067641585</v>
      </c>
      <c r="AB44" s="286" t="n"/>
      <c r="AC44" s="286" t="inlineStr">
        <is>
          <t>Manueverability</t>
        </is>
      </c>
      <c r="AD44" s="286" t="n">
        <v>0.878057105443933</v>
      </c>
      <c r="AE44" s="286" t="n"/>
      <c r="AF44" s="252" t="n"/>
    </row>
    <row r="45" ht="19.5" customHeight="1" s="184">
      <c r="B45" s="149" t="inlineStr">
        <is>
          <t>Weight</t>
        </is>
      </c>
      <c r="C45" s="150">
        <f/>
        <v/>
      </c>
      <c r="D45" s="138" t="n"/>
      <c r="E45" s="179" t="inlineStr">
        <is>
          <t>Weight</t>
        </is>
      </c>
      <c r="F45" s="91">
        <f/>
        <v/>
      </c>
      <c r="G45" s="138" t="n"/>
      <c r="H45" s="179" t="inlineStr">
        <is>
          <t>Weight</t>
        </is>
      </c>
      <c r="I45" s="150">
        <f/>
        <v/>
      </c>
      <c r="J45" s="138" t="n"/>
      <c r="K45" s="179" t="inlineStr">
        <is>
          <t>Weight</t>
        </is>
      </c>
      <c r="L45" s="91">
        <f/>
        <v/>
      </c>
      <c r="N45" s="179" t="inlineStr">
        <is>
          <t>Weight</t>
        </is>
      </c>
      <c r="O45" s="91">
        <f/>
        <v/>
      </c>
      <c r="Q45" s="179" t="inlineStr">
        <is>
          <t>Weight</t>
        </is>
      </c>
      <c r="R45" s="91">
        <f/>
        <v/>
      </c>
      <c r="S45" s="252" t="n"/>
      <c r="T45" s="286" t="inlineStr">
        <is>
          <t>Weight</t>
        </is>
      </c>
      <c r="U45" s="286" t="n">
        <v>0.8502923878714831</v>
      </c>
      <c r="V45" s="286" t="n"/>
      <c r="W45" s="286" t="inlineStr">
        <is>
          <t>Weight</t>
        </is>
      </c>
      <c r="X45" s="286" t="n">
        <v>0.8243643539753219</v>
      </c>
      <c r="Y45" s="286" t="n"/>
      <c r="Z45" s="286" t="inlineStr">
        <is>
          <t>Weight</t>
        </is>
      </c>
      <c r="AA45" s="286" t="n">
        <v>0.733932430874076</v>
      </c>
      <c r="AB45" s="286" t="n"/>
      <c r="AC45" s="286" t="inlineStr">
        <is>
          <t>Weight</t>
        </is>
      </c>
      <c r="AD45" s="286" t="n">
        <v>0.9160610592178438</v>
      </c>
      <c r="AE45" s="286" t="n"/>
      <c r="AF45" s="252" t="n"/>
    </row>
    <row r="46" ht="19.5" customHeight="1" s="184">
      <c r="B46" s="149" t="inlineStr">
        <is>
          <t>Turning</t>
        </is>
      </c>
      <c r="C46" s="150">
        <f/>
        <v/>
      </c>
      <c r="D46" s="138" t="n"/>
      <c r="E46" s="179" t="inlineStr">
        <is>
          <t>Turning</t>
        </is>
      </c>
      <c r="F46" s="91">
        <f/>
        <v/>
      </c>
      <c r="G46" s="138" t="n"/>
      <c r="H46" s="179" t="inlineStr">
        <is>
          <t>Turning</t>
        </is>
      </c>
      <c r="I46" s="150">
        <f/>
        <v/>
      </c>
      <c r="J46" s="138" t="n"/>
      <c r="K46" s="179" t="inlineStr">
        <is>
          <t>Turning</t>
        </is>
      </c>
      <c r="L46" s="91">
        <f/>
        <v/>
      </c>
      <c r="N46" s="179" t="inlineStr">
        <is>
          <t>Turning</t>
        </is>
      </c>
      <c r="O46" s="91">
        <f/>
        <v/>
      </c>
      <c r="Q46" s="179" t="inlineStr">
        <is>
          <t>Turning</t>
        </is>
      </c>
      <c r="R46" s="91">
        <f/>
        <v/>
      </c>
      <c r="S46" s="252" t="n"/>
      <c r="T46" s="286" t="inlineStr">
        <is>
          <t>Turning</t>
        </is>
      </c>
      <c r="U46" s="286" t="n">
        <v>0.9406937137140677</v>
      </c>
      <c r="V46" s="286" t="n"/>
      <c r="W46" s="286" t="inlineStr">
        <is>
          <t>Turning</t>
        </is>
      </c>
      <c r="X46" s="286" t="n">
        <v>0.9930695638326874</v>
      </c>
      <c r="Y46" s="286" t="n"/>
      <c r="Z46" s="286" t="inlineStr">
        <is>
          <t>Turning</t>
        </is>
      </c>
      <c r="AA46" s="286" t="n">
        <v>0.9894143358236283</v>
      </c>
      <c r="AB46" s="286" t="n"/>
      <c r="AC46" s="286" t="inlineStr">
        <is>
          <t>Turning</t>
        </is>
      </c>
      <c r="AD46" s="286" t="n">
        <v>0.9171298649570926</v>
      </c>
      <c r="AE46" s="286" t="n"/>
      <c r="AF46" s="252" t="n"/>
    </row>
    <row r="47" ht="19.5" customHeight="1" s="184">
      <c r="B47" s="149" t="inlineStr">
        <is>
          <t>Braking</t>
        </is>
      </c>
      <c r="C47" s="150">
        <f/>
        <v/>
      </c>
      <c r="D47" s="303" t="n"/>
      <c r="E47" s="179" t="inlineStr">
        <is>
          <t>Braking</t>
        </is>
      </c>
      <c r="F47" s="91">
        <f/>
        <v/>
      </c>
      <c r="G47" s="138" t="n"/>
      <c r="H47" s="179" t="inlineStr">
        <is>
          <t>Braking</t>
        </is>
      </c>
      <c r="I47" s="150">
        <f/>
        <v/>
      </c>
      <c r="J47" s="138" t="n"/>
      <c r="K47" s="179" t="inlineStr">
        <is>
          <t>Braking</t>
        </is>
      </c>
      <c r="L47" s="91">
        <f/>
        <v/>
      </c>
      <c r="N47" s="179" t="inlineStr">
        <is>
          <t>Braking</t>
        </is>
      </c>
      <c r="O47" s="91">
        <f/>
        <v/>
      </c>
      <c r="Q47" s="179" t="inlineStr">
        <is>
          <t>Braking</t>
        </is>
      </c>
      <c r="R47" s="91">
        <f/>
        <v/>
      </c>
      <c r="S47" s="252" t="n"/>
      <c r="T47" s="286" t="inlineStr">
        <is>
          <t>Braking</t>
        </is>
      </c>
      <c r="U47" s="286" t="n">
        <v>0.9159722222222223</v>
      </c>
      <c r="V47" s="286" t="n"/>
      <c r="W47" s="286" t="inlineStr">
        <is>
          <t>Braking</t>
        </is>
      </c>
      <c r="X47" s="286" t="n">
        <v>0.8595588235294118</v>
      </c>
      <c r="Y47" s="286" t="n"/>
      <c r="Z47" s="286" t="inlineStr">
        <is>
          <t>Braking</t>
        </is>
      </c>
      <c r="AA47" s="286" t="n">
        <v>0.9308006535947713</v>
      </c>
      <c r="AB47" s="286" t="n"/>
      <c r="AC47" s="286" t="inlineStr">
        <is>
          <t>Braking</t>
        </is>
      </c>
      <c r="AD47" s="286" t="n">
        <v>0.8009803921568628</v>
      </c>
      <c r="AE47" s="286" t="n"/>
      <c r="AF47" s="252" t="n"/>
    </row>
    <row r="48" ht="19.5" customHeight="1" s="184">
      <c r="B48" s="142">
        <f t="array" aca="1" ref="B48" ca="1">INDIRECT(_xlfn.CONCAT($BS71,B$32))</f>
        <v/>
      </c>
      <c r="C48" s="143" t="n"/>
      <c r="D48" s="138" t="n"/>
      <c r="E48" s="303">
        <f t="array" aca="1" ref="E48" ca="1">INDIRECT(_xlfn.CONCAT($BS71,E$32))</f>
        <v/>
      </c>
      <c r="F48" s="138" t="n"/>
      <c r="G48" s="138" t="n"/>
      <c r="H48" s="303">
        <f t="array" aca="1" ref="H48" ca="1">INDIRECT(_xlfn.CONCAT($BS71,H$32))</f>
        <v/>
      </c>
      <c r="I48" s="143" t="n"/>
      <c r="K48" s="303">
        <f t="array" aca="1" ref="K48" ca="1">INDIRECT(_xlfn.CONCAT($BS71,K$32))</f>
        <v/>
      </c>
      <c r="N48" s="303">
        <f t="array" aca="1" ref="N48" ca="1">INDIRECT(_xlfn.CONCAT($BS71,N$32))</f>
        <v/>
      </c>
      <c r="Q48" s="303">
        <f t="array" aca="1" ref="Q48" ca="1">INDIRECT(_xlfn.CONCAT($BS71,Q$32))</f>
        <v/>
      </c>
      <c r="R48" s="286" t="n"/>
      <c r="T48" s="303" t="n"/>
      <c r="U48" s="303" t="n"/>
      <c r="V48" s="303" t="n"/>
      <c r="W48" s="303" t="n"/>
      <c r="X48" s="303" t="n"/>
      <c r="Y48" s="303" t="n"/>
      <c r="Z48" s="303" t="n"/>
      <c r="AA48" s="303" t="n"/>
      <c r="AB48" s="303" t="n"/>
      <c r="AC48" s="303" t="n"/>
      <c r="AD48" s="303" t="n"/>
      <c r="AE48" s="303" t="n"/>
    </row>
    <row r="49" ht="19.5" customHeight="1" s="184">
      <c r="B49" s="145" t="n"/>
      <c r="C49" s="152" t="n"/>
      <c r="D49" s="138" t="n"/>
      <c r="F49" s="180" t="n"/>
      <c r="G49" s="138" t="n"/>
      <c r="I49" s="152" t="n"/>
      <c r="J49" s="138" t="n"/>
      <c r="L49" s="180" t="n"/>
      <c r="N49" s="303" t="n"/>
      <c r="O49" s="180" t="n"/>
      <c r="Q49" s="286" t="n"/>
      <c r="R49" s="286" t="n"/>
      <c r="T49" s="303" t="n"/>
      <c r="U49" s="138" t="n"/>
      <c r="W49" s="303" t="n"/>
      <c r="Z49" s="303" t="n"/>
      <c r="AC49" s="303" t="n"/>
    </row>
    <row r="50" ht="19.5" customHeight="1" s="184">
      <c r="B50" s="267" t="n"/>
      <c r="C50" s="152" t="n"/>
      <c r="D50" s="138" t="n"/>
      <c r="E50" s="303" t="n"/>
      <c r="F50" s="303" t="n"/>
      <c r="G50" s="138" t="n"/>
      <c r="H50" s="180" t="n"/>
      <c r="I50" s="152" t="n"/>
      <c r="J50" s="138" t="n"/>
      <c r="L50" s="303" t="n"/>
      <c r="N50" s="303" t="n"/>
      <c r="O50" s="180" t="n"/>
      <c r="Q50" s="303" t="n"/>
      <c r="R50" s="286" t="n"/>
      <c r="T50" s="138" t="n"/>
      <c r="U50" s="138" t="n"/>
    </row>
    <row r="51" ht="19.5" customHeight="1" s="184">
      <c r="B51" s="151" t="n"/>
      <c r="C51" s="153" t="n"/>
      <c r="D51" s="303" t="n"/>
      <c r="F51" s="303" t="n"/>
      <c r="G51" s="138" t="n"/>
      <c r="H51" s="303" t="n"/>
      <c r="I51" s="181" t="n"/>
      <c r="J51" s="138" t="n"/>
      <c r="K51" s="180" t="n"/>
      <c r="L51" s="246" t="n"/>
      <c r="N51" s="303" t="n"/>
      <c r="O51" s="246" t="n"/>
      <c r="Q51" s="286" t="n"/>
      <c r="R51" s="286" t="n"/>
      <c r="T51" s="138" t="n"/>
      <c r="U51" s="138" t="n"/>
    </row>
    <row r="52" ht="13.5" customHeight="1" s="184">
      <c r="B52" s="142" t="n"/>
      <c r="C52" s="153" t="n"/>
      <c r="D52" s="303" t="n"/>
      <c r="E52" s="138" t="n"/>
      <c r="F52" s="138" t="n"/>
      <c r="G52" s="138" t="n"/>
      <c r="H52" s="138" t="n"/>
      <c r="I52" s="143" t="n"/>
      <c r="J52" s="138" t="n"/>
      <c r="K52" s="138" t="n"/>
      <c r="N52" s="303" t="n"/>
      <c r="Q52" s="286" t="n"/>
      <c r="R52" s="286" t="n"/>
      <c r="T52" s="138" t="n"/>
      <c r="U52" s="138" t="n"/>
    </row>
    <row r="53" ht="19.5" customHeight="1" s="184">
      <c r="B53" s="142" t="n"/>
      <c r="C53" s="143" t="n"/>
      <c r="D53" s="138" t="n"/>
      <c r="E53" s="138" t="n"/>
      <c r="F53" s="138" t="n"/>
      <c r="G53" s="138" t="n"/>
      <c r="H53" s="138" t="n"/>
      <c r="I53" s="143" t="n"/>
      <c r="J53" s="138" t="n"/>
      <c r="K53" s="138" t="n"/>
      <c r="O53" s="303" t="n"/>
      <c r="Q53" s="286" t="n"/>
      <c r="R53" s="286" t="n"/>
      <c r="T53" s="303" t="n"/>
      <c r="U53" s="138" t="n"/>
    </row>
    <row r="54" ht="19.5" customHeight="1" s="184">
      <c r="B54" s="142" t="n"/>
      <c r="C54" s="143" t="n"/>
      <c r="D54" s="138" t="n"/>
      <c r="E54" s="303" t="n"/>
      <c r="F54" s="138" t="n"/>
      <c r="G54" s="138" t="n"/>
      <c r="H54" s="138" t="n"/>
      <c r="I54" s="143" t="n"/>
      <c r="J54" s="138" t="n"/>
      <c r="K54" s="138" t="n"/>
      <c r="Q54" s="286" t="n"/>
      <c r="R54" s="286" t="n"/>
      <c r="T54" s="138" t="n"/>
      <c r="U54" s="138" t="n"/>
    </row>
    <row r="55" ht="19.5" customHeight="1" s="184">
      <c r="B55" s="142" t="n"/>
      <c r="C55" s="143" t="n"/>
      <c r="D55" s="138" t="n"/>
      <c r="E55" s="138" t="n"/>
      <c r="F55" s="138" t="n"/>
      <c r="G55" s="138" t="n"/>
      <c r="H55" s="138" t="n"/>
      <c r="I55" s="143" t="n"/>
      <c r="J55" s="138" t="n"/>
      <c r="K55" s="138" t="n"/>
      <c r="Q55" s="286" t="n"/>
      <c r="R55" s="286" t="n"/>
      <c r="T55" s="138" t="n"/>
      <c r="U55" s="138" t="n"/>
    </row>
    <row r="56">
      <c r="B56" s="142" t="n"/>
      <c r="C56" s="143" t="n"/>
      <c r="D56" s="138" t="n"/>
      <c r="E56" s="138" t="n"/>
      <c r="F56" s="138" t="n"/>
      <c r="G56" s="138" t="n"/>
      <c r="H56" s="303" t="n"/>
      <c r="I56" s="143" t="n"/>
      <c r="J56" s="138" t="n"/>
      <c r="K56" s="138" t="n"/>
      <c r="Q56" s="286" t="n"/>
      <c r="R56" s="286" t="n"/>
      <c r="T56" s="138" t="n"/>
      <c r="U56" s="138" t="n"/>
    </row>
    <row r="57">
      <c r="B57" s="142" t="n"/>
      <c r="C57" s="143" t="n"/>
      <c r="D57" s="138" t="n"/>
      <c r="E57" s="138" t="n"/>
      <c r="F57" s="138" t="n"/>
      <c r="G57" s="138" t="n"/>
      <c r="H57" s="138" t="n"/>
      <c r="I57" s="143" t="n"/>
      <c r="J57" s="138" t="n"/>
      <c r="K57" s="138" t="n"/>
      <c r="N57" s="303" t="n"/>
      <c r="Q57" s="286" t="n"/>
      <c r="R57" s="286" t="n"/>
      <c r="T57" s="138" t="n"/>
      <c r="U57" s="138" t="n"/>
    </row>
    <row r="58">
      <c r="B58" s="142" t="n"/>
      <c r="C58" s="143" t="n"/>
      <c r="D58" s="138" t="n"/>
      <c r="E58" s="138" t="n"/>
      <c r="F58" s="138" t="n"/>
      <c r="G58" s="138" t="n"/>
      <c r="H58" s="138" t="n"/>
      <c r="I58" s="143" t="n"/>
      <c r="J58" s="138" t="n"/>
      <c r="Q58" s="286" t="n"/>
      <c r="R58" s="286" t="n"/>
      <c r="T58" s="138" t="n"/>
      <c r="U58" s="138" t="n"/>
    </row>
    <row r="59">
      <c r="B59" s="142" t="n"/>
      <c r="C59" s="143" t="n"/>
      <c r="D59" s="138" t="n"/>
      <c r="E59" s="138" t="n"/>
      <c r="F59" s="138" t="n"/>
      <c r="G59" s="138" t="n"/>
      <c r="H59" s="138" t="n"/>
      <c r="I59" s="143" t="n"/>
      <c r="J59" s="138" t="n"/>
      <c r="Q59" s="286" t="n"/>
      <c r="R59" s="286" t="n"/>
      <c r="T59" s="138" t="n"/>
      <c r="U59" s="138" t="n"/>
    </row>
    <row r="60">
      <c r="B60" s="142" t="n"/>
      <c r="C60" s="143" t="n"/>
      <c r="D60" s="138" t="n"/>
      <c r="E60" s="138" t="n"/>
      <c r="F60" s="138" t="n"/>
      <c r="G60" s="138" t="n"/>
      <c r="H60" s="138" t="n"/>
      <c r="I60" s="143" t="n"/>
      <c r="J60" s="138" t="n"/>
      <c r="K60" s="138" t="n"/>
      <c r="Q60" s="286" t="n"/>
      <c r="R60" s="286" t="n"/>
      <c r="T60" s="138" t="n"/>
      <c r="U60" s="138" t="n"/>
    </row>
    <row r="61">
      <c r="B61" s="142" t="n"/>
      <c r="C61" s="143" t="n"/>
      <c r="D61" s="138" t="n"/>
      <c r="E61" s="138" t="n"/>
      <c r="F61" s="138" t="n"/>
      <c r="G61" s="138" t="n"/>
      <c r="H61" s="138" t="n"/>
      <c r="I61" s="143" t="n"/>
      <c r="J61" s="138" t="n"/>
      <c r="K61" s="138" t="n"/>
      <c r="Q61" s="286" t="n"/>
      <c r="R61" s="286" t="n"/>
      <c r="T61" s="138" t="n"/>
      <c r="U61" s="138" t="n"/>
    </row>
    <row r="62">
      <c r="B62" s="142" t="n"/>
      <c r="C62" s="143" t="n"/>
      <c r="D62" s="138" t="n"/>
      <c r="E62" s="138" t="n"/>
      <c r="F62" s="138" t="n"/>
      <c r="G62" s="138" t="n"/>
      <c r="H62" s="138" t="n"/>
      <c r="I62" s="143" t="n"/>
      <c r="J62" s="138" t="n"/>
      <c r="K62" s="138" t="n"/>
      <c r="Q62" s="286" t="n"/>
      <c r="R62" s="286" t="n"/>
      <c r="T62" s="138" t="n"/>
      <c r="U62" s="138" t="n"/>
    </row>
    <row r="63" ht="13.8" customHeight="1" s="184" thickBot="1">
      <c r="B63" s="154" t="n"/>
      <c r="C63" s="155" t="n"/>
      <c r="D63" s="138" t="n"/>
      <c r="E63" s="138" t="n"/>
      <c r="F63" s="138" t="n"/>
      <c r="G63" s="138" t="n"/>
      <c r="H63" s="138" t="n"/>
      <c r="I63" s="143" t="n"/>
      <c r="J63" s="138" t="n"/>
      <c r="K63" s="138" t="n"/>
      <c r="Q63" s="286" t="n"/>
      <c r="R63" s="286" t="n"/>
      <c r="T63" s="138" t="n"/>
      <c r="U63" s="138" t="n"/>
    </row>
    <row r="64" ht="7.5" customHeight="1" s="184" thickBot="1">
      <c r="B64" s="154" t="n"/>
      <c r="C64" s="182" t="n"/>
      <c r="D64" s="182" t="n"/>
      <c r="E64" s="182" t="n"/>
      <c r="F64" s="182" t="n"/>
      <c r="G64" s="182" t="n"/>
      <c r="H64" s="182" t="n"/>
      <c r="I64" s="155" t="n"/>
      <c r="J64" s="138" t="n"/>
      <c r="K64" s="138" t="n"/>
      <c r="Q64" s="286" t="n"/>
      <c r="R64" s="286" t="n"/>
    </row>
    <row r="65">
      <c r="B65" s="138" t="n"/>
      <c r="C65" s="138" t="n"/>
      <c r="D65" s="138" t="n"/>
      <c r="E65" s="138" t="n"/>
      <c r="F65" s="138" t="n"/>
      <c r="G65" s="138" t="n"/>
      <c r="H65" s="138" t="n"/>
      <c r="I65" s="138" t="n"/>
      <c r="J65" s="138" t="n"/>
      <c r="K65" s="138" t="n"/>
      <c r="Q65" s="286" t="n"/>
      <c r="R65" s="286" t="n"/>
    </row>
    <row r="66">
      <c r="B66" s="158" t="inlineStr">
        <is>
          <t>Need help understanding this recommendation? Call 914-844-9628 and we'll walk you through it</t>
        </is>
      </c>
      <c r="C66" s="138" t="n"/>
      <c r="D66" s="138" t="n"/>
      <c r="E66" s="138" t="n"/>
      <c r="F66" s="138" t="n"/>
      <c r="G66" s="138" t="n"/>
      <c r="H66" s="138" t="n"/>
      <c r="I66" s="138" t="n"/>
      <c r="J66" s="138" t="n"/>
      <c r="K66" s="138" t="n"/>
    </row>
    <row r="67">
      <c r="B67" s="255">
        <f>HYPERLINK("https://stanforduniversity.qualtrics.com/jfe/form/SV_3z22RoYUYvwvp2u","Have feedaback? Share it here")</f>
        <v/>
      </c>
      <c r="C67" s="138" t="n"/>
      <c r="D67" s="138" t="n"/>
      <c r="E67" s="138" t="n"/>
      <c r="F67" s="138" t="n"/>
      <c r="G67" s="138" t="n"/>
      <c r="H67" s="138" t="n"/>
      <c r="I67" s="138" t="n"/>
      <c r="J67" s="138" t="n"/>
      <c r="K67" s="138" t="n"/>
    </row>
    <row r="68">
      <c r="B68" s="138" t="n"/>
      <c r="C68" s="138" t="n"/>
      <c r="D68" s="138" t="n"/>
      <c r="E68" s="138" t="n"/>
      <c r="F68" s="138" t="n"/>
      <c r="G68" s="138" t="n"/>
      <c r="H68" s="138" t="n"/>
      <c r="I68" s="138" t="n"/>
      <c r="J68" s="138" t="n"/>
      <c r="K68" s="138" t="n"/>
    </row>
    <row r="69" ht="22.8" customHeight="1" s="184">
      <c r="B69" s="176" t="inlineStr">
        <is>
          <t>Want more options? Here's a complete list of options that fit you</t>
        </is>
      </c>
      <c r="D69" s="138" t="n"/>
      <c r="E69" s="138" t="n"/>
      <c r="F69" s="138" t="n"/>
      <c r="G69" s="138" t="n"/>
      <c r="H69" s="138" t="n"/>
      <c r="I69" s="138" t="n"/>
      <c r="J69" s="138" t="n"/>
      <c r="K69" s="138" t="n"/>
    </row>
    <row r="70" ht="1.95" customHeight="1" s="184">
      <c r="B70" s="176" t="n"/>
      <c r="D70" s="138" t="n"/>
      <c r="E70" s="138" t="n"/>
      <c r="F70" s="138" t="n"/>
      <c r="G70" s="138" t="n"/>
      <c r="H70" s="138" t="n"/>
      <c r="I70" s="138" t="n"/>
      <c r="J70" s="138" t="n"/>
      <c r="K70" s="138" t="n"/>
    </row>
    <row r="71" ht="7.05" customFormat="1" customHeight="1" s="251">
      <c r="B71" s="250">
        <f>SUBSTITUTE(ADDRESS(1,COLUMN(B74),4),"1","")</f>
        <v/>
      </c>
      <c r="C71" s="250">
        <f>SUBSTITUTE(ADDRESS(1,COLUMN(C74),4),"1","")</f>
        <v/>
      </c>
      <c r="D71" s="250">
        <f>SUBSTITUTE(ADDRESS(1,COLUMN(D74),4),"1","")</f>
        <v/>
      </c>
      <c r="E71" s="250">
        <f>SUBSTITUTE(ADDRESS(1,COLUMN(E74),4),"1","")</f>
        <v/>
      </c>
      <c r="F71" s="250">
        <f>SUBSTITUTE(ADDRESS(1,COLUMN(F74),4),"1","")</f>
        <v/>
      </c>
      <c r="G71" s="250">
        <f>SUBSTITUTE(ADDRESS(1,COLUMN(G74),4),"1","")</f>
        <v/>
      </c>
      <c r="H71" s="250">
        <f>SUBSTITUTE(ADDRESS(1,COLUMN(H74),4),"1","")</f>
        <v/>
      </c>
      <c r="I71" s="250">
        <f>SUBSTITUTE(ADDRESS(1,COLUMN(I74),4),"1","")</f>
        <v/>
      </c>
      <c r="J71" s="250">
        <f>SUBSTITUTE(ADDRESS(1,COLUMN(J74),4),"1","")</f>
        <v/>
      </c>
      <c r="K71" s="250">
        <f>SUBSTITUTE(ADDRESS(1,COLUMN(K74),4),"1","")</f>
        <v/>
      </c>
      <c r="L71" s="250">
        <f>SUBSTITUTE(ADDRESS(1,COLUMN(L74),4),"1","")</f>
        <v/>
      </c>
      <c r="M71" s="250">
        <f>SUBSTITUTE(ADDRESS(1,COLUMN(M74),4),"1","")</f>
        <v/>
      </c>
      <c r="N71" s="250">
        <f>SUBSTITUTE(ADDRESS(1,COLUMN(N74),4),"1","")</f>
        <v/>
      </c>
      <c r="O71" s="250">
        <f>SUBSTITUTE(ADDRESS(1,COLUMN(O74),4),"1","")</f>
        <v/>
      </c>
      <c r="P71" s="250">
        <f>SUBSTITUTE(ADDRESS(1,COLUMN(P74),4),"1","")</f>
        <v/>
      </c>
      <c r="Q71" s="250">
        <f>SUBSTITUTE(ADDRESS(1,COLUMN(Q74),4),"1","")</f>
        <v/>
      </c>
      <c r="R71" s="250">
        <f>SUBSTITUTE(ADDRESS(1,COLUMN(R74),4),"1","")</f>
        <v/>
      </c>
      <c r="S71" s="250">
        <f>SUBSTITUTE(ADDRESS(1,COLUMN(S74),4),"1","")</f>
        <v/>
      </c>
      <c r="T71" s="250">
        <f>SUBSTITUTE(ADDRESS(1,COLUMN(T74),4),"1","")</f>
        <v/>
      </c>
      <c r="U71" s="250">
        <f>SUBSTITUTE(ADDRESS(1,COLUMN(U74),4),"1","")</f>
        <v/>
      </c>
      <c r="V71" s="250">
        <f>SUBSTITUTE(ADDRESS(1,COLUMN(V74),4),"1","")</f>
        <v/>
      </c>
      <c r="W71" s="250">
        <f>SUBSTITUTE(ADDRESS(1,COLUMN(W74),4),"1","")</f>
        <v/>
      </c>
      <c r="X71" s="250">
        <f>SUBSTITUTE(ADDRESS(1,COLUMN(X74),4),"1","")</f>
        <v/>
      </c>
      <c r="Y71" s="250">
        <f>SUBSTITUTE(ADDRESS(1,COLUMN(Y74),4),"1","")</f>
        <v/>
      </c>
      <c r="Z71" s="250">
        <f>SUBSTITUTE(ADDRESS(1,COLUMN(Z74),4),"1","")</f>
        <v/>
      </c>
      <c r="AA71" s="250">
        <f>SUBSTITUTE(ADDRESS(1,COLUMN(AA74),4),"1","")</f>
        <v/>
      </c>
      <c r="AB71" s="250">
        <f>SUBSTITUTE(ADDRESS(1,COLUMN(AB74),4),"1","")</f>
        <v/>
      </c>
      <c r="AC71" s="250">
        <f>SUBSTITUTE(ADDRESS(1,COLUMN(AC74),4),"1","")</f>
        <v/>
      </c>
      <c r="AD71" s="250">
        <f>SUBSTITUTE(ADDRESS(1,COLUMN(AD74),4),"1","")</f>
        <v/>
      </c>
      <c r="AE71" s="250">
        <f>SUBSTITUTE(ADDRESS(1,COLUMN(AE74),4),"1","")</f>
        <v/>
      </c>
      <c r="AF71" s="250">
        <f>SUBSTITUTE(ADDRESS(1,COLUMN(AF74),4),"1","")</f>
        <v/>
      </c>
      <c r="AG71" s="250">
        <f>SUBSTITUTE(ADDRESS(1,COLUMN(AG74),4),"1","")</f>
        <v/>
      </c>
      <c r="AH71" s="250">
        <f>SUBSTITUTE(ADDRESS(1,COLUMN(AH74),4),"1","")</f>
        <v/>
      </c>
      <c r="AI71" s="250">
        <f>SUBSTITUTE(ADDRESS(1,COLUMN(AI74),4),"1","")</f>
        <v/>
      </c>
      <c r="AJ71" s="250">
        <f>SUBSTITUTE(ADDRESS(1,COLUMN(AJ74),4),"1","")</f>
        <v/>
      </c>
      <c r="AK71" s="250">
        <f>SUBSTITUTE(ADDRESS(1,COLUMN(AK74),4),"1","")</f>
        <v/>
      </c>
      <c r="AL71" s="250">
        <f>SUBSTITUTE(ADDRESS(1,COLUMN(AL74),4),"1","")</f>
        <v/>
      </c>
      <c r="AM71" s="250">
        <f>SUBSTITUTE(ADDRESS(1,COLUMN(AM74),4),"1","")</f>
        <v/>
      </c>
      <c r="AN71" s="250">
        <f>SUBSTITUTE(ADDRESS(1,COLUMN(AN74),4),"1","")</f>
        <v/>
      </c>
      <c r="AO71" s="250">
        <f>SUBSTITUTE(ADDRESS(1,COLUMN(AO74),4),"1","")</f>
        <v/>
      </c>
      <c r="AP71" s="250">
        <f>SUBSTITUTE(ADDRESS(1,COLUMN(AP74),4),"1","")</f>
        <v/>
      </c>
      <c r="AQ71" s="250">
        <f>SUBSTITUTE(ADDRESS(1,COLUMN(AQ74),4),"1","")</f>
        <v/>
      </c>
      <c r="AR71" s="250">
        <f>SUBSTITUTE(ADDRESS(1,COLUMN(AR74),4),"1","")</f>
        <v/>
      </c>
      <c r="AS71" s="250">
        <f>SUBSTITUTE(ADDRESS(1,COLUMN(AS74),4),"1","")</f>
        <v/>
      </c>
      <c r="AT71" s="250">
        <f>SUBSTITUTE(ADDRESS(1,COLUMN(AT74),4),"1","")</f>
        <v/>
      </c>
      <c r="AU71" s="250">
        <f>SUBSTITUTE(ADDRESS(1,COLUMN(AU74),4),"1","")</f>
        <v/>
      </c>
      <c r="AV71" s="250">
        <f>SUBSTITUTE(ADDRESS(1,COLUMN(AV74),4),"1","")</f>
        <v/>
      </c>
      <c r="AW71" s="250">
        <f>SUBSTITUTE(ADDRESS(1,COLUMN(AW74),4),"1","")</f>
        <v/>
      </c>
      <c r="AX71" s="250">
        <f>SUBSTITUTE(ADDRESS(1,COLUMN(AX74),4),"1","")</f>
        <v/>
      </c>
      <c r="AY71" s="250">
        <f>SUBSTITUTE(ADDRESS(1,COLUMN(AY74),4),"1","")</f>
        <v/>
      </c>
      <c r="AZ71" s="250">
        <f>SUBSTITUTE(ADDRESS(1,COLUMN(AZ74),4),"1","")</f>
        <v/>
      </c>
      <c r="BA71" s="250">
        <f>SUBSTITUTE(ADDRESS(1,COLUMN(BA74),4),"1","")</f>
        <v/>
      </c>
      <c r="BB71" s="250">
        <f>SUBSTITUTE(ADDRESS(1,COLUMN(BB74),4),"1","")</f>
        <v/>
      </c>
      <c r="BC71" s="250">
        <f>SUBSTITUTE(ADDRESS(1,COLUMN(BC74),4),"1","")</f>
        <v/>
      </c>
      <c r="BD71" s="250">
        <f>SUBSTITUTE(ADDRESS(1,COLUMN(BD74),4),"1","")</f>
        <v/>
      </c>
      <c r="BE71" s="250">
        <f>SUBSTITUTE(ADDRESS(1,COLUMN(BE74),4),"1","")</f>
        <v/>
      </c>
      <c r="BF71" s="250">
        <f>SUBSTITUTE(ADDRESS(1,COLUMN(BF74),4),"1","")</f>
        <v/>
      </c>
      <c r="BG71" s="250">
        <f>SUBSTITUTE(ADDRESS(1,COLUMN(BG74),4),"1","")</f>
        <v/>
      </c>
      <c r="BH71" s="250">
        <f>SUBSTITUTE(ADDRESS(1,COLUMN(BH74),4),"1","")</f>
        <v/>
      </c>
      <c r="BI71" s="250">
        <f>SUBSTITUTE(ADDRESS(1,COLUMN(BI74),4),"1","")</f>
        <v/>
      </c>
      <c r="BJ71" s="250">
        <f>SUBSTITUTE(ADDRESS(1,COLUMN(BJ74),4),"1","")</f>
        <v/>
      </c>
      <c r="BK71" s="250">
        <f>SUBSTITUTE(ADDRESS(1,COLUMN(BK74),4),"1","")</f>
        <v/>
      </c>
      <c r="BL71" s="250">
        <f>SUBSTITUTE(ADDRESS(1,COLUMN(BL74),4),"1","")</f>
        <v/>
      </c>
      <c r="BM71" s="250">
        <f>SUBSTITUTE(ADDRESS(1,COLUMN(BM74),4),"1","")</f>
        <v/>
      </c>
      <c r="BN71" s="250">
        <f>SUBSTITUTE(ADDRESS(1,COLUMN(BN74),4),"1","")</f>
        <v/>
      </c>
      <c r="BO71" s="250">
        <f>SUBSTITUTE(ADDRESS(1,COLUMN(BO74),4),"1","")</f>
        <v/>
      </c>
      <c r="BP71" s="250">
        <f>SUBSTITUTE(ADDRESS(1,COLUMN(BP74),4),"1","")</f>
        <v/>
      </c>
      <c r="BQ71" s="250">
        <f>SUBSTITUTE(ADDRESS(1,COLUMN(BQ74),4),"1","")</f>
        <v/>
      </c>
      <c r="BR71" s="250">
        <f>SUBSTITUTE(ADDRESS(1,COLUMN(BR74),4),"1","")</f>
        <v/>
      </c>
      <c r="BS71" s="250">
        <f>SUBSTITUTE(ADDRESS(1,COLUMN(BS74),4),"1","")</f>
        <v/>
      </c>
      <c r="BT71" s="250">
        <f>SUBSTITUTE(ADDRESS(1,COLUMN(BT74),4),"1","")</f>
        <v/>
      </c>
      <c r="BU71" s="250">
        <f>SUBSTITUTE(ADDRESS(1,COLUMN(BU74),4),"1","")</f>
        <v/>
      </c>
      <c r="BV71" s="250">
        <f>SUBSTITUTE(ADDRESS(1,COLUMN(BV74),4),"1","")</f>
        <v/>
      </c>
    </row>
    <row r="72" ht="20.55" customHeight="1" s="184">
      <c r="B72" s="198" t="inlineStr">
        <is>
          <t>Shown in your lineup above</t>
        </is>
      </c>
      <c r="C72" s="198" t="n"/>
      <c r="D72" s="248" t="n"/>
      <c r="E72" s="138" t="n"/>
      <c r="F72" s="138" t="n"/>
      <c r="G72" s="138" t="n"/>
      <c r="H72" s="138" t="n"/>
      <c r="I72" s="138" t="n"/>
      <c r="J72" s="138" t="n"/>
      <c r="K72" s="324" t="n"/>
      <c r="L72" s="324" t="n"/>
      <c r="M72" s="185" t="inlineStr">
        <is>
          <t>Personal match scores</t>
        </is>
      </c>
      <c r="N72" s="186" t="n"/>
      <c r="O72" s="186" t="n"/>
      <c r="P72" s="186" t="n"/>
      <c r="Q72" s="186" t="n"/>
      <c r="R72" s="186" t="n"/>
      <c r="S72" s="186" t="n"/>
      <c r="T72" s="186" t="n"/>
      <c r="U72" s="186" t="n"/>
      <c r="V72" s="186" t="n"/>
      <c r="W72" s="186" t="n"/>
      <c r="X72" s="185" t="inlineStr">
        <is>
          <t>Raw scores</t>
        </is>
      </c>
      <c r="Y72" s="186" t="n"/>
      <c r="Z72" s="186" t="n"/>
      <c r="AA72" s="186" t="n"/>
      <c r="AB72" s="187" t="n"/>
    </row>
    <row r="73" ht="19.95" customHeight="1" s="184">
      <c r="B73" s="176" t="n"/>
      <c r="C73" s="176" t="n"/>
      <c r="D73" s="247" t="n"/>
      <c r="E73" s="138" t="n"/>
      <c r="F73" s="325" t="n"/>
      <c r="G73" s="138" t="n"/>
      <c r="H73" s="138" t="n"/>
      <c r="I73" s="138" t="n"/>
      <c r="J73" s="138" t="n"/>
      <c r="K73" s="138" t="n"/>
      <c r="M73" s="132" t="inlineStr">
        <is>
          <t>By performance</t>
        </is>
      </c>
      <c r="N73" s="288" t="n"/>
      <c r="O73" s="288" t="n"/>
      <c r="P73" s="288" t="n"/>
      <c r="Q73" s="288" t="n"/>
      <c r="R73" s="288" t="n"/>
      <c r="S73" s="132" t="inlineStr">
        <is>
          <t>By run type</t>
        </is>
      </c>
      <c r="T73" s="288" t="n"/>
      <c r="U73" s="288" t="n"/>
      <c r="V73" s="288" t="n"/>
      <c r="W73" s="288" t="n"/>
      <c r="X73" s="287" t="inlineStr">
        <is>
          <t>By performance</t>
        </is>
      </c>
      <c r="Y73" s="288" t="n"/>
      <c r="Z73" s="288" t="n"/>
      <c r="AA73" s="288" t="n"/>
      <c r="AB73" s="289" t="n"/>
      <c r="BA73" s="290" t="inlineStr">
        <is>
          <t>Cheapest seller 1</t>
        </is>
      </c>
      <c r="BB73" s="291" t="n"/>
      <c r="BC73" s="291" t="n"/>
      <c r="BD73" s="292" t="n"/>
      <c r="BE73" s="290" t="inlineStr">
        <is>
          <t>Cheapest seller 2</t>
        </is>
      </c>
      <c r="BF73" s="291" t="n"/>
      <c r="BG73" s="291" t="n"/>
      <c r="BH73" s="292" t="n"/>
      <c r="BI73" s="290" t="inlineStr">
        <is>
          <t>Cheapest seller 3</t>
        </is>
      </c>
      <c r="BJ73" s="291" t="n"/>
      <c r="BK73" s="291" t="n"/>
      <c r="BL73" s="292" t="n"/>
      <c r="BM73" s="158" t="inlineStr">
        <is>
          <t>Shortened links</t>
        </is>
      </c>
    </row>
    <row r="74">
      <c r="B74" s="293" t="inlineStr">
        <is>
          <t>Rank by overall match %</t>
        </is>
      </c>
      <c r="C74" s="293" t="inlineStr">
        <is>
          <t>Your overall match %</t>
        </is>
      </c>
      <c r="D74" s="293" t="inlineStr">
        <is>
          <t>Year</t>
        </is>
      </c>
      <c r="E74" s="293" t="inlineStr">
        <is>
          <t>Brand</t>
        </is>
      </c>
      <c r="F74" s="293" t="inlineStr">
        <is>
          <t>Model</t>
        </is>
      </c>
      <c r="G74" s="293" t="inlineStr">
        <is>
          <t>Gender</t>
        </is>
      </c>
      <c r="H74" s="293" t="inlineStr">
        <is>
          <t>Nominal Length (cm)</t>
        </is>
      </c>
      <c r="I74" s="293" t="inlineStr">
        <is>
          <t>Actual Length (cm)</t>
        </is>
      </c>
      <c r="J74" s="293" t="inlineStr">
        <is>
          <t xml:space="preserve">Waist width (mm) </t>
        </is>
      </c>
      <c r="K74" s="293" t="inlineStr">
        <is>
          <t>Cost ($)</t>
        </is>
      </c>
      <c r="L74" s="293" t="inlineStr">
        <is>
          <t>Cheapest seller</t>
        </is>
      </c>
      <c r="M74" s="294" t="inlineStr">
        <is>
          <t>Overall  performance</t>
        </is>
      </c>
      <c r="N74" s="189" t="inlineStr">
        <is>
          <t>Speed</t>
        </is>
      </c>
      <c r="O74" s="189" t="inlineStr">
        <is>
          <t>Manueverability</t>
        </is>
      </c>
      <c r="P74" s="189" t="inlineStr">
        <is>
          <t>Weight</t>
        </is>
      </c>
      <c r="Q74" s="189" t="inlineStr">
        <is>
          <t>Turning</t>
        </is>
      </c>
      <c r="R74" s="189" t="inlineStr">
        <is>
          <t>Braking</t>
        </is>
      </c>
      <c r="S74" s="190" t="inlineStr">
        <is>
          <t>Groomers</t>
        </is>
      </c>
      <c r="T74" s="190" t="inlineStr">
        <is>
          <t>Moguls</t>
        </is>
      </c>
      <c r="U74" s="190" t="inlineStr">
        <is>
          <t>Trees</t>
        </is>
      </c>
      <c r="V74" s="190" t="inlineStr">
        <is>
          <t>Powder</t>
        </is>
      </c>
      <c r="W74" s="190" t="inlineStr">
        <is>
          <t>Park</t>
        </is>
      </c>
      <c r="X74" s="189" t="inlineStr">
        <is>
          <t>Speed</t>
        </is>
      </c>
      <c r="Y74" s="189" t="inlineStr">
        <is>
          <t>Manueverability</t>
        </is>
      </c>
      <c r="Z74" s="189" t="inlineStr">
        <is>
          <t>Weight</t>
        </is>
      </c>
      <c r="AA74" s="189" t="inlineStr">
        <is>
          <t>Turning</t>
        </is>
      </c>
      <c r="AB74" s="189" t="inlineStr">
        <is>
          <t>Braking</t>
        </is>
      </c>
      <c r="AC74" s="293" t="inlineStr">
        <is>
          <t>Running lenght (cm)</t>
        </is>
      </c>
      <c r="AD74" s="293" t="inlineStr">
        <is>
          <t>Sidecut length (cm)</t>
        </is>
      </c>
      <c r="AE74" s="293" t="inlineStr">
        <is>
          <t>Tip width (mm)</t>
        </is>
      </c>
      <c r="AF74" s="293" t="inlineStr">
        <is>
          <t xml:space="preserve">Waist width (mm) </t>
        </is>
      </c>
      <c r="AG74" s="293" t="inlineStr">
        <is>
          <t>Tail width (mm)</t>
        </is>
      </c>
      <c r="AH74" s="293" t="inlineStr">
        <is>
          <t>Sidecut radius (m)</t>
        </is>
      </c>
      <c r="AI74" s="293" t="inlineStr">
        <is>
          <t>Mass (g)</t>
        </is>
      </c>
      <c r="AJ74" s="293" t="inlineStr">
        <is>
          <t>Surface-to-weight Ratio (cm^2/g)</t>
        </is>
      </c>
      <c r="AK74" s="293" t="inlineStr">
        <is>
          <t>Base area (cm2)</t>
        </is>
      </c>
      <c r="AL74" s="293" t="inlineStr">
        <is>
          <t>Avg Bending Stiffness (El)</t>
        </is>
      </c>
      <c r="AM74" s="293" t="inlineStr">
        <is>
          <t>Avg Torsional  Stiffness (GJ)</t>
        </is>
      </c>
      <c r="AN74" s="293" t="inlineStr">
        <is>
          <t>Tip Height (mm)</t>
        </is>
      </c>
      <c r="AO74" s="293" t="inlineStr">
        <is>
          <t>Tip Rocker Length (mm)</t>
        </is>
      </c>
      <c r="AP74" s="293" t="inlineStr">
        <is>
          <t>Tail height (mm)</t>
        </is>
      </c>
      <c r="AQ74" s="293" t="inlineStr">
        <is>
          <t>Tail Rocker Length (mm)</t>
        </is>
      </c>
      <c r="AR74" s="293" t="inlineStr">
        <is>
          <t>Tail/Tip Height Ratio (%)</t>
        </is>
      </c>
      <c r="AS74" s="293" t="inlineStr">
        <is>
          <t>Tip  Taper Length (mm)</t>
        </is>
      </c>
      <c r="AT74" s="293" t="inlineStr">
        <is>
          <t>Tail Taper Length (mm)</t>
        </is>
      </c>
      <c r="AU74" s="293" t="inlineStr">
        <is>
          <t>Front  Contact Point Range (mm)</t>
        </is>
      </c>
      <c r="AV74" s="293" t="inlineStr">
        <is>
          <t>Camber (mm)</t>
        </is>
      </c>
      <c r="AW74" s="293" t="inlineStr">
        <is>
          <t>Setback (cm)</t>
        </is>
      </c>
      <c r="AX74" s="293" t="inlineStr">
        <is>
          <t>Category 1</t>
        </is>
      </c>
      <c r="AY74" s="293" t="inlineStr">
        <is>
          <t>Category 2</t>
        </is>
      </c>
      <c r="AZ74" s="293" t="inlineStr">
        <is>
          <t>Category 3</t>
        </is>
      </c>
      <c r="BA74" s="293" t="inlineStr">
        <is>
          <t>Product name</t>
        </is>
      </c>
      <c r="BB74" s="293" t="inlineStr">
        <is>
          <t>Seller</t>
        </is>
      </c>
      <c r="BC74" s="293" t="inlineStr">
        <is>
          <t>Price</t>
        </is>
      </c>
      <c r="BD74" s="293" t="inlineStr">
        <is>
          <t>Link</t>
        </is>
      </c>
      <c r="BE74" s="293" t="inlineStr">
        <is>
          <t>Product name</t>
        </is>
      </c>
      <c r="BF74" s="293" t="inlineStr">
        <is>
          <t>Seller</t>
        </is>
      </c>
      <c r="BG74" s="293" t="inlineStr">
        <is>
          <t>Price</t>
        </is>
      </c>
      <c r="BH74" s="293" t="inlineStr">
        <is>
          <t>Link</t>
        </is>
      </c>
      <c r="BI74" s="293" t="inlineStr">
        <is>
          <t>Product name</t>
        </is>
      </c>
      <c r="BJ74" s="293" t="inlineStr">
        <is>
          <t>Seller</t>
        </is>
      </c>
      <c r="BK74" s="293" t="inlineStr">
        <is>
          <t>Price</t>
        </is>
      </c>
      <c r="BL74" s="293" t="inlineStr">
        <is>
          <t>Link</t>
        </is>
      </c>
      <c r="BM74" s="293" t="inlineStr">
        <is>
          <t>Link 1</t>
        </is>
      </c>
      <c r="BN74" s="293" t="inlineStr">
        <is>
          <t>Link 2</t>
        </is>
      </c>
      <c r="BO74" s="293" t="inlineStr">
        <is>
          <t>Link 3</t>
        </is>
      </c>
      <c r="BP74" s="293" t="inlineStr">
        <is>
          <t>MSRP ($)</t>
        </is>
      </c>
      <c r="BQ74" s="293" t="inlineStr">
        <is>
          <t>On sale?</t>
        </is>
      </c>
      <c r="BR74" s="293" t="inlineStr">
        <is>
          <t>Helper</t>
        </is>
      </c>
      <c r="BS74" s="293" t="inlineStr">
        <is>
          <t>Image link</t>
        </is>
      </c>
    </row>
    <row r="75" ht="15.6" customHeight="1" s="184">
      <c r="B75" s="309" t="n">
        <v>1</v>
      </c>
      <c r="C75" s="296">
        <f t="array" ref="C75:C94">_xlfn._xlws.SORT(_xlfn._xlws.FILTER(Data!K$9:K$1273,(Data!$H$9:$H$1273=TRUE)*(Data!$J$9:$J$1273=TRUE),""),1,-1)</f>
        <v/>
      </c>
      <c r="D75" s="297">
        <f>IFERROR(INDEX(Data!BR$9:BR$1273,MATCH($M75,Data!$K$9:$K$1273,0)),"")</f>
        <v/>
      </c>
      <c r="E75" s="297">
        <f>IFERROR(INDEX(Data!BS$9:BS$1273,MATCH($M75,Data!$K$9:$K$1273,0)),"")</f>
        <v/>
      </c>
      <c r="F75" s="297">
        <f>IFERROR(INDEX(Data!DM$9:DM$1273,MATCH($M75,Data!$K$9:$K$1273,0)),"")</f>
        <v/>
      </c>
      <c r="G75" s="297">
        <f>IFERROR(INDEX(Data!BV$9:BV$1273,MATCH($M75,Data!$K$9:$K$1273,0)),"")</f>
        <v/>
      </c>
      <c r="H75" s="297">
        <f>IFERROR(INDEX(Data!BW$9:BW$1273,MATCH($M75,Data!$K$9:$K$1273,0)),"")</f>
        <v/>
      </c>
      <c r="I75" s="297">
        <f>IFERROR(INDEX(Data!BX$9:BX$1273,MATCH($M75,Data!$K$9:$K$1273,0)),"")</f>
        <v/>
      </c>
      <c r="J75" s="297">
        <f>IFERROR(INDEX(Data!CB$9:CB$1273,MATCH($M75,Data!$K$9:$K$1273,0)),"")</f>
        <v/>
      </c>
      <c r="K75" s="326">
        <f>IFERROR(HYPERLINK(BM75,BC75),"-")</f>
        <v/>
      </c>
      <c r="L75" s="327">
        <f>IFERROR(IF(BB75=0,"-",BB75)," ")</f>
        <v/>
      </c>
      <c r="M75" s="188">
        <f t="array" ref="M75:M94">_xlfn._xlws.SORT(_xlfn._xlws.FILTER(Data!K9:K1273,(Data!$H$9:$H$1273=TRUE)*(Data!$J$9:$J$1273=TRUE),""),,-1)</f>
        <v/>
      </c>
      <c r="N75" s="188">
        <f>IFERROR(INDEX(Data!L$9:L$1273,MATCH($M75,Data!$K$9:$K$1273,0)),"")</f>
        <v/>
      </c>
      <c r="O75" s="188">
        <f>IFERROR(INDEX(Data!M$9:M$1273,MATCH($M75,Data!$K$9:$K$1273,0)),"")</f>
        <v/>
      </c>
      <c r="P75" s="188">
        <f>IFERROR(INDEX(Data!N$9:N$1273,MATCH($M75,Data!$K$9:$K$1273,0)),"")</f>
        <v/>
      </c>
      <c r="Q75" s="188">
        <f>IFERROR(INDEX(Data!O$9:O$1273,MATCH($M75,Data!$K$9:$K$1273,0)),"")</f>
        <v/>
      </c>
      <c r="R75" s="188">
        <f>IFERROR(INDEX(Data!P$9:P$1273,MATCH($M75,Data!$K$9:$K$1273,0)),"")</f>
        <v/>
      </c>
      <c r="S75" s="188">
        <f>IFERROR(INDEX(Data!S$9:S$1273,MATCH($M75,Data!$K$9:$K$1273,0)),"")</f>
        <v/>
      </c>
      <c r="T75" s="188">
        <f>IFERROR(INDEX(Data!T$9:T$1273,MATCH($M75,Data!$K$9:$K$1273,0)),"")</f>
        <v/>
      </c>
      <c r="U75" s="188">
        <f>IFERROR(INDEX(Data!U$9:U$1273,MATCH($M75,Data!$K$9:$K$1273,0)),"")</f>
        <v/>
      </c>
      <c r="V75" s="188">
        <f>IFERROR(INDEX(Data!V$9:V$1273,MATCH($M75,Data!$K$9:$K$1273,0)),"")</f>
        <v/>
      </c>
      <c r="W75" s="188">
        <f>IFERROR(INDEX(Data!W$9:W$1273,MATCH($M75,Data!$K$9:$K$1273,0)),"")</f>
        <v/>
      </c>
      <c r="X75" s="188">
        <f>IFERROR(INDEX(Data!AJ$9:AJ$1273,MATCH($M75,Data!$K$9:$K$1273,0)),"")</f>
        <v/>
      </c>
      <c r="Y75" s="188">
        <f>IFERROR(INDEX(Data!AK$9:AK$1273,MATCH($M75,Data!$K$9:$K$1273,0)),"")</f>
        <v/>
      </c>
      <c r="Z75" s="188">
        <f>IFERROR(INDEX(Data!AL$9:AL$1273,MATCH($M75,Data!$K$9:$K$1273,0)),"")</f>
        <v/>
      </c>
      <c r="AA75" s="188">
        <f>IFERROR(INDEX(Data!AM$9:AM$1273,MATCH($M75,Data!$K$9:$K$1273,0)),"")</f>
        <v/>
      </c>
      <c r="AB75" s="188">
        <f>IFERROR(INDEX(Data!AN$9:AN$1273,MATCH($M75,Data!$K$9:$K$1273,0)),"")</f>
        <v/>
      </c>
      <c r="AC75" s="297">
        <f>IFERROR(INDEX(Data!BY$9:BY$1273,MATCH($M75,Data!$K$9:$K$1273,0)),"")</f>
        <v/>
      </c>
      <c r="AD75" s="297">
        <f>IFERROR(INDEX(Data!BZ$9:BZ$1273,MATCH($M75,Data!$K$9:$K$1273,0)),"")</f>
        <v/>
      </c>
      <c r="AE75" s="297">
        <f>IFERROR(INDEX(Data!CA$9:CA$1273,MATCH($M75,Data!$K$9:$K$1273,0)),"")</f>
        <v/>
      </c>
      <c r="AF75" s="297">
        <f>IFERROR(INDEX(Data!CB$9:CB$1273,MATCH($M75,Data!$K$9:$K$1273,0)),"")</f>
        <v/>
      </c>
      <c r="AG75" s="297">
        <f>IFERROR(INDEX(Data!CC$9:CC$1273,MATCH($M75,Data!$K$9:$K$1273,0)),"")</f>
        <v/>
      </c>
      <c r="AH75" s="297">
        <f>IFERROR(INDEX(Data!CD$9:CD$1273,MATCH($M75,Data!$K$9:$K$1273,0)),"")</f>
        <v/>
      </c>
      <c r="AI75" s="297">
        <f>IFERROR(INDEX(Data!CE$9:CE$1273,MATCH($M75,Data!$K$9:$K$1273,0)),"")</f>
        <v/>
      </c>
      <c r="AJ75" s="297">
        <f>IFERROR(INDEX(Data!CF$9:CF$1273,MATCH($M75,Data!$K$9:$K$1273,0)),"")</f>
        <v/>
      </c>
      <c r="AK75" s="297">
        <f>IFERROR(INDEX(Data!CG$9:CG$1273,MATCH($M75,Data!$K$9:$K$1273,0)),"")</f>
        <v/>
      </c>
      <c r="AL75" s="297">
        <f>IFERROR(INDEX(Data!CH$9:CH$1273,MATCH($M75,Data!$K$9:$K$1273,0)),"")</f>
        <v/>
      </c>
      <c r="AM75" s="297">
        <f>IFERROR(INDEX(Data!CI$9:CI$1273,MATCH($M75,Data!$K$9:$K$1273,0)),"")</f>
        <v/>
      </c>
      <c r="AN75" s="297">
        <f>IFERROR(INDEX(Data!CJ$9:CJ$1273,MATCH($M75,Data!$K$9:$K$1273,0)),"")</f>
        <v/>
      </c>
      <c r="AO75" s="297">
        <f>IFERROR(INDEX(Data!CK$9:CK$1273,MATCH($M75,Data!$K$9:$K$1273,0)),"")</f>
        <v/>
      </c>
      <c r="AP75" s="297">
        <f>IFERROR(INDEX(Data!CL$9:CL$1273,MATCH($M75,Data!$K$9:$K$1273,0)),"")</f>
        <v/>
      </c>
      <c r="AQ75" s="297">
        <f>IFERROR(INDEX(Data!CM$9:CM$1273,MATCH($M75,Data!$K$9:$K$1273,0)),"")</f>
        <v/>
      </c>
      <c r="AR75" s="297">
        <f>IFERROR(INDEX(Data!CN$9:CN$1273,MATCH($M75,Data!$K$9:$K$1273,0)),"")</f>
        <v/>
      </c>
      <c r="AS75" s="297">
        <f>IFERROR(INDEX(Data!CO$9:CO$1273,MATCH($M75,Data!$K$9:$K$1273,0)),"")</f>
        <v/>
      </c>
      <c r="AT75" s="297">
        <f>IFERROR(INDEX(Data!CP$9:CP$1273,MATCH($M75,Data!$K$9:$K$1273,0)),"")</f>
        <v/>
      </c>
      <c r="AU75" s="297">
        <f>IFERROR(INDEX(Data!CQ$9:CQ$1273,MATCH($M75,Data!$K$9:$K$1273,0)),"")</f>
        <v/>
      </c>
      <c r="AV75" s="297">
        <f>IFERROR(INDEX(Data!CR$9:CR$1273,MATCH($M75,Data!$K$9:$K$1273,0)),"")</f>
        <v/>
      </c>
      <c r="AW75" s="297">
        <f>IFERROR(INDEX(Data!CS$9:CS$1273,MATCH($M75,Data!$K$9:$K$1273,0)),"")</f>
        <v/>
      </c>
      <c r="AX75" s="297">
        <f>IFERROR(INDEX(Data!CT$9:CT$1273,MATCH($M75,Data!$K$9:$K$1273,0)),"")</f>
        <v/>
      </c>
      <c r="AY75" s="297">
        <f>IFERROR(INDEX(Data!CU$9:CU$1273,MATCH($M75,Data!$K$9:$K$1273,0)),"")</f>
        <v/>
      </c>
      <c r="AZ75" s="297">
        <f>IFERROR(INDEX(Data!CV$9:CV$1273,MATCH($M75,Data!$K$9:$K$1273,0)),"")</f>
        <v/>
      </c>
      <c r="BA75" s="297">
        <f>IFERROR(INDEX(Data!CX$9:CX$1273,MATCH($M75,Data!$K$9:$K$1273,0)),"")</f>
        <v/>
      </c>
      <c r="BB75" s="297">
        <f>IFERROR(INDEX(Data!CY$9:CY$1273,MATCH($M75,Data!$K$9:$K$1273,0)),"")</f>
        <v/>
      </c>
      <c r="BC75" s="297">
        <f>IFERROR(INDEX(Data!CZ$9:CZ$1273,MATCH($M75,Data!$K$9:$K$1273,0)),"")</f>
        <v/>
      </c>
      <c r="BD75" s="297">
        <f>IFERROR(INDEX(Data!DA$9:DA$1273,MATCH($M75,Data!$K$9:$K$1273,0)),"")</f>
        <v/>
      </c>
      <c r="BE75" s="297">
        <f>IFERROR(INDEX(Data!DB$9:DB$1273,MATCH($M75,Data!$K$9:$K$1273,0)),"")</f>
        <v/>
      </c>
      <c r="BF75" s="297">
        <f>IFERROR(INDEX(Data!DC$9:DC$1273,MATCH($M75,Data!$K$9:$K$1273,0)),"")</f>
        <v/>
      </c>
      <c r="BG75" s="297">
        <f>IFERROR(INDEX(Data!DD$9:DD$1273,MATCH($M75,Data!$K$9:$K$1273,0)),"")</f>
        <v/>
      </c>
      <c r="BH75" s="297">
        <f>IFERROR(INDEX(Data!DE$9:DE$1273,MATCH($M75,Data!$K$9:$K$1273,0)),"")</f>
        <v/>
      </c>
      <c r="BI75" s="297">
        <f>IFERROR(INDEX(Data!DF$9:DF$1273,MATCH($M75,Data!$K$9:$K$1273,0)),"")</f>
        <v/>
      </c>
      <c r="BJ75" s="297">
        <f>IFERROR(INDEX(Data!DG$9:DG$1273,MATCH($M75,Data!$K$9:$K$1273,0)),"")</f>
        <v/>
      </c>
      <c r="BK75" s="297">
        <f>IFERROR(INDEX(Data!DH$9:DH$1273,MATCH($M75,Data!$K$9:$K$1273,0)),"")</f>
        <v/>
      </c>
      <c r="BL75" s="297">
        <f>IFERROR(INDEX(Data!DI$9:DI$1273,MATCH($M75,Data!$K$9:$K$1273,0)),"")</f>
        <v/>
      </c>
      <c r="BM75" s="297">
        <f>IFERROR(INDEX(Data!DJ$9:DJ$1273,MATCH($M75,Data!$K$9:$K$1273,0)),"")</f>
        <v/>
      </c>
      <c r="BN75" s="297">
        <f>IFERROR(INDEX(Data!DK$9:DK$1273,MATCH($M75,Data!$K$9:$K$1273,0)),"")</f>
        <v/>
      </c>
      <c r="BO75" s="297">
        <f>IFERROR(INDEX(Data!DL$9:DL$1273,MATCH($M75,Data!$K$9:$K$1273,0)),"")</f>
        <v/>
      </c>
      <c r="BP75" s="328">
        <f>IFERROR(IF(BK75=0,"-",BK75),"")</f>
        <v/>
      </c>
      <c r="BQ75" s="297">
        <f>IFERROR(IF(BP75-K75&gt;0,TRUE,FALSE)," ")</f>
        <v/>
      </c>
      <c r="BR75" s="297">
        <f>_xlfn.CONCAT(E75,F75,H75,G75)</f>
        <v/>
      </c>
      <c r="BS75" s="297">
        <f>IFERROR(INDEX(Data!$DO$9:$DO$1273,MATCH('Your recommendation'!BR75,Data!$DN$9:$DN$1273,0)),"")</f>
        <v/>
      </c>
    </row>
    <row r="76" ht="15.6" customHeight="1" s="184">
      <c r="B76" s="309">
        <f>IF(C76&gt;0,B75+1,"")</f>
        <v/>
      </c>
      <c r="C76" s="296" t="n">
        <v>0.9430802406310559</v>
      </c>
      <c r="D76" s="297">
        <f>IFERROR(INDEX(Data!BR$9:BR$1273,MATCH($M76,Data!$K$9:$K$1273,0)),"")</f>
        <v/>
      </c>
      <c r="E76" s="297">
        <f>IFERROR(INDEX(Data!BS$9:BS$1273,MATCH($M76,Data!$K$9:$K$1273,0)),"")</f>
        <v/>
      </c>
      <c r="F76" s="297">
        <f>IFERROR(INDEX(Data!DM$9:DM$1273,MATCH($M76,Data!$K$9:$K$1273,0)),"")</f>
        <v/>
      </c>
      <c r="G76" s="297">
        <f>IFERROR(INDEX(Data!BV$9:BV$1273,MATCH($M76,Data!$K$9:$K$1273,0)),"")</f>
        <v/>
      </c>
      <c r="H76" s="297">
        <f>IFERROR(INDEX(Data!BW$9:BW$1273,MATCH($M76,Data!$K$9:$K$1273,0)),"")</f>
        <v/>
      </c>
      <c r="I76" s="297">
        <f>IFERROR(INDEX(Data!BX$9:BX$1273,MATCH($M76,Data!$K$9:$K$1273,0)),"")</f>
        <v/>
      </c>
      <c r="J76" s="297">
        <f>IFERROR(INDEX(Data!CB$9:CB$1273,MATCH($M76,Data!$K$9:$K$1273,0)),"")</f>
        <v/>
      </c>
      <c r="K76" s="326">
        <f>IFERROR(HYPERLINK(BM76,BC76),"-")</f>
        <v/>
      </c>
      <c r="L76" s="327">
        <f>IFERROR(IF(BB76=0,"-",BB76)," ")</f>
        <v/>
      </c>
      <c r="M76" s="188" t="n">
        <v>0.9430802406310559</v>
      </c>
      <c r="N76" s="188">
        <f>IFERROR(INDEX(Data!L$9:L$1273,MATCH($M76,Data!$K$9:$K$1273,0)),"")</f>
        <v/>
      </c>
      <c r="O76" s="188">
        <f>IFERROR(INDEX(Data!M$9:M$1273,MATCH($M76,Data!$K$9:$K$1273,0)),"")</f>
        <v/>
      </c>
      <c r="P76" s="188">
        <f>IFERROR(INDEX(Data!N$9:N$1273,MATCH($M76,Data!$K$9:$K$1273,0)),"")</f>
        <v/>
      </c>
      <c r="Q76" s="188">
        <f>IFERROR(INDEX(Data!O$9:O$1273,MATCH($M76,Data!$K$9:$K$1273,0)),"")</f>
        <v/>
      </c>
      <c r="R76" s="188">
        <f>IFERROR(INDEX(Data!P$9:P$1273,MATCH($M76,Data!$K$9:$K$1273,0)),"")</f>
        <v/>
      </c>
      <c r="S76" s="188">
        <f>IFERROR(INDEX(Data!S$9:S$1273,MATCH($M76,Data!$K$9:$K$1273,0)),"")</f>
        <v/>
      </c>
      <c r="T76" s="188">
        <f>IFERROR(INDEX(Data!T$9:T$1273,MATCH($M76,Data!$K$9:$K$1273,0)),"")</f>
        <v/>
      </c>
      <c r="U76" s="188">
        <f>IFERROR(INDEX(Data!U$9:U$1273,MATCH($M76,Data!$K$9:$K$1273,0)),"")</f>
        <v/>
      </c>
      <c r="V76" s="188">
        <f>IFERROR(INDEX(Data!V$9:V$1273,MATCH($M76,Data!$K$9:$K$1273,0)),"")</f>
        <v/>
      </c>
      <c r="W76" s="188">
        <f>IFERROR(INDEX(Data!W$9:W$1273,MATCH($M76,Data!$K$9:$K$1273,0)),"")</f>
        <v/>
      </c>
      <c r="X76" s="188">
        <f>IFERROR(INDEX(Data!AJ$9:AJ$1273,MATCH($M76,Data!$K$9:$K$1273,0)),"")</f>
        <v/>
      </c>
      <c r="Y76" s="188">
        <f>IFERROR(INDEX(Data!AK$9:AK$1273,MATCH($M76,Data!$K$9:$K$1273,0)),"")</f>
        <v/>
      </c>
      <c r="Z76" s="188">
        <f>IFERROR(INDEX(Data!AL$9:AL$1273,MATCH($M76,Data!$K$9:$K$1273,0)),"")</f>
        <v/>
      </c>
      <c r="AA76" s="188">
        <f>IFERROR(INDEX(Data!AM$9:AM$1273,MATCH($M76,Data!$K$9:$K$1273,0)),"")</f>
        <v/>
      </c>
      <c r="AB76" s="188">
        <f>IFERROR(INDEX(Data!AN$9:AN$1273,MATCH($M76,Data!$K$9:$K$1273,0)),"")</f>
        <v/>
      </c>
      <c r="AC76" s="297">
        <f>IFERROR(INDEX(Data!BY$9:BY$1273,MATCH($M76,Data!$K$9:$K$1273,0)),"")</f>
        <v/>
      </c>
      <c r="AD76" s="297">
        <f>IFERROR(INDEX(Data!BZ$9:BZ$1273,MATCH($M76,Data!$K$9:$K$1273,0)),"")</f>
        <v/>
      </c>
      <c r="AE76" s="297">
        <f>IFERROR(INDEX(Data!CA$9:CA$1273,MATCH($M76,Data!$K$9:$K$1273,0)),"")</f>
        <v/>
      </c>
      <c r="AF76" s="297">
        <f>IFERROR(INDEX(Data!CB$9:CB$1273,MATCH($M76,Data!$K$9:$K$1273,0)),"")</f>
        <v/>
      </c>
      <c r="AG76" s="297">
        <f>IFERROR(INDEX(Data!CC$9:CC$1273,MATCH($M76,Data!$K$9:$K$1273,0)),"")</f>
        <v/>
      </c>
      <c r="AH76" s="297">
        <f>IFERROR(INDEX(Data!CD$9:CD$1273,MATCH($M76,Data!$K$9:$K$1273,0)),"")</f>
        <v/>
      </c>
      <c r="AI76" s="297">
        <f>IFERROR(INDEX(Data!CE$9:CE$1273,MATCH($M76,Data!$K$9:$K$1273,0)),"")</f>
        <v/>
      </c>
      <c r="AJ76" s="297">
        <f>IFERROR(INDEX(Data!CF$9:CF$1273,MATCH($M76,Data!$K$9:$K$1273,0)),"")</f>
        <v/>
      </c>
      <c r="AK76" s="297">
        <f>IFERROR(INDEX(Data!CG$9:CG$1273,MATCH($M76,Data!$K$9:$K$1273,0)),"")</f>
        <v/>
      </c>
      <c r="AL76" s="297">
        <f>IFERROR(INDEX(Data!CH$9:CH$1273,MATCH($M76,Data!$K$9:$K$1273,0)),"")</f>
        <v/>
      </c>
      <c r="AM76" s="297">
        <f>IFERROR(INDEX(Data!CI$9:CI$1273,MATCH($M76,Data!$K$9:$K$1273,0)),"")</f>
        <v/>
      </c>
      <c r="AN76" s="297">
        <f>IFERROR(INDEX(Data!CJ$9:CJ$1273,MATCH($M76,Data!$K$9:$K$1273,0)),"")</f>
        <v/>
      </c>
      <c r="AO76" s="297">
        <f>IFERROR(INDEX(Data!CK$9:CK$1273,MATCH($M76,Data!$K$9:$K$1273,0)),"")</f>
        <v/>
      </c>
      <c r="AP76" s="297">
        <f>IFERROR(INDEX(Data!CL$9:CL$1273,MATCH($M76,Data!$K$9:$K$1273,0)),"")</f>
        <v/>
      </c>
      <c r="AQ76" s="297">
        <f>IFERROR(INDEX(Data!CM$9:CM$1273,MATCH($M76,Data!$K$9:$K$1273,0)),"")</f>
        <v/>
      </c>
      <c r="AR76" s="297">
        <f>IFERROR(INDEX(Data!CN$9:CN$1273,MATCH($M76,Data!$K$9:$K$1273,0)),"")</f>
        <v/>
      </c>
      <c r="AS76" s="297">
        <f>IFERROR(INDEX(Data!CO$9:CO$1273,MATCH($M76,Data!$K$9:$K$1273,0)),"")</f>
        <v/>
      </c>
      <c r="AT76" s="297">
        <f>IFERROR(INDEX(Data!CP$9:CP$1273,MATCH($M76,Data!$K$9:$K$1273,0)),"")</f>
        <v/>
      </c>
      <c r="AU76" s="297">
        <f>IFERROR(INDEX(Data!CQ$9:CQ$1273,MATCH($M76,Data!$K$9:$K$1273,0)),"")</f>
        <v/>
      </c>
      <c r="AV76" s="297">
        <f>IFERROR(INDEX(Data!CR$9:CR$1273,MATCH($M76,Data!$K$9:$K$1273,0)),"")</f>
        <v/>
      </c>
      <c r="AW76" s="297">
        <f>IFERROR(INDEX(Data!CS$9:CS$1273,MATCH($M76,Data!$K$9:$K$1273,0)),"")</f>
        <v/>
      </c>
      <c r="AX76" s="297">
        <f>IFERROR(INDEX(Data!CT$9:CT$1273,MATCH($M76,Data!$K$9:$K$1273,0)),"")</f>
        <v/>
      </c>
      <c r="AY76" s="297">
        <f>IFERROR(INDEX(Data!CU$9:CU$1273,MATCH($M76,Data!$K$9:$K$1273,0)),"")</f>
        <v/>
      </c>
      <c r="AZ76" s="297">
        <f>IFERROR(INDEX(Data!CV$9:CV$1273,MATCH($M76,Data!$K$9:$K$1273,0)),"")</f>
        <v/>
      </c>
      <c r="BA76" s="297">
        <f>IFERROR(INDEX(Data!CX$9:CX$1273,MATCH($M76,Data!$K$9:$K$1273,0)),"")</f>
        <v/>
      </c>
      <c r="BB76" s="297">
        <f>IFERROR(INDEX(Data!CY$9:CY$1273,MATCH($M76,Data!$K$9:$K$1273,0)),"")</f>
        <v/>
      </c>
      <c r="BC76" s="297">
        <f>IFERROR(INDEX(Data!CZ$9:CZ$1273,MATCH($M76,Data!$K$9:$K$1273,0)),"")</f>
        <v/>
      </c>
      <c r="BD76" s="297">
        <f>IFERROR(INDEX(Data!DA$9:DA$1273,MATCH($M76,Data!$K$9:$K$1273,0)),"")</f>
        <v/>
      </c>
      <c r="BE76" s="297">
        <f>IFERROR(INDEX(Data!DB$9:DB$1273,MATCH($M76,Data!$K$9:$K$1273,0)),"")</f>
        <v/>
      </c>
      <c r="BF76" s="297">
        <f>IFERROR(INDEX(Data!DC$9:DC$1273,MATCH($M76,Data!$K$9:$K$1273,0)),"")</f>
        <v/>
      </c>
      <c r="BG76" s="297">
        <f>IFERROR(INDEX(Data!DD$9:DD$1273,MATCH($M76,Data!$K$9:$K$1273,0)),"")</f>
        <v/>
      </c>
      <c r="BH76" s="297">
        <f>IFERROR(INDEX(Data!DE$9:DE$1273,MATCH($M76,Data!$K$9:$K$1273,0)),"")</f>
        <v/>
      </c>
      <c r="BI76" s="297">
        <f>IFERROR(INDEX(Data!DF$9:DF$1273,MATCH($M76,Data!$K$9:$K$1273,0)),"")</f>
        <v/>
      </c>
      <c r="BJ76" s="297">
        <f>IFERROR(INDEX(Data!DG$9:DG$1273,MATCH($M76,Data!$K$9:$K$1273,0)),"")</f>
        <v/>
      </c>
      <c r="BK76" s="297">
        <f>IFERROR(INDEX(Data!DH$9:DH$1273,MATCH($M76,Data!$K$9:$K$1273,0)),"")</f>
        <v/>
      </c>
      <c r="BL76" s="297">
        <f>IFERROR(INDEX(Data!DI$9:DI$1273,MATCH($M76,Data!$K$9:$K$1273,0)),"")</f>
        <v/>
      </c>
      <c r="BM76" s="297">
        <f>IFERROR(INDEX(Data!DJ$9:DJ$1273,MATCH($M76,Data!$K$9:$K$1273,0)),"")</f>
        <v/>
      </c>
      <c r="BN76" s="297">
        <f>IFERROR(INDEX(Data!DK$9:DK$1273,MATCH($M76,Data!$K$9:$K$1273,0)),"")</f>
        <v/>
      </c>
      <c r="BO76" s="297">
        <f>IFERROR(INDEX(Data!DL$9:DL$1273,MATCH($M76,Data!$K$9:$K$1273,0)),"")</f>
        <v/>
      </c>
      <c r="BP76" s="328">
        <f>IFERROR(IF(BK76=0,"-",BK76),"")</f>
        <v/>
      </c>
      <c r="BQ76" s="297">
        <f>IFERROR(IF(BP76-K76&gt;0,TRUE,FALSE)," ")</f>
        <v/>
      </c>
      <c r="BR76" s="297">
        <f>_xlfn.CONCAT(E76,F76,H76,G76)</f>
        <v/>
      </c>
      <c r="BS76" s="297">
        <f>IFERROR(INDEX(Data!$DO$9:$DO$1273,MATCH('Your recommendation'!BR76,Data!$DN$9:$DN$1273,0)),"")</f>
        <v/>
      </c>
    </row>
    <row r="77" ht="15.6" customHeight="1" s="184">
      <c r="B77" s="309">
        <f>IF(C77&gt;0,B76+1,"")</f>
        <v/>
      </c>
      <c r="C77" s="296" t="n">
        <v>0.938011580530401</v>
      </c>
      <c r="D77" s="297">
        <f>IFERROR(INDEX(Data!BR$9:BR$1273,MATCH($M77,Data!$K$9:$K$1273,0)),"")</f>
        <v/>
      </c>
      <c r="E77" s="297">
        <f>IFERROR(INDEX(Data!BS$9:BS$1273,MATCH($M77,Data!$K$9:$K$1273,0)),"")</f>
        <v/>
      </c>
      <c r="F77" s="297">
        <f>IFERROR(INDEX(Data!DM$9:DM$1273,MATCH($M77,Data!$K$9:$K$1273,0)),"")</f>
        <v/>
      </c>
      <c r="G77" s="297">
        <f>IFERROR(INDEX(Data!BV$9:BV$1273,MATCH($M77,Data!$K$9:$K$1273,0)),"")</f>
        <v/>
      </c>
      <c r="H77" s="297">
        <f>IFERROR(INDEX(Data!BW$9:BW$1273,MATCH($M77,Data!$K$9:$K$1273,0)),"")</f>
        <v/>
      </c>
      <c r="I77" s="297">
        <f>IFERROR(INDEX(Data!BX$9:BX$1273,MATCH($M77,Data!$K$9:$K$1273,0)),"")</f>
        <v/>
      </c>
      <c r="J77" s="297">
        <f>IFERROR(INDEX(Data!CB$9:CB$1273,MATCH($M77,Data!$K$9:$K$1273,0)),"")</f>
        <v/>
      </c>
      <c r="K77" s="326">
        <f>IFERROR(HYPERLINK(BM77,BC77),"-")</f>
        <v/>
      </c>
      <c r="L77" s="327">
        <f>IFERROR(IF(BB77=0,"-",BB77)," ")</f>
        <v/>
      </c>
      <c r="M77" s="188" t="n">
        <v>0.938011580530401</v>
      </c>
      <c r="N77" s="188">
        <f>IFERROR(INDEX(Data!L$9:L$1273,MATCH($M77,Data!$K$9:$K$1273,0)),"")</f>
        <v/>
      </c>
      <c r="O77" s="188">
        <f>IFERROR(INDEX(Data!M$9:M$1273,MATCH($M77,Data!$K$9:$K$1273,0)),"")</f>
        <v/>
      </c>
      <c r="P77" s="188">
        <f>IFERROR(INDEX(Data!N$9:N$1273,MATCH($M77,Data!$K$9:$K$1273,0)),"")</f>
        <v/>
      </c>
      <c r="Q77" s="188">
        <f>IFERROR(INDEX(Data!O$9:O$1273,MATCH($M77,Data!$K$9:$K$1273,0)),"")</f>
        <v/>
      </c>
      <c r="R77" s="188">
        <f>IFERROR(INDEX(Data!P$9:P$1273,MATCH($M77,Data!$K$9:$K$1273,0)),"")</f>
        <v/>
      </c>
      <c r="S77" s="188">
        <f>IFERROR(INDEX(Data!S$9:S$1273,MATCH($M77,Data!$K$9:$K$1273,0)),"")</f>
        <v/>
      </c>
      <c r="T77" s="188">
        <f>IFERROR(INDEX(Data!T$9:T$1273,MATCH($M77,Data!$K$9:$K$1273,0)),"")</f>
        <v/>
      </c>
      <c r="U77" s="188">
        <f>IFERROR(INDEX(Data!U$9:U$1273,MATCH($M77,Data!$K$9:$K$1273,0)),"")</f>
        <v/>
      </c>
      <c r="V77" s="188">
        <f>IFERROR(INDEX(Data!V$9:V$1273,MATCH($M77,Data!$K$9:$K$1273,0)),"")</f>
        <v/>
      </c>
      <c r="W77" s="188">
        <f>IFERROR(INDEX(Data!W$9:W$1273,MATCH($M77,Data!$K$9:$K$1273,0)),"")</f>
        <v/>
      </c>
      <c r="X77" s="188">
        <f>IFERROR(INDEX(Data!AJ$9:AJ$1273,MATCH($M77,Data!$K$9:$K$1273,0)),"")</f>
        <v/>
      </c>
      <c r="Y77" s="188">
        <f>IFERROR(INDEX(Data!AK$9:AK$1273,MATCH($M77,Data!$K$9:$K$1273,0)),"")</f>
        <v/>
      </c>
      <c r="Z77" s="188">
        <f>IFERROR(INDEX(Data!AL$9:AL$1273,MATCH($M77,Data!$K$9:$K$1273,0)),"")</f>
        <v/>
      </c>
      <c r="AA77" s="188">
        <f>IFERROR(INDEX(Data!AM$9:AM$1273,MATCH($M77,Data!$K$9:$K$1273,0)),"")</f>
        <v/>
      </c>
      <c r="AB77" s="188">
        <f>IFERROR(INDEX(Data!AN$9:AN$1273,MATCH($M77,Data!$K$9:$K$1273,0)),"")</f>
        <v/>
      </c>
      <c r="AC77" s="297">
        <f>IFERROR(INDEX(Data!BY$9:BY$1273,MATCH($M77,Data!$K$9:$K$1273,0)),"")</f>
        <v/>
      </c>
      <c r="AD77" s="297">
        <f>IFERROR(INDEX(Data!BZ$9:BZ$1273,MATCH($M77,Data!$K$9:$K$1273,0)),"")</f>
        <v/>
      </c>
      <c r="AE77" s="297">
        <f>IFERROR(INDEX(Data!CA$9:CA$1273,MATCH($M77,Data!$K$9:$K$1273,0)),"")</f>
        <v/>
      </c>
      <c r="AF77" s="297">
        <f>IFERROR(INDEX(Data!CB$9:CB$1273,MATCH($M77,Data!$K$9:$K$1273,0)),"")</f>
        <v/>
      </c>
      <c r="AG77" s="297">
        <f>IFERROR(INDEX(Data!CC$9:CC$1273,MATCH($M77,Data!$K$9:$K$1273,0)),"")</f>
        <v/>
      </c>
      <c r="AH77" s="297">
        <f>IFERROR(INDEX(Data!CD$9:CD$1273,MATCH($M77,Data!$K$9:$K$1273,0)),"")</f>
        <v/>
      </c>
      <c r="AI77" s="297">
        <f>IFERROR(INDEX(Data!CE$9:CE$1273,MATCH($M77,Data!$K$9:$K$1273,0)),"")</f>
        <v/>
      </c>
      <c r="AJ77" s="297">
        <f>IFERROR(INDEX(Data!CF$9:CF$1273,MATCH($M77,Data!$K$9:$K$1273,0)),"")</f>
        <v/>
      </c>
      <c r="AK77" s="297">
        <f>IFERROR(INDEX(Data!CG$9:CG$1273,MATCH($M77,Data!$K$9:$K$1273,0)),"")</f>
        <v/>
      </c>
      <c r="AL77" s="297">
        <f>IFERROR(INDEX(Data!CH$9:CH$1273,MATCH($M77,Data!$K$9:$K$1273,0)),"")</f>
        <v/>
      </c>
      <c r="AM77" s="297">
        <f>IFERROR(INDEX(Data!CI$9:CI$1273,MATCH($M77,Data!$K$9:$K$1273,0)),"")</f>
        <v/>
      </c>
      <c r="AN77" s="297">
        <f>IFERROR(INDEX(Data!CJ$9:CJ$1273,MATCH($M77,Data!$K$9:$K$1273,0)),"")</f>
        <v/>
      </c>
      <c r="AO77" s="297">
        <f>IFERROR(INDEX(Data!CK$9:CK$1273,MATCH($M77,Data!$K$9:$K$1273,0)),"")</f>
        <v/>
      </c>
      <c r="AP77" s="297">
        <f>IFERROR(INDEX(Data!CL$9:CL$1273,MATCH($M77,Data!$K$9:$K$1273,0)),"")</f>
        <v/>
      </c>
      <c r="AQ77" s="297">
        <f>IFERROR(INDEX(Data!CM$9:CM$1273,MATCH($M77,Data!$K$9:$K$1273,0)),"")</f>
        <v/>
      </c>
      <c r="AR77" s="297">
        <f>IFERROR(INDEX(Data!CN$9:CN$1273,MATCH($M77,Data!$K$9:$K$1273,0)),"")</f>
        <v/>
      </c>
      <c r="AS77" s="297">
        <f>IFERROR(INDEX(Data!CO$9:CO$1273,MATCH($M77,Data!$K$9:$K$1273,0)),"")</f>
        <v/>
      </c>
      <c r="AT77" s="297">
        <f>IFERROR(INDEX(Data!CP$9:CP$1273,MATCH($M77,Data!$K$9:$K$1273,0)),"")</f>
        <v/>
      </c>
      <c r="AU77" s="297">
        <f>IFERROR(INDEX(Data!CQ$9:CQ$1273,MATCH($M77,Data!$K$9:$K$1273,0)),"")</f>
        <v/>
      </c>
      <c r="AV77" s="297">
        <f>IFERROR(INDEX(Data!CR$9:CR$1273,MATCH($M77,Data!$K$9:$K$1273,0)),"")</f>
        <v/>
      </c>
      <c r="AW77" s="297">
        <f>IFERROR(INDEX(Data!CS$9:CS$1273,MATCH($M77,Data!$K$9:$K$1273,0)),"")</f>
        <v/>
      </c>
      <c r="AX77" s="297">
        <f>IFERROR(INDEX(Data!CT$9:CT$1273,MATCH($M77,Data!$K$9:$K$1273,0)),"")</f>
        <v/>
      </c>
      <c r="AY77" s="297">
        <f>IFERROR(INDEX(Data!CU$9:CU$1273,MATCH($M77,Data!$K$9:$K$1273,0)),"")</f>
        <v/>
      </c>
      <c r="AZ77" s="297">
        <f>IFERROR(INDEX(Data!CV$9:CV$1273,MATCH($M77,Data!$K$9:$K$1273,0)),"")</f>
        <v/>
      </c>
      <c r="BA77" s="297">
        <f>IFERROR(INDEX(Data!CX$9:CX$1273,MATCH($M77,Data!$K$9:$K$1273,0)),"")</f>
        <v/>
      </c>
      <c r="BB77" s="297">
        <f>IFERROR(INDEX(Data!CY$9:CY$1273,MATCH($M77,Data!$K$9:$K$1273,0)),"")</f>
        <v/>
      </c>
      <c r="BC77" s="297">
        <f>IFERROR(INDEX(Data!CZ$9:CZ$1273,MATCH($M77,Data!$K$9:$K$1273,0)),"")</f>
        <v/>
      </c>
      <c r="BD77" s="297">
        <f>IFERROR(INDEX(Data!DA$9:DA$1273,MATCH($M77,Data!$K$9:$K$1273,0)),"")</f>
        <v/>
      </c>
      <c r="BE77" s="297">
        <f>IFERROR(INDEX(Data!DB$9:DB$1273,MATCH($M77,Data!$K$9:$K$1273,0)),"")</f>
        <v/>
      </c>
      <c r="BF77" s="297">
        <f>IFERROR(INDEX(Data!DC$9:DC$1273,MATCH($M77,Data!$K$9:$K$1273,0)),"")</f>
        <v/>
      </c>
      <c r="BG77" s="297">
        <f>IFERROR(INDEX(Data!DD$9:DD$1273,MATCH($M77,Data!$K$9:$K$1273,0)),"")</f>
        <v/>
      </c>
      <c r="BH77" s="297">
        <f>IFERROR(INDEX(Data!DE$9:DE$1273,MATCH($M77,Data!$K$9:$K$1273,0)),"")</f>
        <v/>
      </c>
      <c r="BI77" s="297">
        <f>IFERROR(INDEX(Data!DF$9:DF$1273,MATCH($M77,Data!$K$9:$K$1273,0)),"")</f>
        <v/>
      </c>
      <c r="BJ77" s="297">
        <f>IFERROR(INDEX(Data!DG$9:DG$1273,MATCH($M77,Data!$K$9:$K$1273,0)),"")</f>
        <v/>
      </c>
      <c r="BK77" s="297">
        <f>IFERROR(INDEX(Data!DH$9:DH$1273,MATCH($M77,Data!$K$9:$K$1273,0)),"")</f>
        <v/>
      </c>
      <c r="BL77" s="297">
        <f>IFERROR(INDEX(Data!DI$9:DI$1273,MATCH($M77,Data!$K$9:$K$1273,0)),"")</f>
        <v/>
      </c>
      <c r="BM77" s="297">
        <f>IFERROR(INDEX(Data!DJ$9:DJ$1273,MATCH($M77,Data!$K$9:$K$1273,0)),"")</f>
        <v/>
      </c>
      <c r="BN77" s="297">
        <f>IFERROR(INDEX(Data!DK$9:DK$1273,MATCH($M77,Data!$K$9:$K$1273,0)),"")</f>
        <v/>
      </c>
      <c r="BO77" s="297">
        <f>IFERROR(INDEX(Data!DL$9:DL$1273,MATCH($M77,Data!$K$9:$K$1273,0)),"")</f>
        <v/>
      </c>
      <c r="BP77" s="328">
        <f>IFERROR(IF(BK77=0,"-",BK77),"")</f>
        <v/>
      </c>
      <c r="BQ77" s="297">
        <f>IFERROR(IF(BP77-K77&gt;0,TRUE,FALSE)," ")</f>
        <v/>
      </c>
      <c r="BR77" s="297">
        <f>_xlfn.CONCAT(E77,F77,H77,G77)</f>
        <v/>
      </c>
      <c r="BS77" s="297">
        <f>IFERROR(INDEX(Data!$DO$9:$DO$1273,MATCH('Your recommendation'!BR77,Data!$DN$9:$DN$1273,0)),"")</f>
        <v/>
      </c>
    </row>
    <row r="78" ht="15.6" customFormat="1" customHeight="1" s="138">
      <c r="B78" s="309">
        <f>IF(C78&gt;0,B77+1,"")</f>
        <v/>
      </c>
      <c r="C78" s="310" t="n">
        <v>0.9358854979911172</v>
      </c>
      <c r="D78" s="312">
        <f>IFERROR(INDEX(Data!BR$9:BR$1273,MATCH($M78,Data!$K$9:$K$1273,0)),"")</f>
        <v/>
      </c>
      <c r="E78" s="312">
        <f>IFERROR(INDEX(Data!BS$9:BS$1273,MATCH($M78,Data!$K$9:$K$1273,0)),"")</f>
        <v/>
      </c>
      <c r="F78" s="312">
        <f>IFERROR(INDEX(Data!DM$9:DM$1273,MATCH($M78,Data!$K$9:$K$1273,0)),"")</f>
        <v/>
      </c>
      <c r="G78" s="312">
        <f>IFERROR(INDEX(Data!BV$9:BV$1273,MATCH($M78,Data!$K$9:$K$1273,0)),"")</f>
        <v/>
      </c>
      <c r="H78" s="312">
        <f>IFERROR(INDEX(Data!BW$9:BW$1273,MATCH($M78,Data!$K$9:$K$1273,0)),"")</f>
        <v/>
      </c>
      <c r="I78" s="312">
        <f>IFERROR(INDEX(Data!BX$9:BX$1273,MATCH($M78,Data!$K$9:$K$1273,0)),"")</f>
        <v/>
      </c>
      <c r="J78" s="312">
        <f>IFERROR(INDEX(Data!CB$9:CB$1273,MATCH($M78,Data!$K$9:$K$1273,0)),"")</f>
        <v/>
      </c>
      <c r="K78" s="329">
        <f>IFERROR(HYPERLINK(BM78,BC78),"-")</f>
        <v/>
      </c>
      <c r="L78" s="330">
        <f>IFERROR(IF(BB78=0,"-",BB78)," ")</f>
        <v/>
      </c>
      <c r="M78" s="311" t="n">
        <v>0.9358854979911172</v>
      </c>
      <c r="N78" s="311">
        <f>IFERROR(INDEX(Data!L$9:L$1273,MATCH($M78,Data!$K$9:$K$1273,0)),"")</f>
        <v/>
      </c>
      <c r="O78" s="311">
        <f>IFERROR(INDEX(Data!M$9:M$1273,MATCH($M78,Data!$K$9:$K$1273,0)),"")</f>
        <v/>
      </c>
      <c r="P78" s="311">
        <f>IFERROR(INDEX(Data!N$9:N$1273,MATCH($M78,Data!$K$9:$K$1273,0)),"")</f>
        <v/>
      </c>
      <c r="Q78" s="311">
        <f>IFERROR(INDEX(Data!O$9:O$1273,MATCH($M78,Data!$K$9:$K$1273,0)),"")</f>
        <v/>
      </c>
      <c r="R78" s="311">
        <f>IFERROR(INDEX(Data!P$9:P$1273,MATCH($M78,Data!$K$9:$K$1273,0)),"")</f>
        <v/>
      </c>
      <c r="S78" s="311">
        <f>IFERROR(INDEX(Data!S$9:S$1273,MATCH($M78,Data!$K$9:$K$1273,0)),"")</f>
        <v/>
      </c>
      <c r="T78" s="311">
        <f>IFERROR(INDEX(Data!T$9:T$1273,MATCH($M78,Data!$K$9:$K$1273,0)),"")</f>
        <v/>
      </c>
      <c r="U78" s="311">
        <f>IFERROR(INDEX(Data!U$9:U$1273,MATCH($M78,Data!$K$9:$K$1273,0)),"")</f>
        <v/>
      </c>
      <c r="V78" s="311">
        <f>IFERROR(INDEX(Data!V$9:V$1273,MATCH($M78,Data!$K$9:$K$1273,0)),"")</f>
        <v/>
      </c>
      <c r="W78" s="311">
        <f>IFERROR(INDEX(Data!W$9:W$1273,MATCH($M78,Data!$K$9:$K$1273,0)),"")</f>
        <v/>
      </c>
      <c r="X78" s="311">
        <f>IFERROR(INDEX(Data!AJ$9:AJ$1273,MATCH($M78,Data!$K$9:$K$1273,0)),"")</f>
        <v/>
      </c>
      <c r="Y78" s="311">
        <f>IFERROR(INDEX(Data!AK$9:AK$1273,MATCH($M78,Data!$K$9:$K$1273,0)),"")</f>
        <v/>
      </c>
      <c r="Z78" s="311">
        <f>IFERROR(INDEX(Data!AL$9:AL$1273,MATCH($M78,Data!$K$9:$K$1273,0)),"")</f>
        <v/>
      </c>
      <c r="AA78" s="311">
        <f>IFERROR(INDEX(Data!AM$9:AM$1273,MATCH($M78,Data!$K$9:$K$1273,0)),"")</f>
        <v/>
      </c>
      <c r="AB78" s="311">
        <f>IFERROR(INDEX(Data!AN$9:AN$1273,MATCH($M78,Data!$K$9:$K$1273,0)),"")</f>
        <v/>
      </c>
      <c r="AC78" s="312">
        <f>IFERROR(INDEX(Data!BY$9:BY$1273,MATCH($M78,Data!$K$9:$K$1273,0)),"")</f>
        <v/>
      </c>
      <c r="AD78" s="312">
        <f>IFERROR(INDEX(Data!BZ$9:BZ$1273,MATCH($M78,Data!$K$9:$K$1273,0)),"")</f>
        <v/>
      </c>
      <c r="AE78" s="312">
        <f>IFERROR(INDEX(Data!CA$9:CA$1273,MATCH($M78,Data!$K$9:$K$1273,0)),"")</f>
        <v/>
      </c>
      <c r="AF78" s="312">
        <f>IFERROR(INDEX(Data!CB$9:CB$1273,MATCH($M78,Data!$K$9:$K$1273,0)),"")</f>
        <v/>
      </c>
      <c r="AG78" s="312">
        <f>IFERROR(INDEX(Data!CC$9:CC$1273,MATCH($M78,Data!$K$9:$K$1273,0)),"")</f>
        <v/>
      </c>
      <c r="AH78" s="312">
        <f>IFERROR(INDEX(Data!CD$9:CD$1273,MATCH($M78,Data!$K$9:$K$1273,0)),"")</f>
        <v/>
      </c>
      <c r="AI78" s="312">
        <f>IFERROR(INDEX(Data!CE$9:CE$1273,MATCH($M78,Data!$K$9:$K$1273,0)),"")</f>
        <v/>
      </c>
      <c r="AJ78" s="312">
        <f>IFERROR(INDEX(Data!CF$9:CF$1273,MATCH($M78,Data!$K$9:$K$1273,0)),"")</f>
        <v/>
      </c>
      <c r="AK78" s="312">
        <f>IFERROR(INDEX(Data!CG$9:CG$1273,MATCH($M78,Data!$K$9:$K$1273,0)),"")</f>
        <v/>
      </c>
      <c r="AL78" s="312">
        <f>IFERROR(INDEX(Data!CH$9:CH$1273,MATCH($M78,Data!$K$9:$K$1273,0)),"")</f>
        <v/>
      </c>
      <c r="AM78" s="312">
        <f>IFERROR(INDEX(Data!CI$9:CI$1273,MATCH($M78,Data!$K$9:$K$1273,0)),"")</f>
        <v/>
      </c>
      <c r="AN78" s="312">
        <f>IFERROR(INDEX(Data!CJ$9:CJ$1273,MATCH($M78,Data!$K$9:$K$1273,0)),"")</f>
        <v/>
      </c>
      <c r="AO78" s="312">
        <f>IFERROR(INDEX(Data!CK$9:CK$1273,MATCH($M78,Data!$K$9:$K$1273,0)),"")</f>
        <v/>
      </c>
      <c r="AP78" s="312">
        <f>IFERROR(INDEX(Data!CL$9:CL$1273,MATCH($M78,Data!$K$9:$K$1273,0)),"")</f>
        <v/>
      </c>
      <c r="AQ78" s="312">
        <f>IFERROR(INDEX(Data!CM$9:CM$1273,MATCH($M78,Data!$K$9:$K$1273,0)),"")</f>
        <v/>
      </c>
      <c r="AR78" s="312">
        <f>IFERROR(INDEX(Data!CN$9:CN$1273,MATCH($M78,Data!$K$9:$K$1273,0)),"")</f>
        <v/>
      </c>
      <c r="AS78" s="312">
        <f>IFERROR(INDEX(Data!CO$9:CO$1273,MATCH($M78,Data!$K$9:$K$1273,0)),"")</f>
        <v/>
      </c>
      <c r="AT78" s="312">
        <f>IFERROR(INDEX(Data!CP$9:CP$1273,MATCH($M78,Data!$K$9:$K$1273,0)),"")</f>
        <v/>
      </c>
      <c r="AU78" s="312">
        <f>IFERROR(INDEX(Data!CQ$9:CQ$1273,MATCH($M78,Data!$K$9:$K$1273,0)),"")</f>
        <v/>
      </c>
      <c r="AV78" s="312">
        <f>IFERROR(INDEX(Data!CR$9:CR$1273,MATCH($M78,Data!$K$9:$K$1273,0)),"")</f>
        <v/>
      </c>
      <c r="AW78" s="312">
        <f>IFERROR(INDEX(Data!CS$9:CS$1273,MATCH($M78,Data!$K$9:$K$1273,0)),"")</f>
        <v/>
      </c>
      <c r="AX78" s="312">
        <f>IFERROR(INDEX(Data!CT$9:CT$1273,MATCH($M78,Data!$K$9:$K$1273,0)),"")</f>
        <v/>
      </c>
      <c r="AY78" s="312">
        <f>IFERROR(INDEX(Data!CU$9:CU$1273,MATCH($M78,Data!$K$9:$K$1273,0)),"")</f>
        <v/>
      </c>
      <c r="AZ78" s="312">
        <f>IFERROR(INDEX(Data!CV$9:CV$1273,MATCH($M78,Data!$K$9:$K$1273,0)),"")</f>
        <v/>
      </c>
      <c r="BA78" s="312">
        <f>IFERROR(INDEX(Data!CX$9:CX$1273,MATCH($M78,Data!$K$9:$K$1273,0)),"")</f>
        <v/>
      </c>
      <c r="BB78" s="312">
        <f>IFERROR(INDEX(Data!CY$9:CY$1273,MATCH($M78,Data!$K$9:$K$1273,0)),"")</f>
        <v/>
      </c>
      <c r="BC78" s="312">
        <f>IFERROR(INDEX(Data!CZ$9:CZ$1273,MATCH($M78,Data!$K$9:$K$1273,0)),"")</f>
        <v/>
      </c>
      <c r="BD78" s="312">
        <f>IFERROR(INDEX(Data!DA$9:DA$1273,MATCH($M78,Data!$K$9:$K$1273,0)),"")</f>
        <v/>
      </c>
      <c r="BE78" s="312">
        <f>IFERROR(INDEX(Data!DB$9:DB$1273,MATCH($M78,Data!$K$9:$K$1273,0)),"")</f>
        <v/>
      </c>
      <c r="BF78" s="312">
        <f>IFERROR(INDEX(Data!DC$9:DC$1273,MATCH($M78,Data!$K$9:$K$1273,0)),"")</f>
        <v/>
      </c>
      <c r="BG78" s="312">
        <f>IFERROR(INDEX(Data!DD$9:DD$1273,MATCH($M78,Data!$K$9:$K$1273,0)),"")</f>
        <v/>
      </c>
      <c r="BH78" s="312">
        <f>IFERROR(INDEX(Data!DE$9:DE$1273,MATCH($M78,Data!$K$9:$K$1273,0)),"")</f>
        <v/>
      </c>
      <c r="BI78" s="312">
        <f>IFERROR(INDEX(Data!DF$9:DF$1273,MATCH($M78,Data!$K$9:$K$1273,0)),"")</f>
        <v/>
      </c>
      <c r="BJ78" s="312">
        <f>IFERROR(INDEX(Data!DG$9:DG$1273,MATCH($M78,Data!$K$9:$K$1273,0)),"")</f>
        <v/>
      </c>
      <c r="BK78" s="312">
        <f>IFERROR(INDEX(Data!DH$9:DH$1273,MATCH($M78,Data!$K$9:$K$1273,0)),"")</f>
        <v/>
      </c>
      <c r="BL78" s="312">
        <f>IFERROR(INDEX(Data!DI$9:DI$1273,MATCH($M78,Data!$K$9:$K$1273,0)),"")</f>
        <v/>
      </c>
      <c r="BM78" s="312">
        <f>IFERROR(INDEX(Data!DJ$9:DJ$1273,MATCH($M78,Data!$K$9:$K$1273,0)),"")</f>
        <v/>
      </c>
      <c r="BN78" s="312">
        <f>IFERROR(INDEX(Data!DK$9:DK$1273,MATCH($M78,Data!$K$9:$K$1273,0)),"")</f>
        <v/>
      </c>
      <c r="BO78" s="312">
        <f>IFERROR(INDEX(Data!DL$9:DL$1273,MATCH($M78,Data!$K$9:$K$1273,0)),"")</f>
        <v/>
      </c>
      <c r="BP78" s="331">
        <f>IFERROR(IF(BK78=0,"-",BK78),"")</f>
        <v/>
      </c>
      <c r="BQ78" s="312">
        <f>IFERROR(IF(BP78-K78&gt;0,TRUE,FALSE)," ")</f>
        <v/>
      </c>
      <c r="BR78" s="312">
        <f>_xlfn.CONCAT(E78,F78,H78,G78)</f>
        <v/>
      </c>
      <c r="BS78" s="312">
        <f>IFERROR(INDEX(Data!$DO$9:$DO$1273,MATCH('Your recommendation'!BR78,Data!$DN$9:$DN$1273,0)),"")</f>
        <v/>
      </c>
    </row>
    <row r="79" ht="15.6" customFormat="1" customHeight="1" s="138">
      <c r="B79" s="309">
        <f>IF(C79&gt;0,B78+1,"")</f>
        <v/>
      </c>
      <c r="C79" s="310" t="n">
        <v>0.9317904099417595</v>
      </c>
      <c r="D79" s="312">
        <f>IFERROR(INDEX(Data!BR$9:BR$1273,MATCH($M79,Data!$K$9:$K$1273,0)),"")</f>
        <v/>
      </c>
      <c r="E79" s="312">
        <f>IFERROR(INDEX(Data!BS$9:BS$1273,MATCH($M79,Data!$K$9:$K$1273,0)),"")</f>
        <v/>
      </c>
      <c r="F79" s="312">
        <f>IFERROR(INDEX(Data!DM$9:DM$1273,MATCH($M79,Data!$K$9:$K$1273,0)),"")</f>
        <v/>
      </c>
      <c r="G79" s="312">
        <f>IFERROR(INDEX(Data!BV$9:BV$1273,MATCH($M79,Data!$K$9:$K$1273,0)),"")</f>
        <v/>
      </c>
      <c r="H79" s="312">
        <f>IFERROR(INDEX(Data!BW$9:BW$1273,MATCH($M79,Data!$K$9:$K$1273,0)),"")</f>
        <v/>
      </c>
      <c r="I79" s="312">
        <f>IFERROR(INDEX(Data!BX$9:BX$1273,MATCH($M79,Data!$K$9:$K$1273,0)),"")</f>
        <v/>
      </c>
      <c r="J79" s="312">
        <f>IFERROR(INDEX(Data!CB$9:CB$1273,MATCH($M79,Data!$K$9:$K$1273,0)),"")</f>
        <v/>
      </c>
      <c r="K79" s="329">
        <f>IFERROR(HYPERLINK(BM79,BC79),"-")</f>
        <v/>
      </c>
      <c r="L79" s="330">
        <f>IFERROR(IF(BB79=0,"-",BB79)," ")</f>
        <v/>
      </c>
      <c r="M79" s="311" t="n">
        <v>0.9317904099417595</v>
      </c>
      <c r="N79" s="311">
        <f>IFERROR(INDEX(Data!L$9:L$1273,MATCH($M79,Data!$K$9:$K$1273,0)),"")</f>
        <v/>
      </c>
      <c r="O79" s="311">
        <f>IFERROR(INDEX(Data!M$9:M$1273,MATCH($M79,Data!$K$9:$K$1273,0)),"")</f>
        <v/>
      </c>
      <c r="P79" s="311">
        <f>IFERROR(INDEX(Data!N$9:N$1273,MATCH($M79,Data!$K$9:$K$1273,0)),"")</f>
        <v/>
      </c>
      <c r="Q79" s="311">
        <f>IFERROR(INDEX(Data!O$9:O$1273,MATCH($M79,Data!$K$9:$K$1273,0)),"")</f>
        <v/>
      </c>
      <c r="R79" s="311">
        <f>IFERROR(INDEX(Data!P$9:P$1273,MATCH($M79,Data!$K$9:$K$1273,0)),"")</f>
        <v/>
      </c>
      <c r="S79" s="311">
        <f>IFERROR(INDEX(Data!S$9:S$1273,MATCH($M79,Data!$K$9:$K$1273,0)),"")</f>
        <v/>
      </c>
      <c r="T79" s="311">
        <f>IFERROR(INDEX(Data!T$9:T$1273,MATCH($M79,Data!$K$9:$K$1273,0)),"")</f>
        <v/>
      </c>
      <c r="U79" s="311">
        <f>IFERROR(INDEX(Data!U$9:U$1273,MATCH($M79,Data!$K$9:$K$1273,0)),"")</f>
        <v/>
      </c>
      <c r="V79" s="311">
        <f>IFERROR(INDEX(Data!V$9:V$1273,MATCH($M79,Data!$K$9:$K$1273,0)),"")</f>
        <v/>
      </c>
      <c r="W79" s="311">
        <f>IFERROR(INDEX(Data!W$9:W$1273,MATCH($M79,Data!$K$9:$K$1273,0)),"")</f>
        <v/>
      </c>
      <c r="X79" s="311">
        <f>IFERROR(INDEX(Data!AJ$9:AJ$1273,MATCH($M79,Data!$K$9:$K$1273,0)),"")</f>
        <v/>
      </c>
      <c r="Y79" s="311">
        <f>IFERROR(INDEX(Data!AK$9:AK$1273,MATCH($M79,Data!$K$9:$K$1273,0)),"")</f>
        <v/>
      </c>
      <c r="Z79" s="311">
        <f>IFERROR(INDEX(Data!AL$9:AL$1273,MATCH($M79,Data!$K$9:$K$1273,0)),"")</f>
        <v/>
      </c>
      <c r="AA79" s="311">
        <f>IFERROR(INDEX(Data!AM$9:AM$1273,MATCH($M79,Data!$K$9:$K$1273,0)),"")</f>
        <v/>
      </c>
      <c r="AB79" s="311">
        <f>IFERROR(INDEX(Data!AN$9:AN$1273,MATCH($M79,Data!$K$9:$K$1273,0)),"")</f>
        <v/>
      </c>
      <c r="AC79" s="312">
        <f>IFERROR(INDEX(Data!BY$9:BY$1273,MATCH($M79,Data!$K$9:$K$1273,0)),"")</f>
        <v/>
      </c>
      <c r="AD79" s="312">
        <f>IFERROR(INDEX(Data!BZ$9:BZ$1273,MATCH($M79,Data!$K$9:$K$1273,0)),"")</f>
        <v/>
      </c>
      <c r="AE79" s="312">
        <f>IFERROR(INDEX(Data!CA$9:CA$1273,MATCH($M79,Data!$K$9:$K$1273,0)),"")</f>
        <v/>
      </c>
      <c r="AF79" s="312">
        <f>IFERROR(INDEX(Data!CB$9:CB$1273,MATCH($M79,Data!$K$9:$K$1273,0)),"")</f>
        <v/>
      </c>
      <c r="AG79" s="312">
        <f>IFERROR(INDEX(Data!CC$9:CC$1273,MATCH($M79,Data!$K$9:$K$1273,0)),"")</f>
        <v/>
      </c>
      <c r="AH79" s="312">
        <f>IFERROR(INDEX(Data!CD$9:CD$1273,MATCH($M79,Data!$K$9:$K$1273,0)),"")</f>
        <v/>
      </c>
      <c r="AI79" s="312">
        <f>IFERROR(INDEX(Data!CE$9:CE$1273,MATCH($M79,Data!$K$9:$K$1273,0)),"")</f>
        <v/>
      </c>
      <c r="AJ79" s="312">
        <f>IFERROR(INDEX(Data!CF$9:CF$1273,MATCH($M79,Data!$K$9:$K$1273,0)),"")</f>
        <v/>
      </c>
      <c r="AK79" s="312">
        <f>IFERROR(INDEX(Data!CG$9:CG$1273,MATCH($M79,Data!$K$9:$K$1273,0)),"")</f>
        <v/>
      </c>
      <c r="AL79" s="312">
        <f>IFERROR(INDEX(Data!CH$9:CH$1273,MATCH($M79,Data!$K$9:$K$1273,0)),"")</f>
        <v/>
      </c>
      <c r="AM79" s="312">
        <f>IFERROR(INDEX(Data!CI$9:CI$1273,MATCH($M79,Data!$K$9:$K$1273,0)),"")</f>
        <v/>
      </c>
      <c r="AN79" s="312">
        <f>IFERROR(INDEX(Data!CJ$9:CJ$1273,MATCH($M79,Data!$K$9:$K$1273,0)),"")</f>
        <v/>
      </c>
      <c r="AO79" s="312">
        <f>IFERROR(INDEX(Data!CK$9:CK$1273,MATCH($M79,Data!$K$9:$K$1273,0)),"")</f>
        <v/>
      </c>
      <c r="AP79" s="312">
        <f>IFERROR(INDEX(Data!CL$9:CL$1273,MATCH($M79,Data!$K$9:$K$1273,0)),"")</f>
        <v/>
      </c>
      <c r="AQ79" s="312">
        <f>IFERROR(INDEX(Data!CM$9:CM$1273,MATCH($M79,Data!$K$9:$K$1273,0)),"")</f>
        <v/>
      </c>
      <c r="AR79" s="312">
        <f>IFERROR(INDEX(Data!CN$9:CN$1273,MATCH($M79,Data!$K$9:$K$1273,0)),"")</f>
        <v/>
      </c>
      <c r="AS79" s="312">
        <f>IFERROR(INDEX(Data!CO$9:CO$1273,MATCH($M79,Data!$K$9:$K$1273,0)),"")</f>
        <v/>
      </c>
      <c r="AT79" s="312">
        <f>IFERROR(INDEX(Data!CP$9:CP$1273,MATCH($M79,Data!$K$9:$K$1273,0)),"")</f>
        <v/>
      </c>
      <c r="AU79" s="312">
        <f>IFERROR(INDEX(Data!CQ$9:CQ$1273,MATCH($M79,Data!$K$9:$K$1273,0)),"")</f>
        <v/>
      </c>
      <c r="AV79" s="312">
        <f>IFERROR(INDEX(Data!CR$9:CR$1273,MATCH($M79,Data!$K$9:$K$1273,0)),"")</f>
        <v/>
      </c>
      <c r="AW79" s="312">
        <f>IFERROR(INDEX(Data!CS$9:CS$1273,MATCH($M79,Data!$K$9:$K$1273,0)),"")</f>
        <v/>
      </c>
      <c r="AX79" s="312">
        <f>IFERROR(INDEX(Data!CT$9:CT$1273,MATCH($M79,Data!$K$9:$K$1273,0)),"")</f>
        <v/>
      </c>
      <c r="AY79" s="312">
        <f>IFERROR(INDEX(Data!CU$9:CU$1273,MATCH($M79,Data!$K$9:$K$1273,0)),"")</f>
        <v/>
      </c>
      <c r="AZ79" s="312">
        <f>IFERROR(INDEX(Data!CV$9:CV$1273,MATCH($M79,Data!$K$9:$K$1273,0)),"")</f>
        <v/>
      </c>
      <c r="BA79" s="312">
        <f>IFERROR(INDEX(Data!CX$9:CX$1273,MATCH($M79,Data!$K$9:$K$1273,0)),"")</f>
        <v/>
      </c>
      <c r="BB79" s="312">
        <f>IFERROR(INDEX(Data!CY$9:CY$1273,MATCH($M79,Data!$K$9:$K$1273,0)),"")</f>
        <v/>
      </c>
      <c r="BC79" s="312">
        <f>IFERROR(INDEX(Data!CZ$9:CZ$1273,MATCH($M79,Data!$K$9:$K$1273,0)),"")</f>
        <v/>
      </c>
      <c r="BD79" s="312">
        <f>IFERROR(INDEX(Data!DA$9:DA$1273,MATCH($M79,Data!$K$9:$K$1273,0)),"")</f>
        <v/>
      </c>
      <c r="BE79" s="312">
        <f>IFERROR(INDEX(Data!DB$9:DB$1273,MATCH($M79,Data!$K$9:$K$1273,0)),"")</f>
        <v/>
      </c>
      <c r="BF79" s="312">
        <f>IFERROR(INDEX(Data!DC$9:DC$1273,MATCH($M79,Data!$K$9:$K$1273,0)),"")</f>
        <v/>
      </c>
      <c r="BG79" s="312">
        <f>IFERROR(INDEX(Data!DD$9:DD$1273,MATCH($M79,Data!$K$9:$K$1273,0)),"")</f>
        <v/>
      </c>
      <c r="BH79" s="312">
        <f>IFERROR(INDEX(Data!DE$9:DE$1273,MATCH($M79,Data!$K$9:$K$1273,0)),"")</f>
        <v/>
      </c>
      <c r="BI79" s="312">
        <f>IFERROR(INDEX(Data!DF$9:DF$1273,MATCH($M79,Data!$K$9:$K$1273,0)),"")</f>
        <v/>
      </c>
      <c r="BJ79" s="312">
        <f>IFERROR(INDEX(Data!DG$9:DG$1273,MATCH($M79,Data!$K$9:$K$1273,0)),"")</f>
        <v/>
      </c>
      <c r="BK79" s="312">
        <f>IFERROR(INDEX(Data!DH$9:DH$1273,MATCH($M79,Data!$K$9:$K$1273,0)),"")</f>
        <v/>
      </c>
      <c r="BL79" s="312">
        <f>IFERROR(INDEX(Data!DI$9:DI$1273,MATCH($M79,Data!$K$9:$K$1273,0)),"")</f>
        <v/>
      </c>
      <c r="BM79" s="312">
        <f>IFERROR(INDEX(Data!DJ$9:DJ$1273,MATCH($M79,Data!$K$9:$K$1273,0)),"")</f>
        <v/>
      </c>
      <c r="BN79" s="312">
        <f>IFERROR(INDEX(Data!DK$9:DK$1273,MATCH($M79,Data!$K$9:$K$1273,0)),"")</f>
        <v/>
      </c>
      <c r="BO79" s="312">
        <f>IFERROR(INDEX(Data!DL$9:DL$1273,MATCH($M79,Data!$K$9:$K$1273,0)),"")</f>
        <v/>
      </c>
      <c r="BP79" s="331">
        <f>IFERROR(IF(BK79=0,"-",BK79),"")</f>
        <v/>
      </c>
      <c r="BQ79" s="312">
        <f>IFERROR(IF(BP79-K79&gt;0,TRUE,FALSE)," ")</f>
        <v/>
      </c>
      <c r="BR79" s="312">
        <f>_xlfn.CONCAT(E79,F79,H79,G79)</f>
        <v/>
      </c>
      <c r="BS79" s="312">
        <f>IFERROR(INDEX(Data!$DO$9:$DO$1273,MATCH('Your recommendation'!BR79,Data!$DN$9:$DN$1273,0)),"")</f>
        <v/>
      </c>
    </row>
    <row r="80" ht="15.6" customFormat="1" customHeight="1" s="138">
      <c r="B80" s="309">
        <f>IF(C80&gt;0,B79+1,"")</f>
        <v/>
      </c>
      <c r="C80" s="310" t="n">
        <v>0.9312164546750989</v>
      </c>
      <c r="D80" s="312">
        <f>IFERROR(INDEX(Data!BR$9:BR$1273,MATCH($M80,Data!$K$9:$K$1273,0)),"")</f>
        <v/>
      </c>
      <c r="E80" s="312">
        <f>IFERROR(INDEX(Data!BS$9:BS$1273,MATCH($M80,Data!$K$9:$K$1273,0)),"")</f>
        <v/>
      </c>
      <c r="F80" s="312">
        <f>IFERROR(INDEX(Data!DM$9:DM$1273,MATCH($M80,Data!$K$9:$K$1273,0)),"")</f>
        <v/>
      </c>
      <c r="G80" s="312">
        <f>IFERROR(INDEX(Data!BV$9:BV$1273,MATCH($M80,Data!$K$9:$K$1273,0)),"")</f>
        <v/>
      </c>
      <c r="H80" s="312">
        <f>IFERROR(INDEX(Data!BW$9:BW$1273,MATCH($M80,Data!$K$9:$K$1273,0)),"")</f>
        <v/>
      </c>
      <c r="I80" s="312">
        <f>IFERROR(INDEX(Data!BX$9:BX$1273,MATCH($M80,Data!$K$9:$K$1273,0)),"")</f>
        <v/>
      </c>
      <c r="J80" s="312">
        <f>IFERROR(INDEX(Data!CB$9:CB$1273,MATCH($M80,Data!$K$9:$K$1273,0)),"")</f>
        <v/>
      </c>
      <c r="K80" s="329">
        <f>IFERROR(HYPERLINK(BM80,BC80),"-")</f>
        <v/>
      </c>
      <c r="L80" s="330">
        <f>IFERROR(IF(BB80=0,"-",BB80)," ")</f>
        <v/>
      </c>
      <c r="M80" s="311" t="n">
        <v>0.9312164546750989</v>
      </c>
      <c r="N80" s="311">
        <f>IFERROR(INDEX(Data!L$9:L$1273,MATCH($M80,Data!$K$9:$K$1273,0)),"")</f>
        <v/>
      </c>
      <c r="O80" s="311">
        <f>IFERROR(INDEX(Data!M$9:M$1273,MATCH($M80,Data!$K$9:$K$1273,0)),"")</f>
        <v/>
      </c>
      <c r="P80" s="311">
        <f>IFERROR(INDEX(Data!N$9:N$1273,MATCH($M80,Data!$K$9:$K$1273,0)),"")</f>
        <v/>
      </c>
      <c r="Q80" s="311">
        <f>IFERROR(INDEX(Data!O$9:O$1273,MATCH($M80,Data!$K$9:$K$1273,0)),"")</f>
        <v/>
      </c>
      <c r="R80" s="311">
        <f>IFERROR(INDEX(Data!P$9:P$1273,MATCH($M80,Data!$K$9:$K$1273,0)),"")</f>
        <v/>
      </c>
      <c r="S80" s="311">
        <f>IFERROR(INDEX(Data!S$9:S$1273,MATCH($M80,Data!$K$9:$K$1273,0)),"")</f>
        <v/>
      </c>
      <c r="T80" s="311">
        <f>IFERROR(INDEX(Data!T$9:T$1273,MATCH($M80,Data!$K$9:$K$1273,0)),"")</f>
        <v/>
      </c>
      <c r="U80" s="311">
        <f>IFERROR(INDEX(Data!U$9:U$1273,MATCH($M80,Data!$K$9:$K$1273,0)),"")</f>
        <v/>
      </c>
      <c r="V80" s="311">
        <f>IFERROR(INDEX(Data!V$9:V$1273,MATCH($M80,Data!$K$9:$K$1273,0)),"")</f>
        <v/>
      </c>
      <c r="W80" s="311">
        <f>IFERROR(INDEX(Data!W$9:W$1273,MATCH($M80,Data!$K$9:$K$1273,0)),"")</f>
        <v/>
      </c>
      <c r="X80" s="311">
        <f>IFERROR(INDEX(Data!AJ$9:AJ$1273,MATCH($M80,Data!$K$9:$K$1273,0)),"")</f>
        <v/>
      </c>
      <c r="Y80" s="311">
        <f>IFERROR(INDEX(Data!AK$9:AK$1273,MATCH($M80,Data!$K$9:$K$1273,0)),"")</f>
        <v/>
      </c>
      <c r="Z80" s="311">
        <f>IFERROR(INDEX(Data!AL$9:AL$1273,MATCH($M80,Data!$K$9:$K$1273,0)),"")</f>
        <v/>
      </c>
      <c r="AA80" s="311">
        <f>IFERROR(INDEX(Data!AM$9:AM$1273,MATCH($M80,Data!$K$9:$K$1273,0)),"")</f>
        <v/>
      </c>
      <c r="AB80" s="311">
        <f>IFERROR(INDEX(Data!AN$9:AN$1273,MATCH($M80,Data!$K$9:$K$1273,0)),"")</f>
        <v/>
      </c>
      <c r="AC80" s="312">
        <f>IFERROR(INDEX(Data!BY$9:BY$1273,MATCH($M80,Data!$K$9:$K$1273,0)),"")</f>
        <v/>
      </c>
      <c r="AD80" s="312">
        <f>IFERROR(INDEX(Data!BZ$9:BZ$1273,MATCH($M80,Data!$K$9:$K$1273,0)),"")</f>
        <v/>
      </c>
      <c r="AE80" s="312">
        <f>IFERROR(INDEX(Data!CA$9:CA$1273,MATCH($M80,Data!$K$9:$K$1273,0)),"")</f>
        <v/>
      </c>
      <c r="AF80" s="312">
        <f>IFERROR(INDEX(Data!CB$9:CB$1273,MATCH($M80,Data!$K$9:$K$1273,0)),"")</f>
        <v/>
      </c>
      <c r="AG80" s="312">
        <f>IFERROR(INDEX(Data!CC$9:CC$1273,MATCH($M80,Data!$K$9:$K$1273,0)),"")</f>
        <v/>
      </c>
      <c r="AH80" s="312">
        <f>IFERROR(INDEX(Data!CD$9:CD$1273,MATCH($M80,Data!$K$9:$K$1273,0)),"")</f>
        <v/>
      </c>
      <c r="AI80" s="312">
        <f>IFERROR(INDEX(Data!CE$9:CE$1273,MATCH($M80,Data!$K$9:$K$1273,0)),"")</f>
        <v/>
      </c>
      <c r="AJ80" s="312">
        <f>IFERROR(INDEX(Data!CF$9:CF$1273,MATCH($M80,Data!$K$9:$K$1273,0)),"")</f>
        <v/>
      </c>
      <c r="AK80" s="312">
        <f>IFERROR(INDEX(Data!CG$9:CG$1273,MATCH($M80,Data!$K$9:$K$1273,0)),"")</f>
        <v/>
      </c>
      <c r="AL80" s="312">
        <f>IFERROR(INDEX(Data!CH$9:CH$1273,MATCH($M80,Data!$K$9:$K$1273,0)),"")</f>
        <v/>
      </c>
      <c r="AM80" s="312">
        <f>IFERROR(INDEX(Data!CI$9:CI$1273,MATCH($M80,Data!$K$9:$K$1273,0)),"")</f>
        <v/>
      </c>
      <c r="AN80" s="312">
        <f>IFERROR(INDEX(Data!CJ$9:CJ$1273,MATCH($M80,Data!$K$9:$K$1273,0)),"")</f>
        <v/>
      </c>
      <c r="AO80" s="312">
        <f>IFERROR(INDEX(Data!CK$9:CK$1273,MATCH($M80,Data!$K$9:$K$1273,0)),"")</f>
        <v/>
      </c>
      <c r="AP80" s="312">
        <f>IFERROR(INDEX(Data!CL$9:CL$1273,MATCH($M80,Data!$K$9:$K$1273,0)),"")</f>
        <v/>
      </c>
      <c r="AQ80" s="312">
        <f>IFERROR(INDEX(Data!CM$9:CM$1273,MATCH($M80,Data!$K$9:$K$1273,0)),"")</f>
        <v/>
      </c>
      <c r="AR80" s="312">
        <f>IFERROR(INDEX(Data!CN$9:CN$1273,MATCH($M80,Data!$K$9:$K$1273,0)),"")</f>
        <v/>
      </c>
      <c r="AS80" s="312">
        <f>IFERROR(INDEX(Data!CO$9:CO$1273,MATCH($M80,Data!$K$9:$K$1273,0)),"")</f>
        <v/>
      </c>
      <c r="AT80" s="312">
        <f>IFERROR(INDEX(Data!CP$9:CP$1273,MATCH($M80,Data!$K$9:$K$1273,0)),"")</f>
        <v/>
      </c>
      <c r="AU80" s="312">
        <f>IFERROR(INDEX(Data!CQ$9:CQ$1273,MATCH($M80,Data!$K$9:$K$1273,0)),"")</f>
        <v/>
      </c>
      <c r="AV80" s="312">
        <f>IFERROR(INDEX(Data!CR$9:CR$1273,MATCH($M80,Data!$K$9:$K$1273,0)),"")</f>
        <v/>
      </c>
      <c r="AW80" s="312">
        <f>IFERROR(INDEX(Data!CS$9:CS$1273,MATCH($M80,Data!$K$9:$K$1273,0)),"")</f>
        <v/>
      </c>
      <c r="AX80" s="312">
        <f>IFERROR(INDEX(Data!CT$9:CT$1273,MATCH($M80,Data!$K$9:$K$1273,0)),"")</f>
        <v/>
      </c>
      <c r="AY80" s="312">
        <f>IFERROR(INDEX(Data!CU$9:CU$1273,MATCH($M80,Data!$K$9:$K$1273,0)),"")</f>
        <v/>
      </c>
      <c r="AZ80" s="312">
        <f>IFERROR(INDEX(Data!CV$9:CV$1273,MATCH($M80,Data!$K$9:$K$1273,0)),"")</f>
        <v/>
      </c>
      <c r="BA80" s="312">
        <f>IFERROR(INDEX(Data!CX$9:CX$1273,MATCH($M80,Data!$K$9:$K$1273,0)),"")</f>
        <v/>
      </c>
      <c r="BB80" s="312">
        <f>IFERROR(INDEX(Data!CY$9:CY$1273,MATCH($M80,Data!$K$9:$K$1273,0)),"")</f>
        <v/>
      </c>
      <c r="BC80" s="312">
        <f>IFERROR(INDEX(Data!CZ$9:CZ$1273,MATCH($M80,Data!$K$9:$K$1273,0)),"")</f>
        <v/>
      </c>
      <c r="BD80" s="312">
        <f>IFERROR(INDEX(Data!DA$9:DA$1273,MATCH($M80,Data!$K$9:$K$1273,0)),"")</f>
        <v/>
      </c>
      <c r="BE80" s="312">
        <f>IFERROR(INDEX(Data!DB$9:DB$1273,MATCH($M80,Data!$K$9:$K$1273,0)),"")</f>
        <v/>
      </c>
      <c r="BF80" s="312">
        <f>IFERROR(INDEX(Data!DC$9:DC$1273,MATCH($M80,Data!$K$9:$K$1273,0)),"")</f>
        <v/>
      </c>
      <c r="BG80" s="312">
        <f>IFERROR(INDEX(Data!DD$9:DD$1273,MATCH($M80,Data!$K$9:$K$1273,0)),"")</f>
        <v/>
      </c>
      <c r="BH80" s="312">
        <f>IFERROR(INDEX(Data!DE$9:DE$1273,MATCH($M80,Data!$K$9:$K$1273,0)),"")</f>
        <v/>
      </c>
      <c r="BI80" s="312">
        <f>IFERROR(INDEX(Data!DF$9:DF$1273,MATCH($M80,Data!$K$9:$K$1273,0)),"")</f>
        <v/>
      </c>
      <c r="BJ80" s="312">
        <f>IFERROR(INDEX(Data!DG$9:DG$1273,MATCH($M80,Data!$K$9:$K$1273,0)),"")</f>
        <v/>
      </c>
      <c r="BK80" s="312">
        <f>IFERROR(INDEX(Data!DH$9:DH$1273,MATCH($M80,Data!$K$9:$K$1273,0)),"")</f>
        <v/>
      </c>
      <c r="BL80" s="312">
        <f>IFERROR(INDEX(Data!DI$9:DI$1273,MATCH($M80,Data!$K$9:$K$1273,0)),"")</f>
        <v/>
      </c>
      <c r="BM80" s="312">
        <f>IFERROR(INDEX(Data!DJ$9:DJ$1273,MATCH($M80,Data!$K$9:$K$1273,0)),"")</f>
        <v/>
      </c>
      <c r="BN80" s="312">
        <f>IFERROR(INDEX(Data!DK$9:DK$1273,MATCH($M80,Data!$K$9:$K$1273,0)),"")</f>
        <v/>
      </c>
      <c r="BO80" s="312">
        <f>IFERROR(INDEX(Data!DL$9:DL$1273,MATCH($M80,Data!$K$9:$K$1273,0)),"")</f>
        <v/>
      </c>
      <c r="BP80" s="331">
        <f>IFERROR(IF(BK80=0,"-",BK80),"")</f>
        <v/>
      </c>
      <c r="BQ80" s="312">
        <f>IFERROR(IF(BP80-K80&gt;0,TRUE,FALSE)," ")</f>
        <v/>
      </c>
      <c r="BR80" s="312">
        <f>_xlfn.CONCAT(E80,F80,H80,G80)</f>
        <v/>
      </c>
      <c r="BS80" s="312">
        <f>IFERROR(INDEX(Data!$DO$9:$DO$1273,MATCH('Your recommendation'!BR80,Data!$DN$9:$DN$1273,0)),"")</f>
        <v/>
      </c>
    </row>
    <row r="81" ht="15.6" customFormat="1" customHeight="1" s="138">
      <c r="B81" s="309">
        <f>IF(C81&gt;0,B80+1,"")</f>
        <v/>
      </c>
      <c r="C81" s="310" t="n">
        <v>0.9268949412094755</v>
      </c>
      <c r="D81" s="312">
        <f>IFERROR(INDEX(Data!BR$9:BR$1273,MATCH($M81,Data!$K$9:$K$1273,0)),"")</f>
        <v/>
      </c>
      <c r="E81" s="312">
        <f>IFERROR(INDEX(Data!BS$9:BS$1273,MATCH($M81,Data!$K$9:$K$1273,0)),"")</f>
        <v/>
      </c>
      <c r="F81" s="312">
        <f>IFERROR(INDEX(Data!DM$9:DM$1273,MATCH($M81,Data!$K$9:$K$1273,0)),"")</f>
        <v/>
      </c>
      <c r="G81" s="312">
        <f>IFERROR(INDEX(Data!BV$9:BV$1273,MATCH($M81,Data!$K$9:$K$1273,0)),"")</f>
        <v/>
      </c>
      <c r="H81" s="312">
        <f>IFERROR(INDEX(Data!BW$9:BW$1273,MATCH($M81,Data!$K$9:$K$1273,0)),"")</f>
        <v/>
      </c>
      <c r="I81" s="312">
        <f>IFERROR(INDEX(Data!BX$9:BX$1273,MATCH($M81,Data!$K$9:$K$1273,0)),"")</f>
        <v/>
      </c>
      <c r="J81" s="312">
        <f>IFERROR(INDEX(Data!CB$9:CB$1273,MATCH($M81,Data!$K$9:$K$1273,0)),"")</f>
        <v/>
      </c>
      <c r="K81" s="329">
        <f>IFERROR(HYPERLINK(BM81,BC81),"-")</f>
        <v/>
      </c>
      <c r="L81" s="330">
        <f>IFERROR(IF(BB81=0,"-",BB81)," ")</f>
        <v/>
      </c>
      <c r="M81" s="311" t="n">
        <v>0.9268949412094755</v>
      </c>
      <c r="N81" s="311">
        <f>IFERROR(INDEX(Data!L$9:L$1273,MATCH($M81,Data!$K$9:$K$1273,0)),"")</f>
        <v/>
      </c>
      <c r="O81" s="311">
        <f>IFERROR(INDEX(Data!M$9:M$1273,MATCH($M81,Data!$K$9:$K$1273,0)),"")</f>
        <v/>
      </c>
      <c r="P81" s="311">
        <f>IFERROR(INDEX(Data!N$9:N$1273,MATCH($M81,Data!$K$9:$K$1273,0)),"")</f>
        <v/>
      </c>
      <c r="Q81" s="311">
        <f>IFERROR(INDEX(Data!O$9:O$1273,MATCH($M81,Data!$K$9:$K$1273,0)),"")</f>
        <v/>
      </c>
      <c r="R81" s="311">
        <f>IFERROR(INDEX(Data!P$9:P$1273,MATCH($M81,Data!$K$9:$K$1273,0)),"")</f>
        <v/>
      </c>
      <c r="S81" s="311">
        <f>IFERROR(INDEX(Data!S$9:S$1273,MATCH($M81,Data!$K$9:$K$1273,0)),"")</f>
        <v/>
      </c>
      <c r="T81" s="311">
        <f>IFERROR(INDEX(Data!T$9:T$1273,MATCH($M81,Data!$K$9:$K$1273,0)),"")</f>
        <v/>
      </c>
      <c r="U81" s="311">
        <f>IFERROR(INDEX(Data!U$9:U$1273,MATCH($M81,Data!$K$9:$K$1273,0)),"")</f>
        <v/>
      </c>
      <c r="V81" s="311">
        <f>IFERROR(INDEX(Data!V$9:V$1273,MATCH($M81,Data!$K$9:$K$1273,0)),"")</f>
        <v/>
      </c>
      <c r="W81" s="311">
        <f>IFERROR(INDEX(Data!W$9:W$1273,MATCH($M81,Data!$K$9:$K$1273,0)),"")</f>
        <v/>
      </c>
      <c r="X81" s="311">
        <f>IFERROR(INDEX(Data!AJ$9:AJ$1273,MATCH($M81,Data!$K$9:$K$1273,0)),"")</f>
        <v/>
      </c>
      <c r="Y81" s="311">
        <f>IFERROR(INDEX(Data!AK$9:AK$1273,MATCH($M81,Data!$K$9:$K$1273,0)),"")</f>
        <v/>
      </c>
      <c r="Z81" s="311">
        <f>IFERROR(INDEX(Data!AL$9:AL$1273,MATCH($M81,Data!$K$9:$K$1273,0)),"")</f>
        <v/>
      </c>
      <c r="AA81" s="311">
        <f>IFERROR(INDEX(Data!AM$9:AM$1273,MATCH($M81,Data!$K$9:$K$1273,0)),"")</f>
        <v/>
      </c>
      <c r="AB81" s="311">
        <f>IFERROR(INDEX(Data!AN$9:AN$1273,MATCH($M81,Data!$K$9:$K$1273,0)),"")</f>
        <v/>
      </c>
      <c r="AC81" s="312">
        <f>IFERROR(INDEX(Data!BY$9:BY$1273,MATCH($M81,Data!$K$9:$K$1273,0)),"")</f>
        <v/>
      </c>
      <c r="AD81" s="312">
        <f>IFERROR(INDEX(Data!BZ$9:BZ$1273,MATCH($M81,Data!$K$9:$K$1273,0)),"")</f>
        <v/>
      </c>
      <c r="AE81" s="312">
        <f>IFERROR(INDEX(Data!CA$9:CA$1273,MATCH($M81,Data!$K$9:$K$1273,0)),"")</f>
        <v/>
      </c>
      <c r="AF81" s="312">
        <f>IFERROR(INDEX(Data!CB$9:CB$1273,MATCH($M81,Data!$K$9:$K$1273,0)),"")</f>
        <v/>
      </c>
      <c r="AG81" s="312">
        <f>IFERROR(INDEX(Data!CC$9:CC$1273,MATCH($M81,Data!$K$9:$K$1273,0)),"")</f>
        <v/>
      </c>
      <c r="AH81" s="312">
        <f>IFERROR(INDEX(Data!CD$9:CD$1273,MATCH($M81,Data!$K$9:$K$1273,0)),"")</f>
        <v/>
      </c>
      <c r="AI81" s="312">
        <f>IFERROR(INDEX(Data!CE$9:CE$1273,MATCH($M81,Data!$K$9:$K$1273,0)),"")</f>
        <v/>
      </c>
      <c r="AJ81" s="312">
        <f>IFERROR(INDEX(Data!CF$9:CF$1273,MATCH($M81,Data!$K$9:$K$1273,0)),"")</f>
        <v/>
      </c>
      <c r="AK81" s="312">
        <f>IFERROR(INDEX(Data!CG$9:CG$1273,MATCH($M81,Data!$K$9:$K$1273,0)),"")</f>
        <v/>
      </c>
      <c r="AL81" s="312">
        <f>IFERROR(INDEX(Data!CH$9:CH$1273,MATCH($M81,Data!$K$9:$K$1273,0)),"")</f>
        <v/>
      </c>
      <c r="AM81" s="312">
        <f>IFERROR(INDEX(Data!CI$9:CI$1273,MATCH($M81,Data!$K$9:$K$1273,0)),"")</f>
        <v/>
      </c>
      <c r="AN81" s="312">
        <f>IFERROR(INDEX(Data!CJ$9:CJ$1273,MATCH($M81,Data!$K$9:$K$1273,0)),"")</f>
        <v/>
      </c>
      <c r="AO81" s="312">
        <f>IFERROR(INDEX(Data!CK$9:CK$1273,MATCH($M81,Data!$K$9:$K$1273,0)),"")</f>
        <v/>
      </c>
      <c r="AP81" s="312">
        <f>IFERROR(INDEX(Data!CL$9:CL$1273,MATCH($M81,Data!$K$9:$K$1273,0)),"")</f>
        <v/>
      </c>
      <c r="AQ81" s="312">
        <f>IFERROR(INDEX(Data!CM$9:CM$1273,MATCH($M81,Data!$K$9:$K$1273,0)),"")</f>
        <v/>
      </c>
      <c r="AR81" s="312">
        <f>IFERROR(INDEX(Data!CN$9:CN$1273,MATCH($M81,Data!$K$9:$K$1273,0)),"")</f>
        <v/>
      </c>
      <c r="AS81" s="312">
        <f>IFERROR(INDEX(Data!CO$9:CO$1273,MATCH($M81,Data!$K$9:$K$1273,0)),"")</f>
        <v/>
      </c>
      <c r="AT81" s="312">
        <f>IFERROR(INDEX(Data!CP$9:CP$1273,MATCH($M81,Data!$K$9:$K$1273,0)),"")</f>
        <v/>
      </c>
      <c r="AU81" s="312">
        <f>IFERROR(INDEX(Data!CQ$9:CQ$1273,MATCH($M81,Data!$K$9:$K$1273,0)),"")</f>
        <v/>
      </c>
      <c r="AV81" s="312">
        <f>IFERROR(INDEX(Data!CR$9:CR$1273,MATCH($M81,Data!$K$9:$K$1273,0)),"")</f>
        <v/>
      </c>
      <c r="AW81" s="312">
        <f>IFERROR(INDEX(Data!CS$9:CS$1273,MATCH($M81,Data!$K$9:$K$1273,0)),"")</f>
        <v/>
      </c>
      <c r="AX81" s="312">
        <f>IFERROR(INDEX(Data!CT$9:CT$1273,MATCH($M81,Data!$K$9:$K$1273,0)),"")</f>
        <v/>
      </c>
      <c r="AY81" s="312">
        <f>IFERROR(INDEX(Data!CU$9:CU$1273,MATCH($M81,Data!$K$9:$K$1273,0)),"")</f>
        <v/>
      </c>
      <c r="AZ81" s="312">
        <f>IFERROR(INDEX(Data!CV$9:CV$1273,MATCH($M81,Data!$K$9:$K$1273,0)),"")</f>
        <v/>
      </c>
      <c r="BA81" s="312">
        <f>IFERROR(INDEX(Data!CX$9:CX$1273,MATCH($M81,Data!$K$9:$K$1273,0)),"")</f>
        <v/>
      </c>
      <c r="BB81" s="312">
        <f>IFERROR(INDEX(Data!CY$9:CY$1273,MATCH($M81,Data!$K$9:$K$1273,0)),"")</f>
        <v/>
      </c>
      <c r="BC81" s="312">
        <f>IFERROR(INDEX(Data!CZ$9:CZ$1273,MATCH($M81,Data!$K$9:$K$1273,0)),"")</f>
        <v/>
      </c>
      <c r="BD81" s="312">
        <f>IFERROR(INDEX(Data!DA$9:DA$1273,MATCH($M81,Data!$K$9:$K$1273,0)),"")</f>
        <v/>
      </c>
      <c r="BE81" s="312">
        <f>IFERROR(INDEX(Data!DB$9:DB$1273,MATCH($M81,Data!$K$9:$K$1273,0)),"")</f>
        <v/>
      </c>
      <c r="BF81" s="312">
        <f>IFERROR(INDEX(Data!DC$9:DC$1273,MATCH($M81,Data!$K$9:$K$1273,0)),"")</f>
        <v/>
      </c>
      <c r="BG81" s="312">
        <f>IFERROR(INDEX(Data!DD$9:DD$1273,MATCH($M81,Data!$K$9:$K$1273,0)),"")</f>
        <v/>
      </c>
      <c r="BH81" s="312">
        <f>IFERROR(INDEX(Data!DE$9:DE$1273,MATCH($M81,Data!$K$9:$K$1273,0)),"")</f>
        <v/>
      </c>
      <c r="BI81" s="312">
        <f>IFERROR(INDEX(Data!DF$9:DF$1273,MATCH($M81,Data!$K$9:$K$1273,0)),"")</f>
        <v/>
      </c>
      <c r="BJ81" s="312">
        <f>IFERROR(INDEX(Data!DG$9:DG$1273,MATCH($M81,Data!$K$9:$K$1273,0)),"")</f>
        <v/>
      </c>
      <c r="BK81" s="312">
        <f>IFERROR(INDEX(Data!DH$9:DH$1273,MATCH($M81,Data!$K$9:$K$1273,0)),"")</f>
        <v/>
      </c>
      <c r="BL81" s="312">
        <f>IFERROR(INDEX(Data!DI$9:DI$1273,MATCH($M81,Data!$K$9:$K$1273,0)),"")</f>
        <v/>
      </c>
      <c r="BM81" s="312">
        <f>IFERROR(INDEX(Data!DJ$9:DJ$1273,MATCH($M81,Data!$K$9:$K$1273,0)),"")</f>
        <v/>
      </c>
      <c r="BN81" s="312">
        <f>IFERROR(INDEX(Data!DK$9:DK$1273,MATCH($M81,Data!$K$9:$K$1273,0)),"")</f>
        <v/>
      </c>
      <c r="BO81" s="312">
        <f>IFERROR(INDEX(Data!DL$9:DL$1273,MATCH($M81,Data!$K$9:$K$1273,0)),"")</f>
        <v/>
      </c>
      <c r="BP81" s="331">
        <f>IFERROR(IF(BK81=0,"-",BK81),"")</f>
        <v/>
      </c>
      <c r="BQ81" s="312">
        <f>IFERROR(IF(BP81-K81&gt;0,TRUE,FALSE)," ")</f>
        <v/>
      </c>
      <c r="BR81" s="312">
        <f>_xlfn.CONCAT(E81,F81,H81,G81)</f>
        <v/>
      </c>
      <c r="BS81" s="312">
        <f>IFERROR(INDEX(Data!$DO$9:$DO$1273,MATCH('Your recommendation'!BR81,Data!$DN$9:$DN$1273,0)),"")</f>
        <v/>
      </c>
    </row>
    <row r="82" ht="15.6" customFormat="1" customHeight="1" s="138">
      <c r="B82" s="309">
        <f>IF(C82&gt;0,B81+1,"")</f>
        <v/>
      </c>
      <c r="C82" s="310" t="n">
        <v>0.9195301652591792</v>
      </c>
      <c r="D82" s="312">
        <f>IFERROR(INDEX(Data!BR$9:BR$1273,MATCH($M82,Data!$K$9:$K$1273,0)),"")</f>
        <v/>
      </c>
      <c r="E82" s="312">
        <f>IFERROR(INDEX(Data!BS$9:BS$1273,MATCH($M82,Data!$K$9:$K$1273,0)),"")</f>
        <v/>
      </c>
      <c r="F82" s="312">
        <f>IFERROR(INDEX(Data!DM$9:DM$1273,MATCH($M82,Data!$K$9:$K$1273,0)),"")</f>
        <v/>
      </c>
      <c r="G82" s="312">
        <f>IFERROR(INDEX(Data!BV$9:BV$1273,MATCH($M82,Data!$K$9:$K$1273,0)),"")</f>
        <v/>
      </c>
      <c r="H82" s="312">
        <f>IFERROR(INDEX(Data!BW$9:BW$1273,MATCH($M82,Data!$K$9:$K$1273,0)),"")</f>
        <v/>
      </c>
      <c r="I82" s="312">
        <f>IFERROR(INDEX(Data!BX$9:BX$1273,MATCH($M82,Data!$K$9:$K$1273,0)),"")</f>
        <v/>
      </c>
      <c r="J82" s="312">
        <f>IFERROR(INDEX(Data!CB$9:CB$1273,MATCH($M82,Data!$K$9:$K$1273,0)),"")</f>
        <v/>
      </c>
      <c r="K82" s="329">
        <f>IFERROR(HYPERLINK(BM82,BC82),"-")</f>
        <v/>
      </c>
      <c r="L82" s="330">
        <f>IFERROR(IF(BB82=0,"-",BB82)," ")</f>
        <v/>
      </c>
      <c r="M82" s="311" t="n">
        <v>0.9195301652591792</v>
      </c>
      <c r="N82" s="311">
        <f>IFERROR(INDEX(Data!L$9:L$1273,MATCH($M82,Data!$K$9:$K$1273,0)),"")</f>
        <v/>
      </c>
      <c r="O82" s="311">
        <f>IFERROR(INDEX(Data!M$9:M$1273,MATCH($M82,Data!$K$9:$K$1273,0)),"")</f>
        <v/>
      </c>
      <c r="P82" s="311">
        <f>IFERROR(INDEX(Data!N$9:N$1273,MATCH($M82,Data!$K$9:$K$1273,0)),"")</f>
        <v/>
      </c>
      <c r="Q82" s="311">
        <f>IFERROR(INDEX(Data!O$9:O$1273,MATCH($M82,Data!$K$9:$K$1273,0)),"")</f>
        <v/>
      </c>
      <c r="R82" s="311">
        <f>IFERROR(INDEX(Data!P$9:P$1273,MATCH($M82,Data!$K$9:$K$1273,0)),"")</f>
        <v/>
      </c>
      <c r="S82" s="311">
        <f>IFERROR(INDEX(Data!S$9:S$1273,MATCH($M82,Data!$K$9:$K$1273,0)),"")</f>
        <v/>
      </c>
      <c r="T82" s="311">
        <f>IFERROR(INDEX(Data!T$9:T$1273,MATCH($M82,Data!$K$9:$K$1273,0)),"")</f>
        <v/>
      </c>
      <c r="U82" s="311">
        <f>IFERROR(INDEX(Data!U$9:U$1273,MATCH($M82,Data!$K$9:$K$1273,0)),"")</f>
        <v/>
      </c>
      <c r="V82" s="311">
        <f>IFERROR(INDEX(Data!V$9:V$1273,MATCH($M82,Data!$K$9:$K$1273,0)),"")</f>
        <v/>
      </c>
      <c r="W82" s="311">
        <f>IFERROR(INDEX(Data!W$9:W$1273,MATCH($M82,Data!$K$9:$K$1273,0)),"")</f>
        <v/>
      </c>
      <c r="X82" s="311">
        <f>IFERROR(INDEX(Data!AJ$9:AJ$1273,MATCH($M82,Data!$K$9:$K$1273,0)),"")</f>
        <v/>
      </c>
      <c r="Y82" s="311">
        <f>IFERROR(INDEX(Data!AK$9:AK$1273,MATCH($M82,Data!$K$9:$K$1273,0)),"")</f>
        <v/>
      </c>
      <c r="Z82" s="311">
        <f>IFERROR(INDEX(Data!AL$9:AL$1273,MATCH($M82,Data!$K$9:$K$1273,0)),"")</f>
        <v/>
      </c>
      <c r="AA82" s="311">
        <f>IFERROR(INDEX(Data!AM$9:AM$1273,MATCH($M82,Data!$K$9:$K$1273,0)),"")</f>
        <v/>
      </c>
      <c r="AB82" s="311">
        <f>IFERROR(INDEX(Data!AN$9:AN$1273,MATCH($M82,Data!$K$9:$K$1273,0)),"")</f>
        <v/>
      </c>
      <c r="AC82" s="312">
        <f>IFERROR(INDEX(Data!BY$9:BY$1273,MATCH($M82,Data!$K$9:$K$1273,0)),"")</f>
        <v/>
      </c>
      <c r="AD82" s="312">
        <f>IFERROR(INDEX(Data!BZ$9:BZ$1273,MATCH($M82,Data!$K$9:$K$1273,0)),"")</f>
        <v/>
      </c>
      <c r="AE82" s="312">
        <f>IFERROR(INDEX(Data!CA$9:CA$1273,MATCH($M82,Data!$K$9:$K$1273,0)),"")</f>
        <v/>
      </c>
      <c r="AF82" s="312">
        <f>IFERROR(INDEX(Data!CB$9:CB$1273,MATCH($M82,Data!$K$9:$K$1273,0)),"")</f>
        <v/>
      </c>
      <c r="AG82" s="312">
        <f>IFERROR(INDEX(Data!CC$9:CC$1273,MATCH($M82,Data!$K$9:$K$1273,0)),"")</f>
        <v/>
      </c>
      <c r="AH82" s="312">
        <f>IFERROR(INDEX(Data!CD$9:CD$1273,MATCH($M82,Data!$K$9:$K$1273,0)),"")</f>
        <v/>
      </c>
      <c r="AI82" s="312">
        <f>IFERROR(INDEX(Data!CE$9:CE$1273,MATCH($M82,Data!$K$9:$K$1273,0)),"")</f>
        <v/>
      </c>
      <c r="AJ82" s="312">
        <f>IFERROR(INDEX(Data!CF$9:CF$1273,MATCH($M82,Data!$K$9:$K$1273,0)),"")</f>
        <v/>
      </c>
      <c r="AK82" s="312">
        <f>IFERROR(INDEX(Data!CG$9:CG$1273,MATCH($M82,Data!$K$9:$K$1273,0)),"")</f>
        <v/>
      </c>
      <c r="AL82" s="312">
        <f>IFERROR(INDEX(Data!CH$9:CH$1273,MATCH($M82,Data!$K$9:$K$1273,0)),"")</f>
        <v/>
      </c>
      <c r="AM82" s="312">
        <f>IFERROR(INDEX(Data!CI$9:CI$1273,MATCH($M82,Data!$K$9:$K$1273,0)),"")</f>
        <v/>
      </c>
      <c r="AN82" s="312">
        <f>IFERROR(INDEX(Data!CJ$9:CJ$1273,MATCH($M82,Data!$K$9:$K$1273,0)),"")</f>
        <v/>
      </c>
      <c r="AO82" s="312">
        <f>IFERROR(INDEX(Data!CK$9:CK$1273,MATCH($M82,Data!$K$9:$K$1273,0)),"")</f>
        <v/>
      </c>
      <c r="AP82" s="312">
        <f>IFERROR(INDEX(Data!CL$9:CL$1273,MATCH($M82,Data!$K$9:$K$1273,0)),"")</f>
        <v/>
      </c>
      <c r="AQ82" s="312">
        <f>IFERROR(INDEX(Data!CM$9:CM$1273,MATCH($M82,Data!$K$9:$K$1273,0)),"")</f>
        <v/>
      </c>
      <c r="AR82" s="312">
        <f>IFERROR(INDEX(Data!CN$9:CN$1273,MATCH($M82,Data!$K$9:$K$1273,0)),"")</f>
        <v/>
      </c>
      <c r="AS82" s="312">
        <f>IFERROR(INDEX(Data!CO$9:CO$1273,MATCH($M82,Data!$K$9:$K$1273,0)),"")</f>
        <v/>
      </c>
      <c r="AT82" s="312">
        <f>IFERROR(INDEX(Data!CP$9:CP$1273,MATCH($M82,Data!$K$9:$K$1273,0)),"")</f>
        <v/>
      </c>
      <c r="AU82" s="312">
        <f>IFERROR(INDEX(Data!CQ$9:CQ$1273,MATCH($M82,Data!$K$9:$K$1273,0)),"")</f>
        <v/>
      </c>
      <c r="AV82" s="312">
        <f>IFERROR(INDEX(Data!CR$9:CR$1273,MATCH($M82,Data!$K$9:$K$1273,0)),"")</f>
        <v/>
      </c>
      <c r="AW82" s="312">
        <f>IFERROR(INDEX(Data!CS$9:CS$1273,MATCH($M82,Data!$K$9:$K$1273,0)),"")</f>
        <v/>
      </c>
      <c r="AX82" s="312">
        <f>IFERROR(INDEX(Data!CT$9:CT$1273,MATCH($M82,Data!$K$9:$K$1273,0)),"")</f>
        <v/>
      </c>
      <c r="AY82" s="312">
        <f>IFERROR(INDEX(Data!CU$9:CU$1273,MATCH($M82,Data!$K$9:$K$1273,0)),"")</f>
        <v/>
      </c>
      <c r="AZ82" s="312">
        <f>IFERROR(INDEX(Data!CV$9:CV$1273,MATCH($M82,Data!$K$9:$K$1273,0)),"")</f>
        <v/>
      </c>
      <c r="BA82" s="312">
        <f>IFERROR(INDEX(Data!CX$9:CX$1273,MATCH($M82,Data!$K$9:$K$1273,0)),"")</f>
        <v/>
      </c>
      <c r="BB82" s="312">
        <f>IFERROR(INDEX(Data!CY$9:CY$1273,MATCH($M82,Data!$K$9:$K$1273,0)),"")</f>
        <v/>
      </c>
      <c r="BC82" s="312">
        <f>IFERROR(INDEX(Data!CZ$9:CZ$1273,MATCH($M82,Data!$K$9:$K$1273,0)),"")</f>
        <v/>
      </c>
      <c r="BD82" s="312">
        <f>IFERROR(INDEX(Data!DA$9:DA$1273,MATCH($M82,Data!$K$9:$K$1273,0)),"")</f>
        <v/>
      </c>
      <c r="BE82" s="312">
        <f>IFERROR(INDEX(Data!DB$9:DB$1273,MATCH($M82,Data!$K$9:$K$1273,0)),"")</f>
        <v/>
      </c>
      <c r="BF82" s="312">
        <f>IFERROR(INDEX(Data!DC$9:DC$1273,MATCH($M82,Data!$K$9:$K$1273,0)),"")</f>
        <v/>
      </c>
      <c r="BG82" s="312">
        <f>IFERROR(INDEX(Data!DD$9:DD$1273,MATCH($M82,Data!$K$9:$K$1273,0)),"")</f>
        <v/>
      </c>
      <c r="BH82" s="312">
        <f>IFERROR(INDEX(Data!DE$9:DE$1273,MATCH($M82,Data!$K$9:$K$1273,0)),"")</f>
        <v/>
      </c>
      <c r="BI82" s="312">
        <f>IFERROR(INDEX(Data!DF$9:DF$1273,MATCH($M82,Data!$K$9:$K$1273,0)),"")</f>
        <v/>
      </c>
      <c r="BJ82" s="312">
        <f>IFERROR(INDEX(Data!DG$9:DG$1273,MATCH($M82,Data!$K$9:$K$1273,0)),"")</f>
        <v/>
      </c>
      <c r="BK82" s="312">
        <f>IFERROR(INDEX(Data!DH$9:DH$1273,MATCH($M82,Data!$K$9:$K$1273,0)),"")</f>
        <v/>
      </c>
      <c r="BL82" s="312">
        <f>IFERROR(INDEX(Data!DI$9:DI$1273,MATCH($M82,Data!$K$9:$K$1273,0)),"")</f>
        <v/>
      </c>
      <c r="BM82" s="312">
        <f>IFERROR(INDEX(Data!DJ$9:DJ$1273,MATCH($M82,Data!$K$9:$K$1273,0)),"")</f>
        <v/>
      </c>
      <c r="BN82" s="312">
        <f>IFERROR(INDEX(Data!DK$9:DK$1273,MATCH($M82,Data!$K$9:$K$1273,0)),"")</f>
        <v/>
      </c>
      <c r="BO82" s="312">
        <f>IFERROR(INDEX(Data!DL$9:DL$1273,MATCH($M82,Data!$K$9:$K$1273,0)),"")</f>
        <v/>
      </c>
      <c r="BP82" s="331">
        <f>IFERROR(IF(BK82=0,"-",BK82),"")</f>
        <v/>
      </c>
      <c r="BQ82" s="312">
        <f>IFERROR(IF(BP82-K82&gt;0,TRUE,FALSE)," ")</f>
        <v/>
      </c>
      <c r="BR82" s="312">
        <f>_xlfn.CONCAT(E82,F82,H82,G82)</f>
        <v/>
      </c>
      <c r="BS82" s="312">
        <f>IFERROR(INDEX(Data!$DO$9:$DO$1273,MATCH('Your recommendation'!BR82,Data!$DN$9:$DN$1273,0)),"")</f>
        <v/>
      </c>
    </row>
    <row r="83" ht="15.6" customFormat="1" customHeight="1" s="138">
      <c r="B83" s="309">
        <f>IF(C83&gt;0,B82+1,"")</f>
        <v/>
      </c>
      <c r="C83" s="310" t="n">
        <v>0.9168813066812636</v>
      </c>
      <c r="D83" s="312">
        <f>IFERROR(INDEX(Data!BR$9:BR$1273,MATCH($M83,Data!$K$9:$K$1273,0)),"")</f>
        <v/>
      </c>
      <c r="E83" s="312">
        <f>IFERROR(INDEX(Data!BS$9:BS$1273,MATCH($M83,Data!$K$9:$K$1273,0)),"")</f>
        <v/>
      </c>
      <c r="F83" s="312">
        <f>IFERROR(INDEX(Data!DM$9:DM$1273,MATCH($M83,Data!$K$9:$K$1273,0)),"")</f>
        <v/>
      </c>
      <c r="G83" s="312">
        <f>IFERROR(INDEX(Data!BV$9:BV$1273,MATCH($M83,Data!$K$9:$K$1273,0)),"")</f>
        <v/>
      </c>
      <c r="H83" s="312">
        <f>IFERROR(INDEX(Data!BW$9:BW$1273,MATCH($M83,Data!$K$9:$K$1273,0)),"")</f>
        <v/>
      </c>
      <c r="I83" s="312">
        <f>IFERROR(INDEX(Data!BX$9:BX$1273,MATCH($M83,Data!$K$9:$K$1273,0)),"")</f>
        <v/>
      </c>
      <c r="J83" s="312">
        <f>IFERROR(INDEX(Data!CB$9:CB$1273,MATCH($M83,Data!$K$9:$K$1273,0)),"")</f>
        <v/>
      </c>
      <c r="K83" s="329">
        <f>IFERROR(HYPERLINK(BM83,BC83),"-")</f>
        <v/>
      </c>
      <c r="L83" s="330">
        <f>IFERROR(IF(BB83=0,"-",BB83)," ")</f>
        <v/>
      </c>
      <c r="M83" s="311" t="n">
        <v>0.9168813066812636</v>
      </c>
      <c r="N83" s="311">
        <f>IFERROR(INDEX(Data!L$9:L$1273,MATCH($M83,Data!$K$9:$K$1273,0)),"")</f>
        <v/>
      </c>
      <c r="O83" s="311">
        <f>IFERROR(INDEX(Data!M$9:M$1273,MATCH($M83,Data!$K$9:$K$1273,0)),"")</f>
        <v/>
      </c>
      <c r="P83" s="311">
        <f>IFERROR(INDEX(Data!N$9:N$1273,MATCH($M83,Data!$K$9:$K$1273,0)),"")</f>
        <v/>
      </c>
      <c r="Q83" s="311">
        <f>IFERROR(INDEX(Data!O$9:O$1273,MATCH($M83,Data!$K$9:$K$1273,0)),"")</f>
        <v/>
      </c>
      <c r="R83" s="311">
        <f>IFERROR(INDEX(Data!P$9:P$1273,MATCH($M83,Data!$K$9:$K$1273,0)),"")</f>
        <v/>
      </c>
      <c r="S83" s="311">
        <f>IFERROR(INDEX(Data!S$9:S$1273,MATCH($M83,Data!$K$9:$K$1273,0)),"")</f>
        <v/>
      </c>
      <c r="T83" s="311">
        <f>IFERROR(INDEX(Data!T$9:T$1273,MATCH($M83,Data!$K$9:$K$1273,0)),"")</f>
        <v/>
      </c>
      <c r="U83" s="311">
        <f>IFERROR(INDEX(Data!U$9:U$1273,MATCH($M83,Data!$K$9:$K$1273,0)),"")</f>
        <v/>
      </c>
      <c r="V83" s="311">
        <f>IFERROR(INDEX(Data!V$9:V$1273,MATCH($M83,Data!$K$9:$K$1273,0)),"")</f>
        <v/>
      </c>
      <c r="W83" s="311">
        <f>IFERROR(INDEX(Data!W$9:W$1273,MATCH($M83,Data!$K$9:$K$1273,0)),"")</f>
        <v/>
      </c>
      <c r="X83" s="311">
        <f>IFERROR(INDEX(Data!AJ$9:AJ$1273,MATCH($M83,Data!$K$9:$K$1273,0)),"")</f>
        <v/>
      </c>
      <c r="Y83" s="311">
        <f>IFERROR(INDEX(Data!AK$9:AK$1273,MATCH($M83,Data!$K$9:$K$1273,0)),"")</f>
        <v/>
      </c>
      <c r="Z83" s="311">
        <f>IFERROR(INDEX(Data!AL$9:AL$1273,MATCH($M83,Data!$K$9:$K$1273,0)),"")</f>
        <v/>
      </c>
      <c r="AA83" s="311">
        <f>IFERROR(INDEX(Data!AM$9:AM$1273,MATCH($M83,Data!$K$9:$K$1273,0)),"")</f>
        <v/>
      </c>
      <c r="AB83" s="311">
        <f>IFERROR(INDEX(Data!AN$9:AN$1273,MATCH($M83,Data!$K$9:$K$1273,0)),"")</f>
        <v/>
      </c>
      <c r="AC83" s="312">
        <f>IFERROR(INDEX(Data!BY$9:BY$1273,MATCH($M83,Data!$K$9:$K$1273,0)),"")</f>
        <v/>
      </c>
      <c r="AD83" s="312">
        <f>IFERROR(INDEX(Data!BZ$9:BZ$1273,MATCH($M83,Data!$K$9:$K$1273,0)),"")</f>
        <v/>
      </c>
      <c r="AE83" s="312">
        <f>IFERROR(INDEX(Data!CA$9:CA$1273,MATCH($M83,Data!$K$9:$K$1273,0)),"")</f>
        <v/>
      </c>
      <c r="AF83" s="312">
        <f>IFERROR(INDEX(Data!CB$9:CB$1273,MATCH($M83,Data!$K$9:$K$1273,0)),"")</f>
        <v/>
      </c>
      <c r="AG83" s="312">
        <f>IFERROR(INDEX(Data!CC$9:CC$1273,MATCH($M83,Data!$K$9:$K$1273,0)),"")</f>
        <v/>
      </c>
      <c r="AH83" s="312">
        <f>IFERROR(INDEX(Data!CD$9:CD$1273,MATCH($M83,Data!$K$9:$K$1273,0)),"")</f>
        <v/>
      </c>
      <c r="AI83" s="312">
        <f>IFERROR(INDEX(Data!CE$9:CE$1273,MATCH($M83,Data!$K$9:$K$1273,0)),"")</f>
        <v/>
      </c>
      <c r="AJ83" s="312">
        <f>IFERROR(INDEX(Data!CF$9:CF$1273,MATCH($M83,Data!$K$9:$K$1273,0)),"")</f>
        <v/>
      </c>
      <c r="AK83" s="312">
        <f>IFERROR(INDEX(Data!CG$9:CG$1273,MATCH($M83,Data!$K$9:$K$1273,0)),"")</f>
        <v/>
      </c>
      <c r="AL83" s="312">
        <f>IFERROR(INDEX(Data!CH$9:CH$1273,MATCH($M83,Data!$K$9:$K$1273,0)),"")</f>
        <v/>
      </c>
      <c r="AM83" s="312">
        <f>IFERROR(INDEX(Data!CI$9:CI$1273,MATCH($M83,Data!$K$9:$K$1273,0)),"")</f>
        <v/>
      </c>
      <c r="AN83" s="312">
        <f>IFERROR(INDEX(Data!CJ$9:CJ$1273,MATCH($M83,Data!$K$9:$K$1273,0)),"")</f>
        <v/>
      </c>
      <c r="AO83" s="312">
        <f>IFERROR(INDEX(Data!CK$9:CK$1273,MATCH($M83,Data!$K$9:$K$1273,0)),"")</f>
        <v/>
      </c>
      <c r="AP83" s="312">
        <f>IFERROR(INDEX(Data!CL$9:CL$1273,MATCH($M83,Data!$K$9:$K$1273,0)),"")</f>
        <v/>
      </c>
      <c r="AQ83" s="312">
        <f>IFERROR(INDEX(Data!CM$9:CM$1273,MATCH($M83,Data!$K$9:$K$1273,0)),"")</f>
        <v/>
      </c>
      <c r="AR83" s="312">
        <f>IFERROR(INDEX(Data!CN$9:CN$1273,MATCH($M83,Data!$K$9:$K$1273,0)),"")</f>
        <v/>
      </c>
      <c r="AS83" s="312">
        <f>IFERROR(INDEX(Data!CO$9:CO$1273,MATCH($M83,Data!$K$9:$K$1273,0)),"")</f>
        <v/>
      </c>
      <c r="AT83" s="312">
        <f>IFERROR(INDEX(Data!CP$9:CP$1273,MATCH($M83,Data!$K$9:$K$1273,0)),"")</f>
        <v/>
      </c>
      <c r="AU83" s="312">
        <f>IFERROR(INDEX(Data!CQ$9:CQ$1273,MATCH($M83,Data!$K$9:$K$1273,0)),"")</f>
        <v/>
      </c>
      <c r="AV83" s="312">
        <f>IFERROR(INDEX(Data!CR$9:CR$1273,MATCH($M83,Data!$K$9:$K$1273,0)),"")</f>
        <v/>
      </c>
      <c r="AW83" s="312">
        <f>IFERROR(INDEX(Data!CS$9:CS$1273,MATCH($M83,Data!$K$9:$K$1273,0)),"")</f>
        <v/>
      </c>
      <c r="AX83" s="312">
        <f>IFERROR(INDEX(Data!CT$9:CT$1273,MATCH($M83,Data!$K$9:$K$1273,0)),"")</f>
        <v/>
      </c>
      <c r="AY83" s="312">
        <f>IFERROR(INDEX(Data!CU$9:CU$1273,MATCH($M83,Data!$K$9:$K$1273,0)),"")</f>
        <v/>
      </c>
      <c r="AZ83" s="312">
        <f>IFERROR(INDEX(Data!CV$9:CV$1273,MATCH($M83,Data!$K$9:$K$1273,0)),"")</f>
        <v/>
      </c>
      <c r="BA83" s="312">
        <f>IFERROR(INDEX(Data!CX$9:CX$1273,MATCH($M83,Data!$K$9:$K$1273,0)),"")</f>
        <v/>
      </c>
      <c r="BB83" s="312">
        <f>IFERROR(INDEX(Data!CY$9:CY$1273,MATCH($M83,Data!$K$9:$K$1273,0)),"")</f>
        <v/>
      </c>
      <c r="BC83" s="312">
        <f>IFERROR(INDEX(Data!CZ$9:CZ$1273,MATCH($M83,Data!$K$9:$K$1273,0)),"")</f>
        <v/>
      </c>
      <c r="BD83" s="312">
        <f>IFERROR(INDEX(Data!DA$9:DA$1273,MATCH($M83,Data!$K$9:$K$1273,0)),"")</f>
        <v/>
      </c>
      <c r="BE83" s="312">
        <f>IFERROR(INDEX(Data!DB$9:DB$1273,MATCH($M83,Data!$K$9:$K$1273,0)),"")</f>
        <v/>
      </c>
      <c r="BF83" s="312">
        <f>IFERROR(INDEX(Data!DC$9:DC$1273,MATCH($M83,Data!$K$9:$K$1273,0)),"")</f>
        <v/>
      </c>
      <c r="BG83" s="312">
        <f>IFERROR(INDEX(Data!DD$9:DD$1273,MATCH($M83,Data!$K$9:$K$1273,0)),"")</f>
        <v/>
      </c>
      <c r="BH83" s="312">
        <f>IFERROR(INDEX(Data!DE$9:DE$1273,MATCH($M83,Data!$K$9:$K$1273,0)),"")</f>
        <v/>
      </c>
      <c r="BI83" s="312">
        <f>IFERROR(INDEX(Data!DF$9:DF$1273,MATCH($M83,Data!$K$9:$K$1273,0)),"")</f>
        <v/>
      </c>
      <c r="BJ83" s="312">
        <f>IFERROR(INDEX(Data!DG$9:DG$1273,MATCH($M83,Data!$K$9:$K$1273,0)),"")</f>
        <v/>
      </c>
      <c r="BK83" s="312">
        <f>IFERROR(INDEX(Data!DH$9:DH$1273,MATCH($M83,Data!$K$9:$K$1273,0)),"")</f>
        <v/>
      </c>
      <c r="BL83" s="312">
        <f>IFERROR(INDEX(Data!DI$9:DI$1273,MATCH($M83,Data!$K$9:$K$1273,0)),"")</f>
        <v/>
      </c>
      <c r="BM83" s="312">
        <f>IFERROR(INDEX(Data!DJ$9:DJ$1273,MATCH($M83,Data!$K$9:$K$1273,0)),"")</f>
        <v/>
      </c>
      <c r="BN83" s="312">
        <f>IFERROR(INDEX(Data!DK$9:DK$1273,MATCH($M83,Data!$K$9:$K$1273,0)),"")</f>
        <v/>
      </c>
      <c r="BO83" s="312">
        <f>IFERROR(INDEX(Data!DL$9:DL$1273,MATCH($M83,Data!$K$9:$K$1273,0)),"")</f>
        <v/>
      </c>
      <c r="BP83" s="331">
        <f>IFERROR(IF(BK83=0,"-",BK83),"")</f>
        <v/>
      </c>
      <c r="BQ83" s="312">
        <f>IFERROR(IF(BP83-K83&gt;0,TRUE,FALSE)," ")</f>
        <v/>
      </c>
      <c r="BR83" s="312">
        <f>_xlfn.CONCAT(E83,F83,H83,G83)</f>
        <v/>
      </c>
      <c r="BS83" s="312">
        <f>IFERROR(INDEX(Data!$DO$9:$DO$1273,MATCH('Your recommendation'!BR83,Data!$DN$9:$DN$1273,0)),"")</f>
        <v/>
      </c>
    </row>
    <row r="84" ht="15.6" customFormat="1" customHeight="1" s="138">
      <c r="B84" s="309">
        <f>IF(C84&gt;0,B83+1,"")</f>
        <v/>
      </c>
      <c r="C84" s="310" t="n">
        <v>0.9164578479284258</v>
      </c>
      <c r="D84" s="312">
        <f>IFERROR(INDEX(Data!BR$9:BR$1273,MATCH($M84,Data!$K$9:$K$1273,0)),"")</f>
        <v/>
      </c>
      <c r="E84" s="312">
        <f>IFERROR(INDEX(Data!BS$9:BS$1273,MATCH($M84,Data!$K$9:$K$1273,0)),"")</f>
        <v/>
      </c>
      <c r="F84" s="312">
        <f>IFERROR(INDEX(Data!DM$9:DM$1273,MATCH($M84,Data!$K$9:$K$1273,0)),"")</f>
        <v/>
      </c>
      <c r="G84" s="312">
        <f>IFERROR(INDEX(Data!BV$9:BV$1273,MATCH($M84,Data!$K$9:$K$1273,0)),"")</f>
        <v/>
      </c>
      <c r="H84" s="312">
        <f>IFERROR(INDEX(Data!BW$9:BW$1273,MATCH($M84,Data!$K$9:$K$1273,0)),"")</f>
        <v/>
      </c>
      <c r="I84" s="312">
        <f>IFERROR(INDEX(Data!BX$9:BX$1273,MATCH($M84,Data!$K$9:$K$1273,0)),"")</f>
        <v/>
      </c>
      <c r="J84" s="312">
        <f>IFERROR(INDEX(Data!CB$9:CB$1273,MATCH($M84,Data!$K$9:$K$1273,0)),"")</f>
        <v/>
      </c>
      <c r="K84" s="329">
        <f>IFERROR(HYPERLINK(BM84,BC84),"-")</f>
        <v/>
      </c>
      <c r="L84" s="330">
        <f>IFERROR(IF(BB84=0,"-",BB84)," ")</f>
        <v/>
      </c>
      <c r="M84" s="311" t="n">
        <v>0.9164578479284258</v>
      </c>
      <c r="N84" s="311">
        <f>IFERROR(INDEX(Data!L$9:L$1273,MATCH($M84,Data!$K$9:$K$1273,0)),"")</f>
        <v/>
      </c>
      <c r="O84" s="311">
        <f>IFERROR(INDEX(Data!M$9:M$1273,MATCH($M84,Data!$K$9:$K$1273,0)),"")</f>
        <v/>
      </c>
      <c r="P84" s="311">
        <f>IFERROR(INDEX(Data!N$9:N$1273,MATCH($M84,Data!$K$9:$K$1273,0)),"")</f>
        <v/>
      </c>
      <c r="Q84" s="311">
        <f>IFERROR(INDEX(Data!O$9:O$1273,MATCH($M84,Data!$K$9:$K$1273,0)),"")</f>
        <v/>
      </c>
      <c r="R84" s="311">
        <f>IFERROR(INDEX(Data!P$9:P$1273,MATCH($M84,Data!$K$9:$K$1273,0)),"")</f>
        <v/>
      </c>
      <c r="S84" s="311">
        <f>IFERROR(INDEX(Data!S$9:S$1273,MATCH($M84,Data!$K$9:$K$1273,0)),"")</f>
        <v/>
      </c>
      <c r="T84" s="311">
        <f>IFERROR(INDEX(Data!T$9:T$1273,MATCH($M84,Data!$K$9:$K$1273,0)),"")</f>
        <v/>
      </c>
      <c r="U84" s="311">
        <f>IFERROR(INDEX(Data!U$9:U$1273,MATCH($M84,Data!$K$9:$K$1273,0)),"")</f>
        <v/>
      </c>
      <c r="V84" s="311">
        <f>IFERROR(INDEX(Data!V$9:V$1273,MATCH($M84,Data!$K$9:$K$1273,0)),"")</f>
        <v/>
      </c>
      <c r="W84" s="311">
        <f>IFERROR(INDEX(Data!W$9:W$1273,MATCH($M84,Data!$K$9:$K$1273,0)),"")</f>
        <v/>
      </c>
      <c r="X84" s="311">
        <f>IFERROR(INDEX(Data!AJ$9:AJ$1273,MATCH($M84,Data!$K$9:$K$1273,0)),"")</f>
        <v/>
      </c>
      <c r="Y84" s="311">
        <f>IFERROR(INDEX(Data!AK$9:AK$1273,MATCH($M84,Data!$K$9:$K$1273,0)),"")</f>
        <v/>
      </c>
      <c r="Z84" s="311">
        <f>IFERROR(INDEX(Data!AL$9:AL$1273,MATCH($M84,Data!$K$9:$K$1273,0)),"")</f>
        <v/>
      </c>
      <c r="AA84" s="311">
        <f>IFERROR(INDEX(Data!AM$9:AM$1273,MATCH($M84,Data!$K$9:$K$1273,0)),"")</f>
        <v/>
      </c>
      <c r="AB84" s="311">
        <f>IFERROR(INDEX(Data!AN$9:AN$1273,MATCH($M84,Data!$K$9:$K$1273,0)),"")</f>
        <v/>
      </c>
      <c r="AC84" s="312">
        <f>IFERROR(INDEX(Data!BY$9:BY$1273,MATCH($M84,Data!$K$9:$K$1273,0)),"")</f>
        <v/>
      </c>
      <c r="AD84" s="312">
        <f>IFERROR(INDEX(Data!BZ$9:BZ$1273,MATCH($M84,Data!$K$9:$K$1273,0)),"")</f>
        <v/>
      </c>
      <c r="AE84" s="312">
        <f>IFERROR(INDEX(Data!CA$9:CA$1273,MATCH($M84,Data!$K$9:$K$1273,0)),"")</f>
        <v/>
      </c>
      <c r="AF84" s="312">
        <f>IFERROR(INDEX(Data!CB$9:CB$1273,MATCH($M84,Data!$K$9:$K$1273,0)),"")</f>
        <v/>
      </c>
      <c r="AG84" s="312">
        <f>IFERROR(INDEX(Data!CC$9:CC$1273,MATCH($M84,Data!$K$9:$K$1273,0)),"")</f>
        <v/>
      </c>
      <c r="AH84" s="312">
        <f>IFERROR(INDEX(Data!CD$9:CD$1273,MATCH($M84,Data!$K$9:$K$1273,0)),"")</f>
        <v/>
      </c>
      <c r="AI84" s="312">
        <f>IFERROR(INDEX(Data!CE$9:CE$1273,MATCH($M84,Data!$K$9:$K$1273,0)),"")</f>
        <v/>
      </c>
      <c r="AJ84" s="312">
        <f>IFERROR(INDEX(Data!CF$9:CF$1273,MATCH($M84,Data!$K$9:$K$1273,0)),"")</f>
        <v/>
      </c>
      <c r="AK84" s="312">
        <f>IFERROR(INDEX(Data!CG$9:CG$1273,MATCH($M84,Data!$K$9:$K$1273,0)),"")</f>
        <v/>
      </c>
      <c r="AL84" s="312">
        <f>IFERROR(INDEX(Data!CH$9:CH$1273,MATCH($M84,Data!$K$9:$K$1273,0)),"")</f>
        <v/>
      </c>
      <c r="AM84" s="312">
        <f>IFERROR(INDEX(Data!CI$9:CI$1273,MATCH($M84,Data!$K$9:$K$1273,0)),"")</f>
        <v/>
      </c>
      <c r="AN84" s="312">
        <f>IFERROR(INDEX(Data!CJ$9:CJ$1273,MATCH($M84,Data!$K$9:$K$1273,0)),"")</f>
        <v/>
      </c>
      <c r="AO84" s="312">
        <f>IFERROR(INDEX(Data!CK$9:CK$1273,MATCH($M84,Data!$K$9:$K$1273,0)),"")</f>
        <v/>
      </c>
      <c r="AP84" s="312">
        <f>IFERROR(INDEX(Data!CL$9:CL$1273,MATCH($M84,Data!$K$9:$K$1273,0)),"")</f>
        <v/>
      </c>
      <c r="AQ84" s="312">
        <f>IFERROR(INDEX(Data!CM$9:CM$1273,MATCH($M84,Data!$K$9:$K$1273,0)),"")</f>
        <v/>
      </c>
      <c r="AR84" s="312">
        <f>IFERROR(INDEX(Data!CN$9:CN$1273,MATCH($M84,Data!$K$9:$K$1273,0)),"")</f>
        <v/>
      </c>
      <c r="AS84" s="312">
        <f>IFERROR(INDEX(Data!CO$9:CO$1273,MATCH($M84,Data!$K$9:$K$1273,0)),"")</f>
        <v/>
      </c>
      <c r="AT84" s="312">
        <f>IFERROR(INDEX(Data!CP$9:CP$1273,MATCH($M84,Data!$K$9:$K$1273,0)),"")</f>
        <v/>
      </c>
      <c r="AU84" s="312">
        <f>IFERROR(INDEX(Data!CQ$9:CQ$1273,MATCH($M84,Data!$K$9:$K$1273,0)),"")</f>
        <v/>
      </c>
      <c r="AV84" s="312">
        <f>IFERROR(INDEX(Data!CR$9:CR$1273,MATCH($M84,Data!$K$9:$K$1273,0)),"")</f>
        <v/>
      </c>
      <c r="AW84" s="312">
        <f>IFERROR(INDEX(Data!CS$9:CS$1273,MATCH($M84,Data!$K$9:$K$1273,0)),"")</f>
        <v/>
      </c>
      <c r="AX84" s="312">
        <f>IFERROR(INDEX(Data!CT$9:CT$1273,MATCH($M84,Data!$K$9:$K$1273,0)),"")</f>
        <v/>
      </c>
      <c r="AY84" s="312">
        <f>IFERROR(INDEX(Data!CU$9:CU$1273,MATCH($M84,Data!$K$9:$K$1273,0)),"")</f>
        <v/>
      </c>
      <c r="AZ84" s="312">
        <f>IFERROR(INDEX(Data!CV$9:CV$1273,MATCH($M84,Data!$K$9:$K$1273,0)),"")</f>
        <v/>
      </c>
      <c r="BA84" s="312">
        <f>IFERROR(INDEX(Data!CX$9:CX$1273,MATCH($M84,Data!$K$9:$K$1273,0)),"")</f>
        <v/>
      </c>
      <c r="BB84" s="312">
        <f>IFERROR(INDEX(Data!CY$9:CY$1273,MATCH($M84,Data!$K$9:$K$1273,0)),"")</f>
        <v/>
      </c>
      <c r="BC84" s="312">
        <f>IFERROR(INDEX(Data!CZ$9:CZ$1273,MATCH($M84,Data!$K$9:$K$1273,0)),"")</f>
        <v/>
      </c>
      <c r="BD84" s="312">
        <f>IFERROR(INDEX(Data!DA$9:DA$1273,MATCH($M84,Data!$K$9:$K$1273,0)),"")</f>
        <v/>
      </c>
      <c r="BE84" s="312">
        <f>IFERROR(INDEX(Data!DB$9:DB$1273,MATCH($M84,Data!$K$9:$K$1273,0)),"")</f>
        <v/>
      </c>
      <c r="BF84" s="312">
        <f>IFERROR(INDEX(Data!DC$9:DC$1273,MATCH($M84,Data!$K$9:$K$1273,0)),"")</f>
        <v/>
      </c>
      <c r="BG84" s="312">
        <f>IFERROR(INDEX(Data!DD$9:DD$1273,MATCH($M84,Data!$K$9:$K$1273,0)),"")</f>
        <v/>
      </c>
      <c r="BH84" s="312">
        <f>IFERROR(INDEX(Data!DE$9:DE$1273,MATCH($M84,Data!$K$9:$K$1273,0)),"")</f>
        <v/>
      </c>
      <c r="BI84" s="312">
        <f>IFERROR(INDEX(Data!DF$9:DF$1273,MATCH($M84,Data!$K$9:$K$1273,0)),"")</f>
        <v/>
      </c>
      <c r="BJ84" s="312">
        <f>IFERROR(INDEX(Data!DG$9:DG$1273,MATCH($M84,Data!$K$9:$K$1273,0)),"")</f>
        <v/>
      </c>
      <c r="BK84" s="312">
        <f>IFERROR(INDEX(Data!DH$9:DH$1273,MATCH($M84,Data!$K$9:$K$1273,0)),"")</f>
        <v/>
      </c>
      <c r="BL84" s="312">
        <f>IFERROR(INDEX(Data!DI$9:DI$1273,MATCH($M84,Data!$K$9:$K$1273,0)),"")</f>
        <v/>
      </c>
      <c r="BM84" s="312">
        <f>IFERROR(INDEX(Data!DJ$9:DJ$1273,MATCH($M84,Data!$K$9:$K$1273,0)),"")</f>
        <v/>
      </c>
      <c r="BN84" s="312">
        <f>IFERROR(INDEX(Data!DK$9:DK$1273,MATCH($M84,Data!$K$9:$K$1273,0)),"")</f>
        <v/>
      </c>
      <c r="BO84" s="312">
        <f>IFERROR(INDEX(Data!DL$9:DL$1273,MATCH($M84,Data!$K$9:$K$1273,0)),"")</f>
        <v/>
      </c>
      <c r="BP84" s="331">
        <f>IFERROR(IF(BK84=0,"-",BK84),"")</f>
        <v/>
      </c>
      <c r="BQ84" s="312">
        <f>IFERROR(IF(BP84-K84&gt;0,TRUE,FALSE)," ")</f>
        <v/>
      </c>
      <c r="BR84" s="312">
        <f>_xlfn.CONCAT(E84,F84,H84,G84)</f>
        <v/>
      </c>
      <c r="BS84" s="312">
        <f>IFERROR(INDEX(Data!$DO$9:$DO$1273,MATCH('Your recommendation'!BR84,Data!$DN$9:$DN$1273,0)),"")</f>
        <v/>
      </c>
    </row>
    <row r="85" ht="15.6" customFormat="1" customHeight="1" s="138">
      <c r="B85" s="309">
        <f>IF(C85&gt;0,B84+1,"")</f>
        <v/>
      </c>
      <c r="C85" s="310" t="n">
        <v>0.9100666972521982</v>
      </c>
      <c r="D85" s="312">
        <f>IFERROR(INDEX(Data!BR$9:BR$1273,MATCH($M85,Data!$K$9:$K$1273,0)),"")</f>
        <v/>
      </c>
      <c r="E85" s="312">
        <f>IFERROR(INDEX(Data!BS$9:BS$1273,MATCH($M85,Data!$K$9:$K$1273,0)),"")</f>
        <v/>
      </c>
      <c r="F85" s="312">
        <f>IFERROR(INDEX(Data!DM$9:DM$1273,MATCH($M85,Data!$K$9:$K$1273,0)),"")</f>
        <v/>
      </c>
      <c r="G85" s="312">
        <f>IFERROR(INDEX(Data!BV$9:BV$1273,MATCH($M85,Data!$K$9:$K$1273,0)),"")</f>
        <v/>
      </c>
      <c r="H85" s="312">
        <f>IFERROR(INDEX(Data!BW$9:BW$1273,MATCH($M85,Data!$K$9:$K$1273,0)),"")</f>
        <v/>
      </c>
      <c r="I85" s="312">
        <f>IFERROR(INDEX(Data!BX$9:BX$1273,MATCH($M85,Data!$K$9:$K$1273,0)),"")</f>
        <v/>
      </c>
      <c r="J85" s="312">
        <f>IFERROR(INDEX(Data!CB$9:CB$1273,MATCH($M85,Data!$K$9:$K$1273,0)),"")</f>
        <v/>
      </c>
      <c r="K85" s="329">
        <f>IFERROR(HYPERLINK(BM85,BC85),"-")</f>
        <v/>
      </c>
      <c r="L85" s="330">
        <f>IFERROR(IF(BB85=0,"-",BB85)," ")</f>
        <v/>
      </c>
      <c r="M85" s="311" t="n">
        <v>0.9100666972521982</v>
      </c>
      <c r="N85" s="311">
        <f>IFERROR(INDEX(Data!L$9:L$1273,MATCH($M85,Data!$K$9:$K$1273,0)),"")</f>
        <v/>
      </c>
      <c r="O85" s="311">
        <f>IFERROR(INDEX(Data!M$9:M$1273,MATCH($M85,Data!$K$9:$K$1273,0)),"")</f>
        <v/>
      </c>
      <c r="P85" s="311">
        <f>IFERROR(INDEX(Data!N$9:N$1273,MATCH($M85,Data!$K$9:$K$1273,0)),"")</f>
        <v/>
      </c>
      <c r="Q85" s="311">
        <f>IFERROR(INDEX(Data!O$9:O$1273,MATCH($M85,Data!$K$9:$K$1273,0)),"")</f>
        <v/>
      </c>
      <c r="R85" s="311">
        <f>IFERROR(INDEX(Data!P$9:P$1273,MATCH($M85,Data!$K$9:$K$1273,0)),"")</f>
        <v/>
      </c>
      <c r="S85" s="311">
        <f>IFERROR(INDEX(Data!S$9:S$1273,MATCH($M85,Data!$K$9:$K$1273,0)),"")</f>
        <v/>
      </c>
      <c r="T85" s="311">
        <f>IFERROR(INDEX(Data!T$9:T$1273,MATCH($M85,Data!$K$9:$K$1273,0)),"")</f>
        <v/>
      </c>
      <c r="U85" s="311">
        <f>IFERROR(INDEX(Data!U$9:U$1273,MATCH($M85,Data!$K$9:$K$1273,0)),"")</f>
        <v/>
      </c>
      <c r="V85" s="311">
        <f>IFERROR(INDEX(Data!V$9:V$1273,MATCH($M85,Data!$K$9:$K$1273,0)),"")</f>
        <v/>
      </c>
      <c r="W85" s="311">
        <f>IFERROR(INDEX(Data!W$9:W$1273,MATCH($M85,Data!$K$9:$K$1273,0)),"")</f>
        <v/>
      </c>
      <c r="X85" s="311">
        <f>IFERROR(INDEX(Data!AJ$9:AJ$1273,MATCH($M85,Data!$K$9:$K$1273,0)),"")</f>
        <v/>
      </c>
      <c r="Y85" s="311">
        <f>IFERROR(INDEX(Data!AK$9:AK$1273,MATCH($M85,Data!$K$9:$K$1273,0)),"")</f>
        <v/>
      </c>
      <c r="Z85" s="311">
        <f>IFERROR(INDEX(Data!AL$9:AL$1273,MATCH($M85,Data!$K$9:$K$1273,0)),"")</f>
        <v/>
      </c>
      <c r="AA85" s="311">
        <f>IFERROR(INDEX(Data!AM$9:AM$1273,MATCH($M85,Data!$K$9:$K$1273,0)),"")</f>
        <v/>
      </c>
      <c r="AB85" s="311">
        <f>IFERROR(INDEX(Data!AN$9:AN$1273,MATCH($M85,Data!$K$9:$K$1273,0)),"")</f>
        <v/>
      </c>
      <c r="AC85" s="312">
        <f>IFERROR(INDEX(Data!BY$9:BY$1273,MATCH($M85,Data!$K$9:$K$1273,0)),"")</f>
        <v/>
      </c>
      <c r="AD85" s="312">
        <f>IFERROR(INDEX(Data!BZ$9:BZ$1273,MATCH($M85,Data!$K$9:$K$1273,0)),"")</f>
        <v/>
      </c>
      <c r="AE85" s="312">
        <f>IFERROR(INDEX(Data!CA$9:CA$1273,MATCH($M85,Data!$K$9:$K$1273,0)),"")</f>
        <v/>
      </c>
      <c r="AF85" s="312">
        <f>IFERROR(INDEX(Data!CB$9:CB$1273,MATCH($M85,Data!$K$9:$K$1273,0)),"")</f>
        <v/>
      </c>
      <c r="AG85" s="312">
        <f>IFERROR(INDEX(Data!CC$9:CC$1273,MATCH($M85,Data!$K$9:$K$1273,0)),"")</f>
        <v/>
      </c>
      <c r="AH85" s="312">
        <f>IFERROR(INDEX(Data!CD$9:CD$1273,MATCH($M85,Data!$K$9:$K$1273,0)),"")</f>
        <v/>
      </c>
      <c r="AI85" s="312">
        <f>IFERROR(INDEX(Data!CE$9:CE$1273,MATCH($M85,Data!$K$9:$K$1273,0)),"")</f>
        <v/>
      </c>
      <c r="AJ85" s="312">
        <f>IFERROR(INDEX(Data!CF$9:CF$1273,MATCH($M85,Data!$K$9:$K$1273,0)),"")</f>
        <v/>
      </c>
      <c r="AK85" s="312">
        <f>IFERROR(INDEX(Data!CG$9:CG$1273,MATCH($M85,Data!$K$9:$K$1273,0)),"")</f>
        <v/>
      </c>
      <c r="AL85" s="312">
        <f>IFERROR(INDEX(Data!CH$9:CH$1273,MATCH($M85,Data!$K$9:$K$1273,0)),"")</f>
        <v/>
      </c>
      <c r="AM85" s="312">
        <f>IFERROR(INDEX(Data!CI$9:CI$1273,MATCH($M85,Data!$K$9:$K$1273,0)),"")</f>
        <v/>
      </c>
      <c r="AN85" s="312">
        <f>IFERROR(INDEX(Data!CJ$9:CJ$1273,MATCH($M85,Data!$K$9:$K$1273,0)),"")</f>
        <v/>
      </c>
      <c r="AO85" s="312">
        <f>IFERROR(INDEX(Data!CK$9:CK$1273,MATCH($M85,Data!$K$9:$K$1273,0)),"")</f>
        <v/>
      </c>
      <c r="AP85" s="312">
        <f>IFERROR(INDEX(Data!CL$9:CL$1273,MATCH($M85,Data!$K$9:$K$1273,0)),"")</f>
        <v/>
      </c>
      <c r="AQ85" s="312">
        <f>IFERROR(INDEX(Data!CM$9:CM$1273,MATCH($M85,Data!$K$9:$K$1273,0)),"")</f>
        <v/>
      </c>
      <c r="AR85" s="312">
        <f>IFERROR(INDEX(Data!CN$9:CN$1273,MATCH($M85,Data!$K$9:$K$1273,0)),"")</f>
        <v/>
      </c>
      <c r="AS85" s="312">
        <f>IFERROR(INDEX(Data!CO$9:CO$1273,MATCH($M85,Data!$K$9:$K$1273,0)),"")</f>
        <v/>
      </c>
      <c r="AT85" s="312">
        <f>IFERROR(INDEX(Data!CP$9:CP$1273,MATCH($M85,Data!$K$9:$K$1273,0)),"")</f>
        <v/>
      </c>
      <c r="AU85" s="312">
        <f>IFERROR(INDEX(Data!CQ$9:CQ$1273,MATCH($M85,Data!$K$9:$K$1273,0)),"")</f>
        <v/>
      </c>
      <c r="AV85" s="312">
        <f>IFERROR(INDEX(Data!CR$9:CR$1273,MATCH($M85,Data!$K$9:$K$1273,0)),"")</f>
        <v/>
      </c>
      <c r="AW85" s="312">
        <f>IFERROR(INDEX(Data!CS$9:CS$1273,MATCH($M85,Data!$K$9:$K$1273,0)),"")</f>
        <v/>
      </c>
      <c r="AX85" s="312">
        <f>IFERROR(INDEX(Data!CT$9:CT$1273,MATCH($M85,Data!$K$9:$K$1273,0)),"")</f>
        <v/>
      </c>
      <c r="AY85" s="312">
        <f>IFERROR(INDEX(Data!CU$9:CU$1273,MATCH($M85,Data!$K$9:$K$1273,0)),"")</f>
        <v/>
      </c>
      <c r="AZ85" s="312">
        <f>IFERROR(INDEX(Data!CV$9:CV$1273,MATCH($M85,Data!$K$9:$K$1273,0)),"")</f>
        <v/>
      </c>
      <c r="BA85" s="312">
        <f>IFERROR(INDEX(Data!CX$9:CX$1273,MATCH($M85,Data!$K$9:$K$1273,0)),"")</f>
        <v/>
      </c>
      <c r="BB85" s="312">
        <f>IFERROR(INDEX(Data!CY$9:CY$1273,MATCH($M85,Data!$K$9:$K$1273,0)),"")</f>
        <v/>
      </c>
      <c r="BC85" s="312">
        <f>IFERROR(INDEX(Data!CZ$9:CZ$1273,MATCH($M85,Data!$K$9:$K$1273,0)),"")</f>
        <v/>
      </c>
      <c r="BD85" s="312">
        <f>IFERROR(INDEX(Data!DA$9:DA$1273,MATCH($M85,Data!$K$9:$K$1273,0)),"")</f>
        <v/>
      </c>
      <c r="BE85" s="312">
        <f>IFERROR(INDEX(Data!DB$9:DB$1273,MATCH($M85,Data!$K$9:$K$1273,0)),"")</f>
        <v/>
      </c>
      <c r="BF85" s="312">
        <f>IFERROR(INDEX(Data!DC$9:DC$1273,MATCH($M85,Data!$K$9:$K$1273,0)),"")</f>
        <v/>
      </c>
      <c r="BG85" s="312">
        <f>IFERROR(INDEX(Data!DD$9:DD$1273,MATCH($M85,Data!$K$9:$K$1273,0)),"")</f>
        <v/>
      </c>
      <c r="BH85" s="312">
        <f>IFERROR(INDEX(Data!DE$9:DE$1273,MATCH($M85,Data!$K$9:$K$1273,0)),"")</f>
        <v/>
      </c>
      <c r="BI85" s="312">
        <f>IFERROR(INDEX(Data!DF$9:DF$1273,MATCH($M85,Data!$K$9:$K$1273,0)),"")</f>
        <v/>
      </c>
      <c r="BJ85" s="312">
        <f>IFERROR(INDEX(Data!DG$9:DG$1273,MATCH($M85,Data!$K$9:$K$1273,0)),"")</f>
        <v/>
      </c>
      <c r="BK85" s="312">
        <f>IFERROR(INDEX(Data!DH$9:DH$1273,MATCH($M85,Data!$K$9:$K$1273,0)),"")</f>
        <v/>
      </c>
      <c r="BL85" s="312">
        <f>IFERROR(INDEX(Data!DI$9:DI$1273,MATCH($M85,Data!$K$9:$K$1273,0)),"")</f>
        <v/>
      </c>
      <c r="BM85" s="312">
        <f>IFERROR(INDEX(Data!DJ$9:DJ$1273,MATCH($M85,Data!$K$9:$K$1273,0)),"")</f>
        <v/>
      </c>
      <c r="BN85" s="312">
        <f>IFERROR(INDEX(Data!DK$9:DK$1273,MATCH($M85,Data!$K$9:$K$1273,0)),"")</f>
        <v/>
      </c>
      <c r="BO85" s="312">
        <f>IFERROR(INDEX(Data!DL$9:DL$1273,MATCH($M85,Data!$K$9:$K$1273,0)),"")</f>
        <v/>
      </c>
      <c r="BP85" s="331">
        <f>IFERROR(IF(BK85=0,"-",BK85),"")</f>
        <v/>
      </c>
      <c r="BQ85" s="312">
        <f>IFERROR(IF(BP85-K85&gt;0,TRUE,FALSE)," ")</f>
        <v/>
      </c>
      <c r="BR85" s="312">
        <f>_xlfn.CONCAT(E85,F85,H85,G85)</f>
        <v/>
      </c>
      <c r="BS85" s="312">
        <f>IFERROR(INDEX(Data!$DO$9:$DO$1273,MATCH('Your recommendation'!BR85,Data!$DN$9:$DN$1273,0)),"")</f>
        <v/>
      </c>
    </row>
    <row r="86" ht="15.6" customFormat="1" customHeight="1" s="138">
      <c r="B86" s="309">
        <f>IF(C86&gt;0,B85+1,"")</f>
        <v/>
      </c>
      <c r="C86" s="310" t="n">
        <v>0.908373517073279</v>
      </c>
      <c r="D86" s="312">
        <f>IFERROR(INDEX(Data!BR$9:BR$1273,MATCH($M86,Data!$K$9:$K$1273,0)),"")</f>
        <v/>
      </c>
      <c r="E86" s="312">
        <f>IFERROR(INDEX(Data!BS$9:BS$1273,MATCH($M86,Data!$K$9:$K$1273,0)),"")</f>
        <v/>
      </c>
      <c r="F86" s="312">
        <f>IFERROR(INDEX(Data!DM$9:DM$1273,MATCH($M86,Data!$K$9:$K$1273,0)),"")</f>
        <v/>
      </c>
      <c r="G86" s="312">
        <f>IFERROR(INDEX(Data!BV$9:BV$1273,MATCH($M86,Data!$K$9:$K$1273,0)),"")</f>
        <v/>
      </c>
      <c r="H86" s="312">
        <f>IFERROR(INDEX(Data!BW$9:BW$1273,MATCH($M86,Data!$K$9:$K$1273,0)),"")</f>
        <v/>
      </c>
      <c r="I86" s="312">
        <f>IFERROR(INDEX(Data!BX$9:BX$1273,MATCH($M86,Data!$K$9:$K$1273,0)),"")</f>
        <v/>
      </c>
      <c r="J86" s="312">
        <f>IFERROR(INDEX(Data!CB$9:CB$1273,MATCH($M86,Data!$K$9:$K$1273,0)),"")</f>
        <v/>
      </c>
      <c r="K86" s="329">
        <f>IFERROR(HYPERLINK(BM86,BC86),"-")</f>
        <v/>
      </c>
      <c r="L86" s="330">
        <f>IFERROR(IF(BB86=0,"-",BB86)," ")</f>
        <v/>
      </c>
      <c r="M86" s="311" t="n">
        <v>0.908373517073279</v>
      </c>
      <c r="N86" s="311">
        <f>IFERROR(INDEX(Data!L$9:L$1273,MATCH($M86,Data!$K$9:$K$1273,0)),"")</f>
        <v/>
      </c>
      <c r="O86" s="311">
        <f>IFERROR(INDEX(Data!M$9:M$1273,MATCH($M86,Data!$K$9:$K$1273,0)),"")</f>
        <v/>
      </c>
      <c r="P86" s="311">
        <f>IFERROR(INDEX(Data!N$9:N$1273,MATCH($M86,Data!$K$9:$K$1273,0)),"")</f>
        <v/>
      </c>
      <c r="Q86" s="311">
        <f>IFERROR(INDEX(Data!O$9:O$1273,MATCH($M86,Data!$K$9:$K$1273,0)),"")</f>
        <v/>
      </c>
      <c r="R86" s="311">
        <f>IFERROR(INDEX(Data!P$9:P$1273,MATCH($M86,Data!$K$9:$K$1273,0)),"")</f>
        <v/>
      </c>
      <c r="S86" s="311">
        <f>IFERROR(INDEX(Data!S$9:S$1273,MATCH($M86,Data!$K$9:$K$1273,0)),"")</f>
        <v/>
      </c>
      <c r="T86" s="311">
        <f>IFERROR(INDEX(Data!T$9:T$1273,MATCH($M86,Data!$K$9:$K$1273,0)),"")</f>
        <v/>
      </c>
      <c r="U86" s="311">
        <f>IFERROR(INDEX(Data!U$9:U$1273,MATCH($M86,Data!$K$9:$K$1273,0)),"")</f>
        <v/>
      </c>
      <c r="V86" s="311">
        <f>IFERROR(INDEX(Data!V$9:V$1273,MATCH($M86,Data!$K$9:$K$1273,0)),"")</f>
        <v/>
      </c>
      <c r="W86" s="311">
        <f>IFERROR(INDEX(Data!W$9:W$1273,MATCH($M86,Data!$K$9:$K$1273,0)),"")</f>
        <v/>
      </c>
      <c r="X86" s="311">
        <f>IFERROR(INDEX(Data!AJ$9:AJ$1273,MATCH($M86,Data!$K$9:$K$1273,0)),"")</f>
        <v/>
      </c>
      <c r="Y86" s="311">
        <f>IFERROR(INDEX(Data!AK$9:AK$1273,MATCH($M86,Data!$K$9:$K$1273,0)),"")</f>
        <v/>
      </c>
      <c r="Z86" s="311">
        <f>IFERROR(INDEX(Data!AL$9:AL$1273,MATCH($M86,Data!$K$9:$K$1273,0)),"")</f>
        <v/>
      </c>
      <c r="AA86" s="311">
        <f>IFERROR(INDEX(Data!AM$9:AM$1273,MATCH($M86,Data!$K$9:$K$1273,0)),"")</f>
        <v/>
      </c>
      <c r="AB86" s="311">
        <f>IFERROR(INDEX(Data!AN$9:AN$1273,MATCH($M86,Data!$K$9:$K$1273,0)),"")</f>
        <v/>
      </c>
      <c r="AC86" s="312">
        <f>IFERROR(INDEX(Data!BY$9:BY$1273,MATCH($M86,Data!$K$9:$K$1273,0)),"")</f>
        <v/>
      </c>
      <c r="AD86" s="312">
        <f>IFERROR(INDEX(Data!BZ$9:BZ$1273,MATCH($M86,Data!$K$9:$K$1273,0)),"")</f>
        <v/>
      </c>
      <c r="AE86" s="312">
        <f>IFERROR(INDEX(Data!CA$9:CA$1273,MATCH($M86,Data!$K$9:$K$1273,0)),"")</f>
        <v/>
      </c>
      <c r="AF86" s="312">
        <f>IFERROR(INDEX(Data!CB$9:CB$1273,MATCH($M86,Data!$K$9:$K$1273,0)),"")</f>
        <v/>
      </c>
      <c r="AG86" s="312">
        <f>IFERROR(INDEX(Data!CC$9:CC$1273,MATCH($M86,Data!$K$9:$K$1273,0)),"")</f>
        <v/>
      </c>
      <c r="AH86" s="312">
        <f>IFERROR(INDEX(Data!CD$9:CD$1273,MATCH($M86,Data!$K$9:$K$1273,0)),"")</f>
        <v/>
      </c>
      <c r="AI86" s="312">
        <f>IFERROR(INDEX(Data!CE$9:CE$1273,MATCH($M86,Data!$K$9:$K$1273,0)),"")</f>
        <v/>
      </c>
      <c r="AJ86" s="312">
        <f>IFERROR(INDEX(Data!CF$9:CF$1273,MATCH($M86,Data!$K$9:$K$1273,0)),"")</f>
        <v/>
      </c>
      <c r="AK86" s="312">
        <f>IFERROR(INDEX(Data!CG$9:CG$1273,MATCH($M86,Data!$K$9:$K$1273,0)),"")</f>
        <v/>
      </c>
      <c r="AL86" s="312">
        <f>IFERROR(INDEX(Data!CH$9:CH$1273,MATCH($M86,Data!$K$9:$K$1273,0)),"")</f>
        <v/>
      </c>
      <c r="AM86" s="312">
        <f>IFERROR(INDEX(Data!CI$9:CI$1273,MATCH($M86,Data!$K$9:$K$1273,0)),"")</f>
        <v/>
      </c>
      <c r="AN86" s="312">
        <f>IFERROR(INDEX(Data!CJ$9:CJ$1273,MATCH($M86,Data!$K$9:$K$1273,0)),"")</f>
        <v/>
      </c>
      <c r="AO86" s="312">
        <f>IFERROR(INDEX(Data!CK$9:CK$1273,MATCH($M86,Data!$K$9:$K$1273,0)),"")</f>
        <v/>
      </c>
      <c r="AP86" s="312">
        <f>IFERROR(INDEX(Data!CL$9:CL$1273,MATCH($M86,Data!$K$9:$K$1273,0)),"")</f>
        <v/>
      </c>
      <c r="AQ86" s="312">
        <f>IFERROR(INDEX(Data!CM$9:CM$1273,MATCH($M86,Data!$K$9:$K$1273,0)),"")</f>
        <v/>
      </c>
      <c r="AR86" s="312">
        <f>IFERROR(INDEX(Data!CN$9:CN$1273,MATCH($M86,Data!$K$9:$K$1273,0)),"")</f>
        <v/>
      </c>
      <c r="AS86" s="312">
        <f>IFERROR(INDEX(Data!CO$9:CO$1273,MATCH($M86,Data!$K$9:$K$1273,0)),"")</f>
        <v/>
      </c>
      <c r="AT86" s="312">
        <f>IFERROR(INDEX(Data!CP$9:CP$1273,MATCH($M86,Data!$K$9:$K$1273,0)),"")</f>
        <v/>
      </c>
      <c r="AU86" s="312">
        <f>IFERROR(INDEX(Data!CQ$9:CQ$1273,MATCH($M86,Data!$K$9:$K$1273,0)),"")</f>
        <v/>
      </c>
      <c r="AV86" s="312">
        <f>IFERROR(INDEX(Data!CR$9:CR$1273,MATCH($M86,Data!$K$9:$K$1273,0)),"")</f>
        <v/>
      </c>
      <c r="AW86" s="312">
        <f>IFERROR(INDEX(Data!CS$9:CS$1273,MATCH($M86,Data!$K$9:$K$1273,0)),"")</f>
        <v/>
      </c>
      <c r="AX86" s="312">
        <f>IFERROR(INDEX(Data!CT$9:CT$1273,MATCH($M86,Data!$K$9:$K$1273,0)),"")</f>
        <v/>
      </c>
      <c r="AY86" s="312">
        <f>IFERROR(INDEX(Data!CU$9:CU$1273,MATCH($M86,Data!$K$9:$K$1273,0)),"")</f>
        <v/>
      </c>
      <c r="AZ86" s="312">
        <f>IFERROR(INDEX(Data!CV$9:CV$1273,MATCH($M86,Data!$K$9:$K$1273,0)),"")</f>
        <v/>
      </c>
      <c r="BA86" s="312">
        <f>IFERROR(INDEX(Data!CX$9:CX$1273,MATCH($M86,Data!$K$9:$K$1273,0)),"")</f>
        <v/>
      </c>
      <c r="BB86" s="312">
        <f>IFERROR(INDEX(Data!CY$9:CY$1273,MATCH($M86,Data!$K$9:$K$1273,0)),"")</f>
        <v/>
      </c>
      <c r="BC86" s="312">
        <f>IFERROR(INDEX(Data!CZ$9:CZ$1273,MATCH($M86,Data!$K$9:$K$1273,0)),"")</f>
        <v/>
      </c>
      <c r="BD86" s="312">
        <f>IFERROR(INDEX(Data!DA$9:DA$1273,MATCH($M86,Data!$K$9:$K$1273,0)),"")</f>
        <v/>
      </c>
      <c r="BE86" s="312">
        <f>IFERROR(INDEX(Data!DB$9:DB$1273,MATCH($M86,Data!$K$9:$K$1273,0)),"")</f>
        <v/>
      </c>
      <c r="BF86" s="312">
        <f>IFERROR(INDEX(Data!DC$9:DC$1273,MATCH($M86,Data!$K$9:$K$1273,0)),"")</f>
        <v/>
      </c>
      <c r="BG86" s="312">
        <f>IFERROR(INDEX(Data!DD$9:DD$1273,MATCH($M86,Data!$K$9:$K$1273,0)),"")</f>
        <v/>
      </c>
      <c r="BH86" s="312">
        <f>IFERROR(INDEX(Data!DE$9:DE$1273,MATCH($M86,Data!$K$9:$K$1273,0)),"")</f>
        <v/>
      </c>
      <c r="BI86" s="312">
        <f>IFERROR(INDEX(Data!DF$9:DF$1273,MATCH($M86,Data!$K$9:$K$1273,0)),"")</f>
        <v/>
      </c>
      <c r="BJ86" s="312">
        <f>IFERROR(INDEX(Data!DG$9:DG$1273,MATCH($M86,Data!$K$9:$K$1273,0)),"")</f>
        <v/>
      </c>
      <c r="BK86" s="312">
        <f>IFERROR(INDEX(Data!DH$9:DH$1273,MATCH($M86,Data!$K$9:$K$1273,0)),"")</f>
        <v/>
      </c>
      <c r="BL86" s="312">
        <f>IFERROR(INDEX(Data!DI$9:DI$1273,MATCH($M86,Data!$K$9:$K$1273,0)),"")</f>
        <v/>
      </c>
      <c r="BM86" s="312">
        <f>IFERROR(INDEX(Data!DJ$9:DJ$1273,MATCH($M86,Data!$K$9:$K$1273,0)),"")</f>
        <v/>
      </c>
      <c r="BN86" s="312">
        <f>IFERROR(INDEX(Data!DK$9:DK$1273,MATCH($M86,Data!$K$9:$K$1273,0)),"")</f>
        <v/>
      </c>
      <c r="BO86" s="312">
        <f>IFERROR(INDEX(Data!DL$9:DL$1273,MATCH($M86,Data!$K$9:$K$1273,0)),"")</f>
        <v/>
      </c>
      <c r="BP86" s="331">
        <f>IFERROR(IF(BK86=0,"-",BK86),"")</f>
        <v/>
      </c>
      <c r="BQ86" s="312">
        <f>IFERROR(IF(BP86-K86&gt;0,TRUE,FALSE)," ")</f>
        <v/>
      </c>
      <c r="BR86" s="312">
        <f>_xlfn.CONCAT(E86,F86,H86,G86)</f>
        <v/>
      </c>
      <c r="BS86" s="312">
        <f>IFERROR(INDEX(Data!$DO$9:$DO$1273,MATCH('Your recommendation'!BR86,Data!$DN$9:$DN$1273,0)),"")</f>
        <v/>
      </c>
    </row>
    <row r="87" ht="15.6" customFormat="1" customHeight="1" s="138">
      <c r="B87" s="309">
        <f>IF(C87&gt;0,B86+1,"")</f>
        <v/>
      </c>
      <c r="C87" s="310" t="n">
        <v>0.9081789528888962</v>
      </c>
      <c r="D87" s="312">
        <f>IFERROR(INDEX(Data!BR$9:BR$1273,MATCH($M87,Data!$K$9:$K$1273,0)),"")</f>
        <v/>
      </c>
      <c r="E87" s="312">
        <f>IFERROR(INDEX(Data!BS$9:BS$1273,MATCH($M87,Data!$K$9:$K$1273,0)),"")</f>
        <v/>
      </c>
      <c r="F87" s="312">
        <f>IFERROR(INDEX(Data!DM$9:DM$1273,MATCH($M87,Data!$K$9:$K$1273,0)),"")</f>
        <v/>
      </c>
      <c r="G87" s="312">
        <f>IFERROR(INDEX(Data!BV$9:BV$1273,MATCH($M87,Data!$K$9:$K$1273,0)),"")</f>
        <v/>
      </c>
      <c r="H87" s="312">
        <f>IFERROR(INDEX(Data!BW$9:BW$1273,MATCH($M87,Data!$K$9:$K$1273,0)),"")</f>
        <v/>
      </c>
      <c r="I87" s="312">
        <f>IFERROR(INDEX(Data!BX$9:BX$1273,MATCH($M87,Data!$K$9:$K$1273,0)),"")</f>
        <v/>
      </c>
      <c r="J87" s="312">
        <f>IFERROR(INDEX(Data!CB$9:CB$1273,MATCH($M87,Data!$K$9:$K$1273,0)),"")</f>
        <v/>
      </c>
      <c r="K87" s="329">
        <f>IFERROR(HYPERLINK(BM87,BC87),"-")</f>
        <v/>
      </c>
      <c r="L87" s="330">
        <f>IFERROR(IF(BB87=0,"-",BB87)," ")</f>
        <v/>
      </c>
      <c r="M87" s="311" t="n">
        <v>0.9081789528888962</v>
      </c>
      <c r="N87" s="311">
        <f>IFERROR(INDEX(Data!L$9:L$1273,MATCH($M87,Data!$K$9:$K$1273,0)),"")</f>
        <v/>
      </c>
      <c r="O87" s="311">
        <f>IFERROR(INDEX(Data!M$9:M$1273,MATCH($M87,Data!$K$9:$K$1273,0)),"")</f>
        <v/>
      </c>
      <c r="P87" s="311">
        <f>IFERROR(INDEX(Data!N$9:N$1273,MATCH($M87,Data!$K$9:$K$1273,0)),"")</f>
        <v/>
      </c>
      <c r="Q87" s="311">
        <f>IFERROR(INDEX(Data!O$9:O$1273,MATCH($M87,Data!$K$9:$K$1273,0)),"")</f>
        <v/>
      </c>
      <c r="R87" s="311">
        <f>IFERROR(INDEX(Data!P$9:P$1273,MATCH($M87,Data!$K$9:$K$1273,0)),"")</f>
        <v/>
      </c>
      <c r="S87" s="311">
        <f>IFERROR(INDEX(Data!S$9:S$1273,MATCH($M87,Data!$K$9:$K$1273,0)),"")</f>
        <v/>
      </c>
      <c r="T87" s="311">
        <f>IFERROR(INDEX(Data!T$9:T$1273,MATCH($M87,Data!$K$9:$K$1273,0)),"")</f>
        <v/>
      </c>
      <c r="U87" s="311">
        <f>IFERROR(INDEX(Data!U$9:U$1273,MATCH($M87,Data!$K$9:$K$1273,0)),"")</f>
        <v/>
      </c>
      <c r="V87" s="311">
        <f>IFERROR(INDEX(Data!V$9:V$1273,MATCH($M87,Data!$K$9:$K$1273,0)),"")</f>
        <v/>
      </c>
      <c r="W87" s="311">
        <f>IFERROR(INDEX(Data!W$9:W$1273,MATCH($M87,Data!$K$9:$K$1273,0)),"")</f>
        <v/>
      </c>
      <c r="X87" s="311">
        <f>IFERROR(INDEX(Data!AJ$9:AJ$1273,MATCH($M87,Data!$K$9:$K$1273,0)),"")</f>
        <v/>
      </c>
      <c r="Y87" s="311">
        <f>IFERROR(INDEX(Data!AK$9:AK$1273,MATCH($M87,Data!$K$9:$K$1273,0)),"")</f>
        <v/>
      </c>
      <c r="Z87" s="311">
        <f>IFERROR(INDEX(Data!AL$9:AL$1273,MATCH($M87,Data!$K$9:$K$1273,0)),"")</f>
        <v/>
      </c>
      <c r="AA87" s="311">
        <f>IFERROR(INDEX(Data!AM$9:AM$1273,MATCH($M87,Data!$K$9:$K$1273,0)),"")</f>
        <v/>
      </c>
      <c r="AB87" s="311">
        <f>IFERROR(INDEX(Data!AN$9:AN$1273,MATCH($M87,Data!$K$9:$K$1273,0)),"")</f>
        <v/>
      </c>
      <c r="AC87" s="312">
        <f>IFERROR(INDEX(Data!BY$9:BY$1273,MATCH($M87,Data!$K$9:$K$1273,0)),"")</f>
        <v/>
      </c>
      <c r="AD87" s="312">
        <f>IFERROR(INDEX(Data!BZ$9:BZ$1273,MATCH($M87,Data!$K$9:$K$1273,0)),"")</f>
        <v/>
      </c>
      <c r="AE87" s="312">
        <f>IFERROR(INDEX(Data!CA$9:CA$1273,MATCH($M87,Data!$K$9:$K$1273,0)),"")</f>
        <v/>
      </c>
      <c r="AF87" s="312">
        <f>IFERROR(INDEX(Data!CB$9:CB$1273,MATCH($M87,Data!$K$9:$K$1273,0)),"")</f>
        <v/>
      </c>
      <c r="AG87" s="312">
        <f>IFERROR(INDEX(Data!CC$9:CC$1273,MATCH($M87,Data!$K$9:$K$1273,0)),"")</f>
        <v/>
      </c>
      <c r="AH87" s="312">
        <f>IFERROR(INDEX(Data!CD$9:CD$1273,MATCH($M87,Data!$K$9:$K$1273,0)),"")</f>
        <v/>
      </c>
      <c r="AI87" s="312">
        <f>IFERROR(INDEX(Data!CE$9:CE$1273,MATCH($M87,Data!$K$9:$K$1273,0)),"")</f>
        <v/>
      </c>
      <c r="AJ87" s="312">
        <f>IFERROR(INDEX(Data!CF$9:CF$1273,MATCH($M87,Data!$K$9:$K$1273,0)),"")</f>
        <v/>
      </c>
      <c r="AK87" s="312">
        <f>IFERROR(INDEX(Data!CG$9:CG$1273,MATCH($M87,Data!$K$9:$K$1273,0)),"")</f>
        <v/>
      </c>
      <c r="AL87" s="312">
        <f>IFERROR(INDEX(Data!CH$9:CH$1273,MATCH($M87,Data!$K$9:$K$1273,0)),"")</f>
        <v/>
      </c>
      <c r="AM87" s="312">
        <f>IFERROR(INDEX(Data!CI$9:CI$1273,MATCH($M87,Data!$K$9:$K$1273,0)),"")</f>
        <v/>
      </c>
      <c r="AN87" s="312">
        <f>IFERROR(INDEX(Data!CJ$9:CJ$1273,MATCH($M87,Data!$K$9:$K$1273,0)),"")</f>
        <v/>
      </c>
      <c r="AO87" s="312">
        <f>IFERROR(INDEX(Data!CK$9:CK$1273,MATCH($M87,Data!$K$9:$K$1273,0)),"")</f>
        <v/>
      </c>
      <c r="AP87" s="312">
        <f>IFERROR(INDEX(Data!CL$9:CL$1273,MATCH($M87,Data!$K$9:$K$1273,0)),"")</f>
        <v/>
      </c>
      <c r="AQ87" s="312">
        <f>IFERROR(INDEX(Data!CM$9:CM$1273,MATCH($M87,Data!$K$9:$K$1273,0)),"")</f>
        <v/>
      </c>
      <c r="AR87" s="312">
        <f>IFERROR(INDEX(Data!CN$9:CN$1273,MATCH($M87,Data!$K$9:$K$1273,0)),"")</f>
        <v/>
      </c>
      <c r="AS87" s="312">
        <f>IFERROR(INDEX(Data!CO$9:CO$1273,MATCH($M87,Data!$K$9:$K$1273,0)),"")</f>
        <v/>
      </c>
      <c r="AT87" s="312">
        <f>IFERROR(INDEX(Data!CP$9:CP$1273,MATCH($M87,Data!$K$9:$K$1273,0)),"")</f>
        <v/>
      </c>
      <c r="AU87" s="312">
        <f>IFERROR(INDEX(Data!CQ$9:CQ$1273,MATCH($M87,Data!$K$9:$K$1273,0)),"")</f>
        <v/>
      </c>
      <c r="AV87" s="312">
        <f>IFERROR(INDEX(Data!CR$9:CR$1273,MATCH($M87,Data!$K$9:$K$1273,0)),"")</f>
        <v/>
      </c>
      <c r="AW87" s="312">
        <f>IFERROR(INDEX(Data!CS$9:CS$1273,MATCH($M87,Data!$K$9:$K$1273,0)),"")</f>
        <v/>
      </c>
      <c r="AX87" s="312">
        <f>IFERROR(INDEX(Data!CT$9:CT$1273,MATCH($M87,Data!$K$9:$K$1273,0)),"")</f>
        <v/>
      </c>
      <c r="AY87" s="312">
        <f>IFERROR(INDEX(Data!CU$9:CU$1273,MATCH($M87,Data!$K$9:$K$1273,0)),"")</f>
        <v/>
      </c>
      <c r="AZ87" s="312">
        <f>IFERROR(INDEX(Data!CV$9:CV$1273,MATCH($M87,Data!$K$9:$K$1273,0)),"")</f>
        <v/>
      </c>
      <c r="BA87" s="312">
        <f>IFERROR(INDEX(Data!CX$9:CX$1273,MATCH($M87,Data!$K$9:$K$1273,0)),"")</f>
        <v/>
      </c>
      <c r="BB87" s="312">
        <f>IFERROR(INDEX(Data!CY$9:CY$1273,MATCH($M87,Data!$K$9:$K$1273,0)),"")</f>
        <v/>
      </c>
      <c r="BC87" s="312">
        <f>IFERROR(INDEX(Data!CZ$9:CZ$1273,MATCH($M87,Data!$K$9:$K$1273,0)),"")</f>
        <v/>
      </c>
      <c r="BD87" s="312">
        <f>IFERROR(INDEX(Data!DA$9:DA$1273,MATCH($M87,Data!$K$9:$K$1273,0)),"")</f>
        <v/>
      </c>
      <c r="BE87" s="312">
        <f>IFERROR(INDEX(Data!DB$9:DB$1273,MATCH($M87,Data!$K$9:$K$1273,0)),"")</f>
        <v/>
      </c>
      <c r="BF87" s="312">
        <f>IFERROR(INDEX(Data!DC$9:DC$1273,MATCH($M87,Data!$K$9:$K$1273,0)),"")</f>
        <v/>
      </c>
      <c r="BG87" s="312">
        <f>IFERROR(INDEX(Data!DD$9:DD$1273,MATCH($M87,Data!$K$9:$K$1273,0)),"")</f>
        <v/>
      </c>
      <c r="BH87" s="312">
        <f>IFERROR(INDEX(Data!DE$9:DE$1273,MATCH($M87,Data!$K$9:$K$1273,0)),"")</f>
        <v/>
      </c>
      <c r="BI87" s="312">
        <f>IFERROR(INDEX(Data!DF$9:DF$1273,MATCH($M87,Data!$K$9:$K$1273,0)),"")</f>
        <v/>
      </c>
      <c r="BJ87" s="312">
        <f>IFERROR(INDEX(Data!DG$9:DG$1273,MATCH($M87,Data!$K$9:$K$1273,0)),"")</f>
        <v/>
      </c>
      <c r="BK87" s="312">
        <f>IFERROR(INDEX(Data!DH$9:DH$1273,MATCH($M87,Data!$K$9:$K$1273,0)),"")</f>
        <v/>
      </c>
      <c r="BL87" s="312">
        <f>IFERROR(INDEX(Data!DI$9:DI$1273,MATCH($M87,Data!$K$9:$K$1273,0)),"")</f>
        <v/>
      </c>
      <c r="BM87" s="312">
        <f>IFERROR(INDEX(Data!DJ$9:DJ$1273,MATCH($M87,Data!$K$9:$K$1273,0)),"")</f>
        <v/>
      </c>
      <c r="BN87" s="312">
        <f>IFERROR(INDEX(Data!DK$9:DK$1273,MATCH($M87,Data!$K$9:$K$1273,0)),"")</f>
        <v/>
      </c>
      <c r="BO87" s="312">
        <f>IFERROR(INDEX(Data!DL$9:DL$1273,MATCH($M87,Data!$K$9:$K$1273,0)),"")</f>
        <v/>
      </c>
      <c r="BP87" s="331">
        <f>IFERROR(IF(BK87=0,"-",BK87),"")</f>
        <v/>
      </c>
      <c r="BQ87" s="312">
        <f>IFERROR(IF(BP87-K87&gt;0,TRUE,FALSE)," ")</f>
        <v/>
      </c>
      <c r="BR87" s="312">
        <f>_xlfn.CONCAT(E87,F87,H87,G87)</f>
        <v/>
      </c>
      <c r="BS87" s="312">
        <f>IFERROR(INDEX(Data!$DO$9:$DO$1273,MATCH('Your recommendation'!BR87,Data!$DN$9:$DN$1273,0)),"")</f>
        <v/>
      </c>
    </row>
    <row r="88" ht="15.6" customFormat="1" customHeight="1" s="138">
      <c r="B88" s="309">
        <f>IF(C88&gt;0,B87+1,"")</f>
        <v/>
      </c>
      <c r="C88" s="310" t="n">
        <v>0.9049297074639795</v>
      </c>
      <c r="D88" s="312">
        <f>IFERROR(INDEX(Data!BR$9:BR$1273,MATCH($M88,Data!$K$9:$K$1273,0)),"")</f>
        <v/>
      </c>
      <c r="E88" s="312">
        <f>IFERROR(INDEX(Data!BS$9:BS$1273,MATCH($M88,Data!$K$9:$K$1273,0)),"")</f>
        <v/>
      </c>
      <c r="F88" s="312">
        <f>IFERROR(INDEX(Data!DM$9:DM$1273,MATCH($M88,Data!$K$9:$K$1273,0)),"")</f>
        <v/>
      </c>
      <c r="G88" s="312">
        <f>IFERROR(INDEX(Data!BV$9:BV$1273,MATCH($M88,Data!$K$9:$K$1273,0)),"")</f>
        <v/>
      </c>
      <c r="H88" s="312">
        <f>IFERROR(INDEX(Data!BW$9:BW$1273,MATCH($M88,Data!$K$9:$K$1273,0)),"")</f>
        <v/>
      </c>
      <c r="I88" s="312">
        <f>IFERROR(INDEX(Data!BX$9:BX$1273,MATCH($M88,Data!$K$9:$K$1273,0)),"")</f>
        <v/>
      </c>
      <c r="J88" s="312">
        <f>IFERROR(INDEX(Data!CB$9:CB$1273,MATCH($M88,Data!$K$9:$K$1273,0)),"")</f>
        <v/>
      </c>
      <c r="K88" s="329">
        <f>IFERROR(HYPERLINK(BM88,BC88),"-")</f>
        <v/>
      </c>
      <c r="L88" s="330">
        <f>IFERROR(IF(BB88=0,"-",BB88)," ")</f>
        <v/>
      </c>
      <c r="M88" s="311" t="n">
        <v>0.9049297074639795</v>
      </c>
      <c r="N88" s="311">
        <f>IFERROR(INDEX(Data!L$9:L$1273,MATCH($M88,Data!$K$9:$K$1273,0)),"")</f>
        <v/>
      </c>
      <c r="O88" s="311">
        <f>IFERROR(INDEX(Data!M$9:M$1273,MATCH($M88,Data!$K$9:$K$1273,0)),"")</f>
        <v/>
      </c>
      <c r="P88" s="311">
        <f>IFERROR(INDEX(Data!N$9:N$1273,MATCH($M88,Data!$K$9:$K$1273,0)),"")</f>
        <v/>
      </c>
      <c r="Q88" s="311">
        <f>IFERROR(INDEX(Data!O$9:O$1273,MATCH($M88,Data!$K$9:$K$1273,0)),"")</f>
        <v/>
      </c>
      <c r="R88" s="311">
        <f>IFERROR(INDEX(Data!P$9:P$1273,MATCH($M88,Data!$K$9:$K$1273,0)),"")</f>
        <v/>
      </c>
      <c r="S88" s="311">
        <f>IFERROR(INDEX(Data!S$9:S$1273,MATCH($M88,Data!$K$9:$K$1273,0)),"")</f>
        <v/>
      </c>
      <c r="T88" s="311">
        <f>IFERROR(INDEX(Data!T$9:T$1273,MATCH($M88,Data!$K$9:$K$1273,0)),"")</f>
        <v/>
      </c>
      <c r="U88" s="311">
        <f>IFERROR(INDEX(Data!U$9:U$1273,MATCH($M88,Data!$K$9:$K$1273,0)),"")</f>
        <v/>
      </c>
      <c r="V88" s="311">
        <f>IFERROR(INDEX(Data!V$9:V$1273,MATCH($M88,Data!$K$9:$K$1273,0)),"")</f>
        <v/>
      </c>
      <c r="W88" s="311">
        <f>IFERROR(INDEX(Data!W$9:W$1273,MATCH($M88,Data!$K$9:$K$1273,0)),"")</f>
        <v/>
      </c>
      <c r="X88" s="311">
        <f>IFERROR(INDEX(Data!AJ$9:AJ$1273,MATCH($M88,Data!$K$9:$K$1273,0)),"")</f>
        <v/>
      </c>
      <c r="Y88" s="311">
        <f>IFERROR(INDEX(Data!AK$9:AK$1273,MATCH($M88,Data!$K$9:$K$1273,0)),"")</f>
        <v/>
      </c>
      <c r="Z88" s="311">
        <f>IFERROR(INDEX(Data!AL$9:AL$1273,MATCH($M88,Data!$K$9:$K$1273,0)),"")</f>
        <v/>
      </c>
      <c r="AA88" s="311">
        <f>IFERROR(INDEX(Data!AM$9:AM$1273,MATCH($M88,Data!$K$9:$K$1273,0)),"")</f>
        <v/>
      </c>
      <c r="AB88" s="311">
        <f>IFERROR(INDEX(Data!AN$9:AN$1273,MATCH($M88,Data!$K$9:$K$1273,0)),"")</f>
        <v/>
      </c>
      <c r="AC88" s="312">
        <f>IFERROR(INDEX(Data!BY$9:BY$1273,MATCH($M88,Data!$K$9:$K$1273,0)),"")</f>
        <v/>
      </c>
      <c r="AD88" s="312">
        <f>IFERROR(INDEX(Data!BZ$9:BZ$1273,MATCH($M88,Data!$K$9:$K$1273,0)),"")</f>
        <v/>
      </c>
      <c r="AE88" s="312">
        <f>IFERROR(INDEX(Data!CA$9:CA$1273,MATCH($M88,Data!$K$9:$K$1273,0)),"")</f>
        <v/>
      </c>
      <c r="AF88" s="312">
        <f>IFERROR(INDEX(Data!CB$9:CB$1273,MATCH($M88,Data!$K$9:$K$1273,0)),"")</f>
        <v/>
      </c>
      <c r="AG88" s="312">
        <f>IFERROR(INDEX(Data!CC$9:CC$1273,MATCH($M88,Data!$K$9:$K$1273,0)),"")</f>
        <v/>
      </c>
      <c r="AH88" s="312">
        <f>IFERROR(INDEX(Data!CD$9:CD$1273,MATCH($M88,Data!$K$9:$K$1273,0)),"")</f>
        <v/>
      </c>
      <c r="AI88" s="312">
        <f>IFERROR(INDEX(Data!CE$9:CE$1273,MATCH($M88,Data!$K$9:$K$1273,0)),"")</f>
        <v/>
      </c>
      <c r="AJ88" s="312">
        <f>IFERROR(INDEX(Data!CF$9:CF$1273,MATCH($M88,Data!$K$9:$K$1273,0)),"")</f>
        <v/>
      </c>
      <c r="AK88" s="312">
        <f>IFERROR(INDEX(Data!CG$9:CG$1273,MATCH($M88,Data!$K$9:$K$1273,0)),"")</f>
        <v/>
      </c>
      <c r="AL88" s="312">
        <f>IFERROR(INDEX(Data!CH$9:CH$1273,MATCH($M88,Data!$K$9:$K$1273,0)),"")</f>
        <v/>
      </c>
      <c r="AM88" s="312">
        <f>IFERROR(INDEX(Data!CI$9:CI$1273,MATCH($M88,Data!$K$9:$K$1273,0)),"")</f>
        <v/>
      </c>
      <c r="AN88" s="312">
        <f>IFERROR(INDEX(Data!CJ$9:CJ$1273,MATCH($M88,Data!$K$9:$K$1273,0)),"")</f>
        <v/>
      </c>
      <c r="AO88" s="312">
        <f>IFERROR(INDEX(Data!CK$9:CK$1273,MATCH($M88,Data!$K$9:$K$1273,0)),"")</f>
        <v/>
      </c>
      <c r="AP88" s="312">
        <f>IFERROR(INDEX(Data!CL$9:CL$1273,MATCH($M88,Data!$K$9:$K$1273,0)),"")</f>
        <v/>
      </c>
      <c r="AQ88" s="312">
        <f>IFERROR(INDEX(Data!CM$9:CM$1273,MATCH($M88,Data!$K$9:$K$1273,0)),"")</f>
        <v/>
      </c>
      <c r="AR88" s="312">
        <f>IFERROR(INDEX(Data!CN$9:CN$1273,MATCH($M88,Data!$K$9:$K$1273,0)),"")</f>
        <v/>
      </c>
      <c r="AS88" s="312">
        <f>IFERROR(INDEX(Data!CO$9:CO$1273,MATCH($M88,Data!$K$9:$K$1273,0)),"")</f>
        <v/>
      </c>
      <c r="AT88" s="312">
        <f>IFERROR(INDEX(Data!CP$9:CP$1273,MATCH($M88,Data!$K$9:$K$1273,0)),"")</f>
        <v/>
      </c>
      <c r="AU88" s="312">
        <f>IFERROR(INDEX(Data!CQ$9:CQ$1273,MATCH($M88,Data!$K$9:$K$1273,0)),"")</f>
        <v/>
      </c>
      <c r="AV88" s="312">
        <f>IFERROR(INDEX(Data!CR$9:CR$1273,MATCH($M88,Data!$K$9:$K$1273,0)),"")</f>
        <v/>
      </c>
      <c r="AW88" s="312">
        <f>IFERROR(INDEX(Data!CS$9:CS$1273,MATCH($M88,Data!$K$9:$K$1273,0)),"")</f>
        <v/>
      </c>
      <c r="AX88" s="312">
        <f>IFERROR(INDEX(Data!CT$9:CT$1273,MATCH($M88,Data!$K$9:$K$1273,0)),"")</f>
        <v/>
      </c>
      <c r="AY88" s="312">
        <f>IFERROR(INDEX(Data!CU$9:CU$1273,MATCH($M88,Data!$K$9:$K$1273,0)),"")</f>
        <v/>
      </c>
      <c r="AZ88" s="312">
        <f>IFERROR(INDEX(Data!CV$9:CV$1273,MATCH($M88,Data!$K$9:$K$1273,0)),"")</f>
        <v/>
      </c>
      <c r="BA88" s="312">
        <f>IFERROR(INDEX(Data!CX$9:CX$1273,MATCH($M88,Data!$K$9:$K$1273,0)),"")</f>
        <v/>
      </c>
      <c r="BB88" s="312">
        <f>IFERROR(INDEX(Data!CY$9:CY$1273,MATCH($M88,Data!$K$9:$K$1273,0)),"")</f>
        <v/>
      </c>
      <c r="BC88" s="312">
        <f>IFERROR(INDEX(Data!CZ$9:CZ$1273,MATCH($M88,Data!$K$9:$K$1273,0)),"")</f>
        <v/>
      </c>
      <c r="BD88" s="312">
        <f>IFERROR(INDEX(Data!DA$9:DA$1273,MATCH($M88,Data!$K$9:$K$1273,0)),"")</f>
        <v/>
      </c>
      <c r="BE88" s="312">
        <f>IFERROR(INDEX(Data!DB$9:DB$1273,MATCH($M88,Data!$K$9:$K$1273,0)),"")</f>
        <v/>
      </c>
      <c r="BF88" s="312">
        <f>IFERROR(INDEX(Data!DC$9:DC$1273,MATCH($M88,Data!$K$9:$K$1273,0)),"")</f>
        <v/>
      </c>
      <c r="BG88" s="312">
        <f>IFERROR(INDEX(Data!DD$9:DD$1273,MATCH($M88,Data!$K$9:$K$1273,0)),"")</f>
        <v/>
      </c>
      <c r="BH88" s="312">
        <f>IFERROR(INDEX(Data!DE$9:DE$1273,MATCH($M88,Data!$K$9:$K$1273,0)),"")</f>
        <v/>
      </c>
      <c r="BI88" s="312">
        <f>IFERROR(INDEX(Data!DF$9:DF$1273,MATCH($M88,Data!$K$9:$K$1273,0)),"")</f>
        <v/>
      </c>
      <c r="BJ88" s="312">
        <f>IFERROR(INDEX(Data!DG$9:DG$1273,MATCH($M88,Data!$K$9:$K$1273,0)),"")</f>
        <v/>
      </c>
      <c r="BK88" s="312">
        <f>IFERROR(INDEX(Data!DH$9:DH$1273,MATCH($M88,Data!$K$9:$K$1273,0)),"")</f>
        <v/>
      </c>
      <c r="BL88" s="312">
        <f>IFERROR(INDEX(Data!DI$9:DI$1273,MATCH($M88,Data!$K$9:$K$1273,0)),"")</f>
        <v/>
      </c>
      <c r="BM88" s="312">
        <f>IFERROR(INDEX(Data!DJ$9:DJ$1273,MATCH($M88,Data!$K$9:$K$1273,0)),"")</f>
        <v/>
      </c>
      <c r="BN88" s="312">
        <f>IFERROR(INDEX(Data!DK$9:DK$1273,MATCH($M88,Data!$K$9:$K$1273,0)),"")</f>
        <v/>
      </c>
      <c r="BO88" s="312">
        <f>IFERROR(INDEX(Data!DL$9:DL$1273,MATCH($M88,Data!$K$9:$K$1273,0)),"")</f>
        <v/>
      </c>
      <c r="BP88" s="331">
        <f>IFERROR(IF(BK88=0,"-",BK88),"")</f>
        <v/>
      </c>
      <c r="BQ88" s="312">
        <f>IFERROR(IF(BP88-K88&gt;0,TRUE,FALSE)," ")</f>
        <v/>
      </c>
      <c r="BR88" s="312">
        <f>_xlfn.CONCAT(E88,F88,H88,G88)</f>
        <v/>
      </c>
      <c r="BS88" s="312">
        <f>IFERROR(INDEX(Data!$DO$9:$DO$1273,MATCH('Your recommendation'!BR88,Data!$DN$9:$DN$1273,0)),"")</f>
        <v/>
      </c>
    </row>
    <row r="89" ht="15.6" customFormat="1" customHeight="1" s="138">
      <c r="B89" s="309">
        <f>IF(C89&gt;0,B88+1,"")</f>
        <v/>
      </c>
      <c r="C89" s="310" t="n">
        <v>0.9038703781663844</v>
      </c>
      <c r="D89" s="312">
        <f>IFERROR(INDEX(Data!BR$9:BR$1273,MATCH($M89,Data!$K$9:$K$1273,0)),"")</f>
        <v/>
      </c>
      <c r="E89" s="312">
        <f>IFERROR(INDEX(Data!BS$9:BS$1273,MATCH($M89,Data!$K$9:$K$1273,0)),"")</f>
        <v/>
      </c>
      <c r="F89" s="312">
        <f>IFERROR(INDEX(Data!DM$9:DM$1273,MATCH($M89,Data!$K$9:$K$1273,0)),"")</f>
        <v/>
      </c>
      <c r="G89" s="312">
        <f>IFERROR(INDEX(Data!BV$9:BV$1273,MATCH($M89,Data!$K$9:$K$1273,0)),"")</f>
        <v/>
      </c>
      <c r="H89" s="312">
        <f>IFERROR(INDEX(Data!BW$9:BW$1273,MATCH($M89,Data!$K$9:$K$1273,0)),"")</f>
        <v/>
      </c>
      <c r="I89" s="312">
        <f>IFERROR(INDEX(Data!BX$9:BX$1273,MATCH($M89,Data!$K$9:$K$1273,0)),"")</f>
        <v/>
      </c>
      <c r="J89" s="312">
        <f>IFERROR(INDEX(Data!CB$9:CB$1273,MATCH($M89,Data!$K$9:$K$1273,0)),"")</f>
        <v/>
      </c>
      <c r="K89" s="329">
        <f>IFERROR(HYPERLINK(BM89,BC89),"-")</f>
        <v/>
      </c>
      <c r="L89" s="330">
        <f>IFERROR(IF(BB89=0,"-",BB89)," ")</f>
        <v/>
      </c>
      <c r="M89" s="311" t="n">
        <v>0.9038703781663844</v>
      </c>
      <c r="N89" s="311">
        <f>IFERROR(INDEX(Data!L$9:L$1273,MATCH($M89,Data!$K$9:$K$1273,0)),"")</f>
        <v/>
      </c>
      <c r="O89" s="311">
        <f>IFERROR(INDEX(Data!M$9:M$1273,MATCH($M89,Data!$K$9:$K$1273,0)),"")</f>
        <v/>
      </c>
      <c r="P89" s="311">
        <f>IFERROR(INDEX(Data!N$9:N$1273,MATCH($M89,Data!$K$9:$K$1273,0)),"")</f>
        <v/>
      </c>
      <c r="Q89" s="311">
        <f>IFERROR(INDEX(Data!O$9:O$1273,MATCH($M89,Data!$K$9:$K$1273,0)),"")</f>
        <v/>
      </c>
      <c r="R89" s="311">
        <f>IFERROR(INDEX(Data!P$9:P$1273,MATCH($M89,Data!$K$9:$K$1273,0)),"")</f>
        <v/>
      </c>
      <c r="S89" s="311">
        <f>IFERROR(INDEX(Data!S$9:S$1273,MATCH($M89,Data!$K$9:$K$1273,0)),"")</f>
        <v/>
      </c>
      <c r="T89" s="311">
        <f>IFERROR(INDEX(Data!T$9:T$1273,MATCH($M89,Data!$K$9:$K$1273,0)),"")</f>
        <v/>
      </c>
      <c r="U89" s="311">
        <f>IFERROR(INDEX(Data!U$9:U$1273,MATCH($M89,Data!$K$9:$K$1273,0)),"")</f>
        <v/>
      </c>
      <c r="V89" s="311">
        <f>IFERROR(INDEX(Data!V$9:V$1273,MATCH($M89,Data!$K$9:$K$1273,0)),"")</f>
        <v/>
      </c>
      <c r="W89" s="311">
        <f>IFERROR(INDEX(Data!W$9:W$1273,MATCH($M89,Data!$K$9:$K$1273,0)),"")</f>
        <v/>
      </c>
      <c r="X89" s="311">
        <f>IFERROR(INDEX(Data!AJ$9:AJ$1273,MATCH($M89,Data!$K$9:$K$1273,0)),"")</f>
        <v/>
      </c>
      <c r="Y89" s="311">
        <f>IFERROR(INDEX(Data!AK$9:AK$1273,MATCH($M89,Data!$K$9:$K$1273,0)),"")</f>
        <v/>
      </c>
      <c r="Z89" s="311">
        <f>IFERROR(INDEX(Data!AL$9:AL$1273,MATCH($M89,Data!$K$9:$K$1273,0)),"")</f>
        <v/>
      </c>
      <c r="AA89" s="311">
        <f>IFERROR(INDEX(Data!AM$9:AM$1273,MATCH($M89,Data!$K$9:$K$1273,0)),"")</f>
        <v/>
      </c>
      <c r="AB89" s="311">
        <f>IFERROR(INDEX(Data!AN$9:AN$1273,MATCH($M89,Data!$K$9:$K$1273,0)),"")</f>
        <v/>
      </c>
      <c r="AC89" s="312">
        <f>IFERROR(INDEX(Data!BY$9:BY$1273,MATCH($M89,Data!$K$9:$K$1273,0)),"")</f>
        <v/>
      </c>
      <c r="AD89" s="312">
        <f>IFERROR(INDEX(Data!BZ$9:BZ$1273,MATCH($M89,Data!$K$9:$K$1273,0)),"")</f>
        <v/>
      </c>
      <c r="AE89" s="312">
        <f>IFERROR(INDEX(Data!CA$9:CA$1273,MATCH($M89,Data!$K$9:$K$1273,0)),"")</f>
        <v/>
      </c>
      <c r="AF89" s="312">
        <f>IFERROR(INDEX(Data!CB$9:CB$1273,MATCH($M89,Data!$K$9:$K$1273,0)),"")</f>
        <v/>
      </c>
      <c r="AG89" s="312">
        <f>IFERROR(INDEX(Data!CC$9:CC$1273,MATCH($M89,Data!$K$9:$K$1273,0)),"")</f>
        <v/>
      </c>
      <c r="AH89" s="312">
        <f>IFERROR(INDEX(Data!CD$9:CD$1273,MATCH($M89,Data!$K$9:$K$1273,0)),"")</f>
        <v/>
      </c>
      <c r="AI89" s="312">
        <f>IFERROR(INDEX(Data!CE$9:CE$1273,MATCH($M89,Data!$K$9:$K$1273,0)),"")</f>
        <v/>
      </c>
      <c r="AJ89" s="312">
        <f>IFERROR(INDEX(Data!CF$9:CF$1273,MATCH($M89,Data!$K$9:$K$1273,0)),"")</f>
        <v/>
      </c>
      <c r="AK89" s="312">
        <f>IFERROR(INDEX(Data!CG$9:CG$1273,MATCH($M89,Data!$K$9:$K$1273,0)),"")</f>
        <v/>
      </c>
      <c r="AL89" s="312">
        <f>IFERROR(INDEX(Data!CH$9:CH$1273,MATCH($M89,Data!$K$9:$K$1273,0)),"")</f>
        <v/>
      </c>
      <c r="AM89" s="312">
        <f>IFERROR(INDEX(Data!CI$9:CI$1273,MATCH($M89,Data!$K$9:$K$1273,0)),"")</f>
        <v/>
      </c>
      <c r="AN89" s="312">
        <f>IFERROR(INDEX(Data!CJ$9:CJ$1273,MATCH($M89,Data!$K$9:$K$1273,0)),"")</f>
        <v/>
      </c>
      <c r="AO89" s="312">
        <f>IFERROR(INDEX(Data!CK$9:CK$1273,MATCH($M89,Data!$K$9:$K$1273,0)),"")</f>
        <v/>
      </c>
      <c r="AP89" s="312">
        <f>IFERROR(INDEX(Data!CL$9:CL$1273,MATCH($M89,Data!$K$9:$K$1273,0)),"")</f>
        <v/>
      </c>
      <c r="AQ89" s="312">
        <f>IFERROR(INDEX(Data!CM$9:CM$1273,MATCH($M89,Data!$K$9:$K$1273,0)),"")</f>
        <v/>
      </c>
      <c r="AR89" s="312">
        <f>IFERROR(INDEX(Data!CN$9:CN$1273,MATCH($M89,Data!$K$9:$K$1273,0)),"")</f>
        <v/>
      </c>
      <c r="AS89" s="312">
        <f>IFERROR(INDEX(Data!CO$9:CO$1273,MATCH($M89,Data!$K$9:$K$1273,0)),"")</f>
        <v/>
      </c>
      <c r="AT89" s="312">
        <f>IFERROR(INDEX(Data!CP$9:CP$1273,MATCH($M89,Data!$K$9:$K$1273,0)),"")</f>
        <v/>
      </c>
      <c r="AU89" s="312">
        <f>IFERROR(INDEX(Data!CQ$9:CQ$1273,MATCH($M89,Data!$K$9:$K$1273,0)),"")</f>
        <v/>
      </c>
      <c r="AV89" s="312">
        <f>IFERROR(INDEX(Data!CR$9:CR$1273,MATCH($M89,Data!$K$9:$K$1273,0)),"")</f>
        <v/>
      </c>
      <c r="AW89" s="312">
        <f>IFERROR(INDEX(Data!CS$9:CS$1273,MATCH($M89,Data!$K$9:$K$1273,0)),"")</f>
        <v/>
      </c>
      <c r="AX89" s="312">
        <f>IFERROR(INDEX(Data!CT$9:CT$1273,MATCH($M89,Data!$K$9:$K$1273,0)),"")</f>
        <v/>
      </c>
      <c r="AY89" s="312">
        <f>IFERROR(INDEX(Data!CU$9:CU$1273,MATCH($M89,Data!$K$9:$K$1273,0)),"")</f>
        <v/>
      </c>
      <c r="AZ89" s="312">
        <f>IFERROR(INDEX(Data!CV$9:CV$1273,MATCH($M89,Data!$K$9:$K$1273,0)),"")</f>
        <v/>
      </c>
      <c r="BA89" s="312">
        <f>IFERROR(INDEX(Data!CX$9:CX$1273,MATCH($M89,Data!$K$9:$K$1273,0)),"")</f>
        <v/>
      </c>
      <c r="BB89" s="312">
        <f>IFERROR(INDEX(Data!CY$9:CY$1273,MATCH($M89,Data!$K$9:$K$1273,0)),"")</f>
        <v/>
      </c>
      <c r="BC89" s="312">
        <f>IFERROR(INDEX(Data!CZ$9:CZ$1273,MATCH($M89,Data!$K$9:$K$1273,0)),"")</f>
        <v/>
      </c>
      <c r="BD89" s="312">
        <f>IFERROR(INDEX(Data!DA$9:DA$1273,MATCH($M89,Data!$K$9:$K$1273,0)),"")</f>
        <v/>
      </c>
      <c r="BE89" s="312">
        <f>IFERROR(INDEX(Data!DB$9:DB$1273,MATCH($M89,Data!$K$9:$K$1273,0)),"")</f>
        <v/>
      </c>
      <c r="BF89" s="312">
        <f>IFERROR(INDEX(Data!DC$9:DC$1273,MATCH($M89,Data!$K$9:$K$1273,0)),"")</f>
        <v/>
      </c>
      <c r="BG89" s="312">
        <f>IFERROR(INDEX(Data!DD$9:DD$1273,MATCH($M89,Data!$K$9:$K$1273,0)),"")</f>
        <v/>
      </c>
      <c r="BH89" s="312">
        <f>IFERROR(INDEX(Data!DE$9:DE$1273,MATCH($M89,Data!$K$9:$K$1273,0)),"")</f>
        <v/>
      </c>
      <c r="BI89" s="312">
        <f>IFERROR(INDEX(Data!DF$9:DF$1273,MATCH($M89,Data!$K$9:$K$1273,0)),"")</f>
        <v/>
      </c>
      <c r="BJ89" s="312">
        <f>IFERROR(INDEX(Data!DG$9:DG$1273,MATCH($M89,Data!$K$9:$K$1273,0)),"")</f>
        <v/>
      </c>
      <c r="BK89" s="312">
        <f>IFERROR(INDEX(Data!DH$9:DH$1273,MATCH($M89,Data!$K$9:$K$1273,0)),"")</f>
        <v/>
      </c>
      <c r="BL89" s="312">
        <f>IFERROR(INDEX(Data!DI$9:DI$1273,MATCH($M89,Data!$K$9:$K$1273,0)),"")</f>
        <v/>
      </c>
      <c r="BM89" s="312">
        <f>IFERROR(INDEX(Data!DJ$9:DJ$1273,MATCH($M89,Data!$K$9:$K$1273,0)),"")</f>
        <v/>
      </c>
      <c r="BN89" s="312">
        <f>IFERROR(INDEX(Data!DK$9:DK$1273,MATCH($M89,Data!$K$9:$K$1273,0)),"")</f>
        <v/>
      </c>
      <c r="BO89" s="312">
        <f>IFERROR(INDEX(Data!DL$9:DL$1273,MATCH($M89,Data!$K$9:$K$1273,0)),"")</f>
        <v/>
      </c>
      <c r="BP89" s="331">
        <f>IFERROR(IF(BK89=0,"-",BK89),"")</f>
        <v/>
      </c>
      <c r="BQ89" s="312">
        <f>IFERROR(IF(BP89-K89&gt;0,TRUE,FALSE)," ")</f>
        <v/>
      </c>
      <c r="BR89" s="312">
        <f>_xlfn.CONCAT(E89,F89,H89,G89)</f>
        <v/>
      </c>
      <c r="BS89" s="312">
        <f>IFERROR(INDEX(Data!$DO$9:$DO$1273,MATCH('Your recommendation'!BR89,Data!$DN$9:$DN$1273,0)),"")</f>
        <v/>
      </c>
    </row>
    <row r="90" ht="15.6" customFormat="1" customHeight="1" s="138">
      <c r="B90" s="309">
        <f>IF(C90&gt;0,B89+1,"")</f>
        <v/>
      </c>
      <c r="C90" s="310" t="n">
        <v>0.9006049856973448</v>
      </c>
      <c r="D90" s="312">
        <f>IFERROR(INDEX(Data!BR$9:BR$1273,MATCH($M90,Data!$K$9:$K$1273,0)),"")</f>
        <v/>
      </c>
      <c r="E90" s="312">
        <f>IFERROR(INDEX(Data!BS$9:BS$1273,MATCH($M90,Data!$K$9:$K$1273,0)),"")</f>
        <v/>
      </c>
      <c r="F90" s="312">
        <f>IFERROR(INDEX(Data!DM$9:DM$1273,MATCH($M90,Data!$K$9:$K$1273,0)),"")</f>
        <v/>
      </c>
      <c r="G90" s="312">
        <f>IFERROR(INDEX(Data!BV$9:BV$1273,MATCH($M90,Data!$K$9:$K$1273,0)),"")</f>
        <v/>
      </c>
      <c r="H90" s="312">
        <f>IFERROR(INDEX(Data!BW$9:BW$1273,MATCH($M90,Data!$K$9:$K$1273,0)),"")</f>
        <v/>
      </c>
      <c r="I90" s="312">
        <f>IFERROR(INDEX(Data!BX$9:BX$1273,MATCH($M90,Data!$K$9:$K$1273,0)),"")</f>
        <v/>
      </c>
      <c r="J90" s="312">
        <f>IFERROR(INDEX(Data!CB$9:CB$1273,MATCH($M90,Data!$K$9:$K$1273,0)),"")</f>
        <v/>
      </c>
      <c r="K90" s="329">
        <f>IFERROR(HYPERLINK(BM90,BC90),"-")</f>
        <v/>
      </c>
      <c r="L90" s="330">
        <f>IFERROR(IF(BB90=0,"-",BB90)," ")</f>
        <v/>
      </c>
      <c r="M90" s="311" t="n">
        <v>0.9006049856973448</v>
      </c>
      <c r="N90" s="311">
        <f>IFERROR(INDEX(Data!L$9:L$1273,MATCH($M90,Data!$K$9:$K$1273,0)),"")</f>
        <v/>
      </c>
      <c r="O90" s="311">
        <f>IFERROR(INDEX(Data!M$9:M$1273,MATCH($M90,Data!$K$9:$K$1273,0)),"")</f>
        <v/>
      </c>
      <c r="P90" s="311">
        <f>IFERROR(INDEX(Data!N$9:N$1273,MATCH($M90,Data!$K$9:$K$1273,0)),"")</f>
        <v/>
      </c>
      <c r="Q90" s="311">
        <f>IFERROR(INDEX(Data!O$9:O$1273,MATCH($M90,Data!$K$9:$K$1273,0)),"")</f>
        <v/>
      </c>
      <c r="R90" s="311">
        <f>IFERROR(INDEX(Data!P$9:P$1273,MATCH($M90,Data!$K$9:$K$1273,0)),"")</f>
        <v/>
      </c>
      <c r="S90" s="311">
        <f>IFERROR(INDEX(Data!S$9:S$1273,MATCH($M90,Data!$K$9:$K$1273,0)),"")</f>
        <v/>
      </c>
      <c r="T90" s="311">
        <f>IFERROR(INDEX(Data!T$9:T$1273,MATCH($M90,Data!$K$9:$K$1273,0)),"")</f>
        <v/>
      </c>
      <c r="U90" s="311">
        <f>IFERROR(INDEX(Data!U$9:U$1273,MATCH($M90,Data!$K$9:$K$1273,0)),"")</f>
        <v/>
      </c>
      <c r="V90" s="311">
        <f>IFERROR(INDEX(Data!V$9:V$1273,MATCH($M90,Data!$K$9:$K$1273,0)),"")</f>
        <v/>
      </c>
      <c r="W90" s="311">
        <f>IFERROR(INDEX(Data!W$9:W$1273,MATCH($M90,Data!$K$9:$K$1273,0)),"")</f>
        <v/>
      </c>
      <c r="X90" s="311">
        <f>IFERROR(INDEX(Data!AJ$9:AJ$1273,MATCH($M90,Data!$K$9:$K$1273,0)),"")</f>
        <v/>
      </c>
      <c r="Y90" s="311">
        <f>IFERROR(INDEX(Data!AK$9:AK$1273,MATCH($M90,Data!$K$9:$K$1273,0)),"")</f>
        <v/>
      </c>
      <c r="Z90" s="311">
        <f>IFERROR(INDEX(Data!AL$9:AL$1273,MATCH($M90,Data!$K$9:$K$1273,0)),"")</f>
        <v/>
      </c>
      <c r="AA90" s="311">
        <f>IFERROR(INDEX(Data!AM$9:AM$1273,MATCH($M90,Data!$K$9:$K$1273,0)),"")</f>
        <v/>
      </c>
      <c r="AB90" s="311">
        <f>IFERROR(INDEX(Data!AN$9:AN$1273,MATCH($M90,Data!$K$9:$K$1273,0)),"")</f>
        <v/>
      </c>
      <c r="AC90" s="312">
        <f>IFERROR(INDEX(Data!BY$9:BY$1273,MATCH($M90,Data!$K$9:$K$1273,0)),"")</f>
        <v/>
      </c>
      <c r="AD90" s="312">
        <f>IFERROR(INDEX(Data!BZ$9:BZ$1273,MATCH($M90,Data!$K$9:$K$1273,0)),"")</f>
        <v/>
      </c>
      <c r="AE90" s="312">
        <f>IFERROR(INDEX(Data!CA$9:CA$1273,MATCH($M90,Data!$K$9:$K$1273,0)),"")</f>
        <v/>
      </c>
      <c r="AF90" s="312">
        <f>IFERROR(INDEX(Data!CB$9:CB$1273,MATCH($M90,Data!$K$9:$K$1273,0)),"")</f>
        <v/>
      </c>
      <c r="AG90" s="312">
        <f>IFERROR(INDEX(Data!CC$9:CC$1273,MATCH($M90,Data!$K$9:$K$1273,0)),"")</f>
        <v/>
      </c>
      <c r="AH90" s="312">
        <f>IFERROR(INDEX(Data!CD$9:CD$1273,MATCH($M90,Data!$K$9:$K$1273,0)),"")</f>
        <v/>
      </c>
      <c r="AI90" s="312">
        <f>IFERROR(INDEX(Data!CE$9:CE$1273,MATCH($M90,Data!$K$9:$K$1273,0)),"")</f>
        <v/>
      </c>
      <c r="AJ90" s="312">
        <f>IFERROR(INDEX(Data!CF$9:CF$1273,MATCH($M90,Data!$K$9:$K$1273,0)),"")</f>
        <v/>
      </c>
      <c r="AK90" s="312">
        <f>IFERROR(INDEX(Data!CG$9:CG$1273,MATCH($M90,Data!$K$9:$K$1273,0)),"")</f>
        <v/>
      </c>
      <c r="AL90" s="312">
        <f>IFERROR(INDEX(Data!CH$9:CH$1273,MATCH($M90,Data!$K$9:$K$1273,0)),"")</f>
        <v/>
      </c>
      <c r="AM90" s="312">
        <f>IFERROR(INDEX(Data!CI$9:CI$1273,MATCH($M90,Data!$K$9:$K$1273,0)),"")</f>
        <v/>
      </c>
      <c r="AN90" s="312">
        <f>IFERROR(INDEX(Data!CJ$9:CJ$1273,MATCH($M90,Data!$K$9:$K$1273,0)),"")</f>
        <v/>
      </c>
      <c r="AO90" s="312">
        <f>IFERROR(INDEX(Data!CK$9:CK$1273,MATCH($M90,Data!$K$9:$K$1273,0)),"")</f>
        <v/>
      </c>
      <c r="AP90" s="312">
        <f>IFERROR(INDEX(Data!CL$9:CL$1273,MATCH($M90,Data!$K$9:$K$1273,0)),"")</f>
        <v/>
      </c>
      <c r="AQ90" s="312">
        <f>IFERROR(INDEX(Data!CM$9:CM$1273,MATCH($M90,Data!$K$9:$K$1273,0)),"")</f>
        <v/>
      </c>
      <c r="AR90" s="312">
        <f>IFERROR(INDEX(Data!CN$9:CN$1273,MATCH($M90,Data!$K$9:$K$1273,0)),"")</f>
        <v/>
      </c>
      <c r="AS90" s="312">
        <f>IFERROR(INDEX(Data!CO$9:CO$1273,MATCH($M90,Data!$K$9:$K$1273,0)),"")</f>
        <v/>
      </c>
      <c r="AT90" s="312">
        <f>IFERROR(INDEX(Data!CP$9:CP$1273,MATCH($M90,Data!$K$9:$K$1273,0)),"")</f>
        <v/>
      </c>
      <c r="AU90" s="312">
        <f>IFERROR(INDEX(Data!CQ$9:CQ$1273,MATCH($M90,Data!$K$9:$K$1273,0)),"")</f>
        <v/>
      </c>
      <c r="AV90" s="312">
        <f>IFERROR(INDEX(Data!CR$9:CR$1273,MATCH($M90,Data!$K$9:$K$1273,0)),"")</f>
        <v/>
      </c>
      <c r="AW90" s="312">
        <f>IFERROR(INDEX(Data!CS$9:CS$1273,MATCH($M90,Data!$K$9:$K$1273,0)),"")</f>
        <v/>
      </c>
      <c r="AX90" s="312">
        <f>IFERROR(INDEX(Data!CT$9:CT$1273,MATCH($M90,Data!$K$9:$K$1273,0)),"")</f>
        <v/>
      </c>
      <c r="AY90" s="312">
        <f>IFERROR(INDEX(Data!CU$9:CU$1273,MATCH($M90,Data!$K$9:$K$1273,0)),"")</f>
        <v/>
      </c>
      <c r="AZ90" s="312">
        <f>IFERROR(INDEX(Data!CV$9:CV$1273,MATCH($M90,Data!$K$9:$K$1273,0)),"")</f>
        <v/>
      </c>
      <c r="BA90" s="312">
        <f>IFERROR(INDEX(Data!CX$9:CX$1273,MATCH($M90,Data!$K$9:$K$1273,0)),"")</f>
        <v/>
      </c>
      <c r="BB90" s="312">
        <f>IFERROR(INDEX(Data!CY$9:CY$1273,MATCH($M90,Data!$K$9:$K$1273,0)),"")</f>
        <v/>
      </c>
      <c r="BC90" s="312">
        <f>IFERROR(INDEX(Data!CZ$9:CZ$1273,MATCH($M90,Data!$K$9:$K$1273,0)),"")</f>
        <v/>
      </c>
      <c r="BD90" s="312">
        <f>IFERROR(INDEX(Data!DA$9:DA$1273,MATCH($M90,Data!$K$9:$K$1273,0)),"")</f>
        <v/>
      </c>
      <c r="BE90" s="312">
        <f>IFERROR(INDEX(Data!DB$9:DB$1273,MATCH($M90,Data!$K$9:$K$1273,0)),"")</f>
        <v/>
      </c>
      <c r="BF90" s="312">
        <f>IFERROR(INDEX(Data!DC$9:DC$1273,MATCH($M90,Data!$K$9:$K$1273,0)),"")</f>
        <v/>
      </c>
      <c r="BG90" s="312">
        <f>IFERROR(INDEX(Data!DD$9:DD$1273,MATCH($M90,Data!$K$9:$K$1273,0)),"")</f>
        <v/>
      </c>
      <c r="BH90" s="312">
        <f>IFERROR(INDEX(Data!DE$9:DE$1273,MATCH($M90,Data!$K$9:$K$1273,0)),"")</f>
        <v/>
      </c>
      <c r="BI90" s="312">
        <f>IFERROR(INDEX(Data!DF$9:DF$1273,MATCH($M90,Data!$K$9:$K$1273,0)),"")</f>
        <v/>
      </c>
      <c r="BJ90" s="312">
        <f>IFERROR(INDEX(Data!DG$9:DG$1273,MATCH($M90,Data!$K$9:$K$1273,0)),"")</f>
        <v/>
      </c>
      <c r="BK90" s="312">
        <f>IFERROR(INDEX(Data!DH$9:DH$1273,MATCH($M90,Data!$K$9:$K$1273,0)),"")</f>
        <v/>
      </c>
      <c r="BL90" s="312">
        <f>IFERROR(INDEX(Data!DI$9:DI$1273,MATCH($M90,Data!$K$9:$K$1273,0)),"")</f>
        <v/>
      </c>
      <c r="BM90" s="312">
        <f>IFERROR(INDEX(Data!DJ$9:DJ$1273,MATCH($M90,Data!$K$9:$K$1273,0)),"")</f>
        <v/>
      </c>
      <c r="BN90" s="312">
        <f>IFERROR(INDEX(Data!DK$9:DK$1273,MATCH($M90,Data!$K$9:$K$1273,0)),"")</f>
        <v/>
      </c>
      <c r="BO90" s="312">
        <f>IFERROR(INDEX(Data!DL$9:DL$1273,MATCH($M90,Data!$K$9:$K$1273,0)),"")</f>
        <v/>
      </c>
      <c r="BP90" s="331">
        <f>IFERROR(IF(BK90=0,"-",BK90),"")</f>
        <v/>
      </c>
      <c r="BQ90" s="312">
        <f>IFERROR(IF(BP90-K90&gt;0,TRUE,FALSE)," ")</f>
        <v/>
      </c>
      <c r="BR90" s="312">
        <f>_xlfn.CONCAT(E90,F90,H90,G90)</f>
        <v/>
      </c>
      <c r="BS90" s="312">
        <f>IFERROR(INDEX(Data!$DO$9:$DO$1273,MATCH('Your recommendation'!BR90,Data!$DN$9:$DN$1273,0)),"")</f>
        <v/>
      </c>
    </row>
    <row r="91" ht="15.6" customFormat="1" customHeight="1" s="138">
      <c r="B91" s="309">
        <f>IF(C91&gt;0,B90+1,"")</f>
        <v/>
      </c>
      <c r="C91" s="310" t="n">
        <v>0.8847963773202145</v>
      </c>
      <c r="D91" s="312">
        <f>IFERROR(INDEX(Data!BR$9:BR$1273,MATCH($M91,Data!$K$9:$K$1273,0)),"")</f>
        <v/>
      </c>
      <c r="E91" s="312">
        <f>IFERROR(INDEX(Data!BS$9:BS$1273,MATCH($M91,Data!$K$9:$K$1273,0)),"")</f>
        <v/>
      </c>
      <c r="F91" s="312">
        <f>IFERROR(INDEX(Data!DM$9:DM$1273,MATCH($M91,Data!$K$9:$K$1273,0)),"")</f>
        <v/>
      </c>
      <c r="G91" s="312">
        <f>IFERROR(INDEX(Data!BV$9:BV$1273,MATCH($M91,Data!$K$9:$K$1273,0)),"")</f>
        <v/>
      </c>
      <c r="H91" s="312">
        <f>IFERROR(INDEX(Data!BW$9:BW$1273,MATCH($M91,Data!$K$9:$K$1273,0)),"")</f>
        <v/>
      </c>
      <c r="I91" s="312">
        <f>IFERROR(INDEX(Data!BX$9:BX$1273,MATCH($M91,Data!$K$9:$K$1273,0)),"")</f>
        <v/>
      </c>
      <c r="J91" s="312">
        <f>IFERROR(INDEX(Data!CB$9:CB$1273,MATCH($M91,Data!$K$9:$K$1273,0)),"")</f>
        <v/>
      </c>
      <c r="K91" s="329">
        <f>IFERROR(HYPERLINK(BM91,BC91),"-")</f>
        <v/>
      </c>
      <c r="L91" s="330">
        <f>IFERROR(IF(BB91=0,"-",BB91)," ")</f>
        <v/>
      </c>
      <c r="M91" s="311" t="n">
        <v>0.8847963773202145</v>
      </c>
      <c r="N91" s="311">
        <f>IFERROR(INDEX(Data!L$9:L$1273,MATCH($M91,Data!$K$9:$K$1273,0)),"")</f>
        <v/>
      </c>
      <c r="O91" s="311">
        <f>IFERROR(INDEX(Data!M$9:M$1273,MATCH($M91,Data!$K$9:$K$1273,0)),"")</f>
        <v/>
      </c>
      <c r="P91" s="311">
        <f>IFERROR(INDEX(Data!N$9:N$1273,MATCH($M91,Data!$K$9:$K$1273,0)),"")</f>
        <v/>
      </c>
      <c r="Q91" s="311">
        <f>IFERROR(INDEX(Data!O$9:O$1273,MATCH($M91,Data!$K$9:$K$1273,0)),"")</f>
        <v/>
      </c>
      <c r="R91" s="311">
        <f>IFERROR(INDEX(Data!P$9:P$1273,MATCH($M91,Data!$K$9:$K$1273,0)),"")</f>
        <v/>
      </c>
      <c r="S91" s="311">
        <f>IFERROR(INDEX(Data!S$9:S$1273,MATCH($M91,Data!$K$9:$K$1273,0)),"")</f>
        <v/>
      </c>
      <c r="T91" s="311">
        <f>IFERROR(INDEX(Data!T$9:T$1273,MATCH($M91,Data!$K$9:$K$1273,0)),"")</f>
        <v/>
      </c>
      <c r="U91" s="311">
        <f>IFERROR(INDEX(Data!U$9:U$1273,MATCH($M91,Data!$K$9:$K$1273,0)),"")</f>
        <v/>
      </c>
      <c r="V91" s="311">
        <f>IFERROR(INDEX(Data!V$9:V$1273,MATCH($M91,Data!$K$9:$K$1273,0)),"")</f>
        <v/>
      </c>
      <c r="W91" s="311">
        <f>IFERROR(INDEX(Data!W$9:W$1273,MATCH($M91,Data!$K$9:$K$1273,0)),"")</f>
        <v/>
      </c>
      <c r="X91" s="311">
        <f>IFERROR(INDEX(Data!AJ$9:AJ$1273,MATCH($M91,Data!$K$9:$K$1273,0)),"")</f>
        <v/>
      </c>
      <c r="Y91" s="311">
        <f>IFERROR(INDEX(Data!AK$9:AK$1273,MATCH($M91,Data!$K$9:$K$1273,0)),"")</f>
        <v/>
      </c>
      <c r="Z91" s="311">
        <f>IFERROR(INDEX(Data!AL$9:AL$1273,MATCH($M91,Data!$K$9:$K$1273,0)),"")</f>
        <v/>
      </c>
      <c r="AA91" s="311">
        <f>IFERROR(INDEX(Data!AM$9:AM$1273,MATCH($M91,Data!$K$9:$K$1273,0)),"")</f>
        <v/>
      </c>
      <c r="AB91" s="311">
        <f>IFERROR(INDEX(Data!AN$9:AN$1273,MATCH($M91,Data!$K$9:$K$1273,0)),"")</f>
        <v/>
      </c>
      <c r="AC91" s="312">
        <f>IFERROR(INDEX(Data!BY$9:BY$1273,MATCH($M91,Data!$K$9:$K$1273,0)),"")</f>
        <v/>
      </c>
      <c r="AD91" s="312">
        <f>IFERROR(INDEX(Data!BZ$9:BZ$1273,MATCH($M91,Data!$K$9:$K$1273,0)),"")</f>
        <v/>
      </c>
      <c r="AE91" s="312">
        <f>IFERROR(INDEX(Data!CA$9:CA$1273,MATCH($M91,Data!$K$9:$K$1273,0)),"")</f>
        <v/>
      </c>
      <c r="AF91" s="312">
        <f>IFERROR(INDEX(Data!CB$9:CB$1273,MATCH($M91,Data!$K$9:$K$1273,0)),"")</f>
        <v/>
      </c>
      <c r="AG91" s="312">
        <f>IFERROR(INDEX(Data!CC$9:CC$1273,MATCH($M91,Data!$K$9:$K$1273,0)),"")</f>
        <v/>
      </c>
      <c r="AH91" s="312">
        <f>IFERROR(INDEX(Data!CD$9:CD$1273,MATCH($M91,Data!$K$9:$K$1273,0)),"")</f>
        <v/>
      </c>
      <c r="AI91" s="312">
        <f>IFERROR(INDEX(Data!CE$9:CE$1273,MATCH($M91,Data!$K$9:$K$1273,0)),"")</f>
        <v/>
      </c>
      <c r="AJ91" s="312">
        <f>IFERROR(INDEX(Data!CF$9:CF$1273,MATCH($M91,Data!$K$9:$K$1273,0)),"")</f>
        <v/>
      </c>
      <c r="AK91" s="312">
        <f>IFERROR(INDEX(Data!CG$9:CG$1273,MATCH($M91,Data!$K$9:$K$1273,0)),"")</f>
        <v/>
      </c>
      <c r="AL91" s="312">
        <f>IFERROR(INDEX(Data!CH$9:CH$1273,MATCH($M91,Data!$K$9:$K$1273,0)),"")</f>
        <v/>
      </c>
      <c r="AM91" s="312">
        <f>IFERROR(INDEX(Data!CI$9:CI$1273,MATCH($M91,Data!$K$9:$K$1273,0)),"")</f>
        <v/>
      </c>
      <c r="AN91" s="312">
        <f>IFERROR(INDEX(Data!CJ$9:CJ$1273,MATCH($M91,Data!$K$9:$K$1273,0)),"")</f>
        <v/>
      </c>
      <c r="AO91" s="312">
        <f>IFERROR(INDEX(Data!CK$9:CK$1273,MATCH($M91,Data!$K$9:$K$1273,0)),"")</f>
        <v/>
      </c>
      <c r="AP91" s="312">
        <f>IFERROR(INDEX(Data!CL$9:CL$1273,MATCH($M91,Data!$K$9:$K$1273,0)),"")</f>
        <v/>
      </c>
      <c r="AQ91" s="312">
        <f>IFERROR(INDEX(Data!CM$9:CM$1273,MATCH($M91,Data!$K$9:$K$1273,0)),"")</f>
        <v/>
      </c>
      <c r="AR91" s="312">
        <f>IFERROR(INDEX(Data!CN$9:CN$1273,MATCH($M91,Data!$K$9:$K$1273,0)),"")</f>
        <v/>
      </c>
      <c r="AS91" s="312">
        <f>IFERROR(INDEX(Data!CO$9:CO$1273,MATCH($M91,Data!$K$9:$K$1273,0)),"")</f>
        <v/>
      </c>
      <c r="AT91" s="312">
        <f>IFERROR(INDEX(Data!CP$9:CP$1273,MATCH($M91,Data!$K$9:$K$1273,0)),"")</f>
        <v/>
      </c>
      <c r="AU91" s="312">
        <f>IFERROR(INDEX(Data!CQ$9:CQ$1273,MATCH($M91,Data!$K$9:$K$1273,0)),"")</f>
        <v/>
      </c>
      <c r="AV91" s="312">
        <f>IFERROR(INDEX(Data!CR$9:CR$1273,MATCH($M91,Data!$K$9:$K$1273,0)),"")</f>
        <v/>
      </c>
      <c r="AW91" s="312">
        <f>IFERROR(INDEX(Data!CS$9:CS$1273,MATCH($M91,Data!$K$9:$K$1273,0)),"")</f>
        <v/>
      </c>
      <c r="AX91" s="312">
        <f>IFERROR(INDEX(Data!CT$9:CT$1273,MATCH($M91,Data!$K$9:$K$1273,0)),"")</f>
        <v/>
      </c>
      <c r="AY91" s="312">
        <f>IFERROR(INDEX(Data!CU$9:CU$1273,MATCH($M91,Data!$K$9:$K$1273,0)),"")</f>
        <v/>
      </c>
      <c r="AZ91" s="312">
        <f>IFERROR(INDEX(Data!CV$9:CV$1273,MATCH($M91,Data!$K$9:$K$1273,0)),"")</f>
        <v/>
      </c>
      <c r="BA91" s="312">
        <f>IFERROR(INDEX(Data!CX$9:CX$1273,MATCH($M91,Data!$K$9:$K$1273,0)),"")</f>
        <v/>
      </c>
      <c r="BB91" s="312">
        <f>IFERROR(INDEX(Data!CY$9:CY$1273,MATCH($M91,Data!$K$9:$K$1273,0)),"")</f>
        <v/>
      </c>
      <c r="BC91" s="312">
        <f>IFERROR(INDEX(Data!CZ$9:CZ$1273,MATCH($M91,Data!$K$9:$K$1273,0)),"")</f>
        <v/>
      </c>
      <c r="BD91" s="312">
        <f>IFERROR(INDEX(Data!DA$9:DA$1273,MATCH($M91,Data!$K$9:$K$1273,0)),"")</f>
        <v/>
      </c>
      <c r="BE91" s="312">
        <f>IFERROR(INDEX(Data!DB$9:DB$1273,MATCH($M91,Data!$K$9:$K$1273,0)),"")</f>
        <v/>
      </c>
      <c r="BF91" s="312">
        <f>IFERROR(INDEX(Data!DC$9:DC$1273,MATCH($M91,Data!$K$9:$K$1273,0)),"")</f>
        <v/>
      </c>
      <c r="BG91" s="312">
        <f>IFERROR(INDEX(Data!DD$9:DD$1273,MATCH($M91,Data!$K$9:$K$1273,0)),"")</f>
        <v/>
      </c>
      <c r="BH91" s="312">
        <f>IFERROR(INDEX(Data!DE$9:DE$1273,MATCH($M91,Data!$K$9:$K$1273,0)),"")</f>
        <v/>
      </c>
      <c r="BI91" s="312">
        <f>IFERROR(INDEX(Data!DF$9:DF$1273,MATCH($M91,Data!$K$9:$K$1273,0)),"")</f>
        <v/>
      </c>
      <c r="BJ91" s="312">
        <f>IFERROR(INDEX(Data!DG$9:DG$1273,MATCH($M91,Data!$K$9:$K$1273,0)),"")</f>
        <v/>
      </c>
      <c r="BK91" s="312">
        <f>IFERROR(INDEX(Data!DH$9:DH$1273,MATCH($M91,Data!$K$9:$K$1273,0)),"")</f>
        <v/>
      </c>
      <c r="BL91" s="312">
        <f>IFERROR(INDEX(Data!DI$9:DI$1273,MATCH($M91,Data!$K$9:$K$1273,0)),"")</f>
        <v/>
      </c>
      <c r="BM91" s="312">
        <f>IFERROR(INDEX(Data!DJ$9:DJ$1273,MATCH($M91,Data!$K$9:$K$1273,0)),"")</f>
        <v/>
      </c>
      <c r="BN91" s="312">
        <f>IFERROR(INDEX(Data!DK$9:DK$1273,MATCH($M91,Data!$K$9:$K$1273,0)),"")</f>
        <v/>
      </c>
      <c r="BO91" s="312">
        <f>IFERROR(INDEX(Data!DL$9:DL$1273,MATCH($M91,Data!$K$9:$K$1273,0)),"")</f>
        <v/>
      </c>
      <c r="BP91" s="331">
        <f>IFERROR(IF(BK91=0,"-",BK91),"")</f>
        <v/>
      </c>
      <c r="BQ91" s="312">
        <f>IFERROR(IF(BP91-K91&gt;0,TRUE,FALSE)," ")</f>
        <v/>
      </c>
      <c r="BR91" s="312">
        <f>_xlfn.CONCAT(E91,F91,H91,G91)</f>
        <v/>
      </c>
      <c r="BS91" s="312">
        <f>IFERROR(INDEX(Data!$DO$9:$DO$1273,MATCH('Your recommendation'!BR91,Data!$DN$9:$DN$1273,0)),"")</f>
        <v/>
      </c>
    </row>
    <row r="92" ht="15.6" customFormat="1" customHeight="1" s="138">
      <c r="B92" s="309">
        <f>IF(C92&gt;0,B91+1,"")</f>
        <v/>
      </c>
      <c r="C92" s="310" t="n">
        <v>0.8830831898922715</v>
      </c>
      <c r="D92" s="312">
        <f>IFERROR(INDEX(Data!BR$9:BR$1273,MATCH($M92,Data!$K$9:$K$1273,0)),"")</f>
        <v/>
      </c>
      <c r="E92" s="312">
        <f>IFERROR(INDEX(Data!BS$9:BS$1273,MATCH($M92,Data!$K$9:$K$1273,0)),"")</f>
        <v/>
      </c>
      <c r="F92" s="312">
        <f>IFERROR(INDEX(Data!DM$9:DM$1273,MATCH($M92,Data!$K$9:$K$1273,0)),"")</f>
        <v/>
      </c>
      <c r="G92" s="312">
        <f>IFERROR(INDEX(Data!BV$9:BV$1273,MATCH($M92,Data!$K$9:$K$1273,0)),"")</f>
        <v/>
      </c>
      <c r="H92" s="312">
        <f>IFERROR(INDEX(Data!BW$9:BW$1273,MATCH($M92,Data!$K$9:$K$1273,0)),"")</f>
        <v/>
      </c>
      <c r="I92" s="312">
        <f>IFERROR(INDEX(Data!BX$9:BX$1273,MATCH($M92,Data!$K$9:$K$1273,0)),"")</f>
        <v/>
      </c>
      <c r="J92" s="312">
        <f>IFERROR(INDEX(Data!CB$9:CB$1273,MATCH($M92,Data!$K$9:$K$1273,0)),"")</f>
        <v/>
      </c>
      <c r="K92" s="329">
        <f>IFERROR(HYPERLINK(BM92,BC92),"-")</f>
        <v/>
      </c>
      <c r="L92" s="330">
        <f>IFERROR(IF(BB92=0,"-",BB92)," ")</f>
        <v/>
      </c>
      <c r="M92" s="311" t="n">
        <v>0.8830831898922715</v>
      </c>
      <c r="N92" s="311">
        <f>IFERROR(INDEX(Data!L$9:L$1273,MATCH($M92,Data!$K$9:$K$1273,0)),"")</f>
        <v/>
      </c>
      <c r="O92" s="311">
        <f>IFERROR(INDEX(Data!M$9:M$1273,MATCH($M92,Data!$K$9:$K$1273,0)),"")</f>
        <v/>
      </c>
      <c r="P92" s="311">
        <f>IFERROR(INDEX(Data!N$9:N$1273,MATCH($M92,Data!$K$9:$K$1273,0)),"")</f>
        <v/>
      </c>
      <c r="Q92" s="311">
        <f>IFERROR(INDEX(Data!O$9:O$1273,MATCH($M92,Data!$K$9:$K$1273,0)),"")</f>
        <v/>
      </c>
      <c r="R92" s="311">
        <f>IFERROR(INDEX(Data!P$9:P$1273,MATCH($M92,Data!$K$9:$K$1273,0)),"")</f>
        <v/>
      </c>
      <c r="S92" s="311">
        <f>IFERROR(INDEX(Data!S$9:S$1273,MATCH($M92,Data!$K$9:$K$1273,0)),"")</f>
        <v/>
      </c>
      <c r="T92" s="311">
        <f>IFERROR(INDEX(Data!T$9:T$1273,MATCH($M92,Data!$K$9:$K$1273,0)),"")</f>
        <v/>
      </c>
      <c r="U92" s="311">
        <f>IFERROR(INDEX(Data!U$9:U$1273,MATCH($M92,Data!$K$9:$K$1273,0)),"")</f>
        <v/>
      </c>
      <c r="V92" s="311">
        <f>IFERROR(INDEX(Data!V$9:V$1273,MATCH($M92,Data!$K$9:$K$1273,0)),"")</f>
        <v/>
      </c>
      <c r="W92" s="311">
        <f>IFERROR(INDEX(Data!W$9:W$1273,MATCH($M92,Data!$K$9:$K$1273,0)),"")</f>
        <v/>
      </c>
      <c r="X92" s="311">
        <f>IFERROR(INDEX(Data!AJ$9:AJ$1273,MATCH($M92,Data!$K$9:$K$1273,0)),"")</f>
        <v/>
      </c>
      <c r="Y92" s="311">
        <f>IFERROR(INDEX(Data!AK$9:AK$1273,MATCH($M92,Data!$K$9:$K$1273,0)),"")</f>
        <v/>
      </c>
      <c r="Z92" s="311">
        <f>IFERROR(INDEX(Data!AL$9:AL$1273,MATCH($M92,Data!$K$9:$K$1273,0)),"")</f>
        <v/>
      </c>
      <c r="AA92" s="311">
        <f>IFERROR(INDEX(Data!AM$9:AM$1273,MATCH($M92,Data!$K$9:$K$1273,0)),"")</f>
        <v/>
      </c>
      <c r="AB92" s="311">
        <f>IFERROR(INDEX(Data!AN$9:AN$1273,MATCH($M92,Data!$K$9:$K$1273,0)),"")</f>
        <v/>
      </c>
      <c r="AC92" s="312">
        <f>IFERROR(INDEX(Data!BY$9:BY$1273,MATCH($M92,Data!$K$9:$K$1273,0)),"")</f>
        <v/>
      </c>
      <c r="AD92" s="312">
        <f>IFERROR(INDEX(Data!BZ$9:BZ$1273,MATCH($M92,Data!$K$9:$K$1273,0)),"")</f>
        <v/>
      </c>
      <c r="AE92" s="312">
        <f>IFERROR(INDEX(Data!CA$9:CA$1273,MATCH($M92,Data!$K$9:$K$1273,0)),"")</f>
        <v/>
      </c>
      <c r="AF92" s="312">
        <f>IFERROR(INDEX(Data!CB$9:CB$1273,MATCH($M92,Data!$K$9:$K$1273,0)),"")</f>
        <v/>
      </c>
      <c r="AG92" s="312">
        <f>IFERROR(INDEX(Data!CC$9:CC$1273,MATCH($M92,Data!$K$9:$K$1273,0)),"")</f>
        <v/>
      </c>
      <c r="AH92" s="312">
        <f>IFERROR(INDEX(Data!CD$9:CD$1273,MATCH($M92,Data!$K$9:$K$1273,0)),"")</f>
        <v/>
      </c>
      <c r="AI92" s="312">
        <f>IFERROR(INDEX(Data!CE$9:CE$1273,MATCH($M92,Data!$K$9:$K$1273,0)),"")</f>
        <v/>
      </c>
      <c r="AJ92" s="312">
        <f>IFERROR(INDEX(Data!CF$9:CF$1273,MATCH($M92,Data!$K$9:$K$1273,0)),"")</f>
        <v/>
      </c>
      <c r="AK92" s="312">
        <f>IFERROR(INDEX(Data!CG$9:CG$1273,MATCH($M92,Data!$K$9:$K$1273,0)),"")</f>
        <v/>
      </c>
      <c r="AL92" s="312">
        <f>IFERROR(INDEX(Data!CH$9:CH$1273,MATCH($M92,Data!$K$9:$K$1273,0)),"")</f>
        <v/>
      </c>
      <c r="AM92" s="312">
        <f>IFERROR(INDEX(Data!CI$9:CI$1273,MATCH($M92,Data!$K$9:$K$1273,0)),"")</f>
        <v/>
      </c>
      <c r="AN92" s="312">
        <f>IFERROR(INDEX(Data!CJ$9:CJ$1273,MATCH($M92,Data!$K$9:$K$1273,0)),"")</f>
        <v/>
      </c>
      <c r="AO92" s="312">
        <f>IFERROR(INDEX(Data!CK$9:CK$1273,MATCH($M92,Data!$K$9:$K$1273,0)),"")</f>
        <v/>
      </c>
      <c r="AP92" s="312">
        <f>IFERROR(INDEX(Data!CL$9:CL$1273,MATCH($M92,Data!$K$9:$K$1273,0)),"")</f>
        <v/>
      </c>
      <c r="AQ92" s="312">
        <f>IFERROR(INDEX(Data!CM$9:CM$1273,MATCH($M92,Data!$K$9:$K$1273,0)),"")</f>
        <v/>
      </c>
      <c r="AR92" s="312">
        <f>IFERROR(INDEX(Data!CN$9:CN$1273,MATCH($M92,Data!$K$9:$K$1273,0)),"")</f>
        <v/>
      </c>
      <c r="AS92" s="312">
        <f>IFERROR(INDEX(Data!CO$9:CO$1273,MATCH($M92,Data!$K$9:$K$1273,0)),"")</f>
        <v/>
      </c>
      <c r="AT92" s="312">
        <f>IFERROR(INDEX(Data!CP$9:CP$1273,MATCH($M92,Data!$K$9:$K$1273,0)),"")</f>
        <v/>
      </c>
      <c r="AU92" s="312">
        <f>IFERROR(INDEX(Data!CQ$9:CQ$1273,MATCH($M92,Data!$K$9:$K$1273,0)),"")</f>
        <v/>
      </c>
      <c r="AV92" s="312">
        <f>IFERROR(INDEX(Data!CR$9:CR$1273,MATCH($M92,Data!$K$9:$K$1273,0)),"")</f>
        <v/>
      </c>
      <c r="AW92" s="312">
        <f>IFERROR(INDEX(Data!CS$9:CS$1273,MATCH($M92,Data!$K$9:$K$1273,0)),"")</f>
        <v/>
      </c>
      <c r="AX92" s="312">
        <f>IFERROR(INDEX(Data!CT$9:CT$1273,MATCH($M92,Data!$K$9:$K$1273,0)),"")</f>
        <v/>
      </c>
      <c r="AY92" s="312">
        <f>IFERROR(INDEX(Data!CU$9:CU$1273,MATCH($M92,Data!$K$9:$K$1273,0)),"")</f>
        <v/>
      </c>
      <c r="AZ92" s="312">
        <f>IFERROR(INDEX(Data!CV$9:CV$1273,MATCH($M92,Data!$K$9:$K$1273,0)),"")</f>
        <v/>
      </c>
      <c r="BA92" s="312">
        <f>IFERROR(INDEX(Data!CX$9:CX$1273,MATCH($M92,Data!$K$9:$K$1273,0)),"")</f>
        <v/>
      </c>
      <c r="BB92" s="312">
        <f>IFERROR(INDEX(Data!CY$9:CY$1273,MATCH($M92,Data!$K$9:$K$1273,0)),"")</f>
        <v/>
      </c>
      <c r="BC92" s="312">
        <f>IFERROR(INDEX(Data!CZ$9:CZ$1273,MATCH($M92,Data!$K$9:$K$1273,0)),"")</f>
        <v/>
      </c>
      <c r="BD92" s="312">
        <f>IFERROR(INDEX(Data!DA$9:DA$1273,MATCH($M92,Data!$K$9:$K$1273,0)),"")</f>
        <v/>
      </c>
      <c r="BE92" s="312">
        <f>IFERROR(INDEX(Data!DB$9:DB$1273,MATCH($M92,Data!$K$9:$K$1273,0)),"")</f>
        <v/>
      </c>
      <c r="BF92" s="312">
        <f>IFERROR(INDEX(Data!DC$9:DC$1273,MATCH($M92,Data!$K$9:$K$1273,0)),"")</f>
        <v/>
      </c>
      <c r="BG92" s="312">
        <f>IFERROR(INDEX(Data!DD$9:DD$1273,MATCH($M92,Data!$K$9:$K$1273,0)),"")</f>
        <v/>
      </c>
      <c r="BH92" s="312">
        <f>IFERROR(INDEX(Data!DE$9:DE$1273,MATCH($M92,Data!$K$9:$K$1273,0)),"")</f>
        <v/>
      </c>
      <c r="BI92" s="312">
        <f>IFERROR(INDEX(Data!DF$9:DF$1273,MATCH($M92,Data!$K$9:$K$1273,0)),"")</f>
        <v/>
      </c>
      <c r="BJ92" s="312">
        <f>IFERROR(INDEX(Data!DG$9:DG$1273,MATCH($M92,Data!$K$9:$K$1273,0)),"")</f>
        <v/>
      </c>
      <c r="BK92" s="312">
        <f>IFERROR(INDEX(Data!DH$9:DH$1273,MATCH($M92,Data!$K$9:$K$1273,0)),"")</f>
        <v/>
      </c>
      <c r="BL92" s="312">
        <f>IFERROR(INDEX(Data!DI$9:DI$1273,MATCH($M92,Data!$K$9:$K$1273,0)),"")</f>
        <v/>
      </c>
      <c r="BM92" s="312">
        <f>IFERROR(INDEX(Data!DJ$9:DJ$1273,MATCH($M92,Data!$K$9:$K$1273,0)),"")</f>
        <v/>
      </c>
      <c r="BN92" s="312">
        <f>IFERROR(INDEX(Data!DK$9:DK$1273,MATCH($M92,Data!$K$9:$K$1273,0)),"")</f>
        <v/>
      </c>
      <c r="BO92" s="312">
        <f>IFERROR(INDEX(Data!DL$9:DL$1273,MATCH($M92,Data!$K$9:$K$1273,0)),"")</f>
        <v/>
      </c>
      <c r="BP92" s="331">
        <f>IFERROR(IF(BK92=0,"-",BK92),"")</f>
        <v/>
      </c>
      <c r="BQ92" s="312">
        <f>IFERROR(IF(BP92-K92&gt;0,TRUE,FALSE)," ")</f>
        <v/>
      </c>
      <c r="BR92" s="312">
        <f>_xlfn.CONCAT(E92,F92,H92,G92)</f>
        <v/>
      </c>
      <c r="BS92" s="312">
        <f>IFERROR(INDEX(Data!$DO$9:$DO$1273,MATCH('Your recommendation'!BR92,Data!$DN$9:$DN$1273,0)),"")</f>
        <v/>
      </c>
    </row>
    <row r="93" ht="15.6" customFormat="1" customHeight="1" s="138">
      <c r="B93" s="309">
        <f>IF(C93&gt;0,B92+1,"")</f>
        <v/>
      </c>
      <c r="C93" s="310" t="n">
        <v>0.8628436385754533</v>
      </c>
      <c r="D93" s="312">
        <f>IFERROR(INDEX(Data!BR$9:BR$1273,MATCH($M93,Data!$K$9:$K$1273,0)),"")</f>
        <v/>
      </c>
      <c r="E93" s="312">
        <f>IFERROR(INDEX(Data!BS$9:BS$1273,MATCH($M93,Data!$K$9:$K$1273,0)),"")</f>
        <v/>
      </c>
      <c r="F93" s="312">
        <f>IFERROR(INDEX(Data!DM$9:DM$1273,MATCH($M93,Data!$K$9:$K$1273,0)),"")</f>
        <v/>
      </c>
      <c r="G93" s="312">
        <f>IFERROR(INDEX(Data!BV$9:BV$1273,MATCH($M93,Data!$K$9:$K$1273,0)),"")</f>
        <v/>
      </c>
      <c r="H93" s="312">
        <f>IFERROR(INDEX(Data!BW$9:BW$1273,MATCH($M93,Data!$K$9:$K$1273,0)),"")</f>
        <v/>
      </c>
      <c r="I93" s="312">
        <f>IFERROR(INDEX(Data!BX$9:BX$1273,MATCH($M93,Data!$K$9:$K$1273,0)),"")</f>
        <v/>
      </c>
      <c r="J93" s="312">
        <f>IFERROR(INDEX(Data!CB$9:CB$1273,MATCH($M93,Data!$K$9:$K$1273,0)),"")</f>
        <v/>
      </c>
      <c r="K93" s="329">
        <f>IFERROR(HYPERLINK(BM93,BC93),"-")</f>
        <v/>
      </c>
      <c r="L93" s="330">
        <f>IFERROR(IF(BB93=0,"-",BB93)," ")</f>
        <v/>
      </c>
      <c r="M93" s="311" t="n">
        <v>0.8628436385754533</v>
      </c>
      <c r="N93" s="311">
        <f>IFERROR(INDEX(Data!L$9:L$1273,MATCH($M93,Data!$K$9:$K$1273,0)),"")</f>
        <v/>
      </c>
      <c r="O93" s="311">
        <f>IFERROR(INDEX(Data!M$9:M$1273,MATCH($M93,Data!$K$9:$K$1273,0)),"")</f>
        <v/>
      </c>
      <c r="P93" s="311">
        <f>IFERROR(INDEX(Data!N$9:N$1273,MATCH($M93,Data!$K$9:$K$1273,0)),"")</f>
        <v/>
      </c>
      <c r="Q93" s="311">
        <f>IFERROR(INDEX(Data!O$9:O$1273,MATCH($M93,Data!$K$9:$K$1273,0)),"")</f>
        <v/>
      </c>
      <c r="R93" s="311">
        <f>IFERROR(INDEX(Data!P$9:P$1273,MATCH($M93,Data!$K$9:$K$1273,0)),"")</f>
        <v/>
      </c>
      <c r="S93" s="311">
        <f>IFERROR(INDEX(Data!S$9:S$1273,MATCH($M93,Data!$K$9:$K$1273,0)),"")</f>
        <v/>
      </c>
      <c r="T93" s="311">
        <f>IFERROR(INDEX(Data!T$9:T$1273,MATCH($M93,Data!$K$9:$K$1273,0)),"")</f>
        <v/>
      </c>
      <c r="U93" s="311">
        <f>IFERROR(INDEX(Data!U$9:U$1273,MATCH($M93,Data!$K$9:$K$1273,0)),"")</f>
        <v/>
      </c>
      <c r="V93" s="311">
        <f>IFERROR(INDEX(Data!V$9:V$1273,MATCH($M93,Data!$K$9:$K$1273,0)),"")</f>
        <v/>
      </c>
      <c r="W93" s="311">
        <f>IFERROR(INDEX(Data!W$9:W$1273,MATCH($M93,Data!$K$9:$K$1273,0)),"")</f>
        <v/>
      </c>
      <c r="X93" s="311">
        <f>IFERROR(INDEX(Data!AJ$9:AJ$1273,MATCH($M93,Data!$K$9:$K$1273,0)),"")</f>
        <v/>
      </c>
      <c r="Y93" s="311">
        <f>IFERROR(INDEX(Data!AK$9:AK$1273,MATCH($M93,Data!$K$9:$K$1273,0)),"")</f>
        <v/>
      </c>
      <c r="Z93" s="311">
        <f>IFERROR(INDEX(Data!AL$9:AL$1273,MATCH($M93,Data!$K$9:$K$1273,0)),"")</f>
        <v/>
      </c>
      <c r="AA93" s="311">
        <f>IFERROR(INDEX(Data!AM$9:AM$1273,MATCH($M93,Data!$K$9:$K$1273,0)),"")</f>
        <v/>
      </c>
      <c r="AB93" s="311">
        <f>IFERROR(INDEX(Data!AN$9:AN$1273,MATCH($M93,Data!$K$9:$K$1273,0)),"")</f>
        <v/>
      </c>
      <c r="AC93" s="312">
        <f>IFERROR(INDEX(Data!BY$9:BY$1273,MATCH($M93,Data!$K$9:$K$1273,0)),"")</f>
        <v/>
      </c>
      <c r="AD93" s="312">
        <f>IFERROR(INDEX(Data!BZ$9:BZ$1273,MATCH($M93,Data!$K$9:$K$1273,0)),"")</f>
        <v/>
      </c>
      <c r="AE93" s="312">
        <f>IFERROR(INDEX(Data!CA$9:CA$1273,MATCH($M93,Data!$K$9:$K$1273,0)),"")</f>
        <v/>
      </c>
      <c r="AF93" s="312">
        <f>IFERROR(INDEX(Data!CB$9:CB$1273,MATCH($M93,Data!$K$9:$K$1273,0)),"")</f>
        <v/>
      </c>
      <c r="AG93" s="312">
        <f>IFERROR(INDEX(Data!CC$9:CC$1273,MATCH($M93,Data!$K$9:$K$1273,0)),"")</f>
        <v/>
      </c>
      <c r="AH93" s="312">
        <f>IFERROR(INDEX(Data!CD$9:CD$1273,MATCH($M93,Data!$K$9:$K$1273,0)),"")</f>
        <v/>
      </c>
      <c r="AI93" s="312">
        <f>IFERROR(INDEX(Data!CE$9:CE$1273,MATCH($M93,Data!$K$9:$K$1273,0)),"")</f>
        <v/>
      </c>
      <c r="AJ93" s="312">
        <f>IFERROR(INDEX(Data!CF$9:CF$1273,MATCH($M93,Data!$K$9:$K$1273,0)),"")</f>
        <v/>
      </c>
      <c r="AK93" s="312">
        <f>IFERROR(INDEX(Data!CG$9:CG$1273,MATCH($M93,Data!$K$9:$K$1273,0)),"")</f>
        <v/>
      </c>
      <c r="AL93" s="312">
        <f>IFERROR(INDEX(Data!CH$9:CH$1273,MATCH($M93,Data!$K$9:$K$1273,0)),"")</f>
        <v/>
      </c>
      <c r="AM93" s="312">
        <f>IFERROR(INDEX(Data!CI$9:CI$1273,MATCH($M93,Data!$K$9:$K$1273,0)),"")</f>
        <v/>
      </c>
      <c r="AN93" s="312">
        <f>IFERROR(INDEX(Data!CJ$9:CJ$1273,MATCH($M93,Data!$K$9:$K$1273,0)),"")</f>
        <v/>
      </c>
      <c r="AO93" s="312">
        <f>IFERROR(INDEX(Data!CK$9:CK$1273,MATCH($M93,Data!$K$9:$K$1273,0)),"")</f>
        <v/>
      </c>
      <c r="AP93" s="312">
        <f>IFERROR(INDEX(Data!CL$9:CL$1273,MATCH($M93,Data!$K$9:$K$1273,0)),"")</f>
        <v/>
      </c>
      <c r="AQ93" s="312">
        <f>IFERROR(INDEX(Data!CM$9:CM$1273,MATCH($M93,Data!$K$9:$K$1273,0)),"")</f>
        <v/>
      </c>
      <c r="AR93" s="312">
        <f>IFERROR(INDEX(Data!CN$9:CN$1273,MATCH($M93,Data!$K$9:$K$1273,0)),"")</f>
        <v/>
      </c>
      <c r="AS93" s="312">
        <f>IFERROR(INDEX(Data!CO$9:CO$1273,MATCH($M93,Data!$K$9:$K$1273,0)),"")</f>
        <v/>
      </c>
      <c r="AT93" s="312">
        <f>IFERROR(INDEX(Data!CP$9:CP$1273,MATCH($M93,Data!$K$9:$K$1273,0)),"")</f>
        <v/>
      </c>
      <c r="AU93" s="312">
        <f>IFERROR(INDEX(Data!CQ$9:CQ$1273,MATCH($M93,Data!$K$9:$K$1273,0)),"")</f>
        <v/>
      </c>
      <c r="AV93" s="312">
        <f>IFERROR(INDEX(Data!CR$9:CR$1273,MATCH($M93,Data!$K$9:$K$1273,0)),"")</f>
        <v/>
      </c>
      <c r="AW93" s="312">
        <f>IFERROR(INDEX(Data!CS$9:CS$1273,MATCH($M93,Data!$K$9:$K$1273,0)),"")</f>
        <v/>
      </c>
      <c r="AX93" s="312">
        <f>IFERROR(INDEX(Data!CT$9:CT$1273,MATCH($M93,Data!$K$9:$K$1273,0)),"")</f>
        <v/>
      </c>
      <c r="AY93" s="312">
        <f>IFERROR(INDEX(Data!CU$9:CU$1273,MATCH($M93,Data!$K$9:$K$1273,0)),"")</f>
        <v/>
      </c>
      <c r="AZ93" s="312">
        <f>IFERROR(INDEX(Data!CV$9:CV$1273,MATCH($M93,Data!$K$9:$K$1273,0)),"")</f>
        <v/>
      </c>
      <c r="BA93" s="312">
        <f>IFERROR(INDEX(Data!CX$9:CX$1273,MATCH($M93,Data!$K$9:$K$1273,0)),"")</f>
        <v/>
      </c>
      <c r="BB93" s="312">
        <f>IFERROR(INDEX(Data!CY$9:CY$1273,MATCH($M93,Data!$K$9:$K$1273,0)),"")</f>
        <v/>
      </c>
      <c r="BC93" s="312">
        <f>IFERROR(INDEX(Data!CZ$9:CZ$1273,MATCH($M93,Data!$K$9:$K$1273,0)),"")</f>
        <v/>
      </c>
      <c r="BD93" s="312">
        <f>IFERROR(INDEX(Data!DA$9:DA$1273,MATCH($M93,Data!$K$9:$K$1273,0)),"")</f>
        <v/>
      </c>
      <c r="BE93" s="312">
        <f>IFERROR(INDEX(Data!DB$9:DB$1273,MATCH($M93,Data!$K$9:$K$1273,0)),"")</f>
        <v/>
      </c>
      <c r="BF93" s="312">
        <f>IFERROR(INDEX(Data!DC$9:DC$1273,MATCH($M93,Data!$K$9:$K$1273,0)),"")</f>
        <v/>
      </c>
      <c r="BG93" s="312">
        <f>IFERROR(INDEX(Data!DD$9:DD$1273,MATCH($M93,Data!$K$9:$K$1273,0)),"")</f>
        <v/>
      </c>
      <c r="BH93" s="312">
        <f>IFERROR(INDEX(Data!DE$9:DE$1273,MATCH($M93,Data!$K$9:$K$1273,0)),"")</f>
        <v/>
      </c>
      <c r="BI93" s="312">
        <f>IFERROR(INDEX(Data!DF$9:DF$1273,MATCH($M93,Data!$K$9:$K$1273,0)),"")</f>
        <v/>
      </c>
      <c r="BJ93" s="312">
        <f>IFERROR(INDEX(Data!DG$9:DG$1273,MATCH($M93,Data!$K$9:$K$1273,0)),"")</f>
        <v/>
      </c>
      <c r="BK93" s="312">
        <f>IFERROR(INDEX(Data!DH$9:DH$1273,MATCH($M93,Data!$K$9:$K$1273,0)),"")</f>
        <v/>
      </c>
      <c r="BL93" s="312">
        <f>IFERROR(INDEX(Data!DI$9:DI$1273,MATCH($M93,Data!$K$9:$K$1273,0)),"")</f>
        <v/>
      </c>
      <c r="BM93" s="312">
        <f>IFERROR(INDEX(Data!DJ$9:DJ$1273,MATCH($M93,Data!$K$9:$K$1273,0)),"")</f>
        <v/>
      </c>
      <c r="BN93" s="312">
        <f>IFERROR(INDEX(Data!DK$9:DK$1273,MATCH($M93,Data!$K$9:$K$1273,0)),"")</f>
        <v/>
      </c>
      <c r="BO93" s="312">
        <f>IFERROR(INDEX(Data!DL$9:DL$1273,MATCH($M93,Data!$K$9:$K$1273,0)),"")</f>
        <v/>
      </c>
      <c r="BP93" s="331">
        <f>IFERROR(IF(BK93=0,"-",BK93),"")</f>
        <v/>
      </c>
      <c r="BQ93" s="312">
        <f>IFERROR(IF(BP93-K93&gt;0,TRUE,FALSE)," ")</f>
        <v/>
      </c>
      <c r="BR93" s="312">
        <f>_xlfn.CONCAT(E93,F93,H93,G93)</f>
        <v/>
      </c>
      <c r="BS93" s="312">
        <f>IFERROR(INDEX(Data!$DO$9:$DO$1273,MATCH('Your recommendation'!BR93,Data!$DN$9:$DN$1273,0)),"")</f>
        <v/>
      </c>
    </row>
    <row r="94" ht="15.6" customFormat="1" customHeight="1" s="138">
      <c r="B94" s="309">
        <f>IF(C94&gt;0,B93+1,"")</f>
        <v/>
      </c>
      <c r="C94" s="310" t="n">
        <v>0.8135208327358041</v>
      </c>
      <c r="D94" s="312">
        <f>IFERROR(INDEX(Data!BR$9:BR$1273,MATCH($M94,Data!$K$9:$K$1273,0)),"")</f>
        <v/>
      </c>
      <c r="E94" s="312">
        <f>IFERROR(INDEX(Data!BS$9:BS$1273,MATCH($M94,Data!$K$9:$K$1273,0)),"")</f>
        <v/>
      </c>
      <c r="F94" s="312">
        <f>IFERROR(INDEX(Data!DM$9:DM$1273,MATCH($M94,Data!$K$9:$K$1273,0)),"")</f>
        <v/>
      </c>
      <c r="G94" s="312">
        <f>IFERROR(INDEX(Data!BV$9:BV$1273,MATCH($M94,Data!$K$9:$K$1273,0)),"")</f>
        <v/>
      </c>
      <c r="H94" s="312">
        <f>IFERROR(INDEX(Data!BW$9:BW$1273,MATCH($M94,Data!$K$9:$K$1273,0)),"")</f>
        <v/>
      </c>
      <c r="I94" s="312">
        <f>IFERROR(INDEX(Data!BX$9:BX$1273,MATCH($M94,Data!$K$9:$K$1273,0)),"")</f>
        <v/>
      </c>
      <c r="J94" s="312">
        <f>IFERROR(INDEX(Data!CB$9:CB$1273,MATCH($M94,Data!$K$9:$K$1273,0)),"")</f>
        <v/>
      </c>
      <c r="K94" s="329">
        <f>IFERROR(HYPERLINK(BM94,BC94),"-")</f>
        <v/>
      </c>
      <c r="L94" s="330">
        <f>IFERROR(IF(BB94=0,"-",BB94)," ")</f>
        <v/>
      </c>
      <c r="M94" s="311" t="n">
        <v>0.8135208327358041</v>
      </c>
      <c r="N94" s="311">
        <f>IFERROR(INDEX(Data!L$9:L$1273,MATCH($M94,Data!$K$9:$K$1273,0)),"")</f>
        <v/>
      </c>
      <c r="O94" s="311">
        <f>IFERROR(INDEX(Data!M$9:M$1273,MATCH($M94,Data!$K$9:$K$1273,0)),"")</f>
        <v/>
      </c>
      <c r="P94" s="311">
        <f>IFERROR(INDEX(Data!N$9:N$1273,MATCH($M94,Data!$K$9:$K$1273,0)),"")</f>
        <v/>
      </c>
      <c r="Q94" s="311">
        <f>IFERROR(INDEX(Data!O$9:O$1273,MATCH($M94,Data!$K$9:$K$1273,0)),"")</f>
        <v/>
      </c>
      <c r="R94" s="311">
        <f>IFERROR(INDEX(Data!P$9:P$1273,MATCH($M94,Data!$K$9:$K$1273,0)),"")</f>
        <v/>
      </c>
      <c r="S94" s="311">
        <f>IFERROR(INDEX(Data!S$9:S$1273,MATCH($M94,Data!$K$9:$K$1273,0)),"")</f>
        <v/>
      </c>
      <c r="T94" s="311">
        <f>IFERROR(INDEX(Data!T$9:T$1273,MATCH($M94,Data!$K$9:$K$1273,0)),"")</f>
        <v/>
      </c>
      <c r="U94" s="311">
        <f>IFERROR(INDEX(Data!U$9:U$1273,MATCH($M94,Data!$K$9:$K$1273,0)),"")</f>
        <v/>
      </c>
      <c r="V94" s="311">
        <f>IFERROR(INDEX(Data!V$9:V$1273,MATCH($M94,Data!$K$9:$K$1273,0)),"")</f>
        <v/>
      </c>
      <c r="W94" s="311">
        <f>IFERROR(INDEX(Data!W$9:W$1273,MATCH($M94,Data!$K$9:$K$1273,0)),"")</f>
        <v/>
      </c>
      <c r="X94" s="311">
        <f>IFERROR(INDEX(Data!AJ$9:AJ$1273,MATCH($M94,Data!$K$9:$K$1273,0)),"")</f>
        <v/>
      </c>
      <c r="Y94" s="311">
        <f>IFERROR(INDEX(Data!AK$9:AK$1273,MATCH($M94,Data!$K$9:$K$1273,0)),"")</f>
        <v/>
      </c>
      <c r="Z94" s="311">
        <f>IFERROR(INDEX(Data!AL$9:AL$1273,MATCH($M94,Data!$K$9:$K$1273,0)),"")</f>
        <v/>
      </c>
      <c r="AA94" s="311">
        <f>IFERROR(INDEX(Data!AM$9:AM$1273,MATCH($M94,Data!$K$9:$K$1273,0)),"")</f>
        <v/>
      </c>
      <c r="AB94" s="311">
        <f>IFERROR(INDEX(Data!AN$9:AN$1273,MATCH($M94,Data!$K$9:$K$1273,0)),"")</f>
        <v/>
      </c>
      <c r="AC94" s="312">
        <f>IFERROR(INDEX(Data!BY$9:BY$1273,MATCH($M94,Data!$K$9:$K$1273,0)),"")</f>
        <v/>
      </c>
      <c r="AD94" s="312">
        <f>IFERROR(INDEX(Data!BZ$9:BZ$1273,MATCH($M94,Data!$K$9:$K$1273,0)),"")</f>
        <v/>
      </c>
      <c r="AE94" s="312">
        <f>IFERROR(INDEX(Data!CA$9:CA$1273,MATCH($M94,Data!$K$9:$K$1273,0)),"")</f>
        <v/>
      </c>
      <c r="AF94" s="312">
        <f>IFERROR(INDEX(Data!CB$9:CB$1273,MATCH($M94,Data!$K$9:$K$1273,0)),"")</f>
        <v/>
      </c>
      <c r="AG94" s="312">
        <f>IFERROR(INDEX(Data!CC$9:CC$1273,MATCH($M94,Data!$K$9:$K$1273,0)),"")</f>
        <v/>
      </c>
      <c r="AH94" s="312">
        <f>IFERROR(INDEX(Data!CD$9:CD$1273,MATCH($M94,Data!$K$9:$K$1273,0)),"")</f>
        <v/>
      </c>
      <c r="AI94" s="312">
        <f>IFERROR(INDEX(Data!CE$9:CE$1273,MATCH($M94,Data!$K$9:$K$1273,0)),"")</f>
        <v/>
      </c>
      <c r="AJ94" s="312">
        <f>IFERROR(INDEX(Data!CF$9:CF$1273,MATCH($M94,Data!$K$9:$K$1273,0)),"")</f>
        <v/>
      </c>
      <c r="AK94" s="312">
        <f>IFERROR(INDEX(Data!CG$9:CG$1273,MATCH($M94,Data!$K$9:$K$1273,0)),"")</f>
        <v/>
      </c>
      <c r="AL94" s="312">
        <f>IFERROR(INDEX(Data!CH$9:CH$1273,MATCH($M94,Data!$K$9:$K$1273,0)),"")</f>
        <v/>
      </c>
      <c r="AM94" s="312">
        <f>IFERROR(INDEX(Data!CI$9:CI$1273,MATCH($M94,Data!$K$9:$K$1273,0)),"")</f>
        <v/>
      </c>
      <c r="AN94" s="312">
        <f>IFERROR(INDEX(Data!CJ$9:CJ$1273,MATCH($M94,Data!$K$9:$K$1273,0)),"")</f>
        <v/>
      </c>
      <c r="AO94" s="312">
        <f>IFERROR(INDEX(Data!CK$9:CK$1273,MATCH($M94,Data!$K$9:$K$1273,0)),"")</f>
        <v/>
      </c>
      <c r="AP94" s="312">
        <f>IFERROR(INDEX(Data!CL$9:CL$1273,MATCH($M94,Data!$K$9:$K$1273,0)),"")</f>
        <v/>
      </c>
      <c r="AQ94" s="312">
        <f>IFERROR(INDEX(Data!CM$9:CM$1273,MATCH($M94,Data!$K$9:$K$1273,0)),"")</f>
        <v/>
      </c>
      <c r="AR94" s="312">
        <f>IFERROR(INDEX(Data!CN$9:CN$1273,MATCH($M94,Data!$K$9:$K$1273,0)),"")</f>
        <v/>
      </c>
      <c r="AS94" s="312">
        <f>IFERROR(INDEX(Data!CO$9:CO$1273,MATCH($M94,Data!$K$9:$K$1273,0)),"")</f>
        <v/>
      </c>
      <c r="AT94" s="312">
        <f>IFERROR(INDEX(Data!CP$9:CP$1273,MATCH($M94,Data!$K$9:$K$1273,0)),"")</f>
        <v/>
      </c>
      <c r="AU94" s="312">
        <f>IFERROR(INDEX(Data!CQ$9:CQ$1273,MATCH($M94,Data!$K$9:$K$1273,0)),"")</f>
        <v/>
      </c>
      <c r="AV94" s="312">
        <f>IFERROR(INDEX(Data!CR$9:CR$1273,MATCH($M94,Data!$K$9:$K$1273,0)),"")</f>
        <v/>
      </c>
      <c r="AW94" s="312">
        <f>IFERROR(INDEX(Data!CS$9:CS$1273,MATCH($M94,Data!$K$9:$K$1273,0)),"")</f>
        <v/>
      </c>
      <c r="AX94" s="312">
        <f>IFERROR(INDEX(Data!CT$9:CT$1273,MATCH($M94,Data!$K$9:$K$1273,0)),"")</f>
        <v/>
      </c>
      <c r="AY94" s="312">
        <f>IFERROR(INDEX(Data!CU$9:CU$1273,MATCH($M94,Data!$K$9:$K$1273,0)),"")</f>
        <v/>
      </c>
      <c r="AZ94" s="312">
        <f>IFERROR(INDEX(Data!CV$9:CV$1273,MATCH($M94,Data!$K$9:$K$1273,0)),"")</f>
        <v/>
      </c>
      <c r="BA94" s="312">
        <f>IFERROR(INDEX(Data!CX$9:CX$1273,MATCH($M94,Data!$K$9:$K$1273,0)),"")</f>
        <v/>
      </c>
      <c r="BB94" s="312">
        <f>IFERROR(INDEX(Data!CY$9:CY$1273,MATCH($M94,Data!$K$9:$K$1273,0)),"")</f>
        <v/>
      </c>
      <c r="BC94" s="312">
        <f>IFERROR(INDEX(Data!CZ$9:CZ$1273,MATCH($M94,Data!$K$9:$K$1273,0)),"")</f>
        <v/>
      </c>
      <c r="BD94" s="312">
        <f>IFERROR(INDEX(Data!DA$9:DA$1273,MATCH($M94,Data!$K$9:$K$1273,0)),"")</f>
        <v/>
      </c>
      <c r="BE94" s="312">
        <f>IFERROR(INDEX(Data!DB$9:DB$1273,MATCH($M94,Data!$K$9:$K$1273,0)),"")</f>
        <v/>
      </c>
      <c r="BF94" s="312">
        <f>IFERROR(INDEX(Data!DC$9:DC$1273,MATCH($M94,Data!$K$9:$K$1273,0)),"")</f>
        <v/>
      </c>
      <c r="BG94" s="312">
        <f>IFERROR(INDEX(Data!DD$9:DD$1273,MATCH($M94,Data!$K$9:$K$1273,0)),"")</f>
        <v/>
      </c>
      <c r="BH94" s="312">
        <f>IFERROR(INDEX(Data!DE$9:DE$1273,MATCH($M94,Data!$K$9:$K$1273,0)),"")</f>
        <v/>
      </c>
      <c r="BI94" s="312">
        <f>IFERROR(INDEX(Data!DF$9:DF$1273,MATCH($M94,Data!$K$9:$K$1273,0)),"")</f>
        <v/>
      </c>
      <c r="BJ94" s="312">
        <f>IFERROR(INDEX(Data!DG$9:DG$1273,MATCH($M94,Data!$K$9:$K$1273,0)),"")</f>
        <v/>
      </c>
      <c r="BK94" s="312">
        <f>IFERROR(INDEX(Data!DH$9:DH$1273,MATCH($M94,Data!$K$9:$K$1273,0)),"")</f>
        <v/>
      </c>
      <c r="BL94" s="312">
        <f>IFERROR(INDEX(Data!DI$9:DI$1273,MATCH($M94,Data!$K$9:$K$1273,0)),"")</f>
        <v/>
      </c>
      <c r="BM94" s="312">
        <f>IFERROR(INDEX(Data!DJ$9:DJ$1273,MATCH($M94,Data!$K$9:$K$1273,0)),"")</f>
        <v/>
      </c>
      <c r="BN94" s="312">
        <f>IFERROR(INDEX(Data!DK$9:DK$1273,MATCH($M94,Data!$K$9:$K$1273,0)),"")</f>
        <v/>
      </c>
      <c r="BO94" s="312">
        <f>IFERROR(INDEX(Data!DL$9:DL$1273,MATCH($M94,Data!$K$9:$K$1273,0)),"")</f>
        <v/>
      </c>
      <c r="BP94" s="331">
        <f>IFERROR(IF(BK94=0,"-",BK94),"")</f>
        <v/>
      </c>
      <c r="BQ94" s="312">
        <f>IFERROR(IF(BP94-K94&gt;0,TRUE,FALSE)," ")</f>
        <v/>
      </c>
      <c r="BR94" s="312">
        <f>_xlfn.CONCAT(E94,F94,H94,G94)</f>
        <v/>
      </c>
      <c r="BS94" s="312">
        <f>IFERROR(INDEX(Data!$DO$9:$DO$1273,MATCH('Your recommendation'!BR94,Data!$DN$9:$DN$1273,0)),"")</f>
        <v/>
      </c>
    </row>
    <row r="95" ht="15.6" customFormat="1" customHeight="1" s="138">
      <c r="B95" s="309">
        <f>IF(C95&gt;0,B94+1,"")</f>
        <v/>
      </c>
      <c r="C95" s="310" t="n"/>
      <c r="D95" s="312">
        <f>IFERROR(INDEX(Data!BR$9:BR$1273,MATCH($M95,Data!$K$9:$K$1273,0)),"")</f>
        <v/>
      </c>
      <c r="E95" s="312">
        <f>IFERROR(INDEX(Data!BS$9:BS$1273,MATCH($M95,Data!$K$9:$K$1273,0)),"")</f>
        <v/>
      </c>
      <c r="F95" s="312">
        <f>IFERROR(INDEX(Data!DM$9:DM$1273,MATCH($M95,Data!$K$9:$K$1273,0)),"")</f>
        <v/>
      </c>
      <c r="G95" s="312">
        <f>IFERROR(INDEX(Data!BV$9:BV$1273,MATCH($M95,Data!$K$9:$K$1273,0)),"")</f>
        <v/>
      </c>
      <c r="H95" s="312">
        <f>IFERROR(INDEX(Data!BW$9:BW$1273,MATCH($M95,Data!$K$9:$K$1273,0)),"")</f>
        <v/>
      </c>
      <c r="I95" s="312">
        <f>IFERROR(INDEX(Data!BX$9:BX$1273,MATCH($M95,Data!$K$9:$K$1273,0)),"")</f>
        <v/>
      </c>
      <c r="J95" s="312">
        <f>IFERROR(INDEX(Data!CB$9:CB$1273,MATCH($M95,Data!$K$9:$K$1273,0)),"")</f>
        <v/>
      </c>
      <c r="K95" s="329">
        <f>IFERROR(HYPERLINK(BM95,BC95),"-")</f>
        <v/>
      </c>
      <c r="L95" s="330">
        <f>IFERROR(IF(BB95=0,"-",BB95)," ")</f>
        <v/>
      </c>
      <c r="M95" s="311" t="n"/>
      <c r="N95" s="311">
        <f>IFERROR(INDEX(Data!L$9:L$1273,MATCH($M95,Data!$K$9:$K$1273,0)),"")</f>
        <v/>
      </c>
      <c r="O95" s="311">
        <f>IFERROR(INDEX(Data!M$9:M$1273,MATCH($M95,Data!$K$9:$K$1273,0)),"")</f>
        <v/>
      </c>
      <c r="P95" s="311">
        <f>IFERROR(INDEX(Data!N$9:N$1273,MATCH($M95,Data!$K$9:$K$1273,0)),"")</f>
        <v/>
      </c>
      <c r="Q95" s="311">
        <f>IFERROR(INDEX(Data!O$9:O$1273,MATCH($M95,Data!$K$9:$K$1273,0)),"")</f>
        <v/>
      </c>
      <c r="R95" s="311">
        <f>IFERROR(INDEX(Data!P$9:P$1273,MATCH($M95,Data!$K$9:$K$1273,0)),"")</f>
        <v/>
      </c>
      <c r="S95" s="311">
        <f>IFERROR(INDEX(Data!S$9:S$1273,MATCH($M95,Data!$K$9:$K$1273,0)),"")</f>
        <v/>
      </c>
      <c r="T95" s="311">
        <f>IFERROR(INDEX(Data!T$9:T$1273,MATCH($M95,Data!$K$9:$K$1273,0)),"")</f>
        <v/>
      </c>
      <c r="U95" s="311">
        <f>IFERROR(INDEX(Data!U$9:U$1273,MATCH($M95,Data!$K$9:$K$1273,0)),"")</f>
        <v/>
      </c>
      <c r="V95" s="311">
        <f>IFERROR(INDEX(Data!V$9:V$1273,MATCH($M95,Data!$K$9:$K$1273,0)),"")</f>
        <v/>
      </c>
      <c r="W95" s="311">
        <f>IFERROR(INDEX(Data!W$9:W$1273,MATCH($M95,Data!$K$9:$K$1273,0)),"")</f>
        <v/>
      </c>
      <c r="X95" s="311">
        <f>IFERROR(INDEX(Data!AJ$9:AJ$1273,MATCH($M95,Data!$K$9:$K$1273,0)),"")</f>
        <v/>
      </c>
      <c r="Y95" s="311">
        <f>IFERROR(INDEX(Data!AK$9:AK$1273,MATCH($M95,Data!$K$9:$K$1273,0)),"")</f>
        <v/>
      </c>
      <c r="Z95" s="311">
        <f>IFERROR(INDEX(Data!AL$9:AL$1273,MATCH($M95,Data!$K$9:$K$1273,0)),"")</f>
        <v/>
      </c>
      <c r="AA95" s="311">
        <f>IFERROR(INDEX(Data!AM$9:AM$1273,MATCH($M95,Data!$K$9:$K$1273,0)),"")</f>
        <v/>
      </c>
      <c r="AB95" s="311">
        <f>IFERROR(INDEX(Data!AN$9:AN$1273,MATCH($M95,Data!$K$9:$K$1273,0)),"")</f>
        <v/>
      </c>
      <c r="AC95" s="312">
        <f>IFERROR(INDEX(Data!BY$9:BY$1273,MATCH($M95,Data!$K$9:$K$1273,0)),"")</f>
        <v/>
      </c>
      <c r="AD95" s="312">
        <f>IFERROR(INDEX(Data!BZ$9:BZ$1273,MATCH($M95,Data!$K$9:$K$1273,0)),"")</f>
        <v/>
      </c>
      <c r="AE95" s="312">
        <f>IFERROR(INDEX(Data!CA$9:CA$1273,MATCH($M95,Data!$K$9:$K$1273,0)),"")</f>
        <v/>
      </c>
      <c r="AF95" s="312">
        <f>IFERROR(INDEX(Data!CB$9:CB$1273,MATCH($M95,Data!$K$9:$K$1273,0)),"")</f>
        <v/>
      </c>
      <c r="AG95" s="312">
        <f>IFERROR(INDEX(Data!CC$9:CC$1273,MATCH($M95,Data!$K$9:$K$1273,0)),"")</f>
        <v/>
      </c>
      <c r="AH95" s="312">
        <f>IFERROR(INDEX(Data!CD$9:CD$1273,MATCH($M95,Data!$K$9:$K$1273,0)),"")</f>
        <v/>
      </c>
      <c r="AI95" s="312">
        <f>IFERROR(INDEX(Data!CE$9:CE$1273,MATCH($M95,Data!$K$9:$K$1273,0)),"")</f>
        <v/>
      </c>
      <c r="AJ95" s="312">
        <f>IFERROR(INDEX(Data!CF$9:CF$1273,MATCH($M95,Data!$K$9:$K$1273,0)),"")</f>
        <v/>
      </c>
      <c r="AK95" s="312">
        <f>IFERROR(INDEX(Data!CG$9:CG$1273,MATCH($M95,Data!$K$9:$K$1273,0)),"")</f>
        <v/>
      </c>
      <c r="AL95" s="312">
        <f>IFERROR(INDEX(Data!CH$9:CH$1273,MATCH($M95,Data!$K$9:$K$1273,0)),"")</f>
        <v/>
      </c>
      <c r="AM95" s="312">
        <f>IFERROR(INDEX(Data!CI$9:CI$1273,MATCH($M95,Data!$K$9:$K$1273,0)),"")</f>
        <v/>
      </c>
      <c r="AN95" s="312">
        <f>IFERROR(INDEX(Data!CJ$9:CJ$1273,MATCH($M95,Data!$K$9:$K$1273,0)),"")</f>
        <v/>
      </c>
      <c r="AO95" s="312">
        <f>IFERROR(INDEX(Data!CK$9:CK$1273,MATCH($M95,Data!$K$9:$K$1273,0)),"")</f>
        <v/>
      </c>
      <c r="AP95" s="312">
        <f>IFERROR(INDEX(Data!CL$9:CL$1273,MATCH($M95,Data!$K$9:$K$1273,0)),"")</f>
        <v/>
      </c>
      <c r="AQ95" s="312">
        <f>IFERROR(INDEX(Data!CM$9:CM$1273,MATCH($M95,Data!$K$9:$K$1273,0)),"")</f>
        <v/>
      </c>
      <c r="AR95" s="312">
        <f>IFERROR(INDEX(Data!CN$9:CN$1273,MATCH($M95,Data!$K$9:$K$1273,0)),"")</f>
        <v/>
      </c>
      <c r="AS95" s="312">
        <f>IFERROR(INDEX(Data!CO$9:CO$1273,MATCH($M95,Data!$K$9:$K$1273,0)),"")</f>
        <v/>
      </c>
      <c r="AT95" s="312">
        <f>IFERROR(INDEX(Data!CP$9:CP$1273,MATCH($M95,Data!$K$9:$K$1273,0)),"")</f>
        <v/>
      </c>
      <c r="AU95" s="312">
        <f>IFERROR(INDEX(Data!CQ$9:CQ$1273,MATCH($M95,Data!$K$9:$K$1273,0)),"")</f>
        <v/>
      </c>
      <c r="AV95" s="312">
        <f>IFERROR(INDEX(Data!CR$9:CR$1273,MATCH($M95,Data!$K$9:$K$1273,0)),"")</f>
        <v/>
      </c>
      <c r="AW95" s="312">
        <f>IFERROR(INDEX(Data!CS$9:CS$1273,MATCH($M95,Data!$K$9:$K$1273,0)),"")</f>
        <v/>
      </c>
      <c r="AX95" s="312">
        <f>IFERROR(INDEX(Data!CT$9:CT$1273,MATCH($M95,Data!$K$9:$K$1273,0)),"")</f>
        <v/>
      </c>
      <c r="AY95" s="312">
        <f>IFERROR(INDEX(Data!CU$9:CU$1273,MATCH($M95,Data!$K$9:$K$1273,0)),"")</f>
        <v/>
      </c>
      <c r="AZ95" s="312">
        <f>IFERROR(INDEX(Data!CV$9:CV$1273,MATCH($M95,Data!$K$9:$K$1273,0)),"")</f>
        <v/>
      </c>
      <c r="BA95" s="312">
        <f>IFERROR(INDEX(Data!CX$9:CX$1273,MATCH($M95,Data!$K$9:$K$1273,0)),"")</f>
        <v/>
      </c>
      <c r="BB95" s="312">
        <f>IFERROR(INDEX(Data!CY$9:CY$1273,MATCH($M95,Data!$K$9:$K$1273,0)),"")</f>
        <v/>
      </c>
      <c r="BC95" s="312">
        <f>IFERROR(INDEX(Data!CZ$9:CZ$1273,MATCH($M95,Data!$K$9:$K$1273,0)),"")</f>
        <v/>
      </c>
      <c r="BD95" s="312">
        <f>IFERROR(INDEX(Data!DA$9:DA$1273,MATCH($M95,Data!$K$9:$K$1273,0)),"")</f>
        <v/>
      </c>
      <c r="BE95" s="312">
        <f>IFERROR(INDEX(Data!DB$9:DB$1273,MATCH($M95,Data!$K$9:$K$1273,0)),"")</f>
        <v/>
      </c>
      <c r="BF95" s="312">
        <f>IFERROR(INDEX(Data!DC$9:DC$1273,MATCH($M95,Data!$K$9:$K$1273,0)),"")</f>
        <v/>
      </c>
      <c r="BG95" s="312">
        <f>IFERROR(INDEX(Data!DD$9:DD$1273,MATCH($M95,Data!$K$9:$K$1273,0)),"")</f>
        <v/>
      </c>
      <c r="BH95" s="312">
        <f>IFERROR(INDEX(Data!DE$9:DE$1273,MATCH($M95,Data!$K$9:$K$1273,0)),"")</f>
        <v/>
      </c>
      <c r="BI95" s="312">
        <f>IFERROR(INDEX(Data!DF$9:DF$1273,MATCH($M95,Data!$K$9:$K$1273,0)),"")</f>
        <v/>
      </c>
      <c r="BJ95" s="312">
        <f>IFERROR(INDEX(Data!DG$9:DG$1273,MATCH($M95,Data!$K$9:$K$1273,0)),"")</f>
        <v/>
      </c>
      <c r="BK95" s="312">
        <f>IFERROR(INDEX(Data!DH$9:DH$1273,MATCH($M95,Data!$K$9:$K$1273,0)),"")</f>
        <v/>
      </c>
      <c r="BL95" s="312">
        <f>IFERROR(INDEX(Data!DI$9:DI$1273,MATCH($M95,Data!$K$9:$K$1273,0)),"")</f>
        <v/>
      </c>
      <c r="BM95" s="312">
        <f>IFERROR(INDEX(Data!DJ$9:DJ$1273,MATCH($M95,Data!$K$9:$K$1273,0)),"")</f>
        <v/>
      </c>
      <c r="BN95" s="312">
        <f>IFERROR(INDEX(Data!DK$9:DK$1273,MATCH($M95,Data!$K$9:$K$1273,0)),"")</f>
        <v/>
      </c>
      <c r="BO95" s="312">
        <f>IFERROR(INDEX(Data!DL$9:DL$1273,MATCH($M95,Data!$K$9:$K$1273,0)),"")</f>
        <v/>
      </c>
      <c r="BP95" s="331">
        <f>IFERROR(IF(BK95=0,"-",BK95),"")</f>
        <v/>
      </c>
      <c r="BQ95" s="312">
        <f>IFERROR(IF(BP95-K95&gt;0,TRUE,FALSE)," ")</f>
        <v/>
      </c>
      <c r="BR95" s="312">
        <f>_xlfn.CONCAT(E95,F95,H95,G95)</f>
        <v/>
      </c>
      <c r="BS95" s="312">
        <f>IFERROR(INDEX(Data!$DO$9:$DO$1273,MATCH('Your recommendation'!BR95,Data!$DN$9:$DN$1273,0)),"")</f>
        <v/>
      </c>
    </row>
    <row r="96" ht="15.6" customFormat="1" customHeight="1" s="138">
      <c r="B96" s="309">
        <f>IF(C96&gt;0,B95+1,"")</f>
        <v/>
      </c>
      <c r="C96" s="310" t="n"/>
      <c r="D96" s="312">
        <f>IFERROR(INDEX(Data!BR$9:BR$1273,MATCH($M96,Data!$K$9:$K$1273,0)),"")</f>
        <v/>
      </c>
      <c r="E96" s="312">
        <f>IFERROR(INDEX(Data!BS$9:BS$1273,MATCH($M96,Data!$K$9:$K$1273,0)),"")</f>
        <v/>
      </c>
      <c r="F96" s="312">
        <f>IFERROR(INDEX(Data!DM$9:DM$1273,MATCH($M96,Data!$K$9:$K$1273,0)),"")</f>
        <v/>
      </c>
      <c r="G96" s="312">
        <f>IFERROR(INDEX(Data!BV$9:BV$1273,MATCH($M96,Data!$K$9:$K$1273,0)),"")</f>
        <v/>
      </c>
      <c r="H96" s="312">
        <f>IFERROR(INDEX(Data!BW$9:BW$1273,MATCH($M96,Data!$K$9:$K$1273,0)),"")</f>
        <v/>
      </c>
      <c r="I96" s="312">
        <f>IFERROR(INDEX(Data!BX$9:BX$1273,MATCH($M96,Data!$K$9:$K$1273,0)),"")</f>
        <v/>
      </c>
      <c r="J96" s="312">
        <f>IFERROR(INDEX(Data!CB$9:CB$1273,MATCH($M96,Data!$K$9:$K$1273,0)),"")</f>
        <v/>
      </c>
      <c r="K96" s="329">
        <f>IFERROR(HYPERLINK(BM96,BC96),"-")</f>
        <v/>
      </c>
      <c r="L96" s="330">
        <f>IFERROR(IF(BB96=0,"-",BB96)," ")</f>
        <v/>
      </c>
      <c r="M96" s="311" t="n"/>
      <c r="N96" s="311">
        <f>IFERROR(INDEX(Data!L$9:L$1273,MATCH($M96,Data!$K$9:$K$1273,0)),"")</f>
        <v/>
      </c>
      <c r="O96" s="311">
        <f>IFERROR(INDEX(Data!M$9:M$1273,MATCH($M96,Data!$K$9:$K$1273,0)),"")</f>
        <v/>
      </c>
      <c r="P96" s="311">
        <f>IFERROR(INDEX(Data!N$9:N$1273,MATCH($M96,Data!$K$9:$K$1273,0)),"")</f>
        <v/>
      </c>
      <c r="Q96" s="311">
        <f>IFERROR(INDEX(Data!O$9:O$1273,MATCH($M96,Data!$K$9:$K$1273,0)),"")</f>
        <v/>
      </c>
      <c r="R96" s="311">
        <f>IFERROR(INDEX(Data!P$9:P$1273,MATCH($M96,Data!$K$9:$K$1273,0)),"")</f>
        <v/>
      </c>
      <c r="S96" s="311">
        <f>IFERROR(INDEX(Data!S$9:S$1273,MATCH($M96,Data!$K$9:$K$1273,0)),"")</f>
        <v/>
      </c>
      <c r="T96" s="311">
        <f>IFERROR(INDEX(Data!T$9:T$1273,MATCH($M96,Data!$K$9:$K$1273,0)),"")</f>
        <v/>
      </c>
      <c r="U96" s="311">
        <f>IFERROR(INDEX(Data!U$9:U$1273,MATCH($M96,Data!$K$9:$K$1273,0)),"")</f>
        <v/>
      </c>
      <c r="V96" s="311">
        <f>IFERROR(INDEX(Data!V$9:V$1273,MATCH($M96,Data!$K$9:$K$1273,0)),"")</f>
        <v/>
      </c>
      <c r="W96" s="311">
        <f>IFERROR(INDEX(Data!W$9:W$1273,MATCH($M96,Data!$K$9:$K$1273,0)),"")</f>
        <v/>
      </c>
      <c r="X96" s="311">
        <f>IFERROR(INDEX(Data!AJ$9:AJ$1273,MATCH($M96,Data!$K$9:$K$1273,0)),"")</f>
        <v/>
      </c>
      <c r="Y96" s="311">
        <f>IFERROR(INDEX(Data!AK$9:AK$1273,MATCH($M96,Data!$K$9:$K$1273,0)),"")</f>
        <v/>
      </c>
      <c r="Z96" s="311">
        <f>IFERROR(INDEX(Data!AL$9:AL$1273,MATCH($M96,Data!$K$9:$K$1273,0)),"")</f>
        <v/>
      </c>
      <c r="AA96" s="311">
        <f>IFERROR(INDEX(Data!AM$9:AM$1273,MATCH($M96,Data!$K$9:$K$1273,0)),"")</f>
        <v/>
      </c>
      <c r="AB96" s="311">
        <f>IFERROR(INDEX(Data!AN$9:AN$1273,MATCH($M96,Data!$K$9:$K$1273,0)),"")</f>
        <v/>
      </c>
      <c r="AC96" s="312">
        <f>IFERROR(INDEX(Data!BY$9:BY$1273,MATCH($M96,Data!$K$9:$K$1273,0)),"")</f>
        <v/>
      </c>
      <c r="AD96" s="312">
        <f>IFERROR(INDEX(Data!BZ$9:BZ$1273,MATCH($M96,Data!$K$9:$K$1273,0)),"")</f>
        <v/>
      </c>
      <c r="AE96" s="312">
        <f>IFERROR(INDEX(Data!CA$9:CA$1273,MATCH($M96,Data!$K$9:$K$1273,0)),"")</f>
        <v/>
      </c>
      <c r="AF96" s="312">
        <f>IFERROR(INDEX(Data!CB$9:CB$1273,MATCH($M96,Data!$K$9:$K$1273,0)),"")</f>
        <v/>
      </c>
      <c r="AG96" s="312">
        <f>IFERROR(INDEX(Data!CC$9:CC$1273,MATCH($M96,Data!$K$9:$K$1273,0)),"")</f>
        <v/>
      </c>
      <c r="AH96" s="312">
        <f>IFERROR(INDEX(Data!CD$9:CD$1273,MATCH($M96,Data!$K$9:$K$1273,0)),"")</f>
        <v/>
      </c>
      <c r="AI96" s="312">
        <f>IFERROR(INDEX(Data!CE$9:CE$1273,MATCH($M96,Data!$K$9:$K$1273,0)),"")</f>
        <v/>
      </c>
      <c r="AJ96" s="312">
        <f>IFERROR(INDEX(Data!CF$9:CF$1273,MATCH($M96,Data!$K$9:$K$1273,0)),"")</f>
        <v/>
      </c>
      <c r="AK96" s="312">
        <f>IFERROR(INDEX(Data!CG$9:CG$1273,MATCH($M96,Data!$K$9:$K$1273,0)),"")</f>
        <v/>
      </c>
      <c r="AL96" s="312">
        <f>IFERROR(INDEX(Data!CH$9:CH$1273,MATCH($M96,Data!$K$9:$K$1273,0)),"")</f>
        <v/>
      </c>
      <c r="AM96" s="312">
        <f>IFERROR(INDEX(Data!CI$9:CI$1273,MATCH($M96,Data!$K$9:$K$1273,0)),"")</f>
        <v/>
      </c>
      <c r="AN96" s="312">
        <f>IFERROR(INDEX(Data!CJ$9:CJ$1273,MATCH($M96,Data!$K$9:$K$1273,0)),"")</f>
        <v/>
      </c>
      <c r="AO96" s="312">
        <f>IFERROR(INDEX(Data!CK$9:CK$1273,MATCH($M96,Data!$K$9:$K$1273,0)),"")</f>
        <v/>
      </c>
      <c r="AP96" s="312">
        <f>IFERROR(INDEX(Data!CL$9:CL$1273,MATCH($M96,Data!$K$9:$K$1273,0)),"")</f>
        <v/>
      </c>
      <c r="AQ96" s="312">
        <f>IFERROR(INDEX(Data!CM$9:CM$1273,MATCH($M96,Data!$K$9:$K$1273,0)),"")</f>
        <v/>
      </c>
      <c r="AR96" s="312">
        <f>IFERROR(INDEX(Data!CN$9:CN$1273,MATCH($M96,Data!$K$9:$K$1273,0)),"")</f>
        <v/>
      </c>
      <c r="AS96" s="312">
        <f>IFERROR(INDEX(Data!CO$9:CO$1273,MATCH($M96,Data!$K$9:$K$1273,0)),"")</f>
        <v/>
      </c>
      <c r="AT96" s="312">
        <f>IFERROR(INDEX(Data!CP$9:CP$1273,MATCH($M96,Data!$K$9:$K$1273,0)),"")</f>
        <v/>
      </c>
      <c r="AU96" s="312">
        <f>IFERROR(INDEX(Data!CQ$9:CQ$1273,MATCH($M96,Data!$K$9:$K$1273,0)),"")</f>
        <v/>
      </c>
      <c r="AV96" s="312">
        <f>IFERROR(INDEX(Data!CR$9:CR$1273,MATCH($M96,Data!$K$9:$K$1273,0)),"")</f>
        <v/>
      </c>
      <c r="AW96" s="312">
        <f>IFERROR(INDEX(Data!CS$9:CS$1273,MATCH($M96,Data!$K$9:$K$1273,0)),"")</f>
        <v/>
      </c>
      <c r="AX96" s="312">
        <f>IFERROR(INDEX(Data!CT$9:CT$1273,MATCH($M96,Data!$K$9:$K$1273,0)),"")</f>
        <v/>
      </c>
      <c r="AY96" s="312">
        <f>IFERROR(INDEX(Data!CU$9:CU$1273,MATCH($M96,Data!$K$9:$K$1273,0)),"")</f>
        <v/>
      </c>
      <c r="AZ96" s="312">
        <f>IFERROR(INDEX(Data!CV$9:CV$1273,MATCH($M96,Data!$K$9:$K$1273,0)),"")</f>
        <v/>
      </c>
      <c r="BA96" s="312">
        <f>IFERROR(INDEX(Data!CX$9:CX$1273,MATCH($M96,Data!$K$9:$K$1273,0)),"")</f>
        <v/>
      </c>
      <c r="BB96" s="312">
        <f>IFERROR(INDEX(Data!CY$9:CY$1273,MATCH($M96,Data!$K$9:$K$1273,0)),"")</f>
        <v/>
      </c>
      <c r="BC96" s="312">
        <f>IFERROR(INDEX(Data!CZ$9:CZ$1273,MATCH($M96,Data!$K$9:$K$1273,0)),"")</f>
        <v/>
      </c>
      <c r="BD96" s="312">
        <f>IFERROR(INDEX(Data!DA$9:DA$1273,MATCH($M96,Data!$K$9:$K$1273,0)),"")</f>
        <v/>
      </c>
      <c r="BE96" s="312">
        <f>IFERROR(INDEX(Data!DB$9:DB$1273,MATCH($M96,Data!$K$9:$K$1273,0)),"")</f>
        <v/>
      </c>
      <c r="BF96" s="312">
        <f>IFERROR(INDEX(Data!DC$9:DC$1273,MATCH($M96,Data!$K$9:$K$1273,0)),"")</f>
        <v/>
      </c>
      <c r="BG96" s="312">
        <f>IFERROR(INDEX(Data!DD$9:DD$1273,MATCH($M96,Data!$K$9:$K$1273,0)),"")</f>
        <v/>
      </c>
      <c r="BH96" s="312">
        <f>IFERROR(INDEX(Data!DE$9:DE$1273,MATCH($M96,Data!$K$9:$K$1273,0)),"")</f>
        <v/>
      </c>
      <c r="BI96" s="312">
        <f>IFERROR(INDEX(Data!DF$9:DF$1273,MATCH($M96,Data!$K$9:$K$1273,0)),"")</f>
        <v/>
      </c>
      <c r="BJ96" s="312">
        <f>IFERROR(INDEX(Data!DG$9:DG$1273,MATCH($M96,Data!$K$9:$K$1273,0)),"")</f>
        <v/>
      </c>
      <c r="BK96" s="312">
        <f>IFERROR(INDEX(Data!DH$9:DH$1273,MATCH($M96,Data!$K$9:$K$1273,0)),"")</f>
        <v/>
      </c>
      <c r="BL96" s="312">
        <f>IFERROR(INDEX(Data!DI$9:DI$1273,MATCH($M96,Data!$K$9:$K$1273,0)),"")</f>
        <v/>
      </c>
      <c r="BM96" s="312">
        <f>IFERROR(INDEX(Data!DJ$9:DJ$1273,MATCH($M96,Data!$K$9:$K$1273,0)),"")</f>
        <v/>
      </c>
      <c r="BN96" s="312">
        <f>IFERROR(INDEX(Data!DK$9:DK$1273,MATCH($M96,Data!$K$9:$K$1273,0)),"")</f>
        <v/>
      </c>
      <c r="BO96" s="312">
        <f>IFERROR(INDEX(Data!DL$9:DL$1273,MATCH($M96,Data!$K$9:$K$1273,0)),"")</f>
        <v/>
      </c>
      <c r="BP96" s="331">
        <f>IFERROR(IF(BK96=0,"-",BK96),"")</f>
        <v/>
      </c>
      <c r="BQ96" s="312">
        <f>IFERROR(IF(BP96-K96&gt;0,TRUE,FALSE)," ")</f>
        <v/>
      </c>
      <c r="BR96" s="312">
        <f>_xlfn.CONCAT(E96,F96,H96,G96)</f>
        <v/>
      </c>
      <c r="BS96" s="312">
        <f>IFERROR(INDEX(Data!$DO$9:$DO$1273,MATCH('Your recommendation'!BR96,Data!$DN$9:$DN$1273,0)),"")</f>
        <v/>
      </c>
    </row>
    <row r="97" ht="15.6" customFormat="1" customHeight="1" s="138">
      <c r="B97" s="309">
        <f>IF(C97&gt;0,B96+1,"")</f>
        <v/>
      </c>
      <c r="C97" s="310" t="n"/>
      <c r="D97" s="312">
        <f>IFERROR(INDEX(Data!BR$9:BR$1273,MATCH($M97,Data!$K$9:$K$1273,0)),"")</f>
        <v/>
      </c>
      <c r="E97" s="312">
        <f>IFERROR(INDEX(Data!BS$9:BS$1273,MATCH($M97,Data!$K$9:$K$1273,0)),"")</f>
        <v/>
      </c>
      <c r="F97" s="312">
        <f>IFERROR(INDEX(Data!DM$9:DM$1273,MATCH($M97,Data!$K$9:$K$1273,0)),"")</f>
        <v/>
      </c>
      <c r="G97" s="312">
        <f>IFERROR(INDEX(Data!BV$9:BV$1273,MATCH($M97,Data!$K$9:$K$1273,0)),"")</f>
        <v/>
      </c>
      <c r="H97" s="312">
        <f>IFERROR(INDEX(Data!BW$9:BW$1273,MATCH($M97,Data!$K$9:$K$1273,0)),"")</f>
        <v/>
      </c>
      <c r="I97" s="312">
        <f>IFERROR(INDEX(Data!BX$9:BX$1273,MATCH($M97,Data!$K$9:$K$1273,0)),"")</f>
        <v/>
      </c>
      <c r="J97" s="312">
        <f>IFERROR(INDEX(Data!CB$9:CB$1273,MATCH($M97,Data!$K$9:$K$1273,0)),"")</f>
        <v/>
      </c>
      <c r="K97" s="329">
        <f>IFERROR(HYPERLINK(BM97,BC97),"-")</f>
        <v/>
      </c>
      <c r="L97" s="330">
        <f>IFERROR(IF(BB97=0,"-",BB97)," ")</f>
        <v/>
      </c>
      <c r="M97" s="311" t="n"/>
      <c r="N97" s="311">
        <f>IFERROR(INDEX(Data!L$9:L$1273,MATCH($M97,Data!$K$9:$K$1273,0)),"")</f>
        <v/>
      </c>
      <c r="O97" s="311">
        <f>IFERROR(INDEX(Data!M$9:M$1273,MATCH($M97,Data!$K$9:$K$1273,0)),"")</f>
        <v/>
      </c>
      <c r="P97" s="311">
        <f>IFERROR(INDEX(Data!N$9:N$1273,MATCH($M97,Data!$K$9:$K$1273,0)),"")</f>
        <v/>
      </c>
      <c r="Q97" s="311">
        <f>IFERROR(INDEX(Data!O$9:O$1273,MATCH($M97,Data!$K$9:$K$1273,0)),"")</f>
        <v/>
      </c>
      <c r="R97" s="311">
        <f>IFERROR(INDEX(Data!P$9:P$1273,MATCH($M97,Data!$K$9:$K$1273,0)),"")</f>
        <v/>
      </c>
      <c r="S97" s="311">
        <f>IFERROR(INDEX(Data!S$9:S$1273,MATCH($M97,Data!$K$9:$K$1273,0)),"")</f>
        <v/>
      </c>
      <c r="T97" s="311">
        <f>IFERROR(INDEX(Data!T$9:T$1273,MATCH($M97,Data!$K$9:$K$1273,0)),"")</f>
        <v/>
      </c>
      <c r="U97" s="311">
        <f>IFERROR(INDEX(Data!U$9:U$1273,MATCH($M97,Data!$K$9:$K$1273,0)),"")</f>
        <v/>
      </c>
      <c r="V97" s="311">
        <f>IFERROR(INDEX(Data!V$9:V$1273,MATCH($M97,Data!$K$9:$K$1273,0)),"")</f>
        <v/>
      </c>
      <c r="W97" s="311">
        <f>IFERROR(INDEX(Data!W$9:W$1273,MATCH($M97,Data!$K$9:$K$1273,0)),"")</f>
        <v/>
      </c>
      <c r="X97" s="311">
        <f>IFERROR(INDEX(Data!AJ$9:AJ$1273,MATCH($M97,Data!$K$9:$K$1273,0)),"")</f>
        <v/>
      </c>
      <c r="Y97" s="311">
        <f>IFERROR(INDEX(Data!AK$9:AK$1273,MATCH($M97,Data!$K$9:$K$1273,0)),"")</f>
        <v/>
      </c>
      <c r="Z97" s="311">
        <f>IFERROR(INDEX(Data!AL$9:AL$1273,MATCH($M97,Data!$K$9:$K$1273,0)),"")</f>
        <v/>
      </c>
      <c r="AA97" s="311">
        <f>IFERROR(INDEX(Data!AM$9:AM$1273,MATCH($M97,Data!$K$9:$K$1273,0)),"")</f>
        <v/>
      </c>
      <c r="AB97" s="311">
        <f>IFERROR(INDEX(Data!AN$9:AN$1273,MATCH($M97,Data!$K$9:$K$1273,0)),"")</f>
        <v/>
      </c>
      <c r="AC97" s="312">
        <f>IFERROR(INDEX(Data!BY$9:BY$1273,MATCH($M97,Data!$K$9:$K$1273,0)),"")</f>
        <v/>
      </c>
      <c r="AD97" s="312">
        <f>IFERROR(INDEX(Data!BZ$9:BZ$1273,MATCH($M97,Data!$K$9:$K$1273,0)),"")</f>
        <v/>
      </c>
      <c r="AE97" s="312">
        <f>IFERROR(INDEX(Data!CA$9:CA$1273,MATCH($M97,Data!$K$9:$K$1273,0)),"")</f>
        <v/>
      </c>
      <c r="AF97" s="312">
        <f>IFERROR(INDEX(Data!CB$9:CB$1273,MATCH($M97,Data!$K$9:$K$1273,0)),"")</f>
        <v/>
      </c>
      <c r="AG97" s="312">
        <f>IFERROR(INDEX(Data!CC$9:CC$1273,MATCH($M97,Data!$K$9:$K$1273,0)),"")</f>
        <v/>
      </c>
      <c r="AH97" s="312">
        <f>IFERROR(INDEX(Data!CD$9:CD$1273,MATCH($M97,Data!$K$9:$K$1273,0)),"")</f>
        <v/>
      </c>
      <c r="AI97" s="312">
        <f>IFERROR(INDEX(Data!CE$9:CE$1273,MATCH($M97,Data!$K$9:$K$1273,0)),"")</f>
        <v/>
      </c>
      <c r="AJ97" s="312">
        <f>IFERROR(INDEX(Data!CF$9:CF$1273,MATCH($M97,Data!$K$9:$K$1273,0)),"")</f>
        <v/>
      </c>
      <c r="AK97" s="312">
        <f>IFERROR(INDEX(Data!CG$9:CG$1273,MATCH($M97,Data!$K$9:$K$1273,0)),"")</f>
        <v/>
      </c>
      <c r="AL97" s="312">
        <f>IFERROR(INDEX(Data!CH$9:CH$1273,MATCH($M97,Data!$K$9:$K$1273,0)),"")</f>
        <v/>
      </c>
      <c r="AM97" s="312">
        <f>IFERROR(INDEX(Data!CI$9:CI$1273,MATCH($M97,Data!$K$9:$K$1273,0)),"")</f>
        <v/>
      </c>
      <c r="AN97" s="312">
        <f>IFERROR(INDEX(Data!CJ$9:CJ$1273,MATCH($M97,Data!$K$9:$K$1273,0)),"")</f>
        <v/>
      </c>
      <c r="AO97" s="312">
        <f>IFERROR(INDEX(Data!CK$9:CK$1273,MATCH($M97,Data!$K$9:$K$1273,0)),"")</f>
        <v/>
      </c>
      <c r="AP97" s="312">
        <f>IFERROR(INDEX(Data!CL$9:CL$1273,MATCH($M97,Data!$K$9:$K$1273,0)),"")</f>
        <v/>
      </c>
      <c r="AQ97" s="312">
        <f>IFERROR(INDEX(Data!CM$9:CM$1273,MATCH($M97,Data!$K$9:$K$1273,0)),"")</f>
        <v/>
      </c>
      <c r="AR97" s="312">
        <f>IFERROR(INDEX(Data!CN$9:CN$1273,MATCH($M97,Data!$K$9:$K$1273,0)),"")</f>
        <v/>
      </c>
      <c r="AS97" s="312">
        <f>IFERROR(INDEX(Data!CO$9:CO$1273,MATCH($M97,Data!$K$9:$K$1273,0)),"")</f>
        <v/>
      </c>
      <c r="AT97" s="312">
        <f>IFERROR(INDEX(Data!CP$9:CP$1273,MATCH($M97,Data!$K$9:$K$1273,0)),"")</f>
        <v/>
      </c>
      <c r="AU97" s="312">
        <f>IFERROR(INDEX(Data!CQ$9:CQ$1273,MATCH($M97,Data!$K$9:$K$1273,0)),"")</f>
        <v/>
      </c>
      <c r="AV97" s="312">
        <f>IFERROR(INDEX(Data!CR$9:CR$1273,MATCH($M97,Data!$K$9:$K$1273,0)),"")</f>
        <v/>
      </c>
      <c r="AW97" s="312">
        <f>IFERROR(INDEX(Data!CS$9:CS$1273,MATCH($M97,Data!$K$9:$K$1273,0)),"")</f>
        <v/>
      </c>
      <c r="AX97" s="312">
        <f>IFERROR(INDEX(Data!CT$9:CT$1273,MATCH($M97,Data!$K$9:$K$1273,0)),"")</f>
        <v/>
      </c>
      <c r="AY97" s="312">
        <f>IFERROR(INDEX(Data!CU$9:CU$1273,MATCH($M97,Data!$K$9:$K$1273,0)),"")</f>
        <v/>
      </c>
      <c r="AZ97" s="312">
        <f>IFERROR(INDEX(Data!CV$9:CV$1273,MATCH($M97,Data!$K$9:$K$1273,0)),"")</f>
        <v/>
      </c>
      <c r="BA97" s="312">
        <f>IFERROR(INDEX(Data!CX$9:CX$1273,MATCH($M97,Data!$K$9:$K$1273,0)),"")</f>
        <v/>
      </c>
      <c r="BB97" s="312">
        <f>IFERROR(INDEX(Data!CY$9:CY$1273,MATCH($M97,Data!$K$9:$K$1273,0)),"")</f>
        <v/>
      </c>
      <c r="BC97" s="312">
        <f>IFERROR(INDEX(Data!CZ$9:CZ$1273,MATCH($M97,Data!$K$9:$K$1273,0)),"")</f>
        <v/>
      </c>
      <c r="BD97" s="312">
        <f>IFERROR(INDEX(Data!DA$9:DA$1273,MATCH($M97,Data!$K$9:$K$1273,0)),"")</f>
        <v/>
      </c>
      <c r="BE97" s="312">
        <f>IFERROR(INDEX(Data!DB$9:DB$1273,MATCH($M97,Data!$K$9:$K$1273,0)),"")</f>
        <v/>
      </c>
      <c r="BF97" s="312">
        <f>IFERROR(INDEX(Data!DC$9:DC$1273,MATCH($M97,Data!$K$9:$K$1273,0)),"")</f>
        <v/>
      </c>
      <c r="BG97" s="312">
        <f>IFERROR(INDEX(Data!DD$9:DD$1273,MATCH($M97,Data!$K$9:$K$1273,0)),"")</f>
        <v/>
      </c>
      <c r="BH97" s="312">
        <f>IFERROR(INDEX(Data!DE$9:DE$1273,MATCH($M97,Data!$K$9:$K$1273,0)),"")</f>
        <v/>
      </c>
      <c r="BI97" s="312">
        <f>IFERROR(INDEX(Data!DF$9:DF$1273,MATCH($M97,Data!$K$9:$K$1273,0)),"")</f>
        <v/>
      </c>
      <c r="BJ97" s="312">
        <f>IFERROR(INDEX(Data!DG$9:DG$1273,MATCH($M97,Data!$K$9:$K$1273,0)),"")</f>
        <v/>
      </c>
      <c r="BK97" s="312">
        <f>IFERROR(INDEX(Data!DH$9:DH$1273,MATCH($M97,Data!$K$9:$K$1273,0)),"")</f>
        <v/>
      </c>
      <c r="BL97" s="312">
        <f>IFERROR(INDEX(Data!DI$9:DI$1273,MATCH($M97,Data!$K$9:$K$1273,0)),"")</f>
        <v/>
      </c>
      <c r="BM97" s="312">
        <f>IFERROR(INDEX(Data!DJ$9:DJ$1273,MATCH($M97,Data!$K$9:$K$1273,0)),"")</f>
        <v/>
      </c>
      <c r="BN97" s="312">
        <f>IFERROR(INDEX(Data!DK$9:DK$1273,MATCH($M97,Data!$K$9:$K$1273,0)),"")</f>
        <v/>
      </c>
      <c r="BO97" s="312">
        <f>IFERROR(INDEX(Data!DL$9:DL$1273,MATCH($M97,Data!$K$9:$K$1273,0)),"")</f>
        <v/>
      </c>
      <c r="BP97" s="331">
        <f>IFERROR(IF(BK97=0,"-",BK97),"")</f>
        <v/>
      </c>
      <c r="BQ97" s="312">
        <f>IFERROR(IF(BP97-K97&gt;0,TRUE,FALSE)," ")</f>
        <v/>
      </c>
      <c r="BR97" s="312">
        <f>_xlfn.CONCAT(E97,F97,H97,G97)</f>
        <v/>
      </c>
      <c r="BS97" s="312">
        <f>IFERROR(INDEX(Data!$DO$9:$DO$1273,MATCH('Your recommendation'!BR97,Data!$DN$9:$DN$1273,0)),"")</f>
        <v/>
      </c>
    </row>
    <row r="98" ht="15.6" customFormat="1" customHeight="1" s="138">
      <c r="B98" s="309">
        <f>IF(C98&gt;0,B97+1,"")</f>
        <v/>
      </c>
      <c r="C98" s="310" t="n"/>
      <c r="D98" s="312">
        <f>IFERROR(INDEX(Data!BR$9:BR$1273,MATCH($M98,Data!$K$9:$K$1273,0)),"")</f>
        <v/>
      </c>
      <c r="E98" s="312">
        <f>IFERROR(INDEX(Data!BS$9:BS$1273,MATCH($M98,Data!$K$9:$K$1273,0)),"")</f>
        <v/>
      </c>
      <c r="F98" s="312">
        <f>IFERROR(INDEX(Data!DM$9:DM$1273,MATCH($M98,Data!$K$9:$K$1273,0)),"")</f>
        <v/>
      </c>
      <c r="G98" s="312">
        <f>IFERROR(INDEX(Data!BV$9:BV$1273,MATCH($M98,Data!$K$9:$K$1273,0)),"")</f>
        <v/>
      </c>
      <c r="H98" s="312">
        <f>IFERROR(INDEX(Data!BW$9:BW$1273,MATCH($M98,Data!$K$9:$K$1273,0)),"")</f>
        <v/>
      </c>
      <c r="I98" s="312">
        <f>IFERROR(INDEX(Data!BX$9:BX$1273,MATCH($M98,Data!$K$9:$K$1273,0)),"")</f>
        <v/>
      </c>
      <c r="J98" s="312">
        <f>IFERROR(INDEX(Data!CB$9:CB$1273,MATCH($M98,Data!$K$9:$K$1273,0)),"")</f>
        <v/>
      </c>
      <c r="K98" s="329">
        <f>IFERROR(HYPERLINK(BM98,BC98),"-")</f>
        <v/>
      </c>
      <c r="L98" s="330">
        <f>IFERROR(IF(BB98=0,"-",BB98)," ")</f>
        <v/>
      </c>
      <c r="M98" s="311" t="n"/>
      <c r="N98" s="311">
        <f>IFERROR(INDEX(Data!L$9:L$1273,MATCH($M98,Data!$K$9:$K$1273,0)),"")</f>
        <v/>
      </c>
      <c r="O98" s="311">
        <f>IFERROR(INDEX(Data!M$9:M$1273,MATCH($M98,Data!$K$9:$K$1273,0)),"")</f>
        <v/>
      </c>
      <c r="P98" s="311">
        <f>IFERROR(INDEX(Data!N$9:N$1273,MATCH($M98,Data!$K$9:$K$1273,0)),"")</f>
        <v/>
      </c>
      <c r="Q98" s="311">
        <f>IFERROR(INDEX(Data!O$9:O$1273,MATCH($M98,Data!$K$9:$K$1273,0)),"")</f>
        <v/>
      </c>
      <c r="R98" s="311">
        <f>IFERROR(INDEX(Data!P$9:P$1273,MATCH($M98,Data!$K$9:$K$1273,0)),"")</f>
        <v/>
      </c>
      <c r="S98" s="311">
        <f>IFERROR(INDEX(Data!S$9:S$1273,MATCH($M98,Data!$K$9:$K$1273,0)),"")</f>
        <v/>
      </c>
      <c r="T98" s="311">
        <f>IFERROR(INDEX(Data!T$9:T$1273,MATCH($M98,Data!$K$9:$K$1273,0)),"")</f>
        <v/>
      </c>
      <c r="U98" s="311">
        <f>IFERROR(INDEX(Data!U$9:U$1273,MATCH($M98,Data!$K$9:$K$1273,0)),"")</f>
        <v/>
      </c>
      <c r="V98" s="311">
        <f>IFERROR(INDEX(Data!V$9:V$1273,MATCH($M98,Data!$K$9:$K$1273,0)),"")</f>
        <v/>
      </c>
      <c r="W98" s="311">
        <f>IFERROR(INDEX(Data!W$9:W$1273,MATCH($M98,Data!$K$9:$K$1273,0)),"")</f>
        <v/>
      </c>
      <c r="X98" s="311">
        <f>IFERROR(INDEX(Data!AJ$9:AJ$1273,MATCH($M98,Data!$K$9:$K$1273,0)),"")</f>
        <v/>
      </c>
      <c r="Y98" s="311">
        <f>IFERROR(INDEX(Data!AK$9:AK$1273,MATCH($M98,Data!$K$9:$K$1273,0)),"")</f>
        <v/>
      </c>
      <c r="Z98" s="311">
        <f>IFERROR(INDEX(Data!AL$9:AL$1273,MATCH($M98,Data!$K$9:$K$1273,0)),"")</f>
        <v/>
      </c>
      <c r="AA98" s="311">
        <f>IFERROR(INDEX(Data!AM$9:AM$1273,MATCH($M98,Data!$K$9:$K$1273,0)),"")</f>
        <v/>
      </c>
      <c r="AB98" s="311">
        <f>IFERROR(INDEX(Data!AN$9:AN$1273,MATCH($M98,Data!$K$9:$K$1273,0)),"")</f>
        <v/>
      </c>
      <c r="AC98" s="312">
        <f>IFERROR(INDEX(Data!BY$9:BY$1273,MATCH($M98,Data!$K$9:$K$1273,0)),"")</f>
        <v/>
      </c>
      <c r="AD98" s="312">
        <f>IFERROR(INDEX(Data!BZ$9:BZ$1273,MATCH($M98,Data!$K$9:$K$1273,0)),"")</f>
        <v/>
      </c>
      <c r="AE98" s="312">
        <f>IFERROR(INDEX(Data!CA$9:CA$1273,MATCH($M98,Data!$K$9:$K$1273,0)),"")</f>
        <v/>
      </c>
      <c r="AF98" s="312">
        <f>IFERROR(INDEX(Data!CB$9:CB$1273,MATCH($M98,Data!$K$9:$K$1273,0)),"")</f>
        <v/>
      </c>
      <c r="AG98" s="312">
        <f>IFERROR(INDEX(Data!CC$9:CC$1273,MATCH($M98,Data!$K$9:$K$1273,0)),"")</f>
        <v/>
      </c>
      <c r="AH98" s="312">
        <f>IFERROR(INDEX(Data!CD$9:CD$1273,MATCH($M98,Data!$K$9:$K$1273,0)),"")</f>
        <v/>
      </c>
      <c r="AI98" s="312">
        <f>IFERROR(INDEX(Data!CE$9:CE$1273,MATCH($M98,Data!$K$9:$K$1273,0)),"")</f>
        <v/>
      </c>
      <c r="AJ98" s="312">
        <f>IFERROR(INDEX(Data!CF$9:CF$1273,MATCH($M98,Data!$K$9:$K$1273,0)),"")</f>
        <v/>
      </c>
      <c r="AK98" s="312">
        <f>IFERROR(INDEX(Data!CG$9:CG$1273,MATCH($M98,Data!$K$9:$K$1273,0)),"")</f>
        <v/>
      </c>
      <c r="AL98" s="312">
        <f>IFERROR(INDEX(Data!CH$9:CH$1273,MATCH($M98,Data!$K$9:$K$1273,0)),"")</f>
        <v/>
      </c>
      <c r="AM98" s="312">
        <f>IFERROR(INDEX(Data!CI$9:CI$1273,MATCH($M98,Data!$K$9:$K$1273,0)),"")</f>
        <v/>
      </c>
      <c r="AN98" s="312">
        <f>IFERROR(INDEX(Data!CJ$9:CJ$1273,MATCH($M98,Data!$K$9:$K$1273,0)),"")</f>
        <v/>
      </c>
      <c r="AO98" s="312">
        <f>IFERROR(INDEX(Data!CK$9:CK$1273,MATCH($M98,Data!$K$9:$K$1273,0)),"")</f>
        <v/>
      </c>
      <c r="AP98" s="312">
        <f>IFERROR(INDEX(Data!CL$9:CL$1273,MATCH($M98,Data!$K$9:$K$1273,0)),"")</f>
        <v/>
      </c>
      <c r="AQ98" s="312">
        <f>IFERROR(INDEX(Data!CM$9:CM$1273,MATCH($M98,Data!$K$9:$K$1273,0)),"")</f>
        <v/>
      </c>
      <c r="AR98" s="312">
        <f>IFERROR(INDEX(Data!CN$9:CN$1273,MATCH($M98,Data!$K$9:$K$1273,0)),"")</f>
        <v/>
      </c>
      <c r="AS98" s="312">
        <f>IFERROR(INDEX(Data!CO$9:CO$1273,MATCH($M98,Data!$K$9:$K$1273,0)),"")</f>
        <v/>
      </c>
      <c r="AT98" s="312">
        <f>IFERROR(INDEX(Data!CP$9:CP$1273,MATCH($M98,Data!$K$9:$K$1273,0)),"")</f>
        <v/>
      </c>
      <c r="AU98" s="312">
        <f>IFERROR(INDEX(Data!CQ$9:CQ$1273,MATCH($M98,Data!$K$9:$K$1273,0)),"")</f>
        <v/>
      </c>
      <c r="AV98" s="312">
        <f>IFERROR(INDEX(Data!CR$9:CR$1273,MATCH($M98,Data!$K$9:$K$1273,0)),"")</f>
        <v/>
      </c>
      <c r="AW98" s="312">
        <f>IFERROR(INDEX(Data!CS$9:CS$1273,MATCH($M98,Data!$K$9:$K$1273,0)),"")</f>
        <v/>
      </c>
      <c r="AX98" s="312">
        <f>IFERROR(INDEX(Data!CT$9:CT$1273,MATCH($M98,Data!$K$9:$K$1273,0)),"")</f>
        <v/>
      </c>
      <c r="AY98" s="312">
        <f>IFERROR(INDEX(Data!CU$9:CU$1273,MATCH($M98,Data!$K$9:$K$1273,0)),"")</f>
        <v/>
      </c>
      <c r="AZ98" s="312">
        <f>IFERROR(INDEX(Data!CV$9:CV$1273,MATCH($M98,Data!$K$9:$K$1273,0)),"")</f>
        <v/>
      </c>
      <c r="BA98" s="312">
        <f>IFERROR(INDEX(Data!CX$9:CX$1273,MATCH($M98,Data!$K$9:$K$1273,0)),"")</f>
        <v/>
      </c>
      <c r="BB98" s="312">
        <f>IFERROR(INDEX(Data!CY$9:CY$1273,MATCH($M98,Data!$K$9:$K$1273,0)),"")</f>
        <v/>
      </c>
      <c r="BC98" s="312">
        <f>IFERROR(INDEX(Data!CZ$9:CZ$1273,MATCH($M98,Data!$K$9:$K$1273,0)),"")</f>
        <v/>
      </c>
      <c r="BD98" s="312">
        <f>IFERROR(INDEX(Data!DA$9:DA$1273,MATCH($M98,Data!$K$9:$K$1273,0)),"")</f>
        <v/>
      </c>
      <c r="BE98" s="312">
        <f>IFERROR(INDEX(Data!DB$9:DB$1273,MATCH($M98,Data!$K$9:$K$1273,0)),"")</f>
        <v/>
      </c>
      <c r="BF98" s="312">
        <f>IFERROR(INDEX(Data!DC$9:DC$1273,MATCH($M98,Data!$K$9:$K$1273,0)),"")</f>
        <v/>
      </c>
      <c r="BG98" s="312">
        <f>IFERROR(INDEX(Data!DD$9:DD$1273,MATCH($M98,Data!$K$9:$K$1273,0)),"")</f>
        <v/>
      </c>
      <c r="BH98" s="312">
        <f>IFERROR(INDEX(Data!DE$9:DE$1273,MATCH($M98,Data!$K$9:$K$1273,0)),"")</f>
        <v/>
      </c>
      <c r="BI98" s="312">
        <f>IFERROR(INDEX(Data!DF$9:DF$1273,MATCH($M98,Data!$K$9:$K$1273,0)),"")</f>
        <v/>
      </c>
      <c r="BJ98" s="312">
        <f>IFERROR(INDEX(Data!DG$9:DG$1273,MATCH($M98,Data!$K$9:$K$1273,0)),"")</f>
        <v/>
      </c>
      <c r="BK98" s="312">
        <f>IFERROR(INDEX(Data!DH$9:DH$1273,MATCH($M98,Data!$K$9:$K$1273,0)),"")</f>
        <v/>
      </c>
      <c r="BL98" s="312">
        <f>IFERROR(INDEX(Data!DI$9:DI$1273,MATCH($M98,Data!$K$9:$K$1273,0)),"")</f>
        <v/>
      </c>
      <c r="BM98" s="312">
        <f>IFERROR(INDEX(Data!DJ$9:DJ$1273,MATCH($M98,Data!$K$9:$K$1273,0)),"")</f>
        <v/>
      </c>
      <c r="BN98" s="312">
        <f>IFERROR(INDEX(Data!DK$9:DK$1273,MATCH($M98,Data!$K$9:$K$1273,0)),"")</f>
        <v/>
      </c>
      <c r="BO98" s="312">
        <f>IFERROR(INDEX(Data!DL$9:DL$1273,MATCH($M98,Data!$K$9:$K$1273,0)),"")</f>
        <v/>
      </c>
      <c r="BP98" s="331">
        <f>IFERROR(IF(BK98=0,"-",BK98),"")</f>
        <v/>
      </c>
      <c r="BQ98" s="312">
        <f>IFERROR(IF(BP98-K98&gt;0,TRUE,FALSE)," ")</f>
        <v/>
      </c>
      <c r="BR98" s="312">
        <f>_xlfn.CONCAT(E98,F98,H98,G98)</f>
        <v/>
      </c>
      <c r="BS98" s="312">
        <f>IFERROR(INDEX(Data!$DO$9:$DO$1273,MATCH('Your recommendation'!BR98,Data!$DN$9:$DN$1273,0)),"")</f>
        <v/>
      </c>
    </row>
    <row r="99" ht="15.6" customFormat="1" customHeight="1" s="138">
      <c r="B99" s="309">
        <f>IF(C99&gt;0,B98+1,"")</f>
        <v/>
      </c>
      <c r="C99" s="310" t="n"/>
      <c r="D99" s="312">
        <f>IFERROR(INDEX(Data!BR$9:BR$1273,MATCH($M99,Data!$K$9:$K$1273,0)),"")</f>
        <v/>
      </c>
      <c r="E99" s="312">
        <f>IFERROR(INDEX(Data!BS$9:BS$1273,MATCH($M99,Data!$K$9:$K$1273,0)),"")</f>
        <v/>
      </c>
      <c r="F99" s="312">
        <f>IFERROR(INDEX(Data!DM$9:DM$1273,MATCH($M99,Data!$K$9:$K$1273,0)),"")</f>
        <v/>
      </c>
      <c r="G99" s="312">
        <f>IFERROR(INDEX(Data!BV$9:BV$1273,MATCH($M99,Data!$K$9:$K$1273,0)),"")</f>
        <v/>
      </c>
      <c r="H99" s="312">
        <f>IFERROR(INDEX(Data!BW$9:BW$1273,MATCH($M99,Data!$K$9:$K$1273,0)),"")</f>
        <v/>
      </c>
      <c r="I99" s="312">
        <f>IFERROR(INDEX(Data!BX$9:BX$1273,MATCH($M99,Data!$K$9:$K$1273,0)),"")</f>
        <v/>
      </c>
      <c r="J99" s="312">
        <f>IFERROR(INDEX(Data!CB$9:CB$1273,MATCH($M99,Data!$K$9:$K$1273,0)),"")</f>
        <v/>
      </c>
      <c r="K99" s="329">
        <f>IFERROR(HYPERLINK(BM99,BC99),"-")</f>
        <v/>
      </c>
      <c r="L99" s="330">
        <f>IFERROR(IF(BB99=0,"-",BB99)," ")</f>
        <v/>
      </c>
      <c r="M99" s="311" t="n"/>
      <c r="N99" s="311" t="n"/>
      <c r="O99" s="311">
        <f>IFERROR(INDEX(Data!M$9:M$1273,MATCH($M99,Data!$K$9:$K$1273,0)),"")</f>
        <v/>
      </c>
      <c r="P99" s="311">
        <f>IFERROR(INDEX(Data!N$9:N$1273,MATCH($M99,Data!$K$9:$K$1273,0)),"")</f>
        <v/>
      </c>
      <c r="Q99" s="311">
        <f>IFERROR(INDEX(Data!O$9:O$1273,MATCH($M99,Data!$K$9:$K$1273,0)),"")</f>
        <v/>
      </c>
      <c r="R99" s="311">
        <f>IFERROR(INDEX(Data!P$9:P$1273,MATCH($M99,Data!$K$9:$K$1273,0)),"")</f>
        <v/>
      </c>
      <c r="S99" s="311">
        <f>IFERROR(INDEX(Data!S$9:S$1273,MATCH($M99,Data!$K$9:$K$1273,0)),"")</f>
        <v/>
      </c>
      <c r="T99" s="311">
        <f>IFERROR(INDEX(Data!T$9:T$1273,MATCH($M99,Data!$K$9:$K$1273,0)),"")</f>
        <v/>
      </c>
      <c r="U99" s="311">
        <f>IFERROR(INDEX(Data!U$9:U$1273,MATCH($M99,Data!$K$9:$K$1273,0)),"")</f>
        <v/>
      </c>
      <c r="V99" s="311">
        <f>IFERROR(INDEX(Data!V$9:V$1273,MATCH($M99,Data!$K$9:$K$1273,0)),"")</f>
        <v/>
      </c>
      <c r="W99" s="311">
        <f>IFERROR(INDEX(Data!W$9:W$1273,MATCH($M99,Data!$K$9:$K$1273,0)),"")</f>
        <v/>
      </c>
      <c r="X99" s="311">
        <f>IFERROR(INDEX(Data!AJ$9:AJ$1273,MATCH($M99,Data!$K$9:$K$1273,0)),"")</f>
        <v/>
      </c>
      <c r="Y99" s="311">
        <f>IFERROR(INDEX(Data!AK$9:AK$1273,MATCH($M99,Data!$K$9:$K$1273,0)),"")</f>
        <v/>
      </c>
      <c r="Z99" s="311">
        <f>IFERROR(INDEX(Data!AL$9:AL$1273,MATCH($M99,Data!$K$9:$K$1273,0)),"")</f>
        <v/>
      </c>
      <c r="AA99" s="311">
        <f>IFERROR(INDEX(Data!AM$9:AM$1273,MATCH($M99,Data!$K$9:$K$1273,0)),"")</f>
        <v/>
      </c>
      <c r="AB99" s="311">
        <f>IFERROR(INDEX(Data!AN$9:AN$1273,MATCH($M99,Data!$K$9:$K$1273,0)),"")</f>
        <v/>
      </c>
      <c r="AC99" s="312">
        <f>IFERROR(INDEX(Data!BY$9:BY$1273,MATCH($M99,Data!$K$9:$K$1273,0)),"")</f>
        <v/>
      </c>
      <c r="AD99" s="312">
        <f>IFERROR(INDEX(Data!BZ$9:BZ$1273,MATCH($M99,Data!$K$9:$K$1273,0)),"")</f>
        <v/>
      </c>
      <c r="AE99" s="312">
        <f>IFERROR(INDEX(Data!CA$9:CA$1273,MATCH($M99,Data!$K$9:$K$1273,0)),"")</f>
        <v/>
      </c>
      <c r="AF99" s="312">
        <f>IFERROR(INDEX(Data!CB$9:CB$1273,MATCH($M99,Data!$K$9:$K$1273,0)),"")</f>
        <v/>
      </c>
      <c r="AG99" s="312">
        <f>IFERROR(INDEX(Data!CC$9:CC$1273,MATCH($M99,Data!$K$9:$K$1273,0)),"")</f>
        <v/>
      </c>
      <c r="AH99" s="312">
        <f>IFERROR(INDEX(Data!CD$9:CD$1273,MATCH($M99,Data!$K$9:$K$1273,0)),"")</f>
        <v/>
      </c>
      <c r="AI99" s="312">
        <f>IFERROR(INDEX(Data!CE$9:CE$1273,MATCH($M99,Data!$K$9:$K$1273,0)),"")</f>
        <v/>
      </c>
      <c r="AJ99" s="312">
        <f>IFERROR(INDEX(Data!CF$9:CF$1273,MATCH($M99,Data!$K$9:$K$1273,0)),"")</f>
        <v/>
      </c>
      <c r="AK99" s="312">
        <f>IFERROR(INDEX(Data!CG$9:CG$1273,MATCH($M99,Data!$K$9:$K$1273,0)),"")</f>
        <v/>
      </c>
      <c r="AL99" s="312">
        <f>IFERROR(INDEX(Data!CH$9:CH$1273,MATCH($M99,Data!$K$9:$K$1273,0)),"")</f>
        <v/>
      </c>
      <c r="AM99" s="312">
        <f>IFERROR(INDEX(Data!CI$9:CI$1273,MATCH($M99,Data!$K$9:$K$1273,0)),"")</f>
        <v/>
      </c>
      <c r="AN99" s="312">
        <f>IFERROR(INDEX(Data!CJ$9:CJ$1273,MATCH($M99,Data!$K$9:$K$1273,0)),"")</f>
        <v/>
      </c>
      <c r="AO99" s="312">
        <f>IFERROR(INDEX(Data!CK$9:CK$1273,MATCH($M99,Data!$K$9:$K$1273,0)),"")</f>
        <v/>
      </c>
      <c r="AP99" s="312">
        <f>IFERROR(INDEX(Data!CL$9:CL$1273,MATCH($M99,Data!$K$9:$K$1273,0)),"")</f>
        <v/>
      </c>
      <c r="AQ99" s="312">
        <f>IFERROR(INDEX(Data!CM$9:CM$1273,MATCH($M99,Data!$K$9:$K$1273,0)),"")</f>
        <v/>
      </c>
      <c r="AR99" s="312">
        <f>IFERROR(INDEX(Data!CN$9:CN$1273,MATCH($M99,Data!$K$9:$K$1273,0)),"")</f>
        <v/>
      </c>
      <c r="AS99" s="312">
        <f>IFERROR(INDEX(Data!CO$9:CO$1273,MATCH($M99,Data!$K$9:$K$1273,0)),"")</f>
        <v/>
      </c>
      <c r="AT99" s="312">
        <f>IFERROR(INDEX(Data!CP$9:CP$1273,MATCH($M99,Data!$K$9:$K$1273,0)),"")</f>
        <v/>
      </c>
      <c r="AU99" s="312">
        <f>IFERROR(INDEX(Data!CQ$9:CQ$1273,MATCH($M99,Data!$K$9:$K$1273,0)),"")</f>
        <v/>
      </c>
      <c r="AV99" s="312">
        <f>IFERROR(INDEX(Data!CR$9:CR$1273,MATCH($M99,Data!$K$9:$K$1273,0)),"")</f>
        <v/>
      </c>
      <c r="AW99" s="312">
        <f>IFERROR(INDEX(Data!CS$9:CS$1273,MATCH($M99,Data!$K$9:$K$1273,0)),"")</f>
        <v/>
      </c>
      <c r="AX99" s="312">
        <f>IFERROR(INDEX(Data!CT$9:CT$1273,MATCH($M99,Data!$K$9:$K$1273,0)),"")</f>
        <v/>
      </c>
      <c r="AY99" s="312">
        <f>IFERROR(INDEX(Data!CU$9:CU$1273,MATCH($M99,Data!$K$9:$K$1273,0)),"")</f>
        <v/>
      </c>
      <c r="AZ99" s="312">
        <f>IFERROR(INDEX(Data!CV$9:CV$1273,MATCH($M99,Data!$K$9:$K$1273,0)),"")</f>
        <v/>
      </c>
      <c r="BA99" s="312">
        <f>IFERROR(INDEX(Data!CX$9:CX$1273,MATCH($M99,Data!$K$9:$K$1273,0)),"")</f>
        <v/>
      </c>
      <c r="BB99" s="312">
        <f>IFERROR(INDEX(Data!CY$9:CY$1273,MATCH($M99,Data!$K$9:$K$1273,0)),"")</f>
        <v/>
      </c>
      <c r="BC99" s="312">
        <f>IFERROR(INDEX(Data!CZ$9:CZ$1273,MATCH($M99,Data!$K$9:$K$1273,0)),"")</f>
        <v/>
      </c>
      <c r="BD99" s="312">
        <f>IFERROR(INDEX(Data!DA$9:DA$1273,MATCH($M99,Data!$K$9:$K$1273,0)),"")</f>
        <v/>
      </c>
      <c r="BE99" s="312">
        <f>IFERROR(INDEX(Data!DB$9:DB$1273,MATCH($M99,Data!$K$9:$K$1273,0)),"")</f>
        <v/>
      </c>
      <c r="BF99" s="312">
        <f>IFERROR(INDEX(Data!DC$9:DC$1273,MATCH($M99,Data!$K$9:$K$1273,0)),"")</f>
        <v/>
      </c>
      <c r="BG99" s="312">
        <f>IFERROR(INDEX(Data!DD$9:DD$1273,MATCH($M99,Data!$K$9:$K$1273,0)),"")</f>
        <v/>
      </c>
      <c r="BH99" s="312">
        <f>IFERROR(INDEX(Data!DE$9:DE$1273,MATCH($M99,Data!$K$9:$K$1273,0)),"")</f>
        <v/>
      </c>
      <c r="BI99" s="312">
        <f>IFERROR(INDEX(Data!DF$9:DF$1273,MATCH($M99,Data!$K$9:$K$1273,0)),"")</f>
        <v/>
      </c>
      <c r="BJ99" s="312">
        <f>IFERROR(INDEX(Data!DG$9:DG$1273,MATCH($M99,Data!$K$9:$K$1273,0)),"")</f>
        <v/>
      </c>
      <c r="BK99" s="312">
        <f>IFERROR(INDEX(Data!DH$9:DH$1273,MATCH($M99,Data!$K$9:$K$1273,0)),"")</f>
        <v/>
      </c>
      <c r="BL99" s="312">
        <f>IFERROR(INDEX(Data!DI$9:DI$1273,MATCH($M99,Data!$K$9:$K$1273,0)),"")</f>
        <v/>
      </c>
      <c r="BM99" s="312">
        <f>IFERROR(INDEX(Data!DJ$9:DJ$1273,MATCH($M99,Data!$K$9:$K$1273,0)),"")</f>
        <v/>
      </c>
      <c r="BN99" s="312">
        <f>IFERROR(INDEX(Data!DK$9:DK$1273,MATCH($M99,Data!$K$9:$K$1273,0)),"")</f>
        <v/>
      </c>
      <c r="BO99" s="312">
        <f>IFERROR(INDEX(Data!DL$9:DL$1273,MATCH($M99,Data!$K$9:$K$1273,0)),"")</f>
        <v/>
      </c>
      <c r="BP99" s="331">
        <f>IFERROR(IF(BK99=0,"-",BK99),"")</f>
        <v/>
      </c>
      <c r="BQ99" s="312">
        <f>IFERROR(IF(BP99-K99&gt;0,TRUE,FALSE)," ")</f>
        <v/>
      </c>
      <c r="BR99" s="312">
        <f>_xlfn.CONCAT(E99,F99,H99,G99)</f>
        <v/>
      </c>
      <c r="BS99" s="312">
        <f>IFERROR(INDEX(Data!$DO$9:$DO$1273,MATCH('Your recommendation'!BR99,Data!$DN$9:$DN$1273,0)),"")</f>
        <v/>
      </c>
    </row>
    <row r="100" ht="15.6" customFormat="1" customHeight="1" s="138">
      <c r="B100" s="309">
        <f>IF(C100&gt;0,B99+1,"")</f>
        <v/>
      </c>
      <c r="C100" s="310" t="n"/>
      <c r="D100" s="312">
        <f>IFERROR(INDEX(Data!BR$9:BR$1273,MATCH($M100,Data!$K$9:$K$1273,0)),"")</f>
        <v/>
      </c>
      <c r="E100" s="312">
        <f>IFERROR(INDEX(Data!BS$9:BS$1273,MATCH($M100,Data!$K$9:$K$1273,0)),"")</f>
        <v/>
      </c>
      <c r="F100" s="312">
        <f>IFERROR(INDEX(Data!DM$9:DM$1273,MATCH($M100,Data!$K$9:$K$1273,0)),"")</f>
        <v/>
      </c>
      <c r="G100" s="312">
        <f>IFERROR(INDEX(Data!BV$9:BV$1273,MATCH($M100,Data!$K$9:$K$1273,0)),"")</f>
        <v/>
      </c>
      <c r="H100" s="312">
        <f>IFERROR(INDEX(Data!BW$9:BW$1273,MATCH($M100,Data!$K$9:$K$1273,0)),"")</f>
        <v/>
      </c>
      <c r="I100" s="312">
        <f>IFERROR(INDEX(Data!BX$9:BX$1273,MATCH($M100,Data!$K$9:$K$1273,0)),"")</f>
        <v/>
      </c>
      <c r="J100" s="312">
        <f>IFERROR(INDEX(Data!CB$9:CB$1273,MATCH($M100,Data!$K$9:$K$1273,0)),"")</f>
        <v/>
      </c>
      <c r="K100" s="329">
        <f>IFERROR(HYPERLINK(BM100,BC100),"-")</f>
        <v/>
      </c>
      <c r="L100" s="330">
        <f>IFERROR(IF(BB100=0,"-",BB100)," ")</f>
        <v/>
      </c>
      <c r="M100" s="311" t="n"/>
      <c r="N100" s="311" t="n"/>
      <c r="O100" s="311">
        <f>IFERROR(INDEX(Data!M$9:M$1273,MATCH($M100,Data!$K$9:$K$1273,0)),"")</f>
        <v/>
      </c>
      <c r="P100" s="311">
        <f>IFERROR(INDEX(Data!N$9:N$1273,MATCH($M100,Data!$K$9:$K$1273,0)),"")</f>
        <v/>
      </c>
      <c r="Q100" s="311">
        <f>IFERROR(INDEX(Data!O$9:O$1273,MATCH($M100,Data!$K$9:$K$1273,0)),"")</f>
        <v/>
      </c>
      <c r="R100" s="311">
        <f>IFERROR(INDEX(Data!P$9:P$1273,MATCH($M100,Data!$K$9:$K$1273,0)),"")</f>
        <v/>
      </c>
      <c r="S100" s="311">
        <f>IFERROR(INDEX(Data!S$9:S$1273,MATCH($M100,Data!$K$9:$K$1273,0)),"")</f>
        <v/>
      </c>
      <c r="T100" s="311">
        <f>IFERROR(INDEX(Data!T$9:T$1273,MATCH($M100,Data!$K$9:$K$1273,0)),"")</f>
        <v/>
      </c>
      <c r="U100" s="311">
        <f>IFERROR(INDEX(Data!U$9:U$1273,MATCH($M100,Data!$K$9:$K$1273,0)),"")</f>
        <v/>
      </c>
      <c r="V100" s="311">
        <f>IFERROR(INDEX(Data!V$9:V$1273,MATCH($M100,Data!$K$9:$K$1273,0)),"")</f>
        <v/>
      </c>
      <c r="W100" s="311">
        <f>IFERROR(INDEX(Data!W$9:W$1273,MATCH($M100,Data!$K$9:$K$1273,0)),"")</f>
        <v/>
      </c>
      <c r="X100" s="311">
        <f>IFERROR(INDEX(Data!AJ$9:AJ$1273,MATCH($M100,Data!$K$9:$K$1273,0)),"")</f>
        <v/>
      </c>
      <c r="Y100" s="311">
        <f>IFERROR(INDEX(Data!AK$9:AK$1273,MATCH($M100,Data!$K$9:$K$1273,0)),"")</f>
        <v/>
      </c>
      <c r="Z100" s="311">
        <f>IFERROR(INDEX(Data!AL$9:AL$1273,MATCH($M100,Data!$K$9:$K$1273,0)),"")</f>
        <v/>
      </c>
      <c r="AA100" s="311">
        <f>IFERROR(INDEX(Data!AM$9:AM$1273,MATCH($M100,Data!$K$9:$K$1273,0)),"")</f>
        <v/>
      </c>
      <c r="AB100" s="311">
        <f>IFERROR(INDEX(Data!AN$9:AN$1273,MATCH($M100,Data!$K$9:$K$1273,0)),"")</f>
        <v/>
      </c>
      <c r="AC100" s="312">
        <f>IFERROR(INDEX(Data!BY$9:BY$1273,MATCH($M100,Data!$K$9:$K$1273,0)),"")</f>
        <v/>
      </c>
      <c r="AD100" s="312">
        <f>IFERROR(INDEX(Data!BZ$9:BZ$1273,MATCH($M100,Data!$K$9:$K$1273,0)),"")</f>
        <v/>
      </c>
      <c r="AE100" s="312">
        <f>IFERROR(INDEX(Data!CA$9:CA$1273,MATCH($M100,Data!$K$9:$K$1273,0)),"")</f>
        <v/>
      </c>
      <c r="AF100" s="312">
        <f>IFERROR(INDEX(Data!CB$9:CB$1273,MATCH($M100,Data!$K$9:$K$1273,0)),"")</f>
        <v/>
      </c>
      <c r="AG100" s="312">
        <f>IFERROR(INDEX(Data!CC$9:CC$1273,MATCH($M100,Data!$K$9:$K$1273,0)),"")</f>
        <v/>
      </c>
      <c r="AH100" s="312">
        <f>IFERROR(INDEX(Data!CD$9:CD$1273,MATCH($M100,Data!$K$9:$K$1273,0)),"")</f>
        <v/>
      </c>
      <c r="AI100" s="312">
        <f>IFERROR(INDEX(Data!CE$9:CE$1273,MATCH($M100,Data!$K$9:$K$1273,0)),"")</f>
        <v/>
      </c>
      <c r="AJ100" s="312">
        <f>IFERROR(INDEX(Data!CF$9:CF$1273,MATCH($M100,Data!$K$9:$K$1273,0)),"")</f>
        <v/>
      </c>
      <c r="AK100" s="312">
        <f>IFERROR(INDEX(Data!CG$9:CG$1273,MATCH($M100,Data!$K$9:$K$1273,0)),"")</f>
        <v/>
      </c>
      <c r="AL100" s="312">
        <f>IFERROR(INDEX(Data!CH$9:CH$1273,MATCH($M100,Data!$K$9:$K$1273,0)),"")</f>
        <v/>
      </c>
      <c r="AM100" s="312">
        <f>IFERROR(INDEX(Data!CI$9:CI$1273,MATCH($M100,Data!$K$9:$K$1273,0)),"")</f>
        <v/>
      </c>
      <c r="AN100" s="312">
        <f>IFERROR(INDEX(Data!CJ$9:CJ$1273,MATCH($M100,Data!$K$9:$K$1273,0)),"")</f>
        <v/>
      </c>
      <c r="AO100" s="312">
        <f>IFERROR(INDEX(Data!CK$9:CK$1273,MATCH($M100,Data!$K$9:$K$1273,0)),"")</f>
        <v/>
      </c>
      <c r="AP100" s="312">
        <f>IFERROR(INDEX(Data!CL$9:CL$1273,MATCH($M100,Data!$K$9:$K$1273,0)),"")</f>
        <v/>
      </c>
      <c r="AQ100" s="312">
        <f>IFERROR(INDEX(Data!CM$9:CM$1273,MATCH($M100,Data!$K$9:$K$1273,0)),"")</f>
        <v/>
      </c>
      <c r="AR100" s="312">
        <f>IFERROR(INDEX(Data!CN$9:CN$1273,MATCH($M100,Data!$K$9:$K$1273,0)),"")</f>
        <v/>
      </c>
      <c r="AS100" s="312">
        <f>IFERROR(INDEX(Data!CO$9:CO$1273,MATCH($M100,Data!$K$9:$K$1273,0)),"")</f>
        <v/>
      </c>
      <c r="AT100" s="312">
        <f>IFERROR(INDEX(Data!CP$9:CP$1273,MATCH($M100,Data!$K$9:$K$1273,0)),"")</f>
        <v/>
      </c>
      <c r="AU100" s="312">
        <f>IFERROR(INDEX(Data!CQ$9:CQ$1273,MATCH($M100,Data!$K$9:$K$1273,0)),"")</f>
        <v/>
      </c>
      <c r="AV100" s="312">
        <f>IFERROR(INDEX(Data!CR$9:CR$1273,MATCH($M100,Data!$K$9:$K$1273,0)),"")</f>
        <v/>
      </c>
      <c r="AW100" s="312">
        <f>IFERROR(INDEX(Data!CS$9:CS$1273,MATCH($M100,Data!$K$9:$K$1273,0)),"")</f>
        <v/>
      </c>
      <c r="AX100" s="312">
        <f>IFERROR(INDEX(Data!CT$9:CT$1273,MATCH($M100,Data!$K$9:$K$1273,0)),"")</f>
        <v/>
      </c>
      <c r="AY100" s="312">
        <f>IFERROR(INDEX(Data!CU$9:CU$1273,MATCH($M100,Data!$K$9:$K$1273,0)),"")</f>
        <v/>
      </c>
      <c r="AZ100" s="312">
        <f>IFERROR(INDEX(Data!CV$9:CV$1273,MATCH($M100,Data!$K$9:$K$1273,0)),"")</f>
        <v/>
      </c>
      <c r="BA100" s="312">
        <f>IFERROR(INDEX(Data!CX$9:CX$1273,MATCH($M100,Data!$K$9:$K$1273,0)),"")</f>
        <v/>
      </c>
      <c r="BB100" s="312">
        <f>IFERROR(INDEX(Data!CY$9:CY$1273,MATCH($M100,Data!$K$9:$K$1273,0)),"")</f>
        <v/>
      </c>
      <c r="BC100" s="312">
        <f>IFERROR(INDEX(Data!CZ$9:CZ$1273,MATCH($M100,Data!$K$9:$K$1273,0)),"")</f>
        <v/>
      </c>
      <c r="BD100" s="312">
        <f>IFERROR(INDEX(Data!DA$9:DA$1273,MATCH($M100,Data!$K$9:$K$1273,0)),"")</f>
        <v/>
      </c>
      <c r="BE100" s="312">
        <f>IFERROR(INDEX(Data!DB$9:DB$1273,MATCH($M100,Data!$K$9:$K$1273,0)),"")</f>
        <v/>
      </c>
      <c r="BF100" s="312">
        <f>IFERROR(INDEX(Data!DC$9:DC$1273,MATCH($M100,Data!$K$9:$K$1273,0)),"")</f>
        <v/>
      </c>
      <c r="BG100" s="312">
        <f>IFERROR(INDEX(Data!DD$9:DD$1273,MATCH($M100,Data!$K$9:$K$1273,0)),"")</f>
        <v/>
      </c>
      <c r="BH100" s="312">
        <f>IFERROR(INDEX(Data!DE$9:DE$1273,MATCH($M100,Data!$K$9:$K$1273,0)),"")</f>
        <v/>
      </c>
      <c r="BI100" s="312">
        <f>IFERROR(INDEX(Data!DF$9:DF$1273,MATCH($M100,Data!$K$9:$K$1273,0)),"")</f>
        <v/>
      </c>
      <c r="BJ100" s="312">
        <f>IFERROR(INDEX(Data!DG$9:DG$1273,MATCH($M100,Data!$K$9:$K$1273,0)),"")</f>
        <v/>
      </c>
      <c r="BK100" s="312">
        <f>IFERROR(INDEX(Data!DH$9:DH$1273,MATCH($M100,Data!$K$9:$K$1273,0)),"")</f>
        <v/>
      </c>
      <c r="BL100" s="312">
        <f>IFERROR(INDEX(Data!DI$9:DI$1273,MATCH($M100,Data!$K$9:$K$1273,0)),"")</f>
        <v/>
      </c>
      <c r="BM100" s="312">
        <f>IFERROR(INDEX(Data!DJ$9:DJ$1273,MATCH($M100,Data!$K$9:$K$1273,0)),"")</f>
        <v/>
      </c>
      <c r="BN100" s="312">
        <f>IFERROR(INDEX(Data!DK$9:DK$1273,MATCH($M100,Data!$K$9:$K$1273,0)),"")</f>
        <v/>
      </c>
      <c r="BO100" s="312">
        <f>IFERROR(INDEX(Data!DL$9:DL$1273,MATCH($M100,Data!$K$9:$K$1273,0)),"")</f>
        <v/>
      </c>
      <c r="BP100" s="331">
        <f>IFERROR(IF(BK100=0,"-",BK100),"")</f>
        <v/>
      </c>
      <c r="BQ100" s="312">
        <f>IFERROR(IF(BP100-K100&gt;0,TRUE,FALSE)," ")</f>
        <v/>
      </c>
      <c r="BR100" s="312">
        <f>_xlfn.CONCAT(E100,F100,H100,G100)</f>
        <v/>
      </c>
      <c r="BS100" s="312">
        <f>IFERROR(INDEX(Data!$DO$9:$DO$1273,MATCH('Your recommendation'!BR100,Data!$DN$9:$DN$1273,0)),"")</f>
        <v/>
      </c>
    </row>
    <row r="101" ht="15.6" customFormat="1" customHeight="1" s="138">
      <c r="B101" s="309">
        <f>IF(C101&gt;0,B100+1,"")</f>
        <v/>
      </c>
      <c r="C101" s="310" t="n"/>
      <c r="D101" s="312">
        <f>IFERROR(INDEX(Data!BR$9:BR$1273,MATCH($M101,Data!$K$9:$K$1273,0)),"")</f>
        <v/>
      </c>
      <c r="E101" s="312">
        <f>IFERROR(INDEX(Data!BS$9:BS$1273,MATCH($M101,Data!$K$9:$K$1273,0)),"")</f>
        <v/>
      </c>
      <c r="F101" s="312">
        <f>IFERROR(INDEX(Data!DM$9:DM$1273,MATCH($M101,Data!$K$9:$K$1273,0)),"")</f>
        <v/>
      </c>
      <c r="G101" s="312">
        <f>IFERROR(INDEX(Data!BV$9:BV$1273,MATCH($M101,Data!$K$9:$K$1273,0)),"")</f>
        <v/>
      </c>
      <c r="H101" s="312">
        <f>IFERROR(INDEX(Data!BW$9:BW$1273,MATCH($M101,Data!$K$9:$K$1273,0)),"")</f>
        <v/>
      </c>
      <c r="I101" s="312">
        <f>IFERROR(INDEX(Data!BX$9:BX$1273,MATCH($M101,Data!$K$9:$K$1273,0)),"")</f>
        <v/>
      </c>
      <c r="J101" s="312">
        <f>IFERROR(INDEX(Data!CB$9:CB$1273,MATCH($M101,Data!$K$9:$K$1273,0)),"")</f>
        <v/>
      </c>
      <c r="K101" s="329">
        <f>IFERROR(HYPERLINK(BM101,BC101),"-")</f>
        <v/>
      </c>
      <c r="L101" s="330">
        <f>IFERROR(IF(BB101=0,"-",BB101)," ")</f>
        <v/>
      </c>
      <c r="M101" s="311" t="n"/>
      <c r="N101" s="311" t="n"/>
      <c r="O101" s="311">
        <f>IFERROR(INDEX(Data!M$9:M$1273,MATCH($M101,Data!$K$9:$K$1273,0)),"")</f>
        <v/>
      </c>
      <c r="P101" s="311">
        <f>IFERROR(INDEX(Data!N$9:N$1273,MATCH($M101,Data!$K$9:$K$1273,0)),"")</f>
        <v/>
      </c>
      <c r="Q101" s="311">
        <f>IFERROR(INDEX(Data!O$9:O$1273,MATCH($M101,Data!$K$9:$K$1273,0)),"")</f>
        <v/>
      </c>
      <c r="R101" s="311">
        <f>IFERROR(INDEX(Data!P$9:P$1273,MATCH($M101,Data!$K$9:$K$1273,0)),"")</f>
        <v/>
      </c>
      <c r="S101" s="311">
        <f>IFERROR(INDEX(Data!S$9:S$1273,MATCH($M101,Data!$K$9:$K$1273,0)),"")</f>
        <v/>
      </c>
      <c r="T101" s="311">
        <f>IFERROR(INDEX(Data!T$9:T$1273,MATCH($M101,Data!$K$9:$K$1273,0)),"")</f>
        <v/>
      </c>
      <c r="U101" s="311">
        <f>IFERROR(INDEX(Data!U$9:U$1273,MATCH($M101,Data!$K$9:$K$1273,0)),"")</f>
        <v/>
      </c>
      <c r="V101" s="311">
        <f>IFERROR(INDEX(Data!V$9:V$1273,MATCH($M101,Data!$K$9:$K$1273,0)),"")</f>
        <v/>
      </c>
      <c r="W101" s="311">
        <f>IFERROR(INDEX(Data!W$9:W$1273,MATCH($M101,Data!$K$9:$K$1273,0)),"")</f>
        <v/>
      </c>
      <c r="X101" s="311">
        <f>IFERROR(INDEX(Data!AJ$9:AJ$1273,MATCH($M101,Data!$K$9:$K$1273,0)),"")</f>
        <v/>
      </c>
      <c r="Y101" s="311">
        <f>IFERROR(INDEX(Data!AK$9:AK$1273,MATCH($M101,Data!$K$9:$K$1273,0)),"")</f>
        <v/>
      </c>
      <c r="Z101" s="311">
        <f>IFERROR(INDEX(Data!AL$9:AL$1273,MATCH($M101,Data!$K$9:$K$1273,0)),"")</f>
        <v/>
      </c>
      <c r="AA101" s="311">
        <f>IFERROR(INDEX(Data!AM$9:AM$1273,MATCH($M101,Data!$K$9:$K$1273,0)),"")</f>
        <v/>
      </c>
      <c r="AB101" s="311">
        <f>IFERROR(INDEX(Data!AN$9:AN$1273,MATCH($M101,Data!$K$9:$K$1273,0)),"")</f>
        <v/>
      </c>
      <c r="AC101" s="312">
        <f>IFERROR(INDEX(Data!BY$9:BY$1273,MATCH($M101,Data!$K$9:$K$1273,0)),"")</f>
        <v/>
      </c>
      <c r="AD101" s="312">
        <f>IFERROR(INDEX(Data!BZ$9:BZ$1273,MATCH($M101,Data!$K$9:$K$1273,0)),"")</f>
        <v/>
      </c>
      <c r="AE101" s="312">
        <f>IFERROR(INDEX(Data!CA$9:CA$1273,MATCH($M101,Data!$K$9:$K$1273,0)),"")</f>
        <v/>
      </c>
      <c r="AF101" s="312">
        <f>IFERROR(INDEX(Data!CB$9:CB$1273,MATCH($M101,Data!$K$9:$K$1273,0)),"")</f>
        <v/>
      </c>
      <c r="AG101" s="312">
        <f>IFERROR(INDEX(Data!CC$9:CC$1273,MATCH($M101,Data!$K$9:$K$1273,0)),"")</f>
        <v/>
      </c>
      <c r="AH101" s="312">
        <f>IFERROR(INDEX(Data!CD$9:CD$1273,MATCH($M101,Data!$K$9:$K$1273,0)),"")</f>
        <v/>
      </c>
      <c r="AI101" s="312">
        <f>IFERROR(INDEX(Data!CE$9:CE$1273,MATCH($M101,Data!$K$9:$K$1273,0)),"")</f>
        <v/>
      </c>
      <c r="AJ101" s="312">
        <f>IFERROR(INDEX(Data!CF$9:CF$1273,MATCH($M101,Data!$K$9:$K$1273,0)),"")</f>
        <v/>
      </c>
      <c r="AK101" s="312">
        <f>IFERROR(INDEX(Data!CG$9:CG$1273,MATCH($M101,Data!$K$9:$K$1273,0)),"")</f>
        <v/>
      </c>
      <c r="AL101" s="312">
        <f>IFERROR(INDEX(Data!CH$9:CH$1273,MATCH($M101,Data!$K$9:$K$1273,0)),"")</f>
        <v/>
      </c>
      <c r="AM101" s="312">
        <f>IFERROR(INDEX(Data!CI$9:CI$1273,MATCH($M101,Data!$K$9:$K$1273,0)),"")</f>
        <v/>
      </c>
      <c r="AN101" s="312">
        <f>IFERROR(INDEX(Data!CJ$9:CJ$1273,MATCH($M101,Data!$K$9:$K$1273,0)),"")</f>
        <v/>
      </c>
      <c r="AO101" s="312">
        <f>IFERROR(INDEX(Data!CK$9:CK$1273,MATCH($M101,Data!$K$9:$K$1273,0)),"")</f>
        <v/>
      </c>
      <c r="AP101" s="312">
        <f>IFERROR(INDEX(Data!CL$9:CL$1273,MATCH($M101,Data!$K$9:$K$1273,0)),"")</f>
        <v/>
      </c>
      <c r="AQ101" s="312">
        <f>IFERROR(INDEX(Data!CM$9:CM$1273,MATCH($M101,Data!$K$9:$K$1273,0)),"")</f>
        <v/>
      </c>
      <c r="AR101" s="312">
        <f>IFERROR(INDEX(Data!CN$9:CN$1273,MATCH($M101,Data!$K$9:$K$1273,0)),"")</f>
        <v/>
      </c>
      <c r="AS101" s="312">
        <f>IFERROR(INDEX(Data!CO$9:CO$1273,MATCH($M101,Data!$K$9:$K$1273,0)),"")</f>
        <v/>
      </c>
      <c r="AT101" s="312">
        <f>IFERROR(INDEX(Data!CP$9:CP$1273,MATCH($M101,Data!$K$9:$K$1273,0)),"")</f>
        <v/>
      </c>
      <c r="AU101" s="312">
        <f>IFERROR(INDEX(Data!CQ$9:CQ$1273,MATCH($M101,Data!$K$9:$K$1273,0)),"")</f>
        <v/>
      </c>
      <c r="AV101" s="312">
        <f>IFERROR(INDEX(Data!CR$9:CR$1273,MATCH($M101,Data!$K$9:$K$1273,0)),"")</f>
        <v/>
      </c>
      <c r="AW101" s="312">
        <f>IFERROR(INDEX(Data!CS$9:CS$1273,MATCH($M101,Data!$K$9:$K$1273,0)),"")</f>
        <v/>
      </c>
      <c r="AX101" s="312">
        <f>IFERROR(INDEX(Data!CT$9:CT$1273,MATCH($M101,Data!$K$9:$K$1273,0)),"")</f>
        <v/>
      </c>
      <c r="AY101" s="312">
        <f>IFERROR(INDEX(Data!CU$9:CU$1273,MATCH($M101,Data!$K$9:$K$1273,0)),"")</f>
        <v/>
      </c>
      <c r="AZ101" s="312">
        <f>IFERROR(INDEX(Data!CV$9:CV$1273,MATCH($M101,Data!$K$9:$K$1273,0)),"")</f>
        <v/>
      </c>
      <c r="BA101" s="312">
        <f>IFERROR(INDEX(Data!CX$9:CX$1273,MATCH($M101,Data!$K$9:$K$1273,0)),"")</f>
        <v/>
      </c>
      <c r="BB101" s="312">
        <f>IFERROR(INDEX(Data!CY$9:CY$1273,MATCH($M101,Data!$K$9:$K$1273,0)),"")</f>
        <v/>
      </c>
      <c r="BC101" s="312">
        <f>IFERROR(INDEX(Data!CZ$9:CZ$1273,MATCH($M101,Data!$K$9:$K$1273,0)),"")</f>
        <v/>
      </c>
      <c r="BD101" s="312">
        <f>IFERROR(INDEX(Data!DA$9:DA$1273,MATCH($M101,Data!$K$9:$K$1273,0)),"")</f>
        <v/>
      </c>
      <c r="BE101" s="312">
        <f>IFERROR(INDEX(Data!DB$9:DB$1273,MATCH($M101,Data!$K$9:$K$1273,0)),"")</f>
        <v/>
      </c>
      <c r="BF101" s="312">
        <f>IFERROR(INDEX(Data!DC$9:DC$1273,MATCH($M101,Data!$K$9:$K$1273,0)),"")</f>
        <v/>
      </c>
      <c r="BG101" s="312">
        <f>IFERROR(INDEX(Data!DD$9:DD$1273,MATCH($M101,Data!$K$9:$K$1273,0)),"")</f>
        <v/>
      </c>
      <c r="BH101" s="312">
        <f>IFERROR(INDEX(Data!DE$9:DE$1273,MATCH($M101,Data!$K$9:$K$1273,0)),"")</f>
        <v/>
      </c>
      <c r="BI101" s="312">
        <f>IFERROR(INDEX(Data!DF$9:DF$1273,MATCH($M101,Data!$K$9:$K$1273,0)),"")</f>
        <v/>
      </c>
      <c r="BJ101" s="312">
        <f>IFERROR(INDEX(Data!DG$9:DG$1273,MATCH($M101,Data!$K$9:$K$1273,0)),"")</f>
        <v/>
      </c>
      <c r="BK101" s="312">
        <f>IFERROR(INDEX(Data!DH$9:DH$1273,MATCH($M101,Data!$K$9:$K$1273,0)),"")</f>
        <v/>
      </c>
      <c r="BL101" s="312">
        <f>IFERROR(INDEX(Data!DI$9:DI$1273,MATCH($M101,Data!$K$9:$K$1273,0)),"")</f>
        <v/>
      </c>
      <c r="BM101" s="312">
        <f>IFERROR(INDEX(Data!DJ$9:DJ$1273,MATCH($M101,Data!$K$9:$K$1273,0)),"")</f>
        <v/>
      </c>
      <c r="BN101" s="312">
        <f>IFERROR(INDEX(Data!DK$9:DK$1273,MATCH($M101,Data!$K$9:$K$1273,0)),"")</f>
        <v/>
      </c>
      <c r="BO101" s="312">
        <f>IFERROR(INDEX(Data!DL$9:DL$1273,MATCH($M101,Data!$K$9:$K$1273,0)),"")</f>
        <v/>
      </c>
      <c r="BP101" s="331">
        <f>IFERROR(IF(BK101=0,"-",BK101),"")</f>
        <v/>
      </c>
      <c r="BQ101" s="312">
        <f>IFERROR(IF(BP101-K101&gt;0,TRUE,FALSE)," ")</f>
        <v/>
      </c>
      <c r="BR101" s="312">
        <f>_xlfn.CONCAT(E101,F101,H101,G101)</f>
        <v/>
      </c>
      <c r="BS101" s="312">
        <f>IFERROR(INDEX(Data!$DO$9:$DO$1273,MATCH('Your recommendation'!BR101,Data!$DN$9:$DN$1273,0)),"")</f>
        <v/>
      </c>
    </row>
    <row r="102" ht="15.6" customFormat="1" customHeight="1" s="138">
      <c r="B102" s="309">
        <f>IF(C102&gt;0,B101+1,"")</f>
        <v/>
      </c>
      <c r="C102" s="310" t="n"/>
      <c r="D102" s="312">
        <f>IFERROR(INDEX(Data!BR$9:BR$1273,MATCH($M102,Data!$K$9:$K$1273,0)),"")</f>
        <v/>
      </c>
      <c r="E102" s="312">
        <f>IFERROR(INDEX(Data!BS$9:BS$1273,MATCH($M102,Data!$K$9:$K$1273,0)),"")</f>
        <v/>
      </c>
      <c r="F102" s="312">
        <f>IFERROR(INDEX(Data!DM$9:DM$1273,MATCH($M102,Data!$K$9:$K$1273,0)),"")</f>
        <v/>
      </c>
      <c r="G102" s="312">
        <f>IFERROR(INDEX(Data!BV$9:BV$1273,MATCH($M102,Data!$K$9:$K$1273,0)),"")</f>
        <v/>
      </c>
      <c r="H102" s="312">
        <f>IFERROR(INDEX(Data!BW$9:BW$1273,MATCH($M102,Data!$K$9:$K$1273,0)),"")</f>
        <v/>
      </c>
      <c r="I102" s="312">
        <f>IFERROR(INDEX(Data!BX$9:BX$1273,MATCH($M102,Data!$K$9:$K$1273,0)),"")</f>
        <v/>
      </c>
      <c r="J102" s="312">
        <f>IFERROR(INDEX(Data!CB$9:CB$1273,MATCH($M102,Data!$K$9:$K$1273,0)),"")</f>
        <v/>
      </c>
      <c r="K102" s="329">
        <f>IFERROR(HYPERLINK(BM102,BC102),"-")</f>
        <v/>
      </c>
      <c r="L102" s="330">
        <f>IFERROR(IF(BB102=0,"-",BB102)," ")</f>
        <v/>
      </c>
      <c r="M102" s="311" t="n"/>
      <c r="N102" s="311" t="n"/>
      <c r="O102" s="311">
        <f>IFERROR(INDEX(Data!M$9:M$1273,MATCH($M102,Data!$K$9:$K$1273,0)),"")</f>
        <v/>
      </c>
      <c r="P102" s="311">
        <f>IFERROR(INDEX(Data!N$9:N$1273,MATCH($M102,Data!$K$9:$K$1273,0)),"")</f>
        <v/>
      </c>
      <c r="Q102" s="311">
        <f>IFERROR(INDEX(Data!O$9:O$1273,MATCH($M102,Data!$K$9:$K$1273,0)),"")</f>
        <v/>
      </c>
      <c r="R102" s="311">
        <f>IFERROR(INDEX(Data!P$9:P$1273,MATCH($M102,Data!$K$9:$K$1273,0)),"")</f>
        <v/>
      </c>
      <c r="S102" s="311">
        <f>IFERROR(INDEX(Data!S$9:S$1273,MATCH($M102,Data!$K$9:$K$1273,0)),"")</f>
        <v/>
      </c>
      <c r="T102" s="311">
        <f>IFERROR(INDEX(Data!T$9:T$1273,MATCH($M102,Data!$K$9:$K$1273,0)),"")</f>
        <v/>
      </c>
      <c r="U102" s="311">
        <f>IFERROR(INDEX(Data!U$9:U$1273,MATCH($M102,Data!$K$9:$K$1273,0)),"")</f>
        <v/>
      </c>
      <c r="V102" s="311">
        <f>IFERROR(INDEX(Data!V$9:V$1273,MATCH($M102,Data!$K$9:$K$1273,0)),"")</f>
        <v/>
      </c>
      <c r="W102" s="311">
        <f>IFERROR(INDEX(Data!W$9:W$1273,MATCH($M102,Data!$K$9:$K$1273,0)),"")</f>
        <v/>
      </c>
      <c r="X102" s="311">
        <f>IFERROR(INDEX(Data!AJ$9:AJ$1273,MATCH($M102,Data!$K$9:$K$1273,0)),"")</f>
        <v/>
      </c>
      <c r="Y102" s="311">
        <f>IFERROR(INDEX(Data!AK$9:AK$1273,MATCH($M102,Data!$K$9:$K$1273,0)),"")</f>
        <v/>
      </c>
      <c r="Z102" s="311">
        <f>IFERROR(INDEX(Data!AL$9:AL$1273,MATCH($M102,Data!$K$9:$K$1273,0)),"")</f>
        <v/>
      </c>
      <c r="AA102" s="311">
        <f>IFERROR(INDEX(Data!AM$9:AM$1273,MATCH($M102,Data!$K$9:$K$1273,0)),"")</f>
        <v/>
      </c>
      <c r="AB102" s="311">
        <f>IFERROR(INDEX(Data!AN$9:AN$1273,MATCH($M102,Data!$K$9:$K$1273,0)),"")</f>
        <v/>
      </c>
      <c r="AC102" s="312">
        <f>IFERROR(INDEX(Data!BY$9:BY$1273,MATCH($M102,Data!$K$9:$K$1273,0)),"")</f>
        <v/>
      </c>
      <c r="AD102" s="312">
        <f>IFERROR(INDEX(Data!BZ$9:BZ$1273,MATCH($M102,Data!$K$9:$K$1273,0)),"")</f>
        <v/>
      </c>
      <c r="AE102" s="312">
        <f>IFERROR(INDEX(Data!CA$9:CA$1273,MATCH($M102,Data!$K$9:$K$1273,0)),"")</f>
        <v/>
      </c>
      <c r="AF102" s="312">
        <f>IFERROR(INDEX(Data!CB$9:CB$1273,MATCH($M102,Data!$K$9:$K$1273,0)),"")</f>
        <v/>
      </c>
      <c r="AG102" s="312">
        <f>IFERROR(INDEX(Data!CC$9:CC$1273,MATCH($M102,Data!$K$9:$K$1273,0)),"")</f>
        <v/>
      </c>
      <c r="AH102" s="312">
        <f>IFERROR(INDEX(Data!CD$9:CD$1273,MATCH($M102,Data!$K$9:$K$1273,0)),"")</f>
        <v/>
      </c>
      <c r="AI102" s="312">
        <f>IFERROR(INDEX(Data!CE$9:CE$1273,MATCH($M102,Data!$K$9:$K$1273,0)),"")</f>
        <v/>
      </c>
      <c r="AJ102" s="312">
        <f>IFERROR(INDEX(Data!CF$9:CF$1273,MATCH($M102,Data!$K$9:$K$1273,0)),"")</f>
        <v/>
      </c>
      <c r="AK102" s="312">
        <f>IFERROR(INDEX(Data!CG$9:CG$1273,MATCH($M102,Data!$K$9:$K$1273,0)),"")</f>
        <v/>
      </c>
      <c r="AL102" s="312">
        <f>IFERROR(INDEX(Data!CH$9:CH$1273,MATCH($M102,Data!$K$9:$K$1273,0)),"")</f>
        <v/>
      </c>
      <c r="AM102" s="312">
        <f>IFERROR(INDEX(Data!CI$9:CI$1273,MATCH($M102,Data!$K$9:$K$1273,0)),"")</f>
        <v/>
      </c>
      <c r="AN102" s="312">
        <f>IFERROR(INDEX(Data!CJ$9:CJ$1273,MATCH($M102,Data!$K$9:$K$1273,0)),"")</f>
        <v/>
      </c>
      <c r="AO102" s="312">
        <f>IFERROR(INDEX(Data!CK$9:CK$1273,MATCH($M102,Data!$K$9:$K$1273,0)),"")</f>
        <v/>
      </c>
      <c r="AP102" s="312">
        <f>IFERROR(INDEX(Data!CL$9:CL$1273,MATCH($M102,Data!$K$9:$K$1273,0)),"")</f>
        <v/>
      </c>
      <c r="AQ102" s="312">
        <f>IFERROR(INDEX(Data!CM$9:CM$1273,MATCH($M102,Data!$K$9:$K$1273,0)),"")</f>
        <v/>
      </c>
      <c r="AR102" s="312">
        <f>IFERROR(INDEX(Data!CN$9:CN$1273,MATCH($M102,Data!$K$9:$K$1273,0)),"")</f>
        <v/>
      </c>
      <c r="AS102" s="312">
        <f>IFERROR(INDEX(Data!CO$9:CO$1273,MATCH($M102,Data!$K$9:$K$1273,0)),"")</f>
        <v/>
      </c>
      <c r="AT102" s="312">
        <f>IFERROR(INDEX(Data!CP$9:CP$1273,MATCH($M102,Data!$K$9:$K$1273,0)),"")</f>
        <v/>
      </c>
      <c r="AU102" s="312">
        <f>IFERROR(INDEX(Data!CQ$9:CQ$1273,MATCH($M102,Data!$K$9:$K$1273,0)),"")</f>
        <v/>
      </c>
      <c r="AV102" s="312">
        <f>IFERROR(INDEX(Data!CR$9:CR$1273,MATCH($M102,Data!$K$9:$K$1273,0)),"")</f>
        <v/>
      </c>
      <c r="AW102" s="312">
        <f>IFERROR(INDEX(Data!CS$9:CS$1273,MATCH($M102,Data!$K$9:$K$1273,0)),"")</f>
        <v/>
      </c>
      <c r="AX102" s="312">
        <f>IFERROR(INDEX(Data!CT$9:CT$1273,MATCH($M102,Data!$K$9:$K$1273,0)),"")</f>
        <v/>
      </c>
      <c r="AY102" s="312">
        <f>IFERROR(INDEX(Data!CU$9:CU$1273,MATCH($M102,Data!$K$9:$K$1273,0)),"")</f>
        <v/>
      </c>
      <c r="AZ102" s="312">
        <f>IFERROR(INDEX(Data!CV$9:CV$1273,MATCH($M102,Data!$K$9:$K$1273,0)),"")</f>
        <v/>
      </c>
      <c r="BA102" s="312">
        <f>IFERROR(INDEX(Data!CX$9:CX$1273,MATCH($M102,Data!$K$9:$K$1273,0)),"")</f>
        <v/>
      </c>
      <c r="BB102" s="312">
        <f>IFERROR(INDEX(Data!CY$9:CY$1273,MATCH($M102,Data!$K$9:$K$1273,0)),"")</f>
        <v/>
      </c>
      <c r="BC102" s="312">
        <f>IFERROR(INDEX(Data!CZ$9:CZ$1273,MATCH($M102,Data!$K$9:$K$1273,0)),"")</f>
        <v/>
      </c>
      <c r="BD102" s="312">
        <f>IFERROR(INDEX(Data!DA$9:DA$1273,MATCH($M102,Data!$K$9:$K$1273,0)),"")</f>
        <v/>
      </c>
      <c r="BE102" s="312">
        <f>IFERROR(INDEX(Data!DB$9:DB$1273,MATCH($M102,Data!$K$9:$K$1273,0)),"")</f>
        <v/>
      </c>
      <c r="BF102" s="312">
        <f>IFERROR(INDEX(Data!DC$9:DC$1273,MATCH($M102,Data!$K$9:$K$1273,0)),"")</f>
        <v/>
      </c>
      <c r="BG102" s="312">
        <f>IFERROR(INDEX(Data!DD$9:DD$1273,MATCH($M102,Data!$K$9:$K$1273,0)),"")</f>
        <v/>
      </c>
      <c r="BH102" s="312">
        <f>IFERROR(INDEX(Data!DE$9:DE$1273,MATCH($M102,Data!$K$9:$K$1273,0)),"")</f>
        <v/>
      </c>
      <c r="BI102" s="312">
        <f>IFERROR(INDEX(Data!DF$9:DF$1273,MATCH($M102,Data!$K$9:$K$1273,0)),"")</f>
        <v/>
      </c>
      <c r="BJ102" s="312">
        <f>IFERROR(INDEX(Data!DG$9:DG$1273,MATCH($M102,Data!$K$9:$K$1273,0)),"")</f>
        <v/>
      </c>
      <c r="BK102" s="312">
        <f>IFERROR(INDEX(Data!DH$9:DH$1273,MATCH($M102,Data!$K$9:$K$1273,0)),"")</f>
        <v/>
      </c>
      <c r="BL102" s="312">
        <f>IFERROR(INDEX(Data!DI$9:DI$1273,MATCH($M102,Data!$K$9:$K$1273,0)),"")</f>
        <v/>
      </c>
      <c r="BM102" s="312">
        <f>IFERROR(INDEX(Data!DJ$9:DJ$1273,MATCH($M102,Data!$K$9:$K$1273,0)),"")</f>
        <v/>
      </c>
      <c r="BN102" s="312">
        <f>IFERROR(INDEX(Data!DK$9:DK$1273,MATCH($M102,Data!$K$9:$K$1273,0)),"")</f>
        <v/>
      </c>
      <c r="BO102" s="312">
        <f>IFERROR(INDEX(Data!DL$9:DL$1273,MATCH($M102,Data!$K$9:$K$1273,0)),"")</f>
        <v/>
      </c>
      <c r="BP102" s="331">
        <f>IFERROR(IF(BK102=0,"-",BK102),"")</f>
        <v/>
      </c>
      <c r="BQ102" s="312">
        <f>IFERROR(IF(BP102-K102&gt;0,TRUE,FALSE)," ")</f>
        <v/>
      </c>
      <c r="BR102" s="312">
        <f>_xlfn.CONCAT(E102,F102,H102,G102)</f>
        <v/>
      </c>
      <c r="BS102" s="312">
        <f>IFERROR(INDEX(Data!$DO$9:$DO$1273,MATCH('Your recommendation'!BR102,Data!$DN$9:$DN$1273,0)),"")</f>
        <v/>
      </c>
    </row>
    <row r="103" ht="15.6" customFormat="1" customHeight="1" s="138">
      <c r="B103" s="309">
        <f>IF(C103&gt;0,B102+1,"")</f>
        <v/>
      </c>
      <c r="C103" s="310" t="n"/>
      <c r="D103" s="312">
        <f>IFERROR(INDEX(Data!BR$9:BR$1273,MATCH($M103,Data!$K$9:$K$1273,0)),"")</f>
        <v/>
      </c>
      <c r="E103" s="312">
        <f>IFERROR(INDEX(Data!BS$9:BS$1273,MATCH($M103,Data!$K$9:$K$1273,0)),"")</f>
        <v/>
      </c>
      <c r="F103" s="312">
        <f>IFERROR(INDEX(Data!DM$9:DM$1273,MATCH($M103,Data!$K$9:$K$1273,0)),"")</f>
        <v/>
      </c>
      <c r="G103" s="312">
        <f>IFERROR(INDEX(Data!BV$9:BV$1273,MATCH($M103,Data!$K$9:$K$1273,0)),"")</f>
        <v/>
      </c>
      <c r="H103" s="312">
        <f>IFERROR(INDEX(Data!BW$9:BW$1273,MATCH($M103,Data!$K$9:$K$1273,0)),"")</f>
        <v/>
      </c>
      <c r="I103" s="312">
        <f>IFERROR(INDEX(Data!BX$9:BX$1273,MATCH($M103,Data!$K$9:$K$1273,0)),"")</f>
        <v/>
      </c>
      <c r="J103" s="312">
        <f>IFERROR(INDEX(Data!CB$9:CB$1273,MATCH($M103,Data!$K$9:$K$1273,0)),"")</f>
        <v/>
      </c>
      <c r="K103" s="329">
        <f>IFERROR(HYPERLINK(BM103,BC103),"-")</f>
        <v/>
      </c>
      <c r="L103" s="330">
        <f>IFERROR(IF(BB103=0,"-",BB103)," ")</f>
        <v/>
      </c>
      <c r="M103" s="311" t="n"/>
      <c r="N103" s="311" t="n"/>
      <c r="O103" s="311">
        <f>IFERROR(INDEX(Data!M$9:M$1273,MATCH($M103,Data!$K$9:$K$1273,0)),"")</f>
        <v/>
      </c>
      <c r="P103" s="311">
        <f>IFERROR(INDEX(Data!N$9:N$1273,MATCH($M103,Data!$K$9:$K$1273,0)),"")</f>
        <v/>
      </c>
      <c r="Q103" s="311">
        <f>IFERROR(INDEX(Data!O$9:O$1273,MATCH($M103,Data!$K$9:$K$1273,0)),"")</f>
        <v/>
      </c>
      <c r="R103" s="311">
        <f>IFERROR(INDEX(Data!P$9:P$1273,MATCH($M103,Data!$K$9:$K$1273,0)),"")</f>
        <v/>
      </c>
      <c r="S103" s="311">
        <f>IFERROR(INDEX(Data!S$9:S$1273,MATCH($M103,Data!$K$9:$K$1273,0)),"")</f>
        <v/>
      </c>
      <c r="T103" s="311">
        <f>IFERROR(INDEX(Data!T$9:T$1273,MATCH($M103,Data!$K$9:$K$1273,0)),"")</f>
        <v/>
      </c>
      <c r="U103" s="311">
        <f>IFERROR(INDEX(Data!U$9:U$1273,MATCH($M103,Data!$K$9:$K$1273,0)),"")</f>
        <v/>
      </c>
      <c r="V103" s="311">
        <f>IFERROR(INDEX(Data!V$9:V$1273,MATCH($M103,Data!$K$9:$K$1273,0)),"")</f>
        <v/>
      </c>
      <c r="W103" s="311">
        <f>IFERROR(INDEX(Data!W$9:W$1273,MATCH($M103,Data!$K$9:$K$1273,0)),"")</f>
        <v/>
      </c>
      <c r="X103" s="311">
        <f>IFERROR(INDEX(Data!AJ$9:AJ$1273,MATCH($M103,Data!$K$9:$K$1273,0)),"")</f>
        <v/>
      </c>
      <c r="Y103" s="311">
        <f>IFERROR(INDEX(Data!AK$9:AK$1273,MATCH($M103,Data!$K$9:$K$1273,0)),"")</f>
        <v/>
      </c>
      <c r="Z103" s="311">
        <f>IFERROR(INDEX(Data!AL$9:AL$1273,MATCH($M103,Data!$K$9:$K$1273,0)),"")</f>
        <v/>
      </c>
      <c r="AA103" s="311">
        <f>IFERROR(INDEX(Data!AM$9:AM$1273,MATCH($M103,Data!$K$9:$K$1273,0)),"")</f>
        <v/>
      </c>
      <c r="AB103" s="311">
        <f>IFERROR(INDEX(Data!AN$9:AN$1273,MATCH($M103,Data!$K$9:$K$1273,0)),"")</f>
        <v/>
      </c>
      <c r="AC103" s="312">
        <f>IFERROR(INDEX(Data!BY$9:BY$1273,MATCH($M103,Data!$K$9:$K$1273,0)),"")</f>
        <v/>
      </c>
      <c r="AD103" s="312">
        <f>IFERROR(INDEX(Data!BZ$9:BZ$1273,MATCH($M103,Data!$K$9:$K$1273,0)),"")</f>
        <v/>
      </c>
      <c r="AE103" s="312">
        <f>IFERROR(INDEX(Data!CA$9:CA$1273,MATCH($M103,Data!$K$9:$K$1273,0)),"")</f>
        <v/>
      </c>
      <c r="AF103" s="312">
        <f>IFERROR(INDEX(Data!CB$9:CB$1273,MATCH($M103,Data!$K$9:$K$1273,0)),"")</f>
        <v/>
      </c>
      <c r="AG103" s="312">
        <f>IFERROR(INDEX(Data!CC$9:CC$1273,MATCH($M103,Data!$K$9:$K$1273,0)),"")</f>
        <v/>
      </c>
      <c r="AH103" s="312">
        <f>IFERROR(INDEX(Data!CD$9:CD$1273,MATCH($M103,Data!$K$9:$K$1273,0)),"")</f>
        <v/>
      </c>
      <c r="AI103" s="312">
        <f>IFERROR(INDEX(Data!CE$9:CE$1273,MATCH($M103,Data!$K$9:$K$1273,0)),"")</f>
        <v/>
      </c>
      <c r="AJ103" s="312">
        <f>IFERROR(INDEX(Data!CF$9:CF$1273,MATCH($M103,Data!$K$9:$K$1273,0)),"")</f>
        <v/>
      </c>
      <c r="AK103" s="312">
        <f>IFERROR(INDEX(Data!CG$9:CG$1273,MATCH($M103,Data!$K$9:$K$1273,0)),"")</f>
        <v/>
      </c>
      <c r="AL103" s="312">
        <f>IFERROR(INDEX(Data!CH$9:CH$1273,MATCH($M103,Data!$K$9:$K$1273,0)),"")</f>
        <v/>
      </c>
      <c r="AM103" s="312">
        <f>IFERROR(INDEX(Data!CI$9:CI$1273,MATCH($M103,Data!$K$9:$K$1273,0)),"")</f>
        <v/>
      </c>
      <c r="AN103" s="312">
        <f>IFERROR(INDEX(Data!CJ$9:CJ$1273,MATCH($M103,Data!$K$9:$K$1273,0)),"")</f>
        <v/>
      </c>
      <c r="AO103" s="312">
        <f>IFERROR(INDEX(Data!CK$9:CK$1273,MATCH($M103,Data!$K$9:$K$1273,0)),"")</f>
        <v/>
      </c>
      <c r="AP103" s="312">
        <f>IFERROR(INDEX(Data!CL$9:CL$1273,MATCH($M103,Data!$K$9:$K$1273,0)),"")</f>
        <v/>
      </c>
      <c r="AQ103" s="312">
        <f>IFERROR(INDEX(Data!CM$9:CM$1273,MATCH($M103,Data!$K$9:$K$1273,0)),"")</f>
        <v/>
      </c>
      <c r="AR103" s="312">
        <f>IFERROR(INDEX(Data!CN$9:CN$1273,MATCH($M103,Data!$K$9:$K$1273,0)),"")</f>
        <v/>
      </c>
      <c r="AS103" s="312">
        <f>IFERROR(INDEX(Data!CO$9:CO$1273,MATCH($M103,Data!$K$9:$K$1273,0)),"")</f>
        <v/>
      </c>
      <c r="AT103" s="312">
        <f>IFERROR(INDEX(Data!CP$9:CP$1273,MATCH($M103,Data!$K$9:$K$1273,0)),"")</f>
        <v/>
      </c>
      <c r="AU103" s="312">
        <f>IFERROR(INDEX(Data!CQ$9:CQ$1273,MATCH($M103,Data!$K$9:$K$1273,0)),"")</f>
        <v/>
      </c>
      <c r="AV103" s="312">
        <f>IFERROR(INDEX(Data!CR$9:CR$1273,MATCH($M103,Data!$K$9:$K$1273,0)),"")</f>
        <v/>
      </c>
      <c r="AW103" s="312">
        <f>IFERROR(INDEX(Data!CS$9:CS$1273,MATCH($M103,Data!$K$9:$K$1273,0)),"")</f>
        <v/>
      </c>
      <c r="AX103" s="312">
        <f>IFERROR(INDEX(Data!CT$9:CT$1273,MATCH($M103,Data!$K$9:$K$1273,0)),"")</f>
        <v/>
      </c>
      <c r="AY103" s="312">
        <f>IFERROR(INDEX(Data!CU$9:CU$1273,MATCH($M103,Data!$K$9:$K$1273,0)),"")</f>
        <v/>
      </c>
      <c r="AZ103" s="312">
        <f>IFERROR(INDEX(Data!CV$9:CV$1273,MATCH($M103,Data!$K$9:$K$1273,0)),"")</f>
        <v/>
      </c>
      <c r="BA103" s="312">
        <f>IFERROR(INDEX(Data!CX$9:CX$1273,MATCH($M103,Data!$K$9:$K$1273,0)),"")</f>
        <v/>
      </c>
      <c r="BB103" s="312">
        <f>IFERROR(INDEX(Data!CY$9:CY$1273,MATCH($M103,Data!$K$9:$K$1273,0)),"")</f>
        <v/>
      </c>
      <c r="BC103" s="312">
        <f>IFERROR(INDEX(Data!CZ$9:CZ$1273,MATCH($M103,Data!$K$9:$K$1273,0)),"")</f>
        <v/>
      </c>
      <c r="BD103" s="312">
        <f>IFERROR(INDEX(Data!DA$9:DA$1273,MATCH($M103,Data!$K$9:$K$1273,0)),"")</f>
        <v/>
      </c>
      <c r="BE103" s="312">
        <f>IFERROR(INDEX(Data!DB$9:DB$1273,MATCH($M103,Data!$K$9:$K$1273,0)),"")</f>
        <v/>
      </c>
      <c r="BF103" s="312">
        <f>IFERROR(INDEX(Data!DC$9:DC$1273,MATCH($M103,Data!$K$9:$K$1273,0)),"")</f>
        <v/>
      </c>
      <c r="BG103" s="312">
        <f>IFERROR(INDEX(Data!DD$9:DD$1273,MATCH($M103,Data!$K$9:$K$1273,0)),"")</f>
        <v/>
      </c>
      <c r="BH103" s="312">
        <f>IFERROR(INDEX(Data!DE$9:DE$1273,MATCH($M103,Data!$K$9:$K$1273,0)),"")</f>
        <v/>
      </c>
      <c r="BI103" s="312">
        <f>IFERROR(INDEX(Data!DF$9:DF$1273,MATCH($M103,Data!$K$9:$K$1273,0)),"")</f>
        <v/>
      </c>
      <c r="BJ103" s="312">
        <f>IFERROR(INDEX(Data!DG$9:DG$1273,MATCH($M103,Data!$K$9:$K$1273,0)),"")</f>
        <v/>
      </c>
      <c r="BK103" s="312">
        <f>IFERROR(INDEX(Data!DH$9:DH$1273,MATCH($M103,Data!$K$9:$K$1273,0)),"")</f>
        <v/>
      </c>
      <c r="BL103" s="312">
        <f>IFERROR(INDEX(Data!DI$9:DI$1273,MATCH($M103,Data!$K$9:$K$1273,0)),"")</f>
        <v/>
      </c>
      <c r="BM103" s="312">
        <f>IFERROR(INDEX(Data!DJ$9:DJ$1273,MATCH($M103,Data!$K$9:$K$1273,0)),"")</f>
        <v/>
      </c>
      <c r="BN103" s="312">
        <f>IFERROR(INDEX(Data!DK$9:DK$1273,MATCH($M103,Data!$K$9:$K$1273,0)),"")</f>
        <v/>
      </c>
      <c r="BO103" s="312">
        <f>IFERROR(INDEX(Data!DL$9:DL$1273,MATCH($M103,Data!$K$9:$K$1273,0)),"")</f>
        <v/>
      </c>
      <c r="BP103" s="331">
        <f>IFERROR(IF(BK103=0,"-",BK103),"")</f>
        <v/>
      </c>
      <c r="BQ103" s="312">
        <f>IFERROR(IF(BP103-K103&gt;0,TRUE,FALSE)," ")</f>
        <v/>
      </c>
      <c r="BR103" s="312">
        <f>_xlfn.CONCAT(E103,F103,H103,G103)</f>
        <v/>
      </c>
      <c r="BS103" s="312">
        <f>IFERROR(INDEX(Data!$DO$9:$DO$1273,MATCH('Your recommendation'!BR103,Data!$DN$9:$DN$1273,0)),"")</f>
        <v/>
      </c>
    </row>
    <row r="104" ht="15.6" customFormat="1" customHeight="1" s="138">
      <c r="B104" s="309">
        <f>IF(C104&gt;0,B103+1,"")</f>
        <v/>
      </c>
      <c r="C104" s="310" t="n"/>
      <c r="D104" s="312">
        <f>IFERROR(INDEX(Data!BR$9:BR$1273,MATCH($M104,Data!$K$9:$K$1273,0)),"")</f>
        <v/>
      </c>
      <c r="E104" s="312">
        <f>IFERROR(INDEX(Data!BS$9:BS$1273,MATCH($M104,Data!$K$9:$K$1273,0)),"")</f>
        <v/>
      </c>
      <c r="F104" s="312">
        <f>IFERROR(INDEX(Data!DM$9:DM$1273,MATCH($M104,Data!$K$9:$K$1273,0)),"")</f>
        <v/>
      </c>
      <c r="G104" s="312">
        <f>IFERROR(INDEX(Data!BV$9:BV$1273,MATCH($M104,Data!$K$9:$K$1273,0)),"")</f>
        <v/>
      </c>
      <c r="H104" s="312">
        <f>IFERROR(INDEX(Data!BW$9:BW$1273,MATCH($M104,Data!$K$9:$K$1273,0)),"")</f>
        <v/>
      </c>
      <c r="I104" s="312">
        <f>IFERROR(INDEX(Data!BX$9:BX$1273,MATCH($M104,Data!$K$9:$K$1273,0)),"")</f>
        <v/>
      </c>
      <c r="J104" s="312">
        <f>IFERROR(INDEX(Data!CB$9:CB$1273,MATCH($M104,Data!$K$9:$K$1273,0)),"")</f>
        <v/>
      </c>
      <c r="K104" s="329">
        <f>IFERROR(HYPERLINK(BM104,BC104),"-")</f>
        <v/>
      </c>
      <c r="L104" s="330">
        <f>IFERROR(IF(BB104=0,"-",BB104)," ")</f>
        <v/>
      </c>
      <c r="M104" s="311" t="n"/>
      <c r="N104" s="311" t="n"/>
      <c r="O104" s="311">
        <f>IFERROR(INDEX(Data!M$9:M$1273,MATCH($M104,Data!$K$9:$K$1273,0)),"")</f>
        <v/>
      </c>
      <c r="P104" s="311">
        <f>IFERROR(INDEX(Data!N$9:N$1273,MATCH($M104,Data!$K$9:$K$1273,0)),"")</f>
        <v/>
      </c>
      <c r="Q104" s="311">
        <f>IFERROR(INDEX(Data!O$9:O$1273,MATCH($M104,Data!$K$9:$K$1273,0)),"")</f>
        <v/>
      </c>
      <c r="R104" s="311">
        <f>IFERROR(INDEX(Data!P$9:P$1273,MATCH($M104,Data!$K$9:$K$1273,0)),"")</f>
        <v/>
      </c>
      <c r="S104" s="311">
        <f>IFERROR(INDEX(Data!S$9:S$1273,MATCH($M104,Data!$K$9:$K$1273,0)),"")</f>
        <v/>
      </c>
      <c r="T104" s="311">
        <f>IFERROR(INDEX(Data!T$9:T$1273,MATCH($M104,Data!$K$9:$K$1273,0)),"")</f>
        <v/>
      </c>
      <c r="U104" s="311">
        <f>IFERROR(INDEX(Data!U$9:U$1273,MATCH($M104,Data!$K$9:$K$1273,0)),"")</f>
        <v/>
      </c>
      <c r="V104" s="311">
        <f>IFERROR(INDEX(Data!V$9:V$1273,MATCH($M104,Data!$K$9:$K$1273,0)),"")</f>
        <v/>
      </c>
      <c r="W104" s="311">
        <f>IFERROR(INDEX(Data!W$9:W$1273,MATCH($M104,Data!$K$9:$K$1273,0)),"")</f>
        <v/>
      </c>
      <c r="X104" s="311">
        <f>IFERROR(INDEX(Data!AJ$9:AJ$1273,MATCH($M104,Data!$K$9:$K$1273,0)),"")</f>
        <v/>
      </c>
      <c r="Y104" s="311">
        <f>IFERROR(INDEX(Data!AK$9:AK$1273,MATCH($M104,Data!$K$9:$K$1273,0)),"")</f>
        <v/>
      </c>
      <c r="Z104" s="311">
        <f>IFERROR(INDEX(Data!AL$9:AL$1273,MATCH($M104,Data!$K$9:$K$1273,0)),"")</f>
        <v/>
      </c>
      <c r="AA104" s="311">
        <f>IFERROR(INDEX(Data!AM$9:AM$1273,MATCH($M104,Data!$K$9:$K$1273,0)),"")</f>
        <v/>
      </c>
      <c r="AB104" s="311">
        <f>IFERROR(INDEX(Data!AN$9:AN$1273,MATCH($M104,Data!$K$9:$K$1273,0)),"")</f>
        <v/>
      </c>
      <c r="AC104" s="312">
        <f>IFERROR(INDEX(Data!BY$9:BY$1273,MATCH($M104,Data!$K$9:$K$1273,0)),"")</f>
        <v/>
      </c>
      <c r="AD104" s="312">
        <f>IFERROR(INDEX(Data!BZ$9:BZ$1273,MATCH($M104,Data!$K$9:$K$1273,0)),"")</f>
        <v/>
      </c>
      <c r="AE104" s="312">
        <f>IFERROR(INDEX(Data!CA$9:CA$1273,MATCH($M104,Data!$K$9:$K$1273,0)),"")</f>
        <v/>
      </c>
      <c r="AF104" s="312">
        <f>IFERROR(INDEX(Data!CB$9:CB$1273,MATCH($M104,Data!$K$9:$K$1273,0)),"")</f>
        <v/>
      </c>
      <c r="AG104" s="312">
        <f>IFERROR(INDEX(Data!CC$9:CC$1273,MATCH($M104,Data!$K$9:$K$1273,0)),"")</f>
        <v/>
      </c>
      <c r="AH104" s="312">
        <f>IFERROR(INDEX(Data!CD$9:CD$1273,MATCH($M104,Data!$K$9:$K$1273,0)),"")</f>
        <v/>
      </c>
      <c r="AI104" s="312">
        <f>IFERROR(INDEX(Data!CE$9:CE$1273,MATCH($M104,Data!$K$9:$K$1273,0)),"")</f>
        <v/>
      </c>
      <c r="AJ104" s="312">
        <f>IFERROR(INDEX(Data!CF$9:CF$1273,MATCH($M104,Data!$K$9:$K$1273,0)),"")</f>
        <v/>
      </c>
      <c r="AK104" s="312">
        <f>IFERROR(INDEX(Data!CG$9:CG$1273,MATCH($M104,Data!$K$9:$K$1273,0)),"")</f>
        <v/>
      </c>
      <c r="AL104" s="312">
        <f>IFERROR(INDEX(Data!CH$9:CH$1273,MATCH($M104,Data!$K$9:$K$1273,0)),"")</f>
        <v/>
      </c>
      <c r="AM104" s="312">
        <f>IFERROR(INDEX(Data!CI$9:CI$1273,MATCH($M104,Data!$K$9:$K$1273,0)),"")</f>
        <v/>
      </c>
      <c r="AN104" s="312">
        <f>IFERROR(INDEX(Data!CJ$9:CJ$1273,MATCH($M104,Data!$K$9:$K$1273,0)),"")</f>
        <v/>
      </c>
      <c r="AO104" s="312">
        <f>IFERROR(INDEX(Data!CK$9:CK$1273,MATCH($M104,Data!$K$9:$K$1273,0)),"")</f>
        <v/>
      </c>
      <c r="AP104" s="312">
        <f>IFERROR(INDEX(Data!CL$9:CL$1273,MATCH($M104,Data!$K$9:$K$1273,0)),"")</f>
        <v/>
      </c>
      <c r="AQ104" s="312">
        <f>IFERROR(INDEX(Data!CM$9:CM$1273,MATCH($M104,Data!$K$9:$K$1273,0)),"")</f>
        <v/>
      </c>
      <c r="AR104" s="312">
        <f>IFERROR(INDEX(Data!CN$9:CN$1273,MATCH($M104,Data!$K$9:$K$1273,0)),"")</f>
        <v/>
      </c>
      <c r="AS104" s="312">
        <f>IFERROR(INDEX(Data!CO$9:CO$1273,MATCH($M104,Data!$K$9:$K$1273,0)),"")</f>
        <v/>
      </c>
      <c r="AT104" s="312">
        <f>IFERROR(INDEX(Data!CP$9:CP$1273,MATCH($M104,Data!$K$9:$K$1273,0)),"")</f>
        <v/>
      </c>
      <c r="AU104" s="312">
        <f>IFERROR(INDEX(Data!CQ$9:CQ$1273,MATCH($M104,Data!$K$9:$K$1273,0)),"")</f>
        <v/>
      </c>
      <c r="AV104" s="312">
        <f>IFERROR(INDEX(Data!CR$9:CR$1273,MATCH($M104,Data!$K$9:$K$1273,0)),"")</f>
        <v/>
      </c>
      <c r="AW104" s="312">
        <f>IFERROR(INDEX(Data!CS$9:CS$1273,MATCH($M104,Data!$K$9:$K$1273,0)),"")</f>
        <v/>
      </c>
      <c r="AX104" s="312">
        <f>IFERROR(INDEX(Data!CT$9:CT$1273,MATCH($M104,Data!$K$9:$K$1273,0)),"")</f>
        <v/>
      </c>
      <c r="AY104" s="312">
        <f>IFERROR(INDEX(Data!CU$9:CU$1273,MATCH($M104,Data!$K$9:$K$1273,0)),"")</f>
        <v/>
      </c>
      <c r="AZ104" s="312">
        <f>IFERROR(INDEX(Data!CV$9:CV$1273,MATCH($M104,Data!$K$9:$K$1273,0)),"")</f>
        <v/>
      </c>
      <c r="BA104" s="312">
        <f>IFERROR(INDEX(Data!CX$9:CX$1273,MATCH($M104,Data!$K$9:$K$1273,0)),"")</f>
        <v/>
      </c>
      <c r="BB104" s="312">
        <f>IFERROR(INDEX(Data!CY$9:CY$1273,MATCH($M104,Data!$K$9:$K$1273,0)),"")</f>
        <v/>
      </c>
      <c r="BC104" s="312">
        <f>IFERROR(INDEX(Data!CZ$9:CZ$1273,MATCH($M104,Data!$K$9:$K$1273,0)),"")</f>
        <v/>
      </c>
      <c r="BD104" s="312">
        <f>IFERROR(INDEX(Data!DA$9:DA$1273,MATCH($M104,Data!$K$9:$K$1273,0)),"")</f>
        <v/>
      </c>
      <c r="BE104" s="312">
        <f>IFERROR(INDEX(Data!DB$9:DB$1273,MATCH($M104,Data!$K$9:$K$1273,0)),"")</f>
        <v/>
      </c>
      <c r="BF104" s="312">
        <f>IFERROR(INDEX(Data!DC$9:DC$1273,MATCH($M104,Data!$K$9:$K$1273,0)),"")</f>
        <v/>
      </c>
      <c r="BG104" s="312">
        <f>IFERROR(INDEX(Data!DD$9:DD$1273,MATCH($M104,Data!$K$9:$K$1273,0)),"")</f>
        <v/>
      </c>
      <c r="BH104" s="312">
        <f>IFERROR(INDEX(Data!DE$9:DE$1273,MATCH($M104,Data!$K$9:$K$1273,0)),"")</f>
        <v/>
      </c>
      <c r="BI104" s="312">
        <f>IFERROR(INDEX(Data!DF$9:DF$1273,MATCH($M104,Data!$K$9:$K$1273,0)),"")</f>
        <v/>
      </c>
      <c r="BJ104" s="312">
        <f>IFERROR(INDEX(Data!DG$9:DG$1273,MATCH($M104,Data!$K$9:$K$1273,0)),"")</f>
        <v/>
      </c>
      <c r="BK104" s="312">
        <f>IFERROR(INDEX(Data!DH$9:DH$1273,MATCH($M104,Data!$K$9:$K$1273,0)),"")</f>
        <v/>
      </c>
      <c r="BL104" s="312">
        <f>IFERROR(INDEX(Data!DI$9:DI$1273,MATCH($M104,Data!$K$9:$K$1273,0)),"")</f>
        <v/>
      </c>
      <c r="BM104" s="312">
        <f>IFERROR(INDEX(Data!DJ$9:DJ$1273,MATCH($M104,Data!$K$9:$K$1273,0)),"")</f>
        <v/>
      </c>
      <c r="BN104" s="312">
        <f>IFERROR(INDEX(Data!DK$9:DK$1273,MATCH($M104,Data!$K$9:$K$1273,0)),"")</f>
        <v/>
      </c>
      <c r="BO104" s="312">
        <f>IFERROR(INDEX(Data!DL$9:DL$1273,MATCH($M104,Data!$K$9:$K$1273,0)),"")</f>
        <v/>
      </c>
      <c r="BP104" s="331">
        <f>IFERROR(IF(BK104=0,"-",BK104),"")</f>
        <v/>
      </c>
      <c r="BQ104" s="312">
        <f>IFERROR(IF(BP104-K104&gt;0,TRUE,FALSE)," ")</f>
        <v/>
      </c>
      <c r="BR104" s="312">
        <f>_xlfn.CONCAT(E104,F104,H104,G104)</f>
        <v/>
      </c>
      <c r="BS104" s="312">
        <f>IFERROR(INDEX(Data!$DO$9:$DO$1273,MATCH('Your recommendation'!BR104,Data!$DN$9:$DN$1273,0)),"")</f>
        <v/>
      </c>
    </row>
    <row r="105" ht="15.6" customFormat="1" customHeight="1" s="138">
      <c r="B105" s="309">
        <f>IF(C105&gt;0,B104+1,"")</f>
        <v/>
      </c>
      <c r="C105" s="310" t="n"/>
      <c r="D105" s="312">
        <f>IFERROR(INDEX(Data!BR$9:BR$1273,MATCH($M105,Data!$K$9:$K$1273,0)),"")</f>
        <v/>
      </c>
      <c r="E105" s="312">
        <f>IFERROR(INDEX(Data!BS$9:BS$1273,MATCH($M105,Data!$K$9:$K$1273,0)),"")</f>
        <v/>
      </c>
      <c r="F105" s="312">
        <f>IFERROR(INDEX(Data!DM$9:DM$1273,MATCH($M105,Data!$K$9:$K$1273,0)),"")</f>
        <v/>
      </c>
      <c r="G105" s="312">
        <f>IFERROR(INDEX(Data!BV$9:BV$1273,MATCH($M105,Data!$K$9:$K$1273,0)),"")</f>
        <v/>
      </c>
      <c r="H105" s="312">
        <f>IFERROR(INDEX(Data!BW$9:BW$1273,MATCH($M105,Data!$K$9:$K$1273,0)),"")</f>
        <v/>
      </c>
      <c r="I105" s="312">
        <f>IFERROR(INDEX(Data!BX$9:BX$1273,MATCH($M105,Data!$K$9:$K$1273,0)),"")</f>
        <v/>
      </c>
      <c r="J105" s="312">
        <f>IFERROR(INDEX(Data!CB$9:CB$1273,MATCH($M105,Data!$K$9:$K$1273,0)),"")</f>
        <v/>
      </c>
      <c r="K105" s="329">
        <f>IFERROR(HYPERLINK(BM105,BC105),"-")</f>
        <v/>
      </c>
      <c r="L105" s="330">
        <f>IFERROR(IF(BB105=0,"-",BB105)," ")</f>
        <v/>
      </c>
      <c r="M105" s="311" t="n"/>
      <c r="N105" s="311" t="n"/>
      <c r="O105" s="311">
        <f>IFERROR(INDEX(Data!M$9:M$1273,MATCH($M105,Data!$K$9:$K$1273,0)),"")</f>
        <v/>
      </c>
      <c r="P105" s="311">
        <f>IFERROR(INDEX(Data!N$9:N$1273,MATCH($M105,Data!$K$9:$K$1273,0)),"")</f>
        <v/>
      </c>
      <c r="Q105" s="311">
        <f>IFERROR(INDEX(Data!O$9:O$1273,MATCH($M105,Data!$K$9:$K$1273,0)),"")</f>
        <v/>
      </c>
      <c r="R105" s="311">
        <f>IFERROR(INDEX(Data!P$9:P$1273,MATCH($M105,Data!$K$9:$K$1273,0)),"")</f>
        <v/>
      </c>
      <c r="S105" s="311">
        <f>IFERROR(INDEX(Data!S$9:S$1273,MATCH($M105,Data!$K$9:$K$1273,0)),"")</f>
        <v/>
      </c>
      <c r="T105" s="311">
        <f>IFERROR(INDEX(Data!T$9:T$1273,MATCH($M105,Data!$K$9:$K$1273,0)),"")</f>
        <v/>
      </c>
      <c r="U105" s="311">
        <f>IFERROR(INDEX(Data!U$9:U$1273,MATCH($M105,Data!$K$9:$K$1273,0)),"")</f>
        <v/>
      </c>
      <c r="V105" s="311">
        <f>IFERROR(INDEX(Data!V$9:V$1273,MATCH($M105,Data!$K$9:$K$1273,0)),"")</f>
        <v/>
      </c>
      <c r="W105" s="311">
        <f>IFERROR(INDEX(Data!W$9:W$1273,MATCH($M105,Data!$K$9:$K$1273,0)),"")</f>
        <v/>
      </c>
      <c r="X105" s="311">
        <f>IFERROR(INDEX(Data!AJ$9:AJ$1273,MATCH($M105,Data!$K$9:$K$1273,0)),"")</f>
        <v/>
      </c>
      <c r="Y105" s="311">
        <f>IFERROR(INDEX(Data!AK$9:AK$1273,MATCH($M105,Data!$K$9:$K$1273,0)),"")</f>
        <v/>
      </c>
      <c r="Z105" s="311">
        <f>IFERROR(INDEX(Data!AL$9:AL$1273,MATCH($M105,Data!$K$9:$K$1273,0)),"")</f>
        <v/>
      </c>
      <c r="AA105" s="311">
        <f>IFERROR(INDEX(Data!AM$9:AM$1273,MATCH($M105,Data!$K$9:$K$1273,0)),"")</f>
        <v/>
      </c>
      <c r="AB105" s="311">
        <f>IFERROR(INDEX(Data!AN$9:AN$1273,MATCH($M105,Data!$K$9:$K$1273,0)),"")</f>
        <v/>
      </c>
      <c r="AC105" s="312">
        <f>IFERROR(INDEX(Data!BY$9:BY$1273,MATCH($M105,Data!$K$9:$K$1273,0)),"")</f>
        <v/>
      </c>
      <c r="AD105" s="312">
        <f>IFERROR(INDEX(Data!BZ$9:BZ$1273,MATCH($M105,Data!$K$9:$K$1273,0)),"")</f>
        <v/>
      </c>
      <c r="AE105" s="312">
        <f>IFERROR(INDEX(Data!CA$9:CA$1273,MATCH($M105,Data!$K$9:$K$1273,0)),"")</f>
        <v/>
      </c>
      <c r="AF105" s="312">
        <f>IFERROR(INDEX(Data!CB$9:CB$1273,MATCH($M105,Data!$K$9:$K$1273,0)),"")</f>
        <v/>
      </c>
      <c r="AG105" s="312">
        <f>IFERROR(INDEX(Data!CC$9:CC$1273,MATCH($M105,Data!$K$9:$K$1273,0)),"")</f>
        <v/>
      </c>
      <c r="AH105" s="312">
        <f>IFERROR(INDEX(Data!CD$9:CD$1273,MATCH($M105,Data!$K$9:$K$1273,0)),"")</f>
        <v/>
      </c>
      <c r="AI105" s="312">
        <f>IFERROR(INDEX(Data!CE$9:CE$1273,MATCH($M105,Data!$K$9:$K$1273,0)),"")</f>
        <v/>
      </c>
      <c r="AJ105" s="312">
        <f>IFERROR(INDEX(Data!CF$9:CF$1273,MATCH($M105,Data!$K$9:$K$1273,0)),"")</f>
        <v/>
      </c>
      <c r="AK105" s="312">
        <f>IFERROR(INDEX(Data!CG$9:CG$1273,MATCH($M105,Data!$K$9:$K$1273,0)),"")</f>
        <v/>
      </c>
      <c r="AL105" s="312">
        <f>IFERROR(INDEX(Data!CH$9:CH$1273,MATCH($M105,Data!$K$9:$K$1273,0)),"")</f>
        <v/>
      </c>
      <c r="AM105" s="312">
        <f>IFERROR(INDEX(Data!CI$9:CI$1273,MATCH($M105,Data!$K$9:$K$1273,0)),"")</f>
        <v/>
      </c>
      <c r="AN105" s="312">
        <f>IFERROR(INDEX(Data!CJ$9:CJ$1273,MATCH($M105,Data!$K$9:$K$1273,0)),"")</f>
        <v/>
      </c>
      <c r="AO105" s="312">
        <f>IFERROR(INDEX(Data!CK$9:CK$1273,MATCH($M105,Data!$K$9:$K$1273,0)),"")</f>
        <v/>
      </c>
      <c r="AP105" s="312">
        <f>IFERROR(INDEX(Data!CL$9:CL$1273,MATCH($M105,Data!$K$9:$K$1273,0)),"")</f>
        <v/>
      </c>
      <c r="AQ105" s="312">
        <f>IFERROR(INDEX(Data!CM$9:CM$1273,MATCH($M105,Data!$K$9:$K$1273,0)),"")</f>
        <v/>
      </c>
      <c r="AR105" s="312">
        <f>IFERROR(INDEX(Data!CN$9:CN$1273,MATCH($M105,Data!$K$9:$K$1273,0)),"")</f>
        <v/>
      </c>
      <c r="AS105" s="312">
        <f>IFERROR(INDEX(Data!CO$9:CO$1273,MATCH($M105,Data!$K$9:$K$1273,0)),"")</f>
        <v/>
      </c>
      <c r="AT105" s="312">
        <f>IFERROR(INDEX(Data!CP$9:CP$1273,MATCH($M105,Data!$K$9:$K$1273,0)),"")</f>
        <v/>
      </c>
      <c r="AU105" s="312">
        <f>IFERROR(INDEX(Data!CQ$9:CQ$1273,MATCH($M105,Data!$K$9:$K$1273,0)),"")</f>
        <v/>
      </c>
      <c r="AV105" s="312">
        <f>IFERROR(INDEX(Data!CR$9:CR$1273,MATCH($M105,Data!$K$9:$K$1273,0)),"")</f>
        <v/>
      </c>
      <c r="AW105" s="312">
        <f>IFERROR(INDEX(Data!CS$9:CS$1273,MATCH($M105,Data!$K$9:$K$1273,0)),"")</f>
        <v/>
      </c>
      <c r="AX105" s="312">
        <f>IFERROR(INDEX(Data!CT$9:CT$1273,MATCH($M105,Data!$K$9:$K$1273,0)),"")</f>
        <v/>
      </c>
      <c r="AY105" s="312">
        <f>IFERROR(INDEX(Data!CU$9:CU$1273,MATCH($M105,Data!$K$9:$K$1273,0)),"")</f>
        <v/>
      </c>
      <c r="AZ105" s="312">
        <f>IFERROR(INDEX(Data!CV$9:CV$1273,MATCH($M105,Data!$K$9:$K$1273,0)),"")</f>
        <v/>
      </c>
      <c r="BA105" s="312">
        <f>IFERROR(INDEX(Data!CX$9:CX$1273,MATCH($M105,Data!$K$9:$K$1273,0)),"")</f>
        <v/>
      </c>
      <c r="BB105" s="312">
        <f>IFERROR(INDEX(Data!CY$9:CY$1273,MATCH($M105,Data!$K$9:$K$1273,0)),"")</f>
        <v/>
      </c>
      <c r="BC105" s="312">
        <f>IFERROR(INDEX(Data!CZ$9:CZ$1273,MATCH($M105,Data!$K$9:$K$1273,0)),"")</f>
        <v/>
      </c>
      <c r="BD105" s="312">
        <f>IFERROR(INDEX(Data!DA$9:DA$1273,MATCH($M105,Data!$K$9:$K$1273,0)),"")</f>
        <v/>
      </c>
      <c r="BE105" s="312">
        <f>IFERROR(INDEX(Data!DB$9:DB$1273,MATCH($M105,Data!$K$9:$K$1273,0)),"")</f>
        <v/>
      </c>
      <c r="BF105" s="312">
        <f>IFERROR(INDEX(Data!DC$9:DC$1273,MATCH($M105,Data!$K$9:$K$1273,0)),"")</f>
        <v/>
      </c>
      <c r="BG105" s="312">
        <f>IFERROR(INDEX(Data!DD$9:DD$1273,MATCH($M105,Data!$K$9:$K$1273,0)),"")</f>
        <v/>
      </c>
      <c r="BH105" s="312">
        <f>IFERROR(INDEX(Data!DE$9:DE$1273,MATCH($M105,Data!$K$9:$K$1273,0)),"")</f>
        <v/>
      </c>
      <c r="BI105" s="312">
        <f>IFERROR(INDEX(Data!DF$9:DF$1273,MATCH($M105,Data!$K$9:$K$1273,0)),"")</f>
        <v/>
      </c>
      <c r="BJ105" s="312">
        <f>IFERROR(INDEX(Data!DG$9:DG$1273,MATCH($M105,Data!$K$9:$K$1273,0)),"")</f>
        <v/>
      </c>
      <c r="BK105" s="312">
        <f>IFERROR(INDEX(Data!DH$9:DH$1273,MATCH($M105,Data!$K$9:$K$1273,0)),"")</f>
        <v/>
      </c>
      <c r="BL105" s="312">
        <f>IFERROR(INDEX(Data!DI$9:DI$1273,MATCH($M105,Data!$K$9:$K$1273,0)),"")</f>
        <v/>
      </c>
      <c r="BM105" s="312">
        <f>IFERROR(INDEX(Data!DJ$9:DJ$1273,MATCH($M105,Data!$K$9:$K$1273,0)),"")</f>
        <v/>
      </c>
      <c r="BN105" s="312">
        <f>IFERROR(INDEX(Data!DK$9:DK$1273,MATCH($M105,Data!$K$9:$K$1273,0)),"")</f>
        <v/>
      </c>
      <c r="BO105" s="312">
        <f>IFERROR(INDEX(Data!DL$9:DL$1273,MATCH($M105,Data!$K$9:$K$1273,0)),"")</f>
        <v/>
      </c>
      <c r="BP105" s="331">
        <f>IFERROR(IF(BK105=0,"-",BK105),"")</f>
        <v/>
      </c>
      <c r="BQ105" s="312">
        <f>IFERROR(IF(BP105-K105&gt;0,TRUE,FALSE)," ")</f>
        <v/>
      </c>
      <c r="BR105" s="312">
        <f>_xlfn.CONCAT(E105,F105,H105,G105)</f>
        <v/>
      </c>
      <c r="BS105" s="312">
        <f>IFERROR(INDEX(Data!$DO$9:$DO$1273,MATCH('Your recommendation'!BR105,Data!$DN$9:$DN$1273,0)),"")</f>
        <v/>
      </c>
    </row>
    <row r="106" ht="15.6" customFormat="1" customHeight="1" s="138">
      <c r="B106" s="309">
        <f>IF(C106&gt;0,B105+1,"")</f>
        <v/>
      </c>
      <c r="C106" s="310" t="n"/>
      <c r="D106" s="312">
        <f>IFERROR(INDEX(Data!BR$9:BR$1273,MATCH($M106,Data!$K$9:$K$1273,0)),"")</f>
        <v/>
      </c>
      <c r="E106" s="312">
        <f>IFERROR(INDEX(Data!BS$9:BS$1273,MATCH($M106,Data!$K$9:$K$1273,0)),"")</f>
        <v/>
      </c>
      <c r="F106" s="312">
        <f>IFERROR(INDEX(Data!DM$9:DM$1273,MATCH($M106,Data!$K$9:$K$1273,0)),"")</f>
        <v/>
      </c>
      <c r="G106" s="312">
        <f>IFERROR(INDEX(Data!BV$9:BV$1273,MATCH($M106,Data!$K$9:$K$1273,0)),"")</f>
        <v/>
      </c>
      <c r="H106" s="312">
        <f>IFERROR(INDEX(Data!BW$9:BW$1273,MATCH($M106,Data!$K$9:$K$1273,0)),"")</f>
        <v/>
      </c>
      <c r="I106" s="312">
        <f>IFERROR(INDEX(Data!BX$9:BX$1273,MATCH($M106,Data!$K$9:$K$1273,0)),"")</f>
        <v/>
      </c>
      <c r="J106" s="312">
        <f>IFERROR(INDEX(Data!CB$9:CB$1273,MATCH($M106,Data!$K$9:$K$1273,0)),"")</f>
        <v/>
      </c>
      <c r="K106" s="329">
        <f>IFERROR(HYPERLINK(BM106,BC106),"-")</f>
        <v/>
      </c>
      <c r="L106" s="330">
        <f>IFERROR(IF(BB106=0,"-",BB106)," ")</f>
        <v/>
      </c>
      <c r="M106" s="311" t="n"/>
      <c r="N106" s="311" t="n"/>
      <c r="O106" s="311">
        <f>IFERROR(INDEX(Data!M$9:M$1273,MATCH($M106,Data!$K$9:$K$1273,0)),"")</f>
        <v/>
      </c>
      <c r="P106" s="311">
        <f>IFERROR(INDEX(Data!N$9:N$1273,MATCH($M106,Data!$K$9:$K$1273,0)),"")</f>
        <v/>
      </c>
      <c r="Q106" s="311">
        <f>IFERROR(INDEX(Data!O$9:O$1273,MATCH($M106,Data!$K$9:$K$1273,0)),"")</f>
        <v/>
      </c>
      <c r="R106" s="311">
        <f>IFERROR(INDEX(Data!P$9:P$1273,MATCH($M106,Data!$K$9:$K$1273,0)),"")</f>
        <v/>
      </c>
      <c r="S106" s="311">
        <f>IFERROR(INDEX(Data!S$9:S$1273,MATCH($M106,Data!$K$9:$K$1273,0)),"")</f>
        <v/>
      </c>
      <c r="T106" s="311">
        <f>IFERROR(INDEX(Data!T$9:T$1273,MATCH($M106,Data!$K$9:$K$1273,0)),"")</f>
        <v/>
      </c>
      <c r="U106" s="311">
        <f>IFERROR(INDEX(Data!U$9:U$1273,MATCH($M106,Data!$K$9:$K$1273,0)),"")</f>
        <v/>
      </c>
      <c r="V106" s="311">
        <f>IFERROR(INDEX(Data!V$9:V$1273,MATCH($M106,Data!$K$9:$K$1273,0)),"")</f>
        <v/>
      </c>
      <c r="W106" s="311">
        <f>IFERROR(INDEX(Data!W$9:W$1273,MATCH($M106,Data!$K$9:$K$1273,0)),"")</f>
        <v/>
      </c>
      <c r="X106" s="311">
        <f>IFERROR(INDEX(Data!AJ$9:AJ$1273,MATCH($M106,Data!$K$9:$K$1273,0)),"")</f>
        <v/>
      </c>
      <c r="Y106" s="311">
        <f>IFERROR(INDEX(Data!AK$9:AK$1273,MATCH($M106,Data!$K$9:$K$1273,0)),"")</f>
        <v/>
      </c>
      <c r="Z106" s="311">
        <f>IFERROR(INDEX(Data!AL$9:AL$1273,MATCH($M106,Data!$K$9:$K$1273,0)),"")</f>
        <v/>
      </c>
      <c r="AA106" s="311">
        <f>IFERROR(INDEX(Data!AM$9:AM$1273,MATCH($M106,Data!$K$9:$K$1273,0)),"")</f>
        <v/>
      </c>
      <c r="AB106" s="311">
        <f>IFERROR(INDEX(Data!AN$9:AN$1273,MATCH($M106,Data!$K$9:$K$1273,0)),"")</f>
        <v/>
      </c>
      <c r="AC106" s="312">
        <f>IFERROR(INDEX(Data!BY$9:BY$1273,MATCH($M106,Data!$K$9:$K$1273,0)),"")</f>
        <v/>
      </c>
      <c r="AD106" s="312">
        <f>IFERROR(INDEX(Data!BZ$9:BZ$1273,MATCH($M106,Data!$K$9:$K$1273,0)),"")</f>
        <v/>
      </c>
      <c r="AE106" s="312">
        <f>IFERROR(INDEX(Data!CA$9:CA$1273,MATCH($M106,Data!$K$9:$K$1273,0)),"")</f>
        <v/>
      </c>
      <c r="AF106" s="312">
        <f>IFERROR(INDEX(Data!CB$9:CB$1273,MATCH($M106,Data!$K$9:$K$1273,0)),"")</f>
        <v/>
      </c>
      <c r="AG106" s="312">
        <f>IFERROR(INDEX(Data!CC$9:CC$1273,MATCH($M106,Data!$K$9:$K$1273,0)),"")</f>
        <v/>
      </c>
      <c r="AH106" s="312">
        <f>IFERROR(INDEX(Data!CD$9:CD$1273,MATCH($M106,Data!$K$9:$K$1273,0)),"")</f>
        <v/>
      </c>
      <c r="AI106" s="312">
        <f>IFERROR(INDEX(Data!CE$9:CE$1273,MATCH($M106,Data!$K$9:$K$1273,0)),"")</f>
        <v/>
      </c>
      <c r="AJ106" s="312">
        <f>IFERROR(INDEX(Data!CF$9:CF$1273,MATCH($M106,Data!$K$9:$K$1273,0)),"")</f>
        <v/>
      </c>
      <c r="AK106" s="312">
        <f>IFERROR(INDEX(Data!CG$9:CG$1273,MATCH($M106,Data!$K$9:$K$1273,0)),"")</f>
        <v/>
      </c>
      <c r="AL106" s="312">
        <f>IFERROR(INDEX(Data!CH$9:CH$1273,MATCH($M106,Data!$K$9:$K$1273,0)),"")</f>
        <v/>
      </c>
      <c r="AM106" s="312">
        <f>IFERROR(INDEX(Data!CI$9:CI$1273,MATCH($M106,Data!$K$9:$K$1273,0)),"")</f>
        <v/>
      </c>
      <c r="AN106" s="312">
        <f>IFERROR(INDEX(Data!CJ$9:CJ$1273,MATCH($M106,Data!$K$9:$K$1273,0)),"")</f>
        <v/>
      </c>
      <c r="AO106" s="312">
        <f>IFERROR(INDEX(Data!CK$9:CK$1273,MATCH($M106,Data!$K$9:$K$1273,0)),"")</f>
        <v/>
      </c>
      <c r="AP106" s="312">
        <f>IFERROR(INDEX(Data!CL$9:CL$1273,MATCH($M106,Data!$K$9:$K$1273,0)),"")</f>
        <v/>
      </c>
      <c r="AQ106" s="312">
        <f>IFERROR(INDEX(Data!CM$9:CM$1273,MATCH($M106,Data!$K$9:$K$1273,0)),"")</f>
        <v/>
      </c>
      <c r="AR106" s="312">
        <f>IFERROR(INDEX(Data!CN$9:CN$1273,MATCH($M106,Data!$K$9:$K$1273,0)),"")</f>
        <v/>
      </c>
      <c r="AS106" s="312">
        <f>IFERROR(INDEX(Data!CO$9:CO$1273,MATCH($M106,Data!$K$9:$K$1273,0)),"")</f>
        <v/>
      </c>
      <c r="AT106" s="312">
        <f>IFERROR(INDEX(Data!CP$9:CP$1273,MATCH($M106,Data!$K$9:$K$1273,0)),"")</f>
        <v/>
      </c>
      <c r="AU106" s="312">
        <f>IFERROR(INDEX(Data!CQ$9:CQ$1273,MATCH($M106,Data!$K$9:$K$1273,0)),"")</f>
        <v/>
      </c>
      <c r="AV106" s="312">
        <f>IFERROR(INDEX(Data!CR$9:CR$1273,MATCH($M106,Data!$K$9:$K$1273,0)),"")</f>
        <v/>
      </c>
      <c r="AW106" s="312">
        <f>IFERROR(INDEX(Data!CS$9:CS$1273,MATCH($M106,Data!$K$9:$K$1273,0)),"")</f>
        <v/>
      </c>
      <c r="AX106" s="312">
        <f>IFERROR(INDEX(Data!CT$9:CT$1273,MATCH($M106,Data!$K$9:$K$1273,0)),"")</f>
        <v/>
      </c>
      <c r="AY106" s="312">
        <f>IFERROR(INDEX(Data!CU$9:CU$1273,MATCH($M106,Data!$K$9:$K$1273,0)),"")</f>
        <v/>
      </c>
      <c r="AZ106" s="312">
        <f>IFERROR(INDEX(Data!CV$9:CV$1273,MATCH($M106,Data!$K$9:$K$1273,0)),"")</f>
        <v/>
      </c>
      <c r="BA106" s="312">
        <f>IFERROR(INDEX(Data!CX$9:CX$1273,MATCH($M106,Data!$K$9:$K$1273,0)),"")</f>
        <v/>
      </c>
      <c r="BB106" s="312">
        <f>IFERROR(INDEX(Data!CY$9:CY$1273,MATCH($M106,Data!$K$9:$K$1273,0)),"")</f>
        <v/>
      </c>
      <c r="BC106" s="312">
        <f>IFERROR(INDEX(Data!CZ$9:CZ$1273,MATCH($M106,Data!$K$9:$K$1273,0)),"")</f>
        <v/>
      </c>
      <c r="BD106" s="312">
        <f>IFERROR(INDEX(Data!DA$9:DA$1273,MATCH($M106,Data!$K$9:$K$1273,0)),"")</f>
        <v/>
      </c>
      <c r="BE106" s="312">
        <f>IFERROR(INDEX(Data!DB$9:DB$1273,MATCH($M106,Data!$K$9:$K$1273,0)),"")</f>
        <v/>
      </c>
      <c r="BF106" s="312">
        <f>IFERROR(INDEX(Data!DC$9:DC$1273,MATCH($M106,Data!$K$9:$K$1273,0)),"")</f>
        <v/>
      </c>
      <c r="BG106" s="312">
        <f>IFERROR(INDEX(Data!DD$9:DD$1273,MATCH($M106,Data!$K$9:$K$1273,0)),"")</f>
        <v/>
      </c>
      <c r="BH106" s="312">
        <f>IFERROR(INDEX(Data!DE$9:DE$1273,MATCH($M106,Data!$K$9:$K$1273,0)),"")</f>
        <v/>
      </c>
      <c r="BI106" s="312">
        <f>IFERROR(INDEX(Data!DF$9:DF$1273,MATCH($M106,Data!$K$9:$K$1273,0)),"")</f>
        <v/>
      </c>
      <c r="BJ106" s="312">
        <f>IFERROR(INDEX(Data!DG$9:DG$1273,MATCH($M106,Data!$K$9:$K$1273,0)),"")</f>
        <v/>
      </c>
      <c r="BK106" s="312">
        <f>IFERROR(INDEX(Data!DH$9:DH$1273,MATCH($M106,Data!$K$9:$K$1273,0)),"")</f>
        <v/>
      </c>
      <c r="BL106" s="312">
        <f>IFERROR(INDEX(Data!DI$9:DI$1273,MATCH($M106,Data!$K$9:$K$1273,0)),"")</f>
        <v/>
      </c>
      <c r="BM106" s="312">
        <f>IFERROR(INDEX(Data!DJ$9:DJ$1273,MATCH($M106,Data!$K$9:$K$1273,0)),"")</f>
        <v/>
      </c>
      <c r="BN106" s="312">
        <f>IFERROR(INDEX(Data!DK$9:DK$1273,MATCH($M106,Data!$K$9:$K$1273,0)),"")</f>
        <v/>
      </c>
      <c r="BO106" s="312">
        <f>IFERROR(INDEX(Data!DL$9:DL$1273,MATCH($M106,Data!$K$9:$K$1273,0)),"")</f>
        <v/>
      </c>
      <c r="BP106" s="331">
        <f>IFERROR(IF(BK106=0,"-",BK106),"")</f>
        <v/>
      </c>
      <c r="BQ106" s="312">
        <f>IFERROR(IF(BP106-K106&gt;0,TRUE,FALSE)," ")</f>
        <v/>
      </c>
      <c r="BR106" s="312">
        <f>_xlfn.CONCAT(E106,F106,H106,G106)</f>
        <v/>
      </c>
      <c r="BS106" s="312">
        <f>IFERROR(INDEX(Data!$DO$9:$DO$1273,MATCH('Your recommendation'!BR106,Data!$DN$9:$DN$1273,0)),"")</f>
        <v/>
      </c>
    </row>
    <row r="107" ht="15.6" customFormat="1" customHeight="1" s="138">
      <c r="B107" s="309">
        <f>IF(C107&gt;0,B106+1,"")</f>
        <v/>
      </c>
      <c r="C107" s="310" t="n"/>
      <c r="D107" s="312">
        <f>IFERROR(INDEX(Data!BR$9:BR$1273,MATCH($M107,Data!$K$9:$K$1273,0)),"")</f>
        <v/>
      </c>
      <c r="E107" s="312">
        <f>IFERROR(INDEX(Data!BS$9:BS$1273,MATCH($M107,Data!$K$9:$K$1273,0)),"")</f>
        <v/>
      </c>
      <c r="F107" s="312">
        <f>IFERROR(INDEX(Data!DM$9:DM$1273,MATCH($M107,Data!$K$9:$K$1273,0)),"")</f>
        <v/>
      </c>
      <c r="G107" s="312">
        <f>IFERROR(INDEX(Data!BV$9:BV$1273,MATCH($M107,Data!$K$9:$K$1273,0)),"")</f>
        <v/>
      </c>
      <c r="H107" s="312">
        <f>IFERROR(INDEX(Data!BW$9:BW$1273,MATCH($M107,Data!$K$9:$K$1273,0)),"")</f>
        <v/>
      </c>
      <c r="I107" s="312">
        <f>IFERROR(INDEX(Data!BX$9:BX$1273,MATCH($M107,Data!$K$9:$K$1273,0)),"")</f>
        <v/>
      </c>
      <c r="J107" s="312">
        <f>IFERROR(INDEX(Data!CB$9:CB$1273,MATCH($M107,Data!$K$9:$K$1273,0)),"")</f>
        <v/>
      </c>
      <c r="K107" s="329">
        <f>IFERROR(HYPERLINK(BM107,BC107),"-")</f>
        <v/>
      </c>
      <c r="L107" s="330">
        <f>IFERROR(IF(BB107=0,"-",BB107)," ")</f>
        <v/>
      </c>
      <c r="M107" s="311" t="n"/>
      <c r="N107" s="311" t="n"/>
      <c r="O107" s="311">
        <f>IFERROR(INDEX(Data!M$9:M$1273,MATCH($M107,Data!$K$9:$K$1273,0)),"")</f>
        <v/>
      </c>
      <c r="P107" s="311">
        <f>IFERROR(INDEX(Data!N$9:N$1273,MATCH($M107,Data!$K$9:$K$1273,0)),"")</f>
        <v/>
      </c>
      <c r="Q107" s="311">
        <f>IFERROR(INDEX(Data!O$9:O$1273,MATCH($M107,Data!$K$9:$K$1273,0)),"")</f>
        <v/>
      </c>
      <c r="R107" s="311">
        <f>IFERROR(INDEX(Data!P$9:P$1273,MATCH($M107,Data!$K$9:$K$1273,0)),"")</f>
        <v/>
      </c>
      <c r="S107" s="311">
        <f>IFERROR(INDEX(Data!S$9:S$1273,MATCH($M107,Data!$K$9:$K$1273,0)),"")</f>
        <v/>
      </c>
      <c r="T107" s="311">
        <f>IFERROR(INDEX(Data!T$9:T$1273,MATCH($M107,Data!$K$9:$K$1273,0)),"")</f>
        <v/>
      </c>
      <c r="U107" s="311">
        <f>IFERROR(INDEX(Data!U$9:U$1273,MATCH($M107,Data!$K$9:$K$1273,0)),"")</f>
        <v/>
      </c>
      <c r="V107" s="311">
        <f>IFERROR(INDEX(Data!V$9:V$1273,MATCH($M107,Data!$K$9:$K$1273,0)),"")</f>
        <v/>
      </c>
      <c r="W107" s="311">
        <f>IFERROR(INDEX(Data!W$9:W$1273,MATCH($M107,Data!$K$9:$K$1273,0)),"")</f>
        <v/>
      </c>
      <c r="X107" s="311">
        <f>IFERROR(INDEX(Data!AJ$9:AJ$1273,MATCH($M107,Data!$K$9:$K$1273,0)),"")</f>
        <v/>
      </c>
      <c r="Y107" s="311">
        <f>IFERROR(INDEX(Data!AK$9:AK$1273,MATCH($M107,Data!$K$9:$K$1273,0)),"")</f>
        <v/>
      </c>
      <c r="Z107" s="311">
        <f>IFERROR(INDEX(Data!AL$9:AL$1273,MATCH($M107,Data!$K$9:$K$1273,0)),"")</f>
        <v/>
      </c>
      <c r="AA107" s="311">
        <f>IFERROR(INDEX(Data!AM$9:AM$1273,MATCH($M107,Data!$K$9:$K$1273,0)),"")</f>
        <v/>
      </c>
      <c r="AB107" s="311">
        <f>IFERROR(INDEX(Data!AN$9:AN$1273,MATCH($M107,Data!$K$9:$K$1273,0)),"")</f>
        <v/>
      </c>
      <c r="AC107" s="312">
        <f>IFERROR(INDEX(Data!BY$9:BY$1273,MATCH($M107,Data!$K$9:$K$1273,0)),"")</f>
        <v/>
      </c>
      <c r="AD107" s="312">
        <f>IFERROR(INDEX(Data!BZ$9:BZ$1273,MATCH($M107,Data!$K$9:$K$1273,0)),"")</f>
        <v/>
      </c>
      <c r="AE107" s="312">
        <f>IFERROR(INDEX(Data!CA$9:CA$1273,MATCH($M107,Data!$K$9:$K$1273,0)),"")</f>
        <v/>
      </c>
      <c r="AF107" s="312">
        <f>IFERROR(INDEX(Data!CB$9:CB$1273,MATCH($M107,Data!$K$9:$K$1273,0)),"")</f>
        <v/>
      </c>
      <c r="AG107" s="312">
        <f>IFERROR(INDEX(Data!CC$9:CC$1273,MATCH($M107,Data!$K$9:$K$1273,0)),"")</f>
        <v/>
      </c>
      <c r="AH107" s="312">
        <f>IFERROR(INDEX(Data!CD$9:CD$1273,MATCH($M107,Data!$K$9:$K$1273,0)),"")</f>
        <v/>
      </c>
      <c r="AI107" s="312">
        <f>IFERROR(INDEX(Data!CE$9:CE$1273,MATCH($M107,Data!$K$9:$K$1273,0)),"")</f>
        <v/>
      </c>
      <c r="AJ107" s="312">
        <f>IFERROR(INDEX(Data!CF$9:CF$1273,MATCH($M107,Data!$K$9:$K$1273,0)),"")</f>
        <v/>
      </c>
      <c r="AK107" s="312">
        <f>IFERROR(INDEX(Data!CG$9:CG$1273,MATCH($M107,Data!$K$9:$K$1273,0)),"")</f>
        <v/>
      </c>
      <c r="AL107" s="312">
        <f>IFERROR(INDEX(Data!CH$9:CH$1273,MATCH($M107,Data!$K$9:$K$1273,0)),"")</f>
        <v/>
      </c>
      <c r="AM107" s="312">
        <f>IFERROR(INDEX(Data!CI$9:CI$1273,MATCH($M107,Data!$K$9:$K$1273,0)),"")</f>
        <v/>
      </c>
      <c r="AN107" s="312">
        <f>IFERROR(INDEX(Data!CJ$9:CJ$1273,MATCH($M107,Data!$K$9:$K$1273,0)),"")</f>
        <v/>
      </c>
      <c r="AO107" s="312">
        <f>IFERROR(INDEX(Data!CK$9:CK$1273,MATCH($M107,Data!$K$9:$K$1273,0)),"")</f>
        <v/>
      </c>
      <c r="AP107" s="312">
        <f>IFERROR(INDEX(Data!CL$9:CL$1273,MATCH($M107,Data!$K$9:$K$1273,0)),"")</f>
        <v/>
      </c>
      <c r="AQ107" s="312">
        <f>IFERROR(INDEX(Data!CM$9:CM$1273,MATCH($M107,Data!$K$9:$K$1273,0)),"")</f>
        <v/>
      </c>
      <c r="AR107" s="312">
        <f>IFERROR(INDEX(Data!CN$9:CN$1273,MATCH($M107,Data!$K$9:$K$1273,0)),"")</f>
        <v/>
      </c>
      <c r="AS107" s="312">
        <f>IFERROR(INDEX(Data!CO$9:CO$1273,MATCH($M107,Data!$K$9:$K$1273,0)),"")</f>
        <v/>
      </c>
      <c r="AT107" s="312">
        <f>IFERROR(INDEX(Data!CP$9:CP$1273,MATCH($M107,Data!$K$9:$K$1273,0)),"")</f>
        <v/>
      </c>
      <c r="AU107" s="312">
        <f>IFERROR(INDEX(Data!CQ$9:CQ$1273,MATCH($M107,Data!$K$9:$K$1273,0)),"")</f>
        <v/>
      </c>
      <c r="AV107" s="312">
        <f>IFERROR(INDEX(Data!CR$9:CR$1273,MATCH($M107,Data!$K$9:$K$1273,0)),"")</f>
        <v/>
      </c>
      <c r="AW107" s="312">
        <f>IFERROR(INDEX(Data!CS$9:CS$1273,MATCH($M107,Data!$K$9:$K$1273,0)),"")</f>
        <v/>
      </c>
      <c r="AX107" s="312">
        <f>IFERROR(INDEX(Data!CT$9:CT$1273,MATCH($M107,Data!$K$9:$K$1273,0)),"")</f>
        <v/>
      </c>
      <c r="AY107" s="312">
        <f>IFERROR(INDEX(Data!CU$9:CU$1273,MATCH($M107,Data!$K$9:$K$1273,0)),"")</f>
        <v/>
      </c>
      <c r="AZ107" s="312">
        <f>IFERROR(INDEX(Data!CV$9:CV$1273,MATCH($M107,Data!$K$9:$K$1273,0)),"")</f>
        <v/>
      </c>
      <c r="BA107" s="312">
        <f>IFERROR(INDEX(Data!CX$9:CX$1273,MATCH($M107,Data!$K$9:$K$1273,0)),"")</f>
        <v/>
      </c>
      <c r="BB107" s="312">
        <f>IFERROR(INDEX(Data!CY$9:CY$1273,MATCH($M107,Data!$K$9:$K$1273,0)),"")</f>
        <v/>
      </c>
      <c r="BC107" s="312">
        <f>IFERROR(INDEX(Data!CZ$9:CZ$1273,MATCH($M107,Data!$K$9:$K$1273,0)),"")</f>
        <v/>
      </c>
      <c r="BD107" s="312">
        <f>IFERROR(INDEX(Data!DA$9:DA$1273,MATCH($M107,Data!$K$9:$K$1273,0)),"")</f>
        <v/>
      </c>
      <c r="BE107" s="312">
        <f>IFERROR(INDEX(Data!DB$9:DB$1273,MATCH($M107,Data!$K$9:$K$1273,0)),"")</f>
        <v/>
      </c>
      <c r="BF107" s="312">
        <f>IFERROR(INDEX(Data!DC$9:DC$1273,MATCH($M107,Data!$K$9:$K$1273,0)),"")</f>
        <v/>
      </c>
      <c r="BG107" s="312">
        <f>IFERROR(INDEX(Data!DD$9:DD$1273,MATCH($M107,Data!$K$9:$K$1273,0)),"")</f>
        <v/>
      </c>
      <c r="BH107" s="312">
        <f>IFERROR(INDEX(Data!DE$9:DE$1273,MATCH($M107,Data!$K$9:$K$1273,0)),"")</f>
        <v/>
      </c>
      <c r="BI107" s="312">
        <f>IFERROR(INDEX(Data!DF$9:DF$1273,MATCH($M107,Data!$K$9:$K$1273,0)),"")</f>
        <v/>
      </c>
      <c r="BJ107" s="312">
        <f>IFERROR(INDEX(Data!DG$9:DG$1273,MATCH($M107,Data!$K$9:$K$1273,0)),"")</f>
        <v/>
      </c>
      <c r="BK107" s="312">
        <f>IFERROR(INDEX(Data!DH$9:DH$1273,MATCH($M107,Data!$K$9:$K$1273,0)),"")</f>
        <v/>
      </c>
      <c r="BL107" s="312">
        <f>IFERROR(INDEX(Data!DI$9:DI$1273,MATCH($M107,Data!$K$9:$K$1273,0)),"")</f>
        <v/>
      </c>
      <c r="BM107" s="312">
        <f>IFERROR(INDEX(Data!DJ$9:DJ$1273,MATCH($M107,Data!$K$9:$K$1273,0)),"")</f>
        <v/>
      </c>
      <c r="BN107" s="312">
        <f>IFERROR(INDEX(Data!DK$9:DK$1273,MATCH($M107,Data!$K$9:$K$1273,0)),"")</f>
        <v/>
      </c>
      <c r="BO107" s="312">
        <f>IFERROR(INDEX(Data!DL$9:DL$1273,MATCH($M107,Data!$K$9:$K$1273,0)),"")</f>
        <v/>
      </c>
      <c r="BP107" s="331">
        <f>IFERROR(IF(BK107=0,"-",BK107),"")</f>
        <v/>
      </c>
      <c r="BQ107" s="312">
        <f>IFERROR(IF(BP107-K107&gt;0,TRUE,FALSE)," ")</f>
        <v/>
      </c>
      <c r="BR107" s="312">
        <f>_xlfn.CONCAT(E107,F107,H107,G107)</f>
        <v/>
      </c>
      <c r="BS107" s="312">
        <f>IFERROR(INDEX(Data!$DO$9:$DO$1273,MATCH('Your recommendation'!BR107,Data!$DN$9:$DN$1273,0)),"")</f>
        <v/>
      </c>
    </row>
    <row r="108" ht="15.6" customFormat="1" customHeight="1" s="138">
      <c r="B108" s="309">
        <f>IF(C108&gt;0,B107+1,"")</f>
        <v/>
      </c>
      <c r="C108" s="310" t="n"/>
      <c r="D108" s="312">
        <f>IFERROR(INDEX(Data!BR$9:BR$1273,MATCH($M108,Data!$K$9:$K$1273,0)),"")</f>
        <v/>
      </c>
      <c r="E108" s="312">
        <f>IFERROR(INDEX(Data!BS$9:BS$1273,MATCH($M108,Data!$K$9:$K$1273,0)),"")</f>
        <v/>
      </c>
      <c r="F108" s="312">
        <f>IFERROR(INDEX(Data!DM$9:DM$1273,MATCH($M108,Data!$K$9:$K$1273,0)),"")</f>
        <v/>
      </c>
      <c r="G108" s="312">
        <f>IFERROR(INDEX(Data!BV$9:BV$1273,MATCH($M108,Data!$K$9:$K$1273,0)),"")</f>
        <v/>
      </c>
      <c r="H108" s="312">
        <f>IFERROR(INDEX(Data!BW$9:BW$1273,MATCH($M108,Data!$K$9:$K$1273,0)),"")</f>
        <v/>
      </c>
      <c r="I108" s="312">
        <f>IFERROR(INDEX(Data!BX$9:BX$1273,MATCH($M108,Data!$K$9:$K$1273,0)),"")</f>
        <v/>
      </c>
      <c r="J108" s="312">
        <f>IFERROR(INDEX(Data!CB$9:CB$1273,MATCH($M108,Data!$K$9:$K$1273,0)),"")</f>
        <v/>
      </c>
      <c r="K108" s="329">
        <f>IFERROR(HYPERLINK(BM108,BC108),"-")</f>
        <v/>
      </c>
      <c r="L108" s="330">
        <f>IFERROR(IF(BB108=0,"-",BB108)," ")</f>
        <v/>
      </c>
      <c r="M108" s="311" t="n"/>
      <c r="N108" s="311" t="n"/>
      <c r="O108" s="311">
        <f>IFERROR(INDEX(Data!M$9:M$1273,MATCH($M108,Data!$K$9:$K$1273,0)),"")</f>
        <v/>
      </c>
      <c r="P108" s="311">
        <f>IFERROR(INDEX(Data!N$9:N$1273,MATCH($M108,Data!$K$9:$K$1273,0)),"")</f>
        <v/>
      </c>
      <c r="Q108" s="311">
        <f>IFERROR(INDEX(Data!O$9:O$1273,MATCH($M108,Data!$K$9:$K$1273,0)),"")</f>
        <v/>
      </c>
      <c r="R108" s="311">
        <f>IFERROR(INDEX(Data!P$9:P$1273,MATCH($M108,Data!$K$9:$K$1273,0)),"")</f>
        <v/>
      </c>
      <c r="S108" s="311">
        <f>IFERROR(INDEX(Data!S$9:S$1273,MATCH($M108,Data!$K$9:$K$1273,0)),"")</f>
        <v/>
      </c>
      <c r="T108" s="311">
        <f>IFERROR(INDEX(Data!T$9:T$1273,MATCH($M108,Data!$K$9:$K$1273,0)),"")</f>
        <v/>
      </c>
      <c r="U108" s="311">
        <f>IFERROR(INDEX(Data!U$9:U$1273,MATCH($M108,Data!$K$9:$K$1273,0)),"")</f>
        <v/>
      </c>
      <c r="V108" s="311">
        <f>IFERROR(INDEX(Data!V$9:V$1273,MATCH($M108,Data!$K$9:$K$1273,0)),"")</f>
        <v/>
      </c>
      <c r="W108" s="311">
        <f>IFERROR(INDEX(Data!W$9:W$1273,MATCH($M108,Data!$K$9:$K$1273,0)),"")</f>
        <v/>
      </c>
      <c r="X108" s="311">
        <f>IFERROR(INDEX(Data!AJ$9:AJ$1273,MATCH($M108,Data!$K$9:$K$1273,0)),"")</f>
        <v/>
      </c>
      <c r="Y108" s="311">
        <f>IFERROR(INDEX(Data!AK$9:AK$1273,MATCH($M108,Data!$K$9:$K$1273,0)),"")</f>
        <v/>
      </c>
      <c r="Z108" s="311">
        <f>IFERROR(INDEX(Data!AL$9:AL$1273,MATCH($M108,Data!$K$9:$K$1273,0)),"")</f>
        <v/>
      </c>
      <c r="AA108" s="311">
        <f>IFERROR(INDEX(Data!AM$9:AM$1273,MATCH($M108,Data!$K$9:$K$1273,0)),"")</f>
        <v/>
      </c>
      <c r="AB108" s="311">
        <f>IFERROR(INDEX(Data!AN$9:AN$1273,MATCH($M108,Data!$K$9:$K$1273,0)),"")</f>
        <v/>
      </c>
      <c r="AC108" s="312">
        <f>IFERROR(INDEX(Data!BY$9:BY$1273,MATCH($M108,Data!$K$9:$K$1273,0)),"")</f>
        <v/>
      </c>
      <c r="AD108" s="312">
        <f>IFERROR(INDEX(Data!BZ$9:BZ$1273,MATCH($M108,Data!$K$9:$K$1273,0)),"")</f>
        <v/>
      </c>
      <c r="AE108" s="312">
        <f>IFERROR(INDEX(Data!CA$9:CA$1273,MATCH($M108,Data!$K$9:$K$1273,0)),"")</f>
        <v/>
      </c>
      <c r="AF108" s="312">
        <f>IFERROR(INDEX(Data!CB$9:CB$1273,MATCH($M108,Data!$K$9:$K$1273,0)),"")</f>
        <v/>
      </c>
      <c r="AG108" s="312">
        <f>IFERROR(INDEX(Data!CC$9:CC$1273,MATCH($M108,Data!$K$9:$K$1273,0)),"")</f>
        <v/>
      </c>
      <c r="AH108" s="312">
        <f>IFERROR(INDEX(Data!CD$9:CD$1273,MATCH($M108,Data!$K$9:$K$1273,0)),"")</f>
        <v/>
      </c>
      <c r="AI108" s="312">
        <f>IFERROR(INDEX(Data!CE$9:CE$1273,MATCH($M108,Data!$K$9:$K$1273,0)),"")</f>
        <v/>
      </c>
      <c r="AJ108" s="312">
        <f>IFERROR(INDEX(Data!CF$9:CF$1273,MATCH($M108,Data!$K$9:$K$1273,0)),"")</f>
        <v/>
      </c>
      <c r="AK108" s="312">
        <f>IFERROR(INDEX(Data!CG$9:CG$1273,MATCH($M108,Data!$K$9:$K$1273,0)),"")</f>
        <v/>
      </c>
      <c r="AL108" s="312">
        <f>IFERROR(INDEX(Data!CH$9:CH$1273,MATCH($M108,Data!$K$9:$K$1273,0)),"")</f>
        <v/>
      </c>
      <c r="AM108" s="312">
        <f>IFERROR(INDEX(Data!CI$9:CI$1273,MATCH($M108,Data!$K$9:$K$1273,0)),"")</f>
        <v/>
      </c>
      <c r="AN108" s="312">
        <f>IFERROR(INDEX(Data!CJ$9:CJ$1273,MATCH($M108,Data!$K$9:$K$1273,0)),"")</f>
        <v/>
      </c>
      <c r="AO108" s="312">
        <f>IFERROR(INDEX(Data!CK$9:CK$1273,MATCH($M108,Data!$K$9:$K$1273,0)),"")</f>
        <v/>
      </c>
      <c r="AP108" s="312">
        <f>IFERROR(INDEX(Data!CL$9:CL$1273,MATCH($M108,Data!$K$9:$K$1273,0)),"")</f>
        <v/>
      </c>
      <c r="AQ108" s="312">
        <f>IFERROR(INDEX(Data!CM$9:CM$1273,MATCH($M108,Data!$K$9:$K$1273,0)),"")</f>
        <v/>
      </c>
      <c r="AR108" s="312">
        <f>IFERROR(INDEX(Data!CN$9:CN$1273,MATCH($M108,Data!$K$9:$K$1273,0)),"")</f>
        <v/>
      </c>
      <c r="AS108" s="312">
        <f>IFERROR(INDEX(Data!CO$9:CO$1273,MATCH($M108,Data!$K$9:$K$1273,0)),"")</f>
        <v/>
      </c>
      <c r="AT108" s="312">
        <f>IFERROR(INDEX(Data!CP$9:CP$1273,MATCH($M108,Data!$K$9:$K$1273,0)),"")</f>
        <v/>
      </c>
      <c r="AU108" s="312">
        <f>IFERROR(INDEX(Data!CQ$9:CQ$1273,MATCH($M108,Data!$K$9:$K$1273,0)),"")</f>
        <v/>
      </c>
      <c r="AV108" s="312">
        <f>IFERROR(INDEX(Data!CR$9:CR$1273,MATCH($M108,Data!$K$9:$K$1273,0)),"")</f>
        <v/>
      </c>
      <c r="AW108" s="312">
        <f>IFERROR(INDEX(Data!CS$9:CS$1273,MATCH($M108,Data!$K$9:$K$1273,0)),"")</f>
        <v/>
      </c>
      <c r="AX108" s="312">
        <f>IFERROR(INDEX(Data!CT$9:CT$1273,MATCH($M108,Data!$K$9:$K$1273,0)),"")</f>
        <v/>
      </c>
      <c r="AY108" s="312">
        <f>IFERROR(INDEX(Data!CU$9:CU$1273,MATCH($M108,Data!$K$9:$K$1273,0)),"")</f>
        <v/>
      </c>
      <c r="AZ108" s="312">
        <f>IFERROR(INDEX(Data!CV$9:CV$1273,MATCH($M108,Data!$K$9:$K$1273,0)),"")</f>
        <v/>
      </c>
      <c r="BA108" s="312">
        <f>IFERROR(INDEX(Data!CX$9:CX$1273,MATCH($M108,Data!$K$9:$K$1273,0)),"")</f>
        <v/>
      </c>
      <c r="BB108" s="312">
        <f>IFERROR(INDEX(Data!CY$9:CY$1273,MATCH($M108,Data!$K$9:$K$1273,0)),"")</f>
        <v/>
      </c>
      <c r="BC108" s="312">
        <f>IFERROR(INDEX(Data!CZ$9:CZ$1273,MATCH($M108,Data!$K$9:$K$1273,0)),"")</f>
        <v/>
      </c>
      <c r="BD108" s="312">
        <f>IFERROR(INDEX(Data!DA$9:DA$1273,MATCH($M108,Data!$K$9:$K$1273,0)),"")</f>
        <v/>
      </c>
      <c r="BE108" s="312">
        <f>IFERROR(INDEX(Data!DB$9:DB$1273,MATCH($M108,Data!$K$9:$K$1273,0)),"")</f>
        <v/>
      </c>
      <c r="BF108" s="312">
        <f>IFERROR(INDEX(Data!DC$9:DC$1273,MATCH($M108,Data!$K$9:$K$1273,0)),"")</f>
        <v/>
      </c>
      <c r="BG108" s="312">
        <f>IFERROR(INDEX(Data!DD$9:DD$1273,MATCH($M108,Data!$K$9:$K$1273,0)),"")</f>
        <v/>
      </c>
      <c r="BH108" s="312">
        <f>IFERROR(INDEX(Data!DE$9:DE$1273,MATCH($M108,Data!$K$9:$K$1273,0)),"")</f>
        <v/>
      </c>
      <c r="BI108" s="312">
        <f>IFERROR(INDEX(Data!DF$9:DF$1273,MATCH($M108,Data!$K$9:$K$1273,0)),"")</f>
        <v/>
      </c>
      <c r="BJ108" s="312">
        <f>IFERROR(INDEX(Data!DG$9:DG$1273,MATCH($M108,Data!$K$9:$K$1273,0)),"")</f>
        <v/>
      </c>
      <c r="BK108" s="312">
        <f>IFERROR(INDEX(Data!DH$9:DH$1273,MATCH($M108,Data!$K$9:$K$1273,0)),"")</f>
        <v/>
      </c>
      <c r="BL108" s="312">
        <f>IFERROR(INDEX(Data!DI$9:DI$1273,MATCH($M108,Data!$K$9:$K$1273,0)),"")</f>
        <v/>
      </c>
      <c r="BM108" s="312">
        <f>IFERROR(INDEX(Data!DJ$9:DJ$1273,MATCH($M108,Data!$K$9:$K$1273,0)),"")</f>
        <v/>
      </c>
      <c r="BN108" s="312">
        <f>IFERROR(INDEX(Data!DK$9:DK$1273,MATCH($M108,Data!$K$9:$K$1273,0)),"")</f>
        <v/>
      </c>
      <c r="BO108" s="312">
        <f>IFERROR(INDEX(Data!DL$9:DL$1273,MATCH($M108,Data!$K$9:$K$1273,0)),"")</f>
        <v/>
      </c>
      <c r="BP108" s="331">
        <f>IFERROR(IF(BK108=0,"-",BK108),"")</f>
        <v/>
      </c>
      <c r="BQ108" s="312">
        <f>IFERROR(IF(BP108-K108&gt;0,TRUE,FALSE)," ")</f>
        <v/>
      </c>
      <c r="BR108" s="312">
        <f>_xlfn.CONCAT(E108,F108,H108,G108)</f>
        <v/>
      </c>
      <c r="BS108" s="312">
        <f>IFERROR(INDEX(Data!$DO$9:$DO$1273,MATCH('Your recommendation'!BR108,Data!$DN$9:$DN$1273,0)),"")</f>
        <v/>
      </c>
    </row>
    <row r="109" ht="15.6" customFormat="1" customHeight="1" s="138">
      <c r="B109" s="309">
        <f>IF(C109&gt;0,B108+1,"")</f>
        <v/>
      </c>
      <c r="C109" s="310" t="n"/>
      <c r="D109" s="312">
        <f>IFERROR(INDEX(Data!BR$9:BR$1273,MATCH($M109,Data!$K$9:$K$1273,0)),"")</f>
        <v/>
      </c>
      <c r="E109" s="312">
        <f>IFERROR(INDEX(Data!BS$9:BS$1273,MATCH($M109,Data!$K$9:$K$1273,0)),"")</f>
        <v/>
      </c>
      <c r="F109" s="312">
        <f>IFERROR(INDEX(Data!DM$9:DM$1273,MATCH($M109,Data!$K$9:$K$1273,0)),"")</f>
        <v/>
      </c>
      <c r="G109" s="312">
        <f>IFERROR(INDEX(Data!BV$9:BV$1273,MATCH($M109,Data!$K$9:$K$1273,0)),"")</f>
        <v/>
      </c>
      <c r="H109" s="312">
        <f>IFERROR(INDEX(Data!BW$9:BW$1273,MATCH($M109,Data!$K$9:$K$1273,0)),"")</f>
        <v/>
      </c>
      <c r="I109" s="312">
        <f>IFERROR(INDEX(Data!BX$9:BX$1273,MATCH($M109,Data!$K$9:$K$1273,0)),"")</f>
        <v/>
      </c>
      <c r="J109" s="312">
        <f>IFERROR(INDEX(Data!CB$9:CB$1273,MATCH($M109,Data!$K$9:$K$1273,0)),"")</f>
        <v/>
      </c>
      <c r="K109" s="329">
        <f>IFERROR(HYPERLINK(BM109,BC109),"-")</f>
        <v/>
      </c>
      <c r="L109" s="330">
        <f>IFERROR(IF(BB109=0,"-",BB109)," ")</f>
        <v/>
      </c>
      <c r="M109" s="311" t="n"/>
      <c r="N109" s="311" t="n"/>
      <c r="O109" s="311">
        <f>IFERROR(INDEX(Data!M$9:M$1273,MATCH($M109,Data!$K$9:$K$1273,0)),"")</f>
        <v/>
      </c>
      <c r="P109" s="311">
        <f>IFERROR(INDEX(Data!N$9:N$1273,MATCH($M109,Data!$K$9:$K$1273,0)),"")</f>
        <v/>
      </c>
      <c r="Q109" s="311">
        <f>IFERROR(INDEX(Data!O$9:O$1273,MATCH($M109,Data!$K$9:$K$1273,0)),"")</f>
        <v/>
      </c>
      <c r="R109" s="311">
        <f>IFERROR(INDEX(Data!P$9:P$1273,MATCH($M109,Data!$K$9:$K$1273,0)),"")</f>
        <v/>
      </c>
      <c r="S109" s="311">
        <f>IFERROR(INDEX(Data!S$9:S$1273,MATCH($M109,Data!$K$9:$K$1273,0)),"")</f>
        <v/>
      </c>
      <c r="T109" s="311">
        <f>IFERROR(INDEX(Data!T$9:T$1273,MATCH($M109,Data!$K$9:$K$1273,0)),"")</f>
        <v/>
      </c>
      <c r="U109" s="311">
        <f>IFERROR(INDEX(Data!U$9:U$1273,MATCH($M109,Data!$K$9:$K$1273,0)),"")</f>
        <v/>
      </c>
      <c r="V109" s="311">
        <f>IFERROR(INDEX(Data!V$9:V$1273,MATCH($M109,Data!$K$9:$K$1273,0)),"")</f>
        <v/>
      </c>
      <c r="W109" s="311">
        <f>IFERROR(INDEX(Data!W$9:W$1273,MATCH($M109,Data!$K$9:$K$1273,0)),"")</f>
        <v/>
      </c>
      <c r="X109" s="311">
        <f>IFERROR(INDEX(Data!AJ$9:AJ$1273,MATCH($M109,Data!$K$9:$K$1273,0)),"")</f>
        <v/>
      </c>
      <c r="Y109" s="311">
        <f>IFERROR(INDEX(Data!AK$9:AK$1273,MATCH($M109,Data!$K$9:$K$1273,0)),"")</f>
        <v/>
      </c>
      <c r="Z109" s="311">
        <f>IFERROR(INDEX(Data!AL$9:AL$1273,MATCH($M109,Data!$K$9:$K$1273,0)),"")</f>
        <v/>
      </c>
      <c r="AA109" s="311">
        <f>IFERROR(INDEX(Data!AM$9:AM$1273,MATCH($M109,Data!$K$9:$K$1273,0)),"")</f>
        <v/>
      </c>
      <c r="AB109" s="311">
        <f>IFERROR(INDEX(Data!AN$9:AN$1273,MATCH($M109,Data!$K$9:$K$1273,0)),"")</f>
        <v/>
      </c>
      <c r="AC109" s="312">
        <f>IFERROR(INDEX(Data!BY$9:BY$1273,MATCH($M109,Data!$K$9:$K$1273,0)),"")</f>
        <v/>
      </c>
      <c r="AD109" s="312">
        <f>IFERROR(INDEX(Data!BZ$9:BZ$1273,MATCH($M109,Data!$K$9:$K$1273,0)),"")</f>
        <v/>
      </c>
      <c r="AE109" s="312">
        <f>IFERROR(INDEX(Data!CA$9:CA$1273,MATCH($M109,Data!$K$9:$K$1273,0)),"")</f>
        <v/>
      </c>
      <c r="AF109" s="312">
        <f>IFERROR(INDEX(Data!CB$9:CB$1273,MATCH($M109,Data!$K$9:$K$1273,0)),"")</f>
        <v/>
      </c>
      <c r="AG109" s="312">
        <f>IFERROR(INDEX(Data!CC$9:CC$1273,MATCH($M109,Data!$K$9:$K$1273,0)),"")</f>
        <v/>
      </c>
      <c r="AH109" s="312">
        <f>IFERROR(INDEX(Data!CD$9:CD$1273,MATCH($M109,Data!$K$9:$K$1273,0)),"")</f>
        <v/>
      </c>
      <c r="AI109" s="312">
        <f>IFERROR(INDEX(Data!CE$9:CE$1273,MATCH($M109,Data!$K$9:$K$1273,0)),"")</f>
        <v/>
      </c>
      <c r="AJ109" s="312">
        <f>IFERROR(INDEX(Data!CF$9:CF$1273,MATCH($M109,Data!$K$9:$K$1273,0)),"")</f>
        <v/>
      </c>
      <c r="AK109" s="312">
        <f>IFERROR(INDEX(Data!CG$9:CG$1273,MATCH($M109,Data!$K$9:$K$1273,0)),"")</f>
        <v/>
      </c>
      <c r="AL109" s="312">
        <f>IFERROR(INDEX(Data!CH$9:CH$1273,MATCH($M109,Data!$K$9:$K$1273,0)),"")</f>
        <v/>
      </c>
      <c r="AM109" s="312">
        <f>IFERROR(INDEX(Data!CI$9:CI$1273,MATCH($M109,Data!$K$9:$K$1273,0)),"")</f>
        <v/>
      </c>
      <c r="AN109" s="312">
        <f>IFERROR(INDEX(Data!CJ$9:CJ$1273,MATCH($M109,Data!$K$9:$K$1273,0)),"")</f>
        <v/>
      </c>
      <c r="AO109" s="312">
        <f>IFERROR(INDEX(Data!CK$9:CK$1273,MATCH($M109,Data!$K$9:$K$1273,0)),"")</f>
        <v/>
      </c>
      <c r="AP109" s="312">
        <f>IFERROR(INDEX(Data!CL$9:CL$1273,MATCH($M109,Data!$K$9:$K$1273,0)),"")</f>
        <v/>
      </c>
      <c r="AQ109" s="312">
        <f>IFERROR(INDEX(Data!CM$9:CM$1273,MATCH($M109,Data!$K$9:$K$1273,0)),"")</f>
        <v/>
      </c>
      <c r="AR109" s="312">
        <f>IFERROR(INDEX(Data!CN$9:CN$1273,MATCH($M109,Data!$K$9:$K$1273,0)),"")</f>
        <v/>
      </c>
      <c r="AS109" s="312">
        <f>IFERROR(INDEX(Data!CO$9:CO$1273,MATCH($M109,Data!$K$9:$K$1273,0)),"")</f>
        <v/>
      </c>
      <c r="AT109" s="312">
        <f>IFERROR(INDEX(Data!CP$9:CP$1273,MATCH($M109,Data!$K$9:$K$1273,0)),"")</f>
        <v/>
      </c>
      <c r="AU109" s="312">
        <f>IFERROR(INDEX(Data!CQ$9:CQ$1273,MATCH($M109,Data!$K$9:$K$1273,0)),"")</f>
        <v/>
      </c>
      <c r="AV109" s="312">
        <f>IFERROR(INDEX(Data!CR$9:CR$1273,MATCH($M109,Data!$K$9:$K$1273,0)),"")</f>
        <v/>
      </c>
      <c r="AW109" s="312">
        <f>IFERROR(INDEX(Data!CS$9:CS$1273,MATCH($M109,Data!$K$9:$K$1273,0)),"")</f>
        <v/>
      </c>
      <c r="AX109" s="312">
        <f>IFERROR(INDEX(Data!CT$9:CT$1273,MATCH($M109,Data!$K$9:$K$1273,0)),"")</f>
        <v/>
      </c>
      <c r="AY109" s="312">
        <f>IFERROR(INDEX(Data!CU$9:CU$1273,MATCH($M109,Data!$K$9:$K$1273,0)),"")</f>
        <v/>
      </c>
      <c r="AZ109" s="312">
        <f>IFERROR(INDEX(Data!CV$9:CV$1273,MATCH($M109,Data!$K$9:$K$1273,0)),"")</f>
        <v/>
      </c>
      <c r="BA109" s="312">
        <f>IFERROR(INDEX(Data!CX$9:CX$1273,MATCH($M109,Data!$K$9:$K$1273,0)),"")</f>
        <v/>
      </c>
      <c r="BB109" s="312">
        <f>IFERROR(INDEX(Data!CY$9:CY$1273,MATCH($M109,Data!$K$9:$K$1273,0)),"")</f>
        <v/>
      </c>
      <c r="BC109" s="312">
        <f>IFERROR(INDEX(Data!CZ$9:CZ$1273,MATCH($M109,Data!$K$9:$K$1273,0)),"")</f>
        <v/>
      </c>
      <c r="BD109" s="312">
        <f>IFERROR(INDEX(Data!DA$9:DA$1273,MATCH($M109,Data!$K$9:$K$1273,0)),"")</f>
        <v/>
      </c>
      <c r="BE109" s="312">
        <f>IFERROR(INDEX(Data!DB$9:DB$1273,MATCH($M109,Data!$K$9:$K$1273,0)),"")</f>
        <v/>
      </c>
      <c r="BF109" s="312">
        <f>IFERROR(INDEX(Data!DC$9:DC$1273,MATCH($M109,Data!$K$9:$K$1273,0)),"")</f>
        <v/>
      </c>
      <c r="BG109" s="312">
        <f>IFERROR(INDEX(Data!DD$9:DD$1273,MATCH($M109,Data!$K$9:$K$1273,0)),"")</f>
        <v/>
      </c>
      <c r="BH109" s="312">
        <f>IFERROR(INDEX(Data!DE$9:DE$1273,MATCH($M109,Data!$K$9:$K$1273,0)),"")</f>
        <v/>
      </c>
      <c r="BI109" s="312">
        <f>IFERROR(INDEX(Data!DF$9:DF$1273,MATCH($M109,Data!$K$9:$K$1273,0)),"")</f>
        <v/>
      </c>
      <c r="BJ109" s="312">
        <f>IFERROR(INDEX(Data!DG$9:DG$1273,MATCH($M109,Data!$K$9:$K$1273,0)),"")</f>
        <v/>
      </c>
      <c r="BK109" s="312">
        <f>IFERROR(INDEX(Data!DH$9:DH$1273,MATCH($M109,Data!$K$9:$K$1273,0)),"")</f>
        <v/>
      </c>
      <c r="BL109" s="312">
        <f>IFERROR(INDEX(Data!DI$9:DI$1273,MATCH($M109,Data!$K$9:$K$1273,0)),"")</f>
        <v/>
      </c>
      <c r="BM109" s="312">
        <f>IFERROR(INDEX(Data!DJ$9:DJ$1273,MATCH($M109,Data!$K$9:$K$1273,0)),"")</f>
        <v/>
      </c>
      <c r="BN109" s="312">
        <f>IFERROR(INDEX(Data!DK$9:DK$1273,MATCH($M109,Data!$K$9:$K$1273,0)),"")</f>
        <v/>
      </c>
      <c r="BO109" s="312">
        <f>IFERROR(INDEX(Data!DL$9:DL$1273,MATCH($M109,Data!$K$9:$K$1273,0)),"")</f>
        <v/>
      </c>
      <c r="BP109" s="331">
        <f>IFERROR(IF(BK109=0,"-",BK109),"")</f>
        <v/>
      </c>
      <c r="BQ109" s="312">
        <f>IFERROR(IF(BP109-K109&gt;0,TRUE,FALSE)," ")</f>
        <v/>
      </c>
      <c r="BR109" s="312">
        <f>_xlfn.CONCAT(E109,F109,H109,G109)</f>
        <v/>
      </c>
      <c r="BS109" s="312">
        <f>IFERROR(INDEX(Data!$DO$9:$DO$1273,MATCH('Your recommendation'!BR109,Data!$DN$9:$DN$1273,0)),"")</f>
        <v/>
      </c>
    </row>
    <row r="110" ht="15.6" customFormat="1" customHeight="1" s="138">
      <c r="B110" s="309">
        <f>IF(C110&gt;0,B109+1,"")</f>
        <v/>
      </c>
      <c r="C110" s="310" t="n"/>
      <c r="D110" s="312">
        <f>IFERROR(INDEX(Data!BR$9:BR$1273,MATCH($M110,Data!$K$9:$K$1273,0)),"")</f>
        <v/>
      </c>
      <c r="E110" s="312">
        <f>IFERROR(INDEX(Data!BS$9:BS$1273,MATCH($M110,Data!$K$9:$K$1273,0)),"")</f>
        <v/>
      </c>
      <c r="F110" s="312">
        <f>IFERROR(INDEX(Data!DM$9:DM$1273,MATCH($M110,Data!$K$9:$K$1273,0)),"")</f>
        <v/>
      </c>
      <c r="G110" s="312">
        <f>IFERROR(INDEX(Data!BV$9:BV$1273,MATCH($M110,Data!$K$9:$K$1273,0)),"")</f>
        <v/>
      </c>
      <c r="H110" s="312">
        <f>IFERROR(INDEX(Data!BW$9:BW$1273,MATCH($M110,Data!$K$9:$K$1273,0)),"")</f>
        <v/>
      </c>
      <c r="I110" s="312">
        <f>IFERROR(INDEX(Data!BX$9:BX$1273,MATCH($M110,Data!$K$9:$K$1273,0)),"")</f>
        <v/>
      </c>
      <c r="J110" s="312">
        <f>IFERROR(INDEX(Data!CB$9:CB$1273,MATCH($M110,Data!$K$9:$K$1273,0)),"")</f>
        <v/>
      </c>
      <c r="K110" s="329">
        <f>IFERROR(HYPERLINK(BM110,BC110),"-")</f>
        <v/>
      </c>
      <c r="L110" s="330">
        <f>IFERROR(IF(BB110=0,"-",BB110)," ")</f>
        <v/>
      </c>
      <c r="M110" s="311" t="n"/>
      <c r="N110" s="311" t="n"/>
      <c r="O110" s="311">
        <f>IFERROR(INDEX(Data!M$9:M$1273,MATCH($M110,Data!$K$9:$K$1273,0)),"")</f>
        <v/>
      </c>
      <c r="P110" s="311">
        <f>IFERROR(INDEX(Data!N$9:N$1273,MATCH($M110,Data!$K$9:$K$1273,0)),"")</f>
        <v/>
      </c>
      <c r="Q110" s="311">
        <f>IFERROR(INDEX(Data!O$9:O$1273,MATCH($M110,Data!$K$9:$K$1273,0)),"")</f>
        <v/>
      </c>
      <c r="R110" s="311">
        <f>IFERROR(INDEX(Data!P$9:P$1273,MATCH($M110,Data!$K$9:$K$1273,0)),"")</f>
        <v/>
      </c>
      <c r="S110" s="311">
        <f>IFERROR(INDEX(Data!S$9:S$1273,MATCH($M110,Data!$K$9:$K$1273,0)),"")</f>
        <v/>
      </c>
      <c r="T110" s="311">
        <f>IFERROR(INDEX(Data!T$9:T$1273,MATCH($M110,Data!$K$9:$K$1273,0)),"")</f>
        <v/>
      </c>
      <c r="U110" s="311">
        <f>IFERROR(INDEX(Data!U$9:U$1273,MATCH($M110,Data!$K$9:$K$1273,0)),"")</f>
        <v/>
      </c>
      <c r="V110" s="311">
        <f>IFERROR(INDEX(Data!V$9:V$1273,MATCH($M110,Data!$K$9:$K$1273,0)),"")</f>
        <v/>
      </c>
      <c r="W110" s="311">
        <f>IFERROR(INDEX(Data!W$9:W$1273,MATCH($M110,Data!$K$9:$K$1273,0)),"")</f>
        <v/>
      </c>
      <c r="X110" s="311">
        <f>IFERROR(INDEX(Data!AJ$9:AJ$1273,MATCH($M110,Data!$K$9:$K$1273,0)),"")</f>
        <v/>
      </c>
      <c r="Y110" s="311">
        <f>IFERROR(INDEX(Data!AK$9:AK$1273,MATCH($M110,Data!$K$9:$K$1273,0)),"")</f>
        <v/>
      </c>
      <c r="Z110" s="311">
        <f>IFERROR(INDEX(Data!AL$9:AL$1273,MATCH($M110,Data!$K$9:$K$1273,0)),"")</f>
        <v/>
      </c>
      <c r="AA110" s="311">
        <f>IFERROR(INDEX(Data!AM$9:AM$1273,MATCH($M110,Data!$K$9:$K$1273,0)),"")</f>
        <v/>
      </c>
      <c r="AB110" s="311">
        <f>IFERROR(INDEX(Data!AN$9:AN$1273,MATCH($M110,Data!$K$9:$K$1273,0)),"")</f>
        <v/>
      </c>
      <c r="AC110" s="312">
        <f>IFERROR(INDEX(Data!BY$9:BY$1273,MATCH($M110,Data!$K$9:$K$1273,0)),"")</f>
        <v/>
      </c>
      <c r="AD110" s="312">
        <f>IFERROR(INDEX(Data!BZ$9:BZ$1273,MATCH($M110,Data!$K$9:$K$1273,0)),"")</f>
        <v/>
      </c>
      <c r="AE110" s="312">
        <f>IFERROR(INDEX(Data!CA$9:CA$1273,MATCH($M110,Data!$K$9:$K$1273,0)),"")</f>
        <v/>
      </c>
      <c r="AF110" s="312">
        <f>IFERROR(INDEX(Data!CB$9:CB$1273,MATCH($M110,Data!$K$9:$K$1273,0)),"")</f>
        <v/>
      </c>
      <c r="AG110" s="312">
        <f>IFERROR(INDEX(Data!CC$9:CC$1273,MATCH($M110,Data!$K$9:$K$1273,0)),"")</f>
        <v/>
      </c>
      <c r="AH110" s="312">
        <f>IFERROR(INDEX(Data!CD$9:CD$1273,MATCH($M110,Data!$K$9:$K$1273,0)),"")</f>
        <v/>
      </c>
      <c r="AI110" s="312">
        <f>IFERROR(INDEX(Data!CE$9:CE$1273,MATCH($M110,Data!$K$9:$K$1273,0)),"")</f>
        <v/>
      </c>
      <c r="AJ110" s="312">
        <f>IFERROR(INDEX(Data!CF$9:CF$1273,MATCH($M110,Data!$K$9:$K$1273,0)),"")</f>
        <v/>
      </c>
      <c r="AK110" s="312">
        <f>IFERROR(INDEX(Data!CG$9:CG$1273,MATCH($M110,Data!$K$9:$K$1273,0)),"")</f>
        <v/>
      </c>
      <c r="AL110" s="312">
        <f>IFERROR(INDEX(Data!CH$9:CH$1273,MATCH($M110,Data!$K$9:$K$1273,0)),"")</f>
        <v/>
      </c>
      <c r="AM110" s="312">
        <f>IFERROR(INDEX(Data!CI$9:CI$1273,MATCH($M110,Data!$K$9:$K$1273,0)),"")</f>
        <v/>
      </c>
      <c r="AN110" s="312">
        <f>IFERROR(INDEX(Data!CJ$9:CJ$1273,MATCH($M110,Data!$K$9:$K$1273,0)),"")</f>
        <v/>
      </c>
      <c r="AO110" s="312">
        <f>IFERROR(INDEX(Data!CK$9:CK$1273,MATCH($M110,Data!$K$9:$K$1273,0)),"")</f>
        <v/>
      </c>
      <c r="AP110" s="312">
        <f>IFERROR(INDEX(Data!CL$9:CL$1273,MATCH($M110,Data!$K$9:$K$1273,0)),"")</f>
        <v/>
      </c>
      <c r="AQ110" s="312">
        <f>IFERROR(INDEX(Data!CM$9:CM$1273,MATCH($M110,Data!$K$9:$K$1273,0)),"")</f>
        <v/>
      </c>
      <c r="AR110" s="312">
        <f>IFERROR(INDEX(Data!CN$9:CN$1273,MATCH($M110,Data!$K$9:$K$1273,0)),"")</f>
        <v/>
      </c>
      <c r="AS110" s="312">
        <f>IFERROR(INDEX(Data!CO$9:CO$1273,MATCH($M110,Data!$K$9:$K$1273,0)),"")</f>
        <v/>
      </c>
      <c r="AT110" s="312">
        <f>IFERROR(INDEX(Data!CP$9:CP$1273,MATCH($M110,Data!$K$9:$K$1273,0)),"")</f>
        <v/>
      </c>
      <c r="AU110" s="312">
        <f>IFERROR(INDEX(Data!CQ$9:CQ$1273,MATCH($M110,Data!$K$9:$K$1273,0)),"")</f>
        <v/>
      </c>
      <c r="AV110" s="312">
        <f>IFERROR(INDEX(Data!CR$9:CR$1273,MATCH($M110,Data!$K$9:$K$1273,0)),"")</f>
        <v/>
      </c>
      <c r="AW110" s="312">
        <f>IFERROR(INDEX(Data!CS$9:CS$1273,MATCH($M110,Data!$K$9:$K$1273,0)),"")</f>
        <v/>
      </c>
      <c r="AX110" s="312">
        <f>IFERROR(INDEX(Data!CT$9:CT$1273,MATCH($M110,Data!$K$9:$K$1273,0)),"")</f>
        <v/>
      </c>
      <c r="AY110" s="312">
        <f>IFERROR(INDEX(Data!CU$9:CU$1273,MATCH($M110,Data!$K$9:$K$1273,0)),"")</f>
        <v/>
      </c>
      <c r="AZ110" s="312">
        <f>IFERROR(INDEX(Data!CV$9:CV$1273,MATCH($M110,Data!$K$9:$K$1273,0)),"")</f>
        <v/>
      </c>
      <c r="BA110" s="312">
        <f>IFERROR(INDEX(Data!CX$9:CX$1273,MATCH($M110,Data!$K$9:$K$1273,0)),"")</f>
        <v/>
      </c>
      <c r="BB110" s="312">
        <f>IFERROR(INDEX(Data!CY$9:CY$1273,MATCH($M110,Data!$K$9:$K$1273,0)),"")</f>
        <v/>
      </c>
      <c r="BC110" s="312">
        <f>IFERROR(INDEX(Data!CZ$9:CZ$1273,MATCH($M110,Data!$K$9:$K$1273,0)),"")</f>
        <v/>
      </c>
      <c r="BD110" s="312">
        <f>IFERROR(INDEX(Data!DA$9:DA$1273,MATCH($M110,Data!$K$9:$K$1273,0)),"")</f>
        <v/>
      </c>
      <c r="BE110" s="312">
        <f>IFERROR(INDEX(Data!DB$9:DB$1273,MATCH($M110,Data!$K$9:$K$1273,0)),"")</f>
        <v/>
      </c>
      <c r="BF110" s="312">
        <f>IFERROR(INDEX(Data!DC$9:DC$1273,MATCH($M110,Data!$K$9:$K$1273,0)),"")</f>
        <v/>
      </c>
      <c r="BG110" s="312">
        <f>IFERROR(INDEX(Data!DD$9:DD$1273,MATCH($M110,Data!$K$9:$K$1273,0)),"")</f>
        <v/>
      </c>
      <c r="BH110" s="312">
        <f>IFERROR(INDEX(Data!DE$9:DE$1273,MATCH($M110,Data!$K$9:$K$1273,0)),"")</f>
        <v/>
      </c>
      <c r="BI110" s="312">
        <f>IFERROR(INDEX(Data!DF$9:DF$1273,MATCH($M110,Data!$K$9:$K$1273,0)),"")</f>
        <v/>
      </c>
      <c r="BJ110" s="312">
        <f>IFERROR(INDEX(Data!DG$9:DG$1273,MATCH($M110,Data!$K$9:$K$1273,0)),"")</f>
        <v/>
      </c>
      <c r="BK110" s="312">
        <f>IFERROR(INDEX(Data!DH$9:DH$1273,MATCH($M110,Data!$K$9:$K$1273,0)),"")</f>
        <v/>
      </c>
      <c r="BL110" s="312">
        <f>IFERROR(INDEX(Data!DI$9:DI$1273,MATCH($M110,Data!$K$9:$K$1273,0)),"")</f>
        <v/>
      </c>
      <c r="BM110" s="312">
        <f>IFERROR(INDEX(Data!DJ$9:DJ$1273,MATCH($M110,Data!$K$9:$K$1273,0)),"")</f>
        <v/>
      </c>
      <c r="BN110" s="312">
        <f>IFERROR(INDEX(Data!DK$9:DK$1273,MATCH($M110,Data!$K$9:$K$1273,0)),"")</f>
        <v/>
      </c>
      <c r="BO110" s="312">
        <f>IFERROR(INDEX(Data!DL$9:DL$1273,MATCH($M110,Data!$K$9:$K$1273,0)),"")</f>
        <v/>
      </c>
      <c r="BP110" s="331">
        <f>IFERROR(IF(BK110=0,"-",BK110),"")</f>
        <v/>
      </c>
      <c r="BQ110" s="312">
        <f>IFERROR(IF(BP110-K110&gt;0,TRUE,FALSE)," ")</f>
        <v/>
      </c>
      <c r="BR110" s="312">
        <f>_xlfn.CONCAT(E110,F110,H110,G110)</f>
        <v/>
      </c>
      <c r="BS110" s="312">
        <f>IFERROR(INDEX(Data!$DO$9:$DO$1273,MATCH('Your recommendation'!BR110,Data!$DN$9:$DN$1273,0)),"")</f>
        <v/>
      </c>
    </row>
    <row r="111" ht="15.6" customFormat="1" customHeight="1" s="138">
      <c r="B111" s="309">
        <f>IF(C111&gt;0,B110+1,"")</f>
        <v/>
      </c>
      <c r="C111" s="310" t="n"/>
      <c r="D111" s="312">
        <f>IFERROR(INDEX(Data!BR$9:BR$1273,MATCH($M111,Data!$K$9:$K$1273,0)),"")</f>
        <v/>
      </c>
      <c r="E111" s="312">
        <f>IFERROR(INDEX(Data!BS$9:BS$1273,MATCH($M111,Data!$K$9:$K$1273,0)),"")</f>
        <v/>
      </c>
      <c r="F111" s="312">
        <f>IFERROR(INDEX(Data!DM$9:DM$1273,MATCH($M111,Data!$K$9:$K$1273,0)),"")</f>
        <v/>
      </c>
      <c r="G111" s="312">
        <f>IFERROR(INDEX(Data!BV$9:BV$1273,MATCH($M111,Data!$K$9:$K$1273,0)),"")</f>
        <v/>
      </c>
      <c r="H111" s="312">
        <f>IFERROR(INDEX(Data!BW$9:BW$1273,MATCH($M111,Data!$K$9:$K$1273,0)),"")</f>
        <v/>
      </c>
      <c r="I111" s="312">
        <f>IFERROR(INDEX(Data!BX$9:BX$1273,MATCH($M111,Data!$K$9:$K$1273,0)),"")</f>
        <v/>
      </c>
      <c r="J111" s="312">
        <f>IFERROR(INDEX(Data!CB$9:CB$1273,MATCH($M111,Data!$K$9:$K$1273,0)),"")</f>
        <v/>
      </c>
      <c r="K111" s="329">
        <f>IFERROR(HYPERLINK(BM111,BC111),"-")</f>
        <v/>
      </c>
      <c r="L111" s="330">
        <f>IFERROR(IF(BB111=0,"-",BB111)," ")</f>
        <v/>
      </c>
      <c r="M111" s="311" t="n"/>
      <c r="N111" s="311" t="n"/>
      <c r="O111" s="311">
        <f>IFERROR(INDEX(Data!M$9:M$1273,MATCH($M111,Data!$K$9:$K$1273,0)),"")</f>
        <v/>
      </c>
      <c r="P111" s="311">
        <f>IFERROR(INDEX(Data!N$9:N$1273,MATCH($M111,Data!$K$9:$K$1273,0)),"")</f>
        <v/>
      </c>
      <c r="Q111" s="311">
        <f>IFERROR(INDEX(Data!O$9:O$1273,MATCH($M111,Data!$K$9:$K$1273,0)),"")</f>
        <v/>
      </c>
      <c r="R111" s="311">
        <f>IFERROR(INDEX(Data!P$9:P$1273,MATCH($M111,Data!$K$9:$K$1273,0)),"")</f>
        <v/>
      </c>
      <c r="S111" s="311">
        <f>IFERROR(INDEX(Data!S$9:S$1273,MATCH($M111,Data!$K$9:$K$1273,0)),"")</f>
        <v/>
      </c>
      <c r="T111" s="311">
        <f>IFERROR(INDEX(Data!T$9:T$1273,MATCH($M111,Data!$K$9:$K$1273,0)),"")</f>
        <v/>
      </c>
      <c r="U111" s="311">
        <f>IFERROR(INDEX(Data!U$9:U$1273,MATCH($M111,Data!$K$9:$K$1273,0)),"")</f>
        <v/>
      </c>
      <c r="V111" s="311">
        <f>IFERROR(INDEX(Data!V$9:V$1273,MATCH($M111,Data!$K$9:$K$1273,0)),"")</f>
        <v/>
      </c>
      <c r="W111" s="311">
        <f>IFERROR(INDEX(Data!W$9:W$1273,MATCH($M111,Data!$K$9:$K$1273,0)),"")</f>
        <v/>
      </c>
      <c r="X111" s="311">
        <f>IFERROR(INDEX(Data!AJ$9:AJ$1273,MATCH($M111,Data!$K$9:$K$1273,0)),"")</f>
        <v/>
      </c>
      <c r="Y111" s="311">
        <f>IFERROR(INDEX(Data!AK$9:AK$1273,MATCH($M111,Data!$K$9:$K$1273,0)),"")</f>
        <v/>
      </c>
      <c r="Z111" s="311">
        <f>IFERROR(INDEX(Data!AL$9:AL$1273,MATCH($M111,Data!$K$9:$K$1273,0)),"")</f>
        <v/>
      </c>
      <c r="AA111" s="311">
        <f>IFERROR(INDEX(Data!AM$9:AM$1273,MATCH($M111,Data!$K$9:$K$1273,0)),"")</f>
        <v/>
      </c>
      <c r="AB111" s="311">
        <f>IFERROR(INDEX(Data!AN$9:AN$1273,MATCH($M111,Data!$K$9:$K$1273,0)),"")</f>
        <v/>
      </c>
      <c r="AC111" s="312">
        <f>IFERROR(INDEX(Data!BY$9:BY$1273,MATCH($M111,Data!$K$9:$K$1273,0)),"")</f>
        <v/>
      </c>
      <c r="AD111" s="312">
        <f>IFERROR(INDEX(Data!BZ$9:BZ$1273,MATCH($M111,Data!$K$9:$K$1273,0)),"")</f>
        <v/>
      </c>
      <c r="AE111" s="312">
        <f>IFERROR(INDEX(Data!CA$9:CA$1273,MATCH($M111,Data!$K$9:$K$1273,0)),"")</f>
        <v/>
      </c>
      <c r="AF111" s="312">
        <f>IFERROR(INDEX(Data!CB$9:CB$1273,MATCH($M111,Data!$K$9:$K$1273,0)),"")</f>
        <v/>
      </c>
      <c r="AG111" s="312">
        <f>IFERROR(INDEX(Data!CC$9:CC$1273,MATCH($M111,Data!$K$9:$K$1273,0)),"")</f>
        <v/>
      </c>
      <c r="AH111" s="312">
        <f>IFERROR(INDEX(Data!CD$9:CD$1273,MATCH($M111,Data!$K$9:$K$1273,0)),"")</f>
        <v/>
      </c>
      <c r="AI111" s="312">
        <f>IFERROR(INDEX(Data!CE$9:CE$1273,MATCH($M111,Data!$K$9:$K$1273,0)),"")</f>
        <v/>
      </c>
      <c r="AJ111" s="312">
        <f>IFERROR(INDEX(Data!CF$9:CF$1273,MATCH($M111,Data!$K$9:$K$1273,0)),"")</f>
        <v/>
      </c>
      <c r="AK111" s="312">
        <f>IFERROR(INDEX(Data!CG$9:CG$1273,MATCH($M111,Data!$K$9:$K$1273,0)),"")</f>
        <v/>
      </c>
      <c r="AL111" s="312">
        <f>IFERROR(INDEX(Data!CH$9:CH$1273,MATCH($M111,Data!$K$9:$K$1273,0)),"")</f>
        <v/>
      </c>
      <c r="AM111" s="312">
        <f>IFERROR(INDEX(Data!CI$9:CI$1273,MATCH($M111,Data!$K$9:$K$1273,0)),"")</f>
        <v/>
      </c>
      <c r="AN111" s="312">
        <f>IFERROR(INDEX(Data!CJ$9:CJ$1273,MATCH($M111,Data!$K$9:$K$1273,0)),"")</f>
        <v/>
      </c>
      <c r="AO111" s="312">
        <f>IFERROR(INDEX(Data!CK$9:CK$1273,MATCH($M111,Data!$K$9:$K$1273,0)),"")</f>
        <v/>
      </c>
      <c r="AP111" s="312">
        <f>IFERROR(INDEX(Data!CL$9:CL$1273,MATCH($M111,Data!$K$9:$K$1273,0)),"")</f>
        <v/>
      </c>
      <c r="AQ111" s="312">
        <f>IFERROR(INDEX(Data!CM$9:CM$1273,MATCH($M111,Data!$K$9:$K$1273,0)),"")</f>
        <v/>
      </c>
      <c r="AR111" s="312">
        <f>IFERROR(INDEX(Data!CN$9:CN$1273,MATCH($M111,Data!$K$9:$K$1273,0)),"")</f>
        <v/>
      </c>
      <c r="AS111" s="312">
        <f>IFERROR(INDEX(Data!CO$9:CO$1273,MATCH($M111,Data!$K$9:$K$1273,0)),"")</f>
        <v/>
      </c>
      <c r="AT111" s="312">
        <f>IFERROR(INDEX(Data!CP$9:CP$1273,MATCH($M111,Data!$K$9:$K$1273,0)),"")</f>
        <v/>
      </c>
      <c r="AU111" s="312">
        <f>IFERROR(INDEX(Data!CQ$9:CQ$1273,MATCH($M111,Data!$K$9:$K$1273,0)),"")</f>
        <v/>
      </c>
      <c r="AV111" s="312">
        <f>IFERROR(INDEX(Data!CR$9:CR$1273,MATCH($M111,Data!$K$9:$K$1273,0)),"")</f>
        <v/>
      </c>
      <c r="AW111" s="312">
        <f>IFERROR(INDEX(Data!CS$9:CS$1273,MATCH($M111,Data!$K$9:$K$1273,0)),"")</f>
        <v/>
      </c>
      <c r="AX111" s="312">
        <f>IFERROR(INDEX(Data!CT$9:CT$1273,MATCH($M111,Data!$K$9:$K$1273,0)),"")</f>
        <v/>
      </c>
      <c r="AY111" s="312">
        <f>IFERROR(INDEX(Data!CU$9:CU$1273,MATCH($M111,Data!$K$9:$K$1273,0)),"")</f>
        <v/>
      </c>
      <c r="AZ111" s="312">
        <f>IFERROR(INDEX(Data!CV$9:CV$1273,MATCH($M111,Data!$K$9:$K$1273,0)),"")</f>
        <v/>
      </c>
      <c r="BA111" s="312">
        <f>IFERROR(INDEX(Data!CX$9:CX$1273,MATCH($M111,Data!$K$9:$K$1273,0)),"")</f>
        <v/>
      </c>
      <c r="BB111" s="312">
        <f>IFERROR(INDEX(Data!CY$9:CY$1273,MATCH($M111,Data!$K$9:$K$1273,0)),"")</f>
        <v/>
      </c>
      <c r="BC111" s="312">
        <f>IFERROR(INDEX(Data!CZ$9:CZ$1273,MATCH($M111,Data!$K$9:$K$1273,0)),"")</f>
        <v/>
      </c>
      <c r="BD111" s="312">
        <f>IFERROR(INDEX(Data!DA$9:DA$1273,MATCH($M111,Data!$K$9:$K$1273,0)),"")</f>
        <v/>
      </c>
      <c r="BE111" s="312">
        <f>IFERROR(INDEX(Data!DB$9:DB$1273,MATCH($M111,Data!$K$9:$K$1273,0)),"")</f>
        <v/>
      </c>
      <c r="BF111" s="312">
        <f>IFERROR(INDEX(Data!DC$9:DC$1273,MATCH($M111,Data!$K$9:$K$1273,0)),"")</f>
        <v/>
      </c>
      <c r="BG111" s="312">
        <f>IFERROR(INDEX(Data!DD$9:DD$1273,MATCH($M111,Data!$K$9:$K$1273,0)),"")</f>
        <v/>
      </c>
      <c r="BH111" s="312">
        <f>IFERROR(INDEX(Data!DE$9:DE$1273,MATCH($M111,Data!$K$9:$K$1273,0)),"")</f>
        <v/>
      </c>
      <c r="BI111" s="312">
        <f>IFERROR(INDEX(Data!DF$9:DF$1273,MATCH($M111,Data!$K$9:$K$1273,0)),"")</f>
        <v/>
      </c>
      <c r="BJ111" s="312">
        <f>IFERROR(INDEX(Data!DG$9:DG$1273,MATCH($M111,Data!$K$9:$K$1273,0)),"")</f>
        <v/>
      </c>
      <c r="BK111" s="312">
        <f>IFERROR(INDEX(Data!DH$9:DH$1273,MATCH($M111,Data!$K$9:$K$1273,0)),"")</f>
        <v/>
      </c>
      <c r="BL111" s="312">
        <f>IFERROR(INDEX(Data!DI$9:DI$1273,MATCH($M111,Data!$K$9:$K$1273,0)),"")</f>
        <v/>
      </c>
      <c r="BM111" s="312">
        <f>IFERROR(INDEX(Data!DJ$9:DJ$1273,MATCH($M111,Data!$K$9:$K$1273,0)),"")</f>
        <v/>
      </c>
      <c r="BN111" s="312">
        <f>IFERROR(INDEX(Data!DK$9:DK$1273,MATCH($M111,Data!$K$9:$K$1273,0)),"")</f>
        <v/>
      </c>
      <c r="BO111" s="312">
        <f>IFERROR(INDEX(Data!DL$9:DL$1273,MATCH($M111,Data!$K$9:$K$1273,0)),"")</f>
        <v/>
      </c>
      <c r="BP111" s="331">
        <f>IFERROR(IF(BK111=0,"-",BK111),"")</f>
        <v/>
      </c>
      <c r="BQ111" s="312">
        <f>IFERROR(IF(BP111-K111&gt;0,TRUE,FALSE)," ")</f>
        <v/>
      </c>
      <c r="BR111" s="312">
        <f>_xlfn.CONCAT(E111,F111,H111,G111)</f>
        <v/>
      </c>
      <c r="BS111" s="312">
        <f>IFERROR(INDEX(Data!$DO$9:$DO$1273,MATCH('Your recommendation'!BR111,Data!$DN$9:$DN$1273,0)),"")</f>
        <v/>
      </c>
    </row>
    <row r="112" ht="15.6" customFormat="1" customHeight="1" s="138">
      <c r="B112" s="309">
        <f>IF(C112&gt;0,B111+1,"")</f>
        <v/>
      </c>
      <c r="C112" s="310" t="n"/>
      <c r="D112" s="312">
        <f>IFERROR(INDEX(Data!BR$9:BR$1273,MATCH($M112,Data!$K$9:$K$1273,0)),"")</f>
        <v/>
      </c>
      <c r="E112" s="312">
        <f>IFERROR(INDEX(Data!BS$9:BS$1273,MATCH($M112,Data!$K$9:$K$1273,0)),"")</f>
        <v/>
      </c>
      <c r="F112" s="312">
        <f>IFERROR(INDEX(Data!DM$9:DM$1273,MATCH($M112,Data!$K$9:$K$1273,0)),"")</f>
        <v/>
      </c>
      <c r="G112" s="312">
        <f>IFERROR(INDEX(Data!BV$9:BV$1273,MATCH($M112,Data!$K$9:$K$1273,0)),"")</f>
        <v/>
      </c>
      <c r="H112" s="312">
        <f>IFERROR(INDEX(Data!BW$9:BW$1273,MATCH($M112,Data!$K$9:$K$1273,0)),"")</f>
        <v/>
      </c>
      <c r="I112" s="312">
        <f>IFERROR(INDEX(Data!BX$9:BX$1273,MATCH($M112,Data!$K$9:$K$1273,0)),"")</f>
        <v/>
      </c>
      <c r="J112" s="312">
        <f>IFERROR(INDEX(Data!CB$9:CB$1273,MATCH($M112,Data!$K$9:$K$1273,0)),"")</f>
        <v/>
      </c>
      <c r="K112" s="329">
        <f>IFERROR(HYPERLINK(BM112,BC112),"-")</f>
        <v/>
      </c>
      <c r="L112" s="330">
        <f>IFERROR(IF(BB112=0,"-",BB112)," ")</f>
        <v/>
      </c>
      <c r="M112" s="311" t="n"/>
      <c r="N112" s="311" t="n"/>
      <c r="O112" s="311">
        <f>IFERROR(INDEX(Data!M$9:M$1273,MATCH($M112,Data!$K$9:$K$1273,0)),"")</f>
        <v/>
      </c>
      <c r="P112" s="311">
        <f>IFERROR(INDEX(Data!N$9:N$1273,MATCH($M112,Data!$K$9:$K$1273,0)),"")</f>
        <v/>
      </c>
      <c r="Q112" s="311">
        <f>IFERROR(INDEX(Data!O$9:O$1273,MATCH($M112,Data!$K$9:$K$1273,0)),"")</f>
        <v/>
      </c>
      <c r="R112" s="311">
        <f>IFERROR(INDEX(Data!P$9:P$1273,MATCH($M112,Data!$K$9:$K$1273,0)),"")</f>
        <v/>
      </c>
      <c r="S112" s="311">
        <f>IFERROR(INDEX(Data!S$9:S$1273,MATCH($M112,Data!$K$9:$K$1273,0)),"")</f>
        <v/>
      </c>
      <c r="T112" s="311">
        <f>IFERROR(INDEX(Data!T$9:T$1273,MATCH($M112,Data!$K$9:$K$1273,0)),"")</f>
        <v/>
      </c>
      <c r="U112" s="311">
        <f>IFERROR(INDEX(Data!U$9:U$1273,MATCH($M112,Data!$K$9:$K$1273,0)),"")</f>
        <v/>
      </c>
      <c r="V112" s="311">
        <f>IFERROR(INDEX(Data!V$9:V$1273,MATCH($M112,Data!$K$9:$K$1273,0)),"")</f>
        <v/>
      </c>
      <c r="W112" s="311">
        <f>IFERROR(INDEX(Data!W$9:W$1273,MATCH($M112,Data!$K$9:$K$1273,0)),"")</f>
        <v/>
      </c>
      <c r="X112" s="311">
        <f>IFERROR(INDEX(Data!AJ$9:AJ$1273,MATCH($M112,Data!$K$9:$K$1273,0)),"")</f>
        <v/>
      </c>
      <c r="Y112" s="311">
        <f>IFERROR(INDEX(Data!AK$9:AK$1273,MATCH($M112,Data!$K$9:$K$1273,0)),"")</f>
        <v/>
      </c>
      <c r="Z112" s="311">
        <f>IFERROR(INDEX(Data!AL$9:AL$1273,MATCH($M112,Data!$K$9:$K$1273,0)),"")</f>
        <v/>
      </c>
      <c r="AA112" s="311">
        <f>IFERROR(INDEX(Data!AM$9:AM$1273,MATCH($M112,Data!$K$9:$K$1273,0)),"")</f>
        <v/>
      </c>
      <c r="AB112" s="311">
        <f>IFERROR(INDEX(Data!AN$9:AN$1273,MATCH($M112,Data!$K$9:$K$1273,0)),"")</f>
        <v/>
      </c>
      <c r="AC112" s="312">
        <f>IFERROR(INDEX(Data!BY$9:BY$1273,MATCH($M112,Data!$K$9:$K$1273,0)),"")</f>
        <v/>
      </c>
      <c r="AD112" s="312">
        <f>IFERROR(INDEX(Data!BZ$9:BZ$1273,MATCH($M112,Data!$K$9:$K$1273,0)),"")</f>
        <v/>
      </c>
      <c r="AE112" s="312">
        <f>IFERROR(INDEX(Data!CA$9:CA$1273,MATCH($M112,Data!$K$9:$K$1273,0)),"")</f>
        <v/>
      </c>
      <c r="AF112" s="312">
        <f>IFERROR(INDEX(Data!CB$9:CB$1273,MATCH($M112,Data!$K$9:$K$1273,0)),"")</f>
        <v/>
      </c>
      <c r="AG112" s="312">
        <f>IFERROR(INDEX(Data!CC$9:CC$1273,MATCH($M112,Data!$K$9:$K$1273,0)),"")</f>
        <v/>
      </c>
      <c r="AH112" s="312">
        <f>IFERROR(INDEX(Data!CD$9:CD$1273,MATCH($M112,Data!$K$9:$K$1273,0)),"")</f>
        <v/>
      </c>
      <c r="AI112" s="312">
        <f>IFERROR(INDEX(Data!CE$9:CE$1273,MATCH($M112,Data!$K$9:$K$1273,0)),"")</f>
        <v/>
      </c>
      <c r="AJ112" s="312">
        <f>IFERROR(INDEX(Data!CF$9:CF$1273,MATCH($M112,Data!$K$9:$K$1273,0)),"")</f>
        <v/>
      </c>
      <c r="AK112" s="312">
        <f>IFERROR(INDEX(Data!CG$9:CG$1273,MATCH($M112,Data!$K$9:$K$1273,0)),"")</f>
        <v/>
      </c>
      <c r="AL112" s="312">
        <f>IFERROR(INDEX(Data!CH$9:CH$1273,MATCH($M112,Data!$K$9:$K$1273,0)),"")</f>
        <v/>
      </c>
      <c r="AM112" s="312">
        <f>IFERROR(INDEX(Data!CI$9:CI$1273,MATCH($M112,Data!$K$9:$K$1273,0)),"")</f>
        <v/>
      </c>
      <c r="AN112" s="312">
        <f>IFERROR(INDEX(Data!CJ$9:CJ$1273,MATCH($M112,Data!$K$9:$K$1273,0)),"")</f>
        <v/>
      </c>
      <c r="AO112" s="312">
        <f>IFERROR(INDEX(Data!CK$9:CK$1273,MATCH($M112,Data!$K$9:$K$1273,0)),"")</f>
        <v/>
      </c>
      <c r="AP112" s="312">
        <f>IFERROR(INDEX(Data!CL$9:CL$1273,MATCH($M112,Data!$K$9:$K$1273,0)),"")</f>
        <v/>
      </c>
      <c r="AQ112" s="312">
        <f>IFERROR(INDEX(Data!CM$9:CM$1273,MATCH($M112,Data!$K$9:$K$1273,0)),"")</f>
        <v/>
      </c>
      <c r="AR112" s="312">
        <f>IFERROR(INDEX(Data!CN$9:CN$1273,MATCH($M112,Data!$K$9:$K$1273,0)),"")</f>
        <v/>
      </c>
      <c r="AS112" s="312">
        <f>IFERROR(INDEX(Data!CO$9:CO$1273,MATCH($M112,Data!$K$9:$K$1273,0)),"")</f>
        <v/>
      </c>
      <c r="AT112" s="312">
        <f>IFERROR(INDEX(Data!CP$9:CP$1273,MATCH($M112,Data!$K$9:$K$1273,0)),"")</f>
        <v/>
      </c>
      <c r="AU112" s="312">
        <f>IFERROR(INDEX(Data!CQ$9:CQ$1273,MATCH($M112,Data!$K$9:$K$1273,0)),"")</f>
        <v/>
      </c>
      <c r="AV112" s="312">
        <f>IFERROR(INDEX(Data!CR$9:CR$1273,MATCH($M112,Data!$K$9:$K$1273,0)),"")</f>
        <v/>
      </c>
      <c r="AW112" s="312">
        <f>IFERROR(INDEX(Data!CS$9:CS$1273,MATCH($M112,Data!$K$9:$K$1273,0)),"")</f>
        <v/>
      </c>
      <c r="AX112" s="312">
        <f>IFERROR(INDEX(Data!CT$9:CT$1273,MATCH($M112,Data!$K$9:$K$1273,0)),"")</f>
        <v/>
      </c>
      <c r="AY112" s="312">
        <f>IFERROR(INDEX(Data!CU$9:CU$1273,MATCH($M112,Data!$K$9:$K$1273,0)),"")</f>
        <v/>
      </c>
      <c r="AZ112" s="312">
        <f>IFERROR(INDEX(Data!CV$9:CV$1273,MATCH($M112,Data!$K$9:$K$1273,0)),"")</f>
        <v/>
      </c>
      <c r="BA112" s="312">
        <f>IFERROR(INDEX(Data!CX$9:CX$1273,MATCH($M112,Data!$K$9:$K$1273,0)),"")</f>
        <v/>
      </c>
      <c r="BB112" s="312">
        <f>IFERROR(INDEX(Data!CY$9:CY$1273,MATCH($M112,Data!$K$9:$K$1273,0)),"")</f>
        <v/>
      </c>
      <c r="BC112" s="312">
        <f>IFERROR(INDEX(Data!CZ$9:CZ$1273,MATCH($M112,Data!$K$9:$K$1273,0)),"")</f>
        <v/>
      </c>
      <c r="BD112" s="312">
        <f>IFERROR(INDEX(Data!DA$9:DA$1273,MATCH($M112,Data!$K$9:$K$1273,0)),"")</f>
        <v/>
      </c>
      <c r="BE112" s="312">
        <f>IFERROR(INDEX(Data!DB$9:DB$1273,MATCH($M112,Data!$K$9:$K$1273,0)),"")</f>
        <v/>
      </c>
      <c r="BF112" s="312">
        <f>IFERROR(INDEX(Data!DC$9:DC$1273,MATCH($M112,Data!$K$9:$K$1273,0)),"")</f>
        <v/>
      </c>
      <c r="BG112" s="312">
        <f>IFERROR(INDEX(Data!DD$9:DD$1273,MATCH($M112,Data!$K$9:$K$1273,0)),"")</f>
        <v/>
      </c>
      <c r="BH112" s="312">
        <f>IFERROR(INDEX(Data!DE$9:DE$1273,MATCH($M112,Data!$K$9:$K$1273,0)),"")</f>
        <v/>
      </c>
      <c r="BI112" s="312">
        <f>IFERROR(INDEX(Data!DF$9:DF$1273,MATCH($M112,Data!$K$9:$K$1273,0)),"")</f>
        <v/>
      </c>
      <c r="BJ112" s="312">
        <f>IFERROR(INDEX(Data!DG$9:DG$1273,MATCH($M112,Data!$K$9:$K$1273,0)),"")</f>
        <v/>
      </c>
      <c r="BK112" s="312">
        <f>IFERROR(INDEX(Data!DH$9:DH$1273,MATCH($M112,Data!$K$9:$K$1273,0)),"")</f>
        <v/>
      </c>
      <c r="BL112" s="312">
        <f>IFERROR(INDEX(Data!DI$9:DI$1273,MATCH($M112,Data!$K$9:$K$1273,0)),"")</f>
        <v/>
      </c>
      <c r="BM112" s="312">
        <f>IFERROR(INDEX(Data!DJ$9:DJ$1273,MATCH($M112,Data!$K$9:$K$1273,0)),"")</f>
        <v/>
      </c>
      <c r="BN112" s="312">
        <f>IFERROR(INDEX(Data!DK$9:DK$1273,MATCH($M112,Data!$K$9:$K$1273,0)),"")</f>
        <v/>
      </c>
      <c r="BO112" s="312">
        <f>IFERROR(INDEX(Data!DL$9:DL$1273,MATCH($M112,Data!$K$9:$K$1273,0)),"")</f>
        <v/>
      </c>
      <c r="BP112" s="331">
        <f>IFERROR(IF(BK112=0,"-",BK112),"")</f>
        <v/>
      </c>
      <c r="BQ112" s="312">
        <f>IFERROR(IF(BP112-K112&gt;0,TRUE,FALSE)," ")</f>
        <v/>
      </c>
      <c r="BR112" s="312">
        <f>_xlfn.CONCAT(E112,F112,H112,G112)</f>
        <v/>
      </c>
      <c r="BS112" s="312">
        <f>IFERROR(INDEX(Data!$DO$9:$DO$1273,MATCH('Your recommendation'!BR112,Data!$DN$9:$DN$1273,0)),"")</f>
        <v/>
      </c>
    </row>
    <row r="113" ht="15.6" customFormat="1" customHeight="1" s="138">
      <c r="B113" s="309">
        <f>IF(C113&gt;0,B112+1,"")</f>
        <v/>
      </c>
      <c r="C113" s="310" t="n"/>
      <c r="D113" s="312">
        <f>IFERROR(INDEX(Data!BR$9:BR$1273,MATCH($M113,Data!$K$9:$K$1273,0)),"")</f>
        <v/>
      </c>
      <c r="E113" s="312">
        <f>IFERROR(INDEX(Data!BS$9:BS$1273,MATCH($M113,Data!$K$9:$K$1273,0)),"")</f>
        <v/>
      </c>
      <c r="F113" s="312">
        <f>IFERROR(INDEX(Data!DM$9:DM$1273,MATCH($M113,Data!$K$9:$K$1273,0)),"")</f>
        <v/>
      </c>
      <c r="G113" s="312">
        <f>IFERROR(INDEX(Data!BV$9:BV$1273,MATCH($M113,Data!$K$9:$K$1273,0)),"")</f>
        <v/>
      </c>
      <c r="H113" s="312">
        <f>IFERROR(INDEX(Data!BW$9:BW$1273,MATCH($M113,Data!$K$9:$K$1273,0)),"")</f>
        <v/>
      </c>
      <c r="I113" s="312">
        <f>IFERROR(INDEX(Data!BX$9:BX$1273,MATCH($M113,Data!$K$9:$K$1273,0)),"")</f>
        <v/>
      </c>
      <c r="J113" s="312">
        <f>IFERROR(INDEX(Data!CB$9:CB$1273,MATCH($M113,Data!$K$9:$K$1273,0)),"")</f>
        <v/>
      </c>
      <c r="K113" s="329">
        <f>IFERROR(HYPERLINK(BM113,BC113),"-")</f>
        <v/>
      </c>
      <c r="L113" s="330">
        <f>IFERROR(IF(BB113=0,"-",BB113)," ")</f>
        <v/>
      </c>
      <c r="M113" s="311" t="n"/>
      <c r="N113" s="311" t="n"/>
      <c r="O113" s="311">
        <f>IFERROR(INDEX(Data!M$9:M$1273,MATCH($M113,Data!$K$9:$K$1273,0)),"")</f>
        <v/>
      </c>
      <c r="P113" s="311">
        <f>IFERROR(INDEX(Data!N$9:N$1273,MATCH($M113,Data!$K$9:$K$1273,0)),"")</f>
        <v/>
      </c>
      <c r="Q113" s="311">
        <f>IFERROR(INDEX(Data!O$9:O$1273,MATCH($M113,Data!$K$9:$K$1273,0)),"")</f>
        <v/>
      </c>
      <c r="R113" s="311">
        <f>IFERROR(INDEX(Data!P$9:P$1273,MATCH($M113,Data!$K$9:$K$1273,0)),"")</f>
        <v/>
      </c>
      <c r="S113" s="311">
        <f>IFERROR(INDEX(Data!S$9:S$1273,MATCH($M113,Data!$K$9:$K$1273,0)),"")</f>
        <v/>
      </c>
      <c r="T113" s="311">
        <f>IFERROR(INDEX(Data!T$9:T$1273,MATCH($M113,Data!$K$9:$K$1273,0)),"")</f>
        <v/>
      </c>
      <c r="U113" s="311">
        <f>IFERROR(INDEX(Data!U$9:U$1273,MATCH($M113,Data!$K$9:$K$1273,0)),"")</f>
        <v/>
      </c>
      <c r="V113" s="311">
        <f>IFERROR(INDEX(Data!V$9:V$1273,MATCH($M113,Data!$K$9:$K$1273,0)),"")</f>
        <v/>
      </c>
      <c r="W113" s="311">
        <f>IFERROR(INDEX(Data!W$9:W$1273,MATCH($M113,Data!$K$9:$K$1273,0)),"")</f>
        <v/>
      </c>
      <c r="X113" s="311">
        <f>IFERROR(INDEX(Data!AJ$9:AJ$1273,MATCH($M113,Data!$K$9:$K$1273,0)),"")</f>
        <v/>
      </c>
      <c r="Y113" s="311">
        <f>IFERROR(INDEX(Data!AK$9:AK$1273,MATCH($M113,Data!$K$9:$K$1273,0)),"")</f>
        <v/>
      </c>
      <c r="Z113" s="311">
        <f>IFERROR(INDEX(Data!AL$9:AL$1273,MATCH($M113,Data!$K$9:$K$1273,0)),"")</f>
        <v/>
      </c>
      <c r="AA113" s="311">
        <f>IFERROR(INDEX(Data!AM$9:AM$1273,MATCH($M113,Data!$K$9:$K$1273,0)),"")</f>
        <v/>
      </c>
      <c r="AB113" s="311">
        <f>IFERROR(INDEX(Data!AN$9:AN$1273,MATCH($M113,Data!$K$9:$K$1273,0)),"")</f>
        <v/>
      </c>
      <c r="AC113" s="312">
        <f>IFERROR(INDEX(Data!BY$9:BY$1273,MATCH($M113,Data!$K$9:$K$1273,0)),"")</f>
        <v/>
      </c>
      <c r="AD113" s="312">
        <f>IFERROR(INDEX(Data!BZ$9:BZ$1273,MATCH($M113,Data!$K$9:$K$1273,0)),"")</f>
        <v/>
      </c>
      <c r="AE113" s="312">
        <f>IFERROR(INDEX(Data!CA$9:CA$1273,MATCH($M113,Data!$K$9:$K$1273,0)),"")</f>
        <v/>
      </c>
      <c r="AF113" s="312">
        <f>IFERROR(INDEX(Data!CB$9:CB$1273,MATCH($M113,Data!$K$9:$K$1273,0)),"")</f>
        <v/>
      </c>
      <c r="AG113" s="312">
        <f>IFERROR(INDEX(Data!CC$9:CC$1273,MATCH($M113,Data!$K$9:$K$1273,0)),"")</f>
        <v/>
      </c>
      <c r="AH113" s="312">
        <f>IFERROR(INDEX(Data!CD$9:CD$1273,MATCH($M113,Data!$K$9:$K$1273,0)),"")</f>
        <v/>
      </c>
      <c r="AI113" s="312">
        <f>IFERROR(INDEX(Data!CE$9:CE$1273,MATCH($M113,Data!$K$9:$K$1273,0)),"")</f>
        <v/>
      </c>
      <c r="AJ113" s="312">
        <f>IFERROR(INDEX(Data!CF$9:CF$1273,MATCH($M113,Data!$K$9:$K$1273,0)),"")</f>
        <v/>
      </c>
      <c r="AK113" s="312">
        <f>IFERROR(INDEX(Data!CG$9:CG$1273,MATCH($M113,Data!$K$9:$K$1273,0)),"")</f>
        <v/>
      </c>
      <c r="AL113" s="312">
        <f>IFERROR(INDEX(Data!CH$9:CH$1273,MATCH($M113,Data!$K$9:$K$1273,0)),"")</f>
        <v/>
      </c>
      <c r="AM113" s="312">
        <f>IFERROR(INDEX(Data!CI$9:CI$1273,MATCH($M113,Data!$K$9:$K$1273,0)),"")</f>
        <v/>
      </c>
      <c r="AN113" s="312">
        <f>IFERROR(INDEX(Data!CJ$9:CJ$1273,MATCH($M113,Data!$K$9:$K$1273,0)),"")</f>
        <v/>
      </c>
      <c r="AO113" s="312">
        <f>IFERROR(INDEX(Data!CK$9:CK$1273,MATCH($M113,Data!$K$9:$K$1273,0)),"")</f>
        <v/>
      </c>
      <c r="AP113" s="312">
        <f>IFERROR(INDEX(Data!CL$9:CL$1273,MATCH($M113,Data!$K$9:$K$1273,0)),"")</f>
        <v/>
      </c>
      <c r="AQ113" s="312">
        <f>IFERROR(INDEX(Data!CM$9:CM$1273,MATCH($M113,Data!$K$9:$K$1273,0)),"")</f>
        <v/>
      </c>
      <c r="AR113" s="312">
        <f>IFERROR(INDEX(Data!CN$9:CN$1273,MATCH($M113,Data!$K$9:$K$1273,0)),"")</f>
        <v/>
      </c>
      <c r="AS113" s="312">
        <f>IFERROR(INDEX(Data!CO$9:CO$1273,MATCH($M113,Data!$K$9:$K$1273,0)),"")</f>
        <v/>
      </c>
      <c r="AT113" s="312">
        <f>IFERROR(INDEX(Data!CP$9:CP$1273,MATCH($M113,Data!$K$9:$K$1273,0)),"")</f>
        <v/>
      </c>
      <c r="AU113" s="312">
        <f>IFERROR(INDEX(Data!CQ$9:CQ$1273,MATCH($M113,Data!$K$9:$K$1273,0)),"")</f>
        <v/>
      </c>
      <c r="AV113" s="312">
        <f>IFERROR(INDEX(Data!CR$9:CR$1273,MATCH($M113,Data!$K$9:$K$1273,0)),"")</f>
        <v/>
      </c>
      <c r="AW113" s="312">
        <f>IFERROR(INDEX(Data!CS$9:CS$1273,MATCH($M113,Data!$K$9:$K$1273,0)),"")</f>
        <v/>
      </c>
      <c r="AX113" s="312">
        <f>IFERROR(INDEX(Data!CT$9:CT$1273,MATCH($M113,Data!$K$9:$K$1273,0)),"")</f>
        <v/>
      </c>
      <c r="AY113" s="312">
        <f>IFERROR(INDEX(Data!CU$9:CU$1273,MATCH($M113,Data!$K$9:$K$1273,0)),"")</f>
        <v/>
      </c>
      <c r="AZ113" s="312">
        <f>IFERROR(INDEX(Data!CV$9:CV$1273,MATCH($M113,Data!$K$9:$K$1273,0)),"")</f>
        <v/>
      </c>
      <c r="BA113" s="312">
        <f>IFERROR(INDEX(Data!CX$9:CX$1273,MATCH($M113,Data!$K$9:$K$1273,0)),"")</f>
        <v/>
      </c>
      <c r="BB113" s="312">
        <f>IFERROR(INDEX(Data!CY$9:CY$1273,MATCH($M113,Data!$K$9:$K$1273,0)),"")</f>
        <v/>
      </c>
      <c r="BC113" s="312">
        <f>IFERROR(INDEX(Data!CZ$9:CZ$1273,MATCH($M113,Data!$K$9:$K$1273,0)),"")</f>
        <v/>
      </c>
      <c r="BD113" s="312">
        <f>IFERROR(INDEX(Data!DA$9:DA$1273,MATCH($M113,Data!$K$9:$K$1273,0)),"")</f>
        <v/>
      </c>
      <c r="BE113" s="312">
        <f>IFERROR(INDEX(Data!DB$9:DB$1273,MATCH($M113,Data!$K$9:$K$1273,0)),"")</f>
        <v/>
      </c>
      <c r="BF113" s="312">
        <f>IFERROR(INDEX(Data!DC$9:DC$1273,MATCH($M113,Data!$K$9:$K$1273,0)),"")</f>
        <v/>
      </c>
      <c r="BG113" s="312">
        <f>IFERROR(INDEX(Data!DD$9:DD$1273,MATCH($M113,Data!$K$9:$K$1273,0)),"")</f>
        <v/>
      </c>
      <c r="BH113" s="312">
        <f>IFERROR(INDEX(Data!DE$9:DE$1273,MATCH($M113,Data!$K$9:$K$1273,0)),"")</f>
        <v/>
      </c>
      <c r="BI113" s="312">
        <f>IFERROR(INDEX(Data!DF$9:DF$1273,MATCH($M113,Data!$K$9:$K$1273,0)),"")</f>
        <v/>
      </c>
      <c r="BJ113" s="312">
        <f>IFERROR(INDEX(Data!DG$9:DG$1273,MATCH($M113,Data!$K$9:$K$1273,0)),"")</f>
        <v/>
      </c>
      <c r="BK113" s="312">
        <f>IFERROR(INDEX(Data!DH$9:DH$1273,MATCH($M113,Data!$K$9:$K$1273,0)),"")</f>
        <v/>
      </c>
      <c r="BL113" s="312">
        <f>IFERROR(INDEX(Data!DI$9:DI$1273,MATCH($M113,Data!$K$9:$K$1273,0)),"")</f>
        <v/>
      </c>
      <c r="BM113" s="312">
        <f>IFERROR(INDEX(Data!DJ$9:DJ$1273,MATCH($M113,Data!$K$9:$K$1273,0)),"")</f>
        <v/>
      </c>
      <c r="BN113" s="312">
        <f>IFERROR(INDEX(Data!DK$9:DK$1273,MATCH($M113,Data!$K$9:$K$1273,0)),"")</f>
        <v/>
      </c>
      <c r="BO113" s="312">
        <f>IFERROR(INDEX(Data!DL$9:DL$1273,MATCH($M113,Data!$K$9:$K$1273,0)),"")</f>
        <v/>
      </c>
      <c r="BP113" s="331">
        <f>IFERROR(IF(BK113=0,"-",BK113),"")</f>
        <v/>
      </c>
      <c r="BQ113" s="312">
        <f>IFERROR(IF(BP113-K113&gt;0,TRUE,FALSE)," ")</f>
        <v/>
      </c>
      <c r="BR113" s="312">
        <f>_xlfn.CONCAT(E113,F113,H113,G113)</f>
        <v/>
      </c>
      <c r="BS113" s="312">
        <f>IFERROR(INDEX(Data!$DO$9:$DO$1273,MATCH('Your recommendation'!BR113,Data!$DN$9:$DN$1273,0)),"")</f>
        <v/>
      </c>
    </row>
    <row r="114" ht="15.6" customFormat="1" customHeight="1" s="138">
      <c r="B114" s="309">
        <f>IF(C114&gt;0,B113+1,"")</f>
        <v/>
      </c>
      <c r="C114" s="310" t="n"/>
      <c r="D114" s="312">
        <f>IFERROR(INDEX(Data!BR$9:BR$1273,MATCH($M114,Data!$K$9:$K$1273,0)),"")</f>
        <v/>
      </c>
      <c r="E114" s="312">
        <f>IFERROR(INDEX(Data!BS$9:BS$1273,MATCH($M114,Data!$K$9:$K$1273,0)),"")</f>
        <v/>
      </c>
      <c r="F114" s="312">
        <f>IFERROR(INDEX(Data!DM$9:DM$1273,MATCH($M114,Data!$K$9:$K$1273,0)),"")</f>
        <v/>
      </c>
      <c r="G114" s="312">
        <f>IFERROR(INDEX(Data!BV$9:BV$1273,MATCH($M114,Data!$K$9:$K$1273,0)),"")</f>
        <v/>
      </c>
      <c r="H114" s="312">
        <f>IFERROR(INDEX(Data!BW$9:BW$1273,MATCH($M114,Data!$K$9:$K$1273,0)),"")</f>
        <v/>
      </c>
      <c r="I114" s="312">
        <f>IFERROR(INDEX(Data!BX$9:BX$1273,MATCH($M114,Data!$K$9:$K$1273,0)),"")</f>
        <v/>
      </c>
      <c r="J114" s="312">
        <f>IFERROR(INDEX(Data!CB$9:CB$1273,MATCH($M114,Data!$K$9:$K$1273,0)),"")</f>
        <v/>
      </c>
      <c r="K114" s="329">
        <f>IFERROR(HYPERLINK(BM114,BC114),"-")</f>
        <v/>
      </c>
      <c r="L114" s="330">
        <f>IFERROR(IF(BB114=0,"-",BB114)," ")</f>
        <v/>
      </c>
      <c r="M114" s="311" t="n"/>
      <c r="N114" s="311" t="n"/>
      <c r="O114" s="311">
        <f>IFERROR(INDEX(Data!M$9:M$1273,MATCH($M114,Data!$K$9:$K$1273,0)),"")</f>
        <v/>
      </c>
      <c r="P114" s="311">
        <f>IFERROR(INDEX(Data!N$9:N$1273,MATCH($M114,Data!$K$9:$K$1273,0)),"")</f>
        <v/>
      </c>
      <c r="Q114" s="311">
        <f>IFERROR(INDEX(Data!O$9:O$1273,MATCH($M114,Data!$K$9:$K$1273,0)),"")</f>
        <v/>
      </c>
      <c r="R114" s="311">
        <f>IFERROR(INDEX(Data!P$9:P$1273,MATCH($M114,Data!$K$9:$K$1273,0)),"")</f>
        <v/>
      </c>
      <c r="S114" s="311">
        <f>IFERROR(INDEX(Data!S$9:S$1273,MATCH($M114,Data!$K$9:$K$1273,0)),"")</f>
        <v/>
      </c>
      <c r="T114" s="311">
        <f>IFERROR(INDEX(Data!T$9:T$1273,MATCH($M114,Data!$K$9:$K$1273,0)),"")</f>
        <v/>
      </c>
      <c r="U114" s="311">
        <f>IFERROR(INDEX(Data!U$9:U$1273,MATCH($M114,Data!$K$9:$K$1273,0)),"")</f>
        <v/>
      </c>
      <c r="V114" s="311">
        <f>IFERROR(INDEX(Data!V$9:V$1273,MATCH($M114,Data!$K$9:$K$1273,0)),"")</f>
        <v/>
      </c>
      <c r="W114" s="311">
        <f>IFERROR(INDEX(Data!W$9:W$1273,MATCH($M114,Data!$K$9:$K$1273,0)),"")</f>
        <v/>
      </c>
      <c r="X114" s="311">
        <f>IFERROR(INDEX(Data!AJ$9:AJ$1273,MATCH($M114,Data!$K$9:$K$1273,0)),"")</f>
        <v/>
      </c>
      <c r="Y114" s="311">
        <f>IFERROR(INDEX(Data!AK$9:AK$1273,MATCH($M114,Data!$K$9:$K$1273,0)),"")</f>
        <v/>
      </c>
      <c r="Z114" s="311">
        <f>IFERROR(INDEX(Data!AL$9:AL$1273,MATCH($M114,Data!$K$9:$K$1273,0)),"")</f>
        <v/>
      </c>
      <c r="AA114" s="311">
        <f>IFERROR(INDEX(Data!AM$9:AM$1273,MATCH($M114,Data!$K$9:$K$1273,0)),"")</f>
        <v/>
      </c>
      <c r="AB114" s="311">
        <f>IFERROR(INDEX(Data!AN$9:AN$1273,MATCH($M114,Data!$K$9:$K$1273,0)),"")</f>
        <v/>
      </c>
      <c r="AC114" s="312">
        <f>IFERROR(INDEX(Data!BY$9:BY$1273,MATCH($M114,Data!$K$9:$K$1273,0)),"")</f>
        <v/>
      </c>
      <c r="AD114" s="312">
        <f>IFERROR(INDEX(Data!BZ$9:BZ$1273,MATCH($M114,Data!$K$9:$K$1273,0)),"")</f>
        <v/>
      </c>
      <c r="AE114" s="312">
        <f>IFERROR(INDEX(Data!CA$9:CA$1273,MATCH($M114,Data!$K$9:$K$1273,0)),"")</f>
        <v/>
      </c>
      <c r="AF114" s="312">
        <f>IFERROR(INDEX(Data!CB$9:CB$1273,MATCH($M114,Data!$K$9:$K$1273,0)),"")</f>
        <v/>
      </c>
      <c r="AG114" s="312">
        <f>IFERROR(INDEX(Data!CC$9:CC$1273,MATCH($M114,Data!$K$9:$K$1273,0)),"")</f>
        <v/>
      </c>
      <c r="AH114" s="312">
        <f>IFERROR(INDEX(Data!CD$9:CD$1273,MATCH($M114,Data!$K$9:$K$1273,0)),"")</f>
        <v/>
      </c>
      <c r="AI114" s="312">
        <f>IFERROR(INDEX(Data!CE$9:CE$1273,MATCH($M114,Data!$K$9:$K$1273,0)),"")</f>
        <v/>
      </c>
      <c r="AJ114" s="312">
        <f>IFERROR(INDEX(Data!CF$9:CF$1273,MATCH($M114,Data!$K$9:$K$1273,0)),"")</f>
        <v/>
      </c>
      <c r="AK114" s="312">
        <f>IFERROR(INDEX(Data!CG$9:CG$1273,MATCH($M114,Data!$K$9:$K$1273,0)),"")</f>
        <v/>
      </c>
      <c r="AL114" s="312">
        <f>IFERROR(INDEX(Data!CH$9:CH$1273,MATCH($M114,Data!$K$9:$K$1273,0)),"")</f>
        <v/>
      </c>
      <c r="AM114" s="312">
        <f>IFERROR(INDEX(Data!CI$9:CI$1273,MATCH($M114,Data!$K$9:$K$1273,0)),"")</f>
        <v/>
      </c>
      <c r="AN114" s="312">
        <f>IFERROR(INDEX(Data!CJ$9:CJ$1273,MATCH($M114,Data!$K$9:$K$1273,0)),"")</f>
        <v/>
      </c>
      <c r="AO114" s="312">
        <f>IFERROR(INDEX(Data!CK$9:CK$1273,MATCH($M114,Data!$K$9:$K$1273,0)),"")</f>
        <v/>
      </c>
      <c r="AP114" s="312">
        <f>IFERROR(INDEX(Data!CL$9:CL$1273,MATCH($M114,Data!$K$9:$K$1273,0)),"")</f>
        <v/>
      </c>
      <c r="AQ114" s="312">
        <f>IFERROR(INDEX(Data!CM$9:CM$1273,MATCH($M114,Data!$K$9:$K$1273,0)),"")</f>
        <v/>
      </c>
      <c r="AR114" s="312">
        <f>IFERROR(INDEX(Data!CN$9:CN$1273,MATCH($M114,Data!$K$9:$K$1273,0)),"")</f>
        <v/>
      </c>
      <c r="AS114" s="312">
        <f>IFERROR(INDEX(Data!CO$9:CO$1273,MATCH($M114,Data!$K$9:$K$1273,0)),"")</f>
        <v/>
      </c>
      <c r="AT114" s="312">
        <f>IFERROR(INDEX(Data!CP$9:CP$1273,MATCH($M114,Data!$K$9:$K$1273,0)),"")</f>
        <v/>
      </c>
      <c r="AU114" s="312">
        <f>IFERROR(INDEX(Data!CQ$9:CQ$1273,MATCH($M114,Data!$K$9:$K$1273,0)),"")</f>
        <v/>
      </c>
      <c r="AV114" s="312">
        <f>IFERROR(INDEX(Data!CR$9:CR$1273,MATCH($M114,Data!$K$9:$K$1273,0)),"")</f>
        <v/>
      </c>
      <c r="AW114" s="312">
        <f>IFERROR(INDEX(Data!CS$9:CS$1273,MATCH($M114,Data!$K$9:$K$1273,0)),"")</f>
        <v/>
      </c>
      <c r="AX114" s="312">
        <f>IFERROR(INDEX(Data!CT$9:CT$1273,MATCH($M114,Data!$K$9:$K$1273,0)),"")</f>
        <v/>
      </c>
      <c r="AY114" s="312">
        <f>IFERROR(INDEX(Data!CU$9:CU$1273,MATCH($M114,Data!$K$9:$K$1273,0)),"")</f>
        <v/>
      </c>
      <c r="AZ114" s="312">
        <f>IFERROR(INDEX(Data!CV$9:CV$1273,MATCH($M114,Data!$K$9:$K$1273,0)),"")</f>
        <v/>
      </c>
      <c r="BA114" s="312">
        <f>IFERROR(INDEX(Data!CX$9:CX$1273,MATCH($M114,Data!$K$9:$K$1273,0)),"")</f>
        <v/>
      </c>
      <c r="BB114" s="312">
        <f>IFERROR(INDEX(Data!CY$9:CY$1273,MATCH($M114,Data!$K$9:$K$1273,0)),"")</f>
        <v/>
      </c>
      <c r="BC114" s="312">
        <f>IFERROR(INDEX(Data!CZ$9:CZ$1273,MATCH($M114,Data!$K$9:$K$1273,0)),"")</f>
        <v/>
      </c>
      <c r="BD114" s="312">
        <f>IFERROR(INDEX(Data!DA$9:DA$1273,MATCH($M114,Data!$K$9:$K$1273,0)),"")</f>
        <v/>
      </c>
      <c r="BE114" s="312">
        <f>IFERROR(INDEX(Data!DB$9:DB$1273,MATCH($M114,Data!$K$9:$K$1273,0)),"")</f>
        <v/>
      </c>
      <c r="BF114" s="312">
        <f>IFERROR(INDEX(Data!DC$9:DC$1273,MATCH($M114,Data!$K$9:$K$1273,0)),"")</f>
        <v/>
      </c>
      <c r="BG114" s="312">
        <f>IFERROR(INDEX(Data!DD$9:DD$1273,MATCH($M114,Data!$K$9:$K$1273,0)),"")</f>
        <v/>
      </c>
      <c r="BH114" s="312">
        <f>IFERROR(INDEX(Data!DE$9:DE$1273,MATCH($M114,Data!$K$9:$K$1273,0)),"")</f>
        <v/>
      </c>
      <c r="BI114" s="312">
        <f>IFERROR(INDEX(Data!DF$9:DF$1273,MATCH($M114,Data!$K$9:$K$1273,0)),"")</f>
        <v/>
      </c>
      <c r="BJ114" s="312">
        <f>IFERROR(INDEX(Data!DG$9:DG$1273,MATCH($M114,Data!$K$9:$K$1273,0)),"")</f>
        <v/>
      </c>
      <c r="BK114" s="312">
        <f>IFERROR(INDEX(Data!DH$9:DH$1273,MATCH($M114,Data!$K$9:$K$1273,0)),"")</f>
        <v/>
      </c>
      <c r="BL114" s="312">
        <f>IFERROR(INDEX(Data!DI$9:DI$1273,MATCH($M114,Data!$K$9:$K$1273,0)),"")</f>
        <v/>
      </c>
      <c r="BM114" s="312">
        <f>IFERROR(INDEX(Data!DJ$9:DJ$1273,MATCH($M114,Data!$K$9:$K$1273,0)),"")</f>
        <v/>
      </c>
      <c r="BN114" s="312">
        <f>IFERROR(INDEX(Data!DK$9:DK$1273,MATCH($M114,Data!$K$9:$K$1273,0)),"")</f>
        <v/>
      </c>
      <c r="BO114" s="312">
        <f>IFERROR(INDEX(Data!DL$9:DL$1273,MATCH($M114,Data!$K$9:$K$1273,0)),"")</f>
        <v/>
      </c>
      <c r="BP114" s="331">
        <f>IFERROR(IF(BK114=0,"-",BK114),"")</f>
        <v/>
      </c>
      <c r="BQ114" s="312">
        <f>IFERROR(IF(BP114-K114&gt;0,TRUE,FALSE)," ")</f>
        <v/>
      </c>
      <c r="BR114" s="312">
        <f>_xlfn.CONCAT(E114,F114,H114,G114)</f>
        <v/>
      </c>
      <c r="BS114" s="312">
        <f>IFERROR(INDEX(Data!$DO$9:$DO$1273,MATCH('Your recommendation'!BR114,Data!$DN$9:$DN$1273,0)),"")</f>
        <v/>
      </c>
    </row>
    <row r="115" ht="15.6" customFormat="1" customHeight="1" s="138">
      <c r="B115" s="309">
        <f>IF(C115&gt;0,B114+1,"")</f>
        <v/>
      </c>
      <c r="C115" s="310" t="n"/>
      <c r="D115" s="312">
        <f>IFERROR(INDEX(Data!BR$9:BR$1273,MATCH($M115,Data!$K$9:$K$1273,0)),"")</f>
        <v/>
      </c>
      <c r="E115" s="312">
        <f>IFERROR(INDEX(Data!BS$9:BS$1273,MATCH($M115,Data!$K$9:$K$1273,0)),"")</f>
        <v/>
      </c>
      <c r="F115" s="312">
        <f>IFERROR(INDEX(Data!DM$9:DM$1273,MATCH($M115,Data!$K$9:$K$1273,0)),"")</f>
        <v/>
      </c>
      <c r="G115" s="312">
        <f>IFERROR(INDEX(Data!BV$9:BV$1273,MATCH($M115,Data!$K$9:$K$1273,0)),"")</f>
        <v/>
      </c>
      <c r="H115" s="312">
        <f>IFERROR(INDEX(Data!BW$9:BW$1273,MATCH($M115,Data!$K$9:$K$1273,0)),"")</f>
        <v/>
      </c>
      <c r="I115" s="312">
        <f>IFERROR(INDEX(Data!BX$9:BX$1273,MATCH($M115,Data!$K$9:$K$1273,0)),"")</f>
        <v/>
      </c>
      <c r="J115" s="312">
        <f>IFERROR(INDEX(Data!CB$9:CB$1273,MATCH($M115,Data!$K$9:$K$1273,0)),"")</f>
        <v/>
      </c>
      <c r="K115" s="329">
        <f>IFERROR(HYPERLINK(BM115,BC115),"-")</f>
        <v/>
      </c>
      <c r="L115" s="330">
        <f>IFERROR(IF(BB115=0,"-",BB115)," ")</f>
        <v/>
      </c>
      <c r="M115" s="311" t="n"/>
      <c r="N115" s="311" t="n"/>
      <c r="O115" s="311">
        <f>IFERROR(INDEX(Data!M$9:M$1273,MATCH($M115,Data!$K$9:$K$1273,0)),"")</f>
        <v/>
      </c>
      <c r="P115" s="311">
        <f>IFERROR(INDEX(Data!N$9:N$1273,MATCH($M115,Data!$K$9:$K$1273,0)),"")</f>
        <v/>
      </c>
      <c r="Q115" s="311">
        <f>IFERROR(INDEX(Data!O$9:O$1273,MATCH($M115,Data!$K$9:$K$1273,0)),"")</f>
        <v/>
      </c>
      <c r="R115" s="311">
        <f>IFERROR(INDEX(Data!P$9:P$1273,MATCH($M115,Data!$K$9:$K$1273,0)),"")</f>
        <v/>
      </c>
      <c r="S115" s="311">
        <f>IFERROR(INDEX(Data!S$9:S$1273,MATCH($M115,Data!$K$9:$K$1273,0)),"")</f>
        <v/>
      </c>
      <c r="T115" s="311">
        <f>IFERROR(INDEX(Data!T$9:T$1273,MATCH($M115,Data!$K$9:$K$1273,0)),"")</f>
        <v/>
      </c>
      <c r="U115" s="311">
        <f>IFERROR(INDEX(Data!U$9:U$1273,MATCH($M115,Data!$K$9:$K$1273,0)),"")</f>
        <v/>
      </c>
      <c r="V115" s="311">
        <f>IFERROR(INDEX(Data!V$9:V$1273,MATCH($M115,Data!$K$9:$K$1273,0)),"")</f>
        <v/>
      </c>
      <c r="W115" s="311">
        <f>IFERROR(INDEX(Data!W$9:W$1273,MATCH($M115,Data!$K$9:$K$1273,0)),"")</f>
        <v/>
      </c>
      <c r="X115" s="311">
        <f>IFERROR(INDEX(Data!AJ$9:AJ$1273,MATCH($M115,Data!$K$9:$K$1273,0)),"")</f>
        <v/>
      </c>
      <c r="Y115" s="311">
        <f>IFERROR(INDEX(Data!AK$9:AK$1273,MATCH($M115,Data!$K$9:$K$1273,0)),"")</f>
        <v/>
      </c>
      <c r="Z115" s="311">
        <f>IFERROR(INDEX(Data!AL$9:AL$1273,MATCH($M115,Data!$K$9:$K$1273,0)),"")</f>
        <v/>
      </c>
      <c r="AA115" s="311">
        <f>IFERROR(INDEX(Data!AM$9:AM$1273,MATCH($M115,Data!$K$9:$K$1273,0)),"")</f>
        <v/>
      </c>
      <c r="AB115" s="311">
        <f>IFERROR(INDEX(Data!AN$9:AN$1273,MATCH($M115,Data!$K$9:$K$1273,0)),"")</f>
        <v/>
      </c>
      <c r="AC115" s="312">
        <f>IFERROR(INDEX(Data!BY$9:BY$1273,MATCH($M115,Data!$K$9:$K$1273,0)),"")</f>
        <v/>
      </c>
      <c r="AD115" s="312">
        <f>IFERROR(INDEX(Data!BZ$9:BZ$1273,MATCH($M115,Data!$K$9:$K$1273,0)),"")</f>
        <v/>
      </c>
      <c r="AE115" s="312">
        <f>IFERROR(INDEX(Data!CA$9:CA$1273,MATCH($M115,Data!$K$9:$K$1273,0)),"")</f>
        <v/>
      </c>
      <c r="AF115" s="312">
        <f>IFERROR(INDEX(Data!CB$9:CB$1273,MATCH($M115,Data!$K$9:$K$1273,0)),"")</f>
        <v/>
      </c>
      <c r="AG115" s="312">
        <f>IFERROR(INDEX(Data!CC$9:CC$1273,MATCH($M115,Data!$K$9:$K$1273,0)),"")</f>
        <v/>
      </c>
      <c r="AH115" s="312">
        <f>IFERROR(INDEX(Data!CD$9:CD$1273,MATCH($M115,Data!$K$9:$K$1273,0)),"")</f>
        <v/>
      </c>
      <c r="AI115" s="312">
        <f>IFERROR(INDEX(Data!CE$9:CE$1273,MATCH($M115,Data!$K$9:$K$1273,0)),"")</f>
        <v/>
      </c>
      <c r="AJ115" s="312">
        <f>IFERROR(INDEX(Data!CF$9:CF$1273,MATCH($M115,Data!$K$9:$K$1273,0)),"")</f>
        <v/>
      </c>
      <c r="AK115" s="312">
        <f>IFERROR(INDEX(Data!CG$9:CG$1273,MATCH($M115,Data!$K$9:$K$1273,0)),"")</f>
        <v/>
      </c>
      <c r="AL115" s="312">
        <f>IFERROR(INDEX(Data!CH$9:CH$1273,MATCH($M115,Data!$K$9:$K$1273,0)),"")</f>
        <v/>
      </c>
      <c r="AM115" s="312">
        <f>IFERROR(INDEX(Data!CI$9:CI$1273,MATCH($M115,Data!$K$9:$K$1273,0)),"")</f>
        <v/>
      </c>
      <c r="AN115" s="312">
        <f>IFERROR(INDEX(Data!CJ$9:CJ$1273,MATCH($M115,Data!$K$9:$K$1273,0)),"")</f>
        <v/>
      </c>
      <c r="AO115" s="312">
        <f>IFERROR(INDEX(Data!CK$9:CK$1273,MATCH($M115,Data!$K$9:$K$1273,0)),"")</f>
        <v/>
      </c>
      <c r="AP115" s="312">
        <f>IFERROR(INDEX(Data!CL$9:CL$1273,MATCH($M115,Data!$K$9:$K$1273,0)),"")</f>
        <v/>
      </c>
      <c r="AQ115" s="312">
        <f>IFERROR(INDEX(Data!CM$9:CM$1273,MATCH($M115,Data!$K$9:$K$1273,0)),"")</f>
        <v/>
      </c>
      <c r="AR115" s="312">
        <f>IFERROR(INDEX(Data!CN$9:CN$1273,MATCH($M115,Data!$K$9:$K$1273,0)),"")</f>
        <v/>
      </c>
      <c r="AS115" s="312">
        <f>IFERROR(INDEX(Data!CO$9:CO$1273,MATCH($M115,Data!$K$9:$K$1273,0)),"")</f>
        <v/>
      </c>
      <c r="AT115" s="312">
        <f>IFERROR(INDEX(Data!CP$9:CP$1273,MATCH($M115,Data!$K$9:$K$1273,0)),"")</f>
        <v/>
      </c>
      <c r="AU115" s="312">
        <f>IFERROR(INDEX(Data!CQ$9:CQ$1273,MATCH($M115,Data!$K$9:$K$1273,0)),"")</f>
        <v/>
      </c>
      <c r="AV115" s="312">
        <f>IFERROR(INDEX(Data!CR$9:CR$1273,MATCH($M115,Data!$K$9:$K$1273,0)),"")</f>
        <v/>
      </c>
      <c r="AW115" s="312">
        <f>IFERROR(INDEX(Data!CS$9:CS$1273,MATCH($M115,Data!$K$9:$K$1273,0)),"")</f>
        <v/>
      </c>
      <c r="AX115" s="312">
        <f>IFERROR(INDEX(Data!CT$9:CT$1273,MATCH($M115,Data!$K$9:$K$1273,0)),"")</f>
        <v/>
      </c>
      <c r="AY115" s="312">
        <f>IFERROR(INDEX(Data!CU$9:CU$1273,MATCH($M115,Data!$K$9:$K$1273,0)),"")</f>
        <v/>
      </c>
      <c r="AZ115" s="312">
        <f>IFERROR(INDEX(Data!CV$9:CV$1273,MATCH($M115,Data!$K$9:$K$1273,0)),"")</f>
        <v/>
      </c>
      <c r="BA115" s="312">
        <f>IFERROR(INDEX(Data!CX$9:CX$1273,MATCH($M115,Data!$K$9:$K$1273,0)),"")</f>
        <v/>
      </c>
      <c r="BB115" s="312">
        <f>IFERROR(INDEX(Data!CY$9:CY$1273,MATCH($M115,Data!$K$9:$K$1273,0)),"")</f>
        <v/>
      </c>
      <c r="BC115" s="312">
        <f>IFERROR(INDEX(Data!CZ$9:CZ$1273,MATCH($M115,Data!$K$9:$K$1273,0)),"")</f>
        <v/>
      </c>
      <c r="BD115" s="312">
        <f>IFERROR(INDEX(Data!DA$9:DA$1273,MATCH($M115,Data!$K$9:$K$1273,0)),"")</f>
        <v/>
      </c>
      <c r="BE115" s="312">
        <f>IFERROR(INDEX(Data!DB$9:DB$1273,MATCH($M115,Data!$K$9:$K$1273,0)),"")</f>
        <v/>
      </c>
      <c r="BF115" s="312">
        <f>IFERROR(INDEX(Data!DC$9:DC$1273,MATCH($M115,Data!$K$9:$K$1273,0)),"")</f>
        <v/>
      </c>
      <c r="BG115" s="312">
        <f>IFERROR(INDEX(Data!DD$9:DD$1273,MATCH($M115,Data!$K$9:$K$1273,0)),"")</f>
        <v/>
      </c>
      <c r="BH115" s="312">
        <f>IFERROR(INDEX(Data!DE$9:DE$1273,MATCH($M115,Data!$K$9:$K$1273,0)),"")</f>
        <v/>
      </c>
      <c r="BI115" s="312">
        <f>IFERROR(INDEX(Data!DF$9:DF$1273,MATCH($M115,Data!$K$9:$K$1273,0)),"")</f>
        <v/>
      </c>
      <c r="BJ115" s="312">
        <f>IFERROR(INDEX(Data!DG$9:DG$1273,MATCH($M115,Data!$K$9:$K$1273,0)),"")</f>
        <v/>
      </c>
      <c r="BK115" s="312">
        <f>IFERROR(INDEX(Data!DH$9:DH$1273,MATCH($M115,Data!$K$9:$K$1273,0)),"")</f>
        <v/>
      </c>
      <c r="BL115" s="312">
        <f>IFERROR(INDEX(Data!DI$9:DI$1273,MATCH($M115,Data!$K$9:$K$1273,0)),"")</f>
        <v/>
      </c>
      <c r="BM115" s="312">
        <f>IFERROR(INDEX(Data!DJ$9:DJ$1273,MATCH($M115,Data!$K$9:$K$1273,0)),"")</f>
        <v/>
      </c>
      <c r="BN115" s="312">
        <f>IFERROR(INDEX(Data!DK$9:DK$1273,MATCH($M115,Data!$K$9:$K$1273,0)),"")</f>
        <v/>
      </c>
      <c r="BO115" s="312">
        <f>IFERROR(INDEX(Data!DL$9:DL$1273,MATCH($M115,Data!$K$9:$K$1273,0)),"")</f>
        <v/>
      </c>
      <c r="BP115" s="331">
        <f>IFERROR(IF(BK115=0,"-",BK115),"")</f>
        <v/>
      </c>
      <c r="BQ115" s="312">
        <f>IFERROR(IF(BP115-K115&gt;0,TRUE,FALSE)," ")</f>
        <v/>
      </c>
      <c r="BR115" s="312">
        <f>_xlfn.CONCAT(E115,F115,H115,G115)</f>
        <v/>
      </c>
      <c r="BS115" s="312">
        <f>IFERROR(INDEX(Data!$DO$9:$DO$1273,MATCH('Your recommendation'!BR115,Data!$DN$9:$DN$1273,0)),"")</f>
        <v/>
      </c>
    </row>
    <row r="116" ht="15.6" customFormat="1" customHeight="1" s="138">
      <c r="B116" s="309">
        <f>IF(C116&gt;0,B115+1,"")</f>
        <v/>
      </c>
      <c r="C116" s="310" t="n"/>
      <c r="D116" s="312">
        <f>IFERROR(INDEX(Data!BR$9:BR$1273,MATCH($M116,Data!$K$9:$K$1273,0)),"")</f>
        <v/>
      </c>
      <c r="E116" s="312">
        <f>IFERROR(INDEX(Data!BS$9:BS$1273,MATCH($M116,Data!$K$9:$K$1273,0)),"")</f>
        <v/>
      </c>
      <c r="F116" s="312">
        <f>IFERROR(INDEX(Data!DM$9:DM$1273,MATCH($M116,Data!$K$9:$K$1273,0)),"")</f>
        <v/>
      </c>
      <c r="G116" s="312">
        <f>IFERROR(INDEX(Data!BV$9:BV$1273,MATCH($M116,Data!$K$9:$K$1273,0)),"")</f>
        <v/>
      </c>
      <c r="H116" s="312">
        <f>IFERROR(INDEX(Data!BW$9:BW$1273,MATCH($M116,Data!$K$9:$K$1273,0)),"")</f>
        <v/>
      </c>
      <c r="I116" s="312">
        <f>IFERROR(INDEX(Data!BX$9:BX$1273,MATCH($M116,Data!$K$9:$K$1273,0)),"")</f>
        <v/>
      </c>
      <c r="J116" s="312">
        <f>IFERROR(INDEX(Data!CB$9:CB$1273,MATCH($M116,Data!$K$9:$K$1273,0)),"")</f>
        <v/>
      </c>
      <c r="K116" s="329">
        <f>IFERROR(HYPERLINK(BM116,BC116),"-")</f>
        <v/>
      </c>
      <c r="L116" s="330">
        <f>IFERROR(IF(BB116=0,"-",BB116)," ")</f>
        <v/>
      </c>
      <c r="M116" s="311" t="n"/>
      <c r="N116" s="311" t="n"/>
      <c r="O116" s="311">
        <f>IFERROR(INDEX(Data!M$9:M$1273,MATCH($M116,Data!$K$9:$K$1273,0)),"")</f>
        <v/>
      </c>
      <c r="P116" s="311">
        <f>IFERROR(INDEX(Data!N$9:N$1273,MATCH($M116,Data!$K$9:$K$1273,0)),"")</f>
        <v/>
      </c>
      <c r="Q116" s="311">
        <f>IFERROR(INDEX(Data!O$9:O$1273,MATCH($M116,Data!$K$9:$K$1273,0)),"")</f>
        <v/>
      </c>
      <c r="R116" s="311">
        <f>IFERROR(INDEX(Data!P$9:P$1273,MATCH($M116,Data!$K$9:$K$1273,0)),"")</f>
        <v/>
      </c>
      <c r="S116" s="311">
        <f>IFERROR(INDEX(Data!S$9:S$1273,MATCH($M116,Data!$K$9:$K$1273,0)),"")</f>
        <v/>
      </c>
      <c r="T116" s="311">
        <f>IFERROR(INDEX(Data!T$9:T$1273,MATCH($M116,Data!$K$9:$K$1273,0)),"")</f>
        <v/>
      </c>
      <c r="U116" s="311">
        <f>IFERROR(INDEX(Data!U$9:U$1273,MATCH($M116,Data!$K$9:$K$1273,0)),"")</f>
        <v/>
      </c>
      <c r="V116" s="311">
        <f>IFERROR(INDEX(Data!V$9:V$1273,MATCH($M116,Data!$K$9:$K$1273,0)),"")</f>
        <v/>
      </c>
      <c r="W116" s="311">
        <f>IFERROR(INDEX(Data!W$9:W$1273,MATCH($M116,Data!$K$9:$K$1273,0)),"")</f>
        <v/>
      </c>
      <c r="X116" s="311">
        <f>IFERROR(INDEX(Data!AJ$9:AJ$1273,MATCH($M116,Data!$K$9:$K$1273,0)),"")</f>
        <v/>
      </c>
      <c r="Y116" s="311">
        <f>IFERROR(INDEX(Data!AK$9:AK$1273,MATCH($M116,Data!$K$9:$K$1273,0)),"")</f>
        <v/>
      </c>
      <c r="Z116" s="311">
        <f>IFERROR(INDEX(Data!AL$9:AL$1273,MATCH($M116,Data!$K$9:$K$1273,0)),"")</f>
        <v/>
      </c>
      <c r="AA116" s="311">
        <f>IFERROR(INDEX(Data!AM$9:AM$1273,MATCH($M116,Data!$K$9:$K$1273,0)),"")</f>
        <v/>
      </c>
      <c r="AB116" s="311">
        <f>IFERROR(INDEX(Data!AN$9:AN$1273,MATCH($M116,Data!$K$9:$K$1273,0)),"")</f>
        <v/>
      </c>
      <c r="AC116" s="312">
        <f>IFERROR(INDEX(Data!BY$9:BY$1273,MATCH($M116,Data!$K$9:$K$1273,0)),"")</f>
        <v/>
      </c>
      <c r="AD116" s="312">
        <f>IFERROR(INDEX(Data!BZ$9:BZ$1273,MATCH($M116,Data!$K$9:$K$1273,0)),"")</f>
        <v/>
      </c>
      <c r="AE116" s="312">
        <f>IFERROR(INDEX(Data!CA$9:CA$1273,MATCH($M116,Data!$K$9:$K$1273,0)),"")</f>
        <v/>
      </c>
      <c r="AF116" s="312">
        <f>IFERROR(INDEX(Data!CB$9:CB$1273,MATCH($M116,Data!$K$9:$K$1273,0)),"")</f>
        <v/>
      </c>
      <c r="AG116" s="312">
        <f>IFERROR(INDEX(Data!CC$9:CC$1273,MATCH($M116,Data!$K$9:$K$1273,0)),"")</f>
        <v/>
      </c>
      <c r="AH116" s="312">
        <f>IFERROR(INDEX(Data!CD$9:CD$1273,MATCH($M116,Data!$K$9:$K$1273,0)),"")</f>
        <v/>
      </c>
      <c r="AI116" s="312">
        <f>IFERROR(INDEX(Data!CE$9:CE$1273,MATCH($M116,Data!$K$9:$K$1273,0)),"")</f>
        <v/>
      </c>
      <c r="AJ116" s="312">
        <f>IFERROR(INDEX(Data!CF$9:CF$1273,MATCH($M116,Data!$K$9:$K$1273,0)),"")</f>
        <v/>
      </c>
      <c r="AK116" s="312">
        <f>IFERROR(INDEX(Data!CG$9:CG$1273,MATCH($M116,Data!$K$9:$K$1273,0)),"")</f>
        <v/>
      </c>
      <c r="AL116" s="312">
        <f>IFERROR(INDEX(Data!CH$9:CH$1273,MATCH($M116,Data!$K$9:$K$1273,0)),"")</f>
        <v/>
      </c>
      <c r="AM116" s="312">
        <f>IFERROR(INDEX(Data!CI$9:CI$1273,MATCH($M116,Data!$K$9:$K$1273,0)),"")</f>
        <v/>
      </c>
      <c r="AN116" s="312">
        <f>IFERROR(INDEX(Data!CJ$9:CJ$1273,MATCH($M116,Data!$K$9:$K$1273,0)),"")</f>
        <v/>
      </c>
      <c r="AO116" s="312">
        <f>IFERROR(INDEX(Data!CK$9:CK$1273,MATCH($M116,Data!$K$9:$K$1273,0)),"")</f>
        <v/>
      </c>
      <c r="AP116" s="312">
        <f>IFERROR(INDEX(Data!CL$9:CL$1273,MATCH($M116,Data!$K$9:$K$1273,0)),"")</f>
        <v/>
      </c>
      <c r="AQ116" s="312">
        <f>IFERROR(INDEX(Data!CM$9:CM$1273,MATCH($M116,Data!$K$9:$K$1273,0)),"")</f>
        <v/>
      </c>
      <c r="AR116" s="312">
        <f>IFERROR(INDEX(Data!CN$9:CN$1273,MATCH($M116,Data!$K$9:$K$1273,0)),"")</f>
        <v/>
      </c>
      <c r="AS116" s="312">
        <f>IFERROR(INDEX(Data!CO$9:CO$1273,MATCH($M116,Data!$K$9:$K$1273,0)),"")</f>
        <v/>
      </c>
      <c r="AT116" s="312">
        <f>IFERROR(INDEX(Data!CP$9:CP$1273,MATCH($M116,Data!$K$9:$K$1273,0)),"")</f>
        <v/>
      </c>
      <c r="AU116" s="312">
        <f>IFERROR(INDEX(Data!CQ$9:CQ$1273,MATCH($M116,Data!$K$9:$K$1273,0)),"")</f>
        <v/>
      </c>
      <c r="AV116" s="312">
        <f>IFERROR(INDEX(Data!CR$9:CR$1273,MATCH($M116,Data!$K$9:$K$1273,0)),"")</f>
        <v/>
      </c>
      <c r="AW116" s="312">
        <f>IFERROR(INDEX(Data!CS$9:CS$1273,MATCH($M116,Data!$K$9:$K$1273,0)),"")</f>
        <v/>
      </c>
      <c r="AX116" s="312">
        <f>IFERROR(INDEX(Data!CT$9:CT$1273,MATCH($M116,Data!$K$9:$K$1273,0)),"")</f>
        <v/>
      </c>
      <c r="AY116" s="312">
        <f>IFERROR(INDEX(Data!CU$9:CU$1273,MATCH($M116,Data!$K$9:$K$1273,0)),"")</f>
        <v/>
      </c>
      <c r="AZ116" s="312">
        <f>IFERROR(INDEX(Data!CV$9:CV$1273,MATCH($M116,Data!$K$9:$K$1273,0)),"")</f>
        <v/>
      </c>
      <c r="BA116" s="312">
        <f>IFERROR(INDEX(Data!CX$9:CX$1273,MATCH($M116,Data!$K$9:$K$1273,0)),"")</f>
        <v/>
      </c>
      <c r="BB116" s="312">
        <f>IFERROR(INDEX(Data!CY$9:CY$1273,MATCH($M116,Data!$K$9:$K$1273,0)),"")</f>
        <v/>
      </c>
      <c r="BC116" s="312">
        <f>IFERROR(INDEX(Data!CZ$9:CZ$1273,MATCH($M116,Data!$K$9:$K$1273,0)),"")</f>
        <v/>
      </c>
      <c r="BD116" s="312">
        <f>IFERROR(INDEX(Data!DA$9:DA$1273,MATCH($M116,Data!$K$9:$K$1273,0)),"")</f>
        <v/>
      </c>
      <c r="BE116" s="312">
        <f>IFERROR(INDEX(Data!DB$9:DB$1273,MATCH($M116,Data!$K$9:$K$1273,0)),"")</f>
        <v/>
      </c>
      <c r="BF116" s="312">
        <f>IFERROR(INDEX(Data!DC$9:DC$1273,MATCH($M116,Data!$K$9:$K$1273,0)),"")</f>
        <v/>
      </c>
      <c r="BG116" s="312">
        <f>IFERROR(INDEX(Data!DD$9:DD$1273,MATCH($M116,Data!$K$9:$K$1273,0)),"")</f>
        <v/>
      </c>
      <c r="BH116" s="312">
        <f>IFERROR(INDEX(Data!DE$9:DE$1273,MATCH($M116,Data!$K$9:$K$1273,0)),"")</f>
        <v/>
      </c>
      <c r="BI116" s="312">
        <f>IFERROR(INDEX(Data!DF$9:DF$1273,MATCH($M116,Data!$K$9:$K$1273,0)),"")</f>
        <v/>
      </c>
      <c r="BJ116" s="312">
        <f>IFERROR(INDEX(Data!DG$9:DG$1273,MATCH($M116,Data!$K$9:$K$1273,0)),"")</f>
        <v/>
      </c>
      <c r="BK116" s="312">
        <f>IFERROR(INDEX(Data!DH$9:DH$1273,MATCH($M116,Data!$K$9:$K$1273,0)),"")</f>
        <v/>
      </c>
      <c r="BL116" s="312">
        <f>IFERROR(INDEX(Data!DI$9:DI$1273,MATCH($M116,Data!$K$9:$K$1273,0)),"")</f>
        <v/>
      </c>
      <c r="BM116" s="312">
        <f>IFERROR(INDEX(Data!DJ$9:DJ$1273,MATCH($M116,Data!$K$9:$K$1273,0)),"")</f>
        <v/>
      </c>
      <c r="BN116" s="312">
        <f>IFERROR(INDEX(Data!DK$9:DK$1273,MATCH($M116,Data!$K$9:$K$1273,0)),"")</f>
        <v/>
      </c>
      <c r="BO116" s="312">
        <f>IFERROR(INDEX(Data!DL$9:DL$1273,MATCH($M116,Data!$K$9:$K$1273,0)),"")</f>
        <v/>
      </c>
      <c r="BP116" s="331">
        <f>IFERROR(IF(BK116=0,"-",BK116),"")</f>
        <v/>
      </c>
      <c r="BQ116" s="312">
        <f>IFERROR(IF(BP116-K116&gt;0,TRUE,FALSE)," ")</f>
        <v/>
      </c>
      <c r="BR116" s="312">
        <f>_xlfn.CONCAT(E116,F116,H116,G116)</f>
        <v/>
      </c>
      <c r="BS116" s="312">
        <f>IFERROR(INDEX(Data!$DO$9:$DO$1273,MATCH('Your recommendation'!BR116,Data!$DN$9:$DN$1273,0)),"")</f>
        <v/>
      </c>
    </row>
    <row r="117" ht="15.6" customFormat="1" customHeight="1" s="138">
      <c r="B117" s="309">
        <f>IF(C117&gt;0,B116+1,"")</f>
        <v/>
      </c>
      <c r="C117" s="310" t="n"/>
      <c r="D117" s="312">
        <f>IFERROR(INDEX(Data!BR$9:BR$1273,MATCH($M117,Data!$K$9:$K$1273,0)),"")</f>
        <v/>
      </c>
      <c r="E117" s="312">
        <f>IFERROR(INDEX(Data!BS$9:BS$1273,MATCH($M117,Data!$K$9:$K$1273,0)),"")</f>
        <v/>
      </c>
      <c r="F117" s="312">
        <f>IFERROR(INDEX(Data!DM$9:DM$1273,MATCH($M117,Data!$K$9:$K$1273,0)),"")</f>
        <v/>
      </c>
      <c r="G117" s="312">
        <f>IFERROR(INDEX(Data!BV$9:BV$1273,MATCH($M117,Data!$K$9:$K$1273,0)),"")</f>
        <v/>
      </c>
      <c r="H117" s="312">
        <f>IFERROR(INDEX(Data!BW$9:BW$1273,MATCH($M117,Data!$K$9:$K$1273,0)),"")</f>
        <v/>
      </c>
      <c r="I117" s="312">
        <f>IFERROR(INDEX(Data!BX$9:BX$1273,MATCH($M117,Data!$K$9:$K$1273,0)),"")</f>
        <v/>
      </c>
      <c r="J117" s="312">
        <f>IFERROR(INDEX(Data!CB$9:CB$1273,MATCH($M117,Data!$K$9:$K$1273,0)),"")</f>
        <v/>
      </c>
      <c r="K117" s="329">
        <f>IFERROR(HYPERLINK(BM117,BC117),"-")</f>
        <v/>
      </c>
      <c r="L117" s="330">
        <f>IFERROR(IF(BB117=0,"-",BB117)," ")</f>
        <v/>
      </c>
      <c r="M117" s="311" t="n"/>
      <c r="N117" s="311" t="n"/>
      <c r="O117" s="311">
        <f>IFERROR(INDEX(Data!M$9:M$1273,MATCH($M117,Data!$K$9:$K$1273,0)),"")</f>
        <v/>
      </c>
      <c r="P117" s="311">
        <f>IFERROR(INDEX(Data!N$9:N$1273,MATCH($M117,Data!$K$9:$K$1273,0)),"")</f>
        <v/>
      </c>
      <c r="Q117" s="311">
        <f>IFERROR(INDEX(Data!O$9:O$1273,MATCH($M117,Data!$K$9:$K$1273,0)),"")</f>
        <v/>
      </c>
      <c r="R117" s="311">
        <f>IFERROR(INDEX(Data!P$9:P$1273,MATCH($M117,Data!$K$9:$K$1273,0)),"")</f>
        <v/>
      </c>
      <c r="S117" s="311">
        <f>IFERROR(INDEX(Data!S$9:S$1273,MATCH($M117,Data!$K$9:$K$1273,0)),"")</f>
        <v/>
      </c>
      <c r="T117" s="311">
        <f>IFERROR(INDEX(Data!T$9:T$1273,MATCH($M117,Data!$K$9:$K$1273,0)),"")</f>
        <v/>
      </c>
      <c r="U117" s="311">
        <f>IFERROR(INDEX(Data!U$9:U$1273,MATCH($M117,Data!$K$9:$K$1273,0)),"")</f>
        <v/>
      </c>
      <c r="V117" s="311">
        <f>IFERROR(INDEX(Data!V$9:V$1273,MATCH($M117,Data!$K$9:$K$1273,0)),"")</f>
        <v/>
      </c>
      <c r="W117" s="311">
        <f>IFERROR(INDEX(Data!W$9:W$1273,MATCH($M117,Data!$K$9:$K$1273,0)),"")</f>
        <v/>
      </c>
      <c r="X117" s="311">
        <f>IFERROR(INDEX(Data!AJ$9:AJ$1273,MATCH($M117,Data!$K$9:$K$1273,0)),"")</f>
        <v/>
      </c>
      <c r="Y117" s="311">
        <f>IFERROR(INDEX(Data!AK$9:AK$1273,MATCH($M117,Data!$K$9:$K$1273,0)),"")</f>
        <v/>
      </c>
      <c r="Z117" s="311">
        <f>IFERROR(INDEX(Data!AL$9:AL$1273,MATCH($M117,Data!$K$9:$K$1273,0)),"")</f>
        <v/>
      </c>
      <c r="AA117" s="311">
        <f>IFERROR(INDEX(Data!AM$9:AM$1273,MATCH($M117,Data!$K$9:$K$1273,0)),"")</f>
        <v/>
      </c>
      <c r="AB117" s="311">
        <f>IFERROR(INDEX(Data!AN$9:AN$1273,MATCH($M117,Data!$K$9:$K$1273,0)),"")</f>
        <v/>
      </c>
      <c r="AC117" s="312">
        <f>IFERROR(INDEX(Data!BY$9:BY$1273,MATCH($M117,Data!$K$9:$K$1273,0)),"")</f>
        <v/>
      </c>
      <c r="AD117" s="312">
        <f>IFERROR(INDEX(Data!BZ$9:BZ$1273,MATCH($M117,Data!$K$9:$K$1273,0)),"")</f>
        <v/>
      </c>
      <c r="AE117" s="312">
        <f>IFERROR(INDEX(Data!CA$9:CA$1273,MATCH($M117,Data!$K$9:$K$1273,0)),"")</f>
        <v/>
      </c>
      <c r="AF117" s="312">
        <f>IFERROR(INDEX(Data!CB$9:CB$1273,MATCH($M117,Data!$K$9:$K$1273,0)),"")</f>
        <v/>
      </c>
      <c r="AG117" s="312">
        <f>IFERROR(INDEX(Data!CC$9:CC$1273,MATCH($M117,Data!$K$9:$K$1273,0)),"")</f>
        <v/>
      </c>
      <c r="AH117" s="312">
        <f>IFERROR(INDEX(Data!CD$9:CD$1273,MATCH($M117,Data!$K$9:$K$1273,0)),"")</f>
        <v/>
      </c>
      <c r="AI117" s="312">
        <f>IFERROR(INDEX(Data!CE$9:CE$1273,MATCH($M117,Data!$K$9:$K$1273,0)),"")</f>
        <v/>
      </c>
      <c r="AJ117" s="312">
        <f>IFERROR(INDEX(Data!CF$9:CF$1273,MATCH($M117,Data!$K$9:$K$1273,0)),"")</f>
        <v/>
      </c>
      <c r="AK117" s="312">
        <f>IFERROR(INDEX(Data!CG$9:CG$1273,MATCH($M117,Data!$K$9:$K$1273,0)),"")</f>
        <v/>
      </c>
      <c r="AL117" s="312">
        <f>IFERROR(INDEX(Data!CH$9:CH$1273,MATCH($M117,Data!$K$9:$K$1273,0)),"")</f>
        <v/>
      </c>
      <c r="AM117" s="312">
        <f>IFERROR(INDEX(Data!CI$9:CI$1273,MATCH($M117,Data!$K$9:$K$1273,0)),"")</f>
        <v/>
      </c>
      <c r="AN117" s="312">
        <f>IFERROR(INDEX(Data!CJ$9:CJ$1273,MATCH($M117,Data!$K$9:$K$1273,0)),"")</f>
        <v/>
      </c>
      <c r="AO117" s="312">
        <f>IFERROR(INDEX(Data!CK$9:CK$1273,MATCH($M117,Data!$K$9:$K$1273,0)),"")</f>
        <v/>
      </c>
      <c r="AP117" s="312">
        <f>IFERROR(INDEX(Data!CL$9:CL$1273,MATCH($M117,Data!$K$9:$K$1273,0)),"")</f>
        <v/>
      </c>
      <c r="AQ117" s="312">
        <f>IFERROR(INDEX(Data!CM$9:CM$1273,MATCH($M117,Data!$K$9:$K$1273,0)),"")</f>
        <v/>
      </c>
      <c r="AR117" s="312">
        <f>IFERROR(INDEX(Data!CN$9:CN$1273,MATCH($M117,Data!$K$9:$K$1273,0)),"")</f>
        <v/>
      </c>
      <c r="AS117" s="312">
        <f>IFERROR(INDEX(Data!CO$9:CO$1273,MATCH($M117,Data!$K$9:$K$1273,0)),"")</f>
        <v/>
      </c>
      <c r="AT117" s="312">
        <f>IFERROR(INDEX(Data!CP$9:CP$1273,MATCH($M117,Data!$K$9:$K$1273,0)),"")</f>
        <v/>
      </c>
      <c r="AU117" s="312">
        <f>IFERROR(INDEX(Data!CQ$9:CQ$1273,MATCH($M117,Data!$K$9:$K$1273,0)),"")</f>
        <v/>
      </c>
      <c r="AV117" s="312">
        <f>IFERROR(INDEX(Data!CR$9:CR$1273,MATCH($M117,Data!$K$9:$K$1273,0)),"")</f>
        <v/>
      </c>
      <c r="AW117" s="312">
        <f>IFERROR(INDEX(Data!CS$9:CS$1273,MATCH($M117,Data!$K$9:$K$1273,0)),"")</f>
        <v/>
      </c>
      <c r="AX117" s="312">
        <f>IFERROR(INDEX(Data!CT$9:CT$1273,MATCH($M117,Data!$K$9:$K$1273,0)),"")</f>
        <v/>
      </c>
      <c r="AY117" s="312">
        <f>IFERROR(INDEX(Data!CU$9:CU$1273,MATCH($M117,Data!$K$9:$K$1273,0)),"")</f>
        <v/>
      </c>
      <c r="AZ117" s="312">
        <f>IFERROR(INDEX(Data!CV$9:CV$1273,MATCH($M117,Data!$K$9:$K$1273,0)),"")</f>
        <v/>
      </c>
      <c r="BA117" s="312">
        <f>IFERROR(INDEX(Data!CX$9:CX$1273,MATCH($M117,Data!$K$9:$K$1273,0)),"")</f>
        <v/>
      </c>
      <c r="BB117" s="312">
        <f>IFERROR(INDEX(Data!CY$9:CY$1273,MATCH($M117,Data!$K$9:$K$1273,0)),"")</f>
        <v/>
      </c>
      <c r="BC117" s="312">
        <f>IFERROR(INDEX(Data!CZ$9:CZ$1273,MATCH($M117,Data!$K$9:$K$1273,0)),"")</f>
        <v/>
      </c>
      <c r="BD117" s="312">
        <f>IFERROR(INDEX(Data!DA$9:DA$1273,MATCH($M117,Data!$K$9:$K$1273,0)),"")</f>
        <v/>
      </c>
      <c r="BE117" s="312">
        <f>IFERROR(INDEX(Data!DB$9:DB$1273,MATCH($M117,Data!$K$9:$K$1273,0)),"")</f>
        <v/>
      </c>
      <c r="BF117" s="312">
        <f>IFERROR(INDEX(Data!DC$9:DC$1273,MATCH($M117,Data!$K$9:$K$1273,0)),"")</f>
        <v/>
      </c>
      <c r="BG117" s="312">
        <f>IFERROR(INDEX(Data!DD$9:DD$1273,MATCH($M117,Data!$K$9:$K$1273,0)),"")</f>
        <v/>
      </c>
      <c r="BH117" s="312">
        <f>IFERROR(INDEX(Data!DE$9:DE$1273,MATCH($M117,Data!$K$9:$K$1273,0)),"")</f>
        <v/>
      </c>
      <c r="BI117" s="312">
        <f>IFERROR(INDEX(Data!DF$9:DF$1273,MATCH($M117,Data!$K$9:$K$1273,0)),"")</f>
        <v/>
      </c>
      <c r="BJ117" s="312">
        <f>IFERROR(INDEX(Data!DG$9:DG$1273,MATCH($M117,Data!$K$9:$K$1273,0)),"")</f>
        <v/>
      </c>
      <c r="BK117" s="312">
        <f>IFERROR(INDEX(Data!DH$9:DH$1273,MATCH($M117,Data!$K$9:$K$1273,0)),"")</f>
        <v/>
      </c>
      <c r="BL117" s="312">
        <f>IFERROR(INDEX(Data!DI$9:DI$1273,MATCH($M117,Data!$K$9:$K$1273,0)),"")</f>
        <v/>
      </c>
      <c r="BM117" s="312">
        <f>IFERROR(INDEX(Data!DJ$9:DJ$1273,MATCH($M117,Data!$K$9:$K$1273,0)),"")</f>
        <v/>
      </c>
      <c r="BN117" s="312">
        <f>IFERROR(INDEX(Data!DK$9:DK$1273,MATCH($M117,Data!$K$9:$K$1273,0)),"")</f>
        <v/>
      </c>
      <c r="BO117" s="312">
        <f>IFERROR(INDEX(Data!DL$9:DL$1273,MATCH($M117,Data!$K$9:$K$1273,0)),"")</f>
        <v/>
      </c>
      <c r="BP117" s="331">
        <f>IFERROR(IF(BK117=0,"-",BK117),"")</f>
        <v/>
      </c>
      <c r="BQ117" s="312">
        <f>IFERROR(IF(BP117-K117&gt;0,TRUE,FALSE)," ")</f>
        <v/>
      </c>
      <c r="BR117" s="312">
        <f>_xlfn.CONCAT(E117,F117,H117,G117)</f>
        <v/>
      </c>
      <c r="BS117" s="312">
        <f>IFERROR(INDEX(Data!$DO$9:$DO$1273,MATCH('Your recommendation'!BR117,Data!$DN$9:$DN$1273,0)),"")</f>
        <v/>
      </c>
    </row>
    <row r="118" ht="15.6" customFormat="1" customHeight="1" s="138">
      <c r="B118" s="309">
        <f>IF(C118&gt;0,B117+1,"")</f>
        <v/>
      </c>
      <c r="C118" s="310" t="n"/>
      <c r="D118" s="312">
        <f>IFERROR(INDEX(Data!BR$9:BR$1273,MATCH($M118,Data!$K$9:$K$1273,0)),"")</f>
        <v/>
      </c>
      <c r="E118" s="312">
        <f>IFERROR(INDEX(Data!BS$9:BS$1273,MATCH($M118,Data!$K$9:$K$1273,0)),"")</f>
        <v/>
      </c>
      <c r="F118" s="312">
        <f>IFERROR(INDEX(Data!DM$9:DM$1273,MATCH($M118,Data!$K$9:$K$1273,0)),"")</f>
        <v/>
      </c>
      <c r="G118" s="312">
        <f>IFERROR(INDEX(Data!BV$9:BV$1273,MATCH($M118,Data!$K$9:$K$1273,0)),"")</f>
        <v/>
      </c>
      <c r="H118" s="312">
        <f>IFERROR(INDEX(Data!BW$9:BW$1273,MATCH($M118,Data!$K$9:$K$1273,0)),"")</f>
        <v/>
      </c>
      <c r="I118" s="312">
        <f>IFERROR(INDEX(Data!BX$9:BX$1273,MATCH($M118,Data!$K$9:$K$1273,0)),"")</f>
        <v/>
      </c>
      <c r="J118" s="312">
        <f>IFERROR(INDEX(Data!CB$9:CB$1273,MATCH($M118,Data!$K$9:$K$1273,0)),"")</f>
        <v/>
      </c>
      <c r="K118" s="329">
        <f>IFERROR(HYPERLINK(BM118,BC118),"-")</f>
        <v/>
      </c>
      <c r="L118" s="330">
        <f>IFERROR(IF(BB118=0,"-",BB118)," ")</f>
        <v/>
      </c>
      <c r="M118" s="311" t="n"/>
      <c r="N118" s="311" t="n"/>
      <c r="O118" s="311">
        <f>IFERROR(INDEX(Data!M$9:M$1273,MATCH($M118,Data!$K$9:$K$1273,0)),"")</f>
        <v/>
      </c>
      <c r="P118" s="311">
        <f>IFERROR(INDEX(Data!N$9:N$1273,MATCH($M118,Data!$K$9:$K$1273,0)),"")</f>
        <v/>
      </c>
      <c r="Q118" s="311">
        <f>IFERROR(INDEX(Data!O$9:O$1273,MATCH($M118,Data!$K$9:$K$1273,0)),"")</f>
        <v/>
      </c>
      <c r="R118" s="311">
        <f>IFERROR(INDEX(Data!P$9:P$1273,MATCH($M118,Data!$K$9:$K$1273,0)),"")</f>
        <v/>
      </c>
      <c r="S118" s="311">
        <f>IFERROR(INDEX(Data!S$9:S$1273,MATCH($M118,Data!$K$9:$K$1273,0)),"")</f>
        <v/>
      </c>
      <c r="T118" s="311">
        <f>IFERROR(INDEX(Data!T$9:T$1273,MATCH($M118,Data!$K$9:$K$1273,0)),"")</f>
        <v/>
      </c>
      <c r="U118" s="311">
        <f>IFERROR(INDEX(Data!U$9:U$1273,MATCH($M118,Data!$K$9:$K$1273,0)),"")</f>
        <v/>
      </c>
      <c r="V118" s="311">
        <f>IFERROR(INDEX(Data!V$9:V$1273,MATCH($M118,Data!$K$9:$K$1273,0)),"")</f>
        <v/>
      </c>
      <c r="W118" s="311">
        <f>IFERROR(INDEX(Data!W$9:W$1273,MATCH($M118,Data!$K$9:$K$1273,0)),"")</f>
        <v/>
      </c>
      <c r="X118" s="311">
        <f>IFERROR(INDEX(Data!AJ$9:AJ$1273,MATCH($M118,Data!$K$9:$K$1273,0)),"")</f>
        <v/>
      </c>
      <c r="Y118" s="311">
        <f>IFERROR(INDEX(Data!AK$9:AK$1273,MATCH($M118,Data!$K$9:$K$1273,0)),"")</f>
        <v/>
      </c>
      <c r="Z118" s="311">
        <f>IFERROR(INDEX(Data!AL$9:AL$1273,MATCH($M118,Data!$K$9:$K$1273,0)),"")</f>
        <v/>
      </c>
      <c r="AA118" s="311">
        <f>IFERROR(INDEX(Data!AM$9:AM$1273,MATCH($M118,Data!$K$9:$K$1273,0)),"")</f>
        <v/>
      </c>
      <c r="AB118" s="311">
        <f>IFERROR(INDEX(Data!AN$9:AN$1273,MATCH($M118,Data!$K$9:$K$1273,0)),"")</f>
        <v/>
      </c>
      <c r="AC118" s="312">
        <f>IFERROR(INDEX(Data!BY$9:BY$1273,MATCH($M118,Data!$K$9:$K$1273,0)),"")</f>
        <v/>
      </c>
      <c r="AD118" s="312">
        <f>IFERROR(INDEX(Data!BZ$9:BZ$1273,MATCH($M118,Data!$K$9:$K$1273,0)),"")</f>
        <v/>
      </c>
      <c r="AE118" s="312">
        <f>IFERROR(INDEX(Data!CA$9:CA$1273,MATCH($M118,Data!$K$9:$K$1273,0)),"")</f>
        <v/>
      </c>
      <c r="AF118" s="312">
        <f>IFERROR(INDEX(Data!CB$9:CB$1273,MATCH($M118,Data!$K$9:$K$1273,0)),"")</f>
        <v/>
      </c>
      <c r="AG118" s="312">
        <f>IFERROR(INDEX(Data!CC$9:CC$1273,MATCH($M118,Data!$K$9:$K$1273,0)),"")</f>
        <v/>
      </c>
      <c r="AH118" s="312">
        <f>IFERROR(INDEX(Data!CD$9:CD$1273,MATCH($M118,Data!$K$9:$K$1273,0)),"")</f>
        <v/>
      </c>
      <c r="AI118" s="312">
        <f>IFERROR(INDEX(Data!CE$9:CE$1273,MATCH($M118,Data!$K$9:$K$1273,0)),"")</f>
        <v/>
      </c>
      <c r="AJ118" s="312">
        <f>IFERROR(INDEX(Data!CF$9:CF$1273,MATCH($M118,Data!$K$9:$K$1273,0)),"")</f>
        <v/>
      </c>
      <c r="AK118" s="312">
        <f>IFERROR(INDEX(Data!CG$9:CG$1273,MATCH($M118,Data!$K$9:$K$1273,0)),"")</f>
        <v/>
      </c>
      <c r="AL118" s="312">
        <f>IFERROR(INDEX(Data!CH$9:CH$1273,MATCH($M118,Data!$K$9:$K$1273,0)),"")</f>
        <v/>
      </c>
      <c r="AM118" s="312">
        <f>IFERROR(INDEX(Data!CI$9:CI$1273,MATCH($M118,Data!$K$9:$K$1273,0)),"")</f>
        <v/>
      </c>
      <c r="AN118" s="312">
        <f>IFERROR(INDEX(Data!CJ$9:CJ$1273,MATCH($M118,Data!$K$9:$K$1273,0)),"")</f>
        <v/>
      </c>
      <c r="AO118" s="312">
        <f>IFERROR(INDEX(Data!CK$9:CK$1273,MATCH($M118,Data!$K$9:$K$1273,0)),"")</f>
        <v/>
      </c>
      <c r="AP118" s="312">
        <f>IFERROR(INDEX(Data!CL$9:CL$1273,MATCH($M118,Data!$K$9:$K$1273,0)),"")</f>
        <v/>
      </c>
      <c r="AQ118" s="312">
        <f>IFERROR(INDEX(Data!CM$9:CM$1273,MATCH($M118,Data!$K$9:$K$1273,0)),"")</f>
        <v/>
      </c>
      <c r="AR118" s="312">
        <f>IFERROR(INDEX(Data!CN$9:CN$1273,MATCH($M118,Data!$K$9:$K$1273,0)),"")</f>
        <v/>
      </c>
      <c r="AS118" s="312">
        <f>IFERROR(INDEX(Data!CO$9:CO$1273,MATCH($M118,Data!$K$9:$K$1273,0)),"")</f>
        <v/>
      </c>
      <c r="AT118" s="312">
        <f>IFERROR(INDEX(Data!CP$9:CP$1273,MATCH($M118,Data!$K$9:$K$1273,0)),"")</f>
        <v/>
      </c>
      <c r="AU118" s="312">
        <f>IFERROR(INDEX(Data!CQ$9:CQ$1273,MATCH($M118,Data!$K$9:$K$1273,0)),"")</f>
        <v/>
      </c>
      <c r="AV118" s="312">
        <f>IFERROR(INDEX(Data!CR$9:CR$1273,MATCH($M118,Data!$K$9:$K$1273,0)),"")</f>
        <v/>
      </c>
      <c r="AW118" s="312">
        <f>IFERROR(INDEX(Data!CS$9:CS$1273,MATCH($M118,Data!$K$9:$K$1273,0)),"")</f>
        <v/>
      </c>
      <c r="AX118" s="312">
        <f>IFERROR(INDEX(Data!CT$9:CT$1273,MATCH($M118,Data!$K$9:$K$1273,0)),"")</f>
        <v/>
      </c>
      <c r="AY118" s="312">
        <f>IFERROR(INDEX(Data!CU$9:CU$1273,MATCH($M118,Data!$K$9:$K$1273,0)),"")</f>
        <v/>
      </c>
      <c r="AZ118" s="312">
        <f>IFERROR(INDEX(Data!CV$9:CV$1273,MATCH($M118,Data!$K$9:$K$1273,0)),"")</f>
        <v/>
      </c>
      <c r="BA118" s="312">
        <f>IFERROR(INDEX(Data!CX$9:CX$1273,MATCH($M118,Data!$K$9:$K$1273,0)),"")</f>
        <v/>
      </c>
      <c r="BB118" s="312">
        <f>IFERROR(INDEX(Data!CY$9:CY$1273,MATCH($M118,Data!$K$9:$K$1273,0)),"")</f>
        <v/>
      </c>
      <c r="BC118" s="312">
        <f>IFERROR(INDEX(Data!CZ$9:CZ$1273,MATCH($M118,Data!$K$9:$K$1273,0)),"")</f>
        <v/>
      </c>
      <c r="BD118" s="312">
        <f>IFERROR(INDEX(Data!DA$9:DA$1273,MATCH($M118,Data!$K$9:$K$1273,0)),"")</f>
        <v/>
      </c>
      <c r="BE118" s="312">
        <f>IFERROR(INDEX(Data!DB$9:DB$1273,MATCH($M118,Data!$K$9:$K$1273,0)),"")</f>
        <v/>
      </c>
      <c r="BF118" s="312">
        <f>IFERROR(INDEX(Data!DC$9:DC$1273,MATCH($M118,Data!$K$9:$K$1273,0)),"")</f>
        <v/>
      </c>
      <c r="BG118" s="312">
        <f>IFERROR(INDEX(Data!DD$9:DD$1273,MATCH($M118,Data!$K$9:$K$1273,0)),"")</f>
        <v/>
      </c>
      <c r="BH118" s="312">
        <f>IFERROR(INDEX(Data!DE$9:DE$1273,MATCH($M118,Data!$K$9:$K$1273,0)),"")</f>
        <v/>
      </c>
      <c r="BI118" s="312">
        <f>IFERROR(INDEX(Data!DF$9:DF$1273,MATCH($M118,Data!$K$9:$K$1273,0)),"")</f>
        <v/>
      </c>
      <c r="BJ118" s="312">
        <f>IFERROR(INDEX(Data!DG$9:DG$1273,MATCH($M118,Data!$K$9:$K$1273,0)),"")</f>
        <v/>
      </c>
      <c r="BK118" s="312">
        <f>IFERROR(INDEX(Data!DH$9:DH$1273,MATCH($M118,Data!$K$9:$K$1273,0)),"")</f>
        <v/>
      </c>
      <c r="BL118" s="312">
        <f>IFERROR(INDEX(Data!DI$9:DI$1273,MATCH($M118,Data!$K$9:$K$1273,0)),"")</f>
        <v/>
      </c>
      <c r="BM118" s="312">
        <f>IFERROR(INDEX(Data!DJ$9:DJ$1273,MATCH($M118,Data!$K$9:$K$1273,0)),"")</f>
        <v/>
      </c>
      <c r="BN118" s="312">
        <f>IFERROR(INDEX(Data!DK$9:DK$1273,MATCH($M118,Data!$K$9:$K$1273,0)),"")</f>
        <v/>
      </c>
      <c r="BO118" s="312">
        <f>IFERROR(INDEX(Data!DL$9:DL$1273,MATCH($M118,Data!$K$9:$K$1273,0)),"")</f>
        <v/>
      </c>
      <c r="BP118" s="331">
        <f>IFERROR(IF(BK118=0,"-",BK118),"")</f>
        <v/>
      </c>
      <c r="BQ118" s="312">
        <f>IFERROR(IF(BP118-K118&gt;0,TRUE,FALSE)," ")</f>
        <v/>
      </c>
      <c r="BR118" s="312">
        <f>_xlfn.CONCAT(E118,F118,H118,G118)</f>
        <v/>
      </c>
      <c r="BS118" s="312">
        <f>IFERROR(INDEX(Data!$DO$9:$DO$1273,MATCH('Your recommendation'!BR118,Data!$DN$9:$DN$1273,0)),"")</f>
        <v/>
      </c>
    </row>
    <row r="119" ht="15.6" customFormat="1" customHeight="1" s="138">
      <c r="B119" s="309">
        <f>IF(C119&gt;0,B118+1,"")</f>
        <v/>
      </c>
      <c r="C119" s="310" t="n"/>
      <c r="D119" s="312">
        <f>IFERROR(INDEX(Data!BR$9:BR$1273,MATCH($M119,Data!$K$9:$K$1273,0)),"")</f>
        <v/>
      </c>
      <c r="E119" s="312">
        <f>IFERROR(INDEX(Data!BS$9:BS$1273,MATCH($M119,Data!$K$9:$K$1273,0)),"")</f>
        <v/>
      </c>
      <c r="F119" s="312">
        <f>IFERROR(INDEX(Data!DM$9:DM$1273,MATCH($M119,Data!$K$9:$K$1273,0)),"")</f>
        <v/>
      </c>
      <c r="G119" s="312">
        <f>IFERROR(INDEX(Data!BV$9:BV$1273,MATCH($M119,Data!$K$9:$K$1273,0)),"")</f>
        <v/>
      </c>
      <c r="H119" s="312">
        <f>IFERROR(INDEX(Data!BW$9:BW$1273,MATCH($M119,Data!$K$9:$K$1273,0)),"")</f>
        <v/>
      </c>
      <c r="I119" s="312">
        <f>IFERROR(INDEX(Data!BX$9:BX$1273,MATCH($M119,Data!$K$9:$K$1273,0)),"")</f>
        <v/>
      </c>
      <c r="J119" s="312">
        <f>IFERROR(INDEX(Data!CB$9:CB$1273,MATCH($M119,Data!$K$9:$K$1273,0)),"")</f>
        <v/>
      </c>
      <c r="K119" s="329">
        <f>IFERROR(HYPERLINK(BM119,BC119),"-")</f>
        <v/>
      </c>
      <c r="L119" s="330">
        <f>IFERROR(IF(BB119=0,"-",BB119)," ")</f>
        <v/>
      </c>
      <c r="M119" s="311" t="n"/>
      <c r="N119" s="311" t="n"/>
      <c r="O119" s="311">
        <f>IFERROR(INDEX(Data!M$9:M$1273,MATCH($M119,Data!$K$9:$K$1273,0)),"")</f>
        <v/>
      </c>
      <c r="P119" s="311">
        <f>IFERROR(INDEX(Data!N$9:N$1273,MATCH($M119,Data!$K$9:$K$1273,0)),"")</f>
        <v/>
      </c>
      <c r="Q119" s="311">
        <f>IFERROR(INDEX(Data!O$9:O$1273,MATCH($M119,Data!$K$9:$K$1273,0)),"")</f>
        <v/>
      </c>
      <c r="R119" s="311">
        <f>IFERROR(INDEX(Data!P$9:P$1273,MATCH($M119,Data!$K$9:$K$1273,0)),"")</f>
        <v/>
      </c>
      <c r="S119" s="311">
        <f>IFERROR(INDEX(Data!S$9:S$1273,MATCH($M119,Data!$K$9:$K$1273,0)),"")</f>
        <v/>
      </c>
      <c r="T119" s="311">
        <f>IFERROR(INDEX(Data!T$9:T$1273,MATCH($M119,Data!$K$9:$K$1273,0)),"")</f>
        <v/>
      </c>
      <c r="U119" s="311">
        <f>IFERROR(INDEX(Data!U$9:U$1273,MATCH($M119,Data!$K$9:$K$1273,0)),"")</f>
        <v/>
      </c>
      <c r="V119" s="311">
        <f>IFERROR(INDEX(Data!V$9:V$1273,MATCH($M119,Data!$K$9:$K$1273,0)),"")</f>
        <v/>
      </c>
      <c r="W119" s="311">
        <f>IFERROR(INDEX(Data!W$9:W$1273,MATCH($M119,Data!$K$9:$K$1273,0)),"")</f>
        <v/>
      </c>
      <c r="X119" s="311">
        <f>IFERROR(INDEX(Data!AJ$9:AJ$1273,MATCH($M119,Data!$K$9:$K$1273,0)),"")</f>
        <v/>
      </c>
      <c r="Y119" s="311">
        <f>IFERROR(INDEX(Data!AK$9:AK$1273,MATCH($M119,Data!$K$9:$K$1273,0)),"")</f>
        <v/>
      </c>
      <c r="Z119" s="311">
        <f>IFERROR(INDEX(Data!AL$9:AL$1273,MATCH($M119,Data!$K$9:$K$1273,0)),"")</f>
        <v/>
      </c>
      <c r="AA119" s="311">
        <f>IFERROR(INDEX(Data!AM$9:AM$1273,MATCH($M119,Data!$K$9:$K$1273,0)),"")</f>
        <v/>
      </c>
      <c r="AB119" s="311">
        <f>IFERROR(INDEX(Data!AN$9:AN$1273,MATCH($M119,Data!$K$9:$K$1273,0)),"")</f>
        <v/>
      </c>
      <c r="AC119" s="312">
        <f>IFERROR(INDEX(Data!BY$9:BY$1273,MATCH($M119,Data!$K$9:$K$1273,0)),"")</f>
        <v/>
      </c>
      <c r="AD119" s="312">
        <f>IFERROR(INDEX(Data!BZ$9:BZ$1273,MATCH($M119,Data!$K$9:$K$1273,0)),"")</f>
        <v/>
      </c>
      <c r="AE119" s="312">
        <f>IFERROR(INDEX(Data!CA$9:CA$1273,MATCH($M119,Data!$K$9:$K$1273,0)),"")</f>
        <v/>
      </c>
      <c r="AF119" s="312">
        <f>IFERROR(INDEX(Data!CB$9:CB$1273,MATCH($M119,Data!$K$9:$K$1273,0)),"")</f>
        <v/>
      </c>
      <c r="AG119" s="312">
        <f>IFERROR(INDEX(Data!CC$9:CC$1273,MATCH($M119,Data!$K$9:$K$1273,0)),"")</f>
        <v/>
      </c>
      <c r="AH119" s="312">
        <f>IFERROR(INDEX(Data!CD$9:CD$1273,MATCH($M119,Data!$K$9:$K$1273,0)),"")</f>
        <v/>
      </c>
      <c r="AI119" s="312">
        <f>IFERROR(INDEX(Data!CE$9:CE$1273,MATCH($M119,Data!$K$9:$K$1273,0)),"")</f>
        <v/>
      </c>
      <c r="AJ119" s="312">
        <f>IFERROR(INDEX(Data!CF$9:CF$1273,MATCH($M119,Data!$K$9:$K$1273,0)),"")</f>
        <v/>
      </c>
      <c r="AK119" s="312">
        <f>IFERROR(INDEX(Data!CG$9:CG$1273,MATCH($M119,Data!$K$9:$K$1273,0)),"")</f>
        <v/>
      </c>
      <c r="AL119" s="312">
        <f>IFERROR(INDEX(Data!CH$9:CH$1273,MATCH($M119,Data!$K$9:$K$1273,0)),"")</f>
        <v/>
      </c>
      <c r="AM119" s="312">
        <f>IFERROR(INDEX(Data!CI$9:CI$1273,MATCH($M119,Data!$K$9:$K$1273,0)),"")</f>
        <v/>
      </c>
      <c r="AN119" s="312">
        <f>IFERROR(INDEX(Data!CJ$9:CJ$1273,MATCH($M119,Data!$K$9:$K$1273,0)),"")</f>
        <v/>
      </c>
      <c r="AO119" s="312">
        <f>IFERROR(INDEX(Data!CK$9:CK$1273,MATCH($M119,Data!$K$9:$K$1273,0)),"")</f>
        <v/>
      </c>
      <c r="AP119" s="312">
        <f>IFERROR(INDEX(Data!CL$9:CL$1273,MATCH($M119,Data!$K$9:$K$1273,0)),"")</f>
        <v/>
      </c>
      <c r="AQ119" s="312">
        <f>IFERROR(INDEX(Data!CM$9:CM$1273,MATCH($M119,Data!$K$9:$K$1273,0)),"")</f>
        <v/>
      </c>
      <c r="AR119" s="312">
        <f>IFERROR(INDEX(Data!CN$9:CN$1273,MATCH($M119,Data!$K$9:$K$1273,0)),"")</f>
        <v/>
      </c>
      <c r="AS119" s="312">
        <f>IFERROR(INDEX(Data!CO$9:CO$1273,MATCH($M119,Data!$K$9:$K$1273,0)),"")</f>
        <v/>
      </c>
      <c r="AT119" s="312">
        <f>IFERROR(INDEX(Data!CP$9:CP$1273,MATCH($M119,Data!$K$9:$K$1273,0)),"")</f>
        <v/>
      </c>
      <c r="AU119" s="312">
        <f>IFERROR(INDEX(Data!CQ$9:CQ$1273,MATCH($M119,Data!$K$9:$K$1273,0)),"")</f>
        <v/>
      </c>
      <c r="AV119" s="312">
        <f>IFERROR(INDEX(Data!CR$9:CR$1273,MATCH($M119,Data!$K$9:$K$1273,0)),"")</f>
        <v/>
      </c>
      <c r="AW119" s="312">
        <f>IFERROR(INDEX(Data!CS$9:CS$1273,MATCH($M119,Data!$K$9:$K$1273,0)),"")</f>
        <v/>
      </c>
      <c r="AX119" s="312">
        <f>IFERROR(INDEX(Data!CT$9:CT$1273,MATCH($M119,Data!$K$9:$K$1273,0)),"")</f>
        <v/>
      </c>
      <c r="AY119" s="312">
        <f>IFERROR(INDEX(Data!CU$9:CU$1273,MATCH($M119,Data!$K$9:$K$1273,0)),"")</f>
        <v/>
      </c>
      <c r="AZ119" s="312">
        <f>IFERROR(INDEX(Data!CV$9:CV$1273,MATCH($M119,Data!$K$9:$K$1273,0)),"")</f>
        <v/>
      </c>
      <c r="BA119" s="312">
        <f>IFERROR(INDEX(Data!CX$9:CX$1273,MATCH($M119,Data!$K$9:$K$1273,0)),"")</f>
        <v/>
      </c>
      <c r="BB119" s="312">
        <f>IFERROR(INDEX(Data!CY$9:CY$1273,MATCH($M119,Data!$K$9:$K$1273,0)),"")</f>
        <v/>
      </c>
      <c r="BC119" s="312">
        <f>IFERROR(INDEX(Data!CZ$9:CZ$1273,MATCH($M119,Data!$K$9:$K$1273,0)),"")</f>
        <v/>
      </c>
      <c r="BD119" s="312">
        <f>IFERROR(INDEX(Data!DA$9:DA$1273,MATCH($M119,Data!$K$9:$K$1273,0)),"")</f>
        <v/>
      </c>
      <c r="BE119" s="312">
        <f>IFERROR(INDEX(Data!DB$9:DB$1273,MATCH($M119,Data!$K$9:$K$1273,0)),"")</f>
        <v/>
      </c>
      <c r="BF119" s="312">
        <f>IFERROR(INDEX(Data!DC$9:DC$1273,MATCH($M119,Data!$K$9:$K$1273,0)),"")</f>
        <v/>
      </c>
      <c r="BG119" s="312">
        <f>IFERROR(INDEX(Data!DD$9:DD$1273,MATCH($M119,Data!$K$9:$K$1273,0)),"")</f>
        <v/>
      </c>
      <c r="BH119" s="312">
        <f>IFERROR(INDEX(Data!DE$9:DE$1273,MATCH($M119,Data!$K$9:$K$1273,0)),"")</f>
        <v/>
      </c>
      <c r="BI119" s="312">
        <f>IFERROR(INDEX(Data!DF$9:DF$1273,MATCH($M119,Data!$K$9:$K$1273,0)),"")</f>
        <v/>
      </c>
      <c r="BJ119" s="312">
        <f>IFERROR(INDEX(Data!DG$9:DG$1273,MATCH($M119,Data!$K$9:$K$1273,0)),"")</f>
        <v/>
      </c>
      <c r="BK119" s="312">
        <f>IFERROR(INDEX(Data!DH$9:DH$1273,MATCH($M119,Data!$K$9:$K$1273,0)),"")</f>
        <v/>
      </c>
      <c r="BL119" s="312">
        <f>IFERROR(INDEX(Data!DI$9:DI$1273,MATCH($M119,Data!$K$9:$K$1273,0)),"")</f>
        <v/>
      </c>
      <c r="BM119" s="312">
        <f>IFERROR(INDEX(Data!DJ$9:DJ$1273,MATCH($M119,Data!$K$9:$K$1273,0)),"")</f>
        <v/>
      </c>
      <c r="BN119" s="312">
        <f>IFERROR(INDEX(Data!DK$9:DK$1273,MATCH($M119,Data!$K$9:$K$1273,0)),"")</f>
        <v/>
      </c>
      <c r="BO119" s="312">
        <f>IFERROR(INDEX(Data!DL$9:DL$1273,MATCH($M119,Data!$K$9:$K$1273,0)),"")</f>
        <v/>
      </c>
      <c r="BP119" s="331">
        <f>IFERROR(IF(BK119=0,"-",BK119),"")</f>
        <v/>
      </c>
      <c r="BQ119" s="312">
        <f>IFERROR(IF(BP119-K119&gt;0,TRUE,FALSE)," ")</f>
        <v/>
      </c>
      <c r="BR119" s="312">
        <f>_xlfn.CONCAT(E119,F119,H119,G119)</f>
        <v/>
      </c>
      <c r="BS119" s="312">
        <f>IFERROR(INDEX(Data!$DO$9:$DO$1273,MATCH('Your recommendation'!BR119,Data!$DN$9:$DN$1273,0)),"")</f>
        <v/>
      </c>
    </row>
    <row r="120" ht="15.6" customFormat="1" customHeight="1" s="138">
      <c r="B120" s="309">
        <f>IF(C120&gt;0,B119+1,"")</f>
        <v/>
      </c>
      <c r="C120" s="310" t="n"/>
      <c r="D120" s="312">
        <f>IFERROR(INDEX(Data!BR$9:BR$1273,MATCH($M120,Data!$K$9:$K$1273,0)),"")</f>
        <v/>
      </c>
      <c r="E120" s="312">
        <f>IFERROR(INDEX(Data!BS$9:BS$1273,MATCH($M120,Data!$K$9:$K$1273,0)),"")</f>
        <v/>
      </c>
      <c r="F120" s="312">
        <f>IFERROR(INDEX(Data!DM$9:DM$1273,MATCH($M120,Data!$K$9:$K$1273,0)),"")</f>
        <v/>
      </c>
      <c r="G120" s="312">
        <f>IFERROR(INDEX(Data!BV$9:BV$1273,MATCH($M120,Data!$K$9:$K$1273,0)),"")</f>
        <v/>
      </c>
      <c r="H120" s="312">
        <f>IFERROR(INDEX(Data!BW$9:BW$1273,MATCH($M120,Data!$K$9:$K$1273,0)),"")</f>
        <v/>
      </c>
      <c r="I120" s="312">
        <f>IFERROR(INDEX(Data!BX$9:BX$1273,MATCH($M120,Data!$K$9:$K$1273,0)),"")</f>
        <v/>
      </c>
      <c r="J120" s="312">
        <f>IFERROR(INDEX(Data!CB$9:CB$1273,MATCH($M120,Data!$K$9:$K$1273,0)),"")</f>
        <v/>
      </c>
      <c r="K120" s="329">
        <f>IFERROR(HYPERLINK(BM120,BC120),"-")</f>
        <v/>
      </c>
      <c r="L120" s="330">
        <f>IFERROR(IF(BB120=0,"-",BB120)," ")</f>
        <v/>
      </c>
      <c r="M120" s="311" t="n"/>
      <c r="N120" s="311" t="n"/>
      <c r="O120" s="311">
        <f>IFERROR(INDEX(Data!M$9:M$1273,MATCH($M120,Data!$K$9:$K$1273,0)),"")</f>
        <v/>
      </c>
      <c r="P120" s="311">
        <f>IFERROR(INDEX(Data!N$9:N$1273,MATCH($M120,Data!$K$9:$K$1273,0)),"")</f>
        <v/>
      </c>
      <c r="Q120" s="311">
        <f>IFERROR(INDEX(Data!O$9:O$1273,MATCH($M120,Data!$K$9:$K$1273,0)),"")</f>
        <v/>
      </c>
      <c r="R120" s="311">
        <f>IFERROR(INDEX(Data!P$9:P$1273,MATCH($M120,Data!$K$9:$K$1273,0)),"")</f>
        <v/>
      </c>
      <c r="S120" s="311">
        <f>IFERROR(INDEX(Data!S$9:S$1273,MATCH($M120,Data!$K$9:$K$1273,0)),"")</f>
        <v/>
      </c>
      <c r="T120" s="311">
        <f>IFERROR(INDEX(Data!T$9:T$1273,MATCH($M120,Data!$K$9:$K$1273,0)),"")</f>
        <v/>
      </c>
      <c r="U120" s="311">
        <f>IFERROR(INDEX(Data!U$9:U$1273,MATCH($M120,Data!$K$9:$K$1273,0)),"")</f>
        <v/>
      </c>
      <c r="V120" s="311">
        <f>IFERROR(INDEX(Data!V$9:V$1273,MATCH($M120,Data!$K$9:$K$1273,0)),"")</f>
        <v/>
      </c>
      <c r="W120" s="311">
        <f>IFERROR(INDEX(Data!W$9:W$1273,MATCH($M120,Data!$K$9:$K$1273,0)),"")</f>
        <v/>
      </c>
      <c r="X120" s="311">
        <f>IFERROR(INDEX(Data!AJ$9:AJ$1273,MATCH($M120,Data!$K$9:$K$1273,0)),"")</f>
        <v/>
      </c>
      <c r="Y120" s="311">
        <f>IFERROR(INDEX(Data!AK$9:AK$1273,MATCH($M120,Data!$K$9:$K$1273,0)),"")</f>
        <v/>
      </c>
      <c r="Z120" s="311">
        <f>IFERROR(INDEX(Data!AL$9:AL$1273,MATCH($M120,Data!$K$9:$K$1273,0)),"")</f>
        <v/>
      </c>
      <c r="AA120" s="311">
        <f>IFERROR(INDEX(Data!AM$9:AM$1273,MATCH($M120,Data!$K$9:$K$1273,0)),"")</f>
        <v/>
      </c>
      <c r="AB120" s="311">
        <f>IFERROR(INDEX(Data!AN$9:AN$1273,MATCH($M120,Data!$K$9:$K$1273,0)),"")</f>
        <v/>
      </c>
      <c r="AC120" s="312">
        <f>IFERROR(INDEX(Data!BY$9:BY$1273,MATCH($M120,Data!$K$9:$K$1273,0)),"")</f>
        <v/>
      </c>
      <c r="AD120" s="312">
        <f>IFERROR(INDEX(Data!BZ$9:BZ$1273,MATCH($M120,Data!$K$9:$K$1273,0)),"")</f>
        <v/>
      </c>
      <c r="AE120" s="312">
        <f>IFERROR(INDEX(Data!CA$9:CA$1273,MATCH($M120,Data!$K$9:$K$1273,0)),"")</f>
        <v/>
      </c>
      <c r="AF120" s="312">
        <f>IFERROR(INDEX(Data!CB$9:CB$1273,MATCH($M120,Data!$K$9:$K$1273,0)),"")</f>
        <v/>
      </c>
      <c r="AG120" s="312">
        <f>IFERROR(INDEX(Data!CC$9:CC$1273,MATCH($M120,Data!$K$9:$K$1273,0)),"")</f>
        <v/>
      </c>
      <c r="AH120" s="312">
        <f>IFERROR(INDEX(Data!CD$9:CD$1273,MATCH($M120,Data!$K$9:$K$1273,0)),"")</f>
        <v/>
      </c>
      <c r="AI120" s="312">
        <f>IFERROR(INDEX(Data!CE$9:CE$1273,MATCH($M120,Data!$K$9:$K$1273,0)),"")</f>
        <v/>
      </c>
      <c r="AJ120" s="312">
        <f>IFERROR(INDEX(Data!CF$9:CF$1273,MATCH($M120,Data!$K$9:$K$1273,0)),"")</f>
        <v/>
      </c>
      <c r="AK120" s="312">
        <f>IFERROR(INDEX(Data!CG$9:CG$1273,MATCH($M120,Data!$K$9:$K$1273,0)),"")</f>
        <v/>
      </c>
      <c r="AL120" s="312">
        <f>IFERROR(INDEX(Data!CH$9:CH$1273,MATCH($M120,Data!$K$9:$K$1273,0)),"")</f>
        <v/>
      </c>
      <c r="AM120" s="312">
        <f>IFERROR(INDEX(Data!CI$9:CI$1273,MATCH($M120,Data!$K$9:$K$1273,0)),"")</f>
        <v/>
      </c>
      <c r="AN120" s="312">
        <f>IFERROR(INDEX(Data!CJ$9:CJ$1273,MATCH($M120,Data!$K$9:$K$1273,0)),"")</f>
        <v/>
      </c>
      <c r="AO120" s="312">
        <f>IFERROR(INDEX(Data!CK$9:CK$1273,MATCH($M120,Data!$K$9:$K$1273,0)),"")</f>
        <v/>
      </c>
      <c r="AP120" s="312">
        <f>IFERROR(INDEX(Data!CL$9:CL$1273,MATCH($M120,Data!$K$9:$K$1273,0)),"")</f>
        <v/>
      </c>
      <c r="AQ120" s="312">
        <f>IFERROR(INDEX(Data!CM$9:CM$1273,MATCH($M120,Data!$K$9:$K$1273,0)),"")</f>
        <v/>
      </c>
      <c r="AR120" s="312">
        <f>IFERROR(INDEX(Data!CN$9:CN$1273,MATCH($M120,Data!$K$9:$K$1273,0)),"")</f>
        <v/>
      </c>
      <c r="AS120" s="312">
        <f>IFERROR(INDEX(Data!CO$9:CO$1273,MATCH($M120,Data!$K$9:$K$1273,0)),"")</f>
        <v/>
      </c>
      <c r="AT120" s="312">
        <f>IFERROR(INDEX(Data!CP$9:CP$1273,MATCH($M120,Data!$K$9:$K$1273,0)),"")</f>
        <v/>
      </c>
      <c r="AU120" s="312">
        <f>IFERROR(INDEX(Data!CQ$9:CQ$1273,MATCH($M120,Data!$K$9:$K$1273,0)),"")</f>
        <v/>
      </c>
      <c r="AV120" s="312">
        <f>IFERROR(INDEX(Data!CR$9:CR$1273,MATCH($M120,Data!$K$9:$K$1273,0)),"")</f>
        <v/>
      </c>
      <c r="AW120" s="312">
        <f>IFERROR(INDEX(Data!CS$9:CS$1273,MATCH($M120,Data!$K$9:$K$1273,0)),"")</f>
        <v/>
      </c>
      <c r="AX120" s="312">
        <f>IFERROR(INDEX(Data!CT$9:CT$1273,MATCH($M120,Data!$K$9:$K$1273,0)),"")</f>
        <v/>
      </c>
      <c r="AY120" s="312">
        <f>IFERROR(INDEX(Data!CU$9:CU$1273,MATCH($M120,Data!$K$9:$K$1273,0)),"")</f>
        <v/>
      </c>
      <c r="AZ120" s="312">
        <f>IFERROR(INDEX(Data!CV$9:CV$1273,MATCH($M120,Data!$K$9:$K$1273,0)),"")</f>
        <v/>
      </c>
      <c r="BA120" s="312">
        <f>IFERROR(INDEX(Data!CX$9:CX$1273,MATCH($M120,Data!$K$9:$K$1273,0)),"")</f>
        <v/>
      </c>
      <c r="BB120" s="312">
        <f>IFERROR(INDEX(Data!CY$9:CY$1273,MATCH($M120,Data!$K$9:$K$1273,0)),"")</f>
        <v/>
      </c>
      <c r="BC120" s="312">
        <f>IFERROR(INDEX(Data!CZ$9:CZ$1273,MATCH($M120,Data!$K$9:$K$1273,0)),"")</f>
        <v/>
      </c>
      <c r="BD120" s="312">
        <f>IFERROR(INDEX(Data!DA$9:DA$1273,MATCH($M120,Data!$K$9:$K$1273,0)),"")</f>
        <v/>
      </c>
      <c r="BE120" s="312">
        <f>IFERROR(INDEX(Data!DB$9:DB$1273,MATCH($M120,Data!$K$9:$K$1273,0)),"")</f>
        <v/>
      </c>
      <c r="BF120" s="312">
        <f>IFERROR(INDEX(Data!DC$9:DC$1273,MATCH($M120,Data!$K$9:$K$1273,0)),"")</f>
        <v/>
      </c>
      <c r="BG120" s="312">
        <f>IFERROR(INDEX(Data!DD$9:DD$1273,MATCH($M120,Data!$K$9:$K$1273,0)),"")</f>
        <v/>
      </c>
      <c r="BH120" s="312">
        <f>IFERROR(INDEX(Data!DE$9:DE$1273,MATCH($M120,Data!$K$9:$K$1273,0)),"")</f>
        <v/>
      </c>
      <c r="BI120" s="312">
        <f>IFERROR(INDEX(Data!DF$9:DF$1273,MATCH($M120,Data!$K$9:$K$1273,0)),"")</f>
        <v/>
      </c>
      <c r="BJ120" s="312">
        <f>IFERROR(INDEX(Data!DG$9:DG$1273,MATCH($M120,Data!$K$9:$K$1273,0)),"")</f>
        <v/>
      </c>
      <c r="BK120" s="312">
        <f>IFERROR(INDEX(Data!DH$9:DH$1273,MATCH($M120,Data!$K$9:$K$1273,0)),"")</f>
        <v/>
      </c>
      <c r="BL120" s="312">
        <f>IFERROR(INDEX(Data!DI$9:DI$1273,MATCH($M120,Data!$K$9:$K$1273,0)),"")</f>
        <v/>
      </c>
      <c r="BM120" s="312">
        <f>IFERROR(INDEX(Data!DJ$9:DJ$1273,MATCH($M120,Data!$K$9:$K$1273,0)),"")</f>
        <v/>
      </c>
      <c r="BN120" s="312">
        <f>IFERROR(INDEX(Data!DK$9:DK$1273,MATCH($M120,Data!$K$9:$K$1273,0)),"")</f>
        <v/>
      </c>
      <c r="BO120" s="312">
        <f>IFERROR(INDEX(Data!DL$9:DL$1273,MATCH($M120,Data!$K$9:$K$1273,0)),"")</f>
        <v/>
      </c>
      <c r="BP120" s="331">
        <f>IFERROR(IF(BK120=0,"-",BK120),"")</f>
        <v/>
      </c>
      <c r="BQ120" s="312">
        <f>IFERROR(IF(BP120-K120&gt;0,TRUE,FALSE)," ")</f>
        <v/>
      </c>
      <c r="BR120" s="312">
        <f>_xlfn.CONCAT(E120,F120,H120,G120)</f>
        <v/>
      </c>
      <c r="BS120" s="312">
        <f>IFERROR(INDEX(Data!$DO$9:$DO$1273,MATCH('Your recommendation'!BR120,Data!$DN$9:$DN$1273,0)),"")</f>
        <v/>
      </c>
    </row>
    <row r="121" ht="15.6" customFormat="1" customHeight="1" s="138">
      <c r="B121" s="309">
        <f>IF(C121&gt;0,B120+1,"")</f>
        <v/>
      </c>
      <c r="C121" s="310" t="n"/>
      <c r="D121" s="312">
        <f>IFERROR(INDEX(Data!BR$9:BR$1273,MATCH($M121,Data!$K$9:$K$1273,0)),"")</f>
        <v/>
      </c>
      <c r="E121" s="312">
        <f>IFERROR(INDEX(Data!BS$9:BS$1273,MATCH($M121,Data!$K$9:$K$1273,0)),"")</f>
        <v/>
      </c>
      <c r="F121" s="312">
        <f>IFERROR(INDEX(Data!DM$9:DM$1273,MATCH($M121,Data!$K$9:$K$1273,0)),"")</f>
        <v/>
      </c>
      <c r="G121" s="312">
        <f>IFERROR(INDEX(Data!BV$9:BV$1273,MATCH($M121,Data!$K$9:$K$1273,0)),"")</f>
        <v/>
      </c>
      <c r="H121" s="312">
        <f>IFERROR(INDEX(Data!BW$9:BW$1273,MATCH($M121,Data!$K$9:$K$1273,0)),"")</f>
        <v/>
      </c>
      <c r="I121" s="312">
        <f>IFERROR(INDEX(Data!BX$9:BX$1273,MATCH($M121,Data!$K$9:$K$1273,0)),"")</f>
        <v/>
      </c>
      <c r="J121" s="312">
        <f>IFERROR(INDEX(Data!CB$9:CB$1273,MATCH($M121,Data!$K$9:$K$1273,0)),"")</f>
        <v/>
      </c>
      <c r="K121" s="329">
        <f>IFERROR(HYPERLINK(BM121,BC121),"-")</f>
        <v/>
      </c>
      <c r="L121" s="330">
        <f>IFERROR(IF(BB121=0,"-",BB121)," ")</f>
        <v/>
      </c>
      <c r="M121" s="311" t="n"/>
      <c r="N121" s="311" t="n"/>
      <c r="O121" s="311">
        <f>IFERROR(INDEX(Data!M$9:M$1273,MATCH($M121,Data!$K$9:$K$1273,0)),"")</f>
        <v/>
      </c>
      <c r="P121" s="311">
        <f>IFERROR(INDEX(Data!N$9:N$1273,MATCH($M121,Data!$K$9:$K$1273,0)),"")</f>
        <v/>
      </c>
      <c r="Q121" s="311">
        <f>IFERROR(INDEX(Data!O$9:O$1273,MATCH($M121,Data!$K$9:$K$1273,0)),"")</f>
        <v/>
      </c>
      <c r="R121" s="311">
        <f>IFERROR(INDEX(Data!P$9:P$1273,MATCH($M121,Data!$K$9:$K$1273,0)),"")</f>
        <v/>
      </c>
      <c r="S121" s="311">
        <f>IFERROR(INDEX(Data!S$9:S$1273,MATCH($M121,Data!$K$9:$K$1273,0)),"")</f>
        <v/>
      </c>
      <c r="T121" s="311">
        <f>IFERROR(INDEX(Data!T$9:T$1273,MATCH($M121,Data!$K$9:$K$1273,0)),"")</f>
        <v/>
      </c>
      <c r="U121" s="311">
        <f>IFERROR(INDEX(Data!U$9:U$1273,MATCH($M121,Data!$K$9:$K$1273,0)),"")</f>
        <v/>
      </c>
      <c r="V121" s="311">
        <f>IFERROR(INDEX(Data!V$9:V$1273,MATCH($M121,Data!$K$9:$K$1273,0)),"")</f>
        <v/>
      </c>
      <c r="W121" s="311">
        <f>IFERROR(INDEX(Data!W$9:W$1273,MATCH($M121,Data!$K$9:$K$1273,0)),"")</f>
        <v/>
      </c>
      <c r="X121" s="311">
        <f>IFERROR(INDEX(Data!AJ$9:AJ$1273,MATCH($M121,Data!$K$9:$K$1273,0)),"")</f>
        <v/>
      </c>
      <c r="Y121" s="311">
        <f>IFERROR(INDEX(Data!AK$9:AK$1273,MATCH($M121,Data!$K$9:$K$1273,0)),"")</f>
        <v/>
      </c>
      <c r="Z121" s="311">
        <f>IFERROR(INDEX(Data!AL$9:AL$1273,MATCH($M121,Data!$K$9:$K$1273,0)),"")</f>
        <v/>
      </c>
      <c r="AA121" s="311">
        <f>IFERROR(INDEX(Data!AM$9:AM$1273,MATCH($M121,Data!$K$9:$K$1273,0)),"")</f>
        <v/>
      </c>
      <c r="AB121" s="311">
        <f>IFERROR(INDEX(Data!AN$9:AN$1273,MATCH($M121,Data!$K$9:$K$1273,0)),"")</f>
        <v/>
      </c>
      <c r="AC121" s="312">
        <f>IFERROR(INDEX(Data!BY$9:BY$1273,MATCH($M121,Data!$K$9:$K$1273,0)),"")</f>
        <v/>
      </c>
      <c r="AD121" s="312">
        <f>IFERROR(INDEX(Data!BZ$9:BZ$1273,MATCH($M121,Data!$K$9:$K$1273,0)),"")</f>
        <v/>
      </c>
      <c r="AE121" s="312">
        <f>IFERROR(INDEX(Data!CA$9:CA$1273,MATCH($M121,Data!$K$9:$K$1273,0)),"")</f>
        <v/>
      </c>
      <c r="AF121" s="312">
        <f>IFERROR(INDEX(Data!CB$9:CB$1273,MATCH($M121,Data!$K$9:$K$1273,0)),"")</f>
        <v/>
      </c>
      <c r="AG121" s="312">
        <f>IFERROR(INDEX(Data!CC$9:CC$1273,MATCH($M121,Data!$K$9:$K$1273,0)),"")</f>
        <v/>
      </c>
      <c r="AH121" s="312">
        <f>IFERROR(INDEX(Data!CD$9:CD$1273,MATCH($M121,Data!$K$9:$K$1273,0)),"")</f>
        <v/>
      </c>
      <c r="AI121" s="312">
        <f>IFERROR(INDEX(Data!CE$9:CE$1273,MATCH($M121,Data!$K$9:$K$1273,0)),"")</f>
        <v/>
      </c>
      <c r="AJ121" s="312">
        <f>IFERROR(INDEX(Data!CF$9:CF$1273,MATCH($M121,Data!$K$9:$K$1273,0)),"")</f>
        <v/>
      </c>
      <c r="AK121" s="312">
        <f>IFERROR(INDEX(Data!CG$9:CG$1273,MATCH($M121,Data!$K$9:$K$1273,0)),"")</f>
        <v/>
      </c>
      <c r="AL121" s="312">
        <f>IFERROR(INDEX(Data!CH$9:CH$1273,MATCH($M121,Data!$K$9:$K$1273,0)),"")</f>
        <v/>
      </c>
      <c r="AM121" s="312">
        <f>IFERROR(INDEX(Data!CI$9:CI$1273,MATCH($M121,Data!$K$9:$K$1273,0)),"")</f>
        <v/>
      </c>
      <c r="AN121" s="312">
        <f>IFERROR(INDEX(Data!CJ$9:CJ$1273,MATCH($M121,Data!$K$9:$K$1273,0)),"")</f>
        <v/>
      </c>
      <c r="AO121" s="312">
        <f>IFERROR(INDEX(Data!CK$9:CK$1273,MATCH($M121,Data!$K$9:$K$1273,0)),"")</f>
        <v/>
      </c>
      <c r="AP121" s="312">
        <f>IFERROR(INDEX(Data!CL$9:CL$1273,MATCH($M121,Data!$K$9:$K$1273,0)),"")</f>
        <v/>
      </c>
      <c r="AQ121" s="312">
        <f>IFERROR(INDEX(Data!CM$9:CM$1273,MATCH($M121,Data!$K$9:$K$1273,0)),"")</f>
        <v/>
      </c>
      <c r="AR121" s="312">
        <f>IFERROR(INDEX(Data!CN$9:CN$1273,MATCH($M121,Data!$K$9:$K$1273,0)),"")</f>
        <v/>
      </c>
      <c r="AS121" s="312">
        <f>IFERROR(INDEX(Data!CO$9:CO$1273,MATCH($M121,Data!$K$9:$K$1273,0)),"")</f>
        <v/>
      </c>
      <c r="AT121" s="312">
        <f>IFERROR(INDEX(Data!CP$9:CP$1273,MATCH($M121,Data!$K$9:$K$1273,0)),"")</f>
        <v/>
      </c>
      <c r="AU121" s="312">
        <f>IFERROR(INDEX(Data!CQ$9:CQ$1273,MATCH($M121,Data!$K$9:$K$1273,0)),"")</f>
        <v/>
      </c>
      <c r="AV121" s="312">
        <f>IFERROR(INDEX(Data!CR$9:CR$1273,MATCH($M121,Data!$K$9:$K$1273,0)),"")</f>
        <v/>
      </c>
      <c r="AW121" s="312">
        <f>IFERROR(INDEX(Data!CS$9:CS$1273,MATCH($M121,Data!$K$9:$K$1273,0)),"")</f>
        <v/>
      </c>
      <c r="AX121" s="312">
        <f>IFERROR(INDEX(Data!CT$9:CT$1273,MATCH($M121,Data!$K$9:$K$1273,0)),"")</f>
        <v/>
      </c>
      <c r="AY121" s="312">
        <f>IFERROR(INDEX(Data!CU$9:CU$1273,MATCH($M121,Data!$K$9:$K$1273,0)),"")</f>
        <v/>
      </c>
      <c r="AZ121" s="312">
        <f>IFERROR(INDEX(Data!CV$9:CV$1273,MATCH($M121,Data!$K$9:$K$1273,0)),"")</f>
        <v/>
      </c>
      <c r="BA121" s="312">
        <f>IFERROR(INDEX(Data!CX$9:CX$1273,MATCH($M121,Data!$K$9:$K$1273,0)),"")</f>
        <v/>
      </c>
      <c r="BB121" s="312">
        <f>IFERROR(INDEX(Data!CY$9:CY$1273,MATCH($M121,Data!$K$9:$K$1273,0)),"")</f>
        <v/>
      </c>
      <c r="BC121" s="312">
        <f>IFERROR(INDEX(Data!CZ$9:CZ$1273,MATCH($M121,Data!$K$9:$K$1273,0)),"")</f>
        <v/>
      </c>
      <c r="BD121" s="312">
        <f>IFERROR(INDEX(Data!DA$9:DA$1273,MATCH($M121,Data!$K$9:$K$1273,0)),"")</f>
        <v/>
      </c>
      <c r="BE121" s="312">
        <f>IFERROR(INDEX(Data!DB$9:DB$1273,MATCH($M121,Data!$K$9:$K$1273,0)),"")</f>
        <v/>
      </c>
      <c r="BF121" s="312">
        <f>IFERROR(INDEX(Data!DC$9:DC$1273,MATCH($M121,Data!$K$9:$K$1273,0)),"")</f>
        <v/>
      </c>
      <c r="BG121" s="312">
        <f>IFERROR(INDEX(Data!DD$9:DD$1273,MATCH($M121,Data!$K$9:$K$1273,0)),"")</f>
        <v/>
      </c>
      <c r="BH121" s="312">
        <f>IFERROR(INDEX(Data!DE$9:DE$1273,MATCH($M121,Data!$K$9:$K$1273,0)),"")</f>
        <v/>
      </c>
      <c r="BI121" s="312">
        <f>IFERROR(INDEX(Data!DF$9:DF$1273,MATCH($M121,Data!$K$9:$K$1273,0)),"")</f>
        <v/>
      </c>
      <c r="BJ121" s="312">
        <f>IFERROR(INDEX(Data!DG$9:DG$1273,MATCH($M121,Data!$K$9:$K$1273,0)),"")</f>
        <v/>
      </c>
      <c r="BK121" s="312">
        <f>IFERROR(INDEX(Data!DH$9:DH$1273,MATCH($M121,Data!$K$9:$K$1273,0)),"")</f>
        <v/>
      </c>
      <c r="BL121" s="312">
        <f>IFERROR(INDEX(Data!DI$9:DI$1273,MATCH($M121,Data!$K$9:$K$1273,0)),"")</f>
        <v/>
      </c>
      <c r="BM121" s="312">
        <f>IFERROR(INDEX(Data!DJ$9:DJ$1273,MATCH($M121,Data!$K$9:$K$1273,0)),"")</f>
        <v/>
      </c>
      <c r="BN121" s="312">
        <f>IFERROR(INDEX(Data!DK$9:DK$1273,MATCH($M121,Data!$K$9:$K$1273,0)),"")</f>
        <v/>
      </c>
      <c r="BO121" s="312">
        <f>IFERROR(INDEX(Data!DL$9:DL$1273,MATCH($M121,Data!$K$9:$K$1273,0)),"")</f>
        <v/>
      </c>
      <c r="BP121" s="331">
        <f>IFERROR(IF(BK121=0,"-",BK121),"")</f>
        <v/>
      </c>
      <c r="BQ121" s="312">
        <f>IFERROR(IF(BP121-K121&gt;0,TRUE,FALSE)," ")</f>
        <v/>
      </c>
      <c r="BR121" s="312">
        <f>_xlfn.CONCAT(E121,F121,H121,G121)</f>
        <v/>
      </c>
      <c r="BS121" s="312">
        <f>IFERROR(INDEX(Data!$DO$9:$DO$1273,MATCH('Your recommendation'!BR121,Data!$DN$9:$DN$1273,0)),"")</f>
        <v/>
      </c>
    </row>
    <row r="122" ht="15.6" customFormat="1" customHeight="1" s="138">
      <c r="B122" s="309">
        <f>IF(C122&gt;0,B121+1,"")</f>
        <v/>
      </c>
      <c r="C122" s="310" t="n"/>
      <c r="D122" s="312">
        <f>IFERROR(INDEX(Data!BR$9:BR$1273,MATCH($M122,Data!$K$9:$K$1273,0)),"")</f>
        <v/>
      </c>
      <c r="E122" s="312">
        <f>IFERROR(INDEX(Data!BS$9:BS$1273,MATCH($M122,Data!$K$9:$K$1273,0)),"")</f>
        <v/>
      </c>
      <c r="F122" s="312">
        <f>IFERROR(INDEX(Data!DM$9:DM$1273,MATCH($M122,Data!$K$9:$K$1273,0)),"")</f>
        <v/>
      </c>
      <c r="G122" s="312">
        <f>IFERROR(INDEX(Data!BV$9:BV$1273,MATCH($M122,Data!$K$9:$K$1273,0)),"")</f>
        <v/>
      </c>
      <c r="H122" s="312">
        <f>IFERROR(INDEX(Data!BW$9:BW$1273,MATCH($M122,Data!$K$9:$K$1273,0)),"")</f>
        <v/>
      </c>
      <c r="I122" s="312">
        <f>IFERROR(INDEX(Data!BX$9:BX$1273,MATCH($M122,Data!$K$9:$K$1273,0)),"")</f>
        <v/>
      </c>
      <c r="J122" s="312">
        <f>IFERROR(INDEX(Data!CB$9:CB$1273,MATCH($M122,Data!$K$9:$K$1273,0)),"")</f>
        <v/>
      </c>
      <c r="K122" s="329">
        <f>IFERROR(HYPERLINK(BM122,BC122),"-")</f>
        <v/>
      </c>
      <c r="L122" s="330">
        <f>IFERROR(IF(BB122=0,"-",BB122)," ")</f>
        <v/>
      </c>
      <c r="M122" s="311" t="n"/>
      <c r="N122" s="311" t="n"/>
      <c r="O122" s="311">
        <f>IFERROR(INDEX(Data!M$9:M$1273,MATCH($M122,Data!$K$9:$K$1273,0)),"")</f>
        <v/>
      </c>
      <c r="P122" s="311">
        <f>IFERROR(INDEX(Data!N$9:N$1273,MATCH($M122,Data!$K$9:$K$1273,0)),"")</f>
        <v/>
      </c>
      <c r="Q122" s="311">
        <f>IFERROR(INDEX(Data!O$9:O$1273,MATCH($M122,Data!$K$9:$K$1273,0)),"")</f>
        <v/>
      </c>
      <c r="R122" s="311">
        <f>IFERROR(INDEX(Data!P$9:P$1273,MATCH($M122,Data!$K$9:$K$1273,0)),"")</f>
        <v/>
      </c>
      <c r="S122" s="311">
        <f>IFERROR(INDEX(Data!S$9:S$1273,MATCH($M122,Data!$K$9:$K$1273,0)),"")</f>
        <v/>
      </c>
      <c r="T122" s="311">
        <f>IFERROR(INDEX(Data!T$9:T$1273,MATCH($M122,Data!$K$9:$K$1273,0)),"")</f>
        <v/>
      </c>
      <c r="U122" s="311">
        <f>IFERROR(INDEX(Data!U$9:U$1273,MATCH($M122,Data!$K$9:$K$1273,0)),"")</f>
        <v/>
      </c>
      <c r="V122" s="311">
        <f>IFERROR(INDEX(Data!V$9:V$1273,MATCH($M122,Data!$K$9:$K$1273,0)),"")</f>
        <v/>
      </c>
      <c r="W122" s="311">
        <f>IFERROR(INDEX(Data!W$9:W$1273,MATCH($M122,Data!$K$9:$K$1273,0)),"")</f>
        <v/>
      </c>
      <c r="X122" s="311">
        <f>IFERROR(INDEX(Data!AJ$9:AJ$1273,MATCH($M122,Data!$K$9:$K$1273,0)),"")</f>
        <v/>
      </c>
      <c r="Y122" s="311">
        <f>IFERROR(INDEX(Data!AK$9:AK$1273,MATCH($M122,Data!$K$9:$K$1273,0)),"")</f>
        <v/>
      </c>
      <c r="Z122" s="311">
        <f>IFERROR(INDEX(Data!AL$9:AL$1273,MATCH($M122,Data!$K$9:$K$1273,0)),"")</f>
        <v/>
      </c>
      <c r="AA122" s="311">
        <f>IFERROR(INDEX(Data!AM$9:AM$1273,MATCH($M122,Data!$K$9:$K$1273,0)),"")</f>
        <v/>
      </c>
      <c r="AB122" s="311">
        <f>IFERROR(INDEX(Data!AN$9:AN$1273,MATCH($M122,Data!$K$9:$K$1273,0)),"")</f>
        <v/>
      </c>
      <c r="AC122" s="312">
        <f>IFERROR(INDEX(Data!BY$9:BY$1273,MATCH($M122,Data!$K$9:$K$1273,0)),"")</f>
        <v/>
      </c>
      <c r="AD122" s="312">
        <f>IFERROR(INDEX(Data!BZ$9:BZ$1273,MATCH($M122,Data!$K$9:$K$1273,0)),"")</f>
        <v/>
      </c>
      <c r="AE122" s="312">
        <f>IFERROR(INDEX(Data!CA$9:CA$1273,MATCH($M122,Data!$K$9:$K$1273,0)),"")</f>
        <v/>
      </c>
      <c r="AF122" s="312">
        <f>IFERROR(INDEX(Data!CB$9:CB$1273,MATCH($M122,Data!$K$9:$K$1273,0)),"")</f>
        <v/>
      </c>
      <c r="AG122" s="312">
        <f>IFERROR(INDEX(Data!CC$9:CC$1273,MATCH($M122,Data!$K$9:$K$1273,0)),"")</f>
        <v/>
      </c>
      <c r="AH122" s="312">
        <f>IFERROR(INDEX(Data!CD$9:CD$1273,MATCH($M122,Data!$K$9:$K$1273,0)),"")</f>
        <v/>
      </c>
      <c r="AI122" s="312">
        <f>IFERROR(INDEX(Data!CE$9:CE$1273,MATCH($M122,Data!$K$9:$K$1273,0)),"")</f>
        <v/>
      </c>
      <c r="AJ122" s="312">
        <f>IFERROR(INDEX(Data!CF$9:CF$1273,MATCH($M122,Data!$K$9:$K$1273,0)),"")</f>
        <v/>
      </c>
      <c r="AK122" s="312">
        <f>IFERROR(INDEX(Data!CG$9:CG$1273,MATCH($M122,Data!$K$9:$K$1273,0)),"")</f>
        <v/>
      </c>
      <c r="AL122" s="312">
        <f>IFERROR(INDEX(Data!CH$9:CH$1273,MATCH($M122,Data!$K$9:$K$1273,0)),"")</f>
        <v/>
      </c>
      <c r="AM122" s="312">
        <f>IFERROR(INDEX(Data!CI$9:CI$1273,MATCH($M122,Data!$K$9:$K$1273,0)),"")</f>
        <v/>
      </c>
      <c r="AN122" s="312">
        <f>IFERROR(INDEX(Data!CJ$9:CJ$1273,MATCH($M122,Data!$K$9:$K$1273,0)),"")</f>
        <v/>
      </c>
      <c r="AO122" s="312">
        <f>IFERROR(INDEX(Data!CK$9:CK$1273,MATCH($M122,Data!$K$9:$K$1273,0)),"")</f>
        <v/>
      </c>
      <c r="AP122" s="312">
        <f>IFERROR(INDEX(Data!CL$9:CL$1273,MATCH($M122,Data!$K$9:$K$1273,0)),"")</f>
        <v/>
      </c>
      <c r="AQ122" s="312">
        <f>IFERROR(INDEX(Data!CM$9:CM$1273,MATCH($M122,Data!$K$9:$K$1273,0)),"")</f>
        <v/>
      </c>
      <c r="AR122" s="312">
        <f>IFERROR(INDEX(Data!CN$9:CN$1273,MATCH($M122,Data!$K$9:$K$1273,0)),"")</f>
        <v/>
      </c>
      <c r="AS122" s="312">
        <f>IFERROR(INDEX(Data!CO$9:CO$1273,MATCH($M122,Data!$K$9:$K$1273,0)),"")</f>
        <v/>
      </c>
      <c r="AT122" s="312">
        <f>IFERROR(INDEX(Data!CP$9:CP$1273,MATCH($M122,Data!$K$9:$K$1273,0)),"")</f>
        <v/>
      </c>
      <c r="AU122" s="312">
        <f>IFERROR(INDEX(Data!CQ$9:CQ$1273,MATCH($M122,Data!$K$9:$K$1273,0)),"")</f>
        <v/>
      </c>
      <c r="AV122" s="312">
        <f>IFERROR(INDEX(Data!CR$9:CR$1273,MATCH($M122,Data!$K$9:$K$1273,0)),"")</f>
        <v/>
      </c>
      <c r="AW122" s="312">
        <f>IFERROR(INDEX(Data!CS$9:CS$1273,MATCH($M122,Data!$K$9:$K$1273,0)),"")</f>
        <v/>
      </c>
      <c r="AX122" s="312">
        <f>IFERROR(INDEX(Data!CT$9:CT$1273,MATCH($M122,Data!$K$9:$K$1273,0)),"")</f>
        <v/>
      </c>
      <c r="AY122" s="312">
        <f>IFERROR(INDEX(Data!CU$9:CU$1273,MATCH($M122,Data!$K$9:$K$1273,0)),"")</f>
        <v/>
      </c>
      <c r="AZ122" s="312">
        <f>IFERROR(INDEX(Data!CV$9:CV$1273,MATCH($M122,Data!$K$9:$K$1273,0)),"")</f>
        <v/>
      </c>
      <c r="BA122" s="312">
        <f>IFERROR(INDEX(Data!CX$9:CX$1273,MATCH($M122,Data!$K$9:$K$1273,0)),"")</f>
        <v/>
      </c>
      <c r="BB122" s="312">
        <f>IFERROR(INDEX(Data!CY$9:CY$1273,MATCH($M122,Data!$K$9:$K$1273,0)),"")</f>
        <v/>
      </c>
      <c r="BC122" s="312">
        <f>IFERROR(INDEX(Data!CZ$9:CZ$1273,MATCH($M122,Data!$K$9:$K$1273,0)),"")</f>
        <v/>
      </c>
      <c r="BD122" s="312">
        <f>IFERROR(INDEX(Data!DA$9:DA$1273,MATCH($M122,Data!$K$9:$K$1273,0)),"")</f>
        <v/>
      </c>
      <c r="BE122" s="312">
        <f>IFERROR(INDEX(Data!DB$9:DB$1273,MATCH($M122,Data!$K$9:$K$1273,0)),"")</f>
        <v/>
      </c>
      <c r="BF122" s="312">
        <f>IFERROR(INDEX(Data!DC$9:DC$1273,MATCH($M122,Data!$K$9:$K$1273,0)),"")</f>
        <v/>
      </c>
      <c r="BG122" s="312">
        <f>IFERROR(INDEX(Data!DD$9:DD$1273,MATCH($M122,Data!$K$9:$K$1273,0)),"")</f>
        <v/>
      </c>
      <c r="BH122" s="312">
        <f>IFERROR(INDEX(Data!DE$9:DE$1273,MATCH($M122,Data!$K$9:$K$1273,0)),"")</f>
        <v/>
      </c>
      <c r="BI122" s="312">
        <f>IFERROR(INDEX(Data!DF$9:DF$1273,MATCH($M122,Data!$K$9:$K$1273,0)),"")</f>
        <v/>
      </c>
      <c r="BJ122" s="312">
        <f>IFERROR(INDEX(Data!DG$9:DG$1273,MATCH($M122,Data!$K$9:$K$1273,0)),"")</f>
        <v/>
      </c>
      <c r="BK122" s="312">
        <f>IFERROR(INDEX(Data!DH$9:DH$1273,MATCH($M122,Data!$K$9:$K$1273,0)),"")</f>
        <v/>
      </c>
      <c r="BL122" s="312">
        <f>IFERROR(INDEX(Data!DI$9:DI$1273,MATCH($M122,Data!$K$9:$K$1273,0)),"")</f>
        <v/>
      </c>
      <c r="BM122" s="312">
        <f>IFERROR(INDEX(Data!DJ$9:DJ$1273,MATCH($M122,Data!$K$9:$K$1273,0)),"")</f>
        <v/>
      </c>
      <c r="BN122" s="312">
        <f>IFERROR(INDEX(Data!DK$9:DK$1273,MATCH($M122,Data!$K$9:$K$1273,0)),"")</f>
        <v/>
      </c>
      <c r="BO122" s="312">
        <f>IFERROR(INDEX(Data!DL$9:DL$1273,MATCH($M122,Data!$K$9:$K$1273,0)),"")</f>
        <v/>
      </c>
      <c r="BP122" s="331">
        <f>IFERROR(IF(BK122=0,"-",BK122),"")</f>
        <v/>
      </c>
      <c r="BQ122" s="312">
        <f>IFERROR(IF(BP122-K122&gt;0,TRUE,FALSE)," ")</f>
        <v/>
      </c>
      <c r="BR122" s="312">
        <f>_xlfn.CONCAT(E122,F122,H122,G122)</f>
        <v/>
      </c>
      <c r="BS122" s="312">
        <f>IFERROR(INDEX(Data!$DO$9:$DO$1273,MATCH('Your recommendation'!BR122,Data!$DN$9:$DN$1273,0)),"")</f>
        <v/>
      </c>
    </row>
    <row r="123" ht="15.6" customFormat="1" customHeight="1" s="138">
      <c r="B123" s="309">
        <f>IF(C123&gt;0,B122+1,"")</f>
        <v/>
      </c>
      <c r="C123" s="310" t="n"/>
      <c r="D123" s="312">
        <f>IFERROR(INDEX(Data!BR$9:BR$1273,MATCH($M123,Data!$K$9:$K$1273,0)),"")</f>
        <v/>
      </c>
      <c r="E123" s="312">
        <f>IFERROR(INDEX(Data!BS$9:BS$1273,MATCH($M123,Data!$K$9:$K$1273,0)),"")</f>
        <v/>
      </c>
      <c r="F123" s="312">
        <f>IFERROR(INDEX(Data!DM$9:DM$1273,MATCH($M123,Data!$K$9:$K$1273,0)),"")</f>
        <v/>
      </c>
      <c r="G123" s="312">
        <f>IFERROR(INDEX(Data!BV$9:BV$1273,MATCH($M123,Data!$K$9:$K$1273,0)),"")</f>
        <v/>
      </c>
      <c r="H123" s="312">
        <f>IFERROR(INDEX(Data!BW$9:BW$1273,MATCH($M123,Data!$K$9:$K$1273,0)),"")</f>
        <v/>
      </c>
      <c r="I123" s="312">
        <f>IFERROR(INDEX(Data!BX$9:BX$1273,MATCH($M123,Data!$K$9:$K$1273,0)),"")</f>
        <v/>
      </c>
      <c r="J123" s="312">
        <f>IFERROR(INDEX(Data!CB$9:CB$1273,MATCH($M123,Data!$K$9:$K$1273,0)),"")</f>
        <v/>
      </c>
      <c r="K123" s="329">
        <f>IFERROR(HYPERLINK(BM123,BC123),"-")</f>
        <v/>
      </c>
      <c r="L123" s="330">
        <f>IFERROR(IF(BB123=0,"-",BB123)," ")</f>
        <v/>
      </c>
      <c r="M123" s="311" t="n"/>
      <c r="N123" s="311" t="n"/>
      <c r="O123" s="311">
        <f>IFERROR(INDEX(Data!M$9:M$1273,MATCH($M123,Data!$K$9:$K$1273,0)),"")</f>
        <v/>
      </c>
      <c r="P123" s="311">
        <f>IFERROR(INDEX(Data!N$9:N$1273,MATCH($M123,Data!$K$9:$K$1273,0)),"")</f>
        <v/>
      </c>
      <c r="Q123" s="311">
        <f>IFERROR(INDEX(Data!O$9:O$1273,MATCH($M123,Data!$K$9:$K$1273,0)),"")</f>
        <v/>
      </c>
      <c r="R123" s="311">
        <f>IFERROR(INDEX(Data!P$9:P$1273,MATCH($M123,Data!$K$9:$K$1273,0)),"")</f>
        <v/>
      </c>
      <c r="S123" s="311">
        <f>IFERROR(INDEX(Data!S$9:S$1273,MATCH($M123,Data!$K$9:$K$1273,0)),"")</f>
        <v/>
      </c>
      <c r="T123" s="311">
        <f>IFERROR(INDEX(Data!T$9:T$1273,MATCH($M123,Data!$K$9:$K$1273,0)),"")</f>
        <v/>
      </c>
      <c r="U123" s="311">
        <f>IFERROR(INDEX(Data!U$9:U$1273,MATCH($M123,Data!$K$9:$K$1273,0)),"")</f>
        <v/>
      </c>
      <c r="V123" s="311">
        <f>IFERROR(INDEX(Data!V$9:V$1273,MATCH($M123,Data!$K$9:$K$1273,0)),"")</f>
        <v/>
      </c>
      <c r="W123" s="311">
        <f>IFERROR(INDEX(Data!W$9:W$1273,MATCH($M123,Data!$K$9:$K$1273,0)),"")</f>
        <v/>
      </c>
      <c r="X123" s="311">
        <f>IFERROR(INDEX(Data!AJ$9:AJ$1273,MATCH($M123,Data!$K$9:$K$1273,0)),"")</f>
        <v/>
      </c>
      <c r="Y123" s="311">
        <f>IFERROR(INDEX(Data!AK$9:AK$1273,MATCH($M123,Data!$K$9:$K$1273,0)),"")</f>
        <v/>
      </c>
      <c r="Z123" s="311">
        <f>IFERROR(INDEX(Data!AL$9:AL$1273,MATCH($M123,Data!$K$9:$K$1273,0)),"")</f>
        <v/>
      </c>
      <c r="AA123" s="311">
        <f>IFERROR(INDEX(Data!AM$9:AM$1273,MATCH($M123,Data!$K$9:$K$1273,0)),"")</f>
        <v/>
      </c>
      <c r="AB123" s="311">
        <f>IFERROR(INDEX(Data!AN$9:AN$1273,MATCH($M123,Data!$K$9:$K$1273,0)),"")</f>
        <v/>
      </c>
      <c r="AC123" s="312">
        <f>IFERROR(INDEX(Data!BY$9:BY$1273,MATCH($M123,Data!$K$9:$K$1273,0)),"")</f>
        <v/>
      </c>
      <c r="AD123" s="312">
        <f>IFERROR(INDEX(Data!BZ$9:BZ$1273,MATCH($M123,Data!$K$9:$K$1273,0)),"")</f>
        <v/>
      </c>
      <c r="AE123" s="312">
        <f>IFERROR(INDEX(Data!CA$9:CA$1273,MATCH($M123,Data!$K$9:$K$1273,0)),"")</f>
        <v/>
      </c>
      <c r="AF123" s="312">
        <f>IFERROR(INDEX(Data!CB$9:CB$1273,MATCH($M123,Data!$K$9:$K$1273,0)),"")</f>
        <v/>
      </c>
      <c r="AG123" s="312">
        <f>IFERROR(INDEX(Data!CC$9:CC$1273,MATCH($M123,Data!$K$9:$K$1273,0)),"")</f>
        <v/>
      </c>
      <c r="AH123" s="312">
        <f>IFERROR(INDEX(Data!CD$9:CD$1273,MATCH($M123,Data!$K$9:$K$1273,0)),"")</f>
        <v/>
      </c>
      <c r="AI123" s="312">
        <f>IFERROR(INDEX(Data!CE$9:CE$1273,MATCH($M123,Data!$K$9:$K$1273,0)),"")</f>
        <v/>
      </c>
      <c r="AJ123" s="312">
        <f>IFERROR(INDEX(Data!CF$9:CF$1273,MATCH($M123,Data!$K$9:$K$1273,0)),"")</f>
        <v/>
      </c>
      <c r="AK123" s="312">
        <f>IFERROR(INDEX(Data!CG$9:CG$1273,MATCH($M123,Data!$K$9:$K$1273,0)),"")</f>
        <v/>
      </c>
      <c r="AL123" s="312">
        <f>IFERROR(INDEX(Data!CH$9:CH$1273,MATCH($M123,Data!$K$9:$K$1273,0)),"")</f>
        <v/>
      </c>
      <c r="AM123" s="312">
        <f>IFERROR(INDEX(Data!CI$9:CI$1273,MATCH($M123,Data!$K$9:$K$1273,0)),"")</f>
        <v/>
      </c>
      <c r="AN123" s="312">
        <f>IFERROR(INDEX(Data!CJ$9:CJ$1273,MATCH($M123,Data!$K$9:$K$1273,0)),"")</f>
        <v/>
      </c>
      <c r="AO123" s="312">
        <f>IFERROR(INDEX(Data!CK$9:CK$1273,MATCH($M123,Data!$K$9:$K$1273,0)),"")</f>
        <v/>
      </c>
      <c r="AP123" s="312">
        <f>IFERROR(INDEX(Data!CL$9:CL$1273,MATCH($M123,Data!$K$9:$K$1273,0)),"")</f>
        <v/>
      </c>
      <c r="AQ123" s="312">
        <f>IFERROR(INDEX(Data!CM$9:CM$1273,MATCH($M123,Data!$K$9:$K$1273,0)),"")</f>
        <v/>
      </c>
      <c r="AR123" s="312">
        <f>IFERROR(INDEX(Data!CN$9:CN$1273,MATCH($M123,Data!$K$9:$K$1273,0)),"")</f>
        <v/>
      </c>
      <c r="AS123" s="312">
        <f>IFERROR(INDEX(Data!CO$9:CO$1273,MATCH($M123,Data!$K$9:$K$1273,0)),"")</f>
        <v/>
      </c>
      <c r="AT123" s="312">
        <f>IFERROR(INDEX(Data!CP$9:CP$1273,MATCH($M123,Data!$K$9:$K$1273,0)),"")</f>
        <v/>
      </c>
      <c r="AU123" s="312">
        <f>IFERROR(INDEX(Data!CQ$9:CQ$1273,MATCH($M123,Data!$K$9:$K$1273,0)),"")</f>
        <v/>
      </c>
      <c r="AV123" s="312">
        <f>IFERROR(INDEX(Data!CR$9:CR$1273,MATCH($M123,Data!$K$9:$K$1273,0)),"")</f>
        <v/>
      </c>
      <c r="AW123" s="312">
        <f>IFERROR(INDEX(Data!CS$9:CS$1273,MATCH($M123,Data!$K$9:$K$1273,0)),"")</f>
        <v/>
      </c>
      <c r="AX123" s="312">
        <f>IFERROR(INDEX(Data!CT$9:CT$1273,MATCH($M123,Data!$K$9:$K$1273,0)),"")</f>
        <v/>
      </c>
      <c r="AY123" s="312">
        <f>IFERROR(INDEX(Data!CU$9:CU$1273,MATCH($M123,Data!$K$9:$K$1273,0)),"")</f>
        <v/>
      </c>
      <c r="AZ123" s="312">
        <f>IFERROR(INDEX(Data!CV$9:CV$1273,MATCH($M123,Data!$K$9:$K$1273,0)),"")</f>
        <v/>
      </c>
      <c r="BA123" s="312">
        <f>IFERROR(INDEX(Data!CX$9:CX$1273,MATCH($M123,Data!$K$9:$K$1273,0)),"")</f>
        <v/>
      </c>
      <c r="BB123" s="312">
        <f>IFERROR(INDEX(Data!CY$9:CY$1273,MATCH($M123,Data!$K$9:$K$1273,0)),"")</f>
        <v/>
      </c>
      <c r="BC123" s="312">
        <f>IFERROR(INDEX(Data!CZ$9:CZ$1273,MATCH($M123,Data!$K$9:$K$1273,0)),"")</f>
        <v/>
      </c>
      <c r="BD123" s="312">
        <f>IFERROR(INDEX(Data!DA$9:DA$1273,MATCH($M123,Data!$K$9:$K$1273,0)),"")</f>
        <v/>
      </c>
      <c r="BE123" s="312">
        <f>IFERROR(INDEX(Data!DB$9:DB$1273,MATCH($M123,Data!$K$9:$K$1273,0)),"")</f>
        <v/>
      </c>
      <c r="BF123" s="312">
        <f>IFERROR(INDEX(Data!DC$9:DC$1273,MATCH($M123,Data!$K$9:$K$1273,0)),"")</f>
        <v/>
      </c>
      <c r="BG123" s="312">
        <f>IFERROR(INDEX(Data!DD$9:DD$1273,MATCH($M123,Data!$K$9:$K$1273,0)),"")</f>
        <v/>
      </c>
      <c r="BH123" s="312">
        <f>IFERROR(INDEX(Data!DE$9:DE$1273,MATCH($M123,Data!$K$9:$K$1273,0)),"")</f>
        <v/>
      </c>
      <c r="BI123" s="312">
        <f>IFERROR(INDEX(Data!DF$9:DF$1273,MATCH($M123,Data!$K$9:$K$1273,0)),"")</f>
        <v/>
      </c>
      <c r="BJ123" s="312">
        <f>IFERROR(INDEX(Data!DG$9:DG$1273,MATCH($M123,Data!$K$9:$K$1273,0)),"")</f>
        <v/>
      </c>
      <c r="BK123" s="312">
        <f>IFERROR(INDEX(Data!DH$9:DH$1273,MATCH($M123,Data!$K$9:$K$1273,0)),"")</f>
        <v/>
      </c>
      <c r="BL123" s="312">
        <f>IFERROR(INDEX(Data!DI$9:DI$1273,MATCH($M123,Data!$K$9:$K$1273,0)),"")</f>
        <v/>
      </c>
      <c r="BM123" s="312">
        <f>IFERROR(INDEX(Data!DJ$9:DJ$1273,MATCH($M123,Data!$K$9:$K$1273,0)),"")</f>
        <v/>
      </c>
      <c r="BN123" s="312">
        <f>IFERROR(INDEX(Data!DK$9:DK$1273,MATCH($M123,Data!$K$9:$K$1273,0)),"")</f>
        <v/>
      </c>
      <c r="BO123" s="312">
        <f>IFERROR(INDEX(Data!DL$9:DL$1273,MATCH($M123,Data!$K$9:$K$1273,0)),"")</f>
        <v/>
      </c>
      <c r="BP123" s="331">
        <f>IFERROR(IF(BK123=0,"-",BK123),"")</f>
        <v/>
      </c>
      <c r="BQ123" s="312">
        <f>IFERROR(IF(BP123-K123&gt;0,TRUE,FALSE)," ")</f>
        <v/>
      </c>
      <c r="BR123" s="312">
        <f>_xlfn.CONCAT(E123,F123,H123,G123)</f>
        <v/>
      </c>
      <c r="BS123" s="312">
        <f>IFERROR(INDEX(Data!$DO$9:$DO$1273,MATCH('Your recommendation'!BR123,Data!$DN$9:$DN$1273,0)),"")</f>
        <v/>
      </c>
    </row>
    <row r="124" ht="15.6" customFormat="1" customHeight="1" s="138">
      <c r="B124" s="309">
        <f>IF(C124&gt;0,B123+1,"")</f>
        <v/>
      </c>
      <c r="C124" s="310" t="n"/>
      <c r="D124" s="312">
        <f>IFERROR(INDEX(Data!BR$9:BR$1273,MATCH($M124,Data!$K$9:$K$1273,0)),"")</f>
        <v/>
      </c>
      <c r="E124" s="312">
        <f>IFERROR(INDEX(Data!BS$9:BS$1273,MATCH($M124,Data!$K$9:$K$1273,0)),"")</f>
        <v/>
      </c>
      <c r="F124" s="312">
        <f>IFERROR(INDEX(Data!DM$9:DM$1273,MATCH($M124,Data!$K$9:$K$1273,0)),"")</f>
        <v/>
      </c>
      <c r="G124" s="312">
        <f>IFERROR(INDEX(Data!BV$9:BV$1273,MATCH($M124,Data!$K$9:$K$1273,0)),"")</f>
        <v/>
      </c>
      <c r="H124" s="312">
        <f>IFERROR(INDEX(Data!BW$9:BW$1273,MATCH($M124,Data!$K$9:$K$1273,0)),"")</f>
        <v/>
      </c>
      <c r="I124" s="312">
        <f>IFERROR(INDEX(Data!BX$9:BX$1273,MATCH($M124,Data!$K$9:$K$1273,0)),"")</f>
        <v/>
      </c>
      <c r="J124" s="312">
        <f>IFERROR(INDEX(Data!CB$9:CB$1273,MATCH($M124,Data!$K$9:$K$1273,0)),"")</f>
        <v/>
      </c>
      <c r="K124" s="329">
        <f>IFERROR(HYPERLINK(BM124,BC124),"-")</f>
        <v/>
      </c>
      <c r="L124" s="330">
        <f>IFERROR(IF(BB124=0,"-",BB124)," ")</f>
        <v/>
      </c>
      <c r="M124" s="311" t="n"/>
      <c r="N124" s="311" t="n"/>
      <c r="O124" s="311">
        <f>IFERROR(INDEX(Data!M$9:M$1273,MATCH($M124,Data!$K$9:$K$1273,0)),"")</f>
        <v/>
      </c>
      <c r="P124" s="311">
        <f>IFERROR(INDEX(Data!N$9:N$1273,MATCH($M124,Data!$K$9:$K$1273,0)),"")</f>
        <v/>
      </c>
      <c r="Q124" s="311">
        <f>IFERROR(INDEX(Data!O$9:O$1273,MATCH($M124,Data!$K$9:$K$1273,0)),"")</f>
        <v/>
      </c>
      <c r="R124" s="311">
        <f>IFERROR(INDEX(Data!P$9:P$1273,MATCH($M124,Data!$K$9:$K$1273,0)),"")</f>
        <v/>
      </c>
      <c r="S124" s="311">
        <f>IFERROR(INDEX(Data!S$9:S$1273,MATCH($M124,Data!$K$9:$K$1273,0)),"")</f>
        <v/>
      </c>
      <c r="T124" s="311">
        <f>IFERROR(INDEX(Data!T$9:T$1273,MATCH($M124,Data!$K$9:$K$1273,0)),"")</f>
        <v/>
      </c>
      <c r="U124" s="311">
        <f>IFERROR(INDEX(Data!U$9:U$1273,MATCH($M124,Data!$K$9:$K$1273,0)),"")</f>
        <v/>
      </c>
      <c r="V124" s="311">
        <f>IFERROR(INDEX(Data!V$9:V$1273,MATCH($M124,Data!$K$9:$K$1273,0)),"")</f>
        <v/>
      </c>
      <c r="W124" s="311">
        <f>IFERROR(INDEX(Data!W$9:W$1273,MATCH($M124,Data!$K$9:$K$1273,0)),"")</f>
        <v/>
      </c>
      <c r="X124" s="311">
        <f>IFERROR(INDEX(Data!AJ$9:AJ$1273,MATCH($M124,Data!$K$9:$K$1273,0)),"")</f>
        <v/>
      </c>
      <c r="Y124" s="311">
        <f>IFERROR(INDEX(Data!AK$9:AK$1273,MATCH($M124,Data!$K$9:$K$1273,0)),"")</f>
        <v/>
      </c>
      <c r="Z124" s="311">
        <f>IFERROR(INDEX(Data!AL$9:AL$1273,MATCH($M124,Data!$K$9:$K$1273,0)),"")</f>
        <v/>
      </c>
      <c r="AA124" s="311">
        <f>IFERROR(INDEX(Data!AM$9:AM$1273,MATCH($M124,Data!$K$9:$K$1273,0)),"")</f>
        <v/>
      </c>
      <c r="AB124" s="311">
        <f>IFERROR(INDEX(Data!AN$9:AN$1273,MATCH($M124,Data!$K$9:$K$1273,0)),"")</f>
        <v/>
      </c>
      <c r="AC124" s="312">
        <f>IFERROR(INDEX(Data!BY$9:BY$1273,MATCH($M124,Data!$K$9:$K$1273,0)),"")</f>
        <v/>
      </c>
      <c r="AD124" s="312">
        <f>IFERROR(INDEX(Data!BZ$9:BZ$1273,MATCH($M124,Data!$K$9:$K$1273,0)),"")</f>
        <v/>
      </c>
      <c r="AE124" s="312">
        <f>IFERROR(INDEX(Data!CA$9:CA$1273,MATCH($M124,Data!$K$9:$K$1273,0)),"")</f>
        <v/>
      </c>
      <c r="AF124" s="312">
        <f>IFERROR(INDEX(Data!CB$9:CB$1273,MATCH($M124,Data!$K$9:$K$1273,0)),"")</f>
        <v/>
      </c>
      <c r="AG124" s="312">
        <f>IFERROR(INDEX(Data!CC$9:CC$1273,MATCH($M124,Data!$K$9:$K$1273,0)),"")</f>
        <v/>
      </c>
      <c r="AH124" s="312">
        <f>IFERROR(INDEX(Data!CD$9:CD$1273,MATCH($M124,Data!$K$9:$K$1273,0)),"")</f>
        <v/>
      </c>
      <c r="AI124" s="312">
        <f>IFERROR(INDEX(Data!CE$9:CE$1273,MATCH($M124,Data!$K$9:$K$1273,0)),"")</f>
        <v/>
      </c>
      <c r="AJ124" s="312">
        <f>IFERROR(INDEX(Data!CF$9:CF$1273,MATCH($M124,Data!$K$9:$K$1273,0)),"")</f>
        <v/>
      </c>
      <c r="AK124" s="312">
        <f>IFERROR(INDEX(Data!CG$9:CG$1273,MATCH($M124,Data!$K$9:$K$1273,0)),"")</f>
        <v/>
      </c>
      <c r="AL124" s="312">
        <f>IFERROR(INDEX(Data!CH$9:CH$1273,MATCH($M124,Data!$K$9:$K$1273,0)),"")</f>
        <v/>
      </c>
      <c r="AM124" s="312">
        <f>IFERROR(INDEX(Data!CI$9:CI$1273,MATCH($M124,Data!$K$9:$K$1273,0)),"")</f>
        <v/>
      </c>
      <c r="AN124" s="312">
        <f>IFERROR(INDEX(Data!CJ$9:CJ$1273,MATCH($M124,Data!$K$9:$K$1273,0)),"")</f>
        <v/>
      </c>
      <c r="AO124" s="312">
        <f>IFERROR(INDEX(Data!CK$9:CK$1273,MATCH($M124,Data!$K$9:$K$1273,0)),"")</f>
        <v/>
      </c>
      <c r="AP124" s="312">
        <f>IFERROR(INDEX(Data!CL$9:CL$1273,MATCH($M124,Data!$K$9:$K$1273,0)),"")</f>
        <v/>
      </c>
      <c r="AQ124" s="312">
        <f>IFERROR(INDEX(Data!CM$9:CM$1273,MATCH($M124,Data!$K$9:$K$1273,0)),"")</f>
        <v/>
      </c>
      <c r="AR124" s="312">
        <f>IFERROR(INDEX(Data!CN$9:CN$1273,MATCH($M124,Data!$K$9:$K$1273,0)),"")</f>
        <v/>
      </c>
      <c r="AS124" s="312">
        <f>IFERROR(INDEX(Data!CO$9:CO$1273,MATCH($M124,Data!$K$9:$K$1273,0)),"")</f>
        <v/>
      </c>
      <c r="AT124" s="312">
        <f>IFERROR(INDEX(Data!CP$9:CP$1273,MATCH($M124,Data!$K$9:$K$1273,0)),"")</f>
        <v/>
      </c>
      <c r="AU124" s="312">
        <f>IFERROR(INDEX(Data!CQ$9:CQ$1273,MATCH($M124,Data!$K$9:$K$1273,0)),"")</f>
        <v/>
      </c>
      <c r="AV124" s="312">
        <f>IFERROR(INDEX(Data!CR$9:CR$1273,MATCH($M124,Data!$K$9:$K$1273,0)),"")</f>
        <v/>
      </c>
      <c r="AW124" s="312">
        <f>IFERROR(INDEX(Data!CS$9:CS$1273,MATCH($M124,Data!$K$9:$K$1273,0)),"")</f>
        <v/>
      </c>
      <c r="AX124" s="312">
        <f>IFERROR(INDEX(Data!CT$9:CT$1273,MATCH($M124,Data!$K$9:$K$1273,0)),"")</f>
        <v/>
      </c>
      <c r="AY124" s="312">
        <f>IFERROR(INDEX(Data!CU$9:CU$1273,MATCH($M124,Data!$K$9:$K$1273,0)),"")</f>
        <v/>
      </c>
      <c r="AZ124" s="312">
        <f>IFERROR(INDEX(Data!CV$9:CV$1273,MATCH($M124,Data!$K$9:$K$1273,0)),"")</f>
        <v/>
      </c>
      <c r="BA124" s="312">
        <f>IFERROR(INDEX(Data!CX$9:CX$1273,MATCH($M124,Data!$K$9:$K$1273,0)),"")</f>
        <v/>
      </c>
      <c r="BB124" s="312">
        <f>IFERROR(INDEX(Data!CY$9:CY$1273,MATCH($M124,Data!$K$9:$K$1273,0)),"")</f>
        <v/>
      </c>
      <c r="BC124" s="312">
        <f>IFERROR(INDEX(Data!CZ$9:CZ$1273,MATCH($M124,Data!$K$9:$K$1273,0)),"")</f>
        <v/>
      </c>
      <c r="BD124" s="312">
        <f>IFERROR(INDEX(Data!DA$9:DA$1273,MATCH($M124,Data!$K$9:$K$1273,0)),"")</f>
        <v/>
      </c>
      <c r="BE124" s="312">
        <f>IFERROR(INDEX(Data!DB$9:DB$1273,MATCH($M124,Data!$K$9:$K$1273,0)),"")</f>
        <v/>
      </c>
      <c r="BF124" s="312">
        <f>IFERROR(INDEX(Data!DC$9:DC$1273,MATCH($M124,Data!$K$9:$K$1273,0)),"")</f>
        <v/>
      </c>
      <c r="BG124" s="312">
        <f>IFERROR(INDEX(Data!DD$9:DD$1273,MATCH($M124,Data!$K$9:$K$1273,0)),"")</f>
        <v/>
      </c>
      <c r="BH124" s="312">
        <f>IFERROR(INDEX(Data!DE$9:DE$1273,MATCH($M124,Data!$K$9:$K$1273,0)),"")</f>
        <v/>
      </c>
      <c r="BI124" s="312">
        <f>IFERROR(INDEX(Data!DF$9:DF$1273,MATCH($M124,Data!$K$9:$K$1273,0)),"")</f>
        <v/>
      </c>
      <c r="BJ124" s="312">
        <f>IFERROR(INDEX(Data!DG$9:DG$1273,MATCH($M124,Data!$K$9:$K$1273,0)),"")</f>
        <v/>
      </c>
      <c r="BK124" s="312">
        <f>IFERROR(INDEX(Data!DH$9:DH$1273,MATCH($M124,Data!$K$9:$K$1273,0)),"")</f>
        <v/>
      </c>
      <c r="BL124" s="312">
        <f>IFERROR(INDEX(Data!DI$9:DI$1273,MATCH($M124,Data!$K$9:$K$1273,0)),"")</f>
        <v/>
      </c>
      <c r="BM124" s="312">
        <f>IFERROR(INDEX(Data!DJ$9:DJ$1273,MATCH($M124,Data!$K$9:$K$1273,0)),"")</f>
        <v/>
      </c>
      <c r="BN124" s="312">
        <f>IFERROR(INDEX(Data!DK$9:DK$1273,MATCH($M124,Data!$K$9:$K$1273,0)),"")</f>
        <v/>
      </c>
      <c r="BO124" s="312">
        <f>IFERROR(INDEX(Data!DL$9:DL$1273,MATCH($M124,Data!$K$9:$K$1273,0)),"")</f>
        <v/>
      </c>
      <c r="BP124" s="331">
        <f>IFERROR(IF(BK124=0,"-",BK124),"")</f>
        <v/>
      </c>
      <c r="BQ124" s="312">
        <f>IFERROR(IF(BP124-K124&gt;0,TRUE,FALSE)," ")</f>
        <v/>
      </c>
      <c r="BR124" s="312">
        <f>_xlfn.CONCAT(E124,F124,H124,G124)</f>
        <v/>
      </c>
      <c r="BS124" s="312">
        <f>IFERROR(INDEX(Data!$DO$9:$DO$1273,MATCH('Your recommendation'!BR124,Data!$DN$9:$DN$1273,0)),"")</f>
        <v/>
      </c>
    </row>
    <row r="125" ht="15.6" customFormat="1" customHeight="1" s="138">
      <c r="B125" s="309">
        <f>IF(C125&gt;0,B124+1,"")</f>
        <v/>
      </c>
      <c r="C125" s="310" t="n"/>
      <c r="D125" s="312">
        <f>IFERROR(INDEX(Data!BR$9:BR$1273,MATCH($M125,Data!$K$9:$K$1273,0)),"")</f>
        <v/>
      </c>
      <c r="E125" s="312">
        <f>IFERROR(INDEX(Data!BS$9:BS$1273,MATCH($M125,Data!$K$9:$K$1273,0)),"")</f>
        <v/>
      </c>
      <c r="F125" s="312">
        <f>IFERROR(INDEX(Data!DM$9:DM$1273,MATCH($M125,Data!$K$9:$K$1273,0)),"")</f>
        <v/>
      </c>
      <c r="G125" s="312">
        <f>IFERROR(INDEX(Data!BV$9:BV$1273,MATCH($M125,Data!$K$9:$K$1273,0)),"")</f>
        <v/>
      </c>
      <c r="H125" s="312">
        <f>IFERROR(INDEX(Data!BW$9:BW$1273,MATCH($M125,Data!$K$9:$K$1273,0)),"")</f>
        <v/>
      </c>
      <c r="I125" s="312">
        <f>IFERROR(INDEX(Data!BX$9:BX$1273,MATCH($M125,Data!$K$9:$K$1273,0)),"")</f>
        <v/>
      </c>
      <c r="J125" s="312">
        <f>IFERROR(INDEX(Data!CB$9:CB$1273,MATCH($M125,Data!$K$9:$K$1273,0)),"")</f>
        <v/>
      </c>
      <c r="K125" s="329">
        <f>IFERROR(HYPERLINK(BM125,BC125),"-")</f>
        <v/>
      </c>
      <c r="L125" s="330">
        <f>IFERROR(IF(BB125=0,"-",BB125)," ")</f>
        <v/>
      </c>
      <c r="M125" s="311" t="n"/>
      <c r="N125" s="311" t="n"/>
      <c r="O125" s="311">
        <f>IFERROR(INDEX(Data!M$9:M$1273,MATCH($M125,Data!$K$9:$K$1273,0)),"")</f>
        <v/>
      </c>
      <c r="P125" s="311">
        <f>IFERROR(INDEX(Data!N$9:N$1273,MATCH($M125,Data!$K$9:$K$1273,0)),"")</f>
        <v/>
      </c>
      <c r="Q125" s="311">
        <f>IFERROR(INDEX(Data!O$9:O$1273,MATCH($M125,Data!$K$9:$K$1273,0)),"")</f>
        <v/>
      </c>
      <c r="R125" s="311">
        <f>IFERROR(INDEX(Data!P$9:P$1273,MATCH($M125,Data!$K$9:$K$1273,0)),"")</f>
        <v/>
      </c>
      <c r="S125" s="311">
        <f>IFERROR(INDEX(Data!S$9:S$1273,MATCH($M125,Data!$K$9:$K$1273,0)),"")</f>
        <v/>
      </c>
      <c r="T125" s="311">
        <f>IFERROR(INDEX(Data!T$9:T$1273,MATCH($M125,Data!$K$9:$K$1273,0)),"")</f>
        <v/>
      </c>
      <c r="U125" s="311">
        <f>IFERROR(INDEX(Data!U$9:U$1273,MATCH($M125,Data!$K$9:$K$1273,0)),"")</f>
        <v/>
      </c>
      <c r="V125" s="311">
        <f>IFERROR(INDEX(Data!V$9:V$1273,MATCH($M125,Data!$K$9:$K$1273,0)),"")</f>
        <v/>
      </c>
      <c r="W125" s="311">
        <f>IFERROR(INDEX(Data!W$9:W$1273,MATCH($M125,Data!$K$9:$K$1273,0)),"")</f>
        <v/>
      </c>
      <c r="X125" s="311">
        <f>IFERROR(INDEX(Data!AJ$9:AJ$1273,MATCH($M125,Data!$K$9:$K$1273,0)),"")</f>
        <v/>
      </c>
      <c r="Y125" s="311">
        <f>IFERROR(INDEX(Data!AK$9:AK$1273,MATCH($M125,Data!$K$9:$K$1273,0)),"")</f>
        <v/>
      </c>
      <c r="Z125" s="311">
        <f>IFERROR(INDEX(Data!AL$9:AL$1273,MATCH($M125,Data!$K$9:$K$1273,0)),"")</f>
        <v/>
      </c>
      <c r="AA125" s="311">
        <f>IFERROR(INDEX(Data!AM$9:AM$1273,MATCH($M125,Data!$K$9:$K$1273,0)),"")</f>
        <v/>
      </c>
      <c r="AB125" s="311">
        <f>IFERROR(INDEX(Data!AN$9:AN$1273,MATCH($M125,Data!$K$9:$K$1273,0)),"")</f>
        <v/>
      </c>
      <c r="AC125" s="312">
        <f>IFERROR(INDEX(Data!BY$9:BY$1273,MATCH($M125,Data!$K$9:$K$1273,0)),"")</f>
        <v/>
      </c>
      <c r="AD125" s="312">
        <f>IFERROR(INDEX(Data!BZ$9:BZ$1273,MATCH($M125,Data!$K$9:$K$1273,0)),"")</f>
        <v/>
      </c>
      <c r="AE125" s="312">
        <f>IFERROR(INDEX(Data!CA$9:CA$1273,MATCH($M125,Data!$K$9:$K$1273,0)),"")</f>
        <v/>
      </c>
      <c r="AF125" s="312">
        <f>IFERROR(INDEX(Data!CB$9:CB$1273,MATCH($M125,Data!$K$9:$K$1273,0)),"")</f>
        <v/>
      </c>
      <c r="AG125" s="312">
        <f>IFERROR(INDEX(Data!CC$9:CC$1273,MATCH($M125,Data!$K$9:$K$1273,0)),"")</f>
        <v/>
      </c>
      <c r="AH125" s="312">
        <f>IFERROR(INDEX(Data!CD$9:CD$1273,MATCH($M125,Data!$K$9:$K$1273,0)),"")</f>
        <v/>
      </c>
      <c r="AI125" s="312">
        <f>IFERROR(INDEX(Data!CE$9:CE$1273,MATCH($M125,Data!$K$9:$K$1273,0)),"")</f>
        <v/>
      </c>
      <c r="AJ125" s="312">
        <f>IFERROR(INDEX(Data!CF$9:CF$1273,MATCH($M125,Data!$K$9:$K$1273,0)),"")</f>
        <v/>
      </c>
      <c r="AK125" s="312">
        <f>IFERROR(INDEX(Data!CG$9:CG$1273,MATCH($M125,Data!$K$9:$K$1273,0)),"")</f>
        <v/>
      </c>
      <c r="AL125" s="312">
        <f>IFERROR(INDEX(Data!CH$9:CH$1273,MATCH($M125,Data!$K$9:$K$1273,0)),"")</f>
        <v/>
      </c>
      <c r="AM125" s="312">
        <f>IFERROR(INDEX(Data!CI$9:CI$1273,MATCH($M125,Data!$K$9:$K$1273,0)),"")</f>
        <v/>
      </c>
      <c r="AN125" s="312">
        <f>IFERROR(INDEX(Data!CJ$9:CJ$1273,MATCH($M125,Data!$K$9:$K$1273,0)),"")</f>
        <v/>
      </c>
      <c r="AO125" s="312">
        <f>IFERROR(INDEX(Data!CK$9:CK$1273,MATCH($M125,Data!$K$9:$K$1273,0)),"")</f>
        <v/>
      </c>
      <c r="AP125" s="312">
        <f>IFERROR(INDEX(Data!CL$9:CL$1273,MATCH($M125,Data!$K$9:$K$1273,0)),"")</f>
        <v/>
      </c>
      <c r="AQ125" s="312">
        <f>IFERROR(INDEX(Data!CM$9:CM$1273,MATCH($M125,Data!$K$9:$K$1273,0)),"")</f>
        <v/>
      </c>
      <c r="AR125" s="312">
        <f>IFERROR(INDEX(Data!CN$9:CN$1273,MATCH($M125,Data!$K$9:$K$1273,0)),"")</f>
        <v/>
      </c>
      <c r="AS125" s="312">
        <f>IFERROR(INDEX(Data!CO$9:CO$1273,MATCH($M125,Data!$K$9:$K$1273,0)),"")</f>
        <v/>
      </c>
      <c r="AT125" s="312">
        <f>IFERROR(INDEX(Data!CP$9:CP$1273,MATCH($M125,Data!$K$9:$K$1273,0)),"")</f>
        <v/>
      </c>
      <c r="AU125" s="312">
        <f>IFERROR(INDEX(Data!CQ$9:CQ$1273,MATCH($M125,Data!$K$9:$K$1273,0)),"")</f>
        <v/>
      </c>
      <c r="AV125" s="312">
        <f>IFERROR(INDEX(Data!CR$9:CR$1273,MATCH($M125,Data!$K$9:$K$1273,0)),"")</f>
        <v/>
      </c>
      <c r="AW125" s="312">
        <f>IFERROR(INDEX(Data!CS$9:CS$1273,MATCH($M125,Data!$K$9:$K$1273,0)),"")</f>
        <v/>
      </c>
      <c r="AX125" s="312">
        <f>IFERROR(INDEX(Data!CT$9:CT$1273,MATCH($M125,Data!$K$9:$K$1273,0)),"")</f>
        <v/>
      </c>
      <c r="AY125" s="312">
        <f>IFERROR(INDEX(Data!CU$9:CU$1273,MATCH($M125,Data!$K$9:$K$1273,0)),"")</f>
        <v/>
      </c>
      <c r="AZ125" s="312">
        <f>IFERROR(INDEX(Data!CV$9:CV$1273,MATCH($M125,Data!$K$9:$K$1273,0)),"")</f>
        <v/>
      </c>
      <c r="BA125" s="312">
        <f>IFERROR(INDEX(Data!CX$9:CX$1273,MATCH($M125,Data!$K$9:$K$1273,0)),"")</f>
        <v/>
      </c>
      <c r="BB125" s="312">
        <f>IFERROR(INDEX(Data!CY$9:CY$1273,MATCH($M125,Data!$K$9:$K$1273,0)),"")</f>
        <v/>
      </c>
      <c r="BC125" s="312">
        <f>IFERROR(INDEX(Data!CZ$9:CZ$1273,MATCH($M125,Data!$K$9:$K$1273,0)),"")</f>
        <v/>
      </c>
      <c r="BD125" s="312">
        <f>IFERROR(INDEX(Data!DA$9:DA$1273,MATCH($M125,Data!$K$9:$K$1273,0)),"")</f>
        <v/>
      </c>
      <c r="BE125" s="312">
        <f>IFERROR(INDEX(Data!DB$9:DB$1273,MATCH($M125,Data!$K$9:$K$1273,0)),"")</f>
        <v/>
      </c>
      <c r="BF125" s="312">
        <f>IFERROR(INDEX(Data!DC$9:DC$1273,MATCH($M125,Data!$K$9:$K$1273,0)),"")</f>
        <v/>
      </c>
      <c r="BG125" s="312">
        <f>IFERROR(INDEX(Data!DD$9:DD$1273,MATCH($M125,Data!$K$9:$K$1273,0)),"")</f>
        <v/>
      </c>
      <c r="BH125" s="312">
        <f>IFERROR(INDEX(Data!DE$9:DE$1273,MATCH($M125,Data!$K$9:$K$1273,0)),"")</f>
        <v/>
      </c>
      <c r="BI125" s="312">
        <f>IFERROR(INDEX(Data!DF$9:DF$1273,MATCH($M125,Data!$K$9:$K$1273,0)),"")</f>
        <v/>
      </c>
      <c r="BJ125" s="312">
        <f>IFERROR(INDEX(Data!DG$9:DG$1273,MATCH($M125,Data!$K$9:$K$1273,0)),"")</f>
        <v/>
      </c>
      <c r="BK125" s="312">
        <f>IFERROR(INDEX(Data!DH$9:DH$1273,MATCH($M125,Data!$K$9:$K$1273,0)),"")</f>
        <v/>
      </c>
      <c r="BL125" s="312">
        <f>IFERROR(INDEX(Data!DI$9:DI$1273,MATCH($M125,Data!$K$9:$K$1273,0)),"")</f>
        <v/>
      </c>
      <c r="BM125" s="312">
        <f>IFERROR(INDEX(Data!DJ$9:DJ$1273,MATCH($M125,Data!$K$9:$K$1273,0)),"")</f>
        <v/>
      </c>
      <c r="BN125" s="312">
        <f>IFERROR(INDEX(Data!DK$9:DK$1273,MATCH($M125,Data!$K$9:$K$1273,0)),"")</f>
        <v/>
      </c>
      <c r="BO125" s="312">
        <f>IFERROR(INDEX(Data!DL$9:DL$1273,MATCH($M125,Data!$K$9:$K$1273,0)),"")</f>
        <v/>
      </c>
      <c r="BP125" s="331">
        <f>IFERROR(IF(BK125=0,"-",BK125),"")</f>
        <v/>
      </c>
      <c r="BQ125" s="312">
        <f>IFERROR(IF(BP125-K125&gt;0,TRUE,FALSE)," ")</f>
        <v/>
      </c>
      <c r="BR125" s="312">
        <f>_xlfn.CONCAT(E125,F125,H125,G125)</f>
        <v/>
      </c>
      <c r="BS125" s="312">
        <f>IFERROR(INDEX(Data!$DO$9:$DO$1273,MATCH('Your recommendation'!BR125,Data!$DN$9:$DN$1273,0)),"")</f>
        <v/>
      </c>
    </row>
    <row r="126" ht="15.6" customFormat="1" customHeight="1" s="138">
      <c r="B126" s="309">
        <f>IF(C126&gt;0,B125+1,"")</f>
        <v/>
      </c>
      <c r="C126" s="310" t="n"/>
      <c r="D126" s="312">
        <f>IFERROR(INDEX(Data!BR$9:BR$1273,MATCH($M126,Data!$K$9:$K$1273,0)),"")</f>
        <v/>
      </c>
      <c r="E126" s="312">
        <f>IFERROR(INDEX(Data!BS$9:BS$1273,MATCH($M126,Data!$K$9:$K$1273,0)),"")</f>
        <v/>
      </c>
      <c r="F126" s="312">
        <f>IFERROR(INDEX(Data!DM$9:DM$1273,MATCH($M126,Data!$K$9:$K$1273,0)),"")</f>
        <v/>
      </c>
      <c r="G126" s="312">
        <f>IFERROR(INDEX(Data!BV$9:BV$1273,MATCH($M126,Data!$K$9:$K$1273,0)),"")</f>
        <v/>
      </c>
      <c r="H126" s="312">
        <f>IFERROR(INDEX(Data!BW$9:BW$1273,MATCH($M126,Data!$K$9:$K$1273,0)),"")</f>
        <v/>
      </c>
      <c r="I126" s="312">
        <f>IFERROR(INDEX(Data!BX$9:BX$1273,MATCH($M126,Data!$K$9:$K$1273,0)),"")</f>
        <v/>
      </c>
      <c r="J126" s="312">
        <f>IFERROR(INDEX(Data!CB$9:CB$1273,MATCH($M126,Data!$K$9:$K$1273,0)),"")</f>
        <v/>
      </c>
      <c r="K126" s="329">
        <f>IFERROR(HYPERLINK(BM126,BC126),"-")</f>
        <v/>
      </c>
      <c r="L126" s="330">
        <f>IFERROR(IF(BB126=0,"-",BB126)," ")</f>
        <v/>
      </c>
      <c r="M126" s="311" t="n"/>
      <c r="N126" s="311" t="n"/>
      <c r="O126" s="311">
        <f>IFERROR(INDEX(Data!M$9:M$1273,MATCH($M126,Data!$K$9:$K$1273,0)),"")</f>
        <v/>
      </c>
      <c r="P126" s="311">
        <f>IFERROR(INDEX(Data!N$9:N$1273,MATCH($M126,Data!$K$9:$K$1273,0)),"")</f>
        <v/>
      </c>
      <c r="Q126" s="311">
        <f>IFERROR(INDEX(Data!O$9:O$1273,MATCH($M126,Data!$K$9:$K$1273,0)),"")</f>
        <v/>
      </c>
      <c r="R126" s="311">
        <f>IFERROR(INDEX(Data!P$9:P$1273,MATCH($M126,Data!$K$9:$K$1273,0)),"")</f>
        <v/>
      </c>
      <c r="S126" s="311">
        <f>IFERROR(INDEX(Data!S$9:S$1273,MATCH($M126,Data!$K$9:$K$1273,0)),"")</f>
        <v/>
      </c>
      <c r="T126" s="311">
        <f>IFERROR(INDEX(Data!T$9:T$1273,MATCH($M126,Data!$K$9:$K$1273,0)),"")</f>
        <v/>
      </c>
      <c r="U126" s="311">
        <f>IFERROR(INDEX(Data!U$9:U$1273,MATCH($M126,Data!$K$9:$K$1273,0)),"")</f>
        <v/>
      </c>
      <c r="V126" s="311">
        <f>IFERROR(INDEX(Data!V$9:V$1273,MATCH($M126,Data!$K$9:$K$1273,0)),"")</f>
        <v/>
      </c>
      <c r="W126" s="311">
        <f>IFERROR(INDEX(Data!W$9:W$1273,MATCH($M126,Data!$K$9:$K$1273,0)),"")</f>
        <v/>
      </c>
      <c r="X126" s="311">
        <f>IFERROR(INDEX(Data!AJ$9:AJ$1273,MATCH($M126,Data!$K$9:$K$1273,0)),"")</f>
        <v/>
      </c>
      <c r="Y126" s="311">
        <f>IFERROR(INDEX(Data!AK$9:AK$1273,MATCH($M126,Data!$K$9:$K$1273,0)),"")</f>
        <v/>
      </c>
      <c r="Z126" s="311">
        <f>IFERROR(INDEX(Data!AL$9:AL$1273,MATCH($M126,Data!$K$9:$K$1273,0)),"")</f>
        <v/>
      </c>
      <c r="AA126" s="311">
        <f>IFERROR(INDEX(Data!AM$9:AM$1273,MATCH($M126,Data!$K$9:$K$1273,0)),"")</f>
        <v/>
      </c>
      <c r="AB126" s="311">
        <f>IFERROR(INDEX(Data!AN$9:AN$1273,MATCH($M126,Data!$K$9:$K$1273,0)),"")</f>
        <v/>
      </c>
      <c r="AC126" s="312">
        <f>IFERROR(INDEX(Data!BY$9:BY$1273,MATCH($M126,Data!$K$9:$K$1273,0)),"")</f>
        <v/>
      </c>
      <c r="AD126" s="312">
        <f>IFERROR(INDEX(Data!BZ$9:BZ$1273,MATCH($M126,Data!$K$9:$K$1273,0)),"")</f>
        <v/>
      </c>
      <c r="AE126" s="312">
        <f>IFERROR(INDEX(Data!CA$9:CA$1273,MATCH($M126,Data!$K$9:$K$1273,0)),"")</f>
        <v/>
      </c>
      <c r="AF126" s="312">
        <f>IFERROR(INDEX(Data!CB$9:CB$1273,MATCH($M126,Data!$K$9:$K$1273,0)),"")</f>
        <v/>
      </c>
      <c r="AG126" s="312">
        <f>IFERROR(INDEX(Data!CC$9:CC$1273,MATCH($M126,Data!$K$9:$K$1273,0)),"")</f>
        <v/>
      </c>
      <c r="AH126" s="312">
        <f>IFERROR(INDEX(Data!CD$9:CD$1273,MATCH($M126,Data!$K$9:$K$1273,0)),"")</f>
        <v/>
      </c>
      <c r="AI126" s="312">
        <f>IFERROR(INDEX(Data!CE$9:CE$1273,MATCH($M126,Data!$K$9:$K$1273,0)),"")</f>
        <v/>
      </c>
      <c r="AJ126" s="312">
        <f>IFERROR(INDEX(Data!CF$9:CF$1273,MATCH($M126,Data!$K$9:$K$1273,0)),"")</f>
        <v/>
      </c>
      <c r="AK126" s="312">
        <f>IFERROR(INDEX(Data!CG$9:CG$1273,MATCH($M126,Data!$K$9:$K$1273,0)),"")</f>
        <v/>
      </c>
      <c r="AL126" s="312">
        <f>IFERROR(INDEX(Data!CH$9:CH$1273,MATCH($M126,Data!$K$9:$K$1273,0)),"")</f>
        <v/>
      </c>
      <c r="AM126" s="312">
        <f>IFERROR(INDEX(Data!CI$9:CI$1273,MATCH($M126,Data!$K$9:$K$1273,0)),"")</f>
        <v/>
      </c>
      <c r="AN126" s="312">
        <f>IFERROR(INDEX(Data!CJ$9:CJ$1273,MATCH($M126,Data!$K$9:$K$1273,0)),"")</f>
        <v/>
      </c>
      <c r="AO126" s="312">
        <f>IFERROR(INDEX(Data!CK$9:CK$1273,MATCH($M126,Data!$K$9:$K$1273,0)),"")</f>
        <v/>
      </c>
      <c r="AP126" s="312">
        <f>IFERROR(INDEX(Data!CL$9:CL$1273,MATCH($M126,Data!$K$9:$K$1273,0)),"")</f>
        <v/>
      </c>
      <c r="AQ126" s="312">
        <f>IFERROR(INDEX(Data!CM$9:CM$1273,MATCH($M126,Data!$K$9:$K$1273,0)),"")</f>
        <v/>
      </c>
      <c r="AR126" s="312">
        <f>IFERROR(INDEX(Data!CN$9:CN$1273,MATCH($M126,Data!$K$9:$K$1273,0)),"")</f>
        <v/>
      </c>
      <c r="AS126" s="312">
        <f>IFERROR(INDEX(Data!CO$9:CO$1273,MATCH($M126,Data!$K$9:$K$1273,0)),"")</f>
        <v/>
      </c>
      <c r="AT126" s="312">
        <f>IFERROR(INDEX(Data!CP$9:CP$1273,MATCH($M126,Data!$K$9:$K$1273,0)),"")</f>
        <v/>
      </c>
      <c r="AU126" s="312">
        <f>IFERROR(INDEX(Data!CQ$9:CQ$1273,MATCH($M126,Data!$K$9:$K$1273,0)),"")</f>
        <v/>
      </c>
      <c r="AV126" s="312">
        <f>IFERROR(INDEX(Data!CR$9:CR$1273,MATCH($M126,Data!$K$9:$K$1273,0)),"")</f>
        <v/>
      </c>
      <c r="AW126" s="312">
        <f>IFERROR(INDEX(Data!CS$9:CS$1273,MATCH($M126,Data!$K$9:$K$1273,0)),"")</f>
        <v/>
      </c>
      <c r="AX126" s="312">
        <f>IFERROR(INDEX(Data!CT$9:CT$1273,MATCH($M126,Data!$K$9:$K$1273,0)),"")</f>
        <v/>
      </c>
      <c r="AY126" s="312">
        <f>IFERROR(INDEX(Data!CU$9:CU$1273,MATCH($M126,Data!$K$9:$K$1273,0)),"")</f>
        <v/>
      </c>
      <c r="AZ126" s="312">
        <f>IFERROR(INDEX(Data!CV$9:CV$1273,MATCH($M126,Data!$K$9:$K$1273,0)),"")</f>
        <v/>
      </c>
      <c r="BA126" s="312">
        <f>IFERROR(INDEX(Data!CX$9:CX$1273,MATCH($M126,Data!$K$9:$K$1273,0)),"")</f>
        <v/>
      </c>
      <c r="BB126" s="312">
        <f>IFERROR(INDEX(Data!CY$9:CY$1273,MATCH($M126,Data!$K$9:$K$1273,0)),"")</f>
        <v/>
      </c>
      <c r="BC126" s="312">
        <f>IFERROR(INDEX(Data!CZ$9:CZ$1273,MATCH($M126,Data!$K$9:$K$1273,0)),"")</f>
        <v/>
      </c>
      <c r="BD126" s="312">
        <f>IFERROR(INDEX(Data!DA$9:DA$1273,MATCH($M126,Data!$K$9:$K$1273,0)),"")</f>
        <v/>
      </c>
      <c r="BE126" s="312">
        <f>IFERROR(INDEX(Data!DB$9:DB$1273,MATCH($M126,Data!$K$9:$K$1273,0)),"")</f>
        <v/>
      </c>
      <c r="BF126" s="312">
        <f>IFERROR(INDEX(Data!DC$9:DC$1273,MATCH($M126,Data!$K$9:$K$1273,0)),"")</f>
        <v/>
      </c>
      <c r="BG126" s="312">
        <f>IFERROR(INDEX(Data!DD$9:DD$1273,MATCH($M126,Data!$K$9:$K$1273,0)),"")</f>
        <v/>
      </c>
      <c r="BH126" s="312">
        <f>IFERROR(INDEX(Data!DE$9:DE$1273,MATCH($M126,Data!$K$9:$K$1273,0)),"")</f>
        <v/>
      </c>
      <c r="BI126" s="312">
        <f>IFERROR(INDEX(Data!DF$9:DF$1273,MATCH($M126,Data!$K$9:$K$1273,0)),"")</f>
        <v/>
      </c>
      <c r="BJ126" s="312">
        <f>IFERROR(INDEX(Data!DG$9:DG$1273,MATCH($M126,Data!$K$9:$K$1273,0)),"")</f>
        <v/>
      </c>
      <c r="BK126" s="312">
        <f>IFERROR(INDEX(Data!DH$9:DH$1273,MATCH($M126,Data!$K$9:$K$1273,0)),"")</f>
        <v/>
      </c>
      <c r="BL126" s="312">
        <f>IFERROR(INDEX(Data!DI$9:DI$1273,MATCH($M126,Data!$K$9:$K$1273,0)),"")</f>
        <v/>
      </c>
      <c r="BM126" s="312">
        <f>IFERROR(INDEX(Data!DJ$9:DJ$1273,MATCH($M126,Data!$K$9:$K$1273,0)),"")</f>
        <v/>
      </c>
      <c r="BN126" s="312">
        <f>IFERROR(INDEX(Data!DK$9:DK$1273,MATCH($M126,Data!$K$9:$K$1273,0)),"")</f>
        <v/>
      </c>
      <c r="BO126" s="312">
        <f>IFERROR(INDEX(Data!DL$9:DL$1273,MATCH($M126,Data!$K$9:$K$1273,0)),"")</f>
        <v/>
      </c>
      <c r="BP126" s="331">
        <f>IFERROR(IF(BK126=0,"-",BK126),"")</f>
        <v/>
      </c>
      <c r="BQ126" s="312">
        <f>IFERROR(IF(BP126-K126&gt;0,TRUE,FALSE)," ")</f>
        <v/>
      </c>
      <c r="BR126" s="312">
        <f>_xlfn.CONCAT(E126,F126,H126,G126)</f>
        <v/>
      </c>
      <c r="BS126" s="312">
        <f>IFERROR(INDEX(Data!$DO$9:$DO$1273,MATCH('Your recommendation'!BR126,Data!$DN$9:$DN$1273,0)),"")</f>
        <v/>
      </c>
    </row>
    <row r="127" ht="15.6" customFormat="1" customHeight="1" s="138">
      <c r="B127" s="309">
        <f>IF(C127&gt;0,B126+1,"")</f>
        <v/>
      </c>
      <c r="C127" s="310" t="n"/>
      <c r="D127" s="312">
        <f>IFERROR(INDEX(Data!BR$9:BR$1273,MATCH($M127,Data!$K$9:$K$1273,0)),"")</f>
        <v/>
      </c>
      <c r="E127" s="312">
        <f>IFERROR(INDEX(Data!BS$9:BS$1273,MATCH($M127,Data!$K$9:$K$1273,0)),"")</f>
        <v/>
      </c>
      <c r="F127" s="312">
        <f>IFERROR(INDEX(Data!DM$9:DM$1273,MATCH($M127,Data!$K$9:$K$1273,0)),"")</f>
        <v/>
      </c>
      <c r="G127" s="312">
        <f>IFERROR(INDEX(Data!BV$9:BV$1273,MATCH($M127,Data!$K$9:$K$1273,0)),"")</f>
        <v/>
      </c>
      <c r="H127" s="312">
        <f>IFERROR(INDEX(Data!BW$9:BW$1273,MATCH($M127,Data!$K$9:$K$1273,0)),"")</f>
        <v/>
      </c>
      <c r="I127" s="312">
        <f>IFERROR(INDEX(Data!BX$9:BX$1273,MATCH($M127,Data!$K$9:$K$1273,0)),"")</f>
        <v/>
      </c>
      <c r="J127" s="312">
        <f>IFERROR(INDEX(Data!CB$9:CB$1273,MATCH($M127,Data!$K$9:$K$1273,0)),"")</f>
        <v/>
      </c>
      <c r="K127" s="329">
        <f>IFERROR(HYPERLINK(BM127,BC127),"-")</f>
        <v/>
      </c>
      <c r="L127" s="330">
        <f>IFERROR(IF(BB127=0,"-",BB127)," ")</f>
        <v/>
      </c>
      <c r="M127" s="311" t="n"/>
      <c r="N127" s="311" t="n"/>
      <c r="O127" s="311">
        <f>IFERROR(INDEX(Data!M$9:M$1273,MATCH($M127,Data!$K$9:$K$1273,0)),"")</f>
        <v/>
      </c>
      <c r="P127" s="311">
        <f>IFERROR(INDEX(Data!N$9:N$1273,MATCH($M127,Data!$K$9:$K$1273,0)),"")</f>
        <v/>
      </c>
      <c r="Q127" s="311">
        <f>IFERROR(INDEX(Data!O$9:O$1273,MATCH($M127,Data!$K$9:$K$1273,0)),"")</f>
        <v/>
      </c>
      <c r="R127" s="311">
        <f>IFERROR(INDEX(Data!P$9:P$1273,MATCH($M127,Data!$K$9:$K$1273,0)),"")</f>
        <v/>
      </c>
      <c r="S127" s="311">
        <f>IFERROR(INDEX(Data!S$9:S$1273,MATCH($M127,Data!$K$9:$K$1273,0)),"")</f>
        <v/>
      </c>
      <c r="T127" s="311">
        <f>IFERROR(INDEX(Data!T$9:T$1273,MATCH($M127,Data!$K$9:$K$1273,0)),"")</f>
        <v/>
      </c>
      <c r="U127" s="311">
        <f>IFERROR(INDEX(Data!U$9:U$1273,MATCH($M127,Data!$K$9:$K$1273,0)),"")</f>
        <v/>
      </c>
      <c r="V127" s="311">
        <f>IFERROR(INDEX(Data!V$9:V$1273,MATCH($M127,Data!$K$9:$K$1273,0)),"")</f>
        <v/>
      </c>
      <c r="W127" s="311">
        <f>IFERROR(INDEX(Data!W$9:W$1273,MATCH($M127,Data!$K$9:$K$1273,0)),"")</f>
        <v/>
      </c>
      <c r="X127" s="311">
        <f>IFERROR(INDEX(Data!AJ$9:AJ$1273,MATCH($M127,Data!$K$9:$K$1273,0)),"")</f>
        <v/>
      </c>
      <c r="Y127" s="311">
        <f>IFERROR(INDEX(Data!AK$9:AK$1273,MATCH($M127,Data!$K$9:$K$1273,0)),"")</f>
        <v/>
      </c>
      <c r="Z127" s="311">
        <f>IFERROR(INDEX(Data!AL$9:AL$1273,MATCH($M127,Data!$K$9:$K$1273,0)),"")</f>
        <v/>
      </c>
      <c r="AA127" s="311">
        <f>IFERROR(INDEX(Data!AM$9:AM$1273,MATCH($M127,Data!$K$9:$K$1273,0)),"")</f>
        <v/>
      </c>
      <c r="AB127" s="311">
        <f>IFERROR(INDEX(Data!AN$9:AN$1273,MATCH($M127,Data!$K$9:$K$1273,0)),"")</f>
        <v/>
      </c>
      <c r="AC127" s="312">
        <f>IFERROR(INDEX(Data!BY$9:BY$1273,MATCH($M127,Data!$K$9:$K$1273,0)),"")</f>
        <v/>
      </c>
      <c r="AD127" s="312">
        <f>IFERROR(INDEX(Data!BZ$9:BZ$1273,MATCH($M127,Data!$K$9:$K$1273,0)),"")</f>
        <v/>
      </c>
      <c r="AE127" s="312">
        <f>IFERROR(INDEX(Data!CA$9:CA$1273,MATCH($M127,Data!$K$9:$K$1273,0)),"")</f>
        <v/>
      </c>
      <c r="AF127" s="312">
        <f>IFERROR(INDEX(Data!CB$9:CB$1273,MATCH($M127,Data!$K$9:$K$1273,0)),"")</f>
        <v/>
      </c>
      <c r="AG127" s="312">
        <f>IFERROR(INDEX(Data!CC$9:CC$1273,MATCH($M127,Data!$K$9:$K$1273,0)),"")</f>
        <v/>
      </c>
      <c r="AH127" s="312">
        <f>IFERROR(INDEX(Data!CD$9:CD$1273,MATCH($M127,Data!$K$9:$K$1273,0)),"")</f>
        <v/>
      </c>
      <c r="AI127" s="312">
        <f>IFERROR(INDEX(Data!CE$9:CE$1273,MATCH($M127,Data!$K$9:$K$1273,0)),"")</f>
        <v/>
      </c>
      <c r="AJ127" s="312">
        <f>IFERROR(INDEX(Data!CF$9:CF$1273,MATCH($M127,Data!$K$9:$K$1273,0)),"")</f>
        <v/>
      </c>
      <c r="AK127" s="312">
        <f>IFERROR(INDEX(Data!CG$9:CG$1273,MATCH($M127,Data!$K$9:$K$1273,0)),"")</f>
        <v/>
      </c>
      <c r="AL127" s="312">
        <f>IFERROR(INDEX(Data!CH$9:CH$1273,MATCH($M127,Data!$K$9:$K$1273,0)),"")</f>
        <v/>
      </c>
      <c r="AM127" s="312">
        <f>IFERROR(INDEX(Data!CI$9:CI$1273,MATCH($M127,Data!$K$9:$K$1273,0)),"")</f>
        <v/>
      </c>
      <c r="AN127" s="312">
        <f>IFERROR(INDEX(Data!CJ$9:CJ$1273,MATCH($M127,Data!$K$9:$K$1273,0)),"")</f>
        <v/>
      </c>
      <c r="AO127" s="312">
        <f>IFERROR(INDEX(Data!CK$9:CK$1273,MATCH($M127,Data!$K$9:$K$1273,0)),"")</f>
        <v/>
      </c>
      <c r="AP127" s="312">
        <f>IFERROR(INDEX(Data!CL$9:CL$1273,MATCH($M127,Data!$K$9:$K$1273,0)),"")</f>
        <v/>
      </c>
      <c r="AQ127" s="312">
        <f>IFERROR(INDEX(Data!CM$9:CM$1273,MATCH($M127,Data!$K$9:$K$1273,0)),"")</f>
        <v/>
      </c>
      <c r="AR127" s="312">
        <f>IFERROR(INDEX(Data!CN$9:CN$1273,MATCH($M127,Data!$K$9:$K$1273,0)),"")</f>
        <v/>
      </c>
      <c r="AS127" s="312">
        <f>IFERROR(INDEX(Data!CO$9:CO$1273,MATCH($M127,Data!$K$9:$K$1273,0)),"")</f>
        <v/>
      </c>
      <c r="AT127" s="312">
        <f>IFERROR(INDEX(Data!CP$9:CP$1273,MATCH($M127,Data!$K$9:$K$1273,0)),"")</f>
        <v/>
      </c>
      <c r="AU127" s="312">
        <f>IFERROR(INDEX(Data!CQ$9:CQ$1273,MATCH($M127,Data!$K$9:$K$1273,0)),"")</f>
        <v/>
      </c>
      <c r="AV127" s="312">
        <f>IFERROR(INDEX(Data!CR$9:CR$1273,MATCH($M127,Data!$K$9:$K$1273,0)),"")</f>
        <v/>
      </c>
      <c r="AW127" s="312">
        <f>IFERROR(INDEX(Data!CS$9:CS$1273,MATCH($M127,Data!$K$9:$K$1273,0)),"")</f>
        <v/>
      </c>
      <c r="AX127" s="312">
        <f>IFERROR(INDEX(Data!CT$9:CT$1273,MATCH($M127,Data!$K$9:$K$1273,0)),"")</f>
        <v/>
      </c>
      <c r="AY127" s="312">
        <f>IFERROR(INDEX(Data!CU$9:CU$1273,MATCH($M127,Data!$K$9:$K$1273,0)),"")</f>
        <v/>
      </c>
      <c r="AZ127" s="312">
        <f>IFERROR(INDEX(Data!CV$9:CV$1273,MATCH($M127,Data!$K$9:$K$1273,0)),"")</f>
        <v/>
      </c>
      <c r="BA127" s="312">
        <f>IFERROR(INDEX(Data!CX$9:CX$1273,MATCH($M127,Data!$K$9:$K$1273,0)),"")</f>
        <v/>
      </c>
      <c r="BB127" s="312">
        <f>IFERROR(INDEX(Data!CY$9:CY$1273,MATCH($M127,Data!$K$9:$K$1273,0)),"")</f>
        <v/>
      </c>
      <c r="BC127" s="312">
        <f>IFERROR(INDEX(Data!CZ$9:CZ$1273,MATCH($M127,Data!$K$9:$K$1273,0)),"")</f>
        <v/>
      </c>
      <c r="BD127" s="312">
        <f>IFERROR(INDEX(Data!DA$9:DA$1273,MATCH($M127,Data!$K$9:$K$1273,0)),"")</f>
        <v/>
      </c>
      <c r="BE127" s="312">
        <f>IFERROR(INDEX(Data!DB$9:DB$1273,MATCH($M127,Data!$K$9:$K$1273,0)),"")</f>
        <v/>
      </c>
      <c r="BF127" s="312">
        <f>IFERROR(INDEX(Data!DC$9:DC$1273,MATCH($M127,Data!$K$9:$K$1273,0)),"")</f>
        <v/>
      </c>
      <c r="BG127" s="312">
        <f>IFERROR(INDEX(Data!DD$9:DD$1273,MATCH($M127,Data!$K$9:$K$1273,0)),"")</f>
        <v/>
      </c>
      <c r="BH127" s="312">
        <f>IFERROR(INDEX(Data!DE$9:DE$1273,MATCH($M127,Data!$K$9:$K$1273,0)),"")</f>
        <v/>
      </c>
      <c r="BI127" s="312">
        <f>IFERROR(INDEX(Data!DF$9:DF$1273,MATCH($M127,Data!$K$9:$K$1273,0)),"")</f>
        <v/>
      </c>
      <c r="BJ127" s="312">
        <f>IFERROR(INDEX(Data!DG$9:DG$1273,MATCH($M127,Data!$K$9:$K$1273,0)),"")</f>
        <v/>
      </c>
      <c r="BK127" s="312">
        <f>IFERROR(INDEX(Data!DH$9:DH$1273,MATCH($M127,Data!$K$9:$K$1273,0)),"")</f>
        <v/>
      </c>
      <c r="BL127" s="312">
        <f>IFERROR(INDEX(Data!DI$9:DI$1273,MATCH($M127,Data!$K$9:$K$1273,0)),"")</f>
        <v/>
      </c>
      <c r="BM127" s="312">
        <f>IFERROR(INDEX(Data!DJ$9:DJ$1273,MATCH($M127,Data!$K$9:$K$1273,0)),"")</f>
        <v/>
      </c>
      <c r="BN127" s="312">
        <f>IFERROR(INDEX(Data!DK$9:DK$1273,MATCH($M127,Data!$K$9:$K$1273,0)),"")</f>
        <v/>
      </c>
      <c r="BO127" s="312">
        <f>IFERROR(INDEX(Data!DL$9:DL$1273,MATCH($M127,Data!$K$9:$K$1273,0)),"")</f>
        <v/>
      </c>
      <c r="BP127" s="331">
        <f>IFERROR(IF(BK127=0,"-",BK127),"")</f>
        <v/>
      </c>
      <c r="BQ127" s="312">
        <f>IFERROR(IF(BP127-K127&gt;0,TRUE,FALSE)," ")</f>
        <v/>
      </c>
      <c r="BR127" s="312">
        <f>_xlfn.CONCAT(E127,F127,H127,G127)</f>
        <v/>
      </c>
      <c r="BS127" s="312">
        <f>IFERROR(INDEX(Data!$DO$9:$DO$1273,MATCH('Your recommendation'!BR127,Data!$DN$9:$DN$1273,0)),"")</f>
        <v/>
      </c>
    </row>
    <row r="128" ht="15.6" customFormat="1" customHeight="1" s="138">
      <c r="B128" s="309">
        <f>IF(C128&gt;0,B127+1,"")</f>
        <v/>
      </c>
      <c r="C128" s="310" t="n"/>
      <c r="D128" s="312">
        <f>IFERROR(INDEX(Data!BR$9:BR$1273,MATCH($M128,Data!$K$9:$K$1273,0)),"")</f>
        <v/>
      </c>
      <c r="E128" s="312">
        <f>IFERROR(INDEX(Data!BS$9:BS$1273,MATCH($M128,Data!$K$9:$K$1273,0)),"")</f>
        <v/>
      </c>
      <c r="F128" s="312">
        <f>IFERROR(INDEX(Data!DM$9:DM$1273,MATCH($M128,Data!$K$9:$K$1273,0)),"")</f>
        <v/>
      </c>
      <c r="G128" s="312">
        <f>IFERROR(INDEX(Data!BV$9:BV$1273,MATCH($M128,Data!$K$9:$K$1273,0)),"")</f>
        <v/>
      </c>
      <c r="H128" s="312">
        <f>IFERROR(INDEX(Data!BW$9:BW$1273,MATCH($M128,Data!$K$9:$K$1273,0)),"")</f>
        <v/>
      </c>
      <c r="I128" s="312">
        <f>IFERROR(INDEX(Data!BX$9:BX$1273,MATCH($M128,Data!$K$9:$K$1273,0)),"")</f>
        <v/>
      </c>
      <c r="J128" s="312">
        <f>IFERROR(INDEX(Data!CB$9:CB$1273,MATCH($M128,Data!$K$9:$K$1273,0)),"")</f>
        <v/>
      </c>
      <c r="K128" s="329">
        <f>IFERROR(HYPERLINK(BM128,BC128),"-")</f>
        <v/>
      </c>
      <c r="L128" s="330">
        <f>IFERROR(IF(BB128=0,"-",BB128)," ")</f>
        <v/>
      </c>
      <c r="M128" s="311" t="n"/>
      <c r="N128" s="311" t="n"/>
      <c r="O128" s="311">
        <f>IFERROR(INDEX(Data!M$9:M$1273,MATCH($M128,Data!$K$9:$K$1273,0)),"")</f>
        <v/>
      </c>
      <c r="P128" s="311">
        <f>IFERROR(INDEX(Data!N$9:N$1273,MATCH($M128,Data!$K$9:$K$1273,0)),"")</f>
        <v/>
      </c>
      <c r="Q128" s="311">
        <f>IFERROR(INDEX(Data!O$9:O$1273,MATCH($M128,Data!$K$9:$K$1273,0)),"")</f>
        <v/>
      </c>
      <c r="R128" s="311">
        <f>IFERROR(INDEX(Data!P$9:P$1273,MATCH($M128,Data!$K$9:$K$1273,0)),"")</f>
        <v/>
      </c>
      <c r="S128" s="311">
        <f>IFERROR(INDEX(Data!S$9:S$1273,MATCH($M128,Data!$K$9:$K$1273,0)),"")</f>
        <v/>
      </c>
      <c r="T128" s="311">
        <f>IFERROR(INDEX(Data!T$9:T$1273,MATCH($M128,Data!$K$9:$K$1273,0)),"")</f>
        <v/>
      </c>
      <c r="U128" s="311">
        <f>IFERROR(INDEX(Data!U$9:U$1273,MATCH($M128,Data!$K$9:$K$1273,0)),"")</f>
        <v/>
      </c>
      <c r="V128" s="311">
        <f>IFERROR(INDEX(Data!V$9:V$1273,MATCH($M128,Data!$K$9:$K$1273,0)),"")</f>
        <v/>
      </c>
      <c r="W128" s="311">
        <f>IFERROR(INDEX(Data!W$9:W$1273,MATCH($M128,Data!$K$9:$K$1273,0)),"")</f>
        <v/>
      </c>
      <c r="X128" s="311">
        <f>IFERROR(INDEX(Data!AJ$9:AJ$1273,MATCH($M128,Data!$K$9:$K$1273,0)),"")</f>
        <v/>
      </c>
      <c r="Y128" s="311">
        <f>IFERROR(INDEX(Data!AK$9:AK$1273,MATCH($M128,Data!$K$9:$K$1273,0)),"")</f>
        <v/>
      </c>
      <c r="Z128" s="311">
        <f>IFERROR(INDEX(Data!AL$9:AL$1273,MATCH($M128,Data!$K$9:$K$1273,0)),"")</f>
        <v/>
      </c>
      <c r="AA128" s="311">
        <f>IFERROR(INDEX(Data!AM$9:AM$1273,MATCH($M128,Data!$K$9:$K$1273,0)),"")</f>
        <v/>
      </c>
      <c r="AB128" s="311">
        <f>IFERROR(INDEX(Data!AN$9:AN$1273,MATCH($M128,Data!$K$9:$K$1273,0)),"")</f>
        <v/>
      </c>
      <c r="AC128" s="312">
        <f>IFERROR(INDEX(Data!BY$9:BY$1273,MATCH($M128,Data!$K$9:$K$1273,0)),"")</f>
        <v/>
      </c>
      <c r="AD128" s="312">
        <f>IFERROR(INDEX(Data!BZ$9:BZ$1273,MATCH($M128,Data!$K$9:$K$1273,0)),"")</f>
        <v/>
      </c>
      <c r="AE128" s="312">
        <f>IFERROR(INDEX(Data!CA$9:CA$1273,MATCH($M128,Data!$K$9:$K$1273,0)),"")</f>
        <v/>
      </c>
      <c r="AF128" s="312">
        <f>IFERROR(INDEX(Data!CB$9:CB$1273,MATCH($M128,Data!$K$9:$K$1273,0)),"")</f>
        <v/>
      </c>
      <c r="AG128" s="312">
        <f>IFERROR(INDEX(Data!CC$9:CC$1273,MATCH($M128,Data!$K$9:$K$1273,0)),"")</f>
        <v/>
      </c>
      <c r="AH128" s="312">
        <f>IFERROR(INDEX(Data!CD$9:CD$1273,MATCH($M128,Data!$K$9:$K$1273,0)),"")</f>
        <v/>
      </c>
      <c r="AI128" s="312">
        <f>IFERROR(INDEX(Data!CE$9:CE$1273,MATCH($M128,Data!$K$9:$K$1273,0)),"")</f>
        <v/>
      </c>
      <c r="AJ128" s="312">
        <f>IFERROR(INDEX(Data!CF$9:CF$1273,MATCH($M128,Data!$K$9:$K$1273,0)),"")</f>
        <v/>
      </c>
      <c r="AK128" s="312">
        <f>IFERROR(INDEX(Data!CG$9:CG$1273,MATCH($M128,Data!$K$9:$K$1273,0)),"")</f>
        <v/>
      </c>
      <c r="AL128" s="312">
        <f>IFERROR(INDEX(Data!CH$9:CH$1273,MATCH($M128,Data!$K$9:$K$1273,0)),"")</f>
        <v/>
      </c>
      <c r="AM128" s="312">
        <f>IFERROR(INDEX(Data!CI$9:CI$1273,MATCH($M128,Data!$K$9:$K$1273,0)),"")</f>
        <v/>
      </c>
      <c r="AN128" s="312">
        <f>IFERROR(INDEX(Data!CJ$9:CJ$1273,MATCH($M128,Data!$K$9:$K$1273,0)),"")</f>
        <v/>
      </c>
      <c r="AO128" s="312">
        <f>IFERROR(INDEX(Data!CK$9:CK$1273,MATCH($M128,Data!$K$9:$K$1273,0)),"")</f>
        <v/>
      </c>
      <c r="AP128" s="312">
        <f>IFERROR(INDEX(Data!CL$9:CL$1273,MATCH($M128,Data!$K$9:$K$1273,0)),"")</f>
        <v/>
      </c>
      <c r="AQ128" s="312">
        <f>IFERROR(INDEX(Data!CM$9:CM$1273,MATCH($M128,Data!$K$9:$K$1273,0)),"")</f>
        <v/>
      </c>
      <c r="AR128" s="312">
        <f>IFERROR(INDEX(Data!CN$9:CN$1273,MATCH($M128,Data!$K$9:$K$1273,0)),"")</f>
        <v/>
      </c>
      <c r="AS128" s="312">
        <f>IFERROR(INDEX(Data!CO$9:CO$1273,MATCH($M128,Data!$K$9:$K$1273,0)),"")</f>
        <v/>
      </c>
      <c r="AT128" s="312">
        <f>IFERROR(INDEX(Data!CP$9:CP$1273,MATCH($M128,Data!$K$9:$K$1273,0)),"")</f>
        <v/>
      </c>
      <c r="AU128" s="312">
        <f>IFERROR(INDEX(Data!CQ$9:CQ$1273,MATCH($M128,Data!$K$9:$K$1273,0)),"")</f>
        <v/>
      </c>
      <c r="AV128" s="312">
        <f>IFERROR(INDEX(Data!CR$9:CR$1273,MATCH($M128,Data!$K$9:$K$1273,0)),"")</f>
        <v/>
      </c>
      <c r="AW128" s="312">
        <f>IFERROR(INDEX(Data!CS$9:CS$1273,MATCH($M128,Data!$K$9:$K$1273,0)),"")</f>
        <v/>
      </c>
      <c r="AX128" s="312">
        <f>IFERROR(INDEX(Data!CT$9:CT$1273,MATCH($M128,Data!$K$9:$K$1273,0)),"")</f>
        <v/>
      </c>
      <c r="AY128" s="312">
        <f>IFERROR(INDEX(Data!CU$9:CU$1273,MATCH($M128,Data!$K$9:$K$1273,0)),"")</f>
        <v/>
      </c>
      <c r="AZ128" s="312">
        <f>IFERROR(INDEX(Data!CV$9:CV$1273,MATCH($M128,Data!$K$9:$K$1273,0)),"")</f>
        <v/>
      </c>
      <c r="BA128" s="312">
        <f>IFERROR(INDEX(Data!CX$9:CX$1273,MATCH($M128,Data!$K$9:$K$1273,0)),"")</f>
        <v/>
      </c>
      <c r="BB128" s="312">
        <f>IFERROR(INDEX(Data!CY$9:CY$1273,MATCH($M128,Data!$K$9:$K$1273,0)),"")</f>
        <v/>
      </c>
      <c r="BC128" s="312">
        <f>IFERROR(INDEX(Data!CZ$9:CZ$1273,MATCH($M128,Data!$K$9:$K$1273,0)),"")</f>
        <v/>
      </c>
      <c r="BD128" s="312">
        <f>IFERROR(INDEX(Data!DA$9:DA$1273,MATCH($M128,Data!$K$9:$K$1273,0)),"")</f>
        <v/>
      </c>
      <c r="BE128" s="312">
        <f>IFERROR(INDEX(Data!DB$9:DB$1273,MATCH($M128,Data!$K$9:$K$1273,0)),"")</f>
        <v/>
      </c>
      <c r="BF128" s="312">
        <f>IFERROR(INDEX(Data!DC$9:DC$1273,MATCH($M128,Data!$K$9:$K$1273,0)),"")</f>
        <v/>
      </c>
      <c r="BG128" s="312">
        <f>IFERROR(INDEX(Data!DD$9:DD$1273,MATCH($M128,Data!$K$9:$K$1273,0)),"")</f>
        <v/>
      </c>
      <c r="BH128" s="312">
        <f>IFERROR(INDEX(Data!DE$9:DE$1273,MATCH($M128,Data!$K$9:$K$1273,0)),"")</f>
        <v/>
      </c>
      <c r="BI128" s="312">
        <f>IFERROR(INDEX(Data!DF$9:DF$1273,MATCH($M128,Data!$K$9:$K$1273,0)),"")</f>
        <v/>
      </c>
      <c r="BJ128" s="312">
        <f>IFERROR(INDEX(Data!DG$9:DG$1273,MATCH($M128,Data!$K$9:$K$1273,0)),"")</f>
        <v/>
      </c>
      <c r="BK128" s="312">
        <f>IFERROR(INDEX(Data!DH$9:DH$1273,MATCH($M128,Data!$K$9:$K$1273,0)),"")</f>
        <v/>
      </c>
      <c r="BL128" s="312">
        <f>IFERROR(INDEX(Data!DI$9:DI$1273,MATCH($M128,Data!$K$9:$K$1273,0)),"")</f>
        <v/>
      </c>
      <c r="BM128" s="312">
        <f>IFERROR(INDEX(Data!DJ$9:DJ$1273,MATCH($M128,Data!$K$9:$K$1273,0)),"")</f>
        <v/>
      </c>
      <c r="BN128" s="312">
        <f>IFERROR(INDEX(Data!DK$9:DK$1273,MATCH($M128,Data!$K$9:$K$1273,0)),"")</f>
        <v/>
      </c>
      <c r="BO128" s="312">
        <f>IFERROR(INDEX(Data!DL$9:DL$1273,MATCH($M128,Data!$K$9:$K$1273,0)),"")</f>
        <v/>
      </c>
      <c r="BP128" s="331">
        <f>IFERROR(IF(BK128=0,"-",BK128),"")</f>
        <v/>
      </c>
      <c r="BQ128" s="312">
        <f>IFERROR(IF(BP128-K128&gt;0,TRUE,FALSE)," ")</f>
        <v/>
      </c>
      <c r="BR128" s="312">
        <f>_xlfn.CONCAT(E128,F128,H128,G128)</f>
        <v/>
      </c>
      <c r="BS128" s="312">
        <f>IFERROR(INDEX(Data!$DO$9:$DO$1273,MATCH('Your recommendation'!BR128,Data!$DN$9:$DN$1273,0)),"")</f>
        <v/>
      </c>
    </row>
    <row r="129" ht="15.6" customFormat="1" customHeight="1" s="138">
      <c r="B129" s="309">
        <f>IF(C129&gt;0,B128+1,"")</f>
        <v/>
      </c>
      <c r="C129" s="310" t="n"/>
      <c r="D129" s="312">
        <f>IFERROR(INDEX(Data!BR$9:BR$1273,MATCH($M129,Data!$K$9:$K$1273,0)),"")</f>
        <v/>
      </c>
      <c r="E129" s="312">
        <f>IFERROR(INDEX(Data!BS$9:BS$1273,MATCH($M129,Data!$K$9:$K$1273,0)),"")</f>
        <v/>
      </c>
      <c r="F129" s="312">
        <f>IFERROR(INDEX(Data!DM$9:DM$1273,MATCH($M129,Data!$K$9:$K$1273,0)),"")</f>
        <v/>
      </c>
      <c r="G129" s="312">
        <f>IFERROR(INDEX(Data!BV$9:BV$1273,MATCH($M129,Data!$K$9:$K$1273,0)),"")</f>
        <v/>
      </c>
      <c r="H129" s="312">
        <f>IFERROR(INDEX(Data!BW$9:BW$1273,MATCH($M129,Data!$K$9:$K$1273,0)),"")</f>
        <v/>
      </c>
      <c r="I129" s="312">
        <f>IFERROR(INDEX(Data!BX$9:BX$1273,MATCH($M129,Data!$K$9:$K$1273,0)),"")</f>
        <v/>
      </c>
      <c r="J129" s="312">
        <f>IFERROR(INDEX(Data!CB$9:CB$1273,MATCH($M129,Data!$K$9:$K$1273,0)),"")</f>
        <v/>
      </c>
      <c r="K129" s="329">
        <f>IFERROR(HYPERLINK(BM129,BC129),"-")</f>
        <v/>
      </c>
      <c r="L129" s="330">
        <f>IFERROR(IF(BB129=0,"-",BB129)," ")</f>
        <v/>
      </c>
      <c r="M129" s="311" t="n"/>
      <c r="N129" s="311" t="n"/>
      <c r="O129" s="311">
        <f>IFERROR(INDEX(Data!M$9:M$1273,MATCH($M129,Data!$K$9:$K$1273,0)),"")</f>
        <v/>
      </c>
      <c r="P129" s="311">
        <f>IFERROR(INDEX(Data!N$9:N$1273,MATCH($M129,Data!$K$9:$K$1273,0)),"")</f>
        <v/>
      </c>
      <c r="Q129" s="311">
        <f>IFERROR(INDEX(Data!O$9:O$1273,MATCH($M129,Data!$K$9:$K$1273,0)),"")</f>
        <v/>
      </c>
      <c r="R129" s="311">
        <f>IFERROR(INDEX(Data!P$9:P$1273,MATCH($M129,Data!$K$9:$K$1273,0)),"")</f>
        <v/>
      </c>
      <c r="S129" s="311">
        <f>IFERROR(INDEX(Data!S$9:S$1273,MATCH($M129,Data!$K$9:$K$1273,0)),"")</f>
        <v/>
      </c>
      <c r="T129" s="311">
        <f>IFERROR(INDEX(Data!T$9:T$1273,MATCH($M129,Data!$K$9:$K$1273,0)),"")</f>
        <v/>
      </c>
      <c r="U129" s="311">
        <f>IFERROR(INDEX(Data!U$9:U$1273,MATCH($M129,Data!$K$9:$K$1273,0)),"")</f>
        <v/>
      </c>
      <c r="V129" s="311">
        <f>IFERROR(INDEX(Data!V$9:V$1273,MATCH($M129,Data!$K$9:$K$1273,0)),"")</f>
        <v/>
      </c>
      <c r="W129" s="311">
        <f>IFERROR(INDEX(Data!W$9:W$1273,MATCH($M129,Data!$K$9:$K$1273,0)),"")</f>
        <v/>
      </c>
      <c r="X129" s="311">
        <f>IFERROR(INDEX(Data!AJ$9:AJ$1273,MATCH($M129,Data!$K$9:$K$1273,0)),"")</f>
        <v/>
      </c>
      <c r="Y129" s="311">
        <f>IFERROR(INDEX(Data!AK$9:AK$1273,MATCH($M129,Data!$K$9:$K$1273,0)),"")</f>
        <v/>
      </c>
      <c r="Z129" s="311">
        <f>IFERROR(INDEX(Data!AL$9:AL$1273,MATCH($M129,Data!$K$9:$K$1273,0)),"")</f>
        <v/>
      </c>
      <c r="AA129" s="311">
        <f>IFERROR(INDEX(Data!AM$9:AM$1273,MATCH($M129,Data!$K$9:$K$1273,0)),"")</f>
        <v/>
      </c>
      <c r="AB129" s="311">
        <f>IFERROR(INDEX(Data!AN$9:AN$1273,MATCH($M129,Data!$K$9:$K$1273,0)),"")</f>
        <v/>
      </c>
      <c r="AC129" s="312">
        <f>IFERROR(INDEX(Data!BY$9:BY$1273,MATCH($M129,Data!$K$9:$K$1273,0)),"")</f>
        <v/>
      </c>
      <c r="AD129" s="312">
        <f>IFERROR(INDEX(Data!BZ$9:BZ$1273,MATCH($M129,Data!$K$9:$K$1273,0)),"")</f>
        <v/>
      </c>
      <c r="AE129" s="312">
        <f>IFERROR(INDEX(Data!CA$9:CA$1273,MATCH($M129,Data!$K$9:$K$1273,0)),"")</f>
        <v/>
      </c>
      <c r="AF129" s="312">
        <f>IFERROR(INDEX(Data!CB$9:CB$1273,MATCH($M129,Data!$K$9:$K$1273,0)),"")</f>
        <v/>
      </c>
      <c r="AG129" s="312">
        <f>IFERROR(INDEX(Data!CC$9:CC$1273,MATCH($M129,Data!$K$9:$K$1273,0)),"")</f>
        <v/>
      </c>
      <c r="AH129" s="312">
        <f>IFERROR(INDEX(Data!CD$9:CD$1273,MATCH($M129,Data!$K$9:$K$1273,0)),"")</f>
        <v/>
      </c>
      <c r="AI129" s="312">
        <f>IFERROR(INDEX(Data!CE$9:CE$1273,MATCH($M129,Data!$K$9:$K$1273,0)),"")</f>
        <v/>
      </c>
      <c r="AJ129" s="312">
        <f>IFERROR(INDEX(Data!CF$9:CF$1273,MATCH($M129,Data!$K$9:$K$1273,0)),"")</f>
        <v/>
      </c>
      <c r="AK129" s="312">
        <f>IFERROR(INDEX(Data!CG$9:CG$1273,MATCH($M129,Data!$K$9:$K$1273,0)),"")</f>
        <v/>
      </c>
      <c r="AL129" s="312">
        <f>IFERROR(INDEX(Data!CH$9:CH$1273,MATCH($M129,Data!$K$9:$K$1273,0)),"")</f>
        <v/>
      </c>
      <c r="AM129" s="312">
        <f>IFERROR(INDEX(Data!CI$9:CI$1273,MATCH($M129,Data!$K$9:$K$1273,0)),"")</f>
        <v/>
      </c>
      <c r="AN129" s="312">
        <f>IFERROR(INDEX(Data!CJ$9:CJ$1273,MATCH($M129,Data!$K$9:$K$1273,0)),"")</f>
        <v/>
      </c>
      <c r="AO129" s="312">
        <f>IFERROR(INDEX(Data!CK$9:CK$1273,MATCH($M129,Data!$K$9:$K$1273,0)),"")</f>
        <v/>
      </c>
      <c r="AP129" s="312">
        <f>IFERROR(INDEX(Data!CL$9:CL$1273,MATCH($M129,Data!$K$9:$K$1273,0)),"")</f>
        <v/>
      </c>
      <c r="AQ129" s="312">
        <f>IFERROR(INDEX(Data!CM$9:CM$1273,MATCH($M129,Data!$K$9:$K$1273,0)),"")</f>
        <v/>
      </c>
      <c r="AR129" s="312">
        <f>IFERROR(INDEX(Data!CN$9:CN$1273,MATCH($M129,Data!$K$9:$K$1273,0)),"")</f>
        <v/>
      </c>
      <c r="AS129" s="312">
        <f>IFERROR(INDEX(Data!CO$9:CO$1273,MATCH($M129,Data!$K$9:$K$1273,0)),"")</f>
        <v/>
      </c>
      <c r="AT129" s="312">
        <f>IFERROR(INDEX(Data!CP$9:CP$1273,MATCH($M129,Data!$K$9:$K$1273,0)),"")</f>
        <v/>
      </c>
      <c r="AU129" s="312">
        <f>IFERROR(INDEX(Data!CQ$9:CQ$1273,MATCH($M129,Data!$K$9:$K$1273,0)),"")</f>
        <v/>
      </c>
      <c r="AV129" s="312">
        <f>IFERROR(INDEX(Data!CR$9:CR$1273,MATCH($M129,Data!$K$9:$K$1273,0)),"")</f>
        <v/>
      </c>
      <c r="AW129" s="312">
        <f>IFERROR(INDEX(Data!CS$9:CS$1273,MATCH($M129,Data!$K$9:$K$1273,0)),"")</f>
        <v/>
      </c>
      <c r="AX129" s="312">
        <f>IFERROR(INDEX(Data!CT$9:CT$1273,MATCH($M129,Data!$K$9:$K$1273,0)),"")</f>
        <v/>
      </c>
      <c r="AY129" s="312">
        <f>IFERROR(INDEX(Data!CU$9:CU$1273,MATCH($M129,Data!$K$9:$K$1273,0)),"")</f>
        <v/>
      </c>
      <c r="AZ129" s="312">
        <f>IFERROR(INDEX(Data!CV$9:CV$1273,MATCH($M129,Data!$K$9:$K$1273,0)),"")</f>
        <v/>
      </c>
      <c r="BA129" s="312">
        <f>IFERROR(INDEX(Data!CX$9:CX$1273,MATCH($M129,Data!$K$9:$K$1273,0)),"")</f>
        <v/>
      </c>
      <c r="BB129" s="312">
        <f>IFERROR(INDEX(Data!CY$9:CY$1273,MATCH($M129,Data!$K$9:$K$1273,0)),"")</f>
        <v/>
      </c>
      <c r="BC129" s="312">
        <f>IFERROR(INDEX(Data!CZ$9:CZ$1273,MATCH($M129,Data!$K$9:$K$1273,0)),"")</f>
        <v/>
      </c>
      <c r="BD129" s="312">
        <f>IFERROR(INDEX(Data!DA$9:DA$1273,MATCH($M129,Data!$K$9:$K$1273,0)),"")</f>
        <v/>
      </c>
      <c r="BE129" s="312">
        <f>IFERROR(INDEX(Data!DB$9:DB$1273,MATCH($M129,Data!$K$9:$K$1273,0)),"")</f>
        <v/>
      </c>
      <c r="BF129" s="312">
        <f>IFERROR(INDEX(Data!DC$9:DC$1273,MATCH($M129,Data!$K$9:$K$1273,0)),"")</f>
        <v/>
      </c>
      <c r="BG129" s="312">
        <f>IFERROR(INDEX(Data!DD$9:DD$1273,MATCH($M129,Data!$K$9:$K$1273,0)),"")</f>
        <v/>
      </c>
      <c r="BH129" s="312">
        <f>IFERROR(INDEX(Data!DE$9:DE$1273,MATCH($M129,Data!$K$9:$K$1273,0)),"")</f>
        <v/>
      </c>
      <c r="BI129" s="312">
        <f>IFERROR(INDEX(Data!DF$9:DF$1273,MATCH($M129,Data!$K$9:$K$1273,0)),"")</f>
        <v/>
      </c>
      <c r="BJ129" s="312">
        <f>IFERROR(INDEX(Data!DG$9:DG$1273,MATCH($M129,Data!$K$9:$K$1273,0)),"")</f>
        <v/>
      </c>
      <c r="BK129" s="312">
        <f>IFERROR(INDEX(Data!DH$9:DH$1273,MATCH($M129,Data!$K$9:$K$1273,0)),"")</f>
        <v/>
      </c>
      <c r="BL129" s="312">
        <f>IFERROR(INDEX(Data!DI$9:DI$1273,MATCH($M129,Data!$K$9:$K$1273,0)),"")</f>
        <v/>
      </c>
      <c r="BM129" s="312">
        <f>IFERROR(INDEX(Data!DJ$9:DJ$1273,MATCH($M129,Data!$K$9:$K$1273,0)),"")</f>
        <v/>
      </c>
      <c r="BN129" s="312">
        <f>IFERROR(INDEX(Data!DK$9:DK$1273,MATCH($M129,Data!$K$9:$K$1273,0)),"")</f>
        <v/>
      </c>
      <c r="BO129" s="312">
        <f>IFERROR(INDEX(Data!DL$9:DL$1273,MATCH($M129,Data!$K$9:$K$1273,0)),"")</f>
        <v/>
      </c>
      <c r="BP129" s="331">
        <f>IFERROR(IF(BK129=0,"-",BK129),"")</f>
        <v/>
      </c>
      <c r="BQ129" s="312">
        <f>IFERROR(IF(BP129-K129&gt;0,TRUE,FALSE)," ")</f>
        <v/>
      </c>
      <c r="BR129" s="312">
        <f>_xlfn.CONCAT(E129,F129,H129,G129)</f>
        <v/>
      </c>
      <c r="BS129" s="312">
        <f>IFERROR(INDEX(Data!$DO$9:$DO$1273,MATCH('Your recommendation'!BR129,Data!$DN$9:$DN$1273,0)),"")</f>
        <v/>
      </c>
    </row>
    <row r="130" ht="15.6" customFormat="1" customHeight="1" s="138">
      <c r="B130" s="309">
        <f>IF(C130&gt;0,B129+1,"")</f>
        <v/>
      </c>
      <c r="C130" s="310" t="n"/>
      <c r="D130" s="312">
        <f>IFERROR(INDEX(Data!BR$9:BR$1273,MATCH($M130,Data!$K$9:$K$1273,0)),"")</f>
        <v/>
      </c>
      <c r="E130" s="312">
        <f>IFERROR(INDEX(Data!BS$9:BS$1273,MATCH($M130,Data!$K$9:$K$1273,0)),"")</f>
        <v/>
      </c>
      <c r="F130" s="312">
        <f>IFERROR(INDEX(Data!DM$9:DM$1273,MATCH($M130,Data!$K$9:$K$1273,0)),"")</f>
        <v/>
      </c>
      <c r="G130" s="312">
        <f>IFERROR(INDEX(Data!BV$9:BV$1273,MATCH($M130,Data!$K$9:$K$1273,0)),"")</f>
        <v/>
      </c>
      <c r="H130" s="312">
        <f>IFERROR(INDEX(Data!BW$9:BW$1273,MATCH($M130,Data!$K$9:$K$1273,0)),"")</f>
        <v/>
      </c>
      <c r="I130" s="312">
        <f>IFERROR(INDEX(Data!BX$9:BX$1273,MATCH($M130,Data!$K$9:$K$1273,0)),"")</f>
        <v/>
      </c>
      <c r="J130" s="312">
        <f>IFERROR(INDEX(Data!CB$9:CB$1273,MATCH($M130,Data!$K$9:$K$1273,0)),"")</f>
        <v/>
      </c>
      <c r="K130" s="329">
        <f>IFERROR(HYPERLINK(BM130,BC130),"-")</f>
        <v/>
      </c>
      <c r="L130" s="330">
        <f>IFERROR(IF(BB130=0,"-",BB130)," ")</f>
        <v/>
      </c>
      <c r="M130" s="311" t="n"/>
      <c r="N130" s="311" t="n"/>
      <c r="O130" s="311">
        <f>IFERROR(INDEX(Data!M$9:M$1273,MATCH($M130,Data!$K$9:$K$1273,0)),"")</f>
        <v/>
      </c>
      <c r="P130" s="311">
        <f>IFERROR(INDEX(Data!N$9:N$1273,MATCH($M130,Data!$K$9:$K$1273,0)),"")</f>
        <v/>
      </c>
      <c r="Q130" s="311">
        <f>IFERROR(INDEX(Data!O$9:O$1273,MATCH($M130,Data!$K$9:$K$1273,0)),"")</f>
        <v/>
      </c>
      <c r="R130" s="311">
        <f>IFERROR(INDEX(Data!P$9:P$1273,MATCH($M130,Data!$K$9:$K$1273,0)),"")</f>
        <v/>
      </c>
      <c r="S130" s="311">
        <f>IFERROR(INDEX(Data!S$9:S$1273,MATCH($M130,Data!$K$9:$K$1273,0)),"")</f>
        <v/>
      </c>
      <c r="T130" s="311">
        <f>IFERROR(INDEX(Data!T$9:T$1273,MATCH($M130,Data!$K$9:$K$1273,0)),"")</f>
        <v/>
      </c>
      <c r="U130" s="311">
        <f>IFERROR(INDEX(Data!U$9:U$1273,MATCH($M130,Data!$K$9:$K$1273,0)),"")</f>
        <v/>
      </c>
      <c r="V130" s="311">
        <f>IFERROR(INDEX(Data!V$9:V$1273,MATCH($M130,Data!$K$9:$K$1273,0)),"")</f>
        <v/>
      </c>
      <c r="W130" s="311">
        <f>IFERROR(INDEX(Data!W$9:W$1273,MATCH($M130,Data!$K$9:$K$1273,0)),"")</f>
        <v/>
      </c>
      <c r="X130" s="311">
        <f>IFERROR(INDEX(Data!AJ$9:AJ$1273,MATCH($M130,Data!$K$9:$K$1273,0)),"")</f>
        <v/>
      </c>
      <c r="Y130" s="311">
        <f>IFERROR(INDEX(Data!AK$9:AK$1273,MATCH($M130,Data!$K$9:$K$1273,0)),"")</f>
        <v/>
      </c>
      <c r="Z130" s="311">
        <f>IFERROR(INDEX(Data!AL$9:AL$1273,MATCH($M130,Data!$K$9:$K$1273,0)),"")</f>
        <v/>
      </c>
      <c r="AA130" s="311">
        <f>IFERROR(INDEX(Data!AM$9:AM$1273,MATCH($M130,Data!$K$9:$K$1273,0)),"")</f>
        <v/>
      </c>
      <c r="AB130" s="311">
        <f>IFERROR(INDEX(Data!AN$9:AN$1273,MATCH($M130,Data!$K$9:$K$1273,0)),"")</f>
        <v/>
      </c>
      <c r="AC130" s="312">
        <f>IFERROR(INDEX(Data!BY$9:BY$1273,MATCH($M130,Data!$K$9:$K$1273,0)),"")</f>
        <v/>
      </c>
      <c r="AD130" s="312">
        <f>IFERROR(INDEX(Data!BZ$9:BZ$1273,MATCH($M130,Data!$K$9:$K$1273,0)),"")</f>
        <v/>
      </c>
      <c r="AE130" s="312">
        <f>IFERROR(INDEX(Data!CA$9:CA$1273,MATCH($M130,Data!$K$9:$K$1273,0)),"")</f>
        <v/>
      </c>
      <c r="AF130" s="312">
        <f>IFERROR(INDEX(Data!CB$9:CB$1273,MATCH($M130,Data!$K$9:$K$1273,0)),"")</f>
        <v/>
      </c>
      <c r="AG130" s="312">
        <f>IFERROR(INDEX(Data!CC$9:CC$1273,MATCH($M130,Data!$K$9:$K$1273,0)),"")</f>
        <v/>
      </c>
      <c r="AH130" s="312">
        <f>IFERROR(INDEX(Data!CD$9:CD$1273,MATCH($M130,Data!$K$9:$K$1273,0)),"")</f>
        <v/>
      </c>
      <c r="AI130" s="312">
        <f>IFERROR(INDEX(Data!CE$9:CE$1273,MATCH($M130,Data!$K$9:$K$1273,0)),"")</f>
        <v/>
      </c>
      <c r="AJ130" s="312">
        <f>IFERROR(INDEX(Data!CF$9:CF$1273,MATCH($M130,Data!$K$9:$K$1273,0)),"")</f>
        <v/>
      </c>
      <c r="AK130" s="312">
        <f>IFERROR(INDEX(Data!CG$9:CG$1273,MATCH($M130,Data!$K$9:$K$1273,0)),"")</f>
        <v/>
      </c>
      <c r="AL130" s="312">
        <f>IFERROR(INDEX(Data!CH$9:CH$1273,MATCH($M130,Data!$K$9:$K$1273,0)),"")</f>
        <v/>
      </c>
      <c r="AM130" s="312">
        <f>IFERROR(INDEX(Data!CI$9:CI$1273,MATCH($M130,Data!$K$9:$K$1273,0)),"")</f>
        <v/>
      </c>
      <c r="AN130" s="312">
        <f>IFERROR(INDEX(Data!CJ$9:CJ$1273,MATCH($M130,Data!$K$9:$K$1273,0)),"")</f>
        <v/>
      </c>
      <c r="AO130" s="312">
        <f>IFERROR(INDEX(Data!CK$9:CK$1273,MATCH($M130,Data!$K$9:$K$1273,0)),"")</f>
        <v/>
      </c>
      <c r="AP130" s="312">
        <f>IFERROR(INDEX(Data!CL$9:CL$1273,MATCH($M130,Data!$K$9:$K$1273,0)),"")</f>
        <v/>
      </c>
      <c r="AQ130" s="312">
        <f>IFERROR(INDEX(Data!CM$9:CM$1273,MATCH($M130,Data!$K$9:$K$1273,0)),"")</f>
        <v/>
      </c>
      <c r="AR130" s="312">
        <f>IFERROR(INDEX(Data!CN$9:CN$1273,MATCH($M130,Data!$K$9:$K$1273,0)),"")</f>
        <v/>
      </c>
      <c r="AS130" s="312">
        <f>IFERROR(INDEX(Data!CO$9:CO$1273,MATCH($M130,Data!$K$9:$K$1273,0)),"")</f>
        <v/>
      </c>
      <c r="AT130" s="312">
        <f>IFERROR(INDEX(Data!CP$9:CP$1273,MATCH($M130,Data!$K$9:$K$1273,0)),"")</f>
        <v/>
      </c>
      <c r="AU130" s="312">
        <f>IFERROR(INDEX(Data!CQ$9:CQ$1273,MATCH($M130,Data!$K$9:$K$1273,0)),"")</f>
        <v/>
      </c>
      <c r="AV130" s="312">
        <f>IFERROR(INDEX(Data!CR$9:CR$1273,MATCH($M130,Data!$K$9:$K$1273,0)),"")</f>
        <v/>
      </c>
      <c r="AW130" s="312">
        <f>IFERROR(INDEX(Data!CS$9:CS$1273,MATCH($M130,Data!$K$9:$K$1273,0)),"")</f>
        <v/>
      </c>
      <c r="AX130" s="312">
        <f>IFERROR(INDEX(Data!CT$9:CT$1273,MATCH($M130,Data!$K$9:$K$1273,0)),"")</f>
        <v/>
      </c>
      <c r="AY130" s="312">
        <f>IFERROR(INDEX(Data!CU$9:CU$1273,MATCH($M130,Data!$K$9:$K$1273,0)),"")</f>
        <v/>
      </c>
      <c r="AZ130" s="312">
        <f>IFERROR(INDEX(Data!CV$9:CV$1273,MATCH($M130,Data!$K$9:$K$1273,0)),"")</f>
        <v/>
      </c>
      <c r="BA130" s="312">
        <f>IFERROR(INDEX(Data!CX$9:CX$1273,MATCH($M130,Data!$K$9:$K$1273,0)),"")</f>
        <v/>
      </c>
      <c r="BB130" s="312">
        <f>IFERROR(INDEX(Data!CY$9:CY$1273,MATCH($M130,Data!$K$9:$K$1273,0)),"")</f>
        <v/>
      </c>
      <c r="BC130" s="312">
        <f>IFERROR(INDEX(Data!CZ$9:CZ$1273,MATCH($M130,Data!$K$9:$K$1273,0)),"")</f>
        <v/>
      </c>
      <c r="BD130" s="312">
        <f>IFERROR(INDEX(Data!DA$9:DA$1273,MATCH($M130,Data!$K$9:$K$1273,0)),"")</f>
        <v/>
      </c>
      <c r="BE130" s="312">
        <f>IFERROR(INDEX(Data!DB$9:DB$1273,MATCH($M130,Data!$K$9:$K$1273,0)),"")</f>
        <v/>
      </c>
      <c r="BF130" s="312">
        <f>IFERROR(INDEX(Data!DC$9:DC$1273,MATCH($M130,Data!$K$9:$K$1273,0)),"")</f>
        <v/>
      </c>
      <c r="BG130" s="312">
        <f>IFERROR(INDEX(Data!DD$9:DD$1273,MATCH($M130,Data!$K$9:$K$1273,0)),"")</f>
        <v/>
      </c>
      <c r="BH130" s="312">
        <f>IFERROR(INDEX(Data!DE$9:DE$1273,MATCH($M130,Data!$K$9:$K$1273,0)),"")</f>
        <v/>
      </c>
      <c r="BI130" s="312">
        <f>IFERROR(INDEX(Data!DF$9:DF$1273,MATCH($M130,Data!$K$9:$K$1273,0)),"")</f>
        <v/>
      </c>
      <c r="BJ130" s="312">
        <f>IFERROR(INDEX(Data!DG$9:DG$1273,MATCH($M130,Data!$K$9:$K$1273,0)),"")</f>
        <v/>
      </c>
      <c r="BK130" s="312">
        <f>IFERROR(INDEX(Data!DH$9:DH$1273,MATCH($M130,Data!$K$9:$K$1273,0)),"")</f>
        <v/>
      </c>
      <c r="BL130" s="312">
        <f>IFERROR(INDEX(Data!DI$9:DI$1273,MATCH($M130,Data!$K$9:$K$1273,0)),"")</f>
        <v/>
      </c>
      <c r="BM130" s="312">
        <f>IFERROR(INDEX(Data!DJ$9:DJ$1273,MATCH($M130,Data!$K$9:$K$1273,0)),"")</f>
        <v/>
      </c>
      <c r="BN130" s="312">
        <f>IFERROR(INDEX(Data!DK$9:DK$1273,MATCH($M130,Data!$K$9:$K$1273,0)),"")</f>
        <v/>
      </c>
      <c r="BO130" s="312">
        <f>IFERROR(INDEX(Data!DL$9:DL$1273,MATCH($M130,Data!$K$9:$K$1273,0)),"")</f>
        <v/>
      </c>
      <c r="BP130" s="331">
        <f>IFERROR(IF(BK130=0,"-",BK130),"")</f>
        <v/>
      </c>
      <c r="BQ130" s="312">
        <f>IFERROR(IF(BP130-K130&gt;0,TRUE,FALSE)," ")</f>
        <v/>
      </c>
      <c r="BR130" s="312">
        <f>_xlfn.CONCAT(E130,F130,H130,G130)</f>
        <v/>
      </c>
      <c r="BS130" s="312">
        <f>IFERROR(INDEX(Data!$DO$9:$DO$1273,MATCH('Your recommendation'!BR130,Data!$DN$9:$DN$1273,0)),"")</f>
        <v/>
      </c>
    </row>
    <row r="131" ht="15.6" customFormat="1" customHeight="1" s="138">
      <c r="B131" s="309">
        <f>IF(C131&gt;0,B130+1,"")</f>
        <v/>
      </c>
      <c r="C131" s="310" t="n"/>
      <c r="D131" s="312">
        <f>IFERROR(INDEX(Data!BR$9:BR$1273,MATCH($M131,Data!$K$9:$K$1273,0)),"")</f>
        <v/>
      </c>
      <c r="E131" s="312">
        <f>IFERROR(INDEX(Data!BS$9:BS$1273,MATCH($M131,Data!$K$9:$K$1273,0)),"")</f>
        <v/>
      </c>
      <c r="F131" s="312">
        <f>IFERROR(INDEX(Data!DM$9:DM$1273,MATCH($M131,Data!$K$9:$K$1273,0)),"")</f>
        <v/>
      </c>
      <c r="G131" s="312">
        <f>IFERROR(INDEX(Data!BV$9:BV$1273,MATCH($M131,Data!$K$9:$K$1273,0)),"")</f>
        <v/>
      </c>
      <c r="H131" s="312">
        <f>IFERROR(INDEX(Data!BW$9:BW$1273,MATCH($M131,Data!$K$9:$K$1273,0)),"")</f>
        <v/>
      </c>
      <c r="I131" s="312">
        <f>IFERROR(INDEX(Data!BX$9:BX$1273,MATCH($M131,Data!$K$9:$K$1273,0)),"")</f>
        <v/>
      </c>
      <c r="J131" s="312">
        <f>IFERROR(INDEX(Data!CB$9:CB$1273,MATCH($M131,Data!$K$9:$K$1273,0)),"")</f>
        <v/>
      </c>
      <c r="K131" s="329">
        <f>IFERROR(HYPERLINK(BM131,BC131),"-")</f>
        <v/>
      </c>
      <c r="L131" s="330">
        <f>IFERROR(IF(BB131=0,"-",BB131)," ")</f>
        <v/>
      </c>
      <c r="M131" s="311" t="n"/>
      <c r="N131" s="311" t="n"/>
      <c r="O131" s="311">
        <f>IFERROR(INDEX(Data!M$9:M$1273,MATCH($M131,Data!$K$9:$K$1273,0)),"")</f>
        <v/>
      </c>
      <c r="P131" s="311">
        <f>IFERROR(INDEX(Data!N$9:N$1273,MATCH($M131,Data!$K$9:$K$1273,0)),"")</f>
        <v/>
      </c>
      <c r="Q131" s="311">
        <f>IFERROR(INDEX(Data!O$9:O$1273,MATCH($M131,Data!$K$9:$K$1273,0)),"")</f>
        <v/>
      </c>
      <c r="R131" s="311">
        <f>IFERROR(INDEX(Data!P$9:P$1273,MATCH($M131,Data!$K$9:$K$1273,0)),"")</f>
        <v/>
      </c>
      <c r="S131" s="311">
        <f>IFERROR(INDEX(Data!S$9:S$1273,MATCH($M131,Data!$K$9:$K$1273,0)),"")</f>
        <v/>
      </c>
      <c r="T131" s="311">
        <f>IFERROR(INDEX(Data!T$9:T$1273,MATCH($M131,Data!$K$9:$K$1273,0)),"")</f>
        <v/>
      </c>
      <c r="U131" s="311">
        <f>IFERROR(INDEX(Data!U$9:U$1273,MATCH($M131,Data!$K$9:$K$1273,0)),"")</f>
        <v/>
      </c>
      <c r="V131" s="311">
        <f>IFERROR(INDEX(Data!V$9:V$1273,MATCH($M131,Data!$K$9:$K$1273,0)),"")</f>
        <v/>
      </c>
      <c r="W131" s="311">
        <f>IFERROR(INDEX(Data!W$9:W$1273,MATCH($M131,Data!$K$9:$K$1273,0)),"")</f>
        <v/>
      </c>
      <c r="X131" s="311">
        <f>IFERROR(INDEX(Data!AJ$9:AJ$1273,MATCH($M131,Data!$K$9:$K$1273,0)),"")</f>
        <v/>
      </c>
      <c r="Y131" s="311">
        <f>IFERROR(INDEX(Data!AK$9:AK$1273,MATCH($M131,Data!$K$9:$K$1273,0)),"")</f>
        <v/>
      </c>
      <c r="Z131" s="311">
        <f>IFERROR(INDEX(Data!AL$9:AL$1273,MATCH($M131,Data!$K$9:$K$1273,0)),"")</f>
        <v/>
      </c>
      <c r="AA131" s="311">
        <f>IFERROR(INDEX(Data!AM$9:AM$1273,MATCH($M131,Data!$K$9:$K$1273,0)),"")</f>
        <v/>
      </c>
      <c r="AB131" s="311">
        <f>IFERROR(INDEX(Data!AN$9:AN$1273,MATCH($M131,Data!$K$9:$K$1273,0)),"")</f>
        <v/>
      </c>
      <c r="AC131" s="312">
        <f>IFERROR(INDEX(Data!BY$9:BY$1273,MATCH($M131,Data!$K$9:$K$1273,0)),"")</f>
        <v/>
      </c>
      <c r="AD131" s="312">
        <f>IFERROR(INDEX(Data!BZ$9:BZ$1273,MATCH($M131,Data!$K$9:$K$1273,0)),"")</f>
        <v/>
      </c>
      <c r="AE131" s="312">
        <f>IFERROR(INDEX(Data!CA$9:CA$1273,MATCH($M131,Data!$K$9:$K$1273,0)),"")</f>
        <v/>
      </c>
      <c r="AF131" s="312">
        <f>IFERROR(INDEX(Data!CB$9:CB$1273,MATCH($M131,Data!$K$9:$K$1273,0)),"")</f>
        <v/>
      </c>
      <c r="AG131" s="312">
        <f>IFERROR(INDEX(Data!CC$9:CC$1273,MATCH($M131,Data!$K$9:$K$1273,0)),"")</f>
        <v/>
      </c>
      <c r="AH131" s="312">
        <f>IFERROR(INDEX(Data!CD$9:CD$1273,MATCH($M131,Data!$K$9:$K$1273,0)),"")</f>
        <v/>
      </c>
      <c r="AI131" s="312">
        <f>IFERROR(INDEX(Data!CE$9:CE$1273,MATCH($M131,Data!$K$9:$K$1273,0)),"")</f>
        <v/>
      </c>
      <c r="AJ131" s="312">
        <f>IFERROR(INDEX(Data!CF$9:CF$1273,MATCH($M131,Data!$K$9:$K$1273,0)),"")</f>
        <v/>
      </c>
      <c r="AK131" s="312">
        <f>IFERROR(INDEX(Data!CG$9:CG$1273,MATCH($M131,Data!$K$9:$K$1273,0)),"")</f>
        <v/>
      </c>
      <c r="AL131" s="312">
        <f>IFERROR(INDEX(Data!CH$9:CH$1273,MATCH($M131,Data!$K$9:$K$1273,0)),"")</f>
        <v/>
      </c>
      <c r="AM131" s="312">
        <f>IFERROR(INDEX(Data!CI$9:CI$1273,MATCH($M131,Data!$K$9:$K$1273,0)),"")</f>
        <v/>
      </c>
      <c r="AN131" s="312">
        <f>IFERROR(INDEX(Data!CJ$9:CJ$1273,MATCH($M131,Data!$K$9:$K$1273,0)),"")</f>
        <v/>
      </c>
      <c r="AO131" s="312">
        <f>IFERROR(INDEX(Data!CK$9:CK$1273,MATCH($M131,Data!$K$9:$K$1273,0)),"")</f>
        <v/>
      </c>
      <c r="AP131" s="312">
        <f>IFERROR(INDEX(Data!CL$9:CL$1273,MATCH($M131,Data!$K$9:$K$1273,0)),"")</f>
        <v/>
      </c>
      <c r="AQ131" s="312">
        <f>IFERROR(INDEX(Data!CM$9:CM$1273,MATCH($M131,Data!$K$9:$K$1273,0)),"")</f>
        <v/>
      </c>
      <c r="AR131" s="312">
        <f>IFERROR(INDEX(Data!CN$9:CN$1273,MATCH($M131,Data!$K$9:$K$1273,0)),"")</f>
        <v/>
      </c>
      <c r="AS131" s="312">
        <f>IFERROR(INDEX(Data!CO$9:CO$1273,MATCH($M131,Data!$K$9:$K$1273,0)),"")</f>
        <v/>
      </c>
      <c r="AT131" s="312">
        <f>IFERROR(INDEX(Data!CP$9:CP$1273,MATCH($M131,Data!$K$9:$K$1273,0)),"")</f>
        <v/>
      </c>
      <c r="AU131" s="312">
        <f>IFERROR(INDEX(Data!CQ$9:CQ$1273,MATCH($M131,Data!$K$9:$K$1273,0)),"")</f>
        <v/>
      </c>
      <c r="AV131" s="312">
        <f>IFERROR(INDEX(Data!CR$9:CR$1273,MATCH($M131,Data!$K$9:$K$1273,0)),"")</f>
        <v/>
      </c>
      <c r="AW131" s="312">
        <f>IFERROR(INDEX(Data!CS$9:CS$1273,MATCH($M131,Data!$K$9:$K$1273,0)),"")</f>
        <v/>
      </c>
      <c r="AX131" s="312">
        <f>IFERROR(INDEX(Data!CT$9:CT$1273,MATCH($M131,Data!$K$9:$K$1273,0)),"")</f>
        <v/>
      </c>
      <c r="AY131" s="312">
        <f>IFERROR(INDEX(Data!CU$9:CU$1273,MATCH($M131,Data!$K$9:$K$1273,0)),"")</f>
        <v/>
      </c>
      <c r="AZ131" s="312">
        <f>IFERROR(INDEX(Data!CV$9:CV$1273,MATCH($M131,Data!$K$9:$K$1273,0)),"")</f>
        <v/>
      </c>
      <c r="BA131" s="312">
        <f>IFERROR(INDEX(Data!CX$9:CX$1273,MATCH($M131,Data!$K$9:$K$1273,0)),"")</f>
        <v/>
      </c>
      <c r="BB131" s="312">
        <f>IFERROR(INDEX(Data!CY$9:CY$1273,MATCH($M131,Data!$K$9:$K$1273,0)),"")</f>
        <v/>
      </c>
      <c r="BC131" s="312">
        <f>IFERROR(INDEX(Data!CZ$9:CZ$1273,MATCH($M131,Data!$K$9:$K$1273,0)),"")</f>
        <v/>
      </c>
      <c r="BD131" s="312">
        <f>IFERROR(INDEX(Data!DA$9:DA$1273,MATCH($M131,Data!$K$9:$K$1273,0)),"")</f>
        <v/>
      </c>
      <c r="BE131" s="312">
        <f>IFERROR(INDEX(Data!DB$9:DB$1273,MATCH($M131,Data!$K$9:$K$1273,0)),"")</f>
        <v/>
      </c>
      <c r="BF131" s="312">
        <f>IFERROR(INDEX(Data!DC$9:DC$1273,MATCH($M131,Data!$K$9:$K$1273,0)),"")</f>
        <v/>
      </c>
      <c r="BG131" s="312">
        <f>IFERROR(INDEX(Data!DD$9:DD$1273,MATCH($M131,Data!$K$9:$K$1273,0)),"")</f>
        <v/>
      </c>
      <c r="BH131" s="312">
        <f>IFERROR(INDEX(Data!DE$9:DE$1273,MATCH($M131,Data!$K$9:$K$1273,0)),"")</f>
        <v/>
      </c>
      <c r="BI131" s="312">
        <f>IFERROR(INDEX(Data!DF$9:DF$1273,MATCH($M131,Data!$K$9:$K$1273,0)),"")</f>
        <v/>
      </c>
      <c r="BJ131" s="312">
        <f>IFERROR(INDEX(Data!DG$9:DG$1273,MATCH($M131,Data!$K$9:$K$1273,0)),"")</f>
        <v/>
      </c>
      <c r="BK131" s="312">
        <f>IFERROR(INDEX(Data!DH$9:DH$1273,MATCH($M131,Data!$K$9:$K$1273,0)),"")</f>
        <v/>
      </c>
      <c r="BL131" s="312">
        <f>IFERROR(INDEX(Data!DI$9:DI$1273,MATCH($M131,Data!$K$9:$K$1273,0)),"")</f>
        <v/>
      </c>
      <c r="BM131" s="312">
        <f>IFERROR(INDEX(Data!DJ$9:DJ$1273,MATCH($M131,Data!$K$9:$K$1273,0)),"")</f>
        <v/>
      </c>
      <c r="BN131" s="312">
        <f>IFERROR(INDEX(Data!DK$9:DK$1273,MATCH($M131,Data!$K$9:$K$1273,0)),"")</f>
        <v/>
      </c>
      <c r="BO131" s="312">
        <f>IFERROR(INDEX(Data!DL$9:DL$1273,MATCH($M131,Data!$K$9:$K$1273,0)),"")</f>
        <v/>
      </c>
      <c r="BP131" s="331">
        <f>IFERROR(IF(BK131=0,"-",BK131),"")</f>
        <v/>
      </c>
      <c r="BQ131" s="312">
        <f>IFERROR(IF(BP131-K131&gt;0,TRUE,FALSE)," ")</f>
        <v/>
      </c>
      <c r="BR131" s="312">
        <f>_xlfn.CONCAT(E131,F131,H131,G131)</f>
        <v/>
      </c>
      <c r="BS131" s="312">
        <f>IFERROR(INDEX(Data!$DO$9:$DO$1273,MATCH('Your recommendation'!BR131,Data!$DN$9:$DN$1273,0)),"")</f>
        <v/>
      </c>
    </row>
    <row r="132" ht="15.6" customFormat="1" customHeight="1" s="138">
      <c r="B132" s="309">
        <f>IF(C132&gt;0,B131+1,"")</f>
        <v/>
      </c>
      <c r="C132" s="310" t="n"/>
      <c r="D132" s="312">
        <f>IFERROR(INDEX(Data!BR$9:BR$1273,MATCH($M132,Data!$K$9:$K$1273,0)),"")</f>
        <v/>
      </c>
      <c r="E132" s="312">
        <f>IFERROR(INDEX(Data!BS$9:BS$1273,MATCH($M132,Data!$K$9:$K$1273,0)),"")</f>
        <v/>
      </c>
      <c r="F132" s="312">
        <f>IFERROR(INDEX(Data!DM$9:DM$1273,MATCH($M132,Data!$K$9:$K$1273,0)),"")</f>
        <v/>
      </c>
      <c r="G132" s="312">
        <f>IFERROR(INDEX(Data!BV$9:BV$1273,MATCH($M132,Data!$K$9:$K$1273,0)),"")</f>
        <v/>
      </c>
      <c r="H132" s="312">
        <f>IFERROR(INDEX(Data!BW$9:BW$1273,MATCH($M132,Data!$K$9:$K$1273,0)),"")</f>
        <v/>
      </c>
      <c r="I132" s="312">
        <f>IFERROR(INDEX(Data!BX$9:BX$1273,MATCH($M132,Data!$K$9:$K$1273,0)),"")</f>
        <v/>
      </c>
      <c r="J132" s="312">
        <f>IFERROR(INDEX(Data!CB$9:CB$1273,MATCH($M132,Data!$K$9:$K$1273,0)),"")</f>
        <v/>
      </c>
      <c r="K132" s="329">
        <f>IFERROR(HYPERLINK(BM132,BC132),"-")</f>
        <v/>
      </c>
      <c r="L132" s="330">
        <f>IFERROR(IF(BB132=0,"-",BB132)," ")</f>
        <v/>
      </c>
      <c r="M132" s="311" t="n"/>
      <c r="N132" s="311" t="n"/>
      <c r="O132" s="311">
        <f>IFERROR(INDEX(Data!M$9:M$1273,MATCH($M132,Data!$K$9:$K$1273,0)),"")</f>
        <v/>
      </c>
      <c r="P132" s="311">
        <f>IFERROR(INDEX(Data!N$9:N$1273,MATCH($M132,Data!$K$9:$K$1273,0)),"")</f>
        <v/>
      </c>
      <c r="Q132" s="311">
        <f>IFERROR(INDEX(Data!O$9:O$1273,MATCH($M132,Data!$K$9:$K$1273,0)),"")</f>
        <v/>
      </c>
      <c r="R132" s="311">
        <f>IFERROR(INDEX(Data!P$9:P$1273,MATCH($M132,Data!$K$9:$K$1273,0)),"")</f>
        <v/>
      </c>
      <c r="S132" s="311">
        <f>IFERROR(INDEX(Data!S$9:S$1273,MATCH($M132,Data!$K$9:$K$1273,0)),"")</f>
        <v/>
      </c>
      <c r="T132" s="311">
        <f>IFERROR(INDEX(Data!T$9:T$1273,MATCH($M132,Data!$K$9:$K$1273,0)),"")</f>
        <v/>
      </c>
      <c r="U132" s="311">
        <f>IFERROR(INDEX(Data!U$9:U$1273,MATCH($M132,Data!$K$9:$K$1273,0)),"")</f>
        <v/>
      </c>
      <c r="V132" s="311">
        <f>IFERROR(INDEX(Data!V$9:V$1273,MATCH($M132,Data!$K$9:$K$1273,0)),"")</f>
        <v/>
      </c>
      <c r="W132" s="311">
        <f>IFERROR(INDEX(Data!W$9:W$1273,MATCH($M132,Data!$K$9:$K$1273,0)),"")</f>
        <v/>
      </c>
      <c r="X132" s="311">
        <f>IFERROR(INDEX(Data!AJ$9:AJ$1273,MATCH($M132,Data!$K$9:$K$1273,0)),"")</f>
        <v/>
      </c>
      <c r="Y132" s="311">
        <f>IFERROR(INDEX(Data!AK$9:AK$1273,MATCH($M132,Data!$K$9:$K$1273,0)),"")</f>
        <v/>
      </c>
      <c r="Z132" s="311">
        <f>IFERROR(INDEX(Data!AL$9:AL$1273,MATCH($M132,Data!$K$9:$K$1273,0)),"")</f>
        <v/>
      </c>
      <c r="AA132" s="311">
        <f>IFERROR(INDEX(Data!AM$9:AM$1273,MATCH($M132,Data!$K$9:$K$1273,0)),"")</f>
        <v/>
      </c>
      <c r="AB132" s="311">
        <f>IFERROR(INDEX(Data!AN$9:AN$1273,MATCH($M132,Data!$K$9:$K$1273,0)),"")</f>
        <v/>
      </c>
      <c r="AC132" s="312">
        <f>IFERROR(INDEX(Data!BY$9:BY$1273,MATCH($M132,Data!$K$9:$K$1273,0)),"")</f>
        <v/>
      </c>
      <c r="AD132" s="312">
        <f>IFERROR(INDEX(Data!BZ$9:BZ$1273,MATCH($M132,Data!$K$9:$K$1273,0)),"")</f>
        <v/>
      </c>
      <c r="AE132" s="312">
        <f>IFERROR(INDEX(Data!CA$9:CA$1273,MATCH($M132,Data!$K$9:$K$1273,0)),"")</f>
        <v/>
      </c>
      <c r="AF132" s="312">
        <f>IFERROR(INDEX(Data!CB$9:CB$1273,MATCH($M132,Data!$K$9:$K$1273,0)),"")</f>
        <v/>
      </c>
      <c r="AG132" s="312">
        <f>IFERROR(INDEX(Data!CC$9:CC$1273,MATCH($M132,Data!$K$9:$K$1273,0)),"")</f>
        <v/>
      </c>
      <c r="AH132" s="312">
        <f>IFERROR(INDEX(Data!CD$9:CD$1273,MATCH($M132,Data!$K$9:$K$1273,0)),"")</f>
        <v/>
      </c>
      <c r="AI132" s="312">
        <f>IFERROR(INDEX(Data!CE$9:CE$1273,MATCH($M132,Data!$K$9:$K$1273,0)),"")</f>
        <v/>
      </c>
      <c r="AJ132" s="312">
        <f>IFERROR(INDEX(Data!CF$9:CF$1273,MATCH($M132,Data!$K$9:$K$1273,0)),"")</f>
        <v/>
      </c>
      <c r="AK132" s="312">
        <f>IFERROR(INDEX(Data!CG$9:CG$1273,MATCH($M132,Data!$K$9:$K$1273,0)),"")</f>
        <v/>
      </c>
      <c r="AL132" s="312">
        <f>IFERROR(INDEX(Data!CH$9:CH$1273,MATCH($M132,Data!$K$9:$K$1273,0)),"")</f>
        <v/>
      </c>
      <c r="AM132" s="312">
        <f>IFERROR(INDEX(Data!CI$9:CI$1273,MATCH($M132,Data!$K$9:$K$1273,0)),"")</f>
        <v/>
      </c>
      <c r="AN132" s="312">
        <f>IFERROR(INDEX(Data!CJ$9:CJ$1273,MATCH($M132,Data!$K$9:$K$1273,0)),"")</f>
        <v/>
      </c>
      <c r="AO132" s="312">
        <f>IFERROR(INDEX(Data!CK$9:CK$1273,MATCH($M132,Data!$K$9:$K$1273,0)),"")</f>
        <v/>
      </c>
      <c r="AP132" s="312">
        <f>IFERROR(INDEX(Data!CL$9:CL$1273,MATCH($M132,Data!$K$9:$K$1273,0)),"")</f>
        <v/>
      </c>
      <c r="AQ132" s="312">
        <f>IFERROR(INDEX(Data!CM$9:CM$1273,MATCH($M132,Data!$K$9:$K$1273,0)),"")</f>
        <v/>
      </c>
      <c r="AR132" s="312">
        <f>IFERROR(INDEX(Data!CN$9:CN$1273,MATCH($M132,Data!$K$9:$K$1273,0)),"")</f>
        <v/>
      </c>
      <c r="AS132" s="312">
        <f>IFERROR(INDEX(Data!CO$9:CO$1273,MATCH($M132,Data!$K$9:$K$1273,0)),"")</f>
        <v/>
      </c>
      <c r="AT132" s="312">
        <f>IFERROR(INDEX(Data!CP$9:CP$1273,MATCH($M132,Data!$K$9:$K$1273,0)),"")</f>
        <v/>
      </c>
      <c r="AU132" s="312">
        <f>IFERROR(INDEX(Data!CQ$9:CQ$1273,MATCH($M132,Data!$K$9:$K$1273,0)),"")</f>
        <v/>
      </c>
      <c r="AV132" s="312">
        <f>IFERROR(INDEX(Data!CR$9:CR$1273,MATCH($M132,Data!$K$9:$K$1273,0)),"")</f>
        <v/>
      </c>
      <c r="AW132" s="312">
        <f>IFERROR(INDEX(Data!CS$9:CS$1273,MATCH($M132,Data!$K$9:$K$1273,0)),"")</f>
        <v/>
      </c>
      <c r="AX132" s="312">
        <f>IFERROR(INDEX(Data!CT$9:CT$1273,MATCH($M132,Data!$K$9:$K$1273,0)),"")</f>
        <v/>
      </c>
      <c r="AY132" s="312">
        <f>IFERROR(INDEX(Data!CU$9:CU$1273,MATCH($M132,Data!$K$9:$K$1273,0)),"")</f>
        <v/>
      </c>
      <c r="AZ132" s="312">
        <f>IFERROR(INDEX(Data!CV$9:CV$1273,MATCH($M132,Data!$K$9:$K$1273,0)),"")</f>
        <v/>
      </c>
      <c r="BA132" s="312">
        <f>IFERROR(INDEX(Data!CX$9:CX$1273,MATCH($M132,Data!$K$9:$K$1273,0)),"")</f>
        <v/>
      </c>
      <c r="BB132" s="312">
        <f>IFERROR(INDEX(Data!CY$9:CY$1273,MATCH($M132,Data!$K$9:$K$1273,0)),"")</f>
        <v/>
      </c>
      <c r="BC132" s="312">
        <f>IFERROR(INDEX(Data!CZ$9:CZ$1273,MATCH($M132,Data!$K$9:$K$1273,0)),"")</f>
        <v/>
      </c>
      <c r="BD132" s="312">
        <f>IFERROR(INDEX(Data!DA$9:DA$1273,MATCH($M132,Data!$K$9:$K$1273,0)),"")</f>
        <v/>
      </c>
      <c r="BE132" s="312">
        <f>IFERROR(INDEX(Data!DB$9:DB$1273,MATCH($M132,Data!$K$9:$K$1273,0)),"")</f>
        <v/>
      </c>
      <c r="BF132" s="312">
        <f>IFERROR(INDEX(Data!DC$9:DC$1273,MATCH($M132,Data!$K$9:$K$1273,0)),"")</f>
        <v/>
      </c>
      <c r="BG132" s="312">
        <f>IFERROR(INDEX(Data!DD$9:DD$1273,MATCH($M132,Data!$K$9:$K$1273,0)),"")</f>
        <v/>
      </c>
      <c r="BH132" s="312">
        <f>IFERROR(INDEX(Data!DE$9:DE$1273,MATCH($M132,Data!$K$9:$K$1273,0)),"")</f>
        <v/>
      </c>
      <c r="BI132" s="312">
        <f>IFERROR(INDEX(Data!DF$9:DF$1273,MATCH($M132,Data!$K$9:$K$1273,0)),"")</f>
        <v/>
      </c>
      <c r="BJ132" s="312">
        <f>IFERROR(INDEX(Data!DG$9:DG$1273,MATCH($M132,Data!$K$9:$K$1273,0)),"")</f>
        <v/>
      </c>
      <c r="BK132" s="312">
        <f>IFERROR(INDEX(Data!DH$9:DH$1273,MATCH($M132,Data!$K$9:$K$1273,0)),"")</f>
        <v/>
      </c>
      <c r="BL132" s="312">
        <f>IFERROR(INDEX(Data!DI$9:DI$1273,MATCH($M132,Data!$K$9:$K$1273,0)),"")</f>
        <v/>
      </c>
      <c r="BM132" s="312">
        <f>IFERROR(INDEX(Data!DJ$9:DJ$1273,MATCH($M132,Data!$K$9:$K$1273,0)),"")</f>
        <v/>
      </c>
      <c r="BN132" s="312">
        <f>IFERROR(INDEX(Data!DK$9:DK$1273,MATCH($M132,Data!$K$9:$K$1273,0)),"")</f>
        <v/>
      </c>
      <c r="BO132" s="312">
        <f>IFERROR(INDEX(Data!DL$9:DL$1273,MATCH($M132,Data!$K$9:$K$1273,0)),"")</f>
        <v/>
      </c>
      <c r="BP132" s="331">
        <f>IFERROR(IF(BK132=0,"-",BK132),"")</f>
        <v/>
      </c>
      <c r="BQ132" s="312">
        <f>IFERROR(IF(BP132-K132&gt;0,TRUE,FALSE)," ")</f>
        <v/>
      </c>
      <c r="BR132" s="312">
        <f>_xlfn.CONCAT(E132,F132,H132,G132)</f>
        <v/>
      </c>
      <c r="BS132" s="312">
        <f>IFERROR(INDEX(Data!$DO$9:$DO$1273,MATCH('Your recommendation'!BR132,Data!$DN$9:$DN$1273,0)),"")</f>
        <v/>
      </c>
    </row>
    <row r="133" ht="15.6" customFormat="1" customHeight="1" s="138">
      <c r="B133" s="309">
        <f>IF(C133&gt;0,B132+1,"")</f>
        <v/>
      </c>
      <c r="C133" s="310" t="n"/>
      <c r="D133" s="312">
        <f>IFERROR(INDEX(Data!BR$9:BR$1273,MATCH($M133,Data!$K$9:$K$1273,0)),"")</f>
        <v/>
      </c>
      <c r="E133" s="312">
        <f>IFERROR(INDEX(Data!BS$9:BS$1273,MATCH($M133,Data!$K$9:$K$1273,0)),"")</f>
        <v/>
      </c>
      <c r="F133" s="312">
        <f>IFERROR(INDEX(Data!DM$9:DM$1273,MATCH($M133,Data!$K$9:$K$1273,0)),"")</f>
        <v/>
      </c>
      <c r="G133" s="312">
        <f>IFERROR(INDEX(Data!BV$9:BV$1273,MATCH($M133,Data!$K$9:$K$1273,0)),"")</f>
        <v/>
      </c>
      <c r="H133" s="312">
        <f>IFERROR(INDEX(Data!BW$9:BW$1273,MATCH($M133,Data!$K$9:$K$1273,0)),"")</f>
        <v/>
      </c>
      <c r="I133" s="312">
        <f>IFERROR(INDEX(Data!BX$9:BX$1273,MATCH($M133,Data!$K$9:$K$1273,0)),"")</f>
        <v/>
      </c>
      <c r="J133" s="312">
        <f>IFERROR(INDEX(Data!CB$9:CB$1273,MATCH($M133,Data!$K$9:$K$1273,0)),"")</f>
        <v/>
      </c>
      <c r="K133" s="329">
        <f>IFERROR(HYPERLINK(BM133,BC133),"-")</f>
        <v/>
      </c>
      <c r="L133" s="330">
        <f>IFERROR(IF(BB133=0,"-",BB133)," ")</f>
        <v/>
      </c>
      <c r="M133" s="311" t="n"/>
      <c r="N133" s="311" t="n"/>
      <c r="O133" s="311">
        <f>IFERROR(INDEX(Data!M$9:M$1273,MATCH($M133,Data!$K$9:$K$1273,0)),"")</f>
        <v/>
      </c>
      <c r="P133" s="311">
        <f>IFERROR(INDEX(Data!N$9:N$1273,MATCH($M133,Data!$K$9:$K$1273,0)),"")</f>
        <v/>
      </c>
      <c r="Q133" s="311">
        <f>IFERROR(INDEX(Data!O$9:O$1273,MATCH($M133,Data!$K$9:$K$1273,0)),"")</f>
        <v/>
      </c>
      <c r="R133" s="311">
        <f>IFERROR(INDEX(Data!P$9:P$1273,MATCH($M133,Data!$K$9:$K$1273,0)),"")</f>
        <v/>
      </c>
      <c r="S133" s="311">
        <f>IFERROR(INDEX(Data!S$9:S$1273,MATCH($M133,Data!$K$9:$K$1273,0)),"")</f>
        <v/>
      </c>
      <c r="T133" s="311">
        <f>IFERROR(INDEX(Data!T$9:T$1273,MATCH($M133,Data!$K$9:$K$1273,0)),"")</f>
        <v/>
      </c>
      <c r="U133" s="311">
        <f>IFERROR(INDEX(Data!U$9:U$1273,MATCH($M133,Data!$K$9:$K$1273,0)),"")</f>
        <v/>
      </c>
      <c r="V133" s="311">
        <f>IFERROR(INDEX(Data!V$9:V$1273,MATCH($M133,Data!$K$9:$K$1273,0)),"")</f>
        <v/>
      </c>
      <c r="W133" s="311">
        <f>IFERROR(INDEX(Data!W$9:W$1273,MATCH($M133,Data!$K$9:$K$1273,0)),"")</f>
        <v/>
      </c>
      <c r="X133" s="311">
        <f>IFERROR(INDEX(Data!AJ$9:AJ$1273,MATCH($M133,Data!$K$9:$K$1273,0)),"")</f>
        <v/>
      </c>
      <c r="Y133" s="311">
        <f>IFERROR(INDEX(Data!AK$9:AK$1273,MATCH($M133,Data!$K$9:$K$1273,0)),"")</f>
        <v/>
      </c>
      <c r="Z133" s="311">
        <f>IFERROR(INDEX(Data!AL$9:AL$1273,MATCH($M133,Data!$K$9:$K$1273,0)),"")</f>
        <v/>
      </c>
      <c r="AA133" s="311">
        <f>IFERROR(INDEX(Data!AM$9:AM$1273,MATCH($M133,Data!$K$9:$K$1273,0)),"")</f>
        <v/>
      </c>
      <c r="AB133" s="311">
        <f>IFERROR(INDEX(Data!AN$9:AN$1273,MATCH($M133,Data!$K$9:$K$1273,0)),"")</f>
        <v/>
      </c>
      <c r="AC133" s="312">
        <f>IFERROR(INDEX(Data!BY$9:BY$1273,MATCH($M133,Data!$K$9:$K$1273,0)),"")</f>
        <v/>
      </c>
      <c r="AD133" s="312">
        <f>IFERROR(INDEX(Data!BZ$9:BZ$1273,MATCH($M133,Data!$K$9:$K$1273,0)),"")</f>
        <v/>
      </c>
      <c r="AE133" s="312">
        <f>IFERROR(INDEX(Data!CA$9:CA$1273,MATCH($M133,Data!$K$9:$K$1273,0)),"")</f>
        <v/>
      </c>
      <c r="AF133" s="312">
        <f>IFERROR(INDEX(Data!CB$9:CB$1273,MATCH($M133,Data!$K$9:$K$1273,0)),"")</f>
        <v/>
      </c>
      <c r="AG133" s="312">
        <f>IFERROR(INDEX(Data!CC$9:CC$1273,MATCH($M133,Data!$K$9:$K$1273,0)),"")</f>
        <v/>
      </c>
      <c r="AH133" s="312">
        <f>IFERROR(INDEX(Data!CD$9:CD$1273,MATCH($M133,Data!$K$9:$K$1273,0)),"")</f>
        <v/>
      </c>
      <c r="AI133" s="312">
        <f>IFERROR(INDEX(Data!CE$9:CE$1273,MATCH($M133,Data!$K$9:$K$1273,0)),"")</f>
        <v/>
      </c>
      <c r="AJ133" s="312">
        <f>IFERROR(INDEX(Data!CF$9:CF$1273,MATCH($M133,Data!$K$9:$K$1273,0)),"")</f>
        <v/>
      </c>
      <c r="AK133" s="312">
        <f>IFERROR(INDEX(Data!CG$9:CG$1273,MATCH($M133,Data!$K$9:$K$1273,0)),"")</f>
        <v/>
      </c>
      <c r="AL133" s="312">
        <f>IFERROR(INDEX(Data!CH$9:CH$1273,MATCH($M133,Data!$K$9:$K$1273,0)),"")</f>
        <v/>
      </c>
      <c r="AM133" s="312">
        <f>IFERROR(INDEX(Data!CI$9:CI$1273,MATCH($M133,Data!$K$9:$K$1273,0)),"")</f>
        <v/>
      </c>
      <c r="AN133" s="312">
        <f>IFERROR(INDEX(Data!CJ$9:CJ$1273,MATCH($M133,Data!$K$9:$K$1273,0)),"")</f>
        <v/>
      </c>
      <c r="AO133" s="312">
        <f>IFERROR(INDEX(Data!CK$9:CK$1273,MATCH($M133,Data!$K$9:$K$1273,0)),"")</f>
        <v/>
      </c>
      <c r="AP133" s="312">
        <f>IFERROR(INDEX(Data!CL$9:CL$1273,MATCH($M133,Data!$K$9:$K$1273,0)),"")</f>
        <v/>
      </c>
      <c r="AQ133" s="312">
        <f>IFERROR(INDEX(Data!CM$9:CM$1273,MATCH($M133,Data!$K$9:$K$1273,0)),"")</f>
        <v/>
      </c>
      <c r="AR133" s="312">
        <f>IFERROR(INDEX(Data!CN$9:CN$1273,MATCH($M133,Data!$K$9:$K$1273,0)),"")</f>
        <v/>
      </c>
      <c r="AS133" s="312">
        <f>IFERROR(INDEX(Data!CO$9:CO$1273,MATCH($M133,Data!$K$9:$K$1273,0)),"")</f>
        <v/>
      </c>
      <c r="AT133" s="312">
        <f>IFERROR(INDEX(Data!CP$9:CP$1273,MATCH($M133,Data!$K$9:$K$1273,0)),"")</f>
        <v/>
      </c>
      <c r="AU133" s="312">
        <f>IFERROR(INDEX(Data!CQ$9:CQ$1273,MATCH($M133,Data!$K$9:$K$1273,0)),"")</f>
        <v/>
      </c>
      <c r="AV133" s="312">
        <f>IFERROR(INDEX(Data!CR$9:CR$1273,MATCH($M133,Data!$K$9:$K$1273,0)),"")</f>
        <v/>
      </c>
      <c r="AW133" s="312">
        <f>IFERROR(INDEX(Data!CS$9:CS$1273,MATCH($M133,Data!$K$9:$K$1273,0)),"")</f>
        <v/>
      </c>
      <c r="AX133" s="312">
        <f>IFERROR(INDEX(Data!CT$9:CT$1273,MATCH($M133,Data!$K$9:$K$1273,0)),"")</f>
        <v/>
      </c>
      <c r="AY133" s="312">
        <f>IFERROR(INDEX(Data!CU$9:CU$1273,MATCH($M133,Data!$K$9:$K$1273,0)),"")</f>
        <v/>
      </c>
      <c r="AZ133" s="312">
        <f>IFERROR(INDEX(Data!CV$9:CV$1273,MATCH($M133,Data!$K$9:$K$1273,0)),"")</f>
        <v/>
      </c>
      <c r="BA133" s="312">
        <f>IFERROR(INDEX(Data!CX$9:CX$1273,MATCH($M133,Data!$K$9:$K$1273,0)),"")</f>
        <v/>
      </c>
      <c r="BB133" s="312">
        <f>IFERROR(INDEX(Data!CY$9:CY$1273,MATCH($M133,Data!$K$9:$K$1273,0)),"")</f>
        <v/>
      </c>
      <c r="BC133" s="312">
        <f>IFERROR(INDEX(Data!CZ$9:CZ$1273,MATCH($M133,Data!$K$9:$K$1273,0)),"")</f>
        <v/>
      </c>
      <c r="BD133" s="312">
        <f>IFERROR(INDEX(Data!DA$9:DA$1273,MATCH($M133,Data!$K$9:$K$1273,0)),"")</f>
        <v/>
      </c>
      <c r="BE133" s="312">
        <f>IFERROR(INDEX(Data!DB$9:DB$1273,MATCH($M133,Data!$K$9:$K$1273,0)),"")</f>
        <v/>
      </c>
      <c r="BF133" s="312">
        <f>IFERROR(INDEX(Data!DC$9:DC$1273,MATCH($M133,Data!$K$9:$K$1273,0)),"")</f>
        <v/>
      </c>
      <c r="BG133" s="312">
        <f>IFERROR(INDEX(Data!DD$9:DD$1273,MATCH($M133,Data!$K$9:$K$1273,0)),"")</f>
        <v/>
      </c>
      <c r="BH133" s="312">
        <f>IFERROR(INDEX(Data!DE$9:DE$1273,MATCH($M133,Data!$K$9:$K$1273,0)),"")</f>
        <v/>
      </c>
      <c r="BI133" s="312">
        <f>IFERROR(INDEX(Data!DF$9:DF$1273,MATCH($M133,Data!$K$9:$K$1273,0)),"")</f>
        <v/>
      </c>
      <c r="BJ133" s="312">
        <f>IFERROR(INDEX(Data!DG$9:DG$1273,MATCH($M133,Data!$K$9:$K$1273,0)),"")</f>
        <v/>
      </c>
      <c r="BK133" s="312">
        <f>IFERROR(INDEX(Data!DH$9:DH$1273,MATCH($M133,Data!$K$9:$K$1273,0)),"")</f>
        <v/>
      </c>
      <c r="BL133" s="312">
        <f>IFERROR(INDEX(Data!DI$9:DI$1273,MATCH($M133,Data!$K$9:$K$1273,0)),"")</f>
        <v/>
      </c>
      <c r="BM133" s="312">
        <f>IFERROR(INDEX(Data!DJ$9:DJ$1273,MATCH($M133,Data!$K$9:$K$1273,0)),"")</f>
        <v/>
      </c>
      <c r="BN133" s="312">
        <f>IFERROR(INDEX(Data!DK$9:DK$1273,MATCH($M133,Data!$K$9:$K$1273,0)),"")</f>
        <v/>
      </c>
      <c r="BO133" s="312">
        <f>IFERROR(INDEX(Data!DL$9:DL$1273,MATCH($M133,Data!$K$9:$K$1273,0)),"")</f>
        <v/>
      </c>
      <c r="BP133" s="331">
        <f>IFERROR(IF(BK133=0,"-",BK133),"")</f>
        <v/>
      </c>
      <c r="BQ133" s="312">
        <f>IFERROR(IF(BP133-K133&gt;0,TRUE,FALSE)," ")</f>
        <v/>
      </c>
      <c r="BR133" s="312">
        <f>_xlfn.CONCAT(E133,F133,H133,G133)</f>
        <v/>
      </c>
      <c r="BS133" s="312">
        <f>IFERROR(INDEX(Data!$DO$9:$DO$1273,MATCH('Your recommendation'!BR133,Data!$DN$9:$DN$1273,0)),"")</f>
        <v/>
      </c>
    </row>
    <row r="134" ht="15.6" customFormat="1" customHeight="1" s="138">
      <c r="B134" s="309">
        <f>IF(C134&gt;0,B133+1,"")</f>
        <v/>
      </c>
      <c r="C134" s="310" t="n"/>
      <c r="D134" s="312">
        <f>IFERROR(INDEX(Data!BR$9:BR$1273,MATCH($M134,Data!$K$9:$K$1273,0)),"")</f>
        <v/>
      </c>
      <c r="E134" s="312">
        <f>IFERROR(INDEX(Data!BS$9:BS$1273,MATCH($M134,Data!$K$9:$K$1273,0)),"")</f>
        <v/>
      </c>
      <c r="F134" s="312">
        <f>IFERROR(INDEX(Data!DM$9:DM$1273,MATCH($M134,Data!$K$9:$K$1273,0)),"")</f>
        <v/>
      </c>
      <c r="G134" s="312">
        <f>IFERROR(INDEX(Data!BV$9:BV$1273,MATCH($M134,Data!$K$9:$K$1273,0)),"")</f>
        <v/>
      </c>
      <c r="H134" s="312">
        <f>IFERROR(INDEX(Data!BW$9:BW$1273,MATCH($M134,Data!$K$9:$K$1273,0)),"")</f>
        <v/>
      </c>
      <c r="I134" s="312">
        <f>IFERROR(INDEX(Data!BX$9:BX$1273,MATCH($M134,Data!$K$9:$K$1273,0)),"")</f>
        <v/>
      </c>
      <c r="J134" s="312">
        <f>IFERROR(INDEX(Data!CB$9:CB$1273,MATCH($M134,Data!$K$9:$K$1273,0)),"")</f>
        <v/>
      </c>
      <c r="K134" s="329">
        <f>IFERROR(HYPERLINK(BM134,BC134),"-")</f>
        <v/>
      </c>
      <c r="L134" s="330">
        <f>IFERROR(IF(BB134=0,"-",BB134)," ")</f>
        <v/>
      </c>
      <c r="M134" s="311" t="n"/>
      <c r="N134" s="311" t="n"/>
      <c r="O134" s="311">
        <f>IFERROR(INDEX(Data!M$9:M$1273,MATCH($M134,Data!$K$9:$K$1273,0)),"")</f>
        <v/>
      </c>
      <c r="P134" s="311">
        <f>IFERROR(INDEX(Data!N$9:N$1273,MATCH($M134,Data!$K$9:$K$1273,0)),"")</f>
        <v/>
      </c>
      <c r="Q134" s="311">
        <f>IFERROR(INDEX(Data!O$9:O$1273,MATCH($M134,Data!$K$9:$K$1273,0)),"")</f>
        <v/>
      </c>
      <c r="R134" s="311">
        <f>IFERROR(INDEX(Data!P$9:P$1273,MATCH($M134,Data!$K$9:$K$1273,0)),"")</f>
        <v/>
      </c>
      <c r="S134" s="311">
        <f>IFERROR(INDEX(Data!S$9:S$1273,MATCH($M134,Data!$K$9:$K$1273,0)),"")</f>
        <v/>
      </c>
      <c r="T134" s="311">
        <f>IFERROR(INDEX(Data!T$9:T$1273,MATCH($M134,Data!$K$9:$K$1273,0)),"")</f>
        <v/>
      </c>
      <c r="U134" s="311">
        <f>IFERROR(INDEX(Data!U$9:U$1273,MATCH($M134,Data!$K$9:$K$1273,0)),"")</f>
        <v/>
      </c>
      <c r="V134" s="311">
        <f>IFERROR(INDEX(Data!V$9:V$1273,MATCH($M134,Data!$K$9:$K$1273,0)),"")</f>
        <v/>
      </c>
      <c r="W134" s="311">
        <f>IFERROR(INDEX(Data!W$9:W$1273,MATCH($M134,Data!$K$9:$K$1273,0)),"")</f>
        <v/>
      </c>
      <c r="X134" s="311">
        <f>IFERROR(INDEX(Data!AJ$9:AJ$1273,MATCH($M134,Data!$K$9:$K$1273,0)),"")</f>
        <v/>
      </c>
      <c r="Y134" s="311">
        <f>IFERROR(INDEX(Data!AK$9:AK$1273,MATCH($M134,Data!$K$9:$K$1273,0)),"")</f>
        <v/>
      </c>
      <c r="Z134" s="311">
        <f>IFERROR(INDEX(Data!AL$9:AL$1273,MATCH($M134,Data!$K$9:$K$1273,0)),"")</f>
        <v/>
      </c>
      <c r="AA134" s="311">
        <f>IFERROR(INDEX(Data!AM$9:AM$1273,MATCH($M134,Data!$K$9:$K$1273,0)),"")</f>
        <v/>
      </c>
      <c r="AB134" s="311">
        <f>IFERROR(INDEX(Data!AN$9:AN$1273,MATCH($M134,Data!$K$9:$K$1273,0)),"")</f>
        <v/>
      </c>
      <c r="AC134" s="312">
        <f>IFERROR(INDEX(Data!BY$9:BY$1273,MATCH($M134,Data!$K$9:$K$1273,0)),"")</f>
        <v/>
      </c>
      <c r="AD134" s="312">
        <f>IFERROR(INDEX(Data!BZ$9:BZ$1273,MATCH($M134,Data!$K$9:$K$1273,0)),"")</f>
        <v/>
      </c>
      <c r="AE134" s="312">
        <f>IFERROR(INDEX(Data!CA$9:CA$1273,MATCH($M134,Data!$K$9:$K$1273,0)),"")</f>
        <v/>
      </c>
      <c r="AF134" s="312">
        <f>IFERROR(INDEX(Data!CB$9:CB$1273,MATCH($M134,Data!$K$9:$K$1273,0)),"")</f>
        <v/>
      </c>
      <c r="AG134" s="312">
        <f>IFERROR(INDEX(Data!CC$9:CC$1273,MATCH($M134,Data!$K$9:$K$1273,0)),"")</f>
        <v/>
      </c>
      <c r="AH134" s="312">
        <f>IFERROR(INDEX(Data!CD$9:CD$1273,MATCH($M134,Data!$K$9:$K$1273,0)),"")</f>
        <v/>
      </c>
      <c r="AI134" s="312">
        <f>IFERROR(INDEX(Data!CE$9:CE$1273,MATCH($M134,Data!$K$9:$K$1273,0)),"")</f>
        <v/>
      </c>
      <c r="AJ134" s="312">
        <f>IFERROR(INDEX(Data!CF$9:CF$1273,MATCH($M134,Data!$K$9:$K$1273,0)),"")</f>
        <v/>
      </c>
      <c r="AK134" s="312">
        <f>IFERROR(INDEX(Data!CG$9:CG$1273,MATCH($M134,Data!$K$9:$K$1273,0)),"")</f>
        <v/>
      </c>
      <c r="AL134" s="312">
        <f>IFERROR(INDEX(Data!CH$9:CH$1273,MATCH($M134,Data!$K$9:$K$1273,0)),"")</f>
        <v/>
      </c>
      <c r="AM134" s="312">
        <f>IFERROR(INDEX(Data!CI$9:CI$1273,MATCH($M134,Data!$K$9:$K$1273,0)),"")</f>
        <v/>
      </c>
      <c r="AN134" s="312">
        <f>IFERROR(INDEX(Data!CJ$9:CJ$1273,MATCH($M134,Data!$K$9:$K$1273,0)),"")</f>
        <v/>
      </c>
      <c r="AO134" s="312">
        <f>IFERROR(INDEX(Data!CK$9:CK$1273,MATCH($M134,Data!$K$9:$K$1273,0)),"")</f>
        <v/>
      </c>
      <c r="AP134" s="312">
        <f>IFERROR(INDEX(Data!CL$9:CL$1273,MATCH($M134,Data!$K$9:$K$1273,0)),"")</f>
        <v/>
      </c>
      <c r="AQ134" s="312">
        <f>IFERROR(INDEX(Data!CM$9:CM$1273,MATCH($M134,Data!$K$9:$K$1273,0)),"")</f>
        <v/>
      </c>
      <c r="AR134" s="312">
        <f>IFERROR(INDEX(Data!CN$9:CN$1273,MATCH($M134,Data!$K$9:$K$1273,0)),"")</f>
        <v/>
      </c>
      <c r="AS134" s="312">
        <f>IFERROR(INDEX(Data!CO$9:CO$1273,MATCH($M134,Data!$K$9:$K$1273,0)),"")</f>
        <v/>
      </c>
      <c r="AT134" s="312">
        <f>IFERROR(INDEX(Data!CP$9:CP$1273,MATCH($M134,Data!$K$9:$K$1273,0)),"")</f>
        <v/>
      </c>
      <c r="AU134" s="312">
        <f>IFERROR(INDEX(Data!CQ$9:CQ$1273,MATCH($M134,Data!$K$9:$K$1273,0)),"")</f>
        <v/>
      </c>
      <c r="AV134" s="312">
        <f>IFERROR(INDEX(Data!CR$9:CR$1273,MATCH($M134,Data!$K$9:$K$1273,0)),"")</f>
        <v/>
      </c>
      <c r="AW134" s="312">
        <f>IFERROR(INDEX(Data!CS$9:CS$1273,MATCH($M134,Data!$K$9:$K$1273,0)),"")</f>
        <v/>
      </c>
      <c r="AX134" s="312">
        <f>IFERROR(INDEX(Data!CT$9:CT$1273,MATCH($M134,Data!$K$9:$K$1273,0)),"")</f>
        <v/>
      </c>
      <c r="AY134" s="312">
        <f>IFERROR(INDEX(Data!CU$9:CU$1273,MATCH($M134,Data!$K$9:$K$1273,0)),"")</f>
        <v/>
      </c>
      <c r="AZ134" s="312">
        <f>IFERROR(INDEX(Data!CV$9:CV$1273,MATCH($M134,Data!$K$9:$K$1273,0)),"")</f>
        <v/>
      </c>
      <c r="BA134" s="312">
        <f>IFERROR(INDEX(Data!CX$9:CX$1273,MATCH($M134,Data!$K$9:$K$1273,0)),"")</f>
        <v/>
      </c>
      <c r="BB134" s="312">
        <f>IFERROR(INDEX(Data!CY$9:CY$1273,MATCH($M134,Data!$K$9:$K$1273,0)),"")</f>
        <v/>
      </c>
      <c r="BC134" s="312">
        <f>IFERROR(INDEX(Data!CZ$9:CZ$1273,MATCH($M134,Data!$K$9:$K$1273,0)),"")</f>
        <v/>
      </c>
      <c r="BD134" s="312">
        <f>IFERROR(INDEX(Data!DA$9:DA$1273,MATCH($M134,Data!$K$9:$K$1273,0)),"")</f>
        <v/>
      </c>
      <c r="BE134" s="312">
        <f>IFERROR(INDEX(Data!DB$9:DB$1273,MATCH($M134,Data!$K$9:$K$1273,0)),"")</f>
        <v/>
      </c>
      <c r="BF134" s="312">
        <f>IFERROR(INDEX(Data!DC$9:DC$1273,MATCH($M134,Data!$K$9:$K$1273,0)),"")</f>
        <v/>
      </c>
      <c r="BG134" s="312">
        <f>IFERROR(INDEX(Data!DD$9:DD$1273,MATCH($M134,Data!$K$9:$K$1273,0)),"")</f>
        <v/>
      </c>
      <c r="BH134" s="312">
        <f>IFERROR(INDEX(Data!DE$9:DE$1273,MATCH($M134,Data!$K$9:$K$1273,0)),"")</f>
        <v/>
      </c>
      <c r="BI134" s="312">
        <f>IFERROR(INDEX(Data!DF$9:DF$1273,MATCH($M134,Data!$K$9:$K$1273,0)),"")</f>
        <v/>
      </c>
      <c r="BJ134" s="312">
        <f>IFERROR(INDEX(Data!DG$9:DG$1273,MATCH($M134,Data!$K$9:$K$1273,0)),"")</f>
        <v/>
      </c>
      <c r="BK134" s="312">
        <f>IFERROR(INDEX(Data!DH$9:DH$1273,MATCH($M134,Data!$K$9:$K$1273,0)),"")</f>
        <v/>
      </c>
      <c r="BL134" s="312">
        <f>IFERROR(INDEX(Data!DI$9:DI$1273,MATCH($M134,Data!$K$9:$K$1273,0)),"")</f>
        <v/>
      </c>
      <c r="BM134" s="312">
        <f>IFERROR(INDEX(Data!DJ$9:DJ$1273,MATCH($M134,Data!$K$9:$K$1273,0)),"")</f>
        <v/>
      </c>
      <c r="BN134" s="312">
        <f>IFERROR(INDEX(Data!DK$9:DK$1273,MATCH($M134,Data!$K$9:$K$1273,0)),"")</f>
        <v/>
      </c>
      <c r="BO134" s="312">
        <f>IFERROR(INDEX(Data!DL$9:DL$1273,MATCH($M134,Data!$K$9:$K$1273,0)),"")</f>
        <v/>
      </c>
      <c r="BP134" s="331">
        <f>IFERROR(IF(BK134=0,"-",BK134),"")</f>
        <v/>
      </c>
      <c r="BQ134" s="312">
        <f>IFERROR(IF(BP134-K134&gt;0,TRUE,FALSE)," ")</f>
        <v/>
      </c>
      <c r="BR134" s="312">
        <f>_xlfn.CONCAT(E134,F134,H134,G134)</f>
        <v/>
      </c>
      <c r="BS134" s="312">
        <f>IFERROR(INDEX(Data!$DO$9:$DO$1273,MATCH('Your recommendation'!BR134,Data!$DN$9:$DN$1273,0)),"")</f>
        <v/>
      </c>
    </row>
    <row r="135" ht="15.6" customFormat="1" customHeight="1" s="138">
      <c r="B135" s="309">
        <f>IF(C135&gt;0,B134+1,"")</f>
        <v/>
      </c>
      <c r="C135" s="310" t="n"/>
      <c r="D135" s="312">
        <f>IFERROR(INDEX(Data!BR$9:BR$1273,MATCH($M135,Data!$K$9:$K$1273,0)),"")</f>
        <v/>
      </c>
      <c r="E135" s="312">
        <f>IFERROR(INDEX(Data!BS$9:BS$1273,MATCH($M135,Data!$K$9:$K$1273,0)),"")</f>
        <v/>
      </c>
      <c r="F135" s="312">
        <f>IFERROR(INDEX(Data!DM$9:DM$1273,MATCH($M135,Data!$K$9:$K$1273,0)),"")</f>
        <v/>
      </c>
      <c r="G135" s="312">
        <f>IFERROR(INDEX(Data!BV$9:BV$1273,MATCH($M135,Data!$K$9:$K$1273,0)),"")</f>
        <v/>
      </c>
      <c r="H135" s="312">
        <f>IFERROR(INDEX(Data!BW$9:BW$1273,MATCH($M135,Data!$K$9:$K$1273,0)),"")</f>
        <v/>
      </c>
      <c r="I135" s="312">
        <f>IFERROR(INDEX(Data!BX$9:BX$1273,MATCH($M135,Data!$K$9:$K$1273,0)),"")</f>
        <v/>
      </c>
      <c r="J135" s="312">
        <f>IFERROR(INDEX(Data!CB$9:CB$1273,MATCH($M135,Data!$K$9:$K$1273,0)),"")</f>
        <v/>
      </c>
      <c r="K135" s="329">
        <f>IFERROR(HYPERLINK(BM135,BC135),"-")</f>
        <v/>
      </c>
      <c r="L135" s="330">
        <f>IFERROR(IF(BB135=0,"-",BB135)," ")</f>
        <v/>
      </c>
      <c r="M135" s="311" t="n"/>
      <c r="N135" s="311" t="n"/>
      <c r="O135" s="311">
        <f>IFERROR(INDEX(Data!M$9:M$1273,MATCH($M135,Data!$K$9:$K$1273,0)),"")</f>
        <v/>
      </c>
      <c r="P135" s="311">
        <f>IFERROR(INDEX(Data!N$9:N$1273,MATCH($M135,Data!$K$9:$K$1273,0)),"")</f>
        <v/>
      </c>
      <c r="Q135" s="311">
        <f>IFERROR(INDEX(Data!O$9:O$1273,MATCH($M135,Data!$K$9:$K$1273,0)),"")</f>
        <v/>
      </c>
      <c r="R135" s="311">
        <f>IFERROR(INDEX(Data!P$9:P$1273,MATCH($M135,Data!$K$9:$K$1273,0)),"")</f>
        <v/>
      </c>
      <c r="S135" s="311">
        <f>IFERROR(INDEX(Data!S$9:S$1273,MATCH($M135,Data!$K$9:$K$1273,0)),"")</f>
        <v/>
      </c>
      <c r="T135" s="311">
        <f>IFERROR(INDEX(Data!T$9:T$1273,MATCH($M135,Data!$K$9:$K$1273,0)),"")</f>
        <v/>
      </c>
      <c r="U135" s="311">
        <f>IFERROR(INDEX(Data!U$9:U$1273,MATCH($M135,Data!$K$9:$K$1273,0)),"")</f>
        <v/>
      </c>
      <c r="V135" s="311">
        <f>IFERROR(INDEX(Data!V$9:V$1273,MATCH($M135,Data!$K$9:$K$1273,0)),"")</f>
        <v/>
      </c>
      <c r="W135" s="311">
        <f>IFERROR(INDEX(Data!W$9:W$1273,MATCH($M135,Data!$K$9:$K$1273,0)),"")</f>
        <v/>
      </c>
      <c r="X135" s="311">
        <f>IFERROR(INDEX(Data!AJ$9:AJ$1273,MATCH($M135,Data!$K$9:$K$1273,0)),"")</f>
        <v/>
      </c>
      <c r="Y135" s="311">
        <f>IFERROR(INDEX(Data!AK$9:AK$1273,MATCH($M135,Data!$K$9:$K$1273,0)),"")</f>
        <v/>
      </c>
      <c r="Z135" s="311">
        <f>IFERROR(INDEX(Data!AL$9:AL$1273,MATCH($M135,Data!$K$9:$K$1273,0)),"")</f>
        <v/>
      </c>
      <c r="AA135" s="311">
        <f>IFERROR(INDEX(Data!AM$9:AM$1273,MATCH($M135,Data!$K$9:$K$1273,0)),"")</f>
        <v/>
      </c>
      <c r="AB135" s="311">
        <f>IFERROR(INDEX(Data!AN$9:AN$1273,MATCH($M135,Data!$K$9:$K$1273,0)),"")</f>
        <v/>
      </c>
      <c r="AC135" s="312">
        <f>IFERROR(INDEX(Data!BY$9:BY$1273,MATCH($M135,Data!$K$9:$K$1273,0)),"")</f>
        <v/>
      </c>
      <c r="AD135" s="312">
        <f>IFERROR(INDEX(Data!BZ$9:BZ$1273,MATCH($M135,Data!$K$9:$K$1273,0)),"")</f>
        <v/>
      </c>
      <c r="AE135" s="312">
        <f>IFERROR(INDEX(Data!CA$9:CA$1273,MATCH($M135,Data!$K$9:$K$1273,0)),"")</f>
        <v/>
      </c>
      <c r="AF135" s="312">
        <f>IFERROR(INDEX(Data!CB$9:CB$1273,MATCH($M135,Data!$K$9:$K$1273,0)),"")</f>
        <v/>
      </c>
      <c r="AG135" s="312">
        <f>IFERROR(INDEX(Data!CC$9:CC$1273,MATCH($M135,Data!$K$9:$K$1273,0)),"")</f>
        <v/>
      </c>
      <c r="AH135" s="312">
        <f>IFERROR(INDEX(Data!CD$9:CD$1273,MATCH($M135,Data!$K$9:$K$1273,0)),"")</f>
        <v/>
      </c>
      <c r="AI135" s="312">
        <f>IFERROR(INDEX(Data!CE$9:CE$1273,MATCH($M135,Data!$K$9:$K$1273,0)),"")</f>
        <v/>
      </c>
      <c r="AJ135" s="312">
        <f>IFERROR(INDEX(Data!CF$9:CF$1273,MATCH($M135,Data!$K$9:$K$1273,0)),"")</f>
        <v/>
      </c>
      <c r="AK135" s="312">
        <f>IFERROR(INDEX(Data!CG$9:CG$1273,MATCH($M135,Data!$K$9:$K$1273,0)),"")</f>
        <v/>
      </c>
      <c r="AL135" s="312">
        <f>IFERROR(INDEX(Data!CH$9:CH$1273,MATCH($M135,Data!$K$9:$K$1273,0)),"")</f>
        <v/>
      </c>
      <c r="AM135" s="312">
        <f>IFERROR(INDEX(Data!CI$9:CI$1273,MATCH($M135,Data!$K$9:$K$1273,0)),"")</f>
        <v/>
      </c>
      <c r="AN135" s="312">
        <f>IFERROR(INDEX(Data!CJ$9:CJ$1273,MATCH($M135,Data!$K$9:$K$1273,0)),"")</f>
        <v/>
      </c>
      <c r="AO135" s="312">
        <f>IFERROR(INDEX(Data!CK$9:CK$1273,MATCH($M135,Data!$K$9:$K$1273,0)),"")</f>
        <v/>
      </c>
      <c r="AP135" s="312">
        <f>IFERROR(INDEX(Data!CL$9:CL$1273,MATCH($M135,Data!$K$9:$K$1273,0)),"")</f>
        <v/>
      </c>
      <c r="AQ135" s="312">
        <f>IFERROR(INDEX(Data!CM$9:CM$1273,MATCH($M135,Data!$K$9:$K$1273,0)),"")</f>
        <v/>
      </c>
      <c r="AR135" s="312">
        <f>IFERROR(INDEX(Data!CN$9:CN$1273,MATCH($M135,Data!$K$9:$K$1273,0)),"")</f>
        <v/>
      </c>
      <c r="AS135" s="312">
        <f>IFERROR(INDEX(Data!CO$9:CO$1273,MATCH($M135,Data!$K$9:$K$1273,0)),"")</f>
        <v/>
      </c>
      <c r="AT135" s="312">
        <f>IFERROR(INDEX(Data!CP$9:CP$1273,MATCH($M135,Data!$K$9:$K$1273,0)),"")</f>
        <v/>
      </c>
      <c r="AU135" s="312">
        <f>IFERROR(INDEX(Data!CQ$9:CQ$1273,MATCH($M135,Data!$K$9:$K$1273,0)),"")</f>
        <v/>
      </c>
      <c r="AV135" s="312">
        <f>IFERROR(INDEX(Data!CR$9:CR$1273,MATCH($M135,Data!$K$9:$K$1273,0)),"")</f>
        <v/>
      </c>
      <c r="AW135" s="312">
        <f>IFERROR(INDEX(Data!CS$9:CS$1273,MATCH($M135,Data!$K$9:$K$1273,0)),"")</f>
        <v/>
      </c>
      <c r="AX135" s="312">
        <f>IFERROR(INDEX(Data!CT$9:CT$1273,MATCH($M135,Data!$K$9:$K$1273,0)),"")</f>
        <v/>
      </c>
      <c r="AY135" s="312">
        <f>IFERROR(INDEX(Data!CU$9:CU$1273,MATCH($M135,Data!$K$9:$K$1273,0)),"")</f>
        <v/>
      </c>
      <c r="AZ135" s="312">
        <f>IFERROR(INDEX(Data!CV$9:CV$1273,MATCH($M135,Data!$K$9:$K$1273,0)),"")</f>
        <v/>
      </c>
      <c r="BA135" s="312">
        <f>IFERROR(INDEX(Data!CX$9:CX$1273,MATCH($M135,Data!$K$9:$K$1273,0)),"")</f>
        <v/>
      </c>
      <c r="BB135" s="312">
        <f>IFERROR(INDEX(Data!CY$9:CY$1273,MATCH($M135,Data!$K$9:$K$1273,0)),"")</f>
        <v/>
      </c>
      <c r="BC135" s="312">
        <f>IFERROR(INDEX(Data!CZ$9:CZ$1273,MATCH($M135,Data!$K$9:$K$1273,0)),"")</f>
        <v/>
      </c>
      <c r="BD135" s="312">
        <f>IFERROR(INDEX(Data!DA$9:DA$1273,MATCH($M135,Data!$K$9:$K$1273,0)),"")</f>
        <v/>
      </c>
      <c r="BE135" s="312">
        <f>IFERROR(INDEX(Data!DB$9:DB$1273,MATCH($M135,Data!$K$9:$K$1273,0)),"")</f>
        <v/>
      </c>
      <c r="BF135" s="312">
        <f>IFERROR(INDEX(Data!DC$9:DC$1273,MATCH($M135,Data!$K$9:$K$1273,0)),"")</f>
        <v/>
      </c>
      <c r="BG135" s="312">
        <f>IFERROR(INDEX(Data!DD$9:DD$1273,MATCH($M135,Data!$K$9:$K$1273,0)),"")</f>
        <v/>
      </c>
      <c r="BH135" s="312">
        <f>IFERROR(INDEX(Data!DE$9:DE$1273,MATCH($M135,Data!$K$9:$K$1273,0)),"")</f>
        <v/>
      </c>
      <c r="BI135" s="312">
        <f>IFERROR(INDEX(Data!DF$9:DF$1273,MATCH($M135,Data!$K$9:$K$1273,0)),"")</f>
        <v/>
      </c>
      <c r="BJ135" s="312">
        <f>IFERROR(INDEX(Data!DG$9:DG$1273,MATCH($M135,Data!$K$9:$K$1273,0)),"")</f>
        <v/>
      </c>
      <c r="BK135" s="312">
        <f>IFERROR(INDEX(Data!DH$9:DH$1273,MATCH($M135,Data!$K$9:$K$1273,0)),"")</f>
        <v/>
      </c>
      <c r="BL135" s="312">
        <f>IFERROR(INDEX(Data!DI$9:DI$1273,MATCH($M135,Data!$K$9:$K$1273,0)),"")</f>
        <v/>
      </c>
      <c r="BM135" s="312">
        <f>IFERROR(INDEX(Data!DJ$9:DJ$1273,MATCH($M135,Data!$K$9:$K$1273,0)),"")</f>
        <v/>
      </c>
      <c r="BN135" s="312">
        <f>IFERROR(INDEX(Data!DK$9:DK$1273,MATCH($M135,Data!$K$9:$K$1273,0)),"")</f>
        <v/>
      </c>
      <c r="BO135" s="312">
        <f>IFERROR(INDEX(Data!DL$9:DL$1273,MATCH($M135,Data!$K$9:$K$1273,0)),"")</f>
        <v/>
      </c>
      <c r="BP135" s="331">
        <f>IFERROR(IF(BK135=0,"-",BK135),"")</f>
        <v/>
      </c>
      <c r="BQ135" s="312">
        <f>IFERROR(IF(BP135-K135&gt;0,TRUE,FALSE)," ")</f>
        <v/>
      </c>
      <c r="BR135" s="312">
        <f>_xlfn.CONCAT(E135,F135,H135,G135)</f>
        <v/>
      </c>
      <c r="BS135" s="312">
        <f>IFERROR(INDEX(Data!$DO$9:$DO$1273,MATCH('Your recommendation'!BR135,Data!$DN$9:$DN$1273,0)),"")</f>
        <v/>
      </c>
    </row>
    <row r="136" ht="15.6" customFormat="1" customHeight="1" s="138">
      <c r="B136" s="309">
        <f>IF(C136&gt;0,B135+1,"")</f>
        <v/>
      </c>
      <c r="C136" s="310" t="n"/>
      <c r="D136" s="312">
        <f>IFERROR(INDEX(Data!BR$9:BR$1273,MATCH($M136,Data!$K$9:$K$1273,0)),"")</f>
        <v/>
      </c>
      <c r="E136" s="312">
        <f>IFERROR(INDEX(Data!BS$9:BS$1273,MATCH($M136,Data!$K$9:$K$1273,0)),"")</f>
        <v/>
      </c>
      <c r="F136" s="312">
        <f>IFERROR(INDEX(Data!DM$9:DM$1273,MATCH($M136,Data!$K$9:$K$1273,0)),"")</f>
        <v/>
      </c>
      <c r="G136" s="312">
        <f>IFERROR(INDEX(Data!BV$9:BV$1273,MATCH($M136,Data!$K$9:$K$1273,0)),"")</f>
        <v/>
      </c>
      <c r="H136" s="312">
        <f>IFERROR(INDEX(Data!BW$9:BW$1273,MATCH($M136,Data!$K$9:$K$1273,0)),"")</f>
        <v/>
      </c>
      <c r="I136" s="312">
        <f>IFERROR(INDEX(Data!BX$9:BX$1273,MATCH($M136,Data!$K$9:$K$1273,0)),"")</f>
        <v/>
      </c>
      <c r="J136" s="312">
        <f>IFERROR(INDEX(Data!CB$9:CB$1273,MATCH($M136,Data!$K$9:$K$1273,0)),"")</f>
        <v/>
      </c>
      <c r="K136" s="329">
        <f>IFERROR(HYPERLINK(BM136,BC136),"-")</f>
        <v/>
      </c>
      <c r="L136" s="330">
        <f>IFERROR(IF(BB136=0,"-",BB136)," ")</f>
        <v/>
      </c>
      <c r="M136" s="311" t="n"/>
      <c r="N136" s="311" t="n"/>
      <c r="O136" s="311">
        <f>IFERROR(INDEX(Data!M$9:M$1273,MATCH($M136,Data!$K$9:$K$1273,0)),"")</f>
        <v/>
      </c>
      <c r="P136" s="311">
        <f>IFERROR(INDEX(Data!N$9:N$1273,MATCH($M136,Data!$K$9:$K$1273,0)),"")</f>
        <v/>
      </c>
      <c r="Q136" s="311">
        <f>IFERROR(INDEX(Data!O$9:O$1273,MATCH($M136,Data!$K$9:$K$1273,0)),"")</f>
        <v/>
      </c>
      <c r="R136" s="311">
        <f>IFERROR(INDEX(Data!P$9:P$1273,MATCH($M136,Data!$K$9:$K$1273,0)),"")</f>
        <v/>
      </c>
      <c r="S136" s="311">
        <f>IFERROR(INDEX(Data!S$9:S$1273,MATCH($M136,Data!$K$9:$K$1273,0)),"")</f>
        <v/>
      </c>
      <c r="T136" s="311">
        <f>IFERROR(INDEX(Data!T$9:T$1273,MATCH($M136,Data!$K$9:$K$1273,0)),"")</f>
        <v/>
      </c>
      <c r="U136" s="311">
        <f>IFERROR(INDEX(Data!U$9:U$1273,MATCH($M136,Data!$K$9:$K$1273,0)),"")</f>
        <v/>
      </c>
      <c r="V136" s="311">
        <f>IFERROR(INDEX(Data!V$9:V$1273,MATCH($M136,Data!$K$9:$K$1273,0)),"")</f>
        <v/>
      </c>
      <c r="W136" s="311">
        <f>IFERROR(INDEX(Data!W$9:W$1273,MATCH($M136,Data!$K$9:$K$1273,0)),"")</f>
        <v/>
      </c>
      <c r="X136" s="311">
        <f>IFERROR(INDEX(Data!AJ$9:AJ$1273,MATCH($M136,Data!$K$9:$K$1273,0)),"")</f>
        <v/>
      </c>
      <c r="Y136" s="311">
        <f>IFERROR(INDEX(Data!AK$9:AK$1273,MATCH($M136,Data!$K$9:$K$1273,0)),"")</f>
        <v/>
      </c>
      <c r="Z136" s="311">
        <f>IFERROR(INDEX(Data!AL$9:AL$1273,MATCH($M136,Data!$K$9:$K$1273,0)),"")</f>
        <v/>
      </c>
      <c r="AA136" s="311">
        <f>IFERROR(INDEX(Data!AM$9:AM$1273,MATCH($M136,Data!$K$9:$K$1273,0)),"")</f>
        <v/>
      </c>
      <c r="AB136" s="311">
        <f>IFERROR(INDEX(Data!AN$9:AN$1273,MATCH($M136,Data!$K$9:$K$1273,0)),"")</f>
        <v/>
      </c>
      <c r="AC136" s="312">
        <f>IFERROR(INDEX(Data!BY$9:BY$1273,MATCH($M136,Data!$K$9:$K$1273,0)),"")</f>
        <v/>
      </c>
      <c r="AD136" s="312">
        <f>IFERROR(INDEX(Data!BZ$9:BZ$1273,MATCH($M136,Data!$K$9:$K$1273,0)),"")</f>
        <v/>
      </c>
      <c r="AE136" s="312">
        <f>IFERROR(INDEX(Data!CA$9:CA$1273,MATCH($M136,Data!$K$9:$K$1273,0)),"")</f>
        <v/>
      </c>
      <c r="AF136" s="312">
        <f>IFERROR(INDEX(Data!CB$9:CB$1273,MATCH($M136,Data!$K$9:$K$1273,0)),"")</f>
        <v/>
      </c>
      <c r="AG136" s="312">
        <f>IFERROR(INDEX(Data!CC$9:CC$1273,MATCH($M136,Data!$K$9:$K$1273,0)),"")</f>
        <v/>
      </c>
      <c r="AH136" s="312">
        <f>IFERROR(INDEX(Data!CD$9:CD$1273,MATCH($M136,Data!$K$9:$K$1273,0)),"")</f>
        <v/>
      </c>
      <c r="AI136" s="312">
        <f>IFERROR(INDEX(Data!CE$9:CE$1273,MATCH($M136,Data!$K$9:$K$1273,0)),"")</f>
        <v/>
      </c>
      <c r="AJ136" s="312">
        <f>IFERROR(INDEX(Data!CF$9:CF$1273,MATCH($M136,Data!$K$9:$K$1273,0)),"")</f>
        <v/>
      </c>
      <c r="AK136" s="312">
        <f>IFERROR(INDEX(Data!CG$9:CG$1273,MATCH($M136,Data!$K$9:$K$1273,0)),"")</f>
        <v/>
      </c>
      <c r="AL136" s="312">
        <f>IFERROR(INDEX(Data!CH$9:CH$1273,MATCH($M136,Data!$K$9:$K$1273,0)),"")</f>
        <v/>
      </c>
      <c r="AM136" s="312">
        <f>IFERROR(INDEX(Data!CI$9:CI$1273,MATCH($M136,Data!$K$9:$K$1273,0)),"")</f>
        <v/>
      </c>
      <c r="AN136" s="312">
        <f>IFERROR(INDEX(Data!CJ$9:CJ$1273,MATCH($M136,Data!$K$9:$K$1273,0)),"")</f>
        <v/>
      </c>
      <c r="AO136" s="312">
        <f>IFERROR(INDEX(Data!CK$9:CK$1273,MATCH($M136,Data!$K$9:$K$1273,0)),"")</f>
        <v/>
      </c>
      <c r="AP136" s="312">
        <f>IFERROR(INDEX(Data!CL$9:CL$1273,MATCH($M136,Data!$K$9:$K$1273,0)),"")</f>
        <v/>
      </c>
      <c r="AQ136" s="312">
        <f>IFERROR(INDEX(Data!CM$9:CM$1273,MATCH($M136,Data!$K$9:$K$1273,0)),"")</f>
        <v/>
      </c>
      <c r="AR136" s="312">
        <f>IFERROR(INDEX(Data!CN$9:CN$1273,MATCH($M136,Data!$K$9:$K$1273,0)),"")</f>
        <v/>
      </c>
      <c r="AS136" s="312">
        <f>IFERROR(INDEX(Data!CO$9:CO$1273,MATCH($M136,Data!$K$9:$K$1273,0)),"")</f>
        <v/>
      </c>
      <c r="AT136" s="312">
        <f>IFERROR(INDEX(Data!CP$9:CP$1273,MATCH($M136,Data!$K$9:$K$1273,0)),"")</f>
        <v/>
      </c>
      <c r="AU136" s="312">
        <f>IFERROR(INDEX(Data!CQ$9:CQ$1273,MATCH($M136,Data!$K$9:$K$1273,0)),"")</f>
        <v/>
      </c>
      <c r="AV136" s="312">
        <f>IFERROR(INDEX(Data!CR$9:CR$1273,MATCH($M136,Data!$K$9:$K$1273,0)),"")</f>
        <v/>
      </c>
      <c r="AW136" s="312">
        <f>IFERROR(INDEX(Data!CS$9:CS$1273,MATCH($M136,Data!$K$9:$K$1273,0)),"")</f>
        <v/>
      </c>
      <c r="AX136" s="312">
        <f>IFERROR(INDEX(Data!CT$9:CT$1273,MATCH($M136,Data!$K$9:$K$1273,0)),"")</f>
        <v/>
      </c>
      <c r="AY136" s="312">
        <f>IFERROR(INDEX(Data!CU$9:CU$1273,MATCH($M136,Data!$K$9:$K$1273,0)),"")</f>
        <v/>
      </c>
      <c r="AZ136" s="312">
        <f>IFERROR(INDEX(Data!CV$9:CV$1273,MATCH($M136,Data!$K$9:$K$1273,0)),"")</f>
        <v/>
      </c>
      <c r="BA136" s="312">
        <f>IFERROR(INDEX(Data!CX$9:CX$1273,MATCH($M136,Data!$K$9:$K$1273,0)),"")</f>
        <v/>
      </c>
      <c r="BB136" s="312">
        <f>IFERROR(INDEX(Data!CY$9:CY$1273,MATCH($M136,Data!$K$9:$K$1273,0)),"")</f>
        <v/>
      </c>
      <c r="BC136" s="312">
        <f>IFERROR(INDEX(Data!CZ$9:CZ$1273,MATCH($M136,Data!$K$9:$K$1273,0)),"")</f>
        <v/>
      </c>
      <c r="BD136" s="312">
        <f>IFERROR(INDEX(Data!DA$9:DA$1273,MATCH($M136,Data!$K$9:$K$1273,0)),"")</f>
        <v/>
      </c>
      <c r="BE136" s="312">
        <f>IFERROR(INDEX(Data!DB$9:DB$1273,MATCH($M136,Data!$K$9:$K$1273,0)),"")</f>
        <v/>
      </c>
      <c r="BF136" s="312">
        <f>IFERROR(INDEX(Data!DC$9:DC$1273,MATCH($M136,Data!$K$9:$K$1273,0)),"")</f>
        <v/>
      </c>
      <c r="BG136" s="312">
        <f>IFERROR(INDEX(Data!DD$9:DD$1273,MATCH($M136,Data!$K$9:$K$1273,0)),"")</f>
        <v/>
      </c>
      <c r="BH136" s="312">
        <f>IFERROR(INDEX(Data!DE$9:DE$1273,MATCH($M136,Data!$K$9:$K$1273,0)),"")</f>
        <v/>
      </c>
      <c r="BI136" s="312">
        <f>IFERROR(INDEX(Data!DF$9:DF$1273,MATCH($M136,Data!$K$9:$K$1273,0)),"")</f>
        <v/>
      </c>
      <c r="BJ136" s="312">
        <f>IFERROR(INDEX(Data!DG$9:DG$1273,MATCH($M136,Data!$K$9:$K$1273,0)),"")</f>
        <v/>
      </c>
      <c r="BK136" s="312">
        <f>IFERROR(INDEX(Data!DH$9:DH$1273,MATCH($M136,Data!$K$9:$K$1273,0)),"")</f>
        <v/>
      </c>
      <c r="BL136" s="312">
        <f>IFERROR(INDEX(Data!DI$9:DI$1273,MATCH($M136,Data!$K$9:$K$1273,0)),"")</f>
        <v/>
      </c>
      <c r="BM136" s="312">
        <f>IFERROR(INDEX(Data!DJ$9:DJ$1273,MATCH($M136,Data!$K$9:$K$1273,0)),"")</f>
        <v/>
      </c>
      <c r="BN136" s="312">
        <f>IFERROR(INDEX(Data!DK$9:DK$1273,MATCH($M136,Data!$K$9:$K$1273,0)),"")</f>
        <v/>
      </c>
      <c r="BO136" s="312">
        <f>IFERROR(INDEX(Data!DL$9:DL$1273,MATCH($M136,Data!$K$9:$K$1273,0)),"")</f>
        <v/>
      </c>
      <c r="BP136" s="331">
        <f>IFERROR(IF(BK136=0,"-",BK136),"")</f>
        <v/>
      </c>
      <c r="BQ136" s="312">
        <f>IFERROR(IF(BP136-K136&gt;0,TRUE,FALSE)," ")</f>
        <v/>
      </c>
      <c r="BR136" s="312">
        <f>_xlfn.CONCAT(E136,F136,H136,G136)</f>
        <v/>
      </c>
      <c r="BS136" s="312">
        <f>IFERROR(INDEX(Data!$DO$9:$DO$1273,MATCH('Your recommendation'!BR136,Data!$DN$9:$DN$1273,0)),"")</f>
        <v/>
      </c>
    </row>
    <row r="137" ht="15.6" customFormat="1" customHeight="1" s="138">
      <c r="B137" s="309">
        <f>IF(C137&gt;0,B136+1,"")</f>
        <v/>
      </c>
      <c r="C137" s="310" t="n"/>
      <c r="D137" s="312">
        <f>IFERROR(INDEX(Data!BR$9:BR$1273,MATCH($M137,Data!$K$9:$K$1273,0)),"")</f>
        <v/>
      </c>
      <c r="E137" s="312">
        <f>IFERROR(INDEX(Data!BS$9:BS$1273,MATCH($M137,Data!$K$9:$K$1273,0)),"")</f>
        <v/>
      </c>
      <c r="F137" s="312">
        <f>IFERROR(INDEX(Data!DM$9:DM$1273,MATCH($M137,Data!$K$9:$K$1273,0)),"")</f>
        <v/>
      </c>
      <c r="G137" s="312">
        <f>IFERROR(INDEX(Data!BV$9:BV$1273,MATCH($M137,Data!$K$9:$K$1273,0)),"")</f>
        <v/>
      </c>
      <c r="H137" s="312">
        <f>IFERROR(INDEX(Data!BW$9:BW$1273,MATCH($M137,Data!$K$9:$K$1273,0)),"")</f>
        <v/>
      </c>
      <c r="I137" s="312">
        <f>IFERROR(INDEX(Data!BX$9:BX$1273,MATCH($M137,Data!$K$9:$K$1273,0)),"")</f>
        <v/>
      </c>
      <c r="J137" s="312">
        <f>IFERROR(INDEX(Data!CB$9:CB$1273,MATCH($M137,Data!$K$9:$K$1273,0)),"")</f>
        <v/>
      </c>
      <c r="K137" s="329">
        <f>IFERROR(HYPERLINK(BM137,BC137),"-")</f>
        <v/>
      </c>
      <c r="L137" s="330">
        <f>IFERROR(IF(BB137=0,"-",BB137)," ")</f>
        <v/>
      </c>
      <c r="M137" s="311" t="n"/>
      <c r="N137" s="311" t="n"/>
      <c r="O137" s="311">
        <f>IFERROR(INDEX(Data!M$9:M$1273,MATCH($M137,Data!$K$9:$K$1273,0)),"")</f>
        <v/>
      </c>
      <c r="P137" s="311">
        <f>IFERROR(INDEX(Data!N$9:N$1273,MATCH($M137,Data!$K$9:$K$1273,0)),"")</f>
        <v/>
      </c>
      <c r="Q137" s="311">
        <f>IFERROR(INDEX(Data!O$9:O$1273,MATCH($M137,Data!$K$9:$K$1273,0)),"")</f>
        <v/>
      </c>
      <c r="R137" s="311">
        <f>IFERROR(INDEX(Data!P$9:P$1273,MATCH($M137,Data!$K$9:$K$1273,0)),"")</f>
        <v/>
      </c>
      <c r="S137" s="311">
        <f>IFERROR(INDEX(Data!S$9:S$1273,MATCH($M137,Data!$K$9:$K$1273,0)),"")</f>
        <v/>
      </c>
      <c r="T137" s="311">
        <f>IFERROR(INDEX(Data!T$9:T$1273,MATCH($M137,Data!$K$9:$K$1273,0)),"")</f>
        <v/>
      </c>
      <c r="U137" s="311">
        <f>IFERROR(INDEX(Data!U$9:U$1273,MATCH($M137,Data!$K$9:$K$1273,0)),"")</f>
        <v/>
      </c>
      <c r="V137" s="311">
        <f>IFERROR(INDEX(Data!V$9:V$1273,MATCH($M137,Data!$K$9:$K$1273,0)),"")</f>
        <v/>
      </c>
      <c r="W137" s="311">
        <f>IFERROR(INDEX(Data!W$9:W$1273,MATCH($M137,Data!$K$9:$K$1273,0)),"")</f>
        <v/>
      </c>
      <c r="X137" s="311">
        <f>IFERROR(INDEX(Data!AJ$9:AJ$1273,MATCH($M137,Data!$K$9:$K$1273,0)),"")</f>
        <v/>
      </c>
      <c r="Y137" s="311">
        <f>IFERROR(INDEX(Data!AK$9:AK$1273,MATCH($M137,Data!$K$9:$K$1273,0)),"")</f>
        <v/>
      </c>
      <c r="Z137" s="311">
        <f>IFERROR(INDEX(Data!AL$9:AL$1273,MATCH($M137,Data!$K$9:$K$1273,0)),"")</f>
        <v/>
      </c>
      <c r="AA137" s="311">
        <f>IFERROR(INDEX(Data!AM$9:AM$1273,MATCH($M137,Data!$K$9:$K$1273,0)),"")</f>
        <v/>
      </c>
      <c r="AB137" s="311">
        <f>IFERROR(INDEX(Data!AN$9:AN$1273,MATCH($M137,Data!$K$9:$K$1273,0)),"")</f>
        <v/>
      </c>
      <c r="AC137" s="312">
        <f>IFERROR(INDEX(Data!BY$9:BY$1273,MATCH($M137,Data!$K$9:$K$1273,0)),"")</f>
        <v/>
      </c>
      <c r="AD137" s="312">
        <f>IFERROR(INDEX(Data!BZ$9:BZ$1273,MATCH($M137,Data!$K$9:$K$1273,0)),"")</f>
        <v/>
      </c>
      <c r="AE137" s="312">
        <f>IFERROR(INDEX(Data!CA$9:CA$1273,MATCH($M137,Data!$K$9:$K$1273,0)),"")</f>
        <v/>
      </c>
      <c r="AF137" s="312">
        <f>IFERROR(INDEX(Data!CB$9:CB$1273,MATCH($M137,Data!$K$9:$K$1273,0)),"")</f>
        <v/>
      </c>
      <c r="AG137" s="312">
        <f>IFERROR(INDEX(Data!CC$9:CC$1273,MATCH($M137,Data!$K$9:$K$1273,0)),"")</f>
        <v/>
      </c>
      <c r="AH137" s="312">
        <f>IFERROR(INDEX(Data!CD$9:CD$1273,MATCH($M137,Data!$K$9:$K$1273,0)),"")</f>
        <v/>
      </c>
      <c r="AI137" s="312">
        <f>IFERROR(INDEX(Data!CE$9:CE$1273,MATCH($M137,Data!$K$9:$K$1273,0)),"")</f>
        <v/>
      </c>
      <c r="AJ137" s="312">
        <f>IFERROR(INDEX(Data!CF$9:CF$1273,MATCH($M137,Data!$K$9:$K$1273,0)),"")</f>
        <v/>
      </c>
      <c r="AK137" s="312">
        <f>IFERROR(INDEX(Data!CG$9:CG$1273,MATCH($M137,Data!$K$9:$K$1273,0)),"")</f>
        <v/>
      </c>
      <c r="AL137" s="312">
        <f>IFERROR(INDEX(Data!CH$9:CH$1273,MATCH($M137,Data!$K$9:$K$1273,0)),"")</f>
        <v/>
      </c>
      <c r="AM137" s="312">
        <f>IFERROR(INDEX(Data!CI$9:CI$1273,MATCH($M137,Data!$K$9:$K$1273,0)),"")</f>
        <v/>
      </c>
      <c r="AN137" s="312">
        <f>IFERROR(INDEX(Data!CJ$9:CJ$1273,MATCH($M137,Data!$K$9:$K$1273,0)),"")</f>
        <v/>
      </c>
      <c r="AO137" s="312">
        <f>IFERROR(INDEX(Data!CK$9:CK$1273,MATCH($M137,Data!$K$9:$K$1273,0)),"")</f>
        <v/>
      </c>
      <c r="AP137" s="312">
        <f>IFERROR(INDEX(Data!CL$9:CL$1273,MATCH($M137,Data!$K$9:$K$1273,0)),"")</f>
        <v/>
      </c>
      <c r="AQ137" s="312">
        <f>IFERROR(INDEX(Data!CM$9:CM$1273,MATCH($M137,Data!$K$9:$K$1273,0)),"")</f>
        <v/>
      </c>
      <c r="AR137" s="312">
        <f>IFERROR(INDEX(Data!CN$9:CN$1273,MATCH($M137,Data!$K$9:$K$1273,0)),"")</f>
        <v/>
      </c>
      <c r="AS137" s="312">
        <f>IFERROR(INDEX(Data!CO$9:CO$1273,MATCH($M137,Data!$K$9:$K$1273,0)),"")</f>
        <v/>
      </c>
      <c r="AT137" s="312">
        <f>IFERROR(INDEX(Data!CP$9:CP$1273,MATCH($M137,Data!$K$9:$K$1273,0)),"")</f>
        <v/>
      </c>
      <c r="AU137" s="312">
        <f>IFERROR(INDEX(Data!CQ$9:CQ$1273,MATCH($M137,Data!$K$9:$K$1273,0)),"")</f>
        <v/>
      </c>
      <c r="AV137" s="312">
        <f>IFERROR(INDEX(Data!CR$9:CR$1273,MATCH($M137,Data!$K$9:$K$1273,0)),"")</f>
        <v/>
      </c>
      <c r="AW137" s="312">
        <f>IFERROR(INDEX(Data!CS$9:CS$1273,MATCH($M137,Data!$K$9:$K$1273,0)),"")</f>
        <v/>
      </c>
      <c r="AX137" s="312">
        <f>IFERROR(INDEX(Data!CT$9:CT$1273,MATCH($M137,Data!$K$9:$K$1273,0)),"")</f>
        <v/>
      </c>
      <c r="AY137" s="312">
        <f>IFERROR(INDEX(Data!CU$9:CU$1273,MATCH($M137,Data!$K$9:$K$1273,0)),"")</f>
        <v/>
      </c>
      <c r="AZ137" s="312">
        <f>IFERROR(INDEX(Data!CV$9:CV$1273,MATCH($M137,Data!$K$9:$K$1273,0)),"")</f>
        <v/>
      </c>
      <c r="BA137" s="312">
        <f>IFERROR(INDEX(Data!CX$9:CX$1273,MATCH($M137,Data!$K$9:$K$1273,0)),"")</f>
        <v/>
      </c>
      <c r="BB137" s="312">
        <f>IFERROR(INDEX(Data!CY$9:CY$1273,MATCH($M137,Data!$K$9:$K$1273,0)),"")</f>
        <v/>
      </c>
      <c r="BC137" s="312">
        <f>IFERROR(INDEX(Data!CZ$9:CZ$1273,MATCH($M137,Data!$K$9:$K$1273,0)),"")</f>
        <v/>
      </c>
      <c r="BD137" s="312">
        <f>IFERROR(INDEX(Data!DA$9:DA$1273,MATCH($M137,Data!$K$9:$K$1273,0)),"")</f>
        <v/>
      </c>
      <c r="BE137" s="312">
        <f>IFERROR(INDEX(Data!DB$9:DB$1273,MATCH($M137,Data!$K$9:$K$1273,0)),"")</f>
        <v/>
      </c>
      <c r="BF137" s="312">
        <f>IFERROR(INDEX(Data!DC$9:DC$1273,MATCH($M137,Data!$K$9:$K$1273,0)),"")</f>
        <v/>
      </c>
      <c r="BG137" s="312">
        <f>IFERROR(INDEX(Data!DD$9:DD$1273,MATCH($M137,Data!$K$9:$K$1273,0)),"")</f>
        <v/>
      </c>
      <c r="BH137" s="312">
        <f>IFERROR(INDEX(Data!DE$9:DE$1273,MATCH($M137,Data!$K$9:$K$1273,0)),"")</f>
        <v/>
      </c>
      <c r="BI137" s="312">
        <f>IFERROR(INDEX(Data!DF$9:DF$1273,MATCH($M137,Data!$K$9:$K$1273,0)),"")</f>
        <v/>
      </c>
      <c r="BJ137" s="312">
        <f>IFERROR(INDEX(Data!DG$9:DG$1273,MATCH($M137,Data!$K$9:$K$1273,0)),"")</f>
        <v/>
      </c>
      <c r="BK137" s="312">
        <f>IFERROR(INDEX(Data!DH$9:DH$1273,MATCH($M137,Data!$K$9:$K$1273,0)),"")</f>
        <v/>
      </c>
      <c r="BL137" s="312">
        <f>IFERROR(INDEX(Data!DI$9:DI$1273,MATCH($M137,Data!$K$9:$K$1273,0)),"")</f>
        <v/>
      </c>
      <c r="BM137" s="312">
        <f>IFERROR(INDEX(Data!DJ$9:DJ$1273,MATCH($M137,Data!$K$9:$K$1273,0)),"")</f>
        <v/>
      </c>
      <c r="BN137" s="312">
        <f>IFERROR(INDEX(Data!DK$9:DK$1273,MATCH($M137,Data!$K$9:$K$1273,0)),"")</f>
        <v/>
      </c>
      <c r="BO137" s="312">
        <f>IFERROR(INDEX(Data!DL$9:DL$1273,MATCH($M137,Data!$K$9:$K$1273,0)),"")</f>
        <v/>
      </c>
      <c r="BP137" s="331">
        <f>IFERROR(IF(BK137=0,"-",BK137),"")</f>
        <v/>
      </c>
      <c r="BQ137" s="312">
        <f>IFERROR(IF(BP137-K137&gt;0,TRUE,FALSE)," ")</f>
        <v/>
      </c>
      <c r="BR137" s="312">
        <f>_xlfn.CONCAT(E137,F137,H137,G137)</f>
        <v/>
      </c>
      <c r="BS137" s="312">
        <f>IFERROR(INDEX(Data!$DO$9:$DO$1273,MATCH('Your recommendation'!BR137,Data!$DN$9:$DN$1273,0)),"")</f>
        <v/>
      </c>
    </row>
    <row r="138" ht="15.6" customFormat="1" customHeight="1" s="138">
      <c r="B138" s="309">
        <f>IF(C138&gt;0,B137+1,"")</f>
        <v/>
      </c>
      <c r="C138" s="310" t="n"/>
      <c r="D138" s="312">
        <f>IFERROR(INDEX(Data!BR$9:BR$1273,MATCH($M138,Data!$K$9:$K$1273,0)),"")</f>
        <v/>
      </c>
      <c r="E138" s="312">
        <f>IFERROR(INDEX(Data!BS$9:BS$1273,MATCH($M138,Data!$K$9:$K$1273,0)),"")</f>
        <v/>
      </c>
      <c r="F138" s="312">
        <f>IFERROR(INDEX(Data!DM$9:DM$1273,MATCH($M138,Data!$K$9:$K$1273,0)),"")</f>
        <v/>
      </c>
      <c r="G138" s="312">
        <f>IFERROR(INDEX(Data!BV$9:BV$1273,MATCH($M138,Data!$K$9:$K$1273,0)),"")</f>
        <v/>
      </c>
      <c r="H138" s="312">
        <f>IFERROR(INDEX(Data!BW$9:BW$1273,MATCH($M138,Data!$K$9:$K$1273,0)),"")</f>
        <v/>
      </c>
      <c r="I138" s="312">
        <f>IFERROR(INDEX(Data!BX$9:BX$1273,MATCH($M138,Data!$K$9:$K$1273,0)),"")</f>
        <v/>
      </c>
      <c r="J138" s="312">
        <f>IFERROR(INDEX(Data!CB$9:CB$1273,MATCH($M138,Data!$K$9:$K$1273,0)),"")</f>
        <v/>
      </c>
      <c r="K138" s="329">
        <f>IFERROR(HYPERLINK(BM138,BC138),"-")</f>
        <v/>
      </c>
      <c r="L138" s="330">
        <f>IFERROR(IF(BB138=0,"-",BB138)," ")</f>
        <v/>
      </c>
      <c r="M138" s="311" t="n"/>
      <c r="N138" s="311" t="n"/>
      <c r="O138" s="311">
        <f>IFERROR(INDEX(Data!M$9:M$1273,MATCH($M138,Data!$K$9:$K$1273,0)),"")</f>
        <v/>
      </c>
      <c r="P138" s="311">
        <f>IFERROR(INDEX(Data!N$9:N$1273,MATCH($M138,Data!$K$9:$K$1273,0)),"")</f>
        <v/>
      </c>
      <c r="Q138" s="311">
        <f>IFERROR(INDEX(Data!O$9:O$1273,MATCH($M138,Data!$K$9:$K$1273,0)),"")</f>
        <v/>
      </c>
      <c r="R138" s="311">
        <f>IFERROR(INDEX(Data!P$9:P$1273,MATCH($M138,Data!$K$9:$K$1273,0)),"")</f>
        <v/>
      </c>
      <c r="S138" s="311">
        <f>IFERROR(INDEX(Data!S$9:S$1273,MATCH($M138,Data!$K$9:$K$1273,0)),"")</f>
        <v/>
      </c>
      <c r="T138" s="311">
        <f>IFERROR(INDEX(Data!T$9:T$1273,MATCH($M138,Data!$K$9:$K$1273,0)),"")</f>
        <v/>
      </c>
      <c r="U138" s="311">
        <f>IFERROR(INDEX(Data!U$9:U$1273,MATCH($M138,Data!$K$9:$K$1273,0)),"")</f>
        <v/>
      </c>
      <c r="V138" s="311">
        <f>IFERROR(INDEX(Data!V$9:V$1273,MATCH($M138,Data!$K$9:$K$1273,0)),"")</f>
        <v/>
      </c>
      <c r="W138" s="311">
        <f>IFERROR(INDEX(Data!W$9:W$1273,MATCH($M138,Data!$K$9:$K$1273,0)),"")</f>
        <v/>
      </c>
      <c r="X138" s="311">
        <f>IFERROR(INDEX(Data!AJ$9:AJ$1273,MATCH($M138,Data!$K$9:$K$1273,0)),"")</f>
        <v/>
      </c>
      <c r="Y138" s="311">
        <f>IFERROR(INDEX(Data!AK$9:AK$1273,MATCH($M138,Data!$K$9:$K$1273,0)),"")</f>
        <v/>
      </c>
      <c r="Z138" s="311">
        <f>IFERROR(INDEX(Data!AL$9:AL$1273,MATCH($M138,Data!$K$9:$K$1273,0)),"")</f>
        <v/>
      </c>
      <c r="AA138" s="311">
        <f>IFERROR(INDEX(Data!AM$9:AM$1273,MATCH($M138,Data!$K$9:$K$1273,0)),"")</f>
        <v/>
      </c>
      <c r="AB138" s="311">
        <f>IFERROR(INDEX(Data!AN$9:AN$1273,MATCH($M138,Data!$K$9:$K$1273,0)),"")</f>
        <v/>
      </c>
      <c r="AC138" s="312">
        <f>IFERROR(INDEX(Data!BY$9:BY$1273,MATCH($M138,Data!$K$9:$K$1273,0)),"")</f>
        <v/>
      </c>
      <c r="AD138" s="312">
        <f>IFERROR(INDEX(Data!BZ$9:BZ$1273,MATCH($M138,Data!$K$9:$K$1273,0)),"")</f>
        <v/>
      </c>
      <c r="AE138" s="312">
        <f>IFERROR(INDEX(Data!CA$9:CA$1273,MATCH($M138,Data!$K$9:$K$1273,0)),"")</f>
        <v/>
      </c>
      <c r="AF138" s="312">
        <f>IFERROR(INDEX(Data!CB$9:CB$1273,MATCH($M138,Data!$K$9:$K$1273,0)),"")</f>
        <v/>
      </c>
      <c r="AG138" s="312">
        <f>IFERROR(INDEX(Data!CC$9:CC$1273,MATCH($M138,Data!$K$9:$K$1273,0)),"")</f>
        <v/>
      </c>
      <c r="AH138" s="312">
        <f>IFERROR(INDEX(Data!CD$9:CD$1273,MATCH($M138,Data!$K$9:$K$1273,0)),"")</f>
        <v/>
      </c>
      <c r="AI138" s="312">
        <f>IFERROR(INDEX(Data!CE$9:CE$1273,MATCH($M138,Data!$K$9:$K$1273,0)),"")</f>
        <v/>
      </c>
      <c r="AJ138" s="312">
        <f>IFERROR(INDEX(Data!CF$9:CF$1273,MATCH($M138,Data!$K$9:$K$1273,0)),"")</f>
        <v/>
      </c>
      <c r="AK138" s="312">
        <f>IFERROR(INDEX(Data!CG$9:CG$1273,MATCH($M138,Data!$K$9:$K$1273,0)),"")</f>
        <v/>
      </c>
      <c r="AL138" s="312">
        <f>IFERROR(INDEX(Data!CH$9:CH$1273,MATCH($M138,Data!$K$9:$K$1273,0)),"")</f>
        <v/>
      </c>
      <c r="AM138" s="312">
        <f>IFERROR(INDEX(Data!CI$9:CI$1273,MATCH($M138,Data!$K$9:$K$1273,0)),"")</f>
        <v/>
      </c>
      <c r="AN138" s="312">
        <f>IFERROR(INDEX(Data!CJ$9:CJ$1273,MATCH($M138,Data!$K$9:$K$1273,0)),"")</f>
        <v/>
      </c>
      <c r="AO138" s="312">
        <f>IFERROR(INDEX(Data!CK$9:CK$1273,MATCH($M138,Data!$K$9:$K$1273,0)),"")</f>
        <v/>
      </c>
      <c r="AP138" s="312">
        <f>IFERROR(INDEX(Data!CL$9:CL$1273,MATCH($M138,Data!$K$9:$K$1273,0)),"")</f>
        <v/>
      </c>
      <c r="AQ138" s="312">
        <f>IFERROR(INDEX(Data!CM$9:CM$1273,MATCH($M138,Data!$K$9:$K$1273,0)),"")</f>
        <v/>
      </c>
      <c r="AR138" s="312">
        <f>IFERROR(INDEX(Data!CN$9:CN$1273,MATCH($M138,Data!$K$9:$K$1273,0)),"")</f>
        <v/>
      </c>
      <c r="AS138" s="312">
        <f>IFERROR(INDEX(Data!CO$9:CO$1273,MATCH($M138,Data!$K$9:$K$1273,0)),"")</f>
        <v/>
      </c>
      <c r="AT138" s="312">
        <f>IFERROR(INDEX(Data!CP$9:CP$1273,MATCH($M138,Data!$K$9:$K$1273,0)),"")</f>
        <v/>
      </c>
      <c r="AU138" s="312">
        <f>IFERROR(INDEX(Data!CQ$9:CQ$1273,MATCH($M138,Data!$K$9:$K$1273,0)),"")</f>
        <v/>
      </c>
      <c r="AV138" s="312">
        <f>IFERROR(INDEX(Data!CR$9:CR$1273,MATCH($M138,Data!$K$9:$K$1273,0)),"")</f>
        <v/>
      </c>
      <c r="AW138" s="312">
        <f>IFERROR(INDEX(Data!CS$9:CS$1273,MATCH($M138,Data!$K$9:$K$1273,0)),"")</f>
        <v/>
      </c>
      <c r="AX138" s="312">
        <f>IFERROR(INDEX(Data!CT$9:CT$1273,MATCH($M138,Data!$K$9:$K$1273,0)),"")</f>
        <v/>
      </c>
      <c r="AY138" s="312">
        <f>IFERROR(INDEX(Data!CU$9:CU$1273,MATCH($M138,Data!$K$9:$K$1273,0)),"")</f>
        <v/>
      </c>
      <c r="AZ138" s="312">
        <f>IFERROR(INDEX(Data!CV$9:CV$1273,MATCH($M138,Data!$K$9:$K$1273,0)),"")</f>
        <v/>
      </c>
      <c r="BA138" s="312">
        <f>IFERROR(INDEX(Data!CX$9:CX$1273,MATCH($M138,Data!$K$9:$K$1273,0)),"")</f>
        <v/>
      </c>
      <c r="BB138" s="312">
        <f>IFERROR(INDEX(Data!CY$9:CY$1273,MATCH($M138,Data!$K$9:$K$1273,0)),"")</f>
        <v/>
      </c>
      <c r="BC138" s="312">
        <f>IFERROR(INDEX(Data!CZ$9:CZ$1273,MATCH($M138,Data!$K$9:$K$1273,0)),"")</f>
        <v/>
      </c>
      <c r="BD138" s="312">
        <f>IFERROR(INDEX(Data!DA$9:DA$1273,MATCH($M138,Data!$K$9:$K$1273,0)),"")</f>
        <v/>
      </c>
      <c r="BE138" s="312">
        <f>IFERROR(INDEX(Data!DB$9:DB$1273,MATCH($M138,Data!$K$9:$K$1273,0)),"")</f>
        <v/>
      </c>
      <c r="BF138" s="312">
        <f>IFERROR(INDEX(Data!DC$9:DC$1273,MATCH($M138,Data!$K$9:$K$1273,0)),"")</f>
        <v/>
      </c>
      <c r="BG138" s="312">
        <f>IFERROR(INDEX(Data!DD$9:DD$1273,MATCH($M138,Data!$K$9:$K$1273,0)),"")</f>
        <v/>
      </c>
      <c r="BH138" s="312">
        <f>IFERROR(INDEX(Data!DE$9:DE$1273,MATCH($M138,Data!$K$9:$K$1273,0)),"")</f>
        <v/>
      </c>
      <c r="BI138" s="312">
        <f>IFERROR(INDEX(Data!DF$9:DF$1273,MATCH($M138,Data!$K$9:$K$1273,0)),"")</f>
        <v/>
      </c>
      <c r="BJ138" s="312">
        <f>IFERROR(INDEX(Data!DG$9:DG$1273,MATCH($M138,Data!$K$9:$K$1273,0)),"")</f>
        <v/>
      </c>
      <c r="BK138" s="312">
        <f>IFERROR(INDEX(Data!DH$9:DH$1273,MATCH($M138,Data!$K$9:$K$1273,0)),"")</f>
        <v/>
      </c>
      <c r="BL138" s="312">
        <f>IFERROR(INDEX(Data!DI$9:DI$1273,MATCH($M138,Data!$K$9:$K$1273,0)),"")</f>
        <v/>
      </c>
      <c r="BM138" s="312">
        <f>IFERROR(INDEX(Data!DJ$9:DJ$1273,MATCH($M138,Data!$K$9:$K$1273,0)),"")</f>
        <v/>
      </c>
      <c r="BN138" s="312">
        <f>IFERROR(INDEX(Data!DK$9:DK$1273,MATCH($M138,Data!$K$9:$K$1273,0)),"")</f>
        <v/>
      </c>
      <c r="BO138" s="312">
        <f>IFERROR(INDEX(Data!DL$9:DL$1273,MATCH($M138,Data!$K$9:$K$1273,0)),"")</f>
        <v/>
      </c>
      <c r="BP138" s="331">
        <f>IFERROR(IF(BK138=0,"-",BK138),"")</f>
        <v/>
      </c>
      <c r="BQ138" s="312">
        <f>IFERROR(IF(BP138-K138&gt;0,TRUE,FALSE)," ")</f>
        <v/>
      </c>
      <c r="BR138" s="312">
        <f>_xlfn.CONCAT(E138,F138,H138,G138)</f>
        <v/>
      </c>
      <c r="BS138" s="312">
        <f>IFERROR(INDEX(Data!$DO$9:$DO$1273,MATCH('Your recommendation'!BR138,Data!$DN$9:$DN$1273,0)),"")</f>
        <v/>
      </c>
    </row>
    <row r="139" ht="15.6" customFormat="1" customHeight="1" s="138">
      <c r="B139" s="309">
        <f>IF(C139&gt;0,B138+1,"")</f>
        <v/>
      </c>
      <c r="C139" s="310" t="n"/>
      <c r="D139" s="312">
        <f>IFERROR(INDEX(Data!BR$9:BR$1273,MATCH($M139,Data!$K$9:$K$1273,0)),"")</f>
        <v/>
      </c>
      <c r="E139" s="312">
        <f>IFERROR(INDEX(Data!BS$9:BS$1273,MATCH($M139,Data!$K$9:$K$1273,0)),"")</f>
        <v/>
      </c>
      <c r="F139" s="312">
        <f>IFERROR(INDEX(Data!DM$9:DM$1273,MATCH($M139,Data!$K$9:$K$1273,0)),"")</f>
        <v/>
      </c>
      <c r="G139" s="312">
        <f>IFERROR(INDEX(Data!BV$9:BV$1273,MATCH($M139,Data!$K$9:$K$1273,0)),"")</f>
        <v/>
      </c>
      <c r="H139" s="312">
        <f>IFERROR(INDEX(Data!BW$9:BW$1273,MATCH($M139,Data!$K$9:$K$1273,0)),"")</f>
        <v/>
      </c>
      <c r="I139" s="312">
        <f>IFERROR(INDEX(Data!BX$9:BX$1273,MATCH($M139,Data!$K$9:$K$1273,0)),"")</f>
        <v/>
      </c>
      <c r="J139" s="312">
        <f>IFERROR(INDEX(Data!CB$9:CB$1273,MATCH($M139,Data!$K$9:$K$1273,0)),"")</f>
        <v/>
      </c>
      <c r="K139" s="329">
        <f>IFERROR(HYPERLINK(BM139,BC139),"-")</f>
        <v/>
      </c>
      <c r="L139" s="330">
        <f>IFERROR(IF(BB139=0,"-",BB139)," ")</f>
        <v/>
      </c>
      <c r="M139" s="311" t="n"/>
      <c r="N139" s="311" t="n"/>
      <c r="O139" s="311">
        <f>IFERROR(INDEX(Data!M$9:M$1273,MATCH($M139,Data!$K$9:$K$1273,0)),"")</f>
        <v/>
      </c>
      <c r="P139" s="311">
        <f>IFERROR(INDEX(Data!N$9:N$1273,MATCH($M139,Data!$K$9:$K$1273,0)),"")</f>
        <v/>
      </c>
      <c r="Q139" s="311">
        <f>IFERROR(INDEX(Data!O$9:O$1273,MATCH($M139,Data!$K$9:$K$1273,0)),"")</f>
        <v/>
      </c>
      <c r="R139" s="311">
        <f>IFERROR(INDEX(Data!P$9:P$1273,MATCH($M139,Data!$K$9:$K$1273,0)),"")</f>
        <v/>
      </c>
      <c r="S139" s="311">
        <f>IFERROR(INDEX(Data!S$9:S$1273,MATCH($M139,Data!$K$9:$K$1273,0)),"")</f>
        <v/>
      </c>
      <c r="T139" s="311">
        <f>IFERROR(INDEX(Data!T$9:T$1273,MATCH($M139,Data!$K$9:$K$1273,0)),"")</f>
        <v/>
      </c>
      <c r="U139" s="311">
        <f>IFERROR(INDEX(Data!U$9:U$1273,MATCH($M139,Data!$K$9:$K$1273,0)),"")</f>
        <v/>
      </c>
      <c r="V139" s="311">
        <f>IFERROR(INDEX(Data!V$9:V$1273,MATCH($M139,Data!$K$9:$K$1273,0)),"")</f>
        <v/>
      </c>
      <c r="W139" s="311">
        <f>IFERROR(INDEX(Data!W$9:W$1273,MATCH($M139,Data!$K$9:$K$1273,0)),"")</f>
        <v/>
      </c>
      <c r="X139" s="311">
        <f>IFERROR(INDEX(Data!AJ$9:AJ$1273,MATCH($M139,Data!$K$9:$K$1273,0)),"")</f>
        <v/>
      </c>
      <c r="Y139" s="311">
        <f>IFERROR(INDEX(Data!AK$9:AK$1273,MATCH($M139,Data!$K$9:$K$1273,0)),"")</f>
        <v/>
      </c>
      <c r="Z139" s="311">
        <f>IFERROR(INDEX(Data!AL$9:AL$1273,MATCH($M139,Data!$K$9:$K$1273,0)),"")</f>
        <v/>
      </c>
      <c r="AA139" s="311">
        <f>IFERROR(INDEX(Data!AM$9:AM$1273,MATCH($M139,Data!$K$9:$K$1273,0)),"")</f>
        <v/>
      </c>
      <c r="AB139" s="311">
        <f>IFERROR(INDEX(Data!AN$9:AN$1273,MATCH($M139,Data!$K$9:$K$1273,0)),"")</f>
        <v/>
      </c>
      <c r="AC139" s="312">
        <f>IFERROR(INDEX(Data!BY$9:BY$1273,MATCH($M139,Data!$K$9:$K$1273,0)),"")</f>
        <v/>
      </c>
      <c r="AD139" s="312">
        <f>IFERROR(INDEX(Data!BZ$9:BZ$1273,MATCH($M139,Data!$K$9:$K$1273,0)),"")</f>
        <v/>
      </c>
      <c r="AE139" s="312">
        <f>IFERROR(INDEX(Data!CA$9:CA$1273,MATCH($M139,Data!$K$9:$K$1273,0)),"")</f>
        <v/>
      </c>
      <c r="AF139" s="312">
        <f>IFERROR(INDEX(Data!CB$9:CB$1273,MATCH($M139,Data!$K$9:$K$1273,0)),"")</f>
        <v/>
      </c>
      <c r="AG139" s="312">
        <f>IFERROR(INDEX(Data!CC$9:CC$1273,MATCH($M139,Data!$K$9:$K$1273,0)),"")</f>
        <v/>
      </c>
      <c r="AH139" s="312">
        <f>IFERROR(INDEX(Data!CD$9:CD$1273,MATCH($M139,Data!$K$9:$K$1273,0)),"")</f>
        <v/>
      </c>
      <c r="AI139" s="312">
        <f>IFERROR(INDEX(Data!CE$9:CE$1273,MATCH($M139,Data!$K$9:$K$1273,0)),"")</f>
        <v/>
      </c>
      <c r="AJ139" s="312">
        <f>IFERROR(INDEX(Data!CF$9:CF$1273,MATCH($M139,Data!$K$9:$K$1273,0)),"")</f>
        <v/>
      </c>
      <c r="AK139" s="312">
        <f>IFERROR(INDEX(Data!CG$9:CG$1273,MATCH($M139,Data!$K$9:$K$1273,0)),"")</f>
        <v/>
      </c>
      <c r="AL139" s="312">
        <f>IFERROR(INDEX(Data!CH$9:CH$1273,MATCH($M139,Data!$K$9:$K$1273,0)),"")</f>
        <v/>
      </c>
      <c r="AM139" s="312">
        <f>IFERROR(INDEX(Data!CI$9:CI$1273,MATCH($M139,Data!$K$9:$K$1273,0)),"")</f>
        <v/>
      </c>
      <c r="AN139" s="312">
        <f>IFERROR(INDEX(Data!CJ$9:CJ$1273,MATCH($M139,Data!$K$9:$K$1273,0)),"")</f>
        <v/>
      </c>
      <c r="AO139" s="312">
        <f>IFERROR(INDEX(Data!CK$9:CK$1273,MATCH($M139,Data!$K$9:$K$1273,0)),"")</f>
        <v/>
      </c>
      <c r="AP139" s="312">
        <f>IFERROR(INDEX(Data!CL$9:CL$1273,MATCH($M139,Data!$K$9:$K$1273,0)),"")</f>
        <v/>
      </c>
      <c r="AQ139" s="312">
        <f>IFERROR(INDEX(Data!CM$9:CM$1273,MATCH($M139,Data!$K$9:$K$1273,0)),"")</f>
        <v/>
      </c>
      <c r="AR139" s="312">
        <f>IFERROR(INDEX(Data!CN$9:CN$1273,MATCH($M139,Data!$K$9:$K$1273,0)),"")</f>
        <v/>
      </c>
      <c r="AS139" s="312">
        <f>IFERROR(INDEX(Data!CO$9:CO$1273,MATCH($M139,Data!$K$9:$K$1273,0)),"")</f>
        <v/>
      </c>
      <c r="AT139" s="312">
        <f>IFERROR(INDEX(Data!CP$9:CP$1273,MATCH($M139,Data!$K$9:$K$1273,0)),"")</f>
        <v/>
      </c>
      <c r="AU139" s="312">
        <f>IFERROR(INDEX(Data!CQ$9:CQ$1273,MATCH($M139,Data!$K$9:$K$1273,0)),"")</f>
        <v/>
      </c>
      <c r="AV139" s="312">
        <f>IFERROR(INDEX(Data!CR$9:CR$1273,MATCH($M139,Data!$K$9:$K$1273,0)),"")</f>
        <v/>
      </c>
      <c r="AW139" s="312">
        <f>IFERROR(INDEX(Data!CS$9:CS$1273,MATCH($M139,Data!$K$9:$K$1273,0)),"")</f>
        <v/>
      </c>
      <c r="AX139" s="312">
        <f>IFERROR(INDEX(Data!CT$9:CT$1273,MATCH($M139,Data!$K$9:$K$1273,0)),"")</f>
        <v/>
      </c>
      <c r="AY139" s="312">
        <f>IFERROR(INDEX(Data!CU$9:CU$1273,MATCH($M139,Data!$K$9:$K$1273,0)),"")</f>
        <v/>
      </c>
      <c r="AZ139" s="312">
        <f>IFERROR(INDEX(Data!CV$9:CV$1273,MATCH($M139,Data!$K$9:$K$1273,0)),"")</f>
        <v/>
      </c>
      <c r="BA139" s="312">
        <f>IFERROR(INDEX(Data!CX$9:CX$1273,MATCH($M139,Data!$K$9:$K$1273,0)),"")</f>
        <v/>
      </c>
      <c r="BB139" s="312">
        <f>IFERROR(INDEX(Data!CY$9:CY$1273,MATCH($M139,Data!$K$9:$K$1273,0)),"")</f>
        <v/>
      </c>
      <c r="BC139" s="312">
        <f>IFERROR(INDEX(Data!CZ$9:CZ$1273,MATCH($M139,Data!$K$9:$K$1273,0)),"")</f>
        <v/>
      </c>
      <c r="BD139" s="312">
        <f>IFERROR(INDEX(Data!DA$9:DA$1273,MATCH($M139,Data!$K$9:$K$1273,0)),"")</f>
        <v/>
      </c>
      <c r="BE139" s="312">
        <f>IFERROR(INDEX(Data!DB$9:DB$1273,MATCH($M139,Data!$K$9:$K$1273,0)),"")</f>
        <v/>
      </c>
      <c r="BF139" s="312">
        <f>IFERROR(INDEX(Data!DC$9:DC$1273,MATCH($M139,Data!$K$9:$K$1273,0)),"")</f>
        <v/>
      </c>
      <c r="BG139" s="312">
        <f>IFERROR(INDEX(Data!DD$9:DD$1273,MATCH($M139,Data!$K$9:$K$1273,0)),"")</f>
        <v/>
      </c>
      <c r="BH139" s="312">
        <f>IFERROR(INDEX(Data!DE$9:DE$1273,MATCH($M139,Data!$K$9:$K$1273,0)),"")</f>
        <v/>
      </c>
      <c r="BI139" s="312">
        <f>IFERROR(INDEX(Data!DF$9:DF$1273,MATCH($M139,Data!$K$9:$K$1273,0)),"")</f>
        <v/>
      </c>
      <c r="BJ139" s="312">
        <f>IFERROR(INDEX(Data!DG$9:DG$1273,MATCH($M139,Data!$K$9:$K$1273,0)),"")</f>
        <v/>
      </c>
      <c r="BK139" s="312">
        <f>IFERROR(INDEX(Data!DH$9:DH$1273,MATCH($M139,Data!$K$9:$K$1273,0)),"")</f>
        <v/>
      </c>
      <c r="BL139" s="312">
        <f>IFERROR(INDEX(Data!DI$9:DI$1273,MATCH($M139,Data!$K$9:$K$1273,0)),"")</f>
        <v/>
      </c>
      <c r="BM139" s="312">
        <f>IFERROR(INDEX(Data!DJ$9:DJ$1273,MATCH($M139,Data!$K$9:$K$1273,0)),"")</f>
        <v/>
      </c>
      <c r="BN139" s="312">
        <f>IFERROR(INDEX(Data!DK$9:DK$1273,MATCH($M139,Data!$K$9:$K$1273,0)),"")</f>
        <v/>
      </c>
      <c r="BO139" s="312">
        <f>IFERROR(INDEX(Data!DL$9:DL$1273,MATCH($M139,Data!$K$9:$K$1273,0)),"")</f>
        <v/>
      </c>
      <c r="BP139" s="331">
        <f>IFERROR(IF(BK139=0,"-",BK139),"")</f>
        <v/>
      </c>
      <c r="BQ139" s="312">
        <f>IFERROR(IF(BP139-K139&gt;0,TRUE,FALSE)," ")</f>
        <v/>
      </c>
      <c r="BR139" s="312">
        <f>_xlfn.CONCAT(E139,F139,H139,G139)</f>
        <v/>
      </c>
      <c r="BS139" s="312">
        <f>IFERROR(INDEX(Data!$DO$9:$DO$1273,MATCH('Your recommendation'!BR139,Data!$DN$9:$DN$1273,0)),"")</f>
        <v/>
      </c>
    </row>
    <row r="140" ht="15.6" customFormat="1" customHeight="1" s="138">
      <c r="B140" s="309">
        <f>IF(C140&gt;0,B139+1,"")</f>
        <v/>
      </c>
      <c r="C140" s="310" t="n"/>
      <c r="D140" s="312">
        <f>IFERROR(INDEX(Data!BR$9:BR$1273,MATCH($M140,Data!$K$9:$K$1273,0)),"")</f>
        <v/>
      </c>
      <c r="E140" s="312">
        <f>IFERROR(INDEX(Data!BS$9:BS$1273,MATCH($M140,Data!$K$9:$K$1273,0)),"")</f>
        <v/>
      </c>
      <c r="F140" s="312">
        <f>IFERROR(INDEX(Data!DM$9:DM$1273,MATCH($M140,Data!$K$9:$K$1273,0)),"")</f>
        <v/>
      </c>
      <c r="G140" s="312">
        <f>IFERROR(INDEX(Data!BV$9:BV$1273,MATCH($M140,Data!$K$9:$K$1273,0)),"")</f>
        <v/>
      </c>
      <c r="H140" s="312">
        <f>IFERROR(INDEX(Data!BW$9:BW$1273,MATCH($M140,Data!$K$9:$K$1273,0)),"")</f>
        <v/>
      </c>
      <c r="I140" s="312">
        <f>IFERROR(INDEX(Data!BX$9:BX$1273,MATCH($M140,Data!$K$9:$K$1273,0)),"")</f>
        <v/>
      </c>
      <c r="J140" s="312">
        <f>IFERROR(INDEX(Data!CB$9:CB$1273,MATCH($M140,Data!$K$9:$K$1273,0)),"")</f>
        <v/>
      </c>
      <c r="K140" s="329">
        <f>IFERROR(HYPERLINK(BM140,BC140),"-")</f>
        <v/>
      </c>
      <c r="L140" s="330">
        <f>IFERROR(IF(BB140=0,"-",BB140)," ")</f>
        <v/>
      </c>
      <c r="M140" s="311" t="n"/>
      <c r="N140" s="311" t="n"/>
      <c r="O140" s="311">
        <f>IFERROR(INDEX(Data!M$9:M$1273,MATCH($M140,Data!$K$9:$K$1273,0)),"")</f>
        <v/>
      </c>
      <c r="P140" s="311">
        <f>IFERROR(INDEX(Data!N$9:N$1273,MATCH($M140,Data!$K$9:$K$1273,0)),"")</f>
        <v/>
      </c>
      <c r="Q140" s="311">
        <f>IFERROR(INDEX(Data!O$9:O$1273,MATCH($M140,Data!$K$9:$K$1273,0)),"")</f>
        <v/>
      </c>
      <c r="R140" s="311">
        <f>IFERROR(INDEX(Data!P$9:P$1273,MATCH($M140,Data!$K$9:$K$1273,0)),"")</f>
        <v/>
      </c>
      <c r="S140" s="311">
        <f>IFERROR(INDEX(Data!S$9:S$1273,MATCH($M140,Data!$K$9:$K$1273,0)),"")</f>
        <v/>
      </c>
      <c r="T140" s="311">
        <f>IFERROR(INDEX(Data!T$9:T$1273,MATCH($M140,Data!$K$9:$K$1273,0)),"")</f>
        <v/>
      </c>
      <c r="U140" s="311">
        <f>IFERROR(INDEX(Data!U$9:U$1273,MATCH($M140,Data!$K$9:$K$1273,0)),"")</f>
        <v/>
      </c>
      <c r="V140" s="311">
        <f>IFERROR(INDEX(Data!V$9:V$1273,MATCH($M140,Data!$K$9:$K$1273,0)),"")</f>
        <v/>
      </c>
      <c r="W140" s="311">
        <f>IFERROR(INDEX(Data!W$9:W$1273,MATCH($M140,Data!$K$9:$K$1273,0)),"")</f>
        <v/>
      </c>
      <c r="X140" s="311">
        <f>IFERROR(INDEX(Data!AJ$9:AJ$1273,MATCH($M140,Data!$K$9:$K$1273,0)),"")</f>
        <v/>
      </c>
      <c r="Y140" s="311">
        <f>IFERROR(INDEX(Data!AK$9:AK$1273,MATCH($M140,Data!$K$9:$K$1273,0)),"")</f>
        <v/>
      </c>
      <c r="Z140" s="311">
        <f>IFERROR(INDEX(Data!AL$9:AL$1273,MATCH($M140,Data!$K$9:$K$1273,0)),"")</f>
        <v/>
      </c>
      <c r="AA140" s="311">
        <f>IFERROR(INDEX(Data!AM$9:AM$1273,MATCH($M140,Data!$K$9:$K$1273,0)),"")</f>
        <v/>
      </c>
      <c r="AB140" s="311">
        <f>IFERROR(INDEX(Data!AN$9:AN$1273,MATCH($M140,Data!$K$9:$K$1273,0)),"")</f>
        <v/>
      </c>
      <c r="AC140" s="312">
        <f>IFERROR(INDEX(Data!BY$9:BY$1273,MATCH($M140,Data!$K$9:$K$1273,0)),"")</f>
        <v/>
      </c>
      <c r="AD140" s="312">
        <f>IFERROR(INDEX(Data!BZ$9:BZ$1273,MATCH($M140,Data!$K$9:$K$1273,0)),"")</f>
        <v/>
      </c>
      <c r="AE140" s="312">
        <f>IFERROR(INDEX(Data!CA$9:CA$1273,MATCH($M140,Data!$K$9:$K$1273,0)),"")</f>
        <v/>
      </c>
      <c r="AF140" s="312">
        <f>IFERROR(INDEX(Data!CB$9:CB$1273,MATCH($M140,Data!$K$9:$K$1273,0)),"")</f>
        <v/>
      </c>
      <c r="AG140" s="312">
        <f>IFERROR(INDEX(Data!CC$9:CC$1273,MATCH($M140,Data!$K$9:$K$1273,0)),"")</f>
        <v/>
      </c>
      <c r="AH140" s="312">
        <f>IFERROR(INDEX(Data!CD$9:CD$1273,MATCH($M140,Data!$K$9:$K$1273,0)),"")</f>
        <v/>
      </c>
      <c r="AI140" s="312">
        <f>IFERROR(INDEX(Data!CE$9:CE$1273,MATCH($M140,Data!$K$9:$K$1273,0)),"")</f>
        <v/>
      </c>
      <c r="AJ140" s="312">
        <f>IFERROR(INDEX(Data!CF$9:CF$1273,MATCH($M140,Data!$K$9:$K$1273,0)),"")</f>
        <v/>
      </c>
      <c r="AK140" s="312">
        <f>IFERROR(INDEX(Data!CG$9:CG$1273,MATCH($M140,Data!$K$9:$K$1273,0)),"")</f>
        <v/>
      </c>
      <c r="AL140" s="312">
        <f>IFERROR(INDEX(Data!CH$9:CH$1273,MATCH($M140,Data!$K$9:$K$1273,0)),"")</f>
        <v/>
      </c>
      <c r="AM140" s="312">
        <f>IFERROR(INDEX(Data!CI$9:CI$1273,MATCH($M140,Data!$K$9:$K$1273,0)),"")</f>
        <v/>
      </c>
      <c r="AN140" s="312">
        <f>IFERROR(INDEX(Data!CJ$9:CJ$1273,MATCH($M140,Data!$K$9:$K$1273,0)),"")</f>
        <v/>
      </c>
      <c r="AO140" s="312">
        <f>IFERROR(INDEX(Data!CK$9:CK$1273,MATCH($M140,Data!$K$9:$K$1273,0)),"")</f>
        <v/>
      </c>
      <c r="AP140" s="312">
        <f>IFERROR(INDEX(Data!CL$9:CL$1273,MATCH($M140,Data!$K$9:$K$1273,0)),"")</f>
        <v/>
      </c>
      <c r="AQ140" s="312">
        <f>IFERROR(INDEX(Data!CM$9:CM$1273,MATCH($M140,Data!$K$9:$K$1273,0)),"")</f>
        <v/>
      </c>
      <c r="AR140" s="312">
        <f>IFERROR(INDEX(Data!CN$9:CN$1273,MATCH($M140,Data!$K$9:$K$1273,0)),"")</f>
        <v/>
      </c>
      <c r="AS140" s="312">
        <f>IFERROR(INDEX(Data!CO$9:CO$1273,MATCH($M140,Data!$K$9:$K$1273,0)),"")</f>
        <v/>
      </c>
      <c r="AT140" s="312">
        <f>IFERROR(INDEX(Data!CP$9:CP$1273,MATCH($M140,Data!$K$9:$K$1273,0)),"")</f>
        <v/>
      </c>
      <c r="AU140" s="312">
        <f>IFERROR(INDEX(Data!CQ$9:CQ$1273,MATCH($M140,Data!$K$9:$K$1273,0)),"")</f>
        <v/>
      </c>
      <c r="AV140" s="312">
        <f>IFERROR(INDEX(Data!CR$9:CR$1273,MATCH($M140,Data!$K$9:$K$1273,0)),"")</f>
        <v/>
      </c>
      <c r="AW140" s="312">
        <f>IFERROR(INDEX(Data!CS$9:CS$1273,MATCH($M140,Data!$K$9:$K$1273,0)),"")</f>
        <v/>
      </c>
      <c r="AX140" s="312">
        <f>IFERROR(INDEX(Data!CT$9:CT$1273,MATCH($M140,Data!$K$9:$K$1273,0)),"")</f>
        <v/>
      </c>
      <c r="AY140" s="312">
        <f>IFERROR(INDEX(Data!CU$9:CU$1273,MATCH($M140,Data!$K$9:$K$1273,0)),"")</f>
        <v/>
      </c>
      <c r="AZ140" s="312">
        <f>IFERROR(INDEX(Data!CV$9:CV$1273,MATCH($M140,Data!$K$9:$K$1273,0)),"")</f>
        <v/>
      </c>
      <c r="BA140" s="312">
        <f>IFERROR(INDEX(Data!CX$9:CX$1273,MATCH($M140,Data!$K$9:$K$1273,0)),"")</f>
        <v/>
      </c>
      <c r="BB140" s="312">
        <f>IFERROR(INDEX(Data!CY$9:CY$1273,MATCH($M140,Data!$K$9:$K$1273,0)),"")</f>
        <v/>
      </c>
      <c r="BC140" s="312">
        <f>IFERROR(INDEX(Data!CZ$9:CZ$1273,MATCH($M140,Data!$K$9:$K$1273,0)),"")</f>
        <v/>
      </c>
      <c r="BD140" s="312">
        <f>IFERROR(INDEX(Data!DA$9:DA$1273,MATCH($M140,Data!$K$9:$K$1273,0)),"")</f>
        <v/>
      </c>
      <c r="BE140" s="312">
        <f>IFERROR(INDEX(Data!DB$9:DB$1273,MATCH($M140,Data!$K$9:$K$1273,0)),"")</f>
        <v/>
      </c>
      <c r="BF140" s="312">
        <f>IFERROR(INDEX(Data!DC$9:DC$1273,MATCH($M140,Data!$K$9:$K$1273,0)),"")</f>
        <v/>
      </c>
      <c r="BG140" s="312">
        <f>IFERROR(INDEX(Data!DD$9:DD$1273,MATCH($M140,Data!$K$9:$K$1273,0)),"")</f>
        <v/>
      </c>
      <c r="BH140" s="312">
        <f>IFERROR(INDEX(Data!DE$9:DE$1273,MATCH($M140,Data!$K$9:$K$1273,0)),"")</f>
        <v/>
      </c>
      <c r="BI140" s="312">
        <f>IFERROR(INDEX(Data!DF$9:DF$1273,MATCH($M140,Data!$K$9:$K$1273,0)),"")</f>
        <v/>
      </c>
      <c r="BJ140" s="312">
        <f>IFERROR(INDEX(Data!DG$9:DG$1273,MATCH($M140,Data!$K$9:$K$1273,0)),"")</f>
        <v/>
      </c>
      <c r="BK140" s="312">
        <f>IFERROR(INDEX(Data!DH$9:DH$1273,MATCH($M140,Data!$K$9:$K$1273,0)),"")</f>
        <v/>
      </c>
      <c r="BL140" s="312">
        <f>IFERROR(INDEX(Data!DI$9:DI$1273,MATCH($M140,Data!$K$9:$K$1273,0)),"")</f>
        <v/>
      </c>
      <c r="BM140" s="312">
        <f>IFERROR(INDEX(Data!DJ$9:DJ$1273,MATCH($M140,Data!$K$9:$K$1273,0)),"")</f>
        <v/>
      </c>
      <c r="BN140" s="312">
        <f>IFERROR(INDEX(Data!DK$9:DK$1273,MATCH($M140,Data!$K$9:$K$1273,0)),"")</f>
        <v/>
      </c>
      <c r="BO140" s="312">
        <f>IFERROR(INDEX(Data!DL$9:DL$1273,MATCH($M140,Data!$K$9:$K$1273,0)),"")</f>
        <v/>
      </c>
      <c r="BP140" s="331">
        <f>IFERROR(IF(BK140=0,"-",BK140),"")</f>
        <v/>
      </c>
      <c r="BQ140" s="312">
        <f>IFERROR(IF(BP140-K140&gt;0,TRUE,FALSE)," ")</f>
        <v/>
      </c>
      <c r="BR140" s="312">
        <f>_xlfn.CONCAT(E140,F140,H140,G140)</f>
        <v/>
      </c>
      <c r="BS140" s="312">
        <f>IFERROR(INDEX(Data!$DO$9:$DO$1273,MATCH('Your recommendation'!BR140,Data!$DN$9:$DN$1273,0)),"")</f>
        <v/>
      </c>
    </row>
    <row r="141" ht="15.6" customFormat="1" customHeight="1" s="138">
      <c r="B141" s="309">
        <f>IF(C141&gt;0,B140+1,"")</f>
        <v/>
      </c>
      <c r="C141" s="310" t="n"/>
      <c r="D141" s="312">
        <f>IFERROR(INDEX(Data!BR$9:BR$1273,MATCH($M141,Data!$K$9:$K$1273,0)),"")</f>
        <v/>
      </c>
      <c r="E141" s="312">
        <f>IFERROR(INDEX(Data!BS$9:BS$1273,MATCH($M141,Data!$K$9:$K$1273,0)),"")</f>
        <v/>
      </c>
      <c r="F141" s="312">
        <f>IFERROR(INDEX(Data!DM$9:DM$1273,MATCH($M141,Data!$K$9:$K$1273,0)),"")</f>
        <v/>
      </c>
      <c r="G141" s="312">
        <f>IFERROR(INDEX(Data!BV$9:BV$1273,MATCH($M141,Data!$K$9:$K$1273,0)),"")</f>
        <v/>
      </c>
      <c r="H141" s="312">
        <f>IFERROR(INDEX(Data!BW$9:BW$1273,MATCH($M141,Data!$K$9:$K$1273,0)),"")</f>
        <v/>
      </c>
      <c r="I141" s="312">
        <f>IFERROR(INDEX(Data!BX$9:BX$1273,MATCH($M141,Data!$K$9:$K$1273,0)),"")</f>
        <v/>
      </c>
      <c r="J141" s="312">
        <f>IFERROR(INDEX(Data!CB$9:CB$1273,MATCH($M141,Data!$K$9:$K$1273,0)),"")</f>
        <v/>
      </c>
      <c r="K141" s="329">
        <f>IFERROR(HYPERLINK(BM141,BC141),"-")</f>
        <v/>
      </c>
      <c r="L141" s="330">
        <f>IFERROR(IF(BB141=0,"-",BB141)," ")</f>
        <v/>
      </c>
      <c r="M141" s="311" t="n"/>
      <c r="N141" s="311" t="n"/>
      <c r="O141" s="311">
        <f>IFERROR(INDEX(Data!M$9:M$1273,MATCH($M141,Data!$K$9:$K$1273,0)),"")</f>
        <v/>
      </c>
      <c r="P141" s="311">
        <f>IFERROR(INDEX(Data!N$9:N$1273,MATCH($M141,Data!$K$9:$K$1273,0)),"")</f>
        <v/>
      </c>
      <c r="Q141" s="311">
        <f>IFERROR(INDEX(Data!O$9:O$1273,MATCH($M141,Data!$K$9:$K$1273,0)),"")</f>
        <v/>
      </c>
      <c r="R141" s="311">
        <f>IFERROR(INDEX(Data!P$9:P$1273,MATCH($M141,Data!$K$9:$K$1273,0)),"")</f>
        <v/>
      </c>
      <c r="S141" s="311">
        <f>IFERROR(INDEX(Data!S$9:S$1273,MATCH($M141,Data!$K$9:$K$1273,0)),"")</f>
        <v/>
      </c>
      <c r="T141" s="311">
        <f>IFERROR(INDEX(Data!T$9:T$1273,MATCH($M141,Data!$K$9:$K$1273,0)),"")</f>
        <v/>
      </c>
      <c r="U141" s="311">
        <f>IFERROR(INDEX(Data!U$9:U$1273,MATCH($M141,Data!$K$9:$K$1273,0)),"")</f>
        <v/>
      </c>
      <c r="V141" s="311">
        <f>IFERROR(INDEX(Data!V$9:V$1273,MATCH($M141,Data!$K$9:$K$1273,0)),"")</f>
        <v/>
      </c>
      <c r="W141" s="311">
        <f>IFERROR(INDEX(Data!W$9:W$1273,MATCH($M141,Data!$K$9:$K$1273,0)),"")</f>
        <v/>
      </c>
      <c r="X141" s="311">
        <f>IFERROR(INDEX(Data!AJ$9:AJ$1273,MATCH($M141,Data!$K$9:$K$1273,0)),"")</f>
        <v/>
      </c>
      <c r="Y141" s="311">
        <f>IFERROR(INDEX(Data!AK$9:AK$1273,MATCH($M141,Data!$K$9:$K$1273,0)),"")</f>
        <v/>
      </c>
      <c r="Z141" s="311">
        <f>IFERROR(INDEX(Data!AL$9:AL$1273,MATCH($M141,Data!$K$9:$K$1273,0)),"")</f>
        <v/>
      </c>
      <c r="AA141" s="311">
        <f>IFERROR(INDEX(Data!AM$9:AM$1273,MATCH($M141,Data!$K$9:$K$1273,0)),"")</f>
        <v/>
      </c>
      <c r="AB141" s="311">
        <f>IFERROR(INDEX(Data!AN$9:AN$1273,MATCH($M141,Data!$K$9:$K$1273,0)),"")</f>
        <v/>
      </c>
      <c r="AC141" s="312">
        <f>IFERROR(INDEX(Data!BY$9:BY$1273,MATCH($M141,Data!$K$9:$K$1273,0)),"")</f>
        <v/>
      </c>
      <c r="AD141" s="312">
        <f>IFERROR(INDEX(Data!BZ$9:BZ$1273,MATCH($M141,Data!$K$9:$K$1273,0)),"")</f>
        <v/>
      </c>
      <c r="AE141" s="312">
        <f>IFERROR(INDEX(Data!CA$9:CA$1273,MATCH($M141,Data!$K$9:$K$1273,0)),"")</f>
        <v/>
      </c>
      <c r="AF141" s="312">
        <f>IFERROR(INDEX(Data!CB$9:CB$1273,MATCH($M141,Data!$K$9:$K$1273,0)),"")</f>
        <v/>
      </c>
      <c r="AG141" s="312">
        <f>IFERROR(INDEX(Data!CC$9:CC$1273,MATCH($M141,Data!$K$9:$K$1273,0)),"")</f>
        <v/>
      </c>
      <c r="AH141" s="312">
        <f>IFERROR(INDEX(Data!CD$9:CD$1273,MATCH($M141,Data!$K$9:$K$1273,0)),"")</f>
        <v/>
      </c>
      <c r="AI141" s="312">
        <f>IFERROR(INDEX(Data!CE$9:CE$1273,MATCH($M141,Data!$K$9:$K$1273,0)),"")</f>
        <v/>
      </c>
      <c r="AJ141" s="312">
        <f>IFERROR(INDEX(Data!CF$9:CF$1273,MATCH($M141,Data!$K$9:$K$1273,0)),"")</f>
        <v/>
      </c>
      <c r="AK141" s="312">
        <f>IFERROR(INDEX(Data!CG$9:CG$1273,MATCH($M141,Data!$K$9:$K$1273,0)),"")</f>
        <v/>
      </c>
      <c r="AL141" s="312">
        <f>IFERROR(INDEX(Data!CH$9:CH$1273,MATCH($M141,Data!$K$9:$K$1273,0)),"")</f>
        <v/>
      </c>
      <c r="AM141" s="312">
        <f>IFERROR(INDEX(Data!CI$9:CI$1273,MATCH($M141,Data!$K$9:$K$1273,0)),"")</f>
        <v/>
      </c>
      <c r="AN141" s="312">
        <f>IFERROR(INDEX(Data!CJ$9:CJ$1273,MATCH($M141,Data!$K$9:$K$1273,0)),"")</f>
        <v/>
      </c>
      <c r="AO141" s="312">
        <f>IFERROR(INDEX(Data!CK$9:CK$1273,MATCH($M141,Data!$K$9:$K$1273,0)),"")</f>
        <v/>
      </c>
      <c r="AP141" s="312">
        <f>IFERROR(INDEX(Data!CL$9:CL$1273,MATCH($M141,Data!$K$9:$K$1273,0)),"")</f>
        <v/>
      </c>
      <c r="AQ141" s="312">
        <f>IFERROR(INDEX(Data!CM$9:CM$1273,MATCH($M141,Data!$K$9:$K$1273,0)),"")</f>
        <v/>
      </c>
      <c r="AR141" s="312">
        <f>IFERROR(INDEX(Data!CN$9:CN$1273,MATCH($M141,Data!$K$9:$K$1273,0)),"")</f>
        <v/>
      </c>
      <c r="AS141" s="312">
        <f>IFERROR(INDEX(Data!CO$9:CO$1273,MATCH($M141,Data!$K$9:$K$1273,0)),"")</f>
        <v/>
      </c>
      <c r="AT141" s="312">
        <f>IFERROR(INDEX(Data!CP$9:CP$1273,MATCH($M141,Data!$K$9:$K$1273,0)),"")</f>
        <v/>
      </c>
      <c r="AU141" s="312">
        <f>IFERROR(INDEX(Data!CQ$9:CQ$1273,MATCH($M141,Data!$K$9:$K$1273,0)),"")</f>
        <v/>
      </c>
      <c r="AV141" s="312">
        <f>IFERROR(INDEX(Data!CR$9:CR$1273,MATCH($M141,Data!$K$9:$K$1273,0)),"")</f>
        <v/>
      </c>
      <c r="AW141" s="312">
        <f>IFERROR(INDEX(Data!CS$9:CS$1273,MATCH($M141,Data!$K$9:$K$1273,0)),"")</f>
        <v/>
      </c>
      <c r="AX141" s="312">
        <f>IFERROR(INDEX(Data!CT$9:CT$1273,MATCH($M141,Data!$K$9:$K$1273,0)),"")</f>
        <v/>
      </c>
      <c r="AY141" s="312">
        <f>IFERROR(INDEX(Data!CU$9:CU$1273,MATCH($M141,Data!$K$9:$K$1273,0)),"")</f>
        <v/>
      </c>
      <c r="AZ141" s="312">
        <f>IFERROR(INDEX(Data!CV$9:CV$1273,MATCH($M141,Data!$K$9:$K$1273,0)),"")</f>
        <v/>
      </c>
      <c r="BA141" s="312">
        <f>IFERROR(INDEX(Data!CX$9:CX$1273,MATCH($M141,Data!$K$9:$K$1273,0)),"")</f>
        <v/>
      </c>
      <c r="BB141" s="312">
        <f>IFERROR(INDEX(Data!CY$9:CY$1273,MATCH($M141,Data!$K$9:$K$1273,0)),"")</f>
        <v/>
      </c>
      <c r="BC141" s="312">
        <f>IFERROR(INDEX(Data!CZ$9:CZ$1273,MATCH($M141,Data!$K$9:$K$1273,0)),"")</f>
        <v/>
      </c>
      <c r="BD141" s="312">
        <f>IFERROR(INDEX(Data!DA$9:DA$1273,MATCH($M141,Data!$K$9:$K$1273,0)),"")</f>
        <v/>
      </c>
      <c r="BE141" s="312">
        <f>IFERROR(INDEX(Data!DB$9:DB$1273,MATCH($M141,Data!$K$9:$K$1273,0)),"")</f>
        <v/>
      </c>
      <c r="BF141" s="312">
        <f>IFERROR(INDEX(Data!DC$9:DC$1273,MATCH($M141,Data!$K$9:$K$1273,0)),"")</f>
        <v/>
      </c>
      <c r="BG141" s="312">
        <f>IFERROR(INDEX(Data!DD$9:DD$1273,MATCH($M141,Data!$K$9:$K$1273,0)),"")</f>
        <v/>
      </c>
      <c r="BH141" s="312">
        <f>IFERROR(INDEX(Data!DE$9:DE$1273,MATCH($M141,Data!$K$9:$K$1273,0)),"")</f>
        <v/>
      </c>
      <c r="BI141" s="312">
        <f>IFERROR(INDEX(Data!DF$9:DF$1273,MATCH($M141,Data!$K$9:$K$1273,0)),"")</f>
        <v/>
      </c>
      <c r="BJ141" s="312">
        <f>IFERROR(INDEX(Data!DG$9:DG$1273,MATCH($M141,Data!$K$9:$K$1273,0)),"")</f>
        <v/>
      </c>
      <c r="BK141" s="312">
        <f>IFERROR(INDEX(Data!DH$9:DH$1273,MATCH($M141,Data!$K$9:$K$1273,0)),"")</f>
        <v/>
      </c>
      <c r="BL141" s="312">
        <f>IFERROR(INDEX(Data!DI$9:DI$1273,MATCH($M141,Data!$K$9:$K$1273,0)),"")</f>
        <v/>
      </c>
      <c r="BM141" s="312">
        <f>IFERROR(INDEX(Data!DJ$9:DJ$1273,MATCH($M141,Data!$K$9:$K$1273,0)),"")</f>
        <v/>
      </c>
      <c r="BN141" s="312">
        <f>IFERROR(INDEX(Data!DK$9:DK$1273,MATCH($M141,Data!$K$9:$K$1273,0)),"")</f>
        <v/>
      </c>
      <c r="BO141" s="312">
        <f>IFERROR(INDEX(Data!DL$9:DL$1273,MATCH($M141,Data!$K$9:$K$1273,0)),"")</f>
        <v/>
      </c>
      <c r="BP141" s="331">
        <f>IFERROR(IF(BK141=0,"-",BK141),"")</f>
        <v/>
      </c>
      <c r="BQ141" s="312">
        <f>IFERROR(IF(BP141-K141&gt;0,TRUE,FALSE)," ")</f>
        <v/>
      </c>
      <c r="BR141" s="312">
        <f>_xlfn.CONCAT(E141,F141,H141,G141)</f>
        <v/>
      </c>
      <c r="BS141" s="312">
        <f>IFERROR(INDEX(Data!$DO$9:$DO$1273,MATCH('Your recommendation'!BR141,Data!$DN$9:$DN$1273,0)),"")</f>
        <v/>
      </c>
    </row>
    <row r="142" ht="15.6" customFormat="1" customHeight="1" s="138">
      <c r="B142" s="309">
        <f>IF(C142&gt;0,B141+1,"")</f>
        <v/>
      </c>
      <c r="C142" s="310" t="n"/>
      <c r="D142" s="312">
        <f>IFERROR(INDEX(Data!BR$9:BR$1273,MATCH($M142,Data!$K$9:$K$1273,0)),"")</f>
        <v/>
      </c>
      <c r="E142" s="312">
        <f>IFERROR(INDEX(Data!BS$9:BS$1273,MATCH($M142,Data!$K$9:$K$1273,0)),"")</f>
        <v/>
      </c>
      <c r="F142" s="312">
        <f>IFERROR(INDEX(Data!DM$9:DM$1273,MATCH($M142,Data!$K$9:$K$1273,0)),"")</f>
        <v/>
      </c>
      <c r="G142" s="312">
        <f>IFERROR(INDEX(Data!BV$9:BV$1273,MATCH($M142,Data!$K$9:$K$1273,0)),"")</f>
        <v/>
      </c>
      <c r="H142" s="312">
        <f>IFERROR(INDEX(Data!BW$9:BW$1273,MATCH($M142,Data!$K$9:$K$1273,0)),"")</f>
        <v/>
      </c>
      <c r="I142" s="312">
        <f>IFERROR(INDEX(Data!BX$9:BX$1273,MATCH($M142,Data!$K$9:$K$1273,0)),"")</f>
        <v/>
      </c>
      <c r="J142" s="312">
        <f>IFERROR(INDEX(Data!CB$9:CB$1273,MATCH($M142,Data!$K$9:$K$1273,0)),"")</f>
        <v/>
      </c>
      <c r="K142" s="329">
        <f>IFERROR(HYPERLINK(BM142,BC142),"-")</f>
        <v/>
      </c>
      <c r="L142" s="330">
        <f>IFERROR(IF(BB142=0,"-",BB142)," ")</f>
        <v/>
      </c>
      <c r="M142" s="311" t="n"/>
      <c r="N142" s="311" t="n"/>
      <c r="O142" s="311">
        <f>IFERROR(INDEX(Data!M$9:M$1273,MATCH($M142,Data!$K$9:$K$1273,0)),"")</f>
        <v/>
      </c>
      <c r="P142" s="311">
        <f>IFERROR(INDEX(Data!N$9:N$1273,MATCH($M142,Data!$K$9:$K$1273,0)),"")</f>
        <v/>
      </c>
      <c r="Q142" s="311">
        <f>IFERROR(INDEX(Data!O$9:O$1273,MATCH($M142,Data!$K$9:$K$1273,0)),"")</f>
        <v/>
      </c>
      <c r="R142" s="311">
        <f>IFERROR(INDEX(Data!P$9:P$1273,MATCH($M142,Data!$K$9:$K$1273,0)),"")</f>
        <v/>
      </c>
      <c r="S142" s="311">
        <f>IFERROR(INDEX(Data!S$9:S$1273,MATCH($M142,Data!$K$9:$K$1273,0)),"")</f>
        <v/>
      </c>
      <c r="T142" s="311">
        <f>IFERROR(INDEX(Data!T$9:T$1273,MATCH($M142,Data!$K$9:$K$1273,0)),"")</f>
        <v/>
      </c>
      <c r="U142" s="311">
        <f>IFERROR(INDEX(Data!U$9:U$1273,MATCH($M142,Data!$K$9:$K$1273,0)),"")</f>
        <v/>
      </c>
      <c r="V142" s="311">
        <f>IFERROR(INDEX(Data!V$9:V$1273,MATCH($M142,Data!$K$9:$K$1273,0)),"")</f>
        <v/>
      </c>
      <c r="W142" s="311">
        <f>IFERROR(INDEX(Data!W$9:W$1273,MATCH($M142,Data!$K$9:$K$1273,0)),"")</f>
        <v/>
      </c>
      <c r="X142" s="311">
        <f>IFERROR(INDEX(Data!AJ$9:AJ$1273,MATCH($M142,Data!$K$9:$K$1273,0)),"")</f>
        <v/>
      </c>
      <c r="Y142" s="311">
        <f>IFERROR(INDEX(Data!AK$9:AK$1273,MATCH($M142,Data!$K$9:$K$1273,0)),"")</f>
        <v/>
      </c>
      <c r="Z142" s="311">
        <f>IFERROR(INDEX(Data!AL$9:AL$1273,MATCH($M142,Data!$K$9:$K$1273,0)),"")</f>
        <v/>
      </c>
      <c r="AA142" s="311">
        <f>IFERROR(INDEX(Data!AM$9:AM$1273,MATCH($M142,Data!$K$9:$K$1273,0)),"")</f>
        <v/>
      </c>
      <c r="AB142" s="311">
        <f>IFERROR(INDEX(Data!AN$9:AN$1273,MATCH($M142,Data!$K$9:$K$1273,0)),"")</f>
        <v/>
      </c>
      <c r="AC142" s="312">
        <f>IFERROR(INDEX(Data!BY$9:BY$1273,MATCH($M142,Data!$K$9:$K$1273,0)),"")</f>
        <v/>
      </c>
      <c r="AD142" s="312">
        <f>IFERROR(INDEX(Data!BZ$9:BZ$1273,MATCH($M142,Data!$K$9:$K$1273,0)),"")</f>
        <v/>
      </c>
      <c r="AE142" s="312">
        <f>IFERROR(INDEX(Data!CA$9:CA$1273,MATCH($M142,Data!$K$9:$K$1273,0)),"")</f>
        <v/>
      </c>
      <c r="AF142" s="312">
        <f>IFERROR(INDEX(Data!CB$9:CB$1273,MATCH($M142,Data!$K$9:$K$1273,0)),"")</f>
        <v/>
      </c>
      <c r="AG142" s="312">
        <f>IFERROR(INDEX(Data!CC$9:CC$1273,MATCH($M142,Data!$K$9:$K$1273,0)),"")</f>
        <v/>
      </c>
      <c r="AH142" s="312">
        <f>IFERROR(INDEX(Data!CD$9:CD$1273,MATCH($M142,Data!$K$9:$K$1273,0)),"")</f>
        <v/>
      </c>
      <c r="AI142" s="312">
        <f>IFERROR(INDEX(Data!CE$9:CE$1273,MATCH($M142,Data!$K$9:$K$1273,0)),"")</f>
        <v/>
      </c>
      <c r="AJ142" s="312">
        <f>IFERROR(INDEX(Data!CF$9:CF$1273,MATCH($M142,Data!$K$9:$K$1273,0)),"")</f>
        <v/>
      </c>
      <c r="AK142" s="312">
        <f>IFERROR(INDEX(Data!CG$9:CG$1273,MATCH($M142,Data!$K$9:$K$1273,0)),"")</f>
        <v/>
      </c>
      <c r="AL142" s="312">
        <f>IFERROR(INDEX(Data!CH$9:CH$1273,MATCH($M142,Data!$K$9:$K$1273,0)),"")</f>
        <v/>
      </c>
      <c r="AM142" s="312">
        <f>IFERROR(INDEX(Data!CI$9:CI$1273,MATCH($M142,Data!$K$9:$K$1273,0)),"")</f>
        <v/>
      </c>
      <c r="AN142" s="312">
        <f>IFERROR(INDEX(Data!CJ$9:CJ$1273,MATCH($M142,Data!$K$9:$K$1273,0)),"")</f>
        <v/>
      </c>
      <c r="AO142" s="312">
        <f>IFERROR(INDEX(Data!CK$9:CK$1273,MATCH($M142,Data!$K$9:$K$1273,0)),"")</f>
        <v/>
      </c>
      <c r="AP142" s="312">
        <f>IFERROR(INDEX(Data!CL$9:CL$1273,MATCH($M142,Data!$K$9:$K$1273,0)),"")</f>
        <v/>
      </c>
      <c r="AQ142" s="312">
        <f>IFERROR(INDEX(Data!CM$9:CM$1273,MATCH($M142,Data!$K$9:$K$1273,0)),"")</f>
        <v/>
      </c>
      <c r="AR142" s="312">
        <f>IFERROR(INDEX(Data!CN$9:CN$1273,MATCH($M142,Data!$K$9:$K$1273,0)),"")</f>
        <v/>
      </c>
      <c r="AS142" s="312">
        <f>IFERROR(INDEX(Data!CO$9:CO$1273,MATCH($M142,Data!$K$9:$K$1273,0)),"")</f>
        <v/>
      </c>
      <c r="AT142" s="312">
        <f>IFERROR(INDEX(Data!CP$9:CP$1273,MATCH($M142,Data!$K$9:$K$1273,0)),"")</f>
        <v/>
      </c>
      <c r="AU142" s="312">
        <f>IFERROR(INDEX(Data!CQ$9:CQ$1273,MATCH($M142,Data!$K$9:$K$1273,0)),"")</f>
        <v/>
      </c>
      <c r="AV142" s="312">
        <f>IFERROR(INDEX(Data!CR$9:CR$1273,MATCH($M142,Data!$K$9:$K$1273,0)),"")</f>
        <v/>
      </c>
      <c r="AW142" s="312">
        <f>IFERROR(INDEX(Data!CS$9:CS$1273,MATCH($M142,Data!$K$9:$K$1273,0)),"")</f>
        <v/>
      </c>
      <c r="AX142" s="312">
        <f>IFERROR(INDEX(Data!CT$9:CT$1273,MATCH($M142,Data!$K$9:$K$1273,0)),"")</f>
        <v/>
      </c>
      <c r="AY142" s="312">
        <f>IFERROR(INDEX(Data!CU$9:CU$1273,MATCH($M142,Data!$K$9:$K$1273,0)),"")</f>
        <v/>
      </c>
      <c r="AZ142" s="312">
        <f>IFERROR(INDEX(Data!CV$9:CV$1273,MATCH($M142,Data!$K$9:$K$1273,0)),"")</f>
        <v/>
      </c>
      <c r="BA142" s="312">
        <f>IFERROR(INDEX(Data!CX$9:CX$1273,MATCH($M142,Data!$K$9:$K$1273,0)),"")</f>
        <v/>
      </c>
      <c r="BB142" s="312">
        <f>IFERROR(INDEX(Data!CY$9:CY$1273,MATCH($M142,Data!$K$9:$K$1273,0)),"")</f>
        <v/>
      </c>
      <c r="BC142" s="312">
        <f>IFERROR(INDEX(Data!CZ$9:CZ$1273,MATCH($M142,Data!$K$9:$K$1273,0)),"")</f>
        <v/>
      </c>
      <c r="BD142" s="312">
        <f>IFERROR(INDEX(Data!DA$9:DA$1273,MATCH($M142,Data!$K$9:$K$1273,0)),"")</f>
        <v/>
      </c>
      <c r="BE142" s="312">
        <f>IFERROR(INDEX(Data!DB$9:DB$1273,MATCH($M142,Data!$K$9:$K$1273,0)),"")</f>
        <v/>
      </c>
      <c r="BF142" s="312">
        <f>IFERROR(INDEX(Data!DC$9:DC$1273,MATCH($M142,Data!$K$9:$K$1273,0)),"")</f>
        <v/>
      </c>
      <c r="BG142" s="312">
        <f>IFERROR(INDEX(Data!DD$9:DD$1273,MATCH($M142,Data!$K$9:$K$1273,0)),"")</f>
        <v/>
      </c>
      <c r="BH142" s="312">
        <f>IFERROR(INDEX(Data!DE$9:DE$1273,MATCH($M142,Data!$K$9:$K$1273,0)),"")</f>
        <v/>
      </c>
      <c r="BI142" s="312">
        <f>IFERROR(INDEX(Data!DF$9:DF$1273,MATCH($M142,Data!$K$9:$K$1273,0)),"")</f>
        <v/>
      </c>
      <c r="BJ142" s="312">
        <f>IFERROR(INDEX(Data!DG$9:DG$1273,MATCH($M142,Data!$K$9:$K$1273,0)),"")</f>
        <v/>
      </c>
      <c r="BK142" s="312">
        <f>IFERROR(INDEX(Data!DH$9:DH$1273,MATCH($M142,Data!$K$9:$K$1273,0)),"")</f>
        <v/>
      </c>
      <c r="BL142" s="312">
        <f>IFERROR(INDEX(Data!DI$9:DI$1273,MATCH($M142,Data!$K$9:$K$1273,0)),"")</f>
        <v/>
      </c>
      <c r="BM142" s="312">
        <f>IFERROR(INDEX(Data!DJ$9:DJ$1273,MATCH($M142,Data!$K$9:$K$1273,0)),"")</f>
        <v/>
      </c>
      <c r="BN142" s="312">
        <f>IFERROR(INDEX(Data!DK$9:DK$1273,MATCH($M142,Data!$K$9:$K$1273,0)),"")</f>
        <v/>
      </c>
      <c r="BO142" s="312">
        <f>IFERROR(INDEX(Data!DL$9:DL$1273,MATCH($M142,Data!$K$9:$K$1273,0)),"")</f>
        <v/>
      </c>
      <c r="BP142" s="331">
        <f>IFERROR(IF(BK142=0,"-",BK142),"")</f>
        <v/>
      </c>
      <c r="BQ142" s="312">
        <f>IFERROR(IF(BP142-K142&gt;0,TRUE,FALSE)," ")</f>
        <v/>
      </c>
      <c r="BR142" s="312">
        <f>_xlfn.CONCAT(E142,F142,H142,G142)</f>
        <v/>
      </c>
      <c r="BS142" s="312">
        <f>IFERROR(INDEX(Data!$DO$9:$DO$1273,MATCH('Your recommendation'!BR142,Data!$DN$9:$DN$1273,0)),"")</f>
        <v/>
      </c>
    </row>
    <row r="143" ht="15.6" customFormat="1" customHeight="1" s="138">
      <c r="B143" s="309">
        <f>IF(C143&gt;0,B142+1,"")</f>
        <v/>
      </c>
      <c r="C143" s="310" t="n"/>
      <c r="D143" s="312">
        <f>IFERROR(INDEX(Data!BR$9:BR$1273,MATCH($M143,Data!$K$9:$K$1273,0)),"")</f>
        <v/>
      </c>
      <c r="E143" s="312">
        <f>IFERROR(INDEX(Data!BS$9:BS$1273,MATCH($M143,Data!$K$9:$K$1273,0)),"")</f>
        <v/>
      </c>
      <c r="F143" s="312">
        <f>IFERROR(INDEX(Data!DM$9:DM$1273,MATCH($M143,Data!$K$9:$K$1273,0)),"")</f>
        <v/>
      </c>
      <c r="G143" s="312">
        <f>IFERROR(INDEX(Data!BV$9:BV$1273,MATCH($M143,Data!$K$9:$K$1273,0)),"")</f>
        <v/>
      </c>
      <c r="H143" s="312">
        <f>IFERROR(INDEX(Data!BW$9:BW$1273,MATCH($M143,Data!$K$9:$K$1273,0)),"")</f>
        <v/>
      </c>
      <c r="I143" s="312">
        <f>IFERROR(INDEX(Data!BX$9:BX$1273,MATCH($M143,Data!$K$9:$K$1273,0)),"")</f>
        <v/>
      </c>
      <c r="J143" s="312">
        <f>IFERROR(INDEX(Data!CB$9:CB$1273,MATCH($M143,Data!$K$9:$K$1273,0)),"")</f>
        <v/>
      </c>
      <c r="K143" s="329">
        <f>IFERROR(HYPERLINK(BM143,BC143),"-")</f>
        <v/>
      </c>
      <c r="L143" s="330">
        <f>IFERROR(IF(BB143=0,"-",BB143)," ")</f>
        <v/>
      </c>
      <c r="M143" s="311" t="n"/>
      <c r="N143" s="311" t="n"/>
      <c r="O143" s="311">
        <f>IFERROR(INDEX(Data!M$9:M$1273,MATCH($M143,Data!$K$9:$K$1273,0)),"")</f>
        <v/>
      </c>
      <c r="P143" s="311">
        <f>IFERROR(INDEX(Data!N$9:N$1273,MATCH($M143,Data!$K$9:$K$1273,0)),"")</f>
        <v/>
      </c>
      <c r="Q143" s="311">
        <f>IFERROR(INDEX(Data!O$9:O$1273,MATCH($M143,Data!$K$9:$K$1273,0)),"")</f>
        <v/>
      </c>
      <c r="R143" s="311">
        <f>IFERROR(INDEX(Data!P$9:P$1273,MATCH($M143,Data!$K$9:$K$1273,0)),"")</f>
        <v/>
      </c>
      <c r="S143" s="311">
        <f>IFERROR(INDEX(Data!S$9:S$1273,MATCH($M143,Data!$K$9:$K$1273,0)),"")</f>
        <v/>
      </c>
      <c r="T143" s="311">
        <f>IFERROR(INDEX(Data!T$9:T$1273,MATCH($M143,Data!$K$9:$K$1273,0)),"")</f>
        <v/>
      </c>
      <c r="U143" s="311">
        <f>IFERROR(INDEX(Data!U$9:U$1273,MATCH($M143,Data!$K$9:$K$1273,0)),"")</f>
        <v/>
      </c>
      <c r="V143" s="311">
        <f>IFERROR(INDEX(Data!V$9:V$1273,MATCH($M143,Data!$K$9:$K$1273,0)),"")</f>
        <v/>
      </c>
      <c r="W143" s="311">
        <f>IFERROR(INDEX(Data!W$9:W$1273,MATCH($M143,Data!$K$9:$K$1273,0)),"")</f>
        <v/>
      </c>
      <c r="X143" s="311">
        <f>IFERROR(INDEX(Data!AJ$9:AJ$1273,MATCH($M143,Data!$K$9:$K$1273,0)),"")</f>
        <v/>
      </c>
      <c r="Y143" s="311">
        <f>IFERROR(INDEX(Data!AK$9:AK$1273,MATCH($M143,Data!$K$9:$K$1273,0)),"")</f>
        <v/>
      </c>
      <c r="Z143" s="311">
        <f>IFERROR(INDEX(Data!AL$9:AL$1273,MATCH($M143,Data!$K$9:$K$1273,0)),"")</f>
        <v/>
      </c>
      <c r="AA143" s="311">
        <f>IFERROR(INDEX(Data!AM$9:AM$1273,MATCH($M143,Data!$K$9:$K$1273,0)),"")</f>
        <v/>
      </c>
      <c r="AB143" s="311">
        <f>IFERROR(INDEX(Data!AN$9:AN$1273,MATCH($M143,Data!$K$9:$K$1273,0)),"")</f>
        <v/>
      </c>
      <c r="AC143" s="312">
        <f>IFERROR(INDEX(Data!BY$9:BY$1273,MATCH($M143,Data!$K$9:$K$1273,0)),"")</f>
        <v/>
      </c>
      <c r="AD143" s="312">
        <f>IFERROR(INDEX(Data!BZ$9:BZ$1273,MATCH($M143,Data!$K$9:$K$1273,0)),"")</f>
        <v/>
      </c>
      <c r="AE143" s="312">
        <f>IFERROR(INDEX(Data!CA$9:CA$1273,MATCH($M143,Data!$K$9:$K$1273,0)),"")</f>
        <v/>
      </c>
      <c r="AF143" s="312">
        <f>IFERROR(INDEX(Data!CB$9:CB$1273,MATCH($M143,Data!$K$9:$K$1273,0)),"")</f>
        <v/>
      </c>
      <c r="AG143" s="312">
        <f>IFERROR(INDEX(Data!CC$9:CC$1273,MATCH($M143,Data!$K$9:$K$1273,0)),"")</f>
        <v/>
      </c>
      <c r="AH143" s="312">
        <f>IFERROR(INDEX(Data!CD$9:CD$1273,MATCH($M143,Data!$K$9:$K$1273,0)),"")</f>
        <v/>
      </c>
      <c r="AI143" s="312">
        <f>IFERROR(INDEX(Data!CE$9:CE$1273,MATCH($M143,Data!$K$9:$K$1273,0)),"")</f>
        <v/>
      </c>
      <c r="AJ143" s="312">
        <f>IFERROR(INDEX(Data!CF$9:CF$1273,MATCH($M143,Data!$K$9:$K$1273,0)),"")</f>
        <v/>
      </c>
      <c r="AK143" s="312">
        <f>IFERROR(INDEX(Data!CG$9:CG$1273,MATCH($M143,Data!$K$9:$K$1273,0)),"")</f>
        <v/>
      </c>
      <c r="AL143" s="312">
        <f>IFERROR(INDEX(Data!CH$9:CH$1273,MATCH($M143,Data!$K$9:$K$1273,0)),"")</f>
        <v/>
      </c>
      <c r="AM143" s="312">
        <f>IFERROR(INDEX(Data!CI$9:CI$1273,MATCH($M143,Data!$K$9:$K$1273,0)),"")</f>
        <v/>
      </c>
      <c r="AN143" s="312">
        <f>IFERROR(INDEX(Data!CJ$9:CJ$1273,MATCH($M143,Data!$K$9:$K$1273,0)),"")</f>
        <v/>
      </c>
      <c r="AO143" s="312">
        <f>IFERROR(INDEX(Data!CK$9:CK$1273,MATCH($M143,Data!$K$9:$K$1273,0)),"")</f>
        <v/>
      </c>
      <c r="AP143" s="312">
        <f>IFERROR(INDEX(Data!CL$9:CL$1273,MATCH($M143,Data!$K$9:$K$1273,0)),"")</f>
        <v/>
      </c>
      <c r="AQ143" s="312">
        <f>IFERROR(INDEX(Data!CM$9:CM$1273,MATCH($M143,Data!$K$9:$K$1273,0)),"")</f>
        <v/>
      </c>
      <c r="AR143" s="312">
        <f>IFERROR(INDEX(Data!CN$9:CN$1273,MATCH($M143,Data!$K$9:$K$1273,0)),"")</f>
        <v/>
      </c>
      <c r="AS143" s="312">
        <f>IFERROR(INDEX(Data!CO$9:CO$1273,MATCH($M143,Data!$K$9:$K$1273,0)),"")</f>
        <v/>
      </c>
      <c r="AT143" s="312">
        <f>IFERROR(INDEX(Data!CP$9:CP$1273,MATCH($M143,Data!$K$9:$K$1273,0)),"")</f>
        <v/>
      </c>
      <c r="AU143" s="312">
        <f>IFERROR(INDEX(Data!CQ$9:CQ$1273,MATCH($M143,Data!$K$9:$K$1273,0)),"")</f>
        <v/>
      </c>
      <c r="AV143" s="312">
        <f>IFERROR(INDEX(Data!CR$9:CR$1273,MATCH($M143,Data!$K$9:$K$1273,0)),"")</f>
        <v/>
      </c>
      <c r="AW143" s="312">
        <f>IFERROR(INDEX(Data!CS$9:CS$1273,MATCH($M143,Data!$K$9:$K$1273,0)),"")</f>
        <v/>
      </c>
      <c r="AX143" s="312">
        <f>IFERROR(INDEX(Data!CT$9:CT$1273,MATCH($M143,Data!$K$9:$K$1273,0)),"")</f>
        <v/>
      </c>
      <c r="AY143" s="312">
        <f>IFERROR(INDEX(Data!CU$9:CU$1273,MATCH($M143,Data!$K$9:$K$1273,0)),"")</f>
        <v/>
      </c>
      <c r="AZ143" s="312">
        <f>IFERROR(INDEX(Data!CV$9:CV$1273,MATCH($M143,Data!$K$9:$K$1273,0)),"")</f>
        <v/>
      </c>
      <c r="BA143" s="312">
        <f>IFERROR(INDEX(Data!CX$9:CX$1273,MATCH($M143,Data!$K$9:$K$1273,0)),"")</f>
        <v/>
      </c>
      <c r="BB143" s="312">
        <f>IFERROR(INDEX(Data!CY$9:CY$1273,MATCH($M143,Data!$K$9:$K$1273,0)),"")</f>
        <v/>
      </c>
      <c r="BC143" s="312">
        <f>IFERROR(INDEX(Data!CZ$9:CZ$1273,MATCH($M143,Data!$K$9:$K$1273,0)),"")</f>
        <v/>
      </c>
      <c r="BD143" s="312">
        <f>IFERROR(INDEX(Data!DA$9:DA$1273,MATCH($M143,Data!$K$9:$K$1273,0)),"")</f>
        <v/>
      </c>
      <c r="BE143" s="312">
        <f>IFERROR(INDEX(Data!DB$9:DB$1273,MATCH($M143,Data!$K$9:$K$1273,0)),"")</f>
        <v/>
      </c>
      <c r="BF143" s="312">
        <f>IFERROR(INDEX(Data!DC$9:DC$1273,MATCH($M143,Data!$K$9:$K$1273,0)),"")</f>
        <v/>
      </c>
      <c r="BG143" s="312">
        <f>IFERROR(INDEX(Data!DD$9:DD$1273,MATCH($M143,Data!$K$9:$K$1273,0)),"")</f>
        <v/>
      </c>
      <c r="BH143" s="312">
        <f>IFERROR(INDEX(Data!DE$9:DE$1273,MATCH($M143,Data!$K$9:$K$1273,0)),"")</f>
        <v/>
      </c>
      <c r="BI143" s="312">
        <f>IFERROR(INDEX(Data!DF$9:DF$1273,MATCH($M143,Data!$K$9:$K$1273,0)),"")</f>
        <v/>
      </c>
      <c r="BJ143" s="312">
        <f>IFERROR(INDEX(Data!DG$9:DG$1273,MATCH($M143,Data!$K$9:$K$1273,0)),"")</f>
        <v/>
      </c>
      <c r="BK143" s="312">
        <f>IFERROR(INDEX(Data!DH$9:DH$1273,MATCH($M143,Data!$K$9:$K$1273,0)),"")</f>
        <v/>
      </c>
      <c r="BL143" s="312">
        <f>IFERROR(INDEX(Data!DI$9:DI$1273,MATCH($M143,Data!$K$9:$K$1273,0)),"")</f>
        <v/>
      </c>
      <c r="BM143" s="312">
        <f>IFERROR(INDEX(Data!DJ$9:DJ$1273,MATCH($M143,Data!$K$9:$K$1273,0)),"")</f>
        <v/>
      </c>
      <c r="BN143" s="312">
        <f>IFERROR(INDEX(Data!DK$9:DK$1273,MATCH($M143,Data!$K$9:$K$1273,0)),"")</f>
        <v/>
      </c>
      <c r="BO143" s="312">
        <f>IFERROR(INDEX(Data!DL$9:DL$1273,MATCH($M143,Data!$K$9:$K$1273,0)),"")</f>
        <v/>
      </c>
      <c r="BP143" s="331">
        <f>IFERROR(IF(BK143=0,"-",BK143),"")</f>
        <v/>
      </c>
      <c r="BQ143" s="312">
        <f>IFERROR(IF(BP143-K143&gt;0,TRUE,FALSE)," ")</f>
        <v/>
      </c>
      <c r="BR143" s="312">
        <f>_xlfn.CONCAT(E143,F143,H143,G143)</f>
        <v/>
      </c>
      <c r="BS143" s="312">
        <f>IFERROR(INDEX(Data!$DO$9:$DO$1273,MATCH('Your recommendation'!BR143,Data!$DN$9:$DN$1273,0)),"")</f>
        <v/>
      </c>
    </row>
    <row r="144" ht="15.6" customFormat="1" customHeight="1" s="138">
      <c r="B144" s="309">
        <f>IF(C144&gt;0,B143+1,"")</f>
        <v/>
      </c>
      <c r="C144" s="310" t="n"/>
      <c r="D144" s="312">
        <f>IFERROR(INDEX(Data!BR$9:BR$1273,MATCH($M144,Data!$K$9:$K$1273,0)),"")</f>
        <v/>
      </c>
      <c r="E144" s="312">
        <f>IFERROR(INDEX(Data!BS$9:BS$1273,MATCH($M144,Data!$K$9:$K$1273,0)),"")</f>
        <v/>
      </c>
      <c r="F144" s="312">
        <f>IFERROR(INDEX(Data!DM$9:DM$1273,MATCH($M144,Data!$K$9:$K$1273,0)),"")</f>
        <v/>
      </c>
      <c r="G144" s="312">
        <f>IFERROR(INDEX(Data!BV$9:BV$1273,MATCH($M144,Data!$K$9:$K$1273,0)),"")</f>
        <v/>
      </c>
      <c r="H144" s="312">
        <f>IFERROR(INDEX(Data!BW$9:BW$1273,MATCH($M144,Data!$K$9:$K$1273,0)),"")</f>
        <v/>
      </c>
      <c r="I144" s="312">
        <f>IFERROR(INDEX(Data!BX$9:BX$1273,MATCH($M144,Data!$K$9:$K$1273,0)),"")</f>
        <v/>
      </c>
      <c r="J144" s="312">
        <f>IFERROR(INDEX(Data!CB$9:CB$1273,MATCH($M144,Data!$K$9:$K$1273,0)),"")</f>
        <v/>
      </c>
      <c r="K144" s="329">
        <f>IFERROR(HYPERLINK(BM144,BC144),"-")</f>
        <v/>
      </c>
      <c r="L144" s="330">
        <f>IFERROR(IF(BB144=0,"-",BB144)," ")</f>
        <v/>
      </c>
      <c r="M144" s="311" t="n"/>
      <c r="N144" s="311" t="n"/>
      <c r="O144" s="311">
        <f>IFERROR(INDEX(Data!M$9:M$1273,MATCH($M144,Data!$K$9:$K$1273,0)),"")</f>
        <v/>
      </c>
      <c r="P144" s="311">
        <f>IFERROR(INDEX(Data!N$9:N$1273,MATCH($M144,Data!$K$9:$K$1273,0)),"")</f>
        <v/>
      </c>
      <c r="Q144" s="311">
        <f>IFERROR(INDEX(Data!O$9:O$1273,MATCH($M144,Data!$K$9:$K$1273,0)),"")</f>
        <v/>
      </c>
      <c r="R144" s="311">
        <f>IFERROR(INDEX(Data!P$9:P$1273,MATCH($M144,Data!$K$9:$K$1273,0)),"")</f>
        <v/>
      </c>
      <c r="S144" s="311">
        <f>IFERROR(INDEX(Data!S$9:S$1273,MATCH($M144,Data!$K$9:$K$1273,0)),"")</f>
        <v/>
      </c>
      <c r="T144" s="311">
        <f>IFERROR(INDEX(Data!T$9:T$1273,MATCH($M144,Data!$K$9:$K$1273,0)),"")</f>
        <v/>
      </c>
      <c r="U144" s="311">
        <f>IFERROR(INDEX(Data!U$9:U$1273,MATCH($M144,Data!$K$9:$K$1273,0)),"")</f>
        <v/>
      </c>
      <c r="V144" s="311">
        <f>IFERROR(INDEX(Data!V$9:V$1273,MATCH($M144,Data!$K$9:$K$1273,0)),"")</f>
        <v/>
      </c>
      <c r="W144" s="311">
        <f>IFERROR(INDEX(Data!W$9:W$1273,MATCH($M144,Data!$K$9:$K$1273,0)),"")</f>
        <v/>
      </c>
      <c r="X144" s="311">
        <f>IFERROR(INDEX(Data!AJ$9:AJ$1273,MATCH($M144,Data!$K$9:$K$1273,0)),"")</f>
        <v/>
      </c>
      <c r="Y144" s="311">
        <f>IFERROR(INDEX(Data!AK$9:AK$1273,MATCH($M144,Data!$K$9:$K$1273,0)),"")</f>
        <v/>
      </c>
      <c r="Z144" s="311">
        <f>IFERROR(INDEX(Data!AL$9:AL$1273,MATCH($M144,Data!$K$9:$K$1273,0)),"")</f>
        <v/>
      </c>
      <c r="AA144" s="311">
        <f>IFERROR(INDEX(Data!AM$9:AM$1273,MATCH($M144,Data!$K$9:$K$1273,0)),"")</f>
        <v/>
      </c>
      <c r="AB144" s="311">
        <f>IFERROR(INDEX(Data!AN$9:AN$1273,MATCH($M144,Data!$K$9:$K$1273,0)),"")</f>
        <v/>
      </c>
      <c r="AC144" s="312">
        <f>IFERROR(INDEX(Data!BY$9:BY$1273,MATCH($M144,Data!$K$9:$K$1273,0)),"")</f>
        <v/>
      </c>
      <c r="AD144" s="312">
        <f>IFERROR(INDEX(Data!BZ$9:BZ$1273,MATCH($M144,Data!$K$9:$K$1273,0)),"")</f>
        <v/>
      </c>
      <c r="AE144" s="312">
        <f>IFERROR(INDEX(Data!CA$9:CA$1273,MATCH($M144,Data!$K$9:$K$1273,0)),"")</f>
        <v/>
      </c>
      <c r="AF144" s="312">
        <f>IFERROR(INDEX(Data!CB$9:CB$1273,MATCH($M144,Data!$K$9:$K$1273,0)),"")</f>
        <v/>
      </c>
      <c r="AG144" s="312">
        <f>IFERROR(INDEX(Data!CC$9:CC$1273,MATCH($M144,Data!$K$9:$K$1273,0)),"")</f>
        <v/>
      </c>
      <c r="AH144" s="312">
        <f>IFERROR(INDEX(Data!CD$9:CD$1273,MATCH($M144,Data!$K$9:$K$1273,0)),"")</f>
        <v/>
      </c>
      <c r="AI144" s="312">
        <f>IFERROR(INDEX(Data!CE$9:CE$1273,MATCH($M144,Data!$K$9:$K$1273,0)),"")</f>
        <v/>
      </c>
      <c r="AJ144" s="312">
        <f>IFERROR(INDEX(Data!CF$9:CF$1273,MATCH($M144,Data!$K$9:$K$1273,0)),"")</f>
        <v/>
      </c>
      <c r="AK144" s="312">
        <f>IFERROR(INDEX(Data!CG$9:CG$1273,MATCH($M144,Data!$K$9:$K$1273,0)),"")</f>
        <v/>
      </c>
      <c r="AL144" s="312">
        <f>IFERROR(INDEX(Data!CH$9:CH$1273,MATCH($M144,Data!$K$9:$K$1273,0)),"")</f>
        <v/>
      </c>
      <c r="AM144" s="312">
        <f>IFERROR(INDEX(Data!CI$9:CI$1273,MATCH($M144,Data!$K$9:$K$1273,0)),"")</f>
        <v/>
      </c>
      <c r="AN144" s="312">
        <f>IFERROR(INDEX(Data!CJ$9:CJ$1273,MATCH($M144,Data!$K$9:$K$1273,0)),"")</f>
        <v/>
      </c>
      <c r="AO144" s="312">
        <f>IFERROR(INDEX(Data!CK$9:CK$1273,MATCH($M144,Data!$K$9:$K$1273,0)),"")</f>
        <v/>
      </c>
      <c r="AP144" s="312">
        <f>IFERROR(INDEX(Data!CL$9:CL$1273,MATCH($M144,Data!$K$9:$K$1273,0)),"")</f>
        <v/>
      </c>
      <c r="AQ144" s="312">
        <f>IFERROR(INDEX(Data!CM$9:CM$1273,MATCH($M144,Data!$K$9:$K$1273,0)),"")</f>
        <v/>
      </c>
      <c r="AR144" s="312">
        <f>IFERROR(INDEX(Data!CN$9:CN$1273,MATCH($M144,Data!$K$9:$K$1273,0)),"")</f>
        <v/>
      </c>
      <c r="AS144" s="312">
        <f>IFERROR(INDEX(Data!CO$9:CO$1273,MATCH($M144,Data!$K$9:$K$1273,0)),"")</f>
        <v/>
      </c>
      <c r="AT144" s="312">
        <f>IFERROR(INDEX(Data!CP$9:CP$1273,MATCH($M144,Data!$K$9:$K$1273,0)),"")</f>
        <v/>
      </c>
      <c r="AU144" s="312">
        <f>IFERROR(INDEX(Data!CQ$9:CQ$1273,MATCH($M144,Data!$K$9:$K$1273,0)),"")</f>
        <v/>
      </c>
      <c r="AV144" s="312">
        <f>IFERROR(INDEX(Data!CR$9:CR$1273,MATCH($M144,Data!$K$9:$K$1273,0)),"")</f>
        <v/>
      </c>
      <c r="AW144" s="312">
        <f>IFERROR(INDEX(Data!CS$9:CS$1273,MATCH($M144,Data!$K$9:$K$1273,0)),"")</f>
        <v/>
      </c>
      <c r="AX144" s="312">
        <f>IFERROR(INDEX(Data!CT$9:CT$1273,MATCH($M144,Data!$K$9:$K$1273,0)),"")</f>
        <v/>
      </c>
      <c r="AY144" s="312">
        <f>IFERROR(INDEX(Data!CU$9:CU$1273,MATCH($M144,Data!$K$9:$K$1273,0)),"")</f>
        <v/>
      </c>
      <c r="AZ144" s="312">
        <f>IFERROR(INDEX(Data!CV$9:CV$1273,MATCH($M144,Data!$K$9:$K$1273,0)),"")</f>
        <v/>
      </c>
      <c r="BA144" s="312">
        <f>IFERROR(INDEX(Data!CX$9:CX$1273,MATCH($M144,Data!$K$9:$K$1273,0)),"")</f>
        <v/>
      </c>
      <c r="BB144" s="312">
        <f>IFERROR(INDEX(Data!CY$9:CY$1273,MATCH($M144,Data!$K$9:$K$1273,0)),"")</f>
        <v/>
      </c>
      <c r="BC144" s="312">
        <f>IFERROR(INDEX(Data!CZ$9:CZ$1273,MATCH($M144,Data!$K$9:$K$1273,0)),"")</f>
        <v/>
      </c>
      <c r="BD144" s="312">
        <f>IFERROR(INDEX(Data!DA$9:DA$1273,MATCH($M144,Data!$K$9:$K$1273,0)),"")</f>
        <v/>
      </c>
      <c r="BE144" s="312">
        <f>IFERROR(INDEX(Data!DB$9:DB$1273,MATCH($M144,Data!$K$9:$K$1273,0)),"")</f>
        <v/>
      </c>
      <c r="BF144" s="312">
        <f>IFERROR(INDEX(Data!DC$9:DC$1273,MATCH($M144,Data!$K$9:$K$1273,0)),"")</f>
        <v/>
      </c>
      <c r="BG144" s="312">
        <f>IFERROR(INDEX(Data!DD$9:DD$1273,MATCH($M144,Data!$K$9:$K$1273,0)),"")</f>
        <v/>
      </c>
      <c r="BH144" s="312">
        <f>IFERROR(INDEX(Data!DE$9:DE$1273,MATCH($M144,Data!$K$9:$K$1273,0)),"")</f>
        <v/>
      </c>
      <c r="BI144" s="312">
        <f>IFERROR(INDEX(Data!DF$9:DF$1273,MATCH($M144,Data!$K$9:$K$1273,0)),"")</f>
        <v/>
      </c>
      <c r="BJ144" s="312">
        <f>IFERROR(INDEX(Data!DG$9:DG$1273,MATCH($M144,Data!$K$9:$K$1273,0)),"")</f>
        <v/>
      </c>
      <c r="BK144" s="312">
        <f>IFERROR(INDEX(Data!DH$9:DH$1273,MATCH($M144,Data!$K$9:$K$1273,0)),"")</f>
        <v/>
      </c>
      <c r="BL144" s="312">
        <f>IFERROR(INDEX(Data!DI$9:DI$1273,MATCH($M144,Data!$K$9:$K$1273,0)),"")</f>
        <v/>
      </c>
      <c r="BM144" s="312">
        <f>IFERROR(INDEX(Data!DJ$9:DJ$1273,MATCH($M144,Data!$K$9:$K$1273,0)),"")</f>
        <v/>
      </c>
      <c r="BN144" s="312">
        <f>IFERROR(INDEX(Data!DK$9:DK$1273,MATCH($M144,Data!$K$9:$K$1273,0)),"")</f>
        <v/>
      </c>
      <c r="BO144" s="312">
        <f>IFERROR(INDEX(Data!DL$9:DL$1273,MATCH($M144,Data!$K$9:$K$1273,0)),"")</f>
        <v/>
      </c>
      <c r="BP144" s="331">
        <f>IFERROR(IF(BK144=0,"-",BK144),"")</f>
        <v/>
      </c>
      <c r="BQ144" s="312">
        <f>IFERROR(IF(BP144-K144&gt;0,TRUE,FALSE)," ")</f>
        <v/>
      </c>
      <c r="BR144" s="312">
        <f>_xlfn.CONCAT(E144,F144,H144,G144)</f>
        <v/>
      </c>
      <c r="BS144" s="312">
        <f>IFERROR(INDEX(Data!$DO$9:$DO$1273,MATCH('Your recommendation'!BR144,Data!$DN$9:$DN$1273,0)),"")</f>
        <v/>
      </c>
    </row>
    <row r="145" ht="15.6" customFormat="1" customHeight="1" s="138">
      <c r="B145" s="309">
        <f>IF(C145&gt;0,B144+1,"")</f>
        <v/>
      </c>
      <c r="C145" s="310" t="n"/>
      <c r="D145" s="312">
        <f>IFERROR(INDEX(Data!BR$9:BR$1273,MATCH($M145,Data!$K$9:$K$1273,0)),"")</f>
        <v/>
      </c>
      <c r="E145" s="312">
        <f>IFERROR(INDEX(Data!BS$9:BS$1273,MATCH($M145,Data!$K$9:$K$1273,0)),"")</f>
        <v/>
      </c>
      <c r="F145" s="312">
        <f>IFERROR(INDEX(Data!DM$9:DM$1273,MATCH($M145,Data!$K$9:$K$1273,0)),"")</f>
        <v/>
      </c>
      <c r="G145" s="312">
        <f>IFERROR(INDEX(Data!BV$9:BV$1273,MATCH($M145,Data!$K$9:$K$1273,0)),"")</f>
        <v/>
      </c>
      <c r="H145" s="312">
        <f>IFERROR(INDEX(Data!BW$9:BW$1273,MATCH($M145,Data!$K$9:$K$1273,0)),"")</f>
        <v/>
      </c>
      <c r="I145" s="312">
        <f>IFERROR(INDEX(Data!BX$9:BX$1273,MATCH($M145,Data!$K$9:$K$1273,0)),"")</f>
        <v/>
      </c>
      <c r="J145" s="312">
        <f>IFERROR(INDEX(Data!CB$9:CB$1273,MATCH($M145,Data!$K$9:$K$1273,0)),"")</f>
        <v/>
      </c>
      <c r="K145" s="329">
        <f>IFERROR(HYPERLINK(BM145,BC145),"-")</f>
        <v/>
      </c>
      <c r="L145" s="330">
        <f>IFERROR(IF(BB145=0,"-",BB145)," ")</f>
        <v/>
      </c>
      <c r="M145" s="311" t="n"/>
      <c r="N145" s="311" t="n"/>
      <c r="O145" s="311">
        <f>IFERROR(INDEX(Data!M$9:M$1273,MATCH($M145,Data!$K$9:$K$1273,0)),"")</f>
        <v/>
      </c>
      <c r="P145" s="311">
        <f>IFERROR(INDEX(Data!N$9:N$1273,MATCH($M145,Data!$K$9:$K$1273,0)),"")</f>
        <v/>
      </c>
      <c r="Q145" s="311">
        <f>IFERROR(INDEX(Data!O$9:O$1273,MATCH($M145,Data!$K$9:$K$1273,0)),"")</f>
        <v/>
      </c>
      <c r="R145" s="311">
        <f>IFERROR(INDEX(Data!P$9:P$1273,MATCH($M145,Data!$K$9:$K$1273,0)),"")</f>
        <v/>
      </c>
      <c r="S145" s="311">
        <f>IFERROR(INDEX(Data!S$9:S$1273,MATCH($M145,Data!$K$9:$K$1273,0)),"")</f>
        <v/>
      </c>
      <c r="T145" s="311">
        <f>IFERROR(INDEX(Data!T$9:T$1273,MATCH($M145,Data!$K$9:$K$1273,0)),"")</f>
        <v/>
      </c>
      <c r="U145" s="311">
        <f>IFERROR(INDEX(Data!U$9:U$1273,MATCH($M145,Data!$K$9:$K$1273,0)),"")</f>
        <v/>
      </c>
      <c r="V145" s="311">
        <f>IFERROR(INDEX(Data!V$9:V$1273,MATCH($M145,Data!$K$9:$K$1273,0)),"")</f>
        <v/>
      </c>
      <c r="W145" s="311">
        <f>IFERROR(INDEX(Data!W$9:W$1273,MATCH($M145,Data!$K$9:$K$1273,0)),"")</f>
        <v/>
      </c>
      <c r="X145" s="311">
        <f>IFERROR(INDEX(Data!AJ$9:AJ$1273,MATCH($M145,Data!$K$9:$K$1273,0)),"")</f>
        <v/>
      </c>
      <c r="Y145" s="311">
        <f>IFERROR(INDEX(Data!AK$9:AK$1273,MATCH($M145,Data!$K$9:$K$1273,0)),"")</f>
        <v/>
      </c>
      <c r="Z145" s="311">
        <f>IFERROR(INDEX(Data!AL$9:AL$1273,MATCH($M145,Data!$K$9:$K$1273,0)),"")</f>
        <v/>
      </c>
      <c r="AA145" s="311">
        <f>IFERROR(INDEX(Data!AM$9:AM$1273,MATCH($M145,Data!$K$9:$K$1273,0)),"")</f>
        <v/>
      </c>
      <c r="AB145" s="311">
        <f>IFERROR(INDEX(Data!AN$9:AN$1273,MATCH($M145,Data!$K$9:$K$1273,0)),"")</f>
        <v/>
      </c>
      <c r="AC145" s="312">
        <f>IFERROR(INDEX(Data!BY$9:BY$1273,MATCH($M145,Data!$K$9:$K$1273,0)),"")</f>
        <v/>
      </c>
      <c r="AD145" s="312">
        <f>IFERROR(INDEX(Data!BZ$9:BZ$1273,MATCH($M145,Data!$K$9:$K$1273,0)),"")</f>
        <v/>
      </c>
      <c r="AE145" s="312">
        <f>IFERROR(INDEX(Data!CA$9:CA$1273,MATCH($M145,Data!$K$9:$K$1273,0)),"")</f>
        <v/>
      </c>
      <c r="AF145" s="312">
        <f>IFERROR(INDEX(Data!CB$9:CB$1273,MATCH($M145,Data!$K$9:$K$1273,0)),"")</f>
        <v/>
      </c>
      <c r="AG145" s="312">
        <f>IFERROR(INDEX(Data!CC$9:CC$1273,MATCH($M145,Data!$K$9:$K$1273,0)),"")</f>
        <v/>
      </c>
      <c r="AH145" s="312">
        <f>IFERROR(INDEX(Data!CD$9:CD$1273,MATCH($M145,Data!$K$9:$K$1273,0)),"")</f>
        <v/>
      </c>
      <c r="AI145" s="312">
        <f>IFERROR(INDEX(Data!CE$9:CE$1273,MATCH($M145,Data!$K$9:$K$1273,0)),"")</f>
        <v/>
      </c>
      <c r="AJ145" s="312">
        <f>IFERROR(INDEX(Data!CF$9:CF$1273,MATCH($M145,Data!$K$9:$K$1273,0)),"")</f>
        <v/>
      </c>
      <c r="AK145" s="312">
        <f>IFERROR(INDEX(Data!CG$9:CG$1273,MATCH($M145,Data!$K$9:$K$1273,0)),"")</f>
        <v/>
      </c>
      <c r="AL145" s="312">
        <f>IFERROR(INDEX(Data!CH$9:CH$1273,MATCH($M145,Data!$K$9:$K$1273,0)),"")</f>
        <v/>
      </c>
      <c r="AM145" s="312">
        <f>IFERROR(INDEX(Data!CI$9:CI$1273,MATCH($M145,Data!$K$9:$K$1273,0)),"")</f>
        <v/>
      </c>
      <c r="AN145" s="312">
        <f>IFERROR(INDEX(Data!CJ$9:CJ$1273,MATCH($M145,Data!$K$9:$K$1273,0)),"")</f>
        <v/>
      </c>
      <c r="AO145" s="312">
        <f>IFERROR(INDEX(Data!CK$9:CK$1273,MATCH($M145,Data!$K$9:$K$1273,0)),"")</f>
        <v/>
      </c>
      <c r="AP145" s="312">
        <f>IFERROR(INDEX(Data!CL$9:CL$1273,MATCH($M145,Data!$K$9:$K$1273,0)),"")</f>
        <v/>
      </c>
      <c r="AQ145" s="312">
        <f>IFERROR(INDEX(Data!CM$9:CM$1273,MATCH($M145,Data!$K$9:$K$1273,0)),"")</f>
        <v/>
      </c>
      <c r="AR145" s="312">
        <f>IFERROR(INDEX(Data!CN$9:CN$1273,MATCH($M145,Data!$K$9:$K$1273,0)),"")</f>
        <v/>
      </c>
      <c r="AS145" s="312">
        <f>IFERROR(INDEX(Data!CO$9:CO$1273,MATCH($M145,Data!$K$9:$K$1273,0)),"")</f>
        <v/>
      </c>
      <c r="AT145" s="312">
        <f>IFERROR(INDEX(Data!CP$9:CP$1273,MATCH($M145,Data!$K$9:$K$1273,0)),"")</f>
        <v/>
      </c>
      <c r="AU145" s="312">
        <f>IFERROR(INDEX(Data!CQ$9:CQ$1273,MATCH($M145,Data!$K$9:$K$1273,0)),"")</f>
        <v/>
      </c>
      <c r="AV145" s="312">
        <f>IFERROR(INDEX(Data!CR$9:CR$1273,MATCH($M145,Data!$K$9:$K$1273,0)),"")</f>
        <v/>
      </c>
      <c r="AW145" s="312">
        <f>IFERROR(INDEX(Data!CS$9:CS$1273,MATCH($M145,Data!$K$9:$K$1273,0)),"")</f>
        <v/>
      </c>
      <c r="AX145" s="312">
        <f>IFERROR(INDEX(Data!CT$9:CT$1273,MATCH($M145,Data!$K$9:$K$1273,0)),"")</f>
        <v/>
      </c>
      <c r="AY145" s="312">
        <f>IFERROR(INDEX(Data!CU$9:CU$1273,MATCH($M145,Data!$K$9:$K$1273,0)),"")</f>
        <v/>
      </c>
      <c r="AZ145" s="312">
        <f>IFERROR(INDEX(Data!CV$9:CV$1273,MATCH($M145,Data!$K$9:$K$1273,0)),"")</f>
        <v/>
      </c>
      <c r="BA145" s="312">
        <f>IFERROR(INDEX(Data!CX$9:CX$1273,MATCH($M145,Data!$K$9:$K$1273,0)),"")</f>
        <v/>
      </c>
      <c r="BB145" s="312">
        <f>IFERROR(INDEX(Data!CY$9:CY$1273,MATCH($M145,Data!$K$9:$K$1273,0)),"")</f>
        <v/>
      </c>
      <c r="BC145" s="312">
        <f>IFERROR(INDEX(Data!CZ$9:CZ$1273,MATCH($M145,Data!$K$9:$K$1273,0)),"")</f>
        <v/>
      </c>
      <c r="BD145" s="312">
        <f>IFERROR(INDEX(Data!DA$9:DA$1273,MATCH($M145,Data!$K$9:$K$1273,0)),"")</f>
        <v/>
      </c>
      <c r="BE145" s="312">
        <f>IFERROR(INDEX(Data!DB$9:DB$1273,MATCH($M145,Data!$K$9:$K$1273,0)),"")</f>
        <v/>
      </c>
      <c r="BF145" s="312">
        <f>IFERROR(INDEX(Data!DC$9:DC$1273,MATCH($M145,Data!$K$9:$K$1273,0)),"")</f>
        <v/>
      </c>
      <c r="BG145" s="312">
        <f>IFERROR(INDEX(Data!DD$9:DD$1273,MATCH($M145,Data!$K$9:$K$1273,0)),"")</f>
        <v/>
      </c>
      <c r="BH145" s="312">
        <f>IFERROR(INDEX(Data!DE$9:DE$1273,MATCH($M145,Data!$K$9:$K$1273,0)),"")</f>
        <v/>
      </c>
      <c r="BI145" s="312">
        <f>IFERROR(INDEX(Data!DF$9:DF$1273,MATCH($M145,Data!$K$9:$K$1273,0)),"")</f>
        <v/>
      </c>
      <c r="BJ145" s="312">
        <f>IFERROR(INDEX(Data!DG$9:DG$1273,MATCH($M145,Data!$K$9:$K$1273,0)),"")</f>
        <v/>
      </c>
      <c r="BK145" s="312">
        <f>IFERROR(INDEX(Data!DH$9:DH$1273,MATCH($M145,Data!$K$9:$K$1273,0)),"")</f>
        <v/>
      </c>
      <c r="BL145" s="312">
        <f>IFERROR(INDEX(Data!DI$9:DI$1273,MATCH($M145,Data!$K$9:$K$1273,0)),"")</f>
        <v/>
      </c>
      <c r="BM145" s="312">
        <f>IFERROR(INDEX(Data!DJ$9:DJ$1273,MATCH($M145,Data!$K$9:$K$1273,0)),"")</f>
        <v/>
      </c>
      <c r="BN145" s="312">
        <f>IFERROR(INDEX(Data!DK$9:DK$1273,MATCH($M145,Data!$K$9:$K$1273,0)),"")</f>
        <v/>
      </c>
      <c r="BO145" s="312">
        <f>IFERROR(INDEX(Data!DL$9:DL$1273,MATCH($M145,Data!$K$9:$K$1273,0)),"")</f>
        <v/>
      </c>
      <c r="BP145" s="331">
        <f>IFERROR(IF(BK145=0,"-",BK145),"")</f>
        <v/>
      </c>
      <c r="BQ145" s="312">
        <f>IFERROR(IF(BP145-K145&gt;0,TRUE,FALSE)," ")</f>
        <v/>
      </c>
      <c r="BR145" s="312">
        <f>_xlfn.CONCAT(E145,F145,H145,G145)</f>
        <v/>
      </c>
      <c r="BS145" s="312">
        <f>IFERROR(INDEX(Data!$DO$9:$DO$1273,MATCH('Your recommendation'!BR145,Data!$DN$9:$DN$1273,0)),"")</f>
        <v/>
      </c>
    </row>
    <row r="146" ht="15.6" customFormat="1" customHeight="1" s="138">
      <c r="B146" s="309">
        <f>IF(C146&gt;0,B145+1,"")</f>
        <v/>
      </c>
      <c r="C146" s="310" t="n"/>
      <c r="D146" s="312">
        <f>IFERROR(INDEX(Data!BR$9:BR$1273,MATCH($M146,Data!$K$9:$K$1273,0)),"")</f>
        <v/>
      </c>
      <c r="E146" s="312">
        <f>IFERROR(INDEX(Data!BS$9:BS$1273,MATCH($M146,Data!$K$9:$K$1273,0)),"")</f>
        <v/>
      </c>
      <c r="F146" s="312">
        <f>IFERROR(INDEX(Data!DM$9:DM$1273,MATCH($M146,Data!$K$9:$K$1273,0)),"")</f>
        <v/>
      </c>
      <c r="G146" s="312">
        <f>IFERROR(INDEX(Data!BV$9:BV$1273,MATCH($M146,Data!$K$9:$K$1273,0)),"")</f>
        <v/>
      </c>
      <c r="H146" s="312">
        <f>IFERROR(INDEX(Data!BW$9:BW$1273,MATCH($M146,Data!$K$9:$K$1273,0)),"")</f>
        <v/>
      </c>
      <c r="I146" s="312">
        <f>IFERROR(INDEX(Data!BX$9:BX$1273,MATCH($M146,Data!$K$9:$K$1273,0)),"")</f>
        <v/>
      </c>
      <c r="J146" s="312">
        <f>IFERROR(INDEX(Data!CB$9:CB$1273,MATCH($M146,Data!$K$9:$K$1273,0)),"")</f>
        <v/>
      </c>
      <c r="K146" s="329">
        <f>IFERROR(HYPERLINK(BM146,BC146),"-")</f>
        <v/>
      </c>
      <c r="L146" s="330">
        <f>IFERROR(IF(BB146=0,"-",BB146)," ")</f>
        <v/>
      </c>
      <c r="M146" s="311" t="n"/>
      <c r="N146" s="311" t="n"/>
      <c r="O146" s="311">
        <f>IFERROR(INDEX(Data!M$9:M$1273,MATCH($M146,Data!$K$9:$K$1273,0)),"")</f>
        <v/>
      </c>
      <c r="P146" s="311">
        <f>IFERROR(INDEX(Data!N$9:N$1273,MATCH($M146,Data!$K$9:$K$1273,0)),"")</f>
        <v/>
      </c>
      <c r="Q146" s="311">
        <f>IFERROR(INDEX(Data!O$9:O$1273,MATCH($M146,Data!$K$9:$K$1273,0)),"")</f>
        <v/>
      </c>
      <c r="R146" s="311">
        <f>IFERROR(INDEX(Data!P$9:P$1273,MATCH($M146,Data!$K$9:$K$1273,0)),"")</f>
        <v/>
      </c>
      <c r="S146" s="311">
        <f>IFERROR(INDEX(Data!S$9:S$1273,MATCH($M146,Data!$K$9:$K$1273,0)),"")</f>
        <v/>
      </c>
      <c r="T146" s="311">
        <f>IFERROR(INDEX(Data!T$9:T$1273,MATCH($M146,Data!$K$9:$K$1273,0)),"")</f>
        <v/>
      </c>
      <c r="U146" s="311">
        <f>IFERROR(INDEX(Data!U$9:U$1273,MATCH($M146,Data!$K$9:$K$1273,0)),"")</f>
        <v/>
      </c>
      <c r="V146" s="311">
        <f>IFERROR(INDEX(Data!V$9:V$1273,MATCH($M146,Data!$K$9:$K$1273,0)),"")</f>
        <v/>
      </c>
      <c r="W146" s="311">
        <f>IFERROR(INDEX(Data!W$9:W$1273,MATCH($M146,Data!$K$9:$K$1273,0)),"")</f>
        <v/>
      </c>
      <c r="X146" s="311">
        <f>IFERROR(INDEX(Data!AJ$9:AJ$1273,MATCH($M146,Data!$K$9:$K$1273,0)),"")</f>
        <v/>
      </c>
      <c r="Y146" s="311">
        <f>IFERROR(INDEX(Data!AK$9:AK$1273,MATCH($M146,Data!$K$9:$K$1273,0)),"")</f>
        <v/>
      </c>
      <c r="Z146" s="311">
        <f>IFERROR(INDEX(Data!AL$9:AL$1273,MATCH($M146,Data!$K$9:$K$1273,0)),"")</f>
        <v/>
      </c>
      <c r="AA146" s="311">
        <f>IFERROR(INDEX(Data!AM$9:AM$1273,MATCH($M146,Data!$K$9:$K$1273,0)),"")</f>
        <v/>
      </c>
      <c r="AB146" s="311">
        <f>IFERROR(INDEX(Data!AN$9:AN$1273,MATCH($M146,Data!$K$9:$K$1273,0)),"")</f>
        <v/>
      </c>
      <c r="AC146" s="312">
        <f>IFERROR(INDEX(Data!BY$9:BY$1273,MATCH($M146,Data!$K$9:$K$1273,0)),"")</f>
        <v/>
      </c>
      <c r="AD146" s="312">
        <f>IFERROR(INDEX(Data!BZ$9:BZ$1273,MATCH($M146,Data!$K$9:$K$1273,0)),"")</f>
        <v/>
      </c>
      <c r="AE146" s="312">
        <f>IFERROR(INDEX(Data!CA$9:CA$1273,MATCH($M146,Data!$K$9:$K$1273,0)),"")</f>
        <v/>
      </c>
      <c r="AF146" s="312">
        <f>IFERROR(INDEX(Data!CB$9:CB$1273,MATCH($M146,Data!$K$9:$K$1273,0)),"")</f>
        <v/>
      </c>
      <c r="AG146" s="312">
        <f>IFERROR(INDEX(Data!CC$9:CC$1273,MATCH($M146,Data!$K$9:$K$1273,0)),"")</f>
        <v/>
      </c>
      <c r="AH146" s="312">
        <f>IFERROR(INDEX(Data!CD$9:CD$1273,MATCH($M146,Data!$K$9:$K$1273,0)),"")</f>
        <v/>
      </c>
      <c r="AI146" s="312">
        <f>IFERROR(INDEX(Data!CE$9:CE$1273,MATCH($M146,Data!$K$9:$K$1273,0)),"")</f>
        <v/>
      </c>
      <c r="AJ146" s="312">
        <f>IFERROR(INDEX(Data!CF$9:CF$1273,MATCH($M146,Data!$K$9:$K$1273,0)),"")</f>
        <v/>
      </c>
      <c r="AK146" s="312">
        <f>IFERROR(INDEX(Data!CG$9:CG$1273,MATCH($M146,Data!$K$9:$K$1273,0)),"")</f>
        <v/>
      </c>
      <c r="AL146" s="312">
        <f>IFERROR(INDEX(Data!CH$9:CH$1273,MATCH($M146,Data!$K$9:$K$1273,0)),"")</f>
        <v/>
      </c>
      <c r="AM146" s="312">
        <f>IFERROR(INDEX(Data!CI$9:CI$1273,MATCH($M146,Data!$K$9:$K$1273,0)),"")</f>
        <v/>
      </c>
      <c r="AN146" s="312">
        <f>IFERROR(INDEX(Data!CJ$9:CJ$1273,MATCH($M146,Data!$K$9:$K$1273,0)),"")</f>
        <v/>
      </c>
      <c r="AO146" s="312">
        <f>IFERROR(INDEX(Data!CK$9:CK$1273,MATCH($M146,Data!$K$9:$K$1273,0)),"")</f>
        <v/>
      </c>
      <c r="AP146" s="312">
        <f>IFERROR(INDEX(Data!CL$9:CL$1273,MATCH($M146,Data!$K$9:$K$1273,0)),"")</f>
        <v/>
      </c>
      <c r="AQ146" s="312">
        <f>IFERROR(INDEX(Data!CM$9:CM$1273,MATCH($M146,Data!$K$9:$K$1273,0)),"")</f>
        <v/>
      </c>
      <c r="AR146" s="312">
        <f>IFERROR(INDEX(Data!CN$9:CN$1273,MATCH($M146,Data!$K$9:$K$1273,0)),"")</f>
        <v/>
      </c>
      <c r="AS146" s="312">
        <f>IFERROR(INDEX(Data!CO$9:CO$1273,MATCH($M146,Data!$K$9:$K$1273,0)),"")</f>
        <v/>
      </c>
      <c r="AT146" s="312">
        <f>IFERROR(INDEX(Data!CP$9:CP$1273,MATCH($M146,Data!$K$9:$K$1273,0)),"")</f>
        <v/>
      </c>
      <c r="AU146" s="312">
        <f>IFERROR(INDEX(Data!CQ$9:CQ$1273,MATCH($M146,Data!$K$9:$K$1273,0)),"")</f>
        <v/>
      </c>
      <c r="AV146" s="312">
        <f>IFERROR(INDEX(Data!CR$9:CR$1273,MATCH($M146,Data!$K$9:$K$1273,0)),"")</f>
        <v/>
      </c>
      <c r="AW146" s="312">
        <f>IFERROR(INDEX(Data!CS$9:CS$1273,MATCH($M146,Data!$K$9:$K$1273,0)),"")</f>
        <v/>
      </c>
      <c r="AX146" s="312">
        <f>IFERROR(INDEX(Data!CT$9:CT$1273,MATCH($M146,Data!$K$9:$K$1273,0)),"")</f>
        <v/>
      </c>
      <c r="AY146" s="312">
        <f>IFERROR(INDEX(Data!CU$9:CU$1273,MATCH($M146,Data!$K$9:$K$1273,0)),"")</f>
        <v/>
      </c>
      <c r="AZ146" s="312">
        <f>IFERROR(INDEX(Data!CV$9:CV$1273,MATCH($M146,Data!$K$9:$K$1273,0)),"")</f>
        <v/>
      </c>
      <c r="BA146" s="312">
        <f>IFERROR(INDEX(Data!CX$9:CX$1273,MATCH($M146,Data!$K$9:$K$1273,0)),"")</f>
        <v/>
      </c>
      <c r="BB146" s="312">
        <f>IFERROR(INDEX(Data!CY$9:CY$1273,MATCH($M146,Data!$K$9:$K$1273,0)),"")</f>
        <v/>
      </c>
      <c r="BC146" s="312">
        <f>IFERROR(INDEX(Data!CZ$9:CZ$1273,MATCH($M146,Data!$K$9:$K$1273,0)),"")</f>
        <v/>
      </c>
      <c r="BD146" s="312">
        <f>IFERROR(INDEX(Data!DA$9:DA$1273,MATCH($M146,Data!$K$9:$K$1273,0)),"")</f>
        <v/>
      </c>
      <c r="BE146" s="312">
        <f>IFERROR(INDEX(Data!DB$9:DB$1273,MATCH($M146,Data!$K$9:$K$1273,0)),"")</f>
        <v/>
      </c>
      <c r="BF146" s="312">
        <f>IFERROR(INDEX(Data!DC$9:DC$1273,MATCH($M146,Data!$K$9:$K$1273,0)),"")</f>
        <v/>
      </c>
      <c r="BG146" s="312">
        <f>IFERROR(INDEX(Data!DD$9:DD$1273,MATCH($M146,Data!$K$9:$K$1273,0)),"")</f>
        <v/>
      </c>
      <c r="BH146" s="312">
        <f>IFERROR(INDEX(Data!DE$9:DE$1273,MATCH($M146,Data!$K$9:$K$1273,0)),"")</f>
        <v/>
      </c>
      <c r="BI146" s="312">
        <f>IFERROR(INDEX(Data!DF$9:DF$1273,MATCH($M146,Data!$K$9:$K$1273,0)),"")</f>
        <v/>
      </c>
      <c r="BJ146" s="312">
        <f>IFERROR(INDEX(Data!DG$9:DG$1273,MATCH($M146,Data!$K$9:$K$1273,0)),"")</f>
        <v/>
      </c>
      <c r="BK146" s="312">
        <f>IFERROR(INDEX(Data!DH$9:DH$1273,MATCH($M146,Data!$K$9:$K$1273,0)),"")</f>
        <v/>
      </c>
      <c r="BL146" s="312">
        <f>IFERROR(INDEX(Data!DI$9:DI$1273,MATCH($M146,Data!$K$9:$K$1273,0)),"")</f>
        <v/>
      </c>
      <c r="BM146" s="312">
        <f>IFERROR(INDEX(Data!DJ$9:DJ$1273,MATCH($M146,Data!$K$9:$K$1273,0)),"")</f>
        <v/>
      </c>
      <c r="BN146" s="312">
        <f>IFERROR(INDEX(Data!DK$9:DK$1273,MATCH($M146,Data!$K$9:$K$1273,0)),"")</f>
        <v/>
      </c>
      <c r="BO146" s="312">
        <f>IFERROR(INDEX(Data!DL$9:DL$1273,MATCH($M146,Data!$K$9:$K$1273,0)),"")</f>
        <v/>
      </c>
      <c r="BP146" s="331">
        <f>IFERROR(IF(BK146=0,"-",BK146),"")</f>
        <v/>
      </c>
      <c r="BQ146" s="312">
        <f>IFERROR(IF(BP146-K146&gt;0,TRUE,FALSE)," ")</f>
        <v/>
      </c>
      <c r="BR146" s="312">
        <f>_xlfn.CONCAT(E146,F146,H146,G146)</f>
        <v/>
      </c>
      <c r="BS146" s="312">
        <f>IFERROR(INDEX(Data!$DO$9:$DO$1273,MATCH('Your recommendation'!BR146,Data!$DN$9:$DN$1273,0)),"")</f>
        <v/>
      </c>
    </row>
    <row r="147" ht="15.6" customFormat="1" customHeight="1" s="138">
      <c r="B147" s="309">
        <f>IF(C147&gt;0,B146+1,"")</f>
        <v/>
      </c>
      <c r="C147" s="310" t="n"/>
      <c r="D147" s="312">
        <f>IFERROR(INDEX(Data!BR$9:BR$1273,MATCH($M147,Data!$K$9:$K$1273,0)),"")</f>
        <v/>
      </c>
      <c r="E147" s="312">
        <f>IFERROR(INDEX(Data!BS$9:BS$1273,MATCH($M147,Data!$K$9:$K$1273,0)),"")</f>
        <v/>
      </c>
      <c r="F147" s="312">
        <f>IFERROR(INDEX(Data!DM$9:DM$1273,MATCH($M147,Data!$K$9:$K$1273,0)),"")</f>
        <v/>
      </c>
      <c r="G147" s="312">
        <f>IFERROR(INDEX(Data!BV$9:BV$1273,MATCH($M147,Data!$K$9:$K$1273,0)),"")</f>
        <v/>
      </c>
      <c r="H147" s="312">
        <f>IFERROR(INDEX(Data!BW$9:BW$1273,MATCH($M147,Data!$K$9:$K$1273,0)),"")</f>
        <v/>
      </c>
      <c r="I147" s="312">
        <f>IFERROR(INDEX(Data!BX$9:BX$1273,MATCH($M147,Data!$K$9:$K$1273,0)),"")</f>
        <v/>
      </c>
      <c r="J147" s="312">
        <f>IFERROR(INDEX(Data!CB$9:CB$1273,MATCH($M147,Data!$K$9:$K$1273,0)),"")</f>
        <v/>
      </c>
      <c r="K147" s="329">
        <f>IFERROR(HYPERLINK(BM147,BC147),"-")</f>
        <v/>
      </c>
      <c r="L147" s="330">
        <f>IFERROR(IF(BB147=0,"-",BB147)," ")</f>
        <v/>
      </c>
      <c r="M147" s="311" t="n"/>
      <c r="N147" s="311" t="n"/>
      <c r="O147" s="311">
        <f>IFERROR(INDEX(Data!M$9:M$1273,MATCH($M147,Data!$K$9:$K$1273,0)),"")</f>
        <v/>
      </c>
      <c r="P147" s="311">
        <f>IFERROR(INDEX(Data!N$9:N$1273,MATCH($M147,Data!$K$9:$K$1273,0)),"")</f>
        <v/>
      </c>
      <c r="Q147" s="311">
        <f>IFERROR(INDEX(Data!O$9:O$1273,MATCH($M147,Data!$K$9:$K$1273,0)),"")</f>
        <v/>
      </c>
      <c r="R147" s="311">
        <f>IFERROR(INDEX(Data!P$9:P$1273,MATCH($M147,Data!$K$9:$K$1273,0)),"")</f>
        <v/>
      </c>
      <c r="S147" s="311">
        <f>IFERROR(INDEX(Data!S$9:S$1273,MATCH($M147,Data!$K$9:$K$1273,0)),"")</f>
        <v/>
      </c>
      <c r="T147" s="311">
        <f>IFERROR(INDEX(Data!T$9:T$1273,MATCH($M147,Data!$K$9:$K$1273,0)),"")</f>
        <v/>
      </c>
      <c r="U147" s="311">
        <f>IFERROR(INDEX(Data!U$9:U$1273,MATCH($M147,Data!$K$9:$K$1273,0)),"")</f>
        <v/>
      </c>
      <c r="V147" s="311">
        <f>IFERROR(INDEX(Data!V$9:V$1273,MATCH($M147,Data!$K$9:$K$1273,0)),"")</f>
        <v/>
      </c>
      <c r="W147" s="311">
        <f>IFERROR(INDEX(Data!W$9:W$1273,MATCH($M147,Data!$K$9:$K$1273,0)),"")</f>
        <v/>
      </c>
      <c r="X147" s="311">
        <f>IFERROR(INDEX(Data!AJ$9:AJ$1273,MATCH($M147,Data!$K$9:$K$1273,0)),"")</f>
        <v/>
      </c>
      <c r="Y147" s="311">
        <f>IFERROR(INDEX(Data!AK$9:AK$1273,MATCH($M147,Data!$K$9:$K$1273,0)),"")</f>
        <v/>
      </c>
      <c r="Z147" s="311">
        <f>IFERROR(INDEX(Data!AL$9:AL$1273,MATCH($M147,Data!$K$9:$K$1273,0)),"")</f>
        <v/>
      </c>
      <c r="AA147" s="311">
        <f>IFERROR(INDEX(Data!AM$9:AM$1273,MATCH($M147,Data!$K$9:$K$1273,0)),"")</f>
        <v/>
      </c>
      <c r="AB147" s="311">
        <f>IFERROR(INDEX(Data!AN$9:AN$1273,MATCH($M147,Data!$K$9:$K$1273,0)),"")</f>
        <v/>
      </c>
      <c r="AC147" s="312">
        <f>IFERROR(INDEX(Data!BY$9:BY$1273,MATCH($M147,Data!$K$9:$K$1273,0)),"")</f>
        <v/>
      </c>
      <c r="AD147" s="312">
        <f>IFERROR(INDEX(Data!BZ$9:BZ$1273,MATCH($M147,Data!$K$9:$K$1273,0)),"")</f>
        <v/>
      </c>
      <c r="AE147" s="312">
        <f>IFERROR(INDEX(Data!CA$9:CA$1273,MATCH($M147,Data!$K$9:$K$1273,0)),"")</f>
        <v/>
      </c>
      <c r="AF147" s="312">
        <f>IFERROR(INDEX(Data!CB$9:CB$1273,MATCH($M147,Data!$K$9:$K$1273,0)),"")</f>
        <v/>
      </c>
      <c r="AG147" s="312">
        <f>IFERROR(INDEX(Data!CC$9:CC$1273,MATCH($M147,Data!$K$9:$K$1273,0)),"")</f>
        <v/>
      </c>
      <c r="AH147" s="312">
        <f>IFERROR(INDEX(Data!CD$9:CD$1273,MATCH($M147,Data!$K$9:$K$1273,0)),"")</f>
        <v/>
      </c>
      <c r="AI147" s="312">
        <f>IFERROR(INDEX(Data!CE$9:CE$1273,MATCH($M147,Data!$K$9:$K$1273,0)),"")</f>
        <v/>
      </c>
      <c r="AJ147" s="312">
        <f>IFERROR(INDEX(Data!CF$9:CF$1273,MATCH($M147,Data!$K$9:$K$1273,0)),"")</f>
        <v/>
      </c>
      <c r="AK147" s="312">
        <f>IFERROR(INDEX(Data!CG$9:CG$1273,MATCH($M147,Data!$K$9:$K$1273,0)),"")</f>
        <v/>
      </c>
      <c r="AL147" s="312">
        <f>IFERROR(INDEX(Data!CH$9:CH$1273,MATCH($M147,Data!$K$9:$K$1273,0)),"")</f>
        <v/>
      </c>
      <c r="AM147" s="312">
        <f>IFERROR(INDEX(Data!CI$9:CI$1273,MATCH($M147,Data!$K$9:$K$1273,0)),"")</f>
        <v/>
      </c>
      <c r="AN147" s="312">
        <f>IFERROR(INDEX(Data!CJ$9:CJ$1273,MATCH($M147,Data!$K$9:$K$1273,0)),"")</f>
        <v/>
      </c>
      <c r="AO147" s="312">
        <f>IFERROR(INDEX(Data!CK$9:CK$1273,MATCH($M147,Data!$K$9:$K$1273,0)),"")</f>
        <v/>
      </c>
      <c r="AP147" s="312">
        <f>IFERROR(INDEX(Data!CL$9:CL$1273,MATCH($M147,Data!$K$9:$K$1273,0)),"")</f>
        <v/>
      </c>
      <c r="AQ147" s="312">
        <f>IFERROR(INDEX(Data!CM$9:CM$1273,MATCH($M147,Data!$K$9:$K$1273,0)),"")</f>
        <v/>
      </c>
      <c r="AR147" s="312">
        <f>IFERROR(INDEX(Data!CN$9:CN$1273,MATCH($M147,Data!$K$9:$K$1273,0)),"")</f>
        <v/>
      </c>
      <c r="AS147" s="312">
        <f>IFERROR(INDEX(Data!CO$9:CO$1273,MATCH($M147,Data!$K$9:$K$1273,0)),"")</f>
        <v/>
      </c>
      <c r="AT147" s="312">
        <f>IFERROR(INDEX(Data!CP$9:CP$1273,MATCH($M147,Data!$K$9:$K$1273,0)),"")</f>
        <v/>
      </c>
      <c r="AU147" s="312">
        <f>IFERROR(INDEX(Data!CQ$9:CQ$1273,MATCH($M147,Data!$K$9:$K$1273,0)),"")</f>
        <v/>
      </c>
      <c r="AV147" s="312">
        <f>IFERROR(INDEX(Data!CR$9:CR$1273,MATCH($M147,Data!$K$9:$K$1273,0)),"")</f>
        <v/>
      </c>
      <c r="AW147" s="312">
        <f>IFERROR(INDEX(Data!CS$9:CS$1273,MATCH($M147,Data!$K$9:$K$1273,0)),"")</f>
        <v/>
      </c>
      <c r="AX147" s="312">
        <f>IFERROR(INDEX(Data!CT$9:CT$1273,MATCH($M147,Data!$K$9:$K$1273,0)),"")</f>
        <v/>
      </c>
      <c r="AY147" s="312">
        <f>IFERROR(INDEX(Data!CU$9:CU$1273,MATCH($M147,Data!$K$9:$K$1273,0)),"")</f>
        <v/>
      </c>
      <c r="AZ147" s="312">
        <f>IFERROR(INDEX(Data!CV$9:CV$1273,MATCH($M147,Data!$K$9:$K$1273,0)),"")</f>
        <v/>
      </c>
      <c r="BA147" s="312">
        <f>IFERROR(INDEX(Data!CX$9:CX$1273,MATCH($M147,Data!$K$9:$K$1273,0)),"")</f>
        <v/>
      </c>
      <c r="BB147" s="312">
        <f>IFERROR(INDEX(Data!CY$9:CY$1273,MATCH($M147,Data!$K$9:$K$1273,0)),"")</f>
        <v/>
      </c>
      <c r="BC147" s="312">
        <f>IFERROR(INDEX(Data!CZ$9:CZ$1273,MATCH($M147,Data!$K$9:$K$1273,0)),"")</f>
        <v/>
      </c>
      <c r="BD147" s="312">
        <f>IFERROR(INDEX(Data!DA$9:DA$1273,MATCH($M147,Data!$K$9:$K$1273,0)),"")</f>
        <v/>
      </c>
      <c r="BE147" s="312">
        <f>IFERROR(INDEX(Data!DB$9:DB$1273,MATCH($M147,Data!$K$9:$K$1273,0)),"")</f>
        <v/>
      </c>
      <c r="BF147" s="312">
        <f>IFERROR(INDEX(Data!DC$9:DC$1273,MATCH($M147,Data!$K$9:$K$1273,0)),"")</f>
        <v/>
      </c>
      <c r="BG147" s="312">
        <f>IFERROR(INDEX(Data!DD$9:DD$1273,MATCH($M147,Data!$K$9:$K$1273,0)),"")</f>
        <v/>
      </c>
      <c r="BH147" s="312">
        <f>IFERROR(INDEX(Data!DE$9:DE$1273,MATCH($M147,Data!$K$9:$K$1273,0)),"")</f>
        <v/>
      </c>
      <c r="BI147" s="312">
        <f>IFERROR(INDEX(Data!DF$9:DF$1273,MATCH($M147,Data!$K$9:$K$1273,0)),"")</f>
        <v/>
      </c>
      <c r="BJ147" s="312">
        <f>IFERROR(INDEX(Data!DG$9:DG$1273,MATCH($M147,Data!$K$9:$K$1273,0)),"")</f>
        <v/>
      </c>
      <c r="BK147" s="312">
        <f>IFERROR(INDEX(Data!DH$9:DH$1273,MATCH($M147,Data!$K$9:$K$1273,0)),"")</f>
        <v/>
      </c>
      <c r="BL147" s="312">
        <f>IFERROR(INDEX(Data!DI$9:DI$1273,MATCH($M147,Data!$K$9:$K$1273,0)),"")</f>
        <v/>
      </c>
      <c r="BM147" s="312">
        <f>IFERROR(INDEX(Data!DJ$9:DJ$1273,MATCH($M147,Data!$K$9:$K$1273,0)),"")</f>
        <v/>
      </c>
      <c r="BN147" s="312">
        <f>IFERROR(INDEX(Data!DK$9:DK$1273,MATCH($M147,Data!$K$9:$K$1273,0)),"")</f>
        <v/>
      </c>
      <c r="BO147" s="312">
        <f>IFERROR(INDEX(Data!DL$9:DL$1273,MATCH($M147,Data!$K$9:$K$1273,0)),"")</f>
        <v/>
      </c>
      <c r="BP147" s="331">
        <f>IFERROR(IF(BK147=0,"-",BK147),"")</f>
        <v/>
      </c>
      <c r="BQ147" s="312">
        <f>IFERROR(IF(BP147-K147&gt;0,TRUE,FALSE)," ")</f>
        <v/>
      </c>
      <c r="BR147" s="312">
        <f>_xlfn.CONCAT(E147,F147,H147,G147)</f>
        <v/>
      </c>
      <c r="BS147" s="312">
        <f>IFERROR(INDEX(Data!$DO$9:$DO$1273,MATCH('Your recommendation'!BR147,Data!$DN$9:$DN$1273,0)),"")</f>
        <v/>
      </c>
    </row>
    <row r="148" ht="15.6" customFormat="1" customHeight="1" s="138">
      <c r="B148" s="309">
        <f>IF(C148&gt;0,B147+1,"")</f>
        <v/>
      </c>
      <c r="C148" s="310" t="n"/>
      <c r="D148" s="312">
        <f>IFERROR(INDEX(Data!BR$9:BR$1273,MATCH($M148,Data!$K$9:$K$1273,0)),"")</f>
        <v/>
      </c>
      <c r="E148" s="312">
        <f>IFERROR(INDEX(Data!BS$9:BS$1273,MATCH($M148,Data!$K$9:$K$1273,0)),"")</f>
        <v/>
      </c>
      <c r="F148" s="312">
        <f>IFERROR(INDEX(Data!DM$9:DM$1273,MATCH($M148,Data!$K$9:$K$1273,0)),"")</f>
        <v/>
      </c>
      <c r="G148" s="312">
        <f>IFERROR(INDEX(Data!BV$9:BV$1273,MATCH($M148,Data!$K$9:$K$1273,0)),"")</f>
        <v/>
      </c>
      <c r="H148" s="312">
        <f>IFERROR(INDEX(Data!BW$9:BW$1273,MATCH($M148,Data!$K$9:$K$1273,0)),"")</f>
        <v/>
      </c>
      <c r="I148" s="312">
        <f>IFERROR(INDEX(Data!BX$9:BX$1273,MATCH($M148,Data!$K$9:$K$1273,0)),"")</f>
        <v/>
      </c>
      <c r="J148" s="312">
        <f>IFERROR(INDEX(Data!CB$9:CB$1273,MATCH($M148,Data!$K$9:$K$1273,0)),"")</f>
        <v/>
      </c>
      <c r="K148" s="329">
        <f>IFERROR(HYPERLINK(BM148,BC148),"-")</f>
        <v/>
      </c>
      <c r="L148" s="330">
        <f>IFERROR(IF(BB148=0,"-",BB148)," ")</f>
        <v/>
      </c>
      <c r="M148" s="311" t="n"/>
      <c r="N148" s="311" t="n"/>
      <c r="O148" s="311">
        <f>IFERROR(INDEX(Data!M$9:M$1273,MATCH($M148,Data!$K$9:$K$1273,0)),"")</f>
        <v/>
      </c>
      <c r="P148" s="311">
        <f>IFERROR(INDEX(Data!N$9:N$1273,MATCH($M148,Data!$K$9:$K$1273,0)),"")</f>
        <v/>
      </c>
      <c r="Q148" s="311">
        <f>IFERROR(INDEX(Data!O$9:O$1273,MATCH($M148,Data!$K$9:$K$1273,0)),"")</f>
        <v/>
      </c>
      <c r="R148" s="311">
        <f>IFERROR(INDEX(Data!P$9:P$1273,MATCH($M148,Data!$K$9:$K$1273,0)),"")</f>
        <v/>
      </c>
      <c r="S148" s="311">
        <f>IFERROR(INDEX(Data!S$9:S$1273,MATCH($M148,Data!$K$9:$K$1273,0)),"")</f>
        <v/>
      </c>
      <c r="T148" s="311">
        <f>IFERROR(INDEX(Data!T$9:T$1273,MATCH($M148,Data!$K$9:$K$1273,0)),"")</f>
        <v/>
      </c>
      <c r="U148" s="311">
        <f>IFERROR(INDEX(Data!U$9:U$1273,MATCH($M148,Data!$K$9:$K$1273,0)),"")</f>
        <v/>
      </c>
      <c r="V148" s="311">
        <f>IFERROR(INDEX(Data!V$9:V$1273,MATCH($M148,Data!$K$9:$K$1273,0)),"")</f>
        <v/>
      </c>
      <c r="W148" s="311">
        <f>IFERROR(INDEX(Data!W$9:W$1273,MATCH($M148,Data!$K$9:$K$1273,0)),"")</f>
        <v/>
      </c>
      <c r="X148" s="311">
        <f>IFERROR(INDEX(Data!AJ$9:AJ$1273,MATCH($M148,Data!$K$9:$K$1273,0)),"")</f>
        <v/>
      </c>
      <c r="Y148" s="311">
        <f>IFERROR(INDEX(Data!AK$9:AK$1273,MATCH($M148,Data!$K$9:$K$1273,0)),"")</f>
        <v/>
      </c>
      <c r="Z148" s="311">
        <f>IFERROR(INDEX(Data!AL$9:AL$1273,MATCH($M148,Data!$K$9:$K$1273,0)),"")</f>
        <v/>
      </c>
      <c r="AA148" s="311">
        <f>IFERROR(INDEX(Data!AM$9:AM$1273,MATCH($M148,Data!$K$9:$K$1273,0)),"")</f>
        <v/>
      </c>
      <c r="AB148" s="311">
        <f>IFERROR(INDEX(Data!AN$9:AN$1273,MATCH($M148,Data!$K$9:$K$1273,0)),"")</f>
        <v/>
      </c>
      <c r="AC148" s="312">
        <f>IFERROR(INDEX(Data!BY$9:BY$1273,MATCH($M148,Data!$K$9:$K$1273,0)),"")</f>
        <v/>
      </c>
      <c r="AD148" s="312">
        <f>IFERROR(INDEX(Data!BZ$9:BZ$1273,MATCH($M148,Data!$K$9:$K$1273,0)),"")</f>
        <v/>
      </c>
      <c r="AE148" s="312">
        <f>IFERROR(INDEX(Data!CA$9:CA$1273,MATCH($M148,Data!$K$9:$K$1273,0)),"")</f>
        <v/>
      </c>
      <c r="AF148" s="312">
        <f>IFERROR(INDEX(Data!CB$9:CB$1273,MATCH($M148,Data!$K$9:$K$1273,0)),"")</f>
        <v/>
      </c>
      <c r="AG148" s="312">
        <f>IFERROR(INDEX(Data!CC$9:CC$1273,MATCH($M148,Data!$K$9:$K$1273,0)),"")</f>
        <v/>
      </c>
      <c r="AH148" s="312">
        <f>IFERROR(INDEX(Data!CD$9:CD$1273,MATCH($M148,Data!$K$9:$K$1273,0)),"")</f>
        <v/>
      </c>
      <c r="AI148" s="312">
        <f>IFERROR(INDEX(Data!CE$9:CE$1273,MATCH($M148,Data!$K$9:$K$1273,0)),"")</f>
        <v/>
      </c>
      <c r="AJ148" s="312">
        <f>IFERROR(INDEX(Data!CF$9:CF$1273,MATCH($M148,Data!$K$9:$K$1273,0)),"")</f>
        <v/>
      </c>
      <c r="AK148" s="312">
        <f>IFERROR(INDEX(Data!CG$9:CG$1273,MATCH($M148,Data!$K$9:$K$1273,0)),"")</f>
        <v/>
      </c>
      <c r="AL148" s="312">
        <f>IFERROR(INDEX(Data!CH$9:CH$1273,MATCH($M148,Data!$K$9:$K$1273,0)),"")</f>
        <v/>
      </c>
      <c r="AM148" s="312">
        <f>IFERROR(INDEX(Data!CI$9:CI$1273,MATCH($M148,Data!$K$9:$K$1273,0)),"")</f>
        <v/>
      </c>
      <c r="AN148" s="312">
        <f>IFERROR(INDEX(Data!CJ$9:CJ$1273,MATCH($M148,Data!$K$9:$K$1273,0)),"")</f>
        <v/>
      </c>
      <c r="AO148" s="312">
        <f>IFERROR(INDEX(Data!CK$9:CK$1273,MATCH($M148,Data!$K$9:$K$1273,0)),"")</f>
        <v/>
      </c>
      <c r="AP148" s="312">
        <f>IFERROR(INDEX(Data!CL$9:CL$1273,MATCH($M148,Data!$K$9:$K$1273,0)),"")</f>
        <v/>
      </c>
      <c r="AQ148" s="312">
        <f>IFERROR(INDEX(Data!CM$9:CM$1273,MATCH($M148,Data!$K$9:$K$1273,0)),"")</f>
        <v/>
      </c>
      <c r="AR148" s="312">
        <f>IFERROR(INDEX(Data!CN$9:CN$1273,MATCH($M148,Data!$K$9:$K$1273,0)),"")</f>
        <v/>
      </c>
      <c r="AS148" s="312">
        <f>IFERROR(INDEX(Data!CO$9:CO$1273,MATCH($M148,Data!$K$9:$K$1273,0)),"")</f>
        <v/>
      </c>
      <c r="AT148" s="312">
        <f>IFERROR(INDEX(Data!CP$9:CP$1273,MATCH($M148,Data!$K$9:$K$1273,0)),"")</f>
        <v/>
      </c>
      <c r="AU148" s="312">
        <f>IFERROR(INDEX(Data!CQ$9:CQ$1273,MATCH($M148,Data!$K$9:$K$1273,0)),"")</f>
        <v/>
      </c>
      <c r="AV148" s="312">
        <f>IFERROR(INDEX(Data!CR$9:CR$1273,MATCH($M148,Data!$K$9:$K$1273,0)),"")</f>
        <v/>
      </c>
      <c r="AW148" s="312">
        <f>IFERROR(INDEX(Data!CS$9:CS$1273,MATCH($M148,Data!$K$9:$K$1273,0)),"")</f>
        <v/>
      </c>
      <c r="AX148" s="312">
        <f>IFERROR(INDEX(Data!CT$9:CT$1273,MATCH($M148,Data!$K$9:$K$1273,0)),"")</f>
        <v/>
      </c>
      <c r="AY148" s="312">
        <f>IFERROR(INDEX(Data!CU$9:CU$1273,MATCH($M148,Data!$K$9:$K$1273,0)),"")</f>
        <v/>
      </c>
      <c r="AZ148" s="312">
        <f>IFERROR(INDEX(Data!CV$9:CV$1273,MATCH($M148,Data!$K$9:$K$1273,0)),"")</f>
        <v/>
      </c>
      <c r="BA148" s="312">
        <f>IFERROR(INDEX(Data!CX$9:CX$1273,MATCH($M148,Data!$K$9:$K$1273,0)),"")</f>
        <v/>
      </c>
      <c r="BB148" s="312">
        <f>IFERROR(INDEX(Data!CY$9:CY$1273,MATCH($M148,Data!$K$9:$K$1273,0)),"")</f>
        <v/>
      </c>
      <c r="BC148" s="312">
        <f>IFERROR(INDEX(Data!CZ$9:CZ$1273,MATCH($M148,Data!$K$9:$K$1273,0)),"")</f>
        <v/>
      </c>
      <c r="BD148" s="312">
        <f>IFERROR(INDEX(Data!DA$9:DA$1273,MATCH($M148,Data!$K$9:$K$1273,0)),"")</f>
        <v/>
      </c>
      <c r="BE148" s="312">
        <f>IFERROR(INDEX(Data!DB$9:DB$1273,MATCH($M148,Data!$K$9:$K$1273,0)),"")</f>
        <v/>
      </c>
      <c r="BF148" s="312">
        <f>IFERROR(INDEX(Data!DC$9:DC$1273,MATCH($M148,Data!$K$9:$K$1273,0)),"")</f>
        <v/>
      </c>
      <c r="BG148" s="312">
        <f>IFERROR(INDEX(Data!DD$9:DD$1273,MATCH($M148,Data!$K$9:$K$1273,0)),"")</f>
        <v/>
      </c>
      <c r="BH148" s="312">
        <f>IFERROR(INDEX(Data!DE$9:DE$1273,MATCH($M148,Data!$K$9:$K$1273,0)),"")</f>
        <v/>
      </c>
      <c r="BI148" s="312">
        <f>IFERROR(INDEX(Data!DF$9:DF$1273,MATCH($M148,Data!$K$9:$K$1273,0)),"")</f>
        <v/>
      </c>
      <c r="BJ148" s="312">
        <f>IFERROR(INDEX(Data!DG$9:DG$1273,MATCH($M148,Data!$K$9:$K$1273,0)),"")</f>
        <v/>
      </c>
      <c r="BK148" s="312">
        <f>IFERROR(INDEX(Data!DH$9:DH$1273,MATCH($M148,Data!$K$9:$K$1273,0)),"")</f>
        <v/>
      </c>
      <c r="BL148" s="312">
        <f>IFERROR(INDEX(Data!DI$9:DI$1273,MATCH($M148,Data!$K$9:$K$1273,0)),"")</f>
        <v/>
      </c>
      <c r="BM148" s="312">
        <f>IFERROR(INDEX(Data!DJ$9:DJ$1273,MATCH($M148,Data!$K$9:$K$1273,0)),"")</f>
        <v/>
      </c>
      <c r="BN148" s="312">
        <f>IFERROR(INDEX(Data!DK$9:DK$1273,MATCH($M148,Data!$K$9:$K$1273,0)),"")</f>
        <v/>
      </c>
      <c r="BO148" s="312">
        <f>IFERROR(INDEX(Data!DL$9:DL$1273,MATCH($M148,Data!$K$9:$K$1273,0)),"")</f>
        <v/>
      </c>
      <c r="BP148" s="331">
        <f>IFERROR(IF(BK148=0,"-",BK148),"")</f>
        <v/>
      </c>
      <c r="BQ148" s="312">
        <f>IFERROR(IF(BP148-K148&gt;0,TRUE,FALSE)," ")</f>
        <v/>
      </c>
      <c r="BR148" s="312">
        <f>_xlfn.CONCAT(E148,F148,H148,G148)</f>
        <v/>
      </c>
      <c r="BS148" s="312">
        <f>IFERROR(INDEX(Data!$DO$9:$DO$1273,MATCH('Your recommendation'!BR148,Data!$DN$9:$DN$1273,0)),"")</f>
        <v/>
      </c>
    </row>
    <row r="149" ht="15.6" customFormat="1" customHeight="1" s="138">
      <c r="B149" s="309">
        <f>IF(C149&gt;0,B148+1,"")</f>
        <v/>
      </c>
      <c r="C149" s="310" t="n"/>
      <c r="D149" s="312">
        <f>IFERROR(INDEX(Data!BR$9:BR$1273,MATCH($M149,Data!$K$9:$K$1273,0)),"")</f>
        <v/>
      </c>
      <c r="E149" s="312">
        <f>IFERROR(INDEX(Data!BS$9:BS$1273,MATCH($M149,Data!$K$9:$K$1273,0)),"")</f>
        <v/>
      </c>
      <c r="F149" s="312">
        <f>IFERROR(INDEX(Data!DM$9:DM$1273,MATCH($M149,Data!$K$9:$K$1273,0)),"")</f>
        <v/>
      </c>
      <c r="G149" s="312">
        <f>IFERROR(INDEX(Data!BV$9:BV$1273,MATCH($M149,Data!$K$9:$K$1273,0)),"")</f>
        <v/>
      </c>
      <c r="H149" s="312">
        <f>IFERROR(INDEX(Data!BW$9:BW$1273,MATCH($M149,Data!$K$9:$K$1273,0)),"")</f>
        <v/>
      </c>
      <c r="I149" s="312">
        <f>IFERROR(INDEX(Data!BX$9:BX$1273,MATCH($M149,Data!$K$9:$K$1273,0)),"")</f>
        <v/>
      </c>
      <c r="J149" s="312">
        <f>IFERROR(INDEX(Data!CB$9:CB$1273,MATCH($M149,Data!$K$9:$K$1273,0)),"")</f>
        <v/>
      </c>
      <c r="K149" s="329">
        <f>IFERROR(HYPERLINK(BM149,BC149),"-")</f>
        <v/>
      </c>
      <c r="L149" s="330">
        <f>IFERROR(IF(BB149=0,"-",BB149)," ")</f>
        <v/>
      </c>
      <c r="M149" s="311" t="n"/>
      <c r="N149" s="311" t="n"/>
      <c r="O149" s="311">
        <f>IFERROR(INDEX(Data!M$9:M$1273,MATCH($M149,Data!$K$9:$K$1273,0)),"")</f>
        <v/>
      </c>
      <c r="P149" s="311">
        <f>IFERROR(INDEX(Data!N$9:N$1273,MATCH($M149,Data!$K$9:$K$1273,0)),"")</f>
        <v/>
      </c>
      <c r="Q149" s="311">
        <f>IFERROR(INDEX(Data!O$9:O$1273,MATCH($M149,Data!$K$9:$K$1273,0)),"")</f>
        <v/>
      </c>
      <c r="R149" s="311">
        <f>IFERROR(INDEX(Data!P$9:P$1273,MATCH($M149,Data!$K$9:$K$1273,0)),"")</f>
        <v/>
      </c>
      <c r="S149" s="311">
        <f>IFERROR(INDEX(Data!S$9:S$1273,MATCH($M149,Data!$K$9:$K$1273,0)),"")</f>
        <v/>
      </c>
      <c r="T149" s="311">
        <f>IFERROR(INDEX(Data!T$9:T$1273,MATCH($M149,Data!$K$9:$K$1273,0)),"")</f>
        <v/>
      </c>
      <c r="U149" s="311">
        <f>IFERROR(INDEX(Data!U$9:U$1273,MATCH($M149,Data!$K$9:$K$1273,0)),"")</f>
        <v/>
      </c>
      <c r="V149" s="311">
        <f>IFERROR(INDEX(Data!V$9:V$1273,MATCH($M149,Data!$K$9:$K$1273,0)),"")</f>
        <v/>
      </c>
      <c r="W149" s="311">
        <f>IFERROR(INDEX(Data!W$9:W$1273,MATCH($M149,Data!$K$9:$K$1273,0)),"")</f>
        <v/>
      </c>
      <c r="X149" s="311">
        <f>IFERROR(INDEX(Data!AJ$9:AJ$1273,MATCH($M149,Data!$K$9:$K$1273,0)),"")</f>
        <v/>
      </c>
      <c r="Y149" s="311">
        <f>IFERROR(INDEX(Data!AK$9:AK$1273,MATCH($M149,Data!$K$9:$K$1273,0)),"")</f>
        <v/>
      </c>
      <c r="Z149" s="311">
        <f>IFERROR(INDEX(Data!AL$9:AL$1273,MATCH($M149,Data!$K$9:$K$1273,0)),"")</f>
        <v/>
      </c>
      <c r="AA149" s="311">
        <f>IFERROR(INDEX(Data!AM$9:AM$1273,MATCH($M149,Data!$K$9:$K$1273,0)),"")</f>
        <v/>
      </c>
      <c r="AB149" s="311">
        <f>IFERROR(INDEX(Data!AN$9:AN$1273,MATCH($M149,Data!$K$9:$K$1273,0)),"")</f>
        <v/>
      </c>
      <c r="AC149" s="312">
        <f>IFERROR(INDEX(Data!BY$9:BY$1273,MATCH($M149,Data!$K$9:$K$1273,0)),"")</f>
        <v/>
      </c>
      <c r="AD149" s="312">
        <f>IFERROR(INDEX(Data!BZ$9:BZ$1273,MATCH($M149,Data!$K$9:$K$1273,0)),"")</f>
        <v/>
      </c>
      <c r="AE149" s="312">
        <f>IFERROR(INDEX(Data!CA$9:CA$1273,MATCH($M149,Data!$K$9:$K$1273,0)),"")</f>
        <v/>
      </c>
      <c r="AF149" s="312">
        <f>IFERROR(INDEX(Data!CB$9:CB$1273,MATCH($M149,Data!$K$9:$K$1273,0)),"")</f>
        <v/>
      </c>
      <c r="AG149" s="312">
        <f>IFERROR(INDEX(Data!CC$9:CC$1273,MATCH($M149,Data!$K$9:$K$1273,0)),"")</f>
        <v/>
      </c>
      <c r="AH149" s="312">
        <f>IFERROR(INDEX(Data!CD$9:CD$1273,MATCH($M149,Data!$K$9:$K$1273,0)),"")</f>
        <v/>
      </c>
      <c r="AI149" s="312">
        <f>IFERROR(INDEX(Data!CE$9:CE$1273,MATCH($M149,Data!$K$9:$K$1273,0)),"")</f>
        <v/>
      </c>
      <c r="AJ149" s="312">
        <f>IFERROR(INDEX(Data!CF$9:CF$1273,MATCH($M149,Data!$K$9:$K$1273,0)),"")</f>
        <v/>
      </c>
      <c r="AK149" s="312">
        <f>IFERROR(INDEX(Data!CG$9:CG$1273,MATCH($M149,Data!$K$9:$K$1273,0)),"")</f>
        <v/>
      </c>
      <c r="AL149" s="312">
        <f>IFERROR(INDEX(Data!CH$9:CH$1273,MATCH($M149,Data!$K$9:$K$1273,0)),"")</f>
        <v/>
      </c>
      <c r="AM149" s="312">
        <f>IFERROR(INDEX(Data!CI$9:CI$1273,MATCH($M149,Data!$K$9:$K$1273,0)),"")</f>
        <v/>
      </c>
      <c r="AN149" s="312">
        <f>IFERROR(INDEX(Data!CJ$9:CJ$1273,MATCH($M149,Data!$K$9:$K$1273,0)),"")</f>
        <v/>
      </c>
      <c r="AO149" s="312">
        <f>IFERROR(INDEX(Data!CK$9:CK$1273,MATCH($M149,Data!$K$9:$K$1273,0)),"")</f>
        <v/>
      </c>
      <c r="AP149" s="312">
        <f>IFERROR(INDEX(Data!CL$9:CL$1273,MATCH($M149,Data!$K$9:$K$1273,0)),"")</f>
        <v/>
      </c>
      <c r="AQ149" s="312">
        <f>IFERROR(INDEX(Data!CM$9:CM$1273,MATCH($M149,Data!$K$9:$K$1273,0)),"")</f>
        <v/>
      </c>
      <c r="AR149" s="312">
        <f>IFERROR(INDEX(Data!CN$9:CN$1273,MATCH($M149,Data!$K$9:$K$1273,0)),"")</f>
        <v/>
      </c>
      <c r="AS149" s="312">
        <f>IFERROR(INDEX(Data!CO$9:CO$1273,MATCH($M149,Data!$K$9:$K$1273,0)),"")</f>
        <v/>
      </c>
      <c r="AT149" s="312">
        <f>IFERROR(INDEX(Data!CP$9:CP$1273,MATCH($M149,Data!$K$9:$K$1273,0)),"")</f>
        <v/>
      </c>
      <c r="AU149" s="312">
        <f>IFERROR(INDEX(Data!CQ$9:CQ$1273,MATCH($M149,Data!$K$9:$K$1273,0)),"")</f>
        <v/>
      </c>
      <c r="AV149" s="312">
        <f>IFERROR(INDEX(Data!CR$9:CR$1273,MATCH($M149,Data!$K$9:$K$1273,0)),"")</f>
        <v/>
      </c>
      <c r="AW149" s="312">
        <f>IFERROR(INDEX(Data!CS$9:CS$1273,MATCH($M149,Data!$K$9:$K$1273,0)),"")</f>
        <v/>
      </c>
      <c r="AX149" s="312">
        <f>IFERROR(INDEX(Data!CT$9:CT$1273,MATCH($M149,Data!$K$9:$K$1273,0)),"")</f>
        <v/>
      </c>
      <c r="AY149" s="312">
        <f>IFERROR(INDEX(Data!CU$9:CU$1273,MATCH($M149,Data!$K$9:$K$1273,0)),"")</f>
        <v/>
      </c>
      <c r="AZ149" s="312">
        <f>IFERROR(INDEX(Data!CV$9:CV$1273,MATCH($M149,Data!$K$9:$K$1273,0)),"")</f>
        <v/>
      </c>
      <c r="BA149" s="312">
        <f>IFERROR(INDEX(Data!CX$9:CX$1273,MATCH($M149,Data!$K$9:$K$1273,0)),"")</f>
        <v/>
      </c>
      <c r="BB149" s="312">
        <f>IFERROR(INDEX(Data!CY$9:CY$1273,MATCH($M149,Data!$K$9:$K$1273,0)),"")</f>
        <v/>
      </c>
      <c r="BC149" s="312">
        <f>IFERROR(INDEX(Data!CZ$9:CZ$1273,MATCH($M149,Data!$K$9:$K$1273,0)),"")</f>
        <v/>
      </c>
      <c r="BD149" s="312">
        <f>IFERROR(INDEX(Data!DA$9:DA$1273,MATCH($M149,Data!$K$9:$K$1273,0)),"")</f>
        <v/>
      </c>
      <c r="BE149" s="312">
        <f>IFERROR(INDEX(Data!DB$9:DB$1273,MATCH($M149,Data!$K$9:$K$1273,0)),"")</f>
        <v/>
      </c>
      <c r="BF149" s="312">
        <f>IFERROR(INDEX(Data!DC$9:DC$1273,MATCH($M149,Data!$K$9:$K$1273,0)),"")</f>
        <v/>
      </c>
      <c r="BG149" s="312">
        <f>IFERROR(INDEX(Data!DD$9:DD$1273,MATCH($M149,Data!$K$9:$K$1273,0)),"")</f>
        <v/>
      </c>
      <c r="BH149" s="312">
        <f>IFERROR(INDEX(Data!DE$9:DE$1273,MATCH($M149,Data!$K$9:$K$1273,0)),"")</f>
        <v/>
      </c>
      <c r="BI149" s="312">
        <f>IFERROR(INDEX(Data!DF$9:DF$1273,MATCH($M149,Data!$K$9:$K$1273,0)),"")</f>
        <v/>
      </c>
      <c r="BJ149" s="312">
        <f>IFERROR(INDEX(Data!DG$9:DG$1273,MATCH($M149,Data!$K$9:$K$1273,0)),"")</f>
        <v/>
      </c>
      <c r="BK149" s="312">
        <f>IFERROR(INDEX(Data!DH$9:DH$1273,MATCH($M149,Data!$K$9:$K$1273,0)),"")</f>
        <v/>
      </c>
      <c r="BL149" s="312">
        <f>IFERROR(INDEX(Data!DI$9:DI$1273,MATCH($M149,Data!$K$9:$K$1273,0)),"")</f>
        <v/>
      </c>
      <c r="BM149" s="312">
        <f>IFERROR(INDEX(Data!DJ$9:DJ$1273,MATCH($M149,Data!$K$9:$K$1273,0)),"")</f>
        <v/>
      </c>
      <c r="BN149" s="312">
        <f>IFERROR(INDEX(Data!DK$9:DK$1273,MATCH($M149,Data!$K$9:$K$1273,0)),"")</f>
        <v/>
      </c>
      <c r="BO149" s="312">
        <f>IFERROR(INDEX(Data!DL$9:DL$1273,MATCH($M149,Data!$K$9:$K$1273,0)),"")</f>
        <v/>
      </c>
      <c r="BP149" s="331">
        <f>IFERROR(IF(BK149=0,"-",BK149),"")</f>
        <v/>
      </c>
      <c r="BQ149" s="312">
        <f>IFERROR(IF(BP149-K149&gt;0,TRUE,FALSE)," ")</f>
        <v/>
      </c>
      <c r="BR149" s="312">
        <f>_xlfn.CONCAT(E149,F149,H149,G149)</f>
        <v/>
      </c>
      <c r="BS149" s="312">
        <f>IFERROR(INDEX(Data!$DO$9:$DO$1273,MATCH('Your recommendation'!BR149,Data!$DN$9:$DN$1273,0)),"")</f>
        <v/>
      </c>
    </row>
    <row r="150" ht="15.6" customFormat="1" customHeight="1" s="138">
      <c r="B150" s="309">
        <f>IF(C150&gt;0,B149+1,"")</f>
        <v/>
      </c>
      <c r="C150" s="310" t="n"/>
      <c r="D150" s="312">
        <f>IFERROR(INDEX(Data!BR$9:BR$1273,MATCH($M150,Data!$K$9:$K$1273,0)),"")</f>
        <v/>
      </c>
      <c r="E150" s="312">
        <f>IFERROR(INDEX(Data!BS$9:BS$1273,MATCH($M150,Data!$K$9:$K$1273,0)),"")</f>
        <v/>
      </c>
      <c r="F150" s="312">
        <f>IFERROR(INDEX(Data!DM$9:DM$1273,MATCH($M150,Data!$K$9:$K$1273,0)),"")</f>
        <v/>
      </c>
      <c r="G150" s="312">
        <f>IFERROR(INDEX(Data!BV$9:BV$1273,MATCH($M150,Data!$K$9:$K$1273,0)),"")</f>
        <v/>
      </c>
      <c r="H150" s="312">
        <f>IFERROR(INDEX(Data!BW$9:BW$1273,MATCH($M150,Data!$K$9:$K$1273,0)),"")</f>
        <v/>
      </c>
      <c r="I150" s="312">
        <f>IFERROR(INDEX(Data!BX$9:BX$1273,MATCH($M150,Data!$K$9:$K$1273,0)),"")</f>
        <v/>
      </c>
      <c r="J150" s="312">
        <f>IFERROR(INDEX(Data!CB$9:CB$1273,MATCH($M150,Data!$K$9:$K$1273,0)),"")</f>
        <v/>
      </c>
      <c r="K150" s="329">
        <f>IFERROR(HYPERLINK(BM150,BC150),"-")</f>
        <v/>
      </c>
      <c r="L150" s="330">
        <f>IFERROR(IF(BB150=0,"-",BB150)," ")</f>
        <v/>
      </c>
      <c r="M150" s="311" t="n"/>
      <c r="N150" s="311" t="n"/>
      <c r="O150" s="311">
        <f>IFERROR(INDEX(Data!M$9:M$1273,MATCH($M150,Data!$K$9:$K$1273,0)),"")</f>
        <v/>
      </c>
      <c r="P150" s="311">
        <f>IFERROR(INDEX(Data!N$9:N$1273,MATCH($M150,Data!$K$9:$K$1273,0)),"")</f>
        <v/>
      </c>
      <c r="Q150" s="311">
        <f>IFERROR(INDEX(Data!O$9:O$1273,MATCH($M150,Data!$K$9:$K$1273,0)),"")</f>
        <v/>
      </c>
      <c r="R150" s="311">
        <f>IFERROR(INDEX(Data!P$9:P$1273,MATCH($M150,Data!$K$9:$K$1273,0)),"")</f>
        <v/>
      </c>
      <c r="S150" s="311">
        <f>IFERROR(INDEX(Data!S$9:S$1273,MATCH($M150,Data!$K$9:$K$1273,0)),"")</f>
        <v/>
      </c>
      <c r="T150" s="311">
        <f>IFERROR(INDEX(Data!T$9:T$1273,MATCH($M150,Data!$K$9:$K$1273,0)),"")</f>
        <v/>
      </c>
      <c r="U150" s="311">
        <f>IFERROR(INDEX(Data!U$9:U$1273,MATCH($M150,Data!$K$9:$K$1273,0)),"")</f>
        <v/>
      </c>
      <c r="V150" s="311">
        <f>IFERROR(INDEX(Data!V$9:V$1273,MATCH($M150,Data!$K$9:$K$1273,0)),"")</f>
        <v/>
      </c>
      <c r="W150" s="311">
        <f>IFERROR(INDEX(Data!W$9:W$1273,MATCH($M150,Data!$K$9:$K$1273,0)),"")</f>
        <v/>
      </c>
      <c r="X150" s="311">
        <f>IFERROR(INDEX(Data!AJ$9:AJ$1273,MATCH($M150,Data!$K$9:$K$1273,0)),"")</f>
        <v/>
      </c>
      <c r="Y150" s="311">
        <f>IFERROR(INDEX(Data!AK$9:AK$1273,MATCH($M150,Data!$K$9:$K$1273,0)),"")</f>
        <v/>
      </c>
      <c r="Z150" s="311">
        <f>IFERROR(INDEX(Data!AL$9:AL$1273,MATCH($M150,Data!$K$9:$K$1273,0)),"")</f>
        <v/>
      </c>
      <c r="AA150" s="311">
        <f>IFERROR(INDEX(Data!AM$9:AM$1273,MATCH($M150,Data!$K$9:$K$1273,0)),"")</f>
        <v/>
      </c>
      <c r="AB150" s="311">
        <f>IFERROR(INDEX(Data!AN$9:AN$1273,MATCH($M150,Data!$K$9:$K$1273,0)),"")</f>
        <v/>
      </c>
      <c r="AC150" s="312">
        <f>IFERROR(INDEX(Data!BY$9:BY$1273,MATCH($M150,Data!$K$9:$K$1273,0)),"")</f>
        <v/>
      </c>
      <c r="AD150" s="312">
        <f>IFERROR(INDEX(Data!BZ$9:BZ$1273,MATCH($M150,Data!$K$9:$K$1273,0)),"")</f>
        <v/>
      </c>
      <c r="AE150" s="312">
        <f>IFERROR(INDEX(Data!CA$9:CA$1273,MATCH($M150,Data!$K$9:$K$1273,0)),"")</f>
        <v/>
      </c>
      <c r="AF150" s="312">
        <f>IFERROR(INDEX(Data!CB$9:CB$1273,MATCH($M150,Data!$K$9:$K$1273,0)),"")</f>
        <v/>
      </c>
      <c r="AG150" s="312">
        <f>IFERROR(INDEX(Data!CC$9:CC$1273,MATCH($M150,Data!$K$9:$K$1273,0)),"")</f>
        <v/>
      </c>
      <c r="AH150" s="312">
        <f>IFERROR(INDEX(Data!CD$9:CD$1273,MATCH($M150,Data!$K$9:$K$1273,0)),"")</f>
        <v/>
      </c>
      <c r="AI150" s="312">
        <f>IFERROR(INDEX(Data!CE$9:CE$1273,MATCH($M150,Data!$K$9:$K$1273,0)),"")</f>
        <v/>
      </c>
      <c r="AJ150" s="312">
        <f>IFERROR(INDEX(Data!CF$9:CF$1273,MATCH($M150,Data!$K$9:$K$1273,0)),"")</f>
        <v/>
      </c>
      <c r="AK150" s="312">
        <f>IFERROR(INDEX(Data!CG$9:CG$1273,MATCH($M150,Data!$K$9:$K$1273,0)),"")</f>
        <v/>
      </c>
      <c r="AL150" s="312">
        <f>IFERROR(INDEX(Data!CH$9:CH$1273,MATCH($M150,Data!$K$9:$K$1273,0)),"")</f>
        <v/>
      </c>
      <c r="AM150" s="312">
        <f>IFERROR(INDEX(Data!CI$9:CI$1273,MATCH($M150,Data!$K$9:$K$1273,0)),"")</f>
        <v/>
      </c>
      <c r="AN150" s="312">
        <f>IFERROR(INDEX(Data!CJ$9:CJ$1273,MATCH($M150,Data!$K$9:$K$1273,0)),"")</f>
        <v/>
      </c>
      <c r="AO150" s="312">
        <f>IFERROR(INDEX(Data!CK$9:CK$1273,MATCH($M150,Data!$K$9:$K$1273,0)),"")</f>
        <v/>
      </c>
      <c r="AP150" s="312">
        <f>IFERROR(INDEX(Data!CL$9:CL$1273,MATCH($M150,Data!$K$9:$K$1273,0)),"")</f>
        <v/>
      </c>
      <c r="AQ150" s="312">
        <f>IFERROR(INDEX(Data!CM$9:CM$1273,MATCH($M150,Data!$K$9:$K$1273,0)),"")</f>
        <v/>
      </c>
      <c r="AR150" s="312">
        <f>IFERROR(INDEX(Data!CN$9:CN$1273,MATCH($M150,Data!$K$9:$K$1273,0)),"")</f>
        <v/>
      </c>
      <c r="AS150" s="312">
        <f>IFERROR(INDEX(Data!CO$9:CO$1273,MATCH($M150,Data!$K$9:$K$1273,0)),"")</f>
        <v/>
      </c>
      <c r="AT150" s="312">
        <f>IFERROR(INDEX(Data!CP$9:CP$1273,MATCH($M150,Data!$K$9:$K$1273,0)),"")</f>
        <v/>
      </c>
      <c r="AU150" s="312">
        <f>IFERROR(INDEX(Data!CQ$9:CQ$1273,MATCH($M150,Data!$K$9:$K$1273,0)),"")</f>
        <v/>
      </c>
      <c r="AV150" s="312">
        <f>IFERROR(INDEX(Data!CR$9:CR$1273,MATCH($M150,Data!$K$9:$K$1273,0)),"")</f>
        <v/>
      </c>
      <c r="AW150" s="312">
        <f>IFERROR(INDEX(Data!CS$9:CS$1273,MATCH($M150,Data!$K$9:$K$1273,0)),"")</f>
        <v/>
      </c>
      <c r="AX150" s="312">
        <f>IFERROR(INDEX(Data!CT$9:CT$1273,MATCH($M150,Data!$K$9:$K$1273,0)),"")</f>
        <v/>
      </c>
      <c r="AY150" s="312">
        <f>IFERROR(INDEX(Data!CU$9:CU$1273,MATCH($M150,Data!$K$9:$K$1273,0)),"")</f>
        <v/>
      </c>
      <c r="AZ150" s="312">
        <f>IFERROR(INDEX(Data!CV$9:CV$1273,MATCH($M150,Data!$K$9:$K$1273,0)),"")</f>
        <v/>
      </c>
      <c r="BA150" s="312">
        <f>IFERROR(INDEX(Data!CX$9:CX$1273,MATCH($M150,Data!$K$9:$K$1273,0)),"")</f>
        <v/>
      </c>
      <c r="BB150" s="312">
        <f>IFERROR(INDEX(Data!CY$9:CY$1273,MATCH($M150,Data!$K$9:$K$1273,0)),"")</f>
        <v/>
      </c>
      <c r="BC150" s="312">
        <f>IFERROR(INDEX(Data!CZ$9:CZ$1273,MATCH($M150,Data!$K$9:$K$1273,0)),"")</f>
        <v/>
      </c>
      <c r="BD150" s="312">
        <f>IFERROR(INDEX(Data!DA$9:DA$1273,MATCH($M150,Data!$K$9:$K$1273,0)),"")</f>
        <v/>
      </c>
      <c r="BE150" s="312">
        <f>IFERROR(INDEX(Data!DB$9:DB$1273,MATCH($M150,Data!$K$9:$K$1273,0)),"")</f>
        <v/>
      </c>
      <c r="BF150" s="312">
        <f>IFERROR(INDEX(Data!DC$9:DC$1273,MATCH($M150,Data!$K$9:$K$1273,0)),"")</f>
        <v/>
      </c>
      <c r="BG150" s="312">
        <f>IFERROR(INDEX(Data!DD$9:DD$1273,MATCH($M150,Data!$K$9:$K$1273,0)),"")</f>
        <v/>
      </c>
      <c r="BH150" s="312">
        <f>IFERROR(INDEX(Data!DE$9:DE$1273,MATCH($M150,Data!$K$9:$K$1273,0)),"")</f>
        <v/>
      </c>
      <c r="BI150" s="312">
        <f>IFERROR(INDEX(Data!DF$9:DF$1273,MATCH($M150,Data!$K$9:$K$1273,0)),"")</f>
        <v/>
      </c>
      <c r="BJ150" s="312">
        <f>IFERROR(INDEX(Data!DG$9:DG$1273,MATCH($M150,Data!$K$9:$K$1273,0)),"")</f>
        <v/>
      </c>
      <c r="BK150" s="312">
        <f>IFERROR(INDEX(Data!DH$9:DH$1273,MATCH($M150,Data!$K$9:$K$1273,0)),"")</f>
        <v/>
      </c>
      <c r="BL150" s="312">
        <f>IFERROR(INDEX(Data!DI$9:DI$1273,MATCH($M150,Data!$K$9:$K$1273,0)),"")</f>
        <v/>
      </c>
      <c r="BM150" s="312">
        <f>IFERROR(INDEX(Data!DJ$9:DJ$1273,MATCH($M150,Data!$K$9:$K$1273,0)),"")</f>
        <v/>
      </c>
      <c r="BN150" s="312">
        <f>IFERROR(INDEX(Data!DK$9:DK$1273,MATCH($M150,Data!$K$9:$K$1273,0)),"")</f>
        <v/>
      </c>
      <c r="BO150" s="312">
        <f>IFERROR(INDEX(Data!DL$9:DL$1273,MATCH($M150,Data!$K$9:$K$1273,0)),"")</f>
        <v/>
      </c>
      <c r="BP150" s="331">
        <f>IFERROR(IF(BK150=0,"-",BK150),"")</f>
        <v/>
      </c>
      <c r="BQ150" s="312">
        <f>IFERROR(IF(BP150-K150&gt;0,TRUE,FALSE)," ")</f>
        <v/>
      </c>
      <c r="BR150" s="312">
        <f>_xlfn.CONCAT(E150,F150,H150,G150)</f>
        <v/>
      </c>
      <c r="BS150" s="312">
        <f>IFERROR(INDEX(Data!$DO$9:$DO$1273,MATCH('Your recommendation'!BR150,Data!$DN$9:$DN$1273,0)),"")</f>
        <v/>
      </c>
    </row>
    <row r="151" ht="15.6" customFormat="1" customHeight="1" s="138">
      <c r="B151" s="309">
        <f>IF(C151&gt;0,B150+1,"")</f>
        <v/>
      </c>
      <c r="C151" s="310" t="n"/>
      <c r="D151" s="312">
        <f>IFERROR(INDEX(Data!BR$9:BR$1273,MATCH($M151,Data!$K$9:$K$1273,0)),"")</f>
        <v/>
      </c>
      <c r="E151" s="312">
        <f>IFERROR(INDEX(Data!BS$9:BS$1273,MATCH($M151,Data!$K$9:$K$1273,0)),"")</f>
        <v/>
      </c>
      <c r="F151" s="312">
        <f>IFERROR(INDEX(Data!DM$9:DM$1273,MATCH($M151,Data!$K$9:$K$1273,0)),"")</f>
        <v/>
      </c>
      <c r="G151" s="312">
        <f>IFERROR(INDEX(Data!BV$9:BV$1273,MATCH($M151,Data!$K$9:$K$1273,0)),"")</f>
        <v/>
      </c>
      <c r="H151" s="312">
        <f>IFERROR(INDEX(Data!BW$9:BW$1273,MATCH($M151,Data!$K$9:$K$1273,0)),"")</f>
        <v/>
      </c>
      <c r="I151" s="312">
        <f>IFERROR(INDEX(Data!BX$9:BX$1273,MATCH($M151,Data!$K$9:$K$1273,0)),"")</f>
        <v/>
      </c>
      <c r="J151" s="312">
        <f>IFERROR(INDEX(Data!CB$9:CB$1273,MATCH($M151,Data!$K$9:$K$1273,0)),"")</f>
        <v/>
      </c>
      <c r="K151" s="329">
        <f>IFERROR(HYPERLINK(BM151,BC151),"-")</f>
        <v/>
      </c>
      <c r="L151" s="330">
        <f>IFERROR(IF(BB151=0,"-",BB151)," ")</f>
        <v/>
      </c>
      <c r="M151" s="311" t="n"/>
      <c r="N151" s="311" t="n"/>
      <c r="O151" s="311">
        <f>IFERROR(INDEX(Data!M$9:M$1273,MATCH($M151,Data!$K$9:$K$1273,0)),"")</f>
        <v/>
      </c>
      <c r="P151" s="311">
        <f>IFERROR(INDEX(Data!N$9:N$1273,MATCH($M151,Data!$K$9:$K$1273,0)),"")</f>
        <v/>
      </c>
      <c r="Q151" s="311">
        <f>IFERROR(INDEX(Data!O$9:O$1273,MATCH($M151,Data!$K$9:$K$1273,0)),"")</f>
        <v/>
      </c>
      <c r="R151" s="311">
        <f>IFERROR(INDEX(Data!P$9:P$1273,MATCH($M151,Data!$K$9:$K$1273,0)),"")</f>
        <v/>
      </c>
      <c r="S151" s="311">
        <f>IFERROR(INDEX(Data!S$9:S$1273,MATCH($M151,Data!$K$9:$K$1273,0)),"")</f>
        <v/>
      </c>
      <c r="T151" s="311">
        <f>IFERROR(INDEX(Data!T$9:T$1273,MATCH($M151,Data!$K$9:$K$1273,0)),"")</f>
        <v/>
      </c>
      <c r="U151" s="311">
        <f>IFERROR(INDEX(Data!U$9:U$1273,MATCH($M151,Data!$K$9:$K$1273,0)),"")</f>
        <v/>
      </c>
      <c r="V151" s="311">
        <f>IFERROR(INDEX(Data!V$9:V$1273,MATCH($M151,Data!$K$9:$K$1273,0)),"")</f>
        <v/>
      </c>
      <c r="W151" s="311">
        <f>IFERROR(INDEX(Data!W$9:W$1273,MATCH($M151,Data!$K$9:$K$1273,0)),"")</f>
        <v/>
      </c>
      <c r="X151" s="311">
        <f>IFERROR(INDEX(Data!AJ$9:AJ$1273,MATCH($M151,Data!$K$9:$K$1273,0)),"")</f>
        <v/>
      </c>
      <c r="Y151" s="311">
        <f>IFERROR(INDEX(Data!AK$9:AK$1273,MATCH($M151,Data!$K$9:$K$1273,0)),"")</f>
        <v/>
      </c>
      <c r="Z151" s="311">
        <f>IFERROR(INDEX(Data!AL$9:AL$1273,MATCH($M151,Data!$K$9:$K$1273,0)),"")</f>
        <v/>
      </c>
      <c r="AA151" s="311">
        <f>IFERROR(INDEX(Data!AM$9:AM$1273,MATCH($M151,Data!$K$9:$K$1273,0)),"")</f>
        <v/>
      </c>
      <c r="AB151" s="311">
        <f>IFERROR(INDEX(Data!AN$9:AN$1273,MATCH($M151,Data!$K$9:$K$1273,0)),"")</f>
        <v/>
      </c>
      <c r="AC151" s="312">
        <f>IFERROR(INDEX(Data!BY$9:BY$1273,MATCH($M151,Data!$K$9:$K$1273,0)),"")</f>
        <v/>
      </c>
      <c r="AD151" s="312">
        <f>IFERROR(INDEX(Data!BZ$9:BZ$1273,MATCH($M151,Data!$K$9:$K$1273,0)),"")</f>
        <v/>
      </c>
      <c r="AE151" s="312">
        <f>IFERROR(INDEX(Data!CA$9:CA$1273,MATCH($M151,Data!$K$9:$K$1273,0)),"")</f>
        <v/>
      </c>
      <c r="AF151" s="312">
        <f>IFERROR(INDEX(Data!CB$9:CB$1273,MATCH($M151,Data!$K$9:$K$1273,0)),"")</f>
        <v/>
      </c>
      <c r="AG151" s="312">
        <f>IFERROR(INDEX(Data!CC$9:CC$1273,MATCH($M151,Data!$K$9:$K$1273,0)),"")</f>
        <v/>
      </c>
      <c r="AH151" s="312">
        <f>IFERROR(INDEX(Data!CD$9:CD$1273,MATCH($M151,Data!$K$9:$K$1273,0)),"")</f>
        <v/>
      </c>
      <c r="AI151" s="312">
        <f>IFERROR(INDEX(Data!CE$9:CE$1273,MATCH($M151,Data!$K$9:$K$1273,0)),"")</f>
        <v/>
      </c>
      <c r="AJ151" s="312">
        <f>IFERROR(INDEX(Data!CF$9:CF$1273,MATCH($M151,Data!$K$9:$K$1273,0)),"")</f>
        <v/>
      </c>
      <c r="AK151" s="312">
        <f>IFERROR(INDEX(Data!CG$9:CG$1273,MATCH($M151,Data!$K$9:$K$1273,0)),"")</f>
        <v/>
      </c>
      <c r="AL151" s="312">
        <f>IFERROR(INDEX(Data!CH$9:CH$1273,MATCH($M151,Data!$K$9:$K$1273,0)),"")</f>
        <v/>
      </c>
      <c r="AM151" s="312">
        <f>IFERROR(INDEX(Data!CI$9:CI$1273,MATCH($M151,Data!$K$9:$K$1273,0)),"")</f>
        <v/>
      </c>
      <c r="AN151" s="312">
        <f>IFERROR(INDEX(Data!CJ$9:CJ$1273,MATCH($M151,Data!$K$9:$K$1273,0)),"")</f>
        <v/>
      </c>
      <c r="AO151" s="312">
        <f>IFERROR(INDEX(Data!CK$9:CK$1273,MATCH($M151,Data!$K$9:$K$1273,0)),"")</f>
        <v/>
      </c>
      <c r="AP151" s="312">
        <f>IFERROR(INDEX(Data!CL$9:CL$1273,MATCH($M151,Data!$K$9:$K$1273,0)),"")</f>
        <v/>
      </c>
      <c r="AQ151" s="312">
        <f>IFERROR(INDEX(Data!CM$9:CM$1273,MATCH($M151,Data!$K$9:$K$1273,0)),"")</f>
        <v/>
      </c>
      <c r="AR151" s="312">
        <f>IFERROR(INDEX(Data!CN$9:CN$1273,MATCH($M151,Data!$K$9:$K$1273,0)),"")</f>
        <v/>
      </c>
      <c r="AS151" s="312">
        <f>IFERROR(INDEX(Data!CO$9:CO$1273,MATCH($M151,Data!$K$9:$K$1273,0)),"")</f>
        <v/>
      </c>
      <c r="AT151" s="312">
        <f>IFERROR(INDEX(Data!CP$9:CP$1273,MATCH($M151,Data!$K$9:$K$1273,0)),"")</f>
        <v/>
      </c>
      <c r="AU151" s="312">
        <f>IFERROR(INDEX(Data!CQ$9:CQ$1273,MATCH($M151,Data!$K$9:$K$1273,0)),"")</f>
        <v/>
      </c>
      <c r="AV151" s="312">
        <f>IFERROR(INDEX(Data!CR$9:CR$1273,MATCH($M151,Data!$K$9:$K$1273,0)),"")</f>
        <v/>
      </c>
      <c r="AW151" s="312">
        <f>IFERROR(INDEX(Data!CS$9:CS$1273,MATCH($M151,Data!$K$9:$K$1273,0)),"")</f>
        <v/>
      </c>
      <c r="AX151" s="312">
        <f>IFERROR(INDEX(Data!CT$9:CT$1273,MATCH($M151,Data!$K$9:$K$1273,0)),"")</f>
        <v/>
      </c>
      <c r="AY151" s="312">
        <f>IFERROR(INDEX(Data!CU$9:CU$1273,MATCH($M151,Data!$K$9:$K$1273,0)),"")</f>
        <v/>
      </c>
      <c r="AZ151" s="312">
        <f>IFERROR(INDEX(Data!CV$9:CV$1273,MATCH($M151,Data!$K$9:$K$1273,0)),"")</f>
        <v/>
      </c>
      <c r="BA151" s="312">
        <f>IFERROR(INDEX(Data!CX$9:CX$1273,MATCH($M151,Data!$K$9:$K$1273,0)),"")</f>
        <v/>
      </c>
      <c r="BB151" s="312">
        <f>IFERROR(INDEX(Data!CY$9:CY$1273,MATCH($M151,Data!$K$9:$K$1273,0)),"")</f>
        <v/>
      </c>
      <c r="BC151" s="312">
        <f>IFERROR(INDEX(Data!CZ$9:CZ$1273,MATCH($M151,Data!$K$9:$K$1273,0)),"")</f>
        <v/>
      </c>
      <c r="BD151" s="312">
        <f>IFERROR(INDEX(Data!DA$9:DA$1273,MATCH($M151,Data!$K$9:$K$1273,0)),"")</f>
        <v/>
      </c>
      <c r="BE151" s="312">
        <f>IFERROR(INDEX(Data!DB$9:DB$1273,MATCH($M151,Data!$K$9:$K$1273,0)),"")</f>
        <v/>
      </c>
      <c r="BF151" s="312">
        <f>IFERROR(INDEX(Data!DC$9:DC$1273,MATCH($M151,Data!$K$9:$K$1273,0)),"")</f>
        <v/>
      </c>
      <c r="BG151" s="312">
        <f>IFERROR(INDEX(Data!DD$9:DD$1273,MATCH($M151,Data!$K$9:$K$1273,0)),"")</f>
        <v/>
      </c>
      <c r="BH151" s="312">
        <f>IFERROR(INDEX(Data!DE$9:DE$1273,MATCH($M151,Data!$K$9:$K$1273,0)),"")</f>
        <v/>
      </c>
      <c r="BI151" s="312">
        <f>IFERROR(INDEX(Data!DF$9:DF$1273,MATCH($M151,Data!$K$9:$K$1273,0)),"")</f>
        <v/>
      </c>
      <c r="BJ151" s="312">
        <f>IFERROR(INDEX(Data!DG$9:DG$1273,MATCH($M151,Data!$K$9:$K$1273,0)),"")</f>
        <v/>
      </c>
      <c r="BK151" s="312">
        <f>IFERROR(INDEX(Data!DH$9:DH$1273,MATCH($M151,Data!$K$9:$K$1273,0)),"")</f>
        <v/>
      </c>
      <c r="BL151" s="312">
        <f>IFERROR(INDEX(Data!DI$9:DI$1273,MATCH($M151,Data!$K$9:$K$1273,0)),"")</f>
        <v/>
      </c>
      <c r="BM151" s="312">
        <f>IFERROR(INDEX(Data!DJ$9:DJ$1273,MATCH($M151,Data!$K$9:$K$1273,0)),"")</f>
        <v/>
      </c>
      <c r="BN151" s="312">
        <f>IFERROR(INDEX(Data!DK$9:DK$1273,MATCH($M151,Data!$K$9:$K$1273,0)),"")</f>
        <v/>
      </c>
      <c r="BO151" s="312">
        <f>IFERROR(INDEX(Data!DL$9:DL$1273,MATCH($M151,Data!$K$9:$K$1273,0)),"")</f>
        <v/>
      </c>
      <c r="BP151" s="331">
        <f>IFERROR(IF(BK151=0,"-",BK151),"")</f>
        <v/>
      </c>
      <c r="BQ151" s="312">
        <f>IFERROR(IF(BP151-K151&gt;0,TRUE,FALSE)," ")</f>
        <v/>
      </c>
      <c r="BR151" s="312">
        <f>_xlfn.CONCAT(E151,F151,H151,G151)</f>
        <v/>
      </c>
      <c r="BS151" s="312">
        <f>IFERROR(INDEX(Data!$DO$9:$DO$1273,MATCH('Your recommendation'!BR151,Data!$DN$9:$DN$1273,0)),"")</f>
        <v/>
      </c>
    </row>
    <row r="152" ht="15.6" customFormat="1" customHeight="1" s="138">
      <c r="B152" s="309">
        <f>IF(C152&gt;0,B151+1,"")</f>
        <v/>
      </c>
      <c r="C152" s="310" t="n"/>
      <c r="D152" s="312">
        <f>IFERROR(INDEX(Data!BR$9:BR$1273,MATCH($M152,Data!$K$9:$K$1273,0)),"")</f>
        <v/>
      </c>
      <c r="E152" s="312">
        <f>IFERROR(INDEX(Data!BS$9:BS$1273,MATCH($M152,Data!$K$9:$K$1273,0)),"")</f>
        <v/>
      </c>
      <c r="F152" s="312">
        <f>IFERROR(INDEX(Data!DM$9:DM$1273,MATCH($M152,Data!$K$9:$K$1273,0)),"")</f>
        <v/>
      </c>
      <c r="G152" s="312">
        <f>IFERROR(INDEX(Data!BV$9:BV$1273,MATCH($M152,Data!$K$9:$K$1273,0)),"")</f>
        <v/>
      </c>
      <c r="H152" s="312">
        <f>IFERROR(INDEX(Data!BW$9:BW$1273,MATCH($M152,Data!$K$9:$K$1273,0)),"")</f>
        <v/>
      </c>
      <c r="I152" s="312">
        <f>IFERROR(INDEX(Data!BX$9:BX$1273,MATCH($M152,Data!$K$9:$K$1273,0)),"")</f>
        <v/>
      </c>
      <c r="J152" s="312">
        <f>IFERROR(INDEX(Data!CB$9:CB$1273,MATCH($M152,Data!$K$9:$K$1273,0)),"")</f>
        <v/>
      </c>
      <c r="K152" s="329">
        <f>IFERROR(HYPERLINK(BM152,BC152),"-")</f>
        <v/>
      </c>
      <c r="L152" s="330">
        <f>IFERROR(IF(BB152=0,"-",BB152)," ")</f>
        <v/>
      </c>
      <c r="M152" s="311" t="n"/>
      <c r="N152" s="311" t="n"/>
      <c r="O152" s="311">
        <f>IFERROR(INDEX(Data!M$9:M$1273,MATCH($M152,Data!$K$9:$K$1273,0)),"")</f>
        <v/>
      </c>
      <c r="P152" s="311">
        <f>IFERROR(INDEX(Data!N$9:N$1273,MATCH($M152,Data!$K$9:$K$1273,0)),"")</f>
        <v/>
      </c>
      <c r="Q152" s="311">
        <f>IFERROR(INDEX(Data!O$9:O$1273,MATCH($M152,Data!$K$9:$K$1273,0)),"")</f>
        <v/>
      </c>
      <c r="R152" s="311">
        <f>IFERROR(INDEX(Data!P$9:P$1273,MATCH($M152,Data!$K$9:$K$1273,0)),"")</f>
        <v/>
      </c>
      <c r="S152" s="311">
        <f>IFERROR(INDEX(Data!S$9:S$1273,MATCH($M152,Data!$K$9:$K$1273,0)),"")</f>
        <v/>
      </c>
      <c r="T152" s="311">
        <f>IFERROR(INDEX(Data!T$9:T$1273,MATCH($M152,Data!$K$9:$K$1273,0)),"")</f>
        <v/>
      </c>
      <c r="U152" s="311">
        <f>IFERROR(INDEX(Data!U$9:U$1273,MATCH($M152,Data!$K$9:$K$1273,0)),"")</f>
        <v/>
      </c>
      <c r="V152" s="311">
        <f>IFERROR(INDEX(Data!V$9:V$1273,MATCH($M152,Data!$K$9:$K$1273,0)),"")</f>
        <v/>
      </c>
      <c r="W152" s="311">
        <f>IFERROR(INDEX(Data!W$9:W$1273,MATCH($M152,Data!$K$9:$K$1273,0)),"")</f>
        <v/>
      </c>
      <c r="X152" s="311">
        <f>IFERROR(INDEX(Data!AJ$9:AJ$1273,MATCH($M152,Data!$K$9:$K$1273,0)),"")</f>
        <v/>
      </c>
      <c r="Y152" s="311">
        <f>IFERROR(INDEX(Data!AK$9:AK$1273,MATCH($M152,Data!$K$9:$K$1273,0)),"")</f>
        <v/>
      </c>
      <c r="Z152" s="311">
        <f>IFERROR(INDEX(Data!AL$9:AL$1273,MATCH($M152,Data!$K$9:$K$1273,0)),"")</f>
        <v/>
      </c>
      <c r="AA152" s="311">
        <f>IFERROR(INDEX(Data!AM$9:AM$1273,MATCH($M152,Data!$K$9:$K$1273,0)),"")</f>
        <v/>
      </c>
      <c r="AB152" s="311">
        <f>IFERROR(INDEX(Data!AN$9:AN$1273,MATCH($M152,Data!$K$9:$K$1273,0)),"")</f>
        <v/>
      </c>
      <c r="AC152" s="312">
        <f>IFERROR(INDEX(Data!BY$9:BY$1273,MATCH($M152,Data!$K$9:$K$1273,0)),"")</f>
        <v/>
      </c>
      <c r="AD152" s="312">
        <f>IFERROR(INDEX(Data!BZ$9:BZ$1273,MATCH($M152,Data!$K$9:$K$1273,0)),"")</f>
        <v/>
      </c>
      <c r="AE152" s="312">
        <f>IFERROR(INDEX(Data!CA$9:CA$1273,MATCH($M152,Data!$K$9:$K$1273,0)),"")</f>
        <v/>
      </c>
      <c r="AF152" s="312">
        <f>IFERROR(INDEX(Data!CB$9:CB$1273,MATCH($M152,Data!$K$9:$K$1273,0)),"")</f>
        <v/>
      </c>
      <c r="AG152" s="312">
        <f>IFERROR(INDEX(Data!CC$9:CC$1273,MATCH($M152,Data!$K$9:$K$1273,0)),"")</f>
        <v/>
      </c>
      <c r="AH152" s="312">
        <f>IFERROR(INDEX(Data!CD$9:CD$1273,MATCH($M152,Data!$K$9:$K$1273,0)),"")</f>
        <v/>
      </c>
      <c r="AI152" s="312">
        <f>IFERROR(INDEX(Data!CE$9:CE$1273,MATCH($M152,Data!$K$9:$K$1273,0)),"")</f>
        <v/>
      </c>
      <c r="AJ152" s="312">
        <f>IFERROR(INDEX(Data!CF$9:CF$1273,MATCH($M152,Data!$K$9:$K$1273,0)),"")</f>
        <v/>
      </c>
      <c r="AK152" s="312">
        <f>IFERROR(INDEX(Data!CG$9:CG$1273,MATCH($M152,Data!$K$9:$K$1273,0)),"")</f>
        <v/>
      </c>
      <c r="AL152" s="312">
        <f>IFERROR(INDEX(Data!CH$9:CH$1273,MATCH($M152,Data!$K$9:$K$1273,0)),"")</f>
        <v/>
      </c>
      <c r="AM152" s="312">
        <f>IFERROR(INDEX(Data!CI$9:CI$1273,MATCH($M152,Data!$K$9:$K$1273,0)),"")</f>
        <v/>
      </c>
      <c r="AN152" s="312">
        <f>IFERROR(INDEX(Data!CJ$9:CJ$1273,MATCH($M152,Data!$K$9:$K$1273,0)),"")</f>
        <v/>
      </c>
      <c r="AO152" s="312">
        <f>IFERROR(INDEX(Data!CK$9:CK$1273,MATCH($M152,Data!$K$9:$K$1273,0)),"")</f>
        <v/>
      </c>
      <c r="AP152" s="312">
        <f>IFERROR(INDEX(Data!CL$9:CL$1273,MATCH($M152,Data!$K$9:$K$1273,0)),"")</f>
        <v/>
      </c>
      <c r="AQ152" s="312">
        <f>IFERROR(INDEX(Data!CM$9:CM$1273,MATCH($M152,Data!$K$9:$K$1273,0)),"")</f>
        <v/>
      </c>
      <c r="AR152" s="312">
        <f>IFERROR(INDEX(Data!CN$9:CN$1273,MATCH($M152,Data!$K$9:$K$1273,0)),"")</f>
        <v/>
      </c>
      <c r="AS152" s="312">
        <f>IFERROR(INDEX(Data!CO$9:CO$1273,MATCH($M152,Data!$K$9:$K$1273,0)),"")</f>
        <v/>
      </c>
      <c r="AT152" s="312">
        <f>IFERROR(INDEX(Data!CP$9:CP$1273,MATCH($M152,Data!$K$9:$K$1273,0)),"")</f>
        <v/>
      </c>
      <c r="AU152" s="312">
        <f>IFERROR(INDEX(Data!CQ$9:CQ$1273,MATCH($M152,Data!$K$9:$K$1273,0)),"")</f>
        <v/>
      </c>
      <c r="AV152" s="312">
        <f>IFERROR(INDEX(Data!CR$9:CR$1273,MATCH($M152,Data!$K$9:$K$1273,0)),"")</f>
        <v/>
      </c>
      <c r="AW152" s="312">
        <f>IFERROR(INDEX(Data!CS$9:CS$1273,MATCH($M152,Data!$K$9:$K$1273,0)),"")</f>
        <v/>
      </c>
      <c r="AX152" s="312">
        <f>IFERROR(INDEX(Data!CT$9:CT$1273,MATCH($M152,Data!$K$9:$K$1273,0)),"")</f>
        <v/>
      </c>
      <c r="AY152" s="312">
        <f>IFERROR(INDEX(Data!CU$9:CU$1273,MATCH($M152,Data!$K$9:$K$1273,0)),"")</f>
        <v/>
      </c>
      <c r="AZ152" s="312">
        <f>IFERROR(INDEX(Data!CV$9:CV$1273,MATCH($M152,Data!$K$9:$K$1273,0)),"")</f>
        <v/>
      </c>
      <c r="BA152" s="312">
        <f>IFERROR(INDEX(Data!CX$9:CX$1273,MATCH($M152,Data!$K$9:$K$1273,0)),"")</f>
        <v/>
      </c>
      <c r="BB152" s="312">
        <f>IFERROR(INDEX(Data!CY$9:CY$1273,MATCH($M152,Data!$K$9:$K$1273,0)),"")</f>
        <v/>
      </c>
      <c r="BC152" s="312">
        <f>IFERROR(INDEX(Data!CZ$9:CZ$1273,MATCH($M152,Data!$K$9:$K$1273,0)),"")</f>
        <v/>
      </c>
      <c r="BD152" s="312">
        <f>IFERROR(INDEX(Data!DA$9:DA$1273,MATCH($M152,Data!$K$9:$K$1273,0)),"")</f>
        <v/>
      </c>
      <c r="BE152" s="312">
        <f>IFERROR(INDEX(Data!DB$9:DB$1273,MATCH($M152,Data!$K$9:$K$1273,0)),"")</f>
        <v/>
      </c>
      <c r="BF152" s="312">
        <f>IFERROR(INDEX(Data!DC$9:DC$1273,MATCH($M152,Data!$K$9:$K$1273,0)),"")</f>
        <v/>
      </c>
      <c r="BG152" s="312">
        <f>IFERROR(INDEX(Data!DD$9:DD$1273,MATCH($M152,Data!$K$9:$K$1273,0)),"")</f>
        <v/>
      </c>
      <c r="BH152" s="312">
        <f>IFERROR(INDEX(Data!DE$9:DE$1273,MATCH($M152,Data!$K$9:$K$1273,0)),"")</f>
        <v/>
      </c>
      <c r="BI152" s="312">
        <f>IFERROR(INDEX(Data!DF$9:DF$1273,MATCH($M152,Data!$K$9:$K$1273,0)),"")</f>
        <v/>
      </c>
      <c r="BJ152" s="312">
        <f>IFERROR(INDEX(Data!DG$9:DG$1273,MATCH($M152,Data!$K$9:$K$1273,0)),"")</f>
        <v/>
      </c>
      <c r="BK152" s="312">
        <f>IFERROR(INDEX(Data!DH$9:DH$1273,MATCH($M152,Data!$K$9:$K$1273,0)),"")</f>
        <v/>
      </c>
      <c r="BL152" s="312">
        <f>IFERROR(INDEX(Data!DI$9:DI$1273,MATCH($M152,Data!$K$9:$K$1273,0)),"")</f>
        <v/>
      </c>
      <c r="BM152" s="312">
        <f>IFERROR(INDEX(Data!DJ$9:DJ$1273,MATCH($M152,Data!$K$9:$K$1273,0)),"")</f>
        <v/>
      </c>
      <c r="BN152" s="312">
        <f>IFERROR(INDEX(Data!DK$9:DK$1273,MATCH($M152,Data!$K$9:$K$1273,0)),"")</f>
        <v/>
      </c>
      <c r="BO152" s="312">
        <f>IFERROR(INDEX(Data!DL$9:DL$1273,MATCH($M152,Data!$K$9:$K$1273,0)),"")</f>
        <v/>
      </c>
      <c r="BP152" s="331">
        <f>IFERROR(IF(BK152=0,"-",BK152),"")</f>
        <v/>
      </c>
      <c r="BQ152" s="312">
        <f>IFERROR(IF(BP152-K152&gt;0,TRUE,FALSE)," ")</f>
        <v/>
      </c>
      <c r="BR152" s="312">
        <f>_xlfn.CONCAT(E152,F152,H152,G152)</f>
        <v/>
      </c>
      <c r="BS152" s="312">
        <f>IFERROR(INDEX(Data!$DO$9:$DO$1273,MATCH('Your recommendation'!BR152,Data!$DN$9:$DN$1273,0)),"")</f>
        <v/>
      </c>
    </row>
    <row r="153" ht="15.6" customFormat="1" customHeight="1" s="138">
      <c r="B153" s="309">
        <f>IF(C153&gt;0,B152+1,"")</f>
        <v/>
      </c>
      <c r="C153" s="310" t="n"/>
      <c r="D153" s="312">
        <f>IFERROR(INDEX(Data!BR$9:BR$1273,MATCH($M153,Data!$K$9:$K$1273,0)),"")</f>
        <v/>
      </c>
      <c r="E153" s="312">
        <f>IFERROR(INDEX(Data!BS$9:BS$1273,MATCH($M153,Data!$K$9:$K$1273,0)),"")</f>
        <v/>
      </c>
      <c r="F153" s="312">
        <f>IFERROR(INDEX(Data!DM$9:DM$1273,MATCH($M153,Data!$K$9:$K$1273,0)),"")</f>
        <v/>
      </c>
      <c r="G153" s="312">
        <f>IFERROR(INDEX(Data!BV$9:BV$1273,MATCH($M153,Data!$K$9:$K$1273,0)),"")</f>
        <v/>
      </c>
      <c r="H153" s="312">
        <f>IFERROR(INDEX(Data!BW$9:BW$1273,MATCH($M153,Data!$K$9:$K$1273,0)),"")</f>
        <v/>
      </c>
      <c r="I153" s="312">
        <f>IFERROR(INDEX(Data!BX$9:BX$1273,MATCH($M153,Data!$K$9:$K$1273,0)),"")</f>
        <v/>
      </c>
      <c r="J153" s="312">
        <f>IFERROR(INDEX(Data!CB$9:CB$1273,MATCH($M153,Data!$K$9:$K$1273,0)),"")</f>
        <v/>
      </c>
      <c r="K153" s="329">
        <f>IFERROR(HYPERLINK(BM153,BC153),"-")</f>
        <v/>
      </c>
      <c r="L153" s="330">
        <f>IFERROR(IF(BB153=0,"-",BB153)," ")</f>
        <v/>
      </c>
      <c r="M153" s="311" t="n"/>
      <c r="N153" s="311" t="n"/>
      <c r="O153" s="311">
        <f>IFERROR(INDEX(Data!M$9:M$1273,MATCH($M153,Data!$K$9:$K$1273,0)),"")</f>
        <v/>
      </c>
      <c r="P153" s="311">
        <f>IFERROR(INDEX(Data!N$9:N$1273,MATCH($M153,Data!$K$9:$K$1273,0)),"")</f>
        <v/>
      </c>
      <c r="Q153" s="311">
        <f>IFERROR(INDEX(Data!O$9:O$1273,MATCH($M153,Data!$K$9:$K$1273,0)),"")</f>
        <v/>
      </c>
      <c r="R153" s="311">
        <f>IFERROR(INDEX(Data!P$9:P$1273,MATCH($M153,Data!$K$9:$K$1273,0)),"")</f>
        <v/>
      </c>
      <c r="S153" s="311">
        <f>IFERROR(INDEX(Data!S$9:S$1273,MATCH($M153,Data!$K$9:$K$1273,0)),"")</f>
        <v/>
      </c>
      <c r="T153" s="311">
        <f>IFERROR(INDEX(Data!T$9:T$1273,MATCH($M153,Data!$K$9:$K$1273,0)),"")</f>
        <v/>
      </c>
      <c r="U153" s="311">
        <f>IFERROR(INDEX(Data!U$9:U$1273,MATCH($M153,Data!$K$9:$K$1273,0)),"")</f>
        <v/>
      </c>
      <c r="V153" s="311">
        <f>IFERROR(INDEX(Data!V$9:V$1273,MATCH($M153,Data!$K$9:$K$1273,0)),"")</f>
        <v/>
      </c>
      <c r="W153" s="311">
        <f>IFERROR(INDEX(Data!W$9:W$1273,MATCH($M153,Data!$K$9:$K$1273,0)),"")</f>
        <v/>
      </c>
      <c r="X153" s="311">
        <f>IFERROR(INDEX(Data!AJ$9:AJ$1273,MATCH($M153,Data!$K$9:$K$1273,0)),"")</f>
        <v/>
      </c>
      <c r="Y153" s="311">
        <f>IFERROR(INDEX(Data!AK$9:AK$1273,MATCH($M153,Data!$K$9:$K$1273,0)),"")</f>
        <v/>
      </c>
      <c r="Z153" s="311">
        <f>IFERROR(INDEX(Data!AL$9:AL$1273,MATCH($M153,Data!$K$9:$K$1273,0)),"")</f>
        <v/>
      </c>
      <c r="AA153" s="311">
        <f>IFERROR(INDEX(Data!AM$9:AM$1273,MATCH($M153,Data!$K$9:$K$1273,0)),"")</f>
        <v/>
      </c>
      <c r="AB153" s="311">
        <f>IFERROR(INDEX(Data!AN$9:AN$1273,MATCH($M153,Data!$K$9:$K$1273,0)),"")</f>
        <v/>
      </c>
      <c r="AC153" s="312">
        <f>IFERROR(INDEX(Data!BY$9:BY$1273,MATCH($M153,Data!$K$9:$K$1273,0)),"")</f>
        <v/>
      </c>
      <c r="AD153" s="312">
        <f>IFERROR(INDEX(Data!BZ$9:BZ$1273,MATCH($M153,Data!$K$9:$K$1273,0)),"")</f>
        <v/>
      </c>
      <c r="AE153" s="312">
        <f>IFERROR(INDEX(Data!CA$9:CA$1273,MATCH($M153,Data!$K$9:$K$1273,0)),"")</f>
        <v/>
      </c>
      <c r="AF153" s="312">
        <f>IFERROR(INDEX(Data!CB$9:CB$1273,MATCH($M153,Data!$K$9:$K$1273,0)),"")</f>
        <v/>
      </c>
      <c r="AG153" s="312">
        <f>IFERROR(INDEX(Data!CC$9:CC$1273,MATCH($M153,Data!$K$9:$K$1273,0)),"")</f>
        <v/>
      </c>
      <c r="AH153" s="312">
        <f>IFERROR(INDEX(Data!CD$9:CD$1273,MATCH($M153,Data!$K$9:$K$1273,0)),"")</f>
        <v/>
      </c>
      <c r="AI153" s="312">
        <f>IFERROR(INDEX(Data!CE$9:CE$1273,MATCH($M153,Data!$K$9:$K$1273,0)),"")</f>
        <v/>
      </c>
      <c r="AJ153" s="312">
        <f>IFERROR(INDEX(Data!CF$9:CF$1273,MATCH($M153,Data!$K$9:$K$1273,0)),"")</f>
        <v/>
      </c>
      <c r="AK153" s="312">
        <f>IFERROR(INDEX(Data!CG$9:CG$1273,MATCH($M153,Data!$K$9:$K$1273,0)),"")</f>
        <v/>
      </c>
      <c r="AL153" s="312">
        <f>IFERROR(INDEX(Data!CH$9:CH$1273,MATCH($M153,Data!$K$9:$K$1273,0)),"")</f>
        <v/>
      </c>
      <c r="AM153" s="312">
        <f>IFERROR(INDEX(Data!CI$9:CI$1273,MATCH($M153,Data!$K$9:$K$1273,0)),"")</f>
        <v/>
      </c>
      <c r="AN153" s="312">
        <f>IFERROR(INDEX(Data!CJ$9:CJ$1273,MATCH($M153,Data!$K$9:$K$1273,0)),"")</f>
        <v/>
      </c>
      <c r="AO153" s="312">
        <f>IFERROR(INDEX(Data!CK$9:CK$1273,MATCH($M153,Data!$K$9:$K$1273,0)),"")</f>
        <v/>
      </c>
      <c r="AP153" s="312">
        <f>IFERROR(INDEX(Data!CL$9:CL$1273,MATCH($M153,Data!$K$9:$K$1273,0)),"")</f>
        <v/>
      </c>
      <c r="AQ153" s="312">
        <f>IFERROR(INDEX(Data!CM$9:CM$1273,MATCH($M153,Data!$K$9:$K$1273,0)),"")</f>
        <v/>
      </c>
      <c r="AR153" s="312">
        <f>IFERROR(INDEX(Data!CN$9:CN$1273,MATCH($M153,Data!$K$9:$K$1273,0)),"")</f>
        <v/>
      </c>
      <c r="AS153" s="312">
        <f>IFERROR(INDEX(Data!CO$9:CO$1273,MATCH($M153,Data!$K$9:$K$1273,0)),"")</f>
        <v/>
      </c>
      <c r="AT153" s="312">
        <f>IFERROR(INDEX(Data!CP$9:CP$1273,MATCH($M153,Data!$K$9:$K$1273,0)),"")</f>
        <v/>
      </c>
      <c r="AU153" s="312">
        <f>IFERROR(INDEX(Data!CQ$9:CQ$1273,MATCH($M153,Data!$K$9:$K$1273,0)),"")</f>
        <v/>
      </c>
      <c r="AV153" s="312">
        <f>IFERROR(INDEX(Data!CR$9:CR$1273,MATCH($M153,Data!$K$9:$K$1273,0)),"")</f>
        <v/>
      </c>
      <c r="AW153" s="312">
        <f>IFERROR(INDEX(Data!CS$9:CS$1273,MATCH($M153,Data!$K$9:$K$1273,0)),"")</f>
        <v/>
      </c>
      <c r="AX153" s="312">
        <f>IFERROR(INDEX(Data!CT$9:CT$1273,MATCH($M153,Data!$K$9:$K$1273,0)),"")</f>
        <v/>
      </c>
      <c r="AY153" s="312">
        <f>IFERROR(INDEX(Data!CU$9:CU$1273,MATCH($M153,Data!$K$9:$K$1273,0)),"")</f>
        <v/>
      </c>
      <c r="AZ153" s="312">
        <f>IFERROR(INDEX(Data!CV$9:CV$1273,MATCH($M153,Data!$K$9:$K$1273,0)),"")</f>
        <v/>
      </c>
      <c r="BA153" s="312">
        <f>IFERROR(INDEX(Data!CX$9:CX$1273,MATCH($M153,Data!$K$9:$K$1273,0)),"")</f>
        <v/>
      </c>
      <c r="BB153" s="312">
        <f>IFERROR(INDEX(Data!CY$9:CY$1273,MATCH($M153,Data!$K$9:$K$1273,0)),"")</f>
        <v/>
      </c>
      <c r="BC153" s="312">
        <f>IFERROR(INDEX(Data!CZ$9:CZ$1273,MATCH($M153,Data!$K$9:$K$1273,0)),"")</f>
        <v/>
      </c>
      <c r="BD153" s="312">
        <f>IFERROR(INDEX(Data!DA$9:DA$1273,MATCH($M153,Data!$K$9:$K$1273,0)),"")</f>
        <v/>
      </c>
      <c r="BE153" s="312">
        <f>IFERROR(INDEX(Data!DB$9:DB$1273,MATCH($M153,Data!$K$9:$K$1273,0)),"")</f>
        <v/>
      </c>
      <c r="BF153" s="312">
        <f>IFERROR(INDEX(Data!DC$9:DC$1273,MATCH($M153,Data!$K$9:$K$1273,0)),"")</f>
        <v/>
      </c>
      <c r="BG153" s="312">
        <f>IFERROR(INDEX(Data!DD$9:DD$1273,MATCH($M153,Data!$K$9:$K$1273,0)),"")</f>
        <v/>
      </c>
      <c r="BH153" s="312">
        <f>IFERROR(INDEX(Data!DE$9:DE$1273,MATCH($M153,Data!$K$9:$K$1273,0)),"")</f>
        <v/>
      </c>
      <c r="BI153" s="312">
        <f>IFERROR(INDEX(Data!DF$9:DF$1273,MATCH($M153,Data!$K$9:$K$1273,0)),"")</f>
        <v/>
      </c>
      <c r="BJ153" s="312">
        <f>IFERROR(INDEX(Data!DG$9:DG$1273,MATCH($M153,Data!$K$9:$K$1273,0)),"")</f>
        <v/>
      </c>
      <c r="BK153" s="312">
        <f>IFERROR(INDEX(Data!DH$9:DH$1273,MATCH($M153,Data!$K$9:$K$1273,0)),"")</f>
        <v/>
      </c>
      <c r="BL153" s="312">
        <f>IFERROR(INDEX(Data!DI$9:DI$1273,MATCH($M153,Data!$K$9:$K$1273,0)),"")</f>
        <v/>
      </c>
      <c r="BM153" s="312">
        <f>IFERROR(INDEX(Data!DJ$9:DJ$1273,MATCH($M153,Data!$K$9:$K$1273,0)),"")</f>
        <v/>
      </c>
      <c r="BN153" s="312">
        <f>IFERROR(INDEX(Data!DK$9:DK$1273,MATCH($M153,Data!$K$9:$K$1273,0)),"")</f>
        <v/>
      </c>
      <c r="BO153" s="312">
        <f>IFERROR(INDEX(Data!DL$9:DL$1273,MATCH($M153,Data!$K$9:$K$1273,0)),"")</f>
        <v/>
      </c>
      <c r="BP153" s="331">
        <f>IFERROR(IF(BK153=0,"-",BK153),"")</f>
        <v/>
      </c>
      <c r="BQ153" s="312">
        <f>IFERROR(IF(BP153-K153&gt;0,TRUE,FALSE)," ")</f>
        <v/>
      </c>
      <c r="BR153" s="312">
        <f>_xlfn.CONCAT(E153,F153,H153,G153)</f>
        <v/>
      </c>
      <c r="BS153" s="312">
        <f>IFERROR(INDEX(Data!$DO$9:$DO$1273,MATCH('Your recommendation'!BR153,Data!$DN$9:$DN$1273,0)),"")</f>
        <v/>
      </c>
    </row>
    <row r="154" ht="15.6" customFormat="1" customHeight="1" s="138">
      <c r="B154" s="309">
        <f>IF(C154&gt;0,B153+1,"")</f>
        <v/>
      </c>
      <c r="C154" s="310" t="n"/>
      <c r="D154" s="312">
        <f>IFERROR(INDEX(Data!BR$9:BR$1273,MATCH($M154,Data!$K$9:$K$1273,0)),"")</f>
        <v/>
      </c>
      <c r="E154" s="312">
        <f>IFERROR(INDEX(Data!BS$9:BS$1273,MATCH($M154,Data!$K$9:$K$1273,0)),"")</f>
        <v/>
      </c>
      <c r="F154" s="312">
        <f>IFERROR(INDEX(Data!DM$9:DM$1273,MATCH($M154,Data!$K$9:$K$1273,0)),"")</f>
        <v/>
      </c>
      <c r="G154" s="312">
        <f>IFERROR(INDEX(Data!BV$9:BV$1273,MATCH($M154,Data!$K$9:$K$1273,0)),"")</f>
        <v/>
      </c>
      <c r="H154" s="312">
        <f>IFERROR(INDEX(Data!BW$9:BW$1273,MATCH($M154,Data!$K$9:$K$1273,0)),"")</f>
        <v/>
      </c>
      <c r="I154" s="312">
        <f>IFERROR(INDEX(Data!BX$9:BX$1273,MATCH($M154,Data!$K$9:$K$1273,0)),"")</f>
        <v/>
      </c>
      <c r="J154" s="312">
        <f>IFERROR(INDEX(Data!CB$9:CB$1273,MATCH($M154,Data!$K$9:$K$1273,0)),"")</f>
        <v/>
      </c>
      <c r="K154" s="329">
        <f>IFERROR(HYPERLINK(BM154,BC154),"-")</f>
        <v/>
      </c>
      <c r="L154" s="330">
        <f>IFERROR(IF(BB154=0,"-",BB154)," ")</f>
        <v/>
      </c>
      <c r="M154" s="311" t="n"/>
      <c r="N154" s="311" t="n"/>
      <c r="O154" s="311">
        <f>IFERROR(INDEX(Data!M$9:M$1273,MATCH($M154,Data!$K$9:$K$1273,0)),"")</f>
        <v/>
      </c>
      <c r="P154" s="311">
        <f>IFERROR(INDEX(Data!N$9:N$1273,MATCH($M154,Data!$K$9:$K$1273,0)),"")</f>
        <v/>
      </c>
      <c r="Q154" s="311">
        <f>IFERROR(INDEX(Data!O$9:O$1273,MATCH($M154,Data!$K$9:$K$1273,0)),"")</f>
        <v/>
      </c>
      <c r="R154" s="311">
        <f>IFERROR(INDEX(Data!P$9:P$1273,MATCH($M154,Data!$K$9:$K$1273,0)),"")</f>
        <v/>
      </c>
      <c r="S154" s="311">
        <f>IFERROR(INDEX(Data!S$9:S$1273,MATCH($M154,Data!$K$9:$K$1273,0)),"")</f>
        <v/>
      </c>
      <c r="T154" s="311">
        <f>IFERROR(INDEX(Data!T$9:T$1273,MATCH($M154,Data!$K$9:$K$1273,0)),"")</f>
        <v/>
      </c>
      <c r="U154" s="311">
        <f>IFERROR(INDEX(Data!U$9:U$1273,MATCH($M154,Data!$K$9:$K$1273,0)),"")</f>
        <v/>
      </c>
      <c r="V154" s="311">
        <f>IFERROR(INDEX(Data!V$9:V$1273,MATCH($M154,Data!$K$9:$K$1273,0)),"")</f>
        <v/>
      </c>
      <c r="W154" s="311">
        <f>IFERROR(INDEX(Data!W$9:W$1273,MATCH($M154,Data!$K$9:$K$1273,0)),"")</f>
        <v/>
      </c>
      <c r="X154" s="311">
        <f>IFERROR(INDEX(Data!AJ$9:AJ$1273,MATCH($M154,Data!$K$9:$K$1273,0)),"")</f>
        <v/>
      </c>
      <c r="Y154" s="311">
        <f>IFERROR(INDEX(Data!AK$9:AK$1273,MATCH($M154,Data!$K$9:$K$1273,0)),"")</f>
        <v/>
      </c>
      <c r="Z154" s="311">
        <f>IFERROR(INDEX(Data!AL$9:AL$1273,MATCH($M154,Data!$K$9:$K$1273,0)),"")</f>
        <v/>
      </c>
      <c r="AA154" s="311">
        <f>IFERROR(INDEX(Data!AM$9:AM$1273,MATCH($M154,Data!$K$9:$K$1273,0)),"")</f>
        <v/>
      </c>
      <c r="AB154" s="311">
        <f>IFERROR(INDEX(Data!AN$9:AN$1273,MATCH($M154,Data!$K$9:$K$1273,0)),"")</f>
        <v/>
      </c>
      <c r="AC154" s="312">
        <f>IFERROR(INDEX(Data!BY$9:BY$1273,MATCH($M154,Data!$K$9:$K$1273,0)),"")</f>
        <v/>
      </c>
      <c r="AD154" s="312">
        <f>IFERROR(INDEX(Data!BZ$9:BZ$1273,MATCH($M154,Data!$K$9:$K$1273,0)),"")</f>
        <v/>
      </c>
      <c r="AE154" s="312">
        <f>IFERROR(INDEX(Data!CA$9:CA$1273,MATCH($M154,Data!$K$9:$K$1273,0)),"")</f>
        <v/>
      </c>
      <c r="AF154" s="312">
        <f>IFERROR(INDEX(Data!CB$9:CB$1273,MATCH($M154,Data!$K$9:$K$1273,0)),"")</f>
        <v/>
      </c>
      <c r="AG154" s="312">
        <f>IFERROR(INDEX(Data!CC$9:CC$1273,MATCH($M154,Data!$K$9:$K$1273,0)),"")</f>
        <v/>
      </c>
      <c r="AH154" s="312">
        <f>IFERROR(INDEX(Data!CD$9:CD$1273,MATCH($M154,Data!$K$9:$K$1273,0)),"")</f>
        <v/>
      </c>
      <c r="AI154" s="312">
        <f>IFERROR(INDEX(Data!CE$9:CE$1273,MATCH($M154,Data!$K$9:$K$1273,0)),"")</f>
        <v/>
      </c>
      <c r="AJ154" s="312">
        <f>IFERROR(INDEX(Data!CF$9:CF$1273,MATCH($M154,Data!$K$9:$K$1273,0)),"")</f>
        <v/>
      </c>
      <c r="AK154" s="312">
        <f>IFERROR(INDEX(Data!CG$9:CG$1273,MATCH($M154,Data!$K$9:$K$1273,0)),"")</f>
        <v/>
      </c>
      <c r="AL154" s="312">
        <f>IFERROR(INDEX(Data!CH$9:CH$1273,MATCH($M154,Data!$K$9:$K$1273,0)),"")</f>
        <v/>
      </c>
      <c r="AM154" s="312">
        <f>IFERROR(INDEX(Data!CI$9:CI$1273,MATCH($M154,Data!$K$9:$K$1273,0)),"")</f>
        <v/>
      </c>
      <c r="AN154" s="312">
        <f>IFERROR(INDEX(Data!CJ$9:CJ$1273,MATCH($M154,Data!$K$9:$K$1273,0)),"")</f>
        <v/>
      </c>
      <c r="AO154" s="312">
        <f>IFERROR(INDEX(Data!CK$9:CK$1273,MATCH($M154,Data!$K$9:$K$1273,0)),"")</f>
        <v/>
      </c>
      <c r="AP154" s="312">
        <f>IFERROR(INDEX(Data!CL$9:CL$1273,MATCH($M154,Data!$K$9:$K$1273,0)),"")</f>
        <v/>
      </c>
      <c r="AQ154" s="312">
        <f>IFERROR(INDEX(Data!CM$9:CM$1273,MATCH($M154,Data!$K$9:$K$1273,0)),"")</f>
        <v/>
      </c>
      <c r="AR154" s="312">
        <f>IFERROR(INDEX(Data!CN$9:CN$1273,MATCH($M154,Data!$K$9:$K$1273,0)),"")</f>
        <v/>
      </c>
      <c r="AS154" s="312">
        <f>IFERROR(INDEX(Data!CO$9:CO$1273,MATCH($M154,Data!$K$9:$K$1273,0)),"")</f>
        <v/>
      </c>
      <c r="AT154" s="312">
        <f>IFERROR(INDEX(Data!CP$9:CP$1273,MATCH($M154,Data!$K$9:$K$1273,0)),"")</f>
        <v/>
      </c>
      <c r="AU154" s="312">
        <f>IFERROR(INDEX(Data!CQ$9:CQ$1273,MATCH($M154,Data!$K$9:$K$1273,0)),"")</f>
        <v/>
      </c>
      <c r="AV154" s="312">
        <f>IFERROR(INDEX(Data!CR$9:CR$1273,MATCH($M154,Data!$K$9:$K$1273,0)),"")</f>
        <v/>
      </c>
      <c r="AW154" s="312">
        <f>IFERROR(INDEX(Data!CS$9:CS$1273,MATCH($M154,Data!$K$9:$K$1273,0)),"")</f>
        <v/>
      </c>
      <c r="AX154" s="312">
        <f>IFERROR(INDEX(Data!CT$9:CT$1273,MATCH($M154,Data!$K$9:$K$1273,0)),"")</f>
        <v/>
      </c>
      <c r="AY154" s="312">
        <f>IFERROR(INDEX(Data!CU$9:CU$1273,MATCH($M154,Data!$K$9:$K$1273,0)),"")</f>
        <v/>
      </c>
      <c r="AZ154" s="312">
        <f>IFERROR(INDEX(Data!CV$9:CV$1273,MATCH($M154,Data!$K$9:$K$1273,0)),"")</f>
        <v/>
      </c>
      <c r="BA154" s="312">
        <f>IFERROR(INDEX(Data!CX$9:CX$1273,MATCH($M154,Data!$K$9:$K$1273,0)),"")</f>
        <v/>
      </c>
      <c r="BB154" s="312">
        <f>IFERROR(INDEX(Data!CY$9:CY$1273,MATCH($M154,Data!$K$9:$K$1273,0)),"")</f>
        <v/>
      </c>
      <c r="BC154" s="312">
        <f>IFERROR(INDEX(Data!CZ$9:CZ$1273,MATCH($M154,Data!$K$9:$K$1273,0)),"")</f>
        <v/>
      </c>
      <c r="BD154" s="312">
        <f>IFERROR(INDEX(Data!DA$9:DA$1273,MATCH($M154,Data!$K$9:$K$1273,0)),"")</f>
        <v/>
      </c>
      <c r="BE154" s="312">
        <f>IFERROR(INDEX(Data!DB$9:DB$1273,MATCH($M154,Data!$K$9:$K$1273,0)),"")</f>
        <v/>
      </c>
      <c r="BF154" s="312">
        <f>IFERROR(INDEX(Data!DC$9:DC$1273,MATCH($M154,Data!$K$9:$K$1273,0)),"")</f>
        <v/>
      </c>
      <c r="BG154" s="312">
        <f>IFERROR(INDEX(Data!DD$9:DD$1273,MATCH($M154,Data!$K$9:$K$1273,0)),"")</f>
        <v/>
      </c>
      <c r="BH154" s="312">
        <f>IFERROR(INDEX(Data!DE$9:DE$1273,MATCH($M154,Data!$K$9:$K$1273,0)),"")</f>
        <v/>
      </c>
      <c r="BI154" s="312">
        <f>IFERROR(INDEX(Data!DF$9:DF$1273,MATCH($M154,Data!$K$9:$K$1273,0)),"")</f>
        <v/>
      </c>
      <c r="BJ154" s="312">
        <f>IFERROR(INDEX(Data!DG$9:DG$1273,MATCH($M154,Data!$K$9:$K$1273,0)),"")</f>
        <v/>
      </c>
      <c r="BK154" s="312">
        <f>IFERROR(INDEX(Data!DH$9:DH$1273,MATCH($M154,Data!$K$9:$K$1273,0)),"")</f>
        <v/>
      </c>
      <c r="BL154" s="312">
        <f>IFERROR(INDEX(Data!DI$9:DI$1273,MATCH($M154,Data!$K$9:$K$1273,0)),"")</f>
        <v/>
      </c>
      <c r="BM154" s="312">
        <f>IFERROR(INDEX(Data!DJ$9:DJ$1273,MATCH($M154,Data!$K$9:$K$1273,0)),"")</f>
        <v/>
      </c>
      <c r="BN154" s="312">
        <f>IFERROR(INDEX(Data!DK$9:DK$1273,MATCH($M154,Data!$K$9:$K$1273,0)),"")</f>
        <v/>
      </c>
      <c r="BO154" s="312">
        <f>IFERROR(INDEX(Data!DL$9:DL$1273,MATCH($M154,Data!$K$9:$K$1273,0)),"")</f>
        <v/>
      </c>
      <c r="BP154" s="331">
        <f>IFERROR(IF(BK154=0,"-",BK154),"")</f>
        <v/>
      </c>
      <c r="BQ154" s="312">
        <f>IFERROR(IF(BP154-K154&gt;0,TRUE,FALSE)," ")</f>
        <v/>
      </c>
      <c r="BR154" s="312">
        <f>_xlfn.CONCAT(E154,F154,H154,G154)</f>
        <v/>
      </c>
      <c r="BS154" s="312">
        <f>IFERROR(INDEX(Data!$DO$9:$DO$1273,MATCH('Your recommendation'!BR154,Data!$DN$9:$DN$1273,0)),"")</f>
        <v/>
      </c>
    </row>
    <row r="155" ht="15.6" customFormat="1" customHeight="1" s="138">
      <c r="B155" s="309">
        <f>IF(C155&gt;0,B154+1,"")</f>
        <v/>
      </c>
      <c r="C155" s="310" t="n"/>
      <c r="D155" s="312">
        <f>IFERROR(INDEX(Data!BR$9:BR$1273,MATCH($M155,Data!$K$9:$K$1273,0)),"")</f>
        <v/>
      </c>
      <c r="E155" s="312">
        <f>IFERROR(INDEX(Data!BS$9:BS$1273,MATCH($M155,Data!$K$9:$K$1273,0)),"")</f>
        <v/>
      </c>
      <c r="F155" s="312">
        <f>IFERROR(INDEX(Data!DM$9:DM$1273,MATCH($M155,Data!$K$9:$K$1273,0)),"")</f>
        <v/>
      </c>
      <c r="G155" s="312">
        <f>IFERROR(INDEX(Data!BV$9:BV$1273,MATCH($M155,Data!$K$9:$K$1273,0)),"")</f>
        <v/>
      </c>
      <c r="H155" s="312">
        <f>IFERROR(INDEX(Data!BW$9:BW$1273,MATCH($M155,Data!$K$9:$K$1273,0)),"")</f>
        <v/>
      </c>
      <c r="I155" s="312">
        <f>IFERROR(INDEX(Data!BX$9:BX$1273,MATCH($M155,Data!$K$9:$K$1273,0)),"")</f>
        <v/>
      </c>
      <c r="J155" s="312">
        <f>IFERROR(INDEX(Data!CB$9:CB$1273,MATCH($M155,Data!$K$9:$K$1273,0)),"")</f>
        <v/>
      </c>
      <c r="K155" s="329">
        <f>IFERROR(HYPERLINK(BM155,BC155),"-")</f>
        <v/>
      </c>
      <c r="L155" s="330">
        <f>IFERROR(IF(BB155=0,"-",BB155)," ")</f>
        <v/>
      </c>
      <c r="M155" s="311" t="n"/>
      <c r="N155" s="311" t="n"/>
      <c r="O155" s="311">
        <f>IFERROR(INDEX(Data!M$9:M$1273,MATCH($M155,Data!$K$9:$K$1273,0)),"")</f>
        <v/>
      </c>
      <c r="P155" s="311">
        <f>IFERROR(INDEX(Data!N$9:N$1273,MATCH($M155,Data!$K$9:$K$1273,0)),"")</f>
        <v/>
      </c>
      <c r="Q155" s="311">
        <f>IFERROR(INDEX(Data!O$9:O$1273,MATCH($M155,Data!$K$9:$K$1273,0)),"")</f>
        <v/>
      </c>
      <c r="R155" s="311">
        <f>IFERROR(INDEX(Data!P$9:P$1273,MATCH($M155,Data!$K$9:$K$1273,0)),"")</f>
        <v/>
      </c>
      <c r="S155" s="311">
        <f>IFERROR(INDEX(Data!S$9:S$1273,MATCH($M155,Data!$K$9:$K$1273,0)),"")</f>
        <v/>
      </c>
      <c r="T155" s="311">
        <f>IFERROR(INDEX(Data!T$9:T$1273,MATCH($M155,Data!$K$9:$K$1273,0)),"")</f>
        <v/>
      </c>
      <c r="U155" s="311">
        <f>IFERROR(INDEX(Data!U$9:U$1273,MATCH($M155,Data!$K$9:$K$1273,0)),"")</f>
        <v/>
      </c>
      <c r="V155" s="311">
        <f>IFERROR(INDEX(Data!V$9:V$1273,MATCH($M155,Data!$K$9:$K$1273,0)),"")</f>
        <v/>
      </c>
      <c r="W155" s="311">
        <f>IFERROR(INDEX(Data!W$9:W$1273,MATCH($M155,Data!$K$9:$K$1273,0)),"")</f>
        <v/>
      </c>
      <c r="X155" s="311">
        <f>IFERROR(INDEX(Data!AJ$9:AJ$1273,MATCH($M155,Data!$K$9:$K$1273,0)),"")</f>
        <v/>
      </c>
      <c r="Y155" s="311">
        <f>IFERROR(INDEX(Data!AK$9:AK$1273,MATCH($M155,Data!$K$9:$K$1273,0)),"")</f>
        <v/>
      </c>
      <c r="Z155" s="311">
        <f>IFERROR(INDEX(Data!AL$9:AL$1273,MATCH($M155,Data!$K$9:$K$1273,0)),"")</f>
        <v/>
      </c>
      <c r="AA155" s="311">
        <f>IFERROR(INDEX(Data!AM$9:AM$1273,MATCH($M155,Data!$K$9:$K$1273,0)),"")</f>
        <v/>
      </c>
      <c r="AB155" s="311">
        <f>IFERROR(INDEX(Data!AN$9:AN$1273,MATCH($M155,Data!$K$9:$K$1273,0)),"")</f>
        <v/>
      </c>
      <c r="AC155" s="312">
        <f>IFERROR(INDEX(Data!BY$9:BY$1273,MATCH($M155,Data!$K$9:$K$1273,0)),"")</f>
        <v/>
      </c>
      <c r="AD155" s="312">
        <f>IFERROR(INDEX(Data!BZ$9:BZ$1273,MATCH($M155,Data!$K$9:$K$1273,0)),"")</f>
        <v/>
      </c>
      <c r="AE155" s="312">
        <f>IFERROR(INDEX(Data!CA$9:CA$1273,MATCH($M155,Data!$K$9:$K$1273,0)),"")</f>
        <v/>
      </c>
      <c r="AF155" s="312">
        <f>IFERROR(INDEX(Data!CB$9:CB$1273,MATCH($M155,Data!$K$9:$K$1273,0)),"")</f>
        <v/>
      </c>
      <c r="AG155" s="312">
        <f>IFERROR(INDEX(Data!CC$9:CC$1273,MATCH($M155,Data!$K$9:$K$1273,0)),"")</f>
        <v/>
      </c>
      <c r="AH155" s="312">
        <f>IFERROR(INDEX(Data!CD$9:CD$1273,MATCH($M155,Data!$K$9:$K$1273,0)),"")</f>
        <v/>
      </c>
      <c r="AI155" s="312">
        <f>IFERROR(INDEX(Data!CE$9:CE$1273,MATCH($M155,Data!$K$9:$K$1273,0)),"")</f>
        <v/>
      </c>
      <c r="AJ155" s="312">
        <f>IFERROR(INDEX(Data!CF$9:CF$1273,MATCH($M155,Data!$K$9:$K$1273,0)),"")</f>
        <v/>
      </c>
      <c r="AK155" s="312">
        <f>IFERROR(INDEX(Data!CG$9:CG$1273,MATCH($M155,Data!$K$9:$K$1273,0)),"")</f>
        <v/>
      </c>
      <c r="AL155" s="312">
        <f>IFERROR(INDEX(Data!CH$9:CH$1273,MATCH($M155,Data!$K$9:$K$1273,0)),"")</f>
        <v/>
      </c>
      <c r="AM155" s="312">
        <f>IFERROR(INDEX(Data!CI$9:CI$1273,MATCH($M155,Data!$K$9:$K$1273,0)),"")</f>
        <v/>
      </c>
      <c r="AN155" s="312">
        <f>IFERROR(INDEX(Data!CJ$9:CJ$1273,MATCH($M155,Data!$K$9:$K$1273,0)),"")</f>
        <v/>
      </c>
      <c r="AO155" s="312">
        <f>IFERROR(INDEX(Data!CK$9:CK$1273,MATCH($M155,Data!$K$9:$K$1273,0)),"")</f>
        <v/>
      </c>
      <c r="AP155" s="312">
        <f>IFERROR(INDEX(Data!CL$9:CL$1273,MATCH($M155,Data!$K$9:$K$1273,0)),"")</f>
        <v/>
      </c>
      <c r="AQ155" s="312">
        <f>IFERROR(INDEX(Data!CM$9:CM$1273,MATCH($M155,Data!$K$9:$K$1273,0)),"")</f>
        <v/>
      </c>
      <c r="AR155" s="312">
        <f>IFERROR(INDEX(Data!CN$9:CN$1273,MATCH($M155,Data!$K$9:$K$1273,0)),"")</f>
        <v/>
      </c>
      <c r="AS155" s="312">
        <f>IFERROR(INDEX(Data!CO$9:CO$1273,MATCH($M155,Data!$K$9:$K$1273,0)),"")</f>
        <v/>
      </c>
      <c r="AT155" s="312">
        <f>IFERROR(INDEX(Data!CP$9:CP$1273,MATCH($M155,Data!$K$9:$K$1273,0)),"")</f>
        <v/>
      </c>
      <c r="AU155" s="312">
        <f>IFERROR(INDEX(Data!CQ$9:CQ$1273,MATCH($M155,Data!$K$9:$K$1273,0)),"")</f>
        <v/>
      </c>
      <c r="AV155" s="312">
        <f>IFERROR(INDEX(Data!CR$9:CR$1273,MATCH($M155,Data!$K$9:$K$1273,0)),"")</f>
        <v/>
      </c>
      <c r="AW155" s="312">
        <f>IFERROR(INDEX(Data!CS$9:CS$1273,MATCH($M155,Data!$K$9:$K$1273,0)),"")</f>
        <v/>
      </c>
      <c r="AX155" s="312">
        <f>IFERROR(INDEX(Data!CT$9:CT$1273,MATCH($M155,Data!$K$9:$K$1273,0)),"")</f>
        <v/>
      </c>
      <c r="AY155" s="312">
        <f>IFERROR(INDEX(Data!CU$9:CU$1273,MATCH($M155,Data!$K$9:$K$1273,0)),"")</f>
        <v/>
      </c>
      <c r="AZ155" s="312">
        <f>IFERROR(INDEX(Data!CV$9:CV$1273,MATCH($M155,Data!$K$9:$K$1273,0)),"")</f>
        <v/>
      </c>
      <c r="BA155" s="312">
        <f>IFERROR(INDEX(Data!CX$9:CX$1273,MATCH($M155,Data!$K$9:$K$1273,0)),"")</f>
        <v/>
      </c>
      <c r="BB155" s="312">
        <f>IFERROR(INDEX(Data!CY$9:CY$1273,MATCH($M155,Data!$K$9:$K$1273,0)),"")</f>
        <v/>
      </c>
      <c r="BC155" s="312">
        <f>IFERROR(INDEX(Data!CZ$9:CZ$1273,MATCH($M155,Data!$K$9:$K$1273,0)),"")</f>
        <v/>
      </c>
      <c r="BD155" s="312">
        <f>IFERROR(INDEX(Data!DA$9:DA$1273,MATCH($M155,Data!$K$9:$K$1273,0)),"")</f>
        <v/>
      </c>
      <c r="BE155" s="312">
        <f>IFERROR(INDEX(Data!DB$9:DB$1273,MATCH($M155,Data!$K$9:$K$1273,0)),"")</f>
        <v/>
      </c>
      <c r="BF155" s="312">
        <f>IFERROR(INDEX(Data!DC$9:DC$1273,MATCH($M155,Data!$K$9:$K$1273,0)),"")</f>
        <v/>
      </c>
      <c r="BG155" s="312">
        <f>IFERROR(INDEX(Data!DD$9:DD$1273,MATCH($M155,Data!$K$9:$K$1273,0)),"")</f>
        <v/>
      </c>
      <c r="BH155" s="312">
        <f>IFERROR(INDEX(Data!DE$9:DE$1273,MATCH($M155,Data!$K$9:$K$1273,0)),"")</f>
        <v/>
      </c>
      <c r="BI155" s="312">
        <f>IFERROR(INDEX(Data!DF$9:DF$1273,MATCH($M155,Data!$K$9:$K$1273,0)),"")</f>
        <v/>
      </c>
      <c r="BJ155" s="312">
        <f>IFERROR(INDEX(Data!DG$9:DG$1273,MATCH($M155,Data!$K$9:$K$1273,0)),"")</f>
        <v/>
      </c>
      <c r="BK155" s="312">
        <f>IFERROR(INDEX(Data!DH$9:DH$1273,MATCH($M155,Data!$K$9:$K$1273,0)),"")</f>
        <v/>
      </c>
      <c r="BL155" s="312">
        <f>IFERROR(INDEX(Data!DI$9:DI$1273,MATCH($M155,Data!$K$9:$K$1273,0)),"")</f>
        <v/>
      </c>
      <c r="BM155" s="312">
        <f>IFERROR(INDEX(Data!DJ$9:DJ$1273,MATCH($M155,Data!$K$9:$K$1273,0)),"")</f>
        <v/>
      </c>
      <c r="BN155" s="312">
        <f>IFERROR(INDEX(Data!DK$9:DK$1273,MATCH($M155,Data!$K$9:$K$1273,0)),"")</f>
        <v/>
      </c>
      <c r="BO155" s="312">
        <f>IFERROR(INDEX(Data!DL$9:DL$1273,MATCH($M155,Data!$K$9:$K$1273,0)),"")</f>
        <v/>
      </c>
      <c r="BP155" s="331">
        <f>IFERROR(IF(BK155=0,"-",BK155),"")</f>
        <v/>
      </c>
      <c r="BQ155" s="312">
        <f>IFERROR(IF(BP155-K155&gt;0,TRUE,FALSE)," ")</f>
        <v/>
      </c>
      <c r="BR155" s="312">
        <f>_xlfn.CONCAT(E155,F155,H155,G155)</f>
        <v/>
      </c>
      <c r="BS155" s="312">
        <f>IFERROR(INDEX(Data!$DO$9:$DO$1273,MATCH('Your recommendation'!BR155,Data!$DN$9:$DN$1273,0)),"")</f>
        <v/>
      </c>
    </row>
    <row r="156" ht="15.6" customFormat="1" customHeight="1" s="138">
      <c r="B156" s="309">
        <f>IF(C156&gt;0,B155+1,"")</f>
        <v/>
      </c>
      <c r="C156" s="310" t="n"/>
      <c r="D156" s="312">
        <f>IFERROR(INDEX(Data!BR$9:BR$1273,MATCH($M156,Data!$K$9:$K$1273,0)),"")</f>
        <v/>
      </c>
      <c r="E156" s="312">
        <f>IFERROR(INDEX(Data!BS$9:BS$1273,MATCH($M156,Data!$K$9:$K$1273,0)),"")</f>
        <v/>
      </c>
      <c r="F156" s="312">
        <f>IFERROR(INDEX(Data!DM$9:DM$1273,MATCH($M156,Data!$K$9:$K$1273,0)),"")</f>
        <v/>
      </c>
      <c r="G156" s="312">
        <f>IFERROR(INDEX(Data!BV$9:BV$1273,MATCH($M156,Data!$K$9:$K$1273,0)),"")</f>
        <v/>
      </c>
      <c r="H156" s="312">
        <f>IFERROR(INDEX(Data!BW$9:BW$1273,MATCH($M156,Data!$K$9:$K$1273,0)),"")</f>
        <v/>
      </c>
      <c r="I156" s="312">
        <f>IFERROR(INDEX(Data!BX$9:BX$1273,MATCH($M156,Data!$K$9:$K$1273,0)),"")</f>
        <v/>
      </c>
      <c r="J156" s="312">
        <f>IFERROR(INDEX(Data!CB$9:CB$1273,MATCH($M156,Data!$K$9:$K$1273,0)),"")</f>
        <v/>
      </c>
      <c r="K156" s="329">
        <f>IFERROR(HYPERLINK(BM156,BC156),"-")</f>
        <v/>
      </c>
      <c r="L156" s="330">
        <f>IFERROR(IF(BB156=0,"-",BB156)," ")</f>
        <v/>
      </c>
      <c r="M156" s="311" t="n"/>
      <c r="N156" s="311" t="n"/>
      <c r="O156" s="311">
        <f>IFERROR(INDEX(Data!M$9:M$1273,MATCH($M156,Data!$K$9:$K$1273,0)),"")</f>
        <v/>
      </c>
      <c r="P156" s="311">
        <f>IFERROR(INDEX(Data!N$9:N$1273,MATCH($M156,Data!$K$9:$K$1273,0)),"")</f>
        <v/>
      </c>
      <c r="Q156" s="311">
        <f>IFERROR(INDEX(Data!O$9:O$1273,MATCH($M156,Data!$K$9:$K$1273,0)),"")</f>
        <v/>
      </c>
      <c r="R156" s="311">
        <f>IFERROR(INDEX(Data!P$9:P$1273,MATCH($M156,Data!$K$9:$K$1273,0)),"")</f>
        <v/>
      </c>
      <c r="S156" s="311">
        <f>IFERROR(INDEX(Data!S$9:S$1273,MATCH($M156,Data!$K$9:$K$1273,0)),"")</f>
        <v/>
      </c>
      <c r="T156" s="311">
        <f>IFERROR(INDEX(Data!T$9:T$1273,MATCH($M156,Data!$K$9:$K$1273,0)),"")</f>
        <v/>
      </c>
      <c r="U156" s="311">
        <f>IFERROR(INDEX(Data!U$9:U$1273,MATCH($M156,Data!$K$9:$K$1273,0)),"")</f>
        <v/>
      </c>
      <c r="V156" s="311">
        <f>IFERROR(INDEX(Data!V$9:V$1273,MATCH($M156,Data!$K$9:$K$1273,0)),"")</f>
        <v/>
      </c>
      <c r="W156" s="311">
        <f>IFERROR(INDEX(Data!W$9:W$1273,MATCH($M156,Data!$K$9:$K$1273,0)),"")</f>
        <v/>
      </c>
      <c r="X156" s="311">
        <f>IFERROR(INDEX(Data!AJ$9:AJ$1273,MATCH($M156,Data!$K$9:$K$1273,0)),"")</f>
        <v/>
      </c>
      <c r="Y156" s="311">
        <f>IFERROR(INDEX(Data!AK$9:AK$1273,MATCH($M156,Data!$K$9:$K$1273,0)),"")</f>
        <v/>
      </c>
      <c r="Z156" s="311">
        <f>IFERROR(INDEX(Data!AL$9:AL$1273,MATCH($M156,Data!$K$9:$K$1273,0)),"")</f>
        <v/>
      </c>
      <c r="AA156" s="311">
        <f>IFERROR(INDEX(Data!AM$9:AM$1273,MATCH($M156,Data!$K$9:$K$1273,0)),"")</f>
        <v/>
      </c>
      <c r="AB156" s="311">
        <f>IFERROR(INDEX(Data!AN$9:AN$1273,MATCH($M156,Data!$K$9:$K$1273,0)),"")</f>
        <v/>
      </c>
      <c r="AC156" s="312">
        <f>IFERROR(INDEX(Data!BY$9:BY$1273,MATCH($M156,Data!$K$9:$K$1273,0)),"")</f>
        <v/>
      </c>
      <c r="AD156" s="312">
        <f>IFERROR(INDEX(Data!BZ$9:BZ$1273,MATCH($M156,Data!$K$9:$K$1273,0)),"")</f>
        <v/>
      </c>
      <c r="AE156" s="312">
        <f>IFERROR(INDEX(Data!CA$9:CA$1273,MATCH($M156,Data!$K$9:$K$1273,0)),"")</f>
        <v/>
      </c>
      <c r="AF156" s="312">
        <f>IFERROR(INDEX(Data!CB$9:CB$1273,MATCH($M156,Data!$K$9:$K$1273,0)),"")</f>
        <v/>
      </c>
      <c r="AG156" s="312">
        <f>IFERROR(INDEX(Data!CC$9:CC$1273,MATCH($M156,Data!$K$9:$K$1273,0)),"")</f>
        <v/>
      </c>
      <c r="AH156" s="312">
        <f>IFERROR(INDEX(Data!CD$9:CD$1273,MATCH($M156,Data!$K$9:$K$1273,0)),"")</f>
        <v/>
      </c>
      <c r="AI156" s="312">
        <f>IFERROR(INDEX(Data!CE$9:CE$1273,MATCH($M156,Data!$K$9:$K$1273,0)),"")</f>
        <v/>
      </c>
      <c r="AJ156" s="312">
        <f>IFERROR(INDEX(Data!CF$9:CF$1273,MATCH($M156,Data!$K$9:$K$1273,0)),"")</f>
        <v/>
      </c>
      <c r="AK156" s="312">
        <f>IFERROR(INDEX(Data!CG$9:CG$1273,MATCH($M156,Data!$K$9:$K$1273,0)),"")</f>
        <v/>
      </c>
      <c r="AL156" s="312">
        <f>IFERROR(INDEX(Data!CH$9:CH$1273,MATCH($M156,Data!$K$9:$K$1273,0)),"")</f>
        <v/>
      </c>
      <c r="AM156" s="312">
        <f>IFERROR(INDEX(Data!CI$9:CI$1273,MATCH($M156,Data!$K$9:$K$1273,0)),"")</f>
        <v/>
      </c>
      <c r="AN156" s="312">
        <f>IFERROR(INDEX(Data!CJ$9:CJ$1273,MATCH($M156,Data!$K$9:$K$1273,0)),"")</f>
        <v/>
      </c>
      <c r="AO156" s="312">
        <f>IFERROR(INDEX(Data!CK$9:CK$1273,MATCH($M156,Data!$K$9:$K$1273,0)),"")</f>
        <v/>
      </c>
      <c r="AP156" s="312">
        <f>IFERROR(INDEX(Data!CL$9:CL$1273,MATCH($M156,Data!$K$9:$K$1273,0)),"")</f>
        <v/>
      </c>
      <c r="AQ156" s="312">
        <f>IFERROR(INDEX(Data!CM$9:CM$1273,MATCH($M156,Data!$K$9:$K$1273,0)),"")</f>
        <v/>
      </c>
      <c r="AR156" s="312">
        <f>IFERROR(INDEX(Data!CN$9:CN$1273,MATCH($M156,Data!$K$9:$K$1273,0)),"")</f>
        <v/>
      </c>
      <c r="AS156" s="312">
        <f>IFERROR(INDEX(Data!CO$9:CO$1273,MATCH($M156,Data!$K$9:$K$1273,0)),"")</f>
        <v/>
      </c>
      <c r="AT156" s="312">
        <f>IFERROR(INDEX(Data!CP$9:CP$1273,MATCH($M156,Data!$K$9:$K$1273,0)),"")</f>
        <v/>
      </c>
      <c r="AU156" s="312">
        <f>IFERROR(INDEX(Data!CQ$9:CQ$1273,MATCH($M156,Data!$K$9:$K$1273,0)),"")</f>
        <v/>
      </c>
      <c r="AV156" s="312">
        <f>IFERROR(INDEX(Data!CR$9:CR$1273,MATCH($M156,Data!$K$9:$K$1273,0)),"")</f>
        <v/>
      </c>
      <c r="AW156" s="312">
        <f>IFERROR(INDEX(Data!CS$9:CS$1273,MATCH($M156,Data!$K$9:$K$1273,0)),"")</f>
        <v/>
      </c>
      <c r="AX156" s="312">
        <f>IFERROR(INDEX(Data!CT$9:CT$1273,MATCH($M156,Data!$K$9:$K$1273,0)),"")</f>
        <v/>
      </c>
      <c r="AY156" s="312">
        <f>IFERROR(INDEX(Data!CU$9:CU$1273,MATCH($M156,Data!$K$9:$K$1273,0)),"")</f>
        <v/>
      </c>
      <c r="AZ156" s="312">
        <f>IFERROR(INDEX(Data!CV$9:CV$1273,MATCH($M156,Data!$K$9:$K$1273,0)),"")</f>
        <v/>
      </c>
      <c r="BA156" s="312">
        <f>IFERROR(INDEX(Data!CX$9:CX$1273,MATCH($M156,Data!$K$9:$K$1273,0)),"")</f>
        <v/>
      </c>
      <c r="BB156" s="312">
        <f>IFERROR(INDEX(Data!CY$9:CY$1273,MATCH($M156,Data!$K$9:$K$1273,0)),"")</f>
        <v/>
      </c>
      <c r="BC156" s="312">
        <f>IFERROR(INDEX(Data!CZ$9:CZ$1273,MATCH($M156,Data!$K$9:$K$1273,0)),"")</f>
        <v/>
      </c>
      <c r="BD156" s="312">
        <f>IFERROR(INDEX(Data!DA$9:DA$1273,MATCH($M156,Data!$K$9:$K$1273,0)),"")</f>
        <v/>
      </c>
      <c r="BE156" s="312">
        <f>IFERROR(INDEX(Data!DB$9:DB$1273,MATCH($M156,Data!$K$9:$K$1273,0)),"")</f>
        <v/>
      </c>
      <c r="BF156" s="312">
        <f>IFERROR(INDEX(Data!DC$9:DC$1273,MATCH($M156,Data!$K$9:$K$1273,0)),"")</f>
        <v/>
      </c>
      <c r="BG156" s="312">
        <f>IFERROR(INDEX(Data!DD$9:DD$1273,MATCH($M156,Data!$K$9:$K$1273,0)),"")</f>
        <v/>
      </c>
      <c r="BH156" s="312">
        <f>IFERROR(INDEX(Data!DE$9:DE$1273,MATCH($M156,Data!$K$9:$K$1273,0)),"")</f>
        <v/>
      </c>
      <c r="BI156" s="312">
        <f>IFERROR(INDEX(Data!DF$9:DF$1273,MATCH($M156,Data!$K$9:$K$1273,0)),"")</f>
        <v/>
      </c>
      <c r="BJ156" s="312">
        <f>IFERROR(INDEX(Data!DG$9:DG$1273,MATCH($M156,Data!$K$9:$K$1273,0)),"")</f>
        <v/>
      </c>
      <c r="BK156" s="312">
        <f>IFERROR(INDEX(Data!DH$9:DH$1273,MATCH($M156,Data!$K$9:$K$1273,0)),"")</f>
        <v/>
      </c>
      <c r="BL156" s="312">
        <f>IFERROR(INDEX(Data!DI$9:DI$1273,MATCH($M156,Data!$K$9:$K$1273,0)),"")</f>
        <v/>
      </c>
      <c r="BM156" s="312">
        <f>IFERROR(INDEX(Data!DJ$9:DJ$1273,MATCH($M156,Data!$K$9:$K$1273,0)),"")</f>
        <v/>
      </c>
      <c r="BN156" s="312">
        <f>IFERROR(INDEX(Data!DK$9:DK$1273,MATCH($M156,Data!$K$9:$K$1273,0)),"")</f>
        <v/>
      </c>
      <c r="BO156" s="312">
        <f>IFERROR(INDEX(Data!DL$9:DL$1273,MATCH($M156,Data!$K$9:$K$1273,0)),"")</f>
        <v/>
      </c>
      <c r="BP156" s="331">
        <f>IFERROR(IF(BK156=0,"-",BK156),"")</f>
        <v/>
      </c>
      <c r="BQ156" s="312">
        <f>IFERROR(IF(BP156-K156&gt;0,TRUE,FALSE)," ")</f>
        <v/>
      </c>
      <c r="BR156" s="312">
        <f>_xlfn.CONCAT(E156,F156,H156,G156)</f>
        <v/>
      </c>
      <c r="BS156" s="312">
        <f>IFERROR(INDEX(Data!$DO$9:$DO$1273,MATCH('Your recommendation'!BR156,Data!$DN$9:$DN$1273,0)),"")</f>
        <v/>
      </c>
    </row>
    <row r="157" ht="15.6" customFormat="1" customHeight="1" s="138">
      <c r="B157" s="309">
        <f>IF(C157&gt;0,B156+1,"")</f>
        <v/>
      </c>
      <c r="C157" s="310" t="n"/>
      <c r="D157" s="312">
        <f>IFERROR(INDEX(Data!BR$9:BR$1273,MATCH($M157,Data!$K$9:$K$1273,0)),"")</f>
        <v/>
      </c>
      <c r="E157" s="312">
        <f>IFERROR(INDEX(Data!BS$9:BS$1273,MATCH($M157,Data!$K$9:$K$1273,0)),"")</f>
        <v/>
      </c>
      <c r="F157" s="312">
        <f>IFERROR(INDEX(Data!DM$9:DM$1273,MATCH($M157,Data!$K$9:$K$1273,0)),"")</f>
        <v/>
      </c>
      <c r="G157" s="312">
        <f>IFERROR(INDEX(Data!BV$9:BV$1273,MATCH($M157,Data!$K$9:$K$1273,0)),"")</f>
        <v/>
      </c>
      <c r="H157" s="312">
        <f>IFERROR(INDEX(Data!BW$9:BW$1273,MATCH($M157,Data!$K$9:$K$1273,0)),"")</f>
        <v/>
      </c>
      <c r="I157" s="312">
        <f>IFERROR(INDEX(Data!BX$9:BX$1273,MATCH($M157,Data!$K$9:$K$1273,0)),"")</f>
        <v/>
      </c>
      <c r="J157" s="312">
        <f>IFERROR(INDEX(Data!CB$9:CB$1273,MATCH($M157,Data!$K$9:$K$1273,0)),"")</f>
        <v/>
      </c>
      <c r="K157" s="329">
        <f>IFERROR(HYPERLINK(BM157,BC157),"-")</f>
        <v/>
      </c>
      <c r="L157" s="330">
        <f>IFERROR(IF(BB157=0,"-",BB157)," ")</f>
        <v/>
      </c>
      <c r="M157" s="311" t="n"/>
      <c r="N157" s="311" t="n"/>
      <c r="O157" s="311">
        <f>IFERROR(INDEX(Data!M$9:M$1273,MATCH($M157,Data!$K$9:$K$1273,0)),"")</f>
        <v/>
      </c>
      <c r="P157" s="311">
        <f>IFERROR(INDEX(Data!N$9:N$1273,MATCH($M157,Data!$K$9:$K$1273,0)),"")</f>
        <v/>
      </c>
      <c r="Q157" s="311">
        <f>IFERROR(INDEX(Data!O$9:O$1273,MATCH($M157,Data!$K$9:$K$1273,0)),"")</f>
        <v/>
      </c>
      <c r="R157" s="311">
        <f>IFERROR(INDEX(Data!P$9:P$1273,MATCH($M157,Data!$K$9:$K$1273,0)),"")</f>
        <v/>
      </c>
      <c r="S157" s="311">
        <f>IFERROR(INDEX(Data!S$9:S$1273,MATCH($M157,Data!$K$9:$K$1273,0)),"")</f>
        <v/>
      </c>
      <c r="T157" s="311">
        <f>IFERROR(INDEX(Data!T$9:T$1273,MATCH($M157,Data!$K$9:$K$1273,0)),"")</f>
        <v/>
      </c>
      <c r="U157" s="311">
        <f>IFERROR(INDEX(Data!U$9:U$1273,MATCH($M157,Data!$K$9:$K$1273,0)),"")</f>
        <v/>
      </c>
      <c r="V157" s="311">
        <f>IFERROR(INDEX(Data!V$9:V$1273,MATCH($M157,Data!$K$9:$K$1273,0)),"")</f>
        <v/>
      </c>
      <c r="W157" s="311">
        <f>IFERROR(INDEX(Data!W$9:W$1273,MATCH($M157,Data!$K$9:$K$1273,0)),"")</f>
        <v/>
      </c>
      <c r="X157" s="311">
        <f>IFERROR(INDEX(Data!AJ$9:AJ$1273,MATCH($M157,Data!$K$9:$K$1273,0)),"")</f>
        <v/>
      </c>
      <c r="Y157" s="311">
        <f>IFERROR(INDEX(Data!AK$9:AK$1273,MATCH($M157,Data!$K$9:$K$1273,0)),"")</f>
        <v/>
      </c>
      <c r="Z157" s="311">
        <f>IFERROR(INDEX(Data!AL$9:AL$1273,MATCH($M157,Data!$K$9:$K$1273,0)),"")</f>
        <v/>
      </c>
      <c r="AA157" s="311">
        <f>IFERROR(INDEX(Data!AM$9:AM$1273,MATCH($M157,Data!$K$9:$K$1273,0)),"")</f>
        <v/>
      </c>
      <c r="AB157" s="311">
        <f>IFERROR(INDEX(Data!AN$9:AN$1273,MATCH($M157,Data!$K$9:$K$1273,0)),"")</f>
        <v/>
      </c>
      <c r="AC157" s="312">
        <f>IFERROR(INDEX(Data!BY$9:BY$1273,MATCH($M157,Data!$K$9:$K$1273,0)),"")</f>
        <v/>
      </c>
      <c r="AD157" s="312">
        <f>IFERROR(INDEX(Data!BZ$9:BZ$1273,MATCH($M157,Data!$K$9:$K$1273,0)),"")</f>
        <v/>
      </c>
      <c r="AE157" s="312">
        <f>IFERROR(INDEX(Data!CA$9:CA$1273,MATCH($M157,Data!$K$9:$K$1273,0)),"")</f>
        <v/>
      </c>
      <c r="AF157" s="312">
        <f>IFERROR(INDEX(Data!CB$9:CB$1273,MATCH($M157,Data!$K$9:$K$1273,0)),"")</f>
        <v/>
      </c>
      <c r="AG157" s="312">
        <f>IFERROR(INDEX(Data!CC$9:CC$1273,MATCH($M157,Data!$K$9:$K$1273,0)),"")</f>
        <v/>
      </c>
      <c r="AH157" s="312">
        <f>IFERROR(INDEX(Data!CD$9:CD$1273,MATCH($M157,Data!$K$9:$K$1273,0)),"")</f>
        <v/>
      </c>
      <c r="AI157" s="312">
        <f>IFERROR(INDEX(Data!CE$9:CE$1273,MATCH($M157,Data!$K$9:$K$1273,0)),"")</f>
        <v/>
      </c>
      <c r="AJ157" s="312">
        <f>IFERROR(INDEX(Data!CF$9:CF$1273,MATCH($M157,Data!$K$9:$K$1273,0)),"")</f>
        <v/>
      </c>
      <c r="AK157" s="312">
        <f>IFERROR(INDEX(Data!CG$9:CG$1273,MATCH($M157,Data!$K$9:$K$1273,0)),"")</f>
        <v/>
      </c>
      <c r="AL157" s="312">
        <f>IFERROR(INDEX(Data!CH$9:CH$1273,MATCH($M157,Data!$K$9:$K$1273,0)),"")</f>
        <v/>
      </c>
      <c r="AM157" s="312">
        <f>IFERROR(INDEX(Data!CI$9:CI$1273,MATCH($M157,Data!$K$9:$K$1273,0)),"")</f>
        <v/>
      </c>
      <c r="AN157" s="312">
        <f>IFERROR(INDEX(Data!CJ$9:CJ$1273,MATCH($M157,Data!$K$9:$K$1273,0)),"")</f>
        <v/>
      </c>
      <c r="AO157" s="312">
        <f>IFERROR(INDEX(Data!CK$9:CK$1273,MATCH($M157,Data!$K$9:$K$1273,0)),"")</f>
        <v/>
      </c>
      <c r="AP157" s="312">
        <f>IFERROR(INDEX(Data!CL$9:CL$1273,MATCH($M157,Data!$K$9:$K$1273,0)),"")</f>
        <v/>
      </c>
      <c r="AQ157" s="312">
        <f>IFERROR(INDEX(Data!CM$9:CM$1273,MATCH($M157,Data!$K$9:$K$1273,0)),"")</f>
        <v/>
      </c>
      <c r="AR157" s="312">
        <f>IFERROR(INDEX(Data!CN$9:CN$1273,MATCH($M157,Data!$K$9:$K$1273,0)),"")</f>
        <v/>
      </c>
      <c r="AS157" s="312">
        <f>IFERROR(INDEX(Data!CO$9:CO$1273,MATCH($M157,Data!$K$9:$K$1273,0)),"")</f>
        <v/>
      </c>
      <c r="AT157" s="312">
        <f>IFERROR(INDEX(Data!CP$9:CP$1273,MATCH($M157,Data!$K$9:$K$1273,0)),"")</f>
        <v/>
      </c>
      <c r="AU157" s="312">
        <f>IFERROR(INDEX(Data!CQ$9:CQ$1273,MATCH($M157,Data!$K$9:$K$1273,0)),"")</f>
        <v/>
      </c>
      <c r="AV157" s="312">
        <f>IFERROR(INDEX(Data!CR$9:CR$1273,MATCH($M157,Data!$K$9:$K$1273,0)),"")</f>
        <v/>
      </c>
      <c r="AW157" s="312">
        <f>IFERROR(INDEX(Data!CS$9:CS$1273,MATCH($M157,Data!$K$9:$K$1273,0)),"")</f>
        <v/>
      </c>
      <c r="AX157" s="312">
        <f>IFERROR(INDEX(Data!CT$9:CT$1273,MATCH($M157,Data!$K$9:$K$1273,0)),"")</f>
        <v/>
      </c>
      <c r="AY157" s="312">
        <f>IFERROR(INDEX(Data!CU$9:CU$1273,MATCH($M157,Data!$K$9:$K$1273,0)),"")</f>
        <v/>
      </c>
      <c r="AZ157" s="312">
        <f>IFERROR(INDEX(Data!CV$9:CV$1273,MATCH($M157,Data!$K$9:$K$1273,0)),"")</f>
        <v/>
      </c>
      <c r="BA157" s="312">
        <f>IFERROR(INDEX(Data!CX$9:CX$1273,MATCH($M157,Data!$K$9:$K$1273,0)),"")</f>
        <v/>
      </c>
      <c r="BB157" s="312">
        <f>IFERROR(INDEX(Data!CY$9:CY$1273,MATCH($M157,Data!$K$9:$K$1273,0)),"")</f>
        <v/>
      </c>
      <c r="BC157" s="312">
        <f>IFERROR(INDEX(Data!CZ$9:CZ$1273,MATCH($M157,Data!$K$9:$K$1273,0)),"")</f>
        <v/>
      </c>
      <c r="BD157" s="312">
        <f>IFERROR(INDEX(Data!DA$9:DA$1273,MATCH($M157,Data!$K$9:$K$1273,0)),"")</f>
        <v/>
      </c>
      <c r="BE157" s="312">
        <f>IFERROR(INDEX(Data!DB$9:DB$1273,MATCH($M157,Data!$K$9:$K$1273,0)),"")</f>
        <v/>
      </c>
      <c r="BF157" s="312">
        <f>IFERROR(INDEX(Data!DC$9:DC$1273,MATCH($M157,Data!$K$9:$K$1273,0)),"")</f>
        <v/>
      </c>
      <c r="BG157" s="312">
        <f>IFERROR(INDEX(Data!DD$9:DD$1273,MATCH($M157,Data!$K$9:$K$1273,0)),"")</f>
        <v/>
      </c>
      <c r="BH157" s="312">
        <f>IFERROR(INDEX(Data!DE$9:DE$1273,MATCH($M157,Data!$K$9:$K$1273,0)),"")</f>
        <v/>
      </c>
      <c r="BI157" s="312">
        <f>IFERROR(INDEX(Data!DF$9:DF$1273,MATCH($M157,Data!$K$9:$K$1273,0)),"")</f>
        <v/>
      </c>
      <c r="BJ157" s="312">
        <f>IFERROR(INDEX(Data!DG$9:DG$1273,MATCH($M157,Data!$K$9:$K$1273,0)),"")</f>
        <v/>
      </c>
      <c r="BK157" s="312">
        <f>IFERROR(INDEX(Data!DH$9:DH$1273,MATCH($M157,Data!$K$9:$K$1273,0)),"")</f>
        <v/>
      </c>
      <c r="BL157" s="312">
        <f>IFERROR(INDEX(Data!DI$9:DI$1273,MATCH($M157,Data!$K$9:$K$1273,0)),"")</f>
        <v/>
      </c>
      <c r="BM157" s="312">
        <f>IFERROR(INDEX(Data!DJ$9:DJ$1273,MATCH($M157,Data!$K$9:$K$1273,0)),"")</f>
        <v/>
      </c>
      <c r="BN157" s="312">
        <f>IFERROR(INDEX(Data!DK$9:DK$1273,MATCH($M157,Data!$K$9:$K$1273,0)),"")</f>
        <v/>
      </c>
      <c r="BO157" s="312">
        <f>IFERROR(INDEX(Data!DL$9:DL$1273,MATCH($M157,Data!$K$9:$K$1273,0)),"")</f>
        <v/>
      </c>
      <c r="BP157" s="331">
        <f>IFERROR(IF(BK157=0,"-",BK157),"")</f>
        <v/>
      </c>
      <c r="BQ157" s="312">
        <f>IFERROR(IF(BP157-K157&gt;0,TRUE,FALSE)," ")</f>
        <v/>
      </c>
      <c r="BR157" s="312">
        <f>_xlfn.CONCAT(E157,F157,H157,G157)</f>
        <v/>
      </c>
      <c r="BS157" s="312">
        <f>IFERROR(INDEX(Data!$DO$9:$DO$1273,MATCH('Your recommendation'!BR157,Data!$DN$9:$DN$1273,0)),"")</f>
        <v/>
      </c>
    </row>
    <row r="158" ht="15.6" customFormat="1" customHeight="1" s="138">
      <c r="B158" s="309">
        <f>IF(C158&gt;0,B157+1,"")</f>
        <v/>
      </c>
      <c r="C158" s="310" t="n"/>
      <c r="D158" s="312">
        <f>IFERROR(INDEX(Data!BR$9:BR$1273,MATCH($M158,Data!$K$9:$K$1273,0)),"")</f>
        <v/>
      </c>
      <c r="E158" s="312">
        <f>IFERROR(INDEX(Data!BS$9:BS$1273,MATCH($M158,Data!$K$9:$K$1273,0)),"")</f>
        <v/>
      </c>
      <c r="F158" s="312">
        <f>IFERROR(INDEX(Data!DM$9:DM$1273,MATCH($M158,Data!$K$9:$K$1273,0)),"")</f>
        <v/>
      </c>
      <c r="G158" s="312">
        <f>IFERROR(INDEX(Data!BV$9:BV$1273,MATCH($M158,Data!$K$9:$K$1273,0)),"")</f>
        <v/>
      </c>
      <c r="H158" s="312">
        <f>IFERROR(INDEX(Data!BW$9:BW$1273,MATCH($M158,Data!$K$9:$K$1273,0)),"")</f>
        <v/>
      </c>
      <c r="I158" s="312">
        <f>IFERROR(INDEX(Data!BX$9:BX$1273,MATCH($M158,Data!$K$9:$K$1273,0)),"")</f>
        <v/>
      </c>
      <c r="J158" s="312">
        <f>IFERROR(INDEX(Data!CB$9:CB$1273,MATCH($M158,Data!$K$9:$K$1273,0)),"")</f>
        <v/>
      </c>
      <c r="K158" s="329">
        <f>IFERROR(HYPERLINK(BM158,BC158),"-")</f>
        <v/>
      </c>
      <c r="L158" s="330">
        <f>IFERROR(IF(BB158=0,"-",BB158)," ")</f>
        <v/>
      </c>
      <c r="M158" s="311" t="n"/>
      <c r="N158" s="311" t="n"/>
      <c r="O158" s="311">
        <f>IFERROR(INDEX(Data!M$9:M$1273,MATCH($M158,Data!$K$9:$K$1273,0)),"")</f>
        <v/>
      </c>
      <c r="P158" s="311">
        <f>IFERROR(INDEX(Data!N$9:N$1273,MATCH($M158,Data!$K$9:$K$1273,0)),"")</f>
        <v/>
      </c>
      <c r="Q158" s="311">
        <f>IFERROR(INDEX(Data!O$9:O$1273,MATCH($M158,Data!$K$9:$K$1273,0)),"")</f>
        <v/>
      </c>
      <c r="R158" s="311">
        <f>IFERROR(INDEX(Data!P$9:P$1273,MATCH($M158,Data!$K$9:$K$1273,0)),"")</f>
        <v/>
      </c>
      <c r="S158" s="311">
        <f>IFERROR(INDEX(Data!S$9:S$1273,MATCH($M158,Data!$K$9:$K$1273,0)),"")</f>
        <v/>
      </c>
      <c r="T158" s="311">
        <f>IFERROR(INDEX(Data!T$9:T$1273,MATCH($M158,Data!$K$9:$K$1273,0)),"")</f>
        <v/>
      </c>
      <c r="U158" s="311">
        <f>IFERROR(INDEX(Data!U$9:U$1273,MATCH($M158,Data!$K$9:$K$1273,0)),"")</f>
        <v/>
      </c>
      <c r="V158" s="311">
        <f>IFERROR(INDEX(Data!V$9:V$1273,MATCH($M158,Data!$K$9:$K$1273,0)),"")</f>
        <v/>
      </c>
      <c r="W158" s="311">
        <f>IFERROR(INDEX(Data!W$9:W$1273,MATCH($M158,Data!$K$9:$K$1273,0)),"")</f>
        <v/>
      </c>
      <c r="X158" s="311">
        <f>IFERROR(INDEX(Data!AJ$9:AJ$1273,MATCH($M158,Data!$K$9:$K$1273,0)),"")</f>
        <v/>
      </c>
      <c r="Y158" s="311">
        <f>IFERROR(INDEX(Data!AK$9:AK$1273,MATCH($M158,Data!$K$9:$K$1273,0)),"")</f>
        <v/>
      </c>
      <c r="Z158" s="311">
        <f>IFERROR(INDEX(Data!AL$9:AL$1273,MATCH($M158,Data!$K$9:$K$1273,0)),"")</f>
        <v/>
      </c>
      <c r="AA158" s="311">
        <f>IFERROR(INDEX(Data!AM$9:AM$1273,MATCH($M158,Data!$K$9:$K$1273,0)),"")</f>
        <v/>
      </c>
      <c r="AB158" s="311">
        <f>IFERROR(INDEX(Data!AN$9:AN$1273,MATCH($M158,Data!$K$9:$K$1273,0)),"")</f>
        <v/>
      </c>
      <c r="AC158" s="312">
        <f>IFERROR(INDEX(Data!BY$9:BY$1273,MATCH($M158,Data!$K$9:$K$1273,0)),"")</f>
        <v/>
      </c>
      <c r="AD158" s="312">
        <f>IFERROR(INDEX(Data!BZ$9:BZ$1273,MATCH($M158,Data!$K$9:$K$1273,0)),"")</f>
        <v/>
      </c>
      <c r="AE158" s="312">
        <f>IFERROR(INDEX(Data!CA$9:CA$1273,MATCH($M158,Data!$K$9:$K$1273,0)),"")</f>
        <v/>
      </c>
      <c r="AF158" s="312">
        <f>IFERROR(INDEX(Data!CB$9:CB$1273,MATCH($M158,Data!$K$9:$K$1273,0)),"")</f>
        <v/>
      </c>
      <c r="AG158" s="312">
        <f>IFERROR(INDEX(Data!CC$9:CC$1273,MATCH($M158,Data!$K$9:$K$1273,0)),"")</f>
        <v/>
      </c>
      <c r="AH158" s="312">
        <f>IFERROR(INDEX(Data!CD$9:CD$1273,MATCH($M158,Data!$K$9:$K$1273,0)),"")</f>
        <v/>
      </c>
      <c r="AI158" s="312">
        <f>IFERROR(INDEX(Data!CE$9:CE$1273,MATCH($M158,Data!$K$9:$K$1273,0)),"")</f>
        <v/>
      </c>
      <c r="AJ158" s="312">
        <f>IFERROR(INDEX(Data!CF$9:CF$1273,MATCH($M158,Data!$K$9:$K$1273,0)),"")</f>
        <v/>
      </c>
      <c r="AK158" s="312">
        <f>IFERROR(INDEX(Data!CG$9:CG$1273,MATCH($M158,Data!$K$9:$K$1273,0)),"")</f>
        <v/>
      </c>
      <c r="AL158" s="312">
        <f>IFERROR(INDEX(Data!CH$9:CH$1273,MATCH($M158,Data!$K$9:$K$1273,0)),"")</f>
        <v/>
      </c>
      <c r="AM158" s="312">
        <f>IFERROR(INDEX(Data!CI$9:CI$1273,MATCH($M158,Data!$K$9:$K$1273,0)),"")</f>
        <v/>
      </c>
      <c r="AN158" s="312">
        <f>IFERROR(INDEX(Data!CJ$9:CJ$1273,MATCH($M158,Data!$K$9:$K$1273,0)),"")</f>
        <v/>
      </c>
      <c r="AO158" s="312">
        <f>IFERROR(INDEX(Data!CK$9:CK$1273,MATCH($M158,Data!$K$9:$K$1273,0)),"")</f>
        <v/>
      </c>
      <c r="AP158" s="312">
        <f>IFERROR(INDEX(Data!CL$9:CL$1273,MATCH($M158,Data!$K$9:$K$1273,0)),"")</f>
        <v/>
      </c>
      <c r="AQ158" s="312">
        <f>IFERROR(INDEX(Data!CM$9:CM$1273,MATCH($M158,Data!$K$9:$K$1273,0)),"")</f>
        <v/>
      </c>
      <c r="AR158" s="312">
        <f>IFERROR(INDEX(Data!CN$9:CN$1273,MATCH($M158,Data!$K$9:$K$1273,0)),"")</f>
        <v/>
      </c>
      <c r="AS158" s="312">
        <f>IFERROR(INDEX(Data!CO$9:CO$1273,MATCH($M158,Data!$K$9:$K$1273,0)),"")</f>
        <v/>
      </c>
      <c r="AT158" s="312">
        <f>IFERROR(INDEX(Data!CP$9:CP$1273,MATCH($M158,Data!$K$9:$K$1273,0)),"")</f>
        <v/>
      </c>
      <c r="AU158" s="312">
        <f>IFERROR(INDEX(Data!CQ$9:CQ$1273,MATCH($M158,Data!$K$9:$K$1273,0)),"")</f>
        <v/>
      </c>
      <c r="AV158" s="312">
        <f>IFERROR(INDEX(Data!CR$9:CR$1273,MATCH($M158,Data!$K$9:$K$1273,0)),"")</f>
        <v/>
      </c>
      <c r="AW158" s="312">
        <f>IFERROR(INDEX(Data!CS$9:CS$1273,MATCH($M158,Data!$K$9:$K$1273,0)),"")</f>
        <v/>
      </c>
      <c r="AX158" s="312">
        <f>IFERROR(INDEX(Data!CT$9:CT$1273,MATCH($M158,Data!$K$9:$K$1273,0)),"")</f>
        <v/>
      </c>
      <c r="AY158" s="312">
        <f>IFERROR(INDEX(Data!CU$9:CU$1273,MATCH($M158,Data!$K$9:$K$1273,0)),"")</f>
        <v/>
      </c>
      <c r="AZ158" s="312">
        <f>IFERROR(INDEX(Data!CV$9:CV$1273,MATCH($M158,Data!$K$9:$K$1273,0)),"")</f>
        <v/>
      </c>
      <c r="BA158" s="312">
        <f>IFERROR(INDEX(Data!CX$9:CX$1273,MATCH($M158,Data!$K$9:$K$1273,0)),"")</f>
        <v/>
      </c>
      <c r="BB158" s="312">
        <f>IFERROR(INDEX(Data!CY$9:CY$1273,MATCH($M158,Data!$K$9:$K$1273,0)),"")</f>
        <v/>
      </c>
      <c r="BC158" s="312">
        <f>IFERROR(INDEX(Data!CZ$9:CZ$1273,MATCH($M158,Data!$K$9:$K$1273,0)),"")</f>
        <v/>
      </c>
      <c r="BD158" s="312">
        <f>IFERROR(INDEX(Data!DA$9:DA$1273,MATCH($M158,Data!$K$9:$K$1273,0)),"")</f>
        <v/>
      </c>
      <c r="BE158" s="312">
        <f>IFERROR(INDEX(Data!DB$9:DB$1273,MATCH($M158,Data!$K$9:$K$1273,0)),"")</f>
        <v/>
      </c>
      <c r="BF158" s="312">
        <f>IFERROR(INDEX(Data!DC$9:DC$1273,MATCH($M158,Data!$K$9:$K$1273,0)),"")</f>
        <v/>
      </c>
      <c r="BG158" s="312">
        <f>IFERROR(INDEX(Data!DD$9:DD$1273,MATCH($M158,Data!$K$9:$K$1273,0)),"")</f>
        <v/>
      </c>
      <c r="BH158" s="312">
        <f>IFERROR(INDEX(Data!DE$9:DE$1273,MATCH($M158,Data!$K$9:$K$1273,0)),"")</f>
        <v/>
      </c>
      <c r="BI158" s="312">
        <f>IFERROR(INDEX(Data!DF$9:DF$1273,MATCH($M158,Data!$K$9:$K$1273,0)),"")</f>
        <v/>
      </c>
      <c r="BJ158" s="312">
        <f>IFERROR(INDEX(Data!DG$9:DG$1273,MATCH($M158,Data!$K$9:$K$1273,0)),"")</f>
        <v/>
      </c>
      <c r="BK158" s="312">
        <f>IFERROR(INDEX(Data!DH$9:DH$1273,MATCH($M158,Data!$K$9:$K$1273,0)),"")</f>
        <v/>
      </c>
      <c r="BL158" s="312">
        <f>IFERROR(INDEX(Data!DI$9:DI$1273,MATCH($M158,Data!$K$9:$K$1273,0)),"")</f>
        <v/>
      </c>
      <c r="BM158" s="312">
        <f>IFERROR(INDEX(Data!DJ$9:DJ$1273,MATCH($M158,Data!$K$9:$K$1273,0)),"")</f>
        <v/>
      </c>
      <c r="BN158" s="312">
        <f>IFERROR(INDEX(Data!DK$9:DK$1273,MATCH($M158,Data!$K$9:$K$1273,0)),"")</f>
        <v/>
      </c>
      <c r="BO158" s="312">
        <f>IFERROR(INDEX(Data!DL$9:DL$1273,MATCH($M158,Data!$K$9:$K$1273,0)),"")</f>
        <v/>
      </c>
      <c r="BP158" s="331">
        <f>IFERROR(IF(BK158=0,"-",BK158),"")</f>
        <v/>
      </c>
      <c r="BQ158" s="312">
        <f>IFERROR(IF(BP158-K158&gt;0,TRUE,FALSE)," ")</f>
        <v/>
      </c>
      <c r="BR158" s="312">
        <f>_xlfn.CONCAT(E158,F158,H158,G158)</f>
        <v/>
      </c>
      <c r="BS158" s="312">
        <f>IFERROR(INDEX(Data!$DO$9:$DO$1273,MATCH('Your recommendation'!BR158,Data!$DN$9:$DN$1273,0)),"")</f>
        <v/>
      </c>
    </row>
    <row r="159" ht="15.6" customFormat="1" customHeight="1" s="138">
      <c r="B159" s="309">
        <f>IF(C159&gt;0,B158+1,"")</f>
        <v/>
      </c>
      <c r="C159" s="310" t="n"/>
      <c r="D159" s="312">
        <f>IFERROR(INDEX(Data!BR$9:BR$1273,MATCH($M159,Data!$K$9:$K$1273,0)),"")</f>
        <v/>
      </c>
      <c r="E159" s="312">
        <f>IFERROR(INDEX(Data!BS$9:BS$1273,MATCH($M159,Data!$K$9:$K$1273,0)),"")</f>
        <v/>
      </c>
      <c r="F159" s="312">
        <f>IFERROR(INDEX(Data!DM$9:DM$1273,MATCH($M159,Data!$K$9:$K$1273,0)),"")</f>
        <v/>
      </c>
      <c r="G159" s="312">
        <f>IFERROR(INDEX(Data!BV$9:BV$1273,MATCH($M159,Data!$K$9:$K$1273,0)),"")</f>
        <v/>
      </c>
      <c r="H159" s="312">
        <f>IFERROR(INDEX(Data!BW$9:BW$1273,MATCH($M159,Data!$K$9:$K$1273,0)),"")</f>
        <v/>
      </c>
      <c r="I159" s="312">
        <f>IFERROR(INDEX(Data!BX$9:BX$1273,MATCH($M159,Data!$K$9:$K$1273,0)),"")</f>
        <v/>
      </c>
      <c r="J159" s="312">
        <f>IFERROR(INDEX(Data!CB$9:CB$1273,MATCH($M159,Data!$K$9:$K$1273,0)),"")</f>
        <v/>
      </c>
      <c r="K159" s="329">
        <f>IFERROR(HYPERLINK(BM159,BC159),"-")</f>
        <v/>
      </c>
      <c r="L159" s="330">
        <f>IFERROR(IF(BB159=0,"-",BB159)," ")</f>
        <v/>
      </c>
      <c r="M159" s="311" t="n"/>
      <c r="N159" s="311" t="n"/>
      <c r="O159" s="311">
        <f>IFERROR(INDEX(Data!M$9:M$1273,MATCH($M159,Data!$K$9:$K$1273,0)),"")</f>
        <v/>
      </c>
      <c r="P159" s="311">
        <f>IFERROR(INDEX(Data!N$9:N$1273,MATCH($M159,Data!$K$9:$K$1273,0)),"")</f>
        <v/>
      </c>
      <c r="Q159" s="311">
        <f>IFERROR(INDEX(Data!O$9:O$1273,MATCH($M159,Data!$K$9:$K$1273,0)),"")</f>
        <v/>
      </c>
      <c r="R159" s="311">
        <f>IFERROR(INDEX(Data!P$9:P$1273,MATCH($M159,Data!$K$9:$K$1273,0)),"")</f>
        <v/>
      </c>
      <c r="S159" s="311">
        <f>IFERROR(INDEX(Data!S$9:S$1273,MATCH($M159,Data!$K$9:$K$1273,0)),"")</f>
        <v/>
      </c>
      <c r="T159" s="311">
        <f>IFERROR(INDEX(Data!T$9:T$1273,MATCH($M159,Data!$K$9:$K$1273,0)),"")</f>
        <v/>
      </c>
      <c r="U159" s="311">
        <f>IFERROR(INDEX(Data!U$9:U$1273,MATCH($M159,Data!$K$9:$K$1273,0)),"")</f>
        <v/>
      </c>
      <c r="V159" s="311">
        <f>IFERROR(INDEX(Data!V$9:V$1273,MATCH($M159,Data!$K$9:$K$1273,0)),"")</f>
        <v/>
      </c>
      <c r="W159" s="311">
        <f>IFERROR(INDEX(Data!W$9:W$1273,MATCH($M159,Data!$K$9:$K$1273,0)),"")</f>
        <v/>
      </c>
      <c r="X159" s="311">
        <f>IFERROR(INDEX(Data!AJ$9:AJ$1273,MATCH($M159,Data!$K$9:$K$1273,0)),"")</f>
        <v/>
      </c>
      <c r="Y159" s="311">
        <f>IFERROR(INDEX(Data!AK$9:AK$1273,MATCH($M159,Data!$K$9:$K$1273,0)),"")</f>
        <v/>
      </c>
      <c r="Z159" s="311">
        <f>IFERROR(INDEX(Data!AL$9:AL$1273,MATCH($M159,Data!$K$9:$K$1273,0)),"")</f>
        <v/>
      </c>
      <c r="AA159" s="311">
        <f>IFERROR(INDEX(Data!AM$9:AM$1273,MATCH($M159,Data!$K$9:$K$1273,0)),"")</f>
        <v/>
      </c>
      <c r="AB159" s="311">
        <f>IFERROR(INDEX(Data!AN$9:AN$1273,MATCH($M159,Data!$K$9:$K$1273,0)),"")</f>
        <v/>
      </c>
      <c r="AC159" s="312">
        <f>IFERROR(INDEX(Data!BY$9:BY$1273,MATCH($M159,Data!$K$9:$K$1273,0)),"")</f>
        <v/>
      </c>
      <c r="AD159" s="312">
        <f>IFERROR(INDEX(Data!BZ$9:BZ$1273,MATCH($M159,Data!$K$9:$K$1273,0)),"")</f>
        <v/>
      </c>
      <c r="AE159" s="312">
        <f>IFERROR(INDEX(Data!CA$9:CA$1273,MATCH($M159,Data!$K$9:$K$1273,0)),"")</f>
        <v/>
      </c>
      <c r="AF159" s="312">
        <f>IFERROR(INDEX(Data!CB$9:CB$1273,MATCH($M159,Data!$K$9:$K$1273,0)),"")</f>
        <v/>
      </c>
      <c r="AG159" s="312">
        <f>IFERROR(INDEX(Data!CC$9:CC$1273,MATCH($M159,Data!$K$9:$K$1273,0)),"")</f>
        <v/>
      </c>
      <c r="AH159" s="312">
        <f>IFERROR(INDEX(Data!CD$9:CD$1273,MATCH($M159,Data!$K$9:$K$1273,0)),"")</f>
        <v/>
      </c>
      <c r="AI159" s="312">
        <f>IFERROR(INDEX(Data!CE$9:CE$1273,MATCH($M159,Data!$K$9:$K$1273,0)),"")</f>
        <v/>
      </c>
      <c r="AJ159" s="312">
        <f>IFERROR(INDEX(Data!CF$9:CF$1273,MATCH($M159,Data!$K$9:$K$1273,0)),"")</f>
        <v/>
      </c>
      <c r="AK159" s="312">
        <f>IFERROR(INDEX(Data!CG$9:CG$1273,MATCH($M159,Data!$K$9:$K$1273,0)),"")</f>
        <v/>
      </c>
      <c r="AL159" s="312">
        <f>IFERROR(INDEX(Data!CH$9:CH$1273,MATCH($M159,Data!$K$9:$K$1273,0)),"")</f>
        <v/>
      </c>
      <c r="AM159" s="312">
        <f>IFERROR(INDEX(Data!CI$9:CI$1273,MATCH($M159,Data!$K$9:$K$1273,0)),"")</f>
        <v/>
      </c>
      <c r="AN159" s="312">
        <f>IFERROR(INDEX(Data!CJ$9:CJ$1273,MATCH($M159,Data!$K$9:$K$1273,0)),"")</f>
        <v/>
      </c>
      <c r="AO159" s="312">
        <f>IFERROR(INDEX(Data!CK$9:CK$1273,MATCH($M159,Data!$K$9:$K$1273,0)),"")</f>
        <v/>
      </c>
      <c r="AP159" s="312">
        <f>IFERROR(INDEX(Data!CL$9:CL$1273,MATCH($M159,Data!$K$9:$K$1273,0)),"")</f>
        <v/>
      </c>
      <c r="AQ159" s="312">
        <f>IFERROR(INDEX(Data!CM$9:CM$1273,MATCH($M159,Data!$K$9:$K$1273,0)),"")</f>
        <v/>
      </c>
      <c r="AR159" s="312">
        <f>IFERROR(INDEX(Data!CN$9:CN$1273,MATCH($M159,Data!$K$9:$K$1273,0)),"")</f>
        <v/>
      </c>
      <c r="AS159" s="312">
        <f>IFERROR(INDEX(Data!CO$9:CO$1273,MATCH($M159,Data!$K$9:$K$1273,0)),"")</f>
        <v/>
      </c>
      <c r="AT159" s="312">
        <f>IFERROR(INDEX(Data!CP$9:CP$1273,MATCH($M159,Data!$K$9:$K$1273,0)),"")</f>
        <v/>
      </c>
      <c r="AU159" s="312">
        <f>IFERROR(INDEX(Data!CQ$9:CQ$1273,MATCH($M159,Data!$K$9:$K$1273,0)),"")</f>
        <v/>
      </c>
      <c r="AV159" s="312">
        <f>IFERROR(INDEX(Data!CR$9:CR$1273,MATCH($M159,Data!$K$9:$K$1273,0)),"")</f>
        <v/>
      </c>
      <c r="AW159" s="312">
        <f>IFERROR(INDEX(Data!CS$9:CS$1273,MATCH($M159,Data!$K$9:$K$1273,0)),"")</f>
        <v/>
      </c>
      <c r="AX159" s="312">
        <f>IFERROR(INDEX(Data!CT$9:CT$1273,MATCH($M159,Data!$K$9:$K$1273,0)),"")</f>
        <v/>
      </c>
      <c r="AY159" s="312">
        <f>IFERROR(INDEX(Data!CU$9:CU$1273,MATCH($M159,Data!$K$9:$K$1273,0)),"")</f>
        <v/>
      </c>
      <c r="AZ159" s="312">
        <f>IFERROR(INDEX(Data!CV$9:CV$1273,MATCH($M159,Data!$K$9:$K$1273,0)),"")</f>
        <v/>
      </c>
      <c r="BA159" s="312">
        <f>IFERROR(INDEX(Data!CX$9:CX$1273,MATCH($M159,Data!$K$9:$K$1273,0)),"")</f>
        <v/>
      </c>
      <c r="BB159" s="312">
        <f>IFERROR(INDEX(Data!CY$9:CY$1273,MATCH($M159,Data!$K$9:$K$1273,0)),"")</f>
        <v/>
      </c>
      <c r="BC159" s="312">
        <f>IFERROR(INDEX(Data!CZ$9:CZ$1273,MATCH($M159,Data!$K$9:$K$1273,0)),"")</f>
        <v/>
      </c>
      <c r="BD159" s="312">
        <f>IFERROR(INDEX(Data!DA$9:DA$1273,MATCH($M159,Data!$K$9:$K$1273,0)),"")</f>
        <v/>
      </c>
      <c r="BE159" s="312">
        <f>IFERROR(INDEX(Data!DB$9:DB$1273,MATCH($M159,Data!$K$9:$K$1273,0)),"")</f>
        <v/>
      </c>
      <c r="BF159" s="312">
        <f>IFERROR(INDEX(Data!DC$9:DC$1273,MATCH($M159,Data!$K$9:$K$1273,0)),"")</f>
        <v/>
      </c>
      <c r="BG159" s="312">
        <f>IFERROR(INDEX(Data!DD$9:DD$1273,MATCH($M159,Data!$K$9:$K$1273,0)),"")</f>
        <v/>
      </c>
      <c r="BH159" s="312">
        <f>IFERROR(INDEX(Data!DE$9:DE$1273,MATCH($M159,Data!$K$9:$K$1273,0)),"")</f>
        <v/>
      </c>
      <c r="BI159" s="312">
        <f>IFERROR(INDEX(Data!DF$9:DF$1273,MATCH($M159,Data!$K$9:$K$1273,0)),"")</f>
        <v/>
      </c>
      <c r="BJ159" s="312">
        <f>IFERROR(INDEX(Data!DG$9:DG$1273,MATCH($M159,Data!$K$9:$K$1273,0)),"")</f>
        <v/>
      </c>
      <c r="BK159" s="312">
        <f>IFERROR(INDEX(Data!DH$9:DH$1273,MATCH($M159,Data!$K$9:$K$1273,0)),"")</f>
        <v/>
      </c>
      <c r="BL159" s="312">
        <f>IFERROR(INDEX(Data!DI$9:DI$1273,MATCH($M159,Data!$K$9:$K$1273,0)),"")</f>
        <v/>
      </c>
      <c r="BM159" s="312">
        <f>IFERROR(INDEX(Data!DJ$9:DJ$1273,MATCH($M159,Data!$K$9:$K$1273,0)),"")</f>
        <v/>
      </c>
      <c r="BN159" s="312">
        <f>IFERROR(INDEX(Data!DK$9:DK$1273,MATCH($M159,Data!$K$9:$K$1273,0)),"")</f>
        <v/>
      </c>
      <c r="BO159" s="312">
        <f>IFERROR(INDEX(Data!DL$9:DL$1273,MATCH($M159,Data!$K$9:$K$1273,0)),"")</f>
        <v/>
      </c>
      <c r="BP159" s="331">
        <f>IFERROR(IF(BK159=0,"-",BK159),"")</f>
        <v/>
      </c>
      <c r="BQ159" s="312">
        <f>IFERROR(IF(BP159-K159&gt;0,TRUE,FALSE)," ")</f>
        <v/>
      </c>
      <c r="BR159" s="312">
        <f>_xlfn.CONCAT(E159,F159,H159,G159)</f>
        <v/>
      </c>
      <c r="BS159" s="312">
        <f>IFERROR(INDEX(Data!$DO$9:$DO$1273,MATCH('Your recommendation'!BR159,Data!$DN$9:$DN$1273,0)),"")</f>
        <v/>
      </c>
    </row>
    <row r="160" ht="15.6" customFormat="1" customHeight="1" s="138">
      <c r="B160" s="309">
        <f>IF(C160&gt;0,B159+1,"")</f>
        <v/>
      </c>
      <c r="C160" s="310" t="n"/>
      <c r="D160" s="312">
        <f>IFERROR(INDEX(Data!BR$9:BR$1273,MATCH($M160,Data!$K$9:$K$1273,0)),"")</f>
        <v/>
      </c>
      <c r="E160" s="312">
        <f>IFERROR(INDEX(Data!BS$9:BS$1273,MATCH($M160,Data!$K$9:$K$1273,0)),"")</f>
        <v/>
      </c>
      <c r="F160" s="312">
        <f>IFERROR(INDEX(Data!DM$9:DM$1273,MATCH($M160,Data!$K$9:$K$1273,0)),"")</f>
        <v/>
      </c>
      <c r="G160" s="312">
        <f>IFERROR(INDEX(Data!BV$9:BV$1273,MATCH($M160,Data!$K$9:$K$1273,0)),"")</f>
        <v/>
      </c>
      <c r="H160" s="312">
        <f>IFERROR(INDEX(Data!BW$9:BW$1273,MATCH($M160,Data!$K$9:$K$1273,0)),"")</f>
        <v/>
      </c>
      <c r="I160" s="312">
        <f>IFERROR(INDEX(Data!BX$9:BX$1273,MATCH($M160,Data!$K$9:$K$1273,0)),"")</f>
        <v/>
      </c>
      <c r="J160" s="312">
        <f>IFERROR(INDEX(Data!CB$9:CB$1273,MATCH($M160,Data!$K$9:$K$1273,0)),"")</f>
        <v/>
      </c>
      <c r="K160" s="329">
        <f>IFERROR(HYPERLINK(BM160,BC160),"-")</f>
        <v/>
      </c>
      <c r="L160" s="330">
        <f>IFERROR(IF(BB160=0,"-",BB160)," ")</f>
        <v/>
      </c>
      <c r="M160" s="311" t="n"/>
      <c r="N160" s="311" t="n"/>
      <c r="O160" s="311">
        <f>IFERROR(INDEX(Data!M$9:M$1273,MATCH($M160,Data!$K$9:$K$1273,0)),"")</f>
        <v/>
      </c>
      <c r="P160" s="311">
        <f>IFERROR(INDEX(Data!N$9:N$1273,MATCH($M160,Data!$K$9:$K$1273,0)),"")</f>
        <v/>
      </c>
      <c r="Q160" s="311">
        <f>IFERROR(INDEX(Data!O$9:O$1273,MATCH($M160,Data!$K$9:$K$1273,0)),"")</f>
        <v/>
      </c>
      <c r="R160" s="311">
        <f>IFERROR(INDEX(Data!P$9:P$1273,MATCH($M160,Data!$K$9:$K$1273,0)),"")</f>
        <v/>
      </c>
      <c r="S160" s="311">
        <f>IFERROR(INDEX(Data!S$9:S$1273,MATCH($M160,Data!$K$9:$K$1273,0)),"")</f>
        <v/>
      </c>
      <c r="T160" s="311">
        <f>IFERROR(INDEX(Data!T$9:T$1273,MATCH($M160,Data!$K$9:$K$1273,0)),"")</f>
        <v/>
      </c>
      <c r="U160" s="311">
        <f>IFERROR(INDEX(Data!U$9:U$1273,MATCH($M160,Data!$K$9:$K$1273,0)),"")</f>
        <v/>
      </c>
      <c r="V160" s="311">
        <f>IFERROR(INDEX(Data!V$9:V$1273,MATCH($M160,Data!$K$9:$K$1273,0)),"")</f>
        <v/>
      </c>
      <c r="W160" s="311">
        <f>IFERROR(INDEX(Data!W$9:W$1273,MATCH($M160,Data!$K$9:$K$1273,0)),"")</f>
        <v/>
      </c>
      <c r="X160" s="311">
        <f>IFERROR(INDEX(Data!AJ$9:AJ$1273,MATCH($M160,Data!$K$9:$K$1273,0)),"")</f>
        <v/>
      </c>
      <c r="Y160" s="311">
        <f>IFERROR(INDEX(Data!AK$9:AK$1273,MATCH($M160,Data!$K$9:$K$1273,0)),"")</f>
        <v/>
      </c>
      <c r="Z160" s="311">
        <f>IFERROR(INDEX(Data!AL$9:AL$1273,MATCH($M160,Data!$K$9:$K$1273,0)),"")</f>
        <v/>
      </c>
      <c r="AA160" s="311">
        <f>IFERROR(INDEX(Data!AM$9:AM$1273,MATCH($M160,Data!$K$9:$K$1273,0)),"")</f>
        <v/>
      </c>
      <c r="AB160" s="311">
        <f>IFERROR(INDEX(Data!AN$9:AN$1273,MATCH($M160,Data!$K$9:$K$1273,0)),"")</f>
        <v/>
      </c>
      <c r="AC160" s="312">
        <f>IFERROR(INDEX(Data!BY$9:BY$1273,MATCH($M160,Data!$K$9:$K$1273,0)),"")</f>
        <v/>
      </c>
      <c r="AD160" s="312">
        <f>IFERROR(INDEX(Data!BZ$9:BZ$1273,MATCH($M160,Data!$K$9:$K$1273,0)),"")</f>
        <v/>
      </c>
      <c r="AE160" s="312">
        <f>IFERROR(INDEX(Data!CA$9:CA$1273,MATCH($M160,Data!$K$9:$K$1273,0)),"")</f>
        <v/>
      </c>
      <c r="AF160" s="312">
        <f>IFERROR(INDEX(Data!CB$9:CB$1273,MATCH($M160,Data!$K$9:$K$1273,0)),"")</f>
        <v/>
      </c>
      <c r="AG160" s="312">
        <f>IFERROR(INDEX(Data!CC$9:CC$1273,MATCH($M160,Data!$K$9:$K$1273,0)),"")</f>
        <v/>
      </c>
      <c r="AH160" s="312">
        <f>IFERROR(INDEX(Data!CD$9:CD$1273,MATCH($M160,Data!$K$9:$K$1273,0)),"")</f>
        <v/>
      </c>
      <c r="AI160" s="312">
        <f>IFERROR(INDEX(Data!CE$9:CE$1273,MATCH($M160,Data!$K$9:$K$1273,0)),"")</f>
        <v/>
      </c>
      <c r="AJ160" s="312">
        <f>IFERROR(INDEX(Data!CF$9:CF$1273,MATCH($M160,Data!$K$9:$K$1273,0)),"")</f>
        <v/>
      </c>
      <c r="AK160" s="312">
        <f>IFERROR(INDEX(Data!CG$9:CG$1273,MATCH($M160,Data!$K$9:$K$1273,0)),"")</f>
        <v/>
      </c>
      <c r="AL160" s="312">
        <f>IFERROR(INDEX(Data!CH$9:CH$1273,MATCH($M160,Data!$K$9:$K$1273,0)),"")</f>
        <v/>
      </c>
      <c r="AM160" s="312">
        <f>IFERROR(INDEX(Data!CI$9:CI$1273,MATCH($M160,Data!$K$9:$K$1273,0)),"")</f>
        <v/>
      </c>
      <c r="AN160" s="312">
        <f>IFERROR(INDEX(Data!CJ$9:CJ$1273,MATCH($M160,Data!$K$9:$K$1273,0)),"")</f>
        <v/>
      </c>
      <c r="AO160" s="312">
        <f>IFERROR(INDEX(Data!CK$9:CK$1273,MATCH($M160,Data!$K$9:$K$1273,0)),"")</f>
        <v/>
      </c>
      <c r="AP160" s="312">
        <f>IFERROR(INDEX(Data!CL$9:CL$1273,MATCH($M160,Data!$K$9:$K$1273,0)),"")</f>
        <v/>
      </c>
      <c r="AQ160" s="312">
        <f>IFERROR(INDEX(Data!CM$9:CM$1273,MATCH($M160,Data!$K$9:$K$1273,0)),"")</f>
        <v/>
      </c>
      <c r="AR160" s="312">
        <f>IFERROR(INDEX(Data!CN$9:CN$1273,MATCH($M160,Data!$K$9:$K$1273,0)),"")</f>
        <v/>
      </c>
      <c r="AS160" s="312">
        <f>IFERROR(INDEX(Data!CO$9:CO$1273,MATCH($M160,Data!$K$9:$K$1273,0)),"")</f>
        <v/>
      </c>
      <c r="AT160" s="312">
        <f>IFERROR(INDEX(Data!CP$9:CP$1273,MATCH($M160,Data!$K$9:$K$1273,0)),"")</f>
        <v/>
      </c>
      <c r="AU160" s="312">
        <f>IFERROR(INDEX(Data!CQ$9:CQ$1273,MATCH($M160,Data!$K$9:$K$1273,0)),"")</f>
        <v/>
      </c>
      <c r="AV160" s="312">
        <f>IFERROR(INDEX(Data!CR$9:CR$1273,MATCH($M160,Data!$K$9:$K$1273,0)),"")</f>
        <v/>
      </c>
      <c r="AW160" s="312">
        <f>IFERROR(INDEX(Data!CS$9:CS$1273,MATCH($M160,Data!$K$9:$K$1273,0)),"")</f>
        <v/>
      </c>
      <c r="AX160" s="312">
        <f>IFERROR(INDEX(Data!CT$9:CT$1273,MATCH($M160,Data!$K$9:$K$1273,0)),"")</f>
        <v/>
      </c>
      <c r="AY160" s="312">
        <f>IFERROR(INDEX(Data!CU$9:CU$1273,MATCH($M160,Data!$K$9:$K$1273,0)),"")</f>
        <v/>
      </c>
      <c r="AZ160" s="312">
        <f>IFERROR(INDEX(Data!CV$9:CV$1273,MATCH($M160,Data!$K$9:$K$1273,0)),"")</f>
        <v/>
      </c>
      <c r="BA160" s="312">
        <f>IFERROR(INDEX(Data!CX$9:CX$1273,MATCH($M160,Data!$K$9:$K$1273,0)),"")</f>
        <v/>
      </c>
      <c r="BB160" s="312">
        <f>IFERROR(INDEX(Data!CY$9:CY$1273,MATCH($M160,Data!$K$9:$K$1273,0)),"")</f>
        <v/>
      </c>
      <c r="BC160" s="312">
        <f>IFERROR(INDEX(Data!CZ$9:CZ$1273,MATCH($M160,Data!$K$9:$K$1273,0)),"")</f>
        <v/>
      </c>
      <c r="BD160" s="312">
        <f>IFERROR(INDEX(Data!DA$9:DA$1273,MATCH($M160,Data!$K$9:$K$1273,0)),"")</f>
        <v/>
      </c>
      <c r="BE160" s="312">
        <f>IFERROR(INDEX(Data!DB$9:DB$1273,MATCH($M160,Data!$K$9:$K$1273,0)),"")</f>
        <v/>
      </c>
      <c r="BF160" s="312">
        <f>IFERROR(INDEX(Data!DC$9:DC$1273,MATCH($M160,Data!$K$9:$K$1273,0)),"")</f>
        <v/>
      </c>
      <c r="BG160" s="312">
        <f>IFERROR(INDEX(Data!DD$9:DD$1273,MATCH($M160,Data!$K$9:$K$1273,0)),"")</f>
        <v/>
      </c>
      <c r="BH160" s="312">
        <f>IFERROR(INDEX(Data!DE$9:DE$1273,MATCH($M160,Data!$K$9:$K$1273,0)),"")</f>
        <v/>
      </c>
      <c r="BI160" s="312">
        <f>IFERROR(INDEX(Data!DF$9:DF$1273,MATCH($M160,Data!$K$9:$K$1273,0)),"")</f>
        <v/>
      </c>
      <c r="BJ160" s="312">
        <f>IFERROR(INDEX(Data!DG$9:DG$1273,MATCH($M160,Data!$K$9:$K$1273,0)),"")</f>
        <v/>
      </c>
      <c r="BK160" s="312">
        <f>IFERROR(INDEX(Data!DH$9:DH$1273,MATCH($M160,Data!$K$9:$K$1273,0)),"")</f>
        <v/>
      </c>
      <c r="BL160" s="312">
        <f>IFERROR(INDEX(Data!DI$9:DI$1273,MATCH($M160,Data!$K$9:$K$1273,0)),"")</f>
        <v/>
      </c>
      <c r="BM160" s="312">
        <f>IFERROR(INDEX(Data!DJ$9:DJ$1273,MATCH($M160,Data!$K$9:$K$1273,0)),"")</f>
        <v/>
      </c>
      <c r="BN160" s="312">
        <f>IFERROR(INDEX(Data!DK$9:DK$1273,MATCH($M160,Data!$K$9:$K$1273,0)),"")</f>
        <v/>
      </c>
      <c r="BO160" s="312">
        <f>IFERROR(INDEX(Data!DL$9:DL$1273,MATCH($M160,Data!$K$9:$K$1273,0)),"")</f>
        <v/>
      </c>
      <c r="BP160" s="331">
        <f>IFERROR(IF(BK160=0,"-",BK160),"")</f>
        <v/>
      </c>
      <c r="BQ160" s="312">
        <f>IFERROR(IF(BP160-K160&gt;0,TRUE,FALSE)," ")</f>
        <v/>
      </c>
      <c r="BR160" s="312">
        <f>_xlfn.CONCAT(E160,F160,H160,G160)</f>
        <v/>
      </c>
      <c r="BS160" s="312">
        <f>IFERROR(INDEX(Data!$DO$9:$DO$1273,MATCH('Your recommendation'!BR160,Data!$DN$9:$DN$1273,0)),"")</f>
        <v/>
      </c>
    </row>
    <row r="161" ht="15.6" customFormat="1" customHeight="1" s="138">
      <c r="B161" s="309">
        <f>IF(C161&gt;0,B160+1,"")</f>
        <v/>
      </c>
      <c r="C161" s="310" t="n"/>
      <c r="D161" s="312">
        <f>IFERROR(INDEX(Data!BR$9:BR$1273,MATCH($M161,Data!$K$9:$K$1273,0)),"")</f>
        <v/>
      </c>
      <c r="E161" s="312">
        <f>IFERROR(INDEX(Data!BS$9:BS$1273,MATCH($M161,Data!$K$9:$K$1273,0)),"")</f>
        <v/>
      </c>
      <c r="F161" s="312">
        <f>IFERROR(INDEX(Data!DM$9:DM$1273,MATCH($M161,Data!$K$9:$K$1273,0)),"")</f>
        <v/>
      </c>
      <c r="G161" s="312">
        <f>IFERROR(INDEX(Data!BV$9:BV$1273,MATCH($M161,Data!$K$9:$K$1273,0)),"")</f>
        <v/>
      </c>
      <c r="H161" s="312">
        <f>IFERROR(INDEX(Data!BW$9:BW$1273,MATCH($M161,Data!$K$9:$K$1273,0)),"")</f>
        <v/>
      </c>
      <c r="I161" s="312">
        <f>IFERROR(INDEX(Data!BX$9:BX$1273,MATCH($M161,Data!$K$9:$K$1273,0)),"")</f>
        <v/>
      </c>
      <c r="J161" s="312">
        <f>IFERROR(INDEX(Data!CB$9:CB$1273,MATCH($M161,Data!$K$9:$K$1273,0)),"")</f>
        <v/>
      </c>
      <c r="K161" s="329">
        <f>IFERROR(HYPERLINK(BM161,BC161),"-")</f>
        <v/>
      </c>
      <c r="L161" s="330">
        <f>IFERROR(IF(BB161=0,"-",BB161)," ")</f>
        <v/>
      </c>
      <c r="M161" s="311" t="n"/>
      <c r="N161" s="311" t="n"/>
      <c r="O161" s="311">
        <f>IFERROR(INDEX(Data!M$9:M$1273,MATCH($M161,Data!$K$9:$K$1273,0)),"")</f>
        <v/>
      </c>
      <c r="P161" s="311">
        <f>IFERROR(INDEX(Data!N$9:N$1273,MATCH($M161,Data!$K$9:$K$1273,0)),"")</f>
        <v/>
      </c>
      <c r="Q161" s="311">
        <f>IFERROR(INDEX(Data!O$9:O$1273,MATCH($M161,Data!$K$9:$K$1273,0)),"")</f>
        <v/>
      </c>
      <c r="R161" s="311">
        <f>IFERROR(INDEX(Data!P$9:P$1273,MATCH($M161,Data!$K$9:$K$1273,0)),"")</f>
        <v/>
      </c>
      <c r="S161" s="311">
        <f>IFERROR(INDEX(Data!S$9:S$1273,MATCH($M161,Data!$K$9:$K$1273,0)),"")</f>
        <v/>
      </c>
      <c r="T161" s="311">
        <f>IFERROR(INDEX(Data!T$9:T$1273,MATCH($M161,Data!$K$9:$K$1273,0)),"")</f>
        <v/>
      </c>
      <c r="U161" s="311">
        <f>IFERROR(INDEX(Data!U$9:U$1273,MATCH($M161,Data!$K$9:$K$1273,0)),"")</f>
        <v/>
      </c>
      <c r="V161" s="311">
        <f>IFERROR(INDEX(Data!V$9:V$1273,MATCH($M161,Data!$K$9:$K$1273,0)),"")</f>
        <v/>
      </c>
      <c r="W161" s="311">
        <f>IFERROR(INDEX(Data!W$9:W$1273,MATCH($M161,Data!$K$9:$K$1273,0)),"")</f>
        <v/>
      </c>
      <c r="X161" s="311">
        <f>IFERROR(INDEX(Data!AJ$9:AJ$1273,MATCH($M161,Data!$K$9:$K$1273,0)),"")</f>
        <v/>
      </c>
      <c r="Y161" s="311">
        <f>IFERROR(INDEX(Data!AK$9:AK$1273,MATCH($M161,Data!$K$9:$K$1273,0)),"")</f>
        <v/>
      </c>
      <c r="Z161" s="311">
        <f>IFERROR(INDEX(Data!AL$9:AL$1273,MATCH($M161,Data!$K$9:$K$1273,0)),"")</f>
        <v/>
      </c>
      <c r="AA161" s="311">
        <f>IFERROR(INDEX(Data!AM$9:AM$1273,MATCH($M161,Data!$K$9:$K$1273,0)),"")</f>
        <v/>
      </c>
      <c r="AB161" s="311">
        <f>IFERROR(INDEX(Data!AN$9:AN$1273,MATCH($M161,Data!$K$9:$K$1273,0)),"")</f>
        <v/>
      </c>
      <c r="AC161" s="312">
        <f>IFERROR(INDEX(Data!BY$9:BY$1273,MATCH($M161,Data!$K$9:$K$1273,0)),"")</f>
        <v/>
      </c>
      <c r="AD161" s="312">
        <f>IFERROR(INDEX(Data!BZ$9:BZ$1273,MATCH($M161,Data!$K$9:$K$1273,0)),"")</f>
        <v/>
      </c>
      <c r="AE161" s="312">
        <f>IFERROR(INDEX(Data!CA$9:CA$1273,MATCH($M161,Data!$K$9:$K$1273,0)),"")</f>
        <v/>
      </c>
      <c r="AF161" s="312">
        <f>IFERROR(INDEX(Data!CB$9:CB$1273,MATCH($M161,Data!$K$9:$K$1273,0)),"")</f>
        <v/>
      </c>
      <c r="AG161" s="312">
        <f>IFERROR(INDEX(Data!CC$9:CC$1273,MATCH($M161,Data!$K$9:$K$1273,0)),"")</f>
        <v/>
      </c>
      <c r="AH161" s="312">
        <f>IFERROR(INDEX(Data!CD$9:CD$1273,MATCH($M161,Data!$K$9:$K$1273,0)),"")</f>
        <v/>
      </c>
      <c r="AI161" s="312">
        <f>IFERROR(INDEX(Data!CE$9:CE$1273,MATCH($M161,Data!$K$9:$K$1273,0)),"")</f>
        <v/>
      </c>
      <c r="AJ161" s="312">
        <f>IFERROR(INDEX(Data!CF$9:CF$1273,MATCH($M161,Data!$K$9:$K$1273,0)),"")</f>
        <v/>
      </c>
      <c r="AK161" s="312">
        <f>IFERROR(INDEX(Data!CG$9:CG$1273,MATCH($M161,Data!$K$9:$K$1273,0)),"")</f>
        <v/>
      </c>
      <c r="AL161" s="312">
        <f>IFERROR(INDEX(Data!CH$9:CH$1273,MATCH($M161,Data!$K$9:$K$1273,0)),"")</f>
        <v/>
      </c>
      <c r="AM161" s="312">
        <f>IFERROR(INDEX(Data!CI$9:CI$1273,MATCH($M161,Data!$K$9:$K$1273,0)),"")</f>
        <v/>
      </c>
      <c r="AN161" s="312">
        <f>IFERROR(INDEX(Data!CJ$9:CJ$1273,MATCH($M161,Data!$K$9:$K$1273,0)),"")</f>
        <v/>
      </c>
      <c r="AO161" s="312">
        <f>IFERROR(INDEX(Data!CK$9:CK$1273,MATCH($M161,Data!$K$9:$K$1273,0)),"")</f>
        <v/>
      </c>
      <c r="AP161" s="312">
        <f>IFERROR(INDEX(Data!CL$9:CL$1273,MATCH($M161,Data!$K$9:$K$1273,0)),"")</f>
        <v/>
      </c>
      <c r="AQ161" s="312">
        <f>IFERROR(INDEX(Data!CM$9:CM$1273,MATCH($M161,Data!$K$9:$K$1273,0)),"")</f>
        <v/>
      </c>
      <c r="AR161" s="312">
        <f>IFERROR(INDEX(Data!CN$9:CN$1273,MATCH($M161,Data!$K$9:$K$1273,0)),"")</f>
        <v/>
      </c>
      <c r="AS161" s="312">
        <f>IFERROR(INDEX(Data!CO$9:CO$1273,MATCH($M161,Data!$K$9:$K$1273,0)),"")</f>
        <v/>
      </c>
      <c r="AT161" s="312">
        <f>IFERROR(INDEX(Data!CP$9:CP$1273,MATCH($M161,Data!$K$9:$K$1273,0)),"")</f>
        <v/>
      </c>
      <c r="AU161" s="312">
        <f>IFERROR(INDEX(Data!CQ$9:CQ$1273,MATCH($M161,Data!$K$9:$K$1273,0)),"")</f>
        <v/>
      </c>
      <c r="AV161" s="312">
        <f>IFERROR(INDEX(Data!CR$9:CR$1273,MATCH($M161,Data!$K$9:$K$1273,0)),"")</f>
        <v/>
      </c>
      <c r="AW161" s="312">
        <f>IFERROR(INDEX(Data!CS$9:CS$1273,MATCH($M161,Data!$K$9:$K$1273,0)),"")</f>
        <v/>
      </c>
      <c r="AX161" s="312">
        <f>IFERROR(INDEX(Data!CT$9:CT$1273,MATCH($M161,Data!$K$9:$K$1273,0)),"")</f>
        <v/>
      </c>
      <c r="AY161" s="312">
        <f>IFERROR(INDEX(Data!CU$9:CU$1273,MATCH($M161,Data!$K$9:$K$1273,0)),"")</f>
        <v/>
      </c>
      <c r="AZ161" s="312">
        <f>IFERROR(INDEX(Data!CV$9:CV$1273,MATCH($M161,Data!$K$9:$K$1273,0)),"")</f>
        <v/>
      </c>
      <c r="BA161" s="312">
        <f>IFERROR(INDEX(Data!CX$9:CX$1273,MATCH($M161,Data!$K$9:$K$1273,0)),"")</f>
        <v/>
      </c>
      <c r="BB161" s="312">
        <f>IFERROR(INDEX(Data!CY$9:CY$1273,MATCH($M161,Data!$K$9:$K$1273,0)),"")</f>
        <v/>
      </c>
      <c r="BC161" s="312">
        <f>IFERROR(INDEX(Data!CZ$9:CZ$1273,MATCH($M161,Data!$K$9:$K$1273,0)),"")</f>
        <v/>
      </c>
      <c r="BD161" s="312">
        <f>IFERROR(INDEX(Data!DA$9:DA$1273,MATCH($M161,Data!$K$9:$K$1273,0)),"")</f>
        <v/>
      </c>
      <c r="BE161" s="312">
        <f>IFERROR(INDEX(Data!DB$9:DB$1273,MATCH($M161,Data!$K$9:$K$1273,0)),"")</f>
        <v/>
      </c>
      <c r="BF161" s="312">
        <f>IFERROR(INDEX(Data!DC$9:DC$1273,MATCH($M161,Data!$K$9:$K$1273,0)),"")</f>
        <v/>
      </c>
      <c r="BG161" s="312">
        <f>IFERROR(INDEX(Data!DD$9:DD$1273,MATCH($M161,Data!$K$9:$K$1273,0)),"")</f>
        <v/>
      </c>
      <c r="BH161" s="312">
        <f>IFERROR(INDEX(Data!DE$9:DE$1273,MATCH($M161,Data!$K$9:$K$1273,0)),"")</f>
        <v/>
      </c>
      <c r="BI161" s="312">
        <f>IFERROR(INDEX(Data!DF$9:DF$1273,MATCH($M161,Data!$K$9:$K$1273,0)),"")</f>
        <v/>
      </c>
      <c r="BJ161" s="312">
        <f>IFERROR(INDEX(Data!DG$9:DG$1273,MATCH($M161,Data!$K$9:$K$1273,0)),"")</f>
        <v/>
      </c>
      <c r="BK161" s="312">
        <f>IFERROR(INDEX(Data!DH$9:DH$1273,MATCH($M161,Data!$K$9:$K$1273,0)),"")</f>
        <v/>
      </c>
      <c r="BL161" s="312">
        <f>IFERROR(INDEX(Data!DI$9:DI$1273,MATCH($M161,Data!$K$9:$K$1273,0)),"")</f>
        <v/>
      </c>
      <c r="BM161" s="312">
        <f>IFERROR(INDEX(Data!DJ$9:DJ$1273,MATCH($M161,Data!$K$9:$K$1273,0)),"")</f>
        <v/>
      </c>
      <c r="BN161" s="312">
        <f>IFERROR(INDEX(Data!DK$9:DK$1273,MATCH($M161,Data!$K$9:$K$1273,0)),"")</f>
        <v/>
      </c>
      <c r="BO161" s="312">
        <f>IFERROR(INDEX(Data!DL$9:DL$1273,MATCH($M161,Data!$K$9:$K$1273,0)),"")</f>
        <v/>
      </c>
      <c r="BP161" s="331">
        <f>IFERROR(IF(BK161=0,"-",BK161),"")</f>
        <v/>
      </c>
      <c r="BQ161" s="312">
        <f>IFERROR(IF(BP161-K161&gt;0,TRUE,FALSE)," ")</f>
        <v/>
      </c>
      <c r="BR161" s="312">
        <f>_xlfn.CONCAT(E161,F161,H161,G161)</f>
        <v/>
      </c>
      <c r="BS161" s="312">
        <f>IFERROR(INDEX(Data!$DO$9:$DO$1273,MATCH('Your recommendation'!BR161,Data!$DN$9:$DN$1273,0)),"")</f>
        <v/>
      </c>
    </row>
    <row r="162" ht="15.6" customFormat="1" customHeight="1" s="138">
      <c r="B162" s="309">
        <f>IF(C162&gt;0,B161+1,"")</f>
        <v/>
      </c>
      <c r="C162" s="310" t="n"/>
      <c r="D162" s="312">
        <f>IFERROR(INDEX(Data!BR$9:BR$1273,MATCH($M162,Data!$K$9:$K$1273,0)),"")</f>
        <v/>
      </c>
      <c r="E162" s="312">
        <f>IFERROR(INDEX(Data!BS$9:BS$1273,MATCH($M162,Data!$K$9:$K$1273,0)),"")</f>
        <v/>
      </c>
      <c r="F162" s="312">
        <f>IFERROR(INDEX(Data!DM$9:DM$1273,MATCH($M162,Data!$K$9:$K$1273,0)),"")</f>
        <v/>
      </c>
      <c r="G162" s="312">
        <f>IFERROR(INDEX(Data!BV$9:BV$1273,MATCH($M162,Data!$K$9:$K$1273,0)),"")</f>
        <v/>
      </c>
      <c r="H162" s="312">
        <f>IFERROR(INDEX(Data!BW$9:BW$1273,MATCH($M162,Data!$K$9:$K$1273,0)),"")</f>
        <v/>
      </c>
      <c r="I162" s="312">
        <f>IFERROR(INDEX(Data!BX$9:BX$1273,MATCH($M162,Data!$K$9:$K$1273,0)),"")</f>
        <v/>
      </c>
      <c r="J162" s="312">
        <f>IFERROR(INDEX(Data!CB$9:CB$1273,MATCH($M162,Data!$K$9:$K$1273,0)),"")</f>
        <v/>
      </c>
      <c r="K162" s="329">
        <f>IFERROR(HYPERLINK(BM162,BC162),"-")</f>
        <v/>
      </c>
      <c r="L162" s="330">
        <f>IFERROR(IF(BB162=0,"-",BB162)," ")</f>
        <v/>
      </c>
      <c r="M162" s="311" t="n"/>
      <c r="N162" s="311" t="n"/>
      <c r="O162" s="311">
        <f>IFERROR(INDEX(Data!M$9:M$1273,MATCH($M162,Data!$K$9:$K$1273,0)),"")</f>
        <v/>
      </c>
      <c r="P162" s="311">
        <f>IFERROR(INDEX(Data!N$9:N$1273,MATCH($M162,Data!$K$9:$K$1273,0)),"")</f>
        <v/>
      </c>
      <c r="Q162" s="311">
        <f>IFERROR(INDEX(Data!O$9:O$1273,MATCH($M162,Data!$K$9:$K$1273,0)),"")</f>
        <v/>
      </c>
      <c r="R162" s="311">
        <f>IFERROR(INDEX(Data!P$9:P$1273,MATCH($M162,Data!$K$9:$K$1273,0)),"")</f>
        <v/>
      </c>
      <c r="S162" s="311">
        <f>IFERROR(INDEX(Data!S$9:S$1273,MATCH($M162,Data!$K$9:$K$1273,0)),"")</f>
        <v/>
      </c>
      <c r="T162" s="311">
        <f>IFERROR(INDEX(Data!T$9:T$1273,MATCH($M162,Data!$K$9:$K$1273,0)),"")</f>
        <v/>
      </c>
      <c r="U162" s="311">
        <f>IFERROR(INDEX(Data!U$9:U$1273,MATCH($M162,Data!$K$9:$K$1273,0)),"")</f>
        <v/>
      </c>
      <c r="V162" s="311">
        <f>IFERROR(INDEX(Data!V$9:V$1273,MATCH($M162,Data!$K$9:$K$1273,0)),"")</f>
        <v/>
      </c>
      <c r="W162" s="311">
        <f>IFERROR(INDEX(Data!W$9:W$1273,MATCH($M162,Data!$K$9:$K$1273,0)),"")</f>
        <v/>
      </c>
      <c r="X162" s="311">
        <f>IFERROR(INDEX(Data!AJ$9:AJ$1273,MATCH($M162,Data!$K$9:$K$1273,0)),"")</f>
        <v/>
      </c>
      <c r="Y162" s="311">
        <f>IFERROR(INDEX(Data!AK$9:AK$1273,MATCH($M162,Data!$K$9:$K$1273,0)),"")</f>
        <v/>
      </c>
      <c r="Z162" s="311">
        <f>IFERROR(INDEX(Data!AL$9:AL$1273,MATCH($M162,Data!$K$9:$K$1273,0)),"")</f>
        <v/>
      </c>
      <c r="AA162" s="311">
        <f>IFERROR(INDEX(Data!AM$9:AM$1273,MATCH($M162,Data!$K$9:$K$1273,0)),"")</f>
        <v/>
      </c>
      <c r="AB162" s="311">
        <f>IFERROR(INDEX(Data!AN$9:AN$1273,MATCH($M162,Data!$K$9:$K$1273,0)),"")</f>
        <v/>
      </c>
      <c r="AC162" s="312">
        <f>IFERROR(INDEX(Data!BY$9:BY$1273,MATCH($M162,Data!$K$9:$K$1273,0)),"")</f>
        <v/>
      </c>
      <c r="AD162" s="312">
        <f>IFERROR(INDEX(Data!BZ$9:BZ$1273,MATCH($M162,Data!$K$9:$K$1273,0)),"")</f>
        <v/>
      </c>
      <c r="AE162" s="312">
        <f>IFERROR(INDEX(Data!CA$9:CA$1273,MATCH($M162,Data!$K$9:$K$1273,0)),"")</f>
        <v/>
      </c>
      <c r="AF162" s="312">
        <f>IFERROR(INDEX(Data!CB$9:CB$1273,MATCH($M162,Data!$K$9:$K$1273,0)),"")</f>
        <v/>
      </c>
      <c r="AG162" s="312">
        <f>IFERROR(INDEX(Data!CC$9:CC$1273,MATCH($M162,Data!$K$9:$K$1273,0)),"")</f>
        <v/>
      </c>
      <c r="AH162" s="312">
        <f>IFERROR(INDEX(Data!CD$9:CD$1273,MATCH($M162,Data!$K$9:$K$1273,0)),"")</f>
        <v/>
      </c>
      <c r="AI162" s="312">
        <f>IFERROR(INDEX(Data!CE$9:CE$1273,MATCH($M162,Data!$K$9:$K$1273,0)),"")</f>
        <v/>
      </c>
      <c r="AJ162" s="312">
        <f>IFERROR(INDEX(Data!CF$9:CF$1273,MATCH($M162,Data!$K$9:$K$1273,0)),"")</f>
        <v/>
      </c>
      <c r="AK162" s="312">
        <f>IFERROR(INDEX(Data!CG$9:CG$1273,MATCH($M162,Data!$K$9:$K$1273,0)),"")</f>
        <v/>
      </c>
      <c r="AL162" s="312">
        <f>IFERROR(INDEX(Data!CH$9:CH$1273,MATCH($M162,Data!$K$9:$K$1273,0)),"")</f>
        <v/>
      </c>
      <c r="AM162" s="312">
        <f>IFERROR(INDEX(Data!CI$9:CI$1273,MATCH($M162,Data!$K$9:$K$1273,0)),"")</f>
        <v/>
      </c>
      <c r="AN162" s="312">
        <f>IFERROR(INDEX(Data!CJ$9:CJ$1273,MATCH($M162,Data!$K$9:$K$1273,0)),"")</f>
        <v/>
      </c>
      <c r="AO162" s="312">
        <f>IFERROR(INDEX(Data!CK$9:CK$1273,MATCH($M162,Data!$K$9:$K$1273,0)),"")</f>
        <v/>
      </c>
      <c r="AP162" s="312">
        <f>IFERROR(INDEX(Data!CL$9:CL$1273,MATCH($M162,Data!$K$9:$K$1273,0)),"")</f>
        <v/>
      </c>
      <c r="AQ162" s="312">
        <f>IFERROR(INDEX(Data!CM$9:CM$1273,MATCH($M162,Data!$K$9:$K$1273,0)),"")</f>
        <v/>
      </c>
      <c r="AR162" s="312">
        <f>IFERROR(INDEX(Data!CN$9:CN$1273,MATCH($M162,Data!$K$9:$K$1273,0)),"")</f>
        <v/>
      </c>
      <c r="AS162" s="312">
        <f>IFERROR(INDEX(Data!CO$9:CO$1273,MATCH($M162,Data!$K$9:$K$1273,0)),"")</f>
        <v/>
      </c>
      <c r="AT162" s="312">
        <f>IFERROR(INDEX(Data!CP$9:CP$1273,MATCH($M162,Data!$K$9:$K$1273,0)),"")</f>
        <v/>
      </c>
      <c r="AU162" s="312">
        <f>IFERROR(INDEX(Data!CQ$9:CQ$1273,MATCH($M162,Data!$K$9:$K$1273,0)),"")</f>
        <v/>
      </c>
      <c r="AV162" s="312">
        <f>IFERROR(INDEX(Data!CR$9:CR$1273,MATCH($M162,Data!$K$9:$K$1273,0)),"")</f>
        <v/>
      </c>
      <c r="AW162" s="312">
        <f>IFERROR(INDEX(Data!CS$9:CS$1273,MATCH($M162,Data!$K$9:$K$1273,0)),"")</f>
        <v/>
      </c>
      <c r="AX162" s="312">
        <f>IFERROR(INDEX(Data!CT$9:CT$1273,MATCH($M162,Data!$K$9:$K$1273,0)),"")</f>
        <v/>
      </c>
      <c r="AY162" s="312">
        <f>IFERROR(INDEX(Data!CU$9:CU$1273,MATCH($M162,Data!$K$9:$K$1273,0)),"")</f>
        <v/>
      </c>
      <c r="AZ162" s="312">
        <f>IFERROR(INDEX(Data!CV$9:CV$1273,MATCH($M162,Data!$K$9:$K$1273,0)),"")</f>
        <v/>
      </c>
      <c r="BA162" s="312">
        <f>IFERROR(INDEX(Data!CX$9:CX$1273,MATCH($M162,Data!$K$9:$K$1273,0)),"")</f>
        <v/>
      </c>
      <c r="BB162" s="312">
        <f>IFERROR(INDEX(Data!CY$9:CY$1273,MATCH($M162,Data!$K$9:$K$1273,0)),"")</f>
        <v/>
      </c>
      <c r="BC162" s="312">
        <f>IFERROR(INDEX(Data!CZ$9:CZ$1273,MATCH($M162,Data!$K$9:$K$1273,0)),"")</f>
        <v/>
      </c>
      <c r="BD162" s="312">
        <f>IFERROR(INDEX(Data!DA$9:DA$1273,MATCH($M162,Data!$K$9:$K$1273,0)),"")</f>
        <v/>
      </c>
      <c r="BE162" s="312">
        <f>IFERROR(INDEX(Data!DB$9:DB$1273,MATCH($M162,Data!$K$9:$K$1273,0)),"")</f>
        <v/>
      </c>
      <c r="BF162" s="312">
        <f>IFERROR(INDEX(Data!DC$9:DC$1273,MATCH($M162,Data!$K$9:$K$1273,0)),"")</f>
        <v/>
      </c>
      <c r="BG162" s="312">
        <f>IFERROR(INDEX(Data!DD$9:DD$1273,MATCH($M162,Data!$K$9:$K$1273,0)),"")</f>
        <v/>
      </c>
      <c r="BH162" s="312">
        <f>IFERROR(INDEX(Data!DE$9:DE$1273,MATCH($M162,Data!$K$9:$K$1273,0)),"")</f>
        <v/>
      </c>
      <c r="BI162" s="312">
        <f>IFERROR(INDEX(Data!DF$9:DF$1273,MATCH($M162,Data!$K$9:$K$1273,0)),"")</f>
        <v/>
      </c>
      <c r="BJ162" s="312">
        <f>IFERROR(INDEX(Data!DG$9:DG$1273,MATCH($M162,Data!$K$9:$K$1273,0)),"")</f>
        <v/>
      </c>
      <c r="BK162" s="312">
        <f>IFERROR(INDEX(Data!DH$9:DH$1273,MATCH($M162,Data!$K$9:$K$1273,0)),"")</f>
        <v/>
      </c>
      <c r="BL162" s="312">
        <f>IFERROR(INDEX(Data!DI$9:DI$1273,MATCH($M162,Data!$K$9:$K$1273,0)),"")</f>
        <v/>
      </c>
      <c r="BM162" s="312">
        <f>IFERROR(INDEX(Data!DJ$9:DJ$1273,MATCH($M162,Data!$K$9:$K$1273,0)),"")</f>
        <v/>
      </c>
      <c r="BN162" s="312">
        <f>IFERROR(INDEX(Data!DK$9:DK$1273,MATCH($M162,Data!$K$9:$K$1273,0)),"")</f>
        <v/>
      </c>
      <c r="BO162" s="312">
        <f>IFERROR(INDEX(Data!DL$9:DL$1273,MATCH($M162,Data!$K$9:$K$1273,0)),"")</f>
        <v/>
      </c>
      <c r="BP162" s="331">
        <f>IFERROR(IF(BK162=0,"-",BK162),"")</f>
        <v/>
      </c>
      <c r="BQ162" s="312">
        <f>IFERROR(IF(BP162-K162&gt;0,TRUE,FALSE)," ")</f>
        <v/>
      </c>
      <c r="BR162" s="312">
        <f>_xlfn.CONCAT(E162,F162,H162,G162)</f>
        <v/>
      </c>
      <c r="BS162" s="312">
        <f>IFERROR(INDEX(Data!$DO$9:$DO$1273,MATCH('Your recommendation'!BR162,Data!$DN$9:$DN$1273,0)),"")</f>
        <v/>
      </c>
    </row>
    <row r="163" ht="15.6" customFormat="1" customHeight="1" s="138">
      <c r="B163" s="309">
        <f>IF(C163&gt;0,B162+1,"")</f>
        <v/>
      </c>
      <c r="C163" s="310" t="n"/>
      <c r="D163" s="312">
        <f>IFERROR(INDEX(Data!BR$9:BR$1273,MATCH($M163,Data!$K$9:$K$1273,0)),"")</f>
        <v/>
      </c>
      <c r="E163" s="312">
        <f>IFERROR(INDEX(Data!BS$9:BS$1273,MATCH($M163,Data!$K$9:$K$1273,0)),"")</f>
        <v/>
      </c>
      <c r="F163" s="312">
        <f>IFERROR(INDEX(Data!DM$9:DM$1273,MATCH($M163,Data!$K$9:$K$1273,0)),"")</f>
        <v/>
      </c>
      <c r="G163" s="312">
        <f>IFERROR(INDEX(Data!BV$9:BV$1273,MATCH($M163,Data!$K$9:$K$1273,0)),"")</f>
        <v/>
      </c>
      <c r="H163" s="312">
        <f>IFERROR(INDEX(Data!BW$9:BW$1273,MATCH($M163,Data!$K$9:$K$1273,0)),"")</f>
        <v/>
      </c>
      <c r="I163" s="312">
        <f>IFERROR(INDEX(Data!BX$9:BX$1273,MATCH($M163,Data!$K$9:$K$1273,0)),"")</f>
        <v/>
      </c>
      <c r="J163" s="312">
        <f>IFERROR(INDEX(Data!CB$9:CB$1273,MATCH($M163,Data!$K$9:$K$1273,0)),"")</f>
        <v/>
      </c>
      <c r="K163" s="329">
        <f>IFERROR(HYPERLINK(BM163,BC163),"-")</f>
        <v/>
      </c>
      <c r="L163" s="330">
        <f>IFERROR(IF(BB163=0,"-",BB163)," ")</f>
        <v/>
      </c>
      <c r="M163" s="311" t="n"/>
      <c r="N163" s="311" t="n"/>
      <c r="O163" s="311">
        <f>IFERROR(INDEX(Data!M$9:M$1273,MATCH($M163,Data!$K$9:$K$1273,0)),"")</f>
        <v/>
      </c>
      <c r="P163" s="311">
        <f>IFERROR(INDEX(Data!N$9:N$1273,MATCH($M163,Data!$K$9:$K$1273,0)),"")</f>
        <v/>
      </c>
      <c r="Q163" s="311">
        <f>IFERROR(INDEX(Data!O$9:O$1273,MATCH($M163,Data!$K$9:$K$1273,0)),"")</f>
        <v/>
      </c>
      <c r="R163" s="311">
        <f>IFERROR(INDEX(Data!P$9:P$1273,MATCH($M163,Data!$K$9:$K$1273,0)),"")</f>
        <v/>
      </c>
      <c r="S163" s="311">
        <f>IFERROR(INDEX(Data!S$9:S$1273,MATCH($M163,Data!$K$9:$K$1273,0)),"")</f>
        <v/>
      </c>
      <c r="T163" s="311">
        <f>IFERROR(INDEX(Data!T$9:T$1273,MATCH($M163,Data!$K$9:$K$1273,0)),"")</f>
        <v/>
      </c>
      <c r="U163" s="311">
        <f>IFERROR(INDEX(Data!U$9:U$1273,MATCH($M163,Data!$K$9:$K$1273,0)),"")</f>
        <v/>
      </c>
      <c r="V163" s="311">
        <f>IFERROR(INDEX(Data!V$9:V$1273,MATCH($M163,Data!$K$9:$K$1273,0)),"")</f>
        <v/>
      </c>
      <c r="W163" s="311">
        <f>IFERROR(INDEX(Data!W$9:W$1273,MATCH($M163,Data!$K$9:$K$1273,0)),"")</f>
        <v/>
      </c>
      <c r="X163" s="311">
        <f>IFERROR(INDEX(Data!AJ$9:AJ$1273,MATCH($M163,Data!$K$9:$K$1273,0)),"")</f>
        <v/>
      </c>
      <c r="Y163" s="311">
        <f>IFERROR(INDEX(Data!AK$9:AK$1273,MATCH($M163,Data!$K$9:$K$1273,0)),"")</f>
        <v/>
      </c>
      <c r="Z163" s="311">
        <f>IFERROR(INDEX(Data!AL$9:AL$1273,MATCH($M163,Data!$K$9:$K$1273,0)),"")</f>
        <v/>
      </c>
      <c r="AA163" s="311">
        <f>IFERROR(INDEX(Data!AM$9:AM$1273,MATCH($M163,Data!$K$9:$K$1273,0)),"")</f>
        <v/>
      </c>
      <c r="AB163" s="311">
        <f>IFERROR(INDEX(Data!AN$9:AN$1273,MATCH($M163,Data!$K$9:$K$1273,0)),"")</f>
        <v/>
      </c>
      <c r="AC163" s="312">
        <f>IFERROR(INDEX(Data!BY$9:BY$1273,MATCH($M163,Data!$K$9:$K$1273,0)),"")</f>
        <v/>
      </c>
      <c r="AD163" s="312">
        <f>IFERROR(INDEX(Data!BZ$9:BZ$1273,MATCH($M163,Data!$K$9:$K$1273,0)),"")</f>
        <v/>
      </c>
      <c r="AE163" s="312">
        <f>IFERROR(INDEX(Data!CA$9:CA$1273,MATCH($M163,Data!$K$9:$K$1273,0)),"")</f>
        <v/>
      </c>
      <c r="AF163" s="312">
        <f>IFERROR(INDEX(Data!CB$9:CB$1273,MATCH($M163,Data!$K$9:$K$1273,0)),"")</f>
        <v/>
      </c>
      <c r="AG163" s="312">
        <f>IFERROR(INDEX(Data!CC$9:CC$1273,MATCH($M163,Data!$K$9:$K$1273,0)),"")</f>
        <v/>
      </c>
      <c r="AH163" s="312">
        <f>IFERROR(INDEX(Data!CD$9:CD$1273,MATCH($M163,Data!$K$9:$K$1273,0)),"")</f>
        <v/>
      </c>
      <c r="AI163" s="312">
        <f>IFERROR(INDEX(Data!CE$9:CE$1273,MATCH($M163,Data!$K$9:$K$1273,0)),"")</f>
        <v/>
      </c>
      <c r="AJ163" s="312">
        <f>IFERROR(INDEX(Data!CF$9:CF$1273,MATCH($M163,Data!$K$9:$K$1273,0)),"")</f>
        <v/>
      </c>
      <c r="AK163" s="312">
        <f>IFERROR(INDEX(Data!CG$9:CG$1273,MATCH($M163,Data!$K$9:$K$1273,0)),"")</f>
        <v/>
      </c>
      <c r="AL163" s="312">
        <f>IFERROR(INDEX(Data!CH$9:CH$1273,MATCH($M163,Data!$K$9:$K$1273,0)),"")</f>
        <v/>
      </c>
      <c r="AM163" s="312">
        <f>IFERROR(INDEX(Data!CI$9:CI$1273,MATCH($M163,Data!$K$9:$K$1273,0)),"")</f>
        <v/>
      </c>
      <c r="AN163" s="312">
        <f>IFERROR(INDEX(Data!CJ$9:CJ$1273,MATCH($M163,Data!$K$9:$K$1273,0)),"")</f>
        <v/>
      </c>
      <c r="AO163" s="312">
        <f>IFERROR(INDEX(Data!CK$9:CK$1273,MATCH($M163,Data!$K$9:$K$1273,0)),"")</f>
        <v/>
      </c>
      <c r="AP163" s="312">
        <f>IFERROR(INDEX(Data!CL$9:CL$1273,MATCH($M163,Data!$K$9:$K$1273,0)),"")</f>
        <v/>
      </c>
      <c r="AQ163" s="312">
        <f>IFERROR(INDEX(Data!CM$9:CM$1273,MATCH($M163,Data!$K$9:$K$1273,0)),"")</f>
        <v/>
      </c>
      <c r="AR163" s="312">
        <f>IFERROR(INDEX(Data!CN$9:CN$1273,MATCH($M163,Data!$K$9:$K$1273,0)),"")</f>
        <v/>
      </c>
      <c r="AS163" s="312">
        <f>IFERROR(INDEX(Data!CO$9:CO$1273,MATCH($M163,Data!$K$9:$K$1273,0)),"")</f>
        <v/>
      </c>
      <c r="AT163" s="312">
        <f>IFERROR(INDEX(Data!CP$9:CP$1273,MATCH($M163,Data!$K$9:$K$1273,0)),"")</f>
        <v/>
      </c>
      <c r="AU163" s="312">
        <f>IFERROR(INDEX(Data!CQ$9:CQ$1273,MATCH($M163,Data!$K$9:$K$1273,0)),"")</f>
        <v/>
      </c>
      <c r="AV163" s="312">
        <f>IFERROR(INDEX(Data!CR$9:CR$1273,MATCH($M163,Data!$K$9:$K$1273,0)),"")</f>
        <v/>
      </c>
      <c r="AW163" s="312">
        <f>IFERROR(INDEX(Data!CS$9:CS$1273,MATCH($M163,Data!$K$9:$K$1273,0)),"")</f>
        <v/>
      </c>
      <c r="AX163" s="312">
        <f>IFERROR(INDEX(Data!CT$9:CT$1273,MATCH($M163,Data!$K$9:$K$1273,0)),"")</f>
        <v/>
      </c>
      <c r="AY163" s="312">
        <f>IFERROR(INDEX(Data!CU$9:CU$1273,MATCH($M163,Data!$K$9:$K$1273,0)),"")</f>
        <v/>
      </c>
      <c r="AZ163" s="312">
        <f>IFERROR(INDEX(Data!CV$9:CV$1273,MATCH($M163,Data!$K$9:$K$1273,0)),"")</f>
        <v/>
      </c>
      <c r="BA163" s="312">
        <f>IFERROR(INDEX(Data!CX$9:CX$1273,MATCH($M163,Data!$K$9:$K$1273,0)),"")</f>
        <v/>
      </c>
      <c r="BB163" s="312">
        <f>IFERROR(INDEX(Data!CY$9:CY$1273,MATCH($M163,Data!$K$9:$K$1273,0)),"")</f>
        <v/>
      </c>
      <c r="BC163" s="312">
        <f>IFERROR(INDEX(Data!CZ$9:CZ$1273,MATCH($M163,Data!$K$9:$K$1273,0)),"")</f>
        <v/>
      </c>
      <c r="BD163" s="312">
        <f>IFERROR(INDEX(Data!DA$9:DA$1273,MATCH($M163,Data!$K$9:$K$1273,0)),"")</f>
        <v/>
      </c>
      <c r="BE163" s="312">
        <f>IFERROR(INDEX(Data!DB$9:DB$1273,MATCH($M163,Data!$K$9:$K$1273,0)),"")</f>
        <v/>
      </c>
      <c r="BF163" s="312">
        <f>IFERROR(INDEX(Data!DC$9:DC$1273,MATCH($M163,Data!$K$9:$K$1273,0)),"")</f>
        <v/>
      </c>
      <c r="BG163" s="312">
        <f>IFERROR(INDEX(Data!DD$9:DD$1273,MATCH($M163,Data!$K$9:$K$1273,0)),"")</f>
        <v/>
      </c>
      <c r="BH163" s="312">
        <f>IFERROR(INDEX(Data!DE$9:DE$1273,MATCH($M163,Data!$K$9:$K$1273,0)),"")</f>
        <v/>
      </c>
      <c r="BI163" s="312">
        <f>IFERROR(INDEX(Data!DF$9:DF$1273,MATCH($M163,Data!$K$9:$K$1273,0)),"")</f>
        <v/>
      </c>
      <c r="BJ163" s="312">
        <f>IFERROR(INDEX(Data!DG$9:DG$1273,MATCH($M163,Data!$K$9:$K$1273,0)),"")</f>
        <v/>
      </c>
      <c r="BK163" s="312">
        <f>IFERROR(INDEX(Data!DH$9:DH$1273,MATCH($M163,Data!$K$9:$K$1273,0)),"")</f>
        <v/>
      </c>
      <c r="BL163" s="312">
        <f>IFERROR(INDEX(Data!DI$9:DI$1273,MATCH($M163,Data!$K$9:$K$1273,0)),"")</f>
        <v/>
      </c>
      <c r="BM163" s="312">
        <f>IFERROR(INDEX(Data!DJ$9:DJ$1273,MATCH($M163,Data!$K$9:$K$1273,0)),"")</f>
        <v/>
      </c>
      <c r="BN163" s="312">
        <f>IFERROR(INDEX(Data!DK$9:DK$1273,MATCH($M163,Data!$K$9:$K$1273,0)),"")</f>
        <v/>
      </c>
      <c r="BO163" s="312">
        <f>IFERROR(INDEX(Data!DL$9:DL$1273,MATCH($M163,Data!$K$9:$K$1273,0)),"")</f>
        <v/>
      </c>
      <c r="BP163" s="331">
        <f>IFERROR(IF(BK163=0,"-",BK163),"")</f>
        <v/>
      </c>
      <c r="BQ163" s="312">
        <f>IFERROR(IF(BP163-K163&gt;0,TRUE,FALSE)," ")</f>
        <v/>
      </c>
      <c r="BR163" s="312">
        <f>_xlfn.CONCAT(E163,F163,H163,G163)</f>
        <v/>
      </c>
      <c r="BS163" s="312">
        <f>IFERROR(INDEX(Data!$DO$9:$DO$1273,MATCH('Your recommendation'!BR163,Data!$DN$9:$DN$1273,0)),"")</f>
        <v/>
      </c>
    </row>
    <row r="164" ht="15.6" customFormat="1" customHeight="1" s="138">
      <c r="B164" s="309">
        <f>IF(C164&gt;0,B163+1,"")</f>
        <v/>
      </c>
      <c r="C164" s="310" t="n"/>
      <c r="D164" s="312">
        <f>IFERROR(INDEX(Data!BR$9:BR$1273,MATCH($M164,Data!$K$9:$K$1273,0)),"")</f>
        <v/>
      </c>
      <c r="E164" s="312">
        <f>IFERROR(INDEX(Data!BS$9:BS$1273,MATCH($M164,Data!$K$9:$K$1273,0)),"")</f>
        <v/>
      </c>
      <c r="F164" s="312">
        <f>IFERROR(INDEX(Data!DM$9:DM$1273,MATCH($M164,Data!$K$9:$K$1273,0)),"")</f>
        <v/>
      </c>
      <c r="G164" s="312">
        <f>IFERROR(INDEX(Data!BV$9:BV$1273,MATCH($M164,Data!$K$9:$K$1273,0)),"")</f>
        <v/>
      </c>
      <c r="H164" s="312">
        <f>IFERROR(INDEX(Data!BW$9:BW$1273,MATCH($M164,Data!$K$9:$K$1273,0)),"")</f>
        <v/>
      </c>
      <c r="I164" s="312">
        <f>IFERROR(INDEX(Data!BX$9:BX$1273,MATCH($M164,Data!$K$9:$K$1273,0)),"")</f>
        <v/>
      </c>
      <c r="J164" s="312">
        <f>IFERROR(INDEX(Data!CB$9:CB$1273,MATCH($M164,Data!$K$9:$K$1273,0)),"")</f>
        <v/>
      </c>
      <c r="K164" s="329">
        <f>IFERROR(HYPERLINK(BM164,BC164),"-")</f>
        <v/>
      </c>
      <c r="L164" s="330">
        <f>IFERROR(IF(BB164=0,"-",BB164)," ")</f>
        <v/>
      </c>
      <c r="M164" s="311" t="n"/>
      <c r="N164" s="311" t="n"/>
      <c r="O164" s="311">
        <f>IFERROR(INDEX(Data!M$9:M$1273,MATCH($M164,Data!$K$9:$K$1273,0)),"")</f>
        <v/>
      </c>
      <c r="P164" s="311">
        <f>IFERROR(INDEX(Data!N$9:N$1273,MATCH($M164,Data!$K$9:$K$1273,0)),"")</f>
        <v/>
      </c>
      <c r="Q164" s="311">
        <f>IFERROR(INDEX(Data!O$9:O$1273,MATCH($M164,Data!$K$9:$K$1273,0)),"")</f>
        <v/>
      </c>
      <c r="R164" s="311">
        <f>IFERROR(INDEX(Data!P$9:P$1273,MATCH($M164,Data!$K$9:$K$1273,0)),"")</f>
        <v/>
      </c>
      <c r="S164" s="311">
        <f>IFERROR(INDEX(Data!S$9:S$1273,MATCH($M164,Data!$K$9:$K$1273,0)),"")</f>
        <v/>
      </c>
      <c r="T164" s="311">
        <f>IFERROR(INDEX(Data!T$9:T$1273,MATCH($M164,Data!$K$9:$K$1273,0)),"")</f>
        <v/>
      </c>
      <c r="U164" s="311">
        <f>IFERROR(INDEX(Data!U$9:U$1273,MATCH($M164,Data!$K$9:$K$1273,0)),"")</f>
        <v/>
      </c>
      <c r="V164" s="311">
        <f>IFERROR(INDEX(Data!V$9:V$1273,MATCH($M164,Data!$K$9:$K$1273,0)),"")</f>
        <v/>
      </c>
      <c r="W164" s="311">
        <f>IFERROR(INDEX(Data!W$9:W$1273,MATCH($M164,Data!$K$9:$K$1273,0)),"")</f>
        <v/>
      </c>
      <c r="X164" s="311">
        <f>IFERROR(INDEX(Data!AJ$9:AJ$1273,MATCH($M164,Data!$K$9:$K$1273,0)),"")</f>
        <v/>
      </c>
      <c r="Y164" s="311">
        <f>IFERROR(INDEX(Data!AK$9:AK$1273,MATCH($M164,Data!$K$9:$K$1273,0)),"")</f>
        <v/>
      </c>
      <c r="Z164" s="311">
        <f>IFERROR(INDEX(Data!AL$9:AL$1273,MATCH($M164,Data!$K$9:$K$1273,0)),"")</f>
        <v/>
      </c>
      <c r="AA164" s="311">
        <f>IFERROR(INDEX(Data!AM$9:AM$1273,MATCH($M164,Data!$K$9:$K$1273,0)),"")</f>
        <v/>
      </c>
      <c r="AB164" s="311">
        <f>IFERROR(INDEX(Data!AN$9:AN$1273,MATCH($M164,Data!$K$9:$K$1273,0)),"")</f>
        <v/>
      </c>
      <c r="AC164" s="312">
        <f>IFERROR(INDEX(Data!BY$9:BY$1273,MATCH($M164,Data!$K$9:$K$1273,0)),"")</f>
        <v/>
      </c>
      <c r="AD164" s="312">
        <f>IFERROR(INDEX(Data!BZ$9:BZ$1273,MATCH($M164,Data!$K$9:$K$1273,0)),"")</f>
        <v/>
      </c>
      <c r="AE164" s="312">
        <f>IFERROR(INDEX(Data!CA$9:CA$1273,MATCH($M164,Data!$K$9:$K$1273,0)),"")</f>
        <v/>
      </c>
      <c r="AF164" s="312">
        <f>IFERROR(INDEX(Data!CB$9:CB$1273,MATCH($M164,Data!$K$9:$K$1273,0)),"")</f>
        <v/>
      </c>
      <c r="AG164" s="312">
        <f>IFERROR(INDEX(Data!CC$9:CC$1273,MATCH($M164,Data!$K$9:$K$1273,0)),"")</f>
        <v/>
      </c>
      <c r="AH164" s="312">
        <f>IFERROR(INDEX(Data!CD$9:CD$1273,MATCH($M164,Data!$K$9:$K$1273,0)),"")</f>
        <v/>
      </c>
      <c r="AI164" s="312">
        <f>IFERROR(INDEX(Data!CE$9:CE$1273,MATCH($M164,Data!$K$9:$K$1273,0)),"")</f>
        <v/>
      </c>
      <c r="AJ164" s="312">
        <f>IFERROR(INDEX(Data!CF$9:CF$1273,MATCH($M164,Data!$K$9:$K$1273,0)),"")</f>
        <v/>
      </c>
      <c r="AK164" s="312">
        <f>IFERROR(INDEX(Data!CG$9:CG$1273,MATCH($M164,Data!$K$9:$K$1273,0)),"")</f>
        <v/>
      </c>
      <c r="AL164" s="312">
        <f>IFERROR(INDEX(Data!CH$9:CH$1273,MATCH($M164,Data!$K$9:$K$1273,0)),"")</f>
        <v/>
      </c>
      <c r="AM164" s="312">
        <f>IFERROR(INDEX(Data!CI$9:CI$1273,MATCH($M164,Data!$K$9:$K$1273,0)),"")</f>
        <v/>
      </c>
      <c r="AN164" s="312">
        <f>IFERROR(INDEX(Data!CJ$9:CJ$1273,MATCH($M164,Data!$K$9:$K$1273,0)),"")</f>
        <v/>
      </c>
      <c r="AO164" s="312">
        <f>IFERROR(INDEX(Data!CK$9:CK$1273,MATCH($M164,Data!$K$9:$K$1273,0)),"")</f>
        <v/>
      </c>
      <c r="AP164" s="312">
        <f>IFERROR(INDEX(Data!CL$9:CL$1273,MATCH($M164,Data!$K$9:$K$1273,0)),"")</f>
        <v/>
      </c>
      <c r="AQ164" s="312">
        <f>IFERROR(INDEX(Data!CM$9:CM$1273,MATCH($M164,Data!$K$9:$K$1273,0)),"")</f>
        <v/>
      </c>
      <c r="AR164" s="312">
        <f>IFERROR(INDEX(Data!CN$9:CN$1273,MATCH($M164,Data!$K$9:$K$1273,0)),"")</f>
        <v/>
      </c>
      <c r="AS164" s="312">
        <f>IFERROR(INDEX(Data!CO$9:CO$1273,MATCH($M164,Data!$K$9:$K$1273,0)),"")</f>
        <v/>
      </c>
      <c r="AT164" s="312">
        <f>IFERROR(INDEX(Data!CP$9:CP$1273,MATCH($M164,Data!$K$9:$K$1273,0)),"")</f>
        <v/>
      </c>
      <c r="AU164" s="312">
        <f>IFERROR(INDEX(Data!CQ$9:CQ$1273,MATCH($M164,Data!$K$9:$K$1273,0)),"")</f>
        <v/>
      </c>
      <c r="AV164" s="312">
        <f>IFERROR(INDEX(Data!CR$9:CR$1273,MATCH($M164,Data!$K$9:$K$1273,0)),"")</f>
        <v/>
      </c>
      <c r="AW164" s="312">
        <f>IFERROR(INDEX(Data!CS$9:CS$1273,MATCH($M164,Data!$K$9:$K$1273,0)),"")</f>
        <v/>
      </c>
      <c r="AX164" s="312">
        <f>IFERROR(INDEX(Data!CT$9:CT$1273,MATCH($M164,Data!$K$9:$K$1273,0)),"")</f>
        <v/>
      </c>
      <c r="AY164" s="312">
        <f>IFERROR(INDEX(Data!CU$9:CU$1273,MATCH($M164,Data!$K$9:$K$1273,0)),"")</f>
        <v/>
      </c>
      <c r="AZ164" s="312">
        <f>IFERROR(INDEX(Data!CV$9:CV$1273,MATCH($M164,Data!$K$9:$K$1273,0)),"")</f>
        <v/>
      </c>
      <c r="BA164" s="312">
        <f>IFERROR(INDEX(Data!CX$9:CX$1273,MATCH($M164,Data!$K$9:$K$1273,0)),"")</f>
        <v/>
      </c>
      <c r="BB164" s="312">
        <f>IFERROR(INDEX(Data!CY$9:CY$1273,MATCH($M164,Data!$K$9:$K$1273,0)),"")</f>
        <v/>
      </c>
      <c r="BC164" s="312">
        <f>IFERROR(INDEX(Data!CZ$9:CZ$1273,MATCH($M164,Data!$K$9:$K$1273,0)),"")</f>
        <v/>
      </c>
      <c r="BD164" s="312">
        <f>IFERROR(INDEX(Data!DA$9:DA$1273,MATCH($M164,Data!$K$9:$K$1273,0)),"")</f>
        <v/>
      </c>
      <c r="BE164" s="312">
        <f>IFERROR(INDEX(Data!DB$9:DB$1273,MATCH($M164,Data!$K$9:$K$1273,0)),"")</f>
        <v/>
      </c>
      <c r="BF164" s="312">
        <f>IFERROR(INDEX(Data!DC$9:DC$1273,MATCH($M164,Data!$K$9:$K$1273,0)),"")</f>
        <v/>
      </c>
      <c r="BG164" s="312">
        <f>IFERROR(INDEX(Data!DD$9:DD$1273,MATCH($M164,Data!$K$9:$K$1273,0)),"")</f>
        <v/>
      </c>
      <c r="BH164" s="312">
        <f>IFERROR(INDEX(Data!DE$9:DE$1273,MATCH($M164,Data!$K$9:$K$1273,0)),"")</f>
        <v/>
      </c>
      <c r="BI164" s="312">
        <f>IFERROR(INDEX(Data!DF$9:DF$1273,MATCH($M164,Data!$K$9:$K$1273,0)),"")</f>
        <v/>
      </c>
      <c r="BJ164" s="312">
        <f>IFERROR(INDEX(Data!DG$9:DG$1273,MATCH($M164,Data!$K$9:$K$1273,0)),"")</f>
        <v/>
      </c>
      <c r="BK164" s="312">
        <f>IFERROR(INDEX(Data!DH$9:DH$1273,MATCH($M164,Data!$K$9:$K$1273,0)),"")</f>
        <v/>
      </c>
      <c r="BL164" s="312">
        <f>IFERROR(INDEX(Data!DI$9:DI$1273,MATCH($M164,Data!$K$9:$K$1273,0)),"")</f>
        <v/>
      </c>
      <c r="BM164" s="312">
        <f>IFERROR(INDEX(Data!DJ$9:DJ$1273,MATCH($M164,Data!$K$9:$K$1273,0)),"")</f>
        <v/>
      </c>
      <c r="BN164" s="312">
        <f>IFERROR(INDEX(Data!DK$9:DK$1273,MATCH($M164,Data!$K$9:$K$1273,0)),"")</f>
        <v/>
      </c>
      <c r="BO164" s="312">
        <f>IFERROR(INDEX(Data!DL$9:DL$1273,MATCH($M164,Data!$K$9:$K$1273,0)),"")</f>
        <v/>
      </c>
      <c r="BP164" s="331">
        <f>IFERROR(IF(BK164=0,"-",BK164),"")</f>
        <v/>
      </c>
      <c r="BQ164" s="312">
        <f>IFERROR(IF(BP164-K164&gt;0,TRUE,FALSE)," ")</f>
        <v/>
      </c>
      <c r="BR164" s="312">
        <f>_xlfn.CONCAT(E164,F164,H164,G164)</f>
        <v/>
      </c>
      <c r="BS164" s="312">
        <f>IFERROR(INDEX(Data!$DO$9:$DO$1273,MATCH('Your recommendation'!BR164,Data!$DN$9:$DN$1273,0)),"")</f>
        <v/>
      </c>
    </row>
    <row r="165" ht="15.6" customFormat="1" customHeight="1" s="138">
      <c r="B165" s="309">
        <f>IF(C165&gt;0,B164+1,"")</f>
        <v/>
      </c>
      <c r="C165" s="310" t="n"/>
      <c r="D165" s="312">
        <f>IFERROR(INDEX(Data!BR$9:BR$1273,MATCH($M165,Data!$K$9:$K$1273,0)),"")</f>
        <v/>
      </c>
      <c r="E165" s="312">
        <f>IFERROR(INDEX(Data!BS$9:BS$1273,MATCH($M165,Data!$K$9:$K$1273,0)),"")</f>
        <v/>
      </c>
      <c r="F165" s="312">
        <f>IFERROR(INDEX(Data!DM$9:DM$1273,MATCH($M165,Data!$K$9:$K$1273,0)),"")</f>
        <v/>
      </c>
      <c r="G165" s="312">
        <f>IFERROR(INDEX(Data!BV$9:BV$1273,MATCH($M165,Data!$K$9:$K$1273,0)),"")</f>
        <v/>
      </c>
      <c r="H165" s="312">
        <f>IFERROR(INDEX(Data!BW$9:BW$1273,MATCH($M165,Data!$K$9:$K$1273,0)),"")</f>
        <v/>
      </c>
      <c r="I165" s="312">
        <f>IFERROR(INDEX(Data!BX$9:BX$1273,MATCH($M165,Data!$K$9:$K$1273,0)),"")</f>
        <v/>
      </c>
      <c r="J165" s="312">
        <f>IFERROR(INDEX(Data!CB$9:CB$1273,MATCH($M165,Data!$K$9:$K$1273,0)),"")</f>
        <v/>
      </c>
      <c r="K165" s="329">
        <f>IFERROR(HYPERLINK(BM165,BC165),"-")</f>
        <v/>
      </c>
      <c r="L165" s="330">
        <f>IFERROR(IF(BB165=0,"-",BB165)," ")</f>
        <v/>
      </c>
      <c r="M165" s="311" t="n"/>
      <c r="N165" s="311" t="n"/>
      <c r="O165" s="311">
        <f>IFERROR(INDEX(Data!M$9:M$1273,MATCH($M165,Data!$K$9:$K$1273,0)),"")</f>
        <v/>
      </c>
      <c r="P165" s="311">
        <f>IFERROR(INDEX(Data!N$9:N$1273,MATCH($M165,Data!$K$9:$K$1273,0)),"")</f>
        <v/>
      </c>
      <c r="Q165" s="311">
        <f>IFERROR(INDEX(Data!O$9:O$1273,MATCH($M165,Data!$K$9:$K$1273,0)),"")</f>
        <v/>
      </c>
      <c r="R165" s="311">
        <f>IFERROR(INDEX(Data!P$9:P$1273,MATCH($M165,Data!$K$9:$K$1273,0)),"")</f>
        <v/>
      </c>
      <c r="S165" s="311">
        <f>IFERROR(INDEX(Data!S$9:S$1273,MATCH($M165,Data!$K$9:$K$1273,0)),"")</f>
        <v/>
      </c>
      <c r="T165" s="311">
        <f>IFERROR(INDEX(Data!T$9:T$1273,MATCH($M165,Data!$K$9:$K$1273,0)),"")</f>
        <v/>
      </c>
      <c r="U165" s="311">
        <f>IFERROR(INDEX(Data!U$9:U$1273,MATCH($M165,Data!$K$9:$K$1273,0)),"")</f>
        <v/>
      </c>
      <c r="V165" s="311">
        <f>IFERROR(INDEX(Data!V$9:V$1273,MATCH($M165,Data!$K$9:$K$1273,0)),"")</f>
        <v/>
      </c>
      <c r="W165" s="311">
        <f>IFERROR(INDEX(Data!W$9:W$1273,MATCH($M165,Data!$K$9:$K$1273,0)),"")</f>
        <v/>
      </c>
      <c r="X165" s="311">
        <f>IFERROR(INDEX(Data!AJ$9:AJ$1273,MATCH($M165,Data!$K$9:$K$1273,0)),"")</f>
        <v/>
      </c>
      <c r="Y165" s="311">
        <f>IFERROR(INDEX(Data!AK$9:AK$1273,MATCH($M165,Data!$K$9:$K$1273,0)),"")</f>
        <v/>
      </c>
      <c r="Z165" s="311">
        <f>IFERROR(INDEX(Data!AL$9:AL$1273,MATCH($M165,Data!$K$9:$K$1273,0)),"")</f>
        <v/>
      </c>
      <c r="AA165" s="311">
        <f>IFERROR(INDEX(Data!AM$9:AM$1273,MATCH($M165,Data!$K$9:$K$1273,0)),"")</f>
        <v/>
      </c>
      <c r="AB165" s="311">
        <f>IFERROR(INDEX(Data!AN$9:AN$1273,MATCH($M165,Data!$K$9:$K$1273,0)),"")</f>
        <v/>
      </c>
      <c r="AC165" s="312">
        <f>IFERROR(INDEX(Data!BY$9:BY$1273,MATCH($M165,Data!$K$9:$K$1273,0)),"")</f>
        <v/>
      </c>
      <c r="AD165" s="312">
        <f>IFERROR(INDEX(Data!BZ$9:BZ$1273,MATCH($M165,Data!$K$9:$K$1273,0)),"")</f>
        <v/>
      </c>
      <c r="AE165" s="312">
        <f>IFERROR(INDEX(Data!CA$9:CA$1273,MATCH($M165,Data!$K$9:$K$1273,0)),"")</f>
        <v/>
      </c>
      <c r="AF165" s="312">
        <f>IFERROR(INDEX(Data!CB$9:CB$1273,MATCH($M165,Data!$K$9:$K$1273,0)),"")</f>
        <v/>
      </c>
      <c r="AG165" s="312">
        <f>IFERROR(INDEX(Data!CC$9:CC$1273,MATCH($M165,Data!$K$9:$K$1273,0)),"")</f>
        <v/>
      </c>
      <c r="AH165" s="312">
        <f>IFERROR(INDEX(Data!CD$9:CD$1273,MATCH($M165,Data!$K$9:$K$1273,0)),"")</f>
        <v/>
      </c>
      <c r="AI165" s="312">
        <f>IFERROR(INDEX(Data!CE$9:CE$1273,MATCH($M165,Data!$K$9:$K$1273,0)),"")</f>
        <v/>
      </c>
      <c r="AJ165" s="312">
        <f>IFERROR(INDEX(Data!CF$9:CF$1273,MATCH($M165,Data!$K$9:$K$1273,0)),"")</f>
        <v/>
      </c>
      <c r="AK165" s="312">
        <f>IFERROR(INDEX(Data!CG$9:CG$1273,MATCH($M165,Data!$K$9:$K$1273,0)),"")</f>
        <v/>
      </c>
      <c r="AL165" s="312">
        <f>IFERROR(INDEX(Data!CH$9:CH$1273,MATCH($M165,Data!$K$9:$K$1273,0)),"")</f>
        <v/>
      </c>
      <c r="AM165" s="312">
        <f>IFERROR(INDEX(Data!CI$9:CI$1273,MATCH($M165,Data!$K$9:$K$1273,0)),"")</f>
        <v/>
      </c>
      <c r="AN165" s="312">
        <f>IFERROR(INDEX(Data!CJ$9:CJ$1273,MATCH($M165,Data!$K$9:$K$1273,0)),"")</f>
        <v/>
      </c>
      <c r="AO165" s="312">
        <f>IFERROR(INDEX(Data!CK$9:CK$1273,MATCH($M165,Data!$K$9:$K$1273,0)),"")</f>
        <v/>
      </c>
      <c r="AP165" s="312">
        <f>IFERROR(INDEX(Data!CL$9:CL$1273,MATCH($M165,Data!$K$9:$K$1273,0)),"")</f>
        <v/>
      </c>
      <c r="AQ165" s="312">
        <f>IFERROR(INDEX(Data!CM$9:CM$1273,MATCH($M165,Data!$K$9:$K$1273,0)),"")</f>
        <v/>
      </c>
      <c r="AR165" s="312">
        <f>IFERROR(INDEX(Data!CN$9:CN$1273,MATCH($M165,Data!$K$9:$K$1273,0)),"")</f>
        <v/>
      </c>
      <c r="AS165" s="312">
        <f>IFERROR(INDEX(Data!CO$9:CO$1273,MATCH($M165,Data!$K$9:$K$1273,0)),"")</f>
        <v/>
      </c>
      <c r="AT165" s="312">
        <f>IFERROR(INDEX(Data!CP$9:CP$1273,MATCH($M165,Data!$K$9:$K$1273,0)),"")</f>
        <v/>
      </c>
      <c r="AU165" s="312">
        <f>IFERROR(INDEX(Data!CQ$9:CQ$1273,MATCH($M165,Data!$K$9:$K$1273,0)),"")</f>
        <v/>
      </c>
      <c r="AV165" s="312">
        <f>IFERROR(INDEX(Data!CR$9:CR$1273,MATCH($M165,Data!$K$9:$K$1273,0)),"")</f>
        <v/>
      </c>
      <c r="AW165" s="312">
        <f>IFERROR(INDEX(Data!CS$9:CS$1273,MATCH($M165,Data!$K$9:$K$1273,0)),"")</f>
        <v/>
      </c>
      <c r="AX165" s="312">
        <f>IFERROR(INDEX(Data!CT$9:CT$1273,MATCH($M165,Data!$K$9:$K$1273,0)),"")</f>
        <v/>
      </c>
      <c r="AY165" s="312">
        <f>IFERROR(INDEX(Data!CU$9:CU$1273,MATCH($M165,Data!$K$9:$K$1273,0)),"")</f>
        <v/>
      </c>
      <c r="AZ165" s="312">
        <f>IFERROR(INDEX(Data!CV$9:CV$1273,MATCH($M165,Data!$K$9:$K$1273,0)),"")</f>
        <v/>
      </c>
      <c r="BA165" s="312">
        <f>IFERROR(INDEX(Data!CX$9:CX$1273,MATCH($M165,Data!$K$9:$K$1273,0)),"")</f>
        <v/>
      </c>
      <c r="BB165" s="312">
        <f>IFERROR(INDEX(Data!CY$9:CY$1273,MATCH($M165,Data!$K$9:$K$1273,0)),"")</f>
        <v/>
      </c>
      <c r="BC165" s="312">
        <f>IFERROR(INDEX(Data!CZ$9:CZ$1273,MATCH($M165,Data!$K$9:$K$1273,0)),"")</f>
        <v/>
      </c>
      <c r="BD165" s="312">
        <f>IFERROR(INDEX(Data!DA$9:DA$1273,MATCH($M165,Data!$K$9:$K$1273,0)),"")</f>
        <v/>
      </c>
      <c r="BE165" s="312">
        <f>IFERROR(INDEX(Data!DB$9:DB$1273,MATCH($M165,Data!$K$9:$K$1273,0)),"")</f>
        <v/>
      </c>
      <c r="BF165" s="312">
        <f>IFERROR(INDEX(Data!DC$9:DC$1273,MATCH($M165,Data!$K$9:$K$1273,0)),"")</f>
        <v/>
      </c>
      <c r="BG165" s="312">
        <f>IFERROR(INDEX(Data!DD$9:DD$1273,MATCH($M165,Data!$K$9:$K$1273,0)),"")</f>
        <v/>
      </c>
      <c r="BH165" s="312">
        <f>IFERROR(INDEX(Data!DE$9:DE$1273,MATCH($M165,Data!$K$9:$K$1273,0)),"")</f>
        <v/>
      </c>
      <c r="BI165" s="312">
        <f>IFERROR(INDEX(Data!DF$9:DF$1273,MATCH($M165,Data!$K$9:$K$1273,0)),"")</f>
        <v/>
      </c>
      <c r="BJ165" s="312">
        <f>IFERROR(INDEX(Data!DG$9:DG$1273,MATCH($M165,Data!$K$9:$K$1273,0)),"")</f>
        <v/>
      </c>
      <c r="BK165" s="312">
        <f>IFERROR(INDEX(Data!DH$9:DH$1273,MATCH($M165,Data!$K$9:$K$1273,0)),"")</f>
        <v/>
      </c>
      <c r="BL165" s="312">
        <f>IFERROR(INDEX(Data!DI$9:DI$1273,MATCH($M165,Data!$K$9:$K$1273,0)),"")</f>
        <v/>
      </c>
      <c r="BM165" s="312">
        <f>IFERROR(INDEX(Data!DJ$9:DJ$1273,MATCH($M165,Data!$K$9:$K$1273,0)),"")</f>
        <v/>
      </c>
      <c r="BN165" s="312">
        <f>IFERROR(INDEX(Data!DK$9:DK$1273,MATCH($M165,Data!$K$9:$K$1273,0)),"")</f>
        <v/>
      </c>
      <c r="BO165" s="312">
        <f>IFERROR(INDEX(Data!DL$9:DL$1273,MATCH($M165,Data!$K$9:$K$1273,0)),"")</f>
        <v/>
      </c>
      <c r="BP165" s="331">
        <f>IFERROR(IF(BK165=0,"-",BK165),"")</f>
        <v/>
      </c>
      <c r="BQ165" s="312">
        <f>IFERROR(IF(BP165-K165&gt;0,TRUE,FALSE)," ")</f>
        <v/>
      </c>
      <c r="BR165" s="312">
        <f>_xlfn.CONCAT(E165,F165,H165,G165)</f>
        <v/>
      </c>
      <c r="BS165" s="312">
        <f>IFERROR(INDEX(Data!$DO$9:$DO$1273,MATCH('Your recommendation'!BR165,Data!$DN$9:$DN$1273,0)),"")</f>
        <v/>
      </c>
    </row>
    <row r="166" ht="15.6" customFormat="1" customHeight="1" s="138">
      <c r="B166" s="309">
        <f>IF(C166&gt;0,B165+1,"")</f>
        <v/>
      </c>
      <c r="C166" s="310" t="n"/>
      <c r="D166" s="312">
        <f>IFERROR(INDEX(Data!BR$9:BR$1273,MATCH($M166,Data!$K$9:$K$1273,0)),"")</f>
        <v/>
      </c>
      <c r="E166" s="312">
        <f>IFERROR(INDEX(Data!BS$9:BS$1273,MATCH($M166,Data!$K$9:$K$1273,0)),"")</f>
        <v/>
      </c>
      <c r="F166" s="312">
        <f>IFERROR(INDEX(Data!DM$9:DM$1273,MATCH($M166,Data!$K$9:$K$1273,0)),"")</f>
        <v/>
      </c>
      <c r="G166" s="312">
        <f>IFERROR(INDEX(Data!BV$9:BV$1273,MATCH($M166,Data!$K$9:$K$1273,0)),"")</f>
        <v/>
      </c>
      <c r="H166" s="312">
        <f>IFERROR(INDEX(Data!BW$9:BW$1273,MATCH($M166,Data!$K$9:$K$1273,0)),"")</f>
        <v/>
      </c>
      <c r="I166" s="312">
        <f>IFERROR(INDEX(Data!BX$9:BX$1273,MATCH($M166,Data!$K$9:$K$1273,0)),"")</f>
        <v/>
      </c>
      <c r="J166" s="312">
        <f>IFERROR(INDEX(Data!CB$9:CB$1273,MATCH($M166,Data!$K$9:$K$1273,0)),"")</f>
        <v/>
      </c>
      <c r="K166" s="329">
        <f>IFERROR(HYPERLINK(BM166,BC166),"-")</f>
        <v/>
      </c>
      <c r="L166" s="330">
        <f>IFERROR(IF(BB166=0,"-",BB166)," ")</f>
        <v/>
      </c>
      <c r="M166" s="311" t="n"/>
      <c r="N166" s="311" t="n"/>
      <c r="O166" s="311">
        <f>IFERROR(INDEX(Data!M$9:M$1273,MATCH($M166,Data!$K$9:$K$1273,0)),"")</f>
        <v/>
      </c>
      <c r="P166" s="311">
        <f>IFERROR(INDEX(Data!N$9:N$1273,MATCH($M166,Data!$K$9:$K$1273,0)),"")</f>
        <v/>
      </c>
      <c r="Q166" s="311">
        <f>IFERROR(INDEX(Data!O$9:O$1273,MATCH($M166,Data!$K$9:$K$1273,0)),"")</f>
        <v/>
      </c>
      <c r="R166" s="311">
        <f>IFERROR(INDEX(Data!P$9:P$1273,MATCH($M166,Data!$K$9:$K$1273,0)),"")</f>
        <v/>
      </c>
      <c r="S166" s="311">
        <f>IFERROR(INDEX(Data!S$9:S$1273,MATCH($M166,Data!$K$9:$K$1273,0)),"")</f>
        <v/>
      </c>
      <c r="T166" s="311">
        <f>IFERROR(INDEX(Data!T$9:T$1273,MATCH($M166,Data!$K$9:$K$1273,0)),"")</f>
        <v/>
      </c>
      <c r="U166" s="311">
        <f>IFERROR(INDEX(Data!U$9:U$1273,MATCH($M166,Data!$K$9:$K$1273,0)),"")</f>
        <v/>
      </c>
      <c r="V166" s="311">
        <f>IFERROR(INDEX(Data!V$9:V$1273,MATCH($M166,Data!$K$9:$K$1273,0)),"")</f>
        <v/>
      </c>
      <c r="W166" s="311">
        <f>IFERROR(INDEX(Data!W$9:W$1273,MATCH($M166,Data!$K$9:$K$1273,0)),"")</f>
        <v/>
      </c>
      <c r="X166" s="311">
        <f>IFERROR(INDEX(Data!AJ$9:AJ$1273,MATCH($M166,Data!$K$9:$K$1273,0)),"")</f>
        <v/>
      </c>
      <c r="Y166" s="311">
        <f>IFERROR(INDEX(Data!AK$9:AK$1273,MATCH($M166,Data!$K$9:$K$1273,0)),"")</f>
        <v/>
      </c>
      <c r="Z166" s="311">
        <f>IFERROR(INDEX(Data!AL$9:AL$1273,MATCH($M166,Data!$K$9:$K$1273,0)),"")</f>
        <v/>
      </c>
      <c r="AA166" s="311">
        <f>IFERROR(INDEX(Data!AM$9:AM$1273,MATCH($M166,Data!$K$9:$K$1273,0)),"")</f>
        <v/>
      </c>
      <c r="AB166" s="311">
        <f>IFERROR(INDEX(Data!AN$9:AN$1273,MATCH($M166,Data!$K$9:$K$1273,0)),"")</f>
        <v/>
      </c>
      <c r="AC166" s="312">
        <f>IFERROR(INDEX(Data!BY$9:BY$1273,MATCH($M166,Data!$K$9:$K$1273,0)),"")</f>
        <v/>
      </c>
      <c r="AD166" s="312">
        <f>IFERROR(INDEX(Data!BZ$9:BZ$1273,MATCH($M166,Data!$K$9:$K$1273,0)),"")</f>
        <v/>
      </c>
      <c r="AE166" s="312">
        <f>IFERROR(INDEX(Data!CA$9:CA$1273,MATCH($M166,Data!$K$9:$K$1273,0)),"")</f>
        <v/>
      </c>
      <c r="AF166" s="312">
        <f>IFERROR(INDEX(Data!CB$9:CB$1273,MATCH($M166,Data!$K$9:$K$1273,0)),"")</f>
        <v/>
      </c>
      <c r="AG166" s="312">
        <f>IFERROR(INDEX(Data!CC$9:CC$1273,MATCH($M166,Data!$K$9:$K$1273,0)),"")</f>
        <v/>
      </c>
      <c r="AH166" s="312">
        <f>IFERROR(INDEX(Data!CD$9:CD$1273,MATCH($M166,Data!$K$9:$K$1273,0)),"")</f>
        <v/>
      </c>
      <c r="AI166" s="312">
        <f>IFERROR(INDEX(Data!CE$9:CE$1273,MATCH($M166,Data!$K$9:$K$1273,0)),"")</f>
        <v/>
      </c>
      <c r="AJ166" s="312">
        <f>IFERROR(INDEX(Data!CF$9:CF$1273,MATCH($M166,Data!$K$9:$K$1273,0)),"")</f>
        <v/>
      </c>
      <c r="AK166" s="312">
        <f>IFERROR(INDEX(Data!CG$9:CG$1273,MATCH($M166,Data!$K$9:$K$1273,0)),"")</f>
        <v/>
      </c>
      <c r="AL166" s="312">
        <f>IFERROR(INDEX(Data!CH$9:CH$1273,MATCH($M166,Data!$K$9:$K$1273,0)),"")</f>
        <v/>
      </c>
      <c r="AM166" s="312">
        <f>IFERROR(INDEX(Data!CI$9:CI$1273,MATCH($M166,Data!$K$9:$K$1273,0)),"")</f>
        <v/>
      </c>
      <c r="AN166" s="312">
        <f>IFERROR(INDEX(Data!CJ$9:CJ$1273,MATCH($M166,Data!$K$9:$K$1273,0)),"")</f>
        <v/>
      </c>
      <c r="AO166" s="312">
        <f>IFERROR(INDEX(Data!CK$9:CK$1273,MATCH($M166,Data!$K$9:$K$1273,0)),"")</f>
        <v/>
      </c>
      <c r="AP166" s="312">
        <f>IFERROR(INDEX(Data!CL$9:CL$1273,MATCH($M166,Data!$K$9:$K$1273,0)),"")</f>
        <v/>
      </c>
      <c r="AQ166" s="312">
        <f>IFERROR(INDEX(Data!CM$9:CM$1273,MATCH($M166,Data!$K$9:$K$1273,0)),"")</f>
        <v/>
      </c>
      <c r="AR166" s="312">
        <f>IFERROR(INDEX(Data!CN$9:CN$1273,MATCH($M166,Data!$K$9:$K$1273,0)),"")</f>
        <v/>
      </c>
      <c r="AS166" s="312">
        <f>IFERROR(INDEX(Data!CO$9:CO$1273,MATCH($M166,Data!$K$9:$K$1273,0)),"")</f>
        <v/>
      </c>
      <c r="AT166" s="312">
        <f>IFERROR(INDEX(Data!CP$9:CP$1273,MATCH($M166,Data!$K$9:$K$1273,0)),"")</f>
        <v/>
      </c>
      <c r="AU166" s="312">
        <f>IFERROR(INDEX(Data!CQ$9:CQ$1273,MATCH($M166,Data!$K$9:$K$1273,0)),"")</f>
        <v/>
      </c>
      <c r="AV166" s="312">
        <f>IFERROR(INDEX(Data!CR$9:CR$1273,MATCH($M166,Data!$K$9:$K$1273,0)),"")</f>
        <v/>
      </c>
      <c r="AW166" s="312">
        <f>IFERROR(INDEX(Data!CS$9:CS$1273,MATCH($M166,Data!$K$9:$K$1273,0)),"")</f>
        <v/>
      </c>
      <c r="AX166" s="312">
        <f>IFERROR(INDEX(Data!CT$9:CT$1273,MATCH($M166,Data!$K$9:$K$1273,0)),"")</f>
        <v/>
      </c>
      <c r="AY166" s="312">
        <f>IFERROR(INDEX(Data!CU$9:CU$1273,MATCH($M166,Data!$K$9:$K$1273,0)),"")</f>
        <v/>
      </c>
      <c r="AZ166" s="312">
        <f>IFERROR(INDEX(Data!CV$9:CV$1273,MATCH($M166,Data!$K$9:$K$1273,0)),"")</f>
        <v/>
      </c>
      <c r="BA166" s="312">
        <f>IFERROR(INDEX(Data!CX$9:CX$1273,MATCH($M166,Data!$K$9:$K$1273,0)),"")</f>
        <v/>
      </c>
      <c r="BB166" s="312">
        <f>IFERROR(INDEX(Data!CY$9:CY$1273,MATCH($M166,Data!$K$9:$K$1273,0)),"")</f>
        <v/>
      </c>
      <c r="BC166" s="312">
        <f>IFERROR(INDEX(Data!CZ$9:CZ$1273,MATCH($M166,Data!$K$9:$K$1273,0)),"")</f>
        <v/>
      </c>
      <c r="BD166" s="312">
        <f>IFERROR(INDEX(Data!DA$9:DA$1273,MATCH($M166,Data!$K$9:$K$1273,0)),"")</f>
        <v/>
      </c>
      <c r="BE166" s="312">
        <f>IFERROR(INDEX(Data!DB$9:DB$1273,MATCH($M166,Data!$K$9:$K$1273,0)),"")</f>
        <v/>
      </c>
      <c r="BF166" s="312">
        <f>IFERROR(INDEX(Data!DC$9:DC$1273,MATCH($M166,Data!$K$9:$K$1273,0)),"")</f>
        <v/>
      </c>
      <c r="BG166" s="312">
        <f>IFERROR(INDEX(Data!DD$9:DD$1273,MATCH($M166,Data!$K$9:$K$1273,0)),"")</f>
        <v/>
      </c>
      <c r="BH166" s="312">
        <f>IFERROR(INDEX(Data!DE$9:DE$1273,MATCH($M166,Data!$K$9:$K$1273,0)),"")</f>
        <v/>
      </c>
      <c r="BI166" s="312">
        <f>IFERROR(INDEX(Data!DF$9:DF$1273,MATCH($M166,Data!$K$9:$K$1273,0)),"")</f>
        <v/>
      </c>
      <c r="BJ166" s="312">
        <f>IFERROR(INDEX(Data!DG$9:DG$1273,MATCH($M166,Data!$K$9:$K$1273,0)),"")</f>
        <v/>
      </c>
      <c r="BK166" s="312">
        <f>IFERROR(INDEX(Data!DH$9:DH$1273,MATCH($M166,Data!$K$9:$K$1273,0)),"")</f>
        <v/>
      </c>
      <c r="BL166" s="312">
        <f>IFERROR(INDEX(Data!DI$9:DI$1273,MATCH($M166,Data!$K$9:$K$1273,0)),"")</f>
        <v/>
      </c>
      <c r="BM166" s="312">
        <f>IFERROR(INDEX(Data!DJ$9:DJ$1273,MATCH($M166,Data!$K$9:$K$1273,0)),"")</f>
        <v/>
      </c>
      <c r="BN166" s="312">
        <f>IFERROR(INDEX(Data!DK$9:DK$1273,MATCH($M166,Data!$K$9:$K$1273,0)),"")</f>
        <v/>
      </c>
      <c r="BO166" s="312">
        <f>IFERROR(INDEX(Data!DL$9:DL$1273,MATCH($M166,Data!$K$9:$K$1273,0)),"")</f>
        <v/>
      </c>
      <c r="BP166" s="331">
        <f>IFERROR(IF(BK166=0,"-",BK166),"")</f>
        <v/>
      </c>
      <c r="BQ166" s="312">
        <f>IFERROR(IF(BP166-K166&gt;0,TRUE,FALSE)," ")</f>
        <v/>
      </c>
      <c r="BR166" s="312">
        <f>_xlfn.CONCAT(E166,F166,H166,G166)</f>
        <v/>
      </c>
      <c r="BS166" s="312">
        <f>IFERROR(INDEX(Data!$DO$9:$DO$1273,MATCH('Your recommendation'!BR166,Data!$DN$9:$DN$1273,0)),"")</f>
        <v/>
      </c>
    </row>
    <row r="167" ht="15.6" customFormat="1" customHeight="1" s="138">
      <c r="B167" s="309">
        <f>IF(C167&gt;0,B166+1,"")</f>
        <v/>
      </c>
      <c r="C167" s="310" t="n"/>
      <c r="D167" s="312">
        <f>IFERROR(INDEX(Data!BR$9:BR$1273,MATCH($M167,Data!$K$9:$K$1273,0)),"")</f>
        <v/>
      </c>
      <c r="E167" s="312">
        <f>IFERROR(INDEX(Data!BS$9:BS$1273,MATCH($M167,Data!$K$9:$K$1273,0)),"")</f>
        <v/>
      </c>
      <c r="F167" s="312">
        <f>IFERROR(INDEX(Data!DM$9:DM$1273,MATCH($M167,Data!$K$9:$K$1273,0)),"")</f>
        <v/>
      </c>
      <c r="G167" s="312">
        <f>IFERROR(INDEX(Data!BV$9:BV$1273,MATCH($M167,Data!$K$9:$K$1273,0)),"")</f>
        <v/>
      </c>
      <c r="H167" s="312">
        <f>IFERROR(INDEX(Data!BW$9:BW$1273,MATCH($M167,Data!$K$9:$K$1273,0)),"")</f>
        <v/>
      </c>
      <c r="I167" s="312">
        <f>IFERROR(INDEX(Data!BX$9:BX$1273,MATCH($M167,Data!$K$9:$K$1273,0)),"")</f>
        <v/>
      </c>
      <c r="J167" s="312">
        <f>IFERROR(INDEX(Data!CB$9:CB$1273,MATCH($M167,Data!$K$9:$K$1273,0)),"")</f>
        <v/>
      </c>
      <c r="K167" s="329">
        <f>IFERROR(HYPERLINK(BM167,BC167),"-")</f>
        <v/>
      </c>
      <c r="L167" s="330">
        <f>IFERROR(IF(BB167=0,"-",BB167)," ")</f>
        <v/>
      </c>
      <c r="M167" s="311" t="n"/>
      <c r="N167" s="311" t="n"/>
      <c r="O167" s="311">
        <f>IFERROR(INDEX(Data!M$9:M$1273,MATCH($M167,Data!$K$9:$K$1273,0)),"")</f>
        <v/>
      </c>
      <c r="P167" s="311">
        <f>IFERROR(INDEX(Data!N$9:N$1273,MATCH($M167,Data!$K$9:$K$1273,0)),"")</f>
        <v/>
      </c>
      <c r="Q167" s="311">
        <f>IFERROR(INDEX(Data!O$9:O$1273,MATCH($M167,Data!$K$9:$K$1273,0)),"")</f>
        <v/>
      </c>
      <c r="R167" s="311">
        <f>IFERROR(INDEX(Data!P$9:P$1273,MATCH($M167,Data!$K$9:$K$1273,0)),"")</f>
        <v/>
      </c>
      <c r="S167" s="311">
        <f>IFERROR(INDEX(Data!S$9:S$1273,MATCH($M167,Data!$K$9:$K$1273,0)),"")</f>
        <v/>
      </c>
      <c r="T167" s="311">
        <f>IFERROR(INDEX(Data!T$9:T$1273,MATCH($M167,Data!$K$9:$K$1273,0)),"")</f>
        <v/>
      </c>
      <c r="U167" s="311">
        <f>IFERROR(INDEX(Data!U$9:U$1273,MATCH($M167,Data!$K$9:$K$1273,0)),"")</f>
        <v/>
      </c>
      <c r="V167" s="311">
        <f>IFERROR(INDEX(Data!V$9:V$1273,MATCH($M167,Data!$K$9:$K$1273,0)),"")</f>
        <v/>
      </c>
      <c r="W167" s="311">
        <f>IFERROR(INDEX(Data!W$9:W$1273,MATCH($M167,Data!$K$9:$K$1273,0)),"")</f>
        <v/>
      </c>
      <c r="X167" s="311">
        <f>IFERROR(INDEX(Data!AJ$9:AJ$1273,MATCH($M167,Data!$K$9:$K$1273,0)),"")</f>
        <v/>
      </c>
      <c r="Y167" s="311">
        <f>IFERROR(INDEX(Data!AK$9:AK$1273,MATCH($M167,Data!$K$9:$K$1273,0)),"")</f>
        <v/>
      </c>
      <c r="Z167" s="311">
        <f>IFERROR(INDEX(Data!AL$9:AL$1273,MATCH($M167,Data!$K$9:$K$1273,0)),"")</f>
        <v/>
      </c>
      <c r="AA167" s="311">
        <f>IFERROR(INDEX(Data!AM$9:AM$1273,MATCH($M167,Data!$K$9:$K$1273,0)),"")</f>
        <v/>
      </c>
      <c r="AB167" s="311">
        <f>IFERROR(INDEX(Data!AN$9:AN$1273,MATCH($M167,Data!$K$9:$K$1273,0)),"")</f>
        <v/>
      </c>
      <c r="AC167" s="312">
        <f>IFERROR(INDEX(Data!BY$9:BY$1273,MATCH($M167,Data!$K$9:$K$1273,0)),"")</f>
        <v/>
      </c>
      <c r="AD167" s="312">
        <f>IFERROR(INDEX(Data!BZ$9:BZ$1273,MATCH($M167,Data!$K$9:$K$1273,0)),"")</f>
        <v/>
      </c>
      <c r="AE167" s="312">
        <f>IFERROR(INDEX(Data!CA$9:CA$1273,MATCH($M167,Data!$K$9:$K$1273,0)),"")</f>
        <v/>
      </c>
      <c r="AF167" s="312">
        <f>IFERROR(INDEX(Data!CB$9:CB$1273,MATCH($M167,Data!$K$9:$K$1273,0)),"")</f>
        <v/>
      </c>
      <c r="AG167" s="312">
        <f>IFERROR(INDEX(Data!CC$9:CC$1273,MATCH($M167,Data!$K$9:$K$1273,0)),"")</f>
        <v/>
      </c>
      <c r="AH167" s="312">
        <f>IFERROR(INDEX(Data!CD$9:CD$1273,MATCH($M167,Data!$K$9:$K$1273,0)),"")</f>
        <v/>
      </c>
      <c r="AI167" s="312">
        <f>IFERROR(INDEX(Data!CE$9:CE$1273,MATCH($M167,Data!$K$9:$K$1273,0)),"")</f>
        <v/>
      </c>
      <c r="AJ167" s="312">
        <f>IFERROR(INDEX(Data!CF$9:CF$1273,MATCH($M167,Data!$K$9:$K$1273,0)),"")</f>
        <v/>
      </c>
      <c r="AK167" s="312">
        <f>IFERROR(INDEX(Data!CG$9:CG$1273,MATCH($M167,Data!$K$9:$K$1273,0)),"")</f>
        <v/>
      </c>
      <c r="AL167" s="312">
        <f>IFERROR(INDEX(Data!CH$9:CH$1273,MATCH($M167,Data!$K$9:$K$1273,0)),"")</f>
        <v/>
      </c>
      <c r="AM167" s="312">
        <f>IFERROR(INDEX(Data!CI$9:CI$1273,MATCH($M167,Data!$K$9:$K$1273,0)),"")</f>
        <v/>
      </c>
      <c r="AN167" s="312">
        <f>IFERROR(INDEX(Data!CJ$9:CJ$1273,MATCH($M167,Data!$K$9:$K$1273,0)),"")</f>
        <v/>
      </c>
      <c r="AO167" s="312">
        <f>IFERROR(INDEX(Data!CK$9:CK$1273,MATCH($M167,Data!$K$9:$K$1273,0)),"")</f>
        <v/>
      </c>
      <c r="AP167" s="312">
        <f>IFERROR(INDEX(Data!CL$9:CL$1273,MATCH($M167,Data!$K$9:$K$1273,0)),"")</f>
        <v/>
      </c>
      <c r="AQ167" s="312">
        <f>IFERROR(INDEX(Data!CM$9:CM$1273,MATCH($M167,Data!$K$9:$K$1273,0)),"")</f>
        <v/>
      </c>
      <c r="AR167" s="312">
        <f>IFERROR(INDEX(Data!CN$9:CN$1273,MATCH($M167,Data!$K$9:$K$1273,0)),"")</f>
        <v/>
      </c>
      <c r="AS167" s="312">
        <f>IFERROR(INDEX(Data!CO$9:CO$1273,MATCH($M167,Data!$K$9:$K$1273,0)),"")</f>
        <v/>
      </c>
      <c r="AT167" s="312">
        <f>IFERROR(INDEX(Data!CP$9:CP$1273,MATCH($M167,Data!$K$9:$K$1273,0)),"")</f>
        <v/>
      </c>
      <c r="AU167" s="312">
        <f>IFERROR(INDEX(Data!CQ$9:CQ$1273,MATCH($M167,Data!$K$9:$K$1273,0)),"")</f>
        <v/>
      </c>
      <c r="AV167" s="312">
        <f>IFERROR(INDEX(Data!CR$9:CR$1273,MATCH($M167,Data!$K$9:$K$1273,0)),"")</f>
        <v/>
      </c>
      <c r="AW167" s="312">
        <f>IFERROR(INDEX(Data!CS$9:CS$1273,MATCH($M167,Data!$K$9:$K$1273,0)),"")</f>
        <v/>
      </c>
      <c r="AX167" s="312">
        <f>IFERROR(INDEX(Data!CT$9:CT$1273,MATCH($M167,Data!$K$9:$K$1273,0)),"")</f>
        <v/>
      </c>
      <c r="AY167" s="312">
        <f>IFERROR(INDEX(Data!CU$9:CU$1273,MATCH($M167,Data!$K$9:$K$1273,0)),"")</f>
        <v/>
      </c>
      <c r="AZ167" s="312">
        <f>IFERROR(INDEX(Data!CV$9:CV$1273,MATCH($M167,Data!$K$9:$K$1273,0)),"")</f>
        <v/>
      </c>
      <c r="BA167" s="312">
        <f>IFERROR(INDEX(Data!CX$9:CX$1273,MATCH($M167,Data!$K$9:$K$1273,0)),"")</f>
        <v/>
      </c>
      <c r="BB167" s="312">
        <f>IFERROR(INDEX(Data!CY$9:CY$1273,MATCH($M167,Data!$K$9:$K$1273,0)),"")</f>
        <v/>
      </c>
      <c r="BC167" s="312">
        <f>IFERROR(INDEX(Data!CZ$9:CZ$1273,MATCH($M167,Data!$K$9:$K$1273,0)),"")</f>
        <v/>
      </c>
      <c r="BD167" s="312">
        <f>IFERROR(INDEX(Data!DA$9:DA$1273,MATCH($M167,Data!$K$9:$K$1273,0)),"")</f>
        <v/>
      </c>
      <c r="BE167" s="312">
        <f>IFERROR(INDEX(Data!DB$9:DB$1273,MATCH($M167,Data!$K$9:$K$1273,0)),"")</f>
        <v/>
      </c>
      <c r="BF167" s="312">
        <f>IFERROR(INDEX(Data!DC$9:DC$1273,MATCH($M167,Data!$K$9:$K$1273,0)),"")</f>
        <v/>
      </c>
      <c r="BG167" s="312">
        <f>IFERROR(INDEX(Data!DD$9:DD$1273,MATCH($M167,Data!$K$9:$K$1273,0)),"")</f>
        <v/>
      </c>
      <c r="BH167" s="312">
        <f>IFERROR(INDEX(Data!DE$9:DE$1273,MATCH($M167,Data!$K$9:$K$1273,0)),"")</f>
        <v/>
      </c>
      <c r="BI167" s="312">
        <f>IFERROR(INDEX(Data!DF$9:DF$1273,MATCH($M167,Data!$K$9:$K$1273,0)),"")</f>
        <v/>
      </c>
      <c r="BJ167" s="312">
        <f>IFERROR(INDEX(Data!DG$9:DG$1273,MATCH($M167,Data!$K$9:$K$1273,0)),"")</f>
        <v/>
      </c>
      <c r="BK167" s="312">
        <f>IFERROR(INDEX(Data!DH$9:DH$1273,MATCH($M167,Data!$K$9:$K$1273,0)),"")</f>
        <v/>
      </c>
      <c r="BL167" s="312">
        <f>IFERROR(INDEX(Data!DI$9:DI$1273,MATCH($M167,Data!$K$9:$K$1273,0)),"")</f>
        <v/>
      </c>
      <c r="BM167" s="312">
        <f>IFERROR(INDEX(Data!DJ$9:DJ$1273,MATCH($M167,Data!$K$9:$K$1273,0)),"")</f>
        <v/>
      </c>
      <c r="BN167" s="312">
        <f>IFERROR(INDEX(Data!DK$9:DK$1273,MATCH($M167,Data!$K$9:$K$1273,0)),"")</f>
        <v/>
      </c>
      <c r="BO167" s="312">
        <f>IFERROR(INDEX(Data!DL$9:DL$1273,MATCH($M167,Data!$K$9:$K$1273,0)),"")</f>
        <v/>
      </c>
      <c r="BP167" s="331">
        <f>IFERROR(IF(BK167=0,"-",BK167),"")</f>
        <v/>
      </c>
      <c r="BQ167" s="312">
        <f>IFERROR(IF(BP167-K167&gt;0,TRUE,FALSE)," ")</f>
        <v/>
      </c>
      <c r="BR167" s="312">
        <f>_xlfn.CONCAT(E167,F167,H167,G167)</f>
        <v/>
      </c>
      <c r="BS167" s="312">
        <f>IFERROR(INDEX(Data!$DO$9:$DO$1273,MATCH('Your recommendation'!BR167,Data!$DN$9:$DN$1273,0)),"")</f>
        <v/>
      </c>
    </row>
    <row r="168" ht="15.6" customFormat="1" customHeight="1" s="138">
      <c r="B168" s="309">
        <f>IF(C168&gt;0,B167+1,"")</f>
        <v/>
      </c>
      <c r="C168" s="310" t="n"/>
      <c r="D168" s="312">
        <f>IFERROR(INDEX(Data!BR$9:BR$1273,MATCH($M168,Data!$K$9:$K$1273,0)),"")</f>
        <v/>
      </c>
      <c r="E168" s="312">
        <f>IFERROR(INDEX(Data!BS$9:BS$1273,MATCH($M168,Data!$K$9:$K$1273,0)),"")</f>
        <v/>
      </c>
      <c r="F168" s="312">
        <f>IFERROR(INDEX(Data!DM$9:DM$1273,MATCH($M168,Data!$K$9:$K$1273,0)),"")</f>
        <v/>
      </c>
      <c r="G168" s="312">
        <f>IFERROR(INDEX(Data!BV$9:BV$1273,MATCH($M168,Data!$K$9:$K$1273,0)),"")</f>
        <v/>
      </c>
      <c r="H168" s="312">
        <f>IFERROR(INDEX(Data!BW$9:BW$1273,MATCH($M168,Data!$K$9:$K$1273,0)),"")</f>
        <v/>
      </c>
      <c r="I168" s="312">
        <f>IFERROR(INDEX(Data!BX$9:BX$1273,MATCH($M168,Data!$K$9:$K$1273,0)),"")</f>
        <v/>
      </c>
      <c r="J168" s="312">
        <f>IFERROR(INDEX(Data!CB$9:CB$1273,MATCH($M168,Data!$K$9:$K$1273,0)),"")</f>
        <v/>
      </c>
      <c r="K168" s="329">
        <f>IFERROR(HYPERLINK(BM168,BC168),"-")</f>
        <v/>
      </c>
      <c r="L168" s="330">
        <f>IFERROR(IF(BB168=0,"-",BB168)," ")</f>
        <v/>
      </c>
      <c r="M168" s="311" t="n"/>
      <c r="N168" s="311" t="n"/>
      <c r="O168" s="311">
        <f>IFERROR(INDEX(Data!M$9:M$1273,MATCH($M168,Data!$K$9:$K$1273,0)),"")</f>
        <v/>
      </c>
      <c r="P168" s="311">
        <f>IFERROR(INDEX(Data!N$9:N$1273,MATCH($M168,Data!$K$9:$K$1273,0)),"")</f>
        <v/>
      </c>
      <c r="Q168" s="311">
        <f>IFERROR(INDEX(Data!O$9:O$1273,MATCH($M168,Data!$K$9:$K$1273,0)),"")</f>
        <v/>
      </c>
      <c r="R168" s="311">
        <f>IFERROR(INDEX(Data!P$9:P$1273,MATCH($M168,Data!$K$9:$K$1273,0)),"")</f>
        <v/>
      </c>
      <c r="S168" s="311">
        <f>IFERROR(INDEX(Data!S$9:S$1273,MATCH($M168,Data!$K$9:$K$1273,0)),"")</f>
        <v/>
      </c>
      <c r="T168" s="311">
        <f>IFERROR(INDEX(Data!T$9:T$1273,MATCH($M168,Data!$K$9:$K$1273,0)),"")</f>
        <v/>
      </c>
      <c r="U168" s="311">
        <f>IFERROR(INDEX(Data!U$9:U$1273,MATCH($M168,Data!$K$9:$K$1273,0)),"")</f>
        <v/>
      </c>
      <c r="V168" s="311">
        <f>IFERROR(INDEX(Data!V$9:V$1273,MATCH($M168,Data!$K$9:$K$1273,0)),"")</f>
        <v/>
      </c>
      <c r="W168" s="311">
        <f>IFERROR(INDEX(Data!W$9:W$1273,MATCH($M168,Data!$K$9:$K$1273,0)),"")</f>
        <v/>
      </c>
      <c r="X168" s="311">
        <f>IFERROR(INDEX(Data!AJ$9:AJ$1273,MATCH($M168,Data!$K$9:$K$1273,0)),"")</f>
        <v/>
      </c>
      <c r="Y168" s="311">
        <f>IFERROR(INDEX(Data!AK$9:AK$1273,MATCH($M168,Data!$K$9:$K$1273,0)),"")</f>
        <v/>
      </c>
      <c r="Z168" s="311">
        <f>IFERROR(INDEX(Data!AL$9:AL$1273,MATCH($M168,Data!$K$9:$K$1273,0)),"")</f>
        <v/>
      </c>
      <c r="AA168" s="311">
        <f>IFERROR(INDEX(Data!AM$9:AM$1273,MATCH($M168,Data!$K$9:$K$1273,0)),"")</f>
        <v/>
      </c>
      <c r="AB168" s="311">
        <f>IFERROR(INDEX(Data!AN$9:AN$1273,MATCH($M168,Data!$K$9:$K$1273,0)),"")</f>
        <v/>
      </c>
      <c r="AC168" s="312">
        <f>IFERROR(INDEX(Data!BY$9:BY$1273,MATCH($M168,Data!$K$9:$K$1273,0)),"")</f>
        <v/>
      </c>
      <c r="AD168" s="312">
        <f>IFERROR(INDEX(Data!BZ$9:BZ$1273,MATCH($M168,Data!$K$9:$K$1273,0)),"")</f>
        <v/>
      </c>
      <c r="AE168" s="312">
        <f>IFERROR(INDEX(Data!CA$9:CA$1273,MATCH($M168,Data!$K$9:$K$1273,0)),"")</f>
        <v/>
      </c>
      <c r="AF168" s="312">
        <f>IFERROR(INDEX(Data!CB$9:CB$1273,MATCH($M168,Data!$K$9:$K$1273,0)),"")</f>
        <v/>
      </c>
      <c r="AG168" s="312">
        <f>IFERROR(INDEX(Data!CC$9:CC$1273,MATCH($M168,Data!$K$9:$K$1273,0)),"")</f>
        <v/>
      </c>
      <c r="AH168" s="312">
        <f>IFERROR(INDEX(Data!CD$9:CD$1273,MATCH($M168,Data!$K$9:$K$1273,0)),"")</f>
        <v/>
      </c>
      <c r="AI168" s="312">
        <f>IFERROR(INDEX(Data!CE$9:CE$1273,MATCH($M168,Data!$K$9:$K$1273,0)),"")</f>
        <v/>
      </c>
      <c r="AJ168" s="312">
        <f>IFERROR(INDEX(Data!CF$9:CF$1273,MATCH($M168,Data!$K$9:$K$1273,0)),"")</f>
        <v/>
      </c>
      <c r="AK168" s="312">
        <f>IFERROR(INDEX(Data!CG$9:CG$1273,MATCH($M168,Data!$K$9:$K$1273,0)),"")</f>
        <v/>
      </c>
      <c r="AL168" s="312">
        <f>IFERROR(INDEX(Data!CH$9:CH$1273,MATCH($M168,Data!$K$9:$K$1273,0)),"")</f>
        <v/>
      </c>
      <c r="AM168" s="312">
        <f>IFERROR(INDEX(Data!CI$9:CI$1273,MATCH($M168,Data!$K$9:$K$1273,0)),"")</f>
        <v/>
      </c>
      <c r="AN168" s="312">
        <f>IFERROR(INDEX(Data!CJ$9:CJ$1273,MATCH($M168,Data!$K$9:$K$1273,0)),"")</f>
        <v/>
      </c>
      <c r="AO168" s="312">
        <f>IFERROR(INDEX(Data!CK$9:CK$1273,MATCH($M168,Data!$K$9:$K$1273,0)),"")</f>
        <v/>
      </c>
      <c r="AP168" s="312">
        <f>IFERROR(INDEX(Data!CL$9:CL$1273,MATCH($M168,Data!$K$9:$K$1273,0)),"")</f>
        <v/>
      </c>
      <c r="AQ168" s="312">
        <f>IFERROR(INDEX(Data!CM$9:CM$1273,MATCH($M168,Data!$K$9:$K$1273,0)),"")</f>
        <v/>
      </c>
      <c r="AR168" s="312">
        <f>IFERROR(INDEX(Data!CN$9:CN$1273,MATCH($M168,Data!$K$9:$K$1273,0)),"")</f>
        <v/>
      </c>
      <c r="AS168" s="312">
        <f>IFERROR(INDEX(Data!CO$9:CO$1273,MATCH($M168,Data!$K$9:$K$1273,0)),"")</f>
        <v/>
      </c>
      <c r="AT168" s="312">
        <f>IFERROR(INDEX(Data!CP$9:CP$1273,MATCH($M168,Data!$K$9:$K$1273,0)),"")</f>
        <v/>
      </c>
      <c r="AU168" s="312">
        <f>IFERROR(INDEX(Data!CQ$9:CQ$1273,MATCH($M168,Data!$K$9:$K$1273,0)),"")</f>
        <v/>
      </c>
      <c r="AV168" s="312">
        <f>IFERROR(INDEX(Data!CR$9:CR$1273,MATCH($M168,Data!$K$9:$K$1273,0)),"")</f>
        <v/>
      </c>
      <c r="AW168" s="312">
        <f>IFERROR(INDEX(Data!CS$9:CS$1273,MATCH($M168,Data!$K$9:$K$1273,0)),"")</f>
        <v/>
      </c>
      <c r="AX168" s="312">
        <f>IFERROR(INDEX(Data!CT$9:CT$1273,MATCH($M168,Data!$K$9:$K$1273,0)),"")</f>
        <v/>
      </c>
      <c r="AY168" s="312">
        <f>IFERROR(INDEX(Data!CU$9:CU$1273,MATCH($M168,Data!$K$9:$K$1273,0)),"")</f>
        <v/>
      </c>
      <c r="AZ168" s="312">
        <f>IFERROR(INDEX(Data!CV$9:CV$1273,MATCH($M168,Data!$K$9:$K$1273,0)),"")</f>
        <v/>
      </c>
      <c r="BA168" s="312">
        <f>IFERROR(INDEX(Data!CX$9:CX$1273,MATCH($M168,Data!$K$9:$K$1273,0)),"")</f>
        <v/>
      </c>
      <c r="BB168" s="312">
        <f>IFERROR(INDEX(Data!CY$9:CY$1273,MATCH($M168,Data!$K$9:$K$1273,0)),"")</f>
        <v/>
      </c>
      <c r="BC168" s="312">
        <f>IFERROR(INDEX(Data!CZ$9:CZ$1273,MATCH($M168,Data!$K$9:$K$1273,0)),"")</f>
        <v/>
      </c>
      <c r="BD168" s="312">
        <f>IFERROR(INDEX(Data!DA$9:DA$1273,MATCH($M168,Data!$K$9:$K$1273,0)),"")</f>
        <v/>
      </c>
      <c r="BE168" s="312">
        <f>IFERROR(INDEX(Data!DB$9:DB$1273,MATCH($M168,Data!$K$9:$K$1273,0)),"")</f>
        <v/>
      </c>
      <c r="BF168" s="312">
        <f>IFERROR(INDEX(Data!DC$9:DC$1273,MATCH($M168,Data!$K$9:$K$1273,0)),"")</f>
        <v/>
      </c>
      <c r="BG168" s="312">
        <f>IFERROR(INDEX(Data!DD$9:DD$1273,MATCH($M168,Data!$K$9:$K$1273,0)),"")</f>
        <v/>
      </c>
      <c r="BH168" s="312">
        <f>IFERROR(INDEX(Data!DE$9:DE$1273,MATCH($M168,Data!$K$9:$K$1273,0)),"")</f>
        <v/>
      </c>
      <c r="BI168" s="312">
        <f>IFERROR(INDEX(Data!DF$9:DF$1273,MATCH($M168,Data!$K$9:$K$1273,0)),"")</f>
        <v/>
      </c>
      <c r="BJ168" s="312">
        <f>IFERROR(INDEX(Data!DG$9:DG$1273,MATCH($M168,Data!$K$9:$K$1273,0)),"")</f>
        <v/>
      </c>
      <c r="BK168" s="312">
        <f>IFERROR(INDEX(Data!DH$9:DH$1273,MATCH($M168,Data!$K$9:$K$1273,0)),"")</f>
        <v/>
      </c>
      <c r="BL168" s="312">
        <f>IFERROR(INDEX(Data!DI$9:DI$1273,MATCH($M168,Data!$K$9:$K$1273,0)),"")</f>
        <v/>
      </c>
      <c r="BM168" s="312">
        <f>IFERROR(INDEX(Data!DJ$9:DJ$1273,MATCH($M168,Data!$K$9:$K$1273,0)),"")</f>
        <v/>
      </c>
      <c r="BN168" s="312">
        <f>IFERROR(INDEX(Data!DK$9:DK$1273,MATCH($M168,Data!$K$9:$K$1273,0)),"")</f>
        <v/>
      </c>
      <c r="BO168" s="312">
        <f>IFERROR(INDEX(Data!DL$9:DL$1273,MATCH($M168,Data!$K$9:$K$1273,0)),"")</f>
        <v/>
      </c>
      <c r="BP168" s="331">
        <f>IFERROR(IF(BK168=0,"-",BK168),"")</f>
        <v/>
      </c>
      <c r="BQ168" s="312">
        <f>IFERROR(IF(BP168-K168&gt;0,TRUE,FALSE)," ")</f>
        <v/>
      </c>
      <c r="BR168" s="312">
        <f>_xlfn.CONCAT(E168,F168,H168,G168)</f>
        <v/>
      </c>
      <c r="BS168" s="312">
        <f>IFERROR(INDEX(Data!$DO$9:$DO$1273,MATCH('Your recommendation'!BR168,Data!$DN$9:$DN$1273,0)),"")</f>
        <v/>
      </c>
    </row>
    <row r="169" ht="15.6" customFormat="1" customHeight="1" s="138">
      <c r="B169" s="309">
        <f>IF(C169&gt;0,B168+1,"")</f>
        <v/>
      </c>
      <c r="C169" s="310" t="n"/>
      <c r="D169" s="312">
        <f>IFERROR(INDEX(Data!BR$9:BR$1273,MATCH($M169,Data!$K$9:$K$1273,0)),"")</f>
        <v/>
      </c>
      <c r="E169" s="312">
        <f>IFERROR(INDEX(Data!BS$9:BS$1273,MATCH($M169,Data!$K$9:$K$1273,0)),"")</f>
        <v/>
      </c>
      <c r="F169" s="312">
        <f>IFERROR(INDEX(Data!DM$9:DM$1273,MATCH($M169,Data!$K$9:$K$1273,0)),"")</f>
        <v/>
      </c>
      <c r="G169" s="312">
        <f>IFERROR(INDEX(Data!BV$9:BV$1273,MATCH($M169,Data!$K$9:$K$1273,0)),"")</f>
        <v/>
      </c>
      <c r="H169" s="312">
        <f>IFERROR(INDEX(Data!BW$9:BW$1273,MATCH($M169,Data!$K$9:$K$1273,0)),"")</f>
        <v/>
      </c>
      <c r="I169" s="312">
        <f>IFERROR(INDEX(Data!BX$9:BX$1273,MATCH($M169,Data!$K$9:$K$1273,0)),"")</f>
        <v/>
      </c>
      <c r="J169" s="312">
        <f>IFERROR(INDEX(Data!CB$9:CB$1273,MATCH($M169,Data!$K$9:$K$1273,0)),"")</f>
        <v/>
      </c>
      <c r="K169" s="329">
        <f>IFERROR(HYPERLINK(BM169,BC169),"-")</f>
        <v/>
      </c>
      <c r="L169" s="330">
        <f>IFERROR(IF(BB169=0,"-",BB169)," ")</f>
        <v/>
      </c>
      <c r="M169" s="311" t="n"/>
      <c r="N169" s="311" t="n"/>
      <c r="O169" s="311">
        <f>IFERROR(INDEX(Data!M$9:M$1273,MATCH($M169,Data!$K$9:$K$1273,0)),"")</f>
        <v/>
      </c>
      <c r="P169" s="311">
        <f>IFERROR(INDEX(Data!N$9:N$1273,MATCH($M169,Data!$K$9:$K$1273,0)),"")</f>
        <v/>
      </c>
      <c r="Q169" s="311">
        <f>IFERROR(INDEX(Data!O$9:O$1273,MATCH($M169,Data!$K$9:$K$1273,0)),"")</f>
        <v/>
      </c>
      <c r="R169" s="311">
        <f>IFERROR(INDEX(Data!P$9:P$1273,MATCH($M169,Data!$K$9:$K$1273,0)),"")</f>
        <v/>
      </c>
      <c r="S169" s="311">
        <f>IFERROR(INDEX(Data!S$9:S$1273,MATCH($M169,Data!$K$9:$K$1273,0)),"")</f>
        <v/>
      </c>
      <c r="T169" s="311">
        <f>IFERROR(INDEX(Data!T$9:T$1273,MATCH($M169,Data!$K$9:$K$1273,0)),"")</f>
        <v/>
      </c>
      <c r="U169" s="311">
        <f>IFERROR(INDEX(Data!U$9:U$1273,MATCH($M169,Data!$K$9:$K$1273,0)),"")</f>
        <v/>
      </c>
      <c r="V169" s="311">
        <f>IFERROR(INDEX(Data!V$9:V$1273,MATCH($M169,Data!$K$9:$K$1273,0)),"")</f>
        <v/>
      </c>
      <c r="W169" s="311">
        <f>IFERROR(INDEX(Data!W$9:W$1273,MATCH($M169,Data!$K$9:$K$1273,0)),"")</f>
        <v/>
      </c>
      <c r="X169" s="311">
        <f>IFERROR(INDEX(Data!AJ$9:AJ$1273,MATCH($M169,Data!$K$9:$K$1273,0)),"")</f>
        <v/>
      </c>
      <c r="Y169" s="311">
        <f>IFERROR(INDEX(Data!AK$9:AK$1273,MATCH($M169,Data!$K$9:$K$1273,0)),"")</f>
        <v/>
      </c>
      <c r="Z169" s="311">
        <f>IFERROR(INDEX(Data!AL$9:AL$1273,MATCH($M169,Data!$K$9:$K$1273,0)),"")</f>
        <v/>
      </c>
      <c r="AA169" s="311">
        <f>IFERROR(INDEX(Data!AM$9:AM$1273,MATCH($M169,Data!$K$9:$K$1273,0)),"")</f>
        <v/>
      </c>
      <c r="AB169" s="311">
        <f>IFERROR(INDEX(Data!AN$9:AN$1273,MATCH($M169,Data!$K$9:$K$1273,0)),"")</f>
        <v/>
      </c>
      <c r="AC169" s="312">
        <f>IFERROR(INDEX(Data!BY$9:BY$1273,MATCH($M169,Data!$K$9:$K$1273,0)),"")</f>
        <v/>
      </c>
      <c r="AD169" s="312">
        <f>IFERROR(INDEX(Data!BZ$9:BZ$1273,MATCH($M169,Data!$K$9:$K$1273,0)),"")</f>
        <v/>
      </c>
      <c r="AE169" s="312">
        <f>IFERROR(INDEX(Data!CA$9:CA$1273,MATCH($M169,Data!$K$9:$K$1273,0)),"")</f>
        <v/>
      </c>
      <c r="AF169" s="312">
        <f>IFERROR(INDEX(Data!CB$9:CB$1273,MATCH($M169,Data!$K$9:$K$1273,0)),"")</f>
        <v/>
      </c>
      <c r="AG169" s="312">
        <f>IFERROR(INDEX(Data!CC$9:CC$1273,MATCH($M169,Data!$K$9:$K$1273,0)),"")</f>
        <v/>
      </c>
      <c r="AH169" s="312">
        <f>IFERROR(INDEX(Data!CD$9:CD$1273,MATCH($M169,Data!$K$9:$K$1273,0)),"")</f>
        <v/>
      </c>
      <c r="AI169" s="312">
        <f>IFERROR(INDEX(Data!CE$9:CE$1273,MATCH($M169,Data!$K$9:$K$1273,0)),"")</f>
        <v/>
      </c>
      <c r="AJ169" s="312">
        <f>IFERROR(INDEX(Data!CF$9:CF$1273,MATCH($M169,Data!$K$9:$K$1273,0)),"")</f>
        <v/>
      </c>
      <c r="AK169" s="312">
        <f>IFERROR(INDEX(Data!CG$9:CG$1273,MATCH($M169,Data!$K$9:$K$1273,0)),"")</f>
        <v/>
      </c>
      <c r="AL169" s="312">
        <f>IFERROR(INDEX(Data!CH$9:CH$1273,MATCH($M169,Data!$K$9:$K$1273,0)),"")</f>
        <v/>
      </c>
      <c r="AM169" s="312">
        <f>IFERROR(INDEX(Data!CI$9:CI$1273,MATCH($M169,Data!$K$9:$K$1273,0)),"")</f>
        <v/>
      </c>
      <c r="AN169" s="312">
        <f>IFERROR(INDEX(Data!CJ$9:CJ$1273,MATCH($M169,Data!$K$9:$K$1273,0)),"")</f>
        <v/>
      </c>
      <c r="AO169" s="312">
        <f>IFERROR(INDEX(Data!CK$9:CK$1273,MATCH($M169,Data!$K$9:$K$1273,0)),"")</f>
        <v/>
      </c>
      <c r="AP169" s="312">
        <f>IFERROR(INDEX(Data!CL$9:CL$1273,MATCH($M169,Data!$K$9:$K$1273,0)),"")</f>
        <v/>
      </c>
      <c r="AQ169" s="312">
        <f>IFERROR(INDEX(Data!CM$9:CM$1273,MATCH($M169,Data!$K$9:$K$1273,0)),"")</f>
        <v/>
      </c>
      <c r="AR169" s="312">
        <f>IFERROR(INDEX(Data!CN$9:CN$1273,MATCH($M169,Data!$K$9:$K$1273,0)),"")</f>
        <v/>
      </c>
      <c r="AS169" s="312">
        <f>IFERROR(INDEX(Data!CO$9:CO$1273,MATCH($M169,Data!$K$9:$K$1273,0)),"")</f>
        <v/>
      </c>
      <c r="AT169" s="312">
        <f>IFERROR(INDEX(Data!CP$9:CP$1273,MATCH($M169,Data!$K$9:$K$1273,0)),"")</f>
        <v/>
      </c>
      <c r="AU169" s="312">
        <f>IFERROR(INDEX(Data!CQ$9:CQ$1273,MATCH($M169,Data!$K$9:$K$1273,0)),"")</f>
        <v/>
      </c>
      <c r="AV169" s="312">
        <f>IFERROR(INDEX(Data!CR$9:CR$1273,MATCH($M169,Data!$K$9:$K$1273,0)),"")</f>
        <v/>
      </c>
      <c r="AW169" s="312">
        <f>IFERROR(INDEX(Data!CS$9:CS$1273,MATCH($M169,Data!$K$9:$K$1273,0)),"")</f>
        <v/>
      </c>
      <c r="AX169" s="312">
        <f>IFERROR(INDEX(Data!CT$9:CT$1273,MATCH($M169,Data!$K$9:$K$1273,0)),"")</f>
        <v/>
      </c>
      <c r="AY169" s="312">
        <f>IFERROR(INDEX(Data!CU$9:CU$1273,MATCH($M169,Data!$K$9:$K$1273,0)),"")</f>
        <v/>
      </c>
      <c r="AZ169" s="312">
        <f>IFERROR(INDEX(Data!CV$9:CV$1273,MATCH($M169,Data!$K$9:$K$1273,0)),"")</f>
        <v/>
      </c>
      <c r="BA169" s="312">
        <f>IFERROR(INDEX(Data!CX$9:CX$1273,MATCH($M169,Data!$K$9:$K$1273,0)),"")</f>
        <v/>
      </c>
      <c r="BB169" s="312">
        <f>IFERROR(INDEX(Data!CY$9:CY$1273,MATCH($M169,Data!$K$9:$K$1273,0)),"")</f>
        <v/>
      </c>
      <c r="BC169" s="312">
        <f>IFERROR(INDEX(Data!CZ$9:CZ$1273,MATCH($M169,Data!$K$9:$K$1273,0)),"")</f>
        <v/>
      </c>
      <c r="BD169" s="312">
        <f>IFERROR(INDEX(Data!DA$9:DA$1273,MATCH($M169,Data!$K$9:$K$1273,0)),"")</f>
        <v/>
      </c>
      <c r="BE169" s="312">
        <f>IFERROR(INDEX(Data!DB$9:DB$1273,MATCH($M169,Data!$K$9:$K$1273,0)),"")</f>
        <v/>
      </c>
      <c r="BF169" s="312">
        <f>IFERROR(INDEX(Data!DC$9:DC$1273,MATCH($M169,Data!$K$9:$K$1273,0)),"")</f>
        <v/>
      </c>
      <c r="BG169" s="312">
        <f>IFERROR(INDEX(Data!DD$9:DD$1273,MATCH($M169,Data!$K$9:$K$1273,0)),"")</f>
        <v/>
      </c>
      <c r="BH169" s="312">
        <f>IFERROR(INDEX(Data!DE$9:DE$1273,MATCH($M169,Data!$K$9:$K$1273,0)),"")</f>
        <v/>
      </c>
      <c r="BI169" s="312">
        <f>IFERROR(INDEX(Data!DF$9:DF$1273,MATCH($M169,Data!$K$9:$K$1273,0)),"")</f>
        <v/>
      </c>
      <c r="BJ169" s="312">
        <f>IFERROR(INDEX(Data!DG$9:DG$1273,MATCH($M169,Data!$K$9:$K$1273,0)),"")</f>
        <v/>
      </c>
      <c r="BK169" s="312">
        <f>IFERROR(INDEX(Data!DH$9:DH$1273,MATCH($M169,Data!$K$9:$K$1273,0)),"")</f>
        <v/>
      </c>
      <c r="BL169" s="312">
        <f>IFERROR(INDEX(Data!DI$9:DI$1273,MATCH($M169,Data!$K$9:$K$1273,0)),"")</f>
        <v/>
      </c>
      <c r="BM169" s="312">
        <f>IFERROR(INDEX(Data!DJ$9:DJ$1273,MATCH($M169,Data!$K$9:$K$1273,0)),"")</f>
        <v/>
      </c>
      <c r="BN169" s="312">
        <f>IFERROR(INDEX(Data!DK$9:DK$1273,MATCH($M169,Data!$K$9:$K$1273,0)),"")</f>
        <v/>
      </c>
      <c r="BO169" s="312">
        <f>IFERROR(INDEX(Data!DL$9:DL$1273,MATCH($M169,Data!$K$9:$K$1273,0)),"")</f>
        <v/>
      </c>
      <c r="BP169" s="331">
        <f>IFERROR(IF(BK169=0,"-",BK169),"")</f>
        <v/>
      </c>
      <c r="BQ169" s="312">
        <f>IFERROR(IF(BP169-K169&gt;0,TRUE,FALSE)," ")</f>
        <v/>
      </c>
      <c r="BR169" s="312">
        <f>_xlfn.CONCAT(E169,F169,H169,G169)</f>
        <v/>
      </c>
      <c r="BS169" s="312">
        <f>IFERROR(INDEX(Data!$DO$9:$DO$1273,MATCH('Your recommendation'!BR169,Data!$DN$9:$DN$1273,0)),"")</f>
        <v/>
      </c>
    </row>
    <row r="170" ht="15.6" customFormat="1" customHeight="1" s="138">
      <c r="B170" s="309">
        <f>IF(C170&gt;0,B169+1,"")</f>
        <v/>
      </c>
      <c r="C170" s="310" t="n"/>
      <c r="D170" s="312">
        <f>IFERROR(INDEX(Data!BR$9:BR$1273,MATCH($M170,Data!$K$9:$K$1273,0)),"")</f>
        <v/>
      </c>
      <c r="E170" s="312">
        <f>IFERROR(INDEX(Data!BS$9:BS$1273,MATCH($M170,Data!$K$9:$K$1273,0)),"")</f>
        <v/>
      </c>
      <c r="F170" s="312">
        <f>IFERROR(INDEX(Data!DM$9:DM$1273,MATCH($M170,Data!$K$9:$K$1273,0)),"")</f>
        <v/>
      </c>
      <c r="G170" s="312">
        <f>IFERROR(INDEX(Data!BV$9:BV$1273,MATCH($M170,Data!$K$9:$K$1273,0)),"")</f>
        <v/>
      </c>
      <c r="H170" s="312">
        <f>IFERROR(INDEX(Data!BW$9:BW$1273,MATCH($M170,Data!$K$9:$K$1273,0)),"")</f>
        <v/>
      </c>
      <c r="I170" s="312">
        <f>IFERROR(INDEX(Data!BX$9:BX$1273,MATCH($M170,Data!$K$9:$K$1273,0)),"")</f>
        <v/>
      </c>
      <c r="J170" s="312">
        <f>IFERROR(INDEX(Data!CB$9:CB$1273,MATCH($M170,Data!$K$9:$K$1273,0)),"")</f>
        <v/>
      </c>
      <c r="K170" s="329">
        <f>IFERROR(HYPERLINK(BM170,BC170),"-")</f>
        <v/>
      </c>
      <c r="L170" s="330">
        <f>IFERROR(IF(BB170=0,"-",BB170)," ")</f>
        <v/>
      </c>
      <c r="M170" s="311" t="n"/>
      <c r="N170" s="311" t="n"/>
      <c r="O170" s="311">
        <f>IFERROR(INDEX(Data!M$9:M$1273,MATCH($M170,Data!$K$9:$K$1273,0)),"")</f>
        <v/>
      </c>
      <c r="P170" s="311">
        <f>IFERROR(INDEX(Data!N$9:N$1273,MATCH($M170,Data!$K$9:$K$1273,0)),"")</f>
        <v/>
      </c>
      <c r="Q170" s="311">
        <f>IFERROR(INDEX(Data!O$9:O$1273,MATCH($M170,Data!$K$9:$K$1273,0)),"")</f>
        <v/>
      </c>
      <c r="R170" s="311">
        <f>IFERROR(INDEX(Data!P$9:P$1273,MATCH($M170,Data!$K$9:$K$1273,0)),"")</f>
        <v/>
      </c>
      <c r="S170" s="311">
        <f>IFERROR(INDEX(Data!S$9:S$1273,MATCH($M170,Data!$K$9:$K$1273,0)),"")</f>
        <v/>
      </c>
      <c r="T170" s="311">
        <f>IFERROR(INDEX(Data!T$9:T$1273,MATCH($M170,Data!$K$9:$K$1273,0)),"")</f>
        <v/>
      </c>
      <c r="U170" s="311">
        <f>IFERROR(INDEX(Data!U$9:U$1273,MATCH($M170,Data!$K$9:$K$1273,0)),"")</f>
        <v/>
      </c>
      <c r="V170" s="311">
        <f>IFERROR(INDEX(Data!V$9:V$1273,MATCH($M170,Data!$K$9:$K$1273,0)),"")</f>
        <v/>
      </c>
      <c r="W170" s="311">
        <f>IFERROR(INDEX(Data!W$9:W$1273,MATCH($M170,Data!$K$9:$K$1273,0)),"")</f>
        <v/>
      </c>
      <c r="X170" s="311">
        <f>IFERROR(INDEX(Data!AJ$9:AJ$1273,MATCH($M170,Data!$K$9:$K$1273,0)),"")</f>
        <v/>
      </c>
      <c r="Y170" s="311">
        <f>IFERROR(INDEX(Data!AK$9:AK$1273,MATCH($M170,Data!$K$9:$K$1273,0)),"")</f>
        <v/>
      </c>
      <c r="Z170" s="311">
        <f>IFERROR(INDEX(Data!AL$9:AL$1273,MATCH($M170,Data!$K$9:$K$1273,0)),"")</f>
        <v/>
      </c>
      <c r="AA170" s="311">
        <f>IFERROR(INDEX(Data!AM$9:AM$1273,MATCH($M170,Data!$K$9:$K$1273,0)),"")</f>
        <v/>
      </c>
      <c r="AB170" s="311">
        <f>IFERROR(INDEX(Data!AN$9:AN$1273,MATCH($M170,Data!$K$9:$K$1273,0)),"")</f>
        <v/>
      </c>
      <c r="AC170" s="312">
        <f>IFERROR(INDEX(Data!BY$9:BY$1273,MATCH($M170,Data!$K$9:$K$1273,0)),"")</f>
        <v/>
      </c>
      <c r="AD170" s="312">
        <f>IFERROR(INDEX(Data!BZ$9:BZ$1273,MATCH($M170,Data!$K$9:$K$1273,0)),"")</f>
        <v/>
      </c>
      <c r="AE170" s="312">
        <f>IFERROR(INDEX(Data!CA$9:CA$1273,MATCH($M170,Data!$K$9:$K$1273,0)),"")</f>
        <v/>
      </c>
      <c r="AF170" s="312">
        <f>IFERROR(INDEX(Data!CB$9:CB$1273,MATCH($M170,Data!$K$9:$K$1273,0)),"")</f>
        <v/>
      </c>
      <c r="AG170" s="312">
        <f>IFERROR(INDEX(Data!CC$9:CC$1273,MATCH($M170,Data!$K$9:$K$1273,0)),"")</f>
        <v/>
      </c>
      <c r="AH170" s="312">
        <f>IFERROR(INDEX(Data!CD$9:CD$1273,MATCH($M170,Data!$K$9:$K$1273,0)),"")</f>
        <v/>
      </c>
      <c r="AI170" s="312">
        <f>IFERROR(INDEX(Data!CE$9:CE$1273,MATCH($M170,Data!$K$9:$K$1273,0)),"")</f>
        <v/>
      </c>
      <c r="AJ170" s="312">
        <f>IFERROR(INDEX(Data!CF$9:CF$1273,MATCH($M170,Data!$K$9:$K$1273,0)),"")</f>
        <v/>
      </c>
      <c r="AK170" s="312">
        <f>IFERROR(INDEX(Data!CG$9:CG$1273,MATCH($M170,Data!$K$9:$K$1273,0)),"")</f>
        <v/>
      </c>
      <c r="AL170" s="312">
        <f>IFERROR(INDEX(Data!CH$9:CH$1273,MATCH($M170,Data!$K$9:$K$1273,0)),"")</f>
        <v/>
      </c>
      <c r="AM170" s="312">
        <f>IFERROR(INDEX(Data!CI$9:CI$1273,MATCH($M170,Data!$K$9:$K$1273,0)),"")</f>
        <v/>
      </c>
      <c r="AN170" s="312">
        <f>IFERROR(INDEX(Data!CJ$9:CJ$1273,MATCH($M170,Data!$K$9:$K$1273,0)),"")</f>
        <v/>
      </c>
      <c r="AO170" s="312">
        <f>IFERROR(INDEX(Data!CK$9:CK$1273,MATCH($M170,Data!$K$9:$K$1273,0)),"")</f>
        <v/>
      </c>
      <c r="AP170" s="312">
        <f>IFERROR(INDEX(Data!CL$9:CL$1273,MATCH($M170,Data!$K$9:$K$1273,0)),"")</f>
        <v/>
      </c>
      <c r="AQ170" s="312">
        <f>IFERROR(INDEX(Data!CM$9:CM$1273,MATCH($M170,Data!$K$9:$K$1273,0)),"")</f>
        <v/>
      </c>
      <c r="AR170" s="312">
        <f>IFERROR(INDEX(Data!CN$9:CN$1273,MATCH($M170,Data!$K$9:$K$1273,0)),"")</f>
        <v/>
      </c>
      <c r="AS170" s="312">
        <f>IFERROR(INDEX(Data!CO$9:CO$1273,MATCH($M170,Data!$K$9:$K$1273,0)),"")</f>
        <v/>
      </c>
      <c r="AT170" s="312">
        <f>IFERROR(INDEX(Data!CP$9:CP$1273,MATCH($M170,Data!$K$9:$K$1273,0)),"")</f>
        <v/>
      </c>
      <c r="AU170" s="312">
        <f>IFERROR(INDEX(Data!CQ$9:CQ$1273,MATCH($M170,Data!$K$9:$K$1273,0)),"")</f>
        <v/>
      </c>
      <c r="AV170" s="312">
        <f>IFERROR(INDEX(Data!CR$9:CR$1273,MATCH($M170,Data!$K$9:$K$1273,0)),"")</f>
        <v/>
      </c>
      <c r="AW170" s="312">
        <f>IFERROR(INDEX(Data!CS$9:CS$1273,MATCH($M170,Data!$K$9:$K$1273,0)),"")</f>
        <v/>
      </c>
      <c r="AX170" s="312">
        <f>IFERROR(INDEX(Data!CT$9:CT$1273,MATCH($M170,Data!$K$9:$K$1273,0)),"")</f>
        <v/>
      </c>
      <c r="AY170" s="312">
        <f>IFERROR(INDEX(Data!CU$9:CU$1273,MATCH($M170,Data!$K$9:$K$1273,0)),"")</f>
        <v/>
      </c>
      <c r="AZ170" s="312">
        <f>IFERROR(INDEX(Data!CV$9:CV$1273,MATCH($M170,Data!$K$9:$K$1273,0)),"")</f>
        <v/>
      </c>
      <c r="BA170" s="312">
        <f>IFERROR(INDEX(Data!CX$9:CX$1273,MATCH($M170,Data!$K$9:$K$1273,0)),"")</f>
        <v/>
      </c>
      <c r="BB170" s="312">
        <f>IFERROR(INDEX(Data!CY$9:CY$1273,MATCH($M170,Data!$K$9:$K$1273,0)),"")</f>
        <v/>
      </c>
      <c r="BC170" s="312">
        <f>IFERROR(INDEX(Data!CZ$9:CZ$1273,MATCH($M170,Data!$K$9:$K$1273,0)),"")</f>
        <v/>
      </c>
      <c r="BD170" s="312">
        <f>IFERROR(INDEX(Data!DA$9:DA$1273,MATCH($M170,Data!$K$9:$K$1273,0)),"")</f>
        <v/>
      </c>
      <c r="BE170" s="312">
        <f>IFERROR(INDEX(Data!DB$9:DB$1273,MATCH($M170,Data!$K$9:$K$1273,0)),"")</f>
        <v/>
      </c>
      <c r="BF170" s="312">
        <f>IFERROR(INDEX(Data!DC$9:DC$1273,MATCH($M170,Data!$K$9:$K$1273,0)),"")</f>
        <v/>
      </c>
      <c r="BG170" s="312">
        <f>IFERROR(INDEX(Data!DD$9:DD$1273,MATCH($M170,Data!$K$9:$K$1273,0)),"")</f>
        <v/>
      </c>
      <c r="BH170" s="312">
        <f>IFERROR(INDEX(Data!DE$9:DE$1273,MATCH($M170,Data!$K$9:$K$1273,0)),"")</f>
        <v/>
      </c>
      <c r="BI170" s="312">
        <f>IFERROR(INDEX(Data!DF$9:DF$1273,MATCH($M170,Data!$K$9:$K$1273,0)),"")</f>
        <v/>
      </c>
      <c r="BJ170" s="312">
        <f>IFERROR(INDEX(Data!DG$9:DG$1273,MATCH($M170,Data!$K$9:$K$1273,0)),"")</f>
        <v/>
      </c>
      <c r="BK170" s="312">
        <f>IFERROR(INDEX(Data!DH$9:DH$1273,MATCH($M170,Data!$K$9:$K$1273,0)),"")</f>
        <v/>
      </c>
      <c r="BL170" s="312">
        <f>IFERROR(INDEX(Data!DI$9:DI$1273,MATCH($M170,Data!$K$9:$K$1273,0)),"")</f>
        <v/>
      </c>
      <c r="BM170" s="312">
        <f>IFERROR(INDEX(Data!DJ$9:DJ$1273,MATCH($M170,Data!$K$9:$K$1273,0)),"")</f>
        <v/>
      </c>
      <c r="BN170" s="312">
        <f>IFERROR(INDEX(Data!DK$9:DK$1273,MATCH($M170,Data!$K$9:$K$1273,0)),"")</f>
        <v/>
      </c>
      <c r="BO170" s="312">
        <f>IFERROR(INDEX(Data!DL$9:DL$1273,MATCH($M170,Data!$K$9:$K$1273,0)),"")</f>
        <v/>
      </c>
      <c r="BP170" s="331">
        <f>IFERROR(IF(BK170=0,"-",BK170),"")</f>
        <v/>
      </c>
      <c r="BQ170" s="312">
        <f>IFERROR(IF(BP170-K170&gt;0,TRUE,FALSE)," ")</f>
        <v/>
      </c>
      <c r="BR170" s="312">
        <f>_xlfn.CONCAT(E170,F170,H170,G170)</f>
        <v/>
      </c>
      <c r="BS170" s="312">
        <f>IFERROR(INDEX(Data!$DO$9:$DO$1273,MATCH('Your recommendation'!BR170,Data!$DN$9:$DN$1273,0)),"")</f>
        <v/>
      </c>
    </row>
    <row r="171" ht="15.6" customFormat="1" customHeight="1" s="138">
      <c r="B171" s="309">
        <f>IF(C171&gt;0,B170+1,"")</f>
        <v/>
      </c>
      <c r="C171" s="310" t="n"/>
      <c r="D171" s="312">
        <f>IFERROR(INDEX(Data!BR$9:BR$1273,MATCH($M171,Data!$K$9:$K$1273,0)),"")</f>
        <v/>
      </c>
      <c r="E171" s="312">
        <f>IFERROR(INDEX(Data!BS$9:BS$1273,MATCH($M171,Data!$K$9:$K$1273,0)),"")</f>
        <v/>
      </c>
      <c r="F171" s="312">
        <f>IFERROR(INDEX(Data!DM$9:DM$1273,MATCH($M171,Data!$K$9:$K$1273,0)),"")</f>
        <v/>
      </c>
      <c r="G171" s="312">
        <f>IFERROR(INDEX(Data!BV$9:BV$1273,MATCH($M171,Data!$K$9:$K$1273,0)),"")</f>
        <v/>
      </c>
      <c r="H171" s="312">
        <f>IFERROR(INDEX(Data!BW$9:BW$1273,MATCH($M171,Data!$K$9:$K$1273,0)),"")</f>
        <v/>
      </c>
      <c r="I171" s="312">
        <f>IFERROR(INDEX(Data!BX$9:BX$1273,MATCH($M171,Data!$K$9:$K$1273,0)),"")</f>
        <v/>
      </c>
      <c r="J171" s="312">
        <f>IFERROR(INDEX(Data!CB$9:CB$1273,MATCH($M171,Data!$K$9:$K$1273,0)),"")</f>
        <v/>
      </c>
      <c r="K171" s="329">
        <f>IFERROR(HYPERLINK(BM171,BC171),"-")</f>
        <v/>
      </c>
      <c r="L171" s="330">
        <f>IFERROR(IF(BB171=0,"-",BB171)," ")</f>
        <v/>
      </c>
      <c r="M171" s="311" t="n"/>
      <c r="N171" s="311" t="n"/>
      <c r="O171" s="311">
        <f>IFERROR(INDEX(Data!M$9:M$1273,MATCH($M171,Data!$K$9:$K$1273,0)),"")</f>
        <v/>
      </c>
      <c r="P171" s="311">
        <f>IFERROR(INDEX(Data!N$9:N$1273,MATCH($M171,Data!$K$9:$K$1273,0)),"")</f>
        <v/>
      </c>
      <c r="Q171" s="311">
        <f>IFERROR(INDEX(Data!O$9:O$1273,MATCH($M171,Data!$K$9:$K$1273,0)),"")</f>
        <v/>
      </c>
      <c r="R171" s="311">
        <f>IFERROR(INDEX(Data!P$9:P$1273,MATCH($M171,Data!$K$9:$K$1273,0)),"")</f>
        <v/>
      </c>
      <c r="S171" s="311">
        <f>IFERROR(INDEX(Data!S$9:S$1273,MATCH($M171,Data!$K$9:$K$1273,0)),"")</f>
        <v/>
      </c>
      <c r="T171" s="311">
        <f>IFERROR(INDEX(Data!T$9:T$1273,MATCH($M171,Data!$K$9:$K$1273,0)),"")</f>
        <v/>
      </c>
      <c r="U171" s="311">
        <f>IFERROR(INDEX(Data!U$9:U$1273,MATCH($M171,Data!$K$9:$K$1273,0)),"")</f>
        <v/>
      </c>
      <c r="V171" s="311">
        <f>IFERROR(INDEX(Data!V$9:V$1273,MATCH($M171,Data!$K$9:$K$1273,0)),"")</f>
        <v/>
      </c>
      <c r="W171" s="311">
        <f>IFERROR(INDEX(Data!W$9:W$1273,MATCH($M171,Data!$K$9:$K$1273,0)),"")</f>
        <v/>
      </c>
      <c r="X171" s="311">
        <f>IFERROR(INDEX(Data!AJ$9:AJ$1273,MATCH($M171,Data!$K$9:$K$1273,0)),"")</f>
        <v/>
      </c>
      <c r="Y171" s="311">
        <f>IFERROR(INDEX(Data!AK$9:AK$1273,MATCH($M171,Data!$K$9:$K$1273,0)),"")</f>
        <v/>
      </c>
      <c r="Z171" s="311">
        <f>IFERROR(INDEX(Data!AL$9:AL$1273,MATCH($M171,Data!$K$9:$K$1273,0)),"")</f>
        <v/>
      </c>
      <c r="AA171" s="311">
        <f>IFERROR(INDEX(Data!AM$9:AM$1273,MATCH($M171,Data!$K$9:$K$1273,0)),"")</f>
        <v/>
      </c>
      <c r="AB171" s="311">
        <f>IFERROR(INDEX(Data!AN$9:AN$1273,MATCH($M171,Data!$K$9:$K$1273,0)),"")</f>
        <v/>
      </c>
      <c r="AC171" s="312">
        <f>IFERROR(INDEX(Data!BY$9:BY$1273,MATCH($M171,Data!$K$9:$K$1273,0)),"")</f>
        <v/>
      </c>
      <c r="AD171" s="312">
        <f>IFERROR(INDEX(Data!BZ$9:BZ$1273,MATCH($M171,Data!$K$9:$K$1273,0)),"")</f>
        <v/>
      </c>
      <c r="AE171" s="312">
        <f>IFERROR(INDEX(Data!CA$9:CA$1273,MATCH($M171,Data!$K$9:$K$1273,0)),"")</f>
        <v/>
      </c>
      <c r="AF171" s="312">
        <f>IFERROR(INDEX(Data!CB$9:CB$1273,MATCH($M171,Data!$K$9:$K$1273,0)),"")</f>
        <v/>
      </c>
      <c r="AG171" s="312">
        <f>IFERROR(INDEX(Data!CC$9:CC$1273,MATCH($M171,Data!$K$9:$K$1273,0)),"")</f>
        <v/>
      </c>
      <c r="AH171" s="312">
        <f>IFERROR(INDEX(Data!CD$9:CD$1273,MATCH($M171,Data!$K$9:$K$1273,0)),"")</f>
        <v/>
      </c>
      <c r="AI171" s="312">
        <f>IFERROR(INDEX(Data!CE$9:CE$1273,MATCH($M171,Data!$K$9:$K$1273,0)),"")</f>
        <v/>
      </c>
      <c r="AJ171" s="312">
        <f>IFERROR(INDEX(Data!CF$9:CF$1273,MATCH($M171,Data!$K$9:$K$1273,0)),"")</f>
        <v/>
      </c>
      <c r="AK171" s="312">
        <f>IFERROR(INDEX(Data!CG$9:CG$1273,MATCH($M171,Data!$K$9:$K$1273,0)),"")</f>
        <v/>
      </c>
      <c r="AL171" s="312">
        <f>IFERROR(INDEX(Data!CH$9:CH$1273,MATCH($M171,Data!$K$9:$K$1273,0)),"")</f>
        <v/>
      </c>
      <c r="AM171" s="312">
        <f>IFERROR(INDEX(Data!CI$9:CI$1273,MATCH($M171,Data!$K$9:$K$1273,0)),"")</f>
        <v/>
      </c>
      <c r="AN171" s="312">
        <f>IFERROR(INDEX(Data!CJ$9:CJ$1273,MATCH($M171,Data!$K$9:$K$1273,0)),"")</f>
        <v/>
      </c>
      <c r="AO171" s="312">
        <f>IFERROR(INDEX(Data!CK$9:CK$1273,MATCH($M171,Data!$K$9:$K$1273,0)),"")</f>
        <v/>
      </c>
      <c r="AP171" s="312">
        <f>IFERROR(INDEX(Data!CL$9:CL$1273,MATCH($M171,Data!$K$9:$K$1273,0)),"")</f>
        <v/>
      </c>
      <c r="AQ171" s="312">
        <f>IFERROR(INDEX(Data!CM$9:CM$1273,MATCH($M171,Data!$K$9:$K$1273,0)),"")</f>
        <v/>
      </c>
      <c r="AR171" s="312">
        <f>IFERROR(INDEX(Data!CN$9:CN$1273,MATCH($M171,Data!$K$9:$K$1273,0)),"")</f>
        <v/>
      </c>
      <c r="AS171" s="312">
        <f>IFERROR(INDEX(Data!CO$9:CO$1273,MATCH($M171,Data!$K$9:$K$1273,0)),"")</f>
        <v/>
      </c>
      <c r="AT171" s="312">
        <f>IFERROR(INDEX(Data!CP$9:CP$1273,MATCH($M171,Data!$K$9:$K$1273,0)),"")</f>
        <v/>
      </c>
      <c r="AU171" s="312">
        <f>IFERROR(INDEX(Data!CQ$9:CQ$1273,MATCH($M171,Data!$K$9:$K$1273,0)),"")</f>
        <v/>
      </c>
      <c r="AV171" s="312">
        <f>IFERROR(INDEX(Data!CR$9:CR$1273,MATCH($M171,Data!$K$9:$K$1273,0)),"")</f>
        <v/>
      </c>
      <c r="AW171" s="312">
        <f>IFERROR(INDEX(Data!CS$9:CS$1273,MATCH($M171,Data!$K$9:$K$1273,0)),"")</f>
        <v/>
      </c>
      <c r="AX171" s="312">
        <f>IFERROR(INDEX(Data!CT$9:CT$1273,MATCH($M171,Data!$K$9:$K$1273,0)),"")</f>
        <v/>
      </c>
      <c r="AY171" s="312">
        <f>IFERROR(INDEX(Data!CU$9:CU$1273,MATCH($M171,Data!$K$9:$K$1273,0)),"")</f>
        <v/>
      </c>
      <c r="AZ171" s="312">
        <f>IFERROR(INDEX(Data!CV$9:CV$1273,MATCH($M171,Data!$K$9:$K$1273,0)),"")</f>
        <v/>
      </c>
      <c r="BA171" s="312">
        <f>IFERROR(INDEX(Data!CX$9:CX$1273,MATCH($M171,Data!$K$9:$K$1273,0)),"")</f>
        <v/>
      </c>
      <c r="BB171" s="312">
        <f>IFERROR(INDEX(Data!CY$9:CY$1273,MATCH($M171,Data!$K$9:$K$1273,0)),"")</f>
        <v/>
      </c>
      <c r="BC171" s="312">
        <f>IFERROR(INDEX(Data!CZ$9:CZ$1273,MATCH($M171,Data!$K$9:$K$1273,0)),"")</f>
        <v/>
      </c>
      <c r="BD171" s="312">
        <f>IFERROR(INDEX(Data!DA$9:DA$1273,MATCH($M171,Data!$K$9:$K$1273,0)),"")</f>
        <v/>
      </c>
      <c r="BE171" s="312">
        <f>IFERROR(INDEX(Data!DB$9:DB$1273,MATCH($M171,Data!$K$9:$K$1273,0)),"")</f>
        <v/>
      </c>
      <c r="BF171" s="312">
        <f>IFERROR(INDEX(Data!DC$9:DC$1273,MATCH($M171,Data!$K$9:$K$1273,0)),"")</f>
        <v/>
      </c>
      <c r="BG171" s="312">
        <f>IFERROR(INDEX(Data!DD$9:DD$1273,MATCH($M171,Data!$K$9:$K$1273,0)),"")</f>
        <v/>
      </c>
      <c r="BH171" s="312">
        <f>IFERROR(INDEX(Data!DE$9:DE$1273,MATCH($M171,Data!$K$9:$K$1273,0)),"")</f>
        <v/>
      </c>
      <c r="BI171" s="312">
        <f>IFERROR(INDEX(Data!DF$9:DF$1273,MATCH($M171,Data!$K$9:$K$1273,0)),"")</f>
        <v/>
      </c>
      <c r="BJ171" s="312">
        <f>IFERROR(INDEX(Data!DG$9:DG$1273,MATCH($M171,Data!$K$9:$K$1273,0)),"")</f>
        <v/>
      </c>
      <c r="BK171" s="312">
        <f>IFERROR(INDEX(Data!DH$9:DH$1273,MATCH($M171,Data!$K$9:$K$1273,0)),"")</f>
        <v/>
      </c>
      <c r="BL171" s="312">
        <f>IFERROR(INDEX(Data!DI$9:DI$1273,MATCH($M171,Data!$K$9:$K$1273,0)),"")</f>
        <v/>
      </c>
      <c r="BM171" s="312">
        <f>IFERROR(INDEX(Data!DJ$9:DJ$1273,MATCH($M171,Data!$K$9:$K$1273,0)),"")</f>
        <v/>
      </c>
      <c r="BN171" s="312">
        <f>IFERROR(INDEX(Data!DK$9:DK$1273,MATCH($M171,Data!$K$9:$K$1273,0)),"")</f>
        <v/>
      </c>
      <c r="BO171" s="312">
        <f>IFERROR(INDEX(Data!DL$9:DL$1273,MATCH($M171,Data!$K$9:$K$1273,0)),"")</f>
        <v/>
      </c>
      <c r="BP171" s="331">
        <f>IFERROR(IF(BK171=0,"-",BK171),"")</f>
        <v/>
      </c>
      <c r="BQ171" s="312">
        <f>IFERROR(IF(BP171-K171&gt;0,TRUE,FALSE)," ")</f>
        <v/>
      </c>
      <c r="BR171" s="312">
        <f>_xlfn.CONCAT(E171,F171,H171,G171)</f>
        <v/>
      </c>
      <c r="BS171" s="312">
        <f>IFERROR(INDEX(Data!$DO$9:$DO$1273,MATCH('Your recommendation'!BR171,Data!$DN$9:$DN$1273,0)),"")</f>
        <v/>
      </c>
    </row>
    <row r="172" ht="15.6" customFormat="1" customHeight="1" s="138">
      <c r="B172" s="309">
        <f>IF(C172&gt;0,B171+1,"")</f>
        <v/>
      </c>
      <c r="C172" s="310" t="n"/>
      <c r="D172" s="312">
        <f>IFERROR(INDEX(Data!BR$9:BR$1273,MATCH($M172,Data!$K$9:$K$1273,0)),"")</f>
        <v/>
      </c>
      <c r="E172" s="312">
        <f>IFERROR(INDEX(Data!BS$9:BS$1273,MATCH($M172,Data!$K$9:$K$1273,0)),"")</f>
        <v/>
      </c>
      <c r="F172" s="312">
        <f>IFERROR(INDEX(Data!DM$9:DM$1273,MATCH($M172,Data!$K$9:$K$1273,0)),"")</f>
        <v/>
      </c>
      <c r="G172" s="312">
        <f>IFERROR(INDEX(Data!BV$9:BV$1273,MATCH($M172,Data!$K$9:$K$1273,0)),"")</f>
        <v/>
      </c>
      <c r="H172" s="312">
        <f>IFERROR(INDEX(Data!BW$9:BW$1273,MATCH($M172,Data!$K$9:$K$1273,0)),"")</f>
        <v/>
      </c>
      <c r="I172" s="312">
        <f>IFERROR(INDEX(Data!BX$9:BX$1273,MATCH($M172,Data!$K$9:$K$1273,0)),"")</f>
        <v/>
      </c>
      <c r="J172" s="312">
        <f>IFERROR(INDEX(Data!CB$9:CB$1273,MATCH($M172,Data!$K$9:$K$1273,0)),"")</f>
        <v/>
      </c>
      <c r="K172" s="329">
        <f>IFERROR(HYPERLINK(BM172,BC172),"-")</f>
        <v/>
      </c>
      <c r="L172" s="330">
        <f>IFERROR(IF(BB172=0,"-",BB172)," ")</f>
        <v/>
      </c>
      <c r="M172" s="311" t="n"/>
      <c r="N172" s="311" t="n"/>
      <c r="O172" s="311">
        <f>IFERROR(INDEX(Data!M$9:M$1273,MATCH($M172,Data!$K$9:$K$1273,0)),"")</f>
        <v/>
      </c>
      <c r="P172" s="311">
        <f>IFERROR(INDEX(Data!N$9:N$1273,MATCH($M172,Data!$K$9:$K$1273,0)),"")</f>
        <v/>
      </c>
      <c r="Q172" s="311">
        <f>IFERROR(INDEX(Data!O$9:O$1273,MATCH($M172,Data!$K$9:$K$1273,0)),"")</f>
        <v/>
      </c>
      <c r="R172" s="311">
        <f>IFERROR(INDEX(Data!P$9:P$1273,MATCH($M172,Data!$K$9:$K$1273,0)),"")</f>
        <v/>
      </c>
      <c r="S172" s="311">
        <f>IFERROR(INDEX(Data!S$9:S$1273,MATCH($M172,Data!$K$9:$K$1273,0)),"")</f>
        <v/>
      </c>
      <c r="T172" s="311">
        <f>IFERROR(INDEX(Data!T$9:T$1273,MATCH($M172,Data!$K$9:$K$1273,0)),"")</f>
        <v/>
      </c>
      <c r="U172" s="311">
        <f>IFERROR(INDEX(Data!U$9:U$1273,MATCH($M172,Data!$K$9:$K$1273,0)),"")</f>
        <v/>
      </c>
      <c r="V172" s="311">
        <f>IFERROR(INDEX(Data!V$9:V$1273,MATCH($M172,Data!$K$9:$K$1273,0)),"")</f>
        <v/>
      </c>
      <c r="W172" s="311">
        <f>IFERROR(INDEX(Data!W$9:W$1273,MATCH($M172,Data!$K$9:$K$1273,0)),"")</f>
        <v/>
      </c>
      <c r="X172" s="311">
        <f>IFERROR(INDEX(Data!AJ$9:AJ$1273,MATCH($M172,Data!$K$9:$K$1273,0)),"")</f>
        <v/>
      </c>
      <c r="Y172" s="311">
        <f>IFERROR(INDEX(Data!AK$9:AK$1273,MATCH($M172,Data!$K$9:$K$1273,0)),"")</f>
        <v/>
      </c>
      <c r="Z172" s="311">
        <f>IFERROR(INDEX(Data!AL$9:AL$1273,MATCH($M172,Data!$K$9:$K$1273,0)),"")</f>
        <v/>
      </c>
      <c r="AA172" s="311">
        <f>IFERROR(INDEX(Data!AM$9:AM$1273,MATCH($M172,Data!$K$9:$K$1273,0)),"")</f>
        <v/>
      </c>
      <c r="AB172" s="311">
        <f>IFERROR(INDEX(Data!AN$9:AN$1273,MATCH($M172,Data!$K$9:$K$1273,0)),"")</f>
        <v/>
      </c>
      <c r="AC172" s="312">
        <f>IFERROR(INDEX(Data!BY$9:BY$1273,MATCH($M172,Data!$K$9:$K$1273,0)),"")</f>
        <v/>
      </c>
      <c r="AD172" s="312">
        <f>IFERROR(INDEX(Data!BZ$9:BZ$1273,MATCH($M172,Data!$K$9:$K$1273,0)),"")</f>
        <v/>
      </c>
      <c r="AE172" s="312">
        <f>IFERROR(INDEX(Data!CA$9:CA$1273,MATCH($M172,Data!$K$9:$K$1273,0)),"")</f>
        <v/>
      </c>
      <c r="AF172" s="312">
        <f>IFERROR(INDEX(Data!CB$9:CB$1273,MATCH($M172,Data!$K$9:$K$1273,0)),"")</f>
        <v/>
      </c>
      <c r="AG172" s="312">
        <f>IFERROR(INDEX(Data!CC$9:CC$1273,MATCH($M172,Data!$K$9:$K$1273,0)),"")</f>
        <v/>
      </c>
      <c r="AH172" s="312">
        <f>IFERROR(INDEX(Data!CD$9:CD$1273,MATCH($M172,Data!$K$9:$K$1273,0)),"")</f>
        <v/>
      </c>
      <c r="AI172" s="312">
        <f>IFERROR(INDEX(Data!CE$9:CE$1273,MATCH($M172,Data!$K$9:$K$1273,0)),"")</f>
        <v/>
      </c>
      <c r="AJ172" s="312">
        <f>IFERROR(INDEX(Data!CF$9:CF$1273,MATCH($M172,Data!$K$9:$K$1273,0)),"")</f>
        <v/>
      </c>
      <c r="AK172" s="312">
        <f>IFERROR(INDEX(Data!CG$9:CG$1273,MATCH($M172,Data!$K$9:$K$1273,0)),"")</f>
        <v/>
      </c>
      <c r="AL172" s="312">
        <f>IFERROR(INDEX(Data!CH$9:CH$1273,MATCH($M172,Data!$K$9:$K$1273,0)),"")</f>
        <v/>
      </c>
      <c r="AM172" s="312">
        <f>IFERROR(INDEX(Data!CI$9:CI$1273,MATCH($M172,Data!$K$9:$K$1273,0)),"")</f>
        <v/>
      </c>
      <c r="AN172" s="312">
        <f>IFERROR(INDEX(Data!CJ$9:CJ$1273,MATCH($M172,Data!$K$9:$K$1273,0)),"")</f>
        <v/>
      </c>
      <c r="AO172" s="312">
        <f>IFERROR(INDEX(Data!CK$9:CK$1273,MATCH($M172,Data!$K$9:$K$1273,0)),"")</f>
        <v/>
      </c>
      <c r="AP172" s="312">
        <f>IFERROR(INDEX(Data!CL$9:CL$1273,MATCH($M172,Data!$K$9:$K$1273,0)),"")</f>
        <v/>
      </c>
      <c r="AQ172" s="312">
        <f>IFERROR(INDEX(Data!CM$9:CM$1273,MATCH($M172,Data!$K$9:$K$1273,0)),"")</f>
        <v/>
      </c>
      <c r="AR172" s="312">
        <f>IFERROR(INDEX(Data!CN$9:CN$1273,MATCH($M172,Data!$K$9:$K$1273,0)),"")</f>
        <v/>
      </c>
      <c r="AS172" s="312">
        <f>IFERROR(INDEX(Data!CO$9:CO$1273,MATCH($M172,Data!$K$9:$K$1273,0)),"")</f>
        <v/>
      </c>
      <c r="AT172" s="312">
        <f>IFERROR(INDEX(Data!CP$9:CP$1273,MATCH($M172,Data!$K$9:$K$1273,0)),"")</f>
        <v/>
      </c>
      <c r="AU172" s="312">
        <f>IFERROR(INDEX(Data!CQ$9:CQ$1273,MATCH($M172,Data!$K$9:$K$1273,0)),"")</f>
        <v/>
      </c>
      <c r="AV172" s="312">
        <f>IFERROR(INDEX(Data!CR$9:CR$1273,MATCH($M172,Data!$K$9:$K$1273,0)),"")</f>
        <v/>
      </c>
      <c r="AW172" s="312">
        <f>IFERROR(INDEX(Data!CS$9:CS$1273,MATCH($M172,Data!$K$9:$K$1273,0)),"")</f>
        <v/>
      </c>
      <c r="AX172" s="312">
        <f>IFERROR(INDEX(Data!CT$9:CT$1273,MATCH($M172,Data!$K$9:$K$1273,0)),"")</f>
        <v/>
      </c>
      <c r="AY172" s="312">
        <f>IFERROR(INDEX(Data!CU$9:CU$1273,MATCH($M172,Data!$K$9:$K$1273,0)),"")</f>
        <v/>
      </c>
      <c r="AZ172" s="312">
        <f>IFERROR(INDEX(Data!CV$9:CV$1273,MATCH($M172,Data!$K$9:$K$1273,0)),"")</f>
        <v/>
      </c>
      <c r="BA172" s="312">
        <f>IFERROR(INDEX(Data!CX$9:CX$1273,MATCH($M172,Data!$K$9:$K$1273,0)),"")</f>
        <v/>
      </c>
      <c r="BB172" s="312">
        <f>IFERROR(INDEX(Data!CY$9:CY$1273,MATCH($M172,Data!$K$9:$K$1273,0)),"")</f>
        <v/>
      </c>
      <c r="BC172" s="312">
        <f>IFERROR(INDEX(Data!CZ$9:CZ$1273,MATCH($M172,Data!$K$9:$K$1273,0)),"")</f>
        <v/>
      </c>
      <c r="BD172" s="312">
        <f>IFERROR(INDEX(Data!DA$9:DA$1273,MATCH($M172,Data!$K$9:$K$1273,0)),"")</f>
        <v/>
      </c>
      <c r="BE172" s="312">
        <f>IFERROR(INDEX(Data!DB$9:DB$1273,MATCH($M172,Data!$K$9:$K$1273,0)),"")</f>
        <v/>
      </c>
      <c r="BF172" s="312">
        <f>IFERROR(INDEX(Data!DC$9:DC$1273,MATCH($M172,Data!$K$9:$K$1273,0)),"")</f>
        <v/>
      </c>
      <c r="BG172" s="312">
        <f>IFERROR(INDEX(Data!DD$9:DD$1273,MATCH($M172,Data!$K$9:$K$1273,0)),"")</f>
        <v/>
      </c>
      <c r="BH172" s="312">
        <f>IFERROR(INDEX(Data!DE$9:DE$1273,MATCH($M172,Data!$K$9:$K$1273,0)),"")</f>
        <v/>
      </c>
      <c r="BI172" s="312">
        <f>IFERROR(INDEX(Data!DF$9:DF$1273,MATCH($M172,Data!$K$9:$K$1273,0)),"")</f>
        <v/>
      </c>
      <c r="BJ172" s="312">
        <f>IFERROR(INDEX(Data!DG$9:DG$1273,MATCH($M172,Data!$K$9:$K$1273,0)),"")</f>
        <v/>
      </c>
      <c r="BK172" s="312">
        <f>IFERROR(INDEX(Data!DH$9:DH$1273,MATCH($M172,Data!$K$9:$K$1273,0)),"")</f>
        <v/>
      </c>
      <c r="BL172" s="312">
        <f>IFERROR(INDEX(Data!DI$9:DI$1273,MATCH($M172,Data!$K$9:$K$1273,0)),"")</f>
        <v/>
      </c>
      <c r="BM172" s="312">
        <f>IFERROR(INDEX(Data!DJ$9:DJ$1273,MATCH($M172,Data!$K$9:$K$1273,0)),"")</f>
        <v/>
      </c>
      <c r="BN172" s="312">
        <f>IFERROR(INDEX(Data!DK$9:DK$1273,MATCH($M172,Data!$K$9:$K$1273,0)),"")</f>
        <v/>
      </c>
      <c r="BO172" s="312">
        <f>IFERROR(INDEX(Data!DL$9:DL$1273,MATCH($M172,Data!$K$9:$K$1273,0)),"")</f>
        <v/>
      </c>
      <c r="BP172" s="331">
        <f>IFERROR(IF(BK172=0,"-",BK172),"")</f>
        <v/>
      </c>
      <c r="BQ172" s="312">
        <f>IFERROR(IF(BP172-K172&gt;0,TRUE,FALSE)," ")</f>
        <v/>
      </c>
      <c r="BR172" s="312">
        <f>_xlfn.CONCAT(E172,F172,H172,G172)</f>
        <v/>
      </c>
      <c r="BS172" s="312">
        <f>IFERROR(INDEX(Data!$DO$9:$DO$1273,MATCH('Your recommendation'!BR172,Data!$DN$9:$DN$1273,0)),"")</f>
        <v/>
      </c>
    </row>
    <row r="173" ht="15.6" customFormat="1" customHeight="1" s="138">
      <c r="B173" s="309">
        <f>IF(C173&gt;0,B172+1,"")</f>
        <v/>
      </c>
      <c r="C173" s="310" t="n"/>
      <c r="D173" s="312">
        <f>IFERROR(INDEX(Data!BR$9:BR$1273,MATCH($M173,Data!$K$9:$K$1273,0)),"")</f>
        <v/>
      </c>
      <c r="E173" s="312">
        <f>IFERROR(INDEX(Data!BS$9:BS$1273,MATCH($M173,Data!$K$9:$K$1273,0)),"")</f>
        <v/>
      </c>
      <c r="F173" s="312">
        <f>IFERROR(INDEX(Data!DM$9:DM$1273,MATCH($M173,Data!$K$9:$K$1273,0)),"")</f>
        <v/>
      </c>
      <c r="G173" s="312">
        <f>IFERROR(INDEX(Data!BV$9:BV$1273,MATCH($M173,Data!$K$9:$K$1273,0)),"")</f>
        <v/>
      </c>
      <c r="H173" s="312">
        <f>IFERROR(INDEX(Data!BW$9:BW$1273,MATCH($M173,Data!$K$9:$K$1273,0)),"")</f>
        <v/>
      </c>
      <c r="I173" s="312">
        <f>IFERROR(INDEX(Data!BX$9:BX$1273,MATCH($M173,Data!$K$9:$K$1273,0)),"")</f>
        <v/>
      </c>
      <c r="J173" s="312">
        <f>IFERROR(INDEX(Data!CB$9:CB$1273,MATCH($M173,Data!$K$9:$K$1273,0)),"")</f>
        <v/>
      </c>
      <c r="K173" s="329">
        <f>IFERROR(HYPERLINK(BM173,BC173),"-")</f>
        <v/>
      </c>
      <c r="L173" s="330">
        <f>IFERROR(IF(BB173=0,"-",BB173)," ")</f>
        <v/>
      </c>
      <c r="M173" s="311" t="n"/>
      <c r="N173" s="311" t="n"/>
      <c r="O173" s="311">
        <f>IFERROR(INDEX(Data!M$9:M$1273,MATCH($M173,Data!$K$9:$K$1273,0)),"")</f>
        <v/>
      </c>
      <c r="P173" s="311">
        <f>IFERROR(INDEX(Data!N$9:N$1273,MATCH($M173,Data!$K$9:$K$1273,0)),"")</f>
        <v/>
      </c>
      <c r="Q173" s="311">
        <f>IFERROR(INDEX(Data!O$9:O$1273,MATCH($M173,Data!$K$9:$K$1273,0)),"")</f>
        <v/>
      </c>
      <c r="R173" s="311">
        <f>IFERROR(INDEX(Data!P$9:P$1273,MATCH($M173,Data!$K$9:$K$1273,0)),"")</f>
        <v/>
      </c>
      <c r="S173" s="311">
        <f>IFERROR(INDEX(Data!S$9:S$1273,MATCH($M173,Data!$K$9:$K$1273,0)),"")</f>
        <v/>
      </c>
      <c r="T173" s="311">
        <f>IFERROR(INDEX(Data!T$9:T$1273,MATCH($M173,Data!$K$9:$K$1273,0)),"")</f>
        <v/>
      </c>
      <c r="U173" s="311">
        <f>IFERROR(INDEX(Data!U$9:U$1273,MATCH($M173,Data!$K$9:$K$1273,0)),"")</f>
        <v/>
      </c>
      <c r="V173" s="311">
        <f>IFERROR(INDEX(Data!V$9:V$1273,MATCH($M173,Data!$K$9:$K$1273,0)),"")</f>
        <v/>
      </c>
      <c r="W173" s="311">
        <f>IFERROR(INDEX(Data!W$9:W$1273,MATCH($M173,Data!$K$9:$K$1273,0)),"")</f>
        <v/>
      </c>
      <c r="X173" s="311">
        <f>IFERROR(INDEX(Data!AJ$9:AJ$1273,MATCH($M173,Data!$K$9:$K$1273,0)),"")</f>
        <v/>
      </c>
      <c r="Y173" s="311">
        <f>IFERROR(INDEX(Data!AK$9:AK$1273,MATCH($M173,Data!$K$9:$K$1273,0)),"")</f>
        <v/>
      </c>
      <c r="Z173" s="311">
        <f>IFERROR(INDEX(Data!AL$9:AL$1273,MATCH($M173,Data!$K$9:$K$1273,0)),"")</f>
        <v/>
      </c>
      <c r="AA173" s="311">
        <f>IFERROR(INDEX(Data!AM$9:AM$1273,MATCH($M173,Data!$K$9:$K$1273,0)),"")</f>
        <v/>
      </c>
      <c r="AB173" s="311">
        <f>IFERROR(INDEX(Data!AN$9:AN$1273,MATCH($M173,Data!$K$9:$K$1273,0)),"")</f>
        <v/>
      </c>
      <c r="AC173" s="312">
        <f>IFERROR(INDEX(Data!BY$9:BY$1273,MATCH($M173,Data!$K$9:$K$1273,0)),"")</f>
        <v/>
      </c>
      <c r="AD173" s="312">
        <f>IFERROR(INDEX(Data!BZ$9:BZ$1273,MATCH($M173,Data!$K$9:$K$1273,0)),"")</f>
        <v/>
      </c>
      <c r="AE173" s="312">
        <f>IFERROR(INDEX(Data!CA$9:CA$1273,MATCH($M173,Data!$K$9:$K$1273,0)),"")</f>
        <v/>
      </c>
      <c r="AF173" s="312">
        <f>IFERROR(INDEX(Data!CB$9:CB$1273,MATCH($M173,Data!$K$9:$K$1273,0)),"")</f>
        <v/>
      </c>
      <c r="AG173" s="312">
        <f>IFERROR(INDEX(Data!CC$9:CC$1273,MATCH($M173,Data!$K$9:$K$1273,0)),"")</f>
        <v/>
      </c>
      <c r="AH173" s="312">
        <f>IFERROR(INDEX(Data!CD$9:CD$1273,MATCH($M173,Data!$K$9:$K$1273,0)),"")</f>
        <v/>
      </c>
      <c r="AI173" s="312">
        <f>IFERROR(INDEX(Data!CE$9:CE$1273,MATCH($M173,Data!$K$9:$K$1273,0)),"")</f>
        <v/>
      </c>
      <c r="AJ173" s="312">
        <f>IFERROR(INDEX(Data!CF$9:CF$1273,MATCH($M173,Data!$K$9:$K$1273,0)),"")</f>
        <v/>
      </c>
      <c r="AK173" s="312">
        <f>IFERROR(INDEX(Data!CG$9:CG$1273,MATCH($M173,Data!$K$9:$K$1273,0)),"")</f>
        <v/>
      </c>
      <c r="AL173" s="312">
        <f>IFERROR(INDEX(Data!CH$9:CH$1273,MATCH($M173,Data!$K$9:$K$1273,0)),"")</f>
        <v/>
      </c>
      <c r="AM173" s="312">
        <f>IFERROR(INDEX(Data!CI$9:CI$1273,MATCH($M173,Data!$K$9:$K$1273,0)),"")</f>
        <v/>
      </c>
      <c r="AN173" s="312">
        <f>IFERROR(INDEX(Data!CJ$9:CJ$1273,MATCH($M173,Data!$K$9:$K$1273,0)),"")</f>
        <v/>
      </c>
      <c r="AO173" s="312">
        <f>IFERROR(INDEX(Data!CK$9:CK$1273,MATCH($M173,Data!$K$9:$K$1273,0)),"")</f>
        <v/>
      </c>
      <c r="AP173" s="312">
        <f>IFERROR(INDEX(Data!CL$9:CL$1273,MATCH($M173,Data!$K$9:$K$1273,0)),"")</f>
        <v/>
      </c>
      <c r="AQ173" s="312">
        <f>IFERROR(INDEX(Data!CM$9:CM$1273,MATCH($M173,Data!$K$9:$K$1273,0)),"")</f>
        <v/>
      </c>
      <c r="AR173" s="312">
        <f>IFERROR(INDEX(Data!CN$9:CN$1273,MATCH($M173,Data!$K$9:$K$1273,0)),"")</f>
        <v/>
      </c>
      <c r="AS173" s="312">
        <f>IFERROR(INDEX(Data!CO$9:CO$1273,MATCH($M173,Data!$K$9:$K$1273,0)),"")</f>
        <v/>
      </c>
      <c r="AT173" s="312">
        <f>IFERROR(INDEX(Data!CP$9:CP$1273,MATCH($M173,Data!$K$9:$K$1273,0)),"")</f>
        <v/>
      </c>
      <c r="AU173" s="312">
        <f>IFERROR(INDEX(Data!CQ$9:CQ$1273,MATCH($M173,Data!$K$9:$K$1273,0)),"")</f>
        <v/>
      </c>
      <c r="AV173" s="312">
        <f>IFERROR(INDEX(Data!CR$9:CR$1273,MATCH($M173,Data!$K$9:$K$1273,0)),"")</f>
        <v/>
      </c>
      <c r="AW173" s="312">
        <f>IFERROR(INDEX(Data!CS$9:CS$1273,MATCH($M173,Data!$K$9:$K$1273,0)),"")</f>
        <v/>
      </c>
      <c r="AX173" s="312">
        <f>IFERROR(INDEX(Data!CT$9:CT$1273,MATCH($M173,Data!$K$9:$K$1273,0)),"")</f>
        <v/>
      </c>
      <c r="AY173" s="312">
        <f>IFERROR(INDEX(Data!CU$9:CU$1273,MATCH($M173,Data!$K$9:$K$1273,0)),"")</f>
        <v/>
      </c>
      <c r="AZ173" s="312">
        <f>IFERROR(INDEX(Data!CV$9:CV$1273,MATCH($M173,Data!$K$9:$K$1273,0)),"")</f>
        <v/>
      </c>
      <c r="BA173" s="312">
        <f>IFERROR(INDEX(Data!CX$9:CX$1273,MATCH($M173,Data!$K$9:$K$1273,0)),"")</f>
        <v/>
      </c>
      <c r="BB173" s="312">
        <f>IFERROR(INDEX(Data!CY$9:CY$1273,MATCH($M173,Data!$K$9:$K$1273,0)),"")</f>
        <v/>
      </c>
      <c r="BC173" s="312">
        <f>IFERROR(INDEX(Data!CZ$9:CZ$1273,MATCH($M173,Data!$K$9:$K$1273,0)),"")</f>
        <v/>
      </c>
      <c r="BD173" s="312">
        <f>IFERROR(INDEX(Data!DA$9:DA$1273,MATCH($M173,Data!$K$9:$K$1273,0)),"")</f>
        <v/>
      </c>
      <c r="BE173" s="312">
        <f>IFERROR(INDEX(Data!DB$9:DB$1273,MATCH($M173,Data!$K$9:$K$1273,0)),"")</f>
        <v/>
      </c>
      <c r="BF173" s="312">
        <f>IFERROR(INDEX(Data!DC$9:DC$1273,MATCH($M173,Data!$K$9:$K$1273,0)),"")</f>
        <v/>
      </c>
      <c r="BG173" s="312">
        <f>IFERROR(INDEX(Data!DD$9:DD$1273,MATCH($M173,Data!$K$9:$K$1273,0)),"")</f>
        <v/>
      </c>
      <c r="BH173" s="312">
        <f>IFERROR(INDEX(Data!DE$9:DE$1273,MATCH($M173,Data!$K$9:$K$1273,0)),"")</f>
        <v/>
      </c>
      <c r="BI173" s="312">
        <f>IFERROR(INDEX(Data!DF$9:DF$1273,MATCH($M173,Data!$K$9:$K$1273,0)),"")</f>
        <v/>
      </c>
      <c r="BJ173" s="312">
        <f>IFERROR(INDEX(Data!DG$9:DG$1273,MATCH($M173,Data!$K$9:$K$1273,0)),"")</f>
        <v/>
      </c>
      <c r="BK173" s="312">
        <f>IFERROR(INDEX(Data!DH$9:DH$1273,MATCH($M173,Data!$K$9:$K$1273,0)),"")</f>
        <v/>
      </c>
      <c r="BL173" s="312">
        <f>IFERROR(INDEX(Data!DI$9:DI$1273,MATCH($M173,Data!$K$9:$K$1273,0)),"")</f>
        <v/>
      </c>
      <c r="BM173" s="312">
        <f>IFERROR(INDEX(Data!DJ$9:DJ$1273,MATCH($M173,Data!$K$9:$K$1273,0)),"")</f>
        <v/>
      </c>
      <c r="BN173" s="312">
        <f>IFERROR(INDEX(Data!DK$9:DK$1273,MATCH($M173,Data!$K$9:$K$1273,0)),"")</f>
        <v/>
      </c>
      <c r="BO173" s="312">
        <f>IFERROR(INDEX(Data!DL$9:DL$1273,MATCH($M173,Data!$K$9:$K$1273,0)),"")</f>
        <v/>
      </c>
      <c r="BP173" s="331">
        <f>IFERROR(IF(BK173=0,"-",BK173),"")</f>
        <v/>
      </c>
      <c r="BQ173" s="312">
        <f>IFERROR(IF(BP173-K173&gt;0,TRUE,FALSE)," ")</f>
        <v/>
      </c>
      <c r="BR173" s="312">
        <f>_xlfn.CONCAT(E173,F173,H173,G173)</f>
        <v/>
      </c>
      <c r="BS173" s="312">
        <f>IFERROR(INDEX(Data!$DO$9:$DO$1273,MATCH('Your recommendation'!BR173,Data!$DN$9:$DN$1273,0)),"")</f>
        <v/>
      </c>
    </row>
    <row r="174" ht="15.6" customFormat="1" customHeight="1" s="138">
      <c r="B174" s="309">
        <f>IF(C174&gt;0,B173+1,"")</f>
        <v/>
      </c>
      <c r="C174" s="310" t="n"/>
      <c r="D174" s="312">
        <f>IFERROR(INDEX(Data!BR$9:BR$1273,MATCH($M174,Data!$K$9:$K$1273,0)),"")</f>
        <v/>
      </c>
      <c r="E174" s="312">
        <f>IFERROR(INDEX(Data!BS$9:BS$1273,MATCH($M174,Data!$K$9:$K$1273,0)),"")</f>
        <v/>
      </c>
      <c r="F174" s="312">
        <f>IFERROR(INDEX(Data!DM$9:DM$1273,MATCH($M174,Data!$K$9:$K$1273,0)),"")</f>
        <v/>
      </c>
      <c r="G174" s="312">
        <f>IFERROR(INDEX(Data!BV$9:BV$1273,MATCH($M174,Data!$K$9:$K$1273,0)),"")</f>
        <v/>
      </c>
      <c r="H174" s="312">
        <f>IFERROR(INDEX(Data!BW$9:BW$1273,MATCH($M174,Data!$K$9:$K$1273,0)),"")</f>
        <v/>
      </c>
      <c r="I174" s="312">
        <f>IFERROR(INDEX(Data!BX$9:BX$1273,MATCH($M174,Data!$K$9:$K$1273,0)),"")</f>
        <v/>
      </c>
      <c r="J174" s="312">
        <f>IFERROR(INDEX(Data!CB$9:CB$1273,MATCH($M174,Data!$K$9:$K$1273,0)),"")</f>
        <v/>
      </c>
      <c r="K174" s="329">
        <f>IFERROR(HYPERLINK(BM174,BC174),"-")</f>
        <v/>
      </c>
      <c r="L174" s="330">
        <f>IFERROR(IF(BB174=0,"-",BB174)," ")</f>
        <v/>
      </c>
      <c r="M174" s="311" t="n"/>
      <c r="N174" s="311" t="n"/>
      <c r="O174" s="311">
        <f>IFERROR(INDEX(Data!M$9:M$1273,MATCH($M174,Data!$K$9:$K$1273,0)),"")</f>
        <v/>
      </c>
      <c r="P174" s="311">
        <f>IFERROR(INDEX(Data!N$9:N$1273,MATCH($M174,Data!$K$9:$K$1273,0)),"")</f>
        <v/>
      </c>
      <c r="Q174" s="311">
        <f>IFERROR(INDEX(Data!O$9:O$1273,MATCH($M174,Data!$K$9:$K$1273,0)),"")</f>
        <v/>
      </c>
      <c r="R174" s="311">
        <f>IFERROR(INDEX(Data!P$9:P$1273,MATCH($M174,Data!$K$9:$K$1273,0)),"")</f>
        <v/>
      </c>
      <c r="S174" s="311">
        <f>IFERROR(INDEX(Data!S$9:S$1273,MATCH($M174,Data!$K$9:$K$1273,0)),"")</f>
        <v/>
      </c>
      <c r="T174" s="311">
        <f>IFERROR(INDEX(Data!T$9:T$1273,MATCH($M174,Data!$K$9:$K$1273,0)),"")</f>
        <v/>
      </c>
      <c r="U174" s="311">
        <f>IFERROR(INDEX(Data!U$9:U$1273,MATCH($M174,Data!$K$9:$K$1273,0)),"")</f>
        <v/>
      </c>
      <c r="V174" s="311">
        <f>IFERROR(INDEX(Data!V$9:V$1273,MATCH($M174,Data!$K$9:$K$1273,0)),"")</f>
        <v/>
      </c>
      <c r="W174" s="311">
        <f>IFERROR(INDEX(Data!W$9:W$1273,MATCH($M174,Data!$K$9:$K$1273,0)),"")</f>
        <v/>
      </c>
      <c r="X174" s="311">
        <f>IFERROR(INDEX(Data!AJ$9:AJ$1273,MATCH($M174,Data!$K$9:$K$1273,0)),"")</f>
        <v/>
      </c>
      <c r="Y174" s="311">
        <f>IFERROR(INDEX(Data!AK$9:AK$1273,MATCH($M174,Data!$K$9:$K$1273,0)),"")</f>
        <v/>
      </c>
      <c r="Z174" s="311">
        <f>IFERROR(INDEX(Data!AL$9:AL$1273,MATCH($M174,Data!$K$9:$K$1273,0)),"")</f>
        <v/>
      </c>
      <c r="AA174" s="311">
        <f>IFERROR(INDEX(Data!AM$9:AM$1273,MATCH($M174,Data!$K$9:$K$1273,0)),"")</f>
        <v/>
      </c>
      <c r="AB174" s="311">
        <f>IFERROR(INDEX(Data!AN$9:AN$1273,MATCH($M174,Data!$K$9:$K$1273,0)),"")</f>
        <v/>
      </c>
      <c r="AC174" s="312">
        <f>IFERROR(INDEX(Data!BY$9:BY$1273,MATCH($M174,Data!$K$9:$K$1273,0)),"")</f>
        <v/>
      </c>
      <c r="AD174" s="312">
        <f>IFERROR(INDEX(Data!BZ$9:BZ$1273,MATCH($M174,Data!$K$9:$K$1273,0)),"")</f>
        <v/>
      </c>
      <c r="AE174" s="312">
        <f>IFERROR(INDEX(Data!CA$9:CA$1273,MATCH($M174,Data!$K$9:$K$1273,0)),"")</f>
        <v/>
      </c>
      <c r="AF174" s="312">
        <f>IFERROR(INDEX(Data!CB$9:CB$1273,MATCH($M174,Data!$K$9:$K$1273,0)),"")</f>
        <v/>
      </c>
      <c r="AG174" s="312">
        <f>IFERROR(INDEX(Data!CC$9:CC$1273,MATCH($M174,Data!$K$9:$K$1273,0)),"")</f>
        <v/>
      </c>
      <c r="AH174" s="312">
        <f>IFERROR(INDEX(Data!CD$9:CD$1273,MATCH($M174,Data!$K$9:$K$1273,0)),"")</f>
        <v/>
      </c>
      <c r="AI174" s="312">
        <f>IFERROR(INDEX(Data!CE$9:CE$1273,MATCH($M174,Data!$K$9:$K$1273,0)),"")</f>
        <v/>
      </c>
      <c r="AJ174" s="312">
        <f>IFERROR(INDEX(Data!CF$9:CF$1273,MATCH($M174,Data!$K$9:$K$1273,0)),"")</f>
        <v/>
      </c>
      <c r="AK174" s="312">
        <f>IFERROR(INDEX(Data!CG$9:CG$1273,MATCH($M174,Data!$K$9:$K$1273,0)),"")</f>
        <v/>
      </c>
      <c r="AL174" s="312">
        <f>IFERROR(INDEX(Data!CH$9:CH$1273,MATCH($M174,Data!$K$9:$K$1273,0)),"")</f>
        <v/>
      </c>
      <c r="AM174" s="312">
        <f>IFERROR(INDEX(Data!CI$9:CI$1273,MATCH($M174,Data!$K$9:$K$1273,0)),"")</f>
        <v/>
      </c>
      <c r="AN174" s="312">
        <f>IFERROR(INDEX(Data!CJ$9:CJ$1273,MATCH($M174,Data!$K$9:$K$1273,0)),"")</f>
        <v/>
      </c>
      <c r="AO174" s="312">
        <f>IFERROR(INDEX(Data!CK$9:CK$1273,MATCH($M174,Data!$K$9:$K$1273,0)),"")</f>
        <v/>
      </c>
      <c r="AP174" s="312">
        <f>IFERROR(INDEX(Data!CL$9:CL$1273,MATCH($M174,Data!$K$9:$K$1273,0)),"")</f>
        <v/>
      </c>
      <c r="AQ174" s="312">
        <f>IFERROR(INDEX(Data!CM$9:CM$1273,MATCH($M174,Data!$K$9:$K$1273,0)),"")</f>
        <v/>
      </c>
      <c r="AR174" s="312">
        <f>IFERROR(INDEX(Data!CN$9:CN$1273,MATCH($M174,Data!$K$9:$K$1273,0)),"")</f>
        <v/>
      </c>
      <c r="AS174" s="312">
        <f>IFERROR(INDEX(Data!CO$9:CO$1273,MATCH($M174,Data!$K$9:$K$1273,0)),"")</f>
        <v/>
      </c>
      <c r="AT174" s="312">
        <f>IFERROR(INDEX(Data!CP$9:CP$1273,MATCH($M174,Data!$K$9:$K$1273,0)),"")</f>
        <v/>
      </c>
      <c r="AU174" s="312">
        <f>IFERROR(INDEX(Data!CQ$9:CQ$1273,MATCH($M174,Data!$K$9:$K$1273,0)),"")</f>
        <v/>
      </c>
      <c r="AV174" s="312">
        <f>IFERROR(INDEX(Data!CR$9:CR$1273,MATCH($M174,Data!$K$9:$K$1273,0)),"")</f>
        <v/>
      </c>
      <c r="AW174" s="312">
        <f>IFERROR(INDEX(Data!CS$9:CS$1273,MATCH($M174,Data!$K$9:$K$1273,0)),"")</f>
        <v/>
      </c>
      <c r="AX174" s="312">
        <f>IFERROR(INDEX(Data!CT$9:CT$1273,MATCH($M174,Data!$K$9:$K$1273,0)),"")</f>
        <v/>
      </c>
      <c r="AY174" s="312">
        <f>IFERROR(INDEX(Data!CU$9:CU$1273,MATCH($M174,Data!$K$9:$K$1273,0)),"")</f>
        <v/>
      </c>
      <c r="AZ174" s="312">
        <f>IFERROR(INDEX(Data!CV$9:CV$1273,MATCH($M174,Data!$K$9:$K$1273,0)),"")</f>
        <v/>
      </c>
      <c r="BA174" s="312">
        <f>IFERROR(INDEX(Data!CX$9:CX$1273,MATCH($M174,Data!$K$9:$K$1273,0)),"")</f>
        <v/>
      </c>
      <c r="BB174" s="312">
        <f>IFERROR(INDEX(Data!CY$9:CY$1273,MATCH($M174,Data!$K$9:$K$1273,0)),"")</f>
        <v/>
      </c>
      <c r="BC174" s="312">
        <f>IFERROR(INDEX(Data!CZ$9:CZ$1273,MATCH($M174,Data!$K$9:$K$1273,0)),"")</f>
        <v/>
      </c>
      <c r="BD174" s="312">
        <f>IFERROR(INDEX(Data!DA$9:DA$1273,MATCH($M174,Data!$K$9:$K$1273,0)),"")</f>
        <v/>
      </c>
      <c r="BE174" s="312">
        <f>IFERROR(INDEX(Data!DB$9:DB$1273,MATCH($M174,Data!$K$9:$K$1273,0)),"")</f>
        <v/>
      </c>
      <c r="BF174" s="312">
        <f>IFERROR(INDEX(Data!DC$9:DC$1273,MATCH($M174,Data!$K$9:$K$1273,0)),"")</f>
        <v/>
      </c>
      <c r="BG174" s="312">
        <f>IFERROR(INDEX(Data!DD$9:DD$1273,MATCH($M174,Data!$K$9:$K$1273,0)),"")</f>
        <v/>
      </c>
      <c r="BH174" s="312">
        <f>IFERROR(INDEX(Data!DE$9:DE$1273,MATCH($M174,Data!$K$9:$K$1273,0)),"")</f>
        <v/>
      </c>
      <c r="BI174" s="312">
        <f>IFERROR(INDEX(Data!DF$9:DF$1273,MATCH($M174,Data!$K$9:$K$1273,0)),"")</f>
        <v/>
      </c>
      <c r="BJ174" s="312">
        <f>IFERROR(INDEX(Data!DG$9:DG$1273,MATCH($M174,Data!$K$9:$K$1273,0)),"")</f>
        <v/>
      </c>
      <c r="BK174" s="312">
        <f>IFERROR(INDEX(Data!DH$9:DH$1273,MATCH($M174,Data!$K$9:$K$1273,0)),"")</f>
        <v/>
      </c>
      <c r="BL174" s="312">
        <f>IFERROR(INDEX(Data!DI$9:DI$1273,MATCH($M174,Data!$K$9:$K$1273,0)),"")</f>
        <v/>
      </c>
      <c r="BM174" s="312">
        <f>IFERROR(INDEX(Data!DJ$9:DJ$1273,MATCH($M174,Data!$K$9:$K$1273,0)),"")</f>
        <v/>
      </c>
      <c r="BN174" s="312">
        <f>IFERROR(INDEX(Data!DK$9:DK$1273,MATCH($M174,Data!$K$9:$K$1273,0)),"")</f>
        <v/>
      </c>
      <c r="BO174" s="312">
        <f>IFERROR(INDEX(Data!DL$9:DL$1273,MATCH($M174,Data!$K$9:$K$1273,0)),"")</f>
        <v/>
      </c>
      <c r="BP174" s="331">
        <f>IFERROR(IF(BK174=0,"-",BK174),"")</f>
        <v/>
      </c>
      <c r="BQ174" s="312">
        <f>IFERROR(IF(BP174-K174&gt;0,TRUE,FALSE)," ")</f>
        <v/>
      </c>
      <c r="BR174" s="312">
        <f>_xlfn.CONCAT(E174,F174,H174,G174)</f>
        <v/>
      </c>
      <c r="BS174" s="312">
        <f>IFERROR(INDEX(Data!$DO$9:$DO$1273,MATCH('Your recommendation'!BR174,Data!$DN$9:$DN$1273,0)),"")</f>
        <v/>
      </c>
    </row>
    <row r="175" ht="15.6" customFormat="1" customHeight="1" s="138">
      <c r="B175" s="309">
        <f>IF(C175&gt;0,B174+1,"")</f>
        <v/>
      </c>
      <c r="C175" s="310" t="n"/>
      <c r="D175" s="312">
        <f>IFERROR(INDEX(Data!BR$9:BR$1273,MATCH($M175,Data!$K$9:$K$1273,0)),"")</f>
        <v/>
      </c>
      <c r="E175" s="312">
        <f>IFERROR(INDEX(Data!BS$9:BS$1273,MATCH($M175,Data!$K$9:$K$1273,0)),"")</f>
        <v/>
      </c>
      <c r="F175" s="312">
        <f>IFERROR(INDEX(Data!DM$9:DM$1273,MATCH($M175,Data!$K$9:$K$1273,0)),"")</f>
        <v/>
      </c>
      <c r="G175" s="312">
        <f>IFERROR(INDEX(Data!BV$9:BV$1273,MATCH($M175,Data!$K$9:$K$1273,0)),"")</f>
        <v/>
      </c>
      <c r="H175" s="312">
        <f>IFERROR(INDEX(Data!BW$9:BW$1273,MATCH($M175,Data!$K$9:$K$1273,0)),"")</f>
        <v/>
      </c>
      <c r="I175" s="312">
        <f>IFERROR(INDEX(Data!BX$9:BX$1273,MATCH($M175,Data!$K$9:$K$1273,0)),"")</f>
        <v/>
      </c>
      <c r="J175" s="312">
        <f>IFERROR(INDEX(Data!CB$9:CB$1273,MATCH($M175,Data!$K$9:$K$1273,0)),"")</f>
        <v/>
      </c>
      <c r="K175" s="329">
        <f>IFERROR(HYPERLINK(BM175,BC175),"-")</f>
        <v/>
      </c>
      <c r="L175" s="330">
        <f>IFERROR(IF(BB175=0,"-",BB175)," ")</f>
        <v/>
      </c>
      <c r="M175" s="311" t="n"/>
      <c r="N175" s="311" t="n"/>
      <c r="O175" s="311">
        <f>IFERROR(INDEX(Data!M$9:M$1273,MATCH($M175,Data!$K$9:$K$1273,0)),"")</f>
        <v/>
      </c>
      <c r="P175" s="311">
        <f>IFERROR(INDEX(Data!N$9:N$1273,MATCH($M175,Data!$K$9:$K$1273,0)),"")</f>
        <v/>
      </c>
      <c r="Q175" s="311">
        <f>IFERROR(INDEX(Data!O$9:O$1273,MATCH($M175,Data!$K$9:$K$1273,0)),"")</f>
        <v/>
      </c>
      <c r="R175" s="311">
        <f>IFERROR(INDEX(Data!P$9:P$1273,MATCH($M175,Data!$K$9:$K$1273,0)),"")</f>
        <v/>
      </c>
      <c r="S175" s="311">
        <f>IFERROR(INDEX(Data!S$9:S$1273,MATCH($M175,Data!$K$9:$K$1273,0)),"")</f>
        <v/>
      </c>
      <c r="T175" s="311">
        <f>IFERROR(INDEX(Data!T$9:T$1273,MATCH($M175,Data!$K$9:$K$1273,0)),"")</f>
        <v/>
      </c>
      <c r="U175" s="311">
        <f>IFERROR(INDEX(Data!U$9:U$1273,MATCH($M175,Data!$K$9:$K$1273,0)),"")</f>
        <v/>
      </c>
      <c r="V175" s="311">
        <f>IFERROR(INDEX(Data!V$9:V$1273,MATCH($M175,Data!$K$9:$K$1273,0)),"")</f>
        <v/>
      </c>
      <c r="W175" s="311">
        <f>IFERROR(INDEX(Data!W$9:W$1273,MATCH($M175,Data!$K$9:$K$1273,0)),"")</f>
        <v/>
      </c>
      <c r="X175" s="311">
        <f>IFERROR(INDEX(Data!AJ$9:AJ$1273,MATCH($M175,Data!$K$9:$K$1273,0)),"")</f>
        <v/>
      </c>
      <c r="Y175" s="311">
        <f>IFERROR(INDEX(Data!AK$9:AK$1273,MATCH($M175,Data!$K$9:$K$1273,0)),"")</f>
        <v/>
      </c>
      <c r="Z175" s="311">
        <f>IFERROR(INDEX(Data!AL$9:AL$1273,MATCH($M175,Data!$K$9:$K$1273,0)),"")</f>
        <v/>
      </c>
      <c r="AA175" s="311">
        <f>IFERROR(INDEX(Data!AM$9:AM$1273,MATCH($M175,Data!$K$9:$K$1273,0)),"")</f>
        <v/>
      </c>
      <c r="AB175" s="311">
        <f>IFERROR(INDEX(Data!AN$9:AN$1273,MATCH($M175,Data!$K$9:$K$1273,0)),"")</f>
        <v/>
      </c>
      <c r="AC175" s="312">
        <f>IFERROR(INDEX(Data!BY$9:BY$1273,MATCH($M175,Data!$K$9:$K$1273,0)),"")</f>
        <v/>
      </c>
      <c r="AD175" s="312">
        <f>IFERROR(INDEX(Data!BZ$9:BZ$1273,MATCH($M175,Data!$K$9:$K$1273,0)),"")</f>
        <v/>
      </c>
      <c r="AE175" s="312">
        <f>IFERROR(INDEX(Data!CA$9:CA$1273,MATCH($M175,Data!$K$9:$K$1273,0)),"")</f>
        <v/>
      </c>
      <c r="AF175" s="312">
        <f>IFERROR(INDEX(Data!CB$9:CB$1273,MATCH($M175,Data!$K$9:$K$1273,0)),"")</f>
        <v/>
      </c>
      <c r="AG175" s="312">
        <f>IFERROR(INDEX(Data!CC$9:CC$1273,MATCH($M175,Data!$K$9:$K$1273,0)),"")</f>
        <v/>
      </c>
      <c r="AH175" s="312">
        <f>IFERROR(INDEX(Data!CD$9:CD$1273,MATCH($M175,Data!$K$9:$K$1273,0)),"")</f>
        <v/>
      </c>
      <c r="AI175" s="312">
        <f>IFERROR(INDEX(Data!CE$9:CE$1273,MATCH($M175,Data!$K$9:$K$1273,0)),"")</f>
        <v/>
      </c>
      <c r="AJ175" s="312">
        <f>IFERROR(INDEX(Data!CF$9:CF$1273,MATCH($M175,Data!$K$9:$K$1273,0)),"")</f>
        <v/>
      </c>
      <c r="AK175" s="312">
        <f>IFERROR(INDEX(Data!CG$9:CG$1273,MATCH($M175,Data!$K$9:$K$1273,0)),"")</f>
        <v/>
      </c>
      <c r="AL175" s="312">
        <f>IFERROR(INDEX(Data!CH$9:CH$1273,MATCH($M175,Data!$K$9:$K$1273,0)),"")</f>
        <v/>
      </c>
      <c r="AM175" s="312">
        <f>IFERROR(INDEX(Data!CI$9:CI$1273,MATCH($M175,Data!$K$9:$K$1273,0)),"")</f>
        <v/>
      </c>
      <c r="AN175" s="312">
        <f>IFERROR(INDEX(Data!CJ$9:CJ$1273,MATCH($M175,Data!$K$9:$K$1273,0)),"")</f>
        <v/>
      </c>
      <c r="AO175" s="312">
        <f>IFERROR(INDEX(Data!CK$9:CK$1273,MATCH($M175,Data!$K$9:$K$1273,0)),"")</f>
        <v/>
      </c>
      <c r="AP175" s="312">
        <f>IFERROR(INDEX(Data!CL$9:CL$1273,MATCH($M175,Data!$K$9:$K$1273,0)),"")</f>
        <v/>
      </c>
      <c r="AQ175" s="312">
        <f>IFERROR(INDEX(Data!CM$9:CM$1273,MATCH($M175,Data!$K$9:$K$1273,0)),"")</f>
        <v/>
      </c>
      <c r="AR175" s="312">
        <f>IFERROR(INDEX(Data!CN$9:CN$1273,MATCH($M175,Data!$K$9:$K$1273,0)),"")</f>
        <v/>
      </c>
      <c r="AS175" s="312">
        <f>IFERROR(INDEX(Data!CO$9:CO$1273,MATCH($M175,Data!$K$9:$K$1273,0)),"")</f>
        <v/>
      </c>
      <c r="AT175" s="312">
        <f>IFERROR(INDEX(Data!CP$9:CP$1273,MATCH($M175,Data!$K$9:$K$1273,0)),"")</f>
        <v/>
      </c>
      <c r="AU175" s="312">
        <f>IFERROR(INDEX(Data!CQ$9:CQ$1273,MATCH($M175,Data!$K$9:$K$1273,0)),"")</f>
        <v/>
      </c>
      <c r="AV175" s="312">
        <f>IFERROR(INDEX(Data!CR$9:CR$1273,MATCH($M175,Data!$K$9:$K$1273,0)),"")</f>
        <v/>
      </c>
      <c r="AW175" s="312">
        <f>IFERROR(INDEX(Data!CS$9:CS$1273,MATCH($M175,Data!$K$9:$K$1273,0)),"")</f>
        <v/>
      </c>
      <c r="AX175" s="312">
        <f>IFERROR(INDEX(Data!CT$9:CT$1273,MATCH($M175,Data!$K$9:$K$1273,0)),"")</f>
        <v/>
      </c>
      <c r="AY175" s="312">
        <f>IFERROR(INDEX(Data!CU$9:CU$1273,MATCH($M175,Data!$K$9:$K$1273,0)),"")</f>
        <v/>
      </c>
      <c r="AZ175" s="312">
        <f>IFERROR(INDEX(Data!CV$9:CV$1273,MATCH($M175,Data!$K$9:$K$1273,0)),"")</f>
        <v/>
      </c>
      <c r="BA175" s="312">
        <f>IFERROR(INDEX(Data!CX$9:CX$1273,MATCH($M175,Data!$K$9:$K$1273,0)),"")</f>
        <v/>
      </c>
      <c r="BB175" s="312">
        <f>IFERROR(INDEX(Data!CY$9:CY$1273,MATCH($M175,Data!$K$9:$K$1273,0)),"")</f>
        <v/>
      </c>
      <c r="BC175" s="312">
        <f>IFERROR(INDEX(Data!CZ$9:CZ$1273,MATCH($M175,Data!$K$9:$K$1273,0)),"")</f>
        <v/>
      </c>
      <c r="BD175" s="312">
        <f>IFERROR(INDEX(Data!DA$9:DA$1273,MATCH($M175,Data!$K$9:$K$1273,0)),"")</f>
        <v/>
      </c>
      <c r="BE175" s="312">
        <f>IFERROR(INDEX(Data!DB$9:DB$1273,MATCH($M175,Data!$K$9:$K$1273,0)),"")</f>
        <v/>
      </c>
      <c r="BF175" s="312">
        <f>IFERROR(INDEX(Data!DC$9:DC$1273,MATCH($M175,Data!$K$9:$K$1273,0)),"")</f>
        <v/>
      </c>
      <c r="BG175" s="312">
        <f>IFERROR(INDEX(Data!DD$9:DD$1273,MATCH($M175,Data!$K$9:$K$1273,0)),"")</f>
        <v/>
      </c>
      <c r="BH175" s="312">
        <f>IFERROR(INDEX(Data!DE$9:DE$1273,MATCH($M175,Data!$K$9:$K$1273,0)),"")</f>
        <v/>
      </c>
      <c r="BI175" s="312">
        <f>IFERROR(INDEX(Data!DF$9:DF$1273,MATCH($M175,Data!$K$9:$K$1273,0)),"")</f>
        <v/>
      </c>
      <c r="BJ175" s="312">
        <f>IFERROR(INDEX(Data!DG$9:DG$1273,MATCH($M175,Data!$K$9:$K$1273,0)),"")</f>
        <v/>
      </c>
      <c r="BK175" s="312">
        <f>IFERROR(INDEX(Data!DH$9:DH$1273,MATCH($M175,Data!$K$9:$K$1273,0)),"")</f>
        <v/>
      </c>
      <c r="BL175" s="312">
        <f>IFERROR(INDEX(Data!DI$9:DI$1273,MATCH($M175,Data!$K$9:$K$1273,0)),"")</f>
        <v/>
      </c>
      <c r="BM175" s="312">
        <f>IFERROR(INDEX(Data!DJ$9:DJ$1273,MATCH($M175,Data!$K$9:$K$1273,0)),"")</f>
        <v/>
      </c>
      <c r="BN175" s="312">
        <f>IFERROR(INDEX(Data!DK$9:DK$1273,MATCH($M175,Data!$K$9:$K$1273,0)),"")</f>
        <v/>
      </c>
      <c r="BO175" s="312">
        <f>IFERROR(INDEX(Data!DL$9:DL$1273,MATCH($M175,Data!$K$9:$K$1273,0)),"")</f>
        <v/>
      </c>
      <c r="BP175" s="331">
        <f>IFERROR(IF(BK175=0,"-",BK175),"")</f>
        <v/>
      </c>
      <c r="BQ175" s="312">
        <f>IFERROR(IF(BP175-K175&gt;0,TRUE,FALSE)," ")</f>
        <v/>
      </c>
      <c r="BR175" s="312">
        <f>_xlfn.CONCAT(E175,F175,H175,G175)</f>
        <v/>
      </c>
      <c r="BS175" s="312">
        <f>IFERROR(INDEX(Data!$DO$9:$DO$1273,MATCH('Your recommendation'!BR175,Data!$DN$9:$DN$1273,0)),"")</f>
        <v/>
      </c>
    </row>
    <row r="176" ht="15.6" customFormat="1" customHeight="1" s="138">
      <c r="B176" s="309">
        <f>IF(C176&gt;0,B175+1,"")</f>
        <v/>
      </c>
      <c r="C176" s="310" t="n"/>
      <c r="D176" s="312">
        <f>IFERROR(INDEX(Data!BR$9:BR$1273,MATCH($M176,Data!$K$9:$K$1273,0)),"")</f>
        <v/>
      </c>
      <c r="E176" s="312">
        <f>IFERROR(INDEX(Data!BS$9:BS$1273,MATCH($M176,Data!$K$9:$K$1273,0)),"")</f>
        <v/>
      </c>
      <c r="F176" s="312">
        <f>IFERROR(INDEX(Data!DM$9:DM$1273,MATCH($M176,Data!$K$9:$K$1273,0)),"")</f>
        <v/>
      </c>
      <c r="G176" s="312">
        <f>IFERROR(INDEX(Data!BV$9:BV$1273,MATCH($M176,Data!$K$9:$K$1273,0)),"")</f>
        <v/>
      </c>
      <c r="H176" s="312">
        <f>IFERROR(INDEX(Data!BW$9:BW$1273,MATCH($M176,Data!$K$9:$K$1273,0)),"")</f>
        <v/>
      </c>
      <c r="I176" s="312">
        <f>IFERROR(INDEX(Data!BX$9:BX$1273,MATCH($M176,Data!$K$9:$K$1273,0)),"")</f>
        <v/>
      </c>
      <c r="J176" s="312">
        <f>IFERROR(INDEX(Data!CB$9:CB$1273,MATCH($M176,Data!$K$9:$K$1273,0)),"")</f>
        <v/>
      </c>
      <c r="K176" s="329">
        <f>IFERROR(HYPERLINK(BM176,BC176),"-")</f>
        <v/>
      </c>
      <c r="L176" s="330">
        <f>IFERROR(IF(BB176=0,"-",BB176)," ")</f>
        <v/>
      </c>
      <c r="M176" s="311" t="n"/>
      <c r="N176" s="311" t="n"/>
      <c r="O176" s="311">
        <f>IFERROR(INDEX(Data!M$9:M$1273,MATCH($M176,Data!$K$9:$K$1273,0)),"")</f>
        <v/>
      </c>
      <c r="P176" s="311">
        <f>IFERROR(INDEX(Data!N$9:N$1273,MATCH($M176,Data!$K$9:$K$1273,0)),"")</f>
        <v/>
      </c>
      <c r="Q176" s="311">
        <f>IFERROR(INDEX(Data!O$9:O$1273,MATCH($M176,Data!$K$9:$K$1273,0)),"")</f>
        <v/>
      </c>
      <c r="R176" s="311">
        <f>IFERROR(INDEX(Data!P$9:P$1273,MATCH($M176,Data!$K$9:$K$1273,0)),"")</f>
        <v/>
      </c>
      <c r="S176" s="311">
        <f>IFERROR(INDEX(Data!S$9:S$1273,MATCH($M176,Data!$K$9:$K$1273,0)),"")</f>
        <v/>
      </c>
      <c r="T176" s="311">
        <f>IFERROR(INDEX(Data!T$9:T$1273,MATCH($M176,Data!$K$9:$K$1273,0)),"")</f>
        <v/>
      </c>
      <c r="U176" s="311">
        <f>IFERROR(INDEX(Data!U$9:U$1273,MATCH($M176,Data!$K$9:$K$1273,0)),"")</f>
        <v/>
      </c>
      <c r="V176" s="311">
        <f>IFERROR(INDEX(Data!V$9:V$1273,MATCH($M176,Data!$K$9:$K$1273,0)),"")</f>
        <v/>
      </c>
      <c r="W176" s="311">
        <f>IFERROR(INDEX(Data!W$9:W$1273,MATCH($M176,Data!$K$9:$K$1273,0)),"")</f>
        <v/>
      </c>
      <c r="X176" s="311">
        <f>IFERROR(INDEX(Data!AJ$9:AJ$1273,MATCH($M176,Data!$K$9:$K$1273,0)),"")</f>
        <v/>
      </c>
      <c r="Y176" s="311">
        <f>IFERROR(INDEX(Data!AK$9:AK$1273,MATCH($M176,Data!$K$9:$K$1273,0)),"")</f>
        <v/>
      </c>
      <c r="Z176" s="311">
        <f>IFERROR(INDEX(Data!AL$9:AL$1273,MATCH($M176,Data!$K$9:$K$1273,0)),"")</f>
        <v/>
      </c>
      <c r="AA176" s="311">
        <f>IFERROR(INDEX(Data!AM$9:AM$1273,MATCH($M176,Data!$K$9:$K$1273,0)),"")</f>
        <v/>
      </c>
      <c r="AB176" s="311">
        <f>IFERROR(INDEX(Data!AN$9:AN$1273,MATCH($M176,Data!$K$9:$K$1273,0)),"")</f>
        <v/>
      </c>
      <c r="AC176" s="312">
        <f>IFERROR(INDEX(Data!BY$9:BY$1273,MATCH($M176,Data!$K$9:$K$1273,0)),"")</f>
        <v/>
      </c>
      <c r="AD176" s="312">
        <f>IFERROR(INDEX(Data!BZ$9:BZ$1273,MATCH($M176,Data!$K$9:$K$1273,0)),"")</f>
        <v/>
      </c>
      <c r="AE176" s="312">
        <f>IFERROR(INDEX(Data!CA$9:CA$1273,MATCH($M176,Data!$K$9:$K$1273,0)),"")</f>
        <v/>
      </c>
      <c r="AF176" s="312">
        <f>IFERROR(INDEX(Data!CB$9:CB$1273,MATCH($M176,Data!$K$9:$K$1273,0)),"")</f>
        <v/>
      </c>
      <c r="AG176" s="312">
        <f>IFERROR(INDEX(Data!CC$9:CC$1273,MATCH($M176,Data!$K$9:$K$1273,0)),"")</f>
        <v/>
      </c>
      <c r="AH176" s="312">
        <f>IFERROR(INDEX(Data!CD$9:CD$1273,MATCH($M176,Data!$K$9:$K$1273,0)),"")</f>
        <v/>
      </c>
      <c r="AI176" s="312">
        <f>IFERROR(INDEX(Data!CE$9:CE$1273,MATCH($M176,Data!$K$9:$K$1273,0)),"")</f>
        <v/>
      </c>
      <c r="AJ176" s="312">
        <f>IFERROR(INDEX(Data!CF$9:CF$1273,MATCH($M176,Data!$K$9:$K$1273,0)),"")</f>
        <v/>
      </c>
      <c r="AK176" s="312">
        <f>IFERROR(INDEX(Data!CG$9:CG$1273,MATCH($M176,Data!$K$9:$K$1273,0)),"")</f>
        <v/>
      </c>
      <c r="AL176" s="312">
        <f>IFERROR(INDEX(Data!CH$9:CH$1273,MATCH($M176,Data!$K$9:$K$1273,0)),"")</f>
        <v/>
      </c>
      <c r="AM176" s="312">
        <f>IFERROR(INDEX(Data!CI$9:CI$1273,MATCH($M176,Data!$K$9:$K$1273,0)),"")</f>
        <v/>
      </c>
      <c r="AN176" s="312">
        <f>IFERROR(INDEX(Data!CJ$9:CJ$1273,MATCH($M176,Data!$K$9:$K$1273,0)),"")</f>
        <v/>
      </c>
      <c r="AO176" s="312">
        <f>IFERROR(INDEX(Data!CK$9:CK$1273,MATCH($M176,Data!$K$9:$K$1273,0)),"")</f>
        <v/>
      </c>
      <c r="AP176" s="312">
        <f>IFERROR(INDEX(Data!CL$9:CL$1273,MATCH($M176,Data!$K$9:$K$1273,0)),"")</f>
        <v/>
      </c>
      <c r="AQ176" s="312">
        <f>IFERROR(INDEX(Data!CM$9:CM$1273,MATCH($M176,Data!$K$9:$K$1273,0)),"")</f>
        <v/>
      </c>
      <c r="AR176" s="312">
        <f>IFERROR(INDEX(Data!CN$9:CN$1273,MATCH($M176,Data!$K$9:$K$1273,0)),"")</f>
        <v/>
      </c>
      <c r="AS176" s="312">
        <f>IFERROR(INDEX(Data!CO$9:CO$1273,MATCH($M176,Data!$K$9:$K$1273,0)),"")</f>
        <v/>
      </c>
      <c r="AT176" s="312">
        <f>IFERROR(INDEX(Data!CP$9:CP$1273,MATCH($M176,Data!$K$9:$K$1273,0)),"")</f>
        <v/>
      </c>
      <c r="AU176" s="312">
        <f>IFERROR(INDEX(Data!CQ$9:CQ$1273,MATCH($M176,Data!$K$9:$K$1273,0)),"")</f>
        <v/>
      </c>
      <c r="AV176" s="312">
        <f>IFERROR(INDEX(Data!CR$9:CR$1273,MATCH($M176,Data!$K$9:$K$1273,0)),"")</f>
        <v/>
      </c>
      <c r="AW176" s="312">
        <f>IFERROR(INDEX(Data!CS$9:CS$1273,MATCH($M176,Data!$K$9:$K$1273,0)),"")</f>
        <v/>
      </c>
      <c r="AX176" s="312">
        <f>IFERROR(INDEX(Data!CT$9:CT$1273,MATCH($M176,Data!$K$9:$K$1273,0)),"")</f>
        <v/>
      </c>
      <c r="AY176" s="312">
        <f>IFERROR(INDEX(Data!CU$9:CU$1273,MATCH($M176,Data!$K$9:$K$1273,0)),"")</f>
        <v/>
      </c>
      <c r="AZ176" s="312">
        <f>IFERROR(INDEX(Data!CV$9:CV$1273,MATCH($M176,Data!$K$9:$K$1273,0)),"")</f>
        <v/>
      </c>
      <c r="BA176" s="312">
        <f>IFERROR(INDEX(Data!CX$9:CX$1273,MATCH($M176,Data!$K$9:$K$1273,0)),"")</f>
        <v/>
      </c>
      <c r="BB176" s="312">
        <f>IFERROR(INDEX(Data!CY$9:CY$1273,MATCH($M176,Data!$K$9:$K$1273,0)),"")</f>
        <v/>
      </c>
      <c r="BC176" s="312">
        <f>IFERROR(INDEX(Data!CZ$9:CZ$1273,MATCH($M176,Data!$K$9:$K$1273,0)),"")</f>
        <v/>
      </c>
      <c r="BD176" s="312">
        <f>IFERROR(INDEX(Data!DA$9:DA$1273,MATCH($M176,Data!$K$9:$K$1273,0)),"")</f>
        <v/>
      </c>
      <c r="BE176" s="312">
        <f>IFERROR(INDEX(Data!DB$9:DB$1273,MATCH($M176,Data!$K$9:$K$1273,0)),"")</f>
        <v/>
      </c>
      <c r="BF176" s="312">
        <f>IFERROR(INDEX(Data!DC$9:DC$1273,MATCH($M176,Data!$K$9:$K$1273,0)),"")</f>
        <v/>
      </c>
      <c r="BG176" s="312">
        <f>IFERROR(INDEX(Data!DD$9:DD$1273,MATCH($M176,Data!$K$9:$K$1273,0)),"")</f>
        <v/>
      </c>
      <c r="BH176" s="312">
        <f>IFERROR(INDEX(Data!DE$9:DE$1273,MATCH($M176,Data!$K$9:$K$1273,0)),"")</f>
        <v/>
      </c>
      <c r="BI176" s="312">
        <f>IFERROR(INDEX(Data!DF$9:DF$1273,MATCH($M176,Data!$K$9:$K$1273,0)),"")</f>
        <v/>
      </c>
      <c r="BJ176" s="312">
        <f>IFERROR(INDEX(Data!DG$9:DG$1273,MATCH($M176,Data!$K$9:$K$1273,0)),"")</f>
        <v/>
      </c>
      <c r="BK176" s="312">
        <f>IFERROR(INDEX(Data!DH$9:DH$1273,MATCH($M176,Data!$K$9:$K$1273,0)),"")</f>
        <v/>
      </c>
      <c r="BL176" s="312">
        <f>IFERROR(INDEX(Data!DI$9:DI$1273,MATCH($M176,Data!$K$9:$K$1273,0)),"")</f>
        <v/>
      </c>
      <c r="BM176" s="312">
        <f>IFERROR(INDEX(Data!DJ$9:DJ$1273,MATCH($M176,Data!$K$9:$K$1273,0)),"")</f>
        <v/>
      </c>
      <c r="BN176" s="312">
        <f>IFERROR(INDEX(Data!DK$9:DK$1273,MATCH($M176,Data!$K$9:$K$1273,0)),"")</f>
        <v/>
      </c>
      <c r="BO176" s="312">
        <f>IFERROR(INDEX(Data!DL$9:DL$1273,MATCH($M176,Data!$K$9:$K$1273,0)),"")</f>
        <v/>
      </c>
      <c r="BP176" s="331">
        <f>IFERROR(IF(BK176=0,"-",BK176),"")</f>
        <v/>
      </c>
      <c r="BQ176" s="312">
        <f>IFERROR(IF(BP176-K176&gt;0,TRUE,FALSE)," ")</f>
        <v/>
      </c>
      <c r="BR176" s="312">
        <f>_xlfn.CONCAT(E176,F176,H176,G176)</f>
        <v/>
      </c>
      <c r="BS176" s="312">
        <f>IFERROR(INDEX(Data!$DO$9:$DO$1273,MATCH('Your recommendation'!BR176,Data!$DN$9:$DN$1273,0)),"")</f>
        <v/>
      </c>
    </row>
    <row r="177" ht="15.6" customFormat="1" customHeight="1" s="138">
      <c r="B177" s="309">
        <f>IF(C177&gt;0,B176+1,"")</f>
        <v/>
      </c>
      <c r="C177" s="310" t="n"/>
      <c r="D177" s="312">
        <f>IFERROR(INDEX(Data!BR$9:BR$1273,MATCH($M177,Data!$K$9:$K$1273,0)),"")</f>
        <v/>
      </c>
      <c r="E177" s="312">
        <f>IFERROR(INDEX(Data!BS$9:BS$1273,MATCH($M177,Data!$K$9:$K$1273,0)),"")</f>
        <v/>
      </c>
      <c r="F177" s="312">
        <f>IFERROR(INDEX(Data!DM$9:DM$1273,MATCH($M177,Data!$K$9:$K$1273,0)),"")</f>
        <v/>
      </c>
      <c r="G177" s="312">
        <f>IFERROR(INDEX(Data!BV$9:BV$1273,MATCH($M177,Data!$K$9:$K$1273,0)),"")</f>
        <v/>
      </c>
      <c r="H177" s="312">
        <f>IFERROR(INDEX(Data!BW$9:BW$1273,MATCH($M177,Data!$K$9:$K$1273,0)),"")</f>
        <v/>
      </c>
      <c r="I177" s="312">
        <f>IFERROR(INDEX(Data!BX$9:BX$1273,MATCH($M177,Data!$K$9:$K$1273,0)),"")</f>
        <v/>
      </c>
      <c r="J177" s="312">
        <f>IFERROR(INDEX(Data!CB$9:CB$1273,MATCH($M177,Data!$K$9:$K$1273,0)),"")</f>
        <v/>
      </c>
      <c r="K177" s="329">
        <f>IFERROR(HYPERLINK(BM177,BC177),"-")</f>
        <v/>
      </c>
      <c r="L177" s="330">
        <f>IFERROR(IF(BB177=0,"-",BB177)," ")</f>
        <v/>
      </c>
      <c r="M177" s="311" t="n"/>
      <c r="N177" s="311" t="n"/>
      <c r="O177" s="311">
        <f>IFERROR(INDEX(Data!M$9:M$1273,MATCH($M177,Data!$K$9:$K$1273,0)),"")</f>
        <v/>
      </c>
      <c r="P177" s="311">
        <f>IFERROR(INDEX(Data!N$9:N$1273,MATCH($M177,Data!$K$9:$K$1273,0)),"")</f>
        <v/>
      </c>
      <c r="Q177" s="311">
        <f>IFERROR(INDEX(Data!O$9:O$1273,MATCH($M177,Data!$K$9:$K$1273,0)),"")</f>
        <v/>
      </c>
      <c r="R177" s="311">
        <f>IFERROR(INDEX(Data!P$9:P$1273,MATCH($M177,Data!$K$9:$K$1273,0)),"")</f>
        <v/>
      </c>
      <c r="S177" s="311">
        <f>IFERROR(INDEX(Data!S$9:S$1273,MATCH($M177,Data!$K$9:$K$1273,0)),"")</f>
        <v/>
      </c>
      <c r="T177" s="311">
        <f>IFERROR(INDEX(Data!T$9:T$1273,MATCH($M177,Data!$K$9:$K$1273,0)),"")</f>
        <v/>
      </c>
      <c r="U177" s="311">
        <f>IFERROR(INDEX(Data!U$9:U$1273,MATCH($M177,Data!$K$9:$K$1273,0)),"")</f>
        <v/>
      </c>
      <c r="V177" s="311">
        <f>IFERROR(INDEX(Data!V$9:V$1273,MATCH($M177,Data!$K$9:$K$1273,0)),"")</f>
        <v/>
      </c>
      <c r="W177" s="311">
        <f>IFERROR(INDEX(Data!W$9:W$1273,MATCH($M177,Data!$K$9:$K$1273,0)),"")</f>
        <v/>
      </c>
      <c r="X177" s="311">
        <f>IFERROR(INDEX(Data!AJ$9:AJ$1273,MATCH($M177,Data!$K$9:$K$1273,0)),"")</f>
        <v/>
      </c>
      <c r="Y177" s="311">
        <f>IFERROR(INDEX(Data!AK$9:AK$1273,MATCH($M177,Data!$K$9:$K$1273,0)),"")</f>
        <v/>
      </c>
      <c r="Z177" s="311">
        <f>IFERROR(INDEX(Data!AL$9:AL$1273,MATCH($M177,Data!$K$9:$K$1273,0)),"")</f>
        <v/>
      </c>
      <c r="AA177" s="311">
        <f>IFERROR(INDEX(Data!AM$9:AM$1273,MATCH($M177,Data!$K$9:$K$1273,0)),"")</f>
        <v/>
      </c>
      <c r="AB177" s="311">
        <f>IFERROR(INDEX(Data!AN$9:AN$1273,MATCH($M177,Data!$K$9:$K$1273,0)),"")</f>
        <v/>
      </c>
      <c r="AC177" s="312">
        <f>IFERROR(INDEX(Data!BY$9:BY$1273,MATCH($M177,Data!$K$9:$K$1273,0)),"")</f>
        <v/>
      </c>
      <c r="AD177" s="312">
        <f>IFERROR(INDEX(Data!BZ$9:BZ$1273,MATCH($M177,Data!$K$9:$K$1273,0)),"")</f>
        <v/>
      </c>
      <c r="AE177" s="312">
        <f>IFERROR(INDEX(Data!CA$9:CA$1273,MATCH($M177,Data!$K$9:$K$1273,0)),"")</f>
        <v/>
      </c>
      <c r="AF177" s="312">
        <f>IFERROR(INDEX(Data!CB$9:CB$1273,MATCH($M177,Data!$K$9:$K$1273,0)),"")</f>
        <v/>
      </c>
      <c r="AG177" s="312">
        <f>IFERROR(INDEX(Data!CC$9:CC$1273,MATCH($M177,Data!$K$9:$K$1273,0)),"")</f>
        <v/>
      </c>
      <c r="AH177" s="312">
        <f>IFERROR(INDEX(Data!CD$9:CD$1273,MATCH($M177,Data!$K$9:$K$1273,0)),"")</f>
        <v/>
      </c>
      <c r="AI177" s="312">
        <f>IFERROR(INDEX(Data!CE$9:CE$1273,MATCH($M177,Data!$K$9:$K$1273,0)),"")</f>
        <v/>
      </c>
      <c r="AJ177" s="312">
        <f>IFERROR(INDEX(Data!CF$9:CF$1273,MATCH($M177,Data!$K$9:$K$1273,0)),"")</f>
        <v/>
      </c>
      <c r="AK177" s="312">
        <f>IFERROR(INDEX(Data!CG$9:CG$1273,MATCH($M177,Data!$K$9:$K$1273,0)),"")</f>
        <v/>
      </c>
      <c r="AL177" s="312">
        <f>IFERROR(INDEX(Data!CH$9:CH$1273,MATCH($M177,Data!$K$9:$K$1273,0)),"")</f>
        <v/>
      </c>
      <c r="AM177" s="312">
        <f>IFERROR(INDEX(Data!CI$9:CI$1273,MATCH($M177,Data!$K$9:$K$1273,0)),"")</f>
        <v/>
      </c>
      <c r="AN177" s="312">
        <f>IFERROR(INDEX(Data!CJ$9:CJ$1273,MATCH($M177,Data!$K$9:$K$1273,0)),"")</f>
        <v/>
      </c>
      <c r="AO177" s="312">
        <f>IFERROR(INDEX(Data!CK$9:CK$1273,MATCH($M177,Data!$K$9:$K$1273,0)),"")</f>
        <v/>
      </c>
      <c r="AP177" s="312">
        <f>IFERROR(INDEX(Data!CL$9:CL$1273,MATCH($M177,Data!$K$9:$K$1273,0)),"")</f>
        <v/>
      </c>
      <c r="AQ177" s="312">
        <f>IFERROR(INDEX(Data!CM$9:CM$1273,MATCH($M177,Data!$K$9:$K$1273,0)),"")</f>
        <v/>
      </c>
      <c r="AR177" s="312">
        <f>IFERROR(INDEX(Data!CN$9:CN$1273,MATCH($M177,Data!$K$9:$K$1273,0)),"")</f>
        <v/>
      </c>
      <c r="AS177" s="312">
        <f>IFERROR(INDEX(Data!CO$9:CO$1273,MATCH($M177,Data!$K$9:$K$1273,0)),"")</f>
        <v/>
      </c>
      <c r="AT177" s="312">
        <f>IFERROR(INDEX(Data!CP$9:CP$1273,MATCH($M177,Data!$K$9:$K$1273,0)),"")</f>
        <v/>
      </c>
      <c r="AU177" s="312">
        <f>IFERROR(INDEX(Data!CQ$9:CQ$1273,MATCH($M177,Data!$K$9:$K$1273,0)),"")</f>
        <v/>
      </c>
      <c r="AV177" s="312">
        <f>IFERROR(INDEX(Data!CR$9:CR$1273,MATCH($M177,Data!$K$9:$K$1273,0)),"")</f>
        <v/>
      </c>
      <c r="AW177" s="312">
        <f>IFERROR(INDEX(Data!CS$9:CS$1273,MATCH($M177,Data!$K$9:$K$1273,0)),"")</f>
        <v/>
      </c>
      <c r="AX177" s="312">
        <f>IFERROR(INDEX(Data!CT$9:CT$1273,MATCH($M177,Data!$K$9:$K$1273,0)),"")</f>
        <v/>
      </c>
      <c r="AY177" s="312">
        <f>IFERROR(INDEX(Data!CU$9:CU$1273,MATCH($M177,Data!$K$9:$K$1273,0)),"")</f>
        <v/>
      </c>
      <c r="AZ177" s="312">
        <f>IFERROR(INDEX(Data!CV$9:CV$1273,MATCH($M177,Data!$K$9:$K$1273,0)),"")</f>
        <v/>
      </c>
      <c r="BA177" s="312">
        <f>IFERROR(INDEX(Data!CX$9:CX$1273,MATCH($M177,Data!$K$9:$K$1273,0)),"")</f>
        <v/>
      </c>
      <c r="BB177" s="312">
        <f>IFERROR(INDEX(Data!CY$9:CY$1273,MATCH($M177,Data!$K$9:$K$1273,0)),"")</f>
        <v/>
      </c>
      <c r="BC177" s="312">
        <f>IFERROR(INDEX(Data!CZ$9:CZ$1273,MATCH($M177,Data!$K$9:$K$1273,0)),"")</f>
        <v/>
      </c>
      <c r="BD177" s="312">
        <f>IFERROR(INDEX(Data!DA$9:DA$1273,MATCH($M177,Data!$K$9:$K$1273,0)),"")</f>
        <v/>
      </c>
      <c r="BE177" s="312">
        <f>IFERROR(INDEX(Data!DB$9:DB$1273,MATCH($M177,Data!$K$9:$K$1273,0)),"")</f>
        <v/>
      </c>
      <c r="BF177" s="312">
        <f>IFERROR(INDEX(Data!DC$9:DC$1273,MATCH($M177,Data!$K$9:$K$1273,0)),"")</f>
        <v/>
      </c>
      <c r="BG177" s="312">
        <f>IFERROR(INDEX(Data!DD$9:DD$1273,MATCH($M177,Data!$K$9:$K$1273,0)),"")</f>
        <v/>
      </c>
      <c r="BH177" s="312">
        <f>IFERROR(INDEX(Data!DE$9:DE$1273,MATCH($M177,Data!$K$9:$K$1273,0)),"")</f>
        <v/>
      </c>
      <c r="BI177" s="312">
        <f>IFERROR(INDEX(Data!DF$9:DF$1273,MATCH($M177,Data!$K$9:$K$1273,0)),"")</f>
        <v/>
      </c>
      <c r="BJ177" s="312">
        <f>IFERROR(INDEX(Data!DG$9:DG$1273,MATCH($M177,Data!$K$9:$K$1273,0)),"")</f>
        <v/>
      </c>
      <c r="BK177" s="312">
        <f>IFERROR(INDEX(Data!DH$9:DH$1273,MATCH($M177,Data!$K$9:$K$1273,0)),"")</f>
        <v/>
      </c>
      <c r="BL177" s="312">
        <f>IFERROR(INDEX(Data!DI$9:DI$1273,MATCH($M177,Data!$K$9:$K$1273,0)),"")</f>
        <v/>
      </c>
      <c r="BM177" s="312">
        <f>IFERROR(INDEX(Data!DJ$9:DJ$1273,MATCH($M177,Data!$K$9:$K$1273,0)),"")</f>
        <v/>
      </c>
      <c r="BN177" s="312">
        <f>IFERROR(INDEX(Data!DK$9:DK$1273,MATCH($M177,Data!$K$9:$K$1273,0)),"")</f>
        <v/>
      </c>
      <c r="BO177" s="312">
        <f>IFERROR(INDEX(Data!DL$9:DL$1273,MATCH($M177,Data!$K$9:$K$1273,0)),"")</f>
        <v/>
      </c>
      <c r="BP177" s="331">
        <f>IFERROR(IF(BK177=0,"-",BK177),"")</f>
        <v/>
      </c>
      <c r="BQ177" s="312">
        <f>IFERROR(IF(BP177-K177&gt;0,TRUE,FALSE)," ")</f>
        <v/>
      </c>
      <c r="BR177" s="312">
        <f>_xlfn.CONCAT(E177,F177,H177,G177)</f>
        <v/>
      </c>
      <c r="BS177" s="312">
        <f>IFERROR(INDEX(Data!$DO$9:$DO$1273,MATCH('Your recommendation'!BR177,Data!$DN$9:$DN$1273,0)),"")</f>
        <v/>
      </c>
    </row>
    <row r="178" ht="15.6" customFormat="1" customHeight="1" s="138">
      <c r="B178" s="309">
        <f>IF(C178&gt;0,B177+1,"")</f>
        <v/>
      </c>
      <c r="C178" s="310" t="n"/>
      <c r="D178" s="312">
        <f>IFERROR(INDEX(Data!BR$9:BR$1273,MATCH($M178,Data!$K$9:$K$1273,0)),"")</f>
        <v/>
      </c>
      <c r="E178" s="312">
        <f>IFERROR(INDEX(Data!BS$9:BS$1273,MATCH($M178,Data!$K$9:$K$1273,0)),"")</f>
        <v/>
      </c>
      <c r="F178" s="312">
        <f>IFERROR(INDEX(Data!DM$9:DM$1273,MATCH($M178,Data!$K$9:$K$1273,0)),"")</f>
        <v/>
      </c>
      <c r="G178" s="312">
        <f>IFERROR(INDEX(Data!BV$9:BV$1273,MATCH($M178,Data!$K$9:$K$1273,0)),"")</f>
        <v/>
      </c>
      <c r="H178" s="312">
        <f>IFERROR(INDEX(Data!BW$9:BW$1273,MATCH($M178,Data!$K$9:$K$1273,0)),"")</f>
        <v/>
      </c>
      <c r="I178" s="312">
        <f>IFERROR(INDEX(Data!BX$9:BX$1273,MATCH($M178,Data!$K$9:$K$1273,0)),"")</f>
        <v/>
      </c>
      <c r="J178" s="312">
        <f>IFERROR(INDEX(Data!CB$9:CB$1273,MATCH($M178,Data!$K$9:$K$1273,0)),"")</f>
        <v/>
      </c>
      <c r="K178" s="329">
        <f>IFERROR(HYPERLINK(BM178,BC178),"-")</f>
        <v/>
      </c>
      <c r="L178" s="330">
        <f>IFERROR(IF(BB178=0,"-",BB178)," ")</f>
        <v/>
      </c>
      <c r="M178" s="311" t="n"/>
      <c r="N178" s="311" t="n"/>
      <c r="O178" s="311">
        <f>IFERROR(INDEX(Data!M$9:M$1273,MATCH($M178,Data!$K$9:$K$1273,0)),"")</f>
        <v/>
      </c>
      <c r="P178" s="311">
        <f>IFERROR(INDEX(Data!N$9:N$1273,MATCH($M178,Data!$K$9:$K$1273,0)),"")</f>
        <v/>
      </c>
      <c r="Q178" s="311">
        <f>IFERROR(INDEX(Data!O$9:O$1273,MATCH($M178,Data!$K$9:$K$1273,0)),"")</f>
        <v/>
      </c>
      <c r="R178" s="311">
        <f>IFERROR(INDEX(Data!P$9:P$1273,MATCH($M178,Data!$K$9:$K$1273,0)),"")</f>
        <v/>
      </c>
      <c r="S178" s="311">
        <f>IFERROR(INDEX(Data!S$9:S$1273,MATCH($M178,Data!$K$9:$K$1273,0)),"")</f>
        <v/>
      </c>
      <c r="T178" s="311">
        <f>IFERROR(INDEX(Data!T$9:T$1273,MATCH($M178,Data!$K$9:$K$1273,0)),"")</f>
        <v/>
      </c>
      <c r="U178" s="311">
        <f>IFERROR(INDEX(Data!U$9:U$1273,MATCH($M178,Data!$K$9:$K$1273,0)),"")</f>
        <v/>
      </c>
      <c r="V178" s="311">
        <f>IFERROR(INDEX(Data!V$9:V$1273,MATCH($M178,Data!$K$9:$K$1273,0)),"")</f>
        <v/>
      </c>
      <c r="W178" s="311">
        <f>IFERROR(INDEX(Data!W$9:W$1273,MATCH($M178,Data!$K$9:$K$1273,0)),"")</f>
        <v/>
      </c>
      <c r="X178" s="311">
        <f>IFERROR(INDEX(Data!AJ$9:AJ$1273,MATCH($M178,Data!$K$9:$K$1273,0)),"")</f>
        <v/>
      </c>
      <c r="Y178" s="311">
        <f>IFERROR(INDEX(Data!AK$9:AK$1273,MATCH($M178,Data!$K$9:$K$1273,0)),"")</f>
        <v/>
      </c>
      <c r="Z178" s="311">
        <f>IFERROR(INDEX(Data!AL$9:AL$1273,MATCH($M178,Data!$K$9:$K$1273,0)),"")</f>
        <v/>
      </c>
      <c r="AA178" s="311">
        <f>IFERROR(INDEX(Data!AM$9:AM$1273,MATCH($M178,Data!$K$9:$K$1273,0)),"")</f>
        <v/>
      </c>
      <c r="AB178" s="311">
        <f>IFERROR(INDEX(Data!AN$9:AN$1273,MATCH($M178,Data!$K$9:$K$1273,0)),"")</f>
        <v/>
      </c>
      <c r="AC178" s="312">
        <f>IFERROR(INDEX(Data!BY$9:BY$1273,MATCH($M178,Data!$K$9:$K$1273,0)),"")</f>
        <v/>
      </c>
      <c r="AD178" s="312">
        <f>IFERROR(INDEX(Data!BZ$9:BZ$1273,MATCH($M178,Data!$K$9:$K$1273,0)),"")</f>
        <v/>
      </c>
      <c r="AE178" s="312">
        <f>IFERROR(INDEX(Data!CA$9:CA$1273,MATCH($M178,Data!$K$9:$K$1273,0)),"")</f>
        <v/>
      </c>
      <c r="AF178" s="312">
        <f>IFERROR(INDEX(Data!CB$9:CB$1273,MATCH($M178,Data!$K$9:$K$1273,0)),"")</f>
        <v/>
      </c>
      <c r="AG178" s="312">
        <f>IFERROR(INDEX(Data!CC$9:CC$1273,MATCH($M178,Data!$K$9:$K$1273,0)),"")</f>
        <v/>
      </c>
      <c r="AH178" s="312">
        <f>IFERROR(INDEX(Data!CD$9:CD$1273,MATCH($M178,Data!$K$9:$K$1273,0)),"")</f>
        <v/>
      </c>
      <c r="AI178" s="312">
        <f>IFERROR(INDEX(Data!CE$9:CE$1273,MATCH($M178,Data!$K$9:$K$1273,0)),"")</f>
        <v/>
      </c>
      <c r="AJ178" s="312">
        <f>IFERROR(INDEX(Data!CF$9:CF$1273,MATCH($M178,Data!$K$9:$K$1273,0)),"")</f>
        <v/>
      </c>
      <c r="AK178" s="312">
        <f>IFERROR(INDEX(Data!CG$9:CG$1273,MATCH($M178,Data!$K$9:$K$1273,0)),"")</f>
        <v/>
      </c>
      <c r="AL178" s="312">
        <f>IFERROR(INDEX(Data!CH$9:CH$1273,MATCH($M178,Data!$K$9:$K$1273,0)),"")</f>
        <v/>
      </c>
      <c r="AM178" s="312">
        <f>IFERROR(INDEX(Data!CI$9:CI$1273,MATCH($M178,Data!$K$9:$K$1273,0)),"")</f>
        <v/>
      </c>
      <c r="AN178" s="312">
        <f>IFERROR(INDEX(Data!CJ$9:CJ$1273,MATCH($M178,Data!$K$9:$K$1273,0)),"")</f>
        <v/>
      </c>
      <c r="AO178" s="312">
        <f>IFERROR(INDEX(Data!CK$9:CK$1273,MATCH($M178,Data!$K$9:$K$1273,0)),"")</f>
        <v/>
      </c>
      <c r="AP178" s="312">
        <f>IFERROR(INDEX(Data!CL$9:CL$1273,MATCH($M178,Data!$K$9:$K$1273,0)),"")</f>
        <v/>
      </c>
      <c r="AQ178" s="312">
        <f>IFERROR(INDEX(Data!CM$9:CM$1273,MATCH($M178,Data!$K$9:$K$1273,0)),"")</f>
        <v/>
      </c>
      <c r="AR178" s="312">
        <f>IFERROR(INDEX(Data!CN$9:CN$1273,MATCH($M178,Data!$K$9:$K$1273,0)),"")</f>
        <v/>
      </c>
      <c r="AS178" s="312">
        <f>IFERROR(INDEX(Data!CO$9:CO$1273,MATCH($M178,Data!$K$9:$K$1273,0)),"")</f>
        <v/>
      </c>
      <c r="AT178" s="312">
        <f>IFERROR(INDEX(Data!CP$9:CP$1273,MATCH($M178,Data!$K$9:$K$1273,0)),"")</f>
        <v/>
      </c>
      <c r="AU178" s="312">
        <f>IFERROR(INDEX(Data!CQ$9:CQ$1273,MATCH($M178,Data!$K$9:$K$1273,0)),"")</f>
        <v/>
      </c>
      <c r="AV178" s="312">
        <f>IFERROR(INDEX(Data!CR$9:CR$1273,MATCH($M178,Data!$K$9:$K$1273,0)),"")</f>
        <v/>
      </c>
      <c r="AW178" s="312">
        <f>IFERROR(INDEX(Data!CS$9:CS$1273,MATCH($M178,Data!$K$9:$K$1273,0)),"")</f>
        <v/>
      </c>
      <c r="AX178" s="312">
        <f>IFERROR(INDEX(Data!CT$9:CT$1273,MATCH($M178,Data!$K$9:$K$1273,0)),"")</f>
        <v/>
      </c>
      <c r="AY178" s="312">
        <f>IFERROR(INDEX(Data!CU$9:CU$1273,MATCH($M178,Data!$K$9:$K$1273,0)),"")</f>
        <v/>
      </c>
      <c r="AZ178" s="312">
        <f>IFERROR(INDEX(Data!CV$9:CV$1273,MATCH($M178,Data!$K$9:$K$1273,0)),"")</f>
        <v/>
      </c>
      <c r="BA178" s="312">
        <f>IFERROR(INDEX(Data!CX$9:CX$1273,MATCH($M178,Data!$K$9:$K$1273,0)),"")</f>
        <v/>
      </c>
      <c r="BB178" s="312">
        <f>IFERROR(INDEX(Data!CY$9:CY$1273,MATCH($M178,Data!$K$9:$K$1273,0)),"")</f>
        <v/>
      </c>
      <c r="BC178" s="312">
        <f>IFERROR(INDEX(Data!CZ$9:CZ$1273,MATCH($M178,Data!$K$9:$K$1273,0)),"")</f>
        <v/>
      </c>
      <c r="BD178" s="312">
        <f>IFERROR(INDEX(Data!DA$9:DA$1273,MATCH($M178,Data!$K$9:$K$1273,0)),"")</f>
        <v/>
      </c>
      <c r="BE178" s="312">
        <f>IFERROR(INDEX(Data!DB$9:DB$1273,MATCH($M178,Data!$K$9:$K$1273,0)),"")</f>
        <v/>
      </c>
      <c r="BF178" s="312">
        <f>IFERROR(INDEX(Data!DC$9:DC$1273,MATCH($M178,Data!$K$9:$K$1273,0)),"")</f>
        <v/>
      </c>
      <c r="BG178" s="312">
        <f>IFERROR(INDEX(Data!DD$9:DD$1273,MATCH($M178,Data!$K$9:$K$1273,0)),"")</f>
        <v/>
      </c>
      <c r="BH178" s="312">
        <f>IFERROR(INDEX(Data!DE$9:DE$1273,MATCH($M178,Data!$K$9:$K$1273,0)),"")</f>
        <v/>
      </c>
      <c r="BI178" s="312">
        <f>IFERROR(INDEX(Data!DF$9:DF$1273,MATCH($M178,Data!$K$9:$K$1273,0)),"")</f>
        <v/>
      </c>
      <c r="BJ178" s="312">
        <f>IFERROR(INDEX(Data!DG$9:DG$1273,MATCH($M178,Data!$K$9:$K$1273,0)),"")</f>
        <v/>
      </c>
      <c r="BK178" s="312">
        <f>IFERROR(INDEX(Data!DH$9:DH$1273,MATCH($M178,Data!$K$9:$K$1273,0)),"")</f>
        <v/>
      </c>
      <c r="BL178" s="312">
        <f>IFERROR(INDEX(Data!DI$9:DI$1273,MATCH($M178,Data!$K$9:$K$1273,0)),"")</f>
        <v/>
      </c>
      <c r="BM178" s="312">
        <f>IFERROR(INDEX(Data!DJ$9:DJ$1273,MATCH($M178,Data!$K$9:$K$1273,0)),"")</f>
        <v/>
      </c>
      <c r="BN178" s="312">
        <f>IFERROR(INDEX(Data!DK$9:DK$1273,MATCH($M178,Data!$K$9:$K$1273,0)),"")</f>
        <v/>
      </c>
      <c r="BO178" s="312">
        <f>IFERROR(INDEX(Data!DL$9:DL$1273,MATCH($M178,Data!$K$9:$K$1273,0)),"")</f>
        <v/>
      </c>
      <c r="BP178" s="331">
        <f>IFERROR(IF(BK178=0,"-",BK178),"")</f>
        <v/>
      </c>
      <c r="BQ178" s="312">
        <f>IFERROR(IF(BP178-K178&gt;0,TRUE,FALSE)," ")</f>
        <v/>
      </c>
      <c r="BR178" s="312">
        <f>_xlfn.CONCAT(E178,F178,H178,G178)</f>
        <v/>
      </c>
      <c r="BS178" s="312">
        <f>IFERROR(INDEX(Data!$DO$9:$DO$1273,MATCH('Your recommendation'!BR178,Data!$DN$9:$DN$1273,0)),"")</f>
        <v/>
      </c>
    </row>
    <row r="179" ht="15.6" customFormat="1" customHeight="1" s="138">
      <c r="B179" s="309">
        <f>IF(C179&gt;0,B178+1,"")</f>
        <v/>
      </c>
      <c r="C179" s="310" t="n"/>
      <c r="D179" s="312">
        <f>IFERROR(INDEX(Data!BR$9:BR$1273,MATCH($M179,Data!$K$9:$K$1273,0)),"")</f>
        <v/>
      </c>
      <c r="E179" s="312">
        <f>IFERROR(INDEX(Data!BS$9:BS$1273,MATCH($M179,Data!$K$9:$K$1273,0)),"")</f>
        <v/>
      </c>
      <c r="F179" s="312">
        <f>IFERROR(INDEX(Data!DM$9:DM$1273,MATCH($M179,Data!$K$9:$K$1273,0)),"")</f>
        <v/>
      </c>
      <c r="G179" s="312">
        <f>IFERROR(INDEX(Data!BV$9:BV$1273,MATCH($M179,Data!$K$9:$K$1273,0)),"")</f>
        <v/>
      </c>
      <c r="H179" s="312">
        <f>IFERROR(INDEX(Data!BW$9:BW$1273,MATCH($M179,Data!$K$9:$K$1273,0)),"")</f>
        <v/>
      </c>
      <c r="I179" s="312">
        <f>IFERROR(INDEX(Data!BX$9:BX$1273,MATCH($M179,Data!$K$9:$K$1273,0)),"")</f>
        <v/>
      </c>
      <c r="J179" s="312">
        <f>IFERROR(INDEX(Data!CB$9:CB$1273,MATCH($M179,Data!$K$9:$K$1273,0)),"")</f>
        <v/>
      </c>
      <c r="K179" s="329">
        <f>IFERROR(HYPERLINK(BM179,BC179),"-")</f>
        <v/>
      </c>
      <c r="L179" s="330">
        <f>IFERROR(IF(BB179=0,"-",BB179)," ")</f>
        <v/>
      </c>
      <c r="M179" s="311" t="n"/>
      <c r="N179" s="311" t="n"/>
      <c r="O179" s="311">
        <f>IFERROR(INDEX(Data!M$9:M$1273,MATCH($M179,Data!$K$9:$K$1273,0)),"")</f>
        <v/>
      </c>
      <c r="P179" s="311">
        <f>IFERROR(INDEX(Data!N$9:N$1273,MATCH($M179,Data!$K$9:$K$1273,0)),"")</f>
        <v/>
      </c>
      <c r="Q179" s="311">
        <f>IFERROR(INDEX(Data!O$9:O$1273,MATCH($M179,Data!$K$9:$K$1273,0)),"")</f>
        <v/>
      </c>
      <c r="R179" s="311">
        <f>IFERROR(INDEX(Data!P$9:P$1273,MATCH($M179,Data!$K$9:$K$1273,0)),"")</f>
        <v/>
      </c>
      <c r="S179" s="311">
        <f>IFERROR(INDEX(Data!S$9:S$1273,MATCH($M179,Data!$K$9:$K$1273,0)),"")</f>
        <v/>
      </c>
      <c r="T179" s="311">
        <f>IFERROR(INDEX(Data!T$9:T$1273,MATCH($M179,Data!$K$9:$K$1273,0)),"")</f>
        <v/>
      </c>
      <c r="U179" s="311">
        <f>IFERROR(INDEX(Data!U$9:U$1273,MATCH($M179,Data!$K$9:$K$1273,0)),"")</f>
        <v/>
      </c>
      <c r="V179" s="311">
        <f>IFERROR(INDEX(Data!V$9:V$1273,MATCH($M179,Data!$K$9:$K$1273,0)),"")</f>
        <v/>
      </c>
      <c r="W179" s="311">
        <f>IFERROR(INDEX(Data!W$9:W$1273,MATCH($M179,Data!$K$9:$K$1273,0)),"")</f>
        <v/>
      </c>
      <c r="X179" s="311">
        <f>IFERROR(INDEX(Data!AJ$9:AJ$1273,MATCH($M179,Data!$K$9:$K$1273,0)),"")</f>
        <v/>
      </c>
      <c r="Y179" s="311">
        <f>IFERROR(INDEX(Data!AK$9:AK$1273,MATCH($M179,Data!$K$9:$K$1273,0)),"")</f>
        <v/>
      </c>
      <c r="Z179" s="311">
        <f>IFERROR(INDEX(Data!AL$9:AL$1273,MATCH($M179,Data!$K$9:$K$1273,0)),"")</f>
        <v/>
      </c>
      <c r="AA179" s="311">
        <f>IFERROR(INDEX(Data!AM$9:AM$1273,MATCH($M179,Data!$K$9:$K$1273,0)),"")</f>
        <v/>
      </c>
      <c r="AB179" s="311">
        <f>IFERROR(INDEX(Data!AN$9:AN$1273,MATCH($M179,Data!$K$9:$K$1273,0)),"")</f>
        <v/>
      </c>
      <c r="AC179" s="312">
        <f>IFERROR(INDEX(Data!BY$9:BY$1273,MATCH($M179,Data!$K$9:$K$1273,0)),"")</f>
        <v/>
      </c>
      <c r="AD179" s="312">
        <f>IFERROR(INDEX(Data!BZ$9:BZ$1273,MATCH($M179,Data!$K$9:$K$1273,0)),"")</f>
        <v/>
      </c>
      <c r="AE179" s="312">
        <f>IFERROR(INDEX(Data!CA$9:CA$1273,MATCH($M179,Data!$K$9:$K$1273,0)),"")</f>
        <v/>
      </c>
      <c r="AF179" s="312">
        <f>IFERROR(INDEX(Data!CB$9:CB$1273,MATCH($M179,Data!$K$9:$K$1273,0)),"")</f>
        <v/>
      </c>
      <c r="AG179" s="312">
        <f>IFERROR(INDEX(Data!CC$9:CC$1273,MATCH($M179,Data!$K$9:$K$1273,0)),"")</f>
        <v/>
      </c>
      <c r="AH179" s="312">
        <f>IFERROR(INDEX(Data!CD$9:CD$1273,MATCH($M179,Data!$K$9:$K$1273,0)),"")</f>
        <v/>
      </c>
      <c r="AI179" s="312">
        <f>IFERROR(INDEX(Data!CE$9:CE$1273,MATCH($M179,Data!$K$9:$K$1273,0)),"")</f>
        <v/>
      </c>
      <c r="AJ179" s="312">
        <f>IFERROR(INDEX(Data!CF$9:CF$1273,MATCH($M179,Data!$K$9:$K$1273,0)),"")</f>
        <v/>
      </c>
      <c r="AK179" s="312">
        <f>IFERROR(INDEX(Data!CG$9:CG$1273,MATCH($M179,Data!$K$9:$K$1273,0)),"")</f>
        <v/>
      </c>
      <c r="AL179" s="312">
        <f>IFERROR(INDEX(Data!CH$9:CH$1273,MATCH($M179,Data!$K$9:$K$1273,0)),"")</f>
        <v/>
      </c>
      <c r="AM179" s="312">
        <f>IFERROR(INDEX(Data!CI$9:CI$1273,MATCH($M179,Data!$K$9:$K$1273,0)),"")</f>
        <v/>
      </c>
      <c r="AN179" s="312">
        <f>IFERROR(INDEX(Data!CJ$9:CJ$1273,MATCH($M179,Data!$K$9:$K$1273,0)),"")</f>
        <v/>
      </c>
      <c r="AO179" s="312">
        <f>IFERROR(INDEX(Data!CK$9:CK$1273,MATCH($M179,Data!$K$9:$K$1273,0)),"")</f>
        <v/>
      </c>
      <c r="AP179" s="312">
        <f>IFERROR(INDEX(Data!CL$9:CL$1273,MATCH($M179,Data!$K$9:$K$1273,0)),"")</f>
        <v/>
      </c>
      <c r="AQ179" s="312">
        <f>IFERROR(INDEX(Data!CM$9:CM$1273,MATCH($M179,Data!$K$9:$K$1273,0)),"")</f>
        <v/>
      </c>
      <c r="AR179" s="312">
        <f>IFERROR(INDEX(Data!CN$9:CN$1273,MATCH($M179,Data!$K$9:$K$1273,0)),"")</f>
        <v/>
      </c>
      <c r="AS179" s="312">
        <f>IFERROR(INDEX(Data!CO$9:CO$1273,MATCH($M179,Data!$K$9:$K$1273,0)),"")</f>
        <v/>
      </c>
      <c r="AT179" s="312">
        <f>IFERROR(INDEX(Data!CP$9:CP$1273,MATCH($M179,Data!$K$9:$K$1273,0)),"")</f>
        <v/>
      </c>
      <c r="AU179" s="312">
        <f>IFERROR(INDEX(Data!CQ$9:CQ$1273,MATCH($M179,Data!$K$9:$K$1273,0)),"")</f>
        <v/>
      </c>
      <c r="AV179" s="312">
        <f>IFERROR(INDEX(Data!CR$9:CR$1273,MATCH($M179,Data!$K$9:$K$1273,0)),"")</f>
        <v/>
      </c>
      <c r="AW179" s="312">
        <f>IFERROR(INDEX(Data!CS$9:CS$1273,MATCH($M179,Data!$K$9:$K$1273,0)),"")</f>
        <v/>
      </c>
      <c r="AX179" s="312">
        <f>IFERROR(INDEX(Data!CT$9:CT$1273,MATCH($M179,Data!$K$9:$K$1273,0)),"")</f>
        <v/>
      </c>
      <c r="AY179" s="312">
        <f>IFERROR(INDEX(Data!CU$9:CU$1273,MATCH($M179,Data!$K$9:$K$1273,0)),"")</f>
        <v/>
      </c>
      <c r="AZ179" s="312">
        <f>IFERROR(INDEX(Data!CV$9:CV$1273,MATCH($M179,Data!$K$9:$K$1273,0)),"")</f>
        <v/>
      </c>
      <c r="BA179" s="312">
        <f>IFERROR(INDEX(Data!CX$9:CX$1273,MATCH($M179,Data!$K$9:$K$1273,0)),"")</f>
        <v/>
      </c>
      <c r="BB179" s="312">
        <f>IFERROR(INDEX(Data!CY$9:CY$1273,MATCH($M179,Data!$K$9:$K$1273,0)),"")</f>
        <v/>
      </c>
      <c r="BC179" s="312">
        <f>IFERROR(INDEX(Data!CZ$9:CZ$1273,MATCH($M179,Data!$K$9:$K$1273,0)),"")</f>
        <v/>
      </c>
      <c r="BD179" s="312">
        <f>IFERROR(INDEX(Data!DA$9:DA$1273,MATCH($M179,Data!$K$9:$K$1273,0)),"")</f>
        <v/>
      </c>
      <c r="BE179" s="312">
        <f>IFERROR(INDEX(Data!DB$9:DB$1273,MATCH($M179,Data!$K$9:$K$1273,0)),"")</f>
        <v/>
      </c>
      <c r="BF179" s="312">
        <f>IFERROR(INDEX(Data!DC$9:DC$1273,MATCH($M179,Data!$K$9:$K$1273,0)),"")</f>
        <v/>
      </c>
      <c r="BG179" s="312">
        <f>IFERROR(INDEX(Data!DD$9:DD$1273,MATCH($M179,Data!$K$9:$K$1273,0)),"")</f>
        <v/>
      </c>
      <c r="BH179" s="312">
        <f>IFERROR(INDEX(Data!DE$9:DE$1273,MATCH($M179,Data!$K$9:$K$1273,0)),"")</f>
        <v/>
      </c>
      <c r="BI179" s="312">
        <f>IFERROR(INDEX(Data!DF$9:DF$1273,MATCH($M179,Data!$K$9:$K$1273,0)),"")</f>
        <v/>
      </c>
      <c r="BJ179" s="312">
        <f>IFERROR(INDEX(Data!DG$9:DG$1273,MATCH($M179,Data!$K$9:$K$1273,0)),"")</f>
        <v/>
      </c>
      <c r="BK179" s="312">
        <f>IFERROR(INDEX(Data!DH$9:DH$1273,MATCH($M179,Data!$K$9:$K$1273,0)),"")</f>
        <v/>
      </c>
      <c r="BL179" s="312">
        <f>IFERROR(INDEX(Data!DI$9:DI$1273,MATCH($M179,Data!$K$9:$K$1273,0)),"")</f>
        <v/>
      </c>
      <c r="BM179" s="312">
        <f>IFERROR(INDEX(Data!DJ$9:DJ$1273,MATCH($M179,Data!$K$9:$K$1273,0)),"")</f>
        <v/>
      </c>
      <c r="BN179" s="312">
        <f>IFERROR(INDEX(Data!DK$9:DK$1273,MATCH($M179,Data!$K$9:$K$1273,0)),"")</f>
        <v/>
      </c>
      <c r="BO179" s="312">
        <f>IFERROR(INDEX(Data!DL$9:DL$1273,MATCH($M179,Data!$K$9:$K$1273,0)),"")</f>
        <v/>
      </c>
      <c r="BP179" s="331">
        <f>IFERROR(IF(BK179=0,"-",BK179),"")</f>
        <v/>
      </c>
      <c r="BQ179" s="312">
        <f>IFERROR(IF(BP179-K179&gt;0,TRUE,FALSE)," ")</f>
        <v/>
      </c>
      <c r="BR179" s="312">
        <f>_xlfn.CONCAT(E179,F179,H179,G179)</f>
        <v/>
      </c>
      <c r="BS179" s="312">
        <f>IFERROR(INDEX(Data!$DO$9:$DO$1273,MATCH('Your recommendation'!BR179,Data!$DN$9:$DN$1273,0)),"")</f>
        <v/>
      </c>
    </row>
    <row r="180" ht="15.6" customFormat="1" customHeight="1" s="138">
      <c r="B180" s="309">
        <f>IF(C180&gt;0,B179+1,"")</f>
        <v/>
      </c>
      <c r="C180" s="310" t="n"/>
      <c r="D180" s="312">
        <f>IFERROR(INDEX(Data!BR$9:BR$1273,MATCH($M180,Data!$K$9:$K$1273,0)),"")</f>
        <v/>
      </c>
      <c r="E180" s="312">
        <f>IFERROR(INDEX(Data!BS$9:BS$1273,MATCH($M180,Data!$K$9:$K$1273,0)),"")</f>
        <v/>
      </c>
      <c r="F180" s="312">
        <f>IFERROR(INDEX(Data!DM$9:DM$1273,MATCH($M180,Data!$K$9:$K$1273,0)),"")</f>
        <v/>
      </c>
      <c r="G180" s="312">
        <f>IFERROR(INDEX(Data!BV$9:BV$1273,MATCH($M180,Data!$K$9:$K$1273,0)),"")</f>
        <v/>
      </c>
      <c r="H180" s="312">
        <f>IFERROR(INDEX(Data!BW$9:BW$1273,MATCH($M180,Data!$K$9:$K$1273,0)),"")</f>
        <v/>
      </c>
      <c r="I180" s="312">
        <f>IFERROR(INDEX(Data!BX$9:BX$1273,MATCH($M180,Data!$K$9:$K$1273,0)),"")</f>
        <v/>
      </c>
      <c r="J180" s="312">
        <f>IFERROR(INDEX(Data!CB$9:CB$1273,MATCH($M180,Data!$K$9:$K$1273,0)),"")</f>
        <v/>
      </c>
      <c r="K180" s="329">
        <f>IFERROR(HYPERLINK(BM180,BC180),"-")</f>
        <v/>
      </c>
      <c r="L180" s="330">
        <f>IFERROR(IF(BB180=0,"-",BB180)," ")</f>
        <v/>
      </c>
      <c r="M180" s="311" t="n"/>
      <c r="N180" s="311" t="n"/>
      <c r="O180" s="311">
        <f>IFERROR(INDEX(Data!M$9:M$1273,MATCH($M180,Data!$K$9:$K$1273,0)),"")</f>
        <v/>
      </c>
      <c r="P180" s="311">
        <f>IFERROR(INDEX(Data!N$9:N$1273,MATCH($M180,Data!$K$9:$K$1273,0)),"")</f>
        <v/>
      </c>
      <c r="Q180" s="311">
        <f>IFERROR(INDEX(Data!O$9:O$1273,MATCH($M180,Data!$K$9:$K$1273,0)),"")</f>
        <v/>
      </c>
      <c r="R180" s="311">
        <f>IFERROR(INDEX(Data!P$9:P$1273,MATCH($M180,Data!$K$9:$K$1273,0)),"")</f>
        <v/>
      </c>
      <c r="S180" s="311">
        <f>IFERROR(INDEX(Data!S$9:S$1273,MATCH($M180,Data!$K$9:$K$1273,0)),"")</f>
        <v/>
      </c>
      <c r="T180" s="311">
        <f>IFERROR(INDEX(Data!T$9:T$1273,MATCH($M180,Data!$K$9:$K$1273,0)),"")</f>
        <v/>
      </c>
      <c r="U180" s="311">
        <f>IFERROR(INDEX(Data!U$9:U$1273,MATCH($M180,Data!$K$9:$K$1273,0)),"")</f>
        <v/>
      </c>
      <c r="V180" s="311">
        <f>IFERROR(INDEX(Data!V$9:V$1273,MATCH($M180,Data!$K$9:$K$1273,0)),"")</f>
        <v/>
      </c>
      <c r="W180" s="311">
        <f>IFERROR(INDEX(Data!W$9:W$1273,MATCH($M180,Data!$K$9:$K$1273,0)),"")</f>
        <v/>
      </c>
      <c r="X180" s="311">
        <f>IFERROR(INDEX(Data!AJ$9:AJ$1273,MATCH($M180,Data!$K$9:$K$1273,0)),"")</f>
        <v/>
      </c>
      <c r="Y180" s="311">
        <f>IFERROR(INDEX(Data!AK$9:AK$1273,MATCH($M180,Data!$K$9:$K$1273,0)),"")</f>
        <v/>
      </c>
      <c r="Z180" s="311">
        <f>IFERROR(INDEX(Data!AL$9:AL$1273,MATCH($M180,Data!$K$9:$K$1273,0)),"")</f>
        <v/>
      </c>
      <c r="AA180" s="311">
        <f>IFERROR(INDEX(Data!AM$9:AM$1273,MATCH($M180,Data!$K$9:$K$1273,0)),"")</f>
        <v/>
      </c>
      <c r="AB180" s="311">
        <f>IFERROR(INDEX(Data!AN$9:AN$1273,MATCH($M180,Data!$K$9:$K$1273,0)),"")</f>
        <v/>
      </c>
      <c r="AC180" s="312">
        <f>IFERROR(INDEX(Data!BY$9:BY$1273,MATCH($M180,Data!$K$9:$K$1273,0)),"")</f>
        <v/>
      </c>
      <c r="AD180" s="312">
        <f>IFERROR(INDEX(Data!BZ$9:BZ$1273,MATCH($M180,Data!$K$9:$K$1273,0)),"")</f>
        <v/>
      </c>
      <c r="AE180" s="312">
        <f>IFERROR(INDEX(Data!CA$9:CA$1273,MATCH($M180,Data!$K$9:$K$1273,0)),"")</f>
        <v/>
      </c>
      <c r="AF180" s="312">
        <f>IFERROR(INDEX(Data!CB$9:CB$1273,MATCH($M180,Data!$K$9:$K$1273,0)),"")</f>
        <v/>
      </c>
      <c r="AG180" s="312">
        <f>IFERROR(INDEX(Data!CC$9:CC$1273,MATCH($M180,Data!$K$9:$K$1273,0)),"")</f>
        <v/>
      </c>
      <c r="AH180" s="312">
        <f>IFERROR(INDEX(Data!CD$9:CD$1273,MATCH($M180,Data!$K$9:$K$1273,0)),"")</f>
        <v/>
      </c>
      <c r="AI180" s="312">
        <f>IFERROR(INDEX(Data!CE$9:CE$1273,MATCH($M180,Data!$K$9:$K$1273,0)),"")</f>
        <v/>
      </c>
      <c r="AJ180" s="312">
        <f>IFERROR(INDEX(Data!CF$9:CF$1273,MATCH($M180,Data!$K$9:$K$1273,0)),"")</f>
        <v/>
      </c>
      <c r="AK180" s="312">
        <f>IFERROR(INDEX(Data!CG$9:CG$1273,MATCH($M180,Data!$K$9:$K$1273,0)),"")</f>
        <v/>
      </c>
      <c r="AL180" s="312">
        <f>IFERROR(INDEX(Data!CH$9:CH$1273,MATCH($M180,Data!$K$9:$K$1273,0)),"")</f>
        <v/>
      </c>
      <c r="AM180" s="312">
        <f>IFERROR(INDEX(Data!CI$9:CI$1273,MATCH($M180,Data!$K$9:$K$1273,0)),"")</f>
        <v/>
      </c>
      <c r="AN180" s="312">
        <f>IFERROR(INDEX(Data!CJ$9:CJ$1273,MATCH($M180,Data!$K$9:$K$1273,0)),"")</f>
        <v/>
      </c>
      <c r="AO180" s="312">
        <f>IFERROR(INDEX(Data!CK$9:CK$1273,MATCH($M180,Data!$K$9:$K$1273,0)),"")</f>
        <v/>
      </c>
      <c r="AP180" s="312">
        <f>IFERROR(INDEX(Data!CL$9:CL$1273,MATCH($M180,Data!$K$9:$K$1273,0)),"")</f>
        <v/>
      </c>
      <c r="AQ180" s="312">
        <f>IFERROR(INDEX(Data!CM$9:CM$1273,MATCH($M180,Data!$K$9:$K$1273,0)),"")</f>
        <v/>
      </c>
      <c r="AR180" s="312">
        <f>IFERROR(INDEX(Data!CN$9:CN$1273,MATCH($M180,Data!$K$9:$K$1273,0)),"")</f>
        <v/>
      </c>
      <c r="AS180" s="312">
        <f>IFERROR(INDEX(Data!CO$9:CO$1273,MATCH($M180,Data!$K$9:$K$1273,0)),"")</f>
        <v/>
      </c>
      <c r="AT180" s="312">
        <f>IFERROR(INDEX(Data!CP$9:CP$1273,MATCH($M180,Data!$K$9:$K$1273,0)),"")</f>
        <v/>
      </c>
      <c r="AU180" s="312">
        <f>IFERROR(INDEX(Data!CQ$9:CQ$1273,MATCH($M180,Data!$K$9:$K$1273,0)),"")</f>
        <v/>
      </c>
      <c r="AV180" s="312">
        <f>IFERROR(INDEX(Data!CR$9:CR$1273,MATCH($M180,Data!$K$9:$K$1273,0)),"")</f>
        <v/>
      </c>
      <c r="AW180" s="312">
        <f>IFERROR(INDEX(Data!CS$9:CS$1273,MATCH($M180,Data!$K$9:$K$1273,0)),"")</f>
        <v/>
      </c>
      <c r="AX180" s="312">
        <f>IFERROR(INDEX(Data!CT$9:CT$1273,MATCH($M180,Data!$K$9:$K$1273,0)),"")</f>
        <v/>
      </c>
      <c r="AY180" s="312">
        <f>IFERROR(INDEX(Data!CU$9:CU$1273,MATCH($M180,Data!$K$9:$K$1273,0)),"")</f>
        <v/>
      </c>
      <c r="AZ180" s="312">
        <f>IFERROR(INDEX(Data!CV$9:CV$1273,MATCH($M180,Data!$K$9:$K$1273,0)),"")</f>
        <v/>
      </c>
      <c r="BA180" s="312">
        <f>IFERROR(INDEX(Data!CX$9:CX$1273,MATCH($M180,Data!$K$9:$K$1273,0)),"")</f>
        <v/>
      </c>
      <c r="BB180" s="312">
        <f>IFERROR(INDEX(Data!CY$9:CY$1273,MATCH($M180,Data!$K$9:$K$1273,0)),"")</f>
        <v/>
      </c>
      <c r="BC180" s="312">
        <f>IFERROR(INDEX(Data!CZ$9:CZ$1273,MATCH($M180,Data!$K$9:$K$1273,0)),"")</f>
        <v/>
      </c>
      <c r="BD180" s="312">
        <f>IFERROR(INDEX(Data!DA$9:DA$1273,MATCH($M180,Data!$K$9:$K$1273,0)),"")</f>
        <v/>
      </c>
      <c r="BE180" s="312">
        <f>IFERROR(INDEX(Data!DB$9:DB$1273,MATCH($M180,Data!$K$9:$K$1273,0)),"")</f>
        <v/>
      </c>
      <c r="BF180" s="312">
        <f>IFERROR(INDEX(Data!DC$9:DC$1273,MATCH($M180,Data!$K$9:$K$1273,0)),"")</f>
        <v/>
      </c>
      <c r="BG180" s="312">
        <f>IFERROR(INDEX(Data!DD$9:DD$1273,MATCH($M180,Data!$K$9:$K$1273,0)),"")</f>
        <v/>
      </c>
      <c r="BH180" s="312">
        <f>IFERROR(INDEX(Data!DE$9:DE$1273,MATCH($M180,Data!$K$9:$K$1273,0)),"")</f>
        <v/>
      </c>
      <c r="BI180" s="312">
        <f>IFERROR(INDEX(Data!DF$9:DF$1273,MATCH($M180,Data!$K$9:$K$1273,0)),"")</f>
        <v/>
      </c>
      <c r="BJ180" s="312">
        <f>IFERROR(INDEX(Data!DG$9:DG$1273,MATCH($M180,Data!$K$9:$K$1273,0)),"")</f>
        <v/>
      </c>
      <c r="BK180" s="312">
        <f>IFERROR(INDEX(Data!DH$9:DH$1273,MATCH($M180,Data!$K$9:$K$1273,0)),"")</f>
        <v/>
      </c>
      <c r="BL180" s="312">
        <f>IFERROR(INDEX(Data!DI$9:DI$1273,MATCH($M180,Data!$K$9:$K$1273,0)),"")</f>
        <v/>
      </c>
      <c r="BM180" s="312">
        <f>IFERROR(INDEX(Data!DJ$9:DJ$1273,MATCH($M180,Data!$K$9:$K$1273,0)),"")</f>
        <v/>
      </c>
      <c r="BN180" s="312">
        <f>IFERROR(INDEX(Data!DK$9:DK$1273,MATCH($M180,Data!$K$9:$K$1273,0)),"")</f>
        <v/>
      </c>
      <c r="BO180" s="312">
        <f>IFERROR(INDEX(Data!DL$9:DL$1273,MATCH($M180,Data!$K$9:$K$1273,0)),"")</f>
        <v/>
      </c>
      <c r="BP180" s="331">
        <f>IFERROR(IF(BK180=0,"-",BK180),"")</f>
        <v/>
      </c>
      <c r="BQ180" s="312">
        <f>IFERROR(IF(BP180-K180&gt;0,TRUE,FALSE)," ")</f>
        <v/>
      </c>
      <c r="BR180" s="312">
        <f>_xlfn.CONCAT(E180,F180,H180,G180)</f>
        <v/>
      </c>
      <c r="BS180" s="312">
        <f>IFERROR(INDEX(Data!$DO$9:$DO$1273,MATCH('Your recommendation'!BR180,Data!$DN$9:$DN$1273,0)),"")</f>
        <v/>
      </c>
    </row>
    <row r="181" ht="15.6" customFormat="1" customHeight="1" s="138">
      <c r="B181" s="309">
        <f>IF(C181&gt;0,B180+1,"")</f>
        <v/>
      </c>
      <c r="C181" s="310" t="n"/>
      <c r="D181" s="312">
        <f>IFERROR(INDEX(Data!BR$9:BR$1273,MATCH($M181,Data!$K$9:$K$1273,0)),"")</f>
        <v/>
      </c>
      <c r="E181" s="312">
        <f>IFERROR(INDEX(Data!BS$9:BS$1273,MATCH($M181,Data!$K$9:$K$1273,0)),"")</f>
        <v/>
      </c>
      <c r="F181" s="312">
        <f>IFERROR(INDEX(Data!DM$9:DM$1273,MATCH($M181,Data!$K$9:$K$1273,0)),"")</f>
        <v/>
      </c>
      <c r="G181" s="312">
        <f>IFERROR(INDEX(Data!BV$9:BV$1273,MATCH($M181,Data!$K$9:$K$1273,0)),"")</f>
        <v/>
      </c>
      <c r="H181" s="312">
        <f>IFERROR(INDEX(Data!BW$9:BW$1273,MATCH($M181,Data!$K$9:$K$1273,0)),"")</f>
        <v/>
      </c>
      <c r="I181" s="312">
        <f>IFERROR(INDEX(Data!BX$9:BX$1273,MATCH($M181,Data!$K$9:$K$1273,0)),"")</f>
        <v/>
      </c>
      <c r="J181" s="312">
        <f>IFERROR(INDEX(Data!CB$9:CB$1273,MATCH($M181,Data!$K$9:$K$1273,0)),"")</f>
        <v/>
      </c>
      <c r="K181" s="329">
        <f>IFERROR(HYPERLINK(BM181,BC181),"-")</f>
        <v/>
      </c>
      <c r="L181" s="330">
        <f>IFERROR(IF(BB181=0,"-",BB181)," ")</f>
        <v/>
      </c>
      <c r="M181" s="311" t="n"/>
      <c r="N181" s="311" t="n"/>
      <c r="O181" s="311">
        <f>IFERROR(INDEX(Data!M$9:M$1273,MATCH($M181,Data!$K$9:$K$1273,0)),"")</f>
        <v/>
      </c>
      <c r="P181" s="311">
        <f>IFERROR(INDEX(Data!N$9:N$1273,MATCH($M181,Data!$K$9:$K$1273,0)),"")</f>
        <v/>
      </c>
      <c r="Q181" s="311">
        <f>IFERROR(INDEX(Data!O$9:O$1273,MATCH($M181,Data!$K$9:$K$1273,0)),"")</f>
        <v/>
      </c>
      <c r="R181" s="311">
        <f>IFERROR(INDEX(Data!P$9:P$1273,MATCH($M181,Data!$K$9:$K$1273,0)),"")</f>
        <v/>
      </c>
      <c r="S181" s="311">
        <f>IFERROR(INDEX(Data!S$9:S$1273,MATCH($M181,Data!$K$9:$K$1273,0)),"")</f>
        <v/>
      </c>
      <c r="T181" s="311">
        <f>IFERROR(INDEX(Data!T$9:T$1273,MATCH($M181,Data!$K$9:$K$1273,0)),"")</f>
        <v/>
      </c>
      <c r="U181" s="311">
        <f>IFERROR(INDEX(Data!U$9:U$1273,MATCH($M181,Data!$K$9:$K$1273,0)),"")</f>
        <v/>
      </c>
      <c r="V181" s="311">
        <f>IFERROR(INDEX(Data!V$9:V$1273,MATCH($M181,Data!$K$9:$K$1273,0)),"")</f>
        <v/>
      </c>
      <c r="W181" s="311">
        <f>IFERROR(INDEX(Data!W$9:W$1273,MATCH($M181,Data!$K$9:$K$1273,0)),"")</f>
        <v/>
      </c>
      <c r="X181" s="311">
        <f>IFERROR(INDEX(Data!AJ$9:AJ$1273,MATCH($M181,Data!$K$9:$K$1273,0)),"")</f>
        <v/>
      </c>
      <c r="Y181" s="311">
        <f>IFERROR(INDEX(Data!AK$9:AK$1273,MATCH($M181,Data!$K$9:$K$1273,0)),"")</f>
        <v/>
      </c>
      <c r="Z181" s="311">
        <f>IFERROR(INDEX(Data!AL$9:AL$1273,MATCH($M181,Data!$K$9:$K$1273,0)),"")</f>
        <v/>
      </c>
      <c r="AA181" s="311">
        <f>IFERROR(INDEX(Data!AM$9:AM$1273,MATCH($M181,Data!$K$9:$K$1273,0)),"")</f>
        <v/>
      </c>
      <c r="AB181" s="311">
        <f>IFERROR(INDEX(Data!AN$9:AN$1273,MATCH($M181,Data!$K$9:$K$1273,0)),"")</f>
        <v/>
      </c>
      <c r="AC181" s="312">
        <f>IFERROR(INDEX(Data!BY$9:BY$1273,MATCH($M181,Data!$K$9:$K$1273,0)),"")</f>
        <v/>
      </c>
      <c r="AD181" s="312">
        <f>IFERROR(INDEX(Data!BZ$9:BZ$1273,MATCH($M181,Data!$K$9:$K$1273,0)),"")</f>
        <v/>
      </c>
      <c r="AE181" s="312">
        <f>IFERROR(INDEX(Data!CA$9:CA$1273,MATCH($M181,Data!$K$9:$K$1273,0)),"")</f>
        <v/>
      </c>
      <c r="AF181" s="312">
        <f>IFERROR(INDEX(Data!CB$9:CB$1273,MATCH($M181,Data!$K$9:$K$1273,0)),"")</f>
        <v/>
      </c>
      <c r="AG181" s="312">
        <f>IFERROR(INDEX(Data!CC$9:CC$1273,MATCH($M181,Data!$K$9:$K$1273,0)),"")</f>
        <v/>
      </c>
      <c r="AH181" s="312">
        <f>IFERROR(INDEX(Data!CD$9:CD$1273,MATCH($M181,Data!$K$9:$K$1273,0)),"")</f>
        <v/>
      </c>
      <c r="AI181" s="312">
        <f>IFERROR(INDEX(Data!CE$9:CE$1273,MATCH($M181,Data!$K$9:$K$1273,0)),"")</f>
        <v/>
      </c>
      <c r="AJ181" s="312">
        <f>IFERROR(INDEX(Data!CF$9:CF$1273,MATCH($M181,Data!$K$9:$K$1273,0)),"")</f>
        <v/>
      </c>
      <c r="AK181" s="312">
        <f>IFERROR(INDEX(Data!CG$9:CG$1273,MATCH($M181,Data!$K$9:$K$1273,0)),"")</f>
        <v/>
      </c>
      <c r="AL181" s="312">
        <f>IFERROR(INDEX(Data!CH$9:CH$1273,MATCH($M181,Data!$K$9:$K$1273,0)),"")</f>
        <v/>
      </c>
      <c r="AM181" s="312">
        <f>IFERROR(INDEX(Data!CI$9:CI$1273,MATCH($M181,Data!$K$9:$K$1273,0)),"")</f>
        <v/>
      </c>
      <c r="AN181" s="312">
        <f>IFERROR(INDEX(Data!CJ$9:CJ$1273,MATCH($M181,Data!$K$9:$K$1273,0)),"")</f>
        <v/>
      </c>
      <c r="AO181" s="312">
        <f>IFERROR(INDEX(Data!CK$9:CK$1273,MATCH($M181,Data!$K$9:$K$1273,0)),"")</f>
        <v/>
      </c>
      <c r="AP181" s="312">
        <f>IFERROR(INDEX(Data!CL$9:CL$1273,MATCH($M181,Data!$K$9:$K$1273,0)),"")</f>
        <v/>
      </c>
      <c r="AQ181" s="312">
        <f>IFERROR(INDEX(Data!CM$9:CM$1273,MATCH($M181,Data!$K$9:$K$1273,0)),"")</f>
        <v/>
      </c>
      <c r="AR181" s="312">
        <f>IFERROR(INDEX(Data!CN$9:CN$1273,MATCH($M181,Data!$K$9:$K$1273,0)),"")</f>
        <v/>
      </c>
      <c r="AS181" s="312">
        <f>IFERROR(INDEX(Data!CO$9:CO$1273,MATCH($M181,Data!$K$9:$K$1273,0)),"")</f>
        <v/>
      </c>
      <c r="AT181" s="312">
        <f>IFERROR(INDEX(Data!CP$9:CP$1273,MATCH($M181,Data!$K$9:$K$1273,0)),"")</f>
        <v/>
      </c>
      <c r="AU181" s="312">
        <f>IFERROR(INDEX(Data!CQ$9:CQ$1273,MATCH($M181,Data!$K$9:$K$1273,0)),"")</f>
        <v/>
      </c>
      <c r="AV181" s="312">
        <f>IFERROR(INDEX(Data!CR$9:CR$1273,MATCH($M181,Data!$K$9:$K$1273,0)),"")</f>
        <v/>
      </c>
      <c r="AW181" s="312">
        <f>IFERROR(INDEX(Data!CS$9:CS$1273,MATCH($M181,Data!$K$9:$K$1273,0)),"")</f>
        <v/>
      </c>
      <c r="AX181" s="312">
        <f>IFERROR(INDEX(Data!CT$9:CT$1273,MATCH($M181,Data!$K$9:$K$1273,0)),"")</f>
        <v/>
      </c>
      <c r="AY181" s="312">
        <f>IFERROR(INDEX(Data!CU$9:CU$1273,MATCH($M181,Data!$K$9:$K$1273,0)),"")</f>
        <v/>
      </c>
      <c r="AZ181" s="312">
        <f>IFERROR(INDEX(Data!CV$9:CV$1273,MATCH($M181,Data!$K$9:$K$1273,0)),"")</f>
        <v/>
      </c>
      <c r="BA181" s="312">
        <f>IFERROR(INDEX(Data!CX$9:CX$1273,MATCH($M181,Data!$K$9:$K$1273,0)),"")</f>
        <v/>
      </c>
      <c r="BB181" s="312">
        <f>IFERROR(INDEX(Data!CY$9:CY$1273,MATCH($M181,Data!$K$9:$K$1273,0)),"")</f>
        <v/>
      </c>
      <c r="BC181" s="312">
        <f>IFERROR(INDEX(Data!CZ$9:CZ$1273,MATCH($M181,Data!$K$9:$K$1273,0)),"")</f>
        <v/>
      </c>
      <c r="BD181" s="312">
        <f>IFERROR(INDEX(Data!DA$9:DA$1273,MATCH($M181,Data!$K$9:$K$1273,0)),"")</f>
        <v/>
      </c>
      <c r="BE181" s="312">
        <f>IFERROR(INDEX(Data!DB$9:DB$1273,MATCH($M181,Data!$K$9:$K$1273,0)),"")</f>
        <v/>
      </c>
      <c r="BF181" s="312">
        <f>IFERROR(INDEX(Data!DC$9:DC$1273,MATCH($M181,Data!$K$9:$K$1273,0)),"")</f>
        <v/>
      </c>
      <c r="BG181" s="312">
        <f>IFERROR(INDEX(Data!DD$9:DD$1273,MATCH($M181,Data!$K$9:$K$1273,0)),"")</f>
        <v/>
      </c>
      <c r="BH181" s="312">
        <f>IFERROR(INDEX(Data!DE$9:DE$1273,MATCH($M181,Data!$K$9:$K$1273,0)),"")</f>
        <v/>
      </c>
      <c r="BI181" s="312">
        <f>IFERROR(INDEX(Data!DF$9:DF$1273,MATCH($M181,Data!$K$9:$K$1273,0)),"")</f>
        <v/>
      </c>
      <c r="BJ181" s="312">
        <f>IFERROR(INDEX(Data!DG$9:DG$1273,MATCH($M181,Data!$K$9:$K$1273,0)),"")</f>
        <v/>
      </c>
      <c r="BK181" s="312">
        <f>IFERROR(INDEX(Data!DH$9:DH$1273,MATCH($M181,Data!$K$9:$K$1273,0)),"")</f>
        <v/>
      </c>
      <c r="BL181" s="312">
        <f>IFERROR(INDEX(Data!DI$9:DI$1273,MATCH($M181,Data!$K$9:$K$1273,0)),"")</f>
        <v/>
      </c>
      <c r="BM181" s="312">
        <f>IFERROR(INDEX(Data!DJ$9:DJ$1273,MATCH($M181,Data!$K$9:$K$1273,0)),"")</f>
        <v/>
      </c>
      <c r="BN181" s="312">
        <f>IFERROR(INDEX(Data!DK$9:DK$1273,MATCH($M181,Data!$K$9:$K$1273,0)),"")</f>
        <v/>
      </c>
      <c r="BO181" s="312">
        <f>IFERROR(INDEX(Data!DL$9:DL$1273,MATCH($M181,Data!$K$9:$K$1273,0)),"")</f>
        <v/>
      </c>
      <c r="BP181" s="331">
        <f>IFERROR(IF(BK181=0,"-",BK181),"")</f>
        <v/>
      </c>
      <c r="BQ181" s="312">
        <f>IFERROR(IF(BP181-K181&gt;0,TRUE,FALSE)," ")</f>
        <v/>
      </c>
      <c r="BR181" s="312">
        <f>_xlfn.CONCAT(E181,F181,H181,G181)</f>
        <v/>
      </c>
      <c r="BS181" s="312">
        <f>IFERROR(INDEX(Data!$DO$9:$DO$1273,MATCH('Your recommendation'!BR181,Data!$DN$9:$DN$1273,0)),"")</f>
        <v/>
      </c>
    </row>
    <row r="182" ht="15.6" customFormat="1" customHeight="1" s="138">
      <c r="B182" s="309">
        <f>IF(C182&gt;0,B181+1,"")</f>
        <v/>
      </c>
      <c r="C182" s="310" t="n"/>
      <c r="D182" s="312">
        <f>IFERROR(INDEX(Data!BR$9:BR$1273,MATCH($M182,Data!$K$9:$K$1273,0)),"")</f>
        <v/>
      </c>
      <c r="E182" s="312">
        <f>IFERROR(INDEX(Data!BS$9:BS$1273,MATCH($M182,Data!$K$9:$K$1273,0)),"")</f>
        <v/>
      </c>
      <c r="F182" s="312">
        <f>IFERROR(INDEX(Data!DM$9:DM$1273,MATCH($M182,Data!$K$9:$K$1273,0)),"")</f>
        <v/>
      </c>
      <c r="G182" s="312">
        <f>IFERROR(INDEX(Data!BV$9:BV$1273,MATCH($M182,Data!$K$9:$K$1273,0)),"")</f>
        <v/>
      </c>
      <c r="H182" s="312">
        <f>IFERROR(INDEX(Data!BW$9:BW$1273,MATCH($M182,Data!$K$9:$K$1273,0)),"")</f>
        <v/>
      </c>
      <c r="I182" s="312">
        <f>IFERROR(INDEX(Data!BX$9:BX$1273,MATCH($M182,Data!$K$9:$K$1273,0)),"")</f>
        <v/>
      </c>
      <c r="J182" s="312">
        <f>IFERROR(INDEX(Data!CB$9:CB$1273,MATCH($M182,Data!$K$9:$K$1273,0)),"")</f>
        <v/>
      </c>
      <c r="K182" s="329">
        <f>IFERROR(HYPERLINK(BM182,BC182),"-")</f>
        <v/>
      </c>
      <c r="L182" s="330">
        <f>IFERROR(IF(BB182=0,"-",BB182)," ")</f>
        <v/>
      </c>
      <c r="M182" s="311" t="n"/>
      <c r="N182" s="311" t="n"/>
      <c r="O182" s="311">
        <f>IFERROR(INDEX(Data!M$9:M$1273,MATCH($M182,Data!$K$9:$K$1273,0)),"")</f>
        <v/>
      </c>
      <c r="P182" s="311">
        <f>IFERROR(INDEX(Data!N$9:N$1273,MATCH($M182,Data!$K$9:$K$1273,0)),"")</f>
        <v/>
      </c>
      <c r="Q182" s="311">
        <f>IFERROR(INDEX(Data!O$9:O$1273,MATCH($M182,Data!$K$9:$K$1273,0)),"")</f>
        <v/>
      </c>
      <c r="R182" s="311">
        <f>IFERROR(INDEX(Data!P$9:P$1273,MATCH($M182,Data!$K$9:$K$1273,0)),"")</f>
        <v/>
      </c>
      <c r="S182" s="311">
        <f>IFERROR(INDEX(Data!S$9:S$1273,MATCH($M182,Data!$K$9:$K$1273,0)),"")</f>
        <v/>
      </c>
      <c r="T182" s="311">
        <f>IFERROR(INDEX(Data!T$9:T$1273,MATCH($M182,Data!$K$9:$K$1273,0)),"")</f>
        <v/>
      </c>
      <c r="U182" s="311">
        <f>IFERROR(INDEX(Data!U$9:U$1273,MATCH($M182,Data!$K$9:$K$1273,0)),"")</f>
        <v/>
      </c>
      <c r="V182" s="311">
        <f>IFERROR(INDEX(Data!V$9:V$1273,MATCH($M182,Data!$K$9:$K$1273,0)),"")</f>
        <v/>
      </c>
      <c r="W182" s="311">
        <f>IFERROR(INDEX(Data!W$9:W$1273,MATCH($M182,Data!$K$9:$K$1273,0)),"")</f>
        <v/>
      </c>
      <c r="X182" s="311">
        <f>IFERROR(INDEX(Data!AJ$9:AJ$1273,MATCH($M182,Data!$K$9:$K$1273,0)),"")</f>
        <v/>
      </c>
      <c r="Y182" s="311">
        <f>IFERROR(INDEX(Data!AK$9:AK$1273,MATCH($M182,Data!$K$9:$K$1273,0)),"")</f>
        <v/>
      </c>
      <c r="Z182" s="311">
        <f>IFERROR(INDEX(Data!AL$9:AL$1273,MATCH($M182,Data!$K$9:$K$1273,0)),"")</f>
        <v/>
      </c>
      <c r="AA182" s="311">
        <f>IFERROR(INDEX(Data!AM$9:AM$1273,MATCH($M182,Data!$K$9:$K$1273,0)),"")</f>
        <v/>
      </c>
      <c r="AB182" s="311">
        <f>IFERROR(INDEX(Data!AN$9:AN$1273,MATCH($M182,Data!$K$9:$K$1273,0)),"")</f>
        <v/>
      </c>
      <c r="AC182" s="312">
        <f>IFERROR(INDEX(Data!BY$9:BY$1273,MATCH($M182,Data!$K$9:$K$1273,0)),"")</f>
        <v/>
      </c>
      <c r="AD182" s="312">
        <f>IFERROR(INDEX(Data!BZ$9:BZ$1273,MATCH($M182,Data!$K$9:$K$1273,0)),"")</f>
        <v/>
      </c>
      <c r="AE182" s="312">
        <f>IFERROR(INDEX(Data!CA$9:CA$1273,MATCH($M182,Data!$K$9:$K$1273,0)),"")</f>
        <v/>
      </c>
      <c r="AF182" s="312">
        <f>IFERROR(INDEX(Data!CB$9:CB$1273,MATCH($M182,Data!$K$9:$K$1273,0)),"")</f>
        <v/>
      </c>
      <c r="AG182" s="312">
        <f>IFERROR(INDEX(Data!CC$9:CC$1273,MATCH($M182,Data!$K$9:$K$1273,0)),"")</f>
        <v/>
      </c>
      <c r="AH182" s="312">
        <f>IFERROR(INDEX(Data!CD$9:CD$1273,MATCH($M182,Data!$K$9:$K$1273,0)),"")</f>
        <v/>
      </c>
      <c r="AI182" s="312">
        <f>IFERROR(INDEX(Data!CE$9:CE$1273,MATCH($M182,Data!$K$9:$K$1273,0)),"")</f>
        <v/>
      </c>
      <c r="AJ182" s="312">
        <f>IFERROR(INDEX(Data!CF$9:CF$1273,MATCH($M182,Data!$K$9:$K$1273,0)),"")</f>
        <v/>
      </c>
      <c r="AK182" s="312">
        <f>IFERROR(INDEX(Data!CG$9:CG$1273,MATCH($M182,Data!$K$9:$K$1273,0)),"")</f>
        <v/>
      </c>
      <c r="AL182" s="312">
        <f>IFERROR(INDEX(Data!CH$9:CH$1273,MATCH($M182,Data!$K$9:$K$1273,0)),"")</f>
        <v/>
      </c>
      <c r="AM182" s="312">
        <f>IFERROR(INDEX(Data!CI$9:CI$1273,MATCH($M182,Data!$K$9:$K$1273,0)),"")</f>
        <v/>
      </c>
      <c r="AN182" s="312">
        <f>IFERROR(INDEX(Data!CJ$9:CJ$1273,MATCH($M182,Data!$K$9:$K$1273,0)),"")</f>
        <v/>
      </c>
      <c r="AO182" s="312">
        <f>IFERROR(INDEX(Data!CK$9:CK$1273,MATCH($M182,Data!$K$9:$K$1273,0)),"")</f>
        <v/>
      </c>
      <c r="AP182" s="312">
        <f>IFERROR(INDEX(Data!CL$9:CL$1273,MATCH($M182,Data!$K$9:$K$1273,0)),"")</f>
        <v/>
      </c>
      <c r="AQ182" s="312">
        <f>IFERROR(INDEX(Data!CM$9:CM$1273,MATCH($M182,Data!$K$9:$K$1273,0)),"")</f>
        <v/>
      </c>
      <c r="AR182" s="312">
        <f>IFERROR(INDEX(Data!CN$9:CN$1273,MATCH($M182,Data!$K$9:$K$1273,0)),"")</f>
        <v/>
      </c>
      <c r="AS182" s="312">
        <f>IFERROR(INDEX(Data!CO$9:CO$1273,MATCH($M182,Data!$K$9:$K$1273,0)),"")</f>
        <v/>
      </c>
      <c r="AT182" s="312">
        <f>IFERROR(INDEX(Data!CP$9:CP$1273,MATCH($M182,Data!$K$9:$K$1273,0)),"")</f>
        <v/>
      </c>
      <c r="AU182" s="312">
        <f>IFERROR(INDEX(Data!CQ$9:CQ$1273,MATCH($M182,Data!$K$9:$K$1273,0)),"")</f>
        <v/>
      </c>
      <c r="AV182" s="312">
        <f>IFERROR(INDEX(Data!CR$9:CR$1273,MATCH($M182,Data!$K$9:$K$1273,0)),"")</f>
        <v/>
      </c>
      <c r="AW182" s="312">
        <f>IFERROR(INDEX(Data!CS$9:CS$1273,MATCH($M182,Data!$K$9:$K$1273,0)),"")</f>
        <v/>
      </c>
      <c r="AX182" s="312">
        <f>IFERROR(INDEX(Data!CT$9:CT$1273,MATCH($M182,Data!$K$9:$K$1273,0)),"")</f>
        <v/>
      </c>
      <c r="AY182" s="312">
        <f>IFERROR(INDEX(Data!CU$9:CU$1273,MATCH($M182,Data!$K$9:$K$1273,0)),"")</f>
        <v/>
      </c>
      <c r="AZ182" s="312">
        <f>IFERROR(INDEX(Data!CV$9:CV$1273,MATCH($M182,Data!$K$9:$K$1273,0)),"")</f>
        <v/>
      </c>
      <c r="BA182" s="312">
        <f>IFERROR(INDEX(Data!CX$9:CX$1273,MATCH($M182,Data!$K$9:$K$1273,0)),"")</f>
        <v/>
      </c>
      <c r="BB182" s="312">
        <f>IFERROR(INDEX(Data!CY$9:CY$1273,MATCH($M182,Data!$K$9:$K$1273,0)),"")</f>
        <v/>
      </c>
      <c r="BC182" s="312">
        <f>IFERROR(INDEX(Data!CZ$9:CZ$1273,MATCH($M182,Data!$K$9:$K$1273,0)),"")</f>
        <v/>
      </c>
      <c r="BD182" s="312">
        <f>IFERROR(INDEX(Data!DA$9:DA$1273,MATCH($M182,Data!$K$9:$K$1273,0)),"")</f>
        <v/>
      </c>
      <c r="BE182" s="312">
        <f>IFERROR(INDEX(Data!DB$9:DB$1273,MATCH($M182,Data!$K$9:$K$1273,0)),"")</f>
        <v/>
      </c>
      <c r="BF182" s="312">
        <f>IFERROR(INDEX(Data!DC$9:DC$1273,MATCH($M182,Data!$K$9:$K$1273,0)),"")</f>
        <v/>
      </c>
      <c r="BG182" s="312">
        <f>IFERROR(INDEX(Data!DD$9:DD$1273,MATCH($M182,Data!$K$9:$K$1273,0)),"")</f>
        <v/>
      </c>
      <c r="BH182" s="312">
        <f>IFERROR(INDEX(Data!DE$9:DE$1273,MATCH($M182,Data!$K$9:$K$1273,0)),"")</f>
        <v/>
      </c>
      <c r="BI182" s="312">
        <f>IFERROR(INDEX(Data!DF$9:DF$1273,MATCH($M182,Data!$K$9:$K$1273,0)),"")</f>
        <v/>
      </c>
      <c r="BJ182" s="312">
        <f>IFERROR(INDEX(Data!DG$9:DG$1273,MATCH($M182,Data!$K$9:$K$1273,0)),"")</f>
        <v/>
      </c>
      <c r="BK182" s="312">
        <f>IFERROR(INDEX(Data!DH$9:DH$1273,MATCH($M182,Data!$K$9:$K$1273,0)),"")</f>
        <v/>
      </c>
      <c r="BL182" s="312">
        <f>IFERROR(INDEX(Data!DI$9:DI$1273,MATCH($M182,Data!$K$9:$K$1273,0)),"")</f>
        <v/>
      </c>
      <c r="BM182" s="312">
        <f>IFERROR(INDEX(Data!DJ$9:DJ$1273,MATCH($M182,Data!$K$9:$K$1273,0)),"")</f>
        <v/>
      </c>
      <c r="BN182" s="312">
        <f>IFERROR(INDEX(Data!DK$9:DK$1273,MATCH($M182,Data!$K$9:$K$1273,0)),"")</f>
        <v/>
      </c>
      <c r="BO182" s="312">
        <f>IFERROR(INDEX(Data!DL$9:DL$1273,MATCH($M182,Data!$K$9:$K$1273,0)),"")</f>
        <v/>
      </c>
      <c r="BP182" s="331">
        <f>IFERROR(IF(BK182=0,"-",BK182),"")</f>
        <v/>
      </c>
      <c r="BQ182" s="312">
        <f>IFERROR(IF(BP182-K182&gt;0,TRUE,FALSE)," ")</f>
        <v/>
      </c>
      <c r="BR182" s="312">
        <f>_xlfn.CONCAT(E182,F182,H182,G182)</f>
        <v/>
      </c>
      <c r="BS182" s="312">
        <f>IFERROR(INDEX(Data!$DO$9:$DO$1273,MATCH('Your recommendation'!BR182,Data!$DN$9:$DN$1273,0)),"")</f>
        <v/>
      </c>
    </row>
    <row r="183" ht="15.6" customFormat="1" customHeight="1" s="138">
      <c r="B183" s="309">
        <f>IF(C183&gt;0,B182+1,"")</f>
        <v/>
      </c>
      <c r="C183" s="310" t="n"/>
      <c r="D183" s="312">
        <f>IFERROR(INDEX(Data!BR$9:BR$1273,MATCH($M183,Data!$K$9:$K$1273,0)),"")</f>
        <v/>
      </c>
      <c r="E183" s="312">
        <f>IFERROR(INDEX(Data!BS$9:BS$1273,MATCH($M183,Data!$K$9:$K$1273,0)),"")</f>
        <v/>
      </c>
      <c r="F183" s="312">
        <f>IFERROR(INDEX(Data!DM$9:DM$1273,MATCH($M183,Data!$K$9:$K$1273,0)),"")</f>
        <v/>
      </c>
      <c r="G183" s="312">
        <f>IFERROR(INDEX(Data!BV$9:BV$1273,MATCH($M183,Data!$K$9:$K$1273,0)),"")</f>
        <v/>
      </c>
      <c r="H183" s="312">
        <f>IFERROR(INDEX(Data!BW$9:BW$1273,MATCH($M183,Data!$K$9:$K$1273,0)),"")</f>
        <v/>
      </c>
      <c r="I183" s="312">
        <f>IFERROR(INDEX(Data!BX$9:BX$1273,MATCH($M183,Data!$K$9:$K$1273,0)),"")</f>
        <v/>
      </c>
      <c r="J183" s="312">
        <f>IFERROR(INDEX(Data!CB$9:CB$1273,MATCH($M183,Data!$K$9:$K$1273,0)),"")</f>
        <v/>
      </c>
      <c r="K183" s="329">
        <f>IFERROR(HYPERLINK(BM183,BC183),"-")</f>
        <v/>
      </c>
      <c r="L183" s="330">
        <f>IFERROR(IF(BB183=0,"-",BB183)," ")</f>
        <v/>
      </c>
      <c r="M183" s="311" t="n"/>
      <c r="N183" s="311" t="n"/>
      <c r="O183" s="311">
        <f>IFERROR(INDEX(Data!M$9:M$1273,MATCH($M183,Data!$K$9:$K$1273,0)),"")</f>
        <v/>
      </c>
      <c r="P183" s="311">
        <f>IFERROR(INDEX(Data!N$9:N$1273,MATCH($M183,Data!$K$9:$K$1273,0)),"")</f>
        <v/>
      </c>
      <c r="Q183" s="311">
        <f>IFERROR(INDEX(Data!O$9:O$1273,MATCH($M183,Data!$K$9:$K$1273,0)),"")</f>
        <v/>
      </c>
      <c r="R183" s="311">
        <f>IFERROR(INDEX(Data!P$9:P$1273,MATCH($M183,Data!$K$9:$K$1273,0)),"")</f>
        <v/>
      </c>
      <c r="S183" s="311">
        <f>IFERROR(INDEX(Data!S$9:S$1273,MATCH($M183,Data!$K$9:$K$1273,0)),"")</f>
        <v/>
      </c>
      <c r="T183" s="311">
        <f>IFERROR(INDEX(Data!T$9:T$1273,MATCH($M183,Data!$K$9:$K$1273,0)),"")</f>
        <v/>
      </c>
      <c r="U183" s="311">
        <f>IFERROR(INDEX(Data!U$9:U$1273,MATCH($M183,Data!$K$9:$K$1273,0)),"")</f>
        <v/>
      </c>
      <c r="V183" s="311">
        <f>IFERROR(INDEX(Data!V$9:V$1273,MATCH($M183,Data!$K$9:$K$1273,0)),"")</f>
        <v/>
      </c>
      <c r="W183" s="311">
        <f>IFERROR(INDEX(Data!W$9:W$1273,MATCH($M183,Data!$K$9:$K$1273,0)),"")</f>
        <v/>
      </c>
      <c r="X183" s="311">
        <f>IFERROR(INDEX(Data!AJ$9:AJ$1273,MATCH($M183,Data!$K$9:$K$1273,0)),"")</f>
        <v/>
      </c>
      <c r="Y183" s="311">
        <f>IFERROR(INDEX(Data!AK$9:AK$1273,MATCH($M183,Data!$K$9:$K$1273,0)),"")</f>
        <v/>
      </c>
      <c r="Z183" s="311">
        <f>IFERROR(INDEX(Data!AL$9:AL$1273,MATCH($M183,Data!$K$9:$K$1273,0)),"")</f>
        <v/>
      </c>
      <c r="AA183" s="311">
        <f>IFERROR(INDEX(Data!AM$9:AM$1273,MATCH($M183,Data!$K$9:$K$1273,0)),"")</f>
        <v/>
      </c>
      <c r="AB183" s="311">
        <f>IFERROR(INDEX(Data!AN$9:AN$1273,MATCH($M183,Data!$K$9:$K$1273,0)),"")</f>
        <v/>
      </c>
      <c r="AC183" s="312">
        <f>IFERROR(INDEX(Data!BY$9:BY$1273,MATCH($M183,Data!$K$9:$K$1273,0)),"")</f>
        <v/>
      </c>
      <c r="AD183" s="312">
        <f>IFERROR(INDEX(Data!BZ$9:BZ$1273,MATCH($M183,Data!$K$9:$K$1273,0)),"")</f>
        <v/>
      </c>
      <c r="AE183" s="312">
        <f>IFERROR(INDEX(Data!CA$9:CA$1273,MATCH($M183,Data!$K$9:$K$1273,0)),"")</f>
        <v/>
      </c>
      <c r="AF183" s="312">
        <f>IFERROR(INDEX(Data!CB$9:CB$1273,MATCH($M183,Data!$K$9:$K$1273,0)),"")</f>
        <v/>
      </c>
      <c r="AG183" s="312">
        <f>IFERROR(INDEX(Data!CC$9:CC$1273,MATCH($M183,Data!$K$9:$K$1273,0)),"")</f>
        <v/>
      </c>
      <c r="AH183" s="312">
        <f>IFERROR(INDEX(Data!CD$9:CD$1273,MATCH($M183,Data!$K$9:$K$1273,0)),"")</f>
        <v/>
      </c>
      <c r="AI183" s="312">
        <f>IFERROR(INDEX(Data!CE$9:CE$1273,MATCH($M183,Data!$K$9:$K$1273,0)),"")</f>
        <v/>
      </c>
      <c r="AJ183" s="312">
        <f>IFERROR(INDEX(Data!CF$9:CF$1273,MATCH($M183,Data!$K$9:$K$1273,0)),"")</f>
        <v/>
      </c>
      <c r="AK183" s="312">
        <f>IFERROR(INDEX(Data!CG$9:CG$1273,MATCH($M183,Data!$K$9:$K$1273,0)),"")</f>
        <v/>
      </c>
      <c r="AL183" s="312">
        <f>IFERROR(INDEX(Data!CH$9:CH$1273,MATCH($M183,Data!$K$9:$K$1273,0)),"")</f>
        <v/>
      </c>
      <c r="AM183" s="312">
        <f>IFERROR(INDEX(Data!CI$9:CI$1273,MATCH($M183,Data!$K$9:$K$1273,0)),"")</f>
        <v/>
      </c>
      <c r="AN183" s="312">
        <f>IFERROR(INDEX(Data!CJ$9:CJ$1273,MATCH($M183,Data!$K$9:$K$1273,0)),"")</f>
        <v/>
      </c>
      <c r="AO183" s="312">
        <f>IFERROR(INDEX(Data!CK$9:CK$1273,MATCH($M183,Data!$K$9:$K$1273,0)),"")</f>
        <v/>
      </c>
      <c r="AP183" s="312">
        <f>IFERROR(INDEX(Data!CL$9:CL$1273,MATCH($M183,Data!$K$9:$K$1273,0)),"")</f>
        <v/>
      </c>
      <c r="AQ183" s="312">
        <f>IFERROR(INDEX(Data!CM$9:CM$1273,MATCH($M183,Data!$K$9:$K$1273,0)),"")</f>
        <v/>
      </c>
      <c r="AR183" s="312">
        <f>IFERROR(INDEX(Data!CN$9:CN$1273,MATCH($M183,Data!$K$9:$K$1273,0)),"")</f>
        <v/>
      </c>
      <c r="AS183" s="312">
        <f>IFERROR(INDEX(Data!CO$9:CO$1273,MATCH($M183,Data!$K$9:$K$1273,0)),"")</f>
        <v/>
      </c>
      <c r="AT183" s="312">
        <f>IFERROR(INDEX(Data!CP$9:CP$1273,MATCH($M183,Data!$K$9:$K$1273,0)),"")</f>
        <v/>
      </c>
      <c r="AU183" s="312">
        <f>IFERROR(INDEX(Data!CQ$9:CQ$1273,MATCH($M183,Data!$K$9:$K$1273,0)),"")</f>
        <v/>
      </c>
      <c r="AV183" s="312">
        <f>IFERROR(INDEX(Data!CR$9:CR$1273,MATCH($M183,Data!$K$9:$K$1273,0)),"")</f>
        <v/>
      </c>
      <c r="AW183" s="312">
        <f>IFERROR(INDEX(Data!CS$9:CS$1273,MATCH($M183,Data!$K$9:$K$1273,0)),"")</f>
        <v/>
      </c>
      <c r="AX183" s="312">
        <f>IFERROR(INDEX(Data!CT$9:CT$1273,MATCH($M183,Data!$K$9:$K$1273,0)),"")</f>
        <v/>
      </c>
      <c r="AY183" s="312">
        <f>IFERROR(INDEX(Data!CU$9:CU$1273,MATCH($M183,Data!$K$9:$K$1273,0)),"")</f>
        <v/>
      </c>
      <c r="AZ183" s="312">
        <f>IFERROR(INDEX(Data!CV$9:CV$1273,MATCH($M183,Data!$K$9:$K$1273,0)),"")</f>
        <v/>
      </c>
      <c r="BA183" s="312">
        <f>IFERROR(INDEX(Data!CX$9:CX$1273,MATCH($M183,Data!$K$9:$K$1273,0)),"")</f>
        <v/>
      </c>
      <c r="BB183" s="312">
        <f>IFERROR(INDEX(Data!CY$9:CY$1273,MATCH($M183,Data!$K$9:$K$1273,0)),"")</f>
        <v/>
      </c>
      <c r="BC183" s="312">
        <f>IFERROR(INDEX(Data!CZ$9:CZ$1273,MATCH($M183,Data!$K$9:$K$1273,0)),"")</f>
        <v/>
      </c>
      <c r="BD183" s="312">
        <f>IFERROR(INDEX(Data!DA$9:DA$1273,MATCH($M183,Data!$K$9:$K$1273,0)),"")</f>
        <v/>
      </c>
      <c r="BE183" s="312">
        <f>IFERROR(INDEX(Data!DB$9:DB$1273,MATCH($M183,Data!$K$9:$K$1273,0)),"")</f>
        <v/>
      </c>
      <c r="BF183" s="312">
        <f>IFERROR(INDEX(Data!DC$9:DC$1273,MATCH($M183,Data!$K$9:$K$1273,0)),"")</f>
        <v/>
      </c>
      <c r="BG183" s="312">
        <f>IFERROR(INDEX(Data!DD$9:DD$1273,MATCH($M183,Data!$K$9:$K$1273,0)),"")</f>
        <v/>
      </c>
      <c r="BH183" s="312">
        <f>IFERROR(INDEX(Data!DE$9:DE$1273,MATCH($M183,Data!$K$9:$K$1273,0)),"")</f>
        <v/>
      </c>
      <c r="BI183" s="312">
        <f>IFERROR(INDEX(Data!DF$9:DF$1273,MATCH($M183,Data!$K$9:$K$1273,0)),"")</f>
        <v/>
      </c>
      <c r="BJ183" s="312">
        <f>IFERROR(INDEX(Data!DG$9:DG$1273,MATCH($M183,Data!$K$9:$K$1273,0)),"")</f>
        <v/>
      </c>
      <c r="BK183" s="312">
        <f>IFERROR(INDEX(Data!DH$9:DH$1273,MATCH($M183,Data!$K$9:$K$1273,0)),"")</f>
        <v/>
      </c>
      <c r="BL183" s="312">
        <f>IFERROR(INDEX(Data!DI$9:DI$1273,MATCH($M183,Data!$K$9:$K$1273,0)),"")</f>
        <v/>
      </c>
      <c r="BM183" s="312">
        <f>IFERROR(INDEX(Data!DJ$9:DJ$1273,MATCH($M183,Data!$K$9:$K$1273,0)),"")</f>
        <v/>
      </c>
      <c r="BN183" s="312">
        <f>IFERROR(INDEX(Data!DK$9:DK$1273,MATCH($M183,Data!$K$9:$K$1273,0)),"")</f>
        <v/>
      </c>
      <c r="BO183" s="312">
        <f>IFERROR(INDEX(Data!DL$9:DL$1273,MATCH($M183,Data!$K$9:$K$1273,0)),"")</f>
        <v/>
      </c>
      <c r="BP183" s="331">
        <f>IFERROR(IF(BK183=0,"-",BK183),"")</f>
        <v/>
      </c>
      <c r="BQ183" s="312">
        <f>IFERROR(IF(BP183-K183&gt;0,TRUE,FALSE)," ")</f>
        <v/>
      </c>
      <c r="BR183" s="312">
        <f>_xlfn.CONCAT(E183,F183,H183,G183)</f>
        <v/>
      </c>
      <c r="BS183" s="312">
        <f>IFERROR(INDEX(Data!$DO$9:$DO$1273,MATCH('Your recommendation'!BR183,Data!$DN$9:$DN$1273,0)),"")</f>
        <v/>
      </c>
    </row>
    <row r="184" ht="15.6" customFormat="1" customHeight="1" s="138">
      <c r="B184" s="309">
        <f>IF(C184&gt;0,B183+1,"")</f>
        <v/>
      </c>
      <c r="C184" s="310" t="n"/>
      <c r="D184" s="312">
        <f>IFERROR(INDEX(Data!BR$9:BR$1273,MATCH($M184,Data!$K$9:$K$1273,0)),"")</f>
        <v/>
      </c>
      <c r="E184" s="312">
        <f>IFERROR(INDEX(Data!BS$9:BS$1273,MATCH($M184,Data!$K$9:$K$1273,0)),"")</f>
        <v/>
      </c>
      <c r="F184" s="312">
        <f>IFERROR(INDEX(Data!DM$9:DM$1273,MATCH($M184,Data!$K$9:$K$1273,0)),"")</f>
        <v/>
      </c>
      <c r="G184" s="312">
        <f>IFERROR(INDEX(Data!BV$9:BV$1273,MATCH($M184,Data!$K$9:$K$1273,0)),"")</f>
        <v/>
      </c>
      <c r="H184" s="312">
        <f>IFERROR(INDEX(Data!BW$9:BW$1273,MATCH($M184,Data!$K$9:$K$1273,0)),"")</f>
        <v/>
      </c>
      <c r="I184" s="312">
        <f>IFERROR(INDEX(Data!BX$9:BX$1273,MATCH($M184,Data!$K$9:$K$1273,0)),"")</f>
        <v/>
      </c>
      <c r="J184" s="312">
        <f>IFERROR(INDEX(Data!CB$9:CB$1273,MATCH($M184,Data!$K$9:$K$1273,0)),"")</f>
        <v/>
      </c>
      <c r="K184" s="329">
        <f>IFERROR(HYPERLINK(BM184,BC184),"-")</f>
        <v/>
      </c>
      <c r="L184" s="330">
        <f>IFERROR(IF(BB184=0,"-",BB184)," ")</f>
        <v/>
      </c>
      <c r="M184" s="311" t="n"/>
      <c r="N184" s="311" t="n"/>
      <c r="O184" s="311">
        <f>IFERROR(INDEX(Data!M$9:M$1273,MATCH($M184,Data!$K$9:$K$1273,0)),"")</f>
        <v/>
      </c>
      <c r="P184" s="311">
        <f>IFERROR(INDEX(Data!N$9:N$1273,MATCH($M184,Data!$K$9:$K$1273,0)),"")</f>
        <v/>
      </c>
      <c r="Q184" s="311">
        <f>IFERROR(INDEX(Data!O$9:O$1273,MATCH($M184,Data!$K$9:$K$1273,0)),"")</f>
        <v/>
      </c>
      <c r="R184" s="311">
        <f>IFERROR(INDEX(Data!P$9:P$1273,MATCH($M184,Data!$K$9:$K$1273,0)),"")</f>
        <v/>
      </c>
      <c r="S184" s="311">
        <f>IFERROR(INDEX(Data!S$9:S$1273,MATCH($M184,Data!$K$9:$K$1273,0)),"")</f>
        <v/>
      </c>
      <c r="T184" s="311">
        <f>IFERROR(INDEX(Data!T$9:T$1273,MATCH($M184,Data!$K$9:$K$1273,0)),"")</f>
        <v/>
      </c>
      <c r="U184" s="311">
        <f>IFERROR(INDEX(Data!U$9:U$1273,MATCH($M184,Data!$K$9:$K$1273,0)),"")</f>
        <v/>
      </c>
      <c r="V184" s="311">
        <f>IFERROR(INDEX(Data!V$9:V$1273,MATCH($M184,Data!$K$9:$K$1273,0)),"")</f>
        <v/>
      </c>
      <c r="W184" s="311">
        <f>IFERROR(INDEX(Data!W$9:W$1273,MATCH($M184,Data!$K$9:$K$1273,0)),"")</f>
        <v/>
      </c>
      <c r="X184" s="311">
        <f>IFERROR(INDEX(Data!AJ$9:AJ$1273,MATCH($M184,Data!$K$9:$K$1273,0)),"")</f>
        <v/>
      </c>
      <c r="Y184" s="311">
        <f>IFERROR(INDEX(Data!AK$9:AK$1273,MATCH($M184,Data!$K$9:$K$1273,0)),"")</f>
        <v/>
      </c>
      <c r="Z184" s="311">
        <f>IFERROR(INDEX(Data!AL$9:AL$1273,MATCH($M184,Data!$K$9:$K$1273,0)),"")</f>
        <v/>
      </c>
      <c r="AA184" s="311">
        <f>IFERROR(INDEX(Data!AM$9:AM$1273,MATCH($M184,Data!$K$9:$K$1273,0)),"")</f>
        <v/>
      </c>
      <c r="AB184" s="311">
        <f>IFERROR(INDEX(Data!AN$9:AN$1273,MATCH($M184,Data!$K$9:$K$1273,0)),"")</f>
        <v/>
      </c>
      <c r="AC184" s="312">
        <f>IFERROR(INDEX(Data!BY$9:BY$1273,MATCH($M184,Data!$K$9:$K$1273,0)),"")</f>
        <v/>
      </c>
      <c r="AD184" s="312">
        <f>IFERROR(INDEX(Data!BZ$9:BZ$1273,MATCH($M184,Data!$K$9:$K$1273,0)),"")</f>
        <v/>
      </c>
      <c r="AE184" s="312">
        <f>IFERROR(INDEX(Data!CA$9:CA$1273,MATCH($M184,Data!$K$9:$K$1273,0)),"")</f>
        <v/>
      </c>
      <c r="AF184" s="312">
        <f>IFERROR(INDEX(Data!CB$9:CB$1273,MATCH($M184,Data!$K$9:$K$1273,0)),"")</f>
        <v/>
      </c>
      <c r="AG184" s="312">
        <f>IFERROR(INDEX(Data!CC$9:CC$1273,MATCH($M184,Data!$K$9:$K$1273,0)),"")</f>
        <v/>
      </c>
      <c r="AH184" s="312">
        <f>IFERROR(INDEX(Data!CD$9:CD$1273,MATCH($M184,Data!$K$9:$K$1273,0)),"")</f>
        <v/>
      </c>
      <c r="AI184" s="312">
        <f>IFERROR(INDEX(Data!CE$9:CE$1273,MATCH($M184,Data!$K$9:$K$1273,0)),"")</f>
        <v/>
      </c>
      <c r="AJ184" s="312">
        <f>IFERROR(INDEX(Data!CF$9:CF$1273,MATCH($M184,Data!$K$9:$K$1273,0)),"")</f>
        <v/>
      </c>
      <c r="AK184" s="312">
        <f>IFERROR(INDEX(Data!CG$9:CG$1273,MATCH($M184,Data!$K$9:$K$1273,0)),"")</f>
        <v/>
      </c>
      <c r="AL184" s="312">
        <f>IFERROR(INDEX(Data!CH$9:CH$1273,MATCH($M184,Data!$K$9:$K$1273,0)),"")</f>
        <v/>
      </c>
      <c r="AM184" s="312">
        <f>IFERROR(INDEX(Data!CI$9:CI$1273,MATCH($M184,Data!$K$9:$K$1273,0)),"")</f>
        <v/>
      </c>
      <c r="AN184" s="312">
        <f>IFERROR(INDEX(Data!CJ$9:CJ$1273,MATCH($M184,Data!$K$9:$K$1273,0)),"")</f>
        <v/>
      </c>
      <c r="AO184" s="312">
        <f>IFERROR(INDEX(Data!CK$9:CK$1273,MATCH($M184,Data!$K$9:$K$1273,0)),"")</f>
        <v/>
      </c>
      <c r="AP184" s="312">
        <f>IFERROR(INDEX(Data!CL$9:CL$1273,MATCH($M184,Data!$K$9:$K$1273,0)),"")</f>
        <v/>
      </c>
      <c r="AQ184" s="312">
        <f>IFERROR(INDEX(Data!CM$9:CM$1273,MATCH($M184,Data!$K$9:$K$1273,0)),"")</f>
        <v/>
      </c>
      <c r="AR184" s="312">
        <f>IFERROR(INDEX(Data!CN$9:CN$1273,MATCH($M184,Data!$K$9:$K$1273,0)),"")</f>
        <v/>
      </c>
      <c r="AS184" s="312">
        <f>IFERROR(INDEX(Data!CO$9:CO$1273,MATCH($M184,Data!$K$9:$K$1273,0)),"")</f>
        <v/>
      </c>
      <c r="AT184" s="312">
        <f>IFERROR(INDEX(Data!CP$9:CP$1273,MATCH($M184,Data!$K$9:$K$1273,0)),"")</f>
        <v/>
      </c>
      <c r="AU184" s="312">
        <f>IFERROR(INDEX(Data!CQ$9:CQ$1273,MATCH($M184,Data!$K$9:$K$1273,0)),"")</f>
        <v/>
      </c>
      <c r="AV184" s="312">
        <f>IFERROR(INDEX(Data!CR$9:CR$1273,MATCH($M184,Data!$K$9:$K$1273,0)),"")</f>
        <v/>
      </c>
      <c r="AW184" s="312">
        <f>IFERROR(INDEX(Data!CS$9:CS$1273,MATCH($M184,Data!$K$9:$K$1273,0)),"")</f>
        <v/>
      </c>
      <c r="AX184" s="312">
        <f>IFERROR(INDEX(Data!CT$9:CT$1273,MATCH($M184,Data!$K$9:$K$1273,0)),"")</f>
        <v/>
      </c>
      <c r="AY184" s="312">
        <f>IFERROR(INDEX(Data!CU$9:CU$1273,MATCH($M184,Data!$K$9:$K$1273,0)),"")</f>
        <v/>
      </c>
      <c r="AZ184" s="312">
        <f>IFERROR(INDEX(Data!CV$9:CV$1273,MATCH($M184,Data!$K$9:$K$1273,0)),"")</f>
        <v/>
      </c>
      <c r="BA184" s="312">
        <f>IFERROR(INDEX(Data!CX$9:CX$1273,MATCH($M184,Data!$K$9:$K$1273,0)),"")</f>
        <v/>
      </c>
      <c r="BB184" s="312">
        <f>IFERROR(INDEX(Data!CY$9:CY$1273,MATCH($M184,Data!$K$9:$K$1273,0)),"")</f>
        <v/>
      </c>
      <c r="BC184" s="312">
        <f>IFERROR(INDEX(Data!CZ$9:CZ$1273,MATCH($M184,Data!$K$9:$K$1273,0)),"")</f>
        <v/>
      </c>
      <c r="BD184" s="312">
        <f>IFERROR(INDEX(Data!DA$9:DA$1273,MATCH($M184,Data!$K$9:$K$1273,0)),"")</f>
        <v/>
      </c>
      <c r="BE184" s="312">
        <f>IFERROR(INDEX(Data!DB$9:DB$1273,MATCH($M184,Data!$K$9:$K$1273,0)),"")</f>
        <v/>
      </c>
      <c r="BF184" s="312">
        <f>IFERROR(INDEX(Data!DC$9:DC$1273,MATCH($M184,Data!$K$9:$K$1273,0)),"")</f>
        <v/>
      </c>
      <c r="BG184" s="312">
        <f>IFERROR(INDEX(Data!DD$9:DD$1273,MATCH($M184,Data!$K$9:$K$1273,0)),"")</f>
        <v/>
      </c>
      <c r="BH184" s="312">
        <f>IFERROR(INDEX(Data!DE$9:DE$1273,MATCH($M184,Data!$K$9:$K$1273,0)),"")</f>
        <v/>
      </c>
      <c r="BI184" s="312">
        <f>IFERROR(INDEX(Data!DF$9:DF$1273,MATCH($M184,Data!$K$9:$K$1273,0)),"")</f>
        <v/>
      </c>
      <c r="BJ184" s="312">
        <f>IFERROR(INDEX(Data!DG$9:DG$1273,MATCH($M184,Data!$K$9:$K$1273,0)),"")</f>
        <v/>
      </c>
      <c r="BK184" s="312">
        <f>IFERROR(INDEX(Data!DH$9:DH$1273,MATCH($M184,Data!$K$9:$K$1273,0)),"")</f>
        <v/>
      </c>
      <c r="BL184" s="312">
        <f>IFERROR(INDEX(Data!DI$9:DI$1273,MATCH($M184,Data!$K$9:$K$1273,0)),"")</f>
        <v/>
      </c>
      <c r="BM184" s="312">
        <f>IFERROR(INDEX(Data!DJ$9:DJ$1273,MATCH($M184,Data!$K$9:$K$1273,0)),"")</f>
        <v/>
      </c>
      <c r="BN184" s="312">
        <f>IFERROR(INDEX(Data!DK$9:DK$1273,MATCH($M184,Data!$K$9:$K$1273,0)),"")</f>
        <v/>
      </c>
      <c r="BO184" s="312">
        <f>IFERROR(INDEX(Data!DL$9:DL$1273,MATCH($M184,Data!$K$9:$K$1273,0)),"")</f>
        <v/>
      </c>
      <c r="BP184" s="331">
        <f>IFERROR(IF(BK184=0,"-",BK184),"")</f>
        <v/>
      </c>
      <c r="BQ184" s="312">
        <f>IFERROR(IF(BP184-K184&gt;0,TRUE,FALSE)," ")</f>
        <v/>
      </c>
      <c r="BR184" s="312">
        <f>_xlfn.CONCAT(E184,F184,H184,G184)</f>
        <v/>
      </c>
      <c r="BS184" s="312">
        <f>IFERROR(INDEX(Data!$DO$9:$DO$1273,MATCH('Your recommendation'!BR184,Data!$DN$9:$DN$1273,0)),"")</f>
        <v/>
      </c>
    </row>
    <row r="185" ht="15.6" customFormat="1" customHeight="1" s="138">
      <c r="B185" s="309">
        <f>IF(C185&gt;0,B184+1,"")</f>
        <v/>
      </c>
      <c r="C185" s="310" t="n"/>
      <c r="D185" s="312">
        <f>IFERROR(INDEX(Data!BR$9:BR$1273,MATCH($M185,Data!$K$9:$K$1273,0)),"")</f>
        <v/>
      </c>
      <c r="E185" s="312">
        <f>IFERROR(INDEX(Data!BS$9:BS$1273,MATCH($M185,Data!$K$9:$K$1273,0)),"")</f>
        <v/>
      </c>
      <c r="F185" s="312">
        <f>IFERROR(INDEX(Data!DM$9:DM$1273,MATCH($M185,Data!$K$9:$K$1273,0)),"")</f>
        <v/>
      </c>
      <c r="G185" s="312">
        <f>IFERROR(INDEX(Data!BV$9:BV$1273,MATCH($M185,Data!$K$9:$K$1273,0)),"")</f>
        <v/>
      </c>
      <c r="H185" s="312">
        <f>IFERROR(INDEX(Data!BW$9:BW$1273,MATCH($M185,Data!$K$9:$K$1273,0)),"")</f>
        <v/>
      </c>
      <c r="I185" s="312">
        <f>IFERROR(INDEX(Data!BX$9:BX$1273,MATCH($M185,Data!$K$9:$K$1273,0)),"")</f>
        <v/>
      </c>
      <c r="J185" s="312">
        <f>IFERROR(INDEX(Data!CB$9:CB$1273,MATCH($M185,Data!$K$9:$K$1273,0)),"")</f>
        <v/>
      </c>
      <c r="K185" s="329">
        <f>IFERROR(HYPERLINK(BM185,BC185),"-")</f>
        <v/>
      </c>
      <c r="L185" s="330">
        <f>IFERROR(IF(BB185=0,"-",BB185)," ")</f>
        <v/>
      </c>
      <c r="M185" s="311" t="n"/>
      <c r="N185" s="311" t="n"/>
      <c r="O185" s="311">
        <f>IFERROR(INDEX(Data!M$9:M$1273,MATCH($M185,Data!$K$9:$K$1273,0)),"")</f>
        <v/>
      </c>
      <c r="P185" s="311">
        <f>IFERROR(INDEX(Data!N$9:N$1273,MATCH($M185,Data!$K$9:$K$1273,0)),"")</f>
        <v/>
      </c>
      <c r="Q185" s="311">
        <f>IFERROR(INDEX(Data!O$9:O$1273,MATCH($M185,Data!$K$9:$K$1273,0)),"")</f>
        <v/>
      </c>
      <c r="R185" s="311">
        <f>IFERROR(INDEX(Data!P$9:P$1273,MATCH($M185,Data!$K$9:$K$1273,0)),"")</f>
        <v/>
      </c>
      <c r="S185" s="311">
        <f>IFERROR(INDEX(Data!S$9:S$1273,MATCH($M185,Data!$K$9:$K$1273,0)),"")</f>
        <v/>
      </c>
      <c r="T185" s="311">
        <f>IFERROR(INDEX(Data!T$9:T$1273,MATCH($M185,Data!$K$9:$K$1273,0)),"")</f>
        <v/>
      </c>
      <c r="U185" s="311">
        <f>IFERROR(INDEX(Data!U$9:U$1273,MATCH($M185,Data!$K$9:$K$1273,0)),"")</f>
        <v/>
      </c>
      <c r="V185" s="311">
        <f>IFERROR(INDEX(Data!V$9:V$1273,MATCH($M185,Data!$K$9:$K$1273,0)),"")</f>
        <v/>
      </c>
      <c r="W185" s="311">
        <f>IFERROR(INDEX(Data!W$9:W$1273,MATCH($M185,Data!$K$9:$K$1273,0)),"")</f>
        <v/>
      </c>
      <c r="X185" s="311">
        <f>IFERROR(INDEX(Data!AJ$9:AJ$1273,MATCH($M185,Data!$K$9:$K$1273,0)),"")</f>
        <v/>
      </c>
      <c r="Y185" s="311">
        <f>IFERROR(INDEX(Data!AK$9:AK$1273,MATCH($M185,Data!$K$9:$K$1273,0)),"")</f>
        <v/>
      </c>
      <c r="Z185" s="311">
        <f>IFERROR(INDEX(Data!AL$9:AL$1273,MATCH($M185,Data!$K$9:$K$1273,0)),"")</f>
        <v/>
      </c>
      <c r="AA185" s="311">
        <f>IFERROR(INDEX(Data!AM$9:AM$1273,MATCH($M185,Data!$K$9:$K$1273,0)),"")</f>
        <v/>
      </c>
      <c r="AB185" s="311">
        <f>IFERROR(INDEX(Data!AN$9:AN$1273,MATCH($M185,Data!$K$9:$K$1273,0)),"")</f>
        <v/>
      </c>
      <c r="AC185" s="312">
        <f>IFERROR(INDEX(Data!BY$9:BY$1273,MATCH($M185,Data!$K$9:$K$1273,0)),"")</f>
        <v/>
      </c>
      <c r="AD185" s="312">
        <f>IFERROR(INDEX(Data!BZ$9:BZ$1273,MATCH($M185,Data!$K$9:$K$1273,0)),"")</f>
        <v/>
      </c>
      <c r="AE185" s="312">
        <f>IFERROR(INDEX(Data!CA$9:CA$1273,MATCH($M185,Data!$K$9:$K$1273,0)),"")</f>
        <v/>
      </c>
      <c r="AF185" s="312">
        <f>IFERROR(INDEX(Data!CB$9:CB$1273,MATCH($M185,Data!$K$9:$K$1273,0)),"")</f>
        <v/>
      </c>
      <c r="AG185" s="312">
        <f>IFERROR(INDEX(Data!CC$9:CC$1273,MATCH($M185,Data!$K$9:$K$1273,0)),"")</f>
        <v/>
      </c>
      <c r="AH185" s="312">
        <f>IFERROR(INDEX(Data!CD$9:CD$1273,MATCH($M185,Data!$K$9:$K$1273,0)),"")</f>
        <v/>
      </c>
      <c r="AI185" s="312">
        <f>IFERROR(INDEX(Data!CE$9:CE$1273,MATCH($M185,Data!$K$9:$K$1273,0)),"")</f>
        <v/>
      </c>
      <c r="AJ185" s="312">
        <f>IFERROR(INDEX(Data!CF$9:CF$1273,MATCH($M185,Data!$K$9:$K$1273,0)),"")</f>
        <v/>
      </c>
      <c r="AK185" s="312">
        <f>IFERROR(INDEX(Data!CG$9:CG$1273,MATCH($M185,Data!$K$9:$K$1273,0)),"")</f>
        <v/>
      </c>
      <c r="AL185" s="312">
        <f>IFERROR(INDEX(Data!CH$9:CH$1273,MATCH($M185,Data!$K$9:$K$1273,0)),"")</f>
        <v/>
      </c>
      <c r="AM185" s="312">
        <f>IFERROR(INDEX(Data!CI$9:CI$1273,MATCH($M185,Data!$K$9:$K$1273,0)),"")</f>
        <v/>
      </c>
      <c r="AN185" s="312">
        <f>IFERROR(INDEX(Data!CJ$9:CJ$1273,MATCH($M185,Data!$K$9:$K$1273,0)),"")</f>
        <v/>
      </c>
      <c r="AO185" s="312">
        <f>IFERROR(INDEX(Data!CK$9:CK$1273,MATCH($M185,Data!$K$9:$K$1273,0)),"")</f>
        <v/>
      </c>
      <c r="AP185" s="312">
        <f>IFERROR(INDEX(Data!CL$9:CL$1273,MATCH($M185,Data!$K$9:$K$1273,0)),"")</f>
        <v/>
      </c>
      <c r="AQ185" s="312">
        <f>IFERROR(INDEX(Data!CM$9:CM$1273,MATCH($M185,Data!$K$9:$K$1273,0)),"")</f>
        <v/>
      </c>
      <c r="AR185" s="312">
        <f>IFERROR(INDEX(Data!CN$9:CN$1273,MATCH($M185,Data!$K$9:$K$1273,0)),"")</f>
        <v/>
      </c>
      <c r="AS185" s="312">
        <f>IFERROR(INDEX(Data!CO$9:CO$1273,MATCH($M185,Data!$K$9:$K$1273,0)),"")</f>
        <v/>
      </c>
      <c r="AT185" s="312">
        <f>IFERROR(INDEX(Data!CP$9:CP$1273,MATCH($M185,Data!$K$9:$K$1273,0)),"")</f>
        <v/>
      </c>
      <c r="AU185" s="312">
        <f>IFERROR(INDEX(Data!CQ$9:CQ$1273,MATCH($M185,Data!$K$9:$K$1273,0)),"")</f>
        <v/>
      </c>
      <c r="AV185" s="312">
        <f>IFERROR(INDEX(Data!CR$9:CR$1273,MATCH($M185,Data!$K$9:$K$1273,0)),"")</f>
        <v/>
      </c>
      <c r="AW185" s="312">
        <f>IFERROR(INDEX(Data!CS$9:CS$1273,MATCH($M185,Data!$K$9:$K$1273,0)),"")</f>
        <v/>
      </c>
      <c r="AX185" s="312">
        <f>IFERROR(INDEX(Data!CT$9:CT$1273,MATCH($M185,Data!$K$9:$K$1273,0)),"")</f>
        <v/>
      </c>
      <c r="AY185" s="312">
        <f>IFERROR(INDEX(Data!CU$9:CU$1273,MATCH($M185,Data!$K$9:$K$1273,0)),"")</f>
        <v/>
      </c>
      <c r="AZ185" s="312">
        <f>IFERROR(INDEX(Data!CV$9:CV$1273,MATCH($M185,Data!$K$9:$K$1273,0)),"")</f>
        <v/>
      </c>
      <c r="BA185" s="312">
        <f>IFERROR(INDEX(Data!CX$9:CX$1273,MATCH($M185,Data!$K$9:$K$1273,0)),"")</f>
        <v/>
      </c>
      <c r="BB185" s="312">
        <f>IFERROR(INDEX(Data!CY$9:CY$1273,MATCH($M185,Data!$K$9:$K$1273,0)),"")</f>
        <v/>
      </c>
      <c r="BC185" s="312">
        <f>IFERROR(INDEX(Data!CZ$9:CZ$1273,MATCH($M185,Data!$K$9:$K$1273,0)),"")</f>
        <v/>
      </c>
      <c r="BD185" s="312">
        <f>IFERROR(INDEX(Data!DA$9:DA$1273,MATCH($M185,Data!$K$9:$K$1273,0)),"")</f>
        <v/>
      </c>
      <c r="BE185" s="312">
        <f>IFERROR(INDEX(Data!DB$9:DB$1273,MATCH($M185,Data!$K$9:$K$1273,0)),"")</f>
        <v/>
      </c>
      <c r="BF185" s="312">
        <f>IFERROR(INDEX(Data!DC$9:DC$1273,MATCH($M185,Data!$K$9:$K$1273,0)),"")</f>
        <v/>
      </c>
      <c r="BG185" s="312">
        <f>IFERROR(INDEX(Data!DD$9:DD$1273,MATCH($M185,Data!$K$9:$K$1273,0)),"")</f>
        <v/>
      </c>
      <c r="BH185" s="312">
        <f>IFERROR(INDEX(Data!DE$9:DE$1273,MATCH($M185,Data!$K$9:$K$1273,0)),"")</f>
        <v/>
      </c>
      <c r="BI185" s="312">
        <f>IFERROR(INDEX(Data!DF$9:DF$1273,MATCH($M185,Data!$K$9:$K$1273,0)),"")</f>
        <v/>
      </c>
      <c r="BJ185" s="312">
        <f>IFERROR(INDEX(Data!DG$9:DG$1273,MATCH($M185,Data!$K$9:$K$1273,0)),"")</f>
        <v/>
      </c>
      <c r="BK185" s="312">
        <f>IFERROR(INDEX(Data!DH$9:DH$1273,MATCH($M185,Data!$K$9:$K$1273,0)),"")</f>
        <v/>
      </c>
      <c r="BL185" s="312">
        <f>IFERROR(INDEX(Data!DI$9:DI$1273,MATCH($M185,Data!$K$9:$K$1273,0)),"")</f>
        <v/>
      </c>
      <c r="BM185" s="312">
        <f>IFERROR(INDEX(Data!DJ$9:DJ$1273,MATCH($M185,Data!$K$9:$K$1273,0)),"")</f>
        <v/>
      </c>
      <c r="BN185" s="312">
        <f>IFERROR(INDEX(Data!DK$9:DK$1273,MATCH($M185,Data!$K$9:$K$1273,0)),"")</f>
        <v/>
      </c>
      <c r="BO185" s="312">
        <f>IFERROR(INDEX(Data!DL$9:DL$1273,MATCH($M185,Data!$K$9:$K$1273,0)),"")</f>
        <v/>
      </c>
      <c r="BP185" s="331">
        <f>IFERROR(IF(BK185=0,"-",BK185),"")</f>
        <v/>
      </c>
      <c r="BQ185" s="312">
        <f>IFERROR(IF(BP185-K185&gt;0,TRUE,FALSE)," ")</f>
        <v/>
      </c>
      <c r="BR185" s="312">
        <f>_xlfn.CONCAT(E185,F185,H185,G185)</f>
        <v/>
      </c>
      <c r="BS185" s="312">
        <f>IFERROR(INDEX(Data!$DO$9:$DO$1273,MATCH('Your recommendation'!BR185,Data!$DN$9:$DN$1273,0)),"")</f>
        <v/>
      </c>
    </row>
    <row r="186" ht="15.6" customFormat="1" customHeight="1" s="138">
      <c r="B186" s="309">
        <f>IF(C186&gt;0,B185+1,"")</f>
        <v/>
      </c>
      <c r="C186" s="310" t="n"/>
      <c r="D186" s="312">
        <f>IFERROR(INDEX(Data!BR$9:BR$1273,MATCH($M186,Data!$K$9:$K$1273,0)),"")</f>
        <v/>
      </c>
      <c r="E186" s="312">
        <f>IFERROR(INDEX(Data!BS$9:BS$1273,MATCH($M186,Data!$K$9:$K$1273,0)),"")</f>
        <v/>
      </c>
      <c r="F186" s="312">
        <f>IFERROR(INDEX(Data!DM$9:DM$1273,MATCH($M186,Data!$K$9:$K$1273,0)),"")</f>
        <v/>
      </c>
      <c r="G186" s="312">
        <f>IFERROR(INDEX(Data!BV$9:BV$1273,MATCH($M186,Data!$K$9:$K$1273,0)),"")</f>
        <v/>
      </c>
      <c r="H186" s="312">
        <f>IFERROR(INDEX(Data!BW$9:BW$1273,MATCH($M186,Data!$K$9:$K$1273,0)),"")</f>
        <v/>
      </c>
      <c r="I186" s="312">
        <f>IFERROR(INDEX(Data!BX$9:BX$1273,MATCH($M186,Data!$K$9:$K$1273,0)),"")</f>
        <v/>
      </c>
      <c r="J186" s="312">
        <f>IFERROR(INDEX(Data!CB$9:CB$1273,MATCH($M186,Data!$K$9:$K$1273,0)),"")</f>
        <v/>
      </c>
      <c r="K186" s="329">
        <f>IFERROR(HYPERLINK(BM186,BC186),"-")</f>
        <v/>
      </c>
      <c r="L186" s="330">
        <f>IFERROR(IF(BB186=0,"-",BB186)," ")</f>
        <v/>
      </c>
      <c r="M186" s="311" t="n"/>
      <c r="N186" s="311" t="n"/>
      <c r="O186" s="311">
        <f>IFERROR(INDEX(Data!M$9:M$1273,MATCH($M186,Data!$K$9:$K$1273,0)),"")</f>
        <v/>
      </c>
      <c r="P186" s="311">
        <f>IFERROR(INDEX(Data!N$9:N$1273,MATCH($M186,Data!$K$9:$K$1273,0)),"")</f>
        <v/>
      </c>
      <c r="Q186" s="311">
        <f>IFERROR(INDEX(Data!O$9:O$1273,MATCH($M186,Data!$K$9:$K$1273,0)),"")</f>
        <v/>
      </c>
      <c r="R186" s="311">
        <f>IFERROR(INDEX(Data!P$9:P$1273,MATCH($M186,Data!$K$9:$K$1273,0)),"")</f>
        <v/>
      </c>
      <c r="S186" s="311">
        <f>IFERROR(INDEX(Data!S$9:S$1273,MATCH($M186,Data!$K$9:$K$1273,0)),"")</f>
        <v/>
      </c>
      <c r="T186" s="311">
        <f>IFERROR(INDEX(Data!T$9:T$1273,MATCH($M186,Data!$K$9:$K$1273,0)),"")</f>
        <v/>
      </c>
      <c r="U186" s="311">
        <f>IFERROR(INDEX(Data!U$9:U$1273,MATCH($M186,Data!$K$9:$K$1273,0)),"")</f>
        <v/>
      </c>
      <c r="V186" s="311">
        <f>IFERROR(INDEX(Data!V$9:V$1273,MATCH($M186,Data!$K$9:$K$1273,0)),"")</f>
        <v/>
      </c>
      <c r="W186" s="311">
        <f>IFERROR(INDEX(Data!W$9:W$1273,MATCH($M186,Data!$K$9:$K$1273,0)),"")</f>
        <v/>
      </c>
      <c r="X186" s="311">
        <f>IFERROR(INDEX(Data!AJ$9:AJ$1273,MATCH($M186,Data!$K$9:$K$1273,0)),"")</f>
        <v/>
      </c>
      <c r="Y186" s="311">
        <f>IFERROR(INDEX(Data!AK$9:AK$1273,MATCH($M186,Data!$K$9:$K$1273,0)),"")</f>
        <v/>
      </c>
      <c r="Z186" s="311">
        <f>IFERROR(INDEX(Data!AL$9:AL$1273,MATCH($M186,Data!$K$9:$K$1273,0)),"")</f>
        <v/>
      </c>
      <c r="AA186" s="311">
        <f>IFERROR(INDEX(Data!AM$9:AM$1273,MATCH($M186,Data!$K$9:$K$1273,0)),"")</f>
        <v/>
      </c>
      <c r="AB186" s="311">
        <f>IFERROR(INDEX(Data!AN$9:AN$1273,MATCH($M186,Data!$K$9:$K$1273,0)),"")</f>
        <v/>
      </c>
      <c r="AC186" s="312">
        <f>IFERROR(INDEX(Data!BY$9:BY$1273,MATCH($M186,Data!$K$9:$K$1273,0)),"")</f>
        <v/>
      </c>
      <c r="AD186" s="312">
        <f>IFERROR(INDEX(Data!BZ$9:BZ$1273,MATCH($M186,Data!$K$9:$K$1273,0)),"")</f>
        <v/>
      </c>
      <c r="AE186" s="312">
        <f>IFERROR(INDEX(Data!CA$9:CA$1273,MATCH($M186,Data!$K$9:$K$1273,0)),"")</f>
        <v/>
      </c>
      <c r="AF186" s="312">
        <f>IFERROR(INDEX(Data!CB$9:CB$1273,MATCH($M186,Data!$K$9:$K$1273,0)),"")</f>
        <v/>
      </c>
      <c r="AG186" s="312">
        <f>IFERROR(INDEX(Data!CC$9:CC$1273,MATCH($M186,Data!$K$9:$K$1273,0)),"")</f>
        <v/>
      </c>
      <c r="AH186" s="312">
        <f>IFERROR(INDEX(Data!CD$9:CD$1273,MATCH($M186,Data!$K$9:$K$1273,0)),"")</f>
        <v/>
      </c>
      <c r="AI186" s="312">
        <f>IFERROR(INDEX(Data!CE$9:CE$1273,MATCH($M186,Data!$K$9:$K$1273,0)),"")</f>
        <v/>
      </c>
      <c r="AJ186" s="312">
        <f>IFERROR(INDEX(Data!CF$9:CF$1273,MATCH($M186,Data!$K$9:$K$1273,0)),"")</f>
        <v/>
      </c>
      <c r="AK186" s="312">
        <f>IFERROR(INDEX(Data!CG$9:CG$1273,MATCH($M186,Data!$K$9:$K$1273,0)),"")</f>
        <v/>
      </c>
      <c r="AL186" s="312">
        <f>IFERROR(INDEX(Data!CH$9:CH$1273,MATCH($M186,Data!$K$9:$K$1273,0)),"")</f>
        <v/>
      </c>
      <c r="AM186" s="312">
        <f>IFERROR(INDEX(Data!CI$9:CI$1273,MATCH($M186,Data!$K$9:$K$1273,0)),"")</f>
        <v/>
      </c>
      <c r="AN186" s="312">
        <f>IFERROR(INDEX(Data!CJ$9:CJ$1273,MATCH($M186,Data!$K$9:$K$1273,0)),"")</f>
        <v/>
      </c>
      <c r="AO186" s="312">
        <f>IFERROR(INDEX(Data!CK$9:CK$1273,MATCH($M186,Data!$K$9:$K$1273,0)),"")</f>
        <v/>
      </c>
      <c r="AP186" s="312">
        <f>IFERROR(INDEX(Data!CL$9:CL$1273,MATCH($M186,Data!$K$9:$K$1273,0)),"")</f>
        <v/>
      </c>
      <c r="AQ186" s="312">
        <f>IFERROR(INDEX(Data!CM$9:CM$1273,MATCH($M186,Data!$K$9:$K$1273,0)),"")</f>
        <v/>
      </c>
      <c r="AR186" s="312">
        <f>IFERROR(INDEX(Data!CN$9:CN$1273,MATCH($M186,Data!$K$9:$K$1273,0)),"")</f>
        <v/>
      </c>
      <c r="AS186" s="312">
        <f>IFERROR(INDEX(Data!CO$9:CO$1273,MATCH($M186,Data!$K$9:$K$1273,0)),"")</f>
        <v/>
      </c>
      <c r="AT186" s="312">
        <f>IFERROR(INDEX(Data!CP$9:CP$1273,MATCH($M186,Data!$K$9:$K$1273,0)),"")</f>
        <v/>
      </c>
      <c r="AU186" s="312">
        <f>IFERROR(INDEX(Data!CQ$9:CQ$1273,MATCH($M186,Data!$K$9:$K$1273,0)),"")</f>
        <v/>
      </c>
      <c r="AV186" s="312">
        <f>IFERROR(INDEX(Data!CR$9:CR$1273,MATCH($M186,Data!$K$9:$K$1273,0)),"")</f>
        <v/>
      </c>
      <c r="AW186" s="312">
        <f>IFERROR(INDEX(Data!CS$9:CS$1273,MATCH($M186,Data!$K$9:$K$1273,0)),"")</f>
        <v/>
      </c>
      <c r="AX186" s="312">
        <f>IFERROR(INDEX(Data!CT$9:CT$1273,MATCH($M186,Data!$K$9:$K$1273,0)),"")</f>
        <v/>
      </c>
      <c r="AY186" s="312">
        <f>IFERROR(INDEX(Data!CU$9:CU$1273,MATCH($M186,Data!$K$9:$K$1273,0)),"")</f>
        <v/>
      </c>
      <c r="AZ186" s="312">
        <f>IFERROR(INDEX(Data!CV$9:CV$1273,MATCH($M186,Data!$K$9:$K$1273,0)),"")</f>
        <v/>
      </c>
      <c r="BA186" s="312">
        <f>IFERROR(INDEX(Data!CX$9:CX$1273,MATCH($M186,Data!$K$9:$K$1273,0)),"")</f>
        <v/>
      </c>
      <c r="BB186" s="312">
        <f>IFERROR(INDEX(Data!CY$9:CY$1273,MATCH($M186,Data!$K$9:$K$1273,0)),"")</f>
        <v/>
      </c>
      <c r="BC186" s="312">
        <f>IFERROR(INDEX(Data!CZ$9:CZ$1273,MATCH($M186,Data!$K$9:$K$1273,0)),"")</f>
        <v/>
      </c>
      <c r="BD186" s="312">
        <f>IFERROR(INDEX(Data!DA$9:DA$1273,MATCH($M186,Data!$K$9:$K$1273,0)),"")</f>
        <v/>
      </c>
      <c r="BE186" s="312">
        <f>IFERROR(INDEX(Data!DB$9:DB$1273,MATCH($M186,Data!$K$9:$K$1273,0)),"")</f>
        <v/>
      </c>
      <c r="BF186" s="312">
        <f>IFERROR(INDEX(Data!DC$9:DC$1273,MATCH($M186,Data!$K$9:$K$1273,0)),"")</f>
        <v/>
      </c>
      <c r="BG186" s="312">
        <f>IFERROR(INDEX(Data!DD$9:DD$1273,MATCH($M186,Data!$K$9:$K$1273,0)),"")</f>
        <v/>
      </c>
      <c r="BH186" s="312">
        <f>IFERROR(INDEX(Data!DE$9:DE$1273,MATCH($M186,Data!$K$9:$K$1273,0)),"")</f>
        <v/>
      </c>
      <c r="BI186" s="312">
        <f>IFERROR(INDEX(Data!DF$9:DF$1273,MATCH($M186,Data!$K$9:$K$1273,0)),"")</f>
        <v/>
      </c>
      <c r="BJ186" s="312">
        <f>IFERROR(INDEX(Data!DG$9:DG$1273,MATCH($M186,Data!$K$9:$K$1273,0)),"")</f>
        <v/>
      </c>
      <c r="BK186" s="312">
        <f>IFERROR(INDEX(Data!DH$9:DH$1273,MATCH($M186,Data!$K$9:$K$1273,0)),"")</f>
        <v/>
      </c>
      <c r="BL186" s="312">
        <f>IFERROR(INDEX(Data!DI$9:DI$1273,MATCH($M186,Data!$K$9:$K$1273,0)),"")</f>
        <v/>
      </c>
      <c r="BM186" s="312">
        <f>IFERROR(INDEX(Data!DJ$9:DJ$1273,MATCH($M186,Data!$K$9:$K$1273,0)),"")</f>
        <v/>
      </c>
      <c r="BN186" s="312">
        <f>IFERROR(INDEX(Data!DK$9:DK$1273,MATCH($M186,Data!$K$9:$K$1273,0)),"")</f>
        <v/>
      </c>
      <c r="BO186" s="312">
        <f>IFERROR(INDEX(Data!DL$9:DL$1273,MATCH($M186,Data!$K$9:$K$1273,0)),"")</f>
        <v/>
      </c>
      <c r="BP186" s="331">
        <f>IFERROR(IF(BK186=0,"-",BK186),"")</f>
        <v/>
      </c>
      <c r="BQ186" s="312">
        <f>IFERROR(IF(BP186-K186&gt;0,TRUE,FALSE)," ")</f>
        <v/>
      </c>
      <c r="BR186" s="312">
        <f>_xlfn.CONCAT(E186,F186,H186,G186)</f>
        <v/>
      </c>
      <c r="BS186" s="312">
        <f>IFERROR(INDEX(Data!$DO$9:$DO$1273,MATCH('Your recommendation'!BR186,Data!$DN$9:$DN$1273,0)),"")</f>
        <v/>
      </c>
    </row>
    <row r="187" ht="15.6" customFormat="1" customHeight="1" s="138">
      <c r="B187" s="309">
        <f>IF(C187&gt;0,B186+1,"")</f>
        <v/>
      </c>
      <c r="C187" s="310" t="n"/>
      <c r="D187" s="312">
        <f>IFERROR(INDEX(Data!BR$9:BR$1273,MATCH($M187,Data!$K$9:$K$1273,0)),"")</f>
        <v/>
      </c>
      <c r="E187" s="312">
        <f>IFERROR(INDEX(Data!BS$9:BS$1273,MATCH($M187,Data!$K$9:$K$1273,0)),"")</f>
        <v/>
      </c>
      <c r="F187" s="312">
        <f>IFERROR(INDEX(Data!DM$9:DM$1273,MATCH($M187,Data!$K$9:$K$1273,0)),"")</f>
        <v/>
      </c>
      <c r="G187" s="312">
        <f>IFERROR(INDEX(Data!BV$9:BV$1273,MATCH($M187,Data!$K$9:$K$1273,0)),"")</f>
        <v/>
      </c>
      <c r="H187" s="312">
        <f>IFERROR(INDEX(Data!BW$9:BW$1273,MATCH($M187,Data!$K$9:$K$1273,0)),"")</f>
        <v/>
      </c>
      <c r="I187" s="312">
        <f>IFERROR(INDEX(Data!BX$9:BX$1273,MATCH($M187,Data!$K$9:$K$1273,0)),"")</f>
        <v/>
      </c>
      <c r="J187" s="312">
        <f>IFERROR(INDEX(Data!CB$9:CB$1273,MATCH($M187,Data!$K$9:$K$1273,0)),"")</f>
        <v/>
      </c>
      <c r="K187" s="329">
        <f>IFERROR(HYPERLINK(BM187,BC187),"-")</f>
        <v/>
      </c>
      <c r="L187" s="330">
        <f>IFERROR(IF(BB187=0,"-",BB187)," ")</f>
        <v/>
      </c>
      <c r="M187" s="311" t="n"/>
      <c r="N187" s="311" t="n"/>
      <c r="O187" s="311">
        <f>IFERROR(INDEX(Data!M$9:M$1273,MATCH($M187,Data!$K$9:$K$1273,0)),"")</f>
        <v/>
      </c>
      <c r="P187" s="311">
        <f>IFERROR(INDEX(Data!N$9:N$1273,MATCH($M187,Data!$K$9:$K$1273,0)),"")</f>
        <v/>
      </c>
      <c r="Q187" s="311">
        <f>IFERROR(INDEX(Data!O$9:O$1273,MATCH($M187,Data!$K$9:$K$1273,0)),"")</f>
        <v/>
      </c>
      <c r="R187" s="311">
        <f>IFERROR(INDEX(Data!P$9:P$1273,MATCH($M187,Data!$K$9:$K$1273,0)),"")</f>
        <v/>
      </c>
      <c r="S187" s="311">
        <f>IFERROR(INDEX(Data!S$9:S$1273,MATCH($M187,Data!$K$9:$K$1273,0)),"")</f>
        <v/>
      </c>
      <c r="T187" s="311">
        <f>IFERROR(INDEX(Data!T$9:T$1273,MATCH($M187,Data!$K$9:$K$1273,0)),"")</f>
        <v/>
      </c>
      <c r="U187" s="311">
        <f>IFERROR(INDEX(Data!U$9:U$1273,MATCH($M187,Data!$K$9:$K$1273,0)),"")</f>
        <v/>
      </c>
      <c r="V187" s="311">
        <f>IFERROR(INDEX(Data!V$9:V$1273,MATCH($M187,Data!$K$9:$K$1273,0)),"")</f>
        <v/>
      </c>
      <c r="W187" s="311">
        <f>IFERROR(INDEX(Data!W$9:W$1273,MATCH($M187,Data!$K$9:$K$1273,0)),"")</f>
        <v/>
      </c>
      <c r="X187" s="311">
        <f>IFERROR(INDEX(Data!AJ$9:AJ$1273,MATCH($M187,Data!$K$9:$K$1273,0)),"")</f>
        <v/>
      </c>
      <c r="Y187" s="311">
        <f>IFERROR(INDEX(Data!AK$9:AK$1273,MATCH($M187,Data!$K$9:$K$1273,0)),"")</f>
        <v/>
      </c>
      <c r="Z187" s="311">
        <f>IFERROR(INDEX(Data!AL$9:AL$1273,MATCH($M187,Data!$K$9:$K$1273,0)),"")</f>
        <v/>
      </c>
      <c r="AA187" s="311">
        <f>IFERROR(INDEX(Data!AM$9:AM$1273,MATCH($M187,Data!$K$9:$K$1273,0)),"")</f>
        <v/>
      </c>
      <c r="AB187" s="311">
        <f>IFERROR(INDEX(Data!AN$9:AN$1273,MATCH($M187,Data!$K$9:$K$1273,0)),"")</f>
        <v/>
      </c>
      <c r="AC187" s="312">
        <f>IFERROR(INDEX(Data!BY$9:BY$1273,MATCH($M187,Data!$K$9:$K$1273,0)),"")</f>
        <v/>
      </c>
      <c r="AD187" s="312">
        <f>IFERROR(INDEX(Data!BZ$9:BZ$1273,MATCH($M187,Data!$K$9:$K$1273,0)),"")</f>
        <v/>
      </c>
      <c r="AE187" s="312">
        <f>IFERROR(INDEX(Data!CA$9:CA$1273,MATCH($M187,Data!$K$9:$K$1273,0)),"")</f>
        <v/>
      </c>
      <c r="AF187" s="312">
        <f>IFERROR(INDEX(Data!CB$9:CB$1273,MATCH($M187,Data!$K$9:$K$1273,0)),"")</f>
        <v/>
      </c>
      <c r="AG187" s="312">
        <f>IFERROR(INDEX(Data!CC$9:CC$1273,MATCH($M187,Data!$K$9:$K$1273,0)),"")</f>
        <v/>
      </c>
      <c r="AH187" s="312">
        <f>IFERROR(INDEX(Data!CD$9:CD$1273,MATCH($M187,Data!$K$9:$K$1273,0)),"")</f>
        <v/>
      </c>
      <c r="AI187" s="312">
        <f>IFERROR(INDEX(Data!CE$9:CE$1273,MATCH($M187,Data!$K$9:$K$1273,0)),"")</f>
        <v/>
      </c>
      <c r="AJ187" s="312">
        <f>IFERROR(INDEX(Data!CF$9:CF$1273,MATCH($M187,Data!$K$9:$K$1273,0)),"")</f>
        <v/>
      </c>
      <c r="AK187" s="312">
        <f>IFERROR(INDEX(Data!CG$9:CG$1273,MATCH($M187,Data!$K$9:$K$1273,0)),"")</f>
        <v/>
      </c>
      <c r="AL187" s="312">
        <f>IFERROR(INDEX(Data!CH$9:CH$1273,MATCH($M187,Data!$K$9:$K$1273,0)),"")</f>
        <v/>
      </c>
      <c r="AM187" s="312">
        <f>IFERROR(INDEX(Data!CI$9:CI$1273,MATCH($M187,Data!$K$9:$K$1273,0)),"")</f>
        <v/>
      </c>
      <c r="AN187" s="312">
        <f>IFERROR(INDEX(Data!CJ$9:CJ$1273,MATCH($M187,Data!$K$9:$K$1273,0)),"")</f>
        <v/>
      </c>
      <c r="AO187" s="312">
        <f>IFERROR(INDEX(Data!CK$9:CK$1273,MATCH($M187,Data!$K$9:$K$1273,0)),"")</f>
        <v/>
      </c>
      <c r="AP187" s="312">
        <f>IFERROR(INDEX(Data!CL$9:CL$1273,MATCH($M187,Data!$K$9:$K$1273,0)),"")</f>
        <v/>
      </c>
      <c r="AQ187" s="312">
        <f>IFERROR(INDEX(Data!CM$9:CM$1273,MATCH($M187,Data!$K$9:$K$1273,0)),"")</f>
        <v/>
      </c>
      <c r="AR187" s="312">
        <f>IFERROR(INDEX(Data!CN$9:CN$1273,MATCH($M187,Data!$K$9:$K$1273,0)),"")</f>
        <v/>
      </c>
      <c r="AS187" s="312">
        <f>IFERROR(INDEX(Data!CO$9:CO$1273,MATCH($M187,Data!$K$9:$K$1273,0)),"")</f>
        <v/>
      </c>
      <c r="AT187" s="312">
        <f>IFERROR(INDEX(Data!CP$9:CP$1273,MATCH($M187,Data!$K$9:$K$1273,0)),"")</f>
        <v/>
      </c>
      <c r="AU187" s="312">
        <f>IFERROR(INDEX(Data!CQ$9:CQ$1273,MATCH($M187,Data!$K$9:$K$1273,0)),"")</f>
        <v/>
      </c>
      <c r="AV187" s="312">
        <f>IFERROR(INDEX(Data!CR$9:CR$1273,MATCH($M187,Data!$K$9:$K$1273,0)),"")</f>
        <v/>
      </c>
      <c r="AW187" s="312">
        <f>IFERROR(INDEX(Data!CS$9:CS$1273,MATCH($M187,Data!$K$9:$K$1273,0)),"")</f>
        <v/>
      </c>
      <c r="AX187" s="312">
        <f>IFERROR(INDEX(Data!CT$9:CT$1273,MATCH($M187,Data!$K$9:$K$1273,0)),"")</f>
        <v/>
      </c>
      <c r="AY187" s="312">
        <f>IFERROR(INDEX(Data!CU$9:CU$1273,MATCH($M187,Data!$K$9:$K$1273,0)),"")</f>
        <v/>
      </c>
      <c r="AZ187" s="312">
        <f>IFERROR(INDEX(Data!CV$9:CV$1273,MATCH($M187,Data!$K$9:$K$1273,0)),"")</f>
        <v/>
      </c>
      <c r="BA187" s="312">
        <f>IFERROR(INDEX(Data!CX$9:CX$1273,MATCH($M187,Data!$K$9:$K$1273,0)),"")</f>
        <v/>
      </c>
      <c r="BB187" s="312">
        <f>IFERROR(INDEX(Data!CY$9:CY$1273,MATCH($M187,Data!$K$9:$K$1273,0)),"")</f>
        <v/>
      </c>
      <c r="BC187" s="312">
        <f>IFERROR(INDEX(Data!CZ$9:CZ$1273,MATCH($M187,Data!$K$9:$K$1273,0)),"")</f>
        <v/>
      </c>
      <c r="BD187" s="312">
        <f>IFERROR(INDEX(Data!DA$9:DA$1273,MATCH($M187,Data!$K$9:$K$1273,0)),"")</f>
        <v/>
      </c>
      <c r="BE187" s="312">
        <f>IFERROR(INDEX(Data!DB$9:DB$1273,MATCH($M187,Data!$K$9:$K$1273,0)),"")</f>
        <v/>
      </c>
      <c r="BF187" s="312">
        <f>IFERROR(INDEX(Data!DC$9:DC$1273,MATCH($M187,Data!$K$9:$K$1273,0)),"")</f>
        <v/>
      </c>
      <c r="BG187" s="312">
        <f>IFERROR(INDEX(Data!DD$9:DD$1273,MATCH($M187,Data!$K$9:$K$1273,0)),"")</f>
        <v/>
      </c>
      <c r="BH187" s="312">
        <f>IFERROR(INDEX(Data!DE$9:DE$1273,MATCH($M187,Data!$K$9:$K$1273,0)),"")</f>
        <v/>
      </c>
      <c r="BI187" s="312">
        <f>IFERROR(INDEX(Data!DF$9:DF$1273,MATCH($M187,Data!$K$9:$K$1273,0)),"")</f>
        <v/>
      </c>
      <c r="BJ187" s="312">
        <f>IFERROR(INDEX(Data!DG$9:DG$1273,MATCH($M187,Data!$K$9:$K$1273,0)),"")</f>
        <v/>
      </c>
      <c r="BK187" s="312">
        <f>IFERROR(INDEX(Data!DH$9:DH$1273,MATCH($M187,Data!$K$9:$K$1273,0)),"")</f>
        <v/>
      </c>
      <c r="BL187" s="312">
        <f>IFERROR(INDEX(Data!DI$9:DI$1273,MATCH($M187,Data!$K$9:$K$1273,0)),"")</f>
        <v/>
      </c>
      <c r="BM187" s="312">
        <f>IFERROR(INDEX(Data!DJ$9:DJ$1273,MATCH($M187,Data!$K$9:$K$1273,0)),"")</f>
        <v/>
      </c>
      <c r="BN187" s="312">
        <f>IFERROR(INDEX(Data!DK$9:DK$1273,MATCH($M187,Data!$K$9:$K$1273,0)),"")</f>
        <v/>
      </c>
      <c r="BO187" s="312">
        <f>IFERROR(INDEX(Data!DL$9:DL$1273,MATCH($M187,Data!$K$9:$K$1273,0)),"")</f>
        <v/>
      </c>
      <c r="BP187" s="331">
        <f>IFERROR(IF(BK187=0,"-",BK187),"")</f>
        <v/>
      </c>
      <c r="BQ187" s="312">
        <f>IFERROR(IF(BP187-K187&gt;0,TRUE,FALSE)," ")</f>
        <v/>
      </c>
      <c r="BR187" s="312">
        <f>_xlfn.CONCAT(E187,F187,H187,G187)</f>
        <v/>
      </c>
      <c r="BS187" s="312">
        <f>IFERROR(INDEX(Data!$DO$9:$DO$1273,MATCH('Your recommendation'!BR187,Data!$DN$9:$DN$1273,0)),"")</f>
        <v/>
      </c>
    </row>
    <row r="188" ht="15.6" customFormat="1" customHeight="1" s="138">
      <c r="B188" s="309">
        <f>IF(C188&gt;0,B187+1,"")</f>
        <v/>
      </c>
      <c r="C188" s="310" t="n"/>
      <c r="D188" s="312">
        <f>IFERROR(INDEX(Data!BR$9:BR$1273,MATCH($M188,Data!$K$9:$K$1273,0)),"")</f>
        <v/>
      </c>
      <c r="E188" s="312">
        <f>IFERROR(INDEX(Data!BS$9:BS$1273,MATCH($M188,Data!$K$9:$K$1273,0)),"")</f>
        <v/>
      </c>
      <c r="F188" s="312">
        <f>IFERROR(INDEX(Data!DM$9:DM$1273,MATCH($M188,Data!$K$9:$K$1273,0)),"")</f>
        <v/>
      </c>
      <c r="G188" s="312">
        <f>IFERROR(INDEX(Data!BV$9:BV$1273,MATCH($M188,Data!$K$9:$K$1273,0)),"")</f>
        <v/>
      </c>
      <c r="H188" s="312">
        <f>IFERROR(INDEX(Data!BW$9:BW$1273,MATCH($M188,Data!$K$9:$K$1273,0)),"")</f>
        <v/>
      </c>
      <c r="I188" s="312">
        <f>IFERROR(INDEX(Data!BX$9:BX$1273,MATCH($M188,Data!$K$9:$K$1273,0)),"")</f>
        <v/>
      </c>
      <c r="J188" s="312">
        <f>IFERROR(INDEX(Data!CB$9:CB$1273,MATCH($M188,Data!$K$9:$K$1273,0)),"")</f>
        <v/>
      </c>
      <c r="K188" s="329">
        <f>IFERROR(HYPERLINK(BM188,BC188),"-")</f>
        <v/>
      </c>
      <c r="L188" s="330">
        <f>IFERROR(IF(BB188=0,"-",BB188)," ")</f>
        <v/>
      </c>
      <c r="M188" s="311" t="n"/>
      <c r="N188" s="311" t="n"/>
      <c r="O188" s="311">
        <f>IFERROR(INDEX(Data!M$9:M$1273,MATCH($M188,Data!$K$9:$K$1273,0)),"")</f>
        <v/>
      </c>
      <c r="P188" s="311">
        <f>IFERROR(INDEX(Data!N$9:N$1273,MATCH($M188,Data!$K$9:$K$1273,0)),"")</f>
        <v/>
      </c>
      <c r="Q188" s="311">
        <f>IFERROR(INDEX(Data!O$9:O$1273,MATCH($M188,Data!$K$9:$K$1273,0)),"")</f>
        <v/>
      </c>
      <c r="R188" s="311">
        <f>IFERROR(INDEX(Data!P$9:P$1273,MATCH($M188,Data!$K$9:$K$1273,0)),"")</f>
        <v/>
      </c>
      <c r="S188" s="311">
        <f>IFERROR(INDEX(Data!S$9:S$1273,MATCH($M188,Data!$K$9:$K$1273,0)),"")</f>
        <v/>
      </c>
      <c r="T188" s="311">
        <f>IFERROR(INDEX(Data!T$9:T$1273,MATCH($M188,Data!$K$9:$K$1273,0)),"")</f>
        <v/>
      </c>
      <c r="U188" s="311">
        <f>IFERROR(INDEX(Data!U$9:U$1273,MATCH($M188,Data!$K$9:$K$1273,0)),"")</f>
        <v/>
      </c>
      <c r="V188" s="311">
        <f>IFERROR(INDEX(Data!V$9:V$1273,MATCH($M188,Data!$K$9:$K$1273,0)),"")</f>
        <v/>
      </c>
      <c r="W188" s="311">
        <f>IFERROR(INDEX(Data!W$9:W$1273,MATCH($M188,Data!$K$9:$K$1273,0)),"")</f>
        <v/>
      </c>
      <c r="X188" s="311">
        <f>IFERROR(INDEX(Data!AJ$9:AJ$1273,MATCH($M188,Data!$K$9:$K$1273,0)),"")</f>
        <v/>
      </c>
      <c r="Y188" s="311">
        <f>IFERROR(INDEX(Data!AK$9:AK$1273,MATCH($M188,Data!$K$9:$K$1273,0)),"")</f>
        <v/>
      </c>
      <c r="Z188" s="311">
        <f>IFERROR(INDEX(Data!AL$9:AL$1273,MATCH($M188,Data!$K$9:$K$1273,0)),"")</f>
        <v/>
      </c>
      <c r="AA188" s="311">
        <f>IFERROR(INDEX(Data!AM$9:AM$1273,MATCH($M188,Data!$K$9:$K$1273,0)),"")</f>
        <v/>
      </c>
      <c r="AB188" s="311">
        <f>IFERROR(INDEX(Data!AN$9:AN$1273,MATCH($M188,Data!$K$9:$K$1273,0)),"")</f>
        <v/>
      </c>
      <c r="AC188" s="312">
        <f>IFERROR(INDEX(Data!BY$9:BY$1273,MATCH($M188,Data!$K$9:$K$1273,0)),"")</f>
        <v/>
      </c>
      <c r="AD188" s="312">
        <f>IFERROR(INDEX(Data!BZ$9:BZ$1273,MATCH($M188,Data!$K$9:$K$1273,0)),"")</f>
        <v/>
      </c>
      <c r="AE188" s="312">
        <f>IFERROR(INDEX(Data!CA$9:CA$1273,MATCH($M188,Data!$K$9:$K$1273,0)),"")</f>
        <v/>
      </c>
      <c r="AF188" s="312">
        <f>IFERROR(INDEX(Data!CB$9:CB$1273,MATCH($M188,Data!$K$9:$K$1273,0)),"")</f>
        <v/>
      </c>
      <c r="AG188" s="312">
        <f>IFERROR(INDEX(Data!CC$9:CC$1273,MATCH($M188,Data!$K$9:$K$1273,0)),"")</f>
        <v/>
      </c>
      <c r="AH188" s="312">
        <f>IFERROR(INDEX(Data!CD$9:CD$1273,MATCH($M188,Data!$K$9:$K$1273,0)),"")</f>
        <v/>
      </c>
      <c r="AI188" s="312">
        <f>IFERROR(INDEX(Data!CE$9:CE$1273,MATCH($M188,Data!$K$9:$K$1273,0)),"")</f>
        <v/>
      </c>
      <c r="AJ188" s="312">
        <f>IFERROR(INDEX(Data!CF$9:CF$1273,MATCH($M188,Data!$K$9:$K$1273,0)),"")</f>
        <v/>
      </c>
      <c r="AK188" s="312">
        <f>IFERROR(INDEX(Data!CG$9:CG$1273,MATCH($M188,Data!$K$9:$K$1273,0)),"")</f>
        <v/>
      </c>
      <c r="AL188" s="312">
        <f>IFERROR(INDEX(Data!CH$9:CH$1273,MATCH($M188,Data!$K$9:$K$1273,0)),"")</f>
        <v/>
      </c>
      <c r="AM188" s="312">
        <f>IFERROR(INDEX(Data!CI$9:CI$1273,MATCH($M188,Data!$K$9:$K$1273,0)),"")</f>
        <v/>
      </c>
      <c r="AN188" s="312">
        <f>IFERROR(INDEX(Data!CJ$9:CJ$1273,MATCH($M188,Data!$K$9:$K$1273,0)),"")</f>
        <v/>
      </c>
      <c r="AO188" s="312">
        <f>IFERROR(INDEX(Data!CK$9:CK$1273,MATCH($M188,Data!$K$9:$K$1273,0)),"")</f>
        <v/>
      </c>
      <c r="AP188" s="312">
        <f>IFERROR(INDEX(Data!CL$9:CL$1273,MATCH($M188,Data!$K$9:$K$1273,0)),"")</f>
        <v/>
      </c>
      <c r="AQ188" s="312">
        <f>IFERROR(INDEX(Data!CM$9:CM$1273,MATCH($M188,Data!$K$9:$K$1273,0)),"")</f>
        <v/>
      </c>
      <c r="AR188" s="312">
        <f>IFERROR(INDEX(Data!CN$9:CN$1273,MATCH($M188,Data!$K$9:$K$1273,0)),"")</f>
        <v/>
      </c>
      <c r="AS188" s="312">
        <f>IFERROR(INDEX(Data!CO$9:CO$1273,MATCH($M188,Data!$K$9:$K$1273,0)),"")</f>
        <v/>
      </c>
      <c r="AT188" s="312">
        <f>IFERROR(INDEX(Data!CP$9:CP$1273,MATCH($M188,Data!$K$9:$K$1273,0)),"")</f>
        <v/>
      </c>
      <c r="AU188" s="312">
        <f>IFERROR(INDEX(Data!CQ$9:CQ$1273,MATCH($M188,Data!$K$9:$K$1273,0)),"")</f>
        <v/>
      </c>
      <c r="AV188" s="312">
        <f>IFERROR(INDEX(Data!CR$9:CR$1273,MATCH($M188,Data!$K$9:$K$1273,0)),"")</f>
        <v/>
      </c>
      <c r="AW188" s="312">
        <f>IFERROR(INDEX(Data!CS$9:CS$1273,MATCH($M188,Data!$K$9:$K$1273,0)),"")</f>
        <v/>
      </c>
      <c r="AX188" s="312">
        <f>IFERROR(INDEX(Data!CT$9:CT$1273,MATCH($M188,Data!$K$9:$K$1273,0)),"")</f>
        <v/>
      </c>
      <c r="AY188" s="312">
        <f>IFERROR(INDEX(Data!CU$9:CU$1273,MATCH($M188,Data!$K$9:$K$1273,0)),"")</f>
        <v/>
      </c>
      <c r="AZ188" s="312">
        <f>IFERROR(INDEX(Data!CV$9:CV$1273,MATCH($M188,Data!$K$9:$K$1273,0)),"")</f>
        <v/>
      </c>
      <c r="BA188" s="312">
        <f>IFERROR(INDEX(Data!CX$9:CX$1273,MATCH($M188,Data!$K$9:$K$1273,0)),"")</f>
        <v/>
      </c>
      <c r="BB188" s="312">
        <f>IFERROR(INDEX(Data!CY$9:CY$1273,MATCH($M188,Data!$K$9:$K$1273,0)),"")</f>
        <v/>
      </c>
      <c r="BC188" s="312">
        <f>IFERROR(INDEX(Data!CZ$9:CZ$1273,MATCH($M188,Data!$K$9:$K$1273,0)),"")</f>
        <v/>
      </c>
      <c r="BD188" s="312">
        <f>IFERROR(INDEX(Data!DA$9:DA$1273,MATCH($M188,Data!$K$9:$K$1273,0)),"")</f>
        <v/>
      </c>
      <c r="BE188" s="312">
        <f>IFERROR(INDEX(Data!DB$9:DB$1273,MATCH($M188,Data!$K$9:$K$1273,0)),"")</f>
        <v/>
      </c>
      <c r="BF188" s="312">
        <f>IFERROR(INDEX(Data!DC$9:DC$1273,MATCH($M188,Data!$K$9:$K$1273,0)),"")</f>
        <v/>
      </c>
      <c r="BG188" s="312">
        <f>IFERROR(INDEX(Data!DD$9:DD$1273,MATCH($M188,Data!$K$9:$K$1273,0)),"")</f>
        <v/>
      </c>
      <c r="BH188" s="312">
        <f>IFERROR(INDEX(Data!DE$9:DE$1273,MATCH($M188,Data!$K$9:$K$1273,0)),"")</f>
        <v/>
      </c>
      <c r="BI188" s="312">
        <f>IFERROR(INDEX(Data!DF$9:DF$1273,MATCH($M188,Data!$K$9:$K$1273,0)),"")</f>
        <v/>
      </c>
      <c r="BJ188" s="312">
        <f>IFERROR(INDEX(Data!DG$9:DG$1273,MATCH($M188,Data!$K$9:$K$1273,0)),"")</f>
        <v/>
      </c>
      <c r="BK188" s="312">
        <f>IFERROR(INDEX(Data!DH$9:DH$1273,MATCH($M188,Data!$K$9:$K$1273,0)),"")</f>
        <v/>
      </c>
      <c r="BL188" s="312">
        <f>IFERROR(INDEX(Data!DI$9:DI$1273,MATCH($M188,Data!$K$9:$K$1273,0)),"")</f>
        <v/>
      </c>
      <c r="BM188" s="312">
        <f>IFERROR(INDEX(Data!DJ$9:DJ$1273,MATCH($M188,Data!$K$9:$K$1273,0)),"")</f>
        <v/>
      </c>
      <c r="BN188" s="312">
        <f>IFERROR(INDEX(Data!DK$9:DK$1273,MATCH($M188,Data!$K$9:$K$1273,0)),"")</f>
        <v/>
      </c>
      <c r="BO188" s="312">
        <f>IFERROR(INDEX(Data!DL$9:DL$1273,MATCH($M188,Data!$K$9:$K$1273,0)),"")</f>
        <v/>
      </c>
      <c r="BP188" s="331">
        <f>IFERROR(IF(BK188=0,"-",BK188),"")</f>
        <v/>
      </c>
      <c r="BQ188" s="312">
        <f>IFERROR(IF(BP188-K188&gt;0,TRUE,FALSE)," ")</f>
        <v/>
      </c>
      <c r="BR188" s="312">
        <f>_xlfn.CONCAT(E188,F188,H188,G188)</f>
        <v/>
      </c>
      <c r="BS188" s="312">
        <f>IFERROR(INDEX(Data!$DO$9:$DO$1273,MATCH('Your recommendation'!BR188,Data!$DN$9:$DN$1273,0)),"")</f>
        <v/>
      </c>
    </row>
    <row r="189" ht="15.6" customFormat="1" customHeight="1" s="138">
      <c r="B189" s="309">
        <f>IF(C189&gt;0,B188+1,"")</f>
        <v/>
      </c>
      <c r="C189" s="310" t="n"/>
      <c r="D189" s="312">
        <f>IFERROR(INDEX(Data!BR$9:BR$1273,MATCH($M189,Data!$K$9:$K$1273,0)),"")</f>
        <v/>
      </c>
      <c r="E189" s="312">
        <f>IFERROR(INDEX(Data!BS$9:BS$1273,MATCH($M189,Data!$K$9:$K$1273,0)),"")</f>
        <v/>
      </c>
      <c r="F189" s="312">
        <f>IFERROR(INDEX(Data!DM$9:DM$1273,MATCH($M189,Data!$K$9:$K$1273,0)),"")</f>
        <v/>
      </c>
      <c r="G189" s="312">
        <f>IFERROR(INDEX(Data!BV$9:BV$1273,MATCH($M189,Data!$K$9:$K$1273,0)),"")</f>
        <v/>
      </c>
      <c r="H189" s="312">
        <f>IFERROR(INDEX(Data!BW$9:BW$1273,MATCH($M189,Data!$K$9:$K$1273,0)),"")</f>
        <v/>
      </c>
      <c r="I189" s="312">
        <f>IFERROR(INDEX(Data!BX$9:BX$1273,MATCH($M189,Data!$K$9:$K$1273,0)),"")</f>
        <v/>
      </c>
      <c r="J189" s="312">
        <f>IFERROR(INDEX(Data!CB$9:CB$1273,MATCH($M189,Data!$K$9:$K$1273,0)),"")</f>
        <v/>
      </c>
      <c r="K189" s="329">
        <f>IFERROR(HYPERLINK(BM189,BC189),"-")</f>
        <v/>
      </c>
      <c r="L189" s="330">
        <f>IFERROR(IF(BB189=0,"-",BB189)," ")</f>
        <v/>
      </c>
      <c r="M189" s="311" t="n"/>
      <c r="N189" s="311" t="n"/>
      <c r="O189" s="311">
        <f>IFERROR(INDEX(Data!M$9:M$1273,MATCH($M189,Data!$K$9:$K$1273,0)),"")</f>
        <v/>
      </c>
      <c r="P189" s="311">
        <f>IFERROR(INDEX(Data!N$9:N$1273,MATCH($M189,Data!$K$9:$K$1273,0)),"")</f>
        <v/>
      </c>
      <c r="Q189" s="311">
        <f>IFERROR(INDEX(Data!O$9:O$1273,MATCH($M189,Data!$K$9:$K$1273,0)),"")</f>
        <v/>
      </c>
      <c r="R189" s="311">
        <f>IFERROR(INDEX(Data!P$9:P$1273,MATCH($M189,Data!$K$9:$K$1273,0)),"")</f>
        <v/>
      </c>
      <c r="S189" s="311">
        <f>IFERROR(INDEX(Data!S$9:S$1273,MATCH($M189,Data!$K$9:$K$1273,0)),"")</f>
        <v/>
      </c>
      <c r="T189" s="311">
        <f>IFERROR(INDEX(Data!T$9:T$1273,MATCH($M189,Data!$K$9:$K$1273,0)),"")</f>
        <v/>
      </c>
      <c r="U189" s="311">
        <f>IFERROR(INDEX(Data!U$9:U$1273,MATCH($M189,Data!$K$9:$K$1273,0)),"")</f>
        <v/>
      </c>
      <c r="V189" s="311">
        <f>IFERROR(INDEX(Data!V$9:V$1273,MATCH($M189,Data!$K$9:$K$1273,0)),"")</f>
        <v/>
      </c>
      <c r="W189" s="311">
        <f>IFERROR(INDEX(Data!W$9:W$1273,MATCH($M189,Data!$K$9:$K$1273,0)),"")</f>
        <v/>
      </c>
      <c r="X189" s="311">
        <f>IFERROR(INDEX(Data!AJ$9:AJ$1273,MATCH($M189,Data!$K$9:$K$1273,0)),"")</f>
        <v/>
      </c>
      <c r="Y189" s="311">
        <f>IFERROR(INDEX(Data!AK$9:AK$1273,MATCH($M189,Data!$K$9:$K$1273,0)),"")</f>
        <v/>
      </c>
      <c r="Z189" s="311">
        <f>IFERROR(INDEX(Data!AL$9:AL$1273,MATCH($M189,Data!$K$9:$K$1273,0)),"")</f>
        <v/>
      </c>
      <c r="AA189" s="311">
        <f>IFERROR(INDEX(Data!AM$9:AM$1273,MATCH($M189,Data!$K$9:$K$1273,0)),"")</f>
        <v/>
      </c>
      <c r="AB189" s="311">
        <f>IFERROR(INDEX(Data!AN$9:AN$1273,MATCH($M189,Data!$K$9:$K$1273,0)),"")</f>
        <v/>
      </c>
      <c r="AC189" s="312">
        <f>IFERROR(INDEX(Data!BY$9:BY$1273,MATCH($M189,Data!$K$9:$K$1273,0)),"")</f>
        <v/>
      </c>
      <c r="AD189" s="312">
        <f>IFERROR(INDEX(Data!BZ$9:BZ$1273,MATCH($M189,Data!$K$9:$K$1273,0)),"")</f>
        <v/>
      </c>
      <c r="AE189" s="312">
        <f>IFERROR(INDEX(Data!CA$9:CA$1273,MATCH($M189,Data!$K$9:$K$1273,0)),"")</f>
        <v/>
      </c>
      <c r="AF189" s="312">
        <f>IFERROR(INDEX(Data!CB$9:CB$1273,MATCH($M189,Data!$K$9:$K$1273,0)),"")</f>
        <v/>
      </c>
      <c r="AG189" s="312">
        <f>IFERROR(INDEX(Data!CC$9:CC$1273,MATCH($M189,Data!$K$9:$K$1273,0)),"")</f>
        <v/>
      </c>
      <c r="AH189" s="312">
        <f>IFERROR(INDEX(Data!CD$9:CD$1273,MATCH($M189,Data!$K$9:$K$1273,0)),"")</f>
        <v/>
      </c>
      <c r="AI189" s="312">
        <f>IFERROR(INDEX(Data!CE$9:CE$1273,MATCH($M189,Data!$K$9:$K$1273,0)),"")</f>
        <v/>
      </c>
      <c r="AJ189" s="312">
        <f>IFERROR(INDEX(Data!CF$9:CF$1273,MATCH($M189,Data!$K$9:$K$1273,0)),"")</f>
        <v/>
      </c>
      <c r="AK189" s="312">
        <f>IFERROR(INDEX(Data!CG$9:CG$1273,MATCH($M189,Data!$K$9:$K$1273,0)),"")</f>
        <v/>
      </c>
      <c r="AL189" s="312">
        <f>IFERROR(INDEX(Data!CH$9:CH$1273,MATCH($M189,Data!$K$9:$K$1273,0)),"")</f>
        <v/>
      </c>
      <c r="AM189" s="312">
        <f>IFERROR(INDEX(Data!CI$9:CI$1273,MATCH($M189,Data!$K$9:$K$1273,0)),"")</f>
        <v/>
      </c>
      <c r="AN189" s="312">
        <f>IFERROR(INDEX(Data!CJ$9:CJ$1273,MATCH($M189,Data!$K$9:$K$1273,0)),"")</f>
        <v/>
      </c>
      <c r="AO189" s="312">
        <f>IFERROR(INDEX(Data!CK$9:CK$1273,MATCH($M189,Data!$K$9:$K$1273,0)),"")</f>
        <v/>
      </c>
      <c r="AP189" s="312">
        <f>IFERROR(INDEX(Data!CL$9:CL$1273,MATCH($M189,Data!$K$9:$K$1273,0)),"")</f>
        <v/>
      </c>
      <c r="AQ189" s="312">
        <f>IFERROR(INDEX(Data!CM$9:CM$1273,MATCH($M189,Data!$K$9:$K$1273,0)),"")</f>
        <v/>
      </c>
      <c r="AR189" s="312">
        <f>IFERROR(INDEX(Data!CN$9:CN$1273,MATCH($M189,Data!$K$9:$K$1273,0)),"")</f>
        <v/>
      </c>
      <c r="AS189" s="312">
        <f>IFERROR(INDEX(Data!CO$9:CO$1273,MATCH($M189,Data!$K$9:$K$1273,0)),"")</f>
        <v/>
      </c>
      <c r="AT189" s="312">
        <f>IFERROR(INDEX(Data!CP$9:CP$1273,MATCH($M189,Data!$K$9:$K$1273,0)),"")</f>
        <v/>
      </c>
      <c r="AU189" s="312">
        <f>IFERROR(INDEX(Data!CQ$9:CQ$1273,MATCH($M189,Data!$K$9:$K$1273,0)),"")</f>
        <v/>
      </c>
      <c r="AV189" s="312">
        <f>IFERROR(INDEX(Data!CR$9:CR$1273,MATCH($M189,Data!$K$9:$K$1273,0)),"")</f>
        <v/>
      </c>
      <c r="AW189" s="312">
        <f>IFERROR(INDEX(Data!CS$9:CS$1273,MATCH($M189,Data!$K$9:$K$1273,0)),"")</f>
        <v/>
      </c>
      <c r="AX189" s="312">
        <f>IFERROR(INDEX(Data!CT$9:CT$1273,MATCH($M189,Data!$K$9:$K$1273,0)),"")</f>
        <v/>
      </c>
      <c r="AY189" s="312">
        <f>IFERROR(INDEX(Data!CU$9:CU$1273,MATCH($M189,Data!$K$9:$K$1273,0)),"")</f>
        <v/>
      </c>
      <c r="AZ189" s="312">
        <f>IFERROR(INDEX(Data!CV$9:CV$1273,MATCH($M189,Data!$K$9:$K$1273,0)),"")</f>
        <v/>
      </c>
      <c r="BA189" s="312">
        <f>IFERROR(INDEX(Data!CX$9:CX$1273,MATCH($M189,Data!$K$9:$K$1273,0)),"")</f>
        <v/>
      </c>
      <c r="BB189" s="312">
        <f>IFERROR(INDEX(Data!CY$9:CY$1273,MATCH($M189,Data!$K$9:$K$1273,0)),"")</f>
        <v/>
      </c>
      <c r="BC189" s="312">
        <f>IFERROR(INDEX(Data!CZ$9:CZ$1273,MATCH($M189,Data!$K$9:$K$1273,0)),"")</f>
        <v/>
      </c>
      <c r="BD189" s="312">
        <f>IFERROR(INDEX(Data!DA$9:DA$1273,MATCH($M189,Data!$K$9:$K$1273,0)),"")</f>
        <v/>
      </c>
      <c r="BE189" s="312">
        <f>IFERROR(INDEX(Data!DB$9:DB$1273,MATCH($M189,Data!$K$9:$K$1273,0)),"")</f>
        <v/>
      </c>
      <c r="BF189" s="312">
        <f>IFERROR(INDEX(Data!DC$9:DC$1273,MATCH($M189,Data!$K$9:$K$1273,0)),"")</f>
        <v/>
      </c>
      <c r="BG189" s="312">
        <f>IFERROR(INDEX(Data!DD$9:DD$1273,MATCH($M189,Data!$K$9:$K$1273,0)),"")</f>
        <v/>
      </c>
      <c r="BH189" s="312">
        <f>IFERROR(INDEX(Data!DE$9:DE$1273,MATCH($M189,Data!$K$9:$K$1273,0)),"")</f>
        <v/>
      </c>
      <c r="BI189" s="312">
        <f>IFERROR(INDEX(Data!DF$9:DF$1273,MATCH($M189,Data!$K$9:$K$1273,0)),"")</f>
        <v/>
      </c>
      <c r="BJ189" s="312">
        <f>IFERROR(INDEX(Data!DG$9:DG$1273,MATCH($M189,Data!$K$9:$K$1273,0)),"")</f>
        <v/>
      </c>
      <c r="BK189" s="312">
        <f>IFERROR(INDEX(Data!DH$9:DH$1273,MATCH($M189,Data!$K$9:$K$1273,0)),"")</f>
        <v/>
      </c>
      <c r="BL189" s="312">
        <f>IFERROR(INDEX(Data!DI$9:DI$1273,MATCH($M189,Data!$K$9:$K$1273,0)),"")</f>
        <v/>
      </c>
      <c r="BM189" s="312">
        <f>IFERROR(INDEX(Data!DJ$9:DJ$1273,MATCH($M189,Data!$K$9:$K$1273,0)),"")</f>
        <v/>
      </c>
      <c r="BN189" s="312">
        <f>IFERROR(INDEX(Data!DK$9:DK$1273,MATCH($M189,Data!$K$9:$K$1273,0)),"")</f>
        <v/>
      </c>
      <c r="BO189" s="312">
        <f>IFERROR(INDEX(Data!DL$9:DL$1273,MATCH($M189,Data!$K$9:$K$1273,0)),"")</f>
        <v/>
      </c>
      <c r="BP189" s="331">
        <f>IFERROR(IF(BK189=0,"-",BK189),"")</f>
        <v/>
      </c>
      <c r="BQ189" s="312">
        <f>IFERROR(IF(BP189-K189&gt;0,TRUE,FALSE)," ")</f>
        <v/>
      </c>
      <c r="BR189" s="312">
        <f>_xlfn.CONCAT(E189,F189,H189,G189)</f>
        <v/>
      </c>
      <c r="BS189" s="312">
        <f>IFERROR(INDEX(Data!$DO$9:$DO$1273,MATCH('Your recommendation'!BR189,Data!$DN$9:$DN$1273,0)),"")</f>
        <v/>
      </c>
    </row>
    <row r="190" ht="15.6" customFormat="1" customHeight="1" s="138">
      <c r="B190" s="309">
        <f>IF(C190&gt;0,B189+1,"")</f>
        <v/>
      </c>
      <c r="C190" s="310" t="n"/>
      <c r="D190" s="312">
        <f>IFERROR(INDEX(Data!BR$9:BR$1273,MATCH($M190,Data!$K$9:$K$1273,0)),"")</f>
        <v/>
      </c>
      <c r="E190" s="312">
        <f>IFERROR(INDEX(Data!BS$9:BS$1273,MATCH($M190,Data!$K$9:$K$1273,0)),"")</f>
        <v/>
      </c>
      <c r="F190" s="312">
        <f>IFERROR(INDEX(Data!DM$9:DM$1273,MATCH($M190,Data!$K$9:$K$1273,0)),"")</f>
        <v/>
      </c>
      <c r="G190" s="312">
        <f>IFERROR(INDEX(Data!BV$9:BV$1273,MATCH($M190,Data!$K$9:$K$1273,0)),"")</f>
        <v/>
      </c>
      <c r="H190" s="312">
        <f>IFERROR(INDEX(Data!BW$9:BW$1273,MATCH($M190,Data!$K$9:$K$1273,0)),"")</f>
        <v/>
      </c>
      <c r="I190" s="312">
        <f>IFERROR(INDEX(Data!BX$9:BX$1273,MATCH($M190,Data!$K$9:$K$1273,0)),"")</f>
        <v/>
      </c>
      <c r="J190" s="312">
        <f>IFERROR(INDEX(Data!CB$9:CB$1273,MATCH($M190,Data!$K$9:$K$1273,0)),"")</f>
        <v/>
      </c>
      <c r="K190" s="329">
        <f>IFERROR(HYPERLINK(BM190,BC190),"-")</f>
        <v/>
      </c>
      <c r="L190" s="330">
        <f>IFERROR(IF(BB190=0,"-",BB190)," ")</f>
        <v/>
      </c>
      <c r="M190" s="311" t="n"/>
      <c r="N190" s="311" t="n"/>
      <c r="O190" s="311">
        <f>IFERROR(INDEX(Data!M$9:M$1273,MATCH($M190,Data!$K$9:$K$1273,0)),"")</f>
        <v/>
      </c>
      <c r="P190" s="311">
        <f>IFERROR(INDEX(Data!N$9:N$1273,MATCH($M190,Data!$K$9:$K$1273,0)),"")</f>
        <v/>
      </c>
      <c r="Q190" s="311">
        <f>IFERROR(INDEX(Data!O$9:O$1273,MATCH($M190,Data!$K$9:$K$1273,0)),"")</f>
        <v/>
      </c>
      <c r="R190" s="311">
        <f>IFERROR(INDEX(Data!P$9:P$1273,MATCH($M190,Data!$K$9:$K$1273,0)),"")</f>
        <v/>
      </c>
      <c r="S190" s="311">
        <f>IFERROR(INDEX(Data!S$9:S$1273,MATCH($M190,Data!$K$9:$K$1273,0)),"")</f>
        <v/>
      </c>
      <c r="T190" s="311">
        <f>IFERROR(INDEX(Data!T$9:T$1273,MATCH($M190,Data!$K$9:$K$1273,0)),"")</f>
        <v/>
      </c>
      <c r="U190" s="311">
        <f>IFERROR(INDEX(Data!U$9:U$1273,MATCH($M190,Data!$K$9:$K$1273,0)),"")</f>
        <v/>
      </c>
      <c r="V190" s="311">
        <f>IFERROR(INDEX(Data!V$9:V$1273,MATCH($M190,Data!$K$9:$K$1273,0)),"")</f>
        <v/>
      </c>
      <c r="W190" s="311">
        <f>IFERROR(INDEX(Data!W$9:W$1273,MATCH($M190,Data!$K$9:$K$1273,0)),"")</f>
        <v/>
      </c>
      <c r="X190" s="311">
        <f>IFERROR(INDEX(Data!AJ$9:AJ$1273,MATCH($M190,Data!$K$9:$K$1273,0)),"")</f>
        <v/>
      </c>
      <c r="Y190" s="311">
        <f>IFERROR(INDEX(Data!AK$9:AK$1273,MATCH($M190,Data!$K$9:$K$1273,0)),"")</f>
        <v/>
      </c>
      <c r="Z190" s="311">
        <f>IFERROR(INDEX(Data!AL$9:AL$1273,MATCH($M190,Data!$K$9:$K$1273,0)),"")</f>
        <v/>
      </c>
      <c r="AA190" s="311">
        <f>IFERROR(INDEX(Data!AM$9:AM$1273,MATCH($M190,Data!$K$9:$K$1273,0)),"")</f>
        <v/>
      </c>
      <c r="AB190" s="311">
        <f>IFERROR(INDEX(Data!AN$9:AN$1273,MATCH($M190,Data!$K$9:$K$1273,0)),"")</f>
        <v/>
      </c>
      <c r="AC190" s="312">
        <f>IFERROR(INDEX(Data!BY$9:BY$1273,MATCH($M190,Data!$K$9:$K$1273,0)),"")</f>
        <v/>
      </c>
      <c r="AD190" s="312">
        <f>IFERROR(INDEX(Data!BZ$9:BZ$1273,MATCH($M190,Data!$K$9:$K$1273,0)),"")</f>
        <v/>
      </c>
      <c r="AE190" s="312">
        <f>IFERROR(INDEX(Data!CA$9:CA$1273,MATCH($M190,Data!$K$9:$K$1273,0)),"")</f>
        <v/>
      </c>
      <c r="AF190" s="312">
        <f>IFERROR(INDEX(Data!CB$9:CB$1273,MATCH($M190,Data!$K$9:$K$1273,0)),"")</f>
        <v/>
      </c>
      <c r="AG190" s="312">
        <f>IFERROR(INDEX(Data!CC$9:CC$1273,MATCH($M190,Data!$K$9:$K$1273,0)),"")</f>
        <v/>
      </c>
      <c r="AH190" s="312">
        <f>IFERROR(INDEX(Data!CD$9:CD$1273,MATCH($M190,Data!$K$9:$K$1273,0)),"")</f>
        <v/>
      </c>
      <c r="AI190" s="312">
        <f>IFERROR(INDEX(Data!CE$9:CE$1273,MATCH($M190,Data!$K$9:$K$1273,0)),"")</f>
        <v/>
      </c>
      <c r="AJ190" s="312">
        <f>IFERROR(INDEX(Data!CF$9:CF$1273,MATCH($M190,Data!$K$9:$K$1273,0)),"")</f>
        <v/>
      </c>
      <c r="AK190" s="312">
        <f>IFERROR(INDEX(Data!CG$9:CG$1273,MATCH($M190,Data!$K$9:$K$1273,0)),"")</f>
        <v/>
      </c>
      <c r="AL190" s="312">
        <f>IFERROR(INDEX(Data!CH$9:CH$1273,MATCH($M190,Data!$K$9:$K$1273,0)),"")</f>
        <v/>
      </c>
      <c r="AM190" s="312">
        <f>IFERROR(INDEX(Data!CI$9:CI$1273,MATCH($M190,Data!$K$9:$K$1273,0)),"")</f>
        <v/>
      </c>
      <c r="AN190" s="312">
        <f>IFERROR(INDEX(Data!CJ$9:CJ$1273,MATCH($M190,Data!$K$9:$K$1273,0)),"")</f>
        <v/>
      </c>
      <c r="AO190" s="312">
        <f>IFERROR(INDEX(Data!CK$9:CK$1273,MATCH($M190,Data!$K$9:$K$1273,0)),"")</f>
        <v/>
      </c>
      <c r="AP190" s="312">
        <f>IFERROR(INDEX(Data!CL$9:CL$1273,MATCH($M190,Data!$K$9:$K$1273,0)),"")</f>
        <v/>
      </c>
      <c r="AQ190" s="312">
        <f>IFERROR(INDEX(Data!CM$9:CM$1273,MATCH($M190,Data!$K$9:$K$1273,0)),"")</f>
        <v/>
      </c>
      <c r="AR190" s="312">
        <f>IFERROR(INDEX(Data!CN$9:CN$1273,MATCH($M190,Data!$K$9:$K$1273,0)),"")</f>
        <v/>
      </c>
      <c r="AS190" s="312">
        <f>IFERROR(INDEX(Data!CO$9:CO$1273,MATCH($M190,Data!$K$9:$K$1273,0)),"")</f>
        <v/>
      </c>
      <c r="AT190" s="312">
        <f>IFERROR(INDEX(Data!CP$9:CP$1273,MATCH($M190,Data!$K$9:$K$1273,0)),"")</f>
        <v/>
      </c>
      <c r="AU190" s="312">
        <f>IFERROR(INDEX(Data!CQ$9:CQ$1273,MATCH($M190,Data!$K$9:$K$1273,0)),"")</f>
        <v/>
      </c>
      <c r="AV190" s="312">
        <f>IFERROR(INDEX(Data!CR$9:CR$1273,MATCH($M190,Data!$K$9:$K$1273,0)),"")</f>
        <v/>
      </c>
      <c r="AW190" s="312">
        <f>IFERROR(INDEX(Data!CS$9:CS$1273,MATCH($M190,Data!$K$9:$K$1273,0)),"")</f>
        <v/>
      </c>
      <c r="AX190" s="312">
        <f>IFERROR(INDEX(Data!CT$9:CT$1273,MATCH($M190,Data!$K$9:$K$1273,0)),"")</f>
        <v/>
      </c>
      <c r="AY190" s="312">
        <f>IFERROR(INDEX(Data!CU$9:CU$1273,MATCH($M190,Data!$K$9:$K$1273,0)),"")</f>
        <v/>
      </c>
      <c r="AZ190" s="312">
        <f>IFERROR(INDEX(Data!CV$9:CV$1273,MATCH($M190,Data!$K$9:$K$1273,0)),"")</f>
        <v/>
      </c>
      <c r="BA190" s="312">
        <f>IFERROR(INDEX(Data!CX$9:CX$1273,MATCH($M190,Data!$K$9:$K$1273,0)),"")</f>
        <v/>
      </c>
      <c r="BB190" s="312">
        <f>IFERROR(INDEX(Data!CY$9:CY$1273,MATCH($M190,Data!$K$9:$K$1273,0)),"")</f>
        <v/>
      </c>
      <c r="BC190" s="312">
        <f>IFERROR(INDEX(Data!CZ$9:CZ$1273,MATCH($M190,Data!$K$9:$K$1273,0)),"")</f>
        <v/>
      </c>
      <c r="BD190" s="312">
        <f>IFERROR(INDEX(Data!DA$9:DA$1273,MATCH($M190,Data!$K$9:$K$1273,0)),"")</f>
        <v/>
      </c>
      <c r="BE190" s="312">
        <f>IFERROR(INDEX(Data!DB$9:DB$1273,MATCH($M190,Data!$K$9:$K$1273,0)),"")</f>
        <v/>
      </c>
      <c r="BF190" s="312">
        <f>IFERROR(INDEX(Data!DC$9:DC$1273,MATCH($M190,Data!$K$9:$K$1273,0)),"")</f>
        <v/>
      </c>
      <c r="BG190" s="312">
        <f>IFERROR(INDEX(Data!DD$9:DD$1273,MATCH($M190,Data!$K$9:$K$1273,0)),"")</f>
        <v/>
      </c>
      <c r="BH190" s="312">
        <f>IFERROR(INDEX(Data!DE$9:DE$1273,MATCH($M190,Data!$K$9:$K$1273,0)),"")</f>
        <v/>
      </c>
      <c r="BI190" s="312">
        <f>IFERROR(INDEX(Data!DF$9:DF$1273,MATCH($M190,Data!$K$9:$K$1273,0)),"")</f>
        <v/>
      </c>
      <c r="BJ190" s="312">
        <f>IFERROR(INDEX(Data!DG$9:DG$1273,MATCH($M190,Data!$K$9:$K$1273,0)),"")</f>
        <v/>
      </c>
      <c r="BK190" s="312">
        <f>IFERROR(INDEX(Data!DH$9:DH$1273,MATCH($M190,Data!$K$9:$K$1273,0)),"")</f>
        <v/>
      </c>
      <c r="BL190" s="312">
        <f>IFERROR(INDEX(Data!DI$9:DI$1273,MATCH($M190,Data!$K$9:$K$1273,0)),"")</f>
        <v/>
      </c>
      <c r="BM190" s="312">
        <f>IFERROR(INDEX(Data!DJ$9:DJ$1273,MATCH($M190,Data!$K$9:$K$1273,0)),"")</f>
        <v/>
      </c>
      <c r="BN190" s="312">
        <f>IFERROR(INDEX(Data!DK$9:DK$1273,MATCH($M190,Data!$K$9:$K$1273,0)),"")</f>
        <v/>
      </c>
      <c r="BO190" s="312">
        <f>IFERROR(INDEX(Data!DL$9:DL$1273,MATCH($M190,Data!$K$9:$K$1273,0)),"")</f>
        <v/>
      </c>
      <c r="BP190" s="331">
        <f>IFERROR(IF(BK190=0,"-",BK190),"")</f>
        <v/>
      </c>
      <c r="BQ190" s="312">
        <f>IFERROR(IF(BP190-K190&gt;0,TRUE,FALSE)," ")</f>
        <v/>
      </c>
      <c r="BR190" s="312">
        <f>_xlfn.CONCAT(E190,F190,H190,G190)</f>
        <v/>
      </c>
      <c r="BS190" s="312">
        <f>IFERROR(INDEX(Data!$DO$9:$DO$1273,MATCH('Your recommendation'!BR190,Data!$DN$9:$DN$1273,0)),"")</f>
        <v/>
      </c>
    </row>
    <row r="191" ht="15.6" customFormat="1" customHeight="1" s="138">
      <c r="B191" s="309">
        <f>IF(C191&gt;0,B190+1,"")</f>
        <v/>
      </c>
      <c r="C191" s="310" t="n"/>
      <c r="D191" s="312">
        <f>IFERROR(INDEX(Data!BR$9:BR$1273,MATCH($M191,Data!$K$9:$K$1273,0)),"")</f>
        <v/>
      </c>
      <c r="E191" s="312">
        <f>IFERROR(INDEX(Data!BS$9:BS$1273,MATCH($M191,Data!$K$9:$K$1273,0)),"")</f>
        <v/>
      </c>
      <c r="F191" s="312">
        <f>IFERROR(INDEX(Data!DM$9:DM$1273,MATCH($M191,Data!$K$9:$K$1273,0)),"")</f>
        <v/>
      </c>
      <c r="G191" s="312">
        <f>IFERROR(INDEX(Data!BV$9:BV$1273,MATCH($M191,Data!$K$9:$K$1273,0)),"")</f>
        <v/>
      </c>
      <c r="H191" s="312">
        <f>IFERROR(INDEX(Data!BW$9:BW$1273,MATCH($M191,Data!$K$9:$K$1273,0)),"")</f>
        <v/>
      </c>
      <c r="I191" s="312">
        <f>IFERROR(INDEX(Data!BX$9:BX$1273,MATCH($M191,Data!$K$9:$K$1273,0)),"")</f>
        <v/>
      </c>
      <c r="J191" s="312">
        <f>IFERROR(INDEX(Data!CB$9:CB$1273,MATCH($M191,Data!$K$9:$K$1273,0)),"")</f>
        <v/>
      </c>
      <c r="K191" s="329">
        <f>IFERROR(HYPERLINK(BM191,BC191),"-")</f>
        <v/>
      </c>
      <c r="L191" s="330">
        <f>IFERROR(IF(BB191=0,"-",BB191)," ")</f>
        <v/>
      </c>
      <c r="M191" s="311" t="n"/>
      <c r="N191" s="311" t="n"/>
      <c r="O191" s="311">
        <f>IFERROR(INDEX(Data!M$9:M$1273,MATCH($M191,Data!$K$9:$K$1273,0)),"")</f>
        <v/>
      </c>
      <c r="P191" s="311">
        <f>IFERROR(INDEX(Data!N$9:N$1273,MATCH($M191,Data!$K$9:$K$1273,0)),"")</f>
        <v/>
      </c>
      <c r="Q191" s="311">
        <f>IFERROR(INDEX(Data!O$9:O$1273,MATCH($M191,Data!$K$9:$K$1273,0)),"")</f>
        <v/>
      </c>
      <c r="R191" s="311">
        <f>IFERROR(INDEX(Data!P$9:P$1273,MATCH($M191,Data!$K$9:$K$1273,0)),"")</f>
        <v/>
      </c>
      <c r="S191" s="311">
        <f>IFERROR(INDEX(Data!S$9:S$1273,MATCH($M191,Data!$K$9:$K$1273,0)),"")</f>
        <v/>
      </c>
      <c r="T191" s="311">
        <f>IFERROR(INDEX(Data!T$9:T$1273,MATCH($M191,Data!$K$9:$K$1273,0)),"")</f>
        <v/>
      </c>
      <c r="U191" s="311">
        <f>IFERROR(INDEX(Data!U$9:U$1273,MATCH($M191,Data!$K$9:$K$1273,0)),"")</f>
        <v/>
      </c>
      <c r="V191" s="311">
        <f>IFERROR(INDEX(Data!V$9:V$1273,MATCH($M191,Data!$K$9:$K$1273,0)),"")</f>
        <v/>
      </c>
      <c r="W191" s="311">
        <f>IFERROR(INDEX(Data!W$9:W$1273,MATCH($M191,Data!$K$9:$K$1273,0)),"")</f>
        <v/>
      </c>
      <c r="X191" s="311">
        <f>IFERROR(INDEX(Data!AJ$9:AJ$1273,MATCH($M191,Data!$K$9:$K$1273,0)),"")</f>
        <v/>
      </c>
      <c r="Y191" s="311">
        <f>IFERROR(INDEX(Data!AK$9:AK$1273,MATCH($M191,Data!$K$9:$K$1273,0)),"")</f>
        <v/>
      </c>
      <c r="Z191" s="311">
        <f>IFERROR(INDEX(Data!AL$9:AL$1273,MATCH($M191,Data!$K$9:$K$1273,0)),"")</f>
        <v/>
      </c>
      <c r="AA191" s="311">
        <f>IFERROR(INDEX(Data!AM$9:AM$1273,MATCH($M191,Data!$K$9:$K$1273,0)),"")</f>
        <v/>
      </c>
      <c r="AB191" s="311">
        <f>IFERROR(INDEX(Data!AN$9:AN$1273,MATCH($M191,Data!$K$9:$K$1273,0)),"")</f>
        <v/>
      </c>
      <c r="AC191" s="312">
        <f>IFERROR(INDEX(Data!BY$9:BY$1273,MATCH($M191,Data!$K$9:$K$1273,0)),"")</f>
        <v/>
      </c>
      <c r="AD191" s="312">
        <f>IFERROR(INDEX(Data!BZ$9:BZ$1273,MATCH($M191,Data!$K$9:$K$1273,0)),"")</f>
        <v/>
      </c>
      <c r="AE191" s="312">
        <f>IFERROR(INDEX(Data!CA$9:CA$1273,MATCH($M191,Data!$K$9:$K$1273,0)),"")</f>
        <v/>
      </c>
      <c r="AF191" s="312">
        <f>IFERROR(INDEX(Data!CB$9:CB$1273,MATCH($M191,Data!$K$9:$K$1273,0)),"")</f>
        <v/>
      </c>
      <c r="AG191" s="312">
        <f>IFERROR(INDEX(Data!CC$9:CC$1273,MATCH($M191,Data!$K$9:$K$1273,0)),"")</f>
        <v/>
      </c>
      <c r="AH191" s="312">
        <f>IFERROR(INDEX(Data!CD$9:CD$1273,MATCH($M191,Data!$K$9:$K$1273,0)),"")</f>
        <v/>
      </c>
      <c r="AI191" s="312">
        <f>IFERROR(INDEX(Data!CE$9:CE$1273,MATCH($M191,Data!$K$9:$K$1273,0)),"")</f>
        <v/>
      </c>
      <c r="AJ191" s="312">
        <f>IFERROR(INDEX(Data!CF$9:CF$1273,MATCH($M191,Data!$K$9:$K$1273,0)),"")</f>
        <v/>
      </c>
      <c r="AK191" s="312">
        <f>IFERROR(INDEX(Data!CG$9:CG$1273,MATCH($M191,Data!$K$9:$K$1273,0)),"")</f>
        <v/>
      </c>
      <c r="AL191" s="312">
        <f>IFERROR(INDEX(Data!CH$9:CH$1273,MATCH($M191,Data!$K$9:$K$1273,0)),"")</f>
        <v/>
      </c>
      <c r="AM191" s="312">
        <f>IFERROR(INDEX(Data!CI$9:CI$1273,MATCH($M191,Data!$K$9:$K$1273,0)),"")</f>
        <v/>
      </c>
      <c r="AN191" s="312">
        <f>IFERROR(INDEX(Data!CJ$9:CJ$1273,MATCH($M191,Data!$K$9:$K$1273,0)),"")</f>
        <v/>
      </c>
      <c r="AO191" s="312">
        <f>IFERROR(INDEX(Data!CK$9:CK$1273,MATCH($M191,Data!$K$9:$K$1273,0)),"")</f>
        <v/>
      </c>
      <c r="AP191" s="312">
        <f>IFERROR(INDEX(Data!CL$9:CL$1273,MATCH($M191,Data!$K$9:$K$1273,0)),"")</f>
        <v/>
      </c>
      <c r="AQ191" s="312">
        <f>IFERROR(INDEX(Data!CM$9:CM$1273,MATCH($M191,Data!$K$9:$K$1273,0)),"")</f>
        <v/>
      </c>
      <c r="AR191" s="312">
        <f>IFERROR(INDEX(Data!CN$9:CN$1273,MATCH($M191,Data!$K$9:$K$1273,0)),"")</f>
        <v/>
      </c>
      <c r="AS191" s="312">
        <f>IFERROR(INDEX(Data!CO$9:CO$1273,MATCH($M191,Data!$K$9:$K$1273,0)),"")</f>
        <v/>
      </c>
      <c r="AT191" s="312">
        <f>IFERROR(INDEX(Data!CP$9:CP$1273,MATCH($M191,Data!$K$9:$K$1273,0)),"")</f>
        <v/>
      </c>
      <c r="AU191" s="312">
        <f>IFERROR(INDEX(Data!CQ$9:CQ$1273,MATCH($M191,Data!$K$9:$K$1273,0)),"")</f>
        <v/>
      </c>
      <c r="AV191" s="312">
        <f>IFERROR(INDEX(Data!CR$9:CR$1273,MATCH($M191,Data!$K$9:$K$1273,0)),"")</f>
        <v/>
      </c>
      <c r="AW191" s="312">
        <f>IFERROR(INDEX(Data!CS$9:CS$1273,MATCH($M191,Data!$K$9:$K$1273,0)),"")</f>
        <v/>
      </c>
      <c r="AX191" s="312">
        <f>IFERROR(INDEX(Data!CT$9:CT$1273,MATCH($M191,Data!$K$9:$K$1273,0)),"")</f>
        <v/>
      </c>
      <c r="AY191" s="312">
        <f>IFERROR(INDEX(Data!CU$9:CU$1273,MATCH($M191,Data!$K$9:$K$1273,0)),"")</f>
        <v/>
      </c>
      <c r="AZ191" s="312">
        <f>IFERROR(INDEX(Data!CV$9:CV$1273,MATCH($M191,Data!$K$9:$K$1273,0)),"")</f>
        <v/>
      </c>
      <c r="BA191" s="312">
        <f>IFERROR(INDEX(Data!CX$9:CX$1273,MATCH($M191,Data!$K$9:$K$1273,0)),"")</f>
        <v/>
      </c>
      <c r="BB191" s="312">
        <f>IFERROR(INDEX(Data!CY$9:CY$1273,MATCH($M191,Data!$K$9:$K$1273,0)),"")</f>
        <v/>
      </c>
      <c r="BC191" s="312">
        <f>IFERROR(INDEX(Data!CZ$9:CZ$1273,MATCH($M191,Data!$K$9:$K$1273,0)),"")</f>
        <v/>
      </c>
      <c r="BD191" s="312">
        <f>IFERROR(INDEX(Data!DA$9:DA$1273,MATCH($M191,Data!$K$9:$K$1273,0)),"")</f>
        <v/>
      </c>
      <c r="BE191" s="312">
        <f>IFERROR(INDEX(Data!DB$9:DB$1273,MATCH($M191,Data!$K$9:$K$1273,0)),"")</f>
        <v/>
      </c>
      <c r="BF191" s="312">
        <f>IFERROR(INDEX(Data!DC$9:DC$1273,MATCH($M191,Data!$K$9:$K$1273,0)),"")</f>
        <v/>
      </c>
      <c r="BG191" s="312">
        <f>IFERROR(INDEX(Data!DD$9:DD$1273,MATCH($M191,Data!$K$9:$K$1273,0)),"")</f>
        <v/>
      </c>
      <c r="BH191" s="312">
        <f>IFERROR(INDEX(Data!DE$9:DE$1273,MATCH($M191,Data!$K$9:$K$1273,0)),"")</f>
        <v/>
      </c>
      <c r="BI191" s="312">
        <f>IFERROR(INDEX(Data!DF$9:DF$1273,MATCH($M191,Data!$K$9:$K$1273,0)),"")</f>
        <v/>
      </c>
      <c r="BJ191" s="312">
        <f>IFERROR(INDEX(Data!DG$9:DG$1273,MATCH($M191,Data!$K$9:$K$1273,0)),"")</f>
        <v/>
      </c>
      <c r="BK191" s="312">
        <f>IFERROR(INDEX(Data!DH$9:DH$1273,MATCH($M191,Data!$K$9:$K$1273,0)),"")</f>
        <v/>
      </c>
      <c r="BL191" s="312">
        <f>IFERROR(INDEX(Data!DI$9:DI$1273,MATCH($M191,Data!$K$9:$K$1273,0)),"")</f>
        <v/>
      </c>
      <c r="BM191" s="312">
        <f>IFERROR(INDEX(Data!DJ$9:DJ$1273,MATCH($M191,Data!$K$9:$K$1273,0)),"")</f>
        <v/>
      </c>
      <c r="BN191" s="312">
        <f>IFERROR(INDEX(Data!DK$9:DK$1273,MATCH($M191,Data!$K$9:$K$1273,0)),"")</f>
        <v/>
      </c>
      <c r="BO191" s="312">
        <f>IFERROR(INDEX(Data!DL$9:DL$1273,MATCH($M191,Data!$K$9:$K$1273,0)),"")</f>
        <v/>
      </c>
      <c r="BP191" s="331">
        <f>IFERROR(IF(BK191=0,"-",BK191),"")</f>
        <v/>
      </c>
      <c r="BQ191" s="312">
        <f>IFERROR(IF(BP191-K191&gt;0,TRUE,FALSE)," ")</f>
        <v/>
      </c>
      <c r="BR191" s="312">
        <f>_xlfn.CONCAT(E191,F191,H191,G191)</f>
        <v/>
      </c>
      <c r="BS191" s="312">
        <f>IFERROR(INDEX(Data!$DO$9:$DO$1273,MATCH('Your recommendation'!BR191,Data!$DN$9:$DN$1273,0)),"")</f>
        <v/>
      </c>
    </row>
    <row r="192" ht="15.6" customFormat="1" customHeight="1" s="138">
      <c r="B192" s="309">
        <f>IF(C192&gt;0,B191+1,"")</f>
        <v/>
      </c>
      <c r="C192" s="310" t="n"/>
      <c r="D192" s="312">
        <f>IFERROR(INDEX(Data!BR$9:BR$1273,MATCH($M192,Data!$K$9:$K$1273,0)),"")</f>
        <v/>
      </c>
      <c r="E192" s="312">
        <f>IFERROR(INDEX(Data!BS$9:BS$1273,MATCH($M192,Data!$K$9:$K$1273,0)),"")</f>
        <v/>
      </c>
      <c r="F192" s="312">
        <f>IFERROR(INDEX(Data!DM$9:DM$1273,MATCH($M192,Data!$K$9:$K$1273,0)),"")</f>
        <v/>
      </c>
      <c r="G192" s="312">
        <f>IFERROR(INDEX(Data!BV$9:BV$1273,MATCH($M192,Data!$K$9:$K$1273,0)),"")</f>
        <v/>
      </c>
      <c r="H192" s="312">
        <f>IFERROR(INDEX(Data!BW$9:BW$1273,MATCH($M192,Data!$K$9:$K$1273,0)),"")</f>
        <v/>
      </c>
      <c r="I192" s="312">
        <f>IFERROR(INDEX(Data!BX$9:BX$1273,MATCH($M192,Data!$K$9:$K$1273,0)),"")</f>
        <v/>
      </c>
      <c r="J192" s="312">
        <f>IFERROR(INDEX(Data!CB$9:CB$1273,MATCH($M192,Data!$K$9:$K$1273,0)),"")</f>
        <v/>
      </c>
      <c r="K192" s="329">
        <f>IFERROR(HYPERLINK(BM192,BC192),"-")</f>
        <v/>
      </c>
      <c r="L192" s="330">
        <f>IFERROR(IF(BB192=0,"-",BB192)," ")</f>
        <v/>
      </c>
      <c r="M192" s="311" t="n"/>
      <c r="N192" s="311" t="n"/>
      <c r="O192" s="311">
        <f>IFERROR(INDEX(Data!M$9:M$1273,MATCH($M192,Data!$K$9:$K$1273,0)),"")</f>
        <v/>
      </c>
      <c r="P192" s="311">
        <f>IFERROR(INDEX(Data!N$9:N$1273,MATCH($M192,Data!$K$9:$K$1273,0)),"")</f>
        <v/>
      </c>
      <c r="Q192" s="311">
        <f>IFERROR(INDEX(Data!O$9:O$1273,MATCH($M192,Data!$K$9:$K$1273,0)),"")</f>
        <v/>
      </c>
      <c r="R192" s="311">
        <f>IFERROR(INDEX(Data!P$9:P$1273,MATCH($M192,Data!$K$9:$K$1273,0)),"")</f>
        <v/>
      </c>
      <c r="S192" s="311">
        <f>IFERROR(INDEX(Data!S$9:S$1273,MATCH($M192,Data!$K$9:$K$1273,0)),"")</f>
        <v/>
      </c>
      <c r="T192" s="311">
        <f>IFERROR(INDEX(Data!T$9:T$1273,MATCH($M192,Data!$K$9:$K$1273,0)),"")</f>
        <v/>
      </c>
      <c r="U192" s="311">
        <f>IFERROR(INDEX(Data!U$9:U$1273,MATCH($M192,Data!$K$9:$K$1273,0)),"")</f>
        <v/>
      </c>
      <c r="V192" s="311">
        <f>IFERROR(INDEX(Data!V$9:V$1273,MATCH($M192,Data!$K$9:$K$1273,0)),"")</f>
        <v/>
      </c>
      <c r="W192" s="311">
        <f>IFERROR(INDEX(Data!W$9:W$1273,MATCH($M192,Data!$K$9:$K$1273,0)),"")</f>
        <v/>
      </c>
      <c r="X192" s="311">
        <f>IFERROR(INDEX(Data!AJ$9:AJ$1273,MATCH($M192,Data!$K$9:$K$1273,0)),"")</f>
        <v/>
      </c>
      <c r="Y192" s="311">
        <f>IFERROR(INDEX(Data!AK$9:AK$1273,MATCH($M192,Data!$K$9:$K$1273,0)),"")</f>
        <v/>
      </c>
      <c r="Z192" s="311">
        <f>IFERROR(INDEX(Data!AL$9:AL$1273,MATCH($M192,Data!$K$9:$K$1273,0)),"")</f>
        <v/>
      </c>
      <c r="AA192" s="311">
        <f>IFERROR(INDEX(Data!AM$9:AM$1273,MATCH($M192,Data!$K$9:$K$1273,0)),"")</f>
        <v/>
      </c>
      <c r="AB192" s="311">
        <f>IFERROR(INDEX(Data!AN$9:AN$1273,MATCH($M192,Data!$K$9:$K$1273,0)),"")</f>
        <v/>
      </c>
      <c r="AC192" s="312">
        <f>IFERROR(INDEX(Data!BY$9:BY$1273,MATCH($M192,Data!$K$9:$K$1273,0)),"")</f>
        <v/>
      </c>
      <c r="AD192" s="312">
        <f>IFERROR(INDEX(Data!BZ$9:BZ$1273,MATCH($M192,Data!$K$9:$K$1273,0)),"")</f>
        <v/>
      </c>
      <c r="AE192" s="312">
        <f>IFERROR(INDEX(Data!CA$9:CA$1273,MATCH($M192,Data!$K$9:$K$1273,0)),"")</f>
        <v/>
      </c>
      <c r="AF192" s="312">
        <f>IFERROR(INDEX(Data!CB$9:CB$1273,MATCH($M192,Data!$K$9:$K$1273,0)),"")</f>
        <v/>
      </c>
      <c r="AG192" s="312">
        <f>IFERROR(INDEX(Data!CC$9:CC$1273,MATCH($M192,Data!$K$9:$K$1273,0)),"")</f>
        <v/>
      </c>
      <c r="AH192" s="312">
        <f>IFERROR(INDEX(Data!CD$9:CD$1273,MATCH($M192,Data!$K$9:$K$1273,0)),"")</f>
        <v/>
      </c>
      <c r="AI192" s="312">
        <f>IFERROR(INDEX(Data!CE$9:CE$1273,MATCH($M192,Data!$K$9:$K$1273,0)),"")</f>
        <v/>
      </c>
      <c r="AJ192" s="312">
        <f>IFERROR(INDEX(Data!CF$9:CF$1273,MATCH($M192,Data!$K$9:$K$1273,0)),"")</f>
        <v/>
      </c>
      <c r="AK192" s="312">
        <f>IFERROR(INDEX(Data!CG$9:CG$1273,MATCH($M192,Data!$K$9:$K$1273,0)),"")</f>
        <v/>
      </c>
      <c r="AL192" s="312">
        <f>IFERROR(INDEX(Data!CH$9:CH$1273,MATCH($M192,Data!$K$9:$K$1273,0)),"")</f>
        <v/>
      </c>
      <c r="AM192" s="312">
        <f>IFERROR(INDEX(Data!CI$9:CI$1273,MATCH($M192,Data!$K$9:$K$1273,0)),"")</f>
        <v/>
      </c>
      <c r="AN192" s="312">
        <f>IFERROR(INDEX(Data!CJ$9:CJ$1273,MATCH($M192,Data!$K$9:$K$1273,0)),"")</f>
        <v/>
      </c>
      <c r="AO192" s="312">
        <f>IFERROR(INDEX(Data!CK$9:CK$1273,MATCH($M192,Data!$K$9:$K$1273,0)),"")</f>
        <v/>
      </c>
      <c r="AP192" s="312">
        <f>IFERROR(INDEX(Data!CL$9:CL$1273,MATCH($M192,Data!$K$9:$K$1273,0)),"")</f>
        <v/>
      </c>
      <c r="AQ192" s="312">
        <f>IFERROR(INDEX(Data!CM$9:CM$1273,MATCH($M192,Data!$K$9:$K$1273,0)),"")</f>
        <v/>
      </c>
      <c r="AR192" s="312">
        <f>IFERROR(INDEX(Data!CN$9:CN$1273,MATCH($M192,Data!$K$9:$K$1273,0)),"")</f>
        <v/>
      </c>
      <c r="AS192" s="312">
        <f>IFERROR(INDEX(Data!CO$9:CO$1273,MATCH($M192,Data!$K$9:$K$1273,0)),"")</f>
        <v/>
      </c>
      <c r="AT192" s="312">
        <f>IFERROR(INDEX(Data!CP$9:CP$1273,MATCH($M192,Data!$K$9:$K$1273,0)),"")</f>
        <v/>
      </c>
      <c r="AU192" s="312">
        <f>IFERROR(INDEX(Data!CQ$9:CQ$1273,MATCH($M192,Data!$K$9:$K$1273,0)),"")</f>
        <v/>
      </c>
      <c r="AV192" s="312">
        <f>IFERROR(INDEX(Data!CR$9:CR$1273,MATCH($M192,Data!$K$9:$K$1273,0)),"")</f>
        <v/>
      </c>
      <c r="AW192" s="312">
        <f>IFERROR(INDEX(Data!CS$9:CS$1273,MATCH($M192,Data!$K$9:$K$1273,0)),"")</f>
        <v/>
      </c>
      <c r="AX192" s="312">
        <f>IFERROR(INDEX(Data!CT$9:CT$1273,MATCH($M192,Data!$K$9:$K$1273,0)),"")</f>
        <v/>
      </c>
      <c r="AY192" s="312">
        <f>IFERROR(INDEX(Data!CU$9:CU$1273,MATCH($M192,Data!$K$9:$K$1273,0)),"")</f>
        <v/>
      </c>
      <c r="AZ192" s="312">
        <f>IFERROR(INDEX(Data!CV$9:CV$1273,MATCH($M192,Data!$K$9:$K$1273,0)),"")</f>
        <v/>
      </c>
      <c r="BA192" s="312">
        <f>IFERROR(INDEX(Data!CX$9:CX$1273,MATCH($M192,Data!$K$9:$K$1273,0)),"")</f>
        <v/>
      </c>
      <c r="BB192" s="312">
        <f>IFERROR(INDEX(Data!CY$9:CY$1273,MATCH($M192,Data!$K$9:$K$1273,0)),"")</f>
        <v/>
      </c>
      <c r="BC192" s="312">
        <f>IFERROR(INDEX(Data!CZ$9:CZ$1273,MATCH($M192,Data!$K$9:$K$1273,0)),"")</f>
        <v/>
      </c>
      <c r="BD192" s="312">
        <f>IFERROR(INDEX(Data!DA$9:DA$1273,MATCH($M192,Data!$K$9:$K$1273,0)),"")</f>
        <v/>
      </c>
      <c r="BE192" s="312">
        <f>IFERROR(INDEX(Data!DB$9:DB$1273,MATCH($M192,Data!$K$9:$K$1273,0)),"")</f>
        <v/>
      </c>
      <c r="BF192" s="312">
        <f>IFERROR(INDEX(Data!DC$9:DC$1273,MATCH($M192,Data!$K$9:$K$1273,0)),"")</f>
        <v/>
      </c>
      <c r="BG192" s="312">
        <f>IFERROR(INDEX(Data!DD$9:DD$1273,MATCH($M192,Data!$K$9:$K$1273,0)),"")</f>
        <v/>
      </c>
      <c r="BH192" s="312">
        <f>IFERROR(INDEX(Data!DE$9:DE$1273,MATCH($M192,Data!$K$9:$K$1273,0)),"")</f>
        <v/>
      </c>
      <c r="BI192" s="312">
        <f>IFERROR(INDEX(Data!DF$9:DF$1273,MATCH($M192,Data!$K$9:$K$1273,0)),"")</f>
        <v/>
      </c>
      <c r="BJ192" s="312">
        <f>IFERROR(INDEX(Data!DG$9:DG$1273,MATCH($M192,Data!$K$9:$K$1273,0)),"")</f>
        <v/>
      </c>
      <c r="BK192" s="312">
        <f>IFERROR(INDEX(Data!DH$9:DH$1273,MATCH($M192,Data!$K$9:$K$1273,0)),"")</f>
        <v/>
      </c>
      <c r="BL192" s="312">
        <f>IFERROR(INDEX(Data!DI$9:DI$1273,MATCH($M192,Data!$K$9:$K$1273,0)),"")</f>
        <v/>
      </c>
      <c r="BM192" s="312">
        <f>IFERROR(INDEX(Data!DJ$9:DJ$1273,MATCH($M192,Data!$K$9:$K$1273,0)),"")</f>
        <v/>
      </c>
      <c r="BN192" s="312">
        <f>IFERROR(INDEX(Data!DK$9:DK$1273,MATCH($M192,Data!$K$9:$K$1273,0)),"")</f>
        <v/>
      </c>
      <c r="BO192" s="312">
        <f>IFERROR(INDEX(Data!DL$9:DL$1273,MATCH($M192,Data!$K$9:$K$1273,0)),"")</f>
        <v/>
      </c>
      <c r="BP192" s="331">
        <f>IFERROR(IF(BK192=0,"-",BK192),"")</f>
        <v/>
      </c>
      <c r="BQ192" s="312">
        <f>IFERROR(IF(BP192-K192&gt;0,TRUE,FALSE)," ")</f>
        <v/>
      </c>
      <c r="BR192" s="312">
        <f>_xlfn.CONCAT(E192,F192,H192,G192)</f>
        <v/>
      </c>
      <c r="BS192" s="312">
        <f>IFERROR(INDEX(Data!$DO$9:$DO$1273,MATCH('Your recommendation'!BR192,Data!$DN$9:$DN$1273,0)),"")</f>
        <v/>
      </c>
    </row>
    <row r="193" ht="15.6" customFormat="1" customHeight="1" s="138">
      <c r="B193" s="309">
        <f>IF(C193&gt;0,B192+1,"")</f>
        <v/>
      </c>
      <c r="C193" s="310" t="n"/>
      <c r="D193" s="312">
        <f>IFERROR(INDEX(Data!BR$9:BR$1273,MATCH($M193,Data!$K$9:$K$1273,0)),"")</f>
        <v/>
      </c>
      <c r="E193" s="312">
        <f>IFERROR(INDEX(Data!BS$9:BS$1273,MATCH($M193,Data!$K$9:$K$1273,0)),"")</f>
        <v/>
      </c>
      <c r="F193" s="312">
        <f>IFERROR(INDEX(Data!DM$9:DM$1273,MATCH($M193,Data!$K$9:$K$1273,0)),"")</f>
        <v/>
      </c>
      <c r="G193" s="312">
        <f>IFERROR(INDEX(Data!BV$9:BV$1273,MATCH($M193,Data!$K$9:$K$1273,0)),"")</f>
        <v/>
      </c>
      <c r="H193" s="312">
        <f>IFERROR(INDEX(Data!BW$9:BW$1273,MATCH($M193,Data!$K$9:$K$1273,0)),"")</f>
        <v/>
      </c>
      <c r="I193" s="312">
        <f>IFERROR(INDEX(Data!BX$9:BX$1273,MATCH($M193,Data!$K$9:$K$1273,0)),"")</f>
        <v/>
      </c>
      <c r="J193" s="312">
        <f>IFERROR(INDEX(Data!CB$9:CB$1273,MATCH($M193,Data!$K$9:$K$1273,0)),"")</f>
        <v/>
      </c>
      <c r="K193" s="329">
        <f>IFERROR(HYPERLINK(BM193,BC193),"-")</f>
        <v/>
      </c>
      <c r="L193" s="330">
        <f>IFERROR(IF(BB193=0,"-",BB193)," ")</f>
        <v/>
      </c>
      <c r="M193" s="311" t="n"/>
      <c r="N193" s="311" t="n"/>
      <c r="O193" s="311">
        <f>IFERROR(INDEX(Data!M$9:M$1273,MATCH($M193,Data!$K$9:$K$1273,0)),"")</f>
        <v/>
      </c>
      <c r="P193" s="311">
        <f>IFERROR(INDEX(Data!N$9:N$1273,MATCH($M193,Data!$K$9:$K$1273,0)),"")</f>
        <v/>
      </c>
      <c r="Q193" s="311">
        <f>IFERROR(INDEX(Data!O$9:O$1273,MATCH($M193,Data!$K$9:$K$1273,0)),"")</f>
        <v/>
      </c>
      <c r="R193" s="311">
        <f>IFERROR(INDEX(Data!P$9:P$1273,MATCH($M193,Data!$K$9:$K$1273,0)),"")</f>
        <v/>
      </c>
      <c r="S193" s="311">
        <f>IFERROR(INDEX(Data!S$9:S$1273,MATCH($M193,Data!$K$9:$K$1273,0)),"")</f>
        <v/>
      </c>
      <c r="T193" s="311">
        <f>IFERROR(INDEX(Data!T$9:T$1273,MATCH($M193,Data!$K$9:$K$1273,0)),"")</f>
        <v/>
      </c>
      <c r="U193" s="311">
        <f>IFERROR(INDEX(Data!U$9:U$1273,MATCH($M193,Data!$K$9:$K$1273,0)),"")</f>
        <v/>
      </c>
      <c r="V193" s="311">
        <f>IFERROR(INDEX(Data!V$9:V$1273,MATCH($M193,Data!$K$9:$K$1273,0)),"")</f>
        <v/>
      </c>
      <c r="W193" s="311">
        <f>IFERROR(INDEX(Data!W$9:W$1273,MATCH($M193,Data!$K$9:$K$1273,0)),"")</f>
        <v/>
      </c>
      <c r="X193" s="311">
        <f>IFERROR(INDEX(Data!AJ$9:AJ$1273,MATCH($M193,Data!$K$9:$K$1273,0)),"")</f>
        <v/>
      </c>
      <c r="Y193" s="311">
        <f>IFERROR(INDEX(Data!AK$9:AK$1273,MATCH($M193,Data!$K$9:$K$1273,0)),"")</f>
        <v/>
      </c>
      <c r="Z193" s="311">
        <f>IFERROR(INDEX(Data!AL$9:AL$1273,MATCH($M193,Data!$K$9:$K$1273,0)),"")</f>
        <v/>
      </c>
      <c r="AA193" s="311">
        <f>IFERROR(INDEX(Data!AM$9:AM$1273,MATCH($M193,Data!$K$9:$K$1273,0)),"")</f>
        <v/>
      </c>
      <c r="AB193" s="311">
        <f>IFERROR(INDEX(Data!AN$9:AN$1273,MATCH($M193,Data!$K$9:$K$1273,0)),"")</f>
        <v/>
      </c>
      <c r="AC193" s="312">
        <f>IFERROR(INDEX(Data!BY$9:BY$1273,MATCH($M193,Data!$K$9:$K$1273,0)),"")</f>
        <v/>
      </c>
      <c r="AD193" s="312">
        <f>IFERROR(INDEX(Data!BZ$9:BZ$1273,MATCH($M193,Data!$K$9:$K$1273,0)),"")</f>
        <v/>
      </c>
      <c r="AE193" s="312">
        <f>IFERROR(INDEX(Data!CA$9:CA$1273,MATCH($M193,Data!$K$9:$K$1273,0)),"")</f>
        <v/>
      </c>
      <c r="AF193" s="312">
        <f>IFERROR(INDEX(Data!CB$9:CB$1273,MATCH($M193,Data!$K$9:$K$1273,0)),"")</f>
        <v/>
      </c>
      <c r="AG193" s="312">
        <f>IFERROR(INDEX(Data!CC$9:CC$1273,MATCH($M193,Data!$K$9:$K$1273,0)),"")</f>
        <v/>
      </c>
      <c r="AH193" s="312">
        <f>IFERROR(INDEX(Data!CD$9:CD$1273,MATCH($M193,Data!$K$9:$K$1273,0)),"")</f>
        <v/>
      </c>
      <c r="AI193" s="312">
        <f>IFERROR(INDEX(Data!CE$9:CE$1273,MATCH($M193,Data!$K$9:$K$1273,0)),"")</f>
        <v/>
      </c>
      <c r="AJ193" s="312">
        <f>IFERROR(INDEX(Data!CF$9:CF$1273,MATCH($M193,Data!$K$9:$K$1273,0)),"")</f>
        <v/>
      </c>
      <c r="AK193" s="312">
        <f>IFERROR(INDEX(Data!CG$9:CG$1273,MATCH($M193,Data!$K$9:$K$1273,0)),"")</f>
        <v/>
      </c>
      <c r="AL193" s="312">
        <f>IFERROR(INDEX(Data!CH$9:CH$1273,MATCH($M193,Data!$K$9:$K$1273,0)),"")</f>
        <v/>
      </c>
      <c r="AM193" s="312">
        <f>IFERROR(INDEX(Data!CI$9:CI$1273,MATCH($M193,Data!$K$9:$K$1273,0)),"")</f>
        <v/>
      </c>
      <c r="AN193" s="312">
        <f>IFERROR(INDEX(Data!CJ$9:CJ$1273,MATCH($M193,Data!$K$9:$K$1273,0)),"")</f>
        <v/>
      </c>
      <c r="AO193" s="312">
        <f>IFERROR(INDEX(Data!CK$9:CK$1273,MATCH($M193,Data!$K$9:$K$1273,0)),"")</f>
        <v/>
      </c>
      <c r="AP193" s="312">
        <f>IFERROR(INDEX(Data!CL$9:CL$1273,MATCH($M193,Data!$K$9:$K$1273,0)),"")</f>
        <v/>
      </c>
      <c r="AQ193" s="312">
        <f>IFERROR(INDEX(Data!CM$9:CM$1273,MATCH($M193,Data!$K$9:$K$1273,0)),"")</f>
        <v/>
      </c>
      <c r="AR193" s="312">
        <f>IFERROR(INDEX(Data!CN$9:CN$1273,MATCH($M193,Data!$K$9:$K$1273,0)),"")</f>
        <v/>
      </c>
      <c r="AS193" s="312">
        <f>IFERROR(INDEX(Data!CO$9:CO$1273,MATCH($M193,Data!$K$9:$K$1273,0)),"")</f>
        <v/>
      </c>
      <c r="AT193" s="312">
        <f>IFERROR(INDEX(Data!CP$9:CP$1273,MATCH($M193,Data!$K$9:$K$1273,0)),"")</f>
        <v/>
      </c>
      <c r="AU193" s="312">
        <f>IFERROR(INDEX(Data!CQ$9:CQ$1273,MATCH($M193,Data!$K$9:$K$1273,0)),"")</f>
        <v/>
      </c>
      <c r="AV193" s="312">
        <f>IFERROR(INDEX(Data!CR$9:CR$1273,MATCH($M193,Data!$K$9:$K$1273,0)),"")</f>
        <v/>
      </c>
      <c r="AW193" s="312">
        <f>IFERROR(INDEX(Data!CS$9:CS$1273,MATCH($M193,Data!$K$9:$K$1273,0)),"")</f>
        <v/>
      </c>
      <c r="AX193" s="312">
        <f>IFERROR(INDEX(Data!CT$9:CT$1273,MATCH($M193,Data!$K$9:$K$1273,0)),"")</f>
        <v/>
      </c>
      <c r="AY193" s="312">
        <f>IFERROR(INDEX(Data!CU$9:CU$1273,MATCH($M193,Data!$K$9:$K$1273,0)),"")</f>
        <v/>
      </c>
      <c r="AZ193" s="312">
        <f>IFERROR(INDEX(Data!CV$9:CV$1273,MATCH($M193,Data!$K$9:$K$1273,0)),"")</f>
        <v/>
      </c>
      <c r="BA193" s="312">
        <f>IFERROR(INDEX(Data!CX$9:CX$1273,MATCH($M193,Data!$K$9:$K$1273,0)),"")</f>
        <v/>
      </c>
      <c r="BB193" s="312">
        <f>IFERROR(INDEX(Data!CY$9:CY$1273,MATCH($M193,Data!$K$9:$K$1273,0)),"")</f>
        <v/>
      </c>
      <c r="BC193" s="312">
        <f>IFERROR(INDEX(Data!CZ$9:CZ$1273,MATCH($M193,Data!$K$9:$K$1273,0)),"")</f>
        <v/>
      </c>
      <c r="BD193" s="312">
        <f>IFERROR(INDEX(Data!DA$9:DA$1273,MATCH($M193,Data!$K$9:$K$1273,0)),"")</f>
        <v/>
      </c>
      <c r="BE193" s="312">
        <f>IFERROR(INDEX(Data!DB$9:DB$1273,MATCH($M193,Data!$K$9:$K$1273,0)),"")</f>
        <v/>
      </c>
      <c r="BF193" s="312">
        <f>IFERROR(INDEX(Data!DC$9:DC$1273,MATCH($M193,Data!$K$9:$K$1273,0)),"")</f>
        <v/>
      </c>
      <c r="BG193" s="312">
        <f>IFERROR(INDEX(Data!DD$9:DD$1273,MATCH($M193,Data!$K$9:$K$1273,0)),"")</f>
        <v/>
      </c>
      <c r="BH193" s="312">
        <f>IFERROR(INDEX(Data!DE$9:DE$1273,MATCH($M193,Data!$K$9:$K$1273,0)),"")</f>
        <v/>
      </c>
      <c r="BI193" s="312">
        <f>IFERROR(INDEX(Data!DF$9:DF$1273,MATCH($M193,Data!$K$9:$K$1273,0)),"")</f>
        <v/>
      </c>
      <c r="BJ193" s="312">
        <f>IFERROR(INDEX(Data!DG$9:DG$1273,MATCH($M193,Data!$K$9:$K$1273,0)),"")</f>
        <v/>
      </c>
      <c r="BK193" s="312">
        <f>IFERROR(INDEX(Data!DH$9:DH$1273,MATCH($M193,Data!$K$9:$K$1273,0)),"")</f>
        <v/>
      </c>
      <c r="BL193" s="312">
        <f>IFERROR(INDEX(Data!DI$9:DI$1273,MATCH($M193,Data!$K$9:$K$1273,0)),"")</f>
        <v/>
      </c>
      <c r="BM193" s="312">
        <f>IFERROR(INDEX(Data!DJ$9:DJ$1273,MATCH($M193,Data!$K$9:$K$1273,0)),"")</f>
        <v/>
      </c>
      <c r="BN193" s="312">
        <f>IFERROR(INDEX(Data!DK$9:DK$1273,MATCH($M193,Data!$K$9:$K$1273,0)),"")</f>
        <v/>
      </c>
      <c r="BO193" s="312">
        <f>IFERROR(INDEX(Data!DL$9:DL$1273,MATCH($M193,Data!$K$9:$K$1273,0)),"")</f>
        <v/>
      </c>
      <c r="BP193" s="331">
        <f>IFERROR(IF(BK193=0,"-",BK193),"")</f>
        <v/>
      </c>
      <c r="BQ193" s="312">
        <f>IFERROR(IF(BP193-K193&gt;0,TRUE,FALSE)," ")</f>
        <v/>
      </c>
      <c r="BR193" s="312">
        <f>_xlfn.CONCAT(E193,F193,H193,G193)</f>
        <v/>
      </c>
      <c r="BS193" s="312">
        <f>IFERROR(INDEX(Data!$DO$9:$DO$1273,MATCH('Your recommendation'!BR193,Data!$DN$9:$DN$1273,0)),"")</f>
        <v/>
      </c>
    </row>
    <row r="194" ht="15.6" customFormat="1" customHeight="1" s="138">
      <c r="B194" s="309">
        <f>IF(C194&gt;0,B193+1,"")</f>
        <v/>
      </c>
      <c r="C194" s="310" t="n"/>
      <c r="D194" s="312">
        <f>IFERROR(INDEX(Data!BR$9:BR$1273,MATCH($M194,Data!$K$9:$K$1273,0)),"")</f>
        <v/>
      </c>
      <c r="E194" s="312">
        <f>IFERROR(INDEX(Data!BS$9:BS$1273,MATCH($M194,Data!$K$9:$K$1273,0)),"")</f>
        <v/>
      </c>
      <c r="F194" s="312">
        <f>IFERROR(INDEX(Data!DM$9:DM$1273,MATCH($M194,Data!$K$9:$K$1273,0)),"")</f>
        <v/>
      </c>
      <c r="G194" s="312">
        <f>IFERROR(INDEX(Data!BV$9:BV$1273,MATCH($M194,Data!$K$9:$K$1273,0)),"")</f>
        <v/>
      </c>
      <c r="H194" s="312">
        <f>IFERROR(INDEX(Data!BW$9:BW$1273,MATCH($M194,Data!$K$9:$K$1273,0)),"")</f>
        <v/>
      </c>
      <c r="I194" s="312">
        <f>IFERROR(INDEX(Data!BX$9:BX$1273,MATCH($M194,Data!$K$9:$K$1273,0)),"")</f>
        <v/>
      </c>
      <c r="J194" s="312">
        <f>IFERROR(INDEX(Data!CB$9:CB$1273,MATCH($M194,Data!$K$9:$K$1273,0)),"")</f>
        <v/>
      </c>
      <c r="K194" s="329">
        <f>IFERROR(HYPERLINK(BM194,BC194),"-")</f>
        <v/>
      </c>
      <c r="L194" s="330">
        <f>IFERROR(IF(BB194=0,"-",BB194)," ")</f>
        <v/>
      </c>
      <c r="M194" s="311" t="n"/>
      <c r="N194" s="311" t="n"/>
      <c r="O194" s="311">
        <f>IFERROR(INDEX(Data!M$9:M$1273,MATCH($M194,Data!$K$9:$K$1273,0)),"")</f>
        <v/>
      </c>
      <c r="P194" s="311">
        <f>IFERROR(INDEX(Data!N$9:N$1273,MATCH($M194,Data!$K$9:$K$1273,0)),"")</f>
        <v/>
      </c>
      <c r="Q194" s="311">
        <f>IFERROR(INDEX(Data!O$9:O$1273,MATCH($M194,Data!$K$9:$K$1273,0)),"")</f>
        <v/>
      </c>
      <c r="R194" s="311">
        <f>IFERROR(INDEX(Data!P$9:P$1273,MATCH($M194,Data!$K$9:$K$1273,0)),"")</f>
        <v/>
      </c>
      <c r="S194" s="311">
        <f>IFERROR(INDEX(Data!S$9:S$1273,MATCH($M194,Data!$K$9:$K$1273,0)),"")</f>
        <v/>
      </c>
      <c r="T194" s="311">
        <f>IFERROR(INDEX(Data!T$9:T$1273,MATCH($M194,Data!$K$9:$K$1273,0)),"")</f>
        <v/>
      </c>
      <c r="U194" s="311">
        <f>IFERROR(INDEX(Data!U$9:U$1273,MATCH($M194,Data!$K$9:$K$1273,0)),"")</f>
        <v/>
      </c>
      <c r="V194" s="311">
        <f>IFERROR(INDEX(Data!V$9:V$1273,MATCH($M194,Data!$K$9:$K$1273,0)),"")</f>
        <v/>
      </c>
      <c r="W194" s="311">
        <f>IFERROR(INDEX(Data!W$9:W$1273,MATCH($M194,Data!$K$9:$K$1273,0)),"")</f>
        <v/>
      </c>
      <c r="X194" s="311">
        <f>IFERROR(INDEX(Data!AJ$9:AJ$1273,MATCH($M194,Data!$K$9:$K$1273,0)),"")</f>
        <v/>
      </c>
      <c r="Y194" s="311">
        <f>IFERROR(INDEX(Data!AK$9:AK$1273,MATCH($M194,Data!$K$9:$K$1273,0)),"")</f>
        <v/>
      </c>
      <c r="Z194" s="311">
        <f>IFERROR(INDEX(Data!AL$9:AL$1273,MATCH($M194,Data!$K$9:$K$1273,0)),"")</f>
        <v/>
      </c>
      <c r="AA194" s="311">
        <f>IFERROR(INDEX(Data!AM$9:AM$1273,MATCH($M194,Data!$K$9:$K$1273,0)),"")</f>
        <v/>
      </c>
      <c r="AB194" s="311">
        <f>IFERROR(INDEX(Data!AN$9:AN$1273,MATCH($M194,Data!$K$9:$K$1273,0)),"")</f>
        <v/>
      </c>
      <c r="AC194" s="312">
        <f>IFERROR(INDEX(Data!BY$9:BY$1273,MATCH($M194,Data!$K$9:$K$1273,0)),"")</f>
        <v/>
      </c>
      <c r="AD194" s="312">
        <f>IFERROR(INDEX(Data!BZ$9:BZ$1273,MATCH($M194,Data!$K$9:$K$1273,0)),"")</f>
        <v/>
      </c>
      <c r="AE194" s="312">
        <f>IFERROR(INDEX(Data!CA$9:CA$1273,MATCH($M194,Data!$K$9:$K$1273,0)),"")</f>
        <v/>
      </c>
      <c r="AF194" s="312">
        <f>IFERROR(INDEX(Data!CB$9:CB$1273,MATCH($M194,Data!$K$9:$K$1273,0)),"")</f>
        <v/>
      </c>
      <c r="AG194" s="312">
        <f>IFERROR(INDEX(Data!CC$9:CC$1273,MATCH($M194,Data!$K$9:$K$1273,0)),"")</f>
        <v/>
      </c>
      <c r="AH194" s="312">
        <f>IFERROR(INDEX(Data!CD$9:CD$1273,MATCH($M194,Data!$K$9:$K$1273,0)),"")</f>
        <v/>
      </c>
      <c r="AI194" s="312">
        <f>IFERROR(INDEX(Data!CE$9:CE$1273,MATCH($M194,Data!$K$9:$K$1273,0)),"")</f>
        <v/>
      </c>
      <c r="AJ194" s="312">
        <f>IFERROR(INDEX(Data!CF$9:CF$1273,MATCH($M194,Data!$K$9:$K$1273,0)),"")</f>
        <v/>
      </c>
      <c r="AK194" s="312">
        <f>IFERROR(INDEX(Data!CG$9:CG$1273,MATCH($M194,Data!$K$9:$K$1273,0)),"")</f>
        <v/>
      </c>
      <c r="AL194" s="312">
        <f>IFERROR(INDEX(Data!CH$9:CH$1273,MATCH($M194,Data!$K$9:$K$1273,0)),"")</f>
        <v/>
      </c>
      <c r="AM194" s="312">
        <f>IFERROR(INDEX(Data!CI$9:CI$1273,MATCH($M194,Data!$K$9:$K$1273,0)),"")</f>
        <v/>
      </c>
      <c r="AN194" s="312">
        <f>IFERROR(INDEX(Data!CJ$9:CJ$1273,MATCH($M194,Data!$K$9:$K$1273,0)),"")</f>
        <v/>
      </c>
      <c r="AO194" s="312">
        <f>IFERROR(INDEX(Data!CK$9:CK$1273,MATCH($M194,Data!$K$9:$K$1273,0)),"")</f>
        <v/>
      </c>
      <c r="AP194" s="312">
        <f>IFERROR(INDEX(Data!CL$9:CL$1273,MATCH($M194,Data!$K$9:$K$1273,0)),"")</f>
        <v/>
      </c>
      <c r="AQ194" s="312">
        <f>IFERROR(INDEX(Data!CM$9:CM$1273,MATCH($M194,Data!$K$9:$K$1273,0)),"")</f>
        <v/>
      </c>
      <c r="AR194" s="312">
        <f>IFERROR(INDEX(Data!CN$9:CN$1273,MATCH($M194,Data!$K$9:$K$1273,0)),"")</f>
        <v/>
      </c>
      <c r="AS194" s="312">
        <f>IFERROR(INDEX(Data!CO$9:CO$1273,MATCH($M194,Data!$K$9:$K$1273,0)),"")</f>
        <v/>
      </c>
      <c r="AT194" s="312">
        <f>IFERROR(INDEX(Data!CP$9:CP$1273,MATCH($M194,Data!$K$9:$K$1273,0)),"")</f>
        <v/>
      </c>
      <c r="AU194" s="312">
        <f>IFERROR(INDEX(Data!CQ$9:CQ$1273,MATCH($M194,Data!$K$9:$K$1273,0)),"")</f>
        <v/>
      </c>
      <c r="AV194" s="312">
        <f>IFERROR(INDEX(Data!CR$9:CR$1273,MATCH($M194,Data!$K$9:$K$1273,0)),"")</f>
        <v/>
      </c>
      <c r="AW194" s="312">
        <f>IFERROR(INDEX(Data!CS$9:CS$1273,MATCH($M194,Data!$K$9:$K$1273,0)),"")</f>
        <v/>
      </c>
      <c r="AX194" s="312">
        <f>IFERROR(INDEX(Data!CT$9:CT$1273,MATCH($M194,Data!$K$9:$K$1273,0)),"")</f>
        <v/>
      </c>
      <c r="AY194" s="312">
        <f>IFERROR(INDEX(Data!CU$9:CU$1273,MATCH($M194,Data!$K$9:$K$1273,0)),"")</f>
        <v/>
      </c>
      <c r="AZ194" s="312">
        <f>IFERROR(INDEX(Data!CV$9:CV$1273,MATCH($M194,Data!$K$9:$K$1273,0)),"")</f>
        <v/>
      </c>
      <c r="BA194" s="312">
        <f>IFERROR(INDEX(Data!CX$9:CX$1273,MATCH($M194,Data!$K$9:$K$1273,0)),"")</f>
        <v/>
      </c>
      <c r="BB194" s="312">
        <f>IFERROR(INDEX(Data!CY$9:CY$1273,MATCH($M194,Data!$K$9:$K$1273,0)),"")</f>
        <v/>
      </c>
      <c r="BC194" s="312">
        <f>IFERROR(INDEX(Data!CZ$9:CZ$1273,MATCH($M194,Data!$K$9:$K$1273,0)),"")</f>
        <v/>
      </c>
      <c r="BD194" s="312">
        <f>IFERROR(INDEX(Data!DA$9:DA$1273,MATCH($M194,Data!$K$9:$K$1273,0)),"")</f>
        <v/>
      </c>
      <c r="BE194" s="312">
        <f>IFERROR(INDEX(Data!DB$9:DB$1273,MATCH($M194,Data!$K$9:$K$1273,0)),"")</f>
        <v/>
      </c>
      <c r="BF194" s="312">
        <f>IFERROR(INDEX(Data!DC$9:DC$1273,MATCH($M194,Data!$K$9:$K$1273,0)),"")</f>
        <v/>
      </c>
      <c r="BG194" s="312">
        <f>IFERROR(INDEX(Data!DD$9:DD$1273,MATCH($M194,Data!$K$9:$K$1273,0)),"")</f>
        <v/>
      </c>
      <c r="BH194" s="312">
        <f>IFERROR(INDEX(Data!DE$9:DE$1273,MATCH($M194,Data!$K$9:$K$1273,0)),"")</f>
        <v/>
      </c>
      <c r="BI194" s="312">
        <f>IFERROR(INDEX(Data!DF$9:DF$1273,MATCH($M194,Data!$K$9:$K$1273,0)),"")</f>
        <v/>
      </c>
      <c r="BJ194" s="312">
        <f>IFERROR(INDEX(Data!DG$9:DG$1273,MATCH($M194,Data!$K$9:$K$1273,0)),"")</f>
        <v/>
      </c>
      <c r="BK194" s="312">
        <f>IFERROR(INDEX(Data!DH$9:DH$1273,MATCH($M194,Data!$K$9:$K$1273,0)),"")</f>
        <v/>
      </c>
      <c r="BL194" s="312">
        <f>IFERROR(INDEX(Data!DI$9:DI$1273,MATCH($M194,Data!$K$9:$K$1273,0)),"")</f>
        <v/>
      </c>
      <c r="BM194" s="312">
        <f>IFERROR(INDEX(Data!DJ$9:DJ$1273,MATCH($M194,Data!$K$9:$K$1273,0)),"")</f>
        <v/>
      </c>
      <c r="BN194" s="312">
        <f>IFERROR(INDEX(Data!DK$9:DK$1273,MATCH($M194,Data!$K$9:$K$1273,0)),"")</f>
        <v/>
      </c>
      <c r="BO194" s="312">
        <f>IFERROR(INDEX(Data!DL$9:DL$1273,MATCH($M194,Data!$K$9:$K$1273,0)),"")</f>
        <v/>
      </c>
      <c r="BP194" s="331">
        <f>IFERROR(IF(BK194=0,"-",BK194),"")</f>
        <v/>
      </c>
      <c r="BQ194" s="312">
        <f>IFERROR(IF(BP194-K194&gt;0,TRUE,FALSE)," ")</f>
        <v/>
      </c>
      <c r="BR194" s="312">
        <f>_xlfn.CONCAT(E194,F194,H194,G194)</f>
        <v/>
      </c>
      <c r="BS194" s="312">
        <f>IFERROR(INDEX(Data!$DO$9:$DO$1273,MATCH('Your recommendation'!BR194,Data!$DN$9:$DN$1273,0)),"")</f>
        <v/>
      </c>
    </row>
    <row r="195" ht="15.6" customFormat="1" customHeight="1" s="138">
      <c r="B195" s="309">
        <f>IF(C195&gt;0,B194+1,"")</f>
        <v/>
      </c>
      <c r="C195" s="310" t="n"/>
      <c r="D195" s="312">
        <f>IFERROR(INDEX(Data!BR$9:BR$1273,MATCH($M195,Data!$K$9:$K$1273,0)),"")</f>
        <v/>
      </c>
      <c r="E195" s="312">
        <f>IFERROR(INDEX(Data!BS$9:BS$1273,MATCH($M195,Data!$K$9:$K$1273,0)),"")</f>
        <v/>
      </c>
      <c r="F195" s="312">
        <f>IFERROR(INDEX(Data!DM$9:DM$1273,MATCH($M195,Data!$K$9:$K$1273,0)),"")</f>
        <v/>
      </c>
      <c r="G195" s="312">
        <f>IFERROR(INDEX(Data!BV$9:BV$1273,MATCH($M195,Data!$K$9:$K$1273,0)),"")</f>
        <v/>
      </c>
      <c r="H195" s="312">
        <f>IFERROR(INDEX(Data!BW$9:BW$1273,MATCH($M195,Data!$K$9:$K$1273,0)),"")</f>
        <v/>
      </c>
      <c r="I195" s="312">
        <f>IFERROR(INDEX(Data!BX$9:BX$1273,MATCH($M195,Data!$K$9:$K$1273,0)),"")</f>
        <v/>
      </c>
      <c r="J195" s="312">
        <f>IFERROR(INDEX(Data!CB$9:CB$1273,MATCH($M195,Data!$K$9:$K$1273,0)),"")</f>
        <v/>
      </c>
      <c r="K195" s="329">
        <f>IFERROR(HYPERLINK(BM195,BC195),"-")</f>
        <v/>
      </c>
      <c r="L195" s="330">
        <f>IFERROR(IF(BB195=0,"-",BB195)," ")</f>
        <v/>
      </c>
      <c r="M195" s="311" t="n"/>
      <c r="N195" s="311" t="n"/>
      <c r="O195" s="311">
        <f>IFERROR(INDEX(Data!M$9:M$1273,MATCH($M195,Data!$K$9:$K$1273,0)),"")</f>
        <v/>
      </c>
      <c r="P195" s="311">
        <f>IFERROR(INDEX(Data!N$9:N$1273,MATCH($M195,Data!$K$9:$K$1273,0)),"")</f>
        <v/>
      </c>
      <c r="Q195" s="311">
        <f>IFERROR(INDEX(Data!O$9:O$1273,MATCH($M195,Data!$K$9:$K$1273,0)),"")</f>
        <v/>
      </c>
      <c r="R195" s="311">
        <f>IFERROR(INDEX(Data!P$9:P$1273,MATCH($M195,Data!$K$9:$K$1273,0)),"")</f>
        <v/>
      </c>
      <c r="S195" s="311">
        <f>IFERROR(INDEX(Data!S$9:S$1273,MATCH($M195,Data!$K$9:$K$1273,0)),"")</f>
        <v/>
      </c>
      <c r="T195" s="311">
        <f>IFERROR(INDEX(Data!T$9:T$1273,MATCH($M195,Data!$K$9:$K$1273,0)),"")</f>
        <v/>
      </c>
      <c r="U195" s="311">
        <f>IFERROR(INDEX(Data!U$9:U$1273,MATCH($M195,Data!$K$9:$K$1273,0)),"")</f>
        <v/>
      </c>
      <c r="V195" s="311">
        <f>IFERROR(INDEX(Data!V$9:V$1273,MATCH($M195,Data!$K$9:$K$1273,0)),"")</f>
        <v/>
      </c>
      <c r="W195" s="311">
        <f>IFERROR(INDEX(Data!W$9:W$1273,MATCH($M195,Data!$K$9:$K$1273,0)),"")</f>
        <v/>
      </c>
      <c r="X195" s="311">
        <f>IFERROR(INDEX(Data!AJ$9:AJ$1273,MATCH($M195,Data!$K$9:$K$1273,0)),"")</f>
        <v/>
      </c>
      <c r="Y195" s="311">
        <f>IFERROR(INDEX(Data!AK$9:AK$1273,MATCH($M195,Data!$K$9:$K$1273,0)),"")</f>
        <v/>
      </c>
      <c r="Z195" s="311">
        <f>IFERROR(INDEX(Data!AL$9:AL$1273,MATCH($M195,Data!$K$9:$K$1273,0)),"")</f>
        <v/>
      </c>
      <c r="AA195" s="311">
        <f>IFERROR(INDEX(Data!AM$9:AM$1273,MATCH($M195,Data!$K$9:$K$1273,0)),"")</f>
        <v/>
      </c>
      <c r="AB195" s="311">
        <f>IFERROR(INDEX(Data!AN$9:AN$1273,MATCH($M195,Data!$K$9:$K$1273,0)),"")</f>
        <v/>
      </c>
      <c r="AC195" s="312">
        <f>IFERROR(INDEX(Data!BY$9:BY$1273,MATCH($M195,Data!$K$9:$K$1273,0)),"")</f>
        <v/>
      </c>
      <c r="AD195" s="312">
        <f>IFERROR(INDEX(Data!BZ$9:BZ$1273,MATCH($M195,Data!$K$9:$K$1273,0)),"")</f>
        <v/>
      </c>
      <c r="AE195" s="312">
        <f>IFERROR(INDEX(Data!CA$9:CA$1273,MATCH($M195,Data!$K$9:$K$1273,0)),"")</f>
        <v/>
      </c>
      <c r="AF195" s="312">
        <f>IFERROR(INDEX(Data!CB$9:CB$1273,MATCH($M195,Data!$K$9:$K$1273,0)),"")</f>
        <v/>
      </c>
      <c r="AG195" s="312">
        <f>IFERROR(INDEX(Data!CC$9:CC$1273,MATCH($M195,Data!$K$9:$K$1273,0)),"")</f>
        <v/>
      </c>
      <c r="AH195" s="312">
        <f>IFERROR(INDEX(Data!CD$9:CD$1273,MATCH($M195,Data!$K$9:$K$1273,0)),"")</f>
        <v/>
      </c>
      <c r="AI195" s="312">
        <f>IFERROR(INDEX(Data!CE$9:CE$1273,MATCH($M195,Data!$K$9:$K$1273,0)),"")</f>
        <v/>
      </c>
      <c r="AJ195" s="312">
        <f>IFERROR(INDEX(Data!CF$9:CF$1273,MATCH($M195,Data!$K$9:$K$1273,0)),"")</f>
        <v/>
      </c>
      <c r="AK195" s="312">
        <f>IFERROR(INDEX(Data!CG$9:CG$1273,MATCH($M195,Data!$K$9:$K$1273,0)),"")</f>
        <v/>
      </c>
      <c r="AL195" s="312">
        <f>IFERROR(INDEX(Data!CH$9:CH$1273,MATCH($M195,Data!$K$9:$K$1273,0)),"")</f>
        <v/>
      </c>
      <c r="AM195" s="312">
        <f>IFERROR(INDEX(Data!CI$9:CI$1273,MATCH($M195,Data!$K$9:$K$1273,0)),"")</f>
        <v/>
      </c>
      <c r="AN195" s="312">
        <f>IFERROR(INDEX(Data!CJ$9:CJ$1273,MATCH($M195,Data!$K$9:$K$1273,0)),"")</f>
        <v/>
      </c>
      <c r="AO195" s="312">
        <f>IFERROR(INDEX(Data!CK$9:CK$1273,MATCH($M195,Data!$K$9:$K$1273,0)),"")</f>
        <v/>
      </c>
      <c r="AP195" s="312">
        <f>IFERROR(INDEX(Data!CL$9:CL$1273,MATCH($M195,Data!$K$9:$K$1273,0)),"")</f>
        <v/>
      </c>
      <c r="AQ195" s="312">
        <f>IFERROR(INDEX(Data!CM$9:CM$1273,MATCH($M195,Data!$K$9:$K$1273,0)),"")</f>
        <v/>
      </c>
      <c r="AR195" s="312">
        <f>IFERROR(INDEX(Data!CN$9:CN$1273,MATCH($M195,Data!$K$9:$K$1273,0)),"")</f>
        <v/>
      </c>
      <c r="AS195" s="312">
        <f>IFERROR(INDEX(Data!CO$9:CO$1273,MATCH($M195,Data!$K$9:$K$1273,0)),"")</f>
        <v/>
      </c>
      <c r="AT195" s="312">
        <f>IFERROR(INDEX(Data!CP$9:CP$1273,MATCH($M195,Data!$K$9:$K$1273,0)),"")</f>
        <v/>
      </c>
      <c r="AU195" s="312">
        <f>IFERROR(INDEX(Data!CQ$9:CQ$1273,MATCH($M195,Data!$K$9:$K$1273,0)),"")</f>
        <v/>
      </c>
      <c r="AV195" s="312">
        <f>IFERROR(INDEX(Data!CR$9:CR$1273,MATCH($M195,Data!$K$9:$K$1273,0)),"")</f>
        <v/>
      </c>
      <c r="AW195" s="312">
        <f>IFERROR(INDEX(Data!CS$9:CS$1273,MATCH($M195,Data!$K$9:$K$1273,0)),"")</f>
        <v/>
      </c>
      <c r="AX195" s="312">
        <f>IFERROR(INDEX(Data!CT$9:CT$1273,MATCH($M195,Data!$K$9:$K$1273,0)),"")</f>
        <v/>
      </c>
      <c r="AY195" s="312">
        <f>IFERROR(INDEX(Data!CU$9:CU$1273,MATCH($M195,Data!$K$9:$K$1273,0)),"")</f>
        <v/>
      </c>
      <c r="AZ195" s="312">
        <f>IFERROR(INDEX(Data!CV$9:CV$1273,MATCH($M195,Data!$K$9:$K$1273,0)),"")</f>
        <v/>
      </c>
      <c r="BA195" s="312">
        <f>IFERROR(INDEX(Data!CX$9:CX$1273,MATCH($M195,Data!$K$9:$K$1273,0)),"")</f>
        <v/>
      </c>
      <c r="BB195" s="312">
        <f>IFERROR(INDEX(Data!CY$9:CY$1273,MATCH($M195,Data!$K$9:$K$1273,0)),"")</f>
        <v/>
      </c>
      <c r="BC195" s="312">
        <f>IFERROR(INDEX(Data!CZ$9:CZ$1273,MATCH($M195,Data!$K$9:$K$1273,0)),"")</f>
        <v/>
      </c>
      <c r="BD195" s="312">
        <f>IFERROR(INDEX(Data!DA$9:DA$1273,MATCH($M195,Data!$K$9:$K$1273,0)),"")</f>
        <v/>
      </c>
      <c r="BE195" s="312">
        <f>IFERROR(INDEX(Data!DB$9:DB$1273,MATCH($M195,Data!$K$9:$K$1273,0)),"")</f>
        <v/>
      </c>
      <c r="BF195" s="312">
        <f>IFERROR(INDEX(Data!DC$9:DC$1273,MATCH($M195,Data!$K$9:$K$1273,0)),"")</f>
        <v/>
      </c>
      <c r="BG195" s="312">
        <f>IFERROR(INDEX(Data!DD$9:DD$1273,MATCH($M195,Data!$K$9:$K$1273,0)),"")</f>
        <v/>
      </c>
      <c r="BH195" s="312">
        <f>IFERROR(INDEX(Data!DE$9:DE$1273,MATCH($M195,Data!$K$9:$K$1273,0)),"")</f>
        <v/>
      </c>
      <c r="BI195" s="312">
        <f>IFERROR(INDEX(Data!DF$9:DF$1273,MATCH($M195,Data!$K$9:$K$1273,0)),"")</f>
        <v/>
      </c>
      <c r="BJ195" s="312">
        <f>IFERROR(INDEX(Data!DG$9:DG$1273,MATCH($M195,Data!$K$9:$K$1273,0)),"")</f>
        <v/>
      </c>
      <c r="BK195" s="312">
        <f>IFERROR(INDEX(Data!DH$9:DH$1273,MATCH($M195,Data!$K$9:$K$1273,0)),"")</f>
        <v/>
      </c>
      <c r="BL195" s="312">
        <f>IFERROR(INDEX(Data!DI$9:DI$1273,MATCH($M195,Data!$K$9:$K$1273,0)),"")</f>
        <v/>
      </c>
      <c r="BM195" s="312">
        <f>IFERROR(INDEX(Data!DJ$9:DJ$1273,MATCH($M195,Data!$K$9:$K$1273,0)),"")</f>
        <v/>
      </c>
      <c r="BN195" s="312">
        <f>IFERROR(INDEX(Data!DK$9:DK$1273,MATCH($M195,Data!$K$9:$K$1273,0)),"")</f>
        <v/>
      </c>
      <c r="BO195" s="312">
        <f>IFERROR(INDEX(Data!DL$9:DL$1273,MATCH($M195,Data!$K$9:$K$1273,0)),"")</f>
        <v/>
      </c>
      <c r="BP195" s="331">
        <f>IFERROR(IF(BK195=0,"-",BK195),"")</f>
        <v/>
      </c>
      <c r="BQ195" s="312">
        <f>IFERROR(IF(BP195-K195&gt;0,TRUE,FALSE)," ")</f>
        <v/>
      </c>
      <c r="BR195" s="312">
        <f>_xlfn.CONCAT(E195,F195,H195,G195)</f>
        <v/>
      </c>
      <c r="BS195" s="312">
        <f>IFERROR(INDEX(Data!$DO$9:$DO$1273,MATCH('Your recommendation'!BR195,Data!$DN$9:$DN$1273,0)),"")</f>
        <v/>
      </c>
    </row>
    <row r="196" ht="15.6" customFormat="1" customHeight="1" s="138">
      <c r="B196" s="309">
        <f>IF(C196&gt;0,B195+1,"")</f>
        <v/>
      </c>
      <c r="C196" s="310" t="n"/>
      <c r="D196" s="312">
        <f>IFERROR(INDEX(Data!BR$9:BR$1273,MATCH($M196,Data!$K$9:$K$1273,0)),"")</f>
        <v/>
      </c>
      <c r="E196" s="312">
        <f>IFERROR(INDEX(Data!BS$9:BS$1273,MATCH($M196,Data!$K$9:$K$1273,0)),"")</f>
        <v/>
      </c>
      <c r="F196" s="312">
        <f>IFERROR(INDEX(Data!DM$9:DM$1273,MATCH($M196,Data!$K$9:$K$1273,0)),"")</f>
        <v/>
      </c>
      <c r="G196" s="312">
        <f>IFERROR(INDEX(Data!BV$9:BV$1273,MATCH($M196,Data!$K$9:$K$1273,0)),"")</f>
        <v/>
      </c>
      <c r="H196" s="312">
        <f>IFERROR(INDEX(Data!BW$9:BW$1273,MATCH($M196,Data!$K$9:$K$1273,0)),"")</f>
        <v/>
      </c>
      <c r="I196" s="312">
        <f>IFERROR(INDEX(Data!BX$9:BX$1273,MATCH($M196,Data!$K$9:$K$1273,0)),"")</f>
        <v/>
      </c>
      <c r="J196" s="312">
        <f>IFERROR(INDEX(Data!CB$9:CB$1273,MATCH($M196,Data!$K$9:$K$1273,0)),"")</f>
        <v/>
      </c>
      <c r="K196" s="329">
        <f>IFERROR(HYPERLINK(BM196,BC196),"-")</f>
        <v/>
      </c>
      <c r="L196" s="330">
        <f>IFERROR(IF(BB196=0,"-",BB196)," ")</f>
        <v/>
      </c>
      <c r="M196" s="311" t="n"/>
      <c r="N196" s="311" t="n"/>
      <c r="O196" s="311">
        <f>IFERROR(INDEX(Data!M$9:M$1273,MATCH($M196,Data!$K$9:$K$1273,0)),"")</f>
        <v/>
      </c>
      <c r="P196" s="311">
        <f>IFERROR(INDEX(Data!N$9:N$1273,MATCH($M196,Data!$K$9:$K$1273,0)),"")</f>
        <v/>
      </c>
      <c r="Q196" s="311">
        <f>IFERROR(INDEX(Data!O$9:O$1273,MATCH($M196,Data!$K$9:$K$1273,0)),"")</f>
        <v/>
      </c>
      <c r="R196" s="311">
        <f>IFERROR(INDEX(Data!P$9:P$1273,MATCH($M196,Data!$K$9:$K$1273,0)),"")</f>
        <v/>
      </c>
      <c r="S196" s="311">
        <f>IFERROR(INDEX(Data!S$9:S$1273,MATCH($M196,Data!$K$9:$K$1273,0)),"")</f>
        <v/>
      </c>
      <c r="T196" s="311">
        <f>IFERROR(INDEX(Data!T$9:T$1273,MATCH($M196,Data!$K$9:$K$1273,0)),"")</f>
        <v/>
      </c>
      <c r="U196" s="311">
        <f>IFERROR(INDEX(Data!U$9:U$1273,MATCH($M196,Data!$K$9:$K$1273,0)),"")</f>
        <v/>
      </c>
      <c r="V196" s="311">
        <f>IFERROR(INDEX(Data!V$9:V$1273,MATCH($M196,Data!$K$9:$K$1273,0)),"")</f>
        <v/>
      </c>
      <c r="W196" s="311">
        <f>IFERROR(INDEX(Data!W$9:W$1273,MATCH($M196,Data!$K$9:$K$1273,0)),"")</f>
        <v/>
      </c>
      <c r="X196" s="311">
        <f>IFERROR(INDEX(Data!AJ$9:AJ$1273,MATCH($M196,Data!$K$9:$K$1273,0)),"")</f>
        <v/>
      </c>
      <c r="Y196" s="311">
        <f>IFERROR(INDEX(Data!AK$9:AK$1273,MATCH($M196,Data!$K$9:$K$1273,0)),"")</f>
        <v/>
      </c>
      <c r="Z196" s="311">
        <f>IFERROR(INDEX(Data!AL$9:AL$1273,MATCH($M196,Data!$K$9:$K$1273,0)),"")</f>
        <v/>
      </c>
      <c r="AA196" s="311">
        <f>IFERROR(INDEX(Data!AM$9:AM$1273,MATCH($M196,Data!$K$9:$K$1273,0)),"")</f>
        <v/>
      </c>
      <c r="AB196" s="311">
        <f>IFERROR(INDEX(Data!AN$9:AN$1273,MATCH($M196,Data!$K$9:$K$1273,0)),"")</f>
        <v/>
      </c>
      <c r="AC196" s="312">
        <f>IFERROR(INDEX(Data!BY$9:BY$1273,MATCH($M196,Data!$K$9:$K$1273,0)),"")</f>
        <v/>
      </c>
      <c r="AD196" s="312">
        <f>IFERROR(INDEX(Data!BZ$9:BZ$1273,MATCH($M196,Data!$K$9:$K$1273,0)),"")</f>
        <v/>
      </c>
      <c r="AE196" s="312">
        <f>IFERROR(INDEX(Data!CA$9:CA$1273,MATCH($M196,Data!$K$9:$K$1273,0)),"")</f>
        <v/>
      </c>
      <c r="AF196" s="312">
        <f>IFERROR(INDEX(Data!CB$9:CB$1273,MATCH($M196,Data!$K$9:$K$1273,0)),"")</f>
        <v/>
      </c>
      <c r="AG196" s="312">
        <f>IFERROR(INDEX(Data!CC$9:CC$1273,MATCH($M196,Data!$K$9:$K$1273,0)),"")</f>
        <v/>
      </c>
      <c r="AH196" s="312">
        <f>IFERROR(INDEX(Data!CD$9:CD$1273,MATCH($M196,Data!$K$9:$K$1273,0)),"")</f>
        <v/>
      </c>
      <c r="AI196" s="312">
        <f>IFERROR(INDEX(Data!CE$9:CE$1273,MATCH($M196,Data!$K$9:$K$1273,0)),"")</f>
        <v/>
      </c>
      <c r="AJ196" s="312">
        <f>IFERROR(INDEX(Data!CF$9:CF$1273,MATCH($M196,Data!$K$9:$K$1273,0)),"")</f>
        <v/>
      </c>
      <c r="AK196" s="312">
        <f>IFERROR(INDEX(Data!CG$9:CG$1273,MATCH($M196,Data!$K$9:$K$1273,0)),"")</f>
        <v/>
      </c>
      <c r="AL196" s="312">
        <f>IFERROR(INDEX(Data!CH$9:CH$1273,MATCH($M196,Data!$K$9:$K$1273,0)),"")</f>
        <v/>
      </c>
      <c r="AM196" s="312">
        <f>IFERROR(INDEX(Data!CI$9:CI$1273,MATCH($M196,Data!$K$9:$K$1273,0)),"")</f>
        <v/>
      </c>
      <c r="AN196" s="312">
        <f>IFERROR(INDEX(Data!CJ$9:CJ$1273,MATCH($M196,Data!$K$9:$K$1273,0)),"")</f>
        <v/>
      </c>
      <c r="AO196" s="312">
        <f>IFERROR(INDEX(Data!CK$9:CK$1273,MATCH($M196,Data!$K$9:$K$1273,0)),"")</f>
        <v/>
      </c>
      <c r="AP196" s="312">
        <f>IFERROR(INDEX(Data!CL$9:CL$1273,MATCH($M196,Data!$K$9:$K$1273,0)),"")</f>
        <v/>
      </c>
      <c r="AQ196" s="312">
        <f>IFERROR(INDEX(Data!CM$9:CM$1273,MATCH($M196,Data!$K$9:$K$1273,0)),"")</f>
        <v/>
      </c>
      <c r="AR196" s="312">
        <f>IFERROR(INDEX(Data!CN$9:CN$1273,MATCH($M196,Data!$K$9:$K$1273,0)),"")</f>
        <v/>
      </c>
      <c r="AS196" s="312">
        <f>IFERROR(INDEX(Data!CO$9:CO$1273,MATCH($M196,Data!$K$9:$K$1273,0)),"")</f>
        <v/>
      </c>
      <c r="AT196" s="312">
        <f>IFERROR(INDEX(Data!CP$9:CP$1273,MATCH($M196,Data!$K$9:$K$1273,0)),"")</f>
        <v/>
      </c>
      <c r="AU196" s="312">
        <f>IFERROR(INDEX(Data!CQ$9:CQ$1273,MATCH($M196,Data!$K$9:$K$1273,0)),"")</f>
        <v/>
      </c>
      <c r="AV196" s="312">
        <f>IFERROR(INDEX(Data!CR$9:CR$1273,MATCH($M196,Data!$K$9:$K$1273,0)),"")</f>
        <v/>
      </c>
      <c r="AW196" s="312">
        <f>IFERROR(INDEX(Data!CS$9:CS$1273,MATCH($M196,Data!$K$9:$K$1273,0)),"")</f>
        <v/>
      </c>
      <c r="AX196" s="312">
        <f>IFERROR(INDEX(Data!CT$9:CT$1273,MATCH($M196,Data!$K$9:$K$1273,0)),"")</f>
        <v/>
      </c>
      <c r="AY196" s="312">
        <f>IFERROR(INDEX(Data!CU$9:CU$1273,MATCH($M196,Data!$K$9:$K$1273,0)),"")</f>
        <v/>
      </c>
      <c r="AZ196" s="312">
        <f>IFERROR(INDEX(Data!CV$9:CV$1273,MATCH($M196,Data!$K$9:$K$1273,0)),"")</f>
        <v/>
      </c>
      <c r="BA196" s="312">
        <f>IFERROR(INDEX(Data!CX$9:CX$1273,MATCH($M196,Data!$K$9:$K$1273,0)),"")</f>
        <v/>
      </c>
      <c r="BB196" s="312">
        <f>IFERROR(INDEX(Data!CY$9:CY$1273,MATCH($M196,Data!$K$9:$K$1273,0)),"")</f>
        <v/>
      </c>
      <c r="BC196" s="312">
        <f>IFERROR(INDEX(Data!CZ$9:CZ$1273,MATCH($M196,Data!$K$9:$K$1273,0)),"")</f>
        <v/>
      </c>
      <c r="BD196" s="312">
        <f>IFERROR(INDEX(Data!DA$9:DA$1273,MATCH($M196,Data!$K$9:$K$1273,0)),"")</f>
        <v/>
      </c>
      <c r="BE196" s="312">
        <f>IFERROR(INDEX(Data!DB$9:DB$1273,MATCH($M196,Data!$K$9:$K$1273,0)),"")</f>
        <v/>
      </c>
      <c r="BF196" s="312">
        <f>IFERROR(INDEX(Data!DC$9:DC$1273,MATCH($M196,Data!$K$9:$K$1273,0)),"")</f>
        <v/>
      </c>
      <c r="BG196" s="312">
        <f>IFERROR(INDEX(Data!DD$9:DD$1273,MATCH($M196,Data!$K$9:$K$1273,0)),"")</f>
        <v/>
      </c>
      <c r="BH196" s="312">
        <f>IFERROR(INDEX(Data!DE$9:DE$1273,MATCH($M196,Data!$K$9:$K$1273,0)),"")</f>
        <v/>
      </c>
      <c r="BI196" s="312">
        <f>IFERROR(INDEX(Data!DF$9:DF$1273,MATCH($M196,Data!$K$9:$K$1273,0)),"")</f>
        <v/>
      </c>
      <c r="BJ196" s="312">
        <f>IFERROR(INDEX(Data!DG$9:DG$1273,MATCH($M196,Data!$K$9:$K$1273,0)),"")</f>
        <v/>
      </c>
      <c r="BK196" s="312">
        <f>IFERROR(INDEX(Data!DH$9:DH$1273,MATCH($M196,Data!$K$9:$K$1273,0)),"")</f>
        <v/>
      </c>
      <c r="BL196" s="312">
        <f>IFERROR(INDEX(Data!DI$9:DI$1273,MATCH($M196,Data!$K$9:$K$1273,0)),"")</f>
        <v/>
      </c>
      <c r="BM196" s="312">
        <f>IFERROR(INDEX(Data!DJ$9:DJ$1273,MATCH($M196,Data!$K$9:$K$1273,0)),"")</f>
        <v/>
      </c>
      <c r="BN196" s="312">
        <f>IFERROR(INDEX(Data!DK$9:DK$1273,MATCH($M196,Data!$K$9:$K$1273,0)),"")</f>
        <v/>
      </c>
      <c r="BO196" s="312">
        <f>IFERROR(INDEX(Data!DL$9:DL$1273,MATCH($M196,Data!$K$9:$K$1273,0)),"")</f>
        <v/>
      </c>
      <c r="BP196" s="331">
        <f>IFERROR(IF(BK196=0,"-",BK196),"")</f>
        <v/>
      </c>
      <c r="BQ196" s="312">
        <f>IFERROR(IF(BP196-K196&gt;0,TRUE,FALSE)," ")</f>
        <v/>
      </c>
      <c r="BR196" s="312">
        <f>_xlfn.CONCAT(E196,F196,H196,G196)</f>
        <v/>
      </c>
      <c r="BS196" s="312">
        <f>IFERROR(INDEX(Data!$DO$9:$DO$1273,MATCH('Your recommendation'!BR196,Data!$DN$9:$DN$1273,0)),"")</f>
        <v/>
      </c>
    </row>
    <row r="197" ht="15.6" customFormat="1" customHeight="1" s="138">
      <c r="B197" s="309">
        <f>IF(C197&gt;0,B196+1,"")</f>
        <v/>
      </c>
      <c r="C197" s="310" t="n"/>
      <c r="D197" s="312">
        <f>IFERROR(INDEX(Data!BR$9:BR$1273,MATCH($M197,Data!$K$9:$K$1273,0)),"")</f>
        <v/>
      </c>
      <c r="E197" s="312">
        <f>IFERROR(INDEX(Data!BS$9:BS$1273,MATCH($M197,Data!$K$9:$K$1273,0)),"")</f>
        <v/>
      </c>
      <c r="F197" s="312">
        <f>IFERROR(INDEX(Data!DM$9:DM$1273,MATCH($M197,Data!$K$9:$K$1273,0)),"")</f>
        <v/>
      </c>
      <c r="G197" s="312">
        <f>IFERROR(INDEX(Data!BV$9:BV$1273,MATCH($M197,Data!$K$9:$K$1273,0)),"")</f>
        <v/>
      </c>
      <c r="H197" s="312">
        <f>IFERROR(INDEX(Data!BW$9:BW$1273,MATCH($M197,Data!$K$9:$K$1273,0)),"")</f>
        <v/>
      </c>
      <c r="I197" s="312">
        <f>IFERROR(INDEX(Data!BX$9:BX$1273,MATCH($M197,Data!$K$9:$K$1273,0)),"")</f>
        <v/>
      </c>
      <c r="J197" s="312">
        <f>IFERROR(INDEX(Data!CB$9:CB$1273,MATCH($M197,Data!$K$9:$K$1273,0)),"")</f>
        <v/>
      </c>
      <c r="K197" s="329">
        <f>IFERROR(HYPERLINK(BM197,BC197),"-")</f>
        <v/>
      </c>
      <c r="L197" s="330">
        <f>IFERROR(IF(BB197=0,"-",BB197)," ")</f>
        <v/>
      </c>
      <c r="M197" s="311" t="n"/>
      <c r="N197" s="311" t="n"/>
      <c r="O197" s="311">
        <f>IFERROR(INDEX(Data!M$9:M$1273,MATCH($M197,Data!$K$9:$K$1273,0)),"")</f>
        <v/>
      </c>
      <c r="P197" s="311">
        <f>IFERROR(INDEX(Data!N$9:N$1273,MATCH($M197,Data!$K$9:$K$1273,0)),"")</f>
        <v/>
      </c>
      <c r="Q197" s="311">
        <f>IFERROR(INDEX(Data!O$9:O$1273,MATCH($M197,Data!$K$9:$K$1273,0)),"")</f>
        <v/>
      </c>
      <c r="R197" s="311">
        <f>IFERROR(INDEX(Data!P$9:P$1273,MATCH($M197,Data!$K$9:$K$1273,0)),"")</f>
        <v/>
      </c>
      <c r="S197" s="311">
        <f>IFERROR(INDEX(Data!S$9:S$1273,MATCH($M197,Data!$K$9:$K$1273,0)),"")</f>
        <v/>
      </c>
      <c r="T197" s="311">
        <f>IFERROR(INDEX(Data!T$9:T$1273,MATCH($M197,Data!$K$9:$K$1273,0)),"")</f>
        <v/>
      </c>
      <c r="U197" s="311">
        <f>IFERROR(INDEX(Data!U$9:U$1273,MATCH($M197,Data!$K$9:$K$1273,0)),"")</f>
        <v/>
      </c>
      <c r="V197" s="311">
        <f>IFERROR(INDEX(Data!V$9:V$1273,MATCH($M197,Data!$K$9:$K$1273,0)),"")</f>
        <v/>
      </c>
      <c r="W197" s="311">
        <f>IFERROR(INDEX(Data!W$9:W$1273,MATCH($M197,Data!$K$9:$K$1273,0)),"")</f>
        <v/>
      </c>
      <c r="X197" s="311">
        <f>IFERROR(INDEX(Data!AJ$9:AJ$1273,MATCH($M197,Data!$K$9:$K$1273,0)),"")</f>
        <v/>
      </c>
      <c r="Y197" s="311">
        <f>IFERROR(INDEX(Data!AK$9:AK$1273,MATCH($M197,Data!$K$9:$K$1273,0)),"")</f>
        <v/>
      </c>
      <c r="Z197" s="311">
        <f>IFERROR(INDEX(Data!AL$9:AL$1273,MATCH($M197,Data!$K$9:$K$1273,0)),"")</f>
        <v/>
      </c>
      <c r="AA197" s="311">
        <f>IFERROR(INDEX(Data!AM$9:AM$1273,MATCH($M197,Data!$K$9:$K$1273,0)),"")</f>
        <v/>
      </c>
      <c r="AB197" s="311">
        <f>IFERROR(INDEX(Data!AN$9:AN$1273,MATCH($M197,Data!$K$9:$K$1273,0)),"")</f>
        <v/>
      </c>
      <c r="AC197" s="312">
        <f>IFERROR(INDEX(Data!BY$9:BY$1273,MATCH($M197,Data!$K$9:$K$1273,0)),"")</f>
        <v/>
      </c>
      <c r="AD197" s="312">
        <f>IFERROR(INDEX(Data!BZ$9:BZ$1273,MATCH($M197,Data!$K$9:$K$1273,0)),"")</f>
        <v/>
      </c>
      <c r="AE197" s="312">
        <f>IFERROR(INDEX(Data!CA$9:CA$1273,MATCH($M197,Data!$K$9:$K$1273,0)),"")</f>
        <v/>
      </c>
      <c r="AF197" s="312">
        <f>IFERROR(INDEX(Data!CB$9:CB$1273,MATCH($M197,Data!$K$9:$K$1273,0)),"")</f>
        <v/>
      </c>
      <c r="AG197" s="312">
        <f>IFERROR(INDEX(Data!CC$9:CC$1273,MATCH($M197,Data!$K$9:$K$1273,0)),"")</f>
        <v/>
      </c>
      <c r="AH197" s="312">
        <f>IFERROR(INDEX(Data!CD$9:CD$1273,MATCH($M197,Data!$K$9:$K$1273,0)),"")</f>
        <v/>
      </c>
      <c r="AI197" s="312">
        <f>IFERROR(INDEX(Data!CE$9:CE$1273,MATCH($M197,Data!$K$9:$K$1273,0)),"")</f>
        <v/>
      </c>
      <c r="AJ197" s="312">
        <f>IFERROR(INDEX(Data!CF$9:CF$1273,MATCH($M197,Data!$K$9:$K$1273,0)),"")</f>
        <v/>
      </c>
      <c r="AK197" s="312">
        <f>IFERROR(INDEX(Data!CG$9:CG$1273,MATCH($M197,Data!$K$9:$K$1273,0)),"")</f>
        <v/>
      </c>
      <c r="AL197" s="312">
        <f>IFERROR(INDEX(Data!CH$9:CH$1273,MATCH($M197,Data!$K$9:$K$1273,0)),"")</f>
        <v/>
      </c>
      <c r="AM197" s="312">
        <f>IFERROR(INDEX(Data!CI$9:CI$1273,MATCH($M197,Data!$K$9:$K$1273,0)),"")</f>
        <v/>
      </c>
      <c r="AN197" s="312">
        <f>IFERROR(INDEX(Data!CJ$9:CJ$1273,MATCH($M197,Data!$K$9:$K$1273,0)),"")</f>
        <v/>
      </c>
      <c r="AO197" s="312">
        <f>IFERROR(INDEX(Data!CK$9:CK$1273,MATCH($M197,Data!$K$9:$K$1273,0)),"")</f>
        <v/>
      </c>
      <c r="AP197" s="312">
        <f>IFERROR(INDEX(Data!CL$9:CL$1273,MATCH($M197,Data!$K$9:$K$1273,0)),"")</f>
        <v/>
      </c>
      <c r="AQ197" s="312">
        <f>IFERROR(INDEX(Data!CM$9:CM$1273,MATCH($M197,Data!$K$9:$K$1273,0)),"")</f>
        <v/>
      </c>
      <c r="AR197" s="312">
        <f>IFERROR(INDEX(Data!CN$9:CN$1273,MATCH($M197,Data!$K$9:$K$1273,0)),"")</f>
        <v/>
      </c>
      <c r="AS197" s="312">
        <f>IFERROR(INDEX(Data!CO$9:CO$1273,MATCH($M197,Data!$K$9:$K$1273,0)),"")</f>
        <v/>
      </c>
      <c r="AT197" s="312">
        <f>IFERROR(INDEX(Data!CP$9:CP$1273,MATCH($M197,Data!$K$9:$K$1273,0)),"")</f>
        <v/>
      </c>
      <c r="AU197" s="312">
        <f>IFERROR(INDEX(Data!CQ$9:CQ$1273,MATCH($M197,Data!$K$9:$K$1273,0)),"")</f>
        <v/>
      </c>
      <c r="AV197" s="312">
        <f>IFERROR(INDEX(Data!CR$9:CR$1273,MATCH($M197,Data!$K$9:$K$1273,0)),"")</f>
        <v/>
      </c>
      <c r="AW197" s="312">
        <f>IFERROR(INDEX(Data!CS$9:CS$1273,MATCH($M197,Data!$K$9:$K$1273,0)),"")</f>
        <v/>
      </c>
      <c r="AX197" s="312">
        <f>IFERROR(INDEX(Data!CT$9:CT$1273,MATCH($M197,Data!$K$9:$K$1273,0)),"")</f>
        <v/>
      </c>
      <c r="AY197" s="312">
        <f>IFERROR(INDEX(Data!CU$9:CU$1273,MATCH($M197,Data!$K$9:$K$1273,0)),"")</f>
        <v/>
      </c>
      <c r="AZ197" s="312">
        <f>IFERROR(INDEX(Data!CV$9:CV$1273,MATCH($M197,Data!$K$9:$K$1273,0)),"")</f>
        <v/>
      </c>
      <c r="BA197" s="312">
        <f>IFERROR(INDEX(Data!CX$9:CX$1273,MATCH($M197,Data!$K$9:$K$1273,0)),"")</f>
        <v/>
      </c>
      <c r="BB197" s="312">
        <f>IFERROR(INDEX(Data!CY$9:CY$1273,MATCH($M197,Data!$K$9:$K$1273,0)),"")</f>
        <v/>
      </c>
      <c r="BC197" s="312">
        <f>IFERROR(INDEX(Data!CZ$9:CZ$1273,MATCH($M197,Data!$K$9:$K$1273,0)),"")</f>
        <v/>
      </c>
      <c r="BD197" s="312">
        <f>IFERROR(INDEX(Data!DA$9:DA$1273,MATCH($M197,Data!$K$9:$K$1273,0)),"")</f>
        <v/>
      </c>
      <c r="BE197" s="312">
        <f>IFERROR(INDEX(Data!DB$9:DB$1273,MATCH($M197,Data!$K$9:$K$1273,0)),"")</f>
        <v/>
      </c>
      <c r="BF197" s="312">
        <f>IFERROR(INDEX(Data!DC$9:DC$1273,MATCH($M197,Data!$K$9:$K$1273,0)),"")</f>
        <v/>
      </c>
      <c r="BG197" s="312">
        <f>IFERROR(INDEX(Data!DD$9:DD$1273,MATCH($M197,Data!$K$9:$K$1273,0)),"")</f>
        <v/>
      </c>
      <c r="BH197" s="312">
        <f>IFERROR(INDEX(Data!DE$9:DE$1273,MATCH($M197,Data!$K$9:$K$1273,0)),"")</f>
        <v/>
      </c>
      <c r="BI197" s="312">
        <f>IFERROR(INDEX(Data!DF$9:DF$1273,MATCH($M197,Data!$K$9:$K$1273,0)),"")</f>
        <v/>
      </c>
      <c r="BJ197" s="312">
        <f>IFERROR(INDEX(Data!DG$9:DG$1273,MATCH($M197,Data!$K$9:$K$1273,0)),"")</f>
        <v/>
      </c>
      <c r="BK197" s="312">
        <f>IFERROR(INDEX(Data!DH$9:DH$1273,MATCH($M197,Data!$K$9:$K$1273,0)),"")</f>
        <v/>
      </c>
      <c r="BL197" s="312">
        <f>IFERROR(INDEX(Data!DI$9:DI$1273,MATCH($M197,Data!$K$9:$K$1273,0)),"")</f>
        <v/>
      </c>
      <c r="BM197" s="312">
        <f>IFERROR(INDEX(Data!DJ$9:DJ$1273,MATCH($M197,Data!$K$9:$K$1273,0)),"")</f>
        <v/>
      </c>
      <c r="BN197" s="312">
        <f>IFERROR(INDEX(Data!DK$9:DK$1273,MATCH($M197,Data!$K$9:$K$1273,0)),"")</f>
        <v/>
      </c>
      <c r="BO197" s="312">
        <f>IFERROR(INDEX(Data!DL$9:DL$1273,MATCH($M197,Data!$K$9:$K$1273,0)),"")</f>
        <v/>
      </c>
      <c r="BP197" s="331">
        <f>IFERROR(IF(BK197=0,"-",BK197),"")</f>
        <v/>
      </c>
      <c r="BQ197" s="312">
        <f>IFERROR(IF(BP197-K197&gt;0,TRUE,FALSE)," ")</f>
        <v/>
      </c>
      <c r="BR197" s="312">
        <f>_xlfn.CONCAT(E197,F197,H197,G197)</f>
        <v/>
      </c>
      <c r="BS197" s="312">
        <f>IFERROR(INDEX(Data!$DO$9:$DO$1273,MATCH('Your recommendation'!BR197,Data!$DN$9:$DN$1273,0)),"")</f>
        <v/>
      </c>
    </row>
    <row r="198" ht="15.6" customFormat="1" customHeight="1" s="138">
      <c r="B198" s="309">
        <f>IF(C198&gt;0,B197+1,"")</f>
        <v/>
      </c>
      <c r="C198" s="310" t="n"/>
      <c r="D198" s="312">
        <f>IFERROR(INDEX(Data!BR$9:BR$1273,MATCH($M198,Data!$K$9:$K$1273,0)),"")</f>
        <v/>
      </c>
      <c r="E198" s="312">
        <f>IFERROR(INDEX(Data!BS$9:BS$1273,MATCH($M198,Data!$K$9:$K$1273,0)),"")</f>
        <v/>
      </c>
      <c r="F198" s="312">
        <f>IFERROR(INDEX(Data!DM$9:DM$1273,MATCH($M198,Data!$K$9:$K$1273,0)),"")</f>
        <v/>
      </c>
      <c r="G198" s="312">
        <f>IFERROR(INDEX(Data!BV$9:BV$1273,MATCH($M198,Data!$K$9:$K$1273,0)),"")</f>
        <v/>
      </c>
      <c r="H198" s="312">
        <f>IFERROR(INDEX(Data!BW$9:BW$1273,MATCH($M198,Data!$K$9:$K$1273,0)),"")</f>
        <v/>
      </c>
      <c r="I198" s="312">
        <f>IFERROR(INDEX(Data!BX$9:BX$1273,MATCH($M198,Data!$K$9:$K$1273,0)),"")</f>
        <v/>
      </c>
      <c r="J198" s="312">
        <f>IFERROR(INDEX(Data!CB$9:CB$1273,MATCH($M198,Data!$K$9:$K$1273,0)),"")</f>
        <v/>
      </c>
      <c r="K198" s="329">
        <f>IFERROR(HYPERLINK(BM198,BC198),"-")</f>
        <v/>
      </c>
      <c r="L198" s="330">
        <f>IFERROR(IF(BB198=0,"-",BB198)," ")</f>
        <v/>
      </c>
      <c r="M198" s="311" t="n"/>
      <c r="N198" s="311" t="n"/>
      <c r="O198" s="311">
        <f>IFERROR(INDEX(Data!M$9:M$1273,MATCH($M198,Data!$K$9:$K$1273,0)),"")</f>
        <v/>
      </c>
      <c r="P198" s="311">
        <f>IFERROR(INDEX(Data!N$9:N$1273,MATCH($M198,Data!$K$9:$K$1273,0)),"")</f>
        <v/>
      </c>
      <c r="Q198" s="311">
        <f>IFERROR(INDEX(Data!O$9:O$1273,MATCH($M198,Data!$K$9:$K$1273,0)),"")</f>
        <v/>
      </c>
      <c r="R198" s="311">
        <f>IFERROR(INDEX(Data!P$9:P$1273,MATCH($M198,Data!$K$9:$K$1273,0)),"")</f>
        <v/>
      </c>
      <c r="S198" s="311">
        <f>IFERROR(INDEX(Data!S$9:S$1273,MATCH($M198,Data!$K$9:$K$1273,0)),"")</f>
        <v/>
      </c>
      <c r="T198" s="311">
        <f>IFERROR(INDEX(Data!T$9:T$1273,MATCH($M198,Data!$K$9:$K$1273,0)),"")</f>
        <v/>
      </c>
      <c r="U198" s="311">
        <f>IFERROR(INDEX(Data!U$9:U$1273,MATCH($M198,Data!$K$9:$K$1273,0)),"")</f>
        <v/>
      </c>
      <c r="V198" s="311">
        <f>IFERROR(INDEX(Data!V$9:V$1273,MATCH($M198,Data!$K$9:$K$1273,0)),"")</f>
        <v/>
      </c>
      <c r="W198" s="311">
        <f>IFERROR(INDEX(Data!W$9:W$1273,MATCH($M198,Data!$K$9:$K$1273,0)),"")</f>
        <v/>
      </c>
      <c r="X198" s="311">
        <f>IFERROR(INDEX(Data!AJ$9:AJ$1273,MATCH($M198,Data!$K$9:$K$1273,0)),"")</f>
        <v/>
      </c>
      <c r="Y198" s="311">
        <f>IFERROR(INDEX(Data!AK$9:AK$1273,MATCH($M198,Data!$K$9:$K$1273,0)),"")</f>
        <v/>
      </c>
      <c r="Z198" s="311">
        <f>IFERROR(INDEX(Data!AL$9:AL$1273,MATCH($M198,Data!$K$9:$K$1273,0)),"")</f>
        <v/>
      </c>
      <c r="AA198" s="311">
        <f>IFERROR(INDEX(Data!AM$9:AM$1273,MATCH($M198,Data!$K$9:$K$1273,0)),"")</f>
        <v/>
      </c>
      <c r="AB198" s="311">
        <f>IFERROR(INDEX(Data!AN$9:AN$1273,MATCH($M198,Data!$K$9:$K$1273,0)),"")</f>
        <v/>
      </c>
      <c r="AC198" s="312">
        <f>IFERROR(INDEX(Data!BY$9:BY$1273,MATCH($M198,Data!$K$9:$K$1273,0)),"")</f>
        <v/>
      </c>
      <c r="AD198" s="312">
        <f>IFERROR(INDEX(Data!BZ$9:BZ$1273,MATCH($M198,Data!$K$9:$K$1273,0)),"")</f>
        <v/>
      </c>
      <c r="AE198" s="312">
        <f>IFERROR(INDEX(Data!CA$9:CA$1273,MATCH($M198,Data!$K$9:$K$1273,0)),"")</f>
        <v/>
      </c>
      <c r="AF198" s="312">
        <f>IFERROR(INDEX(Data!CB$9:CB$1273,MATCH($M198,Data!$K$9:$K$1273,0)),"")</f>
        <v/>
      </c>
      <c r="AG198" s="312">
        <f>IFERROR(INDEX(Data!CC$9:CC$1273,MATCH($M198,Data!$K$9:$K$1273,0)),"")</f>
        <v/>
      </c>
      <c r="AH198" s="312">
        <f>IFERROR(INDEX(Data!CD$9:CD$1273,MATCH($M198,Data!$K$9:$K$1273,0)),"")</f>
        <v/>
      </c>
      <c r="AI198" s="312">
        <f>IFERROR(INDEX(Data!CE$9:CE$1273,MATCH($M198,Data!$K$9:$K$1273,0)),"")</f>
        <v/>
      </c>
      <c r="AJ198" s="312">
        <f>IFERROR(INDEX(Data!CF$9:CF$1273,MATCH($M198,Data!$K$9:$K$1273,0)),"")</f>
        <v/>
      </c>
      <c r="AK198" s="312">
        <f>IFERROR(INDEX(Data!CG$9:CG$1273,MATCH($M198,Data!$K$9:$K$1273,0)),"")</f>
        <v/>
      </c>
      <c r="AL198" s="312">
        <f>IFERROR(INDEX(Data!CH$9:CH$1273,MATCH($M198,Data!$K$9:$K$1273,0)),"")</f>
        <v/>
      </c>
      <c r="AM198" s="312">
        <f>IFERROR(INDEX(Data!CI$9:CI$1273,MATCH($M198,Data!$K$9:$K$1273,0)),"")</f>
        <v/>
      </c>
      <c r="AN198" s="312">
        <f>IFERROR(INDEX(Data!CJ$9:CJ$1273,MATCH($M198,Data!$K$9:$K$1273,0)),"")</f>
        <v/>
      </c>
      <c r="AO198" s="312">
        <f>IFERROR(INDEX(Data!CK$9:CK$1273,MATCH($M198,Data!$K$9:$K$1273,0)),"")</f>
        <v/>
      </c>
      <c r="AP198" s="312">
        <f>IFERROR(INDEX(Data!CL$9:CL$1273,MATCH($M198,Data!$K$9:$K$1273,0)),"")</f>
        <v/>
      </c>
      <c r="AQ198" s="312">
        <f>IFERROR(INDEX(Data!CM$9:CM$1273,MATCH($M198,Data!$K$9:$K$1273,0)),"")</f>
        <v/>
      </c>
      <c r="AR198" s="312">
        <f>IFERROR(INDEX(Data!CN$9:CN$1273,MATCH($M198,Data!$K$9:$K$1273,0)),"")</f>
        <v/>
      </c>
      <c r="AS198" s="312">
        <f>IFERROR(INDEX(Data!CO$9:CO$1273,MATCH($M198,Data!$K$9:$K$1273,0)),"")</f>
        <v/>
      </c>
      <c r="AT198" s="312">
        <f>IFERROR(INDEX(Data!CP$9:CP$1273,MATCH($M198,Data!$K$9:$K$1273,0)),"")</f>
        <v/>
      </c>
      <c r="AU198" s="312">
        <f>IFERROR(INDEX(Data!CQ$9:CQ$1273,MATCH($M198,Data!$K$9:$K$1273,0)),"")</f>
        <v/>
      </c>
      <c r="AV198" s="312">
        <f>IFERROR(INDEX(Data!CR$9:CR$1273,MATCH($M198,Data!$K$9:$K$1273,0)),"")</f>
        <v/>
      </c>
      <c r="AW198" s="312">
        <f>IFERROR(INDEX(Data!CS$9:CS$1273,MATCH($M198,Data!$K$9:$K$1273,0)),"")</f>
        <v/>
      </c>
      <c r="AX198" s="312">
        <f>IFERROR(INDEX(Data!CT$9:CT$1273,MATCH($M198,Data!$K$9:$K$1273,0)),"")</f>
        <v/>
      </c>
      <c r="AY198" s="312">
        <f>IFERROR(INDEX(Data!CU$9:CU$1273,MATCH($M198,Data!$K$9:$K$1273,0)),"")</f>
        <v/>
      </c>
      <c r="AZ198" s="312">
        <f>IFERROR(INDEX(Data!CV$9:CV$1273,MATCH($M198,Data!$K$9:$K$1273,0)),"")</f>
        <v/>
      </c>
      <c r="BA198" s="312">
        <f>IFERROR(INDEX(Data!CX$9:CX$1273,MATCH($M198,Data!$K$9:$K$1273,0)),"")</f>
        <v/>
      </c>
      <c r="BB198" s="312">
        <f>IFERROR(INDEX(Data!CY$9:CY$1273,MATCH($M198,Data!$K$9:$K$1273,0)),"")</f>
        <v/>
      </c>
      <c r="BC198" s="312">
        <f>IFERROR(INDEX(Data!CZ$9:CZ$1273,MATCH($M198,Data!$K$9:$K$1273,0)),"")</f>
        <v/>
      </c>
      <c r="BD198" s="312">
        <f>IFERROR(INDEX(Data!DA$9:DA$1273,MATCH($M198,Data!$K$9:$K$1273,0)),"")</f>
        <v/>
      </c>
      <c r="BE198" s="312">
        <f>IFERROR(INDEX(Data!DB$9:DB$1273,MATCH($M198,Data!$K$9:$K$1273,0)),"")</f>
        <v/>
      </c>
      <c r="BF198" s="312">
        <f>IFERROR(INDEX(Data!DC$9:DC$1273,MATCH($M198,Data!$K$9:$K$1273,0)),"")</f>
        <v/>
      </c>
      <c r="BG198" s="312">
        <f>IFERROR(INDEX(Data!DD$9:DD$1273,MATCH($M198,Data!$K$9:$K$1273,0)),"")</f>
        <v/>
      </c>
      <c r="BH198" s="312">
        <f>IFERROR(INDEX(Data!DE$9:DE$1273,MATCH($M198,Data!$K$9:$K$1273,0)),"")</f>
        <v/>
      </c>
      <c r="BI198" s="312">
        <f>IFERROR(INDEX(Data!DF$9:DF$1273,MATCH($M198,Data!$K$9:$K$1273,0)),"")</f>
        <v/>
      </c>
      <c r="BJ198" s="312">
        <f>IFERROR(INDEX(Data!DG$9:DG$1273,MATCH($M198,Data!$K$9:$K$1273,0)),"")</f>
        <v/>
      </c>
      <c r="BK198" s="312">
        <f>IFERROR(INDEX(Data!DH$9:DH$1273,MATCH($M198,Data!$K$9:$K$1273,0)),"")</f>
        <v/>
      </c>
      <c r="BL198" s="312">
        <f>IFERROR(INDEX(Data!DI$9:DI$1273,MATCH($M198,Data!$K$9:$K$1273,0)),"")</f>
        <v/>
      </c>
      <c r="BM198" s="312">
        <f>IFERROR(INDEX(Data!DJ$9:DJ$1273,MATCH($M198,Data!$K$9:$K$1273,0)),"")</f>
        <v/>
      </c>
      <c r="BN198" s="312">
        <f>IFERROR(INDEX(Data!DK$9:DK$1273,MATCH($M198,Data!$K$9:$K$1273,0)),"")</f>
        <v/>
      </c>
      <c r="BO198" s="312">
        <f>IFERROR(INDEX(Data!DL$9:DL$1273,MATCH($M198,Data!$K$9:$K$1273,0)),"")</f>
        <v/>
      </c>
      <c r="BP198" s="331">
        <f>IFERROR(IF(BK198=0,"-",BK198),"")</f>
        <v/>
      </c>
      <c r="BQ198" s="312">
        <f>IFERROR(IF(BP198-K198&gt;0,TRUE,FALSE)," ")</f>
        <v/>
      </c>
      <c r="BR198" s="312">
        <f>_xlfn.CONCAT(E198,F198,H198,G198)</f>
        <v/>
      </c>
      <c r="BS198" s="312">
        <f>IFERROR(INDEX(Data!$DO$9:$DO$1273,MATCH('Your recommendation'!BR198,Data!$DN$9:$DN$1273,0)),"")</f>
        <v/>
      </c>
    </row>
    <row r="199" ht="15.6" customFormat="1" customHeight="1" s="138">
      <c r="B199" s="309">
        <f>IF(C199&gt;0,B198+1,"")</f>
        <v/>
      </c>
      <c r="C199" s="310" t="n"/>
      <c r="D199" s="312">
        <f>IFERROR(INDEX(Data!BR$9:BR$1273,MATCH($M199,Data!$K$9:$K$1273,0)),"")</f>
        <v/>
      </c>
      <c r="E199" s="312">
        <f>IFERROR(INDEX(Data!BS$9:BS$1273,MATCH($M199,Data!$K$9:$K$1273,0)),"")</f>
        <v/>
      </c>
      <c r="F199" s="312">
        <f>IFERROR(INDEX(Data!DM$9:DM$1273,MATCH($M199,Data!$K$9:$K$1273,0)),"")</f>
        <v/>
      </c>
      <c r="G199" s="312">
        <f>IFERROR(INDEX(Data!BV$9:BV$1273,MATCH($M199,Data!$K$9:$K$1273,0)),"")</f>
        <v/>
      </c>
      <c r="H199" s="312">
        <f>IFERROR(INDEX(Data!BW$9:BW$1273,MATCH($M199,Data!$K$9:$K$1273,0)),"")</f>
        <v/>
      </c>
      <c r="I199" s="312">
        <f>IFERROR(INDEX(Data!BX$9:BX$1273,MATCH($M199,Data!$K$9:$K$1273,0)),"")</f>
        <v/>
      </c>
      <c r="J199" s="312">
        <f>IFERROR(INDEX(Data!CB$9:CB$1273,MATCH($M199,Data!$K$9:$K$1273,0)),"")</f>
        <v/>
      </c>
      <c r="K199" s="329">
        <f>IFERROR(HYPERLINK(BM199,BC199),"-")</f>
        <v/>
      </c>
      <c r="L199" s="330">
        <f>IFERROR(IF(BB199=0,"-",BB199)," ")</f>
        <v/>
      </c>
      <c r="M199" s="311" t="n"/>
      <c r="N199" s="311" t="n"/>
      <c r="O199" s="311">
        <f>IFERROR(INDEX(Data!M$9:M$1273,MATCH($M199,Data!$K$9:$K$1273,0)),"")</f>
        <v/>
      </c>
      <c r="P199" s="311">
        <f>IFERROR(INDEX(Data!N$9:N$1273,MATCH($M199,Data!$K$9:$K$1273,0)),"")</f>
        <v/>
      </c>
      <c r="Q199" s="311">
        <f>IFERROR(INDEX(Data!O$9:O$1273,MATCH($M199,Data!$K$9:$K$1273,0)),"")</f>
        <v/>
      </c>
      <c r="R199" s="311">
        <f>IFERROR(INDEX(Data!P$9:P$1273,MATCH($M199,Data!$K$9:$K$1273,0)),"")</f>
        <v/>
      </c>
      <c r="S199" s="311">
        <f>IFERROR(INDEX(Data!S$9:S$1273,MATCH($M199,Data!$K$9:$K$1273,0)),"")</f>
        <v/>
      </c>
      <c r="T199" s="311">
        <f>IFERROR(INDEX(Data!T$9:T$1273,MATCH($M199,Data!$K$9:$K$1273,0)),"")</f>
        <v/>
      </c>
      <c r="U199" s="311">
        <f>IFERROR(INDEX(Data!U$9:U$1273,MATCH($M199,Data!$K$9:$K$1273,0)),"")</f>
        <v/>
      </c>
      <c r="V199" s="311">
        <f>IFERROR(INDEX(Data!V$9:V$1273,MATCH($M199,Data!$K$9:$K$1273,0)),"")</f>
        <v/>
      </c>
      <c r="W199" s="311">
        <f>IFERROR(INDEX(Data!W$9:W$1273,MATCH($M199,Data!$K$9:$K$1273,0)),"")</f>
        <v/>
      </c>
      <c r="X199" s="311">
        <f>IFERROR(INDEX(Data!AJ$9:AJ$1273,MATCH($M199,Data!$K$9:$K$1273,0)),"")</f>
        <v/>
      </c>
      <c r="Y199" s="311">
        <f>IFERROR(INDEX(Data!AK$9:AK$1273,MATCH($M199,Data!$K$9:$K$1273,0)),"")</f>
        <v/>
      </c>
      <c r="Z199" s="311">
        <f>IFERROR(INDEX(Data!AL$9:AL$1273,MATCH($M199,Data!$K$9:$K$1273,0)),"")</f>
        <v/>
      </c>
      <c r="AA199" s="311">
        <f>IFERROR(INDEX(Data!AM$9:AM$1273,MATCH($M199,Data!$K$9:$K$1273,0)),"")</f>
        <v/>
      </c>
      <c r="AB199" s="311">
        <f>IFERROR(INDEX(Data!AN$9:AN$1273,MATCH($M199,Data!$K$9:$K$1273,0)),"")</f>
        <v/>
      </c>
      <c r="AC199" s="312">
        <f>IFERROR(INDEX(Data!BY$9:BY$1273,MATCH($M199,Data!$K$9:$K$1273,0)),"")</f>
        <v/>
      </c>
      <c r="AD199" s="312">
        <f>IFERROR(INDEX(Data!BZ$9:BZ$1273,MATCH($M199,Data!$K$9:$K$1273,0)),"")</f>
        <v/>
      </c>
      <c r="AE199" s="312">
        <f>IFERROR(INDEX(Data!CA$9:CA$1273,MATCH($M199,Data!$K$9:$K$1273,0)),"")</f>
        <v/>
      </c>
      <c r="AF199" s="312">
        <f>IFERROR(INDEX(Data!CB$9:CB$1273,MATCH($M199,Data!$K$9:$K$1273,0)),"")</f>
        <v/>
      </c>
      <c r="AG199" s="312">
        <f>IFERROR(INDEX(Data!CC$9:CC$1273,MATCH($M199,Data!$K$9:$K$1273,0)),"")</f>
        <v/>
      </c>
      <c r="AH199" s="312">
        <f>IFERROR(INDEX(Data!CD$9:CD$1273,MATCH($M199,Data!$K$9:$K$1273,0)),"")</f>
        <v/>
      </c>
      <c r="AI199" s="312">
        <f>IFERROR(INDEX(Data!CE$9:CE$1273,MATCH($M199,Data!$K$9:$K$1273,0)),"")</f>
        <v/>
      </c>
      <c r="AJ199" s="312">
        <f>IFERROR(INDEX(Data!CF$9:CF$1273,MATCH($M199,Data!$K$9:$K$1273,0)),"")</f>
        <v/>
      </c>
      <c r="AK199" s="312">
        <f>IFERROR(INDEX(Data!CG$9:CG$1273,MATCH($M199,Data!$K$9:$K$1273,0)),"")</f>
        <v/>
      </c>
      <c r="AL199" s="312">
        <f>IFERROR(INDEX(Data!CH$9:CH$1273,MATCH($M199,Data!$K$9:$K$1273,0)),"")</f>
        <v/>
      </c>
      <c r="AM199" s="312">
        <f>IFERROR(INDEX(Data!CI$9:CI$1273,MATCH($M199,Data!$K$9:$K$1273,0)),"")</f>
        <v/>
      </c>
      <c r="AN199" s="312">
        <f>IFERROR(INDEX(Data!CJ$9:CJ$1273,MATCH($M199,Data!$K$9:$K$1273,0)),"")</f>
        <v/>
      </c>
      <c r="AO199" s="312">
        <f>IFERROR(INDEX(Data!CK$9:CK$1273,MATCH($M199,Data!$K$9:$K$1273,0)),"")</f>
        <v/>
      </c>
      <c r="AP199" s="312">
        <f>IFERROR(INDEX(Data!CL$9:CL$1273,MATCH($M199,Data!$K$9:$K$1273,0)),"")</f>
        <v/>
      </c>
      <c r="AQ199" s="312">
        <f>IFERROR(INDEX(Data!CM$9:CM$1273,MATCH($M199,Data!$K$9:$K$1273,0)),"")</f>
        <v/>
      </c>
      <c r="AR199" s="312">
        <f>IFERROR(INDEX(Data!CN$9:CN$1273,MATCH($M199,Data!$K$9:$K$1273,0)),"")</f>
        <v/>
      </c>
      <c r="AS199" s="312">
        <f>IFERROR(INDEX(Data!CO$9:CO$1273,MATCH($M199,Data!$K$9:$K$1273,0)),"")</f>
        <v/>
      </c>
      <c r="AT199" s="312">
        <f>IFERROR(INDEX(Data!CP$9:CP$1273,MATCH($M199,Data!$K$9:$K$1273,0)),"")</f>
        <v/>
      </c>
      <c r="AU199" s="312">
        <f>IFERROR(INDEX(Data!CQ$9:CQ$1273,MATCH($M199,Data!$K$9:$K$1273,0)),"")</f>
        <v/>
      </c>
      <c r="AV199" s="312">
        <f>IFERROR(INDEX(Data!CR$9:CR$1273,MATCH($M199,Data!$K$9:$K$1273,0)),"")</f>
        <v/>
      </c>
      <c r="AW199" s="312">
        <f>IFERROR(INDEX(Data!CS$9:CS$1273,MATCH($M199,Data!$K$9:$K$1273,0)),"")</f>
        <v/>
      </c>
      <c r="AX199" s="312">
        <f>IFERROR(INDEX(Data!CT$9:CT$1273,MATCH($M199,Data!$K$9:$K$1273,0)),"")</f>
        <v/>
      </c>
      <c r="AY199" s="312">
        <f>IFERROR(INDEX(Data!CU$9:CU$1273,MATCH($M199,Data!$K$9:$K$1273,0)),"")</f>
        <v/>
      </c>
      <c r="AZ199" s="312">
        <f>IFERROR(INDEX(Data!CV$9:CV$1273,MATCH($M199,Data!$K$9:$K$1273,0)),"")</f>
        <v/>
      </c>
      <c r="BA199" s="312">
        <f>IFERROR(INDEX(Data!CX$9:CX$1273,MATCH($M199,Data!$K$9:$K$1273,0)),"")</f>
        <v/>
      </c>
      <c r="BB199" s="312">
        <f>IFERROR(INDEX(Data!CY$9:CY$1273,MATCH($M199,Data!$K$9:$K$1273,0)),"")</f>
        <v/>
      </c>
      <c r="BC199" s="312">
        <f>IFERROR(INDEX(Data!CZ$9:CZ$1273,MATCH($M199,Data!$K$9:$K$1273,0)),"")</f>
        <v/>
      </c>
      <c r="BD199" s="312">
        <f>IFERROR(INDEX(Data!DA$9:DA$1273,MATCH($M199,Data!$K$9:$K$1273,0)),"")</f>
        <v/>
      </c>
      <c r="BE199" s="312">
        <f>IFERROR(INDEX(Data!DB$9:DB$1273,MATCH($M199,Data!$K$9:$K$1273,0)),"")</f>
        <v/>
      </c>
      <c r="BF199" s="312">
        <f>IFERROR(INDEX(Data!DC$9:DC$1273,MATCH($M199,Data!$K$9:$K$1273,0)),"")</f>
        <v/>
      </c>
      <c r="BG199" s="312">
        <f>IFERROR(INDEX(Data!DD$9:DD$1273,MATCH($M199,Data!$K$9:$K$1273,0)),"")</f>
        <v/>
      </c>
      <c r="BH199" s="312">
        <f>IFERROR(INDEX(Data!DE$9:DE$1273,MATCH($M199,Data!$K$9:$K$1273,0)),"")</f>
        <v/>
      </c>
      <c r="BI199" s="312">
        <f>IFERROR(INDEX(Data!DF$9:DF$1273,MATCH($M199,Data!$K$9:$K$1273,0)),"")</f>
        <v/>
      </c>
      <c r="BJ199" s="312">
        <f>IFERROR(INDEX(Data!DG$9:DG$1273,MATCH($M199,Data!$K$9:$K$1273,0)),"")</f>
        <v/>
      </c>
      <c r="BK199" s="312">
        <f>IFERROR(INDEX(Data!DH$9:DH$1273,MATCH($M199,Data!$K$9:$K$1273,0)),"")</f>
        <v/>
      </c>
      <c r="BL199" s="312">
        <f>IFERROR(INDEX(Data!DI$9:DI$1273,MATCH($M199,Data!$K$9:$K$1273,0)),"")</f>
        <v/>
      </c>
      <c r="BM199" s="312">
        <f>IFERROR(INDEX(Data!DJ$9:DJ$1273,MATCH($M199,Data!$K$9:$K$1273,0)),"")</f>
        <v/>
      </c>
      <c r="BN199" s="312">
        <f>IFERROR(INDEX(Data!DK$9:DK$1273,MATCH($M199,Data!$K$9:$K$1273,0)),"")</f>
        <v/>
      </c>
      <c r="BO199" s="312">
        <f>IFERROR(INDEX(Data!DL$9:DL$1273,MATCH($M199,Data!$K$9:$K$1273,0)),"")</f>
        <v/>
      </c>
      <c r="BP199" s="331">
        <f>IFERROR(IF(BK199=0,"-",BK199),"")</f>
        <v/>
      </c>
      <c r="BQ199" s="312">
        <f>IFERROR(IF(BP199-K199&gt;0,TRUE,FALSE)," ")</f>
        <v/>
      </c>
      <c r="BR199" s="312">
        <f>_xlfn.CONCAT(E199,F199,H199,G199)</f>
        <v/>
      </c>
      <c r="BS199" s="312">
        <f>IFERROR(INDEX(Data!$DO$9:$DO$1273,MATCH('Your recommendation'!BR199,Data!$DN$9:$DN$1273,0)),"")</f>
        <v/>
      </c>
    </row>
    <row r="200" ht="15.6" customFormat="1" customHeight="1" s="138">
      <c r="B200" s="309">
        <f>IF(C200&gt;0,B199+1,"")</f>
        <v/>
      </c>
      <c r="C200" s="310" t="n"/>
      <c r="D200" s="312">
        <f>IFERROR(INDEX(Data!BR$9:BR$1273,MATCH($M200,Data!$K$9:$K$1273,0)),"")</f>
        <v/>
      </c>
      <c r="E200" s="312">
        <f>IFERROR(INDEX(Data!BS$9:BS$1273,MATCH($M200,Data!$K$9:$K$1273,0)),"")</f>
        <v/>
      </c>
      <c r="F200" s="312">
        <f>IFERROR(INDEX(Data!DM$9:DM$1273,MATCH($M200,Data!$K$9:$K$1273,0)),"")</f>
        <v/>
      </c>
      <c r="G200" s="312">
        <f>IFERROR(INDEX(Data!BV$9:BV$1273,MATCH($M200,Data!$K$9:$K$1273,0)),"")</f>
        <v/>
      </c>
      <c r="H200" s="312">
        <f>IFERROR(INDEX(Data!BW$9:BW$1273,MATCH($M200,Data!$K$9:$K$1273,0)),"")</f>
        <v/>
      </c>
      <c r="I200" s="312">
        <f>IFERROR(INDEX(Data!BX$9:BX$1273,MATCH($M200,Data!$K$9:$K$1273,0)),"")</f>
        <v/>
      </c>
      <c r="J200" s="312">
        <f>IFERROR(INDEX(Data!CB$9:CB$1273,MATCH($M200,Data!$K$9:$K$1273,0)),"")</f>
        <v/>
      </c>
      <c r="K200" s="329">
        <f>IFERROR(HYPERLINK(BM200,BC200),"-")</f>
        <v/>
      </c>
      <c r="L200" s="330">
        <f>IFERROR(IF(BB200=0,"-",BB200)," ")</f>
        <v/>
      </c>
      <c r="M200" s="311" t="n"/>
      <c r="N200" s="311" t="n"/>
      <c r="O200" s="311">
        <f>IFERROR(INDEX(Data!M$9:M$1273,MATCH($M200,Data!$K$9:$K$1273,0)),"")</f>
        <v/>
      </c>
      <c r="P200" s="311">
        <f>IFERROR(INDEX(Data!N$9:N$1273,MATCH($M200,Data!$K$9:$K$1273,0)),"")</f>
        <v/>
      </c>
      <c r="Q200" s="311">
        <f>IFERROR(INDEX(Data!O$9:O$1273,MATCH($M200,Data!$K$9:$K$1273,0)),"")</f>
        <v/>
      </c>
      <c r="R200" s="311">
        <f>IFERROR(INDEX(Data!P$9:P$1273,MATCH($M200,Data!$K$9:$K$1273,0)),"")</f>
        <v/>
      </c>
      <c r="S200" s="311">
        <f>IFERROR(INDEX(Data!S$9:S$1273,MATCH($M200,Data!$K$9:$K$1273,0)),"")</f>
        <v/>
      </c>
      <c r="T200" s="311">
        <f>IFERROR(INDEX(Data!T$9:T$1273,MATCH($M200,Data!$K$9:$K$1273,0)),"")</f>
        <v/>
      </c>
      <c r="U200" s="311">
        <f>IFERROR(INDEX(Data!U$9:U$1273,MATCH($M200,Data!$K$9:$K$1273,0)),"")</f>
        <v/>
      </c>
      <c r="V200" s="311">
        <f>IFERROR(INDEX(Data!V$9:V$1273,MATCH($M200,Data!$K$9:$K$1273,0)),"")</f>
        <v/>
      </c>
      <c r="W200" s="311">
        <f>IFERROR(INDEX(Data!W$9:W$1273,MATCH($M200,Data!$K$9:$K$1273,0)),"")</f>
        <v/>
      </c>
      <c r="X200" s="311">
        <f>IFERROR(INDEX(Data!AJ$9:AJ$1273,MATCH($M200,Data!$K$9:$K$1273,0)),"")</f>
        <v/>
      </c>
      <c r="Y200" s="311">
        <f>IFERROR(INDEX(Data!AK$9:AK$1273,MATCH($M200,Data!$K$9:$K$1273,0)),"")</f>
        <v/>
      </c>
      <c r="Z200" s="311">
        <f>IFERROR(INDEX(Data!AL$9:AL$1273,MATCH($M200,Data!$K$9:$K$1273,0)),"")</f>
        <v/>
      </c>
      <c r="AA200" s="311">
        <f>IFERROR(INDEX(Data!AM$9:AM$1273,MATCH($M200,Data!$K$9:$K$1273,0)),"")</f>
        <v/>
      </c>
      <c r="AB200" s="311">
        <f>IFERROR(INDEX(Data!AN$9:AN$1273,MATCH($M200,Data!$K$9:$K$1273,0)),"")</f>
        <v/>
      </c>
      <c r="AC200" s="312">
        <f>IFERROR(INDEX(Data!BY$9:BY$1273,MATCH($M200,Data!$K$9:$K$1273,0)),"")</f>
        <v/>
      </c>
      <c r="AD200" s="312">
        <f>IFERROR(INDEX(Data!BZ$9:BZ$1273,MATCH($M200,Data!$K$9:$K$1273,0)),"")</f>
        <v/>
      </c>
      <c r="AE200" s="312">
        <f>IFERROR(INDEX(Data!CA$9:CA$1273,MATCH($M200,Data!$K$9:$K$1273,0)),"")</f>
        <v/>
      </c>
      <c r="AF200" s="312">
        <f>IFERROR(INDEX(Data!CB$9:CB$1273,MATCH($M200,Data!$K$9:$K$1273,0)),"")</f>
        <v/>
      </c>
      <c r="AG200" s="312">
        <f>IFERROR(INDEX(Data!CC$9:CC$1273,MATCH($M200,Data!$K$9:$K$1273,0)),"")</f>
        <v/>
      </c>
      <c r="AH200" s="312">
        <f>IFERROR(INDEX(Data!CD$9:CD$1273,MATCH($M200,Data!$K$9:$K$1273,0)),"")</f>
        <v/>
      </c>
      <c r="AI200" s="312">
        <f>IFERROR(INDEX(Data!CE$9:CE$1273,MATCH($M200,Data!$K$9:$K$1273,0)),"")</f>
        <v/>
      </c>
      <c r="AJ200" s="312">
        <f>IFERROR(INDEX(Data!CF$9:CF$1273,MATCH($M200,Data!$K$9:$K$1273,0)),"")</f>
        <v/>
      </c>
      <c r="AK200" s="312">
        <f>IFERROR(INDEX(Data!CG$9:CG$1273,MATCH($M200,Data!$K$9:$K$1273,0)),"")</f>
        <v/>
      </c>
      <c r="AL200" s="312">
        <f>IFERROR(INDEX(Data!CH$9:CH$1273,MATCH($M200,Data!$K$9:$K$1273,0)),"")</f>
        <v/>
      </c>
      <c r="AM200" s="312">
        <f>IFERROR(INDEX(Data!CI$9:CI$1273,MATCH($M200,Data!$K$9:$K$1273,0)),"")</f>
        <v/>
      </c>
      <c r="AN200" s="312">
        <f>IFERROR(INDEX(Data!CJ$9:CJ$1273,MATCH($M200,Data!$K$9:$K$1273,0)),"")</f>
        <v/>
      </c>
      <c r="AO200" s="312">
        <f>IFERROR(INDEX(Data!CK$9:CK$1273,MATCH($M200,Data!$K$9:$K$1273,0)),"")</f>
        <v/>
      </c>
      <c r="AP200" s="312">
        <f>IFERROR(INDEX(Data!CL$9:CL$1273,MATCH($M200,Data!$K$9:$K$1273,0)),"")</f>
        <v/>
      </c>
      <c r="AQ200" s="312">
        <f>IFERROR(INDEX(Data!CM$9:CM$1273,MATCH($M200,Data!$K$9:$K$1273,0)),"")</f>
        <v/>
      </c>
      <c r="AR200" s="312">
        <f>IFERROR(INDEX(Data!CN$9:CN$1273,MATCH($M200,Data!$K$9:$K$1273,0)),"")</f>
        <v/>
      </c>
      <c r="AS200" s="312">
        <f>IFERROR(INDEX(Data!CO$9:CO$1273,MATCH($M200,Data!$K$9:$K$1273,0)),"")</f>
        <v/>
      </c>
      <c r="AT200" s="312">
        <f>IFERROR(INDEX(Data!CP$9:CP$1273,MATCH($M200,Data!$K$9:$K$1273,0)),"")</f>
        <v/>
      </c>
      <c r="AU200" s="312">
        <f>IFERROR(INDEX(Data!CQ$9:CQ$1273,MATCH($M200,Data!$K$9:$K$1273,0)),"")</f>
        <v/>
      </c>
      <c r="AV200" s="312">
        <f>IFERROR(INDEX(Data!CR$9:CR$1273,MATCH($M200,Data!$K$9:$K$1273,0)),"")</f>
        <v/>
      </c>
      <c r="AW200" s="312">
        <f>IFERROR(INDEX(Data!CS$9:CS$1273,MATCH($M200,Data!$K$9:$K$1273,0)),"")</f>
        <v/>
      </c>
      <c r="AX200" s="312">
        <f>IFERROR(INDEX(Data!CT$9:CT$1273,MATCH($M200,Data!$K$9:$K$1273,0)),"")</f>
        <v/>
      </c>
      <c r="AY200" s="312">
        <f>IFERROR(INDEX(Data!CU$9:CU$1273,MATCH($M200,Data!$K$9:$K$1273,0)),"")</f>
        <v/>
      </c>
      <c r="AZ200" s="312">
        <f>IFERROR(INDEX(Data!CV$9:CV$1273,MATCH($M200,Data!$K$9:$K$1273,0)),"")</f>
        <v/>
      </c>
      <c r="BA200" s="312">
        <f>IFERROR(INDEX(Data!CX$9:CX$1273,MATCH($M200,Data!$K$9:$K$1273,0)),"")</f>
        <v/>
      </c>
      <c r="BB200" s="312">
        <f>IFERROR(INDEX(Data!CY$9:CY$1273,MATCH($M200,Data!$K$9:$K$1273,0)),"")</f>
        <v/>
      </c>
      <c r="BC200" s="312">
        <f>IFERROR(INDEX(Data!CZ$9:CZ$1273,MATCH($M200,Data!$K$9:$K$1273,0)),"")</f>
        <v/>
      </c>
      <c r="BD200" s="312">
        <f>IFERROR(INDEX(Data!DA$9:DA$1273,MATCH($M200,Data!$K$9:$K$1273,0)),"")</f>
        <v/>
      </c>
      <c r="BE200" s="312">
        <f>IFERROR(INDEX(Data!DB$9:DB$1273,MATCH($M200,Data!$K$9:$K$1273,0)),"")</f>
        <v/>
      </c>
      <c r="BF200" s="312">
        <f>IFERROR(INDEX(Data!DC$9:DC$1273,MATCH($M200,Data!$K$9:$K$1273,0)),"")</f>
        <v/>
      </c>
      <c r="BG200" s="312">
        <f>IFERROR(INDEX(Data!DD$9:DD$1273,MATCH($M200,Data!$K$9:$K$1273,0)),"")</f>
        <v/>
      </c>
      <c r="BH200" s="312">
        <f>IFERROR(INDEX(Data!DE$9:DE$1273,MATCH($M200,Data!$K$9:$K$1273,0)),"")</f>
        <v/>
      </c>
      <c r="BI200" s="312">
        <f>IFERROR(INDEX(Data!DF$9:DF$1273,MATCH($M200,Data!$K$9:$K$1273,0)),"")</f>
        <v/>
      </c>
      <c r="BJ200" s="312">
        <f>IFERROR(INDEX(Data!DG$9:DG$1273,MATCH($M200,Data!$K$9:$K$1273,0)),"")</f>
        <v/>
      </c>
      <c r="BK200" s="312">
        <f>IFERROR(INDEX(Data!DH$9:DH$1273,MATCH($M200,Data!$K$9:$K$1273,0)),"")</f>
        <v/>
      </c>
      <c r="BL200" s="312">
        <f>IFERROR(INDEX(Data!DI$9:DI$1273,MATCH($M200,Data!$K$9:$K$1273,0)),"")</f>
        <v/>
      </c>
      <c r="BM200" s="312">
        <f>IFERROR(INDEX(Data!DJ$9:DJ$1273,MATCH($M200,Data!$K$9:$K$1273,0)),"")</f>
        <v/>
      </c>
      <c r="BN200" s="312">
        <f>IFERROR(INDEX(Data!DK$9:DK$1273,MATCH($M200,Data!$K$9:$K$1273,0)),"")</f>
        <v/>
      </c>
      <c r="BO200" s="312">
        <f>IFERROR(INDEX(Data!DL$9:DL$1273,MATCH($M200,Data!$K$9:$K$1273,0)),"")</f>
        <v/>
      </c>
      <c r="BP200" s="331">
        <f>IFERROR(IF(BK200=0,"-",BK200),"")</f>
        <v/>
      </c>
      <c r="BQ200" s="312">
        <f>IFERROR(IF(BP200-K200&gt;0,TRUE,FALSE)," ")</f>
        <v/>
      </c>
      <c r="BR200" s="312">
        <f>_xlfn.CONCAT(E200,F200,H200,G200)</f>
        <v/>
      </c>
      <c r="BS200" s="312">
        <f>IFERROR(INDEX(Data!$DO$9:$DO$1273,MATCH('Your recommendation'!BR200,Data!$DN$9:$DN$1273,0)),"")</f>
        <v/>
      </c>
    </row>
    <row r="201" ht="15.6" customFormat="1" customHeight="1" s="138">
      <c r="B201" s="309">
        <f>IF(C201&gt;0,B200+1,"")</f>
        <v/>
      </c>
      <c r="C201" s="310" t="n"/>
      <c r="D201" s="312">
        <f>IFERROR(INDEX(Data!BR$9:BR$1273,MATCH($M201,Data!$K$9:$K$1273,0)),"")</f>
        <v/>
      </c>
      <c r="E201" s="312">
        <f>IFERROR(INDEX(Data!BS$9:BS$1273,MATCH($M201,Data!$K$9:$K$1273,0)),"")</f>
        <v/>
      </c>
      <c r="F201" s="312">
        <f>IFERROR(INDEX(Data!DM$9:DM$1273,MATCH($M201,Data!$K$9:$K$1273,0)),"")</f>
        <v/>
      </c>
      <c r="G201" s="312">
        <f>IFERROR(INDEX(Data!BV$9:BV$1273,MATCH($M201,Data!$K$9:$K$1273,0)),"")</f>
        <v/>
      </c>
      <c r="H201" s="312">
        <f>IFERROR(INDEX(Data!BW$9:BW$1273,MATCH($M201,Data!$K$9:$K$1273,0)),"")</f>
        <v/>
      </c>
      <c r="I201" s="312">
        <f>IFERROR(INDEX(Data!BX$9:BX$1273,MATCH($M201,Data!$K$9:$K$1273,0)),"")</f>
        <v/>
      </c>
      <c r="J201" s="312">
        <f>IFERROR(INDEX(Data!CB$9:CB$1273,MATCH($M201,Data!$K$9:$K$1273,0)),"")</f>
        <v/>
      </c>
      <c r="K201" s="329">
        <f>IFERROR(HYPERLINK(BM201,BC201),"-")</f>
        <v/>
      </c>
      <c r="L201" s="330">
        <f>IFERROR(IF(BB201=0,"-",BB201)," ")</f>
        <v/>
      </c>
      <c r="M201" s="311" t="n"/>
      <c r="N201" s="311" t="n"/>
      <c r="O201" s="311">
        <f>IFERROR(INDEX(Data!M$9:M$1273,MATCH($M201,Data!$K$9:$K$1273,0)),"")</f>
        <v/>
      </c>
      <c r="P201" s="311">
        <f>IFERROR(INDEX(Data!N$9:N$1273,MATCH($M201,Data!$K$9:$K$1273,0)),"")</f>
        <v/>
      </c>
      <c r="Q201" s="311">
        <f>IFERROR(INDEX(Data!O$9:O$1273,MATCH($M201,Data!$K$9:$K$1273,0)),"")</f>
        <v/>
      </c>
      <c r="R201" s="311">
        <f>IFERROR(INDEX(Data!P$9:P$1273,MATCH($M201,Data!$K$9:$K$1273,0)),"")</f>
        <v/>
      </c>
      <c r="S201" s="311">
        <f>IFERROR(INDEX(Data!S$9:S$1273,MATCH($M201,Data!$K$9:$K$1273,0)),"")</f>
        <v/>
      </c>
      <c r="T201" s="311">
        <f>IFERROR(INDEX(Data!T$9:T$1273,MATCH($M201,Data!$K$9:$K$1273,0)),"")</f>
        <v/>
      </c>
      <c r="U201" s="311">
        <f>IFERROR(INDEX(Data!U$9:U$1273,MATCH($M201,Data!$K$9:$K$1273,0)),"")</f>
        <v/>
      </c>
      <c r="V201" s="311">
        <f>IFERROR(INDEX(Data!V$9:V$1273,MATCH($M201,Data!$K$9:$K$1273,0)),"")</f>
        <v/>
      </c>
      <c r="W201" s="311">
        <f>IFERROR(INDEX(Data!W$9:W$1273,MATCH($M201,Data!$K$9:$K$1273,0)),"")</f>
        <v/>
      </c>
      <c r="X201" s="311">
        <f>IFERROR(INDEX(Data!AJ$9:AJ$1273,MATCH($M201,Data!$K$9:$K$1273,0)),"")</f>
        <v/>
      </c>
      <c r="Y201" s="311">
        <f>IFERROR(INDEX(Data!AK$9:AK$1273,MATCH($M201,Data!$K$9:$K$1273,0)),"")</f>
        <v/>
      </c>
      <c r="Z201" s="311">
        <f>IFERROR(INDEX(Data!AL$9:AL$1273,MATCH($M201,Data!$K$9:$K$1273,0)),"")</f>
        <v/>
      </c>
      <c r="AA201" s="311">
        <f>IFERROR(INDEX(Data!AM$9:AM$1273,MATCH($M201,Data!$K$9:$K$1273,0)),"")</f>
        <v/>
      </c>
      <c r="AB201" s="311">
        <f>IFERROR(INDEX(Data!AN$9:AN$1273,MATCH($M201,Data!$K$9:$K$1273,0)),"")</f>
        <v/>
      </c>
      <c r="AC201" s="312">
        <f>IFERROR(INDEX(Data!BY$9:BY$1273,MATCH($M201,Data!$K$9:$K$1273,0)),"")</f>
        <v/>
      </c>
      <c r="AD201" s="312">
        <f>IFERROR(INDEX(Data!BZ$9:BZ$1273,MATCH($M201,Data!$K$9:$K$1273,0)),"")</f>
        <v/>
      </c>
      <c r="AE201" s="312">
        <f>IFERROR(INDEX(Data!CA$9:CA$1273,MATCH($M201,Data!$K$9:$K$1273,0)),"")</f>
        <v/>
      </c>
      <c r="AF201" s="312">
        <f>IFERROR(INDEX(Data!CB$9:CB$1273,MATCH($M201,Data!$K$9:$K$1273,0)),"")</f>
        <v/>
      </c>
      <c r="AG201" s="312">
        <f>IFERROR(INDEX(Data!CC$9:CC$1273,MATCH($M201,Data!$K$9:$K$1273,0)),"")</f>
        <v/>
      </c>
      <c r="AH201" s="312">
        <f>IFERROR(INDEX(Data!CD$9:CD$1273,MATCH($M201,Data!$K$9:$K$1273,0)),"")</f>
        <v/>
      </c>
      <c r="AI201" s="312">
        <f>IFERROR(INDEX(Data!CE$9:CE$1273,MATCH($M201,Data!$K$9:$K$1273,0)),"")</f>
        <v/>
      </c>
      <c r="AJ201" s="312">
        <f>IFERROR(INDEX(Data!CF$9:CF$1273,MATCH($M201,Data!$K$9:$K$1273,0)),"")</f>
        <v/>
      </c>
      <c r="AK201" s="312">
        <f>IFERROR(INDEX(Data!CG$9:CG$1273,MATCH($M201,Data!$K$9:$K$1273,0)),"")</f>
        <v/>
      </c>
      <c r="AL201" s="312">
        <f>IFERROR(INDEX(Data!CH$9:CH$1273,MATCH($M201,Data!$K$9:$K$1273,0)),"")</f>
        <v/>
      </c>
      <c r="AM201" s="312">
        <f>IFERROR(INDEX(Data!CI$9:CI$1273,MATCH($M201,Data!$K$9:$K$1273,0)),"")</f>
        <v/>
      </c>
      <c r="AN201" s="312">
        <f>IFERROR(INDEX(Data!CJ$9:CJ$1273,MATCH($M201,Data!$K$9:$K$1273,0)),"")</f>
        <v/>
      </c>
      <c r="AO201" s="312">
        <f>IFERROR(INDEX(Data!CK$9:CK$1273,MATCH($M201,Data!$K$9:$K$1273,0)),"")</f>
        <v/>
      </c>
      <c r="AP201" s="312">
        <f>IFERROR(INDEX(Data!CL$9:CL$1273,MATCH($M201,Data!$K$9:$K$1273,0)),"")</f>
        <v/>
      </c>
      <c r="AQ201" s="312">
        <f>IFERROR(INDEX(Data!CM$9:CM$1273,MATCH($M201,Data!$K$9:$K$1273,0)),"")</f>
        <v/>
      </c>
      <c r="AR201" s="312">
        <f>IFERROR(INDEX(Data!CN$9:CN$1273,MATCH($M201,Data!$K$9:$K$1273,0)),"")</f>
        <v/>
      </c>
      <c r="AS201" s="312">
        <f>IFERROR(INDEX(Data!CO$9:CO$1273,MATCH($M201,Data!$K$9:$K$1273,0)),"")</f>
        <v/>
      </c>
      <c r="AT201" s="312">
        <f>IFERROR(INDEX(Data!CP$9:CP$1273,MATCH($M201,Data!$K$9:$K$1273,0)),"")</f>
        <v/>
      </c>
      <c r="AU201" s="312">
        <f>IFERROR(INDEX(Data!CQ$9:CQ$1273,MATCH($M201,Data!$K$9:$K$1273,0)),"")</f>
        <v/>
      </c>
      <c r="AV201" s="312">
        <f>IFERROR(INDEX(Data!CR$9:CR$1273,MATCH($M201,Data!$K$9:$K$1273,0)),"")</f>
        <v/>
      </c>
      <c r="AW201" s="312">
        <f>IFERROR(INDEX(Data!CS$9:CS$1273,MATCH($M201,Data!$K$9:$K$1273,0)),"")</f>
        <v/>
      </c>
      <c r="AX201" s="312">
        <f>IFERROR(INDEX(Data!CT$9:CT$1273,MATCH($M201,Data!$K$9:$K$1273,0)),"")</f>
        <v/>
      </c>
      <c r="AY201" s="312">
        <f>IFERROR(INDEX(Data!CU$9:CU$1273,MATCH($M201,Data!$K$9:$K$1273,0)),"")</f>
        <v/>
      </c>
      <c r="AZ201" s="312">
        <f>IFERROR(INDEX(Data!CV$9:CV$1273,MATCH($M201,Data!$K$9:$K$1273,0)),"")</f>
        <v/>
      </c>
      <c r="BA201" s="312">
        <f>IFERROR(INDEX(Data!CX$9:CX$1273,MATCH($M201,Data!$K$9:$K$1273,0)),"")</f>
        <v/>
      </c>
      <c r="BB201" s="312">
        <f>IFERROR(INDEX(Data!CY$9:CY$1273,MATCH($M201,Data!$K$9:$K$1273,0)),"")</f>
        <v/>
      </c>
      <c r="BC201" s="312">
        <f>IFERROR(INDEX(Data!CZ$9:CZ$1273,MATCH($M201,Data!$K$9:$K$1273,0)),"")</f>
        <v/>
      </c>
      <c r="BD201" s="312">
        <f>IFERROR(INDEX(Data!DA$9:DA$1273,MATCH($M201,Data!$K$9:$K$1273,0)),"")</f>
        <v/>
      </c>
      <c r="BE201" s="312">
        <f>IFERROR(INDEX(Data!DB$9:DB$1273,MATCH($M201,Data!$K$9:$K$1273,0)),"")</f>
        <v/>
      </c>
      <c r="BF201" s="312">
        <f>IFERROR(INDEX(Data!DC$9:DC$1273,MATCH($M201,Data!$K$9:$K$1273,0)),"")</f>
        <v/>
      </c>
      <c r="BG201" s="312">
        <f>IFERROR(INDEX(Data!DD$9:DD$1273,MATCH($M201,Data!$K$9:$K$1273,0)),"")</f>
        <v/>
      </c>
      <c r="BH201" s="312">
        <f>IFERROR(INDEX(Data!DE$9:DE$1273,MATCH($M201,Data!$K$9:$K$1273,0)),"")</f>
        <v/>
      </c>
      <c r="BI201" s="312">
        <f>IFERROR(INDEX(Data!DF$9:DF$1273,MATCH($M201,Data!$K$9:$K$1273,0)),"")</f>
        <v/>
      </c>
      <c r="BJ201" s="312">
        <f>IFERROR(INDEX(Data!DG$9:DG$1273,MATCH($M201,Data!$K$9:$K$1273,0)),"")</f>
        <v/>
      </c>
      <c r="BK201" s="312">
        <f>IFERROR(INDEX(Data!DH$9:DH$1273,MATCH($M201,Data!$K$9:$K$1273,0)),"")</f>
        <v/>
      </c>
      <c r="BL201" s="312">
        <f>IFERROR(INDEX(Data!DI$9:DI$1273,MATCH($M201,Data!$K$9:$K$1273,0)),"")</f>
        <v/>
      </c>
      <c r="BM201" s="312">
        <f>IFERROR(INDEX(Data!DJ$9:DJ$1273,MATCH($M201,Data!$K$9:$K$1273,0)),"")</f>
        <v/>
      </c>
      <c r="BN201" s="312">
        <f>IFERROR(INDEX(Data!DK$9:DK$1273,MATCH($M201,Data!$K$9:$K$1273,0)),"")</f>
        <v/>
      </c>
      <c r="BO201" s="312">
        <f>IFERROR(INDEX(Data!DL$9:DL$1273,MATCH($M201,Data!$K$9:$K$1273,0)),"")</f>
        <v/>
      </c>
      <c r="BP201" s="331">
        <f>IFERROR(IF(BK201=0,"-",BK201),"")</f>
        <v/>
      </c>
      <c r="BQ201" s="312">
        <f>IFERROR(IF(BP201-K201&gt;0,TRUE,FALSE)," ")</f>
        <v/>
      </c>
      <c r="BR201" s="312">
        <f>_xlfn.CONCAT(E201,F201,H201,G201)</f>
        <v/>
      </c>
      <c r="BS201" s="312">
        <f>IFERROR(INDEX(Data!$DO$9:$DO$1273,MATCH('Your recommendation'!BR201,Data!$DN$9:$DN$1273,0)),"")</f>
        <v/>
      </c>
    </row>
    <row r="202" ht="15.6" customFormat="1" customHeight="1" s="138">
      <c r="B202" s="309">
        <f>IF(C202&gt;0,B201+1,"")</f>
        <v/>
      </c>
      <c r="C202" s="310" t="n"/>
      <c r="D202" s="312">
        <f>IFERROR(INDEX(Data!BR$9:BR$1273,MATCH($M202,Data!$K$9:$K$1273,0)),"")</f>
        <v/>
      </c>
      <c r="E202" s="312">
        <f>IFERROR(INDEX(Data!BS$9:BS$1273,MATCH($M202,Data!$K$9:$K$1273,0)),"")</f>
        <v/>
      </c>
      <c r="F202" s="312">
        <f>IFERROR(INDEX(Data!DM$9:DM$1273,MATCH($M202,Data!$K$9:$K$1273,0)),"")</f>
        <v/>
      </c>
      <c r="G202" s="312">
        <f>IFERROR(INDEX(Data!BV$9:BV$1273,MATCH($M202,Data!$K$9:$K$1273,0)),"")</f>
        <v/>
      </c>
      <c r="H202" s="312">
        <f>IFERROR(INDEX(Data!BW$9:BW$1273,MATCH($M202,Data!$K$9:$K$1273,0)),"")</f>
        <v/>
      </c>
      <c r="I202" s="312">
        <f>IFERROR(INDEX(Data!BX$9:BX$1273,MATCH($M202,Data!$K$9:$K$1273,0)),"")</f>
        <v/>
      </c>
      <c r="J202" s="312">
        <f>IFERROR(INDEX(Data!CB$9:CB$1273,MATCH($M202,Data!$K$9:$K$1273,0)),"")</f>
        <v/>
      </c>
      <c r="K202" s="329">
        <f>IFERROR(HYPERLINK(BM202,BC202),"-")</f>
        <v/>
      </c>
      <c r="L202" s="330">
        <f>IFERROR(IF(BB202=0,"-",BB202)," ")</f>
        <v/>
      </c>
      <c r="M202" s="311" t="n"/>
      <c r="N202" s="311" t="n"/>
      <c r="O202" s="311">
        <f>IFERROR(INDEX(Data!M$9:M$1273,MATCH($M202,Data!$K$9:$K$1273,0)),"")</f>
        <v/>
      </c>
      <c r="P202" s="311">
        <f>IFERROR(INDEX(Data!N$9:N$1273,MATCH($M202,Data!$K$9:$K$1273,0)),"")</f>
        <v/>
      </c>
      <c r="Q202" s="311">
        <f>IFERROR(INDEX(Data!O$9:O$1273,MATCH($M202,Data!$K$9:$K$1273,0)),"")</f>
        <v/>
      </c>
      <c r="R202" s="311">
        <f>IFERROR(INDEX(Data!P$9:P$1273,MATCH($M202,Data!$K$9:$K$1273,0)),"")</f>
        <v/>
      </c>
      <c r="S202" s="311">
        <f>IFERROR(INDEX(Data!S$9:S$1273,MATCH($M202,Data!$K$9:$K$1273,0)),"")</f>
        <v/>
      </c>
      <c r="T202" s="311">
        <f>IFERROR(INDEX(Data!T$9:T$1273,MATCH($M202,Data!$K$9:$K$1273,0)),"")</f>
        <v/>
      </c>
      <c r="U202" s="311">
        <f>IFERROR(INDEX(Data!U$9:U$1273,MATCH($M202,Data!$K$9:$K$1273,0)),"")</f>
        <v/>
      </c>
      <c r="V202" s="311">
        <f>IFERROR(INDEX(Data!V$9:V$1273,MATCH($M202,Data!$K$9:$K$1273,0)),"")</f>
        <v/>
      </c>
      <c r="W202" s="311">
        <f>IFERROR(INDEX(Data!W$9:W$1273,MATCH($M202,Data!$K$9:$K$1273,0)),"")</f>
        <v/>
      </c>
      <c r="X202" s="311">
        <f>IFERROR(INDEX(Data!AJ$9:AJ$1273,MATCH($M202,Data!$K$9:$K$1273,0)),"")</f>
        <v/>
      </c>
      <c r="Y202" s="311">
        <f>IFERROR(INDEX(Data!AK$9:AK$1273,MATCH($M202,Data!$K$9:$K$1273,0)),"")</f>
        <v/>
      </c>
      <c r="Z202" s="311">
        <f>IFERROR(INDEX(Data!AL$9:AL$1273,MATCH($M202,Data!$K$9:$K$1273,0)),"")</f>
        <v/>
      </c>
      <c r="AA202" s="311">
        <f>IFERROR(INDEX(Data!AM$9:AM$1273,MATCH($M202,Data!$K$9:$K$1273,0)),"")</f>
        <v/>
      </c>
      <c r="AB202" s="311">
        <f>IFERROR(INDEX(Data!AN$9:AN$1273,MATCH($M202,Data!$K$9:$K$1273,0)),"")</f>
        <v/>
      </c>
      <c r="AC202" s="312">
        <f>IFERROR(INDEX(Data!BY$9:BY$1273,MATCH($M202,Data!$K$9:$K$1273,0)),"")</f>
        <v/>
      </c>
      <c r="AD202" s="312">
        <f>IFERROR(INDEX(Data!BZ$9:BZ$1273,MATCH($M202,Data!$K$9:$K$1273,0)),"")</f>
        <v/>
      </c>
      <c r="AE202" s="312">
        <f>IFERROR(INDEX(Data!CA$9:CA$1273,MATCH($M202,Data!$K$9:$K$1273,0)),"")</f>
        <v/>
      </c>
      <c r="AF202" s="312">
        <f>IFERROR(INDEX(Data!CB$9:CB$1273,MATCH($M202,Data!$K$9:$K$1273,0)),"")</f>
        <v/>
      </c>
      <c r="AG202" s="312">
        <f>IFERROR(INDEX(Data!CC$9:CC$1273,MATCH($M202,Data!$K$9:$K$1273,0)),"")</f>
        <v/>
      </c>
      <c r="AH202" s="312">
        <f>IFERROR(INDEX(Data!CD$9:CD$1273,MATCH($M202,Data!$K$9:$K$1273,0)),"")</f>
        <v/>
      </c>
      <c r="AI202" s="312">
        <f>IFERROR(INDEX(Data!CE$9:CE$1273,MATCH($M202,Data!$K$9:$K$1273,0)),"")</f>
        <v/>
      </c>
      <c r="AJ202" s="312">
        <f>IFERROR(INDEX(Data!CF$9:CF$1273,MATCH($M202,Data!$K$9:$K$1273,0)),"")</f>
        <v/>
      </c>
      <c r="AK202" s="312">
        <f>IFERROR(INDEX(Data!CG$9:CG$1273,MATCH($M202,Data!$K$9:$K$1273,0)),"")</f>
        <v/>
      </c>
      <c r="AL202" s="312">
        <f>IFERROR(INDEX(Data!CH$9:CH$1273,MATCH($M202,Data!$K$9:$K$1273,0)),"")</f>
        <v/>
      </c>
      <c r="AM202" s="312">
        <f>IFERROR(INDEX(Data!CI$9:CI$1273,MATCH($M202,Data!$K$9:$K$1273,0)),"")</f>
        <v/>
      </c>
      <c r="AN202" s="312">
        <f>IFERROR(INDEX(Data!CJ$9:CJ$1273,MATCH($M202,Data!$K$9:$K$1273,0)),"")</f>
        <v/>
      </c>
      <c r="AO202" s="312">
        <f>IFERROR(INDEX(Data!CK$9:CK$1273,MATCH($M202,Data!$K$9:$K$1273,0)),"")</f>
        <v/>
      </c>
      <c r="AP202" s="312">
        <f>IFERROR(INDEX(Data!CL$9:CL$1273,MATCH($M202,Data!$K$9:$K$1273,0)),"")</f>
        <v/>
      </c>
      <c r="AQ202" s="312">
        <f>IFERROR(INDEX(Data!CM$9:CM$1273,MATCH($M202,Data!$K$9:$K$1273,0)),"")</f>
        <v/>
      </c>
      <c r="AR202" s="312">
        <f>IFERROR(INDEX(Data!CN$9:CN$1273,MATCH($M202,Data!$K$9:$K$1273,0)),"")</f>
        <v/>
      </c>
      <c r="AS202" s="312">
        <f>IFERROR(INDEX(Data!CO$9:CO$1273,MATCH($M202,Data!$K$9:$K$1273,0)),"")</f>
        <v/>
      </c>
      <c r="AT202" s="312">
        <f>IFERROR(INDEX(Data!CP$9:CP$1273,MATCH($M202,Data!$K$9:$K$1273,0)),"")</f>
        <v/>
      </c>
      <c r="AU202" s="312">
        <f>IFERROR(INDEX(Data!CQ$9:CQ$1273,MATCH($M202,Data!$K$9:$K$1273,0)),"")</f>
        <v/>
      </c>
      <c r="AV202" s="312">
        <f>IFERROR(INDEX(Data!CR$9:CR$1273,MATCH($M202,Data!$K$9:$K$1273,0)),"")</f>
        <v/>
      </c>
      <c r="AW202" s="312">
        <f>IFERROR(INDEX(Data!CS$9:CS$1273,MATCH($M202,Data!$K$9:$K$1273,0)),"")</f>
        <v/>
      </c>
      <c r="AX202" s="312">
        <f>IFERROR(INDEX(Data!CT$9:CT$1273,MATCH($M202,Data!$K$9:$K$1273,0)),"")</f>
        <v/>
      </c>
      <c r="AY202" s="312">
        <f>IFERROR(INDEX(Data!CU$9:CU$1273,MATCH($M202,Data!$K$9:$K$1273,0)),"")</f>
        <v/>
      </c>
      <c r="AZ202" s="312">
        <f>IFERROR(INDEX(Data!CV$9:CV$1273,MATCH($M202,Data!$K$9:$K$1273,0)),"")</f>
        <v/>
      </c>
      <c r="BA202" s="312">
        <f>IFERROR(INDEX(Data!CX$9:CX$1273,MATCH($M202,Data!$K$9:$K$1273,0)),"")</f>
        <v/>
      </c>
      <c r="BB202" s="312">
        <f>IFERROR(INDEX(Data!CY$9:CY$1273,MATCH($M202,Data!$K$9:$K$1273,0)),"")</f>
        <v/>
      </c>
      <c r="BC202" s="312">
        <f>IFERROR(INDEX(Data!CZ$9:CZ$1273,MATCH($M202,Data!$K$9:$K$1273,0)),"")</f>
        <v/>
      </c>
      <c r="BD202" s="312">
        <f>IFERROR(INDEX(Data!DA$9:DA$1273,MATCH($M202,Data!$K$9:$K$1273,0)),"")</f>
        <v/>
      </c>
      <c r="BE202" s="312">
        <f>IFERROR(INDEX(Data!DB$9:DB$1273,MATCH($M202,Data!$K$9:$K$1273,0)),"")</f>
        <v/>
      </c>
      <c r="BF202" s="312">
        <f>IFERROR(INDEX(Data!DC$9:DC$1273,MATCH($M202,Data!$K$9:$K$1273,0)),"")</f>
        <v/>
      </c>
      <c r="BG202" s="312">
        <f>IFERROR(INDEX(Data!DD$9:DD$1273,MATCH($M202,Data!$K$9:$K$1273,0)),"")</f>
        <v/>
      </c>
      <c r="BH202" s="312">
        <f>IFERROR(INDEX(Data!DE$9:DE$1273,MATCH($M202,Data!$K$9:$K$1273,0)),"")</f>
        <v/>
      </c>
      <c r="BI202" s="312">
        <f>IFERROR(INDEX(Data!DF$9:DF$1273,MATCH($M202,Data!$K$9:$K$1273,0)),"")</f>
        <v/>
      </c>
      <c r="BJ202" s="312">
        <f>IFERROR(INDEX(Data!DG$9:DG$1273,MATCH($M202,Data!$K$9:$K$1273,0)),"")</f>
        <v/>
      </c>
      <c r="BK202" s="312">
        <f>IFERROR(INDEX(Data!DH$9:DH$1273,MATCH($M202,Data!$K$9:$K$1273,0)),"")</f>
        <v/>
      </c>
      <c r="BL202" s="312">
        <f>IFERROR(INDEX(Data!DI$9:DI$1273,MATCH($M202,Data!$K$9:$K$1273,0)),"")</f>
        <v/>
      </c>
      <c r="BM202" s="312">
        <f>IFERROR(INDEX(Data!DJ$9:DJ$1273,MATCH($M202,Data!$K$9:$K$1273,0)),"")</f>
        <v/>
      </c>
      <c r="BN202" s="312">
        <f>IFERROR(INDEX(Data!DK$9:DK$1273,MATCH($M202,Data!$K$9:$K$1273,0)),"")</f>
        <v/>
      </c>
      <c r="BO202" s="312">
        <f>IFERROR(INDEX(Data!DL$9:DL$1273,MATCH($M202,Data!$K$9:$K$1273,0)),"")</f>
        <v/>
      </c>
      <c r="BP202" s="331">
        <f>IFERROR(IF(BK202=0,"-",BK202),"")</f>
        <v/>
      </c>
      <c r="BQ202" s="312">
        <f>IFERROR(IF(BP202-K202&gt;0,TRUE,FALSE)," ")</f>
        <v/>
      </c>
      <c r="BR202" s="312">
        <f>_xlfn.CONCAT(E202,F202,H202,G202)</f>
        <v/>
      </c>
      <c r="BS202" s="312">
        <f>IFERROR(INDEX(Data!$DO$9:$DO$1273,MATCH('Your recommendation'!BR202,Data!$DN$9:$DN$1273,0)),"")</f>
        <v/>
      </c>
    </row>
    <row r="203" ht="15.6" customFormat="1" customHeight="1" s="138">
      <c r="B203" s="309">
        <f>IF(C203&gt;0,B202+1,"")</f>
        <v/>
      </c>
      <c r="C203" s="310" t="n"/>
      <c r="D203" s="312">
        <f>IFERROR(INDEX(Data!BR$9:BR$1273,MATCH($M203,Data!$K$9:$K$1273,0)),"")</f>
        <v/>
      </c>
      <c r="E203" s="312">
        <f>IFERROR(INDEX(Data!BS$9:BS$1273,MATCH($M203,Data!$K$9:$K$1273,0)),"")</f>
        <v/>
      </c>
      <c r="F203" s="312">
        <f>IFERROR(INDEX(Data!DM$9:DM$1273,MATCH($M203,Data!$K$9:$K$1273,0)),"")</f>
        <v/>
      </c>
      <c r="G203" s="312">
        <f>IFERROR(INDEX(Data!BV$9:BV$1273,MATCH($M203,Data!$K$9:$K$1273,0)),"")</f>
        <v/>
      </c>
      <c r="H203" s="312">
        <f>IFERROR(INDEX(Data!BW$9:BW$1273,MATCH($M203,Data!$K$9:$K$1273,0)),"")</f>
        <v/>
      </c>
      <c r="I203" s="312">
        <f>IFERROR(INDEX(Data!BX$9:BX$1273,MATCH($M203,Data!$K$9:$K$1273,0)),"")</f>
        <v/>
      </c>
      <c r="J203" s="312">
        <f>IFERROR(INDEX(Data!CB$9:CB$1273,MATCH($M203,Data!$K$9:$K$1273,0)),"")</f>
        <v/>
      </c>
      <c r="K203" s="329">
        <f>IFERROR(HYPERLINK(BM203,BC203),"-")</f>
        <v/>
      </c>
      <c r="L203" s="330">
        <f>IFERROR(IF(BB203=0,"-",BB203)," ")</f>
        <v/>
      </c>
      <c r="M203" s="311" t="n"/>
      <c r="N203" s="311" t="n"/>
      <c r="O203" s="311">
        <f>IFERROR(INDEX(Data!M$9:M$1273,MATCH($M203,Data!$K$9:$K$1273,0)),"")</f>
        <v/>
      </c>
      <c r="P203" s="311">
        <f>IFERROR(INDEX(Data!N$9:N$1273,MATCH($M203,Data!$K$9:$K$1273,0)),"")</f>
        <v/>
      </c>
      <c r="Q203" s="311">
        <f>IFERROR(INDEX(Data!O$9:O$1273,MATCH($M203,Data!$K$9:$K$1273,0)),"")</f>
        <v/>
      </c>
      <c r="R203" s="311">
        <f>IFERROR(INDEX(Data!P$9:P$1273,MATCH($M203,Data!$K$9:$K$1273,0)),"")</f>
        <v/>
      </c>
      <c r="S203" s="311">
        <f>IFERROR(INDEX(Data!S$9:S$1273,MATCH($M203,Data!$K$9:$K$1273,0)),"")</f>
        <v/>
      </c>
      <c r="T203" s="311">
        <f>IFERROR(INDEX(Data!T$9:T$1273,MATCH($M203,Data!$K$9:$K$1273,0)),"")</f>
        <v/>
      </c>
      <c r="U203" s="311">
        <f>IFERROR(INDEX(Data!U$9:U$1273,MATCH($M203,Data!$K$9:$K$1273,0)),"")</f>
        <v/>
      </c>
      <c r="V203" s="311">
        <f>IFERROR(INDEX(Data!V$9:V$1273,MATCH($M203,Data!$K$9:$K$1273,0)),"")</f>
        <v/>
      </c>
      <c r="W203" s="311">
        <f>IFERROR(INDEX(Data!W$9:W$1273,MATCH($M203,Data!$K$9:$K$1273,0)),"")</f>
        <v/>
      </c>
      <c r="X203" s="311">
        <f>IFERROR(INDEX(Data!AJ$9:AJ$1273,MATCH($M203,Data!$K$9:$K$1273,0)),"")</f>
        <v/>
      </c>
      <c r="Y203" s="311">
        <f>IFERROR(INDEX(Data!AK$9:AK$1273,MATCH($M203,Data!$K$9:$K$1273,0)),"")</f>
        <v/>
      </c>
      <c r="Z203" s="311">
        <f>IFERROR(INDEX(Data!AL$9:AL$1273,MATCH($M203,Data!$K$9:$K$1273,0)),"")</f>
        <v/>
      </c>
      <c r="AA203" s="311">
        <f>IFERROR(INDEX(Data!AM$9:AM$1273,MATCH($M203,Data!$K$9:$K$1273,0)),"")</f>
        <v/>
      </c>
      <c r="AB203" s="311">
        <f>IFERROR(INDEX(Data!AN$9:AN$1273,MATCH($M203,Data!$K$9:$K$1273,0)),"")</f>
        <v/>
      </c>
      <c r="AC203" s="312">
        <f>IFERROR(INDEX(Data!BY$9:BY$1273,MATCH($M203,Data!$K$9:$K$1273,0)),"")</f>
        <v/>
      </c>
      <c r="AD203" s="312">
        <f>IFERROR(INDEX(Data!BZ$9:BZ$1273,MATCH($M203,Data!$K$9:$K$1273,0)),"")</f>
        <v/>
      </c>
      <c r="AE203" s="312">
        <f>IFERROR(INDEX(Data!CA$9:CA$1273,MATCH($M203,Data!$K$9:$K$1273,0)),"")</f>
        <v/>
      </c>
      <c r="AF203" s="312">
        <f>IFERROR(INDEX(Data!CB$9:CB$1273,MATCH($M203,Data!$K$9:$K$1273,0)),"")</f>
        <v/>
      </c>
      <c r="AG203" s="312">
        <f>IFERROR(INDEX(Data!CC$9:CC$1273,MATCH($M203,Data!$K$9:$K$1273,0)),"")</f>
        <v/>
      </c>
      <c r="AH203" s="312">
        <f>IFERROR(INDEX(Data!CD$9:CD$1273,MATCH($M203,Data!$K$9:$K$1273,0)),"")</f>
        <v/>
      </c>
      <c r="AI203" s="312">
        <f>IFERROR(INDEX(Data!CE$9:CE$1273,MATCH($M203,Data!$K$9:$K$1273,0)),"")</f>
        <v/>
      </c>
      <c r="AJ203" s="312">
        <f>IFERROR(INDEX(Data!CF$9:CF$1273,MATCH($M203,Data!$K$9:$K$1273,0)),"")</f>
        <v/>
      </c>
      <c r="AK203" s="312">
        <f>IFERROR(INDEX(Data!CG$9:CG$1273,MATCH($M203,Data!$K$9:$K$1273,0)),"")</f>
        <v/>
      </c>
      <c r="AL203" s="312">
        <f>IFERROR(INDEX(Data!CH$9:CH$1273,MATCH($M203,Data!$K$9:$K$1273,0)),"")</f>
        <v/>
      </c>
      <c r="AM203" s="312">
        <f>IFERROR(INDEX(Data!CI$9:CI$1273,MATCH($M203,Data!$K$9:$K$1273,0)),"")</f>
        <v/>
      </c>
      <c r="AN203" s="312">
        <f>IFERROR(INDEX(Data!CJ$9:CJ$1273,MATCH($M203,Data!$K$9:$K$1273,0)),"")</f>
        <v/>
      </c>
      <c r="AO203" s="312">
        <f>IFERROR(INDEX(Data!CK$9:CK$1273,MATCH($M203,Data!$K$9:$K$1273,0)),"")</f>
        <v/>
      </c>
      <c r="AP203" s="312">
        <f>IFERROR(INDEX(Data!CL$9:CL$1273,MATCH($M203,Data!$K$9:$K$1273,0)),"")</f>
        <v/>
      </c>
      <c r="AQ203" s="312">
        <f>IFERROR(INDEX(Data!CM$9:CM$1273,MATCH($M203,Data!$K$9:$K$1273,0)),"")</f>
        <v/>
      </c>
      <c r="AR203" s="312">
        <f>IFERROR(INDEX(Data!CN$9:CN$1273,MATCH($M203,Data!$K$9:$K$1273,0)),"")</f>
        <v/>
      </c>
      <c r="AS203" s="312">
        <f>IFERROR(INDEX(Data!CO$9:CO$1273,MATCH($M203,Data!$K$9:$K$1273,0)),"")</f>
        <v/>
      </c>
      <c r="AT203" s="312">
        <f>IFERROR(INDEX(Data!CP$9:CP$1273,MATCH($M203,Data!$K$9:$K$1273,0)),"")</f>
        <v/>
      </c>
      <c r="AU203" s="312">
        <f>IFERROR(INDEX(Data!CQ$9:CQ$1273,MATCH($M203,Data!$K$9:$K$1273,0)),"")</f>
        <v/>
      </c>
      <c r="AV203" s="312">
        <f>IFERROR(INDEX(Data!CR$9:CR$1273,MATCH($M203,Data!$K$9:$K$1273,0)),"")</f>
        <v/>
      </c>
      <c r="AW203" s="312">
        <f>IFERROR(INDEX(Data!CS$9:CS$1273,MATCH($M203,Data!$K$9:$K$1273,0)),"")</f>
        <v/>
      </c>
      <c r="AX203" s="312">
        <f>IFERROR(INDEX(Data!CT$9:CT$1273,MATCH($M203,Data!$K$9:$K$1273,0)),"")</f>
        <v/>
      </c>
      <c r="AY203" s="312">
        <f>IFERROR(INDEX(Data!CU$9:CU$1273,MATCH($M203,Data!$K$9:$K$1273,0)),"")</f>
        <v/>
      </c>
      <c r="AZ203" s="312">
        <f>IFERROR(INDEX(Data!CV$9:CV$1273,MATCH($M203,Data!$K$9:$K$1273,0)),"")</f>
        <v/>
      </c>
      <c r="BA203" s="312">
        <f>IFERROR(INDEX(Data!CX$9:CX$1273,MATCH($M203,Data!$K$9:$K$1273,0)),"")</f>
        <v/>
      </c>
      <c r="BB203" s="312">
        <f>IFERROR(INDEX(Data!CY$9:CY$1273,MATCH($M203,Data!$K$9:$K$1273,0)),"")</f>
        <v/>
      </c>
      <c r="BC203" s="312">
        <f>IFERROR(INDEX(Data!CZ$9:CZ$1273,MATCH($M203,Data!$K$9:$K$1273,0)),"")</f>
        <v/>
      </c>
      <c r="BD203" s="312">
        <f>IFERROR(INDEX(Data!DA$9:DA$1273,MATCH($M203,Data!$K$9:$K$1273,0)),"")</f>
        <v/>
      </c>
      <c r="BE203" s="312">
        <f>IFERROR(INDEX(Data!DB$9:DB$1273,MATCH($M203,Data!$K$9:$K$1273,0)),"")</f>
        <v/>
      </c>
      <c r="BF203" s="312">
        <f>IFERROR(INDEX(Data!DC$9:DC$1273,MATCH($M203,Data!$K$9:$K$1273,0)),"")</f>
        <v/>
      </c>
      <c r="BG203" s="312">
        <f>IFERROR(INDEX(Data!DD$9:DD$1273,MATCH($M203,Data!$K$9:$K$1273,0)),"")</f>
        <v/>
      </c>
      <c r="BH203" s="312">
        <f>IFERROR(INDEX(Data!DE$9:DE$1273,MATCH($M203,Data!$K$9:$K$1273,0)),"")</f>
        <v/>
      </c>
      <c r="BI203" s="312">
        <f>IFERROR(INDEX(Data!DF$9:DF$1273,MATCH($M203,Data!$K$9:$K$1273,0)),"")</f>
        <v/>
      </c>
      <c r="BJ203" s="312">
        <f>IFERROR(INDEX(Data!DG$9:DG$1273,MATCH($M203,Data!$K$9:$K$1273,0)),"")</f>
        <v/>
      </c>
      <c r="BK203" s="312">
        <f>IFERROR(INDEX(Data!DH$9:DH$1273,MATCH($M203,Data!$K$9:$K$1273,0)),"")</f>
        <v/>
      </c>
      <c r="BL203" s="312">
        <f>IFERROR(INDEX(Data!DI$9:DI$1273,MATCH($M203,Data!$K$9:$K$1273,0)),"")</f>
        <v/>
      </c>
      <c r="BM203" s="312">
        <f>IFERROR(INDEX(Data!DJ$9:DJ$1273,MATCH($M203,Data!$K$9:$K$1273,0)),"")</f>
        <v/>
      </c>
      <c r="BN203" s="312">
        <f>IFERROR(INDEX(Data!DK$9:DK$1273,MATCH($M203,Data!$K$9:$K$1273,0)),"")</f>
        <v/>
      </c>
      <c r="BO203" s="312">
        <f>IFERROR(INDEX(Data!DL$9:DL$1273,MATCH($M203,Data!$K$9:$K$1273,0)),"")</f>
        <v/>
      </c>
      <c r="BP203" s="331">
        <f>IFERROR(IF(BK203=0,"-",BK203),"")</f>
        <v/>
      </c>
      <c r="BQ203" s="312">
        <f>IFERROR(IF(BP203-K203&gt;0,TRUE,FALSE)," ")</f>
        <v/>
      </c>
      <c r="BR203" s="312">
        <f>_xlfn.CONCAT(E203,F203,H203,G203)</f>
        <v/>
      </c>
      <c r="BS203" s="312">
        <f>IFERROR(INDEX(Data!$DO$9:$DO$1273,MATCH('Your recommendation'!BR203,Data!$DN$9:$DN$1273,0)),"")</f>
        <v/>
      </c>
    </row>
    <row r="204" ht="15.6" customFormat="1" customHeight="1" s="138">
      <c r="B204" s="309">
        <f>IF(C204&gt;0,B203+1,"")</f>
        <v/>
      </c>
      <c r="C204" s="310" t="n"/>
      <c r="D204" s="312">
        <f>IFERROR(INDEX(Data!BR$9:BR$1273,MATCH($M204,Data!$K$9:$K$1273,0)),"")</f>
        <v/>
      </c>
      <c r="E204" s="312">
        <f>IFERROR(INDEX(Data!BS$9:BS$1273,MATCH($M204,Data!$K$9:$K$1273,0)),"")</f>
        <v/>
      </c>
      <c r="F204" s="312">
        <f>IFERROR(INDEX(Data!DM$9:DM$1273,MATCH($M204,Data!$K$9:$K$1273,0)),"")</f>
        <v/>
      </c>
      <c r="G204" s="312">
        <f>IFERROR(INDEX(Data!BV$9:BV$1273,MATCH($M204,Data!$K$9:$K$1273,0)),"")</f>
        <v/>
      </c>
      <c r="H204" s="312">
        <f>IFERROR(INDEX(Data!BW$9:BW$1273,MATCH($M204,Data!$K$9:$K$1273,0)),"")</f>
        <v/>
      </c>
      <c r="I204" s="312">
        <f>IFERROR(INDEX(Data!BX$9:BX$1273,MATCH($M204,Data!$K$9:$K$1273,0)),"")</f>
        <v/>
      </c>
      <c r="J204" s="312">
        <f>IFERROR(INDEX(Data!CB$9:CB$1273,MATCH($M204,Data!$K$9:$K$1273,0)),"")</f>
        <v/>
      </c>
      <c r="K204" s="329">
        <f>IFERROR(HYPERLINK(BM204,BC204),"-")</f>
        <v/>
      </c>
      <c r="L204" s="330">
        <f>IFERROR(IF(BB204=0,"-",BB204)," ")</f>
        <v/>
      </c>
      <c r="M204" s="311" t="n"/>
      <c r="N204" s="311" t="n"/>
      <c r="O204" s="311">
        <f>IFERROR(INDEX(Data!M$9:M$1273,MATCH($M204,Data!$K$9:$K$1273,0)),"")</f>
        <v/>
      </c>
      <c r="P204" s="311">
        <f>IFERROR(INDEX(Data!N$9:N$1273,MATCH($M204,Data!$K$9:$K$1273,0)),"")</f>
        <v/>
      </c>
      <c r="Q204" s="311">
        <f>IFERROR(INDEX(Data!O$9:O$1273,MATCH($M204,Data!$K$9:$K$1273,0)),"")</f>
        <v/>
      </c>
      <c r="R204" s="311">
        <f>IFERROR(INDEX(Data!P$9:P$1273,MATCH($M204,Data!$K$9:$K$1273,0)),"")</f>
        <v/>
      </c>
      <c r="S204" s="311">
        <f>IFERROR(INDEX(Data!S$9:S$1273,MATCH($M204,Data!$K$9:$K$1273,0)),"")</f>
        <v/>
      </c>
      <c r="T204" s="311">
        <f>IFERROR(INDEX(Data!T$9:T$1273,MATCH($M204,Data!$K$9:$K$1273,0)),"")</f>
        <v/>
      </c>
      <c r="U204" s="311">
        <f>IFERROR(INDEX(Data!U$9:U$1273,MATCH($M204,Data!$K$9:$K$1273,0)),"")</f>
        <v/>
      </c>
      <c r="V204" s="311">
        <f>IFERROR(INDEX(Data!V$9:V$1273,MATCH($M204,Data!$K$9:$K$1273,0)),"")</f>
        <v/>
      </c>
      <c r="W204" s="311">
        <f>IFERROR(INDEX(Data!W$9:W$1273,MATCH($M204,Data!$K$9:$K$1273,0)),"")</f>
        <v/>
      </c>
      <c r="X204" s="311">
        <f>IFERROR(INDEX(Data!AJ$9:AJ$1273,MATCH($M204,Data!$K$9:$K$1273,0)),"")</f>
        <v/>
      </c>
      <c r="Y204" s="311">
        <f>IFERROR(INDEX(Data!AK$9:AK$1273,MATCH($M204,Data!$K$9:$K$1273,0)),"")</f>
        <v/>
      </c>
      <c r="Z204" s="311">
        <f>IFERROR(INDEX(Data!AL$9:AL$1273,MATCH($M204,Data!$K$9:$K$1273,0)),"")</f>
        <v/>
      </c>
      <c r="AA204" s="311">
        <f>IFERROR(INDEX(Data!AM$9:AM$1273,MATCH($M204,Data!$K$9:$K$1273,0)),"")</f>
        <v/>
      </c>
      <c r="AB204" s="311">
        <f>IFERROR(INDEX(Data!AN$9:AN$1273,MATCH($M204,Data!$K$9:$K$1273,0)),"")</f>
        <v/>
      </c>
      <c r="AC204" s="312">
        <f>IFERROR(INDEX(Data!BY$9:BY$1273,MATCH($M204,Data!$K$9:$K$1273,0)),"")</f>
        <v/>
      </c>
      <c r="AD204" s="312">
        <f>IFERROR(INDEX(Data!BZ$9:BZ$1273,MATCH($M204,Data!$K$9:$K$1273,0)),"")</f>
        <v/>
      </c>
      <c r="AE204" s="312">
        <f>IFERROR(INDEX(Data!CA$9:CA$1273,MATCH($M204,Data!$K$9:$K$1273,0)),"")</f>
        <v/>
      </c>
      <c r="AF204" s="312">
        <f>IFERROR(INDEX(Data!CB$9:CB$1273,MATCH($M204,Data!$K$9:$K$1273,0)),"")</f>
        <v/>
      </c>
      <c r="AG204" s="312">
        <f>IFERROR(INDEX(Data!CC$9:CC$1273,MATCH($M204,Data!$K$9:$K$1273,0)),"")</f>
        <v/>
      </c>
      <c r="AH204" s="312">
        <f>IFERROR(INDEX(Data!CD$9:CD$1273,MATCH($M204,Data!$K$9:$K$1273,0)),"")</f>
        <v/>
      </c>
      <c r="AI204" s="312">
        <f>IFERROR(INDEX(Data!CE$9:CE$1273,MATCH($M204,Data!$K$9:$K$1273,0)),"")</f>
        <v/>
      </c>
      <c r="AJ204" s="312">
        <f>IFERROR(INDEX(Data!CF$9:CF$1273,MATCH($M204,Data!$K$9:$K$1273,0)),"")</f>
        <v/>
      </c>
      <c r="AK204" s="312">
        <f>IFERROR(INDEX(Data!CG$9:CG$1273,MATCH($M204,Data!$K$9:$K$1273,0)),"")</f>
        <v/>
      </c>
      <c r="AL204" s="312">
        <f>IFERROR(INDEX(Data!CH$9:CH$1273,MATCH($M204,Data!$K$9:$K$1273,0)),"")</f>
        <v/>
      </c>
      <c r="AM204" s="312">
        <f>IFERROR(INDEX(Data!CI$9:CI$1273,MATCH($M204,Data!$K$9:$K$1273,0)),"")</f>
        <v/>
      </c>
      <c r="AN204" s="312">
        <f>IFERROR(INDEX(Data!CJ$9:CJ$1273,MATCH($M204,Data!$K$9:$K$1273,0)),"")</f>
        <v/>
      </c>
      <c r="AO204" s="312">
        <f>IFERROR(INDEX(Data!CK$9:CK$1273,MATCH($M204,Data!$K$9:$K$1273,0)),"")</f>
        <v/>
      </c>
      <c r="AP204" s="312">
        <f>IFERROR(INDEX(Data!CL$9:CL$1273,MATCH($M204,Data!$K$9:$K$1273,0)),"")</f>
        <v/>
      </c>
      <c r="AQ204" s="312">
        <f>IFERROR(INDEX(Data!CM$9:CM$1273,MATCH($M204,Data!$K$9:$K$1273,0)),"")</f>
        <v/>
      </c>
      <c r="AR204" s="312">
        <f>IFERROR(INDEX(Data!CN$9:CN$1273,MATCH($M204,Data!$K$9:$K$1273,0)),"")</f>
        <v/>
      </c>
      <c r="AS204" s="312">
        <f>IFERROR(INDEX(Data!CO$9:CO$1273,MATCH($M204,Data!$K$9:$K$1273,0)),"")</f>
        <v/>
      </c>
      <c r="AT204" s="312">
        <f>IFERROR(INDEX(Data!CP$9:CP$1273,MATCH($M204,Data!$K$9:$K$1273,0)),"")</f>
        <v/>
      </c>
      <c r="AU204" s="312">
        <f>IFERROR(INDEX(Data!CQ$9:CQ$1273,MATCH($M204,Data!$K$9:$K$1273,0)),"")</f>
        <v/>
      </c>
      <c r="AV204" s="312">
        <f>IFERROR(INDEX(Data!CR$9:CR$1273,MATCH($M204,Data!$K$9:$K$1273,0)),"")</f>
        <v/>
      </c>
      <c r="AW204" s="312">
        <f>IFERROR(INDEX(Data!CS$9:CS$1273,MATCH($M204,Data!$K$9:$K$1273,0)),"")</f>
        <v/>
      </c>
      <c r="AX204" s="312">
        <f>IFERROR(INDEX(Data!CT$9:CT$1273,MATCH($M204,Data!$K$9:$K$1273,0)),"")</f>
        <v/>
      </c>
      <c r="AY204" s="312">
        <f>IFERROR(INDEX(Data!CU$9:CU$1273,MATCH($M204,Data!$K$9:$K$1273,0)),"")</f>
        <v/>
      </c>
      <c r="AZ204" s="312">
        <f>IFERROR(INDEX(Data!CV$9:CV$1273,MATCH($M204,Data!$K$9:$K$1273,0)),"")</f>
        <v/>
      </c>
      <c r="BA204" s="312">
        <f>IFERROR(INDEX(Data!CX$9:CX$1273,MATCH($M204,Data!$K$9:$K$1273,0)),"")</f>
        <v/>
      </c>
      <c r="BB204" s="312">
        <f>IFERROR(INDEX(Data!CY$9:CY$1273,MATCH($M204,Data!$K$9:$K$1273,0)),"")</f>
        <v/>
      </c>
      <c r="BC204" s="312">
        <f>IFERROR(INDEX(Data!CZ$9:CZ$1273,MATCH($M204,Data!$K$9:$K$1273,0)),"")</f>
        <v/>
      </c>
      <c r="BD204" s="312">
        <f>IFERROR(INDEX(Data!DA$9:DA$1273,MATCH($M204,Data!$K$9:$K$1273,0)),"")</f>
        <v/>
      </c>
      <c r="BE204" s="312">
        <f>IFERROR(INDEX(Data!DB$9:DB$1273,MATCH($M204,Data!$K$9:$K$1273,0)),"")</f>
        <v/>
      </c>
      <c r="BF204" s="312">
        <f>IFERROR(INDEX(Data!DC$9:DC$1273,MATCH($M204,Data!$K$9:$K$1273,0)),"")</f>
        <v/>
      </c>
      <c r="BG204" s="312">
        <f>IFERROR(INDEX(Data!DD$9:DD$1273,MATCH($M204,Data!$K$9:$K$1273,0)),"")</f>
        <v/>
      </c>
      <c r="BH204" s="312">
        <f>IFERROR(INDEX(Data!DE$9:DE$1273,MATCH($M204,Data!$K$9:$K$1273,0)),"")</f>
        <v/>
      </c>
      <c r="BI204" s="312">
        <f>IFERROR(INDEX(Data!DF$9:DF$1273,MATCH($M204,Data!$K$9:$K$1273,0)),"")</f>
        <v/>
      </c>
      <c r="BJ204" s="312">
        <f>IFERROR(INDEX(Data!DG$9:DG$1273,MATCH($M204,Data!$K$9:$K$1273,0)),"")</f>
        <v/>
      </c>
      <c r="BK204" s="312">
        <f>IFERROR(INDEX(Data!DH$9:DH$1273,MATCH($M204,Data!$K$9:$K$1273,0)),"")</f>
        <v/>
      </c>
      <c r="BL204" s="312">
        <f>IFERROR(INDEX(Data!DI$9:DI$1273,MATCH($M204,Data!$K$9:$K$1273,0)),"")</f>
        <v/>
      </c>
      <c r="BM204" s="312">
        <f>IFERROR(INDEX(Data!DJ$9:DJ$1273,MATCH($M204,Data!$K$9:$K$1273,0)),"")</f>
        <v/>
      </c>
      <c r="BN204" s="312">
        <f>IFERROR(INDEX(Data!DK$9:DK$1273,MATCH($M204,Data!$K$9:$K$1273,0)),"")</f>
        <v/>
      </c>
      <c r="BO204" s="312">
        <f>IFERROR(INDEX(Data!DL$9:DL$1273,MATCH($M204,Data!$K$9:$K$1273,0)),"")</f>
        <v/>
      </c>
      <c r="BP204" s="331">
        <f>IFERROR(IF(BK204=0,"-",BK204),"")</f>
        <v/>
      </c>
      <c r="BQ204" s="312">
        <f>IFERROR(IF(BP204-K204&gt;0,TRUE,FALSE)," ")</f>
        <v/>
      </c>
      <c r="BR204" s="312">
        <f>_xlfn.CONCAT(E204,F204,H204,G204)</f>
        <v/>
      </c>
      <c r="BS204" s="312">
        <f>IFERROR(INDEX(Data!$DO$9:$DO$1273,MATCH('Your recommendation'!BR204,Data!$DN$9:$DN$1273,0)),"")</f>
        <v/>
      </c>
    </row>
    <row r="205" ht="15.6" customFormat="1" customHeight="1" s="138">
      <c r="B205" s="309">
        <f>IF(C205&gt;0,B204+1,"")</f>
        <v/>
      </c>
      <c r="C205" s="310" t="n"/>
      <c r="D205" s="312">
        <f>IFERROR(INDEX(Data!BR$9:BR$1273,MATCH($M205,Data!$K$9:$K$1273,0)),"")</f>
        <v/>
      </c>
      <c r="E205" s="312">
        <f>IFERROR(INDEX(Data!BS$9:BS$1273,MATCH($M205,Data!$K$9:$K$1273,0)),"")</f>
        <v/>
      </c>
      <c r="F205" s="312">
        <f>IFERROR(INDEX(Data!DM$9:DM$1273,MATCH($M205,Data!$K$9:$K$1273,0)),"")</f>
        <v/>
      </c>
      <c r="G205" s="312">
        <f>IFERROR(INDEX(Data!BV$9:BV$1273,MATCH($M205,Data!$K$9:$K$1273,0)),"")</f>
        <v/>
      </c>
      <c r="H205" s="312">
        <f>IFERROR(INDEX(Data!BW$9:BW$1273,MATCH($M205,Data!$K$9:$K$1273,0)),"")</f>
        <v/>
      </c>
      <c r="I205" s="312">
        <f>IFERROR(INDEX(Data!BX$9:BX$1273,MATCH($M205,Data!$K$9:$K$1273,0)),"")</f>
        <v/>
      </c>
      <c r="J205" s="312">
        <f>IFERROR(INDEX(Data!CB$9:CB$1273,MATCH($M205,Data!$K$9:$K$1273,0)),"")</f>
        <v/>
      </c>
      <c r="K205" s="329">
        <f>IFERROR(HYPERLINK(BM205,BC205),"-")</f>
        <v/>
      </c>
      <c r="L205" s="330">
        <f>IFERROR(IF(BB205=0,"-",BB205)," ")</f>
        <v/>
      </c>
      <c r="M205" s="311" t="n"/>
      <c r="N205" s="311" t="n"/>
      <c r="O205" s="311">
        <f>IFERROR(INDEX(Data!M$9:M$1273,MATCH($M205,Data!$K$9:$K$1273,0)),"")</f>
        <v/>
      </c>
      <c r="P205" s="311">
        <f>IFERROR(INDEX(Data!N$9:N$1273,MATCH($M205,Data!$K$9:$K$1273,0)),"")</f>
        <v/>
      </c>
      <c r="Q205" s="311">
        <f>IFERROR(INDEX(Data!O$9:O$1273,MATCH($M205,Data!$K$9:$K$1273,0)),"")</f>
        <v/>
      </c>
      <c r="R205" s="311">
        <f>IFERROR(INDEX(Data!P$9:P$1273,MATCH($M205,Data!$K$9:$K$1273,0)),"")</f>
        <v/>
      </c>
      <c r="S205" s="311">
        <f>IFERROR(INDEX(Data!S$9:S$1273,MATCH($M205,Data!$K$9:$K$1273,0)),"")</f>
        <v/>
      </c>
      <c r="T205" s="311">
        <f>IFERROR(INDEX(Data!T$9:T$1273,MATCH($M205,Data!$K$9:$K$1273,0)),"")</f>
        <v/>
      </c>
      <c r="U205" s="311">
        <f>IFERROR(INDEX(Data!U$9:U$1273,MATCH($M205,Data!$K$9:$K$1273,0)),"")</f>
        <v/>
      </c>
      <c r="V205" s="311">
        <f>IFERROR(INDEX(Data!V$9:V$1273,MATCH($M205,Data!$K$9:$K$1273,0)),"")</f>
        <v/>
      </c>
      <c r="W205" s="311">
        <f>IFERROR(INDEX(Data!W$9:W$1273,MATCH($M205,Data!$K$9:$K$1273,0)),"")</f>
        <v/>
      </c>
      <c r="X205" s="311">
        <f>IFERROR(INDEX(Data!AJ$9:AJ$1273,MATCH($M205,Data!$K$9:$K$1273,0)),"")</f>
        <v/>
      </c>
      <c r="Y205" s="311">
        <f>IFERROR(INDEX(Data!AK$9:AK$1273,MATCH($M205,Data!$K$9:$K$1273,0)),"")</f>
        <v/>
      </c>
      <c r="Z205" s="311">
        <f>IFERROR(INDEX(Data!AL$9:AL$1273,MATCH($M205,Data!$K$9:$K$1273,0)),"")</f>
        <v/>
      </c>
      <c r="AA205" s="311">
        <f>IFERROR(INDEX(Data!AM$9:AM$1273,MATCH($M205,Data!$K$9:$K$1273,0)),"")</f>
        <v/>
      </c>
      <c r="AB205" s="311">
        <f>IFERROR(INDEX(Data!AN$9:AN$1273,MATCH($M205,Data!$K$9:$K$1273,0)),"")</f>
        <v/>
      </c>
      <c r="AC205" s="312">
        <f>IFERROR(INDEX(Data!BY$9:BY$1273,MATCH($M205,Data!$K$9:$K$1273,0)),"")</f>
        <v/>
      </c>
      <c r="AD205" s="312">
        <f>IFERROR(INDEX(Data!BZ$9:BZ$1273,MATCH($M205,Data!$K$9:$K$1273,0)),"")</f>
        <v/>
      </c>
      <c r="AE205" s="312">
        <f>IFERROR(INDEX(Data!CA$9:CA$1273,MATCH($M205,Data!$K$9:$K$1273,0)),"")</f>
        <v/>
      </c>
      <c r="AF205" s="312">
        <f>IFERROR(INDEX(Data!CB$9:CB$1273,MATCH($M205,Data!$K$9:$K$1273,0)),"")</f>
        <v/>
      </c>
      <c r="AG205" s="312">
        <f>IFERROR(INDEX(Data!CC$9:CC$1273,MATCH($M205,Data!$K$9:$K$1273,0)),"")</f>
        <v/>
      </c>
      <c r="AH205" s="312">
        <f>IFERROR(INDEX(Data!CD$9:CD$1273,MATCH($M205,Data!$K$9:$K$1273,0)),"")</f>
        <v/>
      </c>
      <c r="AI205" s="312">
        <f>IFERROR(INDEX(Data!CE$9:CE$1273,MATCH($M205,Data!$K$9:$K$1273,0)),"")</f>
        <v/>
      </c>
      <c r="AJ205" s="312">
        <f>IFERROR(INDEX(Data!CF$9:CF$1273,MATCH($M205,Data!$K$9:$K$1273,0)),"")</f>
        <v/>
      </c>
      <c r="AK205" s="312">
        <f>IFERROR(INDEX(Data!CG$9:CG$1273,MATCH($M205,Data!$K$9:$K$1273,0)),"")</f>
        <v/>
      </c>
      <c r="AL205" s="312">
        <f>IFERROR(INDEX(Data!CH$9:CH$1273,MATCH($M205,Data!$K$9:$K$1273,0)),"")</f>
        <v/>
      </c>
      <c r="AM205" s="312">
        <f>IFERROR(INDEX(Data!CI$9:CI$1273,MATCH($M205,Data!$K$9:$K$1273,0)),"")</f>
        <v/>
      </c>
      <c r="AN205" s="312">
        <f>IFERROR(INDEX(Data!CJ$9:CJ$1273,MATCH($M205,Data!$K$9:$K$1273,0)),"")</f>
        <v/>
      </c>
      <c r="AO205" s="312">
        <f>IFERROR(INDEX(Data!CK$9:CK$1273,MATCH($M205,Data!$K$9:$K$1273,0)),"")</f>
        <v/>
      </c>
      <c r="AP205" s="312">
        <f>IFERROR(INDEX(Data!CL$9:CL$1273,MATCH($M205,Data!$K$9:$K$1273,0)),"")</f>
        <v/>
      </c>
      <c r="AQ205" s="312">
        <f>IFERROR(INDEX(Data!CM$9:CM$1273,MATCH($M205,Data!$K$9:$K$1273,0)),"")</f>
        <v/>
      </c>
      <c r="AR205" s="312">
        <f>IFERROR(INDEX(Data!CN$9:CN$1273,MATCH($M205,Data!$K$9:$K$1273,0)),"")</f>
        <v/>
      </c>
      <c r="AS205" s="312">
        <f>IFERROR(INDEX(Data!CO$9:CO$1273,MATCH($M205,Data!$K$9:$K$1273,0)),"")</f>
        <v/>
      </c>
      <c r="AT205" s="312">
        <f>IFERROR(INDEX(Data!CP$9:CP$1273,MATCH($M205,Data!$K$9:$K$1273,0)),"")</f>
        <v/>
      </c>
      <c r="AU205" s="312">
        <f>IFERROR(INDEX(Data!CQ$9:CQ$1273,MATCH($M205,Data!$K$9:$K$1273,0)),"")</f>
        <v/>
      </c>
      <c r="AV205" s="312">
        <f>IFERROR(INDEX(Data!CR$9:CR$1273,MATCH($M205,Data!$K$9:$K$1273,0)),"")</f>
        <v/>
      </c>
      <c r="AW205" s="312">
        <f>IFERROR(INDEX(Data!CS$9:CS$1273,MATCH($M205,Data!$K$9:$K$1273,0)),"")</f>
        <v/>
      </c>
      <c r="AX205" s="312">
        <f>IFERROR(INDEX(Data!CT$9:CT$1273,MATCH($M205,Data!$K$9:$K$1273,0)),"")</f>
        <v/>
      </c>
      <c r="AY205" s="312">
        <f>IFERROR(INDEX(Data!CU$9:CU$1273,MATCH($M205,Data!$K$9:$K$1273,0)),"")</f>
        <v/>
      </c>
      <c r="AZ205" s="312">
        <f>IFERROR(INDEX(Data!CV$9:CV$1273,MATCH($M205,Data!$K$9:$K$1273,0)),"")</f>
        <v/>
      </c>
      <c r="BA205" s="312">
        <f>IFERROR(INDEX(Data!CX$9:CX$1273,MATCH($M205,Data!$K$9:$K$1273,0)),"")</f>
        <v/>
      </c>
      <c r="BB205" s="312">
        <f>IFERROR(INDEX(Data!CY$9:CY$1273,MATCH($M205,Data!$K$9:$K$1273,0)),"")</f>
        <v/>
      </c>
      <c r="BC205" s="312">
        <f>IFERROR(INDEX(Data!CZ$9:CZ$1273,MATCH($M205,Data!$K$9:$K$1273,0)),"")</f>
        <v/>
      </c>
      <c r="BD205" s="312">
        <f>IFERROR(INDEX(Data!DA$9:DA$1273,MATCH($M205,Data!$K$9:$K$1273,0)),"")</f>
        <v/>
      </c>
      <c r="BE205" s="312">
        <f>IFERROR(INDEX(Data!DB$9:DB$1273,MATCH($M205,Data!$K$9:$K$1273,0)),"")</f>
        <v/>
      </c>
      <c r="BF205" s="312">
        <f>IFERROR(INDEX(Data!DC$9:DC$1273,MATCH($M205,Data!$K$9:$K$1273,0)),"")</f>
        <v/>
      </c>
      <c r="BG205" s="312">
        <f>IFERROR(INDEX(Data!DD$9:DD$1273,MATCH($M205,Data!$K$9:$K$1273,0)),"")</f>
        <v/>
      </c>
      <c r="BH205" s="312">
        <f>IFERROR(INDEX(Data!DE$9:DE$1273,MATCH($M205,Data!$K$9:$K$1273,0)),"")</f>
        <v/>
      </c>
      <c r="BI205" s="312">
        <f>IFERROR(INDEX(Data!DF$9:DF$1273,MATCH($M205,Data!$K$9:$K$1273,0)),"")</f>
        <v/>
      </c>
      <c r="BJ205" s="312">
        <f>IFERROR(INDEX(Data!DG$9:DG$1273,MATCH($M205,Data!$K$9:$K$1273,0)),"")</f>
        <v/>
      </c>
      <c r="BK205" s="312">
        <f>IFERROR(INDEX(Data!DH$9:DH$1273,MATCH($M205,Data!$K$9:$K$1273,0)),"")</f>
        <v/>
      </c>
      <c r="BL205" s="312">
        <f>IFERROR(INDEX(Data!DI$9:DI$1273,MATCH($M205,Data!$K$9:$K$1273,0)),"")</f>
        <v/>
      </c>
      <c r="BM205" s="312">
        <f>IFERROR(INDEX(Data!DJ$9:DJ$1273,MATCH($M205,Data!$K$9:$K$1273,0)),"")</f>
        <v/>
      </c>
      <c r="BN205" s="312">
        <f>IFERROR(INDEX(Data!DK$9:DK$1273,MATCH($M205,Data!$K$9:$K$1273,0)),"")</f>
        <v/>
      </c>
      <c r="BO205" s="312">
        <f>IFERROR(INDEX(Data!DL$9:DL$1273,MATCH($M205,Data!$K$9:$K$1273,0)),"")</f>
        <v/>
      </c>
      <c r="BP205" s="331">
        <f>IFERROR(IF(BK205=0,"-",BK205),"")</f>
        <v/>
      </c>
      <c r="BQ205" s="312">
        <f>IFERROR(IF(BP205-K205&gt;0,TRUE,FALSE)," ")</f>
        <v/>
      </c>
      <c r="BR205" s="312">
        <f>_xlfn.CONCAT(E205,F205,H205,G205)</f>
        <v/>
      </c>
      <c r="BS205" s="312">
        <f>IFERROR(INDEX(Data!$DO$9:$DO$1273,MATCH('Your recommendation'!BR205,Data!$DN$9:$DN$1273,0)),"")</f>
        <v/>
      </c>
    </row>
    <row r="206" ht="15.6" customFormat="1" customHeight="1" s="138">
      <c r="B206" s="309">
        <f>IF(C206&gt;0,B205+1,"")</f>
        <v/>
      </c>
      <c r="C206" s="310" t="n"/>
      <c r="D206" s="312">
        <f>IFERROR(INDEX(Data!BR$9:BR$1273,MATCH($M206,Data!$K$9:$K$1273,0)),"")</f>
        <v/>
      </c>
      <c r="E206" s="312">
        <f>IFERROR(INDEX(Data!BS$9:BS$1273,MATCH($M206,Data!$K$9:$K$1273,0)),"")</f>
        <v/>
      </c>
      <c r="F206" s="312">
        <f>IFERROR(INDEX(Data!DM$9:DM$1273,MATCH($M206,Data!$K$9:$K$1273,0)),"")</f>
        <v/>
      </c>
      <c r="G206" s="312">
        <f>IFERROR(INDEX(Data!BV$9:BV$1273,MATCH($M206,Data!$K$9:$K$1273,0)),"")</f>
        <v/>
      </c>
      <c r="H206" s="312">
        <f>IFERROR(INDEX(Data!BW$9:BW$1273,MATCH($M206,Data!$K$9:$K$1273,0)),"")</f>
        <v/>
      </c>
      <c r="I206" s="312">
        <f>IFERROR(INDEX(Data!BX$9:BX$1273,MATCH($M206,Data!$K$9:$K$1273,0)),"")</f>
        <v/>
      </c>
      <c r="J206" s="312">
        <f>IFERROR(INDEX(Data!CB$9:CB$1273,MATCH($M206,Data!$K$9:$K$1273,0)),"")</f>
        <v/>
      </c>
      <c r="K206" s="329">
        <f>IFERROR(HYPERLINK(BM206,BC206),"-")</f>
        <v/>
      </c>
      <c r="L206" s="330">
        <f>IFERROR(IF(BB206=0,"-",BB206)," ")</f>
        <v/>
      </c>
      <c r="M206" s="311" t="n"/>
      <c r="N206" s="311" t="n"/>
      <c r="O206" s="311">
        <f>IFERROR(INDEX(Data!M$9:M$1273,MATCH($M206,Data!$K$9:$K$1273,0)),"")</f>
        <v/>
      </c>
      <c r="P206" s="311">
        <f>IFERROR(INDEX(Data!N$9:N$1273,MATCH($M206,Data!$K$9:$K$1273,0)),"")</f>
        <v/>
      </c>
      <c r="Q206" s="311">
        <f>IFERROR(INDEX(Data!O$9:O$1273,MATCH($M206,Data!$K$9:$K$1273,0)),"")</f>
        <v/>
      </c>
      <c r="R206" s="311">
        <f>IFERROR(INDEX(Data!P$9:P$1273,MATCH($M206,Data!$K$9:$K$1273,0)),"")</f>
        <v/>
      </c>
      <c r="S206" s="311">
        <f>IFERROR(INDEX(Data!S$9:S$1273,MATCH($M206,Data!$K$9:$K$1273,0)),"")</f>
        <v/>
      </c>
      <c r="T206" s="311">
        <f>IFERROR(INDEX(Data!T$9:T$1273,MATCH($M206,Data!$K$9:$K$1273,0)),"")</f>
        <v/>
      </c>
      <c r="U206" s="311">
        <f>IFERROR(INDEX(Data!U$9:U$1273,MATCH($M206,Data!$K$9:$K$1273,0)),"")</f>
        <v/>
      </c>
      <c r="V206" s="311">
        <f>IFERROR(INDEX(Data!V$9:V$1273,MATCH($M206,Data!$K$9:$K$1273,0)),"")</f>
        <v/>
      </c>
      <c r="W206" s="311">
        <f>IFERROR(INDEX(Data!W$9:W$1273,MATCH($M206,Data!$K$9:$K$1273,0)),"")</f>
        <v/>
      </c>
      <c r="X206" s="311">
        <f>IFERROR(INDEX(Data!AJ$9:AJ$1273,MATCH($M206,Data!$K$9:$K$1273,0)),"")</f>
        <v/>
      </c>
      <c r="Y206" s="311">
        <f>IFERROR(INDEX(Data!AK$9:AK$1273,MATCH($M206,Data!$K$9:$K$1273,0)),"")</f>
        <v/>
      </c>
      <c r="Z206" s="311">
        <f>IFERROR(INDEX(Data!AL$9:AL$1273,MATCH($M206,Data!$K$9:$K$1273,0)),"")</f>
        <v/>
      </c>
      <c r="AA206" s="311">
        <f>IFERROR(INDEX(Data!AM$9:AM$1273,MATCH($M206,Data!$K$9:$K$1273,0)),"")</f>
        <v/>
      </c>
      <c r="AB206" s="311">
        <f>IFERROR(INDEX(Data!AN$9:AN$1273,MATCH($M206,Data!$K$9:$K$1273,0)),"")</f>
        <v/>
      </c>
      <c r="AC206" s="312">
        <f>IFERROR(INDEX(Data!BY$9:BY$1273,MATCH($M206,Data!$K$9:$K$1273,0)),"")</f>
        <v/>
      </c>
      <c r="AD206" s="312">
        <f>IFERROR(INDEX(Data!BZ$9:BZ$1273,MATCH($M206,Data!$K$9:$K$1273,0)),"")</f>
        <v/>
      </c>
      <c r="AE206" s="312">
        <f>IFERROR(INDEX(Data!CA$9:CA$1273,MATCH($M206,Data!$K$9:$K$1273,0)),"")</f>
        <v/>
      </c>
      <c r="AF206" s="312">
        <f>IFERROR(INDEX(Data!CB$9:CB$1273,MATCH($M206,Data!$K$9:$K$1273,0)),"")</f>
        <v/>
      </c>
      <c r="AG206" s="312">
        <f>IFERROR(INDEX(Data!CC$9:CC$1273,MATCH($M206,Data!$K$9:$K$1273,0)),"")</f>
        <v/>
      </c>
      <c r="AH206" s="312">
        <f>IFERROR(INDEX(Data!CD$9:CD$1273,MATCH($M206,Data!$K$9:$K$1273,0)),"")</f>
        <v/>
      </c>
      <c r="AI206" s="312">
        <f>IFERROR(INDEX(Data!CE$9:CE$1273,MATCH($M206,Data!$K$9:$K$1273,0)),"")</f>
        <v/>
      </c>
      <c r="AJ206" s="312">
        <f>IFERROR(INDEX(Data!CF$9:CF$1273,MATCH($M206,Data!$K$9:$K$1273,0)),"")</f>
        <v/>
      </c>
      <c r="AK206" s="312">
        <f>IFERROR(INDEX(Data!CG$9:CG$1273,MATCH($M206,Data!$K$9:$K$1273,0)),"")</f>
        <v/>
      </c>
      <c r="AL206" s="312">
        <f>IFERROR(INDEX(Data!CH$9:CH$1273,MATCH($M206,Data!$K$9:$K$1273,0)),"")</f>
        <v/>
      </c>
      <c r="AM206" s="312">
        <f>IFERROR(INDEX(Data!CI$9:CI$1273,MATCH($M206,Data!$K$9:$K$1273,0)),"")</f>
        <v/>
      </c>
      <c r="AN206" s="312">
        <f>IFERROR(INDEX(Data!CJ$9:CJ$1273,MATCH($M206,Data!$K$9:$K$1273,0)),"")</f>
        <v/>
      </c>
      <c r="AO206" s="312">
        <f>IFERROR(INDEX(Data!CK$9:CK$1273,MATCH($M206,Data!$K$9:$K$1273,0)),"")</f>
        <v/>
      </c>
      <c r="AP206" s="312">
        <f>IFERROR(INDEX(Data!CL$9:CL$1273,MATCH($M206,Data!$K$9:$K$1273,0)),"")</f>
        <v/>
      </c>
      <c r="AQ206" s="312">
        <f>IFERROR(INDEX(Data!CM$9:CM$1273,MATCH($M206,Data!$K$9:$K$1273,0)),"")</f>
        <v/>
      </c>
      <c r="AR206" s="312">
        <f>IFERROR(INDEX(Data!CN$9:CN$1273,MATCH($M206,Data!$K$9:$K$1273,0)),"")</f>
        <v/>
      </c>
      <c r="AS206" s="312">
        <f>IFERROR(INDEX(Data!CO$9:CO$1273,MATCH($M206,Data!$K$9:$K$1273,0)),"")</f>
        <v/>
      </c>
      <c r="AT206" s="312">
        <f>IFERROR(INDEX(Data!CP$9:CP$1273,MATCH($M206,Data!$K$9:$K$1273,0)),"")</f>
        <v/>
      </c>
      <c r="AU206" s="312">
        <f>IFERROR(INDEX(Data!CQ$9:CQ$1273,MATCH($M206,Data!$K$9:$K$1273,0)),"")</f>
        <v/>
      </c>
      <c r="AV206" s="312">
        <f>IFERROR(INDEX(Data!CR$9:CR$1273,MATCH($M206,Data!$K$9:$K$1273,0)),"")</f>
        <v/>
      </c>
      <c r="AW206" s="312">
        <f>IFERROR(INDEX(Data!CS$9:CS$1273,MATCH($M206,Data!$K$9:$K$1273,0)),"")</f>
        <v/>
      </c>
      <c r="AX206" s="312">
        <f>IFERROR(INDEX(Data!CT$9:CT$1273,MATCH($M206,Data!$K$9:$K$1273,0)),"")</f>
        <v/>
      </c>
      <c r="AY206" s="312">
        <f>IFERROR(INDEX(Data!CU$9:CU$1273,MATCH($M206,Data!$K$9:$K$1273,0)),"")</f>
        <v/>
      </c>
      <c r="AZ206" s="312">
        <f>IFERROR(INDEX(Data!CV$9:CV$1273,MATCH($M206,Data!$K$9:$K$1273,0)),"")</f>
        <v/>
      </c>
      <c r="BA206" s="312">
        <f>IFERROR(INDEX(Data!CX$9:CX$1273,MATCH($M206,Data!$K$9:$K$1273,0)),"")</f>
        <v/>
      </c>
      <c r="BB206" s="312">
        <f>IFERROR(INDEX(Data!CY$9:CY$1273,MATCH($M206,Data!$K$9:$K$1273,0)),"")</f>
        <v/>
      </c>
      <c r="BC206" s="312">
        <f>IFERROR(INDEX(Data!CZ$9:CZ$1273,MATCH($M206,Data!$K$9:$K$1273,0)),"")</f>
        <v/>
      </c>
      <c r="BD206" s="312">
        <f>IFERROR(INDEX(Data!DA$9:DA$1273,MATCH($M206,Data!$K$9:$K$1273,0)),"")</f>
        <v/>
      </c>
      <c r="BE206" s="312">
        <f>IFERROR(INDEX(Data!DB$9:DB$1273,MATCH($M206,Data!$K$9:$K$1273,0)),"")</f>
        <v/>
      </c>
      <c r="BF206" s="312">
        <f>IFERROR(INDEX(Data!DC$9:DC$1273,MATCH($M206,Data!$K$9:$K$1273,0)),"")</f>
        <v/>
      </c>
      <c r="BG206" s="312">
        <f>IFERROR(INDEX(Data!DD$9:DD$1273,MATCH($M206,Data!$K$9:$K$1273,0)),"")</f>
        <v/>
      </c>
      <c r="BH206" s="312">
        <f>IFERROR(INDEX(Data!DE$9:DE$1273,MATCH($M206,Data!$K$9:$K$1273,0)),"")</f>
        <v/>
      </c>
      <c r="BI206" s="312">
        <f>IFERROR(INDEX(Data!DF$9:DF$1273,MATCH($M206,Data!$K$9:$K$1273,0)),"")</f>
        <v/>
      </c>
      <c r="BJ206" s="312">
        <f>IFERROR(INDEX(Data!DG$9:DG$1273,MATCH($M206,Data!$K$9:$K$1273,0)),"")</f>
        <v/>
      </c>
      <c r="BK206" s="312">
        <f>IFERROR(INDEX(Data!DH$9:DH$1273,MATCH($M206,Data!$K$9:$K$1273,0)),"")</f>
        <v/>
      </c>
      <c r="BL206" s="312">
        <f>IFERROR(INDEX(Data!DI$9:DI$1273,MATCH($M206,Data!$K$9:$K$1273,0)),"")</f>
        <v/>
      </c>
      <c r="BM206" s="312">
        <f>IFERROR(INDEX(Data!DJ$9:DJ$1273,MATCH($M206,Data!$K$9:$K$1273,0)),"")</f>
        <v/>
      </c>
      <c r="BN206" s="312">
        <f>IFERROR(INDEX(Data!DK$9:DK$1273,MATCH($M206,Data!$K$9:$K$1273,0)),"")</f>
        <v/>
      </c>
      <c r="BO206" s="312">
        <f>IFERROR(INDEX(Data!DL$9:DL$1273,MATCH($M206,Data!$K$9:$K$1273,0)),"")</f>
        <v/>
      </c>
      <c r="BP206" s="331">
        <f>IFERROR(IF(BK206=0,"-",BK206),"")</f>
        <v/>
      </c>
      <c r="BQ206" s="312">
        <f>IFERROR(IF(BP206-K206&gt;0,TRUE,FALSE)," ")</f>
        <v/>
      </c>
      <c r="BR206" s="312">
        <f>_xlfn.CONCAT(E206,F206,H206,G206)</f>
        <v/>
      </c>
      <c r="BS206" s="312">
        <f>IFERROR(INDEX(Data!$DO$9:$DO$1273,MATCH('Your recommendation'!BR206,Data!$DN$9:$DN$1273,0)),"")</f>
        <v/>
      </c>
    </row>
    <row r="207" ht="15.6" customFormat="1" customHeight="1" s="138">
      <c r="B207" s="309">
        <f>IF(C207&gt;0,B206+1,"")</f>
        <v/>
      </c>
      <c r="C207" s="310" t="n"/>
      <c r="D207" s="312">
        <f>IFERROR(INDEX(Data!BR$9:BR$1273,MATCH($M207,Data!$K$9:$K$1273,0)),"")</f>
        <v/>
      </c>
      <c r="E207" s="312">
        <f>IFERROR(INDEX(Data!BS$9:BS$1273,MATCH($M207,Data!$K$9:$K$1273,0)),"")</f>
        <v/>
      </c>
      <c r="F207" s="312">
        <f>IFERROR(INDEX(Data!DM$9:DM$1273,MATCH($M207,Data!$K$9:$K$1273,0)),"")</f>
        <v/>
      </c>
      <c r="G207" s="312">
        <f>IFERROR(INDEX(Data!BV$9:BV$1273,MATCH($M207,Data!$K$9:$K$1273,0)),"")</f>
        <v/>
      </c>
      <c r="H207" s="312">
        <f>IFERROR(INDEX(Data!BW$9:BW$1273,MATCH($M207,Data!$K$9:$K$1273,0)),"")</f>
        <v/>
      </c>
      <c r="I207" s="312">
        <f>IFERROR(INDEX(Data!BX$9:BX$1273,MATCH($M207,Data!$K$9:$K$1273,0)),"")</f>
        <v/>
      </c>
      <c r="J207" s="312">
        <f>IFERROR(INDEX(Data!CB$9:CB$1273,MATCH($M207,Data!$K$9:$K$1273,0)),"")</f>
        <v/>
      </c>
      <c r="K207" s="329">
        <f>IFERROR(HYPERLINK(BM207,BC207),"-")</f>
        <v/>
      </c>
      <c r="L207" s="330">
        <f>IFERROR(IF(BB207=0,"-",BB207)," ")</f>
        <v/>
      </c>
      <c r="M207" s="311" t="n"/>
      <c r="N207" s="311" t="n"/>
      <c r="O207" s="311">
        <f>IFERROR(INDEX(Data!M$9:M$1273,MATCH($M207,Data!$K$9:$K$1273,0)),"")</f>
        <v/>
      </c>
      <c r="P207" s="311">
        <f>IFERROR(INDEX(Data!N$9:N$1273,MATCH($M207,Data!$K$9:$K$1273,0)),"")</f>
        <v/>
      </c>
      <c r="Q207" s="311">
        <f>IFERROR(INDEX(Data!O$9:O$1273,MATCH($M207,Data!$K$9:$K$1273,0)),"")</f>
        <v/>
      </c>
      <c r="R207" s="311">
        <f>IFERROR(INDEX(Data!P$9:P$1273,MATCH($M207,Data!$K$9:$K$1273,0)),"")</f>
        <v/>
      </c>
      <c r="S207" s="311">
        <f>IFERROR(INDEX(Data!S$9:S$1273,MATCH($M207,Data!$K$9:$K$1273,0)),"")</f>
        <v/>
      </c>
      <c r="T207" s="311">
        <f>IFERROR(INDEX(Data!T$9:T$1273,MATCH($M207,Data!$K$9:$K$1273,0)),"")</f>
        <v/>
      </c>
      <c r="U207" s="311">
        <f>IFERROR(INDEX(Data!U$9:U$1273,MATCH($M207,Data!$K$9:$K$1273,0)),"")</f>
        <v/>
      </c>
      <c r="V207" s="311">
        <f>IFERROR(INDEX(Data!V$9:V$1273,MATCH($M207,Data!$K$9:$K$1273,0)),"")</f>
        <v/>
      </c>
      <c r="W207" s="311">
        <f>IFERROR(INDEX(Data!W$9:W$1273,MATCH($M207,Data!$K$9:$K$1273,0)),"")</f>
        <v/>
      </c>
      <c r="X207" s="311">
        <f>IFERROR(INDEX(Data!AJ$9:AJ$1273,MATCH($M207,Data!$K$9:$K$1273,0)),"")</f>
        <v/>
      </c>
      <c r="Y207" s="311">
        <f>IFERROR(INDEX(Data!AK$9:AK$1273,MATCH($M207,Data!$K$9:$K$1273,0)),"")</f>
        <v/>
      </c>
      <c r="Z207" s="311">
        <f>IFERROR(INDEX(Data!AL$9:AL$1273,MATCH($M207,Data!$K$9:$K$1273,0)),"")</f>
        <v/>
      </c>
      <c r="AA207" s="311">
        <f>IFERROR(INDEX(Data!AM$9:AM$1273,MATCH($M207,Data!$K$9:$K$1273,0)),"")</f>
        <v/>
      </c>
      <c r="AB207" s="311">
        <f>IFERROR(INDEX(Data!AN$9:AN$1273,MATCH($M207,Data!$K$9:$K$1273,0)),"")</f>
        <v/>
      </c>
      <c r="AC207" s="312">
        <f>IFERROR(INDEX(Data!BY$9:BY$1273,MATCH($M207,Data!$K$9:$K$1273,0)),"")</f>
        <v/>
      </c>
      <c r="AD207" s="312">
        <f>IFERROR(INDEX(Data!BZ$9:BZ$1273,MATCH($M207,Data!$K$9:$K$1273,0)),"")</f>
        <v/>
      </c>
      <c r="AE207" s="312">
        <f>IFERROR(INDEX(Data!CA$9:CA$1273,MATCH($M207,Data!$K$9:$K$1273,0)),"")</f>
        <v/>
      </c>
      <c r="AF207" s="312">
        <f>IFERROR(INDEX(Data!CB$9:CB$1273,MATCH($M207,Data!$K$9:$K$1273,0)),"")</f>
        <v/>
      </c>
      <c r="AG207" s="312">
        <f>IFERROR(INDEX(Data!CC$9:CC$1273,MATCH($M207,Data!$K$9:$K$1273,0)),"")</f>
        <v/>
      </c>
      <c r="AH207" s="312">
        <f>IFERROR(INDEX(Data!CD$9:CD$1273,MATCH($M207,Data!$K$9:$K$1273,0)),"")</f>
        <v/>
      </c>
      <c r="AI207" s="312">
        <f>IFERROR(INDEX(Data!CE$9:CE$1273,MATCH($M207,Data!$K$9:$K$1273,0)),"")</f>
        <v/>
      </c>
      <c r="AJ207" s="312">
        <f>IFERROR(INDEX(Data!CF$9:CF$1273,MATCH($M207,Data!$K$9:$K$1273,0)),"")</f>
        <v/>
      </c>
      <c r="AK207" s="312">
        <f>IFERROR(INDEX(Data!CG$9:CG$1273,MATCH($M207,Data!$K$9:$K$1273,0)),"")</f>
        <v/>
      </c>
      <c r="AL207" s="312">
        <f>IFERROR(INDEX(Data!CH$9:CH$1273,MATCH($M207,Data!$K$9:$K$1273,0)),"")</f>
        <v/>
      </c>
      <c r="AM207" s="312">
        <f>IFERROR(INDEX(Data!CI$9:CI$1273,MATCH($M207,Data!$K$9:$K$1273,0)),"")</f>
        <v/>
      </c>
      <c r="AN207" s="312">
        <f>IFERROR(INDEX(Data!CJ$9:CJ$1273,MATCH($M207,Data!$K$9:$K$1273,0)),"")</f>
        <v/>
      </c>
      <c r="AO207" s="312">
        <f>IFERROR(INDEX(Data!CK$9:CK$1273,MATCH($M207,Data!$K$9:$K$1273,0)),"")</f>
        <v/>
      </c>
      <c r="AP207" s="312">
        <f>IFERROR(INDEX(Data!CL$9:CL$1273,MATCH($M207,Data!$K$9:$K$1273,0)),"")</f>
        <v/>
      </c>
      <c r="AQ207" s="312">
        <f>IFERROR(INDEX(Data!CM$9:CM$1273,MATCH($M207,Data!$K$9:$K$1273,0)),"")</f>
        <v/>
      </c>
      <c r="AR207" s="312">
        <f>IFERROR(INDEX(Data!CN$9:CN$1273,MATCH($M207,Data!$K$9:$K$1273,0)),"")</f>
        <v/>
      </c>
      <c r="AS207" s="312">
        <f>IFERROR(INDEX(Data!CO$9:CO$1273,MATCH($M207,Data!$K$9:$K$1273,0)),"")</f>
        <v/>
      </c>
      <c r="AT207" s="312">
        <f>IFERROR(INDEX(Data!CP$9:CP$1273,MATCH($M207,Data!$K$9:$K$1273,0)),"")</f>
        <v/>
      </c>
      <c r="AU207" s="312">
        <f>IFERROR(INDEX(Data!CQ$9:CQ$1273,MATCH($M207,Data!$K$9:$K$1273,0)),"")</f>
        <v/>
      </c>
      <c r="AV207" s="312">
        <f>IFERROR(INDEX(Data!CR$9:CR$1273,MATCH($M207,Data!$K$9:$K$1273,0)),"")</f>
        <v/>
      </c>
      <c r="AW207" s="312">
        <f>IFERROR(INDEX(Data!CS$9:CS$1273,MATCH($M207,Data!$K$9:$K$1273,0)),"")</f>
        <v/>
      </c>
      <c r="AX207" s="312">
        <f>IFERROR(INDEX(Data!CT$9:CT$1273,MATCH($M207,Data!$K$9:$K$1273,0)),"")</f>
        <v/>
      </c>
      <c r="AY207" s="312">
        <f>IFERROR(INDEX(Data!CU$9:CU$1273,MATCH($M207,Data!$K$9:$K$1273,0)),"")</f>
        <v/>
      </c>
      <c r="AZ207" s="312">
        <f>IFERROR(INDEX(Data!CV$9:CV$1273,MATCH($M207,Data!$K$9:$K$1273,0)),"")</f>
        <v/>
      </c>
      <c r="BA207" s="312">
        <f>IFERROR(INDEX(Data!CX$9:CX$1273,MATCH($M207,Data!$K$9:$K$1273,0)),"")</f>
        <v/>
      </c>
      <c r="BB207" s="312">
        <f>IFERROR(INDEX(Data!CY$9:CY$1273,MATCH($M207,Data!$K$9:$K$1273,0)),"")</f>
        <v/>
      </c>
      <c r="BC207" s="312">
        <f>IFERROR(INDEX(Data!CZ$9:CZ$1273,MATCH($M207,Data!$K$9:$K$1273,0)),"")</f>
        <v/>
      </c>
      <c r="BD207" s="312">
        <f>IFERROR(INDEX(Data!DA$9:DA$1273,MATCH($M207,Data!$K$9:$K$1273,0)),"")</f>
        <v/>
      </c>
      <c r="BE207" s="312">
        <f>IFERROR(INDEX(Data!DB$9:DB$1273,MATCH($M207,Data!$K$9:$K$1273,0)),"")</f>
        <v/>
      </c>
      <c r="BF207" s="312">
        <f>IFERROR(INDEX(Data!DC$9:DC$1273,MATCH($M207,Data!$K$9:$K$1273,0)),"")</f>
        <v/>
      </c>
      <c r="BG207" s="312">
        <f>IFERROR(INDEX(Data!DD$9:DD$1273,MATCH($M207,Data!$K$9:$K$1273,0)),"")</f>
        <v/>
      </c>
      <c r="BH207" s="312">
        <f>IFERROR(INDEX(Data!DE$9:DE$1273,MATCH($M207,Data!$K$9:$K$1273,0)),"")</f>
        <v/>
      </c>
      <c r="BI207" s="312">
        <f>IFERROR(INDEX(Data!DF$9:DF$1273,MATCH($M207,Data!$K$9:$K$1273,0)),"")</f>
        <v/>
      </c>
      <c r="BJ207" s="312">
        <f>IFERROR(INDEX(Data!DG$9:DG$1273,MATCH($M207,Data!$K$9:$K$1273,0)),"")</f>
        <v/>
      </c>
      <c r="BK207" s="312">
        <f>IFERROR(INDEX(Data!DH$9:DH$1273,MATCH($M207,Data!$K$9:$K$1273,0)),"")</f>
        <v/>
      </c>
      <c r="BL207" s="312">
        <f>IFERROR(INDEX(Data!DI$9:DI$1273,MATCH($M207,Data!$K$9:$K$1273,0)),"")</f>
        <v/>
      </c>
      <c r="BM207" s="312">
        <f>IFERROR(INDEX(Data!DJ$9:DJ$1273,MATCH($M207,Data!$K$9:$K$1273,0)),"")</f>
        <v/>
      </c>
      <c r="BN207" s="312">
        <f>IFERROR(INDEX(Data!DK$9:DK$1273,MATCH($M207,Data!$K$9:$K$1273,0)),"")</f>
        <v/>
      </c>
      <c r="BO207" s="312">
        <f>IFERROR(INDEX(Data!DL$9:DL$1273,MATCH($M207,Data!$K$9:$K$1273,0)),"")</f>
        <v/>
      </c>
      <c r="BP207" s="331">
        <f>IFERROR(IF(BK207=0,"-",BK207),"")</f>
        <v/>
      </c>
      <c r="BQ207" s="312">
        <f>IFERROR(IF(BP207-K207&gt;0,TRUE,FALSE)," ")</f>
        <v/>
      </c>
      <c r="BR207" s="312">
        <f>_xlfn.CONCAT(E207,F207,H207,G207)</f>
        <v/>
      </c>
      <c r="BS207" s="312">
        <f>IFERROR(INDEX(Data!$DO$9:$DO$1273,MATCH('Your recommendation'!BR207,Data!$DN$9:$DN$1273,0)),"")</f>
        <v/>
      </c>
    </row>
    <row r="208" ht="15.6" customFormat="1" customHeight="1" s="138">
      <c r="B208" s="309">
        <f>IF(C208&gt;0,B207+1,"")</f>
        <v/>
      </c>
      <c r="C208" s="310" t="n"/>
      <c r="D208" s="312">
        <f>IFERROR(INDEX(Data!BR$9:BR$1273,MATCH($M208,Data!$K$9:$K$1273,0)),"")</f>
        <v/>
      </c>
      <c r="E208" s="312">
        <f>IFERROR(INDEX(Data!BS$9:BS$1273,MATCH($M208,Data!$K$9:$K$1273,0)),"")</f>
        <v/>
      </c>
      <c r="F208" s="312">
        <f>IFERROR(INDEX(Data!DM$9:DM$1273,MATCH($M208,Data!$K$9:$K$1273,0)),"")</f>
        <v/>
      </c>
      <c r="G208" s="312">
        <f>IFERROR(INDEX(Data!BV$9:BV$1273,MATCH($M208,Data!$K$9:$K$1273,0)),"")</f>
        <v/>
      </c>
      <c r="H208" s="312">
        <f>IFERROR(INDEX(Data!BW$9:BW$1273,MATCH($M208,Data!$K$9:$K$1273,0)),"")</f>
        <v/>
      </c>
      <c r="I208" s="312">
        <f>IFERROR(INDEX(Data!BX$9:BX$1273,MATCH($M208,Data!$K$9:$K$1273,0)),"")</f>
        <v/>
      </c>
      <c r="J208" s="312">
        <f>IFERROR(INDEX(Data!CB$9:CB$1273,MATCH($M208,Data!$K$9:$K$1273,0)),"")</f>
        <v/>
      </c>
      <c r="K208" s="329">
        <f>IFERROR(HYPERLINK(BM208,BC208),"-")</f>
        <v/>
      </c>
      <c r="L208" s="330">
        <f>IFERROR(IF(BB208=0,"-",BB208)," ")</f>
        <v/>
      </c>
      <c r="M208" s="311" t="n"/>
      <c r="N208" s="311" t="n"/>
      <c r="O208" s="311">
        <f>IFERROR(INDEX(Data!M$9:M$1273,MATCH($M208,Data!$K$9:$K$1273,0)),"")</f>
        <v/>
      </c>
      <c r="P208" s="311">
        <f>IFERROR(INDEX(Data!N$9:N$1273,MATCH($M208,Data!$K$9:$K$1273,0)),"")</f>
        <v/>
      </c>
      <c r="Q208" s="311">
        <f>IFERROR(INDEX(Data!O$9:O$1273,MATCH($M208,Data!$K$9:$K$1273,0)),"")</f>
        <v/>
      </c>
      <c r="R208" s="311">
        <f>IFERROR(INDEX(Data!P$9:P$1273,MATCH($M208,Data!$K$9:$K$1273,0)),"")</f>
        <v/>
      </c>
      <c r="S208" s="311">
        <f>IFERROR(INDEX(Data!S$9:S$1273,MATCH($M208,Data!$K$9:$K$1273,0)),"")</f>
        <v/>
      </c>
      <c r="T208" s="311">
        <f>IFERROR(INDEX(Data!T$9:T$1273,MATCH($M208,Data!$K$9:$K$1273,0)),"")</f>
        <v/>
      </c>
      <c r="U208" s="311">
        <f>IFERROR(INDEX(Data!U$9:U$1273,MATCH($M208,Data!$K$9:$K$1273,0)),"")</f>
        <v/>
      </c>
      <c r="V208" s="311">
        <f>IFERROR(INDEX(Data!V$9:V$1273,MATCH($M208,Data!$K$9:$K$1273,0)),"")</f>
        <v/>
      </c>
      <c r="W208" s="311">
        <f>IFERROR(INDEX(Data!W$9:W$1273,MATCH($M208,Data!$K$9:$K$1273,0)),"")</f>
        <v/>
      </c>
      <c r="X208" s="311">
        <f>IFERROR(INDEX(Data!AJ$9:AJ$1273,MATCH($M208,Data!$K$9:$K$1273,0)),"")</f>
        <v/>
      </c>
      <c r="Y208" s="311">
        <f>IFERROR(INDEX(Data!AK$9:AK$1273,MATCH($M208,Data!$K$9:$K$1273,0)),"")</f>
        <v/>
      </c>
      <c r="Z208" s="311">
        <f>IFERROR(INDEX(Data!AL$9:AL$1273,MATCH($M208,Data!$K$9:$K$1273,0)),"")</f>
        <v/>
      </c>
      <c r="AA208" s="311">
        <f>IFERROR(INDEX(Data!AM$9:AM$1273,MATCH($M208,Data!$K$9:$K$1273,0)),"")</f>
        <v/>
      </c>
      <c r="AB208" s="311">
        <f>IFERROR(INDEX(Data!AN$9:AN$1273,MATCH($M208,Data!$K$9:$K$1273,0)),"")</f>
        <v/>
      </c>
      <c r="AC208" s="312">
        <f>IFERROR(INDEX(Data!BY$9:BY$1273,MATCH($M208,Data!$K$9:$K$1273,0)),"")</f>
        <v/>
      </c>
      <c r="AD208" s="312">
        <f>IFERROR(INDEX(Data!BZ$9:BZ$1273,MATCH($M208,Data!$K$9:$K$1273,0)),"")</f>
        <v/>
      </c>
      <c r="AE208" s="312">
        <f>IFERROR(INDEX(Data!CA$9:CA$1273,MATCH($M208,Data!$K$9:$K$1273,0)),"")</f>
        <v/>
      </c>
      <c r="AF208" s="312">
        <f>IFERROR(INDEX(Data!CB$9:CB$1273,MATCH($M208,Data!$K$9:$K$1273,0)),"")</f>
        <v/>
      </c>
      <c r="AG208" s="312">
        <f>IFERROR(INDEX(Data!CC$9:CC$1273,MATCH($M208,Data!$K$9:$K$1273,0)),"")</f>
        <v/>
      </c>
      <c r="AH208" s="312">
        <f>IFERROR(INDEX(Data!CD$9:CD$1273,MATCH($M208,Data!$K$9:$K$1273,0)),"")</f>
        <v/>
      </c>
      <c r="AI208" s="312">
        <f>IFERROR(INDEX(Data!CE$9:CE$1273,MATCH($M208,Data!$K$9:$K$1273,0)),"")</f>
        <v/>
      </c>
      <c r="AJ208" s="312">
        <f>IFERROR(INDEX(Data!CF$9:CF$1273,MATCH($M208,Data!$K$9:$K$1273,0)),"")</f>
        <v/>
      </c>
      <c r="AK208" s="312">
        <f>IFERROR(INDEX(Data!CG$9:CG$1273,MATCH($M208,Data!$K$9:$K$1273,0)),"")</f>
        <v/>
      </c>
      <c r="AL208" s="312">
        <f>IFERROR(INDEX(Data!CH$9:CH$1273,MATCH($M208,Data!$K$9:$K$1273,0)),"")</f>
        <v/>
      </c>
      <c r="AM208" s="312">
        <f>IFERROR(INDEX(Data!CI$9:CI$1273,MATCH($M208,Data!$K$9:$K$1273,0)),"")</f>
        <v/>
      </c>
      <c r="AN208" s="312">
        <f>IFERROR(INDEX(Data!CJ$9:CJ$1273,MATCH($M208,Data!$K$9:$K$1273,0)),"")</f>
        <v/>
      </c>
      <c r="AO208" s="312">
        <f>IFERROR(INDEX(Data!CK$9:CK$1273,MATCH($M208,Data!$K$9:$K$1273,0)),"")</f>
        <v/>
      </c>
      <c r="AP208" s="312">
        <f>IFERROR(INDEX(Data!CL$9:CL$1273,MATCH($M208,Data!$K$9:$K$1273,0)),"")</f>
        <v/>
      </c>
      <c r="AQ208" s="312">
        <f>IFERROR(INDEX(Data!CM$9:CM$1273,MATCH($M208,Data!$K$9:$K$1273,0)),"")</f>
        <v/>
      </c>
      <c r="AR208" s="312">
        <f>IFERROR(INDEX(Data!CN$9:CN$1273,MATCH($M208,Data!$K$9:$K$1273,0)),"")</f>
        <v/>
      </c>
      <c r="AS208" s="312">
        <f>IFERROR(INDEX(Data!CO$9:CO$1273,MATCH($M208,Data!$K$9:$K$1273,0)),"")</f>
        <v/>
      </c>
      <c r="AT208" s="312">
        <f>IFERROR(INDEX(Data!CP$9:CP$1273,MATCH($M208,Data!$K$9:$K$1273,0)),"")</f>
        <v/>
      </c>
      <c r="AU208" s="312">
        <f>IFERROR(INDEX(Data!CQ$9:CQ$1273,MATCH($M208,Data!$K$9:$K$1273,0)),"")</f>
        <v/>
      </c>
      <c r="AV208" s="312">
        <f>IFERROR(INDEX(Data!CR$9:CR$1273,MATCH($M208,Data!$K$9:$K$1273,0)),"")</f>
        <v/>
      </c>
      <c r="AW208" s="312">
        <f>IFERROR(INDEX(Data!CS$9:CS$1273,MATCH($M208,Data!$K$9:$K$1273,0)),"")</f>
        <v/>
      </c>
      <c r="AX208" s="312">
        <f>IFERROR(INDEX(Data!CT$9:CT$1273,MATCH($M208,Data!$K$9:$K$1273,0)),"")</f>
        <v/>
      </c>
      <c r="AY208" s="312">
        <f>IFERROR(INDEX(Data!CU$9:CU$1273,MATCH($M208,Data!$K$9:$K$1273,0)),"")</f>
        <v/>
      </c>
      <c r="AZ208" s="312">
        <f>IFERROR(INDEX(Data!CV$9:CV$1273,MATCH($M208,Data!$K$9:$K$1273,0)),"")</f>
        <v/>
      </c>
      <c r="BA208" s="312">
        <f>IFERROR(INDEX(Data!CX$9:CX$1273,MATCH($M208,Data!$K$9:$K$1273,0)),"")</f>
        <v/>
      </c>
      <c r="BB208" s="312">
        <f>IFERROR(INDEX(Data!CY$9:CY$1273,MATCH($M208,Data!$K$9:$K$1273,0)),"")</f>
        <v/>
      </c>
      <c r="BC208" s="312">
        <f>IFERROR(INDEX(Data!CZ$9:CZ$1273,MATCH($M208,Data!$K$9:$K$1273,0)),"")</f>
        <v/>
      </c>
      <c r="BD208" s="312">
        <f>IFERROR(INDEX(Data!DA$9:DA$1273,MATCH($M208,Data!$K$9:$K$1273,0)),"")</f>
        <v/>
      </c>
      <c r="BE208" s="312">
        <f>IFERROR(INDEX(Data!DB$9:DB$1273,MATCH($M208,Data!$K$9:$K$1273,0)),"")</f>
        <v/>
      </c>
      <c r="BF208" s="312">
        <f>IFERROR(INDEX(Data!DC$9:DC$1273,MATCH($M208,Data!$K$9:$K$1273,0)),"")</f>
        <v/>
      </c>
      <c r="BG208" s="312">
        <f>IFERROR(INDEX(Data!DD$9:DD$1273,MATCH($M208,Data!$K$9:$K$1273,0)),"")</f>
        <v/>
      </c>
      <c r="BH208" s="312">
        <f>IFERROR(INDEX(Data!DE$9:DE$1273,MATCH($M208,Data!$K$9:$K$1273,0)),"")</f>
        <v/>
      </c>
      <c r="BI208" s="312">
        <f>IFERROR(INDEX(Data!DF$9:DF$1273,MATCH($M208,Data!$K$9:$K$1273,0)),"")</f>
        <v/>
      </c>
      <c r="BJ208" s="312">
        <f>IFERROR(INDEX(Data!DG$9:DG$1273,MATCH($M208,Data!$K$9:$K$1273,0)),"")</f>
        <v/>
      </c>
      <c r="BK208" s="312">
        <f>IFERROR(INDEX(Data!DH$9:DH$1273,MATCH($M208,Data!$K$9:$K$1273,0)),"")</f>
        <v/>
      </c>
      <c r="BL208" s="312">
        <f>IFERROR(INDEX(Data!DI$9:DI$1273,MATCH($M208,Data!$K$9:$K$1273,0)),"")</f>
        <v/>
      </c>
      <c r="BM208" s="312">
        <f>IFERROR(INDEX(Data!DJ$9:DJ$1273,MATCH($M208,Data!$K$9:$K$1273,0)),"")</f>
        <v/>
      </c>
      <c r="BN208" s="312">
        <f>IFERROR(INDEX(Data!DK$9:DK$1273,MATCH($M208,Data!$K$9:$K$1273,0)),"")</f>
        <v/>
      </c>
      <c r="BO208" s="312">
        <f>IFERROR(INDEX(Data!DL$9:DL$1273,MATCH($M208,Data!$K$9:$K$1273,0)),"")</f>
        <v/>
      </c>
      <c r="BP208" s="331">
        <f>IFERROR(IF(BK208=0,"-",BK208),"")</f>
        <v/>
      </c>
      <c r="BQ208" s="312">
        <f>IFERROR(IF(BP208-K208&gt;0,TRUE,FALSE)," ")</f>
        <v/>
      </c>
      <c r="BR208" s="312">
        <f>_xlfn.CONCAT(E208,F208,H208,G208)</f>
        <v/>
      </c>
      <c r="BS208" s="312">
        <f>IFERROR(INDEX(Data!$DO$9:$DO$1273,MATCH('Your recommendation'!BR208,Data!$DN$9:$DN$1273,0)),"")</f>
        <v/>
      </c>
    </row>
    <row r="209" ht="15.6" customFormat="1" customHeight="1" s="138">
      <c r="B209" s="309">
        <f>IF(C209&gt;0,B208+1,"")</f>
        <v/>
      </c>
      <c r="C209" s="310" t="n"/>
      <c r="D209" s="312">
        <f>IFERROR(INDEX(Data!BR$9:BR$1273,MATCH($M209,Data!$K$9:$K$1273,0)),"")</f>
        <v/>
      </c>
      <c r="E209" s="312">
        <f>IFERROR(INDEX(Data!BS$9:BS$1273,MATCH($M209,Data!$K$9:$K$1273,0)),"")</f>
        <v/>
      </c>
      <c r="F209" s="312">
        <f>IFERROR(INDEX(Data!DM$9:DM$1273,MATCH($M209,Data!$K$9:$K$1273,0)),"")</f>
        <v/>
      </c>
      <c r="G209" s="312">
        <f>IFERROR(INDEX(Data!BV$9:BV$1273,MATCH($M209,Data!$K$9:$K$1273,0)),"")</f>
        <v/>
      </c>
      <c r="H209" s="312">
        <f>IFERROR(INDEX(Data!BW$9:BW$1273,MATCH($M209,Data!$K$9:$K$1273,0)),"")</f>
        <v/>
      </c>
      <c r="I209" s="312">
        <f>IFERROR(INDEX(Data!BX$9:BX$1273,MATCH($M209,Data!$K$9:$K$1273,0)),"")</f>
        <v/>
      </c>
      <c r="J209" s="312">
        <f>IFERROR(INDEX(Data!CB$9:CB$1273,MATCH($M209,Data!$K$9:$K$1273,0)),"")</f>
        <v/>
      </c>
      <c r="K209" s="329">
        <f>IFERROR(HYPERLINK(BM209,BC209),"-")</f>
        <v/>
      </c>
      <c r="L209" s="330">
        <f>IFERROR(IF(BB209=0,"-",BB209)," ")</f>
        <v/>
      </c>
      <c r="M209" s="311" t="n"/>
      <c r="N209" s="311" t="n"/>
      <c r="O209" s="311">
        <f>IFERROR(INDEX(Data!M$9:M$1273,MATCH($M209,Data!$K$9:$K$1273,0)),"")</f>
        <v/>
      </c>
      <c r="P209" s="311">
        <f>IFERROR(INDEX(Data!N$9:N$1273,MATCH($M209,Data!$K$9:$K$1273,0)),"")</f>
        <v/>
      </c>
      <c r="Q209" s="311">
        <f>IFERROR(INDEX(Data!O$9:O$1273,MATCH($M209,Data!$K$9:$K$1273,0)),"")</f>
        <v/>
      </c>
      <c r="R209" s="311">
        <f>IFERROR(INDEX(Data!P$9:P$1273,MATCH($M209,Data!$K$9:$K$1273,0)),"")</f>
        <v/>
      </c>
      <c r="S209" s="311">
        <f>IFERROR(INDEX(Data!S$9:S$1273,MATCH($M209,Data!$K$9:$K$1273,0)),"")</f>
        <v/>
      </c>
      <c r="T209" s="311">
        <f>IFERROR(INDEX(Data!T$9:T$1273,MATCH($M209,Data!$K$9:$K$1273,0)),"")</f>
        <v/>
      </c>
      <c r="U209" s="311">
        <f>IFERROR(INDEX(Data!U$9:U$1273,MATCH($M209,Data!$K$9:$K$1273,0)),"")</f>
        <v/>
      </c>
      <c r="V209" s="311">
        <f>IFERROR(INDEX(Data!V$9:V$1273,MATCH($M209,Data!$K$9:$K$1273,0)),"")</f>
        <v/>
      </c>
      <c r="W209" s="311">
        <f>IFERROR(INDEX(Data!W$9:W$1273,MATCH($M209,Data!$K$9:$K$1273,0)),"")</f>
        <v/>
      </c>
      <c r="X209" s="311">
        <f>IFERROR(INDEX(Data!AJ$9:AJ$1273,MATCH($M209,Data!$K$9:$K$1273,0)),"")</f>
        <v/>
      </c>
      <c r="Y209" s="311">
        <f>IFERROR(INDEX(Data!AK$9:AK$1273,MATCH($M209,Data!$K$9:$K$1273,0)),"")</f>
        <v/>
      </c>
      <c r="Z209" s="311">
        <f>IFERROR(INDEX(Data!AL$9:AL$1273,MATCH($M209,Data!$K$9:$K$1273,0)),"")</f>
        <v/>
      </c>
      <c r="AA209" s="311">
        <f>IFERROR(INDEX(Data!AM$9:AM$1273,MATCH($M209,Data!$K$9:$K$1273,0)),"")</f>
        <v/>
      </c>
      <c r="AB209" s="311">
        <f>IFERROR(INDEX(Data!AN$9:AN$1273,MATCH($M209,Data!$K$9:$K$1273,0)),"")</f>
        <v/>
      </c>
      <c r="AC209" s="312">
        <f>IFERROR(INDEX(Data!BY$9:BY$1273,MATCH($M209,Data!$K$9:$K$1273,0)),"")</f>
        <v/>
      </c>
      <c r="AD209" s="312">
        <f>IFERROR(INDEX(Data!BZ$9:BZ$1273,MATCH($M209,Data!$K$9:$K$1273,0)),"")</f>
        <v/>
      </c>
      <c r="AE209" s="312">
        <f>IFERROR(INDEX(Data!CA$9:CA$1273,MATCH($M209,Data!$K$9:$K$1273,0)),"")</f>
        <v/>
      </c>
      <c r="AF209" s="312">
        <f>IFERROR(INDEX(Data!CB$9:CB$1273,MATCH($M209,Data!$K$9:$K$1273,0)),"")</f>
        <v/>
      </c>
      <c r="AG209" s="312">
        <f>IFERROR(INDEX(Data!CC$9:CC$1273,MATCH($M209,Data!$K$9:$K$1273,0)),"")</f>
        <v/>
      </c>
      <c r="AH209" s="312">
        <f>IFERROR(INDEX(Data!CD$9:CD$1273,MATCH($M209,Data!$K$9:$K$1273,0)),"")</f>
        <v/>
      </c>
      <c r="AI209" s="312">
        <f>IFERROR(INDEX(Data!CE$9:CE$1273,MATCH($M209,Data!$K$9:$K$1273,0)),"")</f>
        <v/>
      </c>
      <c r="AJ209" s="312">
        <f>IFERROR(INDEX(Data!CF$9:CF$1273,MATCH($M209,Data!$K$9:$K$1273,0)),"")</f>
        <v/>
      </c>
      <c r="AK209" s="312">
        <f>IFERROR(INDEX(Data!CG$9:CG$1273,MATCH($M209,Data!$K$9:$K$1273,0)),"")</f>
        <v/>
      </c>
      <c r="AL209" s="312">
        <f>IFERROR(INDEX(Data!CH$9:CH$1273,MATCH($M209,Data!$K$9:$K$1273,0)),"")</f>
        <v/>
      </c>
      <c r="AM209" s="312">
        <f>IFERROR(INDEX(Data!CI$9:CI$1273,MATCH($M209,Data!$K$9:$K$1273,0)),"")</f>
        <v/>
      </c>
      <c r="AN209" s="312">
        <f>IFERROR(INDEX(Data!CJ$9:CJ$1273,MATCH($M209,Data!$K$9:$K$1273,0)),"")</f>
        <v/>
      </c>
      <c r="AO209" s="312">
        <f>IFERROR(INDEX(Data!CK$9:CK$1273,MATCH($M209,Data!$K$9:$K$1273,0)),"")</f>
        <v/>
      </c>
      <c r="AP209" s="312">
        <f>IFERROR(INDEX(Data!CL$9:CL$1273,MATCH($M209,Data!$K$9:$K$1273,0)),"")</f>
        <v/>
      </c>
      <c r="AQ209" s="312">
        <f>IFERROR(INDEX(Data!CM$9:CM$1273,MATCH($M209,Data!$K$9:$K$1273,0)),"")</f>
        <v/>
      </c>
      <c r="AR209" s="312">
        <f>IFERROR(INDEX(Data!CN$9:CN$1273,MATCH($M209,Data!$K$9:$K$1273,0)),"")</f>
        <v/>
      </c>
      <c r="AS209" s="312">
        <f>IFERROR(INDEX(Data!CO$9:CO$1273,MATCH($M209,Data!$K$9:$K$1273,0)),"")</f>
        <v/>
      </c>
      <c r="AT209" s="312">
        <f>IFERROR(INDEX(Data!CP$9:CP$1273,MATCH($M209,Data!$K$9:$K$1273,0)),"")</f>
        <v/>
      </c>
      <c r="AU209" s="312">
        <f>IFERROR(INDEX(Data!CQ$9:CQ$1273,MATCH($M209,Data!$K$9:$K$1273,0)),"")</f>
        <v/>
      </c>
      <c r="AV209" s="312">
        <f>IFERROR(INDEX(Data!CR$9:CR$1273,MATCH($M209,Data!$K$9:$K$1273,0)),"")</f>
        <v/>
      </c>
      <c r="AW209" s="312">
        <f>IFERROR(INDEX(Data!CS$9:CS$1273,MATCH($M209,Data!$K$9:$K$1273,0)),"")</f>
        <v/>
      </c>
      <c r="AX209" s="312">
        <f>IFERROR(INDEX(Data!CT$9:CT$1273,MATCH($M209,Data!$K$9:$K$1273,0)),"")</f>
        <v/>
      </c>
      <c r="AY209" s="312">
        <f>IFERROR(INDEX(Data!CU$9:CU$1273,MATCH($M209,Data!$K$9:$K$1273,0)),"")</f>
        <v/>
      </c>
      <c r="AZ209" s="312">
        <f>IFERROR(INDEX(Data!CV$9:CV$1273,MATCH($M209,Data!$K$9:$K$1273,0)),"")</f>
        <v/>
      </c>
      <c r="BA209" s="312">
        <f>IFERROR(INDEX(Data!CX$9:CX$1273,MATCH($M209,Data!$K$9:$K$1273,0)),"")</f>
        <v/>
      </c>
      <c r="BB209" s="312">
        <f>IFERROR(INDEX(Data!CY$9:CY$1273,MATCH($M209,Data!$K$9:$K$1273,0)),"")</f>
        <v/>
      </c>
      <c r="BC209" s="312">
        <f>IFERROR(INDEX(Data!CZ$9:CZ$1273,MATCH($M209,Data!$K$9:$K$1273,0)),"")</f>
        <v/>
      </c>
      <c r="BD209" s="312">
        <f>IFERROR(INDEX(Data!DA$9:DA$1273,MATCH($M209,Data!$K$9:$K$1273,0)),"")</f>
        <v/>
      </c>
      <c r="BE209" s="312">
        <f>IFERROR(INDEX(Data!DB$9:DB$1273,MATCH($M209,Data!$K$9:$K$1273,0)),"")</f>
        <v/>
      </c>
      <c r="BF209" s="312">
        <f>IFERROR(INDEX(Data!DC$9:DC$1273,MATCH($M209,Data!$K$9:$K$1273,0)),"")</f>
        <v/>
      </c>
      <c r="BG209" s="312">
        <f>IFERROR(INDEX(Data!DD$9:DD$1273,MATCH($M209,Data!$K$9:$K$1273,0)),"")</f>
        <v/>
      </c>
      <c r="BH209" s="312">
        <f>IFERROR(INDEX(Data!DE$9:DE$1273,MATCH($M209,Data!$K$9:$K$1273,0)),"")</f>
        <v/>
      </c>
      <c r="BI209" s="312">
        <f>IFERROR(INDEX(Data!DF$9:DF$1273,MATCH($M209,Data!$K$9:$K$1273,0)),"")</f>
        <v/>
      </c>
      <c r="BJ209" s="312">
        <f>IFERROR(INDEX(Data!DG$9:DG$1273,MATCH($M209,Data!$K$9:$K$1273,0)),"")</f>
        <v/>
      </c>
      <c r="BK209" s="312">
        <f>IFERROR(INDEX(Data!DH$9:DH$1273,MATCH($M209,Data!$K$9:$K$1273,0)),"")</f>
        <v/>
      </c>
      <c r="BL209" s="312">
        <f>IFERROR(INDEX(Data!DI$9:DI$1273,MATCH($M209,Data!$K$9:$K$1273,0)),"")</f>
        <v/>
      </c>
      <c r="BM209" s="312">
        <f>IFERROR(INDEX(Data!DJ$9:DJ$1273,MATCH($M209,Data!$K$9:$K$1273,0)),"")</f>
        <v/>
      </c>
      <c r="BN209" s="312">
        <f>IFERROR(INDEX(Data!DK$9:DK$1273,MATCH($M209,Data!$K$9:$K$1273,0)),"")</f>
        <v/>
      </c>
      <c r="BO209" s="312">
        <f>IFERROR(INDEX(Data!DL$9:DL$1273,MATCH($M209,Data!$K$9:$K$1273,0)),"")</f>
        <v/>
      </c>
      <c r="BP209" s="331">
        <f>IFERROR(IF(BK209=0,"-",BK209),"")</f>
        <v/>
      </c>
      <c r="BQ209" s="312">
        <f>IFERROR(IF(BP209-K209&gt;0,TRUE,FALSE)," ")</f>
        <v/>
      </c>
      <c r="BR209" s="312">
        <f>_xlfn.CONCAT(E209,F209,H209,G209)</f>
        <v/>
      </c>
      <c r="BS209" s="312">
        <f>IFERROR(INDEX(Data!$DO$9:$DO$1273,MATCH('Your recommendation'!BR209,Data!$DN$9:$DN$1273,0)),"")</f>
        <v/>
      </c>
    </row>
    <row r="210" ht="15.6" customFormat="1" customHeight="1" s="138">
      <c r="B210" s="309">
        <f>IF(C210&gt;0,B209+1,"")</f>
        <v/>
      </c>
      <c r="C210" s="310" t="n"/>
      <c r="D210" s="312">
        <f>IFERROR(INDEX(Data!BR$9:BR$1273,MATCH($M210,Data!$K$9:$K$1273,0)),"")</f>
        <v/>
      </c>
      <c r="E210" s="312">
        <f>IFERROR(INDEX(Data!BS$9:BS$1273,MATCH($M210,Data!$K$9:$K$1273,0)),"")</f>
        <v/>
      </c>
      <c r="F210" s="312">
        <f>IFERROR(INDEX(Data!DM$9:DM$1273,MATCH($M210,Data!$K$9:$K$1273,0)),"")</f>
        <v/>
      </c>
      <c r="G210" s="312">
        <f>IFERROR(INDEX(Data!BV$9:BV$1273,MATCH($M210,Data!$K$9:$K$1273,0)),"")</f>
        <v/>
      </c>
      <c r="H210" s="312">
        <f>IFERROR(INDEX(Data!BW$9:BW$1273,MATCH($M210,Data!$K$9:$K$1273,0)),"")</f>
        <v/>
      </c>
      <c r="I210" s="312">
        <f>IFERROR(INDEX(Data!BX$9:BX$1273,MATCH($M210,Data!$K$9:$K$1273,0)),"")</f>
        <v/>
      </c>
      <c r="J210" s="312">
        <f>IFERROR(INDEX(Data!CB$9:CB$1273,MATCH($M210,Data!$K$9:$K$1273,0)),"")</f>
        <v/>
      </c>
      <c r="K210" s="329">
        <f>IFERROR(HYPERLINK(BM210,BC210),"-")</f>
        <v/>
      </c>
      <c r="L210" s="330">
        <f>IFERROR(IF(BB210=0,"-",BB210)," ")</f>
        <v/>
      </c>
      <c r="M210" s="311" t="n"/>
      <c r="N210" s="311" t="n"/>
      <c r="O210" s="311">
        <f>IFERROR(INDEX(Data!M$9:M$1273,MATCH($M210,Data!$K$9:$K$1273,0)),"")</f>
        <v/>
      </c>
      <c r="P210" s="311">
        <f>IFERROR(INDEX(Data!N$9:N$1273,MATCH($M210,Data!$K$9:$K$1273,0)),"")</f>
        <v/>
      </c>
      <c r="Q210" s="311">
        <f>IFERROR(INDEX(Data!O$9:O$1273,MATCH($M210,Data!$K$9:$K$1273,0)),"")</f>
        <v/>
      </c>
      <c r="R210" s="311">
        <f>IFERROR(INDEX(Data!P$9:P$1273,MATCH($M210,Data!$K$9:$K$1273,0)),"")</f>
        <v/>
      </c>
      <c r="S210" s="311">
        <f>IFERROR(INDEX(Data!S$9:S$1273,MATCH($M210,Data!$K$9:$K$1273,0)),"")</f>
        <v/>
      </c>
      <c r="T210" s="311">
        <f>IFERROR(INDEX(Data!T$9:T$1273,MATCH($M210,Data!$K$9:$K$1273,0)),"")</f>
        <v/>
      </c>
      <c r="U210" s="311">
        <f>IFERROR(INDEX(Data!U$9:U$1273,MATCH($M210,Data!$K$9:$K$1273,0)),"")</f>
        <v/>
      </c>
      <c r="V210" s="311">
        <f>IFERROR(INDEX(Data!V$9:V$1273,MATCH($M210,Data!$K$9:$K$1273,0)),"")</f>
        <v/>
      </c>
      <c r="W210" s="311">
        <f>IFERROR(INDEX(Data!W$9:W$1273,MATCH($M210,Data!$K$9:$K$1273,0)),"")</f>
        <v/>
      </c>
      <c r="X210" s="311">
        <f>IFERROR(INDEX(Data!AJ$9:AJ$1273,MATCH($M210,Data!$K$9:$K$1273,0)),"")</f>
        <v/>
      </c>
      <c r="Y210" s="311">
        <f>IFERROR(INDEX(Data!AK$9:AK$1273,MATCH($M210,Data!$K$9:$K$1273,0)),"")</f>
        <v/>
      </c>
      <c r="Z210" s="311">
        <f>IFERROR(INDEX(Data!AL$9:AL$1273,MATCH($M210,Data!$K$9:$K$1273,0)),"")</f>
        <v/>
      </c>
      <c r="AA210" s="311">
        <f>IFERROR(INDEX(Data!AM$9:AM$1273,MATCH($M210,Data!$K$9:$K$1273,0)),"")</f>
        <v/>
      </c>
      <c r="AB210" s="311">
        <f>IFERROR(INDEX(Data!AN$9:AN$1273,MATCH($M210,Data!$K$9:$K$1273,0)),"")</f>
        <v/>
      </c>
      <c r="AC210" s="312">
        <f>IFERROR(INDEX(Data!BY$9:BY$1273,MATCH($M210,Data!$K$9:$K$1273,0)),"")</f>
        <v/>
      </c>
      <c r="AD210" s="312">
        <f>IFERROR(INDEX(Data!BZ$9:BZ$1273,MATCH($M210,Data!$K$9:$K$1273,0)),"")</f>
        <v/>
      </c>
      <c r="AE210" s="312">
        <f>IFERROR(INDEX(Data!CA$9:CA$1273,MATCH($M210,Data!$K$9:$K$1273,0)),"")</f>
        <v/>
      </c>
      <c r="AF210" s="312">
        <f>IFERROR(INDEX(Data!CB$9:CB$1273,MATCH($M210,Data!$K$9:$K$1273,0)),"")</f>
        <v/>
      </c>
      <c r="AG210" s="312">
        <f>IFERROR(INDEX(Data!CC$9:CC$1273,MATCH($M210,Data!$K$9:$K$1273,0)),"")</f>
        <v/>
      </c>
      <c r="AH210" s="312">
        <f>IFERROR(INDEX(Data!CD$9:CD$1273,MATCH($M210,Data!$K$9:$K$1273,0)),"")</f>
        <v/>
      </c>
      <c r="AI210" s="312">
        <f>IFERROR(INDEX(Data!CE$9:CE$1273,MATCH($M210,Data!$K$9:$K$1273,0)),"")</f>
        <v/>
      </c>
      <c r="AJ210" s="312">
        <f>IFERROR(INDEX(Data!CF$9:CF$1273,MATCH($M210,Data!$K$9:$K$1273,0)),"")</f>
        <v/>
      </c>
      <c r="AK210" s="312">
        <f>IFERROR(INDEX(Data!CG$9:CG$1273,MATCH($M210,Data!$K$9:$K$1273,0)),"")</f>
        <v/>
      </c>
      <c r="AL210" s="312">
        <f>IFERROR(INDEX(Data!CH$9:CH$1273,MATCH($M210,Data!$K$9:$K$1273,0)),"")</f>
        <v/>
      </c>
      <c r="AM210" s="312">
        <f>IFERROR(INDEX(Data!CI$9:CI$1273,MATCH($M210,Data!$K$9:$K$1273,0)),"")</f>
        <v/>
      </c>
      <c r="AN210" s="312">
        <f>IFERROR(INDEX(Data!CJ$9:CJ$1273,MATCH($M210,Data!$K$9:$K$1273,0)),"")</f>
        <v/>
      </c>
      <c r="AO210" s="312">
        <f>IFERROR(INDEX(Data!CK$9:CK$1273,MATCH($M210,Data!$K$9:$K$1273,0)),"")</f>
        <v/>
      </c>
      <c r="AP210" s="312">
        <f>IFERROR(INDEX(Data!CL$9:CL$1273,MATCH($M210,Data!$K$9:$K$1273,0)),"")</f>
        <v/>
      </c>
      <c r="AQ210" s="312">
        <f>IFERROR(INDEX(Data!CM$9:CM$1273,MATCH($M210,Data!$K$9:$K$1273,0)),"")</f>
        <v/>
      </c>
      <c r="AR210" s="312">
        <f>IFERROR(INDEX(Data!CN$9:CN$1273,MATCH($M210,Data!$K$9:$K$1273,0)),"")</f>
        <v/>
      </c>
      <c r="AS210" s="312">
        <f>IFERROR(INDEX(Data!CO$9:CO$1273,MATCH($M210,Data!$K$9:$K$1273,0)),"")</f>
        <v/>
      </c>
      <c r="AT210" s="312">
        <f>IFERROR(INDEX(Data!CP$9:CP$1273,MATCH($M210,Data!$K$9:$K$1273,0)),"")</f>
        <v/>
      </c>
      <c r="AU210" s="312">
        <f>IFERROR(INDEX(Data!CQ$9:CQ$1273,MATCH($M210,Data!$K$9:$K$1273,0)),"")</f>
        <v/>
      </c>
      <c r="AV210" s="312">
        <f>IFERROR(INDEX(Data!CR$9:CR$1273,MATCH($M210,Data!$K$9:$K$1273,0)),"")</f>
        <v/>
      </c>
      <c r="AW210" s="312">
        <f>IFERROR(INDEX(Data!CS$9:CS$1273,MATCH($M210,Data!$K$9:$K$1273,0)),"")</f>
        <v/>
      </c>
      <c r="AX210" s="312">
        <f>IFERROR(INDEX(Data!CT$9:CT$1273,MATCH($M210,Data!$K$9:$K$1273,0)),"")</f>
        <v/>
      </c>
      <c r="AY210" s="312">
        <f>IFERROR(INDEX(Data!CU$9:CU$1273,MATCH($M210,Data!$K$9:$K$1273,0)),"")</f>
        <v/>
      </c>
      <c r="AZ210" s="312">
        <f>IFERROR(INDEX(Data!CV$9:CV$1273,MATCH($M210,Data!$K$9:$K$1273,0)),"")</f>
        <v/>
      </c>
      <c r="BA210" s="312">
        <f>IFERROR(INDEX(Data!CX$9:CX$1273,MATCH($M210,Data!$K$9:$K$1273,0)),"")</f>
        <v/>
      </c>
      <c r="BB210" s="312">
        <f>IFERROR(INDEX(Data!CY$9:CY$1273,MATCH($M210,Data!$K$9:$K$1273,0)),"")</f>
        <v/>
      </c>
      <c r="BC210" s="312">
        <f>IFERROR(INDEX(Data!CZ$9:CZ$1273,MATCH($M210,Data!$K$9:$K$1273,0)),"")</f>
        <v/>
      </c>
      <c r="BD210" s="312">
        <f>IFERROR(INDEX(Data!DA$9:DA$1273,MATCH($M210,Data!$K$9:$K$1273,0)),"")</f>
        <v/>
      </c>
      <c r="BE210" s="312">
        <f>IFERROR(INDEX(Data!DB$9:DB$1273,MATCH($M210,Data!$K$9:$K$1273,0)),"")</f>
        <v/>
      </c>
      <c r="BF210" s="312">
        <f>IFERROR(INDEX(Data!DC$9:DC$1273,MATCH($M210,Data!$K$9:$K$1273,0)),"")</f>
        <v/>
      </c>
      <c r="BG210" s="312">
        <f>IFERROR(INDEX(Data!DD$9:DD$1273,MATCH($M210,Data!$K$9:$K$1273,0)),"")</f>
        <v/>
      </c>
      <c r="BH210" s="312">
        <f>IFERROR(INDEX(Data!DE$9:DE$1273,MATCH($M210,Data!$K$9:$K$1273,0)),"")</f>
        <v/>
      </c>
      <c r="BI210" s="312">
        <f>IFERROR(INDEX(Data!DF$9:DF$1273,MATCH($M210,Data!$K$9:$K$1273,0)),"")</f>
        <v/>
      </c>
      <c r="BJ210" s="312">
        <f>IFERROR(INDEX(Data!DG$9:DG$1273,MATCH($M210,Data!$K$9:$K$1273,0)),"")</f>
        <v/>
      </c>
      <c r="BK210" s="312">
        <f>IFERROR(INDEX(Data!DH$9:DH$1273,MATCH($M210,Data!$K$9:$K$1273,0)),"")</f>
        <v/>
      </c>
      <c r="BL210" s="312">
        <f>IFERROR(INDEX(Data!DI$9:DI$1273,MATCH($M210,Data!$K$9:$K$1273,0)),"")</f>
        <v/>
      </c>
      <c r="BM210" s="312">
        <f>IFERROR(INDEX(Data!DJ$9:DJ$1273,MATCH($M210,Data!$K$9:$K$1273,0)),"")</f>
        <v/>
      </c>
      <c r="BN210" s="312">
        <f>IFERROR(INDEX(Data!DK$9:DK$1273,MATCH($M210,Data!$K$9:$K$1273,0)),"")</f>
        <v/>
      </c>
      <c r="BO210" s="312">
        <f>IFERROR(INDEX(Data!DL$9:DL$1273,MATCH($M210,Data!$K$9:$K$1273,0)),"")</f>
        <v/>
      </c>
      <c r="BP210" s="331">
        <f>IFERROR(IF(BK210=0,"-",BK210),"")</f>
        <v/>
      </c>
      <c r="BQ210" s="312">
        <f>IFERROR(IF(BP210-K210&gt;0,TRUE,FALSE)," ")</f>
        <v/>
      </c>
      <c r="BR210" s="312">
        <f>_xlfn.CONCAT(E210,F210,H210,G210)</f>
        <v/>
      </c>
      <c r="BS210" s="312">
        <f>IFERROR(INDEX(Data!$DO$9:$DO$1273,MATCH('Your recommendation'!BR210,Data!$DN$9:$DN$1273,0)),"")</f>
        <v/>
      </c>
    </row>
    <row r="211" ht="15.6" customFormat="1" customHeight="1" s="138">
      <c r="B211" s="309">
        <f>IF(C211&gt;0,B210+1,"")</f>
        <v/>
      </c>
      <c r="C211" s="310" t="n"/>
      <c r="D211" s="312">
        <f>IFERROR(INDEX(Data!BR$9:BR$1273,MATCH($M211,Data!$K$9:$K$1273,0)),"")</f>
        <v/>
      </c>
      <c r="E211" s="312">
        <f>IFERROR(INDEX(Data!BS$9:BS$1273,MATCH($M211,Data!$K$9:$K$1273,0)),"")</f>
        <v/>
      </c>
      <c r="F211" s="312">
        <f>IFERROR(INDEX(Data!DM$9:DM$1273,MATCH($M211,Data!$K$9:$K$1273,0)),"")</f>
        <v/>
      </c>
      <c r="G211" s="312">
        <f>IFERROR(INDEX(Data!BV$9:BV$1273,MATCH($M211,Data!$K$9:$K$1273,0)),"")</f>
        <v/>
      </c>
      <c r="H211" s="312">
        <f>IFERROR(INDEX(Data!BW$9:BW$1273,MATCH($M211,Data!$K$9:$K$1273,0)),"")</f>
        <v/>
      </c>
      <c r="I211" s="312">
        <f>IFERROR(INDEX(Data!BX$9:BX$1273,MATCH($M211,Data!$K$9:$K$1273,0)),"")</f>
        <v/>
      </c>
      <c r="J211" s="312">
        <f>IFERROR(INDEX(Data!CB$9:CB$1273,MATCH($M211,Data!$K$9:$K$1273,0)),"")</f>
        <v/>
      </c>
      <c r="K211" s="329">
        <f>IFERROR(HYPERLINK(BM211,BC211),"-")</f>
        <v/>
      </c>
      <c r="L211" s="330">
        <f>IFERROR(IF(BB211=0,"-",BB211)," ")</f>
        <v/>
      </c>
      <c r="M211" s="311" t="n"/>
      <c r="N211" s="311" t="n"/>
      <c r="O211" s="311">
        <f>IFERROR(INDEX(Data!M$9:M$1273,MATCH($M211,Data!$K$9:$K$1273,0)),"")</f>
        <v/>
      </c>
      <c r="P211" s="311">
        <f>IFERROR(INDEX(Data!N$9:N$1273,MATCH($M211,Data!$K$9:$K$1273,0)),"")</f>
        <v/>
      </c>
      <c r="Q211" s="311">
        <f>IFERROR(INDEX(Data!O$9:O$1273,MATCH($M211,Data!$K$9:$K$1273,0)),"")</f>
        <v/>
      </c>
      <c r="R211" s="311">
        <f>IFERROR(INDEX(Data!P$9:P$1273,MATCH($M211,Data!$K$9:$K$1273,0)),"")</f>
        <v/>
      </c>
      <c r="S211" s="311">
        <f>IFERROR(INDEX(Data!S$9:S$1273,MATCH($M211,Data!$K$9:$K$1273,0)),"")</f>
        <v/>
      </c>
      <c r="T211" s="311">
        <f>IFERROR(INDEX(Data!T$9:T$1273,MATCH($M211,Data!$K$9:$K$1273,0)),"")</f>
        <v/>
      </c>
      <c r="U211" s="311">
        <f>IFERROR(INDEX(Data!U$9:U$1273,MATCH($M211,Data!$K$9:$K$1273,0)),"")</f>
        <v/>
      </c>
      <c r="V211" s="311">
        <f>IFERROR(INDEX(Data!V$9:V$1273,MATCH($M211,Data!$K$9:$K$1273,0)),"")</f>
        <v/>
      </c>
      <c r="W211" s="311">
        <f>IFERROR(INDEX(Data!W$9:W$1273,MATCH($M211,Data!$K$9:$K$1273,0)),"")</f>
        <v/>
      </c>
      <c r="X211" s="311">
        <f>IFERROR(INDEX(Data!AJ$9:AJ$1273,MATCH($M211,Data!$K$9:$K$1273,0)),"")</f>
        <v/>
      </c>
      <c r="Y211" s="311">
        <f>IFERROR(INDEX(Data!AK$9:AK$1273,MATCH($M211,Data!$K$9:$K$1273,0)),"")</f>
        <v/>
      </c>
      <c r="Z211" s="311">
        <f>IFERROR(INDEX(Data!AL$9:AL$1273,MATCH($M211,Data!$K$9:$K$1273,0)),"")</f>
        <v/>
      </c>
      <c r="AA211" s="311">
        <f>IFERROR(INDEX(Data!AM$9:AM$1273,MATCH($M211,Data!$K$9:$K$1273,0)),"")</f>
        <v/>
      </c>
      <c r="AB211" s="311">
        <f>IFERROR(INDEX(Data!AN$9:AN$1273,MATCH($M211,Data!$K$9:$K$1273,0)),"")</f>
        <v/>
      </c>
      <c r="AC211" s="312">
        <f>IFERROR(INDEX(Data!BY$9:BY$1273,MATCH($M211,Data!$K$9:$K$1273,0)),"")</f>
        <v/>
      </c>
      <c r="AD211" s="312">
        <f>IFERROR(INDEX(Data!BZ$9:BZ$1273,MATCH($M211,Data!$K$9:$K$1273,0)),"")</f>
        <v/>
      </c>
      <c r="AE211" s="312">
        <f>IFERROR(INDEX(Data!CA$9:CA$1273,MATCH($M211,Data!$K$9:$K$1273,0)),"")</f>
        <v/>
      </c>
      <c r="AF211" s="312">
        <f>IFERROR(INDEX(Data!CB$9:CB$1273,MATCH($M211,Data!$K$9:$K$1273,0)),"")</f>
        <v/>
      </c>
      <c r="AG211" s="312">
        <f>IFERROR(INDEX(Data!CC$9:CC$1273,MATCH($M211,Data!$K$9:$K$1273,0)),"")</f>
        <v/>
      </c>
      <c r="AH211" s="312">
        <f>IFERROR(INDEX(Data!CD$9:CD$1273,MATCH($M211,Data!$K$9:$K$1273,0)),"")</f>
        <v/>
      </c>
      <c r="AI211" s="312">
        <f>IFERROR(INDEX(Data!CE$9:CE$1273,MATCH($M211,Data!$K$9:$K$1273,0)),"")</f>
        <v/>
      </c>
      <c r="AJ211" s="312">
        <f>IFERROR(INDEX(Data!CF$9:CF$1273,MATCH($M211,Data!$K$9:$K$1273,0)),"")</f>
        <v/>
      </c>
      <c r="AK211" s="312">
        <f>IFERROR(INDEX(Data!CG$9:CG$1273,MATCH($M211,Data!$K$9:$K$1273,0)),"")</f>
        <v/>
      </c>
      <c r="AL211" s="312">
        <f>IFERROR(INDEX(Data!CH$9:CH$1273,MATCH($M211,Data!$K$9:$K$1273,0)),"")</f>
        <v/>
      </c>
      <c r="AM211" s="312">
        <f>IFERROR(INDEX(Data!CI$9:CI$1273,MATCH($M211,Data!$K$9:$K$1273,0)),"")</f>
        <v/>
      </c>
      <c r="AN211" s="312">
        <f>IFERROR(INDEX(Data!CJ$9:CJ$1273,MATCH($M211,Data!$K$9:$K$1273,0)),"")</f>
        <v/>
      </c>
      <c r="AO211" s="312">
        <f>IFERROR(INDEX(Data!CK$9:CK$1273,MATCH($M211,Data!$K$9:$K$1273,0)),"")</f>
        <v/>
      </c>
      <c r="AP211" s="312">
        <f>IFERROR(INDEX(Data!CL$9:CL$1273,MATCH($M211,Data!$K$9:$K$1273,0)),"")</f>
        <v/>
      </c>
      <c r="AQ211" s="312">
        <f>IFERROR(INDEX(Data!CM$9:CM$1273,MATCH($M211,Data!$K$9:$K$1273,0)),"")</f>
        <v/>
      </c>
      <c r="AR211" s="312">
        <f>IFERROR(INDEX(Data!CN$9:CN$1273,MATCH($M211,Data!$K$9:$K$1273,0)),"")</f>
        <v/>
      </c>
      <c r="AS211" s="312">
        <f>IFERROR(INDEX(Data!CO$9:CO$1273,MATCH($M211,Data!$K$9:$K$1273,0)),"")</f>
        <v/>
      </c>
      <c r="AT211" s="312">
        <f>IFERROR(INDEX(Data!CP$9:CP$1273,MATCH($M211,Data!$K$9:$K$1273,0)),"")</f>
        <v/>
      </c>
      <c r="AU211" s="312">
        <f>IFERROR(INDEX(Data!CQ$9:CQ$1273,MATCH($M211,Data!$K$9:$K$1273,0)),"")</f>
        <v/>
      </c>
      <c r="AV211" s="312">
        <f>IFERROR(INDEX(Data!CR$9:CR$1273,MATCH($M211,Data!$K$9:$K$1273,0)),"")</f>
        <v/>
      </c>
      <c r="AW211" s="312">
        <f>IFERROR(INDEX(Data!CS$9:CS$1273,MATCH($M211,Data!$K$9:$K$1273,0)),"")</f>
        <v/>
      </c>
      <c r="AX211" s="312">
        <f>IFERROR(INDEX(Data!CT$9:CT$1273,MATCH($M211,Data!$K$9:$K$1273,0)),"")</f>
        <v/>
      </c>
      <c r="AY211" s="312">
        <f>IFERROR(INDEX(Data!CU$9:CU$1273,MATCH($M211,Data!$K$9:$K$1273,0)),"")</f>
        <v/>
      </c>
      <c r="AZ211" s="312">
        <f>IFERROR(INDEX(Data!CV$9:CV$1273,MATCH($M211,Data!$K$9:$K$1273,0)),"")</f>
        <v/>
      </c>
      <c r="BA211" s="312">
        <f>IFERROR(INDEX(Data!CX$9:CX$1273,MATCH($M211,Data!$K$9:$K$1273,0)),"")</f>
        <v/>
      </c>
      <c r="BB211" s="312">
        <f>IFERROR(INDEX(Data!CY$9:CY$1273,MATCH($M211,Data!$K$9:$K$1273,0)),"")</f>
        <v/>
      </c>
      <c r="BC211" s="312">
        <f>IFERROR(INDEX(Data!CZ$9:CZ$1273,MATCH($M211,Data!$K$9:$K$1273,0)),"")</f>
        <v/>
      </c>
      <c r="BD211" s="312">
        <f>IFERROR(INDEX(Data!DA$9:DA$1273,MATCH($M211,Data!$K$9:$K$1273,0)),"")</f>
        <v/>
      </c>
      <c r="BE211" s="312">
        <f>IFERROR(INDEX(Data!DB$9:DB$1273,MATCH($M211,Data!$K$9:$K$1273,0)),"")</f>
        <v/>
      </c>
      <c r="BF211" s="312">
        <f>IFERROR(INDEX(Data!DC$9:DC$1273,MATCH($M211,Data!$K$9:$K$1273,0)),"")</f>
        <v/>
      </c>
      <c r="BG211" s="312">
        <f>IFERROR(INDEX(Data!DD$9:DD$1273,MATCH($M211,Data!$K$9:$K$1273,0)),"")</f>
        <v/>
      </c>
      <c r="BH211" s="312">
        <f>IFERROR(INDEX(Data!DE$9:DE$1273,MATCH($M211,Data!$K$9:$K$1273,0)),"")</f>
        <v/>
      </c>
      <c r="BI211" s="312">
        <f>IFERROR(INDEX(Data!DF$9:DF$1273,MATCH($M211,Data!$K$9:$K$1273,0)),"")</f>
        <v/>
      </c>
      <c r="BJ211" s="312">
        <f>IFERROR(INDEX(Data!DG$9:DG$1273,MATCH($M211,Data!$K$9:$K$1273,0)),"")</f>
        <v/>
      </c>
      <c r="BK211" s="312">
        <f>IFERROR(INDEX(Data!DH$9:DH$1273,MATCH($M211,Data!$K$9:$K$1273,0)),"")</f>
        <v/>
      </c>
      <c r="BL211" s="312">
        <f>IFERROR(INDEX(Data!DI$9:DI$1273,MATCH($M211,Data!$K$9:$K$1273,0)),"")</f>
        <v/>
      </c>
      <c r="BM211" s="312">
        <f>IFERROR(INDEX(Data!DJ$9:DJ$1273,MATCH($M211,Data!$K$9:$K$1273,0)),"")</f>
        <v/>
      </c>
      <c r="BN211" s="312">
        <f>IFERROR(INDEX(Data!DK$9:DK$1273,MATCH($M211,Data!$K$9:$K$1273,0)),"")</f>
        <v/>
      </c>
      <c r="BO211" s="312">
        <f>IFERROR(INDEX(Data!DL$9:DL$1273,MATCH($M211,Data!$K$9:$K$1273,0)),"")</f>
        <v/>
      </c>
      <c r="BP211" s="331">
        <f>IFERROR(IF(BK211=0,"-",BK211),"")</f>
        <v/>
      </c>
      <c r="BQ211" s="312">
        <f>IFERROR(IF(BP211-K211&gt;0,TRUE,FALSE)," ")</f>
        <v/>
      </c>
      <c r="BR211" s="312">
        <f>_xlfn.CONCAT(E211,F211,H211,G211)</f>
        <v/>
      </c>
      <c r="BS211" s="312">
        <f>IFERROR(INDEX(Data!$DO$9:$DO$1273,MATCH('Your recommendation'!BR211,Data!$DN$9:$DN$1273,0)),"")</f>
        <v/>
      </c>
    </row>
    <row r="212" ht="15.6" customFormat="1" customHeight="1" s="138">
      <c r="B212" s="309">
        <f>IF(C212&gt;0,B211+1,"")</f>
        <v/>
      </c>
      <c r="C212" s="310" t="n"/>
      <c r="D212" s="312">
        <f>IFERROR(INDEX(Data!BR$9:BR$1273,MATCH($M212,Data!$K$9:$K$1273,0)),"")</f>
        <v/>
      </c>
      <c r="E212" s="312">
        <f>IFERROR(INDEX(Data!BS$9:BS$1273,MATCH($M212,Data!$K$9:$K$1273,0)),"")</f>
        <v/>
      </c>
      <c r="F212" s="312">
        <f>IFERROR(INDEX(Data!DM$9:DM$1273,MATCH($M212,Data!$K$9:$K$1273,0)),"")</f>
        <v/>
      </c>
      <c r="G212" s="312">
        <f>IFERROR(INDEX(Data!BV$9:BV$1273,MATCH($M212,Data!$K$9:$K$1273,0)),"")</f>
        <v/>
      </c>
      <c r="H212" s="312">
        <f>IFERROR(INDEX(Data!BW$9:BW$1273,MATCH($M212,Data!$K$9:$K$1273,0)),"")</f>
        <v/>
      </c>
      <c r="I212" s="312">
        <f>IFERROR(INDEX(Data!BX$9:BX$1273,MATCH($M212,Data!$K$9:$K$1273,0)),"")</f>
        <v/>
      </c>
      <c r="J212" s="312">
        <f>IFERROR(INDEX(Data!CB$9:CB$1273,MATCH($M212,Data!$K$9:$K$1273,0)),"")</f>
        <v/>
      </c>
      <c r="K212" s="329">
        <f>IFERROR(HYPERLINK(BM212,BC212),"-")</f>
        <v/>
      </c>
      <c r="L212" s="330">
        <f>IFERROR(IF(BB212=0,"-",BB212)," ")</f>
        <v/>
      </c>
      <c r="M212" s="311" t="n"/>
      <c r="N212" s="311" t="n"/>
      <c r="O212" s="311">
        <f>IFERROR(INDEX(Data!M$9:M$1273,MATCH($M212,Data!$K$9:$K$1273,0)),"")</f>
        <v/>
      </c>
      <c r="P212" s="311">
        <f>IFERROR(INDEX(Data!N$9:N$1273,MATCH($M212,Data!$K$9:$K$1273,0)),"")</f>
        <v/>
      </c>
      <c r="Q212" s="311">
        <f>IFERROR(INDEX(Data!O$9:O$1273,MATCH($M212,Data!$K$9:$K$1273,0)),"")</f>
        <v/>
      </c>
      <c r="R212" s="311">
        <f>IFERROR(INDEX(Data!P$9:P$1273,MATCH($M212,Data!$K$9:$K$1273,0)),"")</f>
        <v/>
      </c>
      <c r="S212" s="311">
        <f>IFERROR(INDEX(Data!S$9:S$1273,MATCH($M212,Data!$K$9:$K$1273,0)),"")</f>
        <v/>
      </c>
      <c r="T212" s="311">
        <f>IFERROR(INDEX(Data!T$9:T$1273,MATCH($M212,Data!$K$9:$K$1273,0)),"")</f>
        <v/>
      </c>
      <c r="U212" s="311">
        <f>IFERROR(INDEX(Data!U$9:U$1273,MATCH($M212,Data!$K$9:$K$1273,0)),"")</f>
        <v/>
      </c>
      <c r="V212" s="311">
        <f>IFERROR(INDEX(Data!V$9:V$1273,MATCH($M212,Data!$K$9:$K$1273,0)),"")</f>
        <v/>
      </c>
      <c r="W212" s="311">
        <f>IFERROR(INDEX(Data!W$9:W$1273,MATCH($M212,Data!$K$9:$K$1273,0)),"")</f>
        <v/>
      </c>
      <c r="X212" s="311">
        <f>IFERROR(INDEX(Data!AJ$9:AJ$1273,MATCH($M212,Data!$K$9:$K$1273,0)),"")</f>
        <v/>
      </c>
      <c r="Y212" s="311">
        <f>IFERROR(INDEX(Data!AK$9:AK$1273,MATCH($M212,Data!$K$9:$K$1273,0)),"")</f>
        <v/>
      </c>
      <c r="Z212" s="311">
        <f>IFERROR(INDEX(Data!AL$9:AL$1273,MATCH($M212,Data!$K$9:$K$1273,0)),"")</f>
        <v/>
      </c>
      <c r="AA212" s="311">
        <f>IFERROR(INDEX(Data!AM$9:AM$1273,MATCH($M212,Data!$K$9:$K$1273,0)),"")</f>
        <v/>
      </c>
      <c r="AB212" s="311">
        <f>IFERROR(INDEX(Data!AN$9:AN$1273,MATCH($M212,Data!$K$9:$K$1273,0)),"")</f>
        <v/>
      </c>
      <c r="AC212" s="312">
        <f>IFERROR(INDEX(Data!BY$9:BY$1273,MATCH($M212,Data!$K$9:$K$1273,0)),"")</f>
        <v/>
      </c>
      <c r="AD212" s="312">
        <f>IFERROR(INDEX(Data!BZ$9:BZ$1273,MATCH($M212,Data!$K$9:$K$1273,0)),"")</f>
        <v/>
      </c>
      <c r="AE212" s="312">
        <f>IFERROR(INDEX(Data!CA$9:CA$1273,MATCH($M212,Data!$K$9:$K$1273,0)),"")</f>
        <v/>
      </c>
      <c r="AF212" s="312">
        <f>IFERROR(INDEX(Data!CB$9:CB$1273,MATCH($M212,Data!$K$9:$K$1273,0)),"")</f>
        <v/>
      </c>
      <c r="AG212" s="312">
        <f>IFERROR(INDEX(Data!CC$9:CC$1273,MATCH($M212,Data!$K$9:$K$1273,0)),"")</f>
        <v/>
      </c>
      <c r="AH212" s="312">
        <f>IFERROR(INDEX(Data!CD$9:CD$1273,MATCH($M212,Data!$K$9:$K$1273,0)),"")</f>
        <v/>
      </c>
      <c r="AI212" s="312">
        <f>IFERROR(INDEX(Data!CE$9:CE$1273,MATCH($M212,Data!$K$9:$K$1273,0)),"")</f>
        <v/>
      </c>
      <c r="AJ212" s="312">
        <f>IFERROR(INDEX(Data!CF$9:CF$1273,MATCH($M212,Data!$K$9:$K$1273,0)),"")</f>
        <v/>
      </c>
      <c r="AK212" s="312">
        <f>IFERROR(INDEX(Data!CG$9:CG$1273,MATCH($M212,Data!$K$9:$K$1273,0)),"")</f>
        <v/>
      </c>
      <c r="AL212" s="312">
        <f>IFERROR(INDEX(Data!CH$9:CH$1273,MATCH($M212,Data!$K$9:$K$1273,0)),"")</f>
        <v/>
      </c>
      <c r="AM212" s="312">
        <f>IFERROR(INDEX(Data!CI$9:CI$1273,MATCH($M212,Data!$K$9:$K$1273,0)),"")</f>
        <v/>
      </c>
      <c r="AN212" s="312">
        <f>IFERROR(INDEX(Data!CJ$9:CJ$1273,MATCH($M212,Data!$K$9:$K$1273,0)),"")</f>
        <v/>
      </c>
      <c r="AO212" s="312">
        <f>IFERROR(INDEX(Data!CK$9:CK$1273,MATCH($M212,Data!$K$9:$K$1273,0)),"")</f>
        <v/>
      </c>
      <c r="AP212" s="312">
        <f>IFERROR(INDEX(Data!CL$9:CL$1273,MATCH($M212,Data!$K$9:$K$1273,0)),"")</f>
        <v/>
      </c>
      <c r="AQ212" s="312">
        <f>IFERROR(INDEX(Data!CM$9:CM$1273,MATCH($M212,Data!$K$9:$K$1273,0)),"")</f>
        <v/>
      </c>
      <c r="AR212" s="312">
        <f>IFERROR(INDEX(Data!CN$9:CN$1273,MATCH($M212,Data!$K$9:$K$1273,0)),"")</f>
        <v/>
      </c>
      <c r="AS212" s="312">
        <f>IFERROR(INDEX(Data!CO$9:CO$1273,MATCH($M212,Data!$K$9:$K$1273,0)),"")</f>
        <v/>
      </c>
      <c r="AT212" s="312">
        <f>IFERROR(INDEX(Data!CP$9:CP$1273,MATCH($M212,Data!$K$9:$K$1273,0)),"")</f>
        <v/>
      </c>
      <c r="AU212" s="312">
        <f>IFERROR(INDEX(Data!CQ$9:CQ$1273,MATCH($M212,Data!$K$9:$K$1273,0)),"")</f>
        <v/>
      </c>
      <c r="AV212" s="312">
        <f>IFERROR(INDEX(Data!CR$9:CR$1273,MATCH($M212,Data!$K$9:$K$1273,0)),"")</f>
        <v/>
      </c>
      <c r="AW212" s="312">
        <f>IFERROR(INDEX(Data!CS$9:CS$1273,MATCH($M212,Data!$K$9:$K$1273,0)),"")</f>
        <v/>
      </c>
      <c r="AX212" s="312">
        <f>IFERROR(INDEX(Data!CT$9:CT$1273,MATCH($M212,Data!$K$9:$K$1273,0)),"")</f>
        <v/>
      </c>
      <c r="AY212" s="312">
        <f>IFERROR(INDEX(Data!CU$9:CU$1273,MATCH($M212,Data!$K$9:$K$1273,0)),"")</f>
        <v/>
      </c>
      <c r="AZ212" s="312">
        <f>IFERROR(INDEX(Data!CV$9:CV$1273,MATCH($M212,Data!$K$9:$K$1273,0)),"")</f>
        <v/>
      </c>
      <c r="BA212" s="312">
        <f>IFERROR(INDEX(Data!CX$9:CX$1273,MATCH($M212,Data!$K$9:$K$1273,0)),"")</f>
        <v/>
      </c>
      <c r="BB212" s="312">
        <f>IFERROR(INDEX(Data!CY$9:CY$1273,MATCH($M212,Data!$K$9:$K$1273,0)),"")</f>
        <v/>
      </c>
      <c r="BC212" s="312">
        <f>IFERROR(INDEX(Data!CZ$9:CZ$1273,MATCH($M212,Data!$K$9:$K$1273,0)),"")</f>
        <v/>
      </c>
      <c r="BD212" s="312">
        <f>IFERROR(INDEX(Data!DA$9:DA$1273,MATCH($M212,Data!$K$9:$K$1273,0)),"")</f>
        <v/>
      </c>
      <c r="BE212" s="312">
        <f>IFERROR(INDEX(Data!DB$9:DB$1273,MATCH($M212,Data!$K$9:$K$1273,0)),"")</f>
        <v/>
      </c>
      <c r="BF212" s="312">
        <f>IFERROR(INDEX(Data!DC$9:DC$1273,MATCH($M212,Data!$K$9:$K$1273,0)),"")</f>
        <v/>
      </c>
      <c r="BG212" s="312">
        <f>IFERROR(INDEX(Data!DD$9:DD$1273,MATCH($M212,Data!$K$9:$K$1273,0)),"")</f>
        <v/>
      </c>
      <c r="BH212" s="312">
        <f>IFERROR(INDEX(Data!DE$9:DE$1273,MATCH($M212,Data!$K$9:$K$1273,0)),"")</f>
        <v/>
      </c>
      <c r="BI212" s="312">
        <f>IFERROR(INDEX(Data!DF$9:DF$1273,MATCH($M212,Data!$K$9:$K$1273,0)),"")</f>
        <v/>
      </c>
      <c r="BJ212" s="312">
        <f>IFERROR(INDEX(Data!DG$9:DG$1273,MATCH($M212,Data!$K$9:$K$1273,0)),"")</f>
        <v/>
      </c>
      <c r="BK212" s="312">
        <f>IFERROR(INDEX(Data!DH$9:DH$1273,MATCH($M212,Data!$K$9:$K$1273,0)),"")</f>
        <v/>
      </c>
      <c r="BL212" s="312">
        <f>IFERROR(INDEX(Data!DI$9:DI$1273,MATCH($M212,Data!$K$9:$K$1273,0)),"")</f>
        <v/>
      </c>
      <c r="BM212" s="312">
        <f>IFERROR(INDEX(Data!DJ$9:DJ$1273,MATCH($M212,Data!$K$9:$K$1273,0)),"")</f>
        <v/>
      </c>
      <c r="BN212" s="312">
        <f>IFERROR(INDEX(Data!DK$9:DK$1273,MATCH($M212,Data!$K$9:$K$1273,0)),"")</f>
        <v/>
      </c>
      <c r="BO212" s="312">
        <f>IFERROR(INDEX(Data!DL$9:DL$1273,MATCH($M212,Data!$K$9:$K$1273,0)),"")</f>
        <v/>
      </c>
      <c r="BP212" s="331">
        <f>IFERROR(IF(BK212=0,"-",BK212),"")</f>
        <v/>
      </c>
      <c r="BQ212" s="312">
        <f>IFERROR(IF(BP212-K212&gt;0,TRUE,FALSE)," ")</f>
        <v/>
      </c>
      <c r="BR212" s="312">
        <f>_xlfn.CONCAT(E212,F212,H212,G212)</f>
        <v/>
      </c>
      <c r="BS212" s="312">
        <f>IFERROR(INDEX(Data!$DO$9:$DO$1273,MATCH('Your recommendation'!BR212,Data!$DN$9:$DN$1273,0)),"")</f>
        <v/>
      </c>
    </row>
    <row r="213" ht="15.6" customFormat="1" customHeight="1" s="138">
      <c r="B213" s="309">
        <f>IF(C213&gt;0,B212+1,"")</f>
        <v/>
      </c>
      <c r="C213" s="310" t="n"/>
      <c r="D213" s="312">
        <f>IFERROR(INDEX(Data!BR$9:BR$1273,MATCH($M213,Data!$K$9:$K$1273,0)),"")</f>
        <v/>
      </c>
      <c r="E213" s="312">
        <f>IFERROR(INDEX(Data!BS$9:BS$1273,MATCH($M213,Data!$K$9:$K$1273,0)),"")</f>
        <v/>
      </c>
      <c r="F213" s="312">
        <f>IFERROR(INDEX(Data!DM$9:DM$1273,MATCH($M213,Data!$K$9:$K$1273,0)),"")</f>
        <v/>
      </c>
      <c r="G213" s="312">
        <f>IFERROR(INDEX(Data!BV$9:BV$1273,MATCH($M213,Data!$K$9:$K$1273,0)),"")</f>
        <v/>
      </c>
      <c r="H213" s="312">
        <f>IFERROR(INDEX(Data!BW$9:BW$1273,MATCH($M213,Data!$K$9:$K$1273,0)),"")</f>
        <v/>
      </c>
      <c r="I213" s="312">
        <f>IFERROR(INDEX(Data!BX$9:BX$1273,MATCH($M213,Data!$K$9:$K$1273,0)),"")</f>
        <v/>
      </c>
      <c r="J213" s="312">
        <f>IFERROR(INDEX(Data!CB$9:CB$1273,MATCH($M213,Data!$K$9:$K$1273,0)),"")</f>
        <v/>
      </c>
      <c r="K213" s="329">
        <f>IFERROR(HYPERLINK(BM213,BC213),"-")</f>
        <v/>
      </c>
      <c r="L213" s="330">
        <f>IFERROR(IF(BB213=0,"-",BB213)," ")</f>
        <v/>
      </c>
      <c r="M213" s="311" t="n"/>
      <c r="N213" s="311" t="n"/>
      <c r="O213" s="311">
        <f>IFERROR(INDEX(Data!M$9:M$1273,MATCH($M213,Data!$K$9:$K$1273,0)),"")</f>
        <v/>
      </c>
      <c r="P213" s="311">
        <f>IFERROR(INDEX(Data!N$9:N$1273,MATCH($M213,Data!$K$9:$K$1273,0)),"")</f>
        <v/>
      </c>
      <c r="Q213" s="311">
        <f>IFERROR(INDEX(Data!O$9:O$1273,MATCH($M213,Data!$K$9:$K$1273,0)),"")</f>
        <v/>
      </c>
      <c r="R213" s="311">
        <f>IFERROR(INDEX(Data!P$9:P$1273,MATCH($M213,Data!$K$9:$K$1273,0)),"")</f>
        <v/>
      </c>
      <c r="S213" s="311">
        <f>IFERROR(INDEX(Data!S$9:S$1273,MATCH($M213,Data!$K$9:$K$1273,0)),"")</f>
        <v/>
      </c>
      <c r="T213" s="311">
        <f>IFERROR(INDEX(Data!T$9:T$1273,MATCH($M213,Data!$K$9:$K$1273,0)),"")</f>
        <v/>
      </c>
      <c r="U213" s="311">
        <f>IFERROR(INDEX(Data!U$9:U$1273,MATCH($M213,Data!$K$9:$K$1273,0)),"")</f>
        <v/>
      </c>
      <c r="V213" s="311">
        <f>IFERROR(INDEX(Data!V$9:V$1273,MATCH($M213,Data!$K$9:$K$1273,0)),"")</f>
        <v/>
      </c>
      <c r="W213" s="311">
        <f>IFERROR(INDEX(Data!W$9:W$1273,MATCH($M213,Data!$K$9:$K$1273,0)),"")</f>
        <v/>
      </c>
      <c r="X213" s="311">
        <f>IFERROR(INDEX(Data!AJ$9:AJ$1273,MATCH($M213,Data!$K$9:$K$1273,0)),"")</f>
        <v/>
      </c>
      <c r="Y213" s="311">
        <f>IFERROR(INDEX(Data!AK$9:AK$1273,MATCH($M213,Data!$K$9:$K$1273,0)),"")</f>
        <v/>
      </c>
      <c r="Z213" s="311">
        <f>IFERROR(INDEX(Data!AL$9:AL$1273,MATCH($M213,Data!$K$9:$K$1273,0)),"")</f>
        <v/>
      </c>
      <c r="AA213" s="311">
        <f>IFERROR(INDEX(Data!AM$9:AM$1273,MATCH($M213,Data!$K$9:$K$1273,0)),"")</f>
        <v/>
      </c>
      <c r="AB213" s="311">
        <f>IFERROR(INDEX(Data!AN$9:AN$1273,MATCH($M213,Data!$K$9:$K$1273,0)),"")</f>
        <v/>
      </c>
      <c r="AC213" s="312">
        <f>IFERROR(INDEX(Data!BY$9:BY$1273,MATCH($M213,Data!$K$9:$K$1273,0)),"")</f>
        <v/>
      </c>
      <c r="AD213" s="312">
        <f>IFERROR(INDEX(Data!BZ$9:BZ$1273,MATCH($M213,Data!$K$9:$K$1273,0)),"")</f>
        <v/>
      </c>
      <c r="AE213" s="312">
        <f>IFERROR(INDEX(Data!CA$9:CA$1273,MATCH($M213,Data!$K$9:$K$1273,0)),"")</f>
        <v/>
      </c>
      <c r="AF213" s="312">
        <f>IFERROR(INDEX(Data!CB$9:CB$1273,MATCH($M213,Data!$K$9:$K$1273,0)),"")</f>
        <v/>
      </c>
      <c r="AG213" s="312">
        <f>IFERROR(INDEX(Data!CC$9:CC$1273,MATCH($M213,Data!$K$9:$K$1273,0)),"")</f>
        <v/>
      </c>
      <c r="AH213" s="312">
        <f>IFERROR(INDEX(Data!CD$9:CD$1273,MATCH($M213,Data!$K$9:$K$1273,0)),"")</f>
        <v/>
      </c>
      <c r="AI213" s="312">
        <f>IFERROR(INDEX(Data!CE$9:CE$1273,MATCH($M213,Data!$K$9:$K$1273,0)),"")</f>
        <v/>
      </c>
      <c r="AJ213" s="312">
        <f>IFERROR(INDEX(Data!CF$9:CF$1273,MATCH($M213,Data!$K$9:$K$1273,0)),"")</f>
        <v/>
      </c>
      <c r="AK213" s="312">
        <f>IFERROR(INDEX(Data!CG$9:CG$1273,MATCH($M213,Data!$K$9:$K$1273,0)),"")</f>
        <v/>
      </c>
      <c r="AL213" s="312">
        <f>IFERROR(INDEX(Data!CH$9:CH$1273,MATCH($M213,Data!$K$9:$K$1273,0)),"")</f>
        <v/>
      </c>
      <c r="AM213" s="312">
        <f>IFERROR(INDEX(Data!CI$9:CI$1273,MATCH($M213,Data!$K$9:$K$1273,0)),"")</f>
        <v/>
      </c>
      <c r="AN213" s="312">
        <f>IFERROR(INDEX(Data!CJ$9:CJ$1273,MATCH($M213,Data!$K$9:$K$1273,0)),"")</f>
        <v/>
      </c>
      <c r="AO213" s="312">
        <f>IFERROR(INDEX(Data!CK$9:CK$1273,MATCH($M213,Data!$K$9:$K$1273,0)),"")</f>
        <v/>
      </c>
      <c r="AP213" s="312">
        <f>IFERROR(INDEX(Data!CL$9:CL$1273,MATCH($M213,Data!$K$9:$K$1273,0)),"")</f>
        <v/>
      </c>
      <c r="AQ213" s="312">
        <f>IFERROR(INDEX(Data!CM$9:CM$1273,MATCH($M213,Data!$K$9:$K$1273,0)),"")</f>
        <v/>
      </c>
      <c r="AR213" s="312">
        <f>IFERROR(INDEX(Data!CN$9:CN$1273,MATCH($M213,Data!$K$9:$K$1273,0)),"")</f>
        <v/>
      </c>
      <c r="AS213" s="312">
        <f>IFERROR(INDEX(Data!CO$9:CO$1273,MATCH($M213,Data!$K$9:$K$1273,0)),"")</f>
        <v/>
      </c>
      <c r="AT213" s="312">
        <f>IFERROR(INDEX(Data!CP$9:CP$1273,MATCH($M213,Data!$K$9:$K$1273,0)),"")</f>
        <v/>
      </c>
      <c r="AU213" s="312">
        <f>IFERROR(INDEX(Data!CQ$9:CQ$1273,MATCH($M213,Data!$K$9:$K$1273,0)),"")</f>
        <v/>
      </c>
      <c r="AV213" s="312">
        <f>IFERROR(INDEX(Data!CR$9:CR$1273,MATCH($M213,Data!$K$9:$K$1273,0)),"")</f>
        <v/>
      </c>
      <c r="AW213" s="312">
        <f>IFERROR(INDEX(Data!CS$9:CS$1273,MATCH($M213,Data!$K$9:$K$1273,0)),"")</f>
        <v/>
      </c>
      <c r="AX213" s="312">
        <f>IFERROR(INDEX(Data!CT$9:CT$1273,MATCH($M213,Data!$K$9:$K$1273,0)),"")</f>
        <v/>
      </c>
      <c r="AY213" s="312">
        <f>IFERROR(INDEX(Data!CU$9:CU$1273,MATCH($M213,Data!$K$9:$K$1273,0)),"")</f>
        <v/>
      </c>
      <c r="AZ213" s="312">
        <f>IFERROR(INDEX(Data!CV$9:CV$1273,MATCH($M213,Data!$K$9:$K$1273,0)),"")</f>
        <v/>
      </c>
      <c r="BA213" s="312">
        <f>IFERROR(INDEX(Data!CX$9:CX$1273,MATCH($M213,Data!$K$9:$K$1273,0)),"")</f>
        <v/>
      </c>
      <c r="BB213" s="312">
        <f>IFERROR(INDEX(Data!CY$9:CY$1273,MATCH($M213,Data!$K$9:$K$1273,0)),"")</f>
        <v/>
      </c>
      <c r="BC213" s="312">
        <f>IFERROR(INDEX(Data!CZ$9:CZ$1273,MATCH($M213,Data!$K$9:$K$1273,0)),"")</f>
        <v/>
      </c>
      <c r="BD213" s="312">
        <f>IFERROR(INDEX(Data!DA$9:DA$1273,MATCH($M213,Data!$K$9:$K$1273,0)),"")</f>
        <v/>
      </c>
      <c r="BE213" s="312">
        <f>IFERROR(INDEX(Data!DB$9:DB$1273,MATCH($M213,Data!$K$9:$K$1273,0)),"")</f>
        <v/>
      </c>
      <c r="BF213" s="312">
        <f>IFERROR(INDEX(Data!DC$9:DC$1273,MATCH($M213,Data!$K$9:$K$1273,0)),"")</f>
        <v/>
      </c>
      <c r="BG213" s="312">
        <f>IFERROR(INDEX(Data!DD$9:DD$1273,MATCH($M213,Data!$K$9:$K$1273,0)),"")</f>
        <v/>
      </c>
      <c r="BH213" s="312">
        <f>IFERROR(INDEX(Data!DE$9:DE$1273,MATCH($M213,Data!$K$9:$K$1273,0)),"")</f>
        <v/>
      </c>
      <c r="BI213" s="312">
        <f>IFERROR(INDEX(Data!DF$9:DF$1273,MATCH($M213,Data!$K$9:$K$1273,0)),"")</f>
        <v/>
      </c>
      <c r="BJ213" s="312">
        <f>IFERROR(INDEX(Data!DG$9:DG$1273,MATCH($M213,Data!$K$9:$K$1273,0)),"")</f>
        <v/>
      </c>
      <c r="BK213" s="312">
        <f>IFERROR(INDEX(Data!DH$9:DH$1273,MATCH($M213,Data!$K$9:$K$1273,0)),"")</f>
        <v/>
      </c>
      <c r="BL213" s="312">
        <f>IFERROR(INDEX(Data!DI$9:DI$1273,MATCH($M213,Data!$K$9:$K$1273,0)),"")</f>
        <v/>
      </c>
      <c r="BM213" s="312">
        <f>IFERROR(INDEX(Data!DJ$9:DJ$1273,MATCH($M213,Data!$K$9:$K$1273,0)),"")</f>
        <v/>
      </c>
      <c r="BN213" s="312">
        <f>IFERROR(INDEX(Data!DK$9:DK$1273,MATCH($M213,Data!$K$9:$K$1273,0)),"")</f>
        <v/>
      </c>
      <c r="BO213" s="312">
        <f>IFERROR(INDEX(Data!DL$9:DL$1273,MATCH($M213,Data!$K$9:$K$1273,0)),"")</f>
        <v/>
      </c>
      <c r="BP213" s="331">
        <f>IFERROR(IF(BK213=0,"-",BK213),"")</f>
        <v/>
      </c>
      <c r="BQ213" s="312">
        <f>IFERROR(IF(BP213-K213&gt;0,TRUE,FALSE)," ")</f>
        <v/>
      </c>
      <c r="BR213" s="312">
        <f>_xlfn.CONCAT(E213,F213,H213,G213)</f>
        <v/>
      </c>
      <c r="BS213" s="312">
        <f>IFERROR(INDEX(Data!$DO$9:$DO$1273,MATCH('Your recommendation'!BR213,Data!$DN$9:$DN$1273,0)),"")</f>
        <v/>
      </c>
    </row>
    <row r="214" ht="15.6" customFormat="1" customHeight="1" s="138">
      <c r="B214" s="309">
        <f>IF(C214&gt;0,B213+1,"")</f>
        <v/>
      </c>
      <c r="C214" s="310" t="n"/>
      <c r="D214" s="312">
        <f>IFERROR(INDEX(Data!BR$9:BR$1273,MATCH($M214,Data!$K$9:$K$1273,0)),"")</f>
        <v/>
      </c>
      <c r="E214" s="312">
        <f>IFERROR(INDEX(Data!BS$9:BS$1273,MATCH($M214,Data!$K$9:$K$1273,0)),"")</f>
        <v/>
      </c>
      <c r="F214" s="312">
        <f>IFERROR(INDEX(Data!DM$9:DM$1273,MATCH($M214,Data!$K$9:$K$1273,0)),"")</f>
        <v/>
      </c>
      <c r="G214" s="312">
        <f>IFERROR(INDEX(Data!BV$9:BV$1273,MATCH($M214,Data!$K$9:$K$1273,0)),"")</f>
        <v/>
      </c>
      <c r="H214" s="312">
        <f>IFERROR(INDEX(Data!BW$9:BW$1273,MATCH($M214,Data!$K$9:$K$1273,0)),"")</f>
        <v/>
      </c>
      <c r="I214" s="312">
        <f>IFERROR(INDEX(Data!BX$9:BX$1273,MATCH($M214,Data!$K$9:$K$1273,0)),"")</f>
        <v/>
      </c>
      <c r="J214" s="312">
        <f>IFERROR(INDEX(Data!CB$9:CB$1273,MATCH($M214,Data!$K$9:$K$1273,0)),"")</f>
        <v/>
      </c>
      <c r="K214" s="329">
        <f>IFERROR(HYPERLINK(BM214,BC214),"-")</f>
        <v/>
      </c>
      <c r="L214" s="330">
        <f>IFERROR(IF(BB214=0,"-",BB214)," ")</f>
        <v/>
      </c>
      <c r="M214" s="311" t="n"/>
      <c r="N214" s="311" t="n"/>
      <c r="O214" s="311">
        <f>IFERROR(INDEX(Data!M$9:M$1273,MATCH($M214,Data!$K$9:$K$1273,0)),"")</f>
        <v/>
      </c>
      <c r="P214" s="311">
        <f>IFERROR(INDEX(Data!N$9:N$1273,MATCH($M214,Data!$K$9:$K$1273,0)),"")</f>
        <v/>
      </c>
      <c r="Q214" s="311">
        <f>IFERROR(INDEX(Data!O$9:O$1273,MATCH($M214,Data!$K$9:$K$1273,0)),"")</f>
        <v/>
      </c>
      <c r="R214" s="311">
        <f>IFERROR(INDEX(Data!P$9:P$1273,MATCH($M214,Data!$K$9:$K$1273,0)),"")</f>
        <v/>
      </c>
      <c r="S214" s="311">
        <f>IFERROR(INDEX(Data!S$9:S$1273,MATCH($M214,Data!$K$9:$K$1273,0)),"")</f>
        <v/>
      </c>
      <c r="T214" s="311">
        <f>IFERROR(INDEX(Data!T$9:T$1273,MATCH($M214,Data!$K$9:$K$1273,0)),"")</f>
        <v/>
      </c>
      <c r="U214" s="311">
        <f>IFERROR(INDEX(Data!U$9:U$1273,MATCH($M214,Data!$K$9:$K$1273,0)),"")</f>
        <v/>
      </c>
      <c r="V214" s="311">
        <f>IFERROR(INDEX(Data!V$9:V$1273,MATCH($M214,Data!$K$9:$K$1273,0)),"")</f>
        <v/>
      </c>
      <c r="W214" s="311">
        <f>IFERROR(INDEX(Data!W$9:W$1273,MATCH($M214,Data!$K$9:$K$1273,0)),"")</f>
        <v/>
      </c>
      <c r="X214" s="311">
        <f>IFERROR(INDEX(Data!AJ$9:AJ$1273,MATCH($M214,Data!$K$9:$K$1273,0)),"")</f>
        <v/>
      </c>
      <c r="Y214" s="311">
        <f>IFERROR(INDEX(Data!AK$9:AK$1273,MATCH($M214,Data!$K$9:$K$1273,0)),"")</f>
        <v/>
      </c>
      <c r="Z214" s="311">
        <f>IFERROR(INDEX(Data!AL$9:AL$1273,MATCH($M214,Data!$K$9:$K$1273,0)),"")</f>
        <v/>
      </c>
      <c r="AA214" s="311">
        <f>IFERROR(INDEX(Data!AM$9:AM$1273,MATCH($M214,Data!$K$9:$K$1273,0)),"")</f>
        <v/>
      </c>
      <c r="AB214" s="311">
        <f>IFERROR(INDEX(Data!AN$9:AN$1273,MATCH($M214,Data!$K$9:$K$1273,0)),"")</f>
        <v/>
      </c>
      <c r="AC214" s="312">
        <f>IFERROR(INDEX(Data!BY$9:BY$1273,MATCH($M214,Data!$K$9:$K$1273,0)),"")</f>
        <v/>
      </c>
      <c r="AD214" s="312">
        <f>IFERROR(INDEX(Data!BZ$9:BZ$1273,MATCH($M214,Data!$K$9:$K$1273,0)),"")</f>
        <v/>
      </c>
      <c r="AE214" s="312">
        <f>IFERROR(INDEX(Data!CA$9:CA$1273,MATCH($M214,Data!$K$9:$K$1273,0)),"")</f>
        <v/>
      </c>
      <c r="AF214" s="312">
        <f>IFERROR(INDEX(Data!CB$9:CB$1273,MATCH($M214,Data!$K$9:$K$1273,0)),"")</f>
        <v/>
      </c>
      <c r="AG214" s="312">
        <f>IFERROR(INDEX(Data!CC$9:CC$1273,MATCH($M214,Data!$K$9:$K$1273,0)),"")</f>
        <v/>
      </c>
      <c r="AH214" s="312">
        <f>IFERROR(INDEX(Data!CD$9:CD$1273,MATCH($M214,Data!$K$9:$K$1273,0)),"")</f>
        <v/>
      </c>
      <c r="AI214" s="312">
        <f>IFERROR(INDEX(Data!CE$9:CE$1273,MATCH($M214,Data!$K$9:$K$1273,0)),"")</f>
        <v/>
      </c>
      <c r="AJ214" s="312">
        <f>IFERROR(INDEX(Data!CF$9:CF$1273,MATCH($M214,Data!$K$9:$K$1273,0)),"")</f>
        <v/>
      </c>
      <c r="AK214" s="312">
        <f>IFERROR(INDEX(Data!CG$9:CG$1273,MATCH($M214,Data!$K$9:$K$1273,0)),"")</f>
        <v/>
      </c>
      <c r="AL214" s="312">
        <f>IFERROR(INDEX(Data!CH$9:CH$1273,MATCH($M214,Data!$K$9:$K$1273,0)),"")</f>
        <v/>
      </c>
      <c r="AM214" s="312">
        <f>IFERROR(INDEX(Data!CI$9:CI$1273,MATCH($M214,Data!$K$9:$K$1273,0)),"")</f>
        <v/>
      </c>
      <c r="AN214" s="312">
        <f>IFERROR(INDEX(Data!CJ$9:CJ$1273,MATCH($M214,Data!$K$9:$K$1273,0)),"")</f>
        <v/>
      </c>
      <c r="AO214" s="312">
        <f>IFERROR(INDEX(Data!CK$9:CK$1273,MATCH($M214,Data!$K$9:$K$1273,0)),"")</f>
        <v/>
      </c>
      <c r="AP214" s="312">
        <f>IFERROR(INDEX(Data!CL$9:CL$1273,MATCH($M214,Data!$K$9:$K$1273,0)),"")</f>
        <v/>
      </c>
      <c r="AQ214" s="312">
        <f>IFERROR(INDEX(Data!CM$9:CM$1273,MATCH($M214,Data!$K$9:$K$1273,0)),"")</f>
        <v/>
      </c>
      <c r="AR214" s="312">
        <f>IFERROR(INDEX(Data!CN$9:CN$1273,MATCH($M214,Data!$K$9:$K$1273,0)),"")</f>
        <v/>
      </c>
      <c r="AS214" s="312">
        <f>IFERROR(INDEX(Data!CO$9:CO$1273,MATCH($M214,Data!$K$9:$K$1273,0)),"")</f>
        <v/>
      </c>
      <c r="AT214" s="312">
        <f>IFERROR(INDEX(Data!CP$9:CP$1273,MATCH($M214,Data!$K$9:$K$1273,0)),"")</f>
        <v/>
      </c>
      <c r="AU214" s="312">
        <f>IFERROR(INDEX(Data!CQ$9:CQ$1273,MATCH($M214,Data!$K$9:$K$1273,0)),"")</f>
        <v/>
      </c>
      <c r="AV214" s="312">
        <f>IFERROR(INDEX(Data!CR$9:CR$1273,MATCH($M214,Data!$K$9:$K$1273,0)),"")</f>
        <v/>
      </c>
      <c r="AW214" s="312">
        <f>IFERROR(INDEX(Data!CS$9:CS$1273,MATCH($M214,Data!$K$9:$K$1273,0)),"")</f>
        <v/>
      </c>
      <c r="AX214" s="312">
        <f>IFERROR(INDEX(Data!CT$9:CT$1273,MATCH($M214,Data!$K$9:$K$1273,0)),"")</f>
        <v/>
      </c>
      <c r="AY214" s="312">
        <f>IFERROR(INDEX(Data!CU$9:CU$1273,MATCH($M214,Data!$K$9:$K$1273,0)),"")</f>
        <v/>
      </c>
      <c r="AZ214" s="312">
        <f>IFERROR(INDEX(Data!CV$9:CV$1273,MATCH($M214,Data!$K$9:$K$1273,0)),"")</f>
        <v/>
      </c>
      <c r="BA214" s="312">
        <f>IFERROR(INDEX(Data!CX$9:CX$1273,MATCH($M214,Data!$K$9:$K$1273,0)),"")</f>
        <v/>
      </c>
      <c r="BB214" s="312">
        <f>IFERROR(INDEX(Data!CY$9:CY$1273,MATCH($M214,Data!$K$9:$K$1273,0)),"")</f>
        <v/>
      </c>
      <c r="BC214" s="312">
        <f>IFERROR(INDEX(Data!CZ$9:CZ$1273,MATCH($M214,Data!$K$9:$K$1273,0)),"")</f>
        <v/>
      </c>
      <c r="BD214" s="312">
        <f>IFERROR(INDEX(Data!DA$9:DA$1273,MATCH($M214,Data!$K$9:$K$1273,0)),"")</f>
        <v/>
      </c>
      <c r="BE214" s="312">
        <f>IFERROR(INDEX(Data!DB$9:DB$1273,MATCH($M214,Data!$K$9:$K$1273,0)),"")</f>
        <v/>
      </c>
      <c r="BF214" s="312">
        <f>IFERROR(INDEX(Data!DC$9:DC$1273,MATCH($M214,Data!$K$9:$K$1273,0)),"")</f>
        <v/>
      </c>
      <c r="BG214" s="312">
        <f>IFERROR(INDEX(Data!DD$9:DD$1273,MATCH($M214,Data!$K$9:$K$1273,0)),"")</f>
        <v/>
      </c>
      <c r="BH214" s="312">
        <f>IFERROR(INDEX(Data!DE$9:DE$1273,MATCH($M214,Data!$K$9:$K$1273,0)),"")</f>
        <v/>
      </c>
      <c r="BI214" s="312">
        <f>IFERROR(INDEX(Data!DF$9:DF$1273,MATCH($M214,Data!$K$9:$K$1273,0)),"")</f>
        <v/>
      </c>
      <c r="BJ214" s="312">
        <f>IFERROR(INDEX(Data!DG$9:DG$1273,MATCH($M214,Data!$K$9:$K$1273,0)),"")</f>
        <v/>
      </c>
      <c r="BK214" s="312">
        <f>IFERROR(INDEX(Data!DH$9:DH$1273,MATCH($M214,Data!$K$9:$K$1273,0)),"")</f>
        <v/>
      </c>
      <c r="BL214" s="312">
        <f>IFERROR(INDEX(Data!DI$9:DI$1273,MATCH($M214,Data!$K$9:$K$1273,0)),"")</f>
        <v/>
      </c>
      <c r="BM214" s="312">
        <f>IFERROR(INDEX(Data!DJ$9:DJ$1273,MATCH($M214,Data!$K$9:$K$1273,0)),"")</f>
        <v/>
      </c>
      <c r="BN214" s="312">
        <f>IFERROR(INDEX(Data!DK$9:DK$1273,MATCH($M214,Data!$K$9:$K$1273,0)),"")</f>
        <v/>
      </c>
      <c r="BO214" s="312">
        <f>IFERROR(INDEX(Data!DL$9:DL$1273,MATCH($M214,Data!$K$9:$K$1273,0)),"")</f>
        <v/>
      </c>
      <c r="BP214" s="331">
        <f>IFERROR(IF(BK214=0,"-",BK214),"")</f>
        <v/>
      </c>
      <c r="BQ214" s="312">
        <f>IFERROR(IF(BP214-K214&gt;0,TRUE,FALSE)," ")</f>
        <v/>
      </c>
      <c r="BR214" s="312">
        <f>_xlfn.CONCAT(E214,F214,H214,G214)</f>
        <v/>
      </c>
      <c r="BS214" s="312">
        <f>IFERROR(INDEX(Data!$DO$9:$DO$1273,MATCH('Your recommendation'!BR214,Data!$DN$9:$DN$1273,0)),"")</f>
        <v/>
      </c>
    </row>
    <row r="215" ht="15.6" customFormat="1" customHeight="1" s="138">
      <c r="B215" s="309">
        <f>IF(C215&gt;0,B214+1,"")</f>
        <v/>
      </c>
      <c r="C215" s="310" t="n"/>
      <c r="D215" s="312">
        <f>IFERROR(INDEX(Data!BR$9:BR$1273,MATCH($M215,Data!$K$9:$K$1273,0)),"")</f>
        <v/>
      </c>
      <c r="E215" s="312">
        <f>IFERROR(INDEX(Data!BS$9:BS$1273,MATCH($M215,Data!$K$9:$K$1273,0)),"")</f>
        <v/>
      </c>
      <c r="F215" s="312">
        <f>IFERROR(INDEX(Data!DM$9:DM$1273,MATCH($M215,Data!$K$9:$K$1273,0)),"")</f>
        <v/>
      </c>
      <c r="G215" s="312">
        <f>IFERROR(INDEX(Data!BV$9:BV$1273,MATCH($M215,Data!$K$9:$K$1273,0)),"")</f>
        <v/>
      </c>
      <c r="H215" s="312">
        <f>IFERROR(INDEX(Data!BW$9:BW$1273,MATCH($M215,Data!$K$9:$K$1273,0)),"")</f>
        <v/>
      </c>
      <c r="I215" s="312">
        <f>IFERROR(INDEX(Data!BX$9:BX$1273,MATCH($M215,Data!$K$9:$K$1273,0)),"")</f>
        <v/>
      </c>
      <c r="J215" s="312">
        <f>IFERROR(INDEX(Data!CB$9:CB$1273,MATCH($M215,Data!$K$9:$K$1273,0)),"")</f>
        <v/>
      </c>
      <c r="K215" s="329">
        <f>IFERROR(HYPERLINK(BM215,BC215),"-")</f>
        <v/>
      </c>
      <c r="L215" s="330">
        <f>IFERROR(IF(BB215=0,"-",BB215)," ")</f>
        <v/>
      </c>
      <c r="M215" s="311" t="n"/>
      <c r="N215" s="311" t="n"/>
      <c r="O215" s="311">
        <f>IFERROR(INDEX(Data!M$9:M$1273,MATCH($M215,Data!$K$9:$K$1273,0)),"")</f>
        <v/>
      </c>
      <c r="P215" s="311">
        <f>IFERROR(INDEX(Data!N$9:N$1273,MATCH($M215,Data!$K$9:$K$1273,0)),"")</f>
        <v/>
      </c>
      <c r="Q215" s="311">
        <f>IFERROR(INDEX(Data!O$9:O$1273,MATCH($M215,Data!$K$9:$K$1273,0)),"")</f>
        <v/>
      </c>
      <c r="R215" s="311">
        <f>IFERROR(INDEX(Data!P$9:P$1273,MATCH($M215,Data!$K$9:$K$1273,0)),"")</f>
        <v/>
      </c>
      <c r="S215" s="311">
        <f>IFERROR(INDEX(Data!S$9:S$1273,MATCH($M215,Data!$K$9:$K$1273,0)),"")</f>
        <v/>
      </c>
      <c r="T215" s="311">
        <f>IFERROR(INDEX(Data!T$9:T$1273,MATCH($M215,Data!$K$9:$K$1273,0)),"")</f>
        <v/>
      </c>
      <c r="U215" s="311">
        <f>IFERROR(INDEX(Data!U$9:U$1273,MATCH($M215,Data!$K$9:$K$1273,0)),"")</f>
        <v/>
      </c>
      <c r="V215" s="311">
        <f>IFERROR(INDEX(Data!V$9:V$1273,MATCH($M215,Data!$K$9:$K$1273,0)),"")</f>
        <v/>
      </c>
      <c r="W215" s="311">
        <f>IFERROR(INDEX(Data!W$9:W$1273,MATCH($M215,Data!$K$9:$K$1273,0)),"")</f>
        <v/>
      </c>
      <c r="X215" s="311">
        <f>IFERROR(INDEX(Data!AJ$9:AJ$1273,MATCH($M215,Data!$K$9:$K$1273,0)),"")</f>
        <v/>
      </c>
      <c r="Y215" s="311">
        <f>IFERROR(INDEX(Data!AK$9:AK$1273,MATCH($M215,Data!$K$9:$K$1273,0)),"")</f>
        <v/>
      </c>
      <c r="Z215" s="311">
        <f>IFERROR(INDEX(Data!AL$9:AL$1273,MATCH($M215,Data!$K$9:$K$1273,0)),"")</f>
        <v/>
      </c>
      <c r="AA215" s="311">
        <f>IFERROR(INDEX(Data!AM$9:AM$1273,MATCH($M215,Data!$K$9:$K$1273,0)),"")</f>
        <v/>
      </c>
      <c r="AB215" s="311">
        <f>IFERROR(INDEX(Data!AN$9:AN$1273,MATCH($M215,Data!$K$9:$K$1273,0)),"")</f>
        <v/>
      </c>
      <c r="AC215" s="312">
        <f>IFERROR(INDEX(Data!BY$9:BY$1273,MATCH($M215,Data!$K$9:$K$1273,0)),"")</f>
        <v/>
      </c>
      <c r="AD215" s="312">
        <f>IFERROR(INDEX(Data!BZ$9:BZ$1273,MATCH($M215,Data!$K$9:$K$1273,0)),"")</f>
        <v/>
      </c>
      <c r="AE215" s="312">
        <f>IFERROR(INDEX(Data!CA$9:CA$1273,MATCH($M215,Data!$K$9:$K$1273,0)),"")</f>
        <v/>
      </c>
      <c r="AF215" s="312">
        <f>IFERROR(INDEX(Data!CB$9:CB$1273,MATCH($M215,Data!$K$9:$K$1273,0)),"")</f>
        <v/>
      </c>
      <c r="AG215" s="312">
        <f>IFERROR(INDEX(Data!CC$9:CC$1273,MATCH($M215,Data!$K$9:$K$1273,0)),"")</f>
        <v/>
      </c>
      <c r="AH215" s="312">
        <f>IFERROR(INDEX(Data!CD$9:CD$1273,MATCH($M215,Data!$K$9:$K$1273,0)),"")</f>
        <v/>
      </c>
      <c r="AI215" s="312">
        <f>IFERROR(INDEX(Data!CE$9:CE$1273,MATCH($M215,Data!$K$9:$K$1273,0)),"")</f>
        <v/>
      </c>
      <c r="AJ215" s="312">
        <f>IFERROR(INDEX(Data!CF$9:CF$1273,MATCH($M215,Data!$K$9:$K$1273,0)),"")</f>
        <v/>
      </c>
      <c r="AK215" s="312">
        <f>IFERROR(INDEX(Data!CG$9:CG$1273,MATCH($M215,Data!$K$9:$K$1273,0)),"")</f>
        <v/>
      </c>
      <c r="AL215" s="312">
        <f>IFERROR(INDEX(Data!CH$9:CH$1273,MATCH($M215,Data!$K$9:$K$1273,0)),"")</f>
        <v/>
      </c>
      <c r="AM215" s="312">
        <f>IFERROR(INDEX(Data!CI$9:CI$1273,MATCH($M215,Data!$K$9:$K$1273,0)),"")</f>
        <v/>
      </c>
      <c r="AN215" s="312">
        <f>IFERROR(INDEX(Data!CJ$9:CJ$1273,MATCH($M215,Data!$K$9:$K$1273,0)),"")</f>
        <v/>
      </c>
      <c r="AO215" s="312">
        <f>IFERROR(INDEX(Data!CK$9:CK$1273,MATCH($M215,Data!$K$9:$K$1273,0)),"")</f>
        <v/>
      </c>
      <c r="AP215" s="312">
        <f>IFERROR(INDEX(Data!CL$9:CL$1273,MATCH($M215,Data!$K$9:$K$1273,0)),"")</f>
        <v/>
      </c>
      <c r="AQ215" s="312">
        <f>IFERROR(INDEX(Data!CM$9:CM$1273,MATCH($M215,Data!$K$9:$K$1273,0)),"")</f>
        <v/>
      </c>
      <c r="AR215" s="312">
        <f>IFERROR(INDEX(Data!CN$9:CN$1273,MATCH($M215,Data!$K$9:$K$1273,0)),"")</f>
        <v/>
      </c>
      <c r="AS215" s="312">
        <f>IFERROR(INDEX(Data!CO$9:CO$1273,MATCH($M215,Data!$K$9:$K$1273,0)),"")</f>
        <v/>
      </c>
      <c r="AT215" s="312">
        <f>IFERROR(INDEX(Data!CP$9:CP$1273,MATCH($M215,Data!$K$9:$K$1273,0)),"")</f>
        <v/>
      </c>
      <c r="AU215" s="312">
        <f>IFERROR(INDEX(Data!CQ$9:CQ$1273,MATCH($M215,Data!$K$9:$K$1273,0)),"")</f>
        <v/>
      </c>
      <c r="AV215" s="312">
        <f>IFERROR(INDEX(Data!CR$9:CR$1273,MATCH($M215,Data!$K$9:$K$1273,0)),"")</f>
        <v/>
      </c>
      <c r="AW215" s="312">
        <f>IFERROR(INDEX(Data!CS$9:CS$1273,MATCH($M215,Data!$K$9:$K$1273,0)),"")</f>
        <v/>
      </c>
      <c r="AX215" s="312">
        <f>IFERROR(INDEX(Data!CT$9:CT$1273,MATCH($M215,Data!$K$9:$K$1273,0)),"")</f>
        <v/>
      </c>
      <c r="AY215" s="312">
        <f>IFERROR(INDEX(Data!CU$9:CU$1273,MATCH($M215,Data!$K$9:$K$1273,0)),"")</f>
        <v/>
      </c>
      <c r="AZ215" s="312">
        <f>IFERROR(INDEX(Data!CV$9:CV$1273,MATCH($M215,Data!$K$9:$K$1273,0)),"")</f>
        <v/>
      </c>
      <c r="BA215" s="312">
        <f>IFERROR(INDEX(Data!CX$9:CX$1273,MATCH($M215,Data!$K$9:$K$1273,0)),"")</f>
        <v/>
      </c>
      <c r="BB215" s="312">
        <f>IFERROR(INDEX(Data!CY$9:CY$1273,MATCH($M215,Data!$K$9:$K$1273,0)),"")</f>
        <v/>
      </c>
      <c r="BC215" s="312">
        <f>IFERROR(INDEX(Data!CZ$9:CZ$1273,MATCH($M215,Data!$K$9:$K$1273,0)),"")</f>
        <v/>
      </c>
      <c r="BD215" s="312">
        <f>IFERROR(INDEX(Data!DA$9:DA$1273,MATCH($M215,Data!$K$9:$K$1273,0)),"")</f>
        <v/>
      </c>
      <c r="BE215" s="312">
        <f>IFERROR(INDEX(Data!DB$9:DB$1273,MATCH($M215,Data!$K$9:$K$1273,0)),"")</f>
        <v/>
      </c>
      <c r="BF215" s="312">
        <f>IFERROR(INDEX(Data!DC$9:DC$1273,MATCH($M215,Data!$K$9:$K$1273,0)),"")</f>
        <v/>
      </c>
      <c r="BG215" s="312">
        <f>IFERROR(INDEX(Data!DD$9:DD$1273,MATCH($M215,Data!$K$9:$K$1273,0)),"")</f>
        <v/>
      </c>
      <c r="BH215" s="312">
        <f>IFERROR(INDEX(Data!DE$9:DE$1273,MATCH($M215,Data!$K$9:$K$1273,0)),"")</f>
        <v/>
      </c>
      <c r="BI215" s="312">
        <f>IFERROR(INDEX(Data!DF$9:DF$1273,MATCH($M215,Data!$K$9:$K$1273,0)),"")</f>
        <v/>
      </c>
      <c r="BJ215" s="312">
        <f>IFERROR(INDEX(Data!DG$9:DG$1273,MATCH($M215,Data!$K$9:$K$1273,0)),"")</f>
        <v/>
      </c>
      <c r="BK215" s="312">
        <f>IFERROR(INDEX(Data!DH$9:DH$1273,MATCH($M215,Data!$K$9:$K$1273,0)),"")</f>
        <v/>
      </c>
      <c r="BL215" s="312">
        <f>IFERROR(INDEX(Data!DI$9:DI$1273,MATCH($M215,Data!$K$9:$K$1273,0)),"")</f>
        <v/>
      </c>
      <c r="BM215" s="312">
        <f>IFERROR(INDEX(Data!DJ$9:DJ$1273,MATCH($M215,Data!$K$9:$K$1273,0)),"")</f>
        <v/>
      </c>
      <c r="BN215" s="312">
        <f>IFERROR(INDEX(Data!DK$9:DK$1273,MATCH($M215,Data!$K$9:$K$1273,0)),"")</f>
        <v/>
      </c>
      <c r="BO215" s="312">
        <f>IFERROR(INDEX(Data!DL$9:DL$1273,MATCH($M215,Data!$K$9:$K$1273,0)),"")</f>
        <v/>
      </c>
      <c r="BP215" s="331">
        <f>IFERROR(IF(BK215=0,"-",BK215),"")</f>
        <v/>
      </c>
      <c r="BQ215" s="312">
        <f>IFERROR(IF(BP215-K215&gt;0,TRUE,FALSE)," ")</f>
        <v/>
      </c>
      <c r="BR215" s="312">
        <f>_xlfn.CONCAT(E215,F215,H215,G215)</f>
        <v/>
      </c>
      <c r="BS215" s="312">
        <f>IFERROR(INDEX(Data!$DO$9:$DO$1273,MATCH('Your recommendation'!BR215,Data!$DN$9:$DN$1273,0)),"")</f>
        <v/>
      </c>
    </row>
    <row r="216" ht="15.6" customFormat="1" customHeight="1" s="138">
      <c r="B216" s="309">
        <f>IF(C216&gt;0,B215+1,"")</f>
        <v/>
      </c>
      <c r="C216" s="310" t="n"/>
      <c r="D216" s="312">
        <f>IFERROR(INDEX(Data!BR$9:BR$1273,MATCH($M216,Data!$K$9:$K$1273,0)),"")</f>
        <v/>
      </c>
      <c r="E216" s="312">
        <f>IFERROR(INDEX(Data!BS$9:BS$1273,MATCH($M216,Data!$K$9:$K$1273,0)),"")</f>
        <v/>
      </c>
      <c r="F216" s="312">
        <f>IFERROR(INDEX(Data!DM$9:DM$1273,MATCH($M216,Data!$K$9:$K$1273,0)),"")</f>
        <v/>
      </c>
      <c r="G216" s="312">
        <f>IFERROR(INDEX(Data!BV$9:BV$1273,MATCH($M216,Data!$K$9:$K$1273,0)),"")</f>
        <v/>
      </c>
      <c r="H216" s="312">
        <f>IFERROR(INDEX(Data!BW$9:BW$1273,MATCH($M216,Data!$K$9:$K$1273,0)),"")</f>
        <v/>
      </c>
      <c r="I216" s="312">
        <f>IFERROR(INDEX(Data!BX$9:BX$1273,MATCH($M216,Data!$K$9:$K$1273,0)),"")</f>
        <v/>
      </c>
      <c r="J216" s="312">
        <f>IFERROR(INDEX(Data!CB$9:CB$1273,MATCH($M216,Data!$K$9:$K$1273,0)),"")</f>
        <v/>
      </c>
      <c r="K216" s="329">
        <f>IFERROR(HYPERLINK(BM216,BC216),"-")</f>
        <v/>
      </c>
      <c r="L216" s="330">
        <f>IFERROR(IF(BB216=0,"-",BB216)," ")</f>
        <v/>
      </c>
      <c r="M216" s="311" t="n"/>
      <c r="N216" s="311" t="n"/>
      <c r="O216" s="311">
        <f>IFERROR(INDEX(Data!M$9:M$1273,MATCH($M216,Data!$K$9:$K$1273,0)),"")</f>
        <v/>
      </c>
      <c r="P216" s="311">
        <f>IFERROR(INDEX(Data!N$9:N$1273,MATCH($M216,Data!$K$9:$K$1273,0)),"")</f>
        <v/>
      </c>
      <c r="Q216" s="311">
        <f>IFERROR(INDEX(Data!O$9:O$1273,MATCH($M216,Data!$K$9:$K$1273,0)),"")</f>
        <v/>
      </c>
      <c r="R216" s="311">
        <f>IFERROR(INDEX(Data!P$9:P$1273,MATCH($M216,Data!$K$9:$K$1273,0)),"")</f>
        <v/>
      </c>
      <c r="S216" s="311">
        <f>IFERROR(INDEX(Data!S$9:S$1273,MATCH($M216,Data!$K$9:$K$1273,0)),"")</f>
        <v/>
      </c>
      <c r="T216" s="311">
        <f>IFERROR(INDEX(Data!T$9:T$1273,MATCH($M216,Data!$K$9:$K$1273,0)),"")</f>
        <v/>
      </c>
      <c r="U216" s="311">
        <f>IFERROR(INDEX(Data!U$9:U$1273,MATCH($M216,Data!$K$9:$K$1273,0)),"")</f>
        <v/>
      </c>
      <c r="V216" s="311">
        <f>IFERROR(INDEX(Data!V$9:V$1273,MATCH($M216,Data!$K$9:$K$1273,0)),"")</f>
        <v/>
      </c>
      <c r="W216" s="311">
        <f>IFERROR(INDEX(Data!W$9:W$1273,MATCH($M216,Data!$K$9:$K$1273,0)),"")</f>
        <v/>
      </c>
      <c r="X216" s="311">
        <f>IFERROR(INDEX(Data!AJ$9:AJ$1273,MATCH($M216,Data!$K$9:$K$1273,0)),"")</f>
        <v/>
      </c>
      <c r="Y216" s="311">
        <f>IFERROR(INDEX(Data!AK$9:AK$1273,MATCH($M216,Data!$K$9:$K$1273,0)),"")</f>
        <v/>
      </c>
      <c r="Z216" s="311">
        <f>IFERROR(INDEX(Data!AL$9:AL$1273,MATCH($M216,Data!$K$9:$K$1273,0)),"")</f>
        <v/>
      </c>
      <c r="AA216" s="311">
        <f>IFERROR(INDEX(Data!AM$9:AM$1273,MATCH($M216,Data!$K$9:$K$1273,0)),"")</f>
        <v/>
      </c>
      <c r="AB216" s="311">
        <f>IFERROR(INDEX(Data!AN$9:AN$1273,MATCH($M216,Data!$K$9:$K$1273,0)),"")</f>
        <v/>
      </c>
      <c r="AC216" s="312">
        <f>IFERROR(INDEX(Data!BY$9:BY$1273,MATCH($M216,Data!$K$9:$K$1273,0)),"")</f>
        <v/>
      </c>
      <c r="AD216" s="312">
        <f>IFERROR(INDEX(Data!BZ$9:BZ$1273,MATCH($M216,Data!$K$9:$K$1273,0)),"")</f>
        <v/>
      </c>
      <c r="AE216" s="312">
        <f>IFERROR(INDEX(Data!CA$9:CA$1273,MATCH($M216,Data!$K$9:$K$1273,0)),"")</f>
        <v/>
      </c>
      <c r="AF216" s="312">
        <f>IFERROR(INDEX(Data!CB$9:CB$1273,MATCH($M216,Data!$K$9:$K$1273,0)),"")</f>
        <v/>
      </c>
      <c r="AG216" s="312">
        <f>IFERROR(INDEX(Data!CC$9:CC$1273,MATCH($M216,Data!$K$9:$K$1273,0)),"")</f>
        <v/>
      </c>
      <c r="AH216" s="312">
        <f>IFERROR(INDEX(Data!CD$9:CD$1273,MATCH($M216,Data!$K$9:$K$1273,0)),"")</f>
        <v/>
      </c>
      <c r="AI216" s="312">
        <f>IFERROR(INDEX(Data!CE$9:CE$1273,MATCH($M216,Data!$K$9:$K$1273,0)),"")</f>
        <v/>
      </c>
      <c r="AJ216" s="312">
        <f>IFERROR(INDEX(Data!CF$9:CF$1273,MATCH($M216,Data!$K$9:$K$1273,0)),"")</f>
        <v/>
      </c>
      <c r="AK216" s="312">
        <f>IFERROR(INDEX(Data!CG$9:CG$1273,MATCH($M216,Data!$K$9:$K$1273,0)),"")</f>
        <v/>
      </c>
      <c r="AL216" s="312">
        <f>IFERROR(INDEX(Data!CH$9:CH$1273,MATCH($M216,Data!$K$9:$K$1273,0)),"")</f>
        <v/>
      </c>
      <c r="AM216" s="312">
        <f>IFERROR(INDEX(Data!CI$9:CI$1273,MATCH($M216,Data!$K$9:$K$1273,0)),"")</f>
        <v/>
      </c>
      <c r="AN216" s="312">
        <f>IFERROR(INDEX(Data!CJ$9:CJ$1273,MATCH($M216,Data!$K$9:$K$1273,0)),"")</f>
        <v/>
      </c>
      <c r="AO216" s="312">
        <f>IFERROR(INDEX(Data!CK$9:CK$1273,MATCH($M216,Data!$K$9:$K$1273,0)),"")</f>
        <v/>
      </c>
      <c r="AP216" s="312">
        <f>IFERROR(INDEX(Data!CL$9:CL$1273,MATCH($M216,Data!$K$9:$K$1273,0)),"")</f>
        <v/>
      </c>
      <c r="AQ216" s="312">
        <f>IFERROR(INDEX(Data!CM$9:CM$1273,MATCH($M216,Data!$K$9:$K$1273,0)),"")</f>
        <v/>
      </c>
      <c r="AR216" s="312">
        <f>IFERROR(INDEX(Data!CN$9:CN$1273,MATCH($M216,Data!$K$9:$K$1273,0)),"")</f>
        <v/>
      </c>
      <c r="AS216" s="312">
        <f>IFERROR(INDEX(Data!CO$9:CO$1273,MATCH($M216,Data!$K$9:$K$1273,0)),"")</f>
        <v/>
      </c>
      <c r="AT216" s="312">
        <f>IFERROR(INDEX(Data!CP$9:CP$1273,MATCH($M216,Data!$K$9:$K$1273,0)),"")</f>
        <v/>
      </c>
      <c r="AU216" s="312">
        <f>IFERROR(INDEX(Data!CQ$9:CQ$1273,MATCH($M216,Data!$K$9:$K$1273,0)),"")</f>
        <v/>
      </c>
      <c r="AV216" s="312">
        <f>IFERROR(INDEX(Data!CR$9:CR$1273,MATCH($M216,Data!$K$9:$K$1273,0)),"")</f>
        <v/>
      </c>
      <c r="AW216" s="312">
        <f>IFERROR(INDEX(Data!CS$9:CS$1273,MATCH($M216,Data!$K$9:$K$1273,0)),"")</f>
        <v/>
      </c>
      <c r="AX216" s="312">
        <f>IFERROR(INDEX(Data!CT$9:CT$1273,MATCH($M216,Data!$K$9:$K$1273,0)),"")</f>
        <v/>
      </c>
      <c r="AY216" s="312">
        <f>IFERROR(INDEX(Data!CU$9:CU$1273,MATCH($M216,Data!$K$9:$K$1273,0)),"")</f>
        <v/>
      </c>
      <c r="AZ216" s="312">
        <f>IFERROR(INDEX(Data!CV$9:CV$1273,MATCH($M216,Data!$K$9:$K$1273,0)),"")</f>
        <v/>
      </c>
      <c r="BA216" s="312">
        <f>IFERROR(INDEX(Data!CX$9:CX$1273,MATCH($M216,Data!$K$9:$K$1273,0)),"")</f>
        <v/>
      </c>
      <c r="BB216" s="312">
        <f>IFERROR(INDEX(Data!CY$9:CY$1273,MATCH($M216,Data!$K$9:$K$1273,0)),"")</f>
        <v/>
      </c>
      <c r="BC216" s="312">
        <f>IFERROR(INDEX(Data!CZ$9:CZ$1273,MATCH($M216,Data!$K$9:$K$1273,0)),"")</f>
        <v/>
      </c>
      <c r="BD216" s="312">
        <f>IFERROR(INDEX(Data!DA$9:DA$1273,MATCH($M216,Data!$K$9:$K$1273,0)),"")</f>
        <v/>
      </c>
      <c r="BE216" s="312">
        <f>IFERROR(INDEX(Data!DB$9:DB$1273,MATCH($M216,Data!$K$9:$K$1273,0)),"")</f>
        <v/>
      </c>
      <c r="BF216" s="312">
        <f>IFERROR(INDEX(Data!DC$9:DC$1273,MATCH($M216,Data!$K$9:$K$1273,0)),"")</f>
        <v/>
      </c>
      <c r="BG216" s="312">
        <f>IFERROR(INDEX(Data!DD$9:DD$1273,MATCH($M216,Data!$K$9:$K$1273,0)),"")</f>
        <v/>
      </c>
      <c r="BH216" s="312">
        <f>IFERROR(INDEX(Data!DE$9:DE$1273,MATCH($M216,Data!$K$9:$K$1273,0)),"")</f>
        <v/>
      </c>
      <c r="BI216" s="312">
        <f>IFERROR(INDEX(Data!DF$9:DF$1273,MATCH($M216,Data!$K$9:$K$1273,0)),"")</f>
        <v/>
      </c>
      <c r="BJ216" s="312">
        <f>IFERROR(INDEX(Data!DG$9:DG$1273,MATCH($M216,Data!$K$9:$K$1273,0)),"")</f>
        <v/>
      </c>
      <c r="BK216" s="312">
        <f>IFERROR(INDEX(Data!DH$9:DH$1273,MATCH($M216,Data!$K$9:$K$1273,0)),"")</f>
        <v/>
      </c>
      <c r="BL216" s="312">
        <f>IFERROR(INDEX(Data!DI$9:DI$1273,MATCH($M216,Data!$K$9:$K$1273,0)),"")</f>
        <v/>
      </c>
      <c r="BM216" s="312">
        <f>IFERROR(INDEX(Data!DJ$9:DJ$1273,MATCH($M216,Data!$K$9:$K$1273,0)),"")</f>
        <v/>
      </c>
      <c r="BN216" s="312">
        <f>IFERROR(INDEX(Data!DK$9:DK$1273,MATCH($M216,Data!$K$9:$K$1273,0)),"")</f>
        <v/>
      </c>
      <c r="BO216" s="312">
        <f>IFERROR(INDEX(Data!DL$9:DL$1273,MATCH($M216,Data!$K$9:$K$1273,0)),"")</f>
        <v/>
      </c>
      <c r="BP216" s="331">
        <f>IFERROR(IF(BK216=0,"-",BK216),"")</f>
        <v/>
      </c>
      <c r="BQ216" s="312">
        <f>IFERROR(IF(BP216-K216&gt;0,TRUE,FALSE)," ")</f>
        <v/>
      </c>
      <c r="BR216" s="312">
        <f>_xlfn.CONCAT(E216,F216,H216,G216)</f>
        <v/>
      </c>
      <c r="BS216" s="312">
        <f>IFERROR(INDEX(Data!$DO$9:$DO$1273,MATCH('Your recommendation'!BR216,Data!$DN$9:$DN$1273,0)),"")</f>
        <v/>
      </c>
    </row>
    <row r="217" ht="15.6" customFormat="1" customHeight="1" s="138">
      <c r="B217" s="309">
        <f>IF(C217&gt;0,B216+1,"")</f>
        <v/>
      </c>
      <c r="C217" s="310" t="n"/>
      <c r="D217" s="312">
        <f>IFERROR(INDEX(Data!BR$9:BR$1273,MATCH($M217,Data!$K$9:$K$1273,0)),"")</f>
        <v/>
      </c>
      <c r="E217" s="312">
        <f>IFERROR(INDEX(Data!BS$9:BS$1273,MATCH($M217,Data!$K$9:$K$1273,0)),"")</f>
        <v/>
      </c>
      <c r="F217" s="312">
        <f>IFERROR(INDEX(Data!DM$9:DM$1273,MATCH($M217,Data!$K$9:$K$1273,0)),"")</f>
        <v/>
      </c>
      <c r="G217" s="312">
        <f>IFERROR(INDEX(Data!BV$9:BV$1273,MATCH($M217,Data!$K$9:$K$1273,0)),"")</f>
        <v/>
      </c>
      <c r="H217" s="312">
        <f>IFERROR(INDEX(Data!BW$9:BW$1273,MATCH($M217,Data!$K$9:$K$1273,0)),"")</f>
        <v/>
      </c>
      <c r="I217" s="312">
        <f>IFERROR(INDEX(Data!BX$9:BX$1273,MATCH($M217,Data!$K$9:$K$1273,0)),"")</f>
        <v/>
      </c>
      <c r="J217" s="312">
        <f>IFERROR(INDEX(Data!CB$9:CB$1273,MATCH($M217,Data!$K$9:$K$1273,0)),"")</f>
        <v/>
      </c>
      <c r="K217" s="329">
        <f>IFERROR(HYPERLINK(BM217,BC217),"-")</f>
        <v/>
      </c>
      <c r="L217" s="330">
        <f>IFERROR(IF(BB217=0,"-",BB217)," ")</f>
        <v/>
      </c>
      <c r="M217" s="311" t="n"/>
      <c r="N217" s="311" t="n"/>
      <c r="O217" s="311">
        <f>IFERROR(INDEX(Data!M$9:M$1273,MATCH($M217,Data!$K$9:$K$1273,0)),"")</f>
        <v/>
      </c>
      <c r="P217" s="311">
        <f>IFERROR(INDEX(Data!N$9:N$1273,MATCH($M217,Data!$K$9:$K$1273,0)),"")</f>
        <v/>
      </c>
      <c r="Q217" s="311">
        <f>IFERROR(INDEX(Data!O$9:O$1273,MATCH($M217,Data!$K$9:$K$1273,0)),"")</f>
        <v/>
      </c>
      <c r="R217" s="311">
        <f>IFERROR(INDEX(Data!P$9:P$1273,MATCH($M217,Data!$K$9:$K$1273,0)),"")</f>
        <v/>
      </c>
      <c r="S217" s="311">
        <f>IFERROR(INDEX(Data!S$9:S$1273,MATCH($M217,Data!$K$9:$K$1273,0)),"")</f>
        <v/>
      </c>
      <c r="T217" s="311">
        <f>IFERROR(INDEX(Data!T$9:T$1273,MATCH($M217,Data!$K$9:$K$1273,0)),"")</f>
        <v/>
      </c>
      <c r="U217" s="311">
        <f>IFERROR(INDEX(Data!U$9:U$1273,MATCH($M217,Data!$K$9:$K$1273,0)),"")</f>
        <v/>
      </c>
      <c r="V217" s="311">
        <f>IFERROR(INDEX(Data!V$9:V$1273,MATCH($M217,Data!$K$9:$K$1273,0)),"")</f>
        <v/>
      </c>
      <c r="W217" s="311">
        <f>IFERROR(INDEX(Data!W$9:W$1273,MATCH($M217,Data!$K$9:$K$1273,0)),"")</f>
        <v/>
      </c>
      <c r="X217" s="311">
        <f>IFERROR(INDEX(Data!AJ$9:AJ$1273,MATCH($M217,Data!$K$9:$K$1273,0)),"")</f>
        <v/>
      </c>
      <c r="Y217" s="311">
        <f>IFERROR(INDEX(Data!AK$9:AK$1273,MATCH($M217,Data!$K$9:$K$1273,0)),"")</f>
        <v/>
      </c>
      <c r="Z217" s="311">
        <f>IFERROR(INDEX(Data!AL$9:AL$1273,MATCH($M217,Data!$K$9:$K$1273,0)),"")</f>
        <v/>
      </c>
      <c r="AA217" s="311">
        <f>IFERROR(INDEX(Data!AM$9:AM$1273,MATCH($M217,Data!$K$9:$K$1273,0)),"")</f>
        <v/>
      </c>
      <c r="AB217" s="311">
        <f>IFERROR(INDEX(Data!AN$9:AN$1273,MATCH($M217,Data!$K$9:$K$1273,0)),"")</f>
        <v/>
      </c>
      <c r="AC217" s="312">
        <f>IFERROR(INDEX(Data!BY$9:BY$1273,MATCH($M217,Data!$K$9:$K$1273,0)),"")</f>
        <v/>
      </c>
      <c r="AD217" s="312">
        <f>IFERROR(INDEX(Data!BZ$9:BZ$1273,MATCH($M217,Data!$K$9:$K$1273,0)),"")</f>
        <v/>
      </c>
      <c r="AE217" s="312">
        <f>IFERROR(INDEX(Data!CA$9:CA$1273,MATCH($M217,Data!$K$9:$K$1273,0)),"")</f>
        <v/>
      </c>
      <c r="AF217" s="312">
        <f>IFERROR(INDEX(Data!CB$9:CB$1273,MATCH($M217,Data!$K$9:$K$1273,0)),"")</f>
        <v/>
      </c>
      <c r="AG217" s="312">
        <f>IFERROR(INDEX(Data!CC$9:CC$1273,MATCH($M217,Data!$K$9:$K$1273,0)),"")</f>
        <v/>
      </c>
      <c r="AH217" s="312">
        <f>IFERROR(INDEX(Data!CD$9:CD$1273,MATCH($M217,Data!$K$9:$K$1273,0)),"")</f>
        <v/>
      </c>
      <c r="AI217" s="312">
        <f>IFERROR(INDEX(Data!CE$9:CE$1273,MATCH($M217,Data!$K$9:$K$1273,0)),"")</f>
        <v/>
      </c>
      <c r="AJ217" s="312">
        <f>IFERROR(INDEX(Data!CF$9:CF$1273,MATCH($M217,Data!$K$9:$K$1273,0)),"")</f>
        <v/>
      </c>
      <c r="AK217" s="312">
        <f>IFERROR(INDEX(Data!CG$9:CG$1273,MATCH($M217,Data!$K$9:$K$1273,0)),"")</f>
        <v/>
      </c>
      <c r="AL217" s="312">
        <f>IFERROR(INDEX(Data!CH$9:CH$1273,MATCH($M217,Data!$K$9:$K$1273,0)),"")</f>
        <v/>
      </c>
      <c r="AM217" s="312">
        <f>IFERROR(INDEX(Data!CI$9:CI$1273,MATCH($M217,Data!$K$9:$K$1273,0)),"")</f>
        <v/>
      </c>
      <c r="AN217" s="312">
        <f>IFERROR(INDEX(Data!CJ$9:CJ$1273,MATCH($M217,Data!$K$9:$K$1273,0)),"")</f>
        <v/>
      </c>
      <c r="AO217" s="312">
        <f>IFERROR(INDEX(Data!CK$9:CK$1273,MATCH($M217,Data!$K$9:$K$1273,0)),"")</f>
        <v/>
      </c>
      <c r="AP217" s="312">
        <f>IFERROR(INDEX(Data!CL$9:CL$1273,MATCH($M217,Data!$K$9:$K$1273,0)),"")</f>
        <v/>
      </c>
      <c r="AQ217" s="312">
        <f>IFERROR(INDEX(Data!CM$9:CM$1273,MATCH($M217,Data!$K$9:$K$1273,0)),"")</f>
        <v/>
      </c>
      <c r="AR217" s="312">
        <f>IFERROR(INDEX(Data!CN$9:CN$1273,MATCH($M217,Data!$K$9:$K$1273,0)),"")</f>
        <v/>
      </c>
      <c r="AS217" s="312">
        <f>IFERROR(INDEX(Data!CO$9:CO$1273,MATCH($M217,Data!$K$9:$K$1273,0)),"")</f>
        <v/>
      </c>
      <c r="AT217" s="312">
        <f>IFERROR(INDEX(Data!CP$9:CP$1273,MATCH($M217,Data!$K$9:$K$1273,0)),"")</f>
        <v/>
      </c>
      <c r="AU217" s="312">
        <f>IFERROR(INDEX(Data!CQ$9:CQ$1273,MATCH($M217,Data!$K$9:$K$1273,0)),"")</f>
        <v/>
      </c>
      <c r="AV217" s="312">
        <f>IFERROR(INDEX(Data!CR$9:CR$1273,MATCH($M217,Data!$K$9:$K$1273,0)),"")</f>
        <v/>
      </c>
      <c r="AW217" s="312">
        <f>IFERROR(INDEX(Data!CS$9:CS$1273,MATCH($M217,Data!$K$9:$K$1273,0)),"")</f>
        <v/>
      </c>
      <c r="AX217" s="312">
        <f>IFERROR(INDEX(Data!CT$9:CT$1273,MATCH($M217,Data!$K$9:$K$1273,0)),"")</f>
        <v/>
      </c>
      <c r="AY217" s="312">
        <f>IFERROR(INDEX(Data!CU$9:CU$1273,MATCH($M217,Data!$K$9:$K$1273,0)),"")</f>
        <v/>
      </c>
      <c r="AZ217" s="312">
        <f>IFERROR(INDEX(Data!CV$9:CV$1273,MATCH($M217,Data!$K$9:$K$1273,0)),"")</f>
        <v/>
      </c>
      <c r="BA217" s="312">
        <f>IFERROR(INDEX(Data!CX$9:CX$1273,MATCH($M217,Data!$K$9:$K$1273,0)),"")</f>
        <v/>
      </c>
      <c r="BB217" s="312">
        <f>IFERROR(INDEX(Data!CY$9:CY$1273,MATCH($M217,Data!$K$9:$K$1273,0)),"")</f>
        <v/>
      </c>
      <c r="BC217" s="312">
        <f>IFERROR(INDEX(Data!CZ$9:CZ$1273,MATCH($M217,Data!$K$9:$K$1273,0)),"")</f>
        <v/>
      </c>
      <c r="BD217" s="312">
        <f>IFERROR(INDEX(Data!DA$9:DA$1273,MATCH($M217,Data!$K$9:$K$1273,0)),"")</f>
        <v/>
      </c>
      <c r="BE217" s="312">
        <f>IFERROR(INDEX(Data!DB$9:DB$1273,MATCH($M217,Data!$K$9:$K$1273,0)),"")</f>
        <v/>
      </c>
      <c r="BF217" s="312">
        <f>IFERROR(INDEX(Data!DC$9:DC$1273,MATCH($M217,Data!$K$9:$K$1273,0)),"")</f>
        <v/>
      </c>
      <c r="BG217" s="312">
        <f>IFERROR(INDEX(Data!DD$9:DD$1273,MATCH($M217,Data!$K$9:$K$1273,0)),"")</f>
        <v/>
      </c>
      <c r="BH217" s="312">
        <f>IFERROR(INDEX(Data!DE$9:DE$1273,MATCH($M217,Data!$K$9:$K$1273,0)),"")</f>
        <v/>
      </c>
      <c r="BI217" s="312">
        <f>IFERROR(INDEX(Data!DF$9:DF$1273,MATCH($M217,Data!$K$9:$K$1273,0)),"")</f>
        <v/>
      </c>
      <c r="BJ217" s="312">
        <f>IFERROR(INDEX(Data!DG$9:DG$1273,MATCH($M217,Data!$K$9:$K$1273,0)),"")</f>
        <v/>
      </c>
      <c r="BK217" s="312">
        <f>IFERROR(INDEX(Data!DH$9:DH$1273,MATCH($M217,Data!$K$9:$K$1273,0)),"")</f>
        <v/>
      </c>
      <c r="BL217" s="312">
        <f>IFERROR(INDEX(Data!DI$9:DI$1273,MATCH($M217,Data!$K$9:$K$1273,0)),"")</f>
        <v/>
      </c>
      <c r="BM217" s="312">
        <f>IFERROR(INDEX(Data!DJ$9:DJ$1273,MATCH($M217,Data!$K$9:$K$1273,0)),"")</f>
        <v/>
      </c>
      <c r="BN217" s="312">
        <f>IFERROR(INDEX(Data!DK$9:DK$1273,MATCH($M217,Data!$K$9:$K$1273,0)),"")</f>
        <v/>
      </c>
      <c r="BO217" s="312">
        <f>IFERROR(INDEX(Data!DL$9:DL$1273,MATCH($M217,Data!$K$9:$K$1273,0)),"")</f>
        <v/>
      </c>
      <c r="BP217" s="331">
        <f>IFERROR(IF(BK217=0,"-",BK217),"")</f>
        <v/>
      </c>
      <c r="BQ217" s="312">
        <f>IFERROR(IF(BP217-K217&gt;0,TRUE,FALSE)," ")</f>
        <v/>
      </c>
      <c r="BR217" s="312">
        <f>_xlfn.CONCAT(E217,F217,H217,G217)</f>
        <v/>
      </c>
      <c r="BS217" s="312">
        <f>IFERROR(INDEX(Data!$DO$9:$DO$1273,MATCH('Your recommendation'!BR217,Data!$DN$9:$DN$1273,0)),"")</f>
        <v/>
      </c>
    </row>
    <row r="218" ht="15.6" customFormat="1" customHeight="1" s="138">
      <c r="B218" s="309">
        <f>IF(C218&gt;0,B217+1,"")</f>
        <v/>
      </c>
      <c r="C218" s="310" t="n"/>
      <c r="D218" s="312">
        <f>IFERROR(INDEX(Data!BR$9:BR$1273,MATCH($M218,Data!$K$9:$K$1273,0)),"")</f>
        <v/>
      </c>
      <c r="E218" s="312">
        <f>IFERROR(INDEX(Data!BS$9:BS$1273,MATCH($M218,Data!$K$9:$K$1273,0)),"")</f>
        <v/>
      </c>
      <c r="F218" s="312">
        <f>IFERROR(INDEX(Data!DM$9:DM$1273,MATCH($M218,Data!$K$9:$K$1273,0)),"")</f>
        <v/>
      </c>
      <c r="G218" s="312">
        <f>IFERROR(INDEX(Data!BV$9:BV$1273,MATCH($M218,Data!$K$9:$K$1273,0)),"")</f>
        <v/>
      </c>
      <c r="H218" s="312">
        <f>IFERROR(INDEX(Data!BW$9:BW$1273,MATCH($M218,Data!$K$9:$K$1273,0)),"")</f>
        <v/>
      </c>
      <c r="I218" s="312">
        <f>IFERROR(INDEX(Data!BX$9:BX$1273,MATCH($M218,Data!$K$9:$K$1273,0)),"")</f>
        <v/>
      </c>
      <c r="J218" s="312">
        <f>IFERROR(INDEX(Data!CB$9:CB$1273,MATCH($M218,Data!$K$9:$K$1273,0)),"")</f>
        <v/>
      </c>
      <c r="K218" s="329">
        <f>IFERROR(HYPERLINK(BM218,BC218),"-")</f>
        <v/>
      </c>
      <c r="L218" s="330">
        <f>IFERROR(IF(BB218=0,"-",BB218)," ")</f>
        <v/>
      </c>
      <c r="M218" s="311" t="n"/>
      <c r="N218" s="311" t="n"/>
      <c r="O218" s="311">
        <f>IFERROR(INDEX(Data!M$9:M$1273,MATCH($M218,Data!$K$9:$K$1273,0)),"")</f>
        <v/>
      </c>
      <c r="P218" s="311">
        <f>IFERROR(INDEX(Data!N$9:N$1273,MATCH($M218,Data!$K$9:$K$1273,0)),"")</f>
        <v/>
      </c>
      <c r="Q218" s="311">
        <f>IFERROR(INDEX(Data!O$9:O$1273,MATCH($M218,Data!$K$9:$K$1273,0)),"")</f>
        <v/>
      </c>
      <c r="R218" s="311">
        <f>IFERROR(INDEX(Data!P$9:P$1273,MATCH($M218,Data!$K$9:$K$1273,0)),"")</f>
        <v/>
      </c>
      <c r="S218" s="311">
        <f>IFERROR(INDEX(Data!S$9:S$1273,MATCH($M218,Data!$K$9:$K$1273,0)),"")</f>
        <v/>
      </c>
      <c r="T218" s="311">
        <f>IFERROR(INDEX(Data!T$9:T$1273,MATCH($M218,Data!$K$9:$K$1273,0)),"")</f>
        <v/>
      </c>
      <c r="U218" s="311">
        <f>IFERROR(INDEX(Data!U$9:U$1273,MATCH($M218,Data!$K$9:$K$1273,0)),"")</f>
        <v/>
      </c>
      <c r="V218" s="311">
        <f>IFERROR(INDEX(Data!V$9:V$1273,MATCH($M218,Data!$K$9:$K$1273,0)),"")</f>
        <v/>
      </c>
      <c r="W218" s="311">
        <f>IFERROR(INDEX(Data!W$9:W$1273,MATCH($M218,Data!$K$9:$K$1273,0)),"")</f>
        <v/>
      </c>
      <c r="X218" s="311">
        <f>IFERROR(INDEX(Data!AJ$9:AJ$1273,MATCH($M218,Data!$K$9:$K$1273,0)),"")</f>
        <v/>
      </c>
      <c r="Y218" s="311">
        <f>IFERROR(INDEX(Data!AK$9:AK$1273,MATCH($M218,Data!$K$9:$K$1273,0)),"")</f>
        <v/>
      </c>
      <c r="Z218" s="311">
        <f>IFERROR(INDEX(Data!AL$9:AL$1273,MATCH($M218,Data!$K$9:$K$1273,0)),"")</f>
        <v/>
      </c>
      <c r="AA218" s="311">
        <f>IFERROR(INDEX(Data!AM$9:AM$1273,MATCH($M218,Data!$K$9:$K$1273,0)),"")</f>
        <v/>
      </c>
      <c r="AB218" s="311">
        <f>IFERROR(INDEX(Data!AN$9:AN$1273,MATCH($M218,Data!$K$9:$K$1273,0)),"")</f>
        <v/>
      </c>
      <c r="AC218" s="312">
        <f>IFERROR(INDEX(Data!BY$9:BY$1273,MATCH($M218,Data!$K$9:$K$1273,0)),"")</f>
        <v/>
      </c>
      <c r="AD218" s="312">
        <f>IFERROR(INDEX(Data!BZ$9:BZ$1273,MATCH($M218,Data!$K$9:$K$1273,0)),"")</f>
        <v/>
      </c>
      <c r="AE218" s="312">
        <f>IFERROR(INDEX(Data!CA$9:CA$1273,MATCH($M218,Data!$K$9:$K$1273,0)),"")</f>
        <v/>
      </c>
      <c r="AF218" s="312">
        <f>IFERROR(INDEX(Data!CB$9:CB$1273,MATCH($M218,Data!$K$9:$K$1273,0)),"")</f>
        <v/>
      </c>
      <c r="AG218" s="312">
        <f>IFERROR(INDEX(Data!CC$9:CC$1273,MATCH($M218,Data!$K$9:$K$1273,0)),"")</f>
        <v/>
      </c>
      <c r="AH218" s="312">
        <f>IFERROR(INDEX(Data!CD$9:CD$1273,MATCH($M218,Data!$K$9:$K$1273,0)),"")</f>
        <v/>
      </c>
      <c r="AI218" s="312">
        <f>IFERROR(INDEX(Data!CE$9:CE$1273,MATCH($M218,Data!$K$9:$K$1273,0)),"")</f>
        <v/>
      </c>
      <c r="AJ218" s="312">
        <f>IFERROR(INDEX(Data!CF$9:CF$1273,MATCH($M218,Data!$K$9:$K$1273,0)),"")</f>
        <v/>
      </c>
      <c r="AK218" s="312">
        <f>IFERROR(INDEX(Data!CG$9:CG$1273,MATCH($M218,Data!$K$9:$K$1273,0)),"")</f>
        <v/>
      </c>
      <c r="AL218" s="312">
        <f>IFERROR(INDEX(Data!CH$9:CH$1273,MATCH($M218,Data!$K$9:$K$1273,0)),"")</f>
        <v/>
      </c>
      <c r="AM218" s="312">
        <f>IFERROR(INDEX(Data!CI$9:CI$1273,MATCH($M218,Data!$K$9:$K$1273,0)),"")</f>
        <v/>
      </c>
      <c r="AN218" s="312">
        <f>IFERROR(INDEX(Data!CJ$9:CJ$1273,MATCH($M218,Data!$K$9:$K$1273,0)),"")</f>
        <v/>
      </c>
      <c r="AO218" s="312">
        <f>IFERROR(INDEX(Data!CK$9:CK$1273,MATCH($M218,Data!$K$9:$K$1273,0)),"")</f>
        <v/>
      </c>
      <c r="AP218" s="312">
        <f>IFERROR(INDEX(Data!CL$9:CL$1273,MATCH($M218,Data!$K$9:$K$1273,0)),"")</f>
        <v/>
      </c>
      <c r="AQ218" s="312">
        <f>IFERROR(INDEX(Data!CM$9:CM$1273,MATCH($M218,Data!$K$9:$K$1273,0)),"")</f>
        <v/>
      </c>
      <c r="AR218" s="312">
        <f>IFERROR(INDEX(Data!CN$9:CN$1273,MATCH($M218,Data!$K$9:$K$1273,0)),"")</f>
        <v/>
      </c>
      <c r="AS218" s="312">
        <f>IFERROR(INDEX(Data!CO$9:CO$1273,MATCH($M218,Data!$K$9:$K$1273,0)),"")</f>
        <v/>
      </c>
      <c r="AT218" s="312">
        <f>IFERROR(INDEX(Data!CP$9:CP$1273,MATCH($M218,Data!$K$9:$K$1273,0)),"")</f>
        <v/>
      </c>
      <c r="AU218" s="312">
        <f>IFERROR(INDEX(Data!CQ$9:CQ$1273,MATCH($M218,Data!$K$9:$K$1273,0)),"")</f>
        <v/>
      </c>
      <c r="AV218" s="312">
        <f>IFERROR(INDEX(Data!CR$9:CR$1273,MATCH($M218,Data!$K$9:$K$1273,0)),"")</f>
        <v/>
      </c>
      <c r="AW218" s="312">
        <f>IFERROR(INDEX(Data!CS$9:CS$1273,MATCH($M218,Data!$K$9:$K$1273,0)),"")</f>
        <v/>
      </c>
      <c r="AX218" s="312">
        <f>IFERROR(INDEX(Data!CT$9:CT$1273,MATCH($M218,Data!$K$9:$K$1273,0)),"")</f>
        <v/>
      </c>
      <c r="AY218" s="312">
        <f>IFERROR(INDEX(Data!CU$9:CU$1273,MATCH($M218,Data!$K$9:$K$1273,0)),"")</f>
        <v/>
      </c>
      <c r="AZ218" s="312">
        <f>IFERROR(INDEX(Data!CV$9:CV$1273,MATCH($M218,Data!$K$9:$K$1273,0)),"")</f>
        <v/>
      </c>
      <c r="BA218" s="312">
        <f>IFERROR(INDEX(Data!CX$9:CX$1273,MATCH($M218,Data!$K$9:$K$1273,0)),"")</f>
        <v/>
      </c>
      <c r="BB218" s="312">
        <f>IFERROR(INDEX(Data!CY$9:CY$1273,MATCH($M218,Data!$K$9:$K$1273,0)),"")</f>
        <v/>
      </c>
      <c r="BC218" s="312">
        <f>IFERROR(INDEX(Data!CZ$9:CZ$1273,MATCH($M218,Data!$K$9:$K$1273,0)),"")</f>
        <v/>
      </c>
      <c r="BD218" s="312">
        <f>IFERROR(INDEX(Data!DA$9:DA$1273,MATCH($M218,Data!$K$9:$K$1273,0)),"")</f>
        <v/>
      </c>
      <c r="BE218" s="312">
        <f>IFERROR(INDEX(Data!DB$9:DB$1273,MATCH($M218,Data!$K$9:$K$1273,0)),"")</f>
        <v/>
      </c>
      <c r="BF218" s="312">
        <f>IFERROR(INDEX(Data!DC$9:DC$1273,MATCH($M218,Data!$K$9:$K$1273,0)),"")</f>
        <v/>
      </c>
      <c r="BG218" s="312">
        <f>IFERROR(INDEX(Data!DD$9:DD$1273,MATCH($M218,Data!$K$9:$K$1273,0)),"")</f>
        <v/>
      </c>
      <c r="BH218" s="312">
        <f>IFERROR(INDEX(Data!DE$9:DE$1273,MATCH($M218,Data!$K$9:$K$1273,0)),"")</f>
        <v/>
      </c>
      <c r="BI218" s="312">
        <f>IFERROR(INDEX(Data!DF$9:DF$1273,MATCH($M218,Data!$K$9:$K$1273,0)),"")</f>
        <v/>
      </c>
      <c r="BJ218" s="312">
        <f>IFERROR(INDEX(Data!DG$9:DG$1273,MATCH($M218,Data!$K$9:$K$1273,0)),"")</f>
        <v/>
      </c>
      <c r="BK218" s="312">
        <f>IFERROR(INDEX(Data!DH$9:DH$1273,MATCH($M218,Data!$K$9:$K$1273,0)),"")</f>
        <v/>
      </c>
      <c r="BL218" s="312">
        <f>IFERROR(INDEX(Data!DI$9:DI$1273,MATCH($M218,Data!$K$9:$K$1273,0)),"")</f>
        <v/>
      </c>
      <c r="BM218" s="312">
        <f>IFERROR(INDEX(Data!DJ$9:DJ$1273,MATCH($M218,Data!$K$9:$K$1273,0)),"")</f>
        <v/>
      </c>
      <c r="BN218" s="312">
        <f>IFERROR(INDEX(Data!DK$9:DK$1273,MATCH($M218,Data!$K$9:$K$1273,0)),"")</f>
        <v/>
      </c>
      <c r="BO218" s="312">
        <f>IFERROR(INDEX(Data!DL$9:DL$1273,MATCH($M218,Data!$K$9:$K$1273,0)),"")</f>
        <v/>
      </c>
      <c r="BP218" s="331">
        <f>IFERROR(IF(BK218=0,"-",BK218),"")</f>
        <v/>
      </c>
      <c r="BQ218" s="312">
        <f>IFERROR(IF(BP218-K218&gt;0,TRUE,FALSE)," ")</f>
        <v/>
      </c>
      <c r="BR218" s="312">
        <f>_xlfn.CONCAT(E218,F218,H218,G218)</f>
        <v/>
      </c>
      <c r="BS218" s="312">
        <f>IFERROR(INDEX(Data!$DO$9:$DO$1273,MATCH('Your recommendation'!BR218,Data!$DN$9:$DN$1273,0)),"")</f>
        <v/>
      </c>
    </row>
    <row r="219" ht="15.6" customFormat="1" customHeight="1" s="138">
      <c r="B219" s="309">
        <f>IF(C219&gt;0,B218+1,"")</f>
        <v/>
      </c>
      <c r="C219" s="310" t="n"/>
      <c r="D219" s="312">
        <f>IFERROR(INDEX(Data!BR$9:BR$1273,MATCH($M219,Data!$K$9:$K$1273,0)),"")</f>
        <v/>
      </c>
      <c r="E219" s="312">
        <f>IFERROR(INDEX(Data!BS$9:BS$1273,MATCH($M219,Data!$K$9:$K$1273,0)),"")</f>
        <v/>
      </c>
      <c r="F219" s="312">
        <f>IFERROR(INDEX(Data!DM$9:DM$1273,MATCH($M219,Data!$K$9:$K$1273,0)),"")</f>
        <v/>
      </c>
      <c r="G219" s="312">
        <f>IFERROR(INDEX(Data!BV$9:BV$1273,MATCH($M219,Data!$K$9:$K$1273,0)),"")</f>
        <v/>
      </c>
      <c r="H219" s="312">
        <f>IFERROR(INDEX(Data!BW$9:BW$1273,MATCH($M219,Data!$K$9:$K$1273,0)),"")</f>
        <v/>
      </c>
      <c r="I219" s="312">
        <f>IFERROR(INDEX(Data!BX$9:BX$1273,MATCH($M219,Data!$K$9:$K$1273,0)),"")</f>
        <v/>
      </c>
      <c r="J219" s="312">
        <f>IFERROR(INDEX(Data!CB$9:CB$1273,MATCH($M219,Data!$K$9:$K$1273,0)),"")</f>
        <v/>
      </c>
      <c r="K219" s="329">
        <f>IFERROR(HYPERLINK(BM219,BC219),"-")</f>
        <v/>
      </c>
      <c r="L219" s="330">
        <f>IFERROR(IF(BB219=0,"-",BB219)," ")</f>
        <v/>
      </c>
      <c r="M219" s="311" t="n"/>
      <c r="N219" s="311" t="n"/>
      <c r="O219" s="311">
        <f>IFERROR(INDEX(Data!M$9:M$1273,MATCH($M219,Data!$K$9:$K$1273,0)),"")</f>
        <v/>
      </c>
      <c r="P219" s="311">
        <f>IFERROR(INDEX(Data!N$9:N$1273,MATCH($M219,Data!$K$9:$K$1273,0)),"")</f>
        <v/>
      </c>
      <c r="Q219" s="311">
        <f>IFERROR(INDEX(Data!O$9:O$1273,MATCH($M219,Data!$K$9:$K$1273,0)),"")</f>
        <v/>
      </c>
      <c r="R219" s="311">
        <f>IFERROR(INDEX(Data!P$9:P$1273,MATCH($M219,Data!$K$9:$K$1273,0)),"")</f>
        <v/>
      </c>
      <c r="S219" s="311">
        <f>IFERROR(INDEX(Data!S$9:S$1273,MATCH($M219,Data!$K$9:$K$1273,0)),"")</f>
        <v/>
      </c>
      <c r="T219" s="311">
        <f>IFERROR(INDEX(Data!T$9:T$1273,MATCH($M219,Data!$K$9:$K$1273,0)),"")</f>
        <v/>
      </c>
      <c r="U219" s="311">
        <f>IFERROR(INDEX(Data!U$9:U$1273,MATCH($M219,Data!$K$9:$K$1273,0)),"")</f>
        <v/>
      </c>
      <c r="V219" s="311">
        <f>IFERROR(INDEX(Data!V$9:V$1273,MATCH($M219,Data!$K$9:$K$1273,0)),"")</f>
        <v/>
      </c>
      <c r="W219" s="311">
        <f>IFERROR(INDEX(Data!W$9:W$1273,MATCH($M219,Data!$K$9:$K$1273,0)),"")</f>
        <v/>
      </c>
      <c r="X219" s="311">
        <f>IFERROR(INDEX(Data!AJ$9:AJ$1273,MATCH($M219,Data!$K$9:$K$1273,0)),"")</f>
        <v/>
      </c>
      <c r="Y219" s="311">
        <f>IFERROR(INDEX(Data!AK$9:AK$1273,MATCH($M219,Data!$K$9:$K$1273,0)),"")</f>
        <v/>
      </c>
      <c r="Z219" s="311">
        <f>IFERROR(INDEX(Data!AL$9:AL$1273,MATCH($M219,Data!$K$9:$K$1273,0)),"")</f>
        <v/>
      </c>
      <c r="AA219" s="311">
        <f>IFERROR(INDEX(Data!AM$9:AM$1273,MATCH($M219,Data!$K$9:$K$1273,0)),"")</f>
        <v/>
      </c>
      <c r="AB219" s="311">
        <f>IFERROR(INDEX(Data!AN$9:AN$1273,MATCH($M219,Data!$K$9:$K$1273,0)),"")</f>
        <v/>
      </c>
      <c r="AC219" s="312">
        <f>IFERROR(INDEX(Data!BY$9:BY$1273,MATCH($M219,Data!$K$9:$K$1273,0)),"")</f>
        <v/>
      </c>
      <c r="AD219" s="312">
        <f>IFERROR(INDEX(Data!BZ$9:BZ$1273,MATCH($M219,Data!$K$9:$K$1273,0)),"")</f>
        <v/>
      </c>
      <c r="AE219" s="312">
        <f>IFERROR(INDEX(Data!CA$9:CA$1273,MATCH($M219,Data!$K$9:$K$1273,0)),"")</f>
        <v/>
      </c>
      <c r="AF219" s="312">
        <f>IFERROR(INDEX(Data!CB$9:CB$1273,MATCH($M219,Data!$K$9:$K$1273,0)),"")</f>
        <v/>
      </c>
      <c r="AG219" s="312">
        <f>IFERROR(INDEX(Data!CC$9:CC$1273,MATCH($M219,Data!$K$9:$K$1273,0)),"")</f>
        <v/>
      </c>
      <c r="AH219" s="312">
        <f>IFERROR(INDEX(Data!CD$9:CD$1273,MATCH($M219,Data!$K$9:$K$1273,0)),"")</f>
        <v/>
      </c>
      <c r="AI219" s="312">
        <f>IFERROR(INDEX(Data!CE$9:CE$1273,MATCH($M219,Data!$K$9:$K$1273,0)),"")</f>
        <v/>
      </c>
      <c r="AJ219" s="312">
        <f>IFERROR(INDEX(Data!CF$9:CF$1273,MATCH($M219,Data!$K$9:$K$1273,0)),"")</f>
        <v/>
      </c>
      <c r="AK219" s="312">
        <f>IFERROR(INDEX(Data!CG$9:CG$1273,MATCH($M219,Data!$K$9:$K$1273,0)),"")</f>
        <v/>
      </c>
      <c r="AL219" s="312">
        <f>IFERROR(INDEX(Data!CH$9:CH$1273,MATCH($M219,Data!$K$9:$K$1273,0)),"")</f>
        <v/>
      </c>
      <c r="AM219" s="312">
        <f>IFERROR(INDEX(Data!CI$9:CI$1273,MATCH($M219,Data!$K$9:$K$1273,0)),"")</f>
        <v/>
      </c>
      <c r="AN219" s="312">
        <f>IFERROR(INDEX(Data!CJ$9:CJ$1273,MATCH($M219,Data!$K$9:$K$1273,0)),"")</f>
        <v/>
      </c>
      <c r="AO219" s="312">
        <f>IFERROR(INDEX(Data!CK$9:CK$1273,MATCH($M219,Data!$K$9:$K$1273,0)),"")</f>
        <v/>
      </c>
      <c r="AP219" s="312">
        <f>IFERROR(INDEX(Data!CL$9:CL$1273,MATCH($M219,Data!$K$9:$K$1273,0)),"")</f>
        <v/>
      </c>
      <c r="AQ219" s="312">
        <f>IFERROR(INDEX(Data!CM$9:CM$1273,MATCH($M219,Data!$K$9:$K$1273,0)),"")</f>
        <v/>
      </c>
      <c r="AR219" s="312">
        <f>IFERROR(INDEX(Data!CN$9:CN$1273,MATCH($M219,Data!$K$9:$K$1273,0)),"")</f>
        <v/>
      </c>
      <c r="AS219" s="312">
        <f>IFERROR(INDEX(Data!CO$9:CO$1273,MATCH($M219,Data!$K$9:$K$1273,0)),"")</f>
        <v/>
      </c>
      <c r="AT219" s="312">
        <f>IFERROR(INDEX(Data!CP$9:CP$1273,MATCH($M219,Data!$K$9:$K$1273,0)),"")</f>
        <v/>
      </c>
      <c r="AU219" s="312">
        <f>IFERROR(INDEX(Data!CQ$9:CQ$1273,MATCH($M219,Data!$K$9:$K$1273,0)),"")</f>
        <v/>
      </c>
      <c r="AV219" s="312">
        <f>IFERROR(INDEX(Data!CR$9:CR$1273,MATCH($M219,Data!$K$9:$K$1273,0)),"")</f>
        <v/>
      </c>
      <c r="AW219" s="312">
        <f>IFERROR(INDEX(Data!CS$9:CS$1273,MATCH($M219,Data!$K$9:$K$1273,0)),"")</f>
        <v/>
      </c>
      <c r="AX219" s="312">
        <f>IFERROR(INDEX(Data!CT$9:CT$1273,MATCH($M219,Data!$K$9:$K$1273,0)),"")</f>
        <v/>
      </c>
      <c r="AY219" s="312">
        <f>IFERROR(INDEX(Data!CU$9:CU$1273,MATCH($M219,Data!$K$9:$K$1273,0)),"")</f>
        <v/>
      </c>
      <c r="AZ219" s="312">
        <f>IFERROR(INDEX(Data!CV$9:CV$1273,MATCH($M219,Data!$K$9:$K$1273,0)),"")</f>
        <v/>
      </c>
      <c r="BA219" s="312">
        <f>IFERROR(INDEX(Data!CX$9:CX$1273,MATCH($M219,Data!$K$9:$K$1273,0)),"")</f>
        <v/>
      </c>
      <c r="BB219" s="312">
        <f>IFERROR(INDEX(Data!CY$9:CY$1273,MATCH($M219,Data!$K$9:$K$1273,0)),"")</f>
        <v/>
      </c>
      <c r="BC219" s="312">
        <f>IFERROR(INDEX(Data!CZ$9:CZ$1273,MATCH($M219,Data!$K$9:$K$1273,0)),"")</f>
        <v/>
      </c>
      <c r="BD219" s="312">
        <f>IFERROR(INDEX(Data!DA$9:DA$1273,MATCH($M219,Data!$K$9:$K$1273,0)),"")</f>
        <v/>
      </c>
      <c r="BE219" s="312">
        <f>IFERROR(INDEX(Data!DB$9:DB$1273,MATCH($M219,Data!$K$9:$K$1273,0)),"")</f>
        <v/>
      </c>
      <c r="BF219" s="312">
        <f>IFERROR(INDEX(Data!DC$9:DC$1273,MATCH($M219,Data!$K$9:$K$1273,0)),"")</f>
        <v/>
      </c>
      <c r="BG219" s="312">
        <f>IFERROR(INDEX(Data!DD$9:DD$1273,MATCH($M219,Data!$K$9:$K$1273,0)),"")</f>
        <v/>
      </c>
      <c r="BH219" s="312">
        <f>IFERROR(INDEX(Data!DE$9:DE$1273,MATCH($M219,Data!$K$9:$K$1273,0)),"")</f>
        <v/>
      </c>
      <c r="BI219" s="312">
        <f>IFERROR(INDEX(Data!DF$9:DF$1273,MATCH($M219,Data!$K$9:$K$1273,0)),"")</f>
        <v/>
      </c>
      <c r="BJ219" s="312">
        <f>IFERROR(INDEX(Data!DG$9:DG$1273,MATCH($M219,Data!$K$9:$K$1273,0)),"")</f>
        <v/>
      </c>
      <c r="BK219" s="312">
        <f>IFERROR(INDEX(Data!DH$9:DH$1273,MATCH($M219,Data!$K$9:$K$1273,0)),"")</f>
        <v/>
      </c>
      <c r="BL219" s="312">
        <f>IFERROR(INDEX(Data!DI$9:DI$1273,MATCH($M219,Data!$K$9:$K$1273,0)),"")</f>
        <v/>
      </c>
      <c r="BM219" s="312">
        <f>IFERROR(INDEX(Data!DJ$9:DJ$1273,MATCH($M219,Data!$K$9:$K$1273,0)),"")</f>
        <v/>
      </c>
      <c r="BN219" s="312">
        <f>IFERROR(INDEX(Data!DK$9:DK$1273,MATCH($M219,Data!$K$9:$K$1273,0)),"")</f>
        <v/>
      </c>
      <c r="BO219" s="312">
        <f>IFERROR(INDEX(Data!DL$9:DL$1273,MATCH($M219,Data!$K$9:$K$1273,0)),"")</f>
        <v/>
      </c>
      <c r="BP219" s="331">
        <f>IFERROR(IF(BK219=0,"-",BK219),"")</f>
        <v/>
      </c>
      <c r="BQ219" s="312">
        <f>IFERROR(IF(BP219-K219&gt;0,TRUE,FALSE)," ")</f>
        <v/>
      </c>
      <c r="BR219" s="312">
        <f>_xlfn.CONCAT(E219,F219,H219,G219)</f>
        <v/>
      </c>
      <c r="BS219" s="312">
        <f>IFERROR(INDEX(Data!$DO$9:$DO$1273,MATCH('Your recommendation'!BR219,Data!$DN$9:$DN$1273,0)),"")</f>
        <v/>
      </c>
    </row>
    <row r="220" ht="15.6" customFormat="1" customHeight="1" s="138">
      <c r="B220" s="309">
        <f>IF(C220&gt;0,B219+1,"")</f>
        <v/>
      </c>
      <c r="C220" s="310" t="n"/>
      <c r="D220" s="312">
        <f>IFERROR(INDEX(Data!BR$9:BR$1273,MATCH($M220,Data!$K$9:$K$1273,0)),"")</f>
        <v/>
      </c>
      <c r="E220" s="312">
        <f>IFERROR(INDEX(Data!BS$9:BS$1273,MATCH($M220,Data!$K$9:$K$1273,0)),"")</f>
        <v/>
      </c>
      <c r="F220" s="312">
        <f>IFERROR(INDEX(Data!DM$9:DM$1273,MATCH($M220,Data!$K$9:$K$1273,0)),"")</f>
        <v/>
      </c>
      <c r="G220" s="312">
        <f>IFERROR(INDEX(Data!BV$9:BV$1273,MATCH($M220,Data!$K$9:$K$1273,0)),"")</f>
        <v/>
      </c>
      <c r="H220" s="312">
        <f>IFERROR(INDEX(Data!BW$9:BW$1273,MATCH($M220,Data!$K$9:$K$1273,0)),"")</f>
        <v/>
      </c>
      <c r="I220" s="312">
        <f>IFERROR(INDEX(Data!BX$9:BX$1273,MATCH($M220,Data!$K$9:$K$1273,0)),"")</f>
        <v/>
      </c>
      <c r="J220" s="312">
        <f>IFERROR(INDEX(Data!CB$9:CB$1273,MATCH($M220,Data!$K$9:$K$1273,0)),"")</f>
        <v/>
      </c>
      <c r="K220" s="329">
        <f>IFERROR(HYPERLINK(BM220,BC220),"-")</f>
        <v/>
      </c>
      <c r="L220" s="330">
        <f>IFERROR(IF(BB220=0,"-",BB220)," ")</f>
        <v/>
      </c>
      <c r="M220" s="311" t="n"/>
      <c r="N220" s="311" t="n"/>
      <c r="O220" s="311">
        <f>IFERROR(INDEX(Data!M$9:M$1273,MATCH($M220,Data!$K$9:$K$1273,0)),"")</f>
        <v/>
      </c>
      <c r="P220" s="311">
        <f>IFERROR(INDEX(Data!N$9:N$1273,MATCH($M220,Data!$K$9:$K$1273,0)),"")</f>
        <v/>
      </c>
      <c r="Q220" s="311">
        <f>IFERROR(INDEX(Data!O$9:O$1273,MATCH($M220,Data!$K$9:$K$1273,0)),"")</f>
        <v/>
      </c>
      <c r="R220" s="311">
        <f>IFERROR(INDEX(Data!P$9:P$1273,MATCH($M220,Data!$K$9:$K$1273,0)),"")</f>
        <v/>
      </c>
      <c r="S220" s="311">
        <f>IFERROR(INDEX(Data!S$9:S$1273,MATCH($M220,Data!$K$9:$K$1273,0)),"")</f>
        <v/>
      </c>
      <c r="T220" s="311">
        <f>IFERROR(INDEX(Data!T$9:T$1273,MATCH($M220,Data!$K$9:$K$1273,0)),"")</f>
        <v/>
      </c>
      <c r="U220" s="311">
        <f>IFERROR(INDEX(Data!U$9:U$1273,MATCH($M220,Data!$K$9:$K$1273,0)),"")</f>
        <v/>
      </c>
      <c r="V220" s="311">
        <f>IFERROR(INDEX(Data!V$9:V$1273,MATCH($M220,Data!$K$9:$K$1273,0)),"")</f>
        <v/>
      </c>
      <c r="W220" s="311">
        <f>IFERROR(INDEX(Data!W$9:W$1273,MATCH($M220,Data!$K$9:$K$1273,0)),"")</f>
        <v/>
      </c>
      <c r="X220" s="311">
        <f>IFERROR(INDEX(Data!AJ$9:AJ$1273,MATCH($M220,Data!$K$9:$K$1273,0)),"")</f>
        <v/>
      </c>
      <c r="Y220" s="311">
        <f>IFERROR(INDEX(Data!AK$9:AK$1273,MATCH($M220,Data!$K$9:$K$1273,0)),"")</f>
        <v/>
      </c>
      <c r="Z220" s="311">
        <f>IFERROR(INDEX(Data!AL$9:AL$1273,MATCH($M220,Data!$K$9:$K$1273,0)),"")</f>
        <v/>
      </c>
      <c r="AA220" s="311">
        <f>IFERROR(INDEX(Data!AM$9:AM$1273,MATCH($M220,Data!$K$9:$K$1273,0)),"")</f>
        <v/>
      </c>
      <c r="AB220" s="311">
        <f>IFERROR(INDEX(Data!AN$9:AN$1273,MATCH($M220,Data!$K$9:$K$1273,0)),"")</f>
        <v/>
      </c>
      <c r="AC220" s="312">
        <f>IFERROR(INDEX(Data!BY$9:BY$1273,MATCH($M220,Data!$K$9:$K$1273,0)),"")</f>
        <v/>
      </c>
      <c r="AD220" s="312">
        <f>IFERROR(INDEX(Data!BZ$9:BZ$1273,MATCH($M220,Data!$K$9:$K$1273,0)),"")</f>
        <v/>
      </c>
      <c r="AE220" s="312">
        <f>IFERROR(INDEX(Data!CA$9:CA$1273,MATCH($M220,Data!$K$9:$K$1273,0)),"")</f>
        <v/>
      </c>
      <c r="AF220" s="312">
        <f>IFERROR(INDEX(Data!CB$9:CB$1273,MATCH($M220,Data!$K$9:$K$1273,0)),"")</f>
        <v/>
      </c>
      <c r="AG220" s="312">
        <f>IFERROR(INDEX(Data!CC$9:CC$1273,MATCH($M220,Data!$K$9:$K$1273,0)),"")</f>
        <v/>
      </c>
      <c r="AH220" s="312">
        <f>IFERROR(INDEX(Data!CD$9:CD$1273,MATCH($M220,Data!$K$9:$K$1273,0)),"")</f>
        <v/>
      </c>
      <c r="AI220" s="312">
        <f>IFERROR(INDEX(Data!CE$9:CE$1273,MATCH($M220,Data!$K$9:$K$1273,0)),"")</f>
        <v/>
      </c>
      <c r="AJ220" s="312">
        <f>IFERROR(INDEX(Data!CF$9:CF$1273,MATCH($M220,Data!$K$9:$K$1273,0)),"")</f>
        <v/>
      </c>
      <c r="AK220" s="312">
        <f>IFERROR(INDEX(Data!CG$9:CG$1273,MATCH($M220,Data!$K$9:$K$1273,0)),"")</f>
        <v/>
      </c>
      <c r="AL220" s="312">
        <f>IFERROR(INDEX(Data!CH$9:CH$1273,MATCH($M220,Data!$K$9:$K$1273,0)),"")</f>
        <v/>
      </c>
      <c r="AM220" s="312">
        <f>IFERROR(INDEX(Data!CI$9:CI$1273,MATCH($M220,Data!$K$9:$K$1273,0)),"")</f>
        <v/>
      </c>
      <c r="AN220" s="312">
        <f>IFERROR(INDEX(Data!CJ$9:CJ$1273,MATCH($M220,Data!$K$9:$K$1273,0)),"")</f>
        <v/>
      </c>
      <c r="AO220" s="312">
        <f>IFERROR(INDEX(Data!CK$9:CK$1273,MATCH($M220,Data!$K$9:$K$1273,0)),"")</f>
        <v/>
      </c>
      <c r="AP220" s="312">
        <f>IFERROR(INDEX(Data!CL$9:CL$1273,MATCH($M220,Data!$K$9:$K$1273,0)),"")</f>
        <v/>
      </c>
      <c r="AQ220" s="312">
        <f>IFERROR(INDEX(Data!CM$9:CM$1273,MATCH($M220,Data!$K$9:$K$1273,0)),"")</f>
        <v/>
      </c>
      <c r="AR220" s="312">
        <f>IFERROR(INDEX(Data!CN$9:CN$1273,MATCH($M220,Data!$K$9:$K$1273,0)),"")</f>
        <v/>
      </c>
      <c r="AS220" s="312">
        <f>IFERROR(INDEX(Data!CO$9:CO$1273,MATCH($M220,Data!$K$9:$K$1273,0)),"")</f>
        <v/>
      </c>
      <c r="AT220" s="312">
        <f>IFERROR(INDEX(Data!CP$9:CP$1273,MATCH($M220,Data!$K$9:$K$1273,0)),"")</f>
        <v/>
      </c>
      <c r="AU220" s="312">
        <f>IFERROR(INDEX(Data!CQ$9:CQ$1273,MATCH($M220,Data!$K$9:$K$1273,0)),"")</f>
        <v/>
      </c>
      <c r="AV220" s="312">
        <f>IFERROR(INDEX(Data!CR$9:CR$1273,MATCH($M220,Data!$K$9:$K$1273,0)),"")</f>
        <v/>
      </c>
      <c r="AW220" s="312">
        <f>IFERROR(INDEX(Data!CS$9:CS$1273,MATCH($M220,Data!$K$9:$K$1273,0)),"")</f>
        <v/>
      </c>
      <c r="AX220" s="312">
        <f>IFERROR(INDEX(Data!CT$9:CT$1273,MATCH($M220,Data!$K$9:$K$1273,0)),"")</f>
        <v/>
      </c>
      <c r="AY220" s="312">
        <f>IFERROR(INDEX(Data!CU$9:CU$1273,MATCH($M220,Data!$K$9:$K$1273,0)),"")</f>
        <v/>
      </c>
      <c r="AZ220" s="312">
        <f>IFERROR(INDEX(Data!CV$9:CV$1273,MATCH($M220,Data!$K$9:$K$1273,0)),"")</f>
        <v/>
      </c>
      <c r="BA220" s="312">
        <f>IFERROR(INDEX(Data!CX$9:CX$1273,MATCH($M220,Data!$K$9:$K$1273,0)),"")</f>
        <v/>
      </c>
      <c r="BB220" s="312">
        <f>IFERROR(INDEX(Data!CY$9:CY$1273,MATCH($M220,Data!$K$9:$K$1273,0)),"")</f>
        <v/>
      </c>
      <c r="BC220" s="312">
        <f>IFERROR(INDEX(Data!CZ$9:CZ$1273,MATCH($M220,Data!$K$9:$K$1273,0)),"")</f>
        <v/>
      </c>
      <c r="BD220" s="312">
        <f>IFERROR(INDEX(Data!DA$9:DA$1273,MATCH($M220,Data!$K$9:$K$1273,0)),"")</f>
        <v/>
      </c>
      <c r="BE220" s="312">
        <f>IFERROR(INDEX(Data!DB$9:DB$1273,MATCH($M220,Data!$K$9:$K$1273,0)),"")</f>
        <v/>
      </c>
      <c r="BF220" s="312">
        <f>IFERROR(INDEX(Data!DC$9:DC$1273,MATCH($M220,Data!$K$9:$K$1273,0)),"")</f>
        <v/>
      </c>
      <c r="BG220" s="312">
        <f>IFERROR(INDEX(Data!DD$9:DD$1273,MATCH($M220,Data!$K$9:$K$1273,0)),"")</f>
        <v/>
      </c>
      <c r="BH220" s="312">
        <f>IFERROR(INDEX(Data!DE$9:DE$1273,MATCH($M220,Data!$K$9:$K$1273,0)),"")</f>
        <v/>
      </c>
      <c r="BI220" s="312">
        <f>IFERROR(INDEX(Data!DF$9:DF$1273,MATCH($M220,Data!$K$9:$K$1273,0)),"")</f>
        <v/>
      </c>
      <c r="BJ220" s="312">
        <f>IFERROR(INDEX(Data!DG$9:DG$1273,MATCH($M220,Data!$K$9:$K$1273,0)),"")</f>
        <v/>
      </c>
      <c r="BK220" s="312">
        <f>IFERROR(INDEX(Data!DH$9:DH$1273,MATCH($M220,Data!$K$9:$K$1273,0)),"")</f>
        <v/>
      </c>
      <c r="BL220" s="312">
        <f>IFERROR(INDEX(Data!DI$9:DI$1273,MATCH($M220,Data!$K$9:$K$1273,0)),"")</f>
        <v/>
      </c>
      <c r="BM220" s="312">
        <f>IFERROR(INDEX(Data!DJ$9:DJ$1273,MATCH($M220,Data!$K$9:$K$1273,0)),"")</f>
        <v/>
      </c>
      <c r="BN220" s="312">
        <f>IFERROR(INDEX(Data!DK$9:DK$1273,MATCH($M220,Data!$K$9:$K$1273,0)),"")</f>
        <v/>
      </c>
      <c r="BO220" s="312">
        <f>IFERROR(INDEX(Data!DL$9:DL$1273,MATCH($M220,Data!$K$9:$K$1273,0)),"")</f>
        <v/>
      </c>
      <c r="BP220" s="331">
        <f>IFERROR(IF(BK220=0,"-",BK220),"")</f>
        <v/>
      </c>
      <c r="BQ220" s="312">
        <f>IFERROR(IF(BP220-K220&gt;0,TRUE,FALSE)," ")</f>
        <v/>
      </c>
      <c r="BR220" s="312">
        <f>_xlfn.CONCAT(E220,F220,H220,G220)</f>
        <v/>
      </c>
      <c r="BS220" s="312">
        <f>IFERROR(INDEX(Data!$DO$9:$DO$1273,MATCH('Your recommendation'!BR220,Data!$DN$9:$DN$1273,0)),"")</f>
        <v/>
      </c>
    </row>
    <row r="221" ht="15.6" customFormat="1" customHeight="1" s="138">
      <c r="B221" s="309">
        <f>IF(C221&gt;0,B220+1,"")</f>
        <v/>
      </c>
      <c r="C221" s="310" t="n"/>
      <c r="D221" s="312">
        <f>IFERROR(INDEX(Data!BR$9:BR$1273,MATCH($M221,Data!$K$9:$K$1273,0)),"")</f>
        <v/>
      </c>
      <c r="E221" s="312">
        <f>IFERROR(INDEX(Data!BS$9:BS$1273,MATCH($M221,Data!$K$9:$K$1273,0)),"")</f>
        <v/>
      </c>
      <c r="F221" s="312">
        <f>IFERROR(INDEX(Data!DM$9:DM$1273,MATCH($M221,Data!$K$9:$K$1273,0)),"")</f>
        <v/>
      </c>
      <c r="G221" s="312">
        <f>IFERROR(INDEX(Data!BV$9:BV$1273,MATCH($M221,Data!$K$9:$K$1273,0)),"")</f>
        <v/>
      </c>
      <c r="H221" s="312">
        <f>IFERROR(INDEX(Data!BW$9:BW$1273,MATCH($M221,Data!$K$9:$K$1273,0)),"")</f>
        <v/>
      </c>
      <c r="I221" s="312">
        <f>IFERROR(INDEX(Data!BX$9:BX$1273,MATCH($M221,Data!$K$9:$K$1273,0)),"")</f>
        <v/>
      </c>
      <c r="J221" s="312">
        <f>IFERROR(INDEX(Data!CB$9:CB$1273,MATCH($M221,Data!$K$9:$K$1273,0)),"")</f>
        <v/>
      </c>
      <c r="K221" s="329">
        <f>IFERROR(HYPERLINK(BM221,BC221),"-")</f>
        <v/>
      </c>
      <c r="L221" s="330">
        <f>IFERROR(IF(BB221=0,"-",BB221)," ")</f>
        <v/>
      </c>
      <c r="M221" s="311" t="n"/>
      <c r="N221" s="311" t="n"/>
      <c r="O221" s="311">
        <f>IFERROR(INDEX(Data!M$9:M$1273,MATCH($M221,Data!$K$9:$K$1273,0)),"")</f>
        <v/>
      </c>
      <c r="P221" s="311">
        <f>IFERROR(INDEX(Data!N$9:N$1273,MATCH($M221,Data!$K$9:$K$1273,0)),"")</f>
        <v/>
      </c>
      <c r="Q221" s="311">
        <f>IFERROR(INDEX(Data!O$9:O$1273,MATCH($M221,Data!$K$9:$K$1273,0)),"")</f>
        <v/>
      </c>
      <c r="R221" s="311">
        <f>IFERROR(INDEX(Data!P$9:P$1273,MATCH($M221,Data!$K$9:$K$1273,0)),"")</f>
        <v/>
      </c>
      <c r="S221" s="311">
        <f>IFERROR(INDEX(Data!S$9:S$1273,MATCH($M221,Data!$K$9:$K$1273,0)),"")</f>
        <v/>
      </c>
      <c r="T221" s="311">
        <f>IFERROR(INDEX(Data!T$9:T$1273,MATCH($M221,Data!$K$9:$K$1273,0)),"")</f>
        <v/>
      </c>
      <c r="U221" s="311">
        <f>IFERROR(INDEX(Data!U$9:U$1273,MATCH($M221,Data!$K$9:$K$1273,0)),"")</f>
        <v/>
      </c>
      <c r="V221" s="311">
        <f>IFERROR(INDEX(Data!V$9:V$1273,MATCH($M221,Data!$K$9:$K$1273,0)),"")</f>
        <v/>
      </c>
      <c r="W221" s="311">
        <f>IFERROR(INDEX(Data!W$9:W$1273,MATCH($M221,Data!$K$9:$K$1273,0)),"")</f>
        <v/>
      </c>
      <c r="X221" s="311">
        <f>IFERROR(INDEX(Data!AJ$9:AJ$1273,MATCH($M221,Data!$K$9:$K$1273,0)),"")</f>
        <v/>
      </c>
      <c r="Y221" s="311">
        <f>IFERROR(INDEX(Data!AK$9:AK$1273,MATCH($M221,Data!$K$9:$K$1273,0)),"")</f>
        <v/>
      </c>
      <c r="Z221" s="311">
        <f>IFERROR(INDEX(Data!AL$9:AL$1273,MATCH($M221,Data!$K$9:$K$1273,0)),"")</f>
        <v/>
      </c>
      <c r="AA221" s="311">
        <f>IFERROR(INDEX(Data!AM$9:AM$1273,MATCH($M221,Data!$K$9:$K$1273,0)),"")</f>
        <v/>
      </c>
      <c r="AB221" s="311">
        <f>IFERROR(INDEX(Data!AN$9:AN$1273,MATCH($M221,Data!$K$9:$K$1273,0)),"")</f>
        <v/>
      </c>
      <c r="AC221" s="312">
        <f>IFERROR(INDEX(Data!BY$9:BY$1273,MATCH($M221,Data!$K$9:$K$1273,0)),"")</f>
        <v/>
      </c>
      <c r="AD221" s="312">
        <f>IFERROR(INDEX(Data!BZ$9:BZ$1273,MATCH($M221,Data!$K$9:$K$1273,0)),"")</f>
        <v/>
      </c>
      <c r="AE221" s="312">
        <f>IFERROR(INDEX(Data!CA$9:CA$1273,MATCH($M221,Data!$K$9:$K$1273,0)),"")</f>
        <v/>
      </c>
      <c r="AF221" s="312">
        <f>IFERROR(INDEX(Data!CB$9:CB$1273,MATCH($M221,Data!$K$9:$K$1273,0)),"")</f>
        <v/>
      </c>
      <c r="AG221" s="312">
        <f>IFERROR(INDEX(Data!CC$9:CC$1273,MATCH($M221,Data!$K$9:$K$1273,0)),"")</f>
        <v/>
      </c>
      <c r="AH221" s="312">
        <f>IFERROR(INDEX(Data!CD$9:CD$1273,MATCH($M221,Data!$K$9:$K$1273,0)),"")</f>
        <v/>
      </c>
      <c r="AI221" s="312">
        <f>IFERROR(INDEX(Data!CE$9:CE$1273,MATCH($M221,Data!$K$9:$K$1273,0)),"")</f>
        <v/>
      </c>
      <c r="AJ221" s="312">
        <f>IFERROR(INDEX(Data!CF$9:CF$1273,MATCH($M221,Data!$K$9:$K$1273,0)),"")</f>
        <v/>
      </c>
      <c r="AK221" s="312">
        <f>IFERROR(INDEX(Data!CG$9:CG$1273,MATCH($M221,Data!$K$9:$K$1273,0)),"")</f>
        <v/>
      </c>
      <c r="AL221" s="312">
        <f>IFERROR(INDEX(Data!CH$9:CH$1273,MATCH($M221,Data!$K$9:$K$1273,0)),"")</f>
        <v/>
      </c>
      <c r="AM221" s="312">
        <f>IFERROR(INDEX(Data!CI$9:CI$1273,MATCH($M221,Data!$K$9:$K$1273,0)),"")</f>
        <v/>
      </c>
      <c r="AN221" s="312">
        <f>IFERROR(INDEX(Data!CJ$9:CJ$1273,MATCH($M221,Data!$K$9:$K$1273,0)),"")</f>
        <v/>
      </c>
      <c r="AO221" s="312">
        <f>IFERROR(INDEX(Data!CK$9:CK$1273,MATCH($M221,Data!$K$9:$K$1273,0)),"")</f>
        <v/>
      </c>
      <c r="AP221" s="312">
        <f>IFERROR(INDEX(Data!CL$9:CL$1273,MATCH($M221,Data!$K$9:$K$1273,0)),"")</f>
        <v/>
      </c>
      <c r="AQ221" s="312">
        <f>IFERROR(INDEX(Data!CM$9:CM$1273,MATCH($M221,Data!$K$9:$K$1273,0)),"")</f>
        <v/>
      </c>
      <c r="AR221" s="312">
        <f>IFERROR(INDEX(Data!CN$9:CN$1273,MATCH($M221,Data!$K$9:$K$1273,0)),"")</f>
        <v/>
      </c>
      <c r="AS221" s="312">
        <f>IFERROR(INDEX(Data!CO$9:CO$1273,MATCH($M221,Data!$K$9:$K$1273,0)),"")</f>
        <v/>
      </c>
      <c r="AT221" s="312">
        <f>IFERROR(INDEX(Data!CP$9:CP$1273,MATCH($M221,Data!$K$9:$K$1273,0)),"")</f>
        <v/>
      </c>
      <c r="AU221" s="312">
        <f>IFERROR(INDEX(Data!CQ$9:CQ$1273,MATCH($M221,Data!$K$9:$K$1273,0)),"")</f>
        <v/>
      </c>
      <c r="AV221" s="312">
        <f>IFERROR(INDEX(Data!CR$9:CR$1273,MATCH($M221,Data!$K$9:$K$1273,0)),"")</f>
        <v/>
      </c>
      <c r="AW221" s="312">
        <f>IFERROR(INDEX(Data!CS$9:CS$1273,MATCH($M221,Data!$K$9:$K$1273,0)),"")</f>
        <v/>
      </c>
      <c r="AX221" s="312">
        <f>IFERROR(INDEX(Data!CT$9:CT$1273,MATCH($M221,Data!$K$9:$K$1273,0)),"")</f>
        <v/>
      </c>
      <c r="AY221" s="312">
        <f>IFERROR(INDEX(Data!CU$9:CU$1273,MATCH($M221,Data!$K$9:$K$1273,0)),"")</f>
        <v/>
      </c>
      <c r="AZ221" s="312">
        <f>IFERROR(INDEX(Data!CV$9:CV$1273,MATCH($M221,Data!$K$9:$K$1273,0)),"")</f>
        <v/>
      </c>
      <c r="BA221" s="312">
        <f>IFERROR(INDEX(Data!CX$9:CX$1273,MATCH($M221,Data!$K$9:$K$1273,0)),"")</f>
        <v/>
      </c>
      <c r="BB221" s="312">
        <f>IFERROR(INDEX(Data!CY$9:CY$1273,MATCH($M221,Data!$K$9:$K$1273,0)),"")</f>
        <v/>
      </c>
      <c r="BC221" s="312">
        <f>IFERROR(INDEX(Data!CZ$9:CZ$1273,MATCH($M221,Data!$K$9:$K$1273,0)),"")</f>
        <v/>
      </c>
      <c r="BD221" s="312">
        <f>IFERROR(INDEX(Data!DA$9:DA$1273,MATCH($M221,Data!$K$9:$K$1273,0)),"")</f>
        <v/>
      </c>
      <c r="BE221" s="312">
        <f>IFERROR(INDEX(Data!DB$9:DB$1273,MATCH($M221,Data!$K$9:$K$1273,0)),"")</f>
        <v/>
      </c>
      <c r="BF221" s="312">
        <f>IFERROR(INDEX(Data!DC$9:DC$1273,MATCH($M221,Data!$K$9:$K$1273,0)),"")</f>
        <v/>
      </c>
      <c r="BG221" s="312">
        <f>IFERROR(INDEX(Data!DD$9:DD$1273,MATCH($M221,Data!$K$9:$K$1273,0)),"")</f>
        <v/>
      </c>
      <c r="BH221" s="312">
        <f>IFERROR(INDEX(Data!DE$9:DE$1273,MATCH($M221,Data!$K$9:$K$1273,0)),"")</f>
        <v/>
      </c>
      <c r="BI221" s="312">
        <f>IFERROR(INDEX(Data!DF$9:DF$1273,MATCH($M221,Data!$K$9:$K$1273,0)),"")</f>
        <v/>
      </c>
      <c r="BJ221" s="312">
        <f>IFERROR(INDEX(Data!DG$9:DG$1273,MATCH($M221,Data!$K$9:$K$1273,0)),"")</f>
        <v/>
      </c>
      <c r="BK221" s="312">
        <f>IFERROR(INDEX(Data!DH$9:DH$1273,MATCH($M221,Data!$K$9:$K$1273,0)),"")</f>
        <v/>
      </c>
      <c r="BL221" s="312">
        <f>IFERROR(INDEX(Data!DI$9:DI$1273,MATCH($M221,Data!$K$9:$K$1273,0)),"")</f>
        <v/>
      </c>
      <c r="BM221" s="312">
        <f>IFERROR(INDEX(Data!DJ$9:DJ$1273,MATCH($M221,Data!$K$9:$K$1273,0)),"")</f>
        <v/>
      </c>
      <c r="BN221" s="312">
        <f>IFERROR(INDEX(Data!DK$9:DK$1273,MATCH($M221,Data!$K$9:$K$1273,0)),"")</f>
        <v/>
      </c>
      <c r="BO221" s="312">
        <f>IFERROR(INDEX(Data!DL$9:DL$1273,MATCH($M221,Data!$K$9:$K$1273,0)),"")</f>
        <v/>
      </c>
      <c r="BP221" s="331">
        <f>IFERROR(IF(BK221=0,"-",BK221),"")</f>
        <v/>
      </c>
      <c r="BQ221" s="312">
        <f>IFERROR(IF(BP221-K221&gt;0,TRUE,FALSE)," ")</f>
        <v/>
      </c>
      <c r="BR221" s="312">
        <f>_xlfn.CONCAT(E221,F221,H221,G221)</f>
        <v/>
      </c>
      <c r="BS221" s="312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priority="1" dxfId="37">
      <formula>LEN(TRIM(B75))=0</formula>
    </cfRule>
  </conditionalFormatting>
  <hyperlinks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  <hyperlink xmlns:r="http://schemas.openxmlformats.org/officeDocument/2006/relationships" ref="U37" display="https://www.google.com/aclk?sa=l&amp;ai=DChcSEwizrI-8xv71AhUfPa0GHb-8ATUYABAIGgJwdg&amp;ae=2&amp;sig=AOD64_0XwUpaToo4C0FqRwMD1oaEhwuxCg&amp;ctype=5&amp;q=&amp;ved=2ahUKEwiAqfu7xv71AhWMD0QIHWi_DdgQ9aACegQIAhBC&amp;adurl=" r:id="rId1209"/>
    <hyperlink xmlns:r="http://schemas.openxmlformats.org/officeDocument/2006/relationships" ref="X37" display="https://www.google.com/aclk?sa=l&amp;ai=DChcSEwizrI-8xv71AhUfPa0GHb-8ATUYABAIGgJwdg&amp;ae=2&amp;sig=AOD64_0XwUpaToo4C0FqRwMD1oaEhwuxCg&amp;ctype=5&amp;q=&amp;ved=2ahUKEwiAqfu7xv71AhWMD0QIHWi_DdgQ9aACegQIAhBC&amp;adurl=" r:id="rId1210"/>
    <hyperlink xmlns:r="http://schemas.openxmlformats.org/officeDocument/2006/relationships" ref="AA37" display="https://www.google.com/aclk?sa=l&amp;ai=DChcSEwizrI-8xv71AhUfPa0GHb-8ATUYABAIGgJwdg&amp;ae=2&amp;sig=AOD64_0XwUpaToo4C0FqRwMD1oaEhwuxCg&amp;ctype=5&amp;q=&amp;ved=2ahUKEwiAqfu7xv71AhWMD0QIHWi_DdgQ9aACegQIAhBC&amp;adurl=" r:id="rId1211"/>
    <hyperlink xmlns:r="http://schemas.openxmlformats.org/officeDocument/2006/relationships" ref="AD37" display="https://www.google.com/aclk?sa=l&amp;ai=DChcSEwizrI-8xv71AhUfPa0GHb-8ATUYABAIGgJwdg&amp;ae=2&amp;sig=AOD64_0XwUpaToo4C0FqRwMD1oaEhwuxCg&amp;ctype=5&amp;q=&amp;ved=2ahUKEwiAqfu7xv71AhWMD0QIHWi_DdgQ9aACegQIAhBC&amp;adurl=" r:id="rId1212"/>
    <hyperlink xmlns:r="http://schemas.openxmlformats.org/officeDocument/2006/relationships" ref="K75" display="https://www.google.com/aclk?sa=l&amp;ai=DChcSEwizrI-8xv71AhUfPa0GHb-8ATUYABAIGgJwdg&amp;ae=2&amp;sig=AOD64_0XwUpaToo4C0FqRwMD1oaEhwuxCg&amp;ctype=5&amp;q=&amp;ved=2ahUKEwiAqfu7xv71AhWMD0QIHWi_DdgQ9aACegQIAhBC&amp;adurl=" r:id="rId1213"/>
    <hyperlink xmlns:r="http://schemas.openxmlformats.org/officeDocument/2006/relationships" ref="K76" display="https://www.google.com/aclk?sa=l&amp;ai=DChcSEwizrI-8xv71AhUfPa0GHb-8ATUYABAIGgJwdg&amp;ae=2&amp;sig=AOD64_0XwUpaToo4C0FqRwMD1oaEhwuxCg&amp;ctype=5&amp;q=&amp;ved=2ahUKEwiAqfu7xv71AhWMD0QIHWi_DdgQ9aACegQIAhBC&amp;adurl=" r:id="rId1214"/>
    <hyperlink xmlns:r="http://schemas.openxmlformats.org/officeDocument/2006/relationships" ref="K77" display="https://www.google.com/aclk?sa=l&amp;ai=DChcSEwizrI-8xv71AhUfPa0GHb-8ATUYABAIGgJwdg&amp;ae=2&amp;sig=AOD64_0XwUpaToo4C0FqRwMD1oaEhwuxCg&amp;ctype=5&amp;q=&amp;ved=2ahUKEwiAqfu7xv71AhWMD0QIHWi_DdgQ9aACegQIAhBC&amp;adurl=" r:id="rId1215"/>
    <hyperlink xmlns:r="http://schemas.openxmlformats.org/officeDocument/2006/relationships" ref="K78" display="https://www.google.com/aclk?sa=l&amp;ai=DChcSEwizrI-8xv71AhUfPa0GHb-8ATUYABAIGgJwdg&amp;ae=2&amp;sig=AOD64_0XwUpaToo4C0FqRwMD1oaEhwuxCg&amp;ctype=5&amp;q=&amp;ved=2ahUKEwiAqfu7xv71AhWMD0QIHWi_DdgQ9aACegQIAhBC&amp;adurl=" r:id="rId1216"/>
    <hyperlink xmlns:r="http://schemas.openxmlformats.org/officeDocument/2006/relationships" ref="K79" display="https://www.google.com/aclk?sa=l&amp;ai=DChcSEwizrI-8xv71AhUfPa0GHb-8ATUYABAIGgJwdg&amp;ae=2&amp;sig=AOD64_0XwUpaToo4C0FqRwMD1oaEhwuxCg&amp;ctype=5&amp;q=&amp;ved=2ahUKEwiAqfu7xv71AhWMD0QIHWi_DdgQ9aACegQIAhBC&amp;adurl=" r:id="rId1217"/>
    <hyperlink xmlns:r="http://schemas.openxmlformats.org/officeDocument/2006/relationships" ref="K80" display="https://www.google.com/aclk?sa=l&amp;ai=DChcSEwizrI-8xv71AhUfPa0GHb-8ATUYABAIGgJwdg&amp;ae=2&amp;sig=AOD64_0XwUpaToo4C0FqRwMD1oaEhwuxCg&amp;ctype=5&amp;q=&amp;ved=2ahUKEwiAqfu7xv71AhWMD0QIHWi_DdgQ9aACegQIAhBC&amp;adurl=" r:id="rId1218"/>
    <hyperlink xmlns:r="http://schemas.openxmlformats.org/officeDocument/2006/relationships" ref="K81" display="https://www.google.com/aclk?sa=l&amp;ai=DChcSEwizrI-8xv71AhUfPa0GHb-8ATUYABAIGgJwdg&amp;ae=2&amp;sig=AOD64_0XwUpaToo4C0FqRwMD1oaEhwuxCg&amp;ctype=5&amp;q=&amp;ved=2ahUKEwiAqfu7xv71AhWMD0QIHWi_DdgQ9aACegQIAhBC&amp;adurl=" r:id="rId1219"/>
    <hyperlink xmlns:r="http://schemas.openxmlformats.org/officeDocument/2006/relationships" ref="K82" display="https://www.google.com/aclk?sa=l&amp;ai=DChcSEwizrI-8xv71AhUfPa0GHb-8ATUYABAIGgJwdg&amp;ae=2&amp;sig=AOD64_0XwUpaToo4C0FqRwMD1oaEhwuxCg&amp;ctype=5&amp;q=&amp;ved=2ahUKEwiAqfu7xv71AhWMD0QIHWi_DdgQ9aACegQIAhBC&amp;adurl=" r:id="rId1220"/>
    <hyperlink xmlns:r="http://schemas.openxmlformats.org/officeDocument/2006/relationships" ref="K83" display="https://www.google.com/aclk?sa=l&amp;ai=DChcSEwizrI-8xv71AhUfPa0GHb-8ATUYABAIGgJwdg&amp;ae=2&amp;sig=AOD64_0XwUpaToo4C0FqRwMD1oaEhwuxCg&amp;ctype=5&amp;q=&amp;ved=2ahUKEwiAqfu7xv71AhWMD0QIHWi_DdgQ9aACegQIAhBC&amp;adurl=" r:id="rId1221"/>
    <hyperlink xmlns:r="http://schemas.openxmlformats.org/officeDocument/2006/relationships" ref="K84" display="https://www.google.com/aclk?sa=l&amp;ai=DChcSEwizrI-8xv71AhUfPa0GHb-8ATUYABAIGgJwdg&amp;ae=2&amp;sig=AOD64_0XwUpaToo4C0FqRwMD1oaEhwuxCg&amp;ctype=5&amp;q=&amp;ved=2ahUKEwiAqfu7xv71AhWMD0QIHWi_DdgQ9aACegQIAhBC&amp;adurl=" r:id="rId1222"/>
    <hyperlink xmlns:r="http://schemas.openxmlformats.org/officeDocument/2006/relationships" ref="K85" display="https://www.google.com/aclk?sa=l&amp;ai=DChcSEwizrI-8xv71AhUfPa0GHb-8ATUYABAIGgJwdg&amp;ae=2&amp;sig=AOD64_0XwUpaToo4C0FqRwMD1oaEhwuxCg&amp;ctype=5&amp;q=&amp;ved=2ahUKEwiAqfu7xv71AhWMD0QIHWi_DdgQ9aACegQIAhBC&amp;adurl=" r:id="rId1223"/>
    <hyperlink xmlns:r="http://schemas.openxmlformats.org/officeDocument/2006/relationships" ref="K86" display="https://www.google.com/aclk?sa=l&amp;ai=DChcSEwizrI-8xv71AhUfPa0GHb-8ATUYABAIGgJwdg&amp;ae=2&amp;sig=AOD64_0XwUpaToo4C0FqRwMD1oaEhwuxCg&amp;ctype=5&amp;q=&amp;ved=2ahUKEwiAqfu7xv71AhWMD0QIHWi_DdgQ9aACegQIAhBC&amp;adurl=" r:id="rId1224"/>
    <hyperlink xmlns:r="http://schemas.openxmlformats.org/officeDocument/2006/relationships" ref="K87" display="https://www.google.com/aclk?sa=l&amp;ai=DChcSEwizrI-8xv71AhUfPa0GHb-8ATUYABAIGgJwdg&amp;ae=2&amp;sig=AOD64_0XwUpaToo4C0FqRwMD1oaEhwuxCg&amp;ctype=5&amp;q=&amp;ved=2ahUKEwiAqfu7xv71AhWMD0QIHWi_DdgQ9aACegQIAhBC&amp;adurl=" r:id="rId1225"/>
    <hyperlink xmlns:r="http://schemas.openxmlformats.org/officeDocument/2006/relationships" ref="K88" display="https://www.google.com/aclk?sa=l&amp;ai=DChcSEwizrI-8xv71AhUfPa0GHb-8ATUYABAIGgJwdg&amp;ae=2&amp;sig=AOD64_0XwUpaToo4C0FqRwMD1oaEhwuxCg&amp;ctype=5&amp;q=&amp;ved=2ahUKEwiAqfu7xv71AhWMD0QIHWi_DdgQ9aACegQIAhBC&amp;adurl=" r:id="rId1226"/>
    <hyperlink xmlns:r="http://schemas.openxmlformats.org/officeDocument/2006/relationships" ref="K89" display="https://www.google.com/aclk?sa=l&amp;ai=DChcSEwizrI-8xv71AhUfPa0GHb-8ATUYABAIGgJwdg&amp;ae=2&amp;sig=AOD64_0XwUpaToo4C0FqRwMD1oaEhwuxCg&amp;ctype=5&amp;q=&amp;ved=2ahUKEwiAqfu7xv71AhWMD0QIHWi_DdgQ9aACegQIAhBC&amp;adurl=" r:id="rId1227"/>
    <hyperlink xmlns:r="http://schemas.openxmlformats.org/officeDocument/2006/relationships" ref="K90" display="https://www.google.com/aclk?sa=l&amp;ai=DChcSEwizrI-8xv71AhUfPa0GHb-8ATUYABAIGgJwdg&amp;ae=2&amp;sig=AOD64_0XwUpaToo4C0FqRwMD1oaEhwuxCg&amp;ctype=5&amp;q=&amp;ved=2ahUKEwiAqfu7xv71AhWMD0QIHWi_DdgQ9aACegQIAhBC&amp;adurl=" r:id="rId1228"/>
    <hyperlink xmlns:r="http://schemas.openxmlformats.org/officeDocument/2006/relationships" ref="K91" display="https://www.google.com/aclk?sa=l&amp;ai=DChcSEwizrI-8xv71AhUfPa0GHb-8ATUYABAIGgJwdg&amp;ae=2&amp;sig=AOD64_0XwUpaToo4C0FqRwMD1oaEhwuxCg&amp;ctype=5&amp;q=&amp;ved=2ahUKEwiAqfu7xv71AhWMD0QIHWi_DdgQ9aACegQIAhBC&amp;adurl=" r:id="rId1229"/>
    <hyperlink xmlns:r="http://schemas.openxmlformats.org/officeDocument/2006/relationships" ref="K92" display="https://www.google.com/aclk?sa=l&amp;ai=DChcSEwizrI-8xv71AhUfPa0GHb-8ATUYABAIGgJwdg&amp;ae=2&amp;sig=AOD64_0XwUpaToo4C0FqRwMD1oaEhwuxCg&amp;ctype=5&amp;q=&amp;ved=2ahUKEwiAqfu7xv71AhWMD0QIHWi_DdgQ9aACegQIAhBC&amp;adurl=" r:id="rId1230"/>
    <hyperlink xmlns:r="http://schemas.openxmlformats.org/officeDocument/2006/relationships" ref="K93" display="https://www.google.com/aclk?sa=l&amp;ai=DChcSEwizrI-8xv71AhUfPa0GHb-8ATUYABAIGgJwdg&amp;ae=2&amp;sig=AOD64_0XwUpaToo4C0FqRwMD1oaEhwuxCg&amp;ctype=5&amp;q=&amp;ved=2ahUKEwiAqfu7xv71AhWMD0QIHWi_DdgQ9aACegQIAhBC&amp;adurl=" r:id="rId1231"/>
    <hyperlink xmlns:r="http://schemas.openxmlformats.org/officeDocument/2006/relationships" ref="K94" display="https://www.google.com/aclk?sa=l&amp;ai=DChcSEwizrI-8xv71AhUfPa0GHb-8ATUYABAIGgJwdg&amp;ae=2&amp;sig=AOD64_0XwUpaToo4C0FqRwMD1oaEhwuxCg&amp;ctype=5&amp;q=&amp;ved=2ahUKEwiAqfu7xv71AhWMD0QIHWi_DdgQ9aACegQIAhBC&amp;adurl=" r:id="rId1232"/>
    <hyperlink xmlns:r="http://schemas.openxmlformats.org/officeDocument/2006/relationships" ref="K95" display="https://www.google.com/aclk?sa=l&amp;ai=DChcSEwizrI-8xv71AhUfPa0GHb-8ATUYABAIGgJwdg&amp;ae=2&amp;sig=AOD64_0XwUpaToo4C0FqRwMD1oaEhwuxCg&amp;ctype=5&amp;q=&amp;ved=2ahUKEwiAqfu7xv71AhWMD0QIHWi_DdgQ9aACegQIAhBC&amp;adurl=" r:id="rId1233"/>
    <hyperlink xmlns:r="http://schemas.openxmlformats.org/officeDocument/2006/relationships" ref="K96" display="https://www.google.com/aclk?sa=l&amp;ai=DChcSEwizrI-8xv71AhUfPa0GHb-8ATUYABAIGgJwdg&amp;ae=2&amp;sig=AOD64_0XwUpaToo4C0FqRwMD1oaEhwuxCg&amp;ctype=5&amp;q=&amp;ved=2ahUKEwiAqfu7xv71AhWMD0QIHWi_DdgQ9aACegQIAhBC&amp;adurl=" r:id="rId1234"/>
    <hyperlink xmlns:r="http://schemas.openxmlformats.org/officeDocument/2006/relationships" ref="K97" display="https://www.google.com/aclk?sa=l&amp;ai=DChcSEwizrI-8xv71AhUfPa0GHb-8ATUYABAIGgJwdg&amp;ae=2&amp;sig=AOD64_0XwUpaToo4C0FqRwMD1oaEhwuxCg&amp;ctype=5&amp;q=&amp;ved=2ahUKEwiAqfu7xv71AhWMD0QIHWi_DdgQ9aACegQIAhBC&amp;adurl=" r:id="rId1235"/>
    <hyperlink xmlns:r="http://schemas.openxmlformats.org/officeDocument/2006/relationships" ref="K98" display="https://www.google.com/aclk?sa=l&amp;ai=DChcSEwizrI-8xv71AhUfPa0GHb-8ATUYABAIGgJwdg&amp;ae=2&amp;sig=AOD64_0XwUpaToo4C0FqRwMD1oaEhwuxCg&amp;ctype=5&amp;q=&amp;ved=2ahUKEwiAqfu7xv71AhWMD0QIHWi_DdgQ9aACegQIAhBC&amp;adurl=" r:id="rId1236"/>
    <hyperlink xmlns:r="http://schemas.openxmlformats.org/officeDocument/2006/relationships" ref="K99" display="https://www.google.com/aclk?sa=l&amp;ai=DChcSEwizrI-8xv71AhUfPa0GHb-8ATUYABAIGgJwdg&amp;ae=2&amp;sig=AOD64_0XwUpaToo4C0FqRwMD1oaEhwuxCg&amp;ctype=5&amp;q=&amp;ved=2ahUKEwiAqfu7xv71AhWMD0QIHWi_DdgQ9aACegQIAhBC&amp;adurl=" r:id="rId1237"/>
    <hyperlink xmlns:r="http://schemas.openxmlformats.org/officeDocument/2006/relationships" ref="K100" display="https://www.google.com/aclk?sa=l&amp;ai=DChcSEwizrI-8xv71AhUfPa0GHb-8ATUYABAIGgJwdg&amp;ae=2&amp;sig=AOD64_0XwUpaToo4C0FqRwMD1oaEhwuxCg&amp;ctype=5&amp;q=&amp;ved=2ahUKEwiAqfu7xv71AhWMD0QIHWi_DdgQ9aACegQIAhBC&amp;adurl=" r:id="rId1238"/>
    <hyperlink xmlns:r="http://schemas.openxmlformats.org/officeDocument/2006/relationships" ref="K101" display="https://www.google.com/aclk?sa=l&amp;ai=DChcSEwizrI-8xv71AhUfPa0GHb-8ATUYABAIGgJwdg&amp;ae=2&amp;sig=AOD64_0XwUpaToo4C0FqRwMD1oaEhwuxCg&amp;ctype=5&amp;q=&amp;ved=2ahUKEwiAqfu7xv71AhWMD0QIHWi_DdgQ9aACegQIAhBC&amp;adurl=" r:id="rId1239"/>
    <hyperlink xmlns:r="http://schemas.openxmlformats.org/officeDocument/2006/relationships" ref="K102" display="https://www.google.com/aclk?sa=l&amp;ai=DChcSEwizrI-8xv71AhUfPa0GHb-8ATUYABAIGgJwdg&amp;ae=2&amp;sig=AOD64_0XwUpaToo4C0FqRwMD1oaEhwuxCg&amp;ctype=5&amp;q=&amp;ved=2ahUKEwiAqfu7xv71AhWMD0QIHWi_DdgQ9aACegQIAhBC&amp;adurl=" r:id="rId1240"/>
    <hyperlink xmlns:r="http://schemas.openxmlformats.org/officeDocument/2006/relationships" ref="K103" display="https://www.google.com/aclk?sa=l&amp;ai=DChcSEwizrI-8xv71AhUfPa0GHb-8ATUYABAIGgJwdg&amp;ae=2&amp;sig=AOD64_0XwUpaToo4C0FqRwMD1oaEhwuxCg&amp;ctype=5&amp;q=&amp;ved=2ahUKEwiAqfu7xv71AhWMD0QIHWi_DdgQ9aACegQIAhBC&amp;adurl=" r:id="rId1241"/>
    <hyperlink xmlns:r="http://schemas.openxmlformats.org/officeDocument/2006/relationships" ref="K104" display="https://www.google.com/aclk?sa=l&amp;ai=DChcSEwizrI-8xv71AhUfPa0GHb-8ATUYABAIGgJwdg&amp;ae=2&amp;sig=AOD64_0XwUpaToo4C0FqRwMD1oaEhwuxCg&amp;ctype=5&amp;q=&amp;ved=2ahUKEwiAqfu7xv71AhWMD0QIHWi_DdgQ9aACegQIAhBC&amp;adurl=" r:id="rId1242"/>
    <hyperlink xmlns:r="http://schemas.openxmlformats.org/officeDocument/2006/relationships" ref="K105" display="https://www.google.com/aclk?sa=l&amp;ai=DChcSEwizrI-8xv71AhUfPa0GHb-8ATUYABAIGgJwdg&amp;ae=2&amp;sig=AOD64_0XwUpaToo4C0FqRwMD1oaEhwuxCg&amp;ctype=5&amp;q=&amp;ved=2ahUKEwiAqfu7xv71AhWMD0QIHWi_DdgQ9aACegQIAhBC&amp;adurl=" r:id="rId1243"/>
    <hyperlink xmlns:r="http://schemas.openxmlformats.org/officeDocument/2006/relationships" ref="K106" display="https://www.google.com/aclk?sa=l&amp;ai=DChcSEwizrI-8xv71AhUfPa0GHb-8ATUYABAIGgJwdg&amp;ae=2&amp;sig=AOD64_0XwUpaToo4C0FqRwMD1oaEhwuxCg&amp;ctype=5&amp;q=&amp;ved=2ahUKEwiAqfu7xv71AhWMD0QIHWi_DdgQ9aACegQIAhBC&amp;adurl=" r:id="rId1244"/>
    <hyperlink xmlns:r="http://schemas.openxmlformats.org/officeDocument/2006/relationships" ref="K107" display="https://www.google.com/aclk?sa=l&amp;ai=DChcSEwizrI-8xv71AhUfPa0GHb-8ATUYABAIGgJwdg&amp;ae=2&amp;sig=AOD64_0XwUpaToo4C0FqRwMD1oaEhwuxCg&amp;ctype=5&amp;q=&amp;ved=2ahUKEwiAqfu7xv71AhWMD0QIHWi_DdgQ9aACegQIAhBC&amp;adurl=" r:id="rId1245"/>
    <hyperlink xmlns:r="http://schemas.openxmlformats.org/officeDocument/2006/relationships" ref="K108" display="https://www.google.com/aclk?sa=l&amp;ai=DChcSEwizrI-8xv71AhUfPa0GHb-8ATUYABAIGgJwdg&amp;ae=2&amp;sig=AOD64_0XwUpaToo4C0FqRwMD1oaEhwuxCg&amp;ctype=5&amp;q=&amp;ved=2ahUKEwiAqfu7xv71AhWMD0QIHWi_DdgQ9aACegQIAhBC&amp;adurl=" r:id="rId1246"/>
    <hyperlink xmlns:r="http://schemas.openxmlformats.org/officeDocument/2006/relationships" ref="K109" display="https://www.google.com/aclk?sa=l&amp;ai=DChcSEwizrI-8xv71AhUfPa0GHb-8ATUYABAIGgJwdg&amp;ae=2&amp;sig=AOD64_0XwUpaToo4C0FqRwMD1oaEhwuxCg&amp;ctype=5&amp;q=&amp;ved=2ahUKEwiAqfu7xv71AhWMD0QIHWi_DdgQ9aACegQIAhBC&amp;adurl=" r:id="rId1247"/>
    <hyperlink xmlns:r="http://schemas.openxmlformats.org/officeDocument/2006/relationships" ref="K110" display="https://www.google.com/aclk?sa=l&amp;ai=DChcSEwizrI-8xv71AhUfPa0GHb-8ATUYABAIGgJwdg&amp;ae=2&amp;sig=AOD64_0XwUpaToo4C0FqRwMD1oaEhwuxCg&amp;ctype=5&amp;q=&amp;ved=2ahUKEwiAqfu7xv71AhWMD0QIHWi_DdgQ9aACegQIAhBC&amp;adurl=" r:id="rId1248"/>
    <hyperlink xmlns:r="http://schemas.openxmlformats.org/officeDocument/2006/relationships" ref="K111" display="https://www.google.com/aclk?sa=l&amp;ai=DChcSEwizrI-8xv71AhUfPa0GHb-8ATUYABAIGgJwdg&amp;ae=2&amp;sig=AOD64_0XwUpaToo4C0FqRwMD1oaEhwuxCg&amp;ctype=5&amp;q=&amp;ved=2ahUKEwiAqfu7xv71AhWMD0QIHWi_DdgQ9aACegQIAhBC&amp;adurl=" r:id="rId1249"/>
    <hyperlink xmlns:r="http://schemas.openxmlformats.org/officeDocument/2006/relationships" ref="K112" display="https://www.google.com/aclk?sa=l&amp;ai=DChcSEwizrI-8xv71AhUfPa0GHb-8ATUYABAIGgJwdg&amp;ae=2&amp;sig=AOD64_0XwUpaToo4C0FqRwMD1oaEhwuxCg&amp;ctype=5&amp;q=&amp;ved=2ahUKEwiAqfu7xv71AhWMD0QIHWi_DdgQ9aACegQIAhBC&amp;adurl=" r:id="rId1250"/>
    <hyperlink xmlns:r="http://schemas.openxmlformats.org/officeDocument/2006/relationships" ref="K113" display="https://www.google.com/aclk?sa=l&amp;ai=DChcSEwizrI-8xv71AhUfPa0GHb-8ATUYABAIGgJwdg&amp;ae=2&amp;sig=AOD64_0XwUpaToo4C0FqRwMD1oaEhwuxCg&amp;ctype=5&amp;q=&amp;ved=2ahUKEwiAqfu7xv71AhWMD0QIHWi_DdgQ9aACegQIAhBC&amp;adurl=" r:id="rId1251"/>
    <hyperlink xmlns:r="http://schemas.openxmlformats.org/officeDocument/2006/relationships" ref="K114" display="https://www.google.com/aclk?sa=l&amp;ai=DChcSEwizrI-8xv71AhUfPa0GHb-8ATUYABAIGgJwdg&amp;ae=2&amp;sig=AOD64_0XwUpaToo4C0FqRwMD1oaEhwuxCg&amp;ctype=5&amp;q=&amp;ved=2ahUKEwiAqfu7xv71AhWMD0QIHWi_DdgQ9aACegQIAhBC&amp;adurl=" r:id="rId1252"/>
    <hyperlink xmlns:r="http://schemas.openxmlformats.org/officeDocument/2006/relationships" ref="K115" display="https://www.google.com/aclk?sa=l&amp;ai=DChcSEwizrI-8xv71AhUfPa0GHb-8ATUYABAIGgJwdg&amp;ae=2&amp;sig=AOD64_0XwUpaToo4C0FqRwMD1oaEhwuxCg&amp;ctype=5&amp;q=&amp;ved=2ahUKEwiAqfu7xv71AhWMD0QIHWi_DdgQ9aACegQIAhBC&amp;adurl=" r:id="rId1253"/>
    <hyperlink xmlns:r="http://schemas.openxmlformats.org/officeDocument/2006/relationships" ref="K116" display="https://www.google.com/aclk?sa=l&amp;ai=DChcSEwizrI-8xv71AhUfPa0GHb-8ATUYABAIGgJwdg&amp;ae=2&amp;sig=AOD64_0XwUpaToo4C0FqRwMD1oaEhwuxCg&amp;ctype=5&amp;q=&amp;ved=2ahUKEwiAqfu7xv71AhWMD0QIHWi_DdgQ9aACegQIAhBC&amp;adurl=" r:id="rId1254"/>
    <hyperlink xmlns:r="http://schemas.openxmlformats.org/officeDocument/2006/relationships" ref="K117" display="https://www.google.com/aclk?sa=l&amp;ai=DChcSEwizrI-8xv71AhUfPa0GHb-8ATUYABAIGgJwdg&amp;ae=2&amp;sig=AOD64_0XwUpaToo4C0FqRwMD1oaEhwuxCg&amp;ctype=5&amp;q=&amp;ved=2ahUKEwiAqfu7xv71AhWMD0QIHWi_DdgQ9aACegQIAhBC&amp;adurl=" r:id="rId1255"/>
    <hyperlink xmlns:r="http://schemas.openxmlformats.org/officeDocument/2006/relationships" ref="K118" display="https://www.google.com/aclk?sa=l&amp;ai=DChcSEwizrI-8xv71AhUfPa0GHb-8ATUYABAIGgJwdg&amp;ae=2&amp;sig=AOD64_0XwUpaToo4C0FqRwMD1oaEhwuxCg&amp;ctype=5&amp;q=&amp;ved=2ahUKEwiAqfu7xv71AhWMD0QIHWi_DdgQ9aACegQIAhBC&amp;adurl=" r:id="rId1256"/>
    <hyperlink xmlns:r="http://schemas.openxmlformats.org/officeDocument/2006/relationships" ref="K119" display="https://www.google.com/aclk?sa=l&amp;ai=DChcSEwizrI-8xv71AhUfPa0GHb-8ATUYABAIGgJwdg&amp;ae=2&amp;sig=AOD64_0XwUpaToo4C0FqRwMD1oaEhwuxCg&amp;ctype=5&amp;q=&amp;ved=2ahUKEwiAqfu7xv71AhWMD0QIHWi_DdgQ9aACegQIAhBC&amp;adurl=" r:id="rId1257"/>
    <hyperlink xmlns:r="http://schemas.openxmlformats.org/officeDocument/2006/relationships" ref="K120" display="https://www.google.com/aclk?sa=l&amp;ai=DChcSEwizrI-8xv71AhUfPa0GHb-8ATUYABAIGgJwdg&amp;ae=2&amp;sig=AOD64_0XwUpaToo4C0FqRwMD1oaEhwuxCg&amp;ctype=5&amp;q=&amp;ved=2ahUKEwiAqfu7xv71AhWMD0QIHWi_DdgQ9aACegQIAhBC&amp;adurl=" r:id="rId1258"/>
    <hyperlink xmlns:r="http://schemas.openxmlformats.org/officeDocument/2006/relationships" ref="K121" display="https://www.google.com/aclk?sa=l&amp;ai=DChcSEwizrI-8xv71AhUfPa0GHb-8ATUYABAIGgJwdg&amp;ae=2&amp;sig=AOD64_0XwUpaToo4C0FqRwMD1oaEhwuxCg&amp;ctype=5&amp;q=&amp;ved=2ahUKEwiAqfu7xv71AhWMD0QIHWi_DdgQ9aACegQIAhBC&amp;adurl=" r:id="rId1259"/>
    <hyperlink xmlns:r="http://schemas.openxmlformats.org/officeDocument/2006/relationships" ref="K122" display="https://www.google.com/aclk?sa=l&amp;ai=DChcSEwizrI-8xv71AhUfPa0GHb-8ATUYABAIGgJwdg&amp;ae=2&amp;sig=AOD64_0XwUpaToo4C0FqRwMD1oaEhwuxCg&amp;ctype=5&amp;q=&amp;ved=2ahUKEwiAqfu7xv71AhWMD0QIHWi_DdgQ9aACegQIAhBC&amp;adurl=" r:id="rId1260"/>
    <hyperlink xmlns:r="http://schemas.openxmlformats.org/officeDocument/2006/relationships" ref="K123" display="https://www.google.com/aclk?sa=l&amp;ai=DChcSEwizrI-8xv71AhUfPa0GHb-8ATUYABAIGgJwdg&amp;ae=2&amp;sig=AOD64_0XwUpaToo4C0FqRwMD1oaEhwuxCg&amp;ctype=5&amp;q=&amp;ved=2ahUKEwiAqfu7xv71AhWMD0QIHWi_DdgQ9aACegQIAhBC&amp;adurl=" r:id="rId1261"/>
    <hyperlink xmlns:r="http://schemas.openxmlformats.org/officeDocument/2006/relationships" ref="K124" display="https://www.google.com/aclk?sa=l&amp;ai=DChcSEwizrI-8xv71AhUfPa0GHb-8ATUYABAIGgJwdg&amp;ae=2&amp;sig=AOD64_0XwUpaToo4C0FqRwMD1oaEhwuxCg&amp;ctype=5&amp;q=&amp;ved=2ahUKEwiAqfu7xv71AhWMD0QIHWi_DdgQ9aACegQIAhBC&amp;adurl=" r:id="rId1262"/>
    <hyperlink xmlns:r="http://schemas.openxmlformats.org/officeDocument/2006/relationships" ref="K125" display="https://www.google.com/aclk?sa=l&amp;ai=DChcSEwizrI-8xv71AhUfPa0GHb-8ATUYABAIGgJwdg&amp;ae=2&amp;sig=AOD64_0XwUpaToo4C0FqRwMD1oaEhwuxCg&amp;ctype=5&amp;q=&amp;ved=2ahUKEwiAqfu7xv71AhWMD0QIHWi_DdgQ9aACegQIAhBC&amp;adurl=" r:id="rId1263"/>
    <hyperlink xmlns:r="http://schemas.openxmlformats.org/officeDocument/2006/relationships" ref="K126" display="https://www.google.com/aclk?sa=l&amp;ai=DChcSEwizrI-8xv71AhUfPa0GHb-8ATUYABAIGgJwdg&amp;ae=2&amp;sig=AOD64_0XwUpaToo4C0FqRwMD1oaEhwuxCg&amp;ctype=5&amp;q=&amp;ved=2ahUKEwiAqfu7xv71AhWMD0QIHWi_DdgQ9aACegQIAhBC&amp;adurl=" r:id="rId1264"/>
    <hyperlink xmlns:r="http://schemas.openxmlformats.org/officeDocument/2006/relationships" ref="K127" display="https://www.google.com/aclk?sa=l&amp;ai=DChcSEwizrI-8xv71AhUfPa0GHb-8ATUYABAIGgJwdg&amp;ae=2&amp;sig=AOD64_0XwUpaToo4C0FqRwMD1oaEhwuxCg&amp;ctype=5&amp;q=&amp;ved=2ahUKEwiAqfu7xv71AhWMD0QIHWi_DdgQ9aACegQIAhBC&amp;adurl=" r:id="rId1265"/>
    <hyperlink xmlns:r="http://schemas.openxmlformats.org/officeDocument/2006/relationships" ref="K128" display="https://www.google.com/aclk?sa=l&amp;ai=DChcSEwizrI-8xv71AhUfPa0GHb-8ATUYABAIGgJwdg&amp;ae=2&amp;sig=AOD64_0XwUpaToo4C0FqRwMD1oaEhwuxCg&amp;ctype=5&amp;q=&amp;ved=2ahUKEwiAqfu7xv71AhWMD0QIHWi_DdgQ9aACegQIAhBC&amp;adurl=" r:id="rId1266"/>
    <hyperlink xmlns:r="http://schemas.openxmlformats.org/officeDocument/2006/relationships" ref="K129" display="https://www.google.com/aclk?sa=l&amp;ai=DChcSEwizrI-8xv71AhUfPa0GHb-8ATUYABAIGgJwdg&amp;ae=2&amp;sig=AOD64_0XwUpaToo4C0FqRwMD1oaEhwuxCg&amp;ctype=5&amp;q=&amp;ved=2ahUKEwiAqfu7xv71AhWMD0QIHWi_DdgQ9aACegQIAhBC&amp;adurl=" r:id="rId1267"/>
    <hyperlink xmlns:r="http://schemas.openxmlformats.org/officeDocument/2006/relationships" ref="K130" display="https://www.google.com/aclk?sa=l&amp;ai=DChcSEwizrI-8xv71AhUfPa0GHb-8ATUYABAIGgJwdg&amp;ae=2&amp;sig=AOD64_0XwUpaToo4C0FqRwMD1oaEhwuxCg&amp;ctype=5&amp;q=&amp;ved=2ahUKEwiAqfu7xv71AhWMD0QIHWi_DdgQ9aACegQIAhBC&amp;adurl=" r:id="rId1268"/>
    <hyperlink xmlns:r="http://schemas.openxmlformats.org/officeDocument/2006/relationships" ref="K131" display="https://www.google.com/aclk?sa=l&amp;ai=DChcSEwizrI-8xv71AhUfPa0GHb-8ATUYABAIGgJwdg&amp;ae=2&amp;sig=AOD64_0XwUpaToo4C0FqRwMD1oaEhwuxCg&amp;ctype=5&amp;q=&amp;ved=2ahUKEwiAqfu7xv71AhWMD0QIHWi_DdgQ9aACegQIAhBC&amp;adurl=" r:id="rId1269"/>
    <hyperlink xmlns:r="http://schemas.openxmlformats.org/officeDocument/2006/relationships" ref="K132" display="https://www.google.com/aclk?sa=l&amp;ai=DChcSEwizrI-8xv71AhUfPa0GHb-8ATUYABAIGgJwdg&amp;ae=2&amp;sig=AOD64_0XwUpaToo4C0FqRwMD1oaEhwuxCg&amp;ctype=5&amp;q=&amp;ved=2ahUKEwiAqfu7xv71AhWMD0QIHWi_DdgQ9aACegQIAhBC&amp;adurl=" r:id="rId1270"/>
    <hyperlink xmlns:r="http://schemas.openxmlformats.org/officeDocument/2006/relationships" ref="K133" display="https://www.google.com/aclk?sa=l&amp;ai=DChcSEwizrI-8xv71AhUfPa0GHb-8ATUYABAIGgJwdg&amp;ae=2&amp;sig=AOD64_0XwUpaToo4C0FqRwMD1oaEhwuxCg&amp;ctype=5&amp;q=&amp;ved=2ahUKEwiAqfu7xv71AhWMD0QIHWi_DdgQ9aACegQIAhBC&amp;adurl=" r:id="rId1271"/>
    <hyperlink xmlns:r="http://schemas.openxmlformats.org/officeDocument/2006/relationships" ref="K134" display="https://www.google.com/aclk?sa=l&amp;ai=DChcSEwizrI-8xv71AhUfPa0GHb-8ATUYABAIGgJwdg&amp;ae=2&amp;sig=AOD64_0XwUpaToo4C0FqRwMD1oaEhwuxCg&amp;ctype=5&amp;q=&amp;ved=2ahUKEwiAqfu7xv71AhWMD0QIHWi_DdgQ9aACegQIAhBC&amp;adurl=" r:id="rId1272"/>
    <hyperlink xmlns:r="http://schemas.openxmlformats.org/officeDocument/2006/relationships" ref="K135" display="https://www.google.com/aclk?sa=l&amp;ai=DChcSEwizrI-8xv71AhUfPa0GHb-8ATUYABAIGgJwdg&amp;ae=2&amp;sig=AOD64_0XwUpaToo4C0FqRwMD1oaEhwuxCg&amp;ctype=5&amp;q=&amp;ved=2ahUKEwiAqfu7xv71AhWMD0QIHWi_DdgQ9aACegQIAhBC&amp;adurl=" r:id="rId1273"/>
    <hyperlink xmlns:r="http://schemas.openxmlformats.org/officeDocument/2006/relationships" ref="K136" display="https://www.google.com/aclk?sa=l&amp;ai=DChcSEwizrI-8xv71AhUfPa0GHb-8ATUYABAIGgJwdg&amp;ae=2&amp;sig=AOD64_0XwUpaToo4C0FqRwMD1oaEhwuxCg&amp;ctype=5&amp;q=&amp;ved=2ahUKEwiAqfu7xv71AhWMD0QIHWi_DdgQ9aACegQIAhBC&amp;adurl=" r:id="rId1274"/>
    <hyperlink xmlns:r="http://schemas.openxmlformats.org/officeDocument/2006/relationships" ref="K137" display="https://www.google.com/aclk?sa=l&amp;ai=DChcSEwizrI-8xv71AhUfPa0GHb-8ATUYABAIGgJwdg&amp;ae=2&amp;sig=AOD64_0XwUpaToo4C0FqRwMD1oaEhwuxCg&amp;ctype=5&amp;q=&amp;ved=2ahUKEwiAqfu7xv71AhWMD0QIHWi_DdgQ9aACegQIAhBC&amp;adurl=" r:id="rId1275"/>
    <hyperlink xmlns:r="http://schemas.openxmlformats.org/officeDocument/2006/relationships" ref="K138" display="https://www.google.com/aclk?sa=l&amp;ai=DChcSEwizrI-8xv71AhUfPa0GHb-8ATUYABAIGgJwdg&amp;ae=2&amp;sig=AOD64_0XwUpaToo4C0FqRwMD1oaEhwuxCg&amp;ctype=5&amp;q=&amp;ved=2ahUKEwiAqfu7xv71AhWMD0QIHWi_DdgQ9aACegQIAhBC&amp;adurl=" r:id="rId1276"/>
    <hyperlink xmlns:r="http://schemas.openxmlformats.org/officeDocument/2006/relationships" ref="K139" display="https://www.google.com/aclk?sa=l&amp;ai=DChcSEwizrI-8xv71AhUfPa0GHb-8ATUYABAIGgJwdg&amp;ae=2&amp;sig=AOD64_0XwUpaToo4C0FqRwMD1oaEhwuxCg&amp;ctype=5&amp;q=&amp;ved=2ahUKEwiAqfu7xv71AhWMD0QIHWi_DdgQ9aACegQIAhBC&amp;adurl=" r:id="rId1277"/>
    <hyperlink xmlns:r="http://schemas.openxmlformats.org/officeDocument/2006/relationships" ref="K140" display="https://www.google.com/aclk?sa=l&amp;ai=DChcSEwizrI-8xv71AhUfPa0GHb-8ATUYABAIGgJwdg&amp;ae=2&amp;sig=AOD64_0XwUpaToo4C0FqRwMD1oaEhwuxCg&amp;ctype=5&amp;q=&amp;ved=2ahUKEwiAqfu7xv71AhWMD0QIHWi_DdgQ9aACegQIAhBC&amp;adurl=" r:id="rId1278"/>
    <hyperlink xmlns:r="http://schemas.openxmlformats.org/officeDocument/2006/relationships" ref="K141" display="https://www.google.com/aclk?sa=l&amp;ai=DChcSEwizrI-8xv71AhUfPa0GHb-8ATUYABAIGgJwdg&amp;ae=2&amp;sig=AOD64_0XwUpaToo4C0FqRwMD1oaEhwuxCg&amp;ctype=5&amp;q=&amp;ved=2ahUKEwiAqfu7xv71AhWMD0QIHWi_DdgQ9aACegQIAhBC&amp;adurl=" r:id="rId1279"/>
    <hyperlink xmlns:r="http://schemas.openxmlformats.org/officeDocument/2006/relationships" ref="K142" display="https://www.google.com/aclk?sa=l&amp;ai=DChcSEwizrI-8xv71AhUfPa0GHb-8ATUYABAIGgJwdg&amp;ae=2&amp;sig=AOD64_0XwUpaToo4C0FqRwMD1oaEhwuxCg&amp;ctype=5&amp;q=&amp;ved=2ahUKEwiAqfu7xv71AhWMD0QIHWi_DdgQ9aACegQIAhBC&amp;adurl=" r:id="rId1280"/>
    <hyperlink xmlns:r="http://schemas.openxmlformats.org/officeDocument/2006/relationships" ref="K143" display="https://www.google.com/aclk?sa=l&amp;ai=DChcSEwizrI-8xv71AhUfPa0GHb-8ATUYABAIGgJwdg&amp;ae=2&amp;sig=AOD64_0XwUpaToo4C0FqRwMD1oaEhwuxCg&amp;ctype=5&amp;q=&amp;ved=2ahUKEwiAqfu7xv71AhWMD0QIHWi_DdgQ9aACegQIAhBC&amp;adurl=" r:id="rId1281"/>
    <hyperlink xmlns:r="http://schemas.openxmlformats.org/officeDocument/2006/relationships" ref="K144" display="https://www.google.com/aclk?sa=l&amp;ai=DChcSEwizrI-8xv71AhUfPa0GHb-8ATUYABAIGgJwdg&amp;ae=2&amp;sig=AOD64_0XwUpaToo4C0FqRwMD1oaEhwuxCg&amp;ctype=5&amp;q=&amp;ved=2ahUKEwiAqfu7xv71AhWMD0QIHWi_DdgQ9aACegQIAhBC&amp;adurl=" r:id="rId1282"/>
    <hyperlink xmlns:r="http://schemas.openxmlformats.org/officeDocument/2006/relationships" ref="K145" display="https://www.google.com/aclk?sa=l&amp;ai=DChcSEwizrI-8xv71AhUfPa0GHb-8ATUYABAIGgJwdg&amp;ae=2&amp;sig=AOD64_0XwUpaToo4C0FqRwMD1oaEhwuxCg&amp;ctype=5&amp;q=&amp;ved=2ahUKEwiAqfu7xv71AhWMD0QIHWi_DdgQ9aACegQIAhBC&amp;adurl=" r:id="rId1283"/>
    <hyperlink xmlns:r="http://schemas.openxmlformats.org/officeDocument/2006/relationships" ref="K146" display="https://www.google.com/aclk?sa=l&amp;ai=DChcSEwizrI-8xv71AhUfPa0GHb-8ATUYABAIGgJwdg&amp;ae=2&amp;sig=AOD64_0XwUpaToo4C0FqRwMD1oaEhwuxCg&amp;ctype=5&amp;q=&amp;ved=2ahUKEwiAqfu7xv71AhWMD0QIHWi_DdgQ9aACegQIAhBC&amp;adurl=" r:id="rId1284"/>
    <hyperlink xmlns:r="http://schemas.openxmlformats.org/officeDocument/2006/relationships" ref="K147" display="https://www.google.com/aclk?sa=l&amp;ai=DChcSEwizrI-8xv71AhUfPa0GHb-8ATUYABAIGgJwdg&amp;ae=2&amp;sig=AOD64_0XwUpaToo4C0FqRwMD1oaEhwuxCg&amp;ctype=5&amp;q=&amp;ved=2ahUKEwiAqfu7xv71AhWMD0QIHWi_DdgQ9aACegQIAhBC&amp;adurl=" r:id="rId1285"/>
    <hyperlink xmlns:r="http://schemas.openxmlformats.org/officeDocument/2006/relationships" ref="K148" display="https://www.google.com/aclk?sa=l&amp;ai=DChcSEwizrI-8xv71AhUfPa0GHb-8ATUYABAIGgJwdg&amp;ae=2&amp;sig=AOD64_0XwUpaToo4C0FqRwMD1oaEhwuxCg&amp;ctype=5&amp;q=&amp;ved=2ahUKEwiAqfu7xv71AhWMD0QIHWi_DdgQ9aACegQIAhBC&amp;adurl=" r:id="rId1286"/>
    <hyperlink xmlns:r="http://schemas.openxmlformats.org/officeDocument/2006/relationships" ref="K149" display="https://www.google.com/aclk?sa=l&amp;ai=DChcSEwizrI-8xv71AhUfPa0GHb-8ATUYABAIGgJwdg&amp;ae=2&amp;sig=AOD64_0XwUpaToo4C0FqRwMD1oaEhwuxCg&amp;ctype=5&amp;q=&amp;ved=2ahUKEwiAqfu7xv71AhWMD0QIHWi_DdgQ9aACegQIAhBC&amp;adurl=" r:id="rId1287"/>
    <hyperlink xmlns:r="http://schemas.openxmlformats.org/officeDocument/2006/relationships" ref="K150" display="https://www.google.com/aclk?sa=l&amp;ai=DChcSEwizrI-8xv71AhUfPa0GHb-8ATUYABAIGgJwdg&amp;ae=2&amp;sig=AOD64_0XwUpaToo4C0FqRwMD1oaEhwuxCg&amp;ctype=5&amp;q=&amp;ved=2ahUKEwiAqfu7xv71AhWMD0QIHWi_DdgQ9aACegQIAhBC&amp;adurl=" r:id="rId1288"/>
    <hyperlink xmlns:r="http://schemas.openxmlformats.org/officeDocument/2006/relationships" ref="K151" display="https://www.google.com/aclk?sa=l&amp;ai=DChcSEwizrI-8xv71AhUfPa0GHb-8ATUYABAIGgJwdg&amp;ae=2&amp;sig=AOD64_0XwUpaToo4C0FqRwMD1oaEhwuxCg&amp;ctype=5&amp;q=&amp;ved=2ahUKEwiAqfu7xv71AhWMD0QIHWi_DdgQ9aACegQIAhBC&amp;adurl=" r:id="rId1289"/>
    <hyperlink xmlns:r="http://schemas.openxmlformats.org/officeDocument/2006/relationships" ref="K152" display="https://www.google.com/aclk?sa=l&amp;ai=DChcSEwizrI-8xv71AhUfPa0GHb-8ATUYABAIGgJwdg&amp;ae=2&amp;sig=AOD64_0XwUpaToo4C0FqRwMD1oaEhwuxCg&amp;ctype=5&amp;q=&amp;ved=2ahUKEwiAqfu7xv71AhWMD0QIHWi_DdgQ9aACegQIAhBC&amp;adurl=" r:id="rId1290"/>
    <hyperlink xmlns:r="http://schemas.openxmlformats.org/officeDocument/2006/relationships" ref="K153" display="https://www.google.com/aclk?sa=l&amp;ai=DChcSEwizrI-8xv71AhUfPa0GHb-8ATUYABAIGgJwdg&amp;ae=2&amp;sig=AOD64_0XwUpaToo4C0FqRwMD1oaEhwuxCg&amp;ctype=5&amp;q=&amp;ved=2ahUKEwiAqfu7xv71AhWMD0QIHWi_DdgQ9aACegQIAhBC&amp;adurl=" r:id="rId1291"/>
    <hyperlink xmlns:r="http://schemas.openxmlformats.org/officeDocument/2006/relationships" ref="K154" display="https://www.google.com/aclk?sa=l&amp;ai=DChcSEwizrI-8xv71AhUfPa0GHb-8ATUYABAIGgJwdg&amp;ae=2&amp;sig=AOD64_0XwUpaToo4C0FqRwMD1oaEhwuxCg&amp;ctype=5&amp;q=&amp;ved=2ahUKEwiAqfu7xv71AhWMD0QIHWi_DdgQ9aACegQIAhBC&amp;adurl=" r:id="rId1292"/>
    <hyperlink xmlns:r="http://schemas.openxmlformats.org/officeDocument/2006/relationships" ref="K155" display="https://www.google.com/aclk?sa=l&amp;ai=DChcSEwizrI-8xv71AhUfPa0GHb-8ATUYABAIGgJwdg&amp;ae=2&amp;sig=AOD64_0XwUpaToo4C0FqRwMD1oaEhwuxCg&amp;ctype=5&amp;q=&amp;ved=2ahUKEwiAqfu7xv71AhWMD0QIHWi_DdgQ9aACegQIAhBC&amp;adurl=" r:id="rId1293"/>
    <hyperlink xmlns:r="http://schemas.openxmlformats.org/officeDocument/2006/relationships" ref="K156" display="https://www.google.com/aclk?sa=l&amp;ai=DChcSEwizrI-8xv71AhUfPa0GHb-8ATUYABAIGgJwdg&amp;ae=2&amp;sig=AOD64_0XwUpaToo4C0FqRwMD1oaEhwuxCg&amp;ctype=5&amp;q=&amp;ved=2ahUKEwiAqfu7xv71AhWMD0QIHWi_DdgQ9aACegQIAhBC&amp;adurl=" r:id="rId1294"/>
    <hyperlink xmlns:r="http://schemas.openxmlformats.org/officeDocument/2006/relationships" ref="K157" display="https://www.google.com/aclk?sa=l&amp;ai=DChcSEwizrI-8xv71AhUfPa0GHb-8ATUYABAIGgJwdg&amp;ae=2&amp;sig=AOD64_0XwUpaToo4C0FqRwMD1oaEhwuxCg&amp;ctype=5&amp;q=&amp;ved=2ahUKEwiAqfu7xv71AhWMD0QIHWi_DdgQ9aACegQIAhBC&amp;adurl=" r:id="rId1295"/>
    <hyperlink xmlns:r="http://schemas.openxmlformats.org/officeDocument/2006/relationships" ref="K158" display="https://www.google.com/aclk?sa=l&amp;ai=DChcSEwizrI-8xv71AhUfPa0GHb-8ATUYABAIGgJwdg&amp;ae=2&amp;sig=AOD64_0XwUpaToo4C0FqRwMD1oaEhwuxCg&amp;ctype=5&amp;q=&amp;ved=2ahUKEwiAqfu7xv71AhWMD0QIHWi_DdgQ9aACegQIAhBC&amp;adurl=" r:id="rId1296"/>
    <hyperlink xmlns:r="http://schemas.openxmlformats.org/officeDocument/2006/relationships" ref="K159" display="https://www.google.com/aclk?sa=l&amp;ai=DChcSEwizrI-8xv71AhUfPa0GHb-8ATUYABAIGgJwdg&amp;ae=2&amp;sig=AOD64_0XwUpaToo4C0FqRwMD1oaEhwuxCg&amp;ctype=5&amp;q=&amp;ved=2ahUKEwiAqfu7xv71AhWMD0QIHWi_DdgQ9aACegQIAhBC&amp;adurl=" r:id="rId1297"/>
    <hyperlink xmlns:r="http://schemas.openxmlformats.org/officeDocument/2006/relationships" ref="K160" display="https://www.google.com/aclk?sa=l&amp;ai=DChcSEwizrI-8xv71AhUfPa0GHb-8ATUYABAIGgJwdg&amp;ae=2&amp;sig=AOD64_0XwUpaToo4C0FqRwMD1oaEhwuxCg&amp;ctype=5&amp;q=&amp;ved=2ahUKEwiAqfu7xv71AhWMD0QIHWi_DdgQ9aACegQIAhBC&amp;adurl=" r:id="rId1298"/>
    <hyperlink xmlns:r="http://schemas.openxmlformats.org/officeDocument/2006/relationships" ref="K161" display="https://www.google.com/aclk?sa=l&amp;ai=DChcSEwizrI-8xv71AhUfPa0GHb-8ATUYABAIGgJwdg&amp;ae=2&amp;sig=AOD64_0XwUpaToo4C0FqRwMD1oaEhwuxCg&amp;ctype=5&amp;q=&amp;ved=2ahUKEwiAqfu7xv71AhWMD0QIHWi_DdgQ9aACegQIAhBC&amp;adurl=" r:id="rId1299"/>
    <hyperlink xmlns:r="http://schemas.openxmlformats.org/officeDocument/2006/relationships" ref="K162" display="https://www.google.com/aclk?sa=l&amp;ai=DChcSEwizrI-8xv71AhUfPa0GHb-8ATUYABAIGgJwdg&amp;ae=2&amp;sig=AOD64_0XwUpaToo4C0FqRwMD1oaEhwuxCg&amp;ctype=5&amp;q=&amp;ved=2ahUKEwiAqfu7xv71AhWMD0QIHWi_DdgQ9aACegQIAhBC&amp;adurl=" r:id="rId1300"/>
    <hyperlink xmlns:r="http://schemas.openxmlformats.org/officeDocument/2006/relationships" ref="K163" display="https://www.google.com/aclk?sa=l&amp;ai=DChcSEwizrI-8xv71AhUfPa0GHb-8ATUYABAIGgJwdg&amp;ae=2&amp;sig=AOD64_0XwUpaToo4C0FqRwMD1oaEhwuxCg&amp;ctype=5&amp;q=&amp;ved=2ahUKEwiAqfu7xv71AhWMD0QIHWi_DdgQ9aACegQIAhBC&amp;adurl=" r:id="rId1301"/>
    <hyperlink xmlns:r="http://schemas.openxmlformats.org/officeDocument/2006/relationships" ref="K164" display="https://www.google.com/aclk?sa=l&amp;ai=DChcSEwizrI-8xv71AhUfPa0GHb-8ATUYABAIGgJwdg&amp;ae=2&amp;sig=AOD64_0XwUpaToo4C0FqRwMD1oaEhwuxCg&amp;ctype=5&amp;q=&amp;ved=2ahUKEwiAqfu7xv71AhWMD0QIHWi_DdgQ9aACegQIAhBC&amp;adurl=" r:id="rId1302"/>
    <hyperlink xmlns:r="http://schemas.openxmlformats.org/officeDocument/2006/relationships" ref="K165" display="https://www.google.com/aclk?sa=l&amp;ai=DChcSEwizrI-8xv71AhUfPa0GHb-8ATUYABAIGgJwdg&amp;ae=2&amp;sig=AOD64_0XwUpaToo4C0FqRwMD1oaEhwuxCg&amp;ctype=5&amp;q=&amp;ved=2ahUKEwiAqfu7xv71AhWMD0QIHWi_DdgQ9aACegQIAhBC&amp;adurl=" r:id="rId1303"/>
    <hyperlink xmlns:r="http://schemas.openxmlformats.org/officeDocument/2006/relationships" ref="K166" display="https://www.google.com/aclk?sa=l&amp;ai=DChcSEwizrI-8xv71AhUfPa0GHb-8ATUYABAIGgJwdg&amp;ae=2&amp;sig=AOD64_0XwUpaToo4C0FqRwMD1oaEhwuxCg&amp;ctype=5&amp;q=&amp;ved=2ahUKEwiAqfu7xv71AhWMD0QIHWi_DdgQ9aACegQIAhBC&amp;adurl=" r:id="rId1304"/>
    <hyperlink xmlns:r="http://schemas.openxmlformats.org/officeDocument/2006/relationships" ref="K167" display="https://www.google.com/aclk?sa=l&amp;ai=DChcSEwizrI-8xv71AhUfPa0GHb-8ATUYABAIGgJwdg&amp;ae=2&amp;sig=AOD64_0XwUpaToo4C0FqRwMD1oaEhwuxCg&amp;ctype=5&amp;q=&amp;ved=2ahUKEwiAqfu7xv71AhWMD0QIHWi_DdgQ9aACegQIAhBC&amp;adurl=" r:id="rId1305"/>
    <hyperlink xmlns:r="http://schemas.openxmlformats.org/officeDocument/2006/relationships" ref="K168" display="https://www.google.com/aclk?sa=l&amp;ai=DChcSEwizrI-8xv71AhUfPa0GHb-8ATUYABAIGgJwdg&amp;ae=2&amp;sig=AOD64_0XwUpaToo4C0FqRwMD1oaEhwuxCg&amp;ctype=5&amp;q=&amp;ved=2ahUKEwiAqfu7xv71AhWMD0QIHWi_DdgQ9aACegQIAhBC&amp;adurl=" r:id="rId1306"/>
    <hyperlink xmlns:r="http://schemas.openxmlformats.org/officeDocument/2006/relationships" ref="K169" display="https://www.google.com/aclk?sa=l&amp;ai=DChcSEwizrI-8xv71AhUfPa0GHb-8ATUYABAIGgJwdg&amp;ae=2&amp;sig=AOD64_0XwUpaToo4C0FqRwMD1oaEhwuxCg&amp;ctype=5&amp;q=&amp;ved=2ahUKEwiAqfu7xv71AhWMD0QIHWi_DdgQ9aACegQIAhBC&amp;adurl=" r:id="rId1307"/>
    <hyperlink xmlns:r="http://schemas.openxmlformats.org/officeDocument/2006/relationships" ref="K170" display="https://www.google.com/aclk?sa=l&amp;ai=DChcSEwizrI-8xv71AhUfPa0GHb-8ATUYABAIGgJwdg&amp;ae=2&amp;sig=AOD64_0XwUpaToo4C0FqRwMD1oaEhwuxCg&amp;ctype=5&amp;q=&amp;ved=2ahUKEwiAqfu7xv71AhWMD0QIHWi_DdgQ9aACegQIAhBC&amp;adurl=" r:id="rId1308"/>
    <hyperlink xmlns:r="http://schemas.openxmlformats.org/officeDocument/2006/relationships" ref="K171" display="https://www.google.com/aclk?sa=l&amp;ai=DChcSEwizrI-8xv71AhUfPa0GHb-8ATUYABAIGgJwdg&amp;ae=2&amp;sig=AOD64_0XwUpaToo4C0FqRwMD1oaEhwuxCg&amp;ctype=5&amp;q=&amp;ved=2ahUKEwiAqfu7xv71AhWMD0QIHWi_DdgQ9aACegQIAhBC&amp;adurl=" r:id="rId1309"/>
    <hyperlink xmlns:r="http://schemas.openxmlformats.org/officeDocument/2006/relationships" ref="K172" display="https://www.google.com/aclk?sa=l&amp;ai=DChcSEwizrI-8xv71AhUfPa0GHb-8ATUYABAIGgJwdg&amp;ae=2&amp;sig=AOD64_0XwUpaToo4C0FqRwMD1oaEhwuxCg&amp;ctype=5&amp;q=&amp;ved=2ahUKEwiAqfu7xv71AhWMD0QIHWi_DdgQ9aACegQIAhBC&amp;adurl=" r:id="rId1310"/>
    <hyperlink xmlns:r="http://schemas.openxmlformats.org/officeDocument/2006/relationships" ref="K173" display="https://www.google.com/aclk?sa=l&amp;ai=DChcSEwizrI-8xv71AhUfPa0GHb-8ATUYABAIGgJwdg&amp;ae=2&amp;sig=AOD64_0XwUpaToo4C0FqRwMD1oaEhwuxCg&amp;ctype=5&amp;q=&amp;ved=2ahUKEwiAqfu7xv71AhWMD0QIHWi_DdgQ9aACegQIAhBC&amp;adurl=" r:id="rId1311"/>
    <hyperlink xmlns:r="http://schemas.openxmlformats.org/officeDocument/2006/relationships" ref="K174" display="https://www.google.com/aclk?sa=l&amp;ai=DChcSEwizrI-8xv71AhUfPa0GHb-8ATUYABAIGgJwdg&amp;ae=2&amp;sig=AOD64_0XwUpaToo4C0FqRwMD1oaEhwuxCg&amp;ctype=5&amp;q=&amp;ved=2ahUKEwiAqfu7xv71AhWMD0QIHWi_DdgQ9aACegQIAhBC&amp;adurl=" r:id="rId1312"/>
    <hyperlink xmlns:r="http://schemas.openxmlformats.org/officeDocument/2006/relationships" ref="K175" display="https://www.google.com/aclk?sa=l&amp;ai=DChcSEwizrI-8xv71AhUfPa0GHb-8ATUYABAIGgJwdg&amp;ae=2&amp;sig=AOD64_0XwUpaToo4C0FqRwMD1oaEhwuxCg&amp;ctype=5&amp;q=&amp;ved=2ahUKEwiAqfu7xv71AhWMD0QIHWi_DdgQ9aACegQIAhBC&amp;adurl=" r:id="rId1313"/>
    <hyperlink xmlns:r="http://schemas.openxmlformats.org/officeDocument/2006/relationships" ref="K176" display="https://www.google.com/aclk?sa=l&amp;ai=DChcSEwizrI-8xv71AhUfPa0GHb-8ATUYABAIGgJwdg&amp;ae=2&amp;sig=AOD64_0XwUpaToo4C0FqRwMD1oaEhwuxCg&amp;ctype=5&amp;q=&amp;ved=2ahUKEwiAqfu7xv71AhWMD0QIHWi_DdgQ9aACegQIAhBC&amp;adurl=" r:id="rId1314"/>
    <hyperlink xmlns:r="http://schemas.openxmlformats.org/officeDocument/2006/relationships" ref="K177" display="https://www.google.com/aclk?sa=l&amp;ai=DChcSEwizrI-8xv71AhUfPa0GHb-8ATUYABAIGgJwdg&amp;ae=2&amp;sig=AOD64_0XwUpaToo4C0FqRwMD1oaEhwuxCg&amp;ctype=5&amp;q=&amp;ved=2ahUKEwiAqfu7xv71AhWMD0QIHWi_DdgQ9aACegQIAhBC&amp;adurl=" r:id="rId1315"/>
    <hyperlink xmlns:r="http://schemas.openxmlformats.org/officeDocument/2006/relationships" ref="K178" display="https://www.google.com/aclk?sa=l&amp;ai=DChcSEwizrI-8xv71AhUfPa0GHb-8ATUYABAIGgJwdg&amp;ae=2&amp;sig=AOD64_0XwUpaToo4C0FqRwMD1oaEhwuxCg&amp;ctype=5&amp;q=&amp;ved=2ahUKEwiAqfu7xv71AhWMD0QIHWi_DdgQ9aACegQIAhBC&amp;adurl=" r:id="rId1316"/>
    <hyperlink xmlns:r="http://schemas.openxmlformats.org/officeDocument/2006/relationships" ref="K179" display="https://www.google.com/aclk?sa=l&amp;ai=DChcSEwizrI-8xv71AhUfPa0GHb-8ATUYABAIGgJwdg&amp;ae=2&amp;sig=AOD64_0XwUpaToo4C0FqRwMD1oaEhwuxCg&amp;ctype=5&amp;q=&amp;ved=2ahUKEwiAqfu7xv71AhWMD0QIHWi_DdgQ9aACegQIAhBC&amp;adurl=" r:id="rId1317"/>
    <hyperlink xmlns:r="http://schemas.openxmlformats.org/officeDocument/2006/relationships" ref="K180" display="https://www.google.com/aclk?sa=l&amp;ai=DChcSEwizrI-8xv71AhUfPa0GHb-8ATUYABAIGgJwdg&amp;ae=2&amp;sig=AOD64_0XwUpaToo4C0FqRwMD1oaEhwuxCg&amp;ctype=5&amp;q=&amp;ved=2ahUKEwiAqfu7xv71AhWMD0QIHWi_DdgQ9aACegQIAhBC&amp;adurl=" r:id="rId1318"/>
    <hyperlink xmlns:r="http://schemas.openxmlformats.org/officeDocument/2006/relationships" ref="K181" display="https://www.google.com/aclk?sa=l&amp;ai=DChcSEwizrI-8xv71AhUfPa0GHb-8ATUYABAIGgJwdg&amp;ae=2&amp;sig=AOD64_0XwUpaToo4C0FqRwMD1oaEhwuxCg&amp;ctype=5&amp;q=&amp;ved=2ahUKEwiAqfu7xv71AhWMD0QIHWi_DdgQ9aACegQIAhBC&amp;adurl=" r:id="rId1319"/>
    <hyperlink xmlns:r="http://schemas.openxmlformats.org/officeDocument/2006/relationships" ref="K182" display="https://www.google.com/aclk?sa=l&amp;ai=DChcSEwizrI-8xv71AhUfPa0GHb-8ATUYABAIGgJwdg&amp;ae=2&amp;sig=AOD64_0XwUpaToo4C0FqRwMD1oaEhwuxCg&amp;ctype=5&amp;q=&amp;ved=2ahUKEwiAqfu7xv71AhWMD0QIHWi_DdgQ9aACegQIAhBC&amp;adurl=" r:id="rId1320"/>
    <hyperlink xmlns:r="http://schemas.openxmlformats.org/officeDocument/2006/relationships" ref="K183" display="https://www.google.com/aclk?sa=l&amp;ai=DChcSEwizrI-8xv71AhUfPa0GHb-8ATUYABAIGgJwdg&amp;ae=2&amp;sig=AOD64_0XwUpaToo4C0FqRwMD1oaEhwuxCg&amp;ctype=5&amp;q=&amp;ved=2ahUKEwiAqfu7xv71AhWMD0QIHWi_DdgQ9aACegQIAhBC&amp;adurl=" r:id="rId1321"/>
    <hyperlink xmlns:r="http://schemas.openxmlformats.org/officeDocument/2006/relationships" ref="K184" display="https://www.google.com/aclk?sa=l&amp;ai=DChcSEwizrI-8xv71AhUfPa0GHb-8ATUYABAIGgJwdg&amp;ae=2&amp;sig=AOD64_0XwUpaToo4C0FqRwMD1oaEhwuxCg&amp;ctype=5&amp;q=&amp;ved=2ahUKEwiAqfu7xv71AhWMD0QIHWi_DdgQ9aACegQIAhBC&amp;adurl=" r:id="rId1322"/>
    <hyperlink xmlns:r="http://schemas.openxmlformats.org/officeDocument/2006/relationships" ref="K185" display="https://www.google.com/aclk?sa=l&amp;ai=DChcSEwizrI-8xv71AhUfPa0GHb-8ATUYABAIGgJwdg&amp;ae=2&amp;sig=AOD64_0XwUpaToo4C0FqRwMD1oaEhwuxCg&amp;ctype=5&amp;q=&amp;ved=2ahUKEwiAqfu7xv71AhWMD0QIHWi_DdgQ9aACegQIAhBC&amp;adurl=" r:id="rId1323"/>
    <hyperlink xmlns:r="http://schemas.openxmlformats.org/officeDocument/2006/relationships" ref="K186" display="https://www.google.com/aclk?sa=l&amp;ai=DChcSEwizrI-8xv71AhUfPa0GHb-8ATUYABAIGgJwdg&amp;ae=2&amp;sig=AOD64_0XwUpaToo4C0FqRwMD1oaEhwuxCg&amp;ctype=5&amp;q=&amp;ved=2ahUKEwiAqfu7xv71AhWMD0QIHWi_DdgQ9aACegQIAhBC&amp;adurl=" r:id="rId1324"/>
    <hyperlink xmlns:r="http://schemas.openxmlformats.org/officeDocument/2006/relationships" ref="K187" display="https://www.google.com/aclk?sa=l&amp;ai=DChcSEwizrI-8xv71AhUfPa0GHb-8ATUYABAIGgJwdg&amp;ae=2&amp;sig=AOD64_0XwUpaToo4C0FqRwMD1oaEhwuxCg&amp;ctype=5&amp;q=&amp;ved=2ahUKEwiAqfu7xv71AhWMD0QIHWi_DdgQ9aACegQIAhBC&amp;adurl=" r:id="rId1325"/>
    <hyperlink xmlns:r="http://schemas.openxmlformats.org/officeDocument/2006/relationships" ref="K188" display="https://www.google.com/aclk?sa=l&amp;ai=DChcSEwizrI-8xv71AhUfPa0GHb-8ATUYABAIGgJwdg&amp;ae=2&amp;sig=AOD64_0XwUpaToo4C0FqRwMD1oaEhwuxCg&amp;ctype=5&amp;q=&amp;ved=2ahUKEwiAqfu7xv71AhWMD0QIHWi_DdgQ9aACegQIAhBC&amp;adurl=" r:id="rId1326"/>
    <hyperlink xmlns:r="http://schemas.openxmlformats.org/officeDocument/2006/relationships" ref="K189" display="https://www.google.com/aclk?sa=l&amp;ai=DChcSEwizrI-8xv71AhUfPa0GHb-8ATUYABAIGgJwdg&amp;ae=2&amp;sig=AOD64_0XwUpaToo4C0FqRwMD1oaEhwuxCg&amp;ctype=5&amp;q=&amp;ved=2ahUKEwiAqfu7xv71AhWMD0QIHWi_DdgQ9aACegQIAhBC&amp;adurl=" r:id="rId1327"/>
    <hyperlink xmlns:r="http://schemas.openxmlformats.org/officeDocument/2006/relationships" ref="K190" display="https://www.google.com/aclk?sa=l&amp;ai=DChcSEwizrI-8xv71AhUfPa0GHb-8ATUYABAIGgJwdg&amp;ae=2&amp;sig=AOD64_0XwUpaToo4C0FqRwMD1oaEhwuxCg&amp;ctype=5&amp;q=&amp;ved=2ahUKEwiAqfu7xv71AhWMD0QIHWi_DdgQ9aACegQIAhBC&amp;adurl=" r:id="rId1328"/>
    <hyperlink xmlns:r="http://schemas.openxmlformats.org/officeDocument/2006/relationships" ref="K191" display="https://www.google.com/aclk?sa=l&amp;ai=DChcSEwizrI-8xv71AhUfPa0GHb-8ATUYABAIGgJwdg&amp;ae=2&amp;sig=AOD64_0XwUpaToo4C0FqRwMD1oaEhwuxCg&amp;ctype=5&amp;q=&amp;ved=2ahUKEwiAqfu7xv71AhWMD0QIHWi_DdgQ9aACegQIAhBC&amp;adurl=" r:id="rId1329"/>
    <hyperlink xmlns:r="http://schemas.openxmlformats.org/officeDocument/2006/relationships" ref="K192" display="https://www.google.com/aclk?sa=l&amp;ai=DChcSEwizrI-8xv71AhUfPa0GHb-8ATUYABAIGgJwdg&amp;ae=2&amp;sig=AOD64_0XwUpaToo4C0FqRwMD1oaEhwuxCg&amp;ctype=5&amp;q=&amp;ved=2ahUKEwiAqfu7xv71AhWMD0QIHWi_DdgQ9aACegQIAhBC&amp;adurl=" r:id="rId1330"/>
    <hyperlink xmlns:r="http://schemas.openxmlformats.org/officeDocument/2006/relationships" ref="K193" display="https://www.google.com/aclk?sa=l&amp;ai=DChcSEwizrI-8xv71AhUfPa0GHb-8ATUYABAIGgJwdg&amp;ae=2&amp;sig=AOD64_0XwUpaToo4C0FqRwMD1oaEhwuxCg&amp;ctype=5&amp;q=&amp;ved=2ahUKEwiAqfu7xv71AhWMD0QIHWi_DdgQ9aACegQIAhBC&amp;adurl=" r:id="rId1331"/>
    <hyperlink xmlns:r="http://schemas.openxmlformats.org/officeDocument/2006/relationships" ref="K194" display="https://www.google.com/aclk?sa=l&amp;ai=DChcSEwizrI-8xv71AhUfPa0GHb-8ATUYABAIGgJwdg&amp;ae=2&amp;sig=AOD64_0XwUpaToo4C0FqRwMD1oaEhwuxCg&amp;ctype=5&amp;q=&amp;ved=2ahUKEwiAqfu7xv71AhWMD0QIHWi_DdgQ9aACegQIAhBC&amp;adurl=" r:id="rId1332"/>
    <hyperlink xmlns:r="http://schemas.openxmlformats.org/officeDocument/2006/relationships" ref="K195" display="https://www.google.com/aclk?sa=l&amp;ai=DChcSEwizrI-8xv71AhUfPa0GHb-8ATUYABAIGgJwdg&amp;ae=2&amp;sig=AOD64_0XwUpaToo4C0FqRwMD1oaEhwuxCg&amp;ctype=5&amp;q=&amp;ved=2ahUKEwiAqfu7xv71AhWMD0QIHWi_DdgQ9aACegQIAhBC&amp;adurl=" r:id="rId1333"/>
    <hyperlink xmlns:r="http://schemas.openxmlformats.org/officeDocument/2006/relationships" ref="K196" display="https://www.google.com/aclk?sa=l&amp;ai=DChcSEwizrI-8xv71AhUfPa0GHb-8ATUYABAIGgJwdg&amp;ae=2&amp;sig=AOD64_0XwUpaToo4C0FqRwMD1oaEhwuxCg&amp;ctype=5&amp;q=&amp;ved=2ahUKEwiAqfu7xv71AhWMD0QIHWi_DdgQ9aACegQIAhBC&amp;adurl=" r:id="rId1334"/>
    <hyperlink xmlns:r="http://schemas.openxmlformats.org/officeDocument/2006/relationships" ref="K197" display="https://www.google.com/aclk?sa=l&amp;ai=DChcSEwizrI-8xv71AhUfPa0GHb-8ATUYABAIGgJwdg&amp;ae=2&amp;sig=AOD64_0XwUpaToo4C0FqRwMD1oaEhwuxCg&amp;ctype=5&amp;q=&amp;ved=2ahUKEwiAqfu7xv71AhWMD0QIHWi_DdgQ9aACegQIAhBC&amp;adurl=" r:id="rId1335"/>
    <hyperlink xmlns:r="http://schemas.openxmlformats.org/officeDocument/2006/relationships" ref="K198" display="https://www.google.com/aclk?sa=l&amp;ai=DChcSEwizrI-8xv71AhUfPa0GHb-8ATUYABAIGgJwdg&amp;ae=2&amp;sig=AOD64_0XwUpaToo4C0FqRwMD1oaEhwuxCg&amp;ctype=5&amp;q=&amp;ved=2ahUKEwiAqfu7xv71AhWMD0QIHWi_DdgQ9aACegQIAhBC&amp;adurl=" r:id="rId1336"/>
    <hyperlink xmlns:r="http://schemas.openxmlformats.org/officeDocument/2006/relationships" ref="K199" display="https://www.google.com/aclk?sa=l&amp;ai=DChcSEwizrI-8xv71AhUfPa0GHb-8ATUYABAIGgJwdg&amp;ae=2&amp;sig=AOD64_0XwUpaToo4C0FqRwMD1oaEhwuxCg&amp;ctype=5&amp;q=&amp;ved=2ahUKEwiAqfu7xv71AhWMD0QIHWi_DdgQ9aACegQIAhBC&amp;adurl=" r:id="rId1337"/>
    <hyperlink xmlns:r="http://schemas.openxmlformats.org/officeDocument/2006/relationships" ref="K200" display="https://www.google.com/aclk?sa=l&amp;ai=DChcSEwizrI-8xv71AhUfPa0GHb-8ATUYABAIGgJwdg&amp;ae=2&amp;sig=AOD64_0XwUpaToo4C0FqRwMD1oaEhwuxCg&amp;ctype=5&amp;q=&amp;ved=2ahUKEwiAqfu7xv71AhWMD0QIHWi_DdgQ9aACegQIAhBC&amp;adurl=" r:id="rId1338"/>
    <hyperlink xmlns:r="http://schemas.openxmlformats.org/officeDocument/2006/relationships" ref="K201" display="https://www.google.com/aclk?sa=l&amp;ai=DChcSEwizrI-8xv71AhUfPa0GHb-8ATUYABAIGgJwdg&amp;ae=2&amp;sig=AOD64_0XwUpaToo4C0FqRwMD1oaEhwuxCg&amp;ctype=5&amp;q=&amp;ved=2ahUKEwiAqfu7xv71AhWMD0QIHWi_DdgQ9aACegQIAhBC&amp;adurl=" r:id="rId1339"/>
    <hyperlink xmlns:r="http://schemas.openxmlformats.org/officeDocument/2006/relationships" ref="K202" display="https://www.google.com/aclk?sa=l&amp;ai=DChcSEwizrI-8xv71AhUfPa0GHb-8ATUYABAIGgJwdg&amp;ae=2&amp;sig=AOD64_0XwUpaToo4C0FqRwMD1oaEhwuxCg&amp;ctype=5&amp;q=&amp;ved=2ahUKEwiAqfu7xv71AhWMD0QIHWi_DdgQ9aACegQIAhBC&amp;adurl=" r:id="rId1340"/>
    <hyperlink xmlns:r="http://schemas.openxmlformats.org/officeDocument/2006/relationships" ref="K203" display="https://www.google.com/aclk?sa=l&amp;ai=DChcSEwizrI-8xv71AhUfPa0GHb-8ATUYABAIGgJwdg&amp;ae=2&amp;sig=AOD64_0XwUpaToo4C0FqRwMD1oaEhwuxCg&amp;ctype=5&amp;q=&amp;ved=2ahUKEwiAqfu7xv71AhWMD0QIHWi_DdgQ9aACegQIAhBC&amp;adurl=" r:id="rId1341"/>
    <hyperlink xmlns:r="http://schemas.openxmlformats.org/officeDocument/2006/relationships" ref="K204" display="https://www.google.com/aclk?sa=l&amp;ai=DChcSEwizrI-8xv71AhUfPa0GHb-8ATUYABAIGgJwdg&amp;ae=2&amp;sig=AOD64_0XwUpaToo4C0FqRwMD1oaEhwuxCg&amp;ctype=5&amp;q=&amp;ved=2ahUKEwiAqfu7xv71AhWMD0QIHWi_DdgQ9aACegQIAhBC&amp;adurl=" r:id="rId1342"/>
    <hyperlink xmlns:r="http://schemas.openxmlformats.org/officeDocument/2006/relationships" ref="K205" display="https://www.google.com/aclk?sa=l&amp;ai=DChcSEwizrI-8xv71AhUfPa0GHb-8ATUYABAIGgJwdg&amp;ae=2&amp;sig=AOD64_0XwUpaToo4C0FqRwMD1oaEhwuxCg&amp;ctype=5&amp;q=&amp;ved=2ahUKEwiAqfu7xv71AhWMD0QIHWi_DdgQ9aACegQIAhBC&amp;adurl=" r:id="rId1343"/>
    <hyperlink xmlns:r="http://schemas.openxmlformats.org/officeDocument/2006/relationships" ref="K206" display="https://www.google.com/aclk?sa=l&amp;ai=DChcSEwizrI-8xv71AhUfPa0GHb-8ATUYABAIGgJwdg&amp;ae=2&amp;sig=AOD64_0XwUpaToo4C0FqRwMD1oaEhwuxCg&amp;ctype=5&amp;q=&amp;ved=2ahUKEwiAqfu7xv71AhWMD0QIHWi_DdgQ9aACegQIAhBC&amp;adurl=" r:id="rId1344"/>
    <hyperlink xmlns:r="http://schemas.openxmlformats.org/officeDocument/2006/relationships" ref="K207" display="https://www.google.com/aclk?sa=l&amp;ai=DChcSEwizrI-8xv71AhUfPa0GHb-8ATUYABAIGgJwdg&amp;ae=2&amp;sig=AOD64_0XwUpaToo4C0FqRwMD1oaEhwuxCg&amp;ctype=5&amp;q=&amp;ved=2ahUKEwiAqfu7xv71AhWMD0QIHWi_DdgQ9aACegQIAhBC&amp;adurl=" r:id="rId1345"/>
    <hyperlink xmlns:r="http://schemas.openxmlformats.org/officeDocument/2006/relationships" ref="K208" display="https://www.google.com/aclk?sa=l&amp;ai=DChcSEwizrI-8xv71AhUfPa0GHb-8ATUYABAIGgJwdg&amp;ae=2&amp;sig=AOD64_0XwUpaToo4C0FqRwMD1oaEhwuxCg&amp;ctype=5&amp;q=&amp;ved=2ahUKEwiAqfu7xv71AhWMD0QIHWi_DdgQ9aACegQIAhBC&amp;adurl=" r:id="rId1346"/>
    <hyperlink xmlns:r="http://schemas.openxmlformats.org/officeDocument/2006/relationships" ref="K209" display="https://www.google.com/aclk?sa=l&amp;ai=DChcSEwizrI-8xv71AhUfPa0GHb-8ATUYABAIGgJwdg&amp;ae=2&amp;sig=AOD64_0XwUpaToo4C0FqRwMD1oaEhwuxCg&amp;ctype=5&amp;q=&amp;ved=2ahUKEwiAqfu7xv71AhWMD0QIHWi_DdgQ9aACegQIAhBC&amp;adurl=" r:id="rId1347"/>
    <hyperlink xmlns:r="http://schemas.openxmlformats.org/officeDocument/2006/relationships" ref="K210" display="https://www.google.com/aclk?sa=l&amp;ai=DChcSEwizrI-8xv71AhUfPa0GHb-8ATUYABAIGgJwdg&amp;ae=2&amp;sig=AOD64_0XwUpaToo4C0FqRwMD1oaEhwuxCg&amp;ctype=5&amp;q=&amp;ved=2ahUKEwiAqfu7xv71AhWMD0QIHWi_DdgQ9aACegQIAhBC&amp;adurl=" r:id="rId1348"/>
    <hyperlink xmlns:r="http://schemas.openxmlformats.org/officeDocument/2006/relationships" ref="K211" display="https://www.google.com/aclk?sa=l&amp;ai=DChcSEwizrI-8xv71AhUfPa0GHb-8ATUYABAIGgJwdg&amp;ae=2&amp;sig=AOD64_0XwUpaToo4C0FqRwMD1oaEhwuxCg&amp;ctype=5&amp;q=&amp;ved=2ahUKEwiAqfu7xv71AhWMD0QIHWi_DdgQ9aACegQIAhBC&amp;adurl=" r:id="rId1349"/>
    <hyperlink xmlns:r="http://schemas.openxmlformats.org/officeDocument/2006/relationships" ref="K212" display="https://www.google.com/aclk?sa=l&amp;ai=DChcSEwizrI-8xv71AhUfPa0GHb-8ATUYABAIGgJwdg&amp;ae=2&amp;sig=AOD64_0XwUpaToo4C0FqRwMD1oaEhwuxCg&amp;ctype=5&amp;q=&amp;ved=2ahUKEwiAqfu7xv71AhWMD0QIHWi_DdgQ9aACegQIAhBC&amp;adurl=" r:id="rId1350"/>
    <hyperlink xmlns:r="http://schemas.openxmlformats.org/officeDocument/2006/relationships" ref="K213" display="https://www.google.com/aclk?sa=l&amp;ai=DChcSEwizrI-8xv71AhUfPa0GHb-8ATUYABAIGgJwdg&amp;ae=2&amp;sig=AOD64_0XwUpaToo4C0FqRwMD1oaEhwuxCg&amp;ctype=5&amp;q=&amp;ved=2ahUKEwiAqfu7xv71AhWMD0QIHWi_DdgQ9aACegQIAhBC&amp;adurl=" r:id="rId1351"/>
    <hyperlink xmlns:r="http://schemas.openxmlformats.org/officeDocument/2006/relationships" ref="K214" display="https://www.google.com/aclk?sa=l&amp;ai=DChcSEwizrI-8xv71AhUfPa0GHb-8ATUYABAIGgJwdg&amp;ae=2&amp;sig=AOD64_0XwUpaToo4C0FqRwMD1oaEhwuxCg&amp;ctype=5&amp;q=&amp;ved=2ahUKEwiAqfu7xv71AhWMD0QIHWi_DdgQ9aACegQIAhBC&amp;adurl=" r:id="rId1352"/>
    <hyperlink xmlns:r="http://schemas.openxmlformats.org/officeDocument/2006/relationships" ref="K215" display="https://www.google.com/aclk?sa=l&amp;ai=DChcSEwizrI-8xv71AhUfPa0GHb-8ATUYABAIGgJwdg&amp;ae=2&amp;sig=AOD64_0XwUpaToo4C0FqRwMD1oaEhwuxCg&amp;ctype=5&amp;q=&amp;ved=2ahUKEwiAqfu7xv71AhWMD0QIHWi_DdgQ9aACegQIAhBC&amp;adurl=" r:id="rId1353"/>
    <hyperlink xmlns:r="http://schemas.openxmlformats.org/officeDocument/2006/relationships" ref="K216" display="https://www.google.com/aclk?sa=l&amp;ai=DChcSEwizrI-8xv71AhUfPa0GHb-8ATUYABAIGgJwdg&amp;ae=2&amp;sig=AOD64_0XwUpaToo4C0FqRwMD1oaEhwuxCg&amp;ctype=5&amp;q=&amp;ved=2ahUKEwiAqfu7xv71AhWMD0QIHWi_DdgQ9aACegQIAhBC&amp;adurl=" r:id="rId1354"/>
    <hyperlink xmlns:r="http://schemas.openxmlformats.org/officeDocument/2006/relationships" ref="K217" display="https://www.google.com/aclk?sa=l&amp;ai=DChcSEwizrI-8xv71AhUfPa0GHb-8ATUYABAIGgJwdg&amp;ae=2&amp;sig=AOD64_0XwUpaToo4C0FqRwMD1oaEhwuxCg&amp;ctype=5&amp;q=&amp;ved=2ahUKEwiAqfu7xv71AhWMD0QIHWi_DdgQ9aACegQIAhBC&amp;adurl=" r:id="rId1355"/>
    <hyperlink xmlns:r="http://schemas.openxmlformats.org/officeDocument/2006/relationships" ref="K218" display="https://www.google.com/aclk?sa=l&amp;ai=DChcSEwizrI-8xv71AhUfPa0GHb-8ATUYABAIGgJwdg&amp;ae=2&amp;sig=AOD64_0XwUpaToo4C0FqRwMD1oaEhwuxCg&amp;ctype=5&amp;q=&amp;ved=2ahUKEwiAqfu7xv71AhWMD0QIHWi_DdgQ9aACegQIAhBC&amp;adurl=" r:id="rId1356"/>
    <hyperlink xmlns:r="http://schemas.openxmlformats.org/officeDocument/2006/relationships" ref="K219" display="https://www.google.com/aclk?sa=l&amp;ai=DChcSEwizrI-8xv71AhUfPa0GHb-8ATUYABAIGgJwdg&amp;ae=2&amp;sig=AOD64_0XwUpaToo4C0FqRwMD1oaEhwuxCg&amp;ctype=5&amp;q=&amp;ved=2ahUKEwiAqfu7xv71AhWMD0QIHWi_DdgQ9aACegQIAhBC&amp;adurl=" r:id="rId1357"/>
    <hyperlink xmlns:r="http://schemas.openxmlformats.org/officeDocument/2006/relationships" ref="K220" display="https://www.google.com/aclk?sa=l&amp;ai=DChcSEwizrI-8xv71AhUfPa0GHb-8ATUYABAIGgJwdg&amp;ae=2&amp;sig=AOD64_0XwUpaToo4C0FqRwMD1oaEhwuxCg&amp;ctype=5&amp;q=&amp;ved=2ahUKEwiAqfu7xv71AhWMD0QIHWi_DdgQ9aACegQIAhBC&amp;adurl=" r:id="rId1358"/>
    <hyperlink xmlns:r="http://schemas.openxmlformats.org/officeDocument/2006/relationships" ref="K221" display="https://www.google.com/aclk?sa=l&amp;ai=DChcSEwizrI-8xv71AhUfPa0GHb-8ATUYABAIGgJwdg&amp;ae=2&amp;sig=AOD64_0XwUpaToo4C0FqRwMD1oaEhwuxCg&amp;ctype=5&amp;q=&amp;ved=2ahUKEwiAqfu7xv71AhWMD0QIHWi_DdgQ9aACegQIAhBC&amp;adurl=" r:id="rId1359"/>
  </hyperlinks>
  <pageMargins left="0.7" right="0.7" top="0.75" bottom="0.75" header="0.3" footer="0.3"/>
  <pageSetup orientation="portrait"/>
  <drawing xmlns:r="http://schemas.openxmlformats.org/officeDocument/2006/relationships" r:id="rId1360"/>
</worksheet>
</file>

<file path=xl/worksheets/sheet2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DU1273"/>
  <sheetViews>
    <sheetView showGridLines="0" topLeftCell="CU8" zoomScale="70" zoomScaleNormal="70" workbookViewId="0">
      <selection activeCell="DJ20" sqref="DJ20"/>
    </sheetView>
  </sheetViews>
  <sheetFormatPr baseColWidth="8" defaultColWidth="8.77734375" defaultRowHeight="13.2" outlineLevelCol="0"/>
  <cols>
    <col width="3.77734375" customWidth="1" style="184" min="1" max="1"/>
    <col width="7.77734375" bestFit="1" customWidth="1" style="184" min="2" max="2"/>
    <col width="9.44140625" customWidth="1" style="184" min="3" max="8"/>
    <col width="12.33203125" customWidth="1" style="184" min="9" max="10"/>
    <col width="9.44140625" customWidth="1" style="184" min="11" max="69"/>
    <col width="26.21875" bestFit="1" customWidth="1" style="184" min="72" max="72"/>
    <col width="12.6640625" customWidth="1" style="184" min="105" max="105"/>
    <col width="26.21875" customWidth="1" style="184" min="117" max="117"/>
    <col width="40.6640625" bestFit="1" customWidth="1" style="184" min="118" max="118"/>
  </cols>
  <sheetData>
    <row r="1" customFormat="1" s="246">
      <c r="K1" s="117">
        <f>MAX(K9:K1273)</f>
        <v/>
      </c>
      <c r="AJ1" s="246">
        <f t="array" ref="AJ1:AN1">TRANSPOSE(Driver!I179:I183)</f>
        <v/>
      </c>
      <c r="AK1" s="246" t="n">
        <v>0</v>
      </c>
      <c r="AL1" s="246" t="n">
        <v>0.3911764705882352</v>
      </c>
      <c r="AM1" s="246" t="n">
        <v>0.06241764705882353</v>
      </c>
      <c r="AN1" s="246" t="n">
        <v>0.3911764705882352</v>
      </c>
      <c r="AQ1" s="119">
        <f t="array" ref="AQ1:AU1">TRANSPOSE(Driver!I188:I192)</f>
        <v/>
      </c>
      <c r="AR1" s="246" t="n">
        <v>0.1</v>
      </c>
      <c r="AS1" s="246" t="n">
        <v>0.77</v>
      </c>
      <c r="AT1" s="246" t="n">
        <v>0.5</v>
      </c>
      <c r="AU1" s="246" t="n">
        <v>0.85</v>
      </c>
      <c r="BD1" s="246" t="inlineStr">
        <is>
          <t>Max tree value</t>
        </is>
      </c>
      <c r="BE1" s="246" t="n">
        <v>1</v>
      </c>
      <c r="BH1" s="246" t="inlineStr">
        <is>
          <t>Small numbers factor</t>
        </is>
      </c>
      <c r="BI1" s="246" t="n">
        <v>10</v>
      </c>
    </row>
    <row r="2"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</row>
    <row r="3">
      <c r="AJ3" s="303" t="inlineStr">
        <is>
          <t>Tier 2</t>
        </is>
      </c>
      <c r="BH3" s="138" t="inlineStr">
        <is>
          <t>Required parameters</t>
        </is>
      </c>
    </row>
    <row r="4">
      <c r="B4" s="138" t="inlineStr">
        <is>
          <t>if(the same ski model exists on the list, not(there is  anywhere in list where allrequirements are true, model name is the same, and match value is higher),TRUE)</t>
        </is>
      </c>
      <c r="AJ4" s="138" t="inlineStr">
        <is>
          <t>Non-dimensional - scaled 0-1</t>
        </is>
      </c>
      <c r="AV4" s="138" t="inlineStr">
        <is>
          <t>Nondimensional</t>
        </is>
      </c>
      <c r="BH4" s="138" t="inlineStr">
        <is>
          <t>Non dimensional</t>
        </is>
      </c>
      <c r="DJ4" s="138" t="n"/>
    </row>
    <row r="5">
      <c r="B5" s="138" t="inlineStr">
        <is>
          <t>Then add this column to needs on sheet 1</t>
        </is>
      </c>
      <c r="K5" s="138" t="n"/>
      <c r="L5" s="138" t="n"/>
      <c r="M5" s="138" t="n"/>
      <c r="N5" s="138" t="n"/>
      <c r="O5" s="138" t="n"/>
      <c r="P5" s="138" t="n"/>
      <c r="Q5" s="138" t="n"/>
      <c r="R5" s="138" t="n"/>
      <c r="S5" s="138" t="n"/>
      <c r="T5" s="138" t="n"/>
      <c r="U5" s="138" t="n"/>
      <c r="V5" s="138" t="n"/>
      <c r="W5" s="138" t="n"/>
      <c r="AJ5" s="93" t="inlineStr">
        <is>
          <t>Performance</t>
        </is>
      </c>
      <c r="AK5" s="94" t="n"/>
      <c r="AL5" s="94" t="n"/>
      <c r="AM5" s="94" t="n"/>
      <c r="AN5" s="95" t="n"/>
      <c r="AO5" s="93" t="inlineStr">
        <is>
          <t>Buying factors</t>
        </is>
      </c>
      <c r="AP5" s="95" t="n"/>
      <c r="AQ5" s="93" t="inlineStr">
        <is>
          <t>Run Type</t>
        </is>
      </c>
      <c r="AR5" s="94" t="n"/>
      <c r="AS5" s="94" t="n"/>
      <c r="AT5" s="94" t="n"/>
      <c r="AU5" s="95" t="n"/>
      <c r="AV5" s="93" t="inlineStr">
        <is>
          <t>Performance</t>
        </is>
      </c>
      <c r="AW5" s="94" t="n"/>
      <c r="AX5" s="94" t="n"/>
      <c r="AY5" s="94" t="n"/>
      <c r="AZ5" s="95" t="n"/>
      <c r="BA5" s="93" t="inlineStr">
        <is>
          <t>Buying factors</t>
        </is>
      </c>
      <c r="BB5" s="95" t="n"/>
      <c r="BC5" s="93" t="inlineStr">
        <is>
          <t>Run Type</t>
        </is>
      </c>
      <c r="BD5" s="94" t="n"/>
      <c r="BE5" s="94" t="n"/>
      <c r="BF5" s="94" t="n"/>
      <c r="BG5" s="95" t="n"/>
      <c r="BH5" s="93" t="inlineStr">
        <is>
          <t>Technical specs</t>
        </is>
      </c>
      <c r="BI5" s="94" t="n"/>
      <c r="BJ5" s="94" t="n"/>
      <c r="BK5" s="94" t="n"/>
      <c r="BL5" s="94" t="n"/>
      <c r="BM5" s="94" t="n"/>
      <c r="BN5" s="94" t="n"/>
      <c r="BO5" s="94" t="n"/>
      <c r="BP5" s="94" t="n"/>
      <c r="BQ5" s="95" t="n"/>
    </row>
    <row r="6">
      <c r="K6" s="93" t="inlineStr">
        <is>
          <t>Match scores (1-error)</t>
        </is>
      </c>
      <c r="L6" s="94" t="n"/>
      <c r="M6" s="94" t="n"/>
      <c r="N6" s="94" t="n"/>
      <c r="O6" s="94" t="n"/>
      <c r="P6" s="95" t="n"/>
      <c r="Q6" s="94" t="n"/>
      <c r="R6" s="94" t="n"/>
      <c r="S6" s="94" t="n"/>
      <c r="T6" s="94" t="n"/>
      <c r="U6" s="94" t="n"/>
      <c r="V6" s="94" t="n"/>
      <c r="W6" s="94" t="n"/>
      <c r="X6" s="93" t="inlineStr">
        <is>
          <t>Error from user input</t>
        </is>
      </c>
      <c r="Y6" s="94" t="n"/>
      <c r="Z6" s="94" t="n"/>
      <c r="AA6" s="94" t="n"/>
      <c r="AB6" s="95" t="n"/>
      <c r="AC6" s="94" t="n"/>
      <c r="AD6" s="94" t="n"/>
      <c r="AE6" s="94" t="n"/>
      <c r="AF6" s="94" t="n"/>
      <c r="AG6" s="94" t="n"/>
      <c r="AH6" s="94" t="n"/>
      <c r="AI6" s="94" t="n"/>
      <c r="AJ6" s="93" t="n"/>
      <c r="AK6" s="94" t="n"/>
      <c r="AL6" s="94" t="n"/>
      <c r="AM6" s="94" t="n"/>
      <c r="AN6" s="95" t="n"/>
      <c r="AO6" s="93" t="n"/>
      <c r="AP6" s="95" t="n"/>
      <c r="AQ6" s="93" t="n"/>
      <c r="AR6" s="94" t="n"/>
      <c r="AS6" s="94" t="n"/>
      <c r="AT6" s="94" t="n"/>
      <c r="AU6" s="95" t="n"/>
      <c r="AV6" s="93" t="n"/>
      <c r="AW6" s="94" t="n"/>
      <c r="AX6" s="94" t="n"/>
      <c r="AY6" s="94" t="n"/>
      <c r="AZ6" s="95" t="n"/>
      <c r="BA6" s="93" t="n"/>
      <c r="BB6" s="95" t="n"/>
      <c r="BC6" s="93" t="n"/>
      <c r="BD6" s="94" t="n"/>
      <c r="BE6" s="94" t="n"/>
      <c r="BF6" s="94" t="n"/>
      <c r="BG6" s="95" t="n"/>
      <c r="BH6" s="138" t="n"/>
      <c r="BI6" s="303" t="n"/>
      <c r="BJ6" s="303" t="n"/>
      <c r="BK6" s="303" t="n"/>
      <c r="BL6" s="303" t="n"/>
      <c r="BM6" s="303" t="n"/>
      <c r="BN6" s="303" t="n"/>
      <c r="BO6" s="303" t="n"/>
      <c r="BP6" s="303" t="n"/>
      <c r="BQ6" s="303" t="n"/>
      <c r="CW6" s="138" t="n"/>
      <c r="DG6" s="138" t="n"/>
      <c r="DJ6" s="138" t="n"/>
    </row>
    <row r="7" ht="26.4" customHeight="1" s="184">
      <c r="K7" s="93" t="n"/>
      <c r="L7" s="94" t="n"/>
      <c r="M7" s="94" t="n"/>
      <c r="N7" s="94" t="n"/>
      <c r="O7" s="94" t="n"/>
      <c r="P7" s="95" t="n"/>
      <c r="Q7" s="94" t="n"/>
      <c r="R7" s="94" t="n"/>
      <c r="S7" s="94" t="n"/>
      <c r="T7" s="94" t="n"/>
      <c r="U7" s="94" t="n"/>
      <c r="V7" s="94" t="n"/>
      <c r="W7" s="94" t="n"/>
      <c r="X7" s="93" t="n"/>
      <c r="Y7" s="94" t="n"/>
      <c r="Z7" s="94" t="n"/>
      <c r="AA7" s="94" t="n"/>
      <c r="AB7" s="95" t="n"/>
      <c r="AC7" s="94" t="n"/>
      <c r="AD7" s="94" t="n"/>
      <c r="AE7" s="94" t="n"/>
      <c r="AF7" s="94" t="n"/>
      <c r="AG7" s="94" t="n"/>
      <c r="AH7" s="94" t="n"/>
      <c r="AI7" s="94" t="n"/>
      <c r="AJ7" s="93" t="n"/>
      <c r="AK7" s="94" t="n"/>
      <c r="AL7" s="94" t="n"/>
      <c r="AM7" s="94" t="n"/>
      <c r="AN7" s="95" t="n"/>
      <c r="AO7" s="93" t="n"/>
      <c r="AP7" s="95" t="n"/>
      <c r="AQ7" s="93" t="n"/>
      <c r="AR7" s="94" t="n"/>
      <c r="AS7" s="94" t="n"/>
      <c r="AT7" s="94" t="n"/>
      <c r="AU7" s="95" t="n"/>
      <c r="AV7" s="93" t="n"/>
      <c r="AW7" s="94" t="n"/>
      <c r="AX7" s="94" t="n"/>
      <c r="AY7" s="94" t="n"/>
      <c r="AZ7" s="95" t="n"/>
      <c r="BA7" s="93" t="n"/>
      <c r="BB7" s="95" t="n"/>
      <c r="BC7" s="93" t="n"/>
      <c r="BD7" s="94" t="n"/>
      <c r="BE7" s="94" t="n"/>
      <c r="BF7" s="94" t="n"/>
      <c r="BG7" s="95" t="n"/>
      <c r="BH7" s="138" t="n"/>
      <c r="BI7" s="303" t="n"/>
      <c r="BJ7" s="303" t="n"/>
      <c r="BK7" s="303" t="n"/>
      <c r="BL7" s="303" t="n"/>
      <c r="BM7" s="303" t="n"/>
      <c r="BN7" s="303" t="n"/>
      <c r="BO7" s="303" t="n"/>
      <c r="BP7" s="303" t="n"/>
      <c r="BQ7" s="303" t="n"/>
      <c r="CW7" s="138" t="n"/>
      <c r="CX7" s="138" t="inlineStr">
        <is>
          <t>Cheapest seller 1</t>
        </is>
      </c>
      <c r="DB7" s="138" t="inlineStr">
        <is>
          <t>Cheapest seller 2</t>
        </is>
      </c>
      <c r="DF7" s="138" t="inlineStr">
        <is>
          <t>Cheapest seller 3</t>
        </is>
      </c>
      <c r="DJ7" s="303" t="inlineStr">
        <is>
          <t>Shortened links</t>
        </is>
      </c>
    </row>
    <row r="8" ht="52.8" customHeight="1" s="184">
      <c r="B8" s="163" t="inlineStr">
        <is>
          <t>Errors</t>
        </is>
      </c>
      <c r="C8" s="163" t="inlineStr">
        <is>
          <t>Year</t>
        </is>
      </c>
      <c r="D8" s="61" t="inlineStr">
        <is>
          <t>Gender</t>
        </is>
      </c>
      <c r="E8" s="61" t="inlineStr">
        <is>
          <t>Ski length</t>
        </is>
      </c>
      <c r="F8" s="61" t="inlineStr">
        <is>
          <t>Tail height</t>
        </is>
      </c>
      <c r="G8" s="61" t="inlineStr">
        <is>
          <t>Underfoot width</t>
        </is>
      </c>
      <c r="H8" s="61" t="inlineStr">
        <is>
          <t>All previous true?</t>
        </is>
      </c>
      <c r="I8" s="61" t="inlineStr">
        <is>
          <t>Anywhere else with higher match all true</t>
        </is>
      </c>
      <c r="J8" s="61" t="inlineStr">
        <is>
          <t>Highest match of this model?</t>
        </is>
      </c>
      <c r="K8" s="107" t="inlineStr">
        <is>
          <t>Overall match %</t>
        </is>
      </c>
      <c r="L8" s="107" t="inlineStr">
        <is>
          <t>Speed</t>
        </is>
      </c>
      <c r="M8" s="107" t="inlineStr">
        <is>
          <t>Manueverability</t>
        </is>
      </c>
      <c r="N8" s="107" t="inlineStr">
        <is>
          <t>Weight</t>
        </is>
      </c>
      <c r="O8" s="107" t="inlineStr">
        <is>
          <t>Turning</t>
        </is>
      </c>
      <c r="P8" s="107" t="inlineStr">
        <is>
          <t>Braking</t>
        </is>
      </c>
      <c r="Q8" s="107" t="inlineStr">
        <is>
          <t>Cost</t>
        </is>
      </c>
      <c r="R8" s="107" t="inlineStr">
        <is>
          <t>Design</t>
        </is>
      </c>
      <c r="S8" s="107" t="inlineStr">
        <is>
          <t>Groomers</t>
        </is>
      </c>
      <c r="T8" s="107" t="inlineStr">
        <is>
          <t>Moguls</t>
        </is>
      </c>
      <c r="U8" s="107" t="inlineStr">
        <is>
          <t>Trees</t>
        </is>
      </c>
      <c r="V8" s="107" t="inlineStr">
        <is>
          <t>Powder</t>
        </is>
      </c>
      <c r="W8" s="107" t="inlineStr">
        <is>
          <t>Park</t>
        </is>
      </c>
      <c r="X8" s="116" t="inlineStr">
        <is>
          <t>Speed</t>
        </is>
      </c>
      <c r="Y8" s="116" t="inlineStr">
        <is>
          <t>Manueverability</t>
        </is>
      </c>
      <c r="Z8" s="116" t="inlineStr">
        <is>
          <t>Weight</t>
        </is>
      </c>
      <c r="AA8" s="116" t="inlineStr">
        <is>
          <t>Turning</t>
        </is>
      </c>
      <c r="AB8" s="116" t="inlineStr">
        <is>
          <t>Braking</t>
        </is>
      </c>
      <c r="AC8" s="116" t="inlineStr">
        <is>
          <t>Cost</t>
        </is>
      </c>
      <c r="AD8" s="116" t="inlineStr">
        <is>
          <t>Design</t>
        </is>
      </c>
      <c r="AE8" s="116" t="inlineStr">
        <is>
          <t>Groomers</t>
        </is>
      </c>
      <c r="AF8" s="116" t="inlineStr">
        <is>
          <t>Moguls</t>
        </is>
      </c>
      <c r="AG8" s="116" t="inlineStr">
        <is>
          <t>Trees</t>
        </is>
      </c>
      <c r="AH8" s="116" t="inlineStr">
        <is>
          <t>Powder</t>
        </is>
      </c>
      <c r="AI8" s="116" t="inlineStr">
        <is>
          <t>Park</t>
        </is>
      </c>
      <c r="AJ8" s="97" t="inlineStr">
        <is>
          <t>Speed</t>
        </is>
      </c>
      <c r="AK8" s="97" t="inlineStr">
        <is>
          <t>Manueverability</t>
        </is>
      </c>
      <c r="AL8" s="97" t="inlineStr">
        <is>
          <t>Weight</t>
        </is>
      </c>
      <c r="AM8" s="97" t="inlineStr">
        <is>
          <t>Turning</t>
        </is>
      </c>
      <c r="AN8" s="97" t="inlineStr">
        <is>
          <t>Braking</t>
        </is>
      </c>
      <c r="AO8" s="97" t="inlineStr">
        <is>
          <t>Cost</t>
        </is>
      </c>
      <c r="AP8" s="97" t="inlineStr">
        <is>
          <t>Design</t>
        </is>
      </c>
      <c r="AQ8" s="97" t="inlineStr">
        <is>
          <t>Groomers</t>
        </is>
      </c>
      <c r="AR8" s="97" t="inlineStr">
        <is>
          <t>Moguls</t>
        </is>
      </c>
      <c r="AS8" s="97" t="inlineStr">
        <is>
          <t>Trees</t>
        </is>
      </c>
      <c r="AT8" s="97" t="inlineStr">
        <is>
          <t>Powder</t>
        </is>
      </c>
      <c r="AU8" s="97" t="inlineStr">
        <is>
          <t>Park</t>
        </is>
      </c>
      <c r="AV8" s="97" t="inlineStr">
        <is>
          <t>Speed</t>
        </is>
      </c>
      <c r="AW8" s="97" t="inlineStr">
        <is>
          <t>Manueverability</t>
        </is>
      </c>
      <c r="AX8" s="97" t="inlineStr">
        <is>
          <t>Weight</t>
        </is>
      </c>
      <c r="AY8" s="97" t="inlineStr">
        <is>
          <t>Turning</t>
        </is>
      </c>
      <c r="AZ8" s="97" t="inlineStr">
        <is>
          <t>Braking</t>
        </is>
      </c>
      <c r="BA8" s="97" t="inlineStr">
        <is>
          <t>Cost</t>
        </is>
      </c>
      <c r="BB8" s="97" t="inlineStr">
        <is>
          <t>Design</t>
        </is>
      </c>
      <c r="BC8" s="97" t="inlineStr">
        <is>
          <t>Groomers</t>
        </is>
      </c>
      <c r="BD8" s="97" t="inlineStr">
        <is>
          <t>Moguls</t>
        </is>
      </c>
      <c r="BE8" s="97" t="inlineStr">
        <is>
          <t>Trees</t>
        </is>
      </c>
      <c r="BF8" s="97" t="inlineStr">
        <is>
          <t>Powder</t>
        </is>
      </c>
      <c r="BG8" s="97" t="inlineStr">
        <is>
          <t>Park</t>
        </is>
      </c>
      <c r="BH8" s="98" t="inlineStr">
        <is>
          <t>Mass</t>
        </is>
      </c>
      <c r="BI8" s="98" t="inlineStr">
        <is>
          <t>Running length</t>
        </is>
      </c>
      <c r="BJ8" s="98" t="inlineStr">
        <is>
          <t>Width</t>
        </is>
      </c>
      <c r="BK8" s="98" t="inlineStr">
        <is>
          <t>Turn radius</t>
        </is>
      </c>
      <c r="BL8" s="98" t="inlineStr">
        <is>
          <t>Camber</t>
        </is>
      </c>
      <c r="BM8" s="98" t="inlineStr">
        <is>
          <t>Bending stiffness</t>
        </is>
      </c>
      <c r="BN8" s="98" t="inlineStr">
        <is>
          <t>Torsional rigidity</t>
        </is>
      </c>
      <c r="BO8" s="98" t="inlineStr">
        <is>
          <t>Tip rocker</t>
        </is>
      </c>
      <c r="BP8" s="98" t="inlineStr">
        <is>
          <t>Tail rocker</t>
        </is>
      </c>
      <c r="BQ8" s="98" t="inlineStr">
        <is>
          <t>Tail height</t>
        </is>
      </c>
      <c r="BR8" s="199" t="inlineStr">
        <is>
          <t>Year</t>
        </is>
      </c>
      <c r="BS8" s="2" t="inlineStr">
        <is>
          <t>Brand</t>
        </is>
      </c>
      <c r="BT8" s="2" t="inlineStr">
        <is>
          <t>Model</t>
        </is>
      </c>
      <c r="BU8" s="2" t="inlineStr">
        <is>
          <t>Nominal Length (cm)</t>
        </is>
      </c>
      <c r="BV8" s="2" t="inlineStr">
        <is>
          <t>Gender</t>
        </is>
      </c>
      <c r="BW8" s="2" t="inlineStr">
        <is>
          <t>Nominal Length (cm)</t>
        </is>
      </c>
      <c r="BX8" s="2" t="inlineStr">
        <is>
          <t>Actual Length (cm)</t>
        </is>
      </c>
      <c r="BY8" s="2" t="inlineStr">
        <is>
          <t>Running lenght (cm)</t>
        </is>
      </c>
      <c r="BZ8" s="2" t="inlineStr">
        <is>
          <t>Sidecut length (cm)</t>
        </is>
      </c>
      <c r="CA8" s="2" t="inlineStr">
        <is>
          <t>Tip width (mm)</t>
        </is>
      </c>
      <c r="CB8" s="2" t="inlineStr">
        <is>
          <t xml:space="preserve">Waist width (mm) </t>
        </is>
      </c>
      <c r="CC8" s="2" t="inlineStr">
        <is>
          <t>Tail width (mm)</t>
        </is>
      </c>
      <c r="CD8" s="2" t="inlineStr">
        <is>
          <t>Sidecut radius (m)</t>
        </is>
      </c>
      <c r="CE8" s="2" t="inlineStr">
        <is>
          <t>Mass (g)</t>
        </is>
      </c>
      <c r="CF8" s="2" t="inlineStr">
        <is>
          <t>Surface-to-weight Ratio (cm^2/g)</t>
        </is>
      </c>
      <c r="CG8" s="2" t="inlineStr">
        <is>
          <t>Base area (cm2)</t>
        </is>
      </c>
      <c r="CH8" s="2" t="inlineStr">
        <is>
          <t>Avg Bending Stiffness (El)</t>
        </is>
      </c>
      <c r="CI8" s="2" t="inlineStr">
        <is>
          <t>Avg Torsional  Stiffness (GJ)</t>
        </is>
      </c>
      <c r="CJ8" s="2" t="inlineStr">
        <is>
          <t>Tip Height (mm)</t>
        </is>
      </c>
      <c r="CK8" s="2" t="inlineStr">
        <is>
          <t>Tip Rocker Length (mm)</t>
        </is>
      </c>
      <c r="CL8" s="2" t="inlineStr">
        <is>
          <t>Tail height (mm)</t>
        </is>
      </c>
      <c r="CM8" s="2" t="inlineStr">
        <is>
          <t>Tail Rocker Length (mm)</t>
        </is>
      </c>
      <c r="CN8" s="2" t="inlineStr">
        <is>
          <t>Tail/Tip Height Ratio (%)</t>
        </is>
      </c>
      <c r="CO8" s="2" t="inlineStr">
        <is>
          <t>Tip  Taper Length (mm)</t>
        </is>
      </c>
      <c r="CP8" s="2" t="inlineStr">
        <is>
          <t>Tail Taper Length (mm)</t>
        </is>
      </c>
      <c r="CQ8" s="2" t="inlineStr">
        <is>
          <t>Front  Contact Point Range (mm)</t>
        </is>
      </c>
      <c r="CR8" s="2" t="inlineStr">
        <is>
          <t>Camber (mm)</t>
        </is>
      </c>
      <c r="CS8" s="2" t="inlineStr">
        <is>
          <t>Setback (cm)</t>
        </is>
      </c>
      <c r="CT8" s="2" t="inlineStr">
        <is>
          <t>Category 1</t>
        </is>
      </c>
      <c r="CU8" s="2" t="inlineStr">
        <is>
          <t>Category 2</t>
        </is>
      </c>
      <c r="CV8" s="2" t="inlineStr">
        <is>
          <t>Category 3</t>
        </is>
      </c>
      <c r="CW8" s="3" t="n"/>
      <c r="CX8" s="3" t="inlineStr">
        <is>
          <t>Product name</t>
        </is>
      </c>
      <c r="CY8" s="3" t="inlineStr">
        <is>
          <t>Seller</t>
        </is>
      </c>
      <c r="CZ8" s="3" t="inlineStr">
        <is>
          <t>Price</t>
        </is>
      </c>
      <c r="DA8" s="3" t="inlineStr">
        <is>
          <t>Link</t>
        </is>
      </c>
      <c r="DB8" s="3" t="inlineStr">
        <is>
          <t>Product name</t>
        </is>
      </c>
      <c r="DC8" s="3" t="inlineStr">
        <is>
          <t>Seller</t>
        </is>
      </c>
      <c r="DD8" s="3" t="inlineStr">
        <is>
          <t>Price</t>
        </is>
      </c>
      <c r="DE8" s="3" t="inlineStr">
        <is>
          <t>Link</t>
        </is>
      </c>
      <c r="DF8" s="3" t="inlineStr">
        <is>
          <t>Product name</t>
        </is>
      </c>
      <c r="DG8" s="3" t="inlineStr">
        <is>
          <t>Seller</t>
        </is>
      </c>
      <c r="DH8" s="3" t="inlineStr">
        <is>
          <t>Price</t>
        </is>
      </c>
      <c r="DI8" s="3" t="inlineStr">
        <is>
          <t>Link</t>
        </is>
      </c>
      <c r="DJ8" s="3" t="inlineStr">
        <is>
          <t>Seller 1</t>
        </is>
      </c>
      <c r="DK8" s="3" t="inlineStr">
        <is>
          <t>Seller 2</t>
        </is>
      </c>
      <c r="DL8" s="3" t="inlineStr">
        <is>
          <t>Seller 3</t>
        </is>
      </c>
      <c r="DM8" s="2" t="inlineStr">
        <is>
          <t>Model clean</t>
        </is>
      </c>
      <c r="DN8" s="2" t="inlineStr">
        <is>
          <t>Helper</t>
        </is>
      </c>
      <c r="DO8" s="303" t="inlineStr">
        <is>
          <t>Image Link</t>
        </is>
      </c>
    </row>
    <row r="9" ht="15.6" customHeight="1" s="184">
      <c r="B9" s="303">
        <f t="array" ref="B9">IF(OR(ISERROR(K9:P9)),FALSE,TRUE)</f>
        <v/>
      </c>
      <c r="C9" s="60">
        <f>OR(BR9=Driver!$G$50,Data!BR190=Driver!$H$50)</f>
        <v/>
      </c>
      <c r="D9" s="60">
        <f>OR(BV9=Driver!$G$51,BV9=Driver!$H$51)</f>
        <v/>
      </c>
      <c r="E9" s="60">
        <f>AND(BX9&gt;Driver!$F$54,BX9&lt;Driver!$G$54)</f>
        <v/>
      </c>
      <c r="F9" s="60">
        <f>CL9&gt;Driver!$F$56</f>
        <v/>
      </c>
      <c r="G9" s="60">
        <f>AND(CB9&gt;Driver!$F$55,CB9&lt;Driver!$G$55)</f>
        <v/>
      </c>
      <c r="H9" s="60">
        <f>AND(B9:G9)</f>
        <v/>
      </c>
      <c r="I9" s="60">
        <f>COUNTIFS($H$9:$H$1273,TRUE,$BT$9:$BT$1273,BT9)</f>
        <v/>
      </c>
      <c r="J9" s="60">
        <f t="array" ref="J9">NOT(OR(($H$9:$H$1273=TRUE)*($I$9:$I$1273&gt;0)*($BT$9:$BT$1273=BT9)*($K$9:$K$1273&gt;K9)))</f>
        <v/>
      </c>
      <c r="K9" s="108">
        <f>IFERROR(1-AVERAGE(X9:Y9),"")</f>
        <v/>
      </c>
      <c r="L9" s="108">
        <f>1-X9</f>
        <v/>
      </c>
      <c r="M9" s="108">
        <f>1-Y9</f>
        <v/>
      </c>
      <c r="N9" s="108">
        <f>1-Z9</f>
        <v/>
      </c>
      <c r="O9" s="108">
        <f>1-AA9</f>
        <v/>
      </c>
      <c r="P9" s="108">
        <f>1-AB9</f>
        <v/>
      </c>
      <c r="Q9" s="108" t="n"/>
      <c r="R9" s="108" t="n"/>
      <c r="S9" s="108">
        <f>1-AE9</f>
        <v/>
      </c>
      <c r="T9" s="108">
        <f>1-AF9</f>
        <v/>
      </c>
      <c r="U9" s="108">
        <f>1-AG9</f>
        <v/>
      </c>
      <c r="V9" s="108">
        <f>1-AH9</f>
        <v/>
      </c>
      <c r="W9" s="108">
        <f>1-AI9</f>
        <v/>
      </c>
      <c r="X9" s="108">
        <f>ABS(AJ9-AJ$1)</f>
        <v/>
      </c>
      <c r="Y9" s="108">
        <f>AVERAGE(Z9:AB9)</f>
        <v/>
      </c>
      <c r="Z9" s="108">
        <f>ABS(AL9-AL$1)</f>
        <v/>
      </c>
      <c r="AA9" s="108">
        <f>ABS(AM9-AM$1)</f>
        <v/>
      </c>
      <c r="AB9" s="108">
        <f>ABS(AN9-AN$1)</f>
        <v/>
      </c>
      <c r="AC9" s="108" t="n"/>
      <c r="AD9" s="108" t="n"/>
      <c r="AE9" s="108">
        <f>ABS(AQ$1-AQ9)</f>
        <v/>
      </c>
      <c r="AF9" s="108">
        <f>ABS(AR$1-AR9)</f>
        <v/>
      </c>
      <c r="AG9" s="108">
        <f>ABS(AS$1-AS9)</f>
        <v/>
      </c>
      <c r="AH9" s="108">
        <f>ABS(AT$1-AT9)</f>
        <v/>
      </c>
      <c r="AI9" s="108">
        <f>ABS(AU$1-AU9)</f>
        <v/>
      </c>
      <c r="AJ9" s="108">
        <f>(AV9-Driver!$K$179)/(Driver!$L$179-Driver!$K$179)</f>
        <v/>
      </c>
      <c r="AK9" s="108">
        <f>(AW9-Driver!$K$180)/(Driver!$L$180-Driver!$K$180)</f>
        <v/>
      </c>
      <c r="AL9" s="108">
        <f>(AX9-Driver!$K$181)/(Driver!$L$181-Driver!$K$181)</f>
        <v/>
      </c>
      <c r="AM9" s="108">
        <f>(AY9-Driver!$K$182)/(Driver!$L$182-Driver!$K$182)</f>
        <v/>
      </c>
      <c r="AN9" s="108">
        <f>(AZ9-Driver!$K$183)/(Driver!$L$183-Driver!$K$183)</f>
        <v/>
      </c>
      <c r="AO9" s="108" t="n"/>
      <c r="AP9" s="108" t="n"/>
      <c r="AQ9" s="108">
        <f>(BC9-Driver!$K$188)/(Driver!$L$188-Driver!$K$188)</f>
        <v/>
      </c>
      <c r="AR9" s="108">
        <f>MIN((BD9-Driver!$K$189)/(Driver!$L$189-Driver!$K$189),100%)</f>
        <v/>
      </c>
      <c r="AS9" s="108">
        <f>(BE9-Driver!$K$190)/(Driver!$L$190-Driver!$K$190)</f>
        <v/>
      </c>
      <c r="AT9" s="108">
        <f>(BF9-Driver!$K$191)/(Driver!$L$191-Driver!$K$191)</f>
        <v/>
      </c>
      <c r="AU9" s="108">
        <f>(BG9-Driver!$K$192)/(Driver!$L$192-Driver!$K$192)</f>
        <v/>
      </c>
      <c r="AV9" s="105">
        <f>IFERROR(BM9*BJ9^1/4,"")</f>
        <v/>
      </c>
      <c r="AW9" s="105">
        <f>IFERROR(SUM(AX9:AZ9),"")</f>
        <v/>
      </c>
      <c r="AX9" s="105">
        <f>IFERROR(BH9,"")</f>
        <v/>
      </c>
      <c r="AY9" s="105">
        <f>IFERROR(Driver!$K$19/Data!BH9/Data!BI9*Data!BK9*Data!BL9,"")</f>
        <v/>
      </c>
      <c r="AZ9" s="105">
        <f>IFERROR(BI9*BN9,"")</f>
        <v/>
      </c>
      <c r="BA9" s="105" t="n"/>
      <c r="BB9" s="105" t="n"/>
      <c r="BC9" s="105">
        <f>IFERROR(BI9*BN9*BK9/BJ9^(1/2),"")</f>
        <v/>
      </c>
      <c r="BD9" s="105">
        <f>IFERROR(BH9*BM9*BL9/BJ9/BK9,"")</f>
        <v/>
      </c>
      <c r="BE9" s="105">
        <f>IFERROR(MIN(BI9/BQ9/BP9/BO9/BH9,$BE$1),"")</f>
        <v/>
      </c>
      <c r="BF9" s="105">
        <f>IFERROR(BJ9*BO9*BP9/BK9,"")</f>
        <v/>
      </c>
      <c r="BG9" s="105">
        <f>IFERROR(1/BM9/BH9*BQ9,"")</f>
        <v/>
      </c>
      <c r="BH9" s="102">
        <f>MAX((CE9-Driver!$F$200)/(Driver!$G$200-Driver!$F$200),1)</f>
        <v/>
      </c>
      <c r="BI9" s="102">
        <f>MAX($BI$1*(BY9-Driver!$F$201)/(Driver!$G$201-Driver!$F$201),1)</f>
        <v/>
      </c>
      <c r="BJ9" s="102">
        <f>(CB9-Driver!$F$206)/(Driver!$G$206-Driver!$F$206)*$BI$1</f>
        <v/>
      </c>
      <c r="BK9" s="102">
        <f>(CD9-Driver!$F$203)/(Driver!$G$203-Driver!$F$203)*$BI$1</f>
        <v/>
      </c>
      <c r="BL9" s="102">
        <f>MAX((CR9-Driver!$F$202)/(Driver!$G$202-Driver!$F$202)*$BI$1,1)</f>
        <v/>
      </c>
      <c r="BM9" s="102">
        <f>MAX((CH9-Driver!$F$204)/(Driver!$G$204-Driver!$F$204)*$BI$1,1)</f>
        <v/>
      </c>
      <c r="BN9" s="102">
        <f>(CI9-Driver!$F$205)/(Driver!$G$205-Driver!$F$205)*$BI$1</f>
        <v/>
      </c>
      <c r="BO9" s="102">
        <f>(CK9-Driver!$F$207)/(Driver!$G$207-Driver!$F$207)*$BI$1</f>
        <v/>
      </c>
      <c r="BP9" s="102">
        <f>(CM9-Driver!$F$208)/(Driver!$G$208-Driver!$F$208)*$BI$1</f>
        <v/>
      </c>
      <c r="BQ9" s="102">
        <f>(CL9-Driver!$F$209)/(Driver!$G$209-Driver!$F$209)*$BI$1</f>
        <v/>
      </c>
      <c r="BR9" s="39" t="inlineStr">
        <is>
          <t>21/22</t>
        </is>
      </c>
      <c r="BS9" s="5" t="inlineStr">
        <is>
          <t xml:space="preserve"> Atomic</t>
        </is>
      </c>
      <c r="BT9" s="6" t="inlineStr">
        <is>
          <t>Vantage 75 C</t>
        </is>
      </c>
      <c r="BU9" s="8" t="n">
        <v>154</v>
      </c>
      <c r="BV9" s="6" t="inlineStr">
        <is>
          <t xml:space="preserve"> Unisex</t>
        </is>
      </c>
      <c r="BW9" s="8" t="n">
        <v>154</v>
      </c>
      <c r="BX9" s="8" t="n">
        <v>153.5</v>
      </c>
      <c r="BY9" s="8" t="n">
        <v>129</v>
      </c>
      <c r="BZ9" s="8" t="n">
        <v>137</v>
      </c>
      <c r="CA9" s="8" t="n">
        <v>113</v>
      </c>
      <c r="CB9" s="8" t="n">
        <v>74</v>
      </c>
      <c r="CC9" s="8" t="n">
        <v>98</v>
      </c>
      <c r="CD9" s="8" t="n">
        <v>14.2</v>
      </c>
      <c r="CE9" s="6" t="inlineStr">
        <is>
          <t xml:space="preserve"> </t>
        </is>
      </c>
      <c r="CF9" s="6" t="inlineStr">
        <is>
          <t xml:space="preserve"> </t>
        </is>
      </c>
      <c r="CG9" s="8" t="n">
        <v>1328</v>
      </c>
      <c r="CH9" s="8" t="n">
        <v>154</v>
      </c>
      <c r="CI9" s="8" t="n">
        <v>67</v>
      </c>
      <c r="CJ9" s="8" t="n">
        <v>35</v>
      </c>
      <c r="CK9" s="8" t="n">
        <v>169</v>
      </c>
      <c r="CL9" s="8" t="n">
        <v>6</v>
      </c>
      <c r="CM9" s="8" t="n">
        <v>73</v>
      </c>
      <c r="CN9" s="8" t="n">
        <v>0.16</v>
      </c>
      <c r="CO9" s="8" t="n">
        <v>98</v>
      </c>
      <c r="CP9" s="8" t="n">
        <v>70</v>
      </c>
      <c r="CQ9" s="8" t="n">
        <v>71</v>
      </c>
      <c r="CR9" s="8" t="n">
        <v>10</v>
      </c>
      <c r="CS9" s="8" t="n">
        <v>10.7</v>
      </c>
      <c r="CT9" s="6" t="inlineStr">
        <is>
          <t xml:space="preserve"> Other</t>
        </is>
      </c>
      <c r="CU9" s="8" t="n"/>
      <c r="CV9" s="8" t="n"/>
      <c r="CW9" s="8" t="n"/>
      <c r="CX9">
        <f>INDEX('Data_Price '!AG$2:AG$1266,MATCH(Data!$DN9,'Data_Price '!$AT$2:$AT$1266,0))</f>
        <v/>
      </c>
      <c r="CY9">
        <f>INDEX('Data_Price '!AH$2:AH$1266,MATCH(Data!$DN9,'Data_Price '!$AT$2:$AT$1266,0))</f>
        <v/>
      </c>
      <c r="CZ9">
        <f>INDEX('Data_Price '!AI$2:AI$1266,MATCH(Data!$DN9,'Data_Price '!$AT$2:$AT$1266,0))</f>
        <v/>
      </c>
      <c r="DA9">
        <f>INDEX('Data_Price '!AJ$2:AJ$1266,MATCH(Data!$DN9,'Data_Price '!$AT$2:$AT$1266,0))</f>
        <v/>
      </c>
      <c r="DB9">
        <f>INDEX('Data_Price '!AK$2:AK$1266,MATCH(Data!$DN9,'Data_Price '!$AT$2:$AT$1266,0))</f>
        <v/>
      </c>
      <c r="DC9">
        <f>INDEX('Data_Price '!AL$2:AL$1266,MATCH(Data!$DN9,'Data_Price '!$AT$2:$AT$1266,0))</f>
        <v/>
      </c>
      <c r="DD9">
        <f>INDEX('Data_Price '!AM$2:AM$1266,MATCH(Data!$DN9,'Data_Price '!$AT$2:$AT$1266,0))</f>
        <v/>
      </c>
      <c r="DE9">
        <f>INDEX('Data_Price '!AN$2:AN$1266,MATCH(Data!$DN9,'Data_Price '!$AT$2:$AT$1266,0))</f>
        <v/>
      </c>
      <c r="DF9">
        <f>INDEX('Data_Price '!AO$2:AO$1266,MATCH(Data!$DN9,'Data_Price '!$AT$2:$AT$1266,0))</f>
        <v/>
      </c>
      <c r="DG9">
        <f>INDEX('Data_Price '!AP$2:AP$1266,MATCH(Data!$DN9,'Data_Price '!$AT$2:$AT$1266,0))</f>
        <v/>
      </c>
      <c r="DH9">
        <f>INDEX('Data_Price '!AQ$2:AQ$1266,MATCH(Data!$DN9,'Data_Price '!$AT$2:$AT$1266,0))</f>
        <v/>
      </c>
      <c r="DI9">
        <f>INDEX('Data_Price '!AR$2:AR$1266,MATCH(Data!$DN9,'Data_Price '!$AT$2:$AT$1266,0))</f>
        <v/>
      </c>
      <c r="DJ9" s="138">
        <f>DA9</f>
        <v/>
      </c>
      <c r="DK9" s="138">
        <f>DE9</f>
        <v/>
      </c>
      <c r="DL9" s="138">
        <f>DI9</f>
        <v/>
      </c>
      <c r="DM9" s="303">
        <f>IF(LEFT(BT9,1)=" ",RIGHT(BT9,LEN(BT9)-1),BT9)</f>
        <v/>
      </c>
      <c r="DN9" s="138">
        <f>_xlfn.CONCAT(BS9,DM9,BU9,BV9)</f>
        <v/>
      </c>
      <c r="DO9" s="307" t="inlineStr">
        <is>
          <t>https://images.evo.com/imgp/250/183371/737590/clone.jpg</t>
        </is>
      </c>
    </row>
    <row r="10" ht="15.6" customHeight="1" s="184">
      <c r="B10" s="303">
        <f t="array" ref="B10">IF(OR(ISERROR(K10:P10)),FALSE,TRUE)</f>
        <v/>
      </c>
      <c r="C10" s="60">
        <f>OR(BR10=Driver!$G$50,Data!BR192=Driver!$H$50)</f>
        <v/>
      </c>
      <c r="D10" s="60">
        <f>OR(BV10=Driver!$G$51,BV10=Driver!$H$51)</f>
        <v/>
      </c>
      <c r="E10" s="60">
        <f>AND(BX10&gt;Driver!$F$54,BX10&lt;Driver!$G$54)</f>
        <v/>
      </c>
      <c r="F10" s="60">
        <f>CL10&gt;Driver!$F$56</f>
        <v/>
      </c>
      <c r="G10" s="60">
        <f>AND(CB10&gt;Driver!$F$55,CB10&lt;Driver!$G$55)</f>
        <v/>
      </c>
      <c r="H10" s="60">
        <f>AND(B10:G10)</f>
        <v/>
      </c>
      <c r="I10" s="60">
        <f>COUNTIFS($H$9:$H$1273,TRUE,$BT$9:$BT$1273,BT10)</f>
        <v/>
      </c>
      <c r="J10" s="60">
        <f t="array" ref="J10">NOT(OR(($H$9:$H$1273=TRUE)*($I$9:$I$1273&gt;0)*($BT$9:$BT$1273=BT10)*($K$9:$K$1273&gt;K10)))</f>
        <v/>
      </c>
      <c r="K10" s="108">
        <f>IFERROR(1-AVERAGE(X10:Y10),"")</f>
        <v/>
      </c>
      <c r="L10" s="108">
        <f>1-X10</f>
        <v/>
      </c>
      <c r="M10" s="108">
        <f>1-Y10</f>
        <v/>
      </c>
      <c r="N10" s="108">
        <f>1-Z10</f>
        <v/>
      </c>
      <c r="O10" s="108">
        <f>1-AA10</f>
        <v/>
      </c>
      <c r="P10" s="108">
        <f>1-AB10</f>
        <v/>
      </c>
      <c r="Q10" s="108" t="n"/>
      <c r="R10" s="108" t="n"/>
      <c r="S10" s="108">
        <f>1-AE10</f>
        <v/>
      </c>
      <c r="T10" s="108">
        <f>1-AF10</f>
        <v/>
      </c>
      <c r="U10" s="108">
        <f>1-AG10</f>
        <v/>
      </c>
      <c r="V10" s="108">
        <f>1-AH10</f>
        <v/>
      </c>
      <c r="W10" s="108">
        <f>1-AI10</f>
        <v/>
      </c>
      <c r="X10" s="108">
        <f>ABS(AJ10-AJ$1)</f>
        <v/>
      </c>
      <c r="Y10" s="108">
        <f>AVERAGE(Z10:AB10)</f>
        <v/>
      </c>
      <c r="Z10" s="108">
        <f>ABS(AL10-AL$1)</f>
        <v/>
      </c>
      <c r="AA10" s="108">
        <f>ABS(AM10-AM$1)</f>
        <v/>
      </c>
      <c r="AB10" s="108">
        <f>ABS(AN10-AN$1)</f>
        <v/>
      </c>
      <c r="AC10" s="108" t="n"/>
      <c r="AD10" s="108" t="n"/>
      <c r="AE10" s="108">
        <f>ABS(AQ$1-AQ10)</f>
        <v/>
      </c>
      <c r="AF10" s="108">
        <f>ABS(AR$1-AR10)</f>
        <v/>
      </c>
      <c r="AG10" s="108">
        <f>ABS(AS$1-AS10)</f>
        <v/>
      </c>
      <c r="AH10" s="108">
        <f>ABS(AT$1-AT10)</f>
        <v/>
      </c>
      <c r="AI10" s="108">
        <f>ABS(AU$1-AU10)</f>
        <v/>
      </c>
      <c r="AJ10" s="108">
        <f>(AV10-Driver!$K$179)/(Driver!$L$179-Driver!$K$179)</f>
        <v/>
      </c>
      <c r="AK10" s="108">
        <f>(AW10-Driver!$K$180)/(Driver!$L$180-Driver!$K$180)</f>
        <v/>
      </c>
      <c r="AL10" s="108">
        <f>(AX10-Driver!$K$181)/(Driver!$L$181-Driver!$K$181)</f>
        <v/>
      </c>
      <c r="AM10" s="108">
        <f>(AY10-Driver!$K$182)/(Driver!$L$182-Driver!$K$182)</f>
        <v/>
      </c>
      <c r="AN10" s="108">
        <f>(AZ10-Driver!$K$183)/(Driver!$L$183-Driver!$K$183)</f>
        <v/>
      </c>
      <c r="AO10" s="108" t="n"/>
      <c r="AP10" s="108" t="n"/>
      <c r="AQ10" s="108">
        <f>(BC10-Driver!$K$188)/(Driver!$L$188-Driver!$K$188)</f>
        <v/>
      </c>
      <c r="AR10" s="108">
        <f>MIN((BD10-Driver!$K$189)/(Driver!$L$189-Driver!$K$189),100%)</f>
        <v/>
      </c>
      <c r="AS10" s="108">
        <f>(BE10-Driver!$K$190)/(Driver!$L$190-Driver!$K$190)</f>
        <v/>
      </c>
      <c r="AT10" s="108">
        <f>(BF10-Driver!$K$191)/(Driver!$L$191-Driver!$K$191)</f>
        <v/>
      </c>
      <c r="AU10" s="108">
        <f>(BG10-Driver!$K$192)/(Driver!$L$192-Driver!$K$192)</f>
        <v/>
      </c>
      <c r="AV10" s="105">
        <f>IFERROR(BM10*BJ10^1/4,"")</f>
        <v/>
      </c>
      <c r="AW10" s="105">
        <f>IFERROR(SUM(AX10:AZ10),"")</f>
        <v/>
      </c>
      <c r="AX10" s="105">
        <f>IFERROR(BH10,"")</f>
        <v/>
      </c>
      <c r="AY10" s="105">
        <f>IFERROR(Driver!$K$19/Data!BH10/Data!BI10*Data!BK10*Data!BL10,"")</f>
        <v/>
      </c>
      <c r="AZ10" s="105">
        <f>IFERROR(BI10*BN10,"")</f>
        <v/>
      </c>
      <c r="BA10" s="105" t="n"/>
      <c r="BB10" s="105" t="n"/>
      <c r="BC10" s="105">
        <f>IFERROR(BI10*BN10*BK10/BJ10^(1/2),"")</f>
        <v/>
      </c>
      <c r="BD10" s="105">
        <f>IFERROR(BH10*BM10*BL10/BJ10/BK10,"")</f>
        <v/>
      </c>
      <c r="BE10" s="105">
        <f>IFERROR(MIN(BI10/BQ10/BP10/BO10/BH10,$BE$1),"")</f>
        <v/>
      </c>
      <c r="BF10" s="105">
        <f>IFERROR(BJ10*BO10*BP10/BK10,"")</f>
        <v/>
      </c>
      <c r="BG10" s="105">
        <f>IFERROR(1/BM10/BH10*BQ10,"")</f>
        <v/>
      </c>
      <c r="BH10" s="102">
        <f>MAX((CE10-Driver!$F$200)/(Driver!$G$200-Driver!$F$200)*$BI$1,1)</f>
        <v/>
      </c>
      <c r="BI10" s="102">
        <f>MAX($BI$1*(BY10-Driver!$F$201)/(Driver!$G$201-Driver!$F$201),1)</f>
        <v/>
      </c>
      <c r="BJ10" s="102">
        <f>(CB10-Driver!$F$206)/(Driver!$G$206-Driver!$F$206)*$BI$1</f>
        <v/>
      </c>
      <c r="BK10" s="102">
        <f>(CD10-Driver!$F$203)/(Driver!$G$203-Driver!$F$203)*$BI$1</f>
        <v/>
      </c>
      <c r="BL10" s="102">
        <f>MAX((CR10-Driver!$F$202)/(Driver!$G$202-Driver!$F$202)*$BI$1,1)</f>
        <v/>
      </c>
      <c r="BM10" s="102">
        <f>MAX((CH10-Driver!$F$204)/(Driver!$G$204-Driver!$F$204)*$BI$1,1)</f>
        <v/>
      </c>
      <c r="BN10" s="102">
        <f>(CI10-Driver!$F$205)/(Driver!$G$205-Driver!$F$205)*$BI$1</f>
        <v/>
      </c>
      <c r="BO10" s="102">
        <f>(CK10-Driver!$F$207)/(Driver!$G$207-Driver!$F$207)*$BI$1</f>
        <v/>
      </c>
      <c r="BP10" s="102">
        <f>(CM10-Driver!$F$208)/(Driver!$G$208-Driver!$F$208)*$BI$1</f>
        <v/>
      </c>
      <c r="BQ10" s="102">
        <f>(CL10-Driver!$F$209)/(Driver!$G$209-Driver!$F$209)*$BI$1</f>
        <v/>
      </c>
      <c r="BR10" s="40" t="inlineStr">
        <is>
          <t>21/22</t>
        </is>
      </c>
      <c r="BS10" s="10" t="inlineStr">
        <is>
          <t xml:space="preserve"> Atomic</t>
        </is>
      </c>
      <c r="BT10" s="11" t="inlineStr">
        <is>
          <t>Vantage 75 C W</t>
        </is>
      </c>
      <c r="BU10" s="13" t="n">
        <v>161</v>
      </c>
      <c r="BV10" s="11" t="inlineStr">
        <is>
          <t xml:space="preserve"> Women's</t>
        </is>
      </c>
      <c r="BW10" s="13" t="n">
        <v>161</v>
      </c>
      <c r="BX10" s="13" t="n">
        <v>160.5</v>
      </c>
      <c r="BY10" s="13" t="n">
        <v>135</v>
      </c>
      <c r="BZ10" s="13" t="n">
        <v>144</v>
      </c>
      <c r="CA10" s="13" t="n">
        <v>115</v>
      </c>
      <c r="CB10" s="13" t="n">
        <v>74</v>
      </c>
      <c r="CC10" s="13" t="n">
        <v>99</v>
      </c>
      <c r="CD10" s="13" t="n">
        <v>15.2</v>
      </c>
      <c r="CE10" s="11" t="inlineStr">
        <is>
          <t xml:space="preserve"> </t>
        </is>
      </c>
      <c r="CF10" s="11" t="inlineStr">
        <is>
          <t xml:space="preserve"> </t>
        </is>
      </c>
      <c r="CG10" s="13" t="n">
        <v>1397</v>
      </c>
      <c r="CH10" s="13" t="n">
        <v>161</v>
      </c>
      <c r="CI10" s="13" t="n">
        <v>69</v>
      </c>
      <c r="CJ10" s="13" t="n">
        <v>38</v>
      </c>
      <c r="CK10" s="13" t="n">
        <v>177</v>
      </c>
      <c r="CL10" s="13" t="n">
        <v>5</v>
      </c>
      <c r="CM10" s="13" t="n">
        <v>82</v>
      </c>
      <c r="CN10" s="13" t="n">
        <v>0.119</v>
      </c>
      <c r="CO10" s="13" t="n">
        <v>97</v>
      </c>
      <c r="CP10" s="13" t="n">
        <v>71</v>
      </c>
      <c r="CQ10" s="13" t="n">
        <v>80</v>
      </c>
      <c r="CR10" s="13" t="n">
        <v>10</v>
      </c>
      <c r="CS10" s="13" t="n">
        <v>10.6</v>
      </c>
      <c r="CT10" s="11" t="inlineStr">
        <is>
          <t xml:space="preserve"> Other</t>
        </is>
      </c>
      <c r="CU10" s="13" t="n"/>
      <c r="CV10" s="13" t="n"/>
      <c r="CW10" s="13" t="n"/>
      <c r="CX10">
        <f>INDEX('Data_Price '!AG$2:AG$1266,MATCH(Data!$DN10,'Data_Price '!$AT$2:$AT$1266,0))</f>
        <v/>
      </c>
      <c r="CY10">
        <f>INDEX('Data_Price '!AH$2:AH$1266,MATCH(Data!$DN10,'Data_Price '!$AT$2:$AT$1266,0))</f>
        <v/>
      </c>
      <c r="CZ10">
        <f>INDEX('Data_Price '!AI$2:AI$1266,MATCH(Data!$DN10,'Data_Price '!$AT$2:$AT$1266,0))</f>
        <v/>
      </c>
      <c r="DA10">
        <f>INDEX('Data_Price '!AJ$2:AJ$1266,MATCH(Data!$DN10,'Data_Price '!$AT$2:$AT$1266,0))</f>
        <v/>
      </c>
      <c r="DB10">
        <f>INDEX('Data_Price '!AK$2:AK$1266,MATCH(Data!$DN10,'Data_Price '!$AT$2:$AT$1266,0))</f>
        <v/>
      </c>
      <c r="DC10">
        <f>INDEX('Data_Price '!AL$2:AL$1266,MATCH(Data!$DN10,'Data_Price '!$AT$2:$AT$1266,0))</f>
        <v/>
      </c>
      <c r="DD10">
        <f>INDEX('Data_Price '!AM$2:AM$1266,MATCH(Data!$DN10,'Data_Price '!$AT$2:$AT$1266,0))</f>
        <v/>
      </c>
      <c r="DE10">
        <f>INDEX('Data_Price '!AN$2:AN$1266,MATCH(Data!$DN10,'Data_Price '!$AT$2:$AT$1266,0))</f>
        <v/>
      </c>
      <c r="DF10">
        <f>INDEX('Data_Price '!AO$2:AO$1266,MATCH(Data!$DN10,'Data_Price '!$AT$2:$AT$1266,0))</f>
        <v/>
      </c>
      <c r="DG10">
        <f>INDEX('Data_Price '!AP$2:AP$1266,MATCH(Data!$DN10,'Data_Price '!$AT$2:$AT$1266,0))</f>
        <v/>
      </c>
      <c r="DH10">
        <f>INDEX('Data_Price '!AQ$2:AQ$1266,MATCH(Data!$DN10,'Data_Price '!$AT$2:$AT$1266,0))</f>
        <v/>
      </c>
      <c r="DI10">
        <f>INDEX('Data_Price '!AR$2:AR$1266,MATCH(Data!$DN10,'Data_Price '!$AT$2:$AT$1266,0))</f>
        <v/>
      </c>
      <c r="DJ10" s="138">
        <f>DA10</f>
        <v/>
      </c>
      <c r="DK10" s="138">
        <f>DE10</f>
        <v/>
      </c>
      <c r="DL10" s="138">
        <f>DI10</f>
        <v/>
      </c>
      <c r="DM10" s="303">
        <f>IF(LEFT(BT10,1)=" ",RIGHT(BT10,LEN(BT10)-1),BT10)</f>
        <v/>
      </c>
      <c r="DN10" s="138">
        <f>_xlfn.CONCAT(BS10,DM10,BU10,BV10)</f>
        <v/>
      </c>
      <c r="DO10" s="307" t="n"/>
    </row>
    <row r="11" ht="15.6" customHeight="1" s="184">
      <c r="B11" s="303">
        <f t="array" ref="B11">IF(OR(ISERROR(K11:P11)),FALSE,TRUE)</f>
        <v/>
      </c>
      <c r="C11" s="60">
        <f>OR(BR11=Driver!$G$50,Data!BR421=Driver!$H$50)</f>
        <v/>
      </c>
      <c r="D11" s="60">
        <f>OR(BV11=Driver!$G$51,BV11=Driver!$H$51)</f>
        <v/>
      </c>
      <c r="E11" s="60">
        <f>AND(BX11&gt;Driver!$F$54,BX11&lt;Driver!$G$54)</f>
        <v/>
      </c>
      <c r="F11" s="60">
        <f>CL11&gt;Driver!$F$56</f>
        <v/>
      </c>
      <c r="G11" s="60">
        <f>AND(CB11&gt;Driver!$F$55,CB11&lt;Driver!$G$55)</f>
        <v/>
      </c>
      <c r="H11" s="60">
        <f>AND(B11:G11)</f>
        <v/>
      </c>
      <c r="I11" s="60">
        <f>COUNTIFS($H$9:$H$1273,TRUE,$BT$9:$BT$1273,BT11)</f>
        <v/>
      </c>
      <c r="J11" s="60">
        <f t="array" ref="J11">NOT(OR(($H$9:$H$1273=TRUE)*($I$9:$I$1273&gt;0)*($BT$9:$BT$1273=BT11)*($K$9:$K$1273&gt;K11)))</f>
        <v/>
      </c>
      <c r="K11" s="108">
        <f>IFERROR(1-AVERAGE(X11:Y11),"")</f>
        <v/>
      </c>
      <c r="L11" s="108">
        <f>1-X11</f>
        <v/>
      </c>
      <c r="M11" s="108">
        <f>1-Y11</f>
        <v/>
      </c>
      <c r="N11" s="108">
        <f>1-Z11</f>
        <v/>
      </c>
      <c r="O11" s="108">
        <f>1-AA11</f>
        <v/>
      </c>
      <c r="P11" s="108">
        <f>1-AB11</f>
        <v/>
      </c>
      <c r="Q11" s="108" t="n"/>
      <c r="R11" s="108" t="n"/>
      <c r="S11" s="108">
        <f>1-AE11</f>
        <v/>
      </c>
      <c r="T11" s="108">
        <f>1-AF11</f>
        <v/>
      </c>
      <c r="U11" s="108">
        <f>1-AG11</f>
        <v/>
      </c>
      <c r="V11" s="108">
        <f>1-AH11</f>
        <v/>
      </c>
      <c r="W11" s="108">
        <f>1-AI11</f>
        <v/>
      </c>
      <c r="X11" s="108">
        <f>ABS(AJ11-AJ$1)</f>
        <v/>
      </c>
      <c r="Y11" s="108">
        <f>AVERAGE(Z11:AB11)</f>
        <v/>
      </c>
      <c r="Z11" s="108">
        <f>ABS(AL11-AL$1)</f>
        <v/>
      </c>
      <c r="AA11" s="108">
        <f>ABS(AM11-AM$1)</f>
        <v/>
      </c>
      <c r="AB11" s="108">
        <f>ABS(AN11-AN$1)</f>
        <v/>
      </c>
      <c r="AC11" s="108" t="n"/>
      <c r="AD11" s="108" t="n"/>
      <c r="AE11" s="108">
        <f>ABS(AQ$1-AQ11)</f>
        <v/>
      </c>
      <c r="AF11" s="108">
        <f>ABS(AR$1-AR11)</f>
        <v/>
      </c>
      <c r="AG11" s="108">
        <f>ABS(AS$1-AS11)</f>
        <v/>
      </c>
      <c r="AH11" s="108">
        <f>ABS(AT$1-AT11)</f>
        <v/>
      </c>
      <c r="AI11" s="108">
        <f>ABS(AU$1-AU11)</f>
        <v/>
      </c>
      <c r="AJ11" s="108">
        <f>(AV11-Driver!$K$179)/(Driver!$L$179-Driver!$K$179)</f>
        <v/>
      </c>
      <c r="AK11" s="108">
        <f>(AW11-Driver!$K$180)/(Driver!$L$180-Driver!$K$180)</f>
        <v/>
      </c>
      <c r="AL11" s="108">
        <f>(AX11-Driver!$K$181)/(Driver!$L$181-Driver!$K$181)</f>
        <v/>
      </c>
      <c r="AM11" s="108">
        <f>(AY11-Driver!$K$182)/(Driver!$L$182-Driver!$K$182)</f>
        <v/>
      </c>
      <c r="AN11" s="108">
        <f>(AZ11-Driver!$K$183)/(Driver!$L$183-Driver!$K$183)</f>
        <v/>
      </c>
      <c r="AO11" s="108" t="n"/>
      <c r="AP11" s="108" t="n"/>
      <c r="AQ11" s="108">
        <f>(BC11-Driver!$K$188)/(Driver!$L$188-Driver!$K$188)</f>
        <v/>
      </c>
      <c r="AR11" s="108">
        <f>MIN((BD11-Driver!$K$189)/(Driver!$L$189-Driver!$K$189),100%)</f>
        <v/>
      </c>
      <c r="AS11" s="108">
        <f>(BE11-Driver!$K$190)/(Driver!$L$190-Driver!$K$190)</f>
        <v/>
      </c>
      <c r="AT11" s="108">
        <f>(BF11-Driver!$K$191)/(Driver!$L$191-Driver!$K$191)</f>
        <v/>
      </c>
      <c r="AU11" s="108">
        <f>(BG11-Driver!$K$192)/(Driver!$L$192-Driver!$K$192)</f>
        <v/>
      </c>
      <c r="AV11" s="105">
        <f>IFERROR(BM11*BJ11^1/4,"")</f>
        <v/>
      </c>
      <c r="AW11" s="105">
        <f>IFERROR(SUM(AX11:AZ11),"")</f>
        <v/>
      </c>
      <c r="AX11" s="105">
        <f>IFERROR(BH11,"")</f>
        <v/>
      </c>
      <c r="AY11" s="105">
        <f>IFERROR(Driver!$K$19/Data!BH11/Data!BI11*Data!BK11*Data!BL11,"")</f>
        <v/>
      </c>
      <c r="AZ11" s="105">
        <f>IFERROR(BI11*BN11,"")</f>
        <v/>
      </c>
      <c r="BA11" s="105" t="n"/>
      <c r="BB11" s="105" t="n"/>
      <c r="BC11" s="105">
        <f>IFERROR(BI11*BN11*BK11/BJ11^(1/2),"")</f>
        <v/>
      </c>
      <c r="BD11" s="105">
        <f>IFERROR(BH11*BM11*BL11/BJ11/BK11,"")</f>
        <v/>
      </c>
      <c r="BE11" s="105">
        <f>IFERROR(MIN(BI11/BQ11/BP11/BO11/BH11,$BE$1),"")</f>
        <v/>
      </c>
      <c r="BF11" s="105">
        <f>IFERROR(BJ11*BO11*BP11/BK11,"")</f>
        <v/>
      </c>
      <c r="BG11" s="105">
        <f>IFERROR(1/BM11/BH11*BQ11,"")</f>
        <v/>
      </c>
      <c r="BH11" s="102">
        <f>MAX((CE11-Driver!$F$200)/(Driver!$G$200-Driver!$F$200)*$BI$1,1)</f>
        <v/>
      </c>
      <c r="BI11" s="102">
        <f>MAX($BI$1*(BY11-Driver!$F$201)/(Driver!$G$201-Driver!$F$201),1)</f>
        <v/>
      </c>
      <c r="BJ11" s="102">
        <f>(CB11-Driver!$F$206)/(Driver!$G$206-Driver!$F$206)*$BI$1</f>
        <v/>
      </c>
      <c r="BK11" s="102">
        <f>(CD11-Driver!$F$203)/(Driver!$G$203-Driver!$F$203)*$BI$1</f>
        <v/>
      </c>
      <c r="BL11" s="102">
        <f>MAX((CR11-Driver!$F$202)/(Driver!$G$202-Driver!$F$202)*$BI$1,1)</f>
        <v/>
      </c>
      <c r="BM11" s="102">
        <f>MAX((CH11-Driver!$F$204)/(Driver!$G$204-Driver!$F$204)*$BI$1,1)</f>
        <v/>
      </c>
      <c r="BN11" s="102">
        <f>(CI11-Driver!$F$205)/(Driver!$G$205-Driver!$F$205)*$BI$1</f>
        <v/>
      </c>
      <c r="BO11" s="102">
        <f>(CK11-Driver!$F$207)/(Driver!$G$207-Driver!$F$207)*$BI$1</f>
        <v/>
      </c>
      <c r="BP11" s="102">
        <f>(CM11-Driver!$F$208)/(Driver!$G$208-Driver!$F$208)*$BI$1</f>
        <v/>
      </c>
      <c r="BQ11" s="102">
        <f>(CL11-Driver!$F$209)/(Driver!$G$209-Driver!$F$209)*$BI$1</f>
        <v/>
      </c>
      <c r="BR11" s="40" t="inlineStr">
        <is>
          <t>21/22</t>
        </is>
      </c>
      <c r="BS11" s="10" t="inlineStr">
        <is>
          <t xml:space="preserve"> Elan</t>
        </is>
      </c>
      <c r="BT11" s="11" t="inlineStr">
        <is>
          <t>Ace SLX</t>
        </is>
      </c>
      <c r="BU11" s="13" t="n">
        <v>164</v>
      </c>
      <c r="BV11" s="11" t="inlineStr">
        <is>
          <t xml:space="preserve"> Unisex</t>
        </is>
      </c>
      <c r="BW11" s="13" t="n">
        <v>164</v>
      </c>
      <c r="BX11" s="13" t="n">
        <v>162.9</v>
      </c>
      <c r="BY11" s="13" t="n">
        <v>146</v>
      </c>
      <c r="BZ11" s="13" t="n">
        <v>153</v>
      </c>
      <c r="CA11" s="13" t="n">
        <v>120</v>
      </c>
      <c r="CB11" s="13" t="n">
        <v>67</v>
      </c>
      <c r="CC11" s="13" t="n">
        <v>103</v>
      </c>
      <c r="CD11" s="13" t="n">
        <v>12.8</v>
      </c>
      <c r="CE11" s="11" t="inlineStr">
        <is>
          <t xml:space="preserve"> </t>
        </is>
      </c>
      <c r="CF11" s="11" t="inlineStr">
        <is>
          <t xml:space="preserve"> </t>
        </is>
      </c>
      <c r="CG11" s="13" t="n">
        <v>1363</v>
      </c>
      <c r="CH11" s="13" t="n">
        <v>216</v>
      </c>
      <c r="CI11" s="13" t="n">
        <v>116</v>
      </c>
      <c r="CJ11" s="13" t="n">
        <v>37</v>
      </c>
      <c r="CK11" s="13" t="n">
        <v>127</v>
      </c>
      <c r="CL11" s="13" t="n">
        <v>3</v>
      </c>
      <c r="CM11" s="13" t="n">
        <v>42</v>
      </c>
      <c r="CN11" s="13" t="n">
        <v>0.075</v>
      </c>
      <c r="CO11" s="13" t="n">
        <v>60</v>
      </c>
      <c r="CP11" s="13" t="n">
        <v>39</v>
      </c>
      <c r="CQ11" s="13" t="n">
        <v>67</v>
      </c>
      <c r="CR11" s="13" t="n">
        <v>10</v>
      </c>
      <c r="CS11" s="13" t="n">
        <v>8.4</v>
      </c>
      <c r="CT11" s="11" t="inlineStr">
        <is>
          <t xml:space="preserve"> Other</t>
        </is>
      </c>
      <c r="CU11" s="13" t="n"/>
      <c r="CV11" s="13" t="n"/>
      <c r="CW11" s="13" t="n"/>
      <c r="CX11">
        <f>INDEX('Data_Price '!AG$2:AG$1266,MATCH(Data!$DN11,'Data_Price '!$AT$2:$AT$1266,0))</f>
        <v/>
      </c>
      <c r="CY11">
        <f>INDEX('Data_Price '!AH$2:AH$1266,MATCH(Data!$DN11,'Data_Price '!$AT$2:$AT$1266,0))</f>
        <v/>
      </c>
      <c r="CZ11">
        <f>INDEX('Data_Price '!AI$2:AI$1266,MATCH(Data!$DN11,'Data_Price '!$AT$2:$AT$1266,0))</f>
        <v/>
      </c>
      <c r="DA11">
        <f>INDEX('Data_Price '!AJ$2:AJ$1266,MATCH(Data!$DN11,'Data_Price '!$AT$2:$AT$1266,0))</f>
        <v/>
      </c>
      <c r="DB11">
        <f>INDEX('Data_Price '!AK$2:AK$1266,MATCH(Data!$DN11,'Data_Price '!$AT$2:$AT$1266,0))</f>
        <v/>
      </c>
      <c r="DC11">
        <f>INDEX('Data_Price '!AL$2:AL$1266,MATCH(Data!$DN11,'Data_Price '!$AT$2:$AT$1266,0))</f>
        <v/>
      </c>
      <c r="DD11">
        <f>INDEX('Data_Price '!AM$2:AM$1266,MATCH(Data!$DN11,'Data_Price '!$AT$2:$AT$1266,0))</f>
        <v/>
      </c>
      <c r="DE11">
        <f>INDEX('Data_Price '!AN$2:AN$1266,MATCH(Data!$DN11,'Data_Price '!$AT$2:$AT$1266,0))</f>
        <v/>
      </c>
      <c r="DF11">
        <f>INDEX('Data_Price '!AO$2:AO$1266,MATCH(Data!$DN11,'Data_Price '!$AT$2:$AT$1266,0))</f>
        <v/>
      </c>
      <c r="DG11">
        <f>INDEX('Data_Price '!AP$2:AP$1266,MATCH(Data!$DN11,'Data_Price '!$AT$2:$AT$1266,0))</f>
        <v/>
      </c>
      <c r="DH11">
        <f>INDEX('Data_Price '!AQ$2:AQ$1266,MATCH(Data!$DN11,'Data_Price '!$AT$2:$AT$1266,0))</f>
        <v/>
      </c>
      <c r="DI11">
        <f>INDEX('Data_Price '!AR$2:AR$1266,MATCH(Data!$DN11,'Data_Price '!$AT$2:$AT$1266,0))</f>
        <v/>
      </c>
      <c r="DJ11" s="138">
        <f>DA11</f>
        <v/>
      </c>
      <c r="DK11" s="138">
        <f>DE11</f>
        <v/>
      </c>
      <c r="DL11" s="138">
        <f>DI11</f>
        <v/>
      </c>
      <c r="DM11" s="303">
        <f>IF(LEFT(BT11,1)=" ",RIGHT(BT11,LEN(BT11)-1),BT11)</f>
        <v/>
      </c>
      <c r="DN11" s="138">
        <f>_xlfn.CONCAT(BS11,DM11,BU11,BV11)</f>
        <v/>
      </c>
      <c r="DO11" s="307" t="n"/>
    </row>
    <row r="12" ht="15.6" customHeight="1" s="184">
      <c r="B12" s="303">
        <f t="array" ref="B12">IF(OR(ISERROR(K12:P12)),FALSE,TRUE)</f>
        <v/>
      </c>
      <c r="C12" s="60">
        <f>OR(BR12=Driver!$G$50,Data!BR468=Driver!$H$50)</f>
        <v/>
      </c>
      <c r="D12" s="60">
        <f>OR(BV12=Driver!$G$51,BV12=Driver!$H$51)</f>
        <v/>
      </c>
      <c r="E12" s="60">
        <f>AND(BX12&gt;Driver!$F$54,BX12&lt;Driver!$G$54)</f>
        <v/>
      </c>
      <c r="F12" s="60">
        <f>CL12&gt;Driver!$F$56</f>
        <v/>
      </c>
      <c r="G12" s="60">
        <f>AND(CB12&gt;Driver!$F$55,CB12&lt;Driver!$G$55)</f>
        <v/>
      </c>
      <c r="H12" s="60">
        <f>AND(B12:G12)</f>
        <v/>
      </c>
      <c r="I12" s="60">
        <f>COUNTIFS($H$9:$H$1273,TRUE,$BT$9:$BT$1273,BT12)</f>
        <v/>
      </c>
      <c r="J12" s="60">
        <f t="array" ref="J12">NOT(OR(($H$9:$H$1273=TRUE)*($I$9:$I$1273&gt;0)*($BT$9:$BT$1273=BT12)*($K$9:$K$1273&gt;K12)))</f>
        <v/>
      </c>
      <c r="K12" s="108">
        <f>IFERROR(1-AVERAGE(X12:Y12),"")</f>
        <v/>
      </c>
      <c r="L12" s="108">
        <f>1-X12</f>
        <v/>
      </c>
      <c r="M12" s="108">
        <f>1-Y12</f>
        <v/>
      </c>
      <c r="N12" s="108">
        <f>1-Z12</f>
        <v/>
      </c>
      <c r="O12" s="108">
        <f>1-AA12</f>
        <v/>
      </c>
      <c r="P12" s="108">
        <f>1-AB12</f>
        <v/>
      </c>
      <c r="Q12" s="108" t="n"/>
      <c r="R12" s="108" t="n"/>
      <c r="S12" s="108">
        <f>1-AE12</f>
        <v/>
      </c>
      <c r="T12" s="108">
        <f>1-AF12</f>
        <v/>
      </c>
      <c r="U12" s="108">
        <f>1-AG12</f>
        <v/>
      </c>
      <c r="V12" s="108">
        <f>1-AH12</f>
        <v/>
      </c>
      <c r="W12" s="108">
        <f>1-AI12</f>
        <v/>
      </c>
      <c r="X12" s="108">
        <f>ABS(AJ12-AJ$1)</f>
        <v/>
      </c>
      <c r="Y12" s="108">
        <f>AVERAGE(Z12:AB12)</f>
        <v/>
      </c>
      <c r="Z12" s="108">
        <f>ABS(AL12-AL$1)</f>
        <v/>
      </c>
      <c r="AA12" s="108">
        <f>ABS(AM12-AM$1)</f>
        <v/>
      </c>
      <c r="AB12" s="108">
        <f>ABS(AN12-AN$1)</f>
        <v/>
      </c>
      <c r="AC12" s="108" t="n"/>
      <c r="AD12" s="108" t="n"/>
      <c r="AE12" s="108">
        <f>ABS(AQ$1-AQ12)</f>
        <v/>
      </c>
      <c r="AF12" s="108">
        <f>ABS(AR$1-AR12)</f>
        <v/>
      </c>
      <c r="AG12" s="108">
        <f>ABS(AS$1-AS12)</f>
        <v/>
      </c>
      <c r="AH12" s="108">
        <f>ABS(AT$1-AT12)</f>
        <v/>
      </c>
      <c r="AI12" s="108">
        <f>ABS(AU$1-AU12)</f>
        <v/>
      </c>
      <c r="AJ12" s="108">
        <f>(AV12-Driver!$K$179)/(Driver!$L$179-Driver!$K$179)</f>
        <v/>
      </c>
      <c r="AK12" s="108">
        <f>(AW12-Driver!$K$180)/(Driver!$L$180-Driver!$K$180)</f>
        <v/>
      </c>
      <c r="AL12" s="108">
        <f>(AX12-Driver!$K$181)/(Driver!$L$181-Driver!$K$181)</f>
        <v/>
      </c>
      <c r="AM12" s="108">
        <f>(AY12-Driver!$K$182)/(Driver!$L$182-Driver!$K$182)</f>
        <v/>
      </c>
      <c r="AN12" s="108">
        <f>(AZ12-Driver!$K$183)/(Driver!$L$183-Driver!$K$183)</f>
        <v/>
      </c>
      <c r="AO12" s="108" t="n"/>
      <c r="AP12" s="108" t="n"/>
      <c r="AQ12" s="108">
        <f>(BC12-Driver!$K$188)/(Driver!$L$188-Driver!$K$188)</f>
        <v/>
      </c>
      <c r="AR12" s="108">
        <f>MIN((BD12-Driver!$K$189)/(Driver!$L$189-Driver!$K$189),100%)</f>
        <v/>
      </c>
      <c r="AS12" s="108">
        <f>(BE12-Driver!$K$190)/(Driver!$L$190-Driver!$K$190)</f>
        <v/>
      </c>
      <c r="AT12" s="108">
        <f>(BF12-Driver!$K$191)/(Driver!$L$191-Driver!$K$191)</f>
        <v/>
      </c>
      <c r="AU12" s="108">
        <f>(BG12-Driver!$K$192)/(Driver!$L$192-Driver!$K$192)</f>
        <v/>
      </c>
      <c r="AV12" s="105">
        <f>IFERROR(BM12*BJ12^1/4,"")</f>
        <v/>
      </c>
      <c r="AW12" s="105">
        <f>IFERROR(SUM(AX12:AZ12),"")</f>
        <v/>
      </c>
      <c r="AX12" s="105">
        <f>IFERROR(BH12,"")</f>
        <v/>
      </c>
      <c r="AY12" s="105">
        <f>IFERROR(Driver!$K$19/Data!BH12/Data!BI12*Data!BK12*Data!BL12,"")</f>
        <v/>
      </c>
      <c r="AZ12" s="105">
        <f>IFERROR(BI12*BN12,"")</f>
        <v/>
      </c>
      <c r="BA12" s="105" t="n"/>
      <c r="BB12" s="105" t="n"/>
      <c r="BC12" s="105">
        <f>IFERROR(BI12*BN12*BK12/BJ12^(1/2),"")</f>
        <v/>
      </c>
      <c r="BD12" s="105">
        <f>IFERROR(BH12*BM12*BL12/BJ12/BK12,"")</f>
        <v/>
      </c>
      <c r="BE12" s="105">
        <f>IFERROR(MIN(BI12/BQ12/BP12/BO12/BH12,$BE$1),"")</f>
        <v/>
      </c>
      <c r="BF12" s="105">
        <f>IFERROR(BJ12*BO12*BP12/BK12,"")</f>
        <v/>
      </c>
      <c r="BG12" s="105">
        <f>IFERROR(1/BM12/BH12*BQ12,"")</f>
        <v/>
      </c>
      <c r="BH12" s="102">
        <f>MAX((CE12-Driver!$F$200)/(Driver!$G$200-Driver!$F$200)*$BI$1,1)</f>
        <v/>
      </c>
      <c r="BI12" s="102">
        <f>MAX($BI$1*(BY12-Driver!$F$201)/(Driver!$G$201-Driver!$F$201),1)</f>
        <v/>
      </c>
      <c r="BJ12" s="102">
        <f>(CB12-Driver!$F$206)/(Driver!$G$206-Driver!$F$206)*$BI$1</f>
        <v/>
      </c>
      <c r="BK12" s="102">
        <f>(CD12-Driver!$F$203)/(Driver!$G$203-Driver!$F$203)*$BI$1</f>
        <v/>
      </c>
      <c r="BL12" s="102">
        <f>MAX((CR12-Driver!$F$202)/(Driver!$G$202-Driver!$F$202)*$BI$1,1)</f>
        <v/>
      </c>
      <c r="BM12" s="102">
        <f>MAX((CH12-Driver!$F$204)/(Driver!$G$204-Driver!$F$204)*$BI$1,1)</f>
        <v/>
      </c>
      <c r="BN12" s="102">
        <f>(CI12-Driver!$F$205)/(Driver!$G$205-Driver!$F$205)*$BI$1</f>
        <v/>
      </c>
      <c r="BO12" s="102">
        <f>(CK12-Driver!$F$207)/(Driver!$G$207-Driver!$F$207)*$BI$1</f>
        <v/>
      </c>
      <c r="BP12" s="102">
        <f>(CM12-Driver!$F$208)/(Driver!$G$208-Driver!$F$208)*$BI$1</f>
        <v/>
      </c>
      <c r="BQ12" s="102">
        <f>(CL12-Driver!$F$209)/(Driver!$G$209-Driver!$F$209)*$BI$1</f>
        <v/>
      </c>
      <c r="BR12" s="40" t="inlineStr">
        <is>
          <t>21/22</t>
        </is>
      </c>
      <c r="BS12" s="10" t="inlineStr">
        <is>
          <t xml:space="preserve"> Elan</t>
        </is>
      </c>
      <c r="BT12" s="11" t="inlineStr">
        <is>
          <t>Voyager</t>
        </is>
      </c>
      <c r="BU12" s="13" t="n">
        <v>166</v>
      </c>
      <c r="BV12" s="11" t="inlineStr">
        <is>
          <t xml:space="preserve"> Unisex</t>
        </is>
      </c>
      <c r="BW12" s="13" t="n">
        <v>166</v>
      </c>
      <c r="BX12" s="13" t="n">
        <v>164.3</v>
      </c>
      <c r="BY12" s="13" t="n">
        <v>145</v>
      </c>
      <c r="BZ12" s="13" t="n">
        <v>151</v>
      </c>
      <c r="CA12" s="13" t="n">
        <v>127</v>
      </c>
      <c r="CB12" s="13" t="n">
        <v>77</v>
      </c>
      <c r="CC12" s="13" t="n">
        <v>110</v>
      </c>
      <c r="CD12" s="13" t="n">
        <v>13.6</v>
      </c>
      <c r="CE12" s="11" t="inlineStr">
        <is>
          <t xml:space="preserve"> </t>
        </is>
      </c>
      <c r="CF12" s="11" t="inlineStr">
        <is>
          <t xml:space="preserve"> </t>
        </is>
      </c>
      <c r="CG12" s="13" t="n">
        <v>1528</v>
      </c>
      <c r="CH12" s="13" t="n">
        <v>204</v>
      </c>
      <c r="CI12" s="13" t="n">
        <v>76</v>
      </c>
      <c r="CJ12" s="13" t="n">
        <v>39</v>
      </c>
      <c r="CK12" s="13" t="n">
        <v>133</v>
      </c>
      <c r="CL12" s="13" t="n">
        <v>7</v>
      </c>
      <c r="CM12" s="13" t="n">
        <v>57</v>
      </c>
      <c r="CN12" s="13" t="n">
        <v>0.182</v>
      </c>
      <c r="CO12" s="13" t="n">
        <v>84</v>
      </c>
      <c r="CP12" s="13" t="n">
        <v>47</v>
      </c>
      <c r="CQ12" s="13" t="n">
        <v>49</v>
      </c>
      <c r="CR12" s="13" t="n">
        <v>15</v>
      </c>
      <c r="CS12" s="13" t="n">
        <v>7.5</v>
      </c>
      <c r="CT12" s="11" t="inlineStr">
        <is>
          <t xml:space="preserve"> Other</t>
        </is>
      </c>
      <c r="CU12" s="13" t="n"/>
      <c r="CV12" s="13" t="n"/>
      <c r="CW12" s="13" t="n"/>
      <c r="CX12">
        <f>INDEX('Data_Price '!AG$2:AG$1266,MATCH(Data!$DN12,'Data_Price '!$AT$2:$AT$1266,0))</f>
        <v/>
      </c>
      <c r="CY12">
        <f>INDEX('Data_Price '!AH$2:AH$1266,MATCH(Data!$DN12,'Data_Price '!$AT$2:$AT$1266,0))</f>
        <v/>
      </c>
      <c r="CZ12">
        <f>INDEX('Data_Price '!AI$2:AI$1266,MATCH(Data!$DN12,'Data_Price '!$AT$2:$AT$1266,0))</f>
        <v/>
      </c>
      <c r="DA12">
        <f>INDEX('Data_Price '!AJ$2:AJ$1266,MATCH(Data!$DN12,'Data_Price '!$AT$2:$AT$1266,0))</f>
        <v/>
      </c>
      <c r="DB12">
        <f>INDEX('Data_Price '!AK$2:AK$1266,MATCH(Data!$DN12,'Data_Price '!$AT$2:$AT$1266,0))</f>
        <v/>
      </c>
      <c r="DC12">
        <f>INDEX('Data_Price '!AL$2:AL$1266,MATCH(Data!$DN12,'Data_Price '!$AT$2:$AT$1266,0))</f>
        <v/>
      </c>
      <c r="DD12">
        <f>INDEX('Data_Price '!AM$2:AM$1266,MATCH(Data!$DN12,'Data_Price '!$AT$2:$AT$1266,0))</f>
        <v/>
      </c>
      <c r="DE12">
        <f>INDEX('Data_Price '!AN$2:AN$1266,MATCH(Data!$DN12,'Data_Price '!$AT$2:$AT$1266,0))</f>
        <v/>
      </c>
      <c r="DF12">
        <f>INDEX('Data_Price '!AO$2:AO$1266,MATCH(Data!$DN12,'Data_Price '!$AT$2:$AT$1266,0))</f>
        <v/>
      </c>
      <c r="DG12">
        <f>INDEX('Data_Price '!AP$2:AP$1266,MATCH(Data!$DN12,'Data_Price '!$AT$2:$AT$1266,0))</f>
        <v/>
      </c>
      <c r="DH12">
        <f>INDEX('Data_Price '!AQ$2:AQ$1266,MATCH(Data!$DN12,'Data_Price '!$AT$2:$AT$1266,0))</f>
        <v/>
      </c>
      <c r="DI12">
        <f>INDEX('Data_Price '!AR$2:AR$1266,MATCH(Data!$DN12,'Data_Price '!$AT$2:$AT$1266,0))</f>
        <v/>
      </c>
      <c r="DJ12" s="138">
        <f>DA12</f>
        <v/>
      </c>
      <c r="DK12" s="138">
        <f>DE12</f>
        <v/>
      </c>
      <c r="DL12" s="138">
        <f>DI12</f>
        <v/>
      </c>
      <c r="DM12" s="303">
        <f>IF(LEFT(BT12,1)=" ",RIGHT(BT12,LEN(BT12)-1),BT12)</f>
        <v/>
      </c>
      <c r="DN12" s="138">
        <f>_xlfn.CONCAT(BS12,DM12,BU12,BV12)</f>
        <v/>
      </c>
      <c r="DO12" s="307" t="n"/>
    </row>
    <row r="13" ht="15.6" customHeight="1" s="184">
      <c r="B13" s="303">
        <f t="array" ref="B13">IF(OR(ISERROR(K13:P13)),FALSE,TRUE)</f>
        <v/>
      </c>
      <c r="C13" s="60">
        <f>OR(BR13=Driver!$G$50,Data!BR603=Driver!$H$50)</f>
        <v/>
      </c>
      <c r="D13" s="60">
        <f>OR(BV13=Driver!$G$51,BV13=Driver!$H$51)</f>
        <v/>
      </c>
      <c r="E13" s="60">
        <f>AND(BX13&gt;Driver!$F$54,BX13&lt;Driver!$G$54)</f>
        <v/>
      </c>
      <c r="F13" s="60">
        <f>CL13&gt;Driver!$F$56</f>
        <v/>
      </c>
      <c r="G13" s="60">
        <f>AND(CB13&gt;Driver!$F$55,CB13&lt;Driver!$G$55)</f>
        <v/>
      </c>
      <c r="H13" s="60">
        <f>AND(B13:G13)</f>
        <v/>
      </c>
      <c r="I13" s="60">
        <f>COUNTIFS($H$9:$H$1273,TRUE,$BT$9:$BT$1273,BT13)</f>
        <v/>
      </c>
      <c r="J13" s="60">
        <f t="array" ref="J13">NOT(OR(($H$9:$H$1273=TRUE)*($I$9:$I$1273&gt;0)*($BT$9:$BT$1273=BT13)*($K$9:$K$1273&gt;K13)))</f>
        <v/>
      </c>
      <c r="K13" s="108">
        <f>IFERROR(1-AVERAGE(X13:Y13),"")</f>
        <v/>
      </c>
      <c r="L13" s="108">
        <f>1-X13</f>
        <v/>
      </c>
      <c r="M13" s="108">
        <f>1-Y13</f>
        <v/>
      </c>
      <c r="N13" s="108">
        <f>1-Z13</f>
        <v/>
      </c>
      <c r="O13" s="108">
        <f>1-AA13</f>
        <v/>
      </c>
      <c r="P13" s="108">
        <f>1-AB13</f>
        <v/>
      </c>
      <c r="Q13" s="108" t="n"/>
      <c r="R13" s="108" t="n"/>
      <c r="S13" s="108">
        <f>1-AE13</f>
        <v/>
      </c>
      <c r="T13" s="108">
        <f>1-AF13</f>
        <v/>
      </c>
      <c r="U13" s="108">
        <f>1-AG13</f>
        <v/>
      </c>
      <c r="V13" s="108">
        <f>1-AH13</f>
        <v/>
      </c>
      <c r="W13" s="108">
        <f>1-AI13</f>
        <v/>
      </c>
      <c r="X13" s="108">
        <f>ABS(AJ13-AJ$1)</f>
        <v/>
      </c>
      <c r="Y13" s="108">
        <f>AVERAGE(Z13:AB13)</f>
        <v/>
      </c>
      <c r="Z13" s="108">
        <f>ABS(AL13-AL$1)</f>
        <v/>
      </c>
      <c r="AA13" s="108">
        <f>ABS(AM13-AM$1)</f>
        <v/>
      </c>
      <c r="AB13" s="108">
        <f>ABS(AN13-AN$1)</f>
        <v/>
      </c>
      <c r="AC13" s="108" t="n"/>
      <c r="AD13" s="108" t="n"/>
      <c r="AE13" s="108">
        <f>ABS(AQ$1-AQ13)</f>
        <v/>
      </c>
      <c r="AF13" s="108">
        <f>ABS(AR$1-AR13)</f>
        <v/>
      </c>
      <c r="AG13" s="108">
        <f>ABS(AS$1-AS13)</f>
        <v/>
      </c>
      <c r="AH13" s="108">
        <f>ABS(AT$1-AT13)</f>
        <v/>
      </c>
      <c r="AI13" s="108">
        <f>ABS(AU$1-AU13)</f>
        <v/>
      </c>
      <c r="AJ13" s="108">
        <f>(AV13-Driver!$K$179)/(Driver!$L$179-Driver!$K$179)</f>
        <v/>
      </c>
      <c r="AK13" s="108">
        <f>(AW13-Driver!$K$180)/(Driver!$L$180-Driver!$K$180)</f>
        <v/>
      </c>
      <c r="AL13" s="108">
        <f>(AX13-Driver!$K$181)/(Driver!$L$181-Driver!$K$181)</f>
        <v/>
      </c>
      <c r="AM13" s="108">
        <f>(AY13-Driver!$K$182)/(Driver!$L$182-Driver!$K$182)</f>
        <v/>
      </c>
      <c r="AN13" s="108">
        <f>(AZ13-Driver!$K$183)/(Driver!$L$183-Driver!$K$183)</f>
        <v/>
      </c>
      <c r="AO13" s="108" t="n"/>
      <c r="AP13" s="108" t="n"/>
      <c r="AQ13" s="108">
        <f>(BC13-Driver!$K$188)/(Driver!$L$188-Driver!$K$188)</f>
        <v/>
      </c>
      <c r="AR13" s="108">
        <f>MIN((BD13-Driver!$K$189)/(Driver!$L$189-Driver!$K$189),100%)</f>
        <v/>
      </c>
      <c r="AS13" s="108">
        <f>(BE13-Driver!$K$190)/(Driver!$L$190-Driver!$K$190)</f>
        <v/>
      </c>
      <c r="AT13" s="108">
        <f>(BF13-Driver!$K$191)/(Driver!$L$191-Driver!$K$191)</f>
        <v/>
      </c>
      <c r="AU13" s="108">
        <f>(BG13-Driver!$K$192)/(Driver!$L$192-Driver!$K$192)</f>
        <v/>
      </c>
      <c r="AV13" s="105">
        <f>IFERROR(BM13*BJ13^1/4,"")</f>
        <v/>
      </c>
      <c r="AW13" s="105">
        <f>IFERROR(SUM(AX13:AZ13),"")</f>
        <v/>
      </c>
      <c r="AX13" s="105">
        <f>IFERROR(BH13,"")</f>
        <v/>
      </c>
      <c r="AY13" s="105">
        <f>IFERROR(Driver!$K$19/Data!BH13/Data!BI13*Data!BK13*Data!BL13,"")</f>
        <v/>
      </c>
      <c r="AZ13" s="105">
        <f>IFERROR(BI13*BN13,"")</f>
        <v/>
      </c>
      <c r="BA13" s="105" t="n"/>
      <c r="BB13" s="105" t="n"/>
      <c r="BC13" s="105">
        <f>IFERROR(BI13*BN13*BK13/BJ13^(1/2),"")</f>
        <v/>
      </c>
      <c r="BD13" s="105">
        <f>IFERROR(BH13*BM13*BL13/BJ13/BK13,"")</f>
        <v/>
      </c>
      <c r="BE13" s="105">
        <f>IFERROR(MIN(BI13/BQ13/BP13/BO13/BH13,$BE$1),"")</f>
        <v/>
      </c>
      <c r="BF13" s="105">
        <f>IFERROR(BJ13*BO13*BP13/BK13,"")</f>
        <v/>
      </c>
      <c r="BG13" s="105">
        <f>IFERROR(1/BM13/BH13*BQ13,"")</f>
        <v/>
      </c>
      <c r="BH13" s="102">
        <f>MAX((CE13-Driver!$F$200)/(Driver!$G$200-Driver!$F$200)*$BI$1,1)</f>
        <v/>
      </c>
      <c r="BI13" s="102">
        <f>MAX($BI$1*(BY13-Driver!$F$201)/(Driver!$G$201-Driver!$F$201),1)</f>
        <v/>
      </c>
      <c r="BJ13" s="102">
        <f>(CB13-Driver!$F$206)/(Driver!$G$206-Driver!$F$206)*$BI$1</f>
        <v/>
      </c>
      <c r="BK13" s="102">
        <f>(CD13-Driver!$F$203)/(Driver!$G$203-Driver!$F$203)*$BI$1</f>
        <v/>
      </c>
      <c r="BL13" s="102">
        <f>MAX((CR13-Driver!$F$202)/(Driver!$G$202-Driver!$F$202)*$BI$1,1)</f>
        <v/>
      </c>
      <c r="BM13" s="102">
        <f>MAX((CH13-Driver!$F$204)/(Driver!$G$204-Driver!$F$204)*$BI$1,1)</f>
        <v/>
      </c>
      <c r="BN13" s="102">
        <f>(CI13-Driver!$F$205)/(Driver!$G$205-Driver!$F$205)*$BI$1</f>
        <v/>
      </c>
      <c r="BO13" s="102">
        <f>(CK13-Driver!$F$207)/(Driver!$G$207-Driver!$F$207)*$BI$1</f>
        <v/>
      </c>
      <c r="BP13" s="102">
        <f>(CM13-Driver!$F$208)/(Driver!$G$208-Driver!$F$208)*$BI$1</f>
        <v/>
      </c>
      <c r="BQ13" s="102">
        <f>(CL13-Driver!$F$209)/(Driver!$G$209-Driver!$F$209)*$BI$1</f>
        <v/>
      </c>
      <c r="BR13" s="40" t="inlineStr">
        <is>
          <t>21/22</t>
        </is>
      </c>
      <c r="BS13" s="10" t="inlineStr">
        <is>
          <t xml:space="preserve"> Head</t>
        </is>
      </c>
      <c r="BT13" s="11" t="inlineStr">
        <is>
          <t>Kore 105</t>
        </is>
      </c>
      <c r="BU13" s="13" t="n">
        <v>191</v>
      </c>
      <c r="BV13" s="11" t="inlineStr">
        <is>
          <t xml:space="preserve"> Unisex</t>
        </is>
      </c>
      <c r="BW13" s="13" t="n">
        <v>191</v>
      </c>
      <c r="BX13" s="13" t="n">
        <v>189.6</v>
      </c>
      <c r="BY13" s="13" t="n">
        <v>148</v>
      </c>
      <c r="BZ13" s="13" t="n">
        <v>152</v>
      </c>
      <c r="CA13" s="13" t="n">
        <v>136</v>
      </c>
      <c r="CB13" s="13" t="n">
        <v>106</v>
      </c>
      <c r="CC13" s="13" t="n">
        <v>126</v>
      </c>
      <c r="CD13" s="13" t="n">
        <v>19.7</v>
      </c>
      <c r="CE13" s="11" t="inlineStr">
        <is>
          <t xml:space="preserve"> </t>
        </is>
      </c>
      <c r="CF13" s="11" t="inlineStr">
        <is>
          <t xml:space="preserve"> </t>
        </is>
      </c>
      <c r="CG13" s="13" t="n">
        <v>2210</v>
      </c>
      <c r="CH13" s="13" t="n">
        <v>330</v>
      </c>
      <c r="CI13" s="13" t="n">
        <v>152</v>
      </c>
      <c r="CJ13" s="13" t="n">
        <v>49</v>
      </c>
      <c r="CK13" s="13" t="n">
        <v>238</v>
      </c>
      <c r="CL13" s="13" t="n">
        <v>22</v>
      </c>
      <c r="CM13" s="13" t="n">
        <v>180</v>
      </c>
      <c r="CN13" s="13" t="n">
        <v>0.454</v>
      </c>
      <c r="CO13" s="13" t="n">
        <v>229</v>
      </c>
      <c r="CP13" s="13" t="n">
        <v>148</v>
      </c>
      <c r="CQ13" s="13" t="n">
        <v>9</v>
      </c>
      <c r="CR13" s="13" t="n">
        <v>10</v>
      </c>
      <c r="CS13" s="13" t="n">
        <v>11.3</v>
      </c>
      <c r="CT13" s="11" t="inlineStr">
        <is>
          <t xml:space="preserve"> Powder</t>
        </is>
      </c>
      <c r="CU13" s="13" t="n"/>
      <c r="CV13" s="13" t="n"/>
      <c r="CW13" s="13" t="n"/>
      <c r="CX13">
        <f>INDEX('Data_Price '!AG$2:AG$1266,MATCH(Data!$DN13,'Data_Price '!$AT$2:$AT$1266,0))</f>
        <v/>
      </c>
      <c r="CY13">
        <f>INDEX('Data_Price '!AH$2:AH$1266,MATCH(Data!$DN13,'Data_Price '!$AT$2:$AT$1266,0))</f>
        <v/>
      </c>
      <c r="CZ13">
        <f>INDEX('Data_Price '!AI$2:AI$1266,MATCH(Data!$DN13,'Data_Price '!$AT$2:$AT$1266,0))</f>
        <v/>
      </c>
      <c r="DA13">
        <f>INDEX('Data_Price '!AJ$2:AJ$1266,MATCH(Data!$DN13,'Data_Price '!$AT$2:$AT$1266,0))</f>
        <v/>
      </c>
      <c r="DB13">
        <f>INDEX('Data_Price '!AK$2:AK$1266,MATCH(Data!$DN13,'Data_Price '!$AT$2:$AT$1266,0))</f>
        <v/>
      </c>
      <c r="DC13">
        <f>INDEX('Data_Price '!AL$2:AL$1266,MATCH(Data!$DN13,'Data_Price '!$AT$2:$AT$1266,0))</f>
        <v/>
      </c>
      <c r="DD13">
        <f>INDEX('Data_Price '!AM$2:AM$1266,MATCH(Data!$DN13,'Data_Price '!$AT$2:$AT$1266,0))</f>
        <v/>
      </c>
      <c r="DE13">
        <f>INDEX('Data_Price '!AN$2:AN$1266,MATCH(Data!$DN13,'Data_Price '!$AT$2:$AT$1266,0))</f>
        <v/>
      </c>
      <c r="DF13">
        <f>INDEX('Data_Price '!AO$2:AO$1266,MATCH(Data!$DN13,'Data_Price '!$AT$2:$AT$1266,0))</f>
        <v/>
      </c>
      <c r="DG13">
        <f>INDEX('Data_Price '!AP$2:AP$1266,MATCH(Data!$DN13,'Data_Price '!$AT$2:$AT$1266,0))</f>
        <v/>
      </c>
      <c r="DH13">
        <f>INDEX('Data_Price '!AQ$2:AQ$1266,MATCH(Data!$DN13,'Data_Price '!$AT$2:$AT$1266,0))</f>
        <v/>
      </c>
      <c r="DI13">
        <f>INDEX('Data_Price '!AR$2:AR$1266,MATCH(Data!$DN13,'Data_Price '!$AT$2:$AT$1266,0))</f>
        <v/>
      </c>
      <c r="DJ13" s="138">
        <f>DA13</f>
        <v/>
      </c>
      <c r="DK13" s="138">
        <f>DE13</f>
        <v/>
      </c>
      <c r="DL13" s="138">
        <f>DI13</f>
        <v/>
      </c>
      <c r="DM13" s="303">
        <f>IF(LEFT(BT13,1)=" ",RIGHT(BT13,LEN(BT13)-1),BT13)</f>
        <v/>
      </c>
      <c r="DN13" s="138">
        <f>_xlfn.CONCAT(BS13,DM13,BU13,BV13)</f>
        <v/>
      </c>
      <c r="DO13" s="307" t="inlineStr">
        <is>
          <t>https://images.evo.com/imgp/250/208271/832640/head-kore-105-skis-2022-.jpg</t>
        </is>
      </c>
    </row>
    <row r="14" ht="15.6" customHeight="1" s="184">
      <c r="B14" s="303">
        <f t="array" ref="B14">IF(OR(ISERROR(K14:P14)),FALSE,TRUE)</f>
        <v/>
      </c>
      <c r="C14" s="60">
        <f>OR(BR14=Driver!$G$50,Data!BR668=Driver!$H$50)</f>
        <v/>
      </c>
      <c r="D14" s="60">
        <f>OR(BV14=Driver!$G$51,BV14=Driver!$H$51)</f>
        <v/>
      </c>
      <c r="E14" s="60">
        <f>AND(BX14&gt;Driver!$F$54,BX14&lt;Driver!$G$54)</f>
        <v/>
      </c>
      <c r="F14" s="60">
        <f>CL14&gt;Driver!$F$56</f>
        <v/>
      </c>
      <c r="G14" s="60">
        <f>AND(CB14&gt;Driver!$F$55,CB14&lt;Driver!$G$55)</f>
        <v/>
      </c>
      <c r="H14" s="60">
        <f>AND(B14:G14)</f>
        <v/>
      </c>
      <c r="I14" s="60">
        <f>COUNTIFS($H$9:$H$1273,TRUE,$BT$9:$BT$1273,BT14)</f>
        <v/>
      </c>
      <c r="J14" s="60">
        <f t="array" ref="J14">NOT(OR(($H$9:$H$1273=TRUE)*($I$9:$I$1273&gt;0)*($BT$9:$BT$1273=BT14)*($K$9:$K$1273&gt;K14)))</f>
        <v/>
      </c>
      <c r="K14" s="108">
        <f>IFERROR(1-AVERAGE(X14:Y14),"")</f>
        <v/>
      </c>
      <c r="L14" s="108">
        <f>1-X14</f>
        <v/>
      </c>
      <c r="M14" s="108">
        <f>1-Y14</f>
        <v/>
      </c>
      <c r="N14" s="108">
        <f>1-Z14</f>
        <v/>
      </c>
      <c r="O14" s="108">
        <f>1-AA14</f>
        <v/>
      </c>
      <c r="P14" s="108">
        <f>1-AB14</f>
        <v/>
      </c>
      <c r="Q14" s="108" t="n"/>
      <c r="R14" s="108" t="n"/>
      <c r="S14" s="108">
        <f>1-AE14</f>
        <v/>
      </c>
      <c r="T14" s="108">
        <f>1-AF14</f>
        <v/>
      </c>
      <c r="U14" s="108">
        <f>1-AG14</f>
        <v/>
      </c>
      <c r="V14" s="108">
        <f>1-AH14</f>
        <v/>
      </c>
      <c r="W14" s="108">
        <f>1-AI14</f>
        <v/>
      </c>
      <c r="X14" s="108">
        <f>ABS(AJ14-AJ$1)</f>
        <v/>
      </c>
      <c r="Y14" s="108">
        <f>AVERAGE(Z14:AB14)</f>
        <v/>
      </c>
      <c r="Z14" s="108">
        <f>ABS(AL14-AL$1)</f>
        <v/>
      </c>
      <c r="AA14" s="108">
        <f>ABS(AM14-AM$1)</f>
        <v/>
      </c>
      <c r="AB14" s="108">
        <f>ABS(AN14-AN$1)</f>
        <v/>
      </c>
      <c r="AC14" s="108" t="n"/>
      <c r="AD14" s="108" t="n"/>
      <c r="AE14" s="108">
        <f>ABS(AQ$1-AQ14)</f>
        <v/>
      </c>
      <c r="AF14" s="108">
        <f>ABS(AR$1-AR14)</f>
        <v/>
      </c>
      <c r="AG14" s="108">
        <f>ABS(AS$1-AS14)</f>
        <v/>
      </c>
      <c r="AH14" s="108">
        <f>ABS(AT$1-AT14)</f>
        <v/>
      </c>
      <c r="AI14" s="108">
        <f>ABS(AU$1-AU14)</f>
        <v/>
      </c>
      <c r="AJ14" s="108">
        <f>(AV14-Driver!$K$179)/(Driver!$L$179-Driver!$K$179)</f>
        <v/>
      </c>
      <c r="AK14" s="108">
        <f>(AW14-Driver!$K$180)/(Driver!$L$180-Driver!$K$180)</f>
        <v/>
      </c>
      <c r="AL14" s="108">
        <f>(AX14-Driver!$K$181)/(Driver!$L$181-Driver!$K$181)</f>
        <v/>
      </c>
      <c r="AM14" s="108">
        <f>(AY14-Driver!$K$182)/(Driver!$L$182-Driver!$K$182)</f>
        <v/>
      </c>
      <c r="AN14" s="108">
        <f>(AZ14-Driver!$K$183)/(Driver!$L$183-Driver!$K$183)</f>
        <v/>
      </c>
      <c r="AO14" s="108" t="n"/>
      <c r="AP14" s="108" t="n"/>
      <c r="AQ14" s="108">
        <f>(BC14-Driver!$K$188)/(Driver!$L$188-Driver!$K$188)</f>
        <v/>
      </c>
      <c r="AR14" s="108">
        <f>MIN((BD14-Driver!$K$189)/(Driver!$L$189-Driver!$K$189),100%)</f>
        <v/>
      </c>
      <c r="AS14" s="108">
        <f>(BE14-Driver!$K$190)/(Driver!$L$190-Driver!$K$190)</f>
        <v/>
      </c>
      <c r="AT14" s="108">
        <f>(BF14-Driver!$K$191)/(Driver!$L$191-Driver!$K$191)</f>
        <v/>
      </c>
      <c r="AU14" s="108">
        <f>(BG14-Driver!$K$192)/(Driver!$L$192-Driver!$K$192)</f>
        <v/>
      </c>
      <c r="AV14" s="105">
        <f>IFERROR(BM14*BJ14^1/4,"")</f>
        <v/>
      </c>
      <c r="AW14" s="105">
        <f>IFERROR(SUM(AX14:AZ14),"")</f>
        <v/>
      </c>
      <c r="AX14" s="105">
        <f>IFERROR(BH14,"")</f>
        <v/>
      </c>
      <c r="AY14" s="105">
        <f>IFERROR(Driver!$K$19/Data!BH14/Data!BI14*Data!BK14*Data!BL14,"")</f>
        <v/>
      </c>
      <c r="AZ14" s="105">
        <f>IFERROR(BI14*BN14,"")</f>
        <v/>
      </c>
      <c r="BA14" s="105" t="n"/>
      <c r="BB14" s="105" t="n"/>
      <c r="BC14" s="105">
        <f>IFERROR(BI14*BN14*BK14/BJ14^(1/2),"")</f>
        <v/>
      </c>
      <c r="BD14" s="105">
        <f>IFERROR(BH14*BM14*BL14/BJ14/BK14,"")</f>
        <v/>
      </c>
      <c r="BE14" s="105">
        <f>IFERROR(MIN(BI14/BQ14/BP14/BO14/BH14,$BE$1),"")</f>
        <v/>
      </c>
      <c r="BF14" s="105">
        <f>IFERROR(BJ14*BO14*BP14/BK14,"")</f>
        <v/>
      </c>
      <c r="BG14" s="105">
        <f>IFERROR(1/BM14/BH14*BQ14,"")</f>
        <v/>
      </c>
      <c r="BH14" s="102">
        <f>MAX((CE14-Driver!$F$200)/(Driver!$G$200-Driver!$F$200)*$BI$1,1)</f>
        <v/>
      </c>
      <c r="BI14" s="102">
        <f>MAX($BI$1*(BY14-Driver!$F$201)/(Driver!$G$201-Driver!$F$201),1)</f>
        <v/>
      </c>
      <c r="BJ14" s="102">
        <f>(CB14-Driver!$F$206)/(Driver!$G$206-Driver!$F$206)*$BI$1</f>
        <v/>
      </c>
      <c r="BK14" s="102">
        <f>(CD14-Driver!$F$203)/(Driver!$G$203-Driver!$F$203)*$BI$1</f>
        <v/>
      </c>
      <c r="BL14" s="102">
        <f>MAX((CR14-Driver!$F$202)/(Driver!$G$202-Driver!$F$202)*$BI$1,1)</f>
        <v/>
      </c>
      <c r="BM14" s="102">
        <f>MAX((CH14-Driver!$F$204)/(Driver!$G$204-Driver!$F$204)*$BI$1,1)</f>
        <v/>
      </c>
      <c r="BN14" s="102">
        <f>(CI14-Driver!$F$205)/(Driver!$G$205-Driver!$F$205)*$BI$1</f>
        <v/>
      </c>
      <c r="BO14" s="102">
        <f>(CK14-Driver!$F$207)/(Driver!$G$207-Driver!$F$207)*$BI$1</f>
        <v/>
      </c>
      <c r="BP14" s="102">
        <f>(CM14-Driver!$F$208)/(Driver!$G$208-Driver!$F$208)*$BI$1</f>
        <v/>
      </c>
      <c r="BQ14" s="102">
        <f>(CL14-Driver!$F$209)/(Driver!$G$209-Driver!$F$209)*$BI$1</f>
        <v/>
      </c>
      <c r="BR14" s="40" t="inlineStr">
        <is>
          <t>21/22</t>
        </is>
      </c>
      <c r="BS14" s="10" t="inlineStr">
        <is>
          <t xml:space="preserve"> Head</t>
        </is>
      </c>
      <c r="BT14" s="11" t="inlineStr">
        <is>
          <t>Worldcup Rebels e-Speed Pro</t>
        </is>
      </c>
      <c r="BU14" s="13" t="n">
        <v>180</v>
      </c>
      <c r="BV14" s="11" t="inlineStr">
        <is>
          <t xml:space="preserve"> Unisex</t>
        </is>
      </c>
      <c r="BW14" s="13" t="n">
        <v>180</v>
      </c>
      <c r="BX14" s="13" t="n">
        <v>179</v>
      </c>
      <c r="BY14" s="13" t="n">
        <v>162</v>
      </c>
      <c r="BZ14" s="13" t="n">
        <v>170</v>
      </c>
      <c r="CA14" s="13" t="n">
        <v>116</v>
      </c>
      <c r="CB14" s="13" t="n">
        <v>67</v>
      </c>
      <c r="CC14" s="13" t="n">
        <v>98</v>
      </c>
      <c r="CD14" s="13" t="n">
        <v>18</v>
      </c>
      <c r="CE14" s="11" t="inlineStr">
        <is>
          <t xml:space="preserve"> </t>
        </is>
      </c>
      <c r="CF14" s="11" t="inlineStr">
        <is>
          <t xml:space="preserve"> </t>
        </is>
      </c>
      <c r="CG14" s="13" t="n">
        <v>1456</v>
      </c>
      <c r="CH14" s="13" t="n">
        <v>259</v>
      </c>
      <c r="CI14" s="13" t="n">
        <v>143</v>
      </c>
      <c r="CJ14" s="13" t="n">
        <v>31</v>
      </c>
      <c r="CK14" s="13" t="n">
        <v>123</v>
      </c>
      <c r="CL14" s="13" t="n">
        <v>3</v>
      </c>
      <c r="CM14" s="13" t="n">
        <v>43</v>
      </c>
      <c r="CN14" s="13" t="n">
        <v>0.09</v>
      </c>
      <c r="CO14" s="13" t="n">
        <v>59</v>
      </c>
      <c r="CP14" s="13" t="n">
        <v>33</v>
      </c>
      <c r="CQ14" s="13" t="n">
        <v>63</v>
      </c>
      <c r="CR14" s="13" t="n">
        <v>13</v>
      </c>
      <c r="CS14" s="13" t="n">
        <v>13.3</v>
      </c>
      <c r="CT14" s="11" t="inlineStr">
        <is>
          <t xml:space="preserve"> Other</t>
        </is>
      </c>
      <c r="CU14" s="13" t="n"/>
      <c r="CV14" s="13" t="n"/>
      <c r="CW14" s="13" t="n"/>
      <c r="CX14">
        <f>INDEX('Data_Price '!AG$2:AG$1266,MATCH(Data!$DN14,'Data_Price '!$AT$2:$AT$1266,0))</f>
        <v/>
      </c>
      <c r="CY14">
        <f>INDEX('Data_Price '!AH$2:AH$1266,MATCH(Data!$DN14,'Data_Price '!$AT$2:$AT$1266,0))</f>
        <v/>
      </c>
      <c r="CZ14">
        <f>INDEX('Data_Price '!AI$2:AI$1266,MATCH(Data!$DN14,'Data_Price '!$AT$2:$AT$1266,0))</f>
        <v/>
      </c>
      <c r="DA14">
        <f>INDEX('Data_Price '!AJ$2:AJ$1266,MATCH(Data!$DN14,'Data_Price '!$AT$2:$AT$1266,0))</f>
        <v/>
      </c>
      <c r="DB14">
        <f>INDEX('Data_Price '!AK$2:AK$1266,MATCH(Data!$DN14,'Data_Price '!$AT$2:$AT$1266,0))</f>
        <v/>
      </c>
      <c r="DC14">
        <f>INDEX('Data_Price '!AL$2:AL$1266,MATCH(Data!$DN14,'Data_Price '!$AT$2:$AT$1266,0))</f>
        <v/>
      </c>
      <c r="DD14">
        <f>INDEX('Data_Price '!AM$2:AM$1266,MATCH(Data!$DN14,'Data_Price '!$AT$2:$AT$1266,0))</f>
        <v/>
      </c>
      <c r="DE14">
        <f>INDEX('Data_Price '!AN$2:AN$1266,MATCH(Data!$DN14,'Data_Price '!$AT$2:$AT$1266,0))</f>
        <v/>
      </c>
      <c r="DF14">
        <f>INDEX('Data_Price '!AO$2:AO$1266,MATCH(Data!$DN14,'Data_Price '!$AT$2:$AT$1266,0))</f>
        <v/>
      </c>
      <c r="DG14">
        <f>INDEX('Data_Price '!AP$2:AP$1266,MATCH(Data!$DN14,'Data_Price '!$AT$2:$AT$1266,0))</f>
        <v/>
      </c>
      <c r="DH14">
        <f>INDEX('Data_Price '!AQ$2:AQ$1266,MATCH(Data!$DN14,'Data_Price '!$AT$2:$AT$1266,0))</f>
        <v/>
      </c>
      <c r="DI14">
        <f>INDEX('Data_Price '!AR$2:AR$1266,MATCH(Data!$DN14,'Data_Price '!$AT$2:$AT$1266,0))</f>
        <v/>
      </c>
      <c r="DJ14" s="138">
        <f>DA14</f>
        <v/>
      </c>
      <c r="DK14" s="138">
        <f>DE14</f>
        <v/>
      </c>
      <c r="DL14" s="138">
        <f>DI14</f>
        <v/>
      </c>
      <c r="DM14" s="303">
        <f>IF(LEFT(BT14,1)=" ",RIGHT(BT14,LEN(BT14)-1),BT14)</f>
        <v/>
      </c>
      <c r="DN14" s="138">
        <f>_xlfn.CONCAT(BS14,DM14,BU14,BV14)</f>
        <v/>
      </c>
      <c r="DO14" s="307" t="n"/>
    </row>
    <row r="15" ht="15.6" customHeight="1" s="184">
      <c r="B15" s="303">
        <f t="array" ref="B15">IF(OR(ISERROR(K15:P15)),FALSE,TRUE)</f>
        <v/>
      </c>
      <c r="C15" s="60">
        <f>OR(BR15=Driver!$G$50,Data!BR1022=Driver!$H$50)</f>
        <v/>
      </c>
      <c r="D15" s="60">
        <f>OR(BV15=Driver!$G$51,BV15=Driver!$H$51)</f>
        <v/>
      </c>
      <c r="E15" s="60">
        <f>AND(BX15&gt;Driver!$F$54,BX15&lt;Driver!$G$54)</f>
        <v/>
      </c>
      <c r="F15" s="60">
        <f>CL15&gt;Driver!$F$56</f>
        <v/>
      </c>
      <c r="G15" s="60">
        <f>AND(CB15&gt;Driver!$F$55,CB15&lt;Driver!$G$55)</f>
        <v/>
      </c>
      <c r="H15" s="60">
        <f>AND(B15:G15)</f>
        <v/>
      </c>
      <c r="I15" s="60">
        <f>COUNTIFS($H$9:$H$1273,TRUE,$BT$9:$BT$1273,BT15)</f>
        <v/>
      </c>
      <c r="J15" s="60">
        <f t="array" ref="J15">NOT(OR(($H$9:$H$1273=TRUE)*($I$9:$I$1273&gt;0)*($BT$9:$BT$1273=BT15)*($K$9:$K$1273&gt;K15)))</f>
        <v/>
      </c>
      <c r="K15" s="108">
        <f>IFERROR(1-AVERAGE(X15:Y15),"")</f>
        <v/>
      </c>
      <c r="L15" s="108">
        <f>1-X15</f>
        <v/>
      </c>
      <c r="M15" s="108">
        <f>1-Y15</f>
        <v/>
      </c>
      <c r="N15" s="108">
        <f>1-Z15</f>
        <v/>
      </c>
      <c r="O15" s="108">
        <f>1-AA15</f>
        <v/>
      </c>
      <c r="P15" s="108">
        <f>1-AB15</f>
        <v/>
      </c>
      <c r="Q15" s="108" t="n"/>
      <c r="R15" s="108" t="n"/>
      <c r="S15" s="108">
        <f>1-AE15</f>
        <v/>
      </c>
      <c r="T15" s="108">
        <f>1-AF15</f>
        <v/>
      </c>
      <c r="U15" s="108">
        <f>1-AG15</f>
        <v/>
      </c>
      <c r="V15" s="108">
        <f>1-AH15</f>
        <v/>
      </c>
      <c r="W15" s="108">
        <f>1-AI15</f>
        <v/>
      </c>
      <c r="X15" s="108">
        <f>ABS(AJ15-AJ$1)</f>
        <v/>
      </c>
      <c r="Y15" s="108">
        <f>AVERAGE(Z15:AB15)</f>
        <v/>
      </c>
      <c r="Z15" s="108">
        <f>ABS(AL15-AL$1)</f>
        <v/>
      </c>
      <c r="AA15" s="108">
        <f>ABS(AM15-AM$1)</f>
        <v/>
      </c>
      <c r="AB15" s="108">
        <f>ABS(AN15-AN$1)</f>
        <v/>
      </c>
      <c r="AC15" s="108" t="n"/>
      <c r="AD15" s="108" t="n"/>
      <c r="AE15" s="108">
        <f>ABS(AQ$1-AQ15)</f>
        <v/>
      </c>
      <c r="AF15" s="108">
        <f>ABS(AR$1-AR15)</f>
        <v/>
      </c>
      <c r="AG15" s="108">
        <f>ABS(AS$1-AS15)</f>
        <v/>
      </c>
      <c r="AH15" s="108">
        <f>ABS(AT$1-AT15)</f>
        <v/>
      </c>
      <c r="AI15" s="108">
        <f>ABS(AU$1-AU15)</f>
        <v/>
      </c>
      <c r="AJ15" s="108">
        <f>(AV15-Driver!$K$179)/(Driver!$L$179-Driver!$K$179)</f>
        <v/>
      </c>
      <c r="AK15" s="108">
        <f>(AW15-Driver!$K$180)/(Driver!$L$180-Driver!$K$180)</f>
        <v/>
      </c>
      <c r="AL15" s="108">
        <f>(AX15-Driver!$K$181)/(Driver!$L$181-Driver!$K$181)</f>
        <v/>
      </c>
      <c r="AM15" s="108">
        <f>(AY15-Driver!$K$182)/(Driver!$L$182-Driver!$K$182)</f>
        <v/>
      </c>
      <c r="AN15" s="108">
        <f>(AZ15-Driver!$K$183)/(Driver!$L$183-Driver!$K$183)</f>
        <v/>
      </c>
      <c r="AO15" s="108" t="n"/>
      <c r="AP15" s="108" t="n"/>
      <c r="AQ15" s="108">
        <f>(BC15-Driver!$K$188)/(Driver!$L$188-Driver!$K$188)</f>
        <v/>
      </c>
      <c r="AR15" s="108">
        <f>MIN((BD15-Driver!$K$189)/(Driver!$L$189-Driver!$K$189),100%)</f>
        <v/>
      </c>
      <c r="AS15" s="108">
        <f>(BE15-Driver!$K$190)/(Driver!$L$190-Driver!$K$190)</f>
        <v/>
      </c>
      <c r="AT15" s="108">
        <f>(BF15-Driver!$K$191)/(Driver!$L$191-Driver!$K$191)</f>
        <v/>
      </c>
      <c r="AU15" s="108">
        <f>(BG15-Driver!$K$192)/(Driver!$L$192-Driver!$K$192)</f>
        <v/>
      </c>
      <c r="AV15" s="105">
        <f>IFERROR(BM15*BJ15^1/4,"")</f>
        <v/>
      </c>
      <c r="AW15" s="105">
        <f>IFERROR(SUM(AX15:AZ15),"")</f>
        <v/>
      </c>
      <c r="AX15" s="105">
        <f>IFERROR(BH15,"")</f>
        <v/>
      </c>
      <c r="AY15" s="105">
        <f>IFERROR(Driver!$K$19/Data!BH15/Data!BI15*Data!BK15*Data!BL15,"")</f>
        <v/>
      </c>
      <c r="AZ15" s="105">
        <f>IFERROR(BI15*BN15,"")</f>
        <v/>
      </c>
      <c r="BA15" s="105" t="n"/>
      <c r="BB15" s="105" t="n"/>
      <c r="BC15" s="105">
        <f>IFERROR(BI15*BN15*BK15/BJ15^(1/2),"")</f>
        <v/>
      </c>
      <c r="BD15" s="105">
        <f>IFERROR(BH15*BM15*BL15/BJ15/BK15,"")</f>
        <v/>
      </c>
      <c r="BE15" s="105">
        <f>IFERROR(MIN(BI15/BQ15/BP15/BO15/BH15,$BE$1),"")</f>
        <v/>
      </c>
      <c r="BF15" s="105">
        <f>IFERROR(BJ15*BO15*BP15/BK15,"")</f>
        <v/>
      </c>
      <c r="BG15" s="105">
        <f>IFERROR(1/BM15/BH15*BQ15,"")</f>
        <v/>
      </c>
      <c r="BH15" s="102">
        <f>MAX((" "-Driver!$F$200)/(Driver!$G$200-Driver!$F$200)*$BI$1,1)</f>
        <v/>
      </c>
      <c r="BI15" s="102">
        <f>MAX($BI$1*(BY15-Driver!$F$201)/(Driver!$G$201-Driver!$F$201),1)</f>
        <v/>
      </c>
      <c r="BJ15" s="102">
        <f>(CB15-Driver!$F$206)/(Driver!$G$206-Driver!$F$206)*$BI$1</f>
        <v/>
      </c>
      <c r="BK15" s="102">
        <f>(CD15-Driver!$F$203)/(Driver!$G$203-Driver!$F$203)*$BI$1</f>
        <v/>
      </c>
      <c r="BL15" s="102">
        <f>MAX((CR15-Driver!$F$202)/(Driver!$G$202-Driver!$F$202)*$BI$1,1)</f>
        <v/>
      </c>
      <c r="BM15" s="102">
        <f>MAX((CH15-Driver!$F$204)/(Driver!$G$204-Driver!$F$204)*$BI$1,1)</f>
        <v/>
      </c>
      <c r="BN15" s="102">
        <f>(CI15-Driver!$F$205)/(Driver!$G$205-Driver!$F$205)*$BI$1</f>
        <v/>
      </c>
      <c r="BO15" s="102">
        <f>(CK15-Driver!$F$207)/(Driver!$G$207-Driver!$F$207)*$BI$1</f>
        <v/>
      </c>
      <c r="BP15" s="102">
        <f>(CM15-Driver!$F$208)/(Driver!$G$208-Driver!$F$208)*$BI$1</f>
        <v/>
      </c>
      <c r="BQ15" s="102">
        <f>(CL15-Driver!$F$209)/(Driver!$G$209-Driver!$F$209)*$BI$1</f>
        <v/>
      </c>
      <c r="BR15" s="40" t="inlineStr">
        <is>
          <t>21/22</t>
        </is>
      </c>
      <c r="BS15" s="10" t="inlineStr">
        <is>
          <t xml:space="preserve"> Rossignol</t>
        </is>
      </c>
      <c r="BT15" s="11" t="inlineStr">
        <is>
          <t>Experience 86 Ti</t>
        </is>
      </c>
      <c r="BU15" s="13" t="n">
        <v>167</v>
      </c>
      <c r="BV15" s="11" t="inlineStr">
        <is>
          <t xml:space="preserve"> Unisex</t>
        </is>
      </c>
      <c r="BW15" s="13" t="n">
        <v>167</v>
      </c>
      <c r="BX15" s="13" t="n">
        <v>166.4</v>
      </c>
      <c r="BY15" s="13" t="n">
        <v>128</v>
      </c>
      <c r="BZ15" s="13" t="n">
        <v>152</v>
      </c>
      <c r="CA15" s="13" t="n">
        <v>131</v>
      </c>
      <c r="CB15" s="13" t="n">
        <v>83</v>
      </c>
      <c r="CC15" s="13" t="n">
        <v>119</v>
      </c>
      <c r="CD15" s="13" t="n">
        <v>13.6</v>
      </c>
      <c r="CE15" s="11" t="inlineStr">
        <is>
          <t xml:space="preserve"> </t>
        </is>
      </c>
      <c r="CF15" s="11" t="inlineStr">
        <is>
          <t xml:space="preserve"> </t>
        </is>
      </c>
      <c r="CG15" s="13" t="n">
        <v>1643</v>
      </c>
      <c r="CH15" s="13" t="n">
        <v>184</v>
      </c>
      <c r="CI15" s="13" t="n">
        <v>113</v>
      </c>
      <c r="CJ15" s="13" t="n">
        <v>47</v>
      </c>
      <c r="CK15" s="13" t="n">
        <v>250</v>
      </c>
      <c r="CL15" s="13" t="n">
        <v>14</v>
      </c>
      <c r="CM15" s="13" t="n">
        <v>133</v>
      </c>
      <c r="CN15" s="13" t="n">
        <v>0.304</v>
      </c>
      <c r="CO15" s="13" t="n">
        <v>82</v>
      </c>
      <c r="CP15" s="13" t="n">
        <v>64</v>
      </c>
      <c r="CQ15" s="13" t="n">
        <v>168</v>
      </c>
      <c r="CR15" s="13" t="n">
        <v>11</v>
      </c>
      <c r="CS15" s="13" t="n">
        <v>6.9</v>
      </c>
      <c r="CT15" s="11" t="inlineStr">
        <is>
          <t xml:space="preserve"> Other</t>
        </is>
      </c>
      <c r="CU15" s="13" t="n"/>
      <c r="CV15" s="13" t="n"/>
      <c r="CW15" s="13" t="n"/>
      <c r="CX15">
        <f>INDEX('Data_Price '!AG$2:AG$1266,MATCH(Data!$DN15,'Data_Price '!$AT$2:$AT$1266,0))</f>
        <v/>
      </c>
      <c r="CY15">
        <f>INDEX('Data_Price '!AH$2:AH$1266,MATCH(Data!$DN15,'Data_Price '!$AT$2:$AT$1266,0))</f>
        <v/>
      </c>
      <c r="CZ15">
        <f>INDEX('Data_Price '!AI$2:AI$1266,MATCH(Data!$DN15,'Data_Price '!$AT$2:$AT$1266,0))</f>
        <v/>
      </c>
      <c r="DA15">
        <f>INDEX('Data_Price '!AJ$2:AJ$1266,MATCH(Data!$DN15,'Data_Price '!$AT$2:$AT$1266,0))</f>
        <v/>
      </c>
      <c r="DB15">
        <f>INDEX('Data_Price '!AK$2:AK$1266,MATCH(Data!$DN15,'Data_Price '!$AT$2:$AT$1266,0))</f>
        <v/>
      </c>
      <c r="DC15">
        <f>INDEX('Data_Price '!AL$2:AL$1266,MATCH(Data!$DN15,'Data_Price '!$AT$2:$AT$1266,0))</f>
        <v/>
      </c>
      <c r="DD15">
        <f>INDEX('Data_Price '!AM$2:AM$1266,MATCH(Data!$DN15,'Data_Price '!$AT$2:$AT$1266,0))</f>
        <v/>
      </c>
      <c r="DE15">
        <f>INDEX('Data_Price '!AN$2:AN$1266,MATCH(Data!$DN15,'Data_Price '!$AT$2:$AT$1266,0))</f>
        <v/>
      </c>
      <c r="DF15">
        <f>INDEX('Data_Price '!AO$2:AO$1266,MATCH(Data!$DN15,'Data_Price '!$AT$2:$AT$1266,0))</f>
        <v/>
      </c>
      <c r="DG15">
        <f>INDEX('Data_Price '!AP$2:AP$1266,MATCH(Data!$DN15,'Data_Price '!$AT$2:$AT$1266,0))</f>
        <v/>
      </c>
      <c r="DH15">
        <f>INDEX('Data_Price '!AQ$2:AQ$1266,MATCH(Data!$DN15,'Data_Price '!$AT$2:$AT$1266,0))</f>
        <v/>
      </c>
      <c r="DI15">
        <f>INDEX('Data_Price '!AR$2:AR$1266,MATCH(Data!$DN15,'Data_Price '!$AT$2:$AT$1266,0))</f>
        <v/>
      </c>
      <c r="DJ15" s="138">
        <f>DA15</f>
        <v/>
      </c>
      <c r="DK15" s="138">
        <f>DE15</f>
        <v/>
      </c>
      <c r="DL15" s="138">
        <f>DI15</f>
        <v/>
      </c>
      <c r="DM15" s="303">
        <f>IF(LEFT(BT15,1)=" ",RIGHT(BT15,LEN(BT15)-1),BT15)</f>
        <v/>
      </c>
      <c r="DN15" s="138">
        <f>_xlfn.CONCAT(BS15,DM15,BU15,BV15)</f>
        <v/>
      </c>
      <c r="DO15" s="307" t="n"/>
    </row>
    <row r="16" ht="15.6" customHeight="1" s="184">
      <c r="B16" s="303">
        <f t="array" ref="B16">IF(OR(ISERROR(K16:P16)),FALSE,TRUE)</f>
        <v/>
      </c>
      <c r="C16" s="60">
        <f>OR(BR16=Driver!$G$50,Data!BR1082=Driver!$H$50)</f>
        <v/>
      </c>
      <c r="D16" s="60">
        <f>OR(BV16=Driver!$G$51,BV16=Driver!$H$51)</f>
        <v/>
      </c>
      <c r="E16" s="60">
        <f>AND(BX16&gt;Driver!$F$54,BX16&lt;Driver!$G$54)</f>
        <v/>
      </c>
      <c r="F16" s="60">
        <f>CL16&gt;Driver!$F$56</f>
        <v/>
      </c>
      <c r="G16" s="60">
        <f>AND(CB16&gt;Driver!$F$55,CB16&lt;Driver!$G$55)</f>
        <v/>
      </c>
      <c r="H16" s="60">
        <f>AND(B16:G16)</f>
        <v/>
      </c>
      <c r="I16" s="60">
        <f>COUNTIFS($H$9:$H$1273,TRUE,$BT$9:$BT$1273,BT16)</f>
        <v/>
      </c>
      <c r="J16" s="60">
        <f t="array" ref="J16">NOT(OR(($H$9:$H$1273=TRUE)*($I$9:$I$1273&gt;0)*($BT$9:$BT$1273=BT16)*($K$9:$K$1273&gt;K16)))</f>
        <v/>
      </c>
      <c r="K16" s="108">
        <f>IFERROR(1-AVERAGE(X16:Y16),"")</f>
        <v/>
      </c>
      <c r="L16" s="108">
        <f>1-X16</f>
        <v/>
      </c>
      <c r="M16" s="108">
        <f>1-Y16</f>
        <v/>
      </c>
      <c r="N16" s="108">
        <f>1-Z16</f>
        <v/>
      </c>
      <c r="O16" s="108">
        <f>1-AA16</f>
        <v/>
      </c>
      <c r="P16" s="108">
        <f>1-AB16</f>
        <v/>
      </c>
      <c r="Q16" s="108" t="n"/>
      <c r="R16" s="108" t="n"/>
      <c r="S16" s="108">
        <f>1-AE16</f>
        <v/>
      </c>
      <c r="T16" s="108">
        <f>1-AF16</f>
        <v/>
      </c>
      <c r="U16" s="108">
        <f>1-AG16</f>
        <v/>
      </c>
      <c r="V16" s="108">
        <f>1-AH16</f>
        <v/>
      </c>
      <c r="W16" s="108">
        <f>1-AI16</f>
        <v/>
      </c>
      <c r="X16" s="108">
        <f>ABS(AJ16-AJ$1)</f>
        <v/>
      </c>
      <c r="Y16" s="108">
        <f>AVERAGE(Z16:AB16)</f>
        <v/>
      </c>
      <c r="Z16" s="108">
        <f>ABS(AL16-AL$1)</f>
        <v/>
      </c>
      <c r="AA16" s="108">
        <f>ABS(AM16-AM$1)</f>
        <v/>
      </c>
      <c r="AB16" s="108">
        <f>ABS(AN16-AN$1)</f>
        <v/>
      </c>
      <c r="AC16" s="108" t="n"/>
      <c r="AD16" s="108" t="n"/>
      <c r="AE16" s="108">
        <f>ABS(AQ$1-AQ16)</f>
        <v/>
      </c>
      <c r="AF16" s="108">
        <f>ABS(AR$1-AR16)</f>
        <v/>
      </c>
      <c r="AG16" s="108">
        <f>ABS(AS$1-AS16)</f>
        <v/>
      </c>
      <c r="AH16" s="108">
        <f>ABS(AT$1-AT16)</f>
        <v/>
      </c>
      <c r="AI16" s="108">
        <f>ABS(AU$1-AU16)</f>
        <v/>
      </c>
      <c r="AJ16" s="108">
        <f>(AV16-Driver!$K$179)/(Driver!$L$179-Driver!$K$179)</f>
        <v/>
      </c>
      <c r="AK16" s="108">
        <f>(AW16-Driver!$K$180)/(Driver!$L$180-Driver!$K$180)</f>
        <v/>
      </c>
      <c r="AL16" s="108">
        <f>(AX16-Driver!$K$181)/(Driver!$L$181-Driver!$K$181)</f>
        <v/>
      </c>
      <c r="AM16" s="108">
        <f>(AY16-Driver!$K$182)/(Driver!$L$182-Driver!$K$182)</f>
        <v/>
      </c>
      <c r="AN16" s="108">
        <f>(AZ16-Driver!$K$183)/(Driver!$L$183-Driver!$K$183)</f>
        <v/>
      </c>
      <c r="AO16" s="108" t="n"/>
      <c r="AP16" s="108" t="n"/>
      <c r="AQ16" s="108">
        <f>(BC16-Driver!$K$188)/(Driver!$L$188-Driver!$K$188)</f>
        <v/>
      </c>
      <c r="AR16" s="108">
        <f>MIN((BD16-Driver!$K$189)/(Driver!$L$189-Driver!$K$189),100%)</f>
        <v/>
      </c>
      <c r="AS16" s="108">
        <f>(BE16-Driver!$K$190)/(Driver!$L$190-Driver!$K$190)</f>
        <v/>
      </c>
      <c r="AT16" s="108">
        <f>(BF16-Driver!$K$191)/(Driver!$L$191-Driver!$K$191)</f>
        <v/>
      </c>
      <c r="AU16" s="108">
        <f>(BG16-Driver!$K$192)/(Driver!$L$192-Driver!$K$192)</f>
        <v/>
      </c>
      <c r="AV16" s="105">
        <f>IFERROR(BM16*BJ16^1/4,"")</f>
        <v/>
      </c>
      <c r="AW16" s="105">
        <f>IFERROR(SUM(AX16:AZ16),"")</f>
        <v/>
      </c>
      <c r="AX16" s="105">
        <f>IFERROR(BH16,"")</f>
        <v/>
      </c>
      <c r="AY16" s="105">
        <f>IFERROR(Driver!$K$19/Data!BH16/Data!BI16*Data!BK16*Data!BL16,"")</f>
        <v/>
      </c>
      <c r="AZ16" s="105">
        <f>IFERROR(BI16*BN16,"")</f>
        <v/>
      </c>
      <c r="BA16" s="105" t="n"/>
      <c r="BB16" s="105" t="n"/>
      <c r="BC16" s="105">
        <f>IFERROR(BI16*BN16*BK16/BJ16^(1/2),"")</f>
        <v/>
      </c>
      <c r="BD16" s="105">
        <f>IFERROR(BH16*BM16*BL16/BJ16/BK16,"")</f>
        <v/>
      </c>
      <c r="BE16" s="105">
        <f>IFERROR(MIN(BI16/BQ16/BP16/BO16/BH16,$BE$1),"")</f>
        <v/>
      </c>
      <c r="BF16" s="105">
        <f>IFERROR(BJ16*BO16*BP16/BK16,"")</f>
        <v/>
      </c>
      <c r="BG16" s="105">
        <f>IFERROR(1/BM16/BH16*BQ16,"")</f>
        <v/>
      </c>
      <c r="BH16" s="102">
        <f>MAX((CE16-Driver!$F$200)/(Driver!$G$200-Driver!$F$200)*$BI$1,1)</f>
        <v/>
      </c>
      <c r="BI16" s="102">
        <f>MAX($BI$1*(BY16-Driver!$F$201)/(Driver!$G$201-Driver!$F$201),1)</f>
        <v/>
      </c>
      <c r="BJ16" s="102">
        <f>(CB16-Driver!$F$206)/(Driver!$G$206-Driver!$F$206)*$BI$1</f>
        <v/>
      </c>
      <c r="BK16" s="102">
        <f>(CD16-Driver!$F$203)/(Driver!$G$203-Driver!$F$203)*$BI$1</f>
        <v/>
      </c>
      <c r="BL16" s="102">
        <f>MAX((CR16-Driver!$F$202)/(Driver!$G$202-Driver!$F$202)*$BI$1,1)</f>
        <v/>
      </c>
      <c r="BM16" s="102">
        <f>MAX((CH16-Driver!$F$204)/(Driver!$G$204-Driver!$F$204)*$BI$1,1)</f>
        <v/>
      </c>
      <c r="BN16" s="102">
        <f>(CI16-Driver!$F$205)/(Driver!$G$205-Driver!$F$205)*$BI$1</f>
        <v/>
      </c>
      <c r="BO16" s="102">
        <f>(CK16-Driver!$F$207)/(Driver!$G$207-Driver!$F$207)*$BI$1</f>
        <v/>
      </c>
      <c r="BP16" s="102">
        <f>(CM16-Driver!$F$208)/(Driver!$G$208-Driver!$F$208)*$BI$1</f>
        <v/>
      </c>
      <c r="BQ16" s="102">
        <f>(CL16-Driver!$F$209)/(Driver!$G$209-Driver!$F$209)*$BI$1</f>
        <v/>
      </c>
      <c r="BR16" s="40" t="inlineStr">
        <is>
          <t>21/22</t>
        </is>
      </c>
      <c r="BS16" s="10" t="inlineStr">
        <is>
          <t xml:space="preserve"> Salomon</t>
        </is>
      </c>
      <c r="BT16" s="11" t="inlineStr">
        <is>
          <t>QST Lumen 99</t>
        </is>
      </c>
      <c r="BU16" s="13" t="n">
        <v>167</v>
      </c>
      <c r="BV16" s="11" t="inlineStr">
        <is>
          <t xml:space="preserve"> Women's</t>
        </is>
      </c>
      <c r="BW16" s="13" t="n">
        <v>167</v>
      </c>
      <c r="BX16" s="13" t="n">
        <v>165.8</v>
      </c>
      <c r="BY16" s="13" t="n">
        <v>124</v>
      </c>
      <c r="BZ16" s="13" t="n">
        <v>129</v>
      </c>
      <c r="CA16" s="13" t="n">
        <v>134</v>
      </c>
      <c r="CB16" s="13" t="n">
        <v>98</v>
      </c>
      <c r="CC16" s="13" t="n">
        <v>116</v>
      </c>
      <c r="CD16" s="13" t="n">
        <v>13.6</v>
      </c>
      <c r="CE16" s="11" t="inlineStr">
        <is>
          <t xml:space="preserve"> </t>
        </is>
      </c>
      <c r="CF16" s="11" t="inlineStr">
        <is>
          <t xml:space="preserve"> </t>
        </is>
      </c>
      <c r="CG16" s="13" t="n">
        <v>1829</v>
      </c>
      <c r="CH16" s="13" t="n">
        <v>191</v>
      </c>
      <c r="CI16" s="13" t="n">
        <v>91</v>
      </c>
      <c r="CJ16" s="13" t="n">
        <v>52</v>
      </c>
      <c r="CK16" s="13" t="n">
        <v>220</v>
      </c>
      <c r="CL16" s="13" t="n">
        <v>22</v>
      </c>
      <c r="CM16" s="13" t="n">
        <v>203</v>
      </c>
      <c r="CN16" s="13" t="n">
        <v>0.418</v>
      </c>
      <c r="CO16" s="13" t="n">
        <v>218</v>
      </c>
      <c r="CP16" s="13" t="n">
        <v>145</v>
      </c>
      <c r="CQ16" s="13" t="n">
        <v>2</v>
      </c>
      <c r="CR16" s="13" t="n">
        <v>10</v>
      </c>
      <c r="CS16" s="13" t="n">
        <v>9.300000000000001</v>
      </c>
      <c r="CT16" s="11" t="inlineStr">
        <is>
          <t xml:space="preserve"> Other</t>
        </is>
      </c>
      <c r="CU16" s="13" t="n"/>
      <c r="CV16" s="13" t="n"/>
      <c r="CW16" s="13" t="n"/>
      <c r="CX16">
        <f>INDEX('Data_Price '!AG$2:AG$1266,MATCH(Data!$DN16,'Data_Price '!$AT$2:$AT$1266,0))</f>
        <v/>
      </c>
      <c r="CY16">
        <f>INDEX('Data_Price '!AH$2:AH$1266,MATCH(Data!$DN16,'Data_Price '!$AT$2:$AT$1266,0))</f>
        <v/>
      </c>
      <c r="CZ16">
        <f>INDEX('Data_Price '!AI$2:AI$1266,MATCH(Data!$DN16,'Data_Price '!$AT$2:$AT$1266,0))</f>
        <v/>
      </c>
      <c r="DA16">
        <f>INDEX('Data_Price '!AJ$2:AJ$1266,MATCH(Data!$DN16,'Data_Price '!$AT$2:$AT$1266,0))</f>
        <v/>
      </c>
      <c r="DB16">
        <f>INDEX('Data_Price '!AK$2:AK$1266,MATCH(Data!$DN16,'Data_Price '!$AT$2:$AT$1266,0))</f>
        <v/>
      </c>
      <c r="DC16">
        <f>INDEX('Data_Price '!AL$2:AL$1266,MATCH(Data!$DN16,'Data_Price '!$AT$2:$AT$1266,0))</f>
        <v/>
      </c>
      <c r="DD16">
        <f>INDEX('Data_Price '!AM$2:AM$1266,MATCH(Data!$DN16,'Data_Price '!$AT$2:$AT$1266,0))</f>
        <v/>
      </c>
      <c r="DE16">
        <f>INDEX('Data_Price '!AN$2:AN$1266,MATCH(Data!$DN16,'Data_Price '!$AT$2:$AT$1266,0))</f>
        <v/>
      </c>
      <c r="DF16">
        <f>INDEX('Data_Price '!AO$2:AO$1266,MATCH(Data!$DN16,'Data_Price '!$AT$2:$AT$1266,0))</f>
        <v/>
      </c>
      <c r="DG16">
        <f>INDEX('Data_Price '!AP$2:AP$1266,MATCH(Data!$DN16,'Data_Price '!$AT$2:$AT$1266,0))</f>
        <v/>
      </c>
      <c r="DH16">
        <f>INDEX('Data_Price '!AQ$2:AQ$1266,MATCH(Data!$DN16,'Data_Price '!$AT$2:$AT$1266,0))</f>
        <v/>
      </c>
      <c r="DI16">
        <f>INDEX('Data_Price '!AR$2:AR$1266,MATCH(Data!$DN16,'Data_Price '!$AT$2:$AT$1266,0))</f>
        <v/>
      </c>
      <c r="DJ16" s="138">
        <f>DA16</f>
        <v/>
      </c>
      <c r="DK16" s="138">
        <f>DE16</f>
        <v/>
      </c>
      <c r="DL16" s="138">
        <f>DI16</f>
        <v/>
      </c>
      <c r="DM16" s="303">
        <f>IF(LEFT(BT16,1)=" ",RIGHT(BT16,LEN(BT16)-1),BT16)</f>
        <v/>
      </c>
      <c r="DN16" s="138">
        <f>_xlfn.CONCAT(BS16,DM16,BU16,BV16)</f>
        <v/>
      </c>
      <c r="DO16" s="307" t="inlineStr">
        <is>
          <t>https://images.evo.com/imgp/250/197278/812047/salomon-qst-lumen-99-skis-women-s-2022-.jpg</t>
        </is>
      </c>
    </row>
    <row r="17" ht="15.6" customHeight="1" s="184">
      <c r="B17" s="303">
        <f t="array" ref="B17">IF(OR(ISERROR(K17:P17)),FALSE,TRUE)</f>
        <v/>
      </c>
      <c r="C17" s="60">
        <f>OR(BR17=Driver!$G$50,Data!BR1098=Driver!$H$50)</f>
        <v/>
      </c>
      <c r="D17" s="60">
        <f>OR(BV17=Driver!$G$51,BV17=Driver!$H$51)</f>
        <v/>
      </c>
      <c r="E17" s="60">
        <f>AND(BX17&gt;Driver!$F$54,BX17&lt;Driver!$G$54)</f>
        <v/>
      </c>
      <c r="F17" s="60">
        <f>CL17&gt;Driver!$F$56</f>
        <v/>
      </c>
      <c r="G17" s="60">
        <f>AND(CB17&gt;Driver!$F$55,CB17&lt;Driver!$G$55)</f>
        <v/>
      </c>
      <c r="H17" s="60">
        <f>AND(B17:G17)</f>
        <v/>
      </c>
      <c r="I17" s="60">
        <f>COUNTIFS($H$9:$H$1273,TRUE,$BT$9:$BT$1273,BT17)</f>
        <v/>
      </c>
      <c r="J17" s="60">
        <f t="array" ref="J17">NOT(OR(($H$9:$H$1273=TRUE)*($I$9:$I$1273&gt;0)*($BT$9:$BT$1273=BT17)*($K$9:$K$1273&gt;K17)))</f>
        <v/>
      </c>
      <c r="K17" s="108">
        <f>IFERROR(1-AVERAGE(X17:Y17),"")</f>
        <v/>
      </c>
      <c r="L17" s="108">
        <f>1-X17</f>
        <v/>
      </c>
      <c r="M17" s="108">
        <f>1-Y17</f>
        <v/>
      </c>
      <c r="N17" s="108">
        <f>1-Z17</f>
        <v/>
      </c>
      <c r="O17" s="108">
        <f>1-AA17</f>
        <v/>
      </c>
      <c r="P17" s="108">
        <f>1-AB17</f>
        <v/>
      </c>
      <c r="Q17" s="108" t="n"/>
      <c r="R17" s="108" t="n"/>
      <c r="S17" s="108">
        <f>1-AE17</f>
        <v/>
      </c>
      <c r="T17" s="108">
        <f>1-AF17</f>
        <v/>
      </c>
      <c r="U17" s="108">
        <f>1-AG17</f>
        <v/>
      </c>
      <c r="V17" s="108">
        <f>1-AH17</f>
        <v/>
      </c>
      <c r="W17" s="108">
        <f>1-AI17</f>
        <v/>
      </c>
      <c r="X17" s="108">
        <f>ABS(AJ17-AJ$1)</f>
        <v/>
      </c>
      <c r="Y17" s="108">
        <f>AVERAGE(Z17:AB17)</f>
        <v/>
      </c>
      <c r="Z17" s="108">
        <f>ABS(AL17-AL$1)</f>
        <v/>
      </c>
      <c r="AA17" s="108">
        <f>ABS(AM17-AM$1)</f>
        <v/>
      </c>
      <c r="AB17" s="108">
        <f>ABS(AN17-AN$1)</f>
        <v/>
      </c>
      <c r="AC17" s="108" t="n"/>
      <c r="AD17" s="108" t="n"/>
      <c r="AE17" s="108">
        <f>ABS(AQ$1-AQ17)</f>
        <v/>
      </c>
      <c r="AF17" s="108">
        <f>ABS(AR$1-AR17)</f>
        <v/>
      </c>
      <c r="AG17" s="108">
        <f>ABS(AS$1-AS17)</f>
        <v/>
      </c>
      <c r="AH17" s="108">
        <f>ABS(AT$1-AT17)</f>
        <v/>
      </c>
      <c r="AI17" s="108">
        <f>ABS(AU$1-AU17)</f>
        <v/>
      </c>
      <c r="AJ17" s="108">
        <f>(AV17-Driver!$K$179)/(Driver!$L$179-Driver!$K$179)</f>
        <v/>
      </c>
      <c r="AK17" s="108">
        <f>(AW17-Driver!$K$180)/(Driver!$L$180-Driver!$K$180)</f>
        <v/>
      </c>
      <c r="AL17" s="108">
        <f>(AX17-Driver!$K$181)/(Driver!$L$181-Driver!$K$181)</f>
        <v/>
      </c>
      <c r="AM17" s="108">
        <f>(AY17-Driver!$K$182)/(Driver!$L$182-Driver!$K$182)</f>
        <v/>
      </c>
      <c r="AN17" s="108">
        <f>(AZ17-Driver!$K$183)/(Driver!$L$183-Driver!$K$183)</f>
        <v/>
      </c>
      <c r="AO17" s="108" t="n"/>
      <c r="AP17" s="108" t="n"/>
      <c r="AQ17" s="108">
        <f>(BC17-Driver!$K$188)/(Driver!$L$188-Driver!$K$188)</f>
        <v/>
      </c>
      <c r="AR17" s="108">
        <f>MIN((BD17-Driver!$K$189)/(Driver!$L$189-Driver!$K$189),100%)</f>
        <v/>
      </c>
      <c r="AS17" s="108">
        <f>(BE17-Driver!$K$190)/(Driver!$L$190-Driver!$K$190)</f>
        <v/>
      </c>
      <c r="AT17" s="108">
        <f>(BF17-Driver!$K$191)/(Driver!$L$191-Driver!$K$191)</f>
        <v/>
      </c>
      <c r="AU17" s="108">
        <f>(BG17-Driver!$K$192)/(Driver!$L$192-Driver!$K$192)</f>
        <v/>
      </c>
      <c r="AV17" s="105">
        <f>IFERROR(BM17*BJ17^1/4,"")</f>
        <v/>
      </c>
      <c r="AW17" s="105">
        <f>IFERROR(SUM(AX17:AZ17),"")</f>
        <v/>
      </c>
      <c r="AX17" s="105">
        <f>IFERROR(BH17,"")</f>
        <v/>
      </c>
      <c r="AY17" s="105">
        <f>IFERROR(Driver!$K$19/Data!BH17/Data!BI17*Data!BK17*Data!BL17,"")</f>
        <v/>
      </c>
      <c r="AZ17" s="105">
        <f>IFERROR(BI17*BN17,"")</f>
        <v/>
      </c>
      <c r="BA17" s="105" t="n"/>
      <c r="BB17" s="105" t="n"/>
      <c r="BC17" s="105">
        <f>IFERROR(BI17*BN17*BK17/BJ17^(1/2),"")</f>
        <v/>
      </c>
      <c r="BD17" s="105">
        <f>IFERROR(BH17*BM17*BL17/BJ17/BK17,"")</f>
        <v/>
      </c>
      <c r="BE17" s="105">
        <f>IFERROR(MIN(BI17/BQ17/BP17/BO17/BH17,$BE$1),"")</f>
        <v/>
      </c>
      <c r="BF17" s="105">
        <f>IFERROR(BJ17*BO17*BP17/BK17,"")</f>
        <v/>
      </c>
      <c r="BG17" s="105">
        <f>IFERROR(1/BM17/BH17*BQ17,"")</f>
        <v/>
      </c>
      <c r="BH17" s="102">
        <f>MAX((CE17-Driver!$F$200)/(Driver!$G$200-Driver!$F$200)*$BI$1,1)</f>
        <v/>
      </c>
      <c r="BI17" s="102">
        <f>MAX($BI$1*(BY17-Driver!$F$201)/(Driver!$G$201-Driver!$F$201),1)</f>
        <v/>
      </c>
      <c r="BJ17" s="102">
        <f>(CB17-Driver!$F$206)/(Driver!$G$206-Driver!$F$206)*$BI$1</f>
        <v/>
      </c>
      <c r="BK17" s="102">
        <f>(CD17-Driver!$F$203)/(Driver!$G$203-Driver!$F$203)*$BI$1</f>
        <v/>
      </c>
      <c r="BL17" s="102">
        <f>MAX((CR17-Driver!$F$202)/(Driver!$G$202-Driver!$F$202)*$BI$1,1)</f>
        <v/>
      </c>
      <c r="BM17" s="102">
        <f>MAX((CH17-Driver!$F$204)/(Driver!$G$204-Driver!$F$204)*$BI$1,1)</f>
        <v/>
      </c>
      <c r="BN17" s="102">
        <f>(CI17-Driver!$F$205)/(Driver!$G$205-Driver!$F$205)*$BI$1</f>
        <v/>
      </c>
      <c r="BO17" s="102">
        <f>(CK17-Driver!$F$207)/(Driver!$G$207-Driver!$F$207)*$BI$1</f>
        <v/>
      </c>
      <c r="BP17" s="102">
        <f>(CM17-Driver!$F$208)/(Driver!$G$208-Driver!$F$208)*$BI$1</f>
        <v/>
      </c>
      <c r="BQ17" s="102">
        <f>(CL17-Driver!$F$209)/(Driver!$G$209-Driver!$F$209)*$BI$1</f>
        <v/>
      </c>
      <c r="BR17" s="40" t="inlineStr">
        <is>
          <t>21/22</t>
        </is>
      </c>
      <c r="BS17" s="10" t="inlineStr">
        <is>
          <t xml:space="preserve"> Salomon</t>
        </is>
      </c>
      <c r="BT17" s="11" t="inlineStr">
        <is>
          <t>Stance 102</t>
        </is>
      </c>
      <c r="BU17" s="13" t="n">
        <v>176</v>
      </c>
      <c r="BV17" s="11" t="inlineStr">
        <is>
          <t xml:space="preserve"> Unisex</t>
        </is>
      </c>
      <c r="BW17" s="13" t="n">
        <v>176</v>
      </c>
      <c r="BX17" s="13" t="n">
        <v>175.6</v>
      </c>
      <c r="BY17" s="13" t="n">
        <v>117</v>
      </c>
      <c r="BZ17" s="13" t="n">
        <v>151</v>
      </c>
      <c r="CA17" s="13" t="n">
        <v>131</v>
      </c>
      <c r="CB17" s="13" t="n">
        <v>102</v>
      </c>
      <c r="CC17" s="13" t="n">
        <v>119</v>
      </c>
      <c r="CD17" s="13" t="n">
        <v>23.5</v>
      </c>
      <c r="CE17" s="11" t="inlineStr">
        <is>
          <t xml:space="preserve"> </t>
        </is>
      </c>
      <c r="CF17" s="11" t="inlineStr">
        <is>
          <t xml:space="preserve"> </t>
        </is>
      </c>
      <c r="CG17" s="13" t="n">
        <v>1939</v>
      </c>
      <c r="CH17" s="13" t="n">
        <v>197</v>
      </c>
      <c r="CI17" s="13" t="n">
        <v>123</v>
      </c>
      <c r="CJ17" s="13" t="n">
        <v>49</v>
      </c>
      <c r="CK17" s="13" t="n">
        <v>345</v>
      </c>
      <c r="CL17" s="13" t="n">
        <v>8</v>
      </c>
      <c r="CM17" s="13" t="n">
        <v>244</v>
      </c>
      <c r="CN17" s="13" t="n">
        <v>0.163</v>
      </c>
      <c r="CO17" s="13" t="n">
        <v>134</v>
      </c>
      <c r="CP17" s="13" t="n">
        <v>108</v>
      </c>
      <c r="CQ17" s="13" t="n">
        <v>212</v>
      </c>
      <c r="CR17" s="13" t="n">
        <v>8</v>
      </c>
      <c r="CS17" s="13" t="n">
        <v>10.5</v>
      </c>
      <c r="CT17" s="11" t="inlineStr">
        <is>
          <t xml:space="preserve"> Big Mountain</t>
        </is>
      </c>
      <c r="CU17" s="13" t="n"/>
      <c r="CV17" s="13" t="n"/>
      <c r="CW17" s="13" t="n"/>
      <c r="CX17">
        <f>INDEX('Data_Price '!AG$2:AG$1266,MATCH(Data!$DN17,'Data_Price '!$AT$2:$AT$1266,0))</f>
        <v/>
      </c>
      <c r="CY17">
        <f>INDEX('Data_Price '!AH$2:AH$1266,MATCH(Data!$DN17,'Data_Price '!$AT$2:$AT$1266,0))</f>
        <v/>
      </c>
      <c r="CZ17">
        <f>INDEX('Data_Price '!AI$2:AI$1266,MATCH(Data!$DN17,'Data_Price '!$AT$2:$AT$1266,0))</f>
        <v/>
      </c>
      <c r="DA17">
        <f>INDEX('Data_Price '!AJ$2:AJ$1266,MATCH(Data!$DN17,'Data_Price '!$AT$2:$AT$1266,0))</f>
        <v/>
      </c>
      <c r="DB17">
        <f>INDEX('Data_Price '!AK$2:AK$1266,MATCH(Data!$DN17,'Data_Price '!$AT$2:$AT$1266,0))</f>
        <v/>
      </c>
      <c r="DC17">
        <f>INDEX('Data_Price '!AL$2:AL$1266,MATCH(Data!$DN17,'Data_Price '!$AT$2:$AT$1266,0))</f>
        <v/>
      </c>
      <c r="DD17">
        <f>INDEX('Data_Price '!AM$2:AM$1266,MATCH(Data!$DN17,'Data_Price '!$AT$2:$AT$1266,0))</f>
        <v/>
      </c>
      <c r="DE17">
        <f>INDEX('Data_Price '!AN$2:AN$1266,MATCH(Data!$DN17,'Data_Price '!$AT$2:$AT$1266,0))</f>
        <v/>
      </c>
      <c r="DF17">
        <f>INDEX('Data_Price '!AO$2:AO$1266,MATCH(Data!$DN17,'Data_Price '!$AT$2:$AT$1266,0))</f>
        <v/>
      </c>
      <c r="DG17">
        <f>INDEX('Data_Price '!AP$2:AP$1266,MATCH(Data!$DN17,'Data_Price '!$AT$2:$AT$1266,0))</f>
        <v/>
      </c>
      <c r="DH17">
        <f>INDEX('Data_Price '!AQ$2:AQ$1266,MATCH(Data!$DN17,'Data_Price '!$AT$2:$AT$1266,0))</f>
        <v/>
      </c>
      <c r="DI17">
        <f>INDEX('Data_Price '!AR$2:AR$1266,MATCH(Data!$DN17,'Data_Price '!$AT$2:$AT$1266,0))</f>
        <v/>
      </c>
      <c r="DJ17" s="138">
        <f>DA17</f>
        <v/>
      </c>
      <c r="DK17" s="138">
        <f>DE17</f>
        <v/>
      </c>
      <c r="DL17" s="138">
        <f>DI17</f>
        <v/>
      </c>
      <c r="DM17" s="303">
        <f>IF(LEFT(BT17,1)=" ",RIGHT(BT17,LEN(BT17)-1),BT17)</f>
        <v/>
      </c>
      <c r="DN17" s="138">
        <f>_xlfn.CONCAT(BS17,DM17,BU17,BV17)</f>
        <v/>
      </c>
      <c r="DO17" s="307" t="inlineStr">
        <is>
          <t>https://images.evo.com/imgp/250/183471/737716/salomon-stance-102-skis-2022-.jpg</t>
        </is>
      </c>
    </row>
    <row r="18" ht="15.6" customHeight="1" s="184">
      <c r="B18" s="303">
        <f t="array" ref="B18">IF(OR(ISERROR(K18:P18)),FALSE,TRUE)</f>
        <v/>
      </c>
      <c r="C18" s="60">
        <f>OR(BR18=Driver!$G$50,Data!BR1099=Driver!$H$50)</f>
        <v/>
      </c>
      <c r="D18" s="60">
        <f>OR(BV18=Driver!$G$51,BV18=Driver!$H$51)</f>
        <v/>
      </c>
      <c r="E18" s="60">
        <f>AND(BX18&gt;Driver!$F$54,BX18&lt;Driver!$G$54)</f>
        <v/>
      </c>
      <c r="F18" s="60">
        <f>CL18&gt;Driver!$F$56</f>
        <v/>
      </c>
      <c r="G18" s="60">
        <f>AND(CB18&gt;Driver!$F$55,CB18&lt;Driver!$G$55)</f>
        <v/>
      </c>
      <c r="H18" s="60">
        <f>AND(B18:G18)</f>
        <v/>
      </c>
      <c r="I18" s="60">
        <f>COUNTIFS($H$9:$H$1273,TRUE,$BT$9:$BT$1273,BT18)</f>
        <v/>
      </c>
      <c r="J18" s="60">
        <f t="array" ref="J18">NOT(OR(($H$9:$H$1273=TRUE)*($I$9:$I$1273&gt;0)*($BT$9:$BT$1273=BT18)*($K$9:$K$1273&gt;K18)))</f>
        <v/>
      </c>
      <c r="K18" s="108">
        <f>IFERROR(1-AVERAGE(X18:Y18),"")</f>
        <v/>
      </c>
      <c r="L18" s="108">
        <f>1-X18</f>
        <v/>
      </c>
      <c r="M18" s="108">
        <f>1-Y18</f>
        <v/>
      </c>
      <c r="N18" s="108">
        <f>1-Z18</f>
        <v/>
      </c>
      <c r="O18" s="108">
        <f>1-AA18</f>
        <v/>
      </c>
      <c r="P18" s="108">
        <f>1-AB18</f>
        <v/>
      </c>
      <c r="Q18" s="108" t="n"/>
      <c r="R18" s="108" t="n"/>
      <c r="S18" s="108">
        <f>1-AE18</f>
        <v/>
      </c>
      <c r="T18" s="108">
        <f>1-AF18</f>
        <v/>
      </c>
      <c r="U18" s="108">
        <f>1-AG18</f>
        <v/>
      </c>
      <c r="V18" s="108">
        <f>1-AH18</f>
        <v/>
      </c>
      <c r="W18" s="108">
        <f>1-AI18</f>
        <v/>
      </c>
      <c r="X18" s="108">
        <f>ABS(AJ18-AJ$1)</f>
        <v/>
      </c>
      <c r="Y18" s="108">
        <f>AVERAGE(Z18:AB18)</f>
        <v/>
      </c>
      <c r="Z18" s="108">
        <f>ABS(AL18-AL$1)</f>
        <v/>
      </c>
      <c r="AA18" s="108">
        <f>ABS(AM18-AM$1)</f>
        <v/>
      </c>
      <c r="AB18" s="108">
        <f>ABS(AN18-AN$1)</f>
        <v/>
      </c>
      <c r="AC18" s="108" t="n"/>
      <c r="AD18" s="108" t="n"/>
      <c r="AE18" s="108">
        <f>ABS(AQ$1-AQ18)</f>
        <v/>
      </c>
      <c r="AF18" s="108">
        <f>ABS(AR$1-AR18)</f>
        <v/>
      </c>
      <c r="AG18" s="108">
        <f>ABS(AS$1-AS18)</f>
        <v/>
      </c>
      <c r="AH18" s="108">
        <f>ABS(AT$1-AT18)</f>
        <v/>
      </c>
      <c r="AI18" s="108">
        <f>ABS(AU$1-AU18)</f>
        <v/>
      </c>
      <c r="AJ18" s="108">
        <f>(AV18-Driver!$K$179)/(Driver!$L$179-Driver!$K$179)</f>
        <v/>
      </c>
      <c r="AK18" s="108">
        <f>(AW18-Driver!$K$180)/(Driver!$L$180-Driver!$K$180)</f>
        <v/>
      </c>
      <c r="AL18" s="108">
        <f>(AX18-Driver!$K$181)/(Driver!$L$181-Driver!$K$181)</f>
        <v/>
      </c>
      <c r="AM18" s="108">
        <f>(AY18-Driver!$K$182)/(Driver!$L$182-Driver!$K$182)</f>
        <v/>
      </c>
      <c r="AN18" s="108">
        <f>(AZ18-Driver!$K$183)/(Driver!$L$183-Driver!$K$183)</f>
        <v/>
      </c>
      <c r="AO18" s="108" t="n"/>
      <c r="AP18" s="108" t="n"/>
      <c r="AQ18" s="108">
        <f>(BC18-Driver!$K$188)/(Driver!$L$188-Driver!$K$188)</f>
        <v/>
      </c>
      <c r="AR18" s="108">
        <f>MIN((BD18-Driver!$K$189)/(Driver!$L$189-Driver!$K$189),100%)</f>
        <v/>
      </c>
      <c r="AS18" s="108">
        <f>(BE18-Driver!$K$190)/(Driver!$L$190-Driver!$K$190)</f>
        <v/>
      </c>
      <c r="AT18" s="108">
        <f>(BF18-Driver!$K$191)/(Driver!$L$191-Driver!$K$191)</f>
        <v/>
      </c>
      <c r="AU18" s="108">
        <f>(BG18-Driver!$K$192)/(Driver!$L$192-Driver!$K$192)</f>
        <v/>
      </c>
      <c r="AV18" s="105">
        <f>IFERROR(BM18*BJ18^1/4,"")</f>
        <v/>
      </c>
      <c r="AW18" s="105">
        <f>IFERROR(SUM(AX18:AZ18),"")</f>
        <v/>
      </c>
      <c r="AX18" s="105">
        <f>IFERROR(BH18,"")</f>
        <v/>
      </c>
      <c r="AY18" s="105">
        <f>IFERROR(Driver!$K$19/Data!BH18/Data!BI18*Data!BK18*Data!BL18,"")</f>
        <v/>
      </c>
      <c r="AZ18" s="105">
        <f>IFERROR(BI18*BN18,"")</f>
        <v/>
      </c>
      <c r="BA18" s="105" t="n"/>
      <c r="BB18" s="105" t="n"/>
      <c r="BC18" s="105">
        <f>IFERROR(BI18*BN18*BK18/BJ18^(1/2),"")</f>
        <v/>
      </c>
      <c r="BD18" s="105">
        <f>IFERROR(BH18*BM18*BL18/BJ18/BK18,"")</f>
        <v/>
      </c>
      <c r="BE18" s="105">
        <f>IFERROR(MIN(BI18/BQ18/BP18/BO18/BH18,$BE$1),"")</f>
        <v/>
      </c>
      <c r="BF18" s="105">
        <f>IFERROR(BJ18*BO18*BP18/BK18,"")</f>
        <v/>
      </c>
      <c r="BG18" s="105">
        <f>IFERROR(1/BM18/BH18*BQ18,"")</f>
        <v/>
      </c>
      <c r="BH18" s="102">
        <f>MAX((CE18-Driver!$F$200)/(Driver!$G$200-Driver!$F$200)*$BI$1,1)</f>
        <v/>
      </c>
      <c r="BI18" s="102">
        <f>MAX($BI$1*(BY18-Driver!$F$201)/(Driver!$G$201-Driver!$F$201),1)</f>
        <v/>
      </c>
      <c r="BJ18" s="102">
        <f>(CB18-Driver!$F$206)/(Driver!$G$206-Driver!$F$206)*$BI$1</f>
        <v/>
      </c>
      <c r="BK18" s="102">
        <f>(CD18-Driver!$F$203)/(Driver!$G$203-Driver!$F$203)*$BI$1</f>
        <v/>
      </c>
      <c r="BL18" s="102">
        <f>MAX((CR18-Driver!$F$202)/(Driver!$G$202-Driver!$F$202)*$BI$1,1)</f>
        <v/>
      </c>
      <c r="BM18" s="102">
        <f>MAX((CH18-Driver!$F$204)/(Driver!$G$204-Driver!$F$204)*$BI$1,1)</f>
        <v/>
      </c>
      <c r="BN18" s="102">
        <f>(CI18-Driver!$F$205)/(Driver!$G$205-Driver!$F$205)*$BI$1</f>
        <v/>
      </c>
      <c r="BO18" s="102">
        <f>(CK18-Driver!$F$207)/(Driver!$G$207-Driver!$F$207)*$BI$1</f>
        <v/>
      </c>
      <c r="BP18" s="102">
        <f>(CM18-Driver!$F$208)/(Driver!$G$208-Driver!$F$208)*$BI$1</f>
        <v/>
      </c>
      <c r="BQ18" s="102">
        <f>(CL18-Driver!$F$209)/(Driver!$G$209-Driver!$F$209)*$BI$1</f>
        <v/>
      </c>
      <c r="BR18" s="40" t="inlineStr">
        <is>
          <t>21/22</t>
        </is>
      </c>
      <c r="BS18" s="10" t="inlineStr">
        <is>
          <t xml:space="preserve"> Salomon</t>
        </is>
      </c>
      <c r="BT18" s="11" t="inlineStr">
        <is>
          <t>Stance 102</t>
        </is>
      </c>
      <c r="BU18" s="13" t="n">
        <v>183</v>
      </c>
      <c r="BV18" s="11" t="inlineStr">
        <is>
          <t xml:space="preserve"> Unisex</t>
        </is>
      </c>
      <c r="BW18" s="13" t="n">
        <v>183</v>
      </c>
      <c r="BX18" s="13" t="n">
        <v>182.5</v>
      </c>
      <c r="BY18" s="13" t="n">
        <v>119</v>
      </c>
      <c r="BZ18" s="13" t="n">
        <v>158</v>
      </c>
      <c r="CA18" s="13" t="n">
        <v>133</v>
      </c>
      <c r="CB18" s="13" t="n">
        <v>101</v>
      </c>
      <c r="CC18" s="13" t="n">
        <v>120</v>
      </c>
      <c r="CD18" s="13" t="n">
        <v>23.9</v>
      </c>
      <c r="CE18" s="11" t="inlineStr">
        <is>
          <t xml:space="preserve"> </t>
        </is>
      </c>
      <c r="CF18" s="11" t="inlineStr">
        <is>
          <t xml:space="preserve"> </t>
        </is>
      </c>
      <c r="CG18" s="13" t="n">
        <v>2026</v>
      </c>
      <c r="CH18" s="13" t="n">
        <v>218</v>
      </c>
      <c r="CI18" s="13" t="n">
        <v>139</v>
      </c>
      <c r="CJ18" s="13" t="n">
        <v>48</v>
      </c>
      <c r="CK18" s="13" t="n">
        <v>369</v>
      </c>
      <c r="CL18" s="13" t="n">
        <v>4</v>
      </c>
      <c r="CM18" s="13" t="n">
        <v>263</v>
      </c>
      <c r="CN18" s="13" t="n">
        <v>0.081</v>
      </c>
      <c r="CO18" s="13" t="n">
        <v>142</v>
      </c>
      <c r="CP18" s="13" t="n">
        <v>106</v>
      </c>
      <c r="CQ18" s="13" t="n">
        <v>227</v>
      </c>
      <c r="CR18" s="13" t="n">
        <v>7</v>
      </c>
      <c r="CS18" s="13" t="n">
        <v>10.6</v>
      </c>
      <c r="CT18" s="11" t="inlineStr">
        <is>
          <t xml:space="preserve"> Big Mountain</t>
        </is>
      </c>
      <c r="CU18" s="13" t="n"/>
      <c r="CV18" s="13" t="n"/>
      <c r="CW18" s="13" t="n"/>
      <c r="CX18">
        <f>INDEX('Data_Price '!AG$2:AG$1266,MATCH(Data!$DN18,'Data_Price '!$AT$2:$AT$1266,0))</f>
        <v/>
      </c>
      <c r="CY18">
        <f>INDEX('Data_Price '!AH$2:AH$1266,MATCH(Data!$DN18,'Data_Price '!$AT$2:$AT$1266,0))</f>
        <v/>
      </c>
      <c r="CZ18">
        <f>INDEX('Data_Price '!AI$2:AI$1266,MATCH(Data!$DN18,'Data_Price '!$AT$2:$AT$1266,0))</f>
        <v/>
      </c>
      <c r="DA18">
        <f>INDEX('Data_Price '!AJ$2:AJ$1266,MATCH(Data!$DN18,'Data_Price '!$AT$2:$AT$1266,0))</f>
        <v/>
      </c>
      <c r="DB18">
        <f>INDEX('Data_Price '!AK$2:AK$1266,MATCH(Data!$DN18,'Data_Price '!$AT$2:$AT$1266,0))</f>
        <v/>
      </c>
      <c r="DC18">
        <f>INDEX('Data_Price '!AL$2:AL$1266,MATCH(Data!$DN18,'Data_Price '!$AT$2:$AT$1266,0))</f>
        <v/>
      </c>
      <c r="DD18">
        <f>INDEX('Data_Price '!AM$2:AM$1266,MATCH(Data!$DN18,'Data_Price '!$AT$2:$AT$1266,0))</f>
        <v/>
      </c>
      <c r="DE18">
        <f>INDEX('Data_Price '!AN$2:AN$1266,MATCH(Data!$DN18,'Data_Price '!$AT$2:$AT$1266,0))</f>
        <v/>
      </c>
      <c r="DF18">
        <f>INDEX('Data_Price '!AO$2:AO$1266,MATCH(Data!$DN18,'Data_Price '!$AT$2:$AT$1266,0))</f>
        <v/>
      </c>
      <c r="DG18">
        <f>INDEX('Data_Price '!AP$2:AP$1266,MATCH(Data!$DN18,'Data_Price '!$AT$2:$AT$1266,0))</f>
        <v/>
      </c>
      <c r="DH18">
        <f>INDEX('Data_Price '!AQ$2:AQ$1266,MATCH(Data!$DN18,'Data_Price '!$AT$2:$AT$1266,0))</f>
        <v/>
      </c>
      <c r="DI18">
        <f>INDEX('Data_Price '!AR$2:AR$1266,MATCH(Data!$DN18,'Data_Price '!$AT$2:$AT$1266,0))</f>
        <v/>
      </c>
      <c r="DJ18" s="138">
        <f>DA18</f>
        <v/>
      </c>
      <c r="DK18" s="138">
        <f>DE18</f>
        <v/>
      </c>
      <c r="DL18" s="138">
        <f>DI18</f>
        <v/>
      </c>
      <c r="DM18" s="303">
        <f>IF(LEFT(BT18,1)=" ",RIGHT(BT18,LEN(BT18)-1),BT18)</f>
        <v/>
      </c>
      <c r="DN18" s="138">
        <f>_xlfn.CONCAT(BS18,DM18,BU18,BV18)</f>
        <v/>
      </c>
      <c r="DO18" s="307" t="inlineStr">
        <is>
          <t>https://images.evo.com/imgp/250/183471/737716/salomon-stance-102-skis-2022-.jpg</t>
        </is>
      </c>
    </row>
    <row r="19" ht="15.6" customHeight="1" s="184">
      <c r="B19" s="303">
        <f t="array" ref="B19">IF(OR(ISERROR(K19:P19)),FALSE,TRUE)</f>
        <v/>
      </c>
      <c r="C19" s="60">
        <f>OR(BR19=Driver!$G$50,Data!BR1100=Driver!$H$50)</f>
        <v/>
      </c>
      <c r="D19" s="60">
        <f>OR(BV19=Driver!$G$51,BV19=Driver!$H$51)</f>
        <v/>
      </c>
      <c r="E19" s="60">
        <f>AND(BX19&gt;Driver!$F$54,BX19&lt;Driver!$G$54)</f>
        <v/>
      </c>
      <c r="F19" s="60">
        <f>CL19&gt;Driver!$F$56</f>
        <v/>
      </c>
      <c r="G19" s="60">
        <f>AND(CB19&gt;Driver!$F$55,CB19&lt;Driver!$G$55)</f>
        <v/>
      </c>
      <c r="H19" s="60">
        <f>AND(B19:G19)</f>
        <v/>
      </c>
      <c r="I19" s="60">
        <f>COUNTIFS($H$9:$H$1273,TRUE,$BT$9:$BT$1273,BT19)</f>
        <v/>
      </c>
      <c r="J19" s="60">
        <f t="array" ref="J19">NOT(OR(($H$9:$H$1273=TRUE)*($I$9:$I$1273&gt;0)*($BT$9:$BT$1273=BT19)*($K$9:$K$1273&gt;K19)))</f>
        <v/>
      </c>
      <c r="K19" s="108">
        <f>IFERROR(1-AVERAGE(X19:Y19),"")</f>
        <v/>
      </c>
      <c r="L19" s="108">
        <f>1-X19</f>
        <v/>
      </c>
      <c r="M19" s="108">
        <f>1-Y19</f>
        <v/>
      </c>
      <c r="N19" s="108">
        <f>1-Z19</f>
        <v/>
      </c>
      <c r="O19" s="108">
        <f>1-AA19</f>
        <v/>
      </c>
      <c r="P19" s="108">
        <f>1-AB19</f>
        <v/>
      </c>
      <c r="Q19" s="108" t="n"/>
      <c r="R19" s="108" t="n"/>
      <c r="S19" s="108">
        <f>1-AE19</f>
        <v/>
      </c>
      <c r="T19" s="108">
        <f>1-AF19</f>
        <v/>
      </c>
      <c r="U19" s="108">
        <f>1-AG19</f>
        <v/>
      </c>
      <c r="V19" s="108">
        <f>1-AH19</f>
        <v/>
      </c>
      <c r="W19" s="108">
        <f>1-AI19</f>
        <v/>
      </c>
      <c r="X19" s="108">
        <f>ABS(AJ19-AJ$1)</f>
        <v/>
      </c>
      <c r="Y19" s="108">
        <f>AVERAGE(Z19:AB19)</f>
        <v/>
      </c>
      <c r="Z19" s="108">
        <f>ABS(AL19-AL$1)</f>
        <v/>
      </c>
      <c r="AA19" s="108">
        <f>ABS(AM19-AM$1)</f>
        <v/>
      </c>
      <c r="AB19" s="108">
        <f>ABS(AN19-AN$1)</f>
        <v/>
      </c>
      <c r="AC19" s="108" t="n"/>
      <c r="AD19" s="108" t="n"/>
      <c r="AE19" s="108">
        <f>ABS(AQ$1-AQ19)</f>
        <v/>
      </c>
      <c r="AF19" s="108">
        <f>ABS(AR$1-AR19)</f>
        <v/>
      </c>
      <c r="AG19" s="108">
        <f>ABS(AS$1-AS19)</f>
        <v/>
      </c>
      <c r="AH19" s="108">
        <f>ABS(AT$1-AT19)</f>
        <v/>
      </c>
      <c r="AI19" s="108">
        <f>ABS(AU$1-AU19)</f>
        <v/>
      </c>
      <c r="AJ19" s="108">
        <f>(AV19-Driver!$K$179)/(Driver!$L$179-Driver!$K$179)</f>
        <v/>
      </c>
      <c r="AK19" s="108">
        <f>(AW19-Driver!$K$180)/(Driver!$L$180-Driver!$K$180)</f>
        <v/>
      </c>
      <c r="AL19" s="108">
        <f>(AX19-Driver!$K$181)/(Driver!$L$181-Driver!$K$181)</f>
        <v/>
      </c>
      <c r="AM19" s="108">
        <f>(AY19-Driver!$K$182)/(Driver!$L$182-Driver!$K$182)</f>
        <v/>
      </c>
      <c r="AN19" s="108">
        <f>(AZ19-Driver!$K$183)/(Driver!$L$183-Driver!$K$183)</f>
        <v/>
      </c>
      <c r="AO19" s="108" t="n"/>
      <c r="AP19" s="108" t="n"/>
      <c r="AQ19" s="108">
        <f>(BC19-Driver!$K$188)/(Driver!$L$188-Driver!$K$188)</f>
        <v/>
      </c>
      <c r="AR19" s="108">
        <f>MIN((BD19-Driver!$K$189)/(Driver!$L$189-Driver!$K$189),100%)</f>
        <v/>
      </c>
      <c r="AS19" s="108">
        <f>(BE19-Driver!$K$190)/(Driver!$L$190-Driver!$K$190)</f>
        <v/>
      </c>
      <c r="AT19" s="108">
        <f>(BF19-Driver!$K$191)/(Driver!$L$191-Driver!$K$191)</f>
        <v/>
      </c>
      <c r="AU19" s="108">
        <f>(BG19-Driver!$K$192)/(Driver!$L$192-Driver!$K$192)</f>
        <v/>
      </c>
      <c r="AV19" s="105">
        <f>IFERROR(BM19*BJ19^1/4,"")</f>
        <v/>
      </c>
      <c r="AW19" s="105">
        <f>IFERROR(SUM(AX19:AZ19),"")</f>
        <v/>
      </c>
      <c r="AX19" s="105">
        <f>IFERROR(BH19,"")</f>
        <v/>
      </c>
      <c r="AY19" s="105">
        <f>IFERROR(Driver!$K$19/Data!BH19/Data!BI19*Data!BK19*Data!BL19,"")</f>
        <v/>
      </c>
      <c r="AZ19" s="105">
        <f>IFERROR(BI19*BN19,"")</f>
        <v/>
      </c>
      <c r="BA19" s="105" t="n"/>
      <c r="BB19" s="105" t="n"/>
      <c r="BC19" s="105">
        <f>IFERROR(BI19*BN19*BK19/BJ19^(1/2),"")</f>
        <v/>
      </c>
      <c r="BD19" s="105">
        <f>IFERROR(BH19*BM19*BL19/BJ19/BK19,"")</f>
        <v/>
      </c>
      <c r="BE19" s="105">
        <f>IFERROR(MIN(BI19/BQ19/BP19/BO19/BH19,$BE$1),"")</f>
        <v/>
      </c>
      <c r="BF19" s="105">
        <f>IFERROR(BJ19*BO19*BP19/BK19,"")</f>
        <v/>
      </c>
      <c r="BG19" s="105">
        <f>IFERROR(1/BM19/BH19*BQ19,"")</f>
        <v/>
      </c>
      <c r="BH19" s="102">
        <f>MAX((CE19-Driver!$F$200)/(Driver!$G$200-Driver!$F$200)*$BI$1,1)</f>
        <v/>
      </c>
      <c r="BI19" s="102">
        <f>MAX($BI$1*(BY19-Driver!$F$201)/(Driver!$G$201-Driver!$F$201),1)</f>
        <v/>
      </c>
      <c r="BJ19" s="102">
        <f>(CB19-Driver!$F$206)/(Driver!$G$206-Driver!$F$206)*$BI$1</f>
        <v/>
      </c>
      <c r="BK19" s="102">
        <f>(CD19-Driver!$F$203)/(Driver!$G$203-Driver!$F$203)*$BI$1</f>
        <v/>
      </c>
      <c r="BL19" s="102">
        <f>MAX((CR19-Driver!$F$202)/(Driver!$G$202-Driver!$F$202)*$BI$1,1)</f>
        <v/>
      </c>
      <c r="BM19" s="102">
        <f>MAX((CH19-Driver!$F$204)/(Driver!$G$204-Driver!$F$204)*$BI$1,1)</f>
        <v/>
      </c>
      <c r="BN19" s="102">
        <f>(CI19-Driver!$F$205)/(Driver!$G$205-Driver!$F$205)*$BI$1</f>
        <v/>
      </c>
      <c r="BO19" s="102">
        <f>(CK19-Driver!$F$207)/(Driver!$G$207-Driver!$F$207)*$BI$1</f>
        <v/>
      </c>
      <c r="BP19" s="102">
        <f>(CM19-Driver!$F$208)/(Driver!$G$208-Driver!$F$208)*$BI$1</f>
        <v/>
      </c>
      <c r="BQ19" s="102">
        <f>(CL19-Driver!$F$209)/(Driver!$G$209-Driver!$F$209)*$BI$1</f>
        <v/>
      </c>
      <c r="BR19" s="40" t="inlineStr">
        <is>
          <t>21/22</t>
        </is>
      </c>
      <c r="BS19" s="10" t="inlineStr">
        <is>
          <t xml:space="preserve"> Salomon</t>
        </is>
      </c>
      <c r="BT19" s="11" t="inlineStr">
        <is>
          <t>Stance 102</t>
        </is>
      </c>
      <c r="BU19" s="13" t="n">
        <v>190</v>
      </c>
      <c r="BV19" s="11" t="inlineStr">
        <is>
          <t xml:space="preserve"> Unisex</t>
        </is>
      </c>
      <c r="BW19" s="13" t="n">
        <v>190</v>
      </c>
      <c r="BX19" s="13" t="n">
        <v>189.9</v>
      </c>
      <c r="BY19" s="13" t="n">
        <v>141</v>
      </c>
      <c r="BZ19" s="13" t="n">
        <v>165</v>
      </c>
      <c r="CA19" s="13" t="n">
        <v>133</v>
      </c>
      <c r="CB19" s="13" t="n">
        <v>102</v>
      </c>
      <c r="CC19" s="13" t="n">
        <v>120</v>
      </c>
      <c r="CD19" s="13" t="n">
        <v>25.8</v>
      </c>
      <c r="CE19" s="11" t="inlineStr">
        <is>
          <t xml:space="preserve"> </t>
        </is>
      </c>
      <c r="CF19" s="11" t="inlineStr">
        <is>
          <t xml:space="preserve"> </t>
        </is>
      </c>
      <c r="CG19" s="13" t="n">
        <v>2108</v>
      </c>
      <c r="CH19" s="13" t="n">
        <v>254</v>
      </c>
      <c r="CI19" s="13" t="n">
        <v>158</v>
      </c>
      <c r="CJ19" s="13" t="n">
        <v>46</v>
      </c>
      <c r="CK19" s="13" t="n">
        <v>379</v>
      </c>
      <c r="CL19" s="13" t="n">
        <v>4</v>
      </c>
      <c r="CM19" s="13" t="n">
        <v>107</v>
      </c>
      <c r="CN19" s="13" t="n">
        <v>0.08500000000000001</v>
      </c>
      <c r="CO19" s="13" t="n">
        <v>142</v>
      </c>
      <c r="CP19" s="13" t="n">
        <v>111</v>
      </c>
      <c r="CQ19" s="13" t="n">
        <v>237</v>
      </c>
      <c r="CR19" s="13" t="n">
        <v>9</v>
      </c>
      <c r="CS19" s="13" t="n">
        <v>9.800000000000001</v>
      </c>
      <c r="CT19" s="11" t="inlineStr">
        <is>
          <t xml:space="preserve"> Big Mountain</t>
        </is>
      </c>
      <c r="CU19" s="13" t="n"/>
      <c r="CV19" s="13" t="n"/>
      <c r="CW19" s="13" t="n"/>
      <c r="CX19">
        <f>INDEX('Data_Price '!AG$2:AG$1266,MATCH(Data!$DN19,'Data_Price '!$AT$2:$AT$1266,0))</f>
        <v/>
      </c>
      <c r="CY19">
        <f>INDEX('Data_Price '!AH$2:AH$1266,MATCH(Data!$DN19,'Data_Price '!$AT$2:$AT$1266,0))</f>
        <v/>
      </c>
      <c r="CZ19">
        <f>INDEX('Data_Price '!AI$2:AI$1266,MATCH(Data!$DN19,'Data_Price '!$AT$2:$AT$1266,0))</f>
        <v/>
      </c>
      <c r="DA19">
        <f>INDEX('Data_Price '!AJ$2:AJ$1266,MATCH(Data!$DN19,'Data_Price '!$AT$2:$AT$1266,0))</f>
        <v/>
      </c>
      <c r="DB19">
        <f>INDEX('Data_Price '!AK$2:AK$1266,MATCH(Data!$DN19,'Data_Price '!$AT$2:$AT$1266,0))</f>
        <v/>
      </c>
      <c r="DC19">
        <f>INDEX('Data_Price '!AL$2:AL$1266,MATCH(Data!$DN19,'Data_Price '!$AT$2:$AT$1266,0))</f>
        <v/>
      </c>
      <c r="DD19">
        <f>INDEX('Data_Price '!AM$2:AM$1266,MATCH(Data!$DN19,'Data_Price '!$AT$2:$AT$1266,0))</f>
        <v/>
      </c>
      <c r="DE19">
        <f>INDEX('Data_Price '!AN$2:AN$1266,MATCH(Data!$DN19,'Data_Price '!$AT$2:$AT$1266,0))</f>
        <v/>
      </c>
      <c r="DF19">
        <f>INDEX('Data_Price '!AO$2:AO$1266,MATCH(Data!$DN19,'Data_Price '!$AT$2:$AT$1266,0))</f>
        <v/>
      </c>
      <c r="DG19">
        <f>INDEX('Data_Price '!AP$2:AP$1266,MATCH(Data!$DN19,'Data_Price '!$AT$2:$AT$1266,0))</f>
        <v/>
      </c>
      <c r="DH19">
        <f>INDEX('Data_Price '!AQ$2:AQ$1266,MATCH(Data!$DN19,'Data_Price '!$AT$2:$AT$1266,0))</f>
        <v/>
      </c>
      <c r="DI19">
        <f>INDEX('Data_Price '!AR$2:AR$1266,MATCH(Data!$DN19,'Data_Price '!$AT$2:$AT$1266,0))</f>
        <v/>
      </c>
      <c r="DJ19" s="138">
        <f>DA19</f>
        <v/>
      </c>
      <c r="DK19" s="138">
        <f>DE19</f>
        <v/>
      </c>
      <c r="DL19" s="138">
        <f>DI19</f>
        <v/>
      </c>
      <c r="DM19" s="303">
        <f>IF(LEFT(BT19,1)=" ",RIGHT(BT19,LEN(BT19)-1),BT19)</f>
        <v/>
      </c>
      <c r="DN19" s="138">
        <f>_xlfn.CONCAT(BS19,DM19,BU19,BV19)</f>
        <v/>
      </c>
      <c r="DO19" s="307" t="inlineStr">
        <is>
          <t>https://images.evo.com/imgp/250/183471/737716/salomon-stance-102-skis-2022-.jpg</t>
        </is>
      </c>
    </row>
    <row r="20" ht="15.6" customHeight="1" s="184">
      <c r="B20" s="303">
        <f t="array" ref="B20">IF(OR(ISERROR(K20:P20)),FALSE,TRUE)</f>
        <v/>
      </c>
      <c r="C20" s="60">
        <f>OR(BR20=Driver!$G$50,Data!BR1118=Driver!$H$50)</f>
        <v/>
      </c>
      <c r="D20" s="60">
        <f>OR(BV20=Driver!$G$51,BV20=Driver!$H$51)</f>
        <v/>
      </c>
      <c r="E20" s="60">
        <f>AND(BX20&gt;Driver!$F$54,BX20&lt;Driver!$G$54)</f>
        <v/>
      </c>
      <c r="F20" s="60">
        <f>CL20&gt;Driver!$F$56</f>
        <v/>
      </c>
      <c r="G20" s="60">
        <f>AND(CB20&gt;Driver!$F$55,CB20&lt;Driver!$G$55)</f>
        <v/>
      </c>
      <c r="H20" s="60">
        <f>AND(B20:G20)</f>
        <v/>
      </c>
      <c r="I20" s="60">
        <f>COUNTIFS($H$9:$H$1273,TRUE,$BT$9:$BT$1273,BT20)</f>
        <v/>
      </c>
      <c r="J20" s="60">
        <f t="array" ref="J20">NOT(OR(($H$9:$H$1273=TRUE)*($I$9:$I$1273&gt;0)*($BT$9:$BT$1273=BT20)*($K$9:$K$1273&gt;K20)))</f>
        <v/>
      </c>
      <c r="K20" s="108">
        <f>IFERROR(1-AVERAGE(X20:Y20),"")</f>
        <v/>
      </c>
      <c r="L20" s="108">
        <f>1-X20</f>
        <v/>
      </c>
      <c r="M20" s="108">
        <f>1-Y20</f>
        <v/>
      </c>
      <c r="N20" s="108">
        <f>1-Z20</f>
        <v/>
      </c>
      <c r="O20" s="108">
        <f>1-AA20</f>
        <v/>
      </c>
      <c r="P20" s="108">
        <f>1-AB20</f>
        <v/>
      </c>
      <c r="Q20" s="108" t="n"/>
      <c r="R20" s="108" t="n"/>
      <c r="S20" s="108">
        <f>1-AE20</f>
        <v/>
      </c>
      <c r="T20" s="108">
        <f>1-AF20</f>
        <v/>
      </c>
      <c r="U20" s="108">
        <f>1-AG20</f>
        <v/>
      </c>
      <c r="V20" s="108">
        <f>1-AH20</f>
        <v/>
      </c>
      <c r="W20" s="108">
        <f>1-AI20</f>
        <v/>
      </c>
      <c r="X20" s="108">
        <f>ABS(AJ20-AJ$1)</f>
        <v/>
      </c>
      <c r="Y20" s="108">
        <f>AVERAGE(Z20:AB20)</f>
        <v/>
      </c>
      <c r="Z20" s="108">
        <f>ABS(AL20-AL$1)</f>
        <v/>
      </c>
      <c r="AA20" s="108">
        <f>ABS(AM20-AM$1)</f>
        <v/>
      </c>
      <c r="AB20" s="108">
        <f>ABS(AN20-AN$1)</f>
        <v/>
      </c>
      <c r="AC20" s="108" t="n"/>
      <c r="AD20" s="108" t="n"/>
      <c r="AE20" s="108">
        <f>ABS(AQ$1-AQ20)</f>
        <v/>
      </c>
      <c r="AF20" s="108">
        <f>ABS(AR$1-AR20)</f>
        <v/>
      </c>
      <c r="AG20" s="108">
        <f>ABS(AS$1-AS20)</f>
        <v/>
      </c>
      <c r="AH20" s="108">
        <f>ABS(AT$1-AT20)</f>
        <v/>
      </c>
      <c r="AI20" s="108">
        <f>ABS(AU$1-AU20)</f>
        <v/>
      </c>
      <c r="AJ20" s="108">
        <f>(AV20-Driver!$K$179)/(Driver!$L$179-Driver!$K$179)</f>
        <v/>
      </c>
      <c r="AK20" s="108">
        <f>(AW20-Driver!$K$180)/(Driver!$L$180-Driver!$K$180)</f>
        <v/>
      </c>
      <c r="AL20" s="108">
        <f>(AX20-Driver!$K$181)/(Driver!$L$181-Driver!$K$181)</f>
        <v/>
      </c>
      <c r="AM20" s="108">
        <f>(AY20-Driver!$K$182)/(Driver!$L$182-Driver!$K$182)</f>
        <v/>
      </c>
      <c r="AN20" s="108">
        <f>(AZ20-Driver!$K$183)/(Driver!$L$183-Driver!$K$183)</f>
        <v/>
      </c>
      <c r="AO20" s="108" t="n"/>
      <c r="AP20" s="108" t="n"/>
      <c r="AQ20" s="108">
        <f>(BC20-Driver!$K$188)/(Driver!$L$188-Driver!$K$188)</f>
        <v/>
      </c>
      <c r="AR20" s="108">
        <f>MIN((BD20-Driver!$K$189)/(Driver!$L$189-Driver!$K$189),100%)</f>
        <v/>
      </c>
      <c r="AS20" s="108">
        <f>(BE20-Driver!$K$190)/(Driver!$L$190-Driver!$K$190)</f>
        <v/>
      </c>
      <c r="AT20" s="108">
        <f>(BF20-Driver!$K$191)/(Driver!$L$191-Driver!$K$191)</f>
        <v/>
      </c>
      <c r="AU20" s="108">
        <f>(BG20-Driver!$K$192)/(Driver!$L$192-Driver!$K$192)</f>
        <v/>
      </c>
      <c r="AV20" s="105">
        <f>IFERROR(BM20*BJ20^1/4,"")</f>
        <v/>
      </c>
      <c r="AW20" s="105">
        <f>IFERROR(SUM(AX20:AZ20),"")</f>
        <v/>
      </c>
      <c r="AX20" s="105">
        <f>IFERROR(BH20,"")</f>
        <v/>
      </c>
      <c r="AY20" s="105">
        <f>IFERROR(Driver!$K$19/Data!BH20/Data!BI20*Data!BK20*Data!BL20,"")</f>
        <v/>
      </c>
      <c r="AZ20" s="105">
        <f>IFERROR(BI20*BN20,"")</f>
        <v/>
      </c>
      <c r="BA20" s="105" t="n"/>
      <c r="BB20" s="105" t="n"/>
      <c r="BC20" s="105">
        <f>IFERROR(BI20*BN20*BK20/BJ20^(1/2),"")</f>
        <v/>
      </c>
      <c r="BD20" s="105">
        <f>IFERROR(BH20*BM20*BL20/BJ20/BK20,"")</f>
        <v/>
      </c>
      <c r="BE20" s="105">
        <f>IFERROR(MIN(BI20/BQ20/BP20/BO20/BH20,$BE$1),"")</f>
        <v/>
      </c>
      <c r="BF20" s="105">
        <f>IFERROR(BJ20*BO20*BP20/BK20,"")</f>
        <v/>
      </c>
      <c r="BG20" s="105">
        <f>IFERROR(1/BM20/BH20*BQ20,"")</f>
        <v/>
      </c>
      <c r="BH20" s="102">
        <f>MAX((CE20-Driver!$F$200)/(Driver!$G$200-Driver!$F$200)*$BI$1,1)</f>
        <v/>
      </c>
      <c r="BI20" s="102">
        <f>MAX($BI$1*(BY20-Driver!$F$201)/(Driver!$G$201-Driver!$F$201),1)</f>
        <v/>
      </c>
      <c r="BJ20" s="102">
        <f>(CB20-Driver!$F$206)/(Driver!$G$206-Driver!$F$206)*$BI$1</f>
        <v/>
      </c>
      <c r="BK20" s="102">
        <f>(CD20-Driver!$F$203)/(Driver!$G$203-Driver!$F$203)*$BI$1</f>
        <v/>
      </c>
      <c r="BL20" s="102">
        <f>MAX((CR20-Driver!$F$202)/(Driver!$G$202-Driver!$F$202)*$BI$1,1)</f>
        <v/>
      </c>
      <c r="BM20" s="102">
        <f>MAX((CH20-Driver!$F$204)/(Driver!$G$204-Driver!$F$204)*$BI$1,1)</f>
        <v/>
      </c>
      <c r="BN20" s="102">
        <f>(CI20-Driver!$F$205)/(Driver!$G$205-Driver!$F$205)*$BI$1</f>
        <v/>
      </c>
      <c r="BO20" s="102">
        <f>(CK20-Driver!$F$207)/(Driver!$G$207-Driver!$F$207)*$BI$1</f>
        <v/>
      </c>
      <c r="BP20" s="102">
        <f>(CM20-Driver!$F$208)/(Driver!$G$208-Driver!$F$208)*$BI$1</f>
        <v/>
      </c>
      <c r="BQ20" s="102">
        <f>(CL20-Driver!$F$209)/(Driver!$G$209-Driver!$F$209)*$BI$1</f>
        <v/>
      </c>
      <c r="BR20" s="40" t="inlineStr">
        <is>
          <t>21/22</t>
        </is>
      </c>
      <c r="BS20" s="10" t="inlineStr">
        <is>
          <t xml:space="preserve"> Scott</t>
        </is>
      </c>
      <c r="BT20" s="11" t="inlineStr">
        <is>
          <t>Scrapper 95 W</t>
        </is>
      </c>
      <c r="BU20" s="13" t="n">
        <v>160</v>
      </c>
      <c r="BV20" s="11" t="inlineStr">
        <is>
          <t xml:space="preserve"> Women's</t>
        </is>
      </c>
      <c r="BW20" s="13" t="n">
        <v>160</v>
      </c>
      <c r="BX20" s="13" t="n">
        <v>158.3</v>
      </c>
      <c r="BY20" s="13" t="n">
        <v>114</v>
      </c>
      <c r="BZ20" s="13" t="n">
        <v>141</v>
      </c>
      <c r="CA20" s="13" t="n">
        <v>126</v>
      </c>
      <c r="CB20" s="13" t="n">
        <v>92</v>
      </c>
      <c r="CC20" s="13" t="n">
        <v>115</v>
      </c>
      <c r="CD20" s="13" t="n">
        <v>18</v>
      </c>
      <c r="CE20" s="11" t="inlineStr">
        <is>
          <t xml:space="preserve"> </t>
        </is>
      </c>
      <c r="CF20" s="11" t="inlineStr">
        <is>
          <t xml:space="preserve"> </t>
        </is>
      </c>
      <c r="CG20" s="13" t="n">
        <v>1594</v>
      </c>
      <c r="CH20" s="13" t="n">
        <v>148</v>
      </c>
      <c r="CI20" s="13" t="n">
        <v>62</v>
      </c>
      <c r="CJ20" s="13" t="n">
        <v>56</v>
      </c>
      <c r="CK20" s="13" t="n">
        <v>269</v>
      </c>
      <c r="CL20" s="13" t="n">
        <v>33</v>
      </c>
      <c r="CM20" s="13" t="n">
        <v>175</v>
      </c>
      <c r="CN20" s="13" t="n">
        <v>0.594</v>
      </c>
      <c r="CO20" s="13" t="n">
        <v>96</v>
      </c>
      <c r="CP20" s="13" t="n">
        <v>74</v>
      </c>
      <c r="CQ20" s="13" t="n">
        <v>173</v>
      </c>
      <c r="CR20" s="13" t="n">
        <v>4</v>
      </c>
      <c r="CS20" s="13" t="n">
        <v>6.9</v>
      </c>
      <c r="CT20" s="11" t="inlineStr">
        <is>
          <t xml:space="preserve"> Other</t>
        </is>
      </c>
      <c r="CU20" s="13" t="n"/>
      <c r="CV20" s="13" t="n"/>
      <c r="CW20" s="13" t="n"/>
      <c r="CX20">
        <f>INDEX('Data_Price '!AG$2:AG$1266,MATCH(Data!$DN20,'Data_Price '!$AT$2:$AT$1266,0))</f>
        <v/>
      </c>
      <c r="CY20">
        <f>INDEX('Data_Price '!AH$2:AH$1266,MATCH(Data!$DN20,'Data_Price '!$AT$2:$AT$1266,0))</f>
        <v/>
      </c>
      <c r="CZ20">
        <f>INDEX('Data_Price '!AI$2:AI$1266,MATCH(Data!$DN20,'Data_Price '!$AT$2:$AT$1266,0))</f>
        <v/>
      </c>
      <c r="DA20">
        <f>INDEX('Data_Price '!AJ$2:AJ$1266,MATCH(Data!$DN20,'Data_Price '!$AT$2:$AT$1266,0))</f>
        <v/>
      </c>
      <c r="DB20">
        <f>INDEX('Data_Price '!AK$2:AK$1266,MATCH(Data!$DN20,'Data_Price '!$AT$2:$AT$1266,0))</f>
        <v/>
      </c>
      <c r="DC20">
        <f>INDEX('Data_Price '!AL$2:AL$1266,MATCH(Data!$DN20,'Data_Price '!$AT$2:$AT$1266,0))</f>
        <v/>
      </c>
      <c r="DD20">
        <f>INDEX('Data_Price '!AM$2:AM$1266,MATCH(Data!$DN20,'Data_Price '!$AT$2:$AT$1266,0))</f>
        <v/>
      </c>
      <c r="DE20">
        <f>INDEX('Data_Price '!AN$2:AN$1266,MATCH(Data!$DN20,'Data_Price '!$AT$2:$AT$1266,0))</f>
        <v/>
      </c>
      <c r="DF20">
        <f>INDEX('Data_Price '!AO$2:AO$1266,MATCH(Data!$DN20,'Data_Price '!$AT$2:$AT$1266,0))</f>
        <v/>
      </c>
      <c r="DG20">
        <f>INDEX('Data_Price '!AP$2:AP$1266,MATCH(Data!$DN20,'Data_Price '!$AT$2:$AT$1266,0))</f>
        <v/>
      </c>
      <c r="DH20">
        <f>INDEX('Data_Price '!AQ$2:AQ$1266,MATCH(Data!$DN20,'Data_Price '!$AT$2:$AT$1266,0))</f>
        <v/>
      </c>
      <c r="DI20">
        <f>INDEX('Data_Price '!AR$2:AR$1266,MATCH(Data!$DN20,'Data_Price '!$AT$2:$AT$1266,0))</f>
        <v/>
      </c>
      <c r="DJ20" s="138">
        <f>DA20</f>
        <v/>
      </c>
      <c r="DK20" s="138">
        <f>DE20</f>
        <v/>
      </c>
      <c r="DL20" s="138">
        <f>DI20</f>
        <v/>
      </c>
      <c r="DM20" s="303">
        <f>IF(LEFT(BT20,1)=" ",RIGHT(BT20,LEN(BT20)-1),BT20)</f>
        <v/>
      </c>
      <c r="DN20" s="138">
        <f>_xlfn.CONCAT(BS20,DM20,BU20,BV20)</f>
        <v/>
      </c>
      <c r="DO20" s="307" t="n"/>
    </row>
    <row r="21" ht="15.6" customHeight="1" s="184">
      <c r="B21" s="303">
        <f t="array" ref="B21">IF(OR(ISERROR(K21:P21)),FALSE,TRUE)</f>
        <v/>
      </c>
      <c r="C21" s="60">
        <f>OR(BR21=Driver!$G$50,Data!BR1119=Driver!$H$50)</f>
        <v/>
      </c>
      <c r="D21" s="60">
        <f>OR(BV21=Driver!$G$51,BV21=Driver!$H$51)</f>
        <v/>
      </c>
      <c r="E21" s="60">
        <f>AND(BX21&gt;Driver!$F$54,BX21&lt;Driver!$G$54)</f>
        <v/>
      </c>
      <c r="F21" s="60">
        <f>CL21&gt;Driver!$F$56</f>
        <v/>
      </c>
      <c r="G21" s="60">
        <f>AND(CB21&gt;Driver!$F$55,CB21&lt;Driver!$G$55)</f>
        <v/>
      </c>
      <c r="H21" s="60">
        <f>AND(B21:G21)</f>
        <v/>
      </c>
      <c r="I21" s="60">
        <f>COUNTIFS($H$9:$H$1273,TRUE,$BT$9:$BT$1273,BT21)</f>
        <v/>
      </c>
      <c r="J21" s="60">
        <f t="array" ref="J21">NOT(OR(($H$9:$H$1273=TRUE)*($I$9:$I$1273&gt;0)*($BT$9:$BT$1273=BT21)*($K$9:$K$1273&gt;K21)))</f>
        <v/>
      </c>
      <c r="K21" s="108">
        <f>IFERROR(1-AVERAGE(X21:Y21),"")</f>
        <v/>
      </c>
      <c r="L21" s="108">
        <f>1-X21</f>
        <v/>
      </c>
      <c r="M21" s="108">
        <f>1-Y21</f>
        <v/>
      </c>
      <c r="N21" s="108">
        <f>1-Z21</f>
        <v/>
      </c>
      <c r="O21" s="108">
        <f>1-AA21</f>
        <v/>
      </c>
      <c r="P21" s="108">
        <f>1-AB21</f>
        <v/>
      </c>
      <c r="Q21" s="108" t="n"/>
      <c r="R21" s="108" t="n"/>
      <c r="S21" s="108">
        <f>1-AE21</f>
        <v/>
      </c>
      <c r="T21" s="108">
        <f>1-AF21</f>
        <v/>
      </c>
      <c r="U21" s="108">
        <f>1-AG21</f>
        <v/>
      </c>
      <c r="V21" s="108">
        <f>1-AH21</f>
        <v/>
      </c>
      <c r="W21" s="108">
        <f>1-AI21</f>
        <v/>
      </c>
      <c r="X21" s="108">
        <f>ABS(AJ21-AJ$1)</f>
        <v/>
      </c>
      <c r="Y21" s="108">
        <f>AVERAGE(Z21:AB21)</f>
        <v/>
      </c>
      <c r="Z21" s="108">
        <f>ABS(AL21-AL$1)</f>
        <v/>
      </c>
      <c r="AA21" s="108">
        <f>ABS(AM21-AM$1)</f>
        <v/>
      </c>
      <c r="AB21" s="108">
        <f>ABS(AN21-AN$1)</f>
        <v/>
      </c>
      <c r="AC21" s="108" t="n"/>
      <c r="AD21" s="108" t="n"/>
      <c r="AE21" s="108">
        <f>ABS(AQ$1-AQ21)</f>
        <v/>
      </c>
      <c r="AF21" s="108">
        <f>ABS(AR$1-AR21)</f>
        <v/>
      </c>
      <c r="AG21" s="108">
        <f>ABS(AS$1-AS21)</f>
        <v/>
      </c>
      <c r="AH21" s="108">
        <f>ABS(AT$1-AT21)</f>
        <v/>
      </c>
      <c r="AI21" s="108">
        <f>ABS(AU$1-AU21)</f>
        <v/>
      </c>
      <c r="AJ21" s="108">
        <f>(AV21-Driver!$K$179)/(Driver!$L$179-Driver!$K$179)</f>
        <v/>
      </c>
      <c r="AK21" s="108">
        <f>(AW21-Driver!$K$180)/(Driver!$L$180-Driver!$K$180)</f>
        <v/>
      </c>
      <c r="AL21" s="108">
        <f>(AX21-Driver!$K$181)/(Driver!$L$181-Driver!$K$181)</f>
        <v/>
      </c>
      <c r="AM21" s="108">
        <f>(AY21-Driver!$K$182)/(Driver!$L$182-Driver!$K$182)</f>
        <v/>
      </c>
      <c r="AN21" s="108">
        <f>(AZ21-Driver!$K$183)/(Driver!$L$183-Driver!$K$183)</f>
        <v/>
      </c>
      <c r="AO21" s="108" t="n"/>
      <c r="AP21" s="108" t="n"/>
      <c r="AQ21" s="108">
        <f>(BC21-Driver!$K$188)/(Driver!$L$188-Driver!$K$188)</f>
        <v/>
      </c>
      <c r="AR21" s="108">
        <f>MIN((BD21-Driver!$K$189)/(Driver!$L$189-Driver!$K$189),100%)</f>
        <v/>
      </c>
      <c r="AS21" s="108">
        <f>(BE21-Driver!$K$190)/(Driver!$L$190-Driver!$K$190)</f>
        <v/>
      </c>
      <c r="AT21" s="108">
        <f>(BF21-Driver!$K$191)/(Driver!$L$191-Driver!$K$191)</f>
        <v/>
      </c>
      <c r="AU21" s="108">
        <f>(BG21-Driver!$K$192)/(Driver!$L$192-Driver!$K$192)</f>
        <v/>
      </c>
      <c r="AV21" s="105">
        <f>IFERROR(BM21*BJ21^1/4,"")</f>
        <v/>
      </c>
      <c r="AW21" s="105">
        <f>IFERROR(SUM(AX21:AZ21),"")</f>
        <v/>
      </c>
      <c r="AX21" s="105">
        <f>IFERROR(BH21,"")</f>
        <v/>
      </c>
      <c r="AY21" s="105">
        <f>IFERROR(Driver!$K$19/Data!BH21/Data!BI21*Data!BK21*Data!BL21,"")</f>
        <v/>
      </c>
      <c r="AZ21" s="105">
        <f>IFERROR(BI21*BN21,"")</f>
        <v/>
      </c>
      <c r="BA21" s="105" t="n"/>
      <c r="BB21" s="105" t="n"/>
      <c r="BC21" s="105">
        <f>IFERROR(BI21*BN21*BK21/BJ21^(1/2),"")</f>
        <v/>
      </c>
      <c r="BD21" s="105">
        <f>IFERROR(BH21*BM21*BL21/BJ21/BK21,"")</f>
        <v/>
      </c>
      <c r="BE21" s="105">
        <f>IFERROR(MIN(BI21/BQ21/BP21/BO21/BH21,$BE$1),"")</f>
        <v/>
      </c>
      <c r="BF21" s="105">
        <f>IFERROR(BJ21*BO21*BP21/BK21,"")</f>
        <v/>
      </c>
      <c r="BG21" s="105">
        <f>IFERROR(1/BM21/BH21*BQ21,"")</f>
        <v/>
      </c>
      <c r="BH21" s="102">
        <f>MAX((CE21-Driver!$F$200)/(Driver!$G$200-Driver!$F$200)*$BI$1,1)</f>
        <v/>
      </c>
      <c r="BI21" s="102">
        <f>MAX($BI$1*(BY21-Driver!$F$201)/(Driver!$G$201-Driver!$F$201),1)</f>
        <v/>
      </c>
      <c r="BJ21" s="102">
        <f>(CB21-Driver!$F$206)/(Driver!$G$206-Driver!$F$206)*$BI$1</f>
        <v/>
      </c>
      <c r="BK21" s="102">
        <f>(CD21-Driver!$F$203)/(Driver!$G$203-Driver!$F$203)*$BI$1</f>
        <v/>
      </c>
      <c r="BL21" s="102">
        <f>MAX((CR21-Driver!$F$202)/(Driver!$G$202-Driver!$F$202)*$BI$1,1)</f>
        <v/>
      </c>
      <c r="BM21" s="102">
        <f>MAX((CH21-Driver!$F$204)/(Driver!$G$204-Driver!$F$204)*$BI$1,1)</f>
        <v/>
      </c>
      <c r="BN21" s="102">
        <f>(CI21-Driver!$F$205)/(Driver!$G$205-Driver!$F$205)*$BI$1</f>
        <v/>
      </c>
      <c r="BO21" s="102">
        <f>(CK21-Driver!$F$207)/(Driver!$G$207-Driver!$F$207)*$BI$1</f>
        <v/>
      </c>
      <c r="BP21" s="102">
        <f>(CM21-Driver!$F$208)/(Driver!$G$208-Driver!$F$208)*$BI$1</f>
        <v/>
      </c>
      <c r="BQ21" s="102">
        <f>(CL21-Driver!$F$209)/(Driver!$G$209-Driver!$F$209)*$BI$1</f>
        <v/>
      </c>
      <c r="BR21" s="40" t="inlineStr">
        <is>
          <t>21/22</t>
        </is>
      </c>
      <c r="BS21" s="10" t="inlineStr">
        <is>
          <t xml:space="preserve"> Scott</t>
        </is>
      </c>
      <c r="BT21" s="11" t="inlineStr">
        <is>
          <t>Scrapper 95 W</t>
        </is>
      </c>
      <c r="BU21" s="13" t="n">
        <v>168</v>
      </c>
      <c r="BV21" s="11" t="inlineStr">
        <is>
          <t xml:space="preserve"> Women's</t>
        </is>
      </c>
      <c r="BW21" s="13" t="n">
        <v>168</v>
      </c>
      <c r="BX21" s="13" t="n">
        <v>166.5</v>
      </c>
      <c r="BY21" s="13" t="n">
        <v>120</v>
      </c>
      <c r="BZ21" s="13" t="n">
        <v>149</v>
      </c>
      <c r="CA21" s="13" t="n">
        <v>128</v>
      </c>
      <c r="CB21" s="13" t="n">
        <v>93</v>
      </c>
      <c r="CC21" s="13" t="n">
        <v>117</v>
      </c>
      <c r="CD21" s="13" t="n">
        <v>19.6</v>
      </c>
      <c r="CE21" s="11" t="inlineStr">
        <is>
          <t xml:space="preserve"> </t>
        </is>
      </c>
      <c r="CF21" s="11" t="inlineStr">
        <is>
          <t xml:space="preserve"> </t>
        </is>
      </c>
      <c r="CG21" s="13" t="n">
        <v>1695</v>
      </c>
      <c r="CH21" s="13" t="n">
        <v>145</v>
      </c>
      <c r="CI21" s="13" t="n">
        <v>64</v>
      </c>
      <c r="CJ21" s="13" t="n">
        <v>59</v>
      </c>
      <c r="CK21" s="13" t="n">
        <v>295</v>
      </c>
      <c r="CL21" s="13" t="n">
        <v>34</v>
      </c>
      <c r="CM21" s="13" t="n">
        <v>165</v>
      </c>
      <c r="CN21" s="13" t="n">
        <v>0.578</v>
      </c>
      <c r="CO21" s="13" t="n">
        <v>105</v>
      </c>
      <c r="CP21" s="13" t="n">
        <v>75</v>
      </c>
      <c r="CQ21" s="13" t="n">
        <v>190</v>
      </c>
      <c r="CR21" s="13" t="n">
        <v>5</v>
      </c>
      <c r="CS21" s="13" t="n">
        <v>7</v>
      </c>
      <c r="CT21" s="11" t="inlineStr">
        <is>
          <t xml:space="preserve"> Other</t>
        </is>
      </c>
      <c r="CU21" s="13" t="n"/>
      <c r="CV21" s="13" t="n"/>
      <c r="CW21" s="13" t="n"/>
      <c r="CX21">
        <f>INDEX('Data_Price '!AG$2:AG$1266,MATCH(Data!$DN21,'Data_Price '!$AT$2:$AT$1266,0))</f>
        <v/>
      </c>
      <c r="CY21">
        <f>INDEX('Data_Price '!AH$2:AH$1266,MATCH(Data!$DN21,'Data_Price '!$AT$2:$AT$1266,0))</f>
        <v/>
      </c>
      <c r="CZ21">
        <f>INDEX('Data_Price '!AI$2:AI$1266,MATCH(Data!$DN21,'Data_Price '!$AT$2:$AT$1266,0))</f>
        <v/>
      </c>
      <c r="DA21">
        <f>INDEX('Data_Price '!AJ$2:AJ$1266,MATCH(Data!$DN21,'Data_Price '!$AT$2:$AT$1266,0))</f>
        <v/>
      </c>
      <c r="DB21">
        <f>INDEX('Data_Price '!AK$2:AK$1266,MATCH(Data!$DN21,'Data_Price '!$AT$2:$AT$1266,0))</f>
        <v/>
      </c>
      <c r="DC21">
        <f>INDEX('Data_Price '!AL$2:AL$1266,MATCH(Data!$DN21,'Data_Price '!$AT$2:$AT$1266,0))</f>
        <v/>
      </c>
      <c r="DD21">
        <f>INDEX('Data_Price '!AM$2:AM$1266,MATCH(Data!$DN21,'Data_Price '!$AT$2:$AT$1266,0))</f>
        <v/>
      </c>
      <c r="DE21">
        <f>INDEX('Data_Price '!AN$2:AN$1266,MATCH(Data!$DN21,'Data_Price '!$AT$2:$AT$1266,0))</f>
        <v/>
      </c>
      <c r="DF21">
        <f>INDEX('Data_Price '!AO$2:AO$1266,MATCH(Data!$DN21,'Data_Price '!$AT$2:$AT$1266,0))</f>
        <v/>
      </c>
      <c r="DG21">
        <f>INDEX('Data_Price '!AP$2:AP$1266,MATCH(Data!$DN21,'Data_Price '!$AT$2:$AT$1266,0))</f>
        <v/>
      </c>
      <c r="DH21">
        <f>INDEX('Data_Price '!AQ$2:AQ$1266,MATCH(Data!$DN21,'Data_Price '!$AT$2:$AT$1266,0))</f>
        <v/>
      </c>
      <c r="DI21">
        <f>INDEX('Data_Price '!AR$2:AR$1266,MATCH(Data!$DN21,'Data_Price '!$AT$2:$AT$1266,0))</f>
        <v/>
      </c>
      <c r="DJ21" s="138">
        <f>DA21</f>
        <v/>
      </c>
      <c r="DK21" s="138">
        <f>DE21</f>
        <v/>
      </c>
      <c r="DL21" s="138">
        <f>DI21</f>
        <v/>
      </c>
      <c r="DM21" s="303">
        <f>IF(LEFT(BT21,1)=" ",RIGHT(BT21,LEN(BT21)-1),BT21)</f>
        <v/>
      </c>
      <c r="DN21" s="138">
        <f>_xlfn.CONCAT(BS21,DM21,BU21,BV21)</f>
        <v/>
      </c>
      <c r="DO21" s="307" t="n"/>
    </row>
    <row r="22" ht="15.6" customHeight="1" s="184">
      <c r="B22" s="303">
        <f t="array" ref="B22">IF(OR(ISERROR(K22:P22)),FALSE,TRUE)</f>
        <v/>
      </c>
      <c r="C22" s="60">
        <f>OR(BR22=Driver!$G$50,Data!BR28=Driver!$H$50)</f>
        <v/>
      </c>
      <c r="D22" s="60">
        <f>OR(BV22=Driver!$G$51,BV22=Driver!$H$51)</f>
        <v/>
      </c>
      <c r="E22" s="60">
        <f>AND(BX22&gt;Driver!$F$54,BX22&lt;Driver!$G$54)</f>
        <v/>
      </c>
      <c r="F22" s="60">
        <f>CL22&gt;Driver!$F$56</f>
        <v/>
      </c>
      <c r="G22" s="60">
        <f>AND(CB22&gt;Driver!$F$55,CB22&lt;Driver!$G$55)</f>
        <v/>
      </c>
      <c r="H22" s="60">
        <f>AND(B22:G22)</f>
        <v/>
      </c>
      <c r="I22" s="60">
        <f>COUNTIFS($H$9:$H$1273,TRUE,$BT$9:$BT$1273,BT22)</f>
        <v/>
      </c>
      <c r="J22" s="60">
        <f t="array" ref="J22">NOT(OR(($H$9:$H$1273=TRUE)*($I$9:$I$1273&gt;0)*($BT$9:$BT$1273=BT22)*($K$9:$K$1273&gt;K22)))</f>
        <v/>
      </c>
      <c r="K22" s="108">
        <f>IFERROR(1-AVERAGE(X22:Y22),"")</f>
        <v/>
      </c>
      <c r="L22" s="108">
        <f>1-X22</f>
        <v/>
      </c>
      <c r="M22" s="108">
        <f>1-Y22</f>
        <v/>
      </c>
      <c r="N22" s="108">
        <f>1-Z22</f>
        <v/>
      </c>
      <c r="O22" s="108">
        <f>1-AA22</f>
        <v/>
      </c>
      <c r="P22" s="108">
        <f>1-AB22</f>
        <v/>
      </c>
      <c r="Q22" s="108" t="n"/>
      <c r="R22" s="108" t="n"/>
      <c r="S22" s="108">
        <f>1-AE22</f>
        <v/>
      </c>
      <c r="T22" s="108">
        <f>1-AF22</f>
        <v/>
      </c>
      <c r="U22" s="108">
        <f>1-AG22</f>
        <v/>
      </c>
      <c r="V22" s="108">
        <f>1-AH22</f>
        <v/>
      </c>
      <c r="W22" s="108">
        <f>1-AI22</f>
        <v/>
      </c>
      <c r="X22" s="108">
        <f>ABS(AJ22-AJ$1)</f>
        <v/>
      </c>
      <c r="Y22" s="108">
        <f>AVERAGE(Z22:AB22)</f>
        <v/>
      </c>
      <c r="Z22" s="108">
        <f>ABS(AL22-AL$1)</f>
        <v/>
      </c>
      <c r="AA22" s="108">
        <f>ABS(AM22-AM$1)</f>
        <v/>
      </c>
      <c r="AB22" s="108">
        <f>ABS(AN22-AN$1)</f>
        <v/>
      </c>
      <c r="AC22" s="108" t="n"/>
      <c r="AD22" s="108" t="n"/>
      <c r="AE22" s="108">
        <f>ABS(AQ$1-AQ22)</f>
        <v/>
      </c>
      <c r="AF22" s="108">
        <f>ABS(AR$1-AR22)</f>
        <v/>
      </c>
      <c r="AG22" s="108">
        <f>ABS(AS$1-AS22)</f>
        <v/>
      </c>
      <c r="AH22" s="108">
        <f>ABS(AT$1-AT22)</f>
        <v/>
      </c>
      <c r="AI22" s="108">
        <f>ABS(AU$1-AU22)</f>
        <v/>
      </c>
      <c r="AJ22" s="108">
        <f>(AV22-Driver!$K$179)/(Driver!$L$179-Driver!$K$179)</f>
        <v/>
      </c>
      <c r="AK22" s="108">
        <f>(AW22-Driver!$K$180)/(Driver!$L$180-Driver!$K$180)</f>
        <v/>
      </c>
      <c r="AL22" s="108">
        <f>(AX22-Driver!$K$181)/(Driver!$L$181-Driver!$K$181)</f>
        <v/>
      </c>
      <c r="AM22" s="108">
        <f>(AY22-Driver!$K$182)/(Driver!$L$182-Driver!$K$182)</f>
        <v/>
      </c>
      <c r="AN22" s="108">
        <f>(AZ22-Driver!$K$183)/(Driver!$L$183-Driver!$K$183)</f>
        <v/>
      </c>
      <c r="AO22" s="108" t="n"/>
      <c r="AP22" s="108" t="n"/>
      <c r="AQ22" s="108">
        <f>(BC22-Driver!$K$188)/(Driver!$L$188-Driver!$K$188)</f>
        <v/>
      </c>
      <c r="AR22" s="108">
        <f>MIN((BD22-Driver!$K$189)/(Driver!$L$189-Driver!$K$189),100%)</f>
        <v/>
      </c>
      <c r="AS22" s="108">
        <f>(BE22-Driver!$K$190)/(Driver!$L$190-Driver!$K$190)</f>
        <v/>
      </c>
      <c r="AT22" s="108">
        <f>(BF22-Driver!$K$191)/(Driver!$L$191-Driver!$K$191)</f>
        <v/>
      </c>
      <c r="AU22" s="108">
        <f>(BG22-Driver!$K$192)/(Driver!$L$192-Driver!$K$192)</f>
        <v/>
      </c>
      <c r="AV22" s="105">
        <f>IFERROR(BM22*BJ22^1/4,"")</f>
        <v/>
      </c>
      <c r="AW22" s="105">
        <f>IFERROR(SUM(AX22:AZ22),"")</f>
        <v/>
      </c>
      <c r="AX22" s="105">
        <f>IFERROR(BH22,"")</f>
        <v/>
      </c>
      <c r="AY22" s="105">
        <f>IFERROR(Driver!$K$19/Data!BH22/Data!BI22*Data!BK22*Data!BL22,"")</f>
        <v/>
      </c>
      <c r="AZ22" s="105">
        <f>IFERROR(BI22*BN22,"")</f>
        <v/>
      </c>
      <c r="BA22" s="105" t="n"/>
      <c r="BB22" s="105" t="n"/>
      <c r="BC22" s="105">
        <f>IFERROR(BI22*BN22*BK22/BJ22^(1/2),"")</f>
        <v/>
      </c>
      <c r="BD22" s="105">
        <f>IFERROR(BH22*BM22*BL22/BJ22/BK22,"")</f>
        <v/>
      </c>
      <c r="BE22" s="105">
        <f>IFERROR(MIN(BI22/BQ22/BP22/BO22/BH22,$BE$1),"")</f>
        <v/>
      </c>
      <c r="BF22" s="105">
        <f>IFERROR(BJ22*BO22*BP22/BK22,"")</f>
        <v/>
      </c>
      <c r="BG22" s="105">
        <f>IFERROR(1/BM22/BH22*BQ22,"")</f>
        <v/>
      </c>
      <c r="BH22" s="102">
        <f>MAX((CE22-Driver!$F$200)/(Driver!$G$200-Driver!$F$200)*$BI$1,1)</f>
        <v/>
      </c>
      <c r="BI22" s="102">
        <f>MAX($BI$1*(BY22-Driver!$F$201)/(Driver!$G$201-Driver!$F$201),1)</f>
        <v/>
      </c>
      <c r="BJ22" s="102">
        <f>(CB22-Driver!$F$206)/(Driver!$G$206-Driver!$F$206)*$BI$1</f>
        <v/>
      </c>
      <c r="BK22" s="102">
        <f>(CD22-Driver!$F$203)/(Driver!$G$203-Driver!$F$203)*$BI$1</f>
        <v/>
      </c>
      <c r="BL22" s="102">
        <f>MAX((CR22-Driver!$F$202)/(Driver!$G$202-Driver!$F$202)*$BI$1,1)</f>
        <v/>
      </c>
      <c r="BM22" s="102">
        <f>MAX((CH22-Driver!$F$204)/(Driver!$G$204-Driver!$F$204)*$BI$1,1)</f>
        <v/>
      </c>
      <c r="BN22" s="102">
        <f>(CI22-Driver!$F$205)/(Driver!$G$205-Driver!$F$205)*$BI$1</f>
        <v/>
      </c>
      <c r="BO22" s="102">
        <f>(CK22-Driver!$F$207)/(Driver!$G$207-Driver!$F$207)*$BI$1</f>
        <v/>
      </c>
      <c r="BP22" s="102">
        <f>(CM22-Driver!$F$208)/(Driver!$G$208-Driver!$F$208)*$BI$1</f>
        <v/>
      </c>
      <c r="BQ22" s="102">
        <f>(CL22-Driver!$F$209)/(Driver!$G$209-Driver!$F$209)*$BI$1</f>
        <v/>
      </c>
      <c r="BR22" s="40" t="inlineStr">
        <is>
          <t>21/22</t>
        </is>
      </c>
      <c r="BS22" s="10" t="inlineStr">
        <is>
          <t xml:space="preserve"> Armada</t>
        </is>
      </c>
      <c r="BT22" s="11" t="inlineStr">
        <is>
          <t>ARV 116 JJ UL</t>
        </is>
      </c>
      <c r="BU22" s="13" t="n">
        <v>165</v>
      </c>
      <c r="BV22" s="11" t="inlineStr">
        <is>
          <t xml:space="preserve"> Unisex</t>
        </is>
      </c>
      <c r="BW22" s="13" t="n">
        <v>165</v>
      </c>
      <c r="BX22" s="13" t="n">
        <v>163.4</v>
      </c>
      <c r="BY22" s="13" t="n">
        <v>101</v>
      </c>
      <c r="BZ22" s="13" t="n">
        <v>122</v>
      </c>
      <c r="CA22" s="13" t="n">
        <v>137</v>
      </c>
      <c r="CB22" s="13" t="n">
        <v>115</v>
      </c>
      <c r="CC22" s="13" t="n">
        <v>133</v>
      </c>
      <c r="CD22" s="13" t="n">
        <v>16.2</v>
      </c>
      <c r="CE22" s="13" t="n">
        <v>1617</v>
      </c>
      <c r="CF22" s="13" t="n">
        <v>1.24</v>
      </c>
      <c r="CG22" s="13" t="n">
        <v>2008</v>
      </c>
      <c r="CH22" s="13" t="n">
        <v>166</v>
      </c>
      <c r="CI22" s="13" t="n">
        <v>94</v>
      </c>
      <c r="CJ22" s="13" t="n">
        <v>57</v>
      </c>
      <c r="CK22" s="13" t="n">
        <v>324</v>
      </c>
      <c r="CL22" s="13" t="n">
        <v>56</v>
      </c>
      <c r="CM22" s="13" t="n">
        <v>304</v>
      </c>
      <c r="CN22" s="13" t="n">
        <v>0.987</v>
      </c>
      <c r="CO22" s="13" t="n">
        <v>226</v>
      </c>
      <c r="CP22" s="13" t="n">
        <v>188</v>
      </c>
      <c r="CQ22" s="13" t="n">
        <v>98</v>
      </c>
      <c r="CR22" s="13" t="n">
        <v>5</v>
      </c>
      <c r="CS22" s="13" t="n">
        <v>5.8</v>
      </c>
      <c r="CT22" s="11" t="inlineStr">
        <is>
          <t xml:space="preserve"> Freeski</t>
        </is>
      </c>
      <c r="CU22" s="11" t="inlineStr">
        <is>
          <t xml:space="preserve"> Powder</t>
        </is>
      </c>
      <c r="CV22" s="11" t="inlineStr">
        <is>
          <t xml:space="preserve"> Touring</t>
        </is>
      </c>
      <c r="CW22" s="13" t="n"/>
      <c r="CX22">
        <f>INDEX('Data_Price '!AG$2:AG$1266,MATCH(Data!$DN22,'Data_Price '!$AT$2:$AT$1266,0))</f>
        <v/>
      </c>
      <c r="CY22">
        <f>INDEX('Data_Price '!AH$2:AH$1266,MATCH(Data!$DN22,'Data_Price '!$AT$2:$AT$1266,0))</f>
        <v/>
      </c>
      <c r="CZ22">
        <f>INDEX('Data_Price '!AI$2:AI$1266,MATCH(Data!$DN22,'Data_Price '!$AT$2:$AT$1266,0))</f>
        <v/>
      </c>
      <c r="DA22">
        <f>INDEX('Data_Price '!AJ$2:AJ$1266,MATCH(Data!$DN22,'Data_Price '!$AT$2:$AT$1266,0))</f>
        <v/>
      </c>
      <c r="DB22">
        <f>INDEX('Data_Price '!AK$2:AK$1266,MATCH(Data!$DN22,'Data_Price '!$AT$2:$AT$1266,0))</f>
        <v/>
      </c>
      <c r="DC22">
        <f>INDEX('Data_Price '!AL$2:AL$1266,MATCH(Data!$DN22,'Data_Price '!$AT$2:$AT$1266,0))</f>
        <v/>
      </c>
      <c r="DD22">
        <f>INDEX('Data_Price '!AM$2:AM$1266,MATCH(Data!$DN22,'Data_Price '!$AT$2:$AT$1266,0))</f>
        <v/>
      </c>
      <c r="DE22">
        <f>INDEX('Data_Price '!AN$2:AN$1266,MATCH(Data!$DN22,'Data_Price '!$AT$2:$AT$1266,0))</f>
        <v/>
      </c>
      <c r="DF22">
        <f>INDEX('Data_Price '!AO$2:AO$1266,MATCH(Data!$DN22,'Data_Price '!$AT$2:$AT$1266,0))</f>
        <v/>
      </c>
      <c r="DG22">
        <f>INDEX('Data_Price '!AP$2:AP$1266,MATCH(Data!$DN22,'Data_Price '!$AT$2:$AT$1266,0))</f>
        <v/>
      </c>
      <c r="DH22">
        <f>INDEX('Data_Price '!AQ$2:AQ$1266,MATCH(Data!$DN22,'Data_Price '!$AT$2:$AT$1266,0))</f>
        <v/>
      </c>
      <c r="DI22">
        <f>INDEX('Data_Price '!AR$2:AR$1266,MATCH(Data!$DN22,'Data_Price '!$AT$2:$AT$1266,0))</f>
        <v/>
      </c>
      <c r="DJ22" s="138">
        <f>DA22</f>
        <v/>
      </c>
      <c r="DK22" s="138">
        <f>DE22</f>
        <v/>
      </c>
      <c r="DL22" s="138">
        <f>DI22</f>
        <v/>
      </c>
      <c r="DM22" s="303">
        <f>IF(LEFT(BT22,1)=" ",RIGHT(BT22,LEN(BT22)-1),BT22)</f>
        <v/>
      </c>
      <c r="DN22" s="138">
        <f>_xlfn.CONCAT(BS22,DM22,BU22,BV22)</f>
        <v/>
      </c>
      <c r="DO22" s="307" t="inlineStr">
        <is>
          <t>https://images.evo.com/imgp/250/198686/839649/armada-arv-116-jj-ul-skis-2022-.jpg</t>
        </is>
      </c>
    </row>
    <row r="23" ht="15.6" customHeight="1" s="184">
      <c r="B23" s="303">
        <f t="array" ref="B23">IF(OR(ISERROR(K23:P23)),FALSE,TRUE)</f>
        <v/>
      </c>
      <c r="C23" s="60">
        <f>OR(BR23=Driver!$G$50,Data!BR29=Driver!$H$50)</f>
        <v/>
      </c>
      <c r="D23" s="60">
        <f>OR(BV23=Driver!$G$51,BV23=Driver!$H$51)</f>
        <v/>
      </c>
      <c r="E23" s="60">
        <f>AND(BX23&gt;Driver!$F$54,BX23&lt;Driver!$G$54)</f>
        <v/>
      </c>
      <c r="F23" s="60">
        <f>CL23&gt;Driver!$F$56</f>
        <v/>
      </c>
      <c r="G23" s="60">
        <f>AND(CB23&gt;Driver!$F$55,CB23&lt;Driver!$G$55)</f>
        <v/>
      </c>
      <c r="H23" s="60">
        <f>AND(B23:G23)</f>
        <v/>
      </c>
      <c r="I23" s="60">
        <f>COUNTIFS($H$9:$H$1273,TRUE,$BT$9:$BT$1273,BT23)</f>
        <v/>
      </c>
      <c r="J23" s="60">
        <f t="array" ref="J23">NOT(OR(($H$9:$H$1273=TRUE)*($I$9:$I$1273&gt;0)*($BT$9:$BT$1273=BT23)*($K$9:$K$1273&gt;K23)))</f>
        <v/>
      </c>
      <c r="K23" s="108">
        <f>IFERROR(1-AVERAGE(X23:Y23),"")</f>
        <v/>
      </c>
      <c r="L23" s="108">
        <f>1-X23</f>
        <v/>
      </c>
      <c r="M23" s="108">
        <f>1-Y23</f>
        <v/>
      </c>
      <c r="N23" s="108">
        <f>1-Z23</f>
        <v/>
      </c>
      <c r="O23" s="108">
        <f>1-AA23</f>
        <v/>
      </c>
      <c r="P23" s="108">
        <f>1-AB23</f>
        <v/>
      </c>
      <c r="Q23" s="108" t="n"/>
      <c r="R23" s="108" t="n"/>
      <c r="S23" s="108">
        <f>1-AE23</f>
        <v/>
      </c>
      <c r="T23" s="108">
        <f>1-AF23</f>
        <v/>
      </c>
      <c r="U23" s="108">
        <f>1-AG23</f>
        <v/>
      </c>
      <c r="V23" s="108">
        <f>1-AH23</f>
        <v/>
      </c>
      <c r="W23" s="108">
        <f>1-AI23</f>
        <v/>
      </c>
      <c r="X23" s="108">
        <f>ABS(AJ23-AJ$1)</f>
        <v/>
      </c>
      <c r="Y23" s="108">
        <f>AVERAGE(Z23:AB23)</f>
        <v/>
      </c>
      <c r="Z23" s="108">
        <f>ABS(AL23-AL$1)</f>
        <v/>
      </c>
      <c r="AA23" s="108">
        <f>ABS(AM23-AM$1)</f>
        <v/>
      </c>
      <c r="AB23" s="108">
        <f>ABS(AN23-AN$1)</f>
        <v/>
      </c>
      <c r="AC23" s="108" t="n"/>
      <c r="AD23" s="108" t="n"/>
      <c r="AE23" s="108">
        <f>ABS(AQ$1-AQ23)</f>
        <v/>
      </c>
      <c r="AF23" s="108">
        <f>ABS(AR$1-AR23)</f>
        <v/>
      </c>
      <c r="AG23" s="108">
        <f>ABS(AS$1-AS23)</f>
        <v/>
      </c>
      <c r="AH23" s="108">
        <f>ABS(AT$1-AT23)</f>
        <v/>
      </c>
      <c r="AI23" s="108">
        <f>ABS(AU$1-AU23)</f>
        <v/>
      </c>
      <c r="AJ23" s="108">
        <f>(AV23-Driver!$K$179)/(Driver!$L$179-Driver!$K$179)</f>
        <v/>
      </c>
      <c r="AK23" s="108">
        <f>(AW23-Driver!$K$180)/(Driver!$L$180-Driver!$K$180)</f>
        <v/>
      </c>
      <c r="AL23" s="108">
        <f>(AX23-Driver!$K$181)/(Driver!$L$181-Driver!$K$181)</f>
        <v/>
      </c>
      <c r="AM23" s="108">
        <f>(AY23-Driver!$K$182)/(Driver!$L$182-Driver!$K$182)</f>
        <v/>
      </c>
      <c r="AN23" s="108">
        <f>(AZ23-Driver!$K$183)/(Driver!$L$183-Driver!$K$183)</f>
        <v/>
      </c>
      <c r="AO23" s="108" t="n"/>
      <c r="AP23" s="108" t="n"/>
      <c r="AQ23" s="108">
        <f>(BC23-Driver!$K$188)/(Driver!$L$188-Driver!$K$188)</f>
        <v/>
      </c>
      <c r="AR23" s="108">
        <f>MIN((BD23-Driver!$K$189)/(Driver!$L$189-Driver!$K$189),100%)</f>
        <v/>
      </c>
      <c r="AS23" s="108">
        <f>(BE23-Driver!$K$190)/(Driver!$L$190-Driver!$K$190)</f>
        <v/>
      </c>
      <c r="AT23" s="108">
        <f>(BF23-Driver!$K$191)/(Driver!$L$191-Driver!$K$191)</f>
        <v/>
      </c>
      <c r="AU23" s="108">
        <f>(BG23-Driver!$K$192)/(Driver!$L$192-Driver!$K$192)</f>
        <v/>
      </c>
      <c r="AV23" s="105">
        <f>IFERROR(BM23*BJ23^1/4,"")</f>
        <v/>
      </c>
      <c r="AW23" s="105">
        <f>IFERROR(SUM(AX23:AZ23),"")</f>
        <v/>
      </c>
      <c r="AX23" s="105">
        <f>IFERROR(BH23,"")</f>
        <v/>
      </c>
      <c r="AY23" s="105">
        <f>IFERROR(Driver!$K$19/Data!BH23/Data!BI23*Data!BK23*Data!BL23,"")</f>
        <v/>
      </c>
      <c r="AZ23" s="105">
        <f>IFERROR(BI23*BN23,"")</f>
        <v/>
      </c>
      <c r="BA23" s="105" t="n"/>
      <c r="BB23" s="105" t="n"/>
      <c r="BC23" s="105">
        <f>IFERROR(BI23*BN23*BK23/BJ23^(1/2),"")</f>
        <v/>
      </c>
      <c r="BD23" s="105">
        <f>IFERROR(BH23*BM23*BL23/BJ23/BK23,"")</f>
        <v/>
      </c>
      <c r="BE23" s="105">
        <f>IFERROR(MIN(BI23/BQ23/BP23/BO23/BH23,$BE$1),"")</f>
        <v/>
      </c>
      <c r="BF23" s="105">
        <f>IFERROR(BJ23*BO23*BP23/BK23,"")</f>
        <v/>
      </c>
      <c r="BG23" s="105">
        <f>IFERROR(1/BM23/BH23*BQ23,"")</f>
        <v/>
      </c>
      <c r="BH23" s="102">
        <f>MAX((CE23-Driver!$F$200)/(Driver!$G$200-Driver!$F$200)*$BI$1,1)</f>
        <v/>
      </c>
      <c r="BI23" s="102">
        <f>MAX($BI$1*(BY23-Driver!$F$201)/(Driver!$G$201-Driver!$F$201),1)</f>
        <v/>
      </c>
      <c r="BJ23" s="102">
        <f>(CB23-Driver!$F$206)/(Driver!$G$206-Driver!$F$206)*$BI$1</f>
        <v/>
      </c>
      <c r="BK23" s="102">
        <f>(CD23-Driver!$F$203)/(Driver!$G$203-Driver!$F$203)*$BI$1</f>
        <v/>
      </c>
      <c r="BL23" s="102">
        <f>MAX((CR23-Driver!$F$202)/(Driver!$G$202-Driver!$F$202)*$BI$1,1)</f>
        <v/>
      </c>
      <c r="BM23" s="102">
        <f>MAX((CH23-Driver!$F$204)/(Driver!$G$204-Driver!$F$204)*$BI$1,1)</f>
        <v/>
      </c>
      <c r="BN23" s="102">
        <f>(CI23-Driver!$F$205)/(Driver!$G$205-Driver!$F$205)*$BI$1</f>
        <v/>
      </c>
      <c r="BO23" s="102">
        <f>(CK23-Driver!$F$207)/(Driver!$G$207-Driver!$F$207)*$BI$1</f>
        <v/>
      </c>
      <c r="BP23" s="102">
        <f>(CM23-Driver!$F$208)/(Driver!$G$208-Driver!$F$208)*$BI$1</f>
        <v/>
      </c>
      <c r="BQ23" s="102">
        <f>(CL23-Driver!$F$209)/(Driver!$G$209-Driver!$F$209)*$BI$1</f>
        <v/>
      </c>
      <c r="BR23" s="40" t="inlineStr">
        <is>
          <t>21/22</t>
        </is>
      </c>
      <c r="BS23" s="10" t="inlineStr">
        <is>
          <t xml:space="preserve"> Armada</t>
        </is>
      </c>
      <c r="BT23" s="11" t="inlineStr">
        <is>
          <t>ARV 116 JJ UL</t>
        </is>
      </c>
      <c r="BU23" s="13" t="n">
        <v>175</v>
      </c>
      <c r="BV23" s="11" t="inlineStr">
        <is>
          <t xml:space="preserve"> Unisex</t>
        </is>
      </c>
      <c r="BW23" s="13" t="n">
        <v>175</v>
      </c>
      <c r="BX23" s="13" t="n">
        <v>173.2</v>
      </c>
      <c r="BY23" s="13" t="n">
        <v>103</v>
      </c>
      <c r="BZ23" s="13" t="n">
        <v>130</v>
      </c>
      <c r="CA23" s="13" t="n">
        <v>138</v>
      </c>
      <c r="CB23" s="13" t="n">
        <v>115</v>
      </c>
      <c r="CC23" s="13" t="n">
        <v>135</v>
      </c>
      <c r="CD23" s="13" t="n">
        <v>17.5</v>
      </c>
      <c r="CE23" s="13" t="n">
        <v>1700</v>
      </c>
      <c r="CF23" s="13" t="n">
        <v>1.24</v>
      </c>
      <c r="CG23" s="13" t="n">
        <v>2109</v>
      </c>
      <c r="CH23" s="13" t="n">
        <v>185</v>
      </c>
      <c r="CI23" s="13" t="n">
        <v>96</v>
      </c>
      <c r="CJ23" s="13" t="n">
        <v>63</v>
      </c>
      <c r="CK23" s="13" t="n">
        <v>359</v>
      </c>
      <c r="CL23" s="13" t="n">
        <v>63</v>
      </c>
      <c r="CM23" s="13" t="n">
        <v>344</v>
      </c>
      <c r="CN23" s="13" t="n">
        <v>0.986</v>
      </c>
      <c r="CO23" s="13" t="n">
        <v>239</v>
      </c>
      <c r="CP23" s="13" t="n">
        <v>197</v>
      </c>
      <c r="CQ23" s="13" t="n">
        <v>120</v>
      </c>
      <c r="CR23" s="13" t="n">
        <v>3</v>
      </c>
      <c r="CS23" s="13" t="n">
        <v>6</v>
      </c>
      <c r="CT23" s="11" t="inlineStr">
        <is>
          <t xml:space="preserve"> Freeski</t>
        </is>
      </c>
      <c r="CU23" s="11" t="inlineStr">
        <is>
          <t xml:space="preserve"> Powder</t>
        </is>
      </c>
      <c r="CV23" s="11" t="inlineStr">
        <is>
          <t xml:space="preserve"> Touring</t>
        </is>
      </c>
      <c r="CW23" s="13" t="n"/>
      <c r="CX23">
        <f>INDEX('Data_Price '!AG$2:AG$1266,MATCH(Data!$DN23,'Data_Price '!$AT$2:$AT$1266,0))</f>
        <v/>
      </c>
      <c r="CY23">
        <f>INDEX('Data_Price '!AH$2:AH$1266,MATCH(Data!$DN23,'Data_Price '!$AT$2:$AT$1266,0))</f>
        <v/>
      </c>
      <c r="CZ23">
        <f>INDEX('Data_Price '!AI$2:AI$1266,MATCH(Data!$DN23,'Data_Price '!$AT$2:$AT$1266,0))</f>
        <v/>
      </c>
      <c r="DA23">
        <f>INDEX('Data_Price '!AJ$2:AJ$1266,MATCH(Data!$DN23,'Data_Price '!$AT$2:$AT$1266,0))</f>
        <v/>
      </c>
      <c r="DB23">
        <f>INDEX('Data_Price '!AK$2:AK$1266,MATCH(Data!$DN23,'Data_Price '!$AT$2:$AT$1266,0))</f>
        <v/>
      </c>
      <c r="DC23">
        <f>INDEX('Data_Price '!AL$2:AL$1266,MATCH(Data!$DN23,'Data_Price '!$AT$2:$AT$1266,0))</f>
        <v/>
      </c>
      <c r="DD23">
        <f>INDEX('Data_Price '!AM$2:AM$1266,MATCH(Data!$DN23,'Data_Price '!$AT$2:$AT$1266,0))</f>
        <v/>
      </c>
      <c r="DE23">
        <f>INDEX('Data_Price '!AN$2:AN$1266,MATCH(Data!$DN23,'Data_Price '!$AT$2:$AT$1266,0))</f>
        <v/>
      </c>
      <c r="DF23">
        <f>INDEX('Data_Price '!AO$2:AO$1266,MATCH(Data!$DN23,'Data_Price '!$AT$2:$AT$1266,0))</f>
        <v/>
      </c>
      <c r="DG23">
        <f>INDEX('Data_Price '!AP$2:AP$1266,MATCH(Data!$DN23,'Data_Price '!$AT$2:$AT$1266,0))</f>
        <v/>
      </c>
      <c r="DH23">
        <f>INDEX('Data_Price '!AQ$2:AQ$1266,MATCH(Data!$DN23,'Data_Price '!$AT$2:$AT$1266,0))</f>
        <v/>
      </c>
      <c r="DI23">
        <f>INDEX('Data_Price '!AR$2:AR$1266,MATCH(Data!$DN23,'Data_Price '!$AT$2:$AT$1266,0))</f>
        <v/>
      </c>
      <c r="DJ23" s="138">
        <f>DA23</f>
        <v/>
      </c>
      <c r="DK23" s="138">
        <f>DE23</f>
        <v/>
      </c>
      <c r="DL23" s="138">
        <f>DI23</f>
        <v/>
      </c>
      <c r="DM23" s="303">
        <f>IF(LEFT(BT23,1)=" ",RIGHT(BT23,LEN(BT23)-1),BT23)</f>
        <v/>
      </c>
      <c r="DN23" s="138">
        <f>_xlfn.CONCAT(BS23,DM23,BU23,BV23)</f>
        <v/>
      </c>
      <c r="DO23" s="307" t="inlineStr">
        <is>
          <t>https://images.evo.com/imgp/250/198686/839649/armada-arv-116-jj-ul-skis-2022-.jpg</t>
        </is>
      </c>
    </row>
    <row r="24" ht="15.6" customHeight="1" s="184">
      <c r="B24" s="303">
        <f t="array" ref="B24">IF(OR(ISERROR(K24:P24)),FALSE,TRUE)</f>
        <v/>
      </c>
      <c r="C24" s="60">
        <f>OR(BR24=Driver!$G$50,Data!BR30=Driver!$H$50)</f>
        <v/>
      </c>
      <c r="D24" s="60">
        <f>OR(BV24=Driver!$G$51,BV24=Driver!$H$51)</f>
        <v/>
      </c>
      <c r="E24" s="60">
        <f>AND(BX24&gt;Driver!$F$54,BX24&lt;Driver!$G$54)</f>
        <v/>
      </c>
      <c r="F24" s="60">
        <f>CL24&gt;Driver!$F$56</f>
        <v/>
      </c>
      <c r="G24" s="60">
        <f>AND(CB24&gt;Driver!$F$55,CB24&lt;Driver!$G$55)</f>
        <v/>
      </c>
      <c r="H24" s="60">
        <f>AND(B24:G24)</f>
        <v/>
      </c>
      <c r="I24" s="60">
        <f>COUNTIFS($H$9:$H$1273,TRUE,$BT$9:$BT$1273,BT24)</f>
        <v/>
      </c>
      <c r="J24" s="60">
        <f t="array" ref="J24">NOT(OR(($H$9:$H$1273=TRUE)*($I$9:$I$1273&gt;0)*($BT$9:$BT$1273=BT24)*($K$9:$K$1273&gt;K24)))</f>
        <v/>
      </c>
      <c r="K24" s="108">
        <f>IFERROR(1-AVERAGE(X24:Y24),"")</f>
        <v/>
      </c>
      <c r="L24" s="108">
        <f>1-X24</f>
        <v/>
      </c>
      <c r="M24" s="108">
        <f>1-Y24</f>
        <v/>
      </c>
      <c r="N24" s="108">
        <f>1-Z24</f>
        <v/>
      </c>
      <c r="O24" s="108">
        <f>1-AA24</f>
        <v/>
      </c>
      <c r="P24" s="108">
        <f>1-AB24</f>
        <v/>
      </c>
      <c r="Q24" s="108" t="n"/>
      <c r="R24" s="108" t="n"/>
      <c r="S24" s="108">
        <f>1-AE24</f>
        <v/>
      </c>
      <c r="T24" s="108">
        <f>1-AF24</f>
        <v/>
      </c>
      <c r="U24" s="108">
        <f>1-AG24</f>
        <v/>
      </c>
      <c r="V24" s="108">
        <f>1-AH24</f>
        <v/>
      </c>
      <c r="W24" s="108">
        <f>1-AI24</f>
        <v/>
      </c>
      <c r="X24" s="108">
        <f>ABS(AJ24-AJ$1)</f>
        <v/>
      </c>
      <c r="Y24" s="108">
        <f>AVERAGE(Z24:AB24)</f>
        <v/>
      </c>
      <c r="Z24" s="108">
        <f>ABS(AL24-AL$1)</f>
        <v/>
      </c>
      <c r="AA24" s="108">
        <f>ABS(AM24-AM$1)</f>
        <v/>
      </c>
      <c r="AB24" s="108">
        <f>ABS(AN24-AN$1)</f>
        <v/>
      </c>
      <c r="AC24" s="108" t="n"/>
      <c r="AD24" s="108" t="n"/>
      <c r="AE24" s="108">
        <f>ABS(AQ$1-AQ24)</f>
        <v/>
      </c>
      <c r="AF24" s="108">
        <f>ABS(AR$1-AR24)</f>
        <v/>
      </c>
      <c r="AG24" s="108">
        <f>ABS(AS$1-AS24)</f>
        <v/>
      </c>
      <c r="AH24" s="108">
        <f>ABS(AT$1-AT24)</f>
        <v/>
      </c>
      <c r="AI24" s="108">
        <f>ABS(AU$1-AU24)</f>
        <v/>
      </c>
      <c r="AJ24" s="108">
        <f>(AV24-Driver!$K$179)/(Driver!$L$179-Driver!$K$179)</f>
        <v/>
      </c>
      <c r="AK24" s="108">
        <f>(AW24-Driver!$K$180)/(Driver!$L$180-Driver!$K$180)</f>
        <v/>
      </c>
      <c r="AL24" s="108">
        <f>(AX24-Driver!$K$181)/(Driver!$L$181-Driver!$K$181)</f>
        <v/>
      </c>
      <c r="AM24" s="108">
        <f>(AY24-Driver!$K$182)/(Driver!$L$182-Driver!$K$182)</f>
        <v/>
      </c>
      <c r="AN24" s="108">
        <f>(AZ24-Driver!$K$183)/(Driver!$L$183-Driver!$K$183)</f>
        <v/>
      </c>
      <c r="AO24" s="108" t="n"/>
      <c r="AP24" s="108" t="n"/>
      <c r="AQ24" s="108">
        <f>(BC24-Driver!$K$188)/(Driver!$L$188-Driver!$K$188)</f>
        <v/>
      </c>
      <c r="AR24" s="108">
        <f>MIN((BD24-Driver!$K$189)/(Driver!$L$189-Driver!$K$189),100%)</f>
        <v/>
      </c>
      <c r="AS24" s="108">
        <f>(BE24-Driver!$K$190)/(Driver!$L$190-Driver!$K$190)</f>
        <v/>
      </c>
      <c r="AT24" s="108">
        <f>(BF24-Driver!$K$191)/(Driver!$L$191-Driver!$K$191)</f>
        <v/>
      </c>
      <c r="AU24" s="108">
        <f>(BG24-Driver!$K$192)/(Driver!$L$192-Driver!$K$192)</f>
        <v/>
      </c>
      <c r="AV24" s="105">
        <f>IFERROR(BM24*BJ24^1/4,"")</f>
        <v/>
      </c>
      <c r="AW24" s="105">
        <f>IFERROR(SUM(AX24:AZ24),"")</f>
        <v/>
      </c>
      <c r="AX24" s="105">
        <f>IFERROR(BH24,"")</f>
        <v/>
      </c>
      <c r="AY24" s="105">
        <f>IFERROR(Driver!$K$19/Data!BH24/Data!BI24*Data!BK24*Data!BL24,"")</f>
        <v/>
      </c>
      <c r="AZ24" s="105">
        <f>IFERROR(BI24*BN24,"")</f>
        <v/>
      </c>
      <c r="BA24" s="105" t="n"/>
      <c r="BB24" s="105" t="n"/>
      <c r="BC24" s="105">
        <f>IFERROR(BI24*BN24*BK24/BJ24^(1/2),"")</f>
        <v/>
      </c>
      <c r="BD24" s="105">
        <f>IFERROR(BH24*BM24*BL24/BJ24/BK24,"")</f>
        <v/>
      </c>
      <c r="BE24" s="105">
        <f>IFERROR(MIN(BI24/BQ24/BP24/BO24/BH24,$BE$1),"")</f>
        <v/>
      </c>
      <c r="BF24" s="105">
        <f>IFERROR(BJ24*BO24*BP24/BK24,"")</f>
        <v/>
      </c>
      <c r="BG24" s="105">
        <f>IFERROR(1/BM24/BH24*BQ24,"")</f>
        <v/>
      </c>
      <c r="BH24" s="102">
        <f>MAX((CE24-Driver!$F$200)/(Driver!$G$200-Driver!$F$200)*$BI$1,1)</f>
        <v/>
      </c>
      <c r="BI24" s="102">
        <f>MAX($BI$1*(BY24-Driver!$F$201)/(Driver!$G$201-Driver!$F$201),1)</f>
        <v/>
      </c>
      <c r="BJ24" s="102">
        <f>(CB24-Driver!$F$206)/(Driver!$G$206-Driver!$F$206)*$BI$1</f>
        <v/>
      </c>
      <c r="BK24" s="102">
        <f>(CD24-Driver!$F$203)/(Driver!$G$203-Driver!$F$203)*$BI$1</f>
        <v/>
      </c>
      <c r="BL24" s="102">
        <f>MAX((CR24-Driver!$F$202)/(Driver!$G$202-Driver!$F$202)*$BI$1,1)</f>
        <v/>
      </c>
      <c r="BM24" s="102">
        <f>MAX((CH24-Driver!$F$204)/(Driver!$G$204-Driver!$F$204)*$BI$1,1)</f>
        <v/>
      </c>
      <c r="BN24" s="102">
        <f>(CI24-Driver!$F$205)/(Driver!$G$205-Driver!$F$205)*$BI$1</f>
        <v/>
      </c>
      <c r="BO24" s="102">
        <f>(CK24-Driver!$F$207)/(Driver!$G$207-Driver!$F$207)*$BI$1</f>
        <v/>
      </c>
      <c r="BP24" s="102">
        <f>(CM24-Driver!$F$208)/(Driver!$G$208-Driver!$F$208)*$BI$1</f>
        <v/>
      </c>
      <c r="BQ24" s="102">
        <f>(CL24-Driver!$F$209)/(Driver!$G$209-Driver!$F$209)*$BI$1</f>
        <v/>
      </c>
      <c r="BR24" s="40" t="inlineStr">
        <is>
          <t>21/22</t>
        </is>
      </c>
      <c r="BS24" s="10" t="inlineStr">
        <is>
          <t xml:space="preserve"> Armada</t>
        </is>
      </c>
      <c r="BT24" s="11" t="inlineStr">
        <is>
          <t>ARV 116 JJ UL</t>
        </is>
      </c>
      <c r="BU24" s="13" t="n">
        <v>185</v>
      </c>
      <c r="BV24" s="11" t="inlineStr">
        <is>
          <t xml:space="preserve"> Unisex</t>
        </is>
      </c>
      <c r="BW24" s="13" t="n">
        <v>185</v>
      </c>
      <c r="BX24" s="13" t="n">
        <v>183</v>
      </c>
      <c r="BY24" s="13" t="n">
        <v>113</v>
      </c>
      <c r="BZ24" s="13" t="n">
        <v>136</v>
      </c>
      <c r="CA24" s="13" t="n">
        <v>138</v>
      </c>
      <c r="CB24" s="13" t="n">
        <v>115</v>
      </c>
      <c r="CC24" s="13" t="n">
        <v>134</v>
      </c>
      <c r="CD24" s="13" t="n">
        <v>18.5</v>
      </c>
      <c r="CE24" s="13" t="n">
        <v>1783</v>
      </c>
      <c r="CF24" s="13" t="n">
        <v>1.24</v>
      </c>
      <c r="CG24" s="13" t="n">
        <v>2218</v>
      </c>
      <c r="CH24" s="13" t="n">
        <v>203</v>
      </c>
      <c r="CI24" s="13" t="n">
        <v>103</v>
      </c>
      <c r="CJ24" s="13" t="n">
        <v>66</v>
      </c>
      <c r="CK24" s="13" t="n">
        <v>361</v>
      </c>
      <c r="CL24" s="13" t="n">
        <v>63</v>
      </c>
      <c r="CM24" s="13" t="n">
        <v>340</v>
      </c>
      <c r="CN24" s="13" t="n">
        <v>0.953</v>
      </c>
      <c r="CO24" s="13" t="n">
        <v>236</v>
      </c>
      <c r="CP24" s="13" t="n">
        <v>231</v>
      </c>
      <c r="CQ24" s="13" t="n">
        <v>124</v>
      </c>
      <c r="CR24" s="13" t="n">
        <v>4</v>
      </c>
      <c r="CS24" s="13" t="n">
        <v>5.4</v>
      </c>
      <c r="CT24" s="11" t="inlineStr">
        <is>
          <t xml:space="preserve"> Freeski</t>
        </is>
      </c>
      <c r="CU24" s="11" t="inlineStr">
        <is>
          <t xml:space="preserve"> Powder</t>
        </is>
      </c>
      <c r="CV24" s="11" t="inlineStr">
        <is>
          <t xml:space="preserve"> Touring</t>
        </is>
      </c>
      <c r="CW24" s="13" t="n"/>
      <c r="CX24">
        <f>INDEX('Data_Price '!AG$2:AG$1266,MATCH(Data!$DN24,'Data_Price '!$AT$2:$AT$1266,0))</f>
        <v/>
      </c>
      <c r="CY24">
        <f>INDEX('Data_Price '!AH$2:AH$1266,MATCH(Data!$DN24,'Data_Price '!$AT$2:$AT$1266,0))</f>
        <v/>
      </c>
      <c r="CZ24">
        <f>INDEX('Data_Price '!AI$2:AI$1266,MATCH(Data!$DN24,'Data_Price '!$AT$2:$AT$1266,0))</f>
        <v/>
      </c>
      <c r="DA24">
        <f>INDEX('Data_Price '!AJ$2:AJ$1266,MATCH(Data!$DN24,'Data_Price '!$AT$2:$AT$1266,0))</f>
        <v/>
      </c>
      <c r="DB24">
        <f>INDEX('Data_Price '!AK$2:AK$1266,MATCH(Data!$DN24,'Data_Price '!$AT$2:$AT$1266,0))</f>
        <v/>
      </c>
      <c r="DC24">
        <f>INDEX('Data_Price '!AL$2:AL$1266,MATCH(Data!$DN24,'Data_Price '!$AT$2:$AT$1266,0))</f>
        <v/>
      </c>
      <c r="DD24">
        <f>INDEX('Data_Price '!AM$2:AM$1266,MATCH(Data!$DN24,'Data_Price '!$AT$2:$AT$1266,0))</f>
        <v/>
      </c>
      <c r="DE24">
        <f>INDEX('Data_Price '!AN$2:AN$1266,MATCH(Data!$DN24,'Data_Price '!$AT$2:$AT$1266,0))</f>
        <v/>
      </c>
      <c r="DF24">
        <f>INDEX('Data_Price '!AO$2:AO$1266,MATCH(Data!$DN24,'Data_Price '!$AT$2:$AT$1266,0))</f>
        <v/>
      </c>
      <c r="DG24">
        <f>INDEX('Data_Price '!AP$2:AP$1266,MATCH(Data!$DN24,'Data_Price '!$AT$2:$AT$1266,0))</f>
        <v/>
      </c>
      <c r="DH24">
        <f>INDEX('Data_Price '!AQ$2:AQ$1266,MATCH(Data!$DN24,'Data_Price '!$AT$2:$AT$1266,0))</f>
        <v/>
      </c>
      <c r="DI24">
        <f>INDEX('Data_Price '!AR$2:AR$1266,MATCH(Data!$DN24,'Data_Price '!$AT$2:$AT$1266,0))</f>
        <v/>
      </c>
      <c r="DJ24" s="138">
        <f>DA24</f>
        <v/>
      </c>
      <c r="DK24" s="138">
        <f>DE24</f>
        <v/>
      </c>
      <c r="DL24" s="138">
        <f>DI24</f>
        <v/>
      </c>
      <c r="DM24" s="303">
        <f>IF(LEFT(BT24,1)=" ",RIGHT(BT24,LEN(BT24)-1),BT24)</f>
        <v/>
      </c>
      <c r="DN24" s="138">
        <f>_xlfn.CONCAT(BS24,DM24,BU24,BV24)</f>
        <v/>
      </c>
      <c r="DO24" s="307" t="inlineStr">
        <is>
          <t>https://images.evo.com/imgp/250/198686/839649/armada-arv-116-jj-ul-skis-2022-.jpg</t>
        </is>
      </c>
    </row>
    <row r="25" ht="15.6" customHeight="1" s="184">
      <c r="B25" s="303">
        <f t="array" ref="B25">IF(OR(ISERROR(K25:P25)),FALSE,TRUE)</f>
        <v/>
      </c>
      <c r="C25" s="60">
        <f>OR(BR25=Driver!$G$50,Data!BR25=Driver!$H$50)</f>
        <v/>
      </c>
      <c r="D25" s="60">
        <f>OR(BV25=Driver!$G$51,BV25=Driver!$H$51)</f>
        <v/>
      </c>
      <c r="E25" s="60">
        <f>AND(BX25&gt;Driver!$F$54,BX25&lt;Driver!$G$54)</f>
        <v/>
      </c>
      <c r="F25" s="60">
        <f>CL25&gt;Driver!$F$56</f>
        <v/>
      </c>
      <c r="G25" s="60">
        <f>AND(CB25&gt;Driver!$F$55,CB25&lt;Driver!$G$55)</f>
        <v/>
      </c>
      <c r="H25" s="60">
        <f>AND(B25:G25)</f>
        <v/>
      </c>
      <c r="I25" s="60">
        <f>COUNTIFS($H$9:$H$1273,TRUE,$BT$9:$BT$1273,BT25)</f>
        <v/>
      </c>
      <c r="J25" s="60">
        <f t="array" ref="J25">NOT(OR(($H$9:$H$1273=TRUE)*($I$9:$I$1273&gt;0)*($BT$9:$BT$1273=BT25)*($K$9:$K$1273&gt;K25)))</f>
        <v/>
      </c>
      <c r="K25" s="108">
        <f>IFERROR(1-AVERAGE(X25:Y25),"")</f>
        <v/>
      </c>
      <c r="L25" s="108">
        <f>1-X25</f>
        <v/>
      </c>
      <c r="M25" s="108">
        <f>1-Y25</f>
        <v/>
      </c>
      <c r="N25" s="108">
        <f>1-Z25</f>
        <v/>
      </c>
      <c r="O25" s="108">
        <f>1-AA25</f>
        <v/>
      </c>
      <c r="P25" s="108">
        <f>1-AB25</f>
        <v/>
      </c>
      <c r="Q25" s="108" t="n"/>
      <c r="R25" s="108" t="n"/>
      <c r="S25" s="108">
        <f>1-AE25</f>
        <v/>
      </c>
      <c r="T25" s="108">
        <f>1-AF25</f>
        <v/>
      </c>
      <c r="U25" s="108">
        <f>1-AG25</f>
        <v/>
      </c>
      <c r="V25" s="108">
        <f>1-AH25</f>
        <v/>
      </c>
      <c r="W25" s="108">
        <f>1-AI25</f>
        <v/>
      </c>
      <c r="X25" s="108">
        <f>ABS(AJ25-AJ$1)</f>
        <v/>
      </c>
      <c r="Y25" s="108">
        <f>AVERAGE(Z25:AB25)</f>
        <v/>
      </c>
      <c r="Z25" s="108">
        <f>ABS(AL25-AL$1)</f>
        <v/>
      </c>
      <c r="AA25" s="108">
        <f>ABS(AM25-AM$1)</f>
        <v/>
      </c>
      <c r="AB25" s="108">
        <f>ABS(AN25-AN$1)</f>
        <v/>
      </c>
      <c r="AC25" s="108" t="n"/>
      <c r="AD25" s="108" t="n"/>
      <c r="AE25" s="108">
        <f>ABS(AQ$1-AQ25)</f>
        <v/>
      </c>
      <c r="AF25" s="108">
        <f>ABS(AR$1-AR25)</f>
        <v/>
      </c>
      <c r="AG25" s="108">
        <f>ABS(AS$1-AS25)</f>
        <v/>
      </c>
      <c r="AH25" s="108">
        <f>ABS(AT$1-AT25)</f>
        <v/>
      </c>
      <c r="AI25" s="108">
        <f>ABS(AU$1-AU25)</f>
        <v/>
      </c>
      <c r="AJ25" s="108">
        <f>(AV25-Driver!$K$179)/(Driver!$L$179-Driver!$K$179)</f>
        <v/>
      </c>
      <c r="AK25" s="108">
        <f>(AW25-Driver!$K$180)/(Driver!$L$180-Driver!$K$180)</f>
        <v/>
      </c>
      <c r="AL25" s="108">
        <f>(AX25-Driver!$K$181)/(Driver!$L$181-Driver!$K$181)</f>
        <v/>
      </c>
      <c r="AM25" s="108">
        <f>(AY25-Driver!$K$182)/(Driver!$L$182-Driver!$K$182)</f>
        <v/>
      </c>
      <c r="AN25" s="108">
        <f>(AZ25-Driver!$K$183)/(Driver!$L$183-Driver!$K$183)</f>
        <v/>
      </c>
      <c r="AO25" s="108" t="n"/>
      <c r="AP25" s="108" t="n"/>
      <c r="AQ25" s="108">
        <f>(BC25-Driver!$K$188)/(Driver!$L$188-Driver!$K$188)</f>
        <v/>
      </c>
      <c r="AR25" s="108">
        <f>MIN((BD25-Driver!$K$189)/(Driver!$L$189-Driver!$K$189),100%)</f>
        <v/>
      </c>
      <c r="AS25" s="108">
        <f>(BE25-Driver!$K$190)/(Driver!$L$190-Driver!$K$190)</f>
        <v/>
      </c>
      <c r="AT25" s="108">
        <f>(BF25-Driver!$K$191)/(Driver!$L$191-Driver!$K$191)</f>
        <v/>
      </c>
      <c r="AU25" s="108">
        <f>(BG25-Driver!$K$192)/(Driver!$L$192-Driver!$K$192)</f>
        <v/>
      </c>
      <c r="AV25" s="105">
        <f>IFERROR(BM25*BJ25^1/4,"")</f>
        <v/>
      </c>
      <c r="AW25" s="105">
        <f>IFERROR(SUM(AX25:AZ25),"")</f>
        <v/>
      </c>
      <c r="AX25" s="105">
        <f>IFERROR(BH25,"")</f>
        <v/>
      </c>
      <c r="AY25" s="105">
        <f>IFERROR(Driver!$K$19/Data!BH25/Data!BI25*Data!BK25*Data!BL25,"")</f>
        <v/>
      </c>
      <c r="AZ25" s="105">
        <f>IFERROR(BI25*BN25,"")</f>
        <v/>
      </c>
      <c r="BA25" s="105" t="n"/>
      <c r="BB25" s="105" t="n"/>
      <c r="BC25" s="105">
        <f>IFERROR(BI25*BN25*BK25/BJ25^(1/2),"")</f>
        <v/>
      </c>
      <c r="BD25" s="105">
        <f>IFERROR(BH25*BM25*BL25/BJ25/BK25,"")</f>
        <v/>
      </c>
      <c r="BE25" s="105">
        <f>IFERROR(MIN(BI25/BQ25/BP25/BO25/BH25,$BE$1),"")</f>
        <v/>
      </c>
      <c r="BF25" s="105">
        <f>IFERROR(BJ25*BO25*BP25/BK25,"")</f>
        <v/>
      </c>
      <c r="BG25" s="105">
        <f>IFERROR(1/BM25/BH25*BQ25,"")</f>
        <v/>
      </c>
      <c r="BH25" s="102">
        <f>MAX((CE25-Driver!$F$200)/(Driver!$G$200-Driver!$F$200)*$BI$1,1)</f>
        <v/>
      </c>
      <c r="BI25" s="102">
        <f>MAX($BI$1*(BY25-Driver!$F$201)/(Driver!$G$201-Driver!$F$201),1)</f>
        <v/>
      </c>
      <c r="BJ25" s="102">
        <f>(CB25-Driver!$F$206)/(Driver!$G$206-Driver!$F$206)*$BI$1</f>
        <v/>
      </c>
      <c r="BK25" s="102">
        <f>(CD25-Driver!$F$203)/(Driver!$G$203-Driver!$F$203)*$BI$1</f>
        <v/>
      </c>
      <c r="BL25" s="102">
        <f>MAX((CR25-Driver!$F$202)/(Driver!$G$202-Driver!$F$202)*$BI$1,1)</f>
        <v/>
      </c>
      <c r="BM25" s="102">
        <f>MAX((CH25-Driver!$F$204)/(Driver!$G$204-Driver!$F$204)*$BI$1,1)</f>
        <v/>
      </c>
      <c r="BN25" s="102">
        <f>(CI25-Driver!$F$205)/(Driver!$G$205-Driver!$F$205)*$BI$1</f>
        <v/>
      </c>
      <c r="BO25" s="102">
        <f>(CK25-Driver!$F$207)/(Driver!$G$207-Driver!$F$207)*$BI$1</f>
        <v/>
      </c>
      <c r="BP25" s="102">
        <f>(CM25-Driver!$F$208)/(Driver!$G$208-Driver!$F$208)*$BI$1</f>
        <v/>
      </c>
      <c r="BQ25" s="102">
        <f>(CL25-Driver!$F$209)/(Driver!$G$209-Driver!$F$209)*$BI$1</f>
        <v/>
      </c>
      <c r="BR25" s="40" t="inlineStr">
        <is>
          <t>21/22</t>
        </is>
      </c>
      <c r="BS25" s="10" t="inlineStr">
        <is>
          <t xml:space="preserve"> Armada</t>
        </is>
      </c>
      <c r="BT25" s="11" t="inlineStr">
        <is>
          <t>ARV 106</t>
        </is>
      </c>
      <c r="BU25" s="13" t="n">
        <v>172</v>
      </c>
      <c r="BV25" s="11" t="inlineStr">
        <is>
          <t xml:space="preserve"> Unisex</t>
        </is>
      </c>
      <c r="BW25" s="13" t="n">
        <v>172</v>
      </c>
      <c r="BX25" s="13" t="n">
        <v>170.4</v>
      </c>
      <c r="BY25" s="13" t="n">
        <v>119</v>
      </c>
      <c r="BZ25" s="13" t="n">
        <v>140</v>
      </c>
      <c r="CA25" s="13" t="n">
        <v>132</v>
      </c>
      <c r="CB25" s="13" t="n">
        <v>105</v>
      </c>
      <c r="CC25" s="13" t="n">
        <v>122</v>
      </c>
      <c r="CD25" s="13" t="n">
        <v>20</v>
      </c>
      <c r="CE25" s="13" t="n">
        <v>1948</v>
      </c>
      <c r="CF25" s="13" t="n">
        <v>0.98</v>
      </c>
      <c r="CG25" s="13" t="n">
        <v>1900</v>
      </c>
      <c r="CH25" s="13" t="n">
        <v>187</v>
      </c>
      <c r="CI25" s="13" t="n">
        <v>103</v>
      </c>
      <c r="CJ25" s="13" t="n">
        <v>55</v>
      </c>
      <c r="CK25" s="13" t="n">
        <v>280</v>
      </c>
      <c r="CL25" s="13" t="n">
        <v>43</v>
      </c>
      <c r="CM25" s="13" t="n">
        <v>237</v>
      </c>
      <c r="CN25" s="13" t="n">
        <v>0.78</v>
      </c>
      <c r="CO25" s="13" t="n">
        <v>150</v>
      </c>
      <c r="CP25" s="13" t="n">
        <v>155</v>
      </c>
      <c r="CQ25" s="13" t="n">
        <v>130</v>
      </c>
      <c r="CR25" s="13" t="n">
        <v>7</v>
      </c>
      <c r="CS25" s="13" t="n">
        <v>5.4</v>
      </c>
      <c r="CT25" s="11" t="inlineStr">
        <is>
          <t xml:space="preserve"> Resort Freeride</t>
        </is>
      </c>
      <c r="CU25" s="11" t="inlineStr">
        <is>
          <t xml:space="preserve"> Powder</t>
        </is>
      </c>
      <c r="CV25" s="13" t="n"/>
      <c r="CW25" s="13" t="n"/>
      <c r="CX25">
        <f>INDEX('Data_Price '!AG$2:AG$1266,MATCH(Data!$DN25,'Data_Price '!$AT$2:$AT$1266,0))</f>
        <v/>
      </c>
      <c r="CY25">
        <f>INDEX('Data_Price '!AH$2:AH$1266,MATCH(Data!$DN25,'Data_Price '!$AT$2:$AT$1266,0))</f>
        <v/>
      </c>
      <c r="CZ25">
        <f>INDEX('Data_Price '!AI$2:AI$1266,MATCH(Data!$DN25,'Data_Price '!$AT$2:$AT$1266,0))</f>
        <v/>
      </c>
      <c r="DA25">
        <f>INDEX('Data_Price '!AJ$2:AJ$1266,MATCH(Data!$DN25,'Data_Price '!$AT$2:$AT$1266,0))</f>
        <v/>
      </c>
      <c r="DB25">
        <f>INDEX('Data_Price '!AK$2:AK$1266,MATCH(Data!$DN25,'Data_Price '!$AT$2:$AT$1266,0))</f>
        <v/>
      </c>
      <c r="DC25">
        <f>INDEX('Data_Price '!AL$2:AL$1266,MATCH(Data!$DN25,'Data_Price '!$AT$2:$AT$1266,0))</f>
        <v/>
      </c>
      <c r="DD25">
        <f>INDEX('Data_Price '!AM$2:AM$1266,MATCH(Data!$DN25,'Data_Price '!$AT$2:$AT$1266,0))</f>
        <v/>
      </c>
      <c r="DE25">
        <f>INDEX('Data_Price '!AN$2:AN$1266,MATCH(Data!$DN25,'Data_Price '!$AT$2:$AT$1266,0))</f>
        <v/>
      </c>
      <c r="DF25">
        <f>INDEX('Data_Price '!AO$2:AO$1266,MATCH(Data!$DN25,'Data_Price '!$AT$2:$AT$1266,0))</f>
        <v/>
      </c>
      <c r="DG25">
        <f>INDEX('Data_Price '!AP$2:AP$1266,MATCH(Data!$DN25,'Data_Price '!$AT$2:$AT$1266,0))</f>
        <v/>
      </c>
      <c r="DH25">
        <f>INDEX('Data_Price '!AQ$2:AQ$1266,MATCH(Data!$DN25,'Data_Price '!$AT$2:$AT$1266,0))</f>
        <v/>
      </c>
      <c r="DI25">
        <f>INDEX('Data_Price '!AR$2:AR$1266,MATCH(Data!$DN25,'Data_Price '!$AT$2:$AT$1266,0))</f>
        <v/>
      </c>
      <c r="DJ25" s="138">
        <f>DA25</f>
        <v/>
      </c>
      <c r="DK25" s="138">
        <f>DE25</f>
        <v/>
      </c>
      <c r="DL25" s="138">
        <f>DI25</f>
        <v/>
      </c>
      <c r="DM25" s="303">
        <f>IF(LEFT(BT25,1)=" ",RIGHT(BT25,LEN(BT25)-1),BT25)</f>
        <v/>
      </c>
      <c r="DN25" s="138">
        <f>_xlfn.CONCAT(BS25,DM25,BU25,BV25)</f>
        <v/>
      </c>
      <c r="DO25" s="307" t="inlineStr">
        <is>
          <t>https://images.evo.com/imgp/250/198701/839671/armada-arv-106-skis-2022-.jpg</t>
        </is>
      </c>
    </row>
    <row r="26" ht="15.6" customHeight="1" s="184">
      <c r="B26" s="303">
        <f t="array" ref="B26">IF(OR(ISERROR(K26:P26)),FALSE,TRUE)</f>
        <v/>
      </c>
      <c r="C26" s="60">
        <f>OR(BR26=Driver!$G$50,Data!BR24=Driver!$H$50)</f>
        <v/>
      </c>
      <c r="D26" s="60">
        <f>OR(BV26=Driver!$G$51,BV26=Driver!$H$51)</f>
        <v/>
      </c>
      <c r="E26" s="60">
        <f>AND(BX26&gt;Driver!$F$54,BX26&lt;Driver!$G$54)</f>
        <v/>
      </c>
      <c r="F26" s="60">
        <f>CL26&gt;Driver!$F$56</f>
        <v/>
      </c>
      <c r="G26" s="60">
        <f>AND(CB26&gt;Driver!$F$55,CB26&lt;Driver!$G$55)</f>
        <v/>
      </c>
      <c r="H26" s="60">
        <f>AND(B26:G26)</f>
        <v/>
      </c>
      <c r="I26" s="60">
        <f>COUNTIFS($H$9:$H$1273,TRUE,$BT$9:$BT$1273,BT26)</f>
        <v/>
      </c>
      <c r="J26" s="60">
        <f t="array" ref="J26">NOT(OR(($H$9:$H$1273=TRUE)*($I$9:$I$1273&gt;0)*($BT$9:$BT$1273=BT26)*($K$9:$K$1273&gt;K26)))</f>
        <v/>
      </c>
      <c r="K26" s="108">
        <f>IFERROR(1-AVERAGE(X26:Y26),"")</f>
        <v/>
      </c>
      <c r="L26" s="108">
        <f>1-X26</f>
        <v/>
      </c>
      <c r="M26" s="108">
        <f>1-Y26</f>
        <v/>
      </c>
      <c r="N26" s="108">
        <f>1-Z26</f>
        <v/>
      </c>
      <c r="O26" s="108">
        <f>1-AA26</f>
        <v/>
      </c>
      <c r="P26" s="108">
        <f>1-AB26</f>
        <v/>
      </c>
      <c r="Q26" s="108" t="n"/>
      <c r="R26" s="108" t="n"/>
      <c r="S26" s="108">
        <f>1-AE26</f>
        <v/>
      </c>
      <c r="T26" s="108">
        <f>1-AF26</f>
        <v/>
      </c>
      <c r="U26" s="108">
        <f>1-AG26</f>
        <v/>
      </c>
      <c r="V26" s="108">
        <f>1-AH26</f>
        <v/>
      </c>
      <c r="W26" s="108">
        <f>1-AI26</f>
        <v/>
      </c>
      <c r="X26" s="108">
        <f>ABS(AJ26-AJ$1)</f>
        <v/>
      </c>
      <c r="Y26" s="108">
        <f>AVERAGE(Z26:AB26)</f>
        <v/>
      </c>
      <c r="Z26" s="108">
        <f>ABS(AL26-AL$1)</f>
        <v/>
      </c>
      <c r="AA26" s="108">
        <f>ABS(AM26-AM$1)</f>
        <v/>
      </c>
      <c r="AB26" s="108">
        <f>ABS(AN26-AN$1)</f>
        <v/>
      </c>
      <c r="AC26" s="108" t="n"/>
      <c r="AD26" s="108" t="n"/>
      <c r="AE26" s="108">
        <f>ABS(AQ$1-AQ26)</f>
        <v/>
      </c>
      <c r="AF26" s="108">
        <f>ABS(AR$1-AR26)</f>
        <v/>
      </c>
      <c r="AG26" s="108">
        <f>ABS(AS$1-AS26)</f>
        <v/>
      </c>
      <c r="AH26" s="108">
        <f>ABS(AT$1-AT26)</f>
        <v/>
      </c>
      <c r="AI26" s="108">
        <f>ABS(AU$1-AU26)</f>
        <v/>
      </c>
      <c r="AJ26" s="108">
        <f>(AV26-Driver!$K$179)/(Driver!$L$179-Driver!$K$179)</f>
        <v/>
      </c>
      <c r="AK26" s="108">
        <f>(AW26-Driver!$K$180)/(Driver!$L$180-Driver!$K$180)</f>
        <v/>
      </c>
      <c r="AL26" s="108">
        <f>(AX26-Driver!$K$181)/(Driver!$L$181-Driver!$K$181)</f>
        <v/>
      </c>
      <c r="AM26" s="108">
        <f>(AY26-Driver!$K$182)/(Driver!$L$182-Driver!$K$182)</f>
        <v/>
      </c>
      <c r="AN26" s="108">
        <f>(AZ26-Driver!$K$183)/(Driver!$L$183-Driver!$K$183)</f>
        <v/>
      </c>
      <c r="AO26" s="108" t="n"/>
      <c r="AP26" s="108" t="n"/>
      <c r="AQ26" s="108">
        <f>(BC26-Driver!$K$188)/(Driver!$L$188-Driver!$K$188)</f>
        <v/>
      </c>
      <c r="AR26" s="108">
        <f>MIN((BD26-Driver!$K$189)/(Driver!$L$189-Driver!$K$189),100%)</f>
        <v/>
      </c>
      <c r="AS26" s="108">
        <f>(BE26-Driver!$K$190)/(Driver!$L$190-Driver!$K$190)</f>
        <v/>
      </c>
      <c r="AT26" s="108">
        <f>(BF26-Driver!$K$191)/(Driver!$L$191-Driver!$K$191)</f>
        <v/>
      </c>
      <c r="AU26" s="108">
        <f>(BG26-Driver!$K$192)/(Driver!$L$192-Driver!$K$192)</f>
        <v/>
      </c>
      <c r="AV26" s="105">
        <f>IFERROR(BM26*BJ26^1/4,"")</f>
        <v/>
      </c>
      <c r="AW26" s="105">
        <f>IFERROR(SUM(AX26:AZ26),"")</f>
        <v/>
      </c>
      <c r="AX26" s="105">
        <f>IFERROR(BH26,"")</f>
        <v/>
      </c>
      <c r="AY26" s="105">
        <f>IFERROR(Driver!$K$19/Data!BH26/Data!BI26*Data!BK26*Data!BL26,"")</f>
        <v/>
      </c>
      <c r="AZ26" s="105">
        <f>IFERROR(BI26*BN26,"")</f>
        <v/>
      </c>
      <c r="BA26" s="105" t="n"/>
      <c r="BB26" s="105" t="n"/>
      <c r="BC26" s="105">
        <f>IFERROR(BI26*BN26*BK26/BJ26^(1/2),"")</f>
        <v/>
      </c>
      <c r="BD26" s="105">
        <f>IFERROR(BH26*BM26*BL26/BJ26/BK26,"")</f>
        <v/>
      </c>
      <c r="BE26" s="105">
        <f>IFERROR(MIN(BI26/BQ26/BP26/BO26/BH26,$BE$1),"")</f>
        <v/>
      </c>
      <c r="BF26" s="105">
        <f>IFERROR(BJ26*BO26*BP26/BK26,"")</f>
        <v/>
      </c>
      <c r="BG26" s="105">
        <f>IFERROR(1/BM26/BH26*BQ26,"")</f>
        <v/>
      </c>
      <c r="BH26" s="102">
        <f>MAX((CE26-Driver!$F$200)/(Driver!$G$200-Driver!$F$200)*$BI$1,1)</f>
        <v/>
      </c>
      <c r="BI26" s="102">
        <f>MAX($BI$1*(BY26-Driver!$F$201)/(Driver!$G$201-Driver!$F$201),1)</f>
        <v/>
      </c>
      <c r="BJ26" s="102">
        <f>(CB26-Driver!$F$206)/(Driver!$G$206-Driver!$F$206)*$BI$1</f>
        <v/>
      </c>
      <c r="BK26" s="102">
        <f>(CD26-Driver!$F$203)/(Driver!$G$203-Driver!$F$203)*$BI$1</f>
        <v/>
      </c>
      <c r="BL26" s="102">
        <f>MAX((CR26-Driver!$F$202)/(Driver!$G$202-Driver!$F$202)*$BI$1,1)</f>
        <v/>
      </c>
      <c r="BM26" s="102">
        <f>MAX((CH26-Driver!$F$204)/(Driver!$G$204-Driver!$F$204)*$BI$1,1)</f>
        <v/>
      </c>
      <c r="BN26" s="102">
        <f>(CI26-Driver!$F$205)/(Driver!$G$205-Driver!$F$205)*$BI$1</f>
        <v/>
      </c>
      <c r="BO26" s="102">
        <f>(CK26-Driver!$F$207)/(Driver!$G$207-Driver!$F$207)*$BI$1</f>
        <v/>
      </c>
      <c r="BP26" s="102">
        <f>(CM26-Driver!$F$208)/(Driver!$G$208-Driver!$F$208)*$BI$1</f>
        <v/>
      </c>
      <c r="BQ26" s="102">
        <f>(CL26-Driver!$F$209)/(Driver!$G$209-Driver!$F$209)*$BI$1</f>
        <v/>
      </c>
      <c r="BR26" s="40" t="inlineStr">
        <is>
          <t>21/22</t>
        </is>
      </c>
      <c r="BS26" s="10" t="inlineStr">
        <is>
          <t xml:space="preserve"> 4FRNT</t>
        </is>
      </c>
      <c r="BT26" s="11" t="inlineStr">
        <is>
          <t xml:space="preserve"> Switch</t>
        </is>
      </c>
      <c r="BU26" s="13" t="n">
        <v>184</v>
      </c>
      <c r="BV26" s="11" t="inlineStr">
        <is>
          <t xml:space="preserve"> Unisex</t>
        </is>
      </c>
      <c r="BW26" s="13" t="n">
        <v>184</v>
      </c>
      <c r="BX26" s="13" t="n">
        <v>182.1</v>
      </c>
      <c r="BY26" s="13" t="n">
        <v>146</v>
      </c>
      <c r="BZ26" s="13" t="n">
        <v>149</v>
      </c>
      <c r="CA26" s="13" t="n">
        <v>126</v>
      </c>
      <c r="CB26" s="13" t="n">
        <v>98</v>
      </c>
      <c r="CC26" s="13" t="n">
        <v>122</v>
      </c>
      <c r="CD26" s="13" t="n">
        <v>18.8</v>
      </c>
      <c r="CE26" s="13" t="n">
        <v>1760</v>
      </c>
      <c r="CF26" s="13" t="n">
        <v>1.12</v>
      </c>
      <c r="CG26" s="13" t="n">
        <v>1978</v>
      </c>
      <c r="CH26" s="13" t="n">
        <v>181</v>
      </c>
      <c r="CI26" s="13" t="n">
        <v>87</v>
      </c>
      <c r="CJ26" s="13" t="n">
        <v>40</v>
      </c>
      <c r="CK26" s="13" t="n">
        <v>202</v>
      </c>
      <c r="CL26" s="13" t="n">
        <v>30</v>
      </c>
      <c r="CM26" s="13" t="n">
        <v>155</v>
      </c>
      <c r="CN26" s="13" t="n">
        <v>0.746</v>
      </c>
      <c r="CO26" s="13" t="n">
        <v>176</v>
      </c>
      <c r="CP26" s="13" t="n">
        <v>154</v>
      </c>
      <c r="CQ26" s="13" t="n">
        <v>27</v>
      </c>
      <c r="CR26" s="13" t="n">
        <v>8</v>
      </c>
      <c r="CS26" s="13" t="n">
        <v>3.6</v>
      </c>
      <c r="CT26" s="11" t="inlineStr">
        <is>
          <t xml:space="preserve"> Resort Freeride</t>
        </is>
      </c>
      <c r="CU26" s="11" t="inlineStr">
        <is>
          <t xml:space="preserve"> Touring</t>
        </is>
      </c>
      <c r="CV26" s="13" t="n"/>
      <c r="CW26" s="13" t="n"/>
      <c r="CX26">
        <f>INDEX('Data_Price '!AG$2:AG$1266,MATCH(Data!$DN26,'Data_Price '!$AT$2:$AT$1266,0))</f>
        <v/>
      </c>
      <c r="CY26">
        <f>INDEX('Data_Price '!AH$2:AH$1266,MATCH(Data!$DN26,'Data_Price '!$AT$2:$AT$1266,0))</f>
        <v/>
      </c>
      <c r="CZ26">
        <f>INDEX('Data_Price '!AI$2:AI$1266,MATCH(Data!$DN26,'Data_Price '!$AT$2:$AT$1266,0))</f>
        <v/>
      </c>
      <c r="DA26">
        <f>INDEX('Data_Price '!AJ$2:AJ$1266,MATCH(Data!$DN26,'Data_Price '!$AT$2:$AT$1266,0))</f>
        <v/>
      </c>
      <c r="DB26">
        <f>INDEX('Data_Price '!AK$2:AK$1266,MATCH(Data!$DN26,'Data_Price '!$AT$2:$AT$1266,0))</f>
        <v/>
      </c>
      <c r="DC26">
        <f>INDEX('Data_Price '!AL$2:AL$1266,MATCH(Data!$DN26,'Data_Price '!$AT$2:$AT$1266,0))</f>
        <v/>
      </c>
      <c r="DD26">
        <f>INDEX('Data_Price '!AM$2:AM$1266,MATCH(Data!$DN26,'Data_Price '!$AT$2:$AT$1266,0))</f>
        <v/>
      </c>
      <c r="DE26">
        <f>INDEX('Data_Price '!AN$2:AN$1266,MATCH(Data!$DN26,'Data_Price '!$AT$2:$AT$1266,0))</f>
        <v/>
      </c>
      <c r="DF26">
        <f>INDEX('Data_Price '!AO$2:AO$1266,MATCH(Data!$DN26,'Data_Price '!$AT$2:$AT$1266,0))</f>
        <v/>
      </c>
      <c r="DG26">
        <f>INDEX('Data_Price '!AP$2:AP$1266,MATCH(Data!$DN26,'Data_Price '!$AT$2:$AT$1266,0))</f>
        <v/>
      </c>
      <c r="DH26">
        <f>INDEX('Data_Price '!AQ$2:AQ$1266,MATCH(Data!$DN26,'Data_Price '!$AT$2:$AT$1266,0))</f>
        <v/>
      </c>
      <c r="DI26">
        <f>INDEX('Data_Price '!AR$2:AR$1266,MATCH(Data!$DN26,'Data_Price '!$AT$2:$AT$1266,0))</f>
        <v/>
      </c>
      <c r="DJ26" s="138">
        <f>DA26</f>
        <v/>
      </c>
      <c r="DK26" s="138">
        <f>DE26</f>
        <v/>
      </c>
      <c r="DL26" s="138">
        <f>DI26</f>
        <v/>
      </c>
      <c r="DM26" s="303">
        <f>IF(LEFT(BT26,1)=" ",RIGHT(BT26,LEN(BT26)-1),BT26)</f>
        <v/>
      </c>
      <c r="DN26" s="138">
        <f>_xlfn.CONCAT(BS26,DM26,BU26,BV26)</f>
        <v/>
      </c>
      <c r="DO26" s="307" t="n"/>
    </row>
    <row r="27" ht="15.6" customHeight="1" s="184">
      <c r="B27" s="303">
        <f t="array" ref="B27">IF(OR(ISERROR(K27:P27)),FALSE,TRUE)</f>
        <v/>
      </c>
      <c r="C27" s="60">
        <f>OR(BR27=Driver!$G$50,Data!BR31=Driver!$H$50)</f>
        <v/>
      </c>
      <c r="D27" s="60">
        <f>OR(BV27=Driver!$G$51,BV27=Driver!$H$51)</f>
        <v/>
      </c>
      <c r="E27" s="60">
        <f>AND(BX27&gt;Driver!$F$54,BX27&lt;Driver!$G$54)</f>
        <v/>
      </c>
      <c r="F27" s="60">
        <f>CL27&gt;Driver!$F$56</f>
        <v/>
      </c>
      <c r="G27" s="60">
        <f>AND(CB27&gt;Driver!$F$55,CB27&lt;Driver!$G$55)</f>
        <v/>
      </c>
      <c r="H27" s="60">
        <f>AND(B27:G27)</f>
        <v/>
      </c>
      <c r="I27" s="60">
        <f>COUNTIFS($H$9:$H$1273,TRUE,$BT$9:$BT$1273,BT27)</f>
        <v/>
      </c>
      <c r="J27" s="60">
        <f t="array" ref="J27">NOT(OR(($H$9:$H$1273=TRUE)*($I$9:$I$1273&gt;0)*($BT$9:$BT$1273=BT27)*($K$9:$K$1273&gt;K27)))</f>
        <v/>
      </c>
      <c r="K27" s="108">
        <f>IFERROR(1-AVERAGE(X27:Y27),"")</f>
        <v/>
      </c>
      <c r="L27" s="108">
        <f>1-X27</f>
        <v/>
      </c>
      <c r="M27" s="108">
        <f>1-Y27</f>
        <v/>
      </c>
      <c r="N27" s="108">
        <f>1-Z27</f>
        <v/>
      </c>
      <c r="O27" s="108">
        <f>1-AA27</f>
        <v/>
      </c>
      <c r="P27" s="108">
        <f>1-AB27</f>
        <v/>
      </c>
      <c r="Q27" s="108" t="n"/>
      <c r="R27" s="108" t="n"/>
      <c r="S27" s="108">
        <f>1-AE27</f>
        <v/>
      </c>
      <c r="T27" s="108">
        <f>1-AF27</f>
        <v/>
      </c>
      <c r="U27" s="108">
        <f>1-AG27</f>
        <v/>
      </c>
      <c r="V27" s="108">
        <f>1-AH27</f>
        <v/>
      </c>
      <c r="W27" s="108">
        <f>1-AI27</f>
        <v/>
      </c>
      <c r="X27" s="108">
        <f>ABS(AJ27-AJ$1)</f>
        <v/>
      </c>
      <c r="Y27" s="108">
        <f>AVERAGE(Z27:AB27)</f>
        <v/>
      </c>
      <c r="Z27" s="108">
        <f>ABS(AL27-AL$1)</f>
        <v/>
      </c>
      <c r="AA27" s="108">
        <f>ABS(AM27-AM$1)</f>
        <v/>
      </c>
      <c r="AB27" s="108">
        <f>ABS(AN27-AN$1)</f>
        <v/>
      </c>
      <c r="AC27" s="108" t="n"/>
      <c r="AD27" s="108" t="n"/>
      <c r="AE27" s="108">
        <f>ABS(AQ$1-AQ27)</f>
        <v/>
      </c>
      <c r="AF27" s="108">
        <f>ABS(AR$1-AR27)</f>
        <v/>
      </c>
      <c r="AG27" s="108">
        <f>ABS(AS$1-AS27)</f>
        <v/>
      </c>
      <c r="AH27" s="108">
        <f>ABS(AT$1-AT27)</f>
        <v/>
      </c>
      <c r="AI27" s="108">
        <f>ABS(AU$1-AU27)</f>
        <v/>
      </c>
      <c r="AJ27" s="108">
        <f>(AV27-Driver!$K$179)/(Driver!$L$179-Driver!$K$179)</f>
        <v/>
      </c>
      <c r="AK27" s="108">
        <f>(AW27-Driver!$K$180)/(Driver!$L$180-Driver!$K$180)</f>
        <v/>
      </c>
      <c r="AL27" s="108">
        <f>(AX27-Driver!$K$181)/(Driver!$L$181-Driver!$K$181)</f>
        <v/>
      </c>
      <c r="AM27" s="108">
        <f>(AY27-Driver!$K$182)/(Driver!$L$182-Driver!$K$182)</f>
        <v/>
      </c>
      <c r="AN27" s="108">
        <f>(AZ27-Driver!$K$183)/(Driver!$L$183-Driver!$K$183)</f>
        <v/>
      </c>
      <c r="AO27" s="108" t="n"/>
      <c r="AP27" s="108" t="n"/>
      <c r="AQ27" s="108">
        <f>(BC27-Driver!$K$188)/(Driver!$L$188-Driver!$K$188)</f>
        <v/>
      </c>
      <c r="AR27" s="108">
        <f>MIN((BD27-Driver!$K$189)/(Driver!$L$189-Driver!$K$189),100%)</f>
        <v/>
      </c>
      <c r="AS27" s="108">
        <f>(BE27-Driver!$K$190)/(Driver!$L$190-Driver!$K$190)</f>
        <v/>
      </c>
      <c r="AT27" s="108">
        <f>(BF27-Driver!$K$191)/(Driver!$L$191-Driver!$K$191)</f>
        <v/>
      </c>
      <c r="AU27" s="108">
        <f>(BG27-Driver!$K$192)/(Driver!$L$192-Driver!$K$192)</f>
        <v/>
      </c>
      <c r="AV27" s="105">
        <f>IFERROR(BM27*BJ27^1/4,"")</f>
        <v/>
      </c>
      <c r="AW27" s="105">
        <f>IFERROR(SUM(AX27:AZ27),"")</f>
        <v/>
      </c>
      <c r="AX27" s="105">
        <f>IFERROR(BH27,"")</f>
        <v/>
      </c>
      <c r="AY27" s="105">
        <f>IFERROR(Driver!$K$19/Data!BH27/Data!BI27*Data!BK27*Data!BL27,"")</f>
        <v/>
      </c>
      <c r="AZ27" s="105">
        <f>IFERROR(BI27*BN27,"")</f>
        <v/>
      </c>
      <c r="BA27" s="105" t="n"/>
      <c r="BB27" s="105" t="n"/>
      <c r="BC27" s="105">
        <f>IFERROR(BI27*BN27*BK27/BJ27^(1/2),"")</f>
        <v/>
      </c>
      <c r="BD27" s="105">
        <f>IFERROR(BH27*BM27*BL27/BJ27/BK27,"")</f>
        <v/>
      </c>
      <c r="BE27" s="105">
        <f>IFERROR(MIN(BI27/BQ27/BP27/BO27/BH27,$BE$1),"")</f>
        <v/>
      </c>
      <c r="BF27" s="105">
        <f>IFERROR(BJ27*BO27*BP27/BK27,"")</f>
        <v/>
      </c>
      <c r="BG27" s="105">
        <f>IFERROR(1/BM27/BH27*BQ27,"")</f>
        <v/>
      </c>
      <c r="BH27" s="102">
        <f>MAX((CE27-Driver!$F$200)/(Driver!$G$200-Driver!$F$200)*$BI$1,1)</f>
        <v/>
      </c>
      <c r="BI27" s="102">
        <f>MAX($BI$1*(BY27-Driver!$F$201)/(Driver!$G$201-Driver!$F$201),1)</f>
        <v/>
      </c>
      <c r="BJ27" s="102">
        <f>(CB27-Driver!$F$206)/(Driver!$G$206-Driver!$F$206)*$BI$1</f>
        <v/>
      </c>
      <c r="BK27" s="102">
        <f>(CD27-Driver!$F$203)/(Driver!$G$203-Driver!$F$203)*$BI$1</f>
        <v/>
      </c>
      <c r="BL27" s="102">
        <f>MAX((CR27-Driver!$F$202)/(Driver!$G$202-Driver!$F$202)*$BI$1,1)</f>
        <v/>
      </c>
      <c r="BM27" s="102">
        <f>MAX((CH27-Driver!$F$204)/(Driver!$G$204-Driver!$F$204)*$BI$1,1)</f>
        <v/>
      </c>
      <c r="BN27" s="102">
        <f>(CI27-Driver!$F$205)/(Driver!$G$205-Driver!$F$205)*$BI$1</f>
        <v/>
      </c>
      <c r="BO27" s="102">
        <f>(CK27-Driver!$F$207)/(Driver!$G$207-Driver!$F$207)*$BI$1</f>
        <v/>
      </c>
      <c r="BP27" s="102">
        <f>(CM27-Driver!$F$208)/(Driver!$G$208-Driver!$F$208)*$BI$1</f>
        <v/>
      </c>
      <c r="BQ27" s="102">
        <f>(CL27-Driver!$F$209)/(Driver!$G$209-Driver!$F$209)*$BI$1</f>
        <v/>
      </c>
      <c r="BR27" s="40" t="inlineStr">
        <is>
          <t>21/22</t>
        </is>
      </c>
      <c r="BS27" s="10" t="inlineStr">
        <is>
          <t xml:space="preserve"> Armada</t>
        </is>
      </c>
      <c r="BT27" s="11" t="inlineStr">
        <is>
          <t>ARV 116 JJ UL</t>
        </is>
      </c>
      <c r="BU27" s="13" t="n">
        <v>192</v>
      </c>
      <c r="BV27" s="11" t="inlineStr">
        <is>
          <t xml:space="preserve"> Unisex</t>
        </is>
      </c>
      <c r="BW27" s="13" t="n">
        <v>192</v>
      </c>
      <c r="BX27" s="13" t="n">
        <v>188.2</v>
      </c>
      <c r="BY27" s="13" t="n">
        <v>121</v>
      </c>
      <c r="BZ27" s="13" t="n">
        <v>138</v>
      </c>
      <c r="CA27" s="13" t="n">
        <v>138</v>
      </c>
      <c r="CB27" s="13" t="n">
        <v>115</v>
      </c>
      <c r="CC27" s="13" t="n">
        <v>134</v>
      </c>
      <c r="CD27" s="13" t="n">
        <v>19.3</v>
      </c>
      <c r="CE27" s="13" t="n">
        <v>1874</v>
      </c>
      <c r="CF27" s="13" t="n">
        <v>1.21</v>
      </c>
      <c r="CG27" s="13" t="n">
        <v>2270</v>
      </c>
      <c r="CH27" s="13" t="n">
        <v>239</v>
      </c>
      <c r="CI27" s="13" t="n">
        <v>118</v>
      </c>
      <c r="CJ27" s="13" t="n">
        <v>62</v>
      </c>
      <c r="CK27" s="13" t="n">
        <v>359</v>
      </c>
      <c r="CL27" s="13" t="n">
        <v>52</v>
      </c>
      <c r="CM27" s="13" t="n">
        <v>318</v>
      </c>
      <c r="CN27" s="13" t="n">
        <v>0.839</v>
      </c>
      <c r="CO27" s="13" t="n">
        <v>270</v>
      </c>
      <c r="CP27" s="13" t="n">
        <v>234</v>
      </c>
      <c r="CQ27" s="13" t="n">
        <v>89</v>
      </c>
      <c r="CR27" s="13" t="n">
        <v>5</v>
      </c>
      <c r="CS27" s="13" t="n">
        <v>6.7</v>
      </c>
      <c r="CT27" s="11" t="inlineStr">
        <is>
          <t xml:space="preserve"> Freeski</t>
        </is>
      </c>
      <c r="CU27" s="11" t="inlineStr">
        <is>
          <t xml:space="preserve"> Powder</t>
        </is>
      </c>
      <c r="CV27" s="11" t="inlineStr">
        <is>
          <t xml:space="preserve"> Touring</t>
        </is>
      </c>
      <c r="CW27" s="13" t="n"/>
      <c r="CX27">
        <f>INDEX('Data_Price '!AG$2:AG$1266,MATCH(Data!$DN27,'Data_Price '!$AT$2:$AT$1266,0))</f>
        <v/>
      </c>
      <c r="CY27">
        <f>INDEX('Data_Price '!AH$2:AH$1266,MATCH(Data!$DN27,'Data_Price '!$AT$2:$AT$1266,0))</f>
        <v/>
      </c>
      <c r="CZ27">
        <f>INDEX('Data_Price '!AI$2:AI$1266,MATCH(Data!$DN27,'Data_Price '!$AT$2:$AT$1266,0))</f>
        <v/>
      </c>
      <c r="DA27">
        <f>INDEX('Data_Price '!AJ$2:AJ$1266,MATCH(Data!$DN27,'Data_Price '!$AT$2:$AT$1266,0))</f>
        <v/>
      </c>
      <c r="DB27">
        <f>INDEX('Data_Price '!AK$2:AK$1266,MATCH(Data!$DN27,'Data_Price '!$AT$2:$AT$1266,0))</f>
        <v/>
      </c>
      <c r="DC27">
        <f>INDEX('Data_Price '!AL$2:AL$1266,MATCH(Data!$DN27,'Data_Price '!$AT$2:$AT$1266,0))</f>
        <v/>
      </c>
      <c r="DD27">
        <f>INDEX('Data_Price '!AM$2:AM$1266,MATCH(Data!$DN27,'Data_Price '!$AT$2:$AT$1266,0))</f>
        <v/>
      </c>
      <c r="DE27">
        <f>INDEX('Data_Price '!AN$2:AN$1266,MATCH(Data!$DN27,'Data_Price '!$AT$2:$AT$1266,0))</f>
        <v/>
      </c>
      <c r="DF27">
        <f>INDEX('Data_Price '!AO$2:AO$1266,MATCH(Data!$DN27,'Data_Price '!$AT$2:$AT$1266,0))</f>
        <v/>
      </c>
      <c r="DG27">
        <f>INDEX('Data_Price '!AP$2:AP$1266,MATCH(Data!$DN27,'Data_Price '!$AT$2:$AT$1266,0))</f>
        <v/>
      </c>
      <c r="DH27">
        <f>INDEX('Data_Price '!AQ$2:AQ$1266,MATCH(Data!$DN27,'Data_Price '!$AT$2:$AT$1266,0))</f>
        <v/>
      </c>
      <c r="DI27">
        <f>INDEX('Data_Price '!AR$2:AR$1266,MATCH(Data!$DN27,'Data_Price '!$AT$2:$AT$1266,0))</f>
        <v/>
      </c>
      <c r="DJ27" s="138">
        <f>DA27</f>
        <v/>
      </c>
      <c r="DK27" s="138">
        <f>DE27</f>
        <v/>
      </c>
      <c r="DL27" s="138">
        <f>DI27</f>
        <v/>
      </c>
      <c r="DM27" s="303">
        <f>IF(LEFT(BT27,1)=" ",RIGHT(BT27,LEN(BT27)-1),BT27)</f>
        <v/>
      </c>
      <c r="DN27" s="138">
        <f>_xlfn.CONCAT(BS27,DM27,BU27,BV27)</f>
        <v/>
      </c>
      <c r="DO27" s="307" t="inlineStr">
        <is>
          <t>https://images.evo.com/imgp/250/198686/839649/armada-arv-116-jj-ul-skis-2022-.jpg</t>
        </is>
      </c>
    </row>
    <row r="28" ht="15.6" customHeight="1" s="184">
      <c r="B28" s="303">
        <f t="array" ref="B28">IF(OR(ISERROR(K28:P28)),FALSE,TRUE)</f>
        <v/>
      </c>
      <c r="C28" s="60">
        <f>OR(BR28=Driver!$G$50,Data!BR26=Driver!$H$50)</f>
        <v/>
      </c>
      <c r="D28" s="60">
        <f>OR(BV28=Driver!$G$51,BV28=Driver!$H$51)</f>
        <v/>
      </c>
      <c r="E28" s="60">
        <f>AND(BX28&gt;Driver!$F$54,BX28&lt;Driver!$G$54)</f>
        <v/>
      </c>
      <c r="F28" s="60">
        <f>CL28&gt;Driver!$F$56</f>
        <v/>
      </c>
      <c r="G28" s="60">
        <f>AND(CB28&gt;Driver!$F$55,CB28&lt;Driver!$G$55)</f>
        <v/>
      </c>
      <c r="H28" s="60">
        <f>AND(B28:G28)</f>
        <v/>
      </c>
      <c r="I28" s="60">
        <f>COUNTIFS($H$9:$H$1273,TRUE,$BT$9:$BT$1273,BT28)</f>
        <v/>
      </c>
      <c r="J28" s="60">
        <f t="array" ref="J28">NOT(OR(($H$9:$H$1273=TRUE)*($I$9:$I$1273&gt;0)*($BT$9:$BT$1273=BT28)*($K$9:$K$1273&gt;K28)))</f>
        <v/>
      </c>
      <c r="K28" s="332">
        <f>IFERROR(1-AVERAGE(X28:Y28),"")</f>
        <v/>
      </c>
      <c r="L28" s="108">
        <f>1-X28</f>
        <v/>
      </c>
      <c r="M28" s="108">
        <f>1-Y28</f>
        <v/>
      </c>
      <c r="N28" s="108">
        <f>1-Z28</f>
        <v/>
      </c>
      <c r="O28" s="108">
        <f>1-AA28</f>
        <v/>
      </c>
      <c r="P28" s="108">
        <f>1-AB28</f>
        <v/>
      </c>
      <c r="Q28" s="108" t="n"/>
      <c r="R28" s="108" t="n"/>
      <c r="S28" s="108">
        <f>1-AE28</f>
        <v/>
      </c>
      <c r="T28" s="108">
        <f>1-AF28</f>
        <v/>
      </c>
      <c r="U28" s="108">
        <f>1-AG28</f>
        <v/>
      </c>
      <c r="V28" s="108">
        <f>1-AH28</f>
        <v/>
      </c>
      <c r="W28" s="108">
        <f>1-AI28</f>
        <v/>
      </c>
      <c r="X28" s="108">
        <f>ABS(AJ28-AJ$1)</f>
        <v/>
      </c>
      <c r="Y28" s="108">
        <f>AVERAGE(Z28:AB28)</f>
        <v/>
      </c>
      <c r="Z28" s="108">
        <f>ABS(AL28-AL$1)</f>
        <v/>
      </c>
      <c r="AA28" s="108">
        <f>ABS(AM28-AM$1)</f>
        <v/>
      </c>
      <c r="AB28" s="108">
        <f>ABS(AN28-AN$1)</f>
        <v/>
      </c>
      <c r="AC28" s="108" t="n"/>
      <c r="AD28" s="108" t="n"/>
      <c r="AE28" s="108">
        <f>ABS(AQ$1-AQ28)</f>
        <v/>
      </c>
      <c r="AF28" s="108">
        <f>ABS(AR$1-AR28)</f>
        <v/>
      </c>
      <c r="AG28" s="108">
        <f>ABS(AS$1-AS28)</f>
        <v/>
      </c>
      <c r="AH28" s="108">
        <f>ABS(AT$1-AT28)</f>
        <v/>
      </c>
      <c r="AI28" s="108">
        <f>ABS(AU$1-AU28)</f>
        <v/>
      </c>
      <c r="AJ28" s="108">
        <f>(AV28-Driver!$K$179)/(Driver!$L$179-Driver!$K$179)</f>
        <v/>
      </c>
      <c r="AK28" s="108">
        <f>(AW28-Driver!$K$180)/(Driver!$L$180-Driver!$K$180)</f>
        <v/>
      </c>
      <c r="AL28" s="108">
        <f>(AX28-Driver!$K$181)/(Driver!$L$181-Driver!$K$181)</f>
        <v/>
      </c>
      <c r="AM28" s="108">
        <f>(AY28-Driver!$K$182)/(Driver!$L$182-Driver!$K$182)</f>
        <v/>
      </c>
      <c r="AN28" s="108">
        <f>(AZ28-Driver!$K$183)/(Driver!$L$183-Driver!$K$183)</f>
        <v/>
      </c>
      <c r="AO28" s="108" t="n"/>
      <c r="AP28" s="108" t="n"/>
      <c r="AQ28" s="108">
        <f>(BC28-Driver!$K$188)/(Driver!$L$188-Driver!$K$188)</f>
        <v/>
      </c>
      <c r="AR28" s="108">
        <f>MIN((BD28-Driver!$K$189)/(Driver!$L$189-Driver!$K$189),100%)</f>
        <v/>
      </c>
      <c r="AS28" s="108">
        <f>(BE28-Driver!$K$190)/(Driver!$L$190-Driver!$K$190)</f>
        <v/>
      </c>
      <c r="AT28" s="108">
        <f>(BF28-Driver!$K$191)/(Driver!$L$191-Driver!$K$191)</f>
        <v/>
      </c>
      <c r="AU28" s="108">
        <f>(BG28-Driver!$K$192)/(Driver!$L$192-Driver!$K$192)</f>
        <v/>
      </c>
      <c r="AV28" s="105">
        <f>IFERROR(BM28*BJ28^1/4,"")</f>
        <v/>
      </c>
      <c r="AW28" s="105">
        <f>IFERROR(SUM(AX28:AZ28),"")</f>
        <v/>
      </c>
      <c r="AX28" s="105">
        <f>IFERROR(BH28,"")</f>
        <v/>
      </c>
      <c r="AY28" s="105">
        <f>IFERROR(Driver!$K$19/Data!BH28/Data!BI28*Data!BK28*Data!BL28,"")</f>
        <v/>
      </c>
      <c r="AZ28" s="105">
        <f>IFERROR(BI28*BN28,"")</f>
        <v/>
      </c>
      <c r="BA28" s="105" t="n"/>
      <c r="BB28" s="105" t="n"/>
      <c r="BC28" s="105">
        <f>IFERROR(BI28*BN28*BK28/BJ28^(1/2),"")</f>
        <v/>
      </c>
      <c r="BD28" s="105">
        <f>IFERROR(BH28*BM28*BL28/BJ28/BK28,"")</f>
        <v/>
      </c>
      <c r="BE28" s="105">
        <f>IFERROR(MIN(BI28/BQ28/BP28/BO28/BH28,$BE$1),"")</f>
        <v/>
      </c>
      <c r="BF28" s="105">
        <f>IFERROR(BJ28*BO28*BP28/BK28,"")</f>
        <v/>
      </c>
      <c r="BG28" s="105">
        <f>IFERROR(1/BM28/BH28*BQ28,"")</f>
        <v/>
      </c>
      <c r="BH28" s="102">
        <f>MAX((CE28-Driver!$F$200)/(Driver!$G$200-Driver!$F$200)*$BI$1,1)</f>
        <v/>
      </c>
      <c r="BI28" s="102">
        <f>MAX($BI$1*(BY28-Driver!$F$201)/(Driver!$G$201-Driver!$F$201),1)</f>
        <v/>
      </c>
      <c r="BJ28" s="102">
        <f>(CB28-Driver!$F$206)/(Driver!$G$206-Driver!$F$206)*$BI$1</f>
        <v/>
      </c>
      <c r="BK28" s="102">
        <f>(CD28-Driver!$F$203)/(Driver!$G$203-Driver!$F$203)*$BI$1</f>
        <v/>
      </c>
      <c r="BL28" s="102">
        <f>MAX((CR28-Driver!$F$202)/(Driver!$G$202-Driver!$F$202)*$BI$1,1)</f>
        <v/>
      </c>
      <c r="BM28" s="102">
        <f>MAX((CH28-Driver!$F$204)/(Driver!$G$204-Driver!$F$204)*$BI$1,1)</f>
        <v/>
      </c>
      <c r="BN28" s="102">
        <f>(CI28-Driver!$F$205)/(Driver!$G$205-Driver!$F$205)*$BI$1</f>
        <v/>
      </c>
      <c r="BO28" s="102">
        <f>(CK28-Driver!$F$207)/(Driver!$G$207-Driver!$F$207)*$BI$1</f>
        <v/>
      </c>
      <c r="BP28" s="102">
        <f>(CM28-Driver!$F$208)/(Driver!$G$208-Driver!$F$208)*$BI$1</f>
        <v/>
      </c>
      <c r="BQ28" s="102">
        <f>(CL28-Driver!$F$209)/(Driver!$G$209-Driver!$F$209)*$BI$1</f>
        <v/>
      </c>
      <c r="BR28" s="40" t="inlineStr">
        <is>
          <t>21/22</t>
        </is>
      </c>
      <c r="BS28" s="10" t="inlineStr">
        <is>
          <t xml:space="preserve"> Armada</t>
        </is>
      </c>
      <c r="BT28" s="11" t="inlineStr">
        <is>
          <t>ARV 106</t>
        </is>
      </c>
      <c r="BU28" s="13" t="n">
        <v>180</v>
      </c>
      <c r="BV28" s="11" t="inlineStr">
        <is>
          <t xml:space="preserve"> Unisex</t>
        </is>
      </c>
      <c r="BW28" s="13" t="n">
        <v>180</v>
      </c>
      <c r="BX28" s="13" t="n">
        <v>177.9</v>
      </c>
      <c r="BY28" s="13" t="n">
        <v>125</v>
      </c>
      <c r="BZ28" s="13" t="n">
        <v>140</v>
      </c>
      <c r="CA28" s="13" t="n">
        <v>132</v>
      </c>
      <c r="CB28" s="13" t="n">
        <v>105</v>
      </c>
      <c r="CC28" s="13" t="n">
        <v>121</v>
      </c>
      <c r="CD28" s="13" t="n">
        <v>20.7</v>
      </c>
      <c r="CE28" s="13" t="n">
        <v>2142</v>
      </c>
      <c r="CF28" s="13" t="n">
        <v>0.93</v>
      </c>
      <c r="CG28" s="13" t="n">
        <v>1983</v>
      </c>
      <c r="CH28" s="13" t="n">
        <v>242</v>
      </c>
      <c r="CI28" s="13" t="n">
        <v>119</v>
      </c>
      <c r="CJ28" s="13" t="n">
        <v>53</v>
      </c>
      <c r="CK28" s="13" t="n">
        <v>285</v>
      </c>
      <c r="CL28" s="13" t="n">
        <v>46</v>
      </c>
      <c r="CM28" s="13" t="n">
        <v>242</v>
      </c>
      <c r="CN28" s="13" t="n">
        <v>0.852</v>
      </c>
      <c r="CO28" s="13" t="n">
        <v>177</v>
      </c>
      <c r="CP28" s="13" t="n">
        <v>200</v>
      </c>
      <c r="CQ28" s="13" t="n">
        <v>108</v>
      </c>
      <c r="CR28" s="13" t="n">
        <v>8</v>
      </c>
      <c r="CS28" s="13" t="n">
        <v>5.4</v>
      </c>
      <c r="CT28" s="11" t="inlineStr">
        <is>
          <t xml:space="preserve"> Resort Freeride</t>
        </is>
      </c>
      <c r="CU28" s="11" t="inlineStr">
        <is>
          <t xml:space="preserve"> Freeski</t>
        </is>
      </c>
      <c r="CV28" s="11" t="inlineStr">
        <is>
          <t xml:space="preserve"> Powder</t>
        </is>
      </c>
      <c r="CW28" s="13" t="n"/>
      <c r="CX28">
        <f>INDEX('Data_Price '!AG$2:AG$1266,MATCH(Data!$DN28,'Data_Price '!$AT$2:$AT$1266,0))</f>
        <v/>
      </c>
      <c r="CY28">
        <f>INDEX('Data_Price '!AH$2:AH$1266,MATCH(Data!$DN28,'Data_Price '!$AT$2:$AT$1266,0))</f>
        <v/>
      </c>
      <c r="CZ28">
        <f>INDEX('Data_Price '!AI$2:AI$1266,MATCH(Data!$DN28,'Data_Price '!$AT$2:$AT$1266,0))</f>
        <v/>
      </c>
      <c r="DA28">
        <f>INDEX('Data_Price '!AJ$2:AJ$1266,MATCH(Data!$DN28,'Data_Price '!$AT$2:$AT$1266,0))</f>
        <v/>
      </c>
      <c r="DB28">
        <f>INDEX('Data_Price '!AK$2:AK$1266,MATCH(Data!$DN28,'Data_Price '!$AT$2:$AT$1266,0))</f>
        <v/>
      </c>
      <c r="DC28">
        <f>INDEX('Data_Price '!AL$2:AL$1266,MATCH(Data!$DN28,'Data_Price '!$AT$2:$AT$1266,0))</f>
        <v/>
      </c>
      <c r="DD28">
        <f>INDEX('Data_Price '!AM$2:AM$1266,MATCH(Data!$DN28,'Data_Price '!$AT$2:$AT$1266,0))</f>
        <v/>
      </c>
      <c r="DE28">
        <f>INDEX('Data_Price '!AN$2:AN$1266,MATCH(Data!$DN28,'Data_Price '!$AT$2:$AT$1266,0))</f>
        <v/>
      </c>
      <c r="DF28">
        <f>INDEX('Data_Price '!AO$2:AO$1266,MATCH(Data!$DN28,'Data_Price '!$AT$2:$AT$1266,0))</f>
        <v/>
      </c>
      <c r="DG28">
        <f>INDEX('Data_Price '!AP$2:AP$1266,MATCH(Data!$DN28,'Data_Price '!$AT$2:$AT$1266,0))</f>
        <v/>
      </c>
      <c r="DH28">
        <f>INDEX('Data_Price '!AQ$2:AQ$1266,MATCH(Data!$DN28,'Data_Price '!$AT$2:$AT$1266,0))</f>
        <v/>
      </c>
      <c r="DI28">
        <f>INDEX('Data_Price '!AR$2:AR$1266,MATCH(Data!$DN28,'Data_Price '!$AT$2:$AT$1266,0))</f>
        <v/>
      </c>
      <c r="DJ28" s="138">
        <f>DA28</f>
        <v/>
      </c>
      <c r="DK28" s="138">
        <f>DE28</f>
        <v/>
      </c>
      <c r="DL28" s="138">
        <f>DI28</f>
        <v/>
      </c>
      <c r="DM28" s="303">
        <f>IF(LEFT(BT28,1)=" ",RIGHT(BT28,LEN(BT28)-1),BT28)</f>
        <v/>
      </c>
      <c r="DN28" s="138">
        <f>_xlfn.CONCAT(BS28,DM28,BU28,BV28)</f>
        <v/>
      </c>
      <c r="DO28" s="307" t="inlineStr">
        <is>
          <t>https://images.evo.com/imgp/250/198701/839671/armada-arv-106-skis-2022-.jpg</t>
        </is>
      </c>
    </row>
    <row r="29" ht="15.6" customHeight="1" s="184">
      <c r="B29" s="303">
        <f t="array" ref="B29">IF(OR(ISERROR(K29:P29)),FALSE,TRUE)</f>
        <v/>
      </c>
      <c r="C29" s="60">
        <f>OR(BR29=Driver!$G$50,Data!BR22=Driver!$H$50)</f>
        <v/>
      </c>
      <c r="D29" s="60">
        <f>OR(BV29=Driver!$G$51,BV29=Driver!$H$51)</f>
        <v/>
      </c>
      <c r="E29" s="60">
        <f>AND(BX29&gt;Driver!$F$54,BX29&lt;Driver!$G$54)</f>
        <v/>
      </c>
      <c r="F29" s="60">
        <f>CL29&gt;Driver!$F$56</f>
        <v/>
      </c>
      <c r="G29" s="60">
        <f>AND(CB29&gt;Driver!$F$55,CB29&lt;Driver!$G$55)</f>
        <v/>
      </c>
      <c r="H29" s="60">
        <f>AND(B29:G29)</f>
        <v/>
      </c>
      <c r="I29" s="60">
        <f>COUNTIFS($H$9:$H$1273,TRUE,$BT$9:$BT$1273,BT29)</f>
        <v/>
      </c>
      <c r="J29" s="60">
        <f t="array" ref="J29">NOT(OR(($H$9:$H$1273=TRUE)*($I$9:$I$1273&gt;0)*($BT$9:$BT$1273=BT29)*($K$9:$K$1273&gt;K29)))</f>
        <v/>
      </c>
      <c r="K29" s="108">
        <f>IFERROR(1-AVERAGE(X29:Y29),"")</f>
        <v/>
      </c>
      <c r="L29" s="108">
        <f>1-X29</f>
        <v/>
      </c>
      <c r="M29" s="108">
        <f>1-Y29</f>
        <v/>
      </c>
      <c r="N29" s="108">
        <f>1-Z29</f>
        <v/>
      </c>
      <c r="O29" s="108">
        <f>1-AA29</f>
        <v/>
      </c>
      <c r="P29" s="108">
        <f>1-AB29</f>
        <v/>
      </c>
      <c r="Q29" s="108" t="n"/>
      <c r="R29" s="108" t="n"/>
      <c r="S29" s="108">
        <f>1-AE29</f>
        <v/>
      </c>
      <c r="T29" s="108">
        <f>1-AF29</f>
        <v/>
      </c>
      <c r="U29" s="108">
        <f>1-AG29</f>
        <v/>
      </c>
      <c r="V29" s="108">
        <f>1-AH29</f>
        <v/>
      </c>
      <c r="W29" s="108">
        <f>1-AI29</f>
        <v/>
      </c>
      <c r="X29" s="108">
        <f>ABS(AJ29-AJ$1)</f>
        <v/>
      </c>
      <c r="Y29" s="108">
        <f>AVERAGE(Z29:AB29)</f>
        <v/>
      </c>
      <c r="Z29" s="108">
        <f>ABS(AL29-AL$1)</f>
        <v/>
      </c>
      <c r="AA29" s="108">
        <f>ABS(AM29-AM$1)</f>
        <v/>
      </c>
      <c r="AB29" s="108">
        <f>ABS(AN29-AN$1)</f>
        <v/>
      </c>
      <c r="AC29" s="108" t="n"/>
      <c r="AD29" s="108" t="n"/>
      <c r="AE29" s="108">
        <f>ABS(AQ$1-AQ29)</f>
        <v/>
      </c>
      <c r="AF29" s="108">
        <f>ABS(AR$1-AR29)</f>
        <v/>
      </c>
      <c r="AG29" s="108">
        <f>ABS(AS$1-AS29)</f>
        <v/>
      </c>
      <c r="AH29" s="108">
        <f>ABS(AT$1-AT29)</f>
        <v/>
      </c>
      <c r="AI29" s="108">
        <f>ABS(AU$1-AU29)</f>
        <v/>
      </c>
      <c r="AJ29" s="108">
        <f>(AV29-Driver!$K$179)/(Driver!$L$179-Driver!$K$179)</f>
        <v/>
      </c>
      <c r="AK29" s="108">
        <f>(AW29-Driver!$K$180)/(Driver!$L$180-Driver!$K$180)</f>
        <v/>
      </c>
      <c r="AL29" s="108">
        <f>(AX29-Driver!$K$181)/(Driver!$L$181-Driver!$K$181)</f>
        <v/>
      </c>
      <c r="AM29" s="108">
        <f>(AY29-Driver!$K$182)/(Driver!$L$182-Driver!$K$182)</f>
        <v/>
      </c>
      <c r="AN29" s="108">
        <f>(AZ29-Driver!$K$183)/(Driver!$L$183-Driver!$K$183)</f>
        <v/>
      </c>
      <c r="AO29" s="108" t="n"/>
      <c r="AP29" s="108" t="n"/>
      <c r="AQ29" s="108">
        <f>(BC29-Driver!$K$188)/(Driver!$L$188-Driver!$K$188)</f>
        <v/>
      </c>
      <c r="AR29" s="108">
        <f>MIN((BD29-Driver!$K$189)/(Driver!$L$189-Driver!$K$189),100%)</f>
        <v/>
      </c>
      <c r="AS29" s="108">
        <f>(BE29-Driver!$K$190)/(Driver!$L$190-Driver!$K$190)</f>
        <v/>
      </c>
      <c r="AT29" s="108">
        <f>(BF29-Driver!$K$191)/(Driver!$L$191-Driver!$K$191)</f>
        <v/>
      </c>
      <c r="AU29" s="108">
        <f>(BG29-Driver!$K$192)/(Driver!$L$192-Driver!$K$192)</f>
        <v/>
      </c>
      <c r="AV29" s="105">
        <f>IFERROR(BM29*BJ29^1/4,"")</f>
        <v/>
      </c>
      <c r="AW29" s="105">
        <f>IFERROR(SUM(AX29:AZ29),"")</f>
        <v/>
      </c>
      <c r="AX29" s="105">
        <f>IFERROR(BH29,"")</f>
        <v/>
      </c>
      <c r="AY29" s="105">
        <f>IFERROR(Driver!$K$19/Data!BH29/Data!BI29*Data!BK29*Data!BL29,"")</f>
        <v/>
      </c>
      <c r="AZ29" s="105">
        <f>IFERROR(BI29*BN29,"")</f>
        <v/>
      </c>
      <c r="BA29" s="105" t="n"/>
      <c r="BB29" s="105" t="n"/>
      <c r="BC29" s="105">
        <f>IFERROR(BI29*BN29*BK29/BJ29^(1/2),"")</f>
        <v/>
      </c>
      <c r="BD29" s="105">
        <f>IFERROR(BH29*BM29*BL29/BJ29/BK29,"")</f>
        <v/>
      </c>
      <c r="BE29" s="105">
        <f>IFERROR(MIN(BI29/BQ29/BP29/BO29/BH29,$BE$1),"")</f>
        <v/>
      </c>
      <c r="BF29" s="105">
        <f>IFERROR(BJ29*BO29*BP29/BK29,"")</f>
        <v/>
      </c>
      <c r="BG29" s="105">
        <f>IFERROR(1/BM29/BH29*BQ29,"")</f>
        <v/>
      </c>
      <c r="BH29" s="102">
        <f>MAX((CE29-Driver!$F$200)/(Driver!$G$200-Driver!$F$200)*$BI$1,1)</f>
        <v/>
      </c>
      <c r="BI29" s="102">
        <f>MAX($BI$1*(BY29-Driver!$F$201)/(Driver!$G$201-Driver!$F$201),1)</f>
        <v/>
      </c>
      <c r="BJ29" s="102">
        <f>(CB29-Driver!$F$206)/(Driver!$G$206-Driver!$F$206)*$BI$1</f>
        <v/>
      </c>
      <c r="BK29" s="102">
        <f>(CD29-Driver!$F$203)/(Driver!$G$203-Driver!$F$203)*$BI$1</f>
        <v/>
      </c>
      <c r="BL29" s="102">
        <f>MAX((CR29-Driver!$F$202)/(Driver!$G$202-Driver!$F$202)*$BI$1,1)</f>
        <v/>
      </c>
      <c r="BM29" s="102">
        <f>MAX((CH29-Driver!$F$204)/(Driver!$G$204-Driver!$F$204)*$BI$1,1)</f>
        <v/>
      </c>
      <c r="BN29" s="102">
        <f>(CI29-Driver!$F$205)/(Driver!$G$205-Driver!$F$205)*$BI$1</f>
        <v/>
      </c>
      <c r="BO29" s="102">
        <f>(CK29-Driver!$F$207)/(Driver!$G$207-Driver!$F$207)*$BI$1</f>
        <v/>
      </c>
      <c r="BP29" s="102">
        <f>(CM29-Driver!$F$208)/(Driver!$G$208-Driver!$F$208)*$BI$1</f>
        <v/>
      </c>
      <c r="BQ29" s="102">
        <f>(CL29-Driver!$F$209)/(Driver!$G$209-Driver!$F$209)*$BI$1</f>
        <v/>
      </c>
      <c r="BR29" s="40" t="inlineStr">
        <is>
          <t>21/22</t>
        </is>
      </c>
      <c r="BS29" s="10" t="inlineStr">
        <is>
          <t xml:space="preserve"> 4FRNT</t>
        </is>
      </c>
      <c r="BT29" s="11" t="inlineStr">
        <is>
          <t xml:space="preserve"> Raven</t>
        </is>
      </c>
      <c r="BU29" s="13" t="n">
        <v>184</v>
      </c>
      <c r="BV29" s="11" t="inlineStr">
        <is>
          <t xml:space="preserve"> Unisex</t>
        </is>
      </c>
      <c r="BW29" s="13" t="n">
        <v>184</v>
      </c>
      <c r="BX29" s="13" t="n">
        <v>182.6</v>
      </c>
      <c r="BY29" s="13" t="n">
        <v>0</v>
      </c>
      <c r="BZ29" s="13" t="n">
        <v>130</v>
      </c>
      <c r="CA29" s="13" t="n">
        <v>121</v>
      </c>
      <c r="CB29" s="13" t="n">
        <v>103</v>
      </c>
      <c r="CC29" s="13" t="n">
        <v>111</v>
      </c>
      <c r="CD29" s="13" t="n">
        <v>28.4</v>
      </c>
      <c r="CE29" s="13" t="n">
        <v>1810</v>
      </c>
      <c r="CF29" s="13" t="n">
        <v>1.09</v>
      </c>
      <c r="CG29" s="13" t="n">
        <v>1969</v>
      </c>
      <c r="CH29" s="13" t="n">
        <v>221</v>
      </c>
      <c r="CI29" s="13" t="n">
        <v>96</v>
      </c>
      <c r="CJ29" s="13" t="n">
        <v>67</v>
      </c>
      <c r="CK29" s="13" t="n">
        <v>972</v>
      </c>
      <c r="CL29" s="13" t="n">
        <v>26</v>
      </c>
      <c r="CM29" s="13" t="n">
        <v>854</v>
      </c>
      <c r="CN29" s="13" t="n">
        <v>0.394</v>
      </c>
      <c r="CO29" s="13" t="n">
        <v>216</v>
      </c>
      <c r="CP29" s="13" t="n">
        <v>309</v>
      </c>
      <c r="CQ29" s="13" t="n">
        <v>756</v>
      </c>
      <c r="CR29" s="13" t="n">
        <v>-7</v>
      </c>
      <c r="CS29" s="13" t="n">
        <v>5.9</v>
      </c>
      <c r="CT29" s="11" t="inlineStr">
        <is>
          <t xml:space="preserve"> Resort Freeride</t>
        </is>
      </c>
      <c r="CU29" s="11" t="inlineStr">
        <is>
          <t xml:space="preserve"> Powder</t>
        </is>
      </c>
      <c r="CV29" s="11" t="inlineStr">
        <is>
          <t xml:space="preserve"> Big Mountain</t>
        </is>
      </c>
      <c r="CW29" s="11" t="inlineStr">
        <is>
          <t xml:space="preserve"> Touring</t>
        </is>
      </c>
      <c r="CX29">
        <f>INDEX('Data_Price '!AG$2:AG$1266,MATCH(Data!$DN29,'Data_Price '!$AT$2:$AT$1266,0))</f>
        <v/>
      </c>
      <c r="CY29">
        <f>INDEX('Data_Price '!AH$2:AH$1266,MATCH(Data!$DN29,'Data_Price '!$AT$2:$AT$1266,0))</f>
        <v/>
      </c>
      <c r="CZ29">
        <f>INDEX('Data_Price '!AI$2:AI$1266,MATCH(Data!$DN29,'Data_Price '!$AT$2:$AT$1266,0))</f>
        <v/>
      </c>
      <c r="DA29">
        <f>INDEX('Data_Price '!AJ$2:AJ$1266,MATCH(Data!$DN29,'Data_Price '!$AT$2:$AT$1266,0))</f>
        <v/>
      </c>
      <c r="DB29">
        <f>INDEX('Data_Price '!AK$2:AK$1266,MATCH(Data!$DN29,'Data_Price '!$AT$2:$AT$1266,0))</f>
        <v/>
      </c>
      <c r="DC29">
        <f>INDEX('Data_Price '!AL$2:AL$1266,MATCH(Data!$DN29,'Data_Price '!$AT$2:$AT$1266,0))</f>
        <v/>
      </c>
      <c r="DD29">
        <f>INDEX('Data_Price '!AM$2:AM$1266,MATCH(Data!$DN29,'Data_Price '!$AT$2:$AT$1266,0))</f>
        <v/>
      </c>
      <c r="DE29">
        <f>INDEX('Data_Price '!AN$2:AN$1266,MATCH(Data!$DN29,'Data_Price '!$AT$2:$AT$1266,0))</f>
        <v/>
      </c>
      <c r="DF29">
        <f>INDEX('Data_Price '!AO$2:AO$1266,MATCH(Data!$DN29,'Data_Price '!$AT$2:$AT$1266,0))</f>
        <v/>
      </c>
      <c r="DG29">
        <f>INDEX('Data_Price '!AP$2:AP$1266,MATCH(Data!$DN29,'Data_Price '!$AT$2:$AT$1266,0))</f>
        <v/>
      </c>
      <c r="DH29">
        <f>INDEX('Data_Price '!AQ$2:AQ$1266,MATCH(Data!$DN29,'Data_Price '!$AT$2:$AT$1266,0))</f>
        <v/>
      </c>
      <c r="DI29">
        <f>INDEX('Data_Price '!AR$2:AR$1266,MATCH(Data!$DN29,'Data_Price '!$AT$2:$AT$1266,0))</f>
        <v/>
      </c>
      <c r="DJ29" s="138">
        <f>DA29</f>
        <v/>
      </c>
      <c r="DK29" s="138">
        <f>DE29</f>
        <v/>
      </c>
      <c r="DL29" s="138">
        <f>DI29</f>
        <v/>
      </c>
      <c r="DM29" s="303">
        <f>IF(LEFT(BT29,1)=" ",RIGHT(BT29,LEN(BT29)-1),BT29)</f>
        <v/>
      </c>
      <c r="DN29" s="138">
        <f>_xlfn.CONCAT(BS29,DM29,BU29,BV29)</f>
        <v/>
      </c>
      <c r="DO29" s="307" t="n"/>
    </row>
    <row r="30" ht="15.6" customHeight="1" s="184">
      <c r="B30" s="303">
        <f t="array" ref="B30">IF(OR(ISERROR(K30:P30)),FALSE,TRUE)</f>
        <v/>
      </c>
      <c r="C30" s="60">
        <f>OR(BR30=Driver!$G$50,Data!BR34=Driver!$H$50)</f>
        <v/>
      </c>
      <c r="D30" s="60">
        <f>OR(BV30=Driver!$G$51,BV30=Driver!$H$51)</f>
        <v/>
      </c>
      <c r="E30" s="60">
        <f>AND(BX30&gt;Driver!$F$54,BX30&lt;Driver!$G$54)</f>
        <v/>
      </c>
      <c r="F30" s="60">
        <f>CL30&gt;Driver!$F$56</f>
        <v/>
      </c>
      <c r="G30" s="60">
        <f>AND(CB30&gt;Driver!$F$55,CB30&lt;Driver!$G$55)</f>
        <v/>
      </c>
      <c r="H30" s="60">
        <f>AND(B30:G30)</f>
        <v/>
      </c>
      <c r="I30" s="60">
        <f>COUNTIFS($H$9:$H$1273,TRUE,$BT$9:$BT$1273,BT30)</f>
        <v/>
      </c>
      <c r="J30" s="60">
        <f t="array" ref="J30">NOT(OR(($H$9:$H$1273=TRUE)*($I$9:$I$1273&gt;0)*($BT$9:$BT$1273=BT30)*($K$9:$K$1273&gt;K30)))</f>
        <v/>
      </c>
      <c r="K30" s="108">
        <f>IFERROR(1-AVERAGE(X30:Y30),"")</f>
        <v/>
      </c>
      <c r="L30" s="108">
        <f>1-X30</f>
        <v/>
      </c>
      <c r="M30" s="108">
        <f>1-Y30</f>
        <v/>
      </c>
      <c r="N30" s="108">
        <f>1-Z30</f>
        <v/>
      </c>
      <c r="O30" s="108">
        <f>1-AA30</f>
        <v/>
      </c>
      <c r="P30" s="108">
        <f>1-AB30</f>
        <v/>
      </c>
      <c r="Q30" s="108" t="n"/>
      <c r="R30" s="108" t="n"/>
      <c r="S30" s="108">
        <f>1-AE30</f>
        <v/>
      </c>
      <c r="T30" s="108">
        <f>1-AF30</f>
        <v/>
      </c>
      <c r="U30" s="108">
        <f>1-AG30</f>
        <v/>
      </c>
      <c r="V30" s="108">
        <f>1-AH30</f>
        <v/>
      </c>
      <c r="W30" s="108">
        <f>1-AI30</f>
        <v/>
      </c>
      <c r="X30" s="108">
        <f>ABS(AJ30-AJ$1)</f>
        <v/>
      </c>
      <c r="Y30" s="108">
        <f>AVERAGE(Z30:AB30)</f>
        <v/>
      </c>
      <c r="Z30" s="108">
        <f>ABS(AL30-AL$1)</f>
        <v/>
      </c>
      <c r="AA30" s="108">
        <f>ABS(AM30-AM$1)</f>
        <v/>
      </c>
      <c r="AB30" s="108">
        <f>ABS(AN30-AN$1)</f>
        <v/>
      </c>
      <c r="AC30" s="108" t="n"/>
      <c r="AD30" s="108" t="n"/>
      <c r="AE30" s="108">
        <f>ABS(AQ$1-AQ30)</f>
        <v/>
      </c>
      <c r="AF30" s="108">
        <f>ABS(AR$1-AR30)</f>
        <v/>
      </c>
      <c r="AG30" s="108">
        <f>ABS(AS$1-AS30)</f>
        <v/>
      </c>
      <c r="AH30" s="108">
        <f>ABS(AT$1-AT30)</f>
        <v/>
      </c>
      <c r="AI30" s="108">
        <f>ABS(AU$1-AU30)</f>
        <v/>
      </c>
      <c r="AJ30" s="108">
        <f>(AV30-Driver!$K$179)/(Driver!$L$179-Driver!$K$179)</f>
        <v/>
      </c>
      <c r="AK30" s="108">
        <f>(AW30-Driver!$K$180)/(Driver!$L$180-Driver!$K$180)</f>
        <v/>
      </c>
      <c r="AL30" s="108">
        <f>(AX30-Driver!$K$181)/(Driver!$L$181-Driver!$K$181)</f>
        <v/>
      </c>
      <c r="AM30" s="108">
        <f>(AY30-Driver!$K$182)/(Driver!$L$182-Driver!$K$182)</f>
        <v/>
      </c>
      <c r="AN30" s="108">
        <f>(AZ30-Driver!$K$183)/(Driver!$L$183-Driver!$K$183)</f>
        <v/>
      </c>
      <c r="AO30" s="108" t="n"/>
      <c r="AP30" s="108" t="n"/>
      <c r="AQ30" s="108">
        <f>(BC30-Driver!$K$188)/(Driver!$L$188-Driver!$K$188)</f>
        <v/>
      </c>
      <c r="AR30" s="108">
        <f>MIN((BD30-Driver!$K$189)/(Driver!$L$189-Driver!$K$189),100%)</f>
        <v/>
      </c>
      <c r="AS30" s="108">
        <f>(BE30-Driver!$K$190)/(Driver!$L$190-Driver!$K$190)</f>
        <v/>
      </c>
      <c r="AT30" s="108">
        <f>(BF30-Driver!$K$191)/(Driver!$L$191-Driver!$K$191)</f>
        <v/>
      </c>
      <c r="AU30" s="108">
        <f>(BG30-Driver!$K$192)/(Driver!$L$192-Driver!$K$192)</f>
        <v/>
      </c>
      <c r="AV30" s="105">
        <f>IFERROR(BM30*BJ30^1/4,"")</f>
        <v/>
      </c>
      <c r="AW30" s="105">
        <f>IFERROR(SUM(AX30:AZ30),"")</f>
        <v/>
      </c>
      <c r="AX30" s="105">
        <f>IFERROR(BH30,"")</f>
        <v/>
      </c>
      <c r="AY30" s="105">
        <f>IFERROR(Driver!$K$19/Data!BH30/Data!BI30*Data!BK30*Data!BL30,"")</f>
        <v/>
      </c>
      <c r="AZ30" s="105">
        <f>IFERROR(BI30*BN30,"")</f>
        <v/>
      </c>
      <c r="BA30" s="105" t="n"/>
      <c r="BB30" s="105" t="n"/>
      <c r="BC30" s="105">
        <f>IFERROR(BI30*BN30*BK30/BJ30^(1/2),"")</f>
        <v/>
      </c>
      <c r="BD30" s="105">
        <f>IFERROR(BH30*BM30*BL30/BJ30/BK30,"")</f>
        <v/>
      </c>
      <c r="BE30" s="105">
        <f>IFERROR(MIN(BI30/BQ30/BP30/BO30/BH30,$BE$1),"")</f>
        <v/>
      </c>
      <c r="BF30" s="105">
        <f>IFERROR(BJ30*BO30*BP30/BK30,"")</f>
        <v/>
      </c>
      <c r="BG30" s="105">
        <f>IFERROR(1/BM30/BH30*BQ30,"")</f>
        <v/>
      </c>
      <c r="BH30" s="102">
        <f>MAX((CE30-Driver!$F$200)/(Driver!$G$200-Driver!$F$200)*$BI$1,1)</f>
        <v/>
      </c>
      <c r="BI30" s="102">
        <f>MAX($BI$1*(BY30-Driver!$F$201)/(Driver!$G$201-Driver!$F$201),1)</f>
        <v/>
      </c>
      <c r="BJ30" s="102">
        <f>(CB30-Driver!$F$206)/(Driver!$G$206-Driver!$F$206)*$BI$1</f>
        <v/>
      </c>
      <c r="BK30" s="102">
        <f>(CD30-Driver!$F$203)/(Driver!$G$203-Driver!$F$203)*$BI$1</f>
        <v/>
      </c>
      <c r="BL30" s="102">
        <f>MAX((CR30-Driver!$F$202)/(Driver!$G$202-Driver!$F$202)*$BI$1,1)</f>
        <v/>
      </c>
      <c r="BM30" s="102">
        <f>MAX((CH30-Driver!$F$204)/(Driver!$G$204-Driver!$F$204)*$BI$1,1)</f>
        <v/>
      </c>
      <c r="BN30" s="102">
        <f>(CI30-Driver!$F$205)/(Driver!$G$205-Driver!$F$205)*$BI$1</f>
        <v/>
      </c>
      <c r="BO30" s="102">
        <f>(CK30-Driver!$F$207)/(Driver!$G$207-Driver!$F$207)*$BI$1</f>
        <v/>
      </c>
      <c r="BP30" s="102">
        <f>(CM30-Driver!$F$208)/(Driver!$G$208-Driver!$F$208)*$BI$1</f>
        <v/>
      </c>
      <c r="BQ30" s="102">
        <f>(CL30-Driver!$F$209)/(Driver!$G$209-Driver!$F$209)*$BI$1</f>
        <v/>
      </c>
      <c r="BR30" s="40" t="inlineStr">
        <is>
          <t>21/22</t>
        </is>
      </c>
      <c r="BS30" s="10" t="inlineStr">
        <is>
          <t xml:space="preserve"> Armada</t>
        </is>
      </c>
      <c r="BT30" s="11" t="inlineStr">
        <is>
          <t>ARV 84</t>
        </is>
      </c>
      <c r="BU30" s="13" t="n">
        <v>157</v>
      </c>
      <c r="BV30" s="11" t="inlineStr">
        <is>
          <t xml:space="preserve"> Unisex</t>
        </is>
      </c>
      <c r="BW30" s="13" t="n">
        <v>157</v>
      </c>
      <c r="BX30" s="13" t="n">
        <v>155.4</v>
      </c>
      <c r="BY30" s="13" t="n">
        <v>111</v>
      </c>
      <c r="BZ30" s="13" t="n">
        <v>128</v>
      </c>
      <c r="CA30" s="13" t="n">
        <v>116</v>
      </c>
      <c r="CB30" s="13" t="n">
        <v>84</v>
      </c>
      <c r="CC30" s="13" t="n">
        <v>108</v>
      </c>
      <c r="CD30" s="13" t="n">
        <v>13.3</v>
      </c>
      <c r="CE30" s="13" t="n">
        <v>1533</v>
      </c>
      <c r="CF30" s="13" t="n">
        <v>0.96</v>
      </c>
      <c r="CG30" s="13" t="n">
        <v>1479</v>
      </c>
      <c r="CH30" s="13" t="n">
        <v>130</v>
      </c>
      <c r="CI30" s="13" t="n">
        <v>47</v>
      </c>
      <c r="CJ30" s="13" t="n">
        <v>46</v>
      </c>
      <c r="CK30" s="13" t="n">
        <v>248</v>
      </c>
      <c r="CL30" s="13" t="n">
        <v>37</v>
      </c>
      <c r="CM30" s="13" t="n">
        <v>192</v>
      </c>
      <c r="CN30" s="13" t="n">
        <v>0.798</v>
      </c>
      <c r="CO30" s="13" t="n">
        <v>144</v>
      </c>
      <c r="CP30" s="13" t="n">
        <v>126</v>
      </c>
      <c r="CQ30" s="13" t="n">
        <v>104</v>
      </c>
      <c r="CR30" s="13" t="n">
        <v>8</v>
      </c>
      <c r="CS30" s="13" t="n">
        <v>6.8</v>
      </c>
      <c r="CT30" s="11" t="inlineStr">
        <is>
          <t xml:space="preserve"> Resort Freeride</t>
        </is>
      </c>
      <c r="CU30" s="13" t="n"/>
      <c r="CV30" s="13" t="n"/>
      <c r="CW30" s="13" t="n"/>
      <c r="CX30">
        <f>INDEX('Data_Price '!AG$2:AG$1266,MATCH(Data!$DN30,'Data_Price '!$AT$2:$AT$1266,0))</f>
        <v/>
      </c>
      <c r="CY30">
        <f>INDEX('Data_Price '!AH$2:AH$1266,MATCH(Data!$DN30,'Data_Price '!$AT$2:$AT$1266,0))</f>
        <v/>
      </c>
      <c r="CZ30">
        <f>INDEX('Data_Price '!AI$2:AI$1266,MATCH(Data!$DN30,'Data_Price '!$AT$2:$AT$1266,0))</f>
        <v/>
      </c>
      <c r="DA30">
        <f>INDEX('Data_Price '!AJ$2:AJ$1266,MATCH(Data!$DN30,'Data_Price '!$AT$2:$AT$1266,0))</f>
        <v/>
      </c>
      <c r="DB30">
        <f>INDEX('Data_Price '!AK$2:AK$1266,MATCH(Data!$DN30,'Data_Price '!$AT$2:$AT$1266,0))</f>
        <v/>
      </c>
      <c r="DC30">
        <f>INDEX('Data_Price '!AL$2:AL$1266,MATCH(Data!$DN30,'Data_Price '!$AT$2:$AT$1266,0))</f>
        <v/>
      </c>
      <c r="DD30">
        <f>INDEX('Data_Price '!AM$2:AM$1266,MATCH(Data!$DN30,'Data_Price '!$AT$2:$AT$1266,0))</f>
        <v/>
      </c>
      <c r="DE30">
        <f>INDEX('Data_Price '!AN$2:AN$1266,MATCH(Data!$DN30,'Data_Price '!$AT$2:$AT$1266,0))</f>
        <v/>
      </c>
      <c r="DF30">
        <f>INDEX('Data_Price '!AO$2:AO$1266,MATCH(Data!$DN30,'Data_Price '!$AT$2:$AT$1266,0))</f>
        <v/>
      </c>
      <c r="DG30">
        <f>INDEX('Data_Price '!AP$2:AP$1266,MATCH(Data!$DN30,'Data_Price '!$AT$2:$AT$1266,0))</f>
        <v/>
      </c>
      <c r="DH30">
        <f>INDEX('Data_Price '!AQ$2:AQ$1266,MATCH(Data!$DN30,'Data_Price '!$AT$2:$AT$1266,0))</f>
        <v/>
      </c>
      <c r="DI30">
        <f>INDEX('Data_Price '!AR$2:AR$1266,MATCH(Data!$DN30,'Data_Price '!$AT$2:$AT$1266,0))</f>
        <v/>
      </c>
      <c r="DJ30" s="138">
        <f>DA30</f>
        <v/>
      </c>
      <c r="DK30" s="138">
        <f>DE30</f>
        <v/>
      </c>
      <c r="DL30" s="138">
        <f>DI30</f>
        <v/>
      </c>
      <c r="DM30" s="303">
        <f>IF(LEFT(BT30,1)=" ",RIGHT(BT30,LEN(BT30)-1),BT30)</f>
        <v/>
      </c>
      <c r="DN30" s="138">
        <f>_xlfn.CONCAT(BS30,DM30,BU30,BV30)</f>
        <v/>
      </c>
      <c r="DO30" s="307" t="inlineStr">
        <is>
          <t>https://images.evo.com/imgp/250/198697/839664/armada-arv-84-skis-boys-2022-.jpg</t>
        </is>
      </c>
    </row>
    <row r="31" ht="15.6" customHeight="1" s="184">
      <c r="B31" s="303">
        <f t="array" ref="B31">IF(OR(ISERROR(K31:P31)),FALSE,TRUE)</f>
        <v/>
      </c>
      <c r="C31" s="60">
        <f>OR(BR31=Driver!$G$50,Data!BR33=Driver!$H$50)</f>
        <v/>
      </c>
      <c r="D31" s="60">
        <f>OR(BV31=Driver!$G$51,BV31=Driver!$H$51)</f>
        <v/>
      </c>
      <c r="E31" s="60">
        <f>AND(BX31&gt;Driver!$F$54,BX31&lt;Driver!$G$54)</f>
        <v/>
      </c>
      <c r="F31" s="60">
        <f>CL31&gt;Driver!$F$56</f>
        <v/>
      </c>
      <c r="G31" s="60">
        <f>AND(CB31&gt;Driver!$F$55,CB31&lt;Driver!$G$55)</f>
        <v/>
      </c>
      <c r="H31" s="60">
        <f>AND(B31:G31)</f>
        <v/>
      </c>
      <c r="I31" s="60">
        <f>COUNTIFS($H$9:$H$1273,TRUE,$BT$9:$BT$1273,BT31)</f>
        <v/>
      </c>
      <c r="J31" s="60">
        <f t="array" ref="J31">NOT(OR(($H$9:$H$1273=TRUE)*($I$9:$I$1273&gt;0)*($BT$9:$BT$1273=BT31)*($K$9:$K$1273&gt;K31)))</f>
        <v/>
      </c>
      <c r="K31" s="108">
        <f>IFERROR(1-AVERAGE(X31:Y31),"")</f>
        <v/>
      </c>
      <c r="L31" s="108">
        <f>1-X31</f>
        <v/>
      </c>
      <c r="M31" s="108">
        <f>1-Y31</f>
        <v/>
      </c>
      <c r="N31" s="108">
        <f>1-Z31</f>
        <v/>
      </c>
      <c r="O31" s="108">
        <f>1-AA31</f>
        <v/>
      </c>
      <c r="P31" s="108">
        <f>1-AB31</f>
        <v/>
      </c>
      <c r="Q31" s="108" t="n"/>
      <c r="R31" s="108" t="n"/>
      <c r="S31" s="108">
        <f>1-AE31</f>
        <v/>
      </c>
      <c r="T31" s="108">
        <f>1-AF31</f>
        <v/>
      </c>
      <c r="U31" s="108">
        <f>1-AG31</f>
        <v/>
      </c>
      <c r="V31" s="108">
        <f>1-AH31</f>
        <v/>
      </c>
      <c r="W31" s="108">
        <f>1-AI31</f>
        <v/>
      </c>
      <c r="X31" s="108">
        <f>ABS(AJ31-AJ$1)</f>
        <v/>
      </c>
      <c r="Y31" s="108">
        <f>AVERAGE(Z31:AB31)</f>
        <v/>
      </c>
      <c r="Z31" s="108">
        <f>ABS(AL31-AL$1)</f>
        <v/>
      </c>
      <c r="AA31" s="108">
        <f>ABS(AM31-AM$1)</f>
        <v/>
      </c>
      <c r="AB31" s="108">
        <f>ABS(AN31-AN$1)</f>
        <v/>
      </c>
      <c r="AC31" s="108" t="n"/>
      <c r="AD31" s="108" t="n"/>
      <c r="AE31" s="108">
        <f>ABS(AQ$1-AQ31)</f>
        <v/>
      </c>
      <c r="AF31" s="108">
        <f>ABS(AR$1-AR31)</f>
        <v/>
      </c>
      <c r="AG31" s="108">
        <f>ABS(AS$1-AS31)</f>
        <v/>
      </c>
      <c r="AH31" s="108">
        <f>ABS(AT$1-AT31)</f>
        <v/>
      </c>
      <c r="AI31" s="108">
        <f>ABS(AU$1-AU31)</f>
        <v/>
      </c>
      <c r="AJ31" s="108">
        <f>(AV31-Driver!$K$179)/(Driver!$L$179-Driver!$K$179)</f>
        <v/>
      </c>
      <c r="AK31" s="108">
        <f>(AW31-Driver!$K$180)/(Driver!$L$180-Driver!$K$180)</f>
        <v/>
      </c>
      <c r="AL31" s="108">
        <f>(AX31-Driver!$K$181)/(Driver!$L$181-Driver!$K$181)</f>
        <v/>
      </c>
      <c r="AM31" s="108">
        <f>(AY31-Driver!$K$182)/(Driver!$L$182-Driver!$K$182)</f>
        <v/>
      </c>
      <c r="AN31" s="108">
        <f>(AZ31-Driver!$K$183)/(Driver!$L$183-Driver!$K$183)</f>
        <v/>
      </c>
      <c r="AO31" s="108" t="n"/>
      <c r="AP31" s="108" t="n"/>
      <c r="AQ31" s="108">
        <f>(BC31-Driver!$K$188)/(Driver!$L$188-Driver!$K$188)</f>
        <v/>
      </c>
      <c r="AR31" s="108">
        <f>MIN((BD31-Driver!$K$189)/(Driver!$L$189-Driver!$K$189),100%)</f>
        <v/>
      </c>
      <c r="AS31" s="108">
        <f>(BE31-Driver!$K$190)/(Driver!$L$190-Driver!$K$190)</f>
        <v/>
      </c>
      <c r="AT31" s="108">
        <f>(BF31-Driver!$K$191)/(Driver!$L$191-Driver!$K$191)</f>
        <v/>
      </c>
      <c r="AU31" s="108">
        <f>(BG31-Driver!$K$192)/(Driver!$L$192-Driver!$K$192)</f>
        <v/>
      </c>
      <c r="AV31" s="105">
        <f>IFERROR(BM31*BJ31^1/4,"")</f>
        <v/>
      </c>
      <c r="AW31" s="105">
        <f>IFERROR(SUM(AX31:AZ31),"")</f>
        <v/>
      </c>
      <c r="AX31" s="105">
        <f>IFERROR(BH31,"")</f>
        <v/>
      </c>
      <c r="AY31" s="105">
        <f>IFERROR(Driver!$K$19/Data!BH31/Data!BI31*Data!BK31*Data!BL31,"")</f>
        <v/>
      </c>
      <c r="AZ31" s="105">
        <f>IFERROR(BI31*BN31,"")</f>
        <v/>
      </c>
      <c r="BA31" s="105" t="n"/>
      <c r="BB31" s="105" t="n"/>
      <c r="BC31" s="105">
        <f>IFERROR(BI31*BN31*BK31/BJ31^(1/2),"")</f>
        <v/>
      </c>
      <c r="BD31" s="105">
        <f>IFERROR(BH31*BM31*BL31/BJ31/BK31,"")</f>
        <v/>
      </c>
      <c r="BE31" s="105">
        <f>IFERROR(MIN(BI31/BQ31/BP31/BO31/BH31,$BE$1),"")</f>
        <v/>
      </c>
      <c r="BF31" s="105">
        <f>IFERROR(BJ31*BO31*BP31/BK31,"")</f>
        <v/>
      </c>
      <c r="BG31" s="105">
        <f>IFERROR(1/BM31/BH31*BQ31,"")</f>
        <v/>
      </c>
      <c r="BH31" s="102">
        <f>MAX((CE31-Driver!$F$200)/(Driver!$G$200-Driver!$F$200)*$BI$1,1)</f>
        <v/>
      </c>
      <c r="BI31" s="102">
        <f>MAX($BI$1*(BY31-Driver!$F$201)/(Driver!$G$201-Driver!$F$201),1)</f>
        <v/>
      </c>
      <c r="BJ31" s="102">
        <f>(CB31-Driver!$F$206)/(Driver!$G$206-Driver!$F$206)*$BI$1</f>
        <v/>
      </c>
      <c r="BK31" s="102">
        <f>(CD31-Driver!$F$203)/(Driver!$G$203-Driver!$F$203)*$BI$1</f>
        <v/>
      </c>
      <c r="BL31" s="102">
        <f>MAX((CR31-Driver!$F$202)/(Driver!$G$202-Driver!$F$202)*$BI$1,1)</f>
        <v/>
      </c>
      <c r="BM31" s="102">
        <f>MAX((CH31-Driver!$F$204)/(Driver!$G$204-Driver!$F$204)*$BI$1,1)</f>
        <v/>
      </c>
      <c r="BN31" s="102">
        <f>(CI31-Driver!$F$205)/(Driver!$G$205-Driver!$F$205)*$BI$1</f>
        <v/>
      </c>
      <c r="BO31" s="102">
        <f>(CK31-Driver!$F$207)/(Driver!$G$207-Driver!$F$207)*$BI$1</f>
        <v/>
      </c>
      <c r="BP31" s="102">
        <f>(CM31-Driver!$F$208)/(Driver!$G$208-Driver!$F$208)*$BI$1</f>
        <v/>
      </c>
      <c r="BQ31" s="102">
        <f>(CL31-Driver!$F$209)/(Driver!$G$209-Driver!$F$209)*$BI$1</f>
        <v/>
      </c>
      <c r="BR31" s="40" t="inlineStr">
        <is>
          <t>21/22</t>
        </is>
      </c>
      <c r="BS31" s="10" t="inlineStr">
        <is>
          <t xml:space="preserve"> Armada</t>
        </is>
      </c>
      <c r="BT31" s="11" t="inlineStr">
        <is>
          <t>ARV 84</t>
        </is>
      </c>
      <c r="BU31" s="13" t="n">
        <v>150</v>
      </c>
      <c r="BV31" s="11" t="inlineStr">
        <is>
          <t xml:space="preserve"> Unisex</t>
        </is>
      </c>
      <c r="BW31" s="13" t="n">
        <v>150</v>
      </c>
      <c r="BX31" s="13" t="n">
        <v>148</v>
      </c>
      <c r="BY31" s="13" t="n">
        <v>103</v>
      </c>
      <c r="BZ31" s="13" t="n">
        <v>122</v>
      </c>
      <c r="CA31" s="13" t="n">
        <v>116</v>
      </c>
      <c r="CB31" s="13" t="n">
        <v>84</v>
      </c>
      <c r="CC31" s="13" t="n">
        <v>107</v>
      </c>
      <c r="CD31" s="13" t="n">
        <v>12</v>
      </c>
      <c r="CE31" s="13" t="n">
        <v>1466</v>
      </c>
      <c r="CF31" s="13" t="n">
        <v>0.96</v>
      </c>
      <c r="CG31" s="13" t="n">
        <v>1412</v>
      </c>
      <c r="CH31" s="13" t="n">
        <v>124</v>
      </c>
      <c r="CI31" s="13" t="n">
        <v>45</v>
      </c>
      <c r="CJ31" s="13" t="n">
        <v>49</v>
      </c>
      <c r="CK31" s="13" t="n">
        <v>256</v>
      </c>
      <c r="CL31" s="13" t="n">
        <v>38</v>
      </c>
      <c r="CM31" s="13" t="n">
        <v>198</v>
      </c>
      <c r="CN31" s="13" t="n">
        <v>0.769</v>
      </c>
      <c r="CO31" s="13" t="n">
        <v>138</v>
      </c>
      <c r="CP31" s="13" t="n">
        <v>121</v>
      </c>
      <c r="CQ31" s="13" t="n">
        <v>118</v>
      </c>
      <c r="CR31" s="13" t="n">
        <v>7</v>
      </c>
      <c r="CS31" s="13" t="n">
        <v>5.8</v>
      </c>
      <c r="CT31" s="11" t="inlineStr">
        <is>
          <t xml:space="preserve"> Resort Freeride</t>
        </is>
      </c>
      <c r="CU31" s="13" t="n"/>
      <c r="CV31" s="13" t="n"/>
      <c r="CW31" s="13" t="n"/>
      <c r="CX31">
        <f>INDEX('Data_Price '!AG$2:AG$1266,MATCH(Data!$DN31,'Data_Price '!$AT$2:$AT$1266,0))</f>
        <v/>
      </c>
      <c r="CY31">
        <f>INDEX('Data_Price '!AH$2:AH$1266,MATCH(Data!$DN31,'Data_Price '!$AT$2:$AT$1266,0))</f>
        <v/>
      </c>
      <c r="CZ31">
        <f>INDEX('Data_Price '!AI$2:AI$1266,MATCH(Data!$DN31,'Data_Price '!$AT$2:$AT$1266,0))</f>
        <v/>
      </c>
      <c r="DA31">
        <f>INDEX('Data_Price '!AJ$2:AJ$1266,MATCH(Data!$DN31,'Data_Price '!$AT$2:$AT$1266,0))</f>
        <v/>
      </c>
      <c r="DB31">
        <f>INDEX('Data_Price '!AK$2:AK$1266,MATCH(Data!$DN31,'Data_Price '!$AT$2:$AT$1266,0))</f>
        <v/>
      </c>
      <c r="DC31">
        <f>INDEX('Data_Price '!AL$2:AL$1266,MATCH(Data!$DN31,'Data_Price '!$AT$2:$AT$1266,0))</f>
        <v/>
      </c>
      <c r="DD31">
        <f>INDEX('Data_Price '!AM$2:AM$1266,MATCH(Data!$DN31,'Data_Price '!$AT$2:$AT$1266,0))</f>
        <v/>
      </c>
      <c r="DE31">
        <f>INDEX('Data_Price '!AN$2:AN$1266,MATCH(Data!$DN31,'Data_Price '!$AT$2:$AT$1266,0))</f>
        <v/>
      </c>
      <c r="DF31">
        <f>INDEX('Data_Price '!AO$2:AO$1266,MATCH(Data!$DN31,'Data_Price '!$AT$2:$AT$1266,0))</f>
        <v/>
      </c>
      <c r="DG31">
        <f>INDEX('Data_Price '!AP$2:AP$1266,MATCH(Data!$DN31,'Data_Price '!$AT$2:$AT$1266,0))</f>
        <v/>
      </c>
      <c r="DH31">
        <f>INDEX('Data_Price '!AQ$2:AQ$1266,MATCH(Data!$DN31,'Data_Price '!$AT$2:$AT$1266,0))</f>
        <v/>
      </c>
      <c r="DI31">
        <f>INDEX('Data_Price '!AR$2:AR$1266,MATCH(Data!$DN31,'Data_Price '!$AT$2:$AT$1266,0))</f>
        <v/>
      </c>
      <c r="DJ31" s="138">
        <f>DA31</f>
        <v/>
      </c>
      <c r="DK31" s="138">
        <f>DE31</f>
        <v/>
      </c>
      <c r="DL31" s="138">
        <f>DI31</f>
        <v/>
      </c>
      <c r="DM31" s="303">
        <f>IF(LEFT(BT31,1)=" ",RIGHT(BT31,LEN(BT31)-1),BT31)</f>
        <v/>
      </c>
      <c r="DN31" s="138">
        <f>_xlfn.CONCAT(BS31,DM31,BU31,BV31)</f>
        <v/>
      </c>
      <c r="DO31" s="307" t="inlineStr">
        <is>
          <t>https://images.evo.com/imgp/250/198697/839664/armada-arv-84-skis-boys-2022-.jpg</t>
        </is>
      </c>
    </row>
    <row r="32" ht="15.6" customHeight="1" s="184">
      <c r="B32" s="303">
        <f t="array" ref="B32">IF(OR(ISERROR(K32:P32)),FALSE,TRUE)</f>
        <v/>
      </c>
      <c r="C32" s="60">
        <f>OR(BR32=Driver!$G$50,Data!BR32=Driver!$H$50)</f>
        <v/>
      </c>
      <c r="D32" s="60">
        <f>OR(BV32=Driver!$G$51,BV32=Driver!$H$51)</f>
        <v/>
      </c>
      <c r="E32" s="60">
        <f>AND(BX32&gt;Driver!$F$54,BX32&lt;Driver!$G$54)</f>
        <v/>
      </c>
      <c r="F32" s="60">
        <f>CL32&gt;Driver!$F$56</f>
        <v/>
      </c>
      <c r="G32" s="60">
        <f>AND(CB32&gt;Driver!$F$55,CB32&lt;Driver!$G$55)</f>
        <v/>
      </c>
      <c r="H32" s="60">
        <f>AND(B32:G32)</f>
        <v/>
      </c>
      <c r="I32" s="60">
        <f>COUNTIFS($H$9:$H$1273,TRUE,$BT$9:$BT$1273,BT32)</f>
        <v/>
      </c>
      <c r="J32" s="60">
        <f t="array" ref="J32">NOT(OR(($H$9:$H$1273=TRUE)*($I$9:$I$1273&gt;0)*($BT$9:$BT$1273=BT32)*($K$9:$K$1273&gt;K32)))</f>
        <v/>
      </c>
      <c r="K32" s="108">
        <f>IFERROR(1-AVERAGE(X32:Y32),"")</f>
        <v/>
      </c>
      <c r="L32" s="108">
        <f>1-X32</f>
        <v/>
      </c>
      <c r="M32" s="108">
        <f>1-Y32</f>
        <v/>
      </c>
      <c r="N32" s="108">
        <f>1-Z32</f>
        <v/>
      </c>
      <c r="O32" s="108">
        <f>1-AA32</f>
        <v/>
      </c>
      <c r="P32" s="108">
        <f>1-AB32</f>
        <v/>
      </c>
      <c r="Q32" s="108" t="n"/>
      <c r="R32" s="108" t="n"/>
      <c r="S32" s="108">
        <f>1-AE32</f>
        <v/>
      </c>
      <c r="T32" s="108">
        <f>1-AF32</f>
        <v/>
      </c>
      <c r="U32" s="108">
        <f>1-AG32</f>
        <v/>
      </c>
      <c r="V32" s="108">
        <f>1-AH32</f>
        <v/>
      </c>
      <c r="W32" s="108">
        <f>1-AI32</f>
        <v/>
      </c>
      <c r="X32" s="108">
        <f>ABS(AJ32-AJ$1)</f>
        <v/>
      </c>
      <c r="Y32" s="108">
        <f>AVERAGE(Z32:AB32)</f>
        <v/>
      </c>
      <c r="Z32" s="108">
        <f>ABS(AL32-AL$1)</f>
        <v/>
      </c>
      <c r="AA32" s="108">
        <f>ABS(AM32-AM$1)</f>
        <v/>
      </c>
      <c r="AB32" s="108">
        <f>ABS(AN32-AN$1)</f>
        <v/>
      </c>
      <c r="AC32" s="108" t="n"/>
      <c r="AD32" s="108" t="n"/>
      <c r="AE32" s="108">
        <f>ABS(AQ$1-AQ32)</f>
        <v/>
      </c>
      <c r="AF32" s="108">
        <f>ABS(AR$1-AR32)</f>
        <v/>
      </c>
      <c r="AG32" s="108">
        <f>ABS(AS$1-AS32)</f>
        <v/>
      </c>
      <c r="AH32" s="108">
        <f>ABS(AT$1-AT32)</f>
        <v/>
      </c>
      <c r="AI32" s="108">
        <f>ABS(AU$1-AU32)</f>
        <v/>
      </c>
      <c r="AJ32" s="108">
        <f>(AV32-Driver!$K$179)/(Driver!$L$179-Driver!$K$179)</f>
        <v/>
      </c>
      <c r="AK32" s="108">
        <f>(AW32-Driver!$K$180)/(Driver!$L$180-Driver!$K$180)</f>
        <v/>
      </c>
      <c r="AL32" s="108">
        <f>(AX32-Driver!$K$181)/(Driver!$L$181-Driver!$K$181)</f>
        <v/>
      </c>
      <c r="AM32" s="108">
        <f>(AY32-Driver!$K$182)/(Driver!$L$182-Driver!$K$182)</f>
        <v/>
      </c>
      <c r="AN32" s="108">
        <f>(AZ32-Driver!$K$183)/(Driver!$L$183-Driver!$K$183)</f>
        <v/>
      </c>
      <c r="AO32" s="108" t="n"/>
      <c r="AP32" s="108" t="n"/>
      <c r="AQ32" s="108">
        <f>(BC32-Driver!$K$188)/(Driver!$L$188-Driver!$K$188)</f>
        <v/>
      </c>
      <c r="AR32" s="108">
        <f>MIN((BD32-Driver!$K$189)/(Driver!$L$189-Driver!$K$189),100%)</f>
        <v/>
      </c>
      <c r="AS32" s="108">
        <f>(BE32-Driver!$K$190)/(Driver!$L$190-Driver!$K$190)</f>
        <v/>
      </c>
      <c r="AT32" s="108">
        <f>(BF32-Driver!$K$191)/(Driver!$L$191-Driver!$K$191)</f>
        <v/>
      </c>
      <c r="AU32" s="108">
        <f>(BG32-Driver!$K$192)/(Driver!$L$192-Driver!$K$192)</f>
        <v/>
      </c>
      <c r="AV32" s="105">
        <f>IFERROR(BM32*BJ32^1/4,"")</f>
        <v/>
      </c>
      <c r="AW32" s="105">
        <f>IFERROR(SUM(AX32:AZ32),"")</f>
        <v/>
      </c>
      <c r="AX32" s="105">
        <f>IFERROR(BH32,"")</f>
        <v/>
      </c>
      <c r="AY32" s="105">
        <f>IFERROR(Driver!$K$19/Data!BH32/Data!BI32*Data!BK32*Data!BL32,"")</f>
        <v/>
      </c>
      <c r="AZ32" s="105">
        <f>IFERROR(BI32*BN32,"")</f>
        <v/>
      </c>
      <c r="BA32" s="105" t="n"/>
      <c r="BB32" s="105" t="n"/>
      <c r="BC32" s="105">
        <f>IFERROR(BI32*BN32*BK32/BJ32^(1/2),"")</f>
        <v/>
      </c>
      <c r="BD32" s="105">
        <f>IFERROR(BH32*BM32*BL32/BJ32/BK32,"")</f>
        <v/>
      </c>
      <c r="BE32" s="105">
        <f>IFERROR(MIN(BI32/BQ32/BP32/BO32/BH32,$BE$1),"")</f>
        <v/>
      </c>
      <c r="BF32" s="105">
        <f>IFERROR(BJ32*BO32*BP32/BK32,"")</f>
        <v/>
      </c>
      <c r="BG32" s="105">
        <f>IFERROR(1/BM32/BH32*BQ32,"")</f>
        <v/>
      </c>
      <c r="BH32" s="102">
        <f>MAX((CE32-Driver!$F$200)/(Driver!$G$200-Driver!$F$200)*$BI$1,1)</f>
        <v/>
      </c>
      <c r="BI32" s="102">
        <f>MAX($BI$1*(BY32-Driver!$F$201)/(Driver!$G$201-Driver!$F$201),1)</f>
        <v/>
      </c>
      <c r="BJ32" s="102">
        <f>(CB32-Driver!$F$206)/(Driver!$G$206-Driver!$F$206)*$BI$1</f>
        <v/>
      </c>
      <c r="BK32" s="102">
        <f>(CD32-Driver!$F$203)/(Driver!$G$203-Driver!$F$203)*$BI$1</f>
        <v/>
      </c>
      <c r="BL32" s="102">
        <f>MAX((CR32-Driver!$F$202)/(Driver!$G$202-Driver!$F$202)*$BI$1,1)</f>
        <v/>
      </c>
      <c r="BM32" s="102">
        <f>MAX((CH32-Driver!$F$204)/(Driver!$G$204-Driver!$F$204)*$BI$1,1)</f>
        <v/>
      </c>
      <c r="BN32" s="102">
        <f>(CI32-Driver!$F$205)/(Driver!$G$205-Driver!$F$205)*$BI$1</f>
        <v/>
      </c>
      <c r="BO32" s="102">
        <f>(CK32-Driver!$F$207)/(Driver!$G$207-Driver!$F$207)*$BI$1</f>
        <v/>
      </c>
      <c r="BP32" s="102">
        <f>(CM32-Driver!$F$208)/(Driver!$G$208-Driver!$F$208)*$BI$1</f>
        <v/>
      </c>
      <c r="BQ32" s="102">
        <f>(CL32-Driver!$F$209)/(Driver!$G$209-Driver!$F$209)*$BI$1</f>
        <v/>
      </c>
      <c r="BR32" s="40" t="inlineStr">
        <is>
          <t>21/22</t>
        </is>
      </c>
      <c r="BS32" s="10" t="inlineStr">
        <is>
          <t xml:space="preserve"> Armada</t>
        </is>
      </c>
      <c r="BT32" s="11" t="inlineStr">
        <is>
          <t>ARV 84</t>
        </is>
      </c>
      <c r="BU32" s="13" t="n">
        <v>143</v>
      </c>
      <c r="BV32" s="11" t="inlineStr">
        <is>
          <t xml:space="preserve"> Unisex</t>
        </is>
      </c>
      <c r="BW32" s="13" t="n">
        <v>143</v>
      </c>
      <c r="BX32" s="13" t="n">
        <v>140.9</v>
      </c>
      <c r="BY32" s="13" t="n">
        <v>98</v>
      </c>
      <c r="BZ32" s="13" t="n">
        <v>116</v>
      </c>
      <c r="CA32" s="13" t="n">
        <v>116</v>
      </c>
      <c r="CB32" s="13" t="n">
        <v>84</v>
      </c>
      <c r="CC32" s="13" t="n">
        <v>108</v>
      </c>
      <c r="CD32" s="13" t="n">
        <v>10.5</v>
      </c>
      <c r="CE32" s="13" t="n">
        <v>1373</v>
      </c>
      <c r="CF32" s="13" t="n">
        <v>0.99</v>
      </c>
      <c r="CG32" s="13" t="n">
        <v>1353</v>
      </c>
      <c r="CH32" s="13" t="n">
        <v>112</v>
      </c>
      <c r="CI32" s="13" t="n">
        <v>43</v>
      </c>
      <c r="CJ32" s="13" t="n">
        <v>47</v>
      </c>
      <c r="CK32" s="13" t="n">
        <v>245</v>
      </c>
      <c r="CL32" s="13" t="n">
        <v>37</v>
      </c>
      <c r="CM32" s="13" t="n">
        <v>189</v>
      </c>
      <c r="CN32" s="13" t="n">
        <v>0.769</v>
      </c>
      <c r="CO32" s="13" t="n">
        <v>130</v>
      </c>
      <c r="CP32" s="13" t="n">
        <v>114</v>
      </c>
      <c r="CQ32" s="13" t="n">
        <v>115</v>
      </c>
      <c r="CR32" s="13" t="n">
        <v>5</v>
      </c>
      <c r="CS32" s="13" t="n">
        <v>9.1</v>
      </c>
      <c r="CT32" s="11" t="inlineStr">
        <is>
          <t xml:space="preserve"> Resort Freeride</t>
        </is>
      </c>
      <c r="CU32" s="13" t="n"/>
      <c r="CV32" s="13" t="n"/>
      <c r="CW32" s="13" t="n"/>
      <c r="CX32">
        <f>INDEX('Data_Price '!AG$2:AG$1266,MATCH(Data!$DN32,'Data_Price '!$AT$2:$AT$1266,0))</f>
        <v/>
      </c>
      <c r="CY32">
        <f>INDEX('Data_Price '!AH$2:AH$1266,MATCH(Data!$DN32,'Data_Price '!$AT$2:$AT$1266,0))</f>
        <v/>
      </c>
      <c r="CZ32">
        <f>INDEX('Data_Price '!AI$2:AI$1266,MATCH(Data!$DN32,'Data_Price '!$AT$2:$AT$1266,0))</f>
        <v/>
      </c>
      <c r="DA32">
        <f>INDEX('Data_Price '!AJ$2:AJ$1266,MATCH(Data!$DN32,'Data_Price '!$AT$2:$AT$1266,0))</f>
        <v/>
      </c>
      <c r="DB32">
        <f>INDEX('Data_Price '!AK$2:AK$1266,MATCH(Data!$DN32,'Data_Price '!$AT$2:$AT$1266,0))</f>
        <v/>
      </c>
      <c r="DC32">
        <f>INDEX('Data_Price '!AL$2:AL$1266,MATCH(Data!$DN32,'Data_Price '!$AT$2:$AT$1266,0))</f>
        <v/>
      </c>
      <c r="DD32">
        <f>INDEX('Data_Price '!AM$2:AM$1266,MATCH(Data!$DN32,'Data_Price '!$AT$2:$AT$1266,0))</f>
        <v/>
      </c>
      <c r="DE32">
        <f>INDEX('Data_Price '!AN$2:AN$1266,MATCH(Data!$DN32,'Data_Price '!$AT$2:$AT$1266,0))</f>
        <v/>
      </c>
      <c r="DF32">
        <f>INDEX('Data_Price '!AO$2:AO$1266,MATCH(Data!$DN32,'Data_Price '!$AT$2:$AT$1266,0))</f>
        <v/>
      </c>
      <c r="DG32">
        <f>INDEX('Data_Price '!AP$2:AP$1266,MATCH(Data!$DN32,'Data_Price '!$AT$2:$AT$1266,0))</f>
        <v/>
      </c>
      <c r="DH32">
        <f>INDEX('Data_Price '!AQ$2:AQ$1266,MATCH(Data!$DN32,'Data_Price '!$AT$2:$AT$1266,0))</f>
        <v/>
      </c>
      <c r="DI32">
        <f>INDEX('Data_Price '!AR$2:AR$1266,MATCH(Data!$DN32,'Data_Price '!$AT$2:$AT$1266,0))</f>
        <v/>
      </c>
      <c r="DJ32" s="138">
        <f>DA32</f>
        <v/>
      </c>
      <c r="DK32" s="138">
        <f>DE32</f>
        <v/>
      </c>
      <c r="DL32" s="138">
        <f>DI32</f>
        <v/>
      </c>
      <c r="DM32" s="303">
        <f>IF(LEFT(BT32,1)=" ",RIGHT(BT32,LEN(BT32)-1),BT32)</f>
        <v/>
      </c>
      <c r="DN32" s="138">
        <f>_xlfn.CONCAT(BS32,DM32,BU32,BV32)</f>
        <v/>
      </c>
      <c r="DO32" s="307" t="inlineStr">
        <is>
          <t>https://images.evo.com/imgp/250/198697/839664/armada-arv-84-skis-boys-2022-.jpg</t>
        </is>
      </c>
    </row>
    <row r="33" ht="15.6" customHeight="1" s="184">
      <c r="B33" s="303">
        <f t="array" ref="B33">IF(OR(ISERROR(K33:P33)),FALSE,TRUE)</f>
        <v/>
      </c>
      <c r="C33" s="60">
        <f>OR(BR33=Driver!$G$50,Data!BR27=Driver!$H$50)</f>
        <v/>
      </c>
      <c r="D33" s="60">
        <f>OR(BV33=Driver!$G$51,BV33=Driver!$H$51)</f>
        <v/>
      </c>
      <c r="E33" s="60">
        <f>AND(BX33&gt;Driver!$F$54,BX33&lt;Driver!$G$54)</f>
        <v/>
      </c>
      <c r="F33" s="60">
        <f>CL33&gt;Driver!$F$56</f>
        <v/>
      </c>
      <c r="G33" s="60">
        <f>AND(CB33&gt;Driver!$F$55,CB33&lt;Driver!$G$55)</f>
        <v/>
      </c>
      <c r="H33" s="60">
        <f>AND(B33:G33)</f>
        <v/>
      </c>
      <c r="I33" s="60">
        <f>COUNTIFS($H$9:$H$1273,TRUE,$BT$9:$BT$1273,BT33)</f>
        <v/>
      </c>
      <c r="J33" s="60">
        <f t="array" ref="J33">NOT(OR(($H$9:$H$1273=TRUE)*($I$9:$I$1273&gt;0)*($BT$9:$BT$1273=BT33)*($K$9:$K$1273&gt;K33)))</f>
        <v/>
      </c>
      <c r="K33" s="108">
        <f>IFERROR(1-AVERAGE(X33:Y33),"")</f>
        <v/>
      </c>
      <c r="L33" s="108">
        <f>1-X33</f>
        <v/>
      </c>
      <c r="M33" s="108">
        <f>1-Y33</f>
        <v/>
      </c>
      <c r="N33" s="108">
        <f>1-Z33</f>
        <v/>
      </c>
      <c r="O33" s="108">
        <f>1-AA33</f>
        <v/>
      </c>
      <c r="P33" s="108">
        <f>1-AB33</f>
        <v/>
      </c>
      <c r="Q33" s="108" t="n"/>
      <c r="R33" s="108" t="n"/>
      <c r="S33" s="108">
        <f>1-AE33</f>
        <v/>
      </c>
      <c r="T33" s="108">
        <f>1-AF33</f>
        <v/>
      </c>
      <c r="U33" s="108">
        <f>1-AG33</f>
        <v/>
      </c>
      <c r="V33" s="108">
        <f>1-AH33</f>
        <v/>
      </c>
      <c r="W33" s="108">
        <f>1-AI33</f>
        <v/>
      </c>
      <c r="X33" s="108">
        <f>ABS(AJ33-AJ$1)</f>
        <v/>
      </c>
      <c r="Y33" s="108">
        <f>AVERAGE(Z33:AB33)</f>
        <v/>
      </c>
      <c r="Z33" s="108">
        <f>ABS(AL33-AL$1)</f>
        <v/>
      </c>
      <c r="AA33" s="108">
        <f>ABS(AM33-AM$1)</f>
        <v/>
      </c>
      <c r="AB33" s="108">
        <f>ABS(AN33-AN$1)</f>
        <v/>
      </c>
      <c r="AC33" s="108" t="n"/>
      <c r="AD33" s="108" t="n"/>
      <c r="AE33" s="108">
        <f>ABS(AQ$1-AQ33)</f>
        <v/>
      </c>
      <c r="AF33" s="108">
        <f>ABS(AR$1-AR33)</f>
        <v/>
      </c>
      <c r="AG33" s="108">
        <f>ABS(AS$1-AS33)</f>
        <v/>
      </c>
      <c r="AH33" s="108">
        <f>ABS(AT$1-AT33)</f>
        <v/>
      </c>
      <c r="AI33" s="108">
        <f>ABS(AU$1-AU33)</f>
        <v/>
      </c>
      <c r="AJ33" s="108">
        <f>(AV33-Driver!$K$179)/(Driver!$L$179-Driver!$K$179)</f>
        <v/>
      </c>
      <c r="AK33" s="108">
        <f>(AW33-Driver!$K$180)/(Driver!$L$180-Driver!$K$180)</f>
        <v/>
      </c>
      <c r="AL33" s="108">
        <f>(AX33-Driver!$K$181)/(Driver!$L$181-Driver!$K$181)</f>
        <v/>
      </c>
      <c r="AM33" s="108">
        <f>(AY33-Driver!$K$182)/(Driver!$L$182-Driver!$K$182)</f>
        <v/>
      </c>
      <c r="AN33" s="108">
        <f>(AZ33-Driver!$K$183)/(Driver!$L$183-Driver!$K$183)</f>
        <v/>
      </c>
      <c r="AO33" s="108" t="n"/>
      <c r="AP33" s="108" t="n"/>
      <c r="AQ33" s="108">
        <f>(BC33-Driver!$K$188)/(Driver!$L$188-Driver!$K$188)</f>
        <v/>
      </c>
      <c r="AR33" s="108">
        <f>MIN((BD33-Driver!$K$189)/(Driver!$L$189-Driver!$K$189),100%)</f>
        <v/>
      </c>
      <c r="AS33" s="108">
        <f>(BE33-Driver!$K$190)/(Driver!$L$190-Driver!$K$190)</f>
        <v/>
      </c>
      <c r="AT33" s="108">
        <f>(BF33-Driver!$K$191)/(Driver!$L$191-Driver!$K$191)</f>
        <v/>
      </c>
      <c r="AU33" s="108">
        <f>(BG33-Driver!$K$192)/(Driver!$L$192-Driver!$K$192)</f>
        <v/>
      </c>
      <c r="AV33" s="105">
        <f>IFERROR(BM33*BJ33^1/4,"")</f>
        <v/>
      </c>
      <c r="AW33" s="105">
        <f>IFERROR(SUM(AX33:AZ33),"")</f>
        <v/>
      </c>
      <c r="AX33" s="105">
        <f>IFERROR(BH33,"")</f>
        <v/>
      </c>
      <c r="AY33" s="105">
        <f>IFERROR(Driver!$K$19/Data!BH33/Data!BI33*Data!BK33*Data!BL33,"")</f>
        <v/>
      </c>
      <c r="AZ33" s="105">
        <f>IFERROR(BI33*BN33,"")</f>
        <v/>
      </c>
      <c r="BA33" s="105" t="n"/>
      <c r="BB33" s="105" t="n"/>
      <c r="BC33" s="105">
        <f>IFERROR(BI33*BN33*BK33/BJ33^(1/2),"")</f>
        <v/>
      </c>
      <c r="BD33" s="105">
        <f>IFERROR(BH33*BM33*BL33/BJ33/BK33,"")</f>
        <v/>
      </c>
      <c r="BE33" s="105">
        <f>IFERROR(MIN(BI33/BQ33/BP33/BO33/BH33,$BE$1),"")</f>
        <v/>
      </c>
      <c r="BF33" s="105">
        <f>IFERROR(BJ33*BO33*BP33/BK33,"")</f>
        <v/>
      </c>
      <c r="BG33" s="105">
        <f>IFERROR(1/BM33/BH33*BQ33,"")</f>
        <v/>
      </c>
      <c r="BH33" s="102">
        <f>MAX((CE33-Driver!$F$200)/(Driver!$G$200-Driver!$F$200)*$BI$1,1)</f>
        <v/>
      </c>
      <c r="BI33" s="102">
        <f>MAX($BI$1*(BY33-Driver!$F$201)/(Driver!$G$201-Driver!$F$201),1)</f>
        <v/>
      </c>
      <c r="BJ33" s="102">
        <f>(CB33-Driver!$F$206)/(Driver!$G$206-Driver!$F$206)*$BI$1</f>
        <v/>
      </c>
      <c r="BK33" s="102">
        <f>(CD33-Driver!$F$203)/(Driver!$G$203-Driver!$F$203)*$BI$1</f>
        <v/>
      </c>
      <c r="BL33" s="102">
        <f>MAX((CR33-Driver!$F$202)/(Driver!$G$202-Driver!$F$202)*$BI$1,1)</f>
        <v/>
      </c>
      <c r="BM33" s="102">
        <f>MAX((CH33-Driver!$F$204)/(Driver!$G$204-Driver!$F$204)*$BI$1,1)</f>
        <v/>
      </c>
      <c r="BN33" s="102">
        <f>(CI33-Driver!$F$205)/(Driver!$G$205-Driver!$F$205)*$BI$1</f>
        <v/>
      </c>
      <c r="BO33" s="102">
        <f>(CK33-Driver!$F$207)/(Driver!$G$207-Driver!$F$207)*$BI$1</f>
        <v/>
      </c>
      <c r="BP33" s="102">
        <f>(CM33-Driver!$F$208)/(Driver!$G$208-Driver!$F$208)*$BI$1</f>
        <v/>
      </c>
      <c r="BQ33" s="102">
        <f>(CL33-Driver!$F$209)/(Driver!$G$209-Driver!$F$209)*$BI$1</f>
        <v/>
      </c>
      <c r="BR33" s="40" t="inlineStr">
        <is>
          <t>21/22</t>
        </is>
      </c>
      <c r="BS33" s="10" t="inlineStr">
        <is>
          <t xml:space="preserve"> Armada</t>
        </is>
      </c>
      <c r="BT33" s="11" t="inlineStr">
        <is>
          <t>ARV 106</t>
        </is>
      </c>
      <c r="BU33" s="13" t="n">
        <v>188</v>
      </c>
      <c r="BV33" s="11" t="inlineStr">
        <is>
          <t xml:space="preserve"> Unisex</t>
        </is>
      </c>
      <c r="BW33" s="13" t="n">
        <v>188</v>
      </c>
      <c r="BX33" s="13" t="n">
        <v>186.1</v>
      </c>
      <c r="BY33" s="13" t="n">
        <v>131</v>
      </c>
      <c r="BZ33" s="13" t="n">
        <v>151</v>
      </c>
      <c r="CA33" s="13" t="n">
        <v>136</v>
      </c>
      <c r="CB33" s="13" t="n">
        <v>105</v>
      </c>
      <c r="CC33" s="13" t="n">
        <v>124</v>
      </c>
      <c r="CD33" s="13" t="n">
        <v>21.8</v>
      </c>
      <c r="CE33" s="13" t="n">
        <v>2335</v>
      </c>
      <c r="CF33" s="13" t="n">
        <v>0.9</v>
      </c>
      <c r="CG33" s="13" t="n">
        <v>2091</v>
      </c>
      <c r="CH33" s="13" t="n">
        <v>263</v>
      </c>
      <c r="CI33" s="13" t="n">
        <v>135</v>
      </c>
      <c r="CJ33" s="13" t="n">
        <v>56</v>
      </c>
      <c r="CK33" s="13" t="n">
        <v>298</v>
      </c>
      <c r="CL33" s="13" t="n">
        <v>46</v>
      </c>
      <c r="CM33" s="13" t="n">
        <v>253</v>
      </c>
      <c r="CN33" s="13" t="n">
        <v>0.823</v>
      </c>
      <c r="CO33" s="13" t="n">
        <v>174</v>
      </c>
      <c r="CP33" s="13" t="n">
        <v>174</v>
      </c>
      <c r="CQ33" s="13" t="n">
        <v>125</v>
      </c>
      <c r="CR33" s="13" t="n">
        <v>9</v>
      </c>
      <c r="CS33" s="13" t="n">
        <v>5.2</v>
      </c>
      <c r="CT33" s="11" t="inlineStr">
        <is>
          <t xml:space="preserve"> Resort Freeride</t>
        </is>
      </c>
      <c r="CU33" s="11" t="inlineStr">
        <is>
          <t xml:space="preserve"> Freeski</t>
        </is>
      </c>
      <c r="CV33" s="11" t="inlineStr">
        <is>
          <t xml:space="preserve"> Powder</t>
        </is>
      </c>
      <c r="CW33" s="13" t="n"/>
      <c r="CX33">
        <f>INDEX('Data_Price '!AG$2:AG$1266,MATCH(Data!$DN33,'Data_Price '!$AT$2:$AT$1266,0))</f>
        <v/>
      </c>
      <c r="CY33">
        <f>INDEX('Data_Price '!AH$2:AH$1266,MATCH(Data!$DN33,'Data_Price '!$AT$2:$AT$1266,0))</f>
        <v/>
      </c>
      <c r="CZ33">
        <f>INDEX('Data_Price '!AI$2:AI$1266,MATCH(Data!$DN33,'Data_Price '!$AT$2:$AT$1266,0))</f>
        <v/>
      </c>
      <c r="DA33">
        <f>INDEX('Data_Price '!AJ$2:AJ$1266,MATCH(Data!$DN33,'Data_Price '!$AT$2:$AT$1266,0))</f>
        <v/>
      </c>
      <c r="DB33">
        <f>INDEX('Data_Price '!AK$2:AK$1266,MATCH(Data!$DN33,'Data_Price '!$AT$2:$AT$1266,0))</f>
        <v/>
      </c>
      <c r="DC33">
        <f>INDEX('Data_Price '!AL$2:AL$1266,MATCH(Data!$DN33,'Data_Price '!$AT$2:$AT$1266,0))</f>
        <v/>
      </c>
      <c r="DD33">
        <f>INDEX('Data_Price '!AM$2:AM$1266,MATCH(Data!$DN33,'Data_Price '!$AT$2:$AT$1266,0))</f>
        <v/>
      </c>
      <c r="DE33">
        <f>INDEX('Data_Price '!AN$2:AN$1266,MATCH(Data!$DN33,'Data_Price '!$AT$2:$AT$1266,0))</f>
        <v/>
      </c>
      <c r="DF33">
        <f>INDEX('Data_Price '!AO$2:AO$1266,MATCH(Data!$DN33,'Data_Price '!$AT$2:$AT$1266,0))</f>
        <v/>
      </c>
      <c r="DG33">
        <f>INDEX('Data_Price '!AP$2:AP$1266,MATCH(Data!$DN33,'Data_Price '!$AT$2:$AT$1266,0))</f>
        <v/>
      </c>
      <c r="DH33">
        <f>INDEX('Data_Price '!AQ$2:AQ$1266,MATCH(Data!$DN33,'Data_Price '!$AT$2:$AT$1266,0))</f>
        <v/>
      </c>
      <c r="DI33">
        <f>INDEX('Data_Price '!AR$2:AR$1266,MATCH(Data!$DN33,'Data_Price '!$AT$2:$AT$1266,0))</f>
        <v/>
      </c>
      <c r="DJ33" s="138">
        <f>DA33</f>
        <v/>
      </c>
      <c r="DK33" s="138">
        <f>DE33</f>
        <v/>
      </c>
      <c r="DL33" s="138">
        <f>DI33</f>
        <v/>
      </c>
      <c r="DM33" s="303">
        <f>IF(LEFT(BT33,1)=" ",RIGHT(BT33,LEN(BT33)-1),BT33)</f>
        <v/>
      </c>
      <c r="DN33" s="138">
        <f>_xlfn.CONCAT(BS33,DM33,BU33,BV33)</f>
        <v/>
      </c>
      <c r="DO33" s="307" t="inlineStr">
        <is>
          <t>https://images.evo.com/imgp/250/198701/839671/armada-arv-106-skis-2022-.jpg</t>
        </is>
      </c>
    </row>
    <row r="34" ht="15.6" customHeight="1" s="184">
      <c r="B34" s="303">
        <f t="array" ref="B34">IF(OR(ISERROR(K34:P34)),FALSE,TRUE)</f>
        <v/>
      </c>
      <c r="C34" s="60">
        <f>OR(BR34=Driver!$G$50,Data!BR23=Driver!$H$50)</f>
        <v/>
      </c>
      <c r="D34" s="60">
        <f>OR(BV34=Driver!$G$51,BV34=Driver!$H$51)</f>
        <v/>
      </c>
      <c r="E34" s="60">
        <f>AND(BX34&gt;Driver!$F$54,BX34&lt;Driver!$G$54)</f>
        <v/>
      </c>
      <c r="F34" s="60">
        <f>CL34&gt;Driver!$F$56</f>
        <v/>
      </c>
      <c r="G34" s="60">
        <f>AND(CB34&gt;Driver!$F$55,CB34&lt;Driver!$G$55)</f>
        <v/>
      </c>
      <c r="H34" s="60">
        <f>AND(B34:G34)</f>
        <v/>
      </c>
      <c r="I34" s="60">
        <f>COUNTIFS($H$9:$H$1273,TRUE,$BT$9:$BT$1273,BT34)</f>
        <v/>
      </c>
      <c r="J34" s="60">
        <f t="array" ref="J34">NOT(OR(($H$9:$H$1273=TRUE)*($I$9:$I$1273&gt;0)*($BT$9:$BT$1273=BT34)*($K$9:$K$1273&gt;K34)))</f>
        <v/>
      </c>
      <c r="K34" s="108">
        <f>IFERROR(1-AVERAGE(X34:Y34),"")</f>
        <v/>
      </c>
      <c r="L34" s="108">
        <f>1-X34</f>
        <v/>
      </c>
      <c r="M34" s="108">
        <f>1-Y34</f>
        <v/>
      </c>
      <c r="N34" s="108">
        <f>1-Z34</f>
        <v/>
      </c>
      <c r="O34" s="108">
        <f>1-AA34</f>
        <v/>
      </c>
      <c r="P34" s="108">
        <f>1-AB34</f>
        <v/>
      </c>
      <c r="Q34" s="108" t="n"/>
      <c r="R34" s="108" t="n"/>
      <c r="S34" s="108">
        <f>1-AE34</f>
        <v/>
      </c>
      <c r="T34" s="108">
        <f>1-AF34</f>
        <v/>
      </c>
      <c r="U34" s="108">
        <f>1-AG34</f>
        <v/>
      </c>
      <c r="V34" s="108">
        <f>1-AH34</f>
        <v/>
      </c>
      <c r="W34" s="108">
        <f>1-AI34</f>
        <v/>
      </c>
      <c r="X34" s="108">
        <f>ABS(AJ34-AJ$1)</f>
        <v/>
      </c>
      <c r="Y34" s="108">
        <f>AVERAGE(Z34:AB34)</f>
        <v/>
      </c>
      <c r="Z34" s="108">
        <f>ABS(AL34-AL$1)</f>
        <v/>
      </c>
      <c r="AA34" s="108">
        <f>ABS(AM34-AM$1)</f>
        <v/>
      </c>
      <c r="AB34" s="108">
        <f>ABS(AN34-AN$1)</f>
        <v/>
      </c>
      <c r="AC34" s="108" t="n"/>
      <c r="AD34" s="108" t="n"/>
      <c r="AE34" s="108">
        <f>ABS(AQ$1-AQ34)</f>
        <v/>
      </c>
      <c r="AF34" s="108">
        <f>ABS(AR$1-AR34)</f>
        <v/>
      </c>
      <c r="AG34" s="108">
        <f>ABS(AS$1-AS34)</f>
        <v/>
      </c>
      <c r="AH34" s="108">
        <f>ABS(AT$1-AT34)</f>
        <v/>
      </c>
      <c r="AI34" s="108">
        <f>ABS(AU$1-AU34)</f>
        <v/>
      </c>
      <c r="AJ34" s="108">
        <f>(AV34-Driver!$K$179)/(Driver!$L$179-Driver!$K$179)</f>
        <v/>
      </c>
      <c r="AK34" s="108">
        <f>(AW34-Driver!$K$180)/(Driver!$L$180-Driver!$K$180)</f>
        <v/>
      </c>
      <c r="AL34" s="108">
        <f>(AX34-Driver!$K$181)/(Driver!$L$181-Driver!$K$181)</f>
        <v/>
      </c>
      <c r="AM34" s="108">
        <f>(AY34-Driver!$K$182)/(Driver!$L$182-Driver!$K$182)</f>
        <v/>
      </c>
      <c r="AN34" s="108">
        <f>(AZ34-Driver!$K$183)/(Driver!$L$183-Driver!$K$183)</f>
        <v/>
      </c>
      <c r="AO34" s="108" t="n"/>
      <c r="AP34" s="108" t="n"/>
      <c r="AQ34" s="108">
        <f>(BC34-Driver!$K$188)/(Driver!$L$188-Driver!$K$188)</f>
        <v/>
      </c>
      <c r="AR34" s="108">
        <f>MIN((BD34-Driver!$K$189)/(Driver!$L$189-Driver!$K$189),100%)</f>
        <v/>
      </c>
      <c r="AS34" s="108">
        <f>(BE34-Driver!$K$190)/(Driver!$L$190-Driver!$K$190)</f>
        <v/>
      </c>
      <c r="AT34" s="108">
        <f>(BF34-Driver!$K$191)/(Driver!$L$191-Driver!$K$191)</f>
        <v/>
      </c>
      <c r="AU34" s="108">
        <f>(BG34-Driver!$K$192)/(Driver!$L$192-Driver!$K$192)</f>
        <v/>
      </c>
      <c r="AV34" s="105">
        <f>IFERROR(BM34*BJ34^1/4,"")</f>
        <v/>
      </c>
      <c r="AW34" s="105">
        <f>IFERROR(SUM(AX34:AZ34),"")</f>
        <v/>
      </c>
      <c r="AX34" s="105">
        <f>IFERROR(BH34,"")</f>
        <v/>
      </c>
      <c r="AY34" s="105">
        <f>IFERROR(Driver!$K$19/Data!BH34/Data!BI34*Data!BK34*Data!BL34,"")</f>
        <v/>
      </c>
      <c r="AZ34" s="105">
        <f>IFERROR(BI34*BN34,"")</f>
        <v/>
      </c>
      <c r="BA34" s="105" t="n"/>
      <c r="BB34" s="105" t="n"/>
      <c r="BC34" s="105">
        <f>IFERROR(BI34*BN34*BK34/BJ34^(1/2),"")</f>
        <v/>
      </c>
      <c r="BD34" s="105">
        <f>IFERROR(BH34*BM34*BL34/BJ34/BK34,"")</f>
        <v/>
      </c>
      <c r="BE34" s="105">
        <f>IFERROR(MIN(BI34/BQ34/BP34/BO34/BH34,$BE$1),"")</f>
        <v/>
      </c>
      <c r="BF34" s="105">
        <f>IFERROR(BJ34*BO34*BP34/BK34,"")</f>
        <v/>
      </c>
      <c r="BG34" s="105">
        <f>IFERROR(1/BM34/BH34*BQ34,"")</f>
        <v/>
      </c>
      <c r="BH34" s="102">
        <f>MAX((CE34-Driver!$F$200)/(Driver!$G$200-Driver!$F$200)*$BI$1,1)</f>
        <v/>
      </c>
      <c r="BI34" s="102">
        <f>MAX($BI$1*(BY34-Driver!$F$201)/(Driver!$G$201-Driver!$F$201),1)</f>
        <v/>
      </c>
      <c r="BJ34" s="102">
        <f>(CB34-Driver!$F$206)/(Driver!$G$206-Driver!$F$206)*$BI$1</f>
        <v/>
      </c>
      <c r="BK34" s="102">
        <f>(CD34-Driver!$F$203)/(Driver!$G$203-Driver!$F$203)*$BI$1</f>
        <v/>
      </c>
      <c r="BL34" s="102">
        <f>MAX((CR34-Driver!$F$202)/(Driver!$G$202-Driver!$F$202)*$BI$1,1)</f>
        <v/>
      </c>
      <c r="BM34" s="102">
        <f>MAX((CH34-Driver!$F$204)/(Driver!$G$204-Driver!$F$204)*$BI$1,1)</f>
        <v/>
      </c>
      <c r="BN34" s="102">
        <f>(CI34-Driver!$F$205)/(Driver!$G$205-Driver!$F$205)*$BI$1</f>
        <v/>
      </c>
      <c r="BO34" s="102">
        <f>(CK34-Driver!$F$207)/(Driver!$G$207-Driver!$F$207)*$BI$1</f>
        <v/>
      </c>
      <c r="BP34" s="102">
        <f>(CM34-Driver!$F$208)/(Driver!$G$208-Driver!$F$208)*$BI$1</f>
        <v/>
      </c>
      <c r="BQ34" s="102">
        <f>(CL34-Driver!$F$209)/(Driver!$G$209-Driver!$F$209)*$BI$1</f>
        <v/>
      </c>
      <c r="BR34" s="40" t="inlineStr">
        <is>
          <t>21/22</t>
        </is>
      </c>
      <c r="BS34" s="10" t="inlineStr">
        <is>
          <t xml:space="preserve"> 4FRNT</t>
        </is>
      </c>
      <c r="BT34" s="11" t="inlineStr">
        <is>
          <t xml:space="preserve"> Renegade</t>
        </is>
      </c>
      <c r="BU34" s="13" t="n">
        <v>184</v>
      </c>
      <c r="BV34" s="11" t="inlineStr">
        <is>
          <t xml:space="preserve"> Unisex</t>
        </is>
      </c>
      <c r="BW34" s="13" t="n">
        <v>184</v>
      </c>
      <c r="BX34" s="13" t="n">
        <v>182.2</v>
      </c>
      <c r="BY34" s="13" t="n">
        <v>0</v>
      </c>
      <c r="BZ34" s="13" t="n">
        <v>131</v>
      </c>
      <c r="CA34" s="13" t="n">
        <v>136</v>
      </c>
      <c r="CB34" s="13" t="n">
        <v>122</v>
      </c>
      <c r="CC34" s="13" t="n">
        <v>129</v>
      </c>
      <c r="CD34" s="13" t="n">
        <v>31.2</v>
      </c>
      <c r="CE34" s="13" t="n">
        <v>2031</v>
      </c>
      <c r="CF34" s="13" t="n">
        <v>1.12</v>
      </c>
      <c r="CG34" s="13" t="n">
        <v>2279</v>
      </c>
      <c r="CH34" s="13" t="n">
        <v>287</v>
      </c>
      <c r="CI34" s="13" t="n">
        <v>124</v>
      </c>
      <c r="CJ34" s="13" t="n">
        <v>83</v>
      </c>
      <c r="CK34" s="13" t="n">
        <v>968</v>
      </c>
      <c r="CL34" s="13" t="n">
        <v>34</v>
      </c>
      <c r="CM34" s="13" t="n">
        <v>854</v>
      </c>
      <c r="CN34" s="13" t="n">
        <v>0.405</v>
      </c>
      <c r="CO34" s="13" t="n">
        <v>238</v>
      </c>
      <c r="CP34" s="13" t="n">
        <v>276</v>
      </c>
      <c r="CQ34" s="13" t="n">
        <v>730</v>
      </c>
      <c r="CR34" s="13" t="n">
        <v>-10</v>
      </c>
      <c r="CS34" s="13" t="n">
        <v>5.7</v>
      </c>
      <c r="CT34" s="11" t="inlineStr">
        <is>
          <t xml:space="preserve"> Powder</t>
        </is>
      </c>
      <c r="CU34" s="11" t="inlineStr">
        <is>
          <t xml:space="preserve"> Touring</t>
        </is>
      </c>
      <c r="CV34" s="13" t="n"/>
      <c r="CW34" s="13" t="n"/>
      <c r="CX34">
        <f>INDEX('Data_Price '!AG$2:AG$1266,MATCH(Data!$DN34,'Data_Price '!$AT$2:$AT$1266,0))</f>
        <v/>
      </c>
      <c r="CY34">
        <f>INDEX('Data_Price '!AH$2:AH$1266,MATCH(Data!$DN34,'Data_Price '!$AT$2:$AT$1266,0))</f>
        <v/>
      </c>
      <c r="CZ34">
        <f>INDEX('Data_Price '!AI$2:AI$1266,MATCH(Data!$DN34,'Data_Price '!$AT$2:$AT$1266,0))</f>
        <v/>
      </c>
      <c r="DA34">
        <f>INDEX('Data_Price '!AJ$2:AJ$1266,MATCH(Data!$DN34,'Data_Price '!$AT$2:$AT$1266,0))</f>
        <v/>
      </c>
      <c r="DB34">
        <f>INDEX('Data_Price '!AK$2:AK$1266,MATCH(Data!$DN34,'Data_Price '!$AT$2:$AT$1266,0))</f>
        <v/>
      </c>
      <c r="DC34">
        <f>INDEX('Data_Price '!AL$2:AL$1266,MATCH(Data!$DN34,'Data_Price '!$AT$2:$AT$1266,0))</f>
        <v/>
      </c>
      <c r="DD34">
        <f>INDEX('Data_Price '!AM$2:AM$1266,MATCH(Data!$DN34,'Data_Price '!$AT$2:$AT$1266,0))</f>
        <v/>
      </c>
      <c r="DE34">
        <f>INDEX('Data_Price '!AN$2:AN$1266,MATCH(Data!$DN34,'Data_Price '!$AT$2:$AT$1266,0))</f>
        <v/>
      </c>
      <c r="DF34">
        <f>INDEX('Data_Price '!AO$2:AO$1266,MATCH(Data!$DN34,'Data_Price '!$AT$2:$AT$1266,0))</f>
        <v/>
      </c>
      <c r="DG34">
        <f>INDEX('Data_Price '!AP$2:AP$1266,MATCH(Data!$DN34,'Data_Price '!$AT$2:$AT$1266,0))</f>
        <v/>
      </c>
      <c r="DH34">
        <f>INDEX('Data_Price '!AQ$2:AQ$1266,MATCH(Data!$DN34,'Data_Price '!$AT$2:$AT$1266,0))</f>
        <v/>
      </c>
      <c r="DI34">
        <f>INDEX('Data_Price '!AR$2:AR$1266,MATCH(Data!$DN34,'Data_Price '!$AT$2:$AT$1266,0))</f>
        <v/>
      </c>
      <c r="DJ34" s="138">
        <f>DA34</f>
        <v/>
      </c>
      <c r="DK34" s="138">
        <f>DE34</f>
        <v/>
      </c>
      <c r="DL34" s="138">
        <f>DI34</f>
        <v/>
      </c>
      <c r="DM34" s="303">
        <f>IF(LEFT(BT34,1)=" ",RIGHT(BT34,LEN(BT34)-1),BT34)</f>
        <v/>
      </c>
      <c r="DN34" s="138">
        <f>_xlfn.CONCAT(BS34,DM34,BU34,BV34)</f>
        <v/>
      </c>
      <c r="DO34" s="307" t="n"/>
    </row>
    <row r="35" ht="15.6" customHeight="1" s="184">
      <c r="B35" s="303">
        <f t="array" ref="B35">IF(OR(ISERROR(K35:P35)),FALSE,TRUE)</f>
        <v/>
      </c>
      <c r="C35" s="60">
        <f>OR(BR35=Driver!$G$50,Data!BR1121=Driver!$H$50)</f>
        <v/>
      </c>
      <c r="D35" s="60">
        <f>OR(BV35=Driver!$G$51,BV35=Driver!$H$51)</f>
        <v/>
      </c>
      <c r="E35" s="60">
        <f>AND(BX35&gt;Driver!$F$54,BX35&lt;Driver!$G$54)</f>
        <v/>
      </c>
      <c r="F35" s="60">
        <f>CL35&gt;Driver!$F$56</f>
        <v/>
      </c>
      <c r="G35" s="60">
        <f>AND(CB35&gt;Driver!$F$55,CB35&lt;Driver!$G$55)</f>
        <v/>
      </c>
      <c r="H35" s="60">
        <f>AND(B35:G35)</f>
        <v/>
      </c>
      <c r="I35" s="60">
        <f>COUNTIFS($H$9:$H$1273,TRUE,$BT$9:$BT$1273,BT35)</f>
        <v/>
      </c>
      <c r="J35" s="60">
        <f t="array" ref="J35">NOT(OR(($H$9:$H$1273=TRUE)*($I$9:$I$1273&gt;0)*($BT$9:$BT$1273=BT35)*($K$9:$K$1273&gt;K35)))</f>
        <v/>
      </c>
      <c r="K35" s="108">
        <f>IFERROR(1-AVERAGE(X35:Y35),"")</f>
        <v/>
      </c>
      <c r="L35" s="108">
        <f>1-X35</f>
        <v/>
      </c>
      <c r="M35" s="108">
        <f>1-Y35</f>
        <v/>
      </c>
      <c r="N35" s="108">
        <f>1-Z35</f>
        <v/>
      </c>
      <c r="O35" s="108">
        <f>1-AA35</f>
        <v/>
      </c>
      <c r="P35" s="108">
        <f>1-AB35</f>
        <v/>
      </c>
      <c r="Q35" s="108" t="n"/>
      <c r="R35" s="108" t="n"/>
      <c r="S35" s="108">
        <f>1-AE35</f>
        <v/>
      </c>
      <c r="T35" s="108">
        <f>1-AF35</f>
        <v/>
      </c>
      <c r="U35" s="108">
        <f>1-AG35</f>
        <v/>
      </c>
      <c r="V35" s="108">
        <f>1-AH35</f>
        <v/>
      </c>
      <c r="W35" s="108">
        <f>1-AI35</f>
        <v/>
      </c>
      <c r="X35" s="108">
        <f>ABS(AJ35-AJ$1)</f>
        <v/>
      </c>
      <c r="Y35" s="108">
        <f>AVERAGE(Z35:AB35)</f>
        <v/>
      </c>
      <c r="Z35" s="108">
        <f>ABS(AL35-AL$1)</f>
        <v/>
      </c>
      <c r="AA35" s="108">
        <f>ABS(AM35-AM$1)</f>
        <v/>
      </c>
      <c r="AB35" s="108">
        <f>ABS(AN35-AN$1)</f>
        <v/>
      </c>
      <c r="AC35" s="108" t="n"/>
      <c r="AD35" s="108" t="n"/>
      <c r="AE35" s="108">
        <f>ABS(AQ$1-AQ35)</f>
        <v/>
      </c>
      <c r="AF35" s="108">
        <f>ABS(AR$1-AR35)</f>
        <v/>
      </c>
      <c r="AG35" s="108">
        <f>ABS(AS$1-AS35)</f>
        <v/>
      </c>
      <c r="AH35" s="108">
        <f>ABS(AT$1-AT35)</f>
        <v/>
      </c>
      <c r="AI35" s="108">
        <f>ABS(AU$1-AU35)</f>
        <v/>
      </c>
      <c r="AJ35" s="108">
        <f>(AV35-Driver!$K$179)/(Driver!$L$179-Driver!$K$179)</f>
        <v/>
      </c>
      <c r="AK35" s="108">
        <f>(AW35-Driver!$K$180)/(Driver!$L$180-Driver!$K$180)</f>
        <v/>
      </c>
      <c r="AL35" s="108">
        <f>(AX35-Driver!$K$181)/(Driver!$L$181-Driver!$K$181)</f>
        <v/>
      </c>
      <c r="AM35" s="108">
        <f>(AY35-Driver!$K$182)/(Driver!$L$182-Driver!$K$182)</f>
        <v/>
      </c>
      <c r="AN35" s="108">
        <f>(AZ35-Driver!$K$183)/(Driver!$L$183-Driver!$K$183)</f>
        <v/>
      </c>
      <c r="AO35" s="108" t="n"/>
      <c r="AP35" s="108" t="n"/>
      <c r="AQ35" s="108">
        <f>(BC35-Driver!$K$188)/(Driver!$L$188-Driver!$K$188)</f>
        <v/>
      </c>
      <c r="AR35" s="108">
        <f>MIN((BD35-Driver!$K$189)/(Driver!$L$189-Driver!$K$189),100%)</f>
        <v/>
      </c>
      <c r="AS35" s="108">
        <f>(BE35-Driver!$K$190)/(Driver!$L$190-Driver!$K$190)</f>
        <v/>
      </c>
      <c r="AT35" s="108">
        <f>(BF35-Driver!$K$191)/(Driver!$L$191-Driver!$K$191)</f>
        <v/>
      </c>
      <c r="AU35" s="108">
        <f>(BG35-Driver!$K$192)/(Driver!$L$192-Driver!$K$192)</f>
        <v/>
      </c>
      <c r="AV35" s="105">
        <f>IFERROR(BM35*BJ35^1/4,"")</f>
        <v/>
      </c>
      <c r="AW35" s="105">
        <f>IFERROR(SUM(AX35:AZ35),"")</f>
        <v/>
      </c>
      <c r="AX35" s="105">
        <f>IFERROR(BH35,"")</f>
        <v/>
      </c>
      <c r="AY35" s="105">
        <f>IFERROR(Driver!$K$19/Data!BH35/Data!BI35*Data!BK35*Data!BL35,"")</f>
        <v/>
      </c>
      <c r="AZ35" s="105">
        <f>IFERROR(BI35*BN35,"")</f>
        <v/>
      </c>
      <c r="BA35" s="105" t="n"/>
      <c r="BB35" s="105" t="n"/>
      <c r="BC35" s="105">
        <f>IFERROR(BI35*BN35*BK35/BJ35^(1/2),"")</f>
        <v/>
      </c>
      <c r="BD35" s="105">
        <f>IFERROR(BH35*BM35*BL35/BJ35/BK35,"")</f>
        <v/>
      </c>
      <c r="BE35" s="105">
        <f>IFERROR(MIN(BI35/BQ35/BP35/BO35/BH35,$BE$1),"")</f>
        <v/>
      </c>
      <c r="BF35" s="105">
        <f>IFERROR(BJ35*BO35*BP35/BK35,"")</f>
        <v/>
      </c>
      <c r="BG35" s="105">
        <f>IFERROR(1/BM35/BH35*BQ35,"")</f>
        <v/>
      </c>
      <c r="BH35" s="102">
        <f>MAX((CE35-Driver!$F$200)/(Driver!$G$200-Driver!$F$200)*$BI$1,1)</f>
        <v/>
      </c>
      <c r="BI35" s="102">
        <f>MAX($BI$1*(BY35-Driver!$F$201)/(Driver!$G$201-Driver!$F$201),1)</f>
        <v/>
      </c>
      <c r="BJ35" s="102">
        <f>(CB35-Driver!$F$206)/(Driver!$G$206-Driver!$F$206)*$BI$1</f>
        <v/>
      </c>
      <c r="BK35" s="102">
        <f>(CD35-Driver!$F$203)/(Driver!$G$203-Driver!$F$203)*$BI$1</f>
        <v/>
      </c>
      <c r="BL35" s="102">
        <f>MAX((CR35-Driver!$F$202)/(Driver!$G$202-Driver!$F$202)*$BI$1,1)</f>
        <v/>
      </c>
      <c r="BM35" s="102">
        <f>MAX((CH35-Driver!$F$204)/(Driver!$G$204-Driver!$F$204)*$BI$1,1)</f>
        <v/>
      </c>
      <c r="BN35" s="102">
        <f>(CI35-Driver!$F$205)/(Driver!$G$205-Driver!$F$205)*$BI$1</f>
        <v/>
      </c>
      <c r="BO35" s="102">
        <f>(CK35-Driver!$F$207)/(Driver!$G$207-Driver!$F$207)*$BI$1</f>
        <v/>
      </c>
      <c r="BP35" s="102">
        <f>(CM35-Driver!$F$208)/(Driver!$G$208-Driver!$F$208)*$BI$1</f>
        <v/>
      </c>
      <c r="BQ35" s="102">
        <f>(CL35-Driver!$F$209)/(Driver!$G$209-Driver!$F$209)*$BI$1</f>
        <v/>
      </c>
      <c r="BR35" s="40" t="inlineStr">
        <is>
          <t>21/22</t>
        </is>
      </c>
      <c r="BS35" s="10" t="inlineStr">
        <is>
          <t xml:space="preserve"> Scott</t>
        </is>
      </c>
      <c r="BT35" s="11" t="inlineStr">
        <is>
          <t>Slight 93</t>
        </is>
      </c>
      <c r="BU35" s="13" t="n">
        <v>180</v>
      </c>
      <c r="BV35" s="11" t="inlineStr">
        <is>
          <t xml:space="preserve"> Unisex</t>
        </is>
      </c>
      <c r="BW35" s="13" t="n">
        <v>180</v>
      </c>
      <c r="BX35" s="13" t="n">
        <v>178.5</v>
      </c>
      <c r="BY35" s="13" t="n">
        <v>139</v>
      </c>
      <c r="BZ35" s="13" t="n">
        <v>157</v>
      </c>
      <c r="CA35" s="13" t="n">
        <v>137</v>
      </c>
      <c r="CB35" s="13" t="n">
        <v>94</v>
      </c>
      <c r="CC35" s="13" t="n">
        <v>124</v>
      </c>
      <c r="CD35" s="13" t="n">
        <v>17</v>
      </c>
      <c r="CE35" s="13" t="n">
        <v>1609</v>
      </c>
      <c r="CF35" s="13" t="n">
        <v>1.19</v>
      </c>
      <c r="CG35" s="13" t="n">
        <v>1921</v>
      </c>
      <c r="CH35" s="13" t="n">
        <v>242</v>
      </c>
      <c r="CI35" s="13" t="n">
        <v>103</v>
      </c>
      <c r="CJ35" s="13" t="n">
        <v>56</v>
      </c>
      <c r="CK35" s="13" t="n">
        <v>265</v>
      </c>
      <c r="CL35" s="13" t="n">
        <v>19</v>
      </c>
      <c r="CM35" s="13" t="n">
        <v>130</v>
      </c>
      <c r="CN35" s="13" t="n">
        <v>0.338</v>
      </c>
      <c r="CO35" s="13" t="n">
        <v>123</v>
      </c>
      <c r="CP35" s="13" t="n">
        <v>88</v>
      </c>
      <c r="CQ35" s="13" t="n">
        <v>142</v>
      </c>
      <c r="CR35" s="13" t="n">
        <v>6</v>
      </c>
      <c r="CS35" s="13" t="n">
        <v>12.4</v>
      </c>
      <c r="CT35" s="11" t="inlineStr">
        <is>
          <t xml:space="preserve"> Resort Freeride</t>
        </is>
      </c>
      <c r="CU35" s="11" t="inlineStr">
        <is>
          <t xml:space="preserve"> Touring</t>
        </is>
      </c>
      <c r="CV35" s="13" t="n"/>
      <c r="CW35" s="13" t="n"/>
      <c r="CX35">
        <f>INDEX('Data_Price '!AG$2:AG$1266,MATCH(Data!$DN35,'Data_Price '!$AT$2:$AT$1266,0))</f>
        <v/>
      </c>
      <c r="CY35">
        <f>INDEX('Data_Price '!AH$2:AH$1266,MATCH(Data!$DN35,'Data_Price '!$AT$2:$AT$1266,0))</f>
        <v/>
      </c>
      <c r="CZ35">
        <f>INDEX('Data_Price '!AI$2:AI$1266,MATCH(Data!$DN35,'Data_Price '!$AT$2:$AT$1266,0))</f>
        <v/>
      </c>
      <c r="DA35">
        <f>INDEX('Data_Price '!AJ$2:AJ$1266,MATCH(Data!$DN35,'Data_Price '!$AT$2:$AT$1266,0))</f>
        <v/>
      </c>
      <c r="DB35">
        <f>INDEX('Data_Price '!AK$2:AK$1266,MATCH(Data!$DN35,'Data_Price '!$AT$2:$AT$1266,0))</f>
        <v/>
      </c>
      <c r="DC35">
        <f>INDEX('Data_Price '!AL$2:AL$1266,MATCH(Data!$DN35,'Data_Price '!$AT$2:$AT$1266,0))</f>
        <v/>
      </c>
      <c r="DD35">
        <f>INDEX('Data_Price '!AM$2:AM$1266,MATCH(Data!$DN35,'Data_Price '!$AT$2:$AT$1266,0))</f>
        <v/>
      </c>
      <c r="DE35">
        <f>INDEX('Data_Price '!AN$2:AN$1266,MATCH(Data!$DN35,'Data_Price '!$AT$2:$AT$1266,0))</f>
        <v/>
      </c>
      <c r="DF35">
        <f>INDEX('Data_Price '!AO$2:AO$1266,MATCH(Data!$DN35,'Data_Price '!$AT$2:$AT$1266,0))</f>
        <v/>
      </c>
      <c r="DG35">
        <f>INDEX('Data_Price '!AP$2:AP$1266,MATCH(Data!$DN35,'Data_Price '!$AT$2:$AT$1266,0))</f>
        <v/>
      </c>
      <c r="DH35">
        <f>INDEX('Data_Price '!AQ$2:AQ$1266,MATCH(Data!$DN35,'Data_Price '!$AT$2:$AT$1266,0))</f>
        <v/>
      </c>
      <c r="DI35">
        <f>INDEX('Data_Price '!AR$2:AR$1266,MATCH(Data!$DN35,'Data_Price '!$AT$2:$AT$1266,0))</f>
        <v/>
      </c>
      <c r="DJ35" s="138">
        <f>DA35</f>
        <v/>
      </c>
      <c r="DK35" s="138">
        <f>DE35</f>
        <v/>
      </c>
      <c r="DL35" s="138">
        <f>DI35</f>
        <v/>
      </c>
      <c r="DM35" s="303">
        <f>IF(LEFT(BT35,1)=" ",RIGHT(BT35,LEN(BT35)-1),BT35)</f>
        <v/>
      </c>
      <c r="DN35" s="138">
        <f>_xlfn.CONCAT(BS35,DM35,BU35,BV35)</f>
        <v/>
      </c>
      <c r="DO35" s="307" t="n"/>
    </row>
    <row r="36" ht="15.6" customHeight="1" s="184">
      <c r="B36" s="303">
        <f t="array" ref="B36">IF(OR(ISERROR(K36:P36)),FALSE,TRUE)</f>
        <v/>
      </c>
      <c r="C36" s="60">
        <f>OR(BR36=Driver!$G$50,Data!BR121=Driver!$H$50)</f>
        <v/>
      </c>
      <c r="D36" s="60">
        <f>OR(BV36=Driver!$G$51,BV36=Driver!$H$51)</f>
        <v/>
      </c>
      <c r="E36" s="60">
        <f>AND(BX36&gt;Driver!$F$54,BX36&lt;Driver!$G$54)</f>
        <v/>
      </c>
      <c r="F36" s="60">
        <f>CL36&gt;Driver!$F$56</f>
        <v/>
      </c>
      <c r="G36" s="60">
        <f>AND(CB36&gt;Driver!$F$55,CB36&lt;Driver!$G$55)</f>
        <v/>
      </c>
      <c r="H36" s="60">
        <f>AND(B36:G36)</f>
        <v/>
      </c>
      <c r="I36" s="60">
        <f>COUNTIFS($H$9:$H$1273,TRUE,$BT$9:$BT$1273,BT36)</f>
        <v/>
      </c>
      <c r="J36" s="60">
        <f t="array" ref="J36">NOT(OR(($H$9:$H$1273=TRUE)*($I$9:$I$1273&gt;0)*($BT$9:$BT$1273=BT36)*($K$9:$K$1273&gt;K36)))</f>
        <v/>
      </c>
      <c r="K36" s="108">
        <f>IFERROR(1-AVERAGE(X36:Y36),"")</f>
        <v/>
      </c>
      <c r="L36" s="108">
        <f>1-X36</f>
        <v/>
      </c>
      <c r="M36" s="108">
        <f>1-Y36</f>
        <v/>
      </c>
      <c r="N36" s="108">
        <f>1-Z36</f>
        <v/>
      </c>
      <c r="O36" s="108">
        <f>1-AA36</f>
        <v/>
      </c>
      <c r="P36" s="108">
        <f>1-AB36</f>
        <v/>
      </c>
      <c r="Q36" s="108" t="n"/>
      <c r="R36" s="108" t="n"/>
      <c r="S36" s="108">
        <f>1-AE36</f>
        <v/>
      </c>
      <c r="T36" s="108">
        <f>1-AF36</f>
        <v/>
      </c>
      <c r="U36" s="108">
        <f>1-AG36</f>
        <v/>
      </c>
      <c r="V36" s="108">
        <f>1-AH36</f>
        <v/>
      </c>
      <c r="W36" s="108">
        <f>1-AI36</f>
        <v/>
      </c>
      <c r="X36" s="108">
        <f>ABS(AJ36-AJ$1)</f>
        <v/>
      </c>
      <c r="Y36" s="108">
        <f>AVERAGE(Z36:AB36)</f>
        <v/>
      </c>
      <c r="Z36" s="108">
        <f>ABS(AL36-AL$1)</f>
        <v/>
      </c>
      <c r="AA36" s="108">
        <f>ABS(AM36-AM$1)</f>
        <v/>
      </c>
      <c r="AB36" s="108">
        <f>ABS(AN36-AN$1)</f>
        <v/>
      </c>
      <c r="AC36" s="108" t="n"/>
      <c r="AD36" s="108" t="n"/>
      <c r="AE36" s="108">
        <f>ABS(AQ$1-AQ36)</f>
        <v/>
      </c>
      <c r="AF36" s="108">
        <f>ABS(AR$1-AR36)</f>
        <v/>
      </c>
      <c r="AG36" s="108">
        <f>ABS(AS$1-AS36)</f>
        <v/>
      </c>
      <c r="AH36" s="108">
        <f>ABS(AT$1-AT36)</f>
        <v/>
      </c>
      <c r="AI36" s="108">
        <f>ABS(AU$1-AU36)</f>
        <v/>
      </c>
      <c r="AJ36" s="108">
        <f>(AV36-Driver!$K$179)/(Driver!$L$179-Driver!$K$179)</f>
        <v/>
      </c>
      <c r="AK36" s="108">
        <f>(AW36-Driver!$K$180)/(Driver!$L$180-Driver!$K$180)</f>
        <v/>
      </c>
      <c r="AL36" s="108">
        <f>(AX36-Driver!$K$181)/(Driver!$L$181-Driver!$K$181)</f>
        <v/>
      </c>
      <c r="AM36" s="108">
        <f>(AY36-Driver!$K$182)/(Driver!$L$182-Driver!$K$182)</f>
        <v/>
      </c>
      <c r="AN36" s="108">
        <f>(AZ36-Driver!$K$183)/(Driver!$L$183-Driver!$K$183)</f>
        <v/>
      </c>
      <c r="AO36" s="108" t="n"/>
      <c r="AP36" s="108" t="n"/>
      <c r="AQ36" s="108">
        <f>(BC36-Driver!$K$188)/(Driver!$L$188-Driver!$K$188)</f>
        <v/>
      </c>
      <c r="AR36" s="108">
        <f>MIN((BD36-Driver!$K$189)/(Driver!$L$189-Driver!$K$189),100%)</f>
        <v/>
      </c>
      <c r="AS36" s="108">
        <f>(BE36-Driver!$K$190)/(Driver!$L$190-Driver!$K$190)</f>
        <v/>
      </c>
      <c r="AT36" s="108">
        <f>(BF36-Driver!$K$191)/(Driver!$L$191-Driver!$K$191)</f>
        <v/>
      </c>
      <c r="AU36" s="108">
        <f>(BG36-Driver!$K$192)/(Driver!$L$192-Driver!$K$192)</f>
        <v/>
      </c>
      <c r="AV36" s="105">
        <f>IFERROR(BM36*BJ36^1/4,"")</f>
        <v/>
      </c>
      <c r="AW36" s="105">
        <f>IFERROR(SUM(AX36:AZ36),"")</f>
        <v/>
      </c>
      <c r="AX36" s="105">
        <f>IFERROR(BH36,"")</f>
        <v/>
      </c>
      <c r="AY36" s="105">
        <f>IFERROR(Driver!$K$19/Data!BH36/Data!BI36*Data!BK36*Data!BL36,"")</f>
        <v/>
      </c>
      <c r="AZ36" s="105">
        <f>IFERROR(BI36*BN36,"")</f>
        <v/>
      </c>
      <c r="BA36" s="105" t="n"/>
      <c r="BB36" s="105" t="n"/>
      <c r="BC36" s="105">
        <f>IFERROR(BI36*BN36*BK36/BJ36^(1/2),"")</f>
        <v/>
      </c>
      <c r="BD36" s="105">
        <f>IFERROR(BH36*BM36*BL36/BJ36/BK36,"")</f>
        <v/>
      </c>
      <c r="BE36" s="105">
        <f>IFERROR(MIN(BI36/BQ36/BP36/BO36/BH36,$BE$1),"")</f>
        <v/>
      </c>
      <c r="BF36" s="105">
        <f>IFERROR(BJ36*BO36*BP36/BK36,"")</f>
        <v/>
      </c>
      <c r="BG36" s="105">
        <f>IFERROR(1/BM36/BH36*BQ36,"")</f>
        <v/>
      </c>
      <c r="BH36" s="102">
        <f>MAX((CE36-Driver!$F$200)/(Driver!$G$200-Driver!$F$200)*$BI$1,1)</f>
        <v/>
      </c>
      <c r="BI36" s="102">
        <f>MAX($BI$1*(BY36-Driver!$F$201)/(Driver!$G$201-Driver!$F$201),1)</f>
        <v/>
      </c>
      <c r="BJ36" s="102">
        <f>(CB36-Driver!$F$206)/(Driver!$G$206-Driver!$F$206)*$BI$1</f>
        <v/>
      </c>
      <c r="BK36" s="102">
        <f>(CD36-Driver!$F$203)/(Driver!$G$203-Driver!$F$203)*$BI$1</f>
        <v/>
      </c>
      <c r="BL36" s="102">
        <f>MAX((CR36-Driver!$F$202)/(Driver!$G$202-Driver!$F$202)*$BI$1,1)</f>
        <v/>
      </c>
      <c r="BM36" s="102">
        <f>MAX((CH36-Driver!$F$204)/(Driver!$G$204-Driver!$F$204)*$BI$1,1)</f>
        <v/>
      </c>
      <c r="BN36" s="102">
        <f>(CI36-Driver!$F$205)/(Driver!$G$205-Driver!$F$205)*$BI$1</f>
        <v/>
      </c>
      <c r="BO36" s="102">
        <f>(CK36-Driver!$F$207)/(Driver!$G$207-Driver!$F$207)*$BI$1</f>
        <v/>
      </c>
      <c r="BP36" s="102">
        <f>(CM36-Driver!$F$208)/(Driver!$G$208-Driver!$F$208)*$BI$1</f>
        <v/>
      </c>
      <c r="BQ36" s="102">
        <f>(CL36-Driver!$F$209)/(Driver!$G$209-Driver!$F$209)*$BI$1</f>
        <v/>
      </c>
      <c r="BR36" s="40" t="inlineStr">
        <is>
          <t>21/22</t>
        </is>
      </c>
      <c r="BS36" s="10" t="inlineStr">
        <is>
          <t xml:space="preserve"> Atomic</t>
        </is>
      </c>
      <c r="BT36" s="11" t="inlineStr">
        <is>
          <t>Backland 107</t>
        </is>
      </c>
      <c r="BU36" s="13" t="n">
        <v>182</v>
      </c>
      <c r="BV36" s="11" t="inlineStr">
        <is>
          <t xml:space="preserve"> Unisex</t>
        </is>
      </c>
      <c r="BW36" s="13" t="n">
        <v>182</v>
      </c>
      <c r="BX36" s="13" t="n">
        <v>181.2</v>
      </c>
      <c r="BY36" s="13" t="n">
        <v>121</v>
      </c>
      <c r="BZ36" s="13" t="n">
        <v>143</v>
      </c>
      <c r="CA36" s="13" t="n">
        <v>136</v>
      </c>
      <c r="CB36" s="13" t="n">
        <v>107</v>
      </c>
      <c r="CC36" s="13" t="n">
        <v>123</v>
      </c>
      <c r="CD36" s="13" t="n">
        <v>19.2</v>
      </c>
      <c r="CE36" s="13" t="n">
        <v>1649</v>
      </c>
      <c r="CF36" s="13" t="n">
        <v>1.27</v>
      </c>
      <c r="CG36" s="13" t="n">
        <v>2094</v>
      </c>
      <c r="CH36" s="13" t="n">
        <v>190</v>
      </c>
      <c r="CI36" s="13" t="n">
        <v>102</v>
      </c>
      <c r="CJ36" s="13" t="n">
        <v>47</v>
      </c>
      <c r="CK36" s="13" t="n">
        <v>373</v>
      </c>
      <c r="CL36" s="13" t="n">
        <v>16</v>
      </c>
      <c r="CM36" s="13" t="n">
        <v>230</v>
      </c>
      <c r="CN36" s="13" t="n">
        <v>0.347</v>
      </c>
      <c r="CO36" s="13" t="n">
        <v>214</v>
      </c>
      <c r="CP36" s="13" t="n">
        <v>170</v>
      </c>
      <c r="CQ36" s="13" t="n">
        <v>160</v>
      </c>
      <c r="CR36" s="13" t="n">
        <v>7</v>
      </c>
      <c r="CS36" s="13" t="n">
        <v>9.800000000000001</v>
      </c>
      <c r="CT36" s="11" t="inlineStr">
        <is>
          <t xml:space="preserve"> Big Mountain</t>
        </is>
      </c>
      <c r="CU36" s="11" t="inlineStr">
        <is>
          <t xml:space="preserve"> Touring</t>
        </is>
      </c>
      <c r="CV36" s="11" t="inlineStr">
        <is>
          <t xml:space="preserve"> Ultralight Touring</t>
        </is>
      </c>
      <c r="CW36" s="13" t="n"/>
      <c r="CX36">
        <f>INDEX('Data_Price '!AG$2:AG$1266,MATCH(Data!$DN36,'Data_Price '!$AT$2:$AT$1266,0))</f>
        <v/>
      </c>
      <c r="CY36">
        <f>INDEX('Data_Price '!AH$2:AH$1266,MATCH(Data!$DN36,'Data_Price '!$AT$2:$AT$1266,0))</f>
        <v/>
      </c>
      <c r="CZ36">
        <f>INDEX('Data_Price '!AI$2:AI$1266,MATCH(Data!$DN36,'Data_Price '!$AT$2:$AT$1266,0))</f>
        <v/>
      </c>
      <c r="DA36">
        <f>INDEX('Data_Price '!AJ$2:AJ$1266,MATCH(Data!$DN36,'Data_Price '!$AT$2:$AT$1266,0))</f>
        <v/>
      </c>
      <c r="DB36">
        <f>INDEX('Data_Price '!AK$2:AK$1266,MATCH(Data!$DN36,'Data_Price '!$AT$2:$AT$1266,0))</f>
        <v/>
      </c>
      <c r="DC36">
        <f>INDEX('Data_Price '!AL$2:AL$1266,MATCH(Data!$DN36,'Data_Price '!$AT$2:$AT$1266,0))</f>
        <v/>
      </c>
      <c r="DD36">
        <f>INDEX('Data_Price '!AM$2:AM$1266,MATCH(Data!$DN36,'Data_Price '!$AT$2:$AT$1266,0))</f>
        <v/>
      </c>
      <c r="DE36">
        <f>INDEX('Data_Price '!AN$2:AN$1266,MATCH(Data!$DN36,'Data_Price '!$AT$2:$AT$1266,0))</f>
        <v/>
      </c>
      <c r="DF36">
        <f>INDEX('Data_Price '!AO$2:AO$1266,MATCH(Data!$DN36,'Data_Price '!$AT$2:$AT$1266,0))</f>
        <v/>
      </c>
      <c r="DG36">
        <f>INDEX('Data_Price '!AP$2:AP$1266,MATCH(Data!$DN36,'Data_Price '!$AT$2:$AT$1266,0))</f>
        <v/>
      </c>
      <c r="DH36">
        <f>INDEX('Data_Price '!AQ$2:AQ$1266,MATCH(Data!$DN36,'Data_Price '!$AT$2:$AT$1266,0))</f>
        <v/>
      </c>
      <c r="DI36">
        <f>INDEX('Data_Price '!AR$2:AR$1266,MATCH(Data!$DN36,'Data_Price '!$AT$2:$AT$1266,0))</f>
        <v/>
      </c>
      <c r="DJ36" s="138">
        <f>DA36</f>
        <v/>
      </c>
      <c r="DK36" s="138">
        <f>DE36</f>
        <v/>
      </c>
      <c r="DL36" s="138">
        <f>DI36</f>
        <v/>
      </c>
      <c r="DM36" s="303">
        <f>IF(LEFT(BT36,1)=" ",RIGHT(BT36,LEN(BT36)-1),BT36)</f>
        <v/>
      </c>
      <c r="DN36" s="138">
        <f>_xlfn.CONCAT(BS36,DM36,BU36,BV36)</f>
        <v/>
      </c>
      <c r="DO36" s="307" t="inlineStr">
        <is>
          <t>https://images.evo.com/imgp/250/197750/826841/atomic-backland-107-skis-2022-.jpg</t>
        </is>
      </c>
    </row>
    <row r="37" ht="15.6" customHeight="1" s="184">
      <c r="B37" s="303">
        <f t="array" ref="B37">IF(OR(ISERROR(K37:P37)),FALSE,TRUE)</f>
        <v/>
      </c>
      <c r="C37" s="60">
        <f>OR(BR37=Driver!$G$50,Data!BR622=Driver!$H$50)</f>
        <v/>
      </c>
      <c r="D37" s="60">
        <f>OR(BV37=Driver!$G$51,BV37=Driver!$H$51)</f>
        <v/>
      </c>
      <c r="E37" s="60">
        <f>AND(BX37&gt;Driver!$F$54,BX37&lt;Driver!$G$54)</f>
        <v/>
      </c>
      <c r="F37" s="60">
        <f>CL37&gt;Driver!$F$56</f>
        <v/>
      </c>
      <c r="G37" s="60">
        <f>AND(CB37&gt;Driver!$F$55,CB37&lt;Driver!$G$55)</f>
        <v/>
      </c>
      <c r="H37" s="60">
        <f>AND(B37:G37)</f>
        <v/>
      </c>
      <c r="I37" s="60">
        <f>COUNTIFS($H$9:$H$1273,TRUE,$BT$9:$BT$1273,BT37)</f>
        <v/>
      </c>
      <c r="J37" s="60">
        <f t="array" ref="J37">NOT(OR(($H$9:$H$1273=TRUE)*($I$9:$I$1273&gt;0)*($BT$9:$BT$1273=BT37)*($K$9:$K$1273&gt;K37)))</f>
        <v/>
      </c>
      <c r="K37" s="108">
        <f>IFERROR(1-AVERAGE(X37:Y37),"")</f>
        <v/>
      </c>
      <c r="L37" s="108">
        <f>1-X37</f>
        <v/>
      </c>
      <c r="M37" s="108">
        <f>1-Y37</f>
        <v/>
      </c>
      <c r="N37" s="108">
        <f>1-Z37</f>
        <v/>
      </c>
      <c r="O37" s="108">
        <f>1-AA37</f>
        <v/>
      </c>
      <c r="P37" s="108">
        <f>1-AB37</f>
        <v/>
      </c>
      <c r="Q37" s="108" t="n"/>
      <c r="R37" s="108" t="n"/>
      <c r="S37" s="108">
        <f>1-AE37</f>
        <v/>
      </c>
      <c r="T37" s="108">
        <f>1-AF37</f>
        <v/>
      </c>
      <c r="U37" s="108">
        <f>1-AG37</f>
        <v/>
      </c>
      <c r="V37" s="108">
        <f>1-AH37</f>
        <v/>
      </c>
      <c r="W37" s="108">
        <f>1-AI37</f>
        <v/>
      </c>
      <c r="X37" s="108">
        <f>ABS(AJ37-AJ$1)</f>
        <v/>
      </c>
      <c r="Y37" s="108">
        <f>AVERAGE(Z37:AB37)</f>
        <v/>
      </c>
      <c r="Z37" s="108">
        <f>ABS(AL37-AL$1)</f>
        <v/>
      </c>
      <c r="AA37" s="108">
        <f>ABS(AM37-AM$1)</f>
        <v/>
      </c>
      <c r="AB37" s="108">
        <f>ABS(AN37-AN$1)</f>
        <v/>
      </c>
      <c r="AC37" s="108" t="n"/>
      <c r="AD37" s="108" t="n"/>
      <c r="AE37" s="108">
        <f>ABS(AQ$1-AQ37)</f>
        <v/>
      </c>
      <c r="AF37" s="108">
        <f>ABS(AR$1-AR37)</f>
        <v/>
      </c>
      <c r="AG37" s="108">
        <f>ABS(AS$1-AS37)</f>
        <v/>
      </c>
      <c r="AH37" s="108">
        <f>ABS(AT$1-AT37)</f>
        <v/>
      </c>
      <c r="AI37" s="108">
        <f>ABS(AU$1-AU37)</f>
        <v/>
      </c>
      <c r="AJ37" s="108">
        <f>(AV37-Driver!$K$179)/(Driver!$L$179-Driver!$K$179)</f>
        <v/>
      </c>
      <c r="AK37" s="108">
        <f>(AW37-Driver!$K$180)/(Driver!$L$180-Driver!$K$180)</f>
        <v/>
      </c>
      <c r="AL37" s="108">
        <f>(AX37-Driver!$K$181)/(Driver!$L$181-Driver!$K$181)</f>
        <v/>
      </c>
      <c r="AM37" s="108">
        <f>(AY37-Driver!$K$182)/(Driver!$L$182-Driver!$K$182)</f>
        <v/>
      </c>
      <c r="AN37" s="108">
        <f>(AZ37-Driver!$K$183)/(Driver!$L$183-Driver!$K$183)</f>
        <v/>
      </c>
      <c r="AO37" s="108" t="n"/>
      <c r="AP37" s="108" t="n"/>
      <c r="AQ37" s="108">
        <f>(BC37-Driver!$K$188)/(Driver!$L$188-Driver!$K$188)</f>
        <v/>
      </c>
      <c r="AR37" s="108">
        <f>MIN((BD37-Driver!$K$189)/(Driver!$L$189-Driver!$K$189),100%)</f>
        <v/>
      </c>
      <c r="AS37" s="108">
        <f>(BE37-Driver!$K$190)/(Driver!$L$190-Driver!$K$190)</f>
        <v/>
      </c>
      <c r="AT37" s="108">
        <f>(BF37-Driver!$K$191)/(Driver!$L$191-Driver!$K$191)</f>
        <v/>
      </c>
      <c r="AU37" s="108">
        <f>(BG37-Driver!$K$192)/(Driver!$L$192-Driver!$K$192)</f>
        <v/>
      </c>
      <c r="AV37" s="105">
        <f>IFERROR(BM37*BJ37^1/4,"")</f>
        <v/>
      </c>
      <c r="AW37" s="105">
        <f>IFERROR(SUM(AX37:AZ37),"")</f>
        <v/>
      </c>
      <c r="AX37" s="105">
        <f>IFERROR(BH37,"")</f>
        <v/>
      </c>
      <c r="AY37" s="105">
        <f>IFERROR(Driver!$K$19/Data!BH37/Data!BI37*Data!BK37*Data!BL37,"")</f>
        <v/>
      </c>
      <c r="AZ37" s="105">
        <f>IFERROR(BI37*BN37,"")</f>
        <v/>
      </c>
      <c r="BA37" s="105" t="n"/>
      <c r="BB37" s="105" t="n"/>
      <c r="BC37" s="105">
        <f>IFERROR(BI37*BN37*BK37/BJ37^(1/2),"")</f>
        <v/>
      </c>
      <c r="BD37" s="105">
        <f>IFERROR(BH37*BM37*BL37/BJ37/BK37,"")</f>
        <v/>
      </c>
      <c r="BE37" s="105">
        <f>IFERROR(MIN(BI37/BQ37/BP37/BO37/BH37,$BE$1),"")</f>
        <v/>
      </c>
      <c r="BF37" s="105">
        <f>IFERROR(BJ37*BO37*BP37/BK37,"")</f>
        <v/>
      </c>
      <c r="BG37" s="105">
        <f>IFERROR(1/BM37/BH37*BQ37,"")</f>
        <v/>
      </c>
      <c r="BH37" s="102">
        <f>MAX((CE37-Driver!$F$200)/(Driver!$G$200-Driver!$F$200)*$BI$1,1)</f>
        <v/>
      </c>
      <c r="BI37" s="102">
        <f>MAX($BI$1*(BY37-Driver!$F$201)/(Driver!$G$201-Driver!$F$201),1)</f>
        <v/>
      </c>
      <c r="BJ37" s="102">
        <f>(CB37-Driver!$F$206)/(Driver!$G$206-Driver!$F$206)*$BI$1</f>
        <v/>
      </c>
      <c r="BK37" s="102">
        <f>(CD37-Driver!$F$203)/(Driver!$G$203-Driver!$F$203)*$BI$1</f>
        <v/>
      </c>
      <c r="BL37" s="102">
        <f>MAX((CR37-Driver!$F$202)/(Driver!$G$202-Driver!$F$202)*$BI$1,1)</f>
        <v/>
      </c>
      <c r="BM37" s="102">
        <f>MAX((CH37-Driver!$F$204)/(Driver!$G$204-Driver!$F$204)*$BI$1,1)</f>
        <v/>
      </c>
      <c r="BN37" s="102">
        <f>(CI37-Driver!$F$205)/(Driver!$G$205-Driver!$F$205)*$BI$1</f>
        <v/>
      </c>
      <c r="BO37" s="102">
        <f>(CK37-Driver!$F$207)/(Driver!$G$207-Driver!$F$207)*$BI$1</f>
        <v/>
      </c>
      <c r="BP37" s="102">
        <f>(CM37-Driver!$F$208)/(Driver!$G$208-Driver!$F$208)*$BI$1</f>
        <v/>
      </c>
      <c r="BQ37" s="102">
        <f>(CL37-Driver!$F$209)/(Driver!$G$209-Driver!$F$209)*$BI$1</f>
        <v/>
      </c>
      <c r="BR37" s="40" t="inlineStr">
        <is>
          <t>21/22</t>
        </is>
      </c>
      <c r="BS37" s="10" t="inlineStr">
        <is>
          <t xml:space="preserve"> Head</t>
        </is>
      </c>
      <c r="BT37" s="11" t="inlineStr">
        <is>
          <t>Kore 93</t>
        </is>
      </c>
      <c r="BU37" s="13" t="n">
        <v>170</v>
      </c>
      <c r="BV37" s="11" t="inlineStr">
        <is>
          <t xml:space="preserve"> Unisex</t>
        </is>
      </c>
      <c r="BW37" s="13" t="n">
        <v>170</v>
      </c>
      <c r="BX37" s="13" t="n">
        <v>169.7</v>
      </c>
      <c r="BY37" s="13" t="n">
        <v>134</v>
      </c>
      <c r="BZ37" s="13" t="n">
        <v>140</v>
      </c>
      <c r="CA37" s="13" t="n">
        <v>129</v>
      </c>
      <c r="CB37" s="13" t="n">
        <v>90</v>
      </c>
      <c r="CC37" s="13" t="n">
        <v>112</v>
      </c>
      <c r="CD37" s="13" t="n">
        <v>14.6</v>
      </c>
      <c r="CE37" s="13" t="n">
        <v>1582</v>
      </c>
      <c r="CF37" s="13" t="n">
        <v>1.1</v>
      </c>
      <c r="CG37" s="13" t="n">
        <v>1742</v>
      </c>
      <c r="CH37" s="13" t="n">
        <v>228</v>
      </c>
      <c r="CI37" s="13" t="n">
        <v>101</v>
      </c>
      <c r="CJ37" s="13" t="n">
        <v>48</v>
      </c>
      <c r="CK37" s="13" t="n">
        <v>217</v>
      </c>
      <c r="CL37" s="13" t="n">
        <v>13</v>
      </c>
      <c r="CM37" s="13" t="n">
        <v>142</v>
      </c>
      <c r="CN37" s="13" t="n">
        <v>0.277</v>
      </c>
      <c r="CO37" s="13" t="n">
        <v>145</v>
      </c>
      <c r="CP37" s="13" t="n">
        <v>153</v>
      </c>
      <c r="CQ37" s="13" t="n">
        <v>71</v>
      </c>
      <c r="CR37" s="13" t="n">
        <v>6</v>
      </c>
      <c r="CS37" s="13" t="n">
        <v>10.3</v>
      </c>
      <c r="CT37" s="11" t="inlineStr">
        <is>
          <t xml:space="preserve"> Resort Freeride</t>
        </is>
      </c>
      <c r="CU37" s="11" t="inlineStr">
        <is>
          <t xml:space="preserve"> Touring</t>
        </is>
      </c>
      <c r="CV37" s="13" t="n"/>
      <c r="CW37" s="13" t="n"/>
      <c r="CX37">
        <f>INDEX('Data_Price '!AG$2:AG$1266,MATCH(Data!$DN37,'Data_Price '!$AT$2:$AT$1266,0))</f>
        <v/>
      </c>
      <c r="CY37">
        <f>INDEX('Data_Price '!AH$2:AH$1266,MATCH(Data!$DN37,'Data_Price '!$AT$2:$AT$1266,0))</f>
        <v/>
      </c>
      <c r="CZ37">
        <f>INDEX('Data_Price '!AI$2:AI$1266,MATCH(Data!$DN37,'Data_Price '!$AT$2:$AT$1266,0))</f>
        <v/>
      </c>
      <c r="DA37">
        <f>INDEX('Data_Price '!AJ$2:AJ$1266,MATCH(Data!$DN37,'Data_Price '!$AT$2:$AT$1266,0))</f>
        <v/>
      </c>
      <c r="DB37">
        <f>INDEX('Data_Price '!AK$2:AK$1266,MATCH(Data!$DN37,'Data_Price '!$AT$2:$AT$1266,0))</f>
        <v/>
      </c>
      <c r="DC37">
        <f>INDEX('Data_Price '!AL$2:AL$1266,MATCH(Data!$DN37,'Data_Price '!$AT$2:$AT$1266,0))</f>
        <v/>
      </c>
      <c r="DD37">
        <f>INDEX('Data_Price '!AM$2:AM$1266,MATCH(Data!$DN37,'Data_Price '!$AT$2:$AT$1266,0))</f>
        <v/>
      </c>
      <c r="DE37">
        <f>INDEX('Data_Price '!AN$2:AN$1266,MATCH(Data!$DN37,'Data_Price '!$AT$2:$AT$1266,0))</f>
        <v/>
      </c>
      <c r="DF37">
        <f>INDEX('Data_Price '!AO$2:AO$1266,MATCH(Data!$DN37,'Data_Price '!$AT$2:$AT$1266,0))</f>
        <v/>
      </c>
      <c r="DG37">
        <f>INDEX('Data_Price '!AP$2:AP$1266,MATCH(Data!$DN37,'Data_Price '!$AT$2:$AT$1266,0))</f>
        <v/>
      </c>
      <c r="DH37">
        <f>INDEX('Data_Price '!AQ$2:AQ$1266,MATCH(Data!$DN37,'Data_Price '!$AT$2:$AT$1266,0))</f>
        <v/>
      </c>
      <c r="DI37">
        <f>INDEX('Data_Price '!AR$2:AR$1266,MATCH(Data!$DN37,'Data_Price '!$AT$2:$AT$1266,0))</f>
        <v/>
      </c>
      <c r="DJ37" s="138">
        <f>DA37</f>
        <v/>
      </c>
      <c r="DK37" s="138">
        <f>DE37</f>
        <v/>
      </c>
      <c r="DL37" s="138">
        <f>DI37</f>
        <v/>
      </c>
      <c r="DM37" s="303">
        <f>IF(LEFT(BT37,1)=" ",RIGHT(BT37,LEN(BT37)-1),BT37)</f>
        <v/>
      </c>
      <c r="DN37" s="138">
        <f>_xlfn.CONCAT(BS37,DM37,BU37,BV37)</f>
        <v/>
      </c>
      <c r="DO37" s="307" t="inlineStr">
        <is>
          <t>https://images.evo.com/imgp/250/208274/832642/clone.jpg</t>
        </is>
      </c>
    </row>
    <row r="38" ht="15.6" customHeight="1" s="184">
      <c r="B38" s="303">
        <f t="array" ref="B38">IF(OR(ISERROR(K38:P38)),FALSE,TRUE)</f>
        <v/>
      </c>
      <c r="C38" s="60">
        <f>OR(BR38=Driver!$G$50,Data!BR400=Driver!$H$50)</f>
        <v/>
      </c>
      <c r="D38" s="60">
        <f>OR(BV38=Driver!$G$51,BV38=Driver!$H$51)</f>
        <v/>
      </c>
      <c r="E38" s="60">
        <f>AND(BX38&gt;Driver!$F$54,BX38&lt;Driver!$G$54)</f>
        <v/>
      </c>
      <c r="F38" s="60">
        <f>CL38&gt;Driver!$F$56</f>
        <v/>
      </c>
      <c r="G38" s="60">
        <f>AND(CB38&gt;Driver!$F$55,CB38&lt;Driver!$G$55)</f>
        <v/>
      </c>
      <c r="H38" s="60">
        <f>AND(B38:G38)</f>
        <v/>
      </c>
      <c r="I38" s="60">
        <f>COUNTIFS($H$9:$H$1273,TRUE,$BT$9:$BT$1273,BT38)</f>
        <v/>
      </c>
      <c r="J38" s="60">
        <f t="array" ref="J38">NOT(OR(($H$9:$H$1273=TRUE)*($I$9:$I$1273&gt;0)*($BT$9:$BT$1273=BT38)*($K$9:$K$1273&gt;K38)))</f>
        <v/>
      </c>
      <c r="K38" s="108">
        <f>IFERROR(1-AVERAGE(X38:Y38),"")</f>
        <v/>
      </c>
      <c r="L38" s="108">
        <f>1-X38</f>
        <v/>
      </c>
      <c r="M38" s="108">
        <f>1-Y38</f>
        <v/>
      </c>
      <c r="N38" s="108">
        <f>1-Z38</f>
        <v/>
      </c>
      <c r="O38" s="108">
        <f>1-AA38</f>
        <v/>
      </c>
      <c r="P38" s="108">
        <f>1-AB38</f>
        <v/>
      </c>
      <c r="Q38" s="108" t="n"/>
      <c r="R38" s="108" t="n"/>
      <c r="S38" s="108">
        <f>1-AE38</f>
        <v/>
      </c>
      <c r="T38" s="108">
        <f>1-AF38</f>
        <v/>
      </c>
      <c r="U38" s="108">
        <f>1-AG38</f>
        <v/>
      </c>
      <c r="V38" s="108">
        <f>1-AH38</f>
        <v/>
      </c>
      <c r="W38" s="108">
        <f>1-AI38</f>
        <v/>
      </c>
      <c r="X38" s="108">
        <f>ABS(AJ38-AJ$1)</f>
        <v/>
      </c>
      <c r="Y38" s="108">
        <f>AVERAGE(Z38:AB38)</f>
        <v/>
      </c>
      <c r="Z38" s="108">
        <f>ABS(AL38-AL$1)</f>
        <v/>
      </c>
      <c r="AA38" s="108">
        <f>ABS(AM38-AM$1)</f>
        <v/>
      </c>
      <c r="AB38" s="108">
        <f>ABS(AN38-AN$1)</f>
        <v/>
      </c>
      <c r="AC38" s="108" t="n"/>
      <c r="AD38" s="108" t="n"/>
      <c r="AE38" s="108">
        <f>ABS(AQ$1-AQ38)</f>
        <v/>
      </c>
      <c r="AF38" s="108">
        <f>ABS(AR$1-AR38)</f>
        <v/>
      </c>
      <c r="AG38" s="108">
        <f>ABS(AS$1-AS38)</f>
        <v/>
      </c>
      <c r="AH38" s="108">
        <f>ABS(AT$1-AT38)</f>
        <v/>
      </c>
      <c r="AI38" s="108">
        <f>ABS(AU$1-AU38)</f>
        <v/>
      </c>
      <c r="AJ38" s="108">
        <f>(AV38-Driver!$K$179)/(Driver!$L$179-Driver!$K$179)</f>
        <v/>
      </c>
      <c r="AK38" s="108">
        <f>(AW38-Driver!$K$180)/(Driver!$L$180-Driver!$K$180)</f>
        <v/>
      </c>
      <c r="AL38" s="108">
        <f>(AX38-Driver!$K$181)/(Driver!$L$181-Driver!$K$181)</f>
        <v/>
      </c>
      <c r="AM38" s="108">
        <f>(AY38-Driver!$K$182)/(Driver!$L$182-Driver!$K$182)</f>
        <v/>
      </c>
      <c r="AN38" s="108">
        <f>(AZ38-Driver!$K$183)/(Driver!$L$183-Driver!$K$183)</f>
        <v/>
      </c>
      <c r="AO38" s="108" t="n"/>
      <c r="AP38" s="108" t="n"/>
      <c r="AQ38" s="108">
        <f>(BC38-Driver!$K$188)/(Driver!$L$188-Driver!$K$188)</f>
        <v/>
      </c>
      <c r="AR38" s="108">
        <f>MIN((BD38-Driver!$K$189)/(Driver!$L$189-Driver!$K$189),100%)</f>
        <v/>
      </c>
      <c r="AS38" s="108">
        <f>(BE38-Driver!$K$190)/(Driver!$L$190-Driver!$K$190)</f>
        <v/>
      </c>
      <c r="AT38" s="108">
        <f>(BF38-Driver!$K$191)/(Driver!$L$191-Driver!$K$191)</f>
        <v/>
      </c>
      <c r="AU38" s="108">
        <f>(BG38-Driver!$K$192)/(Driver!$L$192-Driver!$K$192)</f>
        <v/>
      </c>
      <c r="AV38" s="105">
        <f>IFERROR(BM38*BJ38^1/4,"")</f>
        <v/>
      </c>
      <c r="AW38" s="105">
        <f>IFERROR(SUM(AX38:AZ38),"")</f>
        <v/>
      </c>
      <c r="AX38" s="105">
        <f>IFERROR(BH38,"")</f>
        <v/>
      </c>
      <c r="AY38" s="105">
        <f>IFERROR(Driver!$K$19/Data!BH38/Data!BI38*Data!BK38*Data!BL38,"")</f>
        <v/>
      </c>
      <c r="AZ38" s="105">
        <f>IFERROR(BI38*BN38,"")</f>
        <v/>
      </c>
      <c r="BA38" s="105" t="n"/>
      <c r="BB38" s="105" t="n"/>
      <c r="BC38" s="105">
        <f>IFERROR(BI38*BN38*BK38/BJ38^(1/2),"")</f>
        <v/>
      </c>
      <c r="BD38" s="105">
        <f>IFERROR(BH38*BM38*BL38/BJ38/BK38,"")</f>
        <v/>
      </c>
      <c r="BE38" s="105">
        <f>IFERROR(MIN(BI38/BQ38/BP38/BO38/BH38,$BE$1),"")</f>
        <v/>
      </c>
      <c r="BF38" s="105">
        <f>IFERROR(BJ38*BO38*BP38/BK38,"")</f>
        <v/>
      </c>
      <c r="BG38" s="105">
        <f>IFERROR(1/BM38/BH38*BQ38,"")</f>
        <v/>
      </c>
      <c r="BH38" s="102">
        <f>MAX((CE38-Driver!$F$200)/(Driver!$G$200-Driver!$F$200)*$BI$1,1)</f>
        <v/>
      </c>
      <c r="BI38" s="102">
        <f>MAX($BI$1*(BY38-Driver!$F$201)/(Driver!$G$201-Driver!$F$201),1)</f>
        <v/>
      </c>
      <c r="BJ38" s="102">
        <f>(CB38-Driver!$F$206)/(Driver!$G$206-Driver!$F$206)*$BI$1</f>
        <v/>
      </c>
      <c r="BK38" s="102">
        <f>(CD38-Driver!$F$203)/(Driver!$G$203-Driver!$F$203)*$BI$1</f>
        <v/>
      </c>
      <c r="BL38" s="102">
        <f>MAX((CR38-Driver!$F$202)/(Driver!$G$202-Driver!$F$202)*$BI$1,1)</f>
        <v/>
      </c>
      <c r="BM38" s="102">
        <f>MAX((CH38-Driver!$F$204)/(Driver!$G$204-Driver!$F$204)*$BI$1,1)</f>
        <v/>
      </c>
      <c r="BN38" s="102">
        <f>(CI38-Driver!$F$205)/(Driver!$G$205-Driver!$F$205)*$BI$1</f>
        <v/>
      </c>
      <c r="BO38" s="102">
        <f>(CK38-Driver!$F$207)/(Driver!$G$207-Driver!$F$207)*$BI$1</f>
        <v/>
      </c>
      <c r="BP38" s="102">
        <f>(CM38-Driver!$F$208)/(Driver!$G$208-Driver!$F$208)*$BI$1</f>
        <v/>
      </c>
      <c r="BQ38" s="102">
        <f>(CL38-Driver!$F$209)/(Driver!$G$209-Driver!$F$209)*$BI$1</f>
        <v/>
      </c>
      <c r="BR38" s="40" t="inlineStr">
        <is>
          <t>21/22</t>
        </is>
      </c>
      <c r="BS38" s="10" t="inlineStr">
        <is>
          <t xml:space="preserve"> Dynastar</t>
        </is>
      </c>
      <c r="BT38" s="11" t="inlineStr">
        <is>
          <t>M-Pro 90</t>
        </is>
      </c>
      <c r="BU38" s="13" t="n">
        <v>178</v>
      </c>
      <c r="BV38" s="11" t="inlineStr">
        <is>
          <t xml:space="preserve"> Unisex</t>
        </is>
      </c>
      <c r="BW38" s="13" t="n">
        <v>178</v>
      </c>
      <c r="BX38" s="13" t="n">
        <v>177.3</v>
      </c>
      <c r="BY38" s="13" t="n">
        <v>130</v>
      </c>
      <c r="BZ38" s="13" t="n">
        <v>147</v>
      </c>
      <c r="CA38" s="13" t="n">
        <v>119</v>
      </c>
      <c r="CB38" s="13" t="n">
        <v>88</v>
      </c>
      <c r="CC38" s="13" t="n">
        <v>109</v>
      </c>
      <c r="CD38" s="13" t="n">
        <v>18.3</v>
      </c>
      <c r="CE38" s="13" t="n">
        <v>1765</v>
      </c>
      <c r="CF38" s="13" t="n">
        <v>1</v>
      </c>
      <c r="CG38" s="13" t="n">
        <v>1756</v>
      </c>
      <c r="CH38" s="13" t="n">
        <v>245</v>
      </c>
      <c r="CI38" s="13" t="n">
        <v>97</v>
      </c>
      <c r="CJ38" s="13" t="n">
        <v>60</v>
      </c>
      <c r="CK38" s="13" t="n">
        <v>325</v>
      </c>
      <c r="CL38" s="13" t="n">
        <v>13</v>
      </c>
      <c r="CM38" s="13" t="n">
        <v>147</v>
      </c>
      <c r="CN38" s="13" t="n">
        <v>0.22</v>
      </c>
      <c r="CO38" s="13" t="n">
        <v>187</v>
      </c>
      <c r="CP38" s="13" t="n">
        <v>119</v>
      </c>
      <c r="CQ38" s="13" t="n">
        <v>137</v>
      </c>
      <c r="CR38" s="13" t="n">
        <v>7</v>
      </c>
      <c r="CS38" s="13" t="n">
        <v>11.9</v>
      </c>
      <c r="CT38" s="11" t="inlineStr">
        <is>
          <t xml:space="preserve"> Resort Freeride</t>
        </is>
      </c>
      <c r="CU38" s="13" t="n"/>
      <c r="CV38" s="13" t="n"/>
      <c r="CW38" s="13" t="n"/>
      <c r="CX38">
        <f>INDEX('Data_Price '!AG$2:AG$1266,MATCH(Data!$DN38,'Data_Price '!$AT$2:$AT$1266,0))</f>
        <v/>
      </c>
      <c r="CY38">
        <f>INDEX('Data_Price '!AH$2:AH$1266,MATCH(Data!$DN38,'Data_Price '!$AT$2:$AT$1266,0))</f>
        <v/>
      </c>
      <c r="CZ38">
        <f>INDEX('Data_Price '!AI$2:AI$1266,MATCH(Data!$DN38,'Data_Price '!$AT$2:$AT$1266,0))</f>
        <v/>
      </c>
      <c r="DA38">
        <f>INDEX('Data_Price '!AJ$2:AJ$1266,MATCH(Data!$DN38,'Data_Price '!$AT$2:$AT$1266,0))</f>
        <v/>
      </c>
      <c r="DB38">
        <f>INDEX('Data_Price '!AK$2:AK$1266,MATCH(Data!$DN38,'Data_Price '!$AT$2:$AT$1266,0))</f>
        <v/>
      </c>
      <c r="DC38">
        <f>INDEX('Data_Price '!AL$2:AL$1266,MATCH(Data!$DN38,'Data_Price '!$AT$2:$AT$1266,0))</f>
        <v/>
      </c>
      <c r="DD38">
        <f>INDEX('Data_Price '!AM$2:AM$1266,MATCH(Data!$DN38,'Data_Price '!$AT$2:$AT$1266,0))</f>
        <v/>
      </c>
      <c r="DE38">
        <f>INDEX('Data_Price '!AN$2:AN$1266,MATCH(Data!$DN38,'Data_Price '!$AT$2:$AT$1266,0))</f>
        <v/>
      </c>
      <c r="DF38">
        <f>INDEX('Data_Price '!AO$2:AO$1266,MATCH(Data!$DN38,'Data_Price '!$AT$2:$AT$1266,0))</f>
        <v/>
      </c>
      <c r="DG38">
        <f>INDEX('Data_Price '!AP$2:AP$1266,MATCH(Data!$DN38,'Data_Price '!$AT$2:$AT$1266,0))</f>
        <v/>
      </c>
      <c r="DH38">
        <f>INDEX('Data_Price '!AQ$2:AQ$1266,MATCH(Data!$DN38,'Data_Price '!$AT$2:$AT$1266,0))</f>
        <v/>
      </c>
      <c r="DI38">
        <f>INDEX('Data_Price '!AR$2:AR$1266,MATCH(Data!$DN38,'Data_Price '!$AT$2:$AT$1266,0))</f>
        <v/>
      </c>
      <c r="DJ38" s="138">
        <f>DA38</f>
        <v/>
      </c>
      <c r="DK38" s="138">
        <f>DE38</f>
        <v/>
      </c>
      <c r="DL38" s="138">
        <f>DI38</f>
        <v/>
      </c>
      <c r="DM38" s="303">
        <f>IF(LEFT(BT38,1)=" ",RIGHT(BT38,LEN(BT38)-1),BT38)</f>
        <v/>
      </c>
      <c r="DN38" s="138">
        <f>_xlfn.CONCAT(BS38,DM38,BU38,BV38)</f>
        <v/>
      </c>
      <c r="DO38" s="307" t="inlineStr">
        <is>
          <t>https://images.evo.com/imgp/250/180345/727761/dynastar-m-pro-90-skis-2022-.jpg</t>
        </is>
      </c>
    </row>
    <row r="39" ht="15.6" customHeight="1" s="184">
      <c r="B39" s="303">
        <f t="array" ref="B39">IF(OR(ISERROR(K39:P39)),FALSE,TRUE)</f>
        <v/>
      </c>
      <c r="C39" s="60">
        <f>OR(BR39=Driver!$G$50,Data!BR489=Driver!$H$50)</f>
        <v/>
      </c>
      <c r="D39" s="60">
        <f>OR(BV39=Driver!$G$51,BV39=Driver!$H$51)</f>
        <v/>
      </c>
      <c r="E39" s="60">
        <f>AND(BX39&gt;Driver!$F$54,BX39&lt;Driver!$G$54)</f>
        <v/>
      </c>
      <c r="F39" s="60">
        <f>CL39&gt;Driver!$F$56</f>
        <v/>
      </c>
      <c r="G39" s="60">
        <f>AND(CB39&gt;Driver!$F$55,CB39&lt;Driver!$G$55)</f>
        <v/>
      </c>
      <c r="H39" s="60">
        <f>AND(B39:G39)</f>
        <v/>
      </c>
      <c r="I39" s="60">
        <f>COUNTIFS($H$9:$H$1273,TRUE,$BT$9:$BT$1273,BT39)</f>
        <v/>
      </c>
      <c r="J39" s="60">
        <f t="array" ref="J39">NOT(OR(($H$9:$H$1273=TRUE)*($I$9:$I$1273&gt;0)*($BT$9:$BT$1273=BT39)*($K$9:$K$1273&gt;K39)))</f>
        <v/>
      </c>
      <c r="K39" s="108">
        <f>IFERROR(1-AVERAGE(X39:Y39),"")</f>
        <v/>
      </c>
      <c r="L39" s="108">
        <f>1-X39</f>
        <v/>
      </c>
      <c r="M39" s="108">
        <f>1-Y39</f>
        <v/>
      </c>
      <c r="N39" s="108">
        <f>1-Z39</f>
        <v/>
      </c>
      <c r="O39" s="108">
        <f>1-AA39</f>
        <v/>
      </c>
      <c r="P39" s="108">
        <f>1-AB39</f>
        <v/>
      </c>
      <c r="Q39" s="108" t="n"/>
      <c r="R39" s="108" t="n"/>
      <c r="S39" s="108">
        <f>1-AE39</f>
        <v/>
      </c>
      <c r="T39" s="108">
        <f>1-AF39</f>
        <v/>
      </c>
      <c r="U39" s="108">
        <f>1-AG39</f>
        <v/>
      </c>
      <c r="V39" s="108">
        <f>1-AH39</f>
        <v/>
      </c>
      <c r="W39" s="108">
        <f>1-AI39</f>
        <v/>
      </c>
      <c r="X39" s="108">
        <f>ABS(AJ39-AJ$1)</f>
        <v/>
      </c>
      <c r="Y39" s="108">
        <f>AVERAGE(Z39:AB39)</f>
        <v/>
      </c>
      <c r="Z39" s="108">
        <f>ABS(AL39-AL$1)</f>
        <v/>
      </c>
      <c r="AA39" s="108">
        <f>ABS(AM39-AM$1)</f>
        <v/>
      </c>
      <c r="AB39" s="108">
        <f>ABS(AN39-AN$1)</f>
        <v/>
      </c>
      <c r="AC39" s="108" t="n"/>
      <c r="AD39" s="108" t="n"/>
      <c r="AE39" s="108">
        <f>ABS(AQ$1-AQ39)</f>
        <v/>
      </c>
      <c r="AF39" s="108">
        <f>ABS(AR$1-AR39)</f>
        <v/>
      </c>
      <c r="AG39" s="108">
        <f>ABS(AS$1-AS39)</f>
        <v/>
      </c>
      <c r="AH39" s="108">
        <f>ABS(AT$1-AT39)</f>
        <v/>
      </c>
      <c r="AI39" s="108">
        <f>ABS(AU$1-AU39)</f>
        <v/>
      </c>
      <c r="AJ39" s="108">
        <f>(AV39-Driver!$K$179)/(Driver!$L$179-Driver!$K$179)</f>
        <v/>
      </c>
      <c r="AK39" s="108">
        <f>(AW39-Driver!$K$180)/(Driver!$L$180-Driver!$K$180)</f>
        <v/>
      </c>
      <c r="AL39" s="108">
        <f>(AX39-Driver!$K$181)/(Driver!$L$181-Driver!$K$181)</f>
        <v/>
      </c>
      <c r="AM39" s="108">
        <f>(AY39-Driver!$K$182)/(Driver!$L$182-Driver!$K$182)</f>
        <v/>
      </c>
      <c r="AN39" s="108">
        <f>(AZ39-Driver!$K$183)/(Driver!$L$183-Driver!$K$183)</f>
        <v/>
      </c>
      <c r="AO39" s="108" t="n"/>
      <c r="AP39" s="108" t="n"/>
      <c r="AQ39" s="108">
        <f>(BC39-Driver!$K$188)/(Driver!$L$188-Driver!$K$188)</f>
        <v/>
      </c>
      <c r="AR39" s="108">
        <f>MIN((BD39-Driver!$K$189)/(Driver!$L$189-Driver!$K$189),100%)</f>
        <v/>
      </c>
      <c r="AS39" s="108">
        <f>(BE39-Driver!$K$190)/(Driver!$L$190-Driver!$K$190)</f>
        <v/>
      </c>
      <c r="AT39" s="108">
        <f>(BF39-Driver!$K$191)/(Driver!$L$191-Driver!$K$191)</f>
        <v/>
      </c>
      <c r="AU39" s="108">
        <f>(BG39-Driver!$K$192)/(Driver!$L$192-Driver!$K$192)</f>
        <v/>
      </c>
      <c r="AV39" s="105">
        <f>IFERROR(BM39*BJ39^1/4,"")</f>
        <v/>
      </c>
      <c r="AW39" s="105">
        <f>IFERROR(SUM(AX39:AZ39),"")</f>
        <v/>
      </c>
      <c r="AX39" s="105">
        <f>IFERROR(BH39,"")</f>
        <v/>
      </c>
      <c r="AY39" s="105">
        <f>IFERROR(Driver!$K$19/Data!BH39/Data!BI39*Data!BK39*Data!BL39,"")</f>
        <v/>
      </c>
      <c r="AZ39" s="105">
        <f>IFERROR(BI39*BN39,"")</f>
        <v/>
      </c>
      <c r="BA39" s="105" t="n"/>
      <c r="BB39" s="105" t="n"/>
      <c r="BC39" s="105">
        <f>IFERROR(BI39*BN39*BK39/BJ39^(1/2),"")</f>
        <v/>
      </c>
      <c r="BD39" s="105">
        <f>IFERROR(BH39*BM39*BL39/BJ39/BK39,"")</f>
        <v/>
      </c>
      <c r="BE39" s="105">
        <f>IFERROR(MIN(BI39/BQ39/BP39/BO39/BH39,$BE$1),"")</f>
        <v/>
      </c>
      <c r="BF39" s="105">
        <f>IFERROR(BJ39*BO39*BP39/BK39,"")</f>
        <v/>
      </c>
      <c r="BG39" s="105">
        <f>IFERROR(1/BM39/BH39*BQ39,"")</f>
        <v/>
      </c>
      <c r="BH39" s="102">
        <f>MAX((CE39-Driver!$F$200)/(Driver!$G$200-Driver!$F$200)*$BI$1,1)</f>
        <v/>
      </c>
      <c r="BI39" s="102">
        <f>MAX($BI$1*(BY39-Driver!$F$201)/(Driver!$G$201-Driver!$F$201),1)</f>
        <v/>
      </c>
      <c r="BJ39" s="102">
        <f>(CB39-Driver!$F$206)/(Driver!$G$206-Driver!$F$206)*$BI$1</f>
        <v/>
      </c>
      <c r="BK39" s="102">
        <f>(CD39-Driver!$F$203)/(Driver!$G$203-Driver!$F$203)*$BI$1</f>
        <v/>
      </c>
      <c r="BL39" s="102">
        <f>MAX((CR39-Driver!$F$202)/(Driver!$G$202-Driver!$F$202)*$BI$1,1)</f>
        <v/>
      </c>
      <c r="BM39" s="102">
        <f>MAX((CH39-Driver!$F$204)/(Driver!$G$204-Driver!$F$204)*$BI$1,1)</f>
        <v/>
      </c>
      <c r="BN39" s="102">
        <f>(CI39-Driver!$F$205)/(Driver!$G$205-Driver!$F$205)*$BI$1</f>
        <v/>
      </c>
      <c r="BO39" s="102">
        <f>(CK39-Driver!$F$207)/(Driver!$G$207-Driver!$F$207)*$BI$1</f>
        <v/>
      </c>
      <c r="BP39" s="102">
        <f>(CM39-Driver!$F$208)/(Driver!$G$208-Driver!$F$208)*$BI$1</f>
        <v/>
      </c>
      <c r="BQ39" s="102">
        <f>(CL39-Driver!$F$209)/(Driver!$G$209-Driver!$F$209)*$BI$1</f>
        <v/>
      </c>
      <c r="BR39" s="40" t="inlineStr">
        <is>
          <t>21/22</t>
        </is>
      </c>
      <c r="BS39" s="10" t="inlineStr">
        <is>
          <t xml:space="preserve"> Faction</t>
        </is>
      </c>
      <c r="BT39" s="11" t="inlineStr">
        <is>
          <t>Agent 2.0</t>
        </is>
      </c>
      <c r="BU39" s="13" t="n">
        <v>171</v>
      </c>
      <c r="BV39" s="11" t="inlineStr">
        <is>
          <t xml:space="preserve"> Unisex</t>
        </is>
      </c>
      <c r="BW39" s="13" t="n">
        <v>171</v>
      </c>
      <c r="BX39" s="13" t="n">
        <v>169.4</v>
      </c>
      <c r="BY39" s="13" t="n">
        <v>126</v>
      </c>
      <c r="BZ39" s="13" t="n">
        <v>143</v>
      </c>
      <c r="CA39" s="13" t="n">
        <v>127</v>
      </c>
      <c r="CB39" s="13" t="n">
        <v>95</v>
      </c>
      <c r="CC39" s="13" t="n">
        <v>117</v>
      </c>
      <c r="CD39" s="13" t="n">
        <v>17.6</v>
      </c>
      <c r="CE39" s="13" t="n">
        <v>1566</v>
      </c>
      <c r="CF39" s="13" t="n">
        <v>1.15</v>
      </c>
      <c r="CG39" s="13" t="n">
        <v>1801</v>
      </c>
      <c r="CH39" s="13" t="n">
        <v>206</v>
      </c>
      <c r="CI39" s="13" t="n">
        <v>96</v>
      </c>
      <c r="CJ39" s="13" t="n">
        <v>52</v>
      </c>
      <c r="CK39" s="13" t="n">
        <v>247</v>
      </c>
      <c r="CL39" s="13" t="n">
        <v>20</v>
      </c>
      <c r="CM39" s="13" t="n">
        <v>186</v>
      </c>
      <c r="CN39" s="13" t="n">
        <v>0.388</v>
      </c>
      <c r="CO39" s="13" t="n">
        <v>161</v>
      </c>
      <c r="CP39" s="13" t="n">
        <v>107</v>
      </c>
      <c r="CQ39" s="13" t="n">
        <v>86</v>
      </c>
      <c r="CR39" s="13" t="n">
        <v>6</v>
      </c>
      <c r="CS39" s="13" t="n">
        <v>11.4</v>
      </c>
      <c r="CT39" s="11" t="inlineStr">
        <is>
          <t xml:space="preserve"> Resort Freeride</t>
        </is>
      </c>
      <c r="CU39" s="11" t="inlineStr">
        <is>
          <t xml:space="preserve"> Touring</t>
        </is>
      </c>
      <c r="CV39" s="13" t="n"/>
      <c r="CW39" s="13" t="n"/>
      <c r="CX39">
        <f>INDEX('Data_Price '!AG$2:AG$1266,MATCH(Data!$DN39,'Data_Price '!$AT$2:$AT$1266,0))</f>
        <v/>
      </c>
      <c r="CY39">
        <f>INDEX('Data_Price '!AH$2:AH$1266,MATCH(Data!$DN39,'Data_Price '!$AT$2:$AT$1266,0))</f>
        <v/>
      </c>
      <c r="CZ39">
        <f>INDEX('Data_Price '!AI$2:AI$1266,MATCH(Data!$DN39,'Data_Price '!$AT$2:$AT$1266,0))</f>
        <v/>
      </c>
      <c r="DA39">
        <f>INDEX('Data_Price '!AJ$2:AJ$1266,MATCH(Data!$DN39,'Data_Price '!$AT$2:$AT$1266,0))</f>
        <v/>
      </c>
      <c r="DB39">
        <f>INDEX('Data_Price '!AK$2:AK$1266,MATCH(Data!$DN39,'Data_Price '!$AT$2:$AT$1266,0))</f>
        <v/>
      </c>
      <c r="DC39">
        <f>INDEX('Data_Price '!AL$2:AL$1266,MATCH(Data!$DN39,'Data_Price '!$AT$2:$AT$1266,0))</f>
        <v/>
      </c>
      <c r="DD39">
        <f>INDEX('Data_Price '!AM$2:AM$1266,MATCH(Data!$DN39,'Data_Price '!$AT$2:$AT$1266,0))</f>
        <v/>
      </c>
      <c r="DE39">
        <f>INDEX('Data_Price '!AN$2:AN$1266,MATCH(Data!$DN39,'Data_Price '!$AT$2:$AT$1266,0))</f>
        <v/>
      </c>
      <c r="DF39">
        <f>INDEX('Data_Price '!AO$2:AO$1266,MATCH(Data!$DN39,'Data_Price '!$AT$2:$AT$1266,0))</f>
        <v/>
      </c>
      <c r="DG39">
        <f>INDEX('Data_Price '!AP$2:AP$1266,MATCH(Data!$DN39,'Data_Price '!$AT$2:$AT$1266,0))</f>
        <v/>
      </c>
      <c r="DH39">
        <f>INDEX('Data_Price '!AQ$2:AQ$1266,MATCH(Data!$DN39,'Data_Price '!$AT$2:$AT$1266,0))</f>
        <v/>
      </c>
      <c r="DI39">
        <f>INDEX('Data_Price '!AR$2:AR$1266,MATCH(Data!$DN39,'Data_Price '!$AT$2:$AT$1266,0))</f>
        <v/>
      </c>
      <c r="DJ39" s="138">
        <f>DA39</f>
        <v/>
      </c>
      <c r="DK39" s="138">
        <f>DE39</f>
        <v/>
      </c>
      <c r="DL39" s="138">
        <f>DI39</f>
        <v/>
      </c>
      <c r="DM39" s="303">
        <f>IF(LEFT(BT39,1)=" ",RIGHT(BT39,LEN(BT39)-1),BT39)</f>
        <v/>
      </c>
      <c r="DN39" s="138">
        <f>_xlfn.CONCAT(BS39,DM39,BU39,BV39)</f>
        <v/>
      </c>
      <c r="DO39" s="307" t="inlineStr">
        <is>
          <t>https://images.evo.com/imgp/250/181947/733513/clone.jpg</t>
        </is>
      </c>
    </row>
    <row r="40" ht="15.6" customHeight="1" s="184">
      <c r="B40" s="303">
        <f t="array" ref="B40">IF(OR(ISERROR(K40:P40)),FALSE,TRUE)</f>
        <v/>
      </c>
      <c r="C40" s="60">
        <f>OR(BR40=Driver!$G$50,Data!BR883=Driver!$H$50)</f>
        <v/>
      </c>
      <c r="D40" s="60">
        <f>OR(BV40=Driver!$G$51,BV40=Driver!$H$51)</f>
        <v/>
      </c>
      <c r="E40" s="60">
        <f>AND(BX40&gt;Driver!$F$54,BX40&lt;Driver!$G$54)</f>
        <v/>
      </c>
      <c r="F40" s="60">
        <f>CL40&gt;Driver!$F$56</f>
        <v/>
      </c>
      <c r="G40" s="60">
        <f>AND(CB40&gt;Driver!$F$55,CB40&lt;Driver!$G$55)</f>
        <v/>
      </c>
      <c r="H40" s="60">
        <f>AND(B40:G40)</f>
        <v/>
      </c>
      <c r="I40" s="60">
        <f>COUNTIFS($H$9:$H$1273,TRUE,$BT$9:$BT$1273,BT40)</f>
        <v/>
      </c>
      <c r="J40" s="60">
        <f t="array" ref="J40">NOT(OR(($H$9:$H$1273=TRUE)*($I$9:$I$1273&gt;0)*($BT$9:$BT$1273=BT40)*($K$9:$K$1273&gt;K40)))</f>
        <v/>
      </c>
      <c r="K40" s="108">
        <f>IFERROR(1-AVERAGE(X40:Y40),"")</f>
        <v/>
      </c>
      <c r="L40" s="108">
        <f>1-X40</f>
        <v/>
      </c>
      <c r="M40" s="108">
        <f>1-Y40</f>
        <v/>
      </c>
      <c r="N40" s="108">
        <f>1-Z40</f>
        <v/>
      </c>
      <c r="O40" s="108">
        <f>1-AA40</f>
        <v/>
      </c>
      <c r="P40" s="108">
        <f>1-AB40</f>
        <v/>
      </c>
      <c r="Q40" s="108" t="n"/>
      <c r="R40" s="108" t="n"/>
      <c r="S40" s="108">
        <f>1-AE40</f>
        <v/>
      </c>
      <c r="T40" s="108">
        <f>1-AF40</f>
        <v/>
      </c>
      <c r="U40" s="108">
        <f>1-AG40</f>
        <v/>
      </c>
      <c r="V40" s="108">
        <f>1-AH40</f>
        <v/>
      </c>
      <c r="W40" s="108">
        <f>1-AI40</f>
        <v/>
      </c>
      <c r="X40" s="108">
        <f>ABS(AJ40-AJ$1)</f>
        <v/>
      </c>
      <c r="Y40" s="108">
        <f>AVERAGE(Z40:AB40)</f>
        <v/>
      </c>
      <c r="Z40" s="108">
        <f>ABS(AL40-AL$1)</f>
        <v/>
      </c>
      <c r="AA40" s="108">
        <f>ABS(AM40-AM$1)</f>
        <v/>
      </c>
      <c r="AB40" s="108">
        <f>ABS(AN40-AN$1)</f>
        <v/>
      </c>
      <c r="AC40" s="108" t="n"/>
      <c r="AD40" s="108" t="n"/>
      <c r="AE40" s="108">
        <f>ABS(AQ$1-AQ40)</f>
        <v/>
      </c>
      <c r="AF40" s="108">
        <f>ABS(AR$1-AR40)</f>
        <v/>
      </c>
      <c r="AG40" s="108">
        <f>ABS(AS$1-AS40)</f>
        <v/>
      </c>
      <c r="AH40" s="108">
        <f>ABS(AT$1-AT40)</f>
        <v/>
      </c>
      <c r="AI40" s="108">
        <f>ABS(AU$1-AU40)</f>
        <v/>
      </c>
      <c r="AJ40" s="108">
        <f>(AV40-Driver!$K$179)/(Driver!$L$179-Driver!$K$179)</f>
        <v/>
      </c>
      <c r="AK40" s="108">
        <f>(AW40-Driver!$K$180)/(Driver!$L$180-Driver!$K$180)</f>
        <v/>
      </c>
      <c r="AL40" s="108">
        <f>(AX40-Driver!$K$181)/(Driver!$L$181-Driver!$K$181)</f>
        <v/>
      </c>
      <c r="AM40" s="108">
        <f>(AY40-Driver!$K$182)/(Driver!$L$182-Driver!$K$182)</f>
        <v/>
      </c>
      <c r="AN40" s="108">
        <f>(AZ40-Driver!$K$183)/(Driver!$L$183-Driver!$K$183)</f>
        <v/>
      </c>
      <c r="AO40" s="108" t="n"/>
      <c r="AP40" s="108" t="n"/>
      <c r="AQ40" s="108">
        <f>(BC40-Driver!$K$188)/(Driver!$L$188-Driver!$K$188)</f>
        <v/>
      </c>
      <c r="AR40" s="108">
        <f>MIN((BD40-Driver!$K$189)/(Driver!$L$189-Driver!$K$189),100%)</f>
        <v/>
      </c>
      <c r="AS40" s="108">
        <f>(BE40-Driver!$K$190)/(Driver!$L$190-Driver!$K$190)</f>
        <v/>
      </c>
      <c r="AT40" s="108">
        <f>(BF40-Driver!$K$191)/(Driver!$L$191-Driver!$K$191)</f>
        <v/>
      </c>
      <c r="AU40" s="108">
        <f>(BG40-Driver!$K$192)/(Driver!$L$192-Driver!$K$192)</f>
        <v/>
      </c>
      <c r="AV40" s="105">
        <f>IFERROR(BM40*BJ40^1/4,"")</f>
        <v/>
      </c>
      <c r="AW40" s="105">
        <f>IFERROR(SUM(AX40:AZ40),"")</f>
        <v/>
      </c>
      <c r="AX40" s="105">
        <f>IFERROR(BH40,"")</f>
        <v/>
      </c>
      <c r="AY40" s="105">
        <f>IFERROR(Driver!$K$19/Data!BH40/Data!BI40*Data!BK40*Data!BL40,"")</f>
        <v/>
      </c>
      <c r="AZ40" s="105">
        <f>IFERROR(BI40*BN40,"")</f>
        <v/>
      </c>
      <c r="BA40" s="105" t="n"/>
      <c r="BB40" s="105" t="n"/>
      <c r="BC40" s="105">
        <f>IFERROR(BI40*BN40*BK40/BJ40^(1/2),"")</f>
        <v/>
      </c>
      <c r="BD40" s="105">
        <f>IFERROR(BH40*BM40*BL40/BJ40/BK40,"")</f>
        <v/>
      </c>
      <c r="BE40" s="105">
        <f>IFERROR(MIN(BI40/BQ40/BP40/BO40/BH40,$BE$1),"")</f>
        <v/>
      </c>
      <c r="BF40" s="105">
        <f>IFERROR(BJ40*BO40*BP40/BK40,"")</f>
        <v/>
      </c>
      <c r="BG40" s="105">
        <f>IFERROR(1/BM40/BH40*BQ40,"")</f>
        <v/>
      </c>
      <c r="BH40" s="102">
        <f>MAX((CE40-Driver!$F$200)/(Driver!$G$200-Driver!$F$200)*$BI$1,1)</f>
        <v/>
      </c>
      <c r="BI40" s="102">
        <f>MAX($BI$1*(BY40-Driver!$F$201)/(Driver!$G$201-Driver!$F$201),1)</f>
        <v/>
      </c>
      <c r="BJ40" s="102">
        <f>(CB40-Driver!$F$206)/(Driver!$G$206-Driver!$F$206)*$BI$1</f>
        <v/>
      </c>
      <c r="BK40" s="102">
        <f>(CD40-Driver!$F$203)/(Driver!$G$203-Driver!$F$203)*$BI$1</f>
        <v/>
      </c>
      <c r="BL40" s="102">
        <f>MAX((CR40-Driver!$F$202)/(Driver!$G$202-Driver!$F$202)*$BI$1,1)</f>
        <v/>
      </c>
      <c r="BM40" s="102">
        <f>MAX((CH40-Driver!$F$204)/(Driver!$G$204-Driver!$F$204)*$BI$1,1)</f>
        <v/>
      </c>
      <c r="BN40" s="102">
        <f>(CI40-Driver!$F$205)/(Driver!$G$205-Driver!$F$205)*$BI$1</f>
        <v/>
      </c>
      <c r="BO40" s="102">
        <f>(CK40-Driver!$F$207)/(Driver!$G$207-Driver!$F$207)*$BI$1</f>
        <v/>
      </c>
      <c r="BP40" s="102">
        <f>(CM40-Driver!$F$208)/(Driver!$G$208-Driver!$F$208)*$BI$1</f>
        <v/>
      </c>
      <c r="BQ40" s="102">
        <f>(CL40-Driver!$F$209)/(Driver!$G$209-Driver!$F$209)*$BI$1</f>
        <v/>
      </c>
      <c r="BR40" s="40" t="inlineStr">
        <is>
          <t>21/22</t>
        </is>
      </c>
      <c r="BS40" s="10" t="inlineStr">
        <is>
          <t xml:space="preserve"> Line</t>
        </is>
      </c>
      <c r="BT40" s="11" t="inlineStr">
        <is>
          <t>Vision 98</t>
        </is>
      </c>
      <c r="BU40" s="13" t="n">
        <v>186</v>
      </c>
      <c r="BV40" s="11" t="inlineStr">
        <is>
          <t xml:space="preserve"> Unisex</t>
        </is>
      </c>
      <c r="BW40" s="13" t="n">
        <v>186</v>
      </c>
      <c r="BX40" s="13" t="n">
        <v>185.2</v>
      </c>
      <c r="BY40" s="13" t="n">
        <v>112</v>
      </c>
      <c r="BZ40" s="13" t="n">
        <v>151</v>
      </c>
      <c r="CA40" s="13" t="n">
        <v>130</v>
      </c>
      <c r="CB40" s="13" t="n">
        <v>97</v>
      </c>
      <c r="CC40" s="13" t="n">
        <v>117</v>
      </c>
      <c r="CD40" s="13" t="n">
        <v>19.8</v>
      </c>
      <c r="CE40" s="13" t="n">
        <v>1531</v>
      </c>
      <c r="CF40" s="13" t="n">
        <v>1.29</v>
      </c>
      <c r="CG40" s="13" t="n">
        <v>1982</v>
      </c>
      <c r="CH40" s="13" t="n">
        <v>202</v>
      </c>
      <c r="CI40" s="13" t="n">
        <v>88</v>
      </c>
      <c r="CJ40" s="13" t="n">
        <v>52</v>
      </c>
      <c r="CK40" s="13" t="n">
        <v>383</v>
      </c>
      <c r="CL40" s="13" t="n">
        <v>35</v>
      </c>
      <c r="CM40" s="13" t="n">
        <v>349</v>
      </c>
      <c r="CN40" s="13" t="n">
        <v>0.665</v>
      </c>
      <c r="CO40" s="13" t="n">
        <v>168</v>
      </c>
      <c r="CP40" s="13" t="n">
        <v>176</v>
      </c>
      <c r="CQ40" s="13" t="n">
        <v>215</v>
      </c>
      <c r="CR40" s="13" t="n">
        <v>5</v>
      </c>
      <c r="CS40" s="13" t="n">
        <v>6.6</v>
      </c>
      <c r="CT40" s="11" t="inlineStr">
        <is>
          <t xml:space="preserve"> Touring</t>
        </is>
      </c>
      <c r="CU40" s="11" t="inlineStr">
        <is>
          <t xml:space="preserve"> Ultralight Touring</t>
        </is>
      </c>
      <c r="CV40" s="13" t="n"/>
      <c r="CW40" s="13" t="n"/>
      <c r="CX40">
        <f>INDEX('Data_Price '!AG$2:AG$1266,MATCH(Data!$DN40,'Data_Price '!$AT$2:$AT$1266,0))</f>
        <v/>
      </c>
      <c r="CY40">
        <f>INDEX('Data_Price '!AH$2:AH$1266,MATCH(Data!$DN40,'Data_Price '!$AT$2:$AT$1266,0))</f>
        <v/>
      </c>
      <c r="CZ40">
        <f>INDEX('Data_Price '!AI$2:AI$1266,MATCH(Data!$DN40,'Data_Price '!$AT$2:$AT$1266,0))</f>
        <v/>
      </c>
      <c r="DA40">
        <f>INDEX('Data_Price '!AJ$2:AJ$1266,MATCH(Data!$DN40,'Data_Price '!$AT$2:$AT$1266,0))</f>
        <v/>
      </c>
      <c r="DB40">
        <f>INDEX('Data_Price '!AK$2:AK$1266,MATCH(Data!$DN40,'Data_Price '!$AT$2:$AT$1266,0))</f>
        <v/>
      </c>
      <c r="DC40">
        <f>INDEX('Data_Price '!AL$2:AL$1266,MATCH(Data!$DN40,'Data_Price '!$AT$2:$AT$1266,0))</f>
        <v/>
      </c>
      <c r="DD40">
        <f>INDEX('Data_Price '!AM$2:AM$1266,MATCH(Data!$DN40,'Data_Price '!$AT$2:$AT$1266,0))</f>
        <v/>
      </c>
      <c r="DE40">
        <f>INDEX('Data_Price '!AN$2:AN$1266,MATCH(Data!$DN40,'Data_Price '!$AT$2:$AT$1266,0))</f>
        <v/>
      </c>
      <c r="DF40">
        <f>INDEX('Data_Price '!AO$2:AO$1266,MATCH(Data!$DN40,'Data_Price '!$AT$2:$AT$1266,0))</f>
        <v/>
      </c>
      <c r="DG40">
        <f>INDEX('Data_Price '!AP$2:AP$1266,MATCH(Data!$DN40,'Data_Price '!$AT$2:$AT$1266,0))</f>
        <v/>
      </c>
      <c r="DH40">
        <f>INDEX('Data_Price '!AQ$2:AQ$1266,MATCH(Data!$DN40,'Data_Price '!$AT$2:$AT$1266,0))</f>
        <v/>
      </c>
      <c r="DI40">
        <f>INDEX('Data_Price '!AR$2:AR$1266,MATCH(Data!$DN40,'Data_Price '!$AT$2:$AT$1266,0))</f>
        <v/>
      </c>
      <c r="DJ40" s="138">
        <f>DA40</f>
        <v/>
      </c>
      <c r="DK40" s="138">
        <f>DE40</f>
        <v/>
      </c>
      <c r="DL40" s="138">
        <f>DI40</f>
        <v/>
      </c>
      <c r="DM40" s="303">
        <f>IF(LEFT(BT40,1)=" ",RIGHT(BT40,LEN(BT40)-1),BT40)</f>
        <v/>
      </c>
      <c r="DN40" s="138">
        <f>_xlfn.CONCAT(BS40,DM40,BU40,BV40)</f>
        <v/>
      </c>
      <c r="DO40" s="307" t="inlineStr">
        <is>
          <t>https://images.evo.com/imgp/250/198428/817630/line-skis-vision-98-skis-2022-.jpg</t>
        </is>
      </c>
    </row>
    <row r="41" ht="15.6" customHeight="1" s="184">
      <c r="B41" s="303">
        <f t="array" ref="B41">IF(OR(ISERROR(K41:P41)),FALSE,TRUE)</f>
        <v/>
      </c>
      <c r="C41" s="60">
        <f>OR(BR41=Driver!$G$50,Data!BR408=Driver!$H$50)</f>
        <v/>
      </c>
      <c r="D41" s="60">
        <f>OR(BV41=Driver!$G$51,BV41=Driver!$H$51)</f>
        <v/>
      </c>
      <c r="E41" s="60">
        <f>AND(BX41&gt;Driver!$F$54,BX41&lt;Driver!$G$54)</f>
        <v/>
      </c>
      <c r="F41" s="60">
        <f>CL41&gt;Driver!$F$56</f>
        <v/>
      </c>
      <c r="G41" s="60">
        <f>AND(CB41&gt;Driver!$F$55,CB41&lt;Driver!$G$55)</f>
        <v/>
      </c>
      <c r="H41" s="60">
        <f>AND(B41:G41)</f>
        <v/>
      </c>
      <c r="I41" s="60">
        <f>COUNTIFS($H$9:$H$1273,TRUE,$BT$9:$BT$1273,BT41)</f>
        <v/>
      </c>
      <c r="J41" s="60">
        <f t="array" ref="J41">NOT(OR(($H$9:$H$1273=TRUE)*($I$9:$I$1273&gt;0)*($BT$9:$BT$1273=BT41)*($K$9:$K$1273&gt;K41)))</f>
        <v/>
      </c>
      <c r="K41" s="108">
        <f>IFERROR(1-AVERAGE(X41:Y41),"")</f>
        <v/>
      </c>
      <c r="L41" s="108">
        <f>1-X41</f>
        <v/>
      </c>
      <c r="M41" s="108">
        <f>1-Y41</f>
        <v/>
      </c>
      <c r="N41" s="108">
        <f>1-Z41</f>
        <v/>
      </c>
      <c r="O41" s="108">
        <f>1-AA41</f>
        <v/>
      </c>
      <c r="P41" s="108">
        <f>1-AB41</f>
        <v/>
      </c>
      <c r="Q41" s="108" t="n"/>
      <c r="R41" s="108" t="n"/>
      <c r="S41" s="108">
        <f>1-AE41</f>
        <v/>
      </c>
      <c r="T41" s="108">
        <f>1-AF41</f>
        <v/>
      </c>
      <c r="U41" s="108">
        <f>1-AG41</f>
        <v/>
      </c>
      <c r="V41" s="108">
        <f>1-AH41</f>
        <v/>
      </c>
      <c r="W41" s="108">
        <f>1-AI41</f>
        <v/>
      </c>
      <c r="X41" s="108">
        <f>ABS(AJ41-AJ$1)</f>
        <v/>
      </c>
      <c r="Y41" s="108">
        <f>AVERAGE(Z41:AB41)</f>
        <v/>
      </c>
      <c r="Z41" s="108">
        <f>ABS(AL41-AL$1)</f>
        <v/>
      </c>
      <c r="AA41" s="108">
        <f>ABS(AM41-AM$1)</f>
        <v/>
      </c>
      <c r="AB41" s="108">
        <f>ABS(AN41-AN$1)</f>
        <v/>
      </c>
      <c r="AC41" s="108" t="n"/>
      <c r="AD41" s="108" t="n"/>
      <c r="AE41" s="108">
        <f>ABS(AQ$1-AQ41)</f>
        <v/>
      </c>
      <c r="AF41" s="108">
        <f>ABS(AR$1-AR41)</f>
        <v/>
      </c>
      <c r="AG41" s="108">
        <f>ABS(AS$1-AS41)</f>
        <v/>
      </c>
      <c r="AH41" s="108">
        <f>ABS(AT$1-AT41)</f>
        <v/>
      </c>
      <c r="AI41" s="108">
        <f>ABS(AU$1-AU41)</f>
        <v/>
      </c>
      <c r="AJ41" s="108">
        <f>(AV41-Driver!$K$179)/(Driver!$L$179-Driver!$K$179)</f>
        <v/>
      </c>
      <c r="AK41" s="108">
        <f>(AW41-Driver!$K$180)/(Driver!$L$180-Driver!$K$180)</f>
        <v/>
      </c>
      <c r="AL41" s="108">
        <f>(AX41-Driver!$K$181)/(Driver!$L$181-Driver!$K$181)</f>
        <v/>
      </c>
      <c r="AM41" s="108">
        <f>(AY41-Driver!$K$182)/(Driver!$L$182-Driver!$K$182)</f>
        <v/>
      </c>
      <c r="AN41" s="108">
        <f>(AZ41-Driver!$K$183)/(Driver!$L$183-Driver!$K$183)</f>
        <v/>
      </c>
      <c r="AO41" s="108" t="n"/>
      <c r="AP41" s="108" t="n"/>
      <c r="AQ41" s="108">
        <f>(BC41-Driver!$K$188)/(Driver!$L$188-Driver!$K$188)</f>
        <v/>
      </c>
      <c r="AR41" s="108">
        <f>MIN((BD41-Driver!$K$189)/(Driver!$L$189-Driver!$K$189),100%)</f>
        <v/>
      </c>
      <c r="AS41" s="108">
        <f>(BE41-Driver!$K$190)/(Driver!$L$190-Driver!$K$190)</f>
        <v/>
      </c>
      <c r="AT41" s="108">
        <f>(BF41-Driver!$K$191)/(Driver!$L$191-Driver!$K$191)</f>
        <v/>
      </c>
      <c r="AU41" s="108">
        <f>(BG41-Driver!$K$192)/(Driver!$L$192-Driver!$K$192)</f>
        <v/>
      </c>
      <c r="AV41" s="105">
        <f>IFERROR(BM41*BJ41^1/4,"")</f>
        <v/>
      </c>
      <c r="AW41" s="105">
        <f>IFERROR(SUM(AX41:AZ41),"")</f>
        <v/>
      </c>
      <c r="AX41" s="105">
        <f>IFERROR(BH41,"")</f>
        <v/>
      </c>
      <c r="AY41" s="105">
        <f>IFERROR(Driver!$K$19/Data!BH41/Data!BI41*Data!BK41*Data!BL41,"")</f>
        <v/>
      </c>
      <c r="AZ41" s="105">
        <f>IFERROR(BI41*BN41,"")</f>
        <v/>
      </c>
      <c r="BA41" s="105" t="n"/>
      <c r="BB41" s="105" t="n"/>
      <c r="BC41" s="105">
        <f>IFERROR(BI41*BN41*BK41/BJ41^(1/2),"")</f>
        <v/>
      </c>
      <c r="BD41" s="105">
        <f>IFERROR(BH41*BM41*BL41/BJ41/BK41,"")</f>
        <v/>
      </c>
      <c r="BE41" s="105">
        <f>IFERROR(MIN(BI41/BQ41/BP41/BO41/BH41,$BE$1),"")</f>
        <v/>
      </c>
      <c r="BF41" s="105">
        <f>IFERROR(BJ41*BO41*BP41/BK41,"")</f>
        <v/>
      </c>
      <c r="BG41" s="105">
        <f>IFERROR(1/BM41/BH41*BQ41,"")</f>
        <v/>
      </c>
      <c r="BH41" s="102">
        <f>MAX((CE41-Driver!$F$200)/(Driver!$G$200-Driver!$F$200)*$BI$1,1)</f>
        <v/>
      </c>
      <c r="BI41" s="102">
        <f>MAX($BI$1*(BY41-Driver!$F$201)/(Driver!$G$201-Driver!$F$201),1)</f>
        <v/>
      </c>
      <c r="BJ41" s="102">
        <f>(CB41-Driver!$F$206)/(Driver!$G$206-Driver!$F$206)*$BI$1</f>
        <v/>
      </c>
      <c r="BK41" s="102">
        <f>(CD41-Driver!$F$203)/(Driver!$G$203-Driver!$F$203)*$BI$1</f>
        <v/>
      </c>
      <c r="BL41" s="102">
        <f>MAX((CR41-Driver!$F$202)/(Driver!$G$202-Driver!$F$202)*$BI$1,1)</f>
        <v/>
      </c>
      <c r="BM41" s="102">
        <f>MAX((CH41-Driver!$F$204)/(Driver!$G$204-Driver!$F$204)*$BI$1,1)</f>
        <v/>
      </c>
      <c r="BN41" s="102">
        <f>(CI41-Driver!$F$205)/(Driver!$G$205-Driver!$F$205)*$BI$1</f>
        <v/>
      </c>
      <c r="BO41" s="102">
        <f>(CK41-Driver!$F$207)/(Driver!$G$207-Driver!$F$207)*$BI$1</f>
        <v/>
      </c>
      <c r="BP41" s="102">
        <f>(CM41-Driver!$F$208)/(Driver!$G$208-Driver!$F$208)*$BI$1</f>
        <v/>
      </c>
      <c r="BQ41" s="102">
        <f>(CL41-Driver!$F$209)/(Driver!$G$209-Driver!$F$209)*$BI$1</f>
        <v/>
      </c>
      <c r="BR41" s="40" t="inlineStr">
        <is>
          <t>21/22</t>
        </is>
      </c>
      <c r="BS41" s="10" t="inlineStr">
        <is>
          <t xml:space="preserve"> Dynastar</t>
        </is>
      </c>
      <c r="BT41" s="11" t="inlineStr">
        <is>
          <t>M-Pro 99 W</t>
        </is>
      </c>
      <c r="BU41" s="13" t="n">
        <v>170</v>
      </c>
      <c r="BV41" s="11" t="inlineStr">
        <is>
          <t xml:space="preserve"> Women's</t>
        </is>
      </c>
      <c r="BW41" s="13" t="n">
        <v>170</v>
      </c>
      <c r="BX41" s="13" t="n">
        <v>169.6</v>
      </c>
      <c r="BY41" s="13" t="n">
        <v>122</v>
      </c>
      <c r="BZ41" s="13" t="n">
        <v>139</v>
      </c>
      <c r="CA41" s="13" t="n">
        <v>125</v>
      </c>
      <c r="CB41" s="13" t="n">
        <v>96</v>
      </c>
      <c r="CC41" s="13" t="n">
        <v>114</v>
      </c>
      <c r="CD41" s="13" t="n">
        <v>17.3</v>
      </c>
      <c r="CE41" s="13" t="n">
        <v>1768</v>
      </c>
      <c r="CF41" s="13" t="n">
        <v>1.01</v>
      </c>
      <c r="CG41" s="13" t="n">
        <v>1789</v>
      </c>
      <c r="CH41" s="13" t="n">
        <v>227</v>
      </c>
      <c r="CI41" s="13" t="n">
        <v>99</v>
      </c>
      <c r="CJ41" s="13" t="n">
        <v>60</v>
      </c>
      <c r="CK41" s="13" t="n">
        <v>325</v>
      </c>
      <c r="CL41" s="13" t="n">
        <v>14</v>
      </c>
      <c r="CM41" s="13" t="n">
        <v>148</v>
      </c>
      <c r="CN41" s="13" t="n">
        <v>0.229</v>
      </c>
      <c r="CO41" s="13" t="n">
        <v>199</v>
      </c>
      <c r="CP41" s="13" t="n">
        <v>107</v>
      </c>
      <c r="CQ41" s="13" t="n">
        <v>126</v>
      </c>
      <c r="CR41" s="13" t="n">
        <v>9</v>
      </c>
      <c r="CS41" s="13" t="n">
        <v>11.6</v>
      </c>
      <c r="CT41" s="11" t="inlineStr">
        <is>
          <t xml:space="preserve"> Resort Freeride</t>
        </is>
      </c>
      <c r="CU41" s="13" t="n"/>
      <c r="CV41" s="13" t="n"/>
      <c r="CW41" s="13" t="n"/>
      <c r="CX41">
        <f>INDEX('Data_Price '!AG$2:AG$1266,MATCH(Data!$DN41,'Data_Price '!$AT$2:$AT$1266,0))</f>
        <v/>
      </c>
      <c r="CY41">
        <f>INDEX('Data_Price '!AH$2:AH$1266,MATCH(Data!$DN41,'Data_Price '!$AT$2:$AT$1266,0))</f>
        <v/>
      </c>
      <c r="CZ41">
        <f>INDEX('Data_Price '!AI$2:AI$1266,MATCH(Data!$DN41,'Data_Price '!$AT$2:$AT$1266,0))</f>
        <v/>
      </c>
      <c r="DA41">
        <f>INDEX('Data_Price '!AJ$2:AJ$1266,MATCH(Data!$DN41,'Data_Price '!$AT$2:$AT$1266,0))</f>
        <v/>
      </c>
      <c r="DB41">
        <f>INDEX('Data_Price '!AK$2:AK$1266,MATCH(Data!$DN41,'Data_Price '!$AT$2:$AT$1266,0))</f>
        <v/>
      </c>
      <c r="DC41">
        <f>INDEX('Data_Price '!AL$2:AL$1266,MATCH(Data!$DN41,'Data_Price '!$AT$2:$AT$1266,0))</f>
        <v/>
      </c>
      <c r="DD41">
        <f>INDEX('Data_Price '!AM$2:AM$1266,MATCH(Data!$DN41,'Data_Price '!$AT$2:$AT$1266,0))</f>
        <v/>
      </c>
      <c r="DE41">
        <f>INDEX('Data_Price '!AN$2:AN$1266,MATCH(Data!$DN41,'Data_Price '!$AT$2:$AT$1266,0))</f>
        <v/>
      </c>
      <c r="DF41">
        <f>INDEX('Data_Price '!AO$2:AO$1266,MATCH(Data!$DN41,'Data_Price '!$AT$2:$AT$1266,0))</f>
        <v/>
      </c>
      <c r="DG41">
        <f>INDEX('Data_Price '!AP$2:AP$1266,MATCH(Data!$DN41,'Data_Price '!$AT$2:$AT$1266,0))</f>
        <v/>
      </c>
      <c r="DH41">
        <f>INDEX('Data_Price '!AQ$2:AQ$1266,MATCH(Data!$DN41,'Data_Price '!$AT$2:$AT$1266,0))</f>
        <v/>
      </c>
      <c r="DI41">
        <f>INDEX('Data_Price '!AR$2:AR$1266,MATCH(Data!$DN41,'Data_Price '!$AT$2:$AT$1266,0))</f>
        <v/>
      </c>
      <c r="DJ41" s="138">
        <f>DA41</f>
        <v/>
      </c>
      <c r="DK41" s="138">
        <f>DE41</f>
        <v/>
      </c>
      <c r="DL41" s="138">
        <f>DI41</f>
        <v/>
      </c>
      <c r="DM41" s="303">
        <f>IF(LEFT(BT41,1)=" ",RIGHT(BT41,LEN(BT41)-1),BT41)</f>
        <v/>
      </c>
      <c r="DN41" s="138">
        <f>_xlfn.CONCAT(BS41,DM41,BU41,BV41)</f>
        <v/>
      </c>
      <c r="DO41" s="307" t="inlineStr">
        <is>
          <t>https://images.evo.com/imgp/250/185155/736345/dynastar-m-pro-99-w-skis-women-s-2022-.jpg</t>
        </is>
      </c>
    </row>
    <row r="42" ht="15.6" customHeight="1" s="184">
      <c r="B42" s="303">
        <f t="array" ref="B42">IF(OR(ISERROR(K42:P42)),FALSE,TRUE)</f>
        <v/>
      </c>
      <c r="C42" s="60">
        <f>OR(BR42=Driver!$G$50,Data!BR1128=Driver!$H$50)</f>
        <v/>
      </c>
      <c r="D42" s="60">
        <f>OR(BV42=Driver!$G$51,BV42=Driver!$H$51)</f>
        <v/>
      </c>
      <c r="E42" s="60">
        <f>AND(BX42&gt;Driver!$F$54,BX42&lt;Driver!$G$54)</f>
        <v/>
      </c>
      <c r="F42" s="60">
        <f>CL42&gt;Driver!$F$56</f>
        <v/>
      </c>
      <c r="G42" s="60">
        <f>AND(CB42&gt;Driver!$F$55,CB42&lt;Driver!$G$55)</f>
        <v/>
      </c>
      <c r="H42" s="60">
        <f>AND(B42:G42)</f>
        <v/>
      </c>
      <c r="I42" s="60">
        <f>COUNTIFS($H$9:$H$1273,TRUE,$BT$9:$BT$1273,BT42)</f>
        <v/>
      </c>
      <c r="J42" s="60">
        <f t="array" ref="J42">NOT(OR(($H$9:$H$1273=TRUE)*($I$9:$I$1273&gt;0)*($BT$9:$BT$1273=BT42)*($K$9:$K$1273&gt;K42)))</f>
        <v/>
      </c>
      <c r="K42" s="108">
        <f>IFERROR(1-AVERAGE(X42:Y42),"")</f>
        <v/>
      </c>
      <c r="L42" s="108">
        <f>1-X42</f>
        <v/>
      </c>
      <c r="M42" s="108">
        <f>1-Y42</f>
        <v/>
      </c>
      <c r="N42" s="108">
        <f>1-Z42</f>
        <v/>
      </c>
      <c r="O42" s="108">
        <f>1-AA42</f>
        <v/>
      </c>
      <c r="P42" s="108">
        <f>1-AB42</f>
        <v/>
      </c>
      <c r="Q42" s="108" t="n"/>
      <c r="R42" s="108" t="n"/>
      <c r="S42" s="108">
        <f>1-AE42</f>
        <v/>
      </c>
      <c r="T42" s="108">
        <f>1-AF42</f>
        <v/>
      </c>
      <c r="U42" s="108">
        <f>1-AG42</f>
        <v/>
      </c>
      <c r="V42" s="108">
        <f>1-AH42</f>
        <v/>
      </c>
      <c r="W42" s="108">
        <f>1-AI42</f>
        <v/>
      </c>
      <c r="X42" s="108">
        <f>ABS(AJ42-AJ$1)</f>
        <v/>
      </c>
      <c r="Y42" s="108">
        <f>AVERAGE(Z42:AB42)</f>
        <v/>
      </c>
      <c r="Z42" s="108">
        <f>ABS(AL42-AL$1)</f>
        <v/>
      </c>
      <c r="AA42" s="108">
        <f>ABS(AM42-AM$1)</f>
        <v/>
      </c>
      <c r="AB42" s="108">
        <f>ABS(AN42-AN$1)</f>
        <v/>
      </c>
      <c r="AC42" s="108" t="n"/>
      <c r="AD42" s="108" t="n"/>
      <c r="AE42" s="108">
        <f>ABS(AQ$1-AQ42)</f>
        <v/>
      </c>
      <c r="AF42" s="108">
        <f>ABS(AR$1-AR42)</f>
        <v/>
      </c>
      <c r="AG42" s="108">
        <f>ABS(AS$1-AS42)</f>
        <v/>
      </c>
      <c r="AH42" s="108">
        <f>ABS(AT$1-AT42)</f>
        <v/>
      </c>
      <c r="AI42" s="108">
        <f>ABS(AU$1-AU42)</f>
        <v/>
      </c>
      <c r="AJ42" s="108">
        <f>(AV42-Driver!$K$179)/(Driver!$L$179-Driver!$K$179)</f>
        <v/>
      </c>
      <c r="AK42" s="108">
        <f>(AW42-Driver!$K$180)/(Driver!$L$180-Driver!$K$180)</f>
        <v/>
      </c>
      <c r="AL42" s="108">
        <f>(AX42-Driver!$K$181)/(Driver!$L$181-Driver!$K$181)</f>
        <v/>
      </c>
      <c r="AM42" s="108">
        <f>(AY42-Driver!$K$182)/(Driver!$L$182-Driver!$K$182)</f>
        <v/>
      </c>
      <c r="AN42" s="108">
        <f>(AZ42-Driver!$K$183)/(Driver!$L$183-Driver!$K$183)</f>
        <v/>
      </c>
      <c r="AO42" s="108" t="n"/>
      <c r="AP42" s="108" t="n"/>
      <c r="AQ42" s="108">
        <f>(BC42-Driver!$K$188)/(Driver!$L$188-Driver!$K$188)</f>
        <v/>
      </c>
      <c r="AR42" s="108">
        <f>MIN((BD42-Driver!$K$189)/(Driver!$L$189-Driver!$K$189),100%)</f>
        <v/>
      </c>
      <c r="AS42" s="108">
        <f>(BE42-Driver!$K$190)/(Driver!$L$190-Driver!$K$190)</f>
        <v/>
      </c>
      <c r="AT42" s="108">
        <f>(BF42-Driver!$K$191)/(Driver!$L$191-Driver!$K$191)</f>
        <v/>
      </c>
      <c r="AU42" s="108">
        <f>(BG42-Driver!$K$192)/(Driver!$L$192-Driver!$K$192)</f>
        <v/>
      </c>
      <c r="AV42" s="105">
        <f>IFERROR(BM42*BJ42^1/4,"")</f>
        <v/>
      </c>
      <c r="AW42" s="105">
        <f>IFERROR(SUM(AX42:AZ42),"")</f>
        <v/>
      </c>
      <c r="AX42" s="105">
        <f>IFERROR(BH42,"")</f>
        <v/>
      </c>
      <c r="AY42" s="105">
        <f>IFERROR(Driver!$K$19/Data!BH42/Data!BI42*Data!BK42*Data!BL42,"")</f>
        <v/>
      </c>
      <c r="AZ42" s="105">
        <f>IFERROR(BI42*BN42,"")</f>
        <v/>
      </c>
      <c r="BA42" s="105" t="n"/>
      <c r="BB42" s="105" t="n"/>
      <c r="BC42" s="105">
        <f>IFERROR(BI42*BN42*BK42/BJ42^(1/2),"")</f>
        <v/>
      </c>
      <c r="BD42" s="105">
        <f>IFERROR(BH42*BM42*BL42/BJ42/BK42,"")</f>
        <v/>
      </c>
      <c r="BE42" s="105">
        <f>IFERROR(MIN(BI42/BQ42/BP42/BO42/BH42,$BE$1),"")</f>
        <v/>
      </c>
      <c r="BF42" s="105">
        <f>IFERROR(BJ42*BO42*BP42/BK42,"")</f>
        <v/>
      </c>
      <c r="BG42" s="105">
        <f>IFERROR(1/BM42/BH42*BQ42,"")</f>
        <v/>
      </c>
      <c r="BH42" s="102">
        <f>MAX((CE42-Driver!$F$200)/(Driver!$G$200-Driver!$F$200)*$BI$1,1)</f>
        <v/>
      </c>
      <c r="BI42" s="102">
        <f>MAX($BI$1*(BY42-Driver!$F$201)/(Driver!$G$201-Driver!$F$201),1)</f>
        <v/>
      </c>
      <c r="BJ42" s="102">
        <f>(CB42-Driver!$F$206)/(Driver!$G$206-Driver!$F$206)*$BI$1</f>
        <v/>
      </c>
      <c r="BK42" s="102">
        <f>(CD42-Driver!$F$203)/(Driver!$G$203-Driver!$F$203)*$BI$1</f>
        <v/>
      </c>
      <c r="BL42" s="102">
        <f>MAX((CR42-Driver!$F$202)/(Driver!$G$202-Driver!$F$202)*$BI$1,1)</f>
        <v/>
      </c>
      <c r="BM42" s="102">
        <f>MAX((CH42-Driver!$F$204)/(Driver!$G$204-Driver!$F$204)*$BI$1,1)</f>
        <v/>
      </c>
      <c r="BN42" s="102">
        <f>(CI42-Driver!$F$205)/(Driver!$G$205-Driver!$F$205)*$BI$1</f>
        <v/>
      </c>
      <c r="BO42" s="102">
        <f>(CK42-Driver!$F$207)/(Driver!$G$207-Driver!$F$207)*$BI$1</f>
        <v/>
      </c>
      <c r="BP42" s="102">
        <f>(CM42-Driver!$F$208)/(Driver!$G$208-Driver!$F$208)*$BI$1</f>
        <v/>
      </c>
      <c r="BQ42" s="102">
        <f>(CL42-Driver!$F$209)/(Driver!$G$209-Driver!$F$209)*$BI$1</f>
        <v/>
      </c>
      <c r="BR42" s="40" t="inlineStr">
        <is>
          <t>21/22</t>
        </is>
      </c>
      <c r="BS42" s="10" t="inlineStr">
        <is>
          <t xml:space="preserve"> Stöckli</t>
        </is>
      </c>
      <c r="BT42" s="11" t="inlineStr">
        <is>
          <t>Edge 88</t>
        </is>
      </c>
      <c r="BU42" s="13" t="n">
        <v>174</v>
      </c>
      <c r="BV42" s="11" t="inlineStr">
        <is>
          <t xml:space="preserve"> Unisex</t>
        </is>
      </c>
      <c r="BW42" s="13" t="n">
        <v>174</v>
      </c>
      <c r="BX42" s="13" t="n">
        <v>173.1</v>
      </c>
      <c r="BY42" s="13" t="n">
        <v>145</v>
      </c>
      <c r="BZ42" s="13" t="n">
        <v>153</v>
      </c>
      <c r="CA42" s="13" t="n">
        <v>123</v>
      </c>
      <c r="CB42" s="13" t="n">
        <v>87</v>
      </c>
      <c r="CC42" s="13" t="n">
        <v>110</v>
      </c>
      <c r="CD42" s="13" t="n">
        <v>19.1</v>
      </c>
      <c r="CE42" s="13" t="n">
        <v>1613</v>
      </c>
      <c r="CF42" s="13" t="n">
        <v>1.05</v>
      </c>
      <c r="CG42" s="13" t="n">
        <v>1697</v>
      </c>
      <c r="CH42" s="13" t="n">
        <v>206</v>
      </c>
      <c r="CI42" s="13" t="n">
        <v>106</v>
      </c>
      <c r="CJ42" s="13" t="n">
        <v>44</v>
      </c>
      <c r="CK42" s="13" t="n">
        <v>204</v>
      </c>
      <c r="CL42" s="13" t="n">
        <v>8</v>
      </c>
      <c r="CM42" s="13" t="n">
        <v>74</v>
      </c>
      <c r="CN42" s="13" t="n">
        <v>0.186</v>
      </c>
      <c r="CO42" s="13" t="n">
        <v>141</v>
      </c>
      <c r="CP42" s="13" t="n">
        <v>59</v>
      </c>
      <c r="CQ42" s="13" t="n">
        <v>63</v>
      </c>
      <c r="CR42" s="13" t="n">
        <v>7</v>
      </c>
      <c r="CS42" s="13" t="n">
        <v>13.5</v>
      </c>
      <c r="CT42" s="11" t="inlineStr">
        <is>
          <t xml:space="preserve"> Resort Freeride</t>
        </is>
      </c>
      <c r="CU42" s="11" t="inlineStr">
        <is>
          <t xml:space="preserve"> Touring</t>
        </is>
      </c>
      <c r="CV42" s="13" t="n"/>
      <c r="CW42" s="13" t="n"/>
      <c r="CX42">
        <f>INDEX('Data_Price '!AG$2:AG$1266,MATCH(Data!$DN42,'Data_Price '!$AT$2:$AT$1266,0))</f>
        <v/>
      </c>
      <c r="CY42">
        <f>INDEX('Data_Price '!AH$2:AH$1266,MATCH(Data!$DN42,'Data_Price '!$AT$2:$AT$1266,0))</f>
        <v/>
      </c>
      <c r="CZ42">
        <f>INDEX('Data_Price '!AI$2:AI$1266,MATCH(Data!$DN42,'Data_Price '!$AT$2:$AT$1266,0))</f>
        <v/>
      </c>
      <c r="DA42">
        <f>INDEX('Data_Price '!AJ$2:AJ$1266,MATCH(Data!$DN42,'Data_Price '!$AT$2:$AT$1266,0))</f>
        <v/>
      </c>
      <c r="DB42">
        <f>INDEX('Data_Price '!AK$2:AK$1266,MATCH(Data!$DN42,'Data_Price '!$AT$2:$AT$1266,0))</f>
        <v/>
      </c>
      <c r="DC42">
        <f>INDEX('Data_Price '!AL$2:AL$1266,MATCH(Data!$DN42,'Data_Price '!$AT$2:$AT$1266,0))</f>
        <v/>
      </c>
      <c r="DD42">
        <f>INDEX('Data_Price '!AM$2:AM$1266,MATCH(Data!$DN42,'Data_Price '!$AT$2:$AT$1266,0))</f>
        <v/>
      </c>
      <c r="DE42">
        <f>INDEX('Data_Price '!AN$2:AN$1266,MATCH(Data!$DN42,'Data_Price '!$AT$2:$AT$1266,0))</f>
        <v/>
      </c>
      <c r="DF42">
        <f>INDEX('Data_Price '!AO$2:AO$1266,MATCH(Data!$DN42,'Data_Price '!$AT$2:$AT$1266,0))</f>
        <v/>
      </c>
      <c r="DG42">
        <f>INDEX('Data_Price '!AP$2:AP$1266,MATCH(Data!$DN42,'Data_Price '!$AT$2:$AT$1266,0))</f>
        <v/>
      </c>
      <c r="DH42">
        <f>INDEX('Data_Price '!AQ$2:AQ$1266,MATCH(Data!$DN42,'Data_Price '!$AT$2:$AT$1266,0))</f>
        <v/>
      </c>
      <c r="DI42">
        <f>INDEX('Data_Price '!AR$2:AR$1266,MATCH(Data!$DN42,'Data_Price '!$AT$2:$AT$1266,0))</f>
        <v/>
      </c>
      <c r="DJ42" s="138">
        <f>DA42</f>
        <v/>
      </c>
      <c r="DK42" s="138">
        <f>DE42</f>
        <v/>
      </c>
      <c r="DL42" s="138">
        <f>DI42</f>
        <v/>
      </c>
      <c r="DM42" s="303">
        <f>IF(LEFT(BT42,1)=" ",RIGHT(BT42,LEN(BT42)-1),BT42)</f>
        <v/>
      </c>
      <c r="DN42" s="138">
        <f>_xlfn.CONCAT(BS42,DM42,BU42,BV42)</f>
        <v/>
      </c>
      <c r="DO42" s="307" t="n"/>
    </row>
    <row r="43" ht="15.6" customHeight="1" s="184">
      <c r="B43" s="303">
        <f t="array" ref="B43">IF(OR(ISERROR(K43:P43)),FALSE,TRUE)</f>
        <v/>
      </c>
      <c r="C43" s="60">
        <f>OR(BR43=Driver!$G$50,Data!BR796=Driver!$H$50)</f>
        <v/>
      </c>
      <c r="D43" s="60">
        <f>OR(BV43=Driver!$G$51,BV43=Driver!$H$51)</f>
        <v/>
      </c>
      <c r="E43" s="60">
        <f>AND(BX43&gt;Driver!$F$54,BX43&lt;Driver!$G$54)</f>
        <v/>
      </c>
      <c r="F43" s="60">
        <f>CL43&gt;Driver!$F$56</f>
        <v/>
      </c>
      <c r="G43" s="60">
        <f>AND(CB43&gt;Driver!$F$55,CB43&lt;Driver!$G$55)</f>
        <v/>
      </c>
      <c r="H43" s="60">
        <f>AND(B43:G43)</f>
        <v/>
      </c>
      <c r="I43" s="60">
        <f>COUNTIFS($H$9:$H$1273,TRUE,$BT$9:$BT$1273,BT43)</f>
        <v/>
      </c>
      <c r="J43" s="60">
        <f t="array" ref="J43">NOT(OR(($H$9:$H$1273=TRUE)*($I$9:$I$1273&gt;0)*($BT$9:$BT$1273=BT43)*($K$9:$K$1273&gt;K43)))</f>
        <v/>
      </c>
      <c r="K43" s="108">
        <f>IFERROR(1-AVERAGE(X43:Y43),"")</f>
        <v/>
      </c>
      <c r="L43" s="108">
        <f>1-X43</f>
        <v/>
      </c>
      <c r="M43" s="108">
        <f>1-Y43</f>
        <v/>
      </c>
      <c r="N43" s="108">
        <f>1-Z43</f>
        <v/>
      </c>
      <c r="O43" s="108">
        <f>1-AA43</f>
        <v/>
      </c>
      <c r="P43" s="108">
        <f>1-AB43</f>
        <v/>
      </c>
      <c r="Q43" s="108" t="n"/>
      <c r="R43" s="108" t="n"/>
      <c r="S43" s="108">
        <f>1-AE43</f>
        <v/>
      </c>
      <c r="T43" s="108">
        <f>1-AF43</f>
        <v/>
      </c>
      <c r="U43" s="108">
        <f>1-AG43</f>
        <v/>
      </c>
      <c r="V43" s="108">
        <f>1-AH43</f>
        <v/>
      </c>
      <c r="W43" s="108">
        <f>1-AI43</f>
        <v/>
      </c>
      <c r="X43" s="108">
        <f>ABS(AJ43-AJ$1)</f>
        <v/>
      </c>
      <c r="Y43" s="108">
        <f>AVERAGE(Z43:AB43)</f>
        <v/>
      </c>
      <c r="Z43" s="108">
        <f>ABS(AL43-AL$1)</f>
        <v/>
      </c>
      <c r="AA43" s="108">
        <f>ABS(AM43-AM$1)</f>
        <v/>
      </c>
      <c r="AB43" s="108">
        <f>ABS(AN43-AN$1)</f>
        <v/>
      </c>
      <c r="AC43" s="108" t="n"/>
      <c r="AD43" s="108" t="n"/>
      <c r="AE43" s="108">
        <f>ABS(AQ$1-AQ43)</f>
        <v/>
      </c>
      <c r="AF43" s="108">
        <f>ABS(AR$1-AR43)</f>
        <v/>
      </c>
      <c r="AG43" s="108">
        <f>ABS(AS$1-AS43)</f>
        <v/>
      </c>
      <c r="AH43" s="108">
        <f>ABS(AT$1-AT43)</f>
        <v/>
      </c>
      <c r="AI43" s="108">
        <f>ABS(AU$1-AU43)</f>
        <v/>
      </c>
      <c r="AJ43" s="108">
        <f>(AV43-Driver!$K$179)/(Driver!$L$179-Driver!$K$179)</f>
        <v/>
      </c>
      <c r="AK43" s="108">
        <f>(AW43-Driver!$K$180)/(Driver!$L$180-Driver!$K$180)</f>
        <v/>
      </c>
      <c r="AL43" s="108">
        <f>(AX43-Driver!$K$181)/(Driver!$L$181-Driver!$K$181)</f>
        <v/>
      </c>
      <c r="AM43" s="108">
        <f>(AY43-Driver!$K$182)/(Driver!$L$182-Driver!$K$182)</f>
        <v/>
      </c>
      <c r="AN43" s="108">
        <f>(AZ43-Driver!$K$183)/(Driver!$L$183-Driver!$K$183)</f>
        <v/>
      </c>
      <c r="AO43" s="108" t="n"/>
      <c r="AP43" s="108" t="n"/>
      <c r="AQ43" s="108">
        <f>(BC43-Driver!$K$188)/(Driver!$L$188-Driver!$K$188)</f>
        <v/>
      </c>
      <c r="AR43" s="108">
        <f>MIN((BD43-Driver!$K$189)/(Driver!$L$189-Driver!$K$189),100%)</f>
        <v/>
      </c>
      <c r="AS43" s="108">
        <f>(BE43-Driver!$K$190)/(Driver!$L$190-Driver!$K$190)</f>
        <v/>
      </c>
      <c r="AT43" s="108">
        <f>(BF43-Driver!$K$191)/(Driver!$L$191-Driver!$K$191)</f>
        <v/>
      </c>
      <c r="AU43" s="108">
        <f>(BG43-Driver!$K$192)/(Driver!$L$192-Driver!$K$192)</f>
        <v/>
      </c>
      <c r="AV43" s="105">
        <f>IFERROR(BM43*BJ43^1/4,"")</f>
        <v/>
      </c>
      <c r="AW43" s="105">
        <f>IFERROR(SUM(AX43:AZ43),"")</f>
        <v/>
      </c>
      <c r="AX43" s="105">
        <f>IFERROR(BH43,"")</f>
        <v/>
      </c>
      <c r="AY43" s="105">
        <f>IFERROR(Driver!$K$19/Data!BH43/Data!BI43*Data!BK43*Data!BL43,"")</f>
        <v/>
      </c>
      <c r="AZ43" s="105">
        <f>IFERROR(BI43*BN43,"")</f>
        <v/>
      </c>
      <c r="BA43" s="105" t="n"/>
      <c r="BB43" s="105" t="n"/>
      <c r="BC43" s="105">
        <f>IFERROR(BI43*BN43*BK43/BJ43^(1/2),"")</f>
        <v/>
      </c>
      <c r="BD43" s="105">
        <f>IFERROR(BH43*BM43*BL43/BJ43/BK43,"")</f>
        <v/>
      </c>
      <c r="BE43" s="105">
        <f>IFERROR(MIN(BI43/BQ43/BP43/BO43/BH43,$BE$1),"")</f>
        <v/>
      </c>
      <c r="BF43" s="105">
        <f>IFERROR(BJ43*BO43*BP43/BK43,"")</f>
        <v/>
      </c>
      <c r="BG43" s="105">
        <f>IFERROR(1/BM43/BH43*BQ43,"")</f>
        <v/>
      </c>
      <c r="BH43" s="102">
        <f>MAX((CE43-Driver!$F$200)/(Driver!$G$200-Driver!$F$200)*$BI$1,1)</f>
        <v/>
      </c>
      <c r="BI43" s="102">
        <f>MAX($BI$1*(BY43-Driver!$F$201)/(Driver!$G$201-Driver!$F$201),1)</f>
        <v/>
      </c>
      <c r="BJ43" s="102">
        <f>(CB43-Driver!$F$206)/(Driver!$G$206-Driver!$F$206)*$BI$1</f>
        <v/>
      </c>
      <c r="BK43" s="102">
        <f>(CD43-Driver!$F$203)/(Driver!$G$203-Driver!$F$203)*$BI$1</f>
        <v/>
      </c>
      <c r="BL43" s="102">
        <f>MAX((CR43-Driver!$F$202)/(Driver!$G$202-Driver!$F$202)*$BI$1,1)</f>
        <v/>
      </c>
      <c r="BM43" s="102">
        <f>MAX((CH43-Driver!$F$204)/(Driver!$G$204-Driver!$F$204)*$BI$1,1)</f>
        <v/>
      </c>
      <c r="BN43" s="102">
        <f>(CI43-Driver!$F$205)/(Driver!$G$205-Driver!$F$205)*$BI$1</f>
        <v/>
      </c>
      <c r="BO43" s="102">
        <f>(CK43-Driver!$F$207)/(Driver!$G$207-Driver!$F$207)*$BI$1</f>
        <v/>
      </c>
      <c r="BP43" s="102">
        <f>(CM43-Driver!$F$208)/(Driver!$G$208-Driver!$F$208)*$BI$1</f>
        <v/>
      </c>
      <c r="BQ43" s="102">
        <f>(CL43-Driver!$F$209)/(Driver!$G$209-Driver!$F$209)*$BI$1</f>
        <v/>
      </c>
      <c r="BR43" s="40" t="inlineStr">
        <is>
          <t>21/22</t>
        </is>
      </c>
      <c r="BS43" s="10" t="inlineStr">
        <is>
          <t xml:space="preserve"> Liberty</t>
        </is>
      </c>
      <c r="BT43" s="11" t="inlineStr">
        <is>
          <t>Evolv 100</t>
        </is>
      </c>
      <c r="BU43" s="13" t="n">
        <v>172</v>
      </c>
      <c r="BV43" s="11" t="inlineStr">
        <is>
          <t xml:space="preserve"> Unisex</t>
        </is>
      </c>
      <c r="BW43" s="13" t="n">
        <v>172</v>
      </c>
      <c r="BX43" s="13" t="n">
        <v>171.4</v>
      </c>
      <c r="BY43" s="13" t="n">
        <v>139</v>
      </c>
      <c r="BZ43" s="13" t="n">
        <v>150</v>
      </c>
      <c r="CA43" s="13" t="n">
        <v>137</v>
      </c>
      <c r="CB43" s="13" t="n">
        <v>99</v>
      </c>
      <c r="CC43" s="13" t="n">
        <v>121</v>
      </c>
      <c r="CD43" s="13" t="n">
        <v>17.6</v>
      </c>
      <c r="CE43" s="13" t="n">
        <v>1830</v>
      </c>
      <c r="CF43" s="13" t="n">
        <v>1.04</v>
      </c>
      <c r="CG43" s="13" t="n">
        <v>1898</v>
      </c>
      <c r="CH43" s="13" t="n">
        <v>211</v>
      </c>
      <c r="CI43" s="13" t="n">
        <v>102</v>
      </c>
      <c r="CJ43" s="13" t="n">
        <v>38</v>
      </c>
      <c r="CK43" s="13" t="n">
        <v>223</v>
      </c>
      <c r="CL43" s="13" t="n">
        <v>10</v>
      </c>
      <c r="CM43" s="13" t="n">
        <v>103</v>
      </c>
      <c r="CN43" s="13" t="n">
        <v>0.256</v>
      </c>
      <c r="CO43" s="13" t="n">
        <v>125</v>
      </c>
      <c r="CP43" s="13" t="n">
        <v>85</v>
      </c>
      <c r="CQ43" s="13" t="n">
        <v>98</v>
      </c>
      <c r="CR43" s="13" t="n">
        <v>10</v>
      </c>
      <c r="CS43" s="13" t="n">
        <v>11</v>
      </c>
      <c r="CT43" s="11" t="inlineStr">
        <is>
          <t xml:space="preserve"> Resort Freeride</t>
        </is>
      </c>
      <c r="CU43" s="13" t="n"/>
      <c r="CV43" s="13" t="n"/>
      <c r="CW43" s="13" t="n"/>
      <c r="CX43">
        <f>INDEX('Data_Price '!AG$2:AG$1266,MATCH(Data!$DN43,'Data_Price '!$AT$2:$AT$1266,0))</f>
        <v/>
      </c>
      <c r="CY43">
        <f>INDEX('Data_Price '!AH$2:AH$1266,MATCH(Data!$DN43,'Data_Price '!$AT$2:$AT$1266,0))</f>
        <v/>
      </c>
      <c r="CZ43">
        <f>INDEX('Data_Price '!AI$2:AI$1266,MATCH(Data!$DN43,'Data_Price '!$AT$2:$AT$1266,0))</f>
        <v/>
      </c>
      <c r="DA43">
        <f>INDEX('Data_Price '!AJ$2:AJ$1266,MATCH(Data!$DN43,'Data_Price '!$AT$2:$AT$1266,0))</f>
        <v/>
      </c>
      <c r="DB43">
        <f>INDEX('Data_Price '!AK$2:AK$1266,MATCH(Data!$DN43,'Data_Price '!$AT$2:$AT$1266,0))</f>
        <v/>
      </c>
      <c r="DC43">
        <f>INDEX('Data_Price '!AL$2:AL$1266,MATCH(Data!$DN43,'Data_Price '!$AT$2:$AT$1266,0))</f>
        <v/>
      </c>
      <c r="DD43">
        <f>INDEX('Data_Price '!AM$2:AM$1266,MATCH(Data!$DN43,'Data_Price '!$AT$2:$AT$1266,0))</f>
        <v/>
      </c>
      <c r="DE43">
        <f>INDEX('Data_Price '!AN$2:AN$1266,MATCH(Data!$DN43,'Data_Price '!$AT$2:$AT$1266,0))</f>
        <v/>
      </c>
      <c r="DF43">
        <f>INDEX('Data_Price '!AO$2:AO$1266,MATCH(Data!$DN43,'Data_Price '!$AT$2:$AT$1266,0))</f>
        <v/>
      </c>
      <c r="DG43">
        <f>INDEX('Data_Price '!AP$2:AP$1266,MATCH(Data!$DN43,'Data_Price '!$AT$2:$AT$1266,0))</f>
        <v/>
      </c>
      <c r="DH43">
        <f>INDEX('Data_Price '!AQ$2:AQ$1266,MATCH(Data!$DN43,'Data_Price '!$AT$2:$AT$1266,0))</f>
        <v/>
      </c>
      <c r="DI43">
        <f>INDEX('Data_Price '!AR$2:AR$1266,MATCH(Data!$DN43,'Data_Price '!$AT$2:$AT$1266,0))</f>
        <v/>
      </c>
      <c r="DJ43" s="138">
        <f>DA43</f>
        <v/>
      </c>
      <c r="DK43" s="138">
        <f>DE43</f>
        <v/>
      </c>
      <c r="DL43" s="138">
        <f>DI43</f>
        <v/>
      </c>
      <c r="DM43" s="303">
        <f>IF(LEFT(BT43,1)=" ",RIGHT(BT43,LEN(BT43)-1),BT43)</f>
        <v/>
      </c>
      <c r="DN43" s="138">
        <f>_xlfn.CONCAT(BS43,DM43,BU43,BV43)</f>
        <v/>
      </c>
      <c r="DO43" s="307" t="n"/>
    </row>
    <row r="44" ht="15.6" customHeight="1" s="184">
      <c r="B44" s="303">
        <f t="array" ref="B44">IF(OR(ISERROR(K44:P44)),FALSE,TRUE)</f>
        <v/>
      </c>
      <c r="C44" s="60">
        <f>OR(BR44=Driver!$G$50,Data!BR13=Driver!$H$50)</f>
        <v/>
      </c>
      <c r="D44" s="60">
        <f>OR(BV44=Driver!$G$51,BV44=Driver!$H$51)</f>
        <v/>
      </c>
      <c r="E44" s="60">
        <f>AND(BX44&gt;Driver!$F$54,BX44&lt;Driver!$G$54)</f>
        <v/>
      </c>
      <c r="F44" s="60">
        <f>CL44&gt;Driver!$F$56</f>
        <v/>
      </c>
      <c r="G44" s="60">
        <f>AND(CB44&gt;Driver!$F$55,CB44&lt;Driver!$G$55)</f>
        <v/>
      </c>
      <c r="H44" s="60">
        <f>AND(B44:G44)</f>
        <v/>
      </c>
      <c r="I44" s="60">
        <f>COUNTIFS($H$9:$H$1273,TRUE,$BT$9:$BT$1273,BT44)</f>
        <v/>
      </c>
      <c r="J44" s="60">
        <f t="array" ref="J44">NOT(OR(($H$9:$H$1273=TRUE)*($I$9:$I$1273&gt;0)*($BT$9:$BT$1273=BT44)*($K$9:$K$1273&gt;K44)))</f>
        <v/>
      </c>
      <c r="K44" s="108">
        <f>IFERROR(1-AVERAGE(X44:Y44),"")</f>
        <v/>
      </c>
      <c r="L44" s="108">
        <f>1-X44</f>
        <v/>
      </c>
      <c r="M44" s="108">
        <f>1-Y44</f>
        <v/>
      </c>
      <c r="N44" s="108">
        <f>1-Z44</f>
        <v/>
      </c>
      <c r="O44" s="108">
        <f>1-AA44</f>
        <v/>
      </c>
      <c r="P44" s="108">
        <f>1-AB44</f>
        <v/>
      </c>
      <c r="Q44" s="108" t="n"/>
      <c r="R44" s="108" t="n"/>
      <c r="S44" s="108">
        <f>1-AE44</f>
        <v/>
      </c>
      <c r="T44" s="108">
        <f>1-AF44</f>
        <v/>
      </c>
      <c r="U44" s="108">
        <f>1-AG44</f>
        <v/>
      </c>
      <c r="V44" s="108">
        <f>1-AH44</f>
        <v/>
      </c>
      <c r="W44" s="108">
        <f>1-AI44</f>
        <v/>
      </c>
      <c r="X44" s="108">
        <f>ABS(AJ44-AJ$1)</f>
        <v/>
      </c>
      <c r="Y44" s="108">
        <f>AVERAGE(Z44:AB44)</f>
        <v/>
      </c>
      <c r="Z44" s="108">
        <f>ABS(AL44-AL$1)</f>
        <v/>
      </c>
      <c r="AA44" s="108">
        <f>ABS(AM44-AM$1)</f>
        <v/>
      </c>
      <c r="AB44" s="108">
        <f>ABS(AN44-AN$1)</f>
        <v/>
      </c>
      <c r="AC44" s="108" t="n"/>
      <c r="AD44" s="108" t="n"/>
      <c r="AE44" s="108">
        <f>ABS(AQ$1-AQ44)</f>
        <v/>
      </c>
      <c r="AF44" s="108">
        <f>ABS(AR$1-AR44)</f>
        <v/>
      </c>
      <c r="AG44" s="108">
        <f>ABS(AS$1-AS44)</f>
        <v/>
      </c>
      <c r="AH44" s="108">
        <f>ABS(AT$1-AT44)</f>
        <v/>
      </c>
      <c r="AI44" s="108">
        <f>ABS(AU$1-AU44)</f>
        <v/>
      </c>
      <c r="AJ44" s="108">
        <f>(AV44-Driver!$K$179)/(Driver!$L$179-Driver!$K$179)</f>
        <v/>
      </c>
      <c r="AK44" s="108">
        <f>(AW44-Driver!$K$180)/(Driver!$L$180-Driver!$K$180)</f>
        <v/>
      </c>
      <c r="AL44" s="108">
        <f>(AX44-Driver!$K$181)/(Driver!$L$181-Driver!$K$181)</f>
        <v/>
      </c>
      <c r="AM44" s="108">
        <f>(AY44-Driver!$K$182)/(Driver!$L$182-Driver!$K$182)</f>
        <v/>
      </c>
      <c r="AN44" s="108">
        <f>(AZ44-Driver!$K$183)/(Driver!$L$183-Driver!$K$183)</f>
        <v/>
      </c>
      <c r="AO44" s="108" t="n"/>
      <c r="AP44" s="108" t="n"/>
      <c r="AQ44" s="108">
        <f>(BC44-Driver!$K$188)/(Driver!$L$188-Driver!$K$188)</f>
        <v/>
      </c>
      <c r="AR44" s="108">
        <f>MIN((BD44-Driver!$K$189)/(Driver!$L$189-Driver!$K$189),100%)</f>
        <v/>
      </c>
      <c r="AS44" s="108">
        <f>(BE44-Driver!$K$190)/(Driver!$L$190-Driver!$K$190)</f>
        <v/>
      </c>
      <c r="AT44" s="108">
        <f>(BF44-Driver!$K$191)/(Driver!$L$191-Driver!$K$191)</f>
        <v/>
      </c>
      <c r="AU44" s="108">
        <f>(BG44-Driver!$K$192)/(Driver!$L$192-Driver!$K$192)</f>
        <v/>
      </c>
      <c r="AV44" s="105">
        <f>IFERROR(BM44*BJ44^1/4,"")</f>
        <v/>
      </c>
      <c r="AW44" s="105">
        <f>IFERROR(SUM(AX44:AZ44),"")</f>
        <v/>
      </c>
      <c r="AX44" s="105">
        <f>IFERROR(BH44,"")</f>
        <v/>
      </c>
      <c r="AY44" s="105">
        <f>IFERROR(Driver!$K$19/Data!BH44/Data!BI44*Data!BK44*Data!BL44,"")</f>
        <v/>
      </c>
      <c r="AZ44" s="105">
        <f>IFERROR(BI44*BN44,"")</f>
        <v/>
      </c>
      <c r="BA44" s="105" t="n"/>
      <c r="BB44" s="105" t="n"/>
      <c r="BC44" s="105">
        <f>IFERROR(BI44*BN44*BK44/BJ44^(1/2),"")</f>
        <v/>
      </c>
      <c r="BD44" s="105">
        <f>IFERROR(BH44*BM44*BL44/BJ44/BK44,"")</f>
        <v/>
      </c>
      <c r="BE44" s="105">
        <f>IFERROR(MIN(BI44/BQ44/BP44/BO44/BH44,$BE$1),"")</f>
        <v/>
      </c>
      <c r="BF44" s="105">
        <f>IFERROR(BJ44*BO44*BP44/BK44,"")</f>
        <v/>
      </c>
      <c r="BG44" s="105">
        <f>IFERROR(1/BM44/BH44*BQ44,"")</f>
        <v/>
      </c>
      <c r="BH44" s="102">
        <f>MAX((CE44-Driver!$F$200)/(Driver!$G$200-Driver!$F$200)*$BI$1,1)</f>
        <v/>
      </c>
      <c r="BI44" s="102">
        <f>MAX($BI$1*(BY44-Driver!$F$201)/(Driver!$G$201-Driver!$F$201),1)</f>
        <v/>
      </c>
      <c r="BJ44" s="102">
        <f>(CB44-Driver!$F$206)/(Driver!$G$206-Driver!$F$206)*$BI$1</f>
        <v/>
      </c>
      <c r="BK44" s="102">
        <f>(CD44-Driver!$F$203)/(Driver!$G$203-Driver!$F$203)*$BI$1</f>
        <v/>
      </c>
      <c r="BL44" s="102">
        <f>MAX((CR44-Driver!$F$202)/(Driver!$G$202-Driver!$F$202)*$BI$1,1)</f>
        <v/>
      </c>
      <c r="BM44" s="102">
        <f>MAX((CH44-Driver!$F$204)/(Driver!$G$204-Driver!$F$204)*$BI$1,1)</f>
        <v/>
      </c>
      <c r="BN44" s="102">
        <f>(CI44-Driver!$F$205)/(Driver!$G$205-Driver!$F$205)*$BI$1</f>
        <v/>
      </c>
      <c r="BO44" s="102">
        <f>(CK44-Driver!$F$207)/(Driver!$G$207-Driver!$F$207)*$BI$1</f>
        <v/>
      </c>
      <c r="BP44" s="102">
        <f>(CM44-Driver!$F$208)/(Driver!$G$208-Driver!$F$208)*$BI$1</f>
        <v/>
      </c>
      <c r="BQ44" s="102">
        <f>(CL44-Driver!$F$209)/(Driver!$G$209-Driver!$F$209)*$BI$1</f>
        <v/>
      </c>
      <c r="BR44" s="40" t="inlineStr">
        <is>
          <t>22/23</t>
        </is>
      </c>
      <c r="BS44" s="10" t="inlineStr">
        <is>
          <t xml:space="preserve"> DPS</t>
        </is>
      </c>
      <c r="BT44" s="11" t="inlineStr">
        <is>
          <t>Pagoda Tour 94</t>
        </is>
      </c>
      <c r="BU44" s="13" t="n">
        <v>178</v>
      </c>
      <c r="BV44" s="11" t="inlineStr">
        <is>
          <t xml:space="preserve"> Unisex</t>
        </is>
      </c>
      <c r="BW44" s="13" t="n">
        <v>178</v>
      </c>
      <c r="BX44" s="13" t="n">
        <v>176.2</v>
      </c>
      <c r="BY44" s="13" t="n">
        <v>130</v>
      </c>
      <c r="BZ44" s="13" t="n">
        <v>146</v>
      </c>
      <c r="CA44" s="13" t="n">
        <v>131</v>
      </c>
      <c r="CB44" s="13" t="n">
        <v>94</v>
      </c>
      <c r="CC44" s="13" t="n">
        <v>111</v>
      </c>
      <c r="CD44" s="13" t="n">
        <v>18.9</v>
      </c>
      <c r="CE44" s="13" t="n">
        <v>1372</v>
      </c>
      <c r="CF44" s="13" t="n">
        <v>1.35</v>
      </c>
      <c r="CG44" s="13" t="n">
        <v>1846</v>
      </c>
      <c r="CH44" s="13" t="n">
        <v>227</v>
      </c>
      <c r="CI44" s="13" t="n">
        <v>101</v>
      </c>
      <c r="CJ44" s="13" t="n">
        <v>53</v>
      </c>
      <c r="CK44" s="13" t="n">
        <v>269</v>
      </c>
      <c r="CL44" s="13" t="n">
        <v>23</v>
      </c>
      <c r="CM44" s="13" t="n">
        <v>189</v>
      </c>
      <c r="CN44" s="13" t="n">
        <v>0.437</v>
      </c>
      <c r="CO44" s="13" t="n">
        <v>143</v>
      </c>
      <c r="CP44" s="13" t="n">
        <v>159</v>
      </c>
      <c r="CQ44" s="13" t="n">
        <v>125</v>
      </c>
      <c r="CR44" s="13" t="n">
        <v>6</v>
      </c>
      <c r="CS44" s="13" t="n">
        <v>10.8</v>
      </c>
      <c r="CT44" s="11" t="inlineStr">
        <is>
          <t xml:space="preserve"> Touring</t>
        </is>
      </c>
      <c r="CU44" s="11" t="inlineStr">
        <is>
          <t xml:space="preserve"> Ultralight Touring</t>
        </is>
      </c>
      <c r="CV44" s="13" t="n"/>
      <c r="CW44" s="13" t="n"/>
      <c r="CX44">
        <f>INDEX('Data_Price '!AG$2:AG$1266,MATCH(Data!$DN44,'Data_Price '!$AT$2:$AT$1266,0))</f>
        <v/>
      </c>
      <c r="CY44">
        <f>INDEX('Data_Price '!AH$2:AH$1266,MATCH(Data!$DN44,'Data_Price '!$AT$2:$AT$1266,0))</f>
        <v/>
      </c>
      <c r="CZ44">
        <f>INDEX('Data_Price '!AI$2:AI$1266,MATCH(Data!$DN44,'Data_Price '!$AT$2:$AT$1266,0))</f>
        <v/>
      </c>
      <c r="DA44">
        <f>INDEX('Data_Price '!AJ$2:AJ$1266,MATCH(Data!$DN44,'Data_Price '!$AT$2:$AT$1266,0))</f>
        <v/>
      </c>
      <c r="DB44">
        <f>INDEX('Data_Price '!AK$2:AK$1266,MATCH(Data!$DN44,'Data_Price '!$AT$2:$AT$1266,0))</f>
        <v/>
      </c>
      <c r="DC44">
        <f>INDEX('Data_Price '!AL$2:AL$1266,MATCH(Data!$DN44,'Data_Price '!$AT$2:$AT$1266,0))</f>
        <v/>
      </c>
      <c r="DD44">
        <f>INDEX('Data_Price '!AM$2:AM$1266,MATCH(Data!$DN44,'Data_Price '!$AT$2:$AT$1266,0))</f>
        <v/>
      </c>
      <c r="DE44">
        <f>INDEX('Data_Price '!AN$2:AN$1266,MATCH(Data!$DN44,'Data_Price '!$AT$2:$AT$1266,0))</f>
        <v/>
      </c>
      <c r="DF44">
        <f>INDEX('Data_Price '!AO$2:AO$1266,MATCH(Data!$DN44,'Data_Price '!$AT$2:$AT$1266,0))</f>
        <v/>
      </c>
      <c r="DG44">
        <f>INDEX('Data_Price '!AP$2:AP$1266,MATCH(Data!$DN44,'Data_Price '!$AT$2:$AT$1266,0))</f>
        <v/>
      </c>
      <c r="DH44">
        <f>INDEX('Data_Price '!AQ$2:AQ$1266,MATCH(Data!$DN44,'Data_Price '!$AT$2:$AT$1266,0))</f>
        <v/>
      </c>
      <c r="DI44">
        <f>INDEX('Data_Price '!AR$2:AR$1266,MATCH(Data!$DN44,'Data_Price '!$AT$2:$AT$1266,0))</f>
        <v/>
      </c>
      <c r="DJ44" s="138">
        <f>DA44</f>
        <v/>
      </c>
      <c r="DK44" s="138">
        <f>DE44</f>
        <v/>
      </c>
      <c r="DL44" s="138">
        <f>DI44</f>
        <v/>
      </c>
      <c r="DM44" s="303">
        <f>IF(LEFT(BT44,1)=" ",RIGHT(BT44,LEN(BT44)-1),BT44)</f>
        <v/>
      </c>
      <c r="DN44" s="138">
        <f>_xlfn.CONCAT(BS44,DM44,BU44,BV44)</f>
        <v/>
      </c>
      <c r="DO44" s="307" t="n"/>
    </row>
    <row r="45" ht="15.6" customHeight="1" s="184">
      <c r="B45" s="303">
        <f t="array" ref="B45">IF(OR(ISERROR(K45:P45)),FALSE,TRUE)</f>
        <v/>
      </c>
      <c r="C45" s="60">
        <f>OR(BR45=Driver!$G$50,Data!BR46=Driver!$H$50)</f>
        <v/>
      </c>
      <c r="D45" s="60">
        <f>OR(BV45=Driver!$G$51,BV45=Driver!$H$51)</f>
        <v/>
      </c>
      <c r="E45" s="60">
        <f>AND(BX45&gt;Driver!$F$54,BX45&lt;Driver!$G$54)</f>
        <v/>
      </c>
      <c r="F45" s="60">
        <f>CL45&gt;Driver!$F$56</f>
        <v/>
      </c>
      <c r="G45" s="60">
        <f>AND(CB45&gt;Driver!$F$55,CB45&lt;Driver!$G$55)</f>
        <v/>
      </c>
      <c r="H45" s="60">
        <f>AND(B45:G45)</f>
        <v/>
      </c>
      <c r="I45" s="60">
        <f>COUNTIFS($H$9:$H$1273,TRUE,$BT$9:$BT$1273,BT45)</f>
        <v/>
      </c>
      <c r="J45" s="60">
        <f t="array" ref="J45">NOT(OR(($H$9:$H$1273=TRUE)*($I$9:$I$1273&gt;0)*($BT$9:$BT$1273=BT45)*($K$9:$K$1273&gt;K45)))</f>
        <v/>
      </c>
      <c r="K45" s="108">
        <f>IFERROR(1-AVERAGE(X45:Y45),"")</f>
        <v/>
      </c>
      <c r="L45" s="108">
        <f>1-X45</f>
        <v/>
      </c>
      <c r="M45" s="108">
        <f>1-Y45</f>
        <v/>
      </c>
      <c r="N45" s="108">
        <f>1-Z45</f>
        <v/>
      </c>
      <c r="O45" s="108">
        <f>1-AA45</f>
        <v/>
      </c>
      <c r="P45" s="108">
        <f>1-AB45</f>
        <v/>
      </c>
      <c r="Q45" s="108" t="n"/>
      <c r="R45" s="108" t="n"/>
      <c r="S45" s="108">
        <f>1-AE45</f>
        <v/>
      </c>
      <c r="T45" s="108">
        <f>1-AF45</f>
        <v/>
      </c>
      <c r="U45" s="108">
        <f>1-AG45</f>
        <v/>
      </c>
      <c r="V45" s="108">
        <f>1-AH45</f>
        <v/>
      </c>
      <c r="W45" s="108">
        <f>1-AI45</f>
        <v/>
      </c>
      <c r="X45" s="108">
        <f>ABS(AJ45-AJ$1)</f>
        <v/>
      </c>
      <c r="Y45" s="108">
        <f>AVERAGE(Z45:AB45)</f>
        <v/>
      </c>
      <c r="Z45" s="108">
        <f>ABS(AL45-AL$1)</f>
        <v/>
      </c>
      <c r="AA45" s="108">
        <f>ABS(AM45-AM$1)</f>
        <v/>
      </c>
      <c r="AB45" s="108">
        <f>ABS(AN45-AN$1)</f>
        <v/>
      </c>
      <c r="AC45" s="108" t="n"/>
      <c r="AD45" s="108" t="n"/>
      <c r="AE45" s="108">
        <f>ABS(AQ$1-AQ45)</f>
        <v/>
      </c>
      <c r="AF45" s="108">
        <f>ABS(AR$1-AR45)</f>
        <v/>
      </c>
      <c r="AG45" s="108">
        <f>ABS(AS$1-AS45)</f>
        <v/>
      </c>
      <c r="AH45" s="108">
        <f>ABS(AT$1-AT45)</f>
        <v/>
      </c>
      <c r="AI45" s="108">
        <f>ABS(AU$1-AU45)</f>
        <v/>
      </c>
      <c r="AJ45" s="108">
        <f>(AV45-Driver!$K$179)/(Driver!$L$179-Driver!$K$179)</f>
        <v/>
      </c>
      <c r="AK45" s="108">
        <f>(AW45-Driver!$K$180)/(Driver!$L$180-Driver!$K$180)</f>
        <v/>
      </c>
      <c r="AL45" s="108">
        <f>(AX45-Driver!$K$181)/(Driver!$L$181-Driver!$K$181)</f>
        <v/>
      </c>
      <c r="AM45" s="108">
        <f>(AY45-Driver!$K$182)/(Driver!$L$182-Driver!$K$182)</f>
        <v/>
      </c>
      <c r="AN45" s="108">
        <f>(AZ45-Driver!$K$183)/(Driver!$L$183-Driver!$K$183)</f>
        <v/>
      </c>
      <c r="AO45" s="108" t="n"/>
      <c r="AP45" s="108" t="n"/>
      <c r="AQ45" s="108">
        <f>(BC45-Driver!$K$188)/(Driver!$L$188-Driver!$K$188)</f>
        <v/>
      </c>
      <c r="AR45" s="108">
        <f>MIN((BD45-Driver!$K$189)/(Driver!$L$189-Driver!$K$189),100%)</f>
        <v/>
      </c>
      <c r="AS45" s="108">
        <f>(BE45-Driver!$K$190)/(Driver!$L$190-Driver!$K$190)</f>
        <v/>
      </c>
      <c r="AT45" s="108">
        <f>(BF45-Driver!$K$191)/(Driver!$L$191-Driver!$K$191)</f>
        <v/>
      </c>
      <c r="AU45" s="108">
        <f>(BG45-Driver!$K$192)/(Driver!$L$192-Driver!$K$192)</f>
        <v/>
      </c>
      <c r="AV45" s="105">
        <f>IFERROR(BM45*BJ45^1/4,"")</f>
        <v/>
      </c>
      <c r="AW45" s="105">
        <f>IFERROR(SUM(AX45:AZ45),"")</f>
        <v/>
      </c>
      <c r="AX45" s="105">
        <f>IFERROR(BH45,"")</f>
        <v/>
      </c>
      <c r="AY45" s="105">
        <f>IFERROR(Driver!$K$19/Data!BH45/Data!BI45*Data!BK45*Data!BL45,"")</f>
        <v/>
      </c>
      <c r="AZ45" s="105">
        <f>IFERROR(BI45*BN45,"")</f>
        <v/>
      </c>
      <c r="BA45" s="105" t="n"/>
      <c r="BB45" s="105" t="n"/>
      <c r="BC45" s="105">
        <f>IFERROR(BI45*BN45*BK45/BJ45^(1/2),"")</f>
        <v/>
      </c>
      <c r="BD45" s="105">
        <f>IFERROR(BH45*BM45*BL45/BJ45/BK45,"")</f>
        <v/>
      </c>
      <c r="BE45" s="105">
        <f>IFERROR(MIN(BI45/BQ45/BP45/BO45/BH45,$BE$1),"")</f>
        <v/>
      </c>
      <c r="BF45" s="105">
        <f>IFERROR(BJ45*BO45*BP45/BK45,"")</f>
        <v/>
      </c>
      <c r="BG45" s="105">
        <f>IFERROR(1/BM45/BH45*BQ45,"")</f>
        <v/>
      </c>
      <c r="BH45" s="102">
        <f>MAX((CE45-Driver!$F$200)/(Driver!$G$200-Driver!$F$200)*$BI$1,1)</f>
        <v/>
      </c>
      <c r="BI45" s="102">
        <f>MAX($BI$1*(BY45-Driver!$F$201)/(Driver!$G$201-Driver!$F$201),1)</f>
        <v/>
      </c>
      <c r="BJ45" s="102">
        <f>(CB45-Driver!$F$206)/(Driver!$G$206-Driver!$F$206)*$BI$1</f>
        <v/>
      </c>
      <c r="BK45" s="102">
        <f>(CD45-Driver!$F$203)/(Driver!$G$203-Driver!$F$203)*$BI$1</f>
        <v/>
      </c>
      <c r="BL45" s="102">
        <f>MAX((CR45-Driver!$F$202)/(Driver!$G$202-Driver!$F$202)*$BI$1,1)</f>
        <v/>
      </c>
      <c r="BM45" s="102">
        <f>MAX((CH45-Driver!$F$204)/(Driver!$G$204-Driver!$F$204)*$BI$1,1)</f>
        <v/>
      </c>
      <c r="BN45" s="102">
        <f>(CI45-Driver!$F$205)/(Driver!$G$205-Driver!$F$205)*$BI$1</f>
        <v/>
      </c>
      <c r="BO45" s="102">
        <f>(CK45-Driver!$F$207)/(Driver!$G$207-Driver!$F$207)*$BI$1</f>
        <v/>
      </c>
      <c r="BP45" s="102">
        <f>(CM45-Driver!$F$208)/(Driver!$G$208-Driver!$F$208)*$BI$1</f>
        <v/>
      </c>
      <c r="BQ45" s="102">
        <f>(CL45-Driver!$F$209)/(Driver!$G$209-Driver!$F$209)*$BI$1</f>
        <v/>
      </c>
      <c r="BR45" s="40" t="inlineStr">
        <is>
          <t>21/22</t>
        </is>
      </c>
      <c r="BS45" s="10" t="inlineStr">
        <is>
          <t xml:space="preserve"> Armada</t>
        </is>
      </c>
      <c r="BT45" s="11" t="inlineStr">
        <is>
          <t>ARW 106 UL</t>
        </is>
      </c>
      <c r="BU45" s="13" t="n">
        <v>172</v>
      </c>
      <c r="BV45" s="11" t="inlineStr">
        <is>
          <t xml:space="preserve"> Women's</t>
        </is>
      </c>
      <c r="BW45" s="13" t="n">
        <v>172</v>
      </c>
      <c r="BX45" s="13" t="n">
        <v>170.1</v>
      </c>
      <c r="BY45" s="13" t="n">
        <v>119</v>
      </c>
      <c r="BZ45" s="13" t="n">
        <v>137</v>
      </c>
      <c r="CA45" s="13" t="n">
        <v>133</v>
      </c>
      <c r="CB45" s="13" t="n">
        <v>105</v>
      </c>
      <c r="CC45" s="13" t="n">
        <v>122</v>
      </c>
      <c r="CD45" s="13" t="n">
        <v>19.3</v>
      </c>
      <c r="CE45" s="13" t="n">
        <v>1762</v>
      </c>
      <c r="CF45" s="13" t="n">
        <v>1.09</v>
      </c>
      <c r="CG45" s="13" t="n">
        <v>1917</v>
      </c>
      <c r="CH45" s="13" t="n">
        <v>200</v>
      </c>
      <c r="CI45" s="13" t="n">
        <v>97</v>
      </c>
      <c r="CJ45" s="13" t="n">
        <v>54</v>
      </c>
      <c r="CK45" s="13" t="n">
        <v>275</v>
      </c>
      <c r="CL45" s="13" t="n">
        <v>44</v>
      </c>
      <c r="CM45" s="13" t="n">
        <v>241</v>
      </c>
      <c r="CN45" s="13" t="n">
        <v>0.823</v>
      </c>
      <c r="CO45" s="13" t="n">
        <v>146</v>
      </c>
      <c r="CP45" s="13" t="n">
        <v>180</v>
      </c>
      <c r="CQ45" s="13" t="n">
        <v>129</v>
      </c>
      <c r="CR45" s="13" t="n">
        <v>7</v>
      </c>
      <c r="CS45" s="13" t="n">
        <v>6.1</v>
      </c>
      <c r="CT45" s="11" t="inlineStr">
        <is>
          <t xml:space="preserve"> Resort Freeride</t>
        </is>
      </c>
      <c r="CU45" s="11" t="inlineStr">
        <is>
          <t xml:space="preserve"> Freeski</t>
        </is>
      </c>
      <c r="CV45" s="11" t="inlineStr">
        <is>
          <t xml:space="preserve"> Powder</t>
        </is>
      </c>
      <c r="CW45" s="11" t="inlineStr">
        <is>
          <t xml:space="preserve"> Touring</t>
        </is>
      </c>
      <c r="CX45">
        <f>INDEX('Data_Price '!AG$2:AG$1266,MATCH(Data!$DN45,'Data_Price '!$AT$2:$AT$1266,0))</f>
        <v/>
      </c>
      <c r="CY45">
        <f>INDEX('Data_Price '!AH$2:AH$1266,MATCH(Data!$DN45,'Data_Price '!$AT$2:$AT$1266,0))</f>
        <v/>
      </c>
      <c r="CZ45">
        <f>INDEX('Data_Price '!AI$2:AI$1266,MATCH(Data!$DN45,'Data_Price '!$AT$2:$AT$1266,0))</f>
        <v/>
      </c>
      <c r="DA45">
        <f>INDEX('Data_Price '!AJ$2:AJ$1266,MATCH(Data!$DN45,'Data_Price '!$AT$2:$AT$1266,0))</f>
        <v/>
      </c>
      <c r="DB45">
        <f>INDEX('Data_Price '!AK$2:AK$1266,MATCH(Data!$DN45,'Data_Price '!$AT$2:$AT$1266,0))</f>
        <v/>
      </c>
      <c r="DC45">
        <f>INDEX('Data_Price '!AL$2:AL$1266,MATCH(Data!$DN45,'Data_Price '!$AT$2:$AT$1266,0))</f>
        <v/>
      </c>
      <c r="DD45">
        <f>INDEX('Data_Price '!AM$2:AM$1266,MATCH(Data!$DN45,'Data_Price '!$AT$2:$AT$1266,0))</f>
        <v/>
      </c>
      <c r="DE45">
        <f>INDEX('Data_Price '!AN$2:AN$1266,MATCH(Data!$DN45,'Data_Price '!$AT$2:$AT$1266,0))</f>
        <v/>
      </c>
      <c r="DF45">
        <f>INDEX('Data_Price '!AO$2:AO$1266,MATCH(Data!$DN45,'Data_Price '!$AT$2:$AT$1266,0))</f>
        <v/>
      </c>
      <c r="DG45">
        <f>INDEX('Data_Price '!AP$2:AP$1266,MATCH(Data!$DN45,'Data_Price '!$AT$2:$AT$1266,0))</f>
        <v/>
      </c>
      <c r="DH45">
        <f>INDEX('Data_Price '!AQ$2:AQ$1266,MATCH(Data!$DN45,'Data_Price '!$AT$2:$AT$1266,0))</f>
        <v/>
      </c>
      <c r="DI45">
        <f>INDEX('Data_Price '!AR$2:AR$1266,MATCH(Data!$DN45,'Data_Price '!$AT$2:$AT$1266,0))</f>
        <v/>
      </c>
      <c r="DJ45" s="138">
        <f>DA45</f>
        <v/>
      </c>
      <c r="DK45" s="138">
        <f>DE45</f>
        <v/>
      </c>
      <c r="DL45" s="138">
        <f>DI45</f>
        <v/>
      </c>
      <c r="DM45" s="303">
        <f>IF(LEFT(BT45,1)=" ",RIGHT(BT45,LEN(BT45)-1),BT45)</f>
        <v/>
      </c>
      <c r="DN45" s="138">
        <f>_xlfn.CONCAT(BS45,DM45,BU45,BV45)</f>
        <v/>
      </c>
      <c r="DO45" s="307" t="inlineStr">
        <is>
          <t>https://images.evo.com/imgp/250/198715/839687/armada-arw-106-ul-skis-2022-.jpg</t>
        </is>
      </c>
    </row>
    <row r="46" ht="15.6" customHeight="1" s="184">
      <c r="B46" s="303">
        <f t="array" ref="B46">IF(OR(ISERROR(K46:P46)),FALSE,TRUE)</f>
        <v/>
      </c>
      <c r="C46" s="60">
        <f>OR(BR46=Driver!$G$50,Data!BR357=Driver!$H$50)</f>
        <v/>
      </c>
      <c r="D46" s="60">
        <f>OR(BV46=Driver!$G$51,BV46=Driver!$H$51)</f>
        <v/>
      </c>
      <c r="E46" s="60">
        <f>AND(BX46&gt;Driver!$F$54,BX46&lt;Driver!$G$54)</f>
        <v/>
      </c>
      <c r="F46" s="60">
        <f>CL46&gt;Driver!$F$56</f>
        <v/>
      </c>
      <c r="G46" s="60">
        <f>AND(CB46&gt;Driver!$F$55,CB46&lt;Driver!$G$55)</f>
        <v/>
      </c>
      <c r="H46" s="60">
        <f>AND(B46:G46)</f>
        <v/>
      </c>
      <c r="I46" s="60">
        <f>COUNTIFS($H$9:$H$1273,TRUE,$BT$9:$BT$1273,BT46)</f>
        <v/>
      </c>
      <c r="J46" s="60">
        <f t="array" ref="J46">NOT(OR(($H$9:$H$1273=TRUE)*($I$9:$I$1273&gt;0)*($BT$9:$BT$1273=BT46)*($K$9:$K$1273&gt;K46)))</f>
        <v/>
      </c>
      <c r="K46" s="108">
        <f>IFERROR(1-AVERAGE(X46:Y46),"")</f>
        <v/>
      </c>
      <c r="L46" s="108">
        <f>1-X46</f>
        <v/>
      </c>
      <c r="M46" s="108">
        <f>1-Y46</f>
        <v/>
      </c>
      <c r="N46" s="108">
        <f>1-Z46</f>
        <v/>
      </c>
      <c r="O46" s="108">
        <f>1-AA46</f>
        <v/>
      </c>
      <c r="P46" s="108">
        <f>1-AB46</f>
        <v/>
      </c>
      <c r="Q46" s="108" t="n"/>
      <c r="R46" s="108" t="n"/>
      <c r="S46" s="108">
        <f>1-AE46</f>
        <v/>
      </c>
      <c r="T46" s="108">
        <f>1-AF46</f>
        <v/>
      </c>
      <c r="U46" s="108">
        <f>1-AG46</f>
        <v/>
      </c>
      <c r="V46" s="108">
        <f>1-AH46</f>
        <v/>
      </c>
      <c r="W46" s="108">
        <f>1-AI46</f>
        <v/>
      </c>
      <c r="X46" s="108">
        <f>ABS(AJ46-AJ$1)</f>
        <v/>
      </c>
      <c r="Y46" s="108">
        <f>AVERAGE(Z46:AB46)</f>
        <v/>
      </c>
      <c r="Z46" s="108">
        <f>ABS(AL46-AL$1)</f>
        <v/>
      </c>
      <c r="AA46" s="108">
        <f>ABS(AM46-AM$1)</f>
        <v/>
      </c>
      <c r="AB46" s="108">
        <f>ABS(AN46-AN$1)</f>
        <v/>
      </c>
      <c r="AC46" s="108" t="n"/>
      <c r="AD46" s="108" t="n"/>
      <c r="AE46" s="108">
        <f>ABS(AQ$1-AQ46)</f>
        <v/>
      </c>
      <c r="AF46" s="108">
        <f>ABS(AR$1-AR46)</f>
        <v/>
      </c>
      <c r="AG46" s="108">
        <f>ABS(AS$1-AS46)</f>
        <v/>
      </c>
      <c r="AH46" s="108">
        <f>ABS(AT$1-AT46)</f>
        <v/>
      </c>
      <c r="AI46" s="108">
        <f>ABS(AU$1-AU46)</f>
        <v/>
      </c>
      <c r="AJ46" s="108">
        <f>(AV46-Driver!$K$179)/(Driver!$L$179-Driver!$K$179)</f>
        <v/>
      </c>
      <c r="AK46" s="108">
        <f>(AW46-Driver!$K$180)/(Driver!$L$180-Driver!$K$180)</f>
        <v/>
      </c>
      <c r="AL46" s="108">
        <f>(AX46-Driver!$K$181)/(Driver!$L$181-Driver!$K$181)</f>
        <v/>
      </c>
      <c r="AM46" s="108">
        <f>(AY46-Driver!$K$182)/(Driver!$L$182-Driver!$K$182)</f>
        <v/>
      </c>
      <c r="AN46" s="108">
        <f>(AZ46-Driver!$K$183)/(Driver!$L$183-Driver!$K$183)</f>
        <v/>
      </c>
      <c r="AO46" s="108" t="n"/>
      <c r="AP46" s="108" t="n"/>
      <c r="AQ46" s="108">
        <f>(BC46-Driver!$K$188)/(Driver!$L$188-Driver!$K$188)</f>
        <v/>
      </c>
      <c r="AR46" s="108">
        <f>MIN((BD46-Driver!$K$189)/(Driver!$L$189-Driver!$K$189),100%)</f>
        <v/>
      </c>
      <c r="AS46" s="108">
        <f>(BE46-Driver!$K$190)/(Driver!$L$190-Driver!$K$190)</f>
        <v/>
      </c>
      <c r="AT46" s="108">
        <f>(BF46-Driver!$K$191)/(Driver!$L$191-Driver!$K$191)</f>
        <v/>
      </c>
      <c r="AU46" s="108">
        <f>(BG46-Driver!$K$192)/(Driver!$L$192-Driver!$K$192)</f>
        <v/>
      </c>
      <c r="AV46" s="105">
        <f>IFERROR(BM46*BJ46^1/4,"")</f>
        <v/>
      </c>
      <c r="AW46" s="105">
        <f>IFERROR(SUM(AX46:AZ46),"")</f>
        <v/>
      </c>
      <c r="AX46" s="105">
        <f>IFERROR(BH46,"")</f>
        <v/>
      </c>
      <c r="AY46" s="105">
        <f>IFERROR(Driver!$K$19/Data!BH46/Data!BI46*Data!BK46*Data!BL46,"")</f>
        <v/>
      </c>
      <c r="AZ46" s="105">
        <f>IFERROR(BI46*BN46,"")</f>
        <v/>
      </c>
      <c r="BA46" s="105" t="n"/>
      <c r="BB46" s="105" t="n"/>
      <c r="BC46" s="105">
        <f>IFERROR(BI46*BN46*BK46/BJ46^(1/2),"")</f>
        <v/>
      </c>
      <c r="BD46" s="105">
        <f>IFERROR(BH46*BM46*BL46/BJ46/BK46,"")</f>
        <v/>
      </c>
      <c r="BE46" s="105">
        <f>IFERROR(MIN(BI46/BQ46/BP46/BO46/BH46,$BE$1),"")</f>
        <v/>
      </c>
      <c r="BF46" s="105">
        <f>IFERROR(BJ46*BO46*BP46/BK46,"")</f>
        <v/>
      </c>
      <c r="BG46" s="105">
        <f>IFERROR(1/BM46/BH46*BQ46,"")</f>
        <v/>
      </c>
      <c r="BH46" s="102">
        <f>MAX((CE46-Driver!$F$200)/(Driver!$G$200-Driver!$F$200)*$BI$1,1)</f>
        <v/>
      </c>
      <c r="BI46" s="102">
        <f>MAX($BI$1*(BY46-Driver!$F$201)/(Driver!$G$201-Driver!$F$201),1)</f>
        <v/>
      </c>
      <c r="BJ46" s="102">
        <f>(CB46-Driver!$F$206)/(Driver!$G$206-Driver!$F$206)*$BI$1</f>
        <v/>
      </c>
      <c r="BK46" s="102">
        <f>(CD46-Driver!$F$203)/(Driver!$G$203-Driver!$F$203)*$BI$1</f>
        <v/>
      </c>
      <c r="BL46" s="102">
        <f>MAX((CR46-Driver!$F$202)/(Driver!$G$202-Driver!$F$202)*$BI$1,1)</f>
        <v/>
      </c>
      <c r="BM46" s="102">
        <f>MAX((CH46-Driver!$F$204)/(Driver!$G$204-Driver!$F$204)*$BI$1,1)</f>
        <v/>
      </c>
      <c r="BN46" s="102">
        <f>(CI46-Driver!$F$205)/(Driver!$G$205-Driver!$F$205)*$BI$1</f>
        <v/>
      </c>
      <c r="BO46" s="102">
        <f>(CK46-Driver!$F$207)/(Driver!$G$207-Driver!$F$207)*$BI$1</f>
        <v/>
      </c>
      <c r="BP46" s="102">
        <f>(CM46-Driver!$F$208)/(Driver!$G$208-Driver!$F$208)*$BI$1</f>
        <v/>
      </c>
      <c r="BQ46" s="102">
        <f>(CL46-Driver!$F$209)/(Driver!$G$209-Driver!$F$209)*$BI$1</f>
        <v/>
      </c>
      <c r="BR46" s="40" t="inlineStr">
        <is>
          <t>21/22</t>
        </is>
      </c>
      <c r="BS46" s="10" t="inlineStr">
        <is>
          <t xml:space="preserve"> DPS</t>
        </is>
      </c>
      <c r="BT46" s="11" t="inlineStr">
        <is>
          <t>Pagoda Tour 100 RP</t>
        </is>
      </c>
      <c r="BU46" s="13" t="n">
        <v>179</v>
      </c>
      <c r="BV46" s="11" t="inlineStr">
        <is>
          <t xml:space="preserve"> Unisex</t>
        </is>
      </c>
      <c r="BW46" s="13" t="n">
        <v>179</v>
      </c>
      <c r="BX46" s="13" t="n">
        <v>177.4</v>
      </c>
      <c r="BY46" s="13" t="n">
        <v>115</v>
      </c>
      <c r="BZ46" s="13" t="n">
        <v>132</v>
      </c>
      <c r="CA46" s="13" t="n">
        <v>132</v>
      </c>
      <c r="CB46" s="13" t="n">
        <v>99</v>
      </c>
      <c r="CC46" s="13" t="n">
        <v>117</v>
      </c>
      <c r="CD46" s="13" t="n">
        <v>15</v>
      </c>
      <c r="CE46" s="13" t="n">
        <v>1545</v>
      </c>
      <c r="CF46" s="13" t="n">
        <v>1.27</v>
      </c>
      <c r="CG46" s="13" t="n">
        <v>1968</v>
      </c>
      <c r="CH46" s="13" t="n">
        <v>235</v>
      </c>
      <c r="CI46" s="13" t="n">
        <v>111</v>
      </c>
      <c r="CJ46" s="13" t="n">
        <v>62</v>
      </c>
      <c r="CK46" s="13" t="n">
        <v>354</v>
      </c>
      <c r="CL46" s="13" t="n">
        <v>16</v>
      </c>
      <c r="CM46" s="13" t="n">
        <v>270</v>
      </c>
      <c r="CN46" s="13" t="n">
        <v>0.256</v>
      </c>
      <c r="CO46" s="13" t="n">
        <v>231</v>
      </c>
      <c r="CP46" s="13" t="n">
        <v>222</v>
      </c>
      <c r="CQ46" s="13" t="n">
        <v>123</v>
      </c>
      <c r="CR46" s="13" t="n">
        <v>6</v>
      </c>
      <c r="CS46" s="13" t="n">
        <v>12.2</v>
      </c>
      <c r="CT46" s="11" t="inlineStr">
        <is>
          <t xml:space="preserve"> Resort Freeride</t>
        </is>
      </c>
      <c r="CU46" s="11" t="inlineStr">
        <is>
          <t xml:space="preserve"> Touring</t>
        </is>
      </c>
      <c r="CV46" s="11" t="inlineStr">
        <is>
          <t xml:space="preserve"> Ultralight Touring</t>
        </is>
      </c>
      <c r="CW46" s="13" t="n"/>
      <c r="CX46">
        <f>INDEX('Data_Price '!AG$2:AG$1266,MATCH(Data!$DN46,'Data_Price '!$AT$2:$AT$1266,0))</f>
        <v/>
      </c>
      <c r="CY46">
        <f>INDEX('Data_Price '!AH$2:AH$1266,MATCH(Data!$DN46,'Data_Price '!$AT$2:$AT$1266,0))</f>
        <v/>
      </c>
      <c r="CZ46">
        <f>INDEX('Data_Price '!AI$2:AI$1266,MATCH(Data!$DN46,'Data_Price '!$AT$2:$AT$1266,0))</f>
        <v/>
      </c>
      <c r="DA46">
        <f>INDEX('Data_Price '!AJ$2:AJ$1266,MATCH(Data!$DN46,'Data_Price '!$AT$2:$AT$1266,0))</f>
        <v/>
      </c>
      <c r="DB46">
        <f>INDEX('Data_Price '!AK$2:AK$1266,MATCH(Data!$DN46,'Data_Price '!$AT$2:$AT$1266,0))</f>
        <v/>
      </c>
      <c r="DC46">
        <f>INDEX('Data_Price '!AL$2:AL$1266,MATCH(Data!$DN46,'Data_Price '!$AT$2:$AT$1266,0))</f>
        <v/>
      </c>
      <c r="DD46">
        <f>INDEX('Data_Price '!AM$2:AM$1266,MATCH(Data!$DN46,'Data_Price '!$AT$2:$AT$1266,0))</f>
        <v/>
      </c>
      <c r="DE46">
        <f>INDEX('Data_Price '!AN$2:AN$1266,MATCH(Data!$DN46,'Data_Price '!$AT$2:$AT$1266,0))</f>
        <v/>
      </c>
      <c r="DF46">
        <f>INDEX('Data_Price '!AO$2:AO$1266,MATCH(Data!$DN46,'Data_Price '!$AT$2:$AT$1266,0))</f>
        <v/>
      </c>
      <c r="DG46">
        <f>INDEX('Data_Price '!AP$2:AP$1266,MATCH(Data!$DN46,'Data_Price '!$AT$2:$AT$1266,0))</f>
        <v/>
      </c>
      <c r="DH46">
        <f>INDEX('Data_Price '!AQ$2:AQ$1266,MATCH(Data!$DN46,'Data_Price '!$AT$2:$AT$1266,0))</f>
        <v/>
      </c>
      <c r="DI46">
        <f>INDEX('Data_Price '!AR$2:AR$1266,MATCH(Data!$DN46,'Data_Price '!$AT$2:$AT$1266,0))</f>
        <v/>
      </c>
      <c r="DJ46" s="138">
        <f>DA46</f>
        <v/>
      </c>
      <c r="DK46" s="138">
        <f>DE46</f>
        <v/>
      </c>
      <c r="DL46" s="138">
        <f>DI46</f>
        <v/>
      </c>
      <c r="DM46" s="303">
        <f>IF(LEFT(BT46,1)=" ",RIGHT(BT46,LEN(BT46)-1),BT46)</f>
        <v/>
      </c>
      <c r="DN46" s="138">
        <f>_xlfn.CONCAT(BS46,DM46,BU46,BV46)</f>
        <v/>
      </c>
      <c r="DO46" s="307" t="inlineStr">
        <is>
          <t>https://images.evo.com/imgp/250/183638/728544/clone.jpg</t>
        </is>
      </c>
    </row>
    <row r="47" ht="15.6" customHeight="1" s="184">
      <c r="B47" s="303">
        <f t="array" ref="B47">IF(OR(ISERROR(K47:P47)),FALSE,TRUE)</f>
        <v/>
      </c>
      <c r="C47" s="60">
        <f>OR(BR47=Driver!$G$50,Data!BR619=Driver!$H$50)</f>
        <v/>
      </c>
      <c r="D47" s="60">
        <f>OR(BV47=Driver!$G$51,BV47=Driver!$H$51)</f>
        <v/>
      </c>
      <c r="E47" s="60">
        <f>AND(BX47&gt;Driver!$F$54,BX47&lt;Driver!$G$54)</f>
        <v/>
      </c>
      <c r="F47" s="60">
        <f>CL47&gt;Driver!$F$56</f>
        <v/>
      </c>
      <c r="G47" s="60">
        <f>AND(CB47&gt;Driver!$F$55,CB47&lt;Driver!$G$55)</f>
        <v/>
      </c>
      <c r="H47" s="60">
        <f>AND(B47:G47)</f>
        <v/>
      </c>
      <c r="I47" s="60">
        <f>COUNTIFS($H$9:$H$1273,TRUE,$BT$9:$BT$1273,BT47)</f>
        <v/>
      </c>
      <c r="J47" s="60">
        <f t="array" ref="J47">NOT(OR(($H$9:$H$1273=TRUE)*($I$9:$I$1273&gt;0)*($BT$9:$BT$1273=BT47)*($K$9:$K$1273&gt;K47)))</f>
        <v/>
      </c>
      <c r="K47" s="108">
        <f>IFERROR(1-AVERAGE(X47:Y47),"")</f>
        <v/>
      </c>
      <c r="L47" s="108">
        <f>1-X47</f>
        <v/>
      </c>
      <c r="M47" s="108">
        <f>1-Y47</f>
        <v/>
      </c>
      <c r="N47" s="108">
        <f>1-Z47</f>
        <v/>
      </c>
      <c r="O47" s="108">
        <f>1-AA47</f>
        <v/>
      </c>
      <c r="P47" s="108">
        <f>1-AB47</f>
        <v/>
      </c>
      <c r="Q47" s="108" t="n"/>
      <c r="R47" s="108" t="n"/>
      <c r="S47" s="108">
        <f>1-AE47</f>
        <v/>
      </c>
      <c r="T47" s="108">
        <f>1-AF47</f>
        <v/>
      </c>
      <c r="U47" s="108">
        <f>1-AG47</f>
        <v/>
      </c>
      <c r="V47" s="108">
        <f>1-AH47</f>
        <v/>
      </c>
      <c r="W47" s="108">
        <f>1-AI47</f>
        <v/>
      </c>
      <c r="X47" s="108">
        <f>ABS(AJ47-AJ$1)</f>
        <v/>
      </c>
      <c r="Y47" s="108">
        <f>AVERAGE(Z47:AB47)</f>
        <v/>
      </c>
      <c r="Z47" s="108">
        <f>ABS(AL47-AL$1)</f>
        <v/>
      </c>
      <c r="AA47" s="108">
        <f>ABS(AM47-AM$1)</f>
        <v/>
      </c>
      <c r="AB47" s="108">
        <f>ABS(AN47-AN$1)</f>
        <v/>
      </c>
      <c r="AC47" s="108" t="n"/>
      <c r="AD47" s="108" t="n"/>
      <c r="AE47" s="108">
        <f>ABS(AQ$1-AQ47)</f>
        <v/>
      </c>
      <c r="AF47" s="108">
        <f>ABS(AR$1-AR47)</f>
        <v/>
      </c>
      <c r="AG47" s="108">
        <f>ABS(AS$1-AS47)</f>
        <v/>
      </c>
      <c r="AH47" s="108">
        <f>ABS(AT$1-AT47)</f>
        <v/>
      </c>
      <c r="AI47" s="108">
        <f>ABS(AU$1-AU47)</f>
        <v/>
      </c>
      <c r="AJ47" s="108">
        <f>(AV47-Driver!$K$179)/(Driver!$L$179-Driver!$K$179)</f>
        <v/>
      </c>
      <c r="AK47" s="108">
        <f>(AW47-Driver!$K$180)/(Driver!$L$180-Driver!$K$180)</f>
        <v/>
      </c>
      <c r="AL47" s="108">
        <f>(AX47-Driver!$K$181)/(Driver!$L$181-Driver!$K$181)</f>
        <v/>
      </c>
      <c r="AM47" s="108">
        <f>(AY47-Driver!$K$182)/(Driver!$L$182-Driver!$K$182)</f>
        <v/>
      </c>
      <c r="AN47" s="108">
        <f>(AZ47-Driver!$K$183)/(Driver!$L$183-Driver!$K$183)</f>
        <v/>
      </c>
      <c r="AO47" s="108" t="n"/>
      <c r="AP47" s="108" t="n"/>
      <c r="AQ47" s="108">
        <f>(BC47-Driver!$K$188)/(Driver!$L$188-Driver!$K$188)</f>
        <v/>
      </c>
      <c r="AR47" s="108">
        <f>MIN((BD47-Driver!$K$189)/(Driver!$L$189-Driver!$K$189),100%)</f>
        <v/>
      </c>
      <c r="AS47" s="108">
        <f>(BE47-Driver!$K$190)/(Driver!$L$190-Driver!$K$190)</f>
        <v/>
      </c>
      <c r="AT47" s="108">
        <f>(BF47-Driver!$K$191)/(Driver!$L$191-Driver!$K$191)</f>
        <v/>
      </c>
      <c r="AU47" s="108">
        <f>(BG47-Driver!$K$192)/(Driver!$L$192-Driver!$K$192)</f>
        <v/>
      </c>
      <c r="AV47" s="105">
        <f>IFERROR(BM47*BJ47^1/4,"")</f>
        <v/>
      </c>
      <c r="AW47" s="105">
        <f>IFERROR(SUM(AX47:AZ47),"")</f>
        <v/>
      </c>
      <c r="AX47" s="105">
        <f>IFERROR(BH47,"")</f>
        <v/>
      </c>
      <c r="AY47" s="105">
        <f>IFERROR(Driver!$K$19/Data!BH47/Data!BI47*Data!BK47*Data!BL47,"")</f>
        <v/>
      </c>
      <c r="AZ47" s="105">
        <f>IFERROR(BI47*BN47,"")</f>
        <v/>
      </c>
      <c r="BA47" s="105" t="n"/>
      <c r="BB47" s="105" t="n"/>
      <c r="BC47" s="105">
        <f>IFERROR(BI47*BN47*BK47/BJ47^(1/2),"")</f>
        <v/>
      </c>
      <c r="BD47" s="105">
        <f>IFERROR(BH47*BM47*BL47/BJ47/BK47,"")</f>
        <v/>
      </c>
      <c r="BE47" s="105">
        <f>IFERROR(MIN(BI47/BQ47/BP47/BO47/BH47,$BE$1),"")</f>
        <v/>
      </c>
      <c r="BF47" s="105">
        <f>IFERROR(BJ47*BO47*BP47/BK47,"")</f>
        <v/>
      </c>
      <c r="BG47" s="105">
        <f>IFERROR(1/BM47/BH47*BQ47,"")</f>
        <v/>
      </c>
      <c r="BH47" s="102">
        <f>MAX((CE47-Driver!$F$200)/(Driver!$G$200-Driver!$F$200)*$BI$1,1)</f>
        <v/>
      </c>
      <c r="BI47" s="102">
        <f>MAX($BI$1*(BY47-Driver!$F$201)/(Driver!$G$201-Driver!$F$201),1)</f>
        <v/>
      </c>
      <c r="BJ47" s="102">
        <f>(CB47-Driver!$F$206)/(Driver!$G$206-Driver!$F$206)*$BI$1</f>
        <v/>
      </c>
      <c r="BK47" s="102">
        <f>(CD47-Driver!$F$203)/(Driver!$G$203-Driver!$F$203)*$BI$1</f>
        <v/>
      </c>
      <c r="BL47" s="102">
        <f>MAX((CR47-Driver!$F$202)/(Driver!$G$202-Driver!$F$202)*$BI$1,1)</f>
        <v/>
      </c>
      <c r="BM47" s="102">
        <f>MAX((CH47-Driver!$F$204)/(Driver!$G$204-Driver!$F$204)*$BI$1,1)</f>
        <v/>
      </c>
      <c r="BN47" s="102">
        <f>(CI47-Driver!$F$205)/(Driver!$G$205-Driver!$F$205)*$BI$1</f>
        <v/>
      </c>
      <c r="BO47" s="102">
        <f>(CK47-Driver!$F$207)/(Driver!$G$207-Driver!$F$207)*$BI$1</f>
        <v/>
      </c>
      <c r="BP47" s="102">
        <f>(CM47-Driver!$F$208)/(Driver!$G$208-Driver!$F$208)*$BI$1</f>
        <v/>
      </c>
      <c r="BQ47" s="102">
        <f>(CL47-Driver!$F$209)/(Driver!$G$209-Driver!$F$209)*$BI$1</f>
        <v/>
      </c>
      <c r="BR47" s="40" t="inlineStr">
        <is>
          <t>21/22</t>
        </is>
      </c>
      <c r="BS47" s="10" t="inlineStr">
        <is>
          <t xml:space="preserve"> Head</t>
        </is>
      </c>
      <c r="BT47" s="11" t="inlineStr">
        <is>
          <t>Kore 91 W</t>
        </is>
      </c>
      <c r="BU47" s="13" t="n">
        <v>170</v>
      </c>
      <c r="BV47" s="11" t="inlineStr">
        <is>
          <t xml:space="preserve"> Women's</t>
        </is>
      </c>
      <c r="BW47" s="13" t="n">
        <v>170</v>
      </c>
      <c r="BX47" s="13" t="n">
        <v>169.7</v>
      </c>
      <c r="BY47" s="13" t="n">
        <v>134</v>
      </c>
      <c r="BZ47" s="13" t="n">
        <v>139</v>
      </c>
      <c r="CA47" s="13" t="n">
        <v>129</v>
      </c>
      <c r="CB47" s="13" t="n">
        <v>90</v>
      </c>
      <c r="CC47" s="13" t="n">
        <v>111</v>
      </c>
      <c r="CD47" s="13" t="n">
        <v>15</v>
      </c>
      <c r="CE47" s="13" t="n">
        <v>1551</v>
      </c>
      <c r="CF47" s="13" t="n">
        <v>1.12</v>
      </c>
      <c r="CG47" s="13" t="n">
        <v>1738</v>
      </c>
      <c r="CH47" s="13" t="n">
        <v>213</v>
      </c>
      <c r="CI47" s="13" t="n">
        <v>104</v>
      </c>
      <c r="CJ47" s="13" t="n">
        <v>50</v>
      </c>
      <c r="CK47" s="13" t="n">
        <v>217</v>
      </c>
      <c r="CL47" s="13" t="n">
        <v>12</v>
      </c>
      <c r="CM47" s="13" t="n">
        <v>140</v>
      </c>
      <c r="CN47" s="13" t="n">
        <v>0.238</v>
      </c>
      <c r="CO47" s="13" t="n">
        <v>150</v>
      </c>
      <c r="CP47" s="13" t="n">
        <v>158</v>
      </c>
      <c r="CQ47" s="13" t="n">
        <v>67</v>
      </c>
      <c r="CR47" s="13" t="n">
        <v>5</v>
      </c>
      <c r="CS47" s="13" t="n">
        <v>9</v>
      </c>
      <c r="CT47" s="11" t="inlineStr">
        <is>
          <t xml:space="preserve"> Resort Freeride</t>
        </is>
      </c>
      <c r="CU47" s="11" t="inlineStr">
        <is>
          <t xml:space="preserve"> Touring</t>
        </is>
      </c>
      <c r="CV47" s="13" t="n"/>
      <c r="CW47" s="13" t="n"/>
      <c r="CX47">
        <f>INDEX('Data_Price '!AG$2:AG$1266,MATCH(Data!$DN47,'Data_Price '!$AT$2:$AT$1266,0))</f>
        <v/>
      </c>
      <c r="CY47">
        <f>INDEX('Data_Price '!AH$2:AH$1266,MATCH(Data!$DN47,'Data_Price '!$AT$2:$AT$1266,0))</f>
        <v/>
      </c>
      <c r="CZ47">
        <f>INDEX('Data_Price '!AI$2:AI$1266,MATCH(Data!$DN47,'Data_Price '!$AT$2:$AT$1266,0))</f>
        <v/>
      </c>
      <c r="DA47">
        <f>INDEX('Data_Price '!AJ$2:AJ$1266,MATCH(Data!$DN47,'Data_Price '!$AT$2:$AT$1266,0))</f>
        <v/>
      </c>
      <c r="DB47">
        <f>INDEX('Data_Price '!AK$2:AK$1266,MATCH(Data!$DN47,'Data_Price '!$AT$2:$AT$1266,0))</f>
        <v/>
      </c>
      <c r="DC47">
        <f>INDEX('Data_Price '!AL$2:AL$1266,MATCH(Data!$DN47,'Data_Price '!$AT$2:$AT$1266,0))</f>
        <v/>
      </c>
      <c r="DD47">
        <f>INDEX('Data_Price '!AM$2:AM$1266,MATCH(Data!$DN47,'Data_Price '!$AT$2:$AT$1266,0))</f>
        <v/>
      </c>
      <c r="DE47">
        <f>INDEX('Data_Price '!AN$2:AN$1266,MATCH(Data!$DN47,'Data_Price '!$AT$2:$AT$1266,0))</f>
        <v/>
      </c>
      <c r="DF47">
        <f>INDEX('Data_Price '!AO$2:AO$1266,MATCH(Data!$DN47,'Data_Price '!$AT$2:$AT$1266,0))</f>
        <v/>
      </c>
      <c r="DG47">
        <f>INDEX('Data_Price '!AP$2:AP$1266,MATCH(Data!$DN47,'Data_Price '!$AT$2:$AT$1266,0))</f>
        <v/>
      </c>
      <c r="DH47">
        <f>INDEX('Data_Price '!AQ$2:AQ$1266,MATCH(Data!$DN47,'Data_Price '!$AT$2:$AT$1266,0))</f>
        <v/>
      </c>
      <c r="DI47">
        <f>INDEX('Data_Price '!AR$2:AR$1266,MATCH(Data!$DN47,'Data_Price '!$AT$2:$AT$1266,0))</f>
        <v/>
      </c>
      <c r="DJ47" s="138">
        <f>DA47</f>
        <v/>
      </c>
      <c r="DK47" s="138">
        <f>DE47</f>
        <v/>
      </c>
      <c r="DL47" s="138">
        <f>DI47</f>
        <v/>
      </c>
      <c r="DM47" s="303">
        <f>IF(LEFT(BT47,1)=" ",RIGHT(BT47,LEN(BT47)-1),BT47)</f>
        <v/>
      </c>
      <c r="DN47" s="138">
        <f>_xlfn.CONCAT(BS47,DM47,BU47,BV47)</f>
        <v/>
      </c>
      <c r="DO47" s="307" t="n"/>
    </row>
    <row r="48" ht="15.6" customHeight="1" s="184">
      <c r="B48" s="303">
        <f t="array" ref="B48">IF(OR(ISERROR(K48:P48)),FALSE,TRUE)</f>
        <v/>
      </c>
      <c r="C48" s="60">
        <f>OR(BR48=Driver!$G$50,Data!BR542=Driver!$H$50)</f>
        <v/>
      </c>
      <c r="D48" s="60">
        <f>OR(BV48=Driver!$G$51,BV48=Driver!$H$51)</f>
        <v/>
      </c>
      <c r="E48" s="60">
        <f>AND(BX48&gt;Driver!$F$54,BX48&lt;Driver!$G$54)</f>
        <v/>
      </c>
      <c r="F48" s="60">
        <f>CL48&gt;Driver!$F$56</f>
        <v/>
      </c>
      <c r="G48" s="60">
        <f>AND(CB48&gt;Driver!$F$55,CB48&lt;Driver!$G$55)</f>
        <v/>
      </c>
      <c r="H48" s="60">
        <f>AND(B48:G48)</f>
        <v/>
      </c>
      <c r="I48" s="60">
        <f>COUNTIFS($H$9:$H$1273,TRUE,$BT$9:$BT$1273,BT48)</f>
        <v/>
      </c>
      <c r="J48" s="60">
        <f t="array" ref="J48">NOT(OR(($H$9:$H$1273=TRUE)*($I$9:$I$1273&gt;0)*($BT$9:$BT$1273=BT48)*($K$9:$K$1273&gt;K48)))</f>
        <v/>
      </c>
      <c r="K48" s="108">
        <f>IFERROR(1-AVERAGE(X48:Y48),"")</f>
        <v/>
      </c>
      <c r="L48" s="108">
        <f>1-X48</f>
        <v/>
      </c>
      <c r="M48" s="108">
        <f>1-Y48</f>
        <v/>
      </c>
      <c r="N48" s="108">
        <f>1-Z48</f>
        <v/>
      </c>
      <c r="O48" s="108">
        <f>1-AA48</f>
        <v/>
      </c>
      <c r="P48" s="108">
        <f>1-AB48</f>
        <v/>
      </c>
      <c r="Q48" s="108" t="n"/>
      <c r="R48" s="108" t="n"/>
      <c r="S48" s="108">
        <f>1-AE48</f>
        <v/>
      </c>
      <c r="T48" s="108">
        <f>1-AF48</f>
        <v/>
      </c>
      <c r="U48" s="108">
        <f>1-AG48</f>
        <v/>
      </c>
      <c r="V48" s="108">
        <f>1-AH48</f>
        <v/>
      </c>
      <c r="W48" s="108">
        <f>1-AI48</f>
        <v/>
      </c>
      <c r="X48" s="108">
        <f>ABS(AJ48-AJ$1)</f>
        <v/>
      </c>
      <c r="Y48" s="108">
        <f>AVERAGE(Z48:AB48)</f>
        <v/>
      </c>
      <c r="Z48" s="108">
        <f>ABS(AL48-AL$1)</f>
        <v/>
      </c>
      <c r="AA48" s="108">
        <f>ABS(AM48-AM$1)</f>
        <v/>
      </c>
      <c r="AB48" s="108">
        <f>ABS(AN48-AN$1)</f>
        <v/>
      </c>
      <c r="AC48" s="108" t="n"/>
      <c r="AD48" s="108" t="n"/>
      <c r="AE48" s="108">
        <f>ABS(AQ$1-AQ48)</f>
        <v/>
      </c>
      <c r="AF48" s="108">
        <f>ABS(AR$1-AR48)</f>
        <v/>
      </c>
      <c r="AG48" s="108">
        <f>ABS(AS$1-AS48)</f>
        <v/>
      </c>
      <c r="AH48" s="108">
        <f>ABS(AT$1-AT48)</f>
        <v/>
      </c>
      <c r="AI48" s="108">
        <f>ABS(AU$1-AU48)</f>
        <v/>
      </c>
      <c r="AJ48" s="108">
        <f>(AV48-Driver!$K$179)/(Driver!$L$179-Driver!$K$179)</f>
        <v/>
      </c>
      <c r="AK48" s="108">
        <f>(AW48-Driver!$K$180)/(Driver!$L$180-Driver!$K$180)</f>
        <v/>
      </c>
      <c r="AL48" s="108">
        <f>(AX48-Driver!$K$181)/(Driver!$L$181-Driver!$K$181)</f>
        <v/>
      </c>
      <c r="AM48" s="108">
        <f>(AY48-Driver!$K$182)/(Driver!$L$182-Driver!$K$182)</f>
        <v/>
      </c>
      <c r="AN48" s="108">
        <f>(AZ48-Driver!$K$183)/(Driver!$L$183-Driver!$K$183)</f>
        <v/>
      </c>
      <c r="AO48" s="108" t="n"/>
      <c r="AP48" s="108" t="n"/>
      <c r="AQ48" s="108">
        <f>(BC48-Driver!$K$188)/(Driver!$L$188-Driver!$K$188)</f>
        <v/>
      </c>
      <c r="AR48" s="108">
        <f>MIN((BD48-Driver!$K$189)/(Driver!$L$189-Driver!$K$189),100%)</f>
        <v/>
      </c>
      <c r="AS48" s="108">
        <f>(BE48-Driver!$K$190)/(Driver!$L$190-Driver!$K$190)</f>
        <v/>
      </c>
      <c r="AT48" s="108">
        <f>(BF48-Driver!$K$191)/(Driver!$L$191-Driver!$K$191)</f>
        <v/>
      </c>
      <c r="AU48" s="108">
        <f>(BG48-Driver!$K$192)/(Driver!$L$192-Driver!$K$192)</f>
        <v/>
      </c>
      <c r="AV48" s="105">
        <f>IFERROR(BM48*BJ48^1/4,"")</f>
        <v/>
      </c>
      <c r="AW48" s="105">
        <f>IFERROR(SUM(AX48:AZ48),"")</f>
        <v/>
      </c>
      <c r="AX48" s="105">
        <f>IFERROR(BH48,"")</f>
        <v/>
      </c>
      <c r="AY48" s="105">
        <f>IFERROR(Driver!$K$19/Data!BH48/Data!BI48*Data!BK48*Data!BL48,"")</f>
        <v/>
      </c>
      <c r="AZ48" s="105">
        <f>IFERROR(BI48*BN48,"")</f>
        <v/>
      </c>
      <c r="BA48" s="105" t="n"/>
      <c r="BB48" s="105" t="n"/>
      <c r="BC48" s="105">
        <f>IFERROR(BI48*BN48*BK48/BJ48^(1/2),"")</f>
        <v/>
      </c>
      <c r="BD48" s="105">
        <f>IFERROR(BH48*BM48*BL48/BJ48/BK48,"")</f>
        <v/>
      </c>
      <c r="BE48" s="105">
        <f>IFERROR(MIN(BI48/BQ48/BP48/BO48/BH48,$BE$1),"")</f>
        <v/>
      </c>
      <c r="BF48" s="105">
        <f>IFERROR(BJ48*BO48*BP48/BK48,"")</f>
        <v/>
      </c>
      <c r="BG48" s="105">
        <f>IFERROR(1/BM48/BH48*BQ48,"")</f>
        <v/>
      </c>
      <c r="BH48" s="102">
        <f>MAX((CE48-Driver!$F$200)/(Driver!$G$200-Driver!$F$200)*$BI$1,1)</f>
        <v/>
      </c>
      <c r="BI48" s="102">
        <f>MAX($BI$1*(BY48-Driver!$F$201)/(Driver!$G$201-Driver!$F$201),1)</f>
        <v/>
      </c>
      <c r="BJ48" s="102">
        <f>(CB48-Driver!$F$206)/(Driver!$G$206-Driver!$F$206)*$BI$1</f>
        <v/>
      </c>
      <c r="BK48" s="102">
        <f>(CD48-Driver!$F$203)/(Driver!$G$203-Driver!$F$203)*$BI$1</f>
        <v/>
      </c>
      <c r="BL48" s="102">
        <f>MAX((CR48-Driver!$F$202)/(Driver!$G$202-Driver!$F$202)*$BI$1,1)</f>
        <v/>
      </c>
      <c r="BM48" s="102">
        <f>MAX((CH48-Driver!$F$204)/(Driver!$G$204-Driver!$F$204)*$BI$1,1)</f>
        <v/>
      </c>
      <c r="BN48" s="102">
        <f>(CI48-Driver!$F$205)/(Driver!$G$205-Driver!$F$205)*$BI$1</f>
        <v/>
      </c>
      <c r="BO48" s="102">
        <f>(CK48-Driver!$F$207)/(Driver!$G$207-Driver!$F$207)*$BI$1</f>
        <v/>
      </c>
      <c r="BP48" s="102">
        <f>(CM48-Driver!$F$208)/(Driver!$G$208-Driver!$F$208)*$BI$1</f>
        <v/>
      </c>
      <c r="BQ48" s="102">
        <f>(CL48-Driver!$F$209)/(Driver!$G$209-Driver!$F$209)*$BI$1</f>
        <v/>
      </c>
      <c r="BR48" s="40" t="inlineStr">
        <is>
          <t>21/22</t>
        </is>
      </c>
      <c r="BS48" s="10" t="inlineStr">
        <is>
          <t xml:space="preserve"> Faction</t>
        </is>
      </c>
      <c r="BT48" s="11" t="inlineStr">
        <is>
          <t>Prodigy 3.0</t>
        </is>
      </c>
      <c r="BU48" s="13" t="n">
        <v>184</v>
      </c>
      <c r="BV48" s="11" t="inlineStr">
        <is>
          <t xml:space="preserve"> Unisex</t>
        </is>
      </c>
      <c r="BW48" s="13" t="n">
        <v>184</v>
      </c>
      <c r="BX48" s="13" t="n">
        <v>182.6</v>
      </c>
      <c r="BY48" s="13" t="n">
        <v>124</v>
      </c>
      <c r="BZ48" s="13" t="n">
        <v>147</v>
      </c>
      <c r="CA48" s="13" t="n">
        <v>132</v>
      </c>
      <c r="CB48" s="13" t="n">
        <v>105</v>
      </c>
      <c r="CC48" s="13" t="n">
        <v>125</v>
      </c>
      <c r="CD48" s="13" t="n">
        <v>21</v>
      </c>
      <c r="CE48" s="13" t="n">
        <v>2000</v>
      </c>
      <c r="CF48" s="13" t="n">
        <v>1.05</v>
      </c>
      <c r="CG48" s="13" t="n">
        <v>2096</v>
      </c>
      <c r="CH48" s="13" t="n">
        <v>206</v>
      </c>
      <c r="CI48" s="13" t="n">
        <v>97</v>
      </c>
      <c r="CJ48" s="13" t="n">
        <v>51</v>
      </c>
      <c r="CK48" s="13" t="n">
        <v>328</v>
      </c>
      <c r="CL48" s="13" t="n">
        <v>43</v>
      </c>
      <c r="CM48" s="13" t="n">
        <v>261</v>
      </c>
      <c r="CN48" s="13" t="n">
        <v>0.846</v>
      </c>
      <c r="CO48" s="13" t="n">
        <v>192</v>
      </c>
      <c r="CP48" s="13" t="n">
        <v>164</v>
      </c>
      <c r="CQ48" s="13" t="n">
        <v>137</v>
      </c>
      <c r="CR48" s="13" t="n">
        <v>7</v>
      </c>
      <c r="CS48" s="13" t="n">
        <v>9.300000000000001</v>
      </c>
      <c r="CT48" s="11" t="inlineStr">
        <is>
          <t xml:space="preserve"> Freeski</t>
        </is>
      </c>
      <c r="CU48" s="11" t="inlineStr">
        <is>
          <t xml:space="preserve"> Powder</t>
        </is>
      </c>
      <c r="CV48" s="13" t="n"/>
      <c r="CW48" s="13" t="n"/>
      <c r="CX48">
        <f>INDEX('Data_Price '!AG$2:AG$1266,MATCH(Data!$DN48,'Data_Price '!$AT$2:$AT$1266,0))</f>
        <v/>
      </c>
      <c r="CY48">
        <f>INDEX('Data_Price '!AH$2:AH$1266,MATCH(Data!$DN48,'Data_Price '!$AT$2:$AT$1266,0))</f>
        <v/>
      </c>
      <c r="CZ48">
        <f>INDEX('Data_Price '!AI$2:AI$1266,MATCH(Data!$DN48,'Data_Price '!$AT$2:$AT$1266,0))</f>
        <v/>
      </c>
      <c r="DA48">
        <f>INDEX('Data_Price '!AJ$2:AJ$1266,MATCH(Data!$DN48,'Data_Price '!$AT$2:$AT$1266,0))</f>
        <v/>
      </c>
      <c r="DB48">
        <f>INDEX('Data_Price '!AK$2:AK$1266,MATCH(Data!$DN48,'Data_Price '!$AT$2:$AT$1266,0))</f>
        <v/>
      </c>
      <c r="DC48">
        <f>INDEX('Data_Price '!AL$2:AL$1266,MATCH(Data!$DN48,'Data_Price '!$AT$2:$AT$1266,0))</f>
        <v/>
      </c>
      <c r="DD48">
        <f>INDEX('Data_Price '!AM$2:AM$1266,MATCH(Data!$DN48,'Data_Price '!$AT$2:$AT$1266,0))</f>
        <v/>
      </c>
      <c r="DE48">
        <f>INDEX('Data_Price '!AN$2:AN$1266,MATCH(Data!$DN48,'Data_Price '!$AT$2:$AT$1266,0))</f>
        <v/>
      </c>
      <c r="DF48">
        <f>INDEX('Data_Price '!AO$2:AO$1266,MATCH(Data!$DN48,'Data_Price '!$AT$2:$AT$1266,0))</f>
        <v/>
      </c>
      <c r="DG48">
        <f>INDEX('Data_Price '!AP$2:AP$1266,MATCH(Data!$DN48,'Data_Price '!$AT$2:$AT$1266,0))</f>
        <v/>
      </c>
      <c r="DH48">
        <f>INDEX('Data_Price '!AQ$2:AQ$1266,MATCH(Data!$DN48,'Data_Price '!$AT$2:$AT$1266,0))</f>
        <v/>
      </c>
      <c r="DI48">
        <f>INDEX('Data_Price '!AR$2:AR$1266,MATCH(Data!$DN48,'Data_Price '!$AT$2:$AT$1266,0))</f>
        <v/>
      </c>
      <c r="DJ48" s="138">
        <f>DA48</f>
        <v/>
      </c>
      <c r="DK48" s="138">
        <f>DE48</f>
        <v/>
      </c>
      <c r="DL48" s="138">
        <f>DI48</f>
        <v/>
      </c>
      <c r="DM48" s="303">
        <f>IF(LEFT(BT48,1)=" ",RIGHT(BT48,LEN(BT48)-1),BT48)</f>
        <v/>
      </c>
      <c r="DN48" s="138">
        <f>_xlfn.CONCAT(BS48,DM48,BU48,BV48)</f>
        <v/>
      </c>
      <c r="DO48" s="307" t="inlineStr">
        <is>
          <t>https://images.evo.com/imgp/250/208634/839526/faction-prodigy-3-0-skis-2022-.jpg</t>
        </is>
      </c>
    </row>
    <row r="49" ht="15.6" customHeight="1" s="184">
      <c r="B49" s="303">
        <f t="array" ref="B49">IF(OR(ISERROR(K49:P49)),FALSE,TRUE)</f>
        <v/>
      </c>
      <c r="C49" s="60">
        <f>OR(BR49=Driver!$G$50,Data!BR958=Driver!$H$50)</f>
        <v/>
      </c>
      <c r="D49" s="60">
        <f>OR(BV49=Driver!$G$51,BV49=Driver!$H$51)</f>
        <v/>
      </c>
      <c r="E49" s="60">
        <f>AND(BX49&gt;Driver!$F$54,BX49&lt;Driver!$G$54)</f>
        <v/>
      </c>
      <c r="F49" s="60">
        <f>CL49&gt;Driver!$F$56</f>
        <v/>
      </c>
      <c r="G49" s="60">
        <f>AND(CB49&gt;Driver!$F$55,CB49&lt;Driver!$G$55)</f>
        <v/>
      </c>
      <c r="H49" s="60">
        <f>AND(B49:G49)</f>
        <v/>
      </c>
      <c r="I49" s="60">
        <f>COUNTIFS($H$9:$H$1273,TRUE,$BT$9:$BT$1273,BT49)</f>
        <v/>
      </c>
      <c r="J49" s="60">
        <f t="array" ref="J49">NOT(OR(($H$9:$H$1273=TRUE)*($I$9:$I$1273&gt;0)*($BT$9:$BT$1273=BT49)*($K$9:$K$1273&gt;K49)))</f>
        <v/>
      </c>
      <c r="K49" s="108">
        <f>IFERROR(1-AVERAGE(X49:Y49),"")</f>
        <v/>
      </c>
      <c r="L49" s="108">
        <f>1-X49</f>
        <v/>
      </c>
      <c r="M49" s="108">
        <f>1-Y49</f>
        <v/>
      </c>
      <c r="N49" s="108">
        <f>1-Z49</f>
        <v/>
      </c>
      <c r="O49" s="108">
        <f>1-AA49</f>
        <v/>
      </c>
      <c r="P49" s="108">
        <f>1-AB49</f>
        <v/>
      </c>
      <c r="Q49" s="108" t="n"/>
      <c r="R49" s="108" t="n"/>
      <c r="S49" s="108">
        <f>1-AE49</f>
        <v/>
      </c>
      <c r="T49" s="108">
        <f>1-AF49</f>
        <v/>
      </c>
      <c r="U49" s="108">
        <f>1-AG49</f>
        <v/>
      </c>
      <c r="V49" s="108">
        <f>1-AH49</f>
        <v/>
      </c>
      <c r="W49" s="108">
        <f>1-AI49</f>
        <v/>
      </c>
      <c r="X49" s="108">
        <f>ABS(AJ49-AJ$1)</f>
        <v/>
      </c>
      <c r="Y49" s="108">
        <f>AVERAGE(Z49:AB49)</f>
        <v/>
      </c>
      <c r="Z49" s="108">
        <f>ABS(AL49-AL$1)</f>
        <v/>
      </c>
      <c r="AA49" s="108">
        <f>ABS(AM49-AM$1)</f>
        <v/>
      </c>
      <c r="AB49" s="108">
        <f>ABS(AN49-AN$1)</f>
        <v/>
      </c>
      <c r="AC49" s="108" t="n"/>
      <c r="AD49" s="108" t="n"/>
      <c r="AE49" s="108">
        <f>ABS(AQ$1-AQ49)</f>
        <v/>
      </c>
      <c r="AF49" s="108">
        <f>ABS(AR$1-AR49)</f>
        <v/>
      </c>
      <c r="AG49" s="108">
        <f>ABS(AS$1-AS49)</f>
        <v/>
      </c>
      <c r="AH49" s="108">
        <f>ABS(AT$1-AT49)</f>
        <v/>
      </c>
      <c r="AI49" s="108">
        <f>ABS(AU$1-AU49)</f>
        <v/>
      </c>
      <c r="AJ49" s="108">
        <f>(AV49-Driver!$K$179)/(Driver!$L$179-Driver!$K$179)</f>
        <v/>
      </c>
      <c r="AK49" s="108">
        <f>(AW49-Driver!$K$180)/(Driver!$L$180-Driver!$K$180)</f>
        <v/>
      </c>
      <c r="AL49" s="108">
        <f>(AX49-Driver!$K$181)/(Driver!$L$181-Driver!$K$181)</f>
        <v/>
      </c>
      <c r="AM49" s="108">
        <f>(AY49-Driver!$K$182)/(Driver!$L$182-Driver!$K$182)</f>
        <v/>
      </c>
      <c r="AN49" s="108">
        <f>(AZ49-Driver!$K$183)/(Driver!$L$183-Driver!$K$183)</f>
        <v/>
      </c>
      <c r="AO49" s="108" t="n"/>
      <c r="AP49" s="108" t="n"/>
      <c r="AQ49" s="108">
        <f>(BC49-Driver!$K$188)/(Driver!$L$188-Driver!$K$188)</f>
        <v/>
      </c>
      <c r="AR49" s="108">
        <f>MIN((BD49-Driver!$K$189)/(Driver!$L$189-Driver!$K$189),100%)</f>
        <v/>
      </c>
      <c r="AS49" s="108">
        <f>(BE49-Driver!$K$190)/(Driver!$L$190-Driver!$K$190)</f>
        <v/>
      </c>
      <c r="AT49" s="108">
        <f>(BF49-Driver!$K$191)/(Driver!$L$191-Driver!$K$191)</f>
        <v/>
      </c>
      <c r="AU49" s="108">
        <f>(BG49-Driver!$K$192)/(Driver!$L$192-Driver!$K$192)</f>
        <v/>
      </c>
      <c r="AV49" s="105">
        <f>IFERROR(BM49*BJ49^1/4,"")</f>
        <v/>
      </c>
      <c r="AW49" s="105">
        <f>IFERROR(SUM(AX49:AZ49),"")</f>
        <v/>
      </c>
      <c r="AX49" s="105">
        <f>IFERROR(BH49,"")</f>
        <v/>
      </c>
      <c r="AY49" s="105">
        <f>IFERROR(Driver!$K$19/Data!BH49/Data!BI49*Data!BK49*Data!BL49,"")</f>
        <v/>
      </c>
      <c r="AZ49" s="105">
        <f>IFERROR(BI49*BN49,"")</f>
        <v/>
      </c>
      <c r="BA49" s="105" t="n"/>
      <c r="BB49" s="105" t="n"/>
      <c r="BC49" s="105">
        <f>IFERROR(BI49*BN49*BK49/BJ49^(1/2),"")</f>
        <v/>
      </c>
      <c r="BD49" s="105">
        <f>IFERROR(BH49*BM49*BL49/BJ49/BK49,"")</f>
        <v/>
      </c>
      <c r="BE49" s="105">
        <f>IFERROR(MIN(BI49/BQ49/BP49/BO49/BH49,$BE$1),"")</f>
        <v/>
      </c>
      <c r="BF49" s="105">
        <f>IFERROR(BJ49*BO49*BP49/BK49,"")</f>
        <v/>
      </c>
      <c r="BG49" s="105">
        <f>IFERROR(1/BM49/BH49*BQ49,"")</f>
        <v/>
      </c>
      <c r="BH49" s="102">
        <f>MAX((CE49-Driver!$F$200)/(Driver!$G$200-Driver!$F$200)*$BI$1,1)</f>
        <v/>
      </c>
      <c r="BI49" s="102">
        <f>MAX($BI$1*(BY49-Driver!$F$201)/(Driver!$G$201-Driver!$F$201),1)</f>
        <v/>
      </c>
      <c r="BJ49" s="102">
        <f>(CB49-Driver!$F$206)/(Driver!$G$206-Driver!$F$206)*$BI$1</f>
        <v/>
      </c>
      <c r="BK49" s="102">
        <f>(CD49-Driver!$F$203)/(Driver!$G$203-Driver!$F$203)*$BI$1</f>
        <v/>
      </c>
      <c r="BL49" s="102">
        <f>MAX((CR49-Driver!$F$202)/(Driver!$G$202-Driver!$F$202)*$BI$1,1)</f>
        <v/>
      </c>
      <c r="BM49" s="102">
        <f>MAX((CH49-Driver!$F$204)/(Driver!$G$204-Driver!$F$204)*$BI$1,1)</f>
        <v/>
      </c>
      <c r="BN49" s="102">
        <f>(CI49-Driver!$F$205)/(Driver!$G$205-Driver!$F$205)*$BI$1</f>
        <v/>
      </c>
      <c r="BO49" s="102">
        <f>(CK49-Driver!$F$207)/(Driver!$G$207-Driver!$F$207)*$BI$1</f>
        <v/>
      </c>
      <c r="BP49" s="102">
        <f>(CM49-Driver!$F$208)/(Driver!$G$208-Driver!$F$208)*$BI$1</f>
        <v/>
      </c>
      <c r="BQ49" s="102">
        <f>(CL49-Driver!$F$209)/(Driver!$G$209-Driver!$F$209)*$BI$1</f>
        <v/>
      </c>
      <c r="BR49" s="40" t="inlineStr">
        <is>
          <t>21/22</t>
        </is>
      </c>
      <c r="BS49" s="10" t="inlineStr">
        <is>
          <t xml:space="preserve"> Raccoon</t>
        </is>
      </c>
      <c r="BT49" s="11" t="inlineStr">
        <is>
          <t xml:space="preserve"> Le Grizzly</t>
        </is>
      </c>
      <c r="BU49" s="13" t="n">
        <v>180</v>
      </c>
      <c r="BV49" s="11" t="inlineStr">
        <is>
          <t xml:space="preserve"> Unisex</t>
        </is>
      </c>
      <c r="BW49" s="13" t="n">
        <v>180</v>
      </c>
      <c r="BX49" s="13" t="n">
        <v>178.1</v>
      </c>
      <c r="BY49" s="13" t="n">
        <v>121</v>
      </c>
      <c r="BZ49" s="13" t="n">
        <v>149</v>
      </c>
      <c r="CA49" s="13" t="n">
        <v>129</v>
      </c>
      <c r="CB49" s="13" t="n">
        <v>99</v>
      </c>
      <c r="CC49" s="13" t="n">
        <v>120</v>
      </c>
      <c r="CD49" s="13" t="n">
        <v>19.3</v>
      </c>
      <c r="CE49" s="13" t="n">
        <v>1678</v>
      </c>
      <c r="CF49" s="13" t="n">
        <v>1.16</v>
      </c>
      <c r="CG49" s="13" t="n">
        <v>1949</v>
      </c>
      <c r="CH49" s="13" t="n">
        <v>212</v>
      </c>
      <c r="CI49" s="13" t="n">
        <v>101</v>
      </c>
      <c r="CJ49" s="13" t="n">
        <v>72</v>
      </c>
      <c r="CK49" s="13" t="n">
        <v>328</v>
      </c>
      <c r="CL49" s="13" t="n">
        <v>27</v>
      </c>
      <c r="CM49" s="13" t="n">
        <v>247</v>
      </c>
      <c r="CN49" s="13" t="n">
        <v>0.376</v>
      </c>
      <c r="CO49" s="13" t="n">
        <v>169</v>
      </c>
      <c r="CP49" s="13" t="n">
        <v>123</v>
      </c>
      <c r="CQ49" s="13" t="n">
        <v>159</v>
      </c>
      <c r="CR49" s="13" t="n">
        <v>5</v>
      </c>
      <c r="CS49" s="13" t="n">
        <v>11.5</v>
      </c>
      <c r="CT49" s="11" t="inlineStr">
        <is>
          <t xml:space="preserve"> Resort Freeride</t>
        </is>
      </c>
      <c r="CU49" s="11" t="inlineStr">
        <is>
          <t xml:space="preserve"> Touring</t>
        </is>
      </c>
      <c r="CV49" s="13" t="n"/>
      <c r="CW49" s="13" t="n"/>
      <c r="CX49">
        <f>INDEX('Data_Price '!AG$2:AG$1266,MATCH(Data!$DN49,'Data_Price '!$AT$2:$AT$1266,0))</f>
        <v/>
      </c>
      <c r="CY49">
        <f>INDEX('Data_Price '!AH$2:AH$1266,MATCH(Data!$DN49,'Data_Price '!$AT$2:$AT$1266,0))</f>
        <v/>
      </c>
      <c r="CZ49">
        <f>INDEX('Data_Price '!AI$2:AI$1266,MATCH(Data!$DN49,'Data_Price '!$AT$2:$AT$1266,0))</f>
        <v/>
      </c>
      <c r="DA49">
        <f>INDEX('Data_Price '!AJ$2:AJ$1266,MATCH(Data!$DN49,'Data_Price '!$AT$2:$AT$1266,0))</f>
        <v/>
      </c>
      <c r="DB49">
        <f>INDEX('Data_Price '!AK$2:AK$1266,MATCH(Data!$DN49,'Data_Price '!$AT$2:$AT$1266,0))</f>
        <v/>
      </c>
      <c r="DC49">
        <f>INDEX('Data_Price '!AL$2:AL$1266,MATCH(Data!$DN49,'Data_Price '!$AT$2:$AT$1266,0))</f>
        <v/>
      </c>
      <c r="DD49">
        <f>INDEX('Data_Price '!AM$2:AM$1266,MATCH(Data!$DN49,'Data_Price '!$AT$2:$AT$1266,0))</f>
        <v/>
      </c>
      <c r="DE49">
        <f>INDEX('Data_Price '!AN$2:AN$1266,MATCH(Data!$DN49,'Data_Price '!$AT$2:$AT$1266,0))</f>
        <v/>
      </c>
      <c r="DF49">
        <f>INDEX('Data_Price '!AO$2:AO$1266,MATCH(Data!$DN49,'Data_Price '!$AT$2:$AT$1266,0))</f>
        <v/>
      </c>
      <c r="DG49">
        <f>INDEX('Data_Price '!AP$2:AP$1266,MATCH(Data!$DN49,'Data_Price '!$AT$2:$AT$1266,0))</f>
        <v/>
      </c>
      <c r="DH49">
        <f>INDEX('Data_Price '!AQ$2:AQ$1266,MATCH(Data!$DN49,'Data_Price '!$AT$2:$AT$1266,0))</f>
        <v/>
      </c>
      <c r="DI49">
        <f>INDEX('Data_Price '!AR$2:AR$1266,MATCH(Data!$DN49,'Data_Price '!$AT$2:$AT$1266,0))</f>
        <v/>
      </c>
      <c r="DJ49" s="138">
        <f>DA49</f>
        <v/>
      </c>
      <c r="DK49" s="138">
        <f>DE49</f>
        <v/>
      </c>
      <c r="DL49" s="138">
        <f>DI49</f>
        <v/>
      </c>
      <c r="DM49" s="303">
        <f>IF(LEFT(BT49,1)=" ",RIGHT(BT49,LEN(BT49)-1),BT49)</f>
        <v/>
      </c>
      <c r="DN49" s="138">
        <f>_xlfn.CONCAT(BS49,DM49,BU49,BV49)</f>
        <v/>
      </c>
      <c r="DO49" s="307" t="n"/>
    </row>
    <row r="50" ht="15.6" customHeight="1" s="184">
      <c r="B50" s="303">
        <f t="array" ref="B50">IF(OR(ISERROR(K50:P50)),FALSE,TRUE)</f>
        <v/>
      </c>
      <c r="C50" s="60">
        <f>OR(BR50=Driver!$G$50,Data!BR1202=Driver!$H$50)</f>
        <v/>
      </c>
      <c r="D50" s="60">
        <f>OR(BV50=Driver!$G$51,BV50=Driver!$H$51)</f>
        <v/>
      </c>
      <c r="E50" s="60">
        <f>AND(BX50&gt;Driver!$F$54,BX50&lt;Driver!$G$54)</f>
        <v/>
      </c>
      <c r="F50" s="60">
        <f>CL50&gt;Driver!$F$56</f>
        <v/>
      </c>
      <c r="G50" s="60">
        <f>AND(CB50&gt;Driver!$F$55,CB50&lt;Driver!$G$55)</f>
        <v/>
      </c>
      <c r="H50" s="60">
        <f>AND(B50:G50)</f>
        <v/>
      </c>
      <c r="I50" s="60">
        <f>COUNTIFS($H$9:$H$1273,TRUE,$BT$9:$BT$1273,BT50)</f>
        <v/>
      </c>
      <c r="J50" s="60">
        <f t="array" ref="J50">NOT(OR(($H$9:$H$1273=TRUE)*($I$9:$I$1273&gt;0)*($BT$9:$BT$1273=BT50)*($K$9:$K$1273&gt;K50)))</f>
        <v/>
      </c>
      <c r="K50" s="108">
        <f>IFERROR(1-AVERAGE(X50:Y50),"")</f>
        <v/>
      </c>
      <c r="L50" s="108">
        <f>1-X50</f>
        <v/>
      </c>
      <c r="M50" s="108">
        <f>1-Y50</f>
        <v/>
      </c>
      <c r="N50" s="108">
        <f>1-Z50</f>
        <v/>
      </c>
      <c r="O50" s="108">
        <f>1-AA50</f>
        <v/>
      </c>
      <c r="P50" s="108">
        <f>1-AB50</f>
        <v/>
      </c>
      <c r="Q50" s="108" t="n"/>
      <c r="R50" s="108" t="n"/>
      <c r="S50" s="108">
        <f>1-AE50</f>
        <v/>
      </c>
      <c r="T50" s="108">
        <f>1-AF50</f>
        <v/>
      </c>
      <c r="U50" s="108">
        <f>1-AG50</f>
        <v/>
      </c>
      <c r="V50" s="108">
        <f>1-AH50</f>
        <v/>
      </c>
      <c r="W50" s="108">
        <f>1-AI50</f>
        <v/>
      </c>
      <c r="X50" s="108">
        <f>ABS(AJ50-AJ$1)</f>
        <v/>
      </c>
      <c r="Y50" s="108">
        <f>AVERAGE(Z50:AB50)</f>
        <v/>
      </c>
      <c r="Z50" s="108">
        <f>ABS(AL50-AL$1)</f>
        <v/>
      </c>
      <c r="AA50" s="108">
        <f>ABS(AM50-AM$1)</f>
        <v/>
      </c>
      <c r="AB50" s="108">
        <f>ABS(AN50-AN$1)</f>
        <v/>
      </c>
      <c r="AC50" s="108" t="n"/>
      <c r="AD50" s="108" t="n"/>
      <c r="AE50" s="108">
        <f>ABS(AQ$1-AQ50)</f>
        <v/>
      </c>
      <c r="AF50" s="108">
        <f>ABS(AR$1-AR50)</f>
        <v/>
      </c>
      <c r="AG50" s="108">
        <f>ABS(AS$1-AS50)</f>
        <v/>
      </c>
      <c r="AH50" s="108">
        <f>ABS(AT$1-AT50)</f>
        <v/>
      </c>
      <c r="AI50" s="108">
        <f>ABS(AU$1-AU50)</f>
        <v/>
      </c>
      <c r="AJ50" s="108">
        <f>(AV50-Driver!$K$179)/(Driver!$L$179-Driver!$K$179)</f>
        <v/>
      </c>
      <c r="AK50" s="108">
        <f>(AW50-Driver!$K$180)/(Driver!$L$180-Driver!$K$180)</f>
        <v/>
      </c>
      <c r="AL50" s="108">
        <f>(AX50-Driver!$K$181)/(Driver!$L$181-Driver!$K$181)</f>
        <v/>
      </c>
      <c r="AM50" s="108">
        <f>(AY50-Driver!$K$182)/(Driver!$L$182-Driver!$K$182)</f>
        <v/>
      </c>
      <c r="AN50" s="108">
        <f>(AZ50-Driver!$K$183)/(Driver!$L$183-Driver!$K$183)</f>
        <v/>
      </c>
      <c r="AO50" s="108" t="n"/>
      <c r="AP50" s="108" t="n"/>
      <c r="AQ50" s="108">
        <f>(BC50-Driver!$K$188)/(Driver!$L$188-Driver!$K$188)</f>
        <v/>
      </c>
      <c r="AR50" s="108">
        <f>MIN((BD50-Driver!$K$189)/(Driver!$L$189-Driver!$K$189),100%)</f>
        <v/>
      </c>
      <c r="AS50" s="108">
        <f>(BE50-Driver!$K$190)/(Driver!$L$190-Driver!$K$190)</f>
        <v/>
      </c>
      <c r="AT50" s="108">
        <f>(BF50-Driver!$K$191)/(Driver!$L$191-Driver!$K$191)</f>
        <v/>
      </c>
      <c r="AU50" s="108">
        <f>(BG50-Driver!$K$192)/(Driver!$L$192-Driver!$K$192)</f>
        <v/>
      </c>
      <c r="AV50" s="105">
        <f>IFERROR(BM50*BJ50^1/4,"")</f>
        <v/>
      </c>
      <c r="AW50" s="105">
        <f>IFERROR(SUM(AX50:AZ50),"")</f>
        <v/>
      </c>
      <c r="AX50" s="105">
        <f>IFERROR(BH50,"")</f>
        <v/>
      </c>
      <c r="AY50" s="105">
        <f>IFERROR(Driver!$K$19/Data!BH50/Data!BI50*Data!BK50*Data!BL50,"")</f>
        <v/>
      </c>
      <c r="AZ50" s="105">
        <f>IFERROR(BI50*BN50,"")</f>
        <v/>
      </c>
      <c r="BA50" s="105" t="n"/>
      <c r="BB50" s="105" t="n"/>
      <c r="BC50" s="105">
        <f>IFERROR(BI50*BN50*BK50/BJ50^(1/2),"")</f>
        <v/>
      </c>
      <c r="BD50" s="105">
        <f>IFERROR(BH50*BM50*BL50/BJ50/BK50,"")</f>
        <v/>
      </c>
      <c r="BE50" s="105">
        <f>IFERROR(MIN(BI50/BQ50/BP50/BO50/BH50,$BE$1),"")</f>
        <v/>
      </c>
      <c r="BF50" s="105">
        <f>IFERROR(BJ50*BO50*BP50/BK50,"")</f>
        <v/>
      </c>
      <c r="BG50" s="105">
        <f>IFERROR(1/BM50/BH50*BQ50,"")</f>
        <v/>
      </c>
      <c r="BH50" s="102">
        <f>MAX((CE50-Driver!$F$200)/(Driver!$G$200-Driver!$F$200)*$BI$1,1)</f>
        <v/>
      </c>
      <c r="BI50" s="102">
        <f>MAX($BI$1*(BY50-Driver!$F$201)/(Driver!$G$201-Driver!$F$201),1)</f>
        <v/>
      </c>
      <c r="BJ50" s="102">
        <f>(CB50-Driver!$F$206)/(Driver!$G$206-Driver!$F$206)*$BI$1</f>
        <v/>
      </c>
      <c r="BK50" s="102">
        <f>(CD50-Driver!$F$203)/(Driver!$G$203-Driver!$F$203)*$BI$1</f>
        <v/>
      </c>
      <c r="BL50" s="102">
        <f>MAX((CR50-Driver!$F$202)/(Driver!$G$202-Driver!$F$202)*$BI$1,1)</f>
        <v/>
      </c>
      <c r="BM50" s="102">
        <f>MAX((CH50-Driver!$F$204)/(Driver!$G$204-Driver!$F$204)*$BI$1,1)</f>
        <v/>
      </c>
      <c r="BN50" s="102">
        <f>(CI50-Driver!$F$205)/(Driver!$G$205-Driver!$F$205)*$BI$1</f>
        <v/>
      </c>
      <c r="BO50" s="102">
        <f>(CK50-Driver!$F$207)/(Driver!$G$207-Driver!$F$207)*$BI$1</f>
        <v/>
      </c>
      <c r="BP50" s="102">
        <f>(CM50-Driver!$F$208)/(Driver!$G$208-Driver!$F$208)*$BI$1</f>
        <v/>
      </c>
      <c r="BQ50" s="102">
        <f>(CL50-Driver!$F$209)/(Driver!$G$209-Driver!$F$209)*$BI$1</f>
        <v/>
      </c>
      <c r="BR50" s="40" t="inlineStr">
        <is>
          <t>21/22</t>
        </is>
      </c>
      <c r="BS50" s="10" t="inlineStr">
        <is>
          <t xml:space="preserve"> Völkl</t>
        </is>
      </c>
      <c r="BT50" s="11" t="inlineStr">
        <is>
          <t>Kanjo 84</t>
        </is>
      </c>
      <c r="BU50" s="13" t="n">
        <v>182</v>
      </c>
      <c r="BV50" s="11" t="inlineStr">
        <is>
          <t xml:space="preserve"> Unisex</t>
        </is>
      </c>
      <c r="BW50" s="13" t="n">
        <v>182</v>
      </c>
      <c r="BX50" s="13" t="n">
        <v>183.5</v>
      </c>
      <c r="BY50" s="13" t="n">
        <v>157</v>
      </c>
      <c r="BZ50" s="13" t="n">
        <v>160</v>
      </c>
      <c r="CA50" s="13" t="n">
        <v>124</v>
      </c>
      <c r="CB50" s="13" t="n">
        <v>83</v>
      </c>
      <c r="CC50" s="13" t="n">
        <v>106</v>
      </c>
      <c r="CD50" s="13" t="n">
        <v>19.4</v>
      </c>
      <c r="CE50" s="13" t="n">
        <v>1668</v>
      </c>
      <c r="CF50" s="13" t="n">
        <v>1.06</v>
      </c>
      <c r="CG50" s="13" t="n">
        <v>1763</v>
      </c>
      <c r="CH50" s="13" t="n">
        <v>196</v>
      </c>
      <c r="CI50" s="13" t="n">
        <v>76</v>
      </c>
      <c r="CJ50" s="13" t="n">
        <v>34</v>
      </c>
      <c r="CK50" s="13" t="n">
        <v>166</v>
      </c>
      <c r="CL50" s="13" t="n">
        <v>12</v>
      </c>
      <c r="CM50" s="13" t="n">
        <v>96</v>
      </c>
      <c r="CN50" s="13" t="n">
        <v>0.35</v>
      </c>
      <c r="CO50" s="13" t="n">
        <v>132</v>
      </c>
      <c r="CP50" s="13" t="n">
        <v>104</v>
      </c>
      <c r="CQ50" s="13" t="n">
        <v>34</v>
      </c>
      <c r="CR50" s="13" t="n">
        <v>4</v>
      </c>
      <c r="CS50" s="13" t="n">
        <v>11.8</v>
      </c>
      <c r="CT50" s="11" t="inlineStr">
        <is>
          <t xml:space="preserve"> On-Piste All-Mountain</t>
        </is>
      </c>
      <c r="CU50" s="11" t="inlineStr">
        <is>
          <t xml:space="preserve"> Resort Freeride</t>
        </is>
      </c>
      <c r="CV50" s="11" t="inlineStr">
        <is>
          <t xml:space="preserve"> Touring</t>
        </is>
      </c>
      <c r="CW50" s="13" t="n"/>
      <c r="CX50">
        <f>INDEX('Data_Price '!AG$2:AG$1266,MATCH(Data!$DN50,'Data_Price '!$AT$2:$AT$1266,0))</f>
        <v/>
      </c>
      <c r="CY50">
        <f>INDEX('Data_Price '!AH$2:AH$1266,MATCH(Data!$DN50,'Data_Price '!$AT$2:$AT$1266,0))</f>
        <v/>
      </c>
      <c r="CZ50">
        <f>INDEX('Data_Price '!AI$2:AI$1266,MATCH(Data!$DN50,'Data_Price '!$AT$2:$AT$1266,0))</f>
        <v/>
      </c>
      <c r="DA50">
        <f>INDEX('Data_Price '!AJ$2:AJ$1266,MATCH(Data!$DN50,'Data_Price '!$AT$2:$AT$1266,0))</f>
        <v/>
      </c>
      <c r="DB50">
        <f>INDEX('Data_Price '!AK$2:AK$1266,MATCH(Data!$DN50,'Data_Price '!$AT$2:$AT$1266,0))</f>
        <v/>
      </c>
      <c r="DC50">
        <f>INDEX('Data_Price '!AL$2:AL$1266,MATCH(Data!$DN50,'Data_Price '!$AT$2:$AT$1266,0))</f>
        <v/>
      </c>
      <c r="DD50">
        <f>INDEX('Data_Price '!AM$2:AM$1266,MATCH(Data!$DN50,'Data_Price '!$AT$2:$AT$1266,0))</f>
        <v/>
      </c>
      <c r="DE50">
        <f>INDEX('Data_Price '!AN$2:AN$1266,MATCH(Data!$DN50,'Data_Price '!$AT$2:$AT$1266,0))</f>
        <v/>
      </c>
      <c r="DF50">
        <f>INDEX('Data_Price '!AO$2:AO$1266,MATCH(Data!$DN50,'Data_Price '!$AT$2:$AT$1266,0))</f>
        <v/>
      </c>
      <c r="DG50">
        <f>INDEX('Data_Price '!AP$2:AP$1266,MATCH(Data!$DN50,'Data_Price '!$AT$2:$AT$1266,0))</f>
        <v/>
      </c>
      <c r="DH50">
        <f>INDEX('Data_Price '!AQ$2:AQ$1266,MATCH(Data!$DN50,'Data_Price '!$AT$2:$AT$1266,0))</f>
        <v/>
      </c>
      <c r="DI50">
        <f>INDEX('Data_Price '!AR$2:AR$1266,MATCH(Data!$DN50,'Data_Price '!$AT$2:$AT$1266,0))</f>
        <v/>
      </c>
      <c r="DJ50" s="138">
        <f>DA50</f>
        <v/>
      </c>
      <c r="DK50" s="138">
        <f>DE50</f>
        <v/>
      </c>
      <c r="DL50" s="138">
        <f>DI50</f>
        <v/>
      </c>
      <c r="DM50" s="303">
        <f>IF(LEFT(BT50,1)=" ",RIGHT(BT50,LEN(BT50)-1),BT50)</f>
        <v/>
      </c>
      <c r="DN50" s="138">
        <f>_xlfn.CONCAT(BS50,DM50,BU50,BV50)</f>
        <v/>
      </c>
      <c r="DO50" s="307" t="n"/>
    </row>
    <row r="51" ht="15.6" customHeight="1" s="184">
      <c r="B51" s="303">
        <f t="array" ref="B51">IF(OR(ISERROR(K51:P51)),FALSE,TRUE)</f>
        <v/>
      </c>
      <c r="C51" s="60">
        <f>OR(BR51=Driver!$G$50,Data!BR1114=Driver!$H$50)</f>
        <v/>
      </c>
      <c r="D51" s="60">
        <f>OR(BV51=Driver!$G$51,BV51=Driver!$H$51)</f>
        <v/>
      </c>
      <c r="E51" s="60">
        <f>AND(BX51&gt;Driver!$F$54,BX51&lt;Driver!$G$54)</f>
        <v/>
      </c>
      <c r="F51" s="60">
        <f>CL51&gt;Driver!$F$56</f>
        <v/>
      </c>
      <c r="G51" s="60">
        <f>AND(CB51&gt;Driver!$F$55,CB51&lt;Driver!$G$55)</f>
        <v/>
      </c>
      <c r="H51" s="60">
        <f>AND(B51:G51)</f>
        <v/>
      </c>
      <c r="I51" s="60">
        <f>COUNTIFS($H$9:$H$1273,TRUE,$BT$9:$BT$1273,BT51)</f>
        <v/>
      </c>
      <c r="J51" s="60">
        <f t="array" ref="J51">NOT(OR(($H$9:$H$1273=TRUE)*($I$9:$I$1273&gt;0)*($BT$9:$BT$1273=BT51)*($K$9:$K$1273&gt;K51)))</f>
        <v/>
      </c>
      <c r="K51" s="108">
        <f>IFERROR(1-AVERAGE(X51:Y51),"")</f>
        <v/>
      </c>
      <c r="L51" s="108">
        <f>1-X51</f>
        <v/>
      </c>
      <c r="M51" s="108">
        <f>1-Y51</f>
        <v/>
      </c>
      <c r="N51" s="108">
        <f>1-Z51</f>
        <v/>
      </c>
      <c r="O51" s="108">
        <f>1-AA51</f>
        <v/>
      </c>
      <c r="P51" s="108">
        <f>1-AB51</f>
        <v/>
      </c>
      <c r="Q51" s="108" t="n"/>
      <c r="R51" s="108" t="n"/>
      <c r="S51" s="108">
        <f>1-AE51</f>
        <v/>
      </c>
      <c r="T51" s="108">
        <f>1-AF51</f>
        <v/>
      </c>
      <c r="U51" s="108">
        <f>1-AG51</f>
        <v/>
      </c>
      <c r="V51" s="108">
        <f>1-AH51</f>
        <v/>
      </c>
      <c r="W51" s="108">
        <f>1-AI51</f>
        <v/>
      </c>
      <c r="X51" s="108">
        <f>ABS(AJ51-AJ$1)</f>
        <v/>
      </c>
      <c r="Y51" s="108">
        <f>AVERAGE(Z51:AB51)</f>
        <v/>
      </c>
      <c r="Z51" s="108">
        <f>ABS(AL51-AL$1)</f>
        <v/>
      </c>
      <c r="AA51" s="108">
        <f>ABS(AM51-AM$1)</f>
        <v/>
      </c>
      <c r="AB51" s="108">
        <f>ABS(AN51-AN$1)</f>
        <v/>
      </c>
      <c r="AC51" s="108" t="n"/>
      <c r="AD51" s="108" t="n"/>
      <c r="AE51" s="108">
        <f>ABS(AQ$1-AQ51)</f>
        <v/>
      </c>
      <c r="AF51" s="108">
        <f>ABS(AR$1-AR51)</f>
        <v/>
      </c>
      <c r="AG51" s="108">
        <f>ABS(AS$1-AS51)</f>
        <v/>
      </c>
      <c r="AH51" s="108">
        <f>ABS(AT$1-AT51)</f>
        <v/>
      </c>
      <c r="AI51" s="108">
        <f>ABS(AU$1-AU51)</f>
        <v/>
      </c>
      <c r="AJ51" s="108">
        <f>(AV51-Driver!$K$179)/(Driver!$L$179-Driver!$K$179)</f>
        <v/>
      </c>
      <c r="AK51" s="108">
        <f>(AW51-Driver!$K$180)/(Driver!$L$180-Driver!$K$180)</f>
        <v/>
      </c>
      <c r="AL51" s="108">
        <f>(AX51-Driver!$K$181)/(Driver!$L$181-Driver!$K$181)</f>
        <v/>
      </c>
      <c r="AM51" s="108">
        <f>(AY51-Driver!$K$182)/(Driver!$L$182-Driver!$K$182)</f>
        <v/>
      </c>
      <c r="AN51" s="108">
        <f>(AZ51-Driver!$K$183)/(Driver!$L$183-Driver!$K$183)</f>
        <v/>
      </c>
      <c r="AO51" s="108" t="n"/>
      <c r="AP51" s="108" t="n"/>
      <c r="AQ51" s="108">
        <f>(BC51-Driver!$K$188)/(Driver!$L$188-Driver!$K$188)</f>
        <v/>
      </c>
      <c r="AR51" s="108">
        <f>MIN((BD51-Driver!$K$189)/(Driver!$L$189-Driver!$K$189),100%)</f>
        <v/>
      </c>
      <c r="AS51" s="108">
        <f>(BE51-Driver!$K$190)/(Driver!$L$190-Driver!$K$190)</f>
        <v/>
      </c>
      <c r="AT51" s="108">
        <f>(BF51-Driver!$K$191)/(Driver!$L$191-Driver!$K$191)</f>
        <v/>
      </c>
      <c r="AU51" s="108">
        <f>(BG51-Driver!$K$192)/(Driver!$L$192-Driver!$K$192)</f>
        <v/>
      </c>
      <c r="AV51" s="105">
        <f>IFERROR(BM51*BJ51^1/4,"")</f>
        <v/>
      </c>
      <c r="AW51" s="105">
        <f>IFERROR(SUM(AX51:AZ51),"")</f>
        <v/>
      </c>
      <c r="AX51" s="105">
        <f>IFERROR(BH51,"")</f>
        <v/>
      </c>
      <c r="AY51" s="105">
        <f>IFERROR(Driver!$K$19/Data!BH51/Data!BI51*Data!BK51*Data!BL51,"")</f>
        <v/>
      </c>
      <c r="AZ51" s="105">
        <f>IFERROR(BI51*BN51,"")</f>
        <v/>
      </c>
      <c r="BA51" s="105" t="n"/>
      <c r="BB51" s="105" t="n"/>
      <c r="BC51" s="105">
        <f>IFERROR(BI51*BN51*BK51/BJ51^(1/2),"")</f>
        <v/>
      </c>
      <c r="BD51" s="105">
        <f>IFERROR(BH51*BM51*BL51/BJ51/BK51,"")</f>
        <v/>
      </c>
      <c r="BE51" s="105">
        <f>IFERROR(MIN(BI51/BQ51/BP51/BO51/BH51,$BE$1),"")</f>
        <v/>
      </c>
      <c r="BF51" s="105">
        <f>IFERROR(BJ51*BO51*BP51/BK51,"")</f>
        <v/>
      </c>
      <c r="BG51" s="105">
        <f>IFERROR(1/BM51/BH51*BQ51,"")</f>
        <v/>
      </c>
      <c r="BH51" s="102">
        <f>MAX((CE51-Driver!$F$200)/(Driver!$G$200-Driver!$F$200)*$BI$1,1)</f>
        <v/>
      </c>
      <c r="BI51" s="102">
        <f>MAX($BI$1*(BY51-Driver!$F$201)/(Driver!$G$201-Driver!$F$201),1)</f>
        <v/>
      </c>
      <c r="BJ51" s="102">
        <f>(CB51-Driver!$F$206)/(Driver!$G$206-Driver!$F$206)*$BI$1</f>
        <v/>
      </c>
      <c r="BK51" s="102">
        <f>(CD51-Driver!$F$203)/(Driver!$G$203-Driver!$F$203)*$BI$1</f>
        <v/>
      </c>
      <c r="BL51" s="102">
        <f>MAX((CR51-Driver!$F$202)/(Driver!$G$202-Driver!$F$202)*$BI$1,1)</f>
        <v/>
      </c>
      <c r="BM51" s="102">
        <f>MAX((CH51-Driver!$F$204)/(Driver!$G$204-Driver!$F$204)*$BI$1,1)</f>
        <v/>
      </c>
      <c r="BN51" s="102">
        <f>(CI51-Driver!$F$205)/(Driver!$G$205-Driver!$F$205)*$BI$1</f>
        <v/>
      </c>
      <c r="BO51" s="102">
        <f>(CK51-Driver!$F$207)/(Driver!$G$207-Driver!$F$207)*$BI$1</f>
        <v/>
      </c>
      <c r="BP51" s="102">
        <f>(CM51-Driver!$F$208)/(Driver!$G$208-Driver!$F$208)*$BI$1</f>
        <v/>
      </c>
      <c r="BQ51" s="102">
        <f>(CL51-Driver!$F$209)/(Driver!$G$209-Driver!$F$209)*$BI$1</f>
        <v/>
      </c>
      <c r="BR51" s="40" t="inlineStr">
        <is>
          <t>21/22</t>
        </is>
      </c>
      <c r="BS51" s="10" t="inlineStr">
        <is>
          <t xml:space="preserve"> Scott</t>
        </is>
      </c>
      <c r="BT51" s="11" t="inlineStr">
        <is>
          <t>Scrapper 105</t>
        </is>
      </c>
      <c r="BU51" s="13" t="n">
        <v>175</v>
      </c>
      <c r="BV51" s="11" t="inlineStr">
        <is>
          <t xml:space="preserve"> Unisex</t>
        </is>
      </c>
      <c r="BW51" s="13" t="n">
        <v>175</v>
      </c>
      <c r="BX51" s="13" t="n">
        <v>173.4</v>
      </c>
      <c r="BY51" s="13" t="n">
        <v>124</v>
      </c>
      <c r="BZ51" s="13" t="n">
        <v>156</v>
      </c>
      <c r="CA51" s="13" t="n">
        <v>135</v>
      </c>
      <c r="CB51" s="13" t="n">
        <v>100</v>
      </c>
      <c r="CC51" s="13" t="n">
        <v>123</v>
      </c>
      <c r="CD51" s="13" t="n">
        <v>22.6</v>
      </c>
      <c r="CE51" s="13" t="n">
        <v>1547</v>
      </c>
      <c r="CF51" s="13" t="n">
        <v>1.21</v>
      </c>
      <c r="CG51" s="13" t="n">
        <v>1877</v>
      </c>
      <c r="CH51" s="13" t="n">
        <v>224</v>
      </c>
      <c r="CI51" s="13" t="n">
        <v>98</v>
      </c>
      <c r="CJ51" s="13" t="n">
        <v>60</v>
      </c>
      <c r="CK51" s="13" t="n">
        <v>306</v>
      </c>
      <c r="CL51" s="13" t="n">
        <v>39</v>
      </c>
      <c r="CM51" s="13" t="n">
        <v>188</v>
      </c>
      <c r="CN51" s="13" t="n">
        <v>0.64</v>
      </c>
      <c r="CO51" s="13" t="n">
        <v>99</v>
      </c>
      <c r="CP51" s="13" t="n">
        <v>74</v>
      </c>
      <c r="CQ51" s="13" t="n">
        <v>207</v>
      </c>
      <c r="CR51" s="13" t="n">
        <v>4</v>
      </c>
      <c r="CS51" s="13" t="n">
        <v>11.1</v>
      </c>
      <c r="CT51" s="11" t="inlineStr">
        <is>
          <t xml:space="preserve"> Resort Freeride</t>
        </is>
      </c>
      <c r="CU51" s="11" t="inlineStr">
        <is>
          <t xml:space="preserve"> Powder</t>
        </is>
      </c>
      <c r="CV51" s="11" t="inlineStr">
        <is>
          <t xml:space="preserve"> Touring</t>
        </is>
      </c>
      <c r="CW51" s="13" t="n"/>
      <c r="CX51">
        <f>INDEX('Data_Price '!AG$2:AG$1266,MATCH(Data!$DN51,'Data_Price '!$AT$2:$AT$1266,0))</f>
        <v/>
      </c>
      <c r="CY51">
        <f>INDEX('Data_Price '!AH$2:AH$1266,MATCH(Data!$DN51,'Data_Price '!$AT$2:$AT$1266,0))</f>
        <v/>
      </c>
      <c r="CZ51">
        <f>INDEX('Data_Price '!AI$2:AI$1266,MATCH(Data!$DN51,'Data_Price '!$AT$2:$AT$1266,0))</f>
        <v/>
      </c>
      <c r="DA51">
        <f>INDEX('Data_Price '!AJ$2:AJ$1266,MATCH(Data!$DN51,'Data_Price '!$AT$2:$AT$1266,0))</f>
        <v/>
      </c>
      <c r="DB51">
        <f>INDEX('Data_Price '!AK$2:AK$1266,MATCH(Data!$DN51,'Data_Price '!$AT$2:$AT$1266,0))</f>
        <v/>
      </c>
      <c r="DC51">
        <f>INDEX('Data_Price '!AL$2:AL$1266,MATCH(Data!$DN51,'Data_Price '!$AT$2:$AT$1266,0))</f>
        <v/>
      </c>
      <c r="DD51">
        <f>INDEX('Data_Price '!AM$2:AM$1266,MATCH(Data!$DN51,'Data_Price '!$AT$2:$AT$1266,0))</f>
        <v/>
      </c>
      <c r="DE51">
        <f>INDEX('Data_Price '!AN$2:AN$1266,MATCH(Data!$DN51,'Data_Price '!$AT$2:$AT$1266,0))</f>
        <v/>
      </c>
      <c r="DF51">
        <f>INDEX('Data_Price '!AO$2:AO$1266,MATCH(Data!$DN51,'Data_Price '!$AT$2:$AT$1266,0))</f>
        <v/>
      </c>
      <c r="DG51">
        <f>INDEX('Data_Price '!AP$2:AP$1266,MATCH(Data!$DN51,'Data_Price '!$AT$2:$AT$1266,0))</f>
        <v/>
      </c>
      <c r="DH51">
        <f>INDEX('Data_Price '!AQ$2:AQ$1266,MATCH(Data!$DN51,'Data_Price '!$AT$2:$AT$1266,0))</f>
        <v/>
      </c>
      <c r="DI51">
        <f>INDEX('Data_Price '!AR$2:AR$1266,MATCH(Data!$DN51,'Data_Price '!$AT$2:$AT$1266,0))</f>
        <v/>
      </c>
      <c r="DJ51" s="138">
        <f>DA51</f>
        <v/>
      </c>
      <c r="DK51" s="138">
        <f>DE51</f>
        <v/>
      </c>
      <c r="DL51" s="138">
        <f>DI51</f>
        <v/>
      </c>
      <c r="DM51" s="303">
        <f>IF(LEFT(BT51,1)=" ",RIGHT(BT51,LEN(BT51)-1),BT51)</f>
        <v/>
      </c>
      <c r="DN51" s="138">
        <f>_xlfn.CONCAT(BS51,DM51,BU51,BV51)</f>
        <v/>
      </c>
      <c r="DO51" s="307" t="inlineStr">
        <is>
          <t>https://images.evo.com/imgp/250/208930/848228/clone.jpg</t>
        </is>
      </c>
    </row>
    <row r="52" ht="15.6" customHeight="1" s="184">
      <c r="B52" s="303">
        <f t="array" ref="B52">IF(OR(ISERROR(K52:P52)),FALSE,TRUE)</f>
        <v/>
      </c>
      <c r="C52" s="60">
        <f>OR(BR52=Driver!$G$50,Data!BR625=Driver!$H$50)</f>
        <v/>
      </c>
      <c r="D52" s="60">
        <f>OR(BV52=Driver!$G$51,BV52=Driver!$H$51)</f>
        <v/>
      </c>
      <c r="E52" s="60">
        <f>AND(BX52&gt;Driver!$F$54,BX52&lt;Driver!$G$54)</f>
        <v/>
      </c>
      <c r="F52" s="60">
        <f>CL52&gt;Driver!$F$56</f>
        <v/>
      </c>
      <c r="G52" s="60">
        <f>AND(CB52&gt;Driver!$F$55,CB52&lt;Driver!$G$55)</f>
        <v/>
      </c>
      <c r="H52" s="60">
        <f>AND(B52:G52)</f>
        <v/>
      </c>
      <c r="I52" s="60">
        <f>COUNTIFS($H$9:$H$1273,TRUE,$BT$9:$BT$1273,BT52)</f>
        <v/>
      </c>
      <c r="J52" s="60">
        <f t="array" ref="J52">NOT(OR(($H$9:$H$1273=TRUE)*($I$9:$I$1273&gt;0)*($BT$9:$BT$1273=BT52)*($K$9:$K$1273&gt;K52)))</f>
        <v/>
      </c>
      <c r="K52" s="108">
        <f>IFERROR(1-AVERAGE(X52:Y52),"")</f>
        <v/>
      </c>
      <c r="L52" s="108">
        <f>1-X52</f>
        <v/>
      </c>
      <c r="M52" s="108">
        <f>1-Y52</f>
        <v/>
      </c>
      <c r="N52" s="108">
        <f>1-Z52</f>
        <v/>
      </c>
      <c r="O52" s="108">
        <f>1-AA52</f>
        <v/>
      </c>
      <c r="P52" s="108">
        <f>1-AB52</f>
        <v/>
      </c>
      <c r="Q52" s="108" t="n"/>
      <c r="R52" s="108" t="n"/>
      <c r="S52" s="108">
        <f>1-AE52</f>
        <v/>
      </c>
      <c r="T52" s="108">
        <f>1-AF52</f>
        <v/>
      </c>
      <c r="U52" s="108">
        <f>1-AG52</f>
        <v/>
      </c>
      <c r="V52" s="108">
        <f>1-AH52</f>
        <v/>
      </c>
      <c r="W52" s="108">
        <f>1-AI52</f>
        <v/>
      </c>
      <c r="X52" s="108">
        <f>ABS(AJ52-AJ$1)</f>
        <v/>
      </c>
      <c r="Y52" s="108">
        <f>AVERAGE(Z52:AB52)</f>
        <v/>
      </c>
      <c r="Z52" s="108">
        <f>ABS(AL52-AL$1)</f>
        <v/>
      </c>
      <c r="AA52" s="108">
        <f>ABS(AM52-AM$1)</f>
        <v/>
      </c>
      <c r="AB52" s="108">
        <f>ABS(AN52-AN$1)</f>
        <v/>
      </c>
      <c r="AC52" s="108" t="n"/>
      <c r="AD52" s="108" t="n"/>
      <c r="AE52" s="108">
        <f>ABS(AQ$1-AQ52)</f>
        <v/>
      </c>
      <c r="AF52" s="108">
        <f>ABS(AR$1-AR52)</f>
        <v/>
      </c>
      <c r="AG52" s="108">
        <f>ABS(AS$1-AS52)</f>
        <v/>
      </c>
      <c r="AH52" s="108">
        <f>ABS(AT$1-AT52)</f>
        <v/>
      </c>
      <c r="AI52" s="108">
        <f>ABS(AU$1-AU52)</f>
        <v/>
      </c>
      <c r="AJ52" s="108">
        <f>(AV52-Driver!$K$179)/(Driver!$L$179-Driver!$K$179)</f>
        <v/>
      </c>
      <c r="AK52" s="108">
        <f>(AW52-Driver!$K$180)/(Driver!$L$180-Driver!$K$180)</f>
        <v/>
      </c>
      <c r="AL52" s="108">
        <f>(AX52-Driver!$K$181)/(Driver!$L$181-Driver!$K$181)</f>
        <v/>
      </c>
      <c r="AM52" s="108">
        <f>(AY52-Driver!$K$182)/(Driver!$L$182-Driver!$K$182)</f>
        <v/>
      </c>
      <c r="AN52" s="108">
        <f>(AZ52-Driver!$K$183)/(Driver!$L$183-Driver!$K$183)</f>
        <v/>
      </c>
      <c r="AO52" s="108" t="n"/>
      <c r="AP52" s="108" t="n"/>
      <c r="AQ52" s="108">
        <f>(BC52-Driver!$K$188)/(Driver!$L$188-Driver!$K$188)</f>
        <v/>
      </c>
      <c r="AR52" s="108">
        <f>MIN((BD52-Driver!$K$189)/(Driver!$L$189-Driver!$K$189),100%)</f>
        <v/>
      </c>
      <c r="AS52" s="108">
        <f>(BE52-Driver!$K$190)/(Driver!$L$190-Driver!$K$190)</f>
        <v/>
      </c>
      <c r="AT52" s="108">
        <f>(BF52-Driver!$K$191)/(Driver!$L$191-Driver!$K$191)</f>
        <v/>
      </c>
      <c r="AU52" s="108">
        <f>(BG52-Driver!$K$192)/(Driver!$L$192-Driver!$K$192)</f>
        <v/>
      </c>
      <c r="AV52" s="105">
        <f>IFERROR(BM52*BJ52^1/4,"")</f>
        <v/>
      </c>
      <c r="AW52" s="105">
        <f>IFERROR(SUM(AX52:AZ52),"")</f>
        <v/>
      </c>
      <c r="AX52" s="105">
        <f>IFERROR(BH52,"")</f>
        <v/>
      </c>
      <c r="AY52" s="105">
        <f>IFERROR(Driver!$K$19/Data!BH52/Data!BI52*Data!BK52*Data!BL52,"")</f>
        <v/>
      </c>
      <c r="AZ52" s="105">
        <f>IFERROR(BI52*BN52,"")</f>
        <v/>
      </c>
      <c r="BA52" s="105" t="n"/>
      <c r="BB52" s="105" t="n"/>
      <c r="BC52" s="105">
        <f>IFERROR(BI52*BN52*BK52/BJ52^(1/2),"")</f>
        <v/>
      </c>
      <c r="BD52" s="105">
        <f>IFERROR(BH52*BM52*BL52/BJ52/BK52,"")</f>
        <v/>
      </c>
      <c r="BE52" s="105">
        <f>IFERROR(MIN(BI52/BQ52/BP52/BO52/BH52,$BE$1),"")</f>
        <v/>
      </c>
      <c r="BF52" s="105">
        <f>IFERROR(BJ52*BO52*BP52/BK52,"")</f>
        <v/>
      </c>
      <c r="BG52" s="105">
        <f>IFERROR(1/BM52/BH52*BQ52,"")</f>
        <v/>
      </c>
      <c r="BH52" s="102">
        <f>MAX((CE52-Driver!$F$200)/(Driver!$G$200-Driver!$F$200)*$BI$1,1)</f>
        <v/>
      </c>
      <c r="BI52" s="102">
        <f>MAX($BI$1*(BY52-Driver!$F$201)/(Driver!$G$201-Driver!$F$201),1)</f>
        <v/>
      </c>
      <c r="BJ52" s="102">
        <f>(CB52-Driver!$F$206)/(Driver!$G$206-Driver!$F$206)*$BI$1</f>
        <v/>
      </c>
      <c r="BK52" s="102">
        <f>(CD52-Driver!$F$203)/(Driver!$G$203-Driver!$F$203)*$BI$1</f>
        <v/>
      </c>
      <c r="BL52" s="102">
        <f>MAX((CR52-Driver!$F$202)/(Driver!$G$202-Driver!$F$202)*$BI$1,1)</f>
        <v/>
      </c>
      <c r="BM52" s="102">
        <f>MAX((CH52-Driver!$F$204)/(Driver!$G$204-Driver!$F$204)*$BI$1,1)</f>
        <v/>
      </c>
      <c r="BN52" s="102">
        <f>(CI52-Driver!$F$205)/(Driver!$G$205-Driver!$F$205)*$BI$1</f>
        <v/>
      </c>
      <c r="BO52" s="102">
        <f>(CK52-Driver!$F$207)/(Driver!$G$207-Driver!$F$207)*$BI$1</f>
        <v/>
      </c>
      <c r="BP52" s="102">
        <f>(CM52-Driver!$F$208)/(Driver!$G$208-Driver!$F$208)*$BI$1</f>
        <v/>
      </c>
      <c r="BQ52" s="102">
        <f>(CL52-Driver!$F$209)/(Driver!$G$209-Driver!$F$209)*$BI$1</f>
        <v/>
      </c>
      <c r="BR52" s="40" t="inlineStr">
        <is>
          <t>21/22</t>
        </is>
      </c>
      <c r="BS52" s="10" t="inlineStr">
        <is>
          <t xml:space="preserve"> Head</t>
        </is>
      </c>
      <c r="BT52" s="11" t="inlineStr">
        <is>
          <t>Kore 97 W</t>
        </is>
      </c>
      <c r="BU52" s="13" t="n">
        <v>156</v>
      </c>
      <c r="BV52" s="11" t="inlineStr">
        <is>
          <t xml:space="preserve"> Women's</t>
        </is>
      </c>
      <c r="BW52" s="13" t="n">
        <v>156</v>
      </c>
      <c r="BX52" s="13" t="n">
        <v>155.8</v>
      </c>
      <c r="BY52" s="13" t="n">
        <v>119</v>
      </c>
      <c r="BZ52" s="13" t="n">
        <v>123</v>
      </c>
      <c r="CA52" s="13" t="n">
        <v>124</v>
      </c>
      <c r="CB52" s="13" t="n">
        <v>92</v>
      </c>
      <c r="CC52" s="13" t="n">
        <v>111</v>
      </c>
      <c r="CD52" s="13" t="n">
        <v>13.1</v>
      </c>
      <c r="CE52" s="13" t="n">
        <v>1497</v>
      </c>
      <c r="CF52" s="13" t="n">
        <v>1.08</v>
      </c>
      <c r="CG52" s="13" t="n">
        <v>1614</v>
      </c>
      <c r="CH52" s="13" t="n">
        <v>225</v>
      </c>
      <c r="CI52" s="13" t="n">
        <v>106</v>
      </c>
      <c r="CJ52" s="13" t="n">
        <v>48</v>
      </c>
      <c r="CK52" s="13" t="n">
        <v>234</v>
      </c>
      <c r="CL52" s="13" t="n">
        <v>13</v>
      </c>
      <c r="CM52" s="13" t="n">
        <v>137</v>
      </c>
      <c r="CN52" s="13" t="n">
        <v>0.272</v>
      </c>
      <c r="CO52" s="13" t="n">
        <v>167</v>
      </c>
      <c r="CP52" s="13" t="n">
        <v>158</v>
      </c>
      <c r="CQ52" s="13" t="n">
        <v>67</v>
      </c>
      <c r="CR52" s="13" t="n">
        <v>5</v>
      </c>
      <c r="CS52" s="13" t="n">
        <v>6.9</v>
      </c>
      <c r="CT52" s="11" t="inlineStr">
        <is>
          <t xml:space="preserve"> Resort Freeride</t>
        </is>
      </c>
      <c r="CU52" s="11" t="inlineStr">
        <is>
          <t xml:space="preserve"> Touring</t>
        </is>
      </c>
      <c r="CV52" s="13" t="n"/>
      <c r="CW52" s="13" t="n"/>
      <c r="CX52">
        <f>INDEX('Data_Price '!AG$2:AG$1266,MATCH(Data!$DN52,'Data_Price '!$AT$2:$AT$1266,0))</f>
        <v/>
      </c>
      <c r="CY52">
        <f>INDEX('Data_Price '!AH$2:AH$1266,MATCH(Data!$DN52,'Data_Price '!$AT$2:$AT$1266,0))</f>
        <v/>
      </c>
      <c r="CZ52">
        <f>INDEX('Data_Price '!AI$2:AI$1266,MATCH(Data!$DN52,'Data_Price '!$AT$2:$AT$1266,0))</f>
        <v/>
      </c>
      <c r="DA52">
        <f>INDEX('Data_Price '!AJ$2:AJ$1266,MATCH(Data!$DN52,'Data_Price '!$AT$2:$AT$1266,0))</f>
        <v/>
      </c>
      <c r="DB52">
        <f>INDEX('Data_Price '!AK$2:AK$1266,MATCH(Data!$DN52,'Data_Price '!$AT$2:$AT$1266,0))</f>
        <v/>
      </c>
      <c r="DC52">
        <f>INDEX('Data_Price '!AL$2:AL$1266,MATCH(Data!$DN52,'Data_Price '!$AT$2:$AT$1266,0))</f>
        <v/>
      </c>
      <c r="DD52">
        <f>INDEX('Data_Price '!AM$2:AM$1266,MATCH(Data!$DN52,'Data_Price '!$AT$2:$AT$1266,0))</f>
        <v/>
      </c>
      <c r="DE52">
        <f>INDEX('Data_Price '!AN$2:AN$1266,MATCH(Data!$DN52,'Data_Price '!$AT$2:$AT$1266,0))</f>
        <v/>
      </c>
      <c r="DF52">
        <f>INDEX('Data_Price '!AO$2:AO$1266,MATCH(Data!$DN52,'Data_Price '!$AT$2:$AT$1266,0))</f>
        <v/>
      </c>
      <c r="DG52">
        <f>INDEX('Data_Price '!AP$2:AP$1266,MATCH(Data!$DN52,'Data_Price '!$AT$2:$AT$1266,0))</f>
        <v/>
      </c>
      <c r="DH52">
        <f>INDEX('Data_Price '!AQ$2:AQ$1266,MATCH(Data!$DN52,'Data_Price '!$AT$2:$AT$1266,0))</f>
        <v/>
      </c>
      <c r="DI52">
        <f>INDEX('Data_Price '!AR$2:AR$1266,MATCH(Data!$DN52,'Data_Price '!$AT$2:$AT$1266,0))</f>
        <v/>
      </c>
      <c r="DJ52" s="138">
        <f>DA52</f>
        <v/>
      </c>
      <c r="DK52" s="138">
        <f>DE52</f>
        <v/>
      </c>
      <c r="DL52" s="138">
        <f>DI52</f>
        <v/>
      </c>
      <c r="DM52" s="303">
        <f>IF(LEFT(BT52,1)=" ",RIGHT(BT52,LEN(BT52)-1),BT52)</f>
        <v/>
      </c>
      <c r="DN52" s="138">
        <f>_xlfn.CONCAT(BS52,DM52,BU52,BV52)</f>
        <v/>
      </c>
      <c r="DO52" s="307" t="n"/>
    </row>
    <row r="53" ht="15.6" customHeight="1" s="184">
      <c r="B53" s="303">
        <f t="array" ref="B53">IF(OR(ISERROR(K53:P53)),FALSE,TRUE)</f>
        <v/>
      </c>
      <c r="C53" s="60">
        <f>OR(BR53=Driver!$G$50,Data!BR55=Driver!$H$50)</f>
        <v/>
      </c>
      <c r="D53" s="60">
        <f>OR(BV53=Driver!$G$51,BV53=Driver!$H$51)</f>
        <v/>
      </c>
      <c r="E53" s="60">
        <f>AND(BX53&gt;Driver!$F$54,BX53&lt;Driver!$G$54)</f>
        <v/>
      </c>
      <c r="F53" s="60">
        <f>CL53&gt;Driver!$F$56</f>
        <v/>
      </c>
      <c r="G53" s="60">
        <f>AND(CB53&gt;Driver!$F$55,CB53&lt;Driver!$G$55)</f>
        <v/>
      </c>
      <c r="H53" s="60">
        <f>AND(B53:G53)</f>
        <v/>
      </c>
      <c r="I53" s="60">
        <f>COUNTIFS($H$9:$H$1273,TRUE,$BT$9:$BT$1273,BT53)</f>
        <v/>
      </c>
      <c r="J53" s="60">
        <f t="array" ref="J53">NOT(OR(($H$9:$H$1273=TRUE)*($I$9:$I$1273&gt;0)*($BT$9:$BT$1273=BT53)*($K$9:$K$1273&gt;K53)))</f>
        <v/>
      </c>
      <c r="K53" s="108">
        <f>IFERROR(1-AVERAGE(X53:Y53),"")</f>
        <v/>
      </c>
      <c r="L53" s="108">
        <f>1-X53</f>
        <v/>
      </c>
      <c r="M53" s="108">
        <f>1-Y53</f>
        <v/>
      </c>
      <c r="N53" s="108">
        <f>1-Z53</f>
        <v/>
      </c>
      <c r="O53" s="108">
        <f>1-AA53</f>
        <v/>
      </c>
      <c r="P53" s="108">
        <f>1-AB53</f>
        <v/>
      </c>
      <c r="Q53" s="108" t="n"/>
      <c r="R53" s="108" t="n"/>
      <c r="S53" s="108">
        <f>1-AE53</f>
        <v/>
      </c>
      <c r="T53" s="108">
        <f>1-AF53</f>
        <v/>
      </c>
      <c r="U53" s="108">
        <f>1-AG53</f>
        <v/>
      </c>
      <c r="V53" s="108">
        <f>1-AH53</f>
        <v/>
      </c>
      <c r="W53" s="108">
        <f>1-AI53</f>
        <v/>
      </c>
      <c r="X53" s="108">
        <f>ABS(AJ53-AJ$1)</f>
        <v/>
      </c>
      <c r="Y53" s="108">
        <f>AVERAGE(Z53:AB53)</f>
        <v/>
      </c>
      <c r="Z53" s="108">
        <f>ABS(AL53-AL$1)</f>
        <v/>
      </c>
      <c r="AA53" s="108">
        <f>ABS(AM53-AM$1)</f>
        <v/>
      </c>
      <c r="AB53" s="108">
        <f>ABS(AN53-AN$1)</f>
        <v/>
      </c>
      <c r="AC53" s="108" t="n"/>
      <c r="AD53" s="108" t="n"/>
      <c r="AE53" s="108">
        <f>ABS(AQ$1-AQ53)</f>
        <v/>
      </c>
      <c r="AF53" s="108">
        <f>ABS(AR$1-AR53)</f>
        <v/>
      </c>
      <c r="AG53" s="108">
        <f>ABS(AS$1-AS53)</f>
        <v/>
      </c>
      <c r="AH53" s="108">
        <f>ABS(AT$1-AT53)</f>
        <v/>
      </c>
      <c r="AI53" s="108">
        <f>ABS(AU$1-AU53)</f>
        <v/>
      </c>
      <c r="AJ53" s="108">
        <f>(AV53-Driver!$K$179)/(Driver!$L$179-Driver!$K$179)</f>
        <v/>
      </c>
      <c r="AK53" s="108">
        <f>(AW53-Driver!$K$180)/(Driver!$L$180-Driver!$K$180)</f>
        <v/>
      </c>
      <c r="AL53" s="108">
        <f>(AX53-Driver!$K$181)/(Driver!$L$181-Driver!$K$181)</f>
        <v/>
      </c>
      <c r="AM53" s="108">
        <f>(AY53-Driver!$K$182)/(Driver!$L$182-Driver!$K$182)</f>
        <v/>
      </c>
      <c r="AN53" s="108">
        <f>(AZ53-Driver!$K$183)/(Driver!$L$183-Driver!$K$183)</f>
        <v/>
      </c>
      <c r="AO53" s="108" t="n"/>
      <c r="AP53" s="108" t="n"/>
      <c r="AQ53" s="108">
        <f>(BC53-Driver!$K$188)/(Driver!$L$188-Driver!$K$188)</f>
        <v/>
      </c>
      <c r="AR53" s="108">
        <f>MIN((BD53-Driver!$K$189)/(Driver!$L$189-Driver!$K$189),100%)</f>
        <v/>
      </c>
      <c r="AS53" s="108">
        <f>(BE53-Driver!$K$190)/(Driver!$L$190-Driver!$K$190)</f>
        <v/>
      </c>
      <c r="AT53" s="108">
        <f>(BF53-Driver!$K$191)/(Driver!$L$191-Driver!$K$191)</f>
        <v/>
      </c>
      <c r="AU53" s="108">
        <f>(BG53-Driver!$K$192)/(Driver!$L$192-Driver!$K$192)</f>
        <v/>
      </c>
      <c r="AV53" s="105">
        <f>IFERROR(BM53*BJ53^1/4,"")</f>
        <v/>
      </c>
      <c r="AW53" s="105">
        <f>IFERROR(SUM(AX53:AZ53),"")</f>
        <v/>
      </c>
      <c r="AX53" s="105">
        <f>IFERROR(BH53,"")</f>
        <v/>
      </c>
      <c r="AY53" s="105">
        <f>IFERROR(Driver!$K$19/Data!BH53/Data!BI53*Data!BK53*Data!BL53,"")</f>
        <v/>
      </c>
      <c r="AZ53" s="105">
        <f>IFERROR(BI53*BN53,"")</f>
        <v/>
      </c>
      <c r="BA53" s="105" t="n"/>
      <c r="BB53" s="105" t="n"/>
      <c r="BC53" s="105">
        <f>IFERROR(BI53*BN53*BK53/BJ53^(1/2),"")</f>
        <v/>
      </c>
      <c r="BD53" s="105">
        <f>IFERROR(BH53*BM53*BL53/BJ53/BK53,"")</f>
        <v/>
      </c>
      <c r="BE53" s="105">
        <f>IFERROR(MIN(BI53/BQ53/BP53/BO53/BH53,$BE$1),"")</f>
        <v/>
      </c>
      <c r="BF53" s="105">
        <f>IFERROR(BJ53*BO53*BP53/BK53,"")</f>
        <v/>
      </c>
      <c r="BG53" s="105">
        <f>IFERROR(1/BM53/BH53*BQ53,"")</f>
        <v/>
      </c>
      <c r="BH53" s="102">
        <f>MAX((CE53-Driver!$F$200)/(Driver!$G$200-Driver!$F$200)*$BI$1,1)</f>
        <v/>
      </c>
      <c r="BI53" s="102">
        <f>MAX($BI$1*(BY53-Driver!$F$201)/(Driver!$G$201-Driver!$F$201),1)</f>
        <v/>
      </c>
      <c r="BJ53" s="102">
        <f>(CB53-Driver!$F$206)/(Driver!$G$206-Driver!$F$206)*$BI$1</f>
        <v/>
      </c>
      <c r="BK53" s="102">
        <f>(CD53-Driver!$F$203)/(Driver!$G$203-Driver!$F$203)*$BI$1</f>
        <v/>
      </c>
      <c r="BL53" s="102">
        <f>MAX((CR53-Driver!$F$202)/(Driver!$G$202-Driver!$F$202)*$BI$1,1)</f>
        <v/>
      </c>
      <c r="BM53" s="102">
        <f>MAX((CH53-Driver!$F$204)/(Driver!$G$204-Driver!$F$204)*$BI$1,1)</f>
        <v/>
      </c>
      <c r="BN53" s="102">
        <f>(CI53-Driver!$F$205)/(Driver!$G$205-Driver!$F$205)*$BI$1</f>
        <v/>
      </c>
      <c r="BO53" s="102">
        <f>(CK53-Driver!$F$207)/(Driver!$G$207-Driver!$F$207)*$BI$1</f>
        <v/>
      </c>
      <c r="BP53" s="102">
        <f>(CM53-Driver!$F$208)/(Driver!$G$208-Driver!$F$208)*$BI$1</f>
        <v/>
      </c>
      <c r="BQ53" s="102">
        <f>(CL53-Driver!$F$209)/(Driver!$G$209-Driver!$F$209)*$BI$1</f>
        <v/>
      </c>
      <c r="BR53" s="40" t="inlineStr">
        <is>
          <t>21/22</t>
        </is>
      </c>
      <c r="BS53" s="10" t="inlineStr">
        <is>
          <t xml:space="preserve"> Armada</t>
        </is>
      </c>
      <c r="BT53" s="11" t="inlineStr">
        <is>
          <t>ARW 86</t>
        </is>
      </c>
      <c r="BU53" s="13" t="n">
        <v>170</v>
      </c>
      <c r="BV53" s="11" t="inlineStr">
        <is>
          <t xml:space="preserve"> Women's</t>
        </is>
      </c>
      <c r="BW53" s="13" t="n">
        <v>170</v>
      </c>
      <c r="BX53" s="13" t="n">
        <v>168.2</v>
      </c>
      <c r="BY53" s="13" t="n">
        <v>135</v>
      </c>
      <c r="BZ53" s="13" t="n">
        <v>139</v>
      </c>
      <c r="CA53" s="13" t="n">
        <v>114</v>
      </c>
      <c r="CB53" s="13" t="n">
        <v>85</v>
      </c>
      <c r="CC53" s="13" t="n">
        <v>108</v>
      </c>
      <c r="CD53" s="13" t="n">
        <v>17.6</v>
      </c>
      <c r="CE53" s="13" t="n">
        <v>1704</v>
      </c>
      <c r="CF53" s="13" t="n">
        <v>0.9399999999999999</v>
      </c>
      <c r="CG53" s="13" t="n">
        <v>1604</v>
      </c>
      <c r="CH53" s="13" t="n">
        <v>166</v>
      </c>
      <c r="CI53" s="13" t="n">
        <v>95</v>
      </c>
      <c r="CJ53" s="13" t="n">
        <v>44</v>
      </c>
      <c r="CK53" s="13" t="n">
        <v>168</v>
      </c>
      <c r="CL53" s="13" t="n">
        <v>38</v>
      </c>
      <c r="CM53" s="13" t="n">
        <v>167</v>
      </c>
      <c r="CN53" s="13" t="n">
        <v>0.87</v>
      </c>
      <c r="CO53" s="13" t="n">
        <v>139</v>
      </c>
      <c r="CP53" s="13" t="n">
        <v>152</v>
      </c>
      <c r="CQ53" s="13" t="n">
        <v>29</v>
      </c>
      <c r="CR53" s="13" t="n">
        <v>12</v>
      </c>
      <c r="CS53" s="13" t="n">
        <v>3.8</v>
      </c>
      <c r="CT53" s="11" t="inlineStr">
        <is>
          <t xml:space="preserve"> Freeski</t>
        </is>
      </c>
      <c r="CU53" s="13" t="n"/>
      <c r="CV53" s="13" t="n"/>
      <c r="CW53" s="13" t="n"/>
      <c r="CX53">
        <f>INDEX('Data_Price '!AG$2:AG$1266,MATCH(Data!$DN53,'Data_Price '!$AT$2:$AT$1266,0))</f>
        <v/>
      </c>
      <c r="CY53">
        <f>INDEX('Data_Price '!AH$2:AH$1266,MATCH(Data!$DN53,'Data_Price '!$AT$2:$AT$1266,0))</f>
        <v/>
      </c>
      <c r="CZ53">
        <f>INDEX('Data_Price '!AI$2:AI$1266,MATCH(Data!$DN53,'Data_Price '!$AT$2:$AT$1266,0))</f>
        <v/>
      </c>
      <c r="DA53">
        <f>INDEX('Data_Price '!AJ$2:AJ$1266,MATCH(Data!$DN53,'Data_Price '!$AT$2:$AT$1266,0))</f>
        <v/>
      </c>
      <c r="DB53">
        <f>INDEX('Data_Price '!AK$2:AK$1266,MATCH(Data!$DN53,'Data_Price '!$AT$2:$AT$1266,0))</f>
        <v/>
      </c>
      <c r="DC53">
        <f>INDEX('Data_Price '!AL$2:AL$1266,MATCH(Data!$DN53,'Data_Price '!$AT$2:$AT$1266,0))</f>
        <v/>
      </c>
      <c r="DD53">
        <f>INDEX('Data_Price '!AM$2:AM$1266,MATCH(Data!$DN53,'Data_Price '!$AT$2:$AT$1266,0))</f>
        <v/>
      </c>
      <c r="DE53">
        <f>INDEX('Data_Price '!AN$2:AN$1266,MATCH(Data!$DN53,'Data_Price '!$AT$2:$AT$1266,0))</f>
        <v/>
      </c>
      <c r="DF53">
        <f>INDEX('Data_Price '!AO$2:AO$1266,MATCH(Data!$DN53,'Data_Price '!$AT$2:$AT$1266,0))</f>
        <v/>
      </c>
      <c r="DG53">
        <f>INDEX('Data_Price '!AP$2:AP$1266,MATCH(Data!$DN53,'Data_Price '!$AT$2:$AT$1266,0))</f>
        <v/>
      </c>
      <c r="DH53">
        <f>INDEX('Data_Price '!AQ$2:AQ$1266,MATCH(Data!$DN53,'Data_Price '!$AT$2:$AT$1266,0))</f>
        <v/>
      </c>
      <c r="DI53">
        <f>INDEX('Data_Price '!AR$2:AR$1266,MATCH(Data!$DN53,'Data_Price '!$AT$2:$AT$1266,0))</f>
        <v/>
      </c>
      <c r="DJ53" s="138">
        <f>DA53</f>
        <v/>
      </c>
      <c r="DK53" s="138">
        <f>DE53</f>
        <v/>
      </c>
      <c r="DL53" s="138">
        <f>DI53</f>
        <v/>
      </c>
      <c r="DM53" s="303">
        <f>IF(LEFT(BT53,1)=" ",RIGHT(BT53,LEN(BT53)-1),BT53)</f>
        <v/>
      </c>
      <c r="DN53" s="138">
        <f>_xlfn.CONCAT(BS53,DM53,BU53,BV53)</f>
        <v/>
      </c>
      <c r="DO53" s="307" t="inlineStr">
        <is>
          <t>https://images.evo.com/imgp/250/198713/839685/armada-arw-86-skis-women-s-2022-.jpg</t>
        </is>
      </c>
    </row>
    <row r="54" ht="15.6" customHeight="1" s="184">
      <c r="B54" s="303">
        <f t="array" ref="B54">IF(OR(ISERROR(K54:P54)),FALSE,TRUE)</f>
        <v/>
      </c>
      <c r="C54" s="60">
        <f>OR(BR54=Driver!$G$50,Data!BR233=Driver!$H$50)</f>
        <v/>
      </c>
      <c r="D54" s="60">
        <f>OR(BV54=Driver!$G$51,BV54=Driver!$H$51)</f>
        <v/>
      </c>
      <c r="E54" s="60">
        <f>AND(BX54&gt;Driver!$F$54,BX54&lt;Driver!$G$54)</f>
        <v/>
      </c>
      <c r="F54" s="60">
        <f>CL54&gt;Driver!$F$56</f>
        <v/>
      </c>
      <c r="G54" s="60">
        <f>AND(CB54&gt;Driver!$F$55,CB54&lt;Driver!$G$55)</f>
        <v/>
      </c>
      <c r="H54" s="60">
        <f>AND(B54:G54)</f>
        <v/>
      </c>
      <c r="I54" s="60">
        <f>COUNTIFS($H$9:$H$1273,TRUE,$BT$9:$BT$1273,BT54)</f>
        <v/>
      </c>
      <c r="J54" s="60">
        <f t="array" ref="J54">NOT(OR(($H$9:$H$1273=TRUE)*($I$9:$I$1273&gt;0)*($BT$9:$BT$1273=BT54)*($K$9:$K$1273&gt;K54)))</f>
        <v/>
      </c>
      <c r="K54" s="108">
        <f>IFERROR(1-AVERAGE(X54:Y54),"")</f>
        <v/>
      </c>
      <c r="L54" s="108">
        <f>1-X54</f>
        <v/>
      </c>
      <c r="M54" s="108">
        <f>1-Y54</f>
        <v/>
      </c>
      <c r="N54" s="108">
        <f>1-Z54</f>
        <v/>
      </c>
      <c r="O54" s="108">
        <f>1-AA54</f>
        <v/>
      </c>
      <c r="P54" s="108">
        <f>1-AB54</f>
        <v/>
      </c>
      <c r="Q54" s="108" t="n"/>
      <c r="R54" s="108" t="n"/>
      <c r="S54" s="108">
        <f>1-AE54</f>
        <v/>
      </c>
      <c r="T54" s="108">
        <f>1-AF54</f>
        <v/>
      </c>
      <c r="U54" s="108">
        <f>1-AG54</f>
        <v/>
      </c>
      <c r="V54" s="108">
        <f>1-AH54</f>
        <v/>
      </c>
      <c r="W54" s="108">
        <f>1-AI54</f>
        <v/>
      </c>
      <c r="X54" s="108">
        <f>ABS(AJ54-AJ$1)</f>
        <v/>
      </c>
      <c r="Y54" s="108">
        <f>AVERAGE(Z54:AB54)</f>
        <v/>
      </c>
      <c r="Z54" s="108">
        <f>ABS(AL54-AL$1)</f>
        <v/>
      </c>
      <c r="AA54" s="108">
        <f>ABS(AM54-AM$1)</f>
        <v/>
      </c>
      <c r="AB54" s="108">
        <f>ABS(AN54-AN$1)</f>
        <v/>
      </c>
      <c r="AC54" s="108" t="n"/>
      <c r="AD54" s="108" t="n"/>
      <c r="AE54" s="108">
        <f>ABS(AQ$1-AQ54)</f>
        <v/>
      </c>
      <c r="AF54" s="108">
        <f>ABS(AR$1-AR54)</f>
        <v/>
      </c>
      <c r="AG54" s="108">
        <f>ABS(AS$1-AS54)</f>
        <v/>
      </c>
      <c r="AH54" s="108">
        <f>ABS(AT$1-AT54)</f>
        <v/>
      </c>
      <c r="AI54" s="108">
        <f>ABS(AU$1-AU54)</f>
        <v/>
      </c>
      <c r="AJ54" s="108">
        <f>(AV54-Driver!$K$179)/(Driver!$L$179-Driver!$K$179)</f>
        <v/>
      </c>
      <c r="AK54" s="108">
        <f>(AW54-Driver!$K$180)/(Driver!$L$180-Driver!$K$180)</f>
        <v/>
      </c>
      <c r="AL54" s="108">
        <f>(AX54-Driver!$K$181)/(Driver!$L$181-Driver!$K$181)</f>
        <v/>
      </c>
      <c r="AM54" s="108">
        <f>(AY54-Driver!$K$182)/(Driver!$L$182-Driver!$K$182)</f>
        <v/>
      </c>
      <c r="AN54" s="108">
        <f>(AZ54-Driver!$K$183)/(Driver!$L$183-Driver!$K$183)</f>
        <v/>
      </c>
      <c r="AO54" s="108" t="n"/>
      <c r="AP54" s="108" t="n"/>
      <c r="AQ54" s="108">
        <f>(BC54-Driver!$K$188)/(Driver!$L$188-Driver!$K$188)</f>
        <v/>
      </c>
      <c r="AR54" s="108">
        <f>MIN((BD54-Driver!$K$189)/(Driver!$L$189-Driver!$K$189),100%)</f>
        <v/>
      </c>
      <c r="AS54" s="108">
        <f>(BE54-Driver!$K$190)/(Driver!$L$190-Driver!$K$190)</f>
        <v/>
      </c>
      <c r="AT54" s="108">
        <f>(BF54-Driver!$K$191)/(Driver!$L$191-Driver!$K$191)</f>
        <v/>
      </c>
      <c r="AU54" s="108">
        <f>(BG54-Driver!$K$192)/(Driver!$L$192-Driver!$K$192)</f>
        <v/>
      </c>
      <c r="AV54" s="105">
        <f>IFERROR(BM54*BJ54^1/4,"")</f>
        <v/>
      </c>
      <c r="AW54" s="105">
        <f>IFERROR(SUM(AX54:AZ54),"")</f>
        <v/>
      </c>
      <c r="AX54" s="105">
        <f>IFERROR(BH54,"")</f>
        <v/>
      </c>
      <c r="AY54" s="105">
        <f>IFERROR(Driver!$K$19/Data!BH54/Data!BI54*Data!BK54*Data!BL54,"")</f>
        <v/>
      </c>
      <c r="AZ54" s="105">
        <f>IFERROR(BI54*BN54,"")</f>
        <v/>
      </c>
      <c r="BA54" s="105" t="n"/>
      <c r="BB54" s="105" t="n"/>
      <c r="BC54" s="105">
        <f>IFERROR(BI54*BN54*BK54/BJ54^(1/2),"")</f>
        <v/>
      </c>
      <c r="BD54" s="105">
        <f>IFERROR(BH54*BM54*BL54/BJ54/BK54,"")</f>
        <v/>
      </c>
      <c r="BE54" s="105">
        <f>IFERROR(MIN(BI54/BQ54/BP54/BO54/BH54,$BE$1),"")</f>
        <v/>
      </c>
      <c r="BF54" s="105">
        <f>IFERROR(BJ54*BO54*BP54/BK54,"")</f>
        <v/>
      </c>
      <c r="BG54" s="105">
        <f>IFERROR(1/BM54/BH54*BQ54,"")</f>
        <v/>
      </c>
      <c r="BH54" s="102">
        <f>MAX((CE54-Driver!$F$200)/(Driver!$G$200-Driver!$F$200)*$BI$1,1)</f>
        <v/>
      </c>
      <c r="BI54" s="102">
        <f>MAX($BI$1*(BY54-Driver!$F$201)/(Driver!$G$201-Driver!$F$201),1)</f>
        <v/>
      </c>
      <c r="BJ54" s="102">
        <f>(CB54-Driver!$F$206)/(Driver!$G$206-Driver!$F$206)*$BI$1</f>
        <v/>
      </c>
      <c r="BK54" s="102">
        <f>(CD54-Driver!$F$203)/(Driver!$G$203-Driver!$F$203)*$BI$1</f>
        <v/>
      </c>
      <c r="BL54" s="102">
        <f>MAX((CR54-Driver!$F$202)/(Driver!$G$202-Driver!$F$202)*$BI$1,1)</f>
        <v/>
      </c>
      <c r="BM54" s="102">
        <f>MAX((CH54-Driver!$F$204)/(Driver!$G$204-Driver!$F$204)*$BI$1,1)</f>
        <v/>
      </c>
      <c r="BN54" s="102">
        <f>(CI54-Driver!$F$205)/(Driver!$G$205-Driver!$F$205)*$BI$1</f>
        <v/>
      </c>
      <c r="BO54" s="102">
        <f>(CK54-Driver!$F$207)/(Driver!$G$207-Driver!$F$207)*$BI$1</f>
        <v/>
      </c>
      <c r="BP54" s="102">
        <f>(CM54-Driver!$F$208)/(Driver!$G$208-Driver!$F$208)*$BI$1</f>
        <v/>
      </c>
      <c r="BQ54" s="102">
        <f>(CL54-Driver!$F$209)/(Driver!$G$209-Driver!$F$209)*$BI$1</f>
        <v/>
      </c>
      <c r="BR54" s="40" t="inlineStr">
        <is>
          <t>21/22</t>
        </is>
      </c>
      <c r="BS54" s="10" t="inlineStr">
        <is>
          <t xml:space="preserve"> Black Crows</t>
        </is>
      </c>
      <c r="BT54" s="11" t="inlineStr">
        <is>
          <t xml:space="preserve"> Navis Freebird</t>
        </is>
      </c>
      <c r="BU54" s="13" t="n">
        <v>173.4</v>
      </c>
      <c r="BV54" s="11" t="inlineStr">
        <is>
          <t xml:space="preserve"> Unisex</t>
        </is>
      </c>
      <c r="BW54" s="13" t="n">
        <v>173.4</v>
      </c>
      <c r="BX54" s="13" t="n">
        <v>171.8</v>
      </c>
      <c r="BY54" s="13" t="n">
        <v>122</v>
      </c>
      <c r="BZ54" s="13" t="n">
        <v>145</v>
      </c>
      <c r="CA54" s="13" t="n">
        <v>138</v>
      </c>
      <c r="CB54" s="13" t="n">
        <v>100</v>
      </c>
      <c r="CC54" s="13" t="n">
        <v>118</v>
      </c>
      <c r="CD54" s="13" t="n">
        <v>18.7</v>
      </c>
      <c r="CE54" s="13" t="n">
        <v>1671</v>
      </c>
      <c r="CF54" s="13" t="n">
        <v>1.14</v>
      </c>
      <c r="CG54" s="13" t="n">
        <v>1913</v>
      </c>
      <c r="CH54" s="13" t="n">
        <v>209</v>
      </c>
      <c r="CI54" s="13" t="n">
        <v>95</v>
      </c>
      <c r="CJ54" s="13" t="n">
        <v>44</v>
      </c>
      <c r="CK54" s="13" t="n">
        <v>292</v>
      </c>
      <c r="CL54" s="13" t="n">
        <v>16</v>
      </c>
      <c r="CM54" s="13" t="n">
        <v>202</v>
      </c>
      <c r="CN54" s="13" t="n">
        <v>0.352</v>
      </c>
      <c r="CO54" s="13" t="n">
        <v>157</v>
      </c>
      <c r="CP54" s="13" t="n">
        <v>116</v>
      </c>
      <c r="CQ54" s="13" t="n">
        <v>135</v>
      </c>
      <c r="CR54" s="13" t="n">
        <v>4</v>
      </c>
      <c r="CS54" s="13" t="n">
        <v>9.699999999999999</v>
      </c>
      <c r="CT54" s="11" t="inlineStr">
        <is>
          <t xml:space="preserve"> Resort Freeride</t>
        </is>
      </c>
      <c r="CU54" s="11" t="inlineStr">
        <is>
          <t xml:space="preserve"> Powder</t>
        </is>
      </c>
      <c r="CV54" s="11" t="inlineStr">
        <is>
          <t xml:space="preserve"> Big Mountain</t>
        </is>
      </c>
      <c r="CW54" s="11" t="inlineStr">
        <is>
          <t xml:space="preserve"> Touring</t>
        </is>
      </c>
      <c r="CX54">
        <f>INDEX('Data_Price '!AG$2:AG$1266,MATCH(Data!$DN54,'Data_Price '!$AT$2:$AT$1266,0))</f>
        <v/>
      </c>
      <c r="CY54">
        <f>INDEX('Data_Price '!AH$2:AH$1266,MATCH(Data!$DN54,'Data_Price '!$AT$2:$AT$1266,0))</f>
        <v/>
      </c>
      <c r="CZ54">
        <f>INDEX('Data_Price '!AI$2:AI$1266,MATCH(Data!$DN54,'Data_Price '!$AT$2:$AT$1266,0))</f>
        <v/>
      </c>
      <c r="DA54">
        <f>INDEX('Data_Price '!AJ$2:AJ$1266,MATCH(Data!$DN54,'Data_Price '!$AT$2:$AT$1266,0))</f>
        <v/>
      </c>
      <c r="DB54">
        <f>INDEX('Data_Price '!AK$2:AK$1266,MATCH(Data!$DN54,'Data_Price '!$AT$2:$AT$1266,0))</f>
        <v/>
      </c>
      <c r="DC54">
        <f>INDEX('Data_Price '!AL$2:AL$1266,MATCH(Data!$DN54,'Data_Price '!$AT$2:$AT$1266,0))</f>
        <v/>
      </c>
      <c r="DD54">
        <f>INDEX('Data_Price '!AM$2:AM$1266,MATCH(Data!$DN54,'Data_Price '!$AT$2:$AT$1266,0))</f>
        <v/>
      </c>
      <c r="DE54">
        <f>INDEX('Data_Price '!AN$2:AN$1266,MATCH(Data!$DN54,'Data_Price '!$AT$2:$AT$1266,0))</f>
        <v/>
      </c>
      <c r="DF54">
        <f>INDEX('Data_Price '!AO$2:AO$1266,MATCH(Data!$DN54,'Data_Price '!$AT$2:$AT$1266,0))</f>
        <v/>
      </c>
      <c r="DG54">
        <f>INDEX('Data_Price '!AP$2:AP$1266,MATCH(Data!$DN54,'Data_Price '!$AT$2:$AT$1266,0))</f>
        <v/>
      </c>
      <c r="DH54">
        <f>INDEX('Data_Price '!AQ$2:AQ$1266,MATCH(Data!$DN54,'Data_Price '!$AT$2:$AT$1266,0))</f>
        <v/>
      </c>
      <c r="DI54">
        <f>INDEX('Data_Price '!AR$2:AR$1266,MATCH(Data!$DN54,'Data_Price '!$AT$2:$AT$1266,0))</f>
        <v/>
      </c>
      <c r="DJ54" s="138">
        <f>DA54</f>
        <v/>
      </c>
      <c r="DK54" s="138">
        <f>DE54</f>
        <v/>
      </c>
      <c r="DL54" s="138">
        <f>DI54</f>
        <v/>
      </c>
      <c r="DM54" s="303">
        <f>IF(LEFT(BT54,1)=" ",RIGHT(BT54,LEN(BT54)-1),BT54)</f>
        <v/>
      </c>
      <c r="DN54" s="138">
        <f>_xlfn.CONCAT(BS54,DM54,BU54,BV54)</f>
        <v/>
      </c>
      <c r="DO54" s="307" t="inlineStr">
        <is>
          <t>https://images.evo.com/imgp/250/164661/659376/black-crows-navis-freebird-skis-2022-.jpg</t>
        </is>
      </c>
    </row>
    <row r="55" ht="15.6" customHeight="1" s="184">
      <c r="B55" s="303">
        <f t="array" ref="B55">IF(OR(ISERROR(K55:P55)),FALSE,TRUE)</f>
        <v/>
      </c>
      <c r="C55" s="60">
        <f>OR(BR55=Driver!$G$50,Data!BR628=Driver!$H$50)</f>
        <v/>
      </c>
      <c r="D55" s="60">
        <f>OR(BV55=Driver!$G$51,BV55=Driver!$H$51)</f>
        <v/>
      </c>
      <c r="E55" s="60">
        <f>AND(BX55&gt;Driver!$F$54,BX55&lt;Driver!$G$54)</f>
        <v/>
      </c>
      <c r="F55" s="60">
        <f>CL55&gt;Driver!$F$56</f>
        <v/>
      </c>
      <c r="G55" s="60">
        <f>AND(CB55&gt;Driver!$F$55,CB55&lt;Driver!$G$55)</f>
        <v/>
      </c>
      <c r="H55" s="60">
        <f>AND(B55:G55)</f>
        <v/>
      </c>
      <c r="I55" s="60">
        <f>COUNTIFS($H$9:$H$1273,TRUE,$BT$9:$BT$1273,BT55)</f>
        <v/>
      </c>
      <c r="J55" s="60">
        <f t="array" ref="J55">NOT(OR(($H$9:$H$1273=TRUE)*($I$9:$I$1273&gt;0)*($BT$9:$BT$1273=BT55)*($K$9:$K$1273&gt;K55)))</f>
        <v/>
      </c>
      <c r="K55" s="108">
        <f>IFERROR(1-AVERAGE(X55:Y55),"")</f>
        <v/>
      </c>
      <c r="L55" s="108">
        <f>1-X55</f>
        <v/>
      </c>
      <c r="M55" s="108">
        <f>1-Y55</f>
        <v/>
      </c>
      <c r="N55" s="108">
        <f>1-Z55</f>
        <v/>
      </c>
      <c r="O55" s="108">
        <f>1-AA55</f>
        <v/>
      </c>
      <c r="P55" s="108">
        <f>1-AB55</f>
        <v/>
      </c>
      <c r="Q55" s="108" t="n"/>
      <c r="R55" s="108" t="n"/>
      <c r="S55" s="108">
        <f>1-AE55</f>
        <v/>
      </c>
      <c r="T55" s="108">
        <f>1-AF55</f>
        <v/>
      </c>
      <c r="U55" s="108">
        <f>1-AG55</f>
        <v/>
      </c>
      <c r="V55" s="108">
        <f>1-AH55</f>
        <v/>
      </c>
      <c r="W55" s="108">
        <f>1-AI55</f>
        <v/>
      </c>
      <c r="X55" s="108">
        <f>ABS(AJ55-AJ$1)</f>
        <v/>
      </c>
      <c r="Y55" s="108">
        <f>AVERAGE(Z55:AB55)</f>
        <v/>
      </c>
      <c r="Z55" s="108">
        <f>ABS(AL55-AL$1)</f>
        <v/>
      </c>
      <c r="AA55" s="108">
        <f>ABS(AM55-AM$1)</f>
        <v/>
      </c>
      <c r="AB55" s="108">
        <f>ABS(AN55-AN$1)</f>
        <v/>
      </c>
      <c r="AC55" s="108" t="n"/>
      <c r="AD55" s="108" t="n"/>
      <c r="AE55" s="108">
        <f>ABS(AQ$1-AQ55)</f>
        <v/>
      </c>
      <c r="AF55" s="108">
        <f>ABS(AR$1-AR55)</f>
        <v/>
      </c>
      <c r="AG55" s="108">
        <f>ABS(AS$1-AS55)</f>
        <v/>
      </c>
      <c r="AH55" s="108">
        <f>ABS(AT$1-AT55)</f>
        <v/>
      </c>
      <c r="AI55" s="108">
        <f>ABS(AU$1-AU55)</f>
        <v/>
      </c>
      <c r="AJ55" s="108">
        <f>(AV55-Driver!$K$179)/(Driver!$L$179-Driver!$K$179)</f>
        <v/>
      </c>
      <c r="AK55" s="108">
        <f>(AW55-Driver!$K$180)/(Driver!$L$180-Driver!$K$180)</f>
        <v/>
      </c>
      <c r="AL55" s="108">
        <f>(AX55-Driver!$K$181)/(Driver!$L$181-Driver!$K$181)</f>
        <v/>
      </c>
      <c r="AM55" s="108">
        <f>(AY55-Driver!$K$182)/(Driver!$L$182-Driver!$K$182)</f>
        <v/>
      </c>
      <c r="AN55" s="108">
        <f>(AZ55-Driver!$K$183)/(Driver!$L$183-Driver!$K$183)</f>
        <v/>
      </c>
      <c r="AO55" s="108" t="n"/>
      <c r="AP55" s="108" t="n"/>
      <c r="AQ55" s="108">
        <f>(BC55-Driver!$K$188)/(Driver!$L$188-Driver!$K$188)</f>
        <v/>
      </c>
      <c r="AR55" s="108">
        <f>MIN((BD55-Driver!$K$189)/(Driver!$L$189-Driver!$K$189),100%)</f>
        <v/>
      </c>
      <c r="AS55" s="108">
        <f>(BE55-Driver!$K$190)/(Driver!$L$190-Driver!$K$190)</f>
        <v/>
      </c>
      <c r="AT55" s="108">
        <f>(BF55-Driver!$K$191)/(Driver!$L$191-Driver!$K$191)</f>
        <v/>
      </c>
      <c r="AU55" s="108">
        <f>(BG55-Driver!$K$192)/(Driver!$L$192-Driver!$K$192)</f>
        <v/>
      </c>
      <c r="AV55" s="105">
        <f>IFERROR(BM55*BJ55^1/4,"")</f>
        <v/>
      </c>
      <c r="AW55" s="105">
        <f>IFERROR(SUM(AX55:AZ55),"")</f>
        <v/>
      </c>
      <c r="AX55" s="105">
        <f>IFERROR(BH55,"")</f>
        <v/>
      </c>
      <c r="AY55" s="105">
        <f>IFERROR(Driver!$K$19/Data!BH55/Data!BI55*Data!BK55*Data!BL55,"")</f>
        <v/>
      </c>
      <c r="AZ55" s="105">
        <f>IFERROR(BI55*BN55,"")</f>
        <v/>
      </c>
      <c r="BA55" s="105" t="n"/>
      <c r="BB55" s="105" t="n"/>
      <c r="BC55" s="105">
        <f>IFERROR(BI55*BN55*BK55/BJ55^(1/2),"")</f>
        <v/>
      </c>
      <c r="BD55" s="105">
        <f>IFERROR(BH55*BM55*BL55/BJ55/BK55,"")</f>
        <v/>
      </c>
      <c r="BE55" s="105">
        <f>IFERROR(MIN(BI55/BQ55/BP55/BO55/BH55,$BE$1),"")</f>
        <v/>
      </c>
      <c r="BF55" s="105">
        <f>IFERROR(BJ55*BO55*BP55/BK55,"")</f>
        <v/>
      </c>
      <c r="BG55" s="105">
        <f>IFERROR(1/BM55/BH55*BQ55,"")</f>
        <v/>
      </c>
      <c r="BH55" s="102">
        <f>MAX((CE55-Driver!$F$200)/(Driver!$G$200-Driver!$F$200)*$BI$1,1)</f>
        <v/>
      </c>
      <c r="BI55" s="102">
        <f>MAX($BI$1*(BY55-Driver!$F$201)/(Driver!$G$201-Driver!$F$201),1)</f>
        <v/>
      </c>
      <c r="BJ55" s="102">
        <f>(CB55-Driver!$F$206)/(Driver!$G$206-Driver!$F$206)*$BI$1</f>
        <v/>
      </c>
      <c r="BK55" s="102">
        <f>(CD55-Driver!$F$203)/(Driver!$G$203-Driver!$F$203)*$BI$1</f>
        <v/>
      </c>
      <c r="BL55" s="102">
        <f>MAX((CR55-Driver!$F$202)/(Driver!$G$202-Driver!$F$202)*$BI$1,1)</f>
        <v/>
      </c>
      <c r="BM55" s="102">
        <f>MAX((CH55-Driver!$F$204)/(Driver!$G$204-Driver!$F$204)*$BI$1,1)</f>
        <v/>
      </c>
      <c r="BN55" s="102">
        <f>(CI55-Driver!$F$205)/(Driver!$G$205-Driver!$F$205)*$BI$1</f>
        <v/>
      </c>
      <c r="BO55" s="102">
        <f>(CK55-Driver!$F$207)/(Driver!$G$207-Driver!$F$207)*$BI$1</f>
        <v/>
      </c>
      <c r="BP55" s="102">
        <f>(CM55-Driver!$F$208)/(Driver!$G$208-Driver!$F$208)*$BI$1</f>
        <v/>
      </c>
      <c r="BQ55" s="102">
        <f>(CL55-Driver!$F$209)/(Driver!$G$209-Driver!$F$209)*$BI$1</f>
        <v/>
      </c>
      <c r="BR55" s="40" t="inlineStr">
        <is>
          <t>21/22</t>
        </is>
      </c>
      <c r="BS55" s="10" t="inlineStr">
        <is>
          <t xml:space="preserve"> Head</t>
        </is>
      </c>
      <c r="BT55" s="11" t="inlineStr">
        <is>
          <t>Kore 99</t>
        </is>
      </c>
      <c r="BU55" s="13" t="n">
        <v>163</v>
      </c>
      <c r="BV55" s="11" t="inlineStr">
        <is>
          <t xml:space="preserve"> Unisex</t>
        </is>
      </c>
      <c r="BW55" s="13" t="n">
        <v>163</v>
      </c>
      <c r="BX55" s="13" t="n">
        <v>162.6</v>
      </c>
      <c r="BY55" s="13" t="n">
        <v>126</v>
      </c>
      <c r="BZ55" s="13" t="n">
        <v>130</v>
      </c>
      <c r="CA55" s="13" t="n">
        <v>127</v>
      </c>
      <c r="CB55" s="13" t="n">
        <v>94</v>
      </c>
      <c r="CC55" s="13" t="n">
        <v>114</v>
      </c>
      <c r="CD55" s="13" t="n">
        <v>14.4</v>
      </c>
      <c r="CE55" s="13" t="n">
        <v>1515</v>
      </c>
      <c r="CF55" s="13" t="n">
        <v>1.13</v>
      </c>
      <c r="CG55" s="13" t="n">
        <v>1718</v>
      </c>
      <c r="CH55" s="13" t="n">
        <v>198</v>
      </c>
      <c r="CI55" s="13" t="n">
        <v>100</v>
      </c>
      <c r="CJ55" s="13" t="n">
        <v>49</v>
      </c>
      <c r="CK55" s="13" t="n">
        <v>237</v>
      </c>
      <c r="CL55" s="13" t="n">
        <v>11</v>
      </c>
      <c r="CM55" s="13" t="n">
        <v>134</v>
      </c>
      <c r="CN55" s="13" t="n">
        <v>0.219</v>
      </c>
      <c r="CO55" s="13" t="n">
        <v>179</v>
      </c>
      <c r="CP55" s="13" t="n">
        <v>142</v>
      </c>
      <c r="CQ55" s="13" t="n">
        <v>58</v>
      </c>
      <c r="CR55" s="13" t="n">
        <v>7</v>
      </c>
      <c r="CS55" s="13" t="n">
        <v>8.9</v>
      </c>
      <c r="CT55" s="11" t="inlineStr">
        <is>
          <t xml:space="preserve"> Resort Freeride</t>
        </is>
      </c>
      <c r="CU55" s="11" t="inlineStr">
        <is>
          <t xml:space="preserve"> Touring</t>
        </is>
      </c>
      <c r="CV55" s="13" t="n"/>
      <c r="CW55" s="13" t="n"/>
      <c r="CX55">
        <f>INDEX('Data_Price '!AG$2:AG$1266,MATCH(Data!$DN55,'Data_Price '!$AT$2:$AT$1266,0))</f>
        <v/>
      </c>
      <c r="CY55">
        <f>INDEX('Data_Price '!AH$2:AH$1266,MATCH(Data!$DN55,'Data_Price '!$AT$2:$AT$1266,0))</f>
        <v/>
      </c>
      <c r="CZ55">
        <f>INDEX('Data_Price '!AI$2:AI$1266,MATCH(Data!$DN55,'Data_Price '!$AT$2:$AT$1266,0))</f>
        <v/>
      </c>
      <c r="DA55">
        <f>INDEX('Data_Price '!AJ$2:AJ$1266,MATCH(Data!$DN55,'Data_Price '!$AT$2:$AT$1266,0))</f>
        <v/>
      </c>
      <c r="DB55">
        <f>INDEX('Data_Price '!AK$2:AK$1266,MATCH(Data!$DN55,'Data_Price '!$AT$2:$AT$1266,0))</f>
        <v/>
      </c>
      <c r="DC55">
        <f>INDEX('Data_Price '!AL$2:AL$1266,MATCH(Data!$DN55,'Data_Price '!$AT$2:$AT$1266,0))</f>
        <v/>
      </c>
      <c r="DD55">
        <f>INDEX('Data_Price '!AM$2:AM$1266,MATCH(Data!$DN55,'Data_Price '!$AT$2:$AT$1266,0))</f>
        <v/>
      </c>
      <c r="DE55">
        <f>INDEX('Data_Price '!AN$2:AN$1266,MATCH(Data!$DN55,'Data_Price '!$AT$2:$AT$1266,0))</f>
        <v/>
      </c>
      <c r="DF55">
        <f>INDEX('Data_Price '!AO$2:AO$1266,MATCH(Data!$DN55,'Data_Price '!$AT$2:$AT$1266,0))</f>
        <v/>
      </c>
      <c r="DG55">
        <f>INDEX('Data_Price '!AP$2:AP$1266,MATCH(Data!$DN55,'Data_Price '!$AT$2:$AT$1266,0))</f>
        <v/>
      </c>
      <c r="DH55">
        <f>INDEX('Data_Price '!AQ$2:AQ$1266,MATCH(Data!$DN55,'Data_Price '!$AT$2:$AT$1266,0))</f>
        <v/>
      </c>
      <c r="DI55">
        <f>INDEX('Data_Price '!AR$2:AR$1266,MATCH(Data!$DN55,'Data_Price '!$AT$2:$AT$1266,0))</f>
        <v/>
      </c>
      <c r="DJ55" s="138">
        <f>DA55</f>
        <v/>
      </c>
      <c r="DK55" s="138">
        <f>DE55</f>
        <v/>
      </c>
      <c r="DL55" s="138">
        <f>DI55</f>
        <v/>
      </c>
      <c r="DM55" s="303">
        <f>IF(LEFT(BT55,1)=" ",RIGHT(BT55,LEN(BT55)-1),BT55)</f>
        <v/>
      </c>
      <c r="DN55" s="138">
        <f>_xlfn.CONCAT(BS55,DM55,BU55,BV55)</f>
        <v/>
      </c>
      <c r="DO55" s="307" t="inlineStr">
        <is>
          <t>https://images.evo.com/imgp/250/208272/832641/clone.jpg</t>
        </is>
      </c>
    </row>
    <row r="56" ht="15.6" customHeight="1" s="184">
      <c r="B56" s="303">
        <f t="array" ref="B56">IF(OR(ISERROR(K56:P56)),FALSE,TRUE)</f>
        <v/>
      </c>
      <c r="C56" s="60">
        <f>OR(BR56=Driver!$G$50,Data!BR506=Driver!$H$50)</f>
        <v/>
      </c>
      <c r="D56" s="60">
        <f>OR(BV56=Driver!$G$51,BV56=Driver!$H$51)</f>
        <v/>
      </c>
      <c r="E56" s="60">
        <f>AND(BX56&gt;Driver!$F$54,BX56&lt;Driver!$G$54)</f>
        <v/>
      </c>
      <c r="F56" s="60">
        <f>CL56&gt;Driver!$F$56</f>
        <v/>
      </c>
      <c r="G56" s="60">
        <f>AND(CB56&gt;Driver!$F$55,CB56&lt;Driver!$G$55)</f>
        <v/>
      </c>
      <c r="H56" s="60">
        <f>AND(B56:G56)</f>
        <v/>
      </c>
      <c r="I56" s="60">
        <f>COUNTIFS($H$9:$H$1273,TRUE,$BT$9:$BT$1273,BT56)</f>
        <v/>
      </c>
      <c r="J56" s="60">
        <f t="array" ref="J56">NOT(OR(($H$9:$H$1273=TRUE)*($I$9:$I$1273&gt;0)*($BT$9:$BT$1273=BT56)*($K$9:$K$1273&gt;K56)))</f>
        <v/>
      </c>
      <c r="K56" s="108">
        <f>IFERROR(1-AVERAGE(X56:Y56),"")</f>
        <v/>
      </c>
      <c r="L56" s="108">
        <f>1-X56</f>
        <v/>
      </c>
      <c r="M56" s="108">
        <f>1-Y56</f>
        <v/>
      </c>
      <c r="N56" s="108">
        <f>1-Z56</f>
        <v/>
      </c>
      <c r="O56" s="108">
        <f>1-AA56</f>
        <v/>
      </c>
      <c r="P56" s="108">
        <f>1-AB56</f>
        <v/>
      </c>
      <c r="Q56" s="108" t="n"/>
      <c r="R56" s="108" t="n"/>
      <c r="S56" s="108">
        <f>1-AE56</f>
        <v/>
      </c>
      <c r="T56" s="108">
        <f>1-AF56</f>
        <v/>
      </c>
      <c r="U56" s="108">
        <f>1-AG56</f>
        <v/>
      </c>
      <c r="V56" s="108">
        <f>1-AH56</f>
        <v/>
      </c>
      <c r="W56" s="108">
        <f>1-AI56</f>
        <v/>
      </c>
      <c r="X56" s="108">
        <f>ABS(AJ56-AJ$1)</f>
        <v/>
      </c>
      <c r="Y56" s="108">
        <f>AVERAGE(Z56:AB56)</f>
        <v/>
      </c>
      <c r="Z56" s="108">
        <f>ABS(AL56-AL$1)</f>
        <v/>
      </c>
      <c r="AA56" s="108">
        <f>ABS(AM56-AM$1)</f>
        <v/>
      </c>
      <c r="AB56" s="108">
        <f>ABS(AN56-AN$1)</f>
        <v/>
      </c>
      <c r="AC56" s="108" t="n"/>
      <c r="AD56" s="108" t="n"/>
      <c r="AE56" s="108">
        <f>ABS(AQ$1-AQ56)</f>
        <v/>
      </c>
      <c r="AF56" s="108">
        <f>ABS(AR$1-AR56)</f>
        <v/>
      </c>
      <c r="AG56" s="108">
        <f>ABS(AS$1-AS56)</f>
        <v/>
      </c>
      <c r="AH56" s="108">
        <f>ABS(AT$1-AT56)</f>
        <v/>
      </c>
      <c r="AI56" s="108">
        <f>ABS(AU$1-AU56)</f>
        <v/>
      </c>
      <c r="AJ56" s="108">
        <f>(AV56-Driver!$K$179)/(Driver!$L$179-Driver!$K$179)</f>
        <v/>
      </c>
      <c r="AK56" s="108">
        <f>(AW56-Driver!$K$180)/(Driver!$L$180-Driver!$K$180)</f>
        <v/>
      </c>
      <c r="AL56" s="108">
        <f>(AX56-Driver!$K$181)/(Driver!$L$181-Driver!$K$181)</f>
        <v/>
      </c>
      <c r="AM56" s="108">
        <f>(AY56-Driver!$K$182)/(Driver!$L$182-Driver!$K$182)</f>
        <v/>
      </c>
      <c r="AN56" s="108">
        <f>(AZ56-Driver!$K$183)/(Driver!$L$183-Driver!$K$183)</f>
        <v/>
      </c>
      <c r="AO56" s="108" t="n"/>
      <c r="AP56" s="108" t="n"/>
      <c r="AQ56" s="108">
        <f>(BC56-Driver!$K$188)/(Driver!$L$188-Driver!$K$188)</f>
        <v/>
      </c>
      <c r="AR56" s="108">
        <f>MIN((BD56-Driver!$K$189)/(Driver!$L$189-Driver!$K$189),100%)</f>
        <v/>
      </c>
      <c r="AS56" s="108">
        <f>(BE56-Driver!$K$190)/(Driver!$L$190-Driver!$K$190)</f>
        <v/>
      </c>
      <c r="AT56" s="108">
        <f>(BF56-Driver!$K$191)/(Driver!$L$191-Driver!$K$191)</f>
        <v/>
      </c>
      <c r="AU56" s="108">
        <f>(BG56-Driver!$K$192)/(Driver!$L$192-Driver!$K$192)</f>
        <v/>
      </c>
      <c r="AV56" s="105">
        <f>IFERROR(BM56*BJ56^1/4,"")</f>
        <v/>
      </c>
      <c r="AW56" s="105">
        <f>IFERROR(SUM(AX56:AZ56),"")</f>
        <v/>
      </c>
      <c r="AX56" s="105">
        <f>IFERROR(BH56,"")</f>
        <v/>
      </c>
      <c r="AY56" s="105">
        <f>IFERROR(Driver!$K$19/Data!BH56/Data!BI56*Data!BK56*Data!BL56,"")</f>
        <v/>
      </c>
      <c r="AZ56" s="105">
        <f>IFERROR(BI56*BN56,"")</f>
        <v/>
      </c>
      <c r="BA56" s="105" t="n"/>
      <c r="BB56" s="105" t="n"/>
      <c r="BC56" s="105">
        <f>IFERROR(BI56*BN56*BK56/BJ56^(1/2),"")</f>
        <v/>
      </c>
      <c r="BD56" s="105">
        <f>IFERROR(BH56*BM56*BL56/BJ56/BK56,"")</f>
        <v/>
      </c>
      <c r="BE56" s="105">
        <f>IFERROR(MIN(BI56/BQ56/BP56/BO56/BH56,$BE$1),"")</f>
        <v/>
      </c>
      <c r="BF56" s="105">
        <f>IFERROR(BJ56*BO56*BP56/BK56,"")</f>
        <v/>
      </c>
      <c r="BG56" s="105">
        <f>IFERROR(1/BM56/BH56*BQ56,"")</f>
        <v/>
      </c>
      <c r="BH56" s="102">
        <f>MAX((CE56-Driver!$F$200)/(Driver!$G$200-Driver!$F$200)*$BI$1,1)</f>
        <v/>
      </c>
      <c r="BI56" s="102">
        <f>MAX($BI$1*(BY56-Driver!$F$201)/(Driver!$G$201-Driver!$F$201),1)</f>
        <v/>
      </c>
      <c r="BJ56" s="102">
        <f>(CB56-Driver!$F$206)/(Driver!$G$206-Driver!$F$206)*$BI$1</f>
        <v/>
      </c>
      <c r="BK56" s="102">
        <f>(CD56-Driver!$F$203)/(Driver!$G$203-Driver!$F$203)*$BI$1</f>
        <v/>
      </c>
      <c r="BL56" s="102">
        <f>MAX((CR56-Driver!$F$202)/(Driver!$G$202-Driver!$F$202)*$BI$1,1)</f>
        <v/>
      </c>
      <c r="BM56" s="102">
        <f>MAX((CH56-Driver!$F$204)/(Driver!$G$204-Driver!$F$204)*$BI$1,1)</f>
        <v/>
      </c>
      <c r="BN56" s="102">
        <f>(CI56-Driver!$F$205)/(Driver!$G$205-Driver!$F$205)*$BI$1</f>
        <v/>
      </c>
      <c r="BO56" s="102">
        <f>(CK56-Driver!$F$207)/(Driver!$G$207-Driver!$F$207)*$BI$1</f>
        <v/>
      </c>
      <c r="BP56" s="102">
        <f>(CM56-Driver!$F$208)/(Driver!$G$208-Driver!$F$208)*$BI$1</f>
        <v/>
      </c>
      <c r="BQ56" s="102">
        <f>(CL56-Driver!$F$209)/(Driver!$G$209-Driver!$F$209)*$BI$1</f>
        <v/>
      </c>
      <c r="BR56" s="40" t="inlineStr">
        <is>
          <t>21/22</t>
        </is>
      </c>
      <c r="BS56" s="10" t="inlineStr">
        <is>
          <t xml:space="preserve"> Faction</t>
        </is>
      </c>
      <c r="BT56" s="11" t="inlineStr">
        <is>
          <t>CT 3.0</t>
        </is>
      </c>
      <c r="BU56" s="13" t="n">
        <v>178</v>
      </c>
      <c r="BV56" s="11" t="inlineStr">
        <is>
          <t xml:space="preserve"> Unisex</t>
        </is>
      </c>
      <c r="BW56" s="13" t="n">
        <v>178</v>
      </c>
      <c r="BX56" s="13" t="n">
        <v>176.4</v>
      </c>
      <c r="BY56" s="13" t="n">
        <v>111</v>
      </c>
      <c r="BZ56" s="13" t="n">
        <v>147</v>
      </c>
      <c r="CA56" s="13" t="n">
        <v>139</v>
      </c>
      <c r="CB56" s="13" t="n">
        <v>111</v>
      </c>
      <c r="CC56" s="13" t="n">
        <v>133</v>
      </c>
      <c r="CD56" s="13" t="n">
        <v>20</v>
      </c>
      <c r="CE56" s="13" t="n">
        <v>1931</v>
      </c>
      <c r="CF56" s="13" t="n">
        <v>1.1</v>
      </c>
      <c r="CG56" s="13" t="n">
        <v>2119</v>
      </c>
      <c r="CH56" s="13" t="n">
        <v>221</v>
      </c>
      <c r="CI56" s="13" t="n">
        <v>106</v>
      </c>
      <c r="CJ56" s="13" t="n">
        <v>59</v>
      </c>
      <c r="CK56" s="13" t="n">
        <v>346</v>
      </c>
      <c r="CL56" s="13" t="n">
        <v>52</v>
      </c>
      <c r="CM56" s="13" t="n">
        <v>305</v>
      </c>
      <c r="CN56" s="13" t="n">
        <v>0.882</v>
      </c>
      <c r="CO56" s="13" t="n">
        <v>148</v>
      </c>
      <c r="CP56" s="13" t="n">
        <v>147</v>
      </c>
      <c r="CQ56" s="13" t="n">
        <v>198</v>
      </c>
      <c r="CR56" s="13" t="n">
        <v>6</v>
      </c>
      <c r="CS56" s="13" t="n">
        <v>5.6</v>
      </c>
      <c r="CT56" s="11" t="inlineStr">
        <is>
          <t xml:space="preserve"> Freeski</t>
        </is>
      </c>
      <c r="CU56" s="11" t="inlineStr">
        <is>
          <t xml:space="preserve"> Powder</t>
        </is>
      </c>
      <c r="CV56" s="11" t="inlineStr">
        <is>
          <t xml:space="preserve"> Touring</t>
        </is>
      </c>
      <c r="CW56" s="13" t="n"/>
      <c r="CX56">
        <f>INDEX('Data_Price '!AG$2:AG$1266,MATCH(Data!$DN56,'Data_Price '!$AT$2:$AT$1266,0))</f>
        <v/>
      </c>
      <c r="CY56">
        <f>INDEX('Data_Price '!AH$2:AH$1266,MATCH(Data!$DN56,'Data_Price '!$AT$2:$AT$1266,0))</f>
        <v/>
      </c>
      <c r="CZ56">
        <f>INDEX('Data_Price '!AI$2:AI$1266,MATCH(Data!$DN56,'Data_Price '!$AT$2:$AT$1266,0))</f>
        <v/>
      </c>
      <c r="DA56">
        <f>INDEX('Data_Price '!AJ$2:AJ$1266,MATCH(Data!$DN56,'Data_Price '!$AT$2:$AT$1266,0))</f>
        <v/>
      </c>
      <c r="DB56">
        <f>INDEX('Data_Price '!AK$2:AK$1266,MATCH(Data!$DN56,'Data_Price '!$AT$2:$AT$1266,0))</f>
        <v/>
      </c>
      <c r="DC56">
        <f>INDEX('Data_Price '!AL$2:AL$1266,MATCH(Data!$DN56,'Data_Price '!$AT$2:$AT$1266,0))</f>
        <v/>
      </c>
      <c r="DD56">
        <f>INDEX('Data_Price '!AM$2:AM$1266,MATCH(Data!$DN56,'Data_Price '!$AT$2:$AT$1266,0))</f>
        <v/>
      </c>
      <c r="DE56">
        <f>INDEX('Data_Price '!AN$2:AN$1266,MATCH(Data!$DN56,'Data_Price '!$AT$2:$AT$1266,0))</f>
        <v/>
      </c>
      <c r="DF56">
        <f>INDEX('Data_Price '!AO$2:AO$1266,MATCH(Data!$DN56,'Data_Price '!$AT$2:$AT$1266,0))</f>
        <v/>
      </c>
      <c r="DG56">
        <f>INDEX('Data_Price '!AP$2:AP$1266,MATCH(Data!$DN56,'Data_Price '!$AT$2:$AT$1266,0))</f>
        <v/>
      </c>
      <c r="DH56">
        <f>INDEX('Data_Price '!AQ$2:AQ$1266,MATCH(Data!$DN56,'Data_Price '!$AT$2:$AT$1266,0))</f>
        <v/>
      </c>
      <c r="DI56">
        <f>INDEX('Data_Price '!AR$2:AR$1266,MATCH(Data!$DN56,'Data_Price '!$AT$2:$AT$1266,0))</f>
        <v/>
      </c>
      <c r="DJ56" s="138">
        <f>DA56</f>
        <v/>
      </c>
      <c r="DK56" s="138">
        <f>DE56</f>
        <v/>
      </c>
      <c r="DL56" s="138">
        <f>DI56</f>
        <v/>
      </c>
      <c r="DM56" s="303">
        <f>IF(LEFT(BT56,1)=" ",RIGHT(BT56,LEN(BT56)-1),BT56)</f>
        <v/>
      </c>
      <c r="DN56" s="138">
        <f>_xlfn.CONCAT(BS56,DM56,BU56,BV56)</f>
        <v/>
      </c>
      <c r="DO56" s="307" t="inlineStr">
        <is>
          <t>https://images.evo.com/imgp/250/208623/839897/clone.jpg</t>
        </is>
      </c>
    </row>
    <row r="57" ht="15.6" customHeight="1" s="184">
      <c r="B57" s="303">
        <f t="array" ref="B57">IF(OR(ISERROR(K57:P57)),FALSE,TRUE)</f>
        <v/>
      </c>
      <c r="C57" s="60">
        <f>OR(BR57=Driver!$G$50,Data!BR600=Driver!$H$50)</f>
        <v/>
      </c>
      <c r="D57" s="60">
        <f>OR(BV57=Driver!$G$51,BV57=Driver!$H$51)</f>
        <v/>
      </c>
      <c r="E57" s="60">
        <f>AND(BX57&gt;Driver!$F$54,BX57&lt;Driver!$G$54)</f>
        <v/>
      </c>
      <c r="F57" s="60">
        <f>CL57&gt;Driver!$F$56</f>
        <v/>
      </c>
      <c r="G57" s="60">
        <f>AND(CB57&gt;Driver!$F$55,CB57&lt;Driver!$G$55)</f>
        <v/>
      </c>
      <c r="H57" s="60">
        <f>AND(B57:G57)</f>
        <v/>
      </c>
      <c r="I57" s="60">
        <f>COUNTIFS($H$9:$H$1273,TRUE,$BT$9:$BT$1273,BT57)</f>
        <v/>
      </c>
      <c r="J57" s="60">
        <f t="array" ref="J57">NOT(OR(($H$9:$H$1273=TRUE)*($I$9:$I$1273&gt;0)*($BT$9:$BT$1273=BT57)*($K$9:$K$1273&gt;K57)))</f>
        <v/>
      </c>
      <c r="K57" s="108">
        <f>IFERROR(1-AVERAGE(X57:Y57),"")</f>
        <v/>
      </c>
      <c r="L57" s="108">
        <f>1-X57</f>
        <v/>
      </c>
      <c r="M57" s="108">
        <f>1-Y57</f>
        <v/>
      </c>
      <c r="N57" s="108">
        <f>1-Z57</f>
        <v/>
      </c>
      <c r="O57" s="108">
        <f>1-AA57</f>
        <v/>
      </c>
      <c r="P57" s="108">
        <f>1-AB57</f>
        <v/>
      </c>
      <c r="Q57" s="108" t="n"/>
      <c r="R57" s="108" t="n"/>
      <c r="S57" s="108">
        <f>1-AE57</f>
        <v/>
      </c>
      <c r="T57" s="108">
        <f>1-AF57</f>
        <v/>
      </c>
      <c r="U57" s="108">
        <f>1-AG57</f>
        <v/>
      </c>
      <c r="V57" s="108">
        <f>1-AH57</f>
        <v/>
      </c>
      <c r="W57" s="108">
        <f>1-AI57</f>
        <v/>
      </c>
      <c r="X57" s="108">
        <f>ABS(AJ57-AJ$1)</f>
        <v/>
      </c>
      <c r="Y57" s="108">
        <f>AVERAGE(Z57:AB57)</f>
        <v/>
      </c>
      <c r="Z57" s="108">
        <f>ABS(AL57-AL$1)</f>
        <v/>
      </c>
      <c r="AA57" s="108">
        <f>ABS(AM57-AM$1)</f>
        <v/>
      </c>
      <c r="AB57" s="108">
        <f>ABS(AN57-AN$1)</f>
        <v/>
      </c>
      <c r="AC57" s="108" t="n"/>
      <c r="AD57" s="108" t="n"/>
      <c r="AE57" s="108">
        <f>ABS(AQ$1-AQ57)</f>
        <v/>
      </c>
      <c r="AF57" s="108">
        <f>ABS(AR$1-AR57)</f>
        <v/>
      </c>
      <c r="AG57" s="108">
        <f>ABS(AS$1-AS57)</f>
        <v/>
      </c>
      <c r="AH57" s="108">
        <f>ABS(AT$1-AT57)</f>
        <v/>
      </c>
      <c r="AI57" s="108">
        <f>ABS(AU$1-AU57)</f>
        <v/>
      </c>
      <c r="AJ57" s="108">
        <f>(AV57-Driver!$K$179)/(Driver!$L$179-Driver!$K$179)</f>
        <v/>
      </c>
      <c r="AK57" s="108">
        <f>(AW57-Driver!$K$180)/(Driver!$L$180-Driver!$K$180)</f>
        <v/>
      </c>
      <c r="AL57" s="108">
        <f>(AX57-Driver!$K$181)/(Driver!$L$181-Driver!$K$181)</f>
        <v/>
      </c>
      <c r="AM57" s="108">
        <f>(AY57-Driver!$K$182)/(Driver!$L$182-Driver!$K$182)</f>
        <v/>
      </c>
      <c r="AN57" s="108">
        <f>(AZ57-Driver!$K$183)/(Driver!$L$183-Driver!$K$183)</f>
        <v/>
      </c>
      <c r="AO57" s="108" t="n"/>
      <c r="AP57" s="108" t="n"/>
      <c r="AQ57" s="108">
        <f>(BC57-Driver!$K$188)/(Driver!$L$188-Driver!$K$188)</f>
        <v/>
      </c>
      <c r="AR57" s="108">
        <f>MIN((BD57-Driver!$K$189)/(Driver!$L$189-Driver!$K$189),100%)</f>
        <v/>
      </c>
      <c r="AS57" s="108">
        <f>(BE57-Driver!$K$190)/(Driver!$L$190-Driver!$K$190)</f>
        <v/>
      </c>
      <c r="AT57" s="108">
        <f>(BF57-Driver!$K$191)/(Driver!$L$191-Driver!$K$191)</f>
        <v/>
      </c>
      <c r="AU57" s="108">
        <f>(BG57-Driver!$K$192)/(Driver!$L$192-Driver!$K$192)</f>
        <v/>
      </c>
      <c r="AV57" s="105">
        <f>IFERROR(BM57*BJ57^1/4,"")</f>
        <v/>
      </c>
      <c r="AW57" s="105">
        <f>IFERROR(SUM(AX57:AZ57),"")</f>
        <v/>
      </c>
      <c r="AX57" s="105">
        <f>IFERROR(BH57,"")</f>
        <v/>
      </c>
      <c r="AY57" s="105">
        <f>IFERROR(Driver!$K$19/Data!BH57/Data!BI57*Data!BK57*Data!BL57,"")</f>
        <v/>
      </c>
      <c r="AZ57" s="105">
        <f>IFERROR(BI57*BN57,"")</f>
        <v/>
      </c>
      <c r="BA57" s="105" t="n"/>
      <c r="BB57" s="105" t="n"/>
      <c r="BC57" s="105">
        <f>IFERROR(BI57*BN57*BK57/BJ57^(1/2),"")</f>
        <v/>
      </c>
      <c r="BD57" s="105">
        <f>IFERROR(BH57*BM57*BL57/BJ57/BK57,"")</f>
        <v/>
      </c>
      <c r="BE57" s="105">
        <f>IFERROR(MIN(BI57/BQ57/BP57/BO57/BH57,$BE$1),"")</f>
        <v/>
      </c>
      <c r="BF57" s="105">
        <f>IFERROR(BJ57*BO57*BP57/BK57,"")</f>
        <v/>
      </c>
      <c r="BG57" s="105">
        <f>IFERROR(1/BM57/BH57*BQ57,"")</f>
        <v/>
      </c>
      <c r="BH57" s="102">
        <f>MAX((CE57-Driver!$F$200)/(Driver!$G$200-Driver!$F$200)*$BI$1,1)</f>
        <v/>
      </c>
      <c r="BI57" s="102">
        <f>MAX($BI$1*(BY57-Driver!$F$201)/(Driver!$G$201-Driver!$F$201),1)</f>
        <v/>
      </c>
      <c r="BJ57" s="102">
        <f>(CB57-Driver!$F$206)/(Driver!$G$206-Driver!$F$206)*$BI$1</f>
        <v/>
      </c>
      <c r="BK57" s="102">
        <f>(CD57-Driver!$F$203)/(Driver!$G$203-Driver!$F$203)*$BI$1</f>
        <v/>
      </c>
      <c r="BL57" s="102">
        <f>MAX((CR57-Driver!$F$202)/(Driver!$G$202-Driver!$F$202)*$BI$1,1)</f>
        <v/>
      </c>
      <c r="BM57" s="102">
        <f>MAX((CH57-Driver!$F$204)/(Driver!$G$204-Driver!$F$204)*$BI$1,1)</f>
        <v/>
      </c>
      <c r="BN57" s="102">
        <f>(CI57-Driver!$F$205)/(Driver!$G$205-Driver!$F$205)*$BI$1</f>
        <v/>
      </c>
      <c r="BO57" s="102">
        <f>(CK57-Driver!$F$207)/(Driver!$G$207-Driver!$F$207)*$BI$1</f>
        <v/>
      </c>
      <c r="BP57" s="102">
        <f>(CM57-Driver!$F$208)/(Driver!$G$208-Driver!$F$208)*$BI$1</f>
        <v/>
      </c>
      <c r="BQ57" s="102">
        <f>(CL57-Driver!$F$209)/(Driver!$G$209-Driver!$F$209)*$BI$1</f>
        <v/>
      </c>
      <c r="BR57" s="40" t="inlineStr">
        <is>
          <t>21/22</t>
        </is>
      </c>
      <c r="BS57" s="10" t="inlineStr">
        <is>
          <t xml:space="preserve"> Head</t>
        </is>
      </c>
      <c r="BT57" s="11" t="inlineStr">
        <is>
          <t>Kore 105</t>
        </is>
      </c>
      <c r="BU57" s="13" t="n">
        <v>170</v>
      </c>
      <c r="BV57" s="11" t="inlineStr">
        <is>
          <t xml:space="preserve"> Unisex</t>
        </is>
      </c>
      <c r="BW57" s="13" t="n">
        <v>170</v>
      </c>
      <c r="BX57" s="13" t="n">
        <v>170.1</v>
      </c>
      <c r="BY57" s="13" t="n">
        <v>127</v>
      </c>
      <c r="BZ57" s="13" t="n">
        <v>131</v>
      </c>
      <c r="CA57" s="13" t="n">
        <v>128</v>
      </c>
      <c r="CB57" s="13" t="n">
        <v>100</v>
      </c>
      <c r="CC57" s="13" t="n">
        <v>118</v>
      </c>
      <c r="CD57" s="13" t="n">
        <v>15.9</v>
      </c>
      <c r="CE57" s="13" t="n">
        <v>1636</v>
      </c>
      <c r="CF57" s="13" t="n">
        <v>1.15</v>
      </c>
      <c r="CG57" s="13" t="n">
        <v>1875</v>
      </c>
      <c r="CH57" s="13" t="n">
        <v>222</v>
      </c>
      <c r="CI57" s="13" t="n">
        <v>108</v>
      </c>
      <c r="CJ57" s="13" t="n">
        <v>54</v>
      </c>
      <c r="CK57" s="13" t="n">
        <v>253</v>
      </c>
      <c r="CL57" s="13" t="n">
        <v>19</v>
      </c>
      <c r="CM57" s="13" t="n">
        <v>176</v>
      </c>
      <c r="CN57" s="13" t="n">
        <v>0.356</v>
      </c>
      <c r="CO57" s="13" t="n">
        <v>230</v>
      </c>
      <c r="CP57" s="13" t="n">
        <v>161</v>
      </c>
      <c r="CQ57" s="13" t="n">
        <v>23</v>
      </c>
      <c r="CR57" s="13" t="n">
        <v>6</v>
      </c>
      <c r="CS57" s="13" t="n">
        <v>9.800000000000001</v>
      </c>
      <c r="CT57" s="11" t="inlineStr">
        <is>
          <t xml:space="preserve"> Resort Freeride</t>
        </is>
      </c>
      <c r="CU57" s="11" t="inlineStr">
        <is>
          <t xml:space="preserve"> Touring</t>
        </is>
      </c>
      <c r="CV57" s="13" t="n"/>
      <c r="CW57" s="13" t="n"/>
      <c r="CX57">
        <f>INDEX('Data_Price '!AG$2:AG$1266,MATCH(Data!$DN57,'Data_Price '!$AT$2:$AT$1266,0))</f>
        <v/>
      </c>
      <c r="CY57">
        <f>INDEX('Data_Price '!AH$2:AH$1266,MATCH(Data!$DN57,'Data_Price '!$AT$2:$AT$1266,0))</f>
        <v/>
      </c>
      <c r="CZ57">
        <f>INDEX('Data_Price '!AI$2:AI$1266,MATCH(Data!$DN57,'Data_Price '!$AT$2:$AT$1266,0))</f>
        <v/>
      </c>
      <c r="DA57">
        <f>INDEX('Data_Price '!AJ$2:AJ$1266,MATCH(Data!$DN57,'Data_Price '!$AT$2:$AT$1266,0))</f>
        <v/>
      </c>
      <c r="DB57">
        <f>INDEX('Data_Price '!AK$2:AK$1266,MATCH(Data!$DN57,'Data_Price '!$AT$2:$AT$1266,0))</f>
        <v/>
      </c>
      <c r="DC57">
        <f>INDEX('Data_Price '!AL$2:AL$1266,MATCH(Data!$DN57,'Data_Price '!$AT$2:$AT$1266,0))</f>
        <v/>
      </c>
      <c r="DD57">
        <f>INDEX('Data_Price '!AM$2:AM$1266,MATCH(Data!$DN57,'Data_Price '!$AT$2:$AT$1266,0))</f>
        <v/>
      </c>
      <c r="DE57">
        <f>INDEX('Data_Price '!AN$2:AN$1266,MATCH(Data!$DN57,'Data_Price '!$AT$2:$AT$1266,0))</f>
        <v/>
      </c>
      <c r="DF57">
        <f>INDEX('Data_Price '!AO$2:AO$1266,MATCH(Data!$DN57,'Data_Price '!$AT$2:$AT$1266,0))</f>
        <v/>
      </c>
      <c r="DG57">
        <f>INDEX('Data_Price '!AP$2:AP$1266,MATCH(Data!$DN57,'Data_Price '!$AT$2:$AT$1266,0))</f>
        <v/>
      </c>
      <c r="DH57">
        <f>INDEX('Data_Price '!AQ$2:AQ$1266,MATCH(Data!$DN57,'Data_Price '!$AT$2:$AT$1266,0))</f>
        <v/>
      </c>
      <c r="DI57">
        <f>INDEX('Data_Price '!AR$2:AR$1266,MATCH(Data!$DN57,'Data_Price '!$AT$2:$AT$1266,0))</f>
        <v/>
      </c>
      <c r="DJ57" s="138">
        <f>DA57</f>
        <v/>
      </c>
      <c r="DK57" s="138">
        <f>DE57</f>
        <v/>
      </c>
      <c r="DL57" s="138">
        <f>DI57</f>
        <v/>
      </c>
      <c r="DM57" s="303">
        <f>IF(LEFT(BT57,1)=" ",RIGHT(BT57,LEN(BT57)-1),BT57)</f>
        <v/>
      </c>
      <c r="DN57" s="138">
        <f>_xlfn.CONCAT(BS57,DM57,BU57,BV57)</f>
        <v/>
      </c>
      <c r="DO57" s="307" t="inlineStr">
        <is>
          <t>https://images.evo.com/imgp/250/208271/832640/head-kore-105-skis-2022-.jpg</t>
        </is>
      </c>
    </row>
    <row r="58" ht="15.6" customHeight="1" s="184">
      <c r="B58" s="303">
        <f t="array" ref="B58">IF(OR(ISERROR(K58:P58)),FALSE,TRUE)</f>
        <v/>
      </c>
      <c r="C58" s="60">
        <f>OR(BR58=Driver!$G$50,Data!BR87=Driver!$H$50)</f>
        <v/>
      </c>
      <c r="D58" s="60">
        <f>OR(BV58=Driver!$G$51,BV58=Driver!$H$51)</f>
        <v/>
      </c>
      <c r="E58" s="60">
        <f>AND(BX58&gt;Driver!$F$54,BX58&lt;Driver!$G$54)</f>
        <v/>
      </c>
      <c r="F58" s="60">
        <f>CL58&gt;Driver!$F$56</f>
        <v/>
      </c>
      <c r="G58" s="60">
        <f>AND(CB58&gt;Driver!$F$55,CB58&lt;Driver!$G$55)</f>
        <v/>
      </c>
      <c r="H58" s="60">
        <f>AND(B58:G58)</f>
        <v/>
      </c>
      <c r="I58" s="60">
        <f>COUNTIFS($H$9:$H$1273,TRUE,$BT$9:$BT$1273,BT58)</f>
        <v/>
      </c>
      <c r="J58" s="60">
        <f t="array" ref="J58">NOT(OR(($H$9:$H$1273=TRUE)*($I$9:$I$1273&gt;0)*($BT$9:$BT$1273=BT58)*($K$9:$K$1273&gt;K58)))</f>
        <v/>
      </c>
      <c r="K58" s="108">
        <f>IFERROR(1-AVERAGE(X58:Y58),"")</f>
        <v/>
      </c>
      <c r="L58" s="108">
        <f>1-X58</f>
        <v/>
      </c>
      <c r="M58" s="108">
        <f>1-Y58</f>
        <v/>
      </c>
      <c r="N58" s="108">
        <f>1-Z58</f>
        <v/>
      </c>
      <c r="O58" s="108">
        <f>1-AA58</f>
        <v/>
      </c>
      <c r="P58" s="108">
        <f>1-AB58</f>
        <v/>
      </c>
      <c r="Q58" s="108" t="n"/>
      <c r="R58" s="108" t="n"/>
      <c r="S58" s="108">
        <f>1-AE58</f>
        <v/>
      </c>
      <c r="T58" s="108">
        <f>1-AF58</f>
        <v/>
      </c>
      <c r="U58" s="108">
        <f>1-AG58</f>
        <v/>
      </c>
      <c r="V58" s="108">
        <f>1-AH58</f>
        <v/>
      </c>
      <c r="W58" s="108">
        <f>1-AI58</f>
        <v/>
      </c>
      <c r="X58" s="108">
        <f>ABS(AJ58-AJ$1)</f>
        <v/>
      </c>
      <c r="Y58" s="108">
        <f>AVERAGE(Z58:AB58)</f>
        <v/>
      </c>
      <c r="Z58" s="108">
        <f>ABS(AL58-AL$1)</f>
        <v/>
      </c>
      <c r="AA58" s="108">
        <f>ABS(AM58-AM$1)</f>
        <v/>
      </c>
      <c r="AB58" s="108">
        <f>ABS(AN58-AN$1)</f>
        <v/>
      </c>
      <c r="AC58" s="108" t="n"/>
      <c r="AD58" s="108" t="n"/>
      <c r="AE58" s="108">
        <f>ABS(AQ$1-AQ58)</f>
        <v/>
      </c>
      <c r="AF58" s="108">
        <f>ABS(AR$1-AR58)</f>
        <v/>
      </c>
      <c r="AG58" s="108">
        <f>ABS(AS$1-AS58)</f>
        <v/>
      </c>
      <c r="AH58" s="108">
        <f>ABS(AT$1-AT58)</f>
        <v/>
      </c>
      <c r="AI58" s="108">
        <f>ABS(AU$1-AU58)</f>
        <v/>
      </c>
      <c r="AJ58" s="108">
        <f>(AV58-Driver!$K$179)/(Driver!$L$179-Driver!$K$179)</f>
        <v/>
      </c>
      <c r="AK58" s="108">
        <f>(AW58-Driver!$K$180)/(Driver!$L$180-Driver!$K$180)</f>
        <v/>
      </c>
      <c r="AL58" s="108">
        <f>(AX58-Driver!$K$181)/(Driver!$L$181-Driver!$K$181)</f>
        <v/>
      </c>
      <c r="AM58" s="108">
        <f>(AY58-Driver!$K$182)/(Driver!$L$182-Driver!$K$182)</f>
        <v/>
      </c>
      <c r="AN58" s="108">
        <f>(AZ58-Driver!$K$183)/(Driver!$L$183-Driver!$K$183)</f>
        <v/>
      </c>
      <c r="AO58" s="108" t="n"/>
      <c r="AP58" s="108" t="n"/>
      <c r="AQ58" s="108">
        <f>(BC58-Driver!$K$188)/(Driver!$L$188-Driver!$K$188)</f>
        <v/>
      </c>
      <c r="AR58" s="108">
        <f>MIN((BD58-Driver!$K$189)/(Driver!$L$189-Driver!$K$189),100%)</f>
        <v/>
      </c>
      <c r="AS58" s="108">
        <f>(BE58-Driver!$K$190)/(Driver!$L$190-Driver!$K$190)</f>
        <v/>
      </c>
      <c r="AT58" s="108">
        <f>(BF58-Driver!$K$191)/(Driver!$L$191-Driver!$K$191)</f>
        <v/>
      </c>
      <c r="AU58" s="108">
        <f>(BG58-Driver!$K$192)/(Driver!$L$192-Driver!$K$192)</f>
        <v/>
      </c>
      <c r="AV58" s="105">
        <f>IFERROR(BM58*BJ58^1/4,"")</f>
        <v/>
      </c>
      <c r="AW58" s="105">
        <f>IFERROR(SUM(AX58:AZ58),"")</f>
        <v/>
      </c>
      <c r="AX58" s="105">
        <f>IFERROR(BH58,"")</f>
        <v/>
      </c>
      <c r="AY58" s="105">
        <f>IFERROR(Driver!$K$19/Data!BH58/Data!BI58*Data!BK58*Data!BL58,"")</f>
        <v/>
      </c>
      <c r="AZ58" s="105">
        <f>IFERROR(BI58*BN58,"")</f>
        <v/>
      </c>
      <c r="BA58" s="105" t="n"/>
      <c r="BB58" s="105" t="n"/>
      <c r="BC58" s="105">
        <f>IFERROR(BI58*BN58*BK58/BJ58^(1/2),"")</f>
        <v/>
      </c>
      <c r="BD58" s="105">
        <f>IFERROR(BH58*BM58*BL58/BJ58/BK58,"")</f>
        <v/>
      </c>
      <c r="BE58" s="105">
        <f>IFERROR(MIN(BI58/BQ58/BP58/BO58/BH58,$BE$1),"")</f>
        <v/>
      </c>
      <c r="BF58" s="105">
        <f>IFERROR(BJ58*BO58*BP58/BK58,"")</f>
        <v/>
      </c>
      <c r="BG58" s="105">
        <f>IFERROR(1/BM58/BH58*BQ58,"")</f>
        <v/>
      </c>
      <c r="BH58" s="102">
        <f>MAX((CE58-Driver!$F$200)/(Driver!$G$200-Driver!$F$200)*$BI$1,1)</f>
        <v/>
      </c>
      <c r="BI58" s="102">
        <f>MAX($BI$1*(BY58-Driver!$F$201)/(Driver!$G$201-Driver!$F$201),1)</f>
        <v/>
      </c>
      <c r="BJ58" s="102">
        <f>(CB58-Driver!$F$206)/(Driver!$G$206-Driver!$F$206)*$BI$1</f>
        <v/>
      </c>
      <c r="BK58" s="102">
        <f>(CD58-Driver!$F$203)/(Driver!$G$203-Driver!$F$203)*$BI$1</f>
        <v/>
      </c>
      <c r="BL58" s="102">
        <f>MAX((CR58-Driver!$F$202)/(Driver!$G$202-Driver!$F$202)*$BI$1,1)</f>
        <v/>
      </c>
      <c r="BM58" s="102">
        <f>MAX((CH58-Driver!$F$204)/(Driver!$G$204-Driver!$F$204)*$BI$1,1)</f>
        <v/>
      </c>
      <c r="BN58" s="102">
        <f>(CI58-Driver!$F$205)/(Driver!$G$205-Driver!$F$205)*$BI$1</f>
        <v/>
      </c>
      <c r="BO58" s="102">
        <f>(CK58-Driver!$F$207)/(Driver!$G$207-Driver!$F$207)*$BI$1</f>
        <v/>
      </c>
      <c r="BP58" s="102">
        <f>(CM58-Driver!$F$208)/(Driver!$G$208-Driver!$F$208)*$BI$1</f>
        <v/>
      </c>
      <c r="BQ58" s="102">
        <f>(CL58-Driver!$F$209)/(Driver!$G$209-Driver!$F$209)*$BI$1</f>
        <v/>
      </c>
      <c r="BR58" s="40" t="inlineStr">
        <is>
          <t>21/22</t>
        </is>
      </c>
      <c r="BS58" s="10" t="inlineStr">
        <is>
          <t xml:space="preserve"> Armada</t>
        </is>
      </c>
      <c r="BT58" s="11" t="inlineStr">
        <is>
          <t>Reliance 88 Ca</t>
        </is>
      </c>
      <c r="BU58" s="13" t="n">
        <v>160</v>
      </c>
      <c r="BV58" s="11" t="inlineStr">
        <is>
          <t xml:space="preserve"> Women's</t>
        </is>
      </c>
      <c r="BW58" s="13" t="n">
        <v>160</v>
      </c>
      <c r="BX58" s="13" t="n">
        <v>159.5</v>
      </c>
      <c r="BY58" s="13" t="n">
        <v>132</v>
      </c>
      <c r="BZ58" s="13" t="n">
        <v>142</v>
      </c>
      <c r="CA58" s="13" t="n">
        <v>127</v>
      </c>
      <c r="CB58" s="13" t="n">
        <v>87</v>
      </c>
      <c r="CC58" s="13" t="n">
        <v>109</v>
      </c>
      <c r="CD58" s="13" t="n">
        <v>16.3</v>
      </c>
      <c r="CE58" s="13" t="n">
        <v>1478</v>
      </c>
      <c r="CF58" s="13" t="n">
        <v>1.06</v>
      </c>
      <c r="CG58" s="13" t="n">
        <v>1574</v>
      </c>
      <c r="CH58" s="13" t="n">
        <v>222</v>
      </c>
      <c r="CI58" s="13" t="n">
        <v>104</v>
      </c>
      <c r="CJ58" s="13" t="n">
        <v>39</v>
      </c>
      <c r="CK58" s="13" t="n">
        <v>172</v>
      </c>
      <c r="CL58" s="13" t="n">
        <v>10</v>
      </c>
      <c r="CM58" s="13" t="n">
        <v>100</v>
      </c>
      <c r="CN58" s="13" t="n">
        <v>0.245</v>
      </c>
      <c r="CO58" s="13" t="n">
        <v>112</v>
      </c>
      <c r="CP58" s="13" t="n">
        <v>62</v>
      </c>
      <c r="CQ58" s="13" t="n">
        <v>60</v>
      </c>
      <c r="CR58" s="13" t="n">
        <v>5</v>
      </c>
      <c r="CS58" s="13" t="n">
        <v>11.4</v>
      </c>
      <c r="CT58" s="11" t="inlineStr">
        <is>
          <t xml:space="preserve"> Resort Freeride</t>
        </is>
      </c>
      <c r="CU58" s="11" t="inlineStr">
        <is>
          <t xml:space="preserve"> Touring</t>
        </is>
      </c>
      <c r="CV58" s="13" t="n"/>
      <c r="CW58" s="13" t="n"/>
      <c r="CX58">
        <f>INDEX('Data_Price '!AG$2:AG$1266,MATCH(Data!$DN58,'Data_Price '!$AT$2:$AT$1266,0))</f>
        <v/>
      </c>
      <c r="CY58">
        <f>INDEX('Data_Price '!AH$2:AH$1266,MATCH(Data!$DN58,'Data_Price '!$AT$2:$AT$1266,0))</f>
        <v/>
      </c>
      <c r="CZ58">
        <f>INDEX('Data_Price '!AI$2:AI$1266,MATCH(Data!$DN58,'Data_Price '!$AT$2:$AT$1266,0))</f>
        <v/>
      </c>
      <c r="DA58">
        <f>INDEX('Data_Price '!AJ$2:AJ$1266,MATCH(Data!$DN58,'Data_Price '!$AT$2:$AT$1266,0))</f>
        <v/>
      </c>
      <c r="DB58">
        <f>INDEX('Data_Price '!AK$2:AK$1266,MATCH(Data!$DN58,'Data_Price '!$AT$2:$AT$1266,0))</f>
        <v/>
      </c>
      <c r="DC58">
        <f>INDEX('Data_Price '!AL$2:AL$1266,MATCH(Data!$DN58,'Data_Price '!$AT$2:$AT$1266,0))</f>
        <v/>
      </c>
      <c r="DD58">
        <f>INDEX('Data_Price '!AM$2:AM$1266,MATCH(Data!$DN58,'Data_Price '!$AT$2:$AT$1266,0))</f>
        <v/>
      </c>
      <c r="DE58">
        <f>INDEX('Data_Price '!AN$2:AN$1266,MATCH(Data!$DN58,'Data_Price '!$AT$2:$AT$1266,0))</f>
        <v/>
      </c>
      <c r="DF58">
        <f>INDEX('Data_Price '!AO$2:AO$1266,MATCH(Data!$DN58,'Data_Price '!$AT$2:$AT$1266,0))</f>
        <v/>
      </c>
      <c r="DG58">
        <f>INDEX('Data_Price '!AP$2:AP$1266,MATCH(Data!$DN58,'Data_Price '!$AT$2:$AT$1266,0))</f>
        <v/>
      </c>
      <c r="DH58">
        <f>INDEX('Data_Price '!AQ$2:AQ$1266,MATCH(Data!$DN58,'Data_Price '!$AT$2:$AT$1266,0))</f>
        <v/>
      </c>
      <c r="DI58">
        <f>INDEX('Data_Price '!AR$2:AR$1266,MATCH(Data!$DN58,'Data_Price '!$AT$2:$AT$1266,0))</f>
        <v/>
      </c>
      <c r="DJ58" s="138">
        <f>DA58</f>
        <v/>
      </c>
      <c r="DK58" s="138">
        <f>DE58</f>
        <v/>
      </c>
      <c r="DL58" s="138">
        <f>DI58</f>
        <v/>
      </c>
      <c r="DM58" s="303">
        <f>IF(LEFT(BT58,1)=" ",RIGHT(BT58,LEN(BT58)-1),BT58)</f>
        <v/>
      </c>
      <c r="DN58" s="138">
        <f>_xlfn.CONCAT(BS58,DM58,BU58,BV58)</f>
        <v/>
      </c>
      <c r="DO58" s="307" t="n"/>
    </row>
    <row r="59" ht="15.6" customHeight="1" s="184">
      <c r="B59" s="303">
        <f t="array" ref="B59">IF(OR(ISERROR(K59:P59)),FALSE,TRUE)</f>
        <v/>
      </c>
      <c r="C59" s="60">
        <f>OR(BR59=Driver!$G$50,Data!BR584=Driver!$H$50)</f>
        <v/>
      </c>
      <c r="D59" s="60">
        <f>OR(BV59=Driver!$G$51,BV59=Driver!$H$51)</f>
        <v/>
      </c>
      <c r="E59" s="60">
        <f>AND(BX59&gt;Driver!$F$54,BX59&lt;Driver!$G$54)</f>
        <v/>
      </c>
      <c r="F59" s="60">
        <f>CL59&gt;Driver!$F$56</f>
        <v/>
      </c>
      <c r="G59" s="60">
        <f>AND(CB59&gt;Driver!$F$55,CB59&lt;Driver!$G$55)</f>
        <v/>
      </c>
      <c r="H59" s="60">
        <f>AND(B59:G59)</f>
        <v/>
      </c>
      <c r="I59" s="60">
        <f>COUNTIFS($H$9:$H$1273,TRUE,$BT$9:$BT$1273,BT59)</f>
        <v/>
      </c>
      <c r="J59" s="60">
        <f t="array" ref="J59">NOT(OR(($H$9:$H$1273=TRUE)*($I$9:$I$1273&gt;0)*($BT$9:$BT$1273=BT59)*($K$9:$K$1273&gt;K59)))</f>
        <v/>
      </c>
      <c r="K59" s="108">
        <f>IFERROR(1-AVERAGE(X59:Y59),"")</f>
        <v/>
      </c>
      <c r="L59" s="108">
        <f>1-X59</f>
        <v/>
      </c>
      <c r="M59" s="108">
        <f>1-Y59</f>
        <v/>
      </c>
      <c r="N59" s="108">
        <f>1-Z59</f>
        <v/>
      </c>
      <c r="O59" s="108">
        <f>1-AA59</f>
        <v/>
      </c>
      <c r="P59" s="108">
        <f>1-AB59</f>
        <v/>
      </c>
      <c r="Q59" s="108" t="n"/>
      <c r="R59" s="108" t="n"/>
      <c r="S59" s="108">
        <f>1-AE59</f>
        <v/>
      </c>
      <c r="T59" s="108">
        <f>1-AF59</f>
        <v/>
      </c>
      <c r="U59" s="108">
        <f>1-AG59</f>
        <v/>
      </c>
      <c r="V59" s="108">
        <f>1-AH59</f>
        <v/>
      </c>
      <c r="W59" s="108">
        <f>1-AI59</f>
        <v/>
      </c>
      <c r="X59" s="108">
        <f>ABS(AJ59-AJ$1)</f>
        <v/>
      </c>
      <c r="Y59" s="108">
        <f>AVERAGE(Z59:AB59)</f>
        <v/>
      </c>
      <c r="Z59" s="108">
        <f>ABS(AL59-AL$1)</f>
        <v/>
      </c>
      <c r="AA59" s="108">
        <f>ABS(AM59-AM$1)</f>
        <v/>
      </c>
      <c r="AB59" s="108">
        <f>ABS(AN59-AN$1)</f>
        <v/>
      </c>
      <c r="AC59" s="108" t="n"/>
      <c r="AD59" s="108" t="n"/>
      <c r="AE59" s="108">
        <f>ABS(AQ$1-AQ59)</f>
        <v/>
      </c>
      <c r="AF59" s="108">
        <f>ABS(AR$1-AR59)</f>
        <v/>
      </c>
      <c r="AG59" s="108">
        <f>ABS(AS$1-AS59)</f>
        <v/>
      </c>
      <c r="AH59" s="108">
        <f>ABS(AT$1-AT59)</f>
        <v/>
      </c>
      <c r="AI59" s="108">
        <f>ABS(AU$1-AU59)</f>
        <v/>
      </c>
      <c r="AJ59" s="108">
        <f>(AV59-Driver!$K$179)/(Driver!$L$179-Driver!$K$179)</f>
        <v/>
      </c>
      <c r="AK59" s="108">
        <f>(AW59-Driver!$K$180)/(Driver!$L$180-Driver!$K$180)</f>
        <v/>
      </c>
      <c r="AL59" s="108">
        <f>(AX59-Driver!$K$181)/(Driver!$L$181-Driver!$K$181)</f>
        <v/>
      </c>
      <c r="AM59" s="108">
        <f>(AY59-Driver!$K$182)/(Driver!$L$182-Driver!$K$182)</f>
        <v/>
      </c>
      <c r="AN59" s="108">
        <f>(AZ59-Driver!$K$183)/(Driver!$L$183-Driver!$K$183)</f>
        <v/>
      </c>
      <c r="AO59" s="108" t="n"/>
      <c r="AP59" s="108" t="n"/>
      <c r="AQ59" s="108">
        <f>(BC59-Driver!$K$188)/(Driver!$L$188-Driver!$K$188)</f>
        <v/>
      </c>
      <c r="AR59" s="108">
        <f>MIN((BD59-Driver!$K$189)/(Driver!$L$189-Driver!$K$189),100%)</f>
        <v/>
      </c>
      <c r="AS59" s="108">
        <f>(BE59-Driver!$K$190)/(Driver!$L$190-Driver!$K$190)</f>
        <v/>
      </c>
      <c r="AT59" s="108">
        <f>(BF59-Driver!$K$191)/(Driver!$L$191-Driver!$K$191)</f>
        <v/>
      </c>
      <c r="AU59" s="108">
        <f>(BG59-Driver!$K$192)/(Driver!$L$192-Driver!$K$192)</f>
        <v/>
      </c>
      <c r="AV59" s="105">
        <f>IFERROR(BM59*BJ59^1/4,"")</f>
        <v/>
      </c>
      <c r="AW59" s="105">
        <f>IFERROR(SUM(AX59:AZ59),"")</f>
        <v/>
      </c>
      <c r="AX59" s="105">
        <f>IFERROR(BH59,"")</f>
        <v/>
      </c>
      <c r="AY59" s="105">
        <f>IFERROR(Driver!$K$19/Data!BH59/Data!BI59*Data!BK59*Data!BL59,"")</f>
        <v/>
      </c>
      <c r="AZ59" s="105">
        <f>IFERROR(BI59*BN59,"")</f>
        <v/>
      </c>
      <c r="BA59" s="105" t="n"/>
      <c r="BB59" s="105" t="n"/>
      <c r="BC59" s="105">
        <f>IFERROR(BI59*BN59*BK59/BJ59^(1/2),"")</f>
        <v/>
      </c>
      <c r="BD59" s="105">
        <f>IFERROR(BH59*BM59*BL59/BJ59/BK59,"")</f>
        <v/>
      </c>
      <c r="BE59" s="105">
        <f>IFERROR(MIN(BI59/BQ59/BP59/BO59/BH59,$BE$1),"")</f>
        <v/>
      </c>
      <c r="BF59" s="105">
        <f>IFERROR(BJ59*BO59*BP59/BK59,"")</f>
        <v/>
      </c>
      <c r="BG59" s="105">
        <f>IFERROR(1/BM59/BH59*BQ59,"")</f>
        <v/>
      </c>
      <c r="BH59" s="102">
        <f>MAX((CE59-Driver!$F$200)/(Driver!$G$200-Driver!$F$200)*$BI$1,1)</f>
        <v/>
      </c>
      <c r="BI59" s="102">
        <f>MAX($BI$1*(BY59-Driver!$F$201)/(Driver!$G$201-Driver!$F$201),1)</f>
        <v/>
      </c>
      <c r="BJ59" s="102">
        <f>(CB59-Driver!$F$206)/(Driver!$G$206-Driver!$F$206)*$BI$1</f>
        <v/>
      </c>
      <c r="BK59" s="102">
        <f>(CD59-Driver!$F$203)/(Driver!$G$203-Driver!$F$203)*$BI$1</f>
        <v/>
      </c>
      <c r="BL59" s="102">
        <f>MAX((CR59-Driver!$F$202)/(Driver!$G$202-Driver!$F$202)*$BI$1,1)</f>
        <v/>
      </c>
      <c r="BM59" s="102">
        <f>MAX((CH59-Driver!$F$204)/(Driver!$G$204-Driver!$F$204)*$BI$1,1)</f>
        <v/>
      </c>
      <c r="BN59" s="102">
        <f>(CI59-Driver!$F$205)/(Driver!$G$205-Driver!$F$205)*$BI$1</f>
        <v/>
      </c>
      <c r="BO59" s="102">
        <f>(CK59-Driver!$F$207)/(Driver!$G$207-Driver!$F$207)*$BI$1</f>
        <v/>
      </c>
      <c r="BP59" s="102">
        <f>(CM59-Driver!$F$208)/(Driver!$G$208-Driver!$F$208)*$BI$1</f>
        <v/>
      </c>
      <c r="BQ59" s="102">
        <f>(CL59-Driver!$F$209)/(Driver!$G$209-Driver!$F$209)*$BI$1</f>
        <v/>
      </c>
      <c r="BR59" s="40" t="inlineStr">
        <is>
          <t>21/22</t>
        </is>
      </c>
      <c r="BS59" s="10" t="inlineStr">
        <is>
          <t xml:space="preserve"> Fischer</t>
        </is>
      </c>
      <c r="BT59" s="11" t="inlineStr">
        <is>
          <t>Ranger 94 FR W</t>
        </is>
      </c>
      <c r="BU59" s="13" t="n">
        <v>169</v>
      </c>
      <c r="BV59" s="11" t="inlineStr">
        <is>
          <t xml:space="preserve"> Women's</t>
        </is>
      </c>
      <c r="BW59" s="13" t="n">
        <v>169</v>
      </c>
      <c r="BX59" s="13" t="n">
        <v>168.1</v>
      </c>
      <c r="BY59" s="13" t="n">
        <v>113</v>
      </c>
      <c r="BZ59" s="13" t="n">
        <v>139</v>
      </c>
      <c r="CA59" s="13" t="n">
        <v>125</v>
      </c>
      <c r="CB59" s="13" t="n">
        <v>90</v>
      </c>
      <c r="CC59" s="13" t="n">
        <v>116</v>
      </c>
      <c r="CD59" s="13" t="n">
        <v>13.2</v>
      </c>
      <c r="CE59" s="13" t="n">
        <v>1593</v>
      </c>
      <c r="CF59" s="13" t="n">
        <v>1.1</v>
      </c>
      <c r="CG59" s="13" t="n">
        <v>1746</v>
      </c>
      <c r="CH59" s="13" t="n">
        <v>211</v>
      </c>
      <c r="CI59" s="13" t="n">
        <v>100</v>
      </c>
      <c r="CJ59" s="13" t="n">
        <v>52</v>
      </c>
      <c r="CK59" s="13" t="n">
        <v>359</v>
      </c>
      <c r="CL59" s="13" t="n">
        <v>33</v>
      </c>
      <c r="CM59" s="13" t="n">
        <v>190</v>
      </c>
      <c r="CN59" s="13" t="n">
        <v>0.634</v>
      </c>
      <c r="CO59" s="13" t="n">
        <v>147</v>
      </c>
      <c r="CP59" s="13" t="n">
        <v>145</v>
      </c>
      <c r="CQ59" s="13" t="n">
        <v>212</v>
      </c>
      <c r="CR59" s="13" t="n">
        <v>5</v>
      </c>
      <c r="CS59" s="13" t="n">
        <v>5.9</v>
      </c>
      <c r="CT59" s="11" t="inlineStr">
        <is>
          <t xml:space="preserve"> Resort Freeride</t>
        </is>
      </c>
      <c r="CU59" s="11" t="inlineStr">
        <is>
          <t xml:space="preserve"> Touring</t>
        </is>
      </c>
      <c r="CV59" s="13" t="n"/>
      <c r="CW59" s="13" t="n"/>
      <c r="CX59">
        <f>INDEX('Data_Price '!AG$2:AG$1266,MATCH(Data!$DN59,'Data_Price '!$AT$2:$AT$1266,0))</f>
        <v/>
      </c>
      <c r="CY59">
        <f>INDEX('Data_Price '!AH$2:AH$1266,MATCH(Data!$DN59,'Data_Price '!$AT$2:$AT$1266,0))</f>
        <v/>
      </c>
      <c r="CZ59">
        <f>INDEX('Data_Price '!AI$2:AI$1266,MATCH(Data!$DN59,'Data_Price '!$AT$2:$AT$1266,0))</f>
        <v/>
      </c>
      <c r="DA59">
        <f>INDEX('Data_Price '!AJ$2:AJ$1266,MATCH(Data!$DN59,'Data_Price '!$AT$2:$AT$1266,0))</f>
        <v/>
      </c>
      <c r="DB59">
        <f>INDEX('Data_Price '!AK$2:AK$1266,MATCH(Data!$DN59,'Data_Price '!$AT$2:$AT$1266,0))</f>
        <v/>
      </c>
      <c r="DC59">
        <f>INDEX('Data_Price '!AL$2:AL$1266,MATCH(Data!$DN59,'Data_Price '!$AT$2:$AT$1266,0))</f>
        <v/>
      </c>
      <c r="DD59">
        <f>INDEX('Data_Price '!AM$2:AM$1266,MATCH(Data!$DN59,'Data_Price '!$AT$2:$AT$1266,0))</f>
        <v/>
      </c>
      <c r="DE59">
        <f>INDEX('Data_Price '!AN$2:AN$1266,MATCH(Data!$DN59,'Data_Price '!$AT$2:$AT$1266,0))</f>
        <v/>
      </c>
      <c r="DF59">
        <f>INDEX('Data_Price '!AO$2:AO$1266,MATCH(Data!$DN59,'Data_Price '!$AT$2:$AT$1266,0))</f>
        <v/>
      </c>
      <c r="DG59">
        <f>INDEX('Data_Price '!AP$2:AP$1266,MATCH(Data!$DN59,'Data_Price '!$AT$2:$AT$1266,0))</f>
        <v/>
      </c>
      <c r="DH59">
        <f>INDEX('Data_Price '!AQ$2:AQ$1266,MATCH(Data!$DN59,'Data_Price '!$AT$2:$AT$1266,0))</f>
        <v/>
      </c>
      <c r="DI59">
        <f>INDEX('Data_Price '!AR$2:AR$1266,MATCH(Data!$DN59,'Data_Price '!$AT$2:$AT$1266,0))</f>
        <v/>
      </c>
      <c r="DJ59" s="138">
        <f>DA59</f>
        <v/>
      </c>
      <c r="DK59" s="138">
        <f>DE59</f>
        <v/>
      </c>
      <c r="DL59" s="138">
        <f>DI59</f>
        <v/>
      </c>
      <c r="DM59" s="303">
        <f>IF(LEFT(BT59,1)=" ",RIGHT(BT59,LEN(BT59)-1),BT59)</f>
        <v/>
      </c>
      <c r="DN59" s="138">
        <f>_xlfn.CONCAT(BS59,DM59,BU59,BV59)</f>
        <v/>
      </c>
      <c r="DO59" s="307" t="n"/>
    </row>
    <row r="60" ht="15.6" customHeight="1" s="184">
      <c r="B60" s="303">
        <f t="array" ref="B60">IF(OR(ISERROR(K60:P60)),FALSE,TRUE)</f>
        <v/>
      </c>
      <c r="C60" s="60">
        <f>OR(BR60=Driver!$G$50,Data!BR155=Driver!$H$50)</f>
        <v/>
      </c>
      <c r="D60" s="60">
        <f>OR(BV60=Driver!$G$51,BV60=Driver!$H$51)</f>
        <v/>
      </c>
      <c r="E60" s="60">
        <f>AND(BX60&gt;Driver!$F$54,BX60&lt;Driver!$G$54)</f>
        <v/>
      </c>
      <c r="F60" s="60">
        <f>CL60&gt;Driver!$F$56</f>
        <v/>
      </c>
      <c r="G60" s="60">
        <f>AND(CB60&gt;Driver!$F$55,CB60&lt;Driver!$G$55)</f>
        <v/>
      </c>
      <c r="H60" s="60">
        <f>AND(B60:G60)</f>
        <v/>
      </c>
      <c r="I60" s="60">
        <f>COUNTIFS($H$9:$H$1273,TRUE,$BT$9:$BT$1273,BT60)</f>
        <v/>
      </c>
      <c r="J60" s="60">
        <f t="array" ref="J60">NOT(OR(($H$9:$H$1273=TRUE)*($I$9:$I$1273&gt;0)*($BT$9:$BT$1273=BT60)*($K$9:$K$1273&gt;K60)))</f>
        <v/>
      </c>
      <c r="K60" s="108">
        <f>IFERROR(1-AVERAGE(X60:Y60),"")</f>
        <v/>
      </c>
      <c r="L60" s="108">
        <f>1-X60</f>
        <v/>
      </c>
      <c r="M60" s="108">
        <f>1-Y60</f>
        <v/>
      </c>
      <c r="N60" s="108">
        <f>1-Z60</f>
        <v/>
      </c>
      <c r="O60" s="108">
        <f>1-AA60</f>
        <v/>
      </c>
      <c r="P60" s="108">
        <f>1-AB60</f>
        <v/>
      </c>
      <c r="Q60" s="108" t="n"/>
      <c r="R60" s="108" t="n"/>
      <c r="S60" s="108">
        <f>1-AE60</f>
        <v/>
      </c>
      <c r="T60" s="108">
        <f>1-AF60</f>
        <v/>
      </c>
      <c r="U60" s="108">
        <f>1-AG60</f>
        <v/>
      </c>
      <c r="V60" s="108">
        <f>1-AH60</f>
        <v/>
      </c>
      <c r="W60" s="108">
        <f>1-AI60</f>
        <v/>
      </c>
      <c r="X60" s="108">
        <f>ABS(AJ60-AJ$1)</f>
        <v/>
      </c>
      <c r="Y60" s="108">
        <f>AVERAGE(Z60:AB60)</f>
        <v/>
      </c>
      <c r="Z60" s="108">
        <f>ABS(AL60-AL$1)</f>
        <v/>
      </c>
      <c r="AA60" s="108">
        <f>ABS(AM60-AM$1)</f>
        <v/>
      </c>
      <c r="AB60" s="108">
        <f>ABS(AN60-AN$1)</f>
        <v/>
      </c>
      <c r="AC60" s="108" t="n"/>
      <c r="AD60" s="108" t="n"/>
      <c r="AE60" s="108">
        <f>ABS(AQ$1-AQ60)</f>
        <v/>
      </c>
      <c r="AF60" s="108">
        <f>ABS(AR$1-AR60)</f>
        <v/>
      </c>
      <c r="AG60" s="108">
        <f>ABS(AS$1-AS60)</f>
        <v/>
      </c>
      <c r="AH60" s="108">
        <f>ABS(AT$1-AT60)</f>
        <v/>
      </c>
      <c r="AI60" s="108">
        <f>ABS(AU$1-AU60)</f>
        <v/>
      </c>
      <c r="AJ60" s="108">
        <f>(AV60-Driver!$K$179)/(Driver!$L$179-Driver!$K$179)</f>
        <v/>
      </c>
      <c r="AK60" s="108">
        <f>(AW60-Driver!$K$180)/(Driver!$L$180-Driver!$K$180)</f>
        <v/>
      </c>
      <c r="AL60" s="108">
        <f>(AX60-Driver!$K$181)/(Driver!$L$181-Driver!$K$181)</f>
        <v/>
      </c>
      <c r="AM60" s="108">
        <f>(AY60-Driver!$K$182)/(Driver!$L$182-Driver!$K$182)</f>
        <v/>
      </c>
      <c r="AN60" s="108">
        <f>(AZ60-Driver!$K$183)/(Driver!$L$183-Driver!$K$183)</f>
        <v/>
      </c>
      <c r="AO60" s="108" t="n"/>
      <c r="AP60" s="108" t="n"/>
      <c r="AQ60" s="108">
        <f>(BC60-Driver!$K$188)/(Driver!$L$188-Driver!$K$188)</f>
        <v/>
      </c>
      <c r="AR60" s="108">
        <f>MIN((BD60-Driver!$K$189)/(Driver!$L$189-Driver!$K$189),100%)</f>
        <v/>
      </c>
      <c r="AS60" s="108">
        <f>(BE60-Driver!$K$190)/(Driver!$L$190-Driver!$K$190)</f>
        <v/>
      </c>
      <c r="AT60" s="108">
        <f>(BF60-Driver!$K$191)/(Driver!$L$191-Driver!$K$191)</f>
        <v/>
      </c>
      <c r="AU60" s="108">
        <f>(BG60-Driver!$K$192)/(Driver!$L$192-Driver!$K$192)</f>
        <v/>
      </c>
      <c r="AV60" s="105">
        <f>IFERROR(BM60*BJ60^1/4,"")</f>
        <v/>
      </c>
      <c r="AW60" s="105">
        <f>IFERROR(SUM(AX60:AZ60),"")</f>
        <v/>
      </c>
      <c r="AX60" s="105">
        <f>IFERROR(BH60,"")</f>
        <v/>
      </c>
      <c r="AY60" s="105">
        <f>IFERROR(Driver!$K$19/Data!BH60/Data!BI60*Data!BK60*Data!BL60,"")</f>
        <v/>
      </c>
      <c r="AZ60" s="105">
        <f>IFERROR(BI60*BN60,"")</f>
        <v/>
      </c>
      <c r="BA60" s="105" t="n"/>
      <c r="BB60" s="105" t="n"/>
      <c r="BC60" s="105">
        <f>IFERROR(BI60*BN60*BK60/BJ60^(1/2),"")</f>
        <v/>
      </c>
      <c r="BD60" s="105">
        <f>IFERROR(BH60*BM60*BL60/BJ60/BK60,"")</f>
        <v/>
      </c>
      <c r="BE60" s="105">
        <f>IFERROR(MIN(BI60/BQ60/BP60/BO60/BH60,$BE$1),"")</f>
        <v/>
      </c>
      <c r="BF60" s="105">
        <f>IFERROR(BJ60*BO60*BP60/BK60,"")</f>
        <v/>
      </c>
      <c r="BG60" s="105">
        <f>IFERROR(1/BM60/BH60*BQ60,"")</f>
        <v/>
      </c>
      <c r="BH60" s="102">
        <f>MAX((CE60-Driver!$F$200)/(Driver!$G$200-Driver!$F$200)*$BI$1,1)</f>
        <v/>
      </c>
      <c r="BI60" s="102">
        <f>MAX($BI$1*(BY60-Driver!$F$201)/(Driver!$G$201-Driver!$F$201),1)</f>
        <v/>
      </c>
      <c r="BJ60" s="102">
        <f>(CB60-Driver!$F$206)/(Driver!$G$206-Driver!$F$206)*$BI$1</f>
        <v/>
      </c>
      <c r="BK60" s="102">
        <f>(CD60-Driver!$F$203)/(Driver!$G$203-Driver!$F$203)*$BI$1</f>
        <v/>
      </c>
      <c r="BL60" s="102">
        <f>MAX((CR60-Driver!$F$202)/(Driver!$G$202-Driver!$F$202)*$BI$1,1)</f>
        <v/>
      </c>
      <c r="BM60" s="102">
        <f>MAX((CH60-Driver!$F$204)/(Driver!$G$204-Driver!$F$204)*$BI$1,1)</f>
        <v/>
      </c>
      <c r="BN60" s="102">
        <f>(CI60-Driver!$F$205)/(Driver!$G$205-Driver!$F$205)*$BI$1</f>
        <v/>
      </c>
      <c r="BO60" s="102">
        <f>(CK60-Driver!$F$207)/(Driver!$G$207-Driver!$F$207)*$BI$1</f>
        <v/>
      </c>
      <c r="BP60" s="102">
        <f>(CM60-Driver!$F$208)/(Driver!$G$208-Driver!$F$208)*$BI$1</f>
        <v/>
      </c>
      <c r="BQ60" s="102">
        <f>(CL60-Driver!$F$209)/(Driver!$G$209-Driver!$F$209)*$BI$1</f>
        <v/>
      </c>
      <c r="BR60" s="40" t="inlineStr">
        <is>
          <t>21/22</t>
        </is>
      </c>
      <c r="BS60" s="10" t="inlineStr">
        <is>
          <t xml:space="preserve"> Atomic</t>
        </is>
      </c>
      <c r="BT60" s="11" t="inlineStr">
        <is>
          <t>Maven 93 C</t>
        </is>
      </c>
      <c r="BU60" s="13" t="n">
        <v>172</v>
      </c>
      <c r="BV60" s="11" t="inlineStr">
        <is>
          <t xml:space="preserve"> Women's</t>
        </is>
      </c>
      <c r="BW60" s="13" t="n">
        <v>172</v>
      </c>
      <c r="BX60" s="13" t="n">
        <v>171.4</v>
      </c>
      <c r="BY60" s="13" t="n">
        <v>122</v>
      </c>
      <c r="BZ60" s="13" t="n">
        <v>140</v>
      </c>
      <c r="CA60" s="13" t="n">
        <v>127</v>
      </c>
      <c r="CB60" s="13" t="n">
        <v>92</v>
      </c>
      <c r="CC60" s="13" t="n">
        <v>110</v>
      </c>
      <c r="CD60" s="13" t="n">
        <v>17.9</v>
      </c>
      <c r="CE60" s="13" t="n">
        <v>1642</v>
      </c>
      <c r="CF60" s="13" t="n">
        <v>1.07</v>
      </c>
      <c r="CG60" s="13" t="n">
        <v>1761</v>
      </c>
      <c r="CH60" s="13" t="n">
        <v>219</v>
      </c>
      <c r="CI60" s="13" t="n">
        <v>107</v>
      </c>
      <c r="CJ60" s="13" t="n">
        <v>52</v>
      </c>
      <c r="CK60" s="13" t="n">
        <v>297</v>
      </c>
      <c r="CL60" s="13" t="n">
        <v>14</v>
      </c>
      <c r="CM60" s="13" t="n">
        <v>194</v>
      </c>
      <c r="CN60" s="13" t="n">
        <v>0.269</v>
      </c>
      <c r="CO60" s="13" t="n">
        <v>183</v>
      </c>
      <c r="CP60" s="13" t="n">
        <v>133</v>
      </c>
      <c r="CQ60" s="13" t="n">
        <v>114</v>
      </c>
      <c r="CR60" s="13" t="n">
        <v>5</v>
      </c>
      <c r="CS60" s="13" t="n">
        <v>8.800000000000001</v>
      </c>
      <c r="CT60" s="11" t="inlineStr">
        <is>
          <t xml:space="preserve"> Resort Freeride</t>
        </is>
      </c>
      <c r="CU60" s="11" t="inlineStr">
        <is>
          <t xml:space="preserve"> Touring</t>
        </is>
      </c>
      <c r="CV60" s="13" t="n"/>
      <c r="CW60" s="13" t="n"/>
      <c r="CX60">
        <f>INDEX('Data_Price '!AG$2:AG$1266,MATCH(Data!$DN60,'Data_Price '!$AT$2:$AT$1266,0))</f>
        <v/>
      </c>
      <c r="CY60">
        <f>INDEX('Data_Price '!AH$2:AH$1266,MATCH(Data!$DN60,'Data_Price '!$AT$2:$AT$1266,0))</f>
        <v/>
      </c>
      <c r="CZ60">
        <f>INDEX('Data_Price '!AI$2:AI$1266,MATCH(Data!$DN60,'Data_Price '!$AT$2:$AT$1266,0))</f>
        <v/>
      </c>
      <c r="DA60">
        <f>INDEX('Data_Price '!AJ$2:AJ$1266,MATCH(Data!$DN60,'Data_Price '!$AT$2:$AT$1266,0))</f>
        <v/>
      </c>
      <c r="DB60">
        <f>INDEX('Data_Price '!AK$2:AK$1266,MATCH(Data!$DN60,'Data_Price '!$AT$2:$AT$1266,0))</f>
        <v/>
      </c>
      <c r="DC60">
        <f>INDEX('Data_Price '!AL$2:AL$1266,MATCH(Data!$DN60,'Data_Price '!$AT$2:$AT$1266,0))</f>
        <v/>
      </c>
      <c r="DD60">
        <f>INDEX('Data_Price '!AM$2:AM$1266,MATCH(Data!$DN60,'Data_Price '!$AT$2:$AT$1266,0))</f>
        <v/>
      </c>
      <c r="DE60">
        <f>INDEX('Data_Price '!AN$2:AN$1266,MATCH(Data!$DN60,'Data_Price '!$AT$2:$AT$1266,0))</f>
        <v/>
      </c>
      <c r="DF60">
        <f>INDEX('Data_Price '!AO$2:AO$1266,MATCH(Data!$DN60,'Data_Price '!$AT$2:$AT$1266,0))</f>
        <v/>
      </c>
      <c r="DG60">
        <f>INDEX('Data_Price '!AP$2:AP$1266,MATCH(Data!$DN60,'Data_Price '!$AT$2:$AT$1266,0))</f>
        <v/>
      </c>
      <c r="DH60">
        <f>INDEX('Data_Price '!AQ$2:AQ$1266,MATCH(Data!$DN60,'Data_Price '!$AT$2:$AT$1266,0))</f>
        <v/>
      </c>
      <c r="DI60">
        <f>INDEX('Data_Price '!AR$2:AR$1266,MATCH(Data!$DN60,'Data_Price '!$AT$2:$AT$1266,0))</f>
        <v/>
      </c>
      <c r="DJ60" s="138">
        <f>DA60</f>
        <v/>
      </c>
      <c r="DK60" s="138">
        <f>DE60</f>
        <v/>
      </c>
      <c r="DL60" s="138">
        <f>DI60</f>
        <v/>
      </c>
      <c r="DM60" s="303">
        <f>IF(LEFT(BT60,1)=" ",RIGHT(BT60,LEN(BT60)-1),BT60)</f>
        <v/>
      </c>
      <c r="DN60" s="138">
        <f>_xlfn.CONCAT(BS60,DM60,BU60,BV60)</f>
        <v/>
      </c>
      <c r="DO60" s="307" t="inlineStr">
        <is>
          <t>https://images.evo.com/imgp/250/219397/904532/atomic-maven-93-c-skis-women-s-2023-.jpg</t>
        </is>
      </c>
    </row>
    <row r="61" ht="15.6" customHeight="1" s="184">
      <c r="B61" s="303">
        <f t="array" ref="B61">IF(OR(ISERROR(K61:P61)),FALSE,TRUE)</f>
        <v/>
      </c>
      <c r="C61" s="60">
        <f>OR(BR61=Driver!$G$50,Data!BR492=Driver!$H$50)</f>
        <v/>
      </c>
      <c r="D61" s="60">
        <f>OR(BV61=Driver!$G$51,BV61=Driver!$H$51)</f>
        <v/>
      </c>
      <c r="E61" s="60">
        <f>AND(BX61&gt;Driver!$F$54,BX61&lt;Driver!$G$54)</f>
        <v/>
      </c>
      <c r="F61" s="60">
        <f>CL61&gt;Driver!$F$56</f>
        <v/>
      </c>
      <c r="G61" s="60">
        <f>AND(CB61&gt;Driver!$F$55,CB61&lt;Driver!$G$55)</f>
        <v/>
      </c>
      <c r="H61" s="60">
        <f>AND(B61:G61)</f>
        <v/>
      </c>
      <c r="I61" s="60">
        <f>COUNTIFS($H$9:$H$1273,TRUE,$BT$9:$BT$1273,BT61)</f>
        <v/>
      </c>
      <c r="J61" s="60">
        <f t="array" ref="J61">NOT(OR(($H$9:$H$1273=TRUE)*($I$9:$I$1273&gt;0)*($BT$9:$BT$1273=BT61)*($K$9:$K$1273&gt;K61)))</f>
        <v/>
      </c>
      <c r="K61" s="108">
        <f>IFERROR(1-AVERAGE(X61:Y61),"")</f>
        <v/>
      </c>
      <c r="L61" s="108">
        <f>1-X61</f>
        <v/>
      </c>
      <c r="M61" s="108">
        <f>1-Y61</f>
        <v/>
      </c>
      <c r="N61" s="108">
        <f>1-Z61</f>
        <v/>
      </c>
      <c r="O61" s="108">
        <f>1-AA61</f>
        <v/>
      </c>
      <c r="P61" s="108">
        <f>1-AB61</f>
        <v/>
      </c>
      <c r="Q61" s="108" t="n"/>
      <c r="R61" s="108" t="n"/>
      <c r="S61" s="108">
        <f>1-AE61</f>
        <v/>
      </c>
      <c r="T61" s="108">
        <f>1-AF61</f>
        <v/>
      </c>
      <c r="U61" s="108">
        <f>1-AG61</f>
        <v/>
      </c>
      <c r="V61" s="108">
        <f>1-AH61</f>
        <v/>
      </c>
      <c r="W61" s="108">
        <f>1-AI61</f>
        <v/>
      </c>
      <c r="X61" s="108">
        <f>ABS(AJ61-AJ$1)</f>
        <v/>
      </c>
      <c r="Y61" s="108">
        <f>AVERAGE(Z61:AB61)</f>
        <v/>
      </c>
      <c r="Z61" s="108">
        <f>ABS(AL61-AL$1)</f>
        <v/>
      </c>
      <c r="AA61" s="108">
        <f>ABS(AM61-AM$1)</f>
        <v/>
      </c>
      <c r="AB61" s="108">
        <f>ABS(AN61-AN$1)</f>
        <v/>
      </c>
      <c r="AC61" s="108" t="n"/>
      <c r="AD61" s="108" t="n"/>
      <c r="AE61" s="108">
        <f>ABS(AQ$1-AQ61)</f>
        <v/>
      </c>
      <c r="AF61" s="108">
        <f>ABS(AR$1-AR61)</f>
        <v/>
      </c>
      <c r="AG61" s="108">
        <f>ABS(AS$1-AS61)</f>
        <v/>
      </c>
      <c r="AH61" s="108">
        <f>ABS(AT$1-AT61)</f>
        <v/>
      </c>
      <c r="AI61" s="108">
        <f>ABS(AU$1-AU61)</f>
        <v/>
      </c>
      <c r="AJ61" s="108">
        <f>(AV61-Driver!$K$179)/(Driver!$L$179-Driver!$K$179)</f>
        <v/>
      </c>
      <c r="AK61" s="108">
        <f>(AW61-Driver!$K$180)/(Driver!$L$180-Driver!$K$180)</f>
        <v/>
      </c>
      <c r="AL61" s="108">
        <f>(AX61-Driver!$K$181)/(Driver!$L$181-Driver!$K$181)</f>
        <v/>
      </c>
      <c r="AM61" s="108">
        <f>(AY61-Driver!$K$182)/(Driver!$L$182-Driver!$K$182)</f>
        <v/>
      </c>
      <c r="AN61" s="108">
        <f>(AZ61-Driver!$K$183)/(Driver!$L$183-Driver!$K$183)</f>
        <v/>
      </c>
      <c r="AO61" s="108" t="n"/>
      <c r="AP61" s="108" t="n"/>
      <c r="AQ61" s="108">
        <f>(BC61-Driver!$K$188)/(Driver!$L$188-Driver!$K$188)</f>
        <v/>
      </c>
      <c r="AR61" s="108">
        <f>MIN((BD61-Driver!$K$189)/(Driver!$L$189-Driver!$K$189),100%)</f>
        <v/>
      </c>
      <c r="AS61" s="108">
        <f>(BE61-Driver!$K$190)/(Driver!$L$190-Driver!$K$190)</f>
        <v/>
      </c>
      <c r="AT61" s="108">
        <f>(BF61-Driver!$K$191)/(Driver!$L$191-Driver!$K$191)</f>
        <v/>
      </c>
      <c r="AU61" s="108">
        <f>(BG61-Driver!$K$192)/(Driver!$L$192-Driver!$K$192)</f>
        <v/>
      </c>
      <c r="AV61" s="105">
        <f>IFERROR(BM61*BJ61^1/4,"")</f>
        <v/>
      </c>
      <c r="AW61" s="105">
        <f>IFERROR(SUM(AX61:AZ61),"")</f>
        <v/>
      </c>
      <c r="AX61" s="105">
        <f>IFERROR(BH61,"")</f>
        <v/>
      </c>
      <c r="AY61" s="105">
        <f>IFERROR(Driver!$K$19/Data!BH61/Data!BI61*Data!BK61*Data!BL61,"")</f>
        <v/>
      </c>
      <c r="AZ61" s="105">
        <f>IFERROR(BI61*BN61,"")</f>
        <v/>
      </c>
      <c r="BA61" s="105" t="n"/>
      <c r="BB61" s="105" t="n"/>
      <c r="BC61" s="105">
        <f>IFERROR(BI61*BN61*BK61/BJ61^(1/2),"")</f>
        <v/>
      </c>
      <c r="BD61" s="105">
        <f>IFERROR(BH61*BM61*BL61/BJ61/BK61,"")</f>
        <v/>
      </c>
      <c r="BE61" s="105">
        <f>IFERROR(MIN(BI61/BQ61/BP61/BO61/BH61,$BE$1),"")</f>
        <v/>
      </c>
      <c r="BF61" s="105">
        <f>IFERROR(BJ61*BO61*BP61/BK61,"")</f>
        <v/>
      </c>
      <c r="BG61" s="105">
        <f>IFERROR(1/BM61/BH61*BQ61,"")</f>
        <v/>
      </c>
      <c r="BH61" s="102">
        <f>MAX((CE61-Driver!$F$200)/(Driver!$G$200-Driver!$F$200)*$BI$1,1)</f>
        <v/>
      </c>
      <c r="BI61" s="102">
        <f>MAX($BI$1*(BY61-Driver!$F$201)/(Driver!$G$201-Driver!$F$201),1)</f>
        <v/>
      </c>
      <c r="BJ61" s="102">
        <f>(CB61-Driver!$F$206)/(Driver!$G$206-Driver!$F$206)*$BI$1</f>
        <v/>
      </c>
      <c r="BK61" s="102">
        <f>(CD61-Driver!$F$203)/(Driver!$G$203-Driver!$F$203)*$BI$1</f>
        <v/>
      </c>
      <c r="BL61" s="102">
        <f>MAX((CR61-Driver!$F$202)/(Driver!$G$202-Driver!$F$202)*$BI$1,1)</f>
        <v/>
      </c>
      <c r="BM61" s="102">
        <f>MAX((CH61-Driver!$F$204)/(Driver!$G$204-Driver!$F$204)*$BI$1,1)</f>
        <v/>
      </c>
      <c r="BN61" s="102">
        <f>(CI61-Driver!$F$205)/(Driver!$G$205-Driver!$F$205)*$BI$1</f>
        <v/>
      </c>
      <c r="BO61" s="102">
        <f>(CK61-Driver!$F$207)/(Driver!$G$207-Driver!$F$207)*$BI$1</f>
        <v/>
      </c>
      <c r="BP61" s="102">
        <f>(CM61-Driver!$F$208)/(Driver!$G$208-Driver!$F$208)*$BI$1</f>
        <v/>
      </c>
      <c r="BQ61" s="102">
        <f>(CL61-Driver!$F$209)/(Driver!$G$209-Driver!$F$209)*$BI$1</f>
        <v/>
      </c>
      <c r="BR61" s="40" t="inlineStr">
        <is>
          <t>21/22</t>
        </is>
      </c>
      <c r="BS61" s="10" t="inlineStr">
        <is>
          <t xml:space="preserve"> Faction</t>
        </is>
      </c>
      <c r="BT61" s="11" t="inlineStr">
        <is>
          <t>Agent 2.0 X</t>
        </is>
      </c>
      <c r="BU61" s="13" t="n">
        <v>163</v>
      </c>
      <c r="BV61" s="11" t="inlineStr">
        <is>
          <t xml:space="preserve"> Women's</t>
        </is>
      </c>
      <c r="BW61" s="13" t="n">
        <v>163</v>
      </c>
      <c r="BX61" s="13" t="n">
        <v>169.5</v>
      </c>
      <c r="BY61" s="13" t="n">
        <v>126</v>
      </c>
      <c r="BZ61" s="13" t="n">
        <v>140</v>
      </c>
      <c r="CA61" s="13" t="n">
        <v>126</v>
      </c>
      <c r="CB61" s="13" t="n">
        <v>95</v>
      </c>
      <c r="CC61" s="13" t="n">
        <v>116</v>
      </c>
      <c r="CD61" s="13" t="n">
        <v>17.6</v>
      </c>
      <c r="CE61" s="13" t="n">
        <v>1528</v>
      </c>
      <c r="CF61" s="13" t="n">
        <v>1.17</v>
      </c>
      <c r="CG61" s="13" t="n">
        <v>1793</v>
      </c>
      <c r="CH61" s="13" t="n">
        <v>221</v>
      </c>
      <c r="CI61" s="13" t="n">
        <v>107</v>
      </c>
      <c r="CJ61" s="13" t="n">
        <v>52</v>
      </c>
      <c r="CK61" s="13" t="n">
        <v>247</v>
      </c>
      <c r="CL61" s="13" t="n">
        <v>21</v>
      </c>
      <c r="CM61" s="13" t="n">
        <v>186</v>
      </c>
      <c r="CN61" s="13" t="n">
        <v>0.405</v>
      </c>
      <c r="CO61" s="13" t="n">
        <v>173</v>
      </c>
      <c r="CP61" s="13" t="n">
        <v>120</v>
      </c>
      <c r="CQ61" s="13" t="n">
        <v>74</v>
      </c>
      <c r="CR61" s="13" t="n">
        <v>6</v>
      </c>
      <c r="CS61" s="13" t="n">
        <v>10.9</v>
      </c>
      <c r="CT61" s="11" t="inlineStr">
        <is>
          <t xml:space="preserve"> Resort Freeride</t>
        </is>
      </c>
      <c r="CU61" s="11" t="inlineStr">
        <is>
          <t xml:space="preserve"> Touring</t>
        </is>
      </c>
      <c r="CV61" s="13" t="n"/>
      <c r="CW61" s="13" t="n"/>
      <c r="CX61">
        <f>INDEX('Data_Price '!AG$2:AG$1266,MATCH(Data!$DN61,'Data_Price '!$AT$2:$AT$1266,0))</f>
        <v/>
      </c>
      <c r="CY61">
        <f>INDEX('Data_Price '!AH$2:AH$1266,MATCH(Data!$DN61,'Data_Price '!$AT$2:$AT$1266,0))</f>
        <v/>
      </c>
      <c r="CZ61">
        <f>INDEX('Data_Price '!AI$2:AI$1266,MATCH(Data!$DN61,'Data_Price '!$AT$2:$AT$1266,0))</f>
        <v/>
      </c>
      <c r="DA61">
        <f>INDEX('Data_Price '!AJ$2:AJ$1266,MATCH(Data!$DN61,'Data_Price '!$AT$2:$AT$1266,0))</f>
        <v/>
      </c>
      <c r="DB61">
        <f>INDEX('Data_Price '!AK$2:AK$1266,MATCH(Data!$DN61,'Data_Price '!$AT$2:$AT$1266,0))</f>
        <v/>
      </c>
      <c r="DC61">
        <f>INDEX('Data_Price '!AL$2:AL$1266,MATCH(Data!$DN61,'Data_Price '!$AT$2:$AT$1266,0))</f>
        <v/>
      </c>
      <c r="DD61">
        <f>INDEX('Data_Price '!AM$2:AM$1266,MATCH(Data!$DN61,'Data_Price '!$AT$2:$AT$1266,0))</f>
        <v/>
      </c>
      <c r="DE61">
        <f>INDEX('Data_Price '!AN$2:AN$1266,MATCH(Data!$DN61,'Data_Price '!$AT$2:$AT$1266,0))</f>
        <v/>
      </c>
      <c r="DF61">
        <f>INDEX('Data_Price '!AO$2:AO$1266,MATCH(Data!$DN61,'Data_Price '!$AT$2:$AT$1266,0))</f>
        <v/>
      </c>
      <c r="DG61">
        <f>INDEX('Data_Price '!AP$2:AP$1266,MATCH(Data!$DN61,'Data_Price '!$AT$2:$AT$1266,0))</f>
        <v/>
      </c>
      <c r="DH61">
        <f>INDEX('Data_Price '!AQ$2:AQ$1266,MATCH(Data!$DN61,'Data_Price '!$AT$2:$AT$1266,0))</f>
        <v/>
      </c>
      <c r="DI61">
        <f>INDEX('Data_Price '!AR$2:AR$1266,MATCH(Data!$DN61,'Data_Price '!$AT$2:$AT$1266,0))</f>
        <v/>
      </c>
      <c r="DJ61" s="138">
        <f>DA61</f>
        <v/>
      </c>
      <c r="DK61" s="138">
        <f>DE61</f>
        <v/>
      </c>
      <c r="DL61" s="138">
        <f>DI61</f>
        <v/>
      </c>
      <c r="DM61" s="303">
        <f>IF(LEFT(BT61,1)=" ",RIGHT(BT61,LEN(BT61)-1),BT61)</f>
        <v/>
      </c>
      <c r="DN61" s="138">
        <f>_xlfn.CONCAT(BS61,DM61,BU61,BV61)</f>
        <v/>
      </c>
      <c r="DO61" s="307" t="n"/>
    </row>
    <row r="62" ht="15.6" customHeight="1" s="184">
      <c r="B62" s="303">
        <f t="array" ref="B62">IF(OR(ISERROR(K62:P62)),FALSE,TRUE)</f>
        <v/>
      </c>
      <c r="C62" s="60">
        <f>OR(BR62=Driver!$G$50,Data!BR338=Driver!$H$50)</f>
        <v/>
      </c>
      <c r="D62" s="60">
        <f>OR(BV62=Driver!$G$51,BV62=Driver!$H$51)</f>
        <v/>
      </c>
      <c r="E62" s="60">
        <f>AND(BX62&gt;Driver!$F$54,BX62&lt;Driver!$G$54)</f>
        <v/>
      </c>
      <c r="F62" s="60">
        <f>CL62&gt;Driver!$F$56</f>
        <v/>
      </c>
      <c r="G62" s="60">
        <f>AND(CB62&gt;Driver!$F$55,CB62&lt;Driver!$G$55)</f>
        <v/>
      </c>
      <c r="H62" s="60">
        <f>AND(B62:G62)</f>
        <v/>
      </c>
      <c r="I62" s="60">
        <f>COUNTIFS($H$9:$H$1273,TRUE,$BT$9:$BT$1273,BT62)</f>
        <v/>
      </c>
      <c r="J62" s="60">
        <f t="array" ref="J62">NOT(OR(($H$9:$H$1273=TRUE)*($I$9:$I$1273&gt;0)*($BT$9:$BT$1273=BT62)*($K$9:$K$1273&gt;K62)))</f>
        <v/>
      </c>
      <c r="K62" s="108">
        <f>IFERROR(1-AVERAGE(X62:Y62),"")</f>
        <v/>
      </c>
      <c r="L62" s="108">
        <f>1-X62</f>
        <v/>
      </c>
      <c r="M62" s="108">
        <f>1-Y62</f>
        <v/>
      </c>
      <c r="N62" s="108">
        <f>1-Z62</f>
        <v/>
      </c>
      <c r="O62" s="108">
        <f>1-AA62</f>
        <v/>
      </c>
      <c r="P62" s="108">
        <f>1-AB62</f>
        <v/>
      </c>
      <c r="Q62" s="108" t="n"/>
      <c r="R62" s="108" t="n"/>
      <c r="S62" s="108">
        <f>1-AE62</f>
        <v/>
      </c>
      <c r="T62" s="108">
        <f>1-AF62</f>
        <v/>
      </c>
      <c r="U62" s="108">
        <f>1-AG62</f>
        <v/>
      </c>
      <c r="V62" s="108">
        <f>1-AH62</f>
        <v/>
      </c>
      <c r="W62" s="108">
        <f>1-AI62</f>
        <v/>
      </c>
      <c r="X62" s="108">
        <f>ABS(AJ62-AJ$1)</f>
        <v/>
      </c>
      <c r="Y62" s="108">
        <f>AVERAGE(Z62:AB62)</f>
        <v/>
      </c>
      <c r="Z62" s="108">
        <f>ABS(AL62-AL$1)</f>
        <v/>
      </c>
      <c r="AA62" s="108">
        <f>ABS(AM62-AM$1)</f>
        <v/>
      </c>
      <c r="AB62" s="108">
        <f>ABS(AN62-AN$1)</f>
        <v/>
      </c>
      <c r="AC62" s="108" t="n"/>
      <c r="AD62" s="108" t="n"/>
      <c r="AE62" s="108">
        <f>ABS(AQ$1-AQ62)</f>
        <v/>
      </c>
      <c r="AF62" s="108">
        <f>ABS(AR$1-AR62)</f>
        <v/>
      </c>
      <c r="AG62" s="108">
        <f>ABS(AS$1-AS62)</f>
        <v/>
      </c>
      <c r="AH62" s="108">
        <f>ABS(AT$1-AT62)</f>
        <v/>
      </c>
      <c r="AI62" s="108">
        <f>ABS(AU$1-AU62)</f>
        <v/>
      </c>
      <c r="AJ62" s="108">
        <f>(AV62-Driver!$K$179)/(Driver!$L$179-Driver!$K$179)</f>
        <v/>
      </c>
      <c r="AK62" s="108">
        <f>(AW62-Driver!$K$180)/(Driver!$L$180-Driver!$K$180)</f>
        <v/>
      </c>
      <c r="AL62" s="108">
        <f>(AX62-Driver!$K$181)/(Driver!$L$181-Driver!$K$181)</f>
        <v/>
      </c>
      <c r="AM62" s="108">
        <f>(AY62-Driver!$K$182)/(Driver!$L$182-Driver!$K$182)</f>
        <v/>
      </c>
      <c r="AN62" s="108">
        <f>(AZ62-Driver!$K$183)/(Driver!$L$183-Driver!$K$183)</f>
        <v/>
      </c>
      <c r="AO62" s="108" t="n"/>
      <c r="AP62" s="108" t="n"/>
      <c r="AQ62" s="108">
        <f>(BC62-Driver!$K$188)/(Driver!$L$188-Driver!$K$188)</f>
        <v/>
      </c>
      <c r="AR62" s="108">
        <f>MIN((BD62-Driver!$K$189)/(Driver!$L$189-Driver!$K$189),100%)</f>
        <v/>
      </c>
      <c r="AS62" s="108">
        <f>(BE62-Driver!$K$190)/(Driver!$L$190-Driver!$K$190)</f>
        <v/>
      </c>
      <c r="AT62" s="108">
        <f>(BF62-Driver!$K$191)/(Driver!$L$191-Driver!$K$191)</f>
        <v/>
      </c>
      <c r="AU62" s="108">
        <f>(BG62-Driver!$K$192)/(Driver!$L$192-Driver!$K$192)</f>
        <v/>
      </c>
      <c r="AV62" s="105">
        <f>IFERROR(BM62*BJ62^1/4,"")</f>
        <v/>
      </c>
      <c r="AW62" s="105">
        <f>IFERROR(SUM(AX62:AZ62),"")</f>
        <v/>
      </c>
      <c r="AX62" s="105">
        <f>IFERROR(BH62,"")</f>
        <v/>
      </c>
      <c r="AY62" s="105">
        <f>IFERROR(Driver!$K$19/Data!BH62/Data!BI62*Data!BK62*Data!BL62,"")</f>
        <v/>
      </c>
      <c r="AZ62" s="105">
        <f>IFERROR(BI62*BN62,"")</f>
        <v/>
      </c>
      <c r="BA62" s="105" t="n"/>
      <c r="BB62" s="105" t="n"/>
      <c r="BC62" s="105">
        <f>IFERROR(BI62*BN62*BK62/BJ62^(1/2),"")</f>
        <v/>
      </c>
      <c r="BD62" s="105">
        <f>IFERROR(BH62*BM62*BL62/BJ62/BK62,"")</f>
        <v/>
      </c>
      <c r="BE62" s="105">
        <f>IFERROR(MIN(BI62/BQ62/BP62/BO62/BH62,$BE$1),"")</f>
        <v/>
      </c>
      <c r="BF62" s="105">
        <f>IFERROR(BJ62*BO62*BP62/BK62,"")</f>
        <v/>
      </c>
      <c r="BG62" s="105">
        <f>IFERROR(1/BM62/BH62*BQ62,"")</f>
        <v/>
      </c>
      <c r="BH62" s="102">
        <f>MAX((CE62-Driver!$F$200)/(Driver!$G$200-Driver!$F$200)*$BI$1,1)</f>
        <v/>
      </c>
      <c r="BI62" s="102">
        <f>MAX($BI$1*(BY62-Driver!$F$201)/(Driver!$G$201-Driver!$F$201),1)</f>
        <v/>
      </c>
      <c r="BJ62" s="102">
        <f>(CB62-Driver!$F$206)/(Driver!$G$206-Driver!$F$206)*$BI$1</f>
        <v/>
      </c>
      <c r="BK62" s="102">
        <f>(CD62-Driver!$F$203)/(Driver!$G$203-Driver!$F$203)*$BI$1</f>
        <v/>
      </c>
      <c r="BL62" s="102">
        <f>MAX((CR62-Driver!$F$202)/(Driver!$G$202-Driver!$F$202)*$BI$1,1)</f>
        <v/>
      </c>
      <c r="BM62" s="102">
        <f>MAX((CH62-Driver!$F$204)/(Driver!$G$204-Driver!$F$204)*$BI$1,1)</f>
        <v/>
      </c>
      <c r="BN62" s="102">
        <f>(CI62-Driver!$F$205)/(Driver!$G$205-Driver!$F$205)*$BI$1</f>
        <v/>
      </c>
      <c r="BO62" s="102">
        <f>(CK62-Driver!$F$207)/(Driver!$G$207-Driver!$F$207)*$BI$1</f>
        <v/>
      </c>
      <c r="BP62" s="102">
        <f>(CM62-Driver!$F$208)/(Driver!$G$208-Driver!$F$208)*$BI$1</f>
        <v/>
      </c>
      <c r="BQ62" s="102">
        <f>(CL62-Driver!$F$209)/(Driver!$G$209-Driver!$F$209)*$BI$1</f>
        <v/>
      </c>
      <c r="BR62" s="40" t="inlineStr">
        <is>
          <t>21/22</t>
        </is>
      </c>
      <c r="BS62" s="10" t="inlineStr">
        <is>
          <t xml:space="preserve"> DPS</t>
        </is>
      </c>
      <c r="BT62" s="11" t="inlineStr">
        <is>
          <t>Pagoda 106 C2</t>
        </is>
      </c>
      <c r="BU62" s="13" t="n">
        <v>163</v>
      </c>
      <c r="BV62" s="11" t="inlineStr">
        <is>
          <t xml:space="preserve"> Unisex</t>
        </is>
      </c>
      <c r="BW62" s="13" t="n">
        <v>163</v>
      </c>
      <c r="BX62" s="13" t="n">
        <v>162</v>
      </c>
      <c r="BY62" s="13" t="n">
        <v>113</v>
      </c>
      <c r="BZ62" s="13" t="n">
        <v>126</v>
      </c>
      <c r="CA62" s="13" t="n">
        <v>131</v>
      </c>
      <c r="CB62" s="13" t="n">
        <v>105</v>
      </c>
      <c r="CC62" s="13" t="n">
        <v>117</v>
      </c>
      <c r="CD62" s="13" t="n">
        <v>19.2</v>
      </c>
      <c r="CE62" s="13" t="n">
        <v>1720</v>
      </c>
      <c r="CF62" s="13" t="n">
        <v>1.06</v>
      </c>
      <c r="CG62" s="13" t="n">
        <v>1832</v>
      </c>
      <c r="CH62" s="13" t="n">
        <v>212</v>
      </c>
      <c r="CI62" s="13" t="n">
        <v>109</v>
      </c>
      <c r="CJ62" s="13" t="n">
        <v>43</v>
      </c>
      <c r="CK62" s="13" t="n">
        <v>278</v>
      </c>
      <c r="CL62" s="13" t="n">
        <v>20</v>
      </c>
      <c r="CM62" s="13" t="n">
        <v>214</v>
      </c>
      <c r="CN62" s="13" t="n">
        <v>0.463</v>
      </c>
      <c r="CO62" s="13" t="n">
        <v>192</v>
      </c>
      <c r="CP62" s="13" t="n">
        <v>173</v>
      </c>
      <c r="CQ62" s="13" t="n">
        <v>86</v>
      </c>
      <c r="CR62" s="13" t="n">
        <v>6</v>
      </c>
      <c r="CS62" s="13" t="n">
        <v>9.5</v>
      </c>
      <c r="CT62" s="11" t="inlineStr">
        <is>
          <t xml:space="preserve"> Powder</t>
        </is>
      </c>
      <c r="CU62" s="11" t="inlineStr">
        <is>
          <t xml:space="preserve"> Touring</t>
        </is>
      </c>
      <c r="CV62" s="13" t="n"/>
      <c r="CW62" s="13" t="n"/>
      <c r="CX62">
        <f>INDEX('Data_Price '!AG$2:AG$1266,MATCH(Data!$DN62,'Data_Price '!$AT$2:$AT$1266,0))</f>
        <v/>
      </c>
      <c r="CY62">
        <f>INDEX('Data_Price '!AH$2:AH$1266,MATCH(Data!$DN62,'Data_Price '!$AT$2:$AT$1266,0))</f>
        <v/>
      </c>
      <c r="CZ62">
        <f>INDEX('Data_Price '!AI$2:AI$1266,MATCH(Data!$DN62,'Data_Price '!$AT$2:$AT$1266,0))</f>
        <v/>
      </c>
      <c r="DA62">
        <f>INDEX('Data_Price '!AJ$2:AJ$1266,MATCH(Data!$DN62,'Data_Price '!$AT$2:$AT$1266,0))</f>
        <v/>
      </c>
      <c r="DB62">
        <f>INDEX('Data_Price '!AK$2:AK$1266,MATCH(Data!$DN62,'Data_Price '!$AT$2:$AT$1266,0))</f>
        <v/>
      </c>
      <c r="DC62">
        <f>INDEX('Data_Price '!AL$2:AL$1266,MATCH(Data!$DN62,'Data_Price '!$AT$2:$AT$1266,0))</f>
        <v/>
      </c>
      <c r="DD62">
        <f>INDEX('Data_Price '!AM$2:AM$1266,MATCH(Data!$DN62,'Data_Price '!$AT$2:$AT$1266,0))</f>
        <v/>
      </c>
      <c r="DE62">
        <f>INDEX('Data_Price '!AN$2:AN$1266,MATCH(Data!$DN62,'Data_Price '!$AT$2:$AT$1266,0))</f>
        <v/>
      </c>
      <c r="DF62">
        <f>INDEX('Data_Price '!AO$2:AO$1266,MATCH(Data!$DN62,'Data_Price '!$AT$2:$AT$1266,0))</f>
        <v/>
      </c>
      <c r="DG62">
        <f>INDEX('Data_Price '!AP$2:AP$1266,MATCH(Data!$DN62,'Data_Price '!$AT$2:$AT$1266,0))</f>
        <v/>
      </c>
      <c r="DH62">
        <f>INDEX('Data_Price '!AQ$2:AQ$1266,MATCH(Data!$DN62,'Data_Price '!$AT$2:$AT$1266,0))</f>
        <v/>
      </c>
      <c r="DI62">
        <f>INDEX('Data_Price '!AR$2:AR$1266,MATCH(Data!$DN62,'Data_Price '!$AT$2:$AT$1266,0))</f>
        <v/>
      </c>
      <c r="DJ62" s="138">
        <f>DA62</f>
        <v/>
      </c>
      <c r="DK62" s="138">
        <f>DE62</f>
        <v/>
      </c>
      <c r="DL62" s="138">
        <f>DI62</f>
        <v/>
      </c>
      <c r="DM62" s="303">
        <f>IF(LEFT(BT62,1)=" ",RIGHT(BT62,LEN(BT62)-1),BT62)</f>
        <v/>
      </c>
      <c r="DN62" s="138">
        <f>_xlfn.CONCAT(BS62,DM62,BU62,BV62)</f>
        <v/>
      </c>
      <c r="DO62" s="307" t="inlineStr">
        <is>
          <t>https://images.evo.com/imgp/250/209064/857445/dps-pagoda-106-c2-skis-2023-.jpg</t>
        </is>
      </c>
    </row>
    <row r="63" ht="15.6" customHeight="1" s="184">
      <c r="B63" s="303">
        <f t="array" ref="B63">IF(OR(ISERROR(K63:P63)),FALSE,TRUE)</f>
        <v/>
      </c>
      <c r="C63" s="60">
        <f>OR(BR63=Driver!$G$50,Data!BR1064=Driver!$H$50)</f>
        <v/>
      </c>
      <c r="D63" s="60">
        <f>OR(BV63=Driver!$G$51,BV63=Driver!$H$51)</f>
        <v/>
      </c>
      <c r="E63" s="60">
        <f>AND(BX63&gt;Driver!$F$54,BX63&lt;Driver!$G$54)</f>
        <v/>
      </c>
      <c r="F63" s="60">
        <f>CL63&gt;Driver!$F$56</f>
        <v/>
      </c>
      <c r="G63" s="60">
        <f>AND(CB63&gt;Driver!$F$55,CB63&lt;Driver!$G$55)</f>
        <v/>
      </c>
      <c r="H63" s="60">
        <f>AND(B63:G63)</f>
        <v/>
      </c>
      <c r="I63" s="60">
        <f>COUNTIFS($H$9:$H$1273,TRUE,$BT$9:$BT$1273,BT63)</f>
        <v/>
      </c>
      <c r="J63" s="60">
        <f t="array" ref="J63">NOT(OR(($H$9:$H$1273=TRUE)*($I$9:$I$1273&gt;0)*($BT$9:$BT$1273=BT63)*($K$9:$K$1273&gt;K63)))</f>
        <v/>
      </c>
      <c r="K63" s="108">
        <f>IFERROR(1-AVERAGE(X63:Y63),"")</f>
        <v/>
      </c>
      <c r="L63" s="108">
        <f>1-X63</f>
        <v/>
      </c>
      <c r="M63" s="108">
        <f>1-Y63</f>
        <v/>
      </c>
      <c r="N63" s="108">
        <f>1-Z63</f>
        <v/>
      </c>
      <c r="O63" s="108">
        <f>1-AA63</f>
        <v/>
      </c>
      <c r="P63" s="108">
        <f>1-AB63</f>
        <v/>
      </c>
      <c r="Q63" s="108" t="n"/>
      <c r="R63" s="108" t="n"/>
      <c r="S63" s="108">
        <f>1-AE63</f>
        <v/>
      </c>
      <c r="T63" s="108">
        <f>1-AF63</f>
        <v/>
      </c>
      <c r="U63" s="108">
        <f>1-AG63</f>
        <v/>
      </c>
      <c r="V63" s="108">
        <f>1-AH63</f>
        <v/>
      </c>
      <c r="W63" s="108">
        <f>1-AI63</f>
        <v/>
      </c>
      <c r="X63" s="108">
        <f>ABS(AJ63-AJ$1)</f>
        <v/>
      </c>
      <c r="Y63" s="108">
        <f>AVERAGE(Z63:AB63)</f>
        <v/>
      </c>
      <c r="Z63" s="108">
        <f>ABS(AL63-AL$1)</f>
        <v/>
      </c>
      <c r="AA63" s="108">
        <f>ABS(AM63-AM$1)</f>
        <v/>
      </c>
      <c r="AB63" s="108">
        <f>ABS(AN63-AN$1)</f>
        <v/>
      </c>
      <c r="AC63" s="108" t="n"/>
      <c r="AD63" s="108" t="n"/>
      <c r="AE63" s="108">
        <f>ABS(AQ$1-AQ63)</f>
        <v/>
      </c>
      <c r="AF63" s="108">
        <f>ABS(AR$1-AR63)</f>
        <v/>
      </c>
      <c r="AG63" s="108">
        <f>ABS(AS$1-AS63)</f>
        <v/>
      </c>
      <c r="AH63" s="108">
        <f>ABS(AT$1-AT63)</f>
        <v/>
      </c>
      <c r="AI63" s="108">
        <f>ABS(AU$1-AU63)</f>
        <v/>
      </c>
      <c r="AJ63" s="108">
        <f>(AV63-Driver!$K$179)/(Driver!$L$179-Driver!$K$179)</f>
        <v/>
      </c>
      <c r="AK63" s="108">
        <f>(AW63-Driver!$K$180)/(Driver!$L$180-Driver!$K$180)</f>
        <v/>
      </c>
      <c r="AL63" s="108">
        <f>(AX63-Driver!$K$181)/(Driver!$L$181-Driver!$K$181)</f>
        <v/>
      </c>
      <c r="AM63" s="108">
        <f>(AY63-Driver!$K$182)/(Driver!$L$182-Driver!$K$182)</f>
        <v/>
      </c>
      <c r="AN63" s="108">
        <f>(AZ63-Driver!$K$183)/(Driver!$L$183-Driver!$K$183)</f>
        <v/>
      </c>
      <c r="AO63" s="108" t="n"/>
      <c r="AP63" s="108" t="n"/>
      <c r="AQ63" s="108">
        <f>(BC63-Driver!$K$188)/(Driver!$L$188-Driver!$K$188)</f>
        <v/>
      </c>
      <c r="AR63" s="108">
        <f>MIN((BD63-Driver!$K$189)/(Driver!$L$189-Driver!$K$189),100%)</f>
        <v/>
      </c>
      <c r="AS63" s="108">
        <f>(BE63-Driver!$K$190)/(Driver!$L$190-Driver!$K$190)</f>
        <v/>
      </c>
      <c r="AT63" s="108">
        <f>(BF63-Driver!$K$191)/(Driver!$L$191-Driver!$K$191)</f>
        <v/>
      </c>
      <c r="AU63" s="108">
        <f>(BG63-Driver!$K$192)/(Driver!$L$192-Driver!$K$192)</f>
        <v/>
      </c>
      <c r="AV63" s="105">
        <f>IFERROR(BM63*BJ63^1/4,"")</f>
        <v/>
      </c>
      <c r="AW63" s="105">
        <f>IFERROR(SUM(AX63:AZ63),"")</f>
        <v/>
      </c>
      <c r="AX63" s="105">
        <f>IFERROR(BH63,"")</f>
        <v/>
      </c>
      <c r="AY63" s="105">
        <f>IFERROR(Driver!$K$19/Data!BH63/Data!BI63*Data!BK63*Data!BL63,"")</f>
        <v/>
      </c>
      <c r="AZ63" s="105">
        <f>IFERROR(BI63*BN63,"")</f>
        <v/>
      </c>
      <c r="BA63" s="105" t="n"/>
      <c r="BB63" s="105" t="n"/>
      <c r="BC63" s="105">
        <f>IFERROR(BI63*BN63*BK63/BJ63^(1/2),"")</f>
        <v/>
      </c>
      <c r="BD63" s="105">
        <f>IFERROR(BH63*BM63*BL63/BJ63/BK63,"")</f>
        <v/>
      </c>
      <c r="BE63" s="105">
        <f>IFERROR(MIN(BI63/BQ63/BP63/BO63/BH63,$BE$1),"")</f>
        <v/>
      </c>
      <c r="BF63" s="105">
        <f>IFERROR(BJ63*BO63*BP63/BK63,"")</f>
        <v/>
      </c>
      <c r="BG63" s="105">
        <f>IFERROR(1/BM63/BH63*BQ63,"")</f>
        <v/>
      </c>
      <c r="BH63" s="102">
        <f>MAX((CE63-Driver!$F$200)/(Driver!$G$200-Driver!$F$200)*$BI$1,1)</f>
        <v/>
      </c>
      <c r="BI63" s="102">
        <f>MAX($BI$1*(BY63-Driver!$F$201)/(Driver!$G$201-Driver!$F$201),1)</f>
        <v/>
      </c>
      <c r="BJ63" s="102">
        <f>(CB63-Driver!$F$206)/(Driver!$G$206-Driver!$F$206)*$BI$1</f>
        <v/>
      </c>
      <c r="BK63" s="102">
        <f>(CD63-Driver!$F$203)/(Driver!$G$203-Driver!$F$203)*$BI$1</f>
        <v/>
      </c>
      <c r="BL63" s="102">
        <f>MAX((CR63-Driver!$F$202)/(Driver!$G$202-Driver!$F$202)*$BI$1,1)</f>
        <v/>
      </c>
      <c r="BM63" s="102">
        <f>MAX((CH63-Driver!$F$204)/(Driver!$G$204-Driver!$F$204)*$BI$1,1)</f>
        <v/>
      </c>
      <c r="BN63" s="102">
        <f>(CI63-Driver!$F$205)/(Driver!$G$205-Driver!$F$205)*$BI$1</f>
        <v/>
      </c>
      <c r="BO63" s="102">
        <f>(CK63-Driver!$F$207)/(Driver!$G$207-Driver!$F$207)*$BI$1</f>
        <v/>
      </c>
      <c r="BP63" s="102">
        <f>(CM63-Driver!$F$208)/(Driver!$G$208-Driver!$F$208)*$BI$1</f>
        <v/>
      </c>
      <c r="BQ63" s="102">
        <f>(CL63-Driver!$F$209)/(Driver!$G$209-Driver!$F$209)*$BI$1</f>
        <v/>
      </c>
      <c r="BR63" s="40" t="inlineStr">
        <is>
          <t>21/22</t>
        </is>
      </c>
      <c r="BS63" s="10" t="inlineStr">
        <is>
          <t xml:space="preserve"> Salomon</t>
        </is>
      </c>
      <c r="BT63" s="11" t="inlineStr">
        <is>
          <t>MTN Explore 95</t>
        </is>
      </c>
      <c r="BU63" s="13" t="n">
        <v>184</v>
      </c>
      <c r="BV63" s="11" t="inlineStr">
        <is>
          <t xml:space="preserve"> Unisex</t>
        </is>
      </c>
      <c r="BW63" s="13" t="n">
        <v>184</v>
      </c>
      <c r="BX63" s="13" t="n">
        <v>183.6</v>
      </c>
      <c r="BY63" s="13" t="n">
        <v>145</v>
      </c>
      <c r="BZ63" s="13" t="n">
        <v>153</v>
      </c>
      <c r="CA63" s="13" t="n">
        <v>131</v>
      </c>
      <c r="CB63" s="13" t="n">
        <v>95</v>
      </c>
      <c r="CC63" s="13" t="n">
        <v>117</v>
      </c>
      <c r="CD63" s="13" t="n">
        <v>18.9</v>
      </c>
      <c r="CE63" s="13" t="n">
        <v>1701</v>
      </c>
      <c r="CF63" s="13" t="n">
        <v>1.15</v>
      </c>
      <c r="CG63" s="13" t="n">
        <v>1959</v>
      </c>
      <c r="CH63" s="13" t="n">
        <v>219</v>
      </c>
      <c r="CI63" s="13" t="n">
        <v>88</v>
      </c>
      <c r="CJ63" s="13" t="n">
        <v>50</v>
      </c>
      <c r="CK63" s="13" t="n">
        <v>289</v>
      </c>
      <c r="CL63" s="13" t="n">
        <v>7</v>
      </c>
      <c r="CM63" s="13" t="n">
        <v>99</v>
      </c>
      <c r="CN63" s="13" t="n">
        <v>0.142</v>
      </c>
      <c r="CO63" s="13" t="n">
        <v>199</v>
      </c>
      <c r="CP63" s="13" t="n">
        <v>110</v>
      </c>
      <c r="CQ63" s="13" t="n">
        <v>90</v>
      </c>
      <c r="CR63" s="13" t="n">
        <v>10</v>
      </c>
      <c r="CS63" s="13" t="n">
        <v>10.9</v>
      </c>
      <c r="CT63" s="11" t="inlineStr">
        <is>
          <t xml:space="preserve"> Resort Freeride</t>
        </is>
      </c>
      <c r="CU63" s="11" t="inlineStr">
        <is>
          <t xml:space="preserve"> Touring</t>
        </is>
      </c>
      <c r="CV63" s="13" t="n"/>
      <c r="CW63" s="13" t="n"/>
      <c r="CX63">
        <f>INDEX('Data_Price '!AG$2:AG$1266,MATCH(Data!$DN63,'Data_Price '!$AT$2:$AT$1266,0))</f>
        <v/>
      </c>
      <c r="CY63">
        <f>INDEX('Data_Price '!AH$2:AH$1266,MATCH(Data!$DN63,'Data_Price '!$AT$2:$AT$1266,0))</f>
        <v/>
      </c>
      <c r="CZ63">
        <f>INDEX('Data_Price '!AI$2:AI$1266,MATCH(Data!$DN63,'Data_Price '!$AT$2:$AT$1266,0))</f>
        <v/>
      </c>
      <c r="DA63">
        <f>INDEX('Data_Price '!AJ$2:AJ$1266,MATCH(Data!$DN63,'Data_Price '!$AT$2:$AT$1266,0))</f>
        <v/>
      </c>
      <c r="DB63">
        <f>INDEX('Data_Price '!AK$2:AK$1266,MATCH(Data!$DN63,'Data_Price '!$AT$2:$AT$1266,0))</f>
        <v/>
      </c>
      <c r="DC63">
        <f>INDEX('Data_Price '!AL$2:AL$1266,MATCH(Data!$DN63,'Data_Price '!$AT$2:$AT$1266,0))</f>
        <v/>
      </c>
      <c r="DD63">
        <f>INDEX('Data_Price '!AM$2:AM$1266,MATCH(Data!$DN63,'Data_Price '!$AT$2:$AT$1266,0))</f>
        <v/>
      </c>
      <c r="DE63">
        <f>INDEX('Data_Price '!AN$2:AN$1266,MATCH(Data!$DN63,'Data_Price '!$AT$2:$AT$1266,0))</f>
        <v/>
      </c>
      <c r="DF63">
        <f>INDEX('Data_Price '!AO$2:AO$1266,MATCH(Data!$DN63,'Data_Price '!$AT$2:$AT$1266,0))</f>
        <v/>
      </c>
      <c r="DG63">
        <f>INDEX('Data_Price '!AP$2:AP$1266,MATCH(Data!$DN63,'Data_Price '!$AT$2:$AT$1266,0))</f>
        <v/>
      </c>
      <c r="DH63">
        <f>INDEX('Data_Price '!AQ$2:AQ$1266,MATCH(Data!$DN63,'Data_Price '!$AT$2:$AT$1266,0))</f>
        <v/>
      </c>
      <c r="DI63">
        <f>INDEX('Data_Price '!AR$2:AR$1266,MATCH(Data!$DN63,'Data_Price '!$AT$2:$AT$1266,0))</f>
        <v/>
      </c>
      <c r="DJ63" s="138">
        <f>DA63</f>
        <v/>
      </c>
      <c r="DK63" s="138">
        <f>DE63</f>
        <v/>
      </c>
      <c r="DL63" s="138">
        <f>DI63</f>
        <v/>
      </c>
      <c r="DM63" s="303">
        <f>IF(LEFT(BT63,1)=" ",RIGHT(BT63,LEN(BT63)-1),BT63)</f>
        <v/>
      </c>
      <c r="DN63" s="138">
        <f>_xlfn.CONCAT(BS63,DM63,BU63,BV63)</f>
        <v/>
      </c>
      <c r="DO63" s="307" t="inlineStr">
        <is>
          <t>https://images.evo.com/imgp/250/197284/812037/clone.jpg</t>
        </is>
      </c>
    </row>
    <row r="64" ht="15.6" customHeight="1" s="184">
      <c r="B64" s="303">
        <f t="array" ref="B64">IF(OR(ISERROR(K64:P64)),FALSE,TRUE)</f>
        <v/>
      </c>
      <c r="C64" s="60">
        <f>OR(BR64=Driver!$G$50,Data!BR346=Driver!$H$50)</f>
        <v/>
      </c>
      <c r="D64" s="60">
        <f>OR(BV64=Driver!$G$51,BV64=Driver!$H$51)</f>
        <v/>
      </c>
      <c r="E64" s="60">
        <f>AND(BX64&gt;Driver!$F$54,BX64&lt;Driver!$G$54)</f>
        <v/>
      </c>
      <c r="F64" s="60">
        <f>CL64&gt;Driver!$F$56</f>
        <v/>
      </c>
      <c r="G64" s="60">
        <f>AND(CB64&gt;Driver!$F$55,CB64&lt;Driver!$G$55)</f>
        <v/>
      </c>
      <c r="H64" s="60">
        <f>AND(B64:G64)</f>
        <v/>
      </c>
      <c r="I64" s="60">
        <f>COUNTIFS($H$9:$H$1273,TRUE,$BT$9:$BT$1273,BT64)</f>
        <v/>
      </c>
      <c r="J64" s="60">
        <f t="array" ref="J64">NOT(OR(($H$9:$H$1273=TRUE)*($I$9:$I$1273&gt;0)*($BT$9:$BT$1273=BT64)*($K$9:$K$1273&gt;K64)))</f>
        <v/>
      </c>
      <c r="K64" s="108">
        <f>IFERROR(1-AVERAGE(X64:Y64),"")</f>
        <v/>
      </c>
      <c r="L64" s="108">
        <f>1-X64</f>
        <v/>
      </c>
      <c r="M64" s="108">
        <f>1-Y64</f>
        <v/>
      </c>
      <c r="N64" s="108">
        <f>1-Z64</f>
        <v/>
      </c>
      <c r="O64" s="108">
        <f>1-AA64</f>
        <v/>
      </c>
      <c r="P64" s="108">
        <f>1-AB64</f>
        <v/>
      </c>
      <c r="Q64" s="108" t="n"/>
      <c r="R64" s="108" t="n"/>
      <c r="S64" s="108">
        <f>1-AE64</f>
        <v/>
      </c>
      <c r="T64" s="108">
        <f>1-AF64</f>
        <v/>
      </c>
      <c r="U64" s="108">
        <f>1-AG64</f>
        <v/>
      </c>
      <c r="V64" s="108">
        <f>1-AH64</f>
        <v/>
      </c>
      <c r="W64" s="108">
        <f>1-AI64</f>
        <v/>
      </c>
      <c r="X64" s="108">
        <f>ABS(AJ64-AJ$1)</f>
        <v/>
      </c>
      <c r="Y64" s="108">
        <f>AVERAGE(Z64:AB64)</f>
        <v/>
      </c>
      <c r="Z64" s="108">
        <f>ABS(AL64-AL$1)</f>
        <v/>
      </c>
      <c r="AA64" s="108">
        <f>ABS(AM64-AM$1)</f>
        <v/>
      </c>
      <c r="AB64" s="108">
        <f>ABS(AN64-AN$1)</f>
        <v/>
      </c>
      <c r="AC64" s="108" t="n"/>
      <c r="AD64" s="108" t="n"/>
      <c r="AE64" s="108">
        <f>ABS(AQ$1-AQ64)</f>
        <v/>
      </c>
      <c r="AF64" s="108">
        <f>ABS(AR$1-AR64)</f>
        <v/>
      </c>
      <c r="AG64" s="108">
        <f>ABS(AS$1-AS64)</f>
        <v/>
      </c>
      <c r="AH64" s="108">
        <f>ABS(AT$1-AT64)</f>
        <v/>
      </c>
      <c r="AI64" s="108">
        <f>ABS(AU$1-AU64)</f>
        <v/>
      </c>
      <c r="AJ64" s="108">
        <f>(AV64-Driver!$K$179)/(Driver!$L$179-Driver!$K$179)</f>
        <v/>
      </c>
      <c r="AK64" s="108">
        <f>(AW64-Driver!$K$180)/(Driver!$L$180-Driver!$K$180)</f>
        <v/>
      </c>
      <c r="AL64" s="108">
        <f>(AX64-Driver!$K$181)/(Driver!$L$181-Driver!$K$181)</f>
        <v/>
      </c>
      <c r="AM64" s="108">
        <f>(AY64-Driver!$K$182)/(Driver!$L$182-Driver!$K$182)</f>
        <v/>
      </c>
      <c r="AN64" s="108">
        <f>(AZ64-Driver!$K$183)/(Driver!$L$183-Driver!$K$183)</f>
        <v/>
      </c>
      <c r="AO64" s="108" t="n"/>
      <c r="AP64" s="108" t="n"/>
      <c r="AQ64" s="108">
        <f>(BC64-Driver!$K$188)/(Driver!$L$188-Driver!$K$188)</f>
        <v/>
      </c>
      <c r="AR64" s="108">
        <f>MIN((BD64-Driver!$K$189)/(Driver!$L$189-Driver!$K$189),100%)</f>
        <v/>
      </c>
      <c r="AS64" s="108">
        <f>(BE64-Driver!$K$190)/(Driver!$L$190-Driver!$K$190)</f>
        <v/>
      </c>
      <c r="AT64" s="108">
        <f>(BF64-Driver!$K$191)/(Driver!$L$191-Driver!$K$191)</f>
        <v/>
      </c>
      <c r="AU64" s="108">
        <f>(BG64-Driver!$K$192)/(Driver!$L$192-Driver!$K$192)</f>
        <v/>
      </c>
      <c r="AV64" s="105">
        <f>IFERROR(BM64*BJ64^1/4,"")</f>
        <v/>
      </c>
      <c r="AW64" s="105">
        <f>IFERROR(SUM(AX64:AZ64),"")</f>
        <v/>
      </c>
      <c r="AX64" s="105">
        <f>IFERROR(BH64,"")</f>
        <v/>
      </c>
      <c r="AY64" s="105">
        <f>IFERROR(Driver!$K$19/Data!BH64/Data!BI64*Data!BK64*Data!BL64,"")</f>
        <v/>
      </c>
      <c r="AZ64" s="105">
        <f>IFERROR(BI64*BN64,"")</f>
        <v/>
      </c>
      <c r="BA64" s="105" t="n"/>
      <c r="BB64" s="105" t="n"/>
      <c r="BC64" s="105">
        <f>IFERROR(BI64*BN64*BK64/BJ64^(1/2),"")</f>
        <v/>
      </c>
      <c r="BD64" s="105">
        <f>IFERROR(BH64*BM64*BL64/BJ64/BK64,"")</f>
        <v/>
      </c>
      <c r="BE64" s="105">
        <f>IFERROR(MIN(BI64/BQ64/BP64/BO64/BH64,$BE$1),"")</f>
        <v/>
      </c>
      <c r="BF64" s="105">
        <f>IFERROR(BJ64*BO64*BP64/BK64,"")</f>
        <v/>
      </c>
      <c r="BG64" s="105">
        <f>IFERROR(1/BM64/BH64*BQ64,"")</f>
        <v/>
      </c>
      <c r="BH64" s="102">
        <f>MAX((CE64-Driver!$F$200)/(Driver!$G$200-Driver!$F$200)*$BI$1,1)</f>
        <v/>
      </c>
      <c r="BI64" s="102">
        <f>MAX($BI$1*(BY64-Driver!$F$201)/(Driver!$G$201-Driver!$F$201),1)</f>
        <v/>
      </c>
      <c r="BJ64" s="102">
        <f>(CB64-Driver!$F$206)/(Driver!$G$206-Driver!$F$206)*$BI$1</f>
        <v/>
      </c>
      <c r="BK64" s="102">
        <f>(CD64-Driver!$F$203)/(Driver!$G$203-Driver!$F$203)*$BI$1</f>
        <v/>
      </c>
      <c r="BL64" s="102">
        <f>MAX((CR64-Driver!$F$202)/(Driver!$G$202-Driver!$F$202)*$BI$1,1)</f>
        <v/>
      </c>
      <c r="BM64" s="102">
        <f>MAX((CH64-Driver!$F$204)/(Driver!$G$204-Driver!$F$204)*$BI$1,1)</f>
        <v/>
      </c>
      <c r="BN64" s="102">
        <f>(CI64-Driver!$F$205)/(Driver!$G$205-Driver!$F$205)*$BI$1</f>
        <v/>
      </c>
      <c r="BO64" s="102">
        <f>(CK64-Driver!$F$207)/(Driver!$G$207-Driver!$F$207)*$BI$1</f>
        <v/>
      </c>
      <c r="BP64" s="102">
        <f>(CM64-Driver!$F$208)/(Driver!$G$208-Driver!$F$208)*$BI$1</f>
        <v/>
      </c>
      <c r="BQ64" s="102">
        <f>(CL64-Driver!$F$209)/(Driver!$G$209-Driver!$F$209)*$BI$1</f>
        <v/>
      </c>
      <c r="BR64" s="40" t="inlineStr">
        <is>
          <t>21/22</t>
        </is>
      </c>
      <c r="BS64" s="10" t="inlineStr">
        <is>
          <t xml:space="preserve"> DPS</t>
        </is>
      </c>
      <c r="BT64" s="11" t="inlineStr">
        <is>
          <t>Pagoda Piste 100 C2</t>
        </is>
      </c>
      <c r="BU64" s="13" t="n">
        <v>157</v>
      </c>
      <c r="BV64" s="11" t="inlineStr">
        <is>
          <t xml:space="preserve"> Unisex</t>
        </is>
      </c>
      <c r="BW64" s="13" t="n">
        <v>157</v>
      </c>
      <c r="BX64" s="13" t="n">
        <v>156.8</v>
      </c>
      <c r="BY64" s="13" t="n">
        <v>118</v>
      </c>
      <c r="BZ64" s="13" t="n">
        <v>121</v>
      </c>
      <c r="CA64" s="13" t="n">
        <v>125</v>
      </c>
      <c r="CB64" s="13" t="n">
        <v>100</v>
      </c>
      <c r="CC64" s="13" t="n">
        <v>111</v>
      </c>
      <c r="CD64" s="13" t="n">
        <v>18.8</v>
      </c>
      <c r="CE64" s="13" t="n">
        <v>1559</v>
      </c>
      <c r="CF64" s="13" t="n">
        <v>1.08</v>
      </c>
      <c r="CG64" s="13" t="n">
        <v>1683</v>
      </c>
      <c r="CH64" s="13" t="n">
        <v>175</v>
      </c>
      <c r="CI64" s="13" t="n">
        <v>104</v>
      </c>
      <c r="CJ64" s="13" t="n">
        <v>35</v>
      </c>
      <c r="CK64" s="13" t="n">
        <v>223</v>
      </c>
      <c r="CL64" s="13" t="n">
        <v>18</v>
      </c>
      <c r="CM64" s="13" t="n">
        <v>169</v>
      </c>
      <c r="CN64" s="13" t="n">
        <v>0.508</v>
      </c>
      <c r="CO64" s="13" t="n">
        <v>170</v>
      </c>
      <c r="CP64" s="13" t="n">
        <v>184</v>
      </c>
      <c r="CQ64" s="13" t="n">
        <v>53</v>
      </c>
      <c r="CR64" s="13" t="n">
        <v>7</v>
      </c>
      <c r="CS64" s="13" t="n">
        <v>10.2</v>
      </c>
      <c r="CT64" s="11" t="inlineStr">
        <is>
          <t xml:space="preserve"> Resort Freeride</t>
        </is>
      </c>
      <c r="CU64" s="11" t="inlineStr">
        <is>
          <t xml:space="preserve"> Touring</t>
        </is>
      </c>
      <c r="CV64" s="13" t="n"/>
      <c r="CW64" s="13" t="n"/>
      <c r="CX64">
        <f>INDEX('Data_Price '!AG$2:AG$1266,MATCH(Data!$DN64,'Data_Price '!$AT$2:$AT$1266,0))</f>
        <v/>
      </c>
      <c r="CY64">
        <f>INDEX('Data_Price '!AH$2:AH$1266,MATCH(Data!$DN64,'Data_Price '!$AT$2:$AT$1266,0))</f>
        <v/>
      </c>
      <c r="CZ64">
        <f>INDEX('Data_Price '!AI$2:AI$1266,MATCH(Data!$DN64,'Data_Price '!$AT$2:$AT$1266,0))</f>
        <v/>
      </c>
      <c r="DA64">
        <f>INDEX('Data_Price '!AJ$2:AJ$1266,MATCH(Data!$DN64,'Data_Price '!$AT$2:$AT$1266,0))</f>
        <v/>
      </c>
      <c r="DB64">
        <f>INDEX('Data_Price '!AK$2:AK$1266,MATCH(Data!$DN64,'Data_Price '!$AT$2:$AT$1266,0))</f>
        <v/>
      </c>
      <c r="DC64">
        <f>INDEX('Data_Price '!AL$2:AL$1266,MATCH(Data!$DN64,'Data_Price '!$AT$2:$AT$1266,0))</f>
        <v/>
      </c>
      <c r="DD64">
        <f>INDEX('Data_Price '!AM$2:AM$1266,MATCH(Data!$DN64,'Data_Price '!$AT$2:$AT$1266,0))</f>
        <v/>
      </c>
      <c r="DE64">
        <f>INDEX('Data_Price '!AN$2:AN$1266,MATCH(Data!$DN64,'Data_Price '!$AT$2:$AT$1266,0))</f>
        <v/>
      </c>
      <c r="DF64">
        <f>INDEX('Data_Price '!AO$2:AO$1266,MATCH(Data!$DN64,'Data_Price '!$AT$2:$AT$1266,0))</f>
        <v/>
      </c>
      <c r="DG64">
        <f>INDEX('Data_Price '!AP$2:AP$1266,MATCH(Data!$DN64,'Data_Price '!$AT$2:$AT$1266,0))</f>
        <v/>
      </c>
      <c r="DH64">
        <f>INDEX('Data_Price '!AQ$2:AQ$1266,MATCH(Data!$DN64,'Data_Price '!$AT$2:$AT$1266,0))</f>
        <v/>
      </c>
      <c r="DI64">
        <f>INDEX('Data_Price '!AR$2:AR$1266,MATCH(Data!$DN64,'Data_Price '!$AT$2:$AT$1266,0))</f>
        <v/>
      </c>
      <c r="DJ64" s="138">
        <f>DA64</f>
        <v/>
      </c>
      <c r="DK64" s="138">
        <f>DE64</f>
        <v/>
      </c>
      <c r="DL64" s="138">
        <f>DI64</f>
        <v/>
      </c>
      <c r="DM64" s="303">
        <f>IF(LEFT(BT64,1)=" ",RIGHT(BT64,LEN(BT64)-1),BT64)</f>
        <v/>
      </c>
      <c r="DN64" s="138">
        <f>_xlfn.CONCAT(BS64,DM64,BU64,BV64)</f>
        <v/>
      </c>
      <c r="DO64" s="307" t="n"/>
    </row>
    <row r="65" ht="15.6" customHeight="1" s="184">
      <c r="B65" s="303">
        <f t="array" ref="B65">IF(OR(ISERROR(K65:P65)),FALSE,TRUE)</f>
        <v/>
      </c>
      <c r="C65" s="60">
        <f>OR(BR65=Driver!$G$50,Data!BR9=Driver!$H$50)</f>
        <v/>
      </c>
      <c r="D65" s="60">
        <f>OR(BV65=Driver!$G$51,BV65=Driver!$H$51)</f>
        <v/>
      </c>
      <c r="E65" s="60">
        <f>AND(BX65&gt;Driver!$F$54,BX65&lt;Driver!$G$54)</f>
        <v/>
      </c>
      <c r="F65" s="60">
        <f>CL65&gt;Driver!$F$56</f>
        <v/>
      </c>
      <c r="G65" s="60">
        <f>AND(CB65&gt;Driver!$F$55,CB65&lt;Driver!$G$55)</f>
        <v/>
      </c>
      <c r="H65" s="60">
        <f>AND(B65:G65)</f>
        <v/>
      </c>
      <c r="I65" s="60">
        <f>COUNTIFS($H$9:$H$1273,TRUE,$BT$9:$BT$1273,BT65)</f>
        <v/>
      </c>
      <c r="J65" s="60">
        <f t="array" ref="J65">NOT(OR(($H$9:$H$1273=TRUE)*($I$9:$I$1273&gt;0)*($BT$9:$BT$1273=BT65)*($K$9:$K$1273&gt;K65)))</f>
        <v/>
      </c>
      <c r="K65" s="108">
        <f>IFERROR(1-AVERAGE(X65:Y65),"")</f>
        <v/>
      </c>
      <c r="L65" s="108">
        <f>1-X65</f>
        <v/>
      </c>
      <c r="M65" s="108">
        <f>1-Y65</f>
        <v/>
      </c>
      <c r="N65" s="108">
        <f>1-Z65</f>
        <v/>
      </c>
      <c r="O65" s="108">
        <f>1-AA65</f>
        <v/>
      </c>
      <c r="P65" s="108">
        <f>1-AB65</f>
        <v/>
      </c>
      <c r="Q65" s="108" t="n"/>
      <c r="R65" s="108" t="n"/>
      <c r="S65" s="108">
        <f>1-AE65</f>
        <v/>
      </c>
      <c r="T65" s="108">
        <f>1-AF65</f>
        <v/>
      </c>
      <c r="U65" s="108">
        <f>1-AG65</f>
        <v/>
      </c>
      <c r="V65" s="108">
        <f>1-AH65</f>
        <v/>
      </c>
      <c r="W65" s="108">
        <f>1-AI65</f>
        <v/>
      </c>
      <c r="X65" s="108">
        <f>ABS(AJ65-AJ$1)</f>
        <v/>
      </c>
      <c r="Y65" s="108">
        <f>AVERAGE(Z65:AB65)</f>
        <v/>
      </c>
      <c r="Z65" s="108">
        <f>ABS(AL65-AL$1)</f>
        <v/>
      </c>
      <c r="AA65" s="108">
        <f>ABS(AM65-AM$1)</f>
        <v/>
      </c>
      <c r="AB65" s="108">
        <f>ABS(AN65-AN$1)</f>
        <v/>
      </c>
      <c r="AC65" s="108" t="n"/>
      <c r="AD65" s="108" t="n"/>
      <c r="AE65" s="108">
        <f>ABS(AQ$1-AQ65)</f>
        <v/>
      </c>
      <c r="AF65" s="108">
        <f>ABS(AR$1-AR65)</f>
        <v/>
      </c>
      <c r="AG65" s="108">
        <f>ABS(AS$1-AS65)</f>
        <v/>
      </c>
      <c r="AH65" s="108">
        <f>ABS(AT$1-AT65)</f>
        <v/>
      </c>
      <c r="AI65" s="108">
        <f>ABS(AU$1-AU65)</f>
        <v/>
      </c>
      <c r="AJ65" s="108">
        <f>(AV65-Driver!$K$179)/(Driver!$L$179-Driver!$K$179)</f>
        <v/>
      </c>
      <c r="AK65" s="108">
        <f>(AW65-Driver!$K$180)/(Driver!$L$180-Driver!$K$180)</f>
        <v/>
      </c>
      <c r="AL65" s="108">
        <f>(AX65-Driver!$K$181)/(Driver!$L$181-Driver!$K$181)</f>
        <v/>
      </c>
      <c r="AM65" s="108">
        <f>(AY65-Driver!$K$182)/(Driver!$L$182-Driver!$K$182)</f>
        <v/>
      </c>
      <c r="AN65" s="108">
        <f>(AZ65-Driver!$K$183)/(Driver!$L$183-Driver!$K$183)</f>
        <v/>
      </c>
      <c r="AO65" s="108" t="n"/>
      <c r="AP65" s="108" t="n"/>
      <c r="AQ65" s="108">
        <f>(BC65-Driver!$K$188)/(Driver!$L$188-Driver!$K$188)</f>
        <v/>
      </c>
      <c r="AR65" s="108">
        <f>MIN((BD65-Driver!$K$189)/(Driver!$L$189-Driver!$K$189),100%)</f>
        <v/>
      </c>
      <c r="AS65" s="108">
        <f>(BE65-Driver!$K$190)/(Driver!$L$190-Driver!$K$190)</f>
        <v/>
      </c>
      <c r="AT65" s="108">
        <f>(BF65-Driver!$K$191)/(Driver!$L$191-Driver!$K$191)</f>
        <v/>
      </c>
      <c r="AU65" s="108">
        <f>(BG65-Driver!$K$192)/(Driver!$L$192-Driver!$K$192)</f>
        <v/>
      </c>
      <c r="AV65" s="105">
        <f>IFERROR(BM65*BJ65^1/4,"")</f>
        <v/>
      </c>
      <c r="AW65" s="105">
        <f>IFERROR(SUM(AX65:AZ65),"")</f>
        <v/>
      </c>
      <c r="AX65" s="105">
        <f>IFERROR(BH65,"")</f>
        <v/>
      </c>
      <c r="AY65" s="105">
        <f>IFERROR(Driver!$K$19/Data!BH65/Data!BI65*Data!BK65*Data!BL65,"")</f>
        <v/>
      </c>
      <c r="AZ65" s="105">
        <f>IFERROR(BI65*BN65,"")</f>
        <v/>
      </c>
      <c r="BA65" s="105" t="n"/>
      <c r="BB65" s="105" t="n"/>
      <c r="BC65" s="105">
        <f>IFERROR(BI65*BN65*BK65/BJ65^(1/2),"")</f>
        <v/>
      </c>
      <c r="BD65" s="105">
        <f>IFERROR(BH65*BM65*BL65/BJ65/BK65,"")</f>
        <v/>
      </c>
      <c r="BE65" s="105">
        <f>IFERROR(MIN(BI65/BQ65/BP65/BO65/BH65,$BE$1),"")</f>
        <v/>
      </c>
      <c r="BF65" s="105">
        <f>IFERROR(BJ65*BO65*BP65/BK65,"")</f>
        <v/>
      </c>
      <c r="BG65" s="105">
        <f>IFERROR(1/BM65/BH65*BQ65,"")</f>
        <v/>
      </c>
      <c r="BH65" s="102">
        <f>MAX((CE65-Driver!$F$200)/(Driver!$G$200-Driver!$F$200)*$BI$1,1)</f>
        <v/>
      </c>
      <c r="BI65" s="102">
        <f>MAX($BI$1*(BY65-Driver!$F$201)/(Driver!$G$201-Driver!$F$201),1)</f>
        <v/>
      </c>
      <c r="BJ65" s="102">
        <f>(CB65-Driver!$F$206)/(Driver!$G$206-Driver!$F$206)*$BI$1</f>
        <v/>
      </c>
      <c r="BK65" s="102">
        <f>(CD65-Driver!$F$203)/(Driver!$G$203-Driver!$F$203)*$BI$1</f>
        <v/>
      </c>
      <c r="BL65" s="102">
        <f>MAX((CR65-Driver!$F$202)/(Driver!$G$202-Driver!$F$202)*$BI$1,1)</f>
        <v/>
      </c>
      <c r="BM65" s="102">
        <f>MAX((CH65-Driver!$F$204)/(Driver!$G$204-Driver!$F$204)*$BI$1,1)</f>
        <v/>
      </c>
      <c r="BN65" s="102">
        <f>(CI65-Driver!$F$205)/(Driver!$G$205-Driver!$F$205)*$BI$1</f>
        <v/>
      </c>
      <c r="BO65" s="102">
        <f>(CK65-Driver!$F$207)/(Driver!$G$207-Driver!$F$207)*$BI$1</f>
        <v/>
      </c>
      <c r="BP65" s="102">
        <f>(CM65-Driver!$F$208)/(Driver!$G$208-Driver!$F$208)*$BI$1</f>
        <v/>
      </c>
      <c r="BQ65" s="102">
        <f>(CL65-Driver!$F$209)/(Driver!$G$209-Driver!$F$209)*$BI$1</f>
        <v/>
      </c>
      <c r="BR65" s="40" t="inlineStr">
        <is>
          <t>22/23</t>
        </is>
      </c>
      <c r="BS65" s="10" t="inlineStr">
        <is>
          <t xml:space="preserve"> DPS</t>
        </is>
      </c>
      <c r="BT65" s="11" t="inlineStr">
        <is>
          <t>Pagoda Tour 100 RP</t>
        </is>
      </c>
      <c r="BU65" s="13" t="n">
        <v>171</v>
      </c>
      <c r="BV65" s="11" t="inlineStr">
        <is>
          <t xml:space="preserve"> Unisex</t>
        </is>
      </c>
      <c r="BW65" s="13" t="n">
        <v>171</v>
      </c>
      <c r="BX65" s="13" t="n">
        <v>169.4</v>
      </c>
      <c r="BY65" s="13" t="n">
        <v>107</v>
      </c>
      <c r="BZ65" s="13" t="n">
        <v>130</v>
      </c>
      <c r="CA65" s="13" t="n">
        <v>129</v>
      </c>
      <c r="CB65" s="13" t="n">
        <v>100</v>
      </c>
      <c r="CC65" s="13" t="n">
        <v>115</v>
      </c>
      <c r="CD65" s="13" t="n">
        <v>15.3</v>
      </c>
      <c r="CE65" s="13" t="n">
        <v>1410</v>
      </c>
      <c r="CF65" s="13" t="n">
        <v>1.32</v>
      </c>
      <c r="CG65" s="13" t="n">
        <v>1864</v>
      </c>
      <c r="CH65" s="13" t="n">
        <v>217</v>
      </c>
      <c r="CI65" s="13" t="n">
        <v>104</v>
      </c>
      <c r="CJ65" s="13" t="n">
        <v>61</v>
      </c>
      <c r="CK65" s="13" t="n">
        <v>353</v>
      </c>
      <c r="CL65" s="13" t="n">
        <v>14</v>
      </c>
      <c r="CM65" s="13" t="n">
        <v>267</v>
      </c>
      <c r="CN65" s="13" t="n">
        <v>0.233</v>
      </c>
      <c r="CO65" s="13" t="n">
        <v>214</v>
      </c>
      <c r="CP65" s="13" t="n">
        <v>182</v>
      </c>
      <c r="CQ65" s="13" t="n">
        <v>139</v>
      </c>
      <c r="CR65" s="13" t="n">
        <v>4</v>
      </c>
      <c r="CS65" s="13" t="n">
        <v>11.9</v>
      </c>
      <c r="CT65" s="11" t="inlineStr">
        <is>
          <t xml:space="preserve"> Touring</t>
        </is>
      </c>
      <c r="CU65" s="11" t="inlineStr">
        <is>
          <t xml:space="preserve"> Ultralight Touring</t>
        </is>
      </c>
      <c r="CV65" s="13" t="n"/>
      <c r="CW65" s="13" t="n"/>
      <c r="CX65">
        <f>INDEX('Data_Price '!AG$2:AG$1266,MATCH(Data!$DN65,'Data_Price '!$AT$2:$AT$1266,0))</f>
        <v/>
      </c>
      <c r="CY65">
        <f>INDEX('Data_Price '!AH$2:AH$1266,MATCH(Data!$DN65,'Data_Price '!$AT$2:$AT$1266,0))</f>
        <v/>
      </c>
      <c r="CZ65">
        <f>INDEX('Data_Price '!AI$2:AI$1266,MATCH(Data!$DN65,'Data_Price '!$AT$2:$AT$1266,0))</f>
        <v/>
      </c>
      <c r="DA65">
        <f>INDEX('Data_Price '!AJ$2:AJ$1266,MATCH(Data!$DN65,'Data_Price '!$AT$2:$AT$1266,0))</f>
        <v/>
      </c>
      <c r="DB65">
        <f>INDEX('Data_Price '!AK$2:AK$1266,MATCH(Data!$DN65,'Data_Price '!$AT$2:$AT$1266,0))</f>
        <v/>
      </c>
      <c r="DC65">
        <f>INDEX('Data_Price '!AL$2:AL$1266,MATCH(Data!$DN65,'Data_Price '!$AT$2:$AT$1266,0))</f>
        <v/>
      </c>
      <c r="DD65">
        <f>INDEX('Data_Price '!AM$2:AM$1266,MATCH(Data!$DN65,'Data_Price '!$AT$2:$AT$1266,0))</f>
        <v/>
      </c>
      <c r="DE65">
        <f>INDEX('Data_Price '!AN$2:AN$1266,MATCH(Data!$DN65,'Data_Price '!$AT$2:$AT$1266,0))</f>
        <v/>
      </c>
      <c r="DF65">
        <f>INDEX('Data_Price '!AO$2:AO$1266,MATCH(Data!$DN65,'Data_Price '!$AT$2:$AT$1266,0))</f>
        <v/>
      </c>
      <c r="DG65">
        <f>INDEX('Data_Price '!AP$2:AP$1266,MATCH(Data!$DN65,'Data_Price '!$AT$2:$AT$1266,0))</f>
        <v/>
      </c>
      <c r="DH65">
        <f>INDEX('Data_Price '!AQ$2:AQ$1266,MATCH(Data!$DN65,'Data_Price '!$AT$2:$AT$1266,0))</f>
        <v/>
      </c>
      <c r="DI65">
        <f>INDEX('Data_Price '!AR$2:AR$1266,MATCH(Data!$DN65,'Data_Price '!$AT$2:$AT$1266,0))</f>
        <v/>
      </c>
      <c r="DJ65" s="138">
        <f>DA65</f>
        <v/>
      </c>
      <c r="DK65" s="138">
        <f>DE65</f>
        <v/>
      </c>
      <c r="DL65" s="138">
        <f>DI65</f>
        <v/>
      </c>
      <c r="DM65" s="303">
        <f>IF(LEFT(BT65,1)=" ",RIGHT(BT65,LEN(BT65)-1),BT65)</f>
        <v/>
      </c>
      <c r="DN65" s="138">
        <f>_xlfn.CONCAT(BS65,DM65,BU65,BV65)</f>
        <v/>
      </c>
      <c r="DO65" s="307" t="inlineStr">
        <is>
          <t>https://images.evo.com/imgp/250/183638/728544/clone.jpg</t>
        </is>
      </c>
    </row>
    <row r="66" ht="15.6" customHeight="1" s="184">
      <c r="B66" s="303">
        <f t="array" ref="B66">IF(OR(ISERROR(K66:P66)),FALSE,TRUE)</f>
        <v/>
      </c>
      <c r="C66" s="60">
        <f>OR(BR66=Driver!$G$50,Data!BR464=Driver!$H$50)</f>
        <v/>
      </c>
      <c r="D66" s="60">
        <f>OR(BV66=Driver!$G$51,BV66=Driver!$H$51)</f>
        <v/>
      </c>
      <c r="E66" s="60">
        <f>AND(BX66&gt;Driver!$F$54,BX66&lt;Driver!$G$54)</f>
        <v/>
      </c>
      <c r="F66" s="60">
        <f>CL66&gt;Driver!$F$56</f>
        <v/>
      </c>
      <c r="G66" s="60">
        <f>AND(CB66&gt;Driver!$F$55,CB66&lt;Driver!$G$55)</f>
        <v/>
      </c>
      <c r="H66" s="60">
        <f>AND(B66:G66)</f>
        <v/>
      </c>
      <c r="I66" s="60">
        <f>COUNTIFS($H$9:$H$1273,TRUE,$BT$9:$BT$1273,BT66)</f>
        <v/>
      </c>
      <c r="J66" s="60">
        <f t="array" ref="J66">NOT(OR(($H$9:$H$1273=TRUE)*($I$9:$I$1273&gt;0)*($BT$9:$BT$1273=BT66)*($K$9:$K$1273&gt;K66)))</f>
        <v/>
      </c>
      <c r="K66" s="108">
        <f>IFERROR(1-AVERAGE(X66:Y66),"")</f>
        <v/>
      </c>
      <c r="L66" s="108">
        <f>1-X66</f>
        <v/>
      </c>
      <c r="M66" s="108">
        <f>1-Y66</f>
        <v/>
      </c>
      <c r="N66" s="108">
        <f>1-Z66</f>
        <v/>
      </c>
      <c r="O66" s="108">
        <f>1-AA66</f>
        <v/>
      </c>
      <c r="P66" s="108">
        <f>1-AB66</f>
        <v/>
      </c>
      <c r="Q66" s="108" t="n"/>
      <c r="R66" s="108" t="n"/>
      <c r="S66" s="108">
        <f>1-AE66</f>
        <v/>
      </c>
      <c r="T66" s="108">
        <f>1-AF66</f>
        <v/>
      </c>
      <c r="U66" s="108">
        <f>1-AG66</f>
        <v/>
      </c>
      <c r="V66" s="108">
        <f>1-AH66</f>
        <v/>
      </c>
      <c r="W66" s="108">
        <f>1-AI66</f>
        <v/>
      </c>
      <c r="X66" s="108">
        <f>ABS(AJ66-AJ$1)</f>
        <v/>
      </c>
      <c r="Y66" s="108">
        <f>AVERAGE(Z66:AB66)</f>
        <v/>
      </c>
      <c r="Z66" s="108">
        <f>ABS(AL66-AL$1)</f>
        <v/>
      </c>
      <c r="AA66" s="108">
        <f>ABS(AM66-AM$1)</f>
        <v/>
      </c>
      <c r="AB66" s="108">
        <f>ABS(AN66-AN$1)</f>
        <v/>
      </c>
      <c r="AC66" s="108" t="n"/>
      <c r="AD66" s="108" t="n"/>
      <c r="AE66" s="108">
        <f>ABS(AQ$1-AQ66)</f>
        <v/>
      </c>
      <c r="AF66" s="108">
        <f>ABS(AR$1-AR66)</f>
        <v/>
      </c>
      <c r="AG66" s="108">
        <f>ABS(AS$1-AS66)</f>
        <v/>
      </c>
      <c r="AH66" s="108">
        <f>ABS(AT$1-AT66)</f>
        <v/>
      </c>
      <c r="AI66" s="108">
        <f>ABS(AU$1-AU66)</f>
        <v/>
      </c>
      <c r="AJ66" s="108">
        <f>(AV66-Driver!$K$179)/(Driver!$L$179-Driver!$K$179)</f>
        <v/>
      </c>
      <c r="AK66" s="108">
        <f>(AW66-Driver!$K$180)/(Driver!$L$180-Driver!$K$180)</f>
        <v/>
      </c>
      <c r="AL66" s="108">
        <f>(AX66-Driver!$K$181)/(Driver!$L$181-Driver!$K$181)</f>
        <v/>
      </c>
      <c r="AM66" s="108">
        <f>(AY66-Driver!$K$182)/(Driver!$L$182-Driver!$K$182)</f>
        <v/>
      </c>
      <c r="AN66" s="108">
        <f>(AZ66-Driver!$K$183)/(Driver!$L$183-Driver!$K$183)</f>
        <v/>
      </c>
      <c r="AO66" s="108" t="n"/>
      <c r="AP66" s="108" t="n"/>
      <c r="AQ66" s="108">
        <f>(BC66-Driver!$K$188)/(Driver!$L$188-Driver!$K$188)</f>
        <v/>
      </c>
      <c r="AR66" s="108">
        <f>MIN((BD66-Driver!$K$189)/(Driver!$L$189-Driver!$K$189),100%)</f>
        <v/>
      </c>
      <c r="AS66" s="108">
        <f>(BE66-Driver!$K$190)/(Driver!$L$190-Driver!$K$190)</f>
        <v/>
      </c>
      <c r="AT66" s="108">
        <f>(BF66-Driver!$K$191)/(Driver!$L$191-Driver!$K$191)</f>
        <v/>
      </c>
      <c r="AU66" s="108">
        <f>(BG66-Driver!$K$192)/(Driver!$L$192-Driver!$K$192)</f>
        <v/>
      </c>
      <c r="AV66" s="105">
        <f>IFERROR(BM66*BJ66^1/4,"")</f>
        <v/>
      </c>
      <c r="AW66" s="105">
        <f>IFERROR(SUM(AX66:AZ66),"")</f>
        <v/>
      </c>
      <c r="AX66" s="105">
        <f>IFERROR(BH66,"")</f>
        <v/>
      </c>
      <c r="AY66" s="105">
        <f>IFERROR(Driver!$K$19/Data!BH66/Data!BI66*Data!BK66*Data!BL66,"")</f>
        <v/>
      </c>
      <c r="AZ66" s="105">
        <f>IFERROR(BI66*BN66,"")</f>
        <v/>
      </c>
      <c r="BA66" s="105" t="n"/>
      <c r="BB66" s="105" t="n"/>
      <c r="BC66" s="105">
        <f>IFERROR(BI66*BN66*BK66/BJ66^(1/2),"")</f>
        <v/>
      </c>
      <c r="BD66" s="105">
        <f>IFERROR(BH66*BM66*BL66/BJ66/BK66,"")</f>
        <v/>
      </c>
      <c r="BE66" s="105">
        <f>IFERROR(MIN(BI66/BQ66/BP66/BO66/BH66,$BE$1),"")</f>
        <v/>
      </c>
      <c r="BF66" s="105">
        <f>IFERROR(BJ66*BO66*BP66/BK66,"")</f>
        <v/>
      </c>
      <c r="BG66" s="105">
        <f>IFERROR(1/BM66/BH66*BQ66,"")</f>
        <v/>
      </c>
      <c r="BH66" s="102">
        <f>MAX((CE66-Driver!$F$200)/(Driver!$G$200-Driver!$F$200)*$BI$1,1)</f>
        <v/>
      </c>
      <c r="BI66" s="102">
        <f>MAX($BI$1*(BY66-Driver!$F$201)/(Driver!$G$201-Driver!$F$201),1)</f>
        <v/>
      </c>
      <c r="BJ66" s="102">
        <f>(CB66-Driver!$F$206)/(Driver!$G$206-Driver!$F$206)*$BI$1</f>
        <v/>
      </c>
      <c r="BK66" s="102">
        <f>(CD66-Driver!$F$203)/(Driver!$G$203-Driver!$F$203)*$BI$1</f>
        <v/>
      </c>
      <c r="BL66" s="102">
        <f>MAX((CR66-Driver!$F$202)/(Driver!$G$202-Driver!$F$202)*$BI$1,1)</f>
        <v/>
      </c>
      <c r="BM66" s="102">
        <f>MAX((CH66-Driver!$F$204)/(Driver!$G$204-Driver!$F$204)*$BI$1,1)</f>
        <v/>
      </c>
      <c r="BN66" s="102">
        <f>(CI66-Driver!$F$205)/(Driver!$G$205-Driver!$F$205)*$BI$1</f>
        <v/>
      </c>
      <c r="BO66" s="102">
        <f>(CK66-Driver!$F$207)/(Driver!$G$207-Driver!$F$207)*$BI$1</f>
        <v/>
      </c>
      <c r="BP66" s="102">
        <f>(CM66-Driver!$F$208)/(Driver!$G$208-Driver!$F$208)*$BI$1</f>
        <v/>
      </c>
      <c r="BQ66" s="102">
        <f>(CL66-Driver!$F$209)/(Driver!$G$209-Driver!$F$209)*$BI$1</f>
        <v/>
      </c>
      <c r="BR66" s="40" t="inlineStr">
        <is>
          <t>21/22</t>
        </is>
      </c>
      <c r="BS66" s="10" t="inlineStr">
        <is>
          <t xml:space="preserve"> Elan</t>
        </is>
      </c>
      <c r="BT66" s="11" t="inlineStr">
        <is>
          <t>Ripstick 96</t>
        </is>
      </c>
      <c r="BU66" s="13" t="n">
        <v>188</v>
      </c>
      <c r="BV66" s="11" t="inlineStr">
        <is>
          <t xml:space="preserve"> Unisex</t>
        </is>
      </c>
      <c r="BW66" s="13" t="n">
        <v>188</v>
      </c>
      <c r="BX66" s="13" t="n">
        <v>184.2</v>
      </c>
      <c r="BY66" s="13" t="n">
        <v>135</v>
      </c>
      <c r="BZ66" s="13" t="n">
        <v>150</v>
      </c>
      <c r="CA66" s="13" t="n">
        <v>136</v>
      </c>
      <c r="CB66" s="13" t="n">
        <v>94</v>
      </c>
      <c r="CC66" s="13" t="n">
        <v>110</v>
      </c>
      <c r="CD66" s="13" t="n">
        <v>19</v>
      </c>
      <c r="CE66" s="13" t="n">
        <v>1789</v>
      </c>
      <c r="CF66" s="13" t="n">
        <v>1.09</v>
      </c>
      <c r="CG66" s="13" t="n">
        <v>1958</v>
      </c>
      <c r="CH66" s="13" t="n">
        <v>239</v>
      </c>
      <c r="CI66" s="13" t="n">
        <v>92</v>
      </c>
      <c r="CJ66" s="13" t="n">
        <v>45</v>
      </c>
      <c r="CK66" s="13" t="n">
        <v>259</v>
      </c>
      <c r="CL66" s="13" t="n">
        <v>12</v>
      </c>
      <c r="CM66" s="13" t="n">
        <v>233</v>
      </c>
      <c r="CN66" s="13" t="n">
        <v>0.276</v>
      </c>
      <c r="CO66" s="13" t="n">
        <v>170</v>
      </c>
      <c r="CP66" s="13" t="n">
        <v>168</v>
      </c>
      <c r="CQ66" s="13" t="n">
        <v>88</v>
      </c>
      <c r="CR66" s="13" t="n">
        <v>4</v>
      </c>
      <c r="CS66" s="13" t="n">
        <v>7.7</v>
      </c>
      <c r="CT66" s="11" t="inlineStr">
        <is>
          <t xml:space="preserve"> Resort Freeride</t>
        </is>
      </c>
      <c r="CU66" s="11" t="inlineStr">
        <is>
          <t xml:space="preserve"> Touring</t>
        </is>
      </c>
      <c r="CV66" s="13" t="n"/>
      <c r="CW66" s="13" t="n"/>
      <c r="CX66">
        <f>INDEX('Data_Price '!AG$2:AG$1266,MATCH(Data!$DN66,'Data_Price '!$AT$2:$AT$1266,0))</f>
        <v/>
      </c>
      <c r="CY66">
        <f>INDEX('Data_Price '!AH$2:AH$1266,MATCH(Data!$DN66,'Data_Price '!$AT$2:$AT$1266,0))</f>
        <v/>
      </c>
      <c r="CZ66">
        <f>INDEX('Data_Price '!AI$2:AI$1266,MATCH(Data!$DN66,'Data_Price '!$AT$2:$AT$1266,0))</f>
        <v/>
      </c>
      <c r="DA66">
        <f>INDEX('Data_Price '!AJ$2:AJ$1266,MATCH(Data!$DN66,'Data_Price '!$AT$2:$AT$1266,0))</f>
        <v/>
      </c>
      <c r="DB66">
        <f>INDEX('Data_Price '!AK$2:AK$1266,MATCH(Data!$DN66,'Data_Price '!$AT$2:$AT$1266,0))</f>
        <v/>
      </c>
      <c r="DC66">
        <f>INDEX('Data_Price '!AL$2:AL$1266,MATCH(Data!$DN66,'Data_Price '!$AT$2:$AT$1266,0))</f>
        <v/>
      </c>
      <c r="DD66">
        <f>INDEX('Data_Price '!AM$2:AM$1266,MATCH(Data!$DN66,'Data_Price '!$AT$2:$AT$1266,0))</f>
        <v/>
      </c>
      <c r="DE66">
        <f>INDEX('Data_Price '!AN$2:AN$1266,MATCH(Data!$DN66,'Data_Price '!$AT$2:$AT$1266,0))</f>
        <v/>
      </c>
      <c r="DF66">
        <f>INDEX('Data_Price '!AO$2:AO$1266,MATCH(Data!$DN66,'Data_Price '!$AT$2:$AT$1266,0))</f>
        <v/>
      </c>
      <c r="DG66">
        <f>INDEX('Data_Price '!AP$2:AP$1266,MATCH(Data!$DN66,'Data_Price '!$AT$2:$AT$1266,0))</f>
        <v/>
      </c>
      <c r="DH66">
        <f>INDEX('Data_Price '!AQ$2:AQ$1266,MATCH(Data!$DN66,'Data_Price '!$AT$2:$AT$1266,0))</f>
        <v/>
      </c>
      <c r="DI66">
        <f>INDEX('Data_Price '!AR$2:AR$1266,MATCH(Data!$DN66,'Data_Price '!$AT$2:$AT$1266,0))</f>
        <v/>
      </c>
      <c r="DJ66" s="138">
        <f>DA66</f>
        <v/>
      </c>
      <c r="DK66" s="138">
        <f>DE66</f>
        <v/>
      </c>
      <c r="DL66" s="138">
        <f>DI66</f>
        <v/>
      </c>
      <c r="DM66" s="303">
        <f>IF(LEFT(BT66,1)=" ",RIGHT(BT66,LEN(BT66)-1),BT66)</f>
        <v/>
      </c>
      <c r="DN66" s="138">
        <f>_xlfn.CONCAT(BS66,DM66,BU66,BV66)</f>
        <v/>
      </c>
      <c r="DO66" s="307" t="inlineStr">
        <is>
          <t>https://images.evo.com/imgp/250/181075/715233/clone.jpg</t>
        </is>
      </c>
    </row>
    <row r="67" ht="15.6" customHeight="1" s="184">
      <c r="B67" s="303">
        <f t="array" ref="B67">IF(OR(ISERROR(K67:P67)),FALSE,TRUE)</f>
        <v/>
      </c>
      <c r="C67" s="60">
        <f>OR(BR67=Driver!$G$50,Data!BR132=Driver!$H$50)</f>
        <v/>
      </c>
      <c r="D67" s="60">
        <f>OR(BV67=Driver!$G$51,BV67=Driver!$H$51)</f>
        <v/>
      </c>
      <c r="E67" s="60">
        <f>AND(BX67&gt;Driver!$F$54,BX67&lt;Driver!$G$54)</f>
        <v/>
      </c>
      <c r="F67" s="60">
        <f>CL67&gt;Driver!$F$56</f>
        <v/>
      </c>
      <c r="G67" s="60">
        <f>AND(CB67&gt;Driver!$F$55,CB67&lt;Driver!$G$55)</f>
        <v/>
      </c>
      <c r="H67" s="60">
        <f>AND(B67:G67)</f>
        <v/>
      </c>
      <c r="I67" s="60">
        <f>COUNTIFS($H$9:$H$1273,TRUE,$BT$9:$BT$1273,BT67)</f>
        <v/>
      </c>
      <c r="J67" s="60">
        <f t="array" ref="J67">NOT(OR(($H$9:$H$1273=TRUE)*($I$9:$I$1273&gt;0)*($BT$9:$BT$1273=BT67)*($K$9:$K$1273&gt;K67)))</f>
        <v/>
      </c>
      <c r="K67" s="108">
        <f>IFERROR(1-AVERAGE(X67:Y67),"")</f>
        <v/>
      </c>
      <c r="L67" s="108">
        <f>1-X67</f>
        <v/>
      </c>
      <c r="M67" s="108">
        <f>1-Y67</f>
        <v/>
      </c>
      <c r="N67" s="108">
        <f>1-Z67</f>
        <v/>
      </c>
      <c r="O67" s="108">
        <f>1-AA67</f>
        <v/>
      </c>
      <c r="P67" s="108">
        <f>1-AB67</f>
        <v/>
      </c>
      <c r="Q67" s="108" t="n"/>
      <c r="R67" s="108" t="n"/>
      <c r="S67" s="108">
        <f>1-AE67</f>
        <v/>
      </c>
      <c r="T67" s="108">
        <f>1-AF67</f>
        <v/>
      </c>
      <c r="U67" s="108">
        <f>1-AG67</f>
        <v/>
      </c>
      <c r="V67" s="108">
        <f>1-AH67</f>
        <v/>
      </c>
      <c r="W67" s="108">
        <f>1-AI67</f>
        <v/>
      </c>
      <c r="X67" s="108">
        <f>ABS(AJ67-AJ$1)</f>
        <v/>
      </c>
      <c r="Y67" s="108">
        <f>AVERAGE(Z67:AB67)</f>
        <v/>
      </c>
      <c r="Z67" s="108">
        <f>ABS(AL67-AL$1)</f>
        <v/>
      </c>
      <c r="AA67" s="108">
        <f>ABS(AM67-AM$1)</f>
        <v/>
      </c>
      <c r="AB67" s="108">
        <f>ABS(AN67-AN$1)</f>
        <v/>
      </c>
      <c r="AC67" s="108" t="n"/>
      <c r="AD67" s="108" t="n"/>
      <c r="AE67" s="108">
        <f>ABS(AQ$1-AQ67)</f>
        <v/>
      </c>
      <c r="AF67" s="108">
        <f>ABS(AR$1-AR67)</f>
        <v/>
      </c>
      <c r="AG67" s="108">
        <f>ABS(AS$1-AS67)</f>
        <v/>
      </c>
      <c r="AH67" s="108">
        <f>ABS(AT$1-AT67)</f>
        <v/>
      </c>
      <c r="AI67" s="108">
        <f>ABS(AU$1-AU67)</f>
        <v/>
      </c>
      <c r="AJ67" s="108">
        <f>(AV67-Driver!$K$179)/(Driver!$L$179-Driver!$K$179)</f>
        <v/>
      </c>
      <c r="AK67" s="108">
        <f>(AW67-Driver!$K$180)/(Driver!$L$180-Driver!$K$180)</f>
        <v/>
      </c>
      <c r="AL67" s="108">
        <f>(AX67-Driver!$K$181)/(Driver!$L$181-Driver!$K$181)</f>
        <v/>
      </c>
      <c r="AM67" s="108">
        <f>(AY67-Driver!$K$182)/(Driver!$L$182-Driver!$K$182)</f>
        <v/>
      </c>
      <c r="AN67" s="108">
        <f>(AZ67-Driver!$K$183)/(Driver!$L$183-Driver!$K$183)</f>
        <v/>
      </c>
      <c r="AO67" s="108" t="n"/>
      <c r="AP67" s="108" t="n"/>
      <c r="AQ67" s="108">
        <f>(BC67-Driver!$K$188)/(Driver!$L$188-Driver!$K$188)</f>
        <v/>
      </c>
      <c r="AR67" s="108">
        <f>MIN((BD67-Driver!$K$189)/(Driver!$L$189-Driver!$K$189),100%)</f>
        <v/>
      </c>
      <c r="AS67" s="108">
        <f>(BE67-Driver!$K$190)/(Driver!$L$190-Driver!$K$190)</f>
        <v/>
      </c>
      <c r="AT67" s="108">
        <f>(BF67-Driver!$K$191)/(Driver!$L$191-Driver!$K$191)</f>
        <v/>
      </c>
      <c r="AU67" s="108">
        <f>(BG67-Driver!$K$192)/(Driver!$L$192-Driver!$K$192)</f>
        <v/>
      </c>
      <c r="AV67" s="105">
        <f>IFERROR(BM67*BJ67^1/4,"")</f>
        <v/>
      </c>
      <c r="AW67" s="105">
        <f>IFERROR(SUM(AX67:AZ67),"")</f>
        <v/>
      </c>
      <c r="AX67" s="105">
        <f>IFERROR(BH67,"")</f>
        <v/>
      </c>
      <c r="AY67" s="105">
        <f>IFERROR(Driver!$K$19/Data!BH67/Data!BI67*Data!BK67*Data!BL67,"")</f>
        <v/>
      </c>
      <c r="AZ67" s="105">
        <f>IFERROR(BI67*BN67,"")</f>
        <v/>
      </c>
      <c r="BA67" s="105" t="n"/>
      <c r="BB67" s="105" t="n"/>
      <c r="BC67" s="105">
        <f>IFERROR(BI67*BN67*BK67/BJ67^(1/2),"")</f>
        <v/>
      </c>
      <c r="BD67" s="105">
        <f>IFERROR(BH67*BM67*BL67/BJ67/BK67,"")</f>
        <v/>
      </c>
      <c r="BE67" s="105">
        <f>IFERROR(MIN(BI67/BQ67/BP67/BO67/BH67,$BE$1),"")</f>
        <v/>
      </c>
      <c r="BF67" s="105">
        <f>IFERROR(BJ67*BO67*BP67/BK67,"")</f>
        <v/>
      </c>
      <c r="BG67" s="105">
        <f>IFERROR(1/BM67/BH67*BQ67,"")</f>
        <v/>
      </c>
      <c r="BH67" s="102">
        <f>MAX((CE67-Driver!$F$200)/(Driver!$G$200-Driver!$F$200)*$BI$1,1)</f>
        <v/>
      </c>
      <c r="BI67" s="102">
        <f>MAX($BI$1*(BY67-Driver!$F$201)/(Driver!$G$201-Driver!$F$201),1)</f>
        <v/>
      </c>
      <c r="BJ67" s="102">
        <f>(CB67-Driver!$F$206)/(Driver!$G$206-Driver!$F$206)*$BI$1</f>
        <v/>
      </c>
      <c r="BK67" s="102">
        <f>(CD67-Driver!$F$203)/(Driver!$G$203-Driver!$F$203)*$BI$1</f>
        <v/>
      </c>
      <c r="BL67" s="102">
        <f>MAX((CR67-Driver!$F$202)/(Driver!$G$202-Driver!$F$202)*$BI$1,1)</f>
        <v/>
      </c>
      <c r="BM67" s="102">
        <f>MAX((CH67-Driver!$F$204)/(Driver!$G$204-Driver!$F$204)*$BI$1,1)</f>
        <v/>
      </c>
      <c r="BN67" s="102">
        <f>(CI67-Driver!$F$205)/(Driver!$G$205-Driver!$F$205)*$BI$1</f>
        <v/>
      </c>
      <c r="BO67" s="102">
        <f>(CK67-Driver!$F$207)/(Driver!$G$207-Driver!$F$207)*$BI$1</f>
        <v/>
      </c>
      <c r="BP67" s="102">
        <f>(CM67-Driver!$F$208)/(Driver!$G$208-Driver!$F$208)*$BI$1</f>
        <v/>
      </c>
      <c r="BQ67" s="102">
        <f>(CL67-Driver!$F$209)/(Driver!$G$209-Driver!$F$209)*$BI$1</f>
        <v/>
      </c>
      <c r="BR67" s="40" t="inlineStr">
        <is>
          <t>21/22</t>
        </is>
      </c>
      <c r="BS67" s="10" t="inlineStr">
        <is>
          <t xml:space="preserve"> Atomic</t>
        </is>
      </c>
      <c r="BT67" s="11" t="inlineStr">
        <is>
          <t>Bent Chetler 100</t>
        </is>
      </c>
      <c r="BU67" s="13" t="n">
        <v>172</v>
      </c>
      <c r="BV67" s="11" t="inlineStr">
        <is>
          <t xml:space="preserve"> Unisex</t>
        </is>
      </c>
      <c r="BW67" s="13" t="n">
        <v>172</v>
      </c>
      <c r="BX67" s="13" t="n">
        <v>171.4</v>
      </c>
      <c r="BY67" s="13" t="n">
        <v>124</v>
      </c>
      <c r="BZ67" s="13" t="n">
        <v>139</v>
      </c>
      <c r="CA67" s="13" t="n">
        <v>128</v>
      </c>
      <c r="CB67" s="13" t="n">
        <v>99</v>
      </c>
      <c r="CC67" s="13" t="n">
        <v>118</v>
      </c>
      <c r="CD67" s="13" t="n">
        <v>17.7</v>
      </c>
      <c r="CE67" s="13" t="n">
        <v>1678</v>
      </c>
      <c r="CF67" s="13" t="n">
        <v>1.09</v>
      </c>
      <c r="CG67" s="13" t="n">
        <v>1829</v>
      </c>
      <c r="CH67" s="13" t="n">
        <v>190</v>
      </c>
      <c r="CI67" s="13" t="n">
        <v>108</v>
      </c>
      <c r="CJ67" s="13" t="n">
        <v>46</v>
      </c>
      <c r="CK67" s="13" t="n">
        <v>293</v>
      </c>
      <c r="CL67" s="13" t="n">
        <v>29</v>
      </c>
      <c r="CM67" s="13" t="n">
        <v>182</v>
      </c>
      <c r="CN67" s="13" t="n">
        <v>0.643</v>
      </c>
      <c r="CO67" s="13" t="n">
        <v>180</v>
      </c>
      <c r="CP67" s="13" t="n">
        <v>147</v>
      </c>
      <c r="CQ67" s="13" t="n">
        <v>113</v>
      </c>
      <c r="CR67" s="13" t="n">
        <v>10</v>
      </c>
      <c r="CS67" s="13" t="n">
        <v>7.9</v>
      </c>
      <c r="CT67" s="11" t="inlineStr">
        <is>
          <t xml:space="preserve"> Resort Freeride</t>
        </is>
      </c>
      <c r="CU67" s="11" t="inlineStr">
        <is>
          <t xml:space="preserve"> Touring</t>
        </is>
      </c>
      <c r="CV67" s="13" t="n"/>
      <c r="CW67" s="13" t="n"/>
      <c r="CX67">
        <f>INDEX('Data_Price '!AG$2:AG$1266,MATCH(Data!$DN67,'Data_Price '!$AT$2:$AT$1266,0))</f>
        <v/>
      </c>
      <c r="CY67">
        <f>INDEX('Data_Price '!AH$2:AH$1266,MATCH(Data!$DN67,'Data_Price '!$AT$2:$AT$1266,0))</f>
        <v/>
      </c>
      <c r="CZ67">
        <f>INDEX('Data_Price '!AI$2:AI$1266,MATCH(Data!$DN67,'Data_Price '!$AT$2:$AT$1266,0))</f>
        <v/>
      </c>
      <c r="DA67">
        <f>INDEX('Data_Price '!AJ$2:AJ$1266,MATCH(Data!$DN67,'Data_Price '!$AT$2:$AT$1266,0))</f>
        <v/>
      </c>
      <c r="DB67">
        <f>INDEX('Data_Price '!AK$2:AK$1266,MATCH(Data!$DN67,'Data_Price '!$AT$2:$AT$1266,0))</f>
        <v/>
      </c>
      <c r="DC67">
        <f>INDEX('Data_Price '!AL$2:AL$1266,MATCH(Data!$DN67,'Data_Price '!$AT$2:$AT$1266,0))</f>
        <v/>
      </c>
      <c r="DD67">
        <f>INDEX('Data_Price '!AM$2:AM$1266,MATCH(Data!$DN67,'Data_Price '!$AT$2:$AT$1266,0))</f>
        <v/>
      </c>
      <c r="DE67">
        <f>INDEX('Data_Price '!AN$2:AN$1266,MATCH(Data!$DN67,'Data_Price '!$AT$2:$AT$1266,0))</f>
        <v/>
      </c>
      <c r="DF67">
        <f>INDEX('Data_Price '!AO$2:AO$1266,MATCH(Data!$DN67,'Data_Price '!$AT$2:$AT$1266,0))</f>
        <v/>
      </c>
      <c r="DG67">
        <f>INDEX('Data_Price '!AP$2:AP$1266,MATCH(Data!$DN67,'Data_Price '!$AT$2:$AT$1266,0))</f>
        <v/>
      </c>
      <c r="DH67">
        <f>INDEX('Data_Price '!AQ$2:AQ$1266,MATCH(Data!$DN67,'Data_Price '!$AT$2:$AT$1266,0))</f>
        <v/>
      </c>
      <c r="DI67">
        <f>INDEX('Data_Price '!AR$2:AR$1266,MATCH(Data!$DN67,'Data_Price '!$AT$2:$AT$1266,0))</f>
        <v/>
      </c>
      <c r="DJ67" s="138">
        <f>DA67</f>
        <v/>
      </c>
      <c r="DK67" s="138">
        <f>DE67</f>
        <v/>
      </c>
      <c r="DL67" s="138">
        <f>DI67</f>
        <v/>
      </c>
      <c r="DM67" s="303">
        <f>IF(LEFT(BT67,1)=" ",RIGHT(BT67,LEN(BT67)-1),BT67)</f>
        <v/>
      </c>
      <c r="DN67" s="138">
        <f>_xlfn.CONCAT(BS67,DM67,BU67,BV67)</f>
        <v/>
      </c>
      <c r="DO67" s="307" t="inlineStr">
        <is>
          <t>https://images.evo.com/imgp/250/197747/826833/atomic-bent-chetler-100-skis-2022-.jpg</t>
        </is>
      </c>
    </row>
    <row r="68" ht="15.6" customHeight="1" s="184">
      <c r="B68" s="303">
        <f t="array" ref="B68">IF(OR(ISERROR(K68:P68)),FALSE,TRUE)</f>
        <v/>
      </c>
      <c r="C68" s="60">
        <f>OR(BR68=Driver!$G$50,Data!BR501=Driver!$H$50)</f>
        <v/>
      </c>
      <c r="D68" s="60">
        <f>OR(BV68=Driver!$G$51,BV68=Driver!$H$51)</f>
        <v/>
      </c>
      <c r="E68" s="60">
        <f>AND(BX68&gt;Driver!$F$54,BX68&lt;Driver!$G$54)</f>
        <v/>
      </c>
      <c r="F68" s="60">
        <f>CL68&gt;Driver!$F$56</f>
        <v/>
      </c>
      <c r="G68" s="60">
        <f>AND(CB68&gt;Driver!$F$55,CB68&lt;Driver!$G$55)</f>
        <v/>
      </c>
      <c r="H68" s="60">
        <f>AND(B68:G68)</f>
        <v/>
      </c>
      <c r="I68" s="60">
        <f>COUNTIFS($H$9:$H$1273,TRUE,$BT$9:$BT$1273,BT68)</f>
        <v/>
      </c>
      <c r="J68" s="60">
        <f t="array" ref="J68">NOT(OR(($H$9:$H$1273=TRUE)*($I$9:$I$1273&gt;0)*($BT$9:$BT$1273=BT68)*($K$9:$K$1273&gt;K68)))</f>
        <v/>
      </c>
      <c r="K68" s="108">
        <f>IFERROR(1-AVERAGE(X68:Y68),"")</f>
        <v/>
      </c>
      <c r="L68" s="108">
        <f>1-X68</f>
        <v/>
      </c>
      <c r="M68" s="108">
        <f>1-Y68</f>
        <v/>
      </c>
      <c r="N68" s="108">
        <f>1-Z68</f>
        <v/>
      </c>
      <c r="O68" s="108">
        <f>1-AA68</f>
        <v/>
      </c>
      <c r="P68" s="108">
        <f>1-AB68</f>
        <v/>
      </c>
      <c r="Q68" s="108" t="n"/>
      <c r="R68" s="108" t="n"/>
      <c r="S68" s="108">
        <f>1-AE68</f>
        <v/>
      </c>
      <c r="T68" s="108">
        <f>1-AF68</f>
        <v/>
      </c>
      <c r="U68" s="108">
        <f>1-AG68</f>
        <v/>
      </c>
      <c r="V68" s="108">
        <f>1-AH68</f>
        <v/>
      </c>
      <c r="W68" s="108">
        <f>1-AI68</f>
        <v/>
      </c>
      <c r="X68" s="108">
        <f>ABS(AJ68-AJ$1)</f>
        <v/>
      </c>
      <c r="Y68" s="108">
        <f>AVERAGE(Z68:AB68)</f>
        <v/>
      </c>
      <c r="Z68" s="108">
        <f>ABS(AL68-AL$1)</f>
        <v/>
      </c>
      <c r="AA68" s="108">
        <f>ABS(AM68-AM$1)</f>
        <v/>
      </c>
      <c r="AB68" s="108">
        <f>ABS(AN68-AN$1)</f>
        <v/>
      </c>
      <c r="AC68" s="108" t="n"/>
      <c r="AD68" s="108" t="n"/>
      <c r="AE68" s="108">
        <f>ABS(AQ$1-AQ68)</f>
        <v/>
      </c>
      <c r="AF68" s="108">
        <f>ABS(AR$1-AR68)</f>
        <v/>
      </c>
      <c r="AG68" s="108">
        <f>ABS(AS$1-AS68)</f>
        <v/>
      </c>
      <c r="AH68" s="108">
        <f>ABS(AT$1-AT68)</f>
        <v/>
      </c>
      <c r="AI68" s="108">
        <f>ABS(AU$1-AU68)</f>
        <v/>
      </c>
      <c r="AJ68" s="108">
        <f>(AV68-Driver!$K$179)/(Driver!$L$179-Driver!$K$179)</f>
        <v/>
      </c>
      <c r="AK68" s="108">
        <f>(AW68-Driver!$K$180)/(Driver!$L$180-Driver!$K$180)</f>
        <v/>
      </c>
      <c r="AL68" s="108">
        <f>(AX68-Driver!$K$181)/(Driver!$L$181-Driver!$K$181)</f>
        <v/>
      </c>
      <c r="AM68" s="108">
        <f>(AY68-Driver!$K$182)/(Driver!$L$182-Driver!$K$182)</f>
        <v/>
      </c>
      <c r="AN68" s="108">
        <f>(AZ68-Driver!$K$183)/(Driver!$L$183-Driver!$K$183)</f>
        <v/>
      </c>
      <c r="AO68" s="108" t="n"/>
      <c r="AP68" s="108" t="n"/>
      <c r="AQ68" s="108">
        <f>(BC68-Driver!$K$188)/(Driver!$L$188-Driver!$K$188)</f>
        <v/>
      </c>
      <c r="AR68" s="108">
        <f>MIN((BD68-Driver!$K$189)/(Driver!$L$189-Driver!$K$189),100%)</f>
        <v/>
      </c>
      <c r="AS68" s="108">
        <f>(BE68-Driver!$K$190)/(Driver!$L$190-Driver!$K$190)</f>
        <v/>
      </c>
      <c r="AT68" s="108">
        <f>(BF68-Driver!$K$191)/(Driver!$L$191-Driver!$K$191)</f>
        <v/>
      </c>
      <c r="AU68" s="108">
        <f>(BG68-Driver!$K$192)/(Driver!$L$192-Driver!$K$192)</f>
        <v/>
      </c>
      <c r="AV68" s="105">
        <f>IFERROR(BM68*BJ68^1/4,"")</f>
        <v/>
      </c>
      <c r="AW68" s="105">
        <f>IFERROR(SUM(AX68:AZ68),"")</f>
        <v/>
      </c>
      <c r="AX68" s="105">
        <f>IFERROR(BH68,"")</f>
        <v/>
      </c>
      <c r="AY68" s="105">
        <f>IFERROR(Driver!$K$19/Data!BH147/Data!BI147*Data!BK147*Data!BL147,"")</f>
        <v/>
      </c>
      <c r="AZ68" s="105">
        <f>IFERROR(BI68*BN68,"")</f>
        <v/>
      </c>
      <c r="BA68" s="105" t="n"/>
      <c r="BB68" s="105" t="n"/>
      <c r="BC68" s="105">
        <f>IFERROR(BI68*BN68*BK68/BJ68^(1/2),"")</f>
        <v/>
      </c>
      <c r="BD68" s="105">
        <f>IFERROR(BH68*BM68*BL68/BJ68/BK68,"")</f>
        <v/>
      </c>
      <c r="BE68" s="105">
        <f>IFERROR(MIN(BI68/BQ68/BP68/BO68/BH68,$BE$1),"")</f>
        <v/>
      </c>
      <c r="BF68" s="105">
        <f>IFERROR(BJ68*BO68*BP68/BK68,"")</f>
        <v/>
      </c>
      <c r="BG68" s="105">
        <f>IFERROR(1/BM68/BH68*BQ68,"")</f>
        <v/>
      </c>
      <c r="BH68" s="102">
        <f>MAX((CE68-Driver!$F$200)/(Driver!$G$200-Driver!$F$200)*$BI$1,1)</f>
        <v/>
      </c>
      <c r="BI68" s="102">
        <f>MAX($BI$1*(BY68-Driver!$F$201)/(Driver!$G$201-Driver!$F$201),1)</f>
        <v/>
      </c>
      <c r="BJ68" s="102">
        <f>(CB68-Driver!$F$206)/(Driver!$G$206-Driver!$F$206)*$BI$1</f>
        <v/>
      </c>
      <c r="BK68" s="102">
        <f>(CD68-Driver!$F$203)/(Driver!$G$203-Driver!$F$203)*$BI$1</f>
        <v/>
      </c>
      <c r="BL68" s="102">
        <f>MAX((CR68-Driver!$F$202)/(Driver!$G$202-Driver!$F$202)*$BI$1,1)</f>
        <v/>
      </c>
      <c r="BM68" s="102">
        <f>MAX((CH68-Driver!$F$204)/(Driver!$G$204-Driver!$F$204)*$BI$1,1)</f>
        <v/>
      </c>
      <c r="BN68" s="102">
        <f>(CI68-Driver!$F$205)/(Driver!$G$205-Driver!$F$205)*$BI$1</f>
        <v/>
      </c>
      <c r="BO68" s="102">
        <f>(CK68-Driver!$F$207)/(Driver!$G$207-Driver!$F$207)*$BI$1</f>
        <v/>
      </c>
      <c r="BP68" s="102">
        <f>(CM68-Driver!$F$208)/(Driver!$G$208-Driver!$F$208)*$BI$1</f>
        <v/>
      </c>
      <c r="BQ68" s="102">
        <f>(CL68-Driver!$F$209)/(Driver!$G$209-Driver!$F$209)*$BI$1</f>
        <v/>
      </c>
      <c r="BR68" s="40" t="inlineStr">
        <is>
          <t>21/22</t>
        </is>
      </c>
      <c r="BS68" s="10" t="inlineStr">
        <is>
          <t xml:space="preserve"> Faction</t>
        </is>
      </c>
      <c r="BT68" s="11" t="inlineStr">
        <is>
          <t>CT 2.0</t>
        </is>
      </c>
      <c r="BU68" s="13" t="n">
        <v>166</v>
      </c>
      <c r="BV68" s="11" t="inlineStr">
        <is>
          <t xml:space="preserve"> Unisex</t>
        </is>
      </c>
      <c r="BW68" s="13" t="n">
        <v>166</v>
      </c>
      <c r="BX68" s="13" t="n">
        <v>163.9</v>
      </c>
      <c r="BY68" s="13" t="n">
        <v>108</v>
      </c>
      <c r="BZ68" s="13" t="n">
        <v>138</v>
      </c>
      <c r="CA68" s="13" t="n">
        <v>131</v>
      </c>
      <c r="CB68" s="13" t="n">
        <v>102</v>
      </c>
      <c r="CC68" s="13" t="n">
        <v>127</v>
      </c>
      <c r="CD68" s="13" t="n">
        <v>16.2</v>
      </c>
      <c r="CE68" s="13" t="n">
        <v>1726</v>
      </c>
      <c r="CF68" s="13" t="n">
        <v>1.06</v>
      </c>
      <c r="CG68" s="13" t="n">
        <v>1831</v>
      </c>
      <c r="CH68" s="13" t="n">
        <v>204</v>
      </c>
      <c r="CI68" s="13" t="n">
        <v>92</v>
      </c>
      <c r="CJ68" s="13" t="n">
        <v>51</v>
      </c>
      <c r="CK68" s="13" t="n">
        <v>285</v>
      </c>
      <c r="CL68" s="13" t="n">
        <v>51</v>
      </c>
      <c r="CM68" s="13" t="n">
        <v>278</v>
      </c>
      <c r="CN68" s="13" t="n">
        <v>0.993</v>
      </c>
      <c r="CO68" s="13" t="n">
        <v>133</v>
      </c>
      <c r="CP68" s="13" t="n">
        <v>130</v>
      </c>
      <c r="CQ68" s="13" t="n">
        <v>151</v>
      </c>
      <c r="CR68" s="13" t="n">
        <v>6</v>
      </c>
      <c r="CS68" s="13" t="n">
        <v>3.8</v>
      </c>
      <c r="CT68" s="11" t="inlineStr">
        <is>
          <t xml:space="preserve"> Freeski</t>
        </is>
      </c>
      <c r="CU68" s="11" t="inlineStr">
        <is>
          <t xml:space="preserve"> Powder</t>
        </is>
      </c>
      <c r="CV68" s="11" t="inlineStr">
        <is>
          <t xml:space="preserve"> Touring</t>
        </is>
      </c>
      <c r="CW68" s="13" t="n"/>
      <c r="CX68">
        <f>INDEX('Data_Price '!AG$2:AG$1266,MATCH(Data!$DN68,'Data_Price '!$AT$2:$AT$1266,0))</f>
        <v/>
      </c>
      <c r="CY68">
        <f>INDEX('Data_Price '!AH$2:AH$1266,MATCH(Data!$DN68,'Data_Price '!$AT$2:$AT$1266,0))</f>
        <v/>
      </c>
      <c r="CZ68">
        <f>INDEX('Data_Price '!AI$2:AI$1266,MATCH(Data!$DN68,'Data_Price '!$AT$2:$AT$1266,0))</f>
        <v/>
      </c>
      <c r="DA68">
        <f>INDEX('Data_Price '!AJ$2:AJ$1266,MATCH(Data!$DN68,'Data_Price '!$AT$2:$AT$1266,0))</f>
        <v/>
      </c>
      <c r="DB68">
        <f>INDEX('Data_Price '!AK$2:AK$1266,MATCH(Data!$DN68,'Data_Price '!$AT$2:$AT$1266,0))</f>
        <v/>
      </c>
      <c r="DC68">
        <f>INDEX('Data_Price '!AL$2:AL$1266,MATCH(Data!$DN68,'Data_Price '!$AT$2:$AT$1266,0))</f>
        <v/>
      </c>
      <c r="DD68">
        <f>INDEX('Data_Price '!AM$2:AM$1266,MATCH(Data!$DN68,'Data_Price '!$AT$2:$AT$1266,0))</f>
        <v/>
      </c>
      <c r="DE68">
        <f>INDEX('Data_Price '!AN$2:AN$1266,MATCH(Data!$DN68,'Data_Price '!$AT$2:$AT$1266,0))</f>
        <v/>
      </c>
      <c r="DF68">
        <f>INDEX('Data_Price '!AO$2:AO$1266,MATCH(Data!$DN68,'Data_Price '!$AT$2:$AT$1266,0))</f>
        <v/>
      </c>
      <c r="DG68">
        <f>INDEX('Data_Price '!AP$2:AP$1266,MATCH(Data!$DN68,'Data_Price '!$AT$2:$AT$1266,0))</f>
        <v/>
      </c>
      <c r="DH68">
        <f>INDEX('Data_Price '!AQ$2:AQ$1266,MATCH(Data!$DN68,'Data_Price '!$AT$2:$AT$1266,0))</f>
        <v/>
      </c>
      <c r="DI68">
        <f>INDEX('Data_Price '!AR$2:AR$1266,MATCH(Data!$DN68,'Data_Price '!$AT$2:$AT$1266,0))</f>
        <v/>
      </c>
      <c r="DJ68" s="138">
        <f>DA68</f>
        <v/>
      </c>
      <c r="DK68" s="138">
        <f>DE68</f>
        <v/>
      </c>
      <c r="DL68" s="138">
        <f>DI68</f>
        <v/>
      </c>
      <c r="DM68" s="303">
        <f>IF(LEFT(BT68,1)=" ",RIGHT(BT68,LEN(BT68)-1),BT68)</f>
        <v/>
      </c>
      <c r="DN68" s="138">
        <f>_xlfn.CONCAT(BS68,DM68,BU68,BV68)</f>
        <v/>
      </c>
      <c r="DO68" s="307" t="n"/>
    </row>
    <row r="69" ht="15.6" customHeight="1" s="184">
      <c r="B69" s="303">
        <f t="array" ref="B69">IF(OR(ISERROR(K69:P69)),FALSE,TRUE)</f>
        <v/>
      </c>
      <c r="C69" s="60">
        <f>OR(BR69=Driver!$G$50,Data!BR561=Driver!$H$50)</f>
        <v/>
      </c>
      <c r="D69" s="60">
        <f>OR(BV69=Driver!$G$51,BV69=Driver!$H$51)</f>
        <v/>
      </c>
      <c r="E69" s="60">
        <f>AND(BX69&gt;Driver!$F$54,BX69&lt;Driver!$G$54)</f>
        <v/>
      </c>
      <c r="F69" s="60">
        <f>CL69&gt;Driver!$F$56</f>
        <v/>
      </c>
      <c r="G69" s="60">
        <f>AND(CB69&gt;Driver!$F$55,CB69&lt;Driver!$G$55)</f>
        <v/>
      </c>
      <c r="H69" s="60">
        <f>AND(B69:G69)</f>
        <v/>
      </c>
      <c r="I69" s="60">
        <f>COUNTIFS($H$9:$H$1273,TRUE,$BT$9:$BT$1273,BT69)</f>
        <v/>
      </c>
      <c r="J69" s="60">
        <f t="array" ref="J69">NOT(OR(($H$9:$H$1273=TRUE)*($I$9:$I$1273&gt;0)*($BT$9:$BT$1273=BT69)*($K$9:$K$1273&gt;K69)))</f>
        <v/>
      </c>
      <c r="K69" s="108">
        <f>IFERROR(1-AVERAGE(X69:Y69),"")</f>
        <v/>
      </c>
      <c r="L69" s="108">
        <f>1-X69</f>
        <v/>
      </c>
      <c r="M69" s="108">
        <f>1-Y69</f>
        <v/>
      </c>
      <c r="N69" s="108">
        <f>1-Z69</f>
        <v/>
      </c>
      <c r="O69" s="108">
        <f>1-AA69</f>
        <v/>
      </c>
      <c r="P69" s="108">
        <f>1-AB69</f>
        <v/>
      </c>
      <c r="Q69" s="108" t="n"/>
      <c r="R69" s="108" t="n"/>
      <c r="S69" s="108">
        <f>1-AE69</f>
        <v/>
      </c>
      <c r="T69" s="108">
        <f>1-AF69</f>
        <v/>
      </c>
      <c r="U69" s="108">
        <f>1-AG69</f>
        <v/>
      </c>
      <c r="V69" s="108">
        <f>1-AH69</f>
        <v/>
      </c>
      <c r="W69" s="108">
        <f>1-AI69</f>
        <v/>
      </c>
      <c r="X69" s="108">
        <f>ABS(AJ69-AJ$1)</f>
        <v/>
      </c>
      <c r="Y69" s="108">
        <f>AVERAGE(Z69:AB69)</f>
        <v/>
      </c>
      <c r="Z69" s="108">
        <f>ABS(AL69-AL$1)</f>
        <v/>
      </c>
      <c r="AA69" s="108">
        <f>ABS(AM69-AM$1)</f>
        <v/>
      </c>
      <c r="AB69" s="108">
        <f>ABS(AN69-AN$1)</f>
        <v/>
      </c>
      <c r="AC69" s="108" t="n"/>
      <c r="AD69" s="108" t="n"/>
      <c r="AE69" s="108">
        <f>ABS(AQ$1-AQ69)</f>
        <v/>
      </c>
      <c r="AF69" s="108">
        <f>ABS(AR$1-AR69)</f>
        <v/>
      </c>
      <c r="AG69" s="108">
        <f>ABS(AS$1-AS69)</f>
        <v/>
      </c>
      <c r="AH69" s="108">
        <f>ABS(AT$1-AT69)</f>
        <v/>
      </c>
      <c r="AI69" s="108">
        <f>ABS(AU$1-AU69)</f>
        <v/>
      </c>
      <c r="AJ69" s="108">
        <f>(AV69-Driver!$K$179)/(Driver!$L$179-Driver!$K$179)</f>
        <v/>
      </c>
      <c r="AK69" s="108">
        <f>(AW69-Driver!$K$180)/(Driver!$L$180-Driver!$K$180)</f>
        <v/>
      </c>
      <c r="AL69" s="108">
        <f>(AX69-Driver!$K$181)/(Driver!$L$181-Driver!$K$181)</f>
        <v/>
      </c>
      <c r="AM69" s="108">
        <f>(AY69-Driver!$K$182)/(Driver!$L$182-Driver!$K$182)</f>
        <v/>
      </c>
      <c r="AN69" s="108">
        <f>(AZ69-Driver!$K$183)/(Driver!$L$183-Driver!$K$183)</f>
        <v/>
      </c>
      <c r="AO69" s="108" t="n"/>
      <c r="AP69" s="108" t="n"/>
      <c r="AQ69" s="108">
        <f>(BC69-Driver!$K$188)/(Driver!$L$188-Driver!$K$188)</f>
        <v/>
      </c>
      <c r="AR69" s="108">
        <f>MIN((BD69-Driver!$K$189)/(Driver!$L$189-Driver!$K$189),100%)</f>
        <v/>
      </c>
      <c r="AS69" s="108">
        <f>(BE69-Driver!$K$190)/(Driver!$L$190-Driver!$K$190)</f>
        <v/>
      </c>
      <c r="AT69" s="108">
        <f>(BF69-Driver!$K$191)/(Driver!$L$191-Driver!$K$191)</f>
        <v/>
      </c>
      <c r="AU69" s="108">
        <f>(BG69-Driver!$K$192)/(Driver!$L$192-Driver!$K$192)</f>
        <v/>
      </c>
      <c r="AV69" s="105">
        <f>IFERROR(BM69*BJ69^1/4,"")</f>
        <v/>
      </c>
      <c r="AW69" s="105">
        <f>IFERROR(SUM(AX69:AZ69),"")</f>
        <v/>
      </c>
      <c r="AX69" s="105">
        <f>IFERROR(BH69,"")</f>
        <v/>
      </c>
      <c r="AY69" s="105">
        <f>IFERROR(Driver!$K$19/Data!BH69/Data!BI69*Data!BK69*Data!BL69,"")</f>
        <v/>
      </c>
      <c r="AZ69" s="105">
        <f>IFERROR(BI69*BN69,"")</f>
        <v/>
      </c>
      <c r="BA69" s="105" t="n"/>
      <c r="BB69" s="105" t="n"/>
      <c r="BC69" s="105">
        <f>IFERROR(BI69*BN69*BK69/BJ69^(1/2),"")</f>
        <v/>
      </c>
      <c r="BD69" s="105">
        <f>IFERROR(BH69*BM69*BL69/BJ69/BK69,"")</f>
        <v/>
      </c>
      <c r="BE69" s="105">
        <f>IFERROR(MIN(BI69/BQ69/BP69/BO69/BH69,$BE$1),"")</f>
        <v/>
      </c>
      <c r="BF69" s="105">
        <f>IFERROR(BJ69*BO69*BP69/BK69,"")</f>
        <v/>
      </c>
      <c r="BG69" s="105">
        <f>IFERROR(1/BM69/BH69*BQ69,"")</f>
        <v/>
      </c>
      <c r="BH69" s="102">
        <f>MAX((CE69-Driver!$F$200)/(Driver!$G$200-Driver!$F$200)*$BI$1,1)</f>
        <v/>
      </c>
      <c r="BI69" s="102">
        <f>MAX($BI$1*(BY69-Driver!$F$201)/(Driver!$G$201-Driver!$F$201),1)</f>
        <v/>
      </c>
      <c r="BJ69" s="102">
        <f>(CB69-Driver!$F$206)/(Driver!$G$206-Driver!$F$206)*$BI$1</f>
        <v/>
      </c>
      <c r="BK69" s="102">
        <f>(CD69-Driver!$F$203)/(Driver!$G$203-Driver!$F$203)*$BI$1</f>
        <v/>
      </c>
      <c r="BL69" s="102">
        <f>MAX((CR69-Driver!$F$202)/(Driver!$G$202-Driver!$F$202)*$BI$1,1)</f>
        <v/>
      </c>
      <c r="BM69" s="102">
        <f>MAX((CH69-Driver!$F$204)/(Driver!$G$204-Driver!$F$204)*$BI$1,1)</f>
        <v/>
      </c>
      <c r="BN69" s="102">
        <f>(CI69-Driver!$F$205)/(Driver!$G$205-Driver!$F$205)*$BI$1</f>
        <v/>
      </c>
      <c r="BO69" s="102">
        <f>(CK69-Driver!$F$207)/(Driver!$G$207-Driver!$F$207)*$BI$1</f>
        <v/>
      </c>
      <c r="BP69" s="102">
        <f>(CM69-Driver!$F$208)/(Driver!$G$208-Driver!$F$208)*$BI$1</f>
        <v/>
      </c>
      <c r="BQ69" s="102">
        <f>(CL69-Driver!$F$209)/(Driver!$G$209-Driver!$F$209)*$BI$1</f>
        <v/>
      </c>
      <c r="BR69" s="40" t="inlineStr">
        <is>
          <t>21/22</t>
        </is>
      </c>
      <c r="BS69" s="10" t="inlineStr">
        <is>
          <t xml:space="preserve"> Fischer</t>
        </is>
      </c>
      <c r="BT69" s="11" t="inlineStr">
        <is>
          <t>Ranger 102 FR</t>
        </is>
      </c>
      <c r="BU69" s="13" t="n">
        <v>177</v>
      </c>
      <c r="BV69" s="11" t="inlineStr">
        <is>
          <t xml:space="preserve"> Unisex</t>
        </is>
      </c>
      <c r="BW69" s="13" t="n">
        <v>177</v>
      </c>
      <c r="BX69" s="13" t="n">
        <v>176.8</v>
      </c>
      <c r="BY69" s="13" t="n">
        <v>121</v>
      </c>
      <c r="BZ69" s="13" t="n">
        <v>146</v>
      </c>
      <c r="CA69" s="13" t="n">
        <v>135</v>
      </c>
      <c r="CB69" s="13" t="n">
        <v>101</v>
      </c>
      <c r="CC69" s="13" t="n">
        <v>125</v>
      </c>
      <c r="CD69" s="13" t="n">
        <v>15.4</v>
      </c>
      <c r="CE69" s="13" t="n">
        <v>1850</v>
      </c>
      <c r="CF69" s="13" t="n">
        <v>1.08</v>
      </c>
      <c r="CG69" s="13" t="n">
        <v>2004</v>
      </c>
      <c r="CH69" s="13" t="n">
        <v>214</v>
      </c>
      <c r="CI69" s="13" t="n">
        <v>104</v>
      </c>
      <c r="CJ69" s="13" t="n">
        <v>49</v>
      </c>
      <c r="CK69" s="13" t="n">
        <v>368</v>
      </c>
      <c r="CL69" s="13" t="n">
        <v>29</v>
      </c>
      <c r="CM69" s="13" t="n">
        <v>195</v>
      </c>
      <c r="CN69" s="13" t="n">
        <v>0.598</v>
      </c>
      <c r="CO69" s="13" t="n">
        <v>158</v>
      </c>
      <c r="CP69" s="13" t="n">
        <v>154</v>
      </c>
      <c r="CQ69" s="13" t="n">
        <v>210</v>
      </c>
      <c r="CR69" s="13" t="n">
        <v>6</v>
      </c>
      <c r="CS69" s="13" t="n">
        <v>9.199999999999999</v>
      </c>
      <c r="CT69" s="11" t="inlineStr">
        <is>
          <t xml:space="preserve"> Resort Freeride</t>
        </is>
      </c>
      <c r="CU69" s="11" t="inlineStr">
        <is>
          <t xml:space="preserve"> Powder</t>
        </is>
      </c>
      <c r="CV69" s="11" t="inlineStr">
        <is>
          <t xml:space="preserve"> Touring</t>
        </is>
      </c>
      <c r="CW69" s="13" t="n"/>
      <c r="CX69">
        <f>INDEX('Data_Price '!AG$2:AG$1266,MATCH(Data!$DN69,'Data_Price '!$AT$2:$AT$1266,0))</f>
        <v/>
      </c>
      <c r="CY69">
        <f>INDEX('Data_Price '!AH$2:AH$1266,MATCH(Data!$DN69,'Data_Price '!$AT$2:$AT$1266,0))</f>
        <v/>
      </c>
      <c r="CZ69">
        <f>INDEX('Data_Price '!AI$2:AI$1266,MATCH(Data!$DN69,'Data_Price '!$AT$2:$AT$1266,0))</f>
        <v/>
      </c>
      <c r="DA69">
        <f>INDEX('Data_Price '!AJ$2:AJ$1266,MATCH(Data!$DN69,'Data_Price '!$AT$2:$AT$1266,0))</f>
        <v/>
      </c>
      <c r="DB69">
        <f>INDEX('Data_Price '!AK$2:AK$1266,MATCH(Data!$DN69,'Data_Price '!$AT$2:$AT$1266,0))</f>
        <v/>
      </c>
      <c r="DC69">
        <f>INDEX('Data_Price '!AL$2:AL$1266,MATCH(Data!$DN69,'Data_Price '!$AT$2:$AT$1266,0))</f>
        <v/>
      </c>
      <c r="DD69">
        <f>INDEX('Data_Price '!AM$2:AM$1266,MATCH(Data!$DN69,'Data_Price '!$AT$2:$AT$1266,0))</f>
        <v/>
      </c>
      <c r="DE69">
        <f>INDEX('Data_Price '!AN$2:AN$1266,MATCH(Data!$DN69,'Data_Price '!$AT$2:$AT$1266,0))</f>
        <v/>
      </c>
      <c r="DF69">
        <f>INDEX('Data_Price '!AO$2:AO$1266,MATCH(Data!$DN69,'Data_Price '!$AT$2:$AT$1266,0))</f>
        <v/>
      </c>
      <c r="DG69">
        <f>INDEX('Data_Price '!AP$2:AP$1266,MATCH(Data!$DN69,'Data_Price '!$AT$2:$AT$1266,0))</f>
        <v/>
      </c>
      <c r="DH69">
        <f>INDEX('Data_Price '!AQ$2:AQ$1266,MATCH(Data!$DN69,'Data_Price '!$AT$2:$AT$1266,0))</f>
        <v/>
      </c>
      <c r="DI69">
        <f>INDEX('Data_Price '!AR$2:AR$1266,MATCH(Data!$DN69,'Data_Price '!$AT$2:$AT$1266,0))</f>
        <v/>
      </c>
      <c r="DJ69" s="138">
        <f>DA69</f>
        <v/>
      </c>
      <c r="DK69" s="138">
        <f>DE69</f>
        <v/>
      </c>
      <c r="DL69" s="138">
        <f>DI69</f>
        <v/>
      </c>
      <c r="DM69" s="303">
        <f>IF(LEFT(BT69,1)=" ",RIGHT(BT69,LEN(BT69)-1),BT69)</f>
        <v/>
      </c>
      <c r="DN69" s="138">
        <f>_xlfn.CONCAT(BS69,DM69,BU69,BV69)</f>
        <v/>
      </c>
      <c r="DO69" s="307" t="inlineStr">
        <is>
          <t>https://images.evo.com/imgp/250/209031/846558/fischer-ranger-102-fr-skis-2022-.jpg</t>
        </is>
      </c>
    </row>
    <row r="70" ht="15.6" customHeight="1" s="184">
      <c r="B70" s="303">
        <f t="array" ref="B70">IF(OR(ISERROR(K70:P70)),FALSE,TRUE)</f>
        <v/>
      </c>
      <c r="C70" s="60">
        <f>OR(BR70=Driver!$G$50,Data!BR788=Driver!$H$50)</f>
        <v/>
      </c>
      <c r="D70" s="60">
        <f>OR(BV70=Driver!$G$51,BV70=Driver!$H$51)</f>
        <v/>
      </c>
      <c r="E70" s="60">
        <f>AND(BX70&gt;Driver!$F$54,BX70&lt;Driver!$G$54)</f>
        <v/>
      </c>
      <c r="F70" s="60">
        <f>CL70&gt;Driver!$F$56</f>
        <v/>
      </c>
      <c r="G70" s="60">
        <f>AND(CB70&gt;Driver!$F$55,CB70&lt;Driver!$G$55)</f>
        <v/>
      </c>
      <c r="H70" s="60">
        <f>AND(B70:G70)</f>
        <v/>
      </c>
      <c r="I70" s="60">
        <f>COUNTIFS($H$9:$H$1273,TRUE,$BT$9:$BT$1273,BT70)</f>
        <v/>
      </c>
      <c r="J70" s="60">
        <f t="array" ref="J70">NOT(OR(($H$9:$H$1273=TRUE)*($I$9:$I$1273&gt;0)*($BT$9:$BT$1273=BT70)*($K$9:$K$1273&gt;K70)))</f>
        <v/>
      </c>
      <c r="K70" s="108">
        <f>IFERROR(1-AVERAGE(X70:Y70),"")</f>
        <v/>
      </c>
      <c r="L70" s="108">
        <f>1-X70</f>
        <v/>
      </c>
      <c r="M70" s="108">
        <f>1-Y70</f>
        <v/>
      </c>
      <c r="N70" s="108">
        <f>1-Z70</f>
        <v/>
      </c>
      <c r="O70" s="108">
        <f>1-AA70</f>
        <v/>
      </c>
      <c r="P70" s="108">
        <f>1-AB70</f>
        <v/>
      </c>
      <c r="Q70" s="108" t="n"/>
      <c r="R70" s="108" t="n"/>
      <c r="S70" s="108">
        <f>1-AE70</f>
        <v/>
      </c>
      <c r="T70" s="108">
        <f>1-AF70</f>
        <v/>
      </c>
      <c r="U70" s="108">
        <f>1-AG70</f>
        <v/>
      </c>
      <c r="V70" s="108">
        <f>1-AH70</f>
        <v/>
      </c>
      <c r="W70" s="108">
        <f>1-AI70</f>
        <v/>
      </c>
      <c r="X70" s="108">
        <f>ABS(AJ70-AJ$1)</f>
        <v/>
      </c>
      <c r="Y70" s="108">
        <f>AVERAGE(Z70:AB70)</f>
        <v/>
      </c>
      <c r="Z70" s="108">
        <f>ABS(AL70-AL$1)</f>
        <v/>
      </c>
      <c r="AA70" s="108">
        <f>ABS(AM70-AM$1)</f>
        <v/>
      </c>
      <c r="AB70" s="108">
        <f>ABS(AN70-AN$1)</f>
        <v/>
      </c>
      <c r="AC70" s="108" t="n"/>
      <c r="AD70" s="108" t="n"/>
      <c r="AE70" s="108">
        <f>ABS(AQ$1-AQ70)</f>
        <v/>
      </c>
      <c r="AF70" s="108">
        <f>ABS(AR$1-AR70)</f>
        <v/>
      </c>
      <c r="AG70" s="108">
        <f>ABS(AS$1-AS70)</f>
        <v/>
      </c>
      <c r="AH70" s="108">
        <f>ABS(AT$1-AT70)</f>
        <v/>
      </c>
      <c r="AI70" s="108">
        <f>ABS(AU$1-AU70)</f>
        <v/>
      </c>
      <c r="AJ70" s="108">
        <f>(AV70-Driver!$K$179)/(Driver!$L$179-Driver!$K$179)</f>
        <v/>
      </c>
      <c r="AK70" s="108">
        <f>(AW70-Driver!$K$180)/(Driver!$L$180-Driver!$K$180)</f>
        <v/>
      </c>
      <c r="AL70" s="108">
        <f>(AX70-Driver!$K$181)/(Driver!$L$181-Driver!$K$181)</f>
        <v/>
      </c>
      <c r="AM70" s="108">
        <f>(AY70-Driver!$K$182)/(Driver!$L$182-Driver!$K$182)</f>
        <v/>
      </c>
      <c r="AN70" s="108">
        <f>(AZ70-Driver!$K$183)/(Driver!$L$183-Driver!$K$183)</f>
        <v/>
      </c>
      <c r="AO70" s="108" t="n"/>
      <c r="AP70" s="108" t="n"/>
      <c r="AQ70" s="108">
        <f>(BC70-Driver!$K$188)/(Driver!$L$188-Driver!$K$188)</f>
        <v/>
      </c>
      <c r="AR70" s="108">
        <f>MIN((BD70-Driver!$K$189)/(Driver!$L$189-Driver!$K$189),100%)</f>
        <v/>
      </c>
      <c r="AS70" s="108">
        <f>(BE70-Driver!$K$190)/(Driver!$L$190-Driver!$K$190)</f>
        <v/>
      </c>
      <c r="AT70" s="108">
        <f>(BF70-Driver!$K$191)/(Driver!$L$191-Driver!$K$191)</f>
        <v/>
      </c>
      <c r="AU70" s="108">
        <f>(BG70-Driver!$K$192)/(Driver!$L$192-Driver!$K$192)</f>
        <v/>
      </c>
      <c r="AV70" s="105">
        <f>IFERROR(BM70*BJ70^1/4,"")</f>
        <v/>
      </c>
      <c r="AW70" s="105">
        <f>IFERROR(SUM(AX70:AZ70),"")</f>
        <v/>
      </c>
      <c r="AX70" s="105">
        <f>IFERROR(BH70,"")</f>
        <v/>
      </c>
      <c r="AY70" s="105">
        <f>IFERROR(Driver!$K$19/Data!BH70/Data!BI70*Data!BK70*Data!BL70,"")</f>
        <v/>
      </c>
      <c r="AZ70" s="105">
        <f>IFERROR(BI70*BN70,"")</f>
        <v/>
      </c>
      <c r="BA70" s="105" t="n"/>
      <c r="BB70" s="105" t="n"/>
      <c r="BC70" s="105">
        <f>IFERROR(BI70*BN70*BK70/BJ70^(1/2),"")</f>
        <v/>
      </c>
      <c r="BD70" s="105">
        <f>IFERROR(BH70*BM70*BL70/BJ70/BK70,"")</f>
        <v/>
      </c>
      <c r="BE70" s="105">
        <f>IFERROR(MIN(BI70/BQ70/BP70/BO70/BH70,$BE$1),"")</f>
        <v/>
      </c>
      <c r="BF70" s="105">
        <f>IFERROR(BJ70*BO70*BP70/BK70,"")</f>
        <v/>
      </c>
      <c r="BG70" s="105">
        <f>IFERROR(1/BM70/BH70*BQ70,"")</f>
        <v/>
      </c>
      <c r="BH70" s="102">
        <f>MAX((CE70-Driver!$F$200)/(Driver!$G$200-Driver!$F$200)*$BI$1,1)</f>
        <v/>
      </c>
      <c r="BI70" s="102">
        <f>MAX($BI$1*(BY70-Driver!$F$201)/(Driver!$G$201-Driver!$F$201),1)</f>
        <v/>
      </c>
      <c r="BJ70" s="102">
        <f>(CB70-Driver!$F$206)/(Driver!$G$206-Driver!$F$206)*$BI$1</f>
        <v/>
      </c>
      <c r="BK70" s="102">
        <f>(CD70-Driver!$F$203)/(Driver!$G$203-Driver!$F$203)*$BI$1</f>
        <v/>
      </c>
      <c r="BL70" s="102">
        <f>MAX((CR70-Driver!$F$202)/(Driver!$G$202-Driver!$F$202)*$BI$1,1)</f>
        <v/>
      </c>
      <c r="BM70" s="102">
        <f>MAX((CH70-Driver!$F$204)/(Driver!$G$204-Driver!$F$204)*$BI$1,1)</f>
        <v/>
      </c>
      <c r="BN70" s="102">
        <f>(CI70-Driver!$F$205)/(Driver!$G$205-Driver!$F$205)*$BI$1</f>
        <v/>
      </c>
      <c r="BO70" s="102">
        <f>(CK70-Driver!$F$207)/(Driver!$G$207-Driver!$F$207)*$BI$1</f>
        <v/>
      </c>
      <c r="BP70" s="102">
        <f>(CM70-Driver!$F$208)/(Driver!$G$208-Driver!$F$208)*$BI$1</f>
        <v/>
      </c>
      <c r="BQ70" s="102">
        <f>(CL70-Driver!$F$209)/(Driver!$G$209-Driver!$F$209)*$BI$1</f>
        <v/>
      </c>
      <c r="BR70" s="40" t="inlineStr">
        <is>
          <t>21/22</t>
        </is>
      </c>
      <c r="BS70" s="10" t="inlineStr">
        <is>
          <t xml:space="preserve"> K2</t>
        </is>
      </c>
      <c r="BT70" s="11" t="inlineStr">
        <is>
          <t>Wayback 106</t>
        </is>
      </c>
      <c r="BU70" s="13" t="n">
        <v>179</v>
      </c>
      <c r="BV70" s="11" t="inlineStr">
        <is>
          <t xml:space="preserve"> Unisex</t>
        </is>
      </c>
      <c r="BW70" s="13" t="n">
        <v>179</v>
      </c>
      <c r="BX70" s="13" t="n">
        <v>178.9</v>
      </c>
      <c r="BY70" s="13" t="n">
        <v>108</v>
      </c>
      <c r="BZ70" s="13" t="n">
        <v>148</v>
      </c>
      <c r="CA70" s="13" t="n">
        <v>135</v>
      </c>
      <c r="CB70" s="13" t="n">
        <v>105</v>
      </c>
      <c r="CC70" s="13" t="n">
        <v>123</v>
      </c>
      <c r="CD70" s="13" t="n">
        <v>21.6</v>
      </c>
      <c r="CE70" s="13" t="n">
        <v>1522</v>
      </c>
      <c r="CF70" s="13" t="n">
        <v>1.34</v>
      </c>
      <c r="CG70" s="13" t="n">
        <v>2039</v>
      </c>
      <c r="CH70" s="13" t="n">
        <v>195</v>
      </c>
      <c r="CI70" s="13" t="n">
        <v>96</v>
      </c>
      <c r="CJ70" s="13" t="n">
        <v>47</v>
      </c>
      <c r="CK70" s="13" t="n">
        <v>458</v>
      </c>
      <c r="CL70" s="13" t="n">
        <v>16</v>
      </c>
      <c r="CM70" s="13" t="n">
        <v>255</v>
      </c>
      <c r="CN70" s="13" t="n">
        <v>0.34</v>
      </c>
      <c r="CO70" s="13" t="n">
        <v>181</v>
      </c>
      <c r="CP70" s="13" t="n">
        <v>133</v>
      </c>
      <c r="CQ70" s="13" t="n">
        <v>276</v>
      </c>
      <c r="CR70" s="13" t="n">
        <v>3</v>
      </c>
      <c r="CS70" s="13" t="n">
        <v>13.2</v>
      </c>
      <c r="CT70" s="11" t="inlineStr">
        <is>
          <t xml:space="preserve"> Big Mountain</t>
        </is>
      </c>
      <c r="CU70" s="11" t="inlineStr">
        <is>
          <t xml:space="preserve"> Touring</t>
        </is>
      </c>
      <c r="CV70" s="11" t="inlineStr">
        <is>
          <t xml:space="preserve"> Ultralight Touring</t>
        </is>
      </c>
      <c r="CW70" s="13" t="n"/>
      <c r="CX70">
        <f>INDEX('Data_Price '!AG$2:AG$1266,MATCH(Data!$DN70,'Data_Price '!$AT$2:$AT$1266,0))</f>
        <v/>
      </c>
      <c r="CY70">
        <f>INDEX('Data_Price '!AH$2:AH$1266,MATCH(Data!$DN70,'Data_Price '!$AT$2:$AT$1266,0))</f>
        <v/>
      </c>
      <c r="CZ70">
        <f>INDEX('Data_Price '!AI$2:AI$1266,MATCH(Data!$DN70,'Data_Price '!$AT$2:$AT$1266,0))</f>
        <v/>
      </c>
      <c r="DA70">
        <f>INDEX('Data_Price '!AJ$2:AJ$1266,MATCH(Data!$DN70,'Data_Price '!$AT$2:$AT$1266,0))</f>
        <v/>
      </c>
      <c r="DB70">
        <f>INDEX('Data_Price '!AK$2:AK$1266,MATCH(Data!$DN70,'Data_Price '!$AT$2:$AT$1266,0))</f>
        <v/>
      </c>
      <c r="DC70">
        <f>INDEX('Data_Price '!AL$2:AL$1266,MATCH(Data!$DN70,'Data_Price '!$AT$2:$AT$1266,0))</f>
        <v/>
      </c>
      <c r="DD70">
        <f>INDEX('Data_Price '!AM$2:AM$1266,MATCH(Data!$DN70,'Data_Price '!$AT$2:$AT$1266,0))</f>
        <v/>
      </c>
      <c r="DE70">
        <f>INDEX('Data_Price '!AN$2:AN$1266,MATCH(Data!$DN70,'Data_Price '!$AT$2:$AT$1266,0))</f>
        <v/>
      </c>
      <c r="DF70">
        <f>INDEX('Data_Price '!AO$2:AO$1266,MATCH(Data!$DN70,'Data_Price '!$AT$2:$AT$1266,0))</f>
        <v/>
      </c>
      <c r="DG70">
        <f>INDEX('Data_Price '!AP$2:AP$1266,MATCH(Data!$DN70,'Data_Price '!$AT$2:$AT$1266,0))</f>
        <v/>
      </c>
      <c r="DH70">
        <f>INDEX('Data_Price '!AQ$2:AQ$1266,MATCH(Data!$DN70,'Data_Price '!$AT$2:$AT$1266,0))</f>
        <v/>
      </c>
      <c r="DI70">
        <f>INDEX('Data_Price '!AR$2:AR$1266,MATCH(Data!$DN70,'Data_Price '!$AT$2:$AT$1266,0))</f>
        <v/>
      </c>
      <c r="DJ70" s="138">
        <f>DA70</f>
        <v/>
      </c>
      <c r="DK70" s="138">
        <f>DE70</f>
        <v/>
      </c>
      <c r="DL70" s="138">
        <f>DI70</f>
        <v/>
      </c>
      <c r="DM70" s="303">
        <f>IF(LEFT(BT70,1)=" ",RIGHT(BT70,LEN(BT70)-1),BT70)</f>
        <v/>
      </c>
      <c r="DN70" s="138">
        <f>_xlfn.CONCAT(BS70,DM70,BU70,BV70)</f>
        <v/>
      </c>
      <c r="DO70" s="307" t="inlineStr">
        <is>
          <t>https://images.evo.com/imgp/250/182121/886394/k2-wayback-106-skis-2021-.jpg</t>
        </is>
      </c>
    </row>
    <row r="71" ht="15.6" customHeight="1" s="184">
      <c r="B71" s="303">
        <f t="array" ref="B71">IF(OR(ISERROR(K71:P71)),FALSE,TRUE)</f>
        <v/>
      </c>
      <c r="C71" s="60">
        <f>OR(BR71=Driver!$G$50,Data!BR824=Driver!$H$50)</f>
        <v/>
      </c>
      <c r="D71" s="60">
        <f>OR(BV71=Driver!$G$51,BV71=Driver!$H$51)</f>
        <v/>
      </c>
      <c r="E71" s="60">
        <f>AND(BX71&gt;Driver!$F$54,BX71&lt;Driver!$G$54)</f>
        <v/>
      </c>
      <c r="F71" s="60">
        <f>CL71&gt;Driver!$F$56</f>
        <v/>
      </c>
      <c r="G71" s="60">
        <f>AND(CB71&gt;Driver!$F$55,CB71&lt;Driver!$G$55)</f>
        <v/>
      </c>
      <c r="H71" s="60">
        <f>AND(B71:G71)</f>
        <v/>
      </c>
      <c r="I71" s="60">
        <f>COUNTIFS($H$9:$H$1273,TRUE,$BT$9:$BT$1273,BT71)</f>
        <v/>
      </c>
      <c r="J71" s="60">
        <f t="array" ref="J71">NOT(OR(($H$9:$H$1273=TRUE)*($I$9:$I$1273&gt;0)*($BT$9:$BT$1273=BT71)*($K$9:$K$1273&gt;K71)))</f>
        <v/>
      </c>
      <c r="K71" s="108">
        <f>IFERROR(1-AVERAGE(X71:Y71),"")</f>
        <v/>
      </c>
      <c r="L71" s="108">
        <f>1-X71</f>
        <v/>
      </c>
      <c r="M71" s="108">
        <f>1-Y71</f>
        <v/>
      </c>
      <c r="N71" s="108">
        <f>1-Z71</f>
        <v/>
      </c>
      <c r="O71" s="108">
        <f>1-AA71</f>
        <v/>
      </c>
      <c r="P71" s="108">
        <f>1-AB71</f>
        <v/>
      </c>
      <c r="Q71" s="108" t="n"/>
      <c r="R71" s="108" t="n"/>
      <c r="S71" s="108">
        <f>1-AE71</f>
        <v/>
      </c>
      <c r="T71" s="108">
        <f>1-AF71</f>
        <v/>
      </c>
      <c r="U71" s="108">
        <f>1-AG71</f>
        <v/>
      </c>
      <c r="V71" s="108">
        <f>1-AH71</f>
        <v/>
      </c>
      <c r="W71" s="108">
        <f>1-AI71</f>
        <v/>
      </c>
      <c r="X71" s="108">
        <f>ABS(AJ71-AJ$1)</f>
        <v/>
      </c>
      <c r="Y71" s="108">
        <f>AVERAGE(Z71:AB71)</f>
        <v/>
      </c>
      <c r="Z71" s="108">
        <f>ABS(AL71-AL$1)</f>
        <v/>
      </c>
      <c r="AA71" s="108">
        <f>ABS(AM71-AM$1)</f>
        <v/>
      </c>
      <c r="AB71" s="108">
        <f>ABS(AN71-AN$1)</f>
        <v/>
      </c>
      <c r="AC71" s="108" t="n"/>
      <c r="AD71" s="108" t="n"/>
      <c r="AE71" s="108">
        <f>ABS(AQ$1-AQ71)</f>
        <v/>
      </c>
      <c r="AF71" s="108">
        <f>ABS(AR$1-AR71)</f>
        <v/>
      </c>
      <c r="AG71" s="108">
        <f>ABS(AS$1-AS71)</f>
        <v/>
      </c>
      <c r="AH71" s="108">
        <f>ABS(AT$1-AT71)</f>
        <v/>
      </c>
      <c r="AI71" s="108">
        <f>ABS(AU$1-AU71)</f>
        <v/>
      </c>
      <c r="AJ71" s="108">
        <f>(AV71-Driver!$K$179)/(Driver!$L$179-Driver!$K$179)</f>
        <v/>
      </c>
      <c r="AK71" s="108">
        <f>(AW71-Driver!$K$180)/(Driver!$L$180-Driver!$K$180)</f>
        <v/>
      </c>
      <c r="AL71" s="108">
        <f>(AX71-Driver!$K$181)/(Driver!$L$181-Driver!$K$181)</f>
        <v/>
      </c>
      <c r="AM71" s="108">
        <f>(AY71-Driver!$K$182)/(Driver!$L$182-Driver!$K$182)</f>
        <v/>
      </c>
      <c r="AN71" s="108">
        <f>(AZ71-Driver!$K$183)/(Driver!$L$183-Driver!$K$183)</f>
        <v/>
      </c>
      <c r="AO71" s="108" t="n"/>
      <c r="AP71" s="108" t="n"/>
      <c r="AQ71" s="108">
        <f>(BC71-Driver!$K$188)/(Driver!$L$188-Driver!$K$188)</f>
        <v/>
      </c>
      <c r="AR71" s="108">
        <f>MIN((BD71-Driver!$K$189)/(Driver!$L$189-Driver!$K$189),100%)</f>
        <v/>
      </c>
      <c r="AS71" s="108">
        <f>(BE71-Driver!$K$190)/(Driver!$L$190-Driver!$K$190)</f>
        <v/>
      </c>
      <c r="AT71" s="108">
        <f>(BF71-Driver!$K$191)/(Driver!$L$191-Driver!$K$191)</f>
        <v/>
      </c>
      <c r="AU71" s="108">
        <f>(BG71-Driver!$K$192)/(Driver!$L$192-Driver!$K$192)</f>
        <v/>
      </c>
      <c r="AV71" s="105">
        <f>IFERROR(BM71*BJ71^1/4,"")</f>
        <v/>
      </c>
      <c r="AW71" s="105">
        <f>IFERROR(SUM(AX71:AZ71),"")</f>
        <v/>
      </c>
      <c r="AX71" s="105">
        <f>IFERROR(BH71,"")</f>
        <v/>
      </c>
      <c r="AY71" s="105">
        <f>IFERROR(Driver!$K$19/Data!BH71/Data!BI71*Data!BK71*Data!BL71,"")</f>
        <v/>
      </c>
      <c r="AZ71" s="105">
        <f>IFERROR(BI71*BN71,"")</f>
        <v/>
      </c>
      <c r="BA71" s="105" t="n"/>
      <c r="BB71" s="105" t="n"/>
      <c r="BC71" s="105">
        <f>IFERROR(BI71*BN71*BK71/BJ71^(1/2),"")</f>
        <v/>
      </c>
      <c r="BD71" s="105">
        <f>IFERROR(BH71*BM71*BL71/BJ71/BK71,"")</f>
        <v/>
      </c>
      <c r="BE71" s="105">
        <f>IFERROR(MIN(BI71/BQ71/BP71/BO71/BH71,$BE$1),"")</f>
        <v/>
      </c>
      <c r="BF71" s="105">
        <f>IFERROR(BJ71*BO71*BP71/BK71,"")</f>
        <v/>
      </c>
      <c r="BG71" s="105">
        <f>IFERROR(1/BM71/BH71*BQ71,"")</f>
        <v/>
      </c>
      <c r="BH71" s="102">
        <f>MAX((CE71-Driver!$F$200)/(Driver!$G$200-Driver!$F$200)*$BI$1,1)</f>
        <v/>
      </c>
      <c r="BI71" s="102">
        <f>MAX($BI$1*(BY71-Driver!$F$201)/(Driver!$G$201-Driver!$F$201),1)</f>
        <v/>
      </c>
      <c r="BJ71" s="102">
        <f>(CB71-Driver!$F$206)/(Driver!$G$206-Driver!$F$206)*$BI$1</f>
        <v/>
      </c>
      <c r="BK71" s="102">
        <f>(CD71-Driver!$F$203)/(Driver!$G$203-Driver!$F$203)*$BI$1</f>
        <v/>
      </c>
      <c r="BL71" s="102">
        <f>MAX((CR71-Driver!$F$202)/(Driver!$G$202-Driver!$F$202)*$BI$1,1)</f>
        <v/>
      </c>
      <c r="BM71" s="102">
        <f>MAX((CH71-Driver!$F$204)/(Driver!$G$204-Driver!$F$204)*$BI$1,1)</f>
        <v/>
      </c>
      <c r="BN71" s="102">
        <f>(CI71-Driver!$F$205)/(Driver!$G$205-Driver!$F$205)*$BI$1</f>
        <v/>
      </c>
      <c r="BO71" s="102">
        <f>(CK71-Driver!$F$207)/(Driver!$G$207-Driver!$F$207)*$BI$1</f>
        <v/>
      </c>
      <c r="BP71" s="102">
        <f>(CM71-Driver!$F$208)/(Driver!$G$208-Driver!$F$208)*$BI$1</f>
        <v/>
      </c>
      <c r="BQ71" s="102">
        <f>(CL71-Driver!$F$209)/(Driver!$G$209-Driver!$F$209)*$BI$1</f>
        <v/>
      </c>
      <c r="BR71" s="40" t="inlineStr">
        <is>
          <t>21/22</t>
        </is>
      </c>
      <c r="BS71" s="10" t="inlineStr">
        <is>
          <t xml:space="preserve"> Line</t>
        </is>
      </c>
      <c r="BT71" s="11" t="inlineStr">
        <is>
          <t xml:space="preserve"> Blade W</t>
        </is>
      </c>
      <c r="BU71" s="13" t="n">
        <v>153</v>
      </c>
      <c r="BV71" s="11" t="inlineStr">
        <is>
          <t xml:space="preserve"> Women's</t>
        </is>
      </c>
      <c r="BW71" s="13" t="n">
        <v>153</v>
      </c>
      <c r="BX71" s="13" t="n">
        <v>152.2</v>
      </c>
      <c r="BY71" s="13" t="n">
        <v>121</v>
      </c>
      <c r="BZ71" s="13" t="n">
        <v>137</v>
      </c>
      <c r="CA71" s="13" t="n">
        <v>139</v>
      </c>
      <c r="CB71" s="13" t="n">
        <v>90</v>
      </c>
      <c r="CC71" s="13" t="n">
        <v>113</v>
      </c>
      <c r="CD71" s="13" t="n">
        <v>13.2</v>
      </c>
      <c r="CE71" s="13" t="n">
        <v>1555</v>
      </c>
      <c r="CF71" s="13" t="n">
        <v>1.02</v>
      </c>
      <c r="CG71" s="13" t="n">
        <v>1593</v>
      </c>
      <c r="CH71" s="13" t="n">
        <v>136</v>
      </c>
      <c r="CI71" s="13" t="n">
        <v>92</v>
      </c>
      <c r="CJ71" s="13" t="n">
        <v>30</v>
      </c>
      <c r="CK71" s="13" t="n">
        <v>192</v>
      </c>
      <c r="CL71" s="13" t="n">
        <v>22</v>
      </c>
      <c r="CM71" s="13" t="n">
        <v>120</v>
      </c>
      <c r="CN71" s="13" t="n">
        <v>0.746</v>
      </c>
      <c r="CO71" s="13" t="n">
        <v>131</v>
      </c>
      <c r="CP71" s="13" t="n">
        <v>22</v>
      </c>
      <c r="CQ71" s="13" t="n">
        <v>61</v>
      </c>
      <c r="CR71" s="13" t="n">
        <v>8</v>
      </c>
      <c r="CS71" s="13" t="n">
        <v>6</v>
      </c>
      <c r="CT71" s="11" t="inlineStr">
        <is>
          <t xml:space="preserve"> Resort Freeride</t>
        </is>
      </c>
      <c r="CU71" s="13" t="n"/>
      <c r="CV71" s="13" t="n"/>
      <c r="CW71" s="13" t="n"/>
      <c r="CX71">
        <f>INDEX('Data_Price '!AG$2:AG$1266,MATCH(Data!$DN71,'Data_Price '!$AT$2:$AT$1266,0))</f>
        <v/>
      </c>
      <c r="CY71">
        <f>INDEX('Data_Price '!AH$2:AH$1266,MATCH(Data!$DN71,'Data_Price '!$AT$2:$AT$1266,0))</f>
        <v/>
      </c>
      <c r="CZ71">
        <f>INDEX('Data_Price '!AI$2:AI$1266,MATCH(Data!$DN71,'Data_Price '!$AT$2:$AT$1266,0))</f>
        <v/>
      </c>
      <c r="DA71">
        <f>INDEX('Data_Price '!AJ$2:AJ$1266,MATCH(Data!$DN71,'Data_Price '!$AT$2:$AT$1266,0))</f>
        <v/>
      </c>
      <c r="DB71">
        <f>INDEX('Data_Price '!AK$2:AK$1266,MATCH(Data!$DN71,'Data_Price '!$AT$2:$AT$1266,0))</f>
        <v/>
      </c>
      <c r="DC71">
        <f>INDEX('Data_Price '!AL$2:AL$1266,MATCH(Data!$DN71,'Data_Price '!$AT$2:$AT$1266,0))</f>
        <v/>
      </c>
      <c r="DD71">
        <f>INDEX('Data_Price '!AM$2:AM$1266,MATCH(Data!$DN71,'Data_Price '!$AT$2:$AT$1266,0))</f>
        <v/>
      </c>
      <c r="DE71">
        <f>INDEX('Data_Price '!AN$2:AN$1266,MATCH(Data!$DN71,'Data_Price '!$AT$2:$AT$1266,0))</f>
        <v/>
      </c>
      <c r="DF71">
        <f>INDEX('Data_Price '!AO$2:AO$1266,MATCH(Data!$DN71,'Data_Price '!$AT$2:$AT$1266,0))</f>
        <v/>
      </c>
      <c r="DG71">
        <f>INDEX('Data_Price '!AP$2:AP$1266,MATCH(Data!$DN71,'Data_Price '!$AT$2:$AT$1266,0))</f>
        <v/>
      </c>
      <c r="DH71">
        <f>INDEX('Data_Price '!AQ$2:AQ$1266,MATCH(Data!$DN71,'Data_Price '!$AT$2:$AT$1266,0))</f>
        <v/>
      </c>
      <c r="DI71">
        <f>INDEX('Data_Price '!AR$2:AR$1266,MATCH(Data!$DN71,'Data_Price '!$AT$2:$AT$1266,0))</f>
        <v/>
      </c>
      <c r="DJ71" s="138">
        <f>DA71</f>
        <v/>
      </c>
      <c r="DK71" s="138">
        <f>DE71</f>
        <v/>
      </c>
      <c r="DL71" s="138">
        <f>DI71</f>
        <v/>
      </c>
      <c r="DM71" s="303">
        <f>IF(LEFT(BT71,1)=" ",RIGHT(BT71,LEN(BT71)-1),BT71)</f>
        <v/>
      </c>
      <c r="DN71" s="138">
        <f>_xlfn.CONCAT(BS71,DM71,BU71,BV71)</f>
        <v/>
      </c>
      <c r="DO71" s="307" t="inlineStr">
        <is>
          <t>https://images.evo.com/imgp/250/198424/817629/line-skis-blade-w-skis-women-s-2022-.jpg</t>
        </is>
      </c>
    </row>
    <row r="72" ht="15.6" customHeight="1" s="184">
      <c r="B72" s="303">
        <f t="array" ref="B72">IF(OR(ISERROR(K72:P72)),FALSE,TRUE)</f>
        <v/>
      </c>
      <c r="C72" s="60">
        <f>OR(BR72=Driver!$G$50,Data!BR165=Driver!$H$50)</f>
        <v/>
      </c>
      <c r="D72" s="60">
        <f>OR(BV72=Driver!$G$51,BV72=Driver!$H$51)</f>
        <v/>
      </c>
      <c r="E72" s="60">
        <f>AND(BX72&gt;Driver!$F$54,BX72&lt;Driver!$G$54)</f>
        <v/>
      </c>
      <c r="F72" s="60">
        <f>CL72&gt;Driver!$F$56</f>
        <v/>
      </c>
      <c r="G72" s="60">
        <f>AND(CB72&gt;Driver!$F$55,CB72&lt;Driver!$G$55)</f>
        <v/>
      </c>
      <c r="H72" s="60">
        <f>AND(B72:G72)</f>
        <v/>
      </c>
      <c r="I72" s="60">
        <f>COUNTIFS($H$9:$H$1273,TRUE,$BT$9:$BT$1273,BT72)</f>
        <v/>
      </c>
      <c r="J72" s="60">
        <f t="array" ref="J72">NOT(OR(($H$9:$H$1273=TRUE)*($I$9:$I$1273&gt;0)*($BT$9:$BT$1273=BT72)*($K$9:$K$1273&gt;K72)))</f>
        <v/>
      </c>
      <c r="K72" s="108">
        <f>IFERROR(1-AVERAGE(X72:Y72),"")</f>
        <v/>
      </c>
      <c r="L72" s="108">
        <f>1-X72</f>
        <v/>
      </c>
      <c r="M72" s="108">
        <f>1-Y72</f>
        <v/>
      </c>
      <c r="N72" s="108">
        <f>1-Z72</f>
        <v/>
      </c>
      <c r="O72" s="108">
        <f>1-AA72</f>
        <v/>
      </c>
      <c r="P72" s="108">
        <f>1-AB72</f>
        <v/>
      </c>
      <c r="Q72" s="108" t="n"/>
      <c r="R72" s="108" t="n"/>
      <c r="S72" s="108">
        <f>1-AE72</f>
        <v/>
      </c>
      <c r="T72" s="108">
        <f>1-AF72</f>
        <v/>
      </c>
      <c r="U72" s="108">
        <f>1-AG72</f>
        <v/>
      </c>
      <c r="V72" s="108">
        <f>1-AH72</f>
        <v/>
      </c>
      <c r="W72" s="108">
        <f>1-AI72</f>
        <v/>
      </c>
      <c r="X72" s="108">
        <f>ABS(AJ72-AJ$1)</f>
        <v/>
      </c>
      <c r="Y72" s="108">
        <f>AVERAGE(Z72:AB72)</f>
        <v/>
      </c>
      <c r="Z72" s="108">
        <f>ABS(AL72-AL$1)</f>
        <v/>
      </c>
      <c r="AA72" s="108">
        <f>ABS(AM72-AM$1)</f>
        <v/>
      </c>
      <c r="AB72" s="108">
        <f>ABS(AN72-AN$1)</f>
        <v/>
      </c>
      <c r="AC72" s="108" t="n"/>
      <c r="AD72" s="108" t="n"/>
      <c r="AE72" s="108">
        <f>ABS(AQ$1-AQ72)</f>
        <v/>
      </c>
      <c r="AF72" s="108">
        <f>ABS(AR$1-AR72)</f>
        <v/>
      </c>
      <c r="AG72" s="108">
        <f>ABS(AS$1-AS72)</f>
        <v/>
      </c>
      <c r="AH72" s="108">
        <f>ABS(AT$1-AT72)</f>
        <v/>
      </c>
      <c r="AI72" s="108">
        <f>ABS(AU$1-AU72)</f>
        <v/>
      </c>
      <c r="AJ72" s="108">
        <f>(AV72-Driver!$K$179)/(Driver!$L$179-Driver!$K$179)</f>
        <v/>
      </c>
      <c r="AK72" s="108">
        <f>(AW72-Driver!$K$180)/(Driver!$L$180-Driver!$K$180)</f>
        <v/>
      </c>
      <c r="AL72" s="108">
        <f>(AX72-Driver!$K$181)/(Driver!$L$181-Driver!$K$181)</f>
        <v/>
      </c>
      <c r="AM72" s="108">
        <f>(AY72-Driver!$K$182)/(Driver!$L$182-Driver!$K$182)</f>
        <v/>
      </c>
      <c r="AN72" s="108">
        <f>(AZ72-Driver!$K$183)/(Driver!$L$183-Driver!$K$183)</f>
        <v/>
      </c>
      <c r="AO72" s="108" t="n"/>
      <c r="AP72" s="108" t="n"/>
      <c r="AQ72" s="108">
        <f>(BC72-Driver!$K$188)/(Driver!$L$188-Driver!$K$188)</f>
        <v/>
      </c>
      <c r="AR72" s="108">
        <f>MIN((BD72-Driver!$K$189)/(Driver!$L$189-Driver!$K$189),100%)</f>
        <v/>
      </c>
      <c r="AS72" s="108">
        <f>(BE72-Driver!$K$190)/(Driver!$L$190-Driver!$K$190)</f>
        <v/>
      </c>
      <c r="AT72" s="108">
        <f>(BF72-Driver!$K$191)/(Driver!$L$191-Driver!$K$191)</f>
        <v/>
      </c>
      <c r="AU72" s="108">
        <f>(BG72-Driver!$K$192)/(Driver!$L$192-Driver!$K$192)</f>
        <v/>
      </c>
      <c r="AV72" s="105">
        <f>IFERROR(BM72*BJ72^1/4,"")</f>
        <v/>
      </c>
      <c r="AW72" s="105">
        <f>IFERROR(SUM(AX72:AZ72),"")</f>
        <v/>
      </c>
      <c r="AX72" s="105">
        <f>IFERROR(BH72,"")</f>
        <v/>
      </c>
      <c r="AY72" s="105">
        <f>IFERROR(Driver!$K$19/Data!BH72/Data!BI72*Data!BK72*Data!BL72,"")</f>
        <v/>
      </c>
      <c r="AZ72" s="105">
        <f>IFERROR(BI72*BN72,"")</f>
        <v/>
      </c>
      <c r="BA72" s="105" t="n"/>
      <c r="BB72" s="105" t="n"/>
      <c r="BC72" s="105">
        <f>IFERROR(BI72*BN72*BK72/BJ72^(1/2),"")</f>
        <v/>
      </c>
      <c r="BD72" s="105">
        <f>IFERROR(BH72*BM72*BL72/BJ72/BK72,"")</f>
        <v/>
      </c>
      <c r="BE72" s="105">
        <f>IFERROR(MIN(BI72/BQ72/BP72/BO72/BH72,$BE$1),"")</f>
        <v/>
      </c>
      <c r="BF72" s="105">
        <f>IFERROR(BJ72*BO72*BP72/BK72,"")</f>
        <v/>
      </c>
      <c r="BG72" s="105">
        <f>IFERROR(1/BM72/BH72*BQ72,"")</f>
        <v/>
      </c>
      <c r="BH72" s="102">
        <f>MAX((CE72-Driver!$F$200)/(Driver!$G$200-Driver!$F$200)*$BI$1,1)</f>
        <v/>
      </c>
      <c r="BI72" s="102">
        <f>MAX($BI$1*(BY72-Driver!$F$201)/(Driver!$G$201-Driver!$F$201),1)</f>
        <v/>
      </c>
      <c r="BJ72" s="102">
        <f>(CB72-Driver!$F$206)/(Driver!$G$206-Driver!$F$206)*$BI$1</f>
        <v/>
      </c>
      <c r="BK72" s="102">
        <f>(CD72-Driver!$F$203)/(Driver!$G$203-Driver!$F$203)*$BI$1</f>
        <v/>
      </c>
      <c r="BL72" s="102">
        <f>MAX((CR72-Driver!$F$202)/(Driver!$G$202-Driver!$F$202)*$BI$1,1)</f>
        <v/>
      </c>
      <c r="BM72" s="102">
        <f>MAX((CH72-Driver!$F$204)/(Driver!$G$204-Driver!$F$204)*$BI$1,1)</f>
        <v/>
      </c>
      <c r="BN72" s="102">
        <f>(CI72-Driver!$F$205)/(Driver!$G$205-Driver!$F$205)*$BI$1</f>
        <v/>
      </c>
      <c r="BO72" s="102">
        <f>(CK72-Driver!$F$207)/(Driver!$G$207-Driver!$F$207)*$BI$1</f>
        <v/>
      </c>
      <c r="BP72" s="102">
        <f>(CM72-Driver!$F$208)/(Driver!$G$208-Driver!$F$208)*$BI$1</f>
        <v/>
      </c>
      <c r="BQ72" s="102">
        <f>(CL72-Driver!$F$209)/(Driver!$G$209-Driver!$F$209)*$BI$1</f>
        <v/>
      </c>
      <c r="BR72" s="40" t="inlineStr">
        <is>
          <t>21/22</t>
        </is>
      </c>
      <c r="BS72" s="10" t="inlineStr">
        <is>
          <t xml:space="preserve"> Atomic</t>
        </is>
      </c>
      <c r="BT72" s="11" t="inlineStr">
        <is>
          <t>Maverick 86 C</t>
        </is>
      </c>
      <c r="BU72" s="13" t="n">
        <v>176</v>
      </c>
      <c r="BV72" s="11" t="inlineStr">
        <is>
          <t xml:space="preserve"> Unisex</t>
        </is>
      </c>
      <c r="BW72" s="13" t="n">
        <v>176</v>
      </c>
      <c r="BX72" s="13" t="n">
        <v>175.3</v>
      </c>
      <c r="BY72" s="13" t="n">
        <v>131</v>
      </c>
      <c r="BZ72" s="13" t="n">
        <v>147</v>
      </c>
      <c r="CA72" s="13" t="n">
        <v>124</v>
      </c>
      <c r="CB72" s="13" t="n">
        <v>87</v>
      </c>
      <c r="CC72" s="13" t="n">
        <v>107</v>
      </c>
      <c r="CD72" s="13" t="n">
        <v>18.3</v>
      </c>
      <c r="CE72" s="13" t="n">
        <v>1547</v>
      </c>
      <c r="CF72" s="13" t="n">
        <v>1.11</v>
      </c>
      <c r="CG72" s="13" t="n">
        <v>1719</v>
      </c>
      <c r="CH72" s="13" t="n">
        <v>217</v>
      </c>
      <c r="CI72" s="13" t="n">
        <v>99</v>
      </c>
      <c r="CJ72" s="13" t="n">
        <v>45</v>
      </c>
      <c r="CK72" s="13" t="n">
        <v>268</v>
      </c>
      <c r="CL72" s="13" t="n">
        <v>11</v>
      </c>
      <c r="CM72" s="13" t="n">
        <v>173</v>
      </c>
      <c r="CN72" s="13" t="n">
        <v>0.24</v>
      </c>
      <c r="CO72" s="13" t="n">
        <v>170</v>
      </c>
      <c r="CP72" s="13" t="n">
        <v>109</v>
      </c>
      <c r="CQ72" s="13" t="n">
        <v>98</v>
      </c>
      <c r="CR72" s="13" t="n">
        <v>6</v>
      </c>
      <c r="CS72" s="13" t="n">
        <v>8.800000000000001</v>
      </c>
      <c r="CT72" s="11" t="inlineStr">
        <is>
          <t xml:space="preserve"> Resort Freeride</t>
        </is>
      </c>
      <c r="CU72" s="11" t="inlineStr">
        <is>
          <t xml:space="preserve"> Touring</t>
        </is>
      </c>
      <c r="CV72" s="13" t="n"/>
      <c r="CW72" s="13" t="n"/>
      <c r="CX72">
        <f>INDEX('Data_Price '!AG$2:AG$1266,MATCH(Data!$DN72,'Data_Price '!$AT$2:$AT$1266,0))</f>
        <v/>
      </c>
      <c r="CY72">
        <f>INDEX('Data_Price '!AH$2:AH$1266,MATCH(Data!$DN72,'Data_Price '!$AT$2:$AT$1266,0))</f>
        <v/>
      </c>
      <c r="CZ72">
        <f>INDEX('Data_Price '!AI$2:AI$1266,MATCH(Data!$DN72,'Data_Price '!$AT$2:$AT$1266,0))</f>
        <v/>
      </c>
      <c r="DA72">
        <f>INDEX('Data_Price '!AJ$2:AJ$1266,MATCH(Data!$DN72,'Data_Price '!$AT$2:$AT$1266,0))</f>
        <v/>
      </c>
      <c r="DB72">
        <f>INDEX('Data_Price '!AK$2:AK$1266,MATCH(Data!$DN72,'Data_Price '!$AT$2:$AT$1266,0))</f>
        <v/>
      </c>
      <c r="DC72">
        <f>INDEX('Data_Price '!AL$2:AL$1266,MATCH(Data!$DN72,'Data_Price '!$AT$2:$AT$1266,0))</f>
        <v/>
      </c>
      <c r="DD72">
        <f>INDEX('Data_Price '!AM$2:AM$1266,MATCH(Data!$DN72,'Data_Price '!$AT$2:$AT$1266,0))</f>
        <v/>
      </c>
      <c r="DE72">
        <f>INDEX('Data_Price '!AN$2:AN$1266,MATCH(Data!$DN72,'Data_Price '!$AT$2:$AT$1266,0))</f>
        <v/>
      </c>
      <c r="DF72">
        <f>INDEX('Data_Price '!AO$2:AO$1266,MATCH(Data!$DN72,'Data_Price '!$AT$2:$AT$1266,0))</f>
        <v/>
      </c>
      <c r="DG72">
        <f>INDEX('Data_Price '!AP$2:AP$1266,MATCH(Data!$DN72,'Data_Price '!$AT$2:$AT$1266,0))</f>
        <v/>
      </c>
      <c r="DH72">
        <f>INDEX('Data_Price '!AQ$2:AQ$1266,MATCH(Data!$DN72,'Data_Price '!$AT$2:$AT$1266,0))</f>
        <v/>
      </c>
      <c r="DI72">
        <f>INDEX('Data_Price '!AR$2:AR$1266,MATCH(Data!$DN72,'Data_Price '!$AT$2:$AT$1266,0))</f>
        <v/>
      </c>
      <c r="DJ72" s="138">
        <f>DA72</f>
        <v/>
      </c>
      <c r="DK72" s="138">
        <f>DE72</f>
        <v/>
      </c>
      <c r="DL72" s="138">
        <f>DI72</f>
        <v/>
      </c>
      <c r="DM72" s="303">
        <f>IF(LEFT(BT72,1)=" ",RIGHT(BT72,LEN(BT72)-1),BT72)</f>
        <v/>
      </c>
      <c r="DN72" s="138">
        <f>_xlfn.CONCAT(BS72,DM72,BU72,BV72)</f>
        <v/>
      </c>
      <c r="DO72" s="307" t="inlineStr">
        <is>
          <t>https://images.evo.com/imgp/250/197733/826787/clone.jpg</t>
        </is>
      </c>
    </row>
    <row r="73" ht="15.6" customHeight="1" s="184">
      <c r="B73" s="303">
        <f t="array" ref="B73">IF(OR(ISERROR(K73:P73)),FALSE,TRUE)</f>
        <v/>
      </c>
      <c r="C73" s="60">
        <f>OR(BR73=Driver!$G$50,Data!BR795=Driver!$H$50)</f>
        <v/>
      </c>
      <c r="D73" s="60">
        <f>OR(BV73=Driver!$G$51,BV73=Driver!$H$51)</f>
        <v/>
      </c>
      <c r="E73" s="60">
        <f>AND(BX73&gt;Driver!$F$54,BX73&lt;Driver!$G$54)</f>
        <v/>
      </c>
      <c r="F73" s="60">
        <f>CL73&gt;Driver!$F$56</f>
        <v/>
      </c>
      <c r="G73" s="60">
        <f>AND(CB73&gt;Driver!$F$55,CB73&lt;Driver!$G$55)</f>
        <v/>
      </c>
      <c r="H73" s="60">
        <f>AND(B73:G73)</f>
        <v/>
      </c>
      <c r="I73" s="60">
        <f>COUNTIFS($H$9:$H$1273,TRUE,$BT$9:$BT$1273,BT73)</f>
        <v/>
      </c>
      <c r="J73" s="60">
        <f t="array" ref="J73">NOT(OR(($H$9:$H$1273=TRUE)*($I$9:$I$1273&gt;0)*($BT$9:$BT$1273=BT73)*($K$9:$K$1273&gt;K73)))</f>
        <v/>
      </c>
      <c r="K73" s="108">
        <f>IFERROR(1-AVERAGE(X73:Y73),"")</f>
        <v/>
      </c>
      <c r="L73" s="108">
        <f>1-X73</f>
        <v/>
      </c>
      <c r="M73" s="108">
        <f>1-Y73</f>
        <v/>
      </c>
      <c r="N73" s="108">
        <f>1-Z73</f>
        <v/>
      </c>
      <c r="O73" s="108">
        <f>1-AA73</f>
        <v/>
      </c>
      <c r="P73" s="108">
        <f>1-AB73</f>
        <v/>
      </c>
      <c r="Q73" s="108" t="n"/>
      <c r="R73" s="108" t="n"/>
      <c r="S73" s="108">
        <f>1-AE73</f>
        <v/>
      </c>
      <c r="T73" s="108">
        <f>1-AF73</f>
        <v/>
      </c>
      <c r="U73" s="108">
        <f>1-AG73</f>
        <v/>
      </c>
      <c r="V73" s="108">
        <f>1-AH73</f>
        <v/>
      </c>
      <c r="W73" s="108">
        <f>1-AI73</f>
        <v/>
      </c>
      <c r="X73" s="108">
        <f>ABS(AJ73-AJ$1)</f>
        <v/>
      </c>
      <c r="Y73" s="108">
        <f>AVERAGE(Z73:AB73)</f>
        <v/>
      </c>
      <c r="Z73" s="108">
        <f>ABS(AL73-AL$1)</f>
        <v/>
      </c>
      <c r="AA73" s="108">
        <f>ABS(AM73-AM$1)</f>
        <v/>
      </c>
      <c r="AB73" s="108">
        <f>ABS(AN73-AN$1)</f>
        <v/>
      </c>
      <c r="AC73" s="108" t="n"/>
      <c r="AD73" s="108" t="n"/>
      <c r="AE73" s="108">
        <f>ABS(AQ$1-AQ73)</f>
        <v/>
      </c>
      <c r="AF73" s="108">
        <f>ABS(AR$1-AR73)</f>
        <v/>
      </c>
      <c r="AG73" s="108">
        <f>ABS(AS$1-AS73)</f>
        <v/>
      </c>
      <c r="AH73" s="108">
        <f>ABS(AT$1-AT73)</f>
        <v/>
      </c>
      <c r="AI73" s="108">
        <f>ABS(AU$1-AU73)</f>
        <v/>
      </c>
      <c r="AJ73" s="108">
        <f>(AV73-Driver!$K$179)/(Driver!$L$179-Driver!$K$179)</f>
        <v/>
      </c>
      <c r="AK73" s="108">
        <f>(AW73-Driver!$K$180)/(Driver!$L$180-Driver!$K$180)</f>
        <v/>
      </c>
      <c r="AL73" s="108">
        <f>(AX73-Driver!$K$181)/(Driver!$L$181-Driver!$K$181)</f>
        <v/>
      </c>
      <c r="AM73" s="108">
        <f>(AY73-Driver!$K$182)/(Driver!$L$182-Driver!$K$182)</f>
        <v/>
      </c>
      <c r="AN73" s="108">
        <f>(AZ73-Driver!$K$183)/(Driver!$L$183-Driver!$K$183)</f>
        <v/>
      </c>
      <c r="AO73" s="108" t="n"/>
      <c r="AP73" s="108" t="n"/>
      <c r="AQ73" s="108">
        <f>(BC73-Driver!$K$188)/(Driver!$L$188-Driver!$K$188)</f>
        <v/>
      </c>
      <c r="AR73" s="108">
        <f>MIN((BD73-Driver!$K$189)/(Driver!$L$189-Driver!$K$189),100%)</f>
        <v/>
      </c>
      <c r="AS73" s="108">
        <f>(BE73-Driver!$K$190)/(Driver!$L$190-Driver!$K$190)</f>
        <v/>
      </c>
      <c r="AT73" s="108">
        <f>(BF73-Driver!$K$191)/(Driver!$L$191-Driver!$K$191)</f>
        <v/>
      </c>
      <c r="AU73" s="108">
        <f>(BG73-Driver!$K$192)/(Driver!$L$192-Driver!$K$192)</f>
        <v/>
      </c>
      <c r="AV73" s="105">
        <f>IFERROR(BM73*BJ73^1/4,"")</f>
        <v/>
      </c>
      <c r="AW73" s="105">
        <f>IFERROR(SUM(AX73:AZ73),"")</f>
        <v/>
      </c>
      <c r="AX73" s="105">
        <f>IFERROR(BH73,"")</f>
        <v/>
      </c>
      <c r="AY73" s="105">
        <f>IFERROR(Driver!$K$19/Data!BH73/Data!BI73*Data!BK73*Data!BL73,"")</f>
        <v/>
      </c>
      <c r="AZ73" s="105">
        <f>IFERROR(BI73*BN73,"")</f>
        <v/>
      </c>
      <c r="BA73" s="105" t="n"/>
      <c r="BB73" s="105" t="n"/>
      <c r="BC73" s="105">
        <f>IFERROR(BI73*BN73*BK73/BJ73^(1/2),"")</f>
        <v/>
      </c>
      <c r="BD73" s="105">
        <f>IFERROR(BH73*BM73*BL73/BJ73/BK73,"")</f>
        <v/>
      </c>
      <c r="BE73" s="105">
        <f>IFERROR(MIN(BI73/BQ73/BP73/BO73/BH73,$BE$1),"")</f>
        <v/>
      </c>
      <c r="BF73" s="105">
        <f>IFERROR(BJ73*BO73*BP73/BK73,"")</f>
        <v/>
      </c>
      <c r="BG73" s="105">
        <f>IFERROR(1/BM73/BH73*BQ73,"")</f>
        <v/>
      </c>
      <c r="BH73" s="102">
        <f>MAX((CE73-Driver!$F$200)/(Driver!$G$200-Driver!$F$200)*$BI$1,1)</f>
        <v/>
      </c>
      <c r="BI73" s="102">
        <f>MAX($BI$1*(BY73-Driver!$F$201)/(Driver!$G$201-Driver!$F$201),1)</f>
        <v/>
      </c>
      <c r="BJ73" s="102">
        <f>(CB73-Driver!$F$206)/(Driver!$G$206-Driver!$F$206)*$BI$1</f>
        <v/>
      </c>
      <c r="BK73" s="102">
        <f>(CD73-Driver!$F$203)/(Driver!$G$203-Driver!$F$203)*$BI$1</f>
        <v/>
      </c>
      <c r="BL73" s="102">
        <f>MAX((CR73-Driver!$F$202)/(Driver!$G$202-Driver!$F$202)*$BI$1,1)</f>
        <v/>
      </c>
      <c r="BM73" s="102">
        <f>MAX((CH73-Driver!$F$204)/(Driver!$G$204-Driver!$F$204)*$BI$1,1)</f>
        <v/>
      </c>
      <c r="BN73" s="102">
        <f>(CI73-Driver!$F$205)/(Driver!$G$205-Driver!$F$205)*$BI$1</f>
        <v/>
      </c>
      <c r="BO73" s="102">
        <f>(CK73-Driver!$F$207)/(Driver!$G$207-Driver!$F$207)*$BI$1</f>
        <v/>
      </c>
      <c r="BP73" s="102">
        <f>(CM73-Driver!$F$208)/(Driver!$G$208-Driver!$F$208)*$BI$1</f>
        <v/>
      </c>
      <c r="BQ73" s="102">
        <f>(CL73-Driver!$F$209)/(Driver!$G$209-Driver!$F$209)*$BI$1</f>
        <v/>
      </c>
      <c r="BR73" s="40" t="inlineStr">
        <is>
          <t>21/22</t>
        </is>
      </c>
      <c r="BS73" s="10" t="inlineStr">
        <is>
          <t xml:space="preserve"> K2</t>
        </is>
      </c>
      <c r="BT73" s="11" t="inlineStr">
        <is>
          <t>Wayback 96</t>
        </is>
      </c>
      <c r="BU73" s="13" t="n">
        <v>184</v>
      </c>
      <c r="BV73" s="11" t="inlineStr">
        <is>
          <t xml:space="preserve"> Unisex</t>
        </is>
      </c>
      <c r="BW73" s="13" t="n">
        <v>184</v>
      </c>
      <c r="BX73" s="13" t="n">
        <v>183.5</v>
      </c>
      <c r="BY73" s="13" t="n">
        <v>136</v>
      </c>
      <c r="BZ73" s="13" t="n">
        <v>157</v>
      </c>
      <c r="CA73" s="13" t="n">
        <v>127</v>
      </c>
      <c r="CB73" s="13" t="n">
        <v>95</v>
      </c>
      <c r="CC73" s="13" t="n">
        <v>114</v>
      </c>
      <c r="CD73" s="13" t="n">
        <v>23.7</v>
      </c>
      <c r="CE73" s="13" t="n">
        <v>1482</v>
      </c>
      <c r="CF73" s="13" t="n">
        <v>1.29</v>
      </c>
      <c r="CG73" s="13" t="n">
        <v>1919</v>
      </c>
      <c r="CH73" s="13" t="n">
        <v>228</v>
      </c>
      <c r="CI73" s="13" t="n">
        <v>100</v>
      </c>
      <c r="CJ73" s="13" t="n">
        <v>51</v>
      </c>
      <c r="CK73" s="13" t="n">
        <v>309</v>
      </c>
      <c r="CL73" s="13" t="n">
        <v>8</v>
      </c>
      <c r="CM73" s="13" t="n">
        <v>167</v>
      </c>
      <c r="CN73" s="13" t="n">
        <v>0.159</v>
      </c>
      <c r="CO73" s="13" t="n">
        <v>156</v>
      </c>
      <c r="CP73" s="13" t="n">
        <v>112</v>
      </c>
      <c r="CQ73" s="13" t="n">
        <v>153</v>
      </c>
      <c r="CR73" s="13" t="n">
        <v>7</v>
      </c>
      <c r="CS73" s="13" t="n">
        <v>12.6</v>
      </c>
      <c r="CT73" s="11" t="inlineStr">
        <is>
          <t xml:space="preserve"> Touring</t>
        </is>
      </c>
      <c r="CU73" s="11" t="inlineStr">
        <is>
          <t xml:space="preserve"> Ultralight Touring</t>
        </is>
      </c>
      <c r="CV73" s="13" t="n"/>
      <c r="CW73" s="13" t="n"/>
      <c r="CX73">
        <f>INDEX('Data_Price '!AG$2:AG$1266,MATCH(Data!$DN73,'Data_Price '!$AT$2:$AT$1266,0))</f>
        <v/>
      </c>
      <c r="CY73">
        <f>INDEX('Data_Price '!AH$2:AH$1266,MATCH(Data!$DN73,'Data_Price '!$AT$2:$AT$1266,0))</f>
        <v/>
      </c>
      <c r="CZ73">
        <f>INDEX('Data_Price '!AI$2:AI$1266,MATCH(Data!$DN73,'Data_Price '!$AT$2:$AT$1266,0))</f>
        <v/>
      </c>
      <c r="DA73">
        <f>INDEX('Data_Price '!AJ$2:AJ$1266,MATCH(Data!$DN73,'Data_Price '!$AT$2:$AT$1266,0))</f>
        <v/>
      </c>
      <c r="DB73">
        <f>INDEX('Data_Price '!AK$2:AK$1266,MATCH(Data!$DN73,'Data_Price '!$AT$2:$AT$1266,0))</f>
        <v/>
      </c>
      <c r="DC73">
        <f>INDEX('Data_Price '!AL$2:AL$1266,MATCH(Data!$DN73,'Data_Price '!$AT$2:$AT$1266,0))</f>
        <v/>
      </c>
      <c r="DD73">
        <f>INDEX('Data_Price '!AM$2:AM$1266,MATCH(Data!$DN73,'Data_Price '!$AT$2:$AT$1266,0))</f>
        <v/>
      </c>
      <c r="DE73">
        <f>INDEX('Data_Price '!AN$2:AN$1266,MATCH(Data!$DN73,'Data_Price '!$AT$2:$AT$1266,0))</f>
        <v/>
      </c>
      <c r="DF73">
        <f>INDEX('Data_Price '!AO$2:AO$1266,MATCH(Data!$DN73,'Data_Price '!$AT$2:$AT$1266,0))</f>
        <v/>
      </c>
      <c r="DG73">
        <f>INDEX('Data_Price '!AP$2:AP$1266,MATCH(Data!$DN73,'Data_Price '!$AT$2:$AT$1266,0))</f>
        <v/>
      </c>
      <c r="DH73">
        <f>INDEX('Data_Price '!AQ$2:AQ$1266,MATCH(Data!$DN73,'Data_Price '!$AT$2:$AT$1266,0))</f>
        <v/>
      </c>
      <c r="DI73">
        <f>INDEX('Data_Price '!AR$2:AR$1266,MATCH(Data!$DN73,'Data_Price '!$AT$2:$AT$1266,0))</f>
        <v/>
      </c>
      <c r="DJ73" s="138">
        <f>DA73</f>
        <v/>
      </c>
      <c r="DK73" s="138">
        <f>DE73</f>
        <v/>
      </c>
      <c r="DL73" s="138">
        <f>DI73</f>
        <v/>
      </c>
      <c r="DM73" s="303">
        <f>IF(LEFT(BT73,1)=" ",RIGHT(BT73,LEN(BT73)-1),BT73)</f>
        <v/>
      </c>
      <c r="DN73" s="138">
        <f>_xlfn.CONCAT(BS73,DM73,BU73,BV73)</f>
        <v/>
      </c>
      <c r="DO73" s="307" t="inlineStr">
        <is>
          <t>https://images.evo.com/imgp/250/182122/886389/k2-wayback-96-skis-2021-.jpg</t>
        </is>
      </c>
    </row>
    <row r="74" ht="15.6" customHeight="1" s="184">
      <c r="B74" s="303">
        <f t="array" ref="B74">IF(OR(ISERROR(K74:P74)),FALSE,TRUE)</f>
        <v/>
      </c>
      <c r="C74" s="60">
        <f>OR(BR74=Driver!$G$50,Data!BR618=Driver!$H$50)</f>
        <v/>
      </c>
      <c r="D74" s="60">
        <f>OR(BV74=Driver!$G$51,BV74=Driver!$H$51)</f>
        <v/>
      </c>
      <c r="E74" s="60">
        <f>AND(BX74&gt;Driver!$F$54,BX74&lt;Driver!$G$54)</f>
        <v/>
      </c>
      <c r="F74" s="60">
        <f>CL74&gt;Driver!$F$56</f>
        <v/>
      </c>
      <c r="G74" s="60">
        <f>AND(CB74&gt;Driver!$F$55,CB74&lt;Driver!$G$55)</f>
        <v/>
      </c>
      <c r="H74" s="60">
        <f>AND(B74:G74)</f>
        <v/>
      </c>
      <c r="I74" s="60">
        <f>COUNTIFS($H$9:$H$1273,TRUE,$BT$9:$BT$1273,BT74)</f>
        <v/>
      </c>
      <c r="J74" s="60">
        <f t="array" ref="J74">NOT(OR(($H$9:$H$1273=TRUE)*($I$9:$I$1273&gt;0)*($BT$9:$BT$1273=BT74)*($K$9:$K$1273&gt;K74)))</f>
        <v/>
      </c>
      <c r="K74" s="108">
        <f>IFERROR(1-AVERAGE(X74:Y74),"")</f>
        <v/>
      </c>
      <c r="L74" s="108">
        <f>1-X74</f>
        <v/>
      </c>
      <c r="M74" s="108">
        <f>1-Y74</f>
        <v/>
      </c>
      <c r="N74" s="108">
        <f>1-Z74</f>
        <v/>
      </c>
      <c r="O74" s="108">
        <f>1-AA74</f>
        <v/>
      </c>
      <c r="P74" s="108">
        <f>1-AB74</f>
        <v/>
      </c>
      <c r="Q74" s="108" t="n"/>
      <c r="R74" s="108" t="n"/>
      <c r="S74" s="108">
        <f>1-AE74</f>
        <v/>
      </c>
      <c r="T74" s="108">
        <f>1-AF74</f>
        <v/>
      </c>
      <c r="U74" s="108">
        <f>1-AG74</f>
        <v/>
      </c>
      <c r="V74" s="108">
        <f>1-AH74</f>
        <v/>
      </c>
      <c r="W74" s="108">
        <f>1-AI74</f>
        <v/>
      </c>
      <c r="X74" s="108">
        <f>ABS(AJ74-AJ$1)</f>
        <v/>
      </c>
      <c r="Y74" s="108">
        <f>AVERAGE(Z74:AB74)</f>
        <v/>
      </c>
      <c r="Z74" s="108">
        <f>ABS(AL74-AL$1)</f>
        <v/>
      </c>
      <c r="AA74" s="108">
        <f>ABS(AM74-AM$1)</f>
        <v/>
      </c>
      <c r="AB74" s="108">
        <f>ABS(AN74-AN$1)</f>
        <v/>
      </c>
      <c r="AC74" s="108" t="n"/>
      <c r="AD74" s="108" t="n"/>
      <c r="AE74" s="108">
        <f>ABS(AQ$1-AQ74)</f>
        <v/>
      </c>
      <c r="AF74" s="108">
        <f>ABS(AR$1-AR74)</f>
        <v/>
      </c>
      <c r="AG74" s="108">
        <f>ABS(AS$1-AS74)</f>
        <v/>
      </c>
      <c r="AH74" s="108">
        <f>ABS(AT$1-AT74)</f>
        <v/>
      </c>
      <c r="AI74" s="108">
        <f>ABS(AU$1-AU74)</f>
        <v/>
      </c>
      <c r="AJ74" s="108">
        <f>(AV74-Driver!$K$179)/(Driver!$L$179-Driver!$K$179)</f>
        <v/>
      </c>
      <c r="AK74" s="108">
        <f>(AW74-Driver!$K$180)/(Driver!$L$180-Driver!$K$180)</f>
        <v/>
      </c>
      <c r="AL74" s="108">
        <f>(AX74-Driver!$K$181)/(Driver!$L$181-Driver!$K$181)</f>
        <v/>
      </c>
      <c r="AM74" s="108">
        <f>(AY74-Driver!$K$182)/(Driver!$L$182-Driver!$K$182)</f>
        <v/>
      </c>
      <c r="AN74" s="108">
        <f>(AZ74-Driver!$K$183)/(Driver!$L$183-Driver!$K$183)</f>
        <v/>
      </c>
      <c r="AO74" s="108" t="n"/>
      <c r="AP74" s="108" t="n"/>
      <c r="AQ74" s="108">
        <f>(BC74-Driver!$K$188)/(Driver!$L$188-Driver!$K$188)</f>
        <v/>
      </c>
      <c r="AR74" s="108">
        <f>MIN((BD74-Driver!$K$189)/(Driver!$L$189-Driver!$K$189),100%)</f>
        <v/>
      </c>
      <c r="AS74" s="108">
        <f>(BE74-Driver!$K$190)/(Driver!$L$190-Driver!$K$190)</f>
        <v/>
      </c>
      <c r="AT74" s="108">
        <f>(BF74-Driver!$K$191)/(Driver!$L$191-Driver!$K$191)</f>
        <v/>
      </c>
      <c r="AU74" s="108">
        <f>(BG74-Driver!$K$192)/(Driver!$L$192-Driver!$K$192)</f>
        <v/>
      </c>
      <c r="AV74" s="105">
        <f>IFERROR(BM74*BJ74^1/4,"")</f>
        <v/>
      </c>
      <c r="AW74" s="105">
        <f>IFERROR(SUM(AX74:AZ74),"")</f>
        <v/>
      </c>
      <c r="AX74" s="105">
        <f>IFERROR(BH74,"")</f>
        <v/>
      </c>
      <c r="AY74" s="105">
        <f>IFERROR(Driver!$K$19/Data!BH74/Data!BI74*Data!BK74*Data!BL74,"")</f>
        <v/>
      </c>
      <c r="AZ74" s="105">
        <f>IFERROR(BI74*BN74,"")</f>
        <v/>
      </c>
      <c r="BA74" s="105" t="n"/>
      <c r="BB74" s="105" t="n"/>
      <c r="BC74" s="105">
        <f>IFERROR(BI74*BN74*BK74/BJ74^(1/2),"")</f>
        <v/>
      </c>
      <c r="BD74" s="105">
        <f>IFERROR(BH74*BM74*BL74/BJ74/BK74,"")</f>
        <v/>
      </c>
      <c r="BE74" s="105">
        <f>IFERROR(MIN(BI74/BQ74/BP74/BO74/BH74,$BE$1),"")</f>
        <v/>
      </c>
      <c r="BF74" s="105">
        <f>IFERROR(BJ74*BO74*BP74/BK74,"")</f>
        <v/>
      </c>
      <c r="BG74" s="105">
        <f>IFERROR(1/BM74/BH74*BQ74,"")</f>
        <v/>
      </c>
      <c r="BH74" s="102">
        <f>MAX((CE74-Driver!$F$200)/(Driver!$G$200-Driver!$F$200)*$BI$1,1)</f>
        <v/>
      </c>
      <c r="BI74" s="102">
        <f>MAX($BI$1*(BY74-Driver!$F$201)/(Driver!$G$201-Driver!$F$201),1)</f>
        <v/>
      </c>
      <c r="BJ74" s="102">
        <f>(CB74-Driver!$F$206)/(Driver!$G$206-Driver!$F$206)*$BI$1</f>
        <v/>
      </c>
      <c r="BK74" s="102">
        <f>(CD74-Driver!$F$203)/(Driver!$G$203-Driver!$F$203)*$BI$1</f>
        <v/>
      </c>
      <c r="BL74" s="102">
        <f>MAX((CR74-Driver!$F$202)/(Driver!$G$202-Driver!$F$202)*$BI$1,1)</f>
        <v/>
      </c>
      <c r="BM74" s="102">
        <f>MAX((CH74-Driver!$F$204)/(Driver!$G$204-Driver!$F$204)*$BI$1,1)</f>
        <v/>
      </c>
      <c r="BN74" s="102">
        <f>(CI74-Driver!$F$205)/(Driver!$G$205-Driver!$F$205)*$BI$1</f>
        <v/>
      </c>
      <c r="BO74" s="102">
        <f>(CK74-Driver!$F$207)/(Driver!$G$207-Driver!$F$207)*$BI$1</f>
        <v/>
      </c>
      <c r="BP74" s="102">
        <f>(CM74-Driver!$F$208)/(Driver!$G$208-Driver!$F$208)*$BI$1</f>
        <v/>
      </c>
      <c r="BQ74" s="102">
        <f>(CL74-Driver!$F$209)/(Driver!$G$209-Driver!$F$209)*$BI$1</f>
        <v/>
      </c>
      <c r="BR74" s="40" t="inlineStr">
        <is>
          <t>21/22</t>
        </is>
      </c>
      <c r="BS74" s="10" t="inlineStr">
        <is>
          <t xml:space="preserve"> Head</t>
        </is>
      </c>
      <c r="BT74" s="11" t="inlineStr">
        <is>
          <t>Kore 91 W</t>
        </is>
      </c>
      <c r="BU74" s="13" t="n">
        <v>163</v>
      </c>
      <c r="BV74" s="11" t="inlineStr">
        <is>
          <t xml:space="preserve"> Women's</t>
        </is>
      </c>
      <c r="BW74" s="13" t="n">
        <v>163</v>
      </c>
      <c r="BX74" s="13" t="n">
        <v>162.7</v>
      </c>
      <c r="BY74" s="13" t="n">
        <v>127</v>
      </c>
      <c r="BZ74" s="13" t="n">
        <v>132</v>
      </c>
      <c r="CA74" s="13" t="n">
        <v>126</v>
      </c>
      <c r="CB74" s="13" t="n">
        <v>88</v>
      </c>
      <c r="CC74" s="13" t="n">
        <v>108</v>
      </c>
      <c r="CD74" s="13" t="n">
        <v>13.6</v>
      </c>
      <c r="CE74" s="13" t="n">
        <v>1534</v>
      </c>
      <c r="CF74" s="13" t="n">
        <v>1.07</v>
      </c>
      <c r="CG74" s="13" t="n">
        <v>1635</v>
      </c>
      <c r="CH74" s="13" t="n">
        <v>211</v>
      </c>
      <c r="CI74" s="13" t="n">
        <v>100</v>
      </c>
      <c r="CJ74" s="13" t="n">
        <v>47</v>
      </c>
      <c r="CK74" s="13" t="n">
        <v>218</v>
      </c>
      <c r="CL74" s="13" t="n">
        <v>11</v>
      </c>
      <c r="CM74" s="13" t="n">
        <v>138</v>
      </c>
      <c r="CN74" s="13" t="n">
        <v>0.242</v>
      </c>
      <c r="CO74" s="13" t="n">
        <v>147</v>
      </c>
      <c r="CP74" s="13" t="n">
        <v>156</v>
      </c>
      <c r="CQ74" s="13" t="n">
        <v>71</v>
      </c>
      <c r="CR74" s="13" t="n">
        <v>5</v>
      </c>
      <c r="CS74" s="13" t="n">
        <v>8.1</v>
      </c>
      <c r="CT74" s="11" t="inlineStr">
        <is>
          <t xml:space="preserve"> Resort Freeride</t>
        </is>
      </c>
      <c r="CU74" s="11" t="inlineStr">
        <is>
          <t xml:space="preserve"> Touring</t>
        </is>
      </c>
      <c r="CV74" s="13" t="n"/>
      <c r="CW74" s="13" t="n"/>
      <c r="CX74">
        <f>INDEX('Data_Price '!AG$2:AG$1266,MATCH(Data!$DN74,'Data_Price '!$AT$2:$AT$1266,0))</f>
        <v/>
      </c>
      <c r="CY74">
        <f>INDEX('Data_Price '!AH$2:AH$1266,MATCH(Data!$DN74,'Data_Price '!$AT$2:$AT$1266,0))</f>
        <v/>
      </c>
      <c r="CZ74">
        <f>INDEX('Data_Price '!AI$2:AI$1266,MATCH(Data!$DN74,'Data_Price '!$AT$2:$AT$1266,0))</f>
        <v/>
      </c>
      <c r="DA74">
        <f>INDEX('Data_Price '!AJ$2:AJ$1266,MATCH(Data!$DN74,'Data_Price '!$AT$2:$AT$1266,0))</f>
        <v/>
      </c>
      <c r="DB74">
        <f>INDEX('Data_Price '!AK$2:AK$1266,MATCH(Data!$DN74,'Data_Price '!$AT$2:$AT$1266,0))</f>
        <v/>
      </c>
      <c r="DC74">
        <f>INDEX('Data_Price '!AL$2:AL$1266,MATCH(Data!$DN74,'Data_Price '!$AT$2:$AT$1266,0))</f>
        <v/>
      </c>
      <c r="DD74">
        <f>INDEX('Data_Price '!AM$2:AM$1266,MATCH(Data!$DN74,'Data_Price '!$AT$2:$AT$1266,0))</f>
        <v/>
      </c>
      <c r="DE74">
        <f>INDEX('Data_Price '!AN$2:AN$1266,MATCH(Data!$DN74,'Data_Price '!$AT$2:$AT$1266,0))</f>
        <v/>
      </c>
      <c r="DF74">
        <f>INDEX('Data_Price '!AO$2:AO$1266,MATCH(Data!$DN74,'Data_Price '!$AT$2:$AT$1266,0))</f>
        <v/>
      </c>
      <c r="DG74">
        <f>INDEX('Data_Price '!AP$2:AP$1266,MATCH(Data!$DN74,'Data_Price '!$AT$2:$AT$1266,0))</f>
        <v/>
      </c>
      <c r="DH74">
        <f>INDEX('Data_Price '!AQ$2:AQ$1266,MATCH(Data!$DN74,'Data_Price '!$AT$2:$AT$1266,0))</f>
        <v/>
      </c>
      <c r="DI74">
        <f>INDEX('Data_Price '!AR$2:AR$1266,MATCH(Data!$DN74,'Data_Price '!$AT$2:$AT$1266,0))</f>
        <v/>
      </c>
      <c r="DJ74" s="138">
        <f>DA74</f>
        <v/>
      </c>
      <c r="DK74" s="138">
        <f>DE74</f>
        <v/>
      </c>
      <c r="DL74" s="138">
        <f>DI74</f>
        <v/>
      </c>
      <c r="DM74" s="303">
        <f>IF(LEFT(BT74,1)=" ",RIGHT(BT74,LEN(BT74)-1),BT74)</f>
        <v/>
      </c>
      <c r="DN74" s="138">
        <f>_xlfn.CONCAT(BS74,DM74,BU74,BV74)</f>
        <v/>
      </c>
      <c r="DO74" s="307" t="n"/>
    </row>
    <row r="75" ht="15.6" customHeight="1" s="184">
      <c r="B75" s="303">
        <f t="array" ref="B75">IF(OR(ISERROR(K75:P75)),FALSE,TRUE)</f>
        <v/>
      </c>
      <c r="C75" s="60">
        <f>OR(BR75=Driver!$G$50,Data!BR73=Driver!$H$50)</f>
        <v/>
      </c>
      <c r="D75" s="60">
        <f>OR(BV75=Driver!$G$51,BV75=Driver!$H$51)</f>
        <v/>
      </c>
      <c r="E75" s="60">
        <f>AND(BX75&gt;Driver!$F$54,BX75&lt;Driver!$G$54)</f>
        <v/>
      </c>
      <c r="F75" s="60">
        <f>CL75&gt;Driver!$F$56</f>
        <v/>
      </c>
      <c r="G75" s="60">
        <f>AND(CB75&gt;Driver!$F$55,CB75&lt;Driver!$G$55)</f>
        <v/>
      </c>
      <c r="H75" s="60">
        <f>AND(B75:G75)</f>
        <v/>
      </c>
      <c r="I75" s="60">
        <f>COUNTIFS($H$9:$H$1273,TRUE,$BT$9:$BT$1273,BT75)</f>
        <v/>
      </c>
      <c r="J75" s="60">
        <f t="array" ref="J75">NOT(OR(($H$9:$H$1273=TRUE)*($I$9:$I$1273&gt;0)*($BT$9:$BT$1273=BT75)*($K$9:$K$1273&gt;K75)))</f>
        <v/>
      </c>
      <c r="K75" s="108">
        <f>IFERROR(1-AVERAGE(X75:Y75),"")</f>
        <v/>
      </c>
      <c r="L75" s="108">
        <f>1-X75</f>
        <v/>
      </c>
      <c r="M75" s="108">
        <f>1-Y75</f>
        <v/>
      </c>
      <c r="N75" s="108">
        <f>1-Z75</f>
        <v/>
      </c>
      <c r="O75" s="108">
        <f>1-AA75</f>
        <v/>
      </c>
      <c r="P75" s="108">
        <f>1-AB75</f>
        <v/>
      </c>
      <c r="Q75" s="108" t="n"/>
      <c r="R75" s="108" t="n"/>
      <c r="S75" s="108">
        <f>1-AE75</f>
        <v/>
      </c>
      <c r="T75" s="108">
        <f>1-AF75</f>
        <v/>
      </c>
      <c r="U75" s="108">
        <f>1-AG75</f>
        <v/>
      </c>
      <c r="V75" s="108">
        <f>1-AH75</f>
        <v/>
      </c>
      <c r="W75" s="108">
        <f>1-AI75</f>
        <v/>
      </c>
      <c r="X75" s="108">
        <f>ABS(AJ75-AJ$1)</f>
        <v/>
      </c>
      <c r="Y75" s="108">
        <f>AVERAGE(Z75:AB75)</f>
        <v/>
      </c>
      <c r="Z75" s="108">
        <f>ABS(AL75-AL$1)</f>
        <v/>
      </c>
      <c r="AA75" s="108">
        <f>ABS(AM75-AM$1)</f>
        <v/>
      </c>
      <c r="AB75" s="108">
        <f>ABS(AN75-AN$1)</f>
        <v/>
      </c>
      <c r="AC75" s="108" t="n"/>
      <c r="AD75" s="108" t="n"/>
      <c r="AE75" s="108">
        <f>ABS(AQ$1-AQ75)</f>
        <v/>
      </c>
      <c r="AF75" s="108">
        <f>ABS(AR$1-AR75)</f>
        <v/>
      </c>
      <c r="AG75" s="108">
        <f>ABS(AS$1-AS75)</f>
        <v/>
      </c>
      <c r="AH75" s="108">
        <f>ABS(AT$1-AT75)</f>
        <v/>
      </c>
      <c r="AI75" s="108">
        <f>ABS(AU$1-AU75)</f>
        <v/>
      </c>
      <c r="AJ75" s="108">
        <f>(AV75-Driver!$K$179)/(Driver!$L$179-Driver!$K$179)</f>
        <v/>
      </c>
      <c r="AK75" s="108">
        <f>(AW75-Driver!$K$180)/(Driver!$L$180-Driver!$K$180)</f>
        <v/>
      </c>
      <c r="AL75" s="108">
        <f>(AX75-Driver!$K$181)/(Driver!$L$181-Driver!$K$181)</f>
        <v/>
      </c>
      <c r="AM75" s="108">
        <f>(AY75-Driver!$K$182)/(Driver!$L$182-Driver!$K$182)</f>
        <v/>
      </c>
      <c r="AN75" s="108">
        <f>(AZ75-Driver!$K$183)/(Driver!$L$183-Driver!$K$183)</f>
        <v/>
      </c>
      <c r="AO75" s="108" t="n"/>
      <c r="AP75" s="108" t="n"/>
      <c r="AQ75" s="108">
        <f>(BC75-Driver!$K$188)/(Driver!$L$188-Driver!$K$188)</f>
        <v/>
      </c>
      <c r="AR75" s="108">
        <f>MIN((BD75-Driver!$K$189)/(Driver!$L$189-Driver!$K$189),100%)</f>
        <v/>
      </c>
      <c r="AS75" s="108">
        <f>(BE75-Driver!$K$190)/(Driver!$L$190-Driver!$K$190)</f>
        <v/>
      </c>
      <c r="AT75" s="108">
        <f>(BF75-Driver!$K$191)/(Driver!$L$191-Driver!$K$191)</f>
        <v/>
      </c>
      <c r="AU75" s="108">
        <f>(BG75-Driver!$K$192)/(Driver!$L$192-Driver!$K$192)</f>
        <v/>
      </c>
      <c r="AV75" s="105">
        <f>IFERROR(BM75*BJ75^1/4,"")</f>
        <v/>
      </c>
      <c r="AW75" s="105">
        <f>IFERROR(SUM(AX75:AZ75),"")</f>
        <v/>
      </c>
      <c r="AX75" s="105">
        <f>IFERROR(BH75,"")</f>
        <v/>
      </c>
      <c r="AY75" s="105">
        <f>IFERROR(Driver!$K$19/Data!BH75/Data!BI75*Data!BK75*Data!BL75,"")</f>
        <v/>
      </c>
      <c r="AZ75" s="105">
        <f>IFERROR(BI75*BN75,"")</f>
        <v/>
      </c>
      <c r="BA75" s="105" t="n"/>
      <c r="BB75" s="105" t="n"/>
      <c r="BC75" s="105">
        <f>IFERROR(BI75*BN75*BK75/BJ75^(1/2),"")</f>
        <v/>
      </c>
      <c r="BD75" s="105">
        <f>IFERROR(BH75*BM75*BL75/BJ75/BK75,"")</f>
        <v/>
      </c>
      <c r="BE75" s="105">
        <f>IFERROR(MIN(BI75/BQ75/BP75/BO75/BH75,$BE$1),"")</f>
        <v/>
      </c>
      <c r="BF75" s="105">
        <f>IFERROR(BJ75*BO75*BP75/BK75,"")</f>
        <v/>
      </c>
      <c r="BG75" s="105">
        <f>IFERROR(1/BM75/BH75*BQ75,"")</f>
        <v/>
      </c>
      <c r="BH75" s="102">
        <f>MAX((CE75-Driver!$F$200)/(Driver!$G$200-Driver!$F$200)*$BI$1,1)</f>
        <v/>
      </c>
      <c r="BI75" s="102">
        <f>MAX($BI$1*(BY75-Driver!$F$201)/(Driver!$G$201-Driver!$F$201),1)</f>
        <v/>
      </c>
      <c r="BJ75" s="102">
        <f>(CB75-Driver!$F$206)/(Driver!$G$206-Driver!$F$206)*$BI$1</f>
        <v/>
      </c>
      <c r="BK75" s="102">
        <f>(CD75-Driver!$F$203)/(Driver!$G$203-Driver!$F$203)*$BI$1</f>
        <v/>
      </c>
      <c r="BL75" s="102">
        <f>MAX((CR75-Driver!$F$202)/(Driver!$G$202-Driver!$F$202)*$BI$1,1)</f>
        <v/>
      </c>
      <c r="BM75" s="102">
        <f>MAX((CH75-Driver!$F$204)/(Driver!$G$204-Driver!$F$204)*$BI$1,1)</f>
        <v/>
      </c>
      <c r="BN75" s="102">
        <f>(CI75-Driver!$F$205)/(Driver!$G$205-Driver!$F$205)*$BI$1</f>
        <v/>
      </c>
      <c r="BO75" s="102">
        <f>(CK75-Driver!$F$207)/(Driver!$G$207-Driver!$F$207)*$BI$1</f>
        <v/>
      </c>
      <c r="BP75" s="102">
        <f>(CM75-Driver!$F$208)/(Driver!$G$208-Driver!$F$208)*$BI$1</f>
        <v/>
      </c>
      <c r="BQ75" s="102">
        <f>(CL75-Driver!$F$209)/(Driver!$G$209-Driver!$F$209)*$BI$1</f>
        <v/>
      </c>
      <c r="BR75" s="40" t="inlineStr">
        <is>
          <t>21/22</t>
        </is>
      </c>
      <c r="BS75" s="10" t="inlineStr">
        <is>
          <t xml:space="preserve"> Armada</t>
        </is>
      </c>
      <c r="BT75" s="11" t="inlineStr">
        <is>
          <t>Declivity 92 Ti</t>
        </is>
      </c>
      <c r="BU75" s="13" t="n">
        <v>164</v>
      </c>
      <c r="BV75" s="11" t="inlineStr">
        <is>
          <t xml:space="preserve"> Unisex</t>
        </is>
      </c>
      <c r="BW75" s="13" t="n">
        <v>164</v>
      </c>
      <c r="BX75" s="13" t="n">
        <v>163.8</v>
      </c>
      <c r="BY75" s="13" t="n">
        <v>126</v>
      </c>
      <c r="BZ75" s="13" t="n">
        <v>143</v>
      </c>
      <c r="CA75" s="13" t="n">
        <v>129</v>
      </c>
      <c r="CB75" s="13" t="n">
        <v>91</v>
      </c>
      <c r="CC75" s="13" t="n">
        <v>114</v>
      </c>
      <c r="CD75" s="13" t="n">
        <v>16.4</v>
      </c>
      <c r="CE75" s="13" t="n">
        <v>1621</v>
      </c>
      <c r="CF75" s="13" t="n">
        <v>1.04</v>
      </c>
      <c r="CG75" s="13" t="n">
        <v>1688</v>
      </c>
      <c r="CH75" s="13" t="n">
        <v>188</v>
      </c>
      <c r="CI75" s="13" t="n">
        <v>101</v>
      </c>
      <c r="CJ75" s="13" t="n">
        <v>42</v>
      </c>
      <c r="CK75" s="13" t="n">
        <v>231</v>
      </c>
      <c r="CL75" s="13" t="n">
        <v>18</v>
      </c>
      <c r="CM75" s="13" t="n">
        <v>145</v>
      </c>
      <c r="CN75" s="13" t="n">
        <v>0.43</v>
      </c>
      <c r="CO75" s="13" t="n">
        <v>131</v>
      </c>
      <c r="CP75" s="13" t="n">
        <v>74</v>
      </c>
      <c r="CQ75" s="13" t="n">
        <v>100</v>
      </c>
      <c r="CR75" s="13" t="n">
        <v>7</v>
      </c>
      <c r="CS75" s="13" t="n">
        <v>10.3</v>
      </c>
      <c r="CT75" s="11" t="inlineStr">
        <is>
          <t xml:space="preserve"> Resort Freeride</t>
        </is>
      </c>
      <c r="CU75" s="13" t="n"/>
      <c r="CV75" s="13" t="n"/>
      <c r="CW75" s="13" t="n"/>
      <c r="CX75">
        <f>INDEX('Data_Price '!AG$2:AG$1266,MATCH(Data!$DN75,'Data_Price '!$AT$2:$AT$1266,0))</f>
        <v/>
      </c>
      <c r="CY75">
        <f>INDEX('Data_Price '!AH$2:AH$1266,MATCH(Data!$DN75,'Data_Price '!$AT$2:$AT$1266,0))</f>
        <v/>
      </c>
      <c r="CZ75">
        <f>INDEX('Data_Price '!AI$2:AI$1266,MATCH(Data!$DN75,'Data_Price '!$AT$2:$AT$1266,0))</f>
        <v/>
      </c>
      <c r="DA75">
        <f>INDEX('Data_Price '!AJ$2:AJ$1266,MATCH(Data!$DN75,'Data_Price '!$AT$2:$AT$1266,0))</f>
        <v/>
      </c>
      <c r="DB75">
        <f>INDEX('Data_Price '!AK$2:AK$1266,MATCH(Data!$DN75,'Data_Price '!$AT$2:$AT$1266,0))</f>
        <v/>
      </c>
      <c r="DC75">
        <f>INDEX('Data_Price '!AL$2:AL$1266,MATCH(Data!$DN75,'Data_Price '!$AT$2:$AT$1266,0))</f>
        <v/>
      </c>
      <c r="DD75">
        <f>INDEX('Data_Price '!AM$2:AM$1266,MATCH(Data!$DN75,'Data_Price '!$AT$2:$AT$1266,0))</f>
        <v/>
      </c>
      <c r="DE75">
        <f>INDEX('Data_Price '!AN$2:AN$1266,MATCH(Data!$DN75,'Data_Price '!$AT$2:$AT$1266,0))</f>
        <v/>
      </c>
      <c r="DF75">
        <f>INDEX('Data_Price '!AO$2:AO$1266,MATCH(Data!$DN75,'Data_Price '!$AT$2:$AT$1266,0))</f>
        <v/>
      </c>
      <c r="DG75">
        <f>INDEX('Data_Price '!AP$2:AP$1266,MATCH(Data!$DN75,'Data_Price '!$AT$2:$AT$1266,0))</f>
        <v/>
      </c>
      <c r="DH75">
        <f>INDEX('Data_Price '!AQ$2:AQ$1266,MATCH(Data!$DN75,'Data_Price '!$AT$2:$AT$1266,0))</f>
        <v/>
      </c>
      <c r="DI75">
        <f>INDEX('Data_Price '!AR$2:AR$1266,MATCH(Data!$DN75,'Data_Price '!$AT$2:$AT$1266,0))</f>
        <v/>
      </c>
      <c r="DJ75" s="138">
        <f>DA75</f>
        <v/>
      </c>
      <c r="DK75" s="138">
        <f>DE75</f>
        <v/>
      </c>
      <c r="DL75" s="138">
        <f>DI75</f>
        <v/>
      </c>
      <c r="DM75" s="303">
        <f>IF(LEFT(BT75,1)=" ",RIGHT(BT75,LEN(BT75)-1),BT75)</f>
        <v/>
      </c>
      <c r="DN75" s="138">
        <f>_xlfn.CONCAT(BS75,DM75,BU75,BV75)</f>
        <v/>
      </c>
      <c r="DO75" s="307" t="inlineStr">
        <is>
          <t>https://images.evo.com/imgp/250/181506/736829/armada-declivity-92-ti-skis-2022-.jpg</t>
        </is>
      </c>
    </row>
    <row r="76" ht="15.6" customHeight="1" s="184">
      <c r="B76" s="303">
        <f t="array" ref="B76">IF(OR(ISERROR(K76:P76)),FALSE,TRUE)</f>
        <v/>
      </c>
      <c r="C76" s="60">
        <f>OR(BR76=Driver!$G$50,Data!BR343=Driver!$H$50)</f>
        <v/>
      </c>
      <c r="D76" s="60">
        <f>OR(BV76=Driver!$G$51,BV76=Driver!$H$51)</f>
        <v/>
      </c>
      <c r="E76" s="60">
        <f>AND(BX76&gt;Driver!$F$54,BX76&lt;Driver!$G$54)</f>
        <v/>
      </c>
      <c r="F76" s="60">
        <f>CL76&gt;Driver!$F$56</f>
        <v/>
      </c>
      <c r="G76" s="60">
        <f>AND(CB76&gt;Driver!$F$55,CB76&lt;Driver!$G$55)</f>
        <v/>
      </c>
      <c r="H76" s="60">
        <f>AND(B76:G76)</f>
        <v/>
      </c>
      <c r="I76" s="60">
        <f>COUNTIFS($H$9:$H$1273,TRUE,$BT$9:$BT$1273,BT76)</f>
        <v/>
      </c>
      <c r="J76" s="60">
        <f t="array" ref="J76">NOT(OR(($H$9:$H$1273=TRUE)*($I$9:$I$1273&gt;0)*($BT$9:$BT$1273=BT76)*($K$9:$K$1273&gt;K76)))</f>
        <v/>
      </c>
      <c r="K76" s="108">
        <f>IFERROR(1-AVERAGE(X76:Y76),"")</f>
        <v/>
      </c>
      <c r="L76" s="108">
        <f>1-X76</f>
        <v/>
      </c>
      <c r="M76" s="108">
        <f>1-Y76</f>
        <v/>
      </c>
      <c r="N76" s="108">
        <f>1-Z76</f>
        <v/>
      </c>
      <c r="O76" s="108">
        <f>1-AA76</f>
        <v/>
      </c>
      <c r="P76" s="108">
        <f>1-AB76</f>
        <v/>
      </c>
      <c r="Q76" s="108" t="n"/>
      <c r="R76" s="108" t="n"/>
      <c r="S76" s="108">
        <f>1-AE76</f>
        <v/>
      </c>
      <c r="T76" s="108">
        <f>1-AF76</f>
        <v/>
      </c>
      <c r="U76" s="108">
        <f>1-AG76</f>
        <v/>
      </c>
      <c r="V76" s="108">
        <f>1-AH76</f>
        <v/>
      </c>
      <c r="W76" s="108">
        <f>1-AI76</f>
        <v/>
      </c>
      <c r="X76" s="108">
        <f>ABS(AJ76-AJ$1)</f>
        <v/>
      </c>
      <c r="Y76" s="108">
        <f>AVERAGE(Z76:AB76)</f>
        <v/>
      </c>
      <c r="Z76" s="108">
        <f>ABS(AL76-AL$1)</f>
        <v/>
      </c>
      <c r="AA76" s="108">
        <f>ABS(AM76-AM$1)</f>
        <v/>
      </c>
      <c r="AB76" s="108">
        <f>ABS(AN76-AN$1)</f>
        <v/>
      </c>
      <c r="AC76" s="108" t="n"/>
      <c r="AD76" s="108" t="n"/>
      <c r="AE76" s="108">
        <f>ABS(AQ$1-AQ76)</f>
        <v/>
      </c>
      <c r="AF76" s="108">
        <f>ABS(AR$1-AR76)</f>
        <v/>
      </c>
      <c r="AG76" s="108">
        <f>ABS(AS$1-AS76)</f>
        <v/>
      </c>
      <c r="AH76" s="108">
        <f>ABS(AT$1-AT76)</f>
        <v/>
      </c>
      <c r="AI76" s="108">
        <f>ABS(AU$1-AU76)</f>
        <v/>
      </c>
      <c r="AJ76" s="108">
        <f>(AV76-Driver!$K$179)/(Driver!$L$179-Driver!$K$179)</f>
        <v/>
      </c>
      <c r="AK76" s="108">
        <f>(AW76-Driver!$K$180)/(Driver!$L$180-Driver!$K$180)</f>
        <v/>
      </c>
      <c r="AL76" s="108">
        <f>(AX76-Driver!$K$181)/(Driver!$L$181-Driver!$K$181)</f>
        <v/>
      </c>
      <c r="AM76" s="108">
        <f>(AY76-Driver!$K$182)/(Driver!$L$182-Driver!$K$182)</f>
        <v/>
      </c>
      <c r="AN76" s="108">
        <f>(AZ76-Driver!$K$183)/(Driver!$L$183-Driver!$K$183)</f>
        <v/>
      </c>
      <c r="AO76" s="108" t="n"/>
      <c r="AP76" s="108" t="n"/>
      <c r="AQ76" s="108">
        <f>(BC76-Driver!$K$188)/(Driver!$L$188-Driver!$K$188)</f>
        <v/>
      </c>
      <c r="AR76" s="108">
        <f>MIN((BD76-Driver!$K$189)/(Driver!$L$189-Driver!$K$189),100%)</f>
        <v/>
      </c>
      <c r="AS76" s="108">
        <f>(BE76-Driver!$K$190)/(Driver!$L$190-Driver!$K$190)</f>
        <v/>
      </c>
      <c r="AT76" s="108">
        <f>(BF76-Driver!$K$191)/(Driver!$L$191-Driver!$K$191)</f>
        <v/>
      </c>
      <c r="AU76" s="108">
        <f>(BG76-Driver!$K$192)/(Driver!$L$192-Driver!$K$192)</f>
        <v/>
      </c>
      <c r="AV76" s="105">
        <f>IFERROR(BM76*BJ76^1/4,"")</f>
        <v/>
      </c>
      <c r="AW76" s="105">
        <f>IFERROR(SUM(AX76:AZ76),"")</f>
        <v/>
      </c>
      <c r="AX76" s="105">
        <f>IFERROR(BH76,"")</f>
        <v/>
      </c>
      <c r="AY76" s="105">
        <f>IFERROR(Driver!$K$19/Data!BH76/Data!BI76*Data!BK76*Data!BL76,"")</f>
        <v/>
      </c>
      <c r="AZ76" s="105">
        <f>IFERROR(BI76*BN76,"")</f>
        <v/>
      </c>
      <c r="BA76" s="105" t="n"/>
      <c r="BB76" s="105" t="n"/>
      <c r="BC76" s="105">
        <f>IFERROR(BI76*BN76*BK76/BJ76^(1/2),"")</f>
        <v/>
      </c>
      <c r="BD76" s="105">
        <f>IFERROR(BH76*BM76*BL76/BJ76/BK76,"")</f>
        <v/>
      </c>
      <c r="BE76" s="105">
        <f>IFERROR(MIN(BI76/BQ76/BP76/BO76/BH76,$BE$1),"")</f>
        <v/>
      </c>
      <c r="BF76" s="105">
        <f>IFERROR(BJ76*BO76*BP76/BK76,"")</f>
        <v/>
      </c>
      <c r="BG76" s="105">
        <f>IFERROR(1/BM76/BH76*BQ76,"")</f>
        <v/>
      </c>
      <c r="BH76" s="102">
        <f>MAX((CE76-Driver!$F$200)/(Driver!$G$200-Driver!$F$200)*$BI$1,1)</f>
        <v/>
      </c>
      <c r="BI76" s="102">
        <f>MAX($BI$1*(BY76-Driver!$F$201)/(Driver!$G$201-Driver!$F$201),1)</f>
        <v/>
      </c>
      <c r="BJ76" s="102">
        <f>(CB76-Driver!$F$206)/(Driver!$G$206-Driver!$F$206)*$BI$1</f>
        <v/>
      </c>
      <c r="BK76" s="102">
        <f>(CD76-Driver!$F$203)/(Driver!$G$203-Driver!$F$203)*$BI$1</f>
        <v/>
      </c>
      <c r="BL76" s="102">
        <f>MAX((CR76-Driver!$F$202)/(Driver!$G$202-Driver!$F$202)*$BI$1,1)</f>
        <v/>
      </c>
      <c r="BM76" s="102">
        <f>MAX((CH76-Driver!$F$204)/(Driver!$G$204-Driver!$F$204)*$BI$1,1)</f>
        <v/>
      </c>
      <c r="BN76" s="102">
        <f>(CI76-Driver!$F$205)/(Driver!$G$205-Driver!$F$205)*$BI$1</f>
        <v/>
      </c>
      <c r="BO76" s="102">
        <f>(CK76-Driver!$F$207)/(Driver!$G$207-Driver!$F$207)*$BI$1</f>
        <v/>
      </c>
      <c r="BP76" s="102">
        <f>(CM76-Driver!$F$208)/(Driver!$G$208-Driver!$F$208)*$BI$1</f>
        <v/>
      </c>
      <c r="BQ76" s="102">
        <f>(CL76-Driver!$F$209)/(Driver!$G$209-Driver!$F$209)*$BI$1</f>
        <v/>
      </c>
      <c r="BR76" s="40" t="inlineStr">
        <is>
          <t>21/22</t>
        </is>
      </c>
      <c r="BS76" s="10" t="inlineStr">
        <is>
          <t xml:space="preserve"> DPS</t>
        </is>
      </c>
      <c r="BT76" s="11" t="inlineStr">
        <is>
          <t>Pagoda 112 RP</t>
        </is>
      </c>
      <c r="BU76" s="13" t="n">
        <v>178</v>
      </c>
      <c r="BV76" s="11" t="inlineStr">
        <is>
          <t xml:space="preserve"> Unisex</t>
        </is>
      </c>
      <c r="BW76" s="13" t="n">
        <v>178</v>
      </c>
      <c r="BX76" s="13" t="n">
        <v>176.7</v>
      </c>
      <c r="BY76" s="13" t="n">
        <v>105</v>
      </c>
      <c r="BZ76" s="13" t="n">
        <v>124</v>
      </c>
      <c r="CA76" s="13" t="n">
        <v>138</v>
      </c>
      <c r="CB76" s="13" t="n">
        <v>112</v>
      </c>
      <c r="CC76" s="13" t="n">
        <v>126</v>
      </c>
      <c r="CD76" s="13" t="n">
        <v>15.7</v>
      </c>
      <c r="CE76" s="13" t="n">
        <v>1887</v>
      </c>
      <c r="CF76" s="13" t="n">
        <v>1.13</v>
      </c>
      <c r="CG76" s="13" t="n">
        <v>2127</v>
      </c>
      <c r="CH76" s="13" t="n">
        <v>187</v>
      </c>
      <c r="CI76" s="13" t="n">
        <v>110</v>
      </c>
      <c r="CJ76" s="13" t="n">
        <v>63</v>
      </c>
      <c r="CK76" s="13" t="n">
        <v>411</v>
      </c>
      <c r="CL76" s="13" t="n">
        <v>34</v>
      </c>
      <c r="CM76" s="13" t="n">
        <v>303</v>
      </c>
      <c r="CN76" s="13" t="n">
        <v>0.542</v>
      </c>
      <c r="CO76" s="13" t="n">
        <v>322</v>
      </c>
      <c r="CP76" s="13" t="n">
        <v>201</v>
      </c>
      <c r="CQ76" s="13" t="n">
        <v>89</v>
      </c>
      <c r="CR76" s="13" t="n">
        <v>6</v>
      </c>
      <c r="CS76" s="13" t="n">
        <v>14.8</v>
      </c>
      <c r="CT76" s="11" t="inlineStr">
        <is>
          <t xml:space="preserve"> Powder</t>
        </is>
      </c>
      <c r="CU76" s="11" t="inlineStr">
        <is>
          <t xml:space="preserve"> Touring</t>
        </is>
      </c>
      <c r="CV76" s="13" t="n"/>
      <c r="CW76" s="13" t="n"/>
      <c r="CX76">
        <f>INDEX('Data_Price '!AG$2:AG$1266,MATCH(Data!$DN76,'Data_Price '!$AT$2:$AT$1266,0))</f>
        <v/>
      </c>
      <c r="CY76">
        <f>INDEX('Data_Price '!AH$2:AH$1266,MATCH(Data!$DN76,'Data_Price '!$AT$2:$AT$1266,0))</f>
        <v/>
      </c>
      <c r="CZ76">
        <f>INDEX('Data_Price '!AI$2:AI$1266,MATCH(Data!$DN76,'Data_Price '!$AT$2:$AT$1266,0))</f>
        <v/>
      </c>
      <c r="DA76">
        <f>INDEX('Data_Price '!AJ$2:AJ$1266,MATCH(Data!$DN76,'Data_Price '!$AT$2:$AT$1266,0))</f>
        <v/>
      </c>
      <c r="DB76">
        <f>INDEX('Data_Price '!AK$2:AK$1266,MATCH(Data!$DN76,'Data_Price '!$AT$2:$AT$1266,0))</f>
        <v/>
      </c>
      <c r="DC76">
        <f>INDEX('Data_Price '!AL$2:AL$1266,MATCH(Data!$DN76,'Data_Price '!$AT$2:$AT$1266,0))</f>
        <v/>
      </c>
      <c r="DD76">
        <f>INDEX('Data_Price '!AM$2:AM$1266,MATCH(Data!$DN76,'Data_Price '!$AT$2:$AT$1266,0))</f>
        <v/>
      </c>
      <c r="DE76">
        <f>INDEX('Data_Price '!AN$2:AN$1266,MATCH(Data!$DN76,'Data_Price '!$AT$2:$AT$1266,0))</f>
        <v/>
      </c>
      <c r="DF76">
        <f>INDEX('Data_Price '!AO$2:AO$1266,MATCH(Data!$DN76,'Data_Price '!$AT$2:$AT$1266,0))</f>
        <v/>
      </c>
      <c r="DG76">
        <f>INDEX('Data_Price '!AP$2:AP$1266,MATCH(Data!$DN76,'Data_Price '!$AT$2:$AT$1266,0))</f>
        <v/>
      </c>
      <c r="DH76">
        <f>INDEX('Data_Price '!AQ$2:AQ$1266,MATCH(Data!$DN76,'Data_Price '!$AT$2:$AT$1266,0))</f>
        <v/>
      </c>
      <c r="DI76">
        <f>INDEX('Data_Price '!AR$2:AR$1266,MATCH(Data!$DN76,'Data_Price '!$AT$2:$AT$1266,0))</f>
        <v/>
      </c>
      <c r="DJ76" s="138">
        <f>DA76</f>
        <v/>
      </c>
      <c r="DK76" s="138">
        <f>DE76</f>
        <v/>
      </c>
      <c r="DL76" s="138">
        <f>DI76</f>
        <v/>
      </c>
      <c r="DM76" s="303">
        <f>IF(LEFT(BT76,1)=" ",RIGHT(BT76,LEN(BT76)-1),BT76)</f>
        <v/>
      </c>
      <c r="DN76" s="138">
        <f>_xlfn.CONCAT(BS76,DM76,BU76,BV76)</f>
        <v/>
      </c>
      <c r="DO76" s="307" t="inlineStr">
        <is>
          <t>https://images.evo.com/imgp/250/183639/728542/dps-pagoda-tour-112-rp-skis-2022-.jpg</t>
        </is>
      </c>
    </row>
    <row r="77" ht="15.6" customHeight="1" s="184">
      <c r="B77" s="303">
        <f t="array" ref="B77">IF(OR(ISERROR(K77:P77)),FALSE,TRUE)</f>
        <v/>
      </c>
      <c r="C77" s="60">
        <f>OR(BR77=Driver!$G$50,Data!BR552=Driver!$H$50)</f>
        <v/>
      </c>
      <c r="D77" s="60">
        <f>OR(BV77=Driver!$G$51,BV77=Driver!$H$51)</f>
        <v/>
      </c>
      <c r="E77" s="60">
        <f>AND(BX77&gt;Driver!$F$54,BX77&lt;Driver!$G$54)</f>
        <v/>
      </c>
      <c r="F77" s="60">
        <f>CL77&gt;Driver!$F$56</f>
        <v/>
      </c>
      <c r="G77" s="60">
        <f>AND(CB77&gt;Driver!$F$55,CB77&lt;Driver!$G$55)</f>
        <v/>
      </c>
      <c r="H77" s="60">
        <f>AND(B77:G77)</f>
        <v/>
      </c>
      <c r="I77" s="60">
        <f>COUNTIFS($H$9:$H$1273,TRUE,$BT$9:$BT$1273,BT77)</f>
        <v/>
      </c>
      <c r="J77" s="60">
        <f t="array" ref="J77">NOT(OR(($H$9:$H$1273=TRUE)*($I$9:$I$1273&gt;0)*($BT$9:$BT$1273=BT77)*($K$9:$K$1273&gt;K77)))</f>
        <v/>
      </c>
      <c r="K77" s="108">
        <f>IFERROR(1-AVERAGE(X77:Y77),"")</f>
        <v/>
      </c>
      <c r="L77" s="108">
        <f>1-X77</f>
        <v/>
      </c>
      <c r="M77" s="108">
        <f>1-Y77</f>
        <v/>
      </c>
      <c r="N77" s="108">
        <f>1-Z77</f>
        <v/>
      </c>
      <c r="O77" s="108">
        <f>1-AA77</f>
        <v/>
      </c>
      <c r="P77" s="108">
        <f>1-AB77</f>
        <v/>
      </c>
      <c r="Q77" s="108" t="n"/>
      <c r="R77" s="108" t="n"/>
      <c r="S77" s="108">
        <f>1-AE77</f>
        <v/>
      </c>
      <c r="T77" s="108">
        <f>1-AF77</f>
        <v/>
      </c>
      <c r="U77" s="108">
        <f>1-AG77</f>
        <v/>
      </c>
      <c r="V77" s="108">
        <f>1-AH77</f>
        <v/>
      </c>
      <c r="W77" s="108">
        <f>1-AI77</f>
        <v/>
      </c>
      <c r="X77" s="108">
        <f>ABS(AJ77-AJ$1)</f>
        <v/>
      </c>
      <c r="Y77" s="108">
        <f>AVERAGE(Z77:AB77)</f>
        <v/>
      </c>
      <c r="Z77" s="108">
        <f>ABS(AL77-AL$1)</f>
        <v/>
      </c>
      <c r="AA77" s="108">
        <f>ABS(AM77-AM$1)</f>
        <v/>
      </c>
      <c r="AB77" s="108">
        <f>ABS(AN77-AN$1)</f>
        <v/>
      </c>
      <c r="AC77" s="108" t="n"/>
      <c r="AD77" s="108" t="n"/>
      <c r="AE77" s="108">
        <f>ABS(AQ$1-AQ77)</f>
        <v/>
      </c>
      <c r="AF77" s="108">
        <f>ABS(AR$1-AR77)</f>
        <v/>
      </c>
      <c r="AG77" s="108">
        <f>ABS(AS$1-AS77)</f>
        <v/>
      </c>
      <c r="AH77" s="108">
        <f>ABS(AT$1-AT77)</f>
        <v/>
      </c>
      <c r="AI77" s="108">
        <f>ABS(AU$1-AU77)</f>
        <v/>
      </c>
      <c r="AJ77" s="108">
        <f>(AV77-Driver!$K$179)/(Driver!$L$179-Driver!$K$179)</f>
        <v/>
      </c>
      <c r="AK77" s="108">
        <f>(AW77-Driver!$K$180)/(Driver!$L$180-Driver!$K$180)</f>
        <v/>
      </c>
      <c r="AL77" s="108">
        <f>(AX77-Driver!$K$181)/(Driver!$L$181-Driver!$K$181)</f>
        <v/>
      </c>
      <c r="AM77" s="108">
        <f>(AY77-Driver!$K$182)/(Driver!$L$182-Driver!$K$182)</f>
        <v/>
      </c>
      <c r="AN77" s="108">
        <f>(AZ77-Driver!$K$183)/(Driver!$L$183-Driver!$K$183)</f>
        <v/>
      </c>
      <c r="AO77" s="108" t="n"/>
      <c r="AP77" s="108" t="n"/>
      <c r="AQ77" s="108">
        <f>(BC77-Driver!$K$188)/(Driver!$L$188-Driver!$K$188)</f>
        <v/>
      </c>
      <c r="AR77" s="108">
        <f>MIN((BD77-Driver!$K$189)/(Driver!$L$189-Driver!$K$189),100%)</f>
        <v/>
      </c>
      <c r="AS77" s="108">
        <f>(BE77-Driver!$K$190)/(Driver!$L$190-Driver!$K$190)</f>
        <v/>
      </c>
      <c r="AT77" s="108">
        <f>(BF77-Driver!$K$191)/(Driver!$L$191-Driver!$K$191)</f>
        <v/>
      </c>
      <c r="AU77" s="108">
        <f>(BG77-Driver!$K$192)/(Driver!$L$192-Driver!$K$192)</f>
        <v/>
      </c>
      <c r="AV77" s="105">
        <f>IFERROR(BM77*BJ77^1/4,"")</f>
        <v/>
      </c>
      <c r="AW77" s="105">
        <f>IFERROR(SUM(AX77:AZ77),"")</f>
        <v/>
      </c>
      <c r="AX77" s="105">
        <f>IFERROR(BH77,"")</f>
        <v/>
      </c>
      <c r="AY77" s="105">
        <f>IFERROR(Driver!$K$19/Data!BH77/Data!BI77*Data!BK77*Data!BL77,"")</f>
        <v/>
      </c>
      <c r="AZ77" s="105">
        <f>IFERROR(BI77*BN77,"")</f>
        <v/>
      </c>
      <c r="BA77" s="105" t="n"/>
      <c r="BB77" s="105" t="n"/>
      <c r="BC77" s="105">
        <f>IFERROR(BI77*BN77*BK77/BJ77^(1/2),"")</f>
        <v/>
      </c>
      <c r="BD77" s="105">
        <f>IFERROR(BH77*BM77*BL77/BJ77/BK77,"")</f>
        <v/>
      </c>
      <c r="BE77" s="105">
        <f>IFERROR(MIN(BI77/BQ77/BP77/BO77/BH77,$BE$1),"")</f>
        <v/>
      </c>
      <c r="BF77" s="105">
        <f>IFERROR(BJ77*BO77*BP77/BK77,"")</f>
        <v/>
      </c>
      <c r="BG77" s="105">
        <f>IFERROR(1/BM77/BH77*BQ77,"")</f>
        <v/>
      </c>
      <c r="BH77" s="102">
        <f>MAX((CE77-Driver!$F$200)/(Driver!$G$200-Driver!$F$200)*$BI$1,1)</f>
        <v/>
      </c>
      <c r="BI77" s="102">
        <f>MAX($BI$1*(BY77-Driver!$F$201)/(Driver!$G$201-Driver!$F$201),1)</f>
        <v/>
      </c>
      <c r="BJ77" s="102">
        <f>(CB77-Driver!$F$206)/(Driver!$G$206-Driver!$F$206)*$BI$1</f>
        <v/>
      </c>
      <c r="BK77" s="102">
        <f>(CD77-Driver!$F$203)/(Driver!$G$203-Driver!$F$203)*$BI$1</f>
        <v/>
      </c>
      <c r="BL77" s="102">
        <f>MAX((CR77-Driver!$F$202)/(Driver!$G$202-Driver!$F$202)*$BI$1,1)</f>
        <v/>
      </c>
      <c r="BM77" s="102">
        <f>MAX((CH77-Driver!$F$204)/(Driver!$G$204-Driver!$F$204)*$BI$1,1)</f>
        <v/>
      </c>
      <c r="BN77" s="102">
        <f>(CI77-Driver!$F$205)/(Driver!$G$205-Driver!$F$205)*$BI$1</f>
        <v/>
      </c>
      <c r="BO77" s="102">
        <f>(CK77-Driver!$F$207)/(Driver!$G$207-Driver!$F$207)*$BI$1</f>
        <v/>
      </c>
      <c r="BP77" s="102">
        <f>(CM77-Driver!$F$208)/(Driver!$G$208-Driver!$F$208)*$BI$1</f>
        <v/>
      </c>
      <c r="BQ77" s="102">
        <f>(CL77-Driver!$F$209)/(Driver!$G$209-Driver!$F$209)*$BI$1</f>
        <v/>
      </c>
      <c r="BR77" s="40" t="inlineStr">
        <is>
          <t>21/22</t>
        </is>
      </c>
      <c r="BS77" s="10" t="inlineStr">
        <is>
          <t xml:space="preserve"> Fischer</t>
        </is>
      </c>
      <c r="BT77" s="11" t="inlineStr">
        <is>
          <t>Hannibal 106</t>
        </is>
      </c>
      <c r="BU77" s="13" t="n">
        <v>178</v>
      </c>
      <c r="BV77" s="11" t="inlineStr">
        <is>
          <t xml:space="preserve"> Unisex</t>
        </is>
      </c>
      <c r="BW77" s="13" t="n">
        <v>178</v>
      </c>
      <c r="BX77" s="13" t="n">
        <v>176.9</v>
      </c>
      <c r="BY77" s="13" t="n">
        <v>118</v>
      </c>
      <c r="BZ77" s="13" t="n">
        <v>148</v>
      </c>
      <c r="CA77" s="13" t="n">
        <v>137</v>
      </c>
      <c r="CB77" s="13" t="n">
        <v>104</v>
      </c>
      <c r="CC77" s="13" t="n">
        <v>120</v>
      </c>
      <c r="CD77" s="13" t="n">
        <v>21.7</v>
      </c>
      <c r="CE77" s="13" t="n">
        <v>1560</v>
      </c>
      <c r="CF77" s="13" t="n">
        <v>1.29</v>
      </c>
      <c r="CG77" s="13" t="n">
        <v>2007</v>
      </c>
      <c r="CH77" s="13" t="n">
        <v>243</v>
      </c>
      <c r="CI77" s="13" t="n">
        <v>107</v>
      </c>
      <c r="CJ77" s="13" t="n">
        <v>63</v>
      </c>
      <c r="CK77" s="13" t="n">
        <v>411</v>
      </c>
      <c r="CL77" s="13" t="n">
        <v>13</v>
      </c>
      <c r="CM77" s="13" t="n">
        <v>175</v>
      </c>
      <c r="CN77" s="13" t="n">
        <v>0.205</v>
      </c>
      <c r="CO77" s="13" t="n">
        <v>164</v>
      </c>
      <c r="CP77" s="13" t="n">
        <v>126</v>
      </c>
      <c r="CQ77" s="13" t="n">
        <v>247</v>
      </c>
      <c r="CR77" s="13" t="n">
        <v>4</v>
      </c>
      <c r="CS77" s="13" t="n">
        <v>11.4</v>
      </c>
      <c r="CT77" s="11" t="inlineStr">
        <is>
          <t xml:space="preserve"> Resort Freeride</t>
        </is>
      </c>
      <c r="CU77" s="11" t="inlineStr">
        <is>
          <t xml:space="preserve"> Big Mountain</t>
        </is>
      </c>
      <c r="CV77" s="11" t="inlineStr">
        <is>
          <t xml:space="preserve"> Touring</t>
        </is>
      </c>
      <c r="CW77" s="11" t="inlineStr">
        <is>
          <t xml:space="preserve"> Ultralight Touring</t>
        </is>
      </c>
      <c r="CX77">
        <f>INDEX('Data_Price '!AG$2:AG$1266,MATCH(Data!$DN77,'Data_Price '!$AT$2:$AT$1266,0))</f>
        <v/>
      </c>
      <c r="CY77">
        <f>INDEX('Data_Price '!AH$2:AH$1266,MATCH(Data!$DN77,'Data_Price '!$AT$2:$AT$1266,0))</f>
        <v/>
      </c>
      <c r="CZ77">
        <f>INDEX('Data_Price '!AI$2:AI$1266,MATCH(Data!$DN77,'Data_Price '!$AT$2:$AT$1266,0))</f>
        <v/>
      </c>
      <c r="DA77">
        <f>INDEX('Data_Price '!AJ$2:AJ$1266,MATCH(Data!$DN77,'Data_Price '!$AT$2:$AT$1266,0))</f>
        <v/>
      </c>
      <c r="DB77">
        <f>INDEX('Data_Price '!AK$2:AK$1266,MATCH(Data!$DN77,'Data_Price '!$AT$2:$AT$1266,0))</f>
        <v/>
      </c>
      <c r="DC77">
        <f>INDEX('Data_Price '!AL$2:AL$1266,MATCH(Data!$DN77,'Data_Price '!$AT$2:$AT$1266,0))</f>
        <v/>
      </c>
      <c r="DD77">
        <f>INDEX('Data_Price '!AM$2:AM$1266,MATCH(Data!$DN77,'Data_Price '!$AT$2:$AT$1266,0))</f>
        <v/>
      </c>
      <c r="DE77">
        <f>INDEX('Data_Price '!AN$2:AN$1266,MATCH(Data!$DN77,'Data_Price '!$AT$2:$AT$1266,0))</f>
        <v/>
      </c>
      <c r="DF77">
        <f>INDEX('Data_Price '!AO$2:AO$1266,MATCH(Data!$DN77,'Data_Price '!$AT$2:$AT$1266,0))</f>
        <v/>
      </c>
      <c r="DG77">
        <f>INDEX('Data_Price '!AP$2:AP$1266,MATCH(Data!$DN77,'Data_Price '!$AT$2:$AT$1266,0))</f>
        <v/>
      </c>
      <c r="DH77">
        <f>INDEX('Data_Price '!AQ$2:AQ$1266,MATCH(Data!$DN77,'Data_Price '!$AT$2:$AT$1266,0))</f>
        <v/>
      </c>
      <c r="DI77">
        <f>INDEX('Data_Price '!AR$2:AR$1266,MATCH(Data!$DN77,'Data_Price '!$AT$2:$AT$1266,0))</f>
        <v/>
      </c>
      <c r="DJ77" s="138">
        <f>DA77</f>
        <v/>
      </c>
      <c r="DK77" s="138">
        <f>DE77</f>
        <v/>
      </c>
      <c r="DL77" s="138">
        <f>DI77</f>
        <v/>
      </c>
      <c r="DM77" s="303">
        <f>IF(LEFT(BT77,1)=" ",RIGHT(BT77,LEN(BT77)-1),BT77)</f>
        <v/>
      </c>
      <c r="DN77" s="138">
        <f>_xlfn.CONCAT(BS77,DM77,BU77,BV77)</f>
        <v/>
      </c>
      <c r="DO77" s="307" t="inlineStr">
        <is>
          <t>https://images.evo.com/imgp/250/209039/846564/fischer-hannibal-106-carbon-skis-2022-.jpg</t>
        </is>
      </c>
    </row>
    <row r="78" ht="15.6" customHeight="1" s="184">
      <c r="B78" s="303">
        <f t="array" ref="B78">IF(OR(ISERROR(K78:P78)),FALSE,TRUE)</f>
        <v/>
      </c>
      <c r="C78" s="60">
        <f>OR(BR78=Driver!$G$50,Data!BR494=Driver!$H$50)</f>
        <v/>
      </c>
      <c r="D78" s="60">
        <f>OR(BV78=Driver!$G$51,BV78=Driver!$H$51)</f>
        <v/>
      </c>
      <c r="E78" s="60">
        <f>AND(BX78&gt;Driver!$F$54,BX78&lt;Driver!$G$54)</f>
        <v/>
      </c>
      <c r="F78" s="60">
        <f>CL78&gt;Driver!$F$56</f>
        <v/>
      </c>
      <c r="G78" s="60">
        <f>AND(CB78&gt;Driver!$F$55,CB78&lt;Driver!$G$55)</f>
        <v/>
      </c>
      <c r="H78" s="60">
        <f>AND(B78:G78)</f>
        <v/>
      </c>
      <c r="I78" s="60">
        <f>COUNTIFS($H$9:$H$1273,TRUE,$BT$9:$BT$1273,BT78)</f>
        <v/>
      </c>
      <c r="J78" s="60">
        <f t="array" ref="J78">NOT(OR(($H$9:$H$1273=TRUE)*($I$9:$I$1273&gt;0)*($BT$9:$BT$1273=BT78)*($K$9:$K$1273&gt;K78)))</f>
        <v/>
      </c>
      <c r="K78" s="108">
        <f>IFERROR(1-AVERAGE(X78:Y78),"")</f>
        <v/>
      </c>
      <c r="L78" s="108">
        <f>1-X78</f>
        <v/>
      </c>
      <c r="M78" s="108">
        <f>1-Y78</f>
        <v/>
      </c>
      <c r="N78" s="108">
        <f>1-Z78</f>
        <v/>
      </c>
      <c r="O78" s="108">
        <f>1-AA78</f>
        <v/>
      </c>
      <c r="P78" s="108">
        <f>1-AB78</f>
        <v/>
      </c>
      <c r="Q78" s="108" t="n"/>
      <c r="R78" s="108" t="n"/>
      <c r="S78" s="108">
        <f>1-AE78</f>
        <v/>
      </c>
      <c r="T78" s="108">
        <f>1-AF78</f>
        <v/>
      </c>
      <c r="U78" s="108">
        <f>1-AG78</f>
        <v/>
      </c>
      <c r="V78" s="108">
        <f>1-AH78</f>
        <v/>
      </c>
      <c r="W78" s="108">
        <f>1-AI78</f>
        <v/>
      </c>
      <c r="X78" s="108">
        <f>ABS(AJ78-AJ$1)</f>
        <v/>
      </c>
      <c r="Y78" s="108">
        <f>AVERAGE(Z78:AB78)</f>
        <v/>
      </c>
      <c r="Z78" s="108">
        <f>ABS(AL78-AL$1)</f>
        <v/>
      </c>
      <c r="AA78" s="108">
        <f>ABS(AM78-AM$1)</f>
        <v/>
      </c>
      <c r="AB78" s="108">
        <f>ABS(AN78-AN$1)</f>
        <v/>
      </c>
      <c r="AC78" s="108" t="n"/>
      <c r="AD78" s="108" t="n"/>
      <c r="AE78" s="108">
        <f>ABS(AQ$1-AQ78)</f>
        <v/>
      </c>
      <c r="AF78" s="108">
        <f>ABS(AR$1-AR78)</f>
        <v/>
      </c>
      <c r="AG78" s="108">
        <f>ABS(AS$1-AS78)</f>
        <v/>
      </c>
      <c r="AH78" s="108">
        <f>ABS(AT$1-AT78)</f>
        <v/>
      </c>
      <c r="AI78" s="108">
        <f>ABS(AU$1-AU78)</f>
        <v/>
      </c>
      <c r="AJ78" s="108">
        <f>(AV78-Driver!$K$179)/(Driver!$L$179-Driver!$K$179)</f>
        <v/>
      </c>
      <c r="AK78" s="108">
        <f>(AW78-Driver!$K$180)/(Driver!$L$180-Driver!$K$180)</f>
        <v/>
      </c>
      <c r="AL78" s="108">
        <f>(AX78-Driver!$K$181)/(Driver!$L$181-Driver!$K$181)</f>
        <v/>
      </c>
      <c r="AM78" s="108">
        <f>(AY78-Driver!$K$182)/(Driver!$L$182-Driver!$K$182)</f>
        <v/>
      </c>
      <c r="AN78" s="108">
        <f>(AZ78-Driver!$K$183)/(Driver!$L$183-Driver!$K$183)</f>
        <v/>
      </c>
      <c r="AO78" s="108" t="n"/>
      <c r="AP78" s="108" t="n"/>
      <c r="AQ78" s="108">
        <f>(BC78-Driver!$K$188)/(Driver!$L$188-Driver!$K$188)</f>
        <v/>
      </c>
      <c r="AR78" s="108">
        <f>MIN((BD78-Driver!$K$189)/(Driver!$L$189-Driver!$K$189),100%)</f>
        <v/>
      </c>
      <c r="AS78" s="108">
        <f>(BE78-Driver!$K$190)/(Driver!$L$190-Driver!$K$190)</f>
        <v/>
      </c>
      <c r="AT78" s="108">
        <f>(BF78-Driver!$K$191)/(Driver!$L$191-Driver!$K$191)</f>
        <v/>
      </c>
      <c r="AU78" s="108">
        <f>(BG78-Driver!$K$192)/(Driver!$L$192-Driver!$K$192)</f>
        <v/>
      </c>
      <c r="AV78" s="105">
        <f>IFERROR(BM78*BJ78^1/4,"")</f>
        <v/>
      </c>
      <c r="AW78" s="105">
        <f>IFERROR(SUM(AX78:AZ78),"")</f>
        <v/>
      </c>
      <c r="AX78" s="105">
        <f>IFERROR(BH78,"")</f>
        <v/>
      </c>
      <c r="AY78" s="105">
        <f>IFERROR(Driver!$K$19/Data!BH78/Data!BI78*Data!BK78*Data!BL78,"")</f>
        <v/>
      </c>
      <c r="AZ78" s="105">
        <f>IFERROR(BI78*BN78,"")</f>
        <v/>
      </c>
      <c r="BA78" s="105" t="n"/>
      <c r="BB78" s="105" t="n"/>
      <c r="BC78" s="105">
        <f>IFERROR(BI78*BN78*BK78/BJ78^(1/2),"")</f>
        <v/>
      </c>
      <c r="BD78" s="105">
        <f>IFERROR(BH78*BM78*BL78/BJ78/BK78,"")</f>
        <v/>
      </c>
      <c r="BE78" s="105">
        <f>IFERROR(MIN(BI78/BQ78/BP78/BO78/BH78,$BE$1),"")</f>
        <v/>
      </c>
      <c r="BF78" s="105">
        <f>IFERROR(BJ78*BO78*BP78/BK78,"")</f>
        <v/>
      </c>
      <c r="BG78" s="105">
        <f>IFERROR(1/BM78/BH78*BQ78,"")</f>
        <v/>
      </c>
      <c r="BH78" s="102">
        <f>MAX((CE78-Driver!$F$200)/(Driver!$G$200-Driver!$F$200)*$BI$1,1)</f>
        <v/>
      </c>
      <c r="BI78" s="102">
        <f>MAX($BI$1*(BY78-Driver!$F$201)/(Driver!$G$201-Driver!$F$201),1)</f>
        <v/>
      </c>
      <c r="BJ78" s="102">
        <f>(CB78-Driver!$F$206)/(Driver!$G$206-Driver!$F$206)*$BI$1</f>
        <v/>
      </c>
      <c r="BK78" s="102">
        <f>(CD78-Driver!$F$203)/(Driver!$G$203-Driver!$F$203)*$BI$1</f>
        <v/>
      </c>
      <c r="BL78" s="102">
        <f>MAX((CR78-Driver!$F$202)/(Driver!$G$202-Driver!$F$202)*$BI$1,1)</f>
        <v/>
      </c>
      <c r="BM78" s="102">
        <f>MAX((CH78-Driver!$F$204)/(Driver!$G$204-Driver!$F$204)*$BI$1,1)</f>
        <v/>
      </c>
      <c r="BN78" s="102">
        <f>(CI78-Driver!$F$205)/(Driver!$G$205-Driver!$F$205)*$BI$1</f>
        <v/>
      </c>
      <c r="BO78" s="102">
        <f>(CK78-Driver!$F$207)/(Driver!$G$207-Driver!$F$207)*$BI$1</f>
        <v/>
      </c>
      <c r="BP78" s="102">
        <f>(CM78-Driver!$F$208)/(Driver!$G$208-Driver!$F$208)*$BI$1</f>
        <v/>
      </c>
      <c r="BQ78" s="102">
        <f>(CL78-Driver!$F$209)/(Driver!$G$209-Driver!$F$209)*$BI$1</f>
        <v/>
      </c>
      <c r="BR78" s="40" t="inlineStr">
        <is>
          <t>21/22</t>
        </is>
      </c>
      <c r="BS78" s="10" t="inlineStr">
        <is>
          <t xml:space="preserve"> Faction</t>
        </is>
      </c>
      <c r="BT78" s="11" t="inlineStr">
        <is>
          <t>Agent 3.0</t>
        </is>
      </c>
      <c r="BU78" s="13" t="n">
        <v>172</v>
      </c>
      <c r="BV78" s="11" t="inlineStr">
        <is>
          <t xml:space="preserve"> Unisex</t>
        </is>
      </c>
      <c r="BW78" s="13" t="n">
        <v>172</v>
      </c>
      <c r="BX78" s="13" t="n">
        <v>170.6</v>
      </c>
      <c r="BY78" s="13" t="n">
        <v>122</v>
      </c>
      <c r="BZ78" s="13" t="n">
        <v>139</v>
      </c>
      <c r="CA78" s="13" t="n">
        <v>134</v>
      </c>
      <c r="CB78" s="13" t="n">
        <v>106</v>
      </c>
      <c r="CC78" s="13" t="n">
        <v>124</v>
      </c>
      <c r="CD78" s="13" t="n">
        <v>18.8</v>
      </c>
      <c r="CE78" s="13" t="n">
        <v>1724</v>
      </c>
      <c r="CF78" s="13" t="n">
        <v>1.14</v>
      </c>
      <c r="CG78" s="13" t="n">
        <v>1964</v>
      </c>
      <c r="CH78" s="13" t="n">
        <v>202</v>
      </c>
      <c r="CI78" s="13" t="n">
        <v>107</v>
      </c>
      <c r="CJ78" s="13" t="n">
        <v>55</v>
      </c>
      <c r="CK78" s="13" t="n">
        <v>291</v>
      </c>
      <c r="CL78" s="13" t="n">
        <v>21</v>
      </c>
      <c r="CM78" s="13" t="n">
        <v>198</v>
      </c>
      <c r="CN78" s="13" t="n">
        <v>0.378</v>
      </c>
      <c r="CO78" s="13" t="n">
        <v>200</v>
      </c>
      <c r="CP78" s="13" t="n">
        <v>121</v>
      </c>
      <c r="CQ78" s="13" t="n">
        <v>91</v>
      </c>
      <c r="CR78" s="13" t="n">
        <v>6</v>
      </c>
      <c r="CS78" s="13" t="n">
        <v>11.1</v>
      </c>
      <c r="CT78" s="11" t="inlineStr">
        <is>
          <t xml:space="preserve"> Powder</t>
        </is>
      </c>
      <c r="CU78" s="11" t="inlineStr">
        <is>
          <t xml:space="preserve"> Big Mountain</t>
        </is>
      </c>
      <c r="CV78" s="11" t="inlineStr">
        <is>
          <t xml:space="preserve"> Touring</t>
        </is>
      </c>
      <c r="CW78" s="13" t="n"/>
      <c r="CX78">
        <f>INDEX('Data_Price '!AG$2:AG$1266,MATCH(Data!$DN78,'Data_Price '!$AT$2:$AT$1266,0))</f>
        <v/>
      </c>
      <c r="CY78">
        <f>INDEX('Data_Price '!AH$2:AH$1266,MATCH(Data!$DN78,'Data_Price '!$AT$2:$AT$1266,0))</f>
        <v/>
      </c>
      <c r="CZ78">
        <f>INDEX('Data_Price '!AI$2:AI$1266,MATCH(Data!$DN78,'Data_Price '!$AT$2:$AT$1266,0))</f>
        <v/>
      </c>
      <c r="DA78">
        <f>INDEX('Data_Price '!AJ$2:AJ$1266,MATCH(Data!$DN78,'Data_Price '!$AT$2:$AT$1266,0))</f>
        <v/>
      </c>
      <c r="DB78">
        <f>INDEX('Data_Price '!AK$2:AK$1266,MATCH(Data!$DN78,'Data_Price '!$AT$2:$AT$1266,0))</f>
        <v/>
      </c>
      <c r="DC78">
        <f>INDEX('Data_Price '!AL$2:AL$1266,MATCH(Data!$DN78,'Data_Price '!$AT$2:$AT$1266,0))</f>
        <v/>
      </c>
      <c r="DD78">
        <f>INDEX('Data_Price '!AM$2:AM$1266,MATCH(Data!$DN78,'Data_Price '!$AT$2:$AT$1266,0))</f>
        <v/>
      </c>
      <c r="DE78">
        <f>INDEX('Data_Price '!AN$2:AN$1266,MATCH(Data!$DN78,'Data_Price '!$AT$2:$AT$1266,0))</f>
        <v/>
      </c>
      <c r="DF78">
        <f>INDEX('Data_Price '!AO$2:AO$1266,MATCH(Data!$DN78,'Data_Price '!$AT$2:$AT$1266,0))</f>
        <v/>
      </c>
      <c r="DG78">
        <f>INDEX('Data_Price '!AP$2:AP$1266,MATCH(Data!$DN78,'Data_Price '!$AT$2:$AT$1266,0))</f>
        <v/>
      </c>
      <c r="DH78">
        <f>INDEX('Data_Price '!AQ$2:AQ$1266,MATCH(Data!$DN78,'Data_Price '!$AT$2:$AT$1266,0))</f>
        <v/>
      </c>
      <c r="DI78">
        <f>INDEX('Data_Price '!AR$2:AR$1266,MATCH(Data!$DN78,'Data_Price '!$AT$2:$AT$1266,0))</f>
        <v/>
      </c>
      <c r="DJ78" s="138">
        <f>DA78</f>
        <v/>
      </c>
      <c r="DK78" s="138">
        <f>DE78</f>
        <v/>
      </c>
      <c r="DL78" s="138">
        <f>DI78</f>
        <v/>
      </c>
      <c r="DM78" s="303">
        <f>IF(LEFT(BT78,1)=" ",RIGHT(BT78,LEN(BT78)-1),BT78)</f>
        <v/>
      </c>
      <c r="DN78" s="138">
        <f>_xlfn.CONCAT(BS78,DM78,BU78,BV78)</f>
        <v/>
      </c>
      <c r="DO78" s="307" t="inlineStr">
        <is>
          <t>https://images.evo.com/imgp/250/181980/733532/faction-agent-3-0-skis-2022-.jpg</t>
        </is>
      </c>
    </row>
    <row r="79" ht="15.6" customHeight="1" s="184">
      <c r="B79" s="303">
        <f t="array" ref="B79">IF(OR(ISERROR(K79:P79)),FALSE,TRUE)</f>
        <v/>
      </c>
      <c r="C79" s="60">
        <f>OR(BR79=Driver!$G$50,Data!BR521=Driver!$H$50)</f>
        <v/>
      </c>
      <c r="D79" s="60">
        <f>OR(BV79=Driver!$G$51,BV79=Driver!$H$51)</f>
        <v/>
      </c>
      <c r="E79" s="60">
        <f>AND(BX79&gt;Driver!$F$54,BX79&lt;Driver!$G$54)</f>
        <v/>
      </c>
      <c r="F79" s="60">
        <f>CL79&gt;Driver!$F$56</f>
        <v/>
      </c>
      <c r="G79" s="60">
        <f>AND(CB79&gt;Driver!$F$55,CB79&lt;Driver!$G$55)</f>
        <v/>
      </c>
      <c r="H79" s="60">
        <f>AND(B79:G79)</f>
        <v/>
      </c>
      <c r="I79" s="60">
        <f>COUNTIFS($H$9:$H$1273,TRUE,$BT$9:$BT$1273,BT79)</f>
        <v/>
      </c>
      <c r="J79" s="60">
        <f t="array" ref="J79">NOT(OR(($H$9:$H$1273=TRUE)*($I$9:$I$1273&gt;0)*($BT$9:$BT$1273=BT79)*($K$9:$K$1273&gt;K79)))</f>
        <v/>
      </c>
      <c r="K79" s="108">
        <f>IFERROR(1-AVERAGE(X79:Y79),"")</f>
        <v/>
      </c>
      <c r="L79" s="108">
        <f>1-X79</f>
        <v/>
      </c>
      <c r="M79" s="108">
        <f>1-Y79</f>
        <v/>
      </c>
      <c r="N79" s="108">
        <f>1-Z79</f>
        <v/>
      </c>
      <c r="O79" s="108">
        <f>1-AA79</f>
        <v/>
      </c>
      <c r="P79" s="108">
        <f>1-AB79</f>
        <v/>
      </c>
      <c r="Q79" s="108" t="n"/>
      <c r="R79" s="108" t="n"/>
      <c r="S79" s="108">
        <f>1-AE79</f>
        <v/>
      </c>
      <c r="T79" s="108">
        <f>1-AF79</f>
        <v/>
      </c>
      <c r="U79" s="108">
        <f>1-AG79</f>
        <v/>
      </c>
      <c r="V79" s="108">
        <f>1-AH79</f>
        <v/>
      </c>
      <c r="W79" s="108">
        <f>1-AI79</f>
        <v/>
      </c>
      <c r="X79" s="108">
        <f>ABS(AJ79-AJ$1)</f>
        <v/>
      </c>
      <c r="Y79" s="108">
        <f>AVERAGE(Z79:AB79)</f>
        <v/>
      </c>
      <c r="Z79" s="108">
        <f>ABS(AL79-AL$1)</f>
        <v/>
      </c>
      <c r="AA79" s="108">
        <f>ABS(AM79-AM$1)</f>
        <v/>
      </c>
      <c r="AB79" s="108">
        <f>ABS(AN79-AN$1)</f>
        <v/>
      </c>
      <c r="AC79" s="108" t="n"/>
      <c r="AD79" s="108" t="n"/>
      <c r="AE79" s="108">
        <f>ABS(AQ$1-AQ79)</f>
        <v/>
      </c>
      <c r="AF79" s="108">
        <f>ABS(AR$1-AR79)</f>
        <v/>
      </c>
      <c r="AG79" s="108">
        <f>ABS(AS$1-AS79)</f>
        <v/>
      </c>
      <c r="AH79" s="108">
        <f>ABS(AT$1-AT79)</f>
        <v/>
      </c>
      <c r="AI79" s="108">
        <f>ABS(AU$1-AU79)</f>
        <v/>
      </c>
      <c r="AJ79" s="108">
        <f>(AV79-Driver!$K$179)/(Driver!$L$179-Driver!$K$179)</f>
        <v/>
      </c>
      <c r="AK79" s="108">
        <f>(AW79-Driver!$K$180)/(Driver!$L$180-Driver!$K$180)</f>
        <v/>
      </c>
      <c r="AL79" s="108">
        <f>(AX79-Driver!$K$181)/(Driver!$L$181-Driver!$K$181)</f>
        <v/>
      </c>
      <c r="AM79" s="108">
        <f>(AY79-Driver!$K$182)/(Driver!$L$182-Driver!$K$182)</f>
        <v/>
      </c>
      <c r="AN79" s="108">
        <f>(AZ79-Driver!$K$183)/(Driver!$L$183-Driver!$K$183)</f>
        <v/>
      </c>
      <c r="AO79" s="108" t="n"/>
      <c r="AP79" s="108" t="n"/>
      <c r="AQ79" s="108">
        <f>(BC79-Driver!$K$188)/(Driver!$L$188-Driver!$K$188)</f>
        <v/>
      </c>
      <c r="AR79" s="108">
        <f>MIN((BD79-Driver!$K$189)/(Driver!$L$189-Driver!$K$189),100%)</f>
        <v/>
      </c>
      <c r="AS79" s="108">
        <f>(BE79-Driver!$K$190)/(Driver!$L$190-Driver!$K$190)</f>
        <v/>
      </c>
      <c r="AT79" s="108">
        <f>(BF79-Driver!$K$191)/(Driver!$L$191-Driver!$K$191)</f>
        <v/>
      </c>
      <c r="AU79" s="108">
        <f>(BG79-Driver!$K$192)/(Driver!$L$192-Driver!$K$192)</f>
        <v/>
      </c>
      <c r="AV79" s="105">
        <f>IFERROR(BM79*BJ79^1/4,"")</f>
        <v/>
      </c>
      <c r="AW79" s="105">
        <f>IFERROR(SUM(AX79:AZ79),"")</f>
        <v/>
      </c>
      <c r="AX79" s="105">
        <f>IFERROR(BH79,"")</f>
        <v/>
      </c>
      <c r="AY79" s="105">
        <f>IFERROR(Driver!$K$19/Data!BH79/Data!BI79*Data!BK79*Data!BL79,"")</f>
        <v/>
      </c>
      <c r="AZ79" s="105">
        <f>IFERROR(BI79*BN79,"")</f>
        <v/>
      </c>
      <c r="BA79" s="105" t="n"/>
      <c r="BB79" s="105" t="n"/>
      <c r="BC79" s="105">
        <f>IFERROR(BI79*BN79*BK79/BJ79^(1/2),"")</f>
        <v/>
      </c>
      <c r="BD79" s="105">
        <f>IFERROR(BH79*BM79*BL79/BJ79/BK79,"")</f>
        <v/>
      </c>
      <c r="BE79" s="105">
        <f>IFERROR(MIN(BI79/BQ79/BP79/BO79/BH79,$BE$1),"")</f>
        <v/>
      </c>
      <c r="BF79" s="105">
        <f>IFERROR(BJ79*BO79*BP79/BK79,"")</f>
        <v/>
      </c>
      <c r="BG79" s="105">
        <f>IFERROR(1/BM79/BH79*BQ79,"")</f>
        <v/>
      </c>
      <c r="BH79" s="102">
        <f>MAX((CE79-Driver!$F$200)/(Driver!$G$200-Driver!$F$200)*$BI$1,1)</f>
        <v/>
      </c>
      <c r="BI79" s="102">
        <f>MAX($BI$1*(BY79-Driver!$F$201)/(Driver!$G$201-Driver!$F$201),1)</f>
        <v/>
      </c>
      <c r="BJ79" s="102">
        <f>(CB79-Driver!$F$206)/(Driver!$G$206-Driver!$F$206)*$BI$1</f>
        <v/>
      </c>
      <c r="BK79" s="102">
        <f>(CD79-Driver!$F$203)/(Driver!$G$203-Driver!$F$203)*$BI$1</f>
        <v/>
      </c>
      <c r="BL79" s="102">
        <f>MAX((CR79-Driver!$F$202)/(Driver!$G$202-Driver!$F$202)*$BI$1,1)</f>
        <v/>
      </c>
      <c r="BM79" s="102">
        <f>MAX((CH79-Driver!$F$204)/(Driver!$G$204-Driver!$F$204)*$BI$1,1)</f>
        <v/>
      </c>
      <c r="BN79" s="102">
        <f>(CI79-Driver!$F$205)/(Driver!$G$205-Driver!$F$205)*$BI$1</f>
        <v/>
      </c>
      <c r="BO79" s="102">
        <f>(CK79-Driver!$F$207)/(Driver!$G$207-Driver!$F$207)*$BI$1</f>
        <v/>
      </c>
      <c r="BP79" s="102">
        <f>(CM79-Driver!$F$208)/(Driver!$G$208-Driver!$F$208)*$BI$1</f>
        <v/>
      </c>
      <c r="BQ79" s="102">
        <f>(CL79-Driver!$F$209)/(Driver!$G$209-Driver!$F$209)*$BI$1</f>
        <v/>
      </c>
      <c r="BR79" s="40" t="inlineStr">
        <is>
          <t>21/22</t>
        </is>
      </c>
      <c r="BS79" s="10" t="inlineStr">
        <is>
          <t xml:space="preserve"> Faction</t>
        </is>
      </c>
      <c r="BT79" s="11" t="inlineStr">
        <is>
          <t>Dictator FG 2.0</t>
        </is>
      </c>
      <c r="BU79" s="13" t="n">
        <v>179</v>
      </c>
      <c r="BV79" s="11" t="inlineStr">
        <is>
          <t xml:space="preserve"> Unisex</t>
        </is>
      </c>
      <c r="BW79" s="13" t="n">
        <v>179</v>
      </c>
      <c r="BX79" s="13" t="n">
        <v>177.6</v>
      </c>
      <c r="BY79" s="13" t="n">
        <v>134</v>
      </c>
      <c r="BZ79" s="13" t="n">
        <v>150</v>
      </c>
      <c r="CA79" s="13" t="n">
        <v>126</v>
      </c>
      <c r="CB79" s="13" t="n">
        <v>95</v>
      </c>
      <c r="CC79" s="13" t="n">
        <v>116</v>
      </c>
      <c r="CD79" s="13" t="n">
        <v>19.6</v>
      </c>
      <c r="CE79" s="13" t="n">
        <v>1784</v>
      </c>
      <c r="CF79" s="13" t="n">
        <v>1.05</v>
      </c>
      <c r="CG79" s="13" t="n">
        <v>1869</v>
      </c>
      <c r="CH79" s="13" t="n">
        <v>220</v>
      </c>
      <c r="CI79" s="13" t="n">
        <v>98</v>
      </c>
      <c r="CJ79" s="13" t="n">
        <v>52</v>
      </c>
      <c r="CK79" s="13" t="n">
        <v>269</v>
      </c>
      <c r="CL79" s="13" t="n">
        <v>19</v>
      </c>
      <c r="CM79" s="13" t="n">
        <v>171</v>
      </c>
      <c r="CN79" s="13" t="n">
        <v>0.365</v>
      </c>
      <c r="CO79" s="13" t="n">
        <v>168</v>
      </c>
      <c r="CP79" s="13" t="n">
        <v>107</v>
      </c>
      <c r="CQ79" s="13" t="n">
        <v>101</v>
      </c>
      <c r="CR79" s="13" t="n">
        <v>8</v>
      </c>
      <c r="CS79" s="13" t="n">
        <v>11.3</v>
      </c>
      <c r="CT79" s="11" t="inlineStr">
        <is>
          <t xml:space="preserve"> Resort Freeride</t>
        </is>
      </c>
      <c r="CU79" s="13" t="n"/>
      <c r="CV79" s="13" t="n"/>
      <c r="CW79" s="13" t="n"/>
      <c r="CX79">
        <f>INDEX('Data_Price '!AG$2:AG$1266,MATCH(Data!$DN79,'Data_Price '!$AT$2:$AT$1266,0))</f>
        <v/>
      </c>
      <c r="CY79">
        <f>INDEX('Data_Price '!AH$2:AH$1266,MATCH(Data!$DN79,'Data_Price '!$AT$2:$AT$1266,0))</f>
        <v/>
      </c>
      <c r="CZ79">
        <f>INDEX('Data_Price '!AI$2:AI$1266,MATCH(Data!$DN79,'Data_Price '!$AT$2:$AT$1266,0))</f>
        <v/>
      </c>
      <c r="DA79">
        <f>INDEX('Data_Price '!AJ$2:AJ$1266,MATCH(Data!$DN79,'Data_Price '!$AT$2:$AT$1266,0))</f>
        <v/>
      </c>
      <c r="DB79">
        <f>INDEX('Data_Price '!AK$2:AK$1266,MATCH(Data!$DN79,'Data_Price '!$AT$2:$AT$1266,0))</f>
        <v/>
      </c>
      <c r="DC79">
        <f>INDEX('Data_Price '!AL$2:AL$1266,MATCH(Data!$DN79,'Data_Price '!$AT$2:$AT$1266,0))</f>
        <v/>
      </c>
      <c r="DD79">
        <f>INDEX('Data_Price '!AM$2:AM$1266,MATCH(Data!$DN79,'Data_Price '!$AT$2:$AT$1266,0))</f>
        <v/>
      </c>
      <c r="DE79">
        <f>INDEX('Data_Price '!AN$2:AN$1266,MATCH(Data!$DN79,'Data_Price '!$AT$2:$AT$1266,0))</f>
        <v/>
      </c>
      <c r="DF79">
        <f>INDEX('Data_Price '!AO$2:AO$1266,MATCH(Data!$DN79,'Data_Price '!$AT$2:$AT$1266,0))</f>
        <v/>
      </c>
      <c r="DG79">
        <f>INDEX('Data_Price '!AP$2:AP$1266,MATCH(Data!$DN79,'Data_Price '!$AT$2:$AT$1266,0))</f>
        <v/>
      </c>
      <c r="DH79">
        <f>INDEX('Data_Price '!AQ$2:AQ$1266,MATCH(Data!$DN79,'Data_Price '!$AT$2:$AT$1266,0))</f>
        <v/>
      </c>
      <c r="DI79">
        <f>INDEX('Data_Price '!AR$2:AR$1266,MATCH(Data!$DN79,'Data_Price '!$AT$2:$AT$1266,0))</f>
        <v/>
      </c>
      <c r="DJ79" s="138">
        <f>DA79</f>
        <v/>
      </c>
      <c r="DK79" s="138">
        <f>DE79</f>
        <v/>
      </c>
      <c r="DL79" s="138">
        <f>DI79</f>
        <v/>
      </c>
      <c r="DM79" s="303">
        <f>IF(LEFT(BT79,1)=" ",RIGHT(BT79,LEN(BT79)-1),BT79)</f>
        <v/>
      </c>
      <c r="DN79" s="138">
        <f>_xlfn.CONCAT(BS79,DM79,BU79,BV79)</f>
        <v/>
      </c>
      <c r="DO79" s="307" t="inlineStr">
        <is>
          <t>https://images.evo.com/imgp/250/208648/839908/clone.jpg</t>
        </is>
      </c>
    </row>
    <row r="80" ht="15.6" customHeight="1" s="184">
      <c r="B80" s="303">
        <f t="array" ref="B80">IF(OR(ISERROR(K80:P80)),FALSE,TRUE)</f>
        <v/>
      </c>
      <c r="C80" s="60">
        <f>OR(BR80=Driver!$G$50,Data!BR818=Driver!$H$50)</f>
        <v/>
      </c>
      <c r="D80" s="60">
        <f>OR(BV80=Driver!$G$51,BV80=Driver!$H$51)</f>
        <v/>
      </c>
      <c r="E80" s="60">
        <f>AND(BX80&gt;Driver!$F$54,BX80&lt;Driver!$G$54)</f>
        <v/>
      </c>
      <c r="F80" s="60">
        <f>CL80&gt;Driver!$F$56</f>
        <v/>
      </c>
      <c r="G80" s="60">
        <f>AND(CB80&gt;Driver!$F$55,CB80&lt;Driver!$G$55)</f>
        <v/>
      </c>
      <c r="H80" s="60">
        <f>AND(B80:G80)</f>
        <v/>
      </c>
      <c r="I80" s="60">
        <f>COUNTIFS($H$9:$H$1273,TRUE,$BT$9:$BT$1273,BT80)</f>
        <v/>
      </c>
      <c r="J80" s="60">
        <f t="array" ref="J80">NOT(OR(($H$9:$H$1273=TRUE)*($I$9:$I$1273&gt;0)*($BT$9:$BT$1273=BT80)*($K$9:$K$1273&gt;K80)))</f>
        <v/>
      </c>
      <c r="K80" s="108">
        <f>IFERROR(1-AVERAGE(X80:Y80),"")</f>
        <v/>
      </c>
      <c r="L80" s="108">
        <f>1-X80</f>
        <v/>
      </c>
      <c r="M80" s="108">
        <f>1-Y80</f>
        <v/>
      </c>
      <c r="N80" s="108">
        <f>1-Z80</f>
        <v/>
      </c>
      <c r="O80" s="108">
        <f>1-AA80</f>
        <v/>
      </c>
      <c r="P80" s="108">
        <f>1-AB80</f>
        <v/>
      </c>
      <c r="Q80" s="108" t="n"/>
      <c r="R80" s="108" t="n"/>
      <c r="S80" s="108">
        <f>1-AE80</f>
        <v/>
      </c>
      <c r="T80" s="108">
        <f>1-AF80</f>
        <v/>
      </c>
      <c r="U80" s="108">
        <f>1-AG80</f>
        <v/>
      </c>
      <c r="V80" s="108">
        <f>1-AH80</f>
        <v/>
      </c>
      <c r="W80" s="108">
        <f>1-AI80</f>
        <v/>
      </c>
      <c r="X80" s="108">
        <f>ABS(AJ80-AJ$1)</f>
        <v/>
      </c>
      <c r="Y80" s="108">
        <f>AVERAGE(Z80:AB80)</f>
        <v/>
      </c>
      <c r="Z80" s="108">
        <f>ABS(AL80-AL$1)</f>
        <v/>
      </c>
      <c r="AA80" s="108">
        <f>ABS(AM80-AM$1)</f>
        <v/>
      </c>
      <c r="AB80" s="108">
        <f>ABS(AN80-AN$1)</f>
        <v/>
      </c>
      <c r="AC80" s="108" t="n"/>
      <c r="AD80" s="108" t="n"/>
      <c r="AE80" s="108">
        <f>ABS(AQ$1-AQ80)</f>
        <v/>
      </c>
      <c r="AF80" s="108">
        <f>ABS(AR$1-AR80)</f>
        <v/>
      </c>
      <c r="AG80" s="108">
        <f>ABS(AS$1-AS80)</f>
        <v/>
      </c>
      <c r="AH80" s="108">
        <f>ABS(AT$1-AT80)</f>
        <v/>
      </c>
      <c r="AI80" s="108">
        <f>ABS(AU$1-AU80)</f>
        <v/>
      </c>
      <c r="AJ80" s="108">
        <f>(AV80-Driver!$K$179)/(Driver!$L$179-Driver!$K$179)</f>
        <v/>
      </c>
      <c r="AK80" s="108">
        <f>(AW80-Driver!$K$180)/(Driver!$L$180-Driver!$K$180)</f>
        <v/>
      </c>
      <c r="AL80" s="108">
        <f>(AX80-Driver!$K$181)/(Driver!$L$181-Driver!$K$181)</f>
        <v/>
      </c>
      <c r="AM80" s="108">
        <f>(AY80-Driver!$K$182)/(Driver!$L$182-Driver!$K$182)</f>
        <v/>
      </c>
      <c r="AN80" s="108">
        <f>(AZ80-Driver!$K$183)/(Driver!$L$183-Driver!$K$183)</f>
        <v/>
      </c>
      <c r="AO80" s="108" t="n"/>
      <c r="AP80" s="108" t="n"/>
      <c r="AQ80" s="108">
        <f>(BC80-Driver!$K$188)/(Driver!$L$188-Driver!$K$188)</f>
        <v/>
      </c>
      <c r="AR80" s="108">
        <f>MIN((BD80-Driver!$K$189)/(Driver!$L$189-Driver!$K$189),100%)</f>
        <v/>
      </c>
      <c r="AS80" s="108">
        <f>(BE80-Driver!$K$190)/(Driver!$L$190-Driver!$K$190)</f>
        <v/>
      </c>
      <c r="AT80" s="108">
        <f>(BF80-Driver!$K$191)/(Driver!$L$191-Driver!$K$191)</f>
        <v/>
      </c>
      <c r="AU80" s="108">
        <f>(BG80-Driver!$K$192)/(Driver!$L$192-Driver!$K$192)</f>
        <v/>
      </c>
      <c r="AV80" s="105">
        <f>IFERROR(BM80*BJ80^1/4,"")</f>
        <v/>
      </c>
      <c r="AW80" s="105">
        <f>IFERROR(SUM(AX80:AZ80),"")</f>
        <v/>
      </c>
      <c r="AX80" s="105">
        <f>IFERROR(BH80,"")</f>
        <v/>
      </c>
      <c r="AY80" s="105">
        <f>IFERROR(Driver!$K$19/Data!BH80/Data!BI80*Data!BK80*Data!BL80,"")</f>
        <v/>
      </c>
      <c r="AZ80" s="105">
        <f>IFERROR(BI80*BN80,"")</f>
        <v/>
      </c>
      <c r="BA80" s="105" t="n"/>
      <c r="BB80" s="105" t="n"/>
      <c r="BC80" s="105">
        <f>IFERROR(BI80*BN80*BK80/BJ80^(1/2),"")</f>
        <v/>
      </c>
      <c r="BD80" s="105">
        <f>IFERROR(BH80*BM80*BL80/BJ80/BK80,"")</f>
        <v/>
      </c>
      <c r="BE80" s="105">
        <f>IFERROR(MIN(BI80/BQ80/BP80/BO80/BH80,$BE$1),"")</f>
        <v/>
      </c>
      <c r="BF80" s="105">
        <f>IFERROR(BJ80*BO80*BP80/BK80,"")</f>
        <v/>
      </c>
      <c r="BG80" s="105">
        <f>IFERROR(1/BM80/BH80*BQ80,"")</f>
        <v/>
      </c>
      <c r="BH80" s="102">
        <f>MAX((CE80-Driver!$F$200)/(Driver!$G$200-Driver!$F$200)*$BI$1,1)</f>
        <v/>
      </c>
      <c r="BI80" s="102">
        <f>MAX($BI$1*(BY80-Driver!$F$201)/(Driver!$G$201-Driver!$F$201),1)</f>
        <v/>
      </c>
      <c r="BJ80" s="102">
        <f>(CB80-Driver!$F$206)/(Driver!$G$206-Driver!$F$206)*$BI$1</f>
        <v/>
      </c>
      <c r="BK80" s="102">
        <f>(CD80-Driver!$F$203)/(Driver!$G$203-Driver!$F$203)*$BI$1</f>
        <v/>
      </c>
      <c r="BL80" s="102">
        <f>MAX((CR80-Driver!$F$202)/(Driver!$G$202-Driver!$F$202)*$BI$1,1)</f>
        <v/>
      </c>
      <c r="BM80" s="102">
        <f>MAX((CH80-Driver!$F$204)/(Driver!$G$204-Driver!$F$204)*$BI$1,1)</f>
        <v/>
      </c>
      <c r="BN80" s="102">
        <f>(CI80-Driver!$F$205)/(Driver!$G$205-Driver!$F$205)*$BI$1</f>
        <v/>
      </c>
      <c r="BO80" s="102">
        <f>(CK80-Driver!$F$207)/(Driver!$G$207-Driver!$F$207)*$BI$1</f>
        <v/>
      </c>
      <c r="BP80" s="102">
        <f>(CM80-Driver!$F$208)/(Driver!$G$208-Driver!$F$208)*$BI$1</f>
        <v/>
      </c>
      <c r="BQ80" s="102">
        <f>(CL80-Driver!$F$209)/(Driver!$G$209-Driver!$F$209)*$BI$1</f>
        <v/>
      </c>
      <c r="BR80" s="40" t="inlineStr">
        <is>
          <t>21/22</t>
        </is>
      </c>
      <c r="BS80" s="10" t="inlineStr">
        <is>
          <t xml:space="preserve"> Liberty</t>
        </is>
      </c>
      <c r="BT80" s="11" t="inlineStr">
        <is>
          <t>Origin 96</t>
        </is>
      </c>
      <c r="BU80" s="13" t="n">
        <v>176</v>
      </c>
      <c r="BV80" s="11" t="inlineStr">
        <is>
          <t xml:space="preserve"> Unisex</t>
        </is>
      </c>
      <c r="BW80" s="13" t="n">
        <v>176</v>
      </c>
      <c r="BX80" s="13" t="n">
        <v>174.9</v>
      </c>
      <c r="BY80" s="13" t="n">
        <v>117</v>
      </c>
      <c r="BZ80" s="13" t="n">
        <v>145</v>
      </c>
      <c r="CA80" s="13" t="n">
        <v>129</v>
      </c>
      <c r="CB80" s="13" t="n">
        <v>96</v>
      </c>
      <c r="CC80" s="13" t="n">
        <v>117</v>
      </c>
      <c r="CD80" s="13" t="n">
        <v>17.3</v>
      </c>
      <c r="CE80" s="13" t="n">
        <v>1772</v>
      </c>
      <c r="CF80" s="13" t="n">
        <v>1.05</v>
      </c>
      <c r="CG80" s="13" t="n">
        <v>1865</v>
      </c>
      <c r="CH80" s="13" t="n">
        <v>213</v>
      </c>
      <c r="CI80" s="13" t="n">
        <v>98</v>
      </c>
      <c r="CJ80" s="13" t="n">
        <v>47</v>
      </c>
      <c r="CK80" s="13" t="n">
        <v>307</v>
      </c>
      <c r="CL80" s="13" t="n">
        <v>30</v>
      </c>
      <c r="CM80" s="13" t="n">
        <v>272</v>
      </c>
      <c r="CN80" s="13" t="n">
        <v>0.645</v>
      </c>
      <c r="CO80" s="13" t="n">
        <v>136</v>
      </c>
      <c r="CP80" s="13" t="n">
        <v>168</v>
      </c>
      <c r="CQ80" s="13" t="n">
        <v>171</v>
      </c>
      <c r="CR80" s="13" t="n">
        <v>4</v>
      </c>
      <c r="CS80" s="13" t="n">
        <v>7.9</v>
      </c>
      <c r="CT80" s="11" t="inlineStr">
        <is>
          <t xml:space="preserve"> Resort Freeride</t>
        </is>
      </c>
      <c r="CU80" s="11" t="inlineStr">
        <is>
          <t xml:space="preserve"> Touring</t>
        </is>
      </c>
      <c r="CV80" s="13" t="n"/>
      <c r="CW80" s="13" t="n"/>
      <c r="CX80">
        <f>INDEX('Data_Price '!AG$2:AG$1266,MATCH(Data!$DN80,'Data_Price '!$AT$2:$AT$1266,0))</f>
        <v/>
      </c>
      <c r="CY80">
        <f>INDEX('Data_Price '!AH$2:AH$1266,MATCH(Data!$DN80,'Data_Price '!$AT$2:$AT$1266,0))</f>
        <v/>
      </c>
      <c r="CZ80">
        <f>INDEX('Data_Price '!AI$2:AI$1266,MATCH(Data!$DN80,'Data_Price '!$AT$2:$AT$1266,0))</f>
        <v/>
      </c>
      <c r="DA80">
        <f>INDEX('Data_Price '!AJ$2:AJ$1266,MATCH(Data!$DN80,'Data_Price '!$AT$2:$AT$1266,0))</f>
        <v/>
      </c>
      <c r="DB80">
        <f>INDEX('Data_Price '!AK$2:AK$1266,MATCH(Data!$DN80,'Data_Price '!$AT$2:$AT$1266,0))</f>
        <v/>
      </c>
      <c r="DC80">
        <f>INDEX('Data_Price '!AL$2:AL$1266,MATCH(Data!$DN80,'Data_Price '!$AT$2:$AT$1266,0))</f>
        <v/>
      </c>
      <c r="DD80">
        <f>INDEX('Data_Price '!AM$2:AM$1266,MATCH(Data!$DN80,'Data_Price '!$AT$2:$AT$1266,0))</f>
        <v/>
      </c>
      <c r="DE80">
        <f>INDEX('Data_Price '!AN$2:AN$1266,MATCH(Data!$DN80,'Data_Price '!$AT$2:$AT$1266,0))</f>
        <v/>
      </c>
      <c r="DF80">
        <f>INDEX('Data_Price '!AO$2:AO$1266,MATCH(Data!$DN80,'Data_Price '!$AT$2:$AT$1266,0))</f>
        <v/>
      </c>
      <c r="DG80">
        <f>INDEX('Data_Price '!AP$2:AP$1266,MATCH(Data!$DN80,'Data_Price '!$AT$2:$AT$1266,0))</f>
        <v/>
      </c>
      <c r="DH80">
        <f>INDEX('Data_Price '!AQ$2:AQ$1266,MATCH(Data!$DN80,'Data_Price '!$AT$2:$AT$1266,0))</f>
        <v/>
      </c>
      <c r="DI80">
        <f>INDEX('Data_Price '!AR$2:AR$1266,MATCH(Data!$DN80,'Data_Price '!$AT$2:$AT$1266,0))</f>
        <v/>
      </c>
      <c r="DJ80" s="138">
        <f>DA80</f>
        <v/>
      </c>
      <c r="DK80" s="138">
        <f>DE80</f>
        <v/>
      </c>
      <c r="DL80" s="138">
        <f>DI80</f>
        <v/>
      </c>
      <c r="DM80" s="303">
        <f>IF(LEFT(BT80,1)=" ",RIGHT(BT80,LEN(BT80)-1),BT80)</f>
        <v/>
      </c>
      <c r="DN80" s="138">
        <f>_xlfn.CONCAT(BS80,DM80,BU80,BV80)</f>
        <v/>
      </c>
      <c r="DO80" s="307" t="inlineStr">
        <is>
          <t>https://images.evo.com/imgp/250/208524/851432/clone.jpg</t>
        </is>
      </c>
    </row>
    <row r="81" ht="15.6" customHeight="1" s="184">
      <c r="B81" s="303">
        <f t="array" ref="B81">IF(OR(ISERROR(K81:P81)),FALSE,TRUE)</f>
        <v/>
      </c>
      <c r="C81" s="60">
        <f>OR(BR81=Driver!$G$50,Data!BR337=Driver!$H$50)</f>
        <v/>
      </c>
      <c r="D81" s="60">
        <f>OR(BV81=Driver!$G$51,BV81=Driver!$H$51)</f>
        <v/>
      </c>
      <c r="E81" s="60">
        <f>AND(BX81&gt;Driver!$F$54,BX81&lt;Driver!$G$54)</f>
        <v/>
      </c>
      <c r="F81" s="60">
        <f>CL81&gt;Driver!$F$56</f>
        <v/>
      </c>
      <c r="G81" s="60">
        <f>AND(CB81&gt;Driver!$F$55,CB81&lt;Driver!$G$55)</f>
        <v/>
      </c>
      <c r="H81" s="60">
        <f>AND(B81:G81)</f>
        <v/>
      </c>
      <c r="I81" s="60">
        <f>COUNTIFS($H$9:$H$1273,TRUE,$BT$9:$BT$1273,BT81)</f>
        <v/>
      </c>
      <c r="J81" s="60">
        <f t="array" ref="J81">NOT(OR(($H$9:$H$1273=TRUE)*($I$9:$I$1273&gt;0)*($BT$9:$BT$1273=BT81)*($K$9:$K$1273&gt;K81)))</f>
        <v/>
      </c>
      <c r="K81" s="108">
        <f>IFERROR(1-AVERAGE(X81:Y81),"")</f>
        <v/>
      </c>
      <c r="L81" s="108">
        <f>1-X81</f>
        <v/>
      </c>
      <c r="M81" s="108">
        <f>1-Y81</f>
        <v/>
      </c>
      <c r="N81" s="108">
        <f>1-Z81</f>
        <v/>
      </c>
      <c r="O81" s="108">
        <f>1-AA81</f>
        <v/>
      </c>
      <c r="P81" s="108">
        <f>1-AB81</f>
        <v/>
      </c>
      <c r="Q81" s="108" t="n"/>
      <c r="R81" s="108" t="n"/>
      <c r="S81" s="108">
        <f>1-AE81</f>
        <v/>
      </c>
      <c r="T81" s="108">
        <f>1-AF81</f>
        <v/>
      </c>
      <c r="U81" s="108">
        <f>1-AG81</f>
        <v/>
      </c>
      <c r="V81" s="108">
        <f>1-AH81</f>
        <v/>
      </c>
      <c r="W81" s="108">
        <f>1-AI81</f>
        <v/>
      </c>
      <c r="X81" s="108">
        <f>ABS(AJ81-AJ$1)</f>
        <v/>
      </c>
      <c r="Y81" s="108">
        <f>AVERAGE(Z81:AB81)</f>
        <v/>
      </c>
      <c r="Z81" s="108">
        <f>ABS(AL81-AL$1)</f>
        <v/>
      </c>
      <c r="AA81" s="108">
        <f>ABS(AM81-AM$1)</f>
        <v/>
      </c>
      <c r="AB81" s="108">
        <f>ABS(AN81-AN$1)</f>
        <v/>
      </c>
      <c r="AC81" s="108" t="n"/>
      <c r="AD81" s="108" t="n"/>
      <c r="AE81" s="108">
        <f>ABS(AQ$1-AQ81)</f>
        <v/>
      </c>
      <c r="AF81" s="108">
        <f>ABS(AR$1-AR81)</f>
        <v/>
      </c>
      <c r="AG81" s="108">
        <f>ABS(AS$1-AS81)</f>
        <v/>
      </c>
      <c r="AH81" s="108">
        <f>ABS(AT$1-AT81)</f>
        <v/>
      </c>
      <c r="AI81" s="108">
        <f>ABS(AU$1-AU81)</f>
        <v/>
      </c>
      <c r="AJ81" s="108">
        <f>(AV81-Driver!$K$179)/(Driver!$L$179-Driver!$K$179)</f>
        <v/>
      </c>
      <c r="AK81" s="108">
        <f>(AW81-Driver!$K$180)/(Driver!$L$180-Driver!$K$180)</f>
        <v/>
      </c>
      <c r="AL81" s="108">
        <f>(AX81-Driver!$K$181)/(Driver!$L$181-Driver!$K$181)</f>
        <v/>
      </c>
      <c r="AM81" s="108">
        <f>(AY81-Driver!$K$182)/(Driver!$L$182-Driver!$K$182)</f>
        <v/>
      </c>
      <c r="AN81" s="108">
        <f>(AZ81-Driver!$K$183)/(Driver!$L$183-Driver!$K$183)</f>
        <v/>
      </c>
      <c r="AO81" s="108" t="n"/>
      <c r="AP81" s="108" t="n"/>
      <c r="AQ81" s="108">
        <f>(BC81-Driver!$K$188)/(Driver!$L$188-Driver!$K$188)</f>
        <v/>
      </c>
      <c r="AR81" s="108">
        <f>MIN((BD81-Driver!$K$189)/(Driver!$L$189-Driver!$K$189),100%)</f>
        <v/>
      </c>
      <c r="AS81" s="108">
        <f>(BE81-Driver!$K$190)/(Driver!$L$190-Driver!$K$190)</f>
        <v/>
      </c>
      <c r="AT81" s="108">
        <f>(BF81-Driver!$K$191)/(Driver!$L$191-Driver!$K$191)</f>
        <v/>
      </c>
      <c r="AU81" s="108">
        <f>(BG81-Driver!$K$192)/(Driver!$L$192-Driver!$K$192)</f>
        <v/>
      </c>
      <c r="AV81" s="105">
        <f>IFERROR(BM81*BJ81^1/4,"")</f>
        <v/>
      </c>
      <c r="AW81" s="105">
        <f>IFERROR(SUM(AX81:AZ81),"")</f>
        <v/>
      </c>
      <c r="AX81" s="105">
        <f>IFERROR(BH81,"")</f>
        <v/>
      </c>
      <c r="AY81" s="105">
        <f>IFERROR(Driver!$K$19/Data!BH81/Data!BI81*Data!BK81*Data!BL81,"")</f>
        <v/>
      </c>
      <c r="AZ81" s="105">
        <f>IFERROR(BI81*BN81,"")</f>
        <v/>
      </c>
      <c r="BA81" s="105" t="n"/>
      <c r="BB81" s="105" t="n"/>
      <c r="BC81" s="105">
        <f>IFERROR(BI81*BN81*BK81/BJ81^(1/2),"")</f>
        <v/>
      </c>
      <c r="BD81" s="105">
        <f>IFERROR(BH81*BM81*BL81/BJ81/BK81,"")</f>
        <v/>
      </c>
      <c r="BE81" s="105">
        <f>IFERROR(MIN(BI81/BQ81/BP81/BO81/BH81,$BE$1),"")</f>
        <v/>
      </c>
      <c r="BF81" s="105">
        <f>IFERROR(BJ81*BO81*BP81/BK81,"")</f>
        <v/>
      </c>
      <c r="BG81" s="105">
        <f>IFERROR(1/BM81/BH81*BQ81,"")</f>
        <v/>
      </c>
      <c r="BH81" s="102">
        <f>MAX((CE81-Driver!$F$200)/(Driver!$G$200-Driver!$F$200)*$BI$1,1)</f>
        <v/>
      </c>
      <c r="BI81" s="102">
        <f>MAX($BI$1*(BY81-Driver!$F$201)/(Driver!$G$201-Driver!$F$201),1)</f>
        <v/>
      </c>
      <c r="BJ81" s="102">
        <f>(CB81-Driver!$F$206)/(Driver!$G$206-Driver!$F$206)*$BI$1</f>
        <v/>
      </c>
      <c r="BK81" s="102">
        <f>(CD81-Driver!$F$203)/(Driver!$G$203-Driver!$F$203)*$BI$1</f>
        <v/>
      </c>
      <c r="BL81" s="102">
        <f>MAX((CR81-Driver!$F$202)/(Driver!$G$202-Driver!$F$202)*$BI$1,1)</f>
        <v/>
      </c>
      <c r="BM81" s="102">
        <f>MAX((CH81-Driver!$F$204)/(Driver!$G$204-Driver!$F$204)*$BI$1,1)</f>
        <v/>
      </c>
      <c r="BN81" s="102">
        <f>(CI81-Driver!$F$205)/(Driver!$G$205-Driver!$F$205)*$BI$1</f>
        <v/>
      </c>
      <c r="BO81" s="102">
        <f>(CK81-Driver!$F$207)/(Driver!$G$207-Driver!$F$207)*$BI$1</f>
        <v/>
      </c>
      <c r="BP81" s="102">
        <f>(CM81-Driver!$F$208)/(Driver!$G$208-Driver!$F$208)*$BI$1</f>
        <v/>
      </c>
      <c r="BQ81" s="102">
        <f>(CL81-Driver!$F$209)/(Driver!$G$209-Driver!$F$209)*$BI$1</f>
        <v/>
      </c>
      <c r="BR81" s="40" t="inlineStr">
        <is>
          <t>21/22</t>
        </is>
      </c>
      <c r="BS81" s="10" t="inlineStr">
        <is>
          <t xml:space="preserve"> DPS</t>
        </is>
      </c>
      <c r="BT81" s="11" t="inlineStr">
        <is>
          <t>Pagoda 106 C2</t>
        </is>
      </c>
      <c r="BU81" s="13" t="n">
        <v>155</v>
      </c>
      <c r="BV81" s="11" t="inlineStr">
        <is>
          <t xml:space="preserve"> Unisex</t>
        </is>
      </c>
      <c r="BW81" s="13" t="n">
        <v>155</v>
      </c>
      <c r="BX81" s="13" t="n">
        <v>154</v>
      </c>
      <c r="BY81" s="13" t="n">
        <v>107</v>
      </c>
      <c r="BZ81" s="13" t="n">
        <v>119</v>
      </c>
      <c r="CA81" s="13" t="n">
        <v>129</v>
      </c>
      <c r="CB81" s="13" t="n">
        <v>106</v>
      </c>
      <c r="CC81" s="13" t="n">
        <v>116</v>
      </c>
      <c r="CD81" s="13" t="n">
        <v>19.3</v>
      </c>
      <c r="CE81" s="13" t="n">
        <v>1590</v>
      </c>
      <c r="CF81" s="13" t="n">
        <v>1.09</v>
      </c>
      <c r="CG81" s="13" t="n">
        <v>1730</v>
      </c>
      <c r="CH81" s="13" t="n">
        <v>187</v>
      </c>
      <c r="CI81" s="13" t="n">
        <v>95</v>
      </c>
      <c r="CJ81" s="13" t="n">
        <v>39</v>
      </c>
      <c r="CK81" s="13" t="n">
        <v>261</v>
      </c>
      <c r="CL81" s="13" t="n">
        <v>19</v>
      </c>
      <c r="CM81" s="13" t="n">
        <v>204</v>
      </c>
      <c r="CN81" s="13" t="n">
        <v>0.49</v>
      </c>
      <c r="CO81" s="13" t="n">
        <v>188</v>
      </c>
      <c r="CP81" s="13" t="n">
        <v>165</v>
      </c>
      <c r="CQ81" s="13" t="n">
        <v>73</v>
      </c>
      <c r="CR81" s="13" t="n">
        <v>5</v>
      </c>
      <c r="CS81" s="13" t="n">
        <v>11.5</v>
      </c>
      <c r="CT81" s="11" t="inlineStr">
        <is>
          <t xml:space="preserve"> Powder</t>
        </is>
      </c>
      <c r="CU81" s="11" t="inlineStr">
        <is>
          <t xml:space="preserve"> Touring</t>
        </is>
      </c>
      <c r="CV81" s="13" t="n"/>
      <c r="CW81" s="13" t="n"/>
      <c r="CX81">
        <f>INDEX('Data_Price '!AG$2:AG$1266,MATCH(Data!$DN81,'Data_Price '!$AT$2:$AT$1266,0))</f>
        <v/>
      </c>
      <c r="CY81">
        <f>INDEX('Data_Price '!AH$2:AH$1266,MATCH(Data!$DN81,'Data_Price '!$AT$2:$AT$1266,0))</f>
        <v/>
      </c>
      <c r="CZ81">
        <f>INDEX('Data_Price '!AI$2:AI$1266,MATCH(Data!$DN81,'Data_Price '!$AT$2:$AT$1266,0))</f>
        <v/>
      </c>
      <c r="DA81">
        <f>INDEX('Data_Price '!AJ$2:AJ$1266,MATCH(Data!$DN81,'Data_Price '!$AT$2:$AT$1266,0))</f>
        <v/>
      </c>
      <c r="DB81">
        <f>INDEX('Data_Price '!AK$2:AK$1266,MATCH(Data!$DN81,'Data_Price '!$AT$2:$AT$1266,0))</f>
        <v/>
      </c>
      <c r="DC81">
        <f>INDEX('Data_Price '!AL$2:AL$1266,MATCH(Data!$DN81,'Data_Price '!$AT$2:$AT$1266,0))</f>
        <v/>
      </c>
      <c r="DD81">
        <f>INDEX('Data_Price '!AM$2:AM$1266,MATCH(Data!$DN81,'Data_Price '!$AT$2:$AT$1266,0))</f>
        <v/>
      </c>
      <c r="DE81">
        <f>INDEX('Data_Price '!AN$2:AN$1266,MATCH(Data!$DN81,'Data_Price '!$AT$2:$AT$1266,0))</f>
        <v/>
      </c>
      <c r="DF81">
        <f>INDEX('Data_Price '!AO$2:AO$1266,MATCH(Data!$DN81,'Data_Price '!$AT$2:$AT$1266,0))</f>
        <v/>
      </c>
      <c r="DG81">
        <f>INDEX('Data_Price '!AP$2:AP$1266,MATCH(Data!$DN81,'Data_Price '!$AT$2:$AT$1266,0))</f>
        <v/>
      </c>
      <c r="DH81">
        <f>INDEX('Data_Price '!AQ$2:AQ$1266,MATCH(Data!$DN81,'Data_Price '!$AT$2:$AT$1266,0))</f>
        <v/>
      </c>
      <c r="DI81">
        <f>INDEX('Data_Price '!AR$2:AR$1266,MATCH(Data!$DN81,'Data_Price '!$AT$2:$AT$1266,0))</f>
        <v/>
      </c>
      <c r="DJ81" s="138">
        <f>DA81</f>
        <v/>
      </c>
      <c r="DK81" s="138">
        <f>DE81</f>
        <v/>
      </c>
      <c r="DL81" s="138">
        <f>DI81</f>
        <v/>
      </c>
      <c r="DM81" s="303">
        <f>IF(LEFT(BT81,1)=" ",RIGHT(BT81,LEN(BT81)-1),BT81)</f>
        <v/>
      </c>
      <c r="DN81" s="138">
        <f>_xlfn.CONCAT(BS81,DM81,BU81,BV81)</f>
        <v/>
      </c>
      <c r="DO81" s="307" t="inlineStr">
        <is>
          <t>https://images.evo.com/imgp/250/209064/857445/dps-pagoda-106-c2-skis-2023-.jpg</t>
        </is>
      </c>
    </row>
    <row r="82" ht="15.6" customHeight="1" s="184">
      <c r="B82" s="303">
        <f t="array" ref="B82">IF(OR(ISERROR(K82:P82)),FALSE,TRUE)</f>
        <v/>
      </c>
      <c r="C82" s="60">
        <f>OR(BR82=Driver!$G$50,Data!BR1071=Driver!$H$50)</f>
        <v/>
      </c>
      <c r="D82" s="60">
        <f>OR(BV82=Driver!$G$51,BV82=Driver!$H$51)</f>
        <v/>
      </c>
      <c r="E82" s="60">
        <f>AND(BX82&gt;Driver!$F$54,BX82&lt;Driver!$G$54)</f>
        <v/>
      </c>
      <c r="F82" s="60">
        <f>CL82&gt;Driver!$F$56</f>
        <v/>
      </c>
      <c r="G82" s="60">
        <f>AND(CB82&gt;Driver!$F$55,CB82&lt;Driver!$G$55)</f>
        <v/>
      </c>
      <c r="H82" s="60">
        <f>AND(B82:G82)</f>
        <v/>
      </c>
      <c r="I82" s="60">
        <f>COUNTIFS($H$9:$H$1273,TRUE,$BT$9:$BT$1273,BT82)</f>
        <v/>
      </c>
      <c r="J82" s="60">
        <f t="array" ref="J82">NOT(OR(($H$9:$H$1273=TRUE)*($I$9:$I$1273&gt;0)*($BT$9:$BT$1273=BT82)*($K$9:$K$1273&gt;K82)))</f>
        <v/>
      </c>
      <c r="K82" s="108">
        <f>IFERROR(1-AVERAGE(X82:Y82),"")</f>
        <v/>
      </c>
      <c r="L82" s="108">
        <f>1-X82</f>
        <v/>
      </c>
      <c r="M82" s="108">
        <f>1-Y82</f>
        <v/>
      </c>
      <c r="N82" s="108">
        <f>1-Z82</f>
        <v/>
      </c>
      <c r="O82" s="108">
        <f>1-AA82</f>
        <v/>
      </c>
      <c r="P82" s="108">
        <f>1-AB82</f>
        <v/>
      </c>
      <c r="Q82" s="108" t="n"/>
      <c r="R82" s="108" t="n"/>
      <c r="S82" s="108">
        <f>1-AE82</f>
        <v/>
      </c>
      <c r="T82" s="108">
        <f>1-AF82</f>
        <v/>
      </c>
      <c r="U82" s="108">
        <f>1-AG82</f>
        <v/>
      </c>
      <c r="V82" s="108">
        <f>1-AH82</f>
        <v/>
      </c>
      <c r="W82" s="108">
        <f>1-AI82</f>
        <v/>
      </c>
      <c r="X82" s="108">
        <f>ABS(AJ82-AJ$1)</f>
        <v/>
      </c>
      <c r="Y82" s="108">
        <f>AVERAGE(Z82:AB82)</f>
        <v/>
      </c>
      <c r="Z82" s="108">
        <f>ABS(AL82-AL$1)</f>
        <v/>
      </c>
      <c r="AA82" s="108">
        <f>ABS(AM82-AM$1)</f>
        <v/>
      </c>
      <c r="AB82" s="108">
        <f>ABS(AN82-AN$1)</f>
        <v/>
      </c>
      <c r="AC82" s="108" t="n"/>
      <c r="AD82" s="108" t="n"/>
      <c r="AE82" s="108">
        <f>ABS(AQ$1-AQ82)</f>
        <v/>
      </c>
      <c r="AF82" s="108">
        <f>ABS(AR$1-AR82)</f>
        <v/>
      </c>
      <c r="AG82" s="108">
        <f>ABS(AS$1-AS82)</f>
        <v/>
      </c>
      <c r="AH82" s="108">
        <f>ABS(AT$1-AT82)</f>
        <v/>
      </c>
      <c r="AI82" s="108">
        <f>ABS(AU$1-AU82)</f>
        <v/>
      </c>
      <c r="AJ82" s="108">
        <f>(AV82-Driver!$K$179)/(Driver!$L$179-Driver!$K$179)</f>
        <v/>
      </c>
      <c r="AK82" s="108">
        <f>(AW82-Driver!$K$180)/(Driver!$L$180-Driver!$K$180)</f>
        <v/>
      </c>
      <c r="AL82" s="108">
        <f>(AX82-Driver!$K$181)/(Driver!$L$181-Driver!$K$181)</f>
        <v/>
      </c>
      <c r="AM82" s="108">
        <f>(AY82-Driver!$K$182)/(Driver!$L$182-Driver!$K$182)</f>
        <v/>
      </c>
      <c r="AN82" s="108">
        <f>(AZ82-Driver!$K$183)/(Driver!$L$183-Driver!$K$183)</f>
        <v/>
      </c>
      <c r="AO82" s="108" t="n"/>
      <c r="AP82" s="108" t="n"/>
      <c r="AQ82" s="108">
        <f>(BC82-Driver!$K$188)/(Driver!$L$188-Driver!$K$188)</f>
        <v/>
      </c>
      <c r="AR82" s="108">
        <f>MIN((BD82-Driver!$K$189)/(Driver!$L$189-Driver!$K$189),100%)</f>
        <v/>
      </c>
      <c r="AS82" s="108">
        <f>(BE82-Driver!$K$190)/(Driver!$L$190-Driver!$K$190)</f>
        <v/>
      </c>
      <c r="AT82" s="108">
        <f>(BF82-Driver!$K$191)/(Driver!$L$191-Driver!$K$191)</f>
        <v/>
      </c>
      <c r="AU82" s="108">
        <f>(BG82-Driver!$K$192)/(Driver!$L$192-Driver!$K$192)</f>
        <v/>
      </c>
      <c r="AV82" s="105">
        <f>IFERROR(BM82*BJ82^1/4,"")</f>
        <v/>
      </c>
      <c r="AW82" s="105">
        <f>IFERROR(SUM(AX82:AZ82),"")</f>
        <v/>
      </c>
      <c r="AX82" s="105">
        <f>IFERROR(BH82,"")</f>
        <v/>
      </c>
      <c r="AY82" s="105">
        <f>IFERROR(Driver!$K$19/Data!BH82/Data!BI82*Data!BK82*Data!BL82,"")</f>
        <v/>
      </c>
      <c r="AZ82" s="105">
        <f>IFERROR(BI82*BN82,"")</f>
        <v/>
      </c>
      <c r="BA82" s="105" t="n"/>
      <c r="BB82" s="105" t="n"/>
      <c r="BC82" s="105">
        <f>IFERROR(BI82*BN82*BK82/BJ82^(1/2),"")</f>
        <v/>
      </c>
      <c r="BD82" s="105">
        <f>IFERROR(BH82*BM82*BL82/BJ82/BK82,"")</f>
        <v/>
      </c>
      <c r="BE82" s="105">
        <f>IFERROR(MIN(BI82/BQ82/BP82/BO82/BH82,$BE$1),"")</f>
        <v/>
      </c>
      <c r="BF82" s="105">
        <f>IFERROR(BJ82*BO82*BP82/BK82,"")</f>
        <v/>
      </c>
      <c r="BG82" s="105">
        <f>IFERROR(1/BM82/BH82*BQ82,"")</f>
        <v/>
      </c>
      <c r="BH82" s="102">
        <f>MAX((CE82-Driver!$F$200)/(Driver!$G$200-Driver!$F$200)*$BI$1,1)</f>
        <v/>
      </c>
      <c r="BI82" s="102">
        <f>MAX($BI$1*(BY82-Driver!$F$201)/(Driver!$G$201-Driver!$F$201),1)</f>
        <v/>
      </c>
      <c r="BJ82" s="102">
        <f>(CB82-Driver!$F$206)/(Driver!$G$206-Driver!$F$206)*$BI$1</f>
        <v/>
      </c>
      <c r="BK82" s="102">
        <f>(CD82-Driver!$F$203)/(Driver!$G$203-Driver!$F$203)*$BI$1</f>
        <v/>
      </c>
      <c r="BL82" s="102">
        <f>MAX((CR82-Driver!$F$202)/(Driver!$G$202-Driver!$F$202)*$BI$1,1)</f>
        <v/>
      </c>
      <c r="BM82" s="102">
        <f>MAX((CH82-Driver!$F$204)/(Driver!$G$204-Driver!$F$204)*$BI$1,1)</f>
        <v/>
      </c>
      <c r="BN82" s="102">
        <f>(CI82-Driver!$F$205)/(Driver!$G$205-Driver!$F$205)*$BI$1</f>
        <v/>
      </c>
      <c r="BO82" s="102">
        <f>(CK82-Driver!$F$207)/(Driver!$G$207-Driver!$F$207)*$BI$1</f>
        <v/>
      </c>
      <c r="BP82" s="102">
        <f>(CM82-Driver!$F$208)/(Driver!$G$208-Driver!$F$208)*$BI$1</f>
        <v/>
      </c>
      <c r="BQ82" s="102">
        <f>(CL82-Driver!$F$209)/(Driver!$G$209-Driver!$F$209)*$BI$1</f>
        <v/>
      </c>
      <c r="BR82" s="40" t="inlineStr">
        <is>
          <t>21/22</t>
        </is>
      </c>
      <c r="BS82" s="10" t="inlineStr">
        <is>
          <t xml:space="preserve"> Salomon</t>
        </is>
      </c>
      <c r="BT82" s="11" t="inlineStr">
        <is>
          <t>QST 92</t>
        </is>
      </c>
      <c r="BU82" s="13" t="n">
        <v>169</v>
      </c>
      <c r="BV82" s="11" t="inlineStr">
        <is>
          <t xml:space="preserve"> Unisex</t>
        </is>
      </c>
      <c r="BW82" s="13" t="n">
        <v>169</v>
      </c>
      <c r="BX82" s="13" t="n">
        <v>168.2</v>
      </c>
      <c r="BY82" s="13" t="n">
        <v>130</v>
      </c>
      <c r="BZ82" s="13" t="n">
        <v>140</v>
      </c>
      <c r="CA82" s="13" t="n">
        <v>129</v>
      </c>
      <c r="CB82" s="13" t="n">
        <v>91</v>
      </c>
      <c r="CC82" s="13" t="n">
        <v>112</v>
      </c>
      <c r="CD82" s="13" t="n">
        <v>15.4</v>
      </c>
      <c r="CE82" s="13" t="n">
        <v>1763</v>
      </c>
      <c r="CF82" s="13" t="n">
        <v>0.99</v>
      </c>
      <c r="CG82" s="13" t="n">
        <v>1750</v>
      </c>
      <c r="CH82" s="13" t="n">
        <v>190</v>
      </c>
      <c r="CI82" s="13" t="n">
        <v>91</v>
      </c>
      <c r="CJ82" s="13" t="n">
        <v>48</v>
      </c>
      <c r="CK82" s="13" t="n">
        <v>257</v>
      </c>
      <c r="CL82" s="13" t="n">
        <v>11</v>
      </c>
      <c r="CM82" s="13" t="n">
        <v>129</v>
      </c>
      <c r="CN82" s="13" t="n">
        <v>0.226</v>
      </c>
      <c r="CO82" s="13" t="n">
        <v>157</v>
      </c>
      <c r="CP82" s="13" t="n">
        <v>127</v>
      </c>
      <c r="CQ82" s="13" t="n">
        <v>99</v>
      </c>
      <c r="CR82" s="13" t="n">
        <v>10</v>
      </c>
      <c r="CS82" s="13" t="n">
        <v>9.800000000000001</v>
      </c>
      <c r="CT82" s="11" t="inlineStr">
        <is>
          <t xml:space="preserve"> Resort Freeride</t>
        </is>
      </c>
      <c r="CU82" s="13" t="n"/>
      <c r="CV82" s="13" t="n"/>
      <c r="CW82" s="13" t="n"/>
      <c r="CX82">
        <f>INDEX('Data_Price '!AG$2:AG$1266,MATCH(Data!$DN82,'Data_Price '!$AT$2:$AT$1266,0))</f>
        <v/>
      </c>
      <c r="CY82">
        <f>INDEX('Data_Price '!AH$2:AH$1266,MATCH(Data!$DN82,'Data_Price '!$AT$2:$AT$1266,0))</f>
        <v/>
      </c>
      <c r="CZ82">
        <f>INDEX('Data_Price '!AI$2:AI$1266,MATCH(Data!$DN82,'Data_Price '!$AT$2:$AT$1266,0))</f>
        <v/>
      </c>
      <c r="DA82">
        <f>INDEX('Data_Price '!AJ$2:AJ$1266,MATCH(Data!$DN82,'Data_Price '!$AT$2:$AT$1266,0))</f>
        <v/>
      </c>
      <c r="DB82">
        <f>INDEX('Data_Price '!AK$2:AK$1266,MATCH(Data!$DN82,'Data_Price '!$AT$2:$AT$1266,0))</f>
        <v/>
      </c>
      <c r="DC82">
        <f>INDEX('Data_Price '!AL$2:AL$1266,MATCH(Data!$DN82,'Data_Price '!$AT$2:$AT$1266,0))</f>
        <v/>
      </c>
      <c r="DD82">
        <f>INDEX('Data_Price '!AM$2:AM$1266,MATCH(Data!$DN82,'Data_Price '!$AT$2:$AT$1266,0))</f>
        <v/>
      </c>
      <c r="DE82">
        <f>INDEX('Data_Price '!AN$2:AN$1266,MATCH(Data!$DN82,'Data_Price '!$AT$2:$AT$1266,0))</f>
        <v/>
      </c>
      <c r="DF82">
        <f>INDEX('Data_Price '!AO$2:AO$1266,MATCH(Data!$DN82,'Data_Price '!$AT$2:$AT$1266,0))</f>
        <v/>
      </c>
      <c r="DG82">
        <f>INDEX('Data_Price '!AP$2:AP$1266,MATCH(Data!$DN82,'Data_Price '!$AT$2:$AT$1266,0))</f>
        <v/>
      </c>
      <c r="DH82">
        <f>INDEX('Data_Price '!AQ$2:AQ$1266,MATCH(Data!$DN82,'Data_Price '!$AT$2:$AT$1266,0))</f>
        <v/>
      </c>
      <c r="DI82">
        <f>INDEX('Data_Price '!AR$2:AR$1266,MATCH(Data!$DN82,'Data_Price '!$AT$2:$AT$1266,0))</f>
        <v/>
      </c>
      <c r="DJ82" s="138">
        <f>DA82</f>
        <v/>
      </c>
      <c r="DK82" s="138">
        <f>DE82</f>
        <v/>
      </c>
      <c r="DL82" s="138">
        <f>DI82</f>
        <v/>
      </c>
      <c r="DM82" s="303">
        <f>IF(LEFT(BT82,1)=" ",RIGHT(BT82,LEN(BT82)-1),BT82)</f>
        <v/>
      </c>
      <c r="DN82" s="138">
        <f>_xlfn.CONCAT(BS82,DM82,BU82,BV82)</f>
        <v/>
      </c>
      <c r="DO82" s="307" t="inlineStr">
        <is>
          <t>https://images.evo.com/imgp/250/197274/812050/salomon-qst-92-skis-2022-.jpg</t>
        </is>
      </c>
    </row>
    <row r="83" ht="15.6" customHeight="1" s="184">
      <c r="B83" s="303">
        <f t="array" ref="B83">IF(OR(ISERROR(K83:P83)),FALSE,TRUE)</f>
        <v/>
      </c>
      <c r="C83" s="60">
        <f>OR(BR83=Driver!$G$50,Data!BR959=Driver!$H$50)</f>
        <v/>
      </c>
      <c r="D83" s="60">
        <f>OR(BV83=Driver!$G$51,BV83=Driver!$H$51)</f>
        <v/>
      </c>
      <c r="E83" s="60">
        <f>AND(BX83&gt;Driver!$F$54,BX83&lt;Driver!$G$54)</f>
        <v/>
      </c>
      <c r="F83" s="60">
        <f>CL83&gt;Driver!$F$56</f>
        <v/>
      </c>
      <c r="G83" s="60">
        <f>AND(CB83&gt;Driver!$F$55,CB83&lt;Driver!$G$55)</f>
        <v/>
      </c>
      <c r="H83" s="60">
        <f>AND(B83:G83)</f>
        <v/>
      </c>
      <c r="I83" s="60">
        <f>COUNTIFS($H$9:$H$1273,TRUE,$BT$9:$BT$1273,BT83)</f>
        <v/>
      </c>
      <c r="J83" s="60">
        <f t="array" ref="J83">NOT(OR(($H$9:$H$1273=TRUE)*($I$9:$I$1273&gt;0)*($BT$9:$BT$1273=BT83)*($K$9:$K$1273&gt;K83)))</f>
        <v/>
      </c>
      <c r="K83" s="108">
        <f>IFERROR(1-AVERAGE(X83:Y83),"")</f>
        <v/>
      </c>
      <c r="L83" s="108">
        <f>1-X83</f>
        <v/>
      </c>
      <c r="M83" s="108">
        <f>1-Y83</f>
        <v/>
      </c>
      <c r="N83" s="108">
        <f>1-Z83</f>
        <v/>
      </c>
      <c r="O83" s="108">
        <f>1-AA83</f>
        <v/>
      </c>
      <c r="P83" s="108">
        <f>1-AB83</f>
        <v/>
      </c>
      <c r="Q83" s="108" t="n"/>
      <c r="R83" s="108" t="n"/>
      <c r="S83" s="108">
        <f>1-AE83</f>
        <v/>
      </c>
      <c r="T83" s="108">
        <f>1-AF83</f>
        <v/>
      </c>
      <c r="U83" s="108">
        <f>1-AG83</f>
        <v/>
      </c>
      <c r="V83" s="108">
        <f>1-AH83</f>
        <v/>
      </c>
      <c r="W83" s="108">
        <f>1-AI83</f>
        <v/>
      </c>
      <c r="X83" s="108">
        <f>ABS(AJ83-AJ$1)</f>
        <v/>
      </c>
      <c r="Y83" s="108">
        <f>AVERAGE(Z83:AB83)</f>
        <v/>
      </c>
      <c r="Z83" s="108">
        <f>ABS(AL83-AL$1)</f>
        <v/>
      </c>
      <c r="AA83" s="108">
        <f>ABS(AM83-AM$1)</f>
        <v/>
      </c>
      <c r="AB83" s="108">
        <f>ABS(AN83-AN$1)</f>
        <v/>
      </c>
      <c r="AC83" s="108" t="n"/>
      <c r="AD83" s="108" t="n"/>
      <c r="AE83" s="108">
        <f>ABS(AQ$1-AQ83)</f>
        <v/>
      </c>
      <c r="AF83" s="108">
        <f>ABS(AR$1-AR83)</f>
        <v/>
      </c>
      <c r="AG83" s="108">
        <f>ABS(AS$1-AS83)</f>
        <v/>
      </c>
      <c r="AH83" s="108">
        <f>ABS(AT$1-AT83)</f>
        <v/>
      </c>
      <c r="AI83" s="108">
        <f>ABS(AU$1-AU83)</f>
        <v/>
      </c>
      <c r="AJ83" s="108">
        <f>(AV83-Driver!$K$179)/(Driver!$L$179-Driver!$K$179)</f>
        <v/>
      </c>
      <c r="AK83" s="108">
        <f>(AW83-Driver!$K$180)/(Driver!$L$180-Driver!$K$180)</f>
        <v/>
      </c>
      <c r="AL83" s="108">
        <f>(AX83-Driver!$K$181)/(Driver!$L$181-Driver!$K$181)</f>
        <v/>
      </c>
      <c r="AM83" s="108">
        <f>(AY83-Driver!$K$182)/(Driver!$L$182-Driver!$K$182)</f>
        <v/>
      </c>
      <c r="AN83" s="108">
        <f>(AZ83-Driver!$K$183)/(Driver!$L$183-Driver!$K$183)</f>
        <v/>
      </c>
      <c r="AO83" s="108" t="n"/>
      <c r="AP83" s="108" t="n"/>
      <c r="AQ83" s="108">
        <f>(BC83-Driver!$K$188)/(Driver!$L$188-Driver!$K$188)</f>
        <v/>
      </c>
      <c r="AR83" s="108">
        <f>MIN((BD83-Driver!$K$189)/(Driver!$L$189-Driver!$K$189),100%)</f>
        <v/>
      </c>
      <c r="AS83" s="108">
        <f>(BE83-Driver!$K$190)/(Driver!$L$190-Driver!$K$190)</f>
        <v/>
      </c>
      <c r="AT83" s="108">
        <f>(BF83-Driver!$K$191)/(Driver!$L$191-Driver!$K$191)</f>
        <v/>
      </c>
      <c r="AU83" s="108">
        <f>(BG83-Driver!$K$192)/(Driver!$L$192-Driver!$K$192)</f>
        <v/>
      </c>
      <c r="AV83" s="105">
        <f>IFERROR(BM83*BJ83^1/4,"")</f>
        <v/>
      </c>
      <c r="AW83" s="105">
        <f>IFERROR(SUM(AX83:AZ83),"")</f>
        <v/>
      </c>
      <c r="AX83" s="105">
        <f>IFERROR(BH83,"")</f>
        <v/>
      </c>
      <c r="AY83" s="105">
        <f>IFERROR(Driver!$K$19/Data!BH83/Data!BI83*Data!BK83*Data!BL83,"")</f>
        <v/>
      </c>
      <c r="AZ83" s="105">
        <f>IFERROR(BI83*BN83,"")</f>
        <v/>
      </c>
      <c r="BA83" s="105" t="n"/>
      <c r="BB83" s="105" t="n"/>
      <c r="BC83" s="105">
        <f>IFERROR(BI83*BN83*BK83/BJ83^(1/2),"")</f>
        <v/>
      </c>
      <c r="BD83" s="105">
        <f>IFERROR(BH83*BM83*BL83/BJ83/BK83,"")</f>
        <v/>
      </c>
      <c r="BE83" s="105">
        <f>IFERROR(MIN(BI83/BQ83/BP83/BO83/BH83,$BE$1),"")</f>
        <v/>
      </c>
      <c r="BF83" s="105">
        <f>IFERROR(BJ83*BO83*BP83/BK83,"")</f>
        <v/>
      </c>
      <c r="BG83" s="105">
        <f>IFERROR(1/BM83/BH83*BQ83,"")</f>
        <v/>
      </c>
      <c r="BH83" s="102">
        <f>MAX((CE83-Driver!$F$200)/(Driver!$G$200-Driver!$F$200)*$BI$1,1)</f>
        <v/>
      </c>
      <c r="BI83" s="102">
        <f>MAX($BI$1*(BY83-Driver!$F$201)/(Driver!$G$201-Driver!$F$201),1)</f>
        <v/>
      </c>
      <c r="BJ83" s="102">
        <f>(CB83-Driver!$F$206)/(Driver!$G$206-Driver!$F$206)*$BI$1</f>
        <v/>
      </c>
      <c r="BK83" s="102">
        <f>(CD83-Driver!$F$203)/(Driver!$G$203-Driver!$F$203)*$BI$1</f>
        <v/>
      </c>
      <c r="BL83" s="102">
        <f>MAX((CR83-Driver!$F$202)/(Driver!$G$202-Driver!$F$202)*$BI$1,1)</f>
        <v/>
      </c>
      <c r="BM83" s="102">
        <f>MAX((CH83-Driver!$F$204)/(Driver!$G$204-Driver!$F$204)*$BI$1,1)</f>
        <v/>
      </c>
      <c r="BN83" s="102">
        <f>(CI83-Driver!$F$205)/(Driver!$G$205-Driver!$F$205)*$BI$1</f>
        <v/>
      </c>
      <c r="BO83" s="102">
        <f>(CK83-Driver!$F$207)/(Driver!$G$207-Driver!$F$207)*$BI$1</f>
        <v/>
      </c>
      <c r="BP83" s="102">
        <f>(CM83-Driver!$F$208)/(Driver!$G$208-Driver!$F$208)*$BI$1</f>
        <v/>
      </c>
      <c r="BQ83" s="102">
        <f>(CL83-Driver!$F$209)/(Driver!$G$209-Driver!$F$209)*$BI$1</f>
        <v/>
      </c>
      <c r="BR83" s="40" t="inlineStr">
        <is>
          <t>21/22</t>
        </is>
      </c>
      <c r="BS83" s="10" t="inlineStr">
        <is>
          <t xml:space="preserve"> Raccoon</t>
        </is>
      </c>
      <c r="BT83" s="11" t="inlineStr">
        <is>
          <t xml:space="preserve"> Le Grizzly</t>
        </is>
      </c>
      <c r="BU83" s="13" t="n">
        <v>188</v>
      </c>
      <c r="BV83" s="11" t="inlineStr">
        <is>
          <t xml:space="preserve"> Unisex</t>
        </is>
      </c>
      <c r="BW83" s="13" t="n">
        <v>188</v>
      </c>
      <c r="BX83" s="13" t="n">
        <v>186.4</v>
      </c>
      <c r="BY83" s="13" t="n">
        <v>129</v>
      </c>
      <c r="BZ83" s="13" t="n">
        <v>154</v>
      </c>
      <c r="CA83" s="13" t="n">
        <v>130</v>
      </c>
      <c r="CB83" s="13" t="n">
        <v>98</v>
      </c>
      <c r="CC83" s="13" t="n">
        <v>120</v>
      </c>
      <c r="CD83" s="13" t="n">
        <v>20.9</v>
      </c>
      <c r="CE83" s="13" t="n">
        <v>1803</v>
      </c>
      <c r="CF83" s="13" t="n">
        <v>1.13</v>
      </c>
      <c r="CG83" s="13" t="n">
        <v>2039</v>
      </c>
      <c r="CH83" s="13" t="n">
        <v>220</v>
      </c>
      <c r="CI83" s="13" t="n">
        <v>102</v>
      </c>
      <c r="CJ83" s="13" t="n">
        <v>66</v>
      </c>
      <c r="CK83" s="13" t="n">
        <v>365</v>
      </c>
      <c r="CL83" s="13" t="n">
        <v>26</v>
      </c>
      <c r="CM83" s="13" t="n">
        <v>211</v>
      </c>
      <c r="CN83" s="13" t="n">
        <v>0.404</v>
      </c>
      <c r="CO83" s="13" t="n">
        <v>181</v>
      </c>
      <c r="CP83" s="13" t="n">
        <v>139</v>
      </c>
      <c r="CQ83" s="13" t="n">
        <v>184</v>
      </c>
      <c r="CR83" s="13" t="n">
        <v>6</v>
      </c>
      <c r="CS83" s="13" t="n">
        <v>11.8</v>
      </c>
      <c r="CT83" s="11" t="inlineStr">
        <is>
          <t xml:space="preserve"> Resort Freeride</t>
        </is>
      </c>
      <c r="CU83" s="11" t="inlineStr">
        <is>
          <t xml:space="preserve"> Touring</t>
        </is>
      </c>
      <c r="CV83" s="13" t="n"/>
      <c r="CW83" s="13" t="n"/>
      <c r="CX83">
        <f>INDEX('Data_Price '!AG$2:AG$1266,MATCH(Data!$DN83,'Data_Price '!$AT$2:$AT$1266,0))</f>
        <v/>
      </c>
      <c r="CY83">
        <f>INDEX('Data_Price '!AH$2:AH$1266,MATCH(Data!$DN83,'Data_Price '!$AT$2:$AT$1266,0))</f>
        <v/>
      </c>
      <c r="CZ83">
        <f>INDEX('Data_Price '!AI$2:AI$1266,MATCH(Data!$DN83,'Data_Price '!$AT$2:$AT$1266,0))</f>
        <v/>
      </c>
      <c r="DA83">
        <f>INDEX('Data_Price '!AJ$2:AJ$1266,MATCH(Data!$DN83,'Data_Price '!$AT$2:$AT$1266,0))</f>
        <v/>
      </c>
      <c r="DB83">
        <f>INDEX('Data_Price '!AK$2:AK$1266,MATCH(Data!$DN83,'Data_Price '!$AT$2:$AT$1266,0))</f>
        <v/>
      </c>
      <c r="DC83">
        <f>INDEX('Data_Price '!AL$2:AL$1266,MATCH(Data!$DN83,'Data_Price '!$AT$2:$AT$1266,0))</f>
        <v/>
      </c>
      <c r="DD83">
        <f>INDEX('Data_Price '!AM$2:AM$1266,MATCH(Data!$DN83,'Data_Price '!$AT$2:$AT$1266,0))</f>
        <v/>
      </c>
      <c r="DE83">
        <f>INDEX('Data_Price '!AN$2:AN$1266,MATCH(Data!$DN83,'Data_Price '!$AT$2:$AT$1266,0))</f>
        <v/>
      </c>
      <c r="DF83">
        <f>INDEX('Data_Price '!AO$2:AO$1266,MATCH(Data!$DN83,'Data_Price '!$AT$2:$AT$1266,0))</f>
        <v/>
      </c>
      <c r="DG83">
        <f>INDEX('Data_Price '!AP$2:AP$1266,MATCH(Data!$DN83,'Data_Price '!$AT$2:$AT$1266,0))</f>
        <v/>
      </c>
      <c r="DH83">
        <f>INDEX('Data_Price '!AQ$2:AQ$1266,MATCH(Data!$DN83,'Data_Price '!$AT$2:$AT$1266,0))</f>
        <v/>
      </c>
      <c r="DI83">
        <f>INDEX('Data_Price '!AR$2:AR$1266,MATCH(Data!$DN83,'Data_Price '!$AT$2:$AT$1266,0))</f>
        <v/>
      </c>
      <c r="DJ83" s="138">
        <f>DA83</f>
        <v/>
      </c>
      <c r="DK83" s="138">
        <f>DE83</f>
        <v/>
      </c>
      <c r="DL83" s="138">
        <f>DI83</f>
        <v/>
      </c>
      <c r="DM83" s="303">
        <f>IF(LEFT(BT83,1)=" ",RIGHT(BT83,LEN(BT83)-1),BT83)</f>
        <v/>
      </c>
      <c r="DN83" s="138">
        <f>_xlfn.CONCAT(BS83,DM83,BU83,BV83)</f>
        <v/>
      </c>
      <c r="DO83" s="307" t="n"/>
    </row>
    <row r="84" ht="15.6" customHeight="1" s="184">
      <c r="B84" s="303">
        <f t="array" ref="B84">IF(OR(ISERROR(K84:P84)),FALSE,TRUE)</f>
        <v/>
      </c>
      <c r="C84" s="60">
        <f>OR(BR84=Driver!$G$50,Data!BR629=Driver!$H$50)</f>
        <v/>
      </c>
      <c r="D84" s="60">
        <f>OR(BV84=Driver!$G$51,BV84=Driver!$H$51)</f>
        <v/>
      </c>
      <c r="E84" s="60">
        <f>AND(BX84&gt;Driver!$F$54,BX84&lt;Driver!$G$54)</f>
        <v/>
      </c>
      <c r="F84" s="60">
        <f>CL84&gt;Driver!$F$56</f>
        <v/>
      </c>
      <c r="G84" s="60">
        <f>AND(CB84&gt;Driver!$F$55,CB84&lt;Driver!$G$55)</f>
        <v/>
      </c>
      <c r="H84" s="60">
        <f>AND(B84:G84)</f>
        <v/>
      </c>
      <c r="I84" s="60">
        <f>COUNTIFS($H$9:$H$1273,TRUE,$BT$9:$BT$1273,BT84)</f>
        <v/>
      </c>
      <c r="J84" s="60">
        <f t="array" ref="J84">NOT(OR(($H$9:$H$1273=TRUE)*($I$9:$I$1273&gt;0)*($BT$9:$BT$1273=BT84)*($K$9:$K$1273&gt;K84)))</f>
        <v/>
      </c>
      <c r="K84" s="108">
        <f>IFERROR(1-AVERAGE(X84:Y84),"")</f>
        <v/>
      </c>
      <c r="L84" s="108">
        <f>1-X84</f>
        <v/>
      </c>
      <c r="M84" s="108">
        <f>1-Y84</f>
        <v/>
      </c>
      <c r="N84" s="108">
        <f>1-Z84</f>
        <v/>
      </c>
      <c r="O84" s="108">
        <f>1-AA84</f>
        <v/>
      </c>
      <c r="P84" s="108">
        <f>1-AB84</f>
        <v/>
      </c>
      <c r="Q84" s="108" t="n"/>
      <c r="R84" s="108" t="n"/>
      <c r="S84" s="108">
        <f>1-AE84</f>
        <v/>
      </c>
      <c r="T84" s="108">
        <f>1-AF84</f>
        <v/>
      </c>
      <c r="U84" s="108">
        <f>1-AG84</f>
        <v/>
      </c>
      <c r="V84" s="108">
        <f>1-AH84</f>
        <v/>
      </c>
      <c r="W84" s="108">
        <f>1-AI84</f>
        <v/>
      </c>
      <c r="X84" s="108">
        <f>ABS(AJ84-AJ$1)</f>
        <v/>
      </c>
      <c r="Y84" s="108">
        <f>AVERAGE(Z84:AB84)</f>
        <v/>
      </c>
      <c r="Z84" s="108">
        <f>ABS(AL84-AL$1)</f>
        <v/>
      </c>
      <c r="AA84" s="108">
        <f>ABS(AM84-AM$1)</f>
        <v/>
      </c>
      <c r="AB84" s="108">
        <f>ABS(AN84-AN$1)</f>
        <v/>
      </c>
      <c r="AC84" s="108" t="n"/>
      <c r="AD84" s="108" t="n"/>
      <c r="AE84" s="108">
        <f>ABS(AQ$1-AQ84)</f>
        <v/>
      </c>
      <c r="AF84" s="108">
        <f>ABS(AR$1-AR84)</f>
        <v/>
      </c>
      <c r="AG84" s="108">
        <f>ABS(AS$1-AS84)</f>
        <v/>
      </c>
      <c r="AH84" s="108">
        <f>ABS(AT$1-AT84)</f>
        <v/>
      </c>
      <c r="AI84" s="108">
        <f>ABS(AU$1-AU84)</f>
        <v/>
      </c>
      <c r="AJ84" s="108">
        <f>(AV84-Driver!$K$179)/(Driver!$L$179-Driver!$K$179)</f>
        <v/>
      </c>
      <c r="AK84" s="108">
        <f>(AW84-Driver!$K$180)/(Driver!$L$180-Driver!$K$180)</f>
        <v/>
      </c>
      <c r="AL84" s="108">
        <f>(AX84-Driver!$K$181)/(Driver!$L$181-Driver!$K$181)</f>
        <v/>
      </c>
      <c r="AM84" s="108">
        <f>(AY84-Driver!$K$182)/(Driver!$L$182-Driver!$K$182)</f>
        <v/>
      </c>
      <c r="AN84" s="108">
        <f>(AZ84-Driver!$K$183)/(Driver!$L$183-Driver!$K$183)</f>
        <v/>
      </c>
      <c r="AO84" s="108" t="n"/>
      <c r="AP84" s="108" t="n"/>
      <c r="AQ84" s="108">
        <f>(BC84-Driver!$K$188)/(Driver!$L$188-Driver!$K$188)</f>
        <v/>
      </c>
      <c r="AR84" s="108">
        <f>MIN((BD84-Driver!$K$189)/(Driver!$L$189-Driver!$K$189),100%)</f>
        <v/>
      </c>
      <c r="AS84" s="108">
        <f>(BE84-Driver!$K$190)/(Driver!$L$190-Driver!$K$190)</f>
        <v/>
      </c>
      <c r="AT84" s="108">
        <f>(BF84-Driver!$K$191)/(Driver!$L$191-Driver!$K$191)</f>
        <v/>
      </c>
      <c r="AU84" s="108">
        <f>(BG84-Driver!$K$192)/(Driver!$L$192-Driver!$K$192)</f>
        <v/>
      </c>
      <c r="AV84" s="105">
        <f>IFERROR(BM84*BJ84^1/4,"")</f>
        <v/>
      </c>
      <c r="AW84" s="105">
        <f>IFERROR(SUM(AX84:AZ84),"")</f>
        <v/>
      </c>
      <c r="AX84" s="105">
        <f>IFERROR(BH84,"")</f>
        <v/>
      </c>
      <c r="AY84" s="105">
        <f>IFERROR(Driver!$K$19/Data!BH84/Data!BI84*Data!BK84*Data!BL84,"")</f>
        <v/>
      </c>
      <c r="AZ84" s="105">
        <f>IFERROR(BI84*BN84,"")</f>
        <v/>
      </c>
      <c r="BA84" s="105" t="n"/>
      <c r="BB84" s="105" t="n"/>
      <c r="BC84" s="105">
        <f>IFERROR(BI84*BN84*BK84/BJ84^(1/2),"")</f>
        <v/>
      </c>
      <c r="BD84" s="105">
        <f>IFERROR(BH84*BM84*BL84/BJ84/BK84,"")</f>
        <v/>
      </c>
      <c r="BE84" s="105">
        <f>IFERROR(MIN(BI84/BQ84/BP84/BO84/BH84,$BE$1),"")</f>
        <v/>
      </c>
      <c r="BF84" s="105">
        <f>IFERROR(BJ84*BO84*BP84/BK84,"")</f>
        <v/>
      </c>
      <c r="BG84" s="105">
        <f>IFERROR(1/BM84/BH84*BQ84,"")</f>
        <v/>
      </c>
      <c r="BH84" s="102">
        <f>MAX((CE84-Driver!$F$200)/(Driver!$G$200-Driver!$F$200)*$BI$1,1)</f>
        <v/>
      </c>
      <c r="BI84" s="102">
        <f>MAX($BI$1*(BY84-Driver!$F$201)/(Driver!$G$201-Driver!$F$201),1)</f>
        <v/>
      </c>
      <c r="BJ84" s="102">
        <f>(CB84-Driver!$F$206)/(Driver!$G$206-Driver!$F$206)*$BI$1</f>
        <v/>
      </c>
      <c r="BK84" s="102">
        <f>(CD84-Driver!$F$203)/(Driver!$G$203-Driver!$F$203)*$BI$1</f>
        <v/>
      </c>
      <c r="BL84" s="102">
        <f>MAX((CR84-Driver!$F$202)/(Driver!$G$202-Driver!$F$202)*$BI$1,1)</f>
        <v/>
      </c>
      <c r="BM84" s="102">
        <f>MAX((CH84-Driver!$F$204)/(Driver!$G$204-Driver!$F$204)*$BI$1,1)</f>
        <v/>
      </c>
      <c r="BN84" s="102">
        <f>(CI84-Driver!$F$205)/(Driver!$G$205-Driver!$F$205)*$BI$1</f>
        <v/>
      </c>
      <c r="BO84" s="102">
        <f>(CK84-Driver!$F$207)/(Driver!$G$207-Driver!$F$207)*$BI$1</f>
        <v/>
      </c>
      <c r="BP84" s="102">
        <f>(CM84-Driver!$F$208)/(Driver!$G$208-Driver!$F$208)*$BI$1</f>
        <v/>
      </c>
      <c r="BQ84" s="102">
        <f>(CL84-Driver!$F$209)/(Driver!$G$209-Driver!$F$209)*$BI$1</f>
        <v/>
      </c>
      <c r="BR84" s="40" t="inlineStr">
        <is>
          <t>21/22</t>
        </is>
      </c>
      <c r="BS84" s="10" t="inlineStr">
        <is>
          <t xml:space="preserve"> Head</t>
        </is>
      </c>
      <c r="BT84" s="11" t="inlineStr">
        <is>
          <t>Kore 99</t>
        </is>
      </c>
      <c r="BU84" s="13" t="n">
        <v>170</v>
      </c>
      <c r="BV84" s="11" t="inlineStr">
        <is>
          <t xml:space="preserve"> Unisex</t>
        </is>
      </c>
      <c r="BW84" s="13" t="n">
        <v>170</v>
      </c>
      <c r="BX84" s="13" t="n">
        <v>169.4</v>
      </c>
      <c r="BY84" s="13" t="n">
        <v>133</v>
      </c>
      <c r="BZ84" s="13" t="n">
        <v>137</v>
      </c>
      <c r="CA84" s="13" t="n">
        <v>130</v>
      </c>
      <c r="CB84" s="13" t="n">
        <v>96</v>
      </c>
      <c r="CC84" s="13" t="n">
        <v>117</v>
      </c>
      <c r="CD84" s="13" t="n">
        <v>15.3</v>
      </c>
      <c r="CE84" s="13" t="n">
        <v>1623</v>
      </c>
      <c r="CF84" s="13" t="n">
        <v>1.12</v>
      </c>
      <c r="CG84" s="13" t="n">
        <v>1824</v>
      </c>
      <c r="CH84" s="13" t="n">
        <v>238</v>
      </c>
      <c r="CI84" s="13" t="n">
        <v>111</v>
      </c>
      <c r="CJ84" s="13" t="n">
        <v>48</v>
      </c>
      <c r="CK84" s="13" t="n">
        <v>227</v>
      </c>
      <c r="CL84" s="13" t="n">
        <v>12</v>
      </c>
      <c r="CM84" s="13" t="n">
        <v>137</v>
      </c>
      <c r="CN84" s="13" t="n">
        <v>0.259</v>
      </c>
      <c r="CO84" s="13" t="n">
        <v>184</v>
      </c>
      <c r="CP84" s="13" t="n">
        <v>141</v>
      </c>
      <c r="CQ84" s="13" t="n">
        <v>43</v>
      </c>
      <c r="CR84" s="13" t="n">
        <v>6</v>
      </c>
      <c r="CS84" s="13" t="n">
        <v>10.2</v>
      </c>
      <c r="CT84" s="11" t="inlineStr">
        <is>
          <t xml:space="preserve"> Resort Freeride</t>
        </is>
      </c>
      <c r="CU84" s="11" t="inlineStr">
        <is>
          <t xml:space="preserve"> Touring</t>
        </is>
      </c>
      <c r="CV84" s="13" t="n"/>
      <c r="CW84" s="13" t="n"/>
      <c r="CX84">
        <f>INDEX('Data_Price '!AG$2:AG$1266,MATCH(Data!$DN84,'Data_Price '!$AT$2:$AT$1266,0))</f>
        <v/>
      </c>
      <c r="CY84">
        <f>INDEX('Data_Price '!AH$2:AH$1266,MATCH(Data!$DN84,'Data_Price '!$AT$2:$AT$1266,0))</f>
        <v/>
      </c>
      <c r="CZ84">
        <f>INDEX('Data_Price '!AI$2:AI$1266,MATCH(Data!$DN84,'Data_Price '!$AT$2:$AT$1266,0))</f>
        <v/>
      </c>
      <c r="DA84">
        <f>INDEX('Data_Price '!AJ$2:AJ$1266,MATCH(Data!$DN84,'Data_Price '!$AT$2:$AT$1266,0))</f>
        <v/>
      </c>
      <c r="DB84">
        <f>INDEX('Data_Price '!AK$2:AK$1266,MATCH(Data!$DN84,'Data_Price '!$AT$2:$AT$1266,0))</f>
        <v/>
      </c>
      <c r="DC84">
        <f>INDEX('Data_Price '!AL$2:AL$1266,MATCH(Data!$DN84,'Data_Price '!$AT$2:$AT$1266,0))</f>
        <v/>
      </c>
      <c r="DD84">
        <f>INDEX('Data_Price '!AM$2:AM$1266,MATCH(Data!$DN84,'Data_Price '!$AT$2:$AT$1266,0))</f>
        <v/>
      </c>
      <c r="DE84">
        <f>INDEX('Data_Price '!AN$2:AN$1266,MATCH(Data!$DN84,'Data_Price '!$AT$2:$AT$1266,0))</f>
        <v/>
      </c>
      <c r="DF84">
        <f>INDEX('Data_Price '!AO$2:AO$1266,MATCH(Data!$DN84,'Data_Price '!$AT$2:$AT$1266,0))</f>
        <v/>
      </c>
      <c r="DG84">
        <f>INDEX('Data_Price '!AP$2:AP$1266,MATCH(Data!$DN84,'Data_Price '!$AT$2:$AT$1266,0))</f>
        <v/>
      </c>
      <c r="DH84">
        <f>INDEX('Data_Price '!AQ$2:AQ$1266,MATCH(Data!$DN84,'Data_Price '!$AT$2:$AT$1266,0))</f>
        <v/>
      </c>
      <c r="DI84">
        <f>INDEX('Data_Price '!AR$2:AR$1266,MATCH(Data!$DN84,'Data_Price '!$AT$2:$AT$1266,0))</f>
        <v/>
      </c>
      <c r="DJ84" s="138">
        <f>DA84</f>
        <v/>
      </c>
      <c r="DK84" s="138">
        <f>DE84</f>
        <v/>
      </c>
      <c r="DL84" s="138">
        <f>DI84</f>
        <v/>
      </c>
      <c r="DM84" s="303">
        <f>IF(LEFT(BT84,1)=" ",RIGHT(BT84,LEN(BT84)-1),BT84)</f>
        <v/>
      </c>
      <c r="DN84" s="138">
        <f>_xlfn.CONCAT(BS84,DM84,BU84,BV84)</f>
        <v/>
      </c>
      <c r="DO84" s="307" t="inlineStr">
        <is>
          <t>https://images.evo.com/imgp/250/208272/832641/clone.jpg</t>
        </is>
      </c>
    </row>
    <row r="85" ht="15.6" customHeight="1" s="184">
      <c r="B85" s="303">
        <f t="array" ref="B85">IF(OR(ISERROR(K85:P85)),FALSE,TRUE)</f>
        <v/>
      </c>
      <c r="C85" s="60">
        <f>OR(BR85=Driver!$G$50,Data!BR1146=Driver!$H$50)</f>
        <v/>
      </c>
      <c r="D85" s="60">
        <f>OR(BV85=Driver!$G$51,BV85=Driver!$H$51)</f>
        <v/>
      </c>
      <c r="E85" s="60">
        <f>AND(BX85&gt;Driver!$F$54,BX85&lt;Driver!$G$54)</f>
        <v/>
      </c>
      <c r="F85" s="60">
        <f>CL85&gt;Driver!$F$56</f>
        <v/>
      </c>
      <c r="G85" s="60">
        <f>AND(CB85&gt;Driver!$F$55,CB85&lt;Driver!$G$55)</f>
        <v/>
      </c>
      <c r="H85" s="60">
        <f>AND(B85:G85)</f>
        <v/>
      </c>
      <c r="I85" s="60">
        <f>COUNTIFS($H$9:$H$1273,TRUE,$BT$9:$BT$1273,BT85)</f>
        <v/>
      </c>
      <c r="J85" s="60">
        <f t="array" ref="J85">NOT(OR(($H$9:$H$1273=TRUE)*($I$9:$I$1273&gt;0)*($BT$9:$BT$1273=BT85)*($K$9:$K$1273&gt;K85)))</f>
        <v/>
      </c>
      <c r="K85" s="108">
        <f>IFERROR(1-AVERAGE(X85:Y85),"")</f>
        <v/>
      </c>
      <c r="L85" s="108">
        <f>1-X85</f>
        <v/>
      </c>
      <c r="M85" s="108">
        <f>1-Y85</f>
        <v/>
      </c>
      <c r="N85" s="108">
        <f>1-Z85</f>
        <v/>
      </c>
      <c r="O85" s="108">
        <f>1-AA85</f>
        <v/>
      </c>
      <c r="P85" s="108">
        <f>1-AB85</f>
        <v/>
      </c>
      <c r="Q85" s="108" t="n"/>
      <c r="R85" s="108" t="n"/>
      <c r="S85" s="108">
        <f>1-AE85</f>
        <v/>
      </c>
      <c r="T85" s="108">
        <f>1-AF85</f>
        <v/>
      </c>
      <c r="U85" s="108">
        <f>1-AG85</f>
        <v/>
      </c>
      <c r="V85" s="108">
        <f>1-AH85</f>
        <v/>
      </c>
      <c r="W85" s="108">
        <f>1-AI85</f>
        <v/>
      </c>
      <c r="X85" s="108">
        <f>ABS(AJ85-AJ$1)</f>
        <v/>
      </c>
      <c r="Y85" s="108">
        <f>AVERAGE(Z85:AB85)</f>
        <v/>
      </c>
      <c r="Z85" s="108">
        <f>ABS(AL85-AL$1)</f>
        <v/>
      </c>
      <c r="AA85" s="108">
        <f>ABS(AM85-AM$1)</f>
        <v/>
      </c>
      <c r="AB85" s="108">
        <f>ABS(AN85-AN$1)</f>
        <v/>
      </c>
      <c r="AC85" s="108" t="n"/>
      <c r="AD85" s="108" t="n"/>
      <c r="AE85" s="108">
        <f>ABS(AQ$1-AQ85)</f>
        <v/>
      </c>
      <c r="AF85" s="108">
        <f>ABS(AR$1-AR85)</f>
        <v/>
      </c>
      <c r="AG85" s="108">
        <f>ABS(AS$1-AS85)</f>
        <v/>
      </c>
      <c r="AH85" s="108">
        <f>ABS(AT$1-AT85)</f>
        <v/>
      </c>
      <c r="AI85" s="108">
        <f>ABS(AU$1-AU85)</f>
        <v/>
      </c>
      <c r="AJ85" s="108">
        <f>(AV85-Driver!$K$179)/(Driver!$L$179-Driver!$K$179)</f>
        <v/>
      </c>
      <c r="AK85" s="108">
        <f>(AW85-Driver!$K$180)/(Driver!$L$180-Driver!$K$180)</f>
        <v/>
      </c>
      <c r="AL85" s="108">
        <f>(AX85-Driver!$K$181)/(Driver!$L$181-Driver!$K$181)</f>
        <v/>
      </c>
      <c r="AM85" s="108">
        <f>(AY85-Driver!$K$182)/(Driver!$L$182-Driver!$K$182)</f>
        <v/>
      </c>
      <c r="AN85" s="108">
        <f>(AZ85-Driver!$K$183)/(Driver!$L$183-Driver!$K$183)</f>
        <v/>
      </c>
      <c r="AO85" s="108" t="n"/>
      <c r="AP85" s="108" t="n"/>
      <c r="AQ85" s="108">
        <f>(BC85-Driver!$K$188)/(Driver!$L$188-Driver!$K$188)</f>
        <v/>
      </c>
      <c r="AR85" s="108">
        <f>MIN((BD85-Driver!$K$189)/(Driver!$L$189-Driver!$K$189),100%)</f>
        <v/>
      </c>
      <c r="AS85" s="108">
        <f>(BE85-Driver!$K$190)/(Driver!$L$190-Driver!$K$190)</f>
        <v/>
      </c>
      <c r="AT85" s="108">
        <f>(BF85-Driver!$K$191)/(Driver!$L$191-Driver!$K$191)</f>
        <v/>
      </c>
      <c r="AU85" s="108">
        <f>(BG85-Driver!$K$192)/(Driver!$L$192-Driver!$K$192)</f>
        <v/>
      </c>
      <c r="AV85" s="105">
        <f>IFERROR(BM85*BJ85^1/4,"")</f>
        <v/>
      </c>
      <c r="AW85" s="105">
        <f>IFERROR(SUM(AX85:AZ85),"")</f>
        <v/>
      </c>
      <c r="AX85" s="105">
        <f>IFERROR(BH85,"")</f>
        <v/>
      </c>
      <c r="AY85" s="105">
        <f>IFERROR(Driver!$K$19/Data!BH85/Data!BI85*Data!BK85*Data!BL85,"")</f>
        <v/>
      </c>
      <c r="AZ85" s="105">
        <f>IFERROR(BI85*BN85,"")</f>
        <v/>
      </c>
      <c r="BA85" s="105" t="n"/>
      <c r="BB85" s="105" t="n"/>
      <c r="BC85" s="105">
        <f>IFERROR(BI85*BN85*BK85/BJ85^(1/2),"")</f>
        <v/>
      </c>
      <c r="BD85" s="105">
        <f>IFERROR(BH85*BM85*BL85/BJ85/BK85,"")</f>
        <v/>
      </c>
      <c r="BE85" s="105">
        <f>IFERROR(MIN(BI85/BQ85/BP85/BO85/BH85,$BE$1),"")</f>
        <v/>
      </c>
      <c r="BF85" s="105">
        <f>IFERROR(BJ85*BO85*BP85/BK85,"")</f>
        <v/>
      </c>
      <c r="BG85" s="105">
        <f>IFERROR(1/BM85/BH85*BQ85,"")</f>
        <v/>
      </c>
      <c r="BH85" s="102">
        <f>MAX((CE85-Driver!$F$200)/(Driver!$G$200-Driver!$F$200)*$BI$1,1)</f>
        <v/>
      </c>
      <c r="BI85" s="102">
        <f>MAX($BI$1*(BY85-Driver!$F$201)/(Driver!$G$201-Driver!$F$201),1)</f>
        <v/>
      </c>
      <c r="BJ85" s="102">
        <f>(CB85-Driver!$F$206)/(Driver!$G$206-Driver!$F$206)*$BI$1</f>
        <v/>
      </c>
      <c r="BK85" s="102">
        <f>(CD85-Driver!$F$203)/(Driver!$G$203-Driver!$F$203)*$BI$1</f>
        <v/>
      </c>
      <c r="BL85" s="102">
        <f>MAX((CR85-Driver!$F$202)/(Driver!$G$202-Driver!$F$202)*$BI$1,1)</f>
        <v/>
      </c>
      <c r="BM85" s="102">
        <f>MAX((CH85-Driver!$F$204)/(Driver!$G$204-Driver!$F$204)*$BI$1,1)</f>
        <v/>
      </c>
      <c r="BN85" s="102">
        <f>(CI85-Driver!$F$205)/(Driver!$G$205-Driver!$F$205)*$BI$1</f>
        <v/>
      </c>
      <c r="BO85" s="102">
        <f>(CK85-Driver!$F$207)/(Driver!$G$207-Driver!$F$207)*$BI$1</f>
        <v/>
      </c>
      <c r="BP85" s="102">
        <f>(CM85-Driver!$F$208)/(Driver!$G$208-Driver!$F$208)*$BI$1</f>
        <v/>
      </c>
      <c r="BQ85" s="102">
        <f>(CL85-Driver!$F$209)/(Driver!$G$209-Driver!$F$209)*$BI$1</f>
        <v/>
      </c>
      <c r="BR85" s="40" t="inlineStr">
        <is>
          <t>21/22</t>
        </is>
      </c>
      <c r="BS85" s="10" t="inlineStr">
        <is>
          <t xml:space="preserve"> Völkl</t>
        </is>
      </c>
      <c r="BT85" s="11" t="inlineStr">
        <is>
          <t>Bash 81</t>
        </is>
      </c>
      <c r="BU85" s="13" t="n">
        <v>168</v>
      </c>
      <c r="BV85" s="11" t="inlineStr">
        <is>
          <t xml:space="preserve"> Unisex</t>
        </is>
      </c>
      <c r="BW85" s="13" t="n">
        <v>168</v>
      </c>
      <c r="BX85" s="13" t="n">
        <v>166.9</v>
      </c>
      <c r="BY85" s="13" t="n">
        <v>138</v>
      </c>
      <c r="BZ85" s="13" t="n">
        <v>145</v>
      </c>
      <c r="CA85" s="13" t="n">
        <v>110</v>
      </c>
      <c r="CB85" s="13" t="n">
        <v>80</v>
      </c>
      <c r="CC85" s="13" t="n">
        <v>104</v>
      </c>
      <c r="CD85" s="13" t="n">
        <v>19.1</v>
      </c>
      <c r="CE85" s="13" t="n">
        <v>1640</v>
      </c>
      <c r="CF85" s="13" t="n">
        <v>0.92</v>
      </c>
      <c r="CG85" s="13" t="n">
        <v>1505</v>
      </c>
      <c r="CH85" s="13" t="n">
        <v>193</v>
      </c>
      <c r="CI85" s="13" t="n">
        <v>107</v>
      </c>
      <c r="CJ85" s="13" t="n">
        <v>45</v>
      </c>
      <c r="CK85" s="13" t="n">
        <v>153</v>
      </c>
      <c r="CL85" s="13" t="n">
        <v>34</v>
      </c>
      <c r="CM85" s="13" t="n">
        <v>135</v>
      </c>
      <c r="CN85" s="13" t="n">
        <v>0.763</v>
      </c>
      <c r="CO85" s="13" t="n">
        <v>93</v>
      </c>
      <c r="CP85" s="13" t="n">
        <v>129</v>
      </c>
      <c r="CQ85" s="13" t="n">
        <v>60</v>
      </c>
      <c r="CR85" s="13" t="n">
        <v>9</v>
      </c>
      <c r="CS85" s="13" t="n">
        <v>2.2</v>
      </c>
      <c r="CT85" s="11" t="inlineStr">
        <is>
          <t xml:space="preserve"> Resort Freeride</t>
        </is>
      </c>
      <c r="CU85" s="13" t="n"/>
      <c r="CV85" s="13" t="n"/>
      <c r="CW85" s="13" t="n"/>
      <c r="CX85">
        <f>INDEX('Data_Price '!AG$2:AG$1266,MATCH(Data!$DN85,'Data_Price '!$AT$2:$AT$1266,0))</f>
        <v/>
      </c>
      <c r="CY85">
        <f>INDEX('Data_Price '!AH$2:AH$1266,MATCH(Data!$DN85,'Data_Price '!$AT$2:$AT$1266,0))</f>
        <v/>
      </c>
      <c r="CZ85">
        <f>INDEX('Data_Price '!AI$2:AI$1266,MATCH(Data!$DN85,'Data_Price '!$AT$2:$AT$1266,0))</f>
        <v/>
      </c>
      <c r="DA85">
        <f>INDEX('Data_Price '!AJ$2:AJ$1266,MATCH(Data!$DN85,'Data_Price '!$AT$2:$AT$1266,0))</f>
        <v/>
      </c>
      <c r="DB85">
        <f>INDEX('Data_Price '!AK$2:AK$1266,MATCH(Data!$DN85,'Data_Price '!$AT$2:$AT$1266,0))</f>
        <v/>
      </c>
      <c r="DC85">
        <f>INDEX('Data_Price '!AL$2:AL$1266,MATCH(Data!$DN85,'Data_Price '!$AT$2:$AT$1266,0))</f>
        <v/>
      </c>
      <c r="DD85">
        <f>INDEX('Data_Price '!AM$2:AM$1266,MATCH(Data!$DN85,'Data_Price '!$AT$2:$AT$1266,0))</f>
        <v/>
      </c>
      <c r="DE85">
        <f>INDEX('Data_Price '!AN$2:AN$1266,MATCH(Data!$DN85,'Data_Price '!$AT$2:$AT$1266,0))</f>
        <v/>
      </c>
      <c r="DF85">
        <f>INDEX('Data_Price '!AO$2:AO$1266,MATCH(Data!$DN85,'Data_Price '!$AT$2:$AT$1266,0))</f>
        <v/>
      </c>
      <c r="DG85">
        <f>INDEX('Data_Price '!AP$2:AP$1266,MATCH(Data!$DN85,'Data_Price '!$AT$2:$AT$1266,0))</f>
        <v/>
      </c>
      <c r="DH85">
        <f>INDEX('Data_Price '!AQ$2:AQ$1266,MATCH(Data!$DN85,'Data_Price '!$AT$2:$AT$1266,0))</f>
        <v/>
      </c>
      <c r="DI85">
        <f>INDEX('Data_Price '!AR$2:AR$1266,MATCH(Data!$DN85,'Data_Price '!$AT$2:$AT$1266,0))</f>
        <v/>
      </c>
      <c r="DJ85" s="138">
        <f>DA85</f>
        <v/>
      </c>
      <c r="DK85" s="138">
        <f>DE85</f>
        <v/>
      </c>
      <c r="DL85" s="138">
        <f>DI85</f>
        <v/>
      </c>
      <c r="DM85" s="303">
        <f>IF(LEFT(BT85,1)=" ",RIGHT(BT85,LEN(BT85)-1),BT85)</f>
        <v/>
      </c>
      <c r="DN85" s="138">
        <f>_xlfn.CONCAT(BS85,DM85,BU85,BV85)</f>
        <v/>
      </c>
      <c r="DO85" s="307" t="inlineStr">
        <is>
          <t>https://images.evo.com/imgp/250/183432/726762/clone.jpg</t>
        </is>
      </c>
    </row>
    <row r="86" ht="15.6" customHeight="1" s="184">
      <c r="B86" s="303">
        <f t="array" ref="B86">IF(OR(ISERROR(K86:P86)),FALSE,TRUE)</f>
        <v/>
      </c>
      <c r="C86" s="60">
        <f>OR(BR86=Driver!$G$50,Data!BR81=Driver!$H$50)</f>
        <v/>
      </c>
      <c r="D86" s="60">
        <f>OR(BV86=Driver!$G$51,BV86=Driver!$H$51)</f>
        <v/>
      </c>
      <c r="E86" s="60">
        <f>AND(BX86&gt;Driver!$F$54,BX86&lt;Driver!$G$54)</f>
        <v/>
      </c>
      <c r="F86" s="60">
        <f>CL86&gt;Driver!$F$56</f>
        <v/>
      </c>
      <c r="G86" s="60">
        <f>AND(CB86&gt;Driver!$F$55,CB86&lt;Driver!$G$55)</f>
        <v/>
      </c>
      <c r="H86" s="60">
        <f>AND(B86:G86)</f>
        <v/>
      </c>
      <c r="I86" s="60">
        <f>COUNTIFS($H$9:$H$1273,TRUE,$BT$9:$BT$1273,BT86)</f>
        <v/>
      </c>
      <c r="J86" s="60">
        <f t="array" ref="J86">NOT(OR(($H$9:$H$1273=TRUE)*($I$9:$I$1273&gt;0)*($BT$9:$BT$1273=BT86)*($K$9:$K$1273&gt;K86)))</f>
        <v/>
      </c>
      <c r="K86" s="108">
        <f>IFERROR(1-AVERAGE(X86:Y86),"")</f>
        <v/>
      </c>
      <c r="L86" s="108">
        <f>1-X86</f>
        <v/>
      </c>
      <c r="M86" s="108">
        <f>1-Y86</f>
        <v/>
      </c>
      <c r="N86" s="108">
        <f>1-Z86</f>
        <v/>
      </c>
      <c r="O86" s="108">
        <f>1-AA86</f>
        <v/>
      </c>
      <c r="P86" s="108">
        <f>1-AB86</f>
        <v/>
      </c>
      <c r="Q86" s="108" t="n"/>
      <c r="R86" s="108" t="n"/>
      <c r="S86" s="108">
        <f>1-AE86</f>
        <v/>
      </c>
      <c r="T86" s="108">
        <f>1-AF86</f>
        <v/>
      </c>
      <c r="U86" s="108">
        <f>1-AG86</f>
        <v/>
      </c>
      <c r="V86" s="108">
        <f>1-AH86</f>
        <v/>
      </c>
      <c r="W86" s="108">
        <f>1-AI86</f>
        <v/>
      </c>
      <c r="X86" s="108">
        <f>ABS(AJ86-AJ$1)</f>
        <v/>
      </c>
      <c r="Y86" s="108">
        <f>AVERAGE(Z86:AB86)</f>
        <v/>
      </c>
      <c r="Z86" s="108">
        <f>ABS(AL86-AL$1)</f>
        <v/>
      </c>
      <c r="AA86" s="108">
        <f>ABS(AM86-AM$1)</f>
        <v/>
      </c>
      <c r="AB86" s="108">
        <f>ABS(AN86-AN$1)</f>
        <v/>
      </c>
      <c r="AC86" s="108" t="n"/>
      <c r="AD86" s="108" t="n"/>
      <c r="AE86" s="108">
        <f>ABS(AQ$1-AQ86)</f>
        <v/>
      </c>
      <c r="AF86" s="108">
        <f>ABS(AR$1-AR86)</f>
        <v/>
      </c>
      <c r="AG86" s="108">
        <f>ABS(AS$1-AS86)</f>
        <v/>
      </c>
      <c r="AH86" s="108">
        <f>ABS(AT$1-AT86)</f>
        <v/>
      </c>
      <c r="AI86" s="108">
        <f>ABS(AU$1-AU86)</f>
        <v/>
      </c>
      <c r="AJ86" s="108">
        <f>(AV86-Driver!$K$179)/(Driver!$L$179-Driver!$K$179)</f>
        <v/>
      </c>
      <c r="AK86" s="108">
        <f>(AW86-Driver!$K$180)/(Driver!$L$180-Driver!$K$180)</f>
        <v/>
      </c>
      <c r="AL86" s="108">
        <f>(AX86-Driver!$K$181)/(Driver!$L$181-Driver!$K$181)</f>
        <v/>
      </c>
      <c r="AM86" s="108">
        <f>(AY86-Driver!$K$182)/(Driver!$L$182-Driver!$K$182)</f>
        <v/>
      </c>
      <c r="AN86" s="108">
        <f>(AZ86-Driver!$K$183)/(Driver!$L$183-Driver!$K$183)</f>
        <v/>
      </c>
      <c r="AO86" s="108" t="n"/>
      <c r="AP86" s="108" t="n"/>
      <c r="AQ86" s="108">
        <f>(BC86-Driver!$K$188)/(Driver!$L$188-Driver!$K$188)</f>
        <v/>
      </c>
      <c r="AR86" s="108">
        <f>MIN((BD86-Driver!$K$189)/(Driver!$L$189-Driver!$K$189),100%)</f>
        <v/>
      </c>
      <c r="AS86" s="108">
        <f>(BE86-Driver!$K$190)/(Driver!$L$190-Driver!$K$190)</f>
        <v/>
      </c>
      <c r="AT86" s="108">
        <f>(BF86-Driver!$K$191)/(Driver!$L$191-Driver!$K$191)</f>
        <v/>
      </c>
      <c r="AU86" s="108">
        <f>(BG86-Driver!$K$192)/(Driver!$L$192-Driver!$K$192)</f>
        <v/>
      </c>
      <c r="AV86" s="105">
        <f>IFERROR(BM86*BJ86^1/4,"")</f>
        <v/>
      </c>
      <c r="AW86" s="105">
        <f>IFERROR(SUM(AX86:AZ86),"")</f>
        <v/>
      </c>
      <c r="AX86" s="105">
        <f>IFERROR(BH86,"")</f>
        <v/>
      </c>
      <c r="AY86" s="105">
        <f>IFERROR(Driver!$K$19/Data!BH86/Data!BI86*Data!BK86*Data!BL86,"")</f>
        <v/>
      </c>
      <c r="AZ86" s="105">
        <f>IFERROR(BI86*BN86,"")</f>
        <v/>
      </c>
      <c r="BA86" s="105" t="n"/>
      <c r="BB86" s="105" t="n"/>
      <c r="BC86" s="105">
        <f>IFERROR(BI86*BN86*BK86/BJ86^(1/2),"")</f>
        <v/>
      </c>
      <c r="BD86" s="105">
        <f>IFERROR(BH86*BM86*BL86/BJ86/BK86,"")</f>
        <v/>
      </c>
      <c r="BE86" s="105">
        <f>IFERROR(MIN(BI86/BQ86/BP86/BO86/BH86,$BE$1),"")</f>
        <v/>
      </c>
      <c r="BF86" s="105">
        <f>IFERROR(BJ86*BO86*BP86/BK86,"")</f>
        <v/>
      </c>
      <c r="BG86" s="105">
        <f>IFERROR(1/BM86/BH86*BQ86,"")</f>
        <v/>
      </c>
      <c r="BH86" s="102">
        <f>MAX((CE86-Driver!$F$200)/(Driver!$G$200-Driver!$F$200)*$BI$1,1)</f>
        <v/>
      </c>
      <c r="BI86" s="102">
        <f>MAX($BI$1*(BY86-Driver!$F$201)/(Driver!$G$201-Driver!$F$201),1)</f>
        <v/>
      </c>
      <c r="BJ86" s="102">
        <f>(CB86-Driver!$F$206)/(Driver!$G$206-Driver!$F$206)*$BI$1</f>
        <v/>
      </c>
      <c r="BK86" s="102">
        <f>(CD86-Driver!$F$203)/(Driver!$G$203-Driver!$F$203)*$BI$1</f>
        <v/>
      </c>
      <c r="BL86" s="102">
        <f>MAX((CR86-Driver!$F$202)/(Driver!$G$202-Driver!$F$202)*$BI$1,1)</f>
        <v/>
      </c>
      <c r="BM86" s="102">
        <f>MAX((CH86-Driver!$F$204)/(Driver!$G$204-Driver!$F$204)*$BI$1,1)</f>
        <v/>
      </c>
      <c r="BN86" s="102">
        <f>(CI86-Driver!$F$205)/(Driver!$G$205-Driver!$F$205)*$BI$1</f>
        <v/>
      </c>
      <c r="BO86" s="102">
        <f>(CK86-Driver!$F$207)/(Driver!$G$207-Driver!$F$207)*$BI$1</f>
        <v/>
      </c>
      <c r="BP86" s="102">
        <f>(CM86-Driver!$F$208)/(Driver!$G$208-Driver!$F$208)*$BI$1</f>
        <v/>
      </c>
      <c r="BQ86" s="102">
        <f>(CL86-Driver!$F$209)/(Driver!$G$209-Driver!$F$209)*$BI$1</f>
        <v/>
      </c>
      <c r="BR86" s="40" t="inlineStr">
        <is>
          <t>21/22</t>
        </is>
      </c>
      <c r="BS86" s="10" t="inlineStr">
        <is>
          <t xml:space="preserve"> Armada</t>
        </is>
      </c>
      <c r="BT86" s="11" t="inlineStr">
        <is>
          <t>Reliance 102 Ti</t>
        </is>
      </c>
      <c r="BU86" s="13" t="n">
        <v>164</v>
      </c>
      <c r="BV86" s="11" t="inlineStr">
        <is>
          <t xml:space="preserve"> Women's</t>
        </is>
      </c>
      <c r="BW86" s="13" t="n">
        <v>164</v>
      </c>
      <c r="BX86" s="13" t="n">
        <v>163.5</v>
      </c>
      <c r="BY86" s="13" t="n">
        <v>117</v>
      </c>
      <c r="BZ86" s="13" t="n">
        <v>136</v>
      </c>
      <c r="CA86" s="13" t="n">
        <v>132</v>
      </c>
      <c r="CB86" s="13" t="n">
        <v>101</v>
      </c>
      <c r="CC86" s="13" t="n">
        <v>122</v>
      </c>
      <c r="CD86" s="13" t="n">
        <v>16.9</v>
      </c>
      <c r="CE86" s="13" t="n">
        <v>1707</v>
      </c>
      <c r="CF86" s="13" t="n">
        <v>1.07</v>
      </c>
      <c r="CG86" s="13" t="n">
        <v>1819</v>
      </c>
      <c r="CH86" s="13" t="n">
        <v>190</v>
      </c>
      <c r="CI86" s="13" t="n">
        <v>112</v>
      </c>
      <c r="CJ86" s="13" t="n">
        <v>53</v>
      </c>
      <c r="CK86" s="13" t="n">
        <v>304</v>
      </c>
      <c r="CL86" s="13" t="n">
        <v>18</v>
      </c>
      <c r="CM86" s="13" t="n">
        <v>157</v>
      </c>
      <c r="CN86" s="13" t="n">
        <v>0.33</v>
      </c>
      <c r="CO86" s="13" t="n">
        <v>162</v>
      </c>
      <c r="CP86" s="13" t="n">
        <v>116</v>
      </c>
      <c r="CQ86" s="13" t="n">
        <v>142</v>
      </c>
      <c r="CR86" s="13" t="n">
        <v>4</v>
      </c>
      <c r="CS86" s="13" t="n">
        <v>7.5</v>
      </c>
      <c r="CT86" s="11" t="inlineStr">
        <is>
          <t xml:space="preserve"> Resort Freeride</t>
        </is>
      </c>
      <c r="CU86" s="11" t="inlineStr">
        <is>
          <t xml:space="preserve"> Big Mountain</t>
        </is>
      </c>
      <c r="CV86" s="11" t="inlineStr">
        <is>
          <t xml:space="preserve"> Touring</t>
        </is>
      </c>
      <c r="CW86" s="13" t="n"/>
      <c r="CX86">
        <f>INDEX('Data_Price '!AG$2:AG$1266,MATCH(Data!$DN86,'Data_Price '!$AT$2:$AT$1266,0))</f>
        <v/>
      </c>
      <c r="CY86">
        <f>INDEX('Data_Price '!AH$2:AH$1266,MATCH(Data!$DN86,'Data_Price '!$AT$2:$AT$1266,0))</f>
        <v/>
      </c>
      <c r="CZ86">
        <f>INDEX('Data_Price '!AI$2:AI$1266,MATCH(Data!$DN86,'Data_Price '!$AT$2:$AT$1266,0))</f>
        <v/>
      </c>
      <c r="DA86">
        <f>INDEX('Data_Price '!AJ$2:AJ$1266,MATCH(Data!$DN86,'Data_Price '!$AT$2:$AT$1266,0))</f>
        <v/>
      </c>
      <c r="DB86">
        <f>INDEX('Data_Price '!AK$2:AK$1266,MATCH(Data!$DN86,'Data_Price '!$AT$2:$AT$1266,0))</f>
        <v/>
      </c>
      <c r="DC86">
        <f>INDEX('Data_Price '!AL$2:AL$1266,MATCH(Data!$DN86,'Data_Price '!$AT$2:$AT$1266,0))</f>
        <v/>
      </c>
      <c r="DD86">
        <f>INDEX('Data_Price '!AM$2:AM$1266,MATCH(Data!$DN86,'Data_Price '!$AT$2:$AT$1266,0))</f>
        <v/>
      </c>
      <c r="DE86">
        <f>INDEX('Data_Price '!AN$2:AN$1266,MATCH(Data!$DN86,'Data_Price '!$AT$2:$AT$1266,0))</f>
        <v/>
      </c>
      <c r="DF86">
        <f>INDEX('Data_Price '!AO$2:AO$1266,MATCH(Data!$DN86,'Data_Price '!$AT$2:$AT$1266,0))</f>
        <v/>
      </c>
      <c r="DG86">
        <f>INDEX('Data_Price '!AP$2:AP$1266,MATCH(Data!$DN86,'Data_Price '!$AT$2:$AT$1266,0))</f>
        <v/>
      </c>
      <c r="DH86">
        <f>INDEX('Data_Price '!AQ$2:AQ$1266,MATCH(Data!$DN86,'Data_Price '!$AT$2:$AT$1266,0))</f>
        <v/>
      </c>
      <c r="DI86">
        <f>INDEX('Data_Price '!AR$2:AR$1266,MATCH(Data!$DN86,'Data_Price '!$AT$2:$AT$1266,0))</f>
        <v/>
      </c>
      <c r="DJ86" s="138">
        <f>DA86</f>
        <v/>
      </c>
      <c r="DK86" s="138">
        <f>DE86</f>
        <v/>
      </c>
      <c r="DL86" s="138">
        <f>DI86</f>
        <v/>
      </c>
      <c r="DM86" s="303">
        <f>IF(LEFT(BT86,1)=" ",RIGHT(BT86,LEN(BT86)-1),BT86)</f>
        <v/>
      </c>
      <c r="DN86" s="138">
        <f>_xlfn.CONCAT(BS86,DM86,BU86,BV86)</f>
        <v/>
      </c>
      <c r="DO86" s="307" t="inlineStr">
        <is>
          <t>https://images.evo.com/imgp/250/198723/839692/armada-reliance-102-ti-skis-women-s-2023-.jpg</t>
        </is>
      </c>
    </row>
    <row r="87" ht="15.6" customHeight="1" s="184">
      <c r="B87" s="303">
        <f t="array" ref="B87">IF(OR(ISERROR(K87:P87)),FALSE,TRUE)</f>
        <v/>
      </c>
      <c r="C87" s="60">
        <f>OR(BR87=Driver!$G$50,Data!BR103=Driver!$H$50)</f>
        <v/>
      </c>
      <c r="D87" s="60">
        <f>OR(BV87=Driver!$G$51,BV87=Driver!$H$51)</f>
        <v/>
      </c>
      <c r="E87" s="60">
        <f>AND(BX87&gt;Driver!$F$54,BX87&lt;Driver!$G$54)</f>
        <v/>
      </c>
      <c r="F87" s="60">
        <f>CL87&gt;Driver!$F$56</f>
        <v/>
      </c>
      <c r="G87" s="60">
        <f>AND(CB87&gt;Driver!$F$55,CB87&lt;Driver!$G$55)</f>
        <v/>
      </c>
      <c r="H87" s="60">
        <f>AND(B87:G87)</f>
        <v/>
      </c>
      <c r="I87" s="60">
        <f>COUNTIFS($H$9:$H$1273,TRUE,$BT$9:$BT$1273,BT87)</f>
        <v/>
      </c>
      <c r="J87" s="60">
        <f t="array" ref="J87">NOT(OR(($H$9:$H$1273=TRUE)*($I$9:$I$1273&gt;0)*($BT$9:$BT$1273=BT87)*($K$9:$K$1273&gt;K87)))</f>
        <v/>
      </c>
      <c r="K87" s="108">
        <f>IFERROR(1-AVERAGE(X87:Y87),"")</f>
        <v/>
      </c>
      <c r="L87" s="108">
        <f>1-X87</f>
        <v/>
      </c>
      <c r="M87" s="108">
        <f>1-Y87</f>
        <v/>
      </c>
      <c r="N87" s="108">
        <f>1-Z87</f>
        <v/>
      </c>
      <c r="O87" s="108">
        <f>1-AA87</f>
        <v/>
      </c>
      <c r="P87" s="108">
        <f>1-AB87</f>
        <v/>
      </c>
      <c r="Q87" s="108" t="n"/>
      <c r="R87" s="108" t="n"/>
      <c r="S87" s="108">
        <f>1-AE87</f>
        <v/>
      </c>
      <c r="T87" s="108">
        <f>1-AF87</f>
        <v/>
      </c>
      <c r="U87" s="108">
        <f>1-AG87</f>
        <v/>
      </c>
      <c r="V87" s="108">
        <f>1-AH87</f>
        <v/>
      </c>
      <c r="W87" s="108">
        <f>1-AI87</f>
        <v/>
      </c>
      <c r="X87" s="108">
        <f>ABS(AJ87-AJ$1)</f>
        <v/>
      </c>
      <c r="Y87" s="108">
        <f>AVERAGE(Z87:AB87)</f>
        <v/>
      </c>
      <c r="Z87" s="108">
        <f>ABS(AL87-AL$1)</f>
        <v/>
      </c>
      <c r="AA87" s="108">
        <f>ABS(AM87-AM$1)</f>
        <v/>
      </c>
      <c r="AB87" s="108">
        <f>ABS(AN87-AN$1)</f>
        <v/>
      </c>
      <c r="AC87" s="108" t="n"/>
      <c r="AD87" s="108" t="n"/>
      <c r="AE87" s="108">
        <f>ABS(AQ$1-AQ87)</f>
        <v/>
      </c>
      <c r="AF87" s="108">
        <f>ABS(AR$1-AR87)</f>
        <v/>
      </c>
      <c r="AG87" s="108">
        <f>ABS(AS$1-AS87)</f>
        <v/>
      </c>
      <c r="AH87" s="108">
        <f>ABS(AT$1-AT87)</f>
        <v/>
      </c>
      <c r="AI87" s="108">
        <f>ABS(AU$1-AU87)</f>
        <v/>
      </c>
      <c r="AJ87" s="108">
        <f>(AV87-Driver!$K$179)/(Driver!$L$179-Driver!$K$179)</f>
        <v/>
      </c>
      <c r="AK87" s="108">
        <f>(AW87-Driver!$K$180)/(Driver!$L$180-Driver!$K$180)</f>
        <v/>
      </c>
      <c r="AL87" s="108">
        <f>(AX87-Driver!$K$181)/(Driver!$L$181-Driver!$K$181)</f>
        <v/>
      </c>
      <c r="AM87" s="108">
        <f>(AY87-Driver!$K$182)/(Driver!$L$182-Driver!$K$182)</f>
        <v/>
      </c>
      <c r="AN87" s="108">
        <f>(AZ87-Driver!$K$183)/(Driver!$L$183-Driver!$K$183)</f>
        <v/>
      </c>
      <c r="AO87" s="108" t="n"/>
      <c r="AP87" s="108" t="n"/>
      <c r="AQ87" s="108">
        <f>(BC87-Driver!$K$188)/(Driver!$L$188-Driver!$K$188)</f>
        <v/>
      </c>
      <c r="AR87" s="108">
        <f>MIN((BD87-Driver!$K$189)/(Driver!$L$189-Driver!$K$189),100%)</f>
        <v/>
      </c>
      <c r="AS87" s="108">
        <f>(BE87-Driver!$K$190)/(Driver!$L$190-Driver!$K$190)</f>
        <v/>
      </c>
      <c r="AT87" s="108">
        <f>(BF87-Driver!$K$191)/(Driver!$L$191-Driver!$K$191)</f>
        <v/>
      </c>
      <c r="AU87" s="108">
        <f>(BG87-Driver!$K$192)/(Driver!$L$192-Driver!$K$192)</f>
        <v/>
      </c>
      <c r="AV87" s="105">
        <f>IFERROR(BM87*BJ87^1/4,"")</f>
        <v/>
      </c>
      <c r="AW87" s="105">
        <f>IFERROR(SUM(AX87:AZ87),"")</f>
        <v/>
      </c>
      <c r="AX87" s="105">
        <f>IFERROR(BH87,"")</f>
        <v/>
      </c>
      <c r="AY87" s="105">
        <f>IFERROR(Driver!$K$19/Data!BH87/Data!BI87*Data!BK87*Data!BL87,"")</f>
        <v/>
      </c>
      <c r="AZ87" s="105">
        <f>IFERROR(BI87*BN87,"")</f>
        <v/>
      </c>
      <c r="BA87" s="105" t="n"/>
      <c r="BB87" s="105" t="n"/>
      <c r="BC87" s="105">
        <f>IFERROR(BI87*BN87*BK87/BJ87^(1/2),"")</f>
        <v/>
      </c>
      <c r="BD87" s="105">
        <f>IFERROR(BH87*BM87*BL87/BJ87/BK87,"")</f>
        <v/>
      </c>
      <c r="BE87" s="105">
        <f>IFERROR(MIN(BI87/BQ87/BP87/BO87/BH87,$BE$1),"")</f>
        <v/>
      </c>
      <c r="BF87" s="105">
        <f>IFERROR(BJ87*BO87*BP87/BK87,"")</f>
        <v/>
      </c>
      <c r="BG87" s="105">
        <f>IFERROR(1/BM87/BH87*BQ87,"")</f>
        <v/>
      </c>
      <c r="BH87" s="102">
        <f>MAX((CE87-Driver!$F$200)/(Driver!$G$200-Driver!$F$200)*$BI$1,1)</f>
        <v/>
      </c>
      <c r="BI87" s="102">
        <f>MAX($BI$1*(BY87-Driver!$F$201)/(Driver!$G$201-Driver!$F$201),1)</f>
        <v/>
      </c>
      <c r="BJ87" s="102">
        <f>(CB87-Driver!$F$206)/(Driver!$G$206-Driver!$F$206)*$BI$1</f>
        <v/>
      </c>
      <c r="BK87" s="102">
        <f>(CD87-Driver!$F$203)/(Driver!$G$203-Driver!$F$203)*$BI$1</f>
        <v/>
      </c>
      <c r="BL87" s="102">
        <f>MAX((CR87-Driver!$F$202)/(Driver!$G$202-Driver!$F$202)*$BI$1,1)</f>
        <v/>
      </c>
      <c r="BM87" s="102">
        <f>MAX((CH87-Driver!$F$204)/(Driver!$G$204-Driver!$F$204)*$BI$1,1)</f>
        <v/>
      </c>
      <c r="BN87" s="102">
        <f>(CI87-Driver!$F$205)/(Driver!$G$205-Driver!$F$205)*$BI$1</f>
        <v/>
      </c>
      <c r="BO87" s="102">
        <f>(CK87-Driver!$F$207)/(Driver!$G$207-Driver!$F$207)*$BI$1</f>
        <v/>
      </c>
      <c r="BP87" s="102">
        <f>(CM87-Driver!$F$208)/(Driver!$G$208-Driver!$F$208)*$BI$1</f>
        <v/>
      </c>
      <c r="BQ87" s="102">
        <f>(CL87-Driver!$F$209)/(Driver!$G$209-Driver!$F$209)*$BI$1</f>
        <v/>
      </c>
      <c r="BR87" s="40" t="inlineStr">
        <is>
          <t>21/22</t>
        </is>
      </c>
      <c r="BS87" s="10" t="inlineStr">
        <is>
          <t xml:space="preserve"> Armada</t>
        </is>
      </c>
      <c r="BT87" s="11" t="inlineStr">
        <is>
          <t>Trace 98</t>
        </is>
      </c>
      <c r="BU87" s="13" t="n">
        <v>172</v>
      </c>
      <c r="BV87" s="11" t="inlineStr">
        <is>
          <t xml:space="preserve"> Women's</t>
        </is>
      </c>
      <c r="BW87" s="13" t="n">
        <v>172</v>
      </c>
      <c r="BX87" s="13" t="n">
        <v>171.6</v>
      </c>
      <c r="BY87" s="13" t="n">
        <v>130</v>
      </c>
      <c r="BZ87" s="13" t="n">
        <v>144</v>
      </c>
      <c r="CA87" s="13" t="n">
        <v>128</v>
      </c>
      <c r="CB87" s="13" t="n">
        <v>97</v>
      </c>
      <c r="CC87" s="13" t="n">
        <v>120</v>
      </c>
      <c r="CD87" s="13" t="n">
        <v>17.4</v>
      </c>
      <c r="CE87" s="13" t="n">
        <v>1520</v>
      </c>
      <c r="CF87" s="13" t="n">
        <v>1.21</v>
      </c>
      <c r="CG87" s="13" t="n">
        <v>1843</v>
      </c>
      <c r="CH87" s="13" t="n">
        <v>175</v>
      </c>
      <c r="CI87" s="13" t="n">
        <v>98</v>
      </c>
      <c r="CJ87" s="13" t="n">
        <v>43</v>
      </c>
      <c r="CK87" s="13" t="n">
        <v>256</v>
      </c>
      <c r="CL87" s="13" t="n">
        <v>18</v>
      </c>
      <c r="CM87" s="13" t="n">
        <v>158</v>
      </c>
      <c r="CN87" s="13" t="n">
        <v>0.407</v>
      </c>
      <c r="CO87" s="13" t="n">
        <v>171</v>
      </c>
      <c r="CP87" s="13" t="n">
        <v>104</v>
      </c>
      <c r="CQ87" s="13" t="n">
        <v>85</v>
      </c>
      <c r="CR87" s="13" t="n">
        <v>5</v>
      </c>
      <c r="CS87" s="13" t="n">
        <v>9.5</v>
      </c>
      <c r="CT87" s="11" t="inlineStr">
        <is>
          <t xml:space="preserve"> Resort Freeride</t>
        </is>
      </c>
      <c r="CU87" s="11" t="inlineStr">
        <is>
          <t xml:space="preserve"> Touring</t>
        </is>
      </c>
      <c r="CV87" s="13" t="n"/>
      <c r="CW87" s="13" t="n"/>
      <c r="CX87">
        <f>INDEX('Data_Price '!AG$2:AG$1266,MATCH(Data!$DN87,'Data_Price '!$AT$2:$AT$1266,0))</f>
        <v/>
      </c>
      <c r="CY87">
        <f>INDEX('Data_Price '!AH$2:AH$1266,MATCH(Data!$DN87,'Data_Price '!$AT$2:$AT$1266,0))</f>
        <v/>
      </c>
      <c r="CZ87">
        <f>INDEX('Data_Price '!AI$2:AI$1266,MATCH(Data!$DN87,'Data_Price '!$AT$2:$AT$1266,0))</f>
        <v/>
      </c>
      <c r="DA87">
        <f>INDEX('Data_Price '!AJ$2:AJ$1266,MATCH(Data!$DN87,'Data_Price '!$AT$2:$AT$1266,0))</f>
        <v/>
      </c>
      <c r="DB87">
        <f>INDEX('Data_Price '!AK$2:AK$1266,MATCH(Data!$DN87,'Data_Price '!$AT$2:$AT$1266,0))</f>
        <v/>
      </c>
      <c r="DC87">
        <f>INDEX('Data_Price '!AL$2:AL$1266,MATCH(Data!$DN87,'Data_Price '!$AT$2:$AT$1266,0))</f>
        <v/>
      </c>
      <c r="DD87">
        <f>INDEX('Data_Price '!AM$2:AM$1266,MATCH(Data!$DN87,'Data_Price '!$AT$2:$AT$1266,0))</f>
        <v/>
      </c>
      <c r="DE87">
        <f>INDEX('Data_Price '!AN$2:AN$1266,MATCH(Data!$DN87,'Data_Price '!$AT$2:$AT$1266,0))</f>
        <v/>
      </c>
      <c r="DF87">
        <f>INDEX('Data_Price '!AO$2:AO$1266,MATCH(Data!$DN87,'Data_Price '!$AT$2:$AT$1266,0))</f>
        <v/>
      </c>
      <c r="DG87">
        <f>INDEX('Data_Price '!AP$2:AP$1266,MATCH(Data!$DN87,'Data_Price '!$AT$2:$AT$1266,0))</f>
        <v/>
      </c>
      <c r="DH87">
        <f>INDEX('Data_Price '!AQ$2:AQ$1266,MATCH(Data!$DN87,'Data_Price '!$AT$2:$AT$1266,0))</f>
        <v/>
      </c>
      <c r="DI87">
        <f>INDEX('Data_Price '!AR$2:AR$1266,MATCH(Data!$DN87,'Data_Price '!$AT$2:$AT$1266,0))</f>
        <v/>
      </c>
      <c r="DJ87" s="138">
        <f>DA87</f>
        <v/>
      </c>
      <c r="DK87" s="138">
        <f>DE87</f>
        <v/>
      </c>
      <c r="DL87" s="138">
        <f>DI87</f>
        <v/>
      </c>
      <c r="DM87" s="303">
        <f>IF(LEFT(BT87,1)=" ",RIGHT(BT87,LEN(BT87)-1),BT87)</f>
        <v/>
      </c>
      <c r="DN87" s="138">
        <f>_xlfn.CONCAT(BS87,DM87,BU87,BV87)</f>
        <v/>
      </c>
      <c r="DO87" s="307" t="inlineStr">
        <is>
          <t>https://images.evo.com/imgp/250/198708/839678/armada-trace-98-skis-women-s-2022-.jpg</t>
        </is>
      </c>
    </row>
    <row r="88" ht="15.6" customHeight="1" s="184">
      <c r="B88" s="303">
        <f t="array" ref="B88">IF(OR(ISERROR(K88:P88)),FALSE,TRUE)</f>
        <v/>
      </c>
      <c r="C88" s="60">
        <f>OR(BR88=Driver!$G$50,Data!BR578=Driver!$H$50)</f>
        <v/>
      </c>
      <c r="D88" s="60">
        <f>OR(BV88=Driver!$G$51,BV88=Driver!$H$51)</f>
        <v/>
      </c>
      <c r="E88" s="60">
        <f>AND(BX88&gt;Driver!$F$54,BX88&lt;Driver!$G$54)</f>
        <v/>
      </c>
      <c r="F88" s="60">
        <f>CL88&gt;Driver!$F$56</f>
        <v/>
      </c>
      <c r="G88" s="60">
        <f>AND(CB88&gt;Driver!$F$55,CB88&lt;Driver!$G$55)</f>
        <v/>
      </c>
      <c r="H88" s="60">
        <f>AND(B88:G88)</f>
        <v/>
      </c>
      <c r="I88" s="60">
        <f>COUNTIFS($H$9:$H$1273,TRUE,$BT$9:$BT$1273,BT88)</f>
        <v/>
      </c>
      <c r="J88" s="60">
        <f t="array" ref="J88">NOT(OR(($H$9:$H$1273=TRUE)*($I$9:$I$1273&gt;0)*($BT$9:$BT$1273=BT88)*($K$9:$K$1273&gt;K88)))</f>
        <v/>
      </c>
      <c r="K88" s="108">
        <f>IFERROR(1-AVERAGE(X88:Y88),"")</f>
        <v/>
      </c>
      <c r="L88" s="108">
        <f>1-X88</f>
        <v/>
      </c>
      <c r="M88" s="108">
        <f>1-Y88</f>
        <v/>
      </c>
      <c r="N88" s="108">
        <f>1-Z88</f>
        <v/>
      </c>
      <c r="O88" s="108">
        <f>1-AA88</f>
        <v/>
      </c>
      <c r="P88" s="108">
        <f>1-AB88</f>
        <v/>
      </c>
      <c r="Q88" s="108" t="n"/>
      <c r="R88" s="108" t="n"/>
      <c r="S88" s="108">
        <f>1-AE88</f>
        <v/>
      </c>
      <c r="T88" s="108">
        <f>1-AF88</f>
        <v/>
      </c>
      <c r="U88" s="108">
        <f>1-AG88</f>
        <v/>
      </c>
      <c r="V88" s="108">
        <f>1-AH88</f>
        <v/>
      </c>
      <c r="W88" s="108">
        <f>1-AI88</f>
        <v/>
      </c>
      <c r="X88" s="108">
        <f>ABS(AJ88-AJ$1)</f>
        <v/>
      </c>
      <c r="Y88" s="108">
        <f>AVERAGE(Z88:AB88)</f>
        <v/>
      </c>
      <c r="Z88" s="108">
        <f>ABS(AL88-AL$1)</f>
        <v/>
      </c>
      <c r="AA88" s="108">
        <f>ABS(AM88-AM$1)</f>
        <v/>
      </c>
      <c r="AB88" s="108">
        <f>ABS(AN88-AN$1)</f>
        <v/>
      </c>
      <c r="AC88" s="108" t="n"/>
      <c r="AD88" s="108" t="n"/>
      <c r="AE88" s="108">
        <f>ABS(AQ$1-AQ88)</f>
        <v/>
      </c>
      <c r="AF88" s="108">
        <f>ABS(AR$1-AR88)</f>
        <v/>
      </c>
      <c r="AG88" s="108">
        <f>ABS(AS$1-AS88)</f>
        <v/>
      </c>
      <c r="AH88" s="108">
        <f>ABS(AT$1-AT88)</f>
        <v/>
      </c>
      <c r="AI88" s="108">
        <f>ABS(AU$1-AU88)</f>
        <v/>
      </c>
      <c r="AJ88" s="108">
        <f>(AV88-Driver!$K$179)/(Driver!$L$179-Driver!$K$179)</f>
        <v/>
      </c>
      <c r="AK88" s="108">
        <f>(AW88-Driver!$K$180)/(Driver!$L$180-Driver!$K$180)</f>
        <v/>
      </c>
      <c r="AL88" s="108">
        <f>(AX88-Driver!$K$181)/(Driver!$L$181-Driver!$K$181)</f>
        <v/>
      </c>
      <c r="AM88" s="108">
        <f>(AY88-Driver!$K$182)/(Driver!$L$182-Driver!$K$182)</f>
        <v/>
      </c>
      <c r="AN88" s="108">
        <f>(AZ88-Driver!$K$183)/(Driver!$L$183-Driver!$K$183)</f>
        <v/>
      </c>
      <c r="AO88" s="108" t="n"/>
      <c r="AP88" s="108" t="n"/>
      <c r="AQ88" s="108">
        <f>(BC88-Driver!$K$188)/(Driver!$L$188-Driver!$K$188)</f>
        <v/>
      </c>
      <c r="AR88" s="108">
        <f>MIN((BD88-Driver!$K$189)/(Driver!$L$189-Driver!$K$189),100%)</f>
        <v/>
      </c>
      <c r="AS88" s="108">
        <f>(BE88-Driver!$K$190)/(Driver!$L$190-Driver!$K$190)</f>
        <v/>
      </c>
      <c r="AT88" s="108">
        <f>(BF88-Driver!$K$191)/(Driver!$L$191-Driver!$K$191)</f>
        <v/>
      </c>
      <c r="AU88" s="108">
        <f>(BG88-Driver!$K$192)/(Driver!$L$192-Driver!$K$192)</f>
        <v/>
      </c>
      <c r="AV88" s="105">
        <f>IFERROR(BM88*BJ88^1/4,"")</f>
        <v/>
      </c>
      <c r="AW88" s="105">
        <f>IFERROR(SUM(AX88:AZ88),"")</f>
        <v/>
      </c>
      <c r="AX88" s="105">
        <f>IFERROR(BH88,"")</f>
        <v/>
      </c>
      <c r="AY88" s="105">
        <f>IFERROR(Driver!$K$19/Data!BH88/Data!BI88*Data!BK88*Data!BL88,"")</f>
        <v/>
      </c>
      <c r="AZ88" s="105">
        <f>IFERROR(BI88*BN88,"")</f>
        <v/>
      </c>
      <c r="BA88" s="105" t="n"/>
      <c r="BB88" s="105" t="n"/>
      <c r="BC88" s="105">
        <f>IFERROR(BI88*BN88*BK88/BJ88^(1/2),"")</f>
        <v/>
      </c>
      <c r="BD88" s="105">
        <f>IFERROR(BH88*BM88*BL88/BJ88/BK88,"")</f>
        <v/>
      </c>
      <c r="BE88" s="105">
        <f>IFERROR(MIN(BI88/BQ88/BP88/BO88/BH88,$BE$1),"")</f>
        <v/>
      </c>
      <c r="BF88" s="105">
        <f>IFERROR(BJ88*BO88*BP88/BK88,"")</f>
        <v/>
      </c>
      <c r="BG88" s="105">
        <f>IFERROR(1/BM88/BH88*BQ88,"")</f>
        <v/>
      </c>
      <c r="BH88" s="102">
        <f>MAX((CE88-Driver!$F$200)/(Driver!$G$200-Driver!$F$200)*$BI$1,1)</f>
        <v/>
      </c>
      <c r="BI88" s="102">
        <f>MAX($BI$1*(BY88-Driver!$F$201)/(Driver!$G$201-Driver!$F$201),1)</f>
        <v/>
      </c>
      <c r="BJ88" s="102">
        <f>(CB88-Driver!$F$206)/(Driver!$G$206-Driver!$F$206)*$BI$1</f>
        <v/>
      </c>
      <c r="BK88" s="102">
        <f>(CD88-Driver!$F$203)/(Driver!$G$203-Driver!$F$203)*$BI$1</f>
        <v/>
      </c>
      <c r="BL88" s="102">
        <f>MAX((CR88-Driver!$F$202)/(Driver!$G$202-Driver!$F$202)*$BI$1,1)</f>
        <v/>
      </c>
      <c r="BM88" s="102">
        <f>MAX((CH88-Driver!$F$204)/(Driver!$G$204-Driver!$F$204)*$BI$1,1)</f>
        <v/>
      </c>
      <c r="BN88" s="102">
        <f>(CI88-Driver!$F$205)/(Driver!$G$205-Driver!$F$205)*$BI$1</f>
        <v/>
      </c>
      <c r="BO88" s="102">
        <f>(CK88-Driver!$F$207)/(Driver!$G$207-Driver!$F$207)*$BI$1</f>
        <v/>
      </c>
      <c r="BP88" s="102">
        <f>(CM88-Driver!$F$208)/(Driver!$G$208-Driver!$F$208)*$BI$1</f>
        <v/>
      </c>
      <c r="BQ88" s="102">
        <f>(CL88-Driver!$F$209)/(Driver!$G$209-Driver!$F$209)*$BI$1</f>
        <v/>
      </c>
      <c r="BR88" s="40" t="inlineStr">
        <is>
          <t>21/22</t>
        </is>
      </c>
      <c r="BS88" s="10" t="inlineStr">
        <is>
          <t xml:space="preserve"> Fischer</t>
        </is>
      </c>
      <c r="BT88" s="11" t="inlineStr">
        <is>
          <t>Ranger 92 Ti W</t>
        </is>
      </c>
      <c r="BU88" s="13" t="n">
        <v>163</v>
      </c>
      <c r="BV88" s="11" t="inlineStr">
        <is>
          <t xml:space="preserve"> Women's</t>
        </is>
      </c>
      <c r="BW88" s="13" t="n">
        <v>163</v>
      </c>
      <c r="BX88" s="13" t="n">
        <v>162.1</v>
      </c>
      <c r="BY88" s="13" t="n">
        <v>113</v>
      </c>
      <c r="BZ88" s="13" t="n">
        <v>138</v>
      </c>
      <c r="CA88" s="13" t="n">
        <v>123</v>
      </c>
      <c r="CB88" s="13" t="n">
        <v>88</v>
      </c>
      <c r="CC88" s="13" t="n">
        <v>113</v>
      </c>
      <c r="CD88" s="13" t="n">
        <v>13.5</v>
      </c>
      <c r="CE88" s="13" t="n">
        <v>1649</v>
      </c>
      <c r="CF88" s="13" t="n">
        <v>1</v>
      </c>
      <c r="CG88" s="13" t="n">
        <v>1642</v>
      </c>
      <c r="CH88" s="13" t="n">
        <v>176</v>
      </c>
      <c r="CI88" s="13" t="n">
        <v>114</v>
      </c>
      <c r="CJ88" s="13" t="n">
        <v>49</v>
      </c>
      <c r="CK88" s="13" t="n">
        <v>296</v>
      </c>
      <c r="CL88" s="13" t="n">
        <v>15</v>
      </c>
      <c r="CM88" s="13" t="n">
        <v>197</v>
      </c>
      <c r="CN88" s="13" t="n">
        <v>0.3</v>
      </c>
      <c r="CO88" s="13" t="n">
        <v>121</v>
      </c>
      <c r="CP88" s="13" t="n">
        <v>121</v>
      </c>
      <c r="CQ88" s="13" t="n">
        <v>174</v>
      </c>
      <c r="CR88" s="13" t="n">
        <v>4</v>
      </c>
      <c r="CS88" s="13" t="n">
        <v>9.4</v>
      </c>
      <c r="CT88" s="11" t="inlineStr">
        <is>
          <t xml:space="preserve"> Resort Freeride</t>
        </is>
      </c>
      <c r="CU88" s="13" t="n"/>
      <c r="CV88" s="13" t="n"/>
      <c r="CW88" s="13" t="n"/>
      <c r="CX88">
        <f>INDEX('Data_Price '!AG$2:AG$1266,MATCH(Data!$DN88,'Data_Price '!$AT$2:$AT$1266,0))</f>
        <v/>
      </c>
      <c r="CY88">
        <f>INDEX('Data_Price '!AH$2:AH$1266,MATCH(Data!$DN88,'Data_Price '!$AT$2:$AT$1266,0))</f>
        <v/>
      </c>
      <c r="CZ88">
        <f>INDEX('Data_Price '!AI$2:AI$1266,MATCH(Data!$DN88,'Data_Price '!$AT$2:$AT$1266,0))</f>
        <v/>
      </c>
      <c r="DA88">
        <f>INDEX('Data_Price '!AJ$2:AJ$1266,MATCH(Data!$DN88,'Data_Price '!$AT$2:$AT$1266,0))</f>
        <v/>
      </c>
      <c r="DB88">
        <f>INDEX('Data_Price '!AK$2:AK$1266,MATCH(Data!$DN88,'Data_Price '!$AT$2:$AT$1266,0))</f>
        <v/>
      </c>
      <c r="DC88">
        <f>INDEX('Data_Price '!AL$2:AL$1266,MATCH(Data!$DN88,'Data_Price '!$AT$2:$AT$1266,0))</f>
        <v/>
      </c>
      <c r="DD88">
        <f>INDEX('Data_Price '!AM$2:AM$1266,MATCH(Data!$DN88,'Data_Price '!$AT$2:$AT$1266,0))</f>
        <v/>
      </c>
      <c r="DE88">
        <f>INDEX('Data_Price '!AN$2:AN$1266,MATCH(Data!$DN88,'Data_Price '!$AT$2:$AT$1266,0))</f>
        <v/>
      </c>
      <c r="DF88">
        <f>INDEX('Data_Price '!AO$2:AO$1266,MATCH(Data!$DN88,'Data_Price '!$AT$2:$AT$1266,0))</f>
        <v/>
      </c>
      <c r="DG88">
        <f>INDEX('Data_Price '!AP$2:AP$1266,MATCH(Data!$DN88,'Data_Price '!$AT$2:$AT$1266,0))</f>
        <v/>
      </c>
      <c r="DH88">
        <f>INDEX('Data_Price '!AQ$2:AQ$1266,MATCH(Data!$DN88,'Data_Price '!$AT$2:$AT$1266,0))</f>
        <v/>
      </c>
      <c r="DI88">
        <f>INDEX('Data_Price '!AR$2:AR$1266,MATCH(Data!$DN88,'Data_Price '!$AT$2:$AT$1266,0))</f>
        <v/>
      </c>
      <c r="DJ88" s="138">
        <f>DA88</f>
        <v/>
      </c>
      <c r="DK88" s="138">
        <f>DE88</f>
        <v/>
      </c>
      <c r="DL88" s="138">
        <f>DI88</f>
        <v/>
      </c>
      <c r="DM88" s="303">
        <f>IF(LEFT(BT88,1)=" ",RIGHT(BT88,LEN(BT88)-1),BT88)</f>
        <v/>
      </c>
      <c r="DN88" s="138">
        <f>_xlfn.CONCAT(BS88,DM88,BU88,BV88)</f>
        <v/>
      </c>
      <c r="DO88" s="307" t="n"/>
    </row>
    <row r="89" ht="15.6" customHeight="1" s="184">
      <c r="B89" s="303">
        <f t="array" ref="B89">IF(OR(ISERROR(K89:P89)),FALSE,TRUE)</f>
        <v/>
      </c>
      <c r="C89" s="60">
        <f>OR(BR89=Driver!$G$50,Data!BR473=Driver!$H$50)</f>
        <v/>
      </c>
      <c r="D89" s="60">
        <f>OR(BV89=Driver!$G$51,BV89=Driver!$H$51)</f>
        <v/>
      </c>
      <c r="E89" s="60">
        <f>AND(BX89&gt;Driver!$F$54,BX89&lt;Driver!$G$54)</f>
        <v/>
      </c>
      <c r="F89" s="60">
        <f>CL89&gt;Driver!$F$56</f>
        <v/>
      </c>
      <c r="G89" s="60">
        <f>AND(CB89&gt;Driver!$F$55,CB89&lt;Driver!$G$55)</f>
        <v/>
      </c>
      <c r="H89" s="60">
        <f>AND(B89:G89)</f>
        <v/>
      </c>
      <c r="I89" s="60">
        <f>COUNTIFS($H$9:$H$1273,TRUE,$BT$9:$BT$1273,BT89)</f>
        <v/>
      </c>
      <c r="J89" s="60">
        <f t="array" ref="J89">NOT(OR(($H$9:$H$1273=TRUE)*($I$9:$I$1273&gt;0)*($BT$9:$BT$1273=BT89)*($K$9:$K$1273&gt;K89)))</f>
        <v/>
      </c>
      <c r="K89" s="108">
        <f>IFERROR(1-AVERAGE(X89:Y89),"")</f>
        <v/>
      </c>
      <c r="L89" s="108">
        <f>1-X89</f>
        <v/>
      </c>
      <c r="M89" s="108">
        <f>1-Y89</f>
        <v/>
      </c>
      <c r="N89" s="108">
        <f>1-Z89</f>
        <v/>
      </c>
      <c r="O89" s="108">
        <f>1-AA89</f>
        <v/>
      </c>
      <c r="P89" s="108">
        <f>1-AB89</f>
        <v/>
      </c>
      <c r="Q89" s="108" t="n"/>
      <c r="R89" s="108" t="n"/>
      <c r="S89" s="108">
        <f>1-AE89</f>
        <v/>
      </c>
      <c r="T89" s="108">
        <f>1-AF89</f>
        <v/>
      </c>
      <c r="U89" s="108">
        <f>1-AG89</f>
        <v/>
      </c>
      <c r="V89" s="108">
        <f>1-AH89</f>
        <v/>
      </c>
      <c r="W89" s="108">
        <f>1-AI89</f>
        <v/>
      </c>
      <c r="X89" s="108">
        <f>ABS(AJ89-AJ$1)</f>
        <v/>
      </c>
      <c r="Y89" s="108">
        <f>AVERAGE(Z89:AB89)</f>
        <v/>
      </c>
      <c r="Z89" s="108">
        <f>ABS(AL89-AL$1)</f>
        <v/>
      </c>
      <c r="AA89" s="108">
        <f>ABS(AM89-AM$1)</f>
        <v/>
      </c>
      <c r="AB89" s="108">
        <f>ABS(AN89-AN$1)</f>
        <v/>
      </c>
      <c r="AC89" s="108" t="n"/>
      <c r="AD89" s="108" t="n"/>
      <c r="AE89" s="108">
        <f>ABS(AQ$1-AQ89)</f>
        <v/>
      </c>
      <c r="AF89" s="108">
        <f>ABS(AR$1-AR89)</f>
        <v/>
      </c>
      <c r="AG89" s="108">
        <f>ABS(AS$1-AS89)</f>
        <v/>
      </c>
      <c r="AH89" s="108">
        <f>ABS(AT$1-AT89)</f>
        <v/>
      </c>
      <c r="AI89" s="108">
        <f>ABS(AU$1-AU89)</f>
        <v/>
      </c>
      <c r="AJ89" s="108">
        <f>(AV89-Driver!$K$179)/(Driver!$L$179-Driver!$K$179)</f>
        <v/>
      </c>
      <c r="AK89" s="108">
        <f>(AW89-Driver!$K$180)/(Driver!$L$180-Driver!$K$180)</f>
        <v/>
      </c>
      <c r="AL89" s="108">
        <f>(AX89-Driver!$K$181)/(Driver!$L$181-Driver!$K$181)</f>
        <v/>
      </c>
      <c r="AM89" s="108">
        <f>(AY89-Driver!$K$182)/(Driver!$L$182-Driver!$K$182)</f>
        <v/>
      </c>
      <c r="AN89" s="108">
        <f>(AZ89-Driver!$K$183)/(Driver!$L$183-Driver!$K$183)</f>
        <v/>
      </c>
      <c r="AO89" s="108" t="n"/>
      <c r="AP89" s="108" t="n"/>
      <c r="AQ89" s="108">
        <f>(BC89-Driver!$K$188)/(Driver!$L$188-Driver!$K$188)</f>
        <v/>
      </c>
      <c r="AR89" s="108">
        <f>MIN((BD89-Driver!$K$189)/(Driver!$L$189-Driver!$K$189),100%)</f>
        <v/>
      </c>
      <c r="AS89" s="108">
        <f>(BE89-Driver!$K$190)/(Driver!$L$190-Driver!$K$190)</f>
        <v/>
      </c>
      <c r="AT89" s="108">
        <f>(BF89-Driver!$K$191)/(Driver!$L$191-Driver!$K$191)</f>
        <v/>
      </c>
      <c r="AU89" s="108">
        <f>(BG89-Driver!$K$192)/(Driver!$L$192-Driver!$K$192)</f>
        <v/>
      </c>
      <c r="AV89" s="105">
        <f>IFERROR(BM89*BJ89^1/4,"")</f>
        <v/>
      </c>
      <c r="AW89" s="105">
        <f>IFERROR(SUM(AX89:AZ89),"")</f>
        <v/>
      </c>
      <c r="AX89" s="105">
        <f>IFERROR(BH89,"")</f>
        <v/>
      </c>
      <c r="AY89" s="105">
        <f>IFERROR(Driver!$K$19/Data!BH89/Data!BI89*Data!BK89*Data!BL89,"")</f>
        <v/>
      </c>
      <c r="AZ89" s="105">
        <f>IFERROR(BI89*BN89,"")</f>
        <v/>
      </c>
      <c r="BA89" s="105" t="n"/>
      <c r="BB89" s="105" t="n"/>
      <c r="BC89" s="105">
        <f>IFERROR(BI89*BN89*BK89/BJ89^(1/2),"")</f>
        <v/>
      </c>
      <c r="BD89" s="105">
        <f>IFERROR(BH89*BM89*BL89/BJ89/BK89,"")</f>
        <v/>
      </c>
      <c r="BE89" s="105">
        <f>IFERROR(MIN(BI89/BQ89/BP89/BO89/BH89,$BE$1),"")</f>
        <v/>
      </c>
      <c r="BF89" s="105">
        <f>IFERROR(BJ89*BO89*BP89/BK89,"")</f>
        <v/>
      </c>
      <c r="BG89" s="105">
        <f>IFERROR(1/BM89/BH89*BQ89,"")</f>
        <v/>
      </c>
      <c r="BH89" s="102">
        <f>MAX((CE89-Driver!$F$200)/(Driver!$G$200-Driver!$F$200)*$BI$1,1)</f>
        <v/>
      </c>
      <c r="BI89" s="102">
        <f>MAX($BI$1*(BY89-Driver!$F$201)/(Driver!$G$201-Driver!$F$201),1)</f>
        <v/>
      </c>
      <c r="BJ89" s="102">
        <f>(CB89-Driver!$F$206)/(Driver!$G$206-Driver!$F$206)*$BI$1</f>
        <v/>
      </c>
      <c r="BK89" s="102">
        <f>(CD89-Driver!$F$203)/(Driver!$G$203-Driver!$F$203)*$BI$1</f>
        <v/>
      </c>
      <c r="BL89" s="102">
        <f>MAX((CR89-Driver!$F$202)/(Driver!$G$202-Driver!$F$202)*$BI$1,1)</f>
        <v/>
      </c>
      <c r="BM89" s="102">
        <f>MAX((CH89-Driver!$F$204)/(Driver!$G$204-Driver!$F$204)*$BI$1,1)</f>
        <v/>
      </c>
      <c r="BN89" s="102">
        <f>(CI89-Driver!$F$205)/(Driver!$G$205-Driver!$F$205)*$BI$1</f>
        <v/>
      </c>
      <c r="BO89" s="102">
        <f>(CK89-Driver!$F$207)/(Driver!$G$207-Driver!$F$207)*$BI$1</f>
        <v/>
      </c>
      <c r="BP89" s="102">
        <f>(CM89-Driver!$F$208)/(Driver!$G$208-Driver!$F$208)*$BI$1</f>
        <v/>
      </c>
      <c r="BQ89" s="102">
        <f>(CL89-Driver!$F$209)/(Driver!$G$209-Driver!$F$209)*$BI$1</f>
        <v/>
      </c>
      <c r="BR89" s="40" t="inlineStr">
        <is>
          <t>21/22</t>
        </is>
      </c>
      <c r="BS89" s="10" t="inlineStr">
        <is>
          <t xml:space="preserve"> Elan</t>
        </is>
      </c>
      <c r="BT89" s="11" t="inlineStr">
        <is>
          <t>Wildcat 82 C</t>
        </is>
      </c>
      <c r="BU89" s="13" t="n">
        <v>164</v>
      </c>
      <c r="BV89" s="11" t="inlineStr">
        <is>
          <t xml:space="preserve"> Women's</t>
        </is>
      </c>
      <c r="BW89" s="13" t="n">
        <v>164</v>
      </c>
      <c r="BX89" s="13" t="n">
        <v>165.1</v>
      </c>
      <c r="BY89" s="13" t="n">
        <v>135</v>
      </c>
      <c r="BZ89" s="13" t="n">
        <v>145</v>
      </c>
      <c r="CA89" s="13" t="n">
        <v>129</v>
      </c>
      <c r="CB89" s="13" t="n">
        <v>82</v>
      </c>
      <c r="CC89" s="13" t="n">
        <v>112</v>
      </c>
      <c r="CD89" s="13" t="n">
        <v>13.1</v>
      </c>
      <c r="CE89" s="13" t="n">
        <v>1818</v>
      </c>
      <c r="CF89" s="13" t="n">
        <v>0.88</v>
      </c>
      <c r="CG89" s="13" t="n">
        <v>1600</v>
      </c>
      <c r="CH89" s="13" t="n">
        <v>222</v>
      </c>
      <c r="CI89" s="13" t="n">
        <v>89</v>
      </c>
      <c r="CJ89" s="13" t="n">
        <v>41</v>
      </c>
      <c r="CK89" s="13" t="n">
        <v>185</v>
      </c>
      <c r="CL89" s="13" t="n">
        <v>9</v>
      </c>
      <c r="CM89" s="13" t="n">
        <v>117</v>
      </c>
      <c r="CN89" s="13" t="n">
        <v>0.22</v>
      </c>
      <c r="CO89" s="13" t="n">
        <v>109</v>
      </c>
      <c r="CP89" s="13" t="n">
        <v>91</v>
      </c>
      <c r="CQ89" s="13" t="n">
        <v>76</v>
      </c>
      <c r="CR89" s="13" t="n">
        <v>8</v>
      </c>
      <c r="CS89" s="13" t="n">
        <v>8.6</v>
      </c>
      <c r="CT89" s="11" t="inlineStr">
        <is>
          <t xml:space="preserve"> On-Piste All-Mountain</t>
        </is>
      </c>
      <c r="CU89" s="11" t="inlineStr">
        <is>
          <t xml:space="preserve"> Resort Freeride</t>
        </is>
      </c>
      <c r="CV89" s="13" t="n"/>
      <c r="CW89" s="13" t="n"/>
      <c r="CX89">
        <f>INDEX('Data_Price '!AG$2:AG$1266,MATCH(Data!$DN89,'Data_Price '!$AT$2:$AT$1266,0))</f>
        <v/>
      </c>
      <c r="CY89">
        <f>INDEX('Data_Price '!AH$2:AH$1266,MATCH(Data!$DN89,'Data_Price '!$AT$2:$AT$1266,0))</f>
        <v/>
      </c>
      <c r="CZ89">
        <f>INDEX('Data_Price '!AI$2:AI$1266,MATCH(Data!$DN89,'Data_Price '!$AT$2:$AT$1266,0))</f>
        <v/>
      </c>
      <c r="DA89">
        <f>INDEX('Data_Price '!AJ$2:AJ$1266,MATCH(Data!$DN89,'Data_Price '!$AT$2:$AT$1266,0))</f>
        <v/>
      </c>
      <c r="DB89">
        <f>INDEX('Data_Price '!AK$2:AK$1266,MATCH(Data!$DN89,'Data_Price '!$AT$2:$AT$1266,0))</f>
        <v/>
      </c>
      <c r="DC89">
        <f>INDEX('Data_Price '!AL$2:AL$1266,MATCH(Data!$DN89,'Data_Price '!$AT$2:$AT$1266,0))</f>
        <v/>
      </c>
      <c r="DD89">
        <f>INDEX('Data_Price '!AM$2:AM$1266,MATCH(Data!$DN89,'Data_Price '!$AT$2:$AT$1266,0))</f>
        <v/>
      </c>
      <c r="DE89">
        <f>INDEX('Data_Price '!AN$2:AN$1266,MATCH(Data!$DN89,'Data_Price '!$AT$2:$AT$1266,0))</f>
        <v/>
      </c>
      <c r="DF89">
        <f>INDEX('Data_Price '!AO$2:AO$1266,MATCH(Data!$DN89,'Data_Price '!$AT$2:$AT$1266,0))</f>
        <v/>
      </c>
      <c r="DG89">
        <f>INDEX('Data_Price '!AP$2:AP$1266,MATCH(Data!$DN89,'Data_Price '!$AT$2:$AT$1266,0))</f>
        <v/>
      </c>
      <c r="DH89">
        <f>INDEX('Data_Price '!AQ$2:AQ$1266,MATCH(Data!$DN89,'Data_Price '!$AT$2:$AT$1266,0))</f>
        <v/>
      </c>
      <c r="DI89">
        <f>INDEX('Data_Price '!AR$2:AR$1266,MATCH(Data!$DN89,'Data_Price '!$AT$2:$AT$1266,0))</f>
        <v/>
      </c>
      <c r="DJ89" s="138">
        <f>DA89</f>
        <v/>
      </c>
      <c r="DK89" s="138">
        <f>DE89</f>
        <v/>
      </c>
      <c r="DL89" s="138">
        <f>DI89</f>
        <v/>
      </c>
      <c r="DM89" s="303">
        <f>IF(LEFT(BT89,1)=" ",RIGHT(BT89,LEN(BT89)-1),BT89)</f>
        <v/>
      </c>
      <c r="DN89" s="138">
        <f>_xlfn.CONCAT(BS89,DM89,BU89,BV89)</f>
        <v/>
      </c>
      <c r="DO89" s="307" t="n"/>
    </row>
    <row r="90" ht="15.6" customHeight="1" s="184">
      <c r="B90" s="303">
        <f t="array" ref="B90">IF(OR(ISERROR(K90:P90)),FALSE,TRUE)</f>
        <v/>
      </c>
      <c r="C90" s="60">
        <f>OR(BR90=Driver!$G$50,Data!BR581=Driver!$H$50)</f>
        <v/>
      </c>
      <c r="D90" s="60">
        <f>OR(BV90=Driver!$G$51,BV90=Driver!$H$51)</f>
        <v/>
      </c>
      <c r="E90" s="60">
        <f>AND(BX90&gt;Driver!$F$54,BX90&lt;Driver!$G$54)</f>
        <v/>
      </c>
      <c r="F90" s="60">
        <f>CL90&gt;Driver!$F$56</f>
        <v/>
      </c>
      <c r="G90" s="60">
        <f>AND(CB90&gt;Driver!$F$55,CB90&lt;Driver!$G$55)</f>
        <v/>
      </c>
      <c r="H90" s="60">
        <f>AND(B90:G90)</f>
        <v/>
      </c>
      <c r="I90" s="60">
        <f>COUNTIFS($H$9:$H$1273,TRUE,$BT$9:$BT$1273,BT90)</f>
        <v/>
      </c>
      <c r="J90" s="60">
        <f t="array" ref="J90">NOT(OR(($H$9:$H$1273=TRUE)*($I$9:$I$1273&gt;0)*($BT$9:$BT$1273=BT90)*($K$9:$K$1273&gt;K90)))</f>
        <v/>
      </c>
      <c r="K90" s="108">
        <f>IFERROR(1-AVERAGE(X90:Y90),"")</f>
        <v/>
      </c>
      <c r="L90" s="108">
        <f>1-X90</f>
        <v/>
      </c>
      <c r="M90" s="108">
        <f>1-Y90</f>
        <v/>
      </c>
      <c r="N90" s="108">
        <f>1-Z90</f>
        <v/>
      </c>
      <c r="O90" s="108">
        <f>1-AA90</f>
        <v/>
      </c>
      <c r="P90" s="108">
        <f>1-AB90</f>
        <v/>
      </c>
      <c r="Q90" s="108" t="n"/>
      <c r="R90" s="108" t="n"/>
      <c r="S90" s="108">
        <f>1-AE90</f>
        <v/>
      </c>
      <c r="T90" s="108">
        <f>1-AF90</f>
        <v/>
      </c>
      <c r="U90" s="108">
        <f>1-AG90</f>
        <v/>
      </c>
      <c r="V90" s="108">
        <f>1-AH90</f>
        <v/>
      </c>
      <c r="W90" s="108">
        <f>1-AI90</f>
        <v/>
      </c>
      <c r="X90" s="108">
        <f>ABS(AJ90-AJ$1)</f>
        <v/>
      </c>
      <c r="Y90" s="108">
        <f>AVERAGE(Z90:AB90)</f>
        <v/>
      </c>
      <c r="Z90" s="108">
        <f>ABS(AL90-AL$1)</f>
        <v/>
      </c>
      <c r="AA90" s="108">
        <f>ABS(AM90-AM$1)</f>
        <v/>
      </c>
      <c r="AB90" s="108">
        <f>ABS(AN90-AN$1)</f>
        <v/>
      </c>
      <c r="AC90" s="108" t="n"/>
      <c r="AD90" s="108" t="n"/>
      <c r="AE90" s="108">
        <f>ABS(AQ$1-AQ90)</f>
        <v/>
      </c>
      <c r="AF90" s="108">
        <f>ABS(AR$1-AR90)</f>
        <v/>
      </c>
      <c r="AG90" s="108">
        <f>ABS(AS$1-AS90)</f>
        <v/>
      </c>
      <c r="AH90" s="108">
        <f>ABS(AT$1-AT90)</f>
        <v/>
      </c>
      <c r="AI90" s="108">
        <f>ABS(AU$1-AU90)</f>
        <v/>
      </c>
      <c r="AJ90" s="108">
        <f>(AV90-Driver!$K$179)/(Driver!$L$179-Driver!$K$179)</f>
        <v/>
      </c>
      <c r="AK90" s="108">
        <f>(AW90-Driver!$K$180)/(Driver!$L$180-Driver!$K$180)</f>
        <v/>
      </c>
      <c r="AL90" s="108">
        <f>(AX90-Driver!$K$181)/(Driver!$L$181-Driver!$K$181)</f>
        <v/>
      </c>
      <c r="AM90" s="108">
        <f>(AY90-Driver!$K$182)/(Driver!$L$182-Driver!$K$182)</f>
        <v/>
      </c>
      <c r="AN90" s="108">
        <f>(AZ90-Driver!$K$183)/(Driver!$L$183-Driver!$K$183)</f>
        <v/>
      </c>
      <c r="AO90" s="108" t="n"/>
      <c r="AP90" s="108" t="n"/>
      <c r="AQ90" s="108">
        <f>(BC90-Driver!$K$188)/(Driver!$L$188-Driver!$K$188)</f>
        <v/>
      </c>
      <c r="AR90" s="108">
        <f>MIN((BD90-Driver!$K$189)/(Driver!$L$189-Driver!$K$189),100%)</f>
        <v/>
      </c>
      <c r="AS90" s="108">
        <f>(BE90-Driver!$K$190)/(Driver!$L$190-Driver!$K$190)</f>
        <v/>
      </c>
      <c r="AT90" s="108">
        <f>(BF90-Driver!$K$191)/(Driver!$L$191-Driver!$K$191)</f>
        <v/>
      </c>
      <c r="AU90" s="108">
        <f>(BG90-Driver!$K$192)/(Driver!$L$192-Driver!$K$192)</f>
        <v/>
      </c>
      <c r="AV90" s="105">
        <f>IFERROR(BM90*BJ90^1/4,"")</f>
        <v/>
      </c>
      <c r="AW90" s="105">
        <f>IFERROR(SUM(AX90:AZ90),"")</f>
        <v/>
      </c>
      <c r="AX90" s="105">
        <f>IFERROR(BH90,"")</f>
        <v/>
      </c>
      <c r="AY90" s="105">
        <f>IFERROR(Driver!$K$19/Data!BH90/Data!BI90*Data!BK90*Data!BL90,"")</f>
        <v/>
      </c>
      <c r="AZ90" s="105">
        <f>IFERROR(BI90*BN90,"")</f>
        <v/>
      </c>
      <c r="BA90" s="105" t="n"/>
      <c r="BB90" s="105" t="n"/>
      <c r="BC90" s="105">
        <f>IFERROR(BI90*BN90*BK90/BJ90^(1/2),"")</f>
        <v/>
      </c>
      <c r="BD90" s="105">
        <f>IFERROR(BH90*BM90*BL90/BJ90/BK90,"")</f>
        <v/>
      </c>
      <c r="BE90" s="105">
        <f>IFERROR(MIN(BI90/BQ90/BP90/BO90/BH90,$BE$1),"")</f>
        <v/>
      </c>
      <c r="BF90" s="105">
        <f>IFERROR(BJ90*BO90*BP90/BK90,"")</f>
        <v/>
      </c>
      <c r="BG90" s="105">
        <f>IFERROR(1/BM90/BH90*BQ90,"")</f>
        <v/>
      </c>
      <c r="BH90" s="102">
        <f>MAX((CE90-Driver!$F$200)/(Driver!$G$200-Driver!$F$200)*$BI$1,1)</f>
        <v/>
      </c>
      <c r="BI90" s="102">
        <f>MAX($BI$1*(BY90-Driver!$F$201)/(Driver!$G$201-Driver!$F$201),1)</f>
        <v/>
      </c>
      <c r="BJ90" s="102">
        <f>(CB90-Driver!$F$206)/(Driver!$G$206-Driver!$F$206)*$BI$1</f>
        <v/>
      </c>
      <c r="BK90" s="102">
        <f>(CD90-Driver!$F$203)/(Driver!$G$203-Driver!$F$203)*$BI$1</f>
        <v/>
      </c>
      <c r="BL90" s="102">
        <f>MAX((CR90-Driver!$F$202)/(Driver!$G$202-Driver!$F$202)*$BI$1,1)</f>
        <v/>
      </c>
      <c r="BM90" s="102">
        <f>MAX((CH90-Driver!$F$204)/(Driver!$G$204-Driver!$F$204)*$BI$1,1)</f>
        <v/>
      </c>
      <c r="BN90" s="102">
        <f>(CI90-Driver!$F$205)/(Driver!$G$205-Driver!$F$205)*$BI$1</f>
        <v/>
      </c>
      <c r="BO90" s="102">
        <f>(CK90-Driver!$F$207)/(Driver!$G$207-Driver!$F$207)*$BI$1</f>
        <v/>
      </c>
      <c r="BP90" s="102">
        <f>(CM90-Driver!$F$208)/(Driver!$G$208-Driver!$F$208)*$BI$1</f>
        <v/>
      </c>
      <c r="BQ90" s="102">
        <f>(CL90-Driver!$F$209)/(Driver!$G$209-Driver!$F$209)*$BI$1</f>
        <v/>
      </c>
      <c r="BR90" s="40" t="inlineStr">
        <is>
          <t>21/22</t>
        </is>
      </c>
      <c r="BS90" s="10" t="inlineStr">
        <is>
          <t xml:space="preserve"> Fischer</t>
        </is>
      </c>
      <c r="BT90" s="11" t="inlineStr">
        <is>
          <t>Ranger 94 FR</t>
        </is>
      </c>
      <c r="BU90" s="13" t="n">
        <v>169</v>
      </c>
      <c r="BV90" s="11" t="inlineStr">
        <is>
          <t xml:space="preserve"> Unisex</t>
        </is>
      </c>
      <c r="BW90" s="13" t="n">
        <v>169</v>
      </c>
      <c r="BX90" s="13" t="n">
        <v>168.3</v>
      </c>
      <c r="BY90" s="13" t="n">
        <v>119</v>
      </c>
      <c r="BZ90" s="13" t="n">
        <v>137</v>
      </c>
      <c r="CA90" s="13" t="n">
        <v>125</v>
      </c>
      <c r="CB90" s="13" t="n">
        <v>90</v>
      </c>
      <c r="CC90" s="13" t="n">
        <v>115</v>
      </c>
      <c r="CD90" s="13" t="n">
        <v>13.2</v>
      </c>
      <c r="CE90" s="13" t="n">
        <v>1713</v>
      </c>
      <c r="CF90" s="13" t="n">
        <v>1.01</v>
      </c>
      <c r="CG90" s="13" t="n">
        <v>1736</v>
      </c>
      <c r="CH90" s="13" t="n">
        <v>207</v>
      </c>
      <c r="CI90" s="13" t="n">
        <v>104</v>
      </c>
      <c r="CJ90" s="13" t="n">
        <v>50</v>
      </c>
      <c r="CK90" s="13" t="n">
        <v>299</v>
      </c>
      <c r="CL90" s="13" t="n">
        <v>31</v>
      </c>
      <c r="CM90" s="13" t="n">
        <v>190</v>
      </c>
      <c r="CN90" s="13" t="n">
        <v>0.621</v>
      </c>
      <c r="CO90" s="13" t="n">
        <v>167</v>
      </c>
      <c r="CP90" s="13" t="n">
        <v>145</v>
      </c>
      <c r="CQ90" s="13" t="n">
        <v>132</v>
      </c>
      <c r="CR90" s="13" t="n">
        <v>6</v>
      </c>
      <c r="CS90" s="13" t="n">
        <v>8</v>
      </c>
      <c r="CT90" s="11" t="inlineStr">
        <is>
          <t xml:space="preserve"> Resort Freeride</t>
        </is>
      </c>
      <c r="CU90" s="13" t="n"/>
      <c r="CV90" s="13" t="n"/>
      <c r="CW90" s="13" t="n"/>
      <c r="CX90">
        <f>INDEX('Data_Price '!AG$2:AG$1266,MATCH(Data!$DN90,'Data_Price '!$AT$2:$AT$1266,0))</f>
        <v/>
      </c>
      <c r="CY90">
        <f>INDEX('Data_Price '!AH$2:AH$1266,MATCH(Data!$DN90,'Data_Price '!$AT$2:$AT$1266,0))</f>
        <v/>
      </c>
      <c r="CZ90">
        <f>INDEX('Data_Price '!AI$2:AI$1266,MATCH(Data!$DN90,'Data_Price '!$AT$2:$AT$1266,0))</f>
        <v/>
      </c>
      <c r="DA90">
        <f>INDEX('Data_Price '!AJ$2:AJ$1266,MATCH(Data!$DN90,'Data_Price '!$AT$2:$AT$1266,0))</f>
        <v/>
      </c>
      <c r="DB90">
        <f>INDEX('Data_Price '!AK$2:AK$1266,MATCH(Data!$DN90,'Data_Price '!$AT$2:$AT$1266,0))</f>
        <v/>
      </c>
      <c r="DC90">
        <f>INDEX('Data_Price '!AL$2:AL$1266,MATCH(Data!$DN90,'Data_Price '!$AT$2:$AT$1266,0))</f>
        <v/>
      </c>
      <c r="DD90">
        <f>INDEX('Data_Price '!AM$2:AM$1266,MATCH(Data!$DN90,'Data_Price '!$AT$2:$AT$1266,0))</f>
        <v/>
      </c>
      <c r="DE90">
        <f>INDEX('Data_Price '!AN$2:AN$1266,MATCH(Data!$DN90,'Data_Price '!$AT$2:$AT$1266,0))</f>
        <v/>
      </c>
      <c r="DF90">
        <f>INDEX('Data_Price '!AO$2:AO$1266,MATCH(Data!$DN90,'Data_Price '!$AT$2:$AT$1266,0))</f>
        <v/>
      </c>
      <c r="DG90">
        <f>INDEX('Data_Price '!AP$2:AP$1266,MATCH(Data!$DN90,'Data_Price '!$AT$2:$AT$1266,0))</f>
        <v/>
      </c>
      <c r="DH90">
        <f>INDEX('Data_Price '!AQ$2:AQ$1266,MATCH(Data!$DN90,'Data_Price '!$AT$2:$AT$1266,0))</f>
        <v/>
      </c>
      <c r="DI90">
        <f>INDEX('Data_Price '!AR$2:AR$1266,MATCH(Data!$DN90,'Data_Price '!$AT$2:$AT$1266,0))</f>
        <v/>
      </c>
      <c r="DJ90" s="138">
        <f>DA90</f>
        <v/>
      </c>
      <c r="DK90" s="138">
        <f>DE90</f>
        <v/>
      </c>
      <c r="DL90" s="138">
        <f>DI90</f>
        <v/>
      </c>
      <c r="DM90" s="303">
        <f>IF(LEFT(BT90,1)=" ",RIGHT(BT90,LEN(BT90)-1),BT90)</f>
        <v/>
      </c>
      <c r="DN90" s="138">
        <f>_xlfn.CONCAT(BS90,DM90,BU90,BV90)</f>
        <v/>
      </c>
      <c r="DO90" s="307" t="n"/>
    </row>
    <row r="91" ht="15.6" customHeight="1" s="184">
      <c r="B91" s="303">
        <f t="array" ref="B91">IF(OR(ISERROR(K91:P91)),FALSE,TRUE)</f>
        <v/>
      </c>
      <c r="C91" s="60">
        <f>OR(BR91=Driver!$G$50,Data!BR362=Driver!$H$50)</f>
        <v/>
      </c>
      <c r="D91" s="60">
        <f>OR(BV91=Driver!$G$51,BV91=Driver!$H$51)</f>
        <v/>
      </c>
      <c r="E91" s="60">
        <f>AND(BX91&gt;Driver!$F$54,BX91&lt;Driver!$G$54)</f>
        <v/>
      </c>
      <c r="F91" s="60">
        <f>CL91&gt;Driver!$F$56</f>
        <v/>
      </c>
      <c r="G91" s="60">
        <f>AND(CB91&gt;Driver!$F$55,CB91&lt;Driver!$G$55)</f>
        <v/>
      </c>
      <c r="H91" s="60">
        <f>AND(B91:G91)</f>
        <v/>
      </c>
      <c r="I91" s="60">
        <f>COUNTIFS($H$9:$H$1273,TRUE,$BT$9:$BT$1273,BT91)</f>
        <v/>
      </c>
      <c r="J91" s="60">
        <f t="array" ref="J91">NOT(OR(($H$9:$H$1273=TRUE)*($I$9:$I$1273&gt;0)*($BT$9:$BT$1273=BT91)*($K$9:$K$1273&gt;K91)))</f>
        <v/>
      </c>
      <c r="K91" s="108">
        <f>IFERROR(1-AVERAGE(X91:Y91),"")</f>
        <v/>
      </c>
      <c r="L91" s="108">
        <f>1-X91</f>
        <v/>
      </c>
      <c r="M91" s="108">
        <f>1-Y91</f>
        <v/>
      </c>
      <c r="N91" s="108">
        <f>1-Z91</f>
        <v/>
      </c>
      <c r="O91" s="108">
        <f>1-AA91</f>
        <v/>
      </c>
      <c r="P91" s="108">
        <f>1-AB91</f>
        <v/>
      </c>
      <c r="Q91" s="108" t="n"/>
      <c r="R91" s="108" t="n"/>
      <c r="S91" s="108">
        <f>1-AE91</f>
        <v/>
      </c>
      <c r="T91" s="108">
        <f>1-AF91</f>
        <v/>
      </c>
      <c r="U91" s="108">
        <f>1-AG91</f>
        <v/>
      </c>
      <c r="V91" s="108">
        <f>1-AH91</f>
        <v/>
      </c>
      <c r="W91" s="108">
        <f>1-AI91</f>
        <v/>
      </c>
      <c r="X91" s="108">
        <f>ABS(AJ91-AJ$1)</f>
        <v/>
      </c>
      <c r="Y91" s="108">
        <f>AVERAGE(Z91:AB91)</f>
        <v/>
      </c>
      <c r="Z91" s="108">
        <f>ABS(AL91-AL$1)</f>
        <v/>
      </c>
      <c r="AA91" s="108">
        <f>ABS(AM91-AM$1)</f>
        <v/>
      </c>
      <c r="AB91" s="108">
        <f>ABS(AN91-AN$1)</f>
        <v/>
      </c>
      <c r="AC91" s="108" t="n"/>
      <c r="AD91" s="108" t="n"/>
      <c r="AE91" s="108">
        <f>ABS(AQ$1-AQ91)</f>
        <v/>
      </c>
      <c r="AF91" s="108">
        <f>ABS(AR$1-AR91)</f>
        <v/>
      </c>
      <c r="AG91" s="108">
        <f>ABS(AS$1-AS91)</f>
        <v/>
      </c>
      <c r="AH91" s="108">
        <f>ABS(AT$1-AT91)</f>
        <v/>
      </c>
      <c r="AI91" s="108">
        <f>ABS(AU$1-AU91)</f>
        <v/>
      </c>
      <c r="AJ91" s="108">
        <f>(AV91-Driver!$K$179)/(Driver!$L$179-Driver!$K$179)</f>
        <v/>
      </c>
      <c r="AK91" s="108">
        <f>(AW91-Driver!$K$180)/(Driver!$L$180-Driver!$K$180)</f>
        <v/>
      </c>
      <c r="AL91" s="108">
        <f>(AX91-Driver!$K$181)/(Driver!$L$181-Driver!$K$181)</f>
        <v/>
      </c>
      <c r="AM91" s="108">
        <f>(AY91-Driver!$K$182)/(Driver!$L$182-Driver!$K$182)</f>
        <v/>
      </c>
      <c r="AN91" s="108">
        <f>(AZ91-Driver!$K$183)/(Driver!$L$183-Driver!$K$183)</f>
        <v/>
      </c>
      <c r="AO91" s="108" t="n"/>
      <c r="AP91" s="108" t="n"/>
      <c r="AQ91" s="108">
        <f>(BC91-Driver!$K$188)/(Driver!$L$188-Driver!$K$188)</f>
        <v/>
      </c>
      <c r="AR91" s="108">
        <f>MIN((BD91-Driver!$K$189)/(Driver!$L$189-Driver!$K$189),100%)</f>
        <v/>
      </c>
      <c r="AS91" s="108">
        <f>(BE91-Driver!$K$190)/(Driver!$L$190-Driver!$K$190)</f>
        <v/>
      </c>
      <c r="AT91" s="108">
        <f>(BF91-Driver!$K$191)/(Driver!$L$191-Driver!$K$191)</f>
        <v/>
      </c>
      <c r="AU91" s="108">
        <f>(BG91-Driver!$K$192)/(Driver!$L$192-Driver!$K$192)</f>
        <v/>
      </c>
      <c r="AV91" s="105">
        <f>IFERROR(BM91*BJ91^1/4,"")</f>
        <v/>
      </c>
      <c r="AW91" s="105">
        <f>IFERROR(SUM(AX91:AZ91),"")</f>
        <v/>
      </c>
      <c r="AX91" s="105">
        <f>IFERROR(BH91,"")</f>
        <v/>
      </c>
      <c r="AY91" s="105">
        <f>IFERROR(Driver!$K$19/Data!BH91/Data!BI91*Data!BK91*Data!BL91,"")</f>
        <v/>
      </c>
      <c r="AZ91" s="105">
        <f>IFERROR(BI91*BN91,"")</f>
        <v/>
      </c>
      <c r="BA91" s="105" t="n"/>
      <c r="BB91" s="105" t="n"/>
      <c r="BC91" s="105">
        <f>IFERROR(BI91*BN91*BK91/BJ91^(1/2),"")</f>
        <v/>
      </c>
      <c r="BD91" s="105">
        <f>IFERROR(BH91*BM91*BL91/BJ91/BK91,"")</f>
        <v/>
      </c>
      <c r="BE91" s="105">
        <f>IFERROR(MIN(BI91/BQ91/BP91/BO91/BH91,$BE$1),"")</f>
        <v/>
      </c>
      <c r="BF91" s="105">
        <f>IFERROR(BJ91*BO91*BP91/BK91,"")</f>
        <v/>
      </c>
      <c r="BG91" s="105">
        <f>IFERROR(1/BM91/BH91*BQ91,"")</f>
        <v/>
      </c>
      <c r="BH91" s="102">
        <f>MAX((CE91-Driver!$F$200)/(Driver!$G$200-Driver!$F$200)*$BI$1,1)</f>
        <v/>
      </c>
      <c r="BI91" s="102">
        <f>MAX($BI$1*(BY91-Driver!$F$201)/(Driver!$G$201-Driver!$F$201),1)</f>
        <v/>
      </c>
      <c r="BJ91" s="102">
        <f>(CB91-Driver!$F$206)/(Driver!$G$206-Driver!$F$206)*$BI$1</f>
        <v/>
      </c>
      <c r="BK91" s="102">
        <f>(CD91-Driver!$F$203)/(Driver!$G$203-Driver!$F$203)*$BI$1</f>
        <v/>
      </c>
      <c r="BL91" s="102">
        <f>MAX((CR91-Driver!$F$202)/(Driver!$G$202-Driver!$F$202)*$BI$1,1)</f>
        <v/>
      </c>
      <c r="BM91" s="102">
        <f>MAX((CH91-Driver!$F$204)/(Driver!$G$204-Driver!$F$204)*$BI$1,1)</f>
        <v/>
      </c>
      <c r="BN91" s="102">
        <f>(CI91-Driver!$F$205)/(Driver!$G$205-Driver!$F$205)*$BI$1</f>
        <v/>
      </c>
      <c r="BO91" s="102">
        <f>(CK91-Driver!$F$207)/(Driver!$G$207-Driver!$F$207)*$BI$1</f>
        <v/>
      </c>
      <c r="BP91" s="102">
        <f>(CM91-Driver!$F$208)/(Driver!$G$208-Driver!$F$208)*$BI$1</f>
        <v/>
      </c>
      <c r="BQ91" s="102">
        <f>(CL91-Driver!$F$209)/(Driver!$G$209-Driver!$F$209)*$BI$1</f>
        <v/>
      </c>
      <c r="BR91" s="40" t="inlineStr">
        <is>
          <t>21/22</t>
        </is>
      </c>
      <c r="BS91" s="10" t="inlineStr">
        <is>
          <t xml:space="preserve"> DPS</t>
        </is>
      </c>
      <c r="BT91" s="11" t="inlineStr">
        <is>
          <t>Pagoda Tour 112 RP</t>
        </is>
      </c>
      <c r="BU91" s="13" t="n">
        <v>184</v>
      </c>
      <c r="BV91" s="11" t="inlineStr">
        <is>
          <t xml:space="preserve"> Unisex</t>
        </is>
      </c>
      <c r="BW91" s="13" t="n">
        <v>184</v>
      </c>
      <c r="BX91" s="13" t="n">
        <v>182.2</v>
      </c>
      <c r="BY91" s="13" t="n">
        <v>107</v>
      </c>
      <c r="BZ91" s="13" t="n">
        <v>125</v>
      </c>
      <c r="CA91" s="13" t="n">
        <v>140</v>
      </c>
      <c r="CB91" s="13" t="n">
        <v>112</v>
      </c>
      <c r="CC91" s="13" t="n">
        <v>127</v>
      </c>
      <c r="CD91" s="13" t="n">
        <v>15.2</v>
      </c>
      <c r="CE91" s="13" t="n">
        <v>1661</v>
      </c>
      <c r="CF91" s="13" t="n">
        <v>1.33</v>
      </c>
      <c r="CG91" s="13" t="n">
        <v>2209</v>
      </c>
      <c r="CH91" s="13" t="n">
        <v>229</v>
      </c>
      <c r="CI91" s="13" t="n">
        <v>112</v>
      </c>
      <c r="CJ91" s="13" t="n">
        <v>73</v>
      </c>
      <c r="CK91" s="13" t="n">
        <v>422</v>
      </c>
      <c r="CL91" s="13" t="n">
        <v>34</v>
      </c>
      <c r="CM91" s="13" t="n">
        <v>330</v>
      </c>
      <c r="CN91" s="13" t="n">
        <v>0.464</v>
      </c>
      <c r="CO91" s="13" t="n">
        <v>304</v>
      </c>
      <c r="CP91" s="13" t="n">
        <v>270</v>
      </c>
      <c r="CQ91" s="13" t="n">
        <v>118</v>
      </c>
      <c r="CR91" s="13" t="n">
        <v>4</v>
      </c>
      <c r="CS91" s="13" t="n">
        <v>13.2</v>
      </c>
      <c r="CT91" s="11" t="inlineStr">
        <is>
          <t xml:space="preserve"> Powder</t>
        </is>
      </c>
      <c r="CU91" s="11" t="inlineStr">
        <is>
          <t xml:space="preserve"> Touring</t>
        </is>
      </c>
      <c r="CV91" s="11" t="inlineStr">
        <is>
          <t xml:space="preserve"> Ultralight Touring</t>
        </is>
      </c>
      <c r="CW91" s="13" t="n"/>
      <c r="CX91">
        <f>INDEX('Data_Price '!AG$2:AG$1266,MATCH(Data!$DN91,'Data_Price '!$AT$2:$AT$1266,0))</f>
        <v/>
      </c>
      <c r="CY91">
        <f>INDEX('Data_Price '!AH$2:AH$1266,MATCH(Data!$DN91,'Data_Price '!$AT$2:$AT$1266,0))</f>
        <v/>
      </c>
      <c r="CZ91">
        <f>INDEX('Data_Price '!AI$2:AI$1266,MATCH(Data!$DN91,'Data_Price '!$AT$2:$AT$1266,0))</f>
        <v/>
      </c>
      <c r="DA91">
        <f>INDEX('Data_Price '!AJ$2:AJ$1266,MATCH(Data!$DN91,'Data_Price '!$AT$2:$AT$1266,0))</f>
        <v/>
      </c>
      <c r="DB91">
        <f>INDEX('Data_Price '!AK$2:AK$1266,MATCH(Data!$DN91,'Data_Price '!$AT$2:$AT$1266,0))</f>
        <v/>
      </c>
      <c r="DC91">
        <f>INDEX('Data_Price '!AL$2:AL$1266,MATCH(Data!$DN91,'Data_Price '!$AT$2:$AT$1266,0))</f>
        <v/>
      </c>
      <c r="DD91">
        <f>INDEX('Data_Price '!AM$2:AM$1266,MATCH(Data!$DN91,'Data_Price '!$AT$2:$AT$1266,0))</f>
        <v/>
      </c>
      <c r="DE91">
        <f>INDEX('Data_Price '!AN$2:AN$1266,MATCH(Data!$DN91,'Data_Price '!$AT$2:$AT$1266,0))</f>
        <v/>
      </c>
      <c r="DF91">
        <f>INDEX('Data_Price '!AO$2:AO$1266,MATCH(Data!$DN91,'Data_Price '!$AT$2:$AT$1266,0))</f>
        <v/>
      </c>
      <c r="DG91">
        <f>INDEX('Data_Price '!AP$2:AP$1266,MATCH(Data!$DN91,'Data_Price '!$AT$2:$AT$1266,0))</f>
        <v/>
      </c>
      <c r="DH91">
        <f>INDEX('Data_Price '!AQ$2:AQ$1266,MATCH(Data!$DN91,'Data_Price '!$AT$2:$AT$1266,0))</f>
        <v/>
      </c>
      <c r="DI91">
        <f>INDEX('Data_Price '!AR$2:AR$1266,MATCH(Data!$DN91,'Data_Price '!$AT$2:$AT$1266,0))</f>
        <v/>
      </c>
      <c r="DJ91" s="138">
        <f>DA91</f>
        <v/>
      </c>
      <c r="DK91" s="138">
        <f>DE91</f>
        <v/>
      </c>
      <c r="DL91" s="138">
        <f>DI91</f>
        <v/>
      </c>
      <c r="DM91" s="303">
        <f>IF(LEFT(BT91,1)=" ",RIGHT(BT91,LEN(BT91)-1),BT91)</f>
        <v/>
      </c>
      <c r="DN91" s="138">
        <f>_xlfn.CONCAT(BS91,DM91,BU91,BV91)</f>
        <v/>
      </c>
      <c r="DO91" s="307" t="inlineStr">
        <is>
          <t>https://images.evo.com/imgp/250/183639/728542/dps-pagoda-tour-112-rp-skis-2022-.jpg</t>
        </is>
      </c>
    </row>
    <row r="92" ht="15.6" customHeight="1" s="184">
      <c r="B92" s="303">
        <f t="array" ref="B92">IF(OR(ISERROR(K92:P92)),FALSE,TRUE)</f>
        <v/>
      </c>
      <c r="C92" s="60">
        <f>OR(BR92=Driver!$G$50,Data!BR687=Driver!$H$50)</f>
        <v/>
      </c>
      <c r="D92" s="60">
        <f>OR(BV92=Driver!$G$51,BV92=Driver!$H$51)</f>
        <v/>
      </c>
      <c r="E92" s="60">
        <f>AND(BX92&gt;Driver!$F$54,BX92&lt;Driver!$G$54)</f>
        <v/>
      </c>
      <c r="F92" s="60">
        <f>CL92&gt;Driver!$F$56</f>
        <v/>
      </c>
      <c r="G92" s="60">
        <f>AND(CB92&gt;Driver!$F$55,CB92&lt;Driver!$G$55)</f>
        <v/>
      </c>
      <c r="H92" s="60">
        <f>AND(B92:G92)</f>
        <v/>
      </c>
      <c r="I92" s="60">
        <f>COUNTIFS($H$9:$H$1273,TRUE,$BT$9:$BT$1273,BT92)</f>
        <v/>
      </c>
      <c r="J92" s="60">
        <f t="array" ref="J92">NOT(OR(($H$9:$H$1273=TRUE)*($I$9:$I$1273&gt;0)*($BT$9:$BT$1273=BT92)*($K$9:$K$1273&gt;K92)))</f>
        <v/>
      </c>
      <c r="K92" s="108">
        <f>IFERROR(1-AVERAGE(X92:Y92),"")</f>
        <v/>
      </c>
      <c r="L92" s="108">
        <f>1-X92</f>
        <v/>
      </c>
      <c r="M92" s="108">
        <f>1-Y92</f>
        <v/>
      </c>
      <c r="N92" s="108">
        <f>1-Z92</f>
        <v/>
      </c>
      <c r="O92" s="108">
        <f>1-AA92</f>
        <v/>
      </c>
      <c r="P92" s="108">
        <f>1-AB92</f>
        <v/>
      </c>
      <c r="Q92" s="108" t="n"/>
      <c r="R92" s="108" t="n"/>
      <c r="S92" s="108">
        <f>1-AE92</f>
        <v/>
      </c>
      <c r="T92" s="108">
        <f>1-AF92</f>
        <v/>
      </c>
      <c r="U92" s="108">
        <f>1-AG92</f>
        <v/>
      </c>
      <c r="V92" s="108">
        <f>1-AH92</f>
        <v/>
      </c>
      <c r="W92" s="108">
        <f>1-AI92</f>
        <v/>
      </c>
      <c r="X92" s="108">
        <f>ABS(AJ92-AJ$1)</f>
        <v/>
      </c>
      <c r="Y92" s="108">
        <f>AVERAGE(Z92:AB92)</f>
        <v/>
      </c>
      <c r="Z92" s="108">
        <f>ABS(AL92-AL$1)</f>
        <v/>
      </c>
      <c r="AA92" s="108">
        <f>ABS(AM92-AM$1)</f>
        <v/>
      </c>
      <c r="AB92" s="108">
        <f>ABS(AN92-AN$1)</f>
        <v/>
      </c>
      <c r="AC92" s="108" t="n"/>
      <c r="AD92" s="108" t="n"/>
      <c r="AE92" s="108">
        <f>ABS(AQ$1-AQ92)</f>
        <v/>
      </c>
      <c r="AF92" s="108">
        <f>ABS(AR$1-AR92)</f>
        <v/>
      </c>
      <c r="AG92" s="108">
        <f>ABS(AS$1-AS92)</f>
        <v/>
      </c>
      <c r="AH92" s="108">
        <f>ABS(AT$1-AT92)</f>
        <v/>
      </c>
      <c r="AI92" s="108">
        <f>ABS(AU$1-AU92)</f>
        <v/>
      </c>
      <c r="AJ92" s="108">
        <f>(AV92-Driver!$K$179)/(Driver!$L$179-Driver!$K$179)</f>
        <v/>
      </c>
      <c r="AK92" s="108">
        <f>(AW92-Driver!$K$180)/(Driver!$L$180-Driver!$K$180)</f>
        <v/>
      </c>
      <c r="AL92" s="108">
        <f>(AX92-Driver!$K$181)/(Driver!$L$181-Driver!$K$181)</f>
        <v/>
      </c>
      <c r="AM92" s="108">
        <f>(AY92-Driver!$K$182)/(Driver!$L$182-Driver!$K$182)</f>
        <v/>
      </c>
      <c r="AN92" s="108">
        <f>(AZ92-Driver!$K$183)/(Driver!$L$183-Driver!$K$183)</f>
        <v/>
      </c>
      <c r="AO92" s="108" t="n"/>
      <c r="AP92" s="108" t="n"/>
      <c r="AQ92" s="108">
        <f>(BC92-Driver!$K$188)/(Driver!$L$188-Driver!$K$188)</f>
        <v/>
      </c>
      <c r="AR92" s="108">
        <f>MIN((BD92-Driver!$K$189)/(Driver!$L$189-Driver!$K$189),100%)</f>
        <v/>
      </c>
      <c r="AS92" s="108">
        <f>(BE92-Driver!$K$190)/(Driver!$L$190-Driver!$K$190)</f>
        <v/>
      </c>
      <c r="AT92" s="108">
        <f>(BF92-Driver!$K$191)/(Driver!$L$191-Driver!$K$191)</f>
        <v/>
      </c>
      <c r="AU92" s="108">
        <f>(BG92-Driver!$K$192)/(Driver!$L$192-Driver!$K$192)</f>
        <v/>
      </c>
      <c r="AV92" s="105">
        <f>IFERROR(BM92*BJ92^1/4,"")</f>
        <v/>
      </c>
      <c r="AW92" s="105">
        <f>IFERROR(SUM(AX92:AZ92),"")</f>
        <v/>
      </c>
      <c r="AX92" s="105">
        <f>IFERROR(BH92,"")</f>
        <v/>
      </c>
      <c r="AY92" s="105">
        <f>IFERROR(Driver!$K$19/Data!BH92/Data!BI92*Data!BK92*Data!BL92,"")</f>
        <v/>
      </c>
      <c r="AZ92" s="105">
        <f>IFERROR(BI92*BN92,"")</f>
        <v/>
      </c>
      <c r="BA92" s="105" t="n"/>
      <c r="BB92" s="105" t="n"/>
      <c r="BC92" s="105">
        <f>IFERROR(BI92*BN92*BK92/BJ92^(1/2),"")</f>
        <v/>
      </c>
      <c r="BD92" s="105">
        <f>IFERROR(BH92*BM92*BL92/BJ92/BK92,"")</f>
        <v/>
      </c>
      <c r="BE92" s="105">
        <f>IFERROR(MIN(BI92/BQ92/BP92/BO92/BH92,$BE$1),"")</f>
        <v/>
      </c>
      <c r="BF92" s="105">
        <f>IFERROR(BJ92*BO92*BP92/BK92,"")</f>
        <v/>
      </c>
      <c r="BG92" s="105">
        <f>IFERROR(1/BM92/BH92*BQ92,"")</f>
        <v/>
      </c>
      <c r="BH92" s="102">
        <f>MAX((CE92-Driver!$F$200)/(Driver!$G$200-Driver!$F$200)*$BI$1,1)</f>
        <v/>
      </c>
      <c r="BI92" s="102">
        <f>MAX($BI$1*(BY92-Driver!$F$201)/(Driver!$G$201-Driver!$F$201),1)</f>
        <v/>
      </c>
      <c r="BJ92" s="102">
        <f>(CB92-Driver!$F$206)/(Driver!$G$206-Driver!$F$206)*$BI$1</f>
        <v/>
      </c>
      <c r="BK92" s="102">
        <f>(CD92-Driver!$F$203)/(Driver!$G$203-Driver!$F$203)*$BI$1</f>
        <v/>
      </c>
      <c r="BL92" s="102">
        <f>MAX((CR92-Driver!$F$202)/(Driver!$G$202-Driver!$F$202)*$BI$1,1)</f>
        <v/>
      </c>
      <c r="BM92" s="102">
        <f>MAX((CH92-Driver!$F$204)/(Driver!$G$204-Driver!$F$204)*$BI$1,1)</f>
        <v/>
      </c>
      <c r="BN92" s="102">
        <f>(CI92-Driver!$F$205)/(Driver!$G$205-Driver!$F$205)*$BI$1</f>
        <v/>
      </c>
      <c r="BO92" s="102">
        <f>(CK92-Driver!$F$207)/(Driver!$G$207-Driver!$F$207)*$BI$1</f>
        <v/>
      </c>
      <c r="BP92" s="102">
        <f>(CM92-Driver!$F$208)/(Driver!$G$208-Driver!$F$208)*$BI$1</f>
        <v/>
      </c>
      <c r="BQ92" s="102">
        <f>(CL92-Driver!$F$209)/(Driver!$G$209-Driver!$F$209)*$BI$1</f>
        <v/>
      </c>
      <c r="BR92" s="40" t="inlineStr">
        <is>
          <t>21/22</t>
        </is>
      </c>
      <c r="BS92" s="10" t="inlineStr">
        <is>
          <t xml:space="preserve"> Icelantic</t>
        </is>
      </c>
      <c r="BT92" s="11" t="inlineStr">
        <is>
          <t>Pioneer 96</t>
        </is>
      </c>
      <c r="BU92" s="13" t="n">
        <v>182</v>
      </c>
      <c r="BV92" s="11" t="inlineStr">
        <is>
          <t xml:space="preserve"> Unisex</t>
        </is>
      </c>
      <c r="BW92" s="13" t="n">
        <v>182</v>
      </c>
      <c r="BX92" s="13" t="n">
        <v>180.9</v>
      </c>
      <c r="BY92" s="13" t="n">
        <v>126</v>
      </c>
      <c r="BZ92" s="13" t="n">
        <v>151</v>
      </c>
      <c r="CA92" s="13" t="n">
        <v>131</v>
      </c>
      <c r="CB92" s="13" t="n">
        <v>96</v>
      </c>
      <c r="CC92" s="13" t="n">
        <v>118</v>
      </c>
      <c r="CD92" s="13" t="n">
        <v>19.4</v>
      </c>
      <c r="CE92" s="13" t="n">
        <v>1844</v>
      </c>
      <c r="CF92" s="13" t="n">
        <v>1.05</v>
      </c>
      <c r="CG92" s="13" t="n">
        <v>1930</v>
      </c>
      <c r="CH92" s="13" t="n">
        <v>224</v>
      </c>
      <c r="CI92" s="13" t="n">
        <v>100</v>
      </c>
      <c r="CJ92" s="13" t="n">
        <v>59</v>
      </c>
      <c r="CK92" s="13" t="n">
        <v>320</v>
      </c>
      <c r="CL92" s="13" t="n">
        <v>19</v>
      </c>
      <c r="CM92" s="13" t="n">
        <v>231</v>
      </c>
      <c r="CN92" s="13" t="n">
        <v>0.329</v>
      </c>
      <c r="CO92" s="13" t="n">
        <v>188</v>
      </c>
      <c r="CP92" s="13" t="n">
        <v>115</v>
      </c>
      <c r="CQ92" s="13" t="n">
        <v>132</v>
      </c>
      <c r="CR92" s="13" t="n">
        <v>3</v>
      </c>
      <c r="CS92" s="13" t="n">
        <v>8.300000000000001</v>
      </c>
      <c r="CT92" s="11" t="inlineStr">
        <is>
          <t xml:space="preserve"> Resort Freeride</t>
        </is>
      </c>
      <c r="CU92" s="13" t="n"/>
      <c r="CV92" s="13" t="n"/>
      <c r="CW92" s="13" t="n"/>
      <c r="CX92">
        <f>INDEX('Data_Price '!AG$2:AG$1266,MATCH(Data!$DN92,'Data_Price '!$AT$2:$AT$1266,0))</f>
        <v/>
      </c>
      <c r="CY92">
        <f>INDEX('Data_Price '!AH$2:AH$1266,MATCH(Data!$DN92,'Data_Price '!$AT$2:$AT$1266,0))</f>
        <v/>
      </c>
      <c r="CZ92">
        <f>INDEX('Data_Price '!AI$2:AI$1266,MATCH(Data!$DN92,'Data_Price '!$AT$2:$AT$1266,0))</f>
        <v/>
      </c>
      <c r="DA92">
        <f>INDEX('Data_Price '!AJ$2:AJ$1266,MATCH(Data!$DN92,'Data_Price '!$AT$2:$AT$1266,0))</f>
        <v/>
      </c>
      <c r="DB92">
        <f>INDEX('Data_Price '!AK$2:AK$1266,MATCH(Data!$DN92,'Data_Price '!$AT$2:$AT$1266,0))</f>
        <v/>
      </c>
      <c r="DC92">
        <f>INDEX('Data_Price '!AL$2:AL$1266,MATCH(Data!$DN92,'Data_Price '!$AT$2:$AT$1266,0))</f>
        <v/>
      </c>
      <c r="DD92">
        <f>INDEX('Data_Price '!AM$2:AM$1266,MATCH(Data!$DN92,'Data_Price '!$AT$2:$AT$1266,0))</f>
        <v/>
      </c>
      <c r="DE92">
        <f>INDEX('Data_Price '!AN$2:AN$1266,MATCH(Data!$DN92,'Data_Price '!$AT$2:$AT$1266,0))</f>
        <v/>
      </c>
      <c r="DF92">
        <f>INDEX('Data_Price '!AO$2:AO$1266,MATCH(Data!$DN92,'Data_Price '!$AT$2:$AT$1266,0))</f>
        <v/>
      </c>
      <c r="DG92">
        <f>INDEX('Data_Price '!AP$2:AP$1266,MATCH(Data!$DN92,'Data_Price '!$AT$2:$AT$1266,0))</f>
        <v/>
      </c>
      <c r="DH92">
        <f>INDEX('Data_Price '!AQ$2:AQ$1266,MATCH(Data!$DN92,'Data_Price '!$AT$2:$AT$1266,0))</f>
        <v/>
      </c>
      <c r="DI92">
        <f>INDEX('Data_Price '!AR$2:AR$1266,MATCH(Data!$DN92,'Data_Price '!$AT$2:$AT$1266,0))</f>
        <v/>
      </c>
      <c r="DJ92" s="138">
        <f>DA92</f>
        <v/>
      </c>
      <c r="DK92" s="138">
        <f>DE92</f>
        <v/>
      </c>
      <c r="DL92" s="138">
        <f>DI92</f>
        <v/>
      </c>
      <c r="DM92" s="303">
        <f>IF(LEFT(BT92,1)=" ",RIGHT(BT92,LEN(BT92)-1),BT92)</f>
        <v/>
      </c>
      <c r="DN92" s="138">
        <f>_xlfn.CONCAT(BS92,DM92,BU92,BV92)</f>
        <v/>
      </c>
      <c r="DO92" s="307" t="inlineStr">
        <is>
          <t>https://images.evo.com/imgp/250/212325/858471/clone.jpg</t>
        </is>
      </c>
    </row>
    <row r="93" ht="15.6" customHeight="1" s="184">
      <c r="B93" s="303">
        <f t="array" ref="B93">IF(OR(ISERROR(K93:P93)),FALSE,TRUE)</f>
        <v/>
      </c>
      <c r="C93" s="60">
        <f>OR(BR93=Driver!$G$50,Data!BR766=Driver!$H$50)</f>
        <v/>
      </c>
      <c r="D93" s="60">
        <f>OR(BV93=Driver!$G$51,BV93=Driver!$H$51)</f>
        <v/>
      </c>
      <c r="E93" s="60">
        <f>AND(BX93&gt;Driver!$F$54,BX93&lt;Driver!$G$54)</f>
        <v/>
      </c>
      <c r="F93" s="60">
        <f>CL93&gt;Driver!$F$56</f>
        <v/>
      </c>
      <c r="G93" s="60">
        <f>AND(CB93&gt;Driver!$F$55,CB93&lt;Driver!$G$55)</f>
        <v/>
      </c>
      <c r="H93" s="60">
        <f>AND(B93:G93)</f>
        <v/>
      </c>
      <c r="I93" s="60">
        <f>COUNTIFS($H$9:$H$1273,TRUE,$BT$9:$BT$1273,BT93)</f>
        <v/>
      </c>
      <c r="J93" s="60">
        <f t="array" ref="J93">NOT(OR(($H$9:$H$1273=TRUE)*($I$9:$I$1273&gt;0)*($BT$9:$BT$1273=BT93)*($K$9:$K$1273&gt;K93)))</f>
        <v/>
      </c>
      <c r="K93" s="108">
        <f>IFERROR(1-AVERAGE(X93:Y93),"")</f>
        <v/>
      </c>
      <c r="L93" s="108">
        <f>1-X93</f>
        <v/>
      </c>
      <c r="M93" s="108">
        <f>1-Y93</f>
        <v/>
      </c>
      <c r="N93" s="108">
        <f>1-Z93</f>
        <v/>
      </c>
      <c r="O93" s="108">
        <f>1-AA93</f>
        <v/>
      </c>
      <c r="P93" s="108">
        <f>1-AB93</f>
        <v/>
      </c>
      <c r="Q93" s="108" t="n"/>
      <c r="R93" s="108" t="n"/>
      <c r="S93" s="108">
        <f>1-AE93</f>
        <v/>
      </c>
      <c r="T93" s="108">
        <f>1-AF93</f>
        <v/>
      </c>
      <c r="U93" s="108">
        <f>1-AG93</f>
        <v/>
      </c>
      <c r="V93" s="108">
        <f>1-AH93</f>
        <v/>
      </c>
      <c r="W93" s="108">
        <f>1-AI93</f>
        <v/>
      </c>
      <c r="X93" s="108">
        <f>ABS(AJ93-AJ$1)</f>
        <v/>
      </c>
      <c r="Y93" s="108">
        <f>AVERAGE(Z93:AB93)</f>
        <v/>
      </c>
      <c r="Z93" s="108">
        <f>ABS(AL93-AL$1)</f>
        <v/>
      </c>
      <c r="AA93" s="108">
        <f>ABS(AM93-AM$1)</f>
        <v/>
      </c>
      <c r="AB93" s="108">
        <f>ABS(AN93-AN$1)</f>
        <v/>
      </c>
      <c r="AC93" s="108" t="n"/>
      <c r="AD93" s="108" t="n"/>
      <c r="AE93" s="108">
        <f>ABS(AQ$1-AQ93)</f>
        <v/>
      </c>
      <c r="AF93" s="108">
        <f>ABS(AR$1-AR93)</f>
        <v/>
      </c>
      <c r="AG93" s="108">
        <f>ABS(AS$1-AS93)</f>
        <v/>
      </c>
      <c r="AH93" s="108">
        <f>ABS(AT$1-AT93)</f>
        <v/>
      </c>
      <c r="AI93" s="108">
        <f>ABS(AU$1-AU93)</f>
        <v/>
      </c>
      <c r="AJ93" s="108">
        <f>(AV93-Driver!$K$179)/(Driver!$L$179-Driver!$K$179)</f>
        <v/>
      </c>
      <c r="AK93" s="108">
        <f>(AW93-Driver!$K$180)/(Driver!$L$180-Driver!$K$180)</f>
        <v/>
      </c>
      <c r="AL93" s="108">
        <f>(AX93-Driver!$K$181)/(Driver!$L$181-Driver!$K$181)</f>
        <v/>
      </c>
      <c r="AM93" s="108">
        <f>(AY93-Driver!$K$182)/(Driver!$L$182-Driver!$K$182)</f>
        <v/>
      </c>
      <c r="AN93" s="108">
        <f>(AZ93-Driver!$K$183)/(Driver!$L$183-Driver!$K$183)</f>
        <v/>
      </c>
      <c r="AO93" s="108" t="n"/>
      <c r="AP93" s="108" t="n"/>
      <c r="AQ93" s="108">
        <f>(BC93-Driver!$K$188)/(Driver!$L$188-Driver!$K$188)</f>
        <v/>
      </c>
      <c r="AR93" s="108">
        <f>MIN((BD93-Driver!$K$189)/(Driver!$L$189-Driver!$K$189),100%)</f>
        <v/>
      </c>
      <c r="AS93" s="108">
        <f>(BE93-Driver!$K$190)/(Driver!$L$190-Driver!$K$190)</f>
        <v/>
      </c>
      <c r="AT93" s="108">
        <f>(BF93-Driver!$K$191)/(Driver!$L$191-Driver!$K$191)</f>
        <v/>
      </c>
      <c r="AU93" s="108">
        <f>(BG93-Driver!$K$192)/(Driver!$L$192-Driver!$K$192)</f>
        <v/>
      </c>
      <c r="AV93" s="105">
        <f>IFERROR(BM93*BJ93^1/4,"")</f>
        <v/>
      </c>
      <c r="AW93" s="105">
        <f>IFERROR(SUM(AX93:AZ93),"")</f>
        <v/>
      </c>
      <c r="AX93" s="105">
        <f>IFERROR(BH93,"")</f>
        <v/>
      </c>
      <c r="AY93" s="105">
        <f>IFERROR(Driver!$K$19/Data!BH93/Data!BI93*Data!BK93*Data!BL93,"")</f>
        <v/>
      </c>
      <c r="AZ93" s="105">
        <f>IFERROR(BI93*BN93,"")</f>
        <v/>
      </c>
      <c r="BA93" s="105" t="n"/>
      <c r="BB93" s="105" t="n"/>
      <c r="BC93" s="105">
        <f>IFERROR(BI93*BN93*BK93/BJ93^(1/2),"")</f>
        <v/>
      </c>
      <c r="BD93" s="105">
        <f>IFERROR(BH93*BM93*BL93/BJ93/BK93,"")</f>
        <v/>
      </c>
      <c r="BE93" s="105">
        <f>IFERROR(MIN(BI93/BQ93/BP93/BO93/BH93,$BE$1),"")</f>
        <v/>
      </c>
      <c r="BF93" s="105">
        <f>IFERROR(BJ93*BO93*BP93/BK93,"")</f>
        <v/>
      </c>
      <c r="BG93" s="105">
        <f>IFERROR(1/BM93/BH93*BQ93,"")</f>
        <v/>
      </c>
      <c r="BH93" s="102">
        <f>MAX((CE93-Driver!$F$200)/(Driver!$G$200-Driver!$F$200)*$BI$1,1)</f>
        <v/>
      </c>
      <c r="BI93" s="102">
        <f>MAX($BI$1*(BY93-Driver!$F$201)/(Driver!$G$201-Driver!$F$201),1)</f>
        <v/>
      </c>
      <c r="BJ93" s="102">
        <f>(CB93-Driver!$F$206)/(Driver!$G$206-Driver!$F$206)*$BI$1</f>
        <v/>
      </c>
      <c r="BK93" s="102">
        <f>(CD93-Driver!$F$203)/(Driver!$G$203-Driver!$F$203)*$BI$1</f>
        <v/>
      </c>
      <c r="BL93" s="102">
        <f>MAX((CR93-Driver!$F$202)/(Driver!$G$202-Driver!$F$202)*$BI$1,1)</f>
        <v/>
      </c>
      <c r="BM93" s="102">
        <f>MAX((CH93-Driver!$F$204)/(Driver!$G$204-Driver!$F$204)*$BI$1,1)</f>
        <v/>
      </c>
      <c r="BN93" s="102">
        <f>(CI93-Driver!$F$205)/(Driver!$G$205-Driver!$F$205)*$BI$1</f>
        <v/>
      </c>
      <c r="BO93" s="102">
        <f>(CK93-Driver!$F$207)/(Driver!$G$207-Driver!$F$207)*$BI$1</f>
        <v/>
      </c>
      <c r="BP93" s="102">
        <f>(CM93-Driver!$F$208)/(Driver!$G$208-Driver!$F$208)*$BI$1</f>
        <v/>
      </c>
      <c r="BQ93" s="102">
        <f>(CL93-Driver!$F$209)/(Driver!$G$209-Driver!$F$209)*$BI$1</f>
        <v/>
      </c>
      <c r="BR93" s="40" t="inlineStr">
        <is>
          <t>21/22</t>
        </is>
      </c>
      <c r="BS93" s="10" t="inlineStr">
        <is>
          <t xml:space="preserve"> K2</t>
        </is>
      </c>
      <c r="BT93" s="11" t="inlineStr">
        <is>
          <t>Reckoner 112</t>
        </is>
      </c>
      <c r="BU93" s="13" t="n">
        <v>184</v>
      </c>
      <c r="BV93" s="11" t="inlineStr">
        <is>
          <t xml:space="preserve"> Unisex</t>
        </is>
      </c>
      <c r="BW93" s="13" t="n">
        <v>184</v>
      </c>
      <c r="BX93" s="13" t="n">
        <v>184.2</v>
      </c>
      <c r="BY93" s="13" t="n">
        <v>110</v>
      </c>
      <c r="BZ93" s="13" t="n">
        <v>141</v>
      </c>
      <c r="CA93" s="13" t="n">
        <v>136</v>
      </c>
      <c r="CB93" s="13" t="n">
        <v>112</v>
      </c>
      <c r="CC93" s="13" t="n">
        <v>126</v>
      </c>
      <c r="CD93" s="13" t="n">
        <v>22.8</v>
      </c>
      <c r="CE93" s="13" t="n">
        <v>2012</v>
      </c>
      <c r="CF93" s="13" t="n">
        <v>1.09</v>
      </c>
      <c r="CG93" s="13" t="n">
        <v>2190</v>
      </c>
      <c r="CH93" s="13" t="n">
        <v>202</v>
      </c>
      <c r="CI93" s="13" t="n">
        <v>108</v>
      </c>
      <c r="CJ93" s="13" t="n">
        <v>53</v>
      </c>
      <c r="CK93" s="13" t="n">
        <v>394</v>
      </c>
      <c r="CL93" s="13" t="n">
        <v>40</v>
      </c>
      <c r="CM93" s="13" t="n">
        <v>350</v>
      </c>
      <c r="CN93" s="13" t="n">
        <v>0.75</v>
      </c>
      <c r="CO93" s="13" t="n">
        <v>213</v>
      </c>
      <c r="CP93" s="13" t="n">
        <v>223</v>
      </c>
      <c r="CQ93" s="13" t="n">
        <v>181</v>
      </c>
      <c r="CR93" s="13" t="n">
        <v>5</v>
      </c>
      <c r="CS93" s="13" t="n">
        <v>6.6</v>
      </c>
      <c r="CT93" s="11" t="inlineStr">
        <is>
          <t xml:space="preserve"> Powder</t>
        </is>
      </c>
      <c r="CU93" s="11" t="inlineStr">
        <is>
          <t xml:space="preserve"> Touring</t>
        </is>
      </c>
      <c r="CV93" s="13" t="n"/>
      <c r="CW93" s="13" t="n"/>
      <c r="CX93">
        <f>INDEX('Data_Price '!AG$2:AG$1266,MATCH(Data!$DN93,'Data_Price '!$AT$2:$AT$1266,0))</f>
        <v/>
      </c>
      <c r="CY93">
        <f>INDEX('Data_Price '!AH$2:AH$1266,MATCH(Data!$DN93,'Data_Price '!$AT$2:$AT$1266,0))</f>
        <v/>
      </c>
      <c r="CZ93">
        <f>INDEX('Data_Price '!AI$2:AI$1266,MATCH(Data!$DN93,'Data_Price '!$AT$2:$AT$1266,0))</f>
        <v/>
      </c>
      <c r="DA93">
        <f>INDEX('Data_Price '!AJ$2:AJ$1266,MATCH(Data!$DN93,'Data_Price '!$AT$2:$AT$1266,0))</f>
        <v/>
      </c>
      <c r="DB93">
        <f>INDEX('Data_Price '!AK$2:AK$1266,MATCH(Data!$DN93,'Data_Price '!$AT$2:$AT$1266,0))</f>
        <v/>
      </c>
      <c r="DC93">
        <f>INDEX('Data_Price '!AL$2:AL$1266,MATCH(Data!$DN93,'Data_Price '!$AT$2:$AT$1266,0))</f>
        <v/>
      </c>
      <c r="DD93">
        <f>INDEX('Data_Price '!AM$2:AM$1266,MATCH(Data!$DN93,'Data_Price '!$AT$2:$AT$1266,0))</f>
        <v/>
      </c>
      <c r="DE93">
        <f>INDEX('Data_Price '!AN$2:AN$1266,MATCH(Data!$DN93,'Data_Price '!$AT$2:$AT$1266,0))</f>
        <v/>
      </c>
      <c r="DF93">
        <f>INDEX('Data_Price '!AO$2:AO$1266,MATCH(Data!$DN93,'Data_Price '!$AT$2:$AT$1266,0))</f>
        <v/>
      </c>
      <c r="DG93">
        <f>INDEX('Data_Price '!AP$2:AP$1266,MATCH(Data!$DN93,'Data_Price '!$AT$2:$AT$1266,0))</f>
        <v/>
      </c>
      <c r="DH93">
        <f>INDEX('Data_Price '!AQ$2:AQ$1266,MATCH(Data!$DN93,'Data_Price '!$AT$2:$AT$1266,0))</f>
        <v/>
      </c>
      <c r="DI93">
        <f>INDEX('Data_Price '!AR$2:AR$1266,MATCH(Data!$DN93,'Data_Price '!$AT$2:$AT$1266,0))</f>
        <v/>
      </c>
      <c r="DJ93" s="138">
        <f>DA93</f>
        <v/>
      </c>
      <c r="DK93" s="138">
        <f>DE93</f>
        <v/>
      </c>
      <c r="DL93" s="138">
        <f>DI93</f>
        <v/>
      </c>
      <c r="DM93" s="303">
        <f>IF(LEFT(BT93,1)=" ",RIGHT(BT93,LEN(BT93)-1),BT93)</f>
        <v/>
      </c>
      <c r="DN93" s="138">
        <f>_xlfn.CONCAT(BS93,DM93,BU93,BV93)</f>
        <v/>
      </c>
      <c r="DO93" s="307" t="inlineStr">
        <is>
          <t>https://images.evo.com/imgp/250/182107/723844/clone.jpg</t>
        </is>
      </c>
    </row>
    <row r="94" ht="15.6" customHeight="1" s="184">
      <c r="B94" s="303">
        <f t="array" ref="B94">IF(OR(ISERROR(K94:P94)),FALSE,TRUE)</f>
        <v/>
      </c>
      <c r="C94" s="60">
        <f>OR(BR94=Driver!$G$50,Data!BR1175=Driver!$H$50)</f>
        <v/>
      </c>
      <c r="D94" s="60">
        <f>OR(BV94=Driver!$G$51,BV94=Driver!$H$51)</f>
        <v/>
      </c>
      <c r="E94" s="60">
        <f>AND(BX94&gt;Driver!$F$54,BX94&lt;Driver!$G$54)</f>
        <v/>
      </c>
      <c r="F94" s="60">
        <f>CL94&gt;Driver!$F$56</f>
        <v/>
      </c>
      <c r="G94" s="60">
        <f>AND(CB94&gt;Driver!$F$55,CB94&lt;Driver!$G$55)</f>
        <v/>
      </c>
      <c r="H94" s="60">
        <f>AND(B94:G94)</f>
        <v/>
      </c>
      <c r="I94" s="60">
        <f>COUNTIFS($H$9:$H$1273,TRUE,$BT$9:$BT$1273,BT94)</f>
        <v/>
      </c>
      <c r="J94" s="60">
        <f t="array" ref="J94">NOT(OR(($H$9:$H$1273=TRUE)*($I$9:$I$1273&gt;0)*($BT$9:$BT$1273=BT94)*($K$9:$K$1273&gt;K94)))</f>
        <v/>
      </c>
      <c r="K94" s="108">
        <f>IFERROR(1-AVERAGE(X94:Y94),"")</f>
        <v/>
      </c>
      <c r="L94" s="108">
        <f>1-X94</f>
        <v/>
      </c>
      <c r="M94" s="108">
        <f>1-Y94</f>
        <v/>
      </c>
      <c r="N94" s="108">
        <f>1-Z94</f>
        <v/>
      </c>
      <c r="O94" s="108">
        <f>1-AA94</f>
        <v/>
      </c>
      <c r="P94" s="108">
        <f>1-AB94</f>
        <v/>
      </c>
      <c r="Q94" s="108" t="n"/>
      <c r="R94" s="108" t="n"/>
      <c r="S94" s="108">
        <f>1-AE94</f>
        <v/>
      </c>
      <c r="T94" s="108">
        <f>1-AF94</f>
        <v/>
      </c>
      <c r="U94" s="108">
        <f>1-AG94</f>
        <v/>
      </c>
      <c r="V94" s="108">
        <f>1-AH94</f>
        <v/>
      </c>
      <c r="W94" s="108">
        <f>1-AI94</f>
        <v/>
      </c>
      <c r="X94" s="108">
        <f>ABS(AJ94-AJ$1)</f>
        <v/>
      </c>
      <c r="Y94" s="108">
        <f>AVERAGE(Z94:AB94)</f>
        <v/>
      </c>
      <c r="Z94" s="108">
        <f>ABS(AL94-AL$1)</f>
        <v/>
      </c>
      <c r="AA94" s="108">
        <f>ABS(AM94-AM$1)</f>
        <v/>
      </c>
      <c r="AB94" s="108">
        <f>ABS(AN94-AN$1)</f>
        <v/>
      </c>
      <c r="AC94" s="108" t="n"/>
      <c r="AD94" s="108" t="n"/>
      <c r="AE94" s="108">
        <f>ABS(AQ$1-AQ94)</f>
        <v/>
      </c>
      <c r="AF94" s="108">
        <f>ABS(AR$1-AR94)</f>
        <v/>
      </c>
      <c r="AG94" s="108">
        <f>ABS(AS$1-AS94)</f>
        <v/>
      </c>
      <c r="AH94" s="108">
        <f>ABS(AT$1-AT94)</f>
        <v/>
      </c>
      <c r="AI94" s="108">
        <f>ABS(AU$1-AU94)</f>
        <v/>
      </c>
      <c r="AJ94" s="108">
        <f>(AV94-Driver!$K$179)/(Driver!$L$179-Driver!$K$179)</f>
        <v/>
      </c>
      <c r="AK94" s="108">
        <f>(AW94-Driver!$K$180)/(Driver!$L$180-Driver!$K$180)</f>
        <v/>
      </c>
      <c r="AL94" s="108">
        <f>(AX94-Driver!$K$181)/(Driver!$L$181-Driver!$K$181)</f>
        <v/>
      </c>
      <c r="AM94" s="108">
        <f>(AY94-Driver!$K$182)/(Driver!$L$182-Driver!$K$182)</f>
        <v/>
      </c>
      <c r="AN94" s="108">
        <f>(AZ94-Driver!$K$183)/(Driver!$L$183-Driver!$K$183)</f>
        <v/>
      </c>
      <c r="AO94" s="108" t="n"/>
      <c r="AP94" s="108" t="n"/>
      <c r="AQ94" s="108">
        <f>(BC94-Driver!$K$188)/(Driver!$L$188-Driver!$K$188)</f>
        <v/>
      </c>
      <c r="AR94" s="108">
        <f>MIN((BD94-Driver!$K$189)/(Driver!$L$189-Driver!$K$189),100%)</f>
        <v/>
      </c>
      <c r="AS94" s="108">
        <f>(BE94-Driver!$K$190)/(Driver!$L$190-Driver!$K$190)</f>
        <v/>
      </c>
      <c r="AT94" s="108">
        <f>(BF94-Driver!$K$191)/(Driver!$L$191-Driver!$K$191)</f>
        <v/>
      </c>
      <c r="AU94" s="108">
        <f>(BG94-Driver!$K$192)/(Driver!$L$192-Driver!$K$192)</f>
        <v/>
      </c>
      <c r="AV94" s="105">
        <f>IFERROR(BM94*BJ94^1/4,"")</f>
        <v/>
      </c>
      <c r="AW94" s="105">
        <f>IFERROR(SUM(AX94:AZ94),"")</f>
        <v/>
      </c>
      <c r="AX94" s="105">
        <f>IFERROR(BH94,"")</f>
        <v/>
      </c>
      <c r="AY94" s="105">
        <f>IFERROR(Driver!$K$19/Data!BH94/Data!BI94*Data!BK94*Data!BL94,"")</f>
        <v/>
      </c>
      <c r="AZ94" s="105">
        <f>IFERROR(BI94*BN94,"")</f>
        <v/>
      </c>
      <c r="BA94" s="105" t="n"/>
      <c r="BB94" s="105" t="n"/>
      <c r="BC94" s="105">
        <f>IFERROR(BI94*BN94*BK94/BJ94^(1/2),"")</f>
        <v/>
      </c>
      <c r="BD94" s="105">
        <f>IFERROR(BH94*BM94*BL94/BJ94/BK94,"")</f>
        <v/>
      </c>
      <c r="BE94" s="105">
        <f>IFERROR(MIN(BI94/BQ94/BP94/BO94/BH94,$BE$1),"")</f>
        <v/>
      </c>
      <c r="BF94" s="105">
        <f>IFERROR(BJ94*BO94*BP94/BK94,"")</f>
        <v/>
      </c>
      <c r="BG94" s="105">
        <f>IFERROR(1/BM94/BH94*BQ94,"")</f>
        <v/>
      </c>
      <c r="BH94" s="102">
        <f>MAX((CE94-Driver!$F$200)/(Driver!$G$200-Driver!$F$200)*$BI$1,1)</f>
        <v/>
      </c>
      <c r="BI94" s="102">
        <f>MAX($BI$1*(BY94-Driver!$F$201)/(Driver!$G$201-Driver!$F$201),1)</f>
        <v/>
      </c>
      <c r="BJ94" s="102">
        <f>(CB94-Driver!$F$206)/(Driver!$G$206-Driver!$F$206)*$BI$1</f>
        <v/>
      </c>
      <c r="BK94" s="102">
        <f>(CD94-Driver!$F$203)/(Driver!$G$203-Driver!$F$203)*$BI$1</f>
        <v/>
      </c>
      <c r="BL94" s="102">
        <f>MAX((CR94-Driver!$F$202)/(Driver!$G$202-Driver!$F$202)*$BI$1,1)</f>
        <v/>
      </c>
      <c r="BM94" s="102">
        <f>MAX((CH94-Driver!$F$204)/(Driver!$G$204-Driver!$F$204)*$BI$1,1)</f>
        <v/>
      </c>
      <c r="BN94" s="102">
        <f>(CI94-Driver!$F$205)/(Driver!$G$205-Driver!$F$205)*$BI$1</f>
        <v/>
      </c>
      <c r="BO94" s="102">
        <f>(CK94-Driver!$F$207)/(Driver!$G$207-Driver!$F$207)*$BI$1</f>
        <v/>
      </c>
      <c r="BP94" s="102">
        <f>(CM94-Driver!$F$208)/(Driver!$G$208-Driver!$F$208)*$BI$1</f>
        <v/>
      </c>
      <c r="BQ94" s="102">
        <f>(CL94-Driver!$F$209)/(Driver!$G$209-Driver!$F$209)*$BI$1</f>
        <v/>
      </c>
      <c r="BR94" s="40" t="inlineStr">
        <is>
          <t>21/22</t>
        </is>
      </c>
      <c r="BS94" s="10" t="inlineStr">
        <is>
          <t xml:space="preserve"> Völkl</t>
        </is>
      </c>
      <c r="BT94" s="11" t="inlineStr">
        <is>
          <t>Blaze 94</t>
        </is>
      </c>
      <c r="BU94" s="13" t="n">
        <v>186</v>
      </c>
      <c r="BV94" s="11" t="inlineStr">
        <is>
          <t xml:space="preserve"> Unisex</t>
        </is>
      </c>
      <c r="BW94" s="13" t="n">
        <v>186</v>
      </c>
      <c r="BX94" s="13" t="n">
        <v>186.6</v>
      </c>
      <c r="BY94" s="13" t="n">
        <v>104</v>
      </c>
      <c r="BZ94" s="13" t="n">
        <v>163</v>
      </c>
      <c r="CA94" s="13" t="n">
        <v>133</v>
      </c>
      <c r="CB94" s="13" t="n">
        <v>93</v>
      </c>
      <c r="CC94" s="13" t="n">
        <v>116</v>
      </c>
      <c r="CD94" s="13" t="n">
        <v>20</v>
      </c>
      <c r="CE94" s="13" t="n">
        <v>1699</v>
      </c>
      <c r="CF94" s="13" t="n">
        <v>1.16</v>
      </c>
      <c r="CG94" s="13" t="n">
        <v>1976</v>
      </c>
      <c r="CH94" s="13" t="n">
        <v>232</v>
      </c>
      <c r="CI94" s="13" t="n">
        <v>111</v>
      </c>
      <c r="CJ94" s="13" t="n">
        <v>47</v>
      </c>
      <c r="CK94" s="13" t="n">
        <v>477</v>
      </c>
      <c r="CL94" s="13" t="n">
        <v>22</v>
      </c>
      <c r="CM94" s="13" t="n">
        <v>345</v>
      </c>
      <c r="CN94" s="13" t="n">
        <v>0.46</v>
      </c>
      <c r="CO94" s="13" t="n">
        <v>138</v>
      </c>
      <c r="CP94" s="13" t="n">
        <v>102</v>
      </c>
      <c r="CQ94" s="13" t="n">
        <v>338</v>
      </c>
      <c r="CR94" s="13" t="n">
        <v>2</v>
      </c>
      <c r="CS94" s="13" t="n">
        <v>11.6</v>
      </c>
      <c r="CT94" s="11" t="inlineStr">
        <is>
          <t xml:space="preserve"> Resort Freeride</t>
        </is>
      </c>
      <c r="CU94" s="11" t="inlineStr">
        <is>
          <t xml:space="preserve"> Touring</t>
        </is>
      </c>
      <c r="CV94" s="13" t="n"/>
      <c r="CW94" s="13" t="n"/>
      <c r="CX94">
        <f>INDEX('Data_Price '!AG$2:AG$1266,MATCH(Data!$DN94,'Data_Price '!$AT$2:$AT$1266,0))</f>
        <v/>
      </c>
      <c r="CY94">
        <f>INDEX('Data_Price '!AH$2:AH$1266,MATCH(Data!$DN94,'Data_Price '!$AT$2:$AT$1266,0))</f>
        <v/>
      </c>
      <c r="CZ94">
        <f>INDEX('Data_Price '!AI$2:AI$1266,MATCH(Data!$DN94,'Data_Price '!$AT$2:$AT$1266,0))</f>
        <v/>
      </c>
      <c r="DA94">
        <f>INDEX('Data_Price '!AJ$2:AJ$1266,MATCH(Data!$DN94,'Data_Price '!$AT$2:$AT$1266,0))</f>
        <v/>
      </c>
      <c r="DB94">
        <f>INDEX('Data_Price '!AK$2:AK$1266,MATCH(Data!$DN94,'Data_Price '!$AT$2:$AT$1266,0))</f>
        <v/>
      </c>
      <c r="DC94">
        <f>INDEX('Data_Price '!AL$2:AL$1266,MATCH(Data!$DN94,'Data_Price '!$AT$2:$AT$1266,0))</f>
        <v/>
      </c>
      <c r="DD94">
        <f>INDEX('Data_Price '!AM$2:AM$1266,MATCH(Data!$DN94,'Data_Price '!$AT$2:$AT$1266,0))</f>
        <v/>
      </c>
      <c r="DE94">
        <f>INDEX('Data_Price '!AN$2:AN$1266,MATCH(Data!$DN94,'Data_Price '!$AT$2:$AT$1266,0))</f>
        <v/>
      </c>
      <c r="DF94">
        <f>INDEX('Data_Price '!AO$2:AO$1266,MATCH(Data!$DN94,'Data_Price '!$AT$2:$AT$1266,0))</f>
        <v/>
      </c>
      <c r="DG94">
        <f>INDEX('Data_Price '!AP$2:AP$1266,MATCH(Data!$DN94,'Data_Price '!$AT$2:$AT$1266,0))</f>
        <v/>
      </c>
      <c r="DH94">
        <f>INDEX('Data_Price '!AQ$2:AQ$1266,MATCH(Data!$DN94,'Data_Price '!$AT$2:$AT$1266,0))</f>
        <v/>
      </c>
      <c r="DI94">
        <f>INDEX('Data_Price '!AR$2:AR$1266,MATCH(Data!$DN94,'Data_Price '!$AT$2:$AT$1266,0))</f>
        <v/>
      </c>
      <c r="DJ94" s="138">
        <f>DA94</f>
        <v/>
      </c>
      <c r="DK94" s="138">
        <f>DE94</f>
        <v/>
      </c>
      <c r="DL94" s="138">
        <f>DI94</f>
        <v/>
      </c>
      <c r="DM94" s="303">
        <f>IF(LEFT(BT94,1)=" ",RIGHT(BT94,LEN(BT94)-1),BT94)</f>
        <v/>
      </c>
      <c r="DN94" s="138">
        <f>_xlfn.CONCAT(BS94,DM94,BU94,BV94)</f>
        <v/>
      </c>
      <c r="DO94" s="307" t="inlineStr">
        <is>
          <t>https://images.evo.com/imgp/250/208354/837597/clone.jpg</t>
        </is>
      </c>
    </row>
    <row r="95" ht="15.6" customHeight="1" s="184">
      <c r="B95" s="303">
        <f t="array" ref="B95">IF(OR(ISERROR(K95:P95)),FALSE,TRUE)</f>
        <v/>
      </c>
      <c r="C95" s="60">
        <f>OR(BR95=Driver!$G$50,Data!BR805=Driver!$H$50)</f>
        <v/>
      </c>
      <c r="D95" s="60">
        <f>OR(BV95=Driver!$G$51,BV95=Driver!$H$51)</f>
        <v/>
      </c>
      <c r="E95" s="60">
        <f>AND(BX95&gt;Driver!$F$54,BX95&lt;Driver!$G$54)</f>
        <v/>
      </c>
      <c r="F95" s="60">
        <f>CL95&gt;Driver!$F$56</f>
        <v/>
      </c>
      <c r="G95" s="60">
        <f>AND(CB95&gt;Driver!$F$55,CB95&lt;Driver!$G$55)</f>
        <v/>
      </c>
      <c r="H95" s="60">
        <f>AND(B95:G95)</f>
        <v/>
      </c>
      <c r="I95" s="60">
        <f>COUNTIFS($H$9:$H$1273,TRUE,$BT$9:$BT$1273,BT95)</f>
        <v/>
      </c>
      <c r="J95" s="60">
        <f t="array" ref="J95">NOT(OR(($H$9:$H$1273=TRUE)*($I$9:$I$1273&gt;0)*($BT$9:$BT$1273=BT95)*($K$9:$K$1273&gt;K95)))</f>
        <v/>
      </c>
      <c r="K95" s="108">
        <f>IFERROR(1-AVERAGE(X95:Y95),"")</f>
        <v/>
      </c>
      <c r="L95" s="108">
        <f>1-X95</f>
        <v/>
      </c>
      <c r="M95" s="108">
        <f>1-Y95</f>
        <v/>
      </c>
      <c r="N95" s="108">
        <f>1-Z95</f>
        <v/>
      </c>
      <c r="O95" s="108">
        <f>1-AA95</f>
        <v/>
      </c>
      <c r="P95" s="108">
        <f>1-AB95</f>
        <v/>
      </c>
      <c r="Q95" s="108" t="n"/>
      <c r="R95" s="108" t="n"/>
      <c r="S95" s="108">
        <f>1-AE95</f>
        <v/>
      </c>
      <c r="T95" s="108">
        <f>1-AF95</f>
        <v/>
      </c>
      <c r="U95" s="108">
        <f>1-AG95</f>
        <v/>
      </c>
      <c r="V95" s="108">
        <f>1-AH95</f>
        <v/>
      </c>
      <c r="W95" s="108">
        <f>1-AI95</f>
        <v/>
      </c>
      <c r="X95" s="108">
        <f>ABS(AJ95-AJ$1)</f>
        <v/>
      </c>
      <c r="Y95" s="108">
        <f>AVERAGE(Z95:AB95)</f>
        <v/>
      </c>
      <c r="Z95" s="108">
        <f>ABS(AL95-AL$1)</f>
        <v/>
      </c>
      <c r="AA95" s="108">
        <f>ABS(AM95-AM$1)</f>
        <v/>
      </c>
      <c r="AB95" s="108">
        <f>ABS(AN95-AN$1)</f>
        <v/>
      </c>
      <c r="AC95" s="108" t="n"/>
      <c r="AD95" s="108" t="n"/>
      <c r="AE95" s="108">
        <f>ABS(AQ$1-AQ95)</f>
        <v/>
      </c>
      <c r="AF95" s="108">
        <f>ABS(AR$1-AR95)</f>
        <v/>
      </c>
      <c r="AG95" s="108">
        <f>ABS(AS$1-AS95)</f>
        <v/>
      </c>
      <c r="AH95" s="108">
        <f>ABS(AT$1-AT95)</f>
        <v/>
      </c>
      <c r="AI95" s="108">
        <f>ABS(AU$1-AU95)</f>
        <v/>
      </c>
      <c r="AJ95" s="108">
        <f>(AV95-Driver!$K$179)/(Driver!$L$179-Driver!$K$179)</f>
        <v/>
      </c>
      <c r="AK95" s="108">
        <f>(AW95-Driver!$K$180)/(Driver!$L$180-Driver!$K$180)</f>
        <v/>
      </c>
      <c r="AL95" s="108">
        <f>(AX95-Driver!$K$181)/(Driver!$L$181-Driver!$K$181)</f>
        <v/>
      </c>
      <c r="AM95" s="108">
        <f>(AY95-Driver!$K$182)/(Driver!$L$182-Driver!$K$182)</f>
        <v/>
      </c>
      <c r="AN95" s="108">
        <f>(AZ95-Driver!$K$183)/(Driver!$L$183-Driver!$K$183)</f>
        <v/>
      </c>
      <c r="AO95" s="108" t="n"/>
      <c r="AP95" s="108" t="n"/>
      <c r="AQ95" s="108">
        <f>(BC95-Driver!$K$188)/(Driver!$L$188-Driver!$K$188)</f>
        <v/>
      </c>
      <c r="AR95" s="108">
        <f>MIN((BD95-Driver!$K$189)/(Driver!$L$189-Driver!$K$189),100%)</f>
        <v/>
      </c>
      <c r="AS95" s="108">
        <f>(BE95-Driver!$K$190)/(Driver!$L$190-Driver!$K$190)</f>
        <v/>
      </c>
      <c r="AT95" s="108">
        <f>(BF95-Driver!$K$191)/(Driver!$L$191-Driver!$K$191)</f>
        <v/>
      </c>
      <c r="AU95" s="108">
        <f>(BG95-Driver!$K$192)/(Driver!$L$192-Driver!$K$192)</f>
        <v/>
      </c>
      <c r="AV95" s="105">
        <f>IFERROR(BM95*BJ95^1/4,"")</f>
        <v/>
      </c>
      <c r="AW95" s="105">
        <f>IFERROR(SUM(AX95:AZ95),"")</f>
        <v/>
      </c>
      <c r="AX95" s="105">
        <f>IFERROR(BH95,"")</f>
        <v/>
      </c>
      <c r="AY95" s="105">
        <f>IFERROR(Driver!$K$19/Data!BH95/Data!BI95*Data!BK95*Data!BL95,"")</f>
        <v/>
      </c>
      <c r="AZ95" s="105">
        <f>IFERROR(BI95*BN95,"")</f>
        <v/>
      </c>
      <c r="BA95" s="105" t="n"/>
      <c r="BB95" s="105" t="n"/>
      <c r="BC95" s="105">
        <f>IFERROR(BI95*BN95*BK95/BJ95^(1/2),"")</f>
        <v/>
      </c>
      <c r="BD95" s="105">
        <f>IFERROR(BH95*BM95*BL95/BJ95/BK95,"")</f>
        <v/>
      </c>
      <c r="BE95" s="105">
        <f>IFERROR(MIN(BI95/BQ95/BP95/BO95/BH95,$BE$1),"")</f>
        <v/>
      </c>
      <c r="BF95" s="105">
        <f>IFERROR(BJ95*BO95*BP95/BK95,"")</f>
        <v/>
      </c>
      <c r="BG95" s="105">
        <f>IFERROR(1/BM95/BH95*BQ95,"")</f>
        <v/>
      </c>
      <c r="BH95" s="102">
        <f>MAX((CE95-Driver!$F$200)/(Driver!$G$200-Driver!$F$200)*$BI$1,1)</f>
        <v/>
      </c>
      <c r="BI95" s="102">
        <f>MAX($BI$1*(BY95-Driver!$F$201)/(Driver!$G$201-Driver!$F$201),1)</f>
        <v/>
      </c>
      <c r="BJ95" s="102">
        <f>(CB95-Driver!$F$206)/(Driver!$G$206-Driver!$F$206)*$BI$1</f>
        <v/>
      </c>
      <c r="BK95" s="102">
        <f>(CD95-Driver!$F$203)/(Driver!$G$203-Driver!$F$203)*$BI$1</f>
        <v/>
      </c>
      <c r="BL95" s="102">
        <f>MAX((CR95-Driver!$F$202)/(Driver!$G$202-Driver!$F$202)*$BI$1,1)</f>
        <v/>
      </c>
      <c r="BM95" s="102">
        <f>MAX((CH95-Driver!$F$204)/(Driver!$G$204-Driver!$F$204)*$BI$1,1)</f>
        <v/>
      </c>
      <c r="BN95" s="102">
        <f>(CI95-Driver!$F$205)/(Driver!$G$205-Driver!$F$205)*$BI$1</f>
        <v/>
      </c>
      <c r="BO95" s="102">
        <f>(CK95-Driver!$F$207)/(Driver!$G$207-Driver!$F$207)*$BI$1</f>
        <v/>
      </c>
      <c r="BP95" s="102">
        <f>(CM95-Driver!$F$208)/(Driver!$G$208-Driver!$F$208)*$BI$1</f>
        <v/>
      </c>
      <c r="BQ95" s="102">
        <f>(CL95-Driver!$F$209)/(Driver!$G$209-Driver!$F$209)*$BI$1</f>
        <v/>
      </c>
      <c r="BR95" s="40" t="inlineStr">
        <is>
          <t>21/22</t>
        </is>
      </c>
      <c r="BS95" s="10" t="inlineStr">
        <is>
          <t xml:space="preserve"> Liberty</t>
        </is>
      </c>
      <c r="BT95" s="11" t="inlineStr">
        <is>
          <t>Evolv 90W</t>
        </is>
      </c>
      <c r="BU95" s="13" t="n">
        <v>165</v>
      </c>
      <c r="BV95" s="11" t="inlineStr">
        <is>
          <t xml:space="preserve"> Women's</t>
        </is>
      </c>
      <c r="BW95" s="13" t="n">
        <v>165</v>
      </c>
      <c r="BX95" s="13" t="n">
        <v>164.2</v>
      </c>
      <c r="BY95" s="13" t="n">
        <v>131</v>
      </c>
      <c r="BZ95" s="13" t="n">
        <v>145</v>
      </c>
      <c r="CA95" s="13" t="n">
        <v>131</v>
      </c>
      <c r="CB95" s="13" t="n">
        <v>90</v>
      </c>
      <c r="CC95" s="13" t="n">
        <v>113</v>
      </c>
      <c r="CD95" s="13" t="n">
        <v>15.4</v>
      </c>
      <c r="CE95" s="13" t="n">
        <v>1591</v>
      </c>
      <c r="CF95" s="13" t="n">
        <v>1.06</v>
      </c>
      <c r="CG95" s="13" t="n">
        <v>1679</v>
      </c>
      <c r="CH95" s="13" t="n">
        <v>208</v>
      </c>
      <c r="CI95" s="13" t="n">
        <v>99</v>
      </c>
      <c r="CJ95" s="13" t="n">
        <v>37</v>
      </c>
      <c r="CK95" s="13" t="n">
        <v>206</v>
      </c>
      <c r="CL95" s="13" t="n">
        <v>10</v>
      </c>
      <c r="CM95" s="13" t="n">
        <v>130</v>
      </c>
      <c r="CN95" s="13" t="n">
        <v>0.262</v>
      </c>
      <c r="CO95" s="13" t="n">
        <v>108</v>
      </c>
      <c r="CP95" s="13" t="n">
        <v>79</v>
      </c>
      <c r="CQ95" s="13" t="n">
        <v>98</v>
      </c>
      <c r="CR95" s="13" t="n">
        <v>8</v>
      </c>
      <c r="CS95" s="13" t="n">
        <v>7.1</v>
      </c>
      <c r="CT95" s="11" t="inlineStr">
        <is>
          <t xml:space="preserve"> Resort Freeride</t>
        </is>
      </c>
      <c r="CU95" s="11" t="inlineStr">
        <is>
          <t xml:space="preserve"> Touring</t>
        </is>
      </c>
      <c r="CV95" s="13" t="n"/>
      <c r="CW95" s="13" t="n"/>
      <c r="CX95">
        <f>INDEX('Data_Price '!AG$2:AG$1266,MATCH(Data!$DN95,'Data_Price '!$AT$2:$AT$1266,0))</f>
        <v/>
      </c>
      <c r="CY95">
        <f>INDEX('Data_Price '!AH$2:AH$1266,MATCH(Data!$DN95,'Data_Price '!$AT$2:$AT$1266,0))</f>
        <v/>
      </c>
      <c r="CZ95">
        <f>INDEX('Data_Price '!AI$2:AI$1266,MATCH(Data!$DN95,'Data_Price '!$AT$2:$AT$1266,0))</f>
        <v/>
      </c>
      <c r="DA95">
        <f>INDEX('Data_Price '!AJ$2:AJ$1266,MATCH(Data!$DN95,'Data_Price '!$AT$2:$AT$1266,0))</f>
        <v/>
      </c>
      <c r="DB95">
        <f>INDEX('Data_Price '!AK$2:AK$1266,MATCH(Data!$DN95,'Data_Price '!$AT$2:$AT$1266,0))</f>
        <v/>
      </c>
      <c r="DC95">
        <f>INDEX('Data_Price '!AL$2:AL$1266,MATCH(Data!$DN95,'Data_Price '!$AT$2:$AT$1266,0))</f>
        <v/>
      </c>
      <c r="DD95">
        <f>INDEX('Data_Price '!AM$2:AM$1266,MATCH(Data!$DN95,'Data_Price '!$AT$2:$AT$1266,0))</f>
        <v/>
      </c>
      <c r="DE95">
        <f>INDEX('Data_Price '!AN$2:AN$1266,MATCH(Data!$DN95,'Data_Price '!$AT$2:$AT$1266,0))</f>
        <v/>
      </c>
      <c r="DF95">
        <f>INDEX('Data_Price '!AO$2:AO$1266,MATCH(Data!$DN95,'Data_Price '!$AT$2:$AT$1266,0))</f>
        <v/>
      </c>
      <c r="DG95">
        <f>INDEX('Data_Price '!AP$2:AP$1266,MATCH(Data!$DN95,'Data_Price '!$AT$2:$AT$1266,0))</f>
        <v/>
      </c>
      <c r="DH95">
        <f>INDEX('Data_Price '!AQ$2:AQ$1266,MATCH(Data!$DN95,'Data_Price '!$AT$2:$AT$1266,0))</f>
        <v/>
      </c>
      <c r="DI95">
        <f>INDEX('Data_Price '!AR$2:AR$1266,MATCH(Data!$DN95,'Data_Price '!$AT$2:$AT$1266,0))</f>
        <v/>
      </c>
      <c r="DJ95" s="138">
        <f>DA95</f>
        <v/>
      </c>
      <c r="DK95" s="138">
        <f>DE95</f>
        <v/>
      </c>
      <c r="DL95" s="138">
        <f>DI95</f>
        <v/>
      </c>
      <c r="DM95" s="303">
        <f>IF(LEFT(BT95,1)=" ",RIGHT(BT95,LEN(BT95)-1),BT95)</f>
        <v/>
      </c>
      <c r="DN95" s="138">
        <f>_xlfn.CONCAT(BS95,DM95,BU95,BV95)</f>
        <v/>
      </c>
      <c r="DO95" s="307" t="n"/>
    </row>
    <row r="96" ht="15.6" customHeight="1" s="184">
      <c r="B96" s="303">
        <f t="array" ref="B96">IF(OR(ISERROR(K96:P96)),FALSE,TRUE)</f>
        <v/>
      </c>
      <c r="C96" s="60">
        <f>OR(BR96=Driver!$G$50,Data!BR106=Driver!$H$50)</f>
        <v/>
      </c>
      <c r="D96" s="60">
        <f>OR(BV96=Driver!$G$51,BV96=Driver!$H$51)</f>
        <v/>
      </c>
      <c r="E96" s="60">
        <f>AND(BX96&gt;Driver!$F$54,BX96&lt;Driver!$G$54)</f>
        <v/>
      </c>
      <c r="F96" s="60">
        <f>CL96&gt;Driver!$F$56</f>
        <v/>
      </c>
      <c r="G96" s="60">
        <f>AND(CB96&gt;Driver!$F$55,CB96&lt;Driver!$G$55)</f>
        <v/>
      </c>
      <c r="H96" s="60">
        <f>AND(B96:G96)</f>
        <v/>
      </c>
      <c r="I96" s="60">
        <f>COUNTIFS($H$9:$H$1273,TRUE,$BT$9:$BT$1273,BT96)</f>
        <v/>
      </c>
      <c r="J96" s="60">
        <f t="array" ref="J96">NOT(OR(($H$9:$H$1273=TRUE)*($I$9:$I$1273&gt;0)*($BT$9:$BT$1273=BT96)*($K$9:$K$1273&gt;K96)))</f>
        <v/>
      </c>
      <c r="K96" s="108">
        <f>IFERROR(1-AVERAGE(X96:Y96),"")</f>
        <v/>
      </c>
      <c r="L96" s="108">
        <f>1-X96</f>
        <v/>
      </c>
      <c r="M96" s="108">
        <f>1-Y96</f>
        <v/>
      </c>
      <c r="N96" s="108">
        <f>1-Z96</f>
        <v/>
      </c>
      <c r="O96" s="108">
        <f>1-AA96</f>
        <v/>
      </c>
      <c r="P96" s="108">
        <f>1-AB96</f>
        <v/>
      </c>
      <c r="Q96" s="108" t="n"/>
      <c r="R96" s="108" t="n"/>
      <c r="S96" s="108">
        <f>1-AE96</f>
        <v/>
      </c>
      <c r="T96" s="108">
        <f>1-AF96</f>
        <v/>
      </c>
      <c r="U96" s="108">
        <f>1-AG96</f>
        <v/>
      </c>
      <c r="V96" s="108">
        <f>1-AH96</f>
        <v/>
      </c>
      <c r="W96" s="108">
        <f>1-AI96</f>
        <v/>
      </c>
      <c r="X96" s="108">
        <f>ABS(AJ96-AJ$1)</f>
        <v/>
      </c>
      <c r="Y96" s="108">
        <f>AVERAGE(Z96:AB96)</f>
        <v/>
      </c>
      <c r="Z96" s="108">
        <f>ABS(AL96-AL$1)</f>
        <v/>
      </c>
      <c r="AA96" s="108">
        <f>ABS(AM96-AM$1)</f>
        <v/>
      </c>
      <c r="AB96" s="108">
        <f>ABS(AN96-AN$1)</f>
        <v/>
      </c>
      <c r="AC96" s="108" t="n"/>
      <c r="AD96" s="108" t="n"/>
      <c r="AE96" s="108">
        <f>ABS(AQ$1-AQ96)</f>
        <v/>
      </c>
      <c r="AF96" s="108">
        <f>ABS(AR$1-AR96)</f>
        <v/>
      </c>
      <c r="AG96" s="108">
        <f>ABS(AS$1-AS96)</f>
        <v/>
      </c>
      <c r="AH96" s="108">
        <f>ABS(AT$1-AT96)</f>
        <v/>
      </c>
      <c r="AI96" s="108">
        <f>ABS(AU$1-AU96)</f>
        <v/>
      </c>
      <c r="AJ96" s="108">
        <f>(AV96-Driver!$K$179)/(Driver!$L$179-Driver!$K$179)</f>
        <v/>
      </c>
      <c r="AK96" s="108">
        <f>(AW96-Driver!$K$180)/(Driver!$L$180-Driver!$K$180)</f>
        <v/>
      </c>
      <c r="AL96" s="108">
        <f>(AX96-Driver!$K$181)/(Driver!$L$181-Driver!$K$181)</f>
        <v/>
      </c>
      <c r="AM96" s="108">
        <f>(AY96-Driver!$K$182)/(Driver!$L$182-Driver!$K$182)</f>
        <v/>
      </c>
      <c r="AN96" s="108">
        <f>(AZ96-Driver!$K$183)/(Driver!$L$183-Driver!$K$183)</f>
        <v/>
      </c>
      <c r="AO96" s="108" t="n"/>
      <c r="AP96" s="108" t="n"/>
      <c r="AQ96" s="108">
        <f>(BC96-Driver!$K$188)/(Driver!$L$188-Driver!$K$188)</f>
        <v/>
      </c>
      <c r="AR96" s="108">
        <f>MIN((BD96-Driver!$K$189)/(Driver!$L$189-Driver!$K$189),100%)</f>
        <v/>
      </c>
      <c r="AS96" s="108">
        <f>(BE96-Driver!$K$190)/(Driver!$L$190-Driver!$K$190)</f>
        <v/>
      </c>
      <c r="AT96" s="108">
        <f>(BF96-Driver!$K$191)/(Driver!$L$191-Driver!$K$191)</f>
        <v/>
      </c>
      <c r="AU96" s="108">
        <f>(BG96-Driver!$K$192)/(Driver!$L$192-Driver!$K$192)</f>
        <v/>
      </c>
      <c r="AV96" s="105">
        <f>IFERROR(BM96*BJ96^1/4,"")</f>
        <v/>
      </c>
      <c r="AW96" s="105">
        <f>IFERROR(SUM(AX96:AZ96),"")</f>
        <v/>
      </c>
      <c r="AX96" s="105">
        <f>IFERROR(BH96,"")</f>
        <v/>
      </c>
      <c r="AY96" s="105">
        <f>IFERROR(Driver!$K$19/Data!BH96/Data!BI96*Data!BK96*Data!BL96,"")</f>
        <v/>
      </c>
      <c r="AZ96" s="105">
        <f>IFERROR(BI96*BN96,"")</f>
        <v/>
      </c>
      <c r="BA96" s="105" t="n"/>
      <c r="BB96" s="105" t="n"/>
      <c r="BC96" s="105">
        <f>IFERROR(BI96*BN96*BK96/BJ96^(1/2),"")</f>
        <v/>
      </c>
      <c r="BD96" s="105">
        <f>IFERROR(BH96*BM96*BL96/BJ96/BK96,"")</f>
        <v/>
      </c>
      <c r="BE96" s="105">
        <f>IFERROR(MIN(BI96/BQ96/BP96/BO96/BH96,$BE$1),"")</f>
        <v/>
      </c>
      <c r="BF96" s="105">
        <f>IFERROR(BJ96*BO96*BP96/BK96,"")</f>
        <v/>
      </c>
      <c r="BG96" s="105">
        <f>IFERROR(1/BM96/BH96*BQ96,"")</f>
        <v/>
      </c>
      <c r="BH96" s="102">
        <f>MAX((CE96-Driver!$F$200)/(Driver!$G$200-Driver!$F$200)*$BI$1,1)</f>
        <v/>
      </c>
      <c r="BI96" s="102">
        <f>MAX($BI$1*(BY96-Driver!$F$201)/(Driver!$G$201-Driver!$F$201),1)</f>
        <v/>
      </c>
      <c r="BJ96" s="102">
        <f>(CB96-Driver!$F$206)/(Driver!$G$206-Driver!$F$206)*$BI$1</f>
        <v/>
      </c>
      <c r="BK96" s="102">
        <f>(CD96-Driver!$F$203)/(Driver!$G$203-Driver!$F$203)*$BI$1</f>
        <v/>
      </c>
      <c r="BL96" s="102">
        <f>MAX((CR96-Driver!$F$202)/(Driver!$G$202-Driver!$F$202)*$BI$1,1)</f>
        <v/>
      </c>
      <c r="BM96" s="102">
        <f>MAX((CH96-Driver!$F$204)/(Driver!$G$204-Driver!$F$204)*$BI$1,1)</f>
        <v/>
      </c>
      <c r="BN96" s="102">
        <f>(CI96-Driver!$F$205)/(Driver!$G$205-Driver!$F$205)*$BI$1</f>
        <v/>
      </c>
      <c r="BO96" s="102">
        <f>(CK96-Driver!$F$207)/(Driver!$G$207-Driver!$F$207)*$BI$1</f>
        <v/>
      </c>
      <c r="BP96" s="102">
        <f>(CM96-Driver!$F$208)/(Driver!$G$208-Driver!$F$208)*$BI$1</f>
        <v/>
      </c>
      <c r="BQ96" s="102">
        <f>(CL96-Driver!$F$209)/(Driver!$G$209-Driver!$F$209)*$BI$1</f>
        <v/>
      </c>
      <c r="BR96" s="40" t="inlineStr">
        <is>
          <t>21/22</t>
        </is>
      </c>
      <c r="BS96" s="10" t="inlineStr">
        <is>
          <t xml:space="preserve"> Armada</t>
        </is>
      </c>
      <c r="BT96" s="11" t="inlineStr">
        <is>
          <t>Tracer 108</t>
        </is>
      </c>
      <c r="BU96" s="13" t="n">
        <v>180</v>
      </c>
      <c r="BV96" s="11" t="inlineStr">
        <is>
          <t xml:space="preserve"> Unisex</t>
        </is>
      </c>
      <c r="BW96" s="13" t="n">
        <v>180</v>
      </c>
      <c r="BX96" s="13" t="n">
        <v>179.4</v>
      </c>
      <c r="BY96" s="13" t="n">
        <v>125</v>
      </c>
      <c r="BZ96" s="13" t="n">
        <v>139</v>
      </c>
      <c r="CA96" s="13" t="n">
        <v>133</v>
      </c>
      <c r="CB96" s="13" t="n">
        <v>107</v>
      </c>
      <c r="CC96" s="13" t="n">
        <v>125</v>
      </c>
      <c r="CD96" s="13" t="n">
        <v>19.2</v>
      </c>
      <c r="CE96" s="13" t="n">
        <v>1712</v>
      </c>
      <c r="CF96" s="13" t="n">
        <v>1.22</v>
      </c>
      <c r="CG96" s="13" t="n">
        <v>2087</v>
      </c>
      <c r="CH96" s="13" t="n">
        <v>204</v>
      </c>
      <c r="CI96" s="13" t="n">
        <v>111</v>
      </c>
      <c r="CJ96" s="13" t="n">
        <v>44</v>
      </c>
      <c r="CK96" s="13" t="n">
        <v>388</v>
      </c>
      <c r="CL96" s="13" t="n">
        <v>27</v>
      </c>
      <c r="CM96" s="13" t="n">
        <v>159</v>
      </c>
      <c r="CN96" s="13" t="n">
        <v>0.609</v>
      </c>
      <c r="CO96" s="13" t="n">
        <v>236</v>
      </c>
      <c r="CP96" s="13" t="n">
        <v>164</v>
      </c>
      <c r="CQ96" s="13" t="n">
        <v>152</v>
      </c>
      <c r="CR96" s="13" t="n">
        <v>5</v>
      </c>
      <c r="CS96" s="13" t="n">
        <v>9.5</v>
      </c>
      <c r="CT96" s="11" t="inlineStr">
        <is>
          <t xml:space="preserve"> Powder</t>
        </is>
      </c>
      <c r="CU96" s="11" t="inlineStr">
        <is>
          <t xml:space="preserve"> Touring</t>
        </is>
      </c>
      <c r="CV96" s="13" t="n"/>
      <c r="CW96" s="13" t="n"/>
      <c r="CX96">
        <f>INDEX('Data_Price '!AG$2:AG$1266,MATCH(Data!$DN96,'Data_Price '!$AT$2:$AT$1266,0))</f>
        <v/>
      </c>
      <c r="CY96">
        <f>INDEX('Data_Price '!AH$2:AH$1266,MATCH(Data!$DN96,'Data_Price '!$AT$2:$AT$1266,0))</f>
        <v/>
      </c>
      <c r="CZ96">
        <f>INDEX('Data_Price '!AI$2:AI$1266,MATCH(Data!$DN96,'Data_Price '!$AT$2:$AT$1266,0))</f>
        <v/>
      </c>
      <c r="DA96">
        <f>INDEX('Data_Price '!AJ$2:AJ$1266,MATCH(Data!$DN96,'Data_Price '!$AT$2:$AT$1266,0))</f>
        <v/>
      </c>
      <c r="DB96">
        <f>INDEX('Data_Price '!AK$2:AK$1266,MATCH(Data!$DN96,'Data_Price '!$AT$2:$AT$1266,0))</f>
        <v/>
      </c>
      <c r="DC96">
        <f>INDEX('Data_Price '!AL$2:AL$1266,MATCH(Data!$DN96,'Data_Price '!$AT$2:$AT$1266,0))</f>
        <v/>
      </c>
      <c r="DD96">
        <f>INDEX('Data_Price '!AM$2:AM$1266,MATCH(Data!$DN96,'Data_Price '!$AT$2:$AT$1266,0))</f>
        <v/>
      </c>
      <c r="DE96">
        <f>INDEX('Data_Price '!AN$2:AN$1266,MATCH(Data!$DN96,'Data_Price '!$AT$2:$AT$1266,0))</f>
        <v/>
      </c>
      <c r="DF96">
        <f>INDEX('Data_Price '!AO$2:AO$1266,MATCH(Data!$DN96,'Data_Price '!$AT$2:$AT$1266,0))</f>
        <v/>
      </c>
      <c r="DG96">
        <f>INDEX('Data_Price '!AP$2:AP$1266,MATCH(Data!$DN96,'Data_Price '!$AT$2:$AT$1266,0))</f>
        <v/>
      </c>
      <c r="DH96">
        <f>INDEX('Data_Price '!AQ$2:AQ$1266,MATCH(Data!$DN96,'Data_Price '!$AT$2:$AT$1266,0))</f>
        <v/>
      </c>
      <c r="DI96">
        <f>INDEX('Data_Price '!AR$2:AR$1266,MATCH(Data!$DN96,'Data_Price '!$AT$2:$AT$1266,0))</f>
        <v/>
      </c>
      <c r="DJ96" s="138">
        <f>DA96</f>
        <v/>
      </c>
      <c r="DK96" s="138">
        <f>DE96</f>
        <v/>
      </c>
      <c r="DL96" s="138">
        <f>DI96</f>
        <v/>
      </c>
      <c r="DM96" s="303">
        <f>IF(LEFT(BT96,1)=" ",RIGHT(BT96,LEN(BT96)-1),BT96)</f>
        <v/>
      </c>
      <c r="DN96" s="138">
        <f>_xlfn.CONCAT(BS96,DM96,BU96,BV96)</f>
        <v/>
      </c>
      <c r="DO96" s="307" t="inlineStr">
        <is>
          <t>https://images.evo.com/imgp/250/198695/839662/clone.jpg</t>
        </is>
      </c>
    </row>
    <row r="97" ht="15.6" customHeight="1" s="184">
      <c r="B97" s="303">
        <f t="array" ref="B97">IF(OR(ISERROR(K97:P97)),FALSE,TRUE)</f>
        <v/>
      </c>
      <c r="C97" s="60">
        <f>OR(BR97=Driver!$G$50,Data!BR995=Driver!$H$50)</f>
        <v/>
      </c>
      <c r="D97" s="60">
        <f>OR(BV97=Driver!$G$51,BV97=Driver!$H$51)</f>
        <v/>
      </c>
      <c r="E97" s="60">
        <f>AND(BX97&gt;Driver!$F$54,BX97&lt;Driver!$G$54)</f>
        <v/>
      </c>
      <c r="F97" s="60">
        <f>CL97&gt;Driver!$F$56</f>
        <v/>
      </c>
      <c r="G97" s="60">
        <f>AND(CB97&gt;Driver!$F$55,CB97&lt;Driver!$G$55)</f>
        <v/>
      </c>
      <c r="H97" s="60">
        <f>AND(B97:G97)</f>
        <v/>
      </c>
      <c r="I97" s="60">
        <f>COUNTIFS($H$9:$H$1273,TRUE,$BT$9:$BT$1273,BT97)</f>
        <v/>
      </c>
      <c r="J97" s="60">
        <f t="array" ref="J97">NOT(OR(($H$9:$H$1273=TRUE)*($I$9:$I$1273&gt;0)*($BT$9:$BT$1273=BT97)*($K$9:$K$1273&gt;K97)))</f>
        <v/>
      </c>
      <c r="K97" s="108">
        <f>IFERROR(1-AVERAGE(X97:Y97),"")</f>
        <v/>
      </c>
      <c r="L97" s="108">
        <f>1-X97</f>
        <v/>
      </c>
      <c r="M97" s="108">
        <f>1-Y97</f>
        <v/>
      </c>
      <c r="N97" s="108">
        <f>1-Z97</f>
        <v/>
      </c>
      <c r="O97" s="108">
        <f>1-AA97</f>
        <v/>
      </c>
      <c r="P97" s="108">
        <f>1-AB97</f>
        <v/>
      </c>
      <c r="Q97" s="108" t="n"/>
      <c r="R97" s="108" t="n"/>
      <c r="S97" s="108">
        <f>1-AE97</f>
        <v/>
      </c>
      <c r="T97" s="108">
        <f>1-AF97</f>
        <v/>
      </c>
      <c r="U97" s="108">
        <f>1-AG97</f>
        <v/>
      </c>
      <c r="V97" s="108">
        <f>1-AH97</f>
        <v/>
      </c>
      <c r="W97" s="108">
        <f>1-AI97</f>
        <v/>
      </c>
      <c r="X97" s="108">
        <f>ABS(AJ97-AJ$1)</f>
        <v/>
      </c>
      <c r="Y97" s="108">
        <f>AVERAGE(Z97:AB97)</f>
        <v/>
      </c>
      <c r="Z97" s="108">
        <f>ABS(AL97-AL$1)</f>
        <v/>
      </c>
      <c r="AA97" s="108">
        <f>ABS(AM97-AM$1)</f>
        <v/>
      </c>
      <c r="AB97" s="108">
        <f>ABS(AN97-AN$1)</f>
        <v/>
      </c>
      <c r="AC97" s="108" t="n"/>
      <c r="AD97" s="108" t="n"/>
      <c r="AE97" s="108">
        <f>ABS(AQ$1-AQ97)</f>
        <v/>
      </c>
      <c r="AF97" s="108">
        <f>ABS(AR$1-AR97)</f>
        <v/>
      </c>
      <c r="AG97" s="108">
        <f>ABS(AS$1-AS97)</f>
        <v/>
      </c>
      <c r="AH97" s="108">
        <f>ABS(AT$1-AT97)</f>
        <v/>
      </c>
      <c r="AI97" s="108">
        <f>ABS(AU$1-AU97)</f>
        <v/>
      </c>
      <c r="AJ97" s="108">
        <f>(AV97-Driver!$K$179)/(Driver!$L$179-Driver!$K$179)</f>
        <v/>
      </c>
      <c r="AK97" s="108">
        <f>(AW97-Driver!$K$180)/(Driver!$L$180-Driver!$K$180)</f>
        <v/>
      </c>
      <c r="AL97" s="108">
        <f>(AX97-Driver!$K$181)/(Driver!$L$181-Driver!$K$181)</f>
        <v/>
      </c>
      <c r="AM97" s="108">
        <f>(AY97-Driver!$K$182)/(Driver!$L$182-Driver!$K$182)</f>
        <v/>
      </c>
      <c r="AN97" s="108">
        <f>(AZ97-Driver!$K$183)/(Driver!$L$183-Driver!$K$183)</f>
        <v/>
      </c>
      <c r="AO97" s="108" t="n"/>
      <c r="AP97" s="108" t="n"/>
      <c r="AQ97" s="108">
        <f>(BC97-Driver!$K$188)/(Driver!$L$188-Driver!$K$188)</f>
        <v/>
      </c>
      <c r="AR97" s="108">
        <f>MIN((BD97-Driver!$K$189)/(Driver!$L$189-Driver!$K$189),100%)</f>
        <v/>
      </c>
      <c r="AS97" s="108">
        <f>(BE97-Driver!$K$190)/(Driver!$L$190-Driver!$K$190)</f>
        <v/>
      </c>
      <c r="AT97" s="108">
        <f>(BF97-Driver!$K$191)/(Driver!$L$191-Driver!$K$191)</f>
        <v/>
      </c>
      <c r="AU97" s="108">
        <f>(BG97-Driver!$K$192)/(Driver!$L$192-Driver!$K$192)</f>
        <v/>
      </c>
      <c r="AV97" s="105">
        <f>IFERROR(BM97*BJ97^1/4,"")</f>
        <v/>
      </c>
      <c r="AW97" s="105">
        <f>IFERROR(SUM(AX97:AZ97),"")</f>
        <v/>
      </c>
      <c r="AX97" s="105">
        <f>IFERROR(BH97,"")</f>
        <v/>
      </c>
      <c r="AY97" s="105">
        <f>IFERROR(Driver!$K$19/Data!BH97/Data!BI97*Data!BK97*Data!BL97,"")</f>
        <v/>
      </c>
      <c r="AZ97" s="105">
        <f>IFERROR(BI97*BN97,"")</f>
        <v/>
      </c>
      <c r="BA97" s="105" t="n"/>
      <c r="BB97" s="105" t="n"/>
      <c r="BC97" s="105">
        <f>IFERROR(BI97*BN97*BK97/BJ97^(1/2),"")</f>
        <v/>
      </c>
      <c r="BD97" s="105">
        <f>IFERROR(BH97*BM97*BL97/BJ97/BK97,"")</f>
        <v/>
      </c>
      <c r="BE97" s="105">
        <f>IFERROR(MIN(BI97/BQ97/BP97/BO97/BH97,$BE$1),"")</f>
        <v/>
      </c>
      <c r="BF97" s="105">
        <f>IFERROR(BJ97*BO97*BP97/BK97,"")</f>
        <v/>
      </c>
      <c r="BG97" s="105">
        <f>IFERROR(1/BM97/BH97*BQ97,"")</f>
        <v/>
      </c>
      <c r="BH97" s="102">
        <f>MAX((CE97-Driver!$F$200)/(Driver!$G$200-Driver!$F$200)*$BI$1,1)</f>
        <v/>
      </c>
      <c r="BI97" s="102">
        <f>MAX($BI$1*(BY97-Driver!$F$201)/(Driver!$G$201-Driver!$F$201),1)</f>
        <v/>
      </c>
      <c r="BJ97" s="102">
        <f>(CB97-Driver!$F$206)/(Driver!$G$206-Driver!$F$206)*$BI$1</f>
        <v/>
      </c>
      <c r="BK97" s="102">
        <f>(CD97-Driver!$F$203)/(Driver!$G$203-Driver!$F$203)*$BI$1</f>
        <v/>
      </c>
      <c r="BL97" s="102">
        <f>MAX((CR97-Driver!$F$202)/(Driver!$G$202-Driver!$F$202)*$BI$1,1)</f>
        <v/>
      </c>
      <c r="BM97" s="102">
        <f>MAX((CH97-Driver!$F$204)/(Driver!$G$204-Driver!$F$204)*$BI$1,1)</f>
        <v/>
      </c>
      <c r="BN97" s="102">
        <f>(CI97-Driver!$F$205)/(Driver!$G$205-Driver!$F$205)*$BI$1</f>
        <v/>
      </c>
      <c r="BO97" s="102">
        <f>(CK97-Driver!$F$207)/(Driver!$G$207-Driver!$F$207)*$BI$1</f>
        <v/>
      </c>
      <c r="BP97" s="102">
        <f>(CM97-Driver!$F$208)/(Driver!$G$208-Driver!$F$208)*$BI$1</f>
        <v/>
      </c>
      <c r="BQ97" s="102">
        <f>(CL97-Driver!$F$209)/(Driver!$G$209-Driver!$F$209)*$BI$1</f>
        <v/>
      </c>
      <c r="BR97" s="40" t="inlineStr">
        <is>
          <t>21/22</t>
        </is>
      </c>
      <c r="BS97" s="10" t="inlineStr">
        <is>
          <t xml:space="preserve"> Rossignol</t>
        </is>
      </c>
      <c r="BT97" s="11" t="inlineStr">
        <is>
          <t xml:space="preserve"> Blackops Stargazer W</t>
        </is>
      </c>
      <c r="BU97" s="13" t="n">
        <v>170</v>
      </c>
      <c r="BV97" s="11" t="inlineStr">
        <is>
          <t xml:space="preserve"> Women's</t>
        </is>
      </c>
      <c r="BW97" s="13" t="n">
        <v>170</v>
      </c>
      <c r="BX97" s="13" t="n">
        <v>170.6</v>
      </c>
      <c r="BY97" s="13" t="n">
        <v>124</v>
      </c>
      <c r="BZ97" s="13" t="n">
        <v>146</v>
      </c>
      <c r="CA97" s="13" t="n">
        <v>126</v>
      </c>
      <c r="CB97" s="13" t="n">
        <v>92</v>
      </c>
      <c r="CC97" s="13" t="n">
        <v>116</v>
      </c>
      <c r="CD97" s="13" t="n">
        <v>16</v>
      </c>
      <c r="CE97" s="13" t="n">
        <v>1654</v>
      </c>
      <c r="CF97" s="13" t="n">
        <v>1.07</v>
      </c>
      <c r="CG97" s="13" t="n">
        <v>1771</v>
      </c>
      <c r="CH97" s="13" t="n">
        <v>211</v>
      </c>
      <c r="CI97" s="13" t="n">
        <v>99</v>
      </c>
      <c r="CJ97" s="13" t="n">
        <v>46</v>
      </c>
      <c r="CK97" s="13" t="n">
        <v>293</v>
      </c>
      <c r="CL97" s="13" t="n">
        <v>12</v>
      </c>
      <c r="CM97" s="13" t="n">
        <v>172</v>
      </c>
      <c r="CN97" s="13" t="n">
        <v>0.252</v>
      </c>
      <c r="CO97" s="13" t="n">
        <v>144</v>
      </c>
      <c r="CP97" s="13" t="n">
        <v>106</v>
      </c>
      <c r="CQ97" s="13" t="n">
        <v>150</v>
      </c>
      <c r="CR97" s="13" t="n">
        <v>7</v>
      </c>
      <c r="CS97" s="13" t="n">
        <v>7</v>
      </c>
      <c r="CT97" s="11" t="inlineStr">
        <is>
          <t xml:space="preserve"> Resort Freeride</t>
        </is>
      </c>
      <c r="CU97" s="11" t="inlineStr">
        <is>
          <t xml:space="preserve"> Touring</t>
        </is>
      </c>
      <c r="CV97" s="13" t="n"/>
      <c r="CW97" s="13" t="n"/>
      <c r="CX97">
        <f>INDEX('Data_Price '!AG$2:AG$1266,MATCH(Data!$DN97,'Data_Price '!$AT$2:$AT$1266,0))</f>
        <v/>
      </c>
      <c r="CY97">
        <f>INDEX('Data_Price '!AH$2:AH$1266,MATCH(Data!$DN97,'Data_Price '!$AT$2:$AT$1266,0))</f>
        <v/>
      </c>
      <c r="CZ97">
        <f>INDEX('Data_Price '!AI$2:AI$1266,MATCH(Data!$DN97,'Data_Price '!$AT$2:$AT$1266,0))</f>
        <v/>
      </c>
      <c r="DA97">
        <f>INDEX('Data_Price '!AJ$2:AJ$1266,MATCH(Data!$DN97,'Data_Price '!$AT$2:$AT$1266,0))</f>
        <v/>
      </c>
      <c r="DB97">
        <f>INDEX('Data_Price '!AK$2:AK$1266,MATCH(Data!$DN97,'Data_Price '!$AT$2:$AT$1266,0))</f>
        <v/>
      </c>
      <c r="DC97">
        <f>INDEX('Data_Price '!AL$2:AL$1266,MATCH(Data!$DN97,'Data_Price '!$AT$2:$AT$1266,0))</f>
        <v/>
      </c>
      <c r="DD97">
        <f>INDEX('Data_Price '!AM$2:AM$1266,MATCH(Data!$DN97,'Data_Price '!$AT$2:$AT$1266,0))</f>
        <v/>
      </c>
      <c r="DE97">
        <f>INDEX('Data_Price '!AN$2:AN$1266,MATCH(Data!$DN97,'Data_Price '!$AT$2:$AT$1266,0))</f>
        <v/>
      </c>
      <c r="DF97">
        <f>INDEX('Data_Price '!AO$2:AO$1266,MATCH(Data!$DN97,'Data_Price '!$AT$2:$AT$1266,0))</f>
        <v/>
      </c>
      <c r="DG97">
        <f>INDEX('Data_Price '!AP$2:AP$1266,MATCH(Data!$DN97,'Data_Price '!$AT$2:$AT$1266,0))</f>
        <v/>
      </c>
      <c r="DH97">
        <f>INDEX('Data_Price '!AQ$2:AQ$1266,MATCH(Data!$DN97,'Data_Price '!$AT$2:$AT$1266,0))</f>
        <v/>
      </c>
      <c r="DI97">
        <f>INDEX('Data_Price '!AR$2:AR$1266,MATCH(Data!$DN97,'Data_Price '!$AT$2:$AT$1266,0))</f>
        <v/>
      </c>
      <c r="DJ97" s="138">
        <f>DA97</f>
        <v/>
      </c>
      <c r="DK97" s="138">
        <f>DE97</f>
        <v/>
      </c>
      <c r="DL97" s="138">
        <f>DI97</f>
        <v/>
      </c>
      <c r="DM97" s="303">
        <f>IF(LEFT(BT97,1)=" ",RIGHT(BT97,LEN(BT97)-1),BT97)</f>
        <v/>
      </c>
      <c r="DN97" s="138">
        <f>_xlfn.CONCAT(BS97,DM97,BU97,BV97)</f>
        <v/>
      </c>
      <c r="DO97" s="307" t="n"/>
    </row>
    <row r="98" ht="15.6" customHeight="1" s="184">
      <c r="B98" s="303">
        <f t="array" ref="B98">IF(OR(ISERROR(K98:P98)),FALSE,TRUE)</f>
        <v/>
      </c>
      <c r="C98" s="60">
        <f>OR(BR98=Driver!$G$50,Data!BR799=Driver!$H$50)</f>
        <v/>
      </c>
      <c r="D98" s="60">
        <f>OR(BV98=Driver!$G$51,BV98=Driver!$H$51)</f>
        <v/>
      </c>
      <c r="E98" s="60">
        <f>AND(BX98&gt;Driver!$F$54,BX98&lt;Driver!$G$54)</f>
        <v/>
      </c>
      <c r="F98" s="60">
        <f>CL98&gt;Driver!$F$56</f>
        <v/>
      </c>
      <c r="G98" s="60">
        <f>AND(CB98&gt;Driver!$F$55,CB98&lt;Driver!$G$55)</f>
        <v/>
      </c>
      <c r="H98" s="60">
        <f>AND(B98:G98)</f>
        <v/>
      </c>
      <c r="I98" s="60">
        <f>COUNTIFS($H$9:$H$1273,TRUE,$BT$9:$BT$1273,BT98)</f>
        <v/>
      </c>
      <c r="J98" s="60">
        <f t="array" ref="J98">NOT(OR(($H$9:$H$1273=TRUE)*($I$9:$I$1273&gt;0)*($BT$9:$BT$1273=BT98)*($K$9:$K$1273&gt;K98)))</f>
        <v/>
      </c>
      <c r="K98" s="108">
        <f>IFERROR(1-AVERAGE(X98:Y98),"")</f>
        <v/>
      </c>
      <c r="L98" s="108">
        <f>1-X98</f>
        <v/>
      </c>
      <c r="M98" s="108">
        <f>1-Y98</f>
        <v/>
      </c>
      <c r="N98" s="108">
        <f>1-Z98</f>
        <v/>
      </c>
      <c r="O98" s="108">
        <f>1-AA98</f>
        <v/>
      </c>
      <c r="P98" s="108">
        <f>1-AB98</f>
        <v/>
      </c>
      <c r="Q98" s="108" t="n"/>
      <c r="R98" s="108" t="n"/>
      <c r="S98" s="108">
        <f>1-AE98</f>
        <v/>
      </c>
      <c r="T98" s="108">
        <f>1-AF98</f>
        <v/>
      </c>
      <c r="U98" s="108">
        <f>1-AG98</f>
        <v/>
      </c>
      <c r="V98" s="108">
        <f>1-AH98</f>
        <v/>
      </c>
      <c r="W98" s="108">
        <f>1-AI98</f>
        <v/>
      </c>
      <c r="X98" s="108">
        <f>ABS(AJ98-AJ$1)</f>
        <v/>
      </c>
      <c r="Y98" s="108">
        <f>AVERAGE(Z98:AB98)</f>
        <v/>
      </c>
      <c r="Z98" s="108">
        <f>ABS(AL98-AL$1)</f>
        <v/>
      </c>
      <c r="AA98" s="108">
        <f>ABS(AM98-AM$1)</f>
        <v/>
      </c>
      <c r="AB98" s="108">
        <f>ABS(AN98-AN$1)</f>
        <v/>
      </c>
      <c r="AC98" s="108" t="n"/>
      <c r="AD98" s="108" t="n"/>
      <c r="AE98" s="108">
        <f>ABS(AQ$1-AQ98)</f>
        <v/>
      </c>
      <c r="AF98" s="108">
        <f>ABS(AR$1-AR98)</f>
        <v/>
      </c>
      <c r="AG98" s="108">
        <f>ABS(AS$1-AS98)</f>
        <v/>
      </c>
      <c r="AH98" s="108">
        <f>ABS(AT$1-AT98)</f>
        <v/>
      </c>
      <c r="AI98" s="108">
        <f>ABS(AU$1-AU98)</f>
        <v/>
      </c>
      <c r="AJ98" s="108">
        <f>(AV98-Driver!$K$179)/(Driver!$L$179-Driver!$K$179)</f>
        <v/>
      </c>
      <c r="AK98" s="108">
        <f>(AW98-Driver!$K$180)/(Driver!$L$180-Driver!$K$180)</f>
        <v/>
      </c>
      <c r="AL98" s="108">
        <f>(AX98-Driver!$K$181)/(Driver!$L$181-Driver!$K$181)</f>
        <v/>
      </c>
      <c r="AM98" s="108">
        <f>(AY98-Driver!$K$182)/(Driver!$L$182-Driver!$K$182)</f>
        <v/>
      </c>
      <c r="AN98" s="108">
        <f>(AZ98-Driver!$K$183)/(Driver!$L$183-Driver!$K$183)</f>
        <v/>
      </c>
      <c r="AO98" s="108" t="n"/>
      <c r="AP98" s="108" t="n"/>
      <c r="AQ98" s="108">
        <f>(BC98-Driver!$K$188)/(Driver!$L$188-Driver!$K$188)</f>
        <v/>
      </c>
      <c r="AR98" s="108">
        <f>MIN((BD98-Driver!$K$189)/(Driver!$L$189-Driver!$K$189),100%)</f>
        <v/>
      </c>
      <c r="AS98" s="108">
        <f>(BE98-Driver!$K$190)/(Driver!$L$190-Driver!$K$190)</f>
        <v/>
      </c>
      <c r="AT98" s="108">
        <f>(BF98-Driver!$K$191)/(Driver!$L$191-Driver!$K$191)</f>
        <v/>
      </c>
      <c r="AU98" s="108">
        <f>(BG98-Driver!$K$192)/(Driver!$L$192-Driver!$K$192)</f>
        <v/>
      </c>
      <c r="AV98" s="105">
        <f>IFERROR(BM98*BJ98^1/4,"")</f>
        <v/>
      </c>
      <c r="AW98" s="105">
        <f>IFERROR(SUM(AX98:AZ98),"")</f>
        <v/>
      </c>
      <c r="AX98" s="105">
        <f>IFERROR(BH98,"")</f>
        <v/>
      </c>
      <c r="AY98" s="105">
        <f>IFERROR(Driver!$K$19/Data!BH98/Data!BI98*Data!BK98*Data!BL98,"")</f>
        <v/>
      </c>
      <c r="AZ98" s="105">
        <f>IFERROR(BI98*BN98,"")</f>
        <v/>
      </c>
      <c r="BA98" s="105" t="n"/>
      <c r="BB98" s="105" t="n"/>
      <c r="BC98" s="105">
        <f>IFERROR(BI98*BN98*BK98/BJ98^(1/2),"")</f>
        <v/>
      </c>
      <c r="BD98" s="105">
        <f>IFERROR(BH98*BM98*BL98/BJ98/BK98,"")</f>
        <v/>
      </c>
      <c r="BE98" s="105">
        <f>IFERROR(MIN(BI98/BQ98/BP98/BO98/BH98,$BE$1),"")</f>
        <v/>
      </c>
      <c r="BF98" s="105">
        <f>IFERROR(BJ98*BO98*BP98/BK98,"")</f>
        <v/>
      </c>
      <c r="BG98" s="105">
        <f>IFERROR(1/BM98/BH98*BQ98,"")</f>
        <v/>
      </c>
      <c r="BH98" s="102">
        <f>MAX((CE98-Driver!$F$200)/(Driver!$G$200-Driver!$F$200)*$BI$1,1)</f>
        <v/>
      </c>
      <c r="BI98" s="102">
        <f>MAX($BI$1*(BY98-Driver!$F$201)/(Driver!$G$201-Driver!$F$201),1)</f>
        <v/>
      </c>
      <c r="BJ98" s="102">
        <f>(CB98-Driver!$F$206)/(Driver!$G$206-Driver!$F$206)*$BI$1</f>
        <v/>
      </c>
      <c r="BK98" s="102">
        <f>(CD98-Driver!$F$203)/(Driver!$G$203-Driver!$F$203)*$BI$1</f>
        <v/>
      </c>
      <c r="BL98" s="102">
        <f>MAX((CR98-Driver!$F$202)/(Driver!$G$202-Driver!$F$202)*$BI$1,1)</f>
        <v/>
      </c>
      <c r="BM98" s="102">
        <f>MAX((CH98-Driver!$F$204)/(Driver!$G$204-Driver!$F$204)*$BI$1,1)</f>
        <v/>
      </c>
      <c r="BN98" s="102">
        <f>(CI98-Driver!$F$205)/(Driver!$G$205-Driver!$F$205)*$BI$1</f>
        <v/>
      </c>
      <c r="BO98" s="102">
        <f>(CK98-Driver!$F$207)/(Driver!$G$207-Driver!$F$207)*$BI$1</f>
        <v/>
      </c>
      <c r="BP98" s="102">
        <f>(CM98-Driver!$F$208)/(Driver!$G$208-Driver!$F$208)*$BI$1</f>
        <v/>
      </c>
      <c r="BQ98" s="102">
        <f>(CL98-Driver!$F$209)/(Driver!$G$209-Driver!$F$209)*$BI$1</f>
        <v/>
      </c>
      <c r="BR98" s="40" t="inlineStr">
        <is>
          <t>21/22</t>
        </is>
      </c>
      <c r="BS98" s="10" t="inlineStr">
        <is>
          <t xml:space="preserve"> Liberty</t>
        </is>
      </c>
      <c r="BT98" s="11" t="inlineStr">
        <is>
          <t>Evolv 90</t>
        </is>
      </c>
      <c r="BU98" s="13" t="n">
        <v>165</v>
      </c>
      <c r="BV98" s="11" t="inlineStr">
        <is>
          <t xml:space="preserve"> Unisex</t>
        </is>
      </c>
      <c r="BW98" s="13" t="n">
        <v>165</v>
      </c>
      <c r="BX98" s="13" t="n">
        <v>165.1</v>
      </c>
      <c r="BY98" s="13" t="n">
        <v>133</v>
      </c>
      <c r="BZ98" s="13" t="n">
        <v>146</v>
      </c>
      <c r="CA98" s="13" t="n">
        <v>130</v>
      </c>
      <c r="CB98" s="13" t="n">
        <v>89</v>
      </c>
      <c r="CC98" s="13" t="n">
        <v>112</v>
      </c>
      <c r="CD98" s="13" t="n">
        <v>15.6</v>
      </c>
      <c r="CE98" s="13" t="n">
        <v>1638</v>
      </c>
      <c r="CF98" s="13" t="n">
        <v>1.02</v>
      </c>
      <c r="CG98" s="13" t="n">
        <v>1679</v>
      </c>
      <c r="CH98" s="13" t="n">
        <v>195</v>
      </c>
      <c r="CI98" s="13" t="n">
        <v>100</v>
      </c>
      <c r="CJ98" s="13" t="n">
        <v>38</v>
      </c>
      <c r="CK98" s="13" t="n">
        <v>203</v>
      </c>
      <c r="CL98" s="13" t="n">
        <v>10</v>
      </c>
      <c r="CM98" s="13" t="n">
        <v>120</v>
      </c>
      <c r="CN98" s="13" t="n">
        <v>0.257</v>
      </c>
      <c r="CO98" s="13" t="n">
        <v>103</v>
      </c>
      <c r="CP98" s="13" t="n">
        <v>88</v>
      </c>
      <c r="CQ98" s="13" t="n">
        <v>100</v>
      </c>
      <c r="CR98" s="13" t="n">
        <v>8</v>
      </c>
      <c r="CS98" s="13" t="n">
        <v>10.5</v>
      </c>
      <c r="CT98" s="11" t="inlineStr">
        <is>
          <t xml:space="preserve"> Resort Freeride</t>
        </is>
      </c>
      <c r="CU98" s="13" t="n"/>
      <c r="CV98" s="13" t="n"/>
      <c r="CW98" s="13" t="n"/>
      <c r="CX98">
        <f>INDEX('Data_Price '!AG$2:AG$1266,MATCH(Data!$DN98,'Data_Price '!$AT$2:$AT$1266,0))</f>
        <v/>
      </c>
      <c r="CY98">
        <f>INDEX('Data_Price '!AH$2:AH$1266,MATCH(Data!$DN98,'Data_Price '!$AT$2:$AT$1266,0))</f>
        <v/>
      </c>
      <c r="CZ98">
        <f>INDEX('Data_Price '!AI$2:AI$1266,MATCH(Data!$DN98,'Data_Price '!$AT$2:$AT$1266,0))</f>
        <v/>
      </c>
      <c r="DA98">
        <f>INDEX('Data_Price '!AJ$2:AJ$1266,MATCH(Data!$DN98,'Data_Price '!$AT$2:$AT$1266,0))</f>
        <v/>
      </c>
      <c r="DB98">
        <f>INDEX('Data_Price '!AK$2:AK$1266,MATCH(Data!$DN98,'Data_Price '!$AT$2:$AT$1266,0))</f>
        <v/>
      </c>
      <c r="DC98">
        <f>INDEX('Data_Price '!AL$2:AL$1266,MATCH(Data!$DN98,'Data_Price '!$AT$2:$AT$1266,0))</f>
        <v/>
      </c>
      <c r="DD98">
        <f>INDEX('Data_Price '!AM$2:AM$1266,MATCH(Data!$DN98,'Data_Price '!$AT$2:$AT$1266,0))</f>
        <v/>
      </c>
      <c r="DE98">
        <f>INDEX('Data_Price '!AN$2:AN$1266,MATCH(Data!$DN98,'Data_Price '!$AT$2:$AT$1266,0))</f>
        <v/>
      </c>
      <c r="DF98">
        <f>INDEX('Data_Price '!AO$2:AO$1266,MATCH(Data!$DN98,'Data_Price '!$AT$2:$AT$1266,0))</f>
        <v/>
      </c>
      <c r="DG98">
        <f>INDEX('Data_Price '!AP$2:AP$1266,MATCH(Data!$DN98,'Data_Price '!$AT$2:$AT$1266,0))</f>
        <v/>
      </c>
      <c r="DH98">
        <f>INDEX('Data_Price '!AQ$2:AQ$1266,MATCH(Data!$DN98,'Data_Price '!$AT$2:$AT$1266,0))</f>
        <v/>
      </c>
      <c r="DI98">
        <f>INDEX('Data_Price '!AR$2:AR$1266,MATCH(Data!$DN98,'Data_Price '!$AT$2:$AT$1266,0))</f>
        <v/>
      </c>
      <c r="DJ98" s="138">
        <f>DA98</f>
        <v/>
      </c>
      <c r="DK98" s="138">
        <f>DE98</f>
        <v/>
      </c>
      <c r="DL98" s="138">
        <f>DI98</f>
        <v/>
      </c>
      <c r="DM98" s="303">
        <f>IF(LEFT(BT98,1)=" ",RIGHT(BT98,LEN(BT98)-1),BT98)</f>
        <v/>
      </c>
      <c r="DN98" s="138">
        <f>_xlfn.CONCAT(BS98,DM98,BU98,BV98)</f>
        <v/>
      </c>
      <c r="DO98" s="307" t="n"/>
    </row>
    <row r="99" ht="15.6" customHeight="1" s="184">
      <c r="B99" s="303">
        <f t="array" ref="B99">IF(OR(ISERROR(K99:P99)),FALSE,TRUE)</f>
        <v/>
      </c>
      <c r="C99" s="60">
        <f>OR(BR99=Driver!$G$50,Data!BR588=Driver!$H$50)</f>
        <v/>
      </c>
      <c r="D99" s="60">
        <f>OR(BV99=Driver!$G$51,BV99=Driver!$H$51)</f>
        <v/>
      </c>
      <c r="E99" s="60">
        <f>AND(BX99&gt;Driver!$F$54,BX99&lt;Driver!$G$54)</f>
        <v/>
      </c>
      <c r="F99" s="60">
        <f>CL99&gt;Driver!$F$56</f>
        <v/>
      </c>
      <c r="G99" s="60">
        <f>AND(CB99&gt;Driver!$F$55,CB99&lt;Driver!$G$55)</f>
        <v/>
      </c>
      <c r="H99" s="60">
        <f>AND(B99:G99)</f>
        <v/>
      </c>
      <c r="I99" s="60">
        <f>COUNTIFS($H$9:$H$1273,TRUE,$BT$9:$BT$1273,BT99)</f>
        <v/>
      </c>
      <c r="J99" s="60">
        <f t="array" ref="J99">NOT(OR(($H$9:$H$1273=TRUE)*($I$9:$I$1273&gt;0)*($BT$9:$BT$1273=BT99)*($K$9:$K$1273&gt;K99)))</f>
        <v/>
      </c>
      <c r="K99" s="108">
        <f>IFERROR(1-AVERAGE(X99:Y99),"")</f>
        <v/>
      </c>
      <c r="L99" s="108">
        <f>1-X99</f>
        <v/>
      </c>
      <c r="M99" s="108">
        <f>1-Y99</f>
        <v/>
      </c>
      <c r="N99" s="108">
        <f>1-Z99</f>
        <v/>
      </c>
      <c r="O99" s="108">
        <f>1-AA99</f>
        <v/>
      </c>
      <c r="P99" s="108">
        <f>1-AB99</f>
        <v/>
      </c>
      <c r="Q99" s="108" t="n"/>
      <c r="R99" s="108" t="n"/>
      <c r="S99" s="108">
        <f>1-AE99</f>
        <v/>
      </c>
      <c r="T99" s="108">
        <f>1-AF99</f>
        <v/>
      </c>
      <c r="U99" s="108">
        <f>1-AG99</f>
        <v/>
      </c>
      <c r="V99" s="108">
        <f>1-AH99</f>
        <v/>
      </c>
      <c r="W99" s="108">
        <f>1-AI99</f>
        <v/>
      </c>
      <c r="X99" s="108">
        <f>ABS(AJ99-AJ$1)</f>
        <v/>
      </c>
      <c r="Y99" s="108">
        <f>AVERAGE(Z99:AB99)</f>
        <v/>
      </c>
      <c r="Z99" s="108">
        <f>ABS(AL99-AL$1)</f>
        <v/>
      </c>
      <c r="AA99" s="108">
        <f>ABS(AM99-AM$1)</f>
        <v/>
      </c>
      <c r="AB99" s="108">
        <f>ABS(AN99-AN$1)</f>
        <v/>
      </c>
      <c r="AC99" s="108" t="n"/>
      <c r="AD99" s="108" t="n"/>
      <c r="AE99" s="108">
        <f>ABS(AQ$1-AQ99)</f>
        <v/>
      </c>
      <c r="AF99" s="108">
        <f>ABS(AR$1-AR99)</f>
        <v/>
      </c>
      <c r="AG99" s="108">
        <f>ABS(AS$1-AS99)</f>
        <v/>
      </c>
      <c r="AH99" s="108">
        <f>ABS(AT$1-AT99)</f>
        <v/>
      </c>
      <c r="AI99" s="108">
        <f>ABS(AU$1-AU99)</f>
        <v/>
      </c>
      <c r="AJ99" s="108">
        <f>(AV99-Driver!$K$179)/(Driver!$L$179-Driver!$K$179)</f>
        <v/>
      </c>
      <c r="AK99" s="108">
        <f>(AW99-Driver!$K$180)/(Driver!$L$180-Driver!$K$180)</f>
        <v/>
      </c>
      <c r="AL99" s="108">
        <f>(AX99-Driver!$K$181)/(Driver!$L$181-Driver!$K$181)</f>
        <v/>
      </c>
      <c r="AM99" s="108">
        <f>(AY99-Driver!$K$182)/(Driver!$L$182-Driver!$K$182)</f>
        <v/>
      </c>
      <c r="AN99" s="108">
        <f>(AZ99-Driver!$K$183)/(Driver!$L$183-Driver!$K$183)</f>
        <v/>
      </c>
      <c r="AO99" s="108" t="n"/>
      <c r="AP99" s="108" t="n"/>
      <c r="AQ99" s="108">
        <f>(BC99-Driver!$K$188)/(Driver!$L$188-Driver!$K$188)</f>
        <v/>
      </c>
      <c r="AR99" s="108">
        <f>MIN((BD99-Driver!$K$189)/(Driver!$L$189-Driver!$K$189),100%)</f>
        <v/>
      </c>
      <c r="AS99" s="108">
        <f>(BE99-Driver!$K$190)/(Driver!$L$190-Driver!$K$190)</f>
        <v/>
      </c>
      <c r="AT99" s="108">
        <f>(BF99-Driver!$K$191)/(Driver!$L$191-Driver!$K$191)</f>
        <v/>
      </c>
      <c r="AU99" s="108">
        <f>(BG99-Driver!$K$192)/(Driver!$L$192-Driver!$K$192)</f>
        <v/>
      </c>
      <c r="AV99" s="105">
        <f>IFERROR(BM99*BJ99^1/4,"")</f>
        <v/>
      </c>
      <c r="AW99" s="105">
        <f>IFERROR(SUM(AX99:AZ99),"")</f>
        <v/>
      </c>
      <c r="AX99" s="105">
        <f>IFERROR(BH99,"")</f>
        <v/>
      </c>
      <c r="AY99" s="105">
        <f>IFERROR(Driver!$K$19/Data!BH99/Data!BI99*Data!BK99*Data!BL99,"")</f>
        <v/>
      </c>
      <c r="AZ99" s="105">
        <f>IFERROR(BI99*BN99,"")</f>
        <v/>
      </c>
      <c r="BA99" s="105" t="n"/>
      <c r="BB99" s="105" t="n"/>
      <c r="BC99" s="105">
        <f>IFERROR(BI99*BN99*BK99/BJ99^(1/2),"")</f>
        <v/>
      </c>
      <c r="BD99" s="105">
        <f>IFERROR(BH99*BM99*BL99/BJ99/BK99,"")</f>
        <v/>
      </c>
      <c r="BE99" s="105">
        <f>IFERROR(MIN(BI99/BQ99/BP99/BO99/BH99,$BE$1),"")</f>
        <v/>
      </c>
      <c r="BF99" s="105">
        <f>IFERROR(BJ99*BO99*BP99/BK99,"")</f>
        <v/>
      </c>
      <c r="BG99" s="105">
        <f>IFERROR(1/BM99/BH99*BQ99,"")</f>
        <v/>
      </c>
      <c r="BH99" s="102">
        <f>MAX((CE99-Driver!$F$200)/(Driver!$G$200-Driver!$F$200)*$BI$1,1)</f>
        <v/>
      </c>
      <c r="BI99" s="102">
        <f>MAX($BI$1*(BY99-Driver!$F$201)/(Driver!$G$201-Driver!$F$201),1)</f>
        <v/>
      </c>
      <c r="BJ99" s="102">
        <f>(CB99-Driver!$F$206)/(Driver!$G$206-Driver!$F$206)*$BI$1</f>
        <v/>
      </c>
      <c r="BK99" s="102">
        <f>(CD99-Driver!$F$203)/(Driver!$G$203-Driver!$F$203)*$BI$1</f>
        <v/>
      </c>
      <c r="BL99" s="102">
        <f>MAX((CR99-Driver!$F$202)/(Driver!$G$202-Driver!$F$202)*$BI$1,1)</f>
        <v/>
      </c>
      <c r="BM99" s="102">
        <f>MAX((CH99-Driver!$F$204)/(Driver!$G$204-Driver!$F$204)*$BI$1,1)</f>
        <v/>
      </c>
      <c r="BN99" s="102">
        <f>(CI99-Driver!$F$205)/(Driver!$G$205-Driver!$F$205)*$BI$1</f>
        <v/>
      </c>
      <c r="BO99" s="102">
        <f>(CK99-Driver!$F$207)/(Driver!$G$207-Driver!$F$207)*$BI$1</f>
        <v/>
      </c>
      <c r="BP99" s="102">
        <f>(CM99-Driver!$F$208)/(Driver!$G$208-Driver!$F$208)*$BI$1</f>
        <v/>
      </c>
      <c r="BQ99" s="102">
        <f>(CL99-Driver!$F$209)/(Driver!$G$209-Driver!$F$209)*$BI$1</f>
        <v/>
      </c>
      <c r="BR99" s="40" t="inlineStr">
        <is>
          <t>21/22</t>
        </is>
      </c>
      <c r="BS99" s="10" t="inlineStr">
        <is>
          <t xml:space="preserve"> Fischer</t>
        </is>
      </c>
      <c r="BT99" s="11" t="inlineStr">
        <is>
          <t>Ranger 99 Ti W</t>
        </is>
      </c>
      <c r="BU99" s="13" t="n">
        <v>158</v>
      </c>
      <c r="BV99" s="11" t="inlineStr">
        <is>
          <t xml:space="preserve"> Women's</t>
        </is>
      </c>
      <c r="BW99" s="13" t="n">
        <v>158</v>
      </c>
      <c r="BX99" s="13" t="n">
        <v>157.1</v>
      </c>
      <c r="BY99" s="13" t="n">
        <v>102</v>
      </c>
      <c r="BZ99" s="13" t="n">
        <v>133</v>
      </c>
      <c r="CA99" s="13" t="n">
        <v>124</v>
      </c>
      <c r="CB99" s="13" t="n">
        <v>93</v>
      </c>
      <c r="CC99" s="13" t="n">
        <v>115</v>
      </c>
      <c r="CD99" s="13" t="n">
        <v>14.2</v>
      </c>
      <c r="CE99" s="13" t="n">
        <v>1650</v>
      </c>
      <c r="CF99" s="13" t="n">
        <v>0.99</v>
      </c>
      <c r="CG99" s="13" t="n">
        <v>1633</v>
      </c>
      <c r="CH99" s="13" t="n">
        <v>190</v>
      </c>
      <c r="CI99" s="13" t="n">
        <v>117</v>
      </c>
      <c r="CJ99" s="13" t="n">
        <v>50</v>
      </c>
      <c r="CK99" s="13" t="n">
        <v>332</v>
      </c>
      <c r="CL99" s="13" t="n">
        <v>19</v>
      </c>
      <c r="CM99" s="13" t="n">
        <v>216</v>
      </c>
      <c r="CN99" s="13" t="n">
        <v>0.374</v>
      </c>
      <c r="CO99" s="13" t="n">
        <v>132</v>
      </c>
      <c r="CP99" s="13" t="n">
        <v>114</v>
      </c>
      <c r="CQ99" s="13" t="n">
        <v>200</v>
      </c>
      <c r="CR99" s="13" t="n">
        <v>3</v>
      </c>
      <c r="CS99" s="13" t="n">
        <v>9</v>
      </c>
      <c r="CT99" s="11" t="inlineStr">
        <is>
          <t xml:space="preserve"> Resort Freeride</t>
        </is>
      </c>
      <c r="CU99" s="13" t="n"/>
      <c r="CV99" s="13" t="n"/>
      <c r="CW99" s="13" t="n"/>
      <c r="CX99">
        <f>INDEX('Data_Price '!AG$2:AG$1266,MATCH(Data!$DN99,'Data_Price '!$AT$2:$AT$1266,0))</f>
        <v/>
      </c>
      <c r="CY99">
        <f>INDEX('Data_Price '!AH$2:AH$1266,MATCH(Data!$DN99,'Data_Price '!$AT$2:$AT$1266,0))</f>
        <v/>
      </c>
      <c r="CZ99">
        <f>INDEX('Data_Price '!AI$2:AI$1266,MATCH(Data!$DN99,'Data_Price '!$AT$2:$AT$1266,0))</f>
        <v/>
      </c>
      <c r="DA99">
        <f>INDEX('Data_Price '!AJ$2:AJ$1266,MATCH(Data!$DN99,'Data_Price '!$AT$2:$AT$1266,0))</f>
        <v/>
      </c>
      <c r="DB99">
        <f>INDEX('Data_Price '!AK$2:AK$1266,MATCH(Data!$DN99,'Data_Price '!$AT$2:$AT$1266,0))</f>
        <v/>
      </c>
      <c r="DC99">
        <f>INDEX('Data_Price '!AL$2:AL$1266,MATCH(Data!$DN99,'Data_Price '!$AT$2:$AT$1266,0))</f>
        <v/>
      </c>
      <c r="DD99">
        <f>INDEX('Data_Price '!AM$2:AM$1266,MATCH(Data!$DN99,'Data_Price '!$AT$2:$AT$1266,0))</f>
        <v/>
      </c>
      <c r="DE99">
        <f>INDEX('Data_Price '!AN$2:AN$1266,MATCH(Data!$DN99,'Data_Price '!$AT$2:$AT$1266,0))</f>
        <v/>
      </c>
      <c r="DF99">
        <f>INDEX('Data_Price '!AO$2:AO$1266,MATCH(Data!$DN99,'Data_Price '!$AT$2:$AT$1266,0))</f>
        <v/>
      </c>
      <c r="DG99">
        <f>INDEX('Data_Price '!AP$2:AP$1266,MATCH(Data!$DN99,'Data_Price '!$AT$2:$AT$1266,0))</f>
        <v/>
      </c>
      <c r="DH99">
        <f>INDEX('Data_Price '!AQ$2:AQ$1266,MATCH(Data!$DN99,'Data_Price '!$AT$2:$AT$1266,0))</f>
        <v/>
      </c>
      <c r="DI99">
        <f>INDEX('Data_Price '!AR$2:AR$1266,MATCH(Data!$DN99,'Data_Price '!$AT$2:$AT$1266,0))</f>
        <v/>
      </c>
      <c r="DJ99" s="138">
        <f>DA99</f>
        <v/>
      </c>
      <c r="DK99" s="138">
        <f>DE99</f>
        <v/>
      </c>
      <c r="DL99" s="138">
        <f>DI99</f>
        <v/>
      </c>
      <c r="DM99" s="303">
        <f>IF(LEFT(BT99,1)=" ",RIGHT(BT99,LEN(BT99)-1),BT99)</f>
        <v/>
      </c>
      <c r="DN99" s="138">
        <f>_xlfn.CONCAT(BS99,DM99,BU99,BV99)</f>
        <v/>
      </c>
      <c r="DO99" s="307" t="n"/>
    </row>
    <row r="100" ht="15.6" customHeight="1" s="184">
      <c r="B100" s="303">
        <f t="array" ref="B100">IF(OR(ISERROR(K100:P100)),FALSE,TRUE)</f>
        <v/>
      </c>
      <c r="C100" s="60">
        <f>OR(BR100=Driver!$G$50,Data!BR536=Driver!$H$50)</f>
        <v/>
      </c>
      <c r="D100" s="60">
        <f>OR(BV100=Driver!$G$51,BV100=Driver!$H$51)</f>
        <v/>
      </c>
      <c r="E100" s="60">
        <f>AND(BX100&gt;Driver!$F$54,BX100&lt;Driver!$G$54)</f>
        <v/>
      </c>
      <c r="F100" s="60">
        <f>CL100&gt;Driver!$F$56</f>
        <v/>
      </c>
      <c r="G100" s="60">
        <f>AND(CB100&gt;Driver!$F$55,CB100&lt;Driver!$G$55)</f>
        <v/>
      </c>
      <c r="H100" s="60">
        <f>AND(B100:G100)</f>
        <v/>
      </c>
      <c r="I100" s="60">
        <f>COUNTIFS($H$9:$H$1273,TRUE,$BT$9:$BT$1273,BT100)</f>
        <v/>
      </c>
      <c r="J100" s="60">
        <f t="array" ref="J100">NOT(OR(($H$9:$H$1273=TRUE)*($I$9:$I$1273&gt;0)*($BT$9:$BT$1273=BT100)*($K$9:$K$1273&gt;K100)))</f>
        <v/>
      </c>
      <c r="K100" s="108">
        <f>IFERROR(1-AVERAGE(X100:Y100),"")</f>
        <v/>
      </c>
      <c r="L100" s="108">
        <f>1-X100</f>
        <v/>
      </c>
      <c r="M100" s="108">
        <f>1-Y100</f>
        <v/>
      </c>
      <c r="N100" s="108">
        <f>1-Z100</f>
        <v/>
      </c>
      <c r="O100" s="108">
        <f>1-AA100</f>
        <v/>
      </c>
      <c r="P100" s="108">
        <f>1-AB100</f>
        <v/>
      </c>
      <c r="Q100" s="108" t="n"/>
      <c r="R100" s="108" t="n"/>
      <c r="S100" s="108">
        <f>1-AE100</f>
        <v/>
      </c>
      <c r="T100" s="108">
        <f>1-AF100</f>
        <v/>
      </c>
      <c r="U100" s="108">
        <f>1-AG100</f>
        <v/>
      </c>
      <c r="V100" s="108">
        <f>1-AH100</f>
        <v/>
      </c>
      <c r="W100" s="108">
        <f>1-AI100</f>
        <v/>
      </c>
      <c r="X100" s="108">
        <f>ABS(AJ100-AJ$1)</f>
        <v/>
      </c>
      <c r="Y100" s="108">
        <f>AVERAGE(Z100:AB100)</f>
        <v/>
      </c>
      <c r="Z100" s="108">
        <f>ABS(AL100-AL$1)</f>
        <v/>
      </c>
      <c r="AA100" s="108">
        <f>ABS(AM100-AM$1)</f>
        <v/>
      </c>
      <c r="AB100" s="108">
        <f>ABS(AN100-AN$1)</f>
        <v/>
      </c>
      <c r="AC100" s="108" t="n"/>
      <c r="AD100" s="108" t="n"/>
      <c r="AE100" s="108">
        <f>ABS(AQ$1-AQ100)</f>
        <v/>
      </c>
      <c r="AF100" s="108">
        <f>ABS(AR$1-AR100)</f>
        <v/>
      </c>
      <c r="AG100" s="108">
        <f>ABS(AS$1-AS100)</f>
        <v/>
      </c>
      <c r="AH100" s="108">
        <f>ABS(AT$1-AT100)</f>
        <v/>
      </c>
      <c r="AI100" s="108">
        <f>ABS(AU$1-AU100)</f>
        <v/>
      </c>
      <c r="AJ100" s="108">
        <f>(AV100-Driver!$K$179)/(Driver!$L$179-Driver!$K$179)</f>
        <v/>
      </c>
      <c r="AK100" s="108">
        <f>(AW100-Driver!$K$180)/(Driver!$L$180-Driver!$K$180)</f>
        <v/>
      </c>
      <c r="AL100" s="108">
        <f>(AX100-Driver!$K$181)/(Driver!$L$181-Driver!$K$181)</f>
        <v/>
      </c>
      <c r="AM100" s="108">
        <f>(AY100-Driver!$K$182)/(Driver!$L$182-Driver!$K$182)</f>
        <v/>
      </c>
      <c r="AN100" s="108">
        <f>(AZ100-Driver!$K$183)/(Driver!$L$183-Driver!$K$183)</f>
        <v/>
      </c>
      <c r="AO100" s="108" t="n"/>
      <c r="AP100" s="108" t="n"/>
      <c r="AQ100" s="108">
        <f>(BC100-Driver!$K$188)/(Driver!$L$188-Driver!$K$188)</f>
        <v/>
      </c>
      <c r="AR100" s="108">
        <f>MIN((BD100-Driver!$K$189)/(Driver!$L$189-Driver!$K$189),100%)</f>
        <v/>
      </c>
      <c r="AS100" s="108">
        <f>(BE100-Driver!$K$190)/(Driver!$L$190-Driver!$K$190)</f>
        <v/>
      </c>
      <c r="AT100" s="108">
        <f>(BF100-Driver!$K$191)/(Driver!$L$191-Driver!$K$191)</f>
        <v/>
      </c>
      <c r="AU100" s="108">
        <f>(BG100-Driver!$K$192)/(Driver!$L$192-Driver!$K$192)</f>
        <v/>
      </c>
      <c r="AV100" s="105">
        <f>IFERROR(BM100*BJ100^1/4,"")</f>
        <v/>
      </c>
      <c r="AW100" s="105">
        <f>IFERROR(SUM(AX100:AZ100),"")</f>
        <v/>
      </c>
      <c r="AX100" s="105">
        <f>IFERROR(BH100,"")</f>
        <v/>
      </c>
      <c r="AY100" s="105">
        <f>IFERROR(Driver!$K$19/Data!BH100/Data!BI100*Data!BK100*Data!BL100,"")</f>
        <v/>
      </c>
      <c r="AZ100" s="105">
        <f>IFERROR(BI100*BN100,"")</f>
        <v/>
      </c>
      <c r="BA100" s="105" t="n"/>
      <c r="BB100" s="105" t="n"/>
      <c r="BC100" s="105">
        <f>IFERROR(BI100*BN100*BK100/BJ100^(1/2),"")</f>
        <v/>
      </c>
      <c r="BD100" s="105">
        <f>IFERROR(BH100*BM100*BL100/BJ100/BK100,"")</f>
        <v/>
      </c>
      <c r="BE100" s="105">
        <f>IFERROR(MIN(BI100/BQ100/BP100/BO100/BH100,$BE$1),"")</f>
        <v/>
      </c>
      <c r="BF100" s="105">
        <f>IFERROR(BJ100*BO100*BP100/BK100,"")</f>
        <v/>
      </c>
      <c r="BG100" s="105">
        <f>IFERROR(1/BM100/BH100*BQ100,"")</f>
        <v/>
      </c>
      <c r="BH100" s="102">
        <f>MAX((CE100-Driver!$F$200)/(Driver!$G$200-Driver!$F$200)*$BI$1,1)</f>
        <v/>
      </c>
      <c r="BI100" s="102">
        <f>MAX($BI$1*(BY100-Driver!$F$201)/(Driver!$G$201-Driver!$F$201),1)</f>
        <v/>
      </c>
      <c r="BJ100" s="102">
        <f>(CB100-Driver!$F$206)/(Driver!$G$206-Driver!$F$206)*$BI$1</f>
        <v/>
      </c>
      <c r="BK100" s="102">
        <f>(CD100-Driver!$F$203)/(Driver!$G$203-Driver!$F$203)*$BI$1</f>
        <v/>
      </c>
      <c r="BL100" s="102">
        <f>MAX((CR100-Driver!$F$202)/(Driver!$G$202-Driver!$F$202)*$BI$1,1)</f>
        <v/>
      </c>
      <c r="BM100" s="102">
        <f>MAX((CH100-Driver!$F$204)/(Driver!$G$204-Driver!$F$204)*$BI$1,1)</f>
        <v/>
      </c>
      <c r="BN100" s="102">
        <f>(CI100-Driver!$F$205)/(Driver!$G$205-Driver!$F$205)*$BI$1</f>
        <v/>
      </c>
      <c r="BO100" s="102">
        <f>(CK100-Driver!$F$207)/(Driver!$G$207-Driver!$F$207)*$BI$1</f>
        <v/>
      </c>
      <c r="BP100" s="102">
        <f>(CM100-Driver!$F$208)/(Driver!$G$208-Driver!$F$208)*$BI$1</f>
        <v/>
      </c>
      <c r="BQ100" s="102">
        <f>(CL100-Driver!$F$209)/(Driver!$G$209-Driver!$F$209)*$BI$1</f>
        <v/>
      </c>
      <c r="BR100" s="40" t="inlineStr">
        <is>
          <t>21/22</t>
        </is>
      </c>
      <c r="BS100" s="10" t="inlineStr">
        <is>
          <t xml:space="preserve"> Faction</t>
        </is>
      </c>
      <c r="BT100" s="11" t="inlineStr">
        <is>
          <t>Prodigy 2.0</t>
        </is>
      </c>
      <c r="BU100" s="13" t="n">
        <v>177</v>
      </c>
      <c r="BV100" s="11" t="inlineStr">
        <is>
          <t xml:space="preserve"> Unisex</t>
        </is>
      </c>
      <c r="BW100" s="13" t="n">
        <v>177</v>
      </c>
      <c r="BX100" s="13" t="n">
        <v>175.3</v>
      </c>
      <c r="BY100" s="13" t="n">
        <v>126</v>
      </c>
      <c r="BZ100" s="13" t="n">
        <v>145</v>
      </c>
      <c r="CA100" s="13" t="n">
        <v>127</v>
      </c>
      <c r="CB100" s="13" t="n">
        <v>97</v>
      </c>
      <c r="CC100" s="13" t="n">
        <v>119</v>
      </c>
      <c r="CD100" s="13" t="n">
        <v>18.7</v>
      </c>
      <c r="CE100" s="13" t="n">
        <v>1891</v>
      </c>
      <c r="CF100" s="13" t="n">
        <v>1</v>
      </c>
      <c r="CG100" s="13" t="n">
        <v>1887</v>
      </c>
      <c r="CH100" s="13" t="n">
        <v>219</v>
      </c>
      <c r="CI100" s="13" t="n">
        <v>99</v>
      </c>
      <c r="CJ100" s="13" t="n">
        <v>51</v>
      </c>
      <c r="CK100" s="13" t="n">
        <v>272</v>
      </c>
      <c r="CL100" s="13" t="n">
        <v>43</v>
      </c>
      <c r="CM100" s="13" t="n">
        <v>225</v>
      </c>
      <c r="CN100" s="13" t="n">
        <v>0.829</v>
      </c>
      <c r="CO100" s="13" t="n">
        <v>167</v>
      </c>
      <c r="CP100" s="13" t="n">
        <v>138</v>
      </c>
      <c r="CQ100" s="13" t="n">
        <v>105</v>
      </c>
      <c r="CR100" s="13" t="n">
        <v>8</v>
      </c>
      <c r="CS100" s="13" t="n">
        <v>7.6</v>
      </c>
      <c r="CT100" s="11" t="inlineStr">
        <is>
          <t xml:space="preserve"> Resort Freeride</t>
        </is>
      </c>
      <c r="CU100" s="11" t="inlineStr">
        <is>
          <t xml:space="preserve"> Freeski</t>
        </is>
      </c>
      <c r="CV100" s="13" t="n"/>
      <c r="CW100" s="13" t="n"/>
      <c r="CX100">
        <f>INDEX('Data_Price '!AG$2:AG$1266,MATCH(Data!$DN100,'Data_Price '!$AT$2:$AT$1266,0))</f>
        <v/>
      </c>
      <c r="CY100">
        <f>INDEX('Data_Price '!AH$2:AH$1266,MATCH(Data!$DN100,'Data_Price '!$AT$2:$AT$1266,0))</f>
        <v/>
      </c>
      <c r="CZ100">
        <f>INDEX('Data_Price '!AI$2:AI$1266,MATCH(Data!$DN100,'Data_Price '!$AT$2:$AT$1266,0))</f>
        <v/>
      </c>
      <c r="DA100">
        <f>INDEX('Data_Price '!AJ$2:AJ$1266,MATCH(Data!$DN100,'Data_Price '!$AT$2:$AT$1266,0))</f>
        <v/>
      </c>
      <c r="DB100">
        <f>INDEX('Data_Price '!AK$2:AK$1266,MATCH(Data!$DN100,'Data_Price '!$AT$2:$AT$1266,0))</f>
        <v/>
      </c>
      <c r="DC100">
        <f>INDEX('Data_Price '!AL$2:AL$1266,MATCH(Data!$DN100,'Data_Price '!$AT$2:$AT$1266,0))</f>
        <v/>
      </c>
      <c r="DD100">
        <f>INDEX('Data_Price '!AM$2:AM$1266,MATCH(Data!$DN100,'Data_Price '!$AT$2:$AT$1266,0))</f>
        <v/>
      </c>
      <c r="DE100">
        <f>INDEX('Data_Price '!AN$2:AN$1266,MATCH(Data!$DN100,'Data_Price '!$AT$2:$AT$1266,0))</f>
        <v/>
      </c>
      <c r="DF100">
        <f>INDEX('Data_Price '!AO$2:AO$1266,MATCH(Data!$DN100,'Data_Price '!$AT$2:$AT$1266,0))</f>
        <v/>
      </c>
      <c r="DG100">
        <f>INDEX('Data_Price '!AP$2:AP$1266,MATCH(Data!$DN100,'Data_Price '!$AT$2:$AT$1266,0))</f>
        <v/>
      </c>
      <c r="DH100">
        <f>INDEX('Data_Price '!AQ$2:AQ$1266,MATCH(Data!$DN100,'Data_Price '!$AT$2:$AT$1266,0))</f>
        <v/>
      </c>
      <c r="DI100">
        <f>INDEX('Data_Price '!AR$2:AR$1266,MATCH(Data!$DN100,'Data_Price '!$AT$2:$AT$1266,0))</f>
        <v/>
      </c>
      <c r="DJ100" s="138">
        <f>DA100</f>
        <v/>
      </c>
      <c r="DK100" s="138">
        <f>DE100</f>
        <v/>
      </c>
      <c r="DL100" s="138">
        <f>DI100</f>
        <v/>
      </c>
      <c r="DM100" s="303">
        <f>IF(LEFT(BT100,1)=" ",RIGHT(BT100,LEN(BT100)-1),BT100)</f>
        <v/>
      </c>
      <c r="DN100" s="138">
        <f>_xlfn.CONCAT(BS100,DM100,BU100,BV100)</f>
        <v/>
      </c>
      <c r="DO100" s="307" t="inlineStr">
        <is>
          <t>https://images.evo.com/imgp/250/208633/839528/faction-prodigy-2-0-skis-2022-.jpg</t>
        </is>
      </c>
    </row>
    <row r="101" ht="15.6" customHeight="1" s="184">
      <c r="B101" s="303">
        <f t="array" ref="B101">IF(OR(ISERROR(K101:P101)),FALSE,TRUE)</f>
        <v/>
      </c>
      <c r="C101" s="60">
        <f>OR(BR101=Driver!$G$50,Data!BR70=Driver!$H$50)</f>
        <v/>
      </c>
      <c r="D101" s="60">
        <f>OR(BV101=Driver!$G$51,BV101=Driver!$H$51)</f>
        <v/>
      </c>
      <c r="E101" s="60">
        <f>AND(BX101&gt;Driver!$F$54,BX101&lt;Driver!$G$54)</f>
        <v/>
      </c>
      <c r="F101" s="60">
        <f>CL101&gt;Driver!$F$56</f>
        <v/>
      </c>
      <c r="G101" s="60">
        <f>AND(CB101&gt;Driver!$F$55,CB101&lt;Driver!$G$55)</f>
        <v/>
      </c>
      <c r="H101" s="60">
        <f>AND(B101:G101)</f>
        <v/>
      </c>
      <c r="I101" s="60">
        <f>COUNTIFS($H$9:$H$1273,TRUE,$BT$9:$BT$1273,BT101)</f>
        <v/>
      </c>
      <c r="J101" s="60">
        <f t="array" ref="J101">NOT(OR(($H$9:$H$1273=TRUE)*($I$9:$I$1273&gt;0)*($BT$9:$BT$1273=BT101)*($K$9:$K$1273&gt;K101)))</f>
        <v/>
      </c>
      <c r="K101" s="108">
        <f>IFERROR(1-AVERAGE(X101:Y101),"")</f>
        <v/>
      </c>
      <c r="L101" s="108">
        <f>1-X101</f>
        <v/>
      </c>
      <c r="M101" s="108">
        <f>1-Y101</f>
        <v/>
      </c>
      <c r="N101" s="108">
        <f>1-Z101</f>
        <v/>
      </c>
      <c r="O101" s="108">
        <f>1-AA101</f>
        <v/>
      </c>
      <c r="P101" s="108">
        <f>1-AB101</f>
        <v/>
      </c>
      <c r="Q101" s="108" t="n"/>
      <c r="R101" s="108" t="n"/>
      <c r="S101" s="108">
        <f>1-AE101</f>
        <v/>
      </c>
      <c r="T101" s="108">
        <f>1-AF101</f>
        <v/>
      </c>
      <c r="U101" s="108">
        <f>1-AG101</f>
        <v/>
      </c>
      <c r="V101" s="108">
        <f>1-AH101</f>
        <v/>
      </c>
      <c r="W101" s="108">
        <f>1-AI101</f>
        <v/>
      </c>
      <c r="X101" s="108">
        <f>ABS(AJ101-AJ$1)</f>
        <v/>
      </c>
      <c r="Y101" s="108">
        <f>AVERAGE(Z101:AB101)</f>
        <v/>
      </c>
      <c r="Z101" s="108">
        <f>ABS(AL101-AL$1)</f>
        <v/>
      </c>
      <c r="AA101" s="108">
        <f>ABS(AM101-AM$1)</f>
        <v/>
      </c>
      <c r="AB101" s="108">
        <f>ABS(AN101-AN$1)</f>
        <v/>
      </c>
      <c r="AC101" s="108" t="n"/>
      <c r="AD101" s="108" t="n"/>
      <c r="AE101" s="108">
        <f>ABS(AQ$1-AQ101)</f>
        <v/>
      </c>
      <c r="AF101" s="108">
        <f>ABS(AR$1-AR101)</f>
        <v/>
      </c>
      <c r="AG101" s="108">
        <f>ABS(AS$1-AS101)</f>
        <v/>
      </c>
      <c r="AH101" s="108">
        <f>ABS(AT$1-AT101)</f>
        <v/>
      </c>
      <c r="AI101" s="108">
        <f>ABS(AU$1-AU101)</f>
        <v/>
      </c>
      <c r="AJ101" s="108">
        <f>(AV101-Driver!$K$179)/(Driver!$L$179-Driver!$K$179)</f>
        <v/>
      </c>
      <c r="AK101" s="108">
        <f>(AW101-Driver!$K$180)/(Driver!$L$180-Driver!$K$180)</f>
        <v/>
      </c>
      <c r="AL101" s="108">
        <f>(AX101-Driver!$K$181)/(Driver!$L$181-Driver!$K$181)</f>
        <v/>
      </c>
      <c r="AM101" s="108">
        <f>(AY101-Driver!$K$182)/(Driver!$L$182-Driver!$K$182)</f>
        <v/>
      </c>
      <c r="AN101" s="108">
        <f>(AZ101-Driver!$K$183)/(Driver!$L$183-Driver!$K$183)</f>
        <v/>
      </c>
      <c r="AO101" s="108" t="n"/>
      <c r="AP101" s="108" t="n"/>
      <c r="AQ101" s="108">
        <f>(BC101-Driver!$K$188)/(Driver!$L$188-Driver!$K$188)</f>
        <v/>
      </c>
      <c r="AR101" s="108">
        <f>MIN((BD101-Driver!$K$189)/(Driver!$L$189-Driver!$K$189),100%)</f>
        <v/>
      </c>
      <c r="AS101" s="108">
        <f>(BE101-Driver!$K$190)/(Driver!$L$190-Driver!$K$190)</f>
        <v/>
      </c>
      <c r="AT101" s="108">
        <f>(BF101-Driver!$K$191)/(Driver!$L$191-Driver!$K$191)</f>
        <v/>
      </c>
      <c r="AU101" s="108">
        <f>(BG101-Driver!$K$192)/(Driver!$L$192-Driver!$K$192)</f>
        <v/>
      </c>
      <c r="AV101" s="105">
        <f>IFERROR(BM101*BJ101^1/4,"")</f>
        <v/>
      </c>
      <c r="AW101" s="105">
        <f>IFERROR(SUM(AX101:AZ101),"")</f>
        <v/>
      </c>
      <c r="AX101" s="105">
        <f>IFERROR(BH101,"")</f>
        <v/>
      </c>
      <c r="AY101" s="105">
        <f>IFERROR(Driver!$K$19/Data!BH101/Data!BI101*Data!BK101*Data!BL101,"")</f>
        <v/>
      </c>
      <c r="AZ101" s="105">
        <f>IFERROR(BI101*BN101,"")</f>
        <v/>
      </c>
      <c r="BA101" s="105" t="n"/>
      <c r="BB101" s="105" t="n"/>
      <c r="BC101" s="105">
        <f>IFERROR(BI101*BN101*BK101/BJ101^(1/2),"")</f>
        <v/>
      </c>
      <c r="BD101" s="105">
        <f>IFERROR(BH101*BM101*BL101/BJ101/BK101,"")</f>
        <v/>
      </c>
      <c r="BE101" s="105">
        <f>IFERROR(MIN(BI101/BQ101/BP101/BO101/BH101,$BE$1),"")</f>
        <v/>
      </c>
      <c r="BF101" s="105">
        <f>IFERROR(BJ101*BO101*BP101/BK101,"")</f>
        <v/>
      </c>
      <c r="BG101" s="105">
        <f>IFERROR(1/BM101/BH101*BQ101,"")</f>
        <v/>
      </c>
      <c r="BH101" s="102">
        <f>MAX((CE101-Driver!$F$200)/(Driver!$G$200-Driver!$F$200)*$BI$1,1)</f>
        <v/>
      </c>
      <c r="BI101" s="102">
        <f>MAX($BI$1*(BY101-Driver!$F$201)/(Driver!$G$201-Driver!$F$201),1)</f>
        <v/>
      </c>
      <c r="BJ101" s="102">
        <f>(CB101-Driver!$F$206)/(Driver!$G$206-Driver!$F$206)*$BI$1</f>
        <v/>
      </c>
      <c r="BK101" s="102">
        <f>(CD101-Driver!$F$203)/(Driver!$G$203-Driver!$F$203)*$BI$1</f>
        <v/>
      </c>
      <c r="BL101" s="102">
        <f>MAX((CR101-Driver!$F$202)/(Driver!$G$202-Driver!$F$202)*$BI$1,1)</f>
        <v/>
      </c>
      <c r="BM101" s="102">
        <f>MAX((CH101-Driver!$F$204)/(Driver!$G$204-Driver!$F$204)*$BI$1,1)</f>
        <v/>
      </c>
      <c r="BN101" s="102">
        <f>(CI101-Driver!$F$205)/(Driver!$G$205-Driver!$F$205)*$BI$1</f>
        <v/>
      </c>
      <c r="BO101" s="102">
        <f>(CK101-Driver!$F$207)/(Driver!$G$207-Driver!$F$207)*$BI$1</f>
        <v/>
      </c>
      <c r="BP101" s="102">
        <f>(CM101-Driver!$F$208)/(Driver!$G$208-Driver!$F$208)*$BI$1</f>
        <v/>
      </c>
      <c r="BQ101" s="102">
        <f>(CL101-Driver!$F$209)/(Driver!$G$209-Driver!$F$209)*$BI$1</f>
        <v/>
      </c>
      <c r="BR101" s="40" t="inlineStr">
        <is>
          <t>21/22</t>
        </is>
      </c>
      <c r="BS101" s="10" t="inlineStr">
        <is>
          <t xml:space="preserve"> Armada</t>
        </is>
      </c>
      <c r="BT101" s="11" t="inlineStr">
        <is>
          <t>Declivity 88 Ca</t>
        </is>
      </c>
      <c r="BU101" s="13" t="n">
        <v>160</v>
      </c>
      <c r="BV101" s="11" t="inlineStr">
        <is>
          <t xml:space="preserve"> Unisex</t>
        </is>
      </c>
      <c r="BW101" s="13" t="n">
        <v>160</v>
      </c>
      <c r="BX101" s="13" t="n">
        <v>159.6</v>
      </c>
      <c r="BY101" s="13" t="n">
        <v>133</v>
      </c>
      <c r="BZ101" s="13" t="n">
        <v>142</v>
      </c>
      <c r="CA101" s="13" t="n">
        <v>127</v>
      </c>
      <c r="CB101" s="13" t="n">
        <v>87</v>
      </c>
      <c r="CC101" s="13" t="n">
        <v>109</v>
      </c>
      <c r="CD101" s="13" t="n">
        <v>16.1</v>
      </c>
      <c r="CE101" s="13" t="n">
        <v>1440</v>
      </c>
      <c r="CF101" s="13" t="n">
        <v>1.09</v>
      </c>
      <c r="CG101" s="13" t="n">
        <v>1574</v>
      </c>
      <c r="CH101" s="13" t="n">
        <v>223</v>
      </c>
      <c r="CI101" s="13" t="n">
        <v>102</v>
      </c>
      <c r="CJ101" s="13" t="n">
        <v>37</v>
      </c>
      <c r="CK101" s="13" t="n">
        <v>169</v>
      </c>
      <c r="CL101" s="13" t="n">
        <v>9</v>
      </c>
      <c r="CM101" s="13" t="n">
        <v>94</v>
      </c>
      <c r="CN101" s="13" t="n">
        <v>0.239</v>
      </c>
      <c r="CO101" s="13" t="n">
        <v>114</v>
      </c>
      <c r="CP101" s="13" t="n">
        <v>65</v>
      </c>
      <c r="CQ101" s="13" t="n">
        <v>55</v>
      </c>
      <c r="CR101" s="13" t="n">
        <v>6</v>
      </c>
      <c r="CS101" s="13" t="n">
        <v>11</v>
      </c>
      <c r="CT101" s="11" t="inlineStr">
        <is>
          <t xml:space="preserve"> Resort Freeride</t>
        </is>
      </c>
      <c r="CU101" s="11" t="inlineStr">
        <is>
          <t xml:space="preserve"> Touring</t>
        </is>
      </c>
      <c r="CV101" s="13" t="n"/>
      <c r="CW101" s="13" t="n"/>
      <c r="CX101">
        <f>INDEX('Data_Price '!AG$2:AG$1266,MATCH(Data!$DN101,'Data_Price '!$AT$2:$AT$1266,0))</f>
        <v/>
      </c>
      <c r="CY101">
        <f>INDEX('Data_Price '!AH$2:AH$1266,MATCH(Data!$DN101,'Data_Price '!$AT$2:$AT$1266,0))</f>
        <v/>
      </c>
      <c r="CZ101">
        <f>INDEX('Data_Price '!AI$2:AI$1266,MATCH(Data!$DN101,'Data_Price '!$AT$2:$AT$1266,0))</f>
        <v/>
      </c>
      <c r="DA101">
        <f>INDEX('Data_Price '!AJ$2:AJ$1266,MATCH(Data!$DN101,'Data_Price '!$AT$2:$AT$1266,0))</f>
        <v/>
      </c>
      <c r="DB101">
        <f>INDEX('Data_Price '!AK$2:AK$1266,MATCH(Data!$DN101,'Data_Price '!$AT$2:$AT$1266,0))</f>
        <v/>
      </c>
      <c r="DC101">
        <f>INDEX('Data_Price '!AL$2:AL$1266,MATCH(Data!$DN101,'Data_Price '!$AT$2:$AT$1266,0))</f>
        <v/>
      </c>
      <c r="DD101">
        <f>INDEX('Data_Price '!AM$2:AM$1266,MATCH(Data!$DN101,'Data_Price '!$AT$2:$AT$1266,0))</f>
        <v/>
      </c>
      <c r="DE101">
        <f>INDEX('Data_Price '!AN$2:AN$1266,MATCH(Data!$DN101,'Data_Price '!$AT$2:$AT$1266,0))</f>
        <v/>
      </c>
      <c r="DF101">
        <f>INDEX('Data_Price '!AO$2:AO$1266,MATCH(Data!$DN101,'Data_Price '!$AT$2:$AT$1266,0))</f>
        <v/>
      </c>
      <c r="DG101">
        <f>INDEX('Data_Price '!AP$2:AP$1266,MATCH(Data!$DN101,'Data_Price '!$AT$2:$AT$1266,0))</f>
        <v/>
      </c>
      <c r="DH101">
        <f>INDEX('Data_Price '!AQ$2:AQ$1266,MATCH(Data!$DN101,'Data_Price '!$AT$2:$AT$1266,0))</f>
        <v/>
      </c>
      <c r="DI101">
        <f>INDEX('Data_Price '!AR$2:AR$1266,MATCH(Data!$DN101,'Data_Price '!$AT$2:$AT$1266,0))</f>
        <v/>
      </c>
      <c r="DJ101" s="138">
        <f>DA101</f>
        <v/>
      </c>
      <c r="DK101" s="138">
        <f>DE101</f>
        <v/>
      </c>
      <c r="DL101" s="138">
        <f>DI101</f>
        <v/>
      </c>
      <c r="DM101" s="303">
        <f>IF(LEFT(BT101,1)=" ",RIGHT(BT101,LEN(BT101)-1),BT101)</f>
        <v/>
      </c>
      <c r="DN101" s="138">
        <f>_xlfn.CONCAT(BS101,DM101,BU101,BV101)</f>
        <v/>
      </c>
      <c r="DO101" s="307" t="n"/>
    </row>
    <row r="102" ht="15.6" customHeight="1" s="184">
      <c r="B102" s="303">
        <f t="array" ref="B102">IF(OR(ISERROR(K102:P102)),FALSE,TRUE)</f>
        <v/>
      </c>
      <c r="C102" s="60">
        <f>OR(BR102=Driver!$G$50,Data!BR1212=Driver!$H$50)</f>
        <v/>
      </c>
      <c r="D102" s="60">
        <f>OR(BV102=Driver!$G$51,BV102=Driver!$H$51)</f>
        <v/>
      </c>
      <c r="E102" s="60">
        <f>AND(BX102&gt;Driver!$F$54,BX102&lt;Driver!$G$54)</f>
        <v/>
      </c>
      <c r="F102" s="60">
        <f>CL102&gt;Driver!$F$56</f>
        <v/>
      </c>
      <c r="G102" s="60">
        <f>AND(CB102&gt;Driver!$F$55,CB102&lt;Driver!$G$55)</f>
        <v/>
      </c>
      <c r="H102" s="60">
        <f>AND(B102:G102)</f>
        <v/>
      </c>
      <c r="I102" s="60">
        <f>COUNTIFS($H$9:$H$1273,TRUE,$BT$9:$BT$1273,BT102)</f>
        <v/>
      </c>
      <c r="J102" s="60">
        <f t="array" ref="J102">NOT(OR(($H$9:$H$1273=TRUE)*($I$9:$I$1273&gt;0)*($BT$9:$BT$1273=BT102)*($K$9:$K$1273&gt;K102)))</f>
        <v/>
      </c>
      <c r="K102" s="108">
        <f>IFERROR(1-AVERAGE(X102:Y102),"")</f>
        <v/>
      </c>
      <c r="L102" s="108">
        <f>1-X102</f>
        <v/>
      </c>
      <c r="M102" s="108">
        <f>1-Y102</f>
        <v/>
      </c>
      <c r="N102" s="108">
        <f>1-Z102</f>
        <v/>
      </c>
      <c r="O102" s="108">
        <f>1-AA102</f>
        <v/>
      </c>
      <c r="P102" s="108">
        <f>1-AB102</f>
        <v/>
      </c>
      <c r="Q102" s="108" t="n"/>
      <c r="R102" s="108" t="n"/>
      <c r="S102" s="108">
        <f>1-AE102</f>
        <v/>
      </c>
      <c r="T102" s="108">
        <f>1-AF102</f>
        <v/>
      </c>
      <c r="U102" s="108">
        <f>1-AG102</f>
        <v/>
      </c>
      <c r="V102" s="108">
        <f>1-AH102</f>
        <v/>
      </c>
      <c r="W102" s="108">
        <f>1-AI102</f>
        <v/>
      </c>
      <c r="X102" s="108">
        <f>ABS(AJ102-AJ$1)</f>
        <v/>
      </c>
      <c r="Y102" s="108">
        <f>AVERAGE(Z102:AB102)</f>
        <v/>
      </c>
      <c r="Z102" s="108">
        <f>ABS(AL102-AL$1)</f>
        <v/>
      </c>
      <c r="AA102" s="108">
        <f>ABS(AM102-AM$1)</f>
        <v/>
      </c>
      <c r="AB102" s="108">
        <f>ABS(AN102-AN$1)</f>
        <v/>
      </c>
      <c r="AC102" s="108" t="n"/>
      <c r="AD102" s="108" t="n"/>
      <c r="AE102" s="108">
        <f>ABS(AQ$1-AQ102)</f>
        <v/>
      </c>
      <c r="AF102" s="108">
        <f>ABS(AR$1-AR102)</f>
        <v/>
      </c>
      <c r="AG102" s="108">
        <f>ABS(AS$1-AS102)</f>
        <v/>
      </c>
      <c r="AH102" s="108">
        <f>ABS(AT$1-AT102)</f>
        <v/>
      </c>
      <c r="AI102" s="108">
        <f>ABS(AU$1-AU102)</f>
        <v/>
      </c>
      <c r="AJ102" s="108">
        <f>(AV102-Driver!$K$179)/(Driver!$L$179-Driver!$K$179)</f>
        <v/>
      </c>
      <c r="AK102" s="108">
        <f>(AW102-Driver!$K$180)/(Driver!$L$180-Driver!$K$180)</f>
        <v/>
      </c>
      <c r="AL102" s="108">
        <f>(AX102-Driver!$K$181)/(Driver!$L$181-Driver!$K$181)</f>
        <v/>
      </c>
      <c r="AM102" s="108">
        <f>(AY102-Driver!$K$182)/(Driver!$L$182-Driver!$K$182)</f>
        <v/>
      </c>
      <c r="AN102" s="108">
        <f>(AZ102-Driver!$K$183)/(Driver!$L$183-Driver!$K$183)</f>
        <v/>
      </c>
      <c r="AO102" s="108" t="n"/>
      <c r="AP102" s="108" t="n"/>
      <c r="AQ102" s="108">
        <f>(BC102-Driver!$K$188)/(Driver!$L$188-Driver!$K$188)</f>
        <v/>
      </c>
      <c r="AR102" s="108">
        <f>MIN((BD102-Driver!$K$189)/(Driver!$L$189-Driver!$K$189),100%)</f>
        <v/>
      </c>
      <c r="AS102" s="108">
        <f>(BE102-Driver!$K$190)/(Driver!$L$190-Driver!$K$190)</f>
        <v/>
      </c>
      <c r="AT102" s="108">
        <f>(BF102-Driver!$K$191)/(Driver!$L$191-Driver!$K$191)</f>
        <v/>
      </c>
      <c r="AU102" s="108">
        <f>(BG102-Driver!$K$192)/(Driver!$L$192-Driver!$K$192)</f>
        <v/>
      </c>
      <c r="AV102" s="105">
        <f>IFERROR(BM102*BJ102^1/4,"")</f>
        <v/>
      </c>
      <c r="AW102" s="105">
        <f>IFERROR(SUM(AX102:AZ102),"")</f>
        <v/>
      </c>
      <c r="AX102" s="105">
        <f>IFERROR(BH102,"")</f>
        <v/>
      </c>
      <c r="AY102" s="105">
        <f>IFERROR(Driver!$K$19/Data!BH102/Data!BI102*Data!BK102*Data!BL102,"")</f>
        <v/>
      </c>
      <c r="AZ102" s="105">
        <f>IFERROR(BI102*BN102,"")</f>
        <v/>
      </c>
      <c r="BA102" s="105" t="n"/>
      <c r="BB102" s="105" t="n"/>
      <c r="BC102" s="105">
        <f>IFERROR(BI102*BN102*BK102/BJ102^(1/2),"")</f>
        <v/>
      </c>
      <c r="BD102" s="105">
        <f>IFERROR(BH102*BM102*BL102/BJ102/BK102,"")</f>
        <v/>
      </c>
      <c r="BE102" s="105">
        <f>IFERROR(MIN(BI102/BQ102/BP102/BO102/BH102,$BE$1),"")</f>
        <v/>
      </c>
      <c r="BF102" s="105">
        <f>IFERROR(BJ102*BO102*BP102/BK102,"")</f>
        <v/>
      </c>
      <c r="BG102" s="105">
        <f>IFERROR(1/BM102/BH102*BQ102,"")</f>
        <v/>
      </c>
      <c r="BH102" s="102">
        <f>MAX((CE102-Driver!$F$200)/(Driver!$G$200-Driver!$F$200)*$BI$1,1)</f>
        <v/>
      </c>
      <c r="BI102" s="102">
        <f>MAX($BI$1*(BY102-Driver!$F$201)/(Driver!$G$201-Driver!$F$201),1)</f>
        <v/>
      </c>
      <c r="BJ102" s="102">
        <f>(CB102-Driver!$F$206)/(Driver!$G$206-Driver!$F$206)*$BI$1</f>
        <v/>
      </c>
      <c r="BK102" s="102">
        <f>(CD102-Driver!$F$203)/(Driver!$G$203-Driver!$F$203)*$BI$1</f>
        <v/>
      </c>
      <c r="BL102" s="102">
        <f>MAX((CR102-Driver!$F$202)/(Driver!$G$202-Driver!$F$202)*$BI$1,1)</f>
        <v/>
      </c>
      <c r="BM102" s="102">
        <f>MAX((CH102-Driver!$F$204)/(Driver!$G$204-Driver!$F$204)*$BI$1,1)</f>
        <v/>
      </c>
      <c r="BN102" s="102">
        <f>(CI102-Driver!$F$205)/(Driver!$G$205-Driver!$F$205)*$BI$1</f>
        <v/>
      </c>
      <c r="BO102" s="102">
        <f>(CK102-Driver!$F$207)/(Driver!$G$207-Driver!$F$207)*$BI$1</f>
        <v/>
      </c>
      <c r="BP102" s="102">
        <f>(CM102-Driver!$F$208)/(Driver!$G$208-Driver!$F$208)*$BI$1</f>
        <v/>
      </c>
      <c r="BQ102" s="102">
        <f>(CL102-Driver!$F$209)/(Driver!$G$209-Driver!$F$209)*$BI$1</f>
        <v/>
      </c>
      <c r="BR102" s="40" t="inlineStr">
        <is>
          <t>21/22</t>
        </is>
      </c>
      <c r="BS102" s="10" t="inlineStr">
        <is>
          <t xml:space="preserve"> Völkl</t>
        </is>
      </c>
      <c r="BT102" s="11" t="inlineStr">
        <is>
          <t>Kenja 88</t>
        </is>
      </c>
      <c r="BU102" s="13" t="n">
        <v>149</v>
      </c>
      <c r="BV102" s="11" t="inlineStr">
        <is>
          <t xml:space="preserve"> Women's</t>
        </is>
      </c>
      <c r="BW102" s="13" t="n">
        <v>149</v>
      </c>
      <c r="BX102" s="13" t="n">
        <v>149.1</v>
      </c>
      <c r="BY102" s="13" t="n">
        <v>100</v>
      </c>
      <c r="BZ102" s="13" t="n">
        <v>125</v>
      </c>
      <c r="CA102" s="13" t="n">
        <v>128</v>
      </c>
      <c r="CB102" s="13" t="n">
        <v>88</v>
      </c>
      <c r="CC102" s="13" t="n">
        <v>110</v>
      </c>
      <c r="CD102" s="13" t="n">
        <v>11.7</v>
      </c>
      <c r="CE102" s="13" t="n">
        <v>1544</v>
      </c>
      <c r="CF102" s="13" t="n">
        <v>0.97</v>
      </c>
      <c r="CG102" s="13" t="n">
        <v>1497</v>
      </c>
      <c r="CH102" s="13" t="n">
        <v>177</v>
      </c>
      <c r="CI102" s="13" t="n">
        <v>115</v>
      </c>
      <c r="CJ102" s="13" t="n">
        <v>43</v>
      </c>
      <c r="CK102" s="13" t="n">
        <v>300</v>
      </c>
      <c r="CL102" s="13" t="n">
        <v>16</v>
      </c>
      <c r="CM102" s="13" t="n">
        <v>196</v>
      </c>
      <c r="CN102" s="13" t="n">
        <v>0.37</v>
      </c>
      <c r="CO102" s="13" t="n">
        <v>135</v>
      </c>
      <c r="CP102" s="13" t="n">
        <v>103</v>
      </c>
      <c r="CQ102" s="13" t="n">
        <v>164</v>
      </c>
      <c r="CR102" s="13" t="n">
        <v>3</v>
      </c>
      <c r="CS102" s="13" t="n">
        <v>11</v>
      </c>
      <c r="CT102" s="11" t="inlineStr">
        <is>
          <t xml:space="preserve"> Resort Freeride</t>
        </is>
      </c>
      <c r="CU102" s="13" t="n"/>
      <c r="CV102" s="13" t="n"/>
      <c r="CW102" s="13" t="n"/>
      <c r="CX102">
        <f>INDEX('Data_Price '!AG$2:AG$1266,MATCH(Data!$DN102,'Data_Price '!$AT$2:$AT$1266,0))</f>
        <v/>
      </c>
      <c r="CY102">
        <f>INDEX('Data_Price '!AH$2:AH$1266,MATCH(Data!$DN102,'Data_Price '!$AT$2:$AT$1266,0))</f>
        <v/>
      </c>
      <c r="CZ102">
        <f>INDEX('Data_Price '!AI$2:AI$1266,MATCH(Data!$DN102,'Data_Price '!$AT$2:$AT$1266,0))</f>
        <v/>
      </c>
      <c r="DA102">
        <f>INDEX('Data_Price '!AJ$2:AJ$1266,MATCH(Data!$DN102,'Data_Price '!$AT$2:$AT$1266,0))</f>
        <v/>
      </c>
      <c r="DB102">
        <f>INDEX('Data_Price '!AK$2:AK$1266,MATCH(Data!$DN102,'Data_Price '!$AT$2:$AT$1266,0))</f>
        <v/>
      </c>
      <c r="DC102">
        <f>INDEX('Data_Price '!AL$2:AL$1266,MATCH(Data!$DN102,'Data_Price '!$AT$2:$AT$1266,0))</f>
        <v/>
      </c>
      <c r="DD102">
        <f>INDEX('Data_Price '!AM$2:AM$1266,MATCH(Data!$DN102,'Data_Price '!$AT$2:$AT$1266,0))</f>
        <v/>
      </c>
      <c r="DE102">
        <f>INDEX('Data_Price '!AN$2:AN$1266,MATCH(Data!$DN102,'Data_Price '!$AT$2:$AT$1266,0))</f>
        <v/>
      </c>
      <c r="DF102">
        <f>INDEX('Data_Price '!AO$2:AO$1266,MATCH(Data!$DN102,'Data_Price '!$AT$2:$AT$1266,0))</f>
        <v/>
      </c>
      <c r="DG102">
        <f>INDEX('Data_Price '!AP$2:AP$1266,MATCH(Data!$DN102,'Data_Price '!$AT$2:$AT$1266,0))</f>
        <v/>
      </c>
      <c r="DH102">
        <f>INDEX('Data_Price '!AQ$2:AQ$1266,MATCH(Data!$DN102,'Data_Price '!$AT$2:$AT$1266,0))</f>
        <v/>
      </c>
      <c r="DI102">
        <f>INDEX('Data_Price '!AR$2:AR$1266,MATCH(Data!$DN102,'Data_Price '!$AT$2:$AT$1266,0))</f>
        <v/>
      </c>
      <c r="DJ102" s="138">
        <f>DA102</f>
        <v/>
      </c>
      <c r="DK102" s="138">
        <f>DE102</f>
        <v/>
      </c>
      <c r="DL102" s="138">
        <f>DI102</f>
        <v/>
      </c>
      <c r="DM102" s="303">
        <f>IF(LEFT(BT102,1)=" ",RIGHT(BT102,LEN(BT102)-1),BT102)</f>
        <v/>
      </c>
      <c r="DN102" s="138">
        <f>_xlfn.CONCAT(BS102,DM102,BU102,BV102)</f>
        <v/>
      </c>
      <c r="DO102" s="307" t="inlineStr">
        <is>
          <t>https://images.evo.com/imgp/250/208363/837595/volkl-kenja-88-skis-women-s-2022-.jpg</t>
        </is>
      </c>
    </row>
    <row r="103" ht="15.6" customHeight="1" s="184">
      <c r="B103" s="303">
        <f t="array" ref="B103">IF(OR(ISERROR(K103:P103)),FALSE,TRUE)</f>
        <v/>
      </c>
      <c r="C103" s="60">
        <f>OR(BR103=Driver!$G$50,Data!BR1083=Driver!$H$50)</f>
        <v/>
      </c>
      <c r="D103" s="60">
        <f>OR(BV103=Driver!$G$51,BV103=Driver!$H$51)</f>
        <v/>
      </c>
      <c r="E103" s="60">
        <f>AND(BX103&gt;Driver!$F$54,BX103&lt;Driver!$G$54)</f>
        <v/>
      </c>
      <c r="F103" s="60">
        <f>CL103&gt;Driver!$F$56</f>
        <v/>
      </c>
      <c r="G103" s="60">
        <f>AND(CB103&gt;Driver!$F$55,CB103&lt;Driver!$G$55)</f>
        <v/>
      </c>
      <c r="H103" s="60">
        <f>AND(B103:G103)</f>
        <v/>
      </c>
      <c r="I103" s="60">
        <f>COUNTIFS($H$9:$H$1273,TRUE,$BT$9:$BT$1273,BT103)</f>
        <v/>
      </c>
      <c r="J103" s="60">
        <f t="array" ref="J103">NOT(OR(($H$9:$H$1273=TRUE)*($I$9:$I$1273&gt;0)*($BT$9:$BT$1273=BT103)*($K$9:$K$1273&gt;K103)))</f>
        <v/>
      </c>
      <c r="K103" s="108">
        <f>IFERROR(1-AVERAGE(X103:Y103),"")</f>
        <v/>
      </c>
      <c r="L103" s="108">
        <f>1-X103</f>
        <v/>
      </c>
      <c r="M103" s="108">
        <f>1-Y103</f>
        <v/>
      </c>
      <c r="N103" s="108">
        <f>1-Z103</f>
        <v/>
      </c>
      <c r="O103" s="108">
        <f>1-AA103</f>
        <v/>
      </c>
      <c r="P103" s="108">
        <f>1-AB103</f>
        <v/>
      </c>
      <c r="Q103" s="108" t="n"/>
      <c r="R103" s="108" t="n"/>
      <c r="S103" s="108">
        <f>1-AE103</f>
        <v/>
      </c>
      <c r="T103" s="108">
        <f>1-AF103</f>
        <v/>
      </c>
      <c r="U103" s="108">
        <f>1-AG103</f>
        <v/>
      </c>
      <c r="V103" s="108">
        <f>1-AH103</f>
        <v/>
      </c>
      <c r="W103" s="108">
        <f>1-AI103</f>
        <v/>
      </c>
      <c r="X103" s="108">
        <f>ABS(AJ103-AJ$1)</f>
        <v/>
      </c>
      <c r="Y103" s="108">
        <f>AVERAGE(Z103:AB103)</f>
        <v/>
      </c>
      <c r="Z103" s="108">
        <f>ABS(AL103-AL$1)</f>
        <v/>
      </c>
      <c r="AA103" s="108">
        <f>ABS(AM103-AM$1)</f>
        <v/>
      </c>
      <c r="AB103" s="108">
        <f>ABS(AN103-AN$1)</f>
        <v/>
      </c>
      <c r="AC103" s="108" t="n"/>
      <c r="AD103" s="108" t="n"/>
      <c r="AE103" s="108">
        <f>ABS(AQ$1-AQ103)</f>
        <v/>
      </c>
      <c r="AF103" s="108">
        <f>ABS(AR$1-AR103)</f>
        <v/>
      </c>
      <c r="AG103" s="108">
        <f>ABS(AS$1-AS103)</f>
        <v/>
      </c>
      <c r="AH103" s="108">
        <f>ABS(AT$1-AT103)</f>
        <v/>
      </c>
      <c r="AI103" s="108">
        <f>ABS(AU$1-AU103)</f>
        <v/>
      </c>
      <c r="AJ103" s="108">
        <f>(AV103-Driver!$K$179)/(Driver!$L$179-Driver!$K$179)</f>
        <v/>
      </c>
      <c r="AK103" s="108">
        <f>(AW103-Driver!$K$180)/(Driver!$L$180-Driver!$K$180)</f>
        <v/>
      </c>
      <c r="AL103" s="108">
        <f>(AX103-Driver!$K$181)/(Driver!$L$181-Driver!$K$181)</f>
        <v/>
      </c>
      <c r="AM103" s="108">
        <f>(AY103-Driver!$K$182)/(Driver!$L$182-Driver!$K$182)</f>
        <v/>
      </c>
      <c r="AN103" s="108">
        <f>(AZ103-Driver!$K$183)/(Driver!$L$183-Driver!$K$183)</f>
        <v/>
      </c>
      <c r="AO103" s="108" t="n"/>
      <c r="AP103" s="108" t="n"/>
      <c r="AQ103" s="108">
        <f>(BC103-Driver!$K$188)/(Driver!$L$188-Driver!$K$188)</f>
        <v/>
      </c>
      <c r="AR103" s="108">
        <f>MIN((BD103-Driver!$K$189)/(Driver!$L$189-Driver!$K$189),100%)</f>
        <v/>
      </c>
      <c r="AS103" s="108">
        <f>(BE103-Driver!$K$190)/(Driver!$L$190-Driver!$K$190)</f>
        <v/>
      </c>
      <c r="AT103" s="108">
        <f>(BF103-Driver!$K$191)/(Driver!$L$191-Driver!$K$191)</f>
        <v/>
      </c>
      <c r="AU103" s="108">
        <f>(BG103-Driver!$K$192)/(Driver!$L$192-Driver!$K$192)</f>
        <v/>
      </c>
      <c r="AV103" s="105">
        <f>IFERROR(BM103*BJ103^1/4,"")</f>
        <v/>
      </c>
      <c r="AW103" s="105">
        <f>IFERROR(SUM(AX103:AZ103),"")</f>
        <v/>
      </c>
      <c r="AX103" s="105">
        <f>IFERROR(BH103,"")</f>
        <v/>
      </c>
      <c r="AY103" s="105">
        <f>IFERROR(Driver!$K$19/Data!BH103/Data!BI103*Data!BK103*Data!BL103,"")</f>
        <v/>
      </c>
      <c r="AZ103" s="105">
        <f>IFERROR(BI103*BN103,"")</f>
        <v/>
      </c>
      <c r="BA103" s="105" t="n"/>
      <c r="BB103" s="105" t="n"/>
      <c r="BC103" s="105">
        <f>IFERROR(BI103*BN103*BK103/BJ103^(1/2),"")</f>
        <v/>
      </c>
      <c r="BD103" s="105">
        <f>IFERROR(BH103*BM103*BL103/BJ103/BK103,"")</f>
        <v/>
      </c>
      <c r="BE103" s="105">
        <f>IFERROR(MIN(BI103/BQ103/BP103/BO103/BH103,$BE$1),"")</f>
        <v/>
      </c>
      <c r="BF103" s="105">
        <f>IFERROR(BJ103*BO103*BP103/BK103,"")</f>
        <v/>
      </c>
      <c r="BG103" s="105">
        <f>IFERROR(1/BM103/BH103*BQ103,"")</f>
        <v/>
      </c>
      <c r="BH103" s="102">
        <f>MAX((CE103-Driver!$F$200)/(Driver!$G$200-Driver!$F$200)*$BI$1,1)</f>
        <v/>
      </c>
      <c r="BI103" s="102">
        <f>MAX($BI$1*(BY103-Driver!$F$201)/(Driver!$G$201-Driver!$F$201),1)</f>
        <v/>
      </c>
      <c r="BJ103" s="102">
        <f>(CB103-Driver!$F$206)/(Driver!$G$206-Driver!$F$206)*$BI$1</f>
        <v/>
      </c>
      <c r="BK103" s="102">
        <f>(CD103-Driver!$F$203)/(Driver!$G$203-Driver!$F$203)*$BI$1</f>
        <v/>
      </c>
      <c r="BL103" s="102">
        <f>MAX((CR103-Driver!$F$202)/(Driver!$G$202-Driver!$F$202)*$BI$1,1)</f>
        <v/>
      </c>
      <c r="BM103" s="102">
        <f>MAX((CH103-Driver!$F$204)/(Driver!$G$204-Driver!$F$204)*$BI$1,1)</f>
        <v/>
      </c>
      <c r="BN103" s="102">
        <f>(CI103-Driver!$F$205)/(Driver!$G$205-Driver!$F$205)*$BI$1</f>
        <v/>
      </c>
      <c r="BO103" s="102">
        <f>(CK103-Driver!$F$207)/(Driver!$G$207-Driver!$F$207)*$BI$1</f>
        <v/>
      </c>
      <c r="BP103" s="102">
        <f>(CM103-Driver!$F$208)/(Driver!$G$208-Driver!$F$208)*$BI$1</f>
        <v/>
      </c>
      <c r="BQ103" s="102">
        <f>(CL103-Driver!$F$209)/(Driver!$G$209-Driver!$F$209)*$BI$1</f>
        <v/>
      </c>
      <c r="BR103" s="40" t="inlineStr">
        <is>
          <t>21/22</t>
        </is>
      </c>
      <c r="BS103" s="10" t="inlineStr">
        <is>
          <t xml:space="preserve"> Salomon</t>
        </is>
      </c>
      <c r="BT103" s="11" t="inlineStr">
        <is>
          <t>QST Lumen 99</t>
        </is>
      </c>
      <c r="BU103" s="13" t="n">
        <v>174</v>
      </c>
      <c r="BV103" s="11" t="inlineStr">
        <is>
          <t xml:space="preserve"> Women's</t>
        </is>
      </c>
      <c r="BW103" s="13" t="n">
        <v>174</v>
      </c>
      <c r="BX103" s="13" t="n">
        <v>172.6</v>
      </c>
      <c r="BY103" s="13" t="n">
        <v>127</v>
      </c>
      <c r="BZ103" s="13" t="n">
        <v>134</v>
      </c>
      <c r="CA103" s="13" t="n">
        <v>135</v>
      </c>
      <c r="CB103" s="13" t="n">
        <v>99</v>
      </c>
      <c r="CC103" s="13" t="n">
        <v>117</v>
      </c>
      <c r="CD103" s="13" t="n">
        <v>14.2</v>
      </c>
      <c r="CE103" s="13" t="n">
        <v>1830</v>
      </c>
      <c r="CF103" s="13" t="n">
        <v>1.05</v>
      </c>
      <c r="CG103" s="13" t="n">
        <v>1919</v>
      </c>
      <c r="CH103" s="13" t="n">
        <v>223</v>
      </c>
      <c r="CI103" s="13" t="n">
        <v>109</v>
      </c>
      <c r="CJ103" s="13" t="n">
        <v>53</v>
      </c>
      <c r="CK103" s="13" t="n">
        <v>258</v>
      </c>
      <c r="CL103" s="13" t="n">
        <v>19</v>
      </c>
      <c r="CM103" s="13" t="n">
        <v>201</v>
      </c>
      <c r="CN103" s="13" t="n">
        <v>0.356</v>
      </c>
      <c r="CO103" s="13" t="n">
        <v>227</v>
      </c>
      <c r="CP103" s="13" t="n">
        <v>155</v>
      </c>
      <c r="CQ103" s="13" t="n">
        <v>32</v>
      </c>
      <c r="CR103" s="13" t="n">
        <v>10</v>
      </c>
      <c r="CS103" s="13" t="n">
        <v>10.6</v>
      </c>
      <c r="CT103" s="11" t="inlineStr">
        <is>
          <t xml:space="preserve"> Resort Freeride</t>
        </is>
      </c>
      <c r="CU103" s="13" t="n"/>
      <c r="CV103" s="13" t="n"/>
      <c r="CW103" s="13" t="n"/>
      <c r="CX103">
        <f>INDEX('Data_Price '!AG$2:AG$1266,MATCH(Data!$DN103,'Data_Price '!$AT$2:$AT$1266,0))</f>
        <v/>
      </c>
      <c r="CY103">
        <f>INDEX('Data_Price '!AH$2:AH$1266,MATCH(Data!$DN103,'Data_Price '!$AT$2:$AT$1266,0))</f>
        <v/>
      </c>
      <c r="CZ103">
        <f>INDEX('Data_Price '!AI$2:AI$1266,MATCH(Data!$DN103,'Data_Price '!$AT$2:$AT$1266,0))</f>
        <v/>
      </c>
      <c r="DA103">
        <f>INDEX('Data_Price '!AJ$2:AJ$1266,MATCH(Data!$DN103,'Data_Price '!$AT$2:$AT$1266,0))</f>
        <v/>
      </c>
      <c r="DB103">
        <f>INDEX('Data_Price '!AK$2:AK$1266,MATCH(Data!$DN103,'Data_Price '!$AT$2:$AT$1266,0))</f>
        <v/>
      </c>
      <c r="DC103">
        <f>INDEX('Data_Price '!AL$2:AL$1266,MATCH(Data!$DN103,'Data_Price '!$AT$2:$AT$1266,0))</f>
        <v/>
      </c>
      <c r="DD103">
        <f>INDEX('Data_Price '!AM$2:AM$1266,MATCH(Data!$DN103,'Data_Price '!$AT$2:$AT$1266,0))</f>
        <v/>
      </c>
      <c r="DE103">
        <f>INDEX('Data_Price '!AN$2:AN$1266,MATCH(Data!$DN103,'Data_Price '!$AT$2:$AT$1266,0))</f>
        <v/>
      </c>
      <c r="DF103">
        <f>INDEX('Data_Price '!AO$2:AO$1266,MATCH(Data!$DN103,'Data_Price '!$AT$2:$AT$1266,0))</f>
        <v/>
      </c>
      <c r="DG103">
        <f>INDEX('Data_Price '!AP$2:AP$1266,MATCH(Data!$DN103,'Data_Price '!$AT$2:$AT$1266,0))</f>
        <v/>
      </c>
      <c r="DH103">
        <f>INDEX('Data_Price '!AQ$2:AQ$1266,MATCH(Data!$DN103,'Data_Price '!$AT$2:$AT$1266,0))</f>
        <v/>
      </c>
      <c r="DI103">
        <f>INDEX('Data_Price '!AR$2:AR$1266,MATCH(Data!$DN103,'Data_Price '!$AT$2:$AT$1266,0))</f>
        <v/>
      </c>
      <c r="DJ103" s="138">
        <f>DA103</f>
        <v/>
      </c>
      <c r="DK103" s="138">
        <f>DE103</f>
        <v/>
      </c>
      <c r="DL103" s="138">
        <f>DI103</f>
        <v/>
      </c>
      <c r="DM103" s="303">
        <f>IF(LEFT(BT103,1)=" ",RIGHT(BT103,LEN(BT103)-1),BT103)</f>
        <v/>
      </c>
      <c r="DN103" s="138">
        <f>_xlfn.CONCAT(BS103,DM103,BU103,BV103)</f>
        <v/>
      </c>
      <c r="DO103" s="307" t="inlineStr">
        <is>
          <t>https://images.evo.com/imgp/250/197278/812047/salomon-qst-lumen-99-skis-women-s-2022-.jpg</t>
        </is>
      </c>
    </row>
    <row r="104" ht="15.6" customHeight="1" s="184">
      <c r="B104" s="303">
        <f t="array" ref="B104">IF(OR(ISERROR(K104:P104)),FALSE,TRUE)</f>
        <v/>
      </c>
      <c r="C104" s="60">
        <f>OR(BR104=Driver!$G$50,Data!BR445=Driver!$H$50)</f>
        <v/>
      </c>
      <c r="D104" s="60">
        <f>OR(BV104=Driver!$G$51,BV104=Driver!$H$51)</f>
        <v/>
      </c>
      <c r="E104" s="60">
        <f>AND(BX104&gt;Driver!$F$54,BX104&lt;Driver!$G$54)</f>
        <v/>
      </c>
      <c r="F104" s="60">
        <f>CL104&gt;Driver!$F$56</f>
        <v/>
      </c>
      <c r="G104" s="60">
        <f>AND(CB104&gt;Driver!$F$55,CB104&lt;Driver!$G$55)</f>
        <v/>
      </c>
      <c r="H104" s="60">
        <f>AND(B104:G104)</f>
        <v/>
      </c>
      <c r="I104" s="60">
        <f>COUNTIFS($H$9:$H$1273,TRUE,$BT$9:$BT$1273,BT104)</f>
        <v/>
      </c>
      <c r="J104" s="60">
        <f t="array" ref="J104">NOT(OR(($H$9:$H$1273=TRUE)*($I$9:$I$1273&gt;0)*($BT$9:$BT$1273=BT104)*($K$9:$K$1273&gt;K104)))</f>
        <v/>
      </c>
      <c r="K104" s="108">
        <f>IFERROR(1-AVERAGE(X104:Y104),"")</f>
        <v/>
      </c>
      <c r="L104" s="108">
        <f>1-X104</f>
        <v/>
      </c>
      <c r="M104" s="108">
        <f>1-Y104</f>
        <v/>
      </c>
      <c r="N104" s="108">
        <f>1-Z104</f>
        <v/>
      </c>
      <c r="O104" s="108">
        <f>1-AA104</f>
        <v/>
      </c>
      <c r="P104" s="108">
        <f>1-AB104</f>
        <v/>
      </c>
      <c r="Q104" s="108" t="n"/>
      <c r="R104" s="108" t="n"/>
      <c r="S104" s="108">
        <f>1-AE104</f>
        <v/>
      </c>
      <c r="T104" s="108">
        <f>1-AF104</f>
        <v/>
      </c>
      <c r="U104" s="108">
        <f>1-AG104</f>
        <v/>
      </c>
      <c r="V104" s="108">
        <f>1-AH104</f>
        <v/>
      </c>
      <c r="W104" s="108">
        <f>1-AI104</f>
        <v/>
      </c>
      <c r="X104" s="108">
        <f>ABS(AJ104-AJ$1)</f>
        <v/>
      </c>
      <c r="Y104" s="108">
        <f>AVERAGE(Z104:AB104)</f>
        <v/>
      </c>
      <c r="Z104" s="108">
        <f>ABS(AL104-AL$1)</f>
        <v/>
      </c>
      <c r="AA104" s="108">
        <f>ABS(AM104-AM$1)</f>
        <v/>
      </c>
      <c r="AB104" s="108">
        <f>ABS(AN104-AN$1)</f>
        <v/>
      </c>
      <c r="AC104" s="108" t="n"/>
      <c r="AD104" s="108" t="n"/>
      <c r="AE104" s="108">
        <f>ABS(AQ$1-AQ104)</f>
        <v/>
      </c>
      <c r="AF104" s="108">
        <f>ABS(AR$1-AR104)</f>
        <v/>
      </c>
      <c r="AG104" s="108">
        <f>ABS(AS$1-AS104)</f>
        <v/>
      </c>
      <c r="AH104" s="108">
        <f>ABS(AT$1-AT104)</f>
        <v/>
      </c>
      <c r="AI104" s="108">
        <f>ABS(AU$1-AU104)</f>
        <v/>
      </c>
      <c r="AJ104" s="108">
        <f>(AV104-Driver!$K$179)/(Driver!$L$179-Driver!$K$179)</f>
        <v/>
      </c>
      <c r="AK104" s="108">
        <f>(AW104-Driver!$K$180)/(Driver!$L$180-Driver!$K$180)</f>
        <v/>
      </c>
      <c r="AL104" s="108">
        <f>(AX104-Driver!$K$181)/(Driver!$L$181-Driver!$K$181)</f>
        <v/>
      </c>
      <c r="AM104" s="108">
        <f>(AY104-Driver!$K$182)/(Driver!$L$182-Driver!$K$182)</f>
        <v/>
      </c>
      <c r="AN104" s="108">
        <f>(AZ104-Driver!$K$183)/(Driver!$L$183-Driver!$K$183)</f>
        <v/>
      </c>
      <c r="AO104" s="108" t="n"/>
      <c r="AP104" s="108" t="n"/>
      <c r="AQ104" s="108">
        <f>(BC104-Driver!$K$188)/(Driver!$L$188-Driver!$K$188)</f>
        <v/>
      </c>
      <c r="AR104" s="108">
        <f>MIN((BD104-Driver!$K$189)/(Driver!$L$189-Driver!$K$189),100%)</f>
        <v/>
      </c>
      <c r="AS104" s="108">
        <f>(BE104-Driver!$K$190)/(Driver!$L$190-Driver!$K$190)</f>
        <v/>
      </c>
      <c r="AT104" s="108">
        <f>(BF104-Driver!$K$191)/(Driver!$L$191-Driver!$K$191)</f>
        <v/>
      </c>
      <c r="AU104" s="108">
        <f>(BG104-Driver!$K$192)/(Driver!$L$192-Driver!$K$192)</f>
        <v/>
      </c>
      <c r="AV104" s="105">
        <f>IFERROR(BM104*BJ104^1/4,"")</f>
        <v/>
      </c>
      <c r="AW104" s="105">
        <f>IFERROR(SUM(AX104:AZ104),"")</f>
        <v/>
      </c>
      <c r="AX104" s="105">
        <f>IFERROR(BH104,"")</f>
        <v/>
      </c>
      <c r="AY104" s="105">
        <f>IFERROR(Driver!$K$19/Data!BH104/Data!BI104*Data!BK104*Data!BL104,"")</f>
        <v/>
      </c>
      <c r="AZ104" s="105">
        <f>IFERROR(BI104*BN104,"")</f>
        <v/>
      </c>
      <c r="BA104" s="105" t="n"/>
      <c r="BB104" s="105" t="n"/>
      <c r="BC104" s="105">
        <f>IFERROR(BI104*BN104*BK104/BJ104^(1/2),"")</f>
        <v/>
      </c>
      <c r="BD104" s="105">
        <f>IFERROR(BH104*BM104*BL104/BJ104/BK104,"")</f>
        <v/>
      </c>
      <c r="BE104" s="105">
        <f>IFERROR(MIN(BI104/BQ104/BP104/BO104/BH104,$BE$1),"")</f>
        <v/>
      </c>
      <c r="BF104" s="105">
        <f>IFERROR(BJ104*BO104*BP104/BK104,"")</f>
        <v/>
      </c>
      <c r="BG104" s="105">
        <f>IFERROR(1/BM104/BH104*BQ104,"")</f>
        <v/>
      </c>
      <c r="BH104" s="102">
        <f>MAX((CE104-Driver!$F$200)/(Driver!$G$200-Driver!$F$200)*$BI$1,1)</f>
        <v/>
      </c>
      <c r="BI104" s="102">
        <f>MAX($BI$1*(BY104-Driver!$F$201)/(Driver!$G$201-Driver!$F$201),1)</f>
        <v/>
      </c>
      <c r="BJ104" s="102">
        <f>(CB104-Driver!$F$206)/(Driver!$G$206-Driver!$F$206)*$BI$1</f>
        <v/>
      </c>
      <c r="BK104" s="102">
        <f>(CD104-Driver!$F$203)/(Driver!$G$203-Driver!$F$203)*$BI$1</f>
        <v/>
      </c>
      <c r="BL104" s="102">
        <f>MAX((CR104-Driver!$F$202)/(Driver!$G$202-Driver!$F$202)*$BI$1,1)</f>
        <v/>
      </c>
      <c r="BM104" s="102">
        <f>MAX((CH104-Driver!$F$204)/(Driver!$G$204-Driver!$F$204)*$BI$1,1)</f>
        <v/>
      </c>
      <c r="BN104" s="102">
        <f>(CI104-Driver!$F$205)/(Driver!$G$205-Driver!$F$205)*$BI$1</f>
        <v/>
      </c>
      <c r="BO104" s="102">
        <f>(CK104-Driver!$F$207)/(Driver!$G$207-Driver!$F$207)*$BI$1</f>
        <v/>
      </c>
      <c r="BP104" s="102">
        <f>(CM104-Driver!$F$208)/(Driver!$G$208-Driver!$F$208)*$BI$1</f>
        <v/>
      </c>
      <c r="BQ104" s="102">
        <f>(CL104-Driver!$F$209)/(Driver!$G$209-Driver!$F$209)*$BI$1</f>
        <v/>
      </c>
      <c r="BR104" s="40" t="inlineStr">
        <is>
          <t>21/22</t>
        </is>
      </c>
      <c r="BS104" s="10" t="inlineStr">
        <is>
          <t xml:space="preserve"> Elan</t>
        </is>
      </c>
      <c r="BT104" s="11" t="inlineStr">
        <is>
          <t>Ripstick 106</t>
        </is>
      </c>
      <c r="BU104" s="13" t="n">
        <v>172</v>
      </c>
      <c r="BV104" s="11" t="inlineStr">
        <is>
          <t xml:space="preserve"> Unisex</t>
        </is>
      </c>
      <c r="BW104" s="13" t="n">
        <v>172</v>
      </c>
      <c r="BX104" s="13" t="n">
        <v>170.4</v>
      </c>
      <c r="BY104" s="13" t="n">
        <v>128</v>
      </c>
      <c r="BZ104" s="13" t="n">
        <v>136</v>
      </c>
      <c r="CA104" s="13" t="n">
        <v>143</v>
      </c>
      <c r="CB104" s="13" t="n">
        <v>104</v>
      </c>
      <c r="CC104" s="13" t="n">
        <v>120</v>
      </c>
      <c r="CD104" s="13" t="n">
        <v>16.4</v>
      </c>
      <c r="CE104" s="13" t="n">
        <v>1544</v>
      </c>
      <c r="CF104" s="13" t="n">
        <v>1.28</v>
      </c>
      <c r="CG104" s="13" t="n">
        <v>1975</v>
      </c>
      <c r="CH104" s="13" t="n">
        <v>199</v>
      </c>
      <c r="CI104" s="13" t="n">
        <v>85</v>
      </c>
      <c r="CJ104" s="13" t="n">
        <v>48</v>
      </c>
      <c r="CK104" s="13" t="n">
        <v>246</v>
      </c>
      <c r="CL104" s="13" t="n">
        <v>17</v>
      </c>
      <c r="CM104" s="13" t="n">
        <v>181</v>
      </c>
      <c r="CN104" s="13" t="n">
        <v>0.351</v>
      </c>
      <c r="CO104" s="13" t="n">
        <v>175</v>
      </c>
      <c r="CP104" s="13" t="n">
        <v>167</v>
      </c>
      <c r="CQ104" s="13" t="n">
        <v>71</v>
      </c>
      <c r="CR104" s="13" t="n">
        <v>5</v>
      </c>
      <c r="CS104" s="13" t="n">
        <v>9.800000000000001</v>
      </c>
      <c r="CT104" s="11" t="inlineStr">
        <is>
          <t xml:space="preserve"> Resort Freeride</t>
        </is>
      </c>
      <c r="CU104" s="11" t="inlineStr">
        <is>
          <t xml:space="preserve"> Powder</t>
        </is>
      </c>
      <c r="CV104" s="11" t="inlineStr">
        <is>
          <t xml:space="preserve"> Big Mountain</t>
        </is>
      </c>
      <c r="CW104" s="11" t="inlineStr">
        <is>
          <t xml:space="preserve"> Touring</t>
        </is>
      </c>
      <c r="CX104">
        <f>INDEX('Data_Price '!AG$2:AG$1266,MATCH(Data!$DN104,'Data_Price '!$AT$2:$AT$1266,0))</f>
        <v/>
      </c>
      <c r="CY104">
        <f>INDEX('Data_Price '!AH$2:AH$1266,MATCH(Data!$DN104,'Data_Price '!$AT$2:$AT$1266,0))</f>
        <v/>
      </c>
      <c r="CZ104">
        <f>INDEX('Data_Price '!AI$2:AI$1266,MATCH(Data!$DN104,'Data_Price '!$AT$2:$AT$1266,0))</f>
        <v/>
      </c>
      <c r="DA104">
        <f>INDEX('Data_Price '!AJ$2:AJ$1266,MATCH(Data!$DN104,'Data_Price '!$AT$2:$AT$1266,0))</f>
        <v/>
      </c>
      <c r="DB104">
        <f>INDEX('Data_Price '!AK$2:AK$1266,MATCH(Data!$DN104,'Data_Price '!$AT$2:$AT$1266,0))</f>
        <v/>
      </c>
      <c r="DC104">
        <f>INDEX('Data_Price '!AL$2:AL$1266,MATCH(Data!$DN104,'Data_Price '!$AT$2:$AT$1266,0))</f>
        <v/>
      </c>
      <c r="DD104">
        <f>INDEX('Data_Price '!AM$2:AM$1266,MATCH(Data!$DN104,'Data_Price '!$AT$2:$AT$1266,0))</f>
        <v/>
      </c>
      <c r="DE104">
        <f>INDEX('Data_Price '!AN$2:AN$1266,MATCH(Data!$DN104,'Data_Price '!$AT$2:$AT$1266,0))</f>
        <v/>
      </c>
      <c r="DF104">
        <f>INDEX('Data_Price '!AO$2:AO$1266,MATCH(Data!$DN104,'Data_Price '!$AT$2:$AT$1266,0))</f>
        <v/>
      </c>
      <c r="DG104">
        <f>INDEX('Data_Price '!AP$2:AP$1266,MATCH(Data!$DN104,'Data_Price '!$AT$2:$AT$1266,0))</f>
        <v/>
      </c>
      <c r="DH104">
        <f>INDEX('Data_Price '!AQ$2:AQ$1266,MATCH(Data!$DN104,'Data_Price '!$AT$2:$AT$1266,0))</f>
        <v/>
      </c>
      <c r="DI104">
        <f>INDEX('Data_Price '!AR$2:AR$1266,MATCH(Data!$DN104,'Data_Price '!$AT$2:$AT$1266,0))</f>
        <v/>
      </c>
      <c r="DJ104" s="138">
        <f>DA104</f>
        <v/>
      </c>
      <c r="DK104" s="138">
        <f>DE104</f>
        <v/>
      </c>
      <c r="DL104" s="138">
        <f>DI104</f>
        <v/>
      </c>
      <c r="DM104" s="303">
        <f>IF(LEFT(BT104,1)=" ",RIGHT(BT104,LEN(BT104)-1),BT104)</f>
        <v/>
      </c>
      <c r="DN104" s="138">
        <f>_xlfn.CONCAT(BS104,DM104,BU104,BV104)</f>
        <v/>
      </c>
      <c r="DO104" s="307" t="inlineStr">
        <is>
          <t>https://images.evo.com/imgp/250/181074/737306/clone.jpg</t>
        </is>
      </c>
    </row>
    <row r="105" ht="15.6" customHeight="1" s="184">
      <c r="B105" s="303">
        <f t="array" ref="B105">IF(OR(ISERROR(K105:P105)),FALSE,TRUE)</f>
        <v/>
      </c>
      <c r="C105" s="60">
        <f>OR(BR105=Driver!$G$50,Data!BR1117=Driver!$H$50)</f>
        <v/>
      </c>
      <c r="D105" s="60">
        <f>OR(BV105=Driver!$G$51,BV105=Driver!$H$51)</f>
        <v/>
      </c>
      <c r="E105" s="60">
        <f>AND(BX105&gt;Driver!$F$54,BX105&lt;Driver!$G$54)</f>
        <v/>
      </c>
      <c r="F105" s="60">
        <f>CL105&gt;Driver!$F$56</f>
        <v/>
      </c>
      <c r="G105" s="60">
        <f>AND(CB105&gt;Driver!$F$55,CB105&lt;Driver!$G$55)</f>
        <v/>
      </c>
      <c r="H105" s="60">
        <f>AND(B105:G105)</f>
        <v/>
      </c>
      <c r="I105" s="60">
        <f>COUNTIFS($H$9:$H$1273,TRUE,$BT$9:$BT$1273,BT105)</f>
        <v/>
      </c>
      <c r="J105" s="60">
        <f t="array" ref="J105">NOT(OR(($H$9:$H$1273=TRUE)*($I$9:$I$1273&gt;0)*($BT$9:$BT$1273=BT105)*($K$9:$K$1273&gt;K105)))</f>
        <v/>
      </c>
      <c r="K105" s="108">
        <f>IFERROR(1-AVERAGE(X105:Y105),"")</f>
        <v/>
      </c>
      <c r="L105" s="108">
        <f>1-X105</f>
        <v/>
      </c>
      <c r="M105" s="108">
        <f>1-Y105</f>
        <v/>
      </c>
      <c r="N105" s="108">
        <f>1-Z105</f>
        <v/>
      </c>
      <c r="O105" s="108">
        <f>1-AA105</f>
        <v/>
      </c>
      <c r="P105" s="108">
        <f>1-AB105</f>
        <v/>
      </c>
      <c r="Q105" s="108" t="n"/>
      <c r="R105" s="108" t="n"/>
      <c r="S105" s="108">
        <f>1-AE105</f>
        <v/>
      </c>
      <c r="T105" s="108">
        <f>1-AF105</f>
        <v/>
      </c>
      <c r="U105" s="108">
        <f>1-AG105</f>
        <v/>
      </c>
      <c r="V105" s="108">
        <f>1-AH105</f>
        <v/>
      </c>
      <c r="W105" s="108">
        <f>1-AI105</f>
        <v/>
      </c>
      <c r="X105" s="108">
        <f>ABS(AJ105-AJ$1)</f>
        <v/>
      </c>
      <c r="Y105" s="108">
        <f>AVERAGE(Z105:AB105)</f>
        <v/>
      </c>
      <c r="Z105" s="108">
        <f>ABS(AL105-AL$1)</f>
        <v/>
      </c>
      <c r="AA105" s="108">
        <f>ABS(AM105-AM$1)</f>
        <v/>
      </c>
      <c r="AB105" s="108">
        <f>ABS(AN105-AN$1)</f>
        <v/>
      </c>
      <c r="AC105" s="108" t="n"/>
      <c r="AD105" s="108" t="n"/>
      <c r="AE105" s="108">
        <f>ABS(AQ$1-AQ105)</f>
        <v/>
      </c>
      <c r="AF105" s="108">
        <f>ABS(AR$1-AR105)</f>
        <v/>
      </c>
      <c r="AG105" s="108">
        <f>ABS(AS$1-AS105)</f>
        <v/>
      </c>
      <c r="AH105" s="108">
        <f>ABS(AT$1-AT105)</f>
        <v/>
      </c>
      <c r="AI105" s="108">
        <f>ABS(AU$1-AU105)</f>
        <v/>
      </c>
      <c r="AJ105" s="108">
        <f>(AV105-Driver!$K$179)/(Driver!$L$179-Driver!$K$179)</f>
        <v/>
      </c>
      <c r="AK105" s="108">
        <f>(AW105-Driver!$K$180)/(Driver!$L$180-Driver!$K$180)</f>
        <v/>
      </c>
      <c r="AL105" s="108">
        <f>(AX105-Driver!$K$181)/(Driver!$L$181-Driver!$K$181)</f>
        <v/>
      </c>
      <c r="AM105" s="108">
        <f>(AY105-Driver!$K$182)/(Driver!$L$182-Driver!$K$182)</f>
        <v/>
      </c>
      <c r="AN105" s="108">
        <f>(AZ105-Driver!$K$183)/(Driver!$L$183-Driver!$K$183)</f>
        <v/>
      </c>
      <c r="AO105" s="108" t="n"/>
      <c r="AP105" s="108" t="n"/>
      <c r="AQ105" s="108">
        <f>(BC105-Driver!$K$188)/(Driver!$L$188-Driver!$K$188)</f>
        <v/>
      </c>
      <c r="AR105" s="108">
        <f>MIN((BD105-Driver!$K$189)/(Driver!$L$189-Driver!$K$189),100%)</f>
        <v/>
      </c>
      <c r="AS105" s="108">
        <f>(BE105-Driver!$K$190)/(Driver!$L$190-Driver!$K$190)</f>
        <v/>
      </c>
      <c r="AT105" s="108">
        <f>(BF105-Driver!$K$191)/(Driver!$L$191-Driver!$K$191)</f>
        <v/>
      </c>
      <c r="AU105" s="108">
        <f>(BG105-Driver!$K$192)/(Driver!$L$192-Driver!$K$192)</f>
        <v/>
      </c>
      <c r="AV105" s="105">
        <f>IFERROR(BM105*BJ105^1/4,"")</f>
        <v/>
      </c>
      <c r="AW105" s="105">
        <f>IFERROR(SUM(AX105:AZ105),"")</f>
        <v/>
      </c>
      <c r="AX105" s="105">
        <f>IFERROR(BH105,"")</f>
        <v/>
      </c>
      <c r="AY105" s="105">
        <f>IFERROR(Driver!$K$19/Data!BH105/Data!BI105*Data!BK105*Data!BL105,"")</f>
        <v/>
      </c>
      <c r="AZ105" s="105">
        <f>IFERROR(BI105*BN105,"")</f>
        <v/>
      </c>
      <c r="BA105" s="105" t="n"/>
      <c r="BB105" s="105" t="n"/>
      <c r="BC105" s="105">
        <f>IFERROR(BI105*BN105*BK105/BJ105^(1/2),"")</f>
        <v/>
      </c>
      <c r="BD105" s="105">
        <f>IFERROR(BH105*BM105*BL105/BJ105/BK105,"")</f>
        <v/>
      </c>
      <c r="BE105" s="105">
        <f>IFERROR(MIN(BI105/BQ105/BP105/BO105/BH105,$BE$1),"")</f>
        <v/>
      </c>
      <c r="BF105" s="105">
        <f>IFERROR(BJ105*BO105*BP105/BK105,"")</f>
        <v/>
      </c>
      <c r="BG105" s="105">
        <f>IFERROR(1/BM105/BH105*BQ105,"")</f>
        <v/>
      </c>
      <c r="BH105" s="102">
        <f>MAX((CE105-Driver!$F$200)/(Driver!$G$200-Driver!$F$200)*$BI$1,1)</f>
        <v/>
      </c>
      <c r="BI105" s="102">
        <f>MAX($BI$1*(BY105-Driver!$F$201)/(Driver!$G$201-Driver!$F$201),1)</f>
        <v/>
      </c>
      <c r="BJ105" s="102">
        <f>(CB105-Driver!$F$206)/(Driver!$G$206-Driver!$F$206)*$BI$1</f>
        <v/>
      </c>
      <c r="BK105" s="102">
        <f>(CD105-Driver!$F$203)/(Driver!$G$203-Driver!$F$203)*$BI$1</f>
        <v/>
      </c>
      <c r="BL105" s="102">
        <f>MAX((CR105-Driver!$F$202)/(Driver!$G$202-Driver!$F$202)*$BI$1,1)</f>
        <v/>
      </c>
      <c r="BM105" s="102">
        <f>MAX((CH105-Driver!$F$204)/(Driver!$G$204-Driver!$F$204)*$BI$1,1)</f>
        <v/>
      </c>
      <c r="BN105" s="102">
        <f>(CI105-Driver!$F$205)/(Driver!$G$205-Driver!$F$205)*$BI$1</f>
        <v/>
      </c>
      <c r="BO105" s="102">
        <f>(CK105-Driver!$F$207)/(Driver!$G$207-Driver!$F$207)*$BI$1</f>
        <v/>
      </c>
      <c r="BP105" s="102">
        <f>(CM105-Driver!$F$208)/(Driver!$G$208-Driver!$F$208)*$BI$1</f>
        <v/>
      </c>
      <c r="BQ105" s="102">
        <f>(CL105-Driver!$F$209)/(Driver!$G$209-Driver!$F$209)*$BI$1</f>
        <v/>
      </c>
      <c r="BR105" s="40" t="inlineStr">
        <is>
          <t>21/22</t>
        </is>
      </c>
      <c r="BS105" s="10" t="inlineStr">
        <is>
          <t xml:space="preserve"> Scott</t>
        </is>
      </c>
      <c r="BT105" s="11" t="inlineStr">
        <is>
          <t>Scrapper 95</t>
        </is>
      </c>
      <c r="BU105" s="13" t="n">
        <v>184</v>
      </c>
      <c r="BV105" s="11" t="inlineStr">
        <is>
          <t xml:space="preserve"> Unisex</t>
        </is>
      </c>
      <c r="BW105" s="13" t="n">
        <v>184</v>
      </c>
      <c r="BX105" s="13" t="n">
        <v>182.4</v>
      </c>
      <c r="BY105" s="13" t="n">
        <v>141</v>
      </c>
      <c r="BZ105" s="13" t="n">
        <v>166</v>
      </c>
      <c r="CA105" s="13" t="n">
        <v>133</v>
      </c>
      <c r="CB105" s="13" t="n">
        <v>95</v>
      </c>
      <c r="CC105" s="13" t="n">
        <v>121</v>
      </c>
      <c r="CD105" s="13" t="n">
        <v>22.9</v>
      </c>
      <c r="CE105" s="13" t="n">
        <v>1583</v>
      </c>
      <c r="CF105" s="13" t="n">
        <v>1.2</v>
      </c>
      <c r="CG105" s="13" t="n">
        <v>1901</v>
      </c>
      <c r="CH105" s="13" t="n">
        <v>259</v>
      </c>
      <c r="CI105" s="13" t="n">
        <v>105</v>
      </c>
      <c r="CJ105" s="13" t="n">
        <v>56</v>
      </c>
      <c r="CK105" s="13" t="n">
        <v>247</v>
      </c>
      <c r="CL105" s="13" t="n">
        <v>33</v>
      </c>
      <c r="CM105" s="13" t="n">
        <v>171</v>
      </c>
      <c r="CN105" s="13" t="n">
        <v>0.589</v>
      </c>
      <c r="CO105" s="13" t="n">
        <v>95</v>
      </c>
      <c r="CP105" s="13" t="n">
        <v>74</v>
      </c>
      <c r="CQ105" s="13" t="n">
        <v>152</v>
      </c>
      <c r="CR105" s="13" t="n">
        <v>7</v>
      </c>
      <c r="CS105" s="13" t="n">
        <v>9.1</v>
      </c>
      <c r="CT105" s="11" t="inlineStr">
        <is>
          <t xml:space="preserve"> Resort Freeride</t>
        </is>
      </c>
      <c r="CU105" s="11" t="inlineStr">
        <is>
          <t xml:space="preserve"> Touring</t>
        </is>
      </c>
      <c r="CV105" s="13" t="n"/>
      <c r="CW105" s="13" t="n"/>
      <c r="CX105">
        <f>INDEX('Data_Price '!AG$2:AG$1266,MATCH(Data!$DN105,'Data_Price '!$AT$2:$AT$1266,0))</f>
        <v/>
      </c>
      <c r="CY105">
        <f>INDEX('Data_Price '!AH$2:AH$1266,MATCH(Data!$DN105,'Data_Price '!$AT$2:$AT$1266,0))</f>
        <v/>
      </c>
      <c r="CZ105">
        <f>INDEX('Data_Price '!AI$2:AI$1266,MATCH(Data!$DN105,'Data_Price '!$AT$2:$AT$1266,0))</f>
        <v/>
      </c>
      <c r="DA105">
        <f>INDEX('Data_Price '!AJ$2:AJ$1266,MATCH(Data!$DN105,'Data_Price '!$AT$2:$AT$1266,0))</f>
        <v/>
      </c>
      <c r="DB105">
        <f>INDEX('Data_Price '!AK$2:AK$1266,MATCH(Data!$DN105,'Data_Price '!$AT$2:$AT$1266,0))</f>
        <v/>
      </c>
      <c r="DC105">
        <f>INDEX('Data_Price '!AL$2:AL$1266,MATCH(Data!$DN105,'Data_Price '!$AT$2:$AT$1266,0))</f>
        <v/>
      </c>
      <c r="DD105">
        <f>INDEX('Data_Price '!AM$2:AM$1266,MATCH(Data!$DN105,'Data_Price '!$AT$2:$AT$1266,0))</f>
        <v/>
      </c>
      <c r="DE105">
        <f>INDEX('Data_Price '!AN$2:AN$1266,MATCH(Data!$DN105,'Data_Price '!$AT$2:$AT$1266,0))</f>
        <v/>
      </c>
      <c r="DF105">
        <f>INDEX('Data_Price '!AO$2:AO$1266,MATCH(Data!$DN105,'Data_Price '!$AT$2:$AT$1266,0))</f>
        <v/>
      </c>
      <c r="DG105">
        <f>INDEX('Data_Price '!AP$2:AP$1266,MATCH(Data!$DN105,'Data_Price '!$AT$2:$AT$1266,0))</f>
        <v/>
      </c>
      <c r="DH105">
        <f>INDEX('Data_Price '!AQ$2:AQ$1266,MATCH(Data!$DN105,'Data_Price '!$AT$2:$AT$1266,0))</f>
        <v/>
      </c>
      <c r="DI105">
        <f>INDEX('Data_Price '!AR$2:AR$1266,MATCH(Data!$DN105,'Data_Price '!$AT$2:$AT$1266,0))</f>
        <v/>
      </c>
      <c r="DJ105" s="138">
        <f>DA105</f>
        <v/>
      </c>
      <c r="DK105" s="138">
        <f>DE105</f>
        <v/>
      </c>
      <c r="DL105" s="138">
        <f>DI105</f>
        <v/>
      </c>
      <c r="DM105" s="303">
        <f>IF(LEFT(BT105,1)=" ",RIGHT(BT105,LEN(BT105)-1),BT105)</f>
        <v/>
      </c>
      <c r="DN105" s="138">
        <f>_xlfn.CONCAT(BS105,DM105,BU105,BV105)</f>
        <v/>
      </c>
      <c r="DO105" s="307" t="inlineStr">
        <is>
          <t>https://images.evo.com/imgp/250/208932/848232/scott-scrapper-95-skis-2022-.jpg</t>
        </is>
      </c>
    </row>
    <row r="106" ht="15.6" customHeight="1" s="184">
      <c r="B106" s="303">
        <f t="array" ref="B106">IF(OR(ISERROR(K106:P106)),FALSE,TRUE)</f>
        <v/>
      </c>
      <c r="C106" s="60">
        <f>OR(BR106=Driver!$G$50,Data!BR300=Driver!$H$50)</f>
        <v/>
      </c>
      <c r="D106" s="60">
        <f>OR(BV106=Driver!$G$51,BV106=Driver!$H$51)</f>
        <v/>
      </c>
      <c r="E106" s="60">
        <f>AND(BX106&gt;Driver!$F$54,BX106&lt;Driver!$G$54)</f>
        <v/>
      </c>
      <c r="F106" s="60">
        <f>CL106&gt;Driver!$F$56</f>
        <v/>
      </c>
      <c r="G106" s="60">
        <f>AND(CB106&gt;Driver!$F$55,CB106&lt;Driver!$G$55)</f>
        <v/>
      </c>
      <c r="H106" s="60">
        <f>AND(B106:G106)</f>
        <v/>
      </c>
      <c r="I106" s="60">
        <f>COUNTIFS($H$9:$H$1273,TRUE,$BT$9:$BT$1273,BT106)</f>
        <v/>
      </c>
      <c r="J106" s="60">
        <f t="array" ref="J106">NOT(OR(($H$9:$H$1273=TRUE)*($I$9:$I$1273&gt;0)*($BT$9:$BT$1273=BT106)*($K$9:$K$1273&gt;K106)))</f>
        <v/>
      </c>
      <c r="K106" s="108">
        <f>IFERROR(1-AVERAGE(X106:Y106),"")</f>
        <v/>
      </c>
      <c r="L106" s="108">
        <f>1-X106</f>
        <v/>
      </c>
      <c r="M106" s="108">
        <f>1-Y106</f>
        <v/>
      </c>
      <c r="N106" s="108">
        <f>1-Z106</f>
        <v/>
      </c>
      <c r="O106" s="108">
        <f>1-AA106</f>
        <v/>
      </c>
      <c r="P106" s="108">
        <f>1-AB106</f>
        <v/>
      </c>
      <c r="Q106" s="108" t="n"/>
      <c r="R106" s="108" t="n"/>
      <c r="S106" s="108">
        <f>1-AE106</f>
        <v/>
      </c>
      <c r="T106" s="108">
        <f>1-AF106</f>
        <v/>
      </c>
      <c r="U106" s="108">
        <f>1-AG106</f>
        <v/>
      </c>
      <c r="V106" s="108">
        <f>1-AH106</f>
        <v/>
      </c>
      <c r="W106" s="108">
        <f>1-AI106</f>
        <v/>
      </c>
      <c r="X106" s="108">
        <f>ABS(AJ106-AJ$1)</f>
        <v/>
      </c>
      <c r="Y106" s="108">
        <f>AVERAGE(Z106:AB106)</f>
        <v/>
      </c>
      <c r="Z106" s="108">
        <f>ABS(AL106-AL$1)</f>
        <v/>
      </c>
      <c r="AA106" s="108">
        <f>ABS(AM106-AM$1)</f>
        <v/>
      </c>
      <c r="AB106" s="108">
        <f>ABS(AN106-AN$1)</f>
        <v/>
      </c>
      <c r="AC106" s="108" t="n"/>
      <c r="AD106" s="108" t="n"/>
      <c r="AE106" s="108">
        <f>ABS(AQ$1-AQ106)</f>
        <v/>
      </c>
      <c r="AF106" s="108">
        <f>ABS(AR$1-AR106)</f>
        <v/>
      </c>
      <c r="AG106" s="108">
        <f>ABS(AS$1-AS106)</f>
        <v/>
      </c>
      <c r="AH106" s="108">
        <f>ABS(AT$1-AT106)</f>
        <v/>
      </c>
      <c r="AI106" s="108">
        <f>ABS(AU$1-AU106)</f>
        <v/>
      </c>
      <c r="AJ106" s="108">
        <f>(AV106-Driver!$K$179)/(Driver!$L$179-Driver!$K$179)</f>
        <v/>
      </c>
      <c r="AK106" s="108">
        <f>(AW106-Driver!$K$180)/(Driver!$L$180-Driver!$K$180)</f>
        <v/>
      </c>
      <c r="AL106" s="108">
        <f>(AX106-Driver!$K$181)/(Driver!$L$181-Driver!$K$181)</f>
        <v/>
      </c>
      <c r="AM106" s="108">
        <f>(AY106-Driver!$K$182)/(Driver!$L$182-Driver!$K$182)</f>
        <v/>
      </c>
      <c r="AN106" s="108">
        <f>(AZ106-Driver!$K$183)/(Driver!$L$183-Driver!$K$183)</f>
        <v/>
      </c>
      <c r="AO106" s="108" t="n"/>
      <c r="AP106" s="108" t="n"/>
      <c r="AQ106" s="108">
        <f>(BC106-Driver!$K$188)/(Driver!$L$188-Driver!$K$188)</f>
        <v/>
      </c>
      <c r="AR106" s="108">
        <f>MIN((BD106-Driver!$K$189)/(Driver!$L$189-Driver!$K$189),100%)</f>
        <v/>
      </c>
      <c r="AS106" s="108">
        <f>(BE106-Driver!$K$190)/(Driver!$L$190-Driver!$K$190)</f>
        <v/>
      </c>
      <c r="AT106" s="108">
        <f>(BF106-Driver!$K$191)/(Driver!$L$191-Driver!$K$191)</f>
        <v/>
      </c>
      <c r="AU106" s="108">
        <f>(BG106-Driver!$K$192)/(Driver!$L$192-Driver!$K$192)</f>
        <v/>
      </c>
      <c r="AV106" s="105">
        <f>IFERROR(BM106*BJ106^1/4,"")</f>
        <v/>
      </c>
      <c r="AW106" s="105">
        <f>IFERROR(SUM(AX106:AZ106),"")</f>
        <v/>
      </c>
      <c r="AX106" s="105">
        <f>IFERROR(BH106,"")</f>
        <v/>
      </c>
      <c r="AY106" s="105">
        <f>IFERROR(Driver!$K$19/Data!BH106/Data!BI106*Data!BK106*Data!BL106,"")</f>
        <v/>
      </c>
      <c r="AZ106" s="105">
        <f>IFERROR(BI106*BN106,"")</f>
        <v/>
      </c>
      <c r="BA106" s="105" t="n"/>
      <c r="BB106" s="105" t="n"/>
      <c r="BC106" s="105">
        <f>IFERROR(BI106*BN106*BK106/BJ106^(1/2),"")</f>
        <v/>
      </c>
      <c r="BD106" s="105">
        <f>IFERROR(BH106*BM106*BL106/BJ106/BK106,"")</f>
        <v/>
      </c>
      <c r="BE106" s="105">
        <f>IFERROR(MIN(BI106/BQ106/BP106/BO106/BH106,$BE$1),"")</f>
        <v/>
      </c>
      <c r="BF106" s="105">
        <f>IFERROR(BJ106*BO106*BP106/BK106,"")</f>
        <v/>
      </c>
      <c r="BG106" s="105">
        <f>IFERROR(1/BM106/BH106*BQ106,"")</f>
        <v/>
      </c>
      <c r="BH106" s="102">
        <f>MAX((CE106-Driver!$F$200)/(Driver!$G$200-Driver!$F$200)*$BI$1,1)</f>
        <v/>
      </c>
      <c r="BI106" s="102">
        <f>MAX($BI$1*(BY106-Driver!$F$201)/(Driver!$G$201-Driver!$F$201),1)</f>
        <v/>
      </c>
      <c r="BJ106" s="102">
        <f>(CB106-Driver!$F$206)/(Driver!$G$206-Driver!$F$206)*$BI$1</f>
        <v/>
      </c>
      <c r="BK106" s="102">
        <f>(CD106-Driver!$F$203)/(Driver!$G$203-Driver!$F$203)*$BI$1</f>
        <v/>
      </c>
      <c r="BL106" s="102">
        <f>MAX((CR106-Driver!$F$202)/(Driver!$G$202-Driver!$F$202)*$BI$1,1)</f>
        <v/>
      </c>
      <c r="BM106" s="102">
        <f>MAX((CH106-Driver!$F$204)/(Driver!$G$204-Driver!$F$204)*$BI$1,1)</f>
        <v/>
      </c>
      <c r="BN106" s="102">
        <f>(CI106-Driver!$F$205)/(Driver!$G$205-Driver!$F$205)*$BI$1</f>
        <v/>
      </c>
      <c r="BO106" s="102">
        <f>(CK106-Driver!$F$207)/(Driver!$G$207-Driver!$F$207)*$BI$1</f>
        <v/>
      </c>
      <c r="BP106" s="102">
        <f>(CM106-Driver!$F$208)/(Driver!$G$208-Driver!$F$208)*$BI$1</f>
        <v/>
      </c>
      <c r="BQ106" s="102">
        <f>(CL106-Driver!$F$209)/(Driver!$G$209-Driver!$F$209)*$BI$1</f>
        <v/>
      </c>
      <c r="BR106" s="40" t="inlineStr">
        <is>
          <t>21/22</t>
        </is>
      </c>
      <c r="BS106" s="10" t="inlineStr">
        <is>
          <t xml:space="preserve"> Blizzard</t>
        </is>
      </c>
      <c r="BT106" s="11" t="inlineStr">
        <is>
          <t>Sheeva 11</t>
        </is>
      </c>
      <c r="BU106" s="13" t="n">
        <v>164</v>
      </c>
      <c r="BV106" s="11" t="inlineStr">
        <is>
          <t xml:space="preserve"> Women's</t>
        </is>
      </c>
      <c r="BW106" s="13" t="n">
        <v>164</v>
      </c>
      <c r="BX106" s="13" t="n">
        <v>162.8</v>
      </c>
      <c r="BY106" s="13" t="n">
        <v>92</v>
      </c>
      <c r="BZ106" s="13" t="n">
        <v>131</v>
      </c>
      <c r="CA106" s="13" t="n">
        <v>138</v>
      </c>
      <c r="CB106" s="13" t="n">
        <v>112</v>
      </c>
      <c r="CC106" s="13" t="n">
        <v>128</v>
      </c>
      <c r="CD106" s="13" t="n">
        <v>17.4</v>
      </c>
      <c r="CE106" s="13" t="n">
        <v>1810</v>
      </c>
      <c r="CF106" s="13" t="n">
        <v>1.08</v>
      </c>
      <c r="CG106" s="13" t="n">
        <v>1955</v>
      </c>
      <c r="CH106" s="13" t="n">
        <v>161</v>
      </c>
      <c r="CI106" s="13" t="n">
        <v>97</v>
      </c>
      <c r="CJ106" s="13" t="n">
        <v>67</v>
      </c>
      <c r="CK106" s="13" t="n">
        <v>403</v>
      </c>
      <c r="CL106" s="13" t="n">
        <v>27</v>
      </c>
      <c r="CM106" s="13" t="n">
        <v>309</v>
      </c>
      <c r="CN106" s="13" t="n">
        <v>0.403</v>
      </c>
      <c r="CO106" s="13" t="n">
        <v>167</v>
      </c>
      <c r="CP106" s="13" t="n">
        <v>150</v>
      </c>
      <c r="CQ106" s="13" t="n">
        <v>235</v>
      </c>
      <c r="CR106" s="13" t="n">
        <v>3</v>
      </c>
      <c r="CS106" s="13" t="n">
        <v>7.6</v>
      </c>
      <c r="CT106" s="11" t="inlineStr">
        <is>
          <t xml:space="preserve"> Powder</t>
        </is>
      </c>
      <c r="CU106" s="11" t="inlineStr">
        <is>
          <t xml:space="preserve"> Touring</t>
        </is>
      </c>
      <c r="CV106" s="13" t="n"/>
      <c r="CW106" s="13" t="n"/>
      <c r="CX106">
        <f>INDEX('Data_Price '!AG$2:AG$1266,MATCH(Data!$DN106,'Data_Price '!$AT$2:$AT$1266,0))</f>
        <v/>
      </c>
      <c r="CY106">
        <f>INDEX('Data_Price '!AH$2:AH$1266,MATCH(Data!$DN106,'Data_Price '!$AT$2:$AT$1266,0))</f>
        <v/>
      </c>
      <c r="CZ106">
        <f>INDEX('Data_Price '!AI$2:AI$1266,MATCH(Data!$DN106,'Data_Price '!$AT$2:$AT$1266,0))</f>
        <v/>
      </c>
      <c r="DA106">
        <f>INDEX('Data_Price '!AJ$2:AJ$1266,MATCH(Data!$DN106,'Data_Price '!$AT$2:$AT$1266,0))</f>
        <v/>
      </c>
      <c r="DB106">
        <f>INDEX('Data_Price '!AK$2:AK$1266,MATCH(Data!$DN106,'Data_Price '!$AT$2:$AT$1266,0))</f>
        <v/>
      </c>
      <c r="DC106">
        <f>INDEX('Data_Price '!AL$2:AL$1266,MATCH(Data!$DN106,'Data_Price '!$AT$2:$AT$1266,0))</f>
        <v/>
      </c>
      <c r="DD106">
        <f>INDEX('Data_Price '!AM$2:AM$1266,MATCH(Data!$DN106,'Data_Price '!$AT$2:$AT$1266,0))</f>
        <v/>
      </c>
      <c r="DE106">
        <f>INDEX('Data_Price '!AN$2:AN$1266,MATCH(Data!$DN106,'Data_Price '!$AT$2:$AT$1266,0))</f>
        <v/>
      </c>
      <c r="DF106">
        <f>INDEX('Data_Price '!AO$2:AO$1266,MATCH(Data!$DN106,'Data_Price '!$AT$2:$AT$1266,0))</f>
        <v/>
      </c>
      <c r="DG106">
        <f>INDEX('Data_Price '!AP$2:AP$1266,MATCH(Data!$DN106,'Data_Price '!$AT$2:$AT$1266,0))</f>
        <v/>
      </c>
      <c r="DH106">
        <f>INDEX('Data_Price '!AQ$2:AQ$1266,MATCH(Data!$DN106,'Data_Price '!$AT$2:$AT$1266,0))</f>
        <v/>
      </c>
      <c r="DI106">
        <f>INDEX('Data_Price '!AR$2:AR$1266,MATCH(Data!$DN106,'Data_Price '!$AT$2:$AT$1266,0))</f>
        <v/>
      </c>
      <c r="DJ106" s="138">
        <f>DA106</f>
        <v/>
      </c>
      <c r="DK106" s="138">
        <f>DE106</f>
        <v/>
      </c>
      <c r="DL106" s="138">
        <f>DI106</f>
        <v/>
      </c>
      <c r="DM106" s="303">
        <f>IF(LEFT(BT106,1)=" ",RIGHT(BT106,LEN(BT106)-1),BT106)</f>
        <v/>
      </c>
      <c r="DN106" s="138">
        <f>_xlfn.CONCAT(BS106,DM106,BU106,BV106)</f>
        <v/>
      </c>
      <c r="DO106" s="307" t="n"/>
    </row>
    <row r="107" ht="15.6" customHeight="1" s="184">
      <c r="B107" s="303">
        <f t="array" ref="B107">IF(OR(ISERROR(K107:P107)),FALSE,TRUE)</f>
        <v/>
      </c>
      <c r="C107" s="60">
        <f>OR(BR107=Driver!$G$50,Data!BR1262=Driver!$H$50)</f>
        <v/>
      </c>
      <c r="D107" s="60">
        <f>OR(BV107=Driver!$G$51,BV107=Driver!$H$51)</f>
        <v/>
      </c>
      <c r="E107" s="60">
        <f>AND(BX107&gt;Driver!$F$54,BX107&lt;Driver!$G$54)</f>
        <v/>
      </c>
      <c r="F107" s="60">
        <f>CL107&gt;Driver!$F$56</f>
        <v/>
      </c>
      <c r="G107" s="60">
        <f>AND(CB107&gt;Driver!$F$55,CB107&lt;Driver!$G$55)</f>
        <v/>
      </c>
      <c r="H107" s="60">
        <f>AND(B107:G107)</f>
        <v/>
      </c>
      <c r="I107" s="60">
        <f>COUNTIFS($H$9:$H$1273,TRUE,$BT$9:$BT$1273,BT107)</f>
        <v/>
      </c>
      <c r="J107" s="60">
        <f t="array" ref="J107">NOT(OR(($H$9:$H$1273=TRUE)*($I$9:$I$1273&gt;0)*($BT$9:$BT$1273=BT107)*($K$9:$K$1273&gt;K107)))</f>
        <v/>
      </c>
      <c r="K107" s="108">
        <f>IFERROR(1-AVERAGE(X107:Y107),"")</f>
        <v/>
      </c>
      <c r="L107" s="108">
        <f>1-X107</f>
        <v/>
      </c>
      <c r="M107" s="108">
        <f>1-Y107</f>
        <v/>
      </c>
      <c r="N107" s="108">
        <f>1-Z107</f>
        <v/>
      </c>
      <c r="O107" s="108">
        <f>1-AA107</f>
        <v/>
      </c>
      <c r="P107" s="108">
        <f>1-AB107</f>
        <v/>
      </c>
      <c r="Q107" s="108" t="n"/>
      <c r="R107" s="108" t="n"/>
      <c r="S107" s="108">
        <f>1-AE107</f>
        <v/>
      </c>
      <c r="T107" s="108">
        <f>1-AF107</f>
        <v/>
      </c>
      <c r="U107" s="108">
        <f>1-AG107</f>
        <v/>
      </c>
      <c r="V107" s="108">
        <f>1-AH107</f>
        <v/>
      </c>
      <c r="W107" s="108">
        <f>1-AI107</f>
        <v/>
      </c>
      <c r="X107" s="108">
        <f>ABS(AJ107-AJ$1)</f>
        <v/>
      </c>
      <c r="Y107" s="108">
        <f>AVERAGE(Z107:AB107)</f>
        <v/>
      </c>
      <c r="Z107" s="108">
        <f>ABS(AL107-AL$1)</f>
        <v/>
      </c>
      <c r="AA107" s="108">
        <f>ABS(AM107-AM$1)</f>
        <v/>
      </c>
      <c r="AB107" s="108">
        <f>ABS(AN107-AN$1)</f>
        <v/>
      </c>
      <c r="AC107" s="108" t="n"/>
      <c r="AD107" s="108" t="n"/>
      <c r="AE107" s="108">
        <f>ABS(AQ$1-AQ107)</f>
        <v/>
      </c>
      <c r="AF107" s="108">
        <f>ABS(AR$1-AR107)</f>
        <v/>
      </c>
      <c r="AG107" s="108">
        <f>ABS(AS$1-AS107)</f>
        <v/>
      </c>
      <c r="AH107" s="108">
        <f>ABS(AT$1-AT107)</f>
        <v/>
      </c>
      <c r="AI107" s="108">
        <f>ABS(AU$1-AU107)</f>
        <v/>
      </c>
      <c r="AJ107" s="108">
        <f>(AV107-Driver!$K$179)/(Driver!$L$179-Driver!$K$179)</f>
        <v/>
      </c>
      <c r="AK107" s="108">
        <f>(AW107-Driver!$K$180)/(Driver!$L$180-Driver!$K$180)</f>
        <v/>
      </c>
      <c r="AL107" s="108">
        <f>(AX107-Driver!$K$181)/(Driver!$L$181-Driver!$K$181)</f>
        <v/>
      </c>
      <c r="AM107" s="108">
        <f>(AY107-Driver!$K$182)/(Driver!$L$182-Driver!$K$182)</f>
        <v/>
      </c>
      <c r="AN107" s="108">
        <f>(AZ107-Driver!$K$183)/(Driver!$L$183-Driver!$K$183)</f>
        <v/>
      </c>
      <c r="AO107" s="108" t="n"/>
      <c r="AP107" s="108" t="n"/>
      <c r="AQ107" s="108">
        <f>(BC107-Driver!$K$188)/(Driver!$L$188-Driver!$K$188)</f>
        <v/>
      </c>
      <c r="AR107" s="108">
        <f>MIN((BD107-Driver!$K$189)/(Driver!$L$189-Driver!$K$189),100%)</f>
        <v/>
      </c>
      <c r="AS107" s="108">
        <f>(BE107-Driver!$K$190)/(Driver!$L$190-Driver!$K$190)</f>
        <v/>
      </c>
      <c r="AT107" s="108">
        <f>(BF107-Driver!$K$191)/(Driver!$L$191-Driver!$K$191)</f>
        <v/>
      </c>
      <c r="AU107" s="108">
        <f>(BG107-Driver!$K$192)/(Driver!$L$192-Driver!$K$192)</f>
        <v/>
      </c>
      <c r="AV107" s="105">
        <f>IFERROR(BM107*BJ107^1/4,"")</f>
        <v/>
      </c>
      <c r="AW107" s="105">
        <f>IFERROR(SUM(AX107:AZ107),"")</f>
        <v/>
      </c>
      <c r="AX107" s="105">
        <f>IFERROR(BH107,"")</f>
        <v/>
      </c>
      <c r="AY107" s="105">
        <f>IFERROR(Driver!$K$19/Data!BH107/Data!BI107*Data!BK107*Data!BL107,"")</f>
        <v/>
      </c>
      <c r="AZ107" s="105">
        <f>IFERROR(BI107*BN107,"")</f>
        <v/>
      </c>
      <c r="BA107" s="105" t="n"/>
      <c r="BB107" s="105" t="n"/>
      <c r="BC107" s="105">
        <f>IFERROR(BI107*BN107*BK107/BJ107^(1/2),"")</f>
        <v/>
      </c>
      <c r="BD107" s="105">
        <f>IFERROR(BH107*BM107*BL107/BJ107/BK107,"")</f>
        <v/>
      </c>
      <c r="BE107" s="105">
        <f>IFERROR(MIN(BI107/BQ107/BP107/BO107/BH107,$BE$1),"")</f>
        <v/>
      </c>
      <c r="BF107" s="105">
        <f>IFERROR(BJ107*BO107*BP107/BK107,"")</f>
        <v/>
      </c>
      <c r="BG107" s="105">
        <f>IFERROR(1/BM107/BH107*BQ107,"")</f>
        <v/>
      </c>
      <c r="BH107" s="102">
        <f>MAX((CE107-Driver!$F$200)/(Driver!$G$200-Driver!$F$200)*$BI$1,1)</f>
        <v/>
      </c>
      <c r="BI107" s="102">
        <f>MAX($BI$1*(BY107-Driver!$F$201)/(Driver!$G$201-Driver!$F$201),1)</f>
        <v/>
      </c>
      <c r="BJ107" s="102">
        <f>(CB107-Driver!$F$206)/(Driver!$G$206-Driver!$F$206)*$BI$1</f>
        <v/>
      </c>
      <c r="BK107" s="102">
        <f>(CD107-Driver!$F$203)/(Driver!$G$203-Driver!$F$203)*$BI$1</f>
        <v/>
      </c>
      <c r="BL107" s="102">
        <f>MAX((CR107-Driver!$F$202)/(Driver!$G$202-Driver!$F$202)*$BI$1,1)</f>
        <v/>
      </c>
      <c r="BM107" s="102">
        <f>MAX((CH107-Driver!$F$204)/(Driver!$G$204-Driver!$F$204)*$BI$1,1)</f>
        <v/>
      </c>
      <c r="BN107" s="102">
        <f>(CI107-Driver!$F$205)/(Driver!$G$205-Driver!$F$205)*$BI$1</f>
        <v/>
      </c>
      <c r="BO107" s="102">
        <f>(CK107-Driver!$F$207)/(Driver!$G$207-Driver!$F$207)*$BI$1</f>
        <v/>
      </c>
      <c r="BP107" s="102">
        <f>(CM107-Driver!$F$208)/(Driver!$G$208-Driver!$F$208)*$BI$1</f>
        <v/>
      </c>
      <c r="BQ107" s="102">
        <f>(CL107-Driver!$F$209)/(Driver!$G$209-Driver!$F$209)*$BI$1</f>
        <v/>
      </c>
      <c r="BR107" s="40" t="inlineStr">
        <is>
          <t>21/22</t>
        </is>
      </c>
      <c r="BS107" s="10" t="inlineStr">
        <is>
          <t xml:space="preserve"> Völkl</t>
        </is>
      </c>
      <c r="BT107" s="11" t="inlineStr">
        <is>
          <t>Secret 96</t>
        </is>
      </c>
      <c r="BU107" s="13" t="n">
        <v>149</v>
      </c>
      <c r="BV107" s="11" t="inlineStr">
        <is>
          <t xml:space="preserve"> Women's</t>
        </is>
      </c>
      <c r="BW107" s="13" t="n">
        <v>149</v>
      </c>
      <c r="BX107" s="13" t="n">
        <v>148.4</v>
      </c>
      <c r="BY107" s="13" t="n">
        <v>107</v>
      </c>
      <c r="BZ107" s="13" t="n">
        <v>125</v>
      </c>
      <c r="CA107" s="13" t="n">
        <v>134</v>
      </c>
      <c r="CB107" s="13" t="n">
        <v>95</v>
      </c>
      <c r="CC107" s="13" t="n">
        <v>118</v>
      </c>
      <c r="CD107" s="13" t="n">
        <v>12.1</v>
      </c>
      <c r="CE107" s="13" t="n">
        <v>1621</v>
      </c>
      <c r="CF107" s="13" t="n">
        <v>0.98</v>
      </c>
      <c r="CG107" s="13" t="n">
        <v>1596</v>
      </c>
      <c r="CH107" s="13" t="n">
        <v>181</v>
      </c>
      <c r="CI107" s="13" t="n">
        <v>121</v>
      </c>
      <c r="CJ107" s="13" t="n">
        <v>45</v>
      </c>
      <c r="CK107" s="13" t="n">
        <v>254</v>
      </c>
      <c r="CL107" s="13" t="n">
        <v>15</v>
      </c>
      <c r="CM107" s="13" t="n">
        <v>163</v>
      </c>
      <c r="CN107" s="13" t="n">
        <v>0.328</v>
      </c>
      <c r="CO107" s="13" t="n">
        <v>133</v>
      </c>
      <c r="CP107" s="13" t="n">
        <v>99</v>
      </c>
      <c r="CQ107" s="13" t="n">
        <v>121</v>
      </c>
      <c r="CR107" s="13" t="n">
        <v>3</v>
      </c>
      <c r="CS107" s="13" t="n">
        <v>11.2</v>
      </c>
      <c r="CT107" s="11" t="inlineStr">
        <is>
          <t xml:space="preserve"> Resort Freeride</t>
        </is>
      </c>
      <c r="CU107" s="13" t="n"/>
      <c r="CV107" s="13" t="n"/>
      <c r="CW107" s="13" t="n"/>
      <c r="CX107">
        <f>INDEX('Data_Price '!AG$2:AG$1266,MATCH(Data!$DN107,'Data_Price '!$AT$2:$AT$1266,0))</f>
        <v/>
      </c>
      <c r="CY107">
        <f>INDEX('Data_Price '!AH$2:AH$1266,MATCH(Data!$DN107,'Data_Price '!$AT$2:$AT$1266,0))</f>
        <v/>
      </c>
      <c r="CZ107">
        <f>INDEX('Data_Price '!AI$2:AI$1266,MATCH(Data!$DN107,'Data_Price '!$AT$2:$AT$1266,0))</f>
        <v/>
      </c>
      <c r="DA107">
        <f>INDEX('Data_Price '!AJ$2:AJ$1266,MATCH(Data!$DN107,'Data_Price '!$AT$2:$AT$1266,0))</f>
        <v/>
      </c>
      <c r="DB107">
        <f>INDEX('Data_Price '!AK$2:AK$1266,MATCH(Data!$DN107,'Data_Price '!$AT$2:$AT$1266,0))</f>
        <v/>
      </c>
      <c r="DC107">
        <f>INDEX('Data_Price '!AL$2:AL$1266,MATCH(Data!$DN107,'Data_Price '!$AT$2:$AT$1266,0))</f>
        <v/>
      </c>
      <c r="DD107">
        <f>INDEX('Data_Price '!AM$2:AM$1266,MATCH(Data!$DN107,'Data_Price '!$AT$2:$AT$1266,0))</f>
        <v/>
      </c>
      <c r="DE107">
        <f>INDEX('Data_Price '!AN$2:AN$1266,MATCH(Data!$DN107,'Data_Price '!$AT$2:$AT$1266,0))</f>
        <v/>
      </c>
      <c r="DF107">
        <f>INDEX('Data_Price '!AO$2:AO$1266,MATCH(Data!$DN107,'Data_Price '!$AT$2:$AT$1266,0))</f>
        <v/>
      </c>
      <c r="DG107">
        <f>INDEX('Data_Price '!AP$2:AP$1266,MATCH(Data!$DN107,'Data_Price '!$AT$2:$AT$1266,0))</f>
        <v/>
      </c>
      <c r="DH107">
        <f>INDEX('Data_Price '!AQ$2:AQ$1266,MATCH(Data!$DN107,'Data_Price '!$AT$2:$AT$1266,0))</f>
        <v/>
      </c>
      <c r="DI107">
        <f>INDEX('Data_Price '!AR$2:AR$1266,MATCH(Data!$DN107,'Data_Price '!$AT$2:$AT$1266,0))</f>
        <v/>
      </c>
      <c r="DJ107" s="138">
        <f>DA107</f>
        <v/>
      </c>
      <c r="DK107" s="138">
        <f>DE107</f>
        <v/>
      </c>
      <c r="DL107" s="138">
        <f>DI107</f>
        <v/>
      </c>
      <c r="DM107" s="303">
        <f>IF(LEFT(BT107,1)=" ",RIGHT(BT107,LEN(BT107)-1),BT107)</f>
        <v/>
      </c>
      <c r="DN107" s="138">
        <f>_xlfn.CONCAT(BS107,DM107,BU107,BV107)</f>
        <v/>
      </c>
      <c r="DO107" s="307" t="inlineStr">
        <is>
          <t>https://images.evo.com/imgp/250/201961/795907/volkl-secret-96-skis-women-s-2022-.jpg</t>
        </is>
      </c>
    </row>
    <row r="108" ht="15.6" customHeight="1" s="184">
      <c r="B108" s="303">
        <f t="array" ref="B108">IF(OR(ISERROR(K108:P108)),FALSE,TRUE)</f>
        <v/>
      </c>
      <c r="C108" s="60">
        <f>OR(BR108=Driver!$G$50,Data!BR545=Driver!$H$50)</f>
        <v/>
      </c>
      <c r="D108" s="60">
        <f>OR(BV108=Driver!$G$51,BV108=Driver!$H$51)</f>
        <v/>
      </c>
      <c r="E108" s="60">
        <f>AND(BX108&gt;Driver!$F$54,BX108&lt;Driver!$G$54)</f>
        <v/>
      </c>
      <c r="F108" s="60">
        <f>CL108&gt;Driver!$F$56</f>
        <v/>
      </c>
      <c r="G108" s="60">
        <f>AND(CB108&gt;Driver!$F$55,CB108&lt;Driver!$G$55)</f>
        <v/>
      </c>
      <c r="H108" s="60">
        <f>AND(B108:G108)</f>
        <v/>
      </c>
      <c r="I108" s="60">
        <f>COUNTIFS($H$9:$H$1273,TRUE,$BT$9:$BT$1273,BT108)</f>
        <v/>
      </c>
      <c r="J108" s="60">
        <f t="array" ref="J108">NOT(OR(($H$9:$H$1273=TRUE)*($I$9:$I$1273&gt;0)*($BT$9:$BT$1273=BT108)*($K$9:$K$1273&gt;K108)))</f>
        <v/>
      </c>
      <c r="K108" s="108">
        <f>IFERROR(1-AVERAGE(X108:Y108),"")</f>
        <v/>
      </c>
      <c r="L108" s="108">
        <f>1-X108</f>
        <v/>
      </c>
      <c r="M108" s="108">
        <f>1-Y108</f>
        <v/>
      </c>
      <c r="N108" s="108">
        <f>1-Z108</f>
        <v/>
      </c>
      <c r="O108" s="108">
        <f>1-AA108</f>
        <v/>
      </c>
      <c r="P108" s="108">
        <f>1-AB108</f>
        <v/>
      </c>
      <c r="Q108" s="108" t="n"/>
      <c r="R108" s="108" t="n"/>
      <c r="S108" s="108">
        <f>1-AE108</f>
        <v/>
      </c>
      <c r="T108" s="108">
        <f>1-AF108</f>
        <v/>
      </c>
      <c r="U108" s="108">
        <f>1-AG108</f>
        <v/>
      </c>
      <c r="V108" s="108">
        <f>1-AH108</f>
        <v/>
      </c>
      <c r="W108" s="108">
        <f>1-AI108</f>
        <v/>
      </c>
      <c r="X108" s="108">
        <f>ABS(AJ108-AJ$1)</f>
        <v/>
      </c>
      <c r="Y108" s="108">
        <f>AVERAGE(Z108:AB108)</f>
        <v/>
      </c>
      <c r="Z108" s="108">
        <f>ABS(AL108-AL$1)</f>
        <v/>
      </c>
      <c r="AA108" s="108">
        <f>ABS(AM108-AM$1)</f>
        <v/>
      </c>
      <c r="AB108" s="108">
        <f>ABS(AN108-AN$1)</f>
        <v/>
      </c>
      <c r="AC108" s="108" t="n"/>
      <c r="AD108" s="108" t="n"/>
      <c r="AE108" s="108">
        <f>ABS(AQ$1-AQ108)</f>
        <v/>
      </c>
      <c r="AF108" s="108">
        <f>ABS(AR$1-AR108)</f>
        <v/>
      </c>
      <c r="AG108" s="108">
        <f>ABS(AS$1-AS108)</f>
        <v/>
      </c>
      <c r="AH108" s="108">
        <f>ABS(AT$1-AT108)</f>
        <v/>
      </c>
      <c r="AI108" s="108">
        <f>ABS(AU$1-AU108)</f>
        <v/>
      </c>
      <c r="AJ108" s="108">
        <f>(AV108-Driver!$K$179)/(Driver!$L$179-Driver!$K$179)</f>
        <v/>
      </c>
      <c r="AK108" s="108">
        <f>(AW108-Driver!$K$180)/(Driver!$L$180-Driver!$K$180)</f>
        <v/>
      </c>
      <c r="AL108" s="108">
        <f>(AX108-Driver!$K$181)/(Driver!$L$181-Driver!$K$181)</f>
        <v/>
      </c>
      <c r="AM108" s="108">
        <f>(AY108-Driver!$K$182)/(Driver!$L$182-Driver!$K$182)</f>
        <v/>
      </c>
      <c r="AN108" s="108">
        <f>(AZ108-Driver!$K$183)/(Driver!$L$183-Driver!$K$183)</f>
        <v/>
      </c>
      <c r="AO108" s="108" t="n"/>
      <c r="AP108" s="108" t="n"/>
      <c r="AQ108" s="108">
        <f>(BC108-Driver!$K$188)/(Driver!$L$188-Driver!$K$188)</f>
        <v/>
      </c>
      <c r="AR108" s="108">
        <f>MIN((BD108-Driver!$K$189)/(Driver!$L$189-Driver!$K$189),100%)</f>
        <v/>
      </c>
      <c r="AS108" s="108">
        <f>(BE108-Driver!$K$190)/(Driver!$L$190-Driver!$K$190)</f>
        <v/>
      </c>
      <c r="AT108" s="108">
        <f>(BF108-Driver!$K$191)/(Driver!$L$191-Driver!$K$191)</f>
        <v/>
      </c>
      <c r="AU108" s="108">
        <f>(BG108-Driver!$K$192)/(Driver!$L$192-Driver!$K$192)</f>
        <v/>
      </c>
      <c r="AV108" s="105">
        <f>IFERROR(BM108*BJ108^1/4,"")</f>
        <v/>
      </c>
      <c r="AW108" s="105">
        <f>IFERROR(SUM(AX108:AZ108),"")</f>
        <v/>
      </c>
      <c r="AX108" s="105">
        <f>IFERROR(BH108,"")</f>
        <v/>
      </c>
      <c r="AY108" s="105">
        <f>IFERROR(Driver!$K$19/Data!BH108/Data!BI108*Data!BK108*Data!BL108,"")</f>
        <v/>
      </c>
      <c r="AZ108" s="105">
        <f>IFERROR(BI108*BN108,"")</f>
        <v/>
      </c>
      <c r="BA108" s="105" t="n"/>
      <c r="BB108" s="105" t="n"/>
      <c r="BC108" s="105">
        <f>IFERROR(BI108*BN108*BK108/BJ108^(1/2),"")</f>
        <v/>
      </c>
      <c r="BD108" s="105">
        <f>IFERROR(BH108*BM108*BL108/BJ108/BK108,"")</f>
        <v/>
      </c>
      <c r="BE108" s="105">
        <f>IFERROR(MIN(BI108/BQ108/BP108/BO108/BH108,$BE$1),"")</f>
        <v/>
      </c>
      <c r="BF108" s="105">
        <f>IFERROR(BJ108*BO108*BP108/BK108,"")</f>
        <v/>
      </c>
      <c r="BG108" s="105">
        <f>IFERROR(1/BM108/BH108*BQ108,"")</f>
        <v/>
      </c>
      <c r="BH108" s="102">
        <f>MAX((CE108-Driver!$F$200)/(Driver!$G$200-Driver!$F$200)*$BI$1,1)</f>
        <v/>
      </c>
      <c r="BI108" s="102">
        <f>MAX($BI$1*(BY108-Driver!$F$201)/(Driver!$G$201-Driver!$F$201),1)</f>
        <v/>
      </c>
      <c r="BJ108" s="102">
        <f>(CB108-Driver!$F$206)/(Driver!$G$206-Driver!$F$206)*$BI$1</f>
        <v/>
      </c>
      <c r="BK108" s="102">
        <f>(CD108-Driver!$F$203)/(Driver!$G$203-Driver!$F$203)*$BI$1</f>
        <v/>
      </c>
      <c r="BL108" s="102">
        <f>MAX((CR108-Driver!$F$202)/(Driver!$G$202-Driver!$F$202)*$BI$1,1)</f>
        <v/>
      </c>
      <c r="BM108" s="102">
        <f>MAX((CH108-Driver!$F$204)/(Driver!$G$204-Driver!$F$204)*$BI$1,1)</f>
        <v/>
      </c>
      <c r="BN108" s="102">
        <f>(CI108-Driver!$F$205)/(Driver!$G$205-Driver!$F$205)*$BI$1</f>
        <v/>
      </c>
      <c r="BO108" s="102">
        <f>(CK108-Driver!$F$207)/(Driver!$G$207-Driver!$F$207)*$BI$1</f>
        <v/>
      </c>
      <c r="BP108" s="102">
        <f>(CM108-Driver!$F$208)/(Driver!$G$208-Driver!$F$208)*$BI$1</f>
        <v/>
      </c>
      <c r="BQ108" s="102">
        <f>(CL108-Driver!$F$209)/(Driver!$G$209-Driver!$F$209)*$BI$1</f>
        <v/>
      </c>
      <c r="BR108" s="40" t="inlineStr">
        <is>
          <t>21/22</t>
        </is>
      </c>
      <c r="BS108" s="10" t="inlineStr">
        <is>
          <t xml:space="preserve"> Ferreol</t>
        </is>
      </c>
      <c r="BT108" s="11" t="inlineStr">
        <is>
          <t>Explo 96</t>
        </is>
      </c>
      <c r="BU108" s="13" t="n">
        <v>182</v>
      </c>
      <c r="BV108" s="11" t="inlineStr">
        <is>
          <t xml:space="preserve"> Unisex</t>
        </is>
      </c>
      <c r="BW108" s="13" t="n">
        <v>182</v>
      </c>
      <c r="BX108" s="13" t="n">
        <v>179.8</v>
      </c>
      <c r="BY108" s="13" t="n">
        <v>134</v>
      </c>
      <c r="BZ108" s="13" t="n">
        <v>152</v>
      </c>
      <c r="CA108" s="13" t="n">
        <v>130</v>
      </c>
      <c r="CB108" s="13" t="n">
        <v>97</v>
      </c>
      <c r="CC108" s="13" t="n">
        <v>120</v>
      </c>
      <c r="CD108" s="13" t="n">
        <v>17</v>
      </c>
      <c r="CE108" s="13" t="n">
        <v>1714</v>
      </c>
      <c r="CF108" s="13" t="n">
        <v>1.15</v>
      </c>
      <c r="CG108" s="13" t="n">
        <v>1972</v>
      </c>
      <c r="CH108" s="13" t="n">
        <v>195</v>
      </c>
      <c r="CI108" s="13" t="n">
        <v>90</v>
      </c>
      <c r="CJ108" s="13" t="n">
        <v>56</v>
      </c>
      <c r="CK108" s="13" t="n">
        <v>266</v>
      </c>
      <c r="CL108" s="13" t="n">
        <v>28</v>
      </c>
      <c r="CM108" s="13" t="n">
        <v>187</v>
      </c>
      <c r="CN108" s="13" t="n">
        <v>0.501</v>
      </c>
      <c r="CO108" s="13" t="n">
        <v>160</v>
      </c>
      <c r="CP108" s="13" t="n">
        <v>117</v>
      </c>
      <c r="CQ108" s="13" t="n">
        <v>106</v>
      </c>
      <c r="CR108" s="13" t="n">
        <v>11</v>
      </c>
      <c r="CS108" s="13" t="n">
        <v>8</v>
      </c>
      <c r="CT108" s="11" t="inlineStr">
        <is>
          <t xml:space="preserve"> Resort Freeride</t>
        </is>
      </c>
      <c r="CU108" s="11" t="inlineStr">
        <is>
          <t xml:space="preserve"> Touring</t>
        </is>
      </c>
      <c r="CV108" s="13" t="n"/>
      <c r="CW108" s="13" t="n"/>
      <c r="CX108">
        <f>INDEX('Data_Price '!AG$2:AG$1266,MATCH(Data!$DN108,'Data_Price '!$AT$2:$AT$1266,0))</f>
        <v/>
      </c>
      <c r="CY108">
        <f>INDEX('Data_Price '!AH$2:AH$1266,MATCH(Data!$DN108,'Data_Price '!$AT$2:$AT$1266,0))</f>
        <v/>
      </c>
      <c r="CZ108">
        <f>INDEX('Data_Price '!AI$2:AI$1266,MATCH(Data!$DN108,'Data_Price '!$AT$2:$AT$1266,0))</f>
        <v/>
      </c>
      <c r="DA108">
        <f>INDEX('Data_Price '!AJ$2:AJ$1266,MATCH(Data!$DN108,'Data_Price '!$AT$2:$AT$1266,0))</f>
        <v/>
      </c>
      <c r="DB108">
        <f>INDEX('Data_Price '!AK$2:AK$1266,MATCH(Data!$DN108,'Data_Price '!$AT$2:$AT$1266,0))</f>
        <v/>
      </c>
      <c r="DC108">
        <f>INDEX('Data_Price '!AL$2:AL$1266,MATCH(Data!$DN108,'Data_Price '!$AT$2:$AT$1266,0))</f>
        <v/>
      </c>
      <c r="DD108">
        <f>INDEX('Data_Price '!AM$2:AM$1266,MATCH(Data!$DN108,'Data_Price '!$AT$2:$AT$1266,0))</f>
        <v/>
      </c>
      <c r="DE108">
        <f>INDEX('Data_Price '!AN$2:AN$1266,MATCH(Data!$DN108,'Data_Price '!$AT$2:$AT$1266,0))</f>
        <v/>
      </c>
      <c r="DF108">
        <f>INDEX('Data_Price '!AO$2:AO$1266,MATCH(Data!$DN108,'Data_Price '!$AT$2:$AT$1266,0))</f>
        <v/>
      </c>
      <c r="DG108">
        <f>INDEX('Data_Price '!AP$2:AP$1266,MATCH(Data!$DN108,'Data_Price '!$AT$2:$AT$1266,0))</f>
        <v/>
      </c>
      <c r="DH108">
        <f>INDEX('Data_Price '!AQ$2:AQ$1266,MATCH(Data!$DN108,'Data_Price '!$AT$2:$AT$1266,0))</f>
        <v/>
      </c>
      <c r="DI108">
        <f>INDEX('Data_Price '!AR$2:AR$1266,MATCH(Data!$DN108,'Data_Price '!$AT$2:$AT$1266,0))</f>
        <v/>
      </c>
      <c r="DJ108" s="138">
        <f>DA108</f>
        <v/>
      </c>
      <c r="DK108" s="138">
        <f>DE108</f>
        <v/>
      </c>
      <c r="DL108" s="138">
        <f>DI108</f>
        <v/>
      </c>
      <c r="DM108" s="303">
        <f>IF(LEFT(BT108,1)=" ",RIGHT(BT108,LEN(BT108)-1),BT108)</f>
        <v/>
      </c>
      <c r="DN108" s="138">
        <f>_xlfn.CONCAT(BS108,DM108,BU108,BV108)</f>
        <v/>
      </c>
      <c r="DO108" s="307" t="n"/>
    </row>
    <row r="109" ht="15.6" customHeight="1" s="184">
      <c r="B109" s="303">
        <f t="array" ref="B109">IF(OR(ISERROR(K109:P109)),FALSE,TRUE)</f>
        <v/>
      </c>
      <c r="C109" s="60">
        <f>OR(BR109=Driver!$G$50,Data!BR222=Driver!$H$50)</f>
        <v/>
      </c>
      <c r="D109" s="60">
        <f>OR(BV109=Driver!$G$51,BV109=Driver!$H$51)</f>
        <v/>
      </c>
      <c r="E109" s="60">
        <f>AND(BX109&gt;Driver!$F$54,BX109&lt;Driver!$G$54)</f>
        <v/>
      </c>
      <c r="F109" s="60">
        <f>CL109&gt;Driver!$F$56</f>
        <v/>
      </c>
      <c r="G109" s="60">
        <f>AND(CB109&gt;Driver!$F$55,CB109&lt;Driver!$G$55)</f>
        <v/>
      </c>
      <c r="H109" s="60">
        <f>AND(B109:G109)</f>
        <v/>
      </c>
      <c r="I109" s="60">
        <f>COUNTIFS($H$9:$H$1273,TRUE,$BT$9:$BT$1273,BT109)</f>
        <v/>
      </c>
      <c r="J109" s="60">
        <f t="array" ref="J109">NOT(OR(($H$9:$H$1273=TRUE)*($I$9:$I$1273&gt;0)*($BT$9:$BT$1273=BT109)*($K$9:$K$1273&gt;K109)))</f>
        <v/>
      </c>
      <c r="K109" s="108">
        <f>IFERROR(1-AVERAGE(X109:Y109),"")</f>
        <v/>
      </c>
      <c r="L109" s="108">
        <f>1-X109</f>
        <v/>
      </c>
      <c r="M109" s="108">
        <f>1-Y109</f>
        <v/>
      </c>
      <c r="N109" s="108">
        <f>1-Z109</f>
        <v/>
      </c>
      <c r="O109" s="108">
        <f>1-AA109</f>
        <v/>
      </c>
      <c r="P109" s="108">
        <f>1-AB109</f>
        <v/>
      </c>
      <c r="Q109" s="108" t="n"/>
      <c r="R109" s="108" t="n"/>
      <c r="S109" s="108">
        <f>1-AE109</f>
        <v/>
      </c>
      <c r="T109" s="108">
        <f>1-AF109</f>
        <v/>
      </c>
      <c r="U109" s="108">
        <f>1-AG109</f>
        <v/>
      </c>
      <c r="V109" s="108">
        <f>1-AH109</f>
        <v/>
      </c>
      <c r="W109" s="108">
        <f>1-AI109</f>
        <v/>
      </c>
      <c r="X109" s="108">
        <f>ABS(AJ109-AJ$1)</f>
        <v/>
      </c>
      <c r="Y109" s="108">
        <f>AVERAGE(Z109:AB109)</f>
        <v/>
      </c>
      <c r="Z109" s="108">
        <f>ABS(AL109-AL$1)</f>
        <v/>
      </c>
      <c r="AA109" s="108">
        <f>ABS(AM109-AM$1)</f>
        <v/>
      </c>
      <c r="AB109" s="108">
        <f>ABS(AN109-AN$1)</f>
        <v/>
      </c>
      <c r="AC109" s="108" t="n"/>
      <c r="AD109" s="108" t="n"/>
      <c r="AE109" s="108">
        <f>ABS(AQ$1-AQ109)</f>
        <v/>
      </c>
      <c r="AF109" s="108">
        <f>ABS(AR$1-AR109)</f>
        <v/>
      </c>
      <c r="AG109" s="108">
        <f>ABS(AS$1-AS109)</f>
        <v/>
      </c>
      <c r="AH109" s="108">
        <f>ABS(AT$1-AT109)</f>
        <v/>
      </c>
      <c r="AI109" s="108">
        <f>ABS(AU$1-AU109)</f>
        <v/>
      </c>
      <c r="AJ109" s="108">
        <f>(AV109-Driver!$K$179)/(Driver!$L$179-Driver!$K$179)</f>
        <v/>
      </c>
      <c r="AK109" s="108">
        <f>(AW109-Driver!$K$180)/(Driver!$L$180-Driver!$K$180)</f>
        <v/>
      </c>
      <c r="AL109" s="108">
        <f>(AX109-Driver!$K$181)/(Driver!$L$181-Driver!$K$181)</f>
        <v/>
      </c>
      <c r="AM109" s="108">
        <f>(AY109-Driver!$K$182)/(Driver!$L$182-Driver!$K$182)</f>
        <v/>
      </c>
      <c r="AN109" s="108">
        <f>(AZ109-Driver!$K$183)/(Driver!$L$183-Driver!$K$183)</f>
        <v/>
      </c>
      <c r="AO109" s="108" t="n"/>
      <c r="AP109" s="108" t="n"/>
      <c r="AQ109" s="108">
        <f>(BC109-Driver!$K$188)/(Driver!$L$188-Driver!$K$188)</f>
        <v/>
      </c>
      <c r="AR109" s="108">
        <f>MIN((BD109-Driver!$K$189)/(Driver!$L$189-Driver!$K$189),100%)</f>
        <v/>
      </c>
      <c r="AS109" s="108">
        <f>(BE109-Driver!$K$190)/(Driver!$L$190-Driver!$K$190)</f>
        <v/>
      </c>
      <c r="AT109" s="108">
        <f>(BF109-Driver!$K$191)/(Driver!$L$191-Driver!$K$191)</f>
        <v/>
      </c>
      <c r="AU109" s="108">
        <f>(BG109-Driver!$K$192)/(Driver!$L$192-Driver!$K$192)</f>
        <v/>
      </c>
      <c r="AV109" s="105">
        <f>IFERROR(BM109*BJ109^1/4,"")</f>
        <v/>
      </c>
      <c r="AW109" s="105">
        <f>IFERROR(SUM(AX109:AZ109),"")</f>
        <v/>
      </c>
      <c r="AX109" s="105">
        <f>IFERROR(BH109,"")</f>
        <v/>
      </c>
      <c r="AY109" s="105">
        <f>IFERROR(Driver!$K$19/Data!BH109/Data!BI109*Data!BK109*Data!BL109,"")</f>
        <v/>
      </c>
      <c r="AZ109" s="105">
        <f>IFERROR(BI109*BN109,"")</f>
        <v/>
      </c>
      <c r="BA109" s="105" t="n"/>
      <c r="BB109" s="105" t="n"/>
      <c r="BC109" s="105">
        <f>IFERROR(BI109*BN109*BK109/BJ109^(1/2),"")</f>
        <v/>
      </c>
      <c r="BD109" s="105">
        <f>IFERROR(BH109*BM109*BL109/BJ109/BK109,"")</f>
        <v/>
      </c>
      <c r="BE109" s="105">
        <f>IFERROR(MIN(BI109/BQ109/BP109/BO109/BH109,$BE$1),"")</f>
        <v/>
      </c>
      <c r="BF109" s="105">
        <f>IFERROR(BJ109*BO109*BP109/BK109,"")</f>
        <v/>
      </c>
      <c r="BG109" s="105">
        <f>IFERROR(1/BM109/BH109*BQ109,"")</f>
        <v/>
      </c>
      <c r="BH109" s="102">
        <f>MAX((CE109-Driver!$F$200)/(Driver!$G$200-Driver!$F$200)*$BI$1,1)</f>
        <v/>
      </c>
      <c r="BI109" s="102">
        <f>MAX($BI$1*(BY109-Driver!$F$201)/(Driver!$G$201-Driver!$F$201),1)</f>
        <v/>
      </c>
      <c r="BJ109" s="102">
        <f>(CB109-Driver!$F$206)/(Driver!$G$206-Driver!$F$206)*$BI$1</f>
        <v/>
      </c>
      <c r="BK109" s="102">
        <f>(CD109-Driver!$F$203)/(Driver!$G$203-Driver!$F$203)*$BI$1</f>
        <v/>
      </c>
      <c r="BL109" s="102">
        <f>MAX((CR109-Driver!$F$202)/(Driver!$G$202-Driver!$F$202)*$BI$1,1)</f>
        <v/>
      </c>
      <c r="BM109" s="102">
        <f>MAX((CH109-Driver!$F$204)/(Driver!$G$204-Driver!$F$204)*$BI$1,1)</f>
        <v/>
      </c>
      <c r="BN109" s="102">
        <f>(CI109-Driver!$F$205)/(Driver!$G$205-Driver!$F$205)*$BI$1</f>
        <v/>
      </c>
      <c r="BO109" s="102">
        <f>(CK109-Driver!$F$207)/(Driver!$G$207-Driver!$F$207)*$BI$1</f>
        <v/>
      </c>
      <c r="BP109" s="102">
        <f>(CM109-Driver!$F$208)/(Driver!$G$208-Driver!$F$208)*$BI$1</f>
        <v/>
      </c>
      <c r="BQ109" s="102">
        <f>(CL109-Driver!$F$209)/(Driver!$G$209-Driver!$F$209)*$BI$1</f>
        <v/>
      </c>
      <c r="BR109" s="40" t="inlineStr">
        <is>
          <t>21/22</t>
        </is>
      </c>
      <c r="BS109" s="10" t="inlineStr">
        <is>
          <t xml:space="preserve"> Black Crows</t>
        </is>
      </c>
      <c r="BT109" s="11" t="inlineStr">
        <is>
          <t xml:space="preserve"> Divus</t>
        </is>
      </c>
      <c r="BU109" s="13" t="n">
        <v>172.1</v>
      </c>
      <c r="BV109" s="11" t="inlineStr">
        <is>
          <t xml:space="preserve"> Unisex</t>
        </is>
      </c>
      <c r="BW109" s="13" t="n">
        <v>172.1</v>
      </c>
      <c r="BX109" s="13" t="n">
        <v>171.1</v>
      </c>
      <c r="BY109" s="13" t="n">
        <v>136</v>
      </c>
      <c r="BZ109" s="13" t="n">
        <v>151</v>
      </c>
      <c r="CA109" s="13" t="n">
        <v>123</v>
      </c>
      <c r="CB109" s="13" t="n">
        <v>81</v>
      </c>
      <c r="CC109" s="13" t="n">
        <v>109</v>
      </c>
      <c r="CD109" s="13" t="n">
        <v>15.9</v>
      </c>
      <c r="CE109" s="13" t="n">
        <v>1580</v>
      </c>
      <c r="CF109" s="13" t="n">
        <v>1.02</v>
      </c>
      <c r="CG109" s="13" t="n">
        <v>1614</v>
      </c>
      <c r="CH109" s="13" t="n">
        <v>183</v>
      </c>
      <c r="CI109" s="13" t="n">
        <v>97</v>
      </c>
      <c r="CJ109" s="13" t="n">
        <v>36</v>
      </c>
      <c r="CK109" s="13" t="n">
        <v>199</v>
      </c>
      <c r="CL109" s="13" t="n">
        <v>17</v>
      </c>
      <c r="CM109" s="13" t="n">
        <v>157</v>
      </c>
      <c r="CN109" s="13" t="n">
        <v>0.476</v>
      </c>
      <c r="CO109" s="13" t="n">
        <v>113</v>
      </c>
      <c r="CP109" s="13" t="n">
        <v>84</v>
      </c>
      <c r="CQ109" s="13" t="n">
        <v>86</v>
      </c>
      <c r="CR109" s="13" t="n">
        <v>7</v>
      </c>
      <c r="CS109" s="13" t="n">
        <v>10.4</v>
      </c>
      <c r="CT109" s="11" t="inlineStr">
        <is>
          <t xml:space="preserve"> Resort Freeride</t>
        </is>
      </c>
      <c r="CU109" s="13" t="n"/>
      <c r="CV109" s="13" t="n"/>
      <c r="CW109" s="13" t="n"/>
      <c r="CX109">
        <f>INDEX('Data_Price '!AG$2:AG$1266,MATCH(Data!$DN109,'Data_Price '!$AT$2:$AT$1266,0))</f>
        <v/>
      </c>
      <c r="CY109">
        <f>INDEX('Data_Price '!AH$2:AH$1266,MATCH(Data!$DN109,'Data_Price '!$AT$2:$AT$1266,0))</f>
        <v/>
      </c>
      <c r="CZ109">
        <f>INDEX('Data_Price '!AI$2:AI$1266,MATCH(Data!$DN109,'Data_Price '!$AT$2:$AT$1266,0))</f>
        <v/>
      </c>
      <c r="DA109">
        <f>INDEX('Data_Price '!AJ$2:AJ$1266,MATCH(Data!$DN109,'Data_Price '!$AT$2:$AT$1266,0))</f>
        <v/>
      </c>
      <c r="DB109">
        <f>INDEX('Data_Price '!AK$2:AK$1266,MATCH(Data!$DN109,'Data_Price '!$AT$2:$AT$1266,0))</f>
        <v/>
      </c>
      <c r="DC109">
        <f>INDEX('Data_Price '!AL$2:AL$1266,MATCH(Data!$DN109,'Data_Price '!$AT$2:$AT$1266,0))</f>
        <v/>
      </c>
      <c r="DD109">
        <f>INDEX('Data_Price '!AM$2:AM$1266,MATCH(Data!$DN109,'Data_Price '!$AT$2:$AT$1266,0))</f>
        <v/>
      </c>
      <c r="DE109">
        <f>INDEX('Data_Price '!AN$2:AN$1266,MATCH(Data!$DN109,'Data_Price '!$AT$2:$AT$1266,0))</f>
        <v/>
      </c>
      <c r="DF109">
        <f>INDEX('Data_Price '!AO$2:AO$1266,MATCH(Data!$DN109,'Data_Price '!$AT$2:$AT$1266,0))</f>
        <v/>
      </c>
      <c r="DG109">
        <f>INDEX('Data_Price '!AP$2:AP$1266,MATCH(Data!$DN109,'Data_Price '!$AT$2:$AT$1266,0))</f>
        <v/>
      </c>
      <c r="DH109">
        <f>INDEX('Data_Price '!AQ$2:AQ$1266,MATCH(Data!$DN109,'Data_Price '!$AT$2:$AT$1266,0))</f>
        <v/>
      </c>
      <c r="DI109">
        <f>INDEX('Data_Price '!AR$2:AR$1266,MATCH(Data!$DN109,'Data_Price '!$AT$2:$AT$1266,0))</f>
        <v/>
      </c>
      <c r="DJ109" s="138">
        <f>DA109</f>
        <v/>
      </c>
      <c r="DK109" s="138">
        <f>DE109</f>
        <v/>
      </c>
      <c r="DL109" s="138">
        <f>DI109</f>
        <v/>
      </c>
      <c r="DM109" s="303">
        <f>IF(LEFT(BT109,1)=" ",RIGHT(BT109,LEN(BT109)-1),BT109)</f>
        <v/>
      </c>
      <c r="DN109" s="138">
        <f>_xlfn.CONCAT(BS109,DM109,BU109,BV109)</f>
        <v/>
      </c>
      <c r="DO109" s="307" t="inlineStr">
        <is>
          <t>https://images.evo.com/imgp/250/164647/709941/clone.jpg</t>
        </is>
      </c>
    </row>
    <row r="110" ht="15.6" customHeight="1" s="184">
      <c r="B110" s="303">
        <f t="array" ref="B110">IF(OR(ISERROR(K110:P110)),FALSE,TRUE)</f>
        <v/>
      </c>
      <c r="C110" s="60">
        <f>OR(BR110=Driver!$G$50,Data!BR498=Driver!$H$50)</f>
        <v/>
      </c>
      <c r="D110" s="60">
        <f>OR(BV110=Driver!$G$51,BV110=Driver!$H$51)</f>
        <v/>
      </c>
      <c r="E110" s="60">
        <f>AND(BX110&gt;Driver!$F$54,BX110&lt;Driver!$G$54)</f>
        <v/>
      </c>
      <c r="F110" s="60">
        <f>CL110&gt;Driver!$F$56</f>
        <v/>
      </c>
      <c r="G110" s="60">
        <f>AND(CB110&gt;Driver!$F$55,CB110&lt;Driver!$G$55)</f>
        <v/>
      </c>
      <c r="H110" s="60">
        <f>AND(B110:G110)</f>
        <v/>
      </c>
      <c r="I110" s="60">
        <f>COUNTIFS($H$9:$H$1273,TRUE,$BT$9:$BT$1273,BT110)</f>
        <v/>
      </c>
      <c r="J110" s="60">
        <f t="array" ref="J110">NOT(OR(($H$9:$H$1273=TRUE)*($I$9:$I$1273&gt;0)*($BT$9:$BT$1273=BT110)*($K$9:$K$1273&gt;K110)))</f>
        <v/>
      </c>
      <c r="K110" s="108">
        <f>IFERROR(1-AVERAGE(X110:Y110),"")</f>
        <v/>
      </c>
      <c r="L110" s="108">
        <f>1-X110</f>
        <v/>
      </c>
      <c r="M110" s="108">
        <f>1-Y110</f>
        <v/>
      </c>
      <c r="N110" s="108">
        <f>1-Z110</f>
        <v/>
      </c>
      <c r="O110" s="108">
        <f>1-AA110</f>
        <v/>
      </c>
      <c r="P110" s="108">
        <f>1-AB110</f>
        <v/>
      </c>
      <c r="Q110" s="108" t="n"/>
      <c r="R110" s="108" t="n"/>
      <c r="S110" s="108">
        <f>1-AE110</f>
        <v/>
      </c>
      <c r="T110" s="108">
        <f>1-AF110</f>
        <v/>
      </c>
      <c r="U110" s="108">
        <f>1-AG110</f>
        <v/>
      </c>
      <c r="V110" s="108">
        <f>1-AH110</f>
        <v/>
      </c>
      <c r="W110" s="108">
        <f>1-AI110</f>
        <v/>
      </c>
      <c r="X110" s="108">
        <f>ABS(AJ110-AJ$1)</f>
        <v/>
      </c>
      <c r="Y110" s="108">
        <f>AVERAGE(Z110:AB110)</f>
        <v/>
      </c>
      <c r="Z110" s="108">
        <f>ABS(AL110-AL$1)</f>
        <v/>
      </c>
      <c r="AA110" s="108">
        <f>ABS(AM110-AM$1)</f>
        <v/>
      </c>
      <c r="AB110" s="108">
        <f>ABS(AN110-AN$1)</f>
        <v/>
      </c>
      <c r="AC110" s="108" t="n"/>
      <c r="AD110" s="108" t="n"/>
      <c r="AE110" s="108">
        <f>ABS(AQ$1-AQ110)</f>
        <v/>
      </c>
      <c r="AF110" s="108">
        <f>ABS(AR$1-AR110)</f>
        <v/>
      </c>
      <c r="AG110" s="108">
        <f>ABS(AS$1-AS110)</f>
        <v/>
      </c>
      <c r="AH110" s="108">
        <f>ABS(AT$1-AT110)</f>
        <v/>
      </c>
      <c r="AI110" s="108">
        <f>ABS(AU$1-AU110)</f>
        <v/>
      </c>
      <c r="AJ110" s="108">
        <f>(AV110-Driver!$K$179)/(Driver!$L$179-Driver!$K$179)</f>
        <v/>
      </c>
      <c r="AK110" s="108">
        <f>(AW110-Driver!$K$180)/(Driver!$L$180-Driver!$K$180)</f>
        <v/>
      </c>
      <c r="AL110" s="108">
        <f>(AX110-Driver!$K$181)/(Driver!$L$181-Driver!$K$181)</f>
        <v/>
      </c>
      <c r="AM110" s="108">
        <f>(AY110-Driver!$K$182)/(Driver!$L$182-Driver!$K$182)</f>
        <v/>
      </c>
      <c r="AN110" s="108">
        <f>(AZ110-Driver!$K$183)/(Driver!$L$183-Driver!$K$183)</f>
        <v/>
      </c>
      <c r="AO110" s="108" t="n"/>
      <c r="AP110" s="108" t="n"/>
      <c r="AQ110" s="108">
        <f>(BC110-Driver!$K$188)/(Driver!$L$188-Driver!$K$188)</f>
        <v/>
      </c>
      <c r="AR110" s="108">
        <f>MIN((BD110-Driver!$K$189)/(Driver!$L$189-Driver!$K$189),100%)</f>
        <v/>
      </c>
      <c r="AS110" s="108">
        <f>(BE110-Driver!$K$190)/(Driver!$L$190-Driver!$K$190)</f>
        <v/>
      </c>
      <c r="AT110" s="108">
        <f>(BF110-Driver!$K$191)/(Driver!$L$191-Driver!$K$191)</f>
        <v/>
      </c>
      <c r="AU110" s="108">
        <f>(BG110-Driver!$K$192)/(Driver!$L$192-Driver!$K$192)</f>
        <v/>
      </c>
      <c r="AV110" s="105">
        <f>IFERROR(BM110*BJ110^1/4,"")</f>
        <v/>
      </c>
      <c r="AW110" s="105">
        <f>IFERROR(SUM(AX110:AZ110),"")</f>
        <v/>
      </c>
      <c r="AX110" s="105">
        <f>IFERROR(BH110,"")</f>
        <v/>
      </c>
      <c r="AY110" s="105">
        <f>IFERROR(Driver!$K$19/Data!BH110/Data!BI110*Data!BK110*Data!BL110,"")</f>
        <v/>
      </c>
      <c r="AZ110" s="105">
        <f>IFERROR(BI110*BN110,"")</f>
        <v/>
      </c>
      <c r="BA110" s="105" t="n"/>
      <c r="BB110" s="105" t="n"/>
      <c r="BC110" s="105">
        <f>IFERROR(BI110*BN110*BK110/BJ110^(1/2),"")</f>
        <v/>
      </c>
      <c r="BD110" s="105">
        <f>IFERROR(BH110*BM110*BL110/BJ110/BK110,"")</f>
        <v/>
      </c>
      <c r="BE110" s="105">
        <f>IFERROR(MIN(BI110/BQ110/BP110/BO110/BH110,$BE$1),"")</f>
        <v/>
      </c>
      <c r="BF110" s="105">
        <f>IFERROR(BJ110*BO110*BP110/BK110,"")</f>
        <v/>
      </c>
      <c r="BG110" s="105">
        <f>IFERROR(1/BM110/BH110*BQ110,"")</f>
        <v/>
      </c>
      <c r="BH110" s="102">
        <f>MAX((CE110-Driver!$F$200)/(Driver!$G$200-Driver!$F$200)*$BI$1,1)</f>
        <v/>
      </c>
      <c r="BI110" s="102">
        <f>MAX($BI$1*(BY110-Driver!$F$201)/(Driver!$G$201-Driver!$F$201),1)</f>
        <v/>
      </c>
      <c r="BJ110" s="102">
        <f>(CB110-Driver!$F$206)/(Driver!$G$206-Driver!$F$206)*$BI$1</f>
        <v/>
      </c>
      <c r="BK110" s="102">
        <f>(CD110-Driver!$F$203)/(Driver!$G$203-Driver!$F$203)*$BI$1</f>
        <v/>
      </c>
      <c r="BL110" s="102">
        <f>MAX((CR110-Driver!$F$202)/(Driver!$G$202-Driver!$F$202)*$BI$1,1)</f>
        <v/>
      </c>
      <c r="BM110" s="102">
        <f>MAX((CH110-Driver!$F$204)/(Driver!$G$204-Driver!$F$204)*$BI$1,1)</f>
        <v/>
      </c>
      <c r="BN110" s="102">
        <f>(CI110-Driver!$F$205)/(Driver!$G$205-Driver!$F$205)*$BI$1</f>
        <v/>
      </c>
      <c r="BO110" s="102">
        <f>(CK110-Driver!$F$207)/(Driver!$G$207-Driver!$F$207)*$BI$1</f>
        <v/>
      </c>
      <c r="BP110" s="102">
        <f>(CM110-Driver!$F$208)/(Driver!$G$208-Driver!$F$208)*$BI$1</f>
        <v/>
      </c>
      <c r="BQ110" s="102">
        <f>(CL110-Driver!$F$209)/(Driver!$G$209-Driver!$F$209)*$BI$1</f>
        <v/>
      </c>
      <c r="BR110" s="40" t="inlineStr">
        <is>
          <t>21/22</t>
        </is>
      </c>
      <c r="BS110" s="10" t="inlineStr">
        <is>
          <t xml:space="preserve"> Faction</t>
        </is>
      </c>
      <c r="BT110" s="11" t="inlineStr">
        <is>
          <t>Agent 3.0 X</t>
        </is>
      </c>
      <c r="BU110" s="13" t="n">
        <v>172</v>
      </c>
      <c r="BV110" s="11" t="inlineStr">
        <is>
          <t xml:space="preserve"> Women's</t>
        </is>
      </c>
      <c r="BW110" s="13" t="n">
        <v>172</v>
      </c>
      <c r="BX110" s="13" t="n">
        <v>170.6</v>
      </c>
      <c r="BY110" s="13" t="n">
        <v>123</v>
      </c>
      <c r="BZ110" s="13" t="n">
        <v>139</v>
      </c>
      <c r="CA110" s="13" t="n">
        <v>134</v>
      </c>
      <c r="CB110" s="13" t="n">
        <v>106</v>
      </c>
      <c r="CC110" s="13" t="n">
        <v>124</v>
      </c>
      <c r="CD110" s="13" t="n">
        <v>19</v>
      </c>
      <c r="CE110" s="13" t="n">
        <v>1685</v>
      </c>
      <c r="CF110" s="13" t="n">
        <v>1.16</v>
      </c>
      <c r="CG110" s="13" t="n">
        <v>1962</v>
      </c>
      <c r="CH110" s="13" t="n">
        <v>218</v>
      </c>
      <c r="CI110" s="13" t="n">
        <v>103</v>
      </c>
      <c r="CJ110" s="13" t="n">
        <v>55</v>
      </c>
      <c r="CK110" s="13" t="n">
        <v>296</v>
      </c>
      <c r="CL110" s="13" t="n">
        <v>23</v>
      </c>
      <c r="CM110" s="13" t="n">
        <v>184</v>
      </c>
      <c r="CN110" s="13" t="n">
        <v>0.419</v>
      </c>
      <c r="CO110" s="13" t="n">
        <v>194</v>
      </c>
      <c r="CP110" s="13" t="n">
        <v>121</v>
      </c>
      <c r="CQ110" s="13" t="n">
        <v>102</v>
      </c>
      <c r="CR110" s="13" t="n">
        <v>6</v>
      </c>
      <c r="CS110" s="13" t="n">
        <v>11.1</v>
      </c>
      <c r="CT110" s="11" t="inlineStr">
        <is>
          <t xml:space="preserve"> Powder</t>
        </is>
      </c>
      <c r="CU110" s="11" t="inlineStr">
        <is>
          <t xml:space="preserve"> Touring</t>
        </is>
      </c>
      <c r="CV110" s="13" t="n"/>
      <c r="CW110" s="13" t="n"/>
      <c r="CX110">
        <f>INDEX('Data_Price '!AG$2:AG$1266,MATCH(Data!$DN110,'Data_Price '!$AT$2:$AT$1266,0))</f>
        <v/>
      </c>
      <c r="CY110">
        <f>INDEX('Data_Price '!AH$2:AH$1266,MATCH(Data!$DN110,'Data_Price '!$AT$2:$AT$1266,0))</f>
        <v/>
      </c>
      <c r="CZ110">
        <f>INDEX('Data_Price '!AI$2:AI$1266,MATCH(Data!$DN110,'Data_Price '!$AT$2:$AT$1266,0))</f>
        <v/>
      </c>
      <c r="DA110">
        <f>INDEX('Data_Price '!AJ$2:AJ$1266,MATCH(Data!$DN110,'Data_Price '!$AT$2:$AT$1266,0))</f>
        <v/>
      </c>
      <c r="DB110">
        <f>INDEX('Data_Price '!AK$2:AK$1266,MATCH(Data!$DN110,'Data_Price '!$AT$2:$AT$1266,0))</f>
        <v/>
      </c>
      <c r="DC110">
        <f>INDEX('Data_Price '!AL$2:AL$1266,MATCH(Data!$DN110,'Data_Price '!$AT$2:$AT$1266,0))</f>
        <v/>
      </c>
      <c r="DD110">
        <f>INDEX('Data_Price '!AM$2:AM$1266,MATCH(Data!$DN110,'Data_Price '!$AT$2:$AT$1266,0))</f>
        <v/>
      </c>
      <c r="DE110">
        <f>INDEX('Data_Price '!AN$2:AN$1266,MATCH(Data!$DN110,'Data_Price '!$AT$2:$AT$1266,0))</f>
        <v/>
      </c>
      <c r="DF110">
        <f>INDEX('Data_Price '!AO$2:AO$1266,MATCH(Data!$DN110,'Data_Price '!$AT$2:$AT$1266,0))</f>
        <v/>
      </c>
      <c r="DG110">
        <f>INDEX('Data_Price '!AP$2:AP$1266,MATCH(Data!$DN110,'Data_Price '!$AT$2:$AT$1266,0))</f>
        <v/>
      </c>
      <c r="DH110">
        <f>INDEX('Data_Price '!AQ$2:AQ$1266,MATCH(Data!$DN110,'Data_Price '!$AT$2:$AT$1266,0))</f>
        <v/>
      </c>
      <c r="DI110">
        <f>INDEX('Data_Price '!AR$2:AR$1266,MATCH(Data!$DN110,'Data_Price '!$AT$2:$AT$1266,0))</f>
        <v/>
      </c>
      <c r="DJ110" s="138">
        <f>DA110</f>
        <v/>
      </c>
      <c r="DK110" s="138">
        <f>DE110</f>
        <v/>
      </c>
      <c r="DL110" s="138">
        <f>DI110</f>
        <v/>
      </c>
      <c r="DM110" s="303">
        <f>IF(LEFT(BT110,1)=" ",RIGHT(BT110,LEN(BT110)-1),BT110)</f>
        <v/>
      </c>
      <c r="DN110" s="138">
        <f>_xlfn.CONCAT(BS110,DM110,BU110,BV110)</f>
        <v/>
      </c>
      <c r="DO110" s="307" t="n"/>
    </row>
    <row r="111" ht="15.6" customHeight="1" s="184">
      <c r="B111" s="303">
        <f t="array" ref="B111">IF(OR(ISERROR(K111:P111)),FALSE,TRUE)</f>
        <v/>
      </c>
      <c r="C111" s="60">
        <f>OR(BR111=Driver!$G$50,Data!BR573=Driver!$H$50)</f>
        <v/>
      </c>
      <c r="D111" s="60">
        <f>OR(BV111=Driver!$G$51,BV111=Driver!$H$51)</f>
        <v/>
      </c>
      <c r="E111" s="60">
        <f>AND(BX111&gt;Driver!$F$54,BX111&lt;Driver!$G$54)</f>
        <v/>
      </c>
      <c r="F111" s="60">
        <f>CL111&gt;Driver!$F$56</f>
        <v/>
      </c>
      <c r="G111" s="60">
        <f>AND(CB111&gt;Driver!$F$55,CB111&lt;Driver!$G$55)</f>
        <v/>
      </c>
      <c r="H111" s="60">
        <f>AND(B111:G111)</f>
        <v/>
      </c>
      <c r="I111" s="60">
        <f>COUNTIFS($H$9:$H$1273,TRUE,$BT$9:$BT$1273,BT111)</f>
        <v/>
      </c>
      <c r="J111" s="60">
        <f t="array" ref="J111">NOT(OR(($H$9:$H$1273=TRUE)*($I$9:$I$1273&gt;0)*($BT$9:$BT$1273=BT111)*($K$9:$K$1273&gt;K111)))</f>
        <v/>
      </c>
      <c r="K111" s="108">
        <f>IFERROR(1-AVERAGE(X111:Y111),"")</f>
        <v/>
      </c>
      <c r="L111" s="108">
        <f>1-X111</f>
        <v/>
      </c>
      <c r="M111" s="108">
        <f>1-Y111</f>
        <v/>
      </c>
      <c r="N111" s="108">
        <f>1-Z111</f>
        <v/>
      </c>
      <c r="O111" s="108">
        <f>1-AA111</f>
        <v/>
      </c>
      <c r="P111" s="108">
        <f>1-AB111</f>
        <v/>
      </c>
      <c r="Q111" s="108" t="n"/>
      <c r="R111" s="108" t="n"/>
      <c r="S111" s="108">
        <f>1-AE111</f>
        <v/>
      </c>
      <c r="T111" s="108">
        <f>1-AF111</f>
        <v/>
      </c>
      <c r="U111" s="108">
        <f>1-AG111</f>
        <v/>
      </c>
      <c r="V111" s="108">
        <f>1-AH111</f>
        <v/>
      </c>
      <c r="W111" s="108">
        <f>1-AI111</f>
        <v/>
      </c>
      <c r="X111" s="108">
        <f>ABS(AJ111-AJ$1)</f>
        <v/>
      </c>
      <c r="Y111" s="108">
        <f>AVERAGE(Z111:AB111)</f>
        <v/>
      </c>
      <c r="Z111" s="108">
        <f>ABS(AL111-AL$1)</f>
        <v/>
      </c>
      <c r="AA111" s="108">
        <f>ABS(AM111-AM$1)</f>
        <v/>
      </c>
      <c r="AB111" s="108">
        <f>ABS(AN111-AN$1)</f>
        <v/>
      </c>
      <c r="AC111" s="108" t="n"/>
      <c r="AD111" s="108" t="n"/>
      <c r="AE111" s="108">
        <f>ABS(AQ$1-AQ111)</f>
        <v/>
      </c>
      <c r="AF111" s="108">
        <f>ABS(AR$1-AR111)</f>
        <v/>
      </c>
      <c r="AG111" s="108">
        <f>ABS(AS$1-AS111)</f>
        <v/>
      </c>
      <c r="AH111" s="108">
        <f>ABS(AT$1-AT111)</f>
        <v/>
      </c>
      <c r="AI111" s="108">
        <f>ABS(AU$1-AU111)</f>
        <v/>
      </c>
      <c r="AJ111" s="108">
        <f>(AV111-Driver!$K$179)/(Driver!$L$179-Driver!$K$179)</f>
        <v/>
      </c>
      <c r="AK111" s="108">
        <f>(AW111-Driver!$K$180)/(Driver!$L$180-Driver!$K$180)</f>
        <v/>
      </c>
      <c r="AL111" s="108">
        <f>(AX111-Driver!$K$181)/(Driver!$L$181-Driver!$K$181)</f>
        <v/>
      </c>
      <c r="AM111" s="108">
        <f>(AY111-Driver!$K$182)/(Driver!$L$182-Driver!$K$182)</f>
        <v/>
      </c>
      <c r="AN111" s="108">
        <f>(AZ111-Driver!$K$183)/(Driver!$L$183-Driver!$K$183)</f>
        <v/>
      </c>
      <c r="AO111" s="108" t="n"/>
      <c r="AP111" s="108" t="n"/>
      <c r="AQ111" s="108">
        <f>(BC111-Driver!$K$188)/(Driver!$L$188-Driver!$K$188)</f>
        <v/>
      </c>
      <c r="AR111" s="108">
        <f>MIN((BD111-Driver!$K$189)/(Driver!$L$189-Driver!$K$189),100%)</f>
        <v/>
      </c>
      <c r="AS111" s="108">
        <f>(BE111-Driver!$K$190)/(Driver!$L$190-Driver!$K$190)</f>
        <v/>
      </c>
      <c r="AT111" s="108">
        <f>(BF111-Driver!$K$191)/(Driver!$L$191-Driver!$K$191)</f>
        <v/>
      </c>
      <c r="AU111" s="108">
        <f>(BG111-Driver!$K$192)/(Driver!$L$192-Driver!$K$192)</f>
        <v/>
      </c>
      <c r="AV111" s="105">
        <f>IFERROR(BM111*BJ111^1/4,"")</f>
        <v/>
      </c>
      <c r="AW111" s="105">
        <f>IFERROR(SUM(AX111:AZ111),"")</f>
        <v/>
      </c>
      <c r="AX111" s="105">
        <f>IFERROR(BH111,"")</f>
        <v/>
      </c>
      <c r="AY111" s="105">
        <f>IFERROR(Driver!$K$19/Data!BH111/Data!BI111*Data!BK111*Data!BL111,"")</f>
        <v/>
      </c>
      <c r="AZ111" s="105">
        <f>IFERROR(BI111*BN111,"")</f>
        <v/>
      </c>
      <c r="BA111" s="105" t="n"/>
      <c r="BB111" s="105" t="n"/>
      <c r="BC111" s="105">
        <f>IFERROR(BI111*BN111*BK111/BJ111^(1/2),"")</f>
        <v/>
      </c>
      <c r="BD111" s="105">
        <f>IFERROR(BH111*BM111*BL111/BJ111/BK111,"")</f>
        <v/>
      </c>
      <c r="BE111" s="105">
        <f>IFERROR(MIN(BI111/BQ111/BP111/BO111/BH111,$BE$1),"")</f>
        <v/>
      </c>
      <c r="BF111" s="105">
        <f>IFERROR(BJ111*BO111*BP111/BK111,"")</f>
        <v/>
      </c>
      <c r="BG111" s="105">
        <f>IFERROR(1/BM111/BH111*BQ111,"")</f>
        <v/>
      </c>
      <c r="BH111" s="102">
        <f>MAX((CE111-Driver!$F$200)/(Driver!$G$200-Driver!$F$200)*$BI$1,1)</f>
        <v/>
      </c>
      <c r="BI111" s="102">
        <f>MAX($BI$1*(BY111-Driver!$F$201)/(Driver!$G$201-Driver!$F$201),1)</f>
        <v/>
      </c>
      <c r="BJ111" s="102">
        <f>(CB111-Driver!$F$206)/(Driver!$G$206-Driver!$F$206)*$BI$1</f>
        <v/>
      </c>
      <c r="BK111" s="102">
        <f>(CD111-Driver!$F$203)/(Driver!$G$203-Driver!$F$203)*$BI$1</f>
        <v/>
      </c>
      <c r="BL111" s="102">
        <f>MAX((CR111-Driver!$F$202)/(Driver!$G$202-Driver!$F$202)*$BI$1,1)</f>
        <v/>
      </c>
      <c r="BM111" s="102">
        <f>MAX((CH111-Driver!$F$204)/(Driver!$G$204-Driver!$F$204)*$BI$1,1)</f>
        <v/>
      </c>
      <c r="BN111" s="102">
        <f>(CI111-Driver!$F$205)/(Driver!$G$205-Driver!$F$205)*$BI$1</f>
        <v/>
      </c>
      <c r="BO111" s="102">
        <f>(CK111-Driver!$F$207)/(Driver!$G$207-Driver!$F$207)*$BI$1</f>
        <v/>
      </c>
      <c r="BP111" s="102">
        <f>(CM111-Driver!$F$208)/(Driver!$G$208-Driver!$F$208)*$BI$1</f>
        <v/>
      </c>
      <c r="BQ111" s="102">
        <f>(CL111-Driver!$F$209)/(Driver!$G$209-Driver!$F$209)*$BI$1</f>
        <v/>
      </c>
      <c r="BR111" s="40" t="inlineStr">
        <is>
          <t>21/22</t>
        </is>
      </c>
      <c r="BS111" s="10" t="inlineStr">
        <is>
          <t xml:space="preserve"> Fischer</t>
        </is>
      </c>
      <c r="BT111" s="11" t="inlineStr">
        <is>
          <t>Ranger 90 FR</t>
        </is>
      </c>
      <c r="BU111" s="13" t="n">
        <v>172</v>
      </c>
      <c r="BV111" s="11" t="inlineStr">
        <is>
          <t xml:space="preserve"> Unisex</t>
        </is>
      </c>
      <c r="BW111" s="13" t="n">
        <v>172</v>
      </c>
      <c r="BX111" s="13" t="n">
        <v>170.6</v>
      </c>
      <c r="BY111" s="13" t="n">
        <v>138</v>
      </c>
      <c r="BZ111" s="13" t="n">
        <v>145</v>
      </c>
      <c r="CA111" s="13" t="n">
        <v>129</v>
      </c>
      <c r="CB111" s="13" t="n">
        <v>92</v>
      </c>
      <c r="CC111" s="13" t="n">
        <v>117</v>
      </c>
      <c r="CD111" s="13" t="n">
        <v>15.3</v>
      </c>
      <c r="CE111" s="13" t="n">
        <v>1677</v>
      </c>
      <c r="CF111" s="13" t="n">
        <v>1.06</v>
      </c>
      <c r="CG111" s="13" t="n">
        <v>1782</v>
      </c>
      <c r="CH111" s="13" t="n">
        <v>214</v>
      </c>
      <c r="CI111" s="13" t="n">
        <v>103</v>
      </c>
      <c r="CJ111" s="13" t="n">
        <v>56</v>
      </c>
      <c r="CK111" s="13" t="n">
        <v>203</v>
      </c>
      <c r="CL111" s="13" t="n">
        <v>22</v>
      </c>
      <c r="CM111" s="13" t="n">
        <v>123</v>
      </c>
      <c r="CN111" s="13" t="n">
        <v>0.392</v>
      </c>
      <c r="CO111" s="13" t="n">
        <v>153</v>
      </c>
      <c r="CP111" s="13" t="n">
        <v>98</v>
      </c>
      <c r="CQ111" s="13" t="n">
        <v>50</v>
      </c>
      <c r="CR111" s="13" t="n">
        <v>8</v>
      </c>
      <c r="CS111" s="13" t="n">
        <v>10.9</v>
      </c>
      <c r="CT111" s="11" t="inlineStr">
        <is>
          <t xml:space="preserve"> Resort Freeride</t>
        </is>
      </c>
      <c r="CU111" s="11" t="inlineStr">
        <is>
          <t xml:space="preserve"> Touring</t>
        </is>
      </c>
      <c r="CV111" s="13" t="n"/>
      <c r="CW111" s="13" t="n"/>
      <c r="CX111">
        <f>INDEX('Data_Price '!AG$2:AG$1266,MATCH(Data!$DN111,'Data_Price '!$AT$2:$AT$1266,0))</f>
        <v/>
      </c>
      <c r="CY111">
        <f>INDEX('Data_Price '!AH$2:AH$1266,MATCH(Data!$DN111,'Data_Price '!$AT$2:$AT$1266,0))</f>
        <v/>
      </c>
      <c r="CZ111">
        <f>INDEX('Data_Price '!AI$2:AI$1266,MATCH(Data!$DN111,'Data_Price '!$AT$2:$AT$1266,0))</f>
        <v/>
      </c>
      <c r="DA111">
        <f>INDEX('Data_Price '!AJ$2:AJ$1266,MATCH(Data!$DN111,'Data_Price '!$AT$2:$AT$1266,0))</f>
        <v/>
      </c>
      <c r="DB111">
        <f>INDEX('Data_Price '!AK$2:AK$1266,MATCH(Data!$DN111,'Data_Price '!$AT$2:$AT$1266,0))</f>
        <v/>
      </c>
      <c r="DC111">
        <f>INDEX('Data_Price '!AL$2:AL$1266,MATCH(Data!$DN111,'Data_Price '!$AT$2:$AT$1266,0))</f>
        <v/>
      </c>
      <c r="DD111">
        <f>INDEX('Data_Price '!AM$2:AM$1266,MATCH(Data!$DN111,'Data_Price '!$AT$2:$AT$1266,0))</f>
        <v/>
      </c>
      <c r="DE111">
        <f>INDEX('Data_Price '!AN$2:AN$1266,MATCH(Data!$DN111,'Data_Price '!$AT$2:$AT$1266,0))</f>
        <v/>
      </c>
      <c r="DF111">
        <f>INDEX('Data_Price '!AO$2:AO$1266,MATCH(Data!$DN111,'Data_Price '!$AT$2:$AT$1266,0))</f>
        <v/>
      </c>
      <c r="DG111">
        <f>INDEX('Data_Price '!AP$2:AP$1266,MATCH(Data!$DN111,'Data_Price '!$AT$2:$AT$1266,0))</f>
        <v/>
      </c>
      <c r="DH111">
        <f>INDEX('Data_Price '!AQ$2:AQ$1266,MATCH(Data!$DN111,'Data_Price '!$AT$2:$AT$1266,0))</f>
        <v/>
      </c>
      <c r="DI111">
        <f>INDEX('Data_Price '!AR$2:AR$1266,MATCH(Data!$DN111,'Data_Price '!$AT$2:$AT$1266,0))</f>
        <v/>
      </c>
      <c r="DJ111" s="138">
        <f>DA111</f>
        <v/>
      </c>
      <c r="DK111" s="138">
        <f>DE111</f>
        <v/>
      </c>
      <c r="DL111" s="138">
        <f>DI111</f>
        <v/>
      </c>
      <c r="DM111" s="303">
        <f>IF(LEFT(BT111,1)=" ",RIGHT(BT111,LEN(BT111)-1),BT111)</f>
        <v/>
      </c>
      <c r="DN111" s="138">
        <f>_xlfn.CONCAT(BS111,DM111,BU111,BV111)</f>
        <v/>
      </c>
      <c r="DO111" s="307" t="n"/>
    </row>
    <row r="112" ht="15.6" customHeight="1" s="184">
      <c r="B112" s="303">
        <f t="array" ref="B112">IF(OR(ISERROR(K112:P112)),FALSE,TRUE)</f>
        <v/>
      </c>
      <c r="C112" s="60">
        <f>OR(BR112=Driver!$G$50,Data!BR746=Driver!$H$50)</f>
        <v/>
      </c>
      <c r="D112" s="60">
        <f>OR(BV112=Driver!$G$51,BV112=Driver!$H$51)</f>
        <v/>
      </c>
      <c r="E112" s="60">
        <f>AND(BX112&gt;Driver!$F$54,BX112&lt;Driver!$G$54)</f>
        <v/>
      </c>
      <c r="F112" s="60">
        <f>CL112&gt;Driver!$F$56</f>
        <v/>
      </c>
      <c r="G112" s="60">
        <f>AND(CB112&gt;Driver!$F$55,CB112&lt;Driver!$G$55)</f>
        <v/>
      </c>
      <c r="H112" s="60">
        <f>AND(B112:G112)</f>
        <v/>
      </c>
      <c r="I112" s="60">
        <f>COUNTIFS($H$9:$H$1273,TRUE,$BT$9:$BT$1273,BT112)</f>
        <v/>
      </c>
      <c r="J112" s="60">
        <f t="array" ref="J112">NOT(OR(($H$9:$H$1273=TRUE)*($I$9:$I$1273&gt;0)*($BT$9:$BT$1273=BT112)*($K$9:$K$1273&gt;K112)))</f>
        <v/>
      </c>
      <c r="K112" s="108">
        <f>IFERROR(1-AVERAGE(X112:Y112),"")</f>
        <v/>
      </c>
      <c r="L112" s="108">
        <f>1-X112</f>
        <v/>
      </c>
      <c r="M112" s="108">
        <f>1-Y112</f>
        <v/>
      </c>
      <c r="N112" s="108">
        <f>1-Z112</f>
        <v/>
      </c>
      <c r="O112" s="108">
        <f>1-AA112</f>
        <v/>
      </c>
      <c r="P112" s="108">
        <f>1-AB112</f>
        <v/>
      </c>
      <c r="Q112" s="108" t="n"/>
      <c r="R112" s="108" t="n"/>
      <c r="S112" s="108">
        <f>1-AE112</f>
        <v/>
      </c>
      <c r="T112" s="108">
        <f>1-AF112</f>
        <v/>
      </c>
      <c r="U112" s="108">
        <f>1-AG112</f>
        <v/>
      </c>
      <c r="V112" s="108">
        <f>1-AH112</f>
        <v/>
      </c>
      <c r="W112" s="108">
        <f>1-AI112</f>
        <v/>
      </c>
      <c r="X112" s="108">
        <f>ABS(AJ112-AJ$1)</f>
        <v/>
      </c>
      <c r="Y112" s="108">
        <f>AVERAGE(Z112:AB112)</f>
        <v/>
      </c>
      <c r="Z112" s="108">
        <f>ABS(AL112-AL$1)</f>
        <v/>
      </c>
      <c r="AA112" s="108">
        <f>ABS(AM112-AM$1)</f>
        <v/>
      </c>
      <c r="AB112" s="108">
        <f>ABS(AN112-AN$1)</f>
        <v/>
      </c>
      <c r="AC112" s="108" t="n"/>
      <c r="AD112" s="108" t="n"/>
      <c r="AE112" s="108">
        <f>ABS(AQ$1-AQ112)</f>
        <v/>
      </c>
      <c r="AF112" s="108">
        <f>ABS(AR$1-AR112)</f>
        <v/>
      </c>
      <c r="AG112" s="108">
        <f>ABS(AS$1-AS112)</f>
        <v/>
      </c>
      <c r="AH112" s="108">
        <f>ABS(AT$1-AT112)</f>
        <v/>
      </c>
      <c r="AI112" s="108">
        <f>ABS(AU$1-AU112)</f>
        <v/>
      </c>
      <c r="AJ112" s="108">
        <f>(AV112-Driver!$K$179)/(Driver!$L$179-Driver!$K$179)</f>
        <v/>
      </c>
      <c r="AK112" s="108">
        <f>(AW112-Driver!$K$180)/(Driver!$L$180-Driver!$K$180)</f>
        <v/>
      </c>
      <c r="AL112" s="108">
        <f>(AX112-Driver!$K$181)/(Driver!$L$181-Driver!$K$181)</f>
        <v/>
      </c>
      <c r="AM112" s="108">
        <f>(AY112-Driver!$K$182)/(Driver!$L$182-Driver!$K$182)</f>
        <v/>
      </c>
      <c r="AN112" s="108">
        <f>(AZ112-Driver!$K$183)/(Driver!$L$183-Driver!$K$183)</f>
        <v/>
      </c>
      <c r="AO112" s="108" t="n"/>
      <c r="AP112" s="108" t="n"/>
      <c r="AQ112" s="108">
        <f>(BC112-Driver!$K$188)/(Driver!$L$188-Driver!$K$188)</f>
        <v/>
      </c>
      <c r="AR112" s="108">
        <f>MIN((BD112-Driver!$K$189)/(Driver!$L$189-Driver!$K$189),100%)</f>
        <v/>
      </c>
      <c r="AS112" s="108">
        <f>(BE112-Driver!$K$190)/(Driver!$L$190-Driver!$K$190)</f>
        <v/>
      </c>
      <c r="AT112" s="108">
        <f>(BF112-Driver!$K$191)/(Driver!$L$191-Driver!$K$191)</f>
        <v/>
      </c>
      <c r="AU112" s="108">
        <f>(BG112-Driver!$K$192)/(Driver!$L$192-Driver!$K$192)</f>
        <v/>
      </c>
      <c r="AV112" s="105">
        <f>IFERROR(BM112*BJ112^1/4,"")</f>
        <v/>
      </c>
      <c r="AW112" s="105">
        <f>IFERROR(SUM(AX112:AZ112),"")</f>
        <v/>
      </c>
      <c r="AX112" s="105">
        <f>IFERROR(BH112,"")</f>
        <v/>
      </c>
      <c r="AY112" s="105">
        <f>IFERROR(Driver!$K$19/Data!BH112/Data!BI112*Data!BK112*Data!BL112,"")</f>
        <v/>
      </c>
      <c r="AZ112" s="105">
        <f>IFERROR(BI112*BN112,"")</f>
        <v/>
      </c>
      <c r="BA112" s="105" t="n"/>
      <c r="BB112" s="105" t="n"/>
      <c r="BC112" s="105">
        <f>IFERROR(BI112*BN112*BK112/BJ112^(1/2),"")</f>
        <v/>
      </c>
      <c r="BD112" s="105">
        <f>IFERROR(BH112*BM112*BL112/BJ112/BK112,"")</f>
        <v/>
      </c>
      <c r="BE112" s="105">
        <f>IFERROR(MIN(BI112/BQ112/BP112/BO112/BH112,$BE$1),"")</f>
        <v/>
      </c>
      <c r="BF112" s="105">
        <f>IFERROR(BJ112*BO112*BP112/BK112,"")</f>
        <v/>
      </c>
      <c r="BG112" s="105">
        <f>IFERROR(1/BM112/BH112*BQ112,"")</f>
        <v/>
      </c>
      <c r="BH112" s="102">
        <f>MAX((CE112-Driver!$F$200)/(Driver!$G$200-Driver!$F$200)*$BI$1,1)</f>
        <v/>
      </c>
      <c r="BI112" s="102">
        <f>MAX($BI$1*(BY112-Driver!$F$201)/(Driver!$G$201-Driver!$F$201),1)</f>
        <v/>
      </c>
      <c r="BJ112" s="102">
        <f>(CB112-Driver!$F$206)/(Driver!$G$206-Driver!$F$206)*$BI$1</f>
        <v/>
      </c>
      <c r="BK112" s="102">
        <f>(CD112-Driver!$F$203)/(Driver!$G$203-Driver!$F$203)*$BI$1</f>
        <v/>
      </c>
      <c r="BL112" s="102">
        <f>MAX((CR112-Driver!$F$202)/(Driver!$G$202-Driver!$F$202)*$BI$1,1)</f>
        <v/>
      </c>
      <c r="BM112" s="102">
        <f>MAX((CH112-Driver!$F$204)/(Driver!$G$204-Driver!$F$204)*$BI$1,1)</f>
        <v/>
      </c>
      <c r="BN112" s="102">
        <f>(CI112-Driver!$F$205)/(Driver!$G$205-Driver!$F$205)*$BI$1</f>
        <v/>
      </c>
      <c r="BO112" s="102">
        <f>(CK112-Driver!$F$207)/(Driver!$G$207-Driver!$F$207)*$BI$1</f>
        <v/>
      </c>
      <c r="BP112" s="102">
        <f>(CM112-Driver!$F$208)/(Driver!$G$208-Driver!$F$208)*$BI$1</f>
        <v/>
      </c>
      <c r="BQ112" s="102">
        <f>(CL112-Driver!$F$209)/(Driver!$G$209-Driver!$F$209)*$BI$1</f>
        <v/>
      </c>
      <c r="BR112" s="40" t="inlineStr">
        <is>
          <t>21/22</t>
        </is>
      </c>
      <c r="BS112" s="10" t="inlineStr">
        <is>
          <t xml:space="preserve"> K2</t>
        </is>
      </c>
      <c r="BT112" s="11" t="inlineStr">
        <is>
          <t>Mindbender 90C</t>
        </is>
      </c>
      <c r="BU112" s="13" t="n">
        <v>177</v>
      </c>
      <c r="BV112" s="11" t="inlineStr">
        <is>
          <t xml:space="preserve"> Unisex</t>
        </is>
      </c>
      <c r="BW112" s="13" t="n">
        <v>177</v>
      </c>
      <c r="BX112" s="13" t="n">
        <v>177.4</v>
      </c>
      <c r="BY112" s="13" t="n">
        <v>140</v>
      </c>
      <c r="BZ112" s="13" t="n">
        <v>149</v>
      </c>
      <c r="CA112" s="13" t="n">
        <v>126</v>
      </c>
      <c r="CB112" s="13" t="n">
        <v>89</v>
      </c>
      <c r="CC112" s="13" t="n">
        <v>112</v>
      </c>
      <c r="CD112" s="13" t="n">
        <v>17.6</v>
      </c>
      <c r="CE112" s="13" t="n">
        <v>1716</v>
      </c>
      <c r="CF112" s="13" t="n">
        <v>1.05</v>
      </c>
      <c r="CG112" s="13" t="n">
        <v>1795</v>
      </c>
      <c r="CH112" s="13" t="n">
        <v>185</v>
      </c>
      <c r="CI112" s="13" t="n">
        <v>93</v>
      </c>
      <c r="CJ112" s="13" t="n">
        <v>46</v>
      </c>
      <c r="CK112" s="13" t="n">
        <v>216</v>
      </c>
      <c r="CL112" s="13" t="n">
        <v>15</v>
      </c>
      <c r="CM112" s="13" t="n">
        <v>159</v>
      </c>
      <c r="CN112" s="13" t="n">
        <v>0.318</v>
      </c>
      <c r="CO112" s="13" t="n">
        <v>166</v>
      </c>
      <c r="CP112" s="13" t="n">
        <v>119</v>
      </c>
      <c r="CQ112" s="13" t="n">
        <v>50</v>
      </c>
      <c r="CR112" s="13" t="n">
        <v>8</v>
      </c>
      <c r="CS112" s="13" t="n">
        <v>11</v>
      </c>
      <c r="CT112" s="11" t="inlineStr">
        <is>
          <t xml:space="preserve"> Resort Freeride</t>
        </is>
      </c>
      <c r="CU112" s="13" t="n"/>
      <c r="CV112" s="13" t="n"/>
      <c r="CW112" s="13" t="n"/>
      <c r="CX112">
        <f>INDEX('Data_Price '!AG$2:AG$1266,MATCH(Data!$DN112,'Data_Price '!$AT$2:$AT$1266,0))</f>
        <v/>
      </c>
      <c r="CY112">
        <f>INDEX('Data_Price '!AH$2:AH$1266,MATCH(Data!$DN112,'Data_Price '!$AT$2:$AT$1266,0))</f>
        <v/>
      </c>
      <c r="CZ112">
        <f>INDEX('Data_Price '!AI$2:AI$1266,MATCH(Data!$DN112,'Data_Price '!$AT$2:$AT$1266,0))</f>
        <v/>
      </c>
      <c r="DA112">
        <f>INDEX('Data_Price '!AJ$2:AJ$1266,MATCH(Data!$DN112,'Data_Price '!$AT$2:$AT$1266,0))</f>
        <v/>
      </c>
      <c r="DB112">
        <f>INDEX('Data_Price '!AK$2:AK$1266,MATCH(Data!$DN112,'Data_Price '!$AT$2:$AT$1266,0))</f>
        <v/>
      </c>
      <c r="DC112">
        <f>INDEX('Data_Price '!AL$2:AL$1266,MATCH(Data!$DN112,'Data_Price '!$AT$2:$AT$1266,0))</f>
        <v/>
      </c>
      <c r="DD112">
        <f>INDEX('Data_Price '!AM$2:AM$1266,MATCH(Data!$DN112,'Data_Price '!$AT$2:$AT$1266,0))</f>
        <v/>
      </c>
      <c r="DE112">
        <f>INDEX('Data_Price '!AN$2:AN$1266,MATCH(Data!$DN112,'Data_Price '!$AT$2:$AT$1266,0))</f>
        <v/>
      </c>
      <c r="DF112">
        <f>INDEX('Data_Price '!AO$2:AO$1266,MATCH(Data!$DN112,'Data_Price '!$AT$2:$AT$1266,0))</f>
        <v/>
      </c>
      <c r="DG112">
        <f>INDEX('Data_Price '!AP$2:AP$1266,MATCH(Data!$DN112,'Data_Price '!$AT$2:$AT$1266,0))</f>
        <v/>
      </c>
      <c r="DH112">
        <f>INDEX('Data_Price '!AQ$2:AQ$1266,MATCH(Data!$DN112,'Data_Price '!$AT$2:$AT$1266,0))</f>
        <v/>
      </c>
      <c r="DI112">
        <f>INDEX('Data_Price '!AR$2:AR$1266,MATCH(Data!$DN112,'Data_Price '!$AT$2:$AT$1266,0))</f>
        <v/>
      </c>
      <c r="DJ112" s="138">
        <f>DA112</f>
        <v/>
      </c>
      <c r="DK112" s="138">
        <f>DE112</f>
        <v/>
      </c>
      <c r="DL112" s="138">
        <f>DI112</f>
        <v/>
      </c>
      <c r="DM112" s="303">
        <f>IF(LEFT(BT112,1)=" ",RIGHT(BT112,LEN(BT112)-1),BT112)</f>
        <v/>
      </c>
      <c r="DN112" s="138">
        <f>_xlfn.CONCAT(BS112,DM112,BU112,BV112)</f>
        <v/>
      </c>
      <c r="DO112" s="307" t="inlineStr">
        <is>
          <t>https://images.evo.com/imgp/250/162811/645698/k2-mindbender-90c-skis-2020-.jpg</t>
        </is>
      </c>
    </row>
    <row r="113" ht="15.6" customHeight="1" s="184">
      <c r="B113" s="303">
        <f t="array" ref="B113">IF(OR(ISERROR(K113:P113)),FALSE,TRUE)</f>
        <v/>
      </c>
      <c r="C113" s="60">
        <f>OR(BR113=Driver!$G$50,Data!BR363=Driver!$H$50)</f>
        <v/>
      </c>
      <c r="D113" s="60">
        <f>OR(BV113=Driver!$G$51,BV113=Driver!$H$51)</f>
        <v/>
      </c>
      <c r="E113" s="60">
        <f>AND(BX113&gt;Driver!$F$54,BX113&lt;Driver!$G$54)</f>
        <v/>
      </c>
      <c r="F113" s="60">
        <f>CL113&gt;Driver!$F$56</f>
        <v/>
      </c>
      <c r="G113" s="60">
        <f>AND(CB113&gt;Driver!$F$55,CB113&lt;Driver!$G$55)</f>
        <v/>
      </c>
      <c r="H113" s="60">
        <f>AND(B113:G113)</f>
        <v/>
      </c>
      <c r="I113" s="60">
        <f>COUNTIFS($H$9:$H$1273,TRUE,$BT$9:$BT$1273,BT113)</f>
        <v/>
      </c>
      <c r="J113" s="60">
        <f t="array" ref="J113">NOT(OR(($H$9:$H$1273=TRUE)*($I$9:$I$1273&gt;0)*($BT$9:$BT$1273=BT113)*($K$9:$K$1273&gt;K113)))</f>
        <v/>
      </c>
      <c r="K113" s="108">
        <f>IFERROR(1-AVERAGE(X113:Y113),"")</f>
        <v/>
      </c>
      <c r="L113" s="108">
        <f>1-X113</f>
        <v/>
      </c>
      <c r="M113" s="108">
        <f>1-Y113</f>
        <v/>
      </c>
      <c r="N113" s="108">
        <f>1-Z113</f>
        <v/>
      </c>
      <c r="O113" s="108">
        <f>1-AA113</f>
        <v/>
      </c>
      <c r="P113" s="108">
        <f>1-AB113</f>
        <v/>
      </c>
      <c r="Q113" s="108" t="n"/>
      <c r="R113" s="108" t="n"/>
      <c r="S113" s="108">
        <f>1-AE113</f>
        <v/>
      </c>
      <c r="T113" s="108">
        <f>1-AF113</f>
        <v/>
      </c>
      <c r="U113" s="108">
        <f>1-AG113</f>
        <v/>
      </c>
      <c r="V113" s="108">
        <f>1-AH113</f>
        <v/>
      </c>
      <c r="W113" s="108">
        <f>1-AI113</f>
        <v/>
      </c>
      <c r="X113" s="108">
        <f>ABS(AJ113-AJ$1)</f>
        <v/>
      </c>
      <c r="Y113" s="108">
        <f>AVERAGE(Z113:AB113)</f>
        <v/>
      </c>
      <c r="Z113" s="108">
        <f>ABS(AL113-AL$1)</f>
        <v/>
      </c>
      <c r="AA113" s="108">
        <f>ABS(AM113-AM$1)</f>
        <v/>
      </c>
      <c r="AB113" s="108">
        <f>ABS(AN113-AN$1)</f>
        <v/>
      </c>
      <c r="AC113" s="108" t="n"/>
      <c r="AD113" s="108" t="n"/>
      <c r="AE113" s="108">
        <f>ABS(AQ$1-AQ113)</f>
        <v/>
      </c>
      <c r="AF113" s="108">
        <f>ABS(AR$1-AR113)</f>
        <v/>
      </c>
      <c r="AG113" s="108">
        <f>ABS(AS$1-AS113)</f>
        <v/>
      </c>
      <c r="AH113" s="108">
        <f>ABS(AT$1-AT113)</f>
        <v/>
      </c>
      <c r="AI113" s="108">
        <f>ABS(AU$1-AU113)</f>
        <v/>
      </c>
      <c r="AJ113" s="108">
        <f>(AV113-Driver!$K$179)/(Driver!$L$179-Driver!$K$179)</f>
        <v/>
      </c>
      <c r="AK113" s="108">
        <f>(AW113-Driver!$K$180)/(Driver!$L$180-Driver!$K$180)</f>
        <v/>
      </c>
      <c r="AL113" s="108">
        <f>(AX113-Driver!$K$181)/(Driver!$L$181-Driver!$K$181)</f>
        <v/>
      </c>
      <c r="AM113" s="108">
        <f>(AY113-Driver!$K$182)/(Driver!$L$182-Driver!$K$182)</f>
        <v/>
      </c>
      <c r="AN113" s="108">
        <f>(AZ113-Driver!$K$183)/(Driver!$L$183-Driver!$K$183)</f>
        <v/>
      </c>
      <c r="AO113" s="108" t="n"/>
      <c r="AP113" s="108" t="n"/>
      <c r="AQ113" s="108">
        <f>(BC113-Driver!$K$188)/(Driver!$L$188-Driver!$K$188)</f>
        <v/>
      </c>
      <c r="AR113" s="108">
        <f>MIN((BD113-Driver!$K$189)/(Driver!$L$189-Driver!$K$189),100%)</f>
        <v/>
      </c>
      <c r="AS113" s="108">
        <f>(BE113-Driver!$K$190)/(Driver!$L$190-Driver!$K$190)</f>
        <v/>
      </c>
      <c r="AT113" s="108">
        <f>(BF113-Driver!$K$191)/(Driver!$L$191-Driver!$K$191)</f>
        <v/>
      </c>
      <c r="AU113" s="108">
        <f>(BG113-Driver!$K$192)/(Driver!$L$192-Driver!$K$192)</f>
        <v/>
      </c>
      <c r="AV113" s="105">
        <f>IFERROR(BM113*BJ113^1/4,"")</f>
        <v/>
      </c>
      <c r="AW113" s="105">
        <f>IFERROR(SUM(AX113:AZ113),"")</f>
        <v/>
      </c>
      <c r="AX113" s="105">
        <f>IFERROR(BH113,"")</f>
        <v/>
      </c>
      <c r="AY113" s="105">
        <f>IFERROR(Driver!$K$19/Data!BH113/Data!BI113*Data!BK113*Data!BL113,"")</f>
        <v/>
      </c>
      <c r="AZ113" s="105">
        <f>IFERROR(BI113*BN113,"")</f>
        <v/>
      </c>
      <c r="BA113" s="105" t="n"/>
      <c r="BB113" s="105" t="n"/>
      <c r="BC113" s="105">
        <f>IFERROR(BI113*BN113*BK113/BJ113^(1/2),"")</f>
        <v/>
      </c>
      <c r="BD113" s="105">
        <f>IFERROR(BH113*BM113*BL113/BJ113/BK113,"")</f>
        <v/>
      </c>
      <c r="BE113" s="105">
        <f>IFERROR(MIN(BI113/BQ113/BP113/BO113/BH113,$BE$1),"")</f>
        <v/>
      </c>
      <c r="BF113" s="105">
        <f>IFERROR(BJ113*BO113*BP113/BK113,"")</f>
        <v/>
      </c>
      <c r="BG113" s="105">
        <f>IFERROR(1/BM113/BH113*BQ113,"")</f>
        <v/>
      </c>
      <c r="BH113" s="102">
        <f>MAX((CE113-Driver!$F$200)/(Driver!$G$200-Driver!$F$200)*$BI$1,1)</f>
        <v/>
      </c>
      <c r="BI113" s="102">
        <f>MAX($BI$1*(BY113-Driver!$F$201)/(Driver!$G$201-Driver!$F$201),1)</f>
        <v/>
      </c>
      <c r="BJ113" s="102">
        <f>(CB113-Driver!$F$206)/(Driver!$G$206-Driver!$F$206)*$BI$1</f>
        <v/>
      </c>
      <c r="BK113" s="102">
        <f>(CD113-Driver!$F$203)/(Driver!$G$203-Driver!$F$203)*$BI$1</f>
        <v/>
      </c>
      <c r="BL113" s="102">
        <f>MAX((CR113-Driver!$F$202)/(Driver!$G$202-Driver!$F$202)*$BI$1,1)</f>
        <v/>
      </c>
      <c r="BM113" s="102">
        <f>MAX((CH113-Driver!$F$204)/(Driver!$G$204-Driver!$F$204)*$BI$1,1)</f>
        <v/>
      </c>
      <c r="BN113" s="102">
        <f>(CI113-Driver!$F$205)/(Driver!$G$205-Driver!$F$205)*$BI$1</f>
        <v/>
      </c>
      <c r="BO113" s="102">
        <f>(CK113-Driver!$F$207)/(Driver!$G$207-Driver!$F$207)*$BI$1</f>
        <v/>
      </c>
      <c r="BP113" s="102">
        <f>(CM113-Driver!$F$208)/(Driver!$G$208-Driver!$F$208)*$BI$1</f>
        <v/>
      </c>
      <c r="BQ113" s="102">
        <f>(CL113-Driver!$F$209)/(Driver!$G$209-Driver!$F$209)*$BI$1</f>
        <v/>
      </c>
      <c r="BR113" s="40" t="inlineStr">
        <is>
          <t>21/22</t>
        </is>
      </c>
      <c r="BS113" s="10" t="inlineStr">
        <is>
          <t xml:space="preserve"> Dynafit</t>
        </is>
      </c>
      <c r="BT113" s="11" t="inlineStr">
        <is>
          <t>Beast 108</t>
        </is>
      </c>
      <c r="BU113" s="13" t="n">
        <v>173</v>
      </c>
      <c r="BV113" s="11" t="inlineStr">
        <is>
          <t xml:space="preserve"> Unisex</t>
        </is>
      </c>
      <c r="BW113" s="13" t="n">
        <v>173</v>
      </c>
      <c r="BX113" s="13" t="n">
        <v>171.8</v>
      </c>
      <c r="BY113" s="13" t="n">
        <v>109</v>
      </c>
      <c r="BZ113" s="13" t="n">
        <v>137</v>
      </c>
      <c r="CA113" s="13" t="n">
        <v>133</v>
      </c>
      <c r="CB113" s="13" t="n">
        <v>105</v>
      </c>
      <c r="CC113" s="13" t="n">
        <v>123</v>
      </c>
      <c r="CD113" s="13" t="n">
        <v>18.7</v>
      </c>
      <c r="CE113" s="13" t="n">
        <v>1538</v>
      </c>
      <c r="CF113" s="13" t="n">
        <v>1.28</v>
      </c>
      <c r="CG113" s="13" t="n">
        <v>1962</v>
      </c>
      <c r="CH113" s="13" t="n">
        <v>211</v>
      </c>
      <c r="CI113" s="13" t="n">
        <v>101</v>
      </c>
      <c r="CJ113" s="13" t="n">
        <v>70</v>
      </c>
      <c r="CK113" s="13" t="n">
        <v>443</v>
      </c>
      <c r="CL113" s="13" t="n">
        <v>15</v>
      </c>
      <c r="CM113" s="13" t="n">
        <v>189</v>
      </c>
      <c r="CN113" s="13" t="n">
        <v>0.214</v>
      </c>
      <c r="CO113" s="13" t="n">
        <v>198</v>
      </c>
      <c r="CP113" s="13" t="n">
        <v>150</v>
      </c>
      <c r="CQ113" s="13" t="n">
        <v>244</v>
      </c>
      <c r="CR113" s="13" t="n">
        <v>4</v>
      </c>
      <c r="CS113" s="13" t="n">
        <v>8</v>
      </c>
      <c r="CT113" s="11" t="inlineStr">
        <is>
          <t xml:space="preserve"> Resort Freeride</t>
        </is>
      </c>
      <c r="CU113" s="11" t="inlineStr">
        <is>
          <t xml:space="preserve"> Big Mountain</t>
        </is>
      </c>
      <c r="CV113" s="11" t="inlineStr">
        <is>
          <t xml:space="preserve"> Touring</t>
        </is>
      </c>
      <c r="CW113" s="11" t="inlineStr">
        <is>
          <t xml:space="preserve"> Ultralight Touring</t>
        </is>
      </c>
      <c r="CX113">
        <f>INDEX('Data_Price '!AG$2:AG$1266,MATCH(Data!$DN113,'Data_Price '!$AT$2:$AT$1266,0))</f>
        <v/>
      </c>
      <c r="CY113">
        <f>INDEX('Data_Price '!AH$2:AH$1266,MATCH(Data!$DN113,'Data_Price '!$AT$2:$AT$1266,0))</f>
        <v/>
      </c>
      <c r="CZ113">
        <f>INDEX('Data_Price '!AI$2:AI$1266,MATCH(Data!$DN113,'Data_Price '!$AT$2:$AT$1266,0))</f>
        <v/>
      </c>
      <c r="DA113">
        <f>INDEX('Data_Price '!AJ$2:AJ$1266,MATCH(Data!$DN113,'Data_Price '!$AT$2:$AT$1266,0))</f>
        <v/>
      </c>
      <c r="DB113">
        <f>INDEX('Data_Price '!AK$2:AK$1266,MATCH(Data!$DN113,'Data_Price '!$AT$2:$AT$1266,0))</f>
        <v/>
      </c>
      <c r="DC113">
        <f>INDEX('Data_Price '!AL$2:AL$1266,MATCH(Data!$DN113,'Data_Price '!$AT$2:$AT$1266,0))</f>
        <v/>
      </c>
      <c r="DD113">
        <f>INDEX('Data_Price '!AM$2:AM$1266,MATCH(Data!$DN113,'Data_Price '!$AT$2:$AT$1266,0))</f>
        <v/>
      </c>
      <c r="DE113">
        <f>INDEX('Data_Price '!AN$2:AN$1266,MATCH(Data!$DN113,'Data_Price '!$AT$2:$AT$1266,0))</f>
        <v/>
      </c>
      <c r="DF113">
        <f>INDEX('Data_Price '!AO$2:AO$1266,MATCH(Data!$DN113,'Data_Price '!$AT$2:$AT$1266,0))</f>
        <v/>
      </c>
      <c r="DG113">
        <f>INDEX('Data_Price '!AP$2:AP$1266,MATCH(Data!$DN113,'Data_Price '!$AT$2:$AT$1266,0))</f>
        <v/>
      </c>
      <c r="DH113">
        <f>INDEX('Data_Price '!AQ$2:AQ$1266,MATCH(Data!$DN113,'Data_Price '!$AT$2:$AT$1266,0))</f>
        <v/>
      </c>
      <c r="DI113">
        <f>INDEX('Data_Price '!AR$2:AR$1266,MATCH(Data!$DN113,'Data_Price '!$AT$2:$AT$1266,0))</f>
        <v/>
      </c>
      <c r="DJ113" s="138">
        <f>DA113</f>
        <v/>
      </c>
      <c r="DK113" s="138">
        <f>DE113</f>
        <v/>
      </c>
      <c r="DL113" s="138">
        <f>DI113</f>
        <v/>
      </c>
      <c r="DM113" s="303">
        <f>IF(LEFT(BT113,1)=" ",RIGHT(BT113,LEN(BT113)-1),BT113)</f>
        <v/>
      </c>
      <c r="DN113" s="138">
        <f>_xlfn.CONCAT(BS113,DM113,BU113,BV113)</f>
        <v/>
      </c>
      <c r="DO113" s="307" t="n"/>
    </row>
    <row r="114" ht="15.6" customHeight="1" s="184">
      <c r="B114" s="303">
        <f t="array" ref="B114">IF(OR(ISERROR(K114:P114)),FALSE,TRUE)</f>
        <v/>
      </c>
      <c r="C114" s="60">
        <f>OR(BR114=Driver!$G$50,Data!BR978=Driver!$H$50)</f>
        <v/>
      </c>
      <c r="D114" s="60">
        <f>OR(BV114=Driver!$G$51,BV114=Driver!$H$51)</f>
        <v/>
      </c>
      <c r="E114" s="60">
        <f>AND(BX114&gt;Driver!$F$54,BX114&lt;Driver!$G$54)</f>
        <v/>
      </c>
      <c r="F114" s="60">
        <f>CL114&gt;Driver!$F$56</f>
        <v/>
      </c>
      <c r="G114" s="60">
        <f>AND(CB114&gt;Driver!$F$55,CB114&lt;Driver!$G$55)</f>
        <v/>
      </c>
      <c r="H114" s="60">
        <f>AND(B114:G114)</f>
        <v/>
      </c>
      <c r="I114" s="60">
        <f>COUNTIFS($H$9:$H$1273,TRUE,$BT$9:$BT$1273,BT114)</f>
        <v/>
      </c>
      <c r="J114" s="60">
        <f t="array" ref="J114">NOT(OR(($H$9:$H$1273=TRUE)*($I$9:$I$1273&gt;0)*($BT$9:$BT$1273=BT114)*($K$9:$K$1273&gt;K114)))</f>
        <v/>
      </c>
      <c r="K114" s="108">
        <f>IFERROR(1-AVERAGE(X114:Y114),"")</f>
        <v/>
      </c>
      <c r="L114" s="108">
        <f>1-X114</f>
        <v/>
      </c>
      <c r="M114" s="108">
        <f>1-Y114</f>
        <v/>
      </c>
      <c r="N114" s="108">
        <f>1-Z114</f>
        <v/>
      </c>
      <c r="O114" s="108">
        <f>1-AA114</f>
        <v/>
      </c>
      <c r="P114" s="108">
        <f>1-AB114</f>
        <v/>
      </c>
      <c r="Q114" s="108" t="n"/>
      <c r="R114" s="108" t="n"/>
      <c r="S114" s="108">
        <f>1-AE114</f>
        <v/>
      </c>
      <c r="T114" s="108">
        <f>1-AF114</f>
        <v/>
      </c>
      <c r="U114" s="108">
        <f>1-AG114</f>
        <v/>
      </c>
      <c r="V114" s="108">
        <f>1-AH114</f>
        <v/>
      </c>
      <c r="W114" s="108">
        <f>1-AI114</f>
        <v/>
      </c>
      <c r="X114" s="108">
        <f>ABS(AJ114-AJ$1)</f>
        <v/>
      </c>
      <c r="Y114" s="108">
        <f>AVERAGE(Z114:AB114)</f>
        <v/>
      </c>
      <c r="Z114" s="108">
        <f>ABS(AL114-AL$1)</f>
        <v/>
      </c>
      <c r="AA114" s="108">
        <f>ABS(AM114-AM$1)</f>
        <v/>
      </c>
      <c r="AB114" s="108">
        <f>ABS(AN114-AN$1)</f>
        <v/>
      </c>
      <c r="AC114" s="108" t="n"/>
      <c r="AD114" s="108" t="n"/>
      <c r="AE114" s="108">
        <f>ABS(AQ$1-AQ114)</f>
        <v/>
      </c>
      <c r="AF114" s="108">
        <f>ABS(AR$1-AR114)</f>
        <v/>
      </c>
      <c r="AG114" s="108">
        <f>ABS(AS$1-AS114)</f>
        <v/>
      </c>
      <c r="AH114" s="108">
        <f>ABS(AT$1-AT114)</f>
        <v/>
      </c>
      <c r="AI114" s="108">
        <f>ABS(AU$1-AU114)</f>
        <v/>
      </c>
      <c r="AJ114" s="108">
        <f>(AV114-Driver!$K$179)/(Driver!$L$179-Driver!$K$179)</f>
        <v/>
      </c>
      <c r="AK114" s="108">
        <f>(AW114-Driver!$K$180)/(Driver!$L$180-Driver!$K$180)</f>
        <v/>
      </c>
      <c r="AL114" s="108">
        <f>(AX114-Driver!$K$181)/(Driver!$L$181-Driver!$K$181)</f>
        <v/>
      </c>
      <c r="AM114" s="108">
        <f>(AY114-Driver!$K$182)/(Driver!$L$182-Driver!$K$182)</f>
        <v/>
      </c>
      <c r="AN114" s="108">
        <f>(AZ114-Driver!$K$183)/(Driver!$L$183-Driver!$K$183)</f>
        <v/>
      </c>
      <c r="AO114" s="108" t="n"/>
      <c r="AP114" s="108" t="n"/>
      <c r="AQ114" s="108">
        <f>(BC114-Driver!$K$188)/(Driver!$L$188-Driver!$K$188)</f>
        <v/>
      </c>
      <c r="AR114" s="108">
        <f>MIN((BD114-Driver!$K$189)/(Driver!$L$189-Driver!$K$189),100%)</f>
        <v/>
      </c>
      <c r="AS114" s="108">
        <f>(BE114-Driver!$K$190)/(Driver!$L$190-Driver!$K$190)</f>
        <v/>
      </c>
      <c r="AT114" s="108">
        <f>(BF114-Driver!$K$191)/(Driver!$L$191-Driver!$K$191)</f>
        <v/>
      </c>
      <c r="AU114" s="108">
        <f>(BG114-Driver!$K$192)/(Driver!$L$192-Driver!$K$192)</f>
        <v/>
      </c>
      <c r="AV114" s="105">
        <f>IFERROR(BM114*BJ114^1/4,"")</f>
        <v/>
      </c>
      <c r="AW114" s="105">
        <f>IFERROR(SUM(AX114:AZ114),"")</f>
        <v/>
      </c>
      <c r="AX114" s="105">
        <f>IFERROR(BH114,"")</f>
        <v/>
      </c>
      <c r="AY114" s="105">
        <f>IFERROR(Driver!$K$19/Data!BH114/Data!BI114*Data!BK114*Data!BL114,"")</f>
        <v/>
      </c>
      <c r="AZ114" s="105">
        <f>IFERROR(BI114*BN114,"")</f>
        <v/>
      </c>
      <c r="BA114" s="105" t="n"/>
      <c r="BB114" s="105" t="n"/>
      <c r="BC114" s="105">
        <f>IFERROR(BI114*BN114*BK114/BJ114^(1/2),"")</f>
        <v/>
      </c>
      <c r="BD114" s="105">
        <f>IFERROR(BH114*BM114*BL114/BJ114/BK114,"")</f>
        <v/>
      </c>
      <c r="BE114" s="105">
        <f>IFERROR(MIN(BI114/BQ114/BP114/BO114/BH114,$BE$1),"")</f>
        <v/>
      </c>
      <c r="BF114" s="105">
        <f>IFERROR(BJ114*BO114*BP114/BK114,"")</f>
        <v/>
      </c>
      <c r="BG114" s="105">
        <f>IFERROR(1/BM114/BH114*BQ114,"")</f>
        <v/>
      </c>
      <c r="BH114" s="102">
        <f>MAX((CE114-Driver!$F$200)/(Driver!$G$200-Driver!$F$200)*$BI$1,1)</f>
        <v/>
      </c>
      <c r="BI114" s="102">
        <f>MAX($BI$1*(BY114-Driver!$F$201)/(Driver!$G$201-Driver!$F$201),1)</f>
        <v/>
      </c>
      <c r="BJ114" s="102">
        <f>(CB114-Driver!$F$206)/(Driver!$G$206-Driver!$F$206)*$BI$1</f>
        <v/>
      </c>
      <c r="BK114" s="102">
        <f>(CD114-Driver!$F$203)/(Driver!$G$203-Driver!$F$203)*$BI$1</f>
        <v/>
      </c>
      <c r="BL114" s="102">
        <f>MAX((CR114-Driver!$F$202)/(Driver!$G$202-Driver!$F$202)*$BI$1,1)</f>
        <v/>
      </c>
      <c r="BM114" s="102">
        <f>MAX((CH114-Driver!$F$204)/(Driver!$G$204-Driver!$F$204)*$BI$1,1)</f>
        <v/>
      </c>
      <c r="BN114" s="102">
        <f>(CI114-Driver!$F$205)/(Driver!$G$205-Driver!$F$205)*$BI$1</f>
        <v/>
      </c>
      <c r="BO114" s="102">
        <f>(CK114-Driver!$F$207)/(Driver!$G$207-Driver!$F$207)*$BI$1</f>
        <v/>
      </c>
      <c r="BP114" s="102">
        <f>(CM114-Driver!$F$208)/(Driver!$G$208-Driver!$F$208)*$BI$1</f>
        <v/>
      </c>
      <c r="BQ114" s="102">
        <f>(CL114-Driver!$F$209)/(Driver!$G$209-Driver!$F$209)*$BI$1</f>
        <v/>
      </c>
      <c r="BR114" s="40" t="inlineStr">
        <is>
          <t>21/22</t>
        </is>
      </c>
      <c r="BS114" s="10" t="inlineStr">
        <is>
          <t xml:space="preserve"> Rossignol</t>
        </is>
      </c>
      <c r="BT114" s="11" t="inlineStr">
        <is>
          <t xml:space="preserve"> Blackops Holyshred</t>
        </is>
      </c>
      <c r="BU114" s="13" t="n">
        <v>172</v>
      </c>
      <c r="BV114" s="11" t="inlineStr">
        <is>
          <t xml:space="preserve"> Unisex</t>
        </is>
      </c>
      <c r="BW114" s="13" t="n">
        <v>172</v>
      </c>
      <c r="BX114" s="13" t="n">
        <v>169.3</v>
      </c>
      <c r="BY114" s="13" t="n">
        <v>121</v>
      </c>
      <c r="BZ114" s="13" t="n">
        <v>146</v>
      </c>
      <c r="CA114" s="13" t="n">
        <v>129</v>
      </c>
      <c r="CB114" s="13" t="n">
        <v>97</v>
      </c>
      <c r="CC114" s="13" t="n">
        <v>120</v>
      </c>
      <c r="CD114" s="13" t="n">
        <v>17</v>
      </c>
      <c r="CE114" s="13" t="n">
        <v>1850</v>
      </c>
      <c r="CF114" s="13" t="n">
        <v>0.99</v>
      </c>
      <c r="CG114" s="13" t="n">
        <v>1826</v>
      </c>
      <c r="CH114" s="13" t="n">
        <v>196</v>
      </c>
      <c r="CI114" s="13" t="n">
        <v>107</v>
      </c>
      <c r="CJ114" s="13" t="n">
        <v>57</v>
      </c>
      <c r="CK114" s="13" t="n">
        <v>260</v>
      </c>
      <c r="CL114" s="13" t="n">
        <v>37</v>
      </c>
      <c r="CM114" s="13" t="n">
        <v>226</v>
      </c>
      <c r="CN114" s="13" t="n">
        <v>0.65</v>
      </c>
      <c r="CO114" s="13" t="n">
        <v>136</v>
      </c>
      <c r="CP114" s="13" t="n">
        <v>97</v>
      </c>
      <c r="CQ114" s="13" t="n">
        <v>125</v>
      </c>
      <c r="CR114" s="13" t="n">
        <v>8</v>
      </c>
      <c r="CS114" s="13" t="n">
        <v>4.3</v>
      </c>
      <c r="CT114" s="11" t="inlineStr">
        <is>
          <t xml:space="preserve"> Resort Freeride</t>
        </is>
      </c>
      <c r="CU114" s="13" t="n"/>
      <c r="CV114" s="13" t="n"/>
      <c r="CW114" s="13" t="n"/>
      <c r="CX114">
        <f>INDEX('Data_Price '!AG$2:AG$1266,MATCH(Data!$DN114,'Data_Price '!$AT$2:$AT$1266,0))</f>
        <v/>
      </c>
      <c r="CY114">
        <f>INDEX('Data_Price '!AH$2:AH$1266,MATCH(Data!$DN114,'Data_Price '!$AT$2:$AT$1266,0))</f>
        <v/>
      </c>
      <c r="CZ114">
        <f>INDEX('Data_Price '!AI$2:AI$1266,MATCH(Data!$DN114,'Data_Price '!$AT$2:$AT$1266,0))</f>
        <v/>
      </c>
      <c r="DA114">
        <f>INDEX('Data_Price '!AJ$2:AJ$1266,MATCH(Data!$DN114,'Data_Price '!$AT$2:$AT$1266,0))</f>
        <v/>
      </c>
      <c r="DB114">
        <f>INDEX('Data_Price '!AK$2:AK$1266,MATCH(Data!$DN114,'Data_Price '!$AT$2:$AT$1266,0))</f>
        <v/>
      </c>
      <c r="DC114">
        <f>INDEX('Data_Price '!AL$2:AL$1266,MATCH(Data!$DN114,'Data_Price '!$AT$2:$AT$1266,0))</f>
        <v/>
      </c>
      <c r="DD114">
        <f>INDEX('Data_Price '!AM$2:AM$1266,MATCH(Data!$DN114,'Data_Price '!$AT$2:$AT$1266,0))</f>
        <v/>
      </c>
      <c r="DE114">
        <f>INDEX('Data_Price '!AN$2:AN$1266,MATCH(Data!$DN114,'Data_Price '!$AT$2:$AT$1266,0))</f>
        <v/>
      </c>
      <c r="DF114">
        <f>INDEX('Data_Price '!AO$2:AO$1266,MATCH(Data!$DN114,'Data_Price '!$AT$2:$AT$1266,0))</f>
        <v/>
      </c>
      <c r="DG114">
        <f>INDEX('Data_Price '!AP$2:AP$1266,MATCH(Data!$DN114,'Data_Price '!$AT$2:$AT$1266,0))</f>
        <v/>
      </c>
      <c r="DH114">
        <f>INDEX('Data_Price '!AQ$2:AQ$1266,MATCH(Data!$DN114,'Data_Price '!$AT$2:$AT$1266,0))</f>
        <v/>
      </c>
      <c r="DI114">
        <f>INDEX('Data_Price '!AR$2:AR$1266,MATCH(Data!$DN114,'Data_Price '!$AT$2:$AT$1266,0))</f>
        <v/>
      </c>
      <c r="DJ114" s="138">
        <f>DA114</f>
        <v/>
      </c>
      <c r="DK114" s="138">
        <f>DE114</f>
        <v/>
      </c>
      <c r="DL114" s="138">
        <f>DI114</f>
        <v/>
      </c>
      <c r="DM114" s="303">
        <f>IF(LEFT(BT114,1)=" ",RIGHT(BT114,LEN(BT114)-1),BT114)</f>
        <v/>
      </c>
      <c r="DN114" s="138">
        <f>_xlfn.CONCAT(BS114,DM114,BU114,BV114)</f>
        <v/>
      </c>
      <c r="DO114" s="307" t="n"/>
    </row>
    <row r="115" ht="15.6" customHeight="1" s="184">
      <c r="B115" s="303">
        <f t="array" ref="B115">IF(OR(ISERROR(K115:P115)),FALSE,TRUE)</f>
        <v/>
      </c>
      <c r="C115" s="60">
        <f>OR(BR115=Driver!$G$50,Data!BR88=Driver!$H$50)</f>
        <v/>
      </c>
      <c r="D115" s="60">
        <f>OR(BV115=Driver!$G$51,BV115=Driver!$H$51)</f>
        <v/>
      </c>
      <c r="E115" s="60">
        <f>AND(BX115&gt;Driver!$F$54,BX115&lt;Driver!$G$54)</f>
        <v/>
      </c>
      <c r="F115" s="60">
        <f>CL115&gt;Driver!$F$56</f>
        <v/>
      </c>
      <c r="G115" s="60">
        <f>AND(CB115&gt;Driver!$F$55,CB115&lt;Driver!$G$55)</f>
        <v/>
      </c>
      <c r="H115" s="60">
        <f>AND(B115:G115)</f>
        <v/>
      </c>
      <c r="I115" s="60">
        <f>COUNTIFS($H$9:$H$1273,TRUE,$BT$9:$BT$1273,BT115)</f>
        <v/>
      </c>
      <c r="J115" s="60">
        <f t="array" ref="J115">NOT(OR(($H$9:$H$1273=TRUE)*($I$9:$I$1273&gt;0)*($BT$9:$BT$1273=BT115)*($K$9:$K$1273&gt;K115)))</f>
        <v/>
      </c>
      <c r="K115" s="108">
        <f>IFERROR(1-AVERAGE(X115:Y115),"")</f>
        <v/>
      </c>
      <c r="L115" s="108">
        <f>1-X115</f>
        <v/>
      </c>
      <c r="M115" s="108">
        <f>1-Y115</f>
        <v/>
      </c>
      <c r="N115" s="108">
        <f>1-Z115</f>
        <v/>
      </c>
      <c r="O115" s="108">
        <f>1-AA115</f>
        <v/>
      </c>
      <c r="P115" s="108">
        <f>1-AB115</f>
        <v/>
      </c>
      <c r="Q115" s="108" t="n"/>
      <c r="R115" s="108" t="n"/>
      <c r="S115" s="108">
        <f>1-AE115</f>
        <v/>
      </c>
      <c r="T115" s="108">
        <f>1-AF115</f>
        <v/>
      </c>
      <c r="U115" s="108">
        <f>1-AG115</f>
        <v/>
      </c>
      <c r="V115" s="108">
        <f>1-AH115</f>
        <v/>
      </c>
      <c r="W115" s="108">
        <f>1-AI115</f>
        <v/>
      </c>
      <c r="X115" s="108">
        <f>ABS(AJ115-AJ$1)</f>
        <v/>
      </c>
      <c r="Y115" s="108">
        <f>AVERAGE(Z115:AB115)</f>
        <v/>
      </c>
      <c r="Z115" s="108">
        <f>ABS(AL115-AL$1)</f>
        <v/>
      </c>
      <c r="AA115" s="108">
        <f>ABS(AM115-AM$1)</f>
        <v/>
      </c>
      <c r="AB115" s="108">
        <f>ABS(AN115-AN$1)</f>
        <v/>
      </c>
      <c r="AC115" s="108" t="n"/>
      <c r="AD115" s="108" t="n"/>
      <c r="AE115" s="108">
        <f>ABS(AQ$1-AQ115)</f>
        <v/>
      </c>
      <c r="AF115" s="108">
        <f>ABS(AR$1-AR115)</f>
        <v/>
      </c>
      <c r="AG115" s="108">
        <f>ABS(AS$1-AS115)</f>
        <v/>
      </c>
      <c r="AH115" s="108">
        <f>ABS(AT$1-AT115)</f>
        <v/>
      </c>
      <c r="AI115" s="108">
        <f>ABS(AU$1-AU115)</f>
        <v/>
      </c>
      <c r="AJ115" s="108">
        <f>(AV115-Driver!$K$179)/(Driver!$L$179-Driver!$K$179)</f>
        <v/>
      </c>
      <c r="AK115" s="108">
        <f>(AW115-Driver!$K$180)/(Driver!$L$180-Driver!$K$180)</f>
        <v/>
      </c>
      <c r="AL115" s="108">
        <f>(AX115-Driver!$K$181)/(Driver!$L$181-Driver!$K$181)</f>
        <v/>
      </c>
      <c r="AM115" s="108">
        <f>(AY115-Driver!$K$182)/(Driver!$L$182-Driver!$K$182)</f>
        <v/>
      </c>
      <c r="AN115" s="108">
        <f>(AZ115-Driver!$K$183)/(Driver!$L$183-Driver!$K$183)</f>
        <v/>
      </c>
      <c r="AO115" s="108" t="n"/>
      <c r="AP115" s="108" t="n"/>
      <c r="AQ115" s="108">
        <f>(BC115-Driver!$K$188)/(Driver!$L$188-Driver!$K$188)</f>
        <v/>
      </c>
      <c r="AR115" s="108">
        <f>MIN((BD115-Driver!$K$189)/(Driver!$L$189-Driver!$K$189),100%)</f>
        <v/>
      </c>
      <c r="AS115" s="108">
        <f>(BE115-Driver!$K$190)/(Driver!$L$190-Driver!$K$190)</f>
        <v/>
      </c>
      <c r="AT115" s="108">
        <f>(BF115-Driver!$K$191)/(Driver!$L$191-Driver!$K$191)</f>
        <v/>
      </c>
      <c r="AU115" s="108">
        <f>(BG115-Driver!$K$192)/(Driver!$L$192-Driver!$K$192)</f>
        <v/>
      </c>
      <c r="AV115" s="105">
        <f>IFERROR(BM115*BJ115^1/4,"")</f>
        <v/>
      </c>
      <c r="AW115" s="105">
        <f>IFERROR(SUM(AX115:AZ115),"")</f>
        <v/>
      </c>
      <c r="AX115" s="105">
        <f>IFERROR(BH115,"")</f>
        <v/>
      </c>
      <c r="AY115" s="105">
        <f>IFERROR(Driver!$K$19/Data!BH115/Data!BI115*Data!BK115*Data!BL115,"")</f>
        <v/>
      </c>
      <c r="AZ115" s="105">
        <f>IFERROR(BI115*BN115,"")</f>
        <v/>
      </c>
      <c r="BA115" s="105" t="n"/>
      <c r="BB115" s="105" t="n"/>
      <c r="BC115" s="105">
        <f>IFERROR(BI115*BN115*BK115/BJ115^(1/2),"")</f>
        <v/>
      </c>
      <c r="BD115" s="105">
        <f>IFERROR(BH115*BM115*BL115/BJ115/BK115,"")</f>
        <v/>
      </c>
      <c r="BE115" s="105">
        <f>IFERROR(MIN(BI115/BQ115/BP115/BO115/BH115,$BE$1),"")</f>
        <v/>
      </c>
      <c r="BF115" s="105">
        <f>IFERROR(BJ115*BO115*BP115/BK115,"")</f>
        <v/>
      </c>
      <c r="BG115" s="105">
        <f>IFERROR(1/BM115/BH115*BQ115,"")</f>
        <v/>
      </c>
      <c r="BH115" s="102">
        <f>MAX((CE115-Driver!$F$200)/(Driver!$G$200-Driver!$F$200)*$BI$1,1)</f>
        <v/>
      </c>
      <c r="BI115" s="102">
        <f>MAX($BI$1*(BY115-Driver!$F$201)/(Driver!$G$201-Driver!$F$201),1)</f>
        <v/>
      </c>
      <c r="BJ115" s="102">
        <f>(CB115-Driver!$F$206)/(Driver!$G$206-Driver!$F$206)*$BI$1</f>
        <v/>
      </c>
      <c r="BK115" s="102">
        <f>(CD115-Driver!$F$203)/(Driver!$G$203-Driver!$F$203)*$BI$1</f>
        <v/>
      </c>
      <c r="BL115" s="102">
        <f>MAX((CR115-Driver!$F$202)/(Driver!$G$202-Driver!$F$202)*$BI$1,1)</f>
        <v/>
      </c>
      <c r="BM115" s="102">
        <f>MAX((CH115-Driver!$F$204)/(Driver!$G$204-Driver!$F$204)*$BI$1,1)</f>
        <v/>
      </c>
      <c r="BN115" s="102">
        <f>(CI115-Driver!$F$205)/(Driver!$G$205-Driver!$F$205)*$BI$1</f>
        <v/>
      </c>
      <c r="BO115" s="102">
        <f>(CK115-Driver!$F$207)/(Driver!$G$207-Driver!$F$207)*$BI$1</f>
        <v/>
      </c>
      <c r="BP115" s="102">
        <f>(CM115-Driver!$F$208)/(Driver!$G$208-Driver!$F$208)*$BI$1</f>
        <v/>
      </c>
      <c r="BQ115" s="102">
        <f>(CL115-Driver!$F$209)/(Driver!$G$209-Driver!$F$209)*$BI$1</f>
        <v/>
      </c>
      <c r="BR115" s="40" t="inlineStr">
        <is>
          <t>21/22</t>
        </is>
      </c>
      <c r="BS115" s="10" t="inlineStr">
        <is>
          <t xml:space="preserve"> Armada</t>
        </is>
      </c>
      <c r="BT115" s="11" t="inlineStr">
        <is>
          <t>Reliance 88 Ca</t>
        </is>
      </c>
      <c r="BU115" s="13" t="n">
        <v>168</v>
      </c>
      <c r="BV115" s="11" t="inlineStr">
        <is>
          <t xml:space="preserve"> Women's</t>
        </is>
      </c>
      <c r="BW115" s="13" t="n">
        <v>168</v>
      </c>
      <c r="BX115" s="13" t="n">
        <v>167.4</v>
      </c>
      <c r="BY115" s="13" t="n">
        <v>138</v>
      </c>
      <c r="BZ115" s="13" t="n">
        <v>149</v>
      </c>
      <c r="CA115" s="13" t="n">
        <v>128</v>
      </c>
      <c r="CB115" s="13" t="n">
        <v>87</v>
      </c>
      <c r="CC115" s="13" t="n">
        <v>109</v>
      </c>
      <c r="CD115" s="13" t="n">
        <v>16.9</v>
      </c>
      <c r="CE115" s="13" t="n">
        <v>1550</v>
      </c>
      <c r="CF115" s="13" t="n">
        <v>1.07</v>
      </c>
      <c r="CG115" s="13" t="n">
        <v>1664</v>
      </c>
      <c r="CH115" s="13" t="n">
        <v>243</v>
      </c>
      <c r="CI115" s="13" t="n">
        <v>106</v>
      </c>
      <c r="CJ115" s="13" t="n">
        <v>41</v>
      </c>
      <c r="CK115" s="13" t="n">
        <v>186</v>
      </c>
      <c r="CL115" s="13" t="n">
        <v>11</v>
      </c>
      <c r="CM115" s="13" t="n">
        <v>112</v>
      </c>
      <c r="CN115" s="13" t="n">
        <v>0.258</v>
      </c>
      <c r="CO115" s="13" t="n">
        <v>114</v>
      </c>
      <c r="CP115" s="13" t="n">
        <v>74</v>
      </c>
      <c r="CQ115" s="13" t="n">
        <v>72</v>
      </c>
      <c r="CR115" s="13" t="n">
        <v>5</v>
      </c>
      <c r="CS115" s="13" t="n">
        <v>11.8</v>
      </c>
      <c r="CT115" s="11" t="inlineStr">
        <is>
          <t xml:space="preserve"> Resort Freeride</t>
        </is>
      </c>
      <c r="CU115" s="11" t="inlineStr">
        <is>
          <t xml:space="preserve"> Touring</t>
        </is>
      </c>
      <c r="CV115" s="13" t="n"/>
      <c r="CW115" s="13" t="n"/>
      <c r="CX115">
        <f>INDEX('Data_Price '!AG$2:AG$1266,MATCH(Data!$DN115,'Data_Price '!$AT$2:$AT$1266,0))</f>
        <v/>
      </c>
      <c r="CY115">
        <f>INDEX('Data_Price '!AH$2:AH$1266,MATCH(Data!$DN115,'Data_Price '!$AT$2:$AT$1266,0))</f>
        <v/>
      </c>
      <c r="CZ115">
        <f>INDEX('Data_Price '!AI$2:AI$1266,MATCH(Data!$DN115,'Data_Price '!$AT$2:$AT$1266,0))</f>
        <v/>
      </c>
      <c r="DA115">
        <f>INDEX('Data_Price '!AJ$2:AJ$1266,MATCH(Data!$DN115,'Data_Price '!$AT$2:$AT$1266,0))</f>
        <v/>
      </c>
      <c r="DB115">
        <f>INDEX('Data_Price '!AK$2:AK$1266,MATCH(Data!$DN115,'Data_Price '!$AT$2:$AT$1266,0))</f>
        <v/>
      </c>
      <c r="DC115">
        <f>INDEX('Data_Price '!AL$2:AL$1266,MATCH(Data!$DN115,'Data_Price '!$AT$2:$AT$1266,0))</f>
        <v/>
      </c>
      <c r="DD115">
        <f>INDEX('Data_Price '!AM$2:AM$1266,MATCH(Data!$DN115,'Data_Price '!$AT$2:$AT$1266,0))</f>
        <v/>
      </c>
      <c r="DE115">
        <f>INDEX('Data_Price '!AN$2:AN$1266,MATCH(Data!$DN115,'Data_Price '!$AT$2:$AT$1266,0))</f>
        <v/>
      </c>
      <c r="DF115">
        <f>INDEX('Data_Price '!AO$2:AO$1266,MATCH(Data!$DN115,'Data_Price '!$AT$2:$AT$1266,0))</f>
        <v/>
      </c>
      <c r="DG115">
        <f>INDEX('Data_Price '!AP$2:AP$1266,MATCH(Data!$DN115,'Data_Price '!$AT$2:$AT$1266,0))</f>
        <v/>
      </c>
      <c r="DH115">
        <f>INDEX('Data_Price '!AQ$2:AQ$1266,MATCH(Data!$DN115,'Data_Price '!$AT$2:$AT$1266,0))</f>
        <v/>
      </c>
      <c r="DI115">
        <f>INDEX('Data_Price '!AR$2:AR$1266,MATCH(Data!$DN115,'Data_Price '!$AT$2:$AT$1266,0))</f>
        <v/>
      </c>
      <c r="DJ115" s="138">
        <f>DA115</f>
        <v/>
      </c>
      <c r="DK115" s="138">
        <f>DE115</f>
        <v/>
      </c>
      <c r="DL115" s="138">
        <f>DI115</f>
        <v/>
      </c>
      <c r="DM115" s="303">
        <f>IF(LEFT(BT115,1)=" ",RIGHT(BT115,LEN(BT115)-1),BT115)</f>
        <v/>
      </c>
      <c r="DN115" s="138">
        <f>_xlfn.CONCAT(BS115,DM115,BU115,BV115)</f>
        <v/>
      </c>
      <c r="DO115" s="307" t="n"/>
    </row>
    <row r="116" ht="15.6" customHeight="1" s="184">
      <c r="B116" s="303">
        <f t="array" ref="B116">IF(OR(ISERROR(K116:P116)),FALSE,TRUE)</f>
        <v/>
      </c>
      <c r="C116" s="60">
        <f>OR(BR116=Driver!$G$50,Data!BR917=Driver!$H$50)</f>
        <v/>
      </c>
      <c r="D116" s="60">
        <f>OR(BV116=Driver!$G$51,BV116=Driver!$H$51)</f>
        <v/>
      </c>
      <c r="E116" s="60">
        <f>AND(BX116&gt;Driver!$F$54,BX116&lt;Driver!$G$54)</f>
        <v/>
      </c>
      <c r="F116" s="60">
        <f>CL116&gt;Driver!$F$56</f>
        <v/>
      </c>
      <c r="G116" s="60">
        <f>AND(CB116&gt;Driver!$F$55,CB116&lt;Driver!$G$55)</f>
        <v/>
      </c>
      <c r="H116" s="60">
        <f>AND(B116:G116)</f>
        <v/>
      </c>
      <c r="I116" s="60">
        <f>COUNTIFS($H$9:$H$1273,TRUE,$BT$9:$BT$1273,BT116)</f>
        <v/>
      </c>
      <c r="J116" s="60">
        <f t="array" ref="J116">NOT(OR(($H$9:$H$1273=TRUE)*($I$9:$I$1273&gt;0)*($BT$9:$BT$1273=BT116)*($K$9:$K$1273&gt;K116)))</f>
        <v/>
      </c>
      <c r="K116" s="108">
        <f>IFERROR(1-AVERAGE(X116:Y116),"")</f>
        <v/>
      </c>
      <c r="L116" s="108">
        <f>1-X116</f>
        <v/>
      </c>
      <c r="M116" s="108">
        <f>1-Y116</f>
        <v/>
      </c>
      <c r="N116" s="108">
        <f>1-Z116</f>
        <v/>
      </c>
      <c r="O116" s="108">
        <f>1-AA116</f>
        <v/>
      </c>
      <c r="P116" s="108">
        <f>1-AB116</f>
        <v/>
      </c>
      <c r="Q116" s="108" t="n"/>
      <c r="R116" s="108" t="n"/>
      <c r="S116" s="108">
        <f>1-AE116</f>
        <v/>
      </c>
      <c r="T116" s="108">
        <f>1-AF116</f>
        <v/>
      </c>
      <c r="U116" s="108">
        <f>1-AG116</f>
        <v/>
      </c>
      <c r="V116" s="108">
        <f>1-AH116</f>
        <v/>
      </c>
      <c r="W116" s="108">
        <f>1-AI116</f>
        <v/>
      </c>
      <c r="X116" s="108">
        <f>ABS(AJ116-AJ$1)</f>
        <v/>
      </c>
      <c r="Y116" s="108">
        <f>AVERAGE(Z116:AB116)</f>
        <v/>
      </c>
      <c r="Z116" s="108">
        <f>ABS(AL116-AL$1)</f>
        <v/>
      </c>
      <c r="AA116" s="108">
        <f>ABS(AM116-AM$1)</f>
        <v/>
      </c>
      <c r="AB116" s="108">
        <f>ABS(AN116-AN$1)</f>
        <v/>
      </c>
      <c r="AC116" s="108" t="n"/>
      <c r="AD116" s="108" t="n"/>
      <c r="AE116" s="108">
        <f>ABS(AQ$1-AQ116)</f>
        <v/>
      </c>
      <c r="AF116" s="108">
        <f>ABS(AR$1-AR116)</f>
        <v/>
      </c>
      <c r="AG116" s="108">
        <f>ABS(AS$1-AS116)</f>
        <v/>
      </c>
      <c r="AH116" s="108">
        <f>ABS(AT$1-AT116)</f>
        <v/>
      </c>
      <c r="AI116" s="108">
        <f>ABS(AU$1-AU116)</f>
        <v/>
      </c>
      <c r="AJ116" s="108">
        <f>(AV116-Driver!$K$179)/(Driver!$L$179-Driver!$K$179)</f>
        <v/>
      </c>
      <c r="AK116" s="108">
        <f>(AW116-Driver!$K$180)/(Driver!$L$180-Driver!$K$180)</f>
        <v/>
      </c>
      <c r="AL116" s="108">
        <f>(AX116-Driver!$K$181)/(Driver!$L$181-Driver!$K$181)</f>
        <v/>
      </c>
      <c r="AM116" s="108">
        <f>(AY116-Driver!$K$182)/(Driver!$L$182-Driver!$K$182)</f>
        <v/>
      </c>
      <c r="AN116" s="108">
        <f>(AZ116-Driver!$K$183)/(Driver!$L$183-Driver!$K$183)</f>
        <v/>
      </c>
      <c r="AO116" s="108" t="n"/>
      <c r="AP116" s="108" t="n"/>
      <c r="AQ116" s="108">
        <f>(BC116-Driver!$K$188)/(Driver!$L$188-Driver!$K$188)</f>
        <v/>
      </c>
      <c r="AR116" s="108">
        <f>MIN((BD116-Driver!$K$189)/(Driver!$L$189-Driver!$K$189),100%)</f>
        <v/>
      </c>
      <c r="AS116" s="108">
        <f>(BE116-Driver!$K$190)/(Driver!$L$190-Driver!$K$190)</f>
        <v/>
      </c>
      <c r="AT116" s="108">
        <f>(BF116-Driver!$K$191)/(Driver!$L$191-Driver!$K$191)</f>
        <v/>
      </c>
      <c r="AU116" s="108">
        <f>(BG116-Driver!$K$192)/(Driver!$L$192-Driver!$K$192)</f>
        <v/>
      </c>
      <c r="AV116" s="105">
        <f>IFERROR(BM116*BJ116^1/4,"")</f>
        <v/>
      </c>
      <c r="AW116" s="105">
        <f>IFERROR(SUM(AX116:AZ116),"")</f>
        <v/>
      </c>
      <c r="AX116" s="105">
        <f>IFERROR(BH116,"")</f>
        <v/>
      </c>
      <c r="AY116" s="105">
        <f>IFERROR(Driver!$K$19/Data!BH116/Data!BI116*Data!BK116*Data!BL116,"")</f>
        <v/>
      </c>
      <c r="AZ116" s="105">
        <f>IFERROR(BI116*BN116,"")</f>
        <v/>
      </c>
      <c r="BA116" s="105" t="n"/>
      <c r="BB116" s="105" t="n"/>
      <c r="BC116" s="105">
        <f>IFERROR(BI116*BN116*BK116/BJ116^(1/2),"")</f>
        <v/>
      </c>
      <c r="BD116" s="105">
        <f>IFERROR(BH116*BM116*BL116/BJ116/BK116,"")</f>
        <v/>
      </c>
      <c r="BE116" s="105">
        <f>IFERROR(MIN(BI116/BQ116/BP116/BO116/BH116,$BE$1),"")</f>
        <v/>
      </c>
      <c r="BF116" s="105">
        <f>IFERROR(BJ116*BO116*BP116/BK116,"")</f>
        <v/>
      </c>
      <c r="BG116" s="105">
        <f>IFERROR(1/BM116/BH116*BQ116,"")</f>
        <v/>
      </c>
      <c r="BH116" s="102">
        <f>MAX((CE116-Driver!$F$200)/(Driver!$G$200-Driver!$F$200)*$BI$1,1)</f>
        <v/>
      </c>
      <c r="BI116" s="102">
        <f>MAX($BI$1*(BY116-Driver!$F$201)/(Driver!$G$201-Driver!$F$201),1)</f>
        <v/>
      </c>
      <c r="BJ116" s="102">
        <f>(CB116-Driver!$F$206)/(Driver!$G$206-Driver!$F$206)*$BI$1</f>
        <v/>
      </c>
      <c r="BK116" s="102">
        <f>(CD116-Driver!$F$203)/(Driver!$G$203-Driver!$F$203)*$BI$1</f>
        <v/>
      </c>
      <c r="BL116" s="102">
        <f>MAX((CR116-Driver!$F$202)/(Driver!$G$202-Driver!$F$202)*$BI$1,1)</f>
        <v/>
      </c>
      <c r="BM116" s="102">
        <f>MAX((CH116-Driver!$F$204)/(Driver!$G$204-Driver!$F$204)*$BI$1,1)</f>
        <v/>
      </c>
      <c r="BN116" s="102">
        <f>(CI116-Driver!$F$205)/(Driver!$G$205-Driver!$F$205)*$BI$1</f>
        <v/>
      </c>
      <c r="BO116" s="102">
        <f>(CK116-Driver!$F$207)/(Driver!$G$207-Driver!$F$207)*$BI$1</f>
        <v/>
      </c>
      <c r="BP116" s="102">
        <f>(CM116-Driver!$F$208)/(Driver!$G$208-Driver!$F$208)*$BI$1</f>
        <v/>
      </c>
      <c r="BQ116" s="102">
        <f>(CL116-Driver!$F$209)/(Driver!$G$209-Driver!$F$209)*$BI$1</f>
        <v/>
      </c>
      <c r="BR116" s="40" t="inlineStr">
        <is>
          <t>21/22</t>
        </is>
      </c>
      <c r="BS116" s="10" t="inlineStr">
        <is>
          <t xml:space="preserve"> Nordica</t>
        </is>
      </c>
      <c r="BT116" s="11" t="inlineStr">
        <is>
          <t>Santa Ana 110 Free</t>
        </is>
      </c>
      <c r="BU116" s="13" t="n">
        <v>177</v>
      </c>
      <c r="BV116" s="11" t="inlineStr">
        <is>
          <t xml:space="preserve"> Women's</t>
        </is>
      </c>
      <c r="BW116" s="13" t="n">
        <v>177</v>
      </c>
      <c r="BX116" s="13" t="n">
        <v>175.5</v>
      </c>
      <c r="BY116" s="13" t="n">
        <v>116</v>
      </c>
      <c r="BZ116" s="13" t="n">
        <v>145</v>
      </c>
      <c r="CA116" s="13" t="n">
        <v>140</v>
      </c>
      <c r="CB116" s="13" t="n">
        <v>108</v>
      </c>
      <c r="CC116" s="13" t="n">
        <v>131</v>
      </c>
      <c r="CD116" s="13" t="n">
        <v>16.7</v>
      </c>
      <c r="CE116" s="13" t="n">
        <v>1908</v>
      </c>
      <c r="CF116" s="13" t="n">
        <v>1.09</v>
      </c>
      <c r="CG116" s="13" t="n">
        <v>2087</v>
      </c>
      <c r="CH116" s="13" t="n">
        <v>199</v>
      </c>
      <c r="CI116" s="13" t="n">
        <v>103</v>
      </c>
      <c r="CJ116" s="13" t="n">
        <v>71</v>
      </c>
      <c r="CK116" s="13" t="n">
        <v>323</v>
      </c>
      <c r="CL116" s="13" t="n">
        <v>50</v>
      </c>
      <c r="CM116" s="13" t="n">
        <v>268</v>
      </c>
      <c r="CN116" s="13" t="n">
        <v>0.708</v>
      </c>
      <c r="CO116" s="13" t="n">
        <v>156</v>
      </c>
      <c r="CP116" s="13" t="n">
        <v>153</v>
      </c>
      <c r="CQ116" s="13" t="n">
        <v>167</v>
      </c>
      <c r="CR116" s="13" t="n">
        <v>6</v>
      </c>
      <c r="CS116" s="13" t="n">
        <v>8.4</v>
      </c>
      <c r="CT116" s="11" t="inlineStr">
        <is>
          <t xml:space="preserve"> Powder</t>
        </is>
      </c>
      <c r="CU116" s="11" t="inlineStr">
        <is>
          <t xml:space="preserve"> Touring</t>
        </is>
      </c>
      <c r="CV116" s="13" t="n"/>
      <c r="CW116" s="13" t="n"/>
      <c r="CX116">
        <f>INDEX('Data_Price '!AG$2:AG$1266,MATCH(Data!$DN116,'Data_Price '!$AT$2:$AT$1266,0))</f>
        <v/>
      </c>
      <c r="CY116">
        <f>INDEX('Data_Price '!AH$2:AH$1266,MATCH(Data!$DN116,'Data_Price '!$AT$2:$AT$1266,0))</f>
        <v/>
      </c>
      <c r="CZ116">
        <f>INDEX('Data_Price '!AI$2:AI$1266,MATCH(Data!$DN116,'Data_Price '!$AT$2:$AT$1266,0))</f>
        <v/>
      </c>
      <c r="DA116">
        <f>INDEX('Data_Price '!AJ$2:AJ$1266,MATCH(Data!$DN116,'Data_Price '!$AT$2:$AT$1266,0))</f>
        <v/>
      </c>
      <c r="DB116">
        <f>INDEX('Data_Price '!AK$2:AK$1266,MATCH(Data!$DN116,'Data_Price '!$AT$2:$AT$1266,0))</f>
        <v/>
      </c>
      <c r="DC116">
        <f>INDEX('Data_Price '!AL$2:AL$1266,MATCH(Data!$DN116,'Data_Price '!$AT$2:$AT$1266,0))</f>
        <v/>
      </c>
      <c r="DD116">
        <f>INDEX('Data_Price '!AM$2:AM$1266,MATCH(Data!$DN116,'Data_Price '!$AT$2:$AT$1266,0))</f>
        <v/>
      </c>
      <c r="DE116">
        <f>INDEX('Data_Price '!AN$2:AN$1266,MATCH(Data!$DN116,'Data_Price '!$AT$2:$AT$1266,0))</f>
        <v/>
      </c>
      <c r="DF116">
        <f>INDEX('Data_Price '!AO$2:AO$1266,MATCH(Data!$DN116,'Data_Price '!$AT$2:$AT$1266,0))</f>
        <v/>
      </c>
      <c r="DG116">
        <f>INDEX('Data_Price '!AP$2:AP$1266,MATCH(Data!$DN116,'Data_Price '!$AT$2:$AT$1266,0))</f>
        <v/>
      </c>
      <c r="DH116">
        <f>INDEX('Data_Price '!AQ$2:AQ$1266,MATCH(Data!$DN116,'Data_Price '!$AT$2:$AT$1266,0))</f>
        <v/>
      </c>
      <c r="DI116">
        <f>INDEX('Data_Price '!AR$2:AR$1266,MATCH(Data!$DN116,'Data_Price '!$AT$2:$AT$1266,0))</f>
        <v/>
      </c>
      <c r="DJ116" s="138">
        <f>DA116</f>
        <v/>
      </c>
      <c r="DK116" s="138">
        <f>DE116</f>
        <v/>
      </c>
      <c r="DL116" s="138">
        <f>DI116</f>
        <v/>
      </c>
      <c r="DM116" s="303">
        <f>IF(LEFT(BT116,1)=" ",RIGHT(BT116,LEN(BT116)-1),BT116)</f>
        <v/>
      </c>
      <c r="DN116" s="138">
        <f>_xlfn.CONCAT(BS116,DM116,BU116,BV116)</f>
        <v/>
      </c>
      <c r="DO116" s="307" t="inlineStr">
        <is>
          <t>https://images.evo.com/imgp/250/198266/835766/clone.jpg</t>
        </is>
      </c>
    </row>
    <row r="117" ht="15.6" customHeight="1" s="184">
      <c r="B117" s="303">
        <f t="array" ref="B117">IF(OR(ISERROR(K117:P117)),FALSE,TRUE)</f>
        <v/>
      </c>
      <c r="C117" s="60">
        <f>OR(BR117=Driver!$G$50,Data!BR1159=Driver!$H$50)</f>
        <v/>
      </c>
      <c r="D117" s="60">
        <f>OR(BV117=Driver!$G$51,BV117=Driver!$H$51)</f>
        <v/>
      </c>
      <c r="E117" s="60">
        <f>AND(BX117&gt;Driver!$F$54,BX117&lt;Driver!$G$54)</f>
        <v/>
      </c>
      <c r="F117" s="60">
        <f>CL117&gt;Driver!$F$56</f>
        <v/>
      </c>
      <c r="G117" s="60">
        <f>AND(CB117&gt;Driver!$F$55,CB117&lt;Driver!$G$55)</f>
        <v/>
      </c>
      <c r="H117" s="60">
        <f>AND(B117:G117)</f>
        <v/>
      </c>
      <c r="I117" s="60">
        <f>COUNTIFS($H$9:$H$1273,TRUE,$BT$9:$BT$1273,BT117)</f>
        <v/>
      </c>
      <c r="J117" s="60">
        <f t="array" ref="J117">NOT(OR(($H$9:$H$1273=TRUE)*($I$9:$I$1273&gt;0)*($BT$9:$BT$1273=BT117)*($K$9:$K$1273&gt;K117)))</f>
        <v/>
      </c>
      <c r="K117" s="108">
        <f>IFERROR(1-AVERAGE(X117:Y117),"")</f>
        <v/>
      </c>
      <c r="L117" s="108">
        <f>1-X117</f>
        <v/>
      </c>
      <c r="M117" s="108">
        <f>1-Y117</f>
        <v/>
      </c>
      <c r="N117" s="108">
        <f>1-Z117</f>
        <v/>
      </c>
      <c r="O117" s="108">
        <f>1-AA117</f>
        <v/>
      </c>
      <c r="P117" s="108">
        <f>1-AB117</f>
        <v/>
      </c>
      <c r="Q117" s="108" t="n"/>
      <c r="R117" s="108" t="n"/>
      <c r="S117" s="108">
        <f>1-AE117</f>
        <v/>
      </c>
      <c r="T117" s="108">
        <f>1-AF117</f>
        <v/>
      </c>
      <c r="U117" s="108">
        <f>1-AG117</f>
        <v/>
      </c>
      <c r="V117" s="108">
        <f>1-AH117</f>
        <v/>
      </c>
      <c r="W117" s="108">
        <f>1-AI117</f>
        <v/>
      </c>
      <c r="X117" s="108">
        <f>ABS(AJ117-AJ$1)</f>
        <v/>
      </c>
      <c r="Y117" s="108">
        <f>AVERAGE(Z117:AB117)</f>
        <v/>
      </c>
      <c r="Z117" s="108">
        <f>ABS(AL117-AL$1)</f>
        <v/>
      </c>
      <c r="AA117" s="108">
        <f>ABS(AM117-AM$1)</f>
        <v/>
      </c>
      <c r="AB117" s="108">
        <f>ABS(AN117-AN$1)</f>
        <v/>
      </c>
      <c r="AC117" s="108" t="n"/>
      <c r="AD117" s="108" t="n"/>
      <c r="AE117" s="108">
        <f>ABS(AQ$1-AQ117)</f>
        <v/>
      </c>
      <c r="AF117" s="108">
        <f>ABS(AR$1-AR117)</f>
        <v/>
      </c>
      <c r="AG117" s="108">
        <f>ABS(AS$1-AS117)</f>
        <v/>
      </c>
      <c r="AH117" s="108">
        <f>ABS(AT$1-AT117)</f>
        <v/>
      </c>
      <c r="AI117" s="108">
        <f>ABS(AU$1-AU117)</f>
        <v/>
      </c>
      <c r="AJ117" s="108">
        <f>(AV117-Driver!$K$179)/(Driver!$L$179-Driver!$K$179)</f>
        <v/>
      </c>
      <c r="AK117" s="108">
        <f>(AW117-Driver!$K$180)/(Driver!$L$180-Driver!$K$180)</f>
        <v/>
      </c>
      <c r="AL117" s="108">
        <f>(AX117-Driver!$K$181)/(Driver!$L$181-Driver!$K$181)</f>
        <v/>
      </c>
      <c r="AM117" s="108">
        <f>(AY117-Driver!$K$182)/(Driver!$L$182-Driver!$K$182)</f>
        <v/>
      </c>
      <c r="AN117" s="108">
        <f>(AZ117-Driver!$K$183)/(Driver!$L$183-Driver!$K$183)</f>
        <v/>
      </c>
      <c r="AO117" s="108" t="n"/>
      <c r="AP117" s="108" t="n"/>
      <c r="AQ117" s="108">
        <f>(BC117-Driver!$K$188)/(Driver!$L$188-Driver!$K$188)</f>
        <v/>
      </c>
      <c r="AR117" s="108">
        <f>MIN((BD117-Driver!$K$189)/(Driver!$L$189-Driver!$K$189),100%)</f>
        <v/>
      </c>
      <c r="AS117" s="108">
        <f>(BE117-Driver!$K$190)/(Driver!$L$190-Driver!$K$190)</f>
        <v/>
      </c>
      <c r="AT117" s="108">
        <f>(BF117-Driver!$K$191)/(Driver!$L$191-Driver!$K$191)</f>
        <v/>
      </c>
      <c r="AU117" s="108">
        <f>(BG117-Driver!$K$192)/(Driver!$L$192-Driver!$K$192)</f>
        <v/>
      </c>
      <c r="AV117" s="105">
        <f>IFERROR(BM117*BJ117^1/4,"")</f>
        <v/>
      </c>
      <c r="AW117" s="105">
        <f>IFERROR(SUM(AX117:AZ117),"")</f>
        <v/>
      </c>
      <c r="AX117" s="105">
        <f>IFERROR(BH117,"")</f>
        <v/>
      </c>
      <c r="AY117" s="105">
        <f>IFERROR(Driver!$K$19/Data!BH117/Data!BI117*Data!BK117*Data!BL117,"")</f>
        <v/>
      </c>
      <c r="AZ117" s="105">
        <f>IFERROR(BI117*BN117,"")</f>
        <v/>
      </c>
      <c r="BA117" s="105" t="n"/>
      <c r="BB117" s="105" t="n"/>
      <c r="BC117" s="105">
        <f>IFERROR(BI117*BN117*BK117/BJ117^(1/2),"")</f>
        <v/>
      </c>
      <c r="BD117" s="105">
        <f>IFERROR(BH117*BM117*BL117/BJ117/BK117,"")</f>
        <v/>
      </c>
      <c r="BE117" s="105">
        <f>IFERROR(MIN(BI117/BQ117/BP117/BO117/BH117,$BE$1),"")</f>
        <v/>
      </c>
      <c r="BF117" s="105">
        <f>IFERROR(BJ117*BO117*BP117/BK117,"")</f>
        <v/>
      </c>
      <c r="BG117" s="105">
        <f>IFERROR(1/BM117/BH117*BQ117,"")</f>
        <v/>
      </c>
      <c r="BH117" s="102">
        <f>MAX((CE117-Driver!$F$200)/(Driver!$G$200-Driver!$F$200)*$BI$1,1)</f>
        <v/>
      </c>
      <c r="BI117" s="102">
        <f>MAX($BI$1*(BY117-Driver!$F$201)/(Driver!$G$201-Driver!$F$201),1)</f>
        <v/>
      </c>
      <c r="BJ117" s="102">
        <f>(CB117-Driver!$F$206)/(Driver!$G$206-Driver!$F$206)*$BI$1</f>
        <v/>
      </c>
      <c r="BK117" s="102">
        <f>(CD117-Driver!$F$203)/(Driver!$G$203-Driver!$F$203)*$BI$1</f>
        <v/>
      </c>
      <c r="BL117" s="102">
        <f>MAX((CR117-Driver!$F$202)/(Driver!$G$202-Driver!$F$202)*$BI$1,1)</f>
        <v/>
      </c>
      <c r="BM117" s="102">
        <f>MAX((CH117-Driver!$F$204)/(Driver!$G$204-Driver!$F$204)*$BI$1,1)</f>
        <v/>
      </c>
      <c r="BN117" s="102">
        <f>(CI117-Driver!$F$205)/(Driver!$G$205-Driver!$F$205)*$BI$1</f>
        <v/>
      </c>
      <c r="BO117" s="102">
        <f>(CK117-Driver!$F$207)/(Driver!$G$207-Driver!$F$207)*$BI$1</f>
        <v/>
      </c>
      <c r="BP117" s="102">
        <f>(CM117-Driver!$F$208)/(Driver!$G$208-Driver!$F$208)*$BI$1</f>
        <v/>
      </c>
      <c r="BQ117" s="102">
        <f>(CL117-Driver!$F$209)/(Driver!$G$209-Driver!$F$209)*$BI$1</f>
        <v/>
      </c>
      <c r="BR117" s="40" t="inlineStr">
        <is>
          <t>21/22</t>
        </is>
      </c>
      <c r="BS117" s="10" t="inlineStr">
        <is>
          <t xml:space="preserve"> Völkl</t>
        </is>
      </c>
      <c r="BT117" s="11" t="inlineStr">
        <is>
          <t>Blaze 106</t>
        </is>
      </c>
      <c r="BU117" s="13" t="n">
        <v>186</v>
      </c>
      <c r="BV117" s="11" t="inlineStr">
        <is>
          <t xml:space="preserve"> Unisex</t>
        </is>
      </c>
      <c r="BW117" s="13" t="n">
        <v>186</v>
      </c>
      <c r="BX117" s="13" t="n">
        <v>186.9</v>
      </c>
      <c r="BY117" s="13" t="n">
        <v>114</v>
      </c>
      <c r="BZ117" s="13" t="n">
        <v>162</v>
      </c>
      <c r="CA117" s="13" t="n">
        <v>145</v>
      </c>
      <c r="CB117" s="13" t="n">
        <v>105</v>
      </c>
      <c r="CC117" s="13" t="n">
        <v>127</v>
      </c>
      <c r="CD117" s="13" t="n">
        <v>20.6</v>
      </c>
      <c r="CE117" s="13" t="n">
        <v>1845</v>
      </c>
      <c r="CF117" s="13" t="n">
        <v>1.19</v>
      </c>
      <c r="CG117" s="13" t="n">
        <v>2189</v>
      </c>
      <c r="CH117" s="13" t="n">
        <v>200</v>
      </c>
      <c r="CI117" s="13" t="n">
        <v>102</v>
      </c>
      <c r="CJ117" s="13" t="n">
        <v>55</v>
      </c>
      <c r="CK117" s="13" t="n">
        <v>475</v>
      </c>
      <c r="CL117" s="13" t="n">
        <v>23</v>
      </c>
      <c r="CM117" s="13" t="n">
        <v>257</v>
      </c>
      <c r="CN117" s="13" t="n">
        <v>0.417</v>
      </c>
      <c r="CO117" s="13" t="n">
        <v>145</v>
      </c>
      <c r="CP117" s="13" t="n">
        <v>103</v>
      </c>
      <c r="CQ117" s="13" t="n">
        <v>330</v>
      </c>
      <c r="CR117" s="13" t="n">
        <v>2</v>
      </c>
      <c r="CS117" s="13" t="n">
        <v>11.3</v>
      </c>
      <c r="CT117" s="11" t="inlineStr">
        <is>
          <t xml:space="preserve"> Powder</t>
        </is>
      </c>
      <c r="CU117" s="11" t="inlineStr">
        <is>
          <t xml:space="preserve"> Touring</t>
        </is>
      </c>
      <c r="CV117" s="13" t="n"/>
      <c r="CW117" s="13" t="n"/>
      <c r="CX117">
        <f>INDEX('Data_Price '!AG$2:AG$1266,MATCH(Data!$DN117,'Data_Price '!$AT$2:$AT$1266,0))</f>
        <v/>
      </c>
      <c r="CY117">
        <f>INDEX('Data_Price '!AH$2:AH$1266,MATCH(Data!$DN117,'Data_Price '!$AT$2:$AT$1266,0))</f>
        <v/>
      </c>
      <c r="CZ117">
        <f>INDEX('Data_Price '!AI$2:AI$1266,MATCH(Data!$DN117,'Data_Price '!$AT$2:$AT$1266,0))</f>
        <v/>
      </c>
      <c r="DA117">
        <f>INDEX('Data_Price '!AJ$2:AJ$1266,MATCH(Data!$DN117,'Data_Price '!$AT$2:$AT$1266,0))</f>
        <v/>
      </c>
      <c r="DB117">
        <f>INDEX('Data_Price '!AK$2:AK$1266,MATCH(Data!$DN117,'Data_Price '!$AT$2:$AT$1266,0))</f>
        <v/>
      </c>
      <c r="DC117">
        <f>INDEX('Data_Price '!AL$2:AL$1266,MATCH(Data!$DN117,'Data_Price '!$AT$2:$AT$1266,0))</f>
        <v/>
      </c>
      <c r="DD117">
        <f>INDEX('Data_Price '!AM$2:AM$1266,MATCH(Data!$DN117,'Data_Price '!$AT$2:$AT$1266,0))</f>
        <v/>
      </c>
      <c r="DE117">
        <f>INDEX('Data_Price '!AN$2:AN$1266,MATCH(Data!$DN117,'Data_Price '!$AT$2:$AT$1266,0))</f>
        <v/>
      </c>
      <c r="DF117">
        <f>INDEX('Data_Price '!AO$2:AO$1266,MATCH(Data!$DN117,'Data_Price '!$AT$2:$AT$1266,0))</f>
        <v/>
      </c>
      <c r="DG117">
        <f>INDEX('Data_Price '!AP$2:AP$1266,MATCH(Data!$DN117,'Data_Price '!$AT$2:$AT$1266,0))</f>
        <v/>
      </c>
      <c r="DH117">
        <f>INDEX('Data_Price '!AQ$2:AQ$1266,MATCH(Data!$DN117,'Data_Price '!$AT$2:$AT$1266,0))</f>
        <v/>
      </c>
      <c r="DI117">
        <f>INDEX('Data_Price '!AR$2:AR$1266,MATCH(Data!$DN117,'Data_Price '!$AT$2:$AT$1266,0))</f>
        <v/>
      </c>
      <c r="DJ117" s="138">
        <f>DA117</f>
        <v/>
      </c>
      <c r="DK117" s="138">
        <f>DE117</f>
        <v/>
      </c>
      <c r="DL117" s="138">
        <f>DI117</f>
        <v/>
      </c>
      <c r="DM117" s="303">
        <f>IF(LEFT(BT117,1)=" ",RIGHT(BT117,LEN(BT117)-1),BT117)</f>
        <v/>
      </c>
      <c r="DN117" s="138">
        <f>_xlfn.CONCAT(BS117,DM117,BU117,BV117)</f>
        <v/>
      </c>
      <c r="DO117" s="307" t="inlineStr">
        <is>
          <t>https://images.evo.com/imgp/250/208350/837599/clone.jpg</t>
        </is>
      </c>
    </row>
    <row r="118" ht="15.6" customHeight="1" s="184">
      <c r="B118" s="303">
        <f t="array" ref="B118">IF(OR(ISERROR(K118:P118)),FALSE,TRUE)</f>
        <v/>
      </c>
      <c r="C118" s="60">
        <f>OR(BR118=Driver!$G$50,Data!BR566=Driver!$H$50)</f>
        <v/>
      </c>
      <c r="D118" s="60">
        <f>OR(BV118=Driver!$G$51,BV118=Driver!$H$51)</f>
        <v/>
      </c>
      <c r="E118" s="60">
        <f>AND(BX118&gt;Driver!$F$54,BX118&lt;Driver!$G$54)</f>
        <v/>
      </c>
      <c r="F118" s="60">
        <f>CL118&gt;Driver!$F$56</f>
        <v/>
      </c>
      <c r="G118" s="60">
        <f>AND(CB118&gt;Driver!$F$55,CB118&lt;Driver!$G$55)</f>
        <v/>
      </c>
      <c r="H118" s="60">
        <f>AND(B118:G118)</f>
        <v/>
      </c>
      <c r="I118" s="60">
        <f>COUNTIFS($H$9:$H$1273,TRUE,$BT$9:$BT$1273,BT118)</f>
        <v/>
      </c>
      <c r="J118" s="60">
        <f t="array" ref="J118">NOT(OR(($H$9:$H$1273=TRUE)*($I$9:$I$1273&gt;0)*($BT$9:$BT$1273=BT118)*($K$9:$K$1273&gt;K118)))</f>
        <v/>
      </c>
      <c r="K118" s="108">
        <f>IFERROR(1-AVERAGE(X118:Y118),"")</f>
        <v/>
      </c>
      <c r="L118" s="108">
        <f>1-X118</f>
        <v/>
      </c>
      <c r="M118" s="108">
        <f>1-Y118</f>
        <v/>
      </c>
      <c r="N118" s="108">
        <f>1-Z118</f>
        <v/>
      </c>
      <c r="O118" s="108">
        <f>1-AA118</f>
        <v/>
      </c>
      <c r="P118" s="108">
        <f>1-AB118</f>
        <v/>
      </c>
      <c r="Q118" s="108" t="n"/>
      <c r="R118" s="108" t="n"/>
      <c r="S118" s="108">
        <f>1-AE118</f>
        <v/>
      </c>
      <c r="T118" s="108">
        <f>1-AF118</f>
        <v/>
      </c>
      <c r="U118" s="108">
        <f>1-AG118</f>
        <v/>
      </c>
      <c r="V118" s="108">
        <f>1-AH118</f>
        <v/>
      </c>
      <c r="W118" s="108">
        <f>1-AI118</f>
        <v/>
      </c>
      <c r="X118" s="108">
        <f>ABS(AJ118-AJ$1)</f>
        <v/>
      </c>
      <c r="Y118" s="108">
        <f>AVERAGE(Z118:AB118)</f>
        <v/>
      </c>
      <c r="Z118" s="108">
        <f>ABS(AL118-AL$1)</f>
        <v/>
      </c>
      <c r="AA118" s="108">
        <f>ABS(AM118-AM$1)</f>
        <v/>
      </c>
      <c r="AB118" s="108">
        <f>ABS(AN118-AN$1)</f>
        <v/>
      </c>
      <c r="AC118" s="108" t="n"/>
      <c r="AD118" s="108" t="n"/>
      <c r="AE118" s="108">
        <f>ABS(AQ$1-AQ118)</f>
        <v/>
      </c>
      <c r="AF118" s="108">
        <f>ABS(AR$1-AR118)</f>
        <v/>
      </c>
      <c r="AG118" s="108">
        <f>ABS(AS$1-AS118)</f>
        <v/>
      </c>
      <c r="AH118" s="108">
        <f>ABS(AT$1-AT118)</f>
        <v/>
      </c>
      <c r="AI118" s="108">
        <f>ABS(AU$1-AU118)</f>
        <v/>
      </c>
      <c r="AJ118" s="108">
        <f>(AV118-Driver!$K$179)/(Driver!$L$179-Driver!$K$179)</f>
        <v/>
      </c>
      <c r="AK118" s="108">
        <f>(AW118-Driver!$K$180)/(Driver!$L$180-Driver!$K$180)</f>
        <v/>
      </c>
      <c r="AL118" s="108">
        <f>(AX118-Driver!$K$181)/(Driver!$L$181-Driver!$K$181)</f>
        <v/>
      </c>
      <c r="AM118" s="108">
        <f>(AY118-Driver!$K$182)/(Driver!$L$182-Driver!$K$182)</f>
        <v/>
      </c>
      <c r="AN118" s="108">
        <f>(AZ118-Driver!$K$183)/(Driver!$L$183-Driver!$K$183)</f>
        <v/>
      </c>
      <c r="AO118" s="108" t="n"/>
      <c r="AP118" s="108" t="n"/>
      <c r="AQ118" s="108">
        <f>(BC118-Driver!$K$188)/(Driver!$L$188-Driver!$K$188)</f>
        <v/>
      </c>
      <c r="AR118" s="108">
        <f>MIN((BD118-Driver!$K$189)/(Driver!$L$189-Driver!$K$189),100%)</f>
        <v/>
      </c>
      <c r="AS118" s="108">
        <f>(BE118-Driver!$K$190)/(Driver!$L$190-Driver!$K$190)</f>
        <v/>
      </c>
      <c r="AT118" s="108">
        <f>(BF118-Driver!$K$191)/(Driver!$L$191-Driver!$K$191)</f>
        <v/>
      </c>
      <c r="AU118" s="108">
        <f>(BG118-Driver!$K$192)/(Driver!$L$192-Driver!$K$192)</f>
        <v/>
      </c>
      <c r="AV118" s="105">
        <f>IFERROR(BM118*BJ118^1/4,"")</f>
        <v/>
      </c>
      <c r="AW118" s="105">
        <f>IFERROR(SUM(AX118:AZ118),"")</f>
        <v/>
      </c>
      <c r="AX118" s="105">
        <f>IFERROR(BH118,"")</f>
        <v/>
      </c>
      <c r="AY118" s="105">
        <f>IFERROR(Driver!$K$19/Data!BH118/Data!BI118*Data!BK118*Data!BL118,"")</f>
        <v/>
      </c>
      <c r="AZ118" s="105">
        <f>IFERROR(BI118*BN118,"")</f>
        <v/>
      </c>
      <c r="BA118" s="105" t="n"/>
      <c r="BB118" s="105" t="n"/>
      <c r="BC118" s="105">
        <f>IFERROR(BI118*BN118*BK118/BJ118^(1/2),"")</f>
        <v/>
      </c>
      <c r="BD118" s="105">
        <f>IFERROR(BH118*BM118*BL118/BJ118/BK118,"")</f>
        <v/>
      </c>
      <c r="BE118" s="105">
        <f>IFERROR(MIN(BI118/BQ118/BP118/BO118/BH118,$BE$1),"")</f>
        <v/>
      </c>
      <c r="BF118" s="105">
        <f>IFERROR(BJ118*BO118*BP118/BK118,"")</f>
        <v/>
      </c>
      <c r="BG118" s="105">
        <f>IFERROR(1/BM118/BH118*BQ118,"")</f>
        <v/>
      </c>
      <c r="BH118" s="102">
        <f>MAX((CE118-Driver!$F$200)/(Driver!$G$200-Driver!$F$200)*$BI$1,1)</f>
        <v/>
      </c>
      <c r="BI118" s="102">
        <f>MAX($BI$1*(BY118-Driver!$F$201)/(Driver!$G$201-Driver!$F$201),1)</f>
        <v/>
      </c>
      <c r="BJ118" s="102">
        <f>(CB118-Driver!$F$206)/(Driver!$G$206-Driver!$F$206)*$BI$1</f>
        <v/>
      </c>
      <c r="BK118" s="102">
        <f>(CD118-Driver!$F$203)/(Driver!$G$203-Driver!$F$203)*$BI$1</f>
        <v/>
      </c>
      <c r="BL118" s="102">
        <f>MAX((CR118-Driver!$F$202)/(Driver!$G$202-Driver!$F$202)*$BI$1,1)</f>
        <v/>
      </c>
      <c r="BM118" s="102">
        <f>MAX((CH118-Driver!$F$204)/(Driver!$G$204-Driver!$F$204)*$BI$1,1)</f>
        <v/>
      </c>
      <c r="BN118" s="102">
        <f>(CI118-Driver!$F$205)/(Driver!$G$205-Driver!$F$205)*$BI$1</f>
        <v/>
      </c>
      <c r="BO118" s="102">
        <f>(CK118-Driver!$F$207)/(Driver!$G$207-Driver!$F$207)*$BI$1</f>
        <v/>
      </c>
      <c r="BP118" s="102">
        <f>(CM118-Driver!$F$208)/(Driver!$G$208-Driver!$F$208)*$BI$1</f>
        <v/>
      </c>
      <c r="BQ118" s="102">
        <f>(CL118-Driver!$F$209)/(Driver!$G$209-Driver!$F$209)*$BI$1</f>
        <v/>
      </c>
      <c r="BR118" s="40" t="inlineStr">
        <is>
          <t>21/22</t>
        </is>
      </c>
      <c r="BS118" s="10" t="inlineStr">
        <is>
          <t xml:space="preserve"> Fischer</t>
        </is>
      </c>
      <c r="BT118" s="11" t="inlineStr">
        <is>
          <t>Ranger 102 FR W</t>
        </is>
      </c>
      <c r="BU118" s="13" t="n">
        <v>177</v>
      </c>
      <c r="BV118" s="11" t="inlineStr">
        <is>
          <t xml:space="preserve"> Women's</t>
        </is>
      </c>
      <c r="BW118" s="13" t="n">
        <v>177</v>
      </c>
      <c r="BX118" s="13" t="n">
        <v>176.5</v>
      </c>
      <c r="BY118" s="13" t="n">
        <v>119</v>
      </c>
      <c r="BZ118" s="13" t="n">
        <v>147</v>
      </c>
      <c r="CA118" s="13" t="n">
        <v>135</v>
      </c>
      <c r="CB118" s="13" t="n">
        <v>101</v>
      </c>
      <c r="CC118" s="13" t="n">
        <v>125</v>
      </c>
      <c r="CD118" s="13" t="n">
        <v>15.2</v>
      </c>
      <c r="CE118" s="13" t="n">
        <v>1771</v>
      </c>
      <c r="CF118" s="13" t="n">
        <v>1.13</v>
      </c>
      <c r="CG118" s="13" t="n">
        <v>2009</v>
      </c>
      <c r="CH118" s="13" t="n">
        <v>229</v>
      </c>
      <c r="CI118" s="13" t="n">
        <v>105</v>
      </c>
      <c r="CJ118" s="13" t="n">
        <v>49</v>
      </c>
      <c r="CK118" s="13" t="n">
        <v>380</v>
      </c>
      <c r="CL118" s="13" t="n">
        <v>28</v>
      </c>
      <c r="CM118" s="13" t="n">
        <v>192</v>
      </c>
      <c r="CN118" s="13" t="n">
        <v>0.575</v>
      </c>
      <c r="CO118" s="13" t="n">
        <v>148</v>
      </c>
      <c r="CP118" s="13" t="n">
        <v>152</v>
      </c>
      <c r="CQ118" s="13" t="n">
        <v>232</v>
      </c>
      <c r="CR118" s="13" t="n">
        <v>6</v>
      </c>
      <c r="CS118" s="13" t="n">
        <v>10.7</v>
      </c>
      <c r="CT118" s="11" t="inlineStr">
        <is>
          <t xml:space="preserve"> Resort Freeride</t>
        </is>
      </c>
      <c r="CU118" s="11" t="inlineStr">
        <is>
          <t xml:space="preserve"> Powder</t>
        </is>
      </c>
      <c r="CV118" s="11" t="inlineStr">
        <is>
          <t xml:space="preserve"> Touring</t>
        </is>
      </c>
      <c r="CW118" s="13" t="n"/>
      <c r="CX118">
        <f>INDEX('Data_Price '!AG$2:AG$1266,MATCH(Data!$DN118,'Data_Price '!$AT$2:$AT$1266,0))</f>
        <v/>
      </c>
      <c r="CY118">
        <f>INDEX('Data_Price '!AH$2:AH$1266,MATCH(Data!$DN118,'Data_Price '!$AT$2:$AT$1266,0))</f>
        <v/>
      </c>
      <c r="CZ118">
        <f>INDEX('Data_Price '!AI$2:AI$1266,MATCH(Data!$DN118,'Data_Price '!$AT$2:$AT$1266,0))</f>
        <v/>
      </c>
      <c r="DA118">
        <f>INDEX('Data_Price '!AJ$2:AJ$1266,MATCH(Data!$DN118,'Data_Price '!$AT$2:$AT$1266,0))</f>
        <v/>
      </c>
      <c r="DB118">
        <f>INDEX('Data_Price '!AK$2:AK$1266,MATCH(Data!$DN118,'Data_Price '!$AT$2:$AT$1266,0))</f>
        <v/>
      </c>
      <c r="DC118">
        <f>INDEX('Data_Price '!AL$2:AL$1266,MATCH(Data!$DN118,'Data_Price '!$AT$2:$AT$1266,0))</f>
        <v/>
      </c>
      <c r="DD118">
        <f>INDEX('Data_Price '!AM$2:AM$1266,MATCH(Data!$DN118,'Data_Price '!$AT$2:$AT$1266,0))</f>
        <v/>
      </c>
      <c r="DE118">
        <f>INDEX('Data_Price '!AN$2:AN$1266,MATCH(Data!$DN118,'Data_Price '!$AT$2:$AT$1266,0))</f>
        <v/>
      </c>
      <c r="DF118">
        <f>INDEX('Data_Price '!AO$2:AO$1266,MATCH(Data!$DN118,'Data_Price '!$AT$2:$AT$1266,0))</f>
        <v/>
      </c>
      <c r="DG118">
        <f>INDEX('Data_Price '!AP$2:AP$1266,MATCH(Data!$DN118,'Data_Price '!$AT$2:$AT$1266,0))</f>
        <v/>
      </c>
      <c r="DH118">
        <f>INDEX('Data_Price '!AQ$2:AQ$1266,MATCH(Data!$DN118,'Data_Price '!$AT$2:$AT$1266,0))</f>
        <v/>
      </c>
      <c r="DI118">
        <f>INDEX('Data_Price '!AR$2:AR$1266,MATCH(Data!$DN118,'Data_Price '!$AT$2:$AT$1266,0))</f>
        <v/>
      </c>
      <c r="DJ118" s="138">
        <f>DA118</f>
        <v/>
      </c>
      <c r="DK118" s="138">
        <f>DE118</f>
        <v/>
      </c>
      <c r="DL118" s="138">
        <f>DI118</f>
        <v/>
      </c>
      <c r="DM118" s="303">
        <f>IF(LEFT(BT118,1)=" ",RIGHT(BT118,LEN(BT118)-1),BT118)</f>
        <v/>
      </c>
      <c r="DN118" s="138">
        <f>_xlfn.CONCAT(BS118,DM118,BU118,BV118)</f>
        <v/>
      </c>
      <c r="DO118" s="307" t="n"/>
    </row>
    <row r="119" ht="15.6" customHeight="1" s="184">
      <c r="B119" s="303">
        <f t="array" ref="B119">IF(OR(ISERROR(K119:P119)),FALSE,TRUE)</f>
        <v/>
      </c>
      <c r="C119" s="60">
        <f>OR(BR119=Driver!$G$50,Data!BR877=Driver!$H$50)</f>
        <v/>
      </c>
      <c r="D119" s="60">
        <f>OR(BV119=Driver!$G$51,BV119=Driver!$H$51)</f>
        <v/>
      </c>
      <c r="E119" s="60">
        <f>AND(BX119&gt;Driver!$F$54,BX119&lt;Driver!$G$54)</f>
        <v/>
      </c>
      <c r="F119" s="60">
        <f>CL119&gt;Driver!$F$56</f>
        <v/>
      </c>
      <c r="G119" s="60">
        <f>AND(CB119&gt;Driver!$F$55,CB119&lt;Driver!$G$55)</f>
        <v/>
      </c>
      <c r="H119" s="60">
        <f>AND(B119:G119)</f>
        <v/>
      </c>
      <c r="I119" s="60">
        <f>COUNTIFS($H$9:$H$1273,TRUE,$BT$9:$BT$1273,BT119)</f>
        <v/>
      </c>
      <c r="J119" s="60">
        <f t="array" ref="J119">NOT(OR(($H$9:$H$1273=TRUE)*($I$9:$I$1273&gt;0)*($BT$9:$BT$1273=BT119)*($K$9:$K$1273&gt;K119)))</f>
        <v/>
      </c>
      <c r="K119" s="108">
        <f>IFERROR(1-AVERAGE(X119:Y119),"")</f>
        <v/>
      </c>
      <c r="L119" s="108">
        <f>1-X119</f>
        <v/>
      </c>
      <c r="M119" s="108">
        <f>1-Y119</f>
        <v/>
      </c>
      <c r="N119" s="108">
        <f>1-Z119</f>
        <v/>
      </c>
      <c r="O119" s="108">
        <f>1-AA119</f>
        <v/>
      </c>
      <c r="P119" s="108">
        <f>1-AB119</f>
        <v/>
      </c>
      <c r="Q119" s="108" t="n"/>
      <c r="R119" s="108" t="n"/>
      <c r="S119" s="108">
        <f>1-AE119</f>
        <v/>
      </c>
      <c r="T119" s="108">
        <f>1-AF119</f>
        <v/>
      </c>
      <c r="U119" s="108">
        <f>1-AG119</f>
        <v/>
      </c>
      <c r="V119" s="108">
        <f>1-AH119</f>
        <v/>
      </c>
      <c r="W119" s="108">
        <f>1-AI119</f>
        <v/>
      </c>
      <c r="X119" s="108">
        <f>ABS(AJ119-AJ$1)</f>
        <v/>
      </c>
      <c r="Y119" s="108">
        <f>AVERAGE(Z119:AB119)</f>
        <v/>
      </c>
      <c r="Z119" s="108">
        <f>ABS(AL119-AL$1)</f>
        <v/>
      </c>
      <c r="AA119" s="108">
        <f>ABS(AM119-AM$1)</f>
        <v/>
      </c>
      <c r="AB119" s="108">
        <f>ABS(AN119-AN$1)</f>
        <v/>
      </c>
      <c r="AC119" s="108" t="n"/>
      <c r="AD119" s="108" t="n"/>
      <c r="AE119" s="108">
        <f>ABS(AQ$1-AQ119)</f>
        <v/>
      </c>
      <c r="AF119" s="108">
        <f>ABS(AR$1-AR119)</f>
        <v/>
      </c>
      <c r="AG119" s="108">
        <f>ABS(AS$1-AS119)</f>
        <v/>
      </c>
      <c r="AH119" s="108">
        <f>ABS(AT$1-AT119)</f>
        <v/>
      </c>
      <c r="AI119" s="108">
        <f>ABS(AU$1-AU119)</f>
        <v/>
      </c>
      <c r="AJ119" s="108">
        <f>(AV119-Driver!$K$179)/(Driver!$L$179-Driver!$K$179)</f>
        <v/>
      </c>
      <c r="AK119" s="108">
        <f>(AW119-Driver!$K$180)/(Driver!$L$180-Driver!$K$180)</f>
        <v/>
      </c>
      <c r="AL119" s="108">
        <f>(AX119-Driver!$K$181)/(Driver!$L$181-Driver!$K$181)</f>
        <v/>
      </c>
      <c r="AM119" s="108">
        <f>(AY119-Driver!$K$182)/(Driver!$L$182-Driver!$K$182)</f>
        <v/>
      </c>
      <c r="AN119" s="108">
        <f>(AZ119-Driver!$K$183)/(Driver!$L$183-Driver!$K$183)</f>
        <v/>
      </c>
      <c r="AO119" s="108" t="n"/>
      <c r="AP119" s="108" t="n"/>
      <c r="AQ119" s="108">
        <f>(BC119-Driver!$K$188)/(Driver!$L$188-Driver!$K$188)</f>
        <v/>
      </c>
      <c r="AR119" s="108">
        <f>MIN((BD119-Driver!$K$189)/(Driver!$L$189-Driver!$K$189),100%)</f>
        <v/>
      </c>
      <c r="AS119" s="108">
        <f>(BE119-Driver!$K$190)/(Driver!$L$190-Driver!$K$190)</f>
        <v/>
      </c>
      <c r="AT119" s="108">
        <f>(BF119-Driver!$K$191)/(Driver!$L$191-Driver!$K$191)</f>
        <v/>
      </c>
      <c r="AU119" s="108">
        <f>(BG119-Driver!$K$192)/(Driver!$L$192-Driver!$K$192)</f>
        <v/>
      </c>
      <c r="AV119" s="105">
        <f>IFERROR(BM119*BJ119^1/4,"")</f>
        <v/>
      </c>
      <c r="AW119" s="105">
        <f>IFERROR(SUM(AX119:AZ119),"")</f>
        <v/>
      </c>
      <c r="AX119" s="105">
        <f>IFERROR(BH119,"")</f>
        <v/>
      </c>
      <c r="AY119" s="105">
        <f>IFERROR(Driver!$K$19/Data!BH119/Data!BI119*Data!BK119*Data!BL119,"")</f>
        <v/>
      </c>
      <c r="AZ119" s="105">
        <f>IFERROR(BI119*BN119,"")</f>
        <v/>
      </c>
      <c r="BA119" s="105" t="n"/>
      <c r="BB119" s="105" t="n"/>
      <c r="BC119" s="105">
        <f>IFERROR(BI119*BN119*BK119/BJ119^(1/2),"")</f>
        <v/>
      </c>
      <c r="BD119" s="105">
        <f>IFERROR(BH119*BM119*BL119/BJ119/BK119,"")</f>
        <v/>
      </c>
      <c r="BE119" s="105">
        <f>IFERROR(MIN(BI119/BQ119/BP119/BO119/BH119,$BE$1),"")</f>
        <v/>
      </c>
      <c r="BF119" s="105">
        <f>IFERROR(BJ119*BO119*BP119/BK119,"")</f>
        <v/>
      </c>
      <c r="BG119" s="105">
        <f>IFERROR(1/BM119/BH119*BQ119,"")</f>
        <v/>
      </c>
      <c r="BH119" s="102">
        <f>MAX((CE119-Driver!$F$200)/(Driver!$G$200-Driver!$F$200)*$BI$1,1)</f>
        <v/>
      </c>
      <c r="BI119" s="102">
        <f>MAX($BI$1*(BY119-Driver!$F$201)/(Driver!$G$201-Driver!$F$201),1)</f>
        <v/>
      </c>
      <c r="BJ119" s="102">
        <f>(CB119-Driver!$F$206)/(Driver!$G$206-Driver!$F$206)*$BI$1</f>
        <v/>
      </c>
      <c r="BK119" s="102">
        <f>(CD119-Driver!$F$203)/(Driver!$G$203-Driver!$F$203)*$BI$1</f>
        <v/>
      </c>
      <c r="BL119" s="102">
        <f>MAX((CR119-Driver!$F$202)/(Driver!$G$202-Driver!$F$202)*$BI$1,1)</f>
        <v/>
      </c>
      <c r="BM119" s="102">
        <f>MAX((CH119-Driver!$F$204)/(Driver!$G$204-Driver!$F$204)*$BI$1,1)</f>
        <v/>
      </c>
      <c r="BN119" s="102">
        <f>(CI119-Driver!$F$205)/(Driver!$G$205-Driver!$F$205)*$BI$1</f>
        <v/>
      </c>
      <c r="BO119" s="102">
        <f>(CK119-Driver!$F$207)/(Driver!$G$207-Driver!$F$207)*$BI$1</f>
        <v/>
      </c>
      <c r="BP119" s="102">
        <f>(CM119-Driver!$F$208)/(Driver!$G$208-Driver!$F$208)*$BI$1</f>
        <v/>
      </c>
      <c r="BQ119" s="102">
        <f>(CL119-Driver!$F$209)/(Driver!$G$209-Driver!$F$209)*$BI$1</f>
        <v/>
      </c>
      <c r="BR119" s="40" t="inlineStr">
        <is>
          <t>21/22</t>
        </is>
      </c>
      <c r="BS119" s="10" t="inlineStr">
        <is>
          <t xml:space="preserve"> Line</t>
        </is>
      </c>
      <c r="BT119" s="11" t="inlineStr">
        <is>
          <t>Vision 108</t>
        </is>
      </c>
      <c r="BU119" s="13" t="n">
        <v>183</v>
      </c>
      <c r="BV119" s="11" t="inlineStr">
        <is>
          <t xml:space="preserve"> Unisex</t>
        </is>
      </c>
      <c r="BW119" s="13" t="n">
        <v>183</v>
      </c>
      <c r="BX119" s="13" t="n">
        <v>181.7</v>
      </c>
      <c r="BY119" s="13" t="n">
        <v>97</v>
      </c>
      <c r="BZ119" s="13" t="n">
        <v>148</v>
      </c>
      <c r="CA119" s="13" t="n">
        <v>141</v>
      </c>
      <c r="CB119" s="13" t="n">
        <v>107</v>
      </c>
      <c r="CC119" s="13" t="n">
        <v>127</v>
      </c>
      <c r="CD119" s="13" t="n">
        <v>19</v>
      </c>
      <c r="CE119" s="13" t="n">
        <v>1627</v>
      </c>
      <c r="CF119" s="13" t="n">
        <v>1.31</v>
      </c>
      <c r="CG119" s="13" t="n">
        <v>2125</v>
      </c>
      <c r="CH119" s="13" t="n">
        <v>186</v>
      </c>
      <c r="CI119" s="13" t="n">
        <v>92</v>
      </c>
      <c r="CJ119" s="13" t="n">
        <v>55</v>
      </c>
      <c r="CK119" s="13" t="n">
        <v>465</v>
      </c>
      <c r="CL119" s="13" t="n">
        <v>35</v>
      </c>
      <c r="CM119" s="13" t="n">
        <v>380</v>
      </c>
      <c r="CN119" s="13" t="n">
        <v>0.643</v>
      </c>
      <c r="CO119" s="13" t="n">
        <v>164</v>
      </c>
      <c r="CP119" s="13" t="n">
        <v>173</v>
      </c>
      <c r="CQ119" s="13" t="n">
        <v>302</v>
      </c>
      <c r="CR119" s="13" t="n">
        <v>3</v>
      </c>
      <c r="CS119" s="13" t="n">
        <v>6.8</v>
      </c>
      <c r="CT119" s="11" t="inlineStr">
        <is>
          <t xml:space="preserve"> Powder</t>
        </is>
      </c>
      <c r="CU119" s="11" t="inlineStr">
        <is>
          <t xml:space="preserve"> Touring</t>
        </is>
      </c>
      <c r="CV119" s="11" t="inlineStr">
        <is>
          <t xml:space="preserve"> Ultralight Touring</t>
        </is>
      </c>
      <c r="CW119" s="13" t="n"/>
      <c r="CX119">
        <f>INDEX('Data_Price '!AG$2:AG$1266,MATCH(Data!$DN119,'Data_Price '!$AT$2:$AT$1266,0))</f>
        <v/>
      </c>
      <c r="CY119">
        <f>INDEX('Data_Price '!AH$2:AH$1266,MATCH(Data!$DN119,'Data_Price '!$AT$2:$AT$1266,0))</f>
        <v/>
      </c>
      <c r="CZ119">
        <f>INDEX('Data_Price '!AI$2:AI$1266,MATCH(Data!$DN119,'Data_Price '!$AT$2:$AT$1266,0))</f>
        <v/>
      </c>
      <c r="DA119">
        <f>INDEX('Data_Price '!AJ$2:AJ$1266,MATCH(Data!$DN119,'Data_Price '!$AT$2:$AT$1266,0))</f>
        <v/>
      </c>
      <c r="DB119">
        <f>INDEX('Data_Price '!AK$2:AK$1266,MATCH(Data!$DN119,'Data_Price '!$AT$2:$AT$1266,0))</f>
        <v/>
      </c>
      <c r="DC119">
        <f>INDEX('Data_Price '!AL$2:AL$1266,MATCH(Data!$DN119,'Data_Price '!$AT$2:$AT$1266,0))</f>
        <v/>
      </c>
      <c r="DD119">
        <f>INDEX('Data_Price '!AM$2:AM$1266,MATCH(Data!$DN119,'Data_Price '!$AT$2:$AT$1266,0))</f>
        <v/>
      </c>
      <c r="DE119">
        <f>INDEX('Data_Price '!AN$2:AN$1266,MATCH(Data!$DN119,'Data_Price '!$AT$2:$AT$1266,0))</f>
        <v/>
      </c>
      <c r="DF119">
        <f>INDEX('Data_Price '!AO$2:AO$1266,MATCH(Data!$DN119,'Data_Price '!$AT$2:$AT$1266,0))</f>
        <v/>
      </c>
      <c r="DG119">
        <f>INDEX('Data_Price '!AP$2:AP$1266,MATCH(Data!$DN119,'Data_Price '!$AT$2:$AT$1266,0))</f>
        <v/>
      </c>
      <c r="DH119">
        <f>INDEX('Data_Price '!AQ$2:AQ$1266,MATCH(Data!$DN119,'Data_Price '!$AT$2:$AT$1266,0))</f>
        <v/>
      </c>
      <c r="DI119">
        <f>INDEX('Data_Price '!AR$2:AR$1266,MATCH(Data!$DN119,'Data_Price '!$AT$2:$AT$1266,0))</f>
        <v/>
      </c>
      <c r="DJ119" s="138">
        <f>DA119</f>
        <v/>
      </c>
      <c r="DK119" s="138">
        <f>DE119</f>
        <v/>
      </c>
      <c r="DL119" s="138">
        <f>DI119</f>
        <v/>
      </c>
      <c r="DM119" s="303">
        <f>IF(LEFT(BT119,1)=" ",RIGHT(BT119,LEN(BT119)-1),BT119)</f>
        <v/>
      </c>
      <c r="DN119" s="138">
        <f>_xlfn.CONCAT(BS119,DM119,BU119,BV119)</f>
        <v/>
      </c>
      <c r="DO119" s="307" t="inlineStr">
        <is>
          <t>https://images.evo.com/imgp/250/197207/792883/line-skis-vision-108-skis-2022-.jpg</t>
        </is>
      </c>
    </row>
    <row r="120" ht="15.6" customHeight="1" s="184">
      <c r="B120" s="303">
        <f t="array" ref="B120">IF(OR(ISERROR(K120:P120)),FALSE,TRUE)</f>
        <v/>
      </c>
      <c r="C120" s="60">
        <f>OR(BR120=Driver!$G$50,Data!BR626=Driver!$H$50)</f>
        <v/>
      </c>
      <c r="D120" s="60">
        <f>OR(BV120=Driver!$G$51,BV120=Driver!$H$51)</f>
        <v/>
      </c>
      <c r="E120" s="60">
        <f>AND(BX120&gt;Driver!$F$54,BX120&lt;Driver!$G$54)</f>
        <v/>
      </c>
      <c r="F120" s="60">
        <f>CL120&gt;Driver!$F$56</f>
        <v/>
      </c>
      <c r="G120" s="60">
        <f>AND(CB120&gt;Driver!$F$55,CB120&lt;Driver!$G$55)</f>
        <v/>
      </c>
      <c r="H120" s="60">
        <f>AND(B120:G120)</f>
        <v/>
      </c>
      <c r="I120" s="60">
        <f>COUNTIFS($H$9:$H$1273,TRUE,$BT$9:$BT$1273,BT120)</f>
        <v/>
      </c>
      <c r="J120" s="60">
        <f t="array" ref="J120">NOT(OR(($H$9:$H$1273=TRUE)*($I$9:$I$1273&gt;0)*($BT$9:$BT$1273=BT120)*($K$9:$K$1273&gt;K120)))</f>
        <v/>
      </c>
      <c r="K120" s="108">
        <f>IFERROR(1-AVERAGE(X120:Y120),"")</f>
        <v/>
      </c>
      <c r="L120" s="108">
        <f>1-X120</f>
        <v/>
      </c>
      <c r="M120" s="108">
        <f>1-Y120</f>
        <v/>
      </c>
      <c r="N120" s="108">
        <f>1-Z120</f>
        <v/>
      </c>
      <c r="O120" s="108">
        <f>1-AA120</f>
        <v/>
      </c>
      <c r="P120" s="108">
        <f>1-AB120</f>
        <v/>
      </c>
      <c r="Q120" s="108" t="n"/>
      <c r="R120" s="108" t="n"/>
      <c r="S120" s="108">
        <f>1-AE120</f>
        <v/>
      </c>
      <c r="T120" s="108">
        <f>1-AF120</f>
        <v/>
      </c>
      <c r="U120" s="108">
        <f>1-AG120</f>
        <v/>
      </c>
      <c r="V120" s="108">
        <f>1-AH120</f>
        <v/>
      </c>
      <c r="W120" s="108">
        <f>1-AI120</f>
        <v/>
      </c>
      <c r="X120" s="108">
        <f>ABS(AJ120-AJ$1)</f>
        <v/>
      </c>
      <c r="Y120" s="108">
        <f>AVERAGE(Z120:AB120)</f>
        <v/>
      </c>
      <c r="Z120" s="108">
        <f>ABS(AL120-AL$1)</f>
        <v/>
      </c>
      <c r="AA120" s="108">
        <f>ABS(AM120-AM$1)</f>
        <v/>
      </c>
      <c r="AB120" s="108">
        <f>ABS(AN120-AN$1)</f>
        <v/>
      </c>
      <c r="AC120" s="108" t="n"/>
      <c r="AD120" s="108" t="n"/>
      <c r="AE120" s="108">
        <f>ABS(AQ$1-AQ120)</f>
        <v/>
      </c>
      <c r="AF120" s="108">
        <f>ABS(AR$1-AR120)</f>
        <v/>
      </c>
      <c r="AG120" s="108">
        <f>ABS(AS$1-AS120)</f>
        <v/>
      </c>
      <c r="AH120" s="108">
        <f>ABS(AT$1-AT120)</f>
        <v/>
      </c>
      <c r="AI120" s="108">
        <f>ABS(AU$1-AU120)</f>
        <v/>
      </c>
      <c r="AJ120" s="108">
        <f>(AV120-Driver!$K$179)/(Driver!$L$179-Driver!$K$179)</f>
        <v/>
      </c>
      <c r="AK120" s="108">
        <f>(AW120-Driver!$K$180)/(Driver!$L$180-Driver!$K$180)</f>
        <v/>
      </c>
      <c r="AL120" s="108">
        <f>(AX120-Driver!$K$181)/(Driver!$L$181-Driver!$K$181)</f>
        <v/>
      </c>
      <c r="AM120" s="108">
        <f>(AY120-Driver!$K$182)/(Driver!$L$182-Driver!$K$182)</f>
        <v/>
      </c>
      <c r="AN120" s="108">
        <f>(AZ120-Driver!$K$183)/(Driver!$L$183-Driver!$K$183)</f>
        <v/>
      </c>
      <c r="AO120" s="108" t="n"/>
      <c r="AP120" s="108" t="n"/>
      <c r="AQ120" s="108">
        <f>(BC120-Driver!$K$188)/(Driver!$L$188-Driver!$K$188)</f>
        <v/>
      </c>
      <c r="AR120" s="108">
        <f>MIN((BD120-Driver!$K$189)/(Driver!$L$189-Driver!$K$189),100%)</f>
        <v/>
      </c>
      <c r="AS120" s="108">
        <f>(BE120-Driver!$K$190)/(Driver!$L$190-Driver!$K$190)</f>
        <v/>
      </c>
      <c r="AT120" s="108">
        <f>(BF120-Driver!$K$191)/(Driver!$L$191-Driver!$K$191)</f>
        <v/>
      </c>
      <c r="AU120" s="108">
        <f>(BG120-Driver!$K$192)/(Driver!$L$192-Driver!$K$192)</f>
        <v/>
      </c>
      <c r="AV120" s="105">
        <f>IFERROR(BM120*BJ120^1/4,"")</f>
        <v/>
      </c>
      <c r="AW120" s="105">
        <f>IFERROR(SUM(AX120:AZ120),"")</f>
        <v/>
      </c>
      <c r="AX120" s="105">
        <f>IFERROR(BH120,"")</f>
        <v/>
      </c>
      <c r="AY120" s="105">
        <f>IFERROR(Driver!$K$19/Data!BH120/Data!BI120*Data!BK120*Data!BL120,"")</f>
        <v/>
      </c>
      <c r="AZ120" s="105">
        <f>IFERROR(BI120*BN120,"")</f>
        <v/>
      </c>
      <c r="BA120" s="105" t="n"/>
      <c r="BB120" s="105" t="n"/>
      <c r="BC120" s="105">
        <f>IFERROR(BI120*BN120*BK120/BJ120^(1/2),"")</f>
        <v/>
      </c>
      <c r="BD120" s="105">
        <f>IFERROR(BH120*BM120*BL120/BJ120/BK120,"")</f>
        <v/>
      </c>
      <c r="BE120" s="105">
        <f>IFERROR(MIN(BI120/BQ120/BP120/BO120/BH120,$BE$1),"")</f>
        <v/>
      </c>
      <c r="BF120" s="105">
        <f>IFERROR(BJ120*BO120*BP120/BK120,"")</f>
        <v/>
      </c>
      <c r="BG120" s="105">
        <f>IFERROR(1/BM120/BH120*BQ120,"")</f>
        <v/>
      </c>
      <c r="BH120" s="102">
        <f>MAX((CE120-Driver!$F$200)/(Driver!$G$200-Driver!$F$200)*$BI$1,1)</f>
        <v/>
      </c>
      <c r="BI120" s="102">
        <f>MAX($BI$1*(BY120-Driver!$F$201)/(Driver!$G$201-Driver!$F$201),1)</f>
        <v/>
      </c>
      <c r="BJ120" s="102">
        <f>(CB120-Driver!$F$206)/(Driver!$G$206-Driver!$F$206)*$BI$1</f>
        <v/>
      </c>
      <c r="BK120" s="102">
        <f>(CD120-Driver!$F$203)/(Driver!$G$203-Driver!$F$203)*$BI$1</f>
        <v/>
      </c>
      <c r="BL120" s="102">
        <f>MAX((CR120-Driver!$F$202)/(Driver!$G$202-Driver!$F$202)*$BI$1,1)</f>
        <v/>
      </c>
      <c r="BM120" s="102">
        <f>MAX((CH120-Driver!$F$204)/(Driver!$G$204-Driver!$F$204)*$BI$1,1)</f>
        <v/>
      </c>
      <c r="BN120" s="102">
        <f>(CI120-Driver!$F$205)/(Driver!$G$205-Driver!$F$205)*$BI$1</f>
        <v/>
      </c>
      <c r="BO120" s="102">
        <f>(CK120-Driver!$F$207)/(Driver!$G$207-Driver!$F$207)*$BI$1</f>
        <v/>
      </c>
      <c r="BP120" s="102">
        <f>(CM120-Driver!$F$208)/(Driver!$G$208-Driver!$F$208)*$BI$1</f>
        <v/>
      </c>
      <c r="BQ120" s="102">
        <f>(CL120-Driver!$F$209)/(Driver!$G$209-Driver!$F$209)*$BI$1</f>
        <v/>
      </c>
      <c r="BR120" s="40" t="inlineStr">
        <is>
          <t>21/22</t>
        </is>
      </c>
      <c r="BS120" s="10" t="inlineStr">
        <is>
          <t xml:space="preserve"> Head</t>
        </is>
      </c>
      <c r="BT120" s="11" t="inlineStr">
        <is>
          <t>Kore 97 W</t>
        </is>
      </c>
      <c r="BU120" s="13" t="n">
        <v>170</v>
      </c>
      <c r="BV120" s="11" t="inlineStr">
        <is>
          <t xml:space="preserve"> Women's</t>
        </is>
      </c>
      <c r="BW120" s="13" t="n">
        <v>170</v>
      </c>
      <c r="BX120" s="13" t="n">
        <v>169.9</v>
      </c>
      <c r="BY120" s="13" t="n">
        <v>133</v>
      </c>
      <c r="BZ120" s="13" t="n">
        <v>135</v>
      </c>
      <c r="CA120" s="13" t="n">
        <v>130</v>
      </c>
      <c r="CB120" s="13" t="n">
        <v>96</v>
      </c>
      <c r="CC120" s="13" t="n">
        <v>116</v>
      </c>
      <c r="CD120" s="13" t="n">
        <v>15.9</v>
      </c>
      <c r="CE120" s="13" t="n">
        <v>1626</v>
      </c>
      <c r="CF120" s="13" t="n">
        <v>1.12</v>
      </c>
      <c r="CG120" s="13" t="n">
        <v>1826</v>
      </c>
      <c r="CH120" s="13" t="n">
        <v>238</v>
      </c>
      <c r="CI120" s="13" t="n">
        <v>118</v>
      </c>
      <c r="CJ120" s="13" t="n">
        <v>47</v>
      </c>
      <c r="CK120" s="13" t="n">
        <v>230</v>
      </c>
      <c r="CL120" s="13" t="n">
        <v>12</v>
      </c>
      <c r="CM120" s="13" t="n">
        <v>138</v>
      </c>
      <c r="CN120" s="13" t="n">
        <v>0.257</v>
      </c>
      <c r="CO120" s="13" t="n">
        <v>186</v>
      </c>
      <c r="CP120" s="13" t="n">
        <v>161</v>
      </c>
      <c r="CQ120" s="13" t="n">
        <v>44</v>
      </c>
      <c r="CR120" s="13" t="n">
        <v>7</v>
      </c>
      <c r="CS120" s="13" t="n">
        <v>8.800000000000001</v>
      </c>
      <c r="CT120" s="11" t="inlineStr">
        <is>
          <t xml:space="preserve"> Resort Freeride</t>
        </is>
      </c>
      <c r="CU120" s="11" t="inlineStr">
        <is>
          <t xml:space="preserve"> Touring</t>
        </is>
      </c>
      <c r="CV120" s="13" t="n"/>
      <c r="CW120" s="13" t="n"/>
      <c r="CX120">
        <f>INDEX('Data_Price '!AG$2:AG$1266,MATCH(Data!$DN120,'Data_Price '!$AT$2:$AT$1266,0))</f>
        <v/>
      </c>
      <c r="CY120">
        <f>INDEX('Data_Price '!AH$2:AH$1266,MATCH(Data!$DN120,'Data_Price '!$AT$2:$AT$1266,0))</f>
        <v/>
      </c>
      <c r="CZ120">
        <f>INDEX('Data_Price '!AI$2:AI$1266,MATCH(Data!$DN120,'Data_Price '!$AT$2:$AT$1266,0))</f>
        <v/>
      </c>
      <c r="DA120">
        <f>INDEX('Data_Price '!AJ$2:AJ$1266,MATCH(Data!$DN120,'Data_Price '!$AT$2:$AT$1266,0))</f>
        <v/>
      </c>
      <c r="DB120">
        <f>INDEX('Data_Price '!AK$2:AK$1266,MATCH(Data!$DN120,'Data_Price '!$AT$2:$AT$1266,0))</f>
        <v/>
      </c>
      <c r="DC120">
        <f>INDEX('Data_Price '!AL$2:AL$1266,MATCH(Data!$DN120,'Data_Price '!$AT$2:$AT$1266,0))</f>
        <v/>
      </c>
      <c r="DD120">
        <f>INDEX('Data_Price '!AM$2:AM$1266,MATCH(Data!$DN120,'Data_Price '!$AT$2:$AT$1266,0))</f>
        <v/>
      </c>
      <c r="DE120">
        <f>INDEX('Data_Price '!AN$2:AN$1266,MATCH(Data!$DN120,'Data_Price '!$AT$2:$AT$1266,0))</f>
        <v/>
      </c>
      <c r="DF120">
        <f>INDEX('Data_Price '!AO$2:AO$1266,MATCH(Data!$DN120,'Data_Price '!$AT$2:$AT$1266,0))</f>
        <v/>
      </c>
      <c r="DG120">
        <f>INDEX('Data_Price '!AP$2:AP$1266,MATCH(Data!$DN120,'Data_Price '!$AT$2:$AT$1266,0))</f>
        <v/>
      </c>
      <c r="DH120">
        <f>INDEX('Data_Price '!AQ$2:AQ$1266,MATCH(Data!$DN120,'Data_Price '!$AT$2:$AT$1266,0))</f>
        <v/>
      </c>
      <c r="DI120">
        <f>INDEX('Data_Price '!AR$2:AR$1266,MATCH(Data!$DN120,'Data_Price '!$AT$2:$AT$1266,0))</f>
        <v/>
      </c>
      <c r="DJ120" s="138">
        <f>DA120</f>
        <v/>
      </c>
      <c r="DK120" s="138">
        <f>DE120</f>
        <v/>
      </c>
      <c r="DL120" s="138">
        <f>DI120</f>
        <v/>
      </c>
      <c r="DM120" s="303">
        <f>IF(LEFT(BT120,1)=" ",RIGHT(BT120,LEN(BT120)-1),BT120)</f>
        <v/>
      </c>
      <c r="DN120" s="138">
        <f>_xlfn.CONCAT(BS120,DM120,BU120,BV120)</f>
        <v/>
      </c>
      <c r="DO120" s="307" t="n"/>
    </row>
    <row r="121" ht="15.6" customHeight="1" s="184">
      <c r="B121" s="303">
        <f t="array" ref="B121">IF(OR(ISERROR(K121:P121)),FALSE,TRUE)</f>
        <v/>
      </c>
      <c r="C121" s="60">
        <f>OR(BR121=Driver!$G$50,Data!BR387=Driver!$H$50)</f>
        <v/>
      </c>
      <c r="D121" s="60">
        <f>OR(BV121=Driver!$G$51,BV121=Driver!$H$51)</f>
        <v/>
      </c>
      <c r="E121" s="60">
        <f>AND(BX121&gt;Driver!$F$54,BX121&lt;Driver!$G$54)</f>
        <v/>
      </c>
      <c r="F121" s="60">
        <f>CL121&gt;Driver!$F$56</f>
        <v/>
      </c>
      <c r="G121" s="60">
        <f>AND(CB121&gt;Driver!$F$55,CB121&lt;Driver!$G$55)</f>
        <v/>
      </c>
      <c r="H121" s="60">
        <f>AND(B121:G121)</f>
        <v/>
      </c>
      <c r="I121" s="60">
        <f>COUNTIFS($H$9:$H$1273,TRUE,$BT$9:$BT$1273,BT121)</f>
        <v/>
      </c>
      <c r="J121" s="60">
        <f t="array" ref="J121">NOT(OR(($H$9:$H$1273=TRUE)*($I$9:$I$1273&gt;0)*($BT$9:$BT$1273=BT121)*($K$9:$K$1273&gt;K121)))</f>
        <v/>
      </c>
      <c r="K121" s="108">
        <f>IFERROR(1-AVERAGE(X121:Y121),"")</f>
        <v/>
      </c>
      <c r="L121" s="108">
        <f>1-X121</f>
        <v/>
      </c>
      <c r="M121" s="108">
        <f>1-Y121</f>
        <v/>
      </c>
      <c r="N121" s="108">
        <f>1-Z121</f>
        <v/>
      </c>
      <c r="O121" s="108">
        <f>1-AA121</f>
        <v/>
      </c>
      <c r="P121" s="108">
        <f>1-AB121</f>
        <v/>
      </c>
      <c r="Q121" s="108" t="n"/>
      <c r="R121" s="108" t="n"/>
      <c r="S121" s="108">
        <f>1-AE121</f>
        <v/>
      </c>
      <c r="T121" s="108">
        <f>1-AF121</f>
        <v/>
      </c>
      <c r="U121" s="108">
        <f>1-AG121</f>
        <v/>
      </c>
      <c r="V121" s="108">
        <f>1-AH121</f>
        <v/>
      </c>
      <c r="W121" s="108">
        <f>1-AI121</f>
        <v/>
      </c>
      <c r="X121" s="108">
        <f>ABS(AJ121-AJ$1)</f>
        <v/>
      </c>
      <c r="Y121" s="108">
        <f>AVERAGE(Z121:AB121)</f>
        <v/>
      </c>
      <c r="Z121" s="108">
        <f>ABS(AL121-AL$1)</f>
        <v/>
      </c>
      <c r="AA121" s="108">
        <f>ABS(AM121-AM$1)</f>
        <v/>
      </c>
      <c r="AB121" s="108">
        <f>ABS(AN121-AN$1)</f>
        <v/>
      </c>
      <c r="AC121" s="108" t="n"/>
      <c r="AD121" s="108" t="n"/>
      <c r="AE121" s="108">
        <f>ABS(AQ$1-AQ121)</f>
        <v/>
      </c>
      <c r="AF121" s="108">
        <f>ABS(AR$1-AR121)</f>
        <v/>
      </c>
      <c r="AG121" s="108">
        <f>ABS(AS$1-AS121)</f>
        <v/>
      </c>
      <c r="AH121" s="108">
        <f>ABS(AT$1-AT121)</f>
        <v/>
      </c>
      <c r="AI121" s="108">
        <f>ABS(AU$1-AU121)</f>
        <v/>
      </c>
      <c r="AJ121" s="108">
        <f>(AV121-Driver!$K$179)/(Driver!$L$179-Driver!$K$179)</f>
        <v/>
      </c>
      <c r="AK121" s="108">
        <f>(AW121-Driver!$K$180)/(Driver!$L$180-Driver!$K$180)</f>
        <v/>
      </c>
      <c r="AL121" s="108">
        <f>(AX121-Driver!$K$181)/(Driver!$L$181-Driver!$K$181)</f>
        <v/>
      </c>
      <c r="AM121" s="108">
        <f>(AY121-Driver!$K$182)/(Driver!$L$182-Driver!$K$182)</f>
        <v/>
      </c>
      <c r="AN121" s="108">
        <f>(AZ121-Driver!$K$183)/(Driver!$L$183-Driver!$K$183)</f>
        <v/>
      </c>
      <c r="AO121" s="108" t="n"/>
      <c r="AP121" s="108" t="n"/>
      <c r="AQ121" s="108">
        <f>(BC121-Driver!$K$188)/(Driver!$L$188-Driver!$K$188)</f>
        <v/>
      </c>
      <c r="AR121" s="108">
        <f>MIN((BD121-Driver!$K$189)/(Driver!$L$189-Driver!$K$189),100%)</f>
        <v/>
      </c>
      <c r="AS121" s="108">
        <f>(BE121-Driver!$K$190)/(Driver!$L$190-Driver!$K$190)</f>
        <v/>
      </c>
      <c r="AT121" s="108">
        <f>(BF121-Driver!$K$191)/(Driver!$L$191-Driver!$K$191)</f>
        <v/>
      </c>
      <c r="AU121" s="108">
        <f>(BG121-Driver!$K$192)/(Driver!$L$192-Driver!$K$192)</f>
        <v/>
      </c>
      <c r="AV121" s="105">
        <f>IFERROR(BM121*BJ121^1/4,"")</f>
        <v/>
      </c>
      <c r="AW121" s="105">
        <f>IFERROR(SUM(AX121:AZ121),"")</f>
        <v/>
      </c>
      <c r="AX121" s="105">
        <f>IFERROR(BH121,"")</f>
        <v/>
      </c>
      <c r="AY121" s="105">
        <f>IFERROR(Driver!$K$19/Data!BH121/Data!BI121*Data!BK121*Data!BL121,"")</f>
        <v/>
      </c>
      <c r="AZ121" s="105">
        <f>IFERROR(BI121*BN121,"")</f>
        <v/>
      </c>
      <c r="BA121" s="105" t="n"/>
      <c r="BB121" s="105" t="n"/>
      <c r="BC121" s="105">
        <f>IFERROR(BI121*BN121*BK121/BJ121^(1/2),"")</f>
        <v/>
      </c>
      <c r="BD121" s="105">
        <f>IFERROR(BH121*BM121*BL121/BJ121/BK121,"")</f>
        <v/>
      </c>
      <c r="BE121" s="105">
        <f>IFERROR(MIN(BI121/BQ121/BP121/BO121/BH121,$BE$1),"")</f>
        <v/>
      </c>
      <c r="BF121" s="105">
        <f>IFERROR(BJ121*BO121*BP121/BK121,"")</f>
        <v/>
      </c>
      <c r="BG121" s="105">
        <f>IFERROR(1/BM121/BH121*BQ121,"")</f>
        <v/>
      </c>
      <c r="BH121" s="102">
        <f>MAX((CE121-Driver!$F$200)/(Driver!$G$200-Driver!$F$200)*$BI$1,1)</f>
        <v/>
      </c>
      <c r="BI121" s="102">
        <f>MAX($BI$1*(BY121-Driver!$F$201)/(Driver!$G$201-Driver!$F$201),1)</f>
        <v/>
      </c>
      <c r="BJ121" s="102">
        <f>(CB121-Driver!$F$206)/(Driver!$G$206-Driver!$F$206)*$BI$1</f>
        <v/>
      </c>
      <c r="BK121" s="102">
        <f>(CD121-Driver!$F$203)/(Driver!$G$203-Driver!$F$203)*$BI$1</f>
        <v/>
      </c>
      <c r="BL121" s="102">
        <f>MAX((CR121-Driver!$F$202)/(Driver!$G$202-Driver!$F$202)*$BI$1,1)</f>
        <v/>
      </c>
      <c r="BM121" s="102">
        <f>MAX((CH121-Driver!$F$204)/(Driver!$G$204-Driver!$F$204)*$BI$1,1)</f>
        <v/>
      </c>
      <c r="BN121" s="102">
        <f>(CI121-Driver!$F$205)/(Driver!$G$205-Driver!$F$205)*$BI$1</f>
        <v/>
      </c>
      <c r="BO121" s="102">
        <f>(CK121-Driver!$F$207)/(Driver!$G$207-Driver!$F$207)*$BI$1</f>
        <v/>
      </c>
      <c r="BP121" s="102">
        <f>(CM121-Driver!$F$208)/(Driver!$G$208-Driver!$F$208)*$BI$1</f>
        <v/>
      </c>
      <c r="BQ121" s="102">
        <f>(CL121-Driver!$F$209)/(Driver!$G$209-Driver!$F$209)*$BI$1</f>
        <v/>
      </c>
      <c r="BR121" s="40" t="inlineStr">
        <is>
          <t>21/22</t>
        </is>
      </c>
      <c r="BS121" s="10" t="inlineStr">
        <is>
          <t xml:space="preserve"> Dynastar</t>
        </is>
      </c>
      <c r="BT121" s="11" t="inlineStr">
        <is>
          <t>M-Free 99</t>
        </is>
      </c>
      <c r="BU121" s="13" t="n">
        <v>179</v>
      </c>
      <c r="BV121" s="11" t="inlineStr">
        <is>
          <t xml:space="preserve"> Unisex</t>
        </is>
      </c>
      <c r="BW121" s="13" t="n">
        <v>179</v>
      </c>
      <c r="BX121" s="13" t="n">
        <v>177.9</v>
      </c>
      <c r="BY121" s="13" t="n">
        <v>110</v>
      </c>
      <c r="BZ121" s="13" t="n">
        <v>143</v>
      </c>
      <c r="CA121" s="13" t="n">
        <v>127</v>
      </c>
      <c r="CB121" s="13" t="n">
        <v>97</v>
      </c>
      <c r="CC121" s="13" t="n">
        <v>119</v>
      </c>
      <c r="CD121" s="13" t="n">
        <v>16.7</v>
      </c>
      <c r="CE121" s="13" t="n">
        <v>1935</v>
      </c>
      <c r="CF121" s="13" t="n">
        <v>0.99</v>
      </c>
      <c r="CG121" s="13" t="n">
        <v>1914</v>
      </c>
      <c r="CH121" s="13" t="n">
        <v>228</v>
      </c>
      <c r="CI121" s="13" t="n">
        <v>106</v>
      </c>
      <c r="CJ121" s="13" t="n">
        <v>54</v>
      </c>
      <c r="CK121" s="13" t="n">
        <v>335</v>
      </c>
      <c r="CL121" s="13" t="n">
        <v>46</v>
      </c>
      <c r="CM121" s="13" t="n">
        <v>343</v>
      </c>
      <c r="CN121" s="13" t="n">
        <v>0.852</v>
      </c>
      <c r="CO121" s="13" t="n">
        <v>198</v>
      </c>
      <c r="CP121" s="13" t="n">
        <v>155</v>
      </c>
      <c r="CQ121" s="13" t="n">
        <v>137</v>
      </c>
      <c r="CR121" s="13" t="n">
        <v>7</v>
      </c>
      <c r="CS121" s="13" t="n">
        <v>8</v>
      </c>
      <c r="CT121" s="11" t="inlineStr">
        <is>
          <t xml:space="preserve"> Resort Freeride</t>
        </is>
      </c>
      <c r="CU121" s="11" t="inlineStr">
        <is>
          <t xml:space="preserve"> Freeski</t>
        </is>
      </c>
      <c r="CV121" s="13" t="n"/>
      <c r="CW121" s="13" t="n"/>
      <c r="CX121">
        <f>INDEX('Data_Price '!AG$2:AG$1266,MATCH(Data!$DN121,'Data_Price '!$AT$2:$AT$1266,0))</f>
        <v/>
      </c>
      <c r="CY121">
        <f>INDEX('Data_Price '!AH$2:AH$1266,MATCH(Data!$DN121,'Data_Price '!$AT$2:$AT$1266,0))</f>
        <v/>
      </c>
      <c r="CZ121">
        <f>INDEX('Data_Price '!AI$2:AI$1266,MATCH(Data!$DN121,'Data_Price '!$AT$2:$AT$1266,0))</f>
        <v/>
      </c>
      <c r="DA121">
        <f>INDEX('Data_Price '!AJ$2:AJ$1266,MATCH(Data!$DN121,'Data_Price '!$AT$2:$AT$1266,0))</f>
        <v/>
      </c>
      <c r="DB121">
        <f>INDEX('Data_Price '!AK$2:AK$1266,MATCH(Data!$DN121,'Data_Price '!$AT$2:$AT$1266,0))</f>
        <v/>
      </c>
      <c r="DC121">
        <f>INDEX('Data_Price '!AL$2:AL$1266,MATCH(Data!$DN121,'Data_Price '!$AT$2:$AT$1266,0))</f>
        <v/>
      </c>
      <c r="DD121">
        <f>INDEX('Data_Price '!AM$2:AM$1266,MATCH(Data!$DN121,'Data_Price '!$AT$2:$AT$1266,0))</f>
        <v/>
      </c>
      <c r="DE121">
        <f>INDEX('Data_Price '!AN$2:AN$1266,MATCH(Data!$DN121,'Data_Price '!$AT$2:$AT$1266,0))</f>
        <v/>
      </c>
      <c r="DF121">
        <f>INDEX('Data_Price '!AO$2:AO$1266,MATCH(Data!$DN121,'Data_Price '!$AT$2:$AT$1266,0))</f>
        <v/>
      </c>
      <c r="DG121">
        <f>INDEX('Data_Price '!AP$2:AP$1266,MATCH(Data!$DN121,'Data_Price '!$AT$2:$AT$1266,0))</f>
        <v/>
      </c>
      <c r="DH121">
        <f>INDEX('Data_Price '!AQ$2:AQ$1266,MATCH(Data!$DN121,'Data_Price '!$AT$2:$AT$1266,0))</f>
        <v/>
      </c>
      <c r="DI121">
        <f>INDEX('Data_Price '!AR$2:AR$1266,MATCH(Data!$DN121,'Data_Price '!$AT$2:$AT$1266,0))</f>
        <v/>
      </c>
      <c r="DJ121" s="138">
        <f>DA121</f>
        <v/>
      </c>
      <c r="DK121" s="138">
        <f>DE121</f>
        <v/>
      </c>
      <c r="DL121" s="138">
        <f>DI121</f>
        <v/>
      </c>
      <c r="DM121" s="303">
        <f>IF(LEFT(BT121,1)=" ",RIGHT(BT121,LEN(BT121)-1),BT121)</f>
        <v/>
      </c>
      <c r="DN121" s="138">
        <f>_xlfn.CONCAT(BS121,DM121,BU121,BV121)</f>
        <v/>
      </c>
      <c r="DO121" s="307" t="inlineStr">
        <is>
          <t>https://images.evo.com/imgp/250/198834/826148/dynastar-m-free-99-skis-2022-.jpg</t>
        </is>
      </c>
    </row>
    <row r="122" ht="15.6" customHeight="1" s="184">
      <c r="B122" s="303">
        <f t="array" ref="B122">IF(OR(ISERROR(K122:P122)),FALSE,TRUE)</f>
        <v/>
      </c>
      <c r="C122" s="60">
        <f>OR(BR122=Driver!$G$50,Data!BR972=Driver!$H$50)</f>
        <v/>
      </c>
      <c r="D122" s="60">
        <f>OR(BV122=Driver!$G$51,BV122=Driver!$H$51)</f>
        <v/>
      </c>
      <c r="E122" s="60">
        <f>AND(BX122&gt;Driver!$F$54,BX122&lt;Driver!$G$54)</f>
        <v/>
      </c>
      <c r="F122" s="60">
        <f>CL122&gt;Driver!$F$56</f>
        <v/>
      </c>
      <c r="G122" s="60">
        <f>AND(CB122&gt;Driver!$F$55,CB122&lt;Driver!$G$55)</f>
        <v/>
      </c>
      <c r="H122" s="60">
        <f>AND(B122:G122)</f>
        <v/>
      </c>
      <c r="I122" s="60">
        <f>COUNTIFS($H$9:$H$1273,TRUE,$BT$9:$BT$1273,BT122)</f>
        <v/>
      </c>
      <c r="J122" s="60">
        <f t="array" ref="J122">NOT(OR(($H$9:$H$1273=TRUE)*($I$9:$I$1273&gt;0)*($BT$9:$BT$1273=BT122)*($K$9:$K$1273&gt;K122)))</f>
        <v/>
      </c>
      <c r="K122" s="108">
        <f>IFERROR(1-AVERAGE(X122:Y122),"")</f>
        <v/>
      </c>
      <c r="L122" s="108">
        <f>1-X122</f>
        <v/>
      </c>
      <c r="M122" s="108">
        <f>1-Y122</f>
        <v/>
      </c>
      <c r="N122" s="108">
        <f>1-Z122</f>
        <v/>
      </c>
      <c r="O122" s="108">
        <f>1-AA122</f>
        <v/>
      </c>
      <c r="P122" s="108">
        <f>1-AB122</f>
        <v/>
      </c>
      <c r="Q122" s="108" t="n"/>
      <c r="R122" s="108" t="n"/>
      <c r="S122" s="108">
        <f>1-AE122</f>
        <v/>
      </c>
      <c r="T122" s="108">
        <f>1-AF122</f>
        <v/>
      </c>
      <c r="U122" s="108">
        <f>1-AG122</f>
        <v/>
      </c>
      <c r="V122" s="108">
        <f>1-AH122</f>
        <v/>
      </c>
      <c r="W122" s="108">
        <f>1-AI122</f>
        <v/>
      </c>
      <c r="X122" s="108">
        <f>ABS(AJ122-AJ$1)</f>
        <v/>
      </c>
      <c r="Y122" s="108">
        <f>AVERAGE(Z122:AB122)</f>
        <v/>
      </c>
      <c r="Z122" s="108">
        <f>ABS(AL122-AL$1)</f>
        <v/>
      </c>
      <c r="AA122" s="108">
        <f>ABS(AM122-AM$1)</f>
        <v/>
      </c>
      <c r="AB122" s="108">
        <f>ABS(AN122-AN$1)</f>
        <v/>
      </c>
      <c r="AC122" s="108" t="n"/>
      <c r="AD122" s="108" t="n"/>
      <c r="AE122" s="108">
        <f>ABS(AQ$1-AQ122)</f>
        <v/>
      </c>
      <c r="AF122" s="108">
        <f>ABS(AR$1-AR122)</f>
        <v/>
      </c>
      <c r="AG122" s="108">
        <f>ABS(AS$1-AS122)</f>
        <v/>
      </c>
      <c r="AH122" s="108">
        <f>ABS(AT$1-AT122)</f>
        <v/>
      </c>
      <c r="AI122" s="108">
        <f>ABS(AU$1-AU122)</f>
        <v/>
      </c>
      <c r="AJ122" s="108">
        <f>(AV122-Driver!$K$179)/(Driver!$L$179-Driver!$K$179)</f>
        <v/>
      </c>
      <c r="AK122" s="108">
        <f>(AW122-Driver!$K$180)/(Driver!$L$180-Driver!$K$180)</f>
        <v/>
      </c>
      <c r="AL122" s="108">
        <f>(AX122-Driver!$K$181)/(Driver!$L$181-Driver!$K$181)</f>
        <v/>
      </c>
      <c r="AM122" s="108">
        <f>(AY122-Driver!$K$182)/(Driver!$L$182-Driver!$K$182)</f>
        <v/>
      </c>
      <c r="AN122" s="108">
        <f>(AZ122-Driver!$K$183)/(Driver!$L$183-Driver!$K$183)</f>
        <v/>
      </c>
      <c r="AO122" s="108" t="n"/>
      <c r="AP122" s="108" t="n"/>
      <c r="AQ122" s="108">
        <f>(BC122-Driver!$K$188)/(Driver!$L$188-Driver!$K$188)</f>
        <v/>
      </c>
      <c r="AR122" s="108">
        <f>MIN((BD122-Driver!$K$189)/(Driver!$L$189-Driver!$K$189),100%)</f>
        <v/>
      </c>
      <c r="AS122" s="108">
        <f>(BE122-Driver!$K$190)/(Driver!$L$190-Driver!$K$190)</f>
        <v/>
      </c>
      <c r="AT122" s="108">
        <f>(BF122-Driver!$K$191)/(Driver!$L$191-Driver!$K$191)</f>
        <v/>
      </c>
      <c r="AU122" s="108">
        <f>(BG122-Driver!$K$192)/(Driver!$L$192-Driver!$K$192)</f>
        <v/>
      </c>
      <c r="AV122" s="105">
        <f>IFERROR(BM122*BJ122^1/4,"")</f>
        <v/>
      </c>
      <c r="AW122" s="105">
        <f>IFERROR(SUM(AX122:AZ122),"")</f>
        <v/>
      </c>
      <c r="AX122" s="105">
        <f>IFERROR(BH122,"")</f>
        <v/>
      </c>
      <c r="AY122" s="105">
        <f>IFERROR(Driver!$K$19/Data!BH122/Data!BI122*Data!BK122*Data!BL122,"")</f>
        <v/>
      </c>
      <c r="AZ122" s="105">
        <f>IFERROR(BI122*BN122,"")</f>
        <v/>
      </c>
      <c r="BA122" s="105" t="n"/>
      <c r="BB122" s="105" t="n"/>
      <c r="BC122" s="105">
        <f>IFERROR(BI122*BN122*BK122/BJ122^(1/2),"")</f>
        <v/>
      </c>
      <c r="BD122" s="105">
        <f>IFERROR(BH122*BM122*BL122/BJ122/BK122,"")</f>
        <v/>
      </c>
      <c r="BE122" s="105">
        <f>IFERROR(MIN(BI122/BQ122/BP122/BO122/BH122,$BE$1),"")</f>
        <v/>
      </c>
      <c r="BF122" s="105">
        <f>IFERROR(BJ122*BO122*BP122/BK122,"")</f>
        <v/>
      </c>
      <c r="BG122" s="105">
        <f>IFERROR(1/BM122/BH122*BQ122,"")</f>
        <v/>
      </c>
      <c r="BH122" s="102">
        <f>MAX((CE122-Driver!$F$200)/(Driver!$G$200-Driver!$F$200)*$BI$1,1)</f>
        <v/>
      </c>
      <c r="BI122" s="102">
        <f>MAX($BI$1*(BY122-Driver!$F$201)/(Driver!$G$201-Driver!$F$201),1)</f>
        <v/>
      </c>
      <c r="BJ122" s="102">
        <f>(CB122-Driver!$F$206)/(Driver!$G$206-Driver!$F$206)*$BI$1</f>
        <v/>
      </c>
      <c r="BK122" s="102">
        <f>(CD122-Driver!$F$203)/(Driver!$G$203-Driver!$F$203)*$BI$1</f>
        <v/>
      </c>
      <c r="BL122" s="102">
        <f>MAX((CR122-Driver!$F$202)/(Driver!$G$202-Driver!$F$202)*$BI$1,1)</f>
        <v/>
      </c>
      <c r="BM122" s="102">
        <f>MAX((CH122-Driver!$F$204)/(Driver!$G$204-Driver!$F$204)*$BI$1,1)</f>
        <v/>
      </c>
      <c r="BN122" s="102">
        <f>(CI122-Driver!$F$205)/(Driver!$G$205-Driver!$F$205)*$BI$1</f>
        <v/>
      </c>
      <c r="BO122" s="102">
        <f>(CK122-Driver!$F$207)/(Driver!$G$207-Driver!$F$207)*$BI$1</f>
        <v/>
      </c>
      <c r="BP122" s="102">
        <f>(CM122-Driver!$F$208)/(Driver!$G$208-Driver!$F$208)*$BI$1</f>
        <v/>
      </c>
      <c r="BQ122" s="102">
        <f>(CL122-Driver!$F$209)/(Driver!$G$209-Driver!$F$209)*$BI$1</f>
        <v/>
      </c>
      <c r="BR122" s="40" t="inlineStr">
        <is>
          <t>21/22</t>
        </is>
      </c>
      <c r="BS122" s="10" t="inlineStr">
        <is>
          <t xml:space="preserve"> Rossignol</t>
        </is>
      </c>
      <c r="BT122" s="11" t="inlineStr">
        <is>
          <t>Blackops Escaper</t>
        </is>
      </c>
      <c r="BU122" s="13" t="n">
        <v>172</v>
      </c>
      <c r="BV122" s="11" t="inlineStr">
        <is>
          <t xml:space="preserve"> Unisex</t>
        </is>
      </c>
      <c r="BW122" s="13" t="n">
        <v>172</v>
      </c>
      <c r="BX122" s="13" t="n">
        <v>170.8</v>
      </c>
      <c r="BY122" s="13" t="n">
        <v>124</v>
      </c>
      <c r="BZ122" s="13" t="n">
        <v>146</v>
      </c>
      <c r="CA122" s="13" t="n">
        <v>126</v>
      </c>
      <c r="CB122" s="13" t="n">
        <v>92</v>
      </c>
      <c r="CC122" s="13" t="n">
        <v>116</v>
      </c>
      <c r="CD122" s="13" t="n">
        <v>16</v>
      </c>
      <c r="CE122" s="13" t="n">
        <v>1632</v>
      </c>
      <c r="CF122" s="13" t="n">
        <v>1.08</v>
      </c>
      <c r="CG122" s="13" t="n">
        <v>1769</v>
      </c>
      <c r="CH122" s="13" t="n">
        <v>204</v>
      </c>
      <c r="CI122" s="13" t="n">
        <v>90</v>
      </c>
      <c r="CJ122" s="13" t="n">
        <v>47</v>
      </c>
      <c r="CK122" s="13" t="n">
        <v>291</v>
      </c>
      <c r="CL122" s="13" t="n">
        <v>12</v>
      </c>
      <c r="CM122" s="13" t="n">
        <v>174</v>
      </c>
      <c r="CN122" s="13" t="n">
        <v>0.26</v>
      </c>
      <c r="CO122" s="13" t="n">
        <v>153</v>
      </c>
      <c r="CP122" s="13" t="n">
        <v>98</v>
      </c>
      <c r="CQ122" s="13" t="n">
        <v>138</v>
      </c>
      <c r="CR122" s="13" t="n">
        <v>6</v>
      </c>
      <c r="CS122" s="13" t="n">
        <v>6.5</v>
      </c>
      <c r="CT122" s="11" t="inlineStr">
        <is>
          <t xml:space="preserve"> Resort Freeride</t>
        </is>
      </c>
      <c r="CU122" s="11" t="inlineStr">
        <is>
          <t xml:space="preserve"> Touring</t>
        </is>
      </c>
      <c r="CV122" s="13" t="n"/>
      <c r="CW122" s="13" t="n"/>
      <c r="CX122">
        <f>INDEX('Data_Price '!AG$2:AG$1266,MATCH(Data!$DN122,'Data_Price '!$AT$2:$AT$1266,0))</f>
        <v/>
      </c>
      <c r="CY122">
        <f>INDEX('Data_Price '!AH$2:AH$1266,MATCH(Data!$DN122,'Data_Price '!$AT$2:$AT$1266,0))</f>
        <v/>
      </c>
      <c r="CZ122">
        <f>INDEX('Data_Price '!AI$2:AI$1266,MATCH(Data!$DN122,'Data_Price '!$AT$2:$AT$1266,0))</f>
        <v/>
      </c>
      <c r="DA122">
        <f>INDEX('Data_Price '!AJ$2:AJ$1266,MATCH(Data!$DN122,'Data_Price '!$AT$2:$AT$1266,0))</f>
        <v/>
      </c>
      <c r="DB122">
        <f>INDEX('Data_Price '!AK$2:AK$1266,MATCH(Data!$DN122,'Data_Price '!$AT$2:$AT$1266,0))</f>
        <v/>
      </c>
      <c r="DC122">
        <f>INDEX('Data_Price '!AL$2:AL$1266,MATCH(Data!$DN122,'Data_Price '!$AT$2:$AT$1266,0))</f>
        <v/>
      </c>
      <c r="DD122">
        <f>INDEX('Data_Price '!AM$2:AM$1266,MATCH(Data!$DN122,'Data_Price '!$AT$2:$AT$1266,0))</f>
        <v/>
      </c>
      <c r="DE122">
        <f>INDEX('Data_Price '!AN$2:AN$1266,MATCH(Data!$DN122,'Data_Price '!$AT$2:$AT$1266,0))</f>
        <v/>
      </c>
      <c r="DF122">
        <f>INDEX('Data_Price '!AO$2:AO$1266,MATCH(Data!$DN122,'Data_Price '!$AT$2:$AT$1266,0))</f>
        <v/>
      </c>
      <c r="DG122">
        <f>INDEX('Data_Price '!AP$2:AP$1266,MATCH(Data!$DN122,'Data_Price '!$AT$2:$AT$1266,0))</f>
        <v/>
      </c>
      <c r="DH122">
        <f>INDEX('Data_Price '!AQ$2:AQ$1266,MATCH(Data!$DN122,'Data_Price '!$AT$2:$AT$1266,0))</f>
        <v/>
      </c>
      <c r="DI122">
        <f>INDEX('Data_Price '!AR$2:AR$1266,MATCH(Data!$DN122,'Data_Price '!$AT$2:$AT$1266,0))</f>
        <v/>
      </c>
      <c r="DJ122" s="138">
        <f>DA122</f>
        <v/>
      </c>
      <c r="DK122" s="138">
        <f>DE122</f>
        <v/>
      </c>
      <c r="DL122" s="138">
        <f>DI122</f>
        <v/>
      </c>
      <c r="DM122" s="303">
        <f>IF(LEFT(BT122,1)=" ",RIGHT(BT122,LEN(BT122)-1),BT122)</f>
        <v/>
      </c>
      <c r="DN122" s="138">
        <f>_xlfn.CONCAT(BS122,DM122,BU122,BV122)</f>
        <v/>
      </c>
      <c r="DO122" s="307" t="n"/>
    </row>
    <row r="123" ht="15.6" customHeight="1" s="184">
      <c r="B123" s="303">
        <f t="array" ref="B123">IF(OR(ISERROR(K123:P123)),FALSE,TRUE)</f>
        <v/>
      </c>
      <c r="C123" s="60">
        <f>OR(BR123=Driver!$G$50,Data!BR1104=Driver!$H$50)</f>
        <v/>
      </c>
      <c r="D123" s="60">
        <f>OR(BV123=Driver!$G$51,BV123=Driver!$H$51)</f>
        <v/>
      </c>
      <c r="E123" s="60">
        <f>AND(BX123&gt;Driver!$F$54,BX123&lt;Driver!$G$54)</f>
        <v/>
      </c>
      <c r="F123" s="60">
        <f>CL123&gt;Driver!$F$56</f>
        <v/>
      </c>
      <c r="G123" s="60">
        <f>AND(CB123&gt;Driver!$F$55,CB123&lt;Driver!$G$55)</f>
        <v/>
      </c>
      <c r="H123" s="60">
        <f>AND(B123:G123)</f>
        <v/>
      </c>
      <c r="I123" s="60">
        <f>COUNTIFS($H$9:$H$1273,TRUE,$BT$9:$BT$1273,BT123)</f>
        <v/>
      </c>
      <c r="J123" s="60">
        <f t="array" ref="J123">NOT(OR(($H$9:$H$1273=TRUE)*($I$9:$I$1273&gt;0)*($BT$9:$BT$1273=BT123)*($K$9:$K$1273&gt;K123)))</f>
        <v/>
      </c>
      <c r="K123" s="108">
        <f>IFERROR(1-AVERAGE(X123:Y123),"")</f>
        <v/>
      </c>
      <c r="L123" s="108">
        <f>1-X123</f>
        <v/>
      </c>
      <c r="M123" s="108">
        <f>1-Y123</f>
        <v/>
      </c>
      <c r="N123" s="108">
        <f>1-Z123</f>
        <v/>
      </c>
      <c r="O123" s="108">
        <f>1-AA123</f>
        <v/>
      </c>
      <c r="P123" s="108">
        <f>1-AB123</f>
        <v/>
      </c>
      <c r="Q123" s="108" t="n"/>
      <c r="R123" s="108" t="n"/>
      <c r="S123" s="108">
        <f>1-AE123</f>
        <v/>
      </c>
      <c r="T123" s="108">
        <f>1-AF123</f>
        <v/>
      </c>
      <c r="U123" s="108">
        <f>1-AG123</f>
        <v/>
      </c>
      <c r="V123" s="108">
        <f>1-AH123</f>
        <v/>
      </c>
      <c r="W123" s="108">
        <f>1-AI123</f>
        <v/>
      </c>
      <c r="X123" s="108">
        <f>ABS(AJ123-AJ$1)</f>
        <v/>
      </c>
      <c r="Y123" s="108">
        <f>AVERAGE(Z123:AB123)</f>
        <v/>
      </c>
      <c r="Z123" s="108">
        <f>ABS(AL123-AL$1)</f>
        <v/>
      </c>
      <c r="AA123" s="108">
        <f>ABS(AM123-AM$1)</f>
        <v/>
      </c>
      <c r="AB123" s="108">
        <f>ABS(AN123-AN$1)</f>
        <v/>
      </c>
      <c r="AC123" s="108" t="n"/>
      <c r="AD123" s="108" t="n"/>
      <c r="AE123" s="108">
        <f>ABS(AQ$1-AQ123)</f>
        <v/>
      </c>
      <c r="AF123" s="108">
        <f>ABS(AR$1-AR123)</f>
        <v/>
      </c>
      <c r="AG123" s="108">
        <f>ABS(AS$1-AS123)</f>
        <v/>
      </c>
      <c r="AH123" s="108">
        <f>ABS(AT$1-AT123)</f>
        <v/>
      </c>
      <c r="AI123" s="108">
        <f>ABS(AU$1-AU123)</f>
        <v/>
      </c>
      <c r="AJ123" s="108">
        <f>(AV123-Driver!$K$179)/(Driver!$L$179-Driver!$K$179)</f>
        <v/>
      </c>
      <c r="AK123" s="108">
        <f>(AW123-Driver!$K$180)/(Driver!$L$180-Driver!$K$180)</f>
        <v/>
      </c>
      <c r="AL123" s="108">
        <f>(AX123-Driver!$K$181)/(Driver!$L$181-Driver!$K$181)</f>
        <v/>
      </c>
      <c r="AM123" s="108">
        <f>(AY123-Driver!$K$182)/(Driver!$L$182-Driver!$K$182)</f>
        <v/>
      </c>
      <c r="AN123" s="108">
        <f>(AZ123-Driver!$K$183)/(Driver!$L$183-Driver!$K$183)</f>
        <v/>
      </c>
      <c r="AO123" s="108" t="n"/>
      <c r="AP123" s="108" t="n"/>
      <c r="AQ123" s="108">
        <f>(BC123-Driver!$K$188)/(Driver!$L$188-Driver!$K$188)</f>
        <v/>
      </c>
      <c r="AR123" s="108">
        <f>MIN((BD123-Driver!$K$189)/(Driver!$L$189-Driver!$K$189),100%)</f>
        <v/>
      </c>
      <c r="AS123" s="108">
        <f>(BE123-Driver!$K$190)/(Driver!$L$190-Driver!$K$190)</f>
        <v/>
      </c>
      <c r="AT123" s="108">
        <f>(BF123-Driver!$K$191)/(Driver!$L$191-Driver!$K$191)</f>
        <v/>
      </c>
      <c r="AU123" s="108">
        <f>(BG123-Driver!$K$192)/(Driver!$L$192-Driver!$K$192)</f>
        <v/>
      </c>
      <c r="AV123" s="105">
        <f>IFERROR(BM123*BJ123^1/4,"")</f>
        <v/>
      </c>
      <c r="AW123" s="105">
        <f>IFERROR(SUM(AX123:AZ123),"")</f>
        <v/>
      </c>
      <c r="AX123" s="105">
        <f>IFERROR(BH123,"")</f>
        <v/>
      </c>
      <c r="AY123" s="105">
        <f>IFERROR(Driver!$K$19/Data!BH123/Data!BI123*Data!BK123*Data!BL123,"")</f>
        <v/>
      </c>
      <c r="AZ123" s="105">
        <f>IFERROR(BI123*BN123,"")</f>
        <v/>
      </c>
      <c r="BA123" s="105" t="n"/>
      <c r="BB123" s="105" t="n"/>
      <c r="BC123" s="105">
        <f>IFERROR(BI123*BN123*BK123/BJ123^(1/2),"")</f>
        <v/>
      </c>
      <c r="BD123" s="105">
        <f>IFERROR(BH123*BM123*BL123/BJ123/BK123,"")</f>
        <v/>
      </c>
      <c r="BE123" s="105">
        <f>IFERROR(MIN(BI123/BQ123/BP123/BO123/BH123,$BE$1),"")</f>
        <v/>
      </c>
      <c r="BF123" s="105">
        <f>IFERROR(BJ123*BO123*BP123/BK123,"")</f>
        <v/>
      </c>
      <c r="BG123" s="105">
        <f>IFERROR(1/BM123/BH123*BQ123,"")</f>
        <v/>
      </c>
      <c r="BH123" s="102">
        <f>MAX((CE123-Driver!$F$200)/(Driver!$G$200-Driver!$F$200)*$BI$1,1)</f>
        <v/>
      </c>
      <c r="BI123" s="102">
        <f>MAX($BI$1*(BY123-Driver!$F$201)/(Driver!$G$201-Driver!$F$201),1)</f>
        <v/>
      </c>
      <c r="BJ123" s="102">
        <f>(CB123-Driver!$F$206)/(Driver!$G$206-Driver!$F$206)*$BI$1</f>
        <v/>
      </c>
      <c r="BK123" s="102">
        <f>(CD123-Driver!$F$203)/(Driver!$G$203-Driver!$F$203)*$BI$1</f>
        <v/>
      </c>
      <c r="BL123" s="102">
        <f>MAX((CR123-Driver!$F$202)/(Driver!$G$202-Driver!$F$202)*$BI$1,1)</f>
        <v/>
      </c>
      <c r="BM123" s="102">
        <f>MAX((CH123-Driver!$F$204)/(Driver!$G$204-Driver!$F$204)*$BI$1,1)</f>
        <v/>
      </c>
      <c r="BN123" s="102">
        <f>(CI123-Driver!$F$205)/(Driver!$G$205-Driver!$F$205)*$BI$1</f>
        <v/>
      </c>
      <c r="BO123" s="102">
        <f>(CK123-Driver!$F$207)/(Driver!$G$207-Driver!$F$207)*$BI$1</f>
        <v/>
      </c>
      <c r="BP123" s="102">
        <f>(CM123-Driver!$F$208)/(Driver!$G$208-Driver!$F$208)*$BI$1</f>
        <v/>
      </c>
      <c r="BQ123" s="102">
        <f>(CL123-Driver!$F$209)/(Driver!$G$209-Driver!$F$209)*$BI$1</f>
        <v/>
      </c>
      <c r="BR123" s="40" t="inlineStr">
        <is>
          <t>21/22</t>
        </is>
      </c>
      <c r="BS123" s="10" t="inlineStr">
        <is>
          <t xml:space="preserve"> Salomon</t>
        </is>
      </c>
      <c r="BT123" s="11" t="inlineStr">
        <is>
          <t>Stance 84</t>
        </is>
      </c>
      <c r="BU123" s="13" t="n">
        <v>185</v>
      </c>
      <c r="BV123" s="11" t="inlineStr">
        <is>
          <t xml:space="preserve"> Unisex</t>
        </is>
      </c>
      <c r="BW123" s="13" t="n">
        <v>185</v>
      </c>
      <c r="BX123" s="13" t="n">
        <v>184.7</v>
      </c>
      <c r="BY123" s="13" t="n">
        <v>134</v>
      </c>
      <c r="BZ123" s="13" t="n">
        <v>156</v>
      </c>
      <c r="CA123" s="13" t="n">
        <v>122</v>
      </c>
      <c r="CB123" s="13" t="n">
        <v>83</v>
      </c>
      <c r="CC123" s="13" t="n">
        <v>105</v>
      </c>
      <c r="CD123" s="13" t="n">
        <v>18.1</v>
      </c>
      <c r="CE123" s="13" t="n">
        <v>1657</v>
      </c>
      <c r="CF123" s="13" t="n">
        <v>1.07</v>
      </c>
      <c r="CG123" s="13" t="n">
        <v>1779</v>
      </c>
      <c r="CH123" s="13" t="n">
        <v>242</v>
      </c>
      <c r="CI123" s="13" t="n">
        <v>95</v>
      </c>
      <c r="CJ123" s="13" t="n">
        <v>48</v>
      </c>
      <c r="CK123" s="13" t="n">
        <v>288</v>
      </c>
      <c r="CL123" s="13" t="n">
        <v>12</v>
      </c>
      <c r="CM123" s="13" t="n">
        <v>218</v>
      </c>
      <c r="CN123" s="13" t="n">
        <v>0.257</v>
      </c>
      <c r="CO123" s="13" t="n">
        <v>160</v>
      </c>
      <c r="CP123" s="13" t="n">
        <v>128</v>
      </c>
      <c r="CQ123" s="13" t="n">
        <v>128</v>
      </c>
      <c r="CR123" s="13" t="n">
        <v>5</v>
      </c>
      <c r="CS123" s="13" t="n">
        <v>9.300000000000001</v>
      </c>
      <c r="CT123" s="11" t="inlineStr">
        <is>
          <t xml:space="preserve"> On-Piste All-Mountain</t>
        </is>
      </c>
      <c r="CU123" s="11" t="inlineStr">
        <is>
          <t xml:space="preserve"> Resort Freeride</t>
        </is>
      </c>
      <c r="CV123" s="11" t="inlineStr">
        <is>
          <t xml:space="preserve"> Touring</t>
        </is>
      </c>
      <c r="CW123" s="13" t="n"/>
      <c r="CX123">
        <f>INDEX('Data_Price '!AG$2:AG$1266,MATCH(Data!$DN123,'Data_Price '!$AT$2:$AT$1266,0))</f>
        <v/>
      </c>
      <c r="CY123">
        <f>INDEX('Data_Price '!AH$2:AH$1266,MATCH(Data!$DN123,'Data_Price '!$AT$2:$AT$1266,0))</f>
        <v/>
      </c>
      <c r="CZ123">
        <f>INDEX('Data_Price '!AI$2:AI$1266,MATCH(Data!$DN123,'Data_Price '!$AT$2:$AT$1266,0))</f>
        <v/>
      </c>
      <c r="DA123">
        <f>INDEX('Data_Price '!AJ$2:AJ$1266,MATCH(Data!$DN123,'Data_Price '!$AT$2:$AT$1266,0))</f>
        <v/>
      </c>
      <c r="DB123">
        <f>INDEX('Data_Price '!AK$2:AK$1266,MATCH(Data!$DN123,'Data_Price '!$AT$2:$AT$1266,0))</f>
        <v/>
      </c>
      <c r="DC123">
        <f>INDEX('Data_Price '!AL$2:AL$1266,MATCH(Data!$DN123,'Data_Price '!$AT$2:$AT$1266,0))</f>
        <v/>
      </c>
      <c r="DD123">
        <f>INDEX('Data_Price '!AM$2:AM$1266,MATCH(Data!$DN123,'Data_Price '!$AT$2:$AT$1266,0))</f>
        <v/>
      </c>
      <c r="DE123">
        <f>INDEX('Data_Price '!AN$2:AN$1266,MATCH(Data!$DN123,'Data_Price '!$AT$2:$AT$1266,0))</f>
        <v/>
      </c>
      <c r="DF123">
        <f>INDEX('Data_Price '!AO$2:AO$1266,MATCH(Data!$DN123,'Data_Price '!$AT$2:$AT$1266,0))</f>
        <v/>
      </c>
      <c r="DG123">
        <f>INDEX('Data_Price '!AP$2:AP$1266,MATCH(Data!$DN123,'Data_Price '!$AT$2:$AT$1266,0))</f>
        <v/>
      </c>
      <c r="DH123">
        <f>INDEX('Data_Price '!AQ$2:AQ$1266,MATCH(Data!$DN123,'Data_Price '!$AT$2:$AT$1266,0))</f>
        <v/>
      </c>
      <c r="DI123">
        <f>INDEX('Data_Price '!AR$2:AR$1266,MATCH(Data!$DN123,'Data_Price '!$AT$2:$AT$1266,0))</f>
        <v/>
      </c>
      <c r="DJ123" s="138">
        <f>DA123</f>
        <v/>
      </c>
      <c r="DK123" s="138">
        <f>DE123</f>
        <v/>
      </c>
      <c r="DL123" s="138">
        <f>DI123</f>
        <v/>
      </c>
      <c r="DM123" s="303">
        <f>IF(LEFT(BT123,1)=" ",RIGHT(BT123,LEN(BT123)-1),BT123)</f>
        <v/>
      </c>
      <c r="DN123" s="138">
        <f>_xlfn.CONCAT(BS123,DM123,BU123,BV123)</f>
        <v/>
      </c>
      <c r="DO123" s="307" t="inlineStr">
        <is>
          <t>https://images.evo.com/imgp/250/197287/812033/clone.jpg</t>
        </is>
      </c>
    </row>
    <row r="124" ht="15.6" customHeight="1" s="184">
      <c r="B124" s="303">
        <f t="array" ref="B124">IF(OR(ISERROR(K124:P124)),FALSE,TRUE)</f>
        <v/>
      </c>
      <c r="C124" s="60">
        <f>OR(BR124=Driver!$G$50,Data!BR1019=Driver!$H$50)</f>
        <v/>
      </c>
      <c r="D124" s="60">
        <f>OR(BV124=Driver!$G$51,BV124=Driver!$H$51)</f>
        <v/>
      </c>
      <c r="E124" s="60">
        <f>AND(BX124&gt;Driver!$F$54,BX124&lt;Driver!$G$54)</f>
        <v/>
      </c>
      <c r="F124" s="60">
        <f>CL124&gt;Driver!$F$56</f>
        <v/>
      </c>
      <c r="G124" s="60">
        <f>AND(CB124&gt;Driver!$F$55,CB124&lt;Driver!$G$55)</f>
        <v/>
      </c>
      <c r="H124" s="60">
        <f>AND(B124:G124)</f>
        <v/>
      </c>
      <c r="I124" s="60">
        <f>COUNTIFS($H$9:$H$1273,TRUE,$BT$9:$BT$1273,BT124)</f>
        <v/>
      </c>
      <c r="J124" s="60">
        <f t="array" ref="J124">NOT(OR(($H$9:$H$1273=TRUE)*($I$9:$I$1273&gt;0)*($BT$9:$BT$1273=BT124)*($K$9:$K$1273&gt;K124)))</f>
        <v/>
      </c>
      <c r="K124" s="108">
        <f>IFERROR(1-AVERAGE(X124:Y124),"")</f>
        <v/>
      </c>
      <c r="L124" s="108">
        <f>1-X124</f>
        <v/>
      </c>
      <c r="M124" s="108">
        <f>1-Y124</f>
        <v/>
      </c>
      <c r="N124" s="108">
        <f>1-Z124</f>
        <v/>
      </c>
      <c r="O124" s="108">
        <f>1-AA124</f>
        <v/>
      </c>
      <c r="P124" s="108">
        <f>1-AB124</f>
        <v/>
      </c>
      <c r="Q124" s="108" t="n"/>
      <c r="R124" s="108" t="n"/>
      <c r="S124" s="108">
        <f>1-AE124</f>
        <v/>
      </c>
      <c r="T124" s="108">
        <f>1-AF124</f>
        <v/>
      </c>
      <c r="U124" s="108">
        <f>1-AG124</f>
        <v/>
      </c>
      <c r="V124" s="108">
        <f>1-AH124</f>
        <v/>
      </c>
      <c r="W124" s="108">
        <f>1-AI124</f>
        <v/>
      </c>
      <c r="X124" s="108">
        <f>ABS(AJ124-AJ$1)</f>
        <v/>
      </c>
      <c r="Y124" s="108">
        <f>AVERAGE(Z124:AB124)</f>
        <v/>
      </c>
      <c r="Z124" s="108">
        <f>ABS(AL124-AL$1)</f>
        <v/>
      </c>
      <c r="AA124" s="108">
        <f>ABS(AM124-AM$1)</f>
        <v/>
      </c>
      <c r="AB124" s="108">
        <f>ABS(AN124-AN$1)</f>
        <v/>
      </c>
      <c r="AC124" s="108" t="n"/>
      <c r="AD124" s="108" t="n"/>
      <c r="AE124" s="108">
        <f>ABS(AQ$1-AQ124)</f>
        <v/>
      </c>
      <c r="AF124" s="108">
        <f>ABS(AR$1-AR124)</f>
        <v/>
      </c>
      <c r="AG124" s="108">
        <f>ABS(AS$1-AS124)</f>
        <v/>
      </c>
      <c r="AH124" s="108">
        <f>ABS(AT$1-AT124)</f>
        <v/>
      </c>
      <c r="AI124" s="108">
        <f>ABS(AU$1-AU124)</f>
        <v/>
      </c>
      <c r="AJ124" s="108">
        <f>(AV124-Driver!$K$179)/(Driver!$L$179-Driver!$K$179)</f>
        <v/>
      </c>
      <c r="AK124" s="108">
        <f>(AW124-Driver!$K$180)/(Driver!$L$180-Driver!$K$180)</f>
        <v/>
      </c>
      <c r="AL124" s="108">
        <f>(AX124-Driver!$K$181)/(Driver!$L$181-Driver!$K$181)</f>
        <v/>
      </c>
      <c r="AM124" s="108">
        <f>(AY124-Driver!$K$182)/(Driver!$L$182-Driver!$K$182)</f>
        <v/>
      </c>
      <c r="AN124" s="108">
        <f>(AZ124-Driver!$K$183)/(Driver!$L$183-Driver!$K$183)</f>
        <v/>
      </c>
      <c r="AO124" s="108" t="n"/>
      <c r="AP124" s="108" t="n"/>
      <c r="AQ124" s="108">
        <f>(BC124-Driver!$K$188)/(Driver!$L$188-Driver!$K$188)</f>
        <v/>
      </c>
      <c r="AR124" s="108">
        <f>MIN((BD124-Driver!$K$189)/(Driver!$L$189-Driver!$K$189),100%)</f>
        <v/>
      </c>
      <c r="AS124" s="108">
        <f>(BE124-Driver!$K$190)/(Driver!$L$190-Driver!$K$190)</f>
        <v/>
      </c>
      <c r="AT124" s="108">
        <f>(BF124-Driver!$K$191)/(Driver!$L$191-Driver!$K$191)</f>
        <v/>
      </c>
      <c r="AU124" s="108">
        <f>(BG124-Driver!$K$192)/(Driver!$L$192-Driver!$K$192)</f>
        <v/>
      </c>
      <c r="AV124" s="105">
        <f>IFERROR(BM124*BJ124^1/4,"")</f>
        <v/>
      </c>
      <c r="AW124" s="105">
        <f>IFERROR(SUM(AX124:AZ124),"")</f>
        <v/>
      </c>
      <c r="AX124" s="105">
        <f>IFERROR(BH124,"")</f>
        <v/>
      </c>
      <c r="AY124" s="105">
        <f>IFERROR(Driver!$K$19/Data!BH124/Data!BI124*Data!BK124*Data!BL124,"")</f>
        <v/>
      </c>
      <c r="AZ124" s="105">
        <f>IFERROR(BI124*BN124,"")</f>
        <v/>
      </c>
      <c r="BA124" s="105" t="n"/>
      <c r="BB124" s="105" t="n"/>
      <c r="BC124" s="105">
        <f>IFERROR(BI124*BN124*BK124/BJ124^(1/2),"")</f>
        <v/>
      </c>
      <c r="BD124" s="105">
        <f>IFERROR(BH124*BM124*BL124/BJ124/BK124,"")</f>
        <v/>
      </c>
      <c r="BE124" s="105">
        <f>IFERROR(MIN(BI124/BQ124/BP124/BO124/BH124,$BE$1),"")</f>
        <v/>
      </c>
      <c r="BF124" s="105">
        <f>IFERROR(BJ124*BO124*BP124/BK124,"")</f>
        <v/>
      </c>
      <c r="BG124" s="105">
        <f>IFERROR(1/BM124/BH124*BQ124,"")</f>
        <v/>
      </c>
      <c r="BH124" s="102">
        <f>MAX((CE124-Driver!$F$200)/(Driver!$G$200-Driver!$F$200)*$BI$1,1)</f>
        <v/>
      </c>
      <c r="BI124" s="102">
        <f>MAX($BI$1*(BY124-Driver!$F$201)/(Driver!$G$201-Driver!$F$201),1)</f>
        <v/>
      </c>
      <c r="BJ124" s="102">
        <f>(CB124-Driver!$F$206)/(Driver!$G$206-Driver!$F$206)*$BI$1</f>
        <v/>
      </c>
      <c r="BK124" s="102">
        <f>(CD124-Driver!$F$203)/(Driver!$G$203-Driver!$F$203)*$BI$1</f>
        <v/>
      </c>
      <c r="BL124" s="102">
        <f>MAX((CR124-Driver!$F$202)/(Driver!$G$202-Driver!$F$202)*$BI$1,1)</f>
        <v/>
      </c>
      <c r="BM124" s="102">
        <f>MAX((CH124-Driver!$F$204)/(Driver!$G$204-Driver!$F$204)*$BI$1,1)</f>
        <v/>
      </c>
      <c r="BN124" s="102">
        <f>(CI124-Driver!$F$205)/(Driver!$G$205-Driver!$F$205)*$BI$1</f>
        <v/>
      </c>
      <c r="BO124" s="102">
        <f>(CK124-Driver!$F$207)/(Driver!$G$207-Driver!$F$207)*$BI$1</f>
        <v/>
      </c>
      <c r="BP124" s="102">
        <f>(CM124-Driver!$F$208)/(Driver!$G$208-Driver!$F$208)*$BI$1</f>
        <v/>
      </c>
      <c r="BQ124" s="102">
        <f>(CL124-Driver!$F$209)/(Driver!$G$209-Driver!$F$209)*$BI$1</f>
        <v/>
      </c>
      <c r="BR124" s="40" t="inlineStr">
        <is>
          <t>21/22</t>
        </is>
      </c>
      <c r="BS124" s="10" t="inlineStr">
        <is>
          <t xml:space="preserve"> Rossignol</t>
        </is>
      </c>
      <c r="BT124" s="11" t="inlineStr">
        <is>
          <t>Experience 86 Basalt</t>
        </is>
      </c>
      <c r="BU124" s="13" t="n">
        <v>176</v>
      </c>
      <c r="BV124" s="11" t="inlineStr">
        <is>
          <t xml:space="preserve"> Unisex</t>
        </is>
      </c>
      <c r="BW124" s="13" t="n">
        <v>176</v>
      </c>
      <c r="BX124" s="13" t="n">
        <v>175.5</v>
      </c>
      <c r="BY124" s="13" t="n">
        <v>137</v>
      </c>
      <c r="BZ124" s="13" t="n">
        <v>161</v>
      </c>
      <c r="CA124" s="13" t="n">
        <v>131</v>
      </c>
      <c r="CB124" s="13" t="n">
        <v>84</v>
      </c>
      <c r="CC124" s="13" t="n">
        <v>119</v>
      </c>
      <c r="CD124" s="13" t="n">
        <v>15.4</v>
      </c>
      <c r="CE124" s="13" t="n">
        <v>1911</v>
      </c>
      <c r="CF124" s="13" t="n">
        <v>0.91</v>
      </c>
      <c r="CG124" s="13" t="n">
        <v>1733</v>
      </c>
      <c r="CH124" s="13" t="n">
        <v>230</v>
      </c>
      <c r="CI124" s="13" t="n">
        <v>92</v>
      </c>
      <c r="CJ124" s="13" t="n">
        <v>47</v>
      </c>
      <c r="CK124" s="13" t="n">
        <v>258</v>
      </c>
      <c r="CL124" s="13" t="n">
        <v>13</v>
      </c>
      <c r="CM124" s="13" t="n">
        <v>126</v>
      </c>
      <c r="CN124" s="13" t="n">
        <v>0.269</v>
      </c>
      <c r="CO124" s="13" t="n">
        <v>73</v>
      </c>
      <c r="CP124" s="13" t="n">
        <v>67</v>
      </c>
      <c r="CQ124" s="13" t="n">
        <v>184</v>
      </c>
      <c r="CR124" s="13" t="n">
        <v>10</v>
      </c>
      <c r="CS124" s="13" t="n">
        <v>6.9</v>
      </c>
      <c r="CT124" s="11" t="inlineStr">
        <is>
          <t xml:space="preserve"> Resort Freeride</t>
        </is>
      </c>
      <c r="CU124" s="13" t="n"/>
      <c r="CV124" s="13" t="n"/>
      <c r="CW124" s="13" t="n"/>
      <c r="CX124">
        <f>INDEX('Data_Price '!AG$2:AG$1266,MATCH(Data!$DN124,'Data_Price '!$AT$2:$AT$1266,0))</f>
        <v/>
      </c>
      <c r="CY124">
        <f>INDEX('Data_Price '!AH$2:AH$1266,MATCH(Data!$DN124,'Data_Price '!$AT$2:$AT$1266,0))</f>
        <v/>
      </c>
      <c r="CZ124">
        <f>INDEX('Data_Price '!AI$2:AI$1266,MATCH(Data!$DN124,'Data_Price '!$AT$2:$AT$1266,0))</f>
        <v/>
      </c>
      <c r="DA124">
        <f>INDEX('Data_Price '!AJ$2:AJ$1266,MATCH(Data!$DN124,'Data_Price '!$AT$2:$AT$1266,0))</f>
        <v/>
      </c>
      <c r="DB124">
        <f>INDEX('Data_Price '!AK$2:AK$1266,MATCH(Data!$DN124,'Data_Price '!$AT$2:$AT$1266,0))</f>
        <v/>
      </c>
      <c r="DC124">
        <f>INDEX('Data_Price '!AL$2:AL$1266,MATCH(Data!$DN124,'Data_Price '!$AT$2:$AT$1266,0))</f>
        <v/>
      </c>
      <c r="DD124">
        <f>INDEX('Data_Price '!AM$2:AM$1266,MATCH(Data!$DN124,'Data_Price '!$AT$2:$AT$1266,0))</f>
        <v/>
      </c>
      <c r="DE124">
        <f>INDEX('Data_Price '!AN$2:AN$1266,MATCH(Data!$DN124,'Data_Price '!$AT$2:$AT$1266,0))</f>
        <v/>
      </c>
      <c r="DF124">
        <f>INDEX('Data_Price '!AO$2:AO$1266,MATCH(Data!$DN124,'Data_Price '!$AT$2:$AT$1266,0))</f>
        <v/>
      </c>
      <c r="DG124">
        <f>INDEX('Data_Price '!AP$2:AP$1266,MATCH(Data!$DN124,'Data_Price '!$AT$2:$AT$1266,0))</f>
        <v/>
      </c>
      <c r="DH124">
        <f>INDEX('Data_Price '!AQ$2:AQ$1266,MATCH(Data!$DN124,'Data_Price '!$AT$2:$AT$1266,0))</f>
        <v/>
      </c>
      <c r="DI124">
        <f>INDEX('Data_Price '!AR$2:AR$1266,MATCH(Data!$DN124,'Data_Price '!$AT$2:$AT$1266,0))</f>
        <v/>
      </c>
      <c r="DJ124" s="138">
        <f>DA124</f>
        <v/>
      </c>
      <c r="DK124" s="138">
        <f>DE124</f>
        <v/>
      </c>
      <c r="DL124" s="138">
        <f>DI124</f>
        <v/>
      </c>
      <c r="DM124" s="303">
        <f>IF(LEFT(BT124,1)=" ",RIGHT(BT124,LEN(BT124)-1),BT124)</f>
        <v/>
      </c>
      <c r="DN124" s="138">
        <f>_xlfn.CONCAT(BS124,DM124,BU124,BV124)</f>
        <v/>
      </c>
      <c r="DO124" s="307" t="inlineStr">
        <is>
          <t>https://images.evo.com/imgp/250/201401/832750/clone.jpg</t>
        </is>
      </c>
    </row>
    <row r="125" ht="15.6" customHeight="1" s="184">
      <c r="B125" s="303">
        <f t="array" ref="B125">IF(OR(ISERROR(K125:P125)),FALSE,TRUE)</f>
        <v/>
      </c>
      <c r="C125" s="60">
        <f>OR(BR125=Driver!$G$50,Data!BR800=Driver!$H$50)</f>
        <v/>
      </c>
      <c r="D125" s="60">
        <f>OR(BV125=Driver!$G$51,BV125=Driver!$H$51)</f>
        <v/>
      </c>
      <c r="E125" s="60">
        <f>AND(BX125&gt;Driver!$F$54,BX125&lt;Driver!$G$54)</f>
        <v/>
      </c>
      <c r="F125" s="60">
        <f>CL125&gt;Driver!$F$56</f>
        <v/>
      </c>
      <c r="G125" s="60">
        <f>AND(CB125&gt;Driver!$F$55,CB125&lt;Driver!$G$55)</f>
        <v/>
      </c>
      <c r="H125" s="60">
        <f>AND(B125:G125)</f>
        <v/>
      </c>
      <c r="I125" s="60">
        <f>COUNTIFS($H$9:$H$1273,TRUE,$BT$9:$BT$1273,BT125)</f>
        <v/>
      </c>
      <c r="J125" s="60">
        <f t="array" ref="J125">NOT(OR(($H$9:$H$1273=TRUE)*($I$9:$I$1273&gt;0)*($BT$9:$BT$1273=BT125)*($K$9:$K$1273&gt;K125)))</f>
        <v/>
      </c>
      <c r="K125" s="108">
        <f>IFERROR(1-AVERAGE(X125:Y125),"")</f>
        <v/>
      </c>
      <c r="L125" s="108">
        <f>1-X125</f>
        <v/>
      </c>
      <c r="M125" s="108">
        <f>1-Y125</f>
        <v/>
      </c>
      <c r="N125" s="108">
        <f>1-Z125</f>
        <v/>
      </c>
      <c r="O125" s="108">
        <f>1-AA125</f>
        <v/>
      </c>
      <c r="P125" s="108">
        <f>1-AB125</f>
        <v/>
      </c>
      <c r="Q125" s="108" t="n"/>
      <c r="R125" s="108" t="n"/>
      <c r="S125" s="108">
        <f>1-AE125</f>
        <v/>
      </c>
      <c r="T125" s="108">
        <f>1-AF125</f>
        <v/>
      </c>
      <c r="U125" s="108">
        <f>1-AG125</f>
        <v/>
      </c>
      <c r="V125" s="108">
        <f>1-AH125</f>
        <v/>
      </c>
      <c r="W125" s="108">
        <f>1-AI125</f>
        <v/>
      </c>
      <c r="X125" s="108">
        <f>ABS(AJ125-AJ$1)</f>
        <v/>
      </c>
      <c r="Y125" s="108">
        <f>AVERAGE(Z125:AB125)</f>
        <v/>
      </c>
      <c r="Z125" s="108">
        <f>ABS(AL125-AL$1)</f>
        <v/>
      </c>
      <c r="AA125" s="108">
        <f>ABS(AM125-AM$1)</f>
        <v/>
      </c>
      <c r="AB125" s="108">
        <f>ABS(AN125-AN$1)</f>
        <v/>
      </c>
      <c r="AC125" s="108" t="n"/>
      <c r="AD125" s="108" t="n"/>
      <c r="AE125" s="108">
        <f>ABS(AQ$1-AQ125)</f>
        <v/>
      </c>
      <c r="AF125" s="108">
        <f>ABS(AR$1-AR125)</f>
        <v/>
      </c>
      <c r="AG125" s="108">
        <f>ABS(AS$1-AS125)</f>
        <v/>
      </c>
      <c r="AH125" s="108">
        <f>ABS(AT$1-AT125)</f>
        <v/>
      </c>
      <c r="AI125" s="108">
        <f>ABS(AU$1-AU125)</f>
        <v/>
      </c>
      <c r="AJ125" s="108">
        <f>(AV125-Driver!$K$179)/(Driver!$L$179-Driver!$K$179)</f>
        <v/>
      </c>
      <c r="AK125" s="108">
        <f>(AW125-Driver!$K$180)/(Driver!$L$180-Driver!$K$180)</f>
        <v/>
      </c>
      <c r="AL125" s="108">
        <f>(AX125-Driver!$K$181)/(Driver!$L$181-Driver!$K$181)</f>
        <v/>
      </c>
      <c r="AM125" s="108">
        <f>(AY125-Driver!$K$182)/(Driver!$L$182-Driver!$K$182)</f>
        <v/>
      </c>
      <c r="AN125" s="108">
        <f>(AZ125-Driver!$K$183)/(Driver!$L$183-Driver!$K$183)</f>
        <v/>
      </c>
      <c r="AO125" s="108" t="n"/>
      <c r="AP125" s="108" t="n"/>
      <c r="AQ125" s="108">
        <f>(BC125-Driver!$K$188)/(Driver!$L$188-Driver!$K$188)</f>
        <v/>
      </c>
      <c r="AR125" s="108">
        <f>MIN((BD125-Driver!$K$189)/(Driver!$L$189-Driver!$K$189),100%)</f>
        <v/>
      </c>
      <c r="AS125" s="108">
        <f>(BE125-Driver!$K$190)/(Driver!$L$190-Driver!$K$190)</f>
        <v/>
      </c>
      <c r="AT125" s="108">
        <f>(BF125-Driver!$K$191)/(Driver!$L$191-Driver!$K$191)</f>
        <v/>
      </c>
      <c r="AU125" s="108">
        <f>(BG125-Driver!$K$192)/(Driver!$L$192-Driver!$K$192)</f>
        <v/>
      </c>
      <c r="AV125" s="105">
        <f>IFERROR(BM125*BJ125^1/4,"")</f>
        <v/>
      </c>
      <c r="AW125" s="105">
        <f>IFERROR(SUM(AX125:AZ125),"")</f>
        <v/>
      </c>
      <c r="AX125" s="105">
        <f>IFERROR(BH125,"")</f>
        <v/>
      </c>
      <c r="AY125" s="105">
        <f>IFERROR(Driver!$K$19/Data!BH125/Data!BI125*Data!BK125*Data!BL125,"")</f>
        <v/>
      </c>
      <c r="AZ125" s="105">
        <f>IFERROR(BI125*BN125,"")</f>
        <v/>
      </c>
      <c r="BA125" s="105" t="n"/>
      <c r="BB125" s="105" t="n"/>
      <c r="BC125" s="105">
        <f>IFERROR(BI125*BN125*BK125/BJ125^(1/2),"")</f>
        <v/>
      </c>
      <c r="BD125" s="105">
        <f>IFERROR(BH125*BM125*BL125/BJ125/BK125,"")</f>
        <v/>
      </c>
      <c r="BE125" s="105">
        <f>IFERROR(MIN(BI125/BQ125/BP125/BO125/BH125,$BE$1),"")</f>
        <v/>
      </c>
      <c r="BF125" s="105">
        <f>IFERROR(BJ125*BO125*BP125/BK125,"")</f>
        <v/>
      </c>
      <c r="BG125" s="105">
        <f>IFERROR(1/BM125/BH125*BQ125,"")</f>
        <v/>
      </c>
      <c r="BH125" s="102">
        <f>MAX((CE125-Driver!$F$200)/(Driver!$G$200-Driver!$F$200)*$BI$1,1)</f>
        <v/>
      </c>
      <c r="BI125" s="102">
        <f>MAX($BI$1*(BY125-Driver!$F$201)/(Driver!$G$201-Driver!$F$201),1)</f>
        <v/>
      </c>
      <c r="BJ125" s="102">
        <f>(CB125-Driver!$F$206)/(Driver!$G$206-Driver!$F$206)*$BI$1</f>
        <v/>
      </c>
      <c r="BK125" s="102">
        <f>(CD125-Driver!$F$203)/(Driver!$G$203-Driver!$F$203)*$BI$1</f>
        <v/>
      </c>
      <c r="BL125" s="102">
        <f>MAX((CR125-Driver!$F$202)/(Driver!$G$202-Driver!$F$202)*$BI$1,1)</f>
        <v/>
      </c>
      <c r="BM125" s="102">
        <f>MAX((CH125-Driver!$F$204)/(Driver!$G$204-Driver!$F$204)*$BI$1,1)</f>
        <v/>
      </c>
      <c r="BN125" s="102">
        <f>(CI125-Driver!$F$205)/(Driver!$G$205-Driver!$F$205)*$BI$1</f>
        <v/>
      </c>
      <c r="BO125" s="102">
        <f>(CK125-Driver!$F$207)/(Driver!$G$207-Driver!$F$207)*$BI$1</f>
        <v/>
      </c>
      <c r="BP125" s="102">
        <f>(CM125-Driver!$F$208)/(Driver!$G$208-Driver!$F$208)*$BI$1</f>
        <v/>
      </c>
      <c r="BQ125" s="102">
        <f>(CL125-Driver!$F$209)/(Driver!$G$209-Driver!$F$209)*$BI$1</f>
        <v/>
      </c>
      <c r="BR125" s="40" t="inlineStr">
        <is>
          <t>21/22</t>
        </is>
      </c>
      <c r="BS125" s="10" t="inlineStr">
        <is>
          <t xml:space="preserve"> Liberty</t>
        </is>
      </c>
      <c r="BT125" s="11" t="inlineStr">
        <is>
          <t>Evolv 90</t>
        </is>
      </c>
      <c r="BU125" s="13" t="n">
        <v>172</v>
      </c>
      <c r="BV125" s="11" t="inlineStr">
        <is>
          <t xml:space="preserve"> Unisex</t>
        </is>
      </c>
      <c r="BW125" s="13" t="n">
        <v>172</v>
      </c>
      <c r="BX125" s="13" t="n">
        <v>171.9</v>
      </c>
      <c r="BY125" s="13" t="n">
        <v>140</v>
      </c>
      <c r="BZ125" s="13" t="n">
        <v>152</v>
      </c>
      <c r="CA125" s="13" t="n">
        <v>130</v>
      </c>
      <c r="CB125" s="13" t="n">
        <v>89</v>
      </c>
      <c r="CC125" s="13" t="n">
        <v>113</v>
      </c>
      <c r="CD125" s="13" t="n">
        <v>17.3</v>
      </c>
      <c r="CE125" s="13" t="n">
        <v>1655</v>
      </c>
      <c r="CF125" s="13" t="n">
        <v>1.06</v>
      </c>
      <c r="CG125" s="13" t="n">
        <v>1748</v>
      </c>
      <c r="CH125" s="13" t="n">
        <v>199</v>
      </c>
      <c r="CI125" s="13" t="n">
        <v>101</v>
      </c>
      <c r="CJ125" s="13" t="n">
        <v>36</v>
      </c>
      <c r="CK125" s="13" t="n">
        <v>192</v>
      </c>
      <c r="CL125" s="13" t="n">
        <v>9</v>
      </c>
      <c r="CM125" s="13" t="n">
        <v>128</v>
      </c>
      <c r="CN125" s="13" t="n">
        <v>0.253</v>
      </c>
      <c r="CO125" s="13" t="n">
        <v>114</v>
      </c>
      <c r="CP125" s="13" t="n">
        <v>84</v>
      </c>
      <c r="CQ125" s="13" t="n">
        <v>79</v>
      </c>
      <c r="CR125" s="13" t="n">
        <v>11</v>
      </c>
      <c r="CS125" s="13" t="n">
        <v>10.4</v>
      </c>
      <c r="CT125" s="11" t="inlineStr">
        <is>
          <t xml:space="preserve"> Resort Freeride</t>
        </is>
      </c>
      <c r="CU125" s="11" t="inlineStr">
        <is>
          <t xml:space="preserve"> Touring</t>
        </is>
      </c>
      <c r="CV125" s="13" t="n"/>
      <c r="CW125" s="13" t="n"/>
      <c r="CX125">
        <f>INDEX('Data_Price '!AG$2:AG$1266,MATCH(Data!$DN125,'Data_Price '!$AT$2:$AT$1266,0))</f>
        <v/>
      </c>
      <c r="CY125">
        <f>INDEX('Data_Price '!AH$2:AH$1266,MATCH(Data!$DN125,'Data_Price '!$AT$2:$AT$1266,0))</f>
        <v/>
      </c>
      <c r="CZ125">
        <f>INDEX('Data_Price '!AI$2:AI$1266,MATCH(Data!$DN125,'Data_Price '!$AT$2:$AT$1266,0))</f>
        <v/>
      </c>
      <c r="DA125">
        <f>INDEX('Data_Price '!AJ$2:AJ$1266,MATCH(Data!$DN125,'Data_Price '!$AT$2:$AT$1266,0))</f>
        <v/>
      </c>
      <c r="DB125">
        <f>INDEX('Data_Price '!AK$2:AK$1266,MATCH(Data!$DN125,'Data_Price '!$AT$2:$AT$1266,0))</f>
        <v/>
      </c>
      <c r="DC125">
        <f>INDEX('Data_Price '!AL$2:AL$1266,MATCH(Data!$DN125,'Data_Price '!$AT$2:$AT$1266,0))</f>
        <v/>
      </c>
      <c r="DD125">
        <f>INDEX('Data_Price '!AM$2:AM$1266,MATCH(Data!$DN125,'Data_Price '!$AT$2:$AT$1266,0))</f>
        <v/>
      </c>
      <c r="DE125">
        <f>INDEX('Data_Price '!AN$2:AN$1266,MATCH(Data!$DN125,'Data_Price '!$AT$2:$AT$1266,0))</f>
        <v/>
      </c>
      <c r="DF125">
        <f>INDEX('Data_Price '!AO$2:AO$1266,MATCH(Data!$DN125,'Data_Price '!$AT$2:$AT$1266,0))</f>
        <v/>
      </c>
      <c r="DG125">
        <f>INDEX('Data_Price '!AP$2:AP$1266,MATCH(Data!$DN125,'Data_Price '!$AT$2:$AT$1266,0))</f>
        <v/>
      </c>
      <c r="DH125">
        <f>INDEX('Data_Price '!AQ$2:AQ$1266,MATCH(Data!$DN125,'Data_Price '!$AT$2:$AT$1266,0))</f>
        <v/>
      </c>
      <c r="DI125">
        <f>INDEX('Data_Price '!AR$2:AR$1266,MATCH(Data!$DN125,'Data_Price '!$AT$2:$AT$1266,0))</f>
        <v/>
      </c>
      <c r="DJ125" s="138">
        <f>DA125</f>
        <v/>
      </c>
      <c r="DK125" s="138">
        <f>DE125</f>
        <v/>
      </c>
      <c r="DL125" s="138">
        <f>DI125</f>
        <v/>
      </c>
      <c r="DM125" s="303">
        <f>IF(LEFT(BT125,1)=" ",RIGHT(BT125,LEN(BT125)-1),BT125)</f>
        <v/>
      </c>
      <c r="DN125" s="138">
        <f>_xlfn.CONCAT(BS125,DM125,BU125,BV125)</f>
        <v/>
      </c>
      <c r="DO125" s="307" t="n"/>
    </row>
    <row r="126" ht="15.6" customHeight="1" s="184">
      <c r="B126" s="303">
        <f t="array" ref="B126">IF(OR(ISERROR(K126:P126)),FALSE,TRUE)</f>
        <v/>
      </c>
      <c r="C126" s="60">
        <f>OR(BR126=Driver!$G$50,Data!BR519=Driver!$H$50)</f>
        <v/>
      </c>
      <c r="D126" s="60">
        <f>OR(BV126=Driver!$G$51,BV126=Driver!$H$51)</f>
        <v/>
      </c>
      <c r="E126" s="60">
        <f>AND(BX126&gt;Driver!$F$54,BX126&lt;Driver!$G$54)</f>
        <v/>
      </c>
      <c r="F126" s="60">
        <f>CL126&gt;Driver!$F$56</f>
        <v/>
      </c>
      <c r="G126" s="60">
        <f>AND(CB126&gt;Driver!$F$55,CB126&lt;Driver!$G$55)</f>
        <v/>
      </c>
      <c r="H126" s="60">
        <f>AND(B126:G126)</f>
        <v/>
      </c>
      <c r="I126" s="60">
        <f>COUNTIFS($H$9:$H$1273,TRUE,$BT$9:$BT$1273,BT126)</f>
        <v/>
      </c>
      <c r="J126" s="60">
        <f t="array" ref="J126">NOT(OR(($H$9:$H$1273=TRUE)*($I$9:$I$1273&gt;0)*($BT$9:$BT$1273=BT126)*($K$9:$K$1273&gt;K126)))</f>
        <v/>
      </c>
      <c r="K126" s="108">
        <f>IFERROR(1-AVERAGE(X126:Y126),"")</f>
        <v/>
      </c>
      <c r="L126" s="108">
        <f>1-X126</f>
        <v/>
      </c>
      <c r="M126" s="108">
        <f>1-Y126</f>
        <v/>
      </c>
      <c r="N126" s="108">
        <f>1-Z126</f>
        <v/>
      </c>
      <c r="O126" s="108">
        <f>1-AA126</f>
        <v/>
      </c>
      <c r="P126" s="108">
        <f>1-AB126</f>
        <v/>
      </c>
      <c r="Q126" s="108" t="n"/>
      <c r="R126" s="108" t="n"/>
      <c r="S126" s="108">
        <f>1-AE126</f>
        <v/>
      </c>
      <c r="T126" s="108">
        <f>1-AF126</f>
        <v/>
      </c>
      <c r="U126" s="108">
        <f>1-AG126</f>
        <v/>
      </c>
      <c r="V126" s="108">
        <f>1-AH126</f>
        <v/>
      </c>
      <c r="W126" s="108">
        <f>1-AI126</f>
        <v/>
      </c>
      <c r="X126" s="108">
        <f>ABS(AJ126-AJ$1)</f>
        <v/>
      </c>
      <c r="Y126" s="108">
        <f>AVERAGE(Z126:AB126)</f>
        <v/>
      </c>
      <c r="Z126" s="108">
        <f>ABS(AL126-AL$1)</f>
        <v/>
      </c>
      <c r="AA126" s="108">
        <f>ABS(AM126-AM$1)</f>
        <v/>
      </c>
      <c r="AB126" s="108">
        <f>ABS(AN126-AN$1)</f>
        <v/>
      </c>
      <c r="AC126" s="108" t="n"/>
      <c r="AD126" s="108" t="n"/>
      <c r="AE126" s="108">
        <f>ABS(AQ$1-AQ126)</f>
        <v/>
      </c>
      <c r="AF126" s="108">
        <f>ABS(AR$1-AR126)</f>
        <v/>
      </c>
      <c r="AG126" s="108">
        <f>ABS(AS$1-AS126)</f>
        <v/>
      </c>
      <c r="AH126" s="108">
        <f>ABS(AT$1-AT126)</f>
        <v/>
      </c>
      <c r="AI126" s="108">
        <f>ABS(AU$1-AU126)</f>
        <v/>
      </c>
      <c r="AJ126" s="108">
        <f>(AV126-Driver!$K$179)/(Driver!$L$179-Driver!$K$179)</f>
        <v/>
      </c>
      <c r="AK126" s="108">
        <f>(AW126-Driver!$K$180)/(Driver!$L$180-Driver!$K$180)</f>
        <v/>
      </c>
      <c r="AL126" s="108">
        <f>(AX126-Driver!$K$181)/(Driver!$L$181-Driver!$K$181)</f>
        <v/>
      </c>
      <c r="AM126" s="108">
        <f>(AY126-Driver!$K$182)/(Driver!$L$182-Driver!$K$182)</f>
        <v/>
      </c>
      <c r="AN126" s="108">
        <f>(AZ126-Driver!$K$183)/(Driver!$L$183-Driver!$K$183)</f>
        <v/>
      </c>
      <c r="AO126" s="108" t="n"/>
      <c r="AP126" s="108" t="n"/>
      <c r="AQ126" s="108">
        <f>(BC126-Driver!$K$188)/(Driver!$L$188-Driver!$K$188)</f>
        <v/>
      </c>
      <c r="AR126" s="108">
        <f>MIN((BD126-Driver!$K$189)/(Driver!$L$189-Driver!$K$189),100%)</f>
        <v/>
      </c>
      <c r="AS126" s="108">
        <f>(BE126-Driver!$K$190)/(Driver!$L$190-Driver!$K$190)</f>
        <v/>
      </c>
      <c r="AT126" s="108">
        <f>(BF126-Driver!$K$191)/(Driver!$L$191-Driver!$K$191)</f>
        <v/>
      </c>
      <c r="AU126" s="108">
        <f>(BG126-Driver!$K$192)/(Driver!$L$192-Driver!$K$192)</f>
        <v/>
      </c>
      <c r="AV126" s="105">
        <f>IFERROR(BM126*BJ126^1/4,"")</f>
        <v/>
      </c>
      <c r="AW126" s="105">
        <f>IFERROR(SUM(AX126:AZ126),"")</f>
        <v/>
      </c>
      <c r="AX126" s="105">
        <f>IFERROR(BH126,"")</f>
        <v/>
      </c>
      <c r="AY126" s="105">
        <f>IFERROR(Driver!$K$19/Data!BH126/Data!BI126*Data!BK126*Data!BL126,"")</f>
        <v/>
      </c>
      <c r="AZ126" s="105">
        <f>IFERROR(BI126*BN126,"")</f>
        <v/>
      </c>
      <c r="BA126" s="105" t="n"/>
      <c r="BB126" s="105" t="n"/>
      <c r="BC126" s="105">
        <f>IFERROR(BI126*BN126*BK126/BJ126^(1/2),"")</f>
        <v/>
      </c>
      <c r="BD126" s="105">
        <f>IFERROR(BH126*BM126*BL126/BJ126/BK126,"")</f>
        <v/>
      </c>
      <c r="BE126" s="105">
        <f>IFERROR(MIN(BI126/BQ126/BP126/BO126/BH126,$BE$1),"")</f>
        <v/>
      </c>
      <c r="BF126" s="105">
        <f>IFERROR(BJ126*BO126*BP126/BK126,"")</f>
        <v/>
      </c>
      <c r="BG126" s="105">
        <f>IFERROR(1/BM126/BH126*BQ126,"")</f>
        <v/>
      </c>
      <c r="BH126" s="102">
        <f>MAX((CE126-Driver!$F$200)/(Driver!$G$200-Driver!$F$200)*$BI$1,1)</f>
        <v/>
      </c>
      <c r="BI126" s="102">
        <f>MAX($BI$1*(BY126-Driver!$F$201)/(Driver!$G$201-Driver!$F$201),1)</f>
        <v/>
      </c>
      <c r="BJ126" s="102">
        <f>(CB126-Driver!$F$206)/(Driver!$G$206-Driver!$F$206)*$BI$1</f>
        <v/>
      </c>
      <c r="BK126" s="102">
        <f>(CD126-Driver!$F$203)/(Driver!$G$203-Driver!$F$203)*$BI$1</f>
        <v/>
      </c>
      <c r="BL126" s="102">
        <f>MAX((CR126-Driver!$F$202)/(Driver!$G$202-Driver!$F$202)*$BI$1,1)</f>
        <v/>
      </c>
      <c r="BM126" s="102">
        <f>MAX((CH126-Driver!$F$204)/(Driver!$G$204-Driver!$F$204)*$BI$1,1)</f>
        <v/>
      </c>
      <c r="BN126" s="102">
        <f>(CI126-Driver!$F$205)/(Driver!$G$205-Driver!$F$205)*$BI$1</f>
        <v/>
      </c>
      <c r="BO126" s="102">
        <f>(CK126-Driver!$F$207)/(Driver!$G$207-Driver!$F$207)*$BI$1</f>
        <v/>
      </c>
      <c r="BP126" s="102">
        <f>(CM126-Driver!$F$208)/(Driver!$G$208-Driver!$F$208)*$BI$1</f>
        <v/>
      </c>
      <c r="BQ126" s="102">
        <f>(CL126-Driver!$F$209)/(Driver!$G$209-Driver!$F$209)*$BI$1</f>
        <v/>
      </c>
      <c r="BR126" s="40" t="inlineStr">
        <is>
          <t>21/22</t>
        </is>
      </c>
      <c r="BS126" s="10" t="inlineStr">
        <is>
          <t xml:space="preserve"> Faction</t>
        </is>
      </c>
      <c r="BT126" s="11" t="inlineStr">
        <is>
          <t>Dictator FG 1.0</t>
        </is>
      </c>
      <c r="BU126" s="13" t="n">
        <v>178</v>
      </c>
      <c r="BV126" s="11" t="inlineStr">
        <is>
          <t xml:space="preserve"> Unisex</t>
        </is>
      </c>
      <c r="BW126" s="13" t="n">
        <v>178</v>
      </c>
      <c r="BX126" s="13" t="n">
        <v>176.5</v>
      </c>
      <c r="BY126" s="13" t="n">
        <v>139</v>
      </c>
      <c r="BZ126" s="13" t="n">
        <v>151</v>
      </c>
      <c r="CA126" s="13" t="n">
        <v>119</v>
      </c>
      <c r="CB126" s="13" t="n">
        <v>85</v>
      </c>
      <c r="CC126" s="13" t="n">
        <v>109</v>
      </c>
      <c r="CD126" s="13" t="n">
        <v>18.8</v>
      </c>
      <c r="CE126" s="13" t="n">
        <v>1648</v>
      </c>
      <c r="CF126" s="13" t="n">
        <v>1.03</v>
      </c>
      <c r="CG126" s="13" t="n">
        <v>1703</v>
      </c>
      <c r="CH126" s="13" t="n">
        <v>216</v>
      </c>
      <c r="CI126" s="13" t="n">
        <v>96</v>
      </c>
      <c r="CJ126" s="13" t="n">
        <v>48</v>
      </c>
      <c r="CK126" s="13" t="n">
        <v>226</v>
      </c>
      <c r="CL126" s="13" t="n">
        <v>17</v>
      </c>
      <c r="CM126" s="13" t="n">
        <v>146</v>
      </c>
      <c r="CN126" s="13" t="n">
        <v>0.345</v>
      </c>
      <c r="CO126" s="13" t="n">
        <v>157</v>
      </c>
      <c r="CP126" s="13" t="n">
        <v>97</v>
      </c>
      <c r="CQ126" s="13" t="n">
        <v>69</v>
      </c>
      <c r="CR126" s="13" t="n">
        <v>9</v>
      </c>
      <c r="CS126" s="13" t="n">
        <v>10.3</v>
      </c>
      <c r="CT126" s="11" t="inlineStr">
        <is>
          <t xml:space="preserve"> On-Piste All-Mountain</t>
        </is>
      </c>
      <c r="CU126" s="11" t="inlineStr">
        <is>
          <t xml:space="preserve"> Resort Freeride</t>
        </is>
      </c>
      <c r="CV126" s="13" t="n"/>
      <c r="CW126" s="13" t="n"/>
      <c r="CX126">
        <f>INDEX('Data_Price '!AG$2:AG$1266,MATCH(Data!$DN126,'Data_Price '!$AT$2:$AT$1266,0))</f>
        <v/>
      </c>
      <c r="CY126">
        <f>INDEX('Data_Price '!AH$2:AH$1266,MATCH(Data!$DN126,'Data_Price '!$AT$2:$AT$1266,0))</f>
        <v/>
      </c>
      <c r="CZ126">
        <f>INDEX('Data_Price '!AI$2:AI$1266,MATCH(Data!$DN126,'Data_Price '!$AT$2:$AT$1266,0))</f>
        <v/>
      </c>
      <c r="DA126">
        <f>INDEX('Data_Price '!AJ$2:AJ$1266,MATCH(Data!$DN126,'Data_Price '!$AT$2:$AT$1266,0))</f>
        <v/>
      </c>
      <c r="DB126">
        <f>INDEX('Data_Price '!AK$2:AK$1266,MATCH(Data!$DN126,'Data_Price '!$AT$2:$AT$1266,0))</f>
        <v/>
      </c>
      <c r="DC126">
        <f>INDEX('Data_Price '!AL$2:AL$1266,MATCH(Data!$DN126,'Data_Price '!$AT$2:$AT$1266,0))</f>
        <v/>
      </c>
      <c r="DD126">
        <f>INDEX('Data_Price '!AM$2:AM$1266,MATCH(Data!$DN126,'Data_Price '!$AT$2:$AT$1266,0))</f>
        <v/>
      </c>
      <c r="DE126">
        <f>INDEX('Data_Price '!AN$2:AN$1266,MATCH(Data!$DN126,'Data_Price '!$AT$2:$AT$1266,0))</f>
        <v/>
      </c>
      <c r="DF126">
        <f>INDEX('Data_Price '!AO$2:AO$1266,MATCH(Data!$DN126,'Data_Price '!$AT$2:$AT$1266,0))</f>
        <v/>
      </c>
      <c r="DG126">
        <f>INDEX('Data_Price '!AP$2:AP$1266,MATCH(Data!$DN126,'Data_Price '!$AT$2:$AT$1266,0))</f>
        <v/>
      </c>
      <c r="DH126">
        <f>INDEX('Data_Price '!AQ$2:AQ$1266,MATCH(Data!$DN126,'Data_Price '!$AT$2:$AT$1266,0))</f>
        <v/>
      </c>
      <c r="DI126">
        <f>INDEX('Data_Price '!AR$2:AR$1266,MATCH(Data!$DN126,'Data_Price '!$AT$2:$AT$1266,0))</f>
        <v/>
      </c>
      <c r="DJ126" s="138">
        <f>DA126</f>
        <v/>
      </c>
      <c r="DK126" s="138">
        <f>DE126</f>
        <v/>
      </c>
      <c r="DL126" s="138">
        <f>DI126</f>
        <v/>
      </c>
      <c r="DM126" s="303">
        <f>IF(LEFT(BT126,1)=" ",RIGHT(BT126,LEN(BT126)-1),BT126)</f>
        <v/>
      </c>
      <c r="DN126" s="138">
        <f>_xlfn.CONCAT(BS126,DM126,BU126,BV126)</f>
        <v/>
      </c>
      <c r="DO126" s="307" t="n"/>
    </row>
    <row r="127" ht="15.6" customHeight="1" s="184">
      <c r="B127" s="303">
        <f t="array" ref="B127">IF(OR(ISERROR(K127:P127)),FALSE,TRUE)</f>
        <v/>
      </c>
      <c r="C127" s="60">
        <f>OR(BR127=Driver!$G$50,Data!BR1182=Driver!$H$50)</f>
        <v/>
      </c>
      <c r="D127" s="60">
        <f>OR(BV127=Driver!$G$51,BV127=Driver!$H$51)</f>
        <v/>
      </c>
      <c r="E127" s="60">
        <f>AND(BX127&gt;Driver!$F$54,BX127&lt;Driver!$G$54)</f>
        <v/>
      </c>
      <c r="F127" s="60">
        <f>CL127&gt;Driver!$F$56</f>
        <v/>
      </c>
      <c r="G127" s="60">
        <f>AND(CB127&gt;Driver!$F$55,CB127&lt;Driver!$G$55)</f>
        <v/>
      </c>
      <c r="H127" s="60">
        <f>AND(B127:G127)</f>
        <v/>
      </c>
      <c r="I127" s="60">
        <f>COUNTIFS($H$9:$H$1273,TRUE,$BT$9:$BT$1273,BT127)</f>
        <v/>
      </c>
      <c r="J127" s="60">
        <f t="array" ref="J127">NOT(OR(($H$9:$H$1273=TRUE)*($I$9:$I$1273&gt;0)*($BT$9:$BT$1273=BT127)*($K$9:$K$1273&gt;K127)))</f>
        <v/>
      </c>
      <c r="K127" s="108">
        <f>IFERROR(1-AVERAGE(X127:Y127),"")</f>
        <v/>
      </c>
      <c r="L127" s="108">
        <f>1-X127</f>
        <v/>
      </c>
      <c r="M127" s="108">
        <f>1-Y127</f>
        <v/>
      </c>
      <c r="N127" s="108">
        <f>1-Z127</f>
        <v/>
      </c>
      <c r="O127" s="108">
        <f>1-AA127</f>
        <v/>
      </c>
      <c r="P127" s="108">
        <f>1-AB127</f>
        <v/>
      </c>
      <c r="Q127" s="108" t="n"/>
      <c r="R127" s="108" t="n"/>
      <c r="S127" s="108">
        <f>1-AE127</f>
        <v/>
      </c>
      <c r="T127" s="108">
        <f>1-AF127</f>
        <v/>
      </c>
      <c r="U127" s="108">
        <f>1-AG127</f>
        <v/>
      </c>
      <c r="V127" s="108">
        <f>1-AH127</f>
        <v/>
      </c>
      <c r="W127" s="108">
        <f>1-AI127</f>
        <v/>
      </c>
      <c r="X127" s="108">
        <f>ABS(AJ127-AJ$1)</f>
        <v/>
      </c>
      <c r="Y127" s="108">
        <f>AVERAGE(Z127:AB127)</f>
        <v/>
      </c>
      <c r="Z127" s="108">
        <f>ABS(AL127-AL$1)</f>
        <v/>
      </c>
      <c r="AA127" s="108">
        <f>ABS(AM127-AM$1)</f>
        <v/>
      </c>
      <c r="AB127" s="108">
        <f>ABS(AN127-AN$1)</f>
        <v/>
      </c>
      <c r="AC127" s="108" t="n"/>
      <c r="AD127" s="108" t="n"/>
      <c r="AE127" s="108">
        <f>ABS(AQ$1-AQ127)</f>
        <v/>
      </c>
      <c r="AF127" s="108">
        <f>ABS(AR$1-AR127)</f>
        <v/>
      </c>
      <c r="AG127" s="108">
        <f>ABS(AS$1-AS127)</f>
        <v/>
      </c>
      <c r="AH127" s="108">
        <f>ABS(AT$1-AT127)</f>
        <v/>
      </c>
      <c r="AI127" s="108">
        <f>ABS(AU$1-AU127)</f>
        <v/>
      </c>
      <c r="AJ127" s="108">
        <f>(AV127-Driver!$K$179)/(Driver!$L$179-Driver!$K$179)</f>
        <v/>
      </c>
      <c r="AK127" s="108">
        <f>(AW127-Driver!$K$180)/(Driver!$L$180-Driver!$K$180)</f>
        <v/>
      </c>
      <c r="AL127" s="108">
        <f>(AX127-Driver!$K$181)/(Driver!$L$181-Driver!$K$181)</f>
        <v/>
      </c>
      <c r="AM127" s="108">
        <f>(AY127-Driver!$K$182)/(Driver!$L$182-Driver!$K$182)</f>
        <v/>
      </c>
      <c r="AN127" s="108">
        <f>(AZ127-Driver!$K$183)/(Driver!$L$183-Driver!$K$183)</f>
        <v/>
      </c>
      <c r="AO127" s="108" t="n"/>
      <c r="AP127" s="108" t="n"/>
      <c r="AQ127" s="108">
        <f>(BC127-Driver!$K$188)/(Driver!$L$188-Driver!$K$188)</f>
        <v/>
      </c>
      <c r="AR127" s="108">
        <f>MIN((BD127-Driver!$K$189)/(Driver!$L$189-Driver!$K$189),100%)</f>
        <v/>
      </c>
      <c r="AS127" s="108">
        <f>(BE127-Driver!$K$190)/(Driver!$L$190-Driver!$K$190)</f>
        <v/>
      </c>
      <c r="AT127" s="108">
        <f>(BF127-Driver!$K$191)/(Driver!$L$191-Driver!$K$191)</f>
        <v/>
      </c>
      <c r="AU127" s="108">
        <f>(BG127-Driver!$K$192)/(Driver!$L$192-Driver!$K$192)</f>
        <v/>
      </c>
      <c r="AV127" s="105">
        <f>IFERROR(BM127*BJ127^1/4,"")</f>
        <v/>
      </c>
      <c r="AW127" s="105">
        <f>IFERROR(SUM(AX127:AZ127),"")</f>
        <v/>
      </c>
      <c r="AX127" s="105">
        <f>IFERROR(BH127,"")</f>
        <v/>
      </c>
      <c r="AY127" s="105">
        <f>IFERROR(Driver!$K$19/Data!BH127/Data!BI127*Data!BK127*Data!BL127,"")</f>
        <v/>
      </c>
      <c r="AZ127" s="105">
        <f>IFERROR(BI127*BN127,"")</f>
        <v/>
      </c>
      <c r="BA127" s="105" t="n"/>
      <c r="BB127" s="105" t="n"/>
      <c r="BC127" s="105">
        <f>IFERROR(BI127*BN127*BK127/BJ127^(1/2),"")</f>
        <v/>
      </c>
      <c r="BD127" s="105">
        <f>IFERROR(BH127*BM127*BL127/BJ127/BK127,"")</f>
        <v/>
      </c>
      <c r="BE127" s="105">
        <f>IFERROR(MIN(BI127/BQ127/BP127/BO127/BH127,$BE$1),"")</f>
        <v/>
      </c>
      <c r="BF127" s="105">
        <f>IFERROR(BJ127*BO127*BP127/BK127,"")</f>
        <v/>
      </c>
      <c r="BG127" s="105">
        <f>IFERROR(1/BM127/BH127*BQ127,"")</f>
        <v/>
      </c>
      <c r="BH127" s="102">
        <f>MAX((CE127-Driver!$F$200)/(Driver!$G$200-Driver!$F$200)*$BI$1,1)</f>
        <v/>
      </c>
      <c r="BI127" s="102">
        <f>MAX($BI$1*(BY127-Driver!$F$201)/(Driver!$G$201-Driver!$F$201),1)</f>
        <v/>
      </c>
      <c r="BJ127" s="102">
        <f>(CB127-Driver!$F$206)/(Driver!$G$206-Driver!$F$206)*$BI$1</f>
        <v/>
      </c>
      <c r="BK127" s="102">
        <f>(CD127-Driver!$F$203)/(Driver!$G$203-Driver!$F$203)*$BI$1</f>
        <v/>
      </c>
      <c r="BL127" s="102">
        <f>MAX((CR127-Driver!$F$202)/(Driver!$G$202-Driver!$F$202)*$BI$1,1)</f>
        <v/>
      </c>
      <c r="BM127" s="102">
        <f>MAX((CH127-Driver!$F$204)/(Driver!$G$204-Driver!$F$204)*$BI$1,1)</f>
        <v/>
      </c>
      <c r="BN127" s="102">
        <f>(CI127-Driver!$F$205)/(Driver!$G$205-Driver!$F$205)*$BI$1</f>
        <v/>
      </c>
      <c r="BO127" s="102">
        <f>(CK127-Driver!$F$207)/(Driver!$G$207-Driver!$F$207)*$BI$1</f>
        <v/>
      </c>
      <c r="BP127" s="102">
        <f>(CM127-Driver!$F$208)/(Driver!$G$208-Driver!$F$208)*$BI$1</f>
        <v/>
      </c>
      <c r="BQ127" s="102">
        <f>(CL127-Driver!$F$209)/(Driver!$G$209-Driver!$F$209)*$BI$1</f>
        <v/>
      </c>
      <c r="BR127" s="40" t="inlineStr">
        <is>
          <t>21/22</t>
        </is>
      </c>
      <c r="BS127" s="10" t="inlineStr">
        <is>
          <t xml:space="preserve"> Völkl</t>
        </is>
      </c>
      <c r="BT127" s="11" t="inlineStr">
        <is>
          <t>Deacon 79</t>
        </is>
      </c>
      <c r="BU127" s="13" t="n">
        <v>177</v>
      </c>
      <c r="BV127" s="11" t="inlineStr">
        <is>
          <t xml:space="preserve"> Unisex</t>
        </is>
      </c>
      <c r="BW127" s="13" t="n">
        <v>177</v>
      </c>
      <c r="BX127" s="13" t="n">
        <v>177</v>
      </c>
      <c r="BY127" s="13" t="n">
        <v>158</v>
      </c>
      <c r="BZ127" s="13" t="n">
        <v>165</v>
      </c>
      <c r="CA127" s="13" t="n">
        <v>128</v>
      </c>
      <c r="CB127" s="13" t="n">
        <v>78</v>
      </c>
      <c r="CC127" s="13" t="n">
        <v>108</v>
      </c>
      <c r="CD127" s="13" t="n">
        <v>17.1</v>
      </c>
      <c r="CE127" s="13" t="n">
        <v>1831</v>
      </c>
      <c r="CF127" s="13" t="n">
        <v>0.89</v>
      </c>
      <c r="CG127" s="13" t="n">
        <v>1637</v>
      </c>
      <c r="CH127" s="13" t="n">
        <v>215</v>
      </c>
      <c r="CI127" s="13" t="n">
        <v>79</v>
      </c>
      <c r="CJ127" s="13" t="n">
        <v>34</v>
      </c>
      <c r="CK127" s="13" t="n">
        <v>126</v>
      </c>
      <c r="CL127" s="13" t="n">
        <v>5</v>
      </c>
      <c r="CM127" s="13" t="n">
        <v>65</v>
      </c>
      <c r="CN127" s="13" t="n">
        <v>0.159</v>
      </c>
      <c r="CO127" s="13" t="n">
        <v>69</v>
      </c>
      <c r="CP127" s="13" t="n">
        <v>50</v>
      </c>
      <c r="CQ127" s="13" t="n">
        <v>57</v>
      </c>
      <c r="CR127" s="13" t="n">
        <v>7</v>
      </c>
      <c r="CS127" s="13" t="n">
        <v>11.6</v>
      </c>
      <c r="CT127" s="11" t="inlineStr">
        <is>
          <t xml:space="preserve"> On-Piste Carving</t>
        </is>
      </c>
      <c r="CU127" s="13" t="n"/>
      <c r="CV127" s="13" t="n"/>
      <c r="CW127" s="13" t="n"/>
      <c r="CX127">
        <f>INDEX('Data_Price '!AG$2:AG$1266,MATCH(Data!$DN127,'Data_Price '!$AT$2:$AT$1266,0))</f>
        <v/>
      </c>
      <c r="CY127">
        <f>INDEX('Data_Price '!AH$2:AH$1266,MATCH(Data!$DN127,'Data_Price '!$AT$2:$AT$1266,0))</f>
        <v/>
      </c>
      <c r="CZ127">
        <f>INDEX('Data_Price '!AI$2:AI$1266,MATCH(Data!$DN127,'Data_Price '!$AT$2:$AT$1266,0))</f>
        <v/>
      </c>
      <c r="DA127">
        <f>INDEX('Data_Price '!AJ$2:AJ$1266,MATCH(Data!$DN127,'Data_Price '!$AT$2:$AT$1266,0))</f>
        <v/>
      </c>
      <c r="DB127">
        <f>INDEX('Data_Price '!AK$2:AK$1266,MATCH(Data!$DN127,'Data_Price '!$AT$2:$AT$1266,0))</f>
        <v/>
      </c>
      <c r="DC127">
        <f>INDEX('Data_Price '!AL$2:AL$1266,MATCH(Data!$DN127,'Data_Price '!$AT$2:$AT$1266,0))</f>
        <v/>
      </c>
      <c r="DD127">
        <f>INDEX('Data_Price '!AM$2:AM$1266,MATCH(Data!$DN127,'Data_Price '!$AT$2:$AT$1266,0))</f>
        <v/>
      </c>
      <c r="DE127">
        <f>INDEX('Data_Price '!AN$2:AN$1266,MATCH(Data!$DN127,'Data_Price '!$AT$2:$AT$1266,0))</f>
        <v/>
      </c>
      <c r="DF127">
        <f>INDEX('Data_Price '!AO$2:AO$1266,MATCH(Data!$DN127,'Data_Price '!$AT$2:$AT$1266,0))</f>
        <v/>
      </c>
      <c r="DG127">
        <f>INDEX('Data_Price '!AP$2:AP$1266,MATCH(Data!$DN127,'Data_Price '!$AT$2:$AT$1266,0))</f>
        <v/>
      </c>
      <c r="DH127">
        <f>INDEX('Data_Price '!AQ$2:AQ$1266,MATCH(Data!$DN127,'Data_Price '!$AT$2:$AT$1266,0))</f>
        <v/>
      </c>
      <c r="DI127">
        <f>INDEX('Data_Price '!AR$2:AR$1266,MATCH(Data!$DN127,'Data_Price '!$AT$2:$AT$1266,0))</f>
        <v/>
      </c>
      <c r="DJ127" s="138">
        <f>DA127</f>
        <v/>
      </c>
      <c r="DK127" s="138">
        <f>DE127</f>
        <v/>
      </c>
      <c r="DL127" s="138">
        <f>DI127</f>
        <v/>
      </c>
      <c r="DM127" s="303">
        <f>IF(LEFT(BT127,1)=" ",RIGHT(BT127,LEN(BT127)-1),BT127)</f>
        <v/>
      </c>
      <c r="DN127" s="138">
        <f>_xlfn.CONCAT(BS127,DM127,BU127,BV127)</f>
        <v/>
      </c>
      <c r="DO127" s="307" t="n"/>
    </row>
    <row r="128" ht="15.6" customHeight="1" s="184">
      <c r="B128" s="303">
        <f t="array" ref="B128">IF(OR(ISERROR(K128:P128)),FALSE,TRUE)</f>
        <v/>
      </c>
      <c r="C128" s="60">
        <f>OR(BR128=Driver!$G$50,Data!BR336=Driver!$H$50)</f>
        <v/>
      </c>
      <c r="D128" s="60">
        <f>OR(BV128=Driver!$G$51,BV128=Driver!$H$51)</f>
        <v/>
      </c>
      <c r="E128" s="60">
        <f>AND(BX128&gt;Driver!$F$54,BX128&lt;Driver!$G$54)</f>
        <v/>
      </c>
      <c r="F128" s="60">
        <f>CL128&gt;Driver!$F$56</f>
        <v/>
      </c>
      <c r="G128" s="60">
        <f>AND(CB128&gt;Driver!$F$55,CB128&lt;Driver!$G$55)</f>
        <v/>
      </c>
      <c r="H128" s="60">
        <f>AND(B128:G128)</f>
        <v/>
      </c>
      <c r="I128" s="60">
        <f>COUNTIFS($H$9:$H$1273,TRUE,$BT$9:$BT$1273,BT128)</f>
        <v/>
      </c>
      <c r="J128" s="60">
        <f t="array" ref="J128">NOT(OR(($H$9:$H$1273=TRUE)*($I$9:$I$1273&gt;0)*($BT$9:$BT$1273=BT128)*($K$9:$K$1273&gt;K128)))</f>
        <v/>
      </c>
      <c r="K128" s="108">
        <f>IFERROR(1-AVERAGE(X128:Y128),"")</f>
        <v/>
      </c>
      <c r="L128" s="108">
        <f>1-X128</f>
        <v/>
      </c>
      <c r="M128" s="108">
        <f>1-Y128</f>
        <v/>
      </c>
      <c r="N128" s="108">
        <f>1-Z128</f>
        <v/>
      </c>
      <c r="O128" s="108">
        <f>1-AA128</f>
        <v/>
      </c>
      <c r="P128" s="108">
        <f>1-AB128</f>
        <v/>
      </c>
      <c r="Q128" s="108" t="n"/>
      <c r="R128" s="108" t="n"/>
      <c r="S128" s="108">
        <f>1-AE128</f>
        <v/>
      </c>
      <c r="T128" s="108">
        <f>1-AF128</f>
        <v/>
      </c>
      <c r="U128" s="108">
        <f>1-AG128</f>
        <v/>
      </c>
      <c r="V128" s="108">
        <f>1-AH128</f>
        <v/>
      </c>
      <c r="W128" s="108">
        <f>1-AI128</f>
        <v/>
      </c>
      <c r="X128" s="108">
        <f>ABS(AJ128-AJ$1)</f>
        <v/>
      </c>
      <c r="Y128" s="108">
        <f>AVERAGE(Z128:AB128)</f>
        <v/>
      </c>
      <c r="Z128" s="108">
        <f>ABS(AL128-AL$1)</f>
        <v/>
      </c>
      <c r="AA128" s="108">
        <f>ABS(AM128-AM$1)</f>
        <v/>
      </c>
      <c r="AB128" s="108">
        <f>ABS(AN128-AN$1)</f>
        <v/>
      </c>
      <c r="AC128" s="108" t="n"/>
      <c r="AD128" s="108" t="n"/>
      <c r="AE128" s="108">
        <f>ABS(AQ$1-AQ128)</f>
        <v/>
      </c>
      <c r="AF128" s="108">
        <f>ABS(AR$1-AR128)</f>
        <v/>
      </c>
      <c r="AG128" s="108">
        <f>ABS(AS$1-AS128)</f>
        <v/>
      </c>
      <c r="AH128" s="108">
        <f>ABS(AT$1-AT128)</f>
        <v/>
      </c>
      <c r="AI128" s="108">
        <f>ABS(AU$1-AU128)</f>
        <v/>
      </c>
      <c r="AJ128" s="108">
        <f>(AV128-Driver!$K$179)/(Driver!$L$179-Driver!$K$179)</f>
        <v/>
      </c>
      <c r="AK128" s="108">
        <f>(AW128-Driver!$K$180)/(Driver!$L$180-Driver!$K$180)</f>
        <v/>
      </c>
      <c r="AL128" s="108">
        <f>(AX128-Driver!$K$181)/(Driver!$L$181-Driver!$K$181)</f>
        <v/>
      </c>
      <c r="AM128" s="108">
        <f>(AY128-Driver!$K$182)/(Driver!$L$182-Driver!$K$182)</f>
        <v/>
      </c>
      <c r="AN128" s="108">
        <f>(AZ128-Driver!$K$183)/(Driver!$L$183-Driver!$K$183)</f>
        <v/>
      </c>
      <c r="AO128" s="108" t="n"/>
      <c r="AP128" s="108" t="n"/>
      <c r="AQ128" s="108">
        <f>(BC128-Driver!$K$188)/(Driver!$L$188-Driver!$K$188)</f>
        <v/>
      </c>
      <c r="AR128" s="108">
        <f>MIN((BD128-Driver!$K$189)/(Driver!$L$189-Driver!$K$189),100%)</f>
        <v/>
      </c>
      <c r="AS128" s="108">
        <f>(BE128-Driver!$K$190)/(Driver!$L$190-Driver!$K$190)</f>
        <v/>
      </c>
      <c r="AT128" s="108">
        <f>(BF128-Driver!$K$191)/(Driver!$L$191-Driver!$K$191)</f>
        <v/>
      </c>
      <c r="AU128" s="108">
        <f>(BG128-Driver!$K$192)/(Driver!$L$192-Driver!$K$192)</f>
        <v/>
      </c>
      <c r="AV128" s="105">
        <f>IFERROR(BM128*BJ128^1/4,"")</f>
        <v/>
      </c>
      <c r="AW128" s="105">
        <f>IFERROR(SUM(AX128:AZ128),"")</f>
        <v/>
      </c>
      <c r="AX128" s="105">
        <f>IFERROR(BH128,"")</f>
        <v/>
      </c>
      <c r="AY128" s="105">
        <f>IFERROR(Driver!$K$19/Data!BH128/Data!BI128*Data!BK128*Data!BL128,"")</f>
        <v/>
      </c>
      <c r="AZ128" s="105">
        <f>IFERROR(BI128*BN128,"")</f>
        <v/>
      </c>
      <c r="BA128" s="105" t="n"/>
      <c r="BB128" s="105" t="n"/>
      <c r="BC128" s="105">
        <f>IFERROR(BI128*BN128*BK128/BJ128^(1/2),"")</f>
        <v/>
      </c>
      <c r="BD128" s="105">
        <f>IFERROR(BH128*BM128*BL128/BJ128/BK128,"")</f>
        <v/>
      </c>
      <c r="BE128" s="105">
        <f>IFERROR(MIN(BI128/BQ128/BP128/BO128/BH128,$BE$1),"")</f>
        <v/>
      </c>
      <c r="BF128" s="105">
        <f>IFERROR(BJ128*BO128*BP128/BK128,"")</f>
        <v/>
      </c>
      <c r="BG128" s="105">
        <f>IFERROR(1/BM128/BH128*BQ128,"")</f>
        <v/>
      </c>
      <c r="BH128" s="102">
        <f>MAX((CE128-Driver!$F$200)/(Driver!$G$200-Driver!$F$200)*$BI$1,1)</f>
        <v/>
      </c>
      <c r="BI128" s="102">
        <f>MAX($BI$1*(BY128-Driver!$F$201)/(Driver!$G$201-Driver!$F$201),1)</f>
        <v/>
      </c>
      <c r="BJ128" s="102">
        <f>(CB128-Driver!$F$206)/(Driver!$G$206-Driver!$F$206)*$BI$1</f>
        <v/>
      </c>
      <c r="BK128" s="102">
        <f>(CD128-Driver!$F$203)/(Driver!$G$203-Driver!$F$203)*$BI$1</f>
        <v/>
      </c>
      <c r="BL128" s="102">
        <f>MAX((CR128-Driver!$F$202)/(Driver!$G$202-Driver!$F$202)*$BI$1,1)</f>
        <v/>
      </c>
      <c r="BM128" s="102">
        <f>MAX((CH128-Driver!$F$204)/(Driver!$G$204-Driver!$F$204)*$BI$1,1)</f>
        <v/>
      </c>
      <c r="BN128" s="102">
        <f>(CI128-Driver!$F$205)/(Driver!$G$205-Driver!$F$205)*$BI$1</f>
        <v/>
      </c>
      <c r="BO128" s="102">
        <f>(CK128-Driver!$F$207)/(Driver!$G$207-Driver!$F$207)*$BI$1</f>
        <v/>
      </c>
      <c r="BP128" s="102">
        <f>(CM128-Driver!$F$208)/(Driver!$G$208-Driver!$F$208)*$BI$1</f>
        <v/>
      </c>
      <c r="BQ128" s="102">
        <f>(CL128-Driver!$F$209)/(Driver!$G$209-Driver!$F$209)*$BI$1</f>
        <v/>
      </c>
      <c r="BR128" s="40" t="inlineStr">
        <is>
          <t>21/22</t>
        </is>
      </c>
      <c r="BS128" s="10" t="inlineStr">
        <is>
          <t xml:space="preserve"> DPS</t>
        </is>
      </c>
      <c r="BT128" s="11" t="inlineStr">
        <is>
          <t>Pagoda 100 RP</t>
        </is>
      </c>
      <c r="BU128" s="13" t="n">
        <v>171</v>
      </c>
      <c r="BV128" s="11" t="inlineStr">
        <is>
          <t xml:space="preserve"> Unisex</t>
        </is>
      </c>
      <c r="BW128" s="13" t="n">
        <v>171</v>
      </c>
      <c r="BX128" s="13" t="n">
        <v>169.1</v>
      </c>
      <c r="BY128" s="13" t="n">
        <v>112</v>
      </c>
      <c r="BZ128" s="13" t="n">
        <v>124</v>
      </c>
      <c r="CA128" s="13" t="n">
        <v>129</v>
      </c>
      <c r="CB128" s="13" t="n">
        <v>100</v>
      </c>
      <c r="CC128" s="13" t="n">
        <v>115</v>
      </c>
      <c r="CD128" s="13" t="n">
        <v>15</v>
      </c>
      <c r="CE128" s="13" t="n">
        <v>1718</v>
      </c>
      <c r="CF128" s="13" t="n">
        <v>1.08</v>
      </c>
      <c r="CG128" s="13" t="n">
        <v>1858</v>
      </c>
      <c r="CH128" s="13" t="n">
        <v>192</v>
      </c>
      <c r="CI128" s="13" t="n">
        <v>99</v>
      </c>
      <c r="CJ128" s="13" t="n">
        <v>56</v>
      </c>
      <c r="CK128" s="13" t="n">
        <v>335</v>
      </c>
      <c r="CL128" s="13" t="n">
        <v>26</v>
      </c>
      <c r="CM128" s="13" t="n">
        <v>233</v>
      </c>
      <c r="CN128" s="13" t="n">
        <v>0.456</v>
      </c>
      <c r="CO128" s="13" t="n">
        <v>237</v>
      </c>
      <c r="CP128" s="13" t="n">
        <v>211</v>
      </c>
      <c r="CQ128" s="13" t="n">
        <v>98</v>
      </c>
      <c r="CR128" s="13" t="n">
        <v>8</v>
      </c>
      <c r="CS128" s="13" t="n">
        <v>12.4</v>
      </c>
      <c r="CT128" s="11" t="inlineStr">
        <is>
          <t xml:space="preserve"> Resort Freeride</t>
        </is>
      </c>
      <c r="CU128" s="11" t="inlineStr">
        <is>
          <t xml:space="preserve"> Touring</t>
        </is>
      </c>
      <c r="CV128" s="13" t="n"/>
      <c r="CW128" s="13" t="n"/>
      <c r="CX128">
        <f>INDEX('Data_Price '!AG$2:AG$1266,MATCH(Data!$DN128,'Data_Price '!$AT$2:$AT$1266,0))</f>
        <v/>
      </c>
      <c r="CY128">
        <f>INDEX('Data_Price '!AH$2:AH$1266,MATCH(Data!$DN128,'Data_Price '!$AT$2:$AT$1266,0))</f>
        <v/>
      </c>
      <c r="CZ128">
        <f>INDEX('Data_Price '!AI$2:AI$1266,MATCH(Data!$DN128,'Data_Price '!$AT$2:$AT$1266,0))</f>
        <v/>
      </c>
      <c r="DA128">
        <f>INDEX('Data_Price '!AJ$2:AJ$1266,MATCH(Data!$DN128,'Data_Price '!$AT$2:$AT$1266,0))</f>
        <v/>
      </c>
      <c r="DB128">
        <f>INDEX('Data_Price '!AK$2:AK$1266,MATCH(Data!$DN128,'Data_Price '!$AT$2:$AT$1266,0))</f>
        <v/>
      </c>
      <c r="DC128">
        <f>INDEX('Data_Price '!AL$2:AL$1266,MATCH(Data!$DN128,'Data_Price '!$AT$2:$AT$1266,0))</f>
        <v/>
      </c>
      <c r="DD128">
        <f>INDEX('Data_Price '!AM$2:AM$1266,MATCH(Data!$DN128,'Data_Price '!$AT$2:$AT$1266,0))</f>
        <v/>
      </c>
      <c r="DE128">
        <f>INDEX('Data_Price '!AN$2:AN$1266,MATCH(Data!$DN128,'Data_Price '!$AT$2:$AT$1266,0))</f>
        <v/>
      </c>
      <c r="DF128">
        <f>INDEX('Data_Price '!AO$2:AO$1266,MATCH(Data!$DN128,'Data_Price '!$AT$2:$AT$1266,0))</f>
        <v/>
      </c>
      <c r="DG128">
        <f>INDEX('Data_Price '!AP$2:AP$1266,MATCH(Data!$DN128,'Data_Price '!$AT$2:$AT$1266,0))</f>
        <v/>
      </c>
      <c r="DH128">
        <f>INDEX('Data_Price '!AQ$2:AQ$1266,MATCH(Data!$DN128,'Data_Price '!$AT$2:$AT$1266,0))</f>
        <v/>
      </c>
      <c r="DI128">
        <f>INDEX('Data_Price '!AR$2:AR$1266,MATCH(Data!$DN128,'Data_Price '!$AT$2:$AT$1266,0))</f>
        <v/>
      </c>
      <c r="DJ128" s="138">
        <f>DA128</f>
        <v/>
      </c>
      <c r="DK128" s="138">
        <f>DE128</f>
        <v/>
      </c>
      <c r="DL128" s="138">
        <f>DI128</f>
        <v/>
      </c>
      <c r="DM128" s="303">
        <f>IF(LEFT(BT128,1)=" ",RIGHT(BT128,LEN(BT128)-1),BT128)</f>
        <v/>
      </c>
      <c r="DN128" s="138">
        <f>_xlfn.CONCAT(BS128,DM128,BU128,BV128)</f>
        <v/>
      </c>
      <c r="DO128" s="307" t="inlineStr">
        <is>
          <t>https://images.evo.com/imgp/250/209063/857438/dps-pagoda-100-rp-skis-2023-.jpg</t>
        </is>
      </c>
    </row>
    <row r="129" ht="15.6" customHeight="1" s="184">
      <c r="B129" s="303">
        <f t="array" ref="B129">IF(OR(ISERROR(K129:P129)),FALSE,TRUE)</f>
        <v/>
      </c>
      <c r="C129" s="60">
        <f>OR(BR129=Driver!$G$50,Data!BR804=Driver!$H$50)</f>
        <v/>
      </c>
      <c r="D129" s="60">
        <f>OR(BV129=Driver!$G$51,BV129=Driver!$H$51)</f>
        <v/>
      </c>
      <c r="E129" s="60">
        <f>AND(BX129&gt;Driver!$F$54,BX129&lt;Driver!$G$54)</f>
        <v/>
      </c>
      <c r="F129" s="60">
        <f>CL129&gt;Driver!$F$56</f>
        <v/>
      </c>
      <c r="G129" s="60">
        <f>AND(CB129&gt;Driver!$F$55,CB129&lt;Driver!$G$55)</f>
        <v/>
      </c>
      <c r="H129" s="60">
        <f>AND(B129:G129)</f>
        <v/>
      </c>
      <c r="I129" s="60">
        <f>COUNTIFS($H$9:$H$1273,TRUE,$BT$9:$BT$1273,BT129)</f>
        <v/>
      </c>
      <c r="J129" s="60">
        <f t="array" ref="J129">NOT(OR(($H$9:$H$1273=TRUE)*($I$9:$I$1273&gt;0)*($BT$9:$BT$1273=BT129)*($K$9:$K$1273&gt;K129)))</f>
        <v/>
      </c>
      <c r="K129" s="108">
        <f>IFERROR(1-AVERAGE(X129:Y129),"")</f>
        <v/>
      </c>
      <c r="L129" s="108">
        <f>1-X129</f>
        <v/>
      </c>
      <c r="M129" s="108">
        <f>1-Y129</f>
        <v/>
      </c>
      <c r="N129" s="108">
        <f>1-Z129</f>
        <v/>
      </c>
      <c r="O129" s="108">
        <f>1-AA129</f>
        <v/>
      </c>
      <c r="P129" s="108">
        <f>1-AB129</f>
        <v/>
      </c>
      <c r="Q129" s="108" t="n"/>
      <c r="R129" s="108" t="n"/>
      <c r="S129" s="108">
        <f>1-AE129</f>
        <v/>
      </c>
      <c r="T129" s="108">
        <f>1-AF129</f>
        <v/>
      </c>
      <c r="U129" s="108">
        <f>1-AG129</f>
        <v/>
      </c>
      <c r="V129" s="108">
        <f>1-AH129</f>
        <v/>
      </c>
      <c r="W129" s="108">
        <f>1-AI129</f>
        <v/>
      </c>
      <c r="X129" s="108">
        <f>ABS(AJ129-AJ$1)</f>
        <v/>
      </c>
      <c r="Y129" s="108">
        <f>AVERAGE(Z129:AB129)</f>
        <v/>
      </c>
      <c r="Z129" s="108">
        <f>ABS(AL129-AL$1)</f>
        <v/>
      </c>
      <c r="AA129" s="108">
        <f>ABS(AM129-AM$1)</f>
        <v/>
      </c>
      <c r="AB129" s="108">
        <f>ABS(AN129-AN$1)</f>
        <v/>
      </c>
      <c r="AC129" s="108" t="n"/>
      <c r="AD129" s="108" t="n"/>
      <c r="AE129" s="108">
        <f>ABS(AQ$1-AQ129)</f>
        <v/>
      </c>
      <c r="AF129" s="108">
        <f>ABS(AR$1-AR129)</f>
        <v/>
      </c>
      <c r="AG129" s="108">
        <f>ABS(AS$1-AS129)</f>
        <v/>
      </c>
      <c r="AH129" s="108">
        <f>ABS(AT$1-AT129)</f>
        <v/>
      </c>
      <c r="AI129" s="108">
        <f>ABS(AU$1-AU129)</f>
        <v/>
      </c>
      <c r="AJ129" s="108">
        <f>(AV129-Driver!$K$179)/(Driver!$L$179-Driver!$K$179)</f>
        <v/>
      </c>
      <c r="AK129" s="108">
        <f>(AW129-Driver!$K$180)/(Driver!$L$180-Driver!$K$180)</f>
        <v/>
      </c>
      <c r="AL129" s="108">
        <f>(AX129-Driver!$K$181)/(Driver!$L$181-Driver!$K$181)</f>
        <v/>
      </c>
      <c r="AM129" s="108">
        <f>(AY129-Driver!$K$182)/(Driver!$L$182-Driver!$K$182)</f>
        <v/>
      </c>
      <c r="AN129" s="108">
        <f>(AZ129-Driver!$K$183)/(Driver!$L$183-Driver!$K$183)</f>
        <v/>
      </c>
      <c r="AO129" s="108" t="n"/>
      <c r="AP129" s="108" t="n"/>
      <c r="AQ129" s="108">
        <f>(BC129-Driver!$K$188)/(Driver!$L$188-Driver!$K$188)</f>
        <v/>
      </c>
      <c r="AR129" s="108">
        <f>MIN((BD129-Driver!$K$189)/(Driver!$L$189-Driver!$K$189),100%)</f>
        <v/>
      </c>
      <c r="AS129" s="108">
        <f>(BE129-Driver!$K$190)/(Driver!$L$190-Driver!$K$190)</f>
        <v/>
      </c>
      <c r="AT129" s="108">
        <f>(BF129-Driver!$K$191)/(Driver!$L$191-Driver!$K$191)</f>
        <v/>
      </c>
      <c r="AU129" s="108">
        <f>(BG129-Driver!$K$192)/(Driver!$L$192-Driver!$K$192)</f>
        <v/>
      </c>
      <c r="AV129" s="105">
        <f>IFERROR(BM129*BJ129^1/4,"")</f>
        <v/>
      </c>
      <c r="AW129" s="105">
        <f>IFERROR(SUM(AX129:AZ129),"")</f>
        <v/>
      </c>
      <c r="AX129" s="105">
        <f>IFERROR(BH129,"")</f>
        <v/>
      </c>
      <c r="AY129" s="105">
        <f>IFERROR(Driver!$K$19/Data!BH129/Data!BI129*Data!BK129*Data!BL129,"")</f>
        <v/>
      </c>
      <c r="AZ129" s="105">
        <f>IFERROR(BI129*BN129,"")</f>
        <v/>
      </c>
      <c r="BA129" s="105" t="n"/>
      <c r="BB129" s="105" t="n"/>
      <c r="BC129" s="105">
        <f>IFERROR(BI129*BN129*BK129/BJ129^(1/2),"")</f>
        <v/>
      </c>
      <c r="BD129" s="105">
        <f>IFERROR(BH129*BM129*BL129/BJ129/BK129,"")</f>
        <v/>
      </c>
      <c r="BE129" s="105">
        <f>IFERROR(MIN(BI129/BQ129/BP129/BO129/BH129,$BE$1),"")</f>
        <v/>
      </c>
      <c r="BF129" s="105">
        <f>IFERROR(BJ129*BO129*BP129/BK129,"")</f>
        <v/>
      </c>
      <c r="BG129" s="105">
        <f>IFERROR(1/BM129/BH129*BQ129,"")</f>
        <v/>
      </c>
      <c r="BH129" s="102">
        <f>MAX((CE129-Driver!$F$200)/(Driver!$G$200-Driver!$F$200)*$BI$1,1)</f>
        <v/>
      </c>
      <c r="BI129" s="102">
        <f>MAX($BI$1*(BY129-Driver!$F$201)/(Driver!$G$201-Driver!$F$201),1)</f>
        <v/>
      </c>
      <c r="BJ129" s="102">
        <f>(CB129-Driver!$F$206)/(Driver!$G$206-Driver!$F$206)*$BI$1</f>
        <v/>
      </c>
      <c r="BK129" s="102">
        <f>(CD129-Driver!$F$203)/(Driver!$G$203-Driver!$F$203)*$BI$1</f>
        <v/>
      </c>
      <c r="BL129" s="102">
        <f>MAX((CR129-Driver!$F$202)/(Driver!$G$202-Driver!$F$202)*$BI$1,1)</f>
        <v/>
      </c>
      <c r="BM129" s="102">
        <f>MAX((CH129-Driver!$F$204)/(Driver!$G$204-Driver!$F$204)*$BI$1,1)</f>
        <v/>
      </c>
      <c r="BN129" s="102">
        <f>(CI129-Driver!$F$205)/(Driver!$G$205-Driver!$F$205)*$BI$1</f>
        <v/>
      </c>
      <c r="BO129" s="102">
        <f>(CK129-Driver!$F$207)/(Driver!$G$207-Driver!$F$207)*$BI$1</f>
        <v/>
      </c>
      <c r="BP129" s="102">
        <f>(CM129-Driver!$F$208)/(Driver!$G$208-Driver!$F$208)*$BI$1</f>
        <v/>
      </c>
      <c r="BQ129" s="102">
        <f>(CL129-Driver!$F$209)/(Driver!$G$209-Driver!$F$209)*$BI$1</f>
        <v/>
      </c>
      <c r="BR129" s="40" t="inlineStr">
        <is>
          <t>21/22</t>
        </is>
      </c>
      <c r="BS129" s="10" t="inlineStr">
        <is>
          <t xml:space="preserve"> Liberty</t>
        </is>
      </c>
      <c r="BT129" s="11" t="inlineStr">
        <is>
          <t>Evolv 90W</t>
        </is>
      </c>
      <c r="BU129" s="13" t="n">
        <v>158</v>
      </c>
      <c r="BV129" s="11" t="inlineStr">
        <is>
          <t xml:space="preserve"> Women's</t>
        </is>
      </c>
      <c r="BW129" s="13" t="n">
        <v>158</v>
      </c>
      <c r="BX129" s="13" t="n">
        <v>157.5</v>
      </c>
      <c r="BY129" s="13" t="n">
        <v>125</v>
      </c>
      <c r="BZ129" s="13" t="n">
        <v>137</v>
      </c>
      <c r="CA129" s="13" t="n">
        <v>131</v>
      </c>
      <c r="CB129" s="13" t="n">
        <v>90</v>
      </c>
      <c r="CC129" s="13" t="n">
        <v>113</v>
      </c>
      <c r="CD129" s="13" t="n">
        <v>14</v>
      </c>
      <c r="CE129" s="13" t="n">
        <v>1547</v>
      </c>
      <c r="CF129" s="13" t="n">
        <v>1.04</v>
      </c>
      <c r="CG129" s="13" t="n">
        <v>1614</v>
      </c>
      <c r="CH129" s="13" t="n">
        <v>178</v>
      </c>
      <c r="CI129" s="13" t="n">
        <v>97</v>
      </c>
      <c r="CJ129" s="13" t="n">
        <v>36</v>
      </c>
      <c r="CK129" s="13" t="n">
        <v>202</v>
      </c>
      <c r="CL129" s="13" t="n">
        <v>11</v>
      </c>
      <c r="CM129" s="13" t="n">
        <v>120</v>
      </c>
      <c r="CN129" s="13" t="n">
        <v>0.296</v>
      </c>
      <c r="CO129" s="13" t="n">
        <v>111</v>
      </c>
      <c r="CP129" s="13" t="n">
        <v>91</v>
      </c>
      <c r="CQ129" s="13" t="n">
        <v>91</v>
      </c>
      <c r="CR129" s="13" t="n">
        <v>7</v>
      </c>
      <c r="CS129" s="13" t="n">
        <v>11</v>
      </c>
      <c r="CT129" s="11" t="inlineStr">
        <is>
          <t xml:space="preserve"> Resort Freeride</t>
        </is>
      </c>
      <c r="CU129" s="13" t="n"/>
      <c r="CV129" s="13" t="n"/>
      <c r="CW129" s="13" t="n"/>
      <c r="CX129">
        <f>INDEX('Data_Price '!AG$2:AG$1266,MATCH(Data!$DN129,'Data_Price '!$AT$2:$AT$1266,0))</f>
        <v/>
      </c>
      <c r="CY129">
        <f>INDEX('Data_Price '!AH$2:AH$1266,MATCH(Data!$DN129,'Data_Price '!$AT$2:$AT$1266,0))</f>
        <v/>
      </c>
      <c r="CZ129">
        <f>INDEX('Data_Price '!AI$2:AI$1266,MATCH(Data!$DN129,'Data_Price '!$AT$2:$AT$1266,0))</f>
        <v/>
      </c>
      <c r="DA129">
        <f>INDEX('Data_Price '!AJ$2:AJ$1266,MATCH(Data!$DN129,'Data_Price '!$AT$2:$AT$1266,0))</f>
        <v/>
      </c>
      <c r="DB129">
        <f>INDEX('Data_Price '!AK$2:AK$1266,MATCH(Data!$DN129,'Data_Price '!$AT$2:$AT$1266,0))</f>
        <v/>
      </c>
      <c r="DC129">
        <f>INDEX('Data_Price '!AL$2:AL$1266,MATCH(Data!$DN129,'Data_Price '!$AT$2:$AT$1266,0))</f>
        <v/>
      </c>
      <c r="DD129">
        <f>INDEX('Data_Price '!AM$2:AM$1266,MATCH(Data!$DN129,'Data_Price '!$AT$2:$AT$1266,0))</f>
        <v/>
      </c>
      <c r="DE129">
        <f>INDEX('Data_Price '!AN$2:AN$1266,MATCH(Data!$DN129,'Data_Price '!$AT$2:$AT$1266,0))</f>
        <v/>
      </c>
      <c r="DF129">
        <f>INDEX('Data_Price '!AO$2:AO$1266,MATCH(Data!$DN129,'Data_Price '!$AT$2:$AT$1266,0))</f>
        <v/>
      </c>
      <c r="DG129">
        <f>INDEX('Data_Price '!AP$2:AP$1266,MATCH(Data!$DN129,'Data_Price '!$AT$2:$AT$1266,0))</f>
        <v/>
      </c>
      <c r="DH129">
        <f>INDEX('Data_Price '!AQ$2:AQ$1266,MATCH(Data!$DN129,'Data_Price '!$AT$2:$AT$1266,0))</f>
        <v/>
      </c>
      <c r="DI129">
        <f>INDEX('Data_Price '!AR$2:AR$1266,MATCH(Data!$DN129,'Data_Price '!$AT$2:$AT$1266,0))</f>
        <v/>
      </c>
      <c r="DJ129" s="138">
        <f>DA129</f>
        <v/>
      </c>
      <c r="DK129" s="138">
        <f>DE129</f>
        <v/>
      </c>
      <c r="DL129" s="138">
        <f>DI129</f>
        <v/>
      </c>
      <c r="DM129" s="303">
        <f>IF(LEFT(BT129,1)=" ",RIGHT(BT129,LEN(BT129)-1),BT129)</f>
        <v/>
      </c>
      <c r="DN129" s="138">
        <f>_xlfn.CONCAT(BS129,DM129,BU129,BV129)</f>
        <v/>
      </c>
      <c r="DO129" s="307" t="n"/>
    </row>
    <row r="130" ht="15.6" customHeight="1" s="184">
      <c r="B130" s="303">
        <f t="array" ref="B130">IF(OR(ISERROR(K130:P130)),FALSE,TRUE)</f>
        <v/>
      </c>
      <c r="C130" s="60">
        <f>OR(BR130=Driver!$G$50,Data!BR861=Driver!$H$50)</f>
        <v/>
      </c>
      <c r="D130" s="60">
        <f>OR(BV130=Driver!$G$51,BV130=Driver!$H$51)</f>
        <v/>
      </c>
      <c r="E130" s="60">
        <f>AND(BX130&gt;Driver!$F$54,BX130&lt;Driver!$G$54)</f>
        <v/>
      </c>
      <c r="F130" s="60">
        <f>CL130&gt;Driver!$F$56</f>
        <v/>
      </c>
      <c r="G130" s="60">
        <f>AND(CB130&gt;Driver!$F$55,CB130&lt;Driver!$G$55)</f>
        <v/>
      </c>
      <c r="H130" s="60">
        <f>AND(B130:G130)</f>
        <v/>
      </c>
      <c r="I130" s="60">
        <f>COUNTIFS($H$9:$H$1273,TRUE,$BT$9:$BT$1273,BT130)</f>
        <v/>
      </c>
      <c r="J130" s="60">
        <f t="array" ref="J130">NOT(OR(($H$9:$H$1273=TRUE)*($I$9:$I$1273&gt;0)*($BT$9:$BT$1273=BT130)*($K$9:$K$1273&gt;K130)))</f>
        <v/>
      </c>
      <c r="K130" s="108">
        <f>IFERROR(1-AVERAGE(X130:Y130),"")</f>
        <v/>
      </c>
      <c r="L130" s="108">
        <f>1-X130</f>
        <v/>
      </c>
      <c r="M130" s="108">
        <f>1-Y130</f>
        <v/>
      </c>
      <c r="N130" s="108">
        <f>1-Z130</f>
        <v/>
      </c>
      <c r="O130" s="108">
        <f>1-AA130</f>
        <v/>
      </c>
      <c r="P130" s="108">
        <f>1-AB130</f>
        <v/>
      </c>
      <c r="Q130" s="108" t="n"/>
      <c r="R130" s="108" t="n"/>
      <c r="S130" s="108">
        <f>1-AE130</f>
        <v/>
      </c>
      <c r="T130" s="108">
        <f>1-AF130</f>
        <v/>
      </c>
      <c r="U130" s="108">
        <f>1-AG130</f>
        <v/>
      </c>
      <c r="V130" s="108">
        <f>1-AH130</f>
        <v/>
      </c>
      <c r="W130" s="108">
        <f>1-AI130</f>
        <v/>
      </c>
      <c r="X130" s="108">
        <f>ABS(AJ130-AJ$1)</f>
        <v/>
      </c>
      <c r="Y130" s="108">
        <f>AVERAGE(Z130:AB130)</f>
        <v/>
      </c>
      <c r="Z130" s="108">
        <f>ABS(AL130-AL$1)</f>
        <v/>
      </c>
      <c r="AA130" s="108">
        <f>ABS(AM130-AM$1)</f>
        <v/>
      </c>
      <c r="AB130" s="108">
        <f>ABS(AN130-AN$1)</f>
        <v/>
      </c>
      <c r="AC130" s="108" t="n"/>
      <c r="AD130" s="108" t="n"/>
      <c r="AE130" s="108">
        <f>ABS(AQ$1-AQ130)</f>
        <v/>
      </c>
      <c r="AF130" s="108">
        <f>ABS(AR$1-AR130)</f>
        <v/>
      </c>
      <c r="AG130" s="108">
        <f>ABS(AS$1-AS130)</f>
        <v/>
      </c>
      <c r="AH130" s="108">
        <f>ABS(AT$1-AT130)</f>
        <v/>
      </c>
      <c r="AI130" s="108">
        <f>ABS(AU$1-AU130)</f>
        <v/>
      </c>
      <c r="AJ130" s="108">
        <f>(AV130-Driver!$K$179)/(Driver!$L$179-Driver!$K$179)</f>
        <v/>
      </c>
      <c r="AK130" s="108">
        <f>(AW130-Driver!$K$180)/(Driver!$L$180-Driver!$K$180)</f>
        <v/>
      </c>
      <c r="AL130" s="108">
        <f>(AX130-Driver!$K$181)/(Driver!$L$181-Driver!$K$181)</f>
        <v/>
      </c>
      <c r="AM130" s="108">
        <f>(AY130-Driver!$K$182)/(Driver!$L$182-Driver!$K$182)</f>
        <v/>
      </c>
      <c r="AN130" s="108">
        <f>(AZ130-Driver!$K$183)/(Driver!$L$183-Driver!$K$183)</f>
        <v/>
      </c>
      <c r="AO130" s="108" t="n"/>
      <c r="AP130" s="108" t="n"/>
      <c r="AQ130" s="108">
        <f>(BC130-Driver!$K$188)/(Driver!$L$188-Driver!$K$188)</f>
        <v/>
      </c>
      <c r="AR130" s="108">
        <f>MIN((BD130-Driver!$K$189)/(Driver!$L$189-Driver!$K$189),100%)</f>
        <v/>
      </c>
      <c r="AS130" s="108">
        <f>(BE130-Driver!$K$190)/(Driver!$L$190-Driver!$K$190)</f>
        <v/>
      </c>
      <c r="AT130" s="108">
        <f>(BF130-Driver!$K$191)/(Driver!$L$191-Driver!$K$191)</f>
        <v/>
      </c>
      <c r="AU130" s="108">
        <f>(BG130-Driver!$K$192)/(Driver!$L$192-Driver!$K$192)</f>
        <v/>
      </c>
      <c r="AV130" s="105">
        <f>IFERROR(BM130*BJ130^1/4,"")</f>
        <v/>
      </c>
      <c r="AW130" s="105">
        <f>IFERROR(SUM(AX130:AZ130),"")</f>
        <v/>
      </c>
      <c r="AX130" s="105">
        <f>IFERROR(BH130,"")</f>
        <v/>
      </c>
      <c r="AY130" s="105">
        <f>IFERROR(Driver!$K$19/Data!BH130/Data!BI130*Data!BK130*Data!BL130,"")</f>
        <v/>
      </c>
      <c r="AZ130" s="105">
        <f>IFERROR(BI130*BN130,"")</f>
        <v/>
      </c>
      <c r="BA130" s="105" t="n"/>
      <c r="BB130" s="105" t="n"/>
      <c r="BC130" s="105">
        <f>IFERROR(BI130*BN130*BK130/BJ130^(1/2),"")</f>
        <v/>
      </c>
      <c r="BD130" s="105">
        <f>IFERROR(BH130*BM130*BL130/BJ130/BK130,"")</f>
        <v/>
      </c>
      <c r="BE130" s="105">
        <f>IFERROR(MIN(BI130/BQ130/BP130/BO130/BH130,$BE$1),"")</f>
        <v/>
      </c>
      <c r="BF130" s="105">
        <f>IFERROR(BJ130*BO130*BP130/BK130,"")</f>
        <v/>
      </c>
      <c r="BG130" s="105">
        <f>IFERROR(1/BM130/BH130*BQ130,"")</f>
        <v/>
      </c>
      <c r="BH130" s="102">
        <f>MAX((CE130-Driver!$F$200)/(Driver!$G$200-Driver!$F$200)*$BI$1,1)</f>
        <v/>
      </c>
      <c r="BI130" s="102">
        <f>MAX($BI$1*(BY130-Driver!$F$201)/(Driver!$G$201-Driver!$F$201),1)</f>
        <v/>
      </c>
      <c r="BJ130" s="102">
        <f>(CB130-Driver!$F$206)/(Driver!$G$206-Driver!$F$206)*$BI$1</f>
        <v/>
      </c>
      <c r="BK130" s="102">
        <f>(CD130-Driver!$F$203)/(Driver!$G$203-Driver!$F$203)*$BI$1</f>
        <v/>
      </c>
      <c r="BL130" s="102">
        <f>MAX((CR130-Driver!$F$202)/(Driver!$G$202-Driver!$F$202)*$BI$1,1)</f>
        <v/>
      </c>
      <c r="BM130" s="102">
        <f>MAX((CH130-Driver!$F$204)/(Driver!$G$204-Driver!$F$204)*$BI$1,1)</f>
        <v/>
      </c>
      <c r="BN130" s="102">
        <f>(CI130-Driver!$F$205)/(Driver!$G$205-Driver!$F$205)*$BI$1</f>
        <v/>
      </c>
      <c r="BO130" s="102">
        <f>(CK130-Driver!$F$207)/(Driver!$G$207-Driver!$F$207)*$BI$1</f>
        <v/>
      </c>
      <c r="BP130" s="102">
        <f>(CM130-Driver!$F$208)/(Driver!$G$208-Driver!$F$208)*$BI$1</f>
        <v/>
      </c>
      <c r="BQ130" s="102">
        <f>(CL130-Driver!$F$209)/(Driver!$G$209-Driver!$F$209)*$BI$1</f>
        <v/>
      </c>
      <c r="BR130" s="40" t="inlineStr">
        <is>
          <t>21/22</t>
        </is>
      </c>
      <c r="BS130" s="10" t="inlineStr">
        <is>
          <t xml:space="preserve"> Line</t>
        </is>
      </c>
      <c r="BT130" s="11" t="inlineStr">
        <is>
          <t>Sick Day 104</t>
        </is>
      </c>
      <c r="BU130" s="13" t="n">
        <v>179</v>
      </c>
      <c r="BV130" s="11" t="inlineStr">
        <is>
          <t xml:space="preserve"> Unisex</t>
        </is>
      </c>
      <c r="BW130" s="13" t="n">
        <v>179</v>
      </c>
      <c r="BX130" s="13" t="n">
        <v>179</v>
      </c>
      <c r="BY130" s="13" t="n">
        <v>126</v>
      </c>
      <c r="BZ130" s="13" t="n">
        <v>140</v>
      </c>
      <c r="CA130" s="13" t="n">
        <v>136</v>
      </c>
      <c r="CB130" s="13" t="n">
        <v>103</v>
      </c>
      <c r="CC130" s="13" t="n">
        <v>121</v>
      </c>
      <c r="CD130" s="13" t="n">
        <v>18.1</v>
      </c>
      <c r="CE130" s="13" t="n">
        <v>1769</v>
      </c>
      <c r="CF130" s="13" t="n">
        <v>1.15</v>
      </c>
      <c r="CG130" s="13" t="n">
        <v>2031</v>
      </c>
      <c r="CH130" s="13" t="n">
        <v>183</v>
      </c>
      <c r="CI130" s="13" t="n">
        <v>98</v>
      </c>
      <c r="CJ130" s="13" t="n">
        <v>47</v>
      </c>
      <c r="CK130" s="13" t="n">
        <v>326</v>
      </c>
      <c r="CL130" s="13" t="n">
        <v>19</v>
      </c>
      <c r="CM130" s="13" t="n">
        <v>202</v>
      </c>
      <c r="CN130" s="13" t="n">
        <v>0.41</v>
      </c>
      <c r="CO130" s="13" t="n">
        <v>193</v>
      </c>
      <c r="CP130" s="13" t="n">
        <v>198</v>
      </c>
      <c r="CQ130" s="13" t="n">
        <v>133</v>
      </c>
      <c r="CR130" s="13" t="n">
        <v>6</v>
      </c>
      <c r="CS130" s="13" t="n">
        <v>10.6</v>
      </c>
      <c r="CT130" s="11" t="inlineStr">
        <is>
          <t xml:space="preserve"> Resort Freeride</t>
        </is>
      </c>
      <c r="CU130" s="11" t="inlineStr">
        <is>
          <t xml:space="preserve"> Powder</t>
        </is>
      </c>
      <c r="CV130" s="11" t="inlineStr">
        <is>
          <t xml:space="preserve"> Touring</t>
        </is>
      </c>
      <c r="CW130" s="13" t="n"/>
      <c r="CX130">
        <f>INDEX('Data_Price '!AG$2:AG$1266,MATCH(Data!$DN130,'Data_Price '!$AT$2:$AT$1266,0))</f>
        <v/>
      </c>
      <c r="CY130">
        <f>INDEX('Data_Price '!AH$2:AH$1266,MATCH(Data!$DN130,'Data_Price '!$AT$2:$AT$1266,0))</f>
        <v/>
      </c>
      <c r="CZ130">
        <f>INDEX('Data_Price '!AI$2:AI$1266,MATCH(Data!$DN130,'Data_Price '!$AT$2:$AT$1266,0))</f>
        <v/>
      </c>
      <c r="DA130">
        <f>INDEX('Data_Price '!AJ$2:AJ$1266,MATCH(Data!$DN130,'Data_Price '!$AT$2:$AT$1266,0))</f>
        <v/>
      </c>
      <c r="DB130">
        <f>INDEX('Data_Price '!AK$2:AK$1266,MATCH(Data!$DN130,'Data_Price '!$AT$2:$AT$1266,0))</f>
        <v/>
      </c>
      <c r="DC130">
        <f>INDEX('Data_Price '!AL$2:AL$1266,MATCH(Data!$DN130,'Data_Price '!$AT$2:$AT$1266,0))</f>
        <v/>
      </c>
      <c r="DD130">
        <f>INDEX('Data_Price '!AM$2:AM$1266,MATCH(Data!$DN130,'Data_Price '!$AT$2:$AT$1266,0))</f>
        <v/>
      </c>
      <c r="DE130">
        <f>INDEX('Data_Price '!AN$2:AN$1266,MATCH(Data!$DN130,'Data_Price '!$AT$2:$AT$1266,0))</f>
        <v/>
      </c>
      <c r="DF130">
        <f>INDEX('Data_Price '!AO$2:AO$1266,MATCH(Data!$DN130,'Data_Price '!$AT$2:$AT$1266,0))</f>
        <v/>
      </c>
      <c r="DG130">
        <f>INDEX('Data_Price '!AP$2:AP$1266,MATCH(Data!$DN130,'Data_Price '!$AT$2:$AT$1266,0))</f>
        <v/>
      </c>
      <c r="DH130">
        <f>INDEX('Data_Price '!AQ$2:AQ$1266,MATCH(Data!$DN130,'Data_Price '!$AT$2:$AT$1266,0))</f>
        <v/>
      </c>
      <c r="DI130">
        <f>INDEX('Data_Price '!AR$2:AR$1266,MATCH(Data!$DN130,'Data_Price '!$AT$2:$AT$1266,0))</f>
        <v/>
      </c>
      <c r="DJ130" s="138">
        <f>DA130</f>
        <v/>
      </c>
      <c r="DK130" s="138">
        <f>DE130</f>
        <v/>
      </c>
      <c r="DL130" s="138">
        <f>DI130</f>
        <v/>
      </c>
      <c r="DM130" s="303">
        <f>IF(LEFT(BT130,1)=" ",RIGHT(BT130,LEN(BT130)-1),BT130)</f>
        <v/>
      </c>
      <c r="DN130" s="138">
        <f>_xlfn.CONCAT(BS130,DM130,BU130,BV130)</f>
        <v/>
      </c>
      <c r="DO130" s="307" t="inlineStr">
        <is>
          <t>https://images.evo.com/imgp/250/198436/817694/line-skis-sick-day-104-skis-2022-.jpg</t>
        </is>
      </c>
    </row>
    <row r="131" ht="15.6" customHeight="1" s="184">
      <c r="B131" s="303">
        <f t="array" ref="B131">IF(OR(ISERROR(K131:P131)),FALSE,TRUE)</f>
        <v/>
      </c>
      <c r="C131" s="60">
        <f>OR(BR131=Driver!$G$50,Data!BR252=Driver!$H$50)</f>
        <v/>
      </c>
      <c r="D131" s="60">
        <f>OR(BV131=Driver!$G$51,BV131=Driver!$H$51)</f>
        <v/>
      </c>
      <c r="E131" s="60">
        <f>AND(BX131&gt;Driver!$F$54,BX131&lt;Driver!$G$54)</f>
        <v/>
      </c>
      <c r="F131" s="60">
        <f>CL131&gt;Driver!$F$56</f>
        <v/>
      </c>
      <c r="G131" s="60">
        <f>AND(CB131&gt;Driver!$F$55,CB131&lt;Driver!$G$55)</f>
        <v/>
      </c>
      <c r="H131" s="60">
        <f>AND(B131:G131)</f>
        <v/>
      </c>
      <c r="I131" s="60">
        <f>COUNTIFS($H$9:$H$1273,TRUE,$BT$9:$BT$1273,BT131)</f>
        <v/>
      </c>
      <c r="J131" s="60">
        <f t="array" ref="J131">NOT(OR(($H$9:$H$1273=TRUE)*($I$9:$I$1273&gt;0)*($BT$9:$BT$1273=BT131)*($K$9:$K$1273&gt;K131)))</f>
        <v/>
      </c>
      <c r="K131" s="108">
        <f>IFERROR(1-AVERAGE(X131:Y131),"")</f>
        <v/>
      </c>
      <c r="L131" s="108">
        <f>1-X131</f>
        <v/>
      </c>
      <c r="M131" s="108">
        <f>1-Y131</f>
        <v/>
      </c>
      <c r="N131" s="108">
        <f>1-Z131</f>
        <v/>
      </c>
      <c r="O131" s="108">
        <f>1-AA131</f>
        <v/>
      </c>
      <c r="P131" s="108">
        <f>1-AB131</f>
        <v/>
      </c>
      <c r="Q131" s="108" t="n"/>
      <c r="R131" s="108" t="n"/>
      <c r="S131" s="108">
        <f>1-AE131</f>
        <v/>
      </c>
      <c r="T131" s="108">
        <f>1-AF131</f>
        <v/>
      </c>
      <c r="U131" s="108">
        <f>1-AG131</f>
        <v/>
      </c>
      <c r="V131" s="108">
        <f>1-AH131</f>
        <v/>
      </c>
      <c r="W131" s="108">
        <f>1-AI131</f>
        <v/>
      </c>
      <c r="X131" s="108">
        <f>ABS(AJ131-AJ$1)</f>
        <v/>
      </c>
      <c r="Y131" s="108">
        <f>AVERAGE(Z131:AB131)</f>
        <v/>
      </c>
      <c r="Z131" s="108">
        <f>ABS(AL131-AL$1)</f>
        <v/>
      </c>
      <c r="AA131" s="108">
        <f>ABS(AM131-AM$1)</f>
        <v/>
      </c>
      <c r="AB131" s="108">
        <f>ABS(AN131-AN$1)</f>
        <v/>
      </c>
      <c r="AC131" s="108" t="n"/>
      <c r="AD131" s="108" t="n"/>
      <c r="AE131" s="108">
        <f>ABS(AQ$1-AQ131)</f>
        <v/>
      </c>
      <c r="AF131" s="108">
        <f>ABS(AR$1-AR131)</f>
        <v/>
      </c>
      <c r="AG131" s="108">
        <f>ABS(AS$1-AS131)</f>
        <v/>
      </c>
      <c r="AH131" s="108">
        <f>ABS(AT$1-AT131)</f>
        <v/>
      </c>
      <c r="AI131" s="108">
        <f>ABS(AU$1-AU131)</f>
        <v/>
      </c>
      <c r="AJ131" s="108">
        <f>(AV131-Driver!$K$179)/(Driver!$L$179-Driver!$K$179)</f>
        <v/>
      </c>
      <c r="AK131" s="108">
        <f>(AW131-Driver!$K$180)/(Driver!$L$180-Driver!$K$180)</f>
        <v/>
      </c>
      <c r="AL131" s="108">
        <f>(AX131-Driver!$K$181)/(Driver!$L$181-Driver!$K$181)</f>
        <v/>
      </c>
      <c r="AM131" s="108">
        <f>(AY131-Driver!$K$182)/(Driver!$L$182-Driver!$K$182)</f>
        <v/>
      </c>
      <c r="AN131" s="108">
        <f>(AZ131-Driver!$K$183)/(Driver!$L$183-Driver!$K$183)</f>
        <v/>
      </c>
      <c r="AO131" s="108" t="n"/>
      <c r="AP131" s="108" t="n"/>
      <c r="AQ131" s="108">
        <f>(BC131-Driver!$K$188)/(Driver!$L$188-Driver!$K$188)</f>
        <v/>
      </c>
      <c r="AR131" s="108">
        <f>MIN((BD131-Driver!$K$189)/(Driver!$L$189-Driver!$K$189),100%)</f>
        <v/>
      </c>
      <c r="AS131" s="108">
        <f>(BE131-Driver!$K$190)/(Driver!$L$190-Driver!$K$190)</f>
        <v/>
      </c>
      <c r="AT131" s="108">
        <f>(BF131-Driver!$K$191)/(Driver!$L$191-Driver!$K$191)</f>
        <v/>
      </c>
      <c r="AU131" s="108">
        <f>(BG131-Driver!$K$192)/(Driver!$L$192-Driver!$K$192)</f>
        <v/>
      </c>
      <c r="AV131" s="105">
        <f>IFERROR(BM131*BJ131^1/4,"")</f>
        <v/>
      </c>
      <c r="AW131" s="105">
        <f>IFERROR(SUM(AX131:AZ131),"")</f>
        <v/>
      </c>
      <c r="AX131" s="105">
        <f>IFERROR(BH131,"")</f>
        <v/>
      </c>
      <c r="AY131" s="105">
        <f>IFERROR(Driver!$K$19/Data!BH131/Data!BI131*Data!BK131*Data!BL131,"")</f>
        <v/>
      </c>
      <c r="AZ131" s="105">
        <f>IFERROR(BI131*BN131,"")</f>
        <v/>
      </c>
      <c r="BA131" s="105" t="n"/>
      <c r="BB131" s="105" t="n"/>
      <c r="BC131" s="105">
        <f>IFERROR(BI131*BN131*BK131/BJ131^(1/2),"")</f>
        <v/>
      </c>
      <c r="BD131" s="105">
        <f>IFERROR(BH131*BM131*BL131/BJ131/BK131,"")</f>
        <v/>
      </c>
      <c r="BE131" s="105">
        <f>IFERROR(MIN(BI131/BQ131/BP131/BO131/BH131,$BE$1),"")</f>
        <v/>
      </c>
      <c r="BF131" s="105">
        <f>IFERROR(BJ131*BO131*BP131/BK131,"")</f>
        <v/>
      </c>
      <c r="BG131" s="105">
        <f>IFERROR(1/BM131/BH131*BQ131,"")</f>
        <v/>
      </c>
      <c r="BH131" s="102">
        <f>MAX((CE131-Driver!$F$200)/(Driver!$G$200-Driver!$F$200)*$BI$1,1)</f>
        <v/>
      </c>
      <c r="BI131" s="102">
        <f>MAX($BI$1*(BY131-Driver!$F$201)/(Driver!$G$201-Driver!$F$201),1)</f>
        <v/>
      </c>
      <c r="BJ131" s="102">
        <f>(CB131-Driver!$F$206)/(Driver!$G$206-Driver!$F$206)*$BI$1</f>
        <v/>
      </c>
      <c r="BK131" s="102">
        <f>(CD131-Driver!$F$203)/(Driver!$G$203-Driver!$F$203)*$BI$1</f>
        <v/>
      </c>
      <c r="BL131" s="102">
        <f>MAX((CR131-Driver!$F$202)/(Driver!$G$202-Driver!$F$202)*$BI$1,1)</f>
        <v/>
      </c>
      <c r="BM131" s="102">
        <f>MAX((CH131-Driver!$F$204)/(Driver!$G$204-Driver!$F$204)*$BI$1,1)</f>
        <v/>
      </c>
      <c r="BN131" s="102">
        <f>(CI131-Driver!$F$205)/(Driver!$G$205-Driver!$F$205)*$BI$1</f>
        <v/>
      </c>
      <c r="BO131" s="102">
        <f>(CK131-Driver!$F$207)/(Driver!$G$207-Driver!$F$207)*$BI$1</f>
        <v/>
      </c>
      <c r="BP131" s="102">
        <f>(CM131-Driver!$F$208)/(Driver!$G$208-Driver!$F$208)*$BI$1</f>
        <v/>
      </c>
      <c r="BQ131" s="102">
        <f>(CL131-Driver!$F$209)/(Driver!$G$209-Driver!$F$209)*$BI$1</f>
        <v/>
      </c>
      <c r="BR131" s="40" t="inlineStr">
        <is>
          <t>21/22</t>
        </is>
      </c>
      <c r="BS131" s="10" t="inlineStr">
        <is>
          <t xml:space="preserve"> Black Diamond</t>
        </is>
      </c>
      <c r="BT131" s="11" t="inlineStr">
        <is>
          <t>Impulse 98</t>
        </is>
      </c>
      <c r="BU131" s="13" t="n">
        <v>182</v>
      </c>
      <c r="BV131" s="11" t="inlineStr">
        <is>
          <t xml:space="preserve"> Unisex</t>
        </is>
      </c>
      <c r="BW131" s="13" t="n">
        <v>182</v>
      </c>
      <c r="BX131" s="13" t="n">
        <v>182.6</v>
      </c>
      <c r="BY131" s="13" t="n">
        <v>130</v>
      </c>
      <c r="BZ131" s="13" t="n">
        <v>148</v>
      </c>
      <c r="CA131" s="13" t="n">
        <v>131</v>
      </c>
      <c r="CB131" s="13" t="n">
        <v>97</v>
      </c>
      <c r="CC131" s="13" t="n">
        <v>118</v>
      </c>
      <c r="CD131" s="13" t="n">
        <v>17.9</v>
      </c>
      <c r="CE131" s="13" t="n">
        <v>1920</v>
      </c>
      <c r="CF131" s="13" t="n">
        <v>1.03</v>
      </c>
      <c r="CG131" s="13" t="n">
        <v>1975</v>
      </c>
      <c r="CH131" s="13" t="n">
        <v>224</v>
      </c>
      <c r="CI131" s="13" t="n">
        <v>96</v>
      </c>
      <c r="CJ131" s="13" t="n">
        <v>46</v>
      </c>
      <c r="CK131" s="13" t="n">
        <v>300</v>
      </c>
      <c r="CL131" s="13" t="n">
        <v>25</v>
      </c>
      <c r="CM131" s="13" t="n">
        <v>223</v>
      </c>
      <c r="CN131" s="13" t="n">
        <v>0.552</v>
      </c>
      <c r="CO131" s="13" t="n">
        <v>215</v>
      </c>
      <c r="CP131" s="13" t="n">
        <v>135</v>
      </c>
      <c r="CQ131" s="13" t="n">
        <v>85</v>
      </c>
      <c r="CR131" s="13" t="n">
        <v>6</v>
      </c>
      <c r="CS131" s="13" t="n">
        <v>8.9</v>
      </c>
      <c r="CT131" s="11" t="inlineStr">
        <is>
          <t xml:space="preserve"> Resort Freeride</t>
        </is>
      </c>
      <c r="CU131" s="13" t="n"/>
      <c r="CV131" s="13" t="n"/>
      <c r="CW131" s="13" t="n"/>
      <c r="CX131">
        <f>INDEX('Data_Price '!AG$2:AG$1266,MATCH(Data!$DN131,'Data_Price '!$AT$2:$AT$1266,0))</f>
        <v/>
      </c>
      <c r="CY131">
        <f>INDEX('Data_Price '!AH$2:AH$1266,MATCH(Data!$DN131,'Data_Price '!$AT$2:$AT$1266,0))</f>
        <v/>
      </c>
      <c r="CZ131">
        <f>INDEX('Data_Price '!AI$2:AI$1266,MATCH(Data!$DN131,'Data_Price '!$AT$2:$AT$1266,0))</f>
        <v/>
      </c>
      <c r="DA131">
        <f>INDEX('Data_Price '!AJ$2:AJ$1266,MATCH(Data!$DN131,'Data_Price '!$AT$2:$AT$1266,0))</f>
        <v/>
      </c>
      <c r="DB131">
        <f>INDEX('Data_Price '!AK$2:AK$1266,MATCH(Data!$DN131,'Data_Price '!$AT$2:$AT$1266,0))</f>
        <v/>
      </c>
      <c r="DC131">
        <f>INDEX('Data_Price '!AL$2:AL$1266,MATCH(Data!$DN131,'Data_Price '!$AT$2:$AT$1266,0))</f>
        <v/>
      </c>
      <c r="DD131">
        <f>INDEX('Data_Price '!AM$2:AM$1266,MATCH(Data!$DN131,'Data_Price '!$AT$2:$AT$1266,0))</f>
        <v/>
      </c>
      <c r="DE131">
        <f>INDEX('Data_Price '!AN$2:AN$1266,MATCH(Data!$DN131,'Data_Price '!$AT$2:$AT$1266,0))</f>
        <v/>
      </c>
      <c r="DF131">
        <f>INDEX('Data_Price '!AO$2:AO$1266,MATCH(Data!$DN131,'Data_Price '!$AT$2:$AT$1266,0))</f>
        <v/>
      </c>
      <c r="DG131">
        <f>INDEX('Data_Price '!AP$2:AP$1266,MATCH(Data!$DN131,'Data_Price '!$AT$2:$AT$1266,0))</f>
        <v/>
      </c>
      <c r="DH131">
        <f>INDEX('Data_Price '!AQ$2:AQ$1266,MATCH(Data!$DN131,'Data_Price '!$AT$2:$AT$1266,0))</f>
        <v/>
      </c>
      <c r="DI131">
        <f>INDEX('Data_Price '!AR$2:AR$1266,MATCH(Data!$DN131,'Data_Price '!$AT$2:$AT$1266,0))</f>
        <v/>
      </c>
      <c r="DJ131" s="138">
        <f>DA131</f>
        <v/>
      </c>
      <c r="DK131" s="138">
        <f>DE131</f>
        <v/>
      </c>
      <c r="DL131" s="138">
        <f>DI131</f>
        <v/>
      </c>
      <c r="DM131" s="303">
        <f>IF(LEFT(BT131,1)=" ",RIGHT(BT131,LEN(BT131)-1),BT131)</f>
        <v/>
      </c>
      <c r="DN131" s="138">
        <f>_xlfn.CONCAT(BS131,DM131,BU131,BV131)</f>
        <v/>
      </c>
      <c r="DO131" s="307" t="inlineStr">
        <is>
          <t>https://images.evo.com/imgp/250/200509/836796/clone.jpg</t>
        </is>
      </c>
    </row>
    <row r="132" ht="15.6" customHeight="1" s="184">
      <c r="B132" s="303">
        <f t="array" ref="B132">IF(OR(ISERROR(K132:P132)),FALSE,TRUE)</f>
        <v/>
      </c>
      <c r="C132" s="60">
        <f>OR(BR132=Driver!$G$50,Data!BR789=Driver!$H$50)</f>
        <v/>
      </c>
      <c r="D132" s="60">
        <f>OR(BV132=Driver!$G$51,BV132=Driver!$H$51)</f>
        <v/>
      </c>
      <c r="E132" s="60">
        <f>AND(BX132&gt;Driver!$F$54,BX132&lt;Driver!$G$54)</f>
        <v/>
      </c>
      <c r="F132" s="60">
        <f>CL132&gt;Driver!$F$56</f>
        <v/>
      </c>
      <c r="G132" s="60">
        <f>AND(CB132&gt;Driver!$F$55,CB132&lt;Driver!$G$55)</f>
        <v/>
      </c>
      <c r="H132" s="60">
        <f>AND(B132:G132)</f>
        <v/>
      </c>
      <c r="I132" s="60">
        <f>COUNTIFS($H$9:$H$1273,TRUE,$BT$9:$BT$1273,BT132)</f>
        <v/>
      </c>
      <c r="J132" s="60">
        <f t="array" ref="J132">NOT(OR(($H$9:$H$1273=TRUE)*($I$9:$I$1273&gt;0)*($BT$9:$BT$1273=BT132)*($K$9:$K$1273&gt;K132)))</f>
        <v/>
      </c>
      <c r="K132" s="108">
        <f>IFERROR(1-AVERAGE(X132:Y132),"")</f>
        <v/>
      </c>
      <c r="L132" s="108">
        <f>1-X132</f>
        <v/>
      </c>
      <c r="M132" s="108">
        <f>1-Y132</f>
        <v/>
      </c>
      <c r="N132" s="108">
        <f>1-Z132</f>
        <v/>
      </c>
      <c r="O132" s="108">
        <f>1-AA132</f>
        <v/>
      </c>
      <c r="P132" s="108">
        <f>1-AB132</f>
        <v/>
      </c>
      <c r="Q132" s="108" t="n"/>
      <c r="R132" s="108" t="n"/>
      <c r="S132" s="108">
        <f>1-AE132</f>
        <v/>
      </c>
      <c r="T132" s="108">
        <f>1-AF132</f>
        <v/>
      </c>
      <c r="U132" s="108">
        <f>1-AG132</f>
        <v/>
      </c>
      <c r="V132" s="108">
        <f>1-AH132</f>
        <v/>
      </c>
      <c r="W132" s="108">
        <f>1-AI132</f>
        <v/>
      </c>
      <c r="X132" s="108">
        <f>ABS(AJ132-AJ$1)</f>
        <v/>
      </c>
      <c r="Y132" s="108">
        <f>AVERAGE(Z132:AB132)</f>
        <v/>
      </c>
      <c r="Z132" s="108">
        <f>ABS(AL132-AL$1)</f>
        <v/>
      </c>
      <c r="AA132" s="108">
        <f>ABS(AM132-AM$1)</f>
        <v/>
      </c>
      <c r="AB132" s="108">
        <f>ABS(AN132-AN$1)</f>
        <v/>
      </c>
      <c r="AC132" s="108" t="n"/>
      <c r="AD132" s="108" t="n"/>
      <c r="AE132" s="108">
        <f>ABS(AQ$1-AQ132)</f>
        <v/>
      </c>
      <c r="AF132" s="108">
        <f>ABS(AR$1-AR132)</f>
        <v/>
      </c>
      <c r="AG132" s="108">
        <f>ABS(AS$1-AS132)</f>
        <v/>
      </c>
      <c r="AH132" s="108">
        <f>ABS(AT$1-AT132)</f>
        <v/>
      </c>
      <c r="AI132" s="108">
        <f>ABS(AU$1-AU132)</f>
        <v/>
      </c>
      <c r="AJ132" s="108">
        <f>(AV132-Driver!$K$179)/(Driver!$L$179-Driver!$K$179)</f>
        <v/>
      </c>
      <c r="AK132" s="108">
        <f>(AW132-Driver!$K$180)/(Driver!$L$180-Driver!$K$180)</f>
        <v/>
      </c>
      <c r="AL132" s="108">
        <f>(AX132-Driver!$K$181)/(Driver!$L$181-Driver!$K$181)</f>
        <v/>
      </c>
      <c r="AM132" s="108">
        <f>(AY132-Driver!$K$182)/(Driver!$L$182-Driver!$K$182)</f>
        <v/>
      </c>
      <c r="AN132" s="108">
        <f>(AZ132-Driver!$K$183)/(Driver!$L$183-Driver!$K$183)</f>
        <v/>
      </c>
      <c r="AO132" s="108" t="n"/>
      <c r="AP132" s="108" t="n"/>
      <c r="AQ132" s="108">
        <f>(BC132-Driver!$K$188)/(Driver!$L$188-Driver!$K$188)</f>
        <v/>
      </c>
      <c r="AR132" s="108">
        <f>MIN((BD132-Driver!$K$189)/(Driver!$L$189-Driver!$K$189),100%)</f>
        <v/>
      </c>
      <c r="AS132" s="108">
        <f>(BE132-Driver!$K$190)/(Driver!$L$190-Driver!$K$190)</f>
        <v/>
      </c>
      <c r="AT132" s="108">
        <f>(BF132-Driver!$K$191)/(Driver!$L$191-Driver!$K$191)</f>
        <v/>
      </c>
      <c r="AU132" s="108">
        <f>(BG132-Driver!$K$192)/(Driver!$L$192-Driver!$K$192)</f>
        <v/>
      </c>
      <c r="AV132" s="105">
        <f>IFERROR(BM132*BJ132^1/4,"")</f>
        <v/>
      </c>
      <c r="AW132" s="105">
        <f>IFERROR(SUM(AX132:AZ132),"")</f>
        <v/>
      </c>
      <c r="AX132" s="105">
        <f>IFERROR(BH132,"")</f>
        <v/>
      </c>
      <c r="AY132" s="105">
        <f>IFERROR(Driver!$K$19/Data!BH132/Data!BI132*Data!BK132*Data!BL132,"")</f>
        <v/>
      </c>
      <c r="AZ132" s="105">
        <f>IFERROR(BI132*BN132,"")</f>
        <v/>
      </c>
      <c r="BA132" s="105" t="n"/>
      <c r="BB132" s="105" t="n"/>
      <c r="BC132" s="105">
        <f>IFERROR(BI132*BN132*BK132/BJ132^(1/2),"")</f>
        <v/>
      </c>
      <c r="BD132" s="105">
        <f>IFERROR(BH132*BM132*BL132/BJ132/BK132,"")</f>
        <v/>
      </c>
      <c r="BE132" s="105">
        <f>IFERROR(MIN(BI132/BQ132/BP132/BO132/BH132,$BE$1),"")</f>
        <v/>
      </c>
      <c r="BF132" s="105">
        <f>IFERROR(BJ132*BO132*BP132/BK132,"")</f>
        <v/>
      </c>
      <c r="BG132" s="105">
        <f>IFERROR(1/BM132/BH132*BQ132,"")</f>
        <v/>
      </c>
      <c r="BH132" s="102">
        <f>MAX((CE132-Driver!$F$200)/(Driver!$G$200-Driver!$F$200)*$BI$1,1)</f>
        <v/>
      </c>
      <c r="BI132" s="102">
        <f>MAX($BI$1*(BY132-Driver!$F$201)/(Driver!$G$201-Driver!$F$201),1)</f>
        <v/>
      </c>
      <c r="BJ132" s="102">
        <f>(CB132-Driver!$F$206)/(Driver!$G$206-Driver!$F$206)*$BI$1</f>
        <v/>
      </c>
      <c r="BK132" s="102">
        <f>(CD132-Driver!$F$203)/(Driver!$G$203-Driver!$F$203)*$BI$1</f>
        <v/>
      </c>
      <c r="BL132" s="102">
        <f>MAX((CR132-Driver!$F$202)/(Driver!$G$202-Driver!$F$202)*$BI$1,1)</f>
        <v/>
      </c>
      <c r="BM132" s="102">
        <f>MAX((CH132-Driver!$F$204)/(Driver!$G$204-Driver!$F$204)*$BI$1,1)</f>
        <v/>
      </c>
      <c r="BN132" s="102">
        <f>(CI132-Driver!$F$205)/(Driver!$G$205-Driver!$F$205)*$BI$1</f>
        <v/>
      </c>
      <c r="BO132" s="102">
        <f>(CK132-Driver!$F$207)/(Driver!$G$207-Driver!$F$207)*$BI$1</f>
        <v/>
      </c>
      <c r="BP132" s="102">
        <f>(CM132-Driver!$F$208)/(Driver!$G$208-Driver!$F$208)*$BI$1</f>
        <v/>
      </c>
      <c r="BQ132" s="102">
        <f>(CL132-Driver!$F$209)/(Driver!$G$209-Driver!$F$209)*$BI$1</f>
        <v/>
      </c>
      <c r="BR132" s="40" t="inlineStr">
        <is>
          <t>21/22</t>
        </is>
      </c>
      <c r="BS132" s="10" t="inlineStr">
        <is>
          <t xml:space="preserve"> K2</t>
        </is>
      </c>
      <c r="BT132" s="11" t="inlineStr">
        <is>
          <t>Wayback 106</t>
        </is>
      </c>
      <c r="BU132" s="13" t="n">
        <v>186</v>
      </c>
      <c r="BV132" s="11" t="inlineStr">
        <is>
          <t xml:space="preserve"> Unisex</t>
        </is>
      </c>
      <c r="BW132" s="13" t="n">
        <v>186</v>
      </c>
      <c r="BX132" s="13" t="n">
        <v>185.7</v>
      </c>
      <c r="BY132" s="13" t="n">
        <v>129</v>
      </c>
      <c r="BZ132" s="13" t="n">
        <v>152</v>
      </c>
      <c r="CA132" s="13" t="n">
        <v>136</v>
      </c>
      <c r="CB132" s="13" t="n">
        <v>105</v>
      </c>
      <c r="CC132" s="13" t="n">
        <v>123</v>
      </c>
      <c r="CD132" s="13" t="n">
        <v>23.7</v>
      </c>
      <c r="CE132" s="13" t="n">
        <v>1680</v>
      </c>
      <c r="CF132" s="13" t="n">
        <v>1.26</v>
      </c>
      <c r="CG132" s="13" t="n">
        <v>2121</v>
      </c>
      <c r="CH132" s="13" t="n">
        <v>224</v>
      </c>
      <c r="CI132" s="13" t="n">
        <v>115</v>
      </c>
      <c r="CJ132" s="13" t="n">
        <v>42</v>
      </c>
      <c r="CK132" s="13" t="n">
        <v>358</v>
      </c>
      <c r="CL132" s="13" t="n">
        <v>13</v>
      </c>
      <c r="CM132" s="13" t="n">
        <v>210</v>
      </c>
      <c r="CN132" s="13" t="n">
        <v>0.318</v>
      </c>
      <c r="CO132" s="13" t="n">
        <v>195</v>
      </c>
      <c r="CP132" s="13" t="n">
        <v>138</v>
      </c>
      <c r="CQ132" s="13" t="n">
        <v>163</v>
      </c>
      <c r="CR132" s="13" t="n">
        <v>6</v>
      </c>
      <c r="CS132" s="13" t="n">
        <v>12.9</v>
      </c>
      <c r="CT132" s="11" t="inlineStr">
        <is>
          <t xml:space="preserve"> Big Mountain</t>
        </is>
      </c>
      <c r="CU132" s="11" t="inlineStr">
        <is>
          <t xml:space="preserve"> Touring</t>
        </is>
      </c>
      <c r="CV132" s="11" t="inlineStr">
        <is>
          <t xml:space="preserve"> Ultralight Touring</t>
        </is>
      </c>
      <c r="CW132" s="13" t="n"/>
      <c r="CX132">
        <f>INDEX('Data_Price '!AG$2:AG$1266,MATCH(Data!$DN132,'Data_Price '!$AT$2:$AT$1266,0))</f>
        <v/>
      </c>
      <c r="CY132">
        <f>INDEX('Data_Price '!AH$2:AH$1266,MATCH(Data!$DN132,'Data_Price '!$AT$2:$AT$1266,0))</f>
        <v/>
      </c>
      <c r="CZ132">
        <f>INDEX('Data_Price '!AI$2:AI$1266,MATCH(Data!$DN132,'Data_Price '!$AT$2:$AT$1266,0))</f>
        <v/>
      </c>
      <c r="DA132">
        <f>INDEX('Data_Price '!AJ$2:AJ$1266,MATCH(Data!$DN132,'Data_Price '!$AT$2:$AT$1266,0))</f>
        <v/>
      </c>
      <c r="DB132">
        <f>INDEX('Data_Price '!AK$2:AK$1266,MATCH(Data!$DN132,'Data_Price '!$AT$2:$AT$1266,0))</f>
        <v/>
      </c>
      <c r="DC132">
        <f>INDEX('Data_Price '!AL$2:AL$1266,MATCH(Data!$DN132,'Data_Price '!$AT$2:$AT$1266,0))</f>
        <v/>
      </c>
      <c r="DD132">
        <f>INDEX('Data_Price '!AM$2:AM$1266,MATCH(Data!$DN132,'Data_Price '!$AT$2:$AT$1266,0))</f>
        <v/>
      </c>
      <c r="DE132">
        <f>INDEX('Data_Price '!AN$2:AN$1266,MATCH(Data!$DN132,'Data_Price '!$AT$2:$AT$1266,0))</f>
        <v/>
      </c>
      <c r="DF132">
        <f>INDEX('Data_Price '!AO$2:AO$1266,MATCH(Data!$DN132,'Data_Price '!$AT$2:$AT$1266,0))</f>
        <v/>
      </c>
      <c r="DG132">
        <f>INDEX('Data_Price '!AP$2:AP$1266,MATCH(Data!$DN132,'Data_Price '!$AT$2:$AT$1266,0))</f>
        <v/>
      </c>
      <c r="DH132">
        <f>INDEX('Data_Price '!AQ$2:AQ$1266,MATCH(Data!$DN132,'Data_Price '!$AT$2:$AT$1266,0))</f>
        <v/>
      </c>
      <c r="DI132">
        <f>INDEX('Data_Price '!AR$2:AR$1266,MATCH(Data!$DN132,'Data_Price '!$AT$2:$AT$1266,0))</f>
        <v/>
      </c>
      <c r="DJ132" s="138">
        <f>DA132</f>
        <v/>
      </c>
      <c r="DK132" s="138">
        <f>DE132</f>
        <v/>
      </c>
      <c r="DL132" s="138">
        <f>DI132</f>
        <v/>
      </c>
      <c r="DM132" s="303">
        <f>IF(LEFT(BT132,1)=" ",RIGHT(BT132,LEN(BT132)-1),BT132)</f>
        <v/>
      </c>
      <c r="DN132" s="138">
        <f>_xlfn.CONCAT(BS132,DM132,BU132,BV132)</f>
        <v/>
      </c>
      <c r="DO132" s="307" t="inlineStr">
        <is>
          <t>https://images.evo.com/imgp/250/182121/886394/k2-wayback-106-skis-2021-.jpg</t>
        </is>
      </c>
    </row>
    <row r="133" ht="15.6" customHeight="1" s="184">
      <c r="B133" s="303">
        <f t="array" ref="B133">IF(OR(ISERROR(K133:P133)),FALSE,TRUE)</f>
        <v/>
      </c>
      <c r="C133" s="60">
        <f>OR(BR133=Driver!$G$50,Data!BR1138=Driver!$H$50)</f>
        <v/>
      </c>
      <c r="D133" s="60">
        <f>OR(BV133=Driver!$G$51,BV133=Driver!$H$51)</f>
        <v/>
      </c>
      <c r="E133" s="60">
        <f>AND(BX133&gt;Driver!$F$54,BX133&lt;Driver!$G$54)</f>
        <v/>
      </c>
      <c r="F133" s="60">
        <f>CL133&gt;Driver!$F$56</f>
        <v/>
      </c>
      <c r="G133" s="60">
        <f>AND(CB133&gt;Driver!$F$55,CB133&lt;Driver!$G$55)</f>
        <v/>
      </c>
      <c r="H133" s="60">
        <f>AND(B133:G133)</f>
        <v/>
      </c>
      <c r="I133" s="60">
        <f>COUNTIFS($H$9:$H$1273,TRUE,$BT$9:$BT$1273,BT133)</f>
        <v/>
      </c>
      <c r="J133" s="60">
        <f t="array" ref="J133">NOT(OR(($H$9:$H$1273=TRUE)*($I$9:$I$1273&gt;0)*($BT$9:$BT$1273=BT133)*($K$9:$K$1273&gt;K133)))</f>
        <v/>
      </c>
      <c r="K133" s="108">
        <f>IFERROR(1-AVERAGE(X133:Y133),"")</f>
        <v/>
      </c>
      <c r="L133" s="108">
        <f>1-X133</f>
        <v/>
      </c>
      <c r="M133" s="108">
        <f>1-Y133</f>
        <v/>
      </c>
      <c r="N133" s="108">
        <f>1-Z133</f>
        <v/>
      </c>
      <c r="O133" s="108">
        <f>1-AA133</f>
        <v/>
      </c>
      <c r="P133" s="108">
        <f>1-AB133</f>
        <v/>
      </c>
      <c r="Q133" s="108" t="n"/>
      <c r="R133" s="108" t="n"/>
      <c r="S133" s="108">
        <f>1-AE133</f>
        <v/>
      </c>
      <c r="T133" s="108">
        <f>1-AF133</f>
        <v/>
      </c>
      <c r="U133" s="108">
        <f>1-AG133</f>
        <v/>
      </c>
      <c r="V133" s="108">
        <f>1-AH133</f>
        <v/>
      </c>
      <c r="W133" s="108">
        <f>1-AI133</f>
        <v/>
      </c>
      <c r="X133" s="108">
        <f>ABS(AJ133-AJ$1)</f>
        <v/>
      </c>
      <c r="Y133" s="108">
        <f>AVERAGE(Z133:AB133)</f>
        <v/>
      </c>
      <c r="Z133" s="108">
        <f>ABS(AL133-AL$1)</f>
        <v/>
      </c>
      <c r="AA133" s="108">
        <f>ABS(AM133-AM$1)</f>
        <v/>
      </c>
      <c r="AB133" s="108">
        <f>ABS(AN133-AN$1)</f>
        <v/>
      </c>
      <c r="AC133" s="108" t="n"/>
      <c r="AD133" s="108" t="n"/>
      <c r="AE133" s="108">
        <f>ABS(AQ$1-AQ133)</f>
        <v/>
      </c>
      <c r="AF133" s="108">
        <f>ABS(AR$1-AR133)</f>
        <v/>
      </c>
      <c r="AG133" s="108">
        <f>ABS(AS$1-AS133)</f>
        <v/>
      </c>
      <c r="AH133" s="108">
        <f>ABS(AT$1-AT133)</f>
        <v/>
      </c>
      <c r="AI133" s="108">
        <f>ABS(AU$1-AU133)</f>
        <v/>
      </c>
      <c r="AJ133" s="108">
        <f>(AV133-Driver!$K$179)/(Driver!$L$179-Driver!$K$179)</f>
        <v/>
      </c>
      <c r="AK133" s="108">
        <f>(AW133-Driver!$K$180)/(Driver!$L$180-Driver!$K$180)</f>
        <v/>
      </c>
      <c r="AL133" s="108">
        <f>(AX133-Driver!$K$181)/(Driver!$L$181-Driver!$K$181)</f>
        <v/>
      </c>
      <c r="AM133" s="108">
        <f>(AY133-Driver!$K$182)/(Driver!$L$182-Driver!$K$182)</f>
        <v/>
      </c>
      <c r="AN133" s="108">
        <f>(AZ133-Driver!$K$183)/(Driver!$L$183-Driver!$K$183)</f>
        <v/>
      </c>
      <c r="AO133" s="108" t="n"/>
      <c r="AP133" s="108" t="n"/>
      <c r="AQ133" s="108">
        <f>(BC133-Driver!$K$188)/(Driver!$L$188-Driver!$K$188)</f>
        <v/>
      </c>
      <c r="AR133" s="108">
        <f>MIN((BD133-Driver!$K$189)/(Driver!$L$189-Driver!$K$189),100%)</f>
        <v/>
      </c>
      <c r="AS133" s="108">
        <f>(BE133-Driver!$K$190)/(Driver!$L$190-Driver!$K$190)</f>
        <v/>
      </c>
      <c r="AT133" s="108">
        <f>(BF133-Driver!$K$191)/(Driver!$L$191-Driver!$K$191)</f>
        <v/>
      </c>
      <c r="AU133" s="108">
        <f>(BG133-Driver!$K$192)/(Driver!$L$192-Driver!$K$192)</f>
        <v/>
      </c>
      <c r="AV133" s="105">
        <f>IFERROR(BM133*BJ133^1/4,"")</f>
        <v/>
      </c>
      <c r="AW133" s="105">
        <f>IFERROR(SUM(AX133:AZ133),"")</f>
        <v/>
      </c>
      <c r="AX133" s="105">
        <f>IFERROR(BH133,"")</f>
        <v/>
      </c>
      <c r="AY133" s="105">
        <f>IFERROR(Driver!$K$19/Data!BH133/Data!BI133*Data!BK133*Data!BL133,"")</f>
        <v/>
      </c>
      <c r="AZ133" s="105">
        <f>IFERROR(BI133*BN133,"")</f>
        <v/>
      </c>
      <c r="BA133" s="105" t="n"/>
      <c r="BB133" s="105" t="n"/>
      <c r="BC133" s="105">
        <f>IFERROR(BI133*BN133*BK133/BJ133^(1/2),"")</f>
        <v/>
      </c>
      <c r="BD133" s="105">
        <f>IFERROR(BH133*BM133*BL133/BJ133/BK133,"")</f>
        <v/>
      </c>
      <c r="BE133" s="105">
        <f>IFERROR(MIN(BI133/BQ133/BP133/BO133/BH133,$BE$1),"")</f>
        <v/>
      </c>
      <c r="BF133" s="105">
        <f>IFERROR(BJ133*BO133*BP133/BK133,"")</f>
        <v/>
      </c>
      <c r="BG133" s="105">
        <f>IFERROR(1/BM133/BH133*BQ133,"")</f>
        <v/>
      </c>
      <c r="BH133" s="102">
        <f>MAX((CE133-Driver!$F$200)/(Driver!$G$200-Driver!$F$200)*$BI$1,1)</f>
        <v/>
      </c>
      <c r="BI133" s="102">
        <f>MAX($BI$1*(BY133-Driver!$F$201)/(Driver!$G$201-Driver!$F$201),1)</f>
        <v/>
      </c>
      <c r="BJ133" s="102">
        <f>(CB133-Driver!$F$206)/(Driver!$G$206-Driver!$F$206)*$BI$1</f>
        <v/>
      </c>
      <c r="BK133" s="102">
        <f>(CD133-Driver!$F$203)/(Driver!$G$203-Driver!$F$203)*$BI$1</f>
        <v/>
      </c>
      <c r="BL133" s="102">
        <f>MAX((CR133-Driver!$F$202)/(Driver!$G$202-Driver!$F$202)*$BI$1,1)</f>
        <v/>
      </c>
      <c r="BM133" s="102">
        <f>MAX((CH133-Driver!$F$204)/(Driver!$G$204-Driver!$F$204)*$BI$1,1)</f>
        <v/>
      </c>
      <c r="BN133" s="102">
        <f>(CI133-Driver!$F$205)/(Driver!$G$205-Driver!$F$205)*$BI$1</f>
        <v/>
      </c>
      <c r="BO133" s="102">
        <f>(CK133-Driver!$F$207)/(Driver!$G$207-Driver!$F$207)*$BI$1</f>
        <v/>
      </c>
      <c r="BP133" s="102">
        <f>(CM133-Driver!$F$208)/(Driver!$G$208-Driver!$F$208)*$BI$1</f>
        <v/>
      </c>
      <c r="BQ133" s="102">
        <f>(CL133-Driver!$F$209)/(Driver!$G$209-Driver!$F$209)*$BI$1</f>
        <v/>
      </c>
      <c r="BR133" s="40" t="inlineStr">
        <is>
          <t>21/22</t>
        </is>
      </c>
      <c r="BS133" s="10" t="inlineStr">
        <is>
          <t xml:space="preserve"> Stöckli</t>
        </is>
      </c>
      <c r="BT133" s="11" t="inlineStr">
        <is>
          <t>Nela 96</t>
        </is>
      </c>
      <c r="BU133" s="13" t="n">
        <v>156</v>
      </c>
      <c r="BV133" s="11" t="inlineStr">
        <is>
          <t xml:space="preserve"> Women's</t>
        </is>
      </c>
      <c r="BW133" s="13" t="n">
        <v>156</v>
      </c>
      <c r="BX133" s="13" t="n">
        <v>155.3</v>
      </c>
      <c r="BY133" s="13" t="n">
        <v>126</v>
      </c>
      <c r="BZ133" s="13" t="n">
        <v>134</v>
      </c>
      <c r="CA133" s="13" t="n">
        <v>133</v>
      </c>
      <c r="CB133" s="13" t="n">
        <v>96</v>
      </c>
      <c r="CC133" s="13" t="n">
        <v>120</v>
      </c>
      <c r="CD133" s="13" t="n">
        <v>13.6</v>
      </c>
      <c r="CE133" s="13" t="n">
        <v>1585</v>
      </c>
      <c r="CF133" s="13" t="n">
        <v>1.06</v>
      </c>
      <c r="CG133" s="13" t="n">
        <v>1673</v>
      </c>
      <c r="CH133" s="13" t="n">
        <v>168</v>
      </c>
      <c r="CI133" s="13" t="n">
        <v>95</v>
      </c>
      <c r="CJ133" s="13" t="n">
        <v>45</v>
      </c>
      <c r="CK133" s="13" t="n">
        <v>211</v>
      </c>
      <c r="CL133" s="13" t="n">
        <v>9</v>
      </c>
      <c r="CM133" s="13" t="n">
        <v>79</v>
      </c>
      <c r="CN133" s="13" t="n">
        <v>0.197</v>
      </c>
      <c r="CO133" s="13" t="n">
        <v>155</v>
      </c>
      <c r="CP133" s="13" t="n">
        <v>55</v>
      </c>
      <c r="CQ133" s="13" t="n">
        <v>55</v>
      </c>
      <c r="CR133" s="13" t="n">
        <v>4</v>
      </c>
      <c r="CS133" s="13" t="n">
        <v>12.7</v>
      </c>
      <c r="CT133" s="11" t="inlineStr">
        <is>
          <t xml:space="preserve"> Resort Freeride</t>
        </is>
      </c>
      <c r="CU133" s="11" t="inlineStr">
        <is>
          <t xml:space="preserve"> Touring</t>
        </is>
      </c>
      <c r="CV133" s="13" t="n"/>
      <c r="CW133" s="13" t="n"/>
      <c r="CX133">
        <f>INDEX('Data_Price '!AG$2:AG$1266,MATCH(Data!$DN133,'Data_Price '!$AT$2:$AT$1266,0))</f>
        <v/>
      </c>
      <c r="CY133">
        <f>INDEX('Data_Price '!AH$2:AH$1266,MATCH(Data!$DN133,'Data_Price '!$AT$2:$AT$1266,0))</f>
        <v/>
      </c>
      <c r="CZ133">
        <f>INDEX('Data_Price '!AI$2:AI$1266,MATCH(Data!$DN133,'Data_Price '!$AT$2:$AT$1266,0))</f>
        <v/>
      </c>
      <c r="DA133">
        <f>INDEX('Data_Price '!AJ$2:AJ$1266,MATCH(Data!$DN133,'Data_Price '!$AT$2:$AT$1266,0))</f>
        <v/>
      </c>
      <c r="DB133">
        <f>INDEX('Data_Price '!AK$2:AK$1266,MATCH(Data!$DN133,'Data_Price '!$AT$2:$AT$1266,0))</f>
        <v/>
      </c>
      <c r="DC133">
        <f>INDEX('Data_Price '!AL$2:AL$1266,MATCH(Data!$DN133,'Data_Price '!$AT$2:$AT$1266,0))</f>
        <v/>
      </c>
      <c r="DD133">
        <f>INDEX('Data_Price '!AM$2:AM$1266,MATCH(Data!$DN133,'Data_Price '!$AT$2:$AT$1266,0))</f>
        <v/>
      </c>
      <c r="DE133">
        <f>INDEX('Data_Price '!AN$2:AN$1266,MATCH(Data!$DN133,'Data_Price '!$AT$2:$AT$1266,0))</f>
        <v/>
      </c>
      <c r="DF133">
        <f>INDEX('Data_Price '!AO$2:AO$1266,MATCH(Data!$DN133,'Data_Price '!$AT$2:$AT$1266,0))</f>
        <v/>
      </c>
      <c r="DG133">
        <f>INDEX('Data_Price '!AP$2:AP$1266,MATCH(Data!$DN133,'Data_Price '!$AT$2:$AT$1266,0))</f>
        <v/>
      </c>
      <c r="DH133">
        <f>INDEX('Data_Price '!AQ$2:AQ$1266,MATCH(Data!$DN133,'Data_Price '!$AT$2:$AT$1266,0))</f>
        <v/>
      </c>
      <c r="DI133">
        <f>INDEX('Data_Price '!AR$2:AR$1266,MATCH(Data!$DN133,'Data_Price '!$AT$2:$AT$1266,0))</f>
        <v/>
      </c>
      <c r="DJ133" s="138">
        <f>DA133</f>
        <v/>
      </c>
      <c r="DK133" s="138">
        <f>DE133</f>
        <v/>
      </c>
      <c r="DL133" s="138">
        <f>DI133</f>
        <v/>
      </c>
      <c r="DM133" s="303">
        <f>IF(LEFT(BT133,1)=" ",RIGHT(BT133,LEN(BT133)-1),BT133)</f>
        <v/>
      </c>
      <c r="DN133" s="138">
        <f>_xlfn.CONCAT(BS133,DM133,BU133,BV133)</f>
        <v/>
      </c>
      <c r="DO133" s="307" t="inlineStr">
        <is>
          <t>https://images.evo.com/imgp/250/208927/857955/stockli-nela-96-skis-women-s-2022-.jpg</t>
        </is>
      </c>
    </row>
    <row r="134" ht="15.6" customHeight="1" s="184">
      <c r="B134" s="303">
        <f t="array" ref="B134">IF(OR(ISERROR(K134:P134)),FALSE,TRUE)</f>
        <v/>
      </c>
      <c r="C134" s="60">
        <f>OR(BR134=Driver!$G$50,Data!BR675=Driver!$H$50)</f>
        <v/>
      </c>
      <c r="D134" s="60">
        <f>OR(BV134=Driver!$G$51,BV134=Driver!$H$51)</f>
        <v/>
      </c>
      <c r="E134" s="60">
        <f>AND(BX134&gt;Driver!$F$54,BX134&lt;Driver!$G$54)</f>
        <v/>
      </c>
      <c r="F134" s="60">
        <f>CL134&gt;Driver!$F$56</f>
        <v/>
      </c>
      <c r="G134" s="60">
        <f>AND(CB134&gt;Driver!$F$55,CB134&lt;Driver!$G$55)</f>
        <v/>
      </c>
      <c r="H134" s="60">
        <f>AND(B134:G134)</f>
        <v/>
      </c>
      <c r="I134" s="60">
        <f>COUNTIFS($H$9:$H$1273,TRUE,$BT$9:$BT$1273,BT134)</f>
        <v/>
      </c>
      <c r="J134" s="60">
        <f t="array" ref="J134">NOT(OR(($H$9:$H$1273=TRUE)*($I$9:$I$1273&gt;0)*($BT$9:$BT$1273=BT134)*($K$9:$K$1273&gt;K134)))</f>
        <v/>
      </c>
      <c r="K134" s="108">
        <f>IFERROR(1-AVERAGE(X134:Y134),"")</f>
        <v/>
      </c>
      <c r="L134" s="108">
        <f>1-X134</f>
        <v/>
      </c>
      <c r="M134" s="108">
        <f>1-Y134</f>
        <v/>
      </c>
      <c r="N134" s="108">
        <f>1-Z134</f>
        <v/>
      </c>
      <c r="O134" s="108">
        <f>1-AA134</f>
        <v/>
      </c>
      <c r="P134" s="108">
        <f>1-AB134</f>
        <v/>
      </c>
      <c r="Q134" s="108" t="n"/>
      <c r="R134" s="108" t="n"/>
      <c r="S134" s="108">
        <f>1-AE134</f>
        <v/>
      </c>
      <c r="T134" s="108">
        <f>1-AF134</f>
        <v/>
      </c>
      <c r="U134" s="108">
        <f>1-AG134</f>
        <v/>
      </c>
      <c r="V134" s="108">
        <f>1-AH134</f>
        <v/>
      </c>
      <c r="W134" s="108">
        <f>1-AI134</f>
        <v/>
      </c>
      <c r="X134" s="108">
        <f>ABS(AJ134-AJ$1)</f>
        <v/>
      </c>
      <c r="Y134" s="108">
        <f>AVERAGE(Z134:AB134)</f>
        <v/>
      </c>
      <c r="Z134" s="108">
        <f>ABS(AL134-AL$1)</f>
        <v/>
      </c>
      <c r="AA134" s="108">
        <f>ABS(AM134-AM$1)</f>
        <v/>
      </c>
      <c r="AB134" s="108">
        <f>ABS(AN134-AN$1)</f>
        <v/>
      </c>
      <c r="AC134" s="108" t="n"/>
      <c r="AD134" s="108" t="n"/>
      <c r="AE134" s="108">
        <f>ABS(AQ$1-AQ134)</f>
        <v/>
      </c>
      <c r="AF134" s="108">
        <f>ABS(AR$1-AR134)</f>
        <v/>
      </c>
      <c r="AG134" s="108">
        <f>ABS(AS$1-AS134)</f>
        <v/>
      </c>
      <c r="AH134" s="108">
        <f>ABS(AT$1-AT134)</f>
        <v/>
      </c>
      <c r="AI134" s="108">
        <f>ABS(AU$1-AU134)</f>
        <v/>
      </c>
      <c r="AJ134" s="108">
        <f>(AV134-Driver!$K$179)/(Driver!$L$179-Driver!$K$179)</f>
        <v/>
      </c>
      <c r="AK134" s="108">
        <f>(AW134-Driver!$K$180)/(Driver!$L$180-Driver!$K$180)</f>
        <v/>
      </c>
      <c r="AL134" s="108">
        <f>(AX134-Driver!$K$181)/(Driver!$L$181-Driver!$K$181)</f>
        <v/>
      </c>
      <c r="AM134" s="108">
        <f>(AY134-Driver!$K$182)/(Driver!$L$182-Driver!$K$182)</f>
        <v/>
      </c>
      <c r="AN134" s="108">
        <f>(AZ134-Driver!$K$183)/(Driver!$L$183-Driver!$K$183)</f>
        <v/>
      </c>
      <c r="AO134" s="108" t="n"/>
      <c r="AP134" s="108" t="n"/>
      <c r="AQ134" s="108">
        <f>(BC134-Driver!$K$188)/(Driver!$L$188-Driver!$K$188)</f>
        <v/>
      </c>
      <c r="AR134" s="108">
        <f>MIN((BD134-Driver!$K$189)/(Driver!$L$189-Driver!$K$189),100%)</f>
        <v/>
      </c>
      <c r="AS134" s="108">
        <f>(BE134-Driver!$K$190)/(Driver!$L$190-Driver!$K$190)</f>
        <v/>
      </c>
      <c r="AT134" s="108">
        <f>(BF134-Driver!$K$191)/(Driver!$L$191-Driver!$K$191)</f>
        <v/>
      </c>
      <c r="AU134" s="108">
        <f>(BG134-Driver!$K$192)/(Driver!$L$192-Driver!$K$192)</f>
        <v/>
      </c>
      <c r="AV134" s="105">
        <f>IFERROR(BM134*BJ134^1/4,"")</f>
        <v/>
      </c>
      <c r="AW134" s="105">
        <f>IFERROR(SUM(AX134:AZ134),"")</f>
        <v/>
      </c>
      <c r="AX134" s="105">
        <f>IFERROR(BH134,"")</f>
        <v/>
      </c>
      <c r="AY134" s="105">
        <f>IFERROR(Driver!$K$19/Data!BH134/Data!BI134*Data!BK134*Data!BL134,"")</f>
        <v/>
      </c>
      <c r="AZ134" s="105">
        <f>IFERROR(BI134*BN134,"")</f>
        <v/>
      </c>
      <c r="BA134" s="105" t="n"/>
      <c r="BB134" s="105" t="n"/>
      <c r="BC134" s="105">
        <f>IFERROR(BI134*BN134*BK134/BJ134^(1/2),"")</f>
        <v/>
      </c>
      <c r="BD134" s="105">
        <f>IFERROR(BH134*BM134*BL134/BJ134/BK134,"")</f>
        <v/>
      </c>
      <c r="BE134" s="105">
        <f>IFERROR(MIN(BI134/BQ134/BP134/BO134/BH134,$BE$1),"")</f>
        <v/>
      </c>
      <c r="BF134" s="105">
        <f>IFERROR(BJ134*BO134*BP134/BK134,"")</f>
        <v/>
      </c>
      <c r="BG134" s="105">
        <f>IFERROR(1/BM134/BH134*BQ134,"")</f>
        <v/>
      </c>
      <c r="BH134" s="102">
        <f>MAX((CE134-Driver!$F$200)/(Driver!$G$200-Driver!$F$200)*$BI$1,1)</f>
        <v/>
      </c>
      <c r="BI134" s="102">
        <f>MAX($BI$1*(BY134-Driver!$F$201)/(Driver!$G$201-Driver!$F$201),1)</f>
        <v/>
      </c>
      <c r="BJ134" s="102">
        <f>(CB134-Driver!$F$206)/(Driver!$G$206-Driver!$F$206)*$BI$1</f>
        <v/>
      </c>
      <c r="BK134" s="102">
        <f>(CD134-Driver!$F$203)/(Driver!$G$203-Driver!$F$203)*$BI$1</f>
        <v/>
      </c>
      <c r="BL134" s="102">
        <f>MAX((CR134-Driver!$F$202)/(Driver!$G$202-Driver!$F$202)*$BI$1,1)</f>
        <v/>
      </c>
      <c r="BM134" s="102">
        <f>MAX((CH134-Driver!$F$204)/(Driver!$G$204-Driver!$F$204)*$BI$1,1)</f>
        <v/>
      </c>
      <c r="BN134" s="102">
        <f>(CI134-Driver!$F$205)/(Driver!$G$205-Driver!$F$205)*$BI$1</f>
        <v/>
      </c>
      <c r="BO134" s="102">
        <f>(CK134-Driver!$F$207)/(Driver!$G$207-Driver!$F$207)*$BI$1</f>
        <v/>
      </c>
      <c r="BP134" s="102">
        <f>(CM134-Driver!$F$208)/(Driver!$G$208-Driver!$F$208)*$BI$1</f>
        <v/>
      </c>
      <c r="BQ134" s="102">
        <f>(CL134-Driver!$F$209)/(Driver!$G$209-Driver!$F$209)*$BI$1</f>
        <v/>
      </c>
      <c r="BR134" s="40" t="inlineStr">
        <is>
          <t>21/22</t>
        </is>
      </c>
      <c r="BS134" s="10" t="inlineStr">
        <is>
          <t xml:space="preserve"> Icelantic</t>
        </is>
      </c>
      <c r="BT134" s="11" t="inlineStr">
        <is>
          <t>Natural 101</t>
        </is>
      </c>
      <c r="BU134" s="13" t="n">
        <v>171</v>
      </c>
      <c r="BV134" s="11" t="inlineStr">
        <is>
          <t xml:space="preserve"> Unisex</t>
        </is>
      </c>
      <c r="BW134" s="13" t="n">
        <v>171</v>
      </c>
      <c r="BX134" s="13" t="n">
        <v>168.6</v>
      </c>
      <c r="BY134" s="13" t="n">
        <v>118</v>
      </c>
      <c r="BZ134" s="13" t="n">
        <v>134</v>
      </c>
      <c r="CA134" s="13" t="n">
        <v>132</v>
      </c>
      <c r="CB134" s="13" t="n">
        <v>101</v>
      </c>
      <c r="CC134" s="13" t="n">
        <v>116</v>
      </c>
      <c r="CD134" s="13" t="n">
        <v>18.8</v>
      </c>
      <c r="CE134" s="13" t="n">
        <v>1582</v>
      </c>
      <c r="CF134" s="13" t="n">
        <v>1.17</v>
      </c>
      <c r="CG134" s="13" t="n">
        <v>1854</v>
      </c>
      <c r="CH134" s="13" t="n">
        <v>211</v>
      </c>
      <c r="CI134" s="13" t="n">
        <v>88</v>
      </c>
      <c r="CJ134" s="13" t="n">
        <v>64</v>
      </c>
      <c r="CK134" s="13" t="n">
        <v>329</v>
      </c>
      <c r="CL134" s="13" t="n">
        <v>25</v>
      </c>
      <c r="CM134" s="13" t="n">
        <v>177</v>
      </c>
      <c r="CN134" s="13" t="n">
        <v>0.395</v>
      </c>
      <c r="CO134" s="13" t="n">
        <v>238</v>
      </c>
      <c r="CP134" s="13" t="n">
        <v>105</v>
      </c>
      <c r="CQ134" s="13" t="n">
        <v>91</v>
      </c>
      <c r="CR134" s="13" t="n">
        <v>5</v>
      </c>
      <c r="CS134" s="13" t="n">
        <v>9.5</v>
      </c>
      <c r="CT134" s="11" t="inlineStr">
        <is>
          <t xml:space="preserve"> Resort Freeride</t>
        </is>
      </c>
      <c r="CU134" s="11" t="inlineStr">
        <is>
          <t xml:space="preserve"> Powder</t>
        </is>
      </c>
      <c r="CV134" s="11" t="inlineStr">
        <is>
          <t xml:space="preserve"> Big Mountain</t>
        </is>
      </c>
      <c r="CW134" s="11" t="inlineStr">
        <is>
          <t xml:space="preserve"> Touring</t>
        </is>
      </c>
      <c r="CX134">
        <f>INDEX('Data_Price '!AG$2:AG$1266,MATCH(Data!$DN134,'Data_Price '!$AT$2:$AT$1266,0))</f>
        <v/>
      </c>
      <c r="CY134">
        <f>INDEX('Data_Price '!AH$2:AH$1266,MATCH(Data!$DN134,'Data_Price '!$AT$2:$AT$1266,0))</f>
        <v/>
      </c>
      <c r="CZ134">
        <f>INDEX('Data_Price '!AI$2:AI$1266,MATCH(Data!$DN134,'Data_Price '!$AT$2:$AT$1266,0))</f>
        <v/>
      </c>
      <c r="DA134">
        <f>INDEX('Data_Price '!AJ$2:AJ$1266,MATCH(Data!$DN134,'Data_Price '!$AT$2:$AT$1266,0))</f>
        <v/>
      </c>
      <c r="DB134">
        <f>INDEX('Data_Price '!AK$2:AK$1266,MATCH(Data!$DN134,'Data_Price '!$AT$2:$AT$1266,0))</f>
        <v/>
      </c>
      <c r="DC134">
        <f>INDEX('Data_Price '!AL$2:AL$1266,MATCH(Data!$DN134,'Data_Price '!$AT$2:$AT$1266,0))</f>
        <v/>
      </c>
      <c r="DD134">
        <f>INDEX('Data_Price '!AM$2:AM$1266,MATCH(Data!$DN134,'Data_Price '!$AT$2:$AT$1266,0))</f>
        <v/>
      </c>
      <c r="DE134">
        <f>INDEX('Data_Price '!AN$2:AN$1266,MATCH(Data!$DN134,'Data_Price '!$AT$2:$AT$1266,0))</f>
        <v/>
      </c>
      <c r="DF134">
        <f>INDEX('Data_Price '!AO$2:AO$1266,MATCH(Data!$DN134,'Data_Price '!$AT$2:$AT$1266,0))</f>
        <v/>
      </c>
      <c r="DG134">
        <f>INDEX('Data_Price '!AP$2:AP$1266,MATCH(Data!$DN134,'Data_Price '!$AT$2:$AT$1266,0))</f>
        <v/>
      </c>
      <c r="DH134">
        <f>INDEX('Data_Price '!AQ$2:AQ$1266,MATCH(Data!$DN134,'Data_Price '!$AT$2:$AT$1266,0))</f>
        <v/>
      </c>
      <c r="DI134">
        <f>INDEX('Data_Price '!AR$2:AR$1266,MATCH(Data!$DN134,'Data_Price '!$AT$2:$AT$1266,0))</f>
        <v/>
      </c>
      <c r="DJ134" s="138">
        <f>DA134</f>
        <v/>
      </c>
      <c r="DK134" s="138">
        <f>DE134</f>
        <v/>
      </c>
      <c r="DL134" s="138">
        <f>DI134</f>
        <v/>
      </c>
      <c r="DM134" s="303">
        <f>IF(LEFT(BT134,1)=" ",RIGHT(BT134,LEN(BT134)-1),BT134)</f>
        <v/>
      </c>
      <c r="DN134" s="138">
        <f>_xlfn.CONCAT(BS134,DM134,BU134,BV134)</f>
        <v/>
      </c>
      <c r="DO134" s="307" t="inlineStr">
        <is>
          <t>https://images.evo.com/imgp/250/208408/833108/icelantic-natural-101-skis-2022-.jpg</t>
        </is>
      </c>
    </row>
    <row r="135" ht="15.6" customHeight="1" s="184">
      <c r="B135" s="303">
        <f t="array" ref="B135">IF(OR(ISERROR(K135:P135)),FALSE,TRUE)</f>
        <v/>
      </c>
      <c r="C135" s="60">
        <f>OR(BR135=Driver!$G$50,Data!BR213=Driver!$H$50)</f>
        <v/>
      </c>
      <c r="D135" s="60">
        <f>OR(BV135=Driver!$G$51,BV135=Driver!$H$51)</f>
        <v/>
      </c>
      <c r="E135" s="60">
        <f>AND(BX135&gt;Driver!$F$54,BX135&lt;Driver!$G$54)</f>
        <v/>
      </c>
      <c r="F135" s="60">
        <f>CL135&gt;Driver!$F$56</f>
        <v/>
      </c>
      <c r="G135" s="60">
        <f>AND(CB135&gt;Driver!$F$55,CB135&lt;Driver!$G$55)</f>
        <v/>
      </c>
      <c r="H135" s="60">
        <f>AND(B135:G135)</f>
        <v/>
      </c>
      <c r="I135" s="60">
        <f>COUNTIFS($H$9:$H$1273,TRUE,$BT$9:$BT$1273,BT135)</f>
        <v/>
      </c>
      <c r="J135" s="60">
        <f t="array" ref="J135">NOT(OR(($H$9:$H$1273=TRUE)*($I$9:$I$1273&gt;0)*($BT$9:$BT$1273=BT135)*($K$9:$K$1273&gt;K135)))</f>
        <v/>
      </c>
      <c r="K135" s="108">
        <f>IFERROR(1-AVERAGE(X135:Y135),"")</f>
        <v/>
      </c>
      <c r="L135" s="108">
        <f>1-X135</f>
        <v/>
      </c>
      <c r="M135" s="108">
        <f>1-Y135</f>
        <v/>
      </c>
      <c r="N135" s="108">
        <f>1-Z135</f>
        <v/>
      </c>
      <c r="O135" s="108">
        <f>1-AA135</f>
        <v/>
      </c>
      <c r="P135" s="108">
        <f>1-AB135</f>
        <v/>
      </c>
      <c r="Q135" s="108" t="n"/>
      <c r="R135" s="108" t="n"/>
      <c r="S135" s="108">
        <f>1-AE135</f>
        <v/>
      </c>
      <c r="T135" s="108">
        <f>1-AF135</f>
        <v/>
      </c>
      <c r="U135" s="108">
        <f>1-AG135</f>
        <v/>
      </c>
      <c r="V135" s="108">
        <f>1-AH135</f>
        <v/>
      </c>
      <c r="W135" s="108">
        <f>1-AI135</f>
        <v/>
      </c>
      <c r="X135" s="108">
        <f>ABS(AJ135-AJ$1)</f>
        <v/>
      </c>
      <c r="Y135" s="108">
        <f>AVERAGE(Z135:AB135)</f>
        <v/>
      </c>
      <c r="Z135" s="108">
        <f>ABS(AL135-AL$1)</f>
        <v/>
      </c>
      <c r="AA135" s="108">
        <f>ABS(AM135-AM$1)</f>
        <v/>
      </c>
      <c r="AB135" s="108">
        <f>ABS(AN135-AN$1)</f>
        <v/>
      </c>
      <c r="AC135" s="108" t="n"/>
      <c r="AD135" s="108" t="n"/>
      <c r="AE135" s="108">
        <f>ABS(AQ$1-AQ135)</f>
        <v/>
      </c>
      <c r="AF135" s="108">
        <f>ABS(AR$1-AR135)</f>
        <v/>
      </c>
      <c r="AG135" s="108">
        <f>ABS(AS$1-AS135)</f>
        <v/>
      </c>
      <c r="AH135" s="108">
        <f>ABS(AT$1-AT135)</f>
        <v/>
      </c>
      <c r="AI135" s="108">
        <f>ABS(AU$1-AU135)</f>
        <v/>
      </c>
      <c r="AJ135" s="108">
        <f>(AV135-Driver!$K$179)/(Driver!$L$179-Driver!$K$179)</f>
        <v/>
      </c>
      <c r="AK135" s="108">
        <f>(AW135-Driver!$K$180)/(Driver!$L$180-Driver!$K$180)</f>
        <v/>
      </c>
      <c r="AL135" s="108">
        <f>(AX135-Driver!$K$181)/(Driver!$L$181-Driver!$K$181)</f>
        <v/>
      </c>
      <c r="AM135" s="108">
        <f>(AY135-Driver!$K$182)/(Driver!$L$182-Driver!$K$182)</f>
        <v/>
      </c>
      <c r="AN135" s="108">
        <f>(AZ135-Driver!$K$183)/(Driver!$L$183-Driver!$K$183)</f>
        <v/>
      </c>
      <c r="AO135" s="108" t="n"/>
      <c r="AP135" s="108" t="n"/>
      <c r="AQ135" s="108">
        <f>(BC135-Driver!$K$188)/(Driver!$L$188-Driver!$K$188)</f>
        <v/>
      </c>
      <c r="AR135" s="108">
        <f>MIN((BD135-Driver!$K$189)/(Driver!$L$189-Driver!$K$189),100%)</f>
        <v/>
      </c>
      <c r="AS135" s="108">
        <f>(BE135-Driver!$K$190)/(Driver!$L$190-Driver!$K$190)</f>
        <v/>
      </c>
      <c r="AT135" s="108">
        <f>(BF135-Driver!$K$191)/(Driver!$L$191-Driver!$K$191)</f>
        <v/>
      </c>
      <c r="AU135" s="108">
        <f>(BG135-Driver!$K$192)/(Driver!$L$192-Driver!$K$192)</f>
        <v/>
      </c>
      <c r="AV135" s="105">
        <f>IFERROR(BM135*BJ135^1/4,"")</f>
        <v/>
      </c>
      <c r="AW135" s="105">
        <f>IFERROR(SUM(AX135:AZ135),"")</f>
        <v/>
      </c>
      <c r="AX135" s="105">
        <f>IFERROR(BH135,"")</f>
        <v/>
      </c>
      <c r="AY135" s="105">
        <f>IFERROR(Driver!$K$19/Data!BH135/Data!BI135*Data!BK135*Data!BL135,"")</f>
        <v/>
      </c>
      <c r="AZ135" s="105">
        <f>IFERROR(BI135*BN135,"")</f>
        <v/>
      </c>
      <c r="BA135" s="105" t="n"/>
      <c r="BB135" s="105" t="n"/>
      <c r="BC135" s="105">
        <f>IFERROR(BI135*BN135*BK135/BJ135^(1/2),"")</f>
        <v/>
      </c>
      <c r="BD135" s="105">
        <f>IFERROR(BH135*BM135*BL135/BJ135/BK135,"")</f>
        <v/>
      </c>
      <c r="BE135" s="105">
        <f>IFERROR(MIN(BI135/BQ135/BP135/BO135/BH135,$BE$1),"")</f>
        <v/>
      </c>
      <c r="BF135" s="105">
        <f>IFERROR(BJ135*BO135*BP135/BK135,"")</f>
        <v/>
      </c>
      <c r="BG135" s="105">
        <f>IFERROR(1/BM135/BH135*BQ135,"")</f>
        <v/>
      </c>
      <c r="BH135" s="102">
        <f>MAX((CE135-Driver!$F$200)/(Driver!$G$200-Driver!$F$200)*$BI$1,1)</f>
        <v/>
      </c>
      <c r="BI135" s="102">
        <f>MAX($BI$1*(BY135-Driver!$F$201)/(Driver!$G$201-Driver!$F$201),1)</f>
        <v/>
      </c>
      <c r="BJ135" s="102">
        <f>(CB135-Driver!$F$206)/(Driver!$G$206-Driver!$F$206)*$BI$1</f>
        <v/>
      </c>
      <c r="BK135" s="102">
        <f>(CD135-Driver!$F$203)/(Driver!$G$203-Driver!$F$203)*$BI$1</f>
        <v/>
      </c>
      <c r="BL135" s="102">
        <f>MAX((CR135-Driver!$F$202)/(Driver!$G$202-Driver!$F$202)*$BI$1,1)</f>
        <v/>
      </c>
      <c r="BM135" s="102">
        <f>MAX((CH135-Driver!$F$204)/(Driver!$G$204-Driver!$F$204)*$BI$1,1)</f>
        <v/>
      </c>
      <c r="BN135" s="102">
        <f>(CI135-Driver!$F$205)/(Driver!$G$205-Driver!$F$205)*$BI$1</f>
        <v/>
      </c>
      <c r="BO135" s="102">
        <f>(CK135-Driver!$F$207)/(Driver!$G$207-Driver!$F$207)*$BI$1</f>
        <v/>
      </c>
      <c r="BP135" s="102">
        <f>(CM135-Driver!$F$208)/(Driver!$G$208-Driver!$F$208)*$BI$1</f>
        <v/>
      </c>
      <c r="BQ135" s="102">
        <f>(CL135-Driver!$F$209)/(Driver!$G$209-Driver!$F$209)*$BI$1</f>
        <v/>
      </c>
      <c r="BR135" s="40" t="inlineStr">
        <is>
          <t>21/22</t>
        </is>
      </c>
      <c r="BS135" s="10" t="inlineStr">
        <is>
          <t xml:space="preserve"> Black Crows</t>
        </is>
      </c>
      <c r="BT135" s="11" t="inlineStr">
        <is>
          <t xml:space="preserve"> Camox Freebird</t>
        </is>
      </c>
      <c r="BU135" s="13" t="n">
        <v>183.3</v>
      </c>
      <c r="BV135" s="11" t="inlineStr">
        <is>
          <t xml:space="preserve"> Unisex</t>
        </is>
      </c>
      <c r="BW135" s="13" t="n">
        <v>183.3</v>
      </c>
      <c r="BX135" s="13" t="n">
        <v>182.3</v>
      </c>
      <c r="BY135" s="13" t="n">
        <v>141</v>
      </c>
      <c r="BZ135" s="13" t="n">
        <v>150</v>
      </c>
      <c r="CA135" s="13" t="n">
        <v>136</v>
      </c>
      <c r="CB135" s="13" t="n">
        <v>95</v>
      </c>
      <c r="CC135" s="13" t="n">
        <v>116</v>
      </c>
      <c r="CD135" s="13" t="n">
        <v>17.3</v>
      </c>
      <c r="CE135" s="13" t="n">
        <v>1615</v>
      </c>
      <c r="CF135" s="13" t="n">
        <v>1.22</v>
      </c>
      <c r="CG135" s="13" t="n">
        <v>1966</v>
      </c>
      <c r="CH135" s="13" t="n">
        <v>229</v>
      </c>
      <c r="CI135" s="13" t="n">
        <v>113</v>
      </c>
      <c r="CJ135" s="13" t="n">
        <v>43</v>
      </c>
      <c r="CK135" s="13" t="n">
        <v>248</v>
      </c>
      <c r="CL135" s="13" t="n">
        <v>13</v>
      </c>
      <c r="CM135" s="13" t="n">
        <v>167</v>
      </c>
      <c r="CN135" s="13" t="n">
        <v>0.312</v>
      </c>
      <c r="CO135" s="13" t="n">
        <v>179</v>
      </c>
      <c r="CP135" s="13" t="n">
        <v>142</v>
      </c>
      <c r="CQ135" s="13" t="n">
        <v>69</v>
      </c>
      <c r="CR135" s="13" t="n">
        <v>8</v>
      </c>
      <c r="CS135" s="13" t="n">
        <v>9</v>
      </c>
      <c r="CT135" s="11" t="inlineStr">
        <is>
          <t xml:space="preserve"> Resort Freeride</t>
        </is>
      </c>
      <c r="CU135" s="11" t="inlineStr">
        <is>
          <t xml:space="preserve"> Touring</t>
        </is>
      </c>
      <c r="CV135" s="13" t="n"/>
      <c r="CW135" s="13" t="n"/>
      <c r="CX135">
        <f>INDEX('Data_Price '!AG$2:AG$1266,MATCH(Data!$DN135,'Data_Price '!$AT$2:$AT$1266,0))</f>
        <v/>
      </c>
      <c r="CY135">
        <f>INDEX('Data_Price '!AH$2:AH$1266,MATCH(Data!$DN135,'Data_Price '!$AT$2:$AT$1266,0))</f>
        <v/>
      </c>
      <c r="CZ135">
        <f>INDEX('Data_Price '!AI$2:AI$1266,MATCH(Data!$DN135,'Data_Price '!$AT$2:$AT$1266,0))</f>
        <v/>
      </c>
      <c r="DA135">
        <f>INDEX('Data_Price '!AJ$2:AJ$1266,MATCH(Data!$DN135,'Data_Price '!$AT$2:$AT$1266,0))</f>
        <v/>
      </c>
      <c r="DB135">
        <f>INDEX('Data_Price '!AK$2:AK$1266,MATCH(Data!$DN135,'Data_Price '!$AT$2:$AT$1266,0))</f>
        <v/>
      </c>
      <c r="DC135">
        <f>INDEX('Data_Price '!AL$2:AL$1266,MATCH(Data!$DN135,'Data_Price '!$AT$2:$AT$1266,0))</f>
        <v/>
      </c>
      <c r="DD135">
        <f>INDEX('Data_Price '!AM$2:AM$1266,MATCH(Data!$DN135,'Data_Price '!$AT$2:$AT$1266,0))</f>
        <v/>
      </c>
      <c r="DE135">
        <f>INDEX('Data_Price '!AN$2:AN$1266,MATCH(Data!$DN135,'Data_Price '!$AT$2:$AT$1266,0))</f>
        <v/>
      </c>
      <c r="DF135">
        <f>INDEX('Data_Price '!AO$2:AO$1266,MATCH(Data!$DN135,'Data_Price '!$AT$2:$AT$1266,0))</f>
        <v/>
      </c>
      <c r="DG135">
        <f>INDEX('Data_Price '!AP$2:AP$1266,MATCH(Data!$DN135,'Data_Price '!$AT$2:$AT$1266,0))</f>
        <v/>
      </c>
      <c r="DH135">
        <f>INDEX('Data_Price '!AQ$2:AQ$1266,MATCH(Data!$DN135,'Data_Price '!$AT$2:$AT$1266,0))</f>
        <v/>
      </c>
      <c r="DI135">
        <f>INDEX('Data_Price '!AR$2:AR$1266,MATCH(Data!$DN135,'Data_Price '!$AT$2:$AT$1266,0))</f>
        <v/>
      </c>
      <c r="DJ135" s="138">
        <f>DA135</f>
        <v/>
      </c>
      <c r="DK135" s="138">
        <f>DE135</f>
        <v/>
      </c>
      <c r="DL135" s="138">
        <f>DI135</f>
        <v/>
      </c>
      <c r="DM135" s="303">
        <f>IF(LEFT(BT135,1)=" ",RIGHT(BT135,LEN(BT135)-1),BT135)</f>
        <v/>
      </c>
      <c r="DN135" s="138">
        <f>_xlfn.CONCAT(BS135,DM135,BU135,BV135)</f>
        <v/>
      </c>
      <c r="DO135" s="307" t="inlineStr">
        <is>
          <t>https://images.evo.com/imgp/250/164658/659367/black-crows-camox-freebird-skis-2022-.jpg</t>
        </is>
      </c>
    </row>
    <row r="136" ht="15.6" customHeight="1" s="184">
      <c r="B136" s="303">
        <f t="array" ref="B136">IF(OR(ISERROR(K136:P136)),FALSE,TRUE)</f>
        <v/>
      </c>
      <c r="C136" s="60">
        <f>OR(BR136=Driver!$G$50,Data!BR244=Driver!$H$50)</f>
        <v/>
      </c>
      <c r="D136" s="60">
        <f>OR(BV136=Driver!$G$51,BV136=Driver!$H$51)</f>
        <v/>
      </c>
      <c r="E136" s="60">
        <f>AND(BX136&gt;Driver!$F$54,BX136&lt;Driver!$G$54)</f>
        <v/>
      </c>
      <c r="F136" s="60">
        <f>CL136&gt;Driver!$F$56</f>
        <v/>
      </c>
      <c r="G136" s="60">
        <f>AND(CB136&gt;Driver!$F$55,CB136&lt;Driver!$G$55)</f>
        <v/>
      </c>
      <c r="H136" s="60">
        <f>AND(B136:G136)</f>
        <v/>
      </c>
      <c r="I136" s="60">
        <f>COUNTIFS($H$9:$H$1273,TRUE,$BT$9:$BT$1273,BT136)</f>
        <v/>
      </c>
      <c r="J136" s="60">
        <f t="array" ref="J136">NOT(OR(($H$9:$H$1273=TRUE)*($I$9:$I$1273&gt;0)*($BT$9:$BT$1273=BT136)*($K$9:$K$1273&gt;K136)))</f>
        <v/>
      </c>
      <c r="K136" s="108">
        <f>IFERROR(1-AVERAGE(X136:Y136),"")</f>
        <v/>
      </c>
      <c r="L136" s="108">
        <f>1-X136</f>
        <v/>
      </c>
      <c r="M136" s="108">
        <f>1-Y136</f>
        <v/>
      </c>
      <c r="N136" s="108">
        <f>1-Z136</f>
        <v/>
      </c>
      <c r="O136" s="108">
        <f>1-AA136</f>
        <v/>
      </c>
      <c r="P136" s="108">
        <f>1-AB136</f>
        <v/>
      </c>
      <c r="Q136" s="108" t="n"/>
      <c r="R136" s="108" t="n"/>
      <c r="S136" s="108">
        <f>1-AE136</f>
        <v/>
      </c>
      <c r="T136" s="108">
        <f>1-AF136</f>
        <v/>
      </c>
      <c r="U136" s="108">
        <f>1-AG136</f>
        <v/>
      </c>
      <c r="V136" s="108">
        <f>1-AH136</f>
        <v/>
      </c>
      <c r="W136" s="108">
        <f>1-AI136</f>
        <v/>
      </c>
      <c r="X136" s="108">
        <f>ABS(AJ136-AJ$1)</f>
        <v/>
      </c>
      <c r="Y136" s="108">
        <f>AVERAGE(Z136:AB136)</f>
        <v/>
      </c>
      <c r="Z136" s="108">
        <f>ABS(AL136-AL$1)</f>
        <v/>
      </c>
      <c r="AA136" s="108">
        <f>ABS(AM136-AM$1)</f>
        <v/>
      </c>
      <c r="AB136" s="108">
        <f>ABS(AN136-AN$1)</f>
        <v/>
      </c>
      <c r="AC136" s="108" t="n"/>
      <c r="AD136" s="108" t="n"/>
      <c r="AE136" s="108">
        <f>ABS(AQ$1-AQ136)</f>
        <v/>
      </c>
      <c r="AF136" s="108">
        <f>ABS(AR$1-AR136)</f>
        <v/>
      </c>
      <c r="AG136" s="108">
        <f>ABS(AS$1-AS136)</f>
        <v/>
      </c>
      <c r="AH136" s="108">
        <f>ABS(AT$1-AT136)</f>
        <v/>
      </c>
      <c r="AI136" s="108">
        <f>ABS(AU$1-AU136)</f>
        <v/>
      </c>
      <c r="AJ136" s="108">
        <f>(AV136-Driver!$K$179)/(Driver!$L$179-Driver!$K$179)</f>
        <v/>
      </c>
      <c r="AK136" s="108">
        <f>(AW136-Driver!$K$180)/(Driver!$L$180-Driver!$K$180)</f>
        <v/>
      </c>
      <c r="AL136" s="108">
        <f>(AX136-Driver!$K$181)/(Driver!$L$181-Driver!$K$181)</f>
        <v/>
      </c>
      <c r="AM136" s="108">
        <f>(AY136-Driver!$K$182)/(Driver!$L$182-Driver!$K$182)</f>
        <v/>
      </c>
      <c r="AN136" s="108">
        <f>(AZ136-Driver!$K$183)/(Driver!$L$183-Driver!$K$183)</f>
        <v/>
      </c>
      <c r="AO136" s="108" t="n"/>
      <c r="AP136" s="108" t="n"/>
      <c r="AQ136" s="108">
        <f>(BC136-Driver!$K$188)/(Driver!$L$188-Driver!$K$188)</f>
        <v/>
      </c>
      <c r="AR136" s="108">
        <f>MIN((BD136-Driver!$K$189)/(Driver!$L$189-Driver!$K$189),100%)</f>
        <v/>
      </c>
      <c r="AS136" s="108">
        <f>(BE136-Driver!$K$190)/(Driver!$L$190-Driver!$K$190)</f>
        <v/>
      </c>
      <c r="AT136" s="108">
        <f>(BF136-Driver!$K$191)/(Driver!$L$191-Driver!$K$191)</f>
        <v/>
      </c>
      <c r="AU136" s="108">
        <f>(BG136-Driver!$K$192)/(Driver!$L$192-Driver!$K$192)</f>
        <v/>
      </c>
      <c r="AV136" s="105">
        <f>IFERROR(BM136*BJ136^1/4,"")</f>
        <v/>
      </c>
      <c r="AW136" s="105">
        <f>IFERROR(SUM(AX136:AZ136),"")</f>
        <v/>
      </c>
      <c r="AX136" s="105">
        <f>IFERROR(BH136,"")</f>
        <v/>
      </c>
      <c r="AY136" s="105">
        <f>IFERROR(Driver!$K$19/Data!BH136/Data!BI136*Data!BK136*Data!BL136,"")</f>
        <v/>
      </c>
      <c r="AZ136" s="105">
        <f>IFERROR(BI136*BN136,"")</f>
        <v/>
      </c>
      <c r="BA136" s="105" t="n"/>
      <c r="BB136" s="105" t="n"/>
      <c r="BC136" s="105">
        <f>IFERROR(BI136*BN136*BK136/BJ136^(1/2),"")</f>
        <v/>
      </c>
      <c r="BD136" s="105">
        <f>IFERROR(BH136*BM136*BL136/BJ136/BK136,"")</f>
        <v/>
      </c>
      <c r="BE136" s="105">
        <f>IFERROR(MIN(BI136/BQ136/BP136/BO136/BH136,$BE$1),"")</f>
        <v/>
      </c>
      <c r="BF136" s="105">
        <f>IFERROR(BJ136*BO136*BP136/BK136,"")</f>
        <v/>
      </c>
      <c r="BG136" s="105">
        <f>IFERROR(1/BM136/BH136*BQ136,"")</f>
        <v/>
      </c>
      <c r="BH136" s="102">
        <f>MAX((CE136-Driver!$F$200)/(Driver!$G$200-Driver!$F$200)*$BI$1,1)</f>
        <v/>
      </c>
      <c r="BI136" s="102">
        <f>MAX($BI$1*(BY136-Driver!$F$201)/(Driver!$G$201-Driver!$F$201),1)</f>
        <v/>
      </c>
      <c r="BJ136" s="102">
        <f>(CB136-Driver!$F$206)/(Driver!$G$206-Driver!$F$206)*$BI$1</f>
        <v/>
      </c>
      <c r="BK136" s="102">
        <f>(CD136-Driver!$F$203)/(Driver!$G$203-Driver!$F$203)*$BI$1</f>
        <v/>
      </c>
      <c r="BL136" s="102">
        <f>MAX((CR136-Driver!$F$202)/(Driver!$G$202-Driver!$F$202)*$BI$1,1)</f>
        <v/>
      </c>
      <c r="BM136" s="102">
        <f>MAX((CH136-Driver!$F$204)/(Driver!$G$204-Driver!$F$204)*$BI$1,1)</f>
        <v/>
      </c>
      <c r="BN136" s="102">
        <f>(CI136-Driver!$F$205)/(Driver!$G$205-Driver!$F$205)*$BI$1</f>
        <v/>
      </c>
      <c r="BO136" s="102">
        <f>(CK136-Driver!$F$207)/(Driver!$G$207-Driver!$F$207)*$BI$1</f>
        <v/>
      </c>
      <c r="BP136" s="102">
        <f>(CM136-Driver!$F$208)/(Driver!$G$208-Driver!$F$208)*$BI$1</f>
        <v/>
      </c>
      <c r="BQ136" s="102">
        <f>(CL136-Driver!$F$209)/(Driver!$G$209-Driver!$F$209)*$BI$1</f>
        <v/>
      </c>
      <c r="BR136" s="40" t="inlineStr">
        <is>
          <t>21/22</t>
        </is>
      </c>
      <c r="BS136" s="10" t="inlineStr">
        <is>
          <t xml:space="preserve"> Black Crows</t>
        </is>
      </c>
      <c r="BT136" s="11" t="inlineStr">
        <is>
          <t xml:space="preserve"> Serpo</t>
        </is>
      </c>
      <c r="BU136" s="13" t="n">
        <v>180.1</v>
      </c>
      <c r="BV136" s="11" t="inlineStr">
        <is>
          <t xml:space="preserve"> Unisex</t>
        </is>
      </c>
      <c r="BW136" s="13" t="n">
        <v>180.1</v>
      </c>
      <c r="BX136" s="13" t="n">
        <v>179.2</v>
      </c>
      <c r="BY136" s="13" t="n">
        <v>123</v>
      </c>
      <c r="BZ136" s="13" t="n">
        <v>157</v>
      </c>
      <c r="CA136" s="13" t="n">
        <v>131</v>
      </c>
      <c r="CB136" s="13" t="n">
        <v>92</v>
      </c>
      <c r="CC136" s="13" t="n">
        <v>114</v>
      </c>
      <c r="CD136" s="13" t="n">
        <v>19.4</v>
      </c>
      <c r="CE136" s="13" t="n">
        <v>1828</v>
      </c>
      <c r="CF136" s="13" t="n">
        <v>1.01</v>
      </c>
      <c r="CG136" s="13" t="n">
        <v>1855</v>
      </c>
      <c r="CH136" s="13" t="n">
        <v>221</v>
      </c>
      <c r="CI136" s="13" t="n">
        <v>97</v>
      </c>
      <c r="CJ136" s="13" t="n">
        <v>54</v>
      </c>
      <c r="CK136" s="13" t="n">
        <v>333</v>
      </c>
      <c r="CL136" s="13" t="n">
        <v>11</v>
      </c>
      <c r="CM136" s="13" t="n">
        <v>230</v>
      </c>
      <c r="CN136" s="13" t="n">
        <v>0.198</v>
      </c>
      <c r="CO136" s="13" t="n">
        <v>111</v>
      </c>
      <c r="CP136" s="13" t="n">
        <v>109</v>
      </c>
      <c r="CQ136" s="13" t="n">
        <v>222</v>
      </c>
      <c r="CR136" s="13" t="n">
        <v>4</v>
      </c>
      <c r="CS136" s="13" t="n">
        <v>8.199999999999999</v>
      </c>
      <c r="CT136" s="11" t="inlineStr">
        <is>
          <t xml:space="preserve"> Resort Freeride</t>
        </is>
      </c>
      <c r="CU136" s="13" t="n"/>
      <c r="CV136" s="13" t="n"/>
      <c r="CW136" s="13" t="n"/>
      <c r="CX136">
        <f>INDEX('Data_Price '!AG$2:AG$1266,MATCH(Data!$DN136,'Data_Price '!$AT$2:$AT$1266,0))</f>
        <v/>
      </c>
      <c r="CY136">
        <f>INDEX('Data_Price '!AH$2:AH$1266,MATCH(Data!$DN136,'Data_Price '!$AT$2:$AT$1266,0))</f>
        <v/>
      </c>
      <c r="CZ136">
        <f>INDEX('Data_Price '!AI$2:AI$1266,MATCH(Data!$DN136,'Data_Price '!$AT$2:$AT$1266,0))</f>
        <v/>
      </c>
      <c r="DA136">
        <f>INDEX('Data_Price '!AJ$2:AJ$1266,MATCH(Data!$DN136,'Data_Price '!$AT$2:$AT$1266,0))</f>
        <v/>
      </c>
      <c r="DB136">
        <f>INDEX('Data_Price '!AK$2:AK$1266,MATCH(Data!$DN136,'Data_Price '!$AT$2:$AT$1266,0))</f>
        <v/>
      </c>
      <c r="DC136">
        <f>INDEX('Data_Price '!AL$2:AL$1266,MATCH(Data!$DN136,'Data_Price '!$AT$2:$AT$1266,0))</f>
        <v/>
      </c>
      <c r="DD136">
        <f>INDEX('Data_Price '!AM$2:AM$1266,MATCH(Data!$DN136,'Data_Price '!$AT$2:$AT$1266,0))</f>
        <v/>
      </c>
      <c r="DE136">
        <f>INDEX('Data_Price '!AN$2:AN$1266,MATCH(Data!$DN136,'Data_Price '!$AT$2:$AT$1266,0))</f>
        <v/>
      </c>
      <c r="DF136">
        <f>INDEX('Data_Price '!AO$2:AO$1266,MATCH(Data!$DN136,'Data_Price '!$AT$2:$AT$1266,0))</f>
        <v/>
      </c>
      <c r="DG136">
        <f>INDEX('Data_Price '!AP$2:AP$1266,MATCH(Data!$DN136,'Data_Price '!$AT$2:$AT$1266,0))</f>
        <v/>
      </c>
      <c r="DH136">
        <f>INDEX('Data_Price '!AQ$2:AQ$1266,MATCH(Data!$DN136,'Data_Price '!$AT$2:$AT$1266,0))</f>
        <v/>
      </c>
      <c r="DI136">
        <f>INDEX('Data_Price '!AR$2:AR$1266,MATCH(Data!$DN136,'Data_Price '!$AT$2:$AT$1266,0))</f>
        <v/>
      </c>
      <c r="DJ136" s="138">
        <f>DA136</f>
        <v/>
      </c>
      <c r="DK136" s="138">
        <f>DE136</f>
        <v/>
      </c>
      <c r="DL136" s="138">
        <f>DI136</f>
        <v/>
      </c>
      <c r="DM136" s="303">
        <f>IF(LEFT(BT136,1)=" ",RIGHT(BT136,LEN(BT136)-1),BT136)</f>
        <v/>
      </c>
      <c r="DN136" s="138">
        <f>_xlfn.CONCAT(BS136,DM136,BU136,BV136)</f>
        <v/>
      </c>
      <c r="DO136" s="307" t="inlineStr">
        <is>
          <t>https://images.evo.com/imgp/250/202411/868118/clone.jpg</t>
        </is>
      </c>
    </row>
    <row r="137" ht="15.6" customHeight="1" s="184">
      <c r="B137" s="303">
        <f t="array" ref="B137">IF(OR(ISERROR(K137:P137)),FALSE,TRUE)</f>
        <v/>
      </c>
      <c r="C137" s="60">
        <f>OR(BR137=Driver!$G$50,Data!BR547=Driver!$H$50)</f>
        <v/>
      </c>
      <c r="D137" s="60">
        <f>OR(BV137=Driver!$G$51,BV137=Driver!$H$51)</f>
        <v/>
      </c>
      <c r="E137" s="60">
        <f>AND(BX137&gt;Driver!$F$54,BX137&lt;Driver!$G$54)</f>
        <v/>
      </c>
      <c r="F137" s="60">
        <f>CL137&gt;Driver!$F$56</f>
        <v/>
      </c>
      <c r="G137" s="60">
        <f>AND(CB137&gt;Driver!$F$55,CB137&lt;Driver!$G$55)</f>
        <v/>
      </c>
      <c r="H137" s="60">
        <f>AND(B137:G137)</f>
        <v/>
      </c>
      <c r="I137" s="60">
        <f>COUNTIFS($H$9:$H$1273,TRUE,$BT$9:$BT$1273,BT137)</f>
        <v/>
      </c>
      <c r="J137" s="60">
        <f t="array" ref="J137">NOT(OR(($H$9:$H$1273=TRUE)*($I$9:$I$1273&gt;0)*($BT$9:$BT$1273=BT137)*($K$9:$K$1273&gt;K137)))</f>
        <v/>
      </c>
      <c r="K137" s="108">
        <f>IFERROR(1-AVERAGE(X137:Y137),"")</f>
        <v/>
      </c>
      <c r="L137" s="108">
        <f>1-X137</f>
        <v/>
      </c>
      <c r="M137" s="108">
        <f>1-Y137</f>
        <v/>
      </c>
      <c r="N137" s="108">
        <f>1-Z137</f>
        <v/>
      </c>
      <c r="O137" s="108">
        <f>1-AA137</f>
        <v/>
      </c>
      <c r="P137" s="108">
        <f>1-AB137</f>
        <v/>
      </c>
      <c r="Q137" s="108" t="n"/>
      <c r="R137" s="108" t="n"/>
      <c r="S137" s="108">
        <f>1-AE137</f>
        <v/>
      </c>
      <c r="T137" s="108">
        <f>1-AF137</f>
        <v/>
      </c>
      <c r="U137" s="108">
        <f>1-AG137</f>
        <v/>
      </c>
      <c r="V137" s="108">
        <f>1-AH137</f>
        <v/>
      </c>
      <c r="W137" s="108">
        <f>1-AI137</f>
        <v/>
      </c>
      <c r="X137" s="108">
        <f>ABS(AJ137-AJ$1)</f>
        <v/>
      </c>
      <c r="Y137" s="108">
        <f>AVERAGE(Z137:AB137)</f>
        <v/>
      </c>
      <c r="Z137" s="108">
        <f>ABS(AL137-AL$1)</f>
        <v/>
      </c>
      <c r="AA137" s="108">
        <f>ABS(AM137-AM$1)</f>
        <v/>
      </c>
      <c r="AB137" s="108">
        <f>ABS(AN137-AN$1)</f>
        <v/>
      </c>
      <c r="AC137" s="108" t="n"/>
      <c r="AD137" s="108" t="n"/>
      <c r="AE137" s="108">
        <f>ABS(AQ$1-AQ137)</f>
        <v/>
      </c>
      <c r="AF137" s="108">
        <f>ABS(AR$1-AR137)</f>
        <v/>
      </c>
      <c r="AG137" s="108">
        <f>ABS(AS$1-AS137)</f>
        <v/>
      </c>
      <c r="AH137" s="108">
        <f>ABS(AT$1-AT137)</f>
        <v/>
      </c>
      <c r="AI137" s="108">
        <f>ABS(AU$1-AU137)</f>
        <v/>
      </c>
      <c r="AJ137" s="108">
        <f>(AV137-Driver!$K$179)/(Driver!$L$179-Driver!$K$179)</f>
        <v/>
      </c>
      <c r="AK137" s="108">
        <f>(AW137-Driver!$K$180)/(Driver!$L$180-Driver!$K$180)</f>
        <v/>
      </c>
      <c r="AL137" s="108">
        <f>(AX137-Driver!$K$181)/(Driver!$L$181-Driver!$K$181)</f>
        <v/>
      </c>
      <c r="AM137" s="108">
        <f>(AY137-Driver!$K$182)/(Driver!$L$182-Driver!$K$182)</f>
        <v/>
      </c>
      <c r="AN137" s="108">
        <f>(AZ137-Driver!$K$183)/(Driver!$L$183-Driver!$K$183)</f>
        <v/>
      </c>
      <c r="AO137" s="108" t="n"/>
      <c r="AP137" s="108" t="n"/>
      <c r="AQ137" s="108">
        <f>(BC137-Driver!$K$188)/(Driver!$L$188-Driver!$K$188)</f>
        <v/>
      </c>
      <c r="AR137" s="108">
        <f>MIN((BD137-Driver!$K$189)/(Driver!$L$189-Driver!$K$189),100%)</f>
        <v/>
      </c>
      <c r="AS137" s="108">
        <f>(BE137-Driver!$K$190)/(Driver!$L$190-Driver!$K$190)</f>
        <v/>
      </c>
      <c r="AT137" s="108">
        <f>(BF137-Driver!$K$191)/(Driver!$L$191-Driver!$K$191)</f>
        <v/>
      </c>
      <c r="AU137" s="108">
        <f>(BG137-Driver!$K$192)/(Driver!$L$192-Driver!$K$192)</f>
        <v/>
      </c>
      <c r="AV137" s="105">
        <f>IFERROR(BM137*BJ137^1/4,"")</f>
        <v/>
      </c>
      <c r="AW137" s="105">
        <f>IFERROR(SUM(AX137:AZ137),"")</f>
        <v/>
      </c>
      <c r="AX137" s="105">
        <f>IFERROR(BH137,"")</f>
        <v/>
      </c>
      <c r="AY137" s="105">
        <f>IFERROR(Driver!$K$19/Data!BH137/Data!BI137*Data!BK137*Data!BL137,"")</f>
        <v/>
      </c>
      <c r="AZ137" s="105">
        <f>IFERROR(BI137*BN137,"")</f>
        <v/>
      </c>
      <c r="BA137" s="105" t="n"/>
      <c r="BB137" s="105" t="n"/>
      <c r="BC137" s="105">
        <f>IFERROR(BI137*BN137*BK137/BJ137^(1/2),"")</f>
        <v/>
      </c>
      <c r="BD137" s="105">
        <f>IFERROR(BH137*BM137*BL137/BJ137/BK137,"")</f>
        <v/>
      </c>
      <c r="BE137" s="105">
        <f>IFERROR(MIN(BI137/BQ137/BP137/BO137/BH137,$BE$1),"")</f>
        <v/>
      </c>
      <c r="BF137" s="105">
        <f>IFERROR(BJ137*BO137*BP137/BK137,"")</f>
        <v/>
      </c>
      <c r="BG137" s="105">
        <f>IFERROR(1/BM137/BH137*BQ137,"")</f>
        <v/>
      </c>
      <c r="BH137" s="102">
        <f>MAX((CE137-Driver!$F$200)/(Driver!$G$200-Driver!$F$200)*$BI$1,1)</f>
        <v/>
      </c>
      <c r="BI137" s="102">
        <f>MAX($BI$1*(BY137-Driver!$F$201)/(Driver!$G$201-Driver!$F$201),1)</f>
        <v/>
      </c>
      <c r="BJ137" s="102">
        <f>(CB137-Driver!$F$206)/(Driver!$G$206-Driver!$F$206)*$BI$1</f>
        <v/>
      </c>
      <c r="BK137" s="102">
        <f>(CD137-Driver!$F$203)/(Driver!$G$203-Driver!$F$203)*$BI$1</f>
        <v/>
      </c>
      <c r="BL137" s="102">
        <f>MAX((CR137-Driver!$F$202)/(Driver!$G$202-Driver!$F$202)*$BI$1,1)</f>
        <v/>
      </c>
      <c r="BM137" s="102">
        <f>MAX((CH137-Driver!$F$204)/(Driver!$G$204-Driver!$F$204)*$BI$1,1)</f>
        <v/>
      </c>
      <c r="BN137" s="102">
        <f>(CI137-Driver!$F$205)/(Driver!$G$205-Driver!$F$205)*$BI$1</f>
        <v/>
      </c>
      <c r="BO137" s="102">
        <f>(CK137-Driver!$F$207)/(Driver!$G$207-Driver!$F$207)*$BI$1</f>
        <v/>
      </c>
      <c r="BP137" s="102">
        <f>(CM137-Driver!$F$208)/(Driver!$G$208-Driver!$F$208)*$BI$1</f>
        <v/>
      </c>
      <c r="BQ137" s="102">
        <f>(CL137-Driver!$F$209)/(Driver!$G$209-Driver!$F$209)*$BI$1</f>
        <v/>
      </c>
      <c r="BR137" s="40" t="inlineStr">
        <is>
          <t>21/22</t>
        </is>
      </c>
      <c r="BS137" s="10" t="inlineStr">
        <is>
          <t xml:space="preserve"> Ferreol</t>
        </is>
      </c>
      <c r="BT137" s="11" t="inlineStr">
        <is>
          <t>Pionnier 104</t>
        </is>
      </c>
      <c r="BU137" s="13" t="n">
        <v>172</v>
      </c>
      <c r="BV137" s="11" t="inlineStr">
        <is>
          <t xml:space="preserve"> Unisex</t>
        </is>
      </c>
      <c r="BW137" s="13" t="n">
        <v>172</v>
      </c>
      <c r="BX137" s="13" t="n">
        <v>172.7</v>
      </c>
      <c r="BY137" s="13" t="n">
        <v>118</v>
      </c>
      <c r="BZ137" s="13" t="n">
        <v>136</v>
      </c>
      <c r="CA137" s="13" t="n">
        <v>133</v>
      </c>
      <c r="CB137" s="13" t="n">
        <v>103</v>
      </c>
      <c r="CC137" s="13" t="n">
        <v>125</v>
      </c>
      <c r="CD137" s="13" t="n">
        <v>14.8</v>
      </c>
      <c r="CE137" s="13" t="n">
        <v>1660</v>
      </c>
      <c r="CF137" s="13" t="n">
        <v>1.19</v>
      </c>
      <c r="CG137" s="13" t="n">
        <v>1973</v>
      </c>
      <c r="CH137" s="13" t="n">
        <v>201</v>
      </c>
      <c r="CI137" s="13" t="n">
        <v>84</v>
      </c>
      <c r="CJ137" s="13" t="n">
        <v>46</v>
      </c>
      <c r="CK137" s="13" t="n">
        <v>328</v>
      </c>
      <c r="CL137" s="13" t="n">
        <v>27</v>
      </c>
      <c r="CM137" s="13" t="n">
        <v>220</v>
      </c>
      <c r="CN137" s="13" t="n">
        <v>0.572</v>
      </c>
      <c r="CO137" s="13" t="n">
        <v>250</v>
      </c>
      <c r="CP137" s="13" t="n">
        <v>116</v>
      </c>
      <c r="CQ137" s="13" t="n">
        <v>78</v>
      </c>
      <c r="CR137" s="13" t="n">
        <v>10</v>
      </c>
      <c r="CS137" s="13" t="n">
        <v>9.5</v>
      </c>
      <c r="CT137" s="11" t="inlineStr">
        <is>
          <t xml:space="preserve"> Resort Freeride</t>
        </is>
      </c>
      <c r="CU137" s="11" t="inlineStr">
        <is>
          <t xml:space="preserve"> Powder</t>
        </is>
      </c>
      <c r="CV137" s="11" t="inlineStr">
        <is>
          <t xml:space="preserve"> Touring</t>
        </is>
      </c>
      <c r="CW137" s="13" t="n"/>
      <c r="CX137">
        <f>INDEX('Data_Price '!AG$2:AG$1266,MATCH(Data!$DN137,'Data_Price '!$AT$2:$AT$1266,0))</f>
        <v/>
      </c>
      <c r="CY137">
        <f>INDEX('Data_Price '!AH$2:AH$1266,MATCH(Data!$DN137,'Data_Price '!$AT$2:$AT$1266,0))</f>
        <v/>
      </c>
      <c r="CZ137">
        <f>INDEX('Data_Price '!AI$2:AI$1266,MATCH(Data!$DN137,'Data_Price '!$AT$2:$AT$1266,0))</f>
        <v/>
      </c>
      <c r="DA137">
        <f>INDEX('Data_Price '!AJ$2:AJ$1266,MATCH(Data!$DN137,'Data_Price '!$AT$2:$AT$1266,0))</f>
        <v/>
      </c>
      <c r="DB137">
        <f>INDEX('Data_Price '!AK$2:AK$1266,MATCH(Data!$DN137,'Data_Price '!$AT$2:$AT$1266,0))</f>
        <v/>
      </c>
      <c r="DC137">
        <f>INDEX('Data_Price '!AL$2:AL$1266,MATCH(Data!$DN137,'Data_Price '!$AT$2:$AT$1266,0))</f>
        <v/>
      </c>
      <c r="DD137">
        <f>INDEX('Data_Price '!AM$2:AM$1266,MATCH(Data!$DN137,'Data_Price '!$AT$2:$AT$1266,0))</f>
        <v/>
      </c>
      <c r="DE137">
        <f>INDEX('Data_Price '!AN$2:AN$1266,MATCH(Data!$DN137,'Data_Price '!$AT$2:$AT$1266,0))</f>
        <v/>
      </c>
      <c r="DF137">
        <f>INDEX('Data_Price '!AO$2:AO$1266,MATCH(Data!$DN137,'Data_Price '!$AT$2:$AT$1266,0))</f>
        <v/>
      </c>
      <c r="DG137">
        <f>INDEX('Data_Price '!AP$2:AP$1266,MATCH(Data!$DN137,'Data_Price '!$AT$2:$AT$1266,0))</f>
        <v/>
      </c>
      <c r="DH137">
        <f>INDEX('Data_Price '!AQ$2:AQ$1266,MATCH(Data!$DN137,'Data_Price '!$AT$2:$AT$1266,0))</f>
        <v/>
      </c>
      <c r="DI137">
        <f>INDEX('Data_Price '!AR$2:AR$1266,MATCH(Data!$DN137,'Data_Price '!$AT$2:$AT$1266,0))</f>
        <v/>
      </c>
      <c r="DJ137" s="138">
        <f>DA137</f>
        <v/>
      </c>
      <c r="DK137" s="138">
        <f>DE137</f>
        <v/>
      </c>
      <c r="DL137" s="138">
        <f>DI137</f>
        <v/>
      </c>
      <c r="DM137" s="303">
        <f>IF(LEFT(BT137,1)=" ",RIGHT(BT137,LEN(BT137)-1),BT137)</f>
        <v/>
      </c>
      <c r="DN137" s="138">
        <f>_xlfn.CONCAT(BS137,DM137,BU137,BV137)</f>
        <v/>
      </c>
      <c r="DO137" s="307" t="n"/>
    </row>
    <row r="138" ht="15.6" customHeight="1" s="184">
      <c r="B138" s="303">
        <f t="array" ref="B138">IF(OR(ISERROR(K138:P138)),FALSE,TRUE)</f>
        <v/>
      </c>
      <c r="C138" s="60">
        <f>OR(BR138=Driver!$G$50,Data!BR444=Driver!$H$50)</f>
        <v/>
      </c>
      <c r="D138" s="60">
        <f>OR(BV138=Driver!$G$51,BV138=Driver!$H$51)</f>
        <v/>
      </c>
      <c r="E138" s="60">
        <f>AND(BX138&gt;Driver!$F$54,BX138&lt;Driver!$G$54)</f>
        <v/>
      </c>
      <c r="F138" s="60">
        <f>CL138&gt;Driver!$F$56</f>
        <v/>
      </c>
      <c r="G138" s="60">
        <f>AND(CB138&gt;Driver!$F$55,CB138&lt;Driver!$G$55)</f>
        <v/>
      </c>
      <c r="H138" s="60">
        <f>AND(B138:G138)</f>
        <v/>
      </c>
      <c r="I138" s="60">
        <f>COUNTIFS($H$9:$H$1273,TRUE,$BT$9:$BT$1273,BT138)</f>
        <v/>
      </c>
      <c r="J138" s="60">
        <f t="array" ref="J138">NOT(OR(($H$9:$H$1273=TRUE)*($I$9:$I$1273&gt;0)*($BT$9:$BT$1273=BT138)*($K$9:$K$1273&gt;K138)))</f>
        <v/>
      </c>
      <c r="K138" s="108">
        <f>IFERROR(1-AVERAGE(X138:Y138),"")</f>
        <v/>
      </c>
      <c r="L138" s="108">
        <f>1-X138</f>
        <v/>
      </c>
      <c r="M138" s="108">
        <f>1-Y138</f>
        <v/>
      </c>
      <c r="N138" s="108">
        <f>1-Z138</f>
        <v/>
      </c>
      <c r="O138" s="108">
        <f>1-AA138</f>
        <v/>
      </c>
      <c r="P138" s="108">
        <f>1-AB138</f>
        <v/>
      </c>
      <c r="Q138" s="108" t="n"/>
      <c r="R138" s="108" t="n"/>
      <c r="S138" s="108">
        <f>1-AE138</f>
        <v/>
      </c>
      <c r="T138" s="108">
        <f>1-AF138</f>
        <v/>
      </c>
      <c r="U138" s="108">
        <f>1-AG138</f>
        <v/>
      </c>
      <c r="V138" s="108">
        <f>1-AH138</f>
        <v/>
      </c>
      <c r="W138" s="108">
        <f>1-AI138</f>
        <v/>
      </c>
      <c r="X138" s="108">
        <f>ABS(AJ138-AJ$1)</f>
        <v/>
      </c>
      <c r="Y138" s="108">
        <f>AVERAGE(Z138:AB138)</f>
        <v/>
      </c>
      <c r="Z138" s="108">
        <f>ABS(AL138-AL$1)</f>
        <v/>
      </c>
      <c r="AA138" s="108">
        <f>ABS(AM138-AM$1)</f>
        <v/>
      </c>
      <c r="AB138" s="108">
        <f>ABS(AN138-AN$1)</f>
        <v/>
      </c>
      <c r="AC138" s="108" t="n"/>
      <c r="AD138" s="108" t="n"/>
      <c r="AE138" s="108">
        <f>ABS(AQ$1-AQ138)</f>
        <v/>
      </c>
      <c r="AF138" s="108">
        <f>ABS(AR$1-AR138)</f>
        <v/>
      </c>
      <c r="AG138" s="108">
        <f>ABS(AS$1-AS138)</f>
        <v/>
      </c>
      <c r="AH138" s="108">
        <f>ABS(AT$1-AT138)</f>
        <v/>
      </c>
      <c r="AI138" s="108">
        <f>ABS(AU$1-AU138)</f>
        <v/>
      </c>
      <c r="AJ138" s="108">
        <f>(AV138-Driver!$K$179)/(Driver!$L$179-Driver!$K$179)</f>
        <v/>
      </c>
      <c r="AK138" s="108">
        <f>(AW138-Driver!$K$180)/(Driver!$L$180-Driver!$K$180)</f>
        <v/>
      </c>
      <c r="AL138" s="108">
        <f>(AX138-Driver!$K$181)/(Driver!$L$181-Driver!$K$181)</f>
        <v/>
      </c>
      <c r="AM138" s="108">
        <f>(AY138-Driver!$K$182)/(Driver!$L$182-Driver!$K$182)</f>
        <v/>
      </c>
      <c r="AN138" s="108">
        <f>(AZ138-Driver!$K$183)/(Driver!$L$183-Driver!$K$183)</f>
        <v/>
      </c>
      <c r="AO138" s="108" t="n"/>
      <c r="AP138" s="108" t="n"/>
      <c r="AQ138" s="108">
        <f>(BC138-Driver!$K$188)/(Driver!$L$188-Driver!$K$188)</f>
        <v/>
      </c>
      <c r="AR138" s="108">
        <f>MIN((BD138-Driver!$K$189)/(Driver!$L$189-Driver!$K$189),100%)</f>
        <v/>
      </c>
      <c r="AS138" s="108">
        <f>(BE138-Driver!$K$190)/(Driver!$L$190-Driver!$K$190)</f>
        <v/>
      </c>
      <c r="AT138" s="108">
        <f>(BF138-Driver!$K$191)/(Driver!$L$191-Driver!$K$191)</f>
        <v/>
      </c>
      <c r="AU138" s="108">
        <f>(BG138-Driver!$K$192)/(Driver!$L$192-Driver!$K$192)</f>
        <v/>
      </c>
      <c r="AV138" s="105">
        <f>IFERROR(BM138*BJ138^1/4,"")</f>
        <v/>
      </c>
      <c r="AW138" s="105">
        <f>IFERROR(SUM(AX138:AZ138),"")</f>
        <v/>
      </c>
      <c r="AX138" s="105">
        <f>IFERROR(BH138,"")</f>
        <v/>
      </c>
      <c r="AY138" s="105">
        <f>IFERROR(Driver!$K$19/Data!BH138/Data!BI138*Data!BK138*Data!BL138,"")</f>
        <v/>
      </c>
      <c r="AZ138" s="105">
        <f>IFERROR(BI138*BN138,"")</f>
        <v/>
      </c>
      <c r="BA138" s="105" t="n"/>
      <c r="BB138" s="105" t="n"/>
      <c r="BC138" s="105">
        <f>IFERROR(BI138*BN138*BK138/BJ138^(1/2),"")</f>
        <v/>
      </c>
      <c r="BD138" s="105">
        <f>IFERROR(BH138*BM138*BL138/BJ138/BK138,"")</f>
        <v/>
      </c>
      <c r="BE138" s="105">
        <f>IFERROR(MIN(BI138/BQ138/BP138/BO138/BH138,$BE$1),"")</f>
        <v/>
      </c>
      <c r="BF138" s="105">
        <f>IFERROR(BJ138*BO138*BP138/BK138,"")</f>
        <v/>
      </c>
      <c r="BG138" s="105">
        <f>IFERROR(1/BM138/BH138*BQ138,"")</f>
        <v/>
      </c>
      <c r="BH138" s="102">
        <f>MAX((CE138-Driver!$F$200)/(Driver!$G$200-Driver!$F$200)*$BI$1,1)</f>
        <v/>
      </c>
      <c r="BI138" s="102">
        <f>MAX($BI$1*(BY138-Driver!$F$201)/(Driver!$G$201-Driver!$F$201),1)</f>
        <v/>
      </c>
      <c r="BJ138" s="102">
        <f>(CB138-Driver!$F$206)/(Driver!$G$206-Driver!$F$206)*$BI$1</f>
        <v/>
      </c>
      <c r="BK138" s="102">
        <f>(CD138-Driver!$F$203)/(Driver!$G$203-Driver!$F$203)*$BI$1</f>
        <v/>
      </c>
      <c r="BL138" s="102">
        <f>MAX((CR138-Driver!$F$202)/(Driver!$G$202-Driver!$F$202)*$BI$1,1)</f>
        <v/>
      </c>
      <c r="BM138" s="102">
        <f>MAX((CH138-Driver!$F$204)/(Driver!$G$204-Driver!$F$204)*$BI$1,1)</f>
        <v/>
      </c>
      <c r="BN138" s="102">
        <f>(CI138-Driver!$F$205)/(Driver!$G$205-Driver!$F$205)*$BI$1</f>
        <v/>
      </c>
      <c r="BO138" s="102">
        <f>(CK138-Driver!$F$207)/(Driver!$G$207-Driver!$F$207)*$BI$1</f>
        <v/>
      </c>
      <c r="BP138" s="102">
        <f>(CM138-Driver!$F$208)/(Driver!$G$208-Driver!$F$208)*$BI$1</f>
        <v/>
      </c>
      <c r="BQ138" s="102">
        <f>(CL138-Driver!$F$209)/(Driver!$G$209-Driver!$F$209)*$BI$1</f>
        <v/>
      </c>
      <c r="BR138" s="40" t="inlineStr">
        <is>
          <t>21/22</t>
        </is>
      </c>
      <c r="BS138" s="10" t="inlineStr">
        <is>
          <t xml:space="preserve"> Elan</t>
        </is>
      </c>
      <c r="BT138" s="11" t="inlineStr">
        <is>
          <t>Ripstick 102 W</t>
        </is>
      </c>
      <c r="BU138" s="13" t="n">
        <v>170</v>
      </c>
      <c r="BV138" s="11" t="inlineStr">
        <is>
          <t xml:space="preserve"> Women's</t>
        </is>
      </c>
      <c r="BW138" s="13" t="n">
        <v>170</v>
      </c>
      <c r="BX138" s="13" t="n">
        <v>170.3</v>
      </c>
      <c r="BY138" s="13" t="n">
        <v>127</v>
      </c>
      <c r="BZ138" s="13" t="n">
        <v>136</v>
      </c>
      <c r="CA138" s="13" t="n">
        <v>143</v>
      </c>
      <c r="CB138" s="13" t="n">
        <v>105</v>
      </c>
      <c r="CC138" s="13" t="n">
        <v>120</v>
      </c>
      <c r="CD138" s="13" t="n">
        <v>16.4</v>
      </c>
      <c r="CE138" s="13" t="n">
        <v>1797</v>
      </c>
      <c r="CF138" s="13" t="n">
        <v>1.1</v>
      </c>
      <c r="CG138" s="13" t="n">
        <v>1982</v>
      </c>
      <c r="CH138" s="13" t="n">
        <v>205</v>
      </c>
      <c r="CI138" s="13" t="n">
        <v>86</v>
      </c>
      <c r="CJ138" s="13" t="n">
        <v>47</v>
      </c>
      <c r="CK138" s="13" t="n">
        <v>266</v>
      </c>
      <c r="CL138" s="13" t="n">
        <v>17</v>
      </c>
      <c r="CM138" s="13" t="n">
        <v>167</v>
      </c>
      <c r="CN138" s="13" t="n">
        <v>0.355</v>
      </c>
      <c r="CO138" s="13" t="n">
        <v>174</v>
      </c>
      <c r="CP138" s="13" t="n">
        <v>167</v>
      </c>
      <c r="CQ138" s="13" t="n">
        <v>92</v>
      </c>
      <c r="CR138" s="13" t="n">
        <v>5</v>
      </c>
      <c r="CS138" s="13" t="n">
        <v>8.699999999999999</v>
      </c>
      <c r="CT138" s="11" t="inlineStr">
        <is>
          <t xml:space="preserve"> Resort Freeride</t>
        </is>
      </c>
      <c r="CU138" s="11" t="inlineStr">
        <is>
          <t xml:space="preserve"> Powder</t>
        </is>
      </c>
      <c r="CV138" s="11" t="inlineStr">
        <is>
          <t xml:space="preserve"> Big Mountain</t>
        </is>
      </c>
      <c r="CW138" s="11" t="inlineStr">
        <is>
          <t xml:space="preserve"> Touring</t>
        </is>
      </c>
      <c r="CX138">
        <f>INDEX('Data_Price '!AG$2:AG$1266,MATCH(Data!$DN138,'Data_Price '!$AT$2:$AT$1266,0))</f>
        <v/>
      </c>
      <c r="CY138">
        <f>INDEX('Data_Price '!AH$2:AH$1266,MATCH(Data!$DN138,'Data_Price '!$AT$2:$AT$1266,0))</f>
        <v/>
      </c>
      <c r="CZ138">
        <f>INDEX('Data_Price '!AI$2:AI$1266,MATCH(Data!$DN138,'Data_Price '!$AT$2:$AT$1266,0))</f>
        <v/>
      </c>
      <c r="DA138">
        <f>INDEX('Data_Price '!AJ$2:AJ$1266,MATCH(Data!$DN138,'Data_Price '!$AT$2:$AT$1266,0))</f>
        <v/>
      </c>
      <c r="DB138">
        <f>INDEX('Data_Price '!AK$2:AK$1266,MATCH(Data!$DN138,'Data_Price '!$AT$2:$AT$1266,0))</f>
        <v/>
      </c>
      <c r="DC138">
        <f>INDEX('Data_Price '!AL$2:AL$1266,MATCH(Data!$DN138,'Data_Price '!$AT$2:$AT$1266,0))</f>
        <v/>
      </c>
      <c r="DD138">
        <f>INDEX('Data_Price '!AM$2:AM$1266,MATCH(Data!$DN138,'Data_Price '!$AT$2:$AT$1266,0))</f>
        <v/>
      </c>
      <c r="DE138">
        <f>INDEX('Data_Price '!AN$2:AN$1266,MATCH(Data!$DN138,'Data_Price '!$AT$2:$AT$1266,0))</f>
        <v/>
      </c>
      <c r="DF138">
        <f>INDEX('Data_Price '!AO$2:AO$1266,MATCH(Data!$DN138,'Data_Price '!$AT$2:$AT$1266,0))</f>
        <v/>
      </c>
      <c r="DG138">
        <f>INDEX('Data_Price '!AP$2:AP$1266,MATCH(Data!$DN138,'Data_Price '!$AT$2:$AT$1266,0))</f>
        <v/>
      </c>
      <c r="DH138">
        <f>INDEX('Data_Price '!AQ$2:AQ$1266,MATCH(Data!$DN138,'Data_Price '!$AT$2:$AT$1266,0))</f>
        <v/>
      </c>
      <c r="DI138">
        <f>INDEX('Data_Price '!AR$2:AR$1266,MATCH(Data!$DN138,'Data_Price '!$AT$2:$AT$1266,0))</f>
        <v/>
      </c>
      <c r="DJ138" s="138">
        <f>DA138</f>
        <v/>
      </c>
      <c r="DK138" s="138">
        <f>DE138</f>
        <v/>
      </c>
      <c r="DL138" s="138">
        <f>DI138</f>
        <v/>
      </c>
      <c r="DM138" s="303">
        <f>IF(LEFT(BT138,1)=" ",RIGHT(BT138,LEN(BT138)-1),BT138)</f>
        <v/>
      </c>
      <c r="DN138" s="138">
        <f>_xlfn.CONCAT(BS138,DM138,BU138,BV138)</f>
        <v/>
      </c>
      <c r="DO138" s="307" t="n"/>
    </row>
    <row r="139" ht="15.6" customHeight="1" s="184">
      <c r="B139" s="303">
        <f t="array" ref="B139">IF(OR(ISERROR(K139:P139)),FALSE,TRUE)</f>
        <v/>
      </c>
      <c r="C139" s="60">
        <f>OR(BR139=Driver!$G$50,Data!BR723=Driver!$H$50)</f>
        <v/>
      </c>
      <c r="D139" s="60">
        <f>OR(BV139=Driver!$G$51,BV139=Driver!$H$51)</f>
        <v/>
      </c>
      <c r="E139" s="60">
        <f>AND(BX139&gt;Driver!$F$54,BX139&lt;Driver!$G$54)</f>
        <v/>
      </c>
      <c r="F139" s="60">
        <f>CL139&gt;Driver!$F$56</f>
        <v/>
      </c>
      <c r="G139" s="60">
        <f>AND(CB139&gt;Driver!$F$55,CB139&lt;Driver!$G$55)</f>
        <v/>
      </c>
      <c r="H139" s="60">
        <f>AND(B139:G139)</f>
        <v/>
      </c>
      <c r="I139" s="60">
        <f>COUNTIFS($H$9:$H$1273,TRUE,$BT$9:$BT$1273,BT139)</f>
        <v/>
      </c>
      <c r="J139" s="60">
        <f t="array" ref="J139">NOT(OR(($H$9:$H$1273=TRUE)*($I$9:$I$1273&gt;0)*($BT$9:$BT$1273=BT139)*($K$9:$K$1273&gt;K139)))</f>
        <v/>
      </c>
      <c r="K139" s="108">
        <f>IFERROR(1-AVERAGE(X139:Y139),"")</f>
        <v/>
      </c>
      <c r="L139" s="108">
        <f>1-X139</f>
        <v/>
      </c>
      <c r="M139" s="108">
        <f>1-Y139</f>
        <v/>
      </c>
      <c r="N139" s="108">
        <f>1-Z139</f>
        <v/>
      </c>
      <c r="O139" s="108">
        <f>1-AA139</f>
        <v/>
      </c>
      <c r="P139" s="108">
        <f>1-AB139</f>
        <v/>
      </c>
      <c r="Q139" s="108" t="n"/>
      <c r="R139" s="108" t="n"/>
      <c r="S139" s="108">
        <f>1-AE139</f>
        <v/>
      </c>
      <c r="T139" s="108">
        <f>1-AF139</f>
        <v/>
      </c>
      <c r="U139" s="108">
        <f>1-AG139</f>
        <v/>
      </c>
      <c r="V139" s="108">
        <f>1-AH139</f>
        <v/>
      </c>
      <c r="W139" s="108">
        <f>1-AI139</f>
        <v/>
      </c>
      <c r="X139" s="108">
        <f>ABS(AJ139-AJ$1)</f>
        <v/>
      </c>
      <c r="Y139" s="108">
        <f>AVERAGE(Z139:AB139)</f>
        <v/>
      </c>
      <c r="Z139" s="108">
        <f>ABS(AL139-AL$1)</f>
        <v/>
      </c>
      <c r="AA139" s="108">
        <f>ABS(AM139-AM$1)</f>
        <v/>
      </c>
      <c r="AB139" s="108">
        <f>ABS(AN139-AN$1)</f>
        <v/>
      </c>
      <c r="AC139" s="108" t="n"/>
      <c r="AD139" s="108" t="n"/>
      <c r="AE139" s="108">
        <f>ABS(AQ$1-AQ139)</f>
        <v/>
      </c>
      <c r="AF139" s="108">
        <f>ABS(AR$1-AR139)</f>
        <v/>
      </c>
      <c r="AG139" s="108">
        <f>ABS(AS$1-AS139)</f>
        <v/>
      </c>
      <c r="AH139" s="108">
        <f>ABS(AT$1-AT139)</f>
        <v/>
      </c>
      <c r="AI139" s="108">
        <f>ABS(AU$1-AU139)</f>
        <v/>
      </c>
      <c r="AJ139" s="108">
        <f>(AV139-Driver!$K$179)/(Driver!$L$179-Driver!$K$179)</f>
        <v/>
      </c>
      <c r="AK139" s="108">
        <f>(AW139-Driver!$K$180)/(Driver!$L$180-Driver!$K$180)</f>
        <v/>
      </c>
      <c r="AL139" s="108">
        <f>(AX139-Driver!$K$181)/(Driver!$L$181-Driver!$K$181)</f>
        <v/>
      </c>
      <c r="AM139" s="108">
        <f>(AY139-Driver!$K$182)/(Driver!$L$182-Driver!$K$182)</f>
        <v/>
      </c>
      <c r="AN139" s="108">
        <f>(AZ139-Driver!$K$183)/(Driver!$L$183-Driver!$K$183)</f>
        <v/>
      </c>
      <c r="AO139" s="108" t="n"/>
      <c r="AP139" s="108" t="n"/>
      <c r="AQ139" s="108">
        <f>(BC139-Driver!$K$188)/(Driver!$L$188-Driver!$K$188)</f>
        <v/>
      </c>
      <c r="AR139" s="108">
        <f>MIN((BD139-Driver!$K$189)/(Driver!$L$189-Driver!$K$189),100%)</f>
        <v/>
      </c>
      <c r="AS139" s="108">
        <f>(BE139-Driver!$K$190)/(Driver!$L$190-Driver!$K$190)</f>
        <v/>
      </c>
      <c r="AT139" s="108">
        <f>(BF139-Driver!$K$191)/(Driver!$L$191-Driver!$K$191)</f>
        <v/>
      </c>
      <c r="AU139" s="108">
        <f>(BG139-Driver!$K$192)/(Driver!$L$192-Driver!$K$192)</f>
        <v/>
      </c>
      <c r="AV139" s="105">
        <f>IFERROR(BM139*BJ139^1/4,"")</f>
        <v/>
      </c>
      <c r="AW139" s="105">
        <f>IFERROR(SUM(AX139:AZ139),"")</f>
        <v/>
      </c>
      <c r="AX139" s="105">
        <f>IFERROR(BH139,"")</f>
        <v/>
      </c>
      <c r="AY139" s="105">
        <f>IFERROR(Driver!$K$19/Data!BH139/Data!BI139*Data!BK139*Data!BL139,"")</f>
        <v/>
      </c>
      <c r="AZ139" s="105">
        <f>IFERROR(BI139*BN139,"")</f>
        <v/>
      </c>
      <c r="BA139" s="105" t="n"/>
      <c r="BB139" s="105" t="n"/>
      <c r="BC139" s="105">
        <f>IFERROR(BI139*BN139*BK139/BJ139^(1/2),"")</f>
        <v/>
      </c>
      <c r="BD139" s="105">
        <f>IFERROR(BH139*BM139*BL139/BJ139/BK139,"")</f>
        <v/>
      </c>
      <c r="BE139" s="105">
        <f>IFERROR(MIN(BI139/BQ139/BP139/BO139/BH139,$BE$1),"")</f>
        <v/>
      </c>
      <c r="BF139" s="105">
        <f>IFERROR(BJ139*BO139*BP139/BK139,"")</f>
        <v/>
      </c>
      <c r="BG139" s="105">
        <f>IFERROR(1/BM139/BH139*BQ139,"")</f>
        <v/>
      </c>
      <c r="BH139" s="102">
        <f>MAX((CE139-Driver!$F$200)/(Driver!$G$200-Driver!$F$200)*$BI$1,1)</f>
        <v/>
      </c>
      <c r="BI139" s="102">
        <f>MAX($BI$1*(BY139-Driver!$F$201)/(Driver!$G$201-Driver!$F$201),1)</f>
        <v/>
      </c>
      <c r="BJ139" s="102">
        <f>(CB139-Driver!$F$206)/(Driver!$G$206-Driver!$F$206)*$BI$1</f>
        <v/>
      </c>
      <c r="BK139" s="102">
        <f>(CD139-Driver!$F$203)/(Driver!$G$203-Driver!$F$203)*$BI$1</f>
        <v/>
      </c>
      <c r="BL139" s="102">
        <f>MAX((CR139-Driver!$F$202)/(Driver!$G$202-Driver!$F$202)*$BI$1,1)</f>
        <v/>
      </c>
      <c r="BM139" s="102">
        <f>MAX((CH139-Driver!$F$204)/(Driver!$G$204-Driver!$F$204)*$BI$1,1)</f>
        <v/>
      </c>
      <c r="BN139" s="102">
        <f>(CI139-Driver!$F$205)/(Driver!$G$205-Driver!$F$205)*$BI$1</f>
        <v/>
      </c>
      <c r="BO139" s="102">
        <f>(CK139-Driver!$F$207)/(Driver!$G$207-Driver!$F$207)*$BI$1</f>
        <v/>
      </c>
      <c r="BP139" s="102">
        <f>(CM139-Driver!$F$208)/(Driver!$G$208-Driver!$F$208)*$BI$1</f>
        <v/>
      </c>
      <c r="BQ139" s="102">
        <f>(CL139-Driver!$F$209)/(Driver!$G$209-Driver!$F$209)*$BI$1</f>
        <v/>
      </c>
      <c r="BR139" s="40" t="inlineStr">
        <is>
          <t>21/22</t>
        </is>
      </c>
      <c r="BS139" s="10" t="inlineStr">
        <is>
          <t xml:space="preserve"> K2</t>
        </is>
      </c>
      <c r="BT139" s="11" t="inlineStr">
        <is>
          <t>Mindbender 116 C</t>
        </is>
      </c>
      <c r="BU139" s="13" t="n">
        <v>179</v>
      </c>
      <c r="BV139" s="11" t="inlineStr">
        <is>
          <t xml:space="preserve"> Unisex</t>
        </is>
      </c>
      <c r="BW139" s="13" t="n">
        <v>179</v>
      </c>
      <c r="BX139" s="13" t="n">
        <v>179</v>
      </c>
      <c r="BY139" s="13" t="n">
        <v>101</v>
      </c>
      <c r="BZ139" s="13" t="n">
        <v>141</v>
      </c>
      <c r="CA139" s="13" t="n">
        <v>142</v>
      </c>
      <c r="CB139" s="13" t="n">
        <v>115</v>
      </c>
      <c r="CC139" s="13" t="n">
        <v>132</v>
      </c>
      <c r="CD139" s="13" t="n">
        <v>21.5</v>
      </c>
      <c r="CE139" s="13" t="n">
        <v>1821</v>
      </c>
      <c r="CF139" s="13" t="n">
        <v>1.21</v>
      </c>
      <c r="CG139" s="13" t="n">
        <v>2209</v>
      </c>
      <c r="CH139" s="13" t="n">
        <v>180</v>
      </c>
      <c r="CI139" s="13" t="n">
        <v>110</v>
      </c>
      <c r="CJ139" s="13" t="n">
        <v>59</v>
      </c>
      <c r="CK139" s="13" t="n">
        <v>461</v>
      </c>
      <c r="CL139" s="13" t="n">
        <v>25</v>
      </c>
      <c r="CM139" s="13" t="n">
        <v>317</v>
      </c>
      <c r="CN139" s="13" t="n">
        <v>0.427</v>
      </c>
      <c r="CO139" s="13" t="n">
        <v>204</v>
      </c>
      <c r="CP139" s="13" t="n">
        <v>175</v>
      </c>
      <c r="CQ139" s="13" t="n">
        <v>257</v>
      </c>
      <c r="CR139" s="13" t="n">
        <v>4</v>
      </c>
      <c r="CS139" s="13" t="n">
        <v>10.4</v>
      </c>
      <c r="CT139" s="11" t="inlineStr">
        <is>
          <t xml:space="preserve"> Powder</t>
        </is>
      </c>
      <c r="CU139" s="11" t="inlineStr">
        <is>
          <t xml:space="preserve"> Touring</t>
        </is>
      </c>
      <c r="CV139" s="13" t="n"/>
      <c r="CW139" s="13" t="n"/>
      <c r="CX139">
        <f>INDEX('Data_Price '!AG$2:AG$1266,MATCH(Data!$DN139,'Data_Price '!$AT$2:$AT$1266,0))</f>
        <v/>
      </c>
      <c r="CY139">
        <f>INDEX('Data_Price '!AH$2:AH$1266,MATCH(Data!$DN139,'Data_Price '!$AT$2:$AT$1266,0))</f>
        <v/>
      </c>
      <c r="CZ139">
        <f>INDEX('Data_Price '!AI$2:AI$1266,MATCH(Data!$DN139,'Data_Price '!$AT$2:$AT$1266,0))</f>
        <v/>
      </c>
      <c r="DA139">
        <f>INDEX('Data_Price '!AJ$2:AJ$1266,MATCH(Data!$DN139,'Data_Price '!$AT$2:$AT$1266,0))</f>
        <v/>
      </c>
      <c r="DB139">
        <f>INDEX('Data_Price '!AK$2:AK$1266,MATCH(Data!$DN139,'Data_Price '!$AT$2:$AT$1266,0))</f>
        <v/>
      </c>
      <c r="DC139">
        <f>INDEX('Data_Price '!AL$2:AL$1266,MATCH(Data!$DN139,'Data_Price '!$AT$2:$AT$1266,0))</f>
        <v/>
      </c>
      <c r="DD139">
        <f>INDEX('Data_Price '!AM$2:AM$1266,MATCH(Data!$DN139,'Data_Price '!$AT$2:$AT$1266,0))</f>
        <v/>
      </c>
      <c r="DE139">
        <f>INDEX('Data_Price '!AN$2:AN$1266,MATCH(Data!$DN139,'Data_Price '!$AT$2:$AT$1266,0))</f>
        <v/>
      </c>
      <c r="DF139">
        <f>INDEX('Data_Price '!AO$2:AO$1266,MATCH(Data!$DN139,'Data_Price '!$AT$2:$AT$1266,0))</f>
        <v/>
      </c>
      <c r="DG139">
        <f>INDEX('Data_Price '!AP$2:AP$1266,MATCH(Data!$DN139,'Data_Price '!$AT$2:$AT$1266,0))</f>
        <v/>
      </c>
      <c r="DH139">
        <f>INDEX('Data_Price '!AQ$2:AQ$1266,MATCH(Data!$DN139,'Data_Price '!$AT$2:$AT$1266,0))</f>
        <v/>
      </c>
      <c r="DI139">
        <f>INDEX('Data_Price '!AR$2:AR$1266,MATCH(Data!$DN139,'Data_Price '!$AT$2:$AT$1266,0))</f>
        <v/>
      </c>
      <c r="DJ139" s="138">
        <f>DA139</f>
        <v/>
      </c>
      <c r="DK139" s="138">
        <f>DE139</f>
        <v/>
      </c>
      <c r="DL139" s="138">
        <f>DI139</f>
        <v/>
      </c>
      <c r="DM139" s="303">
        <f>IF(LEFT(BT139,1)=" ",RIGHT(BT139,LEN(BT139)-1),BT139)</f>
        <v/>
      </c>
      <c r="DN139" s="138">
        <f>_xlfn.CONCAT(BS139,DM139,BU139,BV139)</f>
        <v/>
      </c>
      <c r="DO139" s="307" t="inlineStr">
        <is>
          <t>https://images.evo.com/imgp/250/201036/824959/k2-mindbender-116-c-skis-2022-.jpg</t>
        </is>
      </c>
    </row>
    <row r="140" ht="15.6" customHeight="1" s="184">
      <c r="B140" s="303">
        <f t="array" ref="B140">IF(OR(ISERROR(K140:P140)),FALSE,TRUE)</f>
        <v/>
      </c>
      <c r="C140" s="60">
        <f>OR(BR140=Driver!$G$50,Data!BR347=Driver!$H$50)</f>
        <v/>
      </c>
      <c r="D140" s="60">
        <f>OR(BV140=Driver!$G$51,BV140=Driver!$H$51)</f>
        <v/>
      </c>
      <c r="E140" s="60">
        <f>AND(BX140&gt;Driver!$F$54,BX140&lt;Driver!$G$54)</f>
        <v/>
      </c>
      <c r="F140" s="60">
        <f>CL140&gt;Driver!$F$56</f>
        <v/>
      </c>
      <c r="G140" s="60">
        <f>AND(CB140&gt;Driver!$F$55,CB140&lt;Driver!$G$55)</f>
        <v/>
      </c>
      <c r="H140" s="60">
        <f>AND(B140:G140)</f>
        <v/>
      </c>
      <c r="I140" s="60">
        <f>COUNTIFS($H$9:$H$1273,TRUE,$BT$9:$BT$1273,BT140)</f>
        <v/>
      </c>
      <c r="J140" s="60">
        <f t="array" ref="J140">NOT(OR(($H$9:$H$1273=TRUE)*($I$9:$I$1273&gt;0)*($BT$9:$BT$1273=BT140)*($K$9:$K$1273&gt;K140)))</f>
        <v/>
      </c>
      <c r="K140" s="108">
        <f>IFERROR(1-AVERAGE(X140:Y140),"")</f>
        <v/>
      </c>
      <c r="L140" s="108">
        <f>1-X140</f>
        <v/>
      </c>
      <c r="M140" s="108">
        <f>1-Y140</f>
        <v/>
      </c>
      <c r="N140" s="108">
        <f>1-Z140</f>
        <v/>
      </c>
      <c r="O140" s="108">
        <f>1-AA140</f>
        <v/>
      </c>
      <c r="P140" s="108">
        <f>1-AB140</f>
        <v/>
      </c>
      <c r="Q140" s="108" t="n"/>
      <c r="R140" s="108" t="n"/>
      <c r="S140" s="108">
        <f>1-AE140</f>
        <v/>
      </c>
      <c r="T140" s="108">
        <f>1-AF140</f>
        <v/>
      </c>
      <c r="U140" s="108">
        <f>1-AG140</f>
        <v/>
      </c>
      <c r="V140" s="108">
        <f>1-AH140</f>
        <v/>
      </c>
      <c r="W140" s="108">
        <f>1-AI140</f>
        <v/>
      </c>
      <c r="X140" s="108">
        <f>ABS(AJ140-AJ$1)</f>
        <v/>
      </c>
      <c r="Y140" s="108">
        <f>AVERAGE(Z140:AB140)</f>
        <v/>
      </c>
      <c r="Z140" s="108">
        <f>ABS(AL140-AL$1)</f>
        <v/>
      </c>
      <c r="AA140" s="108">
        <f>ABS(AM140-AM$1)</f>
        <v/>
      </c>
      <c r="AB140" s="108">
        <f>ABS(AN140-AN$1)</f>
        <v/>
      </c>
      <c r="AC140" s="108" t="n"/>
      <c r="AD140" s="108" t="n"/>
      <c r="AE140" s="108">
        <f>ABS(AQ$1-AQ140)</f>
        <v/>
      </c>
      <c r="AF140" s="108">
        <f>ABS(AR$1-AR140)</f>
        <v/>
      </c>
      <c r="AG140" s="108">
        <f>ABS(AS$1-AS140)</f>
        <v/>
      </c>
      <c r="AH140" s="108">
        <f>ABS(AT$1-AT140)</f>
        <v/>
      </c>
      <c r="AI140" s="108">
        <f>ABS(AU$1-AU140)</f>
        <v/>
      </c>
      <c r="AJ140" s="108">
        <f>(AV140-Driver!$K$179)/(Driver!$L$179-Driver!$K$179)</f>
        <v/>
      </c>
      <c r="AK140" s="108">
        <f>(AW140-Driver!$K$180)/(Driver!$L$180-Driver!$K$180)</f>
        <v/>
      </c>
      <c r="AL140" s="108">
        <f>(AX140-Driver!$K$181)/(Driver!$L$181-Driver!$K$181)</f>
        <v/>
      </c>
      <c r="AM140" s="108">
        <f>(AY140-Driver!$K$182)/(Driver!$L$182-Driver!$K$182)</f>
        <v/>
      </c>
      <c r="AN140" s="108">
        <f>(AZ140-Driver!$K$183)/(Driver!$L$183-Driver!$K$183)</f>
        <v/>
      </c>
      <c r="AO140" s="108" t="n"/>
      <c r="AP140" s="108" t="n"/>
      <c r="AQ140" s="108">
        <f>(BC140-Driver!$K$188)/(Driver!$L$188-Driver!$K$188)</f>
        <v/>
      </c>
      <c r="AR140" s="108">
        <f>MIN((BD140-Driver!$K$189)/(Driver!$L$189-Driver!$K$189),100%)</f>
        <v/>
      </c>
      <c r="AS140" s="108">
        <f>(BE140-Driver!$K$190)/(Driver!$L$190-Driver!$K$190)</f>
        <v/>
      </c>
      <c r="AT140" s="108">
        <f>(BF140-Driver!$K$191)/(Driver!$L$191-Driver!$K$191)</f>
        <v/>
      </c>
      <c r="AU140" s="108">
        <f>(BG140-Driver!$K$192)/(Driver!$L$192-Driver!$K$192)</f>
        <v/>
      </c>
      <c r="AV140" s="105">
        <f>IFERROR(BM140*BJ140^1/4,"")</f>
        <v/>
      </c>
      <c r="AW140" s="105">
        <f>IFERROR(SUM(AX140:AZ140),"")</f>
        <v/>
      </c>
      <c r="AX140" s="105">
        <f>IFERROR(BH140,"")</f>
        <v/>
      </c>
      <c r="AY140" s="105">
        <f>IFERROR(Driver!$K$19/Data!BH140/Data!BI140*Data!BK140*Data!BL140,"")</f>
        <v/>
      </c>
      <c r="AZ140" s="105">
        <f>IFERROR(BI140*BN140,"")</f>
        <v/>
      </c>
      <c r="BA140" s="105" t="n"/>
      <c r="BB140" s="105" t="n"/>
      <c r="BC140" s="105">
        <f>IFERROR(BI140*BN140*BK140/BJ140^(1/2),"")</f>
        <v/>
      </c>
      <c r="BD140" s="105">
        <f>IFERROR(BH140*BM140*BL140/BJ140/BK140,"")</f>
        <v/>
      </c>
      <c r="BE140" s="105">
        <f>IFERROR(MIN(BI140/BQ140/BP140/BO140/BH140,$BE$1),"")</f>
        <v/>
      </c>
      <c r="BF140" s="105">
        <f>IFERROR(BJ140*BO140*BP140/BK140,"")</f>
        <v/>
      </c>
      <c r="BG140" s="105">
        <f>IFERROR(1/BM140/BH140*BQ140,"")</f>
        <v/>
      </c>
      <c r="BH140" s="102">
        <f>MAX((CE140-Driver!$F$200)/(Driver!$G$200-Driver!$F$200)*$BI$1,1)</f>
        <v/>
      </c>
      <c r="BI140" s="102">
        <f>MAX($BI$1*(BY140-Driver!$F$201)/(Driver!$G$201-Driver!$F$201),1)</f>
        <v/>
      </c>
      <c r="BJ140" s="102">
        <f>(CB140-Driver!$F$206)/(Driver!$G$206-Driver!$F$206)*$BI$1</f>
        <v/>
      </c>
      <c r="BK140" s="102">
        <f>(CD140-Driver!$F$203)/(Driver!$G$203-Driver!$F$203)*$BI$1</f>
        <v/>
      </c>
      <c r="BL140" s="102">
        <f>MAX((CR140-Driver!$F$202)/(Driver!$G$202-Driver!$F$202)*$BI$1,1)</f>
        <v/>
      </c>
      <c r="BM140" s="102">
        <f>MAX((CH140-Driver!$F$204)/(Driver!$G$204-Driver!$F$204)*$BI$1,1)</f>
        <v/>
      </c>
      <c r="BN140" s="102">
        <f>(CI140-Driver!$F$205)/(Driver!$G$205-Driver!$F$205)*$BI$1</f>
        <v/>
      </c>
      <c r="BO140" s="102">
        <f>(CK140-Driver!$F$207)/(Driver!$G$207-Driver!$F$207)*$BI$1</f>
        <v/>
      </c>
      <c r="BP140" s="102">
        <f>(CM140-Driver!$F$208)/(Driver!$G$208-Driver!$F$208)*$BI$1</f>
        <v/>
      </c>
      <c r="BQ140" s="102">
        <f>(CL140-Driver!$F$209)/(Driver!$G$209-Driver!$F$209)*$BI$1</f>
        <v/>
      </c>
      <c r="BR140" s="40" t="inlineStr">
        <is>
          <t>21/22</t>
        </is>
      </c>
      <c r="BS140" s="10" t="inlineStr">
        <is>
          <t xml:space="preserve"> DPS</t>
        </is>
      </c>
      <c r="BT140" s="11" t="inlineStr">
        <is>
          <t>Pagoda Piste 100 C2</t>
        </is>
      </c>
      <c r="BU140" s="13" t="n">
        <v>165</v>
      </c>
      <c r="BV140" s="11" t="inlineStr">
        <is>
          <t xml:space="preserve"> Unisex</t>
        </is>
      </c>
      <c r="BW140" s="13" t="n">
        <v>165</v>
      </c>
      <c r="BX140" s="13" t="n">
        <v>164.5</v>
      </c>
      <c r="BY140" s="13" t="n">
        <v>123</v>
      </c>
      <c r="BZ140" s="13" t="n">
        <v>128</v>
      </c>
      <c r="CA140" s="13" t="n">
        <v>127</v>
      </c>
      <c r="CB140" s="13" t="n">
        <v>100</v>
      </c>
      <c r="CC140" s="13" t="n">
        <v>112</v>
      </c>
      <c r="CD140" s="13" t="n">
        <v>18.9</v>
      </c>
      <c r="CE140" s="13" t="n">
        <v>1732</v>
      </c>
      <c r="CF140" s="13" t="n">
        <v>1.03</v>
      </c>
      <c r="CG140" s="13" t="n">
        <v>1777</v>
      </c>
      <c r="CH140" s="13" t="n">
        <v>183</v>
      </c>
      <c r="CI140" s="13" t="n">
        <v>117</v>
      </c>
      <c r="CJ140" s="13" t="n">
        <v>39</v>
      </c>
      <c r="CK140" s="13" t="n">
        <v>238</v>
      </c>
      <c r="CL140" s="13" t="n">
        <v>19</v>
      </c>
      <c r="CM140" s="13" t="n">
        <v>180</v>
      </c>
      <c r="CN140" s="13" t="n">
        <v>0.48</v>
      </c>
      <c r="CO140" s="13" t="n">
        <v>186</v>
      </c>
      <c r="CP140" s="13" t="n">
        <v>183</v>
      </c>
      <c r="CQ140" s="13" t="n">
        <v>52</v>
      </c>
      <c r="CR140" s="13" t="n">
        <v>6</v>
      </c>
      <c r="CS140" s="13" t="n">
        <v>10.4</v>
      </c>
      <c r="CT140" s="11" t="inlineStr">
        <is>
          <t xml:space="preserve"> Resort Freeride</t>
        </is>
      </c>
      <c r="CU140" s="13" t="n"/>
      <c r="CV140" s="13" t="n"/>
      <c r="CW140" s="13" t="n"/>
      <c r="CX140">
        <f>INDEX('Data_Price '!AG$2:AG$1266,MATCH(Data!$DN140,'Data_Price '!$AT$2:$AT$1266,0))</f>
        <v/>
      </c>
      <c r="CY140">
        <f>INDEX('Data_Price '!AH$2:AH$1266,MATCH(Data!$DN140,'Data_Price '!$AT$2:$AT$1266,0))</f>
        <v/>
      </c>
      <c r="CZ140">
        <f>INDEX('Data_Price '!AI$2:AI$1266,MATCH(Data!$DN140,'Data_Price '!$AT$2:$AT$1266,0))</f>
        <v/>
      </c>
      <c r="DA140">
        <f>INDEX('Data_Price '!AJ$2:AJ$1266,MATCH(Data!$DN140,'Data_Price '!$AT$2:$AT$1266,0))</f>
        <v/>
      </c>
      <c r="DB140">
        <f>INDEX('Data_Price '!AK$2:AK$1266,MATCH(Data!$DN140,'Data_Price '!$AT$2:$AT$1266,0))</f>
        <v/>
      </c>
      <c r="DC140">
        <f>INDEX('Data_Price '!AL$2:AL$1266,MATCH(Data!$DN140,'Data_Price '!$AT$2:$AT$1266,0))</f>
        <v/>
      </c>
      <c r="DD140">
        <f>INDEX('Data_Price '!AM$2:AM$1266,MATCH(Data!$DN140,'Data_Price '!$AT$2:$AT$1266,0))</f>
        <v/>
      </c>
      <c r="DE140">
        <f>INDEX('Data_Price '!AN$2:AN$1266,MATCH(Data!$DN140,'Data_Price '!$AT$2:$AT$1266,0))</f>
        <v/>
      </c>
      <c r="DF140">
        <f>INDEX('Data_Price '!AO$2:AO$1266,MATCH(Data!$DN140,'Data_Price '!$AT$2:$AT$1266,0))</f>
        <v/>
      </c>
      <c r="DG140">
        <f>INDEX('Data_Price '!AP$2:AP$1266,MATCH(Data!$DN140,'Data_Price '!$AT$2:$AT$1266,0))</f>
        <v/>
      </c>
      <c r="DH140">
        <f>INDEX('Data_Price '!AQ$2:AQ$1266,MATCH(Data!$DN140,'Data_Price '!$AT$2:$AT$1266,0))</f>
        <v/>
      </c>
      <c r="DI140">
        <f>INDEX('Data_Price '!AR$2:AR$1266,MATCH(Data!$DN140,'Data_Price '!$AT$2:$AT$1266,0))</f>
        <v/>
      </c>
      <c r="DJ140" s="138">
        <f>DA140</f>
        <v/>
      </c>
      <c r="DK140" s="138">
        <f>DE140</f>
        <v/>
      </c>
      <c r="DL140" s="138">
        <f>DI140</f>
        <v/>
      </c>
      <c r="DM140" s="303">
        <f>IF(LEFT(BT140,1)=" ",RIGHT(BT140,LEN(BT140)-1),BT140)</f>
        <v/>
      </c>
      <c r="DN140" s="138">
        <f>_xlfn.CONCAT(BS140,DM140,BU140,BV140)</f>
        <v/>
      </c>
      <c r="DO140" s="307" t="n"/>
    </row>
    <row r="141" ht="15.6" customHeight="1" s="184">
      <c r="B141" s="303">
        <f t="array" ref="B141">IF(OR(ISERROR(K141:P141)),FALSE,TRUE)</f>
        <v/>
      </c>
      <c r="C141" s="60">
        <f>OR(BR141=Driver!$G$50,Data!BR72=Driver!$H$50)</f>
        <v/>
      </c>
      <c r="D141" s="60">
        <f>OR(BV141=Driver!$G$51,BV141=Driver!$H$51)</f>
        <v/>
      </c>
      <c r="E141" s="60">
        <f>AND(BX141&gt;Driver!$F$54,BX141&lt;Driver!$G$54)</f>
        <v/>
      </c>
      <c r="F141" s="60">
        <f>CL141&gt;Driver!$F$56</f>
        <v/>
      </c>
      <c r="G141" s="60">
        <f>AND(CB141&gt;Driver!$F$55,CB141&lt;Driver!$G$55)</f>
        <v/>
      </c>
      <c r="H141" s="60">
        <f>AND(B141:G141)</f>
        <v/>
      </c>
      <c r="I141" s="60">
        <f>COUNTIFS($H$9:$H$1273,TRUE,$BT$9:$BT$1273,BT141)</f>
        <v/>
      </c>
      <c r="J141" s="60">
        <f t="array" ref="J141">NOT(OR(($H$9:$H$1273=TRUE)*($I$9:$I$1273&gt;0)*($BT$9:$BT$1273=BT141)*($K$9:$K$1273&gt;K141)))</f>
        <v/>
      </c>
      <c r="K141" s="108">
        <f>IFERROR(1-AVERAGE(X141:Y141),"")</f>
        <v/>
      </c>
      <c r="L141" s="108">
        <f>1-X141</f>
        <v/>
      </c>
      <c r="M141" s="108">
        <f>1-Y141</f>
        <v/>
      </c>
      <c r="N141" s="108">
        <f>1-Z141</f>
        <v/>
      </c>
      <c r="O141" s="108">
        <f>1-AA141</f>
        <v/>
      </c>
      <c r="P141" s="108">
        <f>1-AB141</f>
        <v/>
      </c>
      <c r="Q141" s="108" t="n"/>
      <c r="R141" s="108" t="n"/>
      <c r="S141" s="108">
        <f>1-AE141</f>
        <v/>
      </c>
      <c r="T141" s="108">
        <f>1-AF141</f>
        <v/>
      </c>
      <c r="U141" s="108">
        <f>1-AG141</f>
        <v/>
      </c>
      <c r="V141" s="108">
        <f>1-AH141</f>
        <v/>
      </c>
      <c r="W141" s="108">
        <f>1-AI141</f>
        <v/>
      </c>
      <c r="X141" s="108">
        <f>ABS(AJ141-AJ$1)</f>
        <v/>
      </c>
      <c r="Y141" s="108">
        <f>AVERAGE(Z141:AB141)</f>
        <v/>
      </c>
      <c r="Z141" s="108">
        <f>ABS(AL141-AL$1)</f>
        <v/>
      </c>
      <c r="AA141" s="108">
        <f>ABS(AM141-AM$1)</f>
        <v/>
      </c>
      <c r="AB141" s="108">
        <f>ABS(AN141-AN$1)</f>
        <v/>
      </c>
      <c r="AC141" s="108" t="n"/>
      <c r="AD141" s="108" t="n"/>
      <c r="AE141" s="108">
        <f>ABS(AQ$1-AQ141)</f>
        <v/>
      </c>
      <c r="AF141" s="108">
        <f>ABS(AR$1-AR141)</f>
        <v/>
      </c>
      <c r="AG141" s="108">
        <f>ABS(AS$1-AS141)</f>
        <v/>
      </c>
      <c r="AH141" s="108">
        <f>ABS(AT$1-AT141)</f>
        <v/>
      </c>
      <c r="AI141" s="108">
        <f>ABS(AU$1-AU141)</f>
        <v/>
      </c>
      <c r="AJ141" s="108">
        <f>(AV141-Driver!$K$179)/(Driver!$L$179-Driver!$K$179)</f>
        <v/>
      </c>
      <c r="AK141" s="108">
        <f>(AW141-Driver!$K$180)/(Driver!$L$180-Driver!$K$180)</f>
        <v/>
      </c>
      <c r="AL141" s="108">
        <f>(AX141-Driver!$K$181)/(Driver!$L$181-Driver!$K$181)</f>
        <v/>
      </c>
      <c r="AM141" s="108">
        <f>(AY141-Driver!$K$182)/(Driver!$L$182-Driver!$K$182)</f>
        <v/>
      </c>
      <c r="AN141" s="108">
        <f>(AZ141-Driver!$K$183)/(Driver!$L$183-Driver!$K$183)</f>
        <v/>
      </c>
      <c r="AO141" s="108" t="n"/>
      <c r="AP141" s="108" t="n"/>
      <c r="AQ141" s="108">
        <f>(BC141-Driver!$K$188)/(Driver!$L$188-Driver!$K$188)</f>
        <v/>
      </c>
      <c r="AR141" s="108">
        <f>MIN((BD141-Driver!$K$189)/(Driver!$L$189-Driver!$K$189),100%)</f>
        <v/>
      </c>
      <c r="AS141" s="108">
        <f>(BE141-Driver!$K$190)/(Driver!$L$190-Driver!$K$190)</f>
        <v/>
      </c>
      <c r="AT141" s="108">
        <f>(BF141-Driver!$K$191)/(Driver!$L$191-Driver!$K$191)</f>
        <v/>
      </c>
      <c r="AU141" s="108">
        <f>(BG141-Driver!$K$192)/(Driver!$L$192-Driver!$K$192)</f>
        <v/>
      </c>
      <c r="AV141" s="105">
        <f>IFERROR(BM141*BJ141^1/4,"")</f>
        <v/>
      </c>
      <c r="AW141" s="105">
        <f>IFERROR(SUM(AX141:AZ141),"")</f>
        <v/>
      </c>
      <c r="AX141" s="105">
        <f>IFERROR(BH141,"")</f>
        <v/>
      </c>
      <c r="AY141" s="105">
        <f>IFERROR(Driver!$K$19/Data!BH141/Data!BI141*Data!BK141*Data!BL141,"")</f>
        <v/>
      </c>
      <c r="AZ141" s="105">
        <f>IFERROR(BI141*BN141,"")</f>
        <v/>
      </c>
      <c r="BA141" s="105" t="n"/>
      <c r="BB141" s="105" t="n"/>
      <c r="BC141" s="105">
        <f>IFERROR(BI141*BN141*BK141/BJ141^(1/2),"")</f>
        <v/>
      </c>
      <c r="BD141" s="105">
        <f>IFERROR(BH141*BM141*BL141/BJ141/BK141,"")</f>
        <v/>
      </c>
      <c r="BE141" s="105">
        <f>IFERROR(MIN(BI141/BQ141/BP141/BO141/BH141,$BE$1),"")</f>
        <v/>
      </c>
      <c r="BF141" s="105">
        <f>IFERROR(BJ141*BO141*BP141/BK141,"")</f>
        <v/>
      </c>
      <c r="BG141" s="105">
        <f>IFERROR(1/BM141/BH141*BQ141,"")</f>
        <v/>
      </c>
      <c r="BH141" s="102">
        <f>MAX((CE141-Driver!$F$200)/(Driver!$G$200-Driver!$F$200)*$BI$1,1)</f>
        <v/>
      </c>
      <c r="BI141" s="102">
        <f>MAX($BI$1*(BY141-Driver!$F$201)/(Driver!$G$201-Driver!$F$201),1)</f>
        <v/>
      </c>
      <c r="BJ141" s="102">
        <f>(CB141-Driver!$F$206)/(Driver!$G$206-Driver!$F$206)*$BI$1</f>
        <v/>
      </c>
      <c r="BK141" s="102">
        <f>(CD141-Driver!$F$203)/(Driver!$G$203-Driver!$F$203)*$BI$1</f>
        <v/>
      </c>
      <c r="BL141" s="102">
        <f>MAX((CR141-Driver!$F$202)/(Driver!$G$202-Driver!$F$202)*$BI$1,1)</f>
        <v/>
      </c>
      <c r="BM141" s="102">
        <f>MAX((CH141-Driver!$F$204)/(Driver!$G$204-Driver!$F$204)*$BI$1,1)</f>
        <v/>
      </c>
      <c r="BN141" s="102">
        <f>(CI141-Driver!$F$205)/(Driver!$G$205-Driver!$F$205)*$BI$1</f>
        <v/>
      </c>
      <c r="BO141" s="102">
        <f>(CK141-Driver!$F$207)/(Driver!$G$207-Driver!$F$207)*$BI$1</f>
        <v/>
      </c>
      <c r="BP141" s="102">
        <f>(CM141-Driver!$F$208)/(Driver!$G$208-Driver!$F$208)*$BI$1</f>
        <v/>
      </c>
      <c r="BQ141" s="102">
        <f>(CL141-Driver!$F$209)/(Driver!$G$209-Driver!$F$209)*$BI$1</f>
        <v/>
      </c>
      <c r="BR141" s="40" t="inlineStr">
        <is>
          <t>21/22</t>
        </is>
      </c>
      <c r="BS141" s="10" t="inlineStr">
        <is>
          <t xml:space="preserve"> Armada</t>
        </is>
      </c>
      <c r="BT141" s="11" t="inlineStr">
        <is>
          <t>Declivity 88 Ca</t>
        </is>
      </c>
      <c r="BU141" s="13" t="n">
        <v>176</v>
      </c>
      <c r="BV141" s="11" t="inlineStr">
        <is>
          <t xml:space="preserve"> Unisex</t>
        </is>
      </c>
      <c r="BW141" s="13" t="n">
        <v>176</v>
      </c>
      <c r="BX141" s="13" t="n">
        <v>175.4</v>
      </c>
      <c r="BY141" s="13" t="n">
        <v>145</v>
      </c>
      <c r="BZ141" s="13" t="n">
        <v>154</v>
      </c>
      <c r="CA141" s="13" t="n">
        <v>131</v>
      </c>
      <c r="CB141" s="13" t="n">
        <v>87</v>
      </c>
      <c r="CC141" s="13" t="n">
        <v>111</v>
      </c>
      <c r="CD141" s="13" t="n">
        <v>17.2</v>
      </c>
      <c r="CE141" s="13" t="n">
        <v>1632</v>
      </c>
      <c r="CF141" s="13" t="n">
        <v>1.08</v>
      </c>
      <c r="CG141" s="13" t="n">
        <v>1766</v>
      </c>
      <c r="CH141" s="13" t="n">
        <v>276</v>
      </c>
      <c r="CI141" s="13" t="n">
        <v>116</v>
      </c>
      <c r="CJ141" s="13" t="n">
        <v>40</v>
      </c>
      <c r="CK141" s="13" t="n">
        <v>189</v>
      </c>
      <c r="CL141" s="13" t="n">
        <v>11</v>
      </c>
      <c r="CM141" s="13" t="n">
        <v>117</v>
      </c>
      <c r="CN141" s="13" t="n">
        <v>0.272</v>
      </c>
      <c r="CO141" s="13" t="n">
        <v>138</v>
      </c>
      <c r="CP141" s="13" t="n">
        <v>80</v>
      </c>
      <c r="CQ141" s="13" t="n">
        <v>51</v>
      </c>
      <c r="CR141" s="13" t="n">
        <v>6</v>
      </c>
      <c r="CS141" s="13" t="n">
        <v>11.8</v>
      </c>
      <c r="CT141" s="11" t="inlineStr">
        <is>
          <t xml:space="preserve"> Resort Freeride</t>
        </is>
      </c>
      <c r="CU141" s="11" t="inlineStr">
        <is>
          <t xml:space="preserve"> Touring</t>
        </is>
      </c>
      <c r="CV141" s="13" t="n"/>
      <c r="CW141" s="13" t="n"/>
      <c r="CX141">
        <f>INDEX('Data_Price '!AG$2:AG$1266,MATCH(Data!$DN141,'Data_Price '!$AT$2:$AT$1266,0))</f>
        <v/>
      </c>
      <c r="CY141">
        <f>INDEX('Data_Price '!AH$2:AH$1266,MATCH(Data!$DN141,'Data_Price '!$AT$2:$AT$1266,0))</f>
        <v/>
      </c>
      <c r="CZ141">
        <f>INDEX('Data_Price '!AI$2:AI$1266,MATCH(Data!$DN141,'Data_Price '!$AT$2:$AT$1266,0))</f>
        <v/>
      </c>
      <c r="DA141">
        <f>INDEX('Data_Price '!AJ$2:AJ$1266,MATCH(Data!$DN141,'Data_Price '!$AT$2:$AT$1266,0))</f>
        <v/>
      </c>
      <c r="DB141">
        <f>INDEX('Data_Price '!AK$2:AK$1266,MATCH(Data!$DN141,'Data_Price '!$AT$2:$AT$1266,0))</f>
        <v/>
      </c>
      <c r="DC141">
        <f>INDEX('Data_Price '!AL$2:AL$1266,MATCH(Data!$DN141,'Data_Price '!$AT$2:$AT$1266,0))</f>
        <v/>
      </c>
      <c r="DD141">
        <f>INDEX('Data_Price '!AM$2:AM$1266,MATCH(Data!$DN141,'Data_Price '!$AT$2:$AT$1266,0))</f>
        <v/>
      </c>
      <c r="DE141">
        <f>INDEX('Data_Price '!AN$2:AN$1266,MATCH(Data!$DN141,'Data_Price '!$AT$2:$AT$1266,0))</f>
        <v/>
      </c>
      <c r="DF141">
        <f>INDEX('Data_Price '!AO$2:AO$1266,MATCH(Data!$DN141,'Data_Price '!$AT$2:$AT$1266,0))</f>
        <v/>
      </c>
      <c r="DG141">
        <f>INDEX('Data_Price '!AP$2:AP$1266,MATCH(Data!$DN141,'Data_Price '!$AT$2:$AT$1266,0))</f>
        <v/>
      </c>
      <c r="DH141">
        <f>INDEX('Data_Price '!AQ$2:AQ$1266,MATCH(Data!$DN141,'Data_Price '!$AT$2:$AT$1266,0))</f>
        <v/>
      </c>
      <c r="DI141">
        <f>INDEX('Data_Price '!AR$2:AR$1266,MATCH(Data!$DN141,'Data_Price '!$AT$2:$AT$1266,0))</f>
        <v/>
      </c>
      <c r="DJ141" s="138">
        <f>DA141</f>
        <v/>
      </c>
      <c r="DK141" s="138">
        <f>DE141</f>
        <v/>
      </c>
      <c r="DL141" s="138">
        <f>DI141</f>
        <v/>
      </c>
      <c r="DM141" s="303">
        <f>IF(LEFT(BT141,1)=" ",RIGHT(BT141,LEN(BT141)-1),BT141)</f>
        <v/>
      </c>
      <c r="DN141" s="138">
        <f>_xlfn.CONCAT(BS141,DM141,BU141,BV141)</f>
        <v/>
      </c>
      <c r="DO141" s="307" t="n"/>
    </row>
    <row r="142" ht="15.6" customHeight="1" s="184">
      <c r="B142" s="303">
        <f t="array" ref="B142">IF(OR(ISERROR(K142:P142)),FALSE,TRUE)</f>
        <v/>
      </c>
      <c r="C142" s="60">
        <f>OR(BR142=Driver!$G$50,Data!BR929=Driver!$H$50)</f>
        <v/>
      </c>
      <c r="D142" s="60">
        <f>OR(BV142=Driver!$G$51,BV142=Driver!$H$51)</f>
        <v/>
      </c>
      <c r="E142" s="60">
        <f>AND(BX142&gt;Driver!$F$54,BX142&lt;Driver!$G$54)</f>
        <v/>
      </c>
      <c r="F142" s="60">
        <f>CL142&gt;Driver!$F$56</f>
        <v/>
      </c>
      <c r="G142" s="60">
        <f>AND(CB142&gt;Driver!$F$55,CB142&lt;Driver!$G$55)</f>
        <v/>
      </c>
      <c r="H142" s="60">
        <f>AND(B142:G142)</f>
        <v/>
      </c>
      <c r="I142" s="60">
        <f>COUNTIFS($H$9:$H$1273,TRUE,$BT$9:$BT$1273,BT142)</f>
        <v/>
      </c>
      <c r="J142" s="60">
        <f t="array" ref="J142">NOT(OR(($H$9:$H$1273=TRUE)*($I$9:$I$1273&gt;0)*($BT$9:$BT$1273=BT142)*($K$9:$K$1273&gt;K142)))</f>
        <v/>
      </c>
      <c r="K142" s="108">
        <f>IFERROR(1-AVERAGE(X142:Y142),"")</f>
        <v/>
      </c>
      <c r="L142" s="108">
        <f>1-X142</f>
        <v/>
      </c>
      <c r="M142" s="108">
        <f>1-Y142</f>
        <v/>
      </c>
      <c r="N142" s="108">
        <f>1-Z142</f>
        <v/>
      </c>
      <c r="O142" s="108">
        <f>1-AA142</f>
        <v/>
      </c>
      <c r="P142" s="108">
        <f>1-AB142</f>
        <v/>
      </c>
      <c r="Q142" s="108" t="n"/>
      <c r="R142" s="108" t="n"/>
      <c r="S142" s="108">
        <f>1-AE142</f>
        <v/>
      </c>
      <c r="T142" s="108">
        <f>1-AF142</f>
        <v/>
      </c>
      <c r="U142" s="108">
        <f>1-AG142</f>
        <v/>
      </c>
      <c r="V142" s="108">
        <f>1-AH142</f>
        <v/>
      </c>
      <c r="W142" s="108">
        <f>1-AI142</f>
        <v/>
      </c>
      <c r="X142" s="108">
        <f>ABS(AJ142-AJ$1)</f>
        <v/>
      </c>
      <c r="Y142" s="108">
        <f>AVERAGE(Z142:AB142)</f>
        <v/>
      </c>
      <c r="Z142" s="108">
        <f>ABS(AL142-AL$1)</f>
        <v/>
      </c>
      <c r="AA142" s="108">
        <f>ABS(AM142-AM$1)</f>
        <v/>
      </c>
      <c r="AB142" s="108">
        <f>ABS(AN142-AN$1)</f>
        <v/>
      </c>
      <c r="AC142" s="108" t="n"/>
      <c r="AD142" s="108" t="n"/>
      <c r="AE142" s="108">
        <f>ABS(AQ$1-AQ142)</f>
        <v/>
      </c>
      <c r="AF142" s="108">
        <f>ABS(AR$1-AR142)</f>
        <v/>
      </c>
      <c r="AG142" s="108">
        <f>ABS(AS$1-AS142)</f>
        <v/>
      </c>
      <c r="AH142" s="108">
        <f>ABS(AT$1-AT142)</f>
        <v/>
      </c>
      <c r="AI142" s="108">
        <f>ABS(AU$1-AU142)</f>
        <v/>
      </c>
      <c r="AJ142" s="108">
        <f>(AV142-Driver!$K$179)/(Driver!$L$179-Driver!$K$179)</f>
        <v/>
      </c>
      <c r="AK142" s="108">
        <f>(AW142-Driver!$K$180)/(Driver!$L$180-Driver!$K$180)</f>
        <v/>
      </c>
      <c r="AL142" s="108">
        <f>(AX142-Driver!$K$181)/(Driver!$L$181-Driver!$K$181)</f>
        <v/>
      </c>
      <c r="AM142" s="108">
        <f>(AY142-Driver!$K$182)/(Driver!$L$182-Driver!$K$182)</f>
        <v/>
      </c>
      <c r="AN142" s="108">
        <f>(AZ142-Driver!$K$183)/(Driver!$L$183-Driver!$K$183)</f>
        <v/>
      </c>
      <c r="AO142" s="108" t="n"/>
      <c r="AP142" s="108" t="n"/>
      <c r="AQ142" s="108">
        <f>(BC142-Driver!$K$188)/(Driver!$L$188-Driver!$K$188)</f>
        <v/>
      </c>
      <c r="AR142" s="108">
        <f>MIN((BD142-Driver!$K$189)/(Driver!$L$189-Driver!$K$189),100%)</f>
        <v/>
      </c>
      <c r="AS142" s="108">
        <f>(BE142-Driver!$K$190)/(Driver!$L$190-Driver!$K$190)</f>
        <v/>
      </c>
      <c r="AT142" s="108">
        <f>(BF142-Driver!$K$191)/(Driver!$L$191-Driver!$K$191)</f>
        <v/>
      </c>
      <c r="AU142" s="108">
        <f>(BG142-Driver!$K$192)/(Driver!$L$192-Driver!$K$192)</f>
        <v/>
      </c>
      <c r="AV142" s="105">
        <f>IFERROR(BM142*BJ142^1/4,"")</f>
        <v/>
      </c>
      <c r="AW142" s="105">
        <f>IFERROR(SUM(AX142:AZ142),"")</f>
        <v/>
      </c>
      <c r="AX142" s="105">
        <f>IFERROR(BH142,"")</f>
        <v/>
      </c>
      <c r="AY142" s="105">
        <f>IFERROR(Driver!$K$19/Data!BH142/Data!BI142*Data!BK142*Data!BL142,"")</f>
        <v/>
      </c>
      <c r="AZ142" s="105">
        <f>IFERROR(BI142*BN142,"")</f>
        <v/>
      </c>
      <c r="BA142" s="105" t="n"/>
      <c r="BB142" s="105" t="n"/>
      <c r="BC142" s="105">
        <f>IFERROR(BI142*BN142*BK142/BJ142^(1/2),"")</f>
        <v/>
      </c>
      <c r="BD142" s="105">
        <f>IFERROR(BH142*BM142*BL142/BJ142/BK142,"")</f>
        <v/>
      </c>
      <c r="BE142" s="105">
        <f>IFERROR(MIN(BI142/BQ142/BP142/BO142/BH142,$BE$1),"")</f>
        <v/>
      </c>
      <c r="BF142" s="105">
        <f>IFERROR(BJ142*BO142*BP142/BK142,"")</f>
        <v/>
      </c>
      <c r="BG142" s="105">
        <f>IFERROR(1/BM142/BH142*BQ142,"")</f>
        <v/>
      </c>
      <c r="BH142" s="102">
        <f>MAX((CE142-Driver!$F$200)/(Driver!$G$200-Driver!$F$200)*$BI$1,1)</f>
        <v/>
      </c>
      <c r="BI142" s="102">
        <f>MAX($BI$1*(BY142-Driver!$F$201)/(Driver!$G$201-Driver!$F$201),1)</f>
        <v/>
      </c>
      <c r="BJ142" s="102">
        <f>(CB142-Driver!$F$206)/(Driver!$G$206-Driver!$F$206)*$BI$1</f>
        <v/>
      </c>
      <c r="BK142" s="102">
        <f>(CD142-Driver!$F$203)/(Driver!$G$203-Driver!$F$203)*$BI$1</f>
        <v/>
      </c>
      <c r="BL142" s="102">
        <f>MAX((CR142-Driver!$F$202)/(Driver!$G$202-Driver!$F$202)*$BI$1,1)</f>
        <v/>
      </c>
      <c r="BM142" s="102">
        <f>MAX((CH142-Driver!$F$204)/(Driver!$G$204-Driver!$F$204)*$BI$1,1)</f>
        <v/>
      </c>
      <c r="BN142" s="102">
        <f>(CI142-Driver!$F$205)/(Driver!$G$205-Driver!$F$205)*$BI$1</f>
        <v/>
      </c>
      <c r="BO142" s="102">
        <f>(CK142-Driver!$F$207)/(Driver!$G$207-Driver!$F$207)*$BI$1</f>
        <v/>
      </c>
      <c r="BP142" s="102">
        <f>(CM142-Driver!$F$208)/(Driver!$G$208-Driver!$F$208)*$BI$1</f>
        <v/>
      </c>
      <c r="BQ142" s="102">
        <f>(CL142-Driver!$F$209)/(Driver!$G$209-Driver!$F$209)*$BI$1</f>
        <v/>
      </c>
      <c r="BR142" s="40" t="inlineStr">
        <is>
          <t>21/22</t>
        </is>
      </c>
      <c r="BS142" s="10" t="inlineStr">
        <is>
          <t xml:space="preserve"> Nordica</t>
        </is>
      </c>
      <c r="BT142" s="11" t="inlineStr">
        <is>
          <t>Santa Ana 98</t>
        </is>
      </c>
      <c r="BU142" s="13" t="n">
        <v>165</v>
      </c>
      <c r="BV142" s="11" t="inlineStr">
        <is>
          <t xml:space="preserve"> Women's</t>
        </is>
      </c>
      <c r="BW142" s="13" t="n">
        <v>165</v>
      </c>
      <c r="BX142" s="13" t="n">
        <v>164.4</v>
      </c>
      <c r="BY142" s="13" t="n">
        <v>119</v>
      </c>
      <c r="BZ142" s="13" t="n">
        <v>135</v>
      </c>
      <c r="CA142" s="13" t="n">
        <v>131</v>
      </c>
      <c r="CB142" s="13" t="n">
        <v>99</v>
      </c>
      <c r="CC142" s="13" t="n">
        <v>117</v>
      </c>
      <c r="CD142" s="13" t="n">
        <v>16.2</v>
      </c>
      <c r="CE142" s="13" t="n">
        <v>1783</v>
      </c>
      <c r="CF142" s="13" t="n">
        <v>1.01</v>
      </c>
      <c r="CG142" s="13" t="n">
        <v>1798</v>
      </c>
      <c r="CH142" s="13" t="n">
        <v>172</v>
      </c>
      <c r="CI142" s="13" t="n">
        <v>91</v>
      </c>
      <c r="CJ142" s="13" t="n">
        <v>51</v>
      </c>
      <c r="CK142" s="13" t="n">
        <v>252</v>
      </c>
      <c r="CL142" s="13" t="n">
        <v>18</v>
      </c>
      <c r="CM142" s="13" t="n">
        <v>200</v>
      </c>
      <c r="CN142" s="13" t="n">
        <v>0.356</v>
      </c>
      <c r="CO142" s="13" t="n">
        <v>154</v>
      </c>
      <c r="CP142" s="13" t="n">
        <v>143</v>
      </c>
      <c r="CQ142" s="13" t="n">
        <v>98</v>
      </c>
      <c r="CR142" s="13" t="n">
        <v>7</v>
      </c>
      <c r="CS142" s="13" t="n">
        <v>8.5</v>
      </c>
      <c r="CT142" s="11" t="inlineStr">
        <is>
          <t xml:space="preserve"> Resort Freeride</t>
        </is>
      </c>
      <c r="CU142" s="13" t="n"/>
      <c r="CV142" s="13" t="n"/>
      <c r="CW142" s="13" t="n"/>
      <c r="CX142">
        <f>INDEX('Data_Price '!AG$2:AG$1266,MATCH(Data!$DN142,'Data_Price '!$AT$2:$AT$1266,0))</f>
        <v/>
      </c>
      <c r="CY142">
        <f>INDEX('Data_Price '!AH$2:AH$1266,MATCH(Data!$DN142,'Data_Price '!$AT$2:$AT$1266,0))</f>
        <v/>
      </c>
      <c r="CZ142">
        <f>INDEX('Data_Price '!AI$2:AI$1266,MATCH(Data!$DN142,'Data_Price '!$AT$2:$AT$1266,0))</f>
        <v/>
      </c>
      <c r="DA142">
        <f>INDEX('Data_Price '!AJ$2:AJ$1266,MATCH(Data!$DN142,'Data_Price '!$AT$2:$AT$1266,0))</f>
        <v/>
      </c>
      <c r="DB142">
        <f>INDEX('Data_Price '!AK$2:AK$1266,MATCH(Data!$DN142,'Data_Price '!$AT$2:$AT$1266,0))</f>
        <v/>
      </c>
      <c r="DC142">
        <f>INDEX('Data_Price '!AL$2:AL$1266,MATCH(Data!$DN142,'Data_Price '!$AT$2:$AT$1266,0))</f>
        <v/>
      </c>
      <c r="DD142">
        <f>INDEX('Data_Price '!AM$2:AM$1266,MATCH(Data!$DN142,'Data_Price '!$AT$2:$AT$1266,0))</f>
        <v/>
      </c>
      <c r="DE142">
        <f>INDEX('Data_Price '!AN$2:AN$1266,MATCH(Data!$DN142,'Data_Price '!$AT$2:$AT$1266,0))</f>
        <v/>
      </c>
      <c r="DF142">
        <f>INDEX('Data_Price '!AO$2:AO$1266,MATCH(Data!$DN142,'Data_Price '!$AT$2:$AT$1266,0))</f>
        <v/>
      </c>
      <c r="DG142">
        <f>INDEX('Data_Price '!AP$2:AP$1266,MATCH(Data!$DN142,'Data_Price '!$AT$2:$AT$1266,0))</f>
        <v/>
      </c>
      <c r="DH142">
        <f>INDEX('Data_Price '!AQ$2:AQ$1266,MATCH(Data!$DN142,'Data_Price '!$AT$2:$AT$1266,0))</f>
        <v/>
      </c>
      <c r="DI142">
        <f>INDEX('Data_Price '!AR$2:AR$1266,MATCH(Data!$DN142,'Data_Price '!$AT$2:$AT$1266,0))</f>
        <v/>
      </c>
      <c r="DJ142" s="138">
        <f>DA142</f>
        <v/>
      </c>
      <c r="DK142" s="138">
        <f>DE142</f>
        <v/>
      </c>
      <c r="DL142" s="138">
        <f>DI142</f>
        <v/>
      </c>
      <c r="DM142" s="303">
        <f>IF(LEFT(BT142,1)=" ",RIGHT(BT142,LEN(BT142)-1),BT142)</f>
        <v/>
      </c>
      <c r="DN142" s="138">
        <f>_xlfn.CONCAT(BS142,DM142,BU142,BV142)</f>
        <v/>
      </c>
      <c r="DO142" s="307" t="inlineStr">
        <is>
          <t>https://images.evo.com/imgp/250/198262/792324/nordica-santa-ana-98-skis-women-s-2022-.jpg</t>
        </is>
      </c>
    </row>
    <row r="143" ht="15.6" customHeight="1" s="184">
      <c r="B143" s="303">
        <f t="array" ref="B143">IF(OR(ISERROR(K143:P143)),FALSE,TRUE)</f>
        <v/>
      </c>
      <c r="C143" s="60">
        <f>OR(BR143=Driver!$G$50,Data!BR237=Driver!$H$50)</f>
        <v/>
      </c>
      <c r="D143" s="60">
        <f>OR(BV143=Driver!$G$51,BV143=Driver!$H$51)</f>
        <v/>
      </c>
      <c r="E143" s="60">
        <f>AND(BX143&gt;Driver!$F$54,BX143&lt;Driver!$G$54)</f>
        <v/>
      </c>
      <c r="F143" s="60">
        <f>CL143&gt;Driver!$F$56</f>
        <v/>
      </c>
      <c r="G143" s="60">
        <f>AND(CB143&gt;Driver!$F$55,CB143&lt;Driver!$G$55)</f>
        <v/>
      </c>
      <c r="H143" s="60">
        <f>AND(B143:G143)</f>
        <v/>
      </c>
      <c r="I143" s="60">
        <f>COUNTIFS($H$9:$H$1273,TRUE,$BT$9:$BT$1273,BT143)</f>
        <v/>
      </c>
      <c r="J143" s="60">
        <f t="array" ref="J143">NOT(OR(($H$9:$H$1273=TRUE)*($I$9:$I$1273&gt;0)*($BT$9:$BT$1273=BT143)*($K$9:$K$1273&gt;K143)))</f>
        <v/>
      </c>
      <c r="K143" s="108">
        <f>IFERROR(1-AVERAGE(X143:Y143),"")</f>
        <v/>
      </c>
      <c r="L143" s="108">
        <f>1-X143</f>
        <v/>
      </c>
      <c r="M143" s="108">
        <f>1-Y143</f>
        <v/>
      </c>
      <c r="N143" s="108">
        <f>1-Z143</f>
        <v/>
      </c>
      <c r="O143" s="108">
        <f>1-AA143</f>
        <v/>
      </c>
      <c r="P143" s="108">
        <f>1-AB143</f>
        <v/>
      </c>
      <c r="Q143" s="108" t="n"/>
      <c r="R143" s="108" t="n"/>
      <c r="S143" s="108">
        <f>1-AE143</f>
        <v/>
      </c>
      <c r="T143" s="108">
        <f>1-AF143</f>
        <v/>
      </c>
      <c r="U143" s="108">
        <f>1-AG143</f>
        <v/>
      </c>
      <c r="V143" s="108">
        <f>1-AH143</f>
        <v/>
      </c>
      <c r="W143" s="108">
        <f>1-AI143</f>
        <v/>
      </c>
      <c r="X143" s="108">
        <f>ABS(AJ143-AJ$1)</f>
        <v/>
      </c>
      <c r="Y143" s="108">
        <f>AVERAGE(Z143:AB143)</f>
        <v/>
      </c>
      <c r="Z143" s="108">
        <f>ABS(AL143-AL$1)</f>
        <v/>
      </c>
      <c r="AA143" s="108">
        <f>ABS(AM143-AM$1)</f>
        <v/>
      </c>
      <c r="AB143" s="108">
        <f>ABS(AN143-AN$1)</f>
        <v/>
      </c>
      <c r="AC143" s="108" t="n"/>
      <c r="AD143" s="108" t="n"/>
      <c r="AE143" s="108">
        <f>ABS(AQ$1-AQ143)</f>
        <v/>
      </c>
      <c r="AF143" s="108">
        <f>ABS(AR$1-AR143)</f>
        <v/>
      </c>
      <c r="AG143" s="108">
        <f>ABS(AS$1-AS143)</f>
        <v/>
      </c>
      <c r="AH143" s="108">
        <f>ABS(AT$1-AT143)</f>
        <v/>
      </c>
      <c r="AI143" s="108">
        <f>ABS(AU$1-AU143)</f>
        <v/>
      </c>
      <c r="AJ143" s="108">
        <f>(AV143-Driver!$K$179)/(Driver!$L$179-Driver!$K$179)</f>
        <v/>
      </c>
      <c r="AK143" s="108">
        <f>(AW143-Driver!$K$180)/(Driver!$L$180-Driver!$K$180)</f>
        <v/>
      </c>
      <c r="AL143" s="108">
        <f>(AX143-Driver!$K$181)/(Driver!$L$181-Driver!$K$181)</f>
        <v/>
      </c>
      <c r="AM143" s="108">
        <f>(AY143-Driver!$K$182)/(Driver!$L$182-Driver!$K$182)</f>
        <v/>
      </c>
      <c r="AN143" s="108">
        <f>(AZ143-Driver!$K$183)/(Driver!$L$183-Driver!$K$183)</f>
        <v/>
      </c>
      <c r="AO143" s="108" t="n"/>
      <c r="AP143" s="108" t="n"/>
      <c r="AQ143" s="108">
        <f>(BC143-Driver!$K$188)/(Driver!$L$188-Driver!$K$188)</f>
        <v/>
      </c>
      <c r="AR143" s="108">
        <f>MIN((BD143-Driver!$K$189)/(Driver!$L$189-Driver!$K$189),100%)</f>
        <v/>
      </c>
      <c r="AS143" s="108">
        <f>(BE143-Driver!$K$190)/(Driver!$L$190-Driver!$K$190)</f>
        <v/>
      </c>
      <c r="AT143" s="108">
        <f>(BF143-Driver!$K$191)/(Driver!$L$191-Driver!$K$191)</f>
        <v/>
      </c>
      <c r="AU143" s="108">
        <f>(BG143-Driver!$K$192)/(Driver!$L$192-Driver!$K$192)</f>
        <v/>
      </c>
      <c r="AV143" s="105">
        <f>IFERROR(BM143*BJ143^1/4,"")</f>
        <v/>
      </c>
      <c r="AW143" s="105">
        <f>IFERROR(SUM(AX143:AZ143),"")</f>
        <v/>
      </c>
      <c r="AX143" s="105">
        <f>IFERROR(BH143,"")</f>
        <v/>
      </c>
      <c r="AY143" s="105">
        <f>IFERROR(Driver!$K$19/Data!BH143/Data!BI143*Data!BK143*Data!BL143,"")</f>
        <v/>
      </c>
      <c r="AZ143" s="105">
        <f>IFERROR(BI143*BN143,"")</f>
        <v/>
      </c>
      <c r="BA143" s="105" t="n"/>
      <c r="BB143" s="105" t="n"/>
      <c r="BC143" s="105">
        <f>IFERROR(BI143*BN143*BK143/BJ143^(1/2),"")</f>
        <v/>
      </c>
      <c r="BD143" s="105">
        <f>IFERROR(BH143*BM143*BL143/BJ143/BK143,"")</f>
        <v/>
      </c>
      <c r="BE143" s="105">
        <f>IFERROR(MIN(BI143/BQ143/BP143/BO143/BH143,$BE$1),"")</f>
        <v/>
      </c>
      <c r="BF143" s="105">
        <f>IFERROR(BJ143*BO143*BP143/BK143,"")</f>
        <v/>
      </c>
      <c r="BG143" s="105">
        <f>IFERROR(1/BM143/BH143*BQ143,"")</f>
        <v/>
      </c>
      <c r="BH143" s="102">
        <f>MAX((CE143-Driver!$F$200)/(Driver!$G$200-Driver!$F$200)*$BI$1,1)</f>
        <v/>
      </c>
      <c r="BI143" s="102">
        <f>MAX($BI$1*(BY143-Driver!$F$201)/(Driver!$G$201-Driver!$F$201),1)</f>
        <v/>
      </c>
      <c r="BJ143" s="102">
        <f>(CB143-Driver!$F$206)/(Driver!$G$206-Driver!$F$206)*$BI$1</f>
        <v/>
      </c>
      <c r="BK143" s="102">
        <f>(CD143-Driver!$F$203)/(Driver!$G$203-Driver!$F$203)*$BI$1</f>
        <v/>
      </c>
      <c r="BL143" s="102">
        <f>MAX((CR143-Driver!$F$202)/(Driver!$G$202-Driver!$F$202)*$BI$1,1)</f>
        <v/>
      </c>
      <c r="BM143" s="102">
        <f>MAX((CH143-Driver!$F$204)/(Driver!$G$204-Driver!$F$204)*$BI$1,1)</f>
        <v/>
      </c>
      <c r="BN143" s="102">
        <f>(CI143-Driver!$F$205)/(Driver!$G$205-Driver!$F$205)*$BI$1</f>
        <v/>
      </c>
      <c r="BO143" s="102">
        <f>(CK143-Driver!$F$207)/(Driver!$G$207-Driver!$F$207)*$BI$1</f>
        <v/>
      </c>
      <c r="BP143" s="102">
        <f>(CM143-Driver!$F$208)/(Driver!$G$208-Driver!$F$208)*$BI$1</f>
        <v/>
      </c>
      <c r="BQ143" s="102">
        <f>(CL143-Driver!$F$209)/(Driver!$G$209-Driver!$F$209)*$BI$1</f>
        <v/>
      </c>
      <c r="BR143" s="40" t="inlineStr">
        <is>
          <t>21/22</t>
        </is>
      </c>
      <c r="BS143" s="10" t="inlineStr">
        <is>
          <t xml:space="preserve"> Black Crows</t>
        </is>
      </c>
      <c r="BT143" s="11" t="inlineStr">
        <is>
          <t xml:space="preserve"> Orb</t>
        </is>
      </c>
      <c r="BU143" s="13" t="n">
        <v>169.2</v>
      </c>
      <c r="BV143" s="11" t="inlineStr">
        <is>
          <t xml:space="preserve"> Unisex</t>
        </is>
      </c>
      <c r="BW143" s="13" t="n">
        <v>169.2</v>
      </c>
      <c r="BX143" s="13" t="n">
        <v>168.8</v>
      </c>
      <c r="BY143" s="13" t="n">
        <v>104</v>
      </c>
      <c r="BZ143" s="13" t="n">
        <v>151</v>
      </c>
      <c r="CA143" s="13" t="n">
        <v>122</v>
      </c>
      <c r="CB143" s="13" t="n">
        <v>87</v>
      </c>
      <c r="CC143" s="13" t="n">
        <v>106</v>
      </c>
      <c r="CD143" s="13" t="n">
        <v>21.1</v>
      </c>
      <c r="CE143" s="13" t="n">
        <v>1615</v>
      </c>
      <c r="CF143" s="13" t="n">
        <v>1.02</v>
      </c>
      <c r="CG143" s="13" t="n">
        <v>1640</v>
      </c>
      <c r="CH143" s="13" t="n">
        <v>190</v>
      </c>
      <c r="CI143" s="13" t="n">
        <v>109</v>
      </c>
      <c r="CJ143" s="13" t="n">
        <v>43</v>
      </c>
      <c r="CK143" s="13" t="n">
        <v>396</v>
      </c>
      <c r="CL143" s="13" t="n">
        <v>19</v>
      </c>
      <c r="CM143" s="13" t="n">
        <v>251</v>
      </c>
      <c r="CN143" s="13" t="n">
        <v>0.45</v>
      </c>
      <c r="CO143" s="13" t="n">
        <v>97</v>
      </c>
      <c r="CP143" s="13" t="n">
        <v>78</v>
      </c>
      <c r="CQ143" s="13" t="n">
        <v>299</v>
      </c>
      <c r="CR143" s="13" t="n">
        <v>4</v>
      </c>
      <c r="CS143" s="13" t="n">
        <v>9.9</v>
      </c>
      <c r="CT143" s="11" t="inlineStr">
        <is>
          <t xml:space="preserve"> Resort Freeride</t>
        </is>
      </c>
      <c r="CU143" s="13" t="n"/>
      <c r="CV143" s="13" t="n"/>
      <c r="CW143" s="13" t="n"/>
      <c r="CX143">
        <f>INDEX('Data_Price '!AG$2:AG$1266,MATCH(Data!$DN143,'Data_Price '!$AT$2:$AT$1266,0))</f>
        <v/>
      </c>
      <c r="CY143">
        <f>INDEX('Data_Price '!AH$2:AH$1266,MATCH(Data!$DN143,'Data_Price '!$AT$2:$AT$1266,0))</f>
        <v/>
      </c>
      <c r="CZ143">
        <f>INDEX('Data_Price '!AI$2:AI$1266,MATCH(Data!$DN143,'Data_Price '!$AT$2:$AT$1266,0))</f>
        <v/>
      </c>
      <c r="DA143">
        <f>INDEX('Data_Price '!AJ$2:AJ$1266,MATCH(Data!$DN143,'Data_Price '!$AT$2:$AT$1266,0))</f>
        <v/>
      </c>
      <c r="DB143">
        <f>INDEX('Data_Price '!AK$2:AK$1266,MATCH(Data!$DN143,'Data_Price '!$AT$2:$AT$1266,0))</f>
        <v/>
      </c>
      <c r="DC143">
        <f>INDEX('Data_Price '!AL$2:AL$1266,MATCH(Data!$DN143,'Data_Price '!$AT$2:$AT$1266,0))</f>
        <v/>
      </c>
      <c r="DD143">
        <f>INDEX('Data_Price '!AM$2:AM$1266,MATCH(Data!$DN143,'Data_Price '!$AT$2:$AT$1266,0))</f>
        <v/>
      </c>
      <c r="DE143">
        <f>INDEX('Data_Price '!AN$2:AN$1266,MATCH(Data!$DN143,'Data_Price '!$AT$2:$AT$1266,0))</f>
        <v/>
      </c>
      <c r="DF143">
        <f>INDEX('Data_Price '!AO$2:AO$1266,MATCH(Data!$DN143,'Data_Price '!$AT$2:$AT$1266,0))</f>
        <v/>
      </c>
      <c r="DG143">
        <f>INDEX('Data_Price '!AP$2:AP$1266,MATCH(Data!$DN143,'Data_Price '!$AT$2:$AT$1266,0))</f>
        <v/>
      </c>
      <c r="DH143">
        <f>INDEX('Data_Price '!AQ$2:AQ$1266,MATCH(Data!$DN143,'Data_Price '!$AT$2:$AT$1266,0))</f>
        <v/>
      </c>
      <c r="DI143">
        <f>INDEX('Data_Price '!AR$2:AR$1266,MATCH(Data!$DN143,'Data_Price '!$AT$2:$AT$1266,0))</f>
        <v/>
      </c>
      <c r="DJ143" s="138">
        <f>DA143</f>
        <v/>
      </c>
      <c r="DK143" s="138">
        <f>DE143</f>
        <v/>
      </c>
      <c r="DL143" s="138">
        <f>DI143</f>
        <v/>
      </c>
      <c r="DM143" s="303">
        <f>IF(LEFT(BT143,1)=" ",RIGHT(BT143,LEN(BT143)-1),BT143)</f>
        <v/>
      </c>
      <c r="DN143" s="138">
        <f>_xlfn.CONCAT(BS143,DM143,BU143,BV143)</f>
        <v/>
      </c>
      <c r="DO143" s="307" t="inlineStr">
        <is>
          <t>https://images.evo.com/imgp/250/164648/659389/clone.jpg</t>
        </is>
      </c>
    </row>
    <row r="144" ht="15.6" customHeight="1" s="184">
      <c r="B144" s="303">
        <f t="array" ref="B144">IF(OR(ISERROR(K144:P144)),FALSE,TRUE)</f>
        <v/>
      </c>
      <c r="C144" s="60">
        <f>OR(BR144=Driver!$G$50,Data!BR112=Driver!$H$50)</f>
        <v/>
      </c>
      <c r="D144" s="60">
        <f>OR(BV144=Driver!$G$51,BV144=Driver!$H$51)</f>
        <v/>
      </c>
      <c r="E144" s="60">
        <f>AND(BX144&gt;Driver!$F$54,BX144&lt;Driver!$G$54)</f>
        <v/>
      </c>
      <c r="F144" s="60">
        <f>CL144&gt;Driver!$F$56</f>
        <v/>
      </c>
      <c r="G144" s="60">
        <f>AND(CB144&gt;Driver!$F$55,CB144&lt;Driver!$G$55)</f>
        <v/>
      </c>
      <c r="H144" s="60">
        <f>AND(B144:G144)</f>
        <v/>
      </c>
      <c r="I144" s="60">
        <f>COUNTIFS($H$9:$H$1273,TRUE,$BT$9:$BT$1273,BT144)</f>
        <v/>
      </c>
      <c r="J144" s="60">
        <f t="array" ref="J144">NOT(OR(($H$9:$H$1273=TRUE)*($I$9:$I$1273&gt;0)*($BT$9:$BT$1273=BT144)*($K$9:$K$1273&gt;K144)))</f>
        <v/>
      </c>
      <c r="K144" s="108">
        <f>IFERROR(1-AVERAGE(X144:Y144),"")</f>
        <v/>
      </c>
      <c r="L144" s="108">
        <f>1-X144</f>
        <v/>
      </c>
      <c r="M144" s="108">
        <f>1-Y144</f>
        <v/>
      </c>
      <c r="N144" s="108">
        <f>1-Z144</f>
        <v/>
      </c>
      <c r="O144" s="108">
        <f>1-AA144</f>
        <v/>
      </c>
      <c r="P144" s="108">
        <f>1-AB144</f>
        <v/>
      </c>
      <c r="Q144" s="108" t="n"/>
      <c r="R144" s="108" t="n"/>
      <c r="S144" s="108">
        <f>1-AE144</f>
        <v/>
      </c>
      <c r="T144" s="108">
        <f>1-AF144</f>
        <v/>
      </c>
      <c r="U144" s="108">
        <f>1-AG144</f>
        <v/>
      </c>
      <c r="V144" s="108">
        <f>1-AH144</f>
        <v/>
      </c>
      <c r="W144" s="108">
        <f>1-AI144</f>
        <v/>
      </c>
      <c r="X144" s="108">
        <f>ABS(AJ144-AJ$1)</f>
        <v/>
      </c>
      <c r="Y144" s="108">
        <f>AVERAGE(Z144:AB144)</f>
        <v/>
      </c>
      <c r="Z144" s="108">
        <f>ABS(AL144-AL$1)</f>
        <v/>
      </c>
      <c r="AA144" s="108">
        <f>ABS(AM144-AM$1)</f>
        <v/>
      </c>
      <c r="AB144" s="108">
        <f>ABS(AN144-AN$1)</f>
        <v/>
      </c>
      <c r="AC144" s="108" t="n"/>
      <c r="AD144" s="108" t="n"/>
      <c r="AE144" s="108">
        <f>ABS(AQ$1-AQ144)</f>
        <v/>
      </c>
      <c r="AF144" s="108">
        <f>ABS(AR$1-AR144)</f>
        <v/>
      </c>
      <c r="AG144" s="108">
        <f>ABS(AS$1-AS144)</f>
        <v/>
      </c>
      <c r="AH144" s="108">
        <f>ABS(AT$1-AT144)</f>
        <v/>
      </c>
      <c r="AI144" s="108">
        <f>ABS(AU$1-AU144)</f>
        <v/>
      </c>
      <c r="AJ144" s="108">
        <f>(AV144-Driver!$K$179)/(Driver!$L$179-Driver!$K$179)</f>
        <v/>
      </c>
      <c r="AK144" s="108">
        <f>(AW144-Driver!$K$180)/(Driver!$L$180-Driver!$K$180)</f>
        <v/>
      </c>
      <c r="AL144" s="108">
        <f>(AX144-Driver!$K$181)/(Driver!$L$181-Driver!$K$181)</f>
        <v/>
      </c>
      <c r="AM144" s="108">
        <f>(AY144-Driver!$K$182)/(Driver!$L$182-Driver!$K$182)</f>
        <v/>
      </c>
      <c r="AN144" s="108">
        <f>(AZ144-Driver!$K$183)/(Driver!$L$183-Driver!$K$183)</f>
        <v/>
      </c>
      <c r="AO144" s="108" t="n"/>
      <c r="AP144" s="108" t="n"/>
      <c r="AQ144" s="108">
        <f>(BC144-Driver!$K$188)/(Driver!$L$188-Driver!$K$188)</f>
        <v/>
      </c>
      <c r="AR144" s="108">
        <f>MIN((BD144-Driver!$K$189)/(Driver!$L$189-Driver!$K$189),100%)</f>
        <v/>
      </c>
      <c r="AS144" s="108">
        <f>(BE144-Driver!$K$190)/(Driver!$L$190-Driver!$K$190)</f>
        <v/>
      </c>
      <c r="AT144" s="108">
        <f>(BF144-Driver!$K$191)/(Driver!$L$191-Driver!$K$191)</f>
        <v/>
      </c>
      <c r="AU144" s="108">
        <f>(BG144-Driver!$K$192)/(Driver!$L$192-Driver!$K$192)</f>
        <v/>
      </c>
      <c r="AV144" s="105">
        <f>IFERROR(BM144*BJ144^1/4,"")</f>
        <v/>
      </c>
      <c r="AW144" s="105">
        <f>IFERROR(SUM(AX144:AZ144),"")</f>
        <v/>
      </c>
      <c r="AX144" s="105">
        <f>IFERROR(BH144,"")</f>
        <v/>
      </c>
      <c r="AY144" s="105">
        <f>IFERROR(Driver!$K$19/Data!BH144/Data!BI144*Data!BK144*Data!BL144,"")</f>
        <v/>
      </c>
      <c r="AZ144" s="105">
        <f>IFERROR(BI144*BN144,"")</f>
        <v/>
      </c>
      <c r="BA144" s="105" t="n"/>
      <c r="BB144" s="105" t="n"/>
      <c r="BC144" s="105">
        <f>IFERROR(BI144*BN144*BK144/BJ144^(1/2),"")</f>
        <v/>
      </c>
      <c r="BD144" s="105">
        <f>IFERROR(BH144*BM144*BL144/BJ144/BK144,"")</f>
        <v/>
      </c>
      <c r="BE144" s="105">
        <f>IFERROR(MIN(BI144/BQ144/BP144/BO144/BH144,$BE$1),"")</f>
        <v/>
      </c>
      <c r="BF144" s="105">
        <f>IFERROR(BJ144*BO144*BP144/BK144,"")</f>
        <v/>
      </c>
      <c r="BG144" s="105">
        <f>IFERROR(1/BM144/BH144*BQ144,"")</f>
        <v/>
      </c>
      <c r="BH144" s="102">
        <f>MAX((CE144-Driver!$F$200)/(Driver!$G$200-Driver!$F$200)*$BI$1,1)</f>
        <v/>
      </c>
      <c r="BI144" s="102">
        <f>MAX($BI$1*(BY144-Driver!$F$201)/(Driver!$G$201-Driver!$F$201),1)</f>
        <v/>
      </c>
      <c r="BJ144" s="102">
        <f>(CB144-Driver!$F$206)/(Driver!$G$206-Driver!$F$206)*$BI$1</f>
        <v/>
      </c>
      <c r="BK144" s="102">
        <f>(CD144-Driver!$F$203)/(Driver!$G$203-Driver!$F$203)*$BI$1</f>
        <v/>
      </c>
      <c r="BL144" s="102">
        <f>MAX((CR144-Driver!$F$202)/(Driver!$G$202-Driver!$F$202)*$BI$1,1)</f>
        <v/>
      </c>
      <c r="BM144" s="102">
        <f>MAX((CH144-Driver!$F$204)/(Driver!$G$204-Driver!$F$204)*$BI$1,1)</f>
        <v/>
      </c>
      <c r="BN144" s="102">
        <f>(CI144-Driver!$F$205)/(Driver!$G$205-Driver!$F$205)*$BI$1</f>
        <v/>
      </c>
      <c r="BO144" s="102">
        <f>(CK144-Driver!$F$207)/(Driver!$G$207-Driver!$F$207)*$BI$1</f>
        <v/>
      </c>
      <c r="BP144" s="102">
        <f>(CM144-Driver!$F$208)/(Driver!$G$208-Driver!$F$208)*$BI$1</f>
        <v/>
      </c>
      <c r="BQ144" s="102">
        <f>(CL144-Driver!$F$209)/(Driver!$G$209-Driver!$F$209)*$BI$1</f>
        <v/>
      </c>
      <c r="BR144" s="40" t="inlineStr">
        <is>
          <t>21/22</t>
        </is>
      </c>
      <c r="BS144" s="10" t="inlineStr">
        <is>
          <t xml:space="preserve"> Armada</t>
        </is>
      </c>
      <c r="BT144" s="11" t="inlineStr">
        <is>
          <t>Tracer 98</t>
        </is>
      </c>
      <c r="BU144" s="13" t="n">
        <v>180</v>
      </c>
      <c r="BV144" s="11" t="inlineStr">
        <is>
          <t xml:space="preserve"> Unisex</t>
        </is>
      </c>
      <c r="BW144" s="13" t="n">
        <v>180</v>
      </c>
      <c r="BX144" s="13" t="n">
        <v>179.4</v>
      </c>
      <c r="BY144" s="13" t="n">
        <v>136</v>
      </c>
      <c r="BZ144" s="13" t="n">
        <v>151</v>
      </c>
      <c r="CA144" s="13" t="n">
        <v>131</v>
      </c>
      <c r="CB144" s="13" t="n">
        <v>97</v>
      </c>
      <c r="CC144" s="13" t="n">
        <v>122</v>
      </c>
      <c r="CD144" s="13" t="n">
        <v>17.9</v>
      </c>
      <c r="CE144" s="13" t="n">
        <v>1601</v>
      </c>
      <c r="CF144" s="13" t="n">
        <v>1.21</v>
      </c>
      <c r="CG144" s="13" t="n">
        <v>1945</v>
      </c>
      <c r="CH144" s="13" t="n">
        <v>200</v>
      </c>
      <c r="CI144" s="13" t="n">
        <v>108</v>
      </c>
      <c r="CJ144" s="13" t="n">
        <v>46</v>
      </c>
      <c r="CK144" s="13" t="n">
        <v>260</v>
      </c>
      <c r="CL144" s="13" t="n">
        <v>19</v>
      </c>
      <c r="CM144" s="13" t="n">
        <v>169</v>
      </c>
      <c r="CN144" s="13" t="n">
        <v>0.423</v>
      </c>
      <c r="CO144" s="13" t="n">
        <v>174</v>
      </c>
      <c r="CP144" s="13" t="n">
        <v>109</v>
      </c>
      <c r="CQ144" s="13" t="n">
        <v>86</v>
      </c>
      <c r="CR144" s="13" t="n">
        <v>5</v>
      </c>
      <c r="CS144" s="13" t="n">
        <v>10.3</v>
      </c>
      <c r="CT144" s="11" t="inlineStr">
        <is>
          <t xml:space="preserve"> Resort Freeride</t>
        </is>
      </c>
      <c r="CU144" s="11" t="inlineStr">
        <is>
          <t xml:space="preserve"> Touring</t>
        </is>
      </c>
      <c r="CV144" s="13" t="n"/>
      <c r="CW144" s="13" t="n"/>
      <c r="CX144">
        <f>INDEX('Data_Price '!AG$2:AG$1266,MATCH(Data!$DN144,'Data_Price '!$AT$2:$AT$1266,0))</f>
        <v/>
      </c>
      <c r="CY144">
        <f>INDEX('Data_Price '!AH$2:AH$1266,MATCH(Data!$DN144,'Data_Price '!$AT$2:$AT$1266,0))</f>
        <v/>
      </c>
      <c r="CZ144">
        <f>INDEX('Data_Price '!AI$2:AI$1266,MATCH(Data!$DN144,'Data_Price '!$AT$2:$AT$1266,0))</f>
        <v/>
      </c>
      <c r="DA144">
        <f>INDEX('Data_Price '!AJ$2:AJ$1266,MATCH(Data!$DN144,'Data_Price '!$AT$2:$AT$1266,0))</f>
        <v/>
      </c>
      <c r="DB144">
        <f>INDEX('Data_Price '!AK$2:AK$1266,MATCH(Data!$DN144,'Data_Price '!$AT$2:$AT$1266,0))</f>
        <v/>
      </c>
      <c r="DC144">
        <f>INDEX('Data_Price '!AL$2:AL$1266,MATCH(Data!$DN144,'Data_Price '!$AT$2:$AT$1266,0))</f>
        <v/>
      </c>
      <c r="DD144">
        <f>INDEX('Data_Price '!AM$2:AM$1266,MATCH(Data!$DN144,'Data_Price '!$AT$2:$AT$1266,0))</f>
        <v/>
      </c>
      <c r="DE144">
        <f>INDEX('Data_Price '!AN$2:AN$1266,MATCH(Data!$DN144,'Data_Price '!$AT$2:$AT$1266,0))</f>
        <v/>
      </c>
      <c r="DF144">
        <f>INDEX('Data_Price '!AO$2:AO$1266,MATCH(Data!$DN144,'Data_Price '!$AT$2:$AT$1266,0))</f>
        <v/>
      </c>
      <c r="DG144">
        <f>INDEX('Data_Price '!AP$2:AP$1266,MATCH(Data!$DN144,'Data_Price '!$AT$2:$AT$1266,0))</f>
        <v/>
      </c>
      <c r="DH144">
        <f>INDEX('Data_Price '!AQ$2:AQ$1266,MATCH(Data!$DN144,'Data_Price '!$AT$2:$AT$1266,0))</f>
        <v/>
      </c>
      <c r="DI144">
        <f>INDEX('Data_Price '!AR$2:AR$1266,MATCH(Data!$DN144,'Data_Price '!$AT$2:$AT$1266,0))</f>
        <v/>
      </c>
      <c r="DJ144" s="138">
        <f>DA144</f>
        <v/>
      </c>
      <c r="DK144" s="138">
        <f>DE144</f>
        <v/>
      </c>
      <c r="DL144" s="138">
        <f>DI144</f>
        <v/>
      </c>
      <c r="DM144" s="303">
        <f>IF(LEFT(BT144,1)=" ",RIGHT(BT144,LEN(BT144)-1),BT144)</f>
        <v/>
      </c>
      <c r="DN144" s="138">
        <f>_xlfn.CONCAT(BS144,DM144,BU144,BV144)</f>
        <v/>
      </c>
      <c r="DO144" s="307" t="inlineStr">
        <is>
          <t>https://images.evo.com/imgp/250/198694/839659/clone.jpg</t>
        </is>
      </c>
    </row>
    <row r="145" ht="15.6" customHeight="1" s="184">
      <c r="B145" s="303">
        <f t="array" ref="B145">IF(OR(ISERROR(K145:P145)),FALSE,TRUE)</f>
        <v/>
      </c>
      <c r="C145" s="60">
        <f>OR(BR145=Driver!$G$50,Data!BR916=Driver!$H$50)</f>
        <v/>
      </c>
      <c r="D145" s="60">
        <f>OR(BV145=Driver!$G$51,BV145=Driver!$H$51)</f>
        <v/>
      </c>
      <c r="E145" s="60">
        <f>AND(BX145&gt;Driver!$F$54,BX145&lt;Driver!$G$54)</f>
        <v/>
      </c>
      <c r="F145" s="60">
        <f>CL145&gt;Driver!$F$56</f>
        <v/>
      </c>
      <c r="G145" s="60">
        <f>AND(CB145&gt;Driver!$F$55,CB145&lt;Driver!$G$55)</f>
        <v/>
      </c>
      <c r="H145" s="60">
        <f>AND(B145:G145)</f>
        <v/>
      </c>
      <c r="I145" s="60">
        <f>COUNTIFS($H$9:$H$1273,TRUE,$BT$9:$BT$1273,BT145)</f>
        <v/>
      </c>
      <c r="J145" s="60">
        <f t="array" ref="J145">NOT(OR(($H$9:$H$1273=TRUE)*($I$9:$I$1273&gt;0)*($BT$9:$BT$1273=BT145)*($K$9:$K$1273&gt;K145)))</f>
        <v/>
      </c>
      <c r="K145" s="108">
        <f>IFERROR(1-AVERAGE(X145:Y145),"")</f>
        <v/>
      </c>
      <c r="L145" s="108">
        <f>1-X145</f>
        <v/>
      </c>
      <c r="M145" s="108">
        <f>1-Y145</f>
        <v/>
      </c>
      <c r="N145" s="108">
        <f>1-Z145</f>
        <v/>
      </c>
      <c r="O145" s="108">
        <f>1-AA145</f>
        <v/>
      </c>
      <c r="P145" s="108">
        <f>1-AB145</f>
        <v/>
      </c>
      <c r="Q145" s="108" t="n"/>
      <c r="R145" s="108" t="n"/>
      <c r="S145" s="108">
        <f>1-AE145</f>
        <v/>
      </c>
      <c r="T145" s="108">
        <f>1-AF145</f>
        <v/>
      </c>
      <c r="U145" s="108">
        <f>1-AG145</f>
        <v/>
      </c>
      <c r="V145" s="108">
        <f>1-AH145</f>
        <v/>
      </c>
      <c r="W145" s="108">
        <f>1-AI145</f>
        <v/>
      </c>
      <c r="X145" s="108">
        <f>ABS(AJ145-AJ$1)</f>
        <v/>
      </c>
      <c r="Y145" s="108">
        <f>AVERAGE(Z145:AB145)</f>
        <v/>
      </c>
      <c r="Z145" s="108">
        <f>ABS(AL145-AL$1)</f>
        <v/>
      </c>
      <c r="AA145" s="108">
        <f>ABS(AM145-AM$1)</f>
        <v/>
      </c>
      <c r="AB145" s="108">
        <f>ABS(AN145-AN$1)</f>
        <v/>
      </c>
      <c r="AC145" s="108" t="n"/>
      <c r="AD145" s="108" t="n"/>
      <c r="AE145" s="108">
        <f>ABS(AQ$1-AQ145)</f>
        <v/>
      </c>
      <c r="AF145" s="108">
        <f>ABS(AR$1-AR145)</f>
        <v/>
      </c>
      <c r="AG145" s="108">
        <f>ABS(AS$1-AS145)</f>
        <v/>
      </c>
      <c r="AH145" s="108">
        <f>ABS(AT$1-AT145)</f>
        <v/>
      </c>
      <c r="AI145" s="108">
        <f>ABS(AU$1-AU145)</f>
        <v/>
      </c>
      <c r="AJ145" s="108">
        <f>(AV145-Driver!$K$179)/(Driver!$L$179-Driver!$K$179)</f>
        <v/>
      </c>
      <c r="AK145" s="108">
        <f>(AW145-Driver!$K$180)/(Driver!$L$180-Driver!$K$180)</f>
        <v/>
      </c>
      <c r="AL145" s="108">
        <f>(AX145-Driver!$K$181)/(Driver!$L$181-Driver!$K$181)</f>
        <v/>
      </c>
      <c r="AM145" s="108">
        <f>(AY145-Driver!$K$182)/(Driver!$L$182-Driver!$K$182)</f>
        <v/>
      </c>
      <c r="AN145" s="108">
        <f>(AZ145-Driver!$K$183)/(Driver!$L$183-Driver!$K$183)</f>
        <v/>
      </c>
      <c r="AO145" s="108" t="n"/>
      <c r="AP145" s="108" t="n"/>
      <c r="AQ145" s="108">
        <f>(BC145-Driver!$K$188)/(Driver!$L$188-Driver!$K$188)</f>
        <v/>
      </c>
      <c r="AR145" s="108">
        <f>MIN((BD145-Driver!$K$189)/(Driver!$L$189-Driver!$K$189),100%)</f>
        <v/>
      </c>
      <c r="AS145" s="108">
        <f>(BE145-Driver!$K$190)/(Driver!$L$190-Driver!$K$190)</f>
        <v/>
      </c>
      <c r="AT145" s="108">
        <f>(BF145-Driver!$K$191)/(Driver!$L$191-Driver!$K$191)</f>
        <v/>
      </c>
      <c r="AU145" s="108">
        <f>(BG145-Driver!$K$192)/(Driver!$L$192-Driver!$K$192)</f>
        <v/>
      </c>
      <c r="AV145" s="105">
        <f>IFERROR(BM145*BJ145^1/4,"")</f>
        <v/>
      </c>
      <c r="AW145" s="105">
        <f>IFERROR(SUM(AX145:AZ145),"")</f>
        <v/>
      </c>
      <c r="AX145" s="105">
        <f>IFERROR(BH145,"")</f>
        <v/>
      </c>
      <c r="AY145" s="105">
        <f>IFERROR(Driver!$K$19/Data!BH145/Data!BI145*Data!BK145*Data!BL145,"")</f>
        <v/>
      </c>
      <c r="AZ145" s="105">
        <f>IFERROR(BI145*BN145,"")</f>
        <v/>
      </c>
      <c r="BA145" s="105" t="n"/>
      <c r="BB145" s="105" t="n"/>
      <c r="BC145" s="105">
        <f>IFERROR(BI145*BN145*BK145/BJ145^(1/2),"")</f>
        <v/>
      </c>
      <c r="BD145" s="105">
        <f>IFERROR(BH145*BM145*BL145/BJ145/BK145,"")</f>
        <v/>
      </c>
      <c r="BE145" s="105">
        <f>IFERROR(MIN(BI145/BQ145/BP145/BO145/BH145,$BE$1),"")</f>
        <v/>
      </c>
      <c r="BF145" s="105">
        <f>IFERROR(BJ145*BO145*BP145/BK145,"")</f>
        <v/>
      </c>
      <c r="BG145" s="105">
        <f>IFERROR(1/BM145/BH145*BQ145,"")</f>
        <v/>
      </c>
      <c r="BH145" s="102">
        <f>MAX((CE145-Driver!$F$200)/(Driver!$G$200-Driver!$F$200)*$BI$1,1)</f>
        <v/>
      </c>
      <c r="BI145" s="102">
        <f>MAX($BI$1*(BY145-Driver!$F$201)/(Driver!$G$201-Driver!$F$201),1)</f>
        <v/>
      </c>
      <c r="BJ145" s="102">
        <f>(CB145-Driver!$F$206)/(Driver!$G$206-Driver!$F$206)*$BI$1</f>
        <v/>
      </c>
      <c r="BK145" s="102">
        <f>(CD145-Driver!$F$203)/(Driver!$G$203-Driver!$F$203)*$BI$1</f>
        <v/>
      </c>
      <c r="BL145" s="102">
        <f>MAX((CR145-Driver!$F$202)/(Driver!$G$202-Driver!$F$202)*$BI$1,1)</f>
        <v/>
      </c>
      <c r="BM145" s="102">
        <f>MAX((CH145-Driver!$F$204)/(Driver!$G$204-Driver!$F$204)*$BI$1,1)</f>
        <v/>
      </c>
      <c r="BN145" s="102">
        <f>(CI145-Driver!$F$205)/(Driver!$G$205-Driver!$F$205)*$BI$1</f>
        <v/>
      </c>
      <c r="BO145" s="102">
        <f>(CK145-Driver!$F$207)/(Driver!$G$207-Driver!$F$207)*$BI$1</f>
        <v/>
      </c>
      <c r="BP145" s="102">
        <f>(CM145-Driver!$F$208)/(Driver!$G$208-Driver!$F$208)*$BI$1</f>
        <v/>
      </c>
      <c r="BQ145" s="102">
        <f>(CL145-Driver!$F$209)/(Driver!$G$209-Driver!$F$209)*$BI$1</f>
        <v/>
      </c>
      <c r="BR145" s="40" t="inlineStr">
        <is>
          <t>21/22</t>
        </is>
      </c>
      <c r="BS145" s="10" t="inlineStr">
        <is>
          <t xml:space="preserve"> Nordica</t>
        </is>
      </c>
      <c r="BT145" s="11" t="inlineStr">
        <is>
          <t>Santa Ana 110 Free</t>
        </is>
      </c>
      <c r="BU145" s="13" t="n">
        <v>169</v>
      </c>
      <c r="BV145" s="11" t="inlineStr">
        <is>
          <t xml:space="preserve"> Women's</t>
        </is>
      </c>
      <c r="BW145" s="13" t="n">
        <v>169</v>
      </c>
      <c r="BX145" s="13" t="n">
        <v>167.7</v>
      </c>
      <c r="BY145" s="13" t="n">
        <v>110</v>
      </c>
      <c r="BZ145" s="13" t="n">
        <v>136</v>
      </c>
      <c r="CA145" s="13" t="n">
        <v>140</v>
      </c>
      <c r="CB145" s="13" t="n">
        <v>109</v>
      </c>
      <c r="CC145" s="13" t="n">
        <v>130</v>
      </c>
      <c r="CD145" s="13" t="n">
        <v>15.7</v>
      </c>
      <c r="CE145" s="13" t="n">
        <v>1839</v>
      </c>
      <c r="CF145" s="13" t="n">
        <v>1.09</v>
      </c>
      <c r="CG145" s="13" t="n">
        <v>1999</v>
      </c>
      <c r="CH145" s="13" t="n">
        <v>197</v>
      </c>
      <c r="CI145" s="13" t="n">
        <v>103</v>
      </c>
      <c r="CJ145" s="13" t="n">
        <v>64</v>
      </c>
      <c r="CK145" s="13" t="n">
        <v>312</v>
      </c>
      <c r="CL145" s="13" t="n">
        <v>45</v>
      </c>
      <c r="CM145" s="13" t="n">
        <v>262</v>
      </c>
      <c r="CN145" s="13" t="n">
        <v>0.71</v>
      </c>
      <c r="CO145" s="13" t="n">
        <v>156</v>
      </c>
      <c r="CP145" s="13" t="n">
        <v>162</v>
      </c>
      <c r="CQ145" s="13" t="n">
        <v>156</v>
      </c>
      <c r="CR145" s="13" t="n">
        <v>5</v>
      </c>
      <c r="CS145" s="13" t="n">
        <v>9.300000000000001</v>
      </c>
      <c r="CT145" s="11" t="inlineStr">
        <is>
          <t xml:space="preserve"> Powder</t>
        </is>
      </c>
      <c r="CU145" s="11" t="inlineStr">
        <is>
          <t xml:space="preserve"> Touring</t>
        </is>
      </c>
      <c r="CV145" s="13" t="n"/>
      <c r="CW145" s="13" t="n"/>
      <c r="CX145">
        <f>INDEX('Data_Price '!AG$2:AG$1266,MATCH(Data!$DN145,'Data_Price '!$AT$2:$AT$1266,0))</f>
        <v/>
      </c>
      <c r="CY145">
        <f>INDEX('Data_Price '!AH$2:AH$1266,MATCH(Data!$DN145,'Data_Price '!$AT$2:$AT$1266,0))</f>
        <v/>
      </c>
      <c r="CZ145">
        <f>INDEX('Data_Price '!AI$2:AI$1266,MATCH(Data!$DN145,'Data_Price '!$AT$2:$AT$1266,0))</f>
        <v/>
      </c>
      <c r="DA145">
        <f>INDEX('Data_Price '!AJ$2:AJ$1266,MATCH(Data!$DN145,'Data_Price '!$AT$2:$AT$1266,0))</f>
        <v/>
      </c>
      <c r="DB145">
        <f>INDEX('Data_Price '!AK$2:AK$1266,MATCH(Data!$DN145,'Data_Price '!$AT$2:$AT$1266,0))</f>
        <v/>
      </c>
      <c r="DC145">
        <f>INDEX('Data_Price '!AL$2:AL$1266,MATCH(Data!$DN145,'Data_Price '!$AT$2:$AT$1266,0))</f>
        <v/>
      </c>
      <c r="DD145">
        <f>INDEX('Data_Price '!AM$2:AM$1266,MATCH(Data!$DN145,'Data_Price '!$AT$2:$AT$1266,0))</f>
        <v/>
      </c>
      <c r="DE145">
        <f>INDEX('Data_Price '!AN$2:AN$1266,MATCH(Data!$DN145,'Data_Price '!$AT$2:$AT$1266,0))</f>
        <v/>
      </c>
      <c r="DF145">
        <f>INDEX('Data_Price '!AO$2:AO$1266,MATCH(Data!$DN145,'Data_Price '!$AT$2:$AT$1266,0))</f>
        <v/>
      </c>
      <c r="DG145">
        <f>INDEX('Data_Price '!AP$2:AP$1266,MATCH(Data!$DN145,'Data_Price '!$AT$2:$AT$1266,0))</f>
        <v/>
      </c>
      <c r="DH145">
        <f>INDEX('Data_Price '!AQ$2:AQ$1266,MATCH(Data!$DN145,'Data_Price '!$AT$2:$AT$1266,0))</f>
        <v/>
      </c>
      <c r="DI145">
        <f>INDEX('Data_Price '!AR$2:AR$1266,MATCH(Data!$DN145,'Data_Price '!$AT$2:$AT$1266,0))</f>
        <v/>
      </c>
      <c r="DJ145" s="138">
        <f>DA145</f>
        <v/>
      </c>
      <c r="DK145" s="138">
        <f>DE145</f>
        <v/>
      </c>
      <c r="DL145" s="138">
        <f>DI145</f>
        <v/>
      </c>
      <c r="DM145" s="303">
        <f>IF(LEFT(BT145,1)=" ",RIGHT(BT145,LEN(BT145)-1),BT145)</f>
        <v/>
      </c>
      <c r="DN145" s="138">
        <f>_xlfn.CONCAT(BS145,DM145,BU145,BV145)</f>
        <v/>
      </c>
      <c r="DO145" s="307" t="inlineStr">
        <is>
          <t>https://images.evo.com/imgp/250/198266/835766/clone.jpg</t>
        </is>
      </c>
    </row>
    <row r="146" ht="15.6" customHeight="1" s="184">
      <c r="B146" s="303">
        <f t="array" ref="B146">IF(OR(ISERROR(K146:P146)),FALSE,TRUE)</f>
        <v/>
      </c>
      <c r="C146" s="60">
        <f>OR(BR146=Driver!$G$50,Data!BR1131=Driver!$H$50)</f>
        <v/>
      </c>
      <c r="D146" s="60">
        <f>OR(BV146=Driver!$G$51,BV146=Driver!$H$51)</f>
        <v/>
      </c>
      <c r="E146" s="60">
        <f>AND(BX146&gt;Driver!$F$54,BX146&lt;Driver!$G$54)</f>
        <v/>
      </c>
      <c r="F146" s="60">
        <f>CL146&gt;Driver!$F$56</f>
        <v/>
      </c>
      <c r="G146" s="60">
        <f>AND(CB146&gt;Driver!$F$55,CB146&lt;Driver!$G$55)</f>
        <v/>
      </c>
      <c r="H146" s="60">
        <f>AND(B146:G146)</f>
        <v/>
      </c>
      <c r="I146" s="60">
        <f>COUNTIFS($H$9:$H$1273,TRUE,$BT$9:$BT$1273,BT146)</f>
        <v/>
      </c>
      <c r="J146" s="60">
        <f t="array" ref="J146">NOT(OR(($H$9:$H$1273=TRUE)*($I$9:$I$1273&gt;0)*($BT$9:$BT$1273=BT146)*($K$9:$K$1273&gt;K146)))</f>
        <v/>
      </c>
      <c r="K146" s="108">
        <f>IFERROR(1-AVERAGE(X146:Y146),"")</f>
        <v/>
      </c>
      <c r="L146" s="108">
        <f>1-X146</f>
        <v/>
      </c>
      <c r="M146" s="108">
        <f>1-Y146</f>
        <v/>
      </c>
      <c r="N146" s="108">
        <f>1-Z146</f>
        <v/>
      </c>
      <c r="O146" s="108">
        <f>1-AA146</f>
        <v/>
      </c>
      <c r="P146" s="108">
        <f>1-AB146</f>
        <v/>
      </c>
      <c r="Q146" s="108" t="n"/>
      <c r="R146" s="108" t="n"/>
      <c r="S146" s="108">
        <f>1-AE146</f>
        <v/>
      </c>
      <c r="T146" s="108">
        <f>1-AF146</f>
        <v/>
      </c>
      <c r="U146" s="108">
        <f>1-AG146</f>
        <v/>
      </c>
      <c r="V146" s="108">
        <f>1-AH146</f>
        <v/>
      </c>
      <c r="W146" s="108">
        <f>1-AI146</f>
        <v/>
      </c>
      <c r="X146" s="108">
        <f>ABS(AJ146-AJ$1)</f>
        <v/>
      </c>
      <c r="Y146" s="108">
        <f>AVERAGE(Z146:AB146)</f>
        <v/>
      </c>
      <c r="Z146" s="108">
        <f>ABS(AL146-AL$1)</f>
        <v/>
      </c>
      <c r="AA146" s="108">
        <f>ABS(AM146-AM$1)</f>
        <v/>
      </c>
      <c r="AB146" s="108">
        <f>ABS(AN146-AN$1)</f>
        <v/>
      </c>
      <c r="AC146" s="108" t="n"/>
      <c r="AD146" s="108" t="n"/>
      <c r="AE146" s="108">
        <f>ABS(AQ$1-AQ146)</f>
        <v/>
      </c>
      <c r="AF146" s="108">
        <f>ABS(AR$1-AR146)</f>
        <v/>
      </c>
      <c r="AG146" s="108">
        <f>ABS(AS$1-AS146)</f>
        <v/>
      </c>
      <c r="AH146" s="108">
        <f>ABS(AT$1-AT146)</f>
        <v/>
      </c>
      <c r="AI146" s="108">
        <f>ABS(AU$1-AU146)</f>
        <v/>
      </c>
      <c r="AJ146" s="108">
        <f>(AV146-Driver!$K$179)/(Driver!$L$179-Driver!$K$179)</f>
        <v/>
      </c>
      <c r="AK146" s="108">
        <f>(AW146-Driver!$K$180)/(Driver!$L$180-Driver!$K$180)</f>
        <v/>
      </c>
      <c r="AL146" s="108">
        <f>(AX146-Driver!$K$181)/(Driver!$L$181-Driver!$K$181)</f>
        <v/>
      </c>
      <c r="AM146" s="108">
        <f>(AY146-Driver!$K$182)/(Driver!$L$182-Driver!$K$182)</f>
        <v/>
      </c>
      <c r="AN146" s="108">
        <f>(AZ146-Driver!$K$183)/(Driver!$L$183-Driver!$K$183)</f>
        <v/>
      </c>
      <c r="AO146" s="108" t="n"/>
      <c r="AP146" s="108" t="n"/>
      <c r="AQ146" s="108">
        <f>(BC146-Driver!$K$188)/(Driver!$L$188-Driver!$K$188)</f>
        <v/>
      </c>
      <c r="AR146" s="108">
        <f>MIN((BD146-Driver!$K$189)/(Driver!$L$189-Driver!$K$189),100%)</f>
        <v/>
      </c>
      <c r="AS146" s="108">
        <f>(BE146-Driver!$K$190)/(Driver!$L$190-Driver!$K$190)</f>
        <v/>
      </c>
      <c r="AT146" s="108">
        <f>(BF146-Driver!$K$191)/(Driver!$L$191-Driver!$K$191)</f>
        <v/>
      </c>
      <c r="AU146" s="108">
        <f>(BG146-Driver!$K$192)/(Driver!$L$192-Driver!$K$192)</f>
        <v/>
      </c>
      <c r="AV146" s="105">
        <f>IFERROR(BM146*BJ146^1/4,"")</f>
        <v/>
      </c>
      <c r="AW146" s="105">
        <f>IFERROR(SUM(AX146:AZ146),"")</f>
        <v/>
      </c>
      <c r="AX146" s="105">
        <f>IFERROR(BH146,"")</f>
        <v/>
      </c>
      <c r="AY146" s="105">
        <f>IFERROR(Driver!$K$19/Data!BH146/Data!BI146*Data!BK146*Data!BL146,"")</f>
        <v/>
      </c>
      <c r="AZ146" s="105">
        <f>IFERROR(BI146*BN146,"")</f>
        <v/>
      </c>
      <c r="BA146" s="105" t="n"/>
      <c r="BB146" s="105" t="n"/>
      <c r="BC146" s="105">
        <f>IFERROR(BI146*BN146*BK146/BJ146^(1/2),"")</f>
        <v/>
      </c>
      <c r="BD146" s="105">
        <f>IFERROR(BH146*BM146*BL146/BJ146/BK146,"")</f>
        <v/>
      </c>
      <c r="BE146" s="105">
        <f>IFERROR(MIN(BI146/BQ146/BP146/BO146/BH146,$BE$1),"")</f>
        <v/>
      </c>
      <c r="BF146" s="105">
        <f>IFERROR(BJ146*BO146*BP146/BK146,"")</f>
        <v/>
      </c>
      <c r="BG146" s="105">
        <f>IFERROR(1/BM146/BH146*BQ146,"")</f>
        <v/>
      </c>
      <c r="BH146" s="102">
        <f>MAX((CE146-Driver!$F$200)/(Driver!$G$200-Driver!$F$200)*$BI$1,1)</f>
        <v/>
      </c>
      <c r="BI146" s="102">
        <f>MAX($BI$1*(BY146-Driver!$F$201)/(Driver!$G$201-Driver!$F$201),1)</f>
        <v/>
      </c>
      <c r="BJ146" s="102">
        <f>(CB146-Driver!$F$206)/(Driver!$G$206-Driver!$F$206)*$BI$1</f>
        <v/>
      </c>
      <c r="BK146" s="102">
        <f>(CD146-Driver!$F$203)/(Driver!$G$203-Driver!$F$203)*$BI$1</f>
        <v/>
      </c>
      <c r="BL146" s="102">
        <f>MAX((CR146-Driver!$F$202)/(Driver!$G$202-Driver!$F$202)*$BI$1,1)</f>
        <v/>
      </c>
      <c r="BM146" s="102">
        <f>MAX((CH146-Driver!$F$204)/(Driver!$G$204-Driver!$F$204)*$BI$1,1)</f>
        <v/>
      </c>
      <c r="BN146" s="102">
        <f>(CI146-Driver!$F$205)/(Driver!$G$205-Driver!$F$205)*$BI$1</f>
        <v/>
      </c>
      <c r="BO146" s="102">
        <f>(CK146-Driver!$F$207)/(Driver!$G$207-Driver!$F$207)*$BI$1</f>
        <v/>
      </c>
      <c r="BP146" s="102">
        <f>(CM146-Driver!$F$208)/(Driver!$G$208-Driver!$F$208)*$BI$1</f>
        <v/>
      </c>
      <c r="BQ146" s="102">
        <f>(CL146-Driver!$F$209)/(Driver!$G$209-Driver!$F$209)*$BI$1</f>
        <v/>
      </c>
      <c r="BR146" s="40" t="inlineStr">
        <is>
          <t>21/22</t>
        </is>
      </c>
      <c r="BS146" s="10" t="inlineStr">
        <is>
          <t xml:space="preserve"> Stöckli</t>
        </is>
      </c>
      <c r="BT146" s="11" t="inlineStr">
        <is>
          <t xml:space="preserve"> Laser SC</t>
        </is>
      </c>
      <c r="BU146" s="13" t="n">
        <v>156</v>
      </c>
      <c r="BV146" s="11" t="inlineStr">
        <is>
          <t xml:space="preserve"> Unisex</t>
        </is>
      </c>
      <c r="BW146" s="13" t="n">
        <v>156</v>
      </c>
      <c r="BX146" s="13" t="n">
        <v>154.8</v>
      </c>
      <c r="BY146" s="13" t="n">
        <v>134</v>
      </c>
      <c r="BZ146" s="13" t="n">
        <v>142</v>
      </c>
      <c r="CA146" s="13" t="n">
        <v>122</v>
      </c>
      <c r="CB146" s="13" t="n">
        <v>71</v>
      </c>
      <c r="CC146" s="13" t="n">
        <v>103</v>
      </c>
      <c r="CD146" s="13" t="n">
        <v>12.1</v>
      </c>
      <c r="CE146" s="13" t="n">
        <v>1577</v>
      </c>
      <c r="CF146" s="13" t="n">
        <v>0.85</v>
      </c>
      <c r="CG146" s="13" t="n">
        <v>1343</v>
      </c>
      <c r="CH146" s="13" t="n">
        <v>160</v>
      </c>
      <c r="CI146" s="13" t="n">
        <v>92</v>
      </c>
      <c r="CJ146" s="13" t="n">
        <v>42</v>
      </c>
      <c r="CK146" s="13" t="n">
        <v>151</v>
      </c>
      <c r="CL146" s="13" t="n">
        <v>6</v>
      </c>
      <c r="CM146" s="13" t="n">
        <v>57</v>
      </c>
      <c r="CN146" s="13" t="n">
        <v>0.135</v>
      </c>
      <c r="CO146" s="13" t="n">
        <v>75</v>
      </c>
      <c r="CP146" s="13" t="n">
        <v>55</v>
      </c>
      <c r="CQ146" s="13" t="n">
        <v>77</v>
      </c>
      <c r="CR146" s="13" t="n">
        <v>7</v>
      </c>
      <c r="CS146" s="13" t="n">
        <v>12.1</v>
      </c>
      <c r="CT146" s="11" t="inlineStr">
        <is>
          <t xml:space="preserve"> On-Piste Carving</t>
        </is>
      </c>
      <c r="CU146" s="13" t="n"/>
      <c r="CV146" s="13" t="n"/>
      <c r="CW146" s="13" t="n"/>
      <c r="CX146">
        <f>INDEX('Data_Price '!AG$2:AG$1266,MATCH(Data!$DN146,'Data_Price '!$AT$2:$AT$1266,0))</f>
        <v/>
      </c>
      <c r="CY146">
        <f>INDEX('Data_Price '!AH$2:AH$1266,MATCH(Data!$DN146,'Data_Price '!$AT$2:$AT$1266,0))</f>
        <v/>
      </c>
      <c r="CZ146">
        <f>INDEX('Data_Price '!AI$2:AI$1266,MATCH(Data!$DN146,'Data_Price '!$AT$2:$AT$1266,0))</f>
        <v/>
      </c>
      <c r="DA146">
        <f>INDEX('Data_Price '!AJ$2:AJ$1266,MATCH(Data!$DN146,'Data_Price '!$AT$2:$AT$1266,0))</f>
        <v/>
      </c>
      <c r="DB146">
        <f>INDEX('Data_Price '!AK$2:AK$1266,MATCH(Data!$DN146,'Data_Price '!$AT$2:$AT$1266,0))</f>
        <v/>
      </c>
      <c r="DC146">
        <f>INDEX('Data_Price '!AL$2:AL$1266,MATCH(Data!$DN146,'Data_Price '!$AT$2:$AT$1266,0))</f>
        <v/>
      </c>
      <c r="DD146">
        <f>INDEX('Data_Price '!AM$2:AM$1266,MATCH(Data!$DN146,'Data_Price '!$AT$2:$AT$1266,0))</f>
        <v/>
      </c>
      <c r="DE146">
        <f>INDEX('Data_Price '!AN$2:AN$1266,MATCH(Data!$DN146,'Data_Price '!$AT$2:$AT$1266,0))</f>
        <v/>
      </c>
      <c r="DF146">
        <f>INDEX('Data_Price '!AO$2:AO$1266,MATCH(Data!$DN146,'Data_Price '!$AT$2:$AT$1266,0))</f>
        <v/>
      </c>
      <c r="DG146">
        <f>INDEX('Data_Price '!AP$2:AP$1266,MATCH(Data!$DN146,'Data_Price '!$AT$2:$AT$1266,0))</f>
        <v/>
      </c>
      <c r="DH146">
        <f>INDEX('Data_Price '!AQ$2:AQ$1266,MATCH(Data!$DN146,'Data_Price '!$AT$2:$AT$1266,0))</f>
        <v/>
      </c>
      <c r="DI146">
        <f>INDEX('Data_Price '!AR$2:AR$1266,MATCH(Data!$DN146,'Data_Price '!$AT$2:$AT$1266,0))</f>
        <v/>
      </c>
      <c r="DJ146" s="138">
        <f>DA146</f>
        <v/>
      </c>
      <c r="DK146" s="138">
        <f>DE146</f>
        <v/>
      </c>
      <c r="DL146" s="138">
        <f>DI146</f>
        <v/>
      </c>
      <c r="DM146" s="303">
        <f>IF(LEFT(BT146,1)=" ",RIGHT(BT146,LEN(BT146)-1),BT146)</f>
        <v/>
      </c>
      <c r="DN146" s="138">
        <f>_xlfn.CONCAT(BS146,DM146,BU146,BV146)</f>
        <v/>
      </c>
      <c r="DO146" s="307" t="n"/>
    </row>
    <row r="147" ht="15.6" customHeight="1" s="184">
      <c r="B147" s="303">
        <f t="array" ref="B147">IF(OR(ISERROR(K147:P147)),FALSE,TRUE)</f>
        <v/>
      </c>
      <c r="C147" s="60">
        <f>OR(BR147=Driver!$G$50,Data!BR806=Driver!$H$50)</f>
        <v/>
      </c>
      <c r="D147" s="60">
        <f>OR(BV147=Driver!$G$51,BV147=Driver!$H$51)</f>
        <v/>
      </c>
      <c r="E147" s="60">
        <f>AND(BX147&gt;Driver!$F$54,BX147&lt;Driver!$G$54)</f>
        <v/>
      </c>
      <c r="F147" s="60">
        <f>CL147&gt;Driver!$F$56</f>
        <v/>
      </c>
      <c r="G147" s="60">
        <f>AND(CB147&gt;Driver!$F$55,CB147&lt;Driver!$G$55)</f>
        <v/>
      </c>
      <c r="H147" s="60">
        <f>AND(B147:G147)</f>
        <v/>
      </c>
      <c r="I147" s="60">
        <f>COUNTIFS($H$9:$H$1273,TRUE,$BT$9:$BT$1273,BT147)</f>
        <v/>
      </c>
      <c r="J147" s="60">
        <f t="array" ref="J147">NOT(OR(($H$9:$H$1273=TRUE)*($I$9:$I$1273&gt;0)*($BT$9:$BT$1273=BT147)*($K$9:$K$1273&gt;K147)))</f>
        <v/>
      </c>
      <c r="K147" s="108">
        <f>IFERROR(1-AVERAGE(X147:Y147),"")</f>
        <v/>
      </c>
      <c r="L147" s="108">
        <f>1-X147</f>
        <v/>
      </c>
      <c r="M147" s="108">
        <f>1-Y147</f>
        <v/>
      </c>
      <c r="N147" s="108">
        <f>1-Z147</f>
        <v/>
      </c>
      <c r="O147" s="108">
        <f>1-AA147</f>
        <v/>
      </c>
      <c r="P147" s="108">
        <f>1-AB147</f>
        <v/>
      </c>
      <c r="Q147" s="108" t="n"/>
      <c r="R147" s="108" t="n"/>
      <c r="S147" s="108">
        <f>1-AE147</f>
        <v/>
      </c>
      <c r="T147" s="108">
        <f>1-AF147</f>
        <v/>
      </c>
      <c r="U147" s="108">
        <f>1-AG147</f>
        <v/>
      </c>
      <c r="V147" s="108">
        <f>1-AH147</f>
        <v/>
      </c>
      <c r="W147" s="108">
        <f>1-AI147</f>
        <v/>
      </c>
      <c r="X147" s="108">
        <f>ABS(AJ147-AJ$1)</f>
        <v/>
      </c>
      <c r="Y147" s="108">
        <f>AVERAGE(Z147:AB147)</f>
        <v/>
      </c>
      <c r="Z147" s="108">
        <f>ABS(AL147-AL$1)</f>
        <v/>
      </c>
      <c r="AA147" s="108">
        <f>ABS(AM147-AM$1)</f>
        <v/>
      </c>
      <c r="AB147" s="108">
        <f>ABS(AN147-AN$1)</f>
        <v/>
      </c>
      <c r="AC147" s="108" t="n"/>
      <c r="AD147" s="108" t="n"/>
      <c r="AE147" s="108">
        <f>ABS(AQ$1-AQ147)</f>
        <v/>
      </c>
      <c r="AF147" s="108">
        <f>ABS(AR$1-AR147)</f>
        <v/>
      </c>
      <c r="AG147" s="108">
        <f>ABS(AS$1-AS147)</f>
        <v/>
      </c>
      <c r="AH147" s="108">
        <f>ABS(AT$1-AT147)</f>
        <v/>
      </c>
      <c r="AI147" s="108">
        <f>ABS(AU$1-AU147)</f>
        <v/>
      </c>
      <c r="AJ147" s="108">
        <f>(AV147-Driver!$K$179)/(Driver!$L$179-Driver!$K$179)</f>
        <v/>
      </c>
      <c r="AK147" s="108">
        <f>(AW147-Driver!$K$180)/(Driver!$L$180-Driver!$K$180)</f>
        <v/>
      </c>
      <c r="AL147" s="108">
        <f>(AX147-Driver!$K$181)/(Driver!$L$181-Driver!$K$181)</f>
        <v/>
      </c>
      <c r="AM147" s="108">
        <f>(AY147-Driver!$K$182)/(Driver!$L$182-Driver!$K$182)</f>
        <v/>
      </c>
      <c r="AN147" s="108">
        <f>(AZ147-Driver!$K$183)/(Driver!$L$183-Driver!$K$183)</f>
        <v/>
      </c>
      <c r="AO147" s="108" t="n"/>
      <c r="AP147" s="108" t="n"/>
      <c r="AQ147" s="108">
        <f>(BC147-Driver!$K$188)/(Driver!$L$188-Driver!$K$188)</f>
        <v/>
      </c>
      <c r="AR147" s="108">
        <f>MIN((BD147-Driver!$K$189)/(Driver!$L$189-Driver!$K$189),100%)</f>
        <v/>
      </c>
      <c r="AS147" s="108">
        <f>(BE147-Driver!$K$190)/(Driver!$L$190-Driver!$K$190)</f>
        <v/>
      </c>
      <c r="AT147" s="108">
        <f>(BF147-Driver!$K$191)/(Driver!$L$191-Driver!$K$191)</f>
        <v/>
      </c>
      <c r="AU147" s="108">
        <f>(BG147-Driver!$K$192)/(Driver!$L$192-Driver!$K$192)</f>
        <v/>
      </c>
      <c r="AV147" s="105">
        <f>IFERROR(BM147*BJ147^1/4,"")</f>
        <v/>
      </c>
      <c r="AW147" s="105">
        <f>IFERROR(SUM(AX147:AZ147),"")</f>
        <v/>
      </c>
      <c r="AX147" s="105">
        <f>IFERROR(BH147,"")</f>
        <v/>
      </c>
      <c r="AY147" s="105">
        <f>IFERROR(Driver!$K$19/Data!BH726/Data!BI726*Data!BK726*Data!BL726,"")</f>
        <v/>
      </c>
      <c r="AZ147" s="105">
        <f>IFERROR(BI147*BN147,"")</f>
        <v/>
      </c>
      <c r="BA147" s="105" t="n"/>
      <c r="BB147" s="105" t="n"/>
      <c r="BC147" s="105">
        <f>IFERROR(BI147*BN147*BK147/BJ147^(1/2),"")</f>
        <v/>
      </c>
      <c r="BD147" s="105">
        <f>IFERROR(BH147*BM147*BL147/BJ147/BK147,"")</f>
        <v/>
      </c>
      <c r="BE147" s="105">
        <f>IFERROR(MIN(BI147/BQ147/BP147/BO147/BH147,$BE$1),"")</f>
        <v/>
      </c>
      <c r="BF147" s="105">
        <f>IFERROR(BJ147*BO147*BP147/BK147,"")</f>
        <v/>
      </c>
      <c r="BG147" s="105">
        <f>IFERROR(1/BM147/BH147*BQ147,"")</f>
        <v/>
      </c>
      <c r="BH147" s="102">
        <f>MAX((CE147-Driver!$F$200)/(Driver!$G$200-Driver!$F$200)*$BI$1,1)</f>
        <v/>
      </c>
      <c r="BI147" s="102">
        <f>MAX($BI$1*(BY147-Driver!$F$201)/(Driver!$G$201-Driver!$F$201),1)</f>
        <v/>
      </c>
      <c r="BJ147" s="102">
        <f>(CB147-Driver!$F$206)/(Driver!$G$206-Driver!$F$206)*$BI$1</f>
        <v/>
      </c>
      <c r="BK147" s="102">
        <f>(CD147-Driver!$F$203)/(Driver!$G$203-Driver!$F$203)*$BI$1</f>
        <v/>
      </c>
      <c r="BL147" s="102">
        <f>MAX((CR147-Driver!$F$202)/(Driver!$G$202-Driver!$F$202)*$BI$1,1)</f>
        <v/>
      </c>
      <c r="BM147" s="102">
        <f>MAX((CH147-Driver!$F$204)/(Driver!$G$204-Driver!$F$204)*$BI$1,1)</f>
        <v/>
      </c>
      <c r="BN147" s="102">
        <f>(CI147-Driver!$F$205)/(Driver!$G$205-Driver!$F$205)*$BI$1</f>
        <v/>
      </c>
      <c r="BO147" s="102">
        <f>(CK147-Driver!$F$207)/(Driver!$G$207-Driver!$F$207)*$BI$1</f>
        <v/>
      </c>
      <c r="BP147" s="102">
        <f>(CM147-Driver!$F$208)/(Driver!$G$208-Driver!$F$208)*$BI$1</f>
        <v/>
      </c>
      <c r="BQ147" s="102">
        <f>(CL147-Driver!$F$209)/(Driver!$G$209-Driver!$F$209)*$BI$1</f>
        <v/>
      </c>
      <c r="BR147" s="40" t="inlineStr">
        <is>
          <t>21/22</t>
        </is>
      </c>
      <c r="BS147" s="10" t="inlineStr">
        <is>
          <t xml:space="preserve"> Liberty</t>
        </is>
      </c>
      <c r="BT147" s="11" t="inlineStr">
        <is>
          <t>Genesis 101</t>
        </is>
      </c>
      <c r="BU147" s="13" t="n">
        <v>151</v>
      </c>
      <c r="BV147" s="11" t="inlineStr">
        <is>
          <t xml:space="preserve"> Women's</t>
        </is>
      </c>
      <c r="BW147" s="13" t="n">
        <v>151</v>
      </c>
      <c r="BX147" s="13" t="n">
        <v>150.1</v>
      </c>
      <c r="BY147" s="13" t="n">
        <v>90</v>
      </c>
      <c r="BZ147" s="13" t="n">
        <v>123</v>
      </c>
      <c r="CA147" s="13" t="n">
        <v>134</v>
      </c>
      <c r="CB147" s="13" t="n">
        <v>101</v>
      </c>
      <c r="CC147" s="13" t="n">
        <v>121</v>
      </c>
      <c r="CD147" s="13" t="n">
        <v>12.5</v>
      </c>
      <c r="CE147" s="13" t="n">
        <v>1483</v>
      </c>
      <c r="CF147" s="13" t="n">
        <v>1.13</v>
      </c>
      <c r="CG147" s="13" t="n">
        <v>1669</v>
      </c>
      <c r="CH147" s="13" t="n">
        <v>170</v>
      </c>
      <c r="CI147" s="13" t="n">
        <v>84</v>
      </c>
      <c r="CJ147" s="13" t="n">
        <v>44</v>
      </c>
      <c r="CK147" s="13" t="n">
        <v>339</v>
      </c>
      <c r="CL147" s="13" t="n">
        <v>34</v>
      </c>
      <c r="CM147" s="13" t="n">
        <v>258</v>
      </c>
      <c r="CN147" s="13" t="n">
        <v>0.759</v>
      </c>
      <c r="CO147" s="13" t="n">
        <v>139</v>
      </c>
      <c r="CP147" s="13" t="n">
        <v>136</v>
      </c>
      <c r="CQ147" s="13" t="n">
        <v>201</v>
      </c>
      <c r="CR147" s="13" t="n">
        <v>4</v>
      </c>
      <c r="CS147" s="13" t="n">
        <v>6.5</v>
      </c>
      <c r="CT147" s="11" t="inlineStr">
        <is>
          <t xml:space="preserve"> Resort Freeride</t>
        </is>
      </c>
      <c r="CU147" s="11" t="inlineStr">
        <is>
          <t xml:space="preserve"> Powder</t>
        </is>
      </c>
      <c r="CV147" s="11" t="inlineStr">
        <is>
          <t xml:space="preserve"> Touring</t>
        </is>
      </c>
      <c r="CW147" s="13" t="n"/>
      <c r="CX147">
        <f>INDEX('Data_Price '!AG$2:AG$1266,MATCH(Data!$DN147,'Data_Price '!$AT$2:$AT$1266,0))</f>
        <v/>
      </c>
      <c r="CY147">
        <f>INDEX('Data_Price '!AH$2:AH$1266,MATCH(Data!$DN147,'Data_Price '!$AT$2:$AT$1266,0))</f>
        <v/>
      </c>
      <c r="CZ147">
        <f>INDEX('Data_Price '!AI$2:AI$1266,MATCH(Data!$DN147,'Data_Price '!$AT$2:$AT$1266,0))</f>
        <v/>
      </c>
      <c r="DA147">
        <f>INDEX('Data_Price '!AJ$2:AJ$1266,MATCH(Data!$DN147,'Data_Price '!$AT$2:$AT$1266,0))</f>
        <v/>
      </c>
      <c r="DB147">
        <f>INDEX('Data_Price '!AK$2:AK$1266,MATCH(Data!$DN147,'Data_Price '!$AT$2:$AT$1266,0))</f>
        <v/>
      </c>
      <c r="DC147">
        <f>INDEX('Data_Price '!AL$2:AL$1266,MATCH(Data!$DN147,'Data_Price '!$AT$2:$AT$1266,0))</f>
        <v/>
      </c>
      <c r="DD147">
        <f>INDEX('Data_Price '!AM$2:AM$1266,MATCH(Data!$DN147,'Data_Price '!$AT$2:$AT$1266,0))</f>
        <v/>
      </c>
      <c r="DE147">
        <f>INDEX('Data_Price '!AN$2:AN$1266,MATCH(Data!$DN147,'Data_Price '!$AT$2:$AT$1266,0))</f>
        <v/>
      </c>
      <c r="DF147">
        <f>INDEX('Data_Price '!AO$2:AO$1266,MATCH(Data!$DN147,'Data_Price '!$AT$2:$AT$1266,0))</f>
        <v/>
      </c>
      <c r="DG147">
        <f>INDEX('Data_Price '!AP$2:AP$1266,MATCH(Data!$DN147,'Data_Price '!$AT$2:$AT$1266,0))</f>
        <v/>
      </c>
      <c r="DH147">
        <f>INDEX('Data_Price '!AQ$2:AQ$1266,MATCH(Data!$DN147,'Data_Price '!$AT$2:$AT$1266,0))</f>
        <v/>
      </c>
      <c r="DI147">
        <f>INDEX('Data_Price '!AR$2:AR$1266,MATCH(Data!$DN147,'Data_Price '!$AT$2:$AT$1266,0))</f>
        <v/>
      </c>
      <c r="DJ147" s="138">
        <f>DA147</f>
        <v/>
      </c>
      <c r="DK147" s="138">
        <f>DE147</f>
        <v/>
      </c>
      <c r="DL147" s="138">
        <f>DI147</f>
        <v/>
      </c>
      <c r="DM147" s="303">
        <f>IF(LEFT(BT147,1)=" ",RIGHT(BT147,LEN(BT147)-1),BT147)</f>
        <v/>
      </c>
      <c r="DN147" s="138">
        <f>_xlfn.CONCAT(BS147,DM147,BU147,BV147)</f>
        <v/>
      </c>
      <c r="DO147" s="307" t="inlineStr">
        <is>
          <t>https://images.evo.com/imgp/250/208622/839895/clone.jpg</t>
        </is>
      </c>
    </row>
    <row r="148" ht="15.6" customHeight="1" s="184">
      <c r="B148" s="303">
        <f t="array" ref="B148">IF(OR(ISERROR(K148:P148)),FALSE,TRUE)</f>
        <v/>
      </c>
      <c r="C148" s="60">
        <f>OR(BR148=Driver!$G$50,Data!BR212=Driver!$H$50)</f>
        <v/>
      </c>
      <c r="D148" s="60">
        <f>OR(BV148=Driver!$G$51,BV148=Driver!$H$51)</f>
        <v/>
      </c>
      <c r="E148" s="60">
        <f>AND(BX148&gt;Driver!$F$54,BX148&lt;Driver!$G$54)</f>
        <v/>
      </c>
      <c r="F148" s="60">
        <f>CL148&gt;Driver!$F$56</f>
        <v/>
      </c>
      <c r="G148" s="60">
        <f>AND(CB148&gt;Driver!$F$55,CB148&lt;Driver!$G$55)</f>
        <v/>
      </c>
      <c r="H148" s="60">
        <f>AND(B148:G148)</f>
        <v/>
      </c>
      <c r="I148" s="60">
        <f>COUNTIFS($H$9:$H$1273,TRUE,$BT$9:$BT$1273,BT148)</f>
        <v/>
      </c>
      <c r="J148" s="60">
        <f t="array" ref="J148">NOT(OR(($H$9:$H$1273=TRUE)*($I$9:$I$1273&gt;0)*($BT$9:$BT$1273=BT148)*($K$9:$K$1273&gt;K148)))</f>
        <v/>
      </c>
      <c r="K148" s="108">
        <f>IFERROR(1-AVERAGE(X148:Y148),"")</f>
        <v/>
      </c>
      <c r="L148" s="108">
        <f>1-X148</f>
        <v/>
      </c>
      <c r="M148" s="108">
        <f>1-Y148</f>
        <v/>
      </c>
      <c r="N148" s="108">
        <f>1-Z148</f>
        <v/>
      </c>
      <c r="O148" s="108">
        <f>1-AA148</f>
        <v/>
      </c>
      <c r="P148" s="108">
        <f>1-AB148</f>
        <v/>
      </c>
      <c r="Q148" s="108" t="n"/>
      <c r="R148" s="108" t="n"/>
      <c r="S148" s="108">
        <f>1-AE148</f>
        <v/>
      </c>
      <c r="T148" s="108">
        <f>1-AF148</f>
        <v/>
      </c>
      <c r="U148" s="108">
        <f>1-AG148</f>
        <v/>
      </c>
      <c r="V148" s="108">
        <f>1-AH148</f>
        <v/>
      </c>
      <c r="W148" s="108">
        <f>1-AI148</f>
        <v/>
      </c>
      <c r="X148" s="108">
        <f>ABS(AJ148-AJ$1)</f>
        <v/>
      </c>
      <c r="Y148" s="108">
        <f>AVERAGE(Z148:AB148)</f>
        <v/>
      </c>
      <c r="Z148" s="108">
        <f>ABS(AL148-AL$1)</f>
        <v/>
      </c>
      <c r="AA148" s="108">
        <f>ABS(AM148-AM$1)</f>
        <v/>
      </c>
      <c r="AB148" s="108">
        <f>ABS(AN148-AN$1)</f>
        <v/>
      </c>
      <c r="AC148" s="108" t="n"/>
      <c r="AD148" s="108" t="n"/>
      <c r="AE148" s="108">
        <f>ABS(AQ$1-AQ148)</f>
        <v/>
      </c>
      <c r="AF148" s="108">
        <f>ABS(AR$1-AR148)</f>
        <v/>
      </c>
      <c r="AG148" s="108">
        <f>ABS(AS$1-AS148)</f>
        <v/>
      </c>
      <c r="AH148" s="108">
        <f>ABS(AT$1-AT148)</f>
        <v/>
      </c>
      <c r="AI148" s="108">
        <f>ABS(AU$1-AU148)</f>
        <v/>
      </c>
      <c r="AJ148" s="108">
        <f>(AV148-Driver!$K$179)/(Driver!$L$179-Driver!$K$179)</f>
        <v/>
      </c>
      <c r="AK148" s="108">
        <f>(AW148-Driver!$K$180)/(Driver!$L$180-Driver!$K$180)</f>
        <v/>
      </c>
      <c r="AL148" s="108">
        <f>(AX148-Driver!$K$181)/(Driver!$L$181-Driver!$K$181)</f>
        <v/>
      </c>
      <c r="AM148" s="108">
        <f>(AY148-Driver!$K$182)/(Driver!$L$182-Driver!$K$182)</f>
        <v/>
      </c>
      <c r="AN148" s="108">
        <f>(AZ148-Driver!$K$183)/(Driver!$L$183-Driver!$K$183)</f>
        <v/>
      </c>
      <c r="AO148" s="108" t="n"/>
      <c r="AP148" s="108" t="n"/>
      <c r="AQ148" s="108">
        <f>(BC148-Driver!$K$188)/(Driver!$L$188-Driver!$K$188)</f>
        <v/>
      </c>
      <c r="AR148" s="108">
        <f>MIN((BD148-Driver!$K$189)/(Driver!$L$189-Driver!$K$189),100%)</f>
        <v/>
      </c>
      <c r="AS148" s="108">
        <f>(BE148-Driver!$K$190)/(Driver!$L$190-Driver!$K$190)</f>
        <v/>
      </c>
      <c r="AT148" s="108">
        <f>(BF148-Driver!$K$191)/(Driver!$L$191-Driver!$K$191)</f>
        <v/>
      </c>
      <c r="AU148" s="108">
        <f>(BG148-Driver!$K$192)/(Driver!$L$192-Driver!$K$192)</f>
        <v/>
      </c>
      <c r="AV148" s="105">
        <f>IFERROR(BM148*BJ148^1/4,"")</f>
        <v/>
      </c>
      <c r="AW148" s="105">
        <f>IFERROR(SUM(AX148:AZ148),"")</f>
        <v/>
      </c>
      <c r="AX148" s="105">
        <f>IFERROR(BH148,"")</f>
        <v/>
      </c>
      <c r="AY148" s="105">
        <f>IFERROR(Driver!$K$19/Data!BH148/Data!BI148*Data!BK148*Data!BL148,"")</f>
        <v/>
      </c>
      <c r="AZ148" s="105">
        <f>IFERROR(BI148*BN148,"")</f>
        <v/>
      </c>
      <c r="BA148" s="105" t="n"/>
      <c r="BB148" s="105" t="n"/>
      <c r="BC148" s="105">
        <f>IFERROR(BI148*BN148*BK148/BJ148^(1/2),"")</f>
        <v/>
      </c>
      <c r="BD148" s="105">
        <f>IFERROR(BH148*BM148*BL148/BJ148/BK148,"")</f>
        <v/>
      </c>
      <c r="BE148" s="105">
        <f>IFERROR(MIN(BI148/BQ148/BP148/BO148/BH148,$BE$1),"")</f>
        <v/>
      </c>
      <c r="BF148" s="105">
        <f>IFERROR(BJ148*BO148*BP148/BK148,"")</f>
        <v/>
      </c>
      <c r="BG148" s="105">
        <f>IFERROR(1/BM148/BH148*BQ148,"")</f>
        <v/>
      </c>
      <c r="BH148" s="102">
        <f>MAX((CE148-Driver!$F$200)/(Driver!$G$200-Driver!$F$200)*$BI$1,1)</f>
        <v/>
      </c>
      <c r="BI148" s="102">
        <f>MAX($BI$1*(BY148-Driver!$F$201)/(Driver!$G$201-Driver!$F$201),1)</f>
        <v/>
      </c>
      <c r="BJ148" s="102">
        <f>(CB148-Driver!$F$206)/(Driver!$G$206-Driver!$F$206)*$BI$1</f>
        <v/>
      </c>
      <c r="BK148" s="102">
        <f>(CD148-Driver!$F$203)/(Driver!$G$203-Driver!$F$203)*$BI$1</f>
        <v/>
      </c>
      <c r="BL148" s="102">
        <f>MAX((CR148-Driver!$F$202)/(Driver!$G$202-Driver!$F$202)*$BI$1,1)</f>
        <v/>
      </c>
      <c r="BM148" s="102">
        <f>MAX((CH148-Driver!$F$204)/(Driver!$G$204-Driver!$F$204)*$BI$1,1)</f>
        <v/>
      </c>
      <c r="BN148" s="102">
        <f>(CI148-Driver!$F$205)/(Driver!$G$205-Driver!$F$205)*$BI$1</f>
        <v/>
      </c>
      <c r="BO148" s="102">
        <f>(CK148-Driver!$F$207)/(Driver!$G$207-Driver!$F$207)*$BI$1</f>
        <v/>
      </c>
      <c r="BP148" s="102">
        <f>(CM148-Driver!$F$208)/(Driver!$G$208-Driver!$F$208)*$BI$1</f>
        <v/>
      </c>
      <c r="BQ148" s="102">
        <f>(CL148-Driver!$F$209)/(Driver!$G$209-Driver!$F$209)*$BI$1</f>
        <v/>
      </c>
      <c r="BR148" s="40" t="inlineStr">
        <is>
          <t>21/22</t>
        </is>
      </c>
      <c r="BS148" s="10" t="inlineStr">
        <is>
          <t xml:space="preserve"> Black Crows</t>
        </is>
      </c>
      <c r="BT148" s="11" t="inlineStr">
        <is>
          <t xml:space="preserve"> Camox Freebird</t>
        </is>
      </c>
      <c r="BU148" s="13" t="n">
        <v>178.2</v>
      </c>
      <c r="BV148" s="11" t="inlineStr">
        <is>
          <t xml:space="preserve"> Unisex</t>
        </is>
      </c>
      <c r="BW148" s="13" t="n">
        <v>178.2</v>
      </c>
      <c r="BX148" s="13" t="n">
        <v>177.2</v>
      </c>
      <c r="BY148" s="13" t="n">
        <v>137</v>
      </c>
      <c r="BZ148" s="13" t="n">
        <v>147</v>
      </c>
      <c r="CA148" s="13" t="n">
        <v>134</v>
      </c>
      <c r="CB148" s="13" t="n">
        <v>95</v>
      </c>
      <c r="CC148" s="13" t="n">
        <v>114</v>
      </c>
      <c r="CD148" s="13" t="n">
        <v>17.1</v>
      </c>
      <c r="CE148" s="13" t="n">
        <v>1505</v>
      </c>
      <c r="CF148" s="13" t="n">
        <v>1.26</v>
      </c>
      <c r="CG148" s="13" t="n">
        <v>1902</v>
      </c>
      <c r="CH148" s="13" t="n">
        <v>208</v>
      </c>
      <c r="CI148" s="13" t="n">
        <v>111</v>
      </c>
      <c r="CJ148" s="13" t="n">
        <v>44</v>
      </c>
      <c r="CK148" s="13" t="n">
        <v>254</v>
      </c>
      <c r="CL148" s="13" t="n">
        <v>12</v>
      </c>
      <c r="CM148" s="13" t="n">
        <v>144</v>
      </c>
      <c r="CN148" s="13" t="n">
        <v>0.273</v>
      </c>
      <c r="CO148" s="13" t="n">
        <v>169</v>
      </c>
      <c r="CP148" s="13" t="n">
        <v>133</v>
      </c>
      <c r="CQ148" s="13" t="n">
        <v>85</v>
      </c>
      <c r="CR148" s="13" t="n">
        <v>8</v>
      </c>
      <c r="CS148" s="13" t="n">
        <v>9.199999999999999</v>
      </c>
      <c r="CT148" s="11" t="inlineStr">
        <is>
          <t xml:space="preserve"> Resort Freeride</t>
        </is>
      </c>
      <c r="CU148" s="11" t="inlineStr">
        <is>
          <t xml:space="preserve"> Touring</t>
        </is>
      </c>
      <c r="CV148" s="11" t="inlineStr">
        <is>
          <t xml:space="preserve"> Ultralight Touring</t>
        </is>
      </c>
      <c r="CW148" s="13" t="n"/>
      <c r="CX148">
        <f>INDEX('Data_Price '!AG$2:AG$1266,MATCH(Data!$DN148,'Data_Price '!$AT$2:$AT$1266,0))</f>
        <v/>
      </c>
      <c r="CY148">
        <f>INDEX('Data_Price '!AH$2:AH$1266,MATCH(Data!$DN148,'Data_Price '!$AT$2:$AT$1266,0))</f>
        <v/>
      </c>
      <c r="CZ148">
        <f>INDEX('Data_Price '!AI$2:AI$1266,MATCH(Data!$DN148,'Data_Price '!$AT$2:$AT$1266,0))</f>
        <v/>
      </c>
      <c r="DA148">
        <f>INDEX('Data_Price '!AJ$2:AJ$1266,MATCH(Data!$DN148,'Data_Price '!$AT$2:$AT$1266,0))</f>
        <v/>
      </c>
      <c r="DB148">
        <f>INDEX('Data_Price '!AK$2:AK$1266,MATCH(Data!$DN148,'Data_Price '!$AT$2:$AT$1266,0))</f>
        <v/>
      </c>
      <c r="DC148">
        <f>INDEX('Data_Price '!AL$2:AL$1266,MATCH(Data!$DN148,'Data_Price '!$AT$2:$AT$1266,0))</f>
        <v/>
      </c>
      <c r="DD148">
        <f>INDEX('Data_Price '!AM$2:AM$1266,MATCH(Data!$DN148,'Data_Price '!$AT$2:$AT$1266,0))</f>
        <v/>
      </c>
      <c r="DE148">
        <f>INDEX('Data_Price '!AN$2:AN$1266,MATCH(Data!$DN148,'Data_Price '!$AT$2:$AT$1266,0))</f>
        <v/>
      </c>
      <c r="DF148">
        <f>INDEX('Data_Price '!AO$2:AO$1266,MATCH(Data!$DN148,'Data_Price '!$AT$2:$AT$1266,0))</f>
        <v/>
      </c>
      <c r="DG148">
        <f>INDEX('Data_Price '!AP$2:AP$1266,MATCH(Data!$DN148,'Data_Price '!$AT$2:$AT$1266,0))</f>
        <v/>
      </c>
      <c r="DH148">
        <f>INDEX('Data_Price '!AQ$2:AQ$1266,MATCH(Data!$DN148,'Data_Price '!$AT$2:$AT$1266,0))</f>
        <v/>
      </c>
      <c r="DI148">
        <f>INDEX('Data_Price '!AR$2:AR$1266,MATCH(Data!$DN148,'Data_Price '!$AT$2:$AT$1266,0))</f>
        <v/>
      </c>
      <c r="DJ148" s="138">
        <f>DA148</f>
        <v/>
      </c>
      <c r="DK148" s="138">
        <f>DE148</f>
        <v/>
      </c>
      <c r="DL148" s="138">
        <f>DI148</f>
        <v/>
      </c>
      <c r="DM148" s="303">
        <f>IF(LEFT(BT148,1)=" ",RIGHT(BT148,LEN(BT148)-1),BT148)</f>
        <v/>
      </c>
      <c r="DN148" s="138">
        <f>_xlfn.CONCAT(BS148,DM148,BU148,BV148)</f>
        <v/>
      </c>
      <c r="DO148" s="307" t="inlineStr">
        <is>
          <t>https://images.evo.com/imgp/250/164658/659367/black-crows-camox-freebird-skis-2022-.jpg</t>
        </is>
      </c>
    </row>
    <row r="149" ht="15.6" customHeight="1" s="184">
      <c r="B149" s="303">
        <f t="array" ref="B149">IF(OR(ISERROR(K149:P149)),FALSE,TRUE)</f>
        <v/>
      </c>
      <c r="C149" s="60">
        <f>OR(BR149=Driver!$G$50,Data!BR551=Driver!$H$50)</f>
        <v/>
      </c>
      <c r="D149" s="60">
        <f>OR(BV149=Driver!$G$51,BV149=Driver!$H$51)</f>
        <v/>
      </c>
      <c r="E149" s="60">
        <f>AND(BX149&gt;Driver!$F$54,BX149&lt;Driver!$G$54)</f>
        <v/>
      </c>
      <c r="F149" s="60">
        <f>CL149&gt;Driver!$F$56</f>
        <v/>
      </c>
      <c r="G149" s="60">
        <f>AND(CB149&gt;Driver!$F$55,CB149&lt;Driver!$G$55)</f>
        <v/>
      </c>
      <c r="H149" s="60">
        <f>AND(B149:G149)</f>
        <v/>
      </c>
      <c r="I149" s="60">
        <f>COUNTIFS($H$9:$H$1273,TRUE,$BT$9:$BT$1273,BT149)</f>
        <v/>
      </c>
      <c r="J149" s="60">
        <f t="array" ref="J149">NOT(OR(($H$9:$H$1273=TRUE)*($I$9:$I$1273&gt;0)*($BT$9:$BT$1273=BT149)*($K$9:$K$1273&gt;K149)))</f>
        <v/>
      </c>
      <c r="K149" s="108">
        <f>IFERROR(1-AVERAGE(X149:Y149),"")</f>
        <v/>
      </c>
      <c r="L149" s="108">
        <f>1-X149</f>
        <v/>
      </c>
      <c r="M149" s="108">
        <f>1-Y149</f>
        <v/>
      </c>
      <c r="N149" s="108">
        <f>1-Z149</f>
        <v/>
      </c>
      <c r="O149" s="108">
        <f>1-AA149</f>
        <v/>
      </c>
      <c r="P149" s="108">
        <f>1-AB149</f>
        <v/>
      </c>
      <c r="Q149" s="108" t="n"/>
      <c r="R149" s="108" t="n"/>
      <c r="S149" s="108">
        <f>1-AE149</f>
        <v/>
      </c>
      <c r="T149" s="108">
        <f>1-AF149</f>
        <v/>
      </c>
      <c r="U149" s="108">
        <f>1-AG149</f>
        <v/>
      </c>
      <c r="V149" s="108">
        <f>1-AH149</f>
        <v/>
      </c>
      <c r="W149" s="108">
        <f>1-AI149</f>
        <v/>
      </c>
      <c r="X149" s="108">
        <f>ABS(AJ149-AJ$1)</f>
        <v/>
      </c>
      <c r="Y149" s="108">
        <f>AVERAGE(Z149:AB149)</f>
        <v/>
      </c>
      <c r="Z149" s="108">
        <f>ABS(AL149-AL$1)</f>
        <v/>
      </c>
      <c r="AA149" s="108">
        <f>ABS(AM149-AM$1)</f>
        <v/>
      </c>
      <c r="AB149" s="108">
        <f>ABS(AN149-AN$1)</f>
        <v/>
      </c>
      <c r="AC149" s="108" t="n"/>
      <c r="AD149" s="108" t="n"/>
      <c r="AE149" s="108">
        <f>ABS(AQ$1-AQ149)</f>
        <v/>
      </c>
      <c r="AF149" s="108">
        <f>ABS(AR$1-AR149)</f>
        <v/>
      </c>
      <c r="AG149" s="108">
        <f>ABS(AS$1-AS149)</f>
        <v/>
      </c>
      <c r="AH149" s="108">
        <f>ABS(AT$1-AT149)</f>
        <v/>
      </c>
      <c r="AI149" s="108">
        <f>ABS(AU$1-AU149)</f>
        <v/>
      </c>
      <c r="AJ149" s="108">
        <f>(AV149-Driver!$K$179)/(Driver!$L$179-Driver!$K$179)</f>
        <v/>
      </c>
      <c r="AK149" s="108">
        <f>(AW149-Driver!$K$180)/(Driver!$L$180-Driver!$K$180)</f>
        <v/>
      </c>
      <c r="AL149" s="108">
        <f>(AX149-Driver!$K$181)/(Driver!$L$181-Driver!$K$181)</f>
        <v/>
      </c>
      <c r="AM149" s="108">
        <f>(AY149-Driver!$K$182)/(Driver!$L$182-Driver!$K$182)</f>
        <v/>
      </c>
      <c r="AN149" s="108">
        <f>(AZ149-Driver!$K$183)/(Driver!$L$183-Driver!$K$183)</f>
        <v/>
      </c>
      <c r="AO149" s="108" t="n"/>
      <c r="AP149" s="108" t="n"/>
      <c r="AQ149" s="108">
        <f>(BC149-Driver!$K$188)/(Driver!$L$188-Driver!$K$188)</f>
        <v/>
      </c>
      <c r="AR149" s="108">
        <f>MIN((BD149-Driver!$K$189)/(Driver!$L$189-Driver!$K$189),100%)</f>
        <v/>
      </c>
      <c r="AS149" s="108">
        <f>(BE149-Driver!$K$190)/(Driver!$L$190-Driver!$K$190)</f>
        <v/>
      </c>
      <c r="AT149" s="108">
        <f>(BF149-Driver!$K$191)/(Driver!$L$191-Driver!$K$191)</f>
        <v/>
      </c>
      <c r="AU149" s="108">
        <f>(BG149-Driver!$K$192)/(Driver!$L$192-Driver!$K$192)</f>
        <v/>
      </c>
      <c r="AV149" s="105">
        <f>IFERROR(BM149*BJ149^1/4,"")</f>
        <v/>
      </c>
      <c r="AW149" s="105">
        <f>IFERROR(SUM(AX149:AZ149),"")</f>
        <v/>
      </c>
      <c r="AX149" s="105">
        <f>IFERROR(BH149,"")</f>
        <v/>
      </c>
      <c r="AY149" s="105">
        <f>IFERROR(Driver!$K$19/Data!BH149/Data!BI149*Data!BK149*Data!BL149,"")</f>
        <v/>
      </c>
      <c r="AZ149" s="105">
        <f>IFERROR(BI149*BN149,"")</f>
        <v/>
      </c>
      <c r="BA149" s="105" t="n"/>
      <c r="BB149" s="105" t="n"/>
      <c r="BC149" s="105">
        <f>IFERROR(BI149*BN149*BK149/BJ149^(1/2),"")</f>
        <v/>
      </c>
      <c r="BD149" s="105">
        <f>IFERROR(BH149*BM149*BL149/BJ149/BK149,"")</f>
        <v/>
      </c>
      <c r="BE149" s="105">
        <f>IFERROR(MIN(BI149/BQ149/BP149/BO149/BH149,$BE$1),"")</f>
        <v/>
      </c>
      <c r="BF149" s="105">
        <f>IFERROR(BJ149*BO149*BP149/BK149,"")</f>
        <v/>
      </c>
      <c r="BG149" s="105">
        <f>IFERROR(1/BM149/BH149*BQ149,"")</f>
        <v/>
      </c>
      <c r="BH149" s="102">
        <f>MAX((CE149-Driver!$F$200)/(Driver!$G$200-Driver!$F$200)*$BI$1,1)</f>
        <v/>
      </c>
      <c r="BI149" s="102">
        <f>MAX($BI$1*(BY149-Driver!$F$201)/(Driver!$G$201-Driver!$F$201),1)</f>
        <v/>
      </c>
      <c r="BJ149" s="102">
        <f>(CB149-Driver!$F$206)/(Driver!$G$206-Driver!$F$206)*$BI$1</f>
        <v/>
      </c>
      <c r="BK149" s="102">
        <f>(CD149-Driver!$F$203)/(Driver!$G$203-Driver!$F$203)*$BI$1</f>
        <v/>
      </c>
      <c r="BL149" s="102">
        <f>MAX((CR149-Driver!$F$202)/(Driver!$G$202-Driver!$F$202)*$BI$1,1)</f>
        <v/>
      </c>
      <c r="BM149" s="102">
        <f>MAX((CH149-Driver!$F$204)/(Driver!$G$204-Driver!$F$204)*$BI$1,1)</f>
        <v/>
      </c>
      <c r="BN149" s="102">
        <f>(CI149-Driver!$F$205)/(Driver!$G$205-Driver!$F$205)*$BI$1</f>
        <v/>
      </c>
      <c r="BO149" s="102">
        <f>(CK149-Driver!$F$207)/(Driver!$G$207-Driver!$F$207)*$BI$1</f>
        <v/>
      </c>
      <c r="BP149" s="102">
        <f>(CM149-Driver!$F$208)/(Driver!$G$208-Driver!$F$208)*$BI$1</f>
        <v/>
      </c>
      <c r="BQ149" s="102">
        <f>(CL149-Driver!$F$209)/(Driver!$G$209-Driver!$F$209)*$BI$1</f>
        <v/>
      </c>
      <c r="BR149" s="40" t="inlineStr">
        <is>
          <t>21/22</t>
        </is>
      </c>
      <c r="BS149" s="10" t="inlineStr">
        <is>
          <t xml:space="preserve"> Fischer</t>
        </is>
      </c>
      <c r="BT149" s="11" t="inlineStr">
        <is>
          <t>Hannibal 106</t>
        </is>
      </c>
      <c r="BU149" s="13" t="n">
        <v>171</v>
      </c>
      <c r="BV149" s="11" t="inlineStr">
        <is>
          <t xml:space="preserve"> Unisex</t>
        </is>
      </c>
      <c r="BW149" s="13" t="n">
        <v>171</v>
      </c>
      <c r="BX149" s="13" t="n">
        <v>169.8</v>
      </c>
      <c r="BY149" s="13" t="n">
        <v>111</v>
      </c>
      <c r="BZ149" s="13" t="n">
        <v>142</v>
      </c>
      <c r="CA149" s="13" t="n">
        <v>135</v>
      </c>
      <c r="CB149" s="13" t="n">
        <v>103</v>
      </c>
      <c r="CC149" s="13" t="n">
        <v>118</v>
      </c>
      <c r="CD149" s="13" t="n">
        <v>20.4</v>
      </c>
      <c r="CE149" s="13" t="n">
        <v>1463</v>
      </c>
      <c r="CF149" s="13" t="n">
        <v>1.3</v>
      </c>
      <c r="CG149" s="13" t="n">
        <v>1895</v>
      </c>
      <c r="CH149" s="13" t="n">
        <v>216</v>
      </c>
      <c r="CI149" s="13" t="n">
        <v>93</v>
      </c>
      <c r="CJ149" s="13" t="n">
        <v>65</v>
      </c>
      <c r="CK149" s="13" t="n">
        <v>419</v>
      </c>
      <c r="CL149" s="13" t="n">
        <v>14</v>
      </c>
      <c r="CM149" s="13" t="n">
        <v>165</v>
      </c>
      <c r="CN149" s="13" t="n">
        <v>0.216</v>
      </c>
      <c r="CO149" s="13" t="n">
        <v>163</v>
      </c>
      <c r="CP149" s="13" t="n">
        <v>119</v>
      </c>
      <c r="CQ149" s="13" t="n">
        <v>256</v>
      </c>
      <c r="CR149" s="13" t="n">
        <v>1</v>
      </c>
      <c r="CS149" s="13" t="n">
        <v>12.9</v>
      </c>
      <c r="CT149" s="11" t="inlineStr">
        <is>
          <t xml:space="preserve"> Big Mountain</t>
        </is>
      </c>
      <c r="CU149" s="11" t="inlineStr">
        <is>
          <t xml:space="preserve"> Touring</t>
        </is>
      </c>
      <c r="CV149" s="11" t="inlineStr">
        <is>
          <t xml:space="preserve"> Ultralight Touring</t>
        </is>
      </c>
      <c r="CW149" s="13" t="n"/>
      <c r="CX149">
        <f>INDEX('Data_Price '!AG$2:AG$1266,MATCH(Data!$DN149,'Data_Price '!$AT$2:$AT$1266,0))</f>
        <v/>
      </c>
      <c r="CY149">
        <f>INDEX('Data_Price '!AH$2:AH$1266,MATCH(Data!$DN149,'Data_Price '!$AT$2:$AT$1266,0))</f>
        <v/>
      </c>
      <c r="CZ149">
        <f>INDEX('Data_Price '!AI$2:AI$1266,MATCH(Data!$DN149,'Data_Price '!$AT$2:$AT$1266,0))</f>
        <v/>
      </c>
      <c r="DA149">
        <f>INDEX('Data_Price '!AJ$2:AJ$1266,MATCH(Data!$DN149,'Data_Price '!$AT$2:$AT$1266,0))</f>
        <v/>
      </c>
      <c r="DB149">
        <f>INDEX('Data_Price '!AK$2:AK$1266,MATCH(Data!$DN149,'Data_Price '!$AT$2:$AT$1266,0))</f>
        <v/>
      </c>
      <c r="DC149">
        <f>INDEX('Data_Price '!AL$2:AL$1266,MATCH(Data!$DN149,'Data_Price '!$AT$2:$AT$1266,0))</f>
        <v/>
      </c>
      <c r="DD149">
        <f>INDEX('Data_Price '!AM$2:AM$1266,MATCH(Data!$DN149,'Data_Price '!$AT$2:$AT$1266,0))</f>
        <v/>
      </c>
      <c r="DE149">
        <f>INDEX('Data_Price '!AN$2:AN$1266,MATCH(Data!$DN149,'Data_Price '!$AT$2:$AT$1266,0))</f>
        <v/>
      </c>
      <c r="DF149">
        <f>INDEX('Data_Price '!AO$2:AO$1266,MATCH(Data!$DN149,'Data_Price '!$AT$2:$AT$1266,0))</f>
        <v/>
      </c>
      <c r="DG149">
        <f>INDEX('Data_Price '!AP$2:AP$1266,MATCH(Data!$DN149,'Data_Price '!$AT$2:$AT$1266,0))</f>
        <v/>
      </c>
      <c r="DH149">
        <f>INDEX('Data_Price '!AQ$2:AQ$1266,MATCH(Data!$DN149,'Data_Price '!$AT$2:$AT$1266,0))</f>
        <v/>
      </c>
      <c r="DI149">
        <f>INDEX('Data_Price '!AR$2:AR$1266,MATCH(Data!$DN149,'Data_Price '!$AT$2:$AT$1266,0))</f>
        <v/>
      </c>
      <c r="DJ149" s="138">
        <f>DA149</f>
        <v/>
      </c>
      <c r="DK149" s="138">
        <f>DE149</f>
        <v/>
      </c>
      <c r="DL149" s="138">
        <f>DI149</f>
        <v/>
      </c>
      <c r="DM149" s="303">
        <f>IF(LEFT(BT149,1)=" ",RIGHT(BT149,LEN(BT149)-1),BT149)</f>
        <v/>
      </c>
      <c r="DN149" s="138">
        <f>_xlfn.CONCAT(BS149,DM149,BU149,BV149)</f>
        <v/>
      </c>
      <c r="DO149" s="307" t="inlineStr">
        <is>
          <t>https://images.evo.com/imgp/250/209039/846564/fischer-hannibal-106-carbon-skis-2022-.jpg</t>
        </is>
      </c>
    </row>
    <row r="150" ht="15.6" customHeight="1" s="184">
      <c r="B150" s="303">
        <f t="array" ref="B150">IF(OR(ISERROR(K150:P150)),FALSE,TRUE)</f>
        <v/>
      </c>
      <c r="C150" s="60">
        <f>OR(BR150=Driver!$G$50,Data!BR234=Driver!$H$50)</f>
        <v/>
      </c>
      <c r="D150" s="60">
        <f>OR(BV150=Driver!$G$51,BV150=Driver!$H$51)</f>
        <v/>
      </c>
      <c r="E150" s="60">
        <f>AND(BX150&gt;Driver!$F$54,BX150&lt;Driver!$G$54)</f>
        <v/>
      </c>
      <c r="F150" s="60">
        <f>CL150&gt;Driver!$F$56</f>
        <v/>
      </c>
      <c r="G150" s="60">
        <f>AND(CB150&gt;Driver!$F$55,CB150&lt;Driver!$G$55)</f>
        <v/>
      </c>
      <c r="H150" s="60">
        <f>AND(B150:G150)</f>
        <v/>
      </c>
      <c r="I150" s="60">
        <f>COUNTIFS($H$9:$H$1273,TRUE,$BT$9:$BT$1273,BT150)</f>
        <v/>
      </c>
      <c r="J150" s="60">
        <f t="array" ref="J150">NOT(OR(($H$9:$H$1273=TRUE)*($I$9:$I$1273&gt;0)*($BT$9:$BT$1273=BT150)*($K$9:$K$1273&gt;K150)))</f>
        <v/>
      </c>
      <c r="K150" s="108">
        <f>IFERROR(1-AVERAGE(X150:Y150),"")</f>
        <v/>
      </c>
      <c r="L150" s="108">
        <f>1-X150</f>
        <v/>
      </c>
      <c r="M150" s="108">
        <f>1-Y150</f>
        <v/>
      </c>
      <c r="N150" s="108">
        <f>1-Z150</f>
        <v/>
      </c>
      <c r="O150" s="108">
        <f>1-AA150</f>
        <v/>
      </c>
      <c r="P150" s="108">
        <f>1-AB150</f>
        <v/>
      </c>
      <c r="Q150" s="108" t="n"/>
      <c r="R150" s="108" t="n"/>
      <c r="S150" s="108">
        <f>1-AE150</f>
        <v/>
      </c>
      <c r="T150" s="108">
        <f>1-AF150</f>
        <v/>
      </c>
      <c r="U150" s="108">
        <f>1-AG150</f>
        <v/>
      </c>
      <c r="V150" s="108">
        <f>1-AH150</f>
        <v/>
      </c>
      <c r="W150" s="108">
        <f>1-AI150</f>
        <v/>
      </c>
      <c r="X150" s="108">
        <f>ABS(AJ150-AJ$1)</f>
        <v/>
      </c>
      <c r="Y150" s="108">
        <f>AVERAGE(Z150:AB150)</f>
        <v/>
      </c>
      <c r="Z150" s="108">
        <f>ABS(AL150-AL$1)</f>
        <v/>
      </c>
      <c r="AA150" s="108">
        <f>ABS(AM150-AM$1)</f>
        <v/>
      </c>
      <c r="AB150" s="108">
        <f>ABS(AN150-AN$1)</f>
        <v/>
      </c>
      <c r="AC150" s="108" t="n"/>
      <c r="AD150" s="108" t="n"/>
      <c r="AE150" s="108">
        <f>ABS(AQ$1-AQ150)</f>
        <v/>
      </c>
      <c r="AF150" s="108">
        <f>ABS(AR$1-AR150)</f>
        <v/>
      </c>
      <c r="AG150" s="108">
        <f>ABS(AS$1-AS150)</f>
        <v/>
      </c>
      <c r="AH150" s="108">
        <f>ABS(AT$1-AT150)</f>
        <v/>
      </c>
      <c r="AI150" s="108">
        <f>ABS(AU$1-AU150)</f>
        <v/>
      </c>
      <c r="AJ150" s="108">
        <f>(AV150-Driver!$K$179)/(Driver!$L$179-Driver!$K$179)</f>
        <v/>
      </c>
      <c r="AK150" s="108">
        <f>(AW150-Driver!$K$180)/(Driver!$L$180-Driver!$K$180)</f>
        <v/>
      </c>
      <c r="AL150" s="108">
        <f>(AX150-Driver!$K$181)/(Driver!$L$181-Driver!$K$181)</f>
        <v/>
      </c>
      <c r="AM150" s="108">
        <f>(AY150-Driver!$K$182)/(Driver!$L$182-Driver!$K$182)</f>
        <v/>
      </c>
      <c r="AN150" s="108">
        <f>(AZ150-Driver!$K$183)/(Driver!$L$183-Driver!$K$183)</f>
        <v/>
      </c>
      <c r="AO150" s="108" t="n"/>
      <c r="AP150" s="108" t="n"/>
      <c r="AQ150" s="108">
        <f>(BC150-Driver!$K$188)/(Driver!$L$188-Driver!$K$188)</f>
        <v/>
      </c>
      <c r="AR150" s="108">
        <f>MIN((BD150-Driver!$K$189)/(Driver!$L$189-Driver!$K$189),100%)</f>
        <v/>
      </c>
      <c r="AS150" s="108">
        <f>(BE150-Driver!$K$190)/(Driver!$L$190-Driver!$K$190)</f>
        <v/>
      </c>
      <c r="AT150" s="108">
        <f>(BF150-Driver!$K$191)/(Driver!$L$191-Driver!$K$191)</f>
        <v/>
      </c>
      <c r="AU150" s="108">
        <f>(BG150-Driver!$K$192)/(Driver!$L$192-Driver!$K$192)</f>
        <v/>
      </c>
      <c r="AV150" s="105">
        <f>IFERROR(BM150*BJ150^1/4,"")</f>
        <v/>
      </c>
      <c r="AW150" s="105">
        <f>IFERROR(SUM(AX150:AZ150),"")</f>
        <v/>
      </c>
      <c r="AX150" s="105">
        <f>IFERROR(BH150,"")</f>
        <v/>
      </c>
      <c r="AY150" s="105">
        <f>IFERROR(Driver!$K$19/Data!BH150/Data!BI150*Data!BK150*Data!BL150,"")</f>
        <v/>
      </c>
      <c r="AZ150" s="105">
        <f>IFERROR(BI150*BN150,"")</f>
        <v/>
      </c>
      <c r="BA150" s="105" t="n"/>
      <c r="BB150" s="105" t="n"/>
      <c r="BC150" s="105">
        <f>IFERROR(BI150*BN150*BK150/BJ150^(1/2),"")</f>
        <v/>
      </c>
      <c r="BD150" s="105">
        <f>IFERROR(BH150*BM150*BL150/BJ150/BK150,"")</f>
        <v/>
      </c>
      <c r="BE150" s="105">
        <f>IFERROR(MIN(BI150/BQ150/BP150/BO150/BH150,$BE$1),"")</f>
        <v/>
      </c>
      <c r="BF150" s="105">
        <f>IFERROR(BJ150*BO150*BP150/BK150,"")</f>
        <v/>
      </c>
      <c r="BG150" s="105">
        <f>IFERROR(1/BM150/BH150*BQ150,"")</f>
        <v/>
      </c>
      <c r="BH150" s="102">
        <f>MAX((CE150-Driver!$F$200)/(Driver!$G$200-Driver!$F$200)*$BI$1,1)</f>
        <v/>
      </c>
      <c r="BI150" s="102">
        <f>MAX($BI$1*(BY150-Driver!$F$201)/(Driver!$G$201-Driver!$F$201),1)</f>
        <v/>
      </c>
      <c r="BJ150" s="102">
        <f>(CB150-Driver!$F$206)/(Driver!$G$206-Driver!$F$206)*$BI$1</f>
        <v/>
      </c>
      <c r="BK150" s="102">
        <f>(CD150-Driver!$F$203)/(Driver!$G$203-Driver!$F$203)*$BI$1</f>
        <v/>
      </c>
      <c r="BL150" s="102">
        <f>MAX((CR150-Driver!$F$202)/(Driver!$G$202-Driver!$F$202)*$BI$1,1)</f>
        <v/>
      </c>
      <c r="BM150" s="102">
        <f>MAX((CH150-Driver!$F$204)/(Driver!$G$204-Driver!$F$204)*$BI$1,1)</f>
        <v/>
      </c>
      <c r="BN150" s="102">
        <f>(CI150-Driver!$F$205)/(Driver!$G$205-Driver!$F$205)*$BI$1</f>
        <v/>
      </c>
      <c r="BO150" s="102">
        <f>(CK150-Driver!$F$207)/(Driver!$G$207-Driver!$F$207)*$BI$1</f>
        <v/>
      </c>
      <c r="BP150" s="102">
        <f>(CM150-Driver!$F$208)/(Driver!$G$208-Driver!$F$208)*$BI$1</f>
        <v/>
      </c>
      <c r="BQ150" s="102">
        <f>(CL150-Driver!$F$209)/(Driver!$G$209-Driver!$F$209)*$BI$1</f>
        <v/>
      </c>
      <c r="BR150" s="40" t="inlineStr">
        <is>
          <t>21/22</t>
        </is>
      </c>
      <c r="BS150" s="10" t="inlineStr">
        <is>
          <t xml:space="preserve"> Black Crows</t>
        </is>
      </c>
      <c r="BT150" s="11" t="inlineStr">
        <is>
          <t xml:space="preserve"> Navis Freebird</t>
        </is>
      </c>
      <c r="BU150" s="13" t="n">
        <v>179.1</v>
      </c>
      <c r="BV150" s="11" t="inlineStr">
        <is>
          <t xml:space="preserve"> Unisex</t>
        </is>
      </c>
      <c r="BW150" s="13" t="n">
        <v>179.1</v>
      </c>
      <c r="BX150" s="13" t="n">
        <v>178.4</v>
      </c>
      <c r="BY150" s="13" t="n">
        <v>125</v>
      </c>
      <c r="BZ150" s="13" t="n">
        <v>149</v>
      </c>
      <c r="CA150" s="13" t="n">
        <v>138</v>
      </c>
      <c r="CB150" s="13" t="n">
        <v>100</v>
      </c>
      <c r="CC150" s="13" t="n">
        <v>119</v>
      </c>
      <c r="CD150" s="13" t="n">
        <v>19</v>
      </c>
      <c r="CE150" s="13" t="n">
        <v>1748</v>
      </c>
      <c r="CF150" s="13" t="n">
        <v>1.14</v>
      </c>
      <c r="CG150" s="13" t="n">
        <v>1996</v>
      </c>
      <c r="CH150" s="13" t="n">
        <v>231</v>
      </c>
      <c r="CI150" s="13" t="n">
        <v>108</v>
      </c>
      <c r="CJ150" s="13" t="n">
        <v>45</v>
      </c>
      <c r="CK150" s="13" t="n">
        <v>338</v>
      </c>
      <c r="CL150" s="13" t="n">
        <v>15</v>
      </c>
      <c r="CM150" s="13" t="n">
        <v>196</v>
      </c>
      <c r="CN150" s="13" t="n">
        <v>0.333</v>
      </c>
      <c r="CO150" s="13" t="n">
        <v>166</v>
      </c>
      <c r="CP150" s="13" t="n">
        <v>130</v>
      </c>
      <c r="CQ150" s="13" t="n">
        <v>171</v>
      </c>
      <c r="CR150" s="13" t="n">
        <v>5</v>
      </c>
      <c r="CS150" s="13" t="n">
        <v>9.4</v>
      </c>
      <c r="CT150" s="11" t="inlineStr">
        <is>
          <t xml:space="preserve"> Resort Freeride</t>
        </is>
      </c>
      <c r="CU150" s="11" t="inlineStr">
        <is>
          <t xml:space="preserve"> Big Mountain</t>
        </is>
      </c>
      <c r="CV150" s="11" t="inlineStr">
        <is>
          <t xml:space="preserve"> Touring</t>
        </is>
      </c>
      <c r="CW150" s="13" t="n"/>
      <c r="CX150">
        <f>INDEX('Data_Price '!AG$2:AG$1266,MATCH(Data!$DN150,'Data_Price '!$AT$2:$AT$1266,0))</f>
        <v/>
      </c>
      <c r="CY150">
        <f>INDEX('Data_Price '!AH$2:AH$1266,MATCH(Data!$DN150,'Data_Price '!$AT$2:$AT$1266,0))</f>
        <v/>
      </c>
      <c r="CZ150">
        <f>INDEX('Data_Price '!AI$2:AI$1266,MATCH(Data!$DN150,'Data_Price '!$AT$2:$AT$1266,0))</f>
        <v/>
      </c>
      <c r="DA150">
        <f>INDEX('Data_Price '!AJ$2:AJ$1266,MATCH(Data!$DN150,'Data_Price '!$AT$2:$AT$1266,0))</f>
        <v/>
      </c>
      <c r="DB150">
        <f>INDEX('Data_Price '!AK$2:AK$1266,MATCH(Data!$DN150,'Data_Price '!$AT$2:$AT$1266,0))</f>
        <v/>
      </c>
      <c r="DC150">
        <f>INDEX('Data_Price '!AL$2:AL$1266,MATCH(Data!$DN150,'Data_Price '!$AT$2:$AT$1266,0))</f>
        <v/>
      </c>
      <c r="DD150">
        <f>INDEX('Data_Price '!AM$2:AM$1266,MATCH(Data!$DN150,'Data_Price '!$AT$2:$AT$1266,0))</f>
        <v/>
      </c>
      <c r="DE150">
        <f>INDEX('Data_Price '!AN$2:AN$1266,MATCH(Data!$DN150,'Data_Price '!$AT$2:$AT$1266,0))</f>
        <v/>
      </c>
      <c r="DF150">
        <f>INDEX('Data_Price '!AO$2:AO$1266,MATCH(Data!$DN150,'Data_Price '!$AT$2:$AT$1266,0))</f>
        <v/>
      </c>
      <c r="DG150">
        <f>INDEX('Data_Price '!AP$2:AP$1266,MATCH(Data!$DN150,'Data_Price '!$AT$2:$AT$1266,0))</f>
        <v/>
      </c>
      <c r="DH150">
        <f>INDEX('Data_Price '!AQ$2:AQ$1266,MATCH(Data!$DN150,'Data_Price '!$AT$2:$AT$1266,0))</f>
        <v/>
      </c>
      <c r="DI150">
        <f>INDEX('Data_Price '!AR$2:AR$1266,MATCH(Data!$DN150,'Data_Price '!$AT$2:$AT$1266,0))</f>
        <v/>
      </c>
      <c r="DJ150" s="138">
        <f>DA150</f>
        <v/>
      </c>
      <c r="DK150" s="138">
        <f>DE150</f>
        <v/>
      </c>
      <c r="DL150" s="138">
        <f>DI150</f>
        <v/>
      </c>
      <c r="DM150" s="303">
        <f>IF(LEFT(BT150,1)=" ",RIGHT(BT150,LEN(BT150)-1),BT150)</f>
        <v/>
      </c>
      <c r="DN150" s="138">
        <f>_xlfn.CONCAT(BS150,DM150,BU150,BV150)</f>
        <v/>
      </c>
      <c r="DO150" s="307" t="inlineStr">
        <is>
          <t>https://images.evo.com/imgp/250/164661/659376/black-crows-navis-freebird-skis-2022-.jpg</t>
        </is>
      </c>
    </row>
    <row r="151" ht="15.6" customHeight="1" s="184">
      <c r="B151" s="303">
        <f t="array" ref="B151">IF(OR(ISERROR(K151:P151)),FALSE,TRUE)</f>
        <v/>
      </c>
      <c r="C151" s="60">
        <f>OR(BR151=Driver!$G$50,Data!BR407=Driver!$H$50)</f>
        <v/>
      </c>
      <c r="D151" s="60">
        <f>OR(BV151=Driver!$G$51,BV151=Driver!$H$51)</f>
        <v/>
      </c>
      <c r="E151" s="60">
        <f>AND(BX151&gt;Driver!$F$54,BX151&lt;Driver!$G$54)</f>
        <v/>
      </c>
      <c r="F151" s="60">
        <f>CL151&gt;Driver!$F$56</f>
        <v/>
      </c>
      <c r="G151" s="60">
        <f>AND(CB151&gt;Driver!$F$55,CB151&lt;Driver!$G$55)</f>
        <v/>
      </c>
      <c r="H151" s="60">
        <f>AND(B151:G151)</f>
        <v/>
      </c>
      <c r="I151" s="60">
        <f>COUNTIFS($H$9:$H$1273,TRUE,$BT$9:$BT$1273,BT151)</f>
        <v/>
      </c>
      <c r="J151" s="60">
        <f t="array" ref="J151">NOT(OR(($H$9:$H$1273=TRUE)*($I$9:$I$1273&gt;0)*($BT$9:$BT$1273=BT151)*($K$9:$K$1273&gt;K151)))</f>
        <v/>
      </c>
      <c r="K151" s="108">
        <f>IFERROR(1-AVERAGE(X151:Y151),"")</f>
        <v/>
      </c>
      <c r="L151" s="108">
        <f>1-X151</f>
        <v/>
      </c>
      <c r="M151" s="108">
        <f>1-Y151</f>
        <v/>
      </c>
      <c r="N151" s="108">
        <f>1-Z151</f>
        <v/>
      </c>
      <c r="O151" s="108">
        <f>1-AA151</f>
        <v/>
      </c>
      <c r="P151" s="108">
        <f>1-AB151</f>
        <v/>
      </c>
      <c r="Q151" s="108" t="n"/>
      <c r="R151" s="108" t="n"/>
      <c r="S151" s="108">
        <f>1-AE151</f>
        <v/>
      </c>
      <c r="T151" s="108">
        <f>1-AF151</f>
        <v/>
      </c>
      <c r="U151" s="108">
        <f>1-AG151</f>
        <v/>
      </c>
      <c r="V151" s="108">
        <f>1-AH151</f>
        <v/>
      </c>
      <c r="W151" s="108">
        <f>1-AI151</f>
        <v/>
      </c>
      <c r="X151" s="108">
        <f>ABS(AJ151-AJ$1)</f>
        <v/>
      </c>
      <c r="Y151" s="108">
        <f>AVERAGE(Z151:AB151)</f>
        <v/>
      </c>
      <c r="Z151" s="108">
        <f>ABS(AL151-AL$1)</f>
        <v/>
      </c>
      <c r="AA151" s="108">
        <f>ABS(AM151-AM$1)</f>
        <v/>
      </c>
      <c r="AB151" s="108">
        <f>ABS(AN151-AN$1)</f>
        <v/>
      </c>
      <c r="AC151" s="108" t="n"/>
      <c r="AD151" s="108" t="n"/>
      <c r="AE151" s="108">
        <f>ABS(AQ$1-AQ151)</f>
        <v/>
      </c>
      <c r="AF151" s="108">
        <f>ABS(AR$1-AR151)</f>
        <v/>
      </c>
      <c r="AG151" s="108">
        <f>ABS(AS$1-AS151)</f>
        <v/>
      </c>
      <c r="AH151" s="108">
        <f>ABS(AT$1-AT151)</f>
        <v/>
      </c>
      <c r="AI151" s="108">
        <f>ABS(AU$1-AU151)</f>
        <v/>
      </c>
      <c r="AJ151" s="108">
        <f>(AV151-Driver!$K$179)/(Driver!$L$179-Driver!$K$179)</f>
        <v/>
      </c>
      <c r="AK151" s="108">
        <f>(AW151-Driver!$K$180)/(Driver!$L$180-Driver!$K$180)</f>
        <v/>
      </c>
      <c r="AL151" s="108">
        <f>(AX151-Driver!$K$181)/(Driver!$L$181-Driver!$K$181)</f>
        <v/>
      </c>
      <c r="AM151" s="108">
        <f>(AY151-Driver!$K$182)/(Driver!$L$182-Driver!$K$182)</f>
        <v/>
      </c>
      <c r="AN151" s="108">
        <f>(AZ151-Driver!$K$183)/(Driver!$L$183-Driver!$K$183)</f>
        <v/>
      </c>
      <c r="AO151" s="108" t="n"/>
      <c r="AP151" s="108" t="n"/>
      <c r="AQ151" s="108">
        <f>(BC151-Driver!$K$188)/(Driver!$L$188-Driver!$K$188)</f>
        <v/>
      </c>
      <c r="AR151" s="108">
        <f>MIN((BD151-Driver!$K$189)/(Driver!$L$189-Driver!$K$189),100%)</f>
        <v/>
      </c>
      <c r="AS151" s="108">
        <f>(BE151-Driver!$K$190)/(Driver!$L$190-Driver!$K$190)</f>
        <v/>
      </c>
      <c r="AT151" s="108">
        <f>(BF151-Driver!$K$191)/(Driver!$L$191-Driver!$K$191)</f>
        <v/>
      </c>
      <c r="AU151" s="108">
        <f>(BG151-Driver!$K$192)/(Driver!$L$192-Driver!$K$192)</f>
        <v/>
      </c>
      <c r="AV151" s="105">
        <f>IFERROR(BM151*BJ151^1/4,"")</f>
        <v/>
      </c>
      <c r="AW151" s="105">
        <f>IFERROR(SUM(AX151:AZ151),"")</f>
        <v/>
      </c>
      <c r="AX151" s="105">
        <f>IFERROR(BH151,"")</f>
        <v/>
      </c>
      <c r="AY151" s="105">
        <f>IFERROR(Driver!$K$19/Data!BH151/Data!BI151*Data!BK151*Data!BL151,"")</f>
        <v/>
      </c>
      <c r="AZ151" s="105">
        <f>IFERROR(BI151*BN151,"")</f>
        <v/>
      </c>
      <c r="BA151" s="105" t="n"/>
      <c r="BB151" s="105" t="n"/>
      <c r="BC151" s="105">
        <f>IFERROR(BI151*BN151*BK151/BJ151^(1/2),"")</f>
        <v/>
      </c>
      <c r="BD151" s="105">
        <f>IFERROR(BH151*BM151*BL151/BJ151/BK151,"")</f>
        <v/>
      </c>
      <c r="BE151" s="105">
        <f>IFERROR(MIN(BI151/BQ151/BP151/BO151/BH151,$BE$1),"")</f>
        <v/>
      </c>
      <c r="BF151" s="105">
        <f>IFERROR(BJ151*BO151*BP151/BK151,"")</f>
        <v/>
      </c>
      <c r="BG151" s="105">
        <f>IFERROR(1/BM151/BH151*BQ151,"")</f>
        <v/>
      </c>
      <c r="BH151" s="102">
        <f>MAX((CE151-Driver!$F$200)/(Driver!$G$200-Driver!$F$200)*$BI$1,1)</f>
        <v/>
      </c>
      <c r="BI151" s="102">
        <f>MAX($BI$1*(BY151-Driver!$F$201)/(Driver!$G$201-Driver!$F$201),1)</f>
        <v/>
      </c>
      <c r="BJ151" s="102">
        <f>(CB151-Driver!$F$206)/(Driver!$G$206-Driver!$F$206)*$BI$1</f>
        <v/>
      </c>
      <c r="BK151" s="102">
        <f>(CD151-Driver!$F$203)/(Driver!$G$203-Driver!$F$203)*$BI$1</f>
        <v/>
      </c>
      <c r="BL151" s="102">
        <f>MAX((CR151-Driver!$F$202)/(Driver!$G$202-Driver!$F$202)*$BI$1,1)</f>
        <v/>
      </c>
      <c r="BM151" s="102">
        <f>MAX((CH151-Driver!$F$204)/(Driver!$G$204-Driver!$F$204)*$BI$1,1)</f>
        <v/>
      </c>
      <c r="BN151" s="102">
        <f>(CI151-Driver!$F$205)/(Driver!$G$205-Driver!$F$205)*$BI$1</f>
        <v/>
      </c>
      <c r="BO151" s="102">
        <f>(CK151-Driver!$F$207)/(Driver!$G$207-Driver!$F$207)*$BI$1</f>
        <v/>
      </c>
      <c r="BP151" s="102">
        <f>(CM151-Driver!$F$208)/(Driver!$G$208-Driver!$F$208)*$BI$1</f>
        <v/>
      </c>
      <c r="BQ151" s="102">
        <f>(CL151-Driver!$F$209)/(Driver!$G$209-Driver!$F$209)*$BI$1</f>
        <v/>
      </c>
      <c r="BR151" s="40" t="inlineStr">
        <is>
          <t>21/22</t>
        </is>
      </c>
      <c r="BS151" s="10" t="inlineStr">
        <is>
          <t xml:space="preserve"> Dynastar</t>
        </is>
      </c>
      <c r="BT151" s="11" t="inlineStr">
        <is>
          <t>M-Pro 99 W</t>
        </is>
      </c>
      <c r="BU151" s="13" t="n">
        <v>162</v>
      </c>
      <c r="BV151" s="11" t="inlineStr">
        <is>
          <t xml:space="preserve"> Women's</t>
        </is>
      </c>
      <c r="BW151" s="13" t="n">
        <v>162</v>
      </c>
      <c r="BX151" s="13" t="n">
        <v>161.4</v>
      </c>
      <c r="BY151" s="13" t="n">
        <v>113</v>
      </c>
      <c r="BZ151" s="13" t="n">
        <v>132</v>
      </c>
      <c r="CA151" s="13" t="n">
        <v>124</v>
      </c>
      <c r="CB151" s="13" t="n">
        <v>95</v>
      </c>
      <c r="CC151" s="13" t="n">
        <v>114</v>
      </c>
      <c r="CD151" s="13" t="n">
        <v>15.4</v>
      </c>
      <c r="CE151" s="13" t="n">
        <v>1710</v>
      </c>
      <c r="CF151" s="13" t="n">
        <v>0.99</v>
      </c>
      <c r="CG151" s="13" t="n">
        <v>1698</v>
      </c>
      <c r="CH151" s="13" t="n">
        <v>249</v>
      </c>
      <c r="CI151" s="13" t="n">
        <v>95</v>
      </c>
      <c r="CJ151" s="13" t="n">
        <v>59</v>
      </c>
      <c r="CK151" s="13" t="n">
        <v>332</v>
      </c>
      <c r="CL151" s="13" t="n">
        <v>15</v>
      </c>
      <c r="CM151" s="13" t="n">
        <v>157</v>
      </c>
      <c r="CN151" s="13" t="n">
        <v>0.254</v>
      </c>
      <c r="CO151" s="13" t="n">
        <v>192</v>
      </c>
      <c r="CP151" s="13" t="n">
        <v>105</v>
      </c>
      <c r="CQ151" s="13" t="n">
        <v>140</v>
      </c>
      <c r="CR151" s="13" t="n">
        <v>5</v>
      </c>
      <c r="CS151" s="13" t="n">
        <v>12</v>
      </c>
      <c r="CT151" s="11" t="inlineStr">
        <is>
          <t xml:space="preserve"> Resort Freeride</t>
        </is>
      </c>
      <c r="CU151" s="13" t="n"/>
      <c r="CV151" s="13" t="n"/>
      <c r="CW151" s="13" t="n"/>
      <c r="CX151">
        <f>INDEX('Data_Price '!AG$2:AG$1266,MATCH(Data!$DN151,'Data_Price '!$AT$2:$AT$1266,0))</f>
        <v/>
      </c>
      <c r="CY151">
        <f>INDEX('Data_Price '!AH$2:AH$1266,MATCH(Data!$DN151,'Data_Price '!$AT$2:$AT$1266,0))</f>
        <v/>
      </c>
      <c r="CZ151">
        <f>INDEX('Data_Price '!AI$2:AI$1266,MATCH(Data!$DN151,'Data_Price '!$AT$2:$AT$1266,0))</f>
        <v/>
      </c>
      <c r="DA151">
        <f>INDEX('Data_Price '!AJ$2:AJ$1266,MATCH(Data!$DN151,'Data_Price '!$AT$2:$AT$1266,0))</f>
        <v/>
      </c>
      <c r="DB151">
        <f>INDEX('Data_Price '!AK$2:AK$1266,MATCH(Data!$DN151,'Data_Price '!$AT$2:$AT$1266,0))</f>
        <v/>
      </c>
      <c r="DC151">
        <f>INDEX('Data_Price '!AL$2:AL$1266,MATCH(Data!$DN151,'Data_Price '!$AT$2:$AT$1266,0))</f>
        <v/>
      </c>
      <c r="DD151">
        <f>INDEX('Data_Price '!AM$2:AM$1266,MATCH(Data!$DN151,'Data_Price '!$AT$2:$AT$1266,0))</f>
        <v/>
      </c>
      <c r="DE151">
        <f>INDEX('Data_Price '!AN$2:AN$1266,MATCH(Data!$DN151,'Data_Price '!$AT$2:$AT$1266,0))</f>
        <v/>
      </c>
      <c r="DF151">
        <f>INDEX('Data_Price '!AO$2:AO$1266,MATCH(Data!$DN151,'Data_Price '!$AT$2:$AT$1266,0))</f>
        <v/>
      </c>
      <c r="DG151">
        <f>INDEX('Data_Price '!AP$2:AP$1266,MATCH(Data!$DN151,'Data_Price '!$AT$2:$AT$1266,0))</f>
        <v/>
      </c>
      <c r="DH151">
        <f>INDEX('Data_Price '!AQ$2:AQ$1266,MATCH(Data!$DN151,'Data_Price '!$AT$2:$AT$1266,0))</f>
        <v/>
      </c>
      <c r="DI151">
        <f>INDEX('Data_Price '!AR$2:AR$1266,MATCH(Data!$DN151,'Data_Price '!$AT$2:$AT$1266,0))</f>
        <v/>
      </c>
      <c r="DJ151" s="138">
        <f>DA151</f>
        <v/>
      </c>
      <c r="DK151" s="138">
        <f>DE151</f>
        <v/>
      </c>
      <c r="DL151" s="138">
        <f>DI151</f>
        <v/>
      </c>
      <c r="DM151" s="303">
        <f>IF(LEFT(BT151,1)=" ",RIGHT(BT151,LEN(BT151)-1),BT151)</f>
        <v/>
      </c>
      <c r="DN151" s="138">
        <f>_xlfn.CONCAT(BS151,DM151,BU151,BV151)</f>
        <v/>
      </c>
      <c r="DO151" s="307" t="inlineStr">
        <is>
          <t>https://images.evo.com/imgp/250/185155/736345/dynastar-m-pro-99-w-skis-women-s-2022-.jpg</t>
        </is>
      </c>
    </row>
    <row r="152" ht="15.6" customHeight="1" s="184">
      <c r="B152" s="303">
        <f t="array" ref="B152">IF(OR(ISERROR(K152:P152)),FALSE,TRUE)</f>
        <v/>
      </c>
      <c r="C152" s="60">
        <f>OR(BR152=Driver!$G$50,Data!BR511=Driver!$H$50)</f>
        <v/>
      </c>
      <c r="D152" s="60">
        <f>OR(BV152=Driver!$G$51,BV152=Driver!$H$51)</f>
        <v/>
      </c>
      <c r="E152" s="60">
        <f>AND(BX152&gt;Driver!$F$54,BX152&lt;Driver!$G$54)</f>
        <v/>
      </c>
      <c r="F152" s="60">
        <f>CL152&gt;Driver!$F$56</f>
        <v/>
      </c>
      <c r="G152" s="60">
        <f>AND(CB152&gt;Driver!$F$55,CB152&lt;Driver!$G$55)</f>
        <v/>
      </c>
      <c r="H152" s="60">
        <f>AND(B152:G152)</f>
        <v/>
      </c>
      <c r="I152" s="60">
        <f>COUNTIFS($H$9:$H$1273,TRUE,$BT$9:$BT$1273,BT152)</f>
        <v/>
      </c>
      <c r="J152" s="60">
        <f t="array" ref="J152">NOT(OR(($H$9:$H$1273=TRUE)*($I$9:$I$1273&gt;0)*($BT$9:$BT$1273=BT152)*($K$9:$K$1273&gt;K152)))</f>
        <v/>
      </c>
      <c r="K152" s="108">
        <f>IFERROR(1-AVERAGE(X152:Y152),"")</f>
        <v/>
      </c>
      <c r="L152" s="108">
        <f>1-X152</f>
        <v/>
      </c>
      <c r="M152" s="108">
        <f>1-Y152</f>
        <v/>
      </c>
      <c r="N152" s="108">
        <f>1-Z152</f>
        <v/>
      </c>
      <c r="O152" s="108">
        <f>1-AA152</f>
        <v/>
      </c>
      <c r="P152" s="108">
        <f>1-AB152</f>
        <v/>
      </c>
      <c r="Q152" s="108" t="n"/>
      <c r="R152" s="108" t="n"/>
      <c r="S152" s="108">
        <f>1-AE152</f>
        <v/>
      </c>
      <c r="T152" s="108">
        <f>1-AF152</f>
        <v/>
      </c>
      <c r="U152" s="108">
        <f>1-AG152</f>
        <v/>
      </c>
      <c r="V152" s="108">
        <f>1-AH152</f>
        <v/>
      </c>
      <c r="W152" s="108">
        <f>1-AI152</f>
        <v/>
      </c>
      <c r="X152" s="108">
        <f>ABS(AJ152-AJ$1)</f>
        <v/>
      </c>
      <c r="Y152" s="108">
        <f>AVERAGE(Z152:AB152)</f>
        <v/>
      </c>
      <c r="Z152" s="108">
        <f>ABS(AL152-AL$1)</f>
        <v/>
      </c>
      <c r="AA152" s="108">
        <f>ABS(AM152-AM$1)</f>
        <v/>
      </c>
      <c r="AB152" s="108">
        <f>ABS(AN152-AN$1)</f>
        <v/>
      </c>
      <c r="AC152" s="108" t="n"/>
      <c r="AD152" s="108" t="n"/>
      <c r="AE152" s="108">
        <f>ABS(AQ$1-AQ152)</f>
        <v/>
      </c>
      <c r="AF152" s="108">
        <f>ABS(AR$1-AR152)</f>
        <v/>
      </c>
      <c r="AG152" s="108">
        <f>ABS(AS$1-AS152)</f>
        <v/>
      </c>
      <c r="AH152" s="108">
        <f>ABS(AT$1-AT152)</f>
        <v/>
      </c>
      <c r="AI152" s="108">
        <f>ABS(AU$1-AU152)</f>
        <v/>
      </c>
      <c r="AJ152" s="108">
        <f>(AV152-Driver!$K$179)/(Driver!$L$179-Driver!$K$179)</f>
        <v/>
      </c>
      <c r="AK152" s="108">
        <f>(AW152-Driver!$K$180)/(Driver!$L$180-Driver!$K$180)</f>
        <v/>
      </c>
      <c r="AL152" s="108">
        <f>(AX152-Driver!$K$181)/(Driver!$L$181-Driver!$K$181)</f>
        <v/>
      </c>
      <c r="AM152" s="108">
        <f>(AY152-Driver!$K$182)/(Driver!$L$182-Driver!$K$182)</f>
        <v/>
      </c>
      <c r="AN152" s="108">
        <f>(AZ152-Driver!$K$183)/(Driver!$L$183-Driver!$K$183)</f>
        <v/>
      </c>
      <c r="AO152" s="108" t="n"/>
      <c r="AP152" s="108" t="n"/>
      <c r="AQ152" s="108">
        <f>(BC152-Driver!$K$188)/(Driver!$L$188-Driver!$K$188)</f>
        <v/>
      </c>
      <c r="AR152" s="108">
        <f>MIN((BD152-Driver!$K$189)/(Driver!$L$189-Driver!$K$189),100%)</f>
        <v/>
      </c>
      <c r="AS152" s="108">
        <f>(BE152-Driver!$K$190)/(Driver!$L$190-Driver!$K$190)</f>
        <v/>
      </c>
      <c r="AT152" s="108">
        <f>(BF152-Driver!$K$191)/(Driver!$L$191-Driver!$K$191)</f>
        <v/>
      </c>
      <c r="AU152" s="108">
        <f>(BG152-Driver!$K$192)/(Driver!$L$192-Driver!$K$192)</f>
        <v/>
      </c>
      <c r="AV152" s="105">
        <f>IFERROR(BM152*BJ152^1/4,"")</f>
        <v/>
      </c>
      <c r="AW152" s="105">
        <f>IFERROR(SUM(AX152:AZ152),"")</f>
        <v/>
      </c>
      <c r="AX152" s="105">
        <f>IFERROR(BH152,"")</f>
        <v/>
      </c>
      <c r="AY152" s="105">
        <f>IFERROR(Driver!$K$19/Data!BH152/Data!BI152*Data!BK152*Data!BL152,"")</f>
        <v/>
      </c>
      <c r="AZ152" s="105">
        <f>IFERROR(BI152*BN152,"")</f>
        <v/>
      </c>
      <c r="BA152" s="105" t="n"/>
      <c r="BB152" s="105" t="n"/>
      <c r="BC152" s="105">
        <f>IFERROR(BI152*BN152*BK152/BJ152^(1/2),"")</f>
        <v/>
      </c>
      <c r="BD152" s="105">
        <f>IFERROR(BH152*BM152*BL152/BJ152/BK152,"")</f>
        <v/>
      </c>
      <c r="BE152" s="105">
        <f>IFERROR(MIN(BI152/BQ152/BP152/BO152/BH152,$BE$1),"")</f>
        <v/>
      </c>
      <c r="BF152" s="105">
        <f>IFERROR(BJ152*BO152*BP152/BK152,"")</f>
        <v/>
      </c>
      <c r="BG152" s="105">
        <f>IFERROR(1/BM152/BH152*BQ152,"")</f>
        <v/>
      </c>
      <c r="BH152" s="102">
        <f>MAX((CE152-Driver!$F$200)/(Driver!$G$200-Driver!$F$200)*$BI$1,1)</f>
        <v/>
      </c>
      <c r="BI152" s="102">
        <f>MAX($BI$1*(BY152-Driver!$F$201)/(Driver!$G$201-Driver!$F$201),1)</f>
        <v/>
      </c>
      <c r="BJ152" s="102">
        <f>(CB152-Driver!$F$206)/(Driver!$G$206-Driver!$F$206)*$BI$1</f>
        <v/>
      </c>
      <c r="BK152" s="102">
        <f>(CD152-Driver!$F$203)/(Driver!$G$203-Driver!$F$203)*$BI$1</f>
        <v/>
      </c>
      <c r="BL152" s="102">
        <f>MAX((CR152-Driver!$F$202)/(Driver!$G$202-Driver!$F$202)*$BI$1,1)</f>
        <v/>
      </c>
      <c r="BM152" s="102">
        <f>MAX((CH152-Driver!$F$204)/(Driver!$G$204-Driver!$F$204)*$BI$1,1)</f>
        <v/>
      </c>
      <c r="BN152" s="102">
        <f>(CI152-Driver!$F$205)/(Driver!$G$205-Driver!$F$205)*$BI$1</f>
        <v/>
      </c>
      <c r="BO152" s="102">
        <f>(CK152-Driver!$F$207)/(Driver!$G$207-Driver!$F$207)*$BI$1</f>
        <v/>
      </c>
      <c r="BP152" s="102">
        <f>(CM152-Driver!$F$208)/(Driver!$G$208-Driver!$F$208)*$BI$1</f>
        <v/>
      </c>
      <c r="BQ152" s="102">
        <f>(CL152-Driver!$F$209)/(Driver!$G$209-Driver!$F$209)*$BI$1</f>
        <v/>
      </c>
      <c r="BR152" s="40" t="inlineStr">
        <is>
          <t>21/22</t>
        </is>
      </c>
      <c r="BS152" s="10" t="inlineStr">
        <is>
          <t xml:space="preserve"> Faction</t>
        </is>
      </c>
      <c r="BT152" s="11" t="inlineStr">
        <is>
          <t>Dictator 2.0</t>
        </is>
      </c>
      <c r="BU152" s="13" t="n">
        <v>163</v>
      </c>
      <c r="BV152" s="11" t="inlineStr">
        <is>
          <t xml:space="preserve"> Unisex</t>
        </is>
      </c>
      <c r="BW152" s="13" t="n">
        <v>163</v>
      </c>
      <c r="BX152" s="13" t="n">
        <v>163</v>
      </c>
      <c r="BY152" s="13" t="n">
        <v>119</v>
      </c>
      <c r="BZ152" s="13" t="n">
        <v>135</v>
      </c>
      <c r="CA152" s="13" t="n">
        <v>127</v>
      </c>
      <c r="CB152" s="13" t="n">
        <v>96</v>
      </c>
      <c r="CC152" s="13" t="n">
        <v>117</v>
      </c>
      <c r="CD152" s="13" t="n">
        <v>15.6</v>
      </c>
      <c r="CE152" s="13" t="n">
        <v>1699</v>
      </c>
      <c r="CF152" s="13" t="n">
        <v>1.02</v>
      </c>
      <c r="CG152" s="13" t="n">
        <v>1730</v>
      </c>
      <c r="CH152" s="13" t="n">
        <v>183</v>
      </c>
      <c r="CI152" s="13" t="n">
        <v>117</v>
      </c>
      <c r="CJ152" s="13" t="n">
        <v>56</v>
      </c>
      <c r="CK152" s="13" t="n">
        <v>253</v>
      </c>
      <c r="CL152" s="13" t="n">
        <v>25</v>
      </c>
      <c r="CM152" s="13" t="n">
        <v>184</v>
      </c>
      <c r="CN152" s="13" t="n">
        <v>0.456</v>
      </c>
      <c r="CO152" s="13" t="n">
        <v>162</v>
      </c>
      <c r="CP152" s="13" t="n">
        <v>120</v>
      </c>
      <c r="CQ152" s="13" t="n">
        <v>91</v>
      </c>
      <c r="CR152" s="13" t="n">
        <v>5</v>
      </c>
      <c r="CS152" s="13" t="n">
        <v>9.9</v>
      </c>
      <c r="CT152" s="11" t="inlineStr">
        <is>
          <t xml:space="preserve"> Resort Freeride</t>
        </is>
      </c>
      <c r="CU152" s="13" t="n"/>
      <c r="CV152" s="13" t="n"/>
      <c r="CW152" s="13" t="n"/>
      <c r="CX152">
        <f>INDEX('Data_Price '!AG$2:AG$1266,MATCH(Data!$DN152,'Data_Price '!$AT$2:$AT$1266,0))</f>
        <v/>
      </c>
      <c r="CY152">
        <f>INDEX('Data_Price '!AH$2:AH$1266,MATCH(Data!$DN152,'Data_Price '!$AT$2:$AT$1266,0))</f>
        <v/>
      </c>
      <c r="CZ152">
        <f>INDEX('Data_Price '!AI$2:AI$1266,MATCH(Data!$DN152,'Data_Price '!$AT$2:$AT$1266,0))</f>
        <v/>
      </c>
      <c r="DA152">
        <f>INDEX('Data_Price '!AJ$2:AJ$1266,MATCH(Data!$DN152,'Data_Price '!$AT$2:$AT$1266,0))</f>
        <v/>
      </c>
      <c r="DB152">
        <f>INDEX('Data_Price '!AK$2:AK$1266,MATCH(Data!$DN152,'Data_Price '!$AT$2:$AT$1266,0))</f>
        <v/>
      </c>
      <c r="DC152">
        <f>INDEX('Data_Price '!AL$2:AL$1266,MATCH(Data!$DN152,'Data_Price '!$AT$2:$AT$1266,0))</f>
        <v/>
      </c>
      <c r="DD152">
        <f>INDEX('Data_Price '!AM$2:AM$1266,MATCH(Data!$DN152,'Data_Price '!$AT$2:$AT$1266,0))</f>
        <v/>
      </c>
      <c r="DE152">
        <f>INDEX('Data_Price '!AN$2:AN$1266,MATCH(Data!$DN152,'Data_Price '!$AT$2:$AT$1266,0))</f>
        <v/>
      </c>
      <c r="DF152">
        <f>INDEX('Data_Price '!AO$2:AO$1266,MATCH(Data!$DN152,'Data_Price '!$AT$2:$AT$1266,0))</f>
        <v/>
      </c>
      <c r="DG152">
        <f>INDEX('Data_Price '!AP$2:AP$1266,MATCH(Data!$DN152,'Data_Price '!$AT$2:$AT$1266,0))</f>
        <v/>
      </c>
      <c r="DH152">
        <f>INDEX('Data_Price '!AQ$2:AQ$1266,MATCH(Data!$DN152,'Data_Price '!$AT$2:$AT$1266,0))</f>
        <v/>
      </c>
      <c r="DI152">
        <f>INDEX('Data_Price '!AR$2:AR$1266,MATCH(Data!$DN152,'Data_Price '!$AT$2:$AT$1266,0))</f>
        <v/>
      </c>
      <c r="DJ152" s="138">
        <f>DA152</f>
        <v/>
      </c>
      <c r="DK152" s="138">
        <f>DE152</f>
        <v/>
      </c>
      <c r="DL152" s="138">
        <f>DI152</f>
        <v/>
      </c>
      <c r="DM152" s="303">
        <f>IF(LEFT(BT152,1)=" ",RIGHT(BT152,LEN(BT152)-1),BT152)</f>
        <v/>
      </c>
      <c r="DN152" s="138">
        <f>_xlfn.CONCAT(BS152,DM152,BU152,BV152)</f>
        <v/>
      </c>
      <c r="DO152" s="307" t="inlineStr">
        <is>
          <t>https://images.evo.com/imgp/250/208645/839912/faction-dictator-2-0-skis-2022-.jpg</t>
        </is>
      </c>
    </row>
    <row r="153" ht="15.6" customHeight="1" s="184">
      <c r="B153" s="303">
        <f t="array" ref="B153">IF(OR(ISERROR(K153:P153)),FALSE,TRUE)</f>
        <v/>
      </c>
      <c r="C153" s="60">
        <f>OR(BR153=Driver!$G$50,Data!BR47=Driver!$H$50)</f>
        <v/>
      </c>
      <c r="D153" s="60">
        <f>OR(BV153=Driver!$G$51,BV153=Driver!$H$51)</f>
        <v/>
      </c>
      <c r="E153" s="60">
        <f>AND(BX153&gt;Driver!$F$54,BX153&lt;Driver!$G$54)</f>
        <v/>
      </c>
      <c r="F153" s="60">
        <f>CL153&gt;Driver!$F$56</f>
        <v/>
      </c>
      <c r="G153" s="60">
        <f>AND(CB153&gt;Driver!$F$55,CB153&lt;Driver!$G$55)</f>
        <v/>
      </c>
      <c r="H153" s="60">
        <f>AND(B153:G153)</f>
        <v/>
      </c>
      <c r="I153" s="60">
        <f>COUNTIFS($H$9:$H$1273,TRUE,$BT$9:$BT$1273,BT153)</f>
        <v/>
      </c>
      <c r="J153" s="60">
        <f t="array" ref="J153">NOT(OR(($H$9:$H$1273=TRUE)*($I$9:$I$1273&gt;0)*($BT$9:$BT$1273=BT153)*($K$9:$K$1273&gt;K153)))</f>
        <v/>
      </c>
      <c r="K153" s="108">
        <f>IFERROR(1-AVERAGE(X153:Y153),"")</f>
        <v/>
      </c>
      <c r="L153" s="108">
        <f>1-X153</f>
        <v/>
      </c>
      <c r="M153" s="108">
        <f>1-Y153</f>
        <v/>
      </c>
      <c r="N153" s="108">
        <f>1-Z153</f>
        <v/>
      </c>
      <c r="O153" s="108">
        <f>1-AA153</f>
        <v/>
      </c>
      <c r="P153" s="108">
        <f>1-AB153</f>
        <v/>
      </c>
      <c r="Q153" s="108" t="n"/>
      <c r="R153" s="108" t="n"/>
      <c r="S153" s="108">
        <f>1-AE153</f>
        <v/>
      </c>
      <c r="T153" s="108">
        <f>1-AF153</f>
        <v/>
      </c>
      <c r="U153" s="108">
        <f>1-AG153</f>
        <v/>
      </c>
      <c r="V153" s="108">
        <f>1-AH153</f>
        <v/>
      </c>
      <c r="W153" s="108">
        <f>1-AI153</f>
        <v/>
      </c>
      <c r="X153" s="108">
        <f>ABS(AJ153-AJ$1)</f>
        <v/>
      </c>
      <c r="Y153" s="108">
        <f>AVERAGE(Z153:AB153)</f>
        <v/>
      </c>
      <c r="Z153" s="108">
        <f>ABS(AL153-AL$1)</f>
        <v/>
      </c>
      <c r="AA153" s="108">
        <f>ABS(AM153-AM$1)</f>
        <v/>
      </c>
      <c r="AB153" s="108">
        <f>ABS(AN153-AN$1)</f>
        <v/>
      </c>
      <c r="AC153" s="108" t="n"/>
      <c r="AD153" s="108" t="n"/>
      <c r="AE153" s="108">
        <f>ABS(AQ$1-AQ153)</f>
        <v/>
      </c>
      <c r="AF153" s="108">
        <f>ABS(AR$1-AR153)</f>
        <v/>
      </c>
      <c r="AG153" s="108">
        <f>ABS(AS$1-AS153)</f>
        <v/>
      </c>
      <c r="AH153" s="108">
        <f>ABS(AT$1-AT153)</f>
        <v/>
      </c>
      <c r="AI153" s="108">
        <f>ABS(AU$1-AU153)</f>
        <v/>
      </c>
      <c r="AJ153" s="108">
        <f>(AV153-Driver!$K$179)/(Driver!$L$179-Driver!$K$179)</f>
        <v/>
      </c>
      <c r="AK153" s="108">
        <f>(AW153-Driver!$K$180)/(Driver!$L$180-Driver!$K$180)</f>
        <v/>
      </c>
      <c r="AL153" s="108">
        <f>(AX153-Driver!$K$181)/(Driver!$L$181-Driver!$K$181)</f>
        <v/>
      </c>
      <c r="AM153" s="108">
        <f>(AY153-Driver!$K$182)/(Driver!$L$182-Driver!$K$182)</f>
        <v/>
      </c>
      <c r="AN153" s="108">
        <f>(AZ153-Driver!$K$183)/(Driver!$L$183-Driver!$K$183)</f>
        <v/>
      </c>
      <c r="AO153" s="108" t="n"/>
      <c r="AP153" s="108" t="n"/>
      <c r="AQ153" s="108">
        <f>(BC153-Driver!$K$188)/(Driver!$L$188-Driver!$K$188)</f>
        <v/>
      </c>
      <c r="AR153" s="108">
        <f>MIN((BD153-Driver!$K$189)/(Driver!$L$189-Driver!$K$189),100%)</f>
        <v/>
      </c>
      <c r="AS153" s="108">
        <f>(BE153-Driver!$K$190)/(Driver!$L$190-Driver!$K$190)</f>
        <v/>
      </c>
      <c r="AT153" s="108">
        <f>(BF153-Driver!$K$191)/(Driver!$L$191-Driver!$K$191)</f>
        <v/>
      </c>
      <c r="AU153" s="108">
        <f>(BG153-Driver!$K$192)/(Driver!$L$192-Driver!$K$192)</f>
        <v/>
      </c>
      <c r="AV153" s="105">
        <f>IFERROR(BM153*BJ153^1/4,"")</f>
        <v/>
      </c>
      <c r="AW153" s="105">
        <f>IFERROR(SUM(AX153:AZ153),"")</f>
        <v/>
      </c>
      <c r="AX153" s="105">
        <f>IFERROR(BH153,"")</f>
        <v/>
      </c>
      <c r="AY153" s="105">
        <f>IFERROR(Driver!$K$19/Data!BH153/Data!BI153*Data!BK153*Data!BL153,"")</f>
        <v/>
      </c>
      <c r="AZ153" s="105">
        <f>IFERROR(BI153*BN153,"")</f>
        <v/>
      </c>
      <c r="BA153" s="105" t="n"/>
      <c r="BB153" s="105" t="n"/>
      <c r="BC153" s="105">
        <f>IFERROR(BI153*BN153*BK153/BJ153^(1/2),"")</f>
        <v/>
      </c>
      <c r="BD153" s="105">
        <f>IFERROR(BH153*BM153*BL153/BJ153/BK153,"")</f>
        <v/>
      </c>
      <c r="BE153" s="105">
        <f>IFERROR(MIN(BI153/BQ153/BP153/BO153/BH153,$BE$1),"")</f>
        <v/>
      </c>
      <c r="BF153" s="105">
        <f>IFERROR(BJ153*BO153*BP153/BK153,"")</f>
        <v/>
      </c>
      <c r="BG153" s="105">
        <f>IFERROR(1/BM153/BH153*BQ153,"")</f>
        <v/>
      </c>
      <c r="BH153" s="102">
        <f>MAX((CE153-Driver!$F$200)/(Driver!$G$200-Driver!$F$200)*$BI$1,1)</f>
        <v/>
      </c>
      <c r="BI153" s="102">
        <f>MAX($BI$1*(BY153-Driver!$F$201)/(Driver!$G$201-Driver!$F$201),1)</f>
        <v/>
      </c>
      <c r="BJ153" s="102">
        <f>(CB153-Driver!$F$206)/(Driver!$G$206-Driver!$F$206)*$BI$1</f>
        <v/>
      </c>
      <c r="BK153" s="102">
        <f>(CD153-Driver!$F$203)/(Driver!$G$203-Driver!$F$203)*$BI$1</f>
        <v/>
      </c>
      <c r="BL153" s="102">
        <f>MAX((CR153-Driver!$F$202)/(Driver!$G$202-Driver!$F$202)*$BI$1,1)</f>
        <v/>
      </c>
      <c r="BM153" s="102">
        <f>MAX((CH153-Driver!$F$204)/(Driver!$G$204-Driver!$F$204)*$BI$1,1)</f>
        <v/>
      </c>
      <c r="BN153" s="102">
        <f>(CI153-Driver!$F$205)/(Driver!$G$205-Driver!$F$205)*$BI$1</f>
        <v/>
      </c>
      <c r="BO153" s="102">
        <f>(CK153-Driver!$F$207)/(Driver!$G$207-Driver!$F$207)*$BI$1</f>
        <v/>
      </c>
      <c r="BP153" s="102">
        <f>(CM153-Driver!$F$208)/(Driver!$G$208-Driver!$F$208)*$BI$1</f>
        <v/>
      </c>
      <c r="BQ153" s="102">
        <f>(CL153-Driver!$F$209)/(Driver!$G$209-Driver!$F$209)*$BI$1</f>
        <v/>
      </c>
      <c r="BR153" s="40" t="inlineStr">
        <is>
          <t>21/22</t>
        </is>
      </c>
      <c r="BS153" s="10" t="inlineStr">
        <is>
          <t xml:space="preserve"> Armada</t>
        </is>
      </c>
      <c r="BT153" s="11" t="inlineStr">
        <is>
          <t>ARW 106 UL</t>
        </is>
      </c>
      <c r="BU153" s="13" t="n">
        <v>180</v>
      </c>
      <c r="BV153" s="11" t="inlineStr">
        <is>
          <t xml:space="preserve"> Women's</t>
        </is>
      </c>
      <c r="BW153" s="13" t="n">
        <v>180</v>
      </c>
      <c r="BX153" s="13" t="n">
        <v>177.6</v>
      </c>
      <c r="BY153" s="13" t="n">
        <v>124</v>
      </c>
      <c r="BZ153" s="13" t="n">
        <v>142</v>
      </c>
      <c r="CA153" s="13" t="n">
        <v>134</v>
      </c>
      <c r="CB153" s="13" t="n">
        <v>105</v>
      </c>
      <c r="CC153" s="13" t="n">
        <v>124</v>
      </c>
      <c r="CD153" s="13" t="n">
        <v>20.2</v>
      </c>
      <c r="CE153" s="13" t="n">
        <v>1853</v>
      </c>
      <c r="CF153" s="13" t="n">
        <v>1.09</v>
      </c>
      <c r="CG153" s="13" t="n">
        <v>2011</v>
      </c>
      <c r="CH153" s="13" t="n">
        <v>229</v>
      </c>
      <c r="CI153" s="13" t="n">
        <v>103</v>
      </c>
      <c r="CJ153" s="13" t="n">
        <v>57</v>
      </c>
      <c r="CK153" s="13" t="n">
        <v>291</v>
      </c>
      <c r="CL153" s="13" t="n">
        <v>47</v>
      </c>
      <c r="CM153" s="13" t="n">
        <v>249</v>
      </c>
      <c r="CN153" s="13" t="n">
        <v>0.832</v>
      </c>
      <c r="CO153" s="13" t="n">
        <v>172</v>
      </c>
      <c r="CP153" s="13" t="n">
        <v>184</v>
      </c>
      <c r="CQ153" s="13" t="n">
        <v>119</v>
      </c>
      <c r="CR153" s="13" t="n">
        <v>7</v>
      </c>
      <c r="CS153" s="13" t="n">
        <v>2.6</v>
      </c>
      <c r="CT153" s="11" t="inlineStr">
        <is>
          <t xml:space="preserve"> Resort Freeride</t>
        </is>
      </c>
      <c r="CU153" s="11" t="inlineStr">
        <is>
          <t xml:space="preserve"> Freeski</t>
        </is>
      </c>
      <c r="CV153" s="11" t="inlineStr">
        <is>
          <t xml:space="preserve"> Powder</t>
        </is>
      </c>
      <c r="CW153" s="11" t="inlineStr">
        <is>
          <t xml:space="preserve"> Touring</t>
        </is>
      </c>
      <c r="CX153">
        <f>INDEX('Data_Price '!AG$2:AG$1266,MATCH(Data!$DN153,'Data_Price '!$AT$2:$AT$1266,0))</f>
        <v/>
      </c>
      <c r="CY153">
        <f>INDEX('Data_Price '!AH$2:AH$1266,MATCH(Data!$DN153,'Data_Price '!$AT$2:$AT$1266,0))</f>
        <v/>
      </c>
      <c r="CZ153">
        <f>INDEX('Data_Price '!AI$2:AI$1266,MATCH(Data!$DN153,'Data_Price '!$AT$2:$AT$1266,0))</f>
        <v/>
      </c>
      <c r="DA153">
        <f>INDEX('Data_Price '!AJ$2:AJ$1266,MATCH(Data!$DN153,'Data_Price '!$AT$2:$AT$1266,0))</f>
        <v/>
      </c>
      <c r="DB153">
        <f>INDEX('Data_Price '!AK$2:AK$1266,MATCH(Data!$DN153,'Data_Price '!$AT$2:$AT$1266,0))</f>
        <v/>
      </c>
      <c r="DC153">
        <f>INDEX('Data_Price '!AL$2:AL$1266,MATCH(Data!$DN153,'Data_Price '!$AT$2:$AT$1266,0))</f>
        <v/>
      </c>
      <c r="DD153">
        <f>INDEX('Data_Price '!AM$2:AM$1266,MATCH(Data!$DN153,'Data_Price '!$AT$2:$AT$1266,0))</f>
        <v/>
      </c>
      <c r="DE153">
        <f>INDEX('Data_Price '!AN$2:AN$1266,MATCH(Data!$DN153,'Data_Price '!$AT$2:$AT$1266,0))</f>
        <v/>
      </c>
      <c r="DF153">
        <f>INDEX('Data_Price '!AO$2:AO$1266,MATCH(Data!$DN153,'Data_Price '!$AT$2:$AT$1266,0))</f>
        <v/>
      </c>
      <c r="DG153">
        <f>INDEX('Data_Price '!AP$2:AP$1266,MATCH(Data!$DN153,'Data_Price '!$AT$2:$AT$1266,0))</f>
        <v/>
      </c>
      <c r="DH153">
        <f>INDEX('Data_Price '!AQ$2:AQ$1266,MATCH(Data!$DN153,'Data_Price '!$AT$2:$AT$1266,0))</f>
        <v/>
      </c>
      <c r="DI153">
        <f>INDEX('Data_Price '!AR$2:AR$1266,MATCH(Data!$DN153,'Data_Price '!$AT$2:$AT$1266,0))</f>
        <v/>
      </c>
      <c r="DJ153" s="138">
        <f>DA153</f>
        <v/>
      </c>
      <c r="DK153" s="138">
        <f>DE153</f>
        <v/>
      </c>
      <c r="DL153" s="138">
        <f>DI153</f>
        <v/>
      </c>
      <c r="DM153" s="303">
        <f>IF(LEFT(BT153,1)=" ",RIGHT(BT153,LEN(BT153)-1),BT153)</f>
        <v/>
      </c>
      <c r="DN153" s="138">
        <f>_xlfn.CONCAT(BS153,DM153,BU153,BV153)</f>
        <v/>
      </c>
      <c r="DO153" s="307" t="inlineStr">
        <is>
          <t>https://images.evo.com/imgp/250/198715/839687/armada-arw-106-ul-skis-2022-.jpg</t>
        </is>
      </c>
    </row>
    <row r="154" ht="15.6" customHeight="1" s="184">
      <c r="B154" s="303">
        <f t="array" ref="B154">IF(OR(ISERROR(K154:P154)),FALSE,TRUE)</f>
        <v/>
      </c>
      <c r="C154" s="60">
        <f>OR(BR154=Driver!$G$50,Data!BR361=Driver!$H$50)</f>
        <v/>
      </c>
      <c r="D154" s="60">
        <f>OR(BV154=Driver!$G$51,BV154=Driver!$H$51)</f>
        <v/>
      </c>
      <c r="E154" s="60">
        <f>AND(BX154&gt;Driver!$F$54,BX154&lt;Driver!$G$54)</f>
        <v/>
      </c>
      <c r="F154" s="60">
        <f>CL154&gt;Driver!$F$56</f>
        <v/>
      </c>
      <c r="G154" s="60">
        <f>AND(CB154&gt;Driver!$F$55,CB154&lt;Driver!$G$55)</f>
        <v/>
      </c>
      <c r="H154" s="60">
        <f>AND(B154:G154)</f>
        <v/>
      </c>
      <c r="I154" s="60">
        <f>COUNTIFS($H$9:$H$1273,TRUE,$BT$9:$BT$1273,BT154)</f>
        <v/>
      </c>
      <c r="J154" s="60">
        <f t="array" ref="J154">NOT(OR(($H$9:$H$1273=TRUE)*($I$9:$I$1273&gt;0)*($BT$9:$BT$1273=BT154)*($K$9:$K$1273&gt;K154)))</f>
        <v/>
      </c>
      <c r="K154" s="108">
        <f>IFERROR(1-AVERAGE(X154:Y154),"")</f>
        <v/>
      </c>
      <c r="L154" s="108">
        <f>1-X154</f>
        <v/>
      </c>
      <c r="M154" s="108">
        <f>1-Y154</f>
        <v/>
      </c>
      <c r="N154" s="108">
        <f>1-Z154</f>
        <v/>
      </c>
      <c r="O154" s="108">
        <f>1-AA154</f>
        <v/>
      </c>
      <c r="P154" s="108">
        <f>1-AB154</f>
        <v/>
      </c>
      <c r="Q154" s="108" t="n"/>
      <c r="R154" s="108" t="n"/>
      <c r="S154" s="108">
        <f>1-AE154</f>
        <v/>
      </c>
      <c r="T154" s="108">
        <f>1-AF154</f>
        <v/>
      </c>
      <c r="U154" s="108">
        <f>1-AG154</f>
        <v/>
      </c>
      <c r="V154" s="108">
        <f>1-AH154</f>
        <v/>
      </c>
      <c r="W154" s="108">
        <f>1-AI154</f>
        <v/>
      </c>
      <c r="X154" s="108">
        <f>ABS(AJ154-AJ$1)</f>
        <v/>
      </c>
      <c r="Y154" s="108">
        <f>AVERAGE(Z154:AB154)</f>
        <v/>
      </c>
      <c r="Z154" s="108">
        <f>ABS(AL154-AL$1)</f>
        <v/>
      </c>
      <c r="AA154" s="108">
        <f>ABS(AM154-AM$1)</f>
        <v/>
      </c>
      <c r="AB154" s="108">
        <f>ABS(AN154-AN$1)</f>
        <v/>
      </c>
      <c r="AC154" s="108" t="n"/>
      <c r="AD154" s="108" t="n"/>
      <c r="AE154" s="108">
        <f>ABS(AQ$1-AQ154)</f>
        <v/>
      </c>
      <c r="AF154" s="108">
        <f>ABS(AR$1-AR154)</f>
        <v/>
      </c>
      <c r="AG154" s="108">
        <f>ABS(AS$1-AS154)</f>
        <v/>
      </c>
      <c r="AH154" s="108">
        <f>ABS(AT$1-AT154)</f>
        <v/>
      </c>
      <c r="AI154" s="108">
        <f>ABS(AU$1-AU154)</f>
        <v/>
      </c>
      <c r="AJ154" s="108">
        <f>(AV154-Driver!$K$179)/(Driver!$L$179-Driver!$K$179)</f>
        <v/>
      </c>
      <c r="AK154" s="108">
        <f>(AW154-Driver!$K$180)/(Driver!$L$180-Driver!$K$180)</f>
        <v/>
      </c>
      <c r="AL154" s="108">
        <f>(AX154-Driver!$K$181)/(Driver!$L$181-Driver!$K$181)</f>
        <v/>
      </c>
      <c r="AM154" s="108">
        <f>(AY154-Driver!$K$182)/(Driver!$L$182-Driver!$K$182)</f>
        <v/>
      </c>
      <c r="AN154" s="108">
        <f>(AZ154-Driver!$K$183)/(Driver!$L$183-Driver!$K$183)</f>
        <v/>
      </c>
      <c r="AO154" s="108" t="n"/>
      <c r="AP154" s="108" t="n"/>
      <c r="AQ154" s="108">
        <f>(BC154-Driver!$K$188)/(Driver!$L$188-Driver!$K$188)</f>
        <v/>
      </c>
      <c r="AR154" s="108">
        <f>MIN((BD154-Driver!$K$189)/(Driver!$L$189-Driver!$K$189),100%)</f>
        <v/>
      </c>
      <c r="AS154" s="108">
        <f>(BE154-Driver!$K$190)/(Driver!$L$190-Driver!$K$190)</f>
        <v/>
      </c>
      <c r="AT154" s="108">
        <f>(BF154-Driver!$K$191)/(Driver!$L$191-Driver!$K$191)</f>
        <v/>
      </c>
      <c r="AU154" s="108">
        <f>(BG154-Driver!$K$192)/(Driver!$L$192-Driver!$K$192)</f>
        <v/>
      </c>
      <c r="AV154" s="105">
        <f>IFERROR(BM154*BJ154^1/4,"")</f>
        <v/>
      </c>
      <c r="AW154" s="105">
        <f>IFERROR(SUM(AX154:AZ154),"")</f>
        <v/>
      </c>
      <c r="AX154" s="105">
        <f>IFERROR(BH154,"")</f>
        <v/>
      </c>
      <c r="AY154" s="105">
        <f>IFERROR(Driver!$K$19/Data!BH154/Data!BI154*Data!BK154*Data!BL154,"")</f>
        <v/>
      </c>
      <c r="AZ154" s="105">
        <f>IFERROR(BI154*BN154,"")</f>
        <v/>
      </c>
      <c r="BA154" s="105" t="n"/>
      <c r="BB154" s="105" t="n"/>
      <c r="BC154" s="105">
        <f>IFERROR(BI154*BN154*BK154/BJ154^(1/2),"")</f>
        <v/>
      </c>
      <c r="BD154" s="105">
        <f>IFERROR(BH154*BM154*BL154/BJ154/BK154,"")</f>
        <v/>
      </c>
      <c r="BE154" s="105">
        <f>IFERROR(MIN(BI154/BQ154/BP154/BO154/BH154,$BE$1),"")</f>
        <v/>
      </c>
      <c r="BF154" s="105">
        <f>IFERROR(BJ154*BO154*BP154/BK154,"")</f>
        <v/>
      </c>
      <c r="BG154" s="105">
        <f>IFERROR(1/BM154/BH154*BQ154,"")</f>
        <v/>
      </c>
      <c r="BH154" s="102">
        <f>MAX((CE154-Driver!$F$200)/(Driver!$G$200-Driver!$F$200)*$BI$1,1)</f>
        <v/>
      </c>
      <c r="BI154" s="102">
        <f>MAX($BI$1*(BY154-Driver!$F$201)/(Driver!$G$201-Driver!$F$201),1)</f>
        <v/>
      </c>
      <c r="BJ154" s="102">
        <f>(CB154-Driver!$F$206)/(Driver!$G$206-Driver!$F$206)*$BI$1</f>
        <v/>
      </c>
      <c r="BK154" s="102">
        <f>(CD154-Driver!$F$203)/(Driver!$G$203-Driver!$F$203)*$BI$1</f>
        <v/>
      </c>
      <c r="BL154" s="102">
        <f>MAX((CR154-Driver!$F$202)/(Driver!$G$202-Driver!$F$202)*$BI$1,1)</f>
        <v/>
      </c>
      <c r="BM154" s="102">
        <f>MAX((CH154-Driver!$F$204)/(Driver!$G$204-Driver!$F$204)*$BI$1,1)</f>
        <v/>
      </c>
      <c r="BN154" s="102">
        <f>(CI154-Driver!$F$205)/(Driver!$G$205-Driver!$F$205)*$BI$1</f>
        <v/>
      </c>
      <c r="BO154" s="102">
        <f>(CK154-Driver!$F$207)/(Driver!$G$207-Driver!$F$207)*$BI$1</f>
        <v/>
      </c>
      <c r="BP154" s="102">
        <f>(CM154-Driver!$F$208)/(Driver!$G$208-Driver!$F$208)*$BI$1</f>
        <v/>
      </c>
      <c r="BQ154" s="102">
        <f>(CL154-Driver!$F$209)/(Driver!$G$209-Driver!$F$209)*$BI$1</f>
        <v/>
      </c>
      <c r="BR154" s="40" t="inlineStr">
        <is>
          <t>21/22</t>
        </is>
      </c>
      <c r="BS154" s="10" t="inlineStr">
        <is>
          <t xml:space="preserve"> DPS</t>
        </is>
      </c>
      <c r="BT154" s="11" t="inlineStr">
        <is>
          <t>Pagoda Tour 112 RP</t>
        </is>
      </c>
      <c r="BU154" s="13" t="n">
        <v>178</v>
      </c>
      <c r="BV154" s="11" t="inlineStr">
        <is>
          <t xml:space="preserve"> Unisex</t>
        </is>
      </c>
      <c r="BW154" s="13" t="n">
        <v>178</v>
      </c>
      <c r="BX154" s="13" t="n">
        <v>176.4</v>
      </c>
      <c r="BY154" s="13" t="n">
        <v>94</v>
      </c>
      <c r="BZ154" s="13" t="n">
        <v>123</v>
      </c>
      <c r="CA154" s="13" t="n">
        <v>139</v>
      </c>
      <c r="CB154" s="13" t="n">
        <v>112</v>
      </c>
      <c r="CC154" s="13" t="n">
        <v>126</v>
      </c>
      <c r="CD154" s="13" t="n">
        <v>15.3</v>
      </c>
      <c r="CE154" s="13" t="n">
        <v>1572</v>
      </c>
      <c r="CF154" s="13" t="n">
        <v>1.35</v>
      </c>
      <c r="CG154" s="13" t="n">
        <v>2127</v>
      </c>
      <c r="CH154" s="13" t="n">
        <v>211</v>
      </c>
      <c r="CI154" s="13" t="n">
        <v>110</v>
      </c>
      <c r="CJ154" s="13" t="n">
        <v>62</v>
      </c>
      <c r="CK154" s="13" t="n">
        <v>439</v>
      </c>
      <c r="CL154" s="13" t="n">
        <v>39</v>
      </c>
      <c r="CM154" s="13" t="n">
        <v>389</v>
      </c>
      <c r="CN154" s="13" t="n">
        <v>0.631</v>
      </c>
      <c r="CO154" s="13" t="n">
        <v>290</v>
      </c>
      <c r="CP154" s="13" t="n">
        <v>248</v>
      </c>
      <c r="CQ154" s="13" t="n">
        <v>149</v>
      </c>
      <c r="CR154" s="13" t="n">
        <v>3</v>
      </c>
      <c r="CS154" s="13" t="n">
        <v>14.6</v>
      </c>
      <c r="CT154" s="11" t="inlineStr">
        <is>
          <t xml:space="preserve"> Powder</t>
        </is>
      </c>
      <c r="CU154" s="11" t="inlineStr">
        <is>
          <t xml:space="preserve"> Touring</t>
        </is>
      </c>
      <c r="CV154" s="11" t="inlineStr">
        <is>
          <t xml:space="preserve"> Ultralight Touring</t>
        </is>
      </c>
      <c r="CW154" s="13" t="n"/>
      <c r="CX154">
        <f>INDEX('Data_Price '!AG$2:AG$1266,MATCH(Data!$DN154,'Data_Price '!$AT$2:$AT$1266,0))</f>
        <v/>
      </c>
      <c r="CY154">
        <f>INDEX('Data_Price '!AH$2:AH$1266,MATCH(Data!$DN154,'Data_Price '!$AT$2:$AT$1266,0))</f>
        <v/>
      </c>
      <c r="CZ154">
        <f>INDEX('Data_Price '!AI$2:AI$1266,MATCH(Data!$DN154,'Data_Price '!$AT$2:$AT$1266,0))</f>
        <v/>
      </c>
      <c r="DA154">
        <f>INDEX('Data_Price '!AJ$2:AJ$1266,MATCH(Data!$DN154,'Data_Price '!$AT$2:$AT$1266,0))</f>
        <v/>
      </c>
      <c r="DB154">
        <f>INDEX('Data_Price '!AK$2:AK$1266,MATCH(Data!$DN154,'Data_Price '!$AT$2:$AT$1266,0))</f>
        <v/>
      </c>
      <c r="DC154">
        <f>INDEX('Data_Price '!AL$2:AL$1266,MATCH(Data!$DN154,'Data_Price '!$AT$2:$AT$1266,0))</f>
        <v/>
      </c>
      <c r="DD154">
        <f>INDEX('Data_Price '!AM$2:AM$1266,MATCH(Data!$DN154,'Data_Price '!$AT$2:$AT$1266,0))</f>
        <v/>
      </c>
      <c r="DE154">
        <f>INDEX('Data_Price '!AN$2:AN$1266,MATCH(Data!$DN154,'Data_Price '!$AT$2:$AT$1266,0))</f>
        <v/>
      </c>
      <c r="DF154">
        <f>INDEX('Data_Price '!AO$2:AO$1266,MATCH(Data!$DN154,'Data_Price '!$AT$2:$AT$1266,0))</f>
        <v/>
      </c>
      <c r="DG154">
        <f>INDEX('Data_Price '!AP$2:AP$1266,MATCH(Data!$DN154,'Data_Price '!$AT$2:$AT$1266,0))</f>
        <v/>
      </c>
      <c r="DH154">
        <f>INDEX('Data_Price '!AQ$2:AQ$1266,MATCH(Data!$DN154,'Data_Price '!$AT$2:$AT$1266,0))</f>
        <v/>
      </c>
      <c r="DI154">
        <f>INDEX('Data_Price '!AR$2:AR$1266,MATCH(Data!$DN154,'Data_Price '!$AT$2:$AT$1266,0))</f>
        <v/>
      </c>
      <c r="DJ154" s="138">
        <f>DA154</f>
        <v/>
      </c>
      <c r="DK154" s="138">
        <f>DE154</f>
        <v/>
      </c>
      <c r="DL154" s="138">
        <f>DI154</f>
        <v/>
      </c>
      <c r="DM154" s="303">
        <f>IF(LEFT(BT154,1)=" ",RIGHT(BT154,LEN(BT154)-1),BT154)</f>
        <v/>
      </c>
      <c r="DN154" s="138">
        <f>_xlfn.CONCAT(BS154,DM154,BU154,BV154)</f>
        <v/>
      </c>
      <c r="DO154" s="307" t="inlineStr">
        <is>
          <t>https://images.evo.com/imgp/250/183639/728542/dps-pagoda-tour-112-rp-skis-2022-.jpg</t>
        </is>
      </c>
    </row>
    <row r="155" ht="15.6" customHeight="1" s="184">
      <c r="B155" s="303">
        <f t="array" ref="B155">IF(OR(ISERROR(K155:P155)),FALSE,TRUE)</f>
        <v/>
      </c>
      <c r="C155" s="60">
        <f>OR(BR155=Driver!$G$50,Data!BR403=Driver!$H$50)</f>
        <v/>
      </c>
      <c r="D155" s="60">
        <f>OR(BV155=Driver!$G$51,BV155=Driver!$H$51)</f>
        <v/>
      </c>
      <c r="E155" s="60">
        <f>AND(BX155&gt;Driver!$F$54,BX155&lt;Driver!$G$54)</f>
        <v/>
      </c>
      <c r="F155" s="60">
        <f>CL155&gt;Driver!$F$56</f>
        <v/>
      </c>
      <c r="G155" s="60">
        <f>AND(CB155&gt;Driver!$F$55,CB155&lt;Driver!$G$55)</f>
        <v/>
      </c>
      <c r="H155" s="60">
        <f>AND(B155:G155)</f>
        <v/>
      </c>
      <c r="I155" s="60">
        <f>COUNTIFS($H$9:$H$1273,TRUE,$BT$9:$BT$1273,BT155)</f>
        <v/>
      </c>
      <c r="J155" s="60">
        <f t="array" ref="J155">NOT(OR(($H$9:$H$1273=TRUE)*($I$9:$I$1273&gt;0)*($BT$9:$BT$1273=BT155)*($K$9:$K$1273&gt;K155)))</f>
        <v/>
      </c>
      <c r="K155" s="108">
        <f>IFERROR(1-AVERAGE(X155:Y155),"")</f>
        <v/>
      </c>
      <c r="L155" s="108">
        <f>1-X155</f>
        <v/>
      </c>
      <c r="M155" s="108">
        <f>1-Y155</f>
        <v/>
      </c>
      <c r="N155" s="108">
        <f>1-Z155</f>
        <v/>
      </c>
      <c r="O155" s="108">
        <f>1-AA155</f>
        <v/>
      </c>
      <c r="P155" s="108">
        <f>1-AB155</f>
        <v/>
      </c>
      <c r="Q155" s="108" t="n"/>
      <c r="R155" s="108" t="n"/>
      <c r="S155" s="108">
        <f>1-AE155</f>
        <v/>
      </c>
      <c r="T155" s="108">
        <f>1-AF155</f>
        <v/>
      </c>
      <c r="U155" s="108">
        <f>1-AG155</f>
        <v/>
      </c>
      <c r="V155" s="108">
        <f>1-AH155</f>
        <v/>
      </c>
      <c r="W155" s="108">
        <f>1-AI155</f>
        <v/>
      </c>
      <c r="X155" s="108">
        <f>ABS(AJ155-AJ$1)</f>
        <v/>
      </c>
      <c r="Y155" s="108">
        <f>AVERAGE(Z155:AB155)</f>
        <v/>
      </c>
      <c r="Z155" s="108">
        <f>ABS(AL155-AL$1)</f>
        <v/>
      </c>
      <c r="AA155" s="108">
        <f>ABS(AM155-AM$1)</f>
        <v/>
      </c>
      <c r="AB155" s="108">
        <f>ABS(AN155-AN$1)</f>
        <v/>
      </c>
      <c r="AC155" s="108" t="n"/>
      <c r="AD155" s="108" t="n"/>
      <c r="AE155" s="108">
        <f>ABS(AQ$1-AQ155)</f>
        <v/>
      </c>
      <c r="AF155" s="108">
        <f>ABS(AR$1-AR155)</f>
        <v/>
      </c>
      <c r="AG155" s="108">
        <f>ABS(AS$1-AS155)</f>
        <v/>
      </c>
      <c r="AH155" s="108">
        <f>ABS(AT$1-AT155)</f>
        <v/>
      </c>
      <c r="AI155" s="108">
        <f>ABS(AU$1-AU155)</f>
        <v/>
      </c>
      <c r="AJ155" s="108">
        <f>(AV155-Driver!$K$179)/(Driver!$L$179-Driver!$K$179)</f>
        <v/>
      </c>
      <c r="AK155" s="108">
        <f>(AW155-Driver!$K$180)/(Driver!$L$180-Driver!$K$180)</f>
        <v/>
      </c>
      <c r="AL155" s="108">
        <f>(AX155-Driver!$K$181)/(Driver!$L$181-Driver!$K$181)</f>
        <v/>
      </c>
      <c r="AM155" s="108">
        <f>(AY155-Driver!$K$182)/(Driver!$L$182-Driver!$K$182)</f>
        <v/>
      </c>
      <c r="AN155" s="108">
        <f>(AZ155-Driver!$K$183)/(Driver!$L$183-Driver!$K$183)</f>
        <v/>
      </c>
      <c r="AO155" s="108" t="n"/>
      <c r="AP155" s="108" t="n"/>
      <c r="AQ155" s="108">
        <f>(BC155-Driver!$K$188)/(Driver!$L$188-Driver!$K$188)</f>
        <v/>
      </c>
      <c r="AR155" s="108">
        <f>MIN((BD155-Driver!$K$189)/(Driver!$L$189-Driver!$K$189),100%)</f>
        <v/>
      </c>
      <c r="AS155" s="108">
        <f>(BE155-Driver!$K$190)/(Driver!$L$190-Driver!$K$190)</f>
        <v/>
      </c>
      <c r="AT155" s="108">
        <f>(BF155-Driver!$K$191)/(Driver!$L$191-Driver!$K$191)</f>
        <v/>
      </c>
      <c r="AU155" s="108">
        <f>(BG155-Driver!$K$192)/(Driver!$L$192-Driver!$K$192)</f>
        <v/>
      </c>
      <c r="AV155" s="105">
        <f>IFERROR(BM155*BJ155^1/4,"")</f>
        <v/>
      </c>
      <c r="AW155" s="105">
        <f>IFERROR(SUM(AX155:AZ155),"")</f>
        <v/>
      </c>
      <c r="AX155" s="105">
        <f>IFERROR(BH155,"")</f>
        <v/>
      </c>
      <c r="AY155" s="105">
        <f>IFERROR(Driver!$K$19/Data!BH155/Data!BI155*Data!BK155*Data!BL155,"")</f>
        <v/>
      </c>
      <c r="AZ155" s="105">
        <f>IFERROR(BI155*BN155,"")</f>
        <v/>
      </c>
      <c r="BA155" s="105" t="n"/>
      <c r="BB155" s="105" t="n"/>
      <c r="BC155" s="105">
        <f>IFERROR(BI155*BN155*BK155/BJ155^(1/2),"")</f>
        <v/>
      </c>
      <c r="BD155" s="105">
        <f>IFERROR(BH155*BM155*BL155/BJ155/BK155,"")</f>
        <v/>
      </c>
      <c r="BE155" s="105">
        <f>IFERROR(MIN(BI155/BQ155/BP155/BO155/BH155,$BE$1),"")</f>
        <v/>
      </c>
      <c r="BF155" s="105">
        <f>IFERROR(BJ155*BO155*BP155/BK155,"")</f>
        <v/>
      </c>
      <c r="BG155" s="105">
        <f>IFERROR(1/BM155/BH155*BQ155,"")</f>
        <v/>
      </c>
      <c r="BH155" s="102">
        <f>MAX((CE155-Driver!$F$200)/(Driver!$G$200-Driver!$F$200)*$BI$1,1)</f>
        <v/>
      </c>
      <c r="BI155" s="102">
        <f>MAX($BI$1*(BY155-Driver!$F$201)/(Driver!$G$201-Driver!$F$201),1)</f>
        <v/>
      </c>
      <c r="BJ155" s="102">
        <f>(CB155-Driver!$F$206)/(Driver!$G$206-Driver!$F$206)*$BI$1</f>
        <v/>
      </c>
      <c r="BK155" s="102">
        <f>(CD155-Driver!$F$203)/(Driver!$G$203-Driver!$F$203)*$BI$1</f>
        <v/>
      </c>
      <c r="BL155" s="102">
        <f>MAX((CR155-Driver!$F$202)/(Driver!$G$202-Driver!$F$202)*$BI$1,1)</f>
        <v/>
      </c>
      <c r="BM155" s="102">
        <f>MAX((CH155-Driver!$F$204)/(Driver!$G$204-Driver!$F$204)*$BI$1,1)</f>
        <v/>
      </c>
      <c r="BN155" s="102">
        <f>(CI155-Driver!$F$205)/(Driver!$G$205-Driver!$F$205)*$BI$1</f>
        <v/>
      </c>
      <c r="BO155" s="102">
        <f>(CK155-Driver!$F$207)/(Driver!$G$207-Driver!$F$207)*$BI$1</f>
        <v/>
      </c>
      <c r="BP155" s="102">
        <f>(CM155-Driver!$F$208)/(Driver!$G$208-Driver!$F$208)*$BI$1</f>
        <v/>
      </c>
      <c r="BQ155" s="102">
        <f>(CL155-Driver!$F$209)/(Driver!$G$209-Driver!$F$209)*$BI$1</f>
        <v/>
      </c>
      <c r="BR155" s="40" t="inlineStr">
        <is>
          <t>21/22</t>
        </is>
      </c>
      <c r="BS155" s="10" t="inlineStr">
        <is>
          <t xml:space="preserve"> Dynastar</t>
        </is>
      </c>
      <c r="BT155" s="11" t="inlineStr">
        <is>
          <t>M-Pro 99</t>
        </is>
      </c>
      <c r="BU155" s="13" t="n">
        <v>170</v>
      </c>
      <c r="BV155" s="11" t="inlineStr">
        <is>
          <t xml:space="preserve"> Unisex</t>
        </is>
      </c>
      <c r="BW155" s="13" t="n">
        <v>170</v>
      </c>
      <c r="BX155" s="13" t="n">
        <v>169</v>
      </c>
      <c r="BY155" s="13" t="n">
        <v>121</v>
      </c>
      <c r="BZ155" s="13" t="n">
        <v>137</v>
      </c>
      <c r="CA155" s="13" t="n">
        <v>125</v>
      </c>
      <c r="CB155" s="13" t="n">
        <v>96</v>
      </c>
      <c r="CC155" s="13" t="n">
        <v>115</v>
      </c>
      <c r="CD155" s="13" t="n">
        <v>17.6</v>
      </c>
      <c r="CE155" s="13" t="n">
        <v>1830</v>
      </c>
      <c r="CF155" s="13" t="n">
        <v>0.98</v>
      </c>
      <c r="CG155" s="13" t="n">
        <v>1791</v>
      </c>
      <c r="CH155" s="13" t="n">
        <v>253</v>
      </c>
      <c r="CI155" s="13" t="n">
        <v>93</v>
      </c>
      <c r="CJ155" s="13" t="n">
        <v>60</v>
      </c>
      <c r="CK155" s="13" t="n">
        <v>330</v>
      </c>
      <c r="CL155" s="13" t="n">
        <v>12</v>
      </c>
      <c r="CM155" s="13" t="n">
        <v>146</v>
      </c>
      <c r="CN155" s="13" t="n">
        <v>0.197</v>
      </c>
      <c r="CO155" s="13" t="n">
        <v>202</v>
      </c>
      <c r="CP155" s="13" t="n">
        <v>116</v>
      </c>
      <c r="CQ155" s="13" t="n">
        <v>127</v>
      </c>
      <c r="CR155" s="13" t="n">
        <v>6</v>
      </c>
      <c r="CS155" s="13" t="n">
        <v>12.1</v>
      </c>
      <c r="CT155" s="11" t="inlineStr">
        <is>
          <t xml:space="preserve"> Resort Freeride</t>
        </is>
      </c>
      <c r="CU155" s="13" t="n"/>
      <c r="CV155" s="13" t="n"/>
      <c r="CW155" s="13" t="n"/>
      <c r="CX155">
        <f>INDEX('Data_Price '!AG$2:AG$1266,MATCH(Data!$DN155,'Data_Price '!$AT$2:$AT$1266,0))</f>
        <v/>
      </c>
      <c r="CY155">
        <f>INDEX('Data_Price '!AH$2:AH$1266,MATCH(Data!$DN155,'Data_Price '!$AT$2:$AT$1266,0))</f>
        <v/>
      </c>
      <c r="CZ155">
        <f>INDEX('Data_Price '!AI$2:AI$1266,MATCH(Data!$DN155,'Data_Price '!$AT$2:$AT$1266,0))</f>
        <v/>
      </c>
      <c r="DA155">
        <f>INDEX('Data_Price '!AJ$2:AJ$1266,MATCH(Data!$DN155,'Data_Price '!$AT$2:$AT$1266,0))</f>
        <v/>
      </c>
      <c r="DB155">
        <f>INDEX('Data_Price '!AK$2:AK$1266,MATCH(Data!$DN155,'Data_Price '!$AT$2:$AT$1266,0))</f>
        <v/>
      </c>
      <c r="DC155">
        <f>INDEX('Data_Price '!AL$2:AL$1266,MATCH(Data!$DN155,'Data_Price '!$AT$2:$AT$1266,0))</f>
        <v/>
      </c>
      <c r="DD155">
        <f>INDEX('Data_Price '!AM$2:AM$1266,MATCH(Data!$DN155,'Data_Price '!$AT$2:$AT$1266,0))</f>
        <v/>
      </c>
      <c r="DE155">
        <f>INDEX('Data_Price '!AN$2:AN$1266,MATCH(Data!$DN155,'Data_Price '!$AT$2:$AT$1266,0))</f>
        <v/>
      </c>
      <c r="DF155">
        <f>INDEX('Data_Price '!AO$2:AO$1266,MATCH(Data!$DN155,'Data_Price '!$AT$2:$AT$1266,0))</f>
        <v/>
      </c>
      <c r="DG155">
        <f>INDEX('Data_Price '!AP$2:AP$1266,MATCH(Data!$DN155,'Data_Price '!$AT$2:$AT$1266,0))</f>
        <v/>
      </c>
      <c r="DH155">
        <f>INDEX('Data_Price '!AQ$2:AQ$1266,MATCH(Data!$DN155,'Data_Price '!$AT$2:$AT$1266,0))</f>
        <v/>
      </c>
      <c r="DI155">
        <f>INDEX('Data_Price '!AR$2:AR$1266,MATCH(Data!$DN155,'Data_Price '!$AT$2:$AT$1266,0))</f>
        <v/>
      </c>
      <c r="DJ155" s="138">
        <f>DA155</f>
        <v/>
      </c>
      <c r="DK155" s="138">
        <f>DE155</f>
        <v/>
      </c>
      <c r="DL155" s="138">
        <f>DI155</f>
        <v/>
      </c>
      <c r="DM155" s="303">
        <f>IF(LEFT(BT155,1)=" ",RIGHT(BT155,LEN(BT155)-1),BT155)</f>
        <v/>
      </c>
      <c r="DN155" s="138">
        <f>_xlfn.CONCAT(BS155,DM155,BU155,BV155)</f>
        <v/>
      </c>
      <c r="DO155" s="307" t="inlineStr">
        <is>
          <t>https://images.evo.com/imgp/250/185150/736349/dynastar-m-pro-99-skis-2022-.jpg</t>
        </is>
      </c>
    </row>
    <row r="156" ht="15.6" customHeight="1" s="184">
      <c r="B156" s="303">
        <f t="array" ref="B156">IF(OR(ISERROR(K156:P156)),FALSE,TRUE)</f>
        <v/>
      </c>
      <c r="C156" s="60">
        <f>OR(BR156=Driver!$G$50,Data!BR1161=Driver!$H$50)</f>
        <v/>
      </c>
      <c r="D156" s="60">
        <f>OR(BV156=Driver!$G$51,BV156=Driver!$H$51)</f>
        <v/>
      </c>
      <c r="E156" s="60">
        <f>AND(BX156&gt;Driver!$F$54,BX156&lt;Driver!$G$54)</f>
        <v/>
      </c>
      <c r="F156" s="60">
        <f>CL156&gt;Driver!$F$56</f>
        <v/>
      </c>
      <c r="G156" s="60">
        <f>AND(CB156&gt;Driver!$F$55,CB156&lt;Driver!$G$55)</f>
        <v/>
      </c>
      <c r="H156" s="60">
        <f>AND(B156:G156)</f>
        <v/>
      </c>
      <c r="I156" s="60">
        <f>COUNTIFS($H$9:$H$1273,TRUE,$BT$9:$BT$1273,BT156)</f>
        <v/>
      </c>
      <c r="J156" s="60">
        <f t="array" ref="J156">NOT(OR(($H$9:$H$1273=TRUE)*($I$9:$I$1273&gt;0)*($BT$9:$BT$1273=BT156)*($K$9:$K$1273&gt;K156)))</f>
        <v/>
      </c>
      <c r="K156" s="108">
        <f>IFERROR(1-AVERAGE(X156:Y156),"")</f>
        <v/>
      </c>
      <c r="L156" s="108">
        <f>1-X156</f>
        <v/>
      </c>
      <c r="M156" s="108">
        <f>1-Y156</f>
        <v/>
      </c>
      <c r="N156" s="108">
        <f>1-Z156</f>
        <v/>
      </c>
      <c r="O156" s="108">
        <f>1-AA156</f>
        <v/>
      </c>
      <c r="P156" s="108">
        <f>1-AB156</f>
        <v/>
      </c>
      <c r="Q156" s="108" t="n"/>
      <c r="R156" s="108" t="n"/>
      <c r="S156" s="108">
        <f>1-AE156</f>
        <v/>
      </c>
      <c r="T156" s="108">
        <f>1-AF156</f>
        <v/>
      </c>
      <c r="U156" s="108">
        <f>1-AG156</f>
        <v/>
      </c>
      <c r="V156" s="108">
        <f>1-AH156</f>
        <v/>
      </c>
      <c r="W156" s="108">
        <f>1-AI156</f>
        <v/>
      </c>
      <c r="X156" s="108">
        <f>ABS(AJ156-AJ$1)</f>
        <v/>
      </c>
      <c r="Y156" s="108">
        <f>AVERAGE(Z156:AB156)</f>
        <v/>
      </c>
      <c r="Z156" s="108">
        <f>ABS(AL156-AL$1)</f>
        <v/>
      </c>
      <c r="AA156" s="108">
        <f>ABS(AM156-AM$1)</f>
        <v/>
      </c>
      <c r="AB156" s="108">
        <f>ABS(AN156-AN$1)</f>
        <v/>
      </c>
      <c r="AC156" s="108" t="n"/>
      <c r="AD156" s="108" t="n"/>
      <c r="AE156" s="108">
        <f>ABS(AQ$1-AQ156)</f>
        <v/>
      </c>
      <c r="AF156" s="108">
        <f>ABS(AR$1-AR156)</f>
        <v/>
      </c>
      <c r="AG156" s="108">
        <f>ABS(AS$1-AS156)</f>
        <v/>
      </c>
      <c r="AH156" s="108">
        <f>ABS(AT$1-AT156)</f>
        <v/>
      </c>
      <c r="AI156" s="108">
        <f>ABS(AU$1-AU156)</f>
        <v/>
      </c>
      <c r="AJ156" s="108">
        <f>(AV156-Driver!$K$179)/(Driver!$L$179-Driver!$K$179)</f>
        <v/>
      </c>
      <c r="AK156" s="108">
        <f>(AW156-Driver!$K$180)/(Driver!$L$180-Driver!$K$180)</f>
        <v/>
      </c>
      <c r="AL156" s="108">
        <f>(AX156-Driver!$K$181)/(Driver!$L$181-Driver!$K$181)</f>
        <v/>
      </c>
      <c r="AM156" s="108">
        <f>(AY156-Driver!$K$182)/(Driver!$L$182-Driver!$K$182)</f>
        <v/>
      </c>
      <c r="AN156" s="108">
        <f>(AZ156-Driver!$K$183)/(Driver!$L$183-Driver!$K$183)</f>
        <v/>
      </c>
      <c r="AO156" s="108" t="n"/>
      <c r="AP156" s="108" t="n"/>
      <c r="AQ156" s="108">
        <f>(BC156-Driver!$K$188)/(Driver!$L$188-Driver!$K$188)</f>
        <v/>
      </c>
      <c r="AR156" s="108">
        <f>MIN((BD156-Driver!$K$189)/(Driver!$L$189-Driver!$K$189),100%)</f>
        <v/>
      </c>
      <c r="AS156" s="108">
        <f>(BE156-Driver!$K$190)/(Driver!$L$190-Driver!$K$190)</f>
        <v/>
      </c>
      <c r="AT156" s="108">
        <f>(BF156-Driver!$K$191)/(Driver!$L$191-Driver!$K$191)</f>
        <v/>
      </c>
      <c r="AU156" s="108">
        <f>(BG156-Driver!$K$192)/(Driver!$L$192-Driver!$K$192)</f>
        <v/>
      </c>
      <c r="AV156" s="105">
        <f>IFERROR(BM156*BJ156^1/4,"")</f>
        <v/>
      </c>
      <c r="AW156" s="105">
        <f>IFERROR(SUM(AX156:AZ156),"")</f>
        <v/>
      </c>
      <c r="AX156" s="105">
        <f>IFERROR(BH156,"")</f>
        <v/>
      </c>
      <c r="AY156" s="105">
        <f>IFERROR(Driver!$K$19/Data!BH156/Data!BI156*Data!BK156*Data!BL156,"")</f>
        <v/>
      </c>
      <c r="AZ156" s="105">
        <f>IFERROR(BI156*BN156,"")</f>
        <v/>
      </c>
      <c r="BA156" s="105" t="n"/>
      <c r="BB156" s="105" t="n"/>
      <c r="BC156" s="105">
        <f>IFERROR(BI156*BN156*BK156/BJ156^(1/2),"")</f>
        <v/>
      </c>
      <c r="BD156" s="105">
        <f>IFERROR(BH156*BM156*BL156/BJ156/BK156,"")</f>
        <v/>
      </c>
      <c r="BE156" s="105">
        <f>IFERROR(MIN(BI156/BQ156/BP156/BO156/BH156,$BE$1),"")</f>
        <v/>
      </c>
      <c r="BF156" s="105">
        <f>IFERROR(BJ156*BO156*BP156/BK156,"")</f>
        <v/>
      </c>
      <c r="BG156" s="105">
        <f>IFERROR(1/BM156/BH156*BQ156,"")</f>
        <v/>
      </c>
      <c r="BH156" s="102">
        <f>MAX((CE156-Driver!$F$200)/(Driver!$G$200-Driver!$F$200)*$BI$1,1)</f>
        <v/>
      </c>
      <c r="BI156" s="102">
        <f>MAX($BI$1*(BY156-Driver!$F$201)/(Driver!$G$201-Driver!$F$201),1)</f>
        <v/>
      </c>
      <c r="BJ156" s="102">
        <f>(CB156-Driver!$F$206)/(Driver!$G$206-Driver!$F$206)*$BI$1</f>
        <v/>
      </c>
      <c r="BK156" s="102">
        <f>(CD156-Driver!$F$203)/(Driver!$G$203-Driver!$F$203)*$BI$1</f>
        <v/>
      </c>
      <c r="BL156" s="102">
        <f>MAX((CR156-Driver!$F$202)/(Driver!$G$202-Driver!$F$202)*$BI$1,1)</f>
        <v/>
      </c>
      <c r="BM156" s="102">
        <f>MAX((CH156-Driver!$F$204)/(Driver!$G$204-Driver!$F$204)*$BI$1,1)</f>
        <v/>
      </c>
      <c r="BN156" s="102">
        <f>(CI156-Driver!$F$205)/(Driver!$G$205-Driver!$F$205)*$BI$1</f>
        <v/>
      </c>
      <c r="BO156" s="102">
        <f>(CK156-Driver!$F$207)/(Driver!$G$207-Driver!$F$207)*$BI$1</f>
        <v/>
      </c>
      <c r="BP156" s="102">
        <f>(CM156-Driver!$F$208)/(Driver!$G$208-Driver!$F$208)*$BI$1</f>
        <v/>
      </c>
      <c r="BQ156" s="102">
        <f>(CL156-Driver!$F$209)/(Driver!$G$209-Driver!$F$209)*$BI$1</f>
        <v/>
      </c>
      <c r="BR156" s="40" t="inlineStr">
        <is>
          <t>21/22</t>
        </is>
      </c>
      <c r="BS156" s="10" t="inlineStr">
        <is>
          <t xml:space="preserve"> Völkl</t>
        </is>
      </c>
      <c r="BT156" s="11" t="inlineStr">
        <is>
          <t>Blaze 106 W</t>
        </is>
      </c>
      <c r="BU156" s="13" t="n">
        <v>165</v>
      </c>
      <c r="BV156" s="11" t="inlineStr">
        <is>
          <t xml:space="preserve"> Women's</t>
        </is>
      </c>
      <c r="BW156" s="13" t="n">
        <v>165</v>
      </c>
      <c r="BX156" s="13" t="n">
        <v>164.2</v>
      </c>
      <c r="BY156" s="13" t="n">
        <v>90</v>
      </c>
      <c r="BZ156" s="13" t="n">
        <v>140</v>
      </c>
      <c r="CA156" s="13" t="n">
        <v>145</v>
      </c>
      <c r="CB156" s="13" t="n">
        <v>105</v>
      </c>
      <c r="CC156" s="13" t="n">
        <v>127</v>
      </c>
      <c r="CD156" s="13" t="n">
        <v>15</v>
      </c>
      <c r="CE156" s="13" t="n">
        <v>1626</v>
      </c>
      <c r="CF156" s="13" t="n">
        <v>1.19</v>
      </c>
      <c r="CG156" s="13" t="n">
        <v>1933</v>
      </c>
      <c r="CH156" s="13" t="n">
        <v>176</v>
      </c>
      <c r="CI156" s="13" t="n">
        <v>100</v>
      </c>
      <c r="CJ156" s="13" t="n">
        <v>53</v>
      </c>
      <c r="CK156" s="13" t="n">
        <v>458</v>
      </c>
      <c r="CL156" s="13" t="n">
        <v>23</v>
      </c>
      <c r="CM156" s="13" t="n">
        <v>289</v>
      </c>
      <c r="CN156" s="13" t="n">
        <v>0.438</v>
      </c>
      <c r="CO156" s="13" t="n">
        <v>137</v>
      </c>
      <c r="CP156" s="13" t="n">
        <v>107</v>
      </c>
      <c r="CQ156" s="13" t="n">
        <v>321</v>
      </c>
      <c r="CR156" s="13" t="n">
        <v>1</v>
      </c>
      <c r="CS156" s="13" t="n">
        <v>12.4</v>
      </c>
      <c r="CT156" s="11" t="inlineStr">
        <is>
          <t xml:space="preserve"> Powder</t>
        </is>
      </c>
      <c r="CU156" s="11" t="inlineStr">
        <is>
          <t xml:space="preserve"> Touring</t>
        </is>
      </c>
      <c r="CV156" s="13" t="n"/>
      <c r="CW156" s="13" t="n"/>
      <c r="CX156">
        <f>INDEX('Data_Price '!AG$2:AG$1266,MATCH(Data!$DN156,'Data_Price '!$AT$2:$AT$1266,0))</f>
        <v/>
      </c>
      <c r="CY156">
        <f>INDEX('Data_Price '!AH$2:AH$1266,MATCH(Data!$DN156,'Data_Price '!$AT$2:$AT$1266,0))</f>
        <v/>
      </c>
      <c r="CZ156">
        <f>INDEX('Data_Price '!AI$2:AI$1266,MATCH(Data!$DN156,'Data_Price '!$AT$2:$AT$1266,0))</f>
        <v/>
      </c>
      <c r="DA156">
        <f>INDEX('Data_Price '!AJ$2:AJ$1266,MATCH(Data!$DN156,'Data_Price '!$AT$2:$AT$1266,0))</f>
        <v/>
      </c>
      <c r="DB156">
        <f>INDEX('Data_Price '!AK$2:AK$1266,MATCH(Data!$DN156,'Data_Price '!$AT$2:$AT$1266,0))</f>
        <v/>
      </c>
      <c r="DC156">
        <f>INDEX('Data_Price '!AL$2:AL$1266,MATCH(Data!$DN156,'Data_Price '!$AT$2:$AT$1266,0))</f>
        <v/>
      </c>
      <c r="DD156">
        <f>INDEX('Data_Price '!AM$2:AM$1266,MATCH(Data!$DN156,'Data_Price '!$AT$2:$AT$1266,0))</f>
        <v/>
      </c>
      <c r="DE156">
        <f>INDEX('Data_Price '!AN$2:AN$1266,MATCH(Data!$DN156,'Data_Price '!$AT$2:$AT$1266,0))</f>
        <v/>
      </c>
      <c r="DF156">
        <f>INDEX('Data_Price '!AO$2:AO$1266,MATCH(Data!$DN156,'Data_Price '!$AT$2:$AT$1266,0))</f>
        <v/>
      </c>
      <c r="DG156">
        <f>INDEX('Data_Price '!AP$2:AP$1266,MATCH(Data!$DN156,'Data_Price '!$AT$2:$AT$1266,0))</f>
        <v/>
      </c>
      <c r="DH156">
        <f>INDEX('Data_Price '!AQ$2:AQ$1266,MATCH(Data!$DN156,'Data_Price '!$AT$2:$AT$1266,0))</f>
        <v/>
      </c>
      <c r="DI156">
        <f>INDEX('Data_Price '!AR$2:AR$1266,MATCH(Data!$DN156,'Data_Price '!$AT$2:$AT$1266,0))</f>
        <v/>
      </c>
      <c r="DJ156" s="138">
        <f>DA156</f>
        <v/>
      </c>
      <c r="DK156" s="138">
        <f>DE156</f>
        <v/>
      </c>
      <c r="DL156" s="138">
        <f>DI156</f>
        <v/>
      </c>
      <c r="DM156" s="303">
        <f>IF(LEFT(BT156,1)=" ",RIGHT(BT156,LEN(BT156)-1),BT156)</f>
        <v/>
      </c>
      <c r="DN156" s="138">
        <f>_xlfn.CONCAT(BS156,DM156,BU156,BV156)</f>
        <v/>
      </c>
      <c r="DO156" s="307" t="inlineStr">
        <is>
          <t>https://images.evo.com/imgp/250/208353/837601/volkl-blaze-106-w-skis-women-s-2022-.jpg</t>
        </is>
      </c>
    </row>
    <row r="157" ht="15.6" customHeight="1" s="184">
      <c r="B157" s="303">
        <f t="array" ref="B157">IF(OR(ISERROR(K157:P157)),FALSE,TRUE)</f>
        <v/>
      </c>
      <c r="C157" s="60">
        <f>OR(BR157=Driver!$G$50,Data!BR871=Driver!$H$50)</f>
        <v/>
      </c>
      <c r="D157" s="60">
        <f>OR(BV157=Driver!$G$51,BV157=Driver!$H$51)</f>
        <v/>
      </c>
      <c r="E157" s="60">
        <f>AND(BX157&gt;Driver!$F$54,BX157&lt;Driver!$G$54)</f>
        <v/>
      </c>
      <c r="F157" s="60">
        <f>CL157&gt;Driver!$F$56</f>
        <v/>
      </c>
      <c r="G157" s="60">
        <f>AND(CB157&gt;Driver!$F$55,CB157&lt;Driver!$G$55)</f>
        <v/>
      </c>
      <c r="H157" s="60">
        <f>AND(B157:G157)</f>
        <v/>
      </c>
      <c r="I157" s="60">
        <f>COUNTIFS($H$9:$H$1273,TRUE,$BT$9:$BT$1273,BT157)</f>
        <v/>
      </c>
      <c r="J157" s="60">
        <f t="array" ref="J157">NOT(OR(($H$9:$H$1273=TRUE)*($I$9:$I$1273&gt;0)*($BT$9:$BT$1273=BT157)*($K$9:$K$1273&gt;K157)))</f>
        <v/>
      </c>
      <c r="K157" s="108">
        <f>IFERROR(1-AVERAGE(X157:Y157),"")</f>
        <v/>
      </c>
      <c r="L157" s="108">
        <f>1-X157</f>
        <v/>
      </c>
      <c r="M157" s="108">
        <f>1-Y157</f>
        <v/>
      </c>
      <c r="N157" s="108">
        <f>1-Z157</f>
        <v/>
      </c>
      <c r="O157" s="108">
        <f>1-AA157</f>
        <v/>
      </c>
      <c r="P157" s="108">
        <f>1-AB157</f>
        <v/>
      </c>
      <c r="Q157" s="108" t="n"/>
      <c r="R157" s="108" t="n"/>
      <c r="S157" s="108">
        <f>1-AE157</f>
        <v/>
      </c>
      <c r="T157" s="108">
        <f>1-AF157</f>
        <v/>
      </c>
      <c r="U157" s="108">
        <f>1-AG157</f>
        <v/>
      </c>
      <c r="V157" s="108">
        <f>1-AH157</f>
        <v/>
      </c>
      <c r="W157" s="108">
        <f>1-AI157</f>
        <v/>
      </c>
      <c r="X157" s="108">
        <f>ABS(AJ157-AJ$1)</f>
        <v/>
      </c>
      <c r="Y157" s="108">
        <f>AVERAGE(Z157:AB157)</f>
        <v/>
      </c>
      <c r="Z157" s="108">
        <f>ABS(AL157-AL$1)</f>
        <v/>
      </c>
      <c r="AA157" s="108">
        <f>ABS(AM157-AM$1)</f>
        <v/>
      </c>
      <c r="AB157" s="108">
        <f>ABS(AN157-AN$1)</f>
        <v/>
      </c>
      <c r="AC157" s="108" t="n"/>
      <c r="AD157" s="108" t="n"/>
      <c r="AE157" s="108">
        <f>ABS(AQ$1-AQ157)</f>
        <v/>
      </c>
      <c r="AF157" s="108">
        <f>ABS(AR$1-AR157)</f>
        <v/>
      </c>
      <c r="AG157" s="108">
        <f>ABS(AS$1-AS157)</f>
        <v/>
      </c>
      <c r="AH157" s="108">
        <f>ABS(AT$1-AT157)</f>
        <v/>
      </c>
      <c r="AI157" s="108">
        <f>ABS(AU$1-AU157)</f>
        <v/>
      </c>
      <c r="AJ157" s="108">
        <f>(AV157-Driver!$K$179)/(Driver!$L$179-Driver!$K$179)</f>
        <v/>
      </c>
      <c r="AK157" s="108">
        <f>(AW157-Driver!$K$180)/(Driver!$L$180-Driver!$K$180)</f>
        <v/>
      </c>
      <c r="AL157" s="108">
        <f>(AX157-Driver!$K$181)/(Driver!$L$181-Driver!$K$181)</f>
        <v/>
      </c>
      <c r="AM157" s="108">
        <f>(AY157-Driver!$K$182)/(Driver!$L$182-Driver!$K$182)</f>
        <v/>
      </c>
      <c r="AN157" s="108">
        <f>(AZ157-Driver!$K$183)/(Driver!$L$183-Driver!$K$183)</f>
        <v/>
      </c>
      <c r="AO157" s="108" t="n"/>
      <c r="AP157" s="108" t="n"/>
      <c r="AQ157" s="108">
        <f>(BC157-Driver!$K$188)/(Driver!$L$188-Driver!$K$188)</f>
        <v/>
      </c>
      <c r="AR157" s="108">
        <f>MIN((BD157-Driver!$K$189)/(Driver!$L$189-Driver!$K$189),100%)</f>
        <v/>
      </c>
      <c r="AS157" s="108">
        <f>(BE157-Driver!$K$190)/(Driver!$L$190-Driver!$K$190)</f>
        <v/>
      </c>
      <c r="AT157" s="108">
        <f>(BF157-Driver!$K$191)/(Driver!$L$191-Driver!$K$191)</f>
        <v/>
      </c>
      <c r="AU157" s="108">
        <f>(BG157-Driver!$K$192)/(Driver!$L$192-Driver!$K$192)</f>
        <v/>
      </c>
      <c r="AV157" s="105">
        <f>IFERROR(BM157*BJ157^1/4,"")</f>
        <v/>
      </c>
      <c r="AW157" s="105">
        <f>IFERROR(SUM(AX157:AZ157),"")</f>
        <v/>
      </c>
      <c r="AX157" s="105">
        <f>IFERROR(BH157,"")</f>
        <v/>
      </c>
      <c r="AY157" s="105">
        <f>IFERROR(Driver!$K$19/Data!BH157/Data!BI157*Data!BK157*Data!BL157,"")</f>
        <v/>
      </c>
      <c r="AZ157" s="105">
        <f>IFERROR(BI157*BN157,"")</f>
        <v/>
      </c>
      <c r="BA157" s="105" t="n"/>
      <c r="BB157" s="105" t="n"/>
      <c r="BC157" s="105">
        <f>IFERROR(BI157*BN157*BK157/BJ157^(1/2),"")</f>
        <v/>
      </c>
      <c r="BD157" s="105">
        <f>IFERROR(BH157*BM157*BL157/BJ157/BK157,"")</f>
        <v/>
      </c>
      <c r="BE157" s="105">
        <f>IFERROR(MIN(BI157/BQ157/BP157/BO157/BH157,$BE$1),"")</f>
        <v/>
      </c>
      <c r="BF157" s="105">
        <f>IFERROR(BJ157*BO157*BP157/BK157,"")</f>
        <v/>
      </c>
      <c r="BG157" s="105">
        <f>IFERROR(1/BM157/BH157*BQ157,"")</f>
        <v/>
      </c>
      <c r="BH157" s="102">
        <f>MAX((CE157-Driver!$F$200)/(Driver!$G$200-Driver!$F$200)*$BI$1,1)</f>
        <v/>
      </c>
      <c r="BI157" s="102">
        <f>MAX($BI$1*(BY157-Driver!$F$201)/(Driver!$G$201-Driver!$F$201),1)</f>
        <v/>
      </c>
      <c r="BJ157" s="102">
        <f>(CB157-Driver!$F$206)/(Driver!$G$206-Driver!$F$206)*$BI$1</f>
        <v/>
      </c>
      <c r="BK157" s="102">
        <f>(CD157-Driver!$F$203)/(Driver!$G$203-Driver!$F$203)*$BI$1</f>
        <v/>
      </c>
      <c r="BL157" s="102">
        <f>MAX((CR157-Driver!$F$202)/(Driver!$G$202-Driver!$F$202)*$BI$1,1)</f>
        <v/>
      </c>
      <c r="BM157" s="102">
        <f>MAX((CH157-Driver!$F$204)/(Driver!$G$204-Driver!$F$204)*$BI$1,1)</f>
        <v/>
      </c>
      <c r="BN157" s="102">
        <f>(CI157-Driver!$F$205)/(Driver!$G$205-Driver!$F$205)*$BI$1</f>
        <v/>
      </c>
      <c r="BO157" s="102">
        <f>(CK157-Driver!$F$207)/(Driver!$G$207-Driver!$F$207)*$BI$1</f>
        <v/>
      </c>
      <c r="BP157" s="102">
        <f>(CM157-Driver!$F$208)/(Driver!$G$208-Driver!$F$208)*$BI$1</f>
        <v/>
      </c>
      <c r="BQ157" s="102">
        <f>(CL157-Driver!$F$209)/(Driver!$G$209-Driver!$F$209)*$BI$1</f>
        <v/>
      </c>
      <c r="BR157" s="40" t="inlineStr">
        <is>
          <t>21/22</t>
        </is>
      </c>
      <c r="BS157" s="10" t="inlineStr">
        <is>
          <t xml:space="preserve"> Line</t>
        </is>
      </c>
      <c r="BT157" s="11" t="inlineStr">
        <is>
          <t xml:space="preserve"> Sir Francis Bacon Shorty</t>
        </is>
      </c>
      <c r="BU157" s="13" t="n">
        <v>155</v>
      </c>
      <c r="BV157" s="11" t="inlineStr">
        <is>
          <t xml:space="preserve"> Junior</t>
        </is>
      </c>
      <c r="BW157" s="13" t="n">
        <v>155</v>
      </c>
      <c r="BX157" s="13" t="n">
        <v>152.3</v>
      </c>
      <c r="BY157" s="13" t="n">
        <v>76</v>
      </c>
      <c r="BZ157" s="13" t="n">
        <v>119</v>
      </c>
      <c r="CA157" s="13" t="n">
        <v>132</v>
      </c>
      <c r="CB157" s="13" t="n">
        <v>106</v>
      </c>
      <c r="CC157" s="13" t="n">
        <v>129</v>
      </c>
      <c r="CD157" s="13" t="n">
        <v>13.2</v>
      </c>
      <c r="CE157" s="13" t="n">
        <v>1682</v>
      </c>
      <c r="CF157" s="13" t="n">
        <v>1.05</v>
      </c>
      <c r="CG157" s="13" t="n">
        <v>1761</v>
      </c>
      <c r="CH157" s="13" t="n">
        <v>177</v>
      </c>
      <c r="CI157" s="13" t="n">
        <v>87</v>
      </c>
      <c r="CJ157" s="13" t="n">
        <v>52</v>
      </c>
      <c r="CK157" s="13" t="n">
        <v>366</v>
      </c>
      <c r="CL157" s="13" t="n">
        <v>50</v>
      </c>
      <c r="CM157" s="13" t="n">
        <v>400</v>
      </c>
      <c r="CN157" s="13" t="n">
        <v>0.957</v>
      </c>
      <c r="CO157" s="13" t="n">
        <v>179</v>
      </c>
      <c r="CP157" s="13" t="n">
        <v>158</v>
      </c>
      <c r="CQ157" s="13" t="n">
        <v>186</v>
      </c>
      <c r="CR157" s="13" t="n">
        <v>1</v>
      </c>
      <c r="CS157" s="13" t="n">
        <v>3.5</v>
      </c>
      <c r="CT157" s="11" t="inlineStr">
        <is>
          <t xml:space="preserve"> Freeski</t>
        </is>
      </c>
      <c r="CU157" s="11" t="inlineStr">
        <is>
          <t xml:space="preserve"> Powder</t>
        </is>
      </c>
      <c r="CV157" s="13" t="n"/>
      <c r="CW157" s="13" t="n"/>
      <c r="CX157">
        <f>INDEX('Data_Price '!AG$2:AG$1266,MATCH(Data!$DN157,'Data_Price '!$AT$2:$AT$1266,0))</f>
        <v/>
      </c>
      <c r="CY157">
        <f>INDEX('Data_Price '!AH$2:AH$1266,MATCH(Data!$DN157,'Data_Price '!$AT$2:$AT$1266,0))</f>
        <v/>
      </c>
      <c r="CZ157">
        <f>INDEX('Data_Price '!AI$2:AI$1266,MATCH(Data!$DN157,'Data_Price '!$AT$2:$AT$1266,0))</f>
        <v/>
      </c>
      <c r="DA157">
        <f>INDEX('Data_Price '!AJ$2:AJ$1266,MATCH(Data!$DN157,'Data_Price '!$AT$2:$AT$1266,0))</f>
        <v/>
      </c>
      <c r="DB157">
        <f>INDEX('Data_Price '!AK$2:AK$1266,MATCH(Data!$DN157,'Data_Price '!$AT$2:$AT$1266,0))</f>
        <v/>
      </c>
      <c r="DC157">
        <f>INDEX('Data_Price '!AL$2:AL$1266,MATCH(Data!$DN157,'Data_Price '!$AT$2:$AT$1266,0))</f>
        <v/>
      </c>
      <c r="DD157">
        <f>INDEX('Data_Price '!AM$2:AM$1266,MATCH(Data!$DN157,'Data_Price '!$AT$2:$AT$1266,0))</f>
        <v/>
      </c>
      <c r="DE157">
        <f>INDEX('Data_Price '!AN$2:AN$1266,MATCH(Data!$DN157,'Data_Price '!$AT$2:$AT$1266,0))</f>
        <v/>
      </c>
      <c r="DF157">
        <f>INDEX('Data_Price '!AO$2:AO$1266,MATCH(Data!$DN157,'Data_Price '!$AT$2:$AT$1266,0))</f>
        <v/>
      </c>
      <c r="DG157">
        <f>INDEX('Data_Price '!AP$2:AP$1266,MATCH(Data!$DN157,'Data_Price '!$AT$2:$AT$1266,0))</f>
        <v/>
      </c>
      <c r="DH157">
        <f>INDEX('Data_Price '!AQ$2:AQ$1266,MATCH(Data!$DN157,'Data_Price '!$AT$2:$AT$1266,0))</f>
        <v/>
      </c>
      <c r="DI157">
        <f>INDEX('Data_Price '!AR$2:AR$1266,MATCH(Data!$DN157,'Data_Price '!$AT$2:$AT$1266,0))</f>
        <v/>
      </c>
      <c r="DJ157" s="138">
        <f>DA157</f>
        <v/>
      </c>
      <c r="DK157" s="138">
        <f>DE157</f>
        <v/>
      </c>
      <c r="DL157" s="138">
        <f>DI157</f>
        <v/>
      </c>
      <c r="DM157" s="303">
        <f>IF(LEFT(BT157,1)=" ",RIGHT(BT157,LEN(BT157)-1),BT157)</f>
        <v/>
      </c>
      <c r="DN157" s="138">
        <f>_xlfn.CONCAT(BS157,DM157,BU157,BV157)</f>
        <v/>
      </c>
      <c r="DO157" s="307" t="inlineStr">
        <is>
          <t>https://images.evo.com/imgp/250/198443/824790/line-skis-sir-francis-bacon-shorty-skis-boys-2022-.jpg</t>
        </is>
      </c>
    </row>
    <row r="158" ht="15.6" customHeight="1" s="184">
      <c r="B158" s="303">
        <f t="array" ref="B158">IF(OR(ISERROR(K158:P158)),FALSE,TRUE)</f>
        <v/>
      </c>
      <c r="C158" s="60">
        <f>OR(BR158=Driver!$G$50,Data!BR351=Driver!$H$50)</f>
        <v/>
      </c>
      <c r="D158" s="60">
        <f>OR(BV158=Driver!$G$51,BV158=Driver!$H$51)</f>
        <v/>
      </c>
      <c r="E158" s="60">
        <f>AND(BX158&gt;Driver!$F$54,BX158&lt;Driver!$G$54)</f>
        <v/>
      </c>
      <c r="F158" s="60">
        <f>CL158&gt;Driver!$F$56</f>
        <v/>
      </c>
      <c r="G158" s="60">
        <f>AND(CB158&gt;Driver!$F$55,CB158&lt;Driver!$G$55)</f>
        <v/>
      </c>
      <c r="H158" s="60">
        <f>AND(B158:G158)</f>
        <v/>
      </c>
      <c r="I158" s="60">
        <f>COUNTIFS($H$9:$H$1273,TRUE,$BT$9:$BT$1273,BT158)</f>
        <v/>
      </c>
      <c r="J158" s="60">
        <f t="array" ref="J158">NOT(OR(($H$9:$H$1273=TRUE)*($I$9:$I$1273&gt;0)*($BT$9:$BT$1273=BT158)*($K$9:$K$1273&gt;K158)))</f>
        <v/>
      </c>
      <c r="K158" s="108">
        <f>IFERROR(1-AVERAGE(X158:Y158),"")</f>
        <v/>
      </c>
      <c r="L158" s="108">
        <f>1-X158</f>
        <v/>
      </c>
      <c r="M158" s="108">
        <f>1-Y158</f>
        <v/>
      </c>
      <c r="N158" s="108">
        <f>1-Z158</f>
        <v/>
      </c>
      <c r="O158" s="108">
        <f>1-AA158</f>
        <v/>
      </c>
      <c r="P158" s="108">
        <f>1-AB158</f>
        <v/>
      </c>
      <c r="Q158" s="108" t="n"/>
      <c r="R158" s="108" t="n"/>
      <c r="S158" s="108">
        <f>1-AE158</f>
        <v/>
      </c>
      <c r="T158" s="108">
        <f>1-AF158</f>
        <v/>
      </c>
      <c r="U158" s="108">
        <f>1-AG158</f>
        <v/>
      </c>
      <c r="V158" s="108">
        <f>1-AH158</f>
        <v/>
      </c>
      <c r="W158" s="108">
        <f>1-AI158</f>
        <v/>
      </c>
      <c r="X158" s="108">
        <f>ABS(AJ158-AJ$1)</f>
        <v/>
      </c>
      <c r="Y158" s="108">
        <f>AVERAGE(Z158:AB158)</f>
        <v/>
      </c>
      <c r="Z158" s="108">
        <f>ABS(AL158-AL$1)</f>
        <v/>
      </c>
      <c r="AA158" s="108">
        <f>ABS(AM158-AM$1)</f>
        <v/>
      </c>
      <c r="AB158" s="108">
        <f>ABS(AN158-AN$1)</f>
        <v/>
      </c>
      <c r="AC158" s="108" t="n"/>
      <c r="AD158" s="108" t="n"/>
      <c r="AE158" s="108">
        <f>ABS(AQ$1-AQ158)</f>
        <v/>
      </c>
      <c r="AF158" s="108">
        <f>ABS(AR$1-AR158)</f>
        <v/>
      </c>
      <c r="AG158" s="108">
        <f>ABS(AS$1-AS158)</f>
        <v/>
      </c>
      <c r="AH158" s="108">
        <f>ABS(AT$1-AT158)</f>
        <v/>
      </c>
      <c r="AI158" s="108">
        <f>ABS(AU$1-AU158)</f>
        <v/>
      </c>
      <c r="AJ158" s="108">
        <f>(AV158-Driver!$K$179)/(Driver!$L$179-Driver!$K$179)</f>
        <v/>
      </c>
      <c r="AK158" s="108">
        <f>(AW158-Driver!$K$180)/(Driver!$L$180-Driver!$K$180)</f>
        <v/>
      </c>
      <c r="AL158" s="108">
        <f>(AX158-Driver!$K$181)/(Driver!$L$181-Driver!$K$181)</f>
        <v/>
      </c>
      <c r="AM158" s="108">
        <f>(AY158-Driver!$K$182)/(Driver!$L$182-Driver!$K$182)</f>
        <v/>
      </c>
      <c r="AN158" s="108">
        <f>(AZ158-Driver!$K$183)/(Driver!$L$183-Driver!$K$183)</f>
        <v/>
      </c>
      <c r="AO158" s="108" t="n"/>
      <c r="AP158" s="108" t="n"/>
      <c r="AQ158" s="108">
        <f>(BC158-Driver!$K$188)/(Driver!$L$188-Driver!$K$188)</f>
        <v/>
      </c>
      <c r="AR158" s="108">
        <f>MIN((BD158-Driver!$K$189)/(Driver!$L$189-Driver!$K$189),100%)</f>
        <v/>
      </c>
      <c r="AS158" s="108">
        <f>(BE158-Driver!$K$190)/(Driver!$L$190-Driver!$K$190)</f>
        <v/>
      </c>
      <c r="AT158" s="108">
        <f>(BF158-Driver!$K$191)/(Driver!$L$191-Driver!$K$191)</f>
        <v/>
      </c>
      <c r="AU158" s="108">
        <f>(BG158-Driver!$K$192)/(Driver!$L$192-Driver!$K$192)</f>
        <v/>
      </c>
      <c r="AV158" s="105">
        <f>IFERROR(BM158*BJ158^1/4,"")</f>
        <v/>
      </c>
      <c r="AW158" s="105">
        <f>IFERROR(SUM(AX158:AZ158),"")</f>
        <v/>
      </c>
      <c r="AX158" s="105">
        <f>IFERROR(BH158,"")</f>
        <v/>
      </c>
      <c r="AY158" s="105">
        <f>IFERROR(Driver!$K$19/Data!BH158/Data!BI158*Data!BK158*Data!BL158,"")</f>
        <v/>
      </c>
      <c r="AZ158" s="105">
        <f>IFERROR(BI158*BN158,"")</f>
        <v/>
      </c>
      <c r="BA158" s="105" t="n"/>
      <c r="BB158" s="105" t="n"/>
      <c r="BC158" s="105">
        <f>IFERROR(BI158*BN158*BK158/BJ158^(1/2),"")</f>
        <v/>
      </c>
      <c r="BD158" s="105">
        <f>IFERROR(BH158*BM158*BL158/BJ158/BK158,"")</f>
        <v/>
      </c>
      <c r="BE158" s="105">
        <f>IFERROR(MIN(BI158/BQ158/BP158/BO158/BH158,$BE$1),"")</f>
        <v/>
      </c>
      <c r="BF158" s="105">
        <f>IFERROR(BJ158*BO158*BP158/BK158,"")</f>
        <v/>
      </c>
      <c r="BG158" s="105">
        <f>IFERROR(1/BM158/BH158*BQ158,"")</f>
        <v/>
      </c>
      <c r="BH158" s="102">
        <f>MAX((CE158-Driver!$F$200)/(Driver!$G$200-Driver!$F$200)*$BI$1,1)</f>
        <v/>
      </c>
      <c r="BI158" s="102">
        <f>MAX($BI$1*(BY158-Driver!$F$201)/(Driver!$G$201-Driver!$F$201),1)</f>
        <v/>
      </c>
      <c r="BJ158" s="102">
        <f>(CB158-Driver!$F$206)/(Driver!$G$206-Driver!$F$206)*$BI$1</f>
        <v/>
      </c>
      <c r="BK158" s="102">
        <f>(CD158-Driver!$F$203)/(Driver!$G$203-Driver!$F$203)*$BI$1</f>
        <v/>
      </c>
      <c r="BL158" s="102">
        <f>MAX((CR158-Driver!$F$202)/(Driver!$G$202-Driver!$F$202)*$BI$1,1)</f>
        <v/>
      </c>
      <c r="BM158" s="102">
        <f>MAX((CH158-Driver!$F$204)/(Driver!$G$204-Driver!$F$204)*$BI$1,1)</f>
        <v/>
      </c>
      <c r="BN158" s="102">
        <f>(CI158-Driver!$F$205)/(Driver!$G$205-Driver!$F$205)*$BI$1</f>
        <v/>
      </c>
      <c r="BO158" s="102">
        <f>(CK158-Driver!$F$207)/(Driver!$G$207-Driver!$F$207)*$BI$1</f>
        <v/>
      </c>
      <c r="BP158" s="102">
        <f>(CM158-Driver!$F$208)/(Driver!$G$208-Driver!$F$208)*$BI$1</f>
        <v/>
      </c>
      <c r="BQ158" s="102">
        <f>(CL158-Driver!$F$209)/(Driver!$G$209-Driver!$F$209)*$BI$1</f>
        <v/>
      </c>
      <c r="BR158" s="40" t="inlineStr">
        <is>
          <t>21/22</t>
        </is>
      </c>
      <c r="BS158" s="10" t="inlineStr">
        <is>
          <t xml:space="preserve"> DPS</t>
        </is>
      </c>
      <c r="BT158" s="11" t="inlineStr">
        <is>
          <t>Pagoda Piste 90 RP</t>
        </is>
      </c>
      <c r="BU158" s="13" t="n">
        <v>171</v>
      </c>
      <c r="BV158" s="11" t="inlineStr">
        <is>
          <t xml:space="preserve"> Unisex</t>
        </is>
      </c>
      <c r="BW158" s="13" t="n">
        <v>171</v>
      </c>
      <c r="BX158" s="13" t="n">
        <v>169.2</v>
      </c>
      <c r="BY158" s="13" t="n">
        <v>124</v>
      </c>
      <c r="BZ158" s="13" t="n">
        <v>130</v>
      </c>
      <c r="CA158" s="13" t="n">
        <v>122</v>
      </c>
      <c r="CB158" s="13" t="n">
        <v>90</v>
      </c>
      <c r="CC158" s="13" t="n">
        <v>107</v>
      </c>
      <c r="CD158" s="13" t="n">
        <v>15</v>
      </c>
      <c r="CE158" s="13" t="n">
        <v>1643</v>
      </c>
      <c r="CF158" s="13" t="n">
        <v>1.04</v>
      </c>
      <c r="CG158" s="13" t="n">
        <v>1714</v>
      </c>
      <c r="CH158" s="13" t="n">
        <v>217</v>
      </c>
      <c r="CI158" s="13" t="n">
        <v>112</v>
      </c>
      <c r="CJ158" s="13" t="n">
        <v>49</v>
      </c>
      <c r="CK158" s="13" t="n">
        <v>310</v>
      </c>
      <c r="CL158" s="13" t="n">
        <v>7</v>
      </c>
      <c r="CM158" s="13" t="n">
        <v>140</v>
      </c>
      <c r="CN158" s="13" t="n">
        <v>0.148</v>
      </c>
      <c r="CO158" s="13" t="n">
        <v>199</v>
      </c>
      <c r="CP158" s="13" t="n">
        <v>197</v>
      </c>
      <c r="CQ158" s="13" t="n">
        <v>111</v>
      </c>
      <c r="CR158" s="13" t="n">
        <v>9</v>
      </c>
      <c r="CS158" s="13" t="n">
        <v>11.8</v>
      </c>
      <c r="CT158" s="11" t="inlineStr">
        <is>
          <t xml:space="preserve"> Resort Freeride</t>
        </is>
      </c>
      <c r="CU158" s="13" t="n"/>
      <c r="CV158" s="13" t="n"/>
      <c r="CW158" s="13" t="n"/>
      <c r="CX158">
        <f>INDEX('Data_Price '!AG$2:AG$1266,MATCH(Data!$DN158,'Data_Price '!$AT$2:$AT$1266,0))</f>
        <v/>
      </c>
      <c r="CY158">
        <f>INDEX('Data_Price '!AH$2:AH$1266,MATCH(Data!$DN158,'Data_Price '!$AT$2:$AT$1266,0))</f>
        <v/>
      </c>
      <c r="CZ158">
        <f>INDEX('Data_Price '!AI$2:AI$1266,MATCH(Data!$DN158,'Data_Price '!$AT$2:$AT$1266,0))</f>
        <v/>
      </c>
      <c r="DA158">
        <f>INDEX('Data_Price '!AJ$2:AJ$1266,MATCH(Data!$DN158,'Data_Price '!$AT$2:$AT$1266,0))</f>
        <v/>
      </c>
      <c r="DB158">
        <f>INDEX('Data_Price '!AK$2:AK$1266,MATCH(Data!$DN158,'Data_Price '!$AT$2:$AT$1266,0))</f>
        <v/>
      </c>
      <c r="DC158">
        <f>INDEX('Data_Price '!AL$2:AL$1266,MATCH(Data!$DN158,'Data_Price '!$AT$2:$AT$1266,0))</f>
        <v/>
      </c>
      <c r="DD158">
        <f>INDEX('Data_Price '!AM$2:AM$1266,MATCH(Data!$DN158,'Data_Price '!$AT$2:$AT$1266,0))</f>
        <v/>
      </c>
      <c r="DE158">
        <f>INDEX('Data_Price '!AN$2:AN$1266,MATCH(Data!$DN158,'Data_Price '!$AT$2:$AT$1266,0))</f>
        <v/>
      </c>
      <c r="DF158">
        <f>INDEX('Data_Price '!AO$2:AO$1266,MATCH(Data!$DN158,'Data_Price '!$AT$2:$AT$1266,0))</f>
        <v/>
      </c>
      <c r="DG158">
        <f>INDEX('Data_Price '!AP$2:AP$1266,MATCH(Data!$DN158,'Data_Price '!$AT$2:$AT$1266,0))</f>
        <v/>
      </c>
      <c r="DH158">
        <f>INDEX('Data_Price '!AQ$2:AQ$1266,MATCH(Data!$DN158,'Data_Price '!$AT$2:$AT$1266,0))</f>
        <v/>
      </c>
      <c r="DI158">
        <f>INDEX('Data_Price '!AR$2:AR$1266,MATCH(Data!$DN158,'Data_Price '!$AT$2:$AT$1266,0))</f>
        <v/>
      </c>
      <c r="DJ158" s="138">
        <f>DA158</f>
        <v/>
      </c>
      <c r="DK158" s="138">
        <f>DE158</f>
        <v/>
      </c>
      <c r="DL158" s="138">
        <f>DI158</f>
        <v/>
      </c>
      <c r="DM158" s="303">
        <f>IF(LEFT(BT158,1)=" ",RIGHT(BT158,LEN(BT158)-1),BT158)</f>
        <v/>
      </c>
      <c r="DN158" s="138">
        <f>_xlfn.CONCAT(BS158,DM158,BU158,BV158)</f>
        <v/>
      </c>
      <c r="DO158" s="307" t="n"/>
    </row>
    <row r="159" ht="15.6" customHeight="1" s="184">
      <c r="B159" s="303">
        <f t="array" ref="B159">IF(OR(ISERROR(K159:P159)),FALSE,TRUE)</f>
        <v/>
      </c>
      <c r="C159" s="60">
        <f>OR(BR159=Driver!$G$50,Data!BR211=Driver!$H$50)</f>
        <v/>
      </c>
      <c r="D159" s="60">
        <f>OR(BV159=Driver!$G$51,BV159=Driver!$H$51)</f>
        <v/>
      </c>
      <c r="E159" s="60">
        <f>AND(BX159&gt;Driver!$F$54,BX159&lt;Driver!$G$54)</f>
        <v/>
      </c>
      <c r="F159" s="60">
        <f>CL159&gt;Driver!$F$56</f>
        <v/>
      </c>
      <c r="G159" s="60">
        <f>AND(CB159&gt;Driver!$F$55,CB159&lt;Driver!$G$55)</f>
        <v/>
      </c>
      <c r="H159" s="60">
        <f>AND(B159:G159)</f>
        <v/>
      </c>
      <c r="I159" s="60">
        <f>COUNTIFS($H$9:$H$1273,TRUE,$BT$9:$BT$1273,BT159)</f>
        <v/>
      </c>
      <c r="J159" s="60">
        <f t="array" ref="J159">NOT(OR(($H$9:$H$1273=TRUE)*($I$9:$I$1273&gt;0)*($BT$9:$BT$1273=BT159)*($K$9:$K$1273&gt;K159)))</f>
        <v/>
      </c>
      <c r="K159" s="108">
        <f>IFERROR(1-AVERAGE(X159:Y159),"")</f>
        <v/>
      </c>
      <c r="L159" s="108">
        <f>1-X159</f>
        <v/>
      </c>
      <c r="M159" s="108">
        <f>1-Y159</f>
        <v/>
      </c>
      <c r="N159" s="108">
        <f>1-Z159</f>
        <v/>
      </c>
      <c r="O159" s="108">
        <f>1-AA159</f>
        <v/>
      </c>
      <c r="P159" s="108">
        <f>1-AB159</f>
        <v/>
      </c>
      <c r="Q159" s="108" t="n"/>
      <c r="R159" s="108" t="n"/>
      <c r="S159" s="108">
        <f>1-AE159</f>
        <v/>
      </c>
      <c r="T159" s="108">
        <f>1-AF159</f>
        <v/>
      </c>
      <c r="U159" s="108">
        <f>1-AG159</f>
        <v/>
      </c>
      <c r="V159" s="108">
        <f>1-AH159</f>
        <v/>
      </c>
      <c r="W159" s="108">
        <f>1-AI159</f>
        <v/>
      </c>
      <c r="X159" s="108">
        <f>ABS(AJ159-AJ$1)</f>
        <v/>
      </c>
      <c r="Y159" s="108">
        <f>AVERAGE(Z159:AB159)</f>
        <v/>
      </c>
      <c r="Z159" s="108">
        <f>ABS(AL159-AL$1)</f>
        <v/>
      </c>
      <c r="AA159" s="108">
        <f>ABS(AM159-AM$1)</f>
        <v/>
      </c>
      <c r="AB159" s="108">
        <f>ABS(AN159-AN$1)</f>
        <v/>
      </c>
      <c r="AC159" s="108" t="n"/>
      <c r="AD159" s="108" t="n"/>
      <c r="AE159" s="108">
        <f>ABS(AQ$1-AQ159)</f>
        <v/>
      </c>
      <c r="AF159" s="108">
        <f>ABS(AR$1-AR159)</f>
        <v/>
      </c>
      <c r="AG159" s="108">
        <f>ABS(AS$1-AS159)</f>
        <v/>
      </c>
      <c r="AH159" s="108">
        <f>ABS(AT$1-AT159)</f>
        <v/>
      </c>
      <c r="AI159" s="108">
        <f>ABS(AU$1-AU159)</f>
        <v/>
      </c>
      <c r="AJ159" s="108">
        <f>(AV159-Driver!$K$179)/(Driver!$L$179-Driver!$K$179)</f>
        <v/>
      </c>
      <c r="AK159" s="108">
        <f>(AW159-Driver!$K$180)/(Driver!$L$180-Driver!$K$180)</f>
        <v/>
      </c>
      <c r="AL159" s="108">
        <f>(AX159-Driver!$K$181)/(Driver!$L$181-Driver!$K$181)</f>
        <v/>
      </c>
      <c r="AM159" s="108">
        <f>(AY159-Driver!$K$182)/(Driver!$L$182-Driver!$K$182)</f>
        <v/>
      </c>
      <c r="AN159" s="108">
        <f>(AZ159-Driver!$K$183)/(Driver!$L$183-Driver!$K$183)</f>
        <v/>
      </c>
      <c r="AO159" s="108" t="n"/>
      <c r="AP159" s="108" t="n"/>
      <c r="AQ159" s="108">
        <f>(BC159-Driver!$K$188)/(Driver!$L$188-Driver!$K$188)</f>
        <v/>
      </c>
      <c r="AR159" s="108">
        <f>MIN((BD159-Driver!$K$189)/(Driver!$L$189-Driver!$K$189),100%)</f>
        <v/>
      </c>
      <c r="AS159" s="108">
        <f>(BE159-Driver!$K$190)/(Driver!$L$190-Driver!$K$190)</f>
        <v/>
      </c>
      <c r="AT159" s="108">
        <f>(BF159-Driver!$K$191)/(Driver!$L$191-Driver!$K$191)</f>
        <v/>
      </c>
      <c r="AU159" s="108">
        <f>(BG159-Driver!$K$192)/(Driver!$L$192-Driver!$K$192)</f>
        <v/>
      </c>
      <c r="AV159" s="105">
        <f>IFERROR(BM159*BJ159^1/4,"")</f>
        <v/>
      </c>
      <c r="AW159" s="105">
        <f>IFERROR(SUM(AX159:AZ159),"")</f>
        <v/>
      </c>
      <c r="AX159" s="105">
        <f>IFERROR(BH159,"")</f>
        <v/>
      </c>
      <c r="AY159" s="105">
        <f>IFERROR(Driver!$K$19/Data!BH159/Data!BI159*Data!BK159*Data!BL159,"")</f>
        <v/>
      </c>
      <c r="AZ159" s="105">
        <f>IFERROR(BI159*BN159,"")</f>
        <v/>
      </c>
      <c r="BA159" s="105" t="n"/>
      <c r="BB159" s="105" t="n"/>
      <c r="BC159" s="105">
        <f>IFERROR(BI159*BN159*BK159/BJ159^(1/2),"")</f>
        <v/>
      </c>
      <c r="BD159" s="105">
        <f>IFERROR(BH159*BM159*BL159/BJ159/BK159,"")</f>
        <v/>
      </c>
      <c r="BE159" s="105">
        <f>IFERROR(MIN(BI159/BQ159/BP159/BO159/BH159,$BE$1),"")</f>
        <v/>
      </c>
      <c r="BF159" s="105">
        <f>IFERROR(BJ159*BO159*BP159/BK159,"")</f>
        <v/>
      </c>
      <c r="BG159" s="105">
        <f>IFERROR(1/BM159/BH159*BQ159,"")</f>
        <v/>
      </c>
      <c r="BH159" s="102">
        <f>MAX((CE159-Driver!$F$200)/(Driver!$G$200-Driver!$F$200)*$BI$1,1)</f>
        <v/>
      </c>
      <c r="BI159" s="102">
        <f>MAX($BI$1*(BY159-Driver!$F$201)/(Driver!$G$201-Driver!$F$201),1)</f>
        <v/>
      </c>
      <c r="BJ159" s="102">
        <f>(CB159-Driver!$F$206)/(Driver!$G$206-Driver!$F$206)*$BI$1</f>
        <v/>
      </c>
      <c r="BK159" s="102">
        <f>(CD159-Driver!$F$203)/(Driver!$G$203-Driver!$F$203)*$BI$1</f>
        <v/>
      </c>
      <c r="BL159" s="102">
        <f>MAX((CR159-Driver!$F$202)/(Driver!$G$202-Driver!$F$202)*$BI$1,1)</f>
        <v/>
      </c>
      <c r="BM159" s="102">
        <f>MAX((CH159-Driver!$F$204)/(Driver!$G$204-Driver!$F$204)*$BI$1,1)</f>
        <v/>
      </c>
      <c r="BN159" s="102">
        <f>(CI159-Driver!$F$205)/(Driver!$G$205-Driver!$F$205)*$BI$1</f>
        <v/>
      </c>
      <c r="BO159" s="102">
        <f>(CK159-Driver!$F$207)/(Driver!$G$207-Driver!$F$207)*$BI$1</f>
        <v/>
      </c>
      <c r="BP159" s="102">
        <f>(CM159-Driver!$F$208)/(Driver!$G$208-Driver!$F$208)*$BI$1</f>
        <v/>
      </c>
      <c r="BQ159" s="102">
        <f>(CL159-Driver!$F$209)/(Driver!$G$209-Driver!$F$209)*$BI$1</f>
        <v/>
      </c>
      <c r="BR159" s="40" t="inlineStr">
        <is>
          <t>21/22</t>
        </is>
      </c>
      <c r="BS159" s="10" t="inlineStr">
        <is>
          <t xml:space="preserve"> Black Crows</t>
        </is>
      </c>
      <c r="BT159" s="11" t="inlineStr">
        <is>
          <t xml:space="preserve"> Camox Freebird</t>
        </is>
      </c>
      <c r="BU159" s="13" t="n">
        <v>172.2</v>
      </c>
      <c r="BV159" s="11" t="inlineStr">
        <is>
          <t xml:space="preserve"> Unisex</t>
        </is>
      </c>
      <c r="BW159" s="13" t="n">
        <v>172.2</v>
      </c>
      <c r="BX159" s="13" t="n">
        <v>171.3</v>
      </c>
      <c r="BY159" s="13" t="n">
        <v>132</v>
      </c>
      <c r="BZ159" s="13" t="n">
        <v>144</v>
      </c>
      <c r="CA159" s="13" t="n">
        <v>132</v>
      </c>
      <c r="CB159" s="13" t="n">
        <v>95</v>
      </c>
      <c r="CC159" s="13" t="n">
        <v>114</v>
      </c>
      <c r="CD159" s="13" t="n">
        <v>17.1</v>
      </c>
      <c r="CE159" s="13" t="n">
        <v>1468</v>
      </c>
      <c r="CF159" s="13" t="n">
        <v>1.24</v>
      </c>
      <c r="CG159" s="13" t="n">
        <v>1822</v>
      </c>
      <c r="CH159" s="13" t="n">
        <v>192</v>
      </c>
      <c r="CI159" s="13" t="n">
        <v>99</v>
      </c>
      <c r="CJ159" s="13" t="n">
        <v>43</v>
      </c>
      <c r="CK159" s="13" t="n">
        <v>252</v>
      </c>
      <c r="CL159" s="13" t="n">
        <v>11</v>
      </c>
      <c r="CM159" s="13" t="n">
        <v>137</v>
      </c>
      <c r="CN159" s="13" t="n">
        <v>0.259</v>
      </c>
      <c r="CO159" s="13" t="n">
        <v>164</v>
      </c>
      <c r="CP159" s="13" t="n">
        <v>110</v>
      </c>
      <c r="CQ159" s="13" t="n">
        <v>88</v>
      </c>
      <c r="CR159" s="13" t="n">
        <v>9</v>
      </c>
      <c r="CS159" s="13" t="n">
        <v>9.4</v>
      </c>
      <c r="CT159" s="11" t="inlineStr">
        <is>
          <t xml:space="preserve"> Resort Freeride</t>
        </is>
      </c>
      <c r="CU159" s="11" t="inlineStr">
        <is>
          <t xml:space="preserve"> Touring</t>
        </is>
      </c>
      <c r="CV159" s="13" t="n"/>
      <c r="CW159" s="13" t="n"/>
      <c r="CX159">
        <f>INDEX('Data_Price '!AG$2:AG$1266,MATCH(Data!$DN159,'Data_Price '!$AT$2:$AT$1266,0))</f>
        <v/>
      </c>
      <c r="CY159">
        <f>INDEX('Data_Price '!AH$2:AH$1266,MATCH(Data!$DN159,'Data_Price '!$AT$2:$AT$1266,0))</f>
        <v/>
      </c>
      <c r="CZ159">
        <f>INDEX('Data_Price '!AI$2:AI$1266,MATCH(Data!$DN159,'Data_Price '!$AT$2:$AT$1266,0))</f>
        <v/>
      </c>
      <c r="DA159">
        <f>INDEX('Data_Price '!AJ$2:AJ$1266,MATCH(Data!$DN159,'Data_Price '!$AT$2:$AT$1266,0))</f>
        <v/>
      </c>
      <c r="DB159">
        <f>INDEX('Data_Price '!AK$2:AK$1266,MATCH(Data!$DN159,'Data_Price '!$AT$2:$AT$1266,0))</f>
        <v/>
      </c>
      <c r="DC159">
        <f>INDEX('Data_Price '!AL$2:AL$1266,MATCH(Data!$DN159,'Data_Price '!$AT$2:$AT$1266,0))</f>
        <v/>
      </c>
      <c r="DD159">
        <f>INDEX('Data_Price '!AM$2:AM$1266,MATCH(Data!$DN159,'Data_Price '!$AT$2:$AT$1266,0))</f>
        <v/>
      </c>
      <c r="DE159">
        <f>INDEX('Data_Price '!AN$2:AN$1266,MATCH(Data!$DN159,'Data_Price '!$AT$2:$AT$1266,0))</f>
        <v/>
      </c>
      <c r="DF159">
        <f>INDEX('Data_Price '!AO$2:AO$1266,MATCH(Data!$DN159,'Data_Price '!$AT$2:$AT$1266,0))</f>
        <v/>
      </c>
      <c r="DG159">
        <f>INDEX('Data_Price '!AP$2:AP$1266,MATCH(Data!$DN159,'Data_Price '!$AT$2:$AT$1266,0))</f>
        <v/>
      </c>
      <c r="DH159">
        <f>INDEX('Data_Price '!AQ$2:AQ$1266,MATCH(Data!$DN159,'Data_Price '!$AT$2:$AT$1266,0))</f>
        <v/>
      </c>
      <c r="DI159">
        <f>INDEX('Data_Price '!AR$2:AR$1266,MATCH(Data!$DN159,'Data_Price '!$AT$2:$AT$1266,0))</f>
        <v/>
      </c>
      <c r="DJ159" s="138">
        <f>DA159</f>
        <v/>
      </c>
      <c r="DK159" s="138">
        <f>DE159</f>
        <v/>
      </c>
      <c r="DL159" s="138">
        <f>DI159</f>
        <v/>
      </c>
      <c r="DM159" s="303">
        <f>IF(LEFT(BT159,1)=" ",RIGHT(BT159,LEN(BT159)-1),BT159)</f>
        <v/>
      </c>
      <c r="DN159" s="138">
        <f>_xlfn.CONCAT(BS159,DM159,BU159,BV159)</f>
        <v/>
      </c>
      <c r="DO159" s="307" t="inlineStr">
        <is>
          <t>https://images.evo.com/imgp/250/164658/659367/black-crows-camox-freebird-skis-2022-.jpg</t>
        </is>
      </c>
    </row>
    <row r="160" ht="15.6" customHeight="1" s="184">
      <c r="B160" s="303">
        <f t="array" ref="B160">IF(OR(ISERROR(K160:P160)),FALSE,TRUE)</f>
        <v/>
      </c>
      <c r="C160" s="60">
        <f>OR(BR160=Driver!$G$50,Data!BR356=Driver!$H$50)</f>
        <v/>
      </c>
      <c r="D160" s="60">
        <f>OR(BV160=Driver!$G$51,BV160=Driver!$H$51)</f>
        <v/>
      </c>
      <c r="E160" s="60">
        <f>AND(BX160&gt;Driver!$F$54,BX160&lt;Driver!$G$54)</f>
        <v/>
      </c>
      <c r="F160" s="60">
        <f>CL160&gt;Driver!$F$56</f>
        <v/>
      </c>
      <c r="G160" s="60">
        <f>AND(CB160&gt;Driver!$F$55,CB160&lt;Driver!$G$55)</f>
        <v/>
      </c>
      <c r="H160" s="60">
        <f>AND(B160:G160)</f>
        <v/>
      </c>
      <c r="I160" s="60">
        <f>COUNTIFS($H$9:$H$1273,TRUE,$BT$9:$BT$1273,BT160)</f>
        <v/>
      </c>
      <c r="J160" s="60">
        <f t="array" ref="J160">NOT(OR(($H$9:$H$1273=TRUE)*($I$9:$I$1273&gt;0)*($BT$9:$BT$1273=BT160)*($K$9:$K$1273&gt;K160)))</f>
        <v/>
      </c>
      <c r="K160" s="108">
        <f>IFERROR(1-AVERAGE(X160:Y160),"")</f>
        <v/>
      </c>
      <c r="L160" s="108">
        <f>1-X160</f>
        <v/>
      </c>
      <c r="M160" s="108">
        <f>1-Y160</f>
        <v/>
      </c>
      <c r="N160" s="108">
        <f>1-Z160</f>
        <v/>
      </c>
      <c r="O160" s="108">
        <f>1-AA160</f>
        <v/>
      </c>
      <c r="P160" s="108">
        <f>1-AB160</f>
        <v/>
      </c>
      <c r="Q160" s="108" t="n"/>
      <c r="R160" s="108" t="n"/>
      <c r="S160" s="108">
        <f>1-AE160</f>
        <v/>
      </c>
      <c r="T160" s="108">
        <f>1-AF160</f>
        <v/>
      </c>
      <c r="U160" s="108">
        <f>1-AG160</f>
        <v/>
      </c>
      <c r="V160" s="108">
        <f>1-AH160</f>
        <v/>
      </c>
      <c r="W160" s="108">
        <f>1-AI160</f>
        <v/>
      </c>
      <c r="X160" s="108">
        <f>ABS(AJ160-AJ$1)</f>
        <v/>
      </c>
      <c r="Y160" s="108">
        <f>AVERAGE(Z160:AB160)</f>
        <v/>
      </c>
      <c r="Z160" s="108">
        <f>ABS(AL160-AL$1)</f>
        <v/>
      </c>
      <c r="AA160" s="108">
        <f>ABS(AM160-AM$1)</f>
        <v/>
      </c>
      <c r="AB160" s="108">
        <f>ABS(AN160-AN$1)</f>
        <v/>
      </c>
      <c r="AC160" s="108" t="n"/>
      <c r="AD160" s="108" t="n"/>
      <c r="AE160" s="108">
        <f>ABS(AQ$1-AQ160)</f>
        <v/>
      </c>
      <c r="AF160" s="108">
        <f>ABS(AR$1-AR160)</f>
        <v/>
      </c>
      <c r="AG160" s="108">
        <f>ABS(AS$1-AS160)</f>
        <v/>
      </c>
      <c r="AH160" s="108">
        <f>ABS(AT$1-AT160)</f>
        <v/>
      </c>
      <c r="AI160" s="108">
        <f>ABS(AU$1-AU160)</f>
        <v/>
      </c>
      <c r="AJ160" s="108">
        <f>(AV160-Driver!$K$179)/(Driver!$L$179-Driver!$K$179)</f>
        <v/>
      </c>
      <c r="AK160" s="108">
        <f>(AW160-Driver!$K$180)/(Driver!$L$180-Driver!$K$180)</f>
        <v/>
      </c>
      <c r="AL160" s="108">
        <f>(AX160-Driver!$K$181)/(Driver!$L$181-Driver!$K$181)</f>
        <v/>
      </c>
      <c r="AM160" s="108">
        <f>(AY160-Driver!$K$182)/(Driver!$L$182-Driver!$K$182)</f>
        <v/>
      </c>
      <c r="AN160" s="108">
        <f>(AZ160-Driver!$K$183)/(Driver!$L$183-Driver!$K$183)</f>
        <v/>
      </c>
      <c r="AO160" s="108" t="n"/>
      <c r="AP160" s="108" t="n"/>
      <c r="AQ160" s="108">
        <f>(BC160-Driver!$K$188)/(Driver!$L$188-Driver!$K$188)</f>
        <v/>
      </c>
      <c r="AR160" s="108">
        <f>MIN((BD160-Driver!$K$189)/(Driver!$L$189-Driver!$K$189),100%)</f>
        <v/>
      </c>
      <c r="AS160" s="108">
        <f>(BE160-Driver!$K$190)/(Driver!$L$190-Driver!$K$190)</f>
        <v/>
      </c>
      <c r="AT160" s="108">
        <f>(BF160-Driver!$K$191)/(Driver!$L$191-Driver!$K$191)</f>
        <v/>
      </c>
      <c r="AU160" s="108">
        <f>(BG160-Driver!$K$192)/(Driver!$L$192-Driver!$K$192)</f>
        <v/>
      </c>
      <c r="AV160" s="105">
        <f>IFERROR(BM160*BJ160^1/4,"")</f>
        <v/>
      </c>
      <c r="AW160" s="105">
        <f>IFERROR(SUM(AX160:AZ160),"")</f>
        <v/>
      </c>
      <c r="AX160" s="105">
        <f>IFERROR(BH160,"")</f>
        <v/>
      </c>
      <c r="AY160" s="105">
        <f>IFERROR(Driver!$K$19/Data!BH160/Data!BI160*Data!BK160*Data!BL160,"")</f>
        <v/>
      </c>
      <c r="AZ160" s="105">
        <f>IFERROR(BI160*BN160,"")</f>
        <v/>
      </c>
      <c r="BA160" s="105" t="n"/>
      <c r="BB160" s="105" t="n"/>
      <c r="BC160" s="105">
        <f>IFERROR(BI160*BN160*BK160/BJ160^(1/2),"")</f>
        <v/>
      </c>
      <c r="BD160" s="105">
        <f>IFERROR(BH160*BM160*BL160/BJ160/BK160,"")</f>
        <v/>
      </c>
      <c r="BE160" s="105">
        <f>IFERROR(MIN(BI160/BQ160/BP160/BO160/BH160,$BE$1),"")</f>
        <v/>
      </c>
      <c r="BF160" s="105">
        <f>IFERROR(BJ160*BO160*BP160/BK160,"")</f>
        <v/>
      </c>
      <c r="BG160" s="105">
        <f>IFERROR(1/BM160/BH160*BQ160,"")</f>
        <v/>
      </c>
      <c r="BH160" s="102">
        <f>MAX((CE160-Driver!$F$200)/(Driver!$G$200-Driver!$F$200)*$BI$1,1)</f>
        <v/>
      </c>
      <c r="BI160" s="102">
        <f>MAX($BI$1*(BY160-Driver!$F$201)/(Driver!$G$201-Driver!$F$201),1)</f>
        <v/>
      </c>
      <c r="BJ160" s="102">
        <f>(CB160-Driver!$F$206)/(Driver!$G$206-Driver!$F$206)*$BI$1</f>
        <v/>
      </c>
      <c r="BK160" s="102">
        <f>(CD160-Driver!$F$203)/(Driver!$G$203-Driver!$F$203)*$BI$1</f>
        <v/>
      </c>
      <c r="BL160" s="102">
        <f>MAX((CR160-Driver!$F$202)/(Driver!$G$202-Driver!$F$202)*$BI$1,1)</f>
        <v/>
      </c>
      <c r="BM160" s="102">
        <f>MAX((CH160-Driver!$F$204)/(Driver!$G$204-Driver!$F$204)*$BI$1,1)</f>
        <v/>
      </c>
      <c r="BN160" s="102">
        <f>(CI160-Driver!$F$205)/(Driver!$G$205-Driver!$F$205)*$BI$1</f>
        <v/>
      </c>
      <c r="BO160" s="102">
        <f>(CK160-Driver!$F$207)/(Driver!$G$207-Driver!$F$207)*$BI$1</f>
        <v/>
      </c>
      <c r="BP160" s="102">
        <f>(CM160-Driver!$F$208)/(Driver!$G$208-Driver!$F$208)*$BI$1</f>
        <v/>
      </c>
      <c r="BQ160" s="102">
        <f>(CL160-Driver!$F$209)/(Driver!$G$209-Driver!$F$209)*$BI$1</f>
        <v/>
      </c>
      <c r="BR160" s="40" t="inlineStr">
        <is>
          <t>21/22</t>
        </is>
      </c>
      <c r="BS160" s="10" t="inlineStr">
        <is>
          <t xml:space="preserve"> DPS</t>
        </is>
      </c>
      <c r="BT160" s="11" t="inlineStr">
        <is>
          <t>Pagoda Tour 100 RP</t>
        </is>
      </c>
      <c r="BU160" s="13" t="n">
        <v>171</v>
      </c>
      <c r="BV160" s="11" t="inlineStr">
        <is>
          <t xml:space="preserve"> Unisex</t>
        </is>
      </c>
      <c r="BW160" s="13" t="n">
        <v>171</v>
      </c>
      <c r="BX160" s="13" t="n">
        <v>169.5</v>
      </c>
      <c r="BY160" s="13" t="n">
        <v>115</v>
      </c>
      <c r="BZ160" s="13" t="n">
        <v>125</v>
      </c>
      <c r="CA160" s="13" t="n">
        <v>129</v>
      </c>
      <c r="CB160" s="13" t="n">
        <v>100</v>
      </c>
      <c r="CC160" s="13" t="n">
        <v>115</v>
      </c>
      <c r="CD160" s="13" t="n">
        <v>15</v>
      </c>
      <c r="CE160" s="13" t="n">
        <v>1431</v>
      </c>
      <c r="CF160" s="13" t="n">
        <v>1.3</v>
      </c>
      <c r="CG160" s="13" t="n">
        <v>1861</v>
      </c>
      <c r="CH160" s="13" t="n">
        <v>203</v>
      </c>
      <c r="CI160" s="13" t="n">
        <v>94</v>
      </c>
      <c r="CJ160" s="13" t="n">
        <v>57</v>
      </c>
      <c r="CK160" s="13" t="n">
        <v>332</v>
      </c>
      <c r="CL160" s="13" t="n">
        <v>12</v>
      </c>
      <c r="CM160" s="13" t="n">
        <v>210</v>
      </c>
      <c r="CN160" s="13" t="n">
        <v>0.209</v>
      </c>
      <c r="CO160" s="13" t="n">
        <v>230</v>
      </c>
      <c r="CP160" s="13" t="n">
        <v>213</v>
      </c>
      <c r="CQ160" s="13" t="n">
        <v>102</v>
      </c>
      <c r="CR160" s="13" t="n">
        <v>6</v>
      </c>
      <c r="CS160" s="13" t="n">
        <v>11.9</v>
      </c>
      <c r="CT160" s="11" t="inlineStr">
        <is>
          <t xml:space="preserve"> Touring</t>
        </is>
      </c>
      <c r="CU160" s="11" t="inlineStr">
        <is>
          <t xml:space="preserve"> Ultralight Touring</t>
        </is>
      </c>
      <c r="CV160" s="13" t="n"/>
      <c r="CW160" s="13" t="n"/>
      <c r="CX160">
        <f>INDEX('Data_Price '!AG$2:AG$1266,MATCH(Data!$DN160,'Data_Price '!$AT$2:$AT$1266,0))</f>
        <v/>
      </c>
      <c r="CY160">
        <f>INDEX('Data_Price '!AH$2:AH$1266,MATCH(Data!$DN160,'Data_Price '!$AT$2:$AT$1266,0))</f>
        <v/>
      </c>
      <c r="CZ160">
        <f>INDEX('Data_Price '!AI$2:AI$1266,MATCH(Data!$DN160,'Data_Price '!$AT$2:$AT$1266,0))</f>
        <v/>
      </c>
      <c r="DA160">
        <f>INDEX('Data_Price '!AJ$2:AJ$1266,MATCH(Data!$DN160,'Data_Price '!$AT$2:$AT$1266,0))</f>
        <v/>
      </c>
      <c r="DB160">
        <f>INDEX('Data_Price '!AK$2:AK$1266,MATCH(Data!$DN160,'Data_Price '!$AT$2:$AT$1266,0))</f>
        <v/>
      </c>
      <c r="DC160">
        <f>INDEX('Data_Price '!AL$2:AL$1266,MATCH(Data!$DN160,'Data_Price '!$AT$2:$AT$1266,0))</f>
        <v/>
      </c>
      <c r="DD160">
        <f>INDEX('Data_Price '!AM$2:AM$1266,MATCH(Data!$DN160,'Data_Price '!$AT$2:$AT$1266,0))</f>
        <v/>
      </c>
      <c r="DE160">
        <f>INDEX('Data_Price '!AN$2:AN$1266,MATCH(Data!$DN160,'Data_Price '!$AT$2:$AT$1266,0))</f>
        <v/>
      </c>
      <c r="DF160">
        <f>INDEX('Data_Price '!AO$2:AO$1266,MATCH(Data!$DN160,'Data_Price '!$AT$2:$AT$1266,0))</f>
        <v/>
      </c>
      <c r="DG160">
        <f>INDEX('Data_Price '!AP$2:AP$1266,MATCH(Data!$DN160,'Data_Price '!$AT$2:$AT$1266,0))</f>
        <v/>
      </c>
      <c r="DH160">
        <f>INDEX('Data_Price '!AQ$2:AQ$1266,MATCH(Data!$DN160,'Data_Price '!$AT$2:$AT$1266,0))</f>
        <v/>
      </c>
      <c r="DI160">
        <f>INDEX('Data_Price '!AR$2:AR$1266,MATCH(Data!$DN160,'Data_Price '!$AT$2:$AT$1266,0))</f>
        <v/>
      </c>
      <c r="DJ160" s="138">
        <f>DA160</f>
        <v/>
      </c>
      <c r="DK160" s="138">
        <f>DE160</f>
        <v/>
      </c>
      <c r="DL160" s="138">
        <f>DI160</f>
        <v/>
      </c>
      <c r="DM160" s="303">
        <f>IF(LEFT(BT160,1)=" ",RIGHT(BT160,LEN(BT160)-1),BT160)</f>
        <v/>
      </c>
      <c r="DN160" s="138">
        <f>_xlfn.CONCAT(BS160,DM160,BU160,BV160)</f>
        <v/>
      </c>
      <c r="DO160" s="307" t="inlineStr">
        <is>
          <t>https://images.evo.com/imgp/250/183638/728544/clone.jpg</t>
        </is>
      </c>
    </row>
    <row r="161" ht="15.6" customHeight="1" s="184">
      <c r="B161" s="303">
        <f t="array" ref="B161">IF(OR(ISERROR(K161:P161)),FALSE,TRUE)</f>
        <v/>
      </c>
      <c r="C161" s="60">
        <f>OR(BR161=Driver!$G$50,Data!BR985=Driver!$H$50)</f>
        <v/>
      </c>
      <c r="D161" s="60">
        <f>OR(BV161=Driver!$G$51,BV161=Driver!$H$51)</f>
        <v/>
      </c>
      <c r="E161" s="60">
        <f>AND(BX161&gt;Driver!$F$54,BX161&lt;Driver!$G$54)</f>
        <v/>
      </c>
      <c r="F161" s="60">
        <f>CL161&gt;Driver!$F$56</f>
        <v/>
      </c>
      <c r="G161" s="60">
        <f>AND(CB161&gt;Driver!$F$55,CB161&lt;Driver!$G$55)</f>
        <v/>
      </c>
      <c r="H161" s="60">
        <f>AND(B161:G161)</f>
        <v/>
      </c>
      <c r="I161" s="60">
        <f>COUNTIFS($H$9:$H$1273,TRUE,$BT$9:$BT$1273,BT161)</f>
        <v/>
      </c>
      <c r="J161" s="60">
        <f t="array" ref="J161">NOT(OR(($H$9:$H$1273=TRUE)*($I$9:$I$1273&gt;0)*($BT$9:$BT$1273=BT161)*($K$9:$K$1273&gt;K161)))</f>
        <v/>
      </c>
      <c r="K161" s="108">
        <f>IFERROR(1-AVERAGE(X161:Y161),"")</f>
        <v/>
      </c>
      <c r="L161" s="108">
        <f>1-X161</f>
        <v/>
      </c>
      <c r="M161" s="108">
        <f>1-Y161</f>
        <v/>
      </c>
      <c r="N161" s="108">
        <f>1-Z161</f>
        <v/>
      </c>
      <c r="O161" s="108">
        <f>1-AA161</f>
        <v/>
      </c>
      <c r="P161" s="108">
        <f>1-AB161</f>
        <v/>
      </c>
      <c r="Q161" s="108" t="n"/>
      <c r="R161" s="108" t="n"/>
      <c r="S161" s="108">
        <f>1-AE161</f>
        <v/>
      </c>
      <c r="T161" s="108">
        <f>1-AF161</f>
        <v/>
      </c>
      <c r="U161" s="108">
        <f>1-AG161</f>
        <v/>
      </c>
      <c r="V161" s="108">
        <f>1-AH161</f>
        <v/>
      </c>
      <c r="W161" s="108">
        <f>1-AI161</f>
        <v/>
      </c>
      <c r="X161" s="108">
        <f>ABS(AJ161-AJ$1)</f>
        <v/>
      </c>
      <c r="Y161" s="108">
        <f>AVERAGE(Z161:AB161)</f>
        <v/>
      </c>
      <c r="Z161" s="108">
        <f>ABS(AL161-AL$1)</f>
        <v/>
      </c>
      <c r="AA161" s="108">
        <f>ABS(AM161-AM$1)</f>
        <v/>
      </c>
      <c r="AB161" s="108">
        <f>ABS(AN161-AN$1)</f>
        <v/>
      </c>
      <c r="AC161" s="108" t="n"/>
      <c r="AD161" s="108" t="n"/>
      <c r="AE161" s="108">
        <f>ABS(AQ$1-AQ161)</f>
        <v/>
      </c>
      <c r="AF161" s="108">
        <f>ABS(AR$1-AR161)</f>
        <v/>
      </c>
      <c r="AG161" s="108">
        <f>ABS(AS$1-AS161)</f>
        <v/>
      </c>
      <c r="AH161" s="108">
        <f>ABS(AT$1-AT161)</f>
        <v/>
      </c>
      <c r="AI161" s="108">
        <f>ABS(AU$1-AU161)</f>
        <v/>
      </c>
      <c r="AJ161" s="108">
        <f>(AV161-Driver!$K$179)/(Driver!$L$179-Driver!$K$179)</f>
        <v/>
      </c>
      <c r="AK161" s="108">
        <f>(AW161-Driver!$K$180)/(Driver!$L$180-Driver!$K$180)</f>
        <v/>
      </c>
      <c r="AL161" s="108">
        <f>(AX161-Driver!$K$181)/(Driver!$L$181-Driver!$K$181)</f>
        <v/>
      </c>
      <c r="AM161" s="108">
        <f>(AY161-Driver!$K$182)/(Driver!$L$182-Driver!$K$182)</f>
        <v/>
      </c>
      <c r="AN161" s="108">
        <f>(AZ161-Driver!$K$183)/(Driver!$L$183-Driver!$K$183)</f>
        <v/>
      </c>
      <c r="AO161" s="108" t="n"/>
      <c r="AP161" s="108" t="n"/>
      <c r="AQ161" s="108">
        <f>(BC161-Driver!$K$188)/(Driver!$L$188-Driver!$K$188)</f>
        <v/>
      </c>
      <c r="AR161" s="108">
        <f>MIN((BD161-Driver!$K$189)/(Driver!$L$189-Driver!$K$189),100%)</f>
        <v/>
      </c>
      <c r="AS161" s="108">
        <f>(BE161-Driver!$K$190)/(Driver!$L$190-Driver!$K$190)</f>
        <v/>
      </c>
      <c r="AT161" s="108">
        <f>(BF161-Driver!$K$191)/(Driver!$L$191-Driver!$K$191)</f>
        <v/>
      </c>
      <c r="AU161" s="108">
        <f>(BG161-Driver!$K$192)/(Driver!$L$192-Driver!$K$192)</f>
        <v/>
      </c>
      <c r="AV161" s="105">
        <f>IFERROR(BM161*BJ161^1/4,"")</f>
        <v/>
      </c>
      <c r="AW161" s="105">
        <f>IFERROR(SUM(AX161:AZ161),"")</f>
        <v/>
      </c>
      <c r="AX161" s="105">
        <f>IFERROR(BH161,"")</f>
        <v/>
      </c>
      <c r="AY161" s="105">
        <f>IFERROR(Driver!$K$19/Data!BH161/Data!BI161*Data!BK161*Data!BL161,"")</f>
        <v/>
      </c>
      <c r="AZ161" s="105">
        <f>IFERROR(BI161*BN161,"")</f>
        <v/>
      </c>
      <c r="BA161" s="105" t="n"/>
      <c r="BB161" s="105" t="n"/>
      <c r="BC161" s="105">
        <f>IFERROR(BI161*BN161*BK161/BJ161^(1/2),"")</f>
        <v/>
      </c>
      <c r="BD161" s="105">
        <f>IFERROR(BH161*BM161*BL161/BJ161/BK161,"")</f>
        <v/>
      </c>
      <c r="BE161" s="105">
        <f>IFERROR(MIN(BI161/BQ161/BP161/BO161/BH161,$BE$1),"")</f>
        <v/>
      </c>
      <c r="BF161" s="105">
        <f>IFERROR(BJ161*BO161*BP161/BK161,"")</f>
        <v/>
      </c>
      <c r="BG161" s="105">
        <f>IFERROR(1/BM161/BH161*BQ161,"")</f>
        <v/>
      </c>
      <c r="BH161" s="102">
        <f>MAX((CE161-Driver!$F$200)/(Driver!$G$200-Driver!$F$200)*$BI$1,1)</f>
        <v/>
      </c>
      <c r="BI161" s="102">
        <f>MAX($BI$1*(BY161-Driver!$F$201)/(Driver!$G$201-Driver!$F$201),1)</f>
        <v/>
      </c>
      <c r="BJ161" s="102">
        <f>(CB161-Driver!$F$206)/(Driver!$G$206-Driver!$F$206)*$BI$1</f>
        <v/>
      </c>
      <c r="BK161" s="102">
        <f>(CD161-Driver!$F$203)/(Driver!$G$203-Driver!$F$203)*$BI$1</f>
        <v/>
      </c>
      <c r="BL161" s="102">
        <f>MAX((CR161-Driver!$F$202)/(Driver!$G$202-Driver!$F$202)*$BI$1,1)</f>
        <v/>
      </c>
      <c r="BM161" s="102">
        <f>MAX((CH161-Driver!$F$204)/(Driver!$G$204-Driver!$F$204)*$BI$1,1)</f>
        <v/>
      </c>
      <c r="BN161" s="102">
        <f>(CI161-Driver!$F$205)/(Driver!$G$205-Driver!$F$205)*$BI$1</f>
        <v/>
      </c>
      <c r="BO161" s="102">
        <f>(CK161-Driver!$F$207)/(Driver!$G$207-Driver!$F$207)*$BI$1</f>
        <v/>
      </c>
      <c r="BP161" s="102">
        <f>(CM161-Driver!$F$208)/(Driver!$G$208-Driver!$F$208)*$BI$1</f>
        <v/>
      </c>
      <c r="BQ161" s="102">
        <f>(CL161-Driver!$F$209)/(Driver!$G$209-Driver!$F$209)*$BI$1</f>
        <v/>
      </c>
      <c r="BR161" s="40" t="inlineStr">
        <is>
          <t>21/22</t>
        </is>
      </c>
      <c r="BS161" s="10" t="inlineStr">
        <is>
          <t xml:space="preserve"> Rossignol</t>
        </is>
      </c>
      <c r="BT161" s="11" t="inlineStr">
        <is>
          <t xml:space="preserve"> Blackops Sender</t>
        </is>
      </c>
      <c r="BU161" s="13" t="n">
        <v>172</v>
      </c>
      <c r="BV161" s="11" t="inlineStr">
        <is>
          <t xml:space="preserve"> Unisex</t>
        </is>
      </c>
      <c r="BW161" s="13" t="n">
        <v>172</v>
      </c>
      <c r="BX161" s="13" t="n">
        <v>170.6</v>
      </c>
      <c r="BY161" s="13" t="n">
        <v>121</v>
      </c>
      <c r="BZ161" s="13" t="n">
        <v>145</v>
      </c>
      <c r="CA161" s="13" t="n">
        <v>136</v>
      </c>
      <c r="CB161" s="13" t="n">
        <v>101</v>
      </c>
      <c r="CC161" s="13" t="n">
        <v>127</v>
      </c>
      <c r="CD161" s="13" t="n">
        <v>15.4</v>
      </c>
      <c r="CE161" s="13" t="n">
        <v>1793</v>
      </c>
      <c r="CF161" s="13" t="n">
        <v>1.08</v>
      </c>
      <c r="CG161" s="13" t="n">
        <v>1935</v>
      </c>
      <c r="CH161" s="13" t="n">
        <v>212</v>
      </c>
      <c r="CI161" s="13" t="n">
        <v>94</v>
      </c>
      <c r="CJ161" s="13" t="n">
        <v>48</v>
      </c>
      <c r="CK161" s="13" t="n">
        <v>298</v>
      </c>
      <c r="CL161" s="13" t="n">
        <v>12</v>
      </c>
      <c r="CM161" s="13" t="n">
        <v>197</v>
      </c>
      <c r="CN161" s="13" t="n">
        <v>0.251</v>
      </c>
      <c r="CO161" s="13" t="n">
        <v>146</v>
      </c>
      <c r="CP161" s="13" t="n">
        <v>109</v>
      </c>
      <c r="CQ161" s="13" t="n">
        <v>153</v>
      </c>
      <c r="CR161" s="13" t="n">
        <v>6</v>
      </c>
      <c r="CS161" s="13" t="n">
        <v>6.5</v>
      </c>
      <c r="CT161" s="11" t="inlineStr">
        <is>
          <t xml:space="preserve"> Resort Freeride</t>
        </is>
      </c>
      <c r="CU161" s="11" t="inlineStr">
        <is>
          <t xml:space="preserve"> Big Mountain</t>
        </is>
      </c>
      <c r="CV161" s="11" t="inlineStr">
        <is>
          <t xml:space="preserve"> Touring</t>
        </is>
      </c>
      <c r="CW161" s="13" t="n"/>
      <c r="CX161">
        <f>INDEX('Data_Price '!AG$2:AG$1266,MATCH(Data!$DN161,'Data_Price '!$AT$2:$AT$1266,0))</f>
        <v/>
      </c>
      <c r="CY161">
        <f>INDEX('Data_Price '!AH$2:AH$1266,MATCH(Data!$DN161,'Data_Price '!$AT$2:$AT$1266,0))</f>
        <v/>
      </c>
      <c r="CZ161">
        <f>INDEX('Data_Price '!AI$2:AI$1266,MATCH(Data!$DN161,'Data_Price '!$AT$2:$AT$1266,0))</f>
        <v/>
      </c>
      <c r="DA161">
        <f>INDEX('Data_Price '!AJ$2:AJ$1266,MATCH(Data!$DN161,'Data_Price '!$AT$2:$AT$1266,0))</f>
        <v/>
      </c>
      <c r="DB161">
        <f>INDEX('Data_Price '!AK$2:AK$1266,MATCH(Data!$DN161,'Data_Price '!$AT$2:$AT$1266,0))</f>
        <v/>
      </c>
      <c r="DC161">
        <f>INDEX('Data_Price '!AL$2:AL$1266,MATCH(Data!$DN161,'Data_Price '!$AT$2:$AT$1266,0))</f>
        <v/>
      </c>
      <c r="DD161">
        <f>INDEX('Data_Price '!AM$2:AM$1266,MATCH(Data!$DN161,'Data_Price '!$AT$2:$AT$1266,0))</f>
        <v/>
      </c>
      <c r="DE161">
        <f>INDEX('Data_Price '!AN$2:AN$1266,MATCH(Data!$DN161,'Data_Price '!$AT$2:$AT$1266,0))</f>
        <v/>
      </c>
      <c r="DF161">
        <f>INDEX('Data_Price '!AO$2:AO$1266,MATCH(Data!$DN161,'Data_Price '!$AT$2:$AT$1266,0))</f>
        <v/>
      </c>
      <c r="DG161">
        <f>INDEX('Data_Price '!AP$2:AP$1266,MATCH(Data!$DN161,'Data_Price '!$AT$2:$AT$1266,0))</f>
        <v/>
      </c>
      <c r="DH161">
        <f>INDEX('Data_Price '!AQ$2:AQ$1266,MATCH(Data!$DN161,'Data_Price '!$AT$2:$AT$1266,0))</f>
        <v/>
      </c>
      <c r="DI161">
        <f>INDEX('Data_Price '!AR$2:AR$1266,MATCH(Data!$DN161,'Data_Price '!$AT$2:$AT$1266,0))</f>
        <v/>
      </c>
      <c r="DJ161" s="138">
        <f>DA161</f>
        <v/>
      </c>
      <c r="DK161" s="138">
        <f>DE161</f>
        <v/>
      </c>
      <c r="DL161" s="138">
        <f>DI161</f>
        <v/>
      </c>
      <c r="DM161" s="303">
        <f>IF(LEFT(BT161,1)=" ",RIGHT(BT161,LEN(BT161)-1),BT161)</f>
        <v/>
      </c>
      <c r="DN161" s="138">
        <f>_xlfn.CONCAT(BS161,DM161,BU161,BV161)</f>
        <v/>
      </c>
      <c r="DO161" s="307" t="n"/>
    </row>
    <row r="162" ht="15.6" customHeight="1" s="184">
      <c r="B162" s="303">
        <f t="array" ref="B162">IF(OR(ISERROR(K162:P162)),FALSE,TRUE)</f>
        <v/>
      </c>
      <c r="C162" s="60">
        <f>OR(BR162=Driver!$G$50,Data!BR128=Driver!$H$50)</f>
        <v/>
      </c>
      <c r="D162" s="60">
        <f>OR(BV162=Driver!$G$51,BV162=Driver!$H$51)</f>
        <v/>
      </c>
      <c r="E162" s="60">
        <f>AND(BX162&gt;Driver!$F$54,BX162&lt;Driver!$G$54)</f>
        <v/>
      </c>
      <c r="F162" s="60">
        <f>CL162&gt;Driver!$F$56</f>
        <v/>
      </c>
      <c r="G162" s="60">
        <f>AND(CB162&gt;Driver!$F$55,CB162&lt;Driver!$G$55)</f>
        <v/>
      </c>
      <c r="H162" s="60">
        <f>AND(B162:G162)</f>
        <v/>
      </c>
      <c r="I162" s="60">
        <f>COUNTIFS($H$9:$H$1273,TRUE,$BT$9:$BT$1273,BT162)</f>
        <v/>
      </c>
      <c r="J162" s="60">
        <f t="array" ref="J162">NOT(OR(($H$9:$H$1273=TRUE)*($I$9:$I$1273&gt;0)*($BT$9:$BT$1273=BT162)*($K$9:$K$1273&gt;K162)))</f>
        <v/>
      </c>
      <c r="K162" s="108">
        <f>IFERROR(1-AVERAGE(X162:Y162),"")</f>
        <v/>
      </c>
      <c r="L162" s="108">
        <f>1-X162</f>
        <v/>
      </c>
      <c r="M162" s="108">
        <f>1-Y162</f>
        <v/>
      </c>
      <c r="N162" s="108">
        <f>1-Z162</f>
        <v/>
      </c>
      <c r="O162" s="108">
        <f>1-AA162</f>
        <v/>
      </c>
      <c r="P162" s="108">
        <f>1-AB162</f>
        <v/>
      </c>
      <c r="Q162" s="108" t="n"/>
      <c r="R162" s="108" t="n"/>
      <c r="S162" s="108">
        <f>1-AE162</f>
        <v/>
      </c>
      <c r="T162" s="108">
        <f>1-AF162</f>
        <v/>
      </c>
      <c r="U162" s="108">
        <f>1-AG162</f>
        <v/>
      </c>
      <c r="V162" s="108">
        <f>1-AH162</f>
        <v/>
      </c>
      <c r="W162" s="108">
        <f>1-AI162</f>
        <v/>
      </c>
      <c r="X162" s="108">
        <f>ABS(AJ162-AJ$1)</f>
        <v/>
      </c>
      <c r="Y162" s="108">
        <f>AVERAGE(Z162:AB162)</f>
        <v/>
      </c>
      <c r="Z162" s="108">
        <f>ABS(AL162-AL$1)</f>
        <v/>
      </c>
      <c r="AA162" s="108">
        <f>ABS(AM162-AM$1)</f>
        <v/>
      </c>
      <c r="AB162" s="108">
        <f>ABS(AN162-AN$1)</f>
        <v/>
      </c>
      <c r="AC162" s="108" t="n"/>
      <c r="AD162" s="108" t="n"/>
      <c r="AE162" s="108">
        <f>ABS(AQ$1-AQ162)</f>
        <v/>
      </c>
      <c r="AF162" s="108">
        <f>ABS(AR$1-AR162)</f>
        <v/>
      </c>
      <c r="AG162" s="108">
        <f>ABS(AS$1-AS162)</f>
        <v/>
      </c>
      <c r="AH162" s="108">
        <f>ABS(AT$1-AT162)</f>
        <v/>
      </c>
      <c r="AI162" s="108">
        <f>ABS(AU$1-AU162)</f>
        <v/>
      </c>
      <c r="AJ162" s="108">
        <f>(AV162-Driver!$K$179)/(Driver!$L$179-Driver!$K$179)</f>
        <v/>
      </c>
      <c r="AK162" s="108">
        <f>(AW162-Driver!$K$180)/(Driver!$L$180-Driver!$K$180)</f>
        <v/>
      </c>
      <c r="AL162" s="108">
        <f>(AX162-Driver!$K$181)/(Driver!$L$181-Driver!$K$181)</f>
        <v/>
      </c>
      <c r="AM162" s="108">
        <f>(AY162-Driver!$K$182)/(Driver!$L$182-Driver!$K$182)</f>
        <v/>
      </c>
      <c r="AN162" s="108">
        <f>(AZ162-Driver!$K$183)/(Driver!$L$183-Driver!$K$183)</f>
        <v/>
      </c>
      <c r="AO162" s="108" t="n"/>
      <c r="AP162" s="108" t="n"/>
      <c r="AQ162" s="108">
        <f>(BC162-Driver!$K$188)/(Driver!$L$188-Driver!$K$188)</f>
        <v/>
      </c>
      <c r="AR162" s="108">
        <f>MIN((BD162-Driver!$K$189)/(Driver!$L$189-Driver!$K$189),100%)</f>
        <v/>
      </c>
      <c r="AS162" s="108">
        <f>(BE162-Driver!$K$190)/(Driver!$L$190-Driver!$K$190)</f>
        <v/>
      </c>
      <c r="AT162" s="108">
        <f>(BF162-Driver!$K$191)/(Driver!$L$191-Driver!$K$191)</f>
        <v/>
      </c>
      <c r="AU162" s="108">
        <f>(BG162-Driver!$K$192)/(Driver!$L$192-Driver!$K$192)</f>
        <v/>
      </c>
      <c r="AV162" s="105">
        <f>IFERROR(BM162*BJ162^1/4,"")</f>
        <v/>
      </c>
      <c r="AW162" s="105">
        <f>IFERROR(SUM(AX162:AZ162),"")</f>
        <v/>
      </c>
      <c r="AX162" s="105">
        <f>IFERROR(BH162,"")</f>
        <v/>
      </c>
      <c r="AY162" s="105">
        <f>IFERROR(Driver!$K$19/Data!BH162/Data!BI162*Data!BK162*Data!BL162,"")</f>
        <v/>
      </c>
      <c r="AZ162" s="105">
        <f>IFERROR(BI162*BN162,"")</f>
        <v/>
      </c>
      <c r="BA162" s="105" t="n"/>
      <c r="BB162" s="105" t="n"/>
      <c r="BC162" s="105">
        <f>IFERROR(BI162*BN162*BK162/BJ162^(1/2),"")</f>
        <v/>
      </c>
      <c r="BD162" s="105">
        <f>IFERROR(BH162*BM162*BL162/BJ162/BK162,"")</f>
        <v/>
      </c>
      <c r="BE162" s="105">
        <f>IFERROR(MIN(BI162/BQ162/BP162/BO162/BH162,$BE$1),"")</f>
        <v/>
      </c>
      <c r="BF162" s="105">
        <f>IFERROR(BJ162*BO162*BP162/BK162,"")</f>
        <v/>
      </c>
      <c r="BG162" s="105">
        <f>IFERROR(1/BM162/BH162*BQ162,"")</f>
        <v/>
      </c>
      <c r="BH162" s="102">
        <f>MAX((CE162-Driver!$F$200)/(Driver!$G$200-Driver!$F$200)*$BI$1,1)</f>
        <v/>
      </c>
      <c r="BI162" s="102">
        <f>MAX($BI$1*(BY162-Driver!$F$201)/(Driver!$G$201-Driver!$F$201),1)</f>
        <v/>
      </c>
      <c r="BJ162" s="102">
        <f>(CB162-Driver!$F$206)/(Driver!$G$206-Driver!$F$206)*$BI$1</f>
        <v/>
      </c>
      <c r="BK162" s="102">
        <f>(CD162-Driver!$F$203)/(Driver!$G$203-Driver!$F$203)*$BI$1</f>
        <v/>
      </c>
      <c r="BL162" s="102">
        <f>MAX((CR162-Driver!$F$202)/(Driver!$G$202-Driver!$F$202)*$BI$1,1)</f>
        <v/>
      </c>
      <c r="BM162" s="102">
        <f>MAX((CH162-Driver!$F$204)/(Driver!$G$204-Driver!$F$204)*$BI$1,1)</f>
        <v/>
      </c>
      <c r="BN162" s="102">
        <f>(CI162-Driver!$F$205)/(Driver!$G$205-Driver!$F$205)*$BI$1</f>
        <v/>
      </c>
      <c r="BO162" s="102">
        <f>(CK162-Driver!$F$207)/(Driver!$G$207-Driver!$F$207)*$BI$1</f>
        <v/>
      </c>
      <c r="BP162" s="102">
        <f>(CM162-Driver!$F$208)/(Driver!$G$208-Driver!$F$208)*$BI$1</f>
        <v/>
      </c>
      <c r="BQ162" s="102">
        <f>(CL162-Driver!$F$209)/(Driver!$G$209-Driver!$F$209)*$BI$1</f>
        <v/>
      </c>
      <c r="BR162" s="40" t="inlineStr">
        <is>
          <t>21/22</t>
        </is>
      </c>
      <c r="BS162" s="10" t="inlineStr">
        <is>
          <t xml:space="preserve"> Atomic</t>
        </is>
      </c>
      <c r="BT162" s="11" t="inlineStr">
        <is>
          <t>Backland 95</t>
        </is>
      </c>
      <c r="BU162" s="13" t="n">
        <v>177</v>
      </c>
      <c r="BV162" s="11" t="inlineStr">
        <is>
          <t xml:space="preserve"> Unisex</t>
        </is>
      </c>
      <c r="BW162" s="13" t="n">
        <v>177</v>
      </c>
      <c r="BX162" s="13" t="n">
        <v>176</v>
      </c>
      <c r="BY162" s="13" t="n">
        <v>136</v>
      </c>
      <c r="BZ162" s="13" t="n">
        <v>146</v>
      </c>
      <c r="CA162" s="13" t="n">
        <v>126</v>
      </c>
      <c r="CB162" s="13" t="n">
        <v>93</v>
      </c>
      <c r="CC162" s="13" t="n">
        <v>115</v>
      </c>
      <c r="CD162" s="13" t="n">
        <v>18.2</v>
      </c>
      <c r="CE162" s="13" t="n">
        <v>1416</v>
      </c>
      <c r="CF162" s="13" t="n">
        <v>1.29</v>
      </c>
      <c r="CG162" s="13" t="n">
        <v>1830</v>
      </c>
      <c r="CH162" s="13" t="n">
        <v>214</v>
      </c>
      <c r="CI162" s="13" t="n">
        <v>92</v>
      </c>
      <c r="CJ162" s="13" t="n">
        <v>50</v>
      </c>
      <c r="CK162" s="13" t="n">
        <v>243</v>
      </c>
      <c r="CL162" s="13" t="n">
        <v>10</v>
      </c>
      <c r="CM162" s="13" t="n">
        <v>160</v>
      </c>
      <c r="CN162" s="13" t="n">
        <v>0.209</v>
      </c>
      <c r="CO162" s="13" t="n">
        <v>174</v>
      </c>
      <c r="CP162" s="13" t="n">
        <v>123</v>
      </c>
      <c r="CQ162" s="13" t="n">
        <v>69</v>
      </c>
      <c r="CR162" s="13" t="n">
        <v>6</v>
      </c>
      <c r="CS162" s="13" t="n">
        <v>11.1</v>
      </c>
      <c r="CT162" s="11" t="inlineStr">
        <is>
          <t xml:space="preserve"> Touring</t>
        </is>
      </c>
      <c r="CU162" s="11" t="inlineStr">
        <is>
          <t xml:space="preserve"> Ultralight Touring</t>
        </is>
      </c>
      <c r="CV162" s="13" t="n"/>
      <c r="CW162" s="13" t="n"/>
      <c r="CX162">
        <f>INDEX('Data_Price '!AG$2:AG$1266,MATCH(Data!$DN162,'Data_Price '!$AT$2:$AT$1266,0))</f>
        <v/>
      </c>
      <c r="CY162">
        <f>INDEX('Data_Price '!AH$2:AH$1266,MATCH(Data!$DN162,'Data_Price '!$AT$2:$AT$1266,0))</f>
        <v/>
      </c>
      <c r="CZ162">
        <f>INDEX('Data_Price '!AI$2:AI$1266,MATCH(Data!$DN162,'Data_Price '!$AT$2:$AT$1266,0))</f>
        <v/>
      </c>
      <c r="DA162">
        <f>INDEX('Data_Price '!AJ$2:AJ$1266,MATCH(Data!$DN162,'Data_Price '!$AT$2:$AT$1266,0))</f>
        <v/>
      </c>
      <c r="DB162">
        <f>INDEX('Data_Price '!AK$2:AK$1266,MATCH(Data!$DN162,'Data_Price '!$AT$2:$AT$1266,0))</f>
        <v/>
      </c>
      <c r="DC162">
        <f>INDEX('Data_Price '!AL$2:AL$1266,MATCH(Data!$DN162,'Data_Price '!$AT$2:$AT$1266,0))</f>
        <v/>
      </c>
      <c r="DD162">
        <f>INDEX('Data_Price '!AM$2:AM$1266,MATCH(Data!$DN162,'Data_Price '!$AT$2:$AT$1266,0))</f>
        <v/>
      </c>
      <c r="DE162">
        <f>INDEX('Data_Price '!AN$2:AN$1266,MATCH(Data!$DN162,'Data_Price '!$AT$2:$AT$1266,0))</f>
        <v/>
      </c>
      <c r="DF162">
        <f>INDEX('Data_Price '!AO$2:AO$1266,MATCH(Data!$DN162,'Data_Price '!$AT$2:$AT$1266,0))</f>
        <v/>
      </c>
      <c r="DG162">
        <f>INDEX('Data_Price '!AP$2:AP$1266,MATCH(Data!$DN162,'Data_Price '!$AT$2:$AT$1266,0))</f>
        <v/>
      </c>
      <c r="DH162">
        <f>INDEX('Data_Price '!AQ$2:AQ$1266,MATCH(Data!$DN162,'Data_Price '!$AT$2:$AT$1266,0))</f>
        <v/>
      </c>
      <c r="DI162">
        <f>INDEX('Data_Price '!AR$2:AR$1266,MATCH(Data!$DN162,'Data_Price '!$AT$2:$AT$1266,0))</f>
        <v/>
      </c>
      <c r="DJ162" s="138">
        <f>DA162</f>
        <v/>
      </c>
      <c r="DK162" s="138">
        <f>DE162</f>
        <v/>
      </c>
      <c r="DL162" s="138">
        <f>DI162</f>
        <v/>
      </c>
      <c r="DM162" s="303">
        <f>IF(LEFT(BT162,1)=" ",RIGHT(BT162,LEN(BT162)-1),BT162)</f>
        <v/>
      </c>
      <c r="DN162" s="138">
        <f>_xlfn.CONCAT(BS162,DM162,BU162,BV162)</f>
        <v/>
      </c>
      <c r="DO162" s="307" t="inlineStr">
        <is>
          <t>https://images.evo.com/imgp/250/197752/826838/atomic-backland-95-skis-2023-.jpg</t>
        </is>
      </c>
    </row>
    <row r="163" ht="15.6" customHeight="1" s="184">
      <c r="B163" s="303">
        <f t="array" ref="B163">IF(OR(ISERROR(K163:P163)),FALSE,TRUE)</f>
        <v/>
      </c>
      <c r="C163" s="60">
        <f>OR(BR163=Driver!$G$50,Data!BR358=Driver!$H$50)</f>
        <v/>
      </c>
      <c r="D163" s="60">
        <f>OR(BV163=Driver!$G$51,BV163=Driver!$H$51)</f>
        <v/>
      </c>
      <c r="E163" s="60">
        <f>AND(BX163&gt;Driver!$F$54,BX163&lt;Driver!$G$54)</f>
        <v/>
      </c>
      <c r="F163" s="60">
        <f>CL163&gt;Driver!$F$56</f>
        <v/>
      </c>
      <c r="G163" s="60">
        <f>AND(CB163&gt;Driver!$F$55,CB163&lt;Driver!$G$55)</f>
        <v/>
      </c>
      <c r="H163" s="60">
        <f>AND(B163:G163)</f>
        <v/>
      </c>
      <c r="I163" s="60">
        <f>COUNTIFS($H$9:$H$1273,TRUE,$BT$9:$BT$1273,BT163)</f>
        <v/>
      </c>
      <c r="J163" s="60">
        <f t="array" ref="J163">NOT(OR(($H$9:$H$1273=TRUE)*($I$9:$I$1273&gt;0)*($BT$9:$BT$1273=BT163)*($K$9:$K$1273&gt;K163)))</f>
        <v/>
      </c>
      <c r="K163" s="108">
        <f>IFERROR(1-AVERAGE(X163:Y163),"")</f>
        <v/>
      </c>
      <c r="L163" s="108">
        <f>1-X163</f>
        <v/>
      </c>
      <c r="M163" s="108">
        <f>1-Y163</f>
        <v/>
      </c>
      <c r="N163" s="108">
        <f>1-Z163</f>
        <v/>
      </c>
      <c r="O163" s="108">
        <f>1-AA163</f>
        <v/>
      </c>
      <c r="P163" s="108">
        <f>1-AB163</f>
        <v/>
      </c>
      <c r="Q163" s="108" t="n"/>
      <c r="R163" s="108" t="n"/>
      <c r="S163" s="108">
        <f>1-AE163</f>
        <v/>
      </c>
      <c r="T163" s="108">
        <f>1-AF163</f>
        <v/>
      </c>
      <c r="U163" s="108">
        <f>1-AG163</f>
        <v/>
      </c>
      <c r="V163" s="108">
        <f>1-AH163</f>
        <v/>
      </c>
      <c r="W163" s="108">
        <f>1-AI163</f>
        <v/>
      </c>
      <c r="X163" s="108">
        <f>ABS(AJ163-AJ$1)</f>
        <v/>
      </c>
      <c r="Y163" s="108">
        <f>AVERAGE(Z163:AB163)</f>
        <v/>
      </c>
      <c r="Z163" s="108">
        <f>ABS(AL163-AL$1)</f>
        <v/>
      </c>
      <c r="AA163" s="108">
        <f>ABS(AM163-AM$1)</f>
        <v/>
      </c>
      <c r="AB163" s="108">
        <f>ABS(AN163-AN$1)</f>
        <v/>
      </c>
      <c r="AC163" s="108" t="n"/>
      <c r="AD163" s="108" t="n"/>
      <c r="AE163" s="108">
        <f>ABS(AQ$1-AQ163)</f>
        <v/>
      </c>
      <c r="AF163" s="108">
        <f>ABS(AR$1-AR163)</f>
        <v/>
      </c>
      <c r="AG163" s="108">
        <f>ABS(AS$1-AS163)</f>
        <v/>
      </c>
      <c r="AH163" s="108">
        <f>ABS(AT$1-AT163)</f>
        <v/>
      </c>
      <c r="AI163" s="108">
        <f>ABS(AU$1-AU163)</f>
        <v/>
      </c>
      <c r="AJ163" s="108">
        <f>(AV163-Driver!$K$179)/(Driver!$L$179-Driver!$K$179)</f>
        <v/>
      </c>
      <c r="AK163" s="108">
        <f>(AW163-Driver!$K$180)/(Driver!$L$180-Driver!$K$180)</f>
        <v/>
      </c>
      <c r="AL163" s="108">
        <f>(AX163-Driver!$K$181)/(Driver!$L$181-Driver!$K$181)</f>
        <v/>
      </c>
      <c r="AM163" s="108">
        <f>(AY163-Driver!$K$182)/(Driver!$L$182-Driver!$K$182)</f>
        <v/>
      </c>
      <c r="AN163" s="108">
        <f>(AZ163-Driver!$K$183)/(Driver!$L$183-Driver!$K$183)</f>
        <v/>
      </c>
      <c r="AO163" s="108" t="n"/>
      <c r="AP163" s="108" t="n"/>
      <c r="AQ163" s="108">
        <f>(BC163-Driver!$K$188)/(Driver!$L$188-Driver!$K$188)</f>
        <v/>
      </c>
      <c r="AR163" s="108">
        <f>MIN((BD163-Driver!$K$189)/(Driver!$L$189-Driver!$K$189),100%)</f>
        <v/>
      </c>
      <c r="AS163" s="108">
        <f>(BE163-Driver!$K$190)/(Driver!$L$190-Driver!$K$190)</f>
        <v/>
      </c>
      <c r="AT163" s="108">
        <f>(BF163-Driver!$K$191)/(Driver!$L$191-Driver!$K$191)</f>
        <v/>
      </c>
      <c r="AU163" s="108">
        <f>(BG163-Driver!$K$192)/(Driver!$L$192-Driver!$K$192)</f>
        <v/>
      </c>
      <c r="AV163" s="105">
        <f>IFERROR(BM163*BJ163^1/4,"")</f>
        <v/>
      </c>
      <c r="AW163" s="105">
        <f>IFERROR(SUM(AX163:AZ163),"")</f>
        <v/>
      </c>
      <c r="AX163" s="105">
        <f>IFERROR(BH163,"")</f>
        <v/>
      </c>
      <c r="AY163" s="105">
        <f>IFERROR(Driver!$K$19/Data!BH163/Data!BI163*Data!BK163*Data!BL163,"")</f>
        <v/>
      </c>
      <c r="AZ163" s="105">
        <f>IFERROR(BI163*BN163,"")</f>
        <v/>
      </c>
      <c r="BA163" s="105" t="n"/>
      <c r="BB163" s="105" t="n"/>
      <c r="BC163" s="105">
        <f>IFERROR(BI163*BN163*BK163/BJ163^(1/2),"")</f>
        <v/>
      </c>
      <c r="BD163" s="105">
        <f>IFERROR(BH163*BM163*BL163/BJ163/BK163,"")</f>
        <v/>
      </c>
      <c r="BE163" s="105">
        <f>IFERROR(MIN(BI163/BQ163/BP163/BO163/BH163,$BE$1),"")</f>
        <v/>
      </c>
      <c r="BF163" s="105">
        <f>IFERROR(BJ163*BO163*BP163/BK163,"")</f>
        <v/>
      </c>
      <c r="BG163" s="105">
        <f>IFERROR(1/BM163/BH163*BQ163,"")</f>
        <v/>
      </c>
      <c r="BH163" s="102">
        <f>MAX((CE163-Driver!$F$200)/(Driver!$G$200-Driver!$F$200)*$BI$1,1)</f>
        <v/>
      </c>
      <c r="BI163" s="102">
        <f>MAX($BI$1*(BY163-Driver!$F$201)/(Driver!$G$201-Driver!$F$201),1)</f>
        <v/>
      </c>
      <c r="BJ163" s="102">
        <f>(CB163-Driver!$F$206)/(Driver!$G$206-Driver!$F$206)*$BI$1</f>
        <v/>
      </c>
      <c r="BK163" s="102">
        <f>(CD163-Driver!$F$203)/(Driver!$G$203-Driver!$F$203)*$BI$1</f>
        <v/>
      </c>
      <c r="BL163" s="102">
        <f>MAX((CR163-Driver!$F$202)/(Driver!$G$202-Driver!$F$202)*$BI$1,1)</f>
        <v/>
      </c>
      <c r="BM163" s="102">
        <f>MAX((CH163-Driver!$F$204)/(Driver!$G$204-Driver!$F$204)*$BI$1,1)</f>
        <v/>
      </c>
      <c r="BN163" s="102">
        <f>(CI163-Driver!$F$205)/(Driver!$G$205-Driver!$F$205)*$BI$1</f>
        <v/>
      </c>
      <c r="BO163" s="102">
        <f>(CK163-Driver!$F$207)/(Driver!$G$207-Driver!$F$207)*$BI$1</f>
        <v/>
      </c>
      <c r="BP163" s="102">
        <f>(CM163-Driver!$F$208)/(Driver!$G$208-Driver!$F$208)*$BI$1</f>
        <v/>
      </c>
      <c r="BQ163" s="102">
        <f>(CL163-Driver!$F$209)/(Driver!$G$209-Driver!$F$209)*$BI$1</f>
        <v/>
      </c>
      <c r="BR163" s="40" t="inlineStr">
        <is>
          <t>21/22</t>
        </is>
      </c>
      <c r="BS163" s="10" t="inlineStr">
        <is>
          <t xml:space="preserve"> DPS</t>
        </is>
      </c>
      <c r="BT163" s="11" t="inlineStr">
        <is>
          <t>Pagoda Tour 100 RP</t>
        </is>
      </c>
      <c r="BU163" s="13" t="n">
        <v>184</v>
      </c>
      <c r="BV163" s="11" t="inlineStr">
        <is>
          <t xml:space="preserve"> Unisex</t>
        </is>
      </c>
      <c r="BW163" s="13" t="n">
        <v>184</v>
      </c>
      <c r="BX163" s="13" t="n">
        <v>182.4</v>
      </c>
      <c r="BY163" s="13" t="n">
        <v>120</v>
      </c>
      <c r="BZ163" s="13" t="n">
        <v>134</v>
      </c>
      <c r="CA163" s="13" t="n">
        <v>133</v>
      </c>
      <c r="CB163" s="13" t="n">
        <v>99</v>
      </c>
      <c r="CC163" s="13" t="n">
        <v>118</v>
      </c>
      <c r="CD163" s="13" t="n">
        <v>15</v>
      </c>
      <c r="CE163" s="13" t="n">
        <v>1575</v>
      </c>
      <c r="CF163" s="13" t="n">
        <v>1.29</v>
      </c>
      <c r="CG163" s="13" t="n">
        <v>2033</v>
      </c>
      <c r="CH163" s="13" t="n">
        <v>254</v>
      </c>
      <c r="CI163" s="13" t="n">
        <v>123</v>
      </c>
      <c r="CJ163" s="13" t="n">
        <v>68</v>
      </c>
      <c r="CK163" s="13" t="n">
        <v>372</v>
      </c>
      <c r="CL163" s="13" t="n">
        <v>16</v>
      </c>
      <c r="CM163" s="13" t="n">
        <v>256</v>
      </c>
      <c r="CN163" s="13" t="n">
        <v>0.232</v>
      </c>
      <c r="CO163" s="13" t="n">
        <v>250</v>
      </c>
      <c r="CP163" s="13" t="n">
        <v>231</v>
      </c>
      <c r="CQ163" s="13" t="n">
        <v>122</v>
      </c>
      <c r="CR163" s="13" t="n">
        <v>6</v>
      </c>
      <c r="CS163" s="13" t="n">
        <v>12.8</v>
      </c>
      <c r="CT163" s="11" t="inlineStr">
        <is>
          <t xml:space="preserve"> Touring</t>
        </is>
      </c>
      <c r="CU163" s="11" t="inlineStr">
        <is>
          <t xml:space="preserve"> Ultralight Touring</t>
        </is>
      </c>
      <c r="CV163" s="13" t="n"/>
      <c r="CW163" s="13" t="n"/>
      <c r="CX163">
        <f>INDEX('Data_Price '!AG$2:AG$1266,MATCH(Data!$DN163,'Data_Price '!$AT$2:$AT$1266,0))</f>
        <v/>
      </c>
      <c r="CY163">
        <f>INDEX('Data_Price '!AH$2:AH$1266,MATCH(Data!$DN163,'Data_Price '!$AT$2:$AT$1266,0))</f>
        <v/>
      </c>
      <c r="CZ163">
        <f>INDEX('Data_Price '!AI$2:AI$1266,MATCH(Data!$DN163,'Data_Price '!$AT$2:$AT$1266,0))</f>
        <v/>
      </c>
      <c r="DA163">
        <f>INDEX('Data_Price '!AJ$2:AJ$1266,MATCH(Data!$DN163,'Data_Price '!$AT$2:$AT$1266,0))</f>
        <v/>
      </c>
      <c r="DB163">
        <f>INDEX('Data_Price '!AK$2:AK$1266,MATCH(Data!$DN163,'Data_Price '!$AT$2:$AT$1266,0))</f>
        <v/>
      </c>
      <c r="DC163">
        <f>INDEX('Data_Price '!AL$2:AL$1266,MATCH(Data!$DN163,'Data_Price '!$AT$2:$AT$1266,0))</f>
        <v/>
      </c>
      <c r="DD163">
        <f>INDEX('Data_Price '!AM$2:AM$1266,MATCH(Data!$DN163,'Data_Price '!$AT$2:$AT$1266,0))</f>
        <v/>
      </c>
      <c r="DE163">
        <f>INDEX('Data_Price '!AN$2:AN$1266,MATCH(Data!$DN163,'Data_Price '!$AT$2:$AT$1266,0))</f>
        <v/>
      </c>
      <c r="DF163">
        <f>INDEX('Data_Price '!AO$2:AO$1266,MATCH(Data!$DN163,'Data_Price '!$AT$2:$AT$1266,0))</f>
        <v/>
      </c>
      <c r="DG163">
        <f>INDEX('Data_Price '!AP$2:AP$1266,MATCH(Data!$DN163,'Data_Price '!$AT$2:$AT$1266,0))</f>
        <v/>
      </c>
      <c r="DH163">
        <f>INDEX('Data_Price '!AQ$2:AQ$1266,MATCH(Data!$DN163,'Data_Price '!$AT$2:$AT$1266,0))</f>
        <v/>
      </c>
      <c r="DI163">
        <f>INDEX('Data_Price '!AR$2:AR$1266,MATCH(Data!$DN163,'Data_Price '!$AT$2:$AT$1266,0))</f>
        <v/>
      </c>
      <c r="DJ163" s="138">
        <f>DA163</f>
        <v/>
      </c>
      <c r="DK163" s="138">
        <f>DE163</f>
        <v/>
      </c>
      <c r="DL163" s="138">
        <f>DI163</f>
        <v/>
      </c>
      <c r="DM163" s="303">
        <f>IF(LEFT(BT163,1)=" ",RIGHT(BT163,LEN(BT163)-1),BT163)</f>
        <v/>
      </c>
      <c r="DN163" s="138">
        <f>_xlfn.CONCAT(BS163,DM163,BU163,BV163)</f>
        <v/>
      </c>
      <c r="DO163" s="307" t="inlineStr">
        <is>
          <t>https://images.evo.com/imgp/250/183638/728544/clone.jpg</t>
        </is>
      </c>
    </row>
    <row r="164" ht="15.6" customHeight="1" s="184">
      <c r="B164" s="303">
        <f t="array" ref="B164">IF(OR(ISERROR(K164:P164)),FALSE,TRUE)</f>
        <v/>
      </c>
      <c r="C164" s="60">
        <f>OR(BR164=Driver!$G$50,Data!BR490=Driver!$H$50)</f>
        <v/>
      </c>
      <c r="D164" s="60">
        <f>OR(BV164=Driver!$G$51,BV164=Driver!$H$51)</f>
        <v/>
      </c>
      <c r="E164" s="60">
        <f>AND(BX164&gt;Driver!$F$54,BX164&lt;Driver!$G$54)</f>
        <v/>
      </c>
      <c r="F164" s="60">
        <f>CL164&gt;Driver!$F$56</f>
        <v/>
      </c>
      <c r="G164" s="60">
        <f>AND(CB164&gt;Driver!$F$55,CB164&lt;Driver!$G$55)</f>
        <v/>
      </c>
      <c r="H164" s="60">
        <f>AND(B164:G164)</f>
        <v/>
      </c>
      <c r="I164" s="60">
        <f>COUNTIFS($H$9:$H$1273,TRUE,$BT$9:$BT$1273,BT164)</f>
        <v/>
      </c>
      <c r="J164" s="60">
        <f t="array" ref="J164">NOT(OR(($H$9:$H$1273=TRUE)*($I$9:$I$1273&gt;0)*($BT$9:$BT$1273=BT164)*($K$9:$K$1273&gt;K164)))</f>
        <v/>
      </c>
      <c r="K164" s="108">
        <f>IFERROR(1-AVERAGE(X164:Y164),"")</f>
        <v/>
      </c>
      <c r="L164" s="108">
        <f>1-X164</f>
        <v/>
      </c>
      <c r="M164" s="108">
        <f>1-Y164</f>
        <v/>
      </c>
      <c r="N164" s="108">
        <f>1-Z164</f>
        <v/>
      </c>
      <c r="O164" s="108">
        <f>1-AA164</f>
        <v/>
      </c>
      <c r="P164" s="108">
        <f>1-AB164</f>
        <v/>
      </c>
      <c r="Q164" s="108" t="n"/>
      <c r="R164" s="108" t="n"/>
      <c r="S164" s="108">
        <f>1-AE164</f>
        <v/>
      </c>
      <c r="T164" s="108">
        <f>1-AF164</f>
        <v/>
      </c>
      <c r="U164" s="108">
        <f>1-AG164</f>
        <v/>
      </c>
      <c r="V164" s="108">
        <f>1-AH164</f>
        <v/>
      </c>
      <c r="W164" s="108">
        <f>1-AI164</f>
        <v/>
      </c>
      <c r="X164" s="108">
        <f>ABS(AJ164-AJ$1)</f>
        <v/>
      </c>
      <c r="Y164" s="108">
        <f>AVERAGE(Z164:AB164)</f>
        <v/>
      </c>
      <c r="Z164" s="108">
        <f>ABS(AL164-AL$1)</f>
        <v/>
      </c>
      <c r="AA164" s="108">
        <f>ABS(AM164-AM$1)</f>
        <v/>
      </c>
      <c r="AB164" s="108">
        <f>ABS(AN164-AN$1)</f>
        <v/>
      </c>
      <c r="AC164" s="108" t="n"/>
      <c r="AD164" s="108" t="n"/>
      <c r="AE164" s="108">
        <f>ABS(AQ$1-AQ164)</f>
        <v/>
      </c>
      <c r="AF164" s="108">
        <f>ABS(AR$1-AR164)</f>
        <v/>
      </c>
      <c r="AG164" s="108">
        <f>ABS(AS$1-AS164)</f>
        <v/>
      </c>
      <c r="AH164" s="108">
        <f>ABS(AT$1-AT164)</f>
        <v/>
      </c>
      <c r="AI164" s="108">
        <f>ABS(AU$1-AU164)</f>
        <v/>
      </c>
      <c r="AJ164" s="108">
        <f>(AV164-Driver!$K$179)/(Driver!$L$179-Driver!$K$179)</f>
        <v/>
      </c>
      <c r="AK164" s="108">
        <f>(AW164-Driver!$K$180)/(Driver!$L$180-Driver!$K$180)</f>
        <v/>
      </c>
      <c r="AL164" s="108">
        <f>(AX164-Driver!$K$181)/(Driver!$L$181-Driver!$K$181)</f>
        <v/>
      </c>
      <c r="AM164" s="108">
        <f>(AY164-Driver!$K$182)/(Driver!$L$182-Driver!$K$182)</f>
        <v/>
      </c>
      <c r="AN164" s="108">
        <f>(AZ164-Driver!$K$183)/(Driver!$L$183-Driver!$K$183)</f>
        <v/>
      </c>
      <c r="AO164" s="108" t="n"/>
      <c r="AP164" s="108" t="n"/>
      <c r="AQ164" s="108">
        <f>(BC164-Driver!$K$188)/(Driver!$L$188-Driver!$K$188)</f>
        <v/>
      </c>
      <c r="AR164" s="108">
        <f>MIN((BD164-Driver!$K$189)/(Driver!$L$189-Driver!$K$189),100%)</f>
        <v/>
      </c>
      <c r="AS164" s="108">
        <f>(BE164-Driver!$K$190)/(Driver!$L$190-Driver!$K$190)</f>
        <v/>
      </c>
      <c r="AT164" s="108">
        <f>(BF164-Driver!$K$191)/(Driver!$L$191-Driver!$K$191)</f>
        <v/>
      </c>
      <c r="AU164" s="108">
        <f>(BG164-Driver!$K$192)/(Driver!$L$192-Driver!$K$192)</f>
        <v/>
      </c>
      <c r="AV164" s="105">
        <f>IFERROR(BM164*BJ164^1/4,"")</f>
        <v/>
      </c>
      <c r="AW164" s="105">
        <f>IFERROR(SUM(AX164:AZ164),"")</f>
        <v/>
      </c>
      <c r="AX164" s="105">
        <f>IFERROR(BH164,"")</f>
        <v/>
      </c>
      <c r="AY164" s="105">
        <f>IFERROR(Driver!$K$19/Data!BH164/Data!BI164*Data!BK164*Data!BL164,"")</f>
        <v/>
      </c>
      <c r="AZ164" s="105">
        <f>IFERROR(BI164*BN164,"")</f>
        <v/>
      </c>
      <c r="BA164" s="105" t="n"/>
      <c r="BB164" s="105" t="n"/>
      <c r="BC164" s="105">
        <f>IFERROR(BI164*BN164*BK164/BJ164^(1/2),"")</f>
        <v/>
      </c>
      <c r="BD164" s="105">
        <f>IFERROR(BH164*BM164*BL164/BJ164/BK164,"")</f>
        <v/>
      </c>
      <c r="BE164" s="105">
        <f>IFERROR(MIN(BI164/BQ164/BP164/BO164/BH164,$BE$1),"")</f>
        <v/>
      </c>
      <c r="BF164" s="105">
        <f>IFERROR(BJ164*BO164*BP164/BK164,"")</f>
        <v/>
      </c>
      <c r="BG164" s="105">
        <f>IFERROR(1/BM164/BH164*BQ164,"")</f>
        <v/>
      </c>
      <c r="BH164" s="102">
        <f>MAX((CE164-Driver!$F$200)/(Driver!$G$200-Driver!$F$200)*$BI$1,1)</f>
        <v/>
      </c>
      <c r="BI164" s="102">
        <f>MAX($BI$1*(BY164-Driver!$F$201)/(Driver!$G$201-Driver!$F$201),1)</f>
        <v/>
      </c>
      <c r="BJ164" s="102">
        <f>(CB164-Driver!$F$206)/(Driver!$G$206-Driver!$F$206)*$BI$1</f>
        <v/>
      </c>
      <c r="BK164" s="102">
        <f>(CD164-Driver!$F$203)/(Driver!$G$203-Driver!$F$203)*$BI$1</f>
        <v/>
      </c>
      <c r="BL164" s="102">
        <f>MAX((CR164-Driver!$F$202)/(Driver!$G$202-Driver!$F$202)*$BI$1,1)</f>
        <v/>
      </c>
      <c r="BM164" s="102">
        <f>MAX((CH164-Driver!$F$204)/(Driver!$G$204-Driver!$F$204)*$BI$1,1)</f>
        <v/>
      </c>
      <c r="BN164" s="102">
        <f>(CI164-Driver!$F$205)/(Driver!$G$205-Driver!$F$205)*$BI$1</f>
        <v/>
      </c>
      <c r="BO164" s="102">
        <f>(CK164-Driver!$F$207)/(Driver!$G$207-Driver!$F$207)*$BI$1</f>
        <v/>
      </c>
      <c r="BP164" s="102">
        <f>(CM164-Driver!$F$208)/(Driver!$G$208-Driver!$F$208)*$BI$1</f>
        <v/>
      </c>
      <c r="BQ164" s="102">
        <f>(CL164-Driver!$F$209)/(Driver!$G$209-Driver!$F$209)*$BI$1</f>
        <v/>
      </c>
      <c r="BR164" s="40" t="inlineStr">
        <is>
          <t>21/22</t>
        </is>
      </c>
      <c r="BS164" s="10" t="inlineStr">
        <is>
          <t xml:space="preserve"> Faction</t>
        </is>
      </c>
      <c r="BT164" s="11" t="inlineStr">
        <is>
          <t>Agent 2.0</t>
        </is>
      </c>
      <c r="BU164" s="13" t="n">
        <v>179</v>
      </c>
      <c r="BV164" s="11" t="inlineStr">
        <is>
          <t xml:space="preserve"> Unisex</t>
        </is>
      </c>
      <c r="BW164" s="13" t="n">
        <v>179</v>
      </c>
      <c r="BX164" s="13" t="n">
        <v>177.3</v>
      </c>
      <c r="BY164" s="13" t="n">
        <v>134</v>
      </c>
      <c r="BZ164" s="13" t="n">
        <v>149</v>
      </c>
      <c r="CA164" s="13" t="n">
        <v>127</v>
      </c>
      <c r="CB164" s="13" t="n">
        <v>95</v>
      </c>
      <c r="CC164" s="13" t="n">
        <v>117</v>
      </c>
      <c r="CD164" s="13" t="n">
        <v>19.7</v>
      </c>
      <c r="CE164" s="13" t="n">
        <v>1630</v>
      </c>
      <c r="CF164" s="13" t="n">
        <v>1.16</v>
      </c>
      <c r="CG164" s="13" t="n">
        <v>1883</v>
      </c>
      <c r="CH164" s="13" t="n">
        <v>218</v>
      </c>
      <c r="CI164" s="13" t="n">
        <v>115</v>
      </c>
      <c r="CJ164" s="13" t="n">
        <v>52</v>
      </c>
      <c r="CK164" s="13" t="n">
        <v>259</v>
      </c>
      <c r="CL164" s="13" t="n">
        <v>21</v>
      </c>
      <c r="CM164" s="13" t="n">
        <v>177</v>
      </c>
      <c r="CN164" s="13" t="n">
        <v>0.396</v>
      </c>
      <c r="CO164" s="13" t="n">
        <v>174</v>
      </c>
      <c r="CP164" s="13" t="n">
        <v>104</v>
      </c>
      <c r="CQ164" s="13" t="n">
        <v>85</v>
      </c>
      <c r="CR164" s="13" t="n">
        <v>8</v>
      </c>
      <c r="CS164" s="13" t="n">
        <v>11.3</v>
      </c>
      <c r="CT164" s="11" t="inlineStr">
        <is>
          <t xml:space="preserve"> Resort Freeride</t>
        </is>
      </c>
      <c r="CU164" s="11" t="inlineStr">
        <is>
          <t xml:space="preserve"> Touring</t>
        </is>
      </c>
      <c r="CV164" s="13" t="n"/>
      <c r="CW164" s="13" t="n"/>
      <c r="CX164">
        <f>INDEX('Data_Price '!AG$2:AG$1266,MATCH(Data!$DN164,'Data_Price '!$AT$2:$AT$1266,0))</f>
        <v/>
      </c>
      <c r="CY164">
        <f>INDEX('Data_Price '!AH$2:AH$1266,MATCH(Data!$DN164,'Data_Price '!$AT$2:$AT$1266,0))</f>
        <v/>
      </c>
      <c r="CZ164">
        <f>INDEX('Data_Price '!AI$2:AI$1266,MATCH(Data!$DN164,'Data_Price '!$AT$2:$AT$1266,0))</f>
        <v/>
      </c>
      <c r="DA164">
        <f>INDEX('Data_Price '!AJ$2:AJ$1266,MATCH(Data!$DN164,'Data_Price '!$AT$2:$AT$1266,0))</f>
        <v/>
      </c>
      <c r="DB164">
        <f>INDEX('Data_Price '!AK$2:AK$1266,MATCH(Data!$DN164,'Data_Price '!$AT$2:$AT$1266,0))</f>
        <v/>
      </c>
      <c r="DC164">
        <f>INDEX('Data_Price '!AL$2:AL$1266,MATCH(Data!$DN164,'Data_Price '!$AT$2:$AT$1266,0))</f>
        <v/>
      </c>
      <c r="DD164">
        <f>INDEX('Data_Price '!AM$2:AM$1266,MATCH(Data!$DN164,'Data_Price '!$AT$2:$AT$1266,0))</f>
        <v/>
      </c>
      <c r="DE164">
        <f>INDEX('Data_Price '!AN$2:AN$1266,MATCH(Data!$DN164,'Data_Price '!$AT$2:$AT$1266,0))</f>
        <v/>
      </c>
      <c r="DF164">
        <f>INDEX('Data_Price '!AO$2:AO$1266,MATCH(Data!$DN164,'Data_Price '!$AT$2:$AT$1266,0))</f>
        <v/>
      </c>
      <c r="DG164">
        <f>INDEX('Data_Price '!AP$2:AP$1266,MATCH(Data!$DN164,'Data_Price '!$AT$2:$AT$1266,0))</f>
        <v/>
      </c>
      <c r="DH164">
        <f>INDEX('Data_Price '!AQ$2:AQ$1266,MATCH(Data!$DN164,'Data_Price '!$AT$2:$AT$1266,0))</f>
        <v/>
      </c>
      <c r="DI164">
        <f>INDEX('Data_Price '!AR$2:AR$1266,MATCH(Data!$DN164,'Data_Price '!$AT$2:$AT$1266,0))</f>
        <v/>
      </c>
      <c r="DJ164" s="138">
        <f>DA164</f>
        <v/>
      </c>
      <c r="DK164" s="138">
        <f>DE164</f>
        <v/>
      </c>
      <c r="DL164" s="138">
        <f>DI164</f>
        <v/>
      </c>
      <c r="DM164" s="303">
        <f>IF(LEFT(BT164,1)=" ",RIGHT(BT164,LEN(BT164)-1),BT164)</f>
        <v/>
      </c>
      <c r="DN164" s="138">
        <f>_xlfn.CONCAT(BS164,DM164,BU164,BV164)</f>
        <v/>
      </c>
      <c r="DO164" s="307" t="inlineStr">
        <is>
          <t>https://images.evo.com/imgp/250/181947/733513/clone.jpg</t>
        </is>
      </c>
    </row>
    <row r="165" ht="15.6" customHeight="1" s="184">
      <c r="B165" s="303">
        <f t="array" ref="B165">IF(OR(ISERROR(K165:P165)),FALSE,TRUE)</f>
        <v/>
      </c>
      <c r="C165" s="60">
        <f>OR(BR165=Driver!$G$50,Data!BR241=Driver!$H$50)</f>
        <v/>
      </c>
      <c r="D165" s="60">
        <f>OR(BV165=Driver!$G$51,BV165=Driver!$H$51)</f>
        <v/>
      </c>
      <c r="E165" s="60">
        <f>AND(BX165&gt;Driver!$F$54,BX165&lt;Driver!$G$54)</f>
        <v/>
      </c>
      <c r="F165" s="60">
        <f>CL165&gt;Driver!$F$56</f>
        <v/>
      </c>
      <c r="G165" s="60">
        <f>AND(CB165&gt;Driver!$F$55,CB165&lt;Driver!$G$55)</f>
        <v/>
      </c>
      <c r="H165" s="60">
        <f>AND(B165:G165)</f>
        <v/>
      </c>
      <c r="I165" s="60">
        <f>COUNTIFS($H$9:$H$1273,TRUE,$BT$9:$BT$1273,BT165)</f>
        <v/>
      </c>
      <c r="J165" s="60">
        <f t="array" ref="J165">NOT(OR(($H$9:$H$1273=TRUE)*($I$9:$I$1273&gt;0)*($BT$9:$BT$1273=BT165)*($K$9:$K$1273&gt;K165)))</f>
        <v/>
      </c>
      <c r="K165" s="108">
        <f>IFERROR(1-AVERAGE(X165:Y165),"")</f>
        <v/>
      </c>
      <c r="L165" s="108">
        <f>1-X165</f>
        <v/>
      </c>
      <c r="M165" s="108">
        <f>1-Y165</f>
        <v/>
      </c>
      <c r="N165" s="108">
        <f>1-Z165</f>
        <v/>
      </c>
      <c r="O165" s="108">
        <f>1-AA165</f>
        <v/>
      </c>
      <c r="P165" s="108">
        <f>1-AB165</f>
        <v/>
      </c>
      <c r="Q165" s="108" t="n"/>
      <c r="R165" s="108" t="n"/>
      <c r="S165" s="108">
        <f>1-AE165</f>
        <v/>
      </c>
      <c r="T165" s="108">
        <f>1-AF165</f>
        <v/>
      </c>
      <c r="U165" s="108">
        <f>1-AG165</f>
        <v/>
      </c>
      <c r="V165" s="108">
        <f>1-AH165</f>
        <v/>
      </c>
      <c r="W165" s="108">
        <f>1-AI165</f>
        <v/>
      </c>
      <c r="X165" s="108">
        <f>ABS(AJ165-AJ$1)</f>
        <v/>
      </c>
      <c r="Y165" s="108">
        <f>AVERAGE(Z165:AB165)</f>
        <v/>
      </c>
      <c r="Z165" s="108">
        <f>ABS(AL165-AL$1)</f>
        <v/>
      </c>
      <c r="AA165" s="108">
        <f>ABS(AM165-AM$1)</f>
        <v/>
      </c>
      <c r="AB165" s="108">
        <f>ABS(AN165-AN$1)</f>
        <v/>
      </c>
      <c r="AC165" s="108" t="n"/>
      <c r="AD165" s="108" t="n"/>
      <c r="AE165" s="108">
        <f>ABS(AQ$1-AQ165)</f>
        <v/>
      </c>
      <c r="AF165" s="108">
        <f>ABS(AR$1-AR165)</f>
        <v/>
      </c>
      <c r="AG165" s="108">
        <f>ABS(AS$1-AS165)</f>
        <v/>
      </c>
      <c r="AH165" s="108">
        <f>ABS(AT$1-AT165)</f>
        <v/>
      </c>
      <c r="AI165" s="108">
        <f>ABS(AU$1-AU165)</f>
        <v/>
      </c>
      <c r="AJ165" s="108">
        <f>(AV165-Driver!$K$179)/(Driver!$L$179-Driver!$K$179)</f>
        <v/>
      </c>
      <c r="AK165" s="108">
        <f>(AW165-Driver!$K$180)/(Driver!$L$180-Driver!$K$180)</f>
        <v/>
      </c>
      <c r="AL165" s="108">
        <f>(AX165-Driver!$K$181)/(Driver!$L$181-Driver!$K$181)</f>
        <v/>
      </c>
      <c r="AM165" s="108">
        <f>(AY165-Driver!$K$182)/(Driver!$L$182-Driver!$K$182)</f>
        <v/>
      </c>
      <c r="AN165" s="108">
        <f>(AZ165-Driver!$K$183)/(Driver!$L$183-Driver!$K$183)</f>
        <v/>
      </c>
      <c r="AO165" s="108" t="n"/>
      <c r="AP165" s="108" t="n"/>
      <c r="AQ165" s="108">
        <f>(BC165-Driver!$K$188)/(Driver!$L$188-Driver!$K$188)</f>
        <v/>
      </c>
      <c r="AR165" s="108">
        <f>MIN((BD165-Driver!$K$189)/(Driver!$L$189-Driver!$K$189),100%)</f>
        <v/>
      </c>
      <c r="AS165" s="108">
        <f>(BE165-Driver!$K$190)/(Driver!$L$190-Driver!$K$190)</f>
        <v/>
      </c>
      <c r="AT165" s="108">
        <f>(BF165-Driver!$K$191)/(Driver!$L$191-Driver!$K$191)</f>
        <v/>
      </c>
      <c r="AU165" s="108">
        <f>(BG165-Driver!$K$192)/(Driver!$L$192-Driver!$K$192)</f>
        <v/>
      </c>
      <c r="AV165" s="105">
        <f>IFERROR(BM165*BJ165^1/4,"")</f>
        <v/>
      </c>
      <c r="AW165" s="105">
        <f>IFERROR(SUM(AX165:AZ165),"")</f>
        <v/>
      </c>
      <c r="AX165" s="105">
        <f>IFERROR(BH165,"")</f>
        <v/>
      </c>
      <c r="AY165" s="105">
        <f>IFERROR(Driver!$K$19/Data!BH165/Data!BI165*Data!BK165*Data!BL165,"")</f>
        <v/>
      </c>
      <c r="AZ165" s="105">
        <f>IFERROR(BI165*BN165,"")</f>
        <v/>
      </c>
      <c r="BA165" s="105" t="n"/>
      <c r="BB165" s="105" t="n"/>
      <c r="BC165" s="105">
        <f>IFERROR(BI165*BN165*BK165/BJ165^(1/2),"")</f>
        <v/>
      </c>
      <c r="BD165" s="105">
        <f>IFERROR(BH165*BM165*BL165/BJ165/BK165,"")</f>
        <v/>
      </c>
      <c r="BE165" s="105">
        <f>IFERROR(MIN(BI165/BQ165/BP165/BO165/BH165,$BE$1),"")</f>
        <v/>
      </c>
      <c r="BF165" s="105">
        <f>IFERROR(BJ165*BO165*BP165/BK165,"")</f>
        <v/>
      </c>
      <c r="BG165" s="105">
        <f>IFERROR(1/BM165/BH165*BQ165,"")</f>
        <v/>
      </c>
      <c r="BH165" s="102">
        <f>MAX((CE165-Driver!$F$200)/(Driver!$G$200-Driver!$F$200)*$BI$1,1)</f>
        <v/>
      </c>
      <c r="BI165" s="102">
        <f>MAX($BI$1*(BY165-Driver!$F$201)/(Driver!$G$201-Driver!$F$201),1)</f>
        <v/>
      </c>
      <c r="BJ165" s="102">
        <f>(CB165-Driver!$F$206)/(Driver!$G$206-Driver!$F$206)*$BI$1</f>
        <v/>
      </c>
      <c r="BK165" s="102">
        <f>(CD165-Driver!$F$203)/(Driver!$G$203-Driver!$F$203)*$BI$1</f>
        <v/>
      </c>
      <c r="BL165" s="102">
        <f>MAX((CR165-Driver!$F$202)/(Driver!$G$202-Driver!$F$202)*$BI$1,1)</f>
        <v/>
      </c>
      <c r="BM165" s="102">
        <f>MAX((CH165-Driver!$F$204)/(Driver!$G$204-Driver!$F$204)*$BI$1,1)</f>
        <v/>
      </c>
      <c r="BN165" s="102">
        <f>(CI165-Driver!$F$205)/(Driver!$G$205-Driver!$F$205)*$BI$1</f>
        <v/>
      </c>
      <c r="BO165" s="102">
        <f>(CK165-Driver!$F$207)/(Driver!$G$207-Driver!$F$207)*$BI$1</f>
        <v/>
      </c>
      <c r="BP165" s="102">
        <f>(CM165-Driver!$F$208)/(Driver!$G$208-Driver!$F$208)*$BI$1</f>
        <v/>
      </c>
      <c r="BQ165" s="102">
        <f>(CL165-Driver!$F$209)/(Driver!$G$209-Driver!$F$209)*$BI$1</f>
        <v/>
      </c>
      <c r="BR165" s="40" t="inlineStr">
        <is>
          <t>21/22</t>
        </is>
      </c>
      <c r="BS165" s="10" t="inlineStr">
        <is>
          <t xml:space="preserve"> Black Crows</t>
        </is>
      </c>
      <c r="BT165" s="11" t="inlineStr">
        <is>
          <t xml:space="preserve"> Orb Freebird</t>
        </is>
      </c>
      <c r="BU165" s="13" t="n">
        <v>179.3</v>
      </c>
      <c r="BV165" s="11" t="inlineStr">
        <is>
          <t xml:space="preserve"> Unisex</t>
        </is>
      </c>
      <c r="BW165" s="13" t="n">
        <v>179.3</v>
      </c>
      <c r="BX165" s="13" t="n">
        <v>178.4</v>
      </c>
      <c r="BY165" s="13" t="n">
        <v>139</v>
      </c>
      <c r="BZ165" s="13" t="n">
        <v>150</v>
      </c>
      <c r="CA165" s="13" t="n">
        <v>127</v>
      </c>
      <c r="CB165" s="13" t="n">
        <v>88</v>
      </c>
      <c r="CC165" s="13" t="n">
        <v>111</v>
      </c>
      <c r="CD165" s="13" t="n">
        <v>17.6</v>
      </c>
      <c r="CE165" s="13" t="n">
        <v>1450</v>
      </c>
      <c r="CF165" s="13" t="n">
        <v>1.24</v>
      </c>
      <c r="CG165" s="13" t="n">
        <v>1793</v>
      </c>
      <c r="CH165" s="13" t="n">
        <v>189</v>
      </c>
      <c r="CI165" s="13" t="n">
        <v>89</v>
      </c>
      <c r="CJ165" s="13" t="n">
        <v>39</v>
      </c>
      <c r="CK165" s="13" t="n">
        <v>254</v>
      </c>
      <c r="CL165" s="13" t="n">
        <v>11</v>
      </c>
      <c r="CM165" s="13" t="n">
        <v>143</v>
      </c>
      <c r="CN165" s="13" t="n">
        <v>0.27</v>
      </c>
      <c r="CO165" s="13" t="n">
        <v>139</v>
      </c>
      <c r="CP165" s="13" t="n">
        <v>142</v>
      </c>
      <c r="CQ165" s="13" t="n">
        <v>115</v>
      </c>
      <c r="CR165" s="13" t="n">
        <v>7</v>
      </c>
      <c r="CS165" s="13" t="n">
        <v>10.4</v>
      </c>
      <c r="CT165" s="11" t="inlineStr">
        <is>
          <t xml:space="preserve"> Resort Freeride</t>
        </is>
      </c>
      <c r="CU165" s="11" t="inlineStr">
        <is>
          <t xml:space="preserve"> Touring</t>
        </is>
      </c>
      <c r="CV165" s="13" t="n"/>
      <c r="CW165" s="13" t="n"/>
      <c r="CX165">
        <f>INDEX('Data_Price '!AG$2:AG$1266,MATCH(Data!$DN165,'Data_Price '!$AT$2:$AT$1266,0))</f>
        <v/>
      </c>
      <c r="CY165">
        <f>INDEX('Data_Price '!AH$2:AH$1266,MATCH(Data!$DN165,'Data_Price '!$AT$2:$AT$1266,0))</f>
        <v/>
      </c>
      <c r="CZ165">
        <f>INDEX('Data_Price '!AI$2:AI$1266,MATCH(Data!$DN165,'Data_Price '!$AT$2:$AT$1266,0))</f>
        <v/>
      </c>
      <c r="DA165">
        <f>INDEX('Data_Price '!AJ$2:AJ$1266,MATCH(Data!$DN165,'Data_Price '!$AT$2:$AT$1266,0))</f>
        <v/>
      </c>
      <c r="DB165">
        <f>INDEX('Data_Price '!AK$2:AK$1266,MATCH(Data!$DN165,'Data_Price '!$AT$2:$AT$1266,0))</f>
        <v/>
      </c>
      <c r="DC165">
        <f>INDEX('Data_Price '!AL$2:AL$1266,MATCH(Data!$DN165,'Data_Price '!$AT$2:$AT$1266,0))</f>
        <v/>
      </c>
      <c r="DD165">
        <f>INDEX('Data_Price '!AM$2:AM$1266,MATCH(Data!$DN165,'Data_Price '!$AT$2:$AT$1266,0))</f>
        <v/>
      </c>
      <c r="DE165">
        <f>INDEX('Data_Price '!AN$2:AN$1266,MATCH(Data!$DN165,'Data_Price '!$AT$2:$AT$1266,0))</f>
        <v/>
      </c>
      <c r="DF165">
        <f>INDEX('Data_Price '!AO$2:AO$1266,MATCH(Data!$DN165,'Data_Price '!$AT$2:$AT$1266,0))</f>
        <v/>
      </c>
      <c r="DG165">
        <f>INDEX('Data_Price '!AP$2:AP$1266,MATCH(Data!$DN165,'Data_Price '!$AT$2:$AT$1266,0))</f>
        <v/>
      </c>
      <c r="DH165">
        <f>INDEX('Data_Price '!AQ$2:AQ$1266,MATCH(Data!$DN165,'Data_Price '!$AT$2:$AT$1266,0))</f>
        <v/>
      </c>
      <c r="DI165">
        <f>INDEX('Data_Price '!AR$2:AR$1266,MATCH(Data!$DN165,'Data_Price '!$AT$2:$AT$1266,0))</f>
        <v/>
      </c>
      <c r="DJ165" s="138">
        <f>DA165</f>
        <v/>
      </c>
      <c r="DK165" s="138">
        <f>DE165</f>
        <v/>
      </c>
      <c r="DL165" s="138">
        <f>DI165</f>
        <v/>
      </c>
      <c r="DM165" s="303">
        <f>IF(LEFT(BT165,1)=" ",RIGHT(BT165,LEN(BT165)-1),BT165)</f>
        <v/>
      </c>
      <c r="DN165" s="138">
        <f>_xlfn.CONCAT(BS165,DM165,BU165,BV165)</f>
        <v/>
      </c>
      <c r="DO165" s="307" t="inlineStr">
        <is>
          <t>https://images.evo.com/imgp/250/181610/748869/black-crows-orb-freebird-skis-2022-.jpg</t>
        </is>
      </c>
    </row>
    <row r="166" ht="15.6" customHeight="1" s="184">
      <c r="B166" s="303">
        <f t="array" ref="B166">IF(OR(ISERROR(K166:P166)),FALSE,TRUE)</f>
        <v/>
      </c>
      <c r="C166" s="60">
        <f>OR(BR166=Driver!$G$50,Data!BR636=Driver!$H$50)</f>
        <v/>
      </c>
      <c r="D166" s="60">
        <f>OR(BV166=Driver!$G$51,BV166=Driver!$H$51)</f>
        <v/>
      </c>
      <c r="E166" s="60">
        <f>AND(BX166&gt;Driver!$F$54,BX166&lt;Driver!$G$54)</f>
        <v/>
      </c>
      <c r="F166" s="60">
        <f>CL166&gt;Driver!$F$56</f>
        <v/>
      </c>
      <c r="G166" s="60">
        <f>AND(CB166&gt;Driver!$F$55,CB166&lt;Driver!$G$55)</f>
        <v/>
      </c>
      <c r="H166" s="60">
        <f>AND(B166:G166)</f>
        <v/>
      </c>
      <c r="I166" s="60">
        <f>COUNTIFS($H$9:$H$1273,TRUE,$BT$9:$BT$1273,BT166)</f>
        <v/>
      </c>
      <c r="J166" s="60">
        <f t="array" ref="J166">NOT(OR(($H$9:$H$1273=TRUE)*($I$9:$I$1273&gt;0)*($BT$9:$BT$1273=BT166)*($K$9:$K$1273&gt;K166)))</f>
        <v/>
      </c>
      <c r="K166" s="108">
        <f>IFERROR(1-AVERAGE(X166:Y166),"")</f>
        <v/>
      </c>
      <c r="L166" s="108">
        <f>1-X166</f>
        <v/>
      </c>
      <c r="M166" s="108">
        <f>1-Y166</f>
        <v/>
      </c>
      <c r="N166" s="108">
        <f>1-Z166</f>
        <v/>
      </c>
      <c r="O166" s="108">
        <f>1-AA166</f>
        <v/>
      </c>
      <c r="P166" s="108">
        <f>1-AB166</f>
        <v/>
      </c>
      <c r="Q166" s="108" t="n"/>
      <c r="R166" s="108" t="n"/>
      <c r="S166" s="108">
        <f>1-AE166</f>
        <v/>
      </c>
      <c r="T166" s="108">
        <f>1-AF166</f>
        <v/>
      </c>
      <c r="U166" s="108">
        <f>1-AG166</f>
        <v/>
      </c>
      <c r="V166" s="108">
        <f>1-AH166</f>
        <v/>
      </c>
      <c r="W166" s="108">
        <f>1-AI166</f>
        <v/>
      </c>
      <c r="X166" s="108">
        <f>ABS(AJ166-AJ$1)</f>
        <v/>
      </c>
      <c r="Y166" s="108">
        <f>AVERAGE(Z166:AB166)</f>
        <v/>
      </c>
      <c r="Z166" s="108">
        <f>ABS(AL166-AL$1)</f>
        <v/>
      </c>
      <c r="AA166" s="108">
        <f>ABS(AM166-AM$1)</f>
        <v/>
      </c>
      <c r="AB166" s="108">
        <f>ABS(AN166-AN$1)</f>
        <v/>
      </c>
      <c r="AC166" s="108" t="n"/>
      <c r="AD166" s="108" t="n"/>
      <c r="AE166" s="108">
        <f>ABS(AQ$1-AQ166)</f>
        <v/>
      </c>
      <c r="AF166" s="108">
        <f>ABS(AR$1-AR166)</f>
        <v/>
      </c>
      <c r="AG166" s="108">
        <f>ABS(AS$1-AS166)</f>
        <v/>
      </c>
      <c r="AH166" s="108">
        <f>ABS(AT$1-AT166)</f>
        <v/>
      </c>
      <c r="AI166" s="108">
        <f>ABS(AU$1-AU166)</f>
        <v/>
      </c>
      <c r="AJ166" s="108">
        <f>(AV166-Driver!$K$179)/(Driver!$L$179-Driver!$K$179)</f>
        <v/>
      </c>
      <c r="AK166" s="108">
        <f>(AW166-Driver!$K$180)/(Driver!$L$180-Driver!$K$180)</f>
        <v/>
      </c>
      <c r="AL166" s="108">
        <f>(AX166-Driver!$K$181)/(Driver!$L$181-Driver!$K$181)</f>
        <v/>
      </c>
      <c r="AM166" s="108">
        <f>(AY166-Driver!$K$182)/(Driver!$L$182-Driver!$K$182)</f>
        <v/>
      </c>
      <c r="AN166" s="108">
        <f>(AZ166-Driver!$K$183)/(Driver!$L$183-Driver!$K$183)</f>
        <v/>
      </c>
      <c r="AO166" s="108" t="n"/>
      <c r="AP166" s="108" t="n"/>
      <c r="AQ166" s="108">
        <f>(BC166-Driver!$K$188)/(Driver!$L$188-Driver!$K$188)</f>
        <v/>
      </c>
      <c r="AR166" s="108">
        <f>MIN((BD166-Driver!$K$189)/(Driver!$L$189-Driver!$K$189),100%)</f>
        <v/>
      </c>
      <c r="AS166" s="108">
        <f>(BE166-Driver!$K$190)/(Driver!$L$190-Driver!$K$190)</f>
        <v/>
      </c>
      <c r="AT166" s="108">
        <f>(BF166-Driver!$K$191)/(Driver!$L$191-Driver!$K$191)</f>
        <v/>
      </c>
      <c r="AU166" s="108">
        <f>(BG166-Driver!$K$192)/(Driver!$L$192-Driver!$K$192)</f>
        <v/>
      </c>
      <c r="AV166" s="105">
        <f>IFERROR(BM166*BJ166^1/4,"")</f>
        <v/>
      </c>
      <c r="AW166" s="105">
        <f>IFERROR(SUM(AX166:AZ166),"")</f>
        <v/>
      </c>
      <c r="AX166" s="105">
        <f>IFERROR(BH166,"")</f>
        <v/>
      </c>
      <c r="AY166" s="105">
        <f>IFERROR(Driver!$K$19/Data!BH166/Data!BI166*Data!BK166*Data!BL166,"")</f>
        <v/>
      </c>
      <c r="AZ166" s="105">
        <f>IFERROR(BI166*BN166,"")</f>
        <v/>
      </c>
      <c r="BA166" s="105" t="n"/>
      <c r="BB166" s="105" t="n"/>
      <c r="BC166" s="105">
        <f>IFERROR(BI166*BN166*BK166/BJ166^(1/2),"")</f>
        <v/>
      </c>
      <c r="BD166" s="105">
        <f>IFERROR(BH166*BM166*BL166/BJ166/BK166,"")</f>
        <v/>
      </c>
      <c r="BE166" s="105">
        <f>IFERROR(MIN(BI166/BQ166/BP166/BO166/BH166,$BE$1),"")</f>
        <v/>
      </c>
      <c r="BF166" s="105">
        <f>IFERROR(BJ166*BO166*BP166/BK166,"")</f>
        <v/>
      </c>
      <c r="BG166" s="105">
        <f>IFERROR(1/BM166/BH166*BQ166,"")</f>
        <v/>
      </c>
      <c r="BH166" s="102">
        <f>MAX((CE166-Driver!$F$200)/(Driver!$G$200-Driver!$F$200)*$BI$1,1)</f>
        <v/>
      </c>
      <c r="BI166" s="102">
        <f>MAX($BI$1*(BY166-Driver!$F$201)/(Driver!$G$201-Driver!$F$201),1)</f>
        <v/>
      </c>
      <c r="BJ166" s="102">
        <f>(CB166-Driver!$F$206)/(Driver!$G$206-Driver!$F$206)*$BI$1</f>
        <v/>
      </c>
      <c r="BK166" s="102">
        <f>(CD166-Driver!$F$203)/(Driver!$G$203-Driver!$F$203)*$BI$1</f>
        <v/>
      </c>
      <c r="BL166" s="102">
        <f>MAX((CR166-Driver!$F$202)/(Driver!$G$202-Driver!$F$202)*$BI$1,1)</f>
        <v/>
      </c>
      <c r="BM166" s="102">
        <f>MAX((CH166-Driver!$F$204)/(Driver!$G$204-Driver!$F$204)*$BI$1,1)</f>
        <v/>
      </c>
      <c r="BN166" s="102">
        <f>(CI166-Driver!$F$205)/(Driver!$G$205-Driver!$F$205)*$BI$1</f>
        <v/>
      </c>
      <c r="BO166" s="102">
        <f>(CK166-Driver!$F$207)/(Driver!$G$207-Driver!$F$207)*$BI$1</f>
        <v/>
      </c>
      <c r="BP166" s="102">
        <f>(CM166-Driver!$F$208)/(Driver!$G$208-Driver!$F$208)*$BI$1</f>
        <v/>
      </c>
      <c r="BQ166" s="102">
        <f>(CL166-Driver!$F$209)/(Driver!$G$209-Driver!$F$209)*$BI$1</f>
        <v/>
      </c>
      <c r="BR166" s="40" t="inlineStr">
        <is>
          <t>21/22</t>
        </is>
      </c>
      <c r="BS166" s="10" t="inlineStr">
        <is>
          <t xml:space="preserve"> Head</t>
        </is>
      </c>
      <c r="BT166" s="11" t="inlineStr">
        <is>
          <t>Oblivion 94</t>
        </is>
      </c>
      <c r="BU166" s="13" t="n">
        <v>177</v>
      </c>
      <c r="BV166" s="11" t="inlineStr">
        <is>
          <t xml:space="preserve"> Unisex</t>
        </is>
      </c>
      <c r="BW166" s="13" t="n">
        <v>177</v>
      </c>
      <c r="BX166" s="13" t="n">
        <v>175.2</v>
      </c>
      <c r="BY166" s="13" t="n">
        <v>137</v>
      </c>
      <c r="BZ166" s="13" t="n">
        <v>156</v>
      </c>
      <c r="CA166" s="13" t="n">
        <v>126</v>
      </c>
      <c r="CB166" s="13" t="n">
        <v>92</v>
      </c>
      <c r="CC166" s="13" t="n">
        <v>116</v>
      </c>
      <c r="CD166" s="13" t="n">
        <v>20.9</v>
      </c>
      <c r="CE166" s="13" t="n">
        <v>1773</v>
      </c>
      <c r="CF166" s="13" t="n">
        <v>1.01</v>
      </c>
      <c r="CG166" s="13" t="n">
        <v>1793</v>
      </c>
      <c r="CH166" s="13" t="n">
        <v>181</v>
      </c>
      <c r="CI166" s="13" t="n">
        <v>75</v>
      </c>
      <c r="CJ166" s="13" t="n">
        <v>53</v>
      </c>
      <c r="CK166" s="13" t="n">
        <v>237</v>
      </c>
      <c r="CL166" s="13" t="n">
        <v>37</v>
      </c>
      <c r="CM166" s="13" t="n">
        <v>141</v>
      </c>
      <c r="CN166" s="13" t="n">
        <v>0.6909999999999999</v>
      </c>
      <c r="CO166" s="13" t="n">
        <v>98</v>
      </c>
      <c r="CP166" s="13" t="n">
        <v>92</v>
      </c>
      <c r="CQ166" s="13" t="n">
        <v>139</v>
      </c>
      <c r="CR166" s="13" t="n">
        <v>10</v>
      </c>
      <c r="CS166" s="13" t="n">
        <v>5.5</v>
      </c>
      <c r="CT166" s="11" t="inlineStr">
        <is>
          <t xml:space="preserve"> Resort Freeride</t>
        </is>
      </c>
      <c r="CU166" s="13" t="n"/>
      <c r="CV166" s="13" t="n"/>
      <c r="CW166" s="13" t="n"/>
      <c r="CX166">
        <f>INDEX('Data_Price '!AG$2:AG$1266,MATCH(Data!$DN166,'Data_Price '!$AT$2:$AT$1266,0))</f>
        <v/>
      </c>
      <c r="CY166">
        <f>INDEX('Data_Price '!AH$2:AH$1266,MATCH(Data!$DN166,'Data_Price '!$AT$2:$AT$1266,0))</f>
        <v/>
      </c>
      <c r="CZ166">
        <f>INDEX('Data_Price '!AI$2:AI$1266,MATCH(Data!$DN166,'Data_Price '!$AT$2:$AT$1266,0))</f>
        <v/>
      </c>
      <c r="DA166">
        <f>INDEX('Data_Price '!AJ$2:AJ$1266,MATCH(Data!$DN166,'Data_Price '!$AT$2:$AT$1266,0))</f>
        <v/>
      </c>
      <c r="DB166">
        <f>INDEX('Data_Price '!AK$2:AK$1266,MATCH(Data!$DN166,'Data_Price '!$AT$2:$AT$1266,0))</f>
        <v/>
      </c>
      <c r="DC166">
        <f>INDEX('Data_Price '!AL$2:AL$1266,MATCH(Data!$DN166,'Data_Price '!$AT$2:$AT$1266,0))</f>
        <v/>
      </c>
      <c r="DD166">
        <f>INDEX('Data_Price '!AM$2:AM$1266,MATCH(Data!$DN166,'Data_Price '!$AT$2:$AT$1266,0))</f>
        <v/>
      </c>
      <c r="DE166">
        <f>INDEX('Data_Price '!AN$2:AN$1266,MATCH(Data!$DN166,'Data_Price '!$AT$2:$AT$1266,0))</f>
        <v/>
      </c>
      <c r="DF166">
        <f>INDEX('Data_Price '!AO$2:AO$1266,MATCH(Data!$DN166,'Data_Price '!$AT$2:$AT$1266,0))</f>
        <v/>
      </c>
      <c r="DG166">
        <f>INDEX('Data_Price '!AP$2:AP$1266,MATCH(Data!$DN166,'Data_Price '!$AT$2:$AT$1266,0))</f>
        <v/>
      </c>
      <c r="DH166">
        <f>INDEX('Data_Price '!AQ$2:AQ$1266,MATCH(Data!$DN166,'Data_Price '!$AT$2:$AT$1266,0))</f>
        <v/>
      </c>
      <c r="DI166">
        <f>INDEX('Data_Price '!AR$2:AR$1266,MATCH(Data!$DN166,'Data_Price '!$AT$2:$AT$1266,0))</f>
        <v/>
      </c>
      <c r="DJ166" s="138">
        <f>DA166</f>
        <v/>
      </c>
      <c r="DK166" s="138">
        <f>DE166</f>
        <v/>
      </c>
      <c r="DL166" s="138">
        <f>DI166</f>
        <v/>
      </c>
      <c r="DM166" s="303">
        <f>IF(LEFT(BT166,1)=" ",RIGHT(BT166,LEN(BT166)-1),BT166)</f>
        <v/>
      </c>
      <c r="DN166" s="138">
        <f>_xlfn.CONCAT(BS166,DM166,BU166,BV166)</f>
        <v/>
      </c>
      <c r="DO166" s="307" t="inlineStr">
        <is>
          <t>https://images.evo.com/imgp/250/208282/832656/clone.jpg</t>
        </is>
      </c>
    </row>
    <row r="167" ht="15.6" customHeight="1" s="184">
      <c r="B167" s="303">
        <f t="array" ref="B167">IF(OR(ISERROR(K167:P167)),FALSE,TRUE)</f>
        <v/>
      </c>
      <c r="C167" s="60">
        <f>OR(BR167=Driver!$G$50,Data!BR97=Driver!$H$50)</f>
        <v/>
      </c>
      <c r="D167" s="60">
        <f>OR(BV167=Driver!$G$51,BV167=Driver!$H$51)</f>
        <v/>
      </c>
      <c r="E167" s="60">
        <f>AND(BX167&gt;Driver!$F$54,BX167&lt;Driver!$G$54)</f>
        <v/>
      </c>
      <c r="F167" s="60">
        <f>CL167&gt;Driver!$F$56</f>
        <v/>
      </c>
      <c r="G167" s="60">
        <f>AND(CB167&gt;Driver!$F$55,CB167&lt;Driver!$G$55)</f>
        <v/>
      </c>
      <c r="H167" s="60">
        <f>AND(B167:G167)</f>
        <v/>
      </c>
      <c r="I167" s="60">
        <f>COUNTIFS($H$9:$H$1273,TRUE,$BT$9:$BT$1273,BT167)</f>
        <v/>
      </c>
      <c r="J167" s="60">
        <f t="array" ref="J167">NOT(OR(($H$9:$H$1273=TRUE)*($I$9:$I$1273&gt;0)*($BT$9:$BT$1273=BT167)*($K$9:$K$1273&gt;K167)))</f>
        <v/>
      </c>
      <c r="K167" s="108">
        <f>IFERROR(1-AVERAGE(X167:Y167),"")</f>
        <v/>
      </c>
      <c r="L167" s="108">
        <f>1-X167</f>
        <v/>
      </c>
      <c r="M167" s="108">
        <f>1-Y167</f>
        <v/>
      </c>
      <c r="N167" s="108">
        <f>1-Z167</f>
        <v/>
      </c>
      <c r="O167" s="108">
        <f>1-AA167</f>
        <v/>
      </c>
      <c r="P167" s="108">
        <f>1-AB167</f>
        <v/>
      </c>
      <c r="Q167" s="108" t="n"/>
      <c r="R167" s="108" t="n"/>
      <c r="S167" s="108">
        <f>1-AE167</f>
        <v/>
      </c>
      <c r="T167" s="108">
        <f>1-AF167</f>
        <v/>
      </c>
      <c r="U167" s="108">
        <f>1-AG167</f>
        <v/>
      </c>
      <c r="V167" s="108">
        <f>1-AH167</f>
        <v/>
      </c>
      <c r="W167" s="108">
        <f>1-AI167</f>
        <v/>
      </c>
      <c r="X167" s="108">
        <f>ABS(AJ167-AJ$1)</f>
        <v/>
      </c>
      <c r="Y167" s="108">
        <f>AVERAGE(Z167:AB167)</f>
        <v/>
      </c>
      <c r="Z167" s="108">
        <f>ABS(AL167-AL$1)</f>
        <v/>
      </c>
      <c r="AA167" s="108">
        <f>ABS(AM167-AM$1)</f>
        <v/>
      </c>
      <c r="AB167" s="108">
        <f>ABS(AN167-AN$1)</f>
        <v/>
      </c>
      <c r="AC167" s="108" t="n"/>
      <c r="AD167" s="108" t="n"/>
      <c r="AE167" s="108">
        <f>ABS(AQ$1-AQ167)</f>
        <v/>
      </c>
      <c r="AF167" s="108">
        <f>ABS(AR$1-AR167)</f>
        <v/>
      </c>
      <c r="AG167" s="108">
        <f>ABS(AS$1-AS167)</f>
        <v/>
      </c>
      <c r="AH167" s="108">
        <f>ABS(AT$1-AT167)</f>
        <v/>
      </c>
      <c r="AI167" s="108">
        <f>ABS(AU$1-AU167)</f>
        <v/>
      </c>
      <c r="AJ167" s="108">
        <f>(AV167-Driver!$K$179)/(Driver!$L$179-Driver!$K$179)</f>
        <v/>
      </c>
      <c r="AK167" s="108">
        <f>(AW167-Driver!$K$180)/(Driver!$L$180-Driver!$K$180)</f>
        <v/>
      </c>
      <c r="AL167" s="108">
        <f>(AX167-Driver!$K$181)/(Driver!$L$181-Driver!$K$181)</f>
        <v/>
      </c>
      <c r="AM167" s="108">
        <f>(AY167-Driver!$K$182)/(Driver!$L$182-Driver!$K$182)</f>
        <v/>
      </c>
      <c r="AN167" s="108">
        <f>(AZ167-Driver!$K$183)/(Driver!$L$183-Driver!$K$183)</f>
        <v/>
      </c>
      <c r="AO167" s="108" t="n"/>
      <c r="AP167" s="108" t="n"/>
      <c r="AQ167" s="108">
        <f>(BC167-Driver!$K$188)/(Driver!$L$188-Driver!$K$188)</f>
        <v/>
      </c>
      <c r="AR167" s="108">
        <f>MIN((BD167-Driver!$K$189)/(Driver!$L$189-Driver!$K$189),100%)</f>
        <v/>
      </c>
      <c r="AS167" s="108">
        <f>(BE167-Driver!$K$190)/(Driver!$L$190-Driver!$K$190)</f>
        <v/>
      </c>
      <c r="AT167" s="108">
        <f>(BF167-Driver!$K$191)/(Driver!$L$191-Driver!$K$191)</f>
        <v/>
      </c>
      <c r="AU167" s="108">
        <f>(BG167-Driver!$K$192)/(Driver!$L$192-Driver!$K$192)</f>
        <v/>
      </c>
      <c r="AV167" s="105">
        <f>IFERROR(BM167*BJ167^1/4,"")</f>
        <v/>
      </c>
      <c r="AW167" s="105">
        <f>IFERROR(SUM(AX167:AZ167),"")</f>
        <v/>
      </c>
      <c r="AX167" s="105">
        <f>IFERROR(BH167,"")</f>
        <v/>
      </c>
      <c r="AY167" s="105">
        <f>IFERROR(Driver!$K$19/Data!BH167/Data!BI167*Data!BK167*Data!BL167,"")</f>
        <v/>
      </c>
      <c r="AZ167" s="105">
        <f>IFERROR(BI167*BN167,"")</f>
        <v/>
      </c>
      <c r="BA167" s="105" t="n"/>
      <c r="BB167" s="105" t="n"/>
      <c r="BC167" s="105">
        <f>IFERROR(BI167*BN167*BK167/BJ167^(1/2),"")</f>
        <v/>
      </c>
      <c r="BD167" s="105">
        <f>IFERROR(BH167*BM167*BL167/BJ167/BK167,"")</f>
        <v/>
      </c>
      <c r="BE167" s="105">
        <f>IFERROR(MIN(BI167/BQ167/BP167/BO167/BH167,$BE$1),"")</f>
        <v/>
      </c>
      <c r="BF167" s="105">
        <f>IFERROR(BJ167*BO167*BP167/BK167,"")</f>
        <v/>
      </c>
      <c r="BG167" s="105">
        <f>IFERROR(1/BM167/BH167*BQ167,"")</f>
        <v/>
      </c>
      <c r="BH167" s="102">
        <f>MAX((CE167-Driver!$F$200)/(Driver!$G$200-Driver!$F$200)*$BI$1,1)</f>
        <v/>
      </c>
      <c r="BI167" s="102">
        <f>MAX($BI$1*(BY167-Driver!$F$201)/(Driver!$G$201-Driver!$F$201),1)</f>
        <v/>
      </c>
      <c r="BJ167" s="102">
        <f>(CB167-Driver!$F$206)/(Driver!$G$206-Driver!$F$206)*$BI$1</f>
        <v/>
      </c>
      <c r="BK167" s="102">
        <f>(CD167-Driver!$F$203)/(Driver!$G$203-Driver!$F$203)*$BI$1</f>
        <v/>
      </c>
      <c r="BL167" s="102">
        <f>MAX((CR167-Driver!$F$202)/(Driver!$G$202-Driver!$F$202)*$BI$1,1)</f>
        <v/>
      </c>
      <c r="BM167" s="102">
        <f>MAX((CH167-Driver!$F$204)/(Driver!$G$204-Driver!$F$204)*$BI$1,1)</f>
        <v/>
      </c>
      <c r="BN167" s="102">
        <f>(CI167-Driver!$F$205)/(Driver!$G$205-Driver!$F$205)*$BI$1</f>
        <v/>
      </c>
      <c r="BO167" s="102">
        <f>(CK167-Driver!$F$207)/(Driver!$G$207-Driver!$F$207)*$BI$1</f>
        <v/>
      </c>
      <c r="BP167" s="102">
        <f>(CM167-Driver!$F$208)/(Driver!$G$208-Driver!$F$208)*$BI$1</f>
        <v/>
      </c>
      <c r="BQ167" s="102">
        <f>(CL167-Driver!$F$209)/(Driver!$G$209-Driver!$F$209)*$BI$1</f>
        <v/>
      </c>
      <c r="BR167" s="40" t="inlineStr">
        <is>
          <t>21/22</t>
        </is>
      </c>
      <c r="BS167" s="10" t="inlineStr">
        <is>
          <t xml:space="preserve"> Armada</t>
        </is>
      </c>
      <c r="BT167" s="11" t="inlineStr">
        <is>
          <t>Trace 108</t>
        </is>
      </c>
      <c r="BU167" s="13" t="n">
        <v>172</v>
      </c>
      <c r="BV167" s="11" t="inlineStr">
        <is>
          <t xml:space="preserve"> Women's</t>
        </is>
      </c>
      <c r="BW167" s="13" t="n">
        <v>172</v>
      </c>
      <c r="BX167" s="13" t="n">
        <v>171.3</v>
      </c>
      <c r="BY167" s="13" t="n">
        <v>119</v>
      </c>
      <c r="BZ167" s="13" t="n">
        <v>136</v>
      </c>
      <c r="CA167" s="13" t="n">
        <v>133</v>
      </c>
      <c r="CB167" s="13" t="n">
        <v>107</v>
      </c>
      <c r="CC167" s="13" t="n">
        <v>125</v>
      </c>
      <c r="CD167" s="13" t="n">
        <v>18.1</v>
      </c>
      <c r="CE167" s="13" t="n">
        <v>1596</v>
      </c>
      <c r="CF167" s="13" t="n">
        <v>1.25</v>
      </c>
      <c r="CG167" s="13" t="n">
        <v>1989</v>
      </c>
      <c r="CH167" s="13" t="n">
        <v>163</v>
      </c>
      <c r="CI167" s="13" t="n">
        <v>93</v>
      </c>
      <c r="CJ167" s="13" t="n">
        <v>45</v>
      </c>
      <c r="CK167" s="13" t="n">
        <v>355</v>
      </c>
      <c r="CL167" s="13" t="n">
        <v>28</v>
      </c>
      <c r="CM167" s="13" t="n">
        <v>167</v>
      </c>
      <c r="CN167" s="13" t="n">
        <v>0.622</v>
      </c>
      <c r="CO167" s="13" t="n">
        <v>208</v>
      </c>
      <c r="CP167" s="13" t="n">
        <v>143</v>
      </c>
      <c r="CQ167" s="13" t="n">
        <v>147</v>
      </c>
      <c r="CR167" s="13" t="n">
        <v>5</v>
      </c>
      <c r="CS167" s="13" t="n">
        <v>9.800000000000001</v>
      </c>
      <c r="CT167" s="11" t="inlineStr">
        <is>
          <t xml:space="preserve"> Powder</t>
        </is>
      </c>
      <c r="CU167" s="11" t="inlineStr">
        <is>
          <t xml:space="preserve"> Touring</t>
        </is>
      </c>
      <c r="CV167" s="13" t="n"/>
      <c r="CW167" s="13" t="n"/>
      <c r="CX167">
        <f>INDEX('Data_Price '!AG$2:AG$1266,MATCH(Data!$DN167,'Data_Price '!$AT$2:$AT$1266,0))</f>
        <v/>
      </c>
      <c r="CY167">
        <f>INDEX('Data_Price '!AH$2:AH$1266,MATCH(Data!$DN167,'Data_Price '!$AT$2:$AT$1266,0))</f>
        <v/>
      </c>
      <c r="CZ167">
        <f>INDEX('Data_Price '!AI$2:AI$1266,MATCH(Data!$DN167,'Data_Price '!$AT$2:$AT$1266,0))</f>
        <v/>
      </c>
      <c r="DA167">
        <f>INDEX('Data_Price '!AJ$2:AJ$1266,MATCH(Data!$DN167,'Data_Price '!$AT$2:$AT$1266,0))</f>
        <v/>
      </c>
      <c r="DB167">
        <f>INDEX('Data_Price '!AK$2:AK$1266,MATCH(Data!$DN167,'Data_Price '!$AT$2:$AT$1266,0))</f>
        <v/>
      </c>
      <c r="DC167">
        <f>INDEX('Data_Price '!AL$2:AL$1266,MATCH(Data!$DN167,'Data_Price '!$AT$2:$AT$1266,0))</f>
        <v/>
      </c>
      <c r="DD167">
        <f>INDEX('Data_Price '!AM$2:AM$1266,MATCH(Data!$DN167,'Data_Price '!$AT$2:$AT$1266,0))</f>
        <v/>
      </c>
      <c r="DE167">
        <f>INDEX('Data_Price '!AN$2:AN$1266,MATCH(Data!$DN167,'Data_Price '!$AT$2:$AT$1266,0))</f>
        <v/>
      </c>
      <c r="DF167">
        <f>INDEX('Data_Price '!AO$2:AO$1266,MATCH(Data!$DN167,'Data_Price '!$AT$2:$AT$1266,0))</f>
        <v/>
      </c>
      <c r="DG167">
        <f>INDEX('Data_Price '!AP$2:AP$1266,MATCH(Data!$DN167,'Data_Price '!$AT$2:$AT$1266,0))</f>
        <v/>
      </c>
      <c r="DH167">
        <f>INDEX('Data_Price '!AQ$2:AQ$1266,MATCH(Data!$DN167,'Data_Price '!$AT$2:$AT$1266,0))</f>
        <v/>
      </c>
      <c r="DI167">
        <f>INDEX('Data_Price '!AR$2:AR$1266,MATCH(Data!$DN167,'Data_Price '!$AT$2:$AT$1266,0))</f>
        <v/>
      </c>
      <c r="DJ167" s="138">
        <f>DA167</f>
        <v/>
      </c>
      <c r="DK167" s="138">
        <f>DE167</f>
        <v/>
      </c>
      <c r="DL167" s="138">
        <f>DI167</f>
        <v/>
      </c>
      <c r="DM167" s="303">
        <f>IF(LEFT(BT167,1)=" ",RIGHT(BT167,LEN(BT167)-1),BT167)</f>
        <v/>
      </c>
      <c r="DN167" s="138">
        <f>_xlfn.CONCAT(BS167,DM167,BU167,BV167)</f>
        <v/>
      </c>
      <c r="DO167" s="307" t="inlineStr">
        <is>
          <t>https://images.evo.com/imgp/250/198710/839681/armada-trace-108-skis-women-s-2022-.jpg</t>
        </is>
      </c>
    </row>
    <row r="168" ht="15.6" customHeight="1" s="184">
      <c r="B168" s="303">
        <f t="array" ref="B168">IF(OR(ISERROR(K168:P168)),FALSE,TRUE)</f>
        <v/>
      </c>
      <c r="C168" s="60">
        <f>OR(BR168=Driver!$G$50,Data!BR10=Driver!$H$50)</f>
        <v/>
      </c>
      <c r="D168" s="60">
        <f>OR(BV168=Driver!$G$51,BV168=Driver!$H$51)</f>
        <v/>
      </c>
      <c r="E168" s="60">
        <f>AND(BX168&gt;Driver!$F$54,BX168&lt;Driver!$G$54)</f>
        <v/>
      </c>
      <c r="F168" s="60">
        <f>CL168&gt;Driver!$F$56</f>
        <v/>
      </c>
      <c r="G168" s="60">
        <f>AND(CB168&gt;Driver!$F$55,CB168&lt;Driver!$G$55)</f>
        <v/>
      </c>
      <c r="H168" s="60">
        <f>AND(B168:G168)</f>
        <v/>
      </c>
      <c r="I168" s="60">
        <f>COUNTIFS($H$9:$H$1273,TRUE,$BT$9:$BT$1273,BT168)</f>
        <v/>
      </c>
      <c r="J168" s="60">
        <f t="array" ref="J168">NOT(OR(($H$9:$H$1273=TRUE)*($I$9:$I$1273&gt;0)*($BT$9:$BT$1273=BT168)*($K$9:$K$1273&gt;K168)))</f>
        <v/>
      </c>
      <c r="K168" s="108">
        <f>IFERROR(1-AVERAGE(X168:Y168),"")</f>
        <v/>
      </c>
      <c r="L168" s="108">
        <f>1-X168</f>
        <v/>
      </c>
      <c r="M168" s="108">
        <f>1-Y168</f>
        <v/>
      </c>
      <c r="N168" s="108">
        <f>1-Z168</f>
        <v/>
      </c>
      <c r="O168" s="108">
        <f>1-AA168</f>
        <v/>
      </c>
      <c r="P168" s="108">
        <f>1-AB168</f>
        <v/>
      </c>
      <c r="Q168" s="108" t="n"/>
      <c r="R168" s="108" t="n"/>
      <c r="S168" s="108">
        <f>1-AE168</f>
        <v/>
      </c>
      <c r="T168" s="108">
        <f>1-AF168</f>
        <v/>
      </c>
      <c r="U168" s="108">
        <f>1-AG168</f>
        <v/>
      </c>
      <c r="V168" s="108">
        <f>1-AH168</f>
        <v/>
      </c>
      <c r="W168" s="108">
        <f>1-AI168</f>
        <v/>
      </c>
      <c r="X168" s="108">
        <f>ABS(AJ168-AJ$1)</f>
        <v/>
      </c>
      <c r="Y168" s="108">
        <f>AVERAGE(Z168:AB168)</f>
        <v/>
      </c>
      <c r="Z168" s="108">
        <f>ABS(AL168-AL$1)</f>
        <v/>
      </c>
      <c r="AA168" s="108">
        <f>ABS(AM168-AM$1)</f>
        <v/>
      </c>
      <c r="AB168" s="108">
        <f>ABS(AN168-AN$1)</f>
        <v/>
      </c>
      <c r="AC168" s="108" t="n"/>
      <c r="AD168" s="108" t="n"/>
      <c r="AE168" s="108">
        <f>ABS(AQ$1-AQ168)</f>
        <v/>
      </c>
      <c r="AF168" s="108">
        <f>ABS(AR$1-AR168)</f>
        <v/>
      </c>
      <c r="AG168" s="108">
        <f>ABS(AS$1-AS168)</f>
        <v/>
      </c>
      <c r="AH168" s="108">
        <f>ABS(AT$1-AT168)</f>
        <v/>
      </c>
      <c r="AI168" s="108">
        <f>ABS(AU$1-AU168)</f>
        <v/>
      </c>
      <c r="AJ168" s="108">
        <f>(AV168-Driver!$K$179)/(Driver!$L$179-Driver!$K$179)</f>
        <v/>
      </c>
      <c r="AK168" s="108">
        <f>(AW168-Driver!$K$180)/(Driver!$L$180-Driver!$K$180)</f>
        <v/>
      </c>
      <c r="AL168" s="108">
        <f>(AX168-Driver!$K$181)/(Driver!$L$181-Driver!$K$181)</f>
        <v/>
      </c>
      <c r="AM168" s="108">
        <f>(AY168-Driver!$K$182)/(Driver!$L$182-Driver!$K$182)</f>
        <v/>
      </c>
      <c r="AN168" s="108">
        <f>(AZ168-Driver!$K$183)/(Driver!$L$183-Driver!$K$183)</f>
        <v/>
      </c>
      <c r="AO168" s="108" t="n"/>
      <c r="AP168" s="108" t="n"/>
      <c r="AQ168" s="108">
        <f>(BC168-Driver!$K$188)/(Driver!$L$188-Driver!$K$188)</f>
        <v/>
      </c>
      <c r="AR168" s="108">
        <f>MIN((BD168-Driver!$K$189)/(Driver!$L$189-Driver!$K$189),100%)</f>
        <v/>
      </c>
      <c r="AS168" s="108">
        <f>(BE168-Driver!$K$190)/(Driver!$L$190-Driver!$K$190)</f>
        <v/>
      </c>
      <c r="AT168" s="108">
        <f>(BF168-Driver!$K$191)/(Driver!$L$191-Driver!$K$191)</f>
        <v/>
      </c>
      <c r="AU168" s="108">
        <f>(BG168-Driver!$K$192)/(Driver!$L$192-Driver!$K$192)</f>
        <v/>
      </c>
      <c r="AV168" s="105">
        <f>IFERROR(BM168*BJ168^1/4,"")</f>
        <v/>
      </c>
      <c r="AW168" s="105">
        <f>IFERROR(SUM(AX168:AZ168),"")</f>
        <v/>
      </c>
      <c r="AX168" s="105">
        <f>IFERROR(BH168,"")</f>
        <v/>
      </c>
      <c r="AY168" s="105">
        <f>IFERROR(Driver!$K$19/Data!BH168/Data!BI168*Data!BK168*Data!BL168,"")</f>
        <v/>
      </c>
      <c r="AZ168" s="105">
        <f>IFERROR(BI168*BN168,"")</f>
        <v/>
      </c>
      <c r="BA168" s="105" t="n"/>
      <c r="BB168" s="105" t="n"/>
      <c r="BC168" s="105">
        <f>IFERROR(BI168*BN168*BK168/BJ168^(1/2),"")</f>
        <v/>
      </c>
      <c r="BD168" s="105">
        <f>IFERROR(BH168*BM168*BL168/BJ168/BK168,"")</f>
        <v/>
      </c>
      <c r="BE168" s="105">
        <f>IFERROR(MIN(BI168/BQ168/BP168/BO168/BH168,$BE$1),"")</f>
        <v/>
      </c>
      <c r="BF168" s="105">
        <f>IFERROR(BJ168*BO168*BP168/BK168,"")</f>
        <v/>
      </c>
      <c r="BG168" s="105">
        <f>IFERROR(1/BM168/BH168*BQ168,"")</f>
        <v/>
      </c>
      <c r="BH168" s="102">
        <f>MAX((CE168-Driver!$F$200)/(Driver!$G$200-Driver!$F$200)*$BI$1,1)</f>
        <v/>
      </c>
      <c r="BI168" s="102">
        <f>MAX($BI$1*(BY168-Driver!$F$201)/(Driver!$G$201-Driver!$F$201),1)</f>
        <v/>
      </c>
      <c r="BJ168" s="102">
        <f>(CB168-Driver!$F$206)/(Driver!$G$206-Driver!$F$206)*$BI$1</f>
        <v/>
      </c>
      <c r="BK168" s="102">
        <f>(CD168-Driver!$F$203)/(Driver!$G$203-Driver!$F$203)*$BI$1</f>
        <v/>
      </c>
      <c r="BL168" s="102">
        <f>MAX((CR168-Driver!$F$202)/(Driver!$G$202-Driver!$F$202)*$BI$1,1)</f>
        <v/>
      </c>
      <c r="BM168" s="102">
        <f>MAX((CH168-Driver!$F$204)/(Driver!$G$204-Driver!$F$204)*$BI$1,1)</f>
        <v/>
      </c>
      <c r="BN168" s="102">
        <f>(CI168-Driver!$F$205)/(Driver!$G$205-Driver!$F$205)*$BI$1</f>
        <v/>
      </c>
      <c r="BO168" s="102">
        <f>(CK168-Driver!$F$207)/(Driver!$G$207-Driver!$F$207)*$BI$1</f>
        <v/>
      </c>
      <c r="BP168" s="102">
        <f>(CM168-Driver!$F$208)/(Driver!$G$208-Driver!$F$208)*$BI$1</f>
        <v/>
      </c>
      <c r="BQ168" s="102">
        <f>(CL168-Driver!$F$209)/(Driver!$G$209-Driver!$F$209)*$BI$1</f>
        <v/>
      </c>
      <c r="BR168" s="40" t="inlineStr">
        <is>
          <t>22/23</t>
        </is>
      </c>
      <c r="BS168" s="10" t="inlineStr">
        <is>
          <t xml:space="preserve"> DPS</t>
        </is>
      </c>
      <c r="BT168" s="11" t="inlineStr">
        <is>
          <t>Pagoda Tour 106 W</t>
        </is>
      </c>
      <c r="BU168" s="13" t="n">
        <v>163</v>
      </c>
      <c r="BV168" s="11" t="inlineStr">
        <is>
          <t xml:space="preserve"> Women's</t>
        </is>
      </c>
      <c r="BW168" s="13" t="n">
        <v>163</v>
      </c>
      <c r="BX168" s="13" t="n">
        <v>161.7</v>
      </c>
      <c r="BY168" s="13" t="n">
        <v>111</v>
      </c>
      <c r="BZ168" s="13" t="n">
        <v>124</v>
      </c>
      <c r="CA168" s="13" t="n">
        <v>132</v>
      </c>
      <c r="CB168" s="13" t="n">
        <v>106</v>
      </c>
      <c r="CC168" s="13" t="n">
        <v>118</v>
      </c>
      <c r="CD168" s="13" t="n">
        <v>18.9</v>
      </c>
      <c r="CE168" s="13" t="n">
        <v>1364</v>
      </c>
      <c r="CF168" s="13" t="n">
        <v>1.35</v>
      </c>
      <c r="CG168" s="13" t="n">
        <v>1840</v>
      </c>
      <c r="CH168" s="13" t="n">
        <v>210</v>
      </c>
      <c r="CI168" s="13" t="n">
        <v>97</v>
      </c>
      <c r="CJ168" s="13" t="n">
        <v>43</v>
      </c>
      <c r="CK168" s="13" t="n">
        <v>273</v>
      </c>
      <c r="CL168" s="13" t="n">
        <v>22</v>
      </c>
      <c r="CM168" s="13" t="n">
        <v>231</v>
      </c>
      <c r="CN168" s="13" t="n">
        <v>0.523</v>
      </c>
      <c r="CO168" s="13" t="n">
        <v>194</v>
      </c>
      <c r="CP168" s="13" t="n">
        <v>181</v>
      </c>
      <c r="CQ168" s="13" t="n">
        <v>79</v>
      </c>
      <c r="CR168" s="13" t="n">
        <v>5</v>
      </c>
      <c r="CS168" s="13" t="n">
        <v>10.7</v>
      </c>
      <c r="CT168" s="11" t="inlineStr">
        <is>
          <t xml:space="preserve"> Powder</t>
        </is>
      </c>
      <c r="CU168" s="11" t="inlineStr">
        <is>
          <t xml:space="preserve"> Touring</t>
        </is>
      </c>
      <c r="CV168" s="11" t="inlineStr">
        <is>
          <t xml:space="preserve"> Ultralight Touring</t>
        </is>
      </c>
      <c r="CW168" s="13" t="n"/>
      <c r="CX168">
        <f>INDEX('Data_Price '!AG$2:AG$1266,MATCH(Data!$DN168,'Data_Price '!$AT$2:$AT$1266,0))</f>
        <v/>
      </c>
      <c r="CY168">
        <f>INDEX('Data_Price '!AH$2:AH$1266,MATCH(Data!$DN168,'Data_Price '!$AT$2:$AT$1266,0))</f>
        <v/>
      </c>
      <c r="CZ168">
        <f>INDEX('Data_Price '!AI$2:AI$1266,MATCH(Data!$DN168,'Data_Price '!$AT$2:$AT$1266,0))</f>
        <v/>
      </c>
      <c r="DA168">
        <f>INDEX('Data_Price '!AJ$2:AJ$1266,MATCH(Data!$DN168,'Data_Price '!$AT$2:$AT$1266,0))</f>
        <v/>
      </c>
      <c r="DB168">
        <f>INDEX('Data_Price '!AK$2:AK$1266,MATCH(Data!$DN168,'Data_Price '!$AT$2:$AT$1266,0))</f>
        <v/>
      </c>
      <c r="DC168">
        <f>INDEX('Data_Price '!AL$2:AL$1266,MATCH(Data!$DN168,'Data_Price '!$AT$2:$AT$1266,0))</f>
        <v/>
      </c>
      <c r="DD168">
        <f>INDEX('Data_Price '!AM$2:AM$1266,MATCH(Data!$DN168,'Data_Price '!$AT$2:$AT$1266,0))</f>
        <v/>
      </c>
      <c r="DE168">
        <f>INDEX('Data_Price '!AN$2:AN$1266,MATCH(Data!$DN168,'Data_Price '!$AT$2:$AT$1266,0))</f>
        <v/>
      </c>
      <c r="DF168">
        <f>INDEX('Data_Price '!AO$2:AO$1266,MATCH(Data!$DN168,'Data_Price '!$AT$2:$AT$1266,0))</f>
        <v/>
      </c>
      <c r="DG168">
        <f>INDEX('Data_Price '!AP$2:AP$1266,MATCH(Data!$DN168,'Data_Price '!$AT$2:$AT$1266,0))</f>
        <v/>
      </c>
      <c r="DH168">
        <f>INDEX('Data_Price '!AQ$2:AQ$1266,MATCH(Data!$DN168,'Data_Price '!$AT$2:$AT$1266,0))</f>
        <v/>
      </c>
      <c r="DI168">
        <f>INDEX('Data_Price '!AR$2:AR$1266,MATCH(Data!$DN168,'Data_Price '!$AT$2:$AT$1266,0))</f>
        <v/>
      </c>
      <c r="DJ168" s="138">
        <f>DA168</f>
        <v/>
      </c>
      <c r="DK168" s="138">
        <f>DE168</f>
        <v/>
      </c>
      <c r="DL168" s="138">
        <f>DI168</f>
        <v/>
      </c>
      <c r="DM168" s="303">
        <f>IF(LEFT(BT168,1)=" ",RIGHT(BT168,LEN(BT168)-1),BT168)</f>
        <v/>
      </c>
      <c r="DN168" s="138">
        <f>_xlfn.CONCAT(BS168,DM168,BU168,BV168)</f>
        <v/>
      </c>
      <c r="DO168" s="307" t="n"/>
    </row>
    <row r="169" ht="15.6" customHeight="1" s="184">
      <c r="B169" s="303">
        <f t="array" ref="B169">IF(OR(ISERROR(K169:P169)),FALSE,TRUE)</f>
        <v/>
      </c>
      <c r="C169" s="60">
        <f>OR(BR169=Driver!$G$50,Data!BR803=Driver!$H$50)</f>
        <v/>
      </c>
      <c r="D169" s="60">
        <f>OR(BV169=Driver!$G$51,BV169=Driver!$H$51)</f>
        <v/>
      </c>
      <c r="E169" s="60">
        <f>AND(BX169&gt;Driver!$F$54,BX169&lt;Driver!$G$54)</f>
        <v/>
      </c>
      <c r="F169" s="60">
        <f>CL169&gt;Driver!$F$56</f>
        <v/>
      </c>
      <c r="G169" s="60">
        <f>AND(CB169&gt;Driver!$F$55,CB169&lt;Driver!$G$55)</f>
        <v/>
      </c>
      <c r="H169" s="60">
        <f>AND(B169:G169)</f>
        <v/>
      </c>
      <c r="I169" s="60">
        <f>COUNTIFS($H$9:$H$1273,TRUE,$BT$9:$BT$1273,BT169)</f>
        <v/>
      </c>
      <c r="J169" s="60">
        <f t="array" ref="J169">NOT(OR(($H$9:$H$1273=TRUE)*($I$9:$I$1273&gt;0)*($BT$9:$BT$1273=BT169)*($K$9:$K$1273&gt;K169)))</f>
        <v/>
      </c>
      <c r="K169" s="108">
        <f>IFERROR(1-AVERAGE(X169:Y169),"")</f>
        <v/>
      </c>
      <c r="L169" s="108">
        <f>1-X169</f>
        <v/>
      </c>
      <c r="M169" s="108">
        <f>1-Y169</f>
        <v/>
      </c>
      <c r="N169" s="108">
        <f>1-Z169</f>
        <v/>
      </c>
      <c r="O169" s="108">
        <f>1-AA169</f>
        <v/>
      </c>
      <c r="P169" s="108">
        <f>1-AB169</f>
        <v/>
      </c>
      <c r="Q169" s="108" t="n"/>
      <c r="R169" s="108" t="n"/>
      <c r="S169" s="108">
        <f>1-AE169</f>
        <v/>
      </c>
      <c r="T169" s="108">
        <f>1-AF169</f>
        <v/>
      </c>
      <c r="U169" s="108">
        <f>1-AG169</f>
        <v/>
      </c>
      <c r="V169" s="108">
        <f>1-AH169</f>
        <v/>
      </c>
      <c r="W169" s="108">
        <f>1-AI169</f>
        <v/>
      </c>
      <c r="X169" s="108">
        <f>ABS(AJ169-AJ$1)</f>
        <v/>
      </c>
      <c r="Y169" s="108">
        <f>AVERAGE(Z169:AB169)</f>
        <v/>
      </c>
      <c r="Z169" s="108">
        <f>ABS(AL169-AL$1)</f>
        <v/>
      </c>
      <c r="AA169" s="108">
        <f>ABS(AM169-AM$1)</f>
        <v/>
      </c>
      <c r="AB169" s="108">
        <f>ABS(AN169-AN$1)</f>
        <v/>
      </c>
      <c r="AC169" s="108" t="n"/>
      <c r="AD169" s="108" t="n"/>
      <c r="AE169" s="108">
        <f>ABS(AQ$1-AQ169)</f>
        <v/>
      </c>
      <c r="AF169" s="108">
        <f>ABS(AR$1-AR169)</f>
        <v/>
      </c>
      <c r="AG169" s="108">
        <f>ABS(AS$1-AS169)</f>
        <v/>
      </c>
      <c r="AH169" s="108">
        <f>ABS(AT$1-AT169)</f>
        <v/>
      </c>
      <c r="AI169" s="108">
        <f>ABS(AU$1-AU169)</f>
        <v/>
      </c>
      <c r="AJ169" s="108">
        <f>(AV169-Driver!$K$179)/(Driver!$L$179-Driver!$K$179)</f>
        <v/>
      </c>
      <c r="AK169" s="108">
        <f>(AW169-Driver!$K$180)/(Driver!$L$180-Driver!$K$180)</f>
        <v/>
      </c>
      <c r="AL169" s="108">
        <f>(AX169-Driver!$K$181)/(Driver!$L$181-Driver!$K$181)</f>
        <v/>
      </c>
      <c r="AM169" s="108">
        <f>(AY169-Driver!$K$182)/(Driver!$L$182-Driver!$K$182)</f>
        <v/>
      </c>
      <c r="AN169" s="108">
        <f>(AZ169-Driver!$K$183)/(Driver!$L$183-Driver!$K$183)</f>
        <v/>
      </c>
      <c r="AO169" s="108" t="n"/>
      <c r="AP169" s="108" t="n"/>
      <c r="AQ169" s="108">
        <f>(BC169-Driver!$K$188)/(Driver!$L$188-Driver!$K$188)</f>
        <v/>
      </c>
      <c r="AR169" s="108">
        <f>MIN((BD169-Driver!$K$189)/(Driver!$L$189-Driver!$K$189),100%)</f>
        <v/>
      </c>
      <c r="AS169" s="108">
        <f>(BE169-Driver!$K$190)/(Driver!$L$190-Driver!$K$190)</f>
        <v/>
      </c>
      <c r="AT169" s="108">
        <f>(BF169-Driver!$K$191)/(Driver!$L$191-Driver!$K$191)</f>
        <v/>
      </c>
      <c r="AU169" s="108">
        <f>(BG169-Driver!$K$192)/(Driver!$L$192-Driver!$K$192)</f>
        <v/>
      </c>
      <c r="AV169" s="105">
        <f>IFERROR(BM169*BJ169^1/4,"")</f>
        <v/>
      </c>
      <c r="AW169" s="105">
        <f>IFERROR(SUM(AX169:AZ169),"")</f>
        <v/>
      </c>
      <c r="AX169" s="105">
        <f>IFERROR(BH169,"")</f>
        <v/>
      </c>
      <c r="AY169" s="105">
        <f>IFERROR(Driver!$K$19/Data!BH169/Data!BI169*Data!BK169*Data!BL169,"")</f>
        <v/>
      </c>
      <c r="AZ169" s="105">
        <f>IFERROR(BI169*BN169,"")</f>
        <v/>
      </c>
      <c r="BA169" s="105" t="n"/>
      <c r="BB169" s="105" t="n"/>
      <c r="BC169" s="105">
        <f>IFERROR(BI169*BN169*BK169/BJ169^(1/2),"")</f>
        <v/>
      </c>
      <c r="BD169" s="105">
        <f>IFERROR(BH169*BM169*BL169/BJ169/BK169,"")</f>
        <v/>
      </c>
      <c r="BE169" s="105">
        <f>IFERROR(MIN(BI169/BQ169/BP169/BO169/BH169,$BE$1),"")</f>
        <v/>
      </c>
      <c r="BF169" s="105">
        <f>IFERROR(BJ169*BO169*BP169/BK169,"")</f>
        <v/>
      </c>
      <c r="BG169" s="105">
        <f>IFERROR(1/BM169/BH169*BQ169,"")</f>
        <v/>
      </c>
      <c r="BH169" s="102">
        <f>MAX((CE169-Driver!$F$200)/(Driver!$G$200-Driver!$F$200)*$BI$1,1)</f>
        <v/>
      </c>
      <c r="BI169" s="102">
        <f>MAX($BI$1*(BY169-Driver!$F$201)/(Driver!$G$201-Driver!$F$201),1)</f>
        <v/>
      </c>
      <c r="BJ169" s="102">
        <f>(CB169-Driver!$F$206)/(Driver!$G$206-Driver!$F$206)*$BI$1</f>
        <v/>
      </c>
      <c r="BK169" s="102">
        <f>(CD169-Driver!$F$203)/(Driver!$G$203-Driver!$F$203)*$BI$1</f>
        <v/>
      </c>
      <c r="BL169" s="102">
        <f>MAX((CR169-Driver!$F$202)/(Driver!$G$202-Driver!$F$202)*$BI$1,1)</f>
        <v/>
      </c>
      <c r="BM169" s="102">
        <f>MAX((CH169-Driver!$F$204)/(Driver!$G$204-Driver!$F$204)*$BI$1,1)</f>
        <v/>
      </c>
      <c r="BN169" s="102">
        <f>(CI169-Driver!$F$205)/(Driver!$G$205-Driver!$F$205)*$BI$1</f>
        <v/>
      </c>
      <c r="BO169" s="102">
        <f>(CK169-Driver!$F$207)/(Driver!$G$207-Driver!$F$207)*$BI$1</f>
        <v/>
      </c>
      <c r="BP169" s="102">
        <f>(CM169-Driver!$F$208)/(Driver!$G$208-Driver!$F$208)*$BI$1</f>
        <v/>
      </c>
      <c r="BQ169" s="102">
        <f>(CL169-Driver!$F$209)/(Driver!$G$209-Driver!$F$209)*$BI$1</f>
        <v/>
      </c>
      <c r="BR169" s="40" t="inlineStr">
        <is>
          <t>21/22</t>
        </is>
      </c>
      <c r="BS169" s="10" t="inlineStr">
        <is>
          <t xml:space="preserve"> Liberty</t>
        </is>
      </c>
      <c r="BT169" s="11" t="inlineStr">
        <is>
          <t>Evolv 90W</t>
        </is>
      </c>
      <c r="BU169" s="13" t="n">
        <v>151</v>
      </c>
      <c r="BV169" s="11" t="inlineStr">
        <is>
          <t xml:space="preserve"> Women's</t>
        </is>
      </c>
      <c r="BW169" s="13" t="n">
        <v>151</v>
      </c>
      <c r="BX169" s="13" t="n">
        <v>150.4</v>
      </c>
      <c r="BY169" s="13" t="n">
        <v>117</v>
      </c>
      <c r="BZ169" s="13" t="n">
        <v>131</v>
      </c>
      <c r="CA169" s="13" t="n">
        <v>131</v>
      </c>
      <c r="CB169" s="13" t="n">
        <v>89</v>
      </c>
      <c r="CC169" s="13" t="n">
        <v>114</v>
      </c>
      <c r="CD169" s="13" t="n">
        <v>12.4</v>
      </c>
      <c r="CE169" s="13" t="n">
        <v>1457</v>
      </c>
      <c r="CF169" s="13" t="n">
        <v>1.06</v>
      </c>
      <c r="CG169" s="13" t="n">
        <v>1541</v>
      </c>
      <c r="CH169" s="13" t="n">
        <v>196</v>
      </c>
      <c r="CI169" s="13" t="n">
        <v>94</v>
      </c>
      <c r="CJ169" s="13" t="n">
        <v>37</v>
      </c>
      <c r="CK169" s="13" t="n">
        <v>205</v>
      </c>
      <c r="CL169" s="13" t="n">
        <v>10</v>
      </c>
      <c r="CM169" s="13" t="n">
        <v>130</v>
      </c>
      <c r="CN169" s="13" t="n">
        <v>0.274</v>
      </c>
      <c r="CO169" s="13" t="n">
        <v>112</v>
      </c>
      <c r="CP169" s="13" t="n">
        <v>85</v>
      </c>
      <c r="CQ169" s="13" t="n">
        <v>93</v>
      </c>
      <c r="CR169" s="13" t="n">
        <v>7</v>
      </c>
      <c r="CS169" s="13" t="n">
        <v>9.699999999999999</v>
      </c>
      <c r="CT169" s="11" t="inlineStr">
        <is>
          <t xml:space="preserve"> Resort Freeride</t>
        </is>
      </c>
      <c r="CU169" s="11" t="inlineStr">
        <is>
          <t xml:space="preserve"> Touring</t>
        </is>
      </c>
      <c r="CV169" s="13" t="n"/>
      <c r="CW169" s="13" t="n"/>
      <c r="CX169">
        <f>INDEX('Data_Price '!AG$2:AG$1266,MATCH(Data!$DN169,'Data_Price '!$AT$2:$AT$1266,0))</f>
        <v/>
      </c>
      <c r="CY169">
        <f>INDEX('Data_Price '!AH$2:AH$1266,MATCH(Data!$DN169,'Data_Price '!$AT$2:$AT$1266,0))</f>
        <v/>
      </c>
      <c r="CZ169">
        <f>INDEX('Data_Price '!AI$2:AI$1266,MATCH(Data!$DN169,'Data_Price '!$AT$2:$AT$1266,0))</f>
        <v/>
      </c>
      <c r="DA169">
        <f>INDEX('Data_Price '!AJ$2:AJ$1266,MATCH(Data!$DN169,'Data_Price '!$AT$2:$AT$1266,0))</f>
        <v/>
      </c>
      <c r="DB169">
        <f>INDEX('Data_Price '!AK$2:AK$1266,MATCH(Data!$DN169,'Data_Price '!$AT$2:$AT$1266,0))</f>
        <v/>
      </c>
      <c r="DC169">
        <f>INDEX('Data_Price '!AL$2:AL$1266,MATCH(Data!$DN169,'Data_Price '!$AT$2:$AT$1266,0))</f>
        <v/>
      </c>
      <c r="DD169">
        <f>INDEX('Data_Price '!AM$2:AM$1266,MATCH(Data!$DN169,'Data_Price '!$AT$2:$AT$1266,0))</f>
        <v/>
      </c>
      <c r="DE169">
        <f>INDEX('Data_Price '!AN$2:AN$1266,MATCH(Data!$DN169,'Data_Price '!$AT$2:$AT$1266,0))</f>
        <v/>
      </c>
      <c r="DF169">
        <f>INDEX('Data_Price '!AO$2:AO$1266,MATCH(Data!$DN169,'Data_Price '!$AT$2:$AT$1266,0))</f>
        <v/>
      </c>
      <c r="DG169">
        <f>INDEX('Data_Price '!AP$2:AP$1266,MATCH(Data!$DN169,'Data_Price '!$AT$2:$AT$1266,0))</f>
        <v/>
      </c>
      <c r="DH169">
        <f>INDEX('Data_Price '!AQ$2:AQ$1266,MATCH(Data!$DN169,'Data_Price '!$AT$2:$AT$1266,0))</f>
        <v/>
      </c>
      <c r="DI169">
        <f>INDEX('Data_Price '!AR$2:AR$1266,MATCH(Data!$DN169,'Data_Price '!$AT$2:$AT$1266,0))</f>
        <v/>
      </c>
      <c r="DJ169" s="138">
        <f>DA169</f>
        <v/>
      </c>
      <c r="DK169" s="138">
        <f>DE169</f>
        <v/>
      </c>
      <c r="DL169" s="138">
        <f>DI169</f>
        <v/>
      </c>
      <c r="DM169" s="303">
        <f>IF(LEFT(BT169,1)=" ",RIGHT(BT169,LEN(BT169)-1),BT169)</f>
        <v/>
      </c>
      <c r="DN169" s="138">
        <f>_xlfn.CONCAT(BS169,DM169,BU169,BV169)</f>
        <v/>
      </c>
      <c r="DO169" s="307" t="n"/>
    </row>
    <row r="170" ht="15.6" customHeight="1" s="184">
      <c r="B170" s="303">
        <f t="array" ref="B170">IF(OR(ISERROR(K170:P170)),FALSE,TRUE)</f>
        <v/>
      </c>
      <c r="C170" s="60">
        <f>OR(BR170=Driver!$G$50,Data!BR794=Driver!$H$50)</f>
        <v/>
      </c>
      <c r="D170" s="60">
        <f>OR(BV170=Driver!$G$51,BV170=Driver!$H$51)</f>
        <v/>
      </c>
      <c r="E170" s="60">
        <f>AND(BX170&gt;Driver!$F$54,BX170&lt;Driver!$G$54)</f>
        <v/>
      </c>
      <c r="F170" s="60">
        <f>CL170&gt;Driver!$F$56</f>
        <v/>
      </c>
      <c r="G170" s="60">
        <f>AND(CB170&gt;Driver!$F$55,CB170&lt;Driver!$G$55)</f>
        <v/>
      </c>
      <c r="H170" s="60">
        <f>AND(B170:G170)</f>
        <v/>
      </c>
      <c r="I170" s="60">
        <f>COUNTIFS($H$9:$H$1273,TRUE,$BT$9:$BT$1273,BT170)</f>
        <v/>
      </c>
      <c r="J170" s="60">
        <f t="array" ref="J170">NOT(OR(($H$9:$H$1273=TRUE)*($I$9:$I$1273&gt;0)*($BT$9:$BT$1273=BT170)*($K$9:$K$1273&gt;K170)))</f>
        <v/>
      </c>
      <c r="K170" s="108">
        <f>IFERROR(1-AVERAGE(X170:Y170),"")</f>
        <v/>
      </c>
      <c r="L170" s="108">
        <f>1-X170</f>
        <v/>
      </c>
      <c r="M170" s="108">
        <f>1-Y170</f>
        <v/>
      </c>
      <c r="N170" s="108">
        <f>1-Z170</f>
        <v/>
      </c>
      <c r="O170" s="108">
        <f>1-AA170</f>
        <v/>
      </c>
      <c r="P170" s="108">
        <f>1-AB170</f>
        <v/>
      </c>
      <c r="Q170" s="108" t="n"/>
      <c r="R170" s="108" t="n"/>
      <c r="S170" s="108">
        <f>1-AE170</f>
        <v/>
      </c>
      <c r="T170" s="108">
        <f>1-AF170</f>
        <v/>
      </c>
      <c r="U170" s="108">
        <f>1-AG170</f>
        <v/>
      </c>
      <c r="V170" s="108">
        <f>1-AH170</f>
        <v/>
      </c>
      <c r="W170" s="108">
        <f>1-AI170</f>
        <v/>
      </c>
      <c r="X170" s="108">
        <f>ABS(AJ170-AJ$1)</f>
        <v/>
      </c>
      <c r="Y170" s="108">
        <f>AVERAGE(Z170:AB170)</f>
        <v/>
      </c>
      <c r="Z170" s="108">
        <f>ABS(AL170-AL$1)</f>
        <v/>
      </c>
      <c r="AA170" s="108">
        <f>ABS(AM170-AM$1)</f>
        <v/>
      </c>
      <c r="AB170" s="108">
        <f>ABS(AN170-AN$1)</f>
        <v/>
      </c>
      <c r="AC170" s="108" t="n"/>
      <c r="AD170" s="108" t="n"/>
      <c r="AE170" s="108">
        <f>ABS(AQ$1-AQ170)</f>
        <v/>
      </c>
      <c r="AF170" s="108">
        <f>ABS(AR$1-AR170)</f>
        <v/>
      </c>
      <c r="AG170" s="108">
        <f>ABS(AS$1-AS170)</f>
        <v/>
      </c>
      <c r="AH170" s="108">
        <f>ABS(AT$1-AT170)</f>
        <v/>
      </c>
      <c r="AI170" s="108">
        <f>ABS(AU$1-AU170)</f>
        <v/>
      </c>
      <c r="AJ170" s="108">
        <f>(AV170-Driver!$K$179)/(Driver!$L$179-Driver!$K$179)</f>
        <v/>
      </c>
      <c r="AK170" s="108">
        <f>(AW170-Driver!$K$180)/(Driver!$L$180-Driver!$K$180)</f>
        <v/>
      </c>
      <c r="AL170" s="108">
        <f>(AX170-Driver!$K$181)/(Driver!$L$181-Driver!$K$181)</f>
        <v/>
      </c>
      <c r="AM170" s="108">
        <f>(AY170-Driver!$K$182)/(Driver!$L$182-Driver!$K$182)</f>
        <v/>
      </c>
      <c r="AN170" s="108">
        <f>(AZ170-Driver!$K$183)/(Driver!$L$183-Driver!$K$183)</f>
        <v/>
      </c>
      <c r="AO170" s="108" t="n"/>
      <c r="AP170" s="108" t="n"/>
      <c r="AQ170" s="108">
        <f>(BC170-Driver!$K$188)/(Driver!$L$188-Driver!$K$188)</f>
        <v/>
      </c>
      <c r="AR170" s="108">
        <f>MIN((BD170-Driver!$K$189)/(Driver!$L$189-Driver!$K$189),100%)</f>
        <v/>
      </c>
      <c r="AS170" s="108">
        <f>(BE170-Driver!$K$190)/(Driver!$L$190-Driver!$K$190)</f>
        <v/>
      </c>
      <c r="AT170" s="108">
        <f>(BF170-Driver!$K$191)/(Driver!$L$191-Driver!$K$191)</f>
        <v/>
      </c>
      <c r="AU170" s="108">
        <f>(BG170-Driver!$K$192)/(Driver!$L$192-Driver!$K$192)</f>
        <v/>
      </c>
      <c r="AV170" s="105">
        <f>IFERROR(BM170*BJ170^1/4,"")</f>
        <v/>
      </c>
      <c r="AW170" s="105">
        <f>IFERROR(SUM(AX170:AZ170),"")</f>
        <v/>
      </c>
      <c r="AX170" s="105">
        <f>IFERROR(BH170,"")</f>
        <v/>
      </c>
      <c r="AY170" s="105">
        <f>IFERROR(Driver!$K$19/Data!BH170/Data!BI170*Data!BK170*Data!BL170,"")</f>
        <v/>
      </c>
      <c r="AZ170" s="105">
        <f>IFERROR(BI170*BN170,"")</f>
        <v/>
      </c>
      <c r="BA170" s="105" t="n"/>
      <c r="BB170" s="105" t="n"/>
      <c r="BC170" s="105">
        <f>IFERROR(BI170*BN170*BK170/BJ170^(1/2),"")</f>
        <v/>
      </c>
      <c r="BD170" s="105">
        <f>IFERROR(BH170*BM170*BL170/BJ170/BK170,"")</f>
        <v/>
      </c>
      <c r="BE170" s="105">
        <f>IFERROR(MIN(BI170/BQ170/BP170/BO170/BH170,$BE$1),"")</f>
        <v/>
      </c>
      <c r="BF170" s="105">
        <f>IFERROR(BJ170*BO170*BP170/BK170,"")</f>
        <v/>
      </c>
      <c r="BG170" s="105">
        <f>IFERROR(1/BM170/BH170*BQ170,"")</f>
        <v/>
      </c>
      <c r="BH170" s="102">
        <f>MAX((CE170-Driver!$F$200)/(Driver!$G$200-Driver!$F$200)*$BI$1,1)</f>
        <v/>
      </c>
      <c r="BI170" s="102">
        <f>MAX($BI$1*(BY170-Driver!$F$201)/(Driver!$G$201-Driver!$F$201),1)</f>
        <v/>
      </c>
      <c r="BJ170" s="102">
        <f>(CB170-Driver!$F$206)/(Driver!$G$206-Driver!$F$206)*$BI$1</f>
        <v/>
      </c>
      <c r="BK170" s="102">
        <f>(CD170-Driver!$F$203)/(Driver!$G$203-Driver!$F$203)*$BI$1</f>
        <v/>
      </c>
      <c r="BL170" s="102">
        <f>MAX((CR170-Driver!$F$202)/(Driver!$G$202-Driver!$F$202)*$BI$1,1)</f>
        <v/>
      </c>
      <c r="BM170" s="102">
        <f>MAX((CH170-Driver!$F$204)/(Driver!$G$204-Driver!$F$204)*$BI$1,1)</f>
        <v/>
      </c>
      <c r="BN170" s="102">
        <f>(CI170-Driver!$F$205)/(Driver!$G$205-Driver!$F$205)*$BI$1</f>
        <v/>
      </c>
      <c r="BO170" s="102">
        <f>(CK170-Driver!$F$207)/(Driver!$G$207-Driver!$F$207)*$BI$1</f>
        <v/>
      </c>
      <c r="BP170" s="102">
        <f>(CM170-Driver!$F$208)/(Driver!$G$208-Driver!$F$208)*$BI$1</f>
        <v/>
      </c>
      <c r="BQ170" s="102">
        <f>(CL170-Driver!$F$209)/(Driver!$G$209-Driver!$F$209)*$BI$1</f>
        <v/>
      </c>
      <c r="BR170" s="40" t="inlineStr">
        <is>
          <t>21/22</t>
        </is>
      </c>
      <c r="BS170" s="10" t="inlineStr">
        <is>
          <t xml:space="preserve"> K2</t>
        </is>
      </c>
      <c r="BT170" s="11" t="inlineStr">
        <is>
          <t>Wayback 96</t>
        </is>
      </c>
      <c r="BU170" s="13" t="n">
        <v>177</v>
      </c>
      <c r="BV170" s="11" t="inlineStr">
        <is>
          <t xml:space="preserve"> Unisex</t>
        </is>
      </c>
      <c r="BW170" s="13" t="n">
        <v>177</v>
      </c>
      <c r="BX170" s="13" t="n">
        <v>176.8</v>
      </c>
      <c r="BY170" s="13" t="n">
        <v>129</v>
      </c>
      <c r="BZ170" s="13" t="n">
        <v>149</v>
      </c>
      <c r="CA170" s="13" t="n">
        <v>127</v>
      </c>
      <c r="CB170" s="13" t="n">
        <v>95</v>
      </c>
      <c r="CC170" s="13" t="n">
        <v>113</v>
      </c>
      <c r="CD170" s="13" t="n">
        <v>21.6</v>
      </c>
      <c r="CE170" s="13" t="n">
        <v>1389</v>
      </c>
      <c r="CF170" s="13" t="n">
        <v>1.33</v>
      </c>
      <c r="CG170" s="13" t="n">
        <v>1844</v>
      </c>
      <c r="CH170" s="13" t="n">
        <v>213</v>
      </c>
      <c r="CI170" s="13" t="n">
        <v>96</v>
      </c>
      <c r="CJ170" s="13" t="n">
        <v>51</v>
      </c>
      <c r="CK170" s="13" t="n">
        <v>300</v>
      </c>
      <c r="CL170" s="13" t="n">
        <v>9</v>
      </c>
      <c r="CM170" s="13" t="n">
        <v>180</v>
      </c>
      <c r="CN170" s="13" t="n">
        <v>0.172</v>
      </c>
      <c r="CO170" s="13" t="n">
        <v>164</v>
      </c>
      <c r="CP170" s="13" t="n">
        <v>114</v>
      </c>
      <c r="CQ170" s="13" t="n">
        <v>136</v>
      </c>
      <c r="CR170" s="13" t="n">
        <v>5</v>
      </c>
      <c r="CS170" s="13" t="n">
        <v>11.4</v>
      </c>
      <c r="CT170" s="11" t="inlineStr">
        <is>
          <t xml:space="preserve"> Touring</t>
        </is>
      </c>
      <c r="CU170" s="11" t="inlineStr">
        <is>
          <t xml:space="preserve"> Ultralight Touring</t>
        </is>
      </c>
      <c r="CV170" s="13" t="n"/>
      <c r="CW170" s="13" t="n"/>
      <c r="CX170">
        <f>INDEX('Data_Price '!AG$2:AG$1266,MATCH(Data!$DN170,'Data_Price '!$AT$2:$AT$1266,0))</f>
        <v/>
      </c>
      <c r="CY170">
        <f>INDEX('Data_Price '!AH$2:AH$1266,MATCH(Data!$DN170,'Data_Price '!$AT$2:$AT$1266,0))</f>
        <v/>
      </c>
      <c r="CZ170">
        <f>INDEX('Data_Price '!AI$2:AI$1266,MATCH(Data!$DN170,'Data_Price '!$AT$2:$AT$1266,0))</f>
        <v/>
      </c>
      <c r="DA170">
        <f>INDEX('Data_Price '!AJ$2:AJ$1266,MATCH(Data!$DN170,'Data_Price '!$AT$2:$AT$1266,0))</f>
        <v/>
      </c>
      <c r="DB170">
        <f>INDEX('Data_Price '!AK$2:AK$1266,MATCH(Data!$DN170,'Data_Price '!$AT$2:$AT$1266,0))</f>
        <v/>
      </c>
      <c r="DC170">
        <f>INDEX('Data_Price '!AL$2:AL$1266,MATCH(Data!$DN170,'Data_Price '!$AT$2:$AT$1266,0))</f>
        <v/>
      </c>
      <c r="DD170">
        <f>INDEX('Data_Price '!AM$2:AM$1266,MATCH(Data!$DN170,'Data_Price '!$AT$2:$AT$1266,0))</f>
        <v/>
      </c>
      <c r="DE170">
        <f>INDEX('Data_Price '!AN$2:AN$1266,MATCH(Data!$DN170,'Data_Price '!$AT$2:$AT$1266,0))</f>
        <v/>
      </c>
      <c r="DF170">
        <f>INDEX('Data_Price '!AO$2:AO$1266,MATCH(Data!$DN170,'Data_Price '!$AT$2:$AT$1266,0))</f>
        <v/>
      </c>
      <c r="DG170">
        <f>INDEX('Data_Price '!AP$2:AP$1266,MATCH(Data!$DN170,'Data_Price '!$AT$2:$AT$1266,0))</f>
        <v/>
      </c>
      <c r="DH170">
        <f>INDEX('Data_Price '!AQ$2:AQ$1266,MATCH(Data!$DN170,'Data_Price '!$AT$2:$AT$1266,0))</f>
        <v/>
      </c>
      <c r="DI170">
        <f>INDEX('Data_Price '!AR$2:AR$1266,MATCH(Data!$DN170,'Data_Price '!$AT$2:$AT$1266,0))</f>
        <v/>
      </c>
      <c r="DJ170" s="138">
        <f>DA170</f>
        <v/>
      </c>
      <c r="DK170" s="138">
        <f>DE170</f>
        <v/>
      </c>
      <c r="DL170" s="138">
        <f>DI170</f>
        <v/>
      </c>
      <c r="DM170" s="303">
        <f>IF(LEFT(BT170,1)=" ",RIGHT(BT170,LEN(BT170)-1),BT170)</f>
        <v/>
      </c>
      <c r="DN170" s="138">
        <f>_xlfn.CONCAT(BS170,DM170,BU170,BV170)</f>
        <v/>
      </c>
      <c r="DO170" s="307" t="inlineStr">
        <is>
          <t>https://images.evo.com/imgp/250/182122/886389/k2-wayback-96-skis-2021-.jpg</t>
        </is>
      </c>
    </row>
    <row r="171" ht="15.6" customHeight="1" s="184">
      <c r="B171" s="303">
        <f t="array" ref="B171">IF(OR(ISERROR(K171:P171)),FALSE,TRUE)</f>
        <v/>
      </c>
      <c r="C171" s="60">
        <f>OR(BR171=Driver!$G$50,Data!BR352=Driver!$H$50)</f>
        <v/>
      </c>
      <c r="D171" s="60">
        <f>OR(BV171=Driver!$G$51,BV171=Driver!$H$51)</f>
        <v/>
      </c>
      <c r="E171" s="60">
        <f>AND(BX171&gt;Driver!$F$54,BX171&lt;Driver!$G$54)</f>
        <v/>
      </c>
      <c r="F171" s="60">
        <f>CL171&gt;Driver!$F$56</f>
        <v/>
      </c>
      <c r="G171" s="60">
        <f>AND(CB171&gt;Driver!$F$55,CB171&lt;Driver!$G$55)</f>
        <v/>
      </c>
      <c r="H171" s="60">
        <f>AND(B171:G171)</f>
        <v/>
      </c>
      <c r="I171" s="60">
        <f>COUNTIFS($H$9:$H$1273,TRUE,$BT$9:$BT$1273,BT171)</f>
        <v/>
      </c>
      <c r="J171" s="60">
        <f t="array" ref="J171">NOT(OR(($H$9:$H$1273=TRUE)*($I$9:$I$1273&gt;0)*($BT$9:$BT$1273=BT171)*($K$9:$K$1273&gt;K171)))</f>
        <v/>
      </c>
      <c r="K171" s="108">
        <f>IFERROR(1-AVERAGE(X171:Y171),"")</f>
        <v/>
      </c>
      <c r="L171" s="108">
        <f>1-X171</f>
        <v/>
      </c>
      <c r="M171" s="108">
        <f>1-Y171</f>
        <v/>
      </c>
      <c r="N171" s="108">
        <f>1-Z171</f>
        <v/>
      </c>
      <c r="O171" s="108">
        <f>1-AA171</f>
        <v/>
      </c>
      <c r="P171" s="108">
        <f>1-AB171</f>
        <v/>
      </c>
      <c r="Q171" s="108" t="n"/>
      <c r="R171" s="108" t="n"/>
      <c r="S171" s="108">
        <f>1-AE171</f>
        <v/>
      </c>
      <c r="T171" s="108">
        <f>1-AF171</f>
        <v/>
      </c>
      <c r="U171" s="108">
        <f>1-AG171</f>
        <v/>
      </c>
      <c r="V171" s="108">
        <f>1-AH171</f>
        <v/>
      </c>
      <c r="W171" s="108">
        <f>1-AI171</f>
        <v/>
      </c>
      <c r="X171" s="108">
        <f>ABS(AJ171-AJ$1)</f>
        <v/>
      </c>
      <c r="Y171" s="108">
        <f>AVERAGE(Z171:AB171)</f>
        <v/>
      </c>
      <c r="Z171" s="108">
        <f>ABS(AL171-AL$1)</f>
        <v/>
      </c>
      <c r="AA171" s="108">
        <f>ABS(AM171-AM$1)</f>
        <v/>
      </c>
      <c r="AB171" s="108">
        <f>ABS(AN171-AN$1)</f>
        <v/>
      </c>
      <c r="AC171" s="108" t="n"/>
      <c r="AD171" s="108" t="n"/>
      <c r="AE171" s="108">
        <f>ABS(AQ$1-AQ171)</f>
        <v/>
      </c>
      <c r="AF171" s="108">
        <f>ABS(AR$1-AR171)</f>
        <v/>
      </c>
      <c r="AG171" s="108">
        <f>ABS(AS$1-AS171)</f>
        <v/>
      </c>
      <c r="AH171" s="108">
        <f>ABS(AT$1-AT171)</f>
        <v/>
      </c>
      <c r="AI171" s="108">
        <f>ABS(AU$1-AU171)</f>
        <v/>
      </c>
      <c r="AJ171" s="108">
        <f>(AV171-Driver!$K$179)/(Driver!$L$179-Driver!$K$179)</f>
        <v/>
      </c>
      <c r="AK171" s="108">
        <f>(AW171-Driver!$K$180)/(Driver!$L$180-Driver!$K$180)</f>
        <v/>
      </c>
      <c r="AL171" s="108">
        <f>(AX171-Driver!$K$181)/(Driver!$L$181-Driver!$K$181)</f>
        <v/>
      </c>
      <c r="AM171" s="108">
        <f>(AY171-Driver!$K$182)/(Driver!$L$182-Driver!$K$182)</f>
        <v/>
      </c>
      <c r="AN171" s="108">
        <f>(AZ171-Driver!$K$183)/(Driver!$L$183-Driver!$K$183)</f>
        <v/>
      </c>
      <c r="AO171" s="108" t="n"/>
      <c r="AP171" s="108" t="n"/>
      <c r="AQ171" s="108">
        <f>(BC171-Driver!$K$188)/(Driver!$L$188-Driver!$K$188)</f>
        <v/>
      </c>
      <c r="AR171" s="108">
        <f>MIN((BD171-Driver!$K$189)/(Driver!$L$189-Driver!$K$189),100%)</f>
        <v/>
      </c>
      <c r="AS171" s="108">
        <f>(BE171-Driver!$K$190)/(Driver!$L$190-Driver!$K$190)</f>
        <v/>
      </c>
      <c r="AT171" s="108">
        <f>(BF171-Driver!$K$191)/(Driver!$L$191-Driver!$K$191)</f>
        <v/>
      </c>
      <c r="AU171" s="108">
        <f>(BG171-Driver!$K$192)/(Driver!$L$192-Driver!$K$192)</f>
        <v/>
      </c>
      <c r="AV171" s="105">
        <f>IFERROR(BM171*BJ171^1/4,"")</f>
        <v/>
      </c>
      <c r="AW171" s="105">
        <f>IFERROR(SUM(AX171:AZ171),"")</f>
        <v/>
      </c>
      <c r="AX171" s="105">
        <f>IFERROR(BH171,"")</f>
        <v/>
      </c>
      <c r="AY171" s="105">
        <f>IFERROR(Driver!$K$19/Data!BH171/Data!BI171*Data!BK171*Data!BL171,"")</f>
        <v/>
      </c>
      <c r="AZ171" s="105">
        <f>IFERROR(BI171*BN171,"")</f>
        <v/>
      </c>
      <c r="BA171" s="105" t="n"/>
      <c r="BB171" s="105" t="n"/>
      <c r="BC171" s="105">
        <f>IFERROR(BI171*BN171*BK171/BJ171^(1/2),"")</f>
        <v/>
      </c>
      <c r="BD171" s="105">
        <f>IFERROR(BH171*BM171*BL171/BJ171/BK171,"")</f>
        <v/>
      </c>
      <c r="BE171" s="105">
        <f>IFERROR(MIN(BI171/BQ171/BP171/BO171/BH171,$BE$1),"")</f>
        <v/>
      </c>
      <c r="BF171" s="105">
        <f>IFERROR(BJ171*BO171*BP171/BK171,"")</f>
        <v/>
      </c>
      <c r="BG171" s="105">
        <f>IFERROR(1/BM171/BH171*BQ171,"")</f>
        <v/>
      </c>
      <c r="BH171" s="102">
        <f>MAX((CE171-Driver!$F$200)/(Driver!$G$200-Driver!$F$200)*$BI$1,1)</f>
        <v/>
      </c>
      <c r="BI171" s="102">
        <f>MAX($BI$1*(BY171-Driver!$F$201)/(Driver!$G$201-Driver!$F$201),1)</f>
        <v/>
      </c>
      <c r="BJ171" s="102">
        <f>(CB171-Driver!$F$206)/(Driver!$G$206-Driver!$F$206)*$BI$1</f>
        <v/>
      </c>
      <c r="BK171" s="102">
        <f>(CD171-Driver!$F$203)/(Driver!$G$203-Driver!$F$203)*$BI$1</f>
        <v/>
      </c>
      <c r="BL171" s="102">
        <f>MAX((CR171-Driver!$F$202)/(Driver!$G$202-Driver!$F$202)*$BI$1,1)</f>
        <v/>
      </c>
      <c r="BM171" s="102">
        <f>MAX((CH171-Driver!$F$204)/(Driver!$G$204-Driver!$F$204)*$BI$1,1)</f>
        <v/>
      </c>
      <c r="BN171" s="102">
        <f>(CI171-Driver!$F$205)/(Driver!$G$205-Driver!$F$205)*$BI$1</f>
        <v/>
      </c>
      <c r="BO171" s="102">
        <f>(CK171-Driver!$F$207)/(Driver!$G$207-Driver!$F$207)*$BI$1</f>
        <v/>
      </c>
      <c r="BP171" s="102">
        <f>(CM171-Driver!$F$208)/(Driver!$G$208-Driver!$F$208)*$BI$1</f>
        <v/>
      </c>
      <c r="BQ171" s="102">
        <f>(CL171-Driver!$F$209)/(Driver!$G$209-Driver!$F$209)*$BI$1</f>
        <v/>
      </c>
      <c r="BR171" s="40" t="inlineStr">
        <is>
          <t>21/22</t>
        </is>
      </c>
      <c r="BS171" s="10" t="inlineStr">
        <is>
          <t xml:space="preserve"> DPS</t>
        </is>
      </c>
      <c r="BT171" s="11" t="inlineStr">
        <is>
          <t>Pagoda Piste 90 RP</t>
        </is>
      </c>
      <c r="BU171" s="13" t="n">
        <v>179</v>
      </c>
      <c r="BV171" s="11" t="inlineStr">
        <is>
          <t xml:space="preserve"> Unisex</t>
        </is>
      </c>
      <c r="BW171" s="13" t="n">
        <v>179</v>
      </c>
      <c r="BX171" s="13" t="n">
        <v>178.4</v>
      </c>
      <c r="BY171" s="13" t="n">
        <v>125</v>
      </c>
      <c r="BZ171" s="13" t="n">
        <v>137</v>
      </c>
      <c r="CA171" s="13" t="n">
        <v>125</v>
      </c>
      <c r="CB171" s="13" t="n">
        <v>90</v>
      </c>
      <c r="CC171" s="13" t="n">
        <v>109</v>
      </c>
      <c r="CD171" s="13" t="n">
        <v>14.9</v>
      </c>
      <c r="CE171" s="13" t="n">
        <v>1826</v>
      </c>
      <c r="CF171" s="13" t="n">
        <v>1</v>
      </c>
      <c r="CG171" s="13" t="n">
        <v>1819</v>
      </c>
      <c r="CH171" s="13" t="n">
        <v>234</v>
      </c>
      <c r="CI171" s="13" t="n">
        <v>110</v>
      </c>
      <c r="CJ171" s="13" t="n">
        <v>56</v>
      </c>
      <c r="CK171" s="13" t="n">
        <v>336</v>
      </c>
      <c r="CL171" s="13" t="n">
        <v>11</v>
      </c>
      <c r="CM171" s="13" t="n">
        <v>194</v>
      </c>
      <c r="CN171" s="13" t="n">
        <v>0.199</v>
      </c>
      <c r="CO171" s="13" t="n">
        <v>203</v>
      </c>
      <c r="CP171" s="13" t="n">
        <v>212</v>
      </c>
      <c r="CQ171" s="13" t="n">
        <v>133</v>
      </c>
      <c r="CR171" s="13" t="n">
        <v>10</v>
      </c>
      <c r="CS171" s="13" t="n">
        <v>11.7</v>
      </c>
      <c r="CT171" s="11" t="inlineStr">
        <is>
          <t xml:space="preserve"> Resort Freeride</t>
        </is>
      </c>
      <c r="CU171" s="13" t="n"/>
      <c r="CV171" s="13" t="n"/>
      <c r="CW171" s="13" t="n"/>
      <c r="CX171">
        <f>INDEX('Data_Price '!AG$2:AG$1266,MATCH(Data!$DN171,'Data_Price '!$AT$2:$AT$1266,0))</f>
        <v/>
      </c>
      <c r="CY171">
        <f>INDEX('Data_Price '!AH$2:AH$1266,MATCH(Data!$DN171,'Data_Price '!$AT$2:$AT$1266,0))</f>
        <v/>
      </c>
      <c r="CZ171">
        <f>INDEX('Data_Price '!AI$2:AI$1266,MATCH(Data!$DN171,'Data_Price '!$AT$2:$AT$1266,0))</f>
        <v/>
      </c>
      <c r="DA171">
        <f>INDEX('Data_Price '!AJ$2:AJ$1266,MATCH(Data!$DN171,'Data_Price '!$AT$2:$AT$1266,0))</f>
        <v/>
      </c>
      <c r="DB171">
        <f>INDEX('Data_Price '!AK$2:AK$1266,MATCH(Data!$DN171,'Data_Price '!$AT$2:$AT$1266,0))</f>
        <v/>
      </c>
      <c r="DC171">
        <f>INDEX('Data_Price '!AL$2:AL$1266,MATCH(Data!$DN171,'Data_Price '!$AT$2:$AT$1266,0))</f>
        <v/>
      </c>
      <c r="DD171">
        <f>INDEX('Data_Price '!AM$2:AM$1266,MATCH(Data!$DN171,'Data_Price '!$AT$2:$AT$1266,0))</f>
        <v/>
      </c>
      <c r="DE171">
        <f>INDEX('Data_Price '!AN$2:AN$1266,MATCH(Data!$DN171,'Data_Price '!$AT$2:$AT$1266,0))</f>
        <v/>
      </c>
      <c r="DF171">
        <f>INDEX('Data_Price '!AO$2:AO$1266,MATCH(Data!$DN171,'Data_Price '!$AT$2:$AT$1266,0))</f>
        <v/>
      </c>
      <c r="DG171">
        <f>INDEX('Data_Price '!AP$2:AP$1266,MATCH(Data!$DN171,'Data_Price '!$AT$2:$AT$1266,0))</f>
        <v/>
      </c>
      <c r="DH171">
        <f>INDEX('Data_Price '!AQ$2:AQ$1266,MATCH(Data!$DN171,'Data_Price '!$AT$2:$AT$1266,0))</f>
        <v/>
      </c>
      <c r="DI171">
        <f>INDEX('Data_Price '!AR$2:AR$1266,MATCH(Data!$DN171,'Data_Price '!$AT$2:$AT$1266,0))</f>
        <v/>
      </c>
      <c r="DJ171" s="138">
        <f>DA171</f>
        <v/>
      </c>
      <c r="DK171" s="138">
        <f>DE171</f>
        <v/>
      </c>
      <c r="DL171" s="138">
        <f>DI171</f>
        <v/>
      </c>
      <c r="DM171" s="303">
        <f>IF(LEFT(BT171,1)=" ",RIGHT(BT171,LEN(BT171)-1),BT171)</f>
        <v/>
      </c>
      <c r="DN171" s="138">
        <f>_xlfn.CONCAT(BS171,DM171,BU171,BV171)</f>
        <v/>
      </c>
      <c r="DO171" s="307" t="n"/>
    </row>
    <row r="172" ht="15.6" customHeight="1" s="184">
      <c r="B172" s="303">
        <f t="array" ref="B172">IF(OR(ISERROR(K172:P172)),FALSE,TRUE)</f>
        <v/>
      </c>
      <c r="C172" s="60">
        <f>OR(BR172=Driver!$G$50,Data!BR497=Driver!$H$50)</f>
        <v/>
      </c>
      <c r="D172" s="60">
        <f>OR(BV172=Driver!$G$51,BV172=Driver!$H$51)</f>
        <v/>
      </c>
      <c r="E172" s="60">
        <f>AND(BX172&gt;Driver!$F$54,BX172&lt;Driver!$G$54)</f>
        <v/>
      </c>
      <c r="F172" s="60">
        <f>CL172&gt;Driver!$F$56</f>
        <v/>
      </c>
      <c r="G172" s="60">
        <f>AND(CB172&gt;Driver!$F$55,CB172&lt;Driver!$G$55)</f>
        <v/>
      </c>
      <c r="H172" s="60">
        <f>AND(B172:G172)</f>
        <v/>
      </c>
      <c r="I172" s="60">
        <f>COUNTIFS($H$9:$H$1273,TRUE,$BT$9:$BT$1273,BT172)</f>
        <v/>
      </c>
      <c r="J172" s="60">
        <f t="array" ref="J172">NOT(OR(($H$9:$H$1273=TRUE)*($I$9:$I$1273&gt;0)*($BT$9:$BT$1273=BT172)*($K$9:$K$1273&gt;K172)))</f>
        <v/>
      </c>
      <c r="K172" s="108">
        <f>IFERROR(1-AVERAGE(X172:Y172),"")</f>
        <v/>
      </c>
      <c r="L172" s="108">
        <f>1-X172</f>
        <v/>
      </c>
      <c r="M172" s="108">
        <f>1-Y172</f>
        <v/>
      </c>
      <c r="N172" s="108">
        <f>1-Z172</f>
        <v/>
      </c>
      <c r="O172" s="108">
        <f>1-AA172</f>
        <v/>
      </c>
      <c r="P172" s="108">
        <f>1-AB172</f>
        <v/>
      </c>
      <c r="Q172" s="108" t="n"/>
      <c r="R172" s="108" t="n"/>
      <c r="S172" s="108">
        <f>1-AE172</f>
        <v/>
      </c>
      <c r="T172" s="108">
        <f>1-AF172</f>
        <v/>
      </c>
      <c r="U172" s="108">
        <f>1-AG172</f>
        <v/>
      </c>
      <c r="V172" s="108">
        <f>1-AH172</f>
        <v/>
      </c>
      <c r="W172" s="108">
        <f>1-AI172</f>
        <v/>
      </c>
      <c r="X172" s="108">
        <f>ABS(AJ172-AJ$1)</f>
        <v/>
      </c>
      <c r="Y172" s="108">
        <f>AVERAGE(Z172:AB172)</f>
        <v/>
      </c>
      <c r="Z172" s="108">
        <f>ABS(AL172-AL$1)</f>
        <v/>
      </c>
      <c r="AA172" s="108">
        <f>ABS(AM172-AM$1)</f>
        <v/>
      </c>
      <c r="AB172" s="108">
        <f>ABS(AN172-AN$1)</f>
        <v/>
      </c>
      <c r="AC172" s="108" t="n"/>
      <c r="AD172" s="108" t="n"/>
      <c r="AE172" s="108">
        <f>ABS(AQ$1-AQ172)</f>
        <v/>
      </c>
      <c r="AF172" s="108">
        <f>ABS(AR$1-AR172)</f>
        <v/>
      </c>
      <c r="AG172" s="108">
        <f>ABS(AS$1-AS172)</f>
        <v/>
      </c>
      <c r="AH172" s="108">
        <f>ABS(AT$1-AT172)</f>
        <v/>
      </c>
      <c r="AI172" s="108">
        <f>ABS(AU$1-AU172)</f>
        <v/>
      </c>
      <c r="AJ172" s="108">
        <f>(AV172-Driver!$K$179)/(Driver!$L$179-Driver!$K$179)</f>
        <v/>
      </c>
      <c r="AK172" s="108">
        <f>(AW172-Driver!$K$180)/(Driver!$L$180-Driver!$K$180)</f>
        <v/>
      </c>
      <c r="AL172" s="108">
        <f>(AX172-Driver!$K$181)/(Driver!$L$181-Driver!$K$181)</f>
        <v/>
      </c>
      <c r="AM172" s="108">
        <f>(AY172-Driver!$K$182)/(Driver!$L$182-Driver!$K$182)</f>
        <v/>
      </c>
      <c r="AN172" s="108">
        <f>(AZ172-Driver!$K$183)/(Driver!$L$183-Driver!$K$183)</f>
        <v/>
      </c>
      <c r="AO172" s="108" t="n"/>
      <c r="AP172" s="108" t="n"/>
      <c r="AQ172" s="108">
        <f>(BC172-Driver!$K$188)/(Driver!$L$188-Driver!$K$188)</f>
        <v/>
      </c>
      <c r="AR172" s="108">
        <f>MIN((BD172-Driver!$K$189)/(Driver!$L$189-Driver!$K$189),100%)</f>
        <v/>
      </c>
      <c r="AS172" s="108">
        <f>(BE172-Driver!$K$190)/(Driver!$L$190-Driver!$K$190)</f>
        <v/>
      </c>
      <c r="AT172" s="108">
        <f>(BF172-Driver!$K$191)/(Driver!$L$191-Driver!$K$191)</f>
        <v/>
      </c>
      <c r="AU172" s="108">
        <f>(BG172-Driver!$K$192)/(Driver!$L$192-Driver!$K$192)</f>
        <v/>
      </c>
      <c r="AV172" s="105">
        <f>IFERROR(BM172*BJ172^1/4,"")</f>
        <v/>
      </c>
      <c r="AW172" s="105">
        <f>IFERROR(SUM(AX172:AZ172),"")</f>
        <v/>
      </c>
      <c r="AX172" s="105">
        <f>IFERROR(BH172,"")</f>
        <v/>
      </c>
      <c r="AY172" s="105">
        <f>IFERROR(Driver!$K$19/Data!BH172/Data!BI172*Data!BK172*Data!BL172,"")</f>
        <v/>
      </c>
      <c r="AZ172" s="105">
        <f>IFERROR(BI172*BN172,"")</f>
        <v/>
      </c>
      <c r="BA172" s="105" t="n"/>
      <c r="BB172" s="105" t="n"/>
      <c r="BC172" s="105">
        <f>IFERROR(BI172*BN172*BK172/BJ172^(1/2),"")</f>
        <v/>
      </c>
      <c r="BD172" s="105">
        <f>IFERROR(BH172*BM172*BL172/BJ172/BK172,"")</f>
        <v/>
      </c>
      <c r="BE172" s="105">
        <f>IFERROR(MIN(BI172/BQ172/BP172/BO172/BH172,$BE$1),"")</f>
        <v/>
      </c>
      <c r="BF172" s="105">
        <f>IFERROR(BJ172*BO172*BP172/BK172,"")</f>
        <v/>
      </c>
      <c r="BG172" s="105">
        <f>IFERROR(1/BM172/BH172*BQ172,"")</f>
        <v/>
      </c>
      <c r="BH172" s="102">
        <f>MAX((CE172-Driver!$F$200)/(Driver!$G$200-Driver!$F$200)*$BI$1,1)</f>
        <v/>
      </c>
      <c r="BI172" s="102">
        <f>MAX($BI$1*(BY172-Driver!$F$201)/(Driver!$G$201-Driver!$F$201),1)</f>
        <v/>
      </c>
      <c r="BJ172" s="102">
        <f>(CB172-Driver!$F$206)/(Driver!$G$206-Driver!$F$206)*$BI$1</f>
        <v/>
      </c>
      <c r="BK172" s="102">
        <f>(CD172-Driver!$F$203)/(Driver!$G$203-Driver!$F$203)*$BI$1</f>
        <v/>
      </c>
      <c r="BL172" s="102">
        <f>MAX((CR172-Driver!$F$202)/(Driver!$G$202-Driver!$F$202)*$BI$1,1)</f>
        <v/>
      </c>
      <c r="BM172" s="102">
        <f>MAX((CH172-Driver!$F$204)/(Driver!$G$204-Driver!$F$204)*$BI$1,1)</f>
        <v/>
      </c>
      <c r="BN172" s="102">
        <f>(CI172-Driver!$F$205)/(Driver!$G$205-Driver!$F$205)*$BI$1</f>
        <v/>
      </c>
      <c r="BO172" s="102">
        <f>(CK172-Driver!$F$207)/(Driver!$G$207-Driver!$F$207)*$BI$1</f>
        <v/>
      </c>
      <c r="BP172" s="102">
        <f>(CM172-Driver!$F$208)/(Driver!$G$208-Driver!$F$208)*$BI$1</f>
        <v/>
      </c>
      <c r="BQ172" s="102">
        <f>(CL172-Driver!$F$209)/(Driver!$G$209-Driver!$F$209)*$BI$1</f>
        <v/>
      </c>
      <c r="BR172" s="40" t="inlineStr">
        <is>
          <t>21/22</t>
        </is>
      </c>
      <c r="BS172" s="10" t="inlineStr">
        <is>
          <t xml:space="preserve"> Faction</t>
        </is>
      </c>
      <c r="BT172" s="11" t="inlineStr">
        <is>
          <t>Agent 3.0 X</t>
        </is>
      </c>
      <c r="BU172" s="13" t="n">
        <v>164</v>
      </c>
      <c r="BV172" s="11" t="inlineStr">
        <is>
          <t xml:space="preserve"> Women's</t>
        </is>
      </c>
      <c r="BW172" s="13" t="n">
        <v>164</v>
      </c>
      <c r="BX172" s="13" t="n">
        <v>162.6</v>
      </c>
      <c r="BY172" s="13" t="n">
        <v>117</v>
      </c>
      <c r="BZ172" s="13" t="n">
        <v>134</v>
      </c>
      <c r="CA172" s="13" t="n">
        <v>133</v>
      </c>
      <c r="CB172" s="13" t="n">
        <v>106</v>
      </c>
      <c r="CC172" s="13" t="n">
        <v>124</v>
      </c>
      <c r="CD172" s="13" t="n">
        <v>16.8</v>
      </c>
      <c r="CE172" s="13" t="n">
        <v>1604</v>
      </c>
      <c r="CF172" s="13" t="n">
        <v>1.17</v>
      </c>
      <c r="CG172" s="13" t="n">
        <v>1872</v>
      </c>
      <c r="CH172" s="13" t="n">
        <v>182</v>
      </c>
      <c r="CI172" s="13" t="n">
        <v>88</v>
      </c>
      <c r="CJ172" s="13" t="n">
        <v>53</v>
      </c>
      <c r="CK172" s="13" t="n">
        <v>275</v>
      </c>
      <c r="CL172" s="13" t="n">
        <v>20</v>
      </c>
      <c r="CM172" s="13" t="n">
        <v>179</v>
      </c>
      <c r="CN172" s="13" t="n">
        <v>0.378</v>
      </c>
      <c r="CO172" s="13" t="n">
        <v>179</v>
      </c>
      <c r="CP172" s="13" t="n">
        <v>111</v>
      </c>
      <c r="CQ172" s="13" t="n">
        <v>96</v>
      </c>
      <c r="CR172" s="13" t="n">
        <v>5</v>
      </c>
      <c r="CS172" s="13" t="n">
        <v>10.6</v>
      </c>
      <c r="CT172" s="11" t="inlineStr">
        <is>
          <t xml:space="preserve"> Powder</t>
        </is>
      </c>
      <c r="CU172" s="11" t="inlineStr">
        <is>
          <t xml:space="preserve"> Big Mountain</t>
        </is>
      </c>
      <c r="CV172" s="11" t="inlineStr">
        <is>
          <t xml:space="preserve"> Touring</t>
        </is>
      </c>
      <c r="CW172" s="13" t="n"/>
      <c r="CX172">
        <f>INDEX('Data_Price '!AG$2:AG$1266,MATCH(Data!$DN172,'Data_Price '!$AT$2:$AT$1266,0))</f>
        <v/>
      </c>
      <c r="CY172">
        <f>INDEX('Data_Price '!AH$2:AH$1266,MATCH(Data!$DN172,'Data_Price '!$AT$2:$AT$1266,0))</f>
        <v/>
      </c>
      <c r="CZ172">
        <f>INDEX('Data_Price '!AI$2:AI$1266,MATCH(Data!$DN172,'Data_Price '!$AT$2:$AT$1266,0))</f>
        <v/>
      </c>
      <c r="DA172">
        <f>INDEX('Data_Price '!AJ$2:AJ$1266,MATCH(Data!$DN172,'Data_Price '!$AT$2:$AT$1266,0))</f>
        <v/>
      </c>
      <c r="DB172">
        <f>INDEX('Data_Price '!AK$2:AK$1266,MATCH(Data!$DN172,'Data_Price '!$AT$2:$AT$1266,0))</f>
        <v/>
      </c>
      <c r="DC172">
        <f>INDEX('Data_Price '!AL$2:AL$1266,MATCH(Data!$DN172,'Data_Price '!$AT$2:$AT$1266,0))</f>
        <v/>
      </c>
      <c r="DD172">
        <f>INDEX('Data_Price '!AM$2:AM$1266,MATCH(Data!$DN172,'Data_Price '!$AT$2:$AT$1266,0))</f>
        <v/>
      </c>
      <c r="DE172">
        <f>INDEX('Data_Price '!AN$2:AN$1266,MATCH(Data!$DN172,'Data_Price '!$AT$2:$AT$1266,0))</f>
        <v/>
      </c>
      <c r="DF172">
        <f>INDEX('Data_Price '!AO$2:AO$1266,MATCH(Data!$DN172,'Data_Price '!$AT$2:$AT$1266,0))</f>
        <v/>
      </c>
      <c r="DG172">
        <f>INDEX('Data_Price '!AP$2:AP$1266,MATCH(Data!$DN172,'Data_Price '!$AT$2:$AT$1266,0))</f>
        <v/>
      </c>
      <c r="DH172">
        <f>INDEX('Data_Price '!AQ$2:AQ$1266,MATCH(Data!$DN172,'Data_Price '!$AT$2:$AT$1266,0))</f>
        <v/>
      </c>
      <c r="DI172">
        <f>INDEX('Data_Price '!AR$2:AR$1266,MATCH(Data!$DN172,'Data_Price '!$AT$2:$AT$1266,0))</f>
        <v/>
      </c>
      <c r="DJ172" s="138">
        <f>DA172</f>
        <v/>
      </c>
      <c r="DK172" s="138">
        <f>DE172</f>
        <v/>
      </c>
      <c r="DL172" s="138">
        <f>DI172</f>
        <v/>
      </c>
      <c r="DM172" s="303">
        <f>IF(LEFT(BT172,1)=" ",RIGHT(BT172,LEN(BT172)-1),BT172)</f>
        <v/>
      </c>
      <c r="DN172" s="138">
        <f>_xlfn.CONCAT(BS172,DM172,BU172,BV172)</f>
        <v/>
      </c>
      <c r="DO172" s="307" t="n"/>
    </row>
    <row r="173" ht="15.6" customHeight="1" s="184">
      <c r="B173" s="303">
        <f t="array" ref="B173">IF(OR(ISERROR(K173:P173)),FALSE,TRUE)</f>
        <v/>
      </c>
      <c r="C173" s="60">
        <f>OR(BR173=Driver!$G$50,Data!BR333=Driver!$H$50)</f>
        <v/>
      </c>
      <c r="D173" s="60">
        <f>OR(BV173=Driver!$G$51,BV173=Driver!$H$51)</f>
        <v/>
      </c>
      <c r="E173" s="60">
        <f>AND(BX173&gt;Driver!$F$54,BX173&lt;Driver!$G$54)</f>
        <v/>
      </c>
      <c r="F173" s="60">
        <f>CL173&gt;Driver!$F$56</f>
        <v/>
      </c>
      <c r="G173" s="60">
        <f>AND(CB173&gt;Driver!$F$55,CB173&lt;Driver!$G$55)</f>
        <v/>
      </c>
      <c r="H173" s="60">
        <f>AND(B173:G173)</f>
        <v/>
      </c>
      <c r="I173" s="60">
        <f>COUNTIFS($H$9:$H$1273,TRUE,$BT$9:$BT$1273,BT173)</f>
        <v/>
      </c>
      <c r="J173" s="60">
        <f t="array" ref="J173">NOT(OR(($H$9:$H$1273=TRUE)*($I$9:$I$1273&gt;0)*($BT$9:$BT$1273=BT173)*($K$9:$K$1273&gt;K173)))</f>
        <v/>
      </c>
      <c r="K173" s="108">
        <f>IFERROR(1-AVERAGE(X173:Y173),"")</f>
        <v/>
      </c>
      <c r="L173" s="108">
        <f>1-X173</f>
        <v/>
      </c>
      <c r="M173" s="108">
        <f>1-Y173</f>
        <v/>
      </c>
      <c r="N173" s="108">
        <f>1-Z173</f>
        <v/>
      </c>
      <c r="O173" s="108">
        <f>1-AA173</f>
        <v/>
      </c>
      <c r="P173" s="108">
        <f>1-AB173</f>
        <v/>
      </c>
      <c r="Q173" s="108" t="n"/>
      <c r="R173" s="108" t="n"/>
      <c r="S173" s="108">
        <f>1-AE173</f>
        <v/>
      </c>
      <c r="T173" s="108">
        <f>1-AF173</f>
        <v/>
      </c>
      <c r="U173" s="108">
        <f>1-AG173</f>
        <v/>
      </c>
      <c r="V173" s="108">
        <f>1-AH173</f>
        <v/>
      </c>
      <c r="W173" s="108">
        <f>1-AI173</f>
        <v/>
      </c>
      <c r="X173" s="108">
        <f>ABS(AJ173-AJ$1)</f>
        <v/>
      </c>
      <c r="Y173" s="108">
        <f>AVERAGE(Z173:AB173)</f>
        <v/>
      </c>
      <c r="Z173" s="108">
        <f>ABS(AL173-AL$1)</f>
        <v/>
      </c>
      <c r="AA173" s="108">
        <f>ABS(AM173-AM$1)</f>
        <v/>
      </c>
      <c r="AB173" s="108">
        <f>ABS(AN173-AN$1)</f>
        <v/>
      </c>
      <c r="AC173" s="108" t="n"/>
      <c r="AD173" s="108" t="n"/>
      <c r="AE173" s="108">
        <f>ABS(AQ$1-AQ173)</f>
        <v/>
      </c>
      <c r="AF173" s="108">
        <f>ABS(AR$1-AR173)</f>
        <v/>
      </c>
      <c r="AG173" s="108">
        <f>ABS(AS$1-AS173)</f>
        <v/>
      </c>
      <c r="AH173" s="108">
        <f>ABS(AT$1-AT173)</f>
        <v/>
      </c>
      <c r="AI173" s="108">
        <f>ABS(AU$1-AU173)</f>
        <v/>
      </c>
      <c r="AJ173" s="108">
        <f>(AV173-Driver!$K$179)/(Driver!$L$179-Driver!$K$179)</f>
        <v/>
      </c>
      <c r="AK173" s="108">
        <f>(AW173-Driver!$K$180)/(Driver!$L$180-Driver!$K$180)</f>
        <v/>
      </c>
      <c r="AL173" s="108">
        <f>(AX173-Driver!$K$181)/(Driver!$L$181-Driver!$K$181)</f>
        <v/>
      </c>
      <c r="AM173" s="108">
        <f>(AY173-Driver!$K$182)/(Driver!$L$182-Driver!$K$182)</f>
        <v/>
      </c>
      <c r="AN173" s="108">
        <f>(AZ173-Driver!$K$183)/(Driver!$L$183-Driver!$K$183)</f>
        <v/>
      </c>
      <c r="AO173" s="108" t="n"/>
      <c r="AP173" s="108" t="n"/>
      <c r="AQ173" s="108">
        <f>(BC173-Driver!$K$188)/(Driver!$L$188-Driver!$K$188)</f>
        <v/>
      </c>
      <c r="AR173" s="108">
        <f>MIN((BD173-Driver!$K$189)/(Driver!$L$189-Driver!$K$189),100%)</f>
        <v/>
      </c>
      <c r="AS173" s="108">
        <f>(BE173-Driver!$K$190)/(Driver!$L$190-Driver!$K$190)</f>
        <v/>
      </c>
      <c r="AT173" s="108">
        <f>(BF173-Driver!$K$191)/(Driver!$L$191-Driver!$K$191)</f>
        <v/>
      </c>
      <c r="AU173" s="108">
        <f>(BG173-Driver!$K$192)/(Driver!$L$192-Driver!$K$192)</f>
        <v/>
      </c>
      <c r="AV173" s="105">
        <f>IFERROR(BM173*BJ173^1/4,"")</f>
        <v/>
      </c>
      <c r="AW173" s="105">
        <f>IFERROR(SUM(AX173:AZ173),"")</f>
        <v/>
      </c>
      <c r="AX173" s="105">
        <f>IFERROR(BH173,"")</f>
        <v/>
      </c>
      <c r="AY173" s="105">
        <f>IFERROR(Driver!$K$19/Data!BH173/Data!BI173*Data!BK173*Data!BL173,"")</f>
        <v/>
      </c>
      <c r="AZ173" s="105">
        <f>IFERROR(BI173*BN173,"")</f>
        <v/>
      </c>
      <c r="BA173" s="105" t="n"/>
      <c r="BB173" s="105" t="n"/>
      <c r="BC173" s="105">
        <f>IFERROR(BI173*BN173*BK173/BJ173^(1/2),"")</f>
        <v/>
      </c>
      <c r="BD173" s="105">
        <f>IFERROR(BH173*BM173*BL173/BJ173/BK173,"")</f>
        <v/>
      </c>
      <c r="BE173" s="105">
        <f>IFERROR(MIN(BI173/BQ173/BP173/BO173/BH173,$BE$1),"")</f>
        <v/>
      </c>
      <c r="BF173" s="105">
        <f>IFERROR(BJ173*BO173*BP173/BK173,"")</f>
        <v/>
      </c>
      <c r="BG173" s="105">
        <f>IFERROR(1/BM173/BH173*BQ173,"")</f>
        <v/>
      </c>
      <c r="BH173" s="102">
        <f>MAX((CE173-Driver!$F$200)/(Driver!$G$200-Driver!$F$200)*$BI$1,1)</f>
        <v/>
      </c>
      <c r="BI173" s="102">
        <f>MAX($BI$1*(BY173-Driver!$F$201)/(Driver!$G$201-Driver!$F$201),1)</f>
        <v/>
      </c>
      <c r="BJ173" s="102">
        <f>(CB173-Driver!$F$206)/(Driver!$G$206-Driver!$F$206)*$BI$1</f>
        <v/>
      </c>
      <c r="BK173" s="102">
        <f>(CD173-Driver!$F$203)/(Driver!$G$203-Driver!$F$203)*$BI$1</f>
        <v/>
      </c>
      <c r="BL173" s="102">
        <f>MAX((CR173-Driver!$F$202)/(Driver!$G$202-Driver!$F$202)*$BI$1,1)</f>
        <v/>
      </c>
      <c r="BM173" s="102">
        <f>MAX((CH173-Driver!$F$204)/(Driver!$G$204-Driver!$F$204)*$BI$1,1)</f>
        <v/>
      </c>
      <c r="BN173" s="102">
        <f>(CI173-Driver!$F$205)/(Driver!$G$205-Driver!$F$205)*$BI$1</f>
        <v/>
      </c>
      <c r="BO173" s="102">
        <f>(CK173-Driver!$F$207)/(Driver!$G$207-Driver!$F$207)*$BI$1</f>
        <v/>
      </c>
      <c r="BP173" s="102">
        <f>(CM173-Driver!$F$208)/(Driver!$G$208-Driver!$F$208)*$BI$1</f>
        <v/>
      </c>
      <c r="BQ173" s="102">
        <f>(CL173-Driver!$F$209)/(Driver!$G$209-Driver!$F$209)*$BI$1</f>
        <v/>
      </c>
      <c r="BR173" s="40" t="inlineStr">
        <is>
          <t>21/22</t>
        </is>
      </c>
      <c r="BS173" s="10" t="inlineStr">
        <is>
          <t xml:space="preserve"> DPS</t>
        </is>
      </c>
      <c r="BT173" s="11" t="inlineStr">
        <is>
          <t>Foundation 103 Koala</t>
        </is>
      </c>
      <c r="BU173" s="13" t="n">
        <v>176</v>
      </c>
      <c r="BV173" s="11" t="inlineStr">
        <is>
          <t xml:space="preserve"> Unisex</t>
        </is>
      </c>
      <c r="BW173" s="13" t="n">
        <v>176</v>
      </c>
      <c r="BX173" s="13" t="n">
        <v>175.1</v>
      </c>
      <c r="BY173" s="13" t="n">
        <v>117</v>
      </c>
      <c r="BZ173" s="13" t="n">
        <v>140</v>
      </c>
      <c r="CA173" s="13" t="n">
        <v>131</v>
      </c>
      <c r="CB173" s="13" t="n">
        <v>103</v>
      </c>
      <c r="CC173" s="13" t="n">
        <v>120</v>
      </c>
      <c r="CD173" s="13" t="n">
        <v>18.3</v>
      </c>
      <c r="CE173" s="13" t="n">
        <v>1804</v>
      </c>
      <c r="CF173" s="13" t="n">
        <v>1.09</v>
      </c>
      <c r="CG173" s="13" t="n">
        <v>1972</v>
      </c>
      <c r="CH173" s="13" t="n">
        <v>210</v>
      </c>
      <c r="CI173" s="13" t="n">
        <v>95</v>
      </c>
      <c r="CJ173" s="13" t="n">
        <v>48</v>
      </c>
      <c r="CK173" s="13" t="n">
        <v>298</v>
      </c>
      <c r="CL173" s="13" t="n">
        <v>37</v>
      </c>
      <c r="CM173" s="13" t="n">
        <v>280</v>
      </c>
      <c r="CN173" s="13" t="n">
        <v>0.777</v>
      </c>
      <c r="CO173" s="13" t="n">
        <v>184</v>
      </c>
      <c r="CP173" s="13" t="n">
        <v>167</v>
      </c>
      <c r="CQ173" s="13" t="n">
        <v>114</v>
      </c>
      <c r="CR173" s="13" t="n">
        <v>7</v>
      </c>
      <c r="CS173" s="13" t="n">
        <v>6.3</v>
      </c>
      <c r="CT173" s="11" t="inlineStr">
        <is>
          <t xml:space="preserve"> Resort Freeride</t>
        </is>
      </c>
      <c r="CU173" s="11" t="inlineStr">
        <is>
          <t xml:space="preserve"> Powder</t>
        </is>
      </c>
      <c r="CV173" s="11" t="inlineStr">
        <is>
          <t xml:space="preserve"> Touring</t>
        </is>
      </c>
      <c r="CW173" s="13" t="n"/>
      <c r="CX173">
        <f>INDEX('Data_Price '!AG$2:AG$1266,MATCH(Data!$DN173,'Data_Price '!$AT$2:$AT$1266,0))</f>
        <v/>
      </c>
      <c r="CY173">
        <f>INDEX('Data_Price '!AH$2:AH$1266,MATCH(Data!$DN173,'Data_Price '!$AT$2:$AT$1266,0))</f>
        <v/>
      </c>
      <c r="CZ173">
        <f>INDEX('Data_Price '!AI$2:AI$1266,MATCH(Data!$DN173,'Data_Price '!$AT$2:$AT$1266,0))</f>
        <v/>
      </c>
      <c r="DA173">
        <f>INDEX('Data_Price '!AJ$2:AJ$1266,MATCH(Data!$DN173,'Data_Price '!$AT$2:$AT$1266,0))</f>
        <v/>
      </c>
      <c r="DB173">
        <f>INDEX('Data_Price '!AK$2:AK$1266,MATCH(Data!$DN173,'Data_Price '!$AT$2:$AT$1266,0))</f>
        <v/>
      </c>
      <c r="DC173">
        <f>INDEX('Data_Price '!AL$2:AL$1266,MATCH(Data!$DN173,'Data_Price '!$AT$2:$AT$1266,0))</f>
        <v/>
      </c>
      <c r="DD173">
        <f>INDEX('Data_Price '!AM$2:AM$1266,MATCH(Data!$DN173,'Data_Price '!$AT$2:$AT$1266,0))</f>
        <v/>
      </c>
      <c r="DE173">
        <f>INDEX('Data_Price '!AN$2:AN$1266,MATCH(Data!$DN173,'Data_Price '!$AT$2:$AT$1266,0))</f>
        <v/>
      </c>
      <c r="DF173">
        <f>INDEX('Data_Price '!AO$2:AO$1266,MATCH(Data!$DN173,'Data_Price '!$AT$2:$AT$1266,0))</f>
        <v/>
      </c>
      <c r="DG173">
        <f>INDEX('Data_Price '!AP$2:AP$1266,MATCH(Data!$DN173,'Data_Price '!$AT$2:$AT$1266,0))</f>
        <v/>
      </c>
      <c r="DH173">
        <f>INDEX('Data_Price '!AQ$2:AQ$1266,MATCH(Data!$DN173,'Data_Price '!$AT$2:$AT$1266,0))</f>
        <v/>
      </c>
      <c r="DI173">
        <f>INDEX('Data_Price '!AR$2:AR$1266,MATCH(Data!$DN173,'Data_Price '!$AT$2:$AT$1266,0))</f>
        <v/>
      </c>
      <c r="DJ173" s="138">
        <f>DA173</f>
        <v/>
      </c>
      <c r="DK173" s="138">
        <f>DE173</f>
        <v/>
      </c>
      <c r="DL173" s="138">
        <f>DI173</f>
        <v/>
      </c>
      <c r="DM173" s="303">
        <f>IF(LEFT(BT173,1)=" ",RIGHT(BT173,LEN(BT173)-1),BT173)</f>
        <v/>
      </c>
      <c r="DN173" s="138">
        <f>_xlfn.CONCAT(BS173,DM173,BU173,BV173)</f>
        <v/>
      </c>
      <c r="DO173" s="307" t="n"/>
    </row>
    <row r="174" ht="15.6" customHeight="1" s="184">
      <c r="B174" s="303">
        <f t="array" ref="B174">IF(OR(ISERROR(K174:P174)),FALSE,TRUE)</f>
        <v/>
      </c>
      <c r="C174" s="60">
        <f>OR(BR174=Driver!$G$50,Data!BR119=Driver!$H$50)</f>
        <v/>
      </c>
      <c r="D174" s="60">
        <f>OR(BV174=Driver!$G$51,BV174=Driver!$H$51)</f>
        <v/>
      </c>
      <c r="E174" s="60">
        <f>AND(BX174&gt;Driver!$F$54,BX174&lt;Driver!$G$54)</f>
        <v/>
      </c>
      <c r="F174" s="60">
        <f>CL174&gt;Driver!$F$56</f>
        <v/>
      </c>
      <c r="G174" s="60">
        <f>AND(CB174&gt;Driver!$F$55,CB174&lt;Driver!$G$55)</f>
        <v/>
      </c>
      <c r="H174" s="60">
        <f>AND(B174:G174)</f>
        <v/>
      </c>
      <c r="I174" s="60">
        <f>COUNTIFS($H$9:$H$1273,TRUE,$BT$9:$BT$1273,BT174)</f>
        <v/>
      </c>
      <c r="J174" s="60">
        <f t="array" ref="J174">NOT(OR(($H$9:$H$1273=TRUE)*($I$9:$I$1273&gt;0)*($BT$9:$BT$1273=BT174)*($K$9:$K$1273&gt;K174)))</f>
        <v/>
      </c>
      <c r="K174" s="108">
        <f>IFERROR(1-AVERAGE(X174:Y174),"")</f>
        <v/>
      </c>
      <c r="L174" s="108">
        <f>1-X174</f>
        <v/>
      </c>
      <c r="M174" s="108">
        <f>1-Y174</f>
        <v/>
      </c>
      <c r="N174" s="108">
        <f>1-Z174</f>
        <v/>
      </c>
      <c r="O174" s="108">
        <f>1-AA174</f>
        <v/>
      </c>
      <c r="P174" s="108">
        <f>1-AB174</f>
        <v/>
      </c>
      <c r="Q174" s="108" t="n"/>
      <c r="R174" s="108" t="n"/>
      <c r="S174" s="108">
        <f>1-AE174</f>
        <v/>
      </c>
      <c r="T174" s="108">
        <f>1-AF174</f>
        <v/>
      </c>
      <c r="U174" s="108">
        <f>1-AG174</f>
        <v/>
      </c>
      <c r="V174" s="108">
        <f>1-AH174</f>
        <v/>
      </c>
      <c r="W174" s="108">
        <f>1-AI174</f>
        <v/>
      </c>
      <c r="X174" s="108">
        <f>ABS(AJ174-AJ$1)</f>
        <v/>
      </c>
      <c r="Y174" s="108">
        <f>AVERAGE(Z174:AB174)</f>
        <v/>
      </c>
      <c r="Z174" s="108">
        <f>ABS(AL174-AL$1)</f>
        <v/>
      </c>
      <c r="AA174" s="108">
        <f>ABS(AM174-AM$1)</f>
        <v/>
      </c>
      <c r="AB174" s="108">
        <f>ABS(AN174-AN$1)</f>
        <v/>
      </c>
      <c r="AC174" s="108" t="n"/>
      <c r="AD174" s="108" t="n"/>
      <c r="AE174" s="108">
        <f>ABS(AQ$1-AQ174)</f>
        <v/>
      </c>
      <c r="AF174" s="108">
        <f>ABS(AR$1-AR174)</f>
        <v/>
      </c>
      <c r="AG174" s="108">
        <f>ABS(AS$1-AS174)</f>
        <v/>
      </c>
      <c r="AH174" s="108">
        <f>ABS(AT$1-AT174)</f>
        <v/>
      </c>
      <c r="AI174" s="108">
        <f>ABS(AU$1-AU174)</f>
        <v/>
      </c>
      <c r="AJ174" s="108">
        <f>(AV174-Driver!$K$179)/(Driver!$L$179-Driver!$K$179)</f>
        <v/>
      </c>
      <c r="AK174" s="108">
        <f>(AW174-Driver!$K$180)/(Driver!$L$180-Driver!$K$180)</f>
        <v/>
      </c>
      <c r="AL174" s="108">
        <f>(AX174-Driver!$K$181)/(Driver!$L$181-Driver!$K$181)</f>
        <v/>
      </c>
      <c r="AM174" s="108">
        <f>(AY174-Driver!$K$182)/(Driver!$L$182-Driver!$K$182)</f>
        <v/>
      </c>
      <c r="AN174" s="108">
        <f>(AZ174-Driver!$K$183)/(Driver!$L$183-Driver!$K$183)</f>
        <v/>
      </c>
      <c r="AO174" s="108" t="n"/>
      <c r="AP174" s="108" t="n"/>
      <c r="AQ174" s="108">
        <f>(BC174-Driver!$K$188)/(Driver!$L$188-Driver!$K$188)</f>
        <v/>
      </c>
      <c r="AR174" s="108">
        <f>MIN((BD174-Driver!$K$189)/(Driver!$L$189-Driver!$K$189),100%)</f>
        <v/>
      </c>
      <c r="AS174" s="108">
        <f>(BE174-Driver!$K$190)/(Driver!$L$190-Driver!$K$190)</f>
        <v/>
      </c>
      <c r="AT174" s="108">
        <f>(BF174-Driver!$K$191)/(Driver!$L$191-Driver!$K$191)</f>
        <v/>
      </c>
      <c r="AU174" s="108">
        <f>(BG174-Driver!$K$192)/(Driver!$L$192-Driver!$K$192)</f>
        <v/>
      </c>
      <c r="AV174" s="105">
        <f>IFERROR(BM174*BJ174^1/4,"")</f>
        <v/>
      </c>
      <c r="AW174" s="105">
        <f>IFERROR(SUM(AX174:AZ174),"")</f>
        <v/>
      </c>
      <c r="AX174" s="105">
        <f>IFERROR(BH174,"")</f>
        <v/>
      </c>
      <c r="AY174" s="105">
        <f>IFERROR(Driver!$K$19/Data!BH174/Data!BI174*Data!BK174*Data!BL174,"")</f>
        <v/>
      </c>
      <c r="AZ174" s="105">
        <f>IFERROR(BI174*BN174,"")</f>
        <v/>
      </c>
      <c r="BA174" s="105" t="n"/>
      <c r="BB174" s="105" t="n"/>
      <c r="BC174" s="105">
        <f>IFERROR(BI174*BN174*BK174/BJ174^(1/2),"")</f>
        <v/>
      </c>
      <c r="BD174" s="105">
        <f>IFERROR(BH174*BM174*BL174/BJ174/BK174,"")</f>
        <v/>
      </c>
      <c r="BE174" s="105">
        <f>IFERROR(MIN(BI174/BQ174/BP174/BO174/BH174,$BE$1),"")</f>
        <v/>
      </c>
      <c r="BF174" s="105">
        <f>IFERROR(BJ174*BO174*BP174/BK174,"")</f>
        <v/>
      </c>
      <c r="BG174" s="105">
        <f>IFERROR(1/BM174/BH174*BQ174,"")</f>
        <v/>
      </c>
      <c r="BH174" s="102">
        <f>MAX((CE174-Driver!$F$200)/(Driver!$G$200-Driver!$F$200)*$BI$1,1)</f>
        <v/>
      </c>
      <c r="BI174" s="102">
        <f>MAX($BI$1*(BY174-Driver!$F$201)/(Driver!$G$201-Driver!$F$201),1)</f>
        <v/>
      </c>
      <c r="BJ174" s="102">
        <f>(CB174-Driver!$F$206)/(Driver!$G$206-Driver!$F$206)*$BI$1</f>
        <v/>
      </c>
      <c r="BK174" s="102">
        <f>(CD174-Driver!$F$203)/(Driver!$G$203-Driver!$F$203)*$BI$1</f>
        <v/>
      </c>
      <c r="BL174" s="102">
        <f>MAX((CR174-Driver!$F$202)/(Driver!$G$202-Driver!$F$202)*$BI$1,1)</f>
        <v/>
      </c>
      <c r="BM174" s="102">
        <f>MAX((CH174-Driver!$F$204)/(Driver!$G$204-Driver!$F$204)*$BI$1,1)</f>
        <v/>
      </c>
      <c r="BN174" s="102">
        <f>(CI174-Driver!$F$205)/(Driver!$G$205-Driver!$F$205)*$BI$1</f>
        <v/>
      </c>
      <c r="BO174" s="102">
        <f>(CK174-Driver!$F$207)/(Driver!$G$207-Driver!$F$207)*$BI$1</f>
        <v/>
      </c>
      <c r="BP174" s="102">
        <f>(CM174-Driver!$F$208)/(Driver!$G$208-Driver!$F$208)*$BI$1</f>
        <v/>
      </c>
      <c r="BQ174" s="102">
        <f>(CL174-Driver!$F$209)/(Driver!$G$209-Driver!$F$209)*$BI$1</f>
        <v/>
      </c>
      <c r="BR174" s="40" t="inlineStr">
        <is>
          <t>21/22</t>
        </is>
      </c>
      <c r="BS174" s="10" t="inlineStr">
        <is>
          <t xml:space="preserve"> Atomic</t>
        </is>
      </c>
      <c r="BT174" s="11" t="inlineStr">
        <is>
          <t>Backland 100</t>
        </is>
      </c>
      <c r="BU174" s="13" t="n">
        <v>188</v>
      </c>
      <c r="BV174" s="11" t="inlineStr">
        <is>
          <t xml:space="preserve"> Unisex</t>
        </is>
      </c>
      <c r="BW174" s="13" t="n">
        <v>188</v>
      </c>
      <c r="BX174" s="13" t="n">
        <v>186.7</v>
      </c>
      <c r="BY174" s="13" t="n">
        <v>140</v>
      </c>
      <c r="BZ174" s="13" t="n">
        <v>150</v>
      </c>
      <c r="CA174" s="13" t="n">
        <v>129</v>
      </c>
      <c r="CB174" s="13" t="n">
        <v>100</v>
      </c>
      <c r="CC174" s="13" t="n">
        <v>120</v>
      </c>
      <c r="CD174" s="13" t="n">
        <v>21.5</v>
      </c>
      <c r="CE174" s="13" t="n">
        <v>1435</v>
      </c>
      <c r="CF174" s="13" t="n">
        <v>1.4</v>
      </c>
      <c r="CG174" s="13" t="n">
        <v>2009</v>
      </c>
      <c r="CH174" s="13" t="n">
        <v>217</v>
      </c>
      <c r="CI174" s="13" t="n">
        <v>112</v>
      </c>
      <c r="CJ174" s="13" t="n">
        <v>54</v>
      </c>
      <c r="CK174" s="13" t="n">
        <v>286</v>
      </c>
      <c r="CL174" s="13" t="n">
        <v>14</v>
      </c>
      <c r="CM174" s="13" t="n">
        <v>180</v>
      </c>
      <c r="CN174" s="13" t="n">
        <v>0.251</v>
      </c>
      <c r="CO174" s="13" t="n">
        <v>195</v>
      </c>
      <c r="CP174" s="13" t="n">
        <v>169</v>
      </c>
      <c r="CQ174" s="13" t="n">
        <v>90</v>
      </c>
      <c r="CR174" s="13" t="n">
        <v>7</v>
      </c>
      <c r="CS174" s="13" t="n">
        <v>9</v>
      </c>
      <c r="CT174" s="11" t="inlineStr">
        <is>
          <t xml:space="preserve"> Touring</t>
        </is>
      </c>
      <c r="CU174" s="11" t="inlineStr">
        <is>
          <t xml:space="preserve"> Ultralight Touring</t>
        </is>
      </c>
      <c r="CV174" s="13" t="n"/>
      <c r="CW174" s="13" t="n"/>
      <c r="CX174">
        <f>INDEX('Data_Price '!AG$2:AG$1266,MATCH(Data!$DN174,'Data_Price '!$AT$2:$AT$1266,0))</f>
        <v/>
      </c>
      <c r="CY174">
        <f>INDEX('Data_Price '!AH$2:AH$1266,MATCH(Data!$DN174,'Data_Price '!$AT$2:$AT$1266,0))</f>
        <v/>
      </c>
      <c r="CZ174">
        <f>INDEX('Data_Price '!AI$2:AI$1266,MATCH(Data!$DN174,'Data_Price '!$AT$2:$AT$1266,0))</f>
        <v/>
      </c>
      <c r="DA174">
        <f>INDEX('Data_Price '!AJ$2:AJ$1266,MATCH(Data!$DN174,'Data_Price '!$AT$2:$AT$1266,0))</f>
        <v/>
      </c>
      <c r="DB174">
        <f>INDEX('Data_Price '!AK$2:AK$1266,MATCH(Data!$DN174,'Data_Price '!$AT$2:$AT$1266,0))</f>
        <v/>
      </c>
      <c r="DC174">
        <f>INDEX('Data_Price '!AL$2:AL$1266,MATCH(Data!$DN174,'Data_Price '!$AT$2:$AT$1266,0))</f>
        <v/>
      </c>
      <c r="DD174">
        <f>INDEX('Data_Price '!AM$2:AM$1266,MATCH(Data!$DN174,'Data_Price '!$AT$2:$AT$1266,0))</f>
        <v/>
      </c>
      <c r="DE174">
        <f>INDEX('Data_Price '!AN$2:AN$1266,MATCH(Data!$DN174,'Data_Price '!$AT$2:$AT$1266,0))</f>
        <v/>
      </c>
      <c r="DF174">
        <f>INDEX('Data_Price '!AO$2:AO$1266,MATCH(Data!$DN174,'Data_Price '!$AT$2:$AT$1266,0))</f>
        <v/>
      </c>
      <c r="DG174">
        <f>INDEX('Data_Price '!AP$2:AP$1266,MATCH(Data!$DN174,'Data_Price '!$AT$2:$AT$1266,0))</f>
        <v/>
      </c>
      <c r="DH174">
        <f>INDEX('Data_Price '!AQ$2:AQ$1266,MATCH(Data!$DN174,'Data_Price '!$AT$2:$AT$1266,0))</f>
        <v/>
      </c>
      <c r="DI174">
        <f>INDEX('Data_Price '!AR$2:AR$1266,MATCH(Data!$DN174,'Data_Price '!$AT$2:$AT$1266,0))</f>
        <v/>
      </c>
      <c r="DJ174" s="138">
        <f>DA174</f>
        <v/>
      </c>
      <c r="DK174" s="138">
        <f>DE174</f>
        <v/>
      </c>
      <c r="DL174" s="138">
        <f>DI174</f>
        <v/>
      </c>
      <c r="DM174" s="303">
        <f>IF(LEFT(BT174,1)=" ",RIGHT(BT174,LEN(BT174)-1),BT174)</f>
        <v/>
      </c>
      <c r="DN174" s="138">
        <f>_xlfn.CONCAT(BS174,DM174,BU174,BV174)</f>
        <v/>
      </c>
      <c r="DO174" s="307" t="inlineStr">
        <is>
          <t>https://images.evo.com/imgp/250/197751/826836/atomic-backland-100-skis-2022-.jpg</t>
        </is>
      </c>
    </row>
    <row r="175" ht="15.6" customHeight="1" s="184">
      <c r="B175" s="303">
        <f t="array" ref="B175">IF(OR(ISERROR(K175:P175)),FALSE,TRUE)</f>
        <v/>
      </c>
      <c r="C175" s="60">
        <f>OR(BR175=Driver!$G$50,Data!BR1162=Driver!$H$50)</f>
        <v/>
      </c>
      <c r="D175" s="60">
        <f>OR(BV175=Driver!$G$51,BV175=Driver!$H$51)</f>
        <v/>
      </c>
      <c r="E175" s="60">
        <f>AND(BX175&gt;Driver!$F$54,BX175&lt;Driver!$G$54)</f>
        <v/>
      </c>
      <c r="F175" s="60">
        <f>CL175&gt;Driver!$F$56</f>
        <v/>
      </c>
      <c r="G175" s="60">
        <f>AND(CB175&gt;Driver!$F$55,CB175&lt;Driver!$G$55)</f>
        <v/>
      </c>
      <c r="H175" s="60">
        <f>AND(B175:G175)</f>
        <v/>
      </c>
      <c r="I175" s="60">
        <f>COUNTIFS($H$9:$H$1273,TRUE,$BT$9:$BT$1273,BT175)</f>
        <v/>
      </c>
      <c r="J175" s="60">
        <f t="array" ref="J175">NOT(OR(($H$9:$H$1273=TRUE)*($I$9:$I$1273&gt;0)*($BT$9:$BT$1273=BT175)*($K$9:$K$1273&gt;K175)))</f>
        <v/>
      </c>
      <c r="K175" s="108">
        <f>IFERROR(1-AVERAGE(X175:Y175),"")</f>
        <v/>
      </c>
      <c r="L175" s="108">
        <f>1-X175</f>
        <v/>
      </c>
      <c r="M175" s="108">
        <f>1-Y175</f>
        <v/>
      </c>
      <c r="N175" s="108">
        <f>1-Z175</f>
        <v/>
      </c>
      <c r="O175" s="108">
        <f>1-AA175</f>
        <v/>
      </c>
      <c r="P175" s="108">
        <f>1-AB175</f>
        <v/>
      </c>
      <c r="Q175" s="108" t="n"/>
      <c r="R175" s="108" t="n"/>
      <c r="S175" s="108">
        <f>1-AE175</f>
        <v/>
      </c>
      <c r="T175" s="108">
        <f>1-AF175</f>
        <v/>
      </c>
      <c r="U175" s="108">
        <f>1-AG175</f>
        <v/>
      </c>
      <c r="V175" s="108">
        <f>1-AH175</f>
        <v/>
      </c>
      <c r="W175" s="108">
        <f>1-AI175</f>
        <v/>
      </c>
      <c r="X175" s="108">
        <f>ABS(AJ175-AJ$1)</f>
        <v/>
      </c>
      <c r="Y175" s="108">
        <f>AVERAGE(Z175:AB175)</f>
        <v/>
      </c>
      <c r="Z175" s="108">
        <f>ABS(AL175-AL$1)</f>
        <v/>
      </c>
      <c r="AA175" s="108">
        <f>ABS(AM175-AM$1)</f>
        <v/>
      </c>
      <c r="AB175" s="108">
        <f>ABS(AN175-AN$1)</f>
        <v/>
      </c>
      <c r="AC175" s="108" t="n"/>
      <c r="AD175" s="108" t="n"/>
      <c r="AE175" s="108">
        <f>ABS(AQ$1-AQ175)</f>
        <v/>
      </c>
      <c r="AF175" s="108">
        <f>ABS(AR$1-AR175)</f>
        <v/>
      </c>
      <c r="AG175" s="108">
        <f>ABS(AS$1-AS175)</f>
        <v/>
      </c>
      <c r="AH175" s="108">
        <f>ABS(AT$1-AT175)</f>
        <v/>
      </c>
      <c r="AI175" s="108">
        <f>ABS(AU$1-AU175)</f>
        <v/>
      </c>
      <c r="AJ175" s="108">
        <f>(AV175-Driver!$K$179)/(Driver!$L$179-Driver!$K$179)</f>
        <v/>
      </c>
      <c r="AK175" s="108">
        <f>(AW175-Driver!$K$180)/(Driver!$L$180-Driver!$K$180)</f>
        <v/>
      </c>
      <c r="AL175" s="108">
        <f>(AX175-Driver!$K$181)/(Driver!$L$181-Driver!$K$181)</f>
        <v/>
      </c>
      <c r="AM175" s="108">
        <f>(AY175-Driver!$K$182)/(Driver!$L$182-Driver!$K$182)</f>
        <v/>
      </c>
      <c r="AN175" s="108">
        <f>(AZ175-Driver!$K$183)/(Driver!$L$183-Driver!$K$183)</f>
        <v/>
      </c>
      <c r="AO175" s="108" t="n"/>
      <c r="AP175" s="108" t="n"/>
      <c r="AQ175" s="108">
        <f>(BC175-Driver!$K$188)/(Driver!$L$188-Driver!$K$188)</f>
        <v/>
      </c>
      <c r="AR175" s="108">
        <f>MIN((BD175-Driver!$K$189)/(Driver!$L$189-Driver!$K$189),100%)</f>
        <v/>
      </c>
      <c r="AS175" s="108">
        <f>(BE175-Driver!$K$190)/(Driver!$L$190-Driver!$K$190)</f>
        <v/>
      </c>
      <c r="AT175" s="108">
        <f>(BF175-Driver!$K$191)/(Driver!$L$191-Driver!$K$191)</f>
        <v/>
      </c>
      <c r="AU175" s="108">
        <f>(BG175-Driver!$K$192)/(Driver!$L$192-Driver!$K$192)</f>
        <v/>
      </c>
      <c r="AV175" s="105">
        <f>IFERROR(BM175*BJ175^1/4,"")</f>
        <v/>
      </c>
      <c r="AW175" s="105">
        <f>IFERROR(SUM(AX175:AZ175),"")</f>
        <v/>
      </c>
      <c r="AX175" s="105">
        <f>IFERROR(BH175,"")</f>
        <v/>
      </c>
      <c r="AY175" s="105">
        <f>IFERROR(Driver!$K$19/Data!BH175/Data!BI175*Data!BK175*Data!BL175,"")</f>
        <v/>
      </c>
      <c r="AZ175" s="105">
        <f>IFERROR(BI175*BN175,"")</f>
        <v/>
      </c>
      <c r="BA175" s="105" t="n"/>
      <c r="BB175" s="105" t="n"/>
      <c r="BC175" s="105">
        <f>IFERROR(BI175*BN175*BK175/BJ175^(1/2),"")</f>
        <v/>
      </c>
      <c r="BD175" s="105">
        <f>IFERROR(BH175*BM175*BL175/BJ175/BK175,"")</f>
        <v/>
      </c>
      <c r="BE175" s="105">
        <f>IFERROR(MIN(BI175/BQ175/BP175/BO175/BH175,$BE$1),"")</f>
        <v/>
      </c>
      <c r="BF175" s="105">
        <f>IFERROR(BJ175*BO175*BP175/BK175,"")</f>
        <v/>
      </c>
      <c r="BG175" s="105">
        <f>IFERROR(1/BM175/BH175*BQ175,"")</f>
        <v/>
      </c>
      <c r="BH175" s="102">
        <f>MAX((CE175-Driver!$F$200)/(Driver!$G$200-Driver!$F$200)*$BI$1,1)</f>
        <v/>
      </c>
      <c r="BI175" s="102">
        <f>MAX($BI$1*(BY175-Driver!$F$201)/(Driver!$G$201-Driver!$F$201),1)</f>
        <v/>
      </c>
      <c r="BJ175" s="102">
        <f>(CB175-Driver!$F$206)/(Driver!$G$206-Driver!$F$206)*$BI$1</f>
        <v/>
      </c>
      <c r="BK175" s="102">
        <f>(CD175-Driver!$F$203)/(Driver!$G$203-Driver!$F$203)*$BI$1</f>
        <v/>
      </c>
      <c r="BL175" s="102">
        <f>MAX((CR175-Driver!$F$202)/(Driver!$G$202-Driver!$F$202)*$BI$1,1)</f>
        <v/>
      </c>
      <c r="BM175" s="102">
        <f>MAX((CH175-Driver!$F$204)/(Driver!$G$204-Driver!$F$204)*$BI$1,1)</f>
        <v/>
      </c>
      <c r="BN175" s="102">
        <f>(CI175-Driver!$F$205)/(Driver!$G$205-Driver!$F$205)*$BI$1</f>
        <v/>
      </c>
      <c r="BO175" s="102">
        <f>(CK175-Driver!$F$207)/(Driver!$G$207-Driver!$F$207)*$BI$1</f>
        <v/>
      </c>
      <c r="BP175" s="102">
        <f>(CM175-Driver!$F$208)/(Driver!$G$208-Driver!$F$208)*$BI$1</f>
        <v/>
      </c>
      <c r="BQ175" s="102">
        <f>(CL175-Driver!$F$209)/(Driver!$G$209-Driver!$F$209)*$BI$1</f>
        <v/>
      </c>
      <c r="BR175" s="40" t="inlineStr">
        <is>
          <t>21/22</t>
        </is>
      </c>
      <c r="BS175" s="10" t="inlineStr">
        <is>
          <t xml:space="preserve"> Völkl</t>
        </is>
      </c>
      <c r="BT175" s="11" t="inlineStr">
        <is>
          <t>Blaze 106 W</t>
        </is>
      </c>
      <c r="BU175" s="13" t="n">
        <v>172</v>
      </c>
      <c r="BV175" s="11" t="inlineStr">
        <is>
          <t xml:space="preserve"> Women's</t>
        </is>
      </c>
      <c r="BW175" s="13" t="n">
        <v>172</v>
      </c>
      <c r="BX175" s="13" t="n">
        <v>171.5</v>
      </c>
      <c r="BY175" s="13" t="n">
        <v>95</v>
      </c>
      <c r="BZ175" s="13" t="n">
        <v>147</v>
      </c>
      <c r="CA175" s="13" t="n">
        <v>145</v>
      </c>
      <c r="CB175" s="13" t="n">
        <v>106</v>
      </c>
      <c r="CC175" s="13" t="n">
        <v>127</v>
      </c>
      <c r="CD175" s="13" t="n">
        <v>16.6</v>
      </c>
      <c r="CE175" s="13" t="n">
        <v>1688</v>
      </c>
      <c r="CF175" s="13" t="n">
        <v>1.2</v>
      </c>
      <c r="CG175" s="13" t="n">
        <v>2017</v>
      </c>
      <c r="CH175" s="13" t="n">
        <v>196</v>
      </c>
      <c r="CI175" s="13" t="n">
        <v>98</v>
      </c>
      <c r="CJ175" s="13" t="n">
        <v>54</v>
      </c>
      <c r="CK175" s="13" t="n">
        <v>465</v>
      </c>
      <c r="CL175" s="13" t="n">
        <v>25</v>
      </c>
      <c r="CM175" s="13" t="n">
        <v>296</v>
      </c>
      <c r="CN175" s="13" t="n">
        <v>0.461</v>
      </c>
      <c r="CO175" s="13" t="n">
        <v>136</v>
      </c>
      <c r="CP175" s="13" t="n">
        <v>105</v>
      </c>
      <c r="CQ175" s="13" t="n">
        <v>329</v>
      </c>
      <c r="CR175" s="13" t="n">
        <v>1</v>
      </c>
      <c r="CS175" s="13" t="n">
        <v>12</v>
      </c>
      <c r="CT175" s="11" t="inlineStr">
        <is>
          <t xml:space="preserve"> Powder</t>
        </is>
      </c>
      <c r="CU175" s="11" t="inlineStr">
        <is>
          <t xml:space="preserve"> Touring</t>
        </is>
      </c>
      <c r="CV175" s="13" t="n"/>
      <c r="CW175" s="13" t="n"/>
      <c r="CX175">
        <f>INDEX('Data_Price '!AG$2:AG$1266,MATCH(Data!$DN175,'Data_Price '!$AT$2:$AT$1266,0))</f>
        <v/>
      </c>
      <c r="CY175">
        <f>INDEX('Data_Price '!AH$2:AH$1266,MATCH(Data!$DN175,'Data_Price '!$AT$2:$AT$1266,0))</f>
        <v/>
      </c>
      <c r="CZ175">
        <f>INDEX('Data_Price '!AI$2:AI$1266,MATCH(Data!$DN175,'Data_Price '!$AT$2:$AT$1266,0))</f>
        <v/>
      </c>
      <c r="DA175">
        <f>INDEX('Data_Price '!AJ$2:AJ$1266,MATCH(Data!$DN175,'Data_Price '!$AT$2:$AT$1266,0))</f>
        <v/>
      </c>
      <c r="DB175">
        <f>INDEX('Data_Price '!AK$2:AK$1266,MATCH(Data!$DN175,'Data_Price '!$AT$2:$AT$1266,0))</f>
        <v/>
      </c>
      <c r="DC175">
        <f>INDEX('Data_Price '!AL$2:AL$1266,MATCH(Data!$DN175,'Data_Price '!$AT$2:$AT$1266,0))</f>
        <v/>
      </c>
      <c r="DD175">
        <f>INDEX('Data_Price '!AM$2:AM$1266,MATCH(Data!$DN175,'Data_Price '!$AT$2:$AT$1266,0))</f>
        <v/>
      </c>
      <c r="DE175">
        <f>INDEX('Data_Price '!AN$2:AN$1266,MATCH(Data!$DN175,'Data_Price '!$AT$2:$AT$1266,0))</f>
        <v/>
      </c>
      <c r="DF175">
        <f>INDEX('Data_Price '!AO$2:AO$1266,MATCH(Data!$DN175,'Data_Price '!$AT$2:$AT$1266,0))</f>
        <v/>
      </c>
      <c r="DG175">
        <f>INDEX('Data_Price '!AP$2:AP$1266,MATCH(Data!$DN175,'Data_Price '!$AT$2:$AT$1266,0))</f>
        <v/>
      </c>
      <c r="DH175">
        <f>INDEX('Data_Price '!AQ$2:AQ$1266,MATCH(Data!$DN175,'Data_Price '!$AT$2:$AT$1266,0))</f>
        <v/>
      </c>
      <c r="DI175">
        <f>INDEX('Data_Price '!AR$2:AR$1266,MATCH(Data!$DN175,'Data_Price '!$AT$2:$AT$1266,0))</f>
        <v/>
      </c>
      <c r="DJ175" s="138">
        <f>DA175</f>
        <v/>
      </c>
      <c r="DK175" s="138">
        <f>DE175</f>
        <v/>
      </c>
      <c r="DL175" s="138">
        <f>DI175</f>
        <v/>
      </c>
      <c r="DM175" s="303">
        <f>IF(LEFT(BT175,1)=" ",RIGHT(BT175,LEN(BT175)-1),BT175)</f>
        <v/>
      </c>
      <c r="DN175" s="138">
        <f>_xlfn.CONCAT(BS175,DM175,BU175,BV175)</f>
        <v/>
      </c>
      <c r="DO175" s="307" t="inlineStr">
        <is>
          <t>https://images.evo.com/imgp/250/208353/837601/volkl-blaze-106-w-skis-women-s-2022-.jpg</t>
        </is>
      </c>
    </row>
    <row r="176" ht="15.6" customHeight="1" s="184">
      <c r="B176" s="303">
        <f t="array" ref="B176">IF(OR(ISERROR(K176:P176)),FALSE,TRUE)</f>
        <v/>
      </c>
      <c r="C176" s="60">
        <f>OR(BR176=Driver!$G$50,Data!BR1157=Driver!$H$50)</f>
        <v/>
      </c>
      <c r="D176" s="60">
        <f>OR(BV176=Driver!$G$51,BV176=Driver!$H$51)</f>
        <v/>
      </c>
      <c r="E176" s="60">
        <f>AND(BX176&gt;Driver!$F$54,BX176&lt;Driver!$G$54)</f>
        <v/>
      </c>
      <c r="F176" s="60">
        <f>CL176&gt;Driver!$F$56</f>
        <v/>
      </c>
      <c r="G176" s="60">
        <f>AND(CB176&gt;Driver!$F$55,CB176&lt;Driver!$G$55)</f>
        <v/>
      </c>
      <c r="H176" s="60">
        <f>AND(B176:G176)</f>
        <v/>
      </c>
      <c r="I176" s="60">
        <f>COUNTIFS($H$9:$H$1273,TRUE,$BT$9:$BT$1273,BT176)</f>
        <v/>
      </c>
      <c r="J176" s="60">
        <f t="array" ref="J176">NOT(OR(($H$9:$H$1273=TRUE)*($I$9:$I$1273&gt;0)*($BT$9:$BT$1273=BT176)*($K$9:$K$1273&gt;K176)))</f>
        <v/>
      </c>
      <c r="K176" s="108">
        <f>IFERROR(1-AVERAGE(X176:Y176),"")</f>
        <v/>
      </c>
      <c r="L176" s="108">
        <f>1-X176</f>
        <v/>
      </c>
      <c r="M176" s="108">
        <f>1-Y176</f>
        <v/>
      </c>
      <c r="N176" s="108">
        <f>1-Z176</f>
        <v/>
      </c>
      <c r="O176" s="108">
        <f>1-AA176</f>
        <v/>
      </c>
      <c r="P176" s="108">
        <f>1-AB176</f>
        <v/>
      </c>
      <c r="Q176" s="108" t="n"/>
      <c r="R176" s="108" t="n"/>
      <c r="S176" s="108">
        <f>1-AE176</f>
        <v/>
      </c>
      <c r="T176" s="108">
        <f>1-AF176</f>
        <v/>
      </c>
      <c r="U176" s="108">
        <f>1-AG176</f>
        <v/>
      </c>
      <c r="V176" s="108">
        <f>1-AH176</f>
        <v/>
      </c>
      <c r="W176" s="108">
        <f>1-AI176</f>
        <v/>
      </c>
      <c r="X176" s="108">
        <f>ABS(AJ176-AJ$1)</f>
        <v/>
      </c>
      <c r="Y176" s="108">
        <f>AVERAGE(Z176:AB176)</f>
        <v/>
      </c>
      <c r="Z176" s="108">
        <f>ABS(AL176-AL$1)</f>
        <v/>
      </c>
      <c r="AA176" s="108">
        <f>ABS(AM176-AM$1)</f>
        <v/>
      </c>
      <c r="AB176" s="108">
        <f>ABS(AN176-AN$1)</f>
        <v/>
      </c>
      <c r="AC176" s="108" t="n"/>
      <c r="AD176" s="108" t="n"/>
      <c r="AE176" s="108">
        <f>ABS(AQ$1-AQ176)</f>
        <v/>
      </c>
      <c r="AF176" s="108">
        <f>ABS(AR$1-AR176)</f>
        <v/>
      </c>
      <c r="AG176" s="108">
        <f>ABS(AS$1-AS176)</f>
        <v/>
      </c>
      <c r="AH176" s="108">
        <f>ABS(AT$1-AT176)</f>
        <v/>
      </c>
      <c r="AI176" s="108">
        <f>ABS(AU$1-AU176)</f>
        <v/>
      </c>
      <c r="AJ176" s="108">
        <f>(AV176-Driver!$K$179)/(Driver!$L$179-Driver!$K$179)</f>
        <v/>
      </c>
      <c r="AK176" s="108">
        <f>(AW176-Driver!$K$180)/(Driver!$L$180-Driver!$K$180)</f>
        <v/>
      </c>
      <c r="AL176" s="108">
        <f>(AX176-Driver!$K$181)/(Driver!$L$181-Driver!$K$181)</f>
        <v/>
      </c>
      <c r="AM176" s="108">
        <f>(AY176-Driver!$K$182)/(Driver!$L$182-Driver!$K$182)</f>
        <v/>
      </c>
      <c r="AN176" s="108">
        <f>(AZ176-Driver!$K$183)/(Driver!$L$183-Driver!$K$183)</f>
        <v/>
      </c>
      <c r="AO176" s="108" t="n"/>
      <c r="AP176" s="108" t="n"/>
      <c r="AQ176" s="108">
        <f>(BC176-Driver!$K$188)/(Driver!$L$188-Driver!$K$188)</f>
        <v/>
      </c>
      <c r="AR176" s="108">
        <f>MIN((BD176-Driver!$K$189)/(Driver!$L$189-Driver!$K$189),100%)</f>
        <v/>
      </c>
      <c r="AS176" s="108">
        <f>(BE176-Driver!$K$190)/(Driver!$L$190-Driver!$K$190)</f>
        <v/>
      </c>
      <c r="AT176" s="108">
        <f>(BF176-Driver!$K$191)/(Driver!$L$191-Driver!$K$191)</f>
        <v/>
      </c>
      <c r="AU176" s="108">
        <f>(BG176-Driver!$K$192)/(Driver!$L$192-Driver!$K$192)</f>
        <v/>
      </c>
      <c r="AV176" s="105">
        <f>IFERROR(BM176*BJ176^1/4,"")</f>
        <v/>
      </c>
      <c r="AW176" s="105">
        <f>IFERROR(SUM(AX176:AZ176),"")</f>
        <v/>
      </c>
      <c r="AX176" s="105">
        <f>IFERROR(BH176,"")</f>
        <v/>
      </c>
      <c r="AY176" s="105">
        <f>IFERROR(Driver!$K$19/Data!BH176/Data!BI176*Data!BK176*Data!BL176,"")</f>
        <v/>
      </c>
      <c r="AZ176" s="105">
        <f>IFERROR(BI176*BN176,"")</f>
        <v/>
      </c>
      <c r="BA176" s="105" t="n"/>
      <c r="BB176" s="105" t="n"/>
      <c r="BC176" s="105">
        <f>IFERROR(BI176*BN176*BK176/BJ176^(1/2),"")</f>
        <v/>
      </c>
      <c r="BD176" s="105">
        <f>IFERROR(BH176*BM176*BL176/BJ176/BK176,"")</f>
        <v/>
      </c>
      <c r="BE176" s="105">
        <f>IFERROR(MIN(BI176/BQ176/BP176/BO176/BH176,$BE$1),"")</f>
        <v/>
      </c>
      <c r="BF176" s="105">
        <f>IFERROR(BJ176*BO176*BP176/BK176,"")</f>
        <v/>
      </c>
      <c r="BG176" s="105">
        <f>IFERROR(1/BM176/BH176*BQ176,"")</f>
        <v/>
      </c>
      <c r="BH176" s="102">
        <f>MAX((CE176-Driver!$F$200)/(Driver!$G$200-Driver!$F$200)*$BI$1,1)</f>
        <v/>
      </c>
      <c r="BI176" s="102">
        <f>MAX($BI$1*(BY176-Driver!$F$201)/(Driver!$G$201-Driver!$F$201),1)</f>
        <v/>
      </c>
      <c r="BJ176" s="102">
        <f>(CB176-Driver!$F$206)/(Driver!$G$206-Driver!$F$206)*$BI$1</f>
        <v/>
      </c>
      <c r="BK176" s="102">
        <f>(CD176-Driver!$F$203)/(Driver!$G$203-Driver!$F$203)*$BI$1</f>
        <v/>
      </c>
      <c r="BL176" s="102">
        <f>MAX((CR176-Driver!$F$202)/(Driver!$G$202-Driver!$F$202)*$BI$1,1)</f>
        <v/>
      </c>
      <c r="BM176" s="102">
        <f>MAX((CH176-Driver!$F$204)/(Driver!$G$204-Driver!$F$204)*$BI$1,1)</f>
        <v/>
      </c>
      <c r="BN176" s="102">
        <f>(CI176-Driver!$F$205)/(Driver!$G$205-Driver!$F$205)*$BI$1</f>
        <v/>
      </c>
      <c r="BO176" s="102">
        <f>(CK176-Driver!$F$207)/(Driver!$G$207-Driver!$F$207)*$BI$1</f>
        <v/>
      </c>
      <c r="BP176" s="102">
        <f>(CM176-Driver!$F$208)/(Driver!$G$208-Driver!$F$208)*$BI$1</f>
        <v/>
      </c>
      <c r="BQ176" s="102">
        <f>(CL176-Driver!$F$209)/(Driver!$G$209-Driver!$F$209)*$BI$1</f>
        <v/>
      </c>
      <c r="BR176" s="40" t="inlineStr">
        <is>
          <t>21/22</t>
        </is>
      </c>
      <c r="BS176" s="10" t="inlineStr">
        <is>
          <t xml:space="preserve"> Völkl</t>
        </is>
      </c>
      <c r="BT176" s="11" t="inlineStr">
        <is>
          <t>Blaze 106</t>
        </is>
      </c>
      <c r="BU176" s="13" t="n">
        <v>172</v>
      </c>
      <c r="BV176" s="11" t="inlineStr">
        <is>
          <t xml:space="preserve"> Unisex</t>
        </is>
      </c>
      <c r="BW176" s="13" t="n">
        <v>172</v>
      </c>
      <c r="BX176" s="13" t="n">
        <v>171.7</v>
      </c>
      <c r="BY176" s="13" t="n">
        <v>96</v>
      </c>
      <c r="BZ176" s="13" t="n">
        <v>148</v>
      </c>
      <c r="CA176" s="13" t="n">
        <v>144</v>
      </c>
      <c r="CB176" s="13" t="n">
        <v>105</v>
      </c>
      <c r="CC176" s="13" t="n">
        <v>127</v>
      </c>
      <c r="CD176" s="13" t="n">
        <v>16.9</v>
      </c>
      <c r="CE176" s="13" t="n">
        <v>1642</v>
      </c>
      <c r="CF176" s="13" t="n">
        <v>1.23</v>
      </c>
      <c r="CG176" s="13" t="n">
        <v>2013</v>
      </c>
      <c r="CH176" s="13" t="n">
        <v>192</v>
      </c>
      <c r="CI176" s="13" t="n">
        <v>95</v>
      </c>
      <c r="CJ176" s="13" t="n">
        <v>54</v>
      </c>
      <c r="CK176" s="13" t="n">
        <v>475</v>
      </c>
      <c r="CL176" s="13" t="n">
        <v>24</v>
      </c>
      <c r="CM176" s="13" t="n">
        <v>277</v>
      </c>
      <c r="CN176" s="13" t="n">
        <v>0.44</v>
      </c>
      <c r="CO176" s="13" t="n">
        <v>138</v>
      </c>
      <c r="CP176" s="13" t="n">
        <v>96</v>
      </c>
      <c r="CQ176" s="13" t="n">
        <v>337</v>
      </c>
      <c r="CR176" s="13" t="n">
        <v>1</v>
      </c>
      <c r="CS176" s="13" t="n">
        <v>11.6</v>
      </c>
      <c r="CT176" s="11" t="inlineStr">
        <is>
          <t xml:space="preserve"> Powder</t>
        </is>
      </c>
      <c r="CU176" s="11" t="inlineStr">
        <is>
          <t xml:space="preserve"> Touring</t>
        </is>
      </c>
      <c r="CV176" s="13" t="n"/>
      <c r="CW176" s="13" t="n"/>
      <c r="CX176">
        <f>INDEX('Data_Price '!AG$2:AG$1266,MATCH(Data!$DN176,'Data_Price '!$AT$2:$AT$1266,0))</f>
        <v/>
      </c>
      <c r="CY176">
        <f>INDEX('Data_Price '!AH$2:AH$1266,MATCH(Data!$DN176,'Data_Price '!$AT$2:$AT$1266,0))</f>
        <v/>
      </c>
      <c r="CZ176">
        <f>INDEX('Data_Price '!AI$2:AI$1266,MATCH(Data!$DN176,'Data_Price '!$AT$2:$AT$1266,0))</f>
        <v/>
      </c>
      <c r="DA176">
        <f>INDEX('Data_Price '!AJ$2:AJ$1266,MATCH(Data!$DN176,'Data_Price '!$AT$2:$AT$1266,0))</f>
        <v/>
      </c>
      <c r="DB176">
        <f>INDEX('Data_Price '!AK$2:AK$1266,MATCH(Data!$DN176,'Data_Price '!$AT$2:$AT$1266,0))</f>
        <v/>
      </c>
      <c r="DC176">
        <f>INDEX('Data_Price '!AL$2:AL$1266,MATCH(Data!$DN176,'Data_Price '!$AT$2:$AT$1266,0))</f>
        <v/>
      </c>
      <c r="DD176">
        <f>INDEX('Data_Price '!AM$2:AM$1266,MATCH(Data!$DN176,'Data_Price '!$AT$2:$AT$1266,0))</f>
        <v/>
      </c>
      <c r="DE176">
        <f>INDEX('Data_Price '!AN$2:AN$1266,MATCH(Data!$DN176,'Data_Price '!$AT$2:$AT$1266,0))</f>
        <v/>
      </c>
      <c r="DF176">
        <f>INDEX('Data_Price '!AO$2:AO$1266,MATCH(Data!$DN176,'Data_Price '!$AT$2:$AT$1266,0))</f>
        <v/>
      </c>
      <c r="DG176">
        <f>INDEX('Data_Price '!AP$2:AP$1266,MATCH(Data!$DN176,'Data_Price '!$AT$2:$AT$1266,0))</f>
        <v/>
      </c>
      <c r="DH176">
        <f>INDEX('Data_Price '!AQ$2:AQ$1266,MATCH(Data!$DN176,'Data_Price '!$AT$2:$AT$1266,0))</f>
        <v/>
      </c>
      <c r="DI176">
        <f>INDEX('Data_Price '!AR$2:AR$1266,MATCH(Data!$DN176,'Data_Price '!$AT$2:$AT$1266,0))</f>
        <v/>
      </c>
      <c r="DJ176" s="138">
        <f>DA176</f>
        <v/>
      </c>
      <c r="DK176" s="138">
        <f>DE176</f>
        <v/>
      </c>
      <c r="DL176" s="138">
        <f>DI176</f>
        <v/>
      </c>
      <c r="DM176" s="303">
        <f>IF(LEFT(BT176,1)=" ",RIGHT(BT176,LEN(BT176)-1),BT176)</f>
        <v/>
      </c>
      <c r="DN176" s="138">
        <f>_xlfn.CONCAT(BS176,DM176,BU176,BV176)</f>
        <v/>
      </c>
      <c r="DO176" s="307" t="inlineStr">
        <is>
          <t>https://images.evo.com/imgp/250/208350/837599/clone.jpg</t>
        </is>
      </c>
    </row>
    <row r="177" ht="15.6" customHeight="1" s="184">
      <c r="B177" s="303">
        <f t="array" ref="B177">IF(OR(ISERROR(K177:P177)),FALSE,TRUE)</f>
        <v/>
      </c>
      <c r="C177" s="60">
        <f>OR(BR177=Driver!$G$50,Data!BR981=Driver!$H$50)</f>
        <v/>
      </c>
      <c r="D177" s="60">
        <f>OR(BV177=Driver!$G$51,BV177=Driver!$H$51)</f>
        <v/>
      </c>
      <c r="E177" s="60">
        <f>AND(BX177&gt;Driver!$F$54,BX177&lt;Driver!$G$54)</f>
        <v/>
      </c>
      <c r="F177" s="60">
        <f>CL177&gt;Driver!$F$56</f>
        <v/>
      </c>
      <c r="G177" s="60">
        <f>AND(CB177&gt;Driver!$F$55,CB177&lt;Driver!$G$55)</f>
        <v/>
      </c>
      <c r="H177" s="60">
        <f>AND(B177:G177)</f>
        <v/>
      </c>
      <c r="I177" s="60">
        <f>COUNTIFS($H$9:$H$1273,TRUE,$BT$9:$BT$1273,BT177)</f>
        <v/>
      </c>
      <c r="J177" s="60">
        <f t="array" ref="J177">NOT(OR(($H$9:$H$1273=TRUE)*($I$9:$I$1273&gt;0)*($BT$9:$BT$1273=BT177)*($K$9:$K$1273&gt;K177)))</f>
        <v/>
      </c>
      <c r="K177" s="108">
        <f>IFERROR(1-AVERAGE(X177:Y177),"")</f>
        <v/>
      </c>
      <c r="L177" s="108">
        <f>1-X177</f>
        <v/>
      </c>
      <c r="M177" s="108">
        <f>1-Y177</f>
        <v/>
      </c>
      <c r="N177" s="108">
        <f>1-Z177</f>
        <v/>
      </c>
      <c r="O177" s="108">
        <f>1-AA177</f>
        <v/>
      </c>
      <c r="P177" s="108">
        <f>1-AB177</f>
        <v/>
      </c>
      <c r="Q177" s="108" t="n"/>
      <c r="R177" s="108" t="n"/>
      <c r="S177" s="108">
        <f>1-AE177</f>
        <v/>
      </c>
      <c r="T177" s="108">
        <f>1-AF177</f>
        <v/>
      </c>
      <c r="U177" s="108">
        <f>1-AG177</f>
        <v/>
      </c>
      <c r="V177" s="108">
        <f>1-AH177</f>
        <v/>
      </c>
      <c r="W177" s="108">
        <f>1-AI177</f>
        <v/>
      </c>
      <c r="X177" s="108">
        <f>ABS(AJ177-AJ$1)</f>
        <v/>
      </c>
      <c r="Y177" s="108">
        <f>AVERAGE(Z177:AB177)</f>
        <v/>
      </c>
      <c r="Z177" s="108">
        <f>ABS(AL177-AL$1)</f>
        <v/>
      </c>
      <c r="AA177" s="108">
        <f>ABS(AM177-AM$1)</f>
        <v/>
      </c>
      <c r="AB177" s="108">
        <f>ABS(AN177-AN$1)</f>
        <v/>
      </c>
      <c r="AC177" s="108" t="n"/>
      <c r="AD177" s="108" t="n"/>
      <c r="AE177" s="108">
        <f>ABS(AQ$1-AQ177)</f>
        <v/>
      </c>
      <c r="AF177" s="108">
        <f>ABS(AR$1-AR177)</f>
        <v/>
      </c>
      <c r="AG177" s="108">
        <f>ABS(AS$1-AS177)</f>
        <v/>
      </c>
      <c r="AH177" s="108">
        <f>ABS(AT$1-AT177)</f>
        <v/>
      </c>
      <c r="AI177" s="108">
        <f>ABS(AU$1-AU177)</f>
        <v/>
      </c>
      <c r="AJ177" s="108">
        <f>(AV177-Driver!$K$179)/(Driver!$L$179-Driver!$K$179)</f>
        <v/>
      </c>
      <c r="AK177" s="108">
        <f>(AW177-Driver!$K$180)/(Driver!$L$180-Driver!$K$180)</f>
        <v/>
      </c>
      <c r="AL177" s="108">
        <f>(AX177-Driver!$K$181)/(Driver!$L$181-Driver!$K$181)</f>
        <v/>
      </c>
      <c r="AM177" s="108">
        <f>(AY177-Driver!$K$182)/(Driver!$L$182-Driver!$K$182)</f>
        <v/>
      </c>
      <c r="AN177" s="108">
        <f>(AZ177-Driver!$K$183)/(Driver!$L$183-Driver!$K$183)</f>
        <v/>
      </c>
      <c r="AO177" s="108" t="n"/>
      <c r="AP177" s="108" t="n"/>
      <c r="AQ177" s="108">
        <f>(BC177-Driver!$K$188)/(Driver!$L$188-Driver!$K$188)</f>
        <v/>
      </c>
      <c r="AR177" s="108">
        <f>MIN((BD177-Driver!$K$189)/(Driver!$L$189-Driver!$K$189),100%)</f>
        <v/>
      </c>
      <c r="AS177" s="108">
        <f>(BE177-Driver!$K$190)/(Driver!$L$190-Driver!$K$190)</f>
        <v/>
      </c>
      <c r="AT177" s="108">
        <f>(BF177-Driver!$K$191)/(Driver!$L$191-Driver!$K$191)</f>
        <v/>
      </c>
      <c r="AU177" s="108">
        <f>(BG177-Driver!$K$192)/(Driver!$L$192-Driver!$K$192)</f>
        <v/>
      </c>
      <c r="AV177" s="105">
        <f>IFERROR(BM177*BJ177^1/4,"")</f>
        <v/>
      </c>
      <c r="AW177" s="105">
        <f>IFERROR(SUM(AX177:AZ177),"")</f>
        <v/>
      </c>
      <c r="AX177" s="105">
        <f>IFERROR(BH177,"")</f>
        <v/>
      </c>
      <c r="AY177" s="105">
        <f>IFERROR(Driver!$K$19/Data!BH177/Data!BI177*Data!BK177*Data!BL177,"")</f>
        <v/>
      </c>
      <c r="AZ177" s="105">
        <f>IFERROR(BI177*BN177,"")</f>
        <v/>
      </c>
      <c r="BA177" s="105" t="n"/>
      <c r="BB177" s="105" t="n"/>
      <c r="BC177" s="105">
        <f>IFERROR(BI177*BN177*BK177/BJ177^(1/2),"")</f>
        <v/>
      </c>
      <c r="BD177" s="105">
        <f>IFERROR(BH177*BM177*BL177/BJ177/BK177,"")</f>
        <v/>
      </c>
      <c r="BE177" s="105">
        <f>IFERROR(MIN(BI177/BQ177/BP177/BO177/BH177,$BE$1),"")</f>
        <v/>
      </c>
      <c r="BF177" s="105">
        <f>IFERROR(BJ177*BO177*BP177/BK177,"")</f>
        <v/>
      </c>
      <c r="BG177" s="105">
        <f>IFERROR(1/BM177/BH177*BQ177,"")</f>
        <v/>
      </c>
      <c r="BH177" s="102">
        <f>MAX((CE177-Driver!$F$200)/(Driver!$G$200-Driver!$F$200)*$BI$1,1)</f>
        <v/>
      </c>
      <c r="BI177" s="102">
        <f>MAX($BI$1*(BY177-Driver!$F$201)/(Driver!$G$201-Driver!$F$201),1)</f>
        <v/>
      </c>
      <c r="BJ177" s="102">
        <f>(CB177-Driver!$F$206)/(Driver!$G$206-Driver!$F$206)*$BI$1</f>
        <v/>
      </c>
      <c r="BK177" s="102">
        <f>(CD177-Driver!$F$203)/(Driver!$G$203-Driver!$F$203)*$BI$1</f>
        <v/>
      </c>
      <c r="BL177" s="102">
        <f>MAX((CR177-Driver!$F$202)/(Driver!$G$202-Driver!$F$202)*$BI$1,1)</f>
        <v/>
      </c>
      <c r="BM177" s="102">
        <f>MAX((CH177-Driver!$F$204)/(Driver!$G$204-Driver!$F$204)*$BI$1,1)</f>
        <v/>
      </c>
      <c r="BN177" s="102">
        <f>(CI177-Driver!$F$205)/(Driver!$G$205-Driver!$F$205)*$BI$1</f>
        <v/>
      </c>
      <c r="BO177" s="102">
        <f>(CK177-Driver!$F$207)/(Driver!$G$207-Driver!$F$207)*$BI$1</f>
        <v/>
      </c>
      <c r="BP177" s="102">
        <f>(CM177-Driver!$F$208)/(Driver!$G$208-Driver!$F$208)*$BI$1</f>
        <v/>
      </c>
      <c r="BQ177" s="102">
        <f>(CL177-Driver!$F$209)/(Driver!$G$209-Driver!$F$209)*$BI$1</f>
        <v/>
      </c>
      <c r="BR177" s="40" t="inlineStr">
        <is>
          <t>21/22</t>
        </is>
      </c>
      <c r="BS177" s="10" t="inlineStr">
        <is>
          <t xml:space="preserve"> Rossignol</t>
        </is>
      </c>
      <c r="BT177" s="11" t="inlineStr">
        <is>
          <t xml:space="preserve"> Blackops Rallybird Ti W</t>
        </is>
      </c>
      <c r="BU177" s="13" t="n">
        <v>171</v>
      </c>
      <c r="BV177" s="11" t="inlineStr">
        <is>
          <t xml:space="preserve"> Women's</t>
        </is>
      </c>
      <c r="BW177" s="13" t="n">
        <v>171</v>
      </c>
      <c r="BX177" s="13" t="n">
        <v>170.6</v>
      </c>
      <c r="BY177" s="13" t="n">
        <v>117</v>
      </c>
      <c r="BZ177" s="13" t="n">
        <v>146</v>
      </c>
      <c r="CA177" s="13" t="n">
        <v>137</v>
      </c>
      <c r="CB177" s="13" t="n">
        <v>101</v>
      </c>
      <c r="CC177" s="13" t="n">
        <v>127</v>
      </c>
      <c r="CD177" s="13" t="n">
        <v>15.3</v>
      </c>
      <c r="CE177" s="13" t="n">
        <v>1829</v>
      </c>
      <c r="CF177" s="13" t="n">
        <v>1.06</v>
      </c>
      <c r="CG177" s="13" t="n">
        <v>1938</v>
      </c>
      <c r="CH177" s="13" t="n">
        <v>232</v>
      </c>
      <c r="CI177" s="13" t="n">
        <v>94</v>
      </c>
      <c r="CJ177" s="13" t="n">
        <v>47</v>
      </c>
      <c r="CK177" s="13" t="n">
        <v>300</v>
      </c>
      <c r="CL177" s="13" t="n">
        <v>14</v>
      </c>
      <c r="CM177" s="13" t="n">
        <v>233</v>
      </c>
      <c r="CN177" s="13" t="n">
        <v>0.307</v>
      </c>
      <c r="CO177" s="13" t="n">
        <v>151</v>
      </c>
      <c r="CP177" s="13" t="n">
        <v>99</v>
      </c>
      <c r="CQ177" s="13" t="n">
        <v>149</v>
      </c>
      <c r="CR177" s="13" t="n">
        <v>4</v>
      </c>
      <c r="CS177" s="13" t="n">
        <v>6.9</v>
      </c>
      <c r="CT177" s="11" t="inlineStr">
        <is>
          <t xml:space="preserve"> Resort Freeride</t>
        </is>
      </c>
      <c r="CU177" s="11" t="inlineStr">
        <is>
          <t xml:space="preserve"> Big Mountain</t>
        </is>
      </c>
      <c r="CV177" s="11" t="inlineStr">
        <is>
          <t xml:space="preserve"> Touring</t>
        </is>
      </c>
      <c r="CW177" s="13" t="n"/>
      <c r="CX177">
        <f>INDEX('Data_Price '!AG$2:AG$1266,MATCH(Data!$DN177,'Data_Price '!$AT$2:$AT$1266,0))</f>
        <v/>
      </c>
      <c r="CY177">
        <f>INDEX('Data_Price '!AH$2:AH$1266,MATCH(Data!$DN177,'Data_Price '!$AT$2:$AT$1266,0))</f>
        <v/>
      </c>
      <c r="CZ177">
        <f>INDEX('Data_Price '!AI$2:AI$1266,MATCH(Data!$DN177,'Data_Price '!$AT$2:$AT$1266,0))</f>
        <v/>
      </c>
      <c r="DA177">
        <f>INDEX('Data_Price '!AJ$2:AJ$1266,MATCH(Data!$DN177,'Data_Price '!$AT$2:$AT$1266,0))</f>
        <v/>
      </c>
      <c r="DB177">
        <f>INDEX('Data_Price '!AK$2:AK$1266,MATCH(Data!$DN177,'Data_Price '!$AT$2:$AT$1266,0))</f>
        <v/>
      </c>
      <c r="DC177">
        <f>INDEX('Data_Price '!AL$2:AL$1266,MATCH(Data!$DN177,'Data_Price '!$AT$2:$AT$1266,0))</f>
        <v/>
      </c>
      <c r="DD177">
        <f>INDEX('Data_Price '!AM$2:AM$1266,MATCH(Data!$DN177,'Data_Price '!$AT$2:$AT$1266,0))</f>
        <v/>
      </c>
      <c r="DE177">
        <f>INDEX('Data_Price '!AN$2:AN$1266,MATCH(Data!$DN177,'Data_Price '!$AT$2:$AT$1266,0))</f>
        <v/>
      </c>
      <c r="DF177">
        <f>INDEX('Data_Price '!AO$2:AO$1266,MATCH(Data!$DN177,'Data_Price '!$AT$2:$AT$1266,0))</f>
        <v/>
      </c>
      <c r="DG177">
        <f>INDEX('Data_Price '!AP$2:AP$1266,MATCH(Data!$DN177,'Data_Price '!$AT$2:$AT$1266,0))</f>
        <v/>
      </c>
      <c r="DH177">
        <f>INDEX('Data_Price '!AQ$2:AQ$1266,MATCH(Data!$DN177,'Data_Price '!$AT$2:$AT$1266,0))</f>
        <v/>
      </c>
      <c r="DI177">
        <f>INDEX('Data_Price '!AR$2:AR$1266,MATCH(Data!$DN177,'Data_Price '!$AT$2:$AT$1266,0))</f>
        <v/>
      </c>
      <c r="DJ177" s="138">
        <f>DA177</f>
        <v/>
      </c>
      <c r="DK177" s="138">
        <f>DE177</f>
        <v/>
      </c>
      <c r="DL177" s="138">
        <f>DI177</f>
        <v/>
      </c>
      <c r="DM177" s="303">
        <f>IF(LEFT(BT177,1)=" ",RIGHT(BT177,LEN(BT177)-1),BT177)</f>
        <v/>
      </c>
      <c r="DN177" s="138">
        <f>_xlfn.CONCAT(BS177,DM177,BU177,BV177)</f>
        <v/>
      </c>
      <c r="DO177" s="307" t="n"/>
    </row>
    <row r="178" ht="15.6" customHeight="1" s="184">
      <c r="B178" s="303">
        <f t="array" ref="B178">IF(OR(ISERROR(K178:P178)),FALSE,TRUE)</f>
        <v/>
      </c>
      <c r="C178" s="60">
        <f>OR(BR178=Driver!$G$50,Data!BR245=Driver!$H$50)</f>
        <v/>
      </c>
      <c r="D178" s="60">
        <f>OR(BV178=Driver!$G$51,BV178=Driver!$H$51)</f>
        <v/>
      </c>
      <c r="E178" s="60">
        <f>AND(BX178&gt;Driver!$F$54,BX178&lt;Driver!$G$54)</f>
        <v/>
      </c>
      <c r="F178" s="60">
        <f>CL178&gt;Driver!$F$56</f>
        <v/>
      </c>
      <c r="G178" s="60">
        <f>AND(CB178&gt;Driver!$F$55,CB178&lt;Driver!$G$55)</f>
        <v/>
      </c>
      <c r="H178" s="60">
        <f>AND(B178:G178)</f>
        <v/>
      </c>
      <c r="I178" s="60">
        <f>COUNTIFS($H$9:$H$1273,TRUE,$BT$9:$BT$1273,BT178)</f>
        <v/>
      </c>
      <c r="J178" s="60">
        <f t="array" ref="J178">NOT(OR(($H$9:$H$1273=TRUE)*($I$9:$I$1273&gt;0)*($BT$9:$BT$1273=BT178)*($K$9:$K$1273&gt;K178)))</f>
        <v/>
      </c>
      <c r="K178" s="108">
        <f>IFERROR(1-AVERAGE(X178:Y178),"")</f>
        <v/>
      </c>
      <c r="L178" s="108">
        <f>1-X178</f>
        <v/>
      </c>
      <c r="M178" s="108">
        <f>1-Y178</f>
        <v/>
      </c>
      <c r="N178" s="108">
        <f>1-Z178</f>
        <v/>
      </c>
      <c r="O178" s="108">
        <f>1-AA178</f>
        <v/>
      </c>
      <c r="P178" s="108">
        <f>1-AB178</f>
        <v/>
      </c>
      <c r="Q178" s="108" t="n"/>
      <c r="R178" s="108" t="n"/>
      <c r="S178" s="108">
        <f>1-AE178</f>
        <v/>
      </c>
      <c r="T178" s="108">
        <f>1-AF178</f>
        <v/>
      </c>
      <c r="U178" s="108">
        <f>1-AG178</f>
        <v/>
      </c>
      <c r="V178" s="108">
        <f>1-AH178</f>
        <v/>
      </c>
      <c r="W178" s="108">
        <f>1-AI178</f>
        <v/>
      </c>
      <c r="X178" s="108">
        <f>ABS(AJ178-AJ$1)</f>
        <v/>
      </c>
      <c r="Y178" s="108">
        <f>AVERAGE(Z178:AB178)</f>
        <v/>
      </c>
      <c r="Z178" s="108">
        <f>ABS(AL178-AL$1)</f>
        <v/>
      </c>
      <c r="AA178" s="108">
        <f>ABS(AM178-AM$1)</f>
        <v/>
      </c>
      <c r="AB178" s="108">
        <f>ABS(AN178-AN$1)</f>
        <v/>
      </c>
      <c r="AC178" s="108" t="n"/>
      <c r="AD178" s="108" t="n"/>
      <c r="AE178" s="108">
        <f>ABS(AQ$1-AQ178)</f>
        <v/>
      </c>
      <c r="AF178" s="108">
        <f>ABS(AR$1-AR178)</f>
        <v/>
      </c>
      <c r="AG178" s="108">
        <f>ABS(AS$1-AS178)</f>
        <v/>
      </c>
      <c r="AH178" s="108">
        <f>ABS(AT$1-AT178)</f>
        <v/>
      </c>
      <c r="AI178" s="108">
        <f>ABS(AU$1-AU178)</f>
        <v/>
      </c>
      <c r="AJ178" s="108">
        <f>(AV178-Driver!$K$179)/(Driver!$L$179-Driver!$K$179)</f>
        <v/>
      </c>
      <c r="AK178" s="108">
        <f>(AW178-Driver!$K$180)/(Driver!$L$180-Driver!$K$180)</f>
        <v/>
      </c>
      <c r="AL178" s="108">
        <f>(AX178-Driver!$K$181)/(Driver!$L$181-Driver!$K$181)</f>
        <v/>
      </c>
      <c r="AM178" s="108">
        <f>(AY178-Driver!$K$182)/(Driver!$L$182-Driver!$K$182)</f>
        <v/>
      </c>
      <c r="AN178" s="108">
        <f>(AZ178-Driver!$K$183)/(Driver!$L$183-Driver!$K$183)</f>
        <v/>
      </c>
      <c r="AO178" s="108" t="n"/>
      <c r="AP178" s="108" t="n"/>
      <c r="AQ178" s="108">
        <f>(BC178-Driver!$K$188)/(Driver!$L$188-Driver!$K$188)</f>
        <v/>
      </c>
      <c r="AR178" s="108">
        <f>MIN((BD178-Driver!$K$189)/(Driver!$L$189-Driver!$K$189),100%)</f>
        <v/>
      </c>
      <c r="AS178" s="108">
        <f>(BE178-Driver!$K$190)/(Driver!$L$190-Driver!$K$190)</f>
        <v/>
      </c>
      <c r="AT178" s="108">
        <f>(BF178-Driver!$K$191)/(Driver!$L$191-Driver!$K$191)</f>
        <v/>
      </c>
      <c r="AU178" s="108">
        <f>(BG178-Driver!$K$192)/(Driver!$L$192-Driver!$K$192)</f>
        <v/>
      </c>
      <c r="AV178" s="105">
        <f>IFERROR(BM178*BJ178^1/4,"")</f>
        <v/>
      </c>
      <c r="AW178" s="105">
        <f>IFERROR(SUM(AX178:AZ178),"")</f>
        <v/>
      </c>
      <c r="AX178" s="105">
        <f>IFERROR(BH178,"")</f>
        <v/>
      </c>
      <c r="AY178" s="105">
        <f>IFERROR(Driver!$K$19/Data!BH178/Data!BI178*Data!BK178*Data!BL178,"")</f>
        <v/>
      </c>
      <c r="AZ178" s="105">
        <f>IFERROR(BI178*BN178,"")</f>
        <v/>
      </c>
      <c r="BA178" s="105" t="n"/>
      <c r="BB178" s="105" t="n"/>
      <c r="BC178" s="105">
        <f>IFERROR(BI178*BN178*BK178/BJ178^(1/2),"")</f>
        <v/>
      </c>
      <c r="BD178" s="105">
        <f>IFERROR(BH178*BM178*BL178/BJ178/BK178,"")</f>
        <v/>
      </c>
      <c r="BE178" s="105">
        <f>IFERROR(MIN(BI178/BQ178/BP178/BO178/BH178,$BE$1),"")</f>
        <v/>
      </c>
      <c r="BF178" s="105">
        <f>IFERROR(BJ178*BO178*BP178/BK178,"")</f>
        <v/>
      </c>
      <c r="BG178" s="105">
        <f>IFERROR(1/BM178/BH178*BQ178,"")</f>
        <v/>
      </c>
      <c r="BH178" s="102">
        <f>MAX((CE178-Driver!$F$200)/(Driver!$G$200-Driver!$F$200)*$BI$1,1)</f>
        <v/>
      </c>
      <c r="BI178" s="102">
        <f>MAX($BI$1*(BY178-Driver!$F$201)/(Driver!$G$201-Driver!$F$201),1)</f>
        <v/>
      </c>
      <c r="BJ178" s="102">
        <f>(CB178-Driver!$F$206)/(Driver!$G$206-Driver!$F$206)*$BI$1</f>
        <v/>
      </c>
      <c r="BK178" s="102">
        <f>(CD178-Driver!$F$203)/(Driver!$G$203-Driver!$F$203)*$BI$1</f>
        <v/>
      </c>
      <c r="BL178" s="102">
        <f>MAX((CR178-Driver!$F$202)/(Driver!$G$202-Driver!$F$202)*$BI$1,1)</f>
        <v/>
      </c>
      <c r="BM178" s="102">
        <f>MAX((CH178-Driver!$F$204)/(Driver!$G$204-Driver!$F$204)*$BI$1,1)</f>
        <v/>
      </c>
      <c r="BN178" s="102">
        <f>(CI178-Driver!$F$205)/(Driver!$G$205-Driver!$F$205)*$BI$1</f>
        <v/>
      </c>
      <c r="BO178" s="102">
        <f>(CK178-Driver!$F$207)/(Driver!$G$207-Driver!$F$207)*$BI$1</f>
        <v/>
      </c>
      <c r="BP178" s="102">
        <f>(CM178-Driver!$F$208)/(Driver!$G$208-Driver!$F$208)*$BI$1</f>
        <v/>
      </c>
      <c r="BQ178" s="102">
        <f>(CL178-Driver!$F$209)/(Driver!$G$209-Driver!$F$209)*$BI$1</f>
        <v/>
      </c>
      <c r="BR178" s="40" t="inlineStr">
        <is>
          <t>21/22</t>
        </is>
      </c>
      <c r="BS178" s="10" t="inlineStr">
        <is>
          <t xml:space="preserve"> Black Crows</t>
        </is>
      </c>
      <c r="BT178" s="11" t="inlineStr">
        <is>
          <t xml:space="preserve"> Serpo</t>
        </is>
      </c>
      <c r="BU178" s="13" t="n">
        <v>186.3</v>
      </c>
      <c r="BV178" s="11" t="inlineStr">
        <is>
          <t xml:space="preserve"> Unisex</t>
        </is>
      </c>
      <c r="BW178" s="13" t="n">
        <v>186.3</v>
      </c>
      <c r="BX178" s="13" t="n">
        <v>185.8</v>
      </c>
      <c r="BY178" s="13" t="n">
        <v>119</v>
      </c>
      <c r="BZ178" s="13" t="n">
        <v>162</v>
      </c>
      <c r="CA178" s="13" t="n">
        <v>131</v>
      </c>
      <c r="CB178" s="13" t="n">
        <v>91</v>
      </c>
      <c r="CC178" s="13" t="n">
        <v>114</v>
      </c>
      <c r="CD178" s="13" t="n">
        <v>19.8</v>
      </c>
      <c r="CE178" s="13" t="n">
        <v>1964</v>
      </c>
      <c r="CF178" s="13" t="n">
        <v>0.98</v>
      </c>
      <c r="CG178" s="13" t="n">
        <v>1927</v>
      </c>
      <c r="CH178" s="13" t="n">
        <v>220</v>
      </c>
      <c r="CI178" s="13" t="n">
        <v>113</v>
      </c>
      <c r="CJ178" s="13" t="n">
        <v>51</v>
      </c>
      <c r="CK178" s="13" t="n">
        <v>362</v>
      </c>
      <c r="CL178" s="13" t="n">
        <v>15</v>
      </c>
      <c r="CM178" s="13" t="n">
        <v>310</v>
      </c>
      <c r="CN178" s="13" t="n">
        <v>0.296</v>
      </c>
      <c r="CO178" s="13" t="n">
        <v>121</v>
      </c>
      <c r="CP178" s="13" t="n">
        <v>115</v>
      </c>
      <c r="CQ178" s="13" t="n">
        <v>241</v>
      </c>
      <c r="CR178" s="13" t="n">
        <v>2</v>
      </c>
      <c r="CS178" s="13" t="n">
        <v>8.1</v>
      </c>
      <c r="CT178" s="11" t="inlineStr">
        <is>
          <t xml:space="preserve"> Resort Freeride</t>
        </is>
      </c>
      <c r="CU178" s="13" t="n"/>
      <c r="CV178" s="13" t="n"/>
      <c r="CW178" s="13" t="n"/>
      <c r="CX178">
        <f>INDEX('Data_Price '!AG$2:AG$1266,MATCH(Data!$DN178,'Data_Price '!$AT$2:$AT$1266,0))</f>
        <v/>
      </c>
      <c r="CY178">
        <f>INDEX('Data_Price '!AH$2:AH$1266,MATCH(Data!$DN178,'Data_Price '!$AT$2:$AT$1266,0))</f>
        <v/>
      </c>
      <c r="CZ178">
        <f>INDEX('Data_Price '!AI$2:AI$1266,MATCH(Data!$DN178,'Data_Price '!$AT$2:$AT$1266,0))</f>
        <v/>
      </c>
      <c r="DA178">
        <f>INDEX('Data_Price '!AJ$2:AJ$1266,MATCH(Data!$DN178,'Data_Price '!$AT$2:$AT$1266,0))</f>
        <v/>
      </c>
      <c r="DB178">
        <f>INDEX('Data_Price '!AK$2:AK$1266,MATCH(Data!$DN178,'Data_Price '!$AT$2:$AT$1266,0))</f>
        <v/>
      </c>
      <c r="DC178">
        <f>INDEX('Data_Price '!AL$2:AL$1266,MATCH(Data!$DN178,'Data_Price '!$AT$2:$AT$1266,0))</f>
        <v/>
      </c>
      <c r="DD178">
        <f>INDEX('Data_Price '!AM$2:AM$1266,MATCH(Data!$DN178,'Data_Price '!$AT$2:$AT$1266,0))</f>
        <v/>
      </c>
      <c r="DE178">
        <f>INDEX('Data_Price '!AN$2:AN$1266,MATCH(Data!$DN178,'Data_Price '!$AT$2:$AT$1266,0))</f>
        <v/>
      </c>
      <c r="DF178">
        <f>INDEX('Data_Price '!AO$2:AO$1266,MATCH(Data!$DN178,'Data_Price '!$AT$2:$AT$1266,0))</f>
        <v/>
      </c>
      <c r="DG178">
        <f>INDEX('Data_Price '!AP$2:AP$1266,MATCH(Data!$DN178,'Data_Price '!$AT$2:$AT$1266,0))</f>
        <v/>
      </c>
      <c r="DH178">
        <f>INDEX('Data_Price '!AQ$2:AQ$1266,MATCH(Data!$DN178,'Data_Price '!$AT$2:$AT$1266,0))</f>
        <v/>
      </c>
      <c r="DI178">
        <f>INDEX('Data_Price '!AR$2:AR$1266,MATCH(Data!$DN178,'Data_Price '!$AT$2:$AT$1266,0))</f>
        <v/>
      </c>
      <c r="DJ178" s="138">
        <f>DA178</f>
        <v/>
      </c>
      <c r="DK178" s="138">
        <f>DE178</f>
        <v/>
      </c>
      <c r="DL178" s="138">
        <f>DI178</f>
        <v/>
      </c>
      <c r="DM178" s="303">
        <f>IF(LEFT(BT178,1)=" ",RIGHT(BT178,LEN(BT178)-1),BT178)</f>
        <v/>
      </c>
      <c r="DN178" s="138">
        <f>_xlfn.CONCAT(BS178,DM178,BU178,BV178)</f>
        <v/>
      </c>
      <c r="DO178" s="307" t="inlineStr">
        <is>
          <t>https://images.evo.com/imgp/250/202411/868118/clone.jpg</t>
        </is>
      </c>
    </row>
    <row r="179" ht="15.6" customHeight="1" s="184">
      <c r="B179" s="303">
        <f t="array" ref="B179">IF(OR(ISERROR(K179:P179)),FALSE,TRUE)</f>
        <v/>
      </c>
      <c r="C179" s="60">
        <f>OR(BR179=Driver!$G$50,Data!BR543=Driver!$H$50)</f>
        <v/>
      </c>
      <c r="D179" s="60">
        <f>OR(BV179=Driver!$G$51,BV179=Driver!$H$51)</f>
        <v/>
      </c>
      <c r="E179" s="60">
        <f>AND(BX179&gt;Driver!$F$54,BX179&lt;Driver!$G$54)</f>
        <v/>
      </c>
      <c r="F179" s="60">
        <f>CL179&gt;Driver!$F$56</f>
        <v/>
      </c>
      <c r="G179" s="60">
        <f>AND(CB179&gt;Driver!$F$55,CB179&lt;Driver!$G$55)</f>
        <v/>
      </c>
      <c r="H179" s="60">
        <f>AND(B179:G179)</f>
        <v/>
      </c>
      <c r="I179" s="60">
        <f>COUNTIFS($H$9:$H$1273,TRUE,$BT$9:$BT$1273,BT179)</f>
        <v/>
      </c>
      <c r="J179" s="60">
        <f t="array" ref="J179">NOT(OR(($H$9:$H$1273=TRUE)*($I$9:$I$1273&gt;0)*($BT$9:$BT$1273=BT179)*($K$9:$K$1273&gt;K179)))</f>
        <v/>
      </c>
      <c r="K179" s="108">
        <f>IFERROR(1-AVERAGE(X179:Y179),"")</f>
        <v/>
      </c>
      <c r="L179" s="108">
        <f>1-X179</f>
        <v/>
      </c>
      <c r="M179" s="108">
        <f>1-Y179</f>
        <v/>
      </c>
      <c r="N179" s="108">
        <f>1-Z179</f>
        <v/>
      </c>
      <c r="O179" s="108">
        <f>1-AA179</f>
        <v/>
      </c>
      <c r="P179" s="108">
        <f>1-AB179</f>
        <v/>
      </c>
      <c r="Q179" s="108" t="n"/>
      <c r="R179" s="108" t="n"/>
      <c r="S179" s="108">
        <f>1-AE179</f>
        <v/>
      </c>
      <c r="T179" s="108">
        <f>1-AF179</f>
        <v/>
      </c>
      <c r="U179" s="108">
        <f>1-AG179</f>
        <v/>
      </c>
      <c r="V179" s="108">
        <f>1-AH179</f>
        <v/>
      </c>
      <c r="W179" s="108">
        <f>1-AI179</f>
        <v/>
      </c>
      <c r="X179" s="108">
        <f>ABS(AJ179-AJ$1)</f>
        <v/>
      </c>
      <c r="Y179" s="108">
        <f>AVERAGE(Z179:AB179)</f>
        <v/>
      </c>
      <c r="Z179" s="108">
        <f>ABS(AL179-AL$1)</f>
        <v/>
      </c>
      <c r="AA179" s="108">
        <f>ABS(AM179-AM$1)</f>
        <v/>
      </c>
      <c r="AB179" s="108">
        <f>ABS(AN179-AN$1)</f>
        <v/>
      </c>
      <c r="AC179" s="108" t="n"/>
      <c r="AD179" s="108" t="n"/>
      <c r="AE179" s="108">
        <f>ABS(AQ$1-AQ179)</f>
        <v/>
      </c>
      <c r="AF179" s="108">
        <f>ABS(AR$1-AR179)</f>
        <v/>
      </c>
      <c r="AG179" s="108">
        <f>ABS(AS$1-AS179)</f>
        <v/>
      </c>
      <c r="AH179" s="108">
        <f>ABS(AT$1-AT179)</f>
        <v/>
      </c>
      <c r="AI179" s="108">
        <f>ABS(AU$1-AU179)</f>
        <v/>
      </c>
      <c r="AJ179" s="108">
        <f>(AV179-Driver!$K$179)/(Driver!$L$179-Driver!$K$179)</f>
        <v/>
      </c>
      <c r="AK179" s="108">
        <f>(AW179-Driver!$K$180)/(Driver!$L$180-Driver!$K$180)</f>
        <v/>
      </c>
      <c r="AL179" s="108">
        <f>(AX179-Driver!$K$181)/(Driver!$L$181-Driver!$K$181)</f>
        <v/>
      </c>
      <c r="AM179" s="108">
        <f>(AY179-Driver!$K$182)/(Driver!$L$182-Driver!$K$182)</f>
        <v/>
      </c>
      <c r="AN179" s="108">
        <f>(AZ179-Driver!$K$183)/(Driver!$L$183-Driver!$K$183)</f>
        <v/>
      </c>
      <c r="AO179" s="108" t="n"/>
      <c r="AP179" s="108" t="n"/>
      <c r="AQ179" s="108">
        <f>(BC179-Driver!$K$188)/(Driver!$L$188-Driver!$K$188)</f>
        <v/>
      </c>
      <c r="AR179" s="108">
        <f>MIN((BD179-Driver!$K$189)/(Driver!$L$189-Driver!$K$189),100%)</f>
        <v/>
      </c>
      <c r="AS179" s="108">
        <f>(BE179-Driver!$K$190)/(Driver!$L$190-Driver!$K$190)</f>
        <v/>
      </c>
      <c r="AT179" s="108">
        <f>(BF179-Driver!$K$191)/(Driver!$L$191-Driver!$K$191)</f>
        <v/>
      </c>
      <c r="AU179" s="108">
        <f>(BG179-Driver!$K$192)/(Driver!$L$192-Driver!$K$192)</f>
        <v/>
      </c>
      <c r="AV179" s="105">
        <f>IFERROR(BM179*BJ179^1/4,"")</f>
        <v/>
      </c>
      <c r="AW179" s="105">
        <f>IFERROR(SUM(AX179:AZ179),"")</f>
        <v/>
      </c>
      <c r="AX179" s="105">
        <f>IFERROR(BH179,"")</f>
        <v/>
      </c>
      <c r="AY179" s="105">
        <f>IFERROR(Driver!$K$19/Data!BH179/Data!BI179*Data!BK179*Data!BL179,"")</f>
        <v/>
      </c>
      <c r="AZ179" s="105">
        <f>IFERROR(BI179*BN179,"")</f>
        <v/>
      </c>
      <c r="BA179" s="105" t="n"/>
      <c r="BB179" s="105" t="n"/>
      <c r="BC179" s="105">
        <f>IFERROR(BI179*BN179*BK179/BJ179^(1/2),"")</f>
        <v/>
      </c>
      <c r="BD179" s="105">
        <f>IFERROR(BH179*BM179*BL179/BJ179/BK179,"")</f>
        <v/>
      </c>
      <c r="BE179" s="105">
        <f>IFERROR(MIN(BI179/BQ179/BP179/BO179/BH179,$BE$1),"")</f>
        <v/>
      </c>
      <c r="BF179" s="105">
        <f>IFERROR(BJ179*BO179*BP179/BK179,"")</f>
        <v/>
      </c>
      <c r="BG179" s="105">
        <f>IFERROR(1/BM179/BH179*BQ179,"")</f>
        <v/>
      </c>
      <c r="BH179" s="102">
        <f>MAX((CE179-Driver!$F$200)/(Driver!$G$200-Driver!$F$200)*$BI$1,1)</f>
        <v/>
      </c>
      <c r="BI179" s="102">
        <f>MAX($BI$1*(BY179-Driver!$F$201)/(Driver!$G$201-Driver!$F$201),1)</f>
        <v/>
      </c>
      <c r="BJ179" s="102">
        <f>(CB179-Driver!$F$206)/(Driver!$G$206-Driver!$F$206)*$BI$1</f>
        <v/>
      </c>
      <c r="BK179" s="102">
        <f>(CD179-Driver!$F$203)/(Driver!$G$203-Driver!$F$203)*$BI$1</f>
        <v/>
      </c>
      <c r="BL179" s="102">
        <f>MAX((CR179-Driver!$F$202)/(Driver!$G$202-Driver!$F$202)*$BI$1,1)</f>
        <v/>
      </c>
      <c r="BM179" s="102">
        <f>MAX((CH179-Driver!$F$204)/(Driver!$G$204-Driver!$F$204)*$BI$1,1)</f>
        <v/>
      </c>
      <c r="BN179" s="102">
        <f>(CI179-Driver!$F$205)/(Driver!$G$205-Driver!$F$205)*$BI$1</f>
        <v/>
      </c>
      <c r="BO179" s="102">
        <f>(CK179-Driver!$F$207)/(Driver!$G$207-Driver!$F$207)*$BI$1</f>
        <v/>
      </c>
      <c r="BP179" s="102">
        <f>(CM179-Driver!$F$208)/(Driver!$G$208-Driver!$F$208)*$BI$1</f>
        <v/>
      </c>
      <c r="BQ179" s="102">
        <f>(CL179-Driver!$F$209)/(Driver!$G$209-Driver!$F$209)*$BI$1</f>
        <v/>
      </c>
      <c r="BR179" s="40" t="inlineStr">
        <is>
          <t>21/22</t>
        </is>
      </c>
      <c r="BS179" s="10" t="inlineStr">
        <is>
          <t xml:space="preserve"> Ferreol</t>
        </is>
      </c>
      <c r="BT179" s="11" t="inlineStr">
        <is>
          <t>Explo 96</t>
        </is>
      </c>
      <c r="BU179" s="13" t="n">
        <v>162</v>
      </c>
      <c r="BV179" s="11" t="inlineStr">
        <is>
          <t xml:space="preserve"> Unisex</t>
        </is>
      </c>
      <c r="BW179" s="13" t="n">
        <v>162</v>
      </c>
      <c r="BX179" s="13" t="n">
        <v>160.5</v>
      </c>
      <c r="BY179" s="13" t="n">
        <v>115</v>
      </c>
      <c r="BZ179" s="13" t="n">
        <v>135</v>
      </c>
      <c r="CA179" s="13" t="n">
        <v>129</v>
      </c>
      <c r="CB179" s="13" t="n">
        <v>96</v>
      </c>
      <c r="CC179" s="13" t="n">
        <v>118</v>
      </c>
      <c r="CD179" s="13" t="n">
        <v>14.3</v>
      </c>
      <c r="CE179" s="13" t="n">
        <v>1565</v>
      </c>
      <c r="CF179" s="13" t="n">
        <v>1.11</v>
      </c>
      <c r="CG179" s="13" t="n">
        <v>1734</v>
      </c>
      <c r="CH179" s="13" t="n">
        <v>197</v>
      </c>
      <c r="CI179" s="13" t="n">
        <v>89</v>
      </c>
      <c r="CJ179" s="13" t="n">
        <v>59</v>
      </c>
      <c r="CK179" s="13" t="n">
        <v>270</v>
      </c>
      <c r="CL179" s="13" t="n">
        <v>27</v>
      </c>
      <c r="CM179" s="13" t="n">
        <v>185</v>
      </c>
      <c r="CN179" s="13" t="n">
        <v>0.464</v>
      </c>
      <c r="CO179" s="13" t="n">
        <v>132</v>
      </c>
      <c r="CP179" s="13" t="n">
        <v>119</v>
      </c>
      <c r="CQ179" s="13" t="n">
        <v>138</v>
      </c>
      <c r="CR179" s="13" t="n">
        <v>11</v>
      </c>
      <c r="CS179" s="13" t="n">
        <v>7.8</v>
      </c>
      <c r="CT179" s="11" t="inlineStr">
        <is>
          <t xml:space="preserve"> Resort Freeride</t>
        </is>
      </c>
      <c r="CU179" s="11" t="inlineStr">
        <is>
          <t xml:space="preserve"> Touring</t>
        </is>
      </c>
      <c r="CV179" s="13" t="n"/>
      <c r="CW179" s="13" t="n"/>
      <c r="CX179">
        <f>INDEX('Data_Price '!AG$2:AG$1266,MATCH(Data!$DN179,'Data_Price '!$AT$2:$AT$1266,0))</f>
        <v/>
      </c>
      <c r="CY179">
        <f>INDEX('Data_Price '!AH$2:AH$1266,MATCH(Data!$DN179,'Data_Price '!$AT$2:$AT$1266,0))</f>
        <v/>
      </c>
      <c r="CZ179">
        <f>INDEX('Data_Price '!AI$2:AI$1266,MATCH(Data!$DN179,'Data_Price '!$AT$2:$AT$1266,0))</f>
        <v/>
      </c>
      <c r="DA179">
        <f>INDEX('Data_Price '!AJ$2:AJ$1266,MATCH(Data!$DN179,'Data_Price '!$AT$2:$AT$1266,0))</f>
        <v/>
      </c>
      <c r="DB179">
        <f>INDEX('Data_Price '!AK$2:AK$1266,MATCH(Data!$DN179,'Data_Price '!$AT$2:$AT$1266,0))</f>
        <v/>
      </c>
      <c r="DC179">
        <f>INDEX('Data_Price '!AL$2:AL$1266,MATCH(Data!$DN179,'Data_Price '!$AT$2:$AT$1266,0))</f>
        <v/>
      </c>
      <c r="DD179">
        <f>INDEX('Data_Price '!AM$2:AM$1266,MATCH(Data!$DN179,'Data_Price '!$AT$2:$AT$1266,0))</f>
        <v/>
      </c>
      <c r="DE179">
        <f>INDEX('Data_Price '!AN$2:AN$1266,MATCH(Data!$DN179,'Data_Price '!$AT$2:$AT$1266,0))</f>
        <v/>
      </c>
      <c r="DF179">
        <f>INDEX('Data_Price '!AO$2:AO$1266,MATCH(Data!$DN179,'Data_Price '!$AT$2:$AT$1266,0))</f>
        <v/>
      </c>
      <c r="DG179">
        <f>INDEX('Data_Price '!AP$2:AP$1266,MATCH(Data!$DN179,'Data_Price '!$AT$2:$AT$1266,0))</f>
        <v/>
      </c>
      <c r="DH179">
        <f>INDEX('Data_Price '!AQ$2:AQ$1266,MATCH(Data!$DN179,'Data_Price '!$AT$2:$AT$1266,0))</f>
        <v/>
      </c>
      <c r="DI179">
        <f>INDEX('Data_Price '!AR$2:AR$1266,MATCH(Data!$DN179,'Data_Price '!$AT$2:$AT$1266,0))</f>
        <v/>
      </c>
      <c r="DJ179" s="138">
        <f>DA179</f>
        <v/>
      </c>
      <c r="DK179" s="138">
        <f>DE179</f>
        <v/>
      </c>
      <c r="DL179" s="138">
        <f>DI179</f>
        <v/>
      </c>
      <c r="DM179" s="303">
        <f>IF(LEFT(BT179,1)=" ",RIGHT(BT179,LEN(BT179)-1),BT179)</f>
        <v/>
      </c>
      <c r="DN179" s="138">
        <f>_xlfn.CONCAT(BS179,DM179,BU179,BV179)</f>
        <v/>
      </c>
      <c r="DO179" s="307" t="n"/>
    </row>
    <row r="180" ht="15.6" customHeight="1" s="184">
      <c r="B180" s="303">
        <f t="array" ref="B180">IF(OR(ISERROR(K180:P180)),FALSE,TRUE)</f>
        <v/>
      </c>
      <c r="C180" s="60">
        <f>OR(BR180=Driver!$G$50,Data!BR722=Driver!$H$50)</f>
        <v/>
      </c>
      <c r="D180" s="60">
        <f>OR(BV180=Driver!$G$51,BV180=Driver!$H$51)</f>
        <v/>
      </c>
      <c r="E180" s="60">
        <f>AND(BX180&gt;Driver!$F$54,BX180&lt;Driver!$G$54)</f>
        <v/>
      </c>
      <c r="F180" s="60">
        <f>CL180&gt;Driver!$F$56</f>
        <v/>
      </c>
      <c r="G180" s="60">
        <f>AND(CB180&gt;Driver!$F$55,CB180&lt;Driver!$G$55)</f>
        <v/>
      </c>
      <c r="H180" s="60">
        <f>AND(B180:G180)</f>
        <v/>
      </c>
      <c r="I180" s="60">
        <f>COUNTIFS($H$9:$H$1273,TRUE,$BT$9:$BT$1273,BT180)</f>
        <v/>
      </c>
      <c r="J180" s="60">
        <f t="array" ref="J180">NOT(OR(($H$9:$H$1273=TRUE)*($I$9:$I$1273&gt;0)*($BT$9:$BT$1273=BT180)*($K$9:$K$1273&gt;K180)))</f>
        <v/>
      </c>
      <c r="K180" s="108">
        <f>IFERROR(1-AVERAGE(X180:Y180),"")</f>
        <v/>
      </c>
      <c r="L180" s="108">
        <f>1-X180</f>
        <v/>
      </c>
      <c r="M180" s="108">
        <f>1-Y180</f>
        <v/>
      </c>
      <c r="N180" s="108">
        <f>1-Z180</f>
        <v/>
      </c>
      <c r="O180" s="108">
        <f>1-AA180</f>
        <v/>
      </c>
      <c r="P180" s="108">
        <f>1-AB180</f>
        <v/>
      </c>
      <c r="Q180" s="108" t="n"/>
      <c r="R180" s="108" t="n"/>
      <c r="S180" s="108">
        <f>1-AE180</f>
        <v/>
      </c>
      <c r="T180" s="108">
        <f>1-AF180</f>
        <v/>
      </c>
      <c r="U180" s="108">
        <f>1-AG180</f>
        <v/>
      </c>
      <c r="V180" s="108">
        <f>1-AH180</f>
        <v/>
      </c>
      <c r="W180" s="108">
        <f>1-AI180</f>
        <v/>
      </c>
      <c r="X180" s="108">
        <f>ABS(AJ180-AJ$1)</f>
        <v/>
      </c>
      <c r="Y180" s="108">
        <f>AVERAGE(Z180:AB180)</f>
        <v/>
      </c>
      <c r="Z180" s="108">
        <f>ABS(AL180-AL$1)</f>
        <v/>
      </c>
      <c r="AA180" s="108">
        <f>ABS(AM180-AM$1)</f>
        <v/>
      </c>
      <c r="AB180" s="108">
        <f>ABS(AN180-AN$1)</f>
        <v/>
      </c>
      <c r="AC180" s="108" t="n"/>
      <c r="AD180" s="108" t="n"/>
      <c r="AE180" s="108">
        <f>ABS(AQ$1-AQ180)</f>
        <v/>
      </c>
      <c r="AF180" s="108">
        <f>ABS(AR$1-AR180)</f>
        <v/>
      </c>
      <c r="AG180" s="108">
        <f>ABS(AS$1-AS180)</f>
        <v/>
      </c>
      <c r="AH180" s="108">
        <f>ABS(AT$1-AT180)</f>
        <v/>
      </c>
      <c r="AI180" s="108">
        <f>ABS(AU$1-AU180)</f>
        <v/>
      </c>
      <c r="AJ180" s="108">
        <f>(AV180-Driver!$K$179)/(Driver!$L$179-Driver!$K$179)</f>
        <v/>
      </c>
      <c r="AK180" s="108">
        <f>(AW180-Driver!$K$180)/(Driver!$L$180-Driver!$K$180)</f>
        <v/>
      </c>
      <c r="AL180" s="108">
        <f>(AX180-Driver!$K$181)/(Driver!$L$181-Driver!$K$181)</f>
        <v/>
      </c>
      <c r="AM180" s="108">
        <f>(AY180-Driver!$K$182)/(Driver!$L$182-Driver!$K$182)</f>
        <v/>
      </c>
      <c r="AN180" s="108">
        <f>(AZ180-Driver!$K$183)/(Driver!$L$183-Driver!$K$183)</f>
        <v/>
      </c>
      <c r="AO180" s="108" t="n"/>
      <c r="AP180" s="108" t="n"/>
      <c r="AQ180" s="108">
        <f>(BC180-Driver!$K$188)/(Driver!$L$188-Driver!$K$188)</f>
        <v/>
      </c>
      <c r="AR180" s="108">
        <f>MIN((BD180-Driver!$K$189)/(Driver!$L$189-Driver!$K$189),100%)</f>
        <v/>
      </c>
      <c r="AS180" s="108">
        <f>(BE180-Driver!$K$190)/(Driver!$L$190-Driver!$K$190)</f>
        <v/>
      </c>
      <c r="AT180" s="108">
        <f>(BF180-Driver!$K$191)/(Driver!$L$191-Driver!$K$191)</f>
        <v/>
      </c>
      <c r="AU180" s="108">
        <f>(BG180-Driver!$K$192)/(Driver!$L$192-Driver!$K$192)</f>
        <v/>
      </c>
      <c r="AV180" s="105">
        <f>IFERROR(BM180*BJ180^1/4,"")</f>
        <v/>
      </c>
      <c r="AW180" s="105">
        <f>IFERROR(SUM(AX180:AZ180),"")</f>
        <v/>
      </c>
      <c r="AX180" s="105">
        <f>IFERROR(BH180,"")</f>
        <v/>
      </c>
      <c r="AY180" s="105">
        <f>IFERROR(Driver!$K$19/Data!BH180/Data!BI180*Data!BK180*Data!BL180,"")</f>
        <v/>
      </c>
      <c r="AZ180" s="105">
        <f>IFERROR(BI180*BN180,"")</f>
        <v/>
      </c>
      <c r="BA180" s="105" t="n"/>
      <c r="BB180" s="105" t="n"/>
      <c r="BC180" s="105">
        <f>IFERROR(BI180*BN180*BK180/BJ180^(1/2),"")</f>
        <v/>
      </c>
      <c r="BD180" s="105">
        <f>IFERROR(BH180*BM180*BL180/BJ180/BK180,"")</f>
        <v/>
      </c>
      <c r="BE180" s="105">
        <f>IFERROR(MIN(BI180/BQ180/BP180/BO180/BH180,$BE$1),"")</f>
        <v/>
      </c>
      <c r="BF180" s="105">
        <f>IFERROR(BJ180*BO180*BP180/BK180,"")</f>
        <v/>
      </c>
      <c r="BG180" s="105">
        <f>IFERROR(1/BM180/BH180*BQ180,"")</f>
        <v/>
      </c>
      <c r="BH180" s="102">
        <f>MAX((CE180-Driver!$F$200)/(Driver!$G$200-Driver!$F$200)*$BI$1,1)</f>
        <v/>
      </c>
      <c r="BI180" s="102">
        <f>MAX($BI$1*(BY180-Driver!$F$201)/(Driver!$G$201-Driver!$F$201),1)</f>
        <v/>
      </c>
      <c r="BJ180" s="102">
        <f>(CB180-Driver!$F$206)/(Driver!$G$206-Driver!$F$206)*$BI$1</f>
        <v/>
      </c>
      <c r="BK180" s="102">
        <f>(CD180-Driver!$F$203)/(Driver!$G$203-Driver!$F$203)*$BI$1</f>
        <v/>
      </c>
      <c r="BL180" s="102">
        <f>MAX((CR180-Driver!$F$202)/(Driver!$G$202-Driver!$F$202)*$BI$1,1)</f>
        <v/>
      </c>
      <c r="BM180" s="102">
        <f>MAX((CH180-Driver!$F$204)/(Driver!$G$204-Driver!$F$204)*$BI$1,1)</f>
        <v/>
      </c>
      <c r="BN180" s="102">
        <f>(CI180-Driver!$F$205)/(Driver!$G$205-Driver!$F$205)*$BI$1</f>
        <v/>
      </c>
      <c r="BO180" s="102">
        <f>(CK180-Driver!$F$207)/(Driver!$G$207-Driver!$F$207)*$BI$1</f>
        <v/>
      </c>
      <c r="BP180" s="102">
        <f>(CM180-Driver!$F$208)/(Driver!$G$208-Driver!$F$208)*$BI$1</f>
        <v/>
      </c>
      <c r="BQ180" s="102">
        <f>(CL180-Driver!$F$209)/(Driver!$G$209-Driver!$F$209)*$BI$1</f>
        <v/>
      </c>
      <c r="BR180" s="40" t="inlineStr">
        <is>
          <t>21/22</t>
        </is>
      </c>
      <c r="BS180" s="10" t="inlineStr">
        <is>
          <t xml:space="preserve"> K2</t>
        </is>
      </c>
      <c r="BT180" s="11" t="inlineStr">
        <is>
          <t>Mindbender 115 C Alliance</t>
        </is>
      </c>
      <c r="BU180" s="13" t="n">
        <v>172</v>
      </c>
      <c r="BV180" s="11" t="inlineStr">
        <is>
          <t xml:space="preserve"> Women's</t>
        </is>
      </c>
      <c r="BW180" s="13" t="n">
        <v>172</v>
      </c>
      <c r="BX180" s="13" t="n">
        <v>172.2</v>
      </c>
      <c r="BY180" s="13" t="n">
        <v>101</v>
      </c>
      <c r="BZ180" s="13" t="n">
        <v>131</v>
      </c>
      <c r="CA180" s="13" t="n">
        <v>139</v>
      </c>
      <c r="CB180" s="13" t="n">
        <v>114</v>
      </c>
      <c r="CC180" s="13" t="n">
        <v>128</v>
      </c>
      <c r="CD180" s="13" t="n">
        <v>20.9</v>
      </c>
      <c r="CE180" s="13" t="n">
        <v>1735</v>
      </c>
      <c r="CF180" s="13" t="n">
        <v>1.2</v>
      </c>
      <c r="CG180" s="13" t="n">
        <v>2078</v>
      </c>
      <c r="CH180" s="13" t="n">
        <v>166</v>
      </c>
      <c r="CI180" s="13" t="n">
        <v>94</v>
      </c>
      <c r="CJ180" s="13" t="n">
        <v>55</v>
      </c>
      <c r="CK180" s="13" t="n">
        <v>411</v>
      </c>
      <c r="CL180" s="13" t="n">
        <v>21</v>
      </c>
      <c r="CM180" s="13" t="n">
        <v>302</v>
      </c>
      <c r="CN180" s="13" t="n">
        <v>0.39</v>
      </c>
      <c r="CO180" s="13" t="n">
        <v>213</v>
      </c>
      <c r="CP180" s="13" t="n">
        <v>198</v>
      </c>
      <c r="CQ180" s="13" t="n">
        <v>199</v>
      </c>
      <c r="CR180" s="13" t="n">
        <v>5</v>
      </c>
      <c r="CS180" s="13" t="n">
        <v>10.5</v>
      </c>
      <c r="CT180" s="11" t="inlineStr">
        <is>
          <t xml:space="preserve"> Powder</t>
        </is>
      </c>
      <c r="CU180" s="11" t="inlineStr">
        <is>
          <t xml:space="preserve"> Big Mountain</t>
        </is>
      </c>
      <c r="CV180" s="11" t="inlineStr">
        <is>
          <t xml:space="preserve"> Touring</t>
        </is>
      </c>
      <c r="CW180" s="13" t="n"/>
      <c r="CX180">
        <f>INDEX('Data_Price '!AG$2:AG$1266,MATCH(Data!$DN180,'Data_Price '!$AT$2:$AT$1266,0))</f>
        <v/>
      </c>
      <c r="CY180">
        <f>INDEX('Data_Price '!AH$2:AH$1266,MATCH(Data!$DN180,'Data_Price '!$AT$2:$AT$1266,0))</f>
        <v/>
      </c>
      <c r="CZ180">
        <f>INDEX('Data_Price '!AI$2:AI$1266,MATCH(Data!$DN180,'Data_Price '!$AT$2:$AT$1266,0))</f>
        <v/>
      </c>
      <c r="DA180">
        <f>INDEX('Data_Price '!AJ$2:AJ$1266,MATCH(Data!$DN180,'Data_Price '!$AT$2:$AT$1266,0))</f>
        <v/>
      </c>
      <c r="DB180">
        <f>INDEX('Data_Price '!AK$2:AK$1266,MATCH(Data!$DN180,'Data_Price '!$AT$2:$AT$1266,0))</f>
        <v/>
      </c>
      <c r="DC180">
        <f>INDEX('Data_Price '!AL$2:AL$1266,MATCH(Data!$DN180,'Data_Price '!$AT$2:$AT$1266,0))</f>
        <v/>
      </c>
      <c r="DD180">
        <f>INDEX('Data_Price '!AM$2:AM$1266,MATCH(Data!$DN180,'Data_Price '!$AT$2:$AT$1266,0))</f>
        <v/>
      </c>
      <c r="DE180">
        <f>INDEX('Data_Price '!AN$2:AN$1266,MATCH(Data!$DN180,'Data_Price '!$AT$2:$AT$1266,0))</f>
        <v/>
      </c>
      <c r="DF180">
        <f>INDEX('Data_Price '!AO$2:AO$1266,MATCH(Data!$DN180,'Data_Price '!$AT$2:$AT$1266,0))</f>
        <v/>
      </c>
      <c r="DG180">
        <f>INDEX('Data_Price '!AP$2:AP$1266,MATCH(Data!$DN180,'Data_Price '!$AT$2:$AT$1266,0))</f>
        <v/>
      </c>
      <c r="DH180">
        <f>INDEX('Data_Price '!AQ$2:AQ$1266,MATCH(Data!$DN180,'Data_Price '!$AT$2:$AT$1266,0))</f>
        <v/>
      </c>
      <c r="DI180">
        <f>INDEX('Data_Price '!AR$2:AR$1266,MATCH(Data!$DN180,'Data_Price '!$AT$2:$AT$1266,0))</f>
        <v/>
      </c>
      <c r="DJ180" s="138">
        <f>DA180</f>
        <v/>
      </c>
      <c r="DK180" s="138">
        <f>DE180</f>
        <v/>
      </c>
      <c r="DL180" s="138">
        <f>DI180</f>
        <v/>
      </c>
      <c r="DM180" s="303">
        <f>IF(LEFT(BT180,1)=" ",RIGHT(BT180,LEN(BT180)-1),BT180)</f>
        <v/>
      </c>
      <c r="DN180" s="138">
        <f>_xlfn.CONCAT(BS180,DM180,BU180,BV180)</f>
        <v/>
      </c>
      <c r="DO180" s="307" t="inlineStr">
        <is>
          <t>https://images.evo.com/imgp/250/182115/723839/k2-mindbender-115-c-alliance-skis-women-s-2021-.jpg</t>
        </is>
      </c>
    </row>
    <row r="181" ht="15.6" customHeight="1" s="184">
      <c r="B181" s="303">
        <f t="array" ref="B181">IF(OR(ISERROR(K181:P181)),FALSE,TRUE)</f>
        <v/>
      </c>
      <c r="C181" s="60">
        <f>OR(BR181=Driver!$G$50,Data!BR11=Driver!$H$50)</f>
        <v/>
      </c>
      <c r="D181" s="60">
        <f>OR(BV181=Driver!$G$51,BV181=Driver!$H$51)</f>
        <v/>
      </c>
      <c r="E181" s="60">
        <f>AND(BX181&gt;Driver!$F$54,BX181&lt;Driver!$G$54)</f>
        <v/>
      </c>
      <c r="F181" s="60">
        <f>CL181&gt;Driver!$F$56</f>
        <v/>
      </c>
      <c r="G181" s="60">
        <f>AND(CB181&gt;Driver!$F$55,CB181&lt;Driver!$G$55)</f>
        <v/>
      </c>
      <c r="H181" s="60">
        <f>AND(B181:G181)</f>
        <v/>
      </c>
      <c r="I181" s="60">
        <f>COUNTIFS($H$9:$H$1273,TRUE,$BT$9:$BT$1273,BT181)</f>
        <v/>
      </c>
      <c r="J181" s="60">
        <f t="array" ref="J181">NOT(OR(($H$9:$H$1273=TRUE)*($I$9:$I$1273&gt;0)*($BT$9:$BT$1273=BT181)*($K$9:$K$1273&gt;K181)))</f>
        <v/>
      </c>
      <c r="K181" s="108">
        <f>IFERROR(1-AVERAGE(X181:Y181),"")</f>
        <v/>
      </c>
      <c r="L181" s="108">
        <f>1-X181</f>
        <v/>
      </c>
      <c r="M181" s="108">
        <f>1-Y181</f>
        <v/>
      </c>
      <c r="N181" s="108">
        <f>1-Z181</f>
        <v/>
      </c>
      <c r="O181" s="108">
        <f>1-AA181</f>
        <v/>
      </c>
      <c r="P181" s="108">
        <f>1-AB181</f>
        <v/>
      </c>
      <c r="Q181" s="108" t="n"/>
      <c r="R181" s="108" t="n"/>
      <c r="S181" s="108">
        <f>1-AE181</f>
        <v/>
      </c>
      <c r="T181" s="108">
        <f>1-AF181</f>
        <v/>
      </c>
      <c r="U181" s="108">
        <f>1-AG181</f>
        <v/>
      </c>
      <c r="V181" s="108">
        <f>1-AH181</f>
        <v/>
      </c>
      <c r="W181" s="108">
        <f>1-AI181</f>
        <v/>
      </c>
      <c r="X181" s="108">
        <f>ABS(AJ181-AJ$1)</f>
        <v/>
      </c>
      <c r="Y181" s="108">
        <f>AVERAGE(Z181:AB181)</f>
        <v/>
      </c>
      <c r="Z181" s="108">
        <f>ABS(AL181-AL$1)</f>
        <v/>
      </c>
      <c r="AA181" s="108">
        <f>ABS(AM181-AM$1)</f>
        <v/>
      </c>
      <c r="AB181" s="108">
        <f>ABS(AN181-AN$1)</f>
        <v/>
      </c>
      <c r="AC181" s="108" t="n"/>
      <c r="AD181" s="108" t="n"/>
      <c r="AE181" s="108">
        <f>ABS(AQ$1-AQ181)</f>
        <v/>
      </c>
      <c r="AF181" s="108">
        <f>ABS(AR$1-AR181)</f>
        <v/>
      </c>
      <c r="AG181" s="108">
        <f>ABS(AS$1-AS181)</f>
        <v/>
      </c>
      <c r="AH181" s="108">
        <f>ABS(AT$1-AT181)</f>
        <v/>
      </c>
      <c r="AI181" s="108">
        <f>ABS(AU$1-AU181)</f>
        <v/>
      </c>
      <c r="AJ181" s="108">
        <f>(AV181-Driver!$K$179)/(Driver!$L$179-Driver!$K$179)</f>
        <v/>
      </c>
      <c r="AK181" s="108">
        <f>(AW181-Driver!$K$180)/(Driver!$L$180-Driver!$K$180)</f>
        <v/>
      </c>
      <c r="AL181" s="108">
        <f>(AX181-Driver!$K$181)/(Driver!$L$181-Driver!$K$181)</f>
        <v/>
      </c>
      <c r="AM181" s="108">
        <f>(AY181-Driver!$K$182)/(Driver!$L$182-Driver!$K$182)</f>
        <v/>
      </c>
      <c r="AN181" s="108">
        <f>(AZ181-Driver!$K$183)/(Driver!$L$183-Driver!$K$183)</f>
        <v/>
      </c>
      <c r="AO181" s="108" t="n"/>
      <c r="AP181" s="108" t="n"/>
      <c r="AQ181" s="108">
        <f>(BC181-Driver!$K$188)/(Driver!$L$188-Driver!$K$188)</f>
        <v/>
      </c>
      <c r="AR181" s="108">
        <f>MIN((BD181-Driver!$K$189)/(Driver!$L$189-Driver!$K$189),100%)</f>
        <v/>
      </c>
      <c r="AS181" s="108">
        <f>(BE181-Driver!$K$190)/(Driver!$L$190-Driver!$K$190)</f>
        <v/>
      </c>
      <c r="AT181" s="108">
        <f>(BF181-Driver!$K$191)/(Driver!$L$191-Driver!$K$191)</f>
        <v/>
      </c>
      <c r="AU181" s="108">
        <f>(BG181-Driver!$K$192)/(Driver!$L$192-Driver!$K$192)</f>
        <v/>
      </c>
      <c r="AV181" s="105">
        <f>IFERROR(BM181*BJ181^1/4,"")</f>
        <v/>
      </c>
      <c r="AW181" s="105">
        <f>IFERROR(SUM(AX181:AZ181),"")</f>
        <v/>
      </c>
      <c r="AX181" s="105">
        <f>IFERROR(BH181,"")</f>
        <v/>
      </c>
      <c r="AY181" s="105">
        <f>IFERROR(Driver!$K$19/Data!BH181/Data!BI181*Data!BK181*Data!BL181,"")</f>
        <v/>
      </c>
      <c r="AZ181" s="105">
        <f>IFERROR(BI181*BN181,"")</f>
        <v/>
      </c>
      <c r="BA181" s="105" t="n"/>
      <c r="BB181" s="105" t="n"/>
      <c r="BC181" s="105">
        <f>IFERROR(BI181*BN181*BK181/BJ181^(1/2),"")</f>
        <v/>
      </c>
      <c r="BD181" s="105">
        <f>IFERROR(BH181*BM181*BL181/BJ181/BK181,"")</f>
        <v/>
      </c>
      <c r="BE181" s="105">
        <f>IFERROR(MIN(BI181/BQ181/BP181/BO181/BH181,$BE$1),"")</f>
        <v/>
      </c>
      <c r="BF181" s="105">
        <f>IFERROR(BJ181*BO181*BP181/BK181,"")</f>
        <v/>
      </c>
      <c r="BG181" s="105">
        <f>IFERROR(1/BM181/BH181*BQ181,"")</f>
        <v/>
      </c>
      <c r="BH181" s="102">
        <f>MAX((CE181-Driver!$F$200)/(Driver!$G$200-Driver!$F$200)*$BI$1,1)</f>
        <v/>
      </c>
      <c r="BI181" s="102">
        <f>MAX($BI$1*(BY181-Driver!$F$201)/(Driver!$G$201-Driver!$F$201),1)</f>
        <v/>
      </c>
      <c r="BJ181" s="102">
        <f>(CB181-Driver!$F$206)/(Driver!$G$206-Driver!$F$206)*$BI$1</f>
        <v/>
      </c>
      <c r="BK181" s="102">
        <f>(CD181-Driver!$F$203)/(Driver!$G$203-Driver!$F$203)*$BI$1</f>
        <v/>
      </c>
      <c r="BL181" s="102">
        <f>MAX((CR181-Driver!$F$202)/(Driver!$G$202-Driver!$F$202)*$BI$1,1)</f>
        <v/>
      </c>
      <c r="BM181" s="102">
        <f>MAX((CH181-Driver!$F$204)/(Driver!$G$204-Driver!$F$204)*$BI$1,1)</f>
        <v/>
      </c>
      <c r="BN181" s="102">
        <f>(CI181-Driver!$F$205)/(Driver!$G$205-Driver!$F$205)*$BI$1</f>
        <v/>
      </c>
      <c r="BO181" s="102">
        <f>(CK181-Driver!$F$207)/(Driver!$G$207-Driver!$F$207)*$BI$1</f>
        <v/>
      </c>
      <c r="BP181" s="102">
        <f>(CM181-Driver!$F$208)/(Driver!$G$208-Driver!$F$208)*$BI$1</f>
        <v/>
      </c>
      <c r="BQ181" s="102">
        <f>(CL181-Driver!$F$209)/(Driver!$G$209-Driver!$F$209)*$BI$1</f>
        <v/>
      </c>
      <c r="BR181" s="40" t="inlineStr">
        <is>
          <t>22/23</t>
        </is>
      </c>
      <c r="BS181" s="10" t="inlineStr">
        <is>
          <t xml:space="preserve"> DPS</t>
        </is>
      </c>
      <c r="BT181" s="11" t="inlineStr">
        <is>
          <t>Pagoda Tour 112 W</t>
        </is>
      </c>
      <c r="BU181" s="13" t="n">
        <v>168</v>
      </c>
      <c r="BV181" s="11" t="inlineStr">
        <is>
          <t xml:space="preserve"> Women's</t>
        </is>
      </c>
      <c r="BW181" s="13" t="n">
        <v>168</v>
      </c>
      <c r="BX181" s="13" t="n">
        <v>166.3</v>
      </c>
      <c r="BY181" s="13" t="n">
        <v>95</v>
      </c>
      <c r="BZ181" s="13" t="n">
        <v>111</v>
      </c>
      <c r="CA181" s="13" t="n">
        <v>136</v>
      </c>
      <c r="CB181" s="13" t="n">
        <v>112</v>
      </c>
      <c r="CC181" s="13" t="n">
        <v>124</v>
      </c>
      <c r="CD181" s="13" t="n">
        <v>15.2</v>
      </c>
      <c r="CE181" s="13" t="n">
        <v>1419</v>
      </c>
      <c r="CF181" s="13" t="n">
        <v>1.4</v>
      </c>
      <c r="CG181" s="13" t="n">
        <v>1992</v>
      </c>
      <c r="CH181" s="13" t="n">
        <v>212</v>
      </c>
      <c r="CI181" s="13" t="n">
        <v>112</v>
      </c>
      <c r="CJ181" s="13" t="n">
        <v>64</v>
      </c>
      <c r="CK181" s="13" t="n">
        <v>403</v>
      </c>
      <c r="CL181" s="13" t="n">
        <v>36</v>
      </c>
      <c r="CM181" s="13" t="n">
        <v>309</v>
      </c>
      <c r="CN181" s="13" t="n">
        <v>0.556</v>
      </c>
      <c r="CO181" s="13" t="n">
        <v>298</v>
      </c>
      <c r="CP181" s="13" t="n">
        <v>253</v>
      </c>
      <c r="CQ181" s="13" t="n">
        <v>104</v>
      </c>
      <c r="CR181" s="13" t="n">
        <v>4</v>
      </c>
      <c r="CS181" s="13" t="n">
        <v>13.3</v>
      </c>
      <c r="CT181" s="11" t="inlineStr">
        <is>
          <t xml:space="preserve"> Powder</t>
        </is>
      </c>
      <c r="CU181" s="11" t="inlineStr">
        <is>
          <t xml:space="preserve"> Touring</t>
        </is>
      </c>
      <c r="CV181" s="11" t="inlineStr">
        <is>
          <t xml:space="preserve"> Ultralight Touring</t>
        </is>
      </c>
      <c r="CW181" s="13" t="n"/>
      <c r="CX181">
        <f>INDEX('Data_Price '!AG$2:AG$1266,MATCH(Data!$DN181,'Data_Price '!$AT$2:$AT$1266,0))</f>
        <v/>
      </c>
      <c r="CY181">
        <f>INDEX('Data_Price '!AH$2:AH$1266,MATCH(Data!$DN181,'Data_Price '!$AT$2:$AT$1266,0))</f>
        <v/>
      </c>
      <c r="CZ181">
        <f>INDEX('Data_Price '!AI$2:AI$1266,MATCH(Data!$DN181,'Data_Price '!$AT$2:$AT$1266,0))</f>
        <v/>
      </c>
      <c r="DA181">
        <f>INDEX('Data_Price '!AJ$2:AJ$1266,MATCH(Data!$DN181,'Data_Price '!$AT$2:$AT$1266,0))</f>
        <v/>
      </c>
      <c r="DB181">
        <f>INDEX('Data_Price '!AK$2:AK$1266,MATCH(Data!$DN181,'Data_Price '!$AT$2:$AT$1266,0))</f>
        <v/>
      </c>
      <c r="DC181">
        <f>INDEX('Data_Price '!AL$2:AL$1266,MATCH(Data!$DN181,'Data_Price '!$AT$2:$AT$1266,0))</f>
        <v/>
      </c>
      <c r="DD181">
        <f>INDEX('Data_Price '!AM$2:AM$1266,MATCH(Data!$DN181,'Data_Price '!$AT$2:$AT$1266,0))</f>
        <v/>
      </c>
      <c r="DE181">
        <f>INDEX('Data_Price '!AN$2:AN$1266,MATCH(Data!$DN181,'Data_Price '!$AT$2:$AT$1266,0))</f>
        <v/>
      </c>
      <c r="DF181">
        <f>INDEX('Data_Price '!AO$2:AO$1266,MATCH(Data!$DN181,'Data_Price '!$AT$2:$AT$1266,0))</f>
        <v/>
      </c>
      <c r="DG181">
        <f>INDEX('Data_Price '!AP$2:AP$1266,MATCH(Data!$DN181,'Data_Price '!$AT$2:$AT$1266,0))</f>
        <v/>
      </c>
      <c r="DH181">
        <f>INDEX('Data_Price '!AQ$2:AQ$1266,MATCH(Data!$DN181,'Data_Price '!$AT$2:$AT$1266,0))</f>
        <v/>
      </c>
      <c r="DI181">
        <f>INDEX('Data_Price '!AR$2:AR$1266,MATCH(Data!$DN181,'Data_Price '!$AT$2:$AT$1266,0))</f>
        <v/>
      </c>
      <c r="DJ181" s="138">
        <f>DA181</f>
        <v/>
      </c>
      <c r="DK181" s="138">
        <f>DE181</f>
        <v/>
      </c>
      <c r="DL181" s="138">
        <f>DI181</f>
        <v/>
      </c>
      <c r="DM181" s="303">
        <f>IF(LEFT(BT181,1)=" ",RIGHT(BT181,LEN(BT181)-1),BT181)</f>
        <v/>
      </c>
      <c r="DN181" s="138">
        <f>_xlfn.CONCAT(BS181,DM181,BU181,BV181)</f>
        <v/>
      </c>
      <c r="DO181" s="307" t="n"/>
    </row>
    <row r="182" ht="15.6" customHeight="1" s="184">
      <c r="B182" s="303">
        <f t="array" ref="B182">IF(OR(ISERROR(K182:P182)),FALSE,TRUE)</f>
        <v/>
      </c>
      <c r="C182" s="60">
        <f>OR(BR182=Driver!$G$50,Data!BR717=Driver!$H$50)</f>
        <v/>
      </c>
      <c r="D182" s="60">
        <f>OR(BV182=Driver!$G$51,BV182=Driver!$H$51)</f>
        <v/>
      </c>
      <c r="E182" s="60">
        <f>AND(BX182&gt;Driver!$F$54,BX182&lt;Driver!$G$54)</f>
        <v/>
      </c>
      <c r="F182" s="60">
        <f>CL182&gt;Driver!$F$56</f>
        <v/>
      </c>
      <c r="G182" s="60">
        <f>AND(CB182&gt;Driver!$F$55,CB182&lt;Driver!$G$55)</f>
        <v/>
      </c>
      <c r="H182" s="60">
        <f>AND(B182:G182)</f>
        <v/>
      </c>
      <c r="I182" s="60">
        <f>COUNTIFS($H$9:$H$1273,TRUE,$BT$9:$BT$1273,BT182)</f>
        <v/>
      </c>
      <c r="J182" s="60">
        <f t="array" ref="J182">NOT(OR(($H$9:$H$1273=TRUE)*($I$9:$I$1273&gt;0)*($BT$9:$BT$1273=BT182)*($K$9:$K$1273&gt;K182)))</f>
        <v/>
      </c>
      <c r="K182" s="108">
        <f>IFERROR(1-AVERAGE(X182:Y182),"")</f>
        <v/>
      </c>
      <c r="L182" s="108">
        <f>1-X182</f>
        <v/>
      </c>
      <c r="M182" s="108">
        <f>1-Y182</f>
        <v/>
      </c>
      <c r="N182" s="108">
        <f>1-Z182</f>
        <v/>
      </c>
      <c r="O182" s="108">
        <f>1-AA182</f>
        <v/>
      </c>
      <c r="P182" s="108">
        <f>1-AB182</f>
        <v/>
      </c>
      <c r="Q182" s="108" t="n"/>
      <c r="R182" s="108" t="n"/>
      <c r="S182" s="108">
        <f>1-AE182</f>
        <v/>
      </c>
      <c r="T182" s="108">
        <f>1-AF182</f>
        <v/>
      </c>
      <c r="U182" s="108">
        <f>1-AG182</f>
        <v/>
      </c>
      <c r="V182" s="108">
        <f>1-AH182</f>
        <v/>
      </c>
      <c r="W182" s="108">
        <f>1-AI182</f>
        <v/>
      </c>
      <c r="X182" s="108">
        <f>ABS(AJ182-AJ$1)</f>
        <v/>
      </c>
      <c r="Y182" s="108">
        <f>AVERAGE(Z182:AB182)</f>
        <v/>
      </c>
      <c r="Z182" s="108">
        <f>ABS(AL182-AL$1)</f>
        <v/>
      </c>
      <c r="AA182" s="108">
        <f>ABS(AM182-AM$1)</f>
        <v/>
      </c>
      <c r="AB182" s="108">
        <f>ABS(AN182-AN$1)</f>
        <v/>
      </c>
      <c r="AC182" s="108" t="n"/>
      <c r="AD182" s="108" t="n"/>
      <c r="AE182" s="108">
        <f>ABS(AQ$1-AQ182)</f>
        <v/>
      </c>
      <c r="AF182" s="108">
        <f>ABS(AR$1-AR182)</f>
        <v/>
      </c>
      <c r="AG182" s="108">
        <f>ABS(AS$1-AS182)</f>
        <v/>
      </c>
      <c r="AH182" s="108">
        <f>ABS(AT$1-AT182)</f>
        <v/>
      </c>
      <c r="AI182" s="108">
        <f>ABS(AU$1-AU182)</f>
        <v/>
      </c>
      <c r="AJ182" s="108">
        <f>(AV182-Driver!$K$179)/(Driver!$L$179-Driver!$K$179)</f>
        <v/>
      </c>
      <c r="AK182" s="108">
        <f>(AW182-Driver!$K$180)/(Driver!$L$180-Driver!$K$180)</f>
        <v/>
      </c>
      <c r="AL182" s="108">
        <f>(AX182-Driver!$K$181)/(Driver!$L$181-Driver!$K$181)</f>
        <v/>
      </c>
      <c r="AM182" s="108">
        <f>(AY182-Driver!$K$182)/(Driver!$L$182-Driver!$K$182)</f>
        <v/>
      </c>
      <c r="AN182" s="108">
        <f>(AZ182-Driver!$K$183)/(Driver!$L$183-Driver!$K$183)</f>
        <v/>
      </c>
      <c r="AO182" s="108" t="n"/>
      <c r="AP182" s="108" t="n"/>
      <c r="AQ182" s="108">
        <f>(BC182-Driver!$K$188)/(Driver!$L$188-Driver!$K$188)</f>
        <v/>
      </c>
      <c r="AR182" s="108">
        <f>MIN((BD182-Driver!$K$189)/(Driver!$L$189-Driver!$K$189),100%)</f>
        <v/>
      </c>
      <c r="AS182" s="108">
        <f>(BE182-Driver!$K$190)/(Driver!$L$190-Driver!$K$190)</f>
        <v/>
      </c>
      <c r="AT182" s="108">
        <f>(BF182-Driver!$K$191)/(Driver!$L$191-Driver!$K$191)</f>
        <v/>
      </c>
      <c r="AU182" s="108">
        <f>(BG182-Driver!$K$192)/(Driver!$L$192-Driver!$K$192)</f>
        <v/>
      </c>
      <c r="AV182" s="105">
        <f>IFERROR(BM182*BJ182^1/4,"")</f>
        <v/>
      </c>
      <c r="AW182" s="105">
        <f>IFERROR(SUM(AX182:AZ182),"")</f>
        <v/>
      </c>
      <c r="AX182" s="105">
        <f>IFERROR(BH182,"")</f>
        <v/>
      </c>
      <c r="AY182" s="105">
        <f>IFERROR(Driver!$K$19/Data!BH182/Data!BI182*Data!BK182*Data!BL182,"")</f>
        <v/>
      </c>
      <c r="AZ182" s="105">
        <f>IFERROR(BI182*BN182,"")</f>
        <v/>
      </c>
      <c r="BA182" s="105" t="n"/>
      <c r="BB182" s="105" t="n"/>
      <c r="BC182" s="105">
        <f>IFERROR(BI182*BN182*BK182/BJ182^(1/2),"")</f>
        <v/>
      </c>
      <c r="BD182" s="105">
        <f>IFERROR(BH182*BM182*BL182/BJ182/BK182,"")</f>
        <v/>
      </c>
      <c r="BE182" s="105">
        <f>IFERROR(MIN(BI182/BQ182/BP182/BO182/BH182,$BE$1),"")</f>
        <v/>
      </c>
      <c r="BF182" s="105">
        <f>IFERROR(BJ182*BO182*BP182/BK182,"")</f>
        <v/>
      </c>
      <c r="BG182" s="105">
        <f>IFERROR(1/BM182/BH182*BQ182,"")</f>
        <v/>
      </c>
      <c r="BH182" s="102">
        <f>MAX((CE182-Driver!$F$200)/(Driver!$G$200-Driver!$F$200)*$BI$1,1)</f>
        <v/>
      </c>
      <c r="BI182" s="102">
        <f>MAX($BI$1*(BY182-Driver!$F$201)/(Driver!$G$201-Driver!$F$201),1)</f>
        <v/>
      </c>
      <c r="BJ182" s="102">
        <f>(CB182-Driver!$F$206)/(Driver!$G$206-Driver!$F$206)*$BI$1</f>
        <v/>
      </c>
      <c r="BK182" s="102">
        <f>(CD182-Driver!$F$203)/(Driver!$G$203-Driver!$F$203)*$BI$1</f>
        <v/>
      </c>
      <c r="BL182" s="102">
        <f>MAX((CR182-Driver!$F$202)/(Driver!$G$202-Driver!$F$202)*$BI$1,1)</f>
        <v/>
      </c>
      <c r="BM182" s="102">
        <f>MAX((CH182-Driver!$F$204)/(Driver!$G$204-Driver!$F$204)*$BI$1,1)</f>
        <v/>
      </c>
      <c r="BN182" s="102">
        <f>(CI182-Driver!$F$205)/(Driver!$G$205-Driver!$F$205)*$BI$1</f>
        <v/>
      </c>
      <c r="BO182" s="102">
        <f>(CK182-Driver!$F$207)/(Driver!$G$207-Driver!$F$207)*$BI$1</f>
        <v/>
      </c>
      <c r="BP182" s="102">
        <f>(CM182-Driver!$F$208)/(Driver!$G$208-Driver!$F$208)*$BI$1</f>
        <v/>
      </c>
      <c r="BQ182" s="102">
        <f>(CL182-Driver!$F$209)/(Driver!$G$209-Driver!$F$209)*$BI$1</f>
        <v/>
      </c>
      <c r="BR182" s="40" t="inlineStr">
        <is>
          <t>21/22</t>
        </is>
      </c>
      <c r="BS182" s="10" t="inlineStr">
        <is>
          <t xml:space="preserve"> K2</t>
        </is>
      </c>
      <c r="BT182" s="11" t="inlineStr">
        <is>
          <t>Mindbender 108 Ti</t>
        </is>
      </c>
      <c r="BU182" s="13" t="n">
        <v>172</v>
      </c>
      <c r="BV182" s="11" t="inlineStr">
        <is>
          <t xml:space="preserve"> Unisex</t>
        </is>
      </c>
      <c r="BW182" s="13" t="n">
        <v>172</v>
      </c>
      <c r="BX182" s="13" t="n">
        <v>172.2</v>
      </c>
      <c r="BY182" s="13" t="n">
        <v>100</v>
      </c>
      <c r="BZ182" s="13" t="n">
        <v>137</v>
      </c>
      <c r="CA182" s="13" t="n">
        <v>136</v>
      </c>
      <c r="CB182" s="13" t="n">
        <v>107</v>
      </c>
      <c r="CC182" s="13" t="n">
        <v>124</v>
      </c>
      <c r="CD182" s="13" t="n">
        <v>19.3</v>
      </c>
      <c r="CE182" s="13" t="n">
        <v>1923</v>
      </c>
      <c r="CF182" s="13" t="n">
        <v>1.04</v>
      </c>
      <c r="CG182" s="13" t="n">
        <v>1999</v>
      </c>
      <c r="CH182" s="13" t="n">
        <v>182</v>
      </c>
      <c r="CI182" s="13" t="n">
        <v>120</v>
      </c>
      <c r="CJ182" s="13" t="n">
        <v>48</v>
      </c>
      <c r="CK182" s="13" t="n">
        <v>402</v>
      </c>
      <c r="CL182" s="13" t="n">
        <v>25</v>
      </c>
      <c r="CM182" s="13" t="n">
        <v>315</v>
      </c>
      <c r="CN182" s="13" t="n">
        <v>0.521</v>
      </c>
      <c r="CO182" s="13" t="n">
        <v>182</v>
      </c>
      <c r="CP182" s="13" t="n">
        <v>169</v>
      </c>
      <c r="CQ182" s="13" t="n">
        <v>220</v>
      </c>
      <c r="CR182" s="13" t="n">
        <v>4</v>
      </c>
      <c r="CS182" s="13" t="n">
        <v>9.300000000000001</v>
      </c>
      <c r="CT182" s="11" t="inlineStr">
        <is>
          <t xml:space="preserve"> Powder</t>
        </is>
      </c>
      <c r="CU182" s="13" t="n"/>
      <c r="CV182" s="13" t="n"/>
      <c r="CW182" s="13" t="n"/>
      <c r="CX182">
        <f>INDEX('Data_Price '!AG$2:AG$1266,MATCH(Data!$DN182,'Data_Price '!$AT$2:$AT$1266,0))</f>
        <v/>
      </c>
      <c r="CY182">
        <f>INDEX('Data_Price '!AH$2:AH$1266,MATCH(Data!$DN182,'Data_Price '!$AT$2:$AT$1266,0))</f>
        <v/>
      </c>
      <c r="CZ182">
        <f>INDEX('Data_Price '!AI$2:AI$1266,MATCH(Data!$DN182,'Data_Price '!$AT$2:$AT$1266,0))</f>
        <v/>
      </c>
      <c r="DA182">
        <f>INDEX('Data_Price '!AJ$2:AJ$1266,MATCH(Data!$DN182,'Data_Price '!$AT$2:$AT$1266,0))</f>
        <v/>
      </c>
      <c r="DB182">
        <f>INDEX('Data_Price '!AK$2:AK$1266,MATCH(Data!$DN182,'Data_Price '!$AT$2:$AT$1266,0))</f>
        <v/>
      </c>
      <c r="DC182">
        <f>INDEX('Data_Price '!AL$2:AL$1266,MATCH(Data!$DN182,'Data_Price '!$AT$2:$AT$1266,0))</f>
        <v/>
      </c>
      <c r="DD182">
        <f>INDEX('Data_Price '!AM$2:AM$1266,MATCH(Data!$DN182,'Data_Price '!$AT$2:$AT$1266,0))</f>
        <v/>
      </c>
      <c r="DE182">
        <f>INDEX('Data_Price '!AN$2:AN$1266,MATCH(Data!$DN182,'Data_Price '!$AT$2:$AT$1266,0))</f>
        <v/>
      </c>
      <c r="DF182">
        <f>INDEX('Data_Price '!AO$2:AO$1266,MATCH(Data!$DN182,'Data_Price '!$AT$2:$AT$1266,0))</f>
        <v/>
      </c>
      <c r="DG182">
        <f>INDEX('Data_Price '!AP$2:AP$1266,MATCH(Data!$DN182,'Data_Price '!$AT$2:$AT$1266,0))</f>
        <v/>
      </c>
      <c r="DH182">
        <f>INDEX('Data_Price '!AQ$2:AQ$1266,MATCH(Data!$DN182,'Data_Price '!$AT$2:$AT$1266,0))</f>
        <v/>
      </c>
      <c r="DI182">
        <f>INDEX('Data_Price '!AR$2:AR$1266,MATCH(Data!$DN182,'Data_Price '!$AT$2:$AT$1266,0))</f>
        <v/>
      </c>
      <c r="DJ182" s="138">
        <f>DA182</f>
        <v/>
      </c>
      <c r="DK182" s="138">
        <f>DE182</f>
        <v/>
      </c>
      <c r="DL182" s="138">
        <f>DI182</f>
        <v/>
      </c>
      <c r="DM182" s="303">
        <f>IF(LEFT(BT182,1)=" ",RIGHT(BT182,LEN(BT182)-1),BT182)</f>
        <v/>
      </c>
      <c r="DN182" s="138">
        <f>_xlfn.CONCAT(BS182,DM182,BU182,BV182)</f>
        <v/>
      </c>
      <c r="DO182" s="307" t="inlineStr">
        <is>
          <t>https://images.evo.com/imgp/250/221663/904226/k2-mindbender-108-ti-skis-2023-.jpg</t>
        </is>
      </c>
    </row>
    <row r="183" ht="15.6" customHeight="1" s="184">
      <c r="B183" s="303">
        <f t="array" ref="B183">IF(OR(ISERROR(K183:P183)),FALSE,TRUE)</f>
        <v/>
      </c>
      <c r="C183" s="60">
        <f>OR(BR183=Driver!$G$50,Data!BR488=Driver!$H$50)</f>
        <v/>
      </c>
      <c r="D183" s="60">
        <f>OR(BV183=Driver!$G$51,BV183=Driver!$H$51)</f>
        <v/>
      </c>
      <c r="E183" s="60">
        <f>AND(BX183&gt;Driver!$F$54,BX183&lt;Driver!$G$54)</f>
        <v/>
      </c>
      <c r="F183" s="60">
        <f>CL183&gt;Driver!$F$56</f>
        <v/>
      </c>
      <c r="G183" s="60">
        <f>AND(CB183&gt;Driver!$F$55,CB183&lt;Driver!$G$55)</f>
        <v/>
      </c>
      <c r="H183" s="60">
        <f>AND(B183:G183)</f>
        <v/>
      </c>
      <c r="I183" s="60">
        <f>COUNTIFS($H$9:$H$1273,TRUE,$BT$9:$BT$1273,BT183)</f>
        <v/>
      </c>
      <c r="J183" s="60">
        <f t="array" ref="J183">NOT(OR(($H$9:$H$1273=TRUE)*($I$9:$I$1273&gt;0)*($BT$9:$BT$1273=BT183)*($K$9:$K$1273&gt;K183)))</f>
        <v/>
      </c>
      <c r="K183" s="108">
        <f>IFERROR(1-AVERAGE(X183:Y183),"")</f>
        <v/>
      </c>
      <c r="L183" s="108">
        <f>1-X183</f>
        <v/>
      </c>
      <c r="M183" s="108">
        <f>1-Y183</f>
        <v/>
      </c>
      <c r="N183" s="108">
        <f>1-Z183</f>
        <v/>
      </c>
      <c r="O183" s="108">
        <f>1-AA183</f>
        <v/>
      </c>
      <c r="P183" s="108">
        <f>1-AB183</f>
        <v/>
      </c>
      <c r="Q183" s="108" t="n"/>
      <c r="R183" s="108" t="n"/>
      <c r="S183" s="108">
        <f>1-AE183</f>
        <v/>
      </c>
      <c r="T183" s="108">
        <f>1-AF183</f>
        <v/>
      </c>
      <c r="U183" s="108">
        <f>1-AG183</f>
        <v/>
      </c>
      <c r="V183" s="108">
        <f>1-AH183</f>
        <v/>
      </c>
      <c r="W183" s="108">
        <f>1-AI183</f>
        <v/>
      </c>
      <c r="X183" s="108">
        <f>ABS(AJ183-AJ$1)</f>
        <v/>
      </c>
      <c r="Y183" s="108">
        <f>AVERAGE(Z183:AB183)</f>
        <v/>
      </c>
      <c r="Z183" s="108">
        <f>ABS(AL183-AL$1)</f>
        <v/>
      </c>
      <c r="AA183" s="108">
        <f>ABS(AM183-AM$1)</f>
        <v/>
      </c>
      <c r="AB183" s="108">
        <f>ABS(AN183-AN$1)</f>
        <v/>
      </c>
      <c r="AC183" s="108" t="n"/>
      <c r="AD183" s="108" t="n"/>
      <c r="AE183" s="108">
        <f>ABS(AQ$1-AQ183)</f>
        <v/>
      </c>
      <c r="AF183" s="108">
        <f>ABS(AR$1-AR183)</f>
        <v/>
      </c>
      <c r="AG183" s="108">
        <f>ABS(AS$1-AS183)</f>
        <v/>
      </c>
      <c r="AH183" s="108">
        <f>ABS(AT$1-AT183)</f>
        <v/>
      </c>
      <c r="AI183" s="108">
        <f>ABS(AU$1-AU183)</f>
        <v/>
      </c>
      <c r="AJ183" s="108">
        <f>(AV183-Driver!$K$179)/(Driver!$L$179-Driver!$K$179)</f>
        <v/>
      </c>
      <c r="AK183" s="108">
        <f>(AW183-Driver!$K$180)/(Driver!$L$180-Driver!$K$180)</f>
        <v/>
      </c>
      <c r="AL183" s="108">
        <f>(AX183-Driver!$K$181)/(Driver!$L$181-Driver!$K$181)</f>
        <v/>
      </c>
      <c r="AM183" s="108">
        <f>(AY183-Driver!$K$182)/(Driver!$L$182-Driver!$K$182)</f>
        <v/>
      </c>
      <c r="AN183" s="108">
        <f>(AZ183-Driver!$K$183)/(Driver!$L$183-Driver!$K$183)</f>
        <v/>
      </c>
      <c r="AO183" s="108" t="n"/>
      <c r="AP183" s="108" t="n"/>
      <c r="AQ183" s="108">
        <f>(BC183-Driver!$K$188)/(Driver!$L$188-Driver!$K$188)</f>
        <v/>
      </c>
      <c r="AR183" s="108">
        <f>MIN((BD183-Driver!$K$189)/(Driver!$L$189-Driver!$K$189),100%)</f>
        <v/>
      </c>
      <c r="AS183" s="108">
        <f>(BE183-Driver!$K$190)/(Driver!$L$190-Driver!$K$190)</f>
        <v/>
      </c>
      <c r="AT183" s="108">
        <f>(BF183-Driver!$K$191)/(Driver!$L$191-Driver!$K$191)</f>
        <v/>
      </c>
      <c r="AU183" s="108">
        <f>(BG183-Driver!$K$192)/(Driver!$L$192-Driver!$K$192)</f>
        <v/>
      </c>
      <c r="AV183" s="105">
        <f>IFERROR(BM183*BJ183^1/4,"")</f>
        <v/>
      </c>
      <c r="AW183" s="105">
        <f>IFERROR(SUM(AX183:AZ183),"")</f>
        <v/>
      </c>
      <c r="AX183" s="105">
        <f>IFERROR(BH183,"")</f>
        <v/>
      </c>
      <c r="AY183" s="105">
        <f>IFERROR(Driver!$K$19/Data!BH183/Data!BI183*Data!BK183*Data!BL183,"")</f>
        <v/>
      </c>
      <c r="AZ183" s="105">
        <f>IFERROR(BI183*BN183,"")</f>
        <v/>
      </c>
      <c r="BA183" s="105" t="n"/>
      <c r="BB183" s="105" t="n"/>
      <c r="BC183" s="105">
        <f>IFERROR(BI183*BN183*BK183/BJ183^(1/2),"")</f>
        <v/>
      </c>
      <c r="BD183" s="105">
        <f>IFERROR(BH183*BM183*BL183/BJ183/BK183,"")</f>
        <v/>
      </c>
      <c r="BE183" s="105">
        <f>IFERROR(MIN(BI183/BQ183/BP183/BO183/BH183,$BE$1),"")</f>
        <v/>
      </c>
      <c r="BF183" s="105">
        <f>IFERROR(BJ183*BO183*BP183/BK183,"")</f>
        <v/>
      </c>
      <c r="BG183" s="105">
        <f>IFERROR(1/BM183/BH183*BQ183,"")</f>
        <v/>
      </c>
      <c r="BH183" s="102">
        <f>MAX((CE183-Driver!$F$200)/(Driver!$G$200-Driver!$F$200)*$BI$1,1)</f>
        <v/>
      </c>
      <c r="BI183" s="102">
        <f>MAX($BI$1*(BY183-Driver!$F$201)/(Driver!$G$201-Driver!$F$201),1)</f>
        <v/>
      </c>
      <c r="BJ183" s="102">
        <f>(CB183-Driver!$F$206)/(Driver!$G$206-Driver!$F$206)*$BI$1</f>
        <v/>
      </c>
      <c r="BK183" s="102">
        <f>(CD183-Driver!$F$203)/(Driver!$G$203-Driver!$F$203)*$BI$1</f>
        <v/>
      </c>
      <c r="BL183" s="102">
        <f>MAX((CR183-Driver!$F$202)/(Driver!$G$202-Driver!$F$202)*$BI$1,1)</f>
        <v/>
      </c>
      <c r="BM183" s="102">
        <f>MAX((CH183-Driver!$F$204)/(Driver!$G$204-Driver!$F$204)*$BI$1,1)</f>
        <v/>
      </c>
      <c r="BN183" s="102">
        <f>(CI183-Driver!$F$205)/(Driver!$G$205-Driver!$F$205)*$BI$1</f>
        <v/>
      </c>
      <c r="BO183" s="102">
        <f>(CK183-Driver!$F$207)/(Driver!$G$207-Driver!$F$207)*$BI$1</f>
        <v/>
      </c>
      <c r="BP183" s="102">
        <f>(CM183-Driver!$F$208)/(Driver!$G$208-Driver!$F$208)*$BI$1</f>
        <v/>
      </c>
      <c r="BQ183" s="102">
        <f>(CL183-Driver!$F$209)/(Driver!$G$209-Driver!$F$209)*$BI$1</f>
        <v/>
      </c>
      <c r="BR183" s="40" t="inlineStr">
        <is>
          <t>21/22</t>
        </is>
      </c>
      <c r="BS183" s="10" t="inlineStr">
        <is>
          <t xml:space="preserve"> Faction</t>
        </is>
      </c>
      <c r="BT183" s="11" t="inlineStr">
        <is>
          <t>Agent 1.0 X</t>
        </is>
      </c>
      <c r="BU183" s="13" t="n">
        <v>170</v>
      </c>
      <c r="BV183" s="11" t="inlineStr">
        <is>
          <t xml:space="preserve"> Women's</t>
        </is>
      </c>
      <c r="BW183" s="13" t="n">
        <v>170</v>
      </c>
      <c r="BX183" s="13" t="n">
        <v>168.4</v>
      </c>
      <c r="BY183" s="13" t="n">
        <v>130</v>
      </c>
      <c r="BZ183" s="13" t="n">
        <v>143</v>
      </c>
      <c r="CA183" s="13" t="n">
        <v>119</v>
      </c>
      <c r="CB183" s="13" t="n">
        <v>85</v>
      </c>
      <c r="CC183" s="13" t="n">
        <v>109</v>
      </c>
      <c r="CD183" s="13" t="n">
        <v>16.8</v>
      </c>
      <c r="CE183" s="13" t="n">
        <v>1447</v>
      </c>
      <c r="CF183" s="13" t="n">
        <v>1.13</v>
      </c>
      <c r="CG183" s="13" t="n">
        <v>1629</v>
      </c>
      <c r="CH183" s="13" t="n">
        <v>208</v>
      </c>
      <c r="CI183" s="13" t="n">
        <v>96</v>
      </c>
      <c r="CJ183" s="13" t="n">
        <v>50</v>
      </c>
      <c r="CK183" s="13" t="n">
        <v>228</v>
      </c>
      <c r="CL183" s="13" t="n">
        <v>21</v>
      </c>
      <c r="CM183" s="13" t="n">
        <v>157</v>
      </c>
      <c r="CN183" s="13" t="n">
        <v>0.412</v>
      </c>
      <c r="CO183" s="13" t="n">
        <v>148</v>
      </c>
      <c r="CP183" s="13" t="n">
        <v>103</v>
      </c>
      <c r="CQ183" s="13" t="n">
        <v>80</v>
      </c>
      <c r="CR183" s="13" t="n">
        <v>8</v>
      </c>
      <c r="CS183" s="13" t="n">
        <v>9.9</v>
      </c>
      <c r="CT183" s="11" t="inlineStr">
        <is>
          <t xml:space="preserve"> Resort Freeride</t>
        </is>
      </c>
      <c r="CU183" s="11" t="inlineStr">
        <is>
          <t xml:space="preserve"> Touring</t>
        </is>
      </c>
      <c r="CV183" s="13" t="n"/>
      <c r="CW183" s="13" t="n"/>
      <c r="CX183">
        <f>INDEX('Data_Price '!AG$2:AG$1266,MATCH(Data!$DN183,'Data_Price '!$AT$2:$AT$1266,0))</f>
        <v/>
      </c>
      <c r="CY183">
        <f>INDEX('Data_Price '!AH$2:AH$1266,MATCH(Data!$DN183,'Data_Price '!$AT$2:$AT$1266,0))</f>
        <v/>
      </c>
      <c r="CZ183">
        <f>INDEX('Data_Price '!AI$2:AI$1266,MATCH(Data!$DN183,'Data_Price '!$AT$2:$AT$1266,0))</f>
        <v/>
      </c>
      <c r="DA183">
        <f>INDEX('Data_Price '!AJ$2:AJ$1266,MATCH(Data!$DN183,'Data_Price '!$AT$2:$AT$1266,0))</f>
        <v/>
      </c>
      <c r="DB183">
        <f>INDEX('Data_Price '!AK$2:AK$1266,MATCH(Data!$DN183,'Data_Price '!$AT$2:$AT$1266,0))</f>
        <v/>
      </c>
      <c r="DC183">
        <f>INDEX('Data_Price '!AL$2:AL$1266,MATCH(Data!$DN183,'Data_Price '!$AT$2:$AT$1266,0))</f>
        <v/>
      </c>
      <c r="DD183">
        <f>INDEX('Data_Price '!AM$2:AM$1266,MATCH(Data!$DN183,'Data_Price '!$AT$2:$AT$1266,0))</f>
        <v/>
      </c>
      <c r="DE183">
        <f>INDEX('Data_Price '!AN$2:AN$1266,MATCH(Data!$DN183,'Data_Price '!$AT$2:$AT$1266,0))</f>
        <v/>
      </c>
      <c r="DF183">
        <f>INDEX('Data_Price '!AO$2:AO$1266,MATCH(Data!$DN183,'Data_Price '!$AT$2:$AT$1266,0))</f>
        <v/>
      </c>
      <c r="DG183">
        <f>INDEX('Data_Price '!AP$2:AP$1266,MATCH(Data!$DN183,'Data_Price '!$AT$2:$AT$1266,0))</f>
        <v/>
      </c>
      <c r="DH183">
        <f>INDEX('Data_Price '!AQ$2:AQ$1266,MATCH(Data!$DN183,'Data_Price '!$AT$2:$AT$1266,0))</f>
        <v/>
      </c>
      <c r="DI183">
        <f>INDEX('Data_Price '!AR$2:AR$1266,MATCH(Data!$DN183,'Data_Price '!$AT$2:$AT$1266,0))</f>
        <v/>
      </c>
      <c r="DJ183" s="138">
        <f>DA183</f>
        <v/>
      </c>
      <c r="DK183" s="138">
        <f>DE183</f>
        <v/>
      </c>
      <c r="DL183" s="138">
        <f>DI183</f>
        <v/>
      </c>
      <c r="DM183" s="303">
        <f>IF(LEFT(BT183,1)=" ",RIGHT(BT183,LEN(BT183)-1),BT183)</f>
        <v/>
      </c>
      <c r="DN183" s="138">
        <f>_xlfn.CONCAT(BS183,DM183,BU183,BV183)</f>
        <v/>
      </c>
      <c r="DO183" s="307" t="n"/>
    </row>
    <row r="184" ht="15.6" customHeight="1" s="184">
      <c r="B184" s="303">
        <f t="array" ref="B184">IF(OR(ISERROR(K184:P184)),FALSE,TRUE)</f>
        <v/>
      </c>
      <c r="C184" s="60">
        <f>OR(BR184=Driver!$G$50,Data!BR105=Driver!$H$50)</f>
        <v/>
      </c>
      <c r="D184" s="60">
        <f>OR(BV184=Driver!$G$51,BV184=Driver!$H$51)</f>
        <v/>
      </c>
      <c r="E184" s="60">
        <f>AND(BX184&gt;Driver!$F$54,BX184&lt;Driver!$G$54)</f>
        <v/>
      </c>
      <c r="F184" s="60">
        <f>CL184&gt;Driver!$F$56</f>
        <v/>
      </c>
      <c r="G184" s="60">
        <f>AND(CB184&gt;Driver!$F$55,CB184&lt;Driver!$G$55)</f>
        <v/>
      </c>
      <c r="H184" s="60">
        <f>AND(B184:G184)</f>
        <v/>
      </c>
      <c r="I184" s="60">
        <f>COUNTIFS($H$9:$H$1273,TRUE,$BT$9:$BT$1273,BT184)</f>
        <v/>
      </c>
      <c r="J184" s="60">
        <f t="array" ref="J184">NOT(OR(($H$9:$H$1273=TRUE)*($I$9:$I$1273&gt;0)*($BT$9:$BT$1273=BT184)*($K$9:$K$1273&gt;K184)))</f>
        <v/>
      </c>
      <c r="K184" s="108">
        <f>IFERROR(1-AVERAGE(X184:Y184),"")</f>
        <v/>
      </c>
      <c r="L184" s="108">
        <f>1-X184</f>
        <v/>
      </c>
      <c r="M184" s="108">
        <f>1-Y184</f>
        <v/>
      </c>
      <c r="N184" s="108">
        <f>1-Z184</f>
        <v/>
      </c>
      <c r="O184" s="108">
        <f>1-AA184</f>
        <v/>
      </c>
      <c r="P184" s="108">
        <f>1-AB184</f>
        <v/>
      </c>
      <c r="Q184" s="108" t="n"/>
      <c r="R184" s="108" t="n"/>
      <c r="S184" s="108">
        <f>1-AE184</f>
        <v/>
      </c>
      <c r="T184" s="108">
        <f>1-AF184</f>
        <v/>
      </c>
      <c r="U184" s="108">
        <f>1-AG184</f>
        <v/>
      </c>
      <c r="V184" s="108">
        <f>1-AH184</f>
        <v/>
      </c>
      <c r="W184" s="108">
        <f>1-AI184</f>
        <v/>
      </c>
      <c r="X184" s="108">
        <f>ABS(AJ184-AJ$1)</f>
        <v/>
      </c>
      <c r="Y184" s="108">
        <f>AVERAGE(Z184:AB184)</f>
        <v/>
      </c>
      <c r="Z184" s="108">
        <f>ABS(AL184-AL$1)</f>
        <v/>
      </c>
      <c r="AA184" s="108">
        <f>ABS(AM184-AM$1)</f>
        <v/>
      </c>
      <c r="AB184" s="108">
        <f>ABS(AN184-AN$1)</f>
        <v/>
      </c>
      <c r="AC184" s="108" t="n"/>
      <c r="AD184" s="108" t="n"/>
      <c r="AE184" s="108">
        <f>ABS(AQ$1-AQ184)</f>
        <v/>
      </c>
      <c r="AF184" s="108">
        <f>ABS(AR$1-AR184)</f>
        <v/>
      </c>
      <c r="AG184" s="108">
        <f>ABS(AS$1-AS184)</f>
        <v/>
      </c>
      <c r="AH184" s="108">
        <f>ABS(AT$1-AT184)</f>
        <v/>
      </c>
      <c r="AI184" s="108">
        <f>ABS(AU$1-AU184)</f>
        <v/>
      </c>
      <c r="AJ184" s="108">
        <f>(AV184-Driver!$K$179)/(Driver!$L$179-Driver!$K$179)</f>
        <v/>
      </c>
      <c r="AK184" s="108">
        <f>(AW184-Driver!$K$180)/(Driver!$L$180-Driver!$K$180)</f>
        <v/>
      </c>
      <c r="AL184" s="108">
        <f>(AX184-Driver!$K$181)/(Driver!$L$181-Driver!$K$181)</f>
        <v/>
      </c>
      <c r="AM184" s="108">
        <f>(AY184-Driver!$K$182)/(Driver!$L$182-Driver!$K$182)</f>
        <v/>
      </c>
      <c r="AN184" s="108">
        <f>(AZ184-Driver!$K$183)/(Driver!$L$183-Driver!$K$183)</f>
        <v/>
      </c>
      <c r="AO184" s="108" t="n"/>
      <c r="AP184" s="108" t="n"/>
      <c r="AQ184" s="108">
        <f>(BC184-Driver!$K$188)/(Driver!$L$188-Driver!$K$188)</f>
        <v/>
      </c>
      <c r="AR184" s="108">
        <f>MIN((BD184-Driver!$K$189)/(Driver!$L$189-Driver!$K$189),100%)</f>
        <v/>
      </c>
      <c r="AS184" s="108">
        <f>(BE184-Driver!$K$190)/(Driver!$L$190-Driver!$K$190)</f>
        <v/>
      </c>
      <c r="AT184" s="108">
        <f>(BF184-Driver!$K$191)/(Driver!$L$191-Driver!$K$191)</f>
        <v/>
      </c>
      <c r="AU184" s="108">
        <f>(BG184-Driver!$K$192)/(Driver!$L$192-Driver!$K$192)</f>
        <v/>
      </c>
      <c r="AV184" s="105">
        <f>IFERROR(BM184*BJ184^1/4,"")</f>
        <v/>
      </c>
      <c r="AW184" s="105">
        <f>IFERROR(SUM(AX184:AZ184),"")</f>
        <v/>
      </c>
      <c r="AX184" s="105">
        <f>IFERROR(BH184,"")</f>
        <v/>
      </c>
      <c r="AY184" s="105">
        <f>IFERROR(Driver!$K$19/Data!BH184/Data!BI184*Data!BK184*Data!BL184,"")</f>
        <v/>
      </c>
      <c r="AZ184" s="105">
        <f>IFERROR(BI184*BN184,"")</f>
        <v/>
      </c>
      <c r="BA184" s="105" t="n"/>
      <c r="BB184" s="105" t="n"/>
      <c r="BC184" s="105">
        <f>IFERROR(BI184*BN184*BK184/BJ184^(1/2),"")</f>
        <v/>
      </c>
      <c r="BD184" s="105">
        <f>IFERROR(BH184*BM184*BL184/BJ184/BK184,"")</f>
        <v/>
      </c>
      <c r="BE184" s="105">
        <f>IFERROR(MIN(BI184/BQ184/BP184/BO184/BH184,$BE$1),"")</f>
        <v/>
      </c>
      <c r="BF184" s="105">
        <f>IFERROR(BJ184*BO184*BP184/BK184,"")</f>
        <v/>
      </c>
      <c r="BG184" s="105">
        <f>IFERROR(1/BM184/BH184*BQ184,"")</f>
        <v/>
      </c>
      <c r="BH184" s="102">
        <f>MAX((CE184-Driver!$F$200)/(Driver!$G$200-Driver!$F$200)*$BI$1,1)</f>
        <v/>
      </c>
      <c r="BI184" s="102">
        <f>MAX($BI$1*(BY184-Driver!$F$201)/(Driver!$G$201-Driver!$F$201),1)</f>
        <v/>
      </c>
      <c r="BJ184" s="102">
        <f>(CB184-Driver!$F$206)/(Driver!$G$206-Driver!$F$206)*$BI$1</f>
        <v/>
      </c>
      <c r="BK184" s="102">
        <f>(CD184-Driver!$F$203)/(Driver!$G$203-Driver!$F$203)*$BI$1</f>
        <v/>
      </c>
      <c r="BL184" s="102">
        <f>MAX((CR184-Driver!$F$202)/(Driver!$G$202-Driver!$F$202)*$BI$1,1)</f>
        <v/>
      </c>
      <c r="BM184" s="102">
        <f>MAX((CH184-Driver!$F$204)/(Driver!$G$204-Driver!$F$204)*$BI$1,1)</f>
        <v/>
      </c>
      <c r="BN184" s="102">
        <f>(CI184-Driver!$F$205)/(Driver!$G$205-Driver!$F$205)*$BI$1</f>
        <v/>
      </c>
      <c r="BO184" s="102">
        <f>(CK184-Driver!$F$207)/(Driver!$G$207-Driver!$F$207)*$BI$1</f>
        <v/>
      </c>
      <c r="BP184" s="102">
        <f>(CM184-Driver!$F$208)/(Driver!$G$208-Driver!$F$208)*$BI$1</f>
        <v/>
      </c>
      <c r="BQ184" s="102">
        <f>(CL184-Driver!$F$209)/(Driver!$G$209-Driver!$F$209)*$BI$1</f>
        <v/>
      </c>
      <c r="BR184" s="40" t="inlineStr">
        <is>
          <t>21/22</t>
        </is>
      </c>
      <c r="BS184" s="10" t="inlineStr">
        <is>
          <t xml:space="preserve"> Armada</t>
        </is>
      </c>
      <c r="BT184" s="11" t="inlineStr">
        <is>
          <t>Tracer 108</t>
        </is>
      </c>
      <c r="BU184" s="13" t="n">
        <v>172</v>
      </c>
      <c r="BV184" s="11" t="inlineStr">
        <is>
          <t xml:space="preserve"> Unisex</t>
        </is>
      </c>
      <c r="BW184" s="13" t="n">
        <v>172</v>
      </c>
      <c r="BX184" s="13" t="n">
        <v>171.3</v>
      </c>
      <c r="BY184" s="13" t="n">
        <v>118</v>
      </c>
      <c r="BZ184" s="13" t="n">
        <v>135</v>
      </c>
      <c r="CA184" s="13" t="n">
        <v>133</v>
      </c>
      <c r="CB184" s="13" t="n">
        <v>107</v>
      </c>
      <c r="CC184" s="13" t="n">
        <v>125</v>
      </c>
      <c r="CD184" s="13" t="n">
        <v>17.7</v>
      </c>
      <c r="CE184" s="13" t="n">
        <v>1625</v>
      </c>
      <c r="CF184" s="13" t="n">
        <v>1.23</v>
      </c>
      <c r="CG184" s="13" t="n">
        <v>1991</v>
      </c>
      <c r="CH184" s="13" t="n">
        <v>166</v>
      </c>
      <c r="CI184" s="13" t="n">
        <v>92</v>
      </c>
      <c r="CJ184" s="13" t="n">
        <v>47</v>
      </c>
      <c r="CK184" s="13" t="n">
        <v>371</v>
      </c>
      <c r="CL184" s="13" t="n">
        <v>28</v>
      </c>
      <c r="CM184" s="13" t="n">
        <v>162</v>
      </c>
      <c r="CN184" s="13" t="n">
        <v>0.591</v>
      </c>
      <c r="CO184" s="13" t="n">
        <v>212</v>
      </c>
      <c r="CP184" s="13" t="n">
        <v>150</v>
      </c>
      <c r="CQ184" s="13" t="n">
        <v>159</v>
      </c>
      <c r="CR184" s="13" t="n">
        <v>5</v>
      </c>
      <c r="CS184" s="13" t="n">
        <v>10.2</v>
      </c>
      <c r="CT184" s="11" t="inlineStr">
        <is>
          <t xml:space="preserve"> Powder</t>
        </is>
      </c>
      <c r="CU184" s="11" t="inlineStr">
        <is>
          <t xml:space="preserve"> Touring</t>
        </is>
      </c>
      <c r="CV184" s="13" t="n"/>
      <c r="CW184" s="13" t="n"/>
      <c r="CX184">
        <f>INDEX('Data_Price '!AG$2:AG$1266,MATCH(Data!$DN184,'Data_Price '!$AT$2:$AT$1266,0))</f>
        <v/>
      </c>
      <c r="CY184">
        <f>INDEX('Data_Price '!AH$2:AH$1266,MATCH(Data!$DN184,'Data_Price '!$AT$2:$AT$1266,0))</f>
        <v/>
      </c>
      <c r="CZ184">
        <f>INDEX('Data_Price '!AI$2:AI$1266,MATCH(Data!$DN184,'Data_Price '!$AT$2:$AT$1266,0))</f>
        <v/>
      </c>
      <c r="DA184">
        <f>INDEX('Data_Price '!AJ$2:AJ$1266,MATCH(Data!$DN184,'Data_Price '!$AT$2:$AT$1266,0))</f>
        <v/>
      </c>
      <c r="DB184">
        <f>INDEX('Data_Price '!AK$2:AK$1266,MATCH(Data!$DN184,'Data_Price '!$AT$2:$AT$1266,0))</f>
        <v/>
      </c>
      <c r="DC184">
        <f>INDEX('Data_Price '!AL$2:AL$1266,MATCH(Data!$DN184,'Data_Price '!$AT$2:$AT$1266,0))</f>
        <v/>
      </c>
      <c r="DD184">
        <f>INDEX('Data_Price '!AM$2:AM$1266,MATCH(Data!$DN184,'Data_Price '!$AT$2:$AT$1266,0))</f>
        <v/>
      </c>
      <c r="DE184">
        <f>INDEX('Data_Price '!AN$2:AN$1266,MATCH(Data!$DN184,'Data_Price '!$AT$2:$AT$1266,0))</f>
        <v/>
      </c>
      <c r="DF184">
        <f>INDEX('Data_Price '!AO$2:AO$1266,MATCH(Data!$DN184,'Data_Price '!$AT$2:$AT$1266,0))</f>
        <v/>
      </c>
      <c r="DG184">
        <f>INDEX('Data_Price '!AP$2:AP$1266,MATCH(Data!$DN184,'Data_Price '!$AT$2:$AT$1266,0))</f>
        <v/>
      </c>
      <c r="DH184">
        <f>INDEX('Data_Price '!AQ$2:AQ$1266,MATCH(Data!$DN184,'Data_Price '!$AT$2:$AT$1266,0))</f>
        <v/>
      </c>
      <c r="DI184">
        <f>INDEX('Data_Price '!AR$2:AR$1266,MATCH(Data!$DN184,'Data_Price '!$AT$2:$AT$1266,0))</f>
        <v/>
      </c>
      <c r="DJ184" s="138">
        <f>DA184</f>
        <v/>
      </c>
      <c r="DK184" s="138">
        <f>DE184</f>
        <v/>
      </c>
      <c r="DL184" s="138">
        <f>DI184</f>
        <v/>
      </c>
      <c r="DM184" s="303">
        <f>IF(LEFT(BT184,1)=" ",RIGHT(BT184,LEN(BT184)-1),BT184)</f>
        <v/>
      </c>
      <c r="DN184" s="138">
        <f>_xlfn.CONCAT(BS184,DM184,BU184,BV184)</f>
        <v/>
      </c>
      <c r="DO184" s="307" t="inlineStr">
        <is>
          <t>https://images.evo.com/imgp/250/198695/839662/clone.jpg</t>
        </is>
      </c>
    </row>
    <row r="185" ht="15.6" customHeight="1" s="184">
      <c r="B185" s="303">
        <f t="array" ref="B185">IF(OR(ISERROR(K185:P185)),FALSE,TRUE)</f>
        <v/>
      </c>
      <c r="C185" s="60">
        <f>OR(BR185=Driver!$G$50,Data!BR465=Driver!$H$50)</f>
        <v/>
      </c>
      <c r="D185" s="60">
        <f>OR(BV185=Driver!$G$51,BV185=Driver!$H$51)</f>
        <v/>
      </c>
      <c r="E185" s="60">
        <f>AND(BX185&gt;Driver!$F$54,BX185&lt;Driver!$G$54)</f>
        <v/>
      </c>
      <c r="F185" s="60">
        <f>CL185&gt;Driver!$F$56</f>
        <v/>
      </c>
      <c r="G185" s="60">
        <f>AND(CB185&gt;Driver!$F$55,CB185&lt;Driver!$G$55)</f>
        <v/>
      </c>
      <c r="H185" s="60">
        <f>AND(B185:G185)</f>
        <v/>
      </c>
      <c r="I185" s="60">
        <f>COUNTIFS($H$9:$H$1273,TRUE,$BT$9:$BT$1273,BT185)</f>
        <v/>
      </c>
      <c r="J185" s="60">
        <f t="array" ref="J185">NOT(OR(($H$9:$H$1273=TRUE)*($I$9:$I$1273&gt;0)*($BT$9:$BT$1273=BT185)*($K$9:$K$1273&gt;K185)))</f>
        <v/>
      </c>
      <c r="K185" s="108">
        <f>IFERROR(1-AVERAGE(X185:Y185),"")</f>
        <v/>
      </c>
      <c r="L185" s="108">
        <f>1-X185</f>
        <v/>
      </c>
      <c r="M185" s="108">
        <f>1-Y185</f>
        <v/>
      </c>
      <c r="N185" s="108">
        <f>1-Z185</f>
        <v/>
      </c>
      <c r="O185" s="108">
        <f>1-AA185</f>
        <v/>
      </c>
      <c r="P185" s="108">
        <f>1-AB185</f>
        <v/>
      </c>
      <c r="Q185" s="108" t="n"/>
      <c r="R185" s="108" t="n"/>
      <c r="S185" s="108">
        <f>1-AE185</f>
        <v/>
      </c>
      <c r="T185" s="108">
        <f>1-AF185</f>
        <v/>
      </c>
      <c r="U185" s="108">
        <f>1-AG185</f>
        <v/>
      </c>
      <c r="V185" s="108">
        <f>1-AH185</f>
        <v/>
      </c>
      <c r="W185" s="108">
        <f>1-AI185</f>
        <v/>
      </c>
      <c r="X185" s="108">
        <f>ABS(AJ185-AJ$1)</f>
        <v/>
      </c>
      <c r="Y185" s="108">
        <f>AVERAGE(Z185:AB185)</f>
        <v/>
      </c>
      <c r="Z185" s="108">
        <f>ABS(AL185-AL$1)</f>
        <v/>
      </c>
      <c r="AA185" s="108">
        <f>ABS(AM185-AM$1)</f>
        <v/>
      </c>
      <c r="AB185" s="108">
        <f>ABS(AN185-AN$1)</f>
        <v/>
      </c>
      <c r="AC185" s="108" t="n"/>
      <c r="AD185" s="108" t="n"/>
      <c r="AE185" s="108">
        <f>ABS(AQ$1-AQ185)</f>
        <v/>
      </c>
      <c r="AF185" s="108">
        <f>ABS(AR$1-AR185)</f>
        <v/>
      </c>
      <c r="AG185" s="108">
        <f>ABS(AS$1-AS185)</f>
        <v/>
      </c>
      <c r="AH185" s="108">
        <f>ABS(AT$1-AT185)</f>
        <v/>
      </c>
      <c r="AI185" s="108">
        <f>ABS(AU$1-AU185)</f>
        <v/>
      </c>
      <c r="AJ185" s="108">
        <f>(AV185-Driver!$K$179)/(Driver!$L$179-Driver!$K$179)</f>
        <v/>
      </c>
      <c r="AK185" s="108">
        <f>(AW185-Driver!$K$180)/(Driver!$L$180-Driver!$K$180)</f>
        <v/>
      </c>
      <c r="AL185" s="108">
        <f>(AX185-Driver!$K$181)/(Driver!$L$181-Driver!$K$181)</f>
        <v/>
      </c>
      <c r="AM185" s="108">
        <f>(AY185-Driver!$K$182)/(Driver!$L$182-Driver!$K$182)</f>
        <v/>
      </c>
      <c r="AN185" s="108">
        <f>(AZ185-Driver!$K$183)/(Driver!$L$183-Driver!$K$183)</f>
        <v/>
      </c>
      <c r="AO185" s="108" t="n"/>
      <c r="AP185" s="108" t="n"/>
      <c r="AQ185" s="108">
        <f>(BC185-Driver!$K$188)/(Driver!$L$188-Driver!$K$188)</f>
        <v/>
      </c>
      <c r="AR185" s="108">
        <f>MIN((BD185-Driver!$K$189)/(Driver!$L$189-Driver!$K$189),100%)</f>
        <v/>
      </c>
      <c r="AS185" s="108">
        <f>(BE185-Driver!$K$190)/(Driver!$L$190-Driver!$K$190)</f>
        <v/>
      </c>
      <c r="AT185" s="108">
        <f>(BF185-Driver!$K$191)/(Driver!$L$191-Driver!$K$191)</f>
        <v/>
      </c>
      <c r="AU185" s="108">
        <f>(BG185-Driver!$K$192)/(Driver!$L$192-Driver!$K$192)</f>
        <v/>
      </c>
      <c r="AV185" s="105">
        <f>IFERROR(BM185*BJ185^1/4,"")</f>
        <v/>
      </c>
      <c r="AW185" s="105">
        <f>IFERROR(SUM(AX185:AZ185),"")</f>
        <v/>
      </c>
      <c r="AX185" s="105">
        <f>IFERROR(BH185,"")</f>
        <v/>
      </c>
      <c r="AY185" s="105">
        <f>IFERROR(Driver!$K$19/Data!BH185/Data!BI185*Data!BK185*Data!BL185,"")</f>
        <v/>
      </c>
      <c r="AZ185" s="105">
        <f>IFERROR(BI185*BN185,"")</f>
        <v/>
      </c>
      <c r="BA185" s="105" t="n"/>
      <c r="BB185" s="105" t="n"/>
      <c r="BC185" s="105">
        <f>IFERROR(BI185*BN185*BK185/BJ185^(1/2),"")</f>
        <v/>
      </c>
      <c r="BD185" s="105">
        <f>IFERROR(BH185*BM185*BL185/BJ185/BK185,"")</f>
        <v/>
      </c>
      <c r="BE185" s="105">
        <f>IFERROR(MIN(BI185/BQ185/BP185/BO185/BH185,$BE$1),"")</f>
        <v/>
      </c>
      <c r="BF185" s="105">
        <f>IFERROR(BJ185*BO185*BP185/BK185,"")</f>
        <v/>
      </c>
      <c r="BG185" s="105">
        <f>IFERROR(1/BM185/BH185*BQ185,"")</f>
        <v/>
      </c>
      <c r="BH185" s="102">
        <f>MAX((CE185-Driver!$F$200)/(Driver!$G$200-Driver!$F$200)*$BI$1,1)</f>
        <v/>
      </c>
      <c r="BI185" s="102">
        <f>MAX($BI$1*(BY185-Driver!$F$201)/(Driver!$G$201-Driver!$F$201),1)</f>
        <v/>
      </c>
      <c r="BJ185" s="102">
        <f>(CB185-Driver!$F$206)/(Driver!$G$206-Driver!$F$206)*$BI$1</f>
        <v/>
      </c>
      <c r="BK185" s="102">
        <f>(CD185-Driver!$F$203)/(Driver!$G$203-Driver!$F$203)*$BI$1</f>
        <v/>
      </c>
      <c r="BL185" s="102">
        <f>MAX((CR185-Driver!$F$202)/(Driver!$G$202-Driver!$F$202)*$BI$1,1)</f>
        <v/>
      </c>
      <c r="BM185" s="102">
        <f>MAX((CH185-Driver!$F$204)/(Driver!$G$204-Driver!$F$204)*$BI$1,1)</f>
        <v/>
      </c>
      <c r="BN185" s="102">
        <f>(CI185-Driver!$F$205)/(Driver!$G$205-Driver!$F$205)*$BI$1</f>
        <v/>
      </c>
      <c r="BO185" s="102">
        <f>(CK185-Driver!$F$207)/(Driver!$G$207-Driver!$F$207)*$BI$1</f>
        <v/>
      </c>
      <c r="BP185" s="102">
        <f>(CM185-Driver!$F$208)/(Driver!$G$208-Driver!$F$208)*$BI$1</f>
        <v/>
      </c>
      <c r="BQ185" s="102">
        <f>(CL185-Driver!$F$209)/(Driver!$G$209-Driver!$F$209)*$BI$1</f>
        <v/>
      </c>
      <c r="BR185" s="40" t="inlineStr">
        <is>
          <t>21/22</t>
        </is>
      </c>
      <c r="BS185" s="10" t="inlineStr">
        <is>
          <t xml:space="preserve"> Elan</t>
        </is>
      </c>
      <c r="BT185" s="11" t="inlineStr">
        <is>
          <t>Ripstick 96 Black Edition</t>
        </is>
      </c>
      <c r="BU185" s="13" t="n">
        <v>188</v>
      </c>
      <c r="BV185" s="11" t="inlineStr">
        <is>
          <t xml:space="preserve"> Unisex</t>
        </is>
      </c>
      <c r="BW185" s="13" t="n">
        <v>188</v>
      </c>
      <c r="BX185" s="13" t="n">
        <v>184</v>
      </c>
      <c r="BY185" s="13" t="n">
        <v>132</v>
      </c>
      <c r="BZ185" s="13" t="n">
        <v>151</v>
      </c>
      <c r="CA185" s="13" t="n">
        <v>136</v>
      </c>
      <c r="CB185" s="13" t="n">
        <v>94</v>
      </c>
      <c r="CC185" s="13" t="n">
        <v>110</v>
      </c>
      <c r="CD185" s="13" t="n">
        <v>18.9</v>
      </c>
      <c r="CE185" s="13" t="n">
        <v>1775</v>
      </c>
      <c r="CF185" s="13" t="n">
        <v>1.1</v>
      </c>
      <c r="CG185" s="13" t="n">
        <v>1957</v>
      </c>
      <c r="CH185" s="13" t="n">
        <v>261</v>
      </c>
      <c r="CI185" s="13" t="n">
        <v>107</v>
      </c>
      <c r="CJ185" s="13" t="n">
        <v>49</v>
      </c>
      <c r="CK185" s="13" t="n">
        <v>264</v>
      </c>
      <c r="CL185" s="13" t="n">
        <v>18</v>
      </c>
      <c r="CM185" s="13" t="n">
        <v>260</v>
      </c>
      <c r="CN185" s="13" t="n">
        <v>0.371</v>
      </c>
      <c r="CO185" s="13" t="n">
        <v>172</v>
      </c>
      <c r="CP185" s="13" t="n">
        <v>159</v>
      </c>
      <c r="CQ185" s="13" t="n">
        <v>93</v>
      </c>
      <c r="CR185" s="13" t="n">
        <v>5</v>
      </c>
      <c r="CS185" s="13" t="n">
        <v>8.1</v>
      </c>
      <c r="CT185" s="11" t="inlineStr">
        <is>
          <t xml:space="preserve"> Resort Freeride</t>
        </is>
      </c>
      <c r="CU185" s="11" t="inlineStr">
        <is>
          <t xml:space="preserve"> Touring</t>
        </is>
      </c>
      <c r="CV185" s="13" t="n"/>
      <c r="CW185" s="13" t="n"/>
      <c r="CX185">
        <f>INDEX('Data_Price '!AG$2:AG$1266,MATCH(Data!$DN185,'Data_Price '!$AT$2:$AT$1266,0))</f>
        <v/>
      </c>
      <c r="CY185">
        <f>INDEX('Data_Price '!AH$2:AH$1266,MATCH(Data!$DN185,'Data_Price '!$AT$2:$AT$1266,0))</f>
        <v/>
      </c>
      <c r="CZ185">
        <f>INDEX('Data_Price '!AI$2:AI$1266,MATCH(Data!$DN185,'Data_Price '!$AT$2:$AT$1266,0))</f>
        <v/>
      </c>
      <c r="DA185">
        <f>INDEX('Data_Price '!AJ$2:AJ$1266,MATCH(Data!$DN185,'Data_Price '!$AT$2:$AT$1266,0))</f>
        <v/>
      </c>
      <c r="DB185">
        <f>INDEX('Data_Price '!AK$2:AK$1266,MATCH(Data!$DN185,'Data_Price '!$AT$2:$AT$1266,0))</f>
        <v/>
      </c>
      <c r="DC185">
        <f>INDEX('Data_Price '!AL$2:AL$1266,MATCH(Data!$DN185,'Data_Price '!$AT$2:$AT$1266,0))</f>
        <v/>
      </c>
      <c r="DD185">
        <f>INDEX('Data_Price '!AM$2:AM$1266,MATCH(Data!$DN185,'Data_Price '!$AT$2:$AT$1266,0))</f>
        <v/>
      </c>
      <c r="DE185">
        <f>INDEX('Data_Price '!AN$2:AN$1266,MATCH(Data!$DN185,'Data_Price '!$AT$2:$AT$1266,0))</f>
        <v/>
      </c>
      <c r="DF185">
        <f>INDEX('Data_Price '!AO$2:AO$1266,MATCH(Data!$DN185,'Data_Price '!$AT$2:$AT$1266,0))</f>
        <v/>
      </c>
      <c r="DG185">
        <f>INDEX('Data_Price '!AP$2:AP$1266,MATCH(Data!$DN185,'Data_Price '!$AT$2:$AT$1266,0))</f>
        <v/>
      </c>
      <c r="DH185">
        <f>INDEX('Data_Price '!AQ$2:AQ$1266,MATCH(Data!$DN185,'Data_Price '!$AT$2:$AT$1266,0))</f>
        <v/>
      </c>
      <c r="DI185">
        <f>INDEX('Data_Price '!AR$2:AR$1266,MATCH(Data!$DN185,'Data_Price '!$AT$2:$AT$1266,0))</f>
        <v/>
      </c>
      <c r="DJ185" s="138">
        <f>DA185</f>
        <v/>
      </c>
      <c r="DK185" s="138">
        <f>DE185</f>
        <v/>
      </c>
      <c r="DL185" s="138">
        <f>DI185</f>
        <v/>
      </c>
      <c r="DM185" s="303">
        <f>IF(LEFT(BT185,1)=" ",RIGHT(BT185,LEN(BT185)-1),BT185)</f>
        <v/>
      </c>
      <c r="DN185" s="138">
        <f>_xlfn.CONCAT(BS185,DM185,BU185,BV185)</f>
        <v/>
      </c>
      <c r="DO185" s="307" t="inlineStr">
        <is>
          <t>https://images.evo.com/imgp/250/198223/788806/clone.jpg</t>
        </is>
      </c>
    </row>
    <row r="186" ht="15.6" customHeight="1" s="184">
      <c r="B186" s="303">
        <f t="array" ref="B186">IF(OR(ISERROR(K186:P186)),FALSE,TRUE)</f>
        <v/>
      </c>
      <c r="C186" s="60">
        <f>OR(BR186=Driver!$G$50,Data!BR71=Driver!$H$50)</f>
        <v/>
      </c>
      <c r="D186" s="60">
        <f>OR(BV186=Driver!$G$51,BV186=Driver!$H$51)</f>
        <v/>
      </c>
      <c r="E186" s="60">
        <f>AND(BX186&gt;Driver!$F$54,BX186&lt;Driver!$G$54)</f>
        <v/>
      </c>
      <c r="F186" s="60">
        <f>CL186&gt;Driver!$F$56</f>
        <v/>
      </c>
      <c r="G186" s="60">
        <f>AND(CB186&gt;Driver!$F$55,CB186&lt;Driver!$G$55)</f>
        <v/>
      </c>
      <c r="H186" s="60">
        <f>AND(B186:G186)</f>
        <v/>
      </c>
      <c r="I186" s="60">
        <f>COUNTIFS($H$9:$H$1273,TRUE,$BT$9:$BT$1273,BT186)</f>
        <v/>
      </c>
      <c r="J186" s="60">
        <f t="array" ref="J186">NOT(OR(($H$9:$H$1273=TRUE)*($I$9:$I$1273&gt;0)*($BT$9:$BT$1273=BT186)*($K$9:$K$1273&gt;K186)))</f>
        <v/>
      </c>
      <c r="K186" s="108">
        <f>IFERROR(1-AVERAGE(X186:Y186),"")</f>
        <v/>
      </c>
      <c r="L186" s="108">
        <f>1-X186</f>
        <v/>
      </c>
      <c r="M186" s="108">
        <f>1-Y186</f>
        <v/>
      </c>
      <c r="N186" s="108">
        <f>1-Z186</f>
        <v/>
      </c>
      <c r="O186" s="108">
        <f>1-AA186</f>
        <v/>
      </c>
      <c r="P186" s="108">
        <f>1-AB186</f>
        <v/>
      </c>
      <c r="Q186" s="108" t="n"/>
      <c r="R186" s="108" t="n"/>
      <c r="S186" s="108">
        <f>1-AE186</f>
        <v/>
      </c>
      <c r="T186" s="108">
        <f>1-AF186</f>
        <v/>
      </c>
      <c r="U186" s="108">
        <f>1-AG186</f>
        <v/>
      </c>
      <c r="V186" s="108">
        <f>1-AH186</f>
        <v/>
      </c>
      <c r="W186" s="108">
        <f>1-AI186</f>
        <v/>
      </c>
      <c r="X186" s="108">
        <f>ABS(AJ186-AJ$1)</f>
        <v/>
      </c>
      <c r="Y186" s="108">
        <f>AVERAGE(Z186:AB186)</f>
        <v/>
      </c>
      <c r="Z186" s="108">
        <f>ABS(AL186-AL$1)</f>
        <v/>
      </c>
      <c r="AA186" s="108">
        <f>ABS(AM186-AM$1)</f>
        <v/>
      </c>
      <c r="AB186" s="108">
        <f>ABS(AN186-AN$1)</f>
        <v/>
      </c>
      <c r="AC186" s="108" t="n"/>
      <c r="AD186" s="108" t="n"/>
      <c r="AE186" s="108">
        <f>ABS(AQ$1-AQ186)</f>
        <v/>
      </c>
      <c r="AF186" s="108">
        <f>ABS(AR$1-AR186)</f>
        <v/>
      </c>
      <c r="AG186" s="108">
        <f>ABS(AS$1-AS186)</f>
        <v/>
      </c>
      <c r="AH186" s="108">
        <f>ABS(AT$1-AT186)</f>
        <v/>
      </c>
      <c r="AI186" s="108">
        <f>ABS(AU$1-AU186)</f>
        <v/>
      </c>
      <c r="AJ186" s="108">
        <f>(AV186-Driver!$K$179)/(Driver!$L$179-Driver!$K$179)</f>
        <v/>
      </c>
      <c r="AK186" s="108">
        <f>(AW186-Driver!$K$180)/(Driver!$L$180-Driver!$K$180)</f>
        <v/>
      </c>
      <c r="AL186" s="108">
        <f>(AX186-Driver!$K$181)/(Driver!$L$181-Driver!$K$181)</f>
        <v/>
      </c>
      <c r="AM186" s="108">
        <f>(AY186-Driver!$K$182)/(Driver!$L$182-Driver!$K$182)</f>
        <v/>
      </c>
      <c r="AN186" s="108">
        <f>(AZ186-Driver!$K$183)/(Driver!$L$183-Driver!$K$183)</f>
        <v/>
      </c>
      <c r="AO186" s="108" t="n"/>
      <c r="AP186" s="108" t="n"/>
      <c r="AQ186" s="108">
        <f>(BC186-Driver!$K$188)/(Driver!$L$188-Driver!$K$188)</f>
        <v/>
      </c>
      <c r="AR186" s="108">
        <f>MIN((BD186-Driver!$K$189)/(Driver!$L$189-Driver!$K$189),100%)</f>
        <v/>
      </c>
      <c r="AS186" s="108">
        <f>(BE186-Driver!$K$190)/(Driver!$L$190-Driver!$K$190)</f>
        <v/>
      </c>
      <c r="AT186" s="108">
        <f>(BF186-Driver!$K$191)/(Driver!$L$191-Driver!$K$191)</f>
        <v/>
      </c>
      <c r="AU186" s="108">
        <f>(BG186-Driver!$K$192)/(Driver!$L$192-Driver!$K$192)</f>
        <v/>
      </c>
      <c r="AV186" s="105">
        <f>IFERROR(BM186*BJ186^1/4,"")</f>
        <v/>
      </c>
      <c r="AW186" s="105">
        <f>IFERROR(SUM(AX186:AZ186),"")</f>
        <v/>
      </c>
      <c r="AX186" s="105">
        <f>IFERROR(BH186,"")</f>
        <v/>
      </c>
      <c r="AY186" s="105">
        <f>IFERROR(Driver!$K$19/Data!BH186/Data!BI186*Data!BK186*Data!BL186,"")</f>
        <v/>
      </c>
      <c r="AZ186" s="105">
        <f>IFERROR(BI186*BN186,"")</f>
        <v/>
      </c>
      <c r="BA186" s="105" t="n"/>
      <c r="BB186" s="105" t="n"/>
      <c r="BC186" s="105">
        <f>IFERROR(BI186*BN186*BK186/BJ186^(1/2),"")</f>
        <v/>
      </c>
      <c r="BD186" s="105">
        <f>IFERROR(BH186*BM186*BL186/BJ186/BK186,"")</f>
        <v/>
      </c>
      <c r="BE186" s="105">
        <f>IFERROR(MIN(BI186/BQ186/BP186/BO186/BH186,$BE$1),"")</f>
        <v/>
      </c>
      <c r="BF186" s="105">
        <f>IFERROR(BJ186*BO186*BP186/BK186,"")</f>
        <v/>
      </c>
      <c r="BG186" s="105">
        <f>IFERROR(1/BM186/BH186*BQ186,"")</f>
        <v/>
      </c>
      <c r="BH186" s="102">
        <f>MAX((CE186-Driver!$F$200)/(Driver!$G$200-Driver!$F$200)*$BI$1,1)</f>
        <v/>
      </c>
      <c r="BI186" s="102">
        <f>MAX($BI$1*(BY186-Driver!$F$201)/(Driver!$G$201-Driver!$F$201),1)</f>
        <v/>
      </c>
      <c r="BJ186" s="102">
        <f>(CB186-Driver!$F$206)/(Driver!$G$206-Driver!$F$206)*$BI$1</f>
        <v/>
      </c>
      <c r="BK186" s="102">
        <f>(CD186-Driver!$F$203)/(Driver!$G$203-Driver!$F$203)*$BI$1</f>
        <v/>
      </c>
      <c r="BL186" s="102">
        <f>MAX((CR186-Driver!$F$202)/(Driver!$G$202-Driver!$F$202)*$BI$1,1)</f>
        <v/>
      </c>
      <c r="BM186" s="102">
        <f>MAX((CH186-Driver!$F$204)/(Driver!$G$204-Driver!$F$204)*$BI$1,1)</f>
        <v/>
      </c>
      <c r="BN186" s="102">
        <f>(CI186-Driver!$F$205)/(Driver!$G$205-Driver!$F$205)*$BI$1</f>
        <v/>
      </c>
      <c r="BO186" s="102">
        <f>(CK186-Driver!$F$207)/(Driver!$G$207-Driver!$F$207)*$BI$1</f>
        <v/>
      </c>
      <c r="BP186" s="102">
        <f>(CM186-Driver!$F$208)/(Driver!$G$208-Driver!$F$208)*$BI$1</f>
        <v/>
      </c>
      <c r="BQ186" s="102">
        <f>(CL186-Driver!$F$209)/(Driver!$G$209-Driver!$F$209)*$BI$1</f>
        <v/>
      </c>
      <c r="BR186" s="40" t="inlineStr">
        <is>
          <t>21/22</t>
        </is>
      </c>
      <c r="BS186" s="10" t="inlineStr">
        <is>
          <t xml:space="preserve"> Armada</t>
        </is>
      </c>
      <c r="BT186" s="11" t="inlineStr">
        <is>
          <t>Declivity 88 Ca</t>
        </is>
      </c>
      <c r="BU186" s="13" t="n">
        <v>168</v>
      </c>
      <c r="BV186" s="11" t="inlineStr">
        <is>
          <t xml:space="preserve"> Unisex</t>
        </is>
      </c>
      <c r="BW186" s="13" t="n">
        <v>168</v>
      </c>
      <c r="BX186" s="13" t="n">
        <v>167.5</v>
      </c>
      <c r="BY186" s="13" t="n">
        <v>139</v>
      </c>
      <c r="BZ186" s="13" t="n">
        <v>148</v>
      </c>
      <c r="CA186" s="13" t="n">
        <v>129</v>
      </c>
      <c r="CB186" s="13" t="n">
        <v>87</v>
      </c>
      <c r="CC186" s="13" t="n">
        <v>110</v>
      </c>
      <c r="CD186" s="13" t="n">
        <v>17</v>
      </c>
      <c r="CE186" s="13" t="n">
        <v>1562</v>
      </c>
      <c r="CF186" s="13" t="n">
        <v>1.07</v>
      </c>
      <c r="CG186" s="13" t="n">
        <v>1666</v>
      </c>
      <c r="CH186" s="13" t="n">
        <v>236</v>
      </c>
      <c r="CI186" s="13" t="n">
        <v>109</v>
      </c>
      <c r="CJ186" s="13" t="n">
        <v>39</v>
      </c>
      <c r="CK186" s="13" t="n">
        <v>182</v>
      </c>
      <c r="CL186" s="13" t="n">
        <v>9</v>
      </c>
      <c r="CM186" s="13" t="n">
        <v>105</v>
      </c>
      <c r="CN186" s="13" t="n">
        <v>0.239</v>
      </c>
      <c r="CO186" s="13" t="n">
        <v>118</v>
      </c>
      <c r="CP186" s="13" t="n">
        <v>74</v>
      </c>
      <c r="CQ186" s="13" t="n">
        <v>65</v>
      </c>
      <c r="CR186" s="13" t="n">
        <v>5</v>
      </c>
      <c r="CS186" s="13" t="n">
        <v>11.3</v>
      </c>
      <c r="CT186" s="11" t="inlineStr">
        <is>
          <t xml:space="preserve"> Resort Freeride</t>
        </is>
      </c>
      <c r="CU186" s="11" t="inlineStr">
        <is>
          <t xml:space="preserve"> Touring</t>
        </is>
      </c>
      <c r="CV186" s="13" t="n"/>
      <c r="CW186" s="13" t="n"/>
      <c r="CX186">
        <f>INDEX('Data_Price '!AG$2:AG$1266,MATCH(Data!$DN186,'Data_Price '!$AT$2:$AT$1266,0))</f>
        <v/>
      </c>
      <c r="CY186">
        <f>INDEX('Data_Price '!AH$2:AH$1266,MATCH(Data!$DN186,'Data_Price '!$AT$2:$AT$1266,0))</f>
        <v/>
      </c>
      <c r="CZ186">
        <f>INDEX('Data_Price '!AI$2:AI$1266,MATCH(Data!$DN186,'Data_Price '!$AT$2:$AT$1266,0))</f>
        <v/>
      </c>
      <c r="DA186">
        <f>INDEX('Data_Price '!AJ$2:AJ$1266,MATCH(Data!$DN186,'Data_Price '!$AT$2:$AT$1266,0))</f>
        <v/>
      </c>
      <c r="DB186">
        <f>INDEX('Data_Price '!AK$2:AK$1266,MATCH(Data!$DN186,'Data_Price '!$AT$2:$AT$1266,0))</f>
        <v/>
      </c>
      <c r="DC186">
        <f>INDEX('Data_Price '!AL$2:AL$1266,MATCH(Data!$DN186,'Data_Price '!$AT$2:$AT$1266,0))</f>
        <v/>
      </c>
      <c r="DD186">
        <f>INDEX('Data_Price '!AM$2:AM$1266,MATCH(Data!$DN186,'Data_Price '!$AT$2:$AT$1266,0))</f>
        <v/>
      </c>
      <c r="DE186">
        <f>INDEX('Data_Price '!AN$2:AN$1266,MATCH(Data!$DN186,'Data_Price '!$AT$2:$AT$1266,0))</f>
        <v/>
      </c>
      <c r="DF186">
        <f>INDEX('Data_Price '!AO$2:AO$1266,MATCH(Data!$DN186,'Data_Price '!$AT$2:$AT$1266,0))</f>
        <v/>
      </c>
      <c r="DG186">
        <f>INDEX('Data_Price '!AP$2:AP$1266,MATCH(Data!$DN186,'Data_Price '!$AT$2:$AT$1266,0))</f>
        <v/>
      </c>
      <c r="DH186">
        <f>INDEX('Data_Price '!AQ$2:AQ$1266,MATCH(Data!$DN186,'Data_Price '!$AT$2:$AT$1266,0))</f>
        <v/>
      </c>
      <c r="DI186">
        <f>INDEX('Data_Price '!AR$2:AR$1266,MATCH(Data!$DN186,'Data_Price '!$AT$2:$AT$1266,0))</f>
        <v/>
      </c>
      <c r="DJ186" s="138">
        <f>DA186</f>
        <v/>
      </c>
      <c r="DK186" s="138">
        <f>DE186</f>
        <v/>
      </c>
      <c r="DL186" s="138">
        <f>DI186</f>
        <v/>
      </c>
      <c r="DM186" s="303">
        <f>IF(LEFT(BT186,1)=" ",RIGHT(BT186,LEN(BT186)-1),BT186)</f>
        <v/>
      </c>
      <c r="DN186" s="138">
        <f>_xlfn.CONCAT(BS186,DM186,BU186,BV186)</f>
        <v/>
      </c>
      <c r="DO186" s="307" t="n"/>
    </row>
    <row r="187" ht="15.6" customHeight="1" s="184">
      <c r="B187" s="303">
        <f t="array" ref="B187">IF(OR(ISERROR(K187:P187)),FALSE,TRUE)</f>
        <v/>
      </c>
      <c r="C187" s="60">
        <f>OR(BR187=Driver!$G$50,Data!BR495=Driver!$H$50)</f>
        <v/>
      </c>
      <c r="D187" s="60">
        <f>OR(BV187=Driver!$G$51,BV187=Driver!$H$51)</f>
        <v/>
      </c>
      <c r="E187" s="60">
        <f>AND(BX187&gt;Driver!$F$54,BX187&lt;Driver!$G$54)</f>
        <v/>
      </c>
      <c r="F187" s="60">
        <f>CL187&gt;Driver!$F$56</f>
        <v/>
      </c>
      <c r="G187" s="60">
        <f>AND(CB187&gt;Driver!$F$55,CB187&lt;Driver!$G$55)</f>
        <v/>
      </c>
      <c r="H187" s="60">
        <f>AND(B187:G187)</f>
        <v/>
      </c>
      <c r="I187" s="60">
        <f>COUNTIFS($H$9:$H$1273,TRUE,$BT$9:$BT$1273,BT187)</f>
        <v/>
      </c>
      <c r="J187" s="60">
        <f t="array" ref="J187">NOT(OR(($H$9:$H$1273=TRUE)*($I$9:$I$1273&gt;0)*($BT$9:$BT$1273=BT187)*($K$9:$K$1273&gt;K187)))</f>
        <v/>
      </c>
      <c r="K187" s="108">
        <f>IFERROR(1-AVERAGE(X187:Y187),"")</f>
        <v/>
      </c>
      <c r="L187" s="108">
        <f>1-X187</f>
        <v/>
      </c>
      <c r="M187" s="108">
        <f>1-Y187</f>
        <v/>
      </c>
      <c r="N187" s="108">
        <f>1-Z187</f>
        <v/>
      </c>
      <c r="O187" s="108">
        <f>1-AA187</f>
        <v/>
      </c>
      <c r="P187" s="108">
        <f>1-AB187</f>
        <v/>
      </c>
      <c r="Q187" s="108" t="n"/>
      <c r="R187" s="108" t="n"/>
      <c r="S187" s="108">
        <f>1-AE187</f>
        <v/>
      </c>
      <c r="T187" s="108">
        <f>1-AF187</f>
        <v/>
      </c>
      <c r="U187" s="108">
        <f>1-AG187</f>
        <v/>
      </c>
      <c r="V187" s="108">
        <f>1-AH187</f>
        <v/>
      </c>
      <c r="W187" s="108">
        <f>1-AI187</f>
        <v/>
      </c>
      <c r="X187" s="108">
        <f>ABS(AJ187-AJ$1)</f>
        <v/>
      </c>
      <c r="Y187" s="108">
        <f>AVERAGE(Z187:AB187)</f>
        <v/>
      </c>
      <c r="Z187" s="108">
        <f>ABS(AL187-AL$1)</f>
        <v/>
      </c>
      <c r="AA187" s="108">
        <f>ABS(AM187-AM$1)</f>
        <v/>
      </c>
      <c r="AB187" s="108">
        <f>ABS(AN187-AN$1)</f>
        <v/>
      </c>
      <c r="AC187" s="108" t="n"/>
      <c r="AD187" s="108" t="n"/>
      <c r="AE187" s="108">
        <f>ABS(AQ$1-AQ187)</f>
        <v/>
      </c>
      <c r="AF187" s="108">
        <f>ABS(AR$1-AR187)</f>
        <v/>
      </c>
      <c r="AG187" s="108">
        <f>ABS(AS$1-AS187)</f>
        <v/>
      </c>
      <c r="AH187" s="108">
        <f>ABS(AT$1-AT187)</f>
        <v/>
      </c>
      <c r="AI187" s="108">
        <f>ABS(AU$1-AU187)</f>
        <v/>
      </c>
      <c r="AJ187" s="108">
        <f>(AV187-Driver!$K$179)/(Driver!$L$179-Driver!$K$179)</f>
        <v/>
      </c>
      <c r="AK187" s="108">
        <f>(AW187-Driver!$K$180)/(Driver!$L$180-Driver!$K$180)</f>
        <v/>
      </c>
      <c r="AL187" s="108">
        <f>(AX187-Driver!$K$181)/(Driver!$L$181-Driver!$K$181)</f>
        <v/>
      </c>
      <c r="AM187" s="108">
        <f>(AY187-Driver!$K$182)/(Driver!$L$182-Driver!$K$182)</f>
        <v/>
      </c>
      <c r="AN187" s="108">
        <f>(AZ187-Driver!$K$183)/(Driver!$L$183-Driver!$K$183)</f>
        <v/>
      </c>
      <c r="AO187" s="108" t="n"/>
      <c r="AP187" s="108" t="n"/>
      <c r="AQ187" s="108">
        <f>(BC187-Driver!$K$188)/(Driver!$L$188-Driver!$K$188)</f>
        <v/>
      </c>
      <c r="AR187" s="108">
        <f>MIN((BD187-Driver!$K$189)/(Driver!$L$189-Driver!$K$189),100%)</f>
        <v/>
      </c>
      <c r="AS187" s="108">
        <f>(BE187-Driver!$K$190)/(Driver!$L$190-Driver!$K$190)</f>
        <v/>
      </c>
      <c r="AT187" s="108">
        <f>(BF187-Driver!$K$191)/(Driver!$L$191-Driver!$K$191)</f>
        <v/>
      </c>
      <c r="AU187" s="108">
        <f>(BG187-Driver!$K$192)/(Driver!$L$192-Driver!$K$192)</f>
        <v/>
      </c>
      <c r="AV187" s="105">
        <f>IFERROR(BM187*BJ187^1/4,"")</f>
        <v/>
      </c>
      <c r="AW187" s="105">
        <f>IFERROR(SUM(AX187:AZ187),"")</f>
        <v/>
      </c>
      <c r="AX187" s="105">
        <f>IFERROR(BH187,"")</f>
        <v/>
      </c>
      <c r="AY187" s="105">
        <f>IFERROR(Driver!$K$19/Data!BH187/Data!BI187*Data!BK187*Data!BL187,"")</f>
        <v/>
      </c>
      <c r="AZ187" s="105">
        <f>IFERROR(BI187*BN187,"")</f>
        <v/>
      </c>
      <c r="BA187" s="105" t="n"/>
      <c r="BB187" s="105" t="n"/>
      <c r="BC187" s="105">
        <f>IFERROR(BI187*BN187*BK187/BJ187^(1/2),"")</f>
        <v/>
      </c>
      <c r="BD187" s="105">
        <f>IFERROR(BH187*BM187*BL187/BJ187/BK187,"")</f>
        <v/>
      </c>
      <c r="BE187" s="105">
        <f>IFERROR(MIN(BI187/BQ187/BP187/BO187/BH187,$BE$1),"")</f>
        <v/>
      </c>
      <c r="BF187" s="105">
        <f>IFERROR(BJ187*BO187*BP187/BK187,"")</f>
        <v/>
      </c>
      <c r="BG187" s="105">
        <f>IFERROR(1/BM187/BH187*BQ187,"")</f>
        <v/>
      </c>
      <c r="BH187" s="102">
        <f>MAX((CE187-Driver!$F$200)/(Driver!$G$200-Driver!$F$200)*$BI$1,1)</f>
        <v/>
      </c>
      <c r="BI187" s="102">
        <f>MAX($BI$1*(BY187-Driver!$F$201)/(Driver!$G$201-Driver!$F$201),1)</f>
        <v/>
      </c>
      <c r="BJ187" s="102">
        <f>(CB187-Driver!$F$206)/(Driver!$G$206-Driver!$F$206)*$BI$1</f>
        <v/>
      </c>
      <c r="BK187" s="102">
        <f>(CD187-Driver!$F$203)/(Driver!$G$203-Driver!$F$203)*$BI$1</f>
        <v/>
      </c>
      <c r="BL187" s="102">
        <f>MAX((CR187-Driver!$F$202)/(Driver!$G$202-Driver!$F$202)*$BI$1,1)</f>
        <v/>
      </c>
      <c r="BM187" s="102">
        <f>MAX((CH187-Driver!$F$204)/(Driver!$G$204-Driver!$F$204)*$BI$1,1)</f>
        <v/>
      </c>
      <c r="BN187" s="102">
        <f>(CI187-Driver!$F$205)/(Driver!$G$205-Driver!$F$205)*$BI$1</f>
        <v/>
      </c>
      <c r="BO187" s="102">
        <f>(CK187-Driver!$F$207)/(Driver!$G$207-Driver!$F$207)*$BI$1</f>
        <v/>
      </c>
      <c r="BP187" s="102">
        <f>(CM187-Driver!$F$208)/(Driver!$G$208-Driver!$F$208)*$BI$1</f>
        <v/>
      </c>
      <c r="BQ187" s="102">
        <f>(CL187-Driver!$F$209)/(Driver!$G$209-Driver!$F$209)*$BI$1</f>
        <v/>
      </c>
      <c r="BR187" s="40" t="inlineStr">
        <is>
          <t>21/22</t>
        </is>
      </c>
      <c r="BS187" s="10" t="inlineStr">
        <is>
          <t xml:space="preserve"> Faction</t>
        </is>
      </c>
      <c r="BT187" s="11" t="inlineStr">
        <is>
          <t>Agent 3.0</t>
        </is>
      </c>
      <c r="BU187" s="13" t="n">
        <v>180</v>
      </c>
      <c r="BV187" s="11" t="inlineStr">
        <is>
          <t xml:space="preserve"> Unisex</t>
        </is>
      </c>
      <c r="BW187" s="13" t="n">
        <v>180</v>
      </c>
      <c r="BX187" s="13" t="n">
        <v>178.8</v>
      </c>
      <c r="BY187" s="13" t="n">
        <v>132</v>
      </c>
      <c r="BZ187" s="13" t="n">
        <v>147</v>
      </c>
      <c r="CA187" s="13" t="n">
        <v>134</v>
      </c>
      <c r="CB187" s="13" t="n">
        <v>106</v>
      </c>
      <c r="CC187" s="13" t="n">
        <v>124</v>
      </c>
      <c r="CD187" s="13" t="n">
        <v>21</v>
      </c>
      <c r="CE187" s="13" t="n">
        <v>1752</v>
      </c>
      <c r="CF187" s="13" t="n">
        <v>1.18</v>
      </c>
      <c r="CG187" s="13" t="n">
        <v>2059</v>
      </c>
      <c r="CH187" s="13" t="n">
        <v>223</v>
      </c>
      <c r="CI187" s="13" t="n">
        <v>106</v>
      </c>
      <c r="CJ187" s="13" t="n">
        <v>51</v>
      </c>
      <c r="CK187" s="13" t="n">
        <v>275</v>
      </c>
      <c r="CL187" s="13" t="n">
        <v>20</v>
      </c>
      <c r="CM187" s="13" t="n">
        <v>194</v>
      </c>
      <c r="CN187" s="13" t="n">
        <v>0.391</v>
      </c>
      <c r="CO187" s="13" t="n">
        <v>198</v>
      </c>
      <c r="CP187" s="13" t="n">
        <v>116</v>
      </c>
      <c r="CQ187" s="13" t="n">
        <v>77</v>
      </c>
      <c r="CR187" s="13" t="n">
        <v>5</v>
      </c>
      <c r="CS187" s="13" t="n">
        <v>11.5</v>
      </c>
      <c r="CT187" s="11" t="inlineStr">
        <is>
          <t xml:space="preserve"> Powder</t>
        </is>
      </c>
      <c r="CU187" s="11" t="inlineStr">
        <is>
          <t xml:space="preserve"> Big Mountain</t>
        </is>
      </c>
      <c r="CV187" s="11" t="inlineStr">
        <is>
          <t xml:space="preserve"> Touring</t>
        </is>
      </c>
      <c r="CW187" s="13" t="n"/>
      <c r="CX187">
        <f>INDEX('Data_Price '!AG$2:AG$1266,MATCH(Data!$DN187,'Data_Price '!$AT$2:$AT$1266,0))</f>
        <v/>
      </c>
      <c r="CY187">
        <f>INDEX('Data_Price '!AH$2:AH$1266,MATCH(Data!$DN187,'Data_Price '!$AT$2:$AT$1266,0))</f>
        <v/>
      </c>
      <c r="CZ187">
        <f>INDEX('Data_Price '!AI$2:AI$1266,MATCH(Data!$DN187,'Data_Price '!$AT$2:$AT$1266,0))</f>
        <v/>
      </c>
      <c r="DA187">
        <f>INDEX('Data_Price '!AJ$2:AJ$1266,MATCH(Data!$DN187,'Data_Price '!$AT$2:$AT$1266,0))</f>
        <v/>
      </c>
      <c r="DB187">
        <f>INDEX('Data_Price '!AK$2:AK$1266,MATCH(Data!$DN187,'Data_Price '!$AT$2:$AT$1266,0))</f>
        <v/>
      </c>
      <c r="DC187">
        <f>INDEX('Data_Price '!AL$2:AL$1266,MATCH(Data!$DN187,'Data_Price '!$AT$2:$AT$1266,0))</f>
        <v/>
      </c>
      <c r="DD187">
        <f>INDEX('Data_Price '!AM$2:AM$1266,MATCH(Data!$DN187,'Data_Price '!$AT$2:$AT$1266,0))</f>
        <v/>
      </c>
      <c r="DE187">
        <f>INDEX('Data_Price '!AN$2:AN$1266,MATCH(Data!$DN187,'Data_Price '!$AT$2:$AT$1266,0))</f>
        <v/>
      </c>
      <c r="DF187">
        <f>INDEX('Data_Price '!AO$2:AO$1266,MATCH(Data!$DN187,'Data_Price '!$AT$2:$AT$1266,0))</f>
        <v/>
      </c>
      <c r="DG187">
        <f>INDEX('Data_Price '!AP$2:AP$1266,MATCH(Data!$DN187,'Data_Price '!$AT$2:$AT$1266,0))</f>
        <v/>
      </c>
      <c r="DH187">
        <f>INDEX('Data_Price '!AQ$2:AQ$1266,MATCH(Data!$DN187,'Data_Price '!$AT$2:$AT$1266,0))</f>
        <v/>
      </c>
      <c r="DI187">
        <f>INDEX('Data_Price '!AR$2:AR$1266,MATCH(Data!$DN187,'Data_Price '!$AT$2:$AT$1266,0))</f>
        <v/>
      </c>
      <c r="DJ187" s="138">
        <f>DA187</f>
        <v/>
      </c>
      <c r="DK187" s="138">
        <f>DE187</f>
        <v/>
      </c>
      <c r="DL187" s="138">
        <f>DI187</f>
        <v/>
      </c>
      <c r="DM187" s="303">
        <f>IF(LEFT(BT187,1)=" ",RIGHT(BT187,LEN(BT187)-1),BT187)</f>
        <v/>
      </c>
      <c r="DN187" s="138">
        <f>_xlfn.CONCAT(BS187,DM187,BU187,BV187)</f>
        <v/>
      </c>
      <c r="DO187" s="307" t="inlineStr">
        <is>
          <t>https://images.evo.com/imgp/250/181980/733532/faction-agent-3-0-skis-2022-.jpg</t>
        </is>
      </c>
    </row>
    <row r="188" ht="15.6" customHeight="1" s="184">
      <c r="A188" s="303">
        <f>ROW()</f>
        <v/>
      </c>
      <c r="B188" s="303">
        <f t="array" ref="B188">IF(OR(ISERROR(K188:P188)),FALSE,TRUE)</f>
        <v/>
      </c>
      <c r="C188" s="60">
        <f>OR(BR188=Driver!$G$50,Data!BR912=Driver!$H$50)</f>
        <v/>
      </c>
      <c r="D188" s="60">
        <f>OR(BV188=Driver!$G$51,BV188=Driver!$H$51)</f>
        <v/>
      </c>
      <c r="E188" s="60">
        <f>AND(BX188&gt;Driver!$F$54,BX188&lt;Driver!$G$54)</f>
        <v/>
      </c>
      <c r="F188" s="60">
        <f>CL188&gt;Driver!$F$56</f>
        <v/>
      </c>
      <c r="G188" s="60">
        <f>AND(CB188&gt;Driver!$F$55,CB188&lt;Driver!$G$55)</f>
        <v/>
      </c>
      <c r="H188" s="60">
        <f>AND(B188:G188)</f>
        <v/>
      </c>
      <c r="I188" s="60">
        <f>COUNTIFS($H$9:$H$1273,TRUE,$BT$9:$BT$1273,BT188)</f>
        <v/>
      </c>
      <c r="J188" s="60">
        <f t="array" ref="J188">NOT(OR(($H$9:$H$1273=TRUE)*($I$9:$I$1273&gt;0)*($BT$9:$BT$1273=BT188)*($K$9:$K$1273&gt;K188)))</f>
        <v/>
      </c>
      <c r="K188" s="108">
        <f>IFERROR(1-AVERAGE(X188:Y188),"")</f>
        <v/>
      </c>
      <c r="L188" s="108">
        <f>1-X188</f>
        <v/>
      </c>
      <c r="M188" s="108">
        <f>1-Y188</f>
        <v/>
      </c>
      <c r="N188" s="108">
        <f>1-Z188</f>
        <v/>
      </c>
      <c r="O188" s="108">
        <f>1-AA188</f>
        <v/>
      </c>
      <c r="P188" s="108">
        <f>1-AB188</f>
        <v/>
      </c>
      <c r="Q188" s="108" t="n"/>
      <c r="R188" s="108" t="n"/>
      <c r="S188" s="108">
        <f>1-AE188</f>
        <v/>
      </c>
      <c r="T188" s="108">
        <f>1-AF188</f>
        <v/>
      </c>
      <c r="U188" s="108">
        <f>1-AG188</f>
        <v/>
      </c>
      <c r="V188" s="108">
        <f>1-AH188</f>
        <v/>
      </c>
      <c r="W188" s="108">
        <f>1-AI188</f>
        <v/>
      </c>
      <c r="X188" s="108">
        <f>ABS(AJ188-AJ$1)</f>
        <v/>
      </c>
      <c r="Y188" s="108">
        <f>AVERAGE(Z188:AB188)</f>
        <v/>
      </c>
      <c r="Z188" s="108">
        <f>ABS(AL188-AL$1)</f>
        <v/>
      </c>
      <c r="AA188" s="108">
        <f>ABS(AM188-AM$1)</f>
        <v/>
      </c>
      <c r="AB188" s="108">
        <f>ABS(AN188-AN$1)</f>
        <v/>
      </c>
      <c r="AC188" s="108" t="n"/>
      <c r="AD188" s="108" t="n"/>
      <c r="AE188" s="108">
        <f>ABS(AQ$1-AQ188)</f>
        <v/>
      </c>
      <c r="AF188" s="108">
        <f>ABS(AR$1-AR188)</f>
        <v/>
      </c>
      <c r="AG188" s="108">
        <f>ABS(AS$1-AS188)</f>
        <v/>
      </c>
      <c r="AH188" s="108">
        <f>ABS(AT$1-AT188)</f>
        <v/>
      </c>
      <c r="AI188" s="108">
        <f>ABS(AU$1-AU188)</f>
        <v/>
      </c>
      <c r="AJ188" s="108">
        <f>(AV188-Driver!$K$179)/(Driver!$L$179-Driver!$K$179)</f>
        <v/>
      </c>
      <c r="AK188" s="108">
        <f>(AW188-Driver!$K$180)/(Driver!$L$180-Driver!$K$180)</f>
        <v/>
      </c>
      <c r="AL188" s="108">
        <f>(AX188-Driver!$K$181)/(Driver!$L$181-Driver!$K$181)</f>
        <v/>
      </c>
      <c r="AM188" s="108">
        <f>(AY188-Driver!$K$182)/(Driver!$L$182-Driver!$K$182)</f>
        <v/>
      </c>
      <c r="AN188" s="108">
        <f>(AZ188-Driver!$K$183)/(Driver!$L$183-Driver!$K$183)</f>
        <v/>
      </c>
      <c r="AO188" s="108" t="n"/>
      <c r="AP188" s="108" t="n"/>
      <c r="AQ188" s="108">
        <f>(BC188-Driver!$K$188)/(Driver!$L$188-Driver!$K$188)</f>
        <v/>
      </c>
      <c r="AR188" s="108">
        <f>MIN((BD188-Driver!$K$189)/(Driver!$L$189-Driver!$K$189),100%)</f>
        <v/>
      </c>
      <c r="AS188" s="108">
        <f>(BE188-Driver!$K$190)/(Driver!$L$190-Driver!$K$190)</f>
        <v/>
      </c>
      <c r="AT188" s="108">
        <f>(BF188-Driver!$K$191)/(Driver!$L$191-Driver!$K$191)</f>
        <v/>
      </c>
      <c r="AU188" s="108">
        <f>(BG188-Driver!$K$192)/(Driver!$L$192-Driver!$K$192)</f>
        <v/>
      </c>
      <c r="AV188" s="105">
        <f>IFERROR(BM188*BJ188^1/4,"")</f>
        <v/>
      </c>
      <c r="AW188" s="105">
        <f>IFERROR(SUM(AX188:AZ188),"")</f>
        <v/>
      </c>
      <c r="AX188" s="105">
        <f>IFERROR(BH188,"")</f>
        <v/>
      </c>
      <c r="AY188" s="105">
        <f>IFERROR(Driver!$K$19/Data!BH387/Data!BI387*Data!BK387*Data!BL387,"")</f>
        <v/>
      </c>
      <c r="AZ188" s="105">
        <f>IFERROR(BI188*BN188,"")</f>
        <v/>
      </c>
      <c r="BA188" s="105" t="n"/>
      <c r="BB188" s="105" t="n"/>
      <c r="BC188" s="105">
        <f>IFERROR(BI188*BN188*BK188/BJ188^(1/2),"")</f>
        <v/>
      </c>
      <c r="BD188" s="105">
        <f>IFERROR(BH188*BM188*BL188/BJ188/BK188,"")</f>
        <v/>
      </c>
      <c r="BE188" s="105">
        <f>IFERROR(MIN(BI188/BQ188/BP188/BO188/BH188,$BE$1),"")</f>
        <v/>
      </c>
      <c r="BF188" s="105">
        <f>IFERROR(BJ188*BO188*BP188/BK188,"")</f>
        <v/>
      </c>
      <c r="BG188" s="105">
        <f>IFERROR(1/BM188/BH188*BQ188,"")</f>
        <v/>
      </c>
      <c r="BH188" s="102">
        <f>MAX((CE188-Driver!$F$200)/(Driver!$G$200-Driver!$F$200)*$BI$1,1)</f>
        <v/>
      </c>
      <c r="BI188" s="102">
        <f>MAX($BI$1*(BY188-Driver!$F$201)/(Driver!$G$201-Driver!$F$201),1)</f>
        <v/>
      </c>
      <c r="BJ188" s="102">
        <f>(CB188-Driver!$F$206)/(Driver!$G$206-Driver!$F$206)*$BI$1</f>
        <v/>
      </c>
      <c r="BK188" s="102">
        <f>(CD188-Driver!$F$203)/(Driver!$G$203-Driver!$F$203)*$BI$1</f>
        <v/>
      </c>
      <c r="BL188" s="102">
        <f>MAX((CR188-Driver!$F$202)/(Driver!$G$202-Driver!$F$202)*$BI$1,1)</f>
        <v/>
      </c>
      <c r="BM188" s="102">
        <f>MAX((CH188-Driver!$F$204)/(Driver!$G$204-Driver!$F$204)*$BI$1,1)</f>
        <v/>
      </c>
      <c r="BN188" s="102">
        <f>(CI188-Driver!$F$205)/(Driver!$G$205-Driver!$F$205)*$BI$1</f>
        <v/>
      </c>
      <c r="BO188" s="102">
        <f>(CK188-Driver!$F$207)/(Driver!$G$207-Driver!$F$207)*$BI$1</f>
        <v/>
      </c>
      <c r="BP188" s="102">
        <f>(CM188-Driver!$F$208)/(Driver!$G$208-Driver!$F$208)*$BI$1</f>
        <v/>
      </c>
      <c r="BQ188" s="102">
        <f>(CL188-Driver!$F$209)/(Driver!$G$209-Driver!$F$209)*$BI$1</f>
        <v/>
      </c>
      <c r="BR188" s="40" t="inlineStr">
        <is>
          <t>21/22</t>
        </is>
      </c>
      <c r="BS188" s="10" t="inlineStr">
        <is>
          <t xml:space="preserve"> Nordica</t>
        </is>
      </c>
      <c r="BT188" s="11" t="inlineStr">
        <is>
          <t>Santa Ana 104 Free</t>
        </is>
      </c>
      <c r="BU188" s="13" t="n">
        <v>158</v>
      </c>
      <c r="BV188" s="11" t="inlineStr">
        <is>
          <t xml:space="preserve"> Women's</t>
        </is>
      </c>
      <c r="BW188" s="13" t="n">
        <v>158</v>
      </c>
      <c r="BX188" s="13" t="n">
        <v>157.3</v>
      </c>
      <c r="BY188" s="13" t="n">
        <v>109</v>
      </c>
      <c r="BZ188" s="13" t="n">
        <v>130</v>
      </c>
      <c r="CA188" s="13" t="n">
        <v>132</v>
      </c>
      <c r="CB188" s="13" t="n">
        <v>103</v>
      </c>
      <c r="CC188" s="13" t="n">
        <v>123</v>
      </c>
      <c r="CD188" s="13" t="n">
        <v>15.3</v>
      </c>
      <c r="CE188" s="13" t="n">
        <v>1713</v>
      </c>
      <c r="CF188" s="13" t="n">
        <v>1.03</v>
      </c>
      <c r="CG188" s="13" t="n">
        <v>1771</v>
      </c>
      <c r="CH188" s="13" t="n">
        <v>174</v>
      </c>
      <c r="CI188" s="13" t="n">
        <v>88</v>
      </c>
      <c r="CJ188" s="13" t="n">
        <v>44</v>
      </c>
      <c r="CK188" s="13" t="n">
        <v>263</v>
      </c>
      <c r="CL188" s="13" t="n">
        <v>32</v>
      </c>
      <c r="CM188" s="13" t="n">
        <v>219</v>
      </c>
      <c r="CN188" s="13" t="n">
        <v>0.719</v>
      </c>
      <c r="CO188" s="13" t="n">
        <v>133</v>
      </c>
      <c r="CP188" s="13" t="n">
        <v>144</v>
      </c>
      <c r="CQ188" s="13" t="n">
        <v>131</v>
      </c>
      <c r="CR188" s="13" t="n">
        <v>8</v>
      </c>
      <c r="CS188" s="13" t="n">
        <v>8.5</v>
      </c>
      <c r="CT188" s="11" t="inlineStr">
        <is>
          <t xml:space="preserve"> Resort Freeride</t>
        </is>
      </c>
      <c r="CU188" s="11" t="inlineStr">
        <is>
          <t xml:space="preserve"> Powder</t>
        </is>
      </c>
      <c r="CV188" s="13" t="n"/>
      <c r="CW188" s="13" t="n"/>
      <c r="CX188">
        <f>INDEX('Data_Price '!AG$2:AG$1266,MATCH(Data!$DN188,'Data_Price '!$AT$2:$AT$1266,0))</f>
        <v/>
      </c>
      <c r="CY188">
        <f>INDEX('Data_Price '!AH$2:AH$1266,MATCH(Data!$DN188,'Data_Price '!$AT$2:$AT$1266,0))</f>
        <v/>
      </c>
      <c r="CZ188">
        <f>INDEX('Data_Price '!AI$2:AI$1266,MATCH(Data!$DN188,'Data_Price '!$AT$2:$AT$1266,0))</f>
        <v/>
      </c>
      <c r="DA188">
        <f>INDEX('Data_Price '!AJ$2:AJ$1266,MATCH(Data!$DN188,'Data_Price '!$AT$2:$AT$1266,0))</f>
        <v/>
      </c>
      <c r="DB188">
        <f>INDEX('Data_Price '!AK$2:AK$1266,MATCH(Data!$DN188,'Data_Price '!$AT$2:$AT$1266,0))</f>
        <v/>
      </c>
      <c r="DC188">
        <f>INDEX('Data_Price '!AL$2:AL$1266,MATCH(Data!$DN188,'Data_Price '!$AT$2:$AT$1266,0))</f>
        <v/>
      </c>
      <c r="DD188">
        <f>INDEX('Data_Price '!AM$2:AM$1266,MATCH(Data!$DN188,'Data_Price '!$AT$2:$AT$1266,0))</f>
        <v/>
      </c>
      <c r="DE188">
        <f>INDEX('Data_Price '!AN$2:AN$1266,MATCH(Data!$DN188,'Data_Price '!$AT$2:$AT$1266,0))</f>
        <v/>
      </c>
      <c r="DF188">
        <f>INDEX('Data_Price '!AO$2:AO$1266,MATCH(Data!$DN188,'Data_Price '!$AT$2:$AT$1266,0))</f>
        <v/>
      </c>
      <c r="DG188">
        <f>INDEX('Data_Price '!AP$2:AP$1266,MATCH(Data!$DN188,'Data_Price '!$AT$2:$AT$1266,0))</f>
        <v/>
      </c>
      <c r="DH188">
        <f>INDEX('Data_Price '!AQ$2:AQ$1266,MATCH(Data!$DN188,'Data_Price '!$AT$2:$AT$1266,0))</f>
        <v/>
      </c>
      <c r="DI188">
        <f>INDEX('Data_Price '!AR$2:AR$1266,MATCH(Data!$DN188,'Data_Price '!$AT$2:$AT$1266,0))</f>
        <v/>
      </c>
      <c r="DJ188" s="138">
        <f>DA188</f>
        <v/>
      </c>
      <c r="DK188" s="138">
        <f>DE188</f>
        <v/>
      </c>
      <c r="DL188" s="138">
        <f>DI188</f>
        <v/>
      </c>
      <c r="DM188" s="303">
        <f>IF(LEFT(BT188,1)=" ",RIGHT(BT188,LEN(BT188)-1),BT188)</f>
        <v/>
      </c>
      <c r="DN188" s="138">
        <f>_xlfn.CONCAT(BS188,DM188,BU188,BV188)</f>
        <v/>
      </c>
      <c r="DO188" s="307" t="n"/>
    </row>
    <row r="189" ht="15.6" customHeight="1" s="184">
      <c r="B189" s="303">
        <f t="array" ref="B189">IF(OR(ISERROR(K189:P189)),FALSE,TRUE)</f>
        <v/>
      </c>
      <c r="C189" s="60">
        <f>OR(BR189=Driver!$G$50,Data!BR980=Driver!$H$50)</f>
        <v/>
      </c>
      <c r="D189" s="60">
        <f>OR(BV189=Driver!$G$51,BV189=Driver!$H$51)</f>
        <v/>
      </c>
      <c r="E189" s="60">
        <f>AND(BX189&gt;Driver!$F$54,BX189&lt;Driver!$G$54)</f>
        <v/>
      </c>
      <c r="F189" s="60">
        <f>CL189&gt;Driver!$F$56</f>
        <v/>
      </c>
      <c r="G189" s="60">
        <f>AND(CB189&gt;Driver!$F$55,CB189&lt;Driver!$G$55)</f>
        <v/>
      </c>
      <c r="H189" s="60">
        <f>AND(B189:G189)</f>
        <v/>
      </c>
      <c r="I189" s="60">
        <f>COUNTIFS($H$9:$H$1273,TRUE,$BT$9:$BT$1273,BT189)</f>
        <v/>
      </c>
      <c r="J189" s="60">
        <f t="array" ref="J189">NOT(OR(($H$9:$H$1273=TRUE)*($I$9:$I$1273&gt;0)*($BT$9:$BT$1273=BT189)*($K$9:$K$1273&gt;K189)))</f>
        <v/>
      </c>
      <c r="K189" s="108">
        <f>IFERROR(1-AVERAGE(X189:Y189),"")</f>
        <v/>
      </c>
      <c r="L189" s="108">
        <f>1-X189</f>
        <v/>
      </c>
      <c r="M189" s="108">
        <f>1-Y189</f>
        <v/>
      </c>
      <c r="N189" s="108">
        <f>1-Z189</f>
        <v/>
      </c>
      <c r="O189" s="108">
        <f>1-AA189</f>
        <v/>
      </c>
      <c r="P189" s="108">
        <f>1-AB189</f>
        <v/>
      </c>
      <c r="Q189" s="108" t="n"/>
      <c r="R189" s="108" t="n"/>
      <c r="S189" s="108">
        <f>1-AE189</f>
        <v/>
      </c>
      <c r="T189" s="108">
        <f>1-AF189</f>
        <v/>
      </c>
      <c r="U189" s="108">
        <f>1-AG189</f>
        <v/>
      </c>
      <c r="V189" s="108">
        <f>1-AH189</f>
        <v/>
      </c>
      <c r="W189" s="108">
        <f>1-AI189</f>
        <v/>
      </c>
      <c r="X189" s="108">
        <f>ABS(AJ189-AJ$1)</f>
        <v/>
      </c>
      <c r="Y189" s="108">
        <f>AVERAGE(Z189:AB189)</f>
        <v/>
      </c>
      <c r="Z189" s="108">
        <f>ABS(AL189-AL$1)</f>
        <v/>
      </c>
      <c r="AA189" s="108">
        <f>ABS(AM189-AM$1)</f>
        <v/>
      </c>
      <c r="AB189" s="108">
        <f>ABS(AN189-AN$1)</f>
        <v/>
      </c>
      <c r="AC189" s="108" t="n"/>
      <c r="AD189" s="108" t="n"/>
      <c r="AE189" s="108">
        <f>ABS(AQ$1-AQ189)</f>
        <v/>
      </c>
      <c r="AF189" s="108">
        <f>ABS(AR$1-AR189)</f>
        <v/>
      </c>
      <c r="AG189" s="108">
        <f>ABS(AS$1-AS189)</f>
        <v/>
      </c>
      <c r="AH189" s="108">
        <f>ABS(AT$1-AT189)</f>
        <v/>
      </c>
      <c r="AI189" s="108">
        <f>ABS(AU$1-AU189)</f>
        <v/>
      </c>
      <c r="AJ189" s="108">
        <f>(AV189-Driver!$K$179)/(Driver!$L$179-Driver!$K$179)</f>
        <v/>
      </c>
      <c r="AK189" s="108">
        <f>(AW189-Driver!$K$180)/(Driver!$L$180-Driver!$K$180)</f>
        <v/>
      </c>
      <c r="AL189" s="108">
        <f>(AX189-Driver!$K$181)/(Driver!$L$181-Driver!$K$181)</f>
        <v/>
      </c>
      <c r="AM189" s="108">
        <f>(AY189-Driver!$K$182)/(Driver!$L$182-Driver!$K$182)</f>
        <v/>
      </c>
      <c r="AN189" s="108">
        <f>(AZ189-Driver!$K$183)/(Driver!$L$183-Driver!$K$183)</f>
        <v/>
      </c>
      <c r="AO189" s="108" t="n"/>
      <c r="AP189" s="108" t="n"/>
      <c r="AQ189" s="108">
        <f>(BC189-Driver!$K$188)/(Driver!$L$188-Driver!$K$188)</f>
        <v/>
      </c>
      <c r="AR189" s="108">
        <f>MIN((BD189-Driver!$K$189)/(Driver!$L$189-Driver!$K$189),100%)</f>
        <v/>
      </c>
      <c r="AS189" s="108">
        <f>(BE189-Driver!$K$190)/(Driver!$L$190-Driver!$K$190)</f>
        <v/>
      </c>
      <c r="AT189" s="108">
        <f>(BF189-Driver!$K$191)/(Driver!$L$191-Driver!$K$191)</f>
        <v/>
      </c>
      <c r="AU189" s="108">
        <f>(BG189-Driver!$K$192)/(Driver!$L$192-Driver!$K$192)</f>
        <v/>
      </c>
      <c r="AV189" s="105">
        <f>IFERROR(BM189*BJ189^1/4,"")</f>
        <v/>
      </c>
      <c r="AW189" s="105">
        <f>IFERROR(SUM(AX189:AZ189),"")</f>
        <v/>
      </c>
      <c r="AX189" s="105">
        <f>IFERROR(BH189,"")</f>
        <v/>
      </c>
      <c r="AY189" s="105">
        <f>IFERROR(Driver!$K$19/Data!BH189/Data!BI189*Data!BK189*Data!BL189,"")</f>
        <v/>
      </c>
      <c r="AZ189" s="105">
        <f>IFERROR(BI189*BN189,"")</f>
        <v/>
      </c>
      <c r="BA189" s="105" t="n"/>
      <c r="BB189" s="105" t="n"/>
      <c r="BC189" s="105">
        <f>IFERROR(BI189*BN189*BK189/BJ189^(1/2),"")</f>
        <v/>
      </c>
      <c r="BD189" s="105">
        <f>IFERROR(BH189*BM189*BL189/BJ189/BK189,"")</f>
        <v/>
      </c>
      <c r="BE189" s="105">
        <f>IFERROR(MIN(BI189/BQ189/BP189/BO189/BH189,$BE$1),"")</f>
        <v/>
      </c>
      <c r="BF189" s="105">
        <f>IFERROR(BJ189*BO189*BP189/BK189,"")</f>
        <v/>
      </c>
      <c r="BG189" s="105">
        <f>IFERROR(1/BM189/BH189*BQ189,"")</f>
        <v/>
      </c>
      <c r="BH189" s="102">
        <f>MAX((CE189-Driver!$F$200)/(Driver!$G$200-Driver!$F$200)*$BI$1,1)</f>
        <v/>
      </c>
      <c r="BI189" s="102">
        <f>MAX($BI$1*(BY189-Driver!$F$201)/(Driver!$G$201-Driver!$F$201),1)</f>
        <v/>
      </c>
      <c r="BJ189" s="102">
        <f>(CB189-Driver!$F$206)/(Driver!$G$206-Driver!$F$206)*$BI$1</f>
        <v/>
      </c>
      <c r="BK189" s="102">
        <f>(CD189-Driver!$F$203)/(Driver!$G$203-Driver!$F$203)*$BI$1</f>
        <v/>
      </c>
      <c r="BL189" s="102">
        <f>MAX((CR189-Driver!$F$202)/(Driver!$G$202-Driver!$F$202)*$BI$1,1)</f>
        <v/>
      </c>
      <c r="BM189" s="102">
        <f>MAX((CH189-Driver!$F$204)/(Driver!$G$204-Driver!$F$204)*$BI$1,1)</f>
        <v/>
      </c>
      <c r="BN189" s="102">
        <f>(CI189-Driver!$F$205)/(Driver!$G$205-Driver!$F$205)*$BI$1</f>
        <v/>
      </c>
      <c r="BO189" s="102">
        <f>(CK189-Driver!$F$207)/(Driver!$G$207-Driver!$F$207)*$BI$1</f>
        <v/>
      </c>
      <c r="BP189" s="102">
        <f>(CM189-Driver!$F$208)/(Driver!$G$208-Driver!$F$208)*$BI$1</f>
        <v/>
      </c>
      <c r="BQ189" s="102">
        <f>(CL189-Driver!$F$209)/(Driver!$G$209-Driver!$F$209)*$BI$1</f>
        <v/>
      </c>
      <c r="BR189" s="40" t="inlineStr">
        <is>
          <t>21/22</t>
        </is>
      </c>
      <c r="BS189" s="10" t="inlineStr">
        <is>
          <t xml:space="preserve"> Rossignol</t>
        </is>
      </c>
      <c r="BT189" s="11" t="inlineStr">
        <is>
          <t xml:space="preserve"> Blackops Rallybird Ti W</t>
        </is>
      </c>
      <c r="BU189" s="13" t="n">
        <v>163</v>
      </c>
      <c r="BV189" s="11" t="inlineStr">
        <is>
          <t xml:space="preserve"> Women's</t>
        </is>
      </c>
      <c r="BW189" s="13" t="n">
        <v>163</v>
      </c>
      <c r="BX189" s="13" t="n">
        <v>162.7</v>
      </c>
      <c r="BY189" s="13" t="n">
        <v>107</v>
      </c>
      <c r="BZ189" s="13" t="n">
        <v>136</v>
      </c>
      <c r="CA189" s="13" t="n">
        <v>136</v>
      </c>
      <c r="CB189" s="13" t="n">
        <v>100</v>
      </c>
      <c r="CC189" s="13" t="n">
        <v>127</v>
      </c>
      <c r="CD189" s="13" t="n">
        <v>13</v>
      </c>
      <c r="CE189" s="13" t="n">
        <v>1742</v>
      </c>
      <c r="CF189" s="13" t="n">
        <v>1.06</v>
      </c>
      <c r="CG189" s="13" t="n">
        <v>1841</v>
      </c>
      <c r="CH189" s="13" t="n">
        <v>190</v>
      </c>
      <c r="CI189" s="13" t="n">
        <v>98</v>
      </c>
      <c r="CJ189" s="13" t="n">
        <v>50</v>
      </c>
      <c r="CK189" s="13" t="n">
        <v>304</v>
      </c>
      <c r="CL189" s="13" t="n">
        <v>16</v>
      </c>
      <c r="CM189" s="13" t="n">
        <v>251</v>
      </c>
      <c r="CN189" s="13" t="n">
        <v>0.322</v>
      </c>
      <c r="CO189" s="13" t="n">
        <v>157</v>
      </c>
      <c r="CP189" s="13" t="n">
        <v>108</v>
      </c>
      <c r="CQ189" s="13" t="n">
        <v>147</v>
      </c>
      <c r="CR189" s="13" t="n">
        <v>3</v>
      </c>
      <c r="CS189" s="13" t="n">
        <v>6.3</v>
      </c>
      <c r="CT189" s="11" t="inlineStr">
        <is>
          <t xml:space="preserve"> Resort Freeride</t>
        </is>
      </c>
      <c r="CU189" s="11" t="inlineStr">
        <is>
          <t xml:space="preserve"> Big Mountain</t>
        </is>
      </c>
      <c r="CV189" s="11" t="inlineStr">
        <is>
          <t xml:space="preserve"> Touring</t>
        </is>
      </c>
      <c r="CW189" s="13" t="n"/>
      <c r="CX189">
        <f>INDEX('Data_Price '!AG$2:AG$1266,MATCH(Data!$DN189,'Data_Price '!$AT$2:$AT$1266,0))</f>
        <v/>
      </c>
      <c r="CY189">
        <f>INDEX('Data_Price '!AH$2:AH$1266,MATCH(Data!$DN189,'Data_Price '!$AT$2:$AT$1266,0))</f>
        <v/>
      </c>
      <c r="CZ189">
        <f>INDEX('Data_Price '!AI$2:AI$1266,MATCH(Data!$DN189,'Data_Price '!$AT$2:$AT$1266,0))</f>
        <v/>
      </c>
      <c r="DA189">
        <f>INDEX('Data_Price '!AJ$2:AJ$1266,MATCH(Data!$DN189,'Data_Price '!$AT$2:$AT$1266,0))</f>
        <v/>
      </c>
      <c r="DB189">
        <f>INDEX('Data_Price '!AK$2:AK$1266,MATCH(Data!$DN189,'Data_Price '!$AT$2:$AT$1266,0))</f>
        <v/>
      </c>
      <c r="DC189">
        <f>INDEX('Data_Price '!AL$2:AL$1266,MATCH(Data!$DN189,'Data_Price '!$AT$2:$AT$1266,0))</f>
        <v/>
      </c>
      <c r="DD189">
        <f>INDEX('Data_Price '!AM$2:AM$1266,MATCH(Data!$DN189,'Data_Price '!$AT$2:$AT$1266,0))</f>
        <v/>
      </c>
      <c r="DE189">
        <f>INDEX('Data_Price '!AN$2:AN$1266,MATCH(Data!$DN189,'Data_Price '!$AT$2:$AT$1266,0))</f>
        <v/>
      </c>
      <c r="DF189">
        <f>INDEX('Data_Price '!AO$2:AO$1266,MATCH(Data!$DN189,'Data_Price '!$AT$2:$AT$1266,0))</f>
        <v/>
      </c>
      <c r="DG189">
        <f>INDEX('Data_Price '!AP$2:AP$1266,MATCH(Data!$DN189,'Data_Price '!$AT$2:$AT$1266,0))</f>
        <v/>
      </c>
      <c r="DH189">
        <f>INDEX('Data_Price '!AQ$2:AQ$1266,MATCH(Data!$DN189,'Data_Price '!$AT$2:$AT$1266,0))</f>
        <v/>
      </c>
      <c r="DI189">
        <f>INDEX('Data_Price '!AR$2:AR$1266,MATCH(Data!$DN189,'Data_Price '!$AT$2:$AT$1266,0))</f>
        <v/>
      </c>
      <c r="DJ189" s="138">
        <f>DA189</f>
        <v/>
      </c>
      <c r="DK189" s="138">
        <f>DE189</f>
        <v/>
      </c>
      <c r="DL189" s="138">
        <f>DI189</f>
        <v/>
      </c>
      <c r="DM189" s="303">
        <f>IF(LEFT(BT189,1)=" ",RIGHT(BT189,LEN(BT189)-1),BT189)</f>
        <v/>
      </c>
      <c r="DN189" s="138">
        <f>_xlfn.CONCAT(BS189,DM189,BU189,BV189)</f>
        <v/>
      </c>
      <c r="DO189" s="307" t="n"/>
    </row>
    <row r="190" ht="15.6" customHeight="1" s="184">
      <c r="B190" s="303">
        <f t="array" ref="B190">IF(OR(ISERROR(K190:P190)),FALSE,TRUE)</f>
        <v/>
      </c>
      <c r="C190" s="60">
        <f>OR(BR190=Driver!$G$50,Data!BR1214=Driver!$H$50)</f>
        <v/>
      </c>
      <c r="D190" s="60">
        <f>OR(BV190=Driver!$G$51,BV190=Driver!$H$51)</f>
        <v/>
      </c>
      <c r="E190" s="60">
        <f>AND(BX190&gt;Driver!$F$54,BX190&lt;Driver!$G$54)</f>
        <v/>
      </c>
      <c r="F190" s="60">
        <f>CL190&gt;Driver!$F$56</f>
        <v/>
      </c>
      <c r="G190" s="60">
        <f>AND(CB190&gt;Driver!$F$55,CB190&lt;Driver!$G$55)</f>
        <v/>
      </c>
      <c r="H190" s="60">
        <f>AND(B190:G190)</f>
        <v/>
      </c>
      <c r="I190" s="60">
        <f>COUNTIFS($H$9:$H$1273,TRUE,$BT$9:$BT$1273,BT190)</f>
        <v/>
      </c>
      <c r="J190" s="60">
        <f t="array" ref="J190">NOT(OR(($H$9:$H$1273=TRUE)*($I$9:$I$1273&gt;0)*($BT$9:$BT$1273=BT190)*($K$9:$K$1273&gt;K190)))</f>
        <v/>
      </c>
      <c r="K190" s="108">
        <f>IFERROR(1-AVERAGE(X190:Y190),"")</f>
        <v/>
      </c>
      <c r="L190" s="108">
        <f>1-X190</f>
        <v/>
      </c>
      <c r="M190" s="108">
        <f>1-Y190</f>
        <v/>
      </c>
      <c r="N190" s="108">
        <f>1-Z190</f>
        <v/>
      </c>
      <c r="O190" s="108">
        <f>1-AA190</f>
        <v/>
      </c>
      <c r="P190" s="108">
        <f>1-AB190</f>
        <v/>
      </c>
      <c r="Q190" s="108" t="n"/>
      <c r="R190" s="108" t="n"/>
      <c r="S190" s="108">
        <f>1-AE190</f>
        <v/>
      </c>
      <c r="T190" s="108">
        <f>1-AF190</f>
        <v/>
      </c>
      <c r="U190" s="108">
        <f>1-AG190</f>
        <v/>
      </c>
      <c r="V190" s="108">
        <f>1-AH190</f>
        <v/>
      </c>
      <c r="W190" s="108">
        <f>1-AI190</f>
        <v/>
      </c>
      <c r="X190" s="108">
        <f>ABS(AJ190-AJ$1)</f>
        <v/>
      </c>
      <c r="Y190" s="108">
        <f>AVERAGE(Z190:AB190)</f>
        <v/>
      </c>
      <c r="Z190" s="108">
        <f>ABS(AL190-AL$1)</f>
        <v/>
      </c>
      <c r="AA190" s="108">
        <f>ABS(AM190-AM$1)</f>
        <v/>
      </c>
      <c r="AB190" s="108">
        <f>ABS(AN190-AN$1)</f>
        <v/>
      </c>
      <c r="AC190" s="108" t="n"/>
      <c r="AD190" s="108" t="n"/>
      <c r="AE190" s="108">
        <f>ABS(AQ$1-AQ190)</f>
        <v/>
      </c>
      <c r="AF190" s="108">
        <f>ABS(AR$1-AR190)</f>
        <v/>
      </c>
      <c r="AG190" s="108">
        <f>ABS(AS$1-AS190)</f>
        <v/>
      </c>
      <c r="AH190" s="108">
        <f>ABS(AT$1-AT190)</f>
        <v/>
      </c>
      <c r="AI190" s="108">
        <f>ABS(AU$1-AU190)</f>
        <v/>
      </c>
      <c r="AJ190" s="108">
        <f>(AV190-Driver!$K$179)/(Driver!$L$179-Driver!$K$179)</f>
        <v/>
      </c>
      <c r="AK190" s="108">
        <f>(AW190-Driver!$K$180)/(Driver!$L$180-Driver!$K$180)</f>
        <v/>
      </c>
      <c r="AL190" s="108">
        <f>(AX190-Driver!$K$181)/(Driver!$L$181-Driver!$K$181)</f>
        <v/>
      </c>
      <c r="AM190" s="108">
        <f>(AY190-Driver!$K$182)/(Driver!$L$182-Driver!$K$182)</f>
        <v/>
      </c>
      <c r="AN190" s="108">
        <f>(AZ190-Driver!$K$183)/(Driver!$L$183-Driver!$K$183)</f>
        <v/>
      </c>
      <c r="AO190" s="108" t="n"/>
      <c r="AP190" s="108" t="n"/>
      <c r="AQ190" s="108">
        <f>(BC190-Driver!$K$188)/(Driver!$L$188-Driver!$K$188)</f>
        <v/>
      </c>
      <c r="AR190" s="108">
        <f>MIN((BD190-Driver!$K$189)/(Driver!$L$189-Driver!$K$189),100%)</f>
        <v/>
      </c>
      <c r="AS190" s="108">
        <f>(BE190-Driver!$K$190)/(Driver!$L$190-Driver!$K$190)</f>
        <v/>
      </c>
      <c r="AT190" s="108">
        <f>(BF190-Driver!$K$191)/(Driver!$L$191-Driver!$K$191)</f>
        <v/>
      </c>
      <c r="AU190" s="108">
        <f>(BG190-Driver!$K$192)/(Driver!$L$192-Driver!$K$192)</f>
        <v/>
      </c>
      <c r="AV190" s="105">
        <f>IFERROR(BM190*BJ190^1/4,"")</f>
        <v/>
      </c>
      <c r="AW190" s="105">
        <f>IFERROR(SUM(AX190:AZ190),"")</f>
        <v/>
      </c>
      <c r="AX190" s="105">
        <f>IFERROR(BH190,"")</f>
        <v/>
      </c>
      <c r="AY190" s="105">
        <f>IFERROR(Driver!$K$19/Data!BH190/Data!BI190*Data!BK190*Data!BL190,"")</f>
        <v/>
      </c>
      <c r="AZ190" s="105">
        <f>IFERROR(BI190*BN190,"")</f>
        <v/>
      </c>
      <c r="BA190" s="105" t="n"/>
      <c r="BB190" s="105" t="n"/>
      <c r="BC190" s="105">
        <f>IFERROR(BI190*BN190*BK190/BJ190^(1/2),"")</f>
        <v/>
      </c>
      <c r="BD190" s="105">
        <f>IFERROR(BH190*BM190*BL190/BJ190/BK190,"")</f>
        <v/>
      </c>
      <c r="BE190" s="105">
        <f>IFERROR(MIN(BI190/BQ190/BP190/BO190/BH190,$BE$1),"")</f>
        <v/>
      </c>
      <c r="BF190" s="105">
        <f>IFERROR(BJ190*BO190*BP190/BK190,"")</f>
        <v/>
      </c>
      <c r="BG190" s="105">
        <f>IFERROR(1/BM190/BH190*BQ190,"")</f>
        <v/>
      </c>
      <c r="BH190" s="102">
        <f>MAX((CE190-Driver!$F$200)/(Driver!$G$200-Driver!$F$200)*$BI$1,1)</f>
        <v/>
      </c>
      <c r="BI190" s="102">
        <f>MAX($BI$1*(BY190-Driver!$F$201)/(Driver!$G$201-Driver!$F$201),1)</f>
        <v/>
      </c>
      <c r="BJ190" s="102">
        <f>(CB190-Driver!$F$206)/(Driver!$G$206-Driver!$F$206)*$BI$1</f>
        <v/>
      </c>
      <c r="BK190" s="102">
        <f>(CD190-Driver!$F$203)/(Driver!$G$203-Driver!$F$203)*$BI$1</f>
        <v/>
      </c>
      <c r="BL190" s="102">
        <f>MAX((CR190-Driver!$F$202)/(Driver!$G$202-Driver!$F$202)*$BI$1,1)</f>
        <v/>
      </c>
      <c r="BM190" s="102">
        <f>MAX((CH190-Driver!$F$204)/(Driver!$G$204-Driver!$F$204)*$BI$1,1)</f>
        <v/>
      </c>
      <c r="BN190" s="102">
        <f>(CI190-Driver!$F$205)/(Driver!$G$205-Driver!$F$205)*$BI$1</f>
        <v/>
      </c>
      <c r="BO190" s="102">
        <f>(CK190-Driver!$F$207)/(Driver!$G$207-Driver!$F$207)*$BI$1</f>
        <v/>
      </c>
      <c r="BP190" s="102">
        <f>(CM190-Driver!$F$208)/(Driver!$G$208-Driver!$F$208)*$BI$1</f>
        <v/>
      </c>
      <c r="BQ190" s="102">
        <f>(CL190-Driver!$F$209)/(Driver!$G$209-Driver!$F$209)*$BI$1</f>
        <v/>
      </c>
      <c r="BR190" s="40" t="inlineStr">
        <is>
          <t>21/22</t>
        </is>
      </c>
      <c r="BS190" s="10" t="inlineStr">
        <is>
          <t xml:space="preserve"> Völkl</t>
        </is>
      </c>
      <c r="BT190" s="11" t="inlineStr">
        <is>
          <t>Kenja 88</t>
        </is>
      </c>
      <c r="BU190" s="13" t="n">
        <v>163</v>
      </c>
      <c r="BV190" s="11" t="inlineStr">
        <is>
          <t xml:space="preserve"> Women's</t>
        </is>
      </c>
      <c r="BW190" s="13" t="n">
        <v>163</v>
      </c>
      <c r="BX190" s="13" t="n">
        <v>164</v>
      </c>
      <c r="BY190" s="13" t="n">
        <v>104</v>
      </c>
      <c r="BZ190" s="13" t="n">
        <v>140</v>
      </c>
      <c r="CA190" s="13" t="n">
        <v>128</v>
      </c>
      <c r="CB190" s="13" t="n">
        <v>87</v>
      </c>
      <c r="CC190" s="13" t="n">
        <v>110</v>
      </c>
      <c r="CD190" s="13" t="n">
        <v>14.7</v>
      </c>
      <c r="CE190" s="13" t="n">
        <v>1707</v>
      </c>
      <c r="CF190" s="13" t="n">
        <v>0.96</v>
      </c>
      <c r="CG190" s="13" t="n">
        <v>1644</v>
      </c>
      <c r="CH190" s="13" t="n">
        <v>195</v>
      </c>
      <c r="CI190" s="13" t="n">
        <v>125</v>
      </c>
      <c r="CJ190" s="13" t="n">
        <v>44</v>
      </c>
      <c r="CK190" s="13" t="n">
        <v>361</v>
      </c>
      <c r="CL190" s="13" t="n">
        <v>18</v>
      </c>
      <c r="CM190" s="13" t="n">
        <v>238</v>
      </c>
      <c r="CN190" s="13" t="n">
        <v>0.401</v>
      </c>
      <c r="CO190" s="13" t="n">
        <v>133</v>
      </c>
      <c r="CP190" s="13" t="n">
        <v>105</v>
      </c>
      <c r="CQ190" s="13" t="n">
        <v>228</v>
      </c>
      <c r="CR190" s="13" t="n">
        <v>3</v>
      </c>
      <c r="CS190" s="13" t="n">
        <v>11</v>
      </c>
      <c r="CT190" s="11" t="inlineStr">
        <is>
          <t xml:space="preserve"> Resort Freeride</t>
        </is>
      </c>
      <c r="CU190" s="13" t="n"/>
      <c r="CV190" s="13" t="n"/>
      <c r="CW190" s="13" t="n"/>
      <c r="CX190">
        <f>INDEX('Data_Price '!AG$2:AG$1266,MATCH(Data!$DN190,'Data_Price '!$AT$2:$AT$1266,0))</f>
        <v/>
      </c>
      <c r="CY190">
        <f>INDEX('Data_Price '!AH$2:AH$1266,MATCH(Data!$DN190,'Data_Price '!$AT$2:$AT$1266,0))</f>
        <v/>
      </c>
      <c r="CZ190">
        <f>INDEX('Data_Price '!AI$2:AI$1266,MATCH(Data!$DN190,'Data_Price '!$AT$2:$AT$1266,0))</f>
        <v/>
      </c>
      <c r="DA190">
        <f>INDEX('Data_Price '!AJ$2:AJ$1266,MATCH(Data!$DN190,'Data_Price '!$AT$2:$AT$1266,0))</f>
        <v/>
      </c>
      <c r="DB190">
        <f>INDEX('Data_Price '!AK$2:AK$1266,MATCH(Data!$DN190,'Data_Price '!$AT$2:$AT$1266,0))</f>
        <v/>
      </c>
      <c r="DC190">
        <f>INDEX('Data_Price '!AL$2:AL$1266,MATCH(Data!$DN190,'Data_Price '!$AT$2:$AT$1266,0))</f>
        <v/>
      </c>
      <c r="DD190">
        <f>INDEX('Data_Price '!AM$2:AM$1266,MATCH(Data!$DN190,'Data_Price '!$AT$2:$AT$1266,0))</f>
        <v/>
      </c>
      <c r="DE190">
        <f>INDEX('Data_Price '!AN$2:AN$1266,MATCH(Data!$DN190,'Data_Price '!$AT$2:$AT$1266,0))</f>
        <v/>
      </c>
      <c r="DF190">
        <f>INDEX('Data_Price '!AO$2:AO$1266,MATCH(Data!$DN190,'Data_Price '!$AT$2:$AT$1266,0))</f>
        <v/>
      </c>
      <c r="DG190">
        <f>INDEX('Data_Price '!AP$2:AP$1266,MATCH(Data!$DN190,'Data_Price '!$AT$2:$AT$1266,0))</f>
        <v/>
      </c>
      <c r="DH190">
        <f>INDEX('Data_Price '!AQ$2:AQ$1266,MATCH(Data!$DN190,'Data_Price '!$AT$2:$AT$1266,0))</f>
        <v/>
      </c>
      <c r="DI190">
        <f>INDEX('Data_Price '!AR$2:AR$1266,MATCH(Data!$DN190,'Data_Price '!$AT$2:$AT$1266,0))</f>
        <v/>
      </c>
      <c r="DJ190" s="138">
        <f>DA190</f>
        <v/>
      </c>
      <c r="DK190" s="138">
        <f>DE190</f>
        <v/>
      </c>
      <c r="DL190" s="138">
        <f>DI190</f>
        <v/>
      </c>
      <c r="DM190" s="303">
        <f>IF(LEFT(BT190,1)=" ",RIGHT(BT190,LEN(BT190)-1),BT190)</f>
        <v/>
      </c>
      <c r="DN190" s="138">
        <f>_xlfn.CONCAT(BS190,DM190,BU190,BV190)</f>
        <v/>
      </c>
      <c r="DO190" s="307" t="inlineStr">
        <is>
          <t>https://images.evo.com/imgp/250/208363/837595/volkl-kenja-88-skis-women-s-2022-.jpg</t>
        </is>
      </c>
    </row>
    <row r="191" ht="15.6" customHeight="1" s="184">
      <c r="B191" s="303">
        <f t="array" ref="B191">IF(OR(ISERROR(K191:P191)),FALSE,TRUE)</f>
        <v/>
      </c>
      <c r="C191" s="60">
        <f>OR(BR191=Driver!$G$50,Data!BR166=Driver!$H$50)</f>
        <v/>
      </c>
      <c r="D191" s="60">
        <f>OR(BV191=Driver!$G$51,BV191=Driver!$H$51)</f>
        <v/>
      </c>
      <c r="E191" s="60">
        <f>AND(BX191&gt;Driver!$F$54,BX191&lt;Driver!$G$54)</f>
        <v/>
      </c>
      <c r="F191" s="60">
        <f>CL191&gt;Driver!$F$56</f>
        <v/>
      </c>
      <c r="G191" s="60">
        <f>AND(CB191&gt;Driver!$F$55,CB191&lt;Driver!$G$55)</f>
        <v/>
      </c>
      <c r="H191" s="60">
        <f>AND(B191:G191)</f>
        <v/>
      </c>
      <c r="I191" s="60">
        <f>COUNTIFS($H$9:$H$1273,TRUE,$BT$9:$BT$1273,BT191)</f>
        <v/>
      </c>
      <c r="J191" s="60">
        <f t="array" ref="J191">NOT(OR(($H$9:$H$1273=TRUE)*($I$9:$I$1273&gt;0)*($BT$9:$BT$1273=BT191)*($K$9:$K$1273&gt;K191)))</f>
        <v/>
      </c>
      <c r="K191" s="108">
        <f>IFERROR(1-AVERAGE(X191:Y191),"")</f>
        <v/>
      </c>
      <c r="L191" s="108">
        <f>1-X191</f>
        <v/>
      </c>
      <c r="M191" s="108">
        <f>1-Y191</f>
        <v/>
      </c>
      <c r="N191" s="108">
        <f>1-Z191</f>
        <v/>
      </c>
      <c r="O191" s="108">
        <f>1-AA191</f>
        <v/>
      </c>
      <c r="P191" s="108">
        <f>1-AB191</f>
        <v/>
      </c>
      <c r="Q191" s="108" t="n"/>
      <c r="R191" s="108" t="n"/>
      <c r="S191" s="108">
        <f>1-AE191</f>
        <v/>
      </c>
      <c r="T191" s="108">
        <f>1-AF191</f>
        <v/>
      </c>
      <c r="U191" s="108">
        <f>1-AG191</f>
        <v/>
      </c>
      <c r="V191" s="108">
        <f>1-AH191</f>
        <v/>
      </c>
      <c r="W191" s="108">
        <f>1-AI191</f>
        <v/>
      </c>
      <c r="X191" s="108">
        <f>ABS(AJ191-AJ$1)</f>
        <v/>
      </c>
      <c r="Y191" s="108">
        <f>AVERAGE(Z191:AB191)</f>
        <v/>
      </c>
      <c r="Z191" s="108">
        <f>ABS(AL191-AL$1)</f>
        <v/>
      </c>
      <c r="AA191" s="108">
        <f>ABS(AM191-AM$1)</f>
        <v/>
      </c>
      <c r="AB191" s="108">
        <f>ABS(AN191-AN$1)</f>
        <v/>
      </c>
      <c r="AC191" s="108" t="n"/>
      <c r="AD191" s="108" t="n"/>
      <c r="AE191" s="108">
        <f>ABS(AQ$1-AQ191)</f>
        <v/>
      </c>
      <c r="AF191" s="108">
        <f>ABS(AR$1-AR191)</f>
        <v/>
      </c>
      <c r="AG191" s="108">
        <f>ABS(AS$1-AS191)</f>
        <v/>
      </c>
      <c r="AH191" s="108">
        <f>ABS(AT$1-AT191)</f>
        <v/>
      </c>
      <c r="AI191" s="108">
        <f>ABS(AU$1-AU191)</f>
        <v/>
      </c>
      <c r="AJ191" s="108">
        <f>(AV191-Driver!$K$179)/(Driver!$L$179-Driver!$K$179)</f>
        <v/>
      </c>
      <c r="AK191" s="108">
        <f>(AW191-Driver!$K$180)/(Driver!$L$180-Driver!$K$180)</f>
        <v/>
      </c>
      <c r="AL191" s="108">
        <f>(AX191-Driver!$K$181)/(Driver!$L$181-Driver!$K$181)</f>
        <v/>
      </c>
      <c r="AM191" s="108">
        <f>(AY191-Driver!$K$182)/(Driver!$L$182-Driver!$K$182)</f>
        <v/>
      </c>
      <c r="AN191" s="108">
        <f>(AZ191-Driver!$K$183)/(Driver!$L$183-Driver!$K$183)</f>
        <v/>
      </c>
      <c r="AO191" s="108" t="n"/>
      <c r="AP191" s="108" t="n"/>
      <c r="AQ191" s="108">
        <f>(BC191-Driver!$K$188)/(Driver!$L$188-Driver!$K$188)</f>
        <v/>
      </c>
      <c r="AR191" s="108">
        <f>MIN((BD191-Driver!$K$189)/(Driver!$L$189-Driver!$K$189),100%)</f>
        <v/>
      </c>
      <c r="AS191" s="108">
        <f>(BE191-Driver!$K$190)/(Driver!$L$190-Driver!$K$190)</f>
        <v/>
      </c>
      <c r="AT191" s="108">
        <f>(BF191-Driver!$K$191)/(Driver!$L$191-Driver!$K$191)</f>
        <v/>
      </c>
      <c r="AU191" s="108">
        <f>(BG191-Driver!$K$192)/(Driver!$L$192-Driver!$K$192)</f>
        <v/>
      </c>
      <c r="AV191" s="105">
        <f>IFERROR(BM191*BJ191^1/4,"")</f>
        <v/>
      </c>
      <c r="AW191" s="105">
        <f>IFERROR(SUM(AX191:AZ191),"")</f>
        <v/>
      </c>
      <c r="AX191" s="105">
        <f>IFERROR(BH191,"")</f>
        <v/>
      </c>
      <c r="AY191" s="105">
        <f>IFERROR(Driver!$K$19/Data!BH191/Data!BI191*Data!BK191*Data!BL191,"")</f>
        <v/>
      </c>
      <c r="AZ191" s="105">
        <f>IFERROR(BI191*BN191,"")</f>
        <v/>
      </c>
      <c r="BA191" s="105" t="n"/>
      <c r="BB191" s="105" t="n"/>
      <c r="BC191" s="105">
        <f>IFERROR(BI191*BN191*BK191/BJ191^(1/2),"")</f>
        <v/>
      </c>
      <c r="BD191" s="105">
        <f>IFERROR(BH191*BM191*BL191/BJ191/BK191,"")</f>
        <v/>
      </c>
      <c r="BE191" s="105">
        <f>IFERROR(MIN(BI191/BQ191/BP191/BO191/BH191,$BE$1),"")</f>
        <v/>
      </c>
      <c r="BF191" s="105">
        <f>IFERROR(BJ191*BO191*BP191/BK191,"")</f>
        <v/>
      </c>
      <c r="BG191" s="105">
        <f>IFERROR(1/BM191/BH191*BQ191,"")</f>
        <v/>
      </c>
      <c r="BH191" s="102">
        <f>MAX((CE191-Driver!$F$200)/(Driver!$G$200-Driver!$F$200)*$BI$1,1)</f>
        <v/>
      </c>
      <c r="BI191" s="102">
        <f>MAX($BI$1*(BY191-Driver!$F$201)/(Driver!$G$201-Driver!$F$201),1)</f>
        <v/>
      </c>
      <c r="BJ191" s="102">
        <f>(CB191-Driver!$F$206)/(Driver!$G$206-Driver!$F$206)*$BI$1</f>
        <v/>
      </c>
      <c r="BK191" s="102">
        <f>(CD191-Driver!$F$203)/(Driver!$G$203-Driver!$F$203)*$BI$1</f>
        <v/>
      </c>
      <c r="BL191" s="102">
        <f>MAX((CR191-Driver!$F$202)/(Driver!$G$202-Driver!$F$202)*$BI$1,1)</f>
        <v/>
      </c>
      <c r="BM191" s="102">
        <f>MAX((CH191-Driver!$F$204)/(Driver!$G$204-Driver!$F$204)*$BI$1,1)</f>
        <v/>
      </c>
      <c r="BN191" s="102">
        <f>(CI191-Driver!$F$205)/(Driver!$G$205-Driver!$F$205)*$BI$1</f>
        <v/>
      </c>
      <c r="BO191" s="102">
        <f>(CK191-Driver!$F$207)/(Driver!$G$207-Driver!$F$207)*$BI$1</f>
        <v/>
      </c>
      <c r="BP191" s="102">
        <f>(CM191-Driver!$F$208)/(Driver!$G$208-Driver!$F$208)*$BI$1</f>
        <v/>
      </c>
      <c r="BQ191" s="102">
        <f>(CL191-Driver!$F$209)/(Driver!$G$209-Driver!$F$209)*$BI$1</f>
        <v/>
      </c>
      <c r="BR191" s="40" t="inlineStr">
        <is>
          <t>21/22</t>
        </is>
      </c>
      <c r="BS191" s="10" t="inlineStr">
        <is>
          <t xml:space="preserve"> Atomic</t>
        </is>
      </c>
      <c r="BT191" s="11" t="inlineStr">
        <is>
          <t>Maverick 88 Ti</t>
        </is>
      </c>
      <c r="BU191" s="13" t="n">
        <v>169</v>
      </c>
      <c r="BV191" s="11" t="inlineStr">
        <is>
          <t xml:space="preserve"> Unisex</t>
        </is>
      </c>
      <c r="BW191" s="13" t="n">
        <v>169</v>
      </c>
      <c r="BX191" s="13" t="n">
        <v>168</v>
      </c>
      <c r="BY191" s="13" t="n">
        <v>120</v>
      </c>
      <c r="BZ191" s="13" t="n">
        <v>144</v>
      </c>
      <c r="CA191" s="13" t="n">
        <v>122</v>
      </c>
      <c r="CB191" s="13" t="n">
        <v>86</v>
      </c>
      <c r="CC191" s="13" t="n">
        <v>106</v>
      </c>
      <c r="CD191" s="13" t="n">
        <v>17.1</v>
      </c>
      <c r="CE191" s="13" t="n">
        <v>1591</v>
      </c>
      <c r="CF191" s="13" t="n">
        <v>1.03</v>
      </c>
      <c r="CG191" s="13" t="n">
        <v>1637</v>
      </c>
      <c r="CH191" s="13" t="n">
        <v>189</v>
      </c>
      <c r="CI191" s="13" t="n">
        <v>122</v>
      </c>
      <c r="CJ191" s="13" t="n">
        <v>53</v>
      </c>
      <c r="CK191" s="13" t="n">
        <v>288</v>
      </c>
      <c r="CL191" s="13" t="n">
        <v>13</v>
      </c>
      <c r="CM191" s="13" t="n">
        <v>192</v>
      </c>
      <c r="CN191" s="13" t="n">
        <v>0.251</v>
      </c>
      <c r="CO191" s="13" t="n">
        <v>148</v>
      </c>
      <c r="CP191" s="13" t="n">
        <v>94</v>
      </c>
      <c r="CQ191" s="13" t="n">
        <v>139</v>
      </c>
      <c r="CR191" s="13" t="n">
        <v>6</v>
      </c>
      <c r="CS191" s="13" t="n">
        <v>8.800000000000001</v>
      </c>
      <c r="CT191" s="11" t="inlineStr">
        <is>
          <t xml:space="preserve"> Resort Freeride</t>
        </is>
      </c>
      <c r="CU191" s="13" t="n"/>
      <c r="CV191" s="13" t="n"/>
      <c r="CW191" s="13" t="n"/>
      <c r="CX191">
        <f>INDEX('Data_Price '!AG$2:AG$1266,MATCH(Data!$DN191,'Data_Price '!$AT$2:$AT$1266,0))</f>
        <v/>
      </c>
      <c r="CY191">
        <f>INDEX('Data_Price '!AH$2:AH$1266,MATCH(Data!$DN191,'Data_Price '!$AT$2:$AT$1266,0))</f>
        <v/>
      </c>
      <c r="CZ191">
        <f>INDEX('Data_Price '!AI$2:AI$1266,MATCH(Data!$DN191,'Data_Price '!$AT$2:$AT$1266,0))</f>
        <v/>
      </c>
      <c r="DA191">
        <f>INDEX('Data_Price '!AJ$2:AJ$1266,MATCH(Data!$DN191,'Data_Price '!$AT$2:$AT$1266,0))</f>
        <v/>
      </c>
      <c r="DB191">
        <f>INDEX('Data_Price '!AK$2:AK$1266,MATCH(Data!$DN191,'Data_Price '!$AT$2:$AT$1266,0))</f>
        <v/>
      </c>
      <c r="DC191">
        <f>INDEX('Data_Price '!AL$2:AL$1266,MATCH(Data!$DN191,'Data_Price '!$AT$2:$AT$1266,0))</f>
        <v/>
      </c>
      <c r="DD191">
        <f>INDEX('Data_Price '!AM$2:AM$1266,MATCH(Data!$DN191,'Data_Price '!$AT$2:$AT$1266,0))</f>
        <v/>
      </c>
      <c r="DE191">
        <f>INDEX('Data_Price '!AN$2:AN$1266,MATCH(Data!$DN191,'Data_Price '!$AT$2:$AT$1266,0))</f>
        <v/>
      </c>
      <c r="DF191">
        <f>INDEX('Data_Price '!AO$2:AO$1266,MATCH(Data!$DN191,'Data_Price '!$AT$2:$AT$1266,0))</f>
        <v/>
      </c>
      <c r="DG191">
        <f>INDEX('Data_Price '!AP$2:AP$1266,MATCH(Data!$DN191,'Data_Price '!$AT$2:$AT$1266,0))</f>
        <v/>
      </c>
      <c r="DH191">
        <f>INDEX('Data_Price '!AQ$2:AQ$1266,MATCH(Data!$DN191,'Data_Price '!$AT$2:$AT$1266,0))</f>
        <v/>
      </c>
      <c r="DI191">
        <f>INDEX('Data_Price '!AR$2:AR$1266,MATCH(Data!$DN191,'Data_Price '!$AT$2:$AT$1266,0))</f>
        <v/>
      </c>
      <c r="DJ191" s="138">
        <f>DA191</f>
        <v/>
      </c>
      <c r="DK191" s="138">
        <f>DE191</f>
        <v/>
      </c>
      <c r="DL191" s="138">
        <f>DI191</f>
        <v/>
      </c>
      <c r="DM191" s="303">
        <f>IF(LEFT(BT191,1)=" ",RIGHT(BT191,LEN(BT191)-1),BT191)</f>
        <v/>
      </c>
      <c r="DN191" s="138">
        <f>_xlfn.CONCAT(BS191,DM191,BU191,BV191)</f>
        <v/>
      </c>
      <c r="DO191" s="307" t="inlineStr">
        <is>
          <t>https://images.evo.com/imgp/250/219393/902838/atomic-maverick-88-ti-skis-2023-.jpg</t>
        </is>
      </c>
    </row>
    <row r="192" ht="15.6" customHeight="1" s="184">
      <c r="B192" s="303">
        <f t="array" ref="B192">IF(OR(ISERROR(K192:P192)),FALSE,TRUE)</f>
        <v/>
      </c>
      <c r="C192" s="60">
        <f>OR(BR192=Driver!$G$50,Data!BR109=Driver!$H$50)</f>
        <v/>
      </c>
      <c r="D192" s="60">
        <f>OR(BV192=Driver!$G$51,BV192=Driver!$H$51)</f>
        <v/>
      </c>
      <c r="E192" s="60">
        <f>AND(BX192&gt;Driver!$F$54,BX192&lt;Driver!$G$54)</f>
        <v/>
      </c>
      <c r="F192" s="60">
        <f>CL192&gt;Driver!$F$56</f>
        <v/>
      </c>
      <c r="G192" s="60">
        <f>AND(CB192&gt;Driver!$F$55,CB192&lt;Driver!$G$55)</f>
        <v/>
      </c>
      <c r="H192" s="60">
        <f>AND(B192:G192)</f>
        <v/>
      </c>
      <c r="I192" s="60">
        <f>COUNTIFS($H$9:$H$1273,TRUE,$BT$9:$BT$1273,BT192)</f>
        <v/>
      </c>
      <c r="J192" s="60">
        <f t="array" ref="J192">NOT(OR(($H$9:$H$1273=TRUE)*($I$9:$I$1273&gt;0)*($BT$9:$BT$1273=BT192)*($K$9:$K$1273&gt;K192)))</f>
        <v/>
      </c>
      <c r="K192" s="108">
        <f>IFERROR(1-AVERAGE(X192:Y192),"")</f>
        <v/>
      </c>
      <c r="L192" s="108">
        <f>1-X192</f>
        <v/>
      </c>
      <c r="M192" s="108">
        <f>1-Y192</f>
        <v/>
      </c>
      <c r="N192" s="108">
        <f>1-Z192</f>
        <v/>
      </c>
      <c r="O192" s="108">
        <f>1-AA192</f>
        <v/>
      </c>
      <c r="P192" s="108">
        <f>1-AB192</f>
        <v/>
      </c>
      <c r="Q192" s="108" t="n"/>
      <c r="R192" s="108" t="n"/>
      <c r="S192" s="108">
        <f>1-AE192</f>
        <v/>
      </c>
      <c r="T192" s="108">
        <f>1-AF192</f>
        <v/>
      </c>
      <c r="U192" s="108">
        <f>1-AG192</f>
        <v/>
      </c>
      <c r="V192" s="108">
        <f>1-AH192</f>
        <v/>
      </c>
      <c r="W192" s="108">
        <f>1-AI192</f>
        <v/>
      </c>
      <c r="X192" s="108">
        <f>ABS(AJ192-AJ$1)</f>
        <v/>
      </c>
      <c r="Y192" s="108">
        <f>AVERAGE(Z192:AB192)</f>
        <v/>
      </c>
      <c r="Z192" s="108">
        <f>ABS(AL192-AL$1)</f>
        <v/>
      </c>
      <c r="AA192" s="108">
        <f>ABS(AM192-AM$1)</f>
        <v/>
      </c>
      <c r="AB192" s="108">
        <f>ABS(AN192-AN$1)</f>
        <v/>
      </c>
      <c r="AC192" s="108" t="n"/>
      <c r="AD192" s="108" t="n"/>
      <c r="AE192" s="108">
        <f>ABS(AQ$1-AQ192)</f>
        <v/>
      </c>
      <c r="AF192" s="108">
        <f>ABS(AR$1-AR192)</f>
        <v/>
      </c>
      <c r="AG192" s="108">
        <f>ABS(AS$1-AS192)</f>
        <v/>
      </c>
      <c r="AH192" s="108">
        <f>ABS(AT$1-AT192)</f>
        <v/>
      </c>
      <c r="AI192" s="108">
        <f>ABS(AU$1-AU192)</f>
        <v/>
      </c>
      <c r="AJ192" s="108">
        <f>(AV192-Driver!$K$179)/(Driver!$L$179-Driver!$K$179)</f>
        <v/>
      </c>
      <c r="AK192" s="108">
        <f>(AW192-Driver!$K$180)/(Driver!$L$180-Driver!$K$180)</f>
        <v/>
      </c>
      <c r="AL192" s="108">
        <f>(AX192-Driver!$K$181)/(Driver!$L$181-Driver!$K$181)</f>
        <v/>
      </c>
      <c r="AM192" s="108">
        <f>(AY192-Driver!$K$182)/(Driver!$L$182-Driver!$K$182)</f>
        <v/>
      </c>
      <c r="AN192" s="108">
        <f>(AZ192-Driver!$K$183)/(Driver!$L$183-Driver!$K$183)</f>
        <v/>
      </c>
      <c r="AO192" s="108" t="n"/>
      <c r="AP192" s="108" t="n"/>
      <c r="AQ192" s="108">
        <f>(BC192-Driver!$K$188)/(Driver!$L$188-Driver!$K$188)</f>
        <v/>
      </c>
      <c r="AR192" s="108">
        <f>MIN((BD192-Driver!$K$189)/(Driver!$L$189-Driver!$K$189),100%)</f>
        <v/>
      </c>
      <c r="AS192" s="108">
        <f>(BE192-Driver!$K$190)/(Driver!$L$190-Driver!$K$190)</f>
        <v/>
      </c>
      <c r="AT192" s="108">
        <f>(BF192-Driver!$K$191)/(Driver!$L$191-Driver!$K$191)</f>
        <v/>
      </c>
      <c r="AU192" s="108">
        <f>(BG192-Driver!$K$192)/(Driver!$L$192-Driver!$K$192)</f>
        <v/>
      </c>
      <c r="AV192" s="105">
        <f>IFERROR(BM192*BJ192^1/4,"")</f>
        <v/>
      </c>
      <c r="AW192" s="105">
        <f>IFERROR(SUM(AX192:AZ192),"")</f>
        <v/>
      </c>
      <c r="AX192" s="105">
        <f>IFERROR(BH192,"")</f>
        <v/>
      </c>
      <c r="AY192" s="105">
        <f>IFERROR(Driver!$K$19/Data!BH192/Data!BI192*Data!BK192*Data!BL192,"")</f>
        <v/>
      </c>
      <c r="AZ192" s="105">
        <f>IFERROR(BI192*BN192,"")</f>
        <v/>
      </c>
      <c r="BA192" s="105" t="n"/>
      <c r="BB192" s="105" t="n"/>
      <c r="BC192" s="105">
        <f>IFERROR(BI192*BN192*BK192/BJ192^(1/2),"")</f>
        <v/>
      </c>
      <c r="BD192" s="105">
        <f>IFERROR(BH192*BM192*BL192/BJ192/BK192,"")</f>
        <v/>
      </c>
      <c r="BE192" s="105">
        <f>IFERROR(MIN(BI192/BQ192/BP192/BO192/BH192,$BE$1),"")</f>
        <v/>
      </c>
      <c r="BF192" s="105">
        <f>IFERROR(BJ192*BO192*BP192/BK192,"")</f>
        <v/>
      </c>
      <c r="BG192" s="105">
        <f>IFERROR(1/BM192/BH192*BQ192,"")</f>
        <v/>
      </c>
      <c r="BH192" s="102">
        <f>MAX((CE192-Driver!$F$200)/(Driver!$G$200-Driver!$F$200)*$BI$1,1)</f>
        <v/>
      </c>
      <c r="BI192" s="102">
        <f>MAX($BI$1*(BY192-Driver!$F$201)/(Driver!$G$201-Driver!$F$201),1)</f>
        <v/>
      </c>
      <c r="BJ192" s="102">
        <f>(CB192-Driver!$F$206)/(Driver!$G$206-Driver!$F$206)*$BI$1</f>
        <v/>
      </c>
      <c r="BK192" s="102">
        <f>(CD192-Driver!$F$203)/(Driver!$G$203-Driver!$F$203)*$BI$1</f>
        <v/>
      </c>
      <c r="BL192" s="102">
        <f>MAX((CR192-Driver!$F$202)/(Driver!$G$202-Driver!$F$202)*$BI$1,1)</f>
        <v/>
      </c>
      <c r="BM192" s="102">
        <f>MAX((CH192-Driver!$F$204)/(Driver!$G$204-Driver!$F$204)*$BI$1,1)</f>
        <v/>
      </c>
      <c r="BN192" s="102">
        <f>(CI192-Driver!$F$205)/(Driver!$G$205-Driver!$F$205)*$BI$1</f>
        <v/>
      </c>
      <c r="BO192" s="102">
        <f>(CK192-Driver!$F$207)/(Driver!$G$207-Driver!$F$207)*$BI$1</f>
        <v/>
      </c>
      <c r="BP192" s="102">
        <f>(CM192-Driver!$F$208)/(Driver!$G$208-Driver!$F$208)*$BI$1</f>
        <v/>
      </c>
      <c r="BQ192" s="102">
        <f>(CL192-Driver!$F$209)/(Driver!$G$209-Driver!$F$209)*$BI$1</f>
        <v/>
      </c>
      <c r="BR192" s="40" t="inlineStr">
        <is>
          <t>21/22</t>
        </is>
      </c>
      <c r="BS192" s="10" t="inlineStr">
        <is>
          <t xml:space="preserve"> Armada</t>
        </is>
      </c>
      <c r="BT192" s="11" t="inlineStr">
        <is>
          <t>Tracer 88</t>
        </is>
      </c>
      <c r="BU192" s="13" t="n">
        <v>182</v>
      </c>
      <c r="BV192" s="11" t="inlineStr">
        <is>
          <t xml:space="preserve"> Unisex</t>
        </is>
      </c>
      <c r="BW192" s="13" t="n">
        <v>182</v>
      </c>
      <c r="BX192" s="13" t="n">
        <v>181.2</v>
      </c>
      <c r="BY192" s="13" t="n">
        <v>146</v>
      </c>
      <c r="BZ192" s="13" t="n">
        <v>151</v>
      </c>
      <c r="CA192" s="13" t="n">
        <v>116</v>
      </c>
      <c r="CB192" s="13" t="n">
        <v>87</v>
      </c>
      <c r="CC192" s="13" t="n">
        <v>108</v>
      </c>
      <c r="CD192" s="13" t="n">
        <v>21.7</v>
      </c>
      <c r="CE192" s="13" t="n">
        <v>1329</v>
      </c>
      <c r="CF192" s="13" t="n">
        <v>1.31</v>
      </c>
      <c r="CG192" s="13" t="n">
        <v>1745</v>
      </c>
      <c r="CH192" s="13" t="n">
        <v>226</v>
      </c>
      <c r="CI192" s="13" t="n">
        <v>96</v>
      </c>
      <c r="CJ192" s="13" t="n">
        <v>41</v>
      </c>
      <c r="CK192" s="13" t="n">
        <v>215</v>
      </c>
      <c r="CL192" s="13" t="n">
        <v>11</v>
      </c>
      <c r="CM192" s="13" t="n">
        <v>134</v>
      </c>
      <c r="CN192" s="13" t="n">
        <v>0.267</v>
      </c>
      <c r="CO192" s="13" t="n">
        <v>186</v>
      </c>
      <c r="CP192" s="13" t="n">
        <v>115</v>
      </c>
      <c r="CQ192" s="13" t="n">
        <v>29</v>
      </c>
      <c r="CR192" s="13" t="n">
        <v>5</v>
      </c>
      <c r="CS192" s="13" t="n">
        <v>8.300000000000001</v>
      </c>
      <c r="CT192" s="11" t="inlineStr">
        <is>
          <t xml:space="preserve"> Touring</t>
        </is>
      </c>
      <c r="CU192" s="11" t="inlineStr">
        <is>
          <t xml:space="preserve"> Ultralight Touring</t>
        </is>
      </c>
      <c r="CV192" s="13" t="n"/>
      <c r="CW192" s="13" t="n"/>
      <c r="CX192">
        <f>INDEX('Data_Price '!AG$2:AG$1266,MATCH(Data!$DN192,'Data_Price '!$AT$2:$AT$1266,0))</f>
        <v/>
      </c>
      <c r="CY192">
        <f>INDEX('Data_Price '!AH$2:AH$1266,MATCH(Data!$DN192,'Data_Price '!$AT$2:$AT$1266,0))</f>
        <v/>
      </c>
      <c r="CZ192">
        <f>INDEX('Data_Price '!AI$2:AI$1266,MATCH(Data!$DN192,'Data_Price '!$AT$2:$AT$1266,0))</f>
        <v/>
      </c>
      <c r="DA192">
        <f>INDEX('Data_Price '!AJ$2:AJ$1266,MATCH(Data!$DN192,'Data_Price '!$AT$2:$AT$1266,0))</f>
        <v/>
      </c>
      <c r="DB192">
        <f>INDEX('Data_Price '!AK$2:AK$1266,MATCH(Data!$DN192,'Data_Price '!$AT$2:$AT$1266,0))</f>
        <v/>
      </c>
      <c r="DC192">
        <f>INDEX('Data_Price '!AL$2:AL$1266,MATCH(Data!$DN192,'Data_Price '!$AT$2:$AT$1266,0))</f>
        <v/>
      </c>
      <c r="DD192">
        <f>INDEX('Data_Price '!AM$2:AM$1266,MATCH(Data!$DN192,'Data_Price '!$AT$2:$AT$1266,0))</f>
        <v/>
      </c>
      <c r="DE192">
        <f>INDEX('Data_Price '!AN$2:AN$1266,MATCH(Data!$DN192,'Data_Price '!$AT$2:$AT$1266,0))</f>
        <v/>
      </c>
      <c r="DF192">
        <f>INDEX('Data_Price '!AO$2:AO$1266,MATCH(Data!$DN192,'Data_Price '!$AT$2:$AT$1266,0))</f>
        <v/>
      </c>
      <c r="DG192">
        <f>INDEX('Data_Price '!AP$2:AP$1266,MATCH(Data!$DN192,'Data_Price '!$AT$2:$AT$1266,0))</f>
        <v/>
      </c>
      <c r="DH192">
        <f>INDEX('Data_Price '!AQ$2:AQ$1266,MATCH(Data!$DN192,'Data_Price '!$AT$2:$AT$1266,0))</f>
        <v/>
      </c>
      <c r="DI192">
        <f>INDEX('Data_Price '!AR$2:AR$1266,MATCH(Data!$DN192,'Data_Price '!$AT$2:$AT$1266,0))</f>
        <v/>
      </c>
      <c r="DJ192" s="138">
        <f>DA192</f>
        <v/>
      </c>
      <c r="DK192" s="138">
        <f>DE192</f>
        <v/>
      </c>
      <c r="DL192" s="138">
        <f>DI192</f>
        <v/>
      </c>
      <c r="DM192" s="303">
        <f>IF(LEFT(BT192,1)=" ",RIGHT(BT192,LEN(BT192)-1),BT192)</f>
        <v/>
      </c>
      <c r="DN192" s="138">
        <f>_xlfn.CONCAT(BS192,DM192,BU192,BV192)</f>
        <v/>
      </c>
      <c r="DO192" s="307" t="n"/>
    </row>
    <row r="193" ht="15.6" customHeight="1" s="184">
      <c r="B193" s="303">
        <f t="array" ref="B193">IF(OR(ISERROR(K193:P193)),FALSE,TRUE)</f>
        <v/>
      </c>
      <c r="C193" s="60">
        <f>OR(BR193=Driver!$G$50,Data!BR879=Driver!$H$50)</f>
        <v/>
      </c>
      <c r="D193" s="60">
        <f>OR(BV193=Driver!$G$51,BV193=Driver!$H$51)</f>
        <v/>
      </c>
      <c r="E193" s="60">
        <f>AND(BX193&gt;Driver!$F$54,BX193&lt;Driver!$G$54)</f>
        <v/>
      </c>
      <c r="F193" s="60">
        <f>CL193&gt;Driver!$F$56</f>
        <v/>
      </c>
      <c r="G193" s="60">
        <f>AND(CB193&gt;Driver!$F$55,CB193&lt;Driver!$G$55)</f>
        <v/>
      </c>
      <c r="H193" s="60">
        <f>AND(B193:G193)</f>
        <v/>
      </c>
      <c r="I193" s="60">
        <f>COUNTIFS($H$9:$H$1273,TRUE,$BT$9:$BT$1273,BT193)</f>
        <v/>
      </c>
      <c r="J193" s="60">
        <f t="array" ref="J193">NOT(OR(($H$9:$H$1273=TRUE)*($I$9:$I$1273&gt;0)*($BT$9:$BT$1273=BT193)*($K$9:$K$1273&gt;K193)))</f>
        <v/>
      </c>
      <c r="K193" s="108">
        <f>IFERROR(1-AVERAGE(X193:Y193),"")</f>
        <v/>
      </c>
      <c r="L193" s="108">
        <f>1-X193</f>
        <v/>
      </c>
      <c r="M193" s="108">
        <f>1-Y193</f>
        <v/>
      </c>
      <c r="N193" s="108">
        <f>1-Z193</f>
        <v/>
      </c>
      <c r="O193" s="108">
        <f>1-AA193</f>
        <v/>
      </c>
      <c r="P193" s="108">
        <f>1-AB193</f>
        <v/>
      </c>
      <c r="Q193" s="108" t="n"/>
      <c r="R193" s="108" t="n"/>
      <c r="S193" s="108">
        <f>1-AE193</f>
        <v/>
      </c>
      <c r="T193" s="108">
        <f>1-AF193</f>
        <v/>
      </c>
      <c r="U193" s="108">
        <f>1-AG193</f>
        <v/>
      </c>
      <c r="V193" s="108">
        <f>1-AH193</f>
        <v/>
      </c>
      <c r="W193" s="108">
        <f>1-AI193</f>
        <v/>
      </c>
      <c r="X193" s="108">
        <f>ABS(AJ193-AJ$1)</f>
        <v/>
      </c>
      <c r="Y193" s="108">
        <f>AVERAGE(Z193:AB193)</f>
        <v/>
      </c>
      <c r="Z193" s="108">
        <f>ABS(AL193-AL$1)</f>
        <v/>
      </c>
      <c r="AA193" s="108">
        <f>ABS(AM193-AM$1)</f>
        <v/>
      </c>
      <c r="AB193" s="108">
        <f>ABS(AN193-AN$1)</f>
        <v/>
      </c>
      <c r="AC193" s="108" t="n"/>
      <c r="AD193" s="108" t="n"/>
      <c r="AE193" s="108">
        <f>ABS(AQ$1-AQ193)</f>
        <v/>
      </c>
      <c r="AF193" s="108">
        <f>ABS(AR$1-AR193)</f>
        <v/>
      </c>
      <c r="AG193" s="108">
        <f>ABS(AS$1-AS193)</f>
        <v/>
      </c>
      <c r="AH193" s="108">
        <f>ABS(AT$1-AT193)</f>
        <v/>
      </c>
      <c r="AI193" s="108">
        <f>ABS(AU$1-AU193)</f>
        <v/>
      </c>
      <c r="AJ193" s="108">
        <f>(AV193-Driver!$K$179)/(Driver!$L$179-Driver!$K$179)</f>
        <v/>
      </c>
      <c r="AK193" s="108">
        <f>(AW193-Driver!$K$180)/(Driver!$L$180-Driver!$K$180)</f>
        <v/>
      </c>
      <c r="AL193" s="108">
        <f>(AX193-Driver!$K$181)/(Driver!$L$181-Driver!$K$181)</f>
        <v/>
      </c>
      <c r="AM193" s="108">
        <f>(AY193-Driver!$K$182)/(Driver!$L$182-Driver!$K$182)</f>
        <v/>
      </c>
      <c r="AN193" s="108">
        <f>(AZ193-Driver!$K$183)/(Driver!$L$183-Driver!$K$183)</f>
        <v/>
      </c>
      <c r="AO193" s="108" t="n"/>
      <c r="AP193" s="108" t="n"/>
      <c r="AQ193" s="108">
        <f>(BC193-Driver!$K$188)/(Driver!$L$188-Driver!$K$188)</f>
        <v/>
      </c>
      <c r="AR193" s="108">
        <f>MIN((BD193-Driver!$K$189)/(Driver!$L$189-Driver!$K$189),100%)</f>
        <v/>
      </c>
      <c r="AS193" s="108">
        <f>(BE193-Driver!$K$190)/(Driver!$L$190-Driver!$K$190)</f>
        <v/>
      </c>
      <c r="AT193" s="108">
        <f>(BF193-Driver!$K$191)/(Driver!$L$191-Driver!$K$191)</f>
        <v/>
      </c>
      <c r="AU193" s="108">
        <f>(BG193-Driver!$K$192)/(Driver!$L$192-Driver!$K$192)</f>
        <v/>
      </c>
      <c r="AV193" s="105">
        <f>IFERROR(BM193*BJ193^1/4,"")</f>
        <v/>
      </c>
      <c r="AW193" s="105">
        <f>IFERROR(SUM(AX193:AZ193),"")</f>
        <v/>
      </c>
      <c r="AX193" s="105">
        <f>IFERROR(BH193,"")</f>
        <v/>
      </c>
      <c r="AY193" s="105">
        <f>IFERROR(Driver!$K$19/Data!BH193/Data!BI193*Data!BK193*Data!BL193,"")</f>
        <v/>
      </c>
      <c r="AZ193" s="105">
        <f>IFERROR(BI193*BN193,"")</f>
        <v/>
      </c>
      <c r="BA193" s="105" t="n"/>
      <c r="BB193" s="105" t="n"/>
      <c r="BC193" s="105">
        <f>IFERROR(BI193*BN193*BK193/BJ193^(1/2),"")</f>
        <v/>
      </c>
      <c r="BD193" s="105">
        <f>IFERROR(BH193*BM193*BL193/BJ193/BK193,"")</f>
        <v/>
      </c>
      <c r="BE193" s="105">
        <f>IFERROR(MIN(BI193/BQ193/BP193/BO193/BH193,$BE$1),"")</f>
        <v/>
      </c>
      <c r="BF193" s="105">
        <f>IFERROR(BJ193*BO193*BP193/BK193,"")</f>
        <v/>
      </c>
      <c r="BG193" s="105">
        <f>IFERROR(1/BM193/BH193*BQ193,"")</f>
        <v/>
      </c>
      <c r="BH193" s="102">
        <f>MAX((CE193-Driver!$F$200)/(Driver!$G$200-Driver!$F$200)*$BI$1,1)</f>
        <v/>
      </c>
      <c r="BI193" s="102">
        <f>MAX($BI$1*(BY193-Driver!$F$201)/(Driver!$G$201-Driver!$F$201),1)</f>
        <v/>
      </c>
      <c r="BJ193" s="102">
        <f>(CB193-Driver!$F$206)/(Driver!$G$206-Driver!$F$206)*$BI$1</f>
        <v/>
      </c>
      <c r="BK193" s="102">
        <f>(CD193-Driver!$F$203)/(Driver!$G$203-Driver!$F$203)*$BI$1</f>
        <v/>
      </c>
      <c r="BL193" s="102">
        <f>MAX((CR193-Driver!$F$202)/(Driver!$G$202-Driver!$F$202)*$BI$1,1)</f>
        <v/>
      </c>
      <c r="BM193" s="102">
        <f>MAX((CH193-Driver!$F$204)/(Driver!$G$204-Driver!$F$204)*$BI$1,1)</f>
        <v/>
      </c>
      <c r="BN193" s="102">
        <f>(CI193-Driver!$F$205)/(Driver!$G$205-Driver!$F$205)*$BI$1</f>
        <v/>
      </c>
      <c r="BO193" s="102">
        <f>(CK193-Driver!$F$207)/(Driver!$G$207-Driver!$F$207)*$BI$1</f>
        <v/>
      </c>
      <c r="BP193" s="102">
        <f>(CM193-Driver!$F$208)/(Driver!$G$208-Driver!$F$208)*$BI$1</f>
        <v/>
      </c>
      <c r="BQ193" s="102">
        <f>(CL193-Driver!$F$209)/(Driver!$G$209-Driver!$F$209)*$BI$1</f>
        <v/>
      </c>
      <c r="BR193" s="40" t="inlineStr">
        <is>
          <t>21/22</t>
        </is>
      </c>
      <c r="BS193" s="10" t="inlineStr">
        <is>
          <t xml:space="preserve"> Line</t>
        </is>
      </c>
      <c r="BT193" s="11" t="inlineStr">
        <is>
          <t>Vision 118</t>
        </is>
      </c>
      <c r="BU193" s="13" t="n">
        <v>183</v>
      </c>
      <c r="BV193" s="11" t="inlineStr">
        <is>
          <t xml:space="preserve"> Unisex</t>
        </is>
      </c>
      <c r="BW193" s="13" t="n">
        <v>183</v>
      </c>
      <c r="BX193" s="13" t="n">
        <v>182.6</v>
      </c>
      <c r="BY193" s="13" t="n">
        <v>102</v>
      </c>
      <c r="BZ193" s="13" t="n">
        <v>147</v>
      </c>
      <c r="CA193" s="13" t="n">
        <v>151</v>
      </c>
      <c r="CB193" s="13" t="n">
        <v>117</v>
      </c>
      <c r="CC193" s="13" t="n">
        <v>137</v>
      </c>
      <c r="CD193" s="13" t="n">
        <v>19.1</v>
      </c>
      <c r="CE193" s="13" t="n">
        <v>1854</v>
      </c>
      <c r="CF193" s="13" t="n">
        <v>1.25</v>
      </c>
      <c r="CG193" s="13" t="n">
        <v>2318</v>
      </c>
      <c r="CH193" s="13" t="n">
        <v>210</v>
      </c>
      <c r="CI193" s="13" t="n">
        <v>102</v>
      </c>
      <c r="CJ193" s="13" t="n">
        <v>56</v>
      </c>
      <c r="CK193" s="13" t="n">
        <v>430</v>
      </c>
      <c r="CL193" s="13" t="n">
        <v>37</v>
      </c>
      <c r="CM193" s="13" t="n">
        <v>376</v>
      </c>
      <c r="CN193" s="13" t="n">
        <v>0.657</v>
      </c>
      <c r="CO193" s="13" t="n">
        <v>177</v>
      </c>
      <c r="CP193" s="13" t="n">
        <v>179</v>
      </c>
      <c r="CQ193" s="13" t="n">
        <v>252</v>
      </c>
      <c r="CR193" s="13" t="n">
        <v>3</v>
      </c>
      <c r="CS193" s="13" t="n">
        <v>6.1</v>
      </c>
      <c r="CT193" s="11" t="inlineStr">
        <is>
          <t xml:space="preserve"> Powder</t>
        </is>
      </c>
      <c r="CU193" s="11" t="inlineStr">
        <is>
          <t xml:space="preserve"> Touring</t>
        </is>
      </c>
      <c r="CV193" s="11" t="inlineStr">
        <is>
          <t xml:space="preserve"> Ultralight Touring</t>
        </is>
      </c>
      <c r="CW193" s="13" t="n"/>
      <c r="CX193">
        <f>INDEX('Data_Price '!AG$2:AG$1266,MATCH(Data!$DN193,'Data_Price '!$AT$2:$AT$1266,0))</f>
        <v/>
      </c>
      <c r="CY193">
        <f>INDEX('Data_Price '!AH$2:AH$1266,MATCH(Data!$DN193,'Data_Price '!$AT$2:$AT$1266,0))</f>
        <v/>
      </c>
      <c r="CZ193">
        <f>INDEX('Data_Price '!AI$2:AI$1266,MATCH(Data!$DN193,'Data_Price '!$AT$2:$AT$1266,0))</f>
        <v/>
      </c>
      <c r="DA193">
        <f>INDEX('Data_Price '!AJ$2:AJ$1266,MATCH(Data!$DN193,'Data_Price '!$AT$2:$AT$1266,0))</f>
        <v/>
      </c>
      <c r="DB193">
        <f>INDEX('Data_Price '!AK$2:AK$1266,MATCH(Data!$DN193,'Data_Price '!$AT$2:$AT$1266,0))</f>
        <v/>
      </c>
      <c r="DC193">
        <f>INDEX('Data_Price '!AL$2:AL$1266,MATCH(Data!$DN193,'Data_Price '!$AT$2:$AT$1266,0))</f>
        <v/>
      </c>
      <c r="DD193">
        <f>INDEX('Data_Price '!AM$2:AM$1266,MATCH(Data!$DN193,'Data_Price '!$AT$2:$AT$1266,0))</f>
        <v/>
      </c>
      <c r="DE193">
        <f>INDEX('Data_Price '!AN$2:AN$1266,MATCH(Data!$DN193,'Data_Price '!$AT$2:$AT$1266,0))</f>
        <v/>
      </c>
      <c r="DF193">
        <f>INDEX('Data_Price '!AO$2:AO$1266,MATCH(Data!$DN193,'Data_Price '!$AT$2:$AT$1266,0))</f>
        <v/>
      </c>
      <c r="DG193">
        <f>INDEX('Data_Price '!AP$2:AP$1266,MATCH(Data!$DN193,'Data_Price '!$AT$2:$AT$1266,0))</f>
        <v/>
      </c>
      <c r="DH193">
        <f>INDEX('Data_Price '!AQ$2:AQ$1266,MATCH(Data!$DN193,'Data_Price '!$AT$2:$AT$1266,0))</f>
        <v/>
      </c>
      <c r="DI193">
        <f>INDEX('Data_Price '!AR$2:AR$1266,MATCH(Data!$DN193,'Data_Price '!$AT$2:$AT$1266,0))</f>
        <v/>
      </c>
      <c r="DJ193" s="138">
        <f>DA193</f>
        <v/>
      </c>
      <c r="DK193" s="138">
        <f>DE193</f>
        <v/>
      </c>
      <c r="DL193" s="138">
        <f>DI193</f>
        <v/>
      </c>
      <c r="DM193" s="303">
        <f>IF(LEFT(BT193,1)=" ",RIGHT(BT193,LEN(BT193)-1),BT193)</f>
        <v/>
      </c>
      <c r="DN193" s="138">
        <f>_xlfn.CONCAT(BS193,DM193,BU193,BV193)</f>
        <v/>
      </c>
      <c r="DO193" s="307" t="inlineStr">
        <is>
          <t>https://images.evo.com/imgp/250/198426/817626/line-skis-vision-118-skis-2022-.jpg</t>
        </is>
      </c>
    </row>
    <row r="194" ht="15.6" customHeight="1" s="184">
      <c r="B194" s="303">
        <f t="array" ref="B194">IF(OR(ISERROR(K194:P194)),FALSE,TRUE)</f>
        <v/>
      </c>
      <c r="C194" s="60">
        <f>OR(BR194=Driver!$G$50,Data!BR1072=Driver!$H$50)</f>
        <v/>
      </c>
      <c r="D194" s="60">
        <f>OR(BV194=Driver!$G$51,BV194=Driver!$H$51)</f>
        <v/>
      </c>
      <c r="E194" s="60">
        <f>AND(BX194&gt;Driver!$F$54,BX194&lt;Driver!$G$54)</f>
        <v/>
      </c>
      <c r="F194" s="60">
        <f>CL194&gt;Driver!$F$56</f>
        <v/>
      </c>
      <c r="G194" s="60">
        <f>AND(CB194&gt;Driver!$F$55,CB194&lt;Driver!$G$55)</f>
        <v/>
      </c>
      <c r="H194" s="60">
        <f>AND(B194:G194)</f>
        <v/>
      </c>
      <c r="I194" s="60">
        <f>COUNTIFS($H$9:$H$1273,TRUE,$BT$9:$BT$1273,BT194)</f>
        <v/>
      </c>
      <c r="J194" s="60">
        <f t="array" ref="J194">NOT(OR(($H$9:$H$1273=TRUE)*($I$9:$I$1273&gt;0)*($BT$9:$BT$1273=BT194)*($K$9:$K$1273&gt;K194)))</f>
        <v/>
      </c>
      <c r="K194" s="108">
        <f>IFERROR(1-AVERAGE(X194:Y194),"")</f>
        <v/>
      </c>
      <c r="L194" s="108">
        <f>1-X194</f>
        <v/>
      </c>
      <c r="M194" s="108">
        <f>1-Y194</f>
        <v/>
      </c>
      <c r="N194" s="108">
        <f>1-Z194</f>
        <v/>
      </c>
      <c r="O194" s="108">
        <f>1-AA194</f>
        <v/>
      </c>
      <c r="P194" s="108">
        <f>1-AB194</f>
        <v/>
      </c>
      <c r="Q194" s="108" t="n"/>
      <c r="R194" s="108" t="n"/>
      <c r="S194" s="108">
        <f>1-AE194</f>
        <v/>
      </c>
      <c r="T194" s="108">
        <f>1-AF194</f>
        <v/>
      </c>
      <c r="U194" s="108">
        <f>1-AG194</f>
        <v/>
      </c>
      <c r="V194" s="108">
        <f>1-AH194</f>
        <v/>
      </c>
      <c r="W194" s="108">
        <f>1-AI194</f>
        <v/>
      </c>
      <c r="X194" s="108">
        <f>ABS(AJ194-AJ$1)</f>
        <v/>
      </c>
      <c r="Y194" s="108">
        <f>AVERAGE(Z194:AB194)</f>
        <v/>
      </c>
      <c r="Z194" s="108">
        <f>ABS(AL194-AL$1)</f>
        <v/>
      </c>
      <c r="AA194" s="108">
        <f>ABS(AM194-AM$1)</f>
        <v/>
      </c>
      <c r="AB194" s="108">
        <f>ABS(AN194-AN$1)</f>
        <v/>
      </c>
      <c r="AC194" s="108" t="n"/>
      <c r="AD194" s="108" t="n"/>
      <c r="AE194" s="108">
        <f>ABS(AQ$1-AQ194)</f>
        <v/>
      </c>
      <c r="AF194" s="108">
        <f>ABS(AR$1-AR194)</f>
        <v/>
      </c>
      <c r="AG194" s="108">
        <f>ABS(AS$1-AS194)</f>
        <v/>
      </c>
      <c r="AH194" s="108">
        <f>ABS(AT$1-AT194)</f>
        <v/>
      </c>
      <c r="AI194" s="108">
        <f>ABS(AU$1-AU194)</f>
        <v/>
      </c>
      <c r="AJ194" s="108">
        <f>(AV194-Driver!$K$179)/(Driver!$L$179-Driver!$K$179)</f>
        <v/>
      </c>
      <c r="AK194" s="108">
        <f>(AW194-Driver!$K$180)/(Driver!$L$180-Driver!$K$180)</f>
        <v/>
      </c>
      <c r="AL194" s="108">
        <f>(AX194-Driver!$K$181)/(Driver!$L$181-Driver!$K$181)</f>
        <v/>
      </c>
      <c r="AM194" s="108">
        <f>(AY194-Driver!$K$182)/(Driver!$L$182-Driver!$K$182)</f>
        <v/>
      </c>
      <c r="AN194" s="108">
        <f>(AZ194-Driver!$K$183)/(Driver!$L$183-Driver!$K$183)</f>
        <v/>
      </c>
      <c r="AO194" s="108" t="n"/>
      <c r="AP194" s="108" t="n"/>
      <c r="AQ194" s="108">
        <f>(BC194-Driver!$K$188)/(Driver!$L$188-Driver!$K$188)</f>
        <v/>
      </c>
      <c r="AR194" s="108">
        <f>MIN((BD194-Driver!$K$189)/(Driver!$L$189-Driver!$K$189),100%)</f>
        <v/>
      </c>
      <c r="AS194" s="108">
        <f>(BE194-Driver!$K$190)/(Driver!$L$190-Driver!$K$190)</f>
        <v/>
      </c>
      <c r="AT194" s="108">
        <f>(BF194-Driver!$K$191)/(Driver!$L$191-Driver!$K$191)</f>
        <v/>
      </c>
      <c r="AU194" s="108">
        <f>(BG194-Driver!$K$192)/(Driver!$L$192-Driver!$K$192)</f>
        <v/>
      </c>
      <c r="AV194" s="105">
        <f>IFERROR(BM194*BJ194^1/4,"")</f>
        <v/>
      </c>
      <c r="AW194" s="105">
        <f>IFERROR(SUM(AX194:AZ194),"")</f>
        <v/>
      </c>
      <c r="AX194" s="105">
        <f>IFERROR(BH194,"")</f>
        <v/>
      </c>
      <c r="AY194" s="105">
        <f>IFERROR(Driver!$K$19/Data!BH194/Data!BI194*Data!BK194*Data!BL194,"")</f>
        <v/>
      </c>
      <c r="AZ194" s="105">
        <f>IFERROR(BI194*BN194,"")</f>
        <v/>
      </c>
      <c r="BA194" s="105" t="n"/>
      <c r="BB194" s="105" t="n"/>
      <c r="BC194" s="105">
        <f>IFERROR(BI194*BN194*BK194/BJ194^(1/2),"")</f>
        <v/>
      </c>
      <c r="BD194" s="105">
        <f>IFERROR(BH194*BM194*BL194/BJ194/BK194,"")</f>
        <v/>
      </c>
      <c r="BE194" s="105">
        <f>IFERROR(MIN(BI194/BQ194/BP194/BO194/BH194,$BE$1),"")</f>
        <v/>
      </c>
      <c r="BF194" s="105">
        <f>IFERROR(BJ194*BO194*BP194/BK194,"")</f>
        <v/>
      </c>
      <c r="BG194" s="105">
        <f>IFERROR(1/BM194/BH194*BQ194,"")</f>
        <v/>
      </c>
      <c r="BH194" s="102">
        <f>MAX((CE194-Driver!$F$200)/(Driver!$G$200-Driver!$F$200)*$BI$1,1)</f>
        <v/>
      </c>
      <c r="BI194" s="102">
        <f>MAX($BI$1*(BY194-Driver!$F$201)/(Driver!$G$201-Driver!$F$201),1)</f>
        <v/>
      </c>
      <c r="BJ194" s="102">
        <f>(CB194-Driver!$F$206)/(Driver!$G$206-Driver!$F$206)*$BI$1</f>
        <v/>
      </c>
      <c r="BK194" s="102">
        <f>(CD194-Driver!$F$203)/(Driver!$G$203-Driver!$F$203)*$BI$1</f>
        <v/>
      </c>
      <c r="BL194" s="102">
        <f>MAX((CR194-Driver!$F$202)/(Driver!$G$202-Driver!$F$202)*$BI$1,1)</f>
        <v/>
      </c>
      <c r="BM194" s="102">
        <f>MAX((CH194-Driver!$F$204)/(Driver!$G$204-Driver!$F$204)*$BI$1,1)</f>
        <v/>
      </c>
      <c r="BN194" s="102">
        <f>(CI194-Driver!$F$205)/(Driver!$G$205-Driver!$F$205)*$BI$1</f>
        <v/>
      </c>
      <c r="BO194" s="102">
        <f>(CK194-Driver!$F$207)/(Driver!$G$207-Driver!$F$207)*$BI$1</f>
        <v/>
      </c>
      <c r="BP194" s="102">
        <f>(CM194-Driver!$F$208)/(Driver!$G$208-Driver!$F$208)*$BI$1</f>
        <v/>
      </c>
      <c r="BQ194" s="102">
        <f>(CL194-Driver!$F$209)/(Driver!$G$209-Driver!$F$209)*$BI$1</f>
        <v/>
      </c>
      <c r="BR194" s="40" t="inlineStr">
        <is>
          <t>21/22</t>
        </is>
      </c>
      <c r="BS194" s="10" t="inlineStr">
        <is>
          <t xml:space="preserve"> Salomon</t>
        </is>
      </c>
      <c r="BT194" s="11" t="inlineStr">
        <is>
          <t>QST 92</t>
        </is>
      </c>
      <c r="BU194" s="13" t="n">
        <v>177</v>
      </c>
      <c r="BV194" s="11" t="inlineStr">
        <is>
          <t xml:space="preserve"> Unisex</t>
        </is>
      </c>
      <c r="BW194" s="13" t="n">
        <v>177</v>
      </c>
      <c r="BX194" s="13" t="n">
        <v>176.4</v>
      </c>
      <c r="BY194" s="13" t="n">
        <v>136</v>
      </c>
      <c r="BZ194" s="13" t="n">
        <v>148</v>
      </c>
      <c r="CA194" s="13" t="n">
        <v>131</v>
      </c>
      <c r="CB194" s="13" t="n">
        <v>91</v>
      </c>
      <c r="CC194" s="13" t="n">
        <v>114</v>
      </c>
      <c r="CD194" s="13" t="n">
        <v>16.5</v>
      </c>
      <c r="CE194" s="13" t="n">
        <v>1860</v>
      </c>
      <c r="CF194" s="13" t="n">
        <v>0.99</v>
      </c>
      <c r="CG194" s="13" t="n">
        <v>1843</v>
      </c>
      <c r="CH194" s="13" t="n">
        <v>219</v>
      </c>
      <c r="CI194" s="13" t="n">
        <v>94</v>
      </c>
      <c r="CJ194" s="13" t="n">
        <v>49</v>
      </c>
      <c r="CK194" s="13" t="n">
        <v>273</v>
      </c>
      <c r="CL194" s="13" t="n">
        <v>11</v>
      </c>
      <c r="CM194" s="13" t="n">
        <v>130</v>
      </c>
      <c r="CN194" s="13" t="n">
        <v>0.217</v>
      </c>
      <c r="CO194" s="13" t="n">
        <v>152</v>
      </c>
      <c r="CP194" s="13" t="n">
        <v>128</v>
      </c>
      <c r="CQ194" s="13" t="n">
        <v>121</v>
      </c>
      <c r="CR194" s="13" t="n">
        <v>11</v>
      </c>
      <c r="CS194" s="13" t="n">
        <v>10</v>
      </c>
      <c r="CT194" s="11" t="inlineStr">
        <is>
          <t xml:space="preserve"> Resort Freeride</t>
        </is>
      </c>
      <c r="CU194" s="13" t="n"/>
      <c r="CV194" s="13" t="n"/>
      <c r="CW194" s="13" t="n"/>
      <c r="CX194">
        <f>INDEX('Data_Price '!AG$2:AG$1266,MATCH(Data!$DN194,'Data_Price '!$AT$2:$AT$1266,0))</f>
        <v/>
      </c>
      <c r="CY194">
        <f>INDEX('Data_Price '!AH$2:AH$1266,MATCH(Data!$DN194,'Data_Price '!$AT$2:$AT$1266,0))</f>
        <v/>
      </c>
      <c r="CZ194">
        <f>INDEX('Data_Price '!AI$2:AI$1266,MATCH(Data!$DN194,'Data_Price '!$AT$2:$AT$1266,0))</f>
        <v/>
      </c>
      <c r="DA194">
        <f>INDEX('Data_Price '!AJ$2:AJ$1266,MATCH(Data!$DN194,'Data_Price '!$AT$2:$AT$1266,0))</f>
        <v/>
      </c>
      <c r="DB194">
        <f>INDEX('Data_Price '!AK$2:AK$1266,MATCH(Data!$DN194,'Data_Price '!$AT$2:$AT$1266,0))</f>
        <v/>
      </c>
      <c r="DC194">
        <f>INDEX('Data_Price '!AL$2:AL$1266,MATCH(Data!$DN194,'Data_Price '!$AT$2:$AT$1266,0))</f>
        <v/>
      </c>
      <c r="DD194">
        <f>INDEX('Data_Price '!AM$2:AM$1266,MATCH(Data!$DN194,'Data_Price '!$AT$2:$AT$1266,0))</f>
        <v/>
      </c>
      <c r="DE194">
        <f>INDEX('Data_Price '!AN$2:AN$1266,MATCH(Data!$DN194,'Data_Price '!$AT$2:$AT$1266,0))</f>
        <v/>
      </c>
      <c r="DF194">
        <f>INDEX('Data_Price '!AO$2:AO$1266,MATCH(Data!$DN194,'Data_Price '!$AT$2:$AT$1266,0))</f>
        <v/>
      </c>
      <c r="DG194">
        <f>INDEX('Data_Price '!AP$2:AP$1266,MATCH(Data!$DN194,'Data_Price '!$AT$2:$AT$1266,0))</f>
        <v/>
      </c>
      <c r="DH194">
        <f>INDEX('Data_Price '!AQ$2:AQ$1266,MATCH(Data!$DN194,'Data_Price '!$AT$2:$AT$1266,0))</f>
        <v/>
      </c>
      <c r="DI194">
        <f>INDEX('Data_Price '!AR$2:AR$1266,MATCH(Data!$DN194,'Data_Price '!$AT$2:$AT$1266,0))</f>
        <v/>
      </c>
      <c r="DJ194" s="138">
        <f>DA194</f>
        <v/>
      </c>
      <c r="DK194" s="138">
        <f>DE194</f>
        <v/>
      </c>
      <c r="DL194" s="138">
        <f>DI194</f>
        <v/>
      </c>
      <c r="DM194" s="303">
        <f>IF(LEFT(BT194,1)=" ",RIGHT(BT194,LEN(BT194)-1),BT194)</f>
        <v/>
      </c>
      <c r="DN194" s="138">
        <f>_xlfn.CONCAT(BS194,DM194,BU194,BV194)</f>
        <v/>
      </c>
      <c r="DO194" s="307" t="inlineStr">
        <is>
          <t>https://images.evo.com/imgp/250/197274/812050/salomon-qst-92-skis-2022-.jpg</t>
        </is>
      </c>
    </row>
    <row r="195" ht="15.6" customHeight="1" s="184">
      <c r="B195" s="303">
        <f t="array" ref="B195">IF(OR(ISERROR(K195:P195)),FALSE,TRUE)</f>
        <v/>
      </c>
      <c r="C195" s="60">
        <f>OR(BR195=Driver!$G$50,Data!BR866=Driver!$H$50)</f>
        <v/>
      </c>
      <c r="D195" s="60">
        <f>OR(BV195=Driver!$G$51,BV195=Driver!$H$51)</f>
        <v/>
      </c>
      <c r="E195" s="60">
        <f>AND(BX195&gt;Driver!$F$54,BX195&lt;Driver!$G$54)</f>
        <v/>
      </c>
      <c r="F195" s="60">
        <f>CL195&gt;Driver!$F$56</f>
        <v/>
      </c>
      <c r="G195" s="60">
        <f>AND(CB195&gt;Driver!$F$55,CB195&lt;Driver!$G$55)</f>
        <v/>
      </c>
      <c r="H195" s="60">
        <f>AND(B195:G195)</f>
        <v/>
      </c>
      <c r="I195" s="60">
        <f>COUNTIFS($H$9:$H$1273,TRUE,$BT$9:$BT$1273,BT195)</f>
        <v/>
      </c>
      <c r="J195" s="60">
        <f t="array" ref="J195">NOT(OR(($H$9:$H$1273=TRUE)*($I$9:$I$1273&gt;0)*($BT$9:$BT$1273=BT195)*($K$9:$K$1273&gt;K195)))</f>
        <v/>
      </c>
      <c r="K195" s="108">
        <f>IFERROR(1-AVERAGE(X195:Y195),"")</f>
        <v/>
      </c>
      <c r="L195" s="108">
        <f>1-X195</f>
        <v/>
      </c>
      <c r="M195" s="108">
        <f>1-Y195</f>
        <v/>
      </c>
      <c r="N195" s="108">
        <f>1-Z195</f>
        <v/>
      </c>
      <c r="O195" s="108">
        <f>1-AA195</f>
        <v/>
      </c>
      <c r="P195" s="108">
        <f>1-AB195</f>
        <v/>
      </c>
      <c r="Q195" s="108" t="n"/>
      <c r="R195" s="108" t="n"/>
      <c r="S195" s="108">
        <f>1-AE195</f>
        <v/>
      </c>
      <c r="T195" s="108">
        <f>1-AF195</f>
        <v/>
      </c>
      <c r="U195" s="108">
        <f>1-AG195</f>
        <v/>
      </c>
      <c r="V195" s="108">
        <f>1-AH195</f>
        <v/>
      </c>
      <c r="W195" s="108">
        <f>1-AI195</f>
        <v/>
      </c>
      <c r="X195" s="108">
        <f>ABS(AJ195-AJ$1)</f>
        <v/>
      </c>
      <c r="Y195" s="108">
        <f>AVERAGE(Z195:AB195)</f>
        <v/>
      </c>
      <c r="Z195" s="108">
        <f>ABS(AL195-AL$1)</f>
        <v/>
      </c>
      <c r="AA195" s="108">
        <f>ABS(AM195-AM$1)</f>
        <v/>
      </c>
      <c r="AB195" s="108">
        <f>ABS(AN195-AN$1)</f>
        <v/>
      </c>
      <c r="AC195" s="108" t="n"/>
      <c r="AD195" s="108" t="n"/>
      <c r="AE195" s="108">
        <f>ABS(AQ$1-AQ195)</f>
        <v/>
      </c>
      <c r="AF195" s="108">
        <f>ABS(AR$1-AR195)</f>
        <v/>
      </c>
      <c r="AG195" s="108">
        <f>ABS(AS$1-AS195)</f>
        <v/>
      </c>
      <c r="AH195" s="108">
        <f>ABS(AT$1-AT195)</f>
        <v/>
      </c>
      <c r="AI195" s="108">
        <f>ABS(AU$1-AU195)</f>
        <v/>
      </c>
      <c r="AJ195" s="108">
        <f>(AV195-Driver!$K$179)/(Driver!$L$179-Driver!$K$179)</f>
        <v/>
      </c>
      <c r="AK195" s="108">
        <f>(AW195-Driver!$K$180)/(Driver!$L$180-Driver!$K$180)</f>
        <v/>
      </c>
      <c r="AL195" s="108">
        <f>(AX195-Driver!$K$181)/(Driver!$L$181-Driver!$K$181)</f>
        <v/>
      </c>
      <c r="AM195" s="108">
        <f>(AY195-Driver!$K$182)/(Driver!$L$182-Driver!$K$182)</f>
        <v/>
      </c>
      <c r="AN195" s="108">
        <f>(AZ195-Driver!$K$183)/(Driver!$L$183-Driver!$K$183)</f>
        <v/>
      </c>
      <c r="AO195" s="108" t="n"/>
      <c r="AP195" s="108" t="n"/>
      <c r="AQ195" s="108">
        <f>(BC195-Driver!$K$188)/(Driver!$L$188-Driver!$K$188)</f>
        <v/>
      </c>
      <c r="AR195" s="108">
        <f>MIN((BD195-Driver!$K$189)/(Driver!$L$189-Driver!$K$189),100%)</f>
        <v/>
      </c>
      <c r="AS195" s="108">
        <f>(BE195-Driver!$K$190)/(Driver!$L$190-Driver!$K$190)</f>
        <v/>
      </c>
      <c r="AT195" s="108">
        <f>(BF195-Driver!$K$191)/(Driver!$L$191-Driver!$K$191)</f>
        <v/>
      </c>
      <c r="AU195" s="108">
        <f>(BG195-Driver!$K$192)/(Driver!$L$192-Driver!$K$192)</f>
        <v/>
      </c>
      <c r="AV195" s="105">
        <f>IFERROR(BM195*BJ195^1/4,"")</f>
        <v/>
      </c>
      <c r="AW195" s="105">
        <f>IFERROR(SUM(AX195:AZ195),"")</f>
        <v/>
      </c>
      <c r="AX195" s="105">
        <f>IFERROR(BH195,"")</f>
        <v/>
      </c>
      <c r="AY195" s="105">
        <f>IFERROR(Driver!$K$19/Data!BH195/Data!BI195*Data!BK195*Data!BL195,"")</f>
        <v/>
      </c>
      <c r="AZ195" s="105">
        <f>IFERROR(BI195*BN195,"")</f>
        <v/>
      </c>
      <c r="BA195" s="105" t="n"/>
      <c r="BB195" s="105" t="n"/>
      <c r="BC195" s="105">
        <f>IFERROR(BI195*BN195*BK195/BJ195^(1/2),"")</f>
        <v/>
      </c>
      <c r="BD195" s="105">
        <f>IFERROR(BH195*BM195*BL195/BJ195/BK195,"")</f>
        <v/>
      </c>
      <c r="BE195" s="105">
        <f>IFERROR(MIN(BI195/BQ195/BP195/BO195/BH195,$BE$1),"")</f>
        <v/>
      </c>
      <c r="BF195" s="105">
        <f>IFERROR(BJ195*BO195*BP195/BK195,"")</f>
        <v/>
      </c>
      <c r="BG195" s="105">
        <f>IFERROR(1/BM195/BH195*BQ195,"")</f>
        <v/>
      </c>
      <c r="BH195" s="102">
        <f>MAX((CE195-Driver!$F$200)/(Driver!$G$200-Driver!$F$200)*$BI$1,1)</f>
        <v/>
      </c>
      <c r="BI195" s="102">
        <f>MAX($BI$1*(BY195-Driver!$F$201)/(Driver!$G$201-Driver!$F$201),1)</f>
        <v/>
      </c>
      <c r="BJ195" s="102">
        <f>(CB195-Driver!$F$206)/(Driver!$G$206-Driver!$F$206)*$BI$1</f>
        <v/>
      </c>
      <c r="BK195" s="102">
        <f>(CD195-Driver!$F$203)/(Driver!$G$203-Driver!$F$203)*$BI$1</f>
        <v/>
      </c>
      <c r="BL195" s="102">
        <f>MAX((CR195-Driver!$F$202)/(Driver!$G$202-Driver!$F$202)*$BI$1,1)</f>
        <v/>
      </c>
      <c r="BM195" s="102">
        <f>MAX((CH195-Driver!$F$204)/(Driver!$G$204-Driver!$F$204)*$BI$1,1)</f>
        <v/>
      </c>
      <c r="BN195" s="102">
        <f>(CI195-Driver!$F$205)/(Driver!$G$205-Driver!$F$205)*$BI$1</f>
        <v/>
      </c>
      <c r="BO195" s="102">
        <f>(CK195-Driver!$F$207)/(Driver!$G$207-Driver!$F$207)*$BI$1</f>
        <v/>
      </c>
      <c r="BP195" s="102">
        <f>(CM195-Driver!$F$208)/(Driver!$G$208-Driver!$F$208)*$BI$1</f>
        <v/>
      </c>
      <c r="BQ195" s="102">
        <f>(CL195-Driver!$F$209)/(Driver!$G$209-Driver!$F$209)*$BI$1</f>
        <v/>
      </c>
      <c r="BR195" s="40" t="inlineStr">
        <is>
          <t>21/22</t>
        </is>
      </c>
      <c r="BS195" s="10" t="inlineStr">
        <is>
          <t xml:space="preserve"> Line</t>
        </is>
      </c>
      <c r="BT195" s="11" t="inlineStr">
        <is>
          <t>Sick Day 94</t>
        </is>
      </c>
      <c r="BU195" s="13" t="n">
        <v>179</v>
      </c>
      <c r="BV195" s="11" t="inlineStr">
        <is>
          <t xml:space="preserve"> Unisex</t>
        </is>
      </c>
      <c r="BW195" s="13" t="n">
        <v>179</v>
      </c>
      <c r="BX195" s="13" t="n">
        <v>178.8</v>
      </c>
      <c r="BY195" s="13" t="n">
        <v>138</v>
      </c>
      <c r="BZ195" s="13" t="n">
        <v>151</v>
      </c>
      <c r="CA195" s="13" t="n">
        <v>131</v>
      </c>
      <c r="CB195" s="13" t="n">
        <v>93</v>
      </c>
      <c r="CC195" s="13" t="n">
        <v>116</v>
      </c>
      <c r="CD195" s="13" t="n">
        <v>18</v>
      </c>
      <c r="CE195" s="13" t="n">
        <v>1763</v>
      </c>
      <c r="CF195" s="13" t="n">
        <v>1.07</v>
      </c>
      <c r="CG195" s="13" t="n">
        <v>1883</v>
      </c>
      <c r="CH195" s="13" t="n">
        <v>196</v>
      </c>
      <c r="CI195" s="13" t="n">
        <v>93</v>
      </c>
      <c r="CJ195" s="13" t="n">
        <v>42</v>
      </c>
      <c r="CK195" s="13" t="n">
        <v>280</v>
      </c>
      <c r="CL195" s="13" t="n">
        <v>15</v>
      </c>
      <c r="CM195" s="13" t="n">
        <v>129</v>
      </c>
      <c r="CN195" s="13" t="n">
        <v>0.357</v>
      </c>
      <c r="CO195" s="13" t="n">
        <v>147</v>
      </c>
      <c r="CP195" s="13" t="n">
        <v>127</v>
      </c>
      <c r="CQ195" s="13" t="n">
        <v>133</v>
      </c>
      <c r="CR195" s="13" t="n">
        <v>9</v>
      </c>
      <c r="CS195" s="13" t="n">
        <v>9.6</v>
      </c>
      <c r="CT195" s="11" t="inlineStr">
        <is>
          <t xml:space="preserve"> Resort Freeride</t>
        </is>
      </c>
      <c r="CU195" s="11" t="inlineStr">
        <is>
          <t xml:space="preserve"> Touring</t>
        </is>
      </c>
      <c r="CV195" s="13" t="n"/>
      <c r="CW195" s="13" t="n"/>
      <c r="CX195">
        <f>INDEX('Data_Price '!AG$2:AG$1266,MATCH(Data!$DN195,'Data_Price '!$AT$2:$AT$1266,0))</f>
        <v/>
      </c>
      <c r="CY195">
        <f>INDEX('Data_Price '!AH$2:AH$1266,MATCH(Data!$DN195,'Data_Price '!$AT$2:$AT$1266,0))</f>
        <v/>
      </c>
      <c r="CZ195">
        <f>INDEX('Data_Price '!AI$2:AI$1266,MATCH(Data!$DN195,'Data_Price '!$AT$2:$AT$1266,0))</f>
        <v/>
      </c>
      <c r="DA195">
        <f>INDEX('Data_Price '!AJ$2:AJ$1266,MATCH(Data!$DN195,'Data_Price '!$AT$2:$AT$1266,0))</f>
        <v/>
      </c>
      <c r="DB195">
        <f>INDEX('Data_Price '!AK$2:AK$1266,MATCH(Data!$DN195,'Data_Price '!$AT$2:$AT$1266,0))</f>
        <v/>
      </c>
      <c r="DC195">
        <f>INDEX('Data_Price '!AL$2:AL$1266,MATCH(Data!$DN195,'Data_Price '!$AT$2:$AT$1266,0))</f>
        <v/>
      </c>
      <c r="DD195">
        <f>INDEX('Data_Price '!AM$2:AM$1266,MATCH(Data!$DN195,'Data_Price '!$AT$2:$AT$1266,0))</f>
        <v/>
      </c>
      <c r="DE195">
        <f>INDEX('Data_Price '!AN$2:AN$1266,MATCH(Data!$DN195,'Data_Price '!$AT$2:$AT$1266,0))</f>
        <v/>
      </c>
      <c r="DF195">
        <f>INDEX('Data_Price '!AO$2:AO$1266,MATCH(Data!$DN195,'Data_Price '!$AT$2:$AT$1266,0))</f>
        <v/>
      </c>
      <c r="DG195">
        <f>INDEX('Data_Price '!AP$2:AP$1266,MATCH(Data!$DN195,'Data_Price '!$AT$2:$AT$1266,0))</f>
        <v/>
      </c>
      <c r="DH195">
        <f>INDEX('Data_Price '!AQ$2:AQ$1266,MATCH(Data!$DN195,'Data_Price '!$AT$2:$AT$1266,0))</f>
        <v/>
      </c>
      <c r="DI195">
        <f>INDEX('Data_Price '!AR$2:AR$1266,MATCH(Data!$DN195,'Data_Price '!$AT$2:$AT$1266,0))</f>
        <v/>
      </c>
      <c r="DJ195" s="138">
        <f>DA195</f>
        <v/>
      </c>
      <c r="DK195" s="138">
        <f>DE195</f>
        <v/>
      </c>
      <c r="DL195" s="138">
        <f>DI195</f>
        <v/>
      </c>
      <c r="DM195" s="303">
        <f>IF(LEFT(BT195,1)=" ",RIGHT(BT195,LEN(BT195)-1),BT195)</f>
        <v/>
      </c>
      <c r="DN195" s="138">
        <f>_xlfn.CONCAT(BS195,DM195,BU195,BV195)</f>
        <v/>
      </c>
      <c r="DO195" s="307" t="inlineStr">
        <is>
          <t>https://images.evo.com/imgp/250/198437/817697/line-skis-sick-day-94-skis-2022-.jpg</t>
        </is>
      </c>
    </row>
    <row r="196" ht="15.6" customHeight="1" s="184">
      <c r="B196" s="303">
        <f t="array" ref="B196">IF(OR(ISERROR(K196:P196)),FALSE,TRUE)</f>
        <v/>
      </c>
      <c r="C196" s="60">
        <f>OR(BR196=Driver!$G$50,Data!BR574=Driver!$H$50)</f>
        <v/>
      </c>
      <c r="D196" s="60">
        <f>OR(BV196=Driver!$G$51,BV196=Driver!$H$51)</f>
        <v/>
      </c>
      <c r="E196" s="60">
        <f>AND(BX196&gt;Driver!$F$54,BX196&lt;Driver!$G$54)</f>
        <v/>
      </c>
      <c r="F196" s="60">
        <f>CL196&gt;Driver!$F$56</f>
        <v/>
      </c>
      <c r="G196" s="60">
        <f>AND(CB196&gt;Driver!$F$55,CB196&lt;Driver!$G$55)</f>
        <v/>
      </c>
      <c r="H196" s="60">
        <f>AND(B196:G196)</f>
        <v/>
      </c>
      <c r="I196" s="60">
        <f>COUNTIFS($H$9:$H$1273,TRUE,$BT$9:$BT$1273,BT196)</f>
        <v/>
      </c>
      <c r="J196" s="60">
        <f t="array" ref="J196">NOT(OR(($H$9:$H$1273=TRUE)*($I$9:$I$1273&gt;0)*($BT$9:$BT$1273=BT196)*($K$9:$K$1273&gt;K196)))</f>
        <v/>
      </c>
      <c r="K196" s="108">
        <f>IFERROR(1-AVERAGE(X196:Y196),"")</f>
        <v/>
      </c>
      <c r="L196" s="108">
        <f>1-X196</f>
        <v/>
      </c>
      <c r="M196" s="108">
        <f>1-Y196</f>
        <v/>
      </c>
      <c r="N196" s="108">
        <f>1-Z196</f>
        <v/>
      </c>
      <c r="O196" s="108">
        <f>1-AA196</f>
        <v/>
      </c>
      <c r="P196" s="108">
        <f>1-AB196</f>
        <v/>
      </c>
      <c r="Q196" s="108" t="n"/>
      <c r="R196" s="108" t="n"/>
      <c r="S196" s="108">
        <f>1-AE196</f>
        <v/>
      </c>
      <c r="T196" s="108">
        <f>1-AF196</f>
        <v/>
      </c>
      <c r="U196" s="108">
        <f>1-AG196</f>
        <v/>
      </c>
      <c r="V196" s="108">
        <f>1-AH196</f>
        <v/>
      </c>
      <c r="W196" s="108">
        <f>1-AI196</f>
        <v/>
      </c>
      <c r="X196" s="108">
        <f>ABS(AJ196-AJ$1)</f>
        <v/>
      </c>
      <c r="Y196" s="108">
        <f>AVERAGE(Z196:AB196)</f>
        <v/>
      </c>
      <c r="Z196" s="108">
        <f>ABS(AL196-AL$1)</f>
        <v/>
      </c>
      <c r="AA196" s="108">
        <f>ABS(AM196-AM$1)</f>
        <v/>
      </c>
      <c r="AB196" s="108">
        <f>ABS(AN196-AN$1)</f>
        <v/>
      </c>
      <c r="AC196" s="108" t="n"/>
      <c r="AD196" s="108" t="n"/>
      <c r="AE196" s="108">
        <f>ABS(AQ$1-AQ196)</f>
        <v/>
      </c>
      <c r="AF196" s="108">
        <f>ABS(AR$1-AR196)</f>
        <v/>
      </c>
      <c r="AG196" s="108">
        <f>ABS(AS$1-AS196)</f>
        <v/>
      </c>
      <c r="AH196" s="108">
        <f>ABS(AT$1-AT196)</f>
        <v/>
      </c>
      <c r="AI196" s="108">
        <f>ABS(AU$1-AU196)</f>
        <v/>
      </c>
      <c r="AJ196" s="108">
        <f>(AV196-Driver!$K$179)/(Driver!$L$179-Driver!$K$179)</f>
        <v/>
      </c>
      <c r="AK196" s="108">
        <f>(AW196-Driver!$K$180)/(Driver!$L$180-Driver!$K$180)</f>
        <v/>
      </c>
      <c r="AL196" s="108">
        <f>(AX196-Driver!$K$181)/(Driver!$L$181-Driver!$K$181)</f>
        <v/>
      </c>
      <c r="AM196" s="108">
        <f>(AY196-Driver!$K$182)/(Driver!$L$182-Driver!$K$182)</f>
        <v/>
      </c>
      <c r="AN196" s="108">
        <f>(AZ196-Driver!$K$183)/(Driver!$L$183-Driver!$K$183)</f>
        <v/>
      </c>
      <c r="AO196" s="108" t="n"/>
      <c r="AP196" s="108" t="n"/>
      <c r="AQ196" s="108">
        <f>(BC196-Driver!$K$188)/(Driver!$L$188-Driver!$K$188)</f>
        <v/>
      </c>
      <c r="AR196" s="108">
        <f>MIN((BD196-Driver!$K$189)/(Driver!$L$189-Driver!$K$189),100%)</f>
        <v/>
      </c>
      <c r="AS196" s="108">
        <f>(BE196-Driver!$K$190)/(Driver!$L$190-Driver!$K$190)</f>
        <v/>
      </c>
      <c r="AT196" s="108">
        <f>(BF196-Driver!$K$191)/(Driver!$L$191-Driver!$K$191)</f>
        <v/>
      </c>
      <c r="AU196" s="108">
        <f>(BG196-Driver!$K$192)/(Driver!$L$192-Driver!$K$192)</f>
        <v/>
      </c>
      <c r="AV196" s="105">
        <f>IFERROR(BM196*BJ196^1/4,"")</f>
        <v/>
      </c>
      <c r="AW196" s="105">
        <f>IFERROR(SUM(AX196:AZ196),"")</f>
        <v/>
      </c>
      <c r="AX196" s="105">
        <f>IFERROR(BH196,"")</f>
        <v/>
      </c>
      <c r="AY196" s="105">
        <f>IFERROR(Driver!$K$19/Data!BH196/Data!BI196*Data!BK196*Data!BL196,"")</f>
        <v/>
      </c>
      <c r="AZ196" s="105">
        <f>IFERROR(BI196*BN196,"")</f>
        <v/>
      </c>
      <c r="BA196" s="105" t="n"/>
      <c r="BB196" s="105" t="n"/>
      <c r="BC196" s="105">
        <f>IFERROR(BI196*BN196*BK196/BJ196^(1/2),"")</f>
        <v/>
      </c>
      <c r="BD196" s="105">
        <f>IFERROR(BH196*BM196*BL196/BJ196/BK196,"")</f>
        <v/>
      </c>
      <c r="BE196" s="105">
        <f>IFERROR(MIN(BI196/BQ196/BP196/BO196/BH196,$BE$1),"")</f>
        <v/>
      </c>
      <c r="BF196" s="105">
        <f>IFERROR(BJ196*BO196*BP196/BK196,"")</f>
        <v/>
      </c>
      <c r="BG196" s="105">
        <f>IFERROR(1/BM196/BH196*BQ196,"")</f>
        <v/>
      </c>
      <c r="BH196" s="102">
        <f>MAX((CE196-Driver!$F$200)/(Driver!$G$200-Driver!$F$200)*$BI$1,1)</f>
        <v/>
      </c>
      <c r="BI196" s="102">
        <f>MAX($BI$1*(BY196-Driver!$F$201)/(Driver!$G$201-Driver!$F$201),1)</f>
        <v/>
      </c>
      <c r="BJ196" s="102">
        <f>(CB196-Driver!$F$206)/(Driver!$G$206-Driver!$F$206)*$BI$1</f>
        <v/>
      </c>
      <c r="BK196" s="102">
        <f>(CD196-Driver!$F$203)/(Driver!$G$203-Driver!$F$203)*$BI$1</f>
        <v/>
      </c>
      <c r="BL196" s="102">
        <f>MAX((CR196-Driver!$F$202)/(Driver!$G$202-Driver!$F$202)*$BI$1,1)</f>
        <v/>
      </c>
      <c r="BM196" s="102">
        <f>MAX((CH196-Driver!$F$204)/(Driver!$G$204-Driver!$F$204)*$BI$1,1)</f>
        <v/>
      </c>
      <c r="BN196" s="102">
        <f>(CI196-Driver!$F$205)/(Driver!$G$205-Driver!$F$205)*$BI$1</f>
        <v/>
      </c>
      <c r="BO196" s="102">
        <f>(CK196-Driver!$F$207)/(Driver!$G$207-Driver!$F$207)*$BI$1</f>
        <v/>
      </c>
      <c r="BP196" s="102">
        <f>(CM196-Driver!$F$208)/(Driver!$G$208-Driver!$F$208)*$BI$1</f>
        <v/>
      </c>
      <c r="BQ196" s="102">
        <f>(CL196-Driver!$F$209)/(Driver!$G$209-Driver!$F$209)*$BI$1</f>
        <v/>
      </c>
      <c r="BR196" s="40" t="inlineStr">
        <is>
          <t>21/22</t>
        </is>
      </c>
      <c r="BS196" s="10" t="inlineStr">
        <is>
          <t xml:space="preserve"> Fischer</t>
        </is>
      </c>
      <c r="BT196" s="11" t="inlineStr">
        <is>
          <t>Ranger 92 Ti</t>
        </is>
      </c>
      <c r="BU196" s="13" t="n">
        <v>171</v>
      </c>
      <c r="BV196" s="11" t="inlineStr">
        <is>
          <t xml:space="preserve"> Unisex</t>
        </is>
      </c>
      <c r="BW196" s="13" t="n">
        <v>171</v>
      </c>
      <c r="BX196" s="13" t="n">
        <v>170.8</v>
      </c>
      <c r="BY196" s="13" t="n">
        <v>117</v>
      </c>
      <c r="BZ196" s="13" t="n">
        <v>144</v>
      </c>
      <c r="CA196" s="13" t="n">
        <v>124</v>
      </c>
      <c r="CB196" s="13" t="n">
        <v>89</v>
      </c>
      <c r="CC196" s="13" t="n">
        <v>115</v>
      </c>
      <c r="CD196" s="13" t="n">
        <v>14.3</v>
      </c>
      <c r="CE196" s="13" t="n">
        <v>1645</v>
      </c>
      <c r="CF196" s="13" t="n">
        <v>1.06</v>
      </c>
      <c r="CG196" s="13" t="n">
        <v>1751</v>
      </c>
      <c r="CH196" s="13" t="n">
        <v>187</v>
      </c>
      <c r="CI196" s="13" t="n">
        <v>116</v>
      </c>
      <c r="CJ196" s="13" t="n">
        <v>49</v>
      </c>
      <c r="CK196" s="13" t="n">
        <v>317</v>
      </c>
      <c r="CL196" s="13" t="n">
        <v>16</v>
      </c>
      <c r="CM196" s="13" t="n">
        <v>216</v>
      </c>
      <c r="CN196" s="13" t="n">
        <v>0.319</v>
      </c>
      <c r="CO196" s="13" t="n">
        <v>132</v>
      </c>
      <c r="CP196" s="13" t="n">
        <v>138</v>
      </c>
      <c r="CQ196" s="13" t="n">
        <v>186</v>
      </c>
      <c r="CR196" s="13" t="n">
        <v>4</v>
      </c>
      <c r="CS196" s="13" t="n">
        <v>9.800000000000001</v>
      </c>
      <c r="CT196" s="11" t="inlineStr">
        <is>
          <t xml:space="preserve"> Resort Freeride</t>
        </is>
      </c>
      <c r="CU196" s="11" t="inlineStr">
        <is>
          <t xml:space="preserve"> Touring</t>
        </is>
      </c>
      <c r="CV196" s="13" t="n"/>
      <c r="CW196" s="13" t="n"/>
      <c r="CX196">
        <f>INDEX('Data_Price '!AG$2:AG$1266,MATCH(Data!$DN196,'Data_Price '!$AT$2:$AT$1266,0))</f>
        <v/>
      </c>
      <c r="CY196">
        <f>INDEX('Data_Price '!AH$2:AH$1266,MATCH(Data!$DN196,'Data_Price '!$AT$2:$AT$1266,0))</f>
        <v/>
      </c>
      <c r="CZ196">
        <f>INDEX('Data_Price '!AI$2:AI$1266,MATCH(Data!$DN196,'Data_Price '!$AT$2:$AT$1266,0))</f>
        <v/>
      </c>
      <c r="DA196">
        <f>INDEX('Data_Price '!AJ$2:AJ$1266,MATCH(Data!$DN196,'Data_Price '!$AT$2:$AT$1266,0))</f>
        <v/>
      </c>
      <c r="DB196">
        <f>INDEX('Data_Price '!AK$2:AK$1266,MATCH(Data!$DN196,'Data_Price '!$AT$2:$AT$1266,0))</f>
        <v/>
      </c>
      <c r="DC196">
        <f>INDEX('Data_Price '!AL$2:AL$1266,MATCH(Data!$DN196,'Data_Price '!$AT$2:$AT$1266,0))</f>
        <v/>
      </c>
      <c r="DD196">
        <f>INDEX('Data_Price '!AM$2:AM$1266,MATCH(Data!$DN196,'Data_Price '!$AT$2:$AT$1266,0))</f>
        <v/>
      </c>
      <c r="DE196">
        <f>INDEX('Data_Price '!AN$2:AN$1266,MATCH(Data!$DN196,'Data_Price '!$AT$2:$AT$1266,0))</f>
        <v/>
      </c>
      <c r="DF196">
        <f>INDEX('Data_Price '!AO$2:AO$1266,MATCH(Data!$DN196,'Data_Price '!$AT$2:$AT$1266,0))</f>
        <v/>
      </c>
      <c r="DG196">
        <f>INDEX('Data_Price '!AP$2:AP$1266,MATCH(Data!$DN196,'Data_Price '!$AT$2:$AT$1266,0))</f>
        <v/>
      </c>
      <c r="DH196">
        <f>INDEX('Data_Price '!AQ$2:AQ$1266,MATCH(Data!$DN196,'Data_Price '!$AT$2:$AT$1266,0))</f>
        <v/>
      </c>
      <c r="DI196">
        <f>INDEX('Data_Price '!AR$2:AR$1266,MATCH(Data!$DN196,'Data_Price '!$AT$2:$AT$1266,0))</f>
        <v/>
      </c>
      <c r="DJ196" s="138">
        <f>DA196</f>
        <v/>
      </c>
      <c r="DK196" s="138">
        <f>DE196</f>
        <v/>
      </c>
      <c r="DL196" s="138">
        <f>DI196</f>
        <v/>
      </c>
      <c r="DM196" s="303">
        <f>IF(LEFT(BT196,1)=" ",RIGHT(BT196,LEN(BT196)-1),BT196)</f>
        <v/>
      </c>
      <c r="DN196" s="138">
        <f>_xlfn.CONCAT(BS196,DM196,BU196,BV196)</f>
        <v/>
      </c>
      <c r="DO196" s="307" t="n"/>
    </row>
    <row r="197" ht="15.6" customHeight="1" s="184">
      <c r="B197" s="303">
        <f t="array" ref="B197">IF(OR(ISERROR(K197:P197)),FALSE,TRUE)</f>
        <v/>
      </c>
      <c r="C197" s="60">
        <f>OR(BR197=Driver!$G$50,Data!BR548=Driver!$H$50)</f>
        <v/>
      </c>
      <c r="D197" s="60">
        <f>OR(BV197=Driver!$G$51,BV197=Driver!$H$51)</f>
        <v/>
      </c>
      <c r="E197" s="60">
        <f>AND(BX197&gt;Driver!$F$54,BX197&lt;Driver!$G$54)</f>
        <v/>
      </c>
      <c r="F197" s="60">
        <f>CL197&gt;Driver!$F$56</f>
        <v/>
      </c>
      <c r="G197" s="60">
        <f>AND(CB197&gt;Driver!$F$55,CB197&lt;Driver!$G$55)</f>
        <v/>
      </c>
      <c r="H197" s="60">
        <f>AND(B197:G197)</f>
        <v/>
      </c>
      <c r="I197" s="60">
        <f>COUNTIFS($H$9:$H$1273,TRUE,$BT$9:$BT$1273,BT197)</f>
        <v/>
      </c>
      <c r="J197" s="60">
        <f t="array" ref="J197">NOT(OR(($H$9:$H$1273=TRUE)*($I$9:$I$1273&gt;0)*($BT$9:$BT$1273=BT197)*($K$9:$K$1273&gt;K197)))</f>
        <v/>
      </c>
      <c r="K197" s="108">
        <f>IFERROR(1-AVERAGE(X197:Y197),"")</f>
        <v/>
      </c>
      <c r="L197" s="108">
        <f>1-X197</f>
        <v/>
      </c>
      <c r="M197" s="108">
        <f>1-Y197</f>
        <v/>
      </c>
      <c r="N197" s="108">
        <f>1-Z197</f>
        <v/>
      </c>
      <c r="O197" s="108">
        <f>1-AA197</f>
        <v/>
      </c>
      <c r="P197" s="108">
        <f>1-AB197</f>
        <v/>
      </c>
      <c r="Q197" s="108" t="n"/>
      <c r="R197" s="108" t="n"/>
      <c r="S197" s="108">
        <f>1-AE197</f>
        <v/>
      </c>
      <c r="T197" s="108">
        <f>1-AF197</f>
        <v/>
      </c>
      <c r="U197" s="108">
        <f>1-AG197</f>
        <v/>
      </c>
      <c r="V197" s="108">
        <f>1-AH197</f>
        <v/>
      </c>
      <c r="W197" s="108">
        <f>1-AI197</f>
        <v/>
      </c>
      <c r="X197" s="108">
        <f>ABS(AJ197-AJ$1)</f>
        <v/>
      </c>
      <c r="Y197" s="108">
        <f>AVERAGE(Z197:AB197)</f>
        <v/>
      </c>
      <c r="Z197" s="108">
        <f>ABS(AL197-AL$1)</f>
        <v/>
      </c>
      <c r="AA197" s="108">
        <f>ABS(AM197-AM$1)</f>
        <v/>
      </c>
      <c r="AB197" s="108">
        <f>ABS(AN197-AN$1)</f>
        <v/>
      </c>
      <c r="AC197" s="108" t="n"/>
      <c r="AD197" s="108" t="n"/>
      <c r="AE197" s="108">
        <f>ABS(AQ$1-AQ197)</f>
        <v/>
      </c>
      <c r="AF197" s="108">
        <f>ABS(AR$1-AR197)</f>
        <v/>
      </c>
      <c r="AG197" s="108">
        <f>ABS(AS$1-AS197)</f>
        <v/>
      </c>
      <c r="AH197" s="108">
        <f>ABS(AT$1-AT197)</f>
        <v/>
      </c>
      <c r="AI197" s="108">
        <f>ABS(AU$1-AU197)</f>
        <v/>
      </c>
      <c r="AJ197" s="108">
        <f>(AV197-Driver!$K$179)/(Driver!$L$179-Driver!$K$179)</f>
        <v/>
      </c>
      <c r="AK197" s="108">
        <f>(AW197-Driver!$K$180)/(Driver!$L$180-Driver!$K$180)</f>
        <v/>
      </c>
      <c r="AL197" s="108">
        <f>(AX197-Driver!$K$181)/(Driver!$L$181-Driver!$K$181)</f>
        <v/>
      </c>
      <c r="AM197" s="108">
        <f>(AY197-Driver!$K$182)/(Driver!$L$182-Driver!$K$182)</f>
        <v/>
      </c>
      <c r="AN197" s="108">
        <f>(AZ197-Driver!$K$183)/(Driver!$L$183-Driver!$K$183)</f>
        <v/>
      </c>
      <c r="AO197" s="108" t="n"/>
      <c r="AP197" s="108" t="n"/>
      <c r="AQ197" s="108">
        <f>(BC197-Driver!$K$188)/(Driver!$L$188-Driver!$K$188)</f>
        <v/>
      </c>
      <c r="AR197" s="108">
        <f>MIN((BD197-Driver!$K$189)/(Driver!$L$189-Driver!$K$189),100%)</f>
        <v/>
      </c>
      <c r="AS197" s="108">
        <f>(BE197-Driver!$K$190)/(Driver!$L$190-Driver!$K$190)</f>
        <v/>
      </c>
      <c r="AT197" s="108">
        <f>(BF197-Driver!$K$191)/(Driver!$L$191-Driver!$K$191)</f>
        <v/>
      </c>
      <c r="AU197" s="108">
        <f>(BG197-Driver!$K$192)/(Driver!$L$192-Driver!$K$192)</f>
        <v/>
      </c>
      <c r="AV197" s="105">
        <f>IFERROR(BM197*BJ197^1/4,"")</f>
        <v/>
      </c>
      <c r="AW197" s="105">
        <f>IFERROR(SUM(AX197:AZ197),"")</f>
        <v/>
      </c>
      <c r="AX197" s="105">
        <f>IFERROR(BH197,"")</f>
        <v/>
      </c>
      <c r="AY197" s="105">
        <f>IFERROR(Driver!$K$19/Data!BH197/Data!BI197*Data!BK197*Data!BL197,"")</f>
        <v/>
      </c>
      <c r="AZ197" s="105">
        <f>IFERROR(BI197*BN197,"")</f>
        <v/>
      </c>
      <c r="BA197" s="105" t="n"/>
      <c r="BB197" s="105" t="n"/>
      <c r="BC197" s="105">
        <f>IFERROR(BI197*BN197*BK197/BJ197^(1/2),"")</f>
        <v/>
      </c>
      <c r="BD197" s="105">
        <f>IFERROR(BH197*BM197*BL197/BJ197/BK197,"")</f>
        <v/>
      </c>
      <c r="BE197" s="105">
        <f>IFERROR(MIN(BI197/BQ197/BP197/BO197/BH197,$BE$1),"")</f>
        <v/>
      </c>
      <c r="BF197" s="105">
        <f>IFERROR(BJ197*BO197*BP197/BK197,"")</f>
        <v/>
      </c>
      <c r="BG197" s="105">
        <f>IFERROR(1/BM197/BH197*BQ197,"")</f>
        <v/>
      </c>
      <c r="BH197" s="102">
        <f>MAX((CE197-Driver!$F$200)/(Driver!$G$200-Driver!$F$200)*$BI$1,1)</f>
        <v/>
      </c>
      <c r="BI197" s="102">
        <f>MAX($BI$1*(BY197-Driver!$F$201)/(Driver!$G$201-Driver!$F$201),1)</f>
        <v/>
      </c>
      <c r="BJ197" s="102">
        <f>(CB197-Driver!$F$206)/(Driver!$G$206-Driver!$F$206)*$BI$1</f>
        <v/>
      </c>
      <c r="BK197" s="102">
        <f>(CD197-Driver!$F$203)/(Driver!$G$203-Driver!$F$203)*$BI$1</f>
        <v/>
      </c>
      <c r="BL197" s="102">
        <f>MAX((CR197-Driver!$F$202)/(Driver!$G$202-Driver!$F$202)*$BI$1,1)</f>
        <v/>
      </c>
      <c r="BM197" s="102">
        <f>MAX((CH197-Driver!$F$204)/(Driver!$G$204-Driver!$F$204)*$BI$1,1)</f>
        <v/>
      </c>
      <c r="BN197" s="102">
        <f>(CI197-Driver!$F$205)/(Driver!$G$205-Driver!$F$205)*$BI$1</f>
        <v/>
      </c>
      <c r="BO197" s="102">
        <f>(CK197-Driver!$F$207)/(Driver!$G$207-Driver!$F$207)*$BI$1</f>
        <v/>
      </c>
      <c r="BP197" s="102">
        <f>(CM197-Driver!$F$208)/(Driver!$G$208-Driver!$F$208)*$BI$1</f>
        <v/>
      </c>
      <c r="BQ197" s="102">
        <f>(CL197-Driver!$F$209)/(Driver!$G$209-Driver!$F$209)*$BI$1</f>
        <v/>
      </c>
      <c r="BR197" s="40" t="inlineStr">
        <is>
          <t>21/22</t>
        </is>
      </c>
      <c r="BS197" s="10" t="inlineStr">
        <is>
          <t xml:space="preserve"> Ferreol</t>
        </is>
      </c>
      <c r="BT197" s="11" t="inlineStr">
        <is>
          <t>Pionnier 104</t>
        </is>
      </c>
      <c r="BU197" s="13" t="n">
        <v>180</v>
      </c>
      <c r="BV197" s="11" t="inlineStr">
        <is>
          <t xml:space="preserve"> Unisex</t>
        </is>
      </c>
      <c r="BW197" s="13" t="n">
        <v>180</v>
      </c>
      <c r="BX197" s="13" t="n">
        <v>179.2</v>
      </c>
      <c r="BY197" s="13" t="n">
        <v>125</v>
      </c>
      <c r="BZ197" s="13" t="n">
        <v>143</v>
      </c>
      <c r="CA197" s="13" t="n">
        <v>133</v>
      </c>
      <c r="CB197" s="13" t="n">
        <v>103</v>
      </c>
      <c r="CC197" s="13" t="n">
        <v>125</v>
      </c>
      <c r="CD197" s="13" t="n">
        <v>16.4</v>
      </c>
      <c r="CE197" s="13" t="n">
        <v>1720</v>
      </c>
      <c r="CF197" s="13" t="n">
        <v>1.19</v>
      </c>
      <c r="CG197" s="13" t="n">
        <v>2048</v>
      </c>
      <c r="CH197" s="13" t="n">
        <v>224</v>
      </c>
      <c r="CI197" s="13" t="n">
        <v>88</v>
      </c>
      <c r="CJ197" s="13" t="n">
        <v>44</v>
      </c>
      <c r="CK197" s="13" t="n">
        <v>326</v>
      </c>
      <c r="CL197" s="13" t="n">
        <v>26</v>
      </c>
      <c r="CM197" s="13" t="n">
        <v>219</v>
      </c>
      <c r="CN197" s="13" t="n">
        <v>0.599</v>
      </c>
      <c r="CO197" s="13" t="n">
        <v>244</v>
      </c>
      <c r="CP197" s="13" t="n">
        <v>116</v>
      </c>
      <c r="CQ197" s="13" t="n">
        <v>82</v>
      </c>
      <c r="CR197" s="13" t="n">
        <v>10</v>
      </c>
      <c r="CS197" s="13" t="n">
        <v>9</v>
      </c>
      <c r="CT197" s="11" t="inlineStr">
        <is>
          <t xml:space="preserve"> Resort Freeride</t>
        </is>
      </c>
      <c r="CU197" s="11" t="inlineStr">
        <is>
          <t xml:space="preserve"> Powder</t>
        </is>
      </c>
      <c r="CV197" s="11" t="inlineStr">
        <is>
          <t xml:space="preserve"> Touring</t>
        </is>
      </c>
      <c r="CW197" s="13" t="n"/>
      <c r="CX197">
        <f>INDEX('Data_Price '!AG$2:AG$1266,MATCH(Data!$DN197,'Data_Price '!$AT$2:$AT$1266,0))</f>
        <v/>
      </c>
      <c r="CY197">
        <f>INDEX('Data_Price '!AH$2:AH$1266,MATCH(Data!$DN197,'Data_Price '!$AT$2:$AT$1266,0))</f>
        <v/>
      </c>
      <c r="CZ197">
        <f>INDEX('Data_Price '!AI$2:AI$1266,MATCH(Data!$DN197,'Data_Price '!$AT$2:$AT$1266,0))</f>
        <v/>
      </c>
      <c r="DA197">
        <f>INDEX('Data_Price '!AJ$2:AJ$1266,MATCH(Data!$DN197,'Data_Price '!$AT$2:$AT$1266,0))</f>
        <v/>
      </c>
      <c r="DB197">
        <f>INDEX('Data_Price '!AK$2:AK$1266,MATCH(Data!$DN197,'Data_Price '!$AT$2:$AT$1266,0))</f>
        <v/>
      </c>
      <c r="DC197">
        <f>INDEX('Data_Price '!AL$2:AL$1266,MATCH(Data!$DN197,'Data_Price '!$AT$2:$AT$1266,0))</f>
        <v/>
      </c>
      <c r="DD197">
        <f>INDEX('Data_Price '!AM$2:AM$1266,MATCH(Data!$DN197,'Data_Price '!$AT$2:$AT$1266,0))</f>
        <v/>
      </c>
      <c r="DE197">
        <f>INDEX('Data_Price '!AN$2:AN$1266,MATCH(Data!$DN197,'Data_Price '!$AT$2:$AT$1266,0))</f>
        <v/>
      </c>
      <c r="DF197">
        <f>INDEX('Data_Price '!AO$2:AO$1266,MATCH(Data!$DN197,'Data_Price '!$AT$2:$AT$1266,0))</f>
        <v/>
      </c>
      <c r="DG197">
        <f>INDEX('Data_Price '!AP$2:AP$1266,MATCH(Data!$DN197,'Data_Price '!$AT$2:$AT$1266,0))</f>
        <v/>
      </c>
      <c r="DH197">
        <f>INDEX('Data_Price '!AQ$2:AQ$1266,MATCH(Data!$DN197,'Data_Price '!$AT$2:$AT$1266,0))</f>
        <v/>
      </c>
      <c r="DI197">
        <f>INDEX('Data_Price '!AR$2:AR$1266,MATCH(Data!$DN197,'Data_Price '!$AT$2:$AT$1266,0))</f>
        <v/>
      </c>
      <c r="DJ197" s="138">
        <f>DA197</f>
        <v/>
      </c>
      <c r="DK197" s="138">
        <f>DE197</f>
        <v/>
      </c>
      <c r="DL197" s="138">
        <f>DI197</f>
        <v/>
      </c>
      <c r="DM197" s="303">
        <f>IF(LEFT(BT197,1)=" ",RIGHT(BT197,LEN(BT197)-1),BT197)</f>
        <v/>
      </c>
      <c r="DN197" s="138">
        <f>_xlfn.CONCAT(BS197,DM197,BU197,BV197)</f>
        <v/>
      </c>
      <c r="DO197" s="307" t="n"/>
    </row>
    <row r="198" ht="15.6" customHeight="1" s="184">
      <c r="B198" s="303">
        <f t="array" ref="B198">IF(OR(ISERROR(K198:P198)),FALSE,TRUE)</f>
        <v/>
      </c>
      <c r="C198" s="60">
        <f>OR(BR198=Driver!$G$50,Data!BR423=Driver!$H$50)</f>
        <v/>
      </c>
      <c r="D198" s="60">
        <f>OR(BV198=Driver!$G$51,BV198=Driver!$H$51)</f>
        <v/>
      </c>
      <c r="E198" s="60">
        <f>AND(BX198&gt;Driver!$F$54,BX198&lt;Driver!$G$54)</f>
        <v/>
      </c>
      <c r="F198" s="60">
        <f>CL198&gt;Driver!$F$56</f>
        <v/>
      </c>
      <c r="G198" s="60">
        <f>AND(CB198&gt;Driver!$F$55,CB198&lt;Driver!$G$55)</f>
        <v/>
      </c>
      <c r="H198" s="60">
        <f>AND(B198:G198)</f>
        <v/>
      </c>
      <c r="I198" s="60">
        <f>COUNTIFS($H$9:$H$1273,TRUE,$BT$9:$BT$1273,BT198)</f>
        <v/>
      </c>
      <c r="J198" s="60">
        <f t="array" ref="J198">NOT(OR(($H$9:$H$1273=TRUE)*($I$9:$I$1273&gt;0)*($BT$9:$BT$1273=BT198)*($K$9:$K$1273&gt;K198)))</f>
        <v/>
      </c>
      <c r="K198" s="108">
        <f>IFERROR(1-AVERAGE(X198:Y198),"")</f>
        <v/>
      </c>
      <c r="L198" s="108">
        <f>1-X198</f>
        <v/>
      </c>
      <c r="M198" s="108">
        <f>1-Y198</f>
        <v/>
      </c>
      <c r="N198" s="108">
        <f>1-Z198</f>
        <v/>
      </c>
      <c r="O198" s="108">
        <f>1-AA198</f>
        <v/>
      </c>
      <c r="P198" s="108">
        <f>1-AB198</f>
        <v/>
      </c>
      <c r="Q198" s="108" t="n"/>
      <c r="R198" s="108" t="n"/>
      <c r="S198" s="108">
        <f>1-AE198</f>
        <v/>
      </c>
      <c r="T198" s="108">
        <f>1-AF198</f>
        <v/>
      </c>
      <c r="U198" s="108">
        <f>1-AG198</f>
        <v/>
      </c>
      <c r="V198" s="108">
        <f>1-AH198</f>
        <v/>
      </c>
      <c r="W198" s="108">
        <f>1-AI198</f>
        <v/>
      </c>
      <c r="X198" s="108">
        <f>ABS(AJ198-AJ$1)</f>
        <v/>
      </c>
      <c r="Y198" s="108">
        <f>AVERAGE(Z198:AB198)</f>
        <v/>
      </c>
      <c r="Z198" s="108">
        <f>ABS(AL198-AL$1)</f>
        <v/>
      </c>
      <c r="AA198" s="108">
        <f>ABS(AM198-AM$1)</f>
        <v/>
      </c>
      <c r="AB198" s="108">
        <f>ABS(AN198-AN$1)</f>
        <v/>
      </c>
      <c r="AC198" s="108" t="n"/>
      <c r="AD198" s="108" t="n"/>
      <c r="AE198" s="108">
        <f>ABS(AQ$1-AQ198)</f>
        <v/>
      </c>
      <c r="AF198" s="108">
        <f>ABS(AR$1-AR198)</f>
        <v/>
      </c>
      <c r="AG198" s="108">
        <f>ABS(AS$1-AS198)</f>
        <v/>
      </c>
      <c r="AH198" s="108">
        <f>ABS(AT$1-AT198)</f>
        <v/>
      </c>
      <c r="AI198" s="108">
        <f>ABS(AU$1-AU198)</f>
        <v/>
      </c>
      <c r="AJ198" s="108">
        <f>(AV198-Driver!$K$179)/(Driver!$L$179-Driver!$K$179)</f>
        <v/>
      </c>
      <c r="AK198" s="108">
        <f>(AW198-Driver!$K$180)/(Driver!$L$180-Driver!$K$180)</f>
        <v/>
      </c>
      <c r="AL198" s="108">
        <f>(AX198-Driver!$K$181)/(Driver!$L$181-Driver!$K$181)</f>
        <v/>
      </c>
      <c r="AM198" s="108">
        <f>(AY198-Driver!$K$182)/(Driver!$L$182-Driver!$K$182)</f>
        <v/>
      </c>
      <c r="AN198" s="108">
        <f>(AZ198-Driver!$K$183)/(Driver!$L$183-Driver!$K$183)</f>
        <v/>
      </c>
      <c r="AO198" s="108" t="n"/>
      <c r="AP198" s="108" t="n"/>
      <c r="AQ198" s="108">
        <f>(BC198-Driver!$K$188)/(Driver!$L$188-Driver!$K$188)</f>
        <v/>
      </c>
      <c r="AR198" s="108">
        <f>MIN((BD198-Driver!$K$189)/(Driver!$L$189-Driver!$K$189),100%)</f>
        <v/>
      </c>
      <c r="AS198" s="108">
        <f>(BE198-Driver!$K$190)/(Driver!$L$190-Driver!$K$190)</f>
        <v/>
      </c>
      <c r="AT198" s="108">
        <f>(BF198-Driver!$K$191)/(Driver!$L$191-Driver!$K$191)</f>
        <v/>
      </c>
      <c r="AU198" s="108">
        <f>(BG198-Driver!$K$192)/(Driver!$L$192-Driver!$K$192)</f>
        <v/>
      </c>
      <c r="AV198" s="105">
        <f>IFERROR(BM198*BJ198^1/4,"")</f>
        <v/>
      </c>
      <c r="AW198" s="105">
        <f>IFERROR(SUM(AX198:AZ198),"")</f>
        <v/>
      </c>
      <c r="AX198" s="105">
        <f>IFERROR(BH198,"")</f>
        <v/>
      </c>
      <c r="AY198" s="105">
        <f>IFERROR(Driver!$K$19/Data!BH198/Data!BI198*Data!BK198*Data!BL198,"")</f>
        <v/>
      </c>
      <c r="AZ198" s="105">
        <f>IFERROR(BI198*BN198,"")</f>
        <v/>
      </c>
      <c r="BA198" s="105" t="n"/>
      <c r="BB198" s="105" t="n"/>
      <c r="BC198" s="105">
        <f>IFERROR(BI198*BN198*BK198/BJ198^(1/2),"")</f>
        <v/>
      </c>
      <c r="BD198" s="105">
        <f>IFERROR(BH198*BM198*BL198/BJ198/BK198,"")</f>
        <v/>
      </c>
      <c r="BE198" s="105">
        <f>IFERROR(MIN(BI198/BQ198/BP198/BO198/BH198,$BE$1),"")</f>
        <v/>
      </c>
      <c r="BF198" s="105">
        <f>IFERROR(BJ198*BO198*BP198/BK198,"")</f>
        <v/>
      </c>
      <c r="BG198" s="105">
        <f>IFERROR(1/BM198/BH198*BQ198,"")</f>
        <v/>
      </c>
      <c r="BH198" s="102">
        <f>MAX((CE198-Driver!$F$200)/(Driver!$G$200-Driver!$F$200)*$BI$1,1)</f>
        <v/>
      </c>
      <c r="BI198" s="102">
        <f>MAX($BI$1*(BY198-Driver!$F$201)/(Driver!$G$201-Driver!$F$201),1)</f>
        <v/>
      </c>
      <c r="BJ198" s="102">
        <f>(CB198-Driver!$F$206)/(Driver!$G$206-Driver!$F$206)*$BI$1</f>
        <v/>
      </c>
      <c r="BK198" s="102">
        <f>(CD198-Driver!$F$203)/(Driver!$G$203-Driver!$F$203)*$BI$1</f>
        <v/>
      </c>
      <c r="BL198" s="102">
        <f>MAX((CR198-Driver!$F$202)/(Driver!$G$202-Driver!$F$202)*$BI$1,1)</f>
        <v/>
      </c>
      <c r="BM198" s="102">
        <f>MAX((CH198-Driver!$F$204)/(Driver!$G$204-Driver!$F$204)*$BI$1,1)</f>
        <v/>
      </c>
      <c r="BN198" s="102">
        <f>(CI198-Driver!$F$205)/(Driver!$G$205-Driver!$F$205)*$BI$1</f>
        <v/>
      </c>
      <c r="BO198" s="102">
        <f>(CK198-Driver!$F$207)/(Driver!$G$207-Driver!$F$207)*$BI$1</f>
        <v/>
      </c>
      <c r="BP198" s="102">
        <f>(CM198-Driver!$F$208)/(Driver!$G$208-Driver!$F$208)*$BI$1</f>
        <v/>
      </c>
      <c r="BQ198" s="102">
        <f>(CL198-Driver!$F$209)/(Driver!$G$209-Driver!$F$209)*$BI$1</f>
        <v/>
      </c>
      <c r="BR198" s="40" t="inlineStr">
        <is>
          <t>21/22</t>
        </is>
      </c>
      <c r="BS198" s="10" t="inlineStr">
        <is>
          <t xml:space="preserve"> Elan</t>
        </is>
      </c>
      <c r="BT198" s="11" t="inlineStr">
        <is>
          <t xml:space="preserve"> Ace Speed Magic</t>
        </is>
      </c>
      <c r="BU198" s="13" t="n">
        <v>149</v>
      </c>
      <c r="BV198" s="11" t="inlineStr">
        <is>
          <t xml:space="preserve"> Women's</t>
        </is>
      </c>
      <c r="BW198" s="13" t="n">
        <v>149</v>
      </c>
      <c r="BX198" s="13" t="n">
        <v>147.7</v>
      </c>
      <c r="BY198" s="13" t="n">
        <v>131</v>
      </c>
      <c r="BZ198" s="13" t="n">
        <v>138</v>
      </c>
      <c r="CA198" s="13" t="n">
        <v>109</v>
      </c>
      <c r="CB198" s="13" t="n">
        <v>67</v>
      </c>
      <c r="CC198" s="13" t="n">
        <v>95</v>
      </c>
      <c r="CD198" s="13" t="n">
        <v>12.7</v>
      </c>
      <c r="CE198" s="13" t="n">
        <v>1569</v>
      </c>
      <c r="CF198" s="13" t="n">
        <v>0.76</v>
      </c>
      <c r="CG198" s="13" t="n">
        <v>1185</v>
      </c>
      <c r="CH198" s="13" t="n">
        <v>222</v>
      </c>
      <c r="CI198" s="13" t="n">
        <v>98</v>
      </c>
      <c r="CJ198" s="13" t="n">
        <v>34</v>
      </c>
      <c r="CK198" s="13" t="n">
        <v>125</v>
      </c>
      <c r="CL198" s="13" t="n">
        <v>3</v>
      </c>
      <c r="CM198" s="13" t="n">
        <v>44</v>
      </c>
      <c r="CN198" s="13" t="n">
        <v>0.079</v>
      </c>
      <c r="CO198" s="13" t="n">
        <v>57</v>
      </c>
      <c r="CP198" s="13" t="n">
        <v>40</v>
      </c>
      <c r="CQ198" s="13" t="n">
        <v>68</v>
      </c>
      <c r="CR198" s="13" t="n">
        <v>6</v>
      </c>
      <c r="CS198" s="13" t="n">
        <v>11</v>
      </c>
      <c r="CT198" s="11" t="inlineStr">
        <is>
          <t xml:space="preserve"> On-Piste Carving</t>
        </is>
      </c>
      <c r="CU198" s="13" t="n"/>
      <c r="CV198" s="13" t="n"/>
      <c r="CW198" s="13" t="n"/>
      <c r="CX198">
        <f>INDEX('Data_Price '!AG$2:AG$1266,MATCH(Data!$DN198,'Data_Price '!$AT$2:$AT$1266,0))</f>
        <v/>
      </c>
      <c r="CY198">
        <f>INDEX('Data_Price '!AH$2:AH$1266,MATCH(Data!$DN198,'Data_Price '!$AT$2:$AT$1266,0))</f>
        <v/>
      </c>
      <c r="CZ198">
        <f>INDEX('Data_Price '!AI$2:AI$1266,MATCH(Data!$DN198,'Data_Price '!$AT$2:$AT$1266,0))</f>
        <v/>
      </c>
      <c r="DA198">
        <f>INDEX('Data_Price '!AJ$2:AJ$1266,MATCH(Data!$DN198,'Data_Price '!$AT$2:$AT$1266,0))</f>
        <v/>
      </c>
      <c r="DB198">
        <f>INDEX('Data_Price '!AK$2:AK$1266,MATCH(Data!$DN198,'Data_Price '!$AT$2:$AT$1266,0))</f>
        <v/>
      </c>
      <c r="DC198">
        <f>INDEX('Data_Price '!AL$2:AL$1266,MATCH(Data!$DN198,'Data_Price '!$AT$2:$AT$1266,0))</f>
        <v/>
      </c>
      <c r="DD198">
        <f>INDEX('Data_Price '!AM$2:AM$1266,MATCH(Data!$DN198,'Data_Price '!$AT$2:$AT$1266,0))</f>
        <v/>
      </c>
      <c r="DE198">
        <f>INDEX('Data_Price '!AN$2:AN$1266,MATCH(Data!$DN198,'Data_Price '!$AT$2:$AT$1266,0))</f>
        <v/>
      </c>
      <c r="DF198">
        <f>INDEX('Data_Price '!AO$2:AO$1266,MATCH(Data!$DN198,'Data_Price '!$AT$2:$AT$1266,0))</f>
        <v/>
      </c>
      <c r="DG198">
        <f>INDEX('Data_Price '!AP$2:AP$1266,MATCH(Data!$DN198,'Data_Price '!$AT$2:$AT$1266,0))</f>
        <v/>
      </c>
      <c r="DH198">
        <f>INDEX('Data_Price '!AQ$2:AQ$1266,MATCH(Data!$DN198,'Data_Price '!$AT$2:$AT$1266,0))</f>
        <v/>
      </c>
      <c r="DI198">
        <f>INDEX('Data_Price '!AR$2:AR$1266,MATCH(Data!$DN198,'Data_Price '!$AT$2:$AT$1266,0))</f>
        <v/>
      </c>
      <c r="DJ198" s="138">
        <f>DA198</f>
        <v/>
      </c>
      <c r="DK198" s="138">
        <f>DE198</f>
        <v/>
      </c>
      <c r="DL198" s="138">
        <f>DI198</f>
        <v/>
      </c>
      <c r="DM198" s="303">
        <f>IF(LEFT(BT198,1)=" ",RIGHT(BT198,LEN(BT198)-1),BT198)</f>
        <v/>
      </c>
      <c r="DN198" s="138">
        <f>_xlfn.CONCAT(BS198,DM198,BU198,BV198)</f>
        <v/>
      </c>
      <c r="DO198" s="307" t="n"/>
    </row>
    <row r="199" ht="15.6" customHeight="1" s="184">
      <c r="B199" s="303">
        <f t="array" ref="B199">IF(OR(ISERROR(K199:P199)),FALSE,TRUE)</f>
        <v/>
      </c>
      <c r="C199" s="60">
        <f>OR(BR199=Driver!$G$50,Data!BR1103=Driver!$H$50)</f>
        <v/>
      </c>
      <c r="D199" s="60">
        <f>OR(BV199=Driver!$G$51,BV199=Driver!$H$51)</f>
        <v/>
      </c>
      <c r="E199" s="60">
        <f>AND(BX199&gt;Driver!$F$54,BX199&lt;Driver!$G$54)</f>
        <v/>
      </c>
      <c r="F199" s="60">
        <f>CL199&gt;Driver!$F$56</f>
        <v/>
      </c>
      <c r="G199" s="60">
        <f>AND(CB199&gt;Driver!$F$55,CB199&lt;Driver!$G$55)</f>
        <v/>
      </c>
      <c r="H199" s="60">
        <f>AND(B199:G199)</f>
        <v/>
      </c>
      <c r="I199" s="60">
        <f>COUNTIFS($H$9:$H$1273,TRUE,$BT$9:$BT$1273,BT199)</f>
        <v/>
      </c>
      <c r="J199" s="60">
        <f t="array" ref="J199">NOT(OR(($H$9:$H$1273=TRUE)*($I$9:$I$1273&gt;0)*($BT$9:$BT$1273=BT199)*($K$9:$K$1273&gt;K199)))</f>
        <v/>
      </c>
      <c r="K199" s="108">
        <f>IFERROR(1-AVERAGE(X199:Y199),"")</f>
        <v/>
      </c>
      <c r="L199" s="108">
        <f>1-X199</f>
        <v/>
      </c>
      <c r="M199" s="108">
        <f>1-Y199</f>
        <v/>
      </c>
      <c r="N199" s="108">
        <f>1-Z199</f>
        <v/>
      </c>
      <c r="O199" s="108">
        <f>1-AA199</f>
        <v/>
      </c>
      <c r="P199" s="108">
        <f>1-AB199</f>
        <v/>
      </c>
      <c r="Q199" s="108" t="n"/>
      <c r="R199" s="108" t="n"/>
      <c r="S199" s="108">
        <f>1-AE199</f>
        <v/>
      </c>
      <c r="T199" s="108">
        <f>1-AF199</f>
        <v/>
      </c>
      <c r="U199" s="108">
        <f>1-AG199</f>
        <v/>
      </c>
      <c r="V199" s="108">
        <f>1-AH199</f>
        <v/>
      </c>
      <c r="W199" s="108">
        <f>1-AI199</f>
        <v/>
      </c>
      <c r="X199" s="108">
        <f>ABS(AJ199-AJ$1)</f>
        <v/>
      </c>
      <c r="Y199" s="108">
        <f>AVERAGE(Z199:AB199)</f>
        <v/>
      </c>
      <c r="Z199" s="108">
        <f>ABS(AL199-AL$1)</f>
        <v/>
      </c>
      <c r="AA199" s="108">
        <f>ABS(AM199-AM$1)</f>
        <v/>
      </c>
      <c r="AB199" s="108">
        <f>ABS(AN199-AN$1)</f>
        <v/>
      </c>
      <c r="AC199" s="108" t="n"/>
      <c r="AD199" s="108" t="n"/>
      <c r="AE199" s="108">
        <f>ABS(AQ$1-AQ199)</f>
        <v/>
      </c>
      <c r="AF199" s="108">
        <f>ABS(AR$1-AR199)</f>
        <v/>
      </c>
      <c r="AG199" s="108">
        <f>ABS(AS$1-AS199)</f>
        <v/>
      </c>
      <c r="AH199" s="108">
        <f>ABS(AT$1-AT199)</f>
        <v/>
      </c>
      <c r="AI199" s="108">
        <f>ABS(AU$1-AU199)</f>
        <v/>
      </c>
      <c r="AJ199" s="108">
        <f>(AV199-Driver!$K$179)/(Driver!$L$179-Driver!$K$179)</f>
        <v/>
      </c>
      <c r="AK199" s="108">
        <f>(AW199-Driver!$K$180)/(Driver!$L$180-Driver!$K$180)</f>
        <v/>
      </c>
      <c r="AL199" s="108">
        <f>(AX199-Driver!$K$181)/(Driver!$L$181-Driver!$K$181)</f>
        <v/>
      </c>
      <c r="AM199" s="108">
        <f>(AY199-Driver!$K$182)/(Driver!$L$182-Driver!$K$182)</f>
        <v/>
      </c>
      <c r="AN199" s="108">
        <f>(AZ199-Driver!$K$183)/(Driver!$L$183-Driver!$K$183)</f>
        <v/>
      </c>
      <c r="AO199" s="108" t="n"/>
      <c r="AP199" s="108" t="n"/>
      <c r="AQ199" s="108">
        <f>(BC199-Driver!$K$188)/(Driver!$L$188-Driver!$K$188)</f>
        <v/>
      </c>
      <c r="AR199" s="108">
        <f>MIN((BD199-Driver!$K$189)/(Driver!$L$189-Driver!$K$189),100%)</f>
        <v/>
      </c>
      <c r="AS199" s="108">
        <f>(BE199-Driver!$K$190)/(Driver!$L$190-Driver!$K$190)</f>
        <v/>
      </c>
      <c r="AT199" s="108">
        <f>(BF199-Driver!$K$191)/(Driver!$L$191-Driver!$K$191)</f>
        <v/>
      </c>
      <c r="AU199" s="108">
        <f>(BG199-Driver!$K$192)/(Driver!$L$192-Driver!$K$192)</f>
        <v/>
      </c>
      <c r="AV199" s="105">
        <f>IFERROR(BM199*BJ199^1/4,"")</f>
        <v/>
      </c>
      <c r="AW199" s="105">
        <f>IFERROR(SUM(AX199:AZ199),"")</f>
        <v/>
      </c>
      <c r="AX199" s="105">
        <f>IFERROR(BH199,"")</f>
        <v/>
      </c>
      <c r="AY199" s="105">
        <f>IFERROR(Driver!$K$19/Data!BH199/Data!BI199*Data!BK199*Data!BL199,"")</f>
        <v/>
      </c>
      <c r="AZ199" s="105">
        <f>IFERROR(BI199*BN199,"")</f>
        <v/>
      </c>
      <c r="BA199" s="105" t="n"/>
      <c r="BB199" s="105" t="n"/>
      <c r="BC199" s="105">
        <f>IFERROR(BI199*BN199*BK199/BJ199^(1/2),"")</f>
        <v/>
      </c>
      <c r="BD199" s="105">
        <f>IFERROR(BH199*BM199*BL199/BJ199/BK199,"")</f>
        <v/>
      </c>
      <c r="BE199" s="105">
        <f>IFERROR(MIN(BI199/BQ199/BP199/BO199/BH199,$BE$1),"")</f>
        <v/>
      </c>
      <c r="BF199" s="105">
        <f>IFERROR(BJ199*BO199*BP199/BK199,"")</f>
        <v/>
      </c>
      <c r="BG199" s="105">
        <f>IFERROR(1/BM199/BH199*BQ199,"")</f>
        <v/>
      </c>
      <c r="BH199" s="102">
        <f>MAX((CE199-Driver!$F$200)/(Driver!$G$200-Driver!$F$200)*$BI$1,1)</f>
        <v/>
      </c>
      <c r="BI199" s="102">
        <f>MAX($BI$1*(BY199-Driver!$F$201)/(Driver!$G$201-Driver!$F$201),1)</f>
        <v/>
      </c>
      <c r="BJ199" s="102">
        <f>(CB199-Driver!$F$206)/(Driver!$G$206-Driver!$F$206)*$BI$1</f>
        <v/>
      </c>
      <c r="BK199" s="102">
        <f>(CD199-Driver!$F$203)/(Driver!$G$203-Driver!$F$203)*$BI$1</f>
        <v/>
      </c>
      <c r="BL199" s="102">
        <f>MAX((CR199-Driver!$F$202)/(Driver!$G$202-Driver!$F$202)*$BI$1,1)</f>
        <v/>
      </c>
      <c r="BM199" s="102">
        <f>MAX((CH199-Driver!$F$204)/(Driver!$G$204-Driver!$F$204)*$BI$1,1)</f>
        <v/>
      </c>
      <c r="BN199" s="102">
        <f>(CI199-Driver!$F$205)/(Driver!$G$205-Driver!$F$205)*$BI$1</f>
        <v/>
      </c>
      <c r="BO199" s="102">
        <f>(CK199-Driver!$F$207)/(Driver!$G$207-Driver!$F$207)*$BI$1</f>
        <v/>
      </c>
      <c r="BP199" s="102">
        <f>(CM199-Driver!$F$208)/(Driver!$G$208-Driver!$F$208)*$BI$1</f>
        <v/>
      </c>
      <c r="BQ199" s="102">
        <f>(CL199-Driver!$F$209)/(Driver!$G$209-Driver!$F$209)*$BI$1</f>
        <v/>
      </c>
      <c r="BR199" s="40" t="inlineStr">
        <is>
          <t>21/22</t>
        </is>
      </c>
      <c r="BS199" s="10" t="inlineStr">
        <is>
          <t xml:space="preserve"> Salomon</t>
        </is>
      </c>
      <c r="BT199" s="11" t="inlineStr">
        <is>
          <t>Stance 84</t>
        </is>
      </c>
      <c r="BU199" s="13" t="n">
        <v>177</v>
      </c>
      <c r="BV199" s="11" t="inlineStr">
        <is>
          <t xml:space="preserve"> Unisex</t>
        </is>
      </c>
      <c r="BW199" s="13" t="n">
        <v>177</v>
      </c>
      <c r="BX199" s="13" t="n">
        <v>175.9</v>
      </c>
      <c r="BY199" s="13" t="n">
        <v>131</v>
      </c>
      <c r="BZ199" s="13" t="n">
        <v>148</v>
      </c>
      <c r="CA199" s="13" t="n">
        <v>122</v>
      </c>
      <c r="CB199" s="13" t="n">
        <v>84</v>
      </c>
      <c r="CC199" s="13" t="n">
        <v>105</v>
      </c>
      <c r="CD199" s="13" t="n">
        <v>16.2</v>
      </c>
      <c r="CE199" s="13" t="n">
        <v>1616</v>
      </c>
      <c r="CF199" s="13" t="n">
        <v>1.06</v>
      </c>
      <c r="CG199" s="13" t="n">
        <v>1708</v>
      </c>
      <c r="CH199" s="13" t="n">
        <v>205</v>
      </c>
      <c r="CI199" s="13" t="n">
        <v>88</v>
      </c>
      <c r="CJ199" s="13" t="n">
        <v>49</v>
      </c>
      <c r="CK199" s="13" t="n">
        <v>256</v>
      </c>
      <c r="CL199" s="13" t="n">
        <v>12</v>
      </c>
      <c r="CM199" s="13" t="n">
        <v>198</v>
      </c>
      <c r="CN199" s="13" t="n">
        <v>0.238</v>
      </c>
      <c r="CO199" s="13" t="n">
        <v>162</v>
      </c>
      <c r="CP199" s="13" t="n">
        <v>115</v>
      </c>
      <c r="CQ199" s="13" t="n">
        <v>93</v>
      </c>
      <c r="CR199" s="13" t="n">
        <v>7</v>
      </c>
      <c r="CS199" s="13" t="n">
        <v>9.9</v>
      </c>
      <c r="CT199" s="11" t="inlineStr">
        <is>
          <t xml:space="preserve"> On-Piste All-Mountain</t>
        </is>
      </c>
      <c r="CU199" s="11" t="inlineStr">
        <is>
          <t xml:space="preserve"> Resort Freeride</t>
        </is>
      </c>
      <c r="CV199" s="11" t="inlineStr">
        <is>
          <t xml:space="preserve"> Touring</t>
        </is>
      </c>
      <c r="CW199" s="13" t="n"/>
      <c r="CX199">
        <f>INDEX('Data_Price '!AG$2:AG$1266,MATCH(Data!$DN199,'Data_Price '!$AT$2:$AT$1266,0))</f>
        <v/>
      </c>
      <c r="CY199">
        <f>INDEX('Data_Price '!AH$2:AH$1266,MATCH(Data!$DN199,'Data_Price '!$AT$2:$AT$1266,0))</f>
        <v/>
      </c>
      <c r="CZ199">
        <f>INDEX('Data_Price '!AI$2:AI$1266,MATCH(Data!$DN199,'Data_Price '!$AT$2:$AT$1266,0))</f>
        <v/>
      </c>
      <c r="DA199">
        <f>INDEX('Data_Price '!AJ$2:AJ$1266,MATCH(Data!$DN199,'Data_Price '!$AT$2:$AT$1266,0))</f>
        <v/>
      </c>
      <c r="DB199">
        <f>INDEX('Data_Price '!AK$2:AK$1266,MATCH(Data!$DN199,'Data_Price '!$AT$2:$AT$1266,0))</f>
        <v/>
      </c>
      <c r="DC199">
        <f>INDEX('Data_Price '!AL$2:AL$1266,MATCH(Data!$DN199,'Data_Price '!$AT$2:$AT$1266,0))</f>
        <v/>
      </c>
      <c r="DD199">
        <f>INDEX('Data_Price '!AM$2:AM$1266,MATCH(Data!$DN199,'Data_Price '!$AT$2:$AT$1266,0))</f>
        <v/>
      </c>
      <c r="DE199">
        <f>INDEX('Data_Price '!AN$2:AN$1266,MATCH(Data!$DN199,'Data_Price '!$AT$2:$AT$1266,0))</f>
        <v/>
      </c>
      <c r="DF199">
        <f>INDEX('Data_Price '!AO$2:AO$1266,MATCH(Data!$DN199,'Data_Price '!$AT$2:$AT$1266,0))</f>
        <v/>
      </c>
      <c r="DG199">
        <f>INDEX('Data_Price '!AP$2:AP$1266,MATCH(Data!$DN199,'Data_Price '!$AT$2:$AT$1266,0))</f>
        <v/>
      </c>
      <c r="DH199">
        <f>INDEX('Data_Price '!AQ$2:AQ$1266,MATCH(Data!$DN199,'Data_Price '!$AT$2:$AT$1266,0))</f>
        <v/>
      </c>
      <c r="DI199">
        <f>INDEX('Data_Price '!AR$2:AR$1266,MATCH(Data!$DN199,'Data_Price '!$AT$2:$AT$1266,0))</f>
        <v/>
      </c>
      <c r="DJ199" s="138">
        <f>DA199</f>
        <v/>
      </c>
      <c r="DK199" s="138">
        <f>DE199</f>
        <v/>
      </c>
      <c r="DL199" s="138">
        <f>DI199</f>
        <v/>
      </c>
      <c r="DM199" s="303">
        <f>IF(LEFT(BT199,1)=" ",RIGHT(BT199,LEN(BT199)-1),BT199)</f>
        <v/>
      </c>
      <c r="DN199" s="138">
        <f>_xlfn.CONCAT(BS199,DM199,BU199,BV199)</f>
        <v/>
      </c>
      <c r="DO199" s="307" t="inlineStr">
        <is>
          <t>https://images.evo.com/imgp/250/197287/812033/clone.jpg</t>
        </is>
      </c>
    </row>
    <row r="200" ht="15.6" customHeight="1" s="184">
      <c r="B200" s="303">
        <f t="array" ref="B200">IF(OR(ISERROR(K200:P200)),FALSE,TRUE)</f>
        <v/>
      </c>
      <c r="C200" s="60">
        <f>OR(BR200=Driver!$G$50,Data!BR544=Driver!$H$50)</f>
        <v/>
      </c>
      <c r="D200" s="60">
        <f>OR(BV200=Driver!$G$51,BV200=Driver!$H$51)</f>
        <v/>
      </c>
      <c r="E200" s="60">
        <f>AND(BX200&gt;Driver!$F$54,BX200&lt;Driver!$G$54)</f>
        <v/>
      </c>
      <c r="F200" s="60">
        <f>CL200&gt;Driver!$F$56</f>
        <v/>
      </c>
      <c r="G200" s="60">
        <f>AND(CB200&gt;Driver!$F$55,CB200&lt;Driver!$G$55)</f>
        <v/>
      </c>
      <c r="H200" s="60">
        <f>AND(B200:G200)</f>
        <v/>
      </c>
      <c r="I200" s="60">
        <f>COUNTIFS($H$9:$H$1273,TRUE,$BT$9:$BT$1273,BT200)</f>
        <v/>
      </c>
      <c r="J200" s="60">
        <f t="array" ref="J200">NOT(OR(($H$9:$H$1273=TRUE)*($I$9:$I$1273&gt;0)*($BT$9:$BT$1273=BT200)*($K$9:$K$1273&gt;K200)))</f>
        <v/>
      </c>
      <c r="K200" s="108">
        <f>IFERROR(1-AVERAGE(X200:Y200),"")</f>
        <v/>
      </c>
      <c r="L200" s="108">
        <f>1-X200</f>
        <v/>
      </c>
      <c r="M200" s="108">
        <f>1-Y200</f>
        <v/>
      </c>
      <c r="N200" s="108">
        <f>1-Z200</f>
        <v/>
      </c>
      <c r="O200" s="108">
        <f>1-AA200</f>
        <v/>
      </c>
      <c r="P200" s="108">
        <f>1-AB200</f>
        <v/>
      </c>
      <c r="Q200" s="108" t="n"/>
      <c r="R200" s="108" t="n"/>
      <c r="S200" s="108">
        <f>1-AE200</f>
        <v/>
      </c>
      <c r="T200" s="108">
        <f>1-AF200</f>
        <v/>
      </c>
      <c r="U200" s="108">
        <f>1-AG200</f>
        <v/>
      </c>
      <c r="V200" s="108">
        <f>1-AH200</f>
        <v/>
      </c>
      <c r="W200" s="108">
        <f>1-AI200</f>
        <v/>
      </c>
      <c r="X200" s="108">
        <f>ABS(AJ200-AJ$1)</f>
        <v/>
      </c>
      <c r="Y200" s="108">
        <f>AVERAGE(Z200:AB200)</f>
        <v/>
      </c>
      <c r="Z200" s="108">
        <f>ABS(AL200-AL$1)</f>
        <v/>
      </c>
      <c r="AA200" s="108">
        <f>ABS(AM200-AM$1)</f>
        <v/>
      </c>
      <c r="AB200" s="108">
        <f>ABS(AN200-AN$1)</f>
        <v/>
      </c>
      <c r="AC200" s="108" t="n"/>
      <c r="AD200" s="108" t="n"/>
      <c r="AE200" s="108">
        <f>ABS(AQ$1-AQ200)</f>
        <v/>
      </c>
      <c r="AF200" s="108">
        <f>ABS(AR$1-AR200)</f>
        <v/>
      </c>
      <c r="AG200" s="108">
        <f>ABS(AS$1-AS200)</f>
        <v/>
      </c>
      <c r="AH200" s="108">
        <f>ABS(AT$1-AT200)</f>
        <v/>
      </c>
      <c r="AI200" s="108">
        <f>ABS(AU$1-AU200)</f>
        <v/>
      </c>
      <c r="AJ200" s="108">
        <f>(AV200-Driver!$K$179)/(Driver!$L$179-Driver!$K$179)</f>
        <v/>
      </c>
      <c r="AK200" s="108">
        <f>(AW200-Driver!$K$180)/(Driver!$L$180-Driver!$K$180)</f>
        <v/>
      </c>
      <c r="AL200" s="108">
        <f>(AX200-Driver!$K$181)/(Driver!$L$181-Driver!$K$181)</f>
        <v/>
      </c>
      <c r="AM200" s="108">
        <f>(AY200-Driver!$K$182)/(Driver!$L$182-Driver!$K$182)</f>
        <v/>
      </c>
      <c r="AN200" s="108">
        <f>(AZ200-Driver!$K$183)/(Driver!$L$183-Driver!$K$183)</f>
        <v/>
      </c>
      <c r="AO200" s="108" t="n"/>
      <c r="AP200" s="108" t="n"/>
      <c r="AQ200" s="108">
        <f>(BC200-Driver!$K$188)/(Driver!$L$188-Driver!$K$188)</f>
        <v/>
      </c>
      <c r="AR200" s="108">
        <f>MIN((BD200-Driver!$K$189)/(Driver!$L$189-Driver!$K$189),100%)</f>
        <v/>
      </c>
      <c r="AS200" s="108">
        <f>(BE200-Driver!$K$190)/(Driver!$L$190-Driver!$K$190)</f>
        <v/>
      </c>
      <c r="AT200" s="108">
        <f>(BF200-Driver!$K$191)/(Driver!$L$191-Driver!$K$191)</f>
        <v/>
      </c>
      <c r="AU200" s="108">
        <f>(BG200-Driver!$K$192)/(Driver!$L$192-Driver!$K$192)</f>
        <v/>
      </c>
      <c r="AV200" s="105">
        <f>IFERROR(BM200*BJ200^1/4,"")</f>
        <v/>
      </c>
      <c r="AW200" s="105">
        <f>IFERROR(SUM(AX200:AZ200),"")</f>
        <v/>
      </c>
      <c r="AX200" s="105">
        <f>IFERROR(BH200,"")</f>
        <v/>
      </c>
      <c r="AY200" s="105">
        <f>IFERROR(Driver!$K$19/Data!BH200/Data!BI200*Data!BK200*Data!BL200,"")</f>
        <v/>
      </c>
      <c r="AZ200" s="105">
        <f>IFERROR(BI200*BN200,"")</f>
        <v/>
      </c>
      <c r="BA200" s="105" t="n"/>
      <c r="BB200" s="105" t="n"/>
      <c r="BC200" s="105">
        <f>IFERROR(BI200*BN200*BK200/BJ200^(1/2),"")</f>
        <v/>
      </c>
      <c r="BD200" s="105">
        <f>IFERROR(BH200*BM200*BL200/BJ200/BK200,"")</f>
        <v/>
      </c>
      <c r="BE200" s="105">
        <f>IFERROR(MIN(BI200/BQ200/BP200/BO200/BH200,$BE$1),"")</f>
        <v/>
      </c>
      <c r="BF200" s="105">
        <f>IFERROR(BJ200*BO200*BP200/BK200,"")</f>
        <v/>
      </c>
      <c r="BG200" s="105">
        <f>IFERROR(1/BM200/BH200*BQ200,"")</f>
        <v/>
      </c>
      <c r="BH200" s="102">
        <f>MAX((CE200-Driver!$F$200)/(Driver!$G$200-Driver!$F$200)*$BI$1,1)</f>
        <v/>
      </c>
      <c r="BI200" s="102">
        <f>MAX($BI$1*(BY200-Driver!$F$201)/(Driver!$G$201-Driver!$F$201),1)</f>
        <v/>
      </c>
      <c r="BJ200" s="102">
        <f>(CB200-Driver!$F$206)/(Driver!$G$206-Driver!$F$206)*$BI$1</f>
        <v/>
      </c>
      <c r="BK200" s="102">
        <f>(CD200-Driver!$F$203)/(Driver!$G$203-Driver!$F$203)*$BI$1</f>
        <v/>
      </c>
      <c r="BL200" s="102">
        <f>MAX((CR200-Driver!$F$202)/(Driver!$G$202-Driver!$F$202)*$BI$1,1)</f>
        <v/>
      </c>
      <c r="BM200" s="102">
        <f>MAX((CH200-Driver!$F$204)/(Driver!$G$204-Driver!$F$204)*$BI$1,1)</f>
        <v/>
      </c>
      <c r="BN200" s="102">
        <f>(CI200-Driver!$F$205)/(Driver!$G$205-Driver!$F$205)*$BI$1</f>
        <v/>
      </c>
      <c r="BO200" s="102">
        <f>(CK200-Driver!$F$207)/(Driver!$G$207-Driver!$F$207)*$BI$1</f>
        <v/>
      </c>
      <c r="BP200" s="102">
        <f>(CM200-Driver!$F$208)/(Driver!$G$208-Driver!$F$208)*$BI$1</f>
        <v/>
      </c>
      <c r="BQ200" s="102">
        <f>(CL200-Driver!$F$209)/(Driver!$G$209-Driver!$F$209)*$BI$1</f>
        <v/>
      </c>
      <c r="BR200" s="40" t="inlineStr">
        <is>
          <t>21/22</t>
        </is>
      </c>
      <c r="BS200" s="10" t="inlineStr">
        <is>
          <t xml:space="preserve"> Ferreol</t>
        </is>
      </c>
      <c r="BT200" s="11" t="inlineStr">
        <is>
          <t>Explo 96</t>
        </is>
      </c>
      <c r="BU200" s="13" t="n">
        <v>172</v>
      </c>
      <c r="BV200" s="11" t="inlineStr">
        <is>
          <t xml:space="preserve"> Unisex</t>
        </is>
      </c>
      <c r="BW200" s="13" t="n">
        <v>172</v>
      </c>
      <c r="BX200" s="13" t="n">
        <v>170.1</v>
      </c>
      <c r="BY200" s="13" t="n">
        <v>123</v>
      </c>
      <c r="BZ200" s="13" t="n">
        <v>145</v>
      </c>
      <c r="CA200" s="13" t="n">
        <v>129</v>
      </c>
      <c r="CB200" s="13" t="n">
        <v>96</v>
      </c>
      <c r="CC200" s="13" t="n">
        <v>119</v>
      </c>
      <c r="CD200" s="13" t="n">
        <v>15.4</v>
      </c>
      <c r="CE200" s="13" t="n">
        <v>1584</v>
      </c>
      <c r="CF200" s="13" t="n">
        <v>1.16</v>
      </c>
      <c r="CG200" s="13" t="n">
        <v>1844</v>
      </c>
      <c r="CH200" s="13" t="n">
        <v>184</v>
      </c>
      <c r="CI200" s="13" t="n">
        <v>87</v>
      </c>
      <c r="CJ200" s="13" t="n">
        <v>60</v>
      </c>
      <c r="CK200" s="13" t="n">
        <v>275</v>
      </c>
      <c r="CL200" s="13" t="n">
        <v>29</v>
      </c>
      <c r="CM200" s="13" t="n">
        <v>195</v>
      </c>
      <c r="CN200" s="13" t="n">
        <v>0.485</v>
      </c>
      <c r="CO200" s="13" t="n">
        <v>136</v>
      </c>
      <c r="CP200" s="13" t="n">
        <v>120</v>
      </c>
      <c r="CQ200" s="13" t="n">
        <v>139</v>
      </c>
      <c r="CR200" s="13" t="n">
        <v>9</v>
      </c>
      <c r="CS200" s="13" t="n">
        <v>8</v>
      </c>
      <c r="CT200" s="11" t="inlineStr">
        <is>
          <t xml:space="preserve"> Resort Freeride</t>
        </is>
      </c>
      <c r="CU200" s="11" t="inlineStr">
        <is>
          <t xml:space="preserve"> Touring</t>
        </is>
      </c>
      <c r="CV200" s="13" t="n"/>
      <c r="CW200" s="13" t="n"/>
      <c r="CX200">
        <f>INDEX('Data_Price '!AG$2:AG$1266,MATCH(Data!$DN200,'Data_Price '!$AT$2:$AT$1266,0))</f>
        <v/>
      </c>
      <c r="CY200">
        <f>INDEX('Data_Price '!AH$2:AH$1266,MATCH(Data!$DN200,'Data_Price '!$AT$2:$AT$1266,0))</f>
        <v/>
      </c>
      <c r="CZ200">
        <f>INDEX('Data_Price '!AI$2:AI$1266,MATCH(Data!$DN200,'Data_Price '!$AT$2:$AT$1266,0))</f>
        <v/>
      </c>
      <c r="DA200">
        <f>INDEX('Data_Price '!AJ$2:AJ$1266,MATCH(Data!$DN200,'Data_Price '!$AT$2:$AT$1266,0))</f>
        <v/>
      </c>
      <c r="DB200">
        <f>INDEX('Data_Price '!AK$2:AK$1266,MATCH(Data!$DN200,'Data_Price '!$AT$2:$AT$1266,0))</f>
        <v/>
      </c>
      <c r="DC200">
        <f>INDEX('Data_Price '!AL$2:AL$1266,MATCH(Data!$DN200,'Data_Price '!$AT$2:$AT$1266,0))</f>
        <v/>
      </c>
      <c r="DD200">
        <f>INDEX('Data_Price '!AM$2:AM$1266,MATCH(Data!$DN200,'Data_Price '!$AT$2:$AT$1266,0))</f>
        <v/>
      </c>
      <c r="DE200">
        <f>INDEX('Data_Price '!AN$2:AN$1266,MATCH(Data!$DN200,'Data_Price '!$AT$2:$AT$1266,0))</f>
        <v/>
      </c>
      <c r="DF200">
        <f>INDEX('Data_Price '!AO$2:AO$1266,MATCH(Data!$DN200,'Data_Price '!$AT$2:$AT$1266,0))</f>
        <v/>
      </c>
      <c r="DG200">
        <f>INDEX('Data_Price '!AP$2:AP$1266,MATCH(Data!$DN200,'Data_Price '!$AT$2:$AT$1266,0))</f>
        <v/>
      </c>
      <c r="DH200">
        <f>INDEX('Data_Price '!AQ$2:AQ$1266,MATCH(Data!$DN200,'Data_Price '!$AT$2:$AT$1266,0))</f>
        <v/>
      </c>
      <c r="DI200">
        <f>INDEX('Data_Price '!AR$2:AR$1266,MATCH(Data!$DN200,'Data_Price '!$AT$2:$AT$1266,0))</f>
        <v/>
      </c>
      <c r="DJ200" s="138">
        <f>DA200</f>
        <v/>
      </c>
      <c r="DK200" s="138">
        <f>DE200</f>
        <v/>
      </c>
      <c r="DL200" s="138">
        <f>DI200</f>
        <v/>
      </c>
      <c r="DM200" s="303">
        <f>IF(LEFT(BT200,1)=" ",RIGHT(BT200,LEN(BT200)-1),BT200)</f>
        <v/>
      </c>
      <c r="DN200" s="138">
        <f>_xlfn.CONCAT(BS200,DM200,BU200,BV200)</f>
        <v/>
      </c>
      <c r="DO200" s="307" t="n"/>
    </row>
    <row r="201" ht="15.6" customHeight="1" s="184">
      <c r="B201" s="303">
        <f t="array" ref="B201">IF(OR(ISERROR(K201:P201)),FALSE,TRUE)</f>
        <v/>
      </c>
      <c r="C201" s="60">
        <f>OR(BR201=Driver!$G$50,Data!BR394=Driver!$H$50)</f>
        <v/>
      </c>
      <c r="D201" s="60">
        <f>OR(BV201=Driver!$G$51,BV201=Driver!$H$51)</f>
        <v/>
      </c>
      <c r="E201" s="60">
        <f>AND(BX201&gt;Driver!$F$54,BX201&lt;Driver!$G$54)</f>
        <v/>
      </c>
      <c r="F201" s="60">
        <f>CL201&gt;Driver!$F$56</f>
        <v/>
      </c>
      <c r="G201" s="60">
        <f>AND(CB201&gt;Driver!$F$55,CB201&lt;Driver!$G$55)</f>
        <v/>
      </c>
      <c r="H201" s="60">
        <f>AND(B201:G201)</f>
        <v/>
      </c>
      <c r="I201" s="60">
        <f>COUNTIFS($H$9:$H$1273,TRUE,$BT$9:$BT$1273,BT201)</f>
        <v/>
      </c>
      <c r="J201" s="60">
        <f t="array" ref="J201">NOT(OR(($H$9:$H$1273=TRUE)*($I$9:$I$1273&gt;0)*($BT$9:$BT$1273=BT201)*($K$9:$K$1273&gt;K201)))</f>
        <v/>
      </c>
      <c r="K201" s="108">
        <f>IFERROR(1-AVERAGE(X201:Y201),"")</f>
        <v/>
      </c>
      <c r="L201" s="108">
        <f>1-X201</f>
        <v/>
      </c>
      <c r="M201" s="108">
        <f>1-Y201</f>
        <v/>
      </c>
      <c r="N201" s="108">
        <f>1-Z201</f>
        <v/>
      </c>
      <c r="O201" s="108">
        <f>1-AA201</f>
        <v/>
      </c>
      <c r="P201" s="108">
        <f>1-AB201</f>
        <v/>
      </c>
      <c r="Q201" s="108" t="n"/>
      <c r="R201" s="108" t="n"/>
      <c r="S201" s="108">
        <f>1-AE201</f>
        <v/>
      </c>
      <c r="T201" s="108">
        <f>1-AF201</f>
        <v/>
      </c>
      <c r="U201" s="108">
        <f>1-AG201</f>
        <v/>
      </c>
      <c r="V201" s="108">
        <f>1-AH201</f>
        <v/>
      </c>
      <c r="W201" s="108">
        <f>1-AI201</f>
        <v/>
      </c>
      <c r="X201" s="108">
        <f>ABS(AJ201-AJ$1)</f>
        <v/>
      </c>
      <c r="Y201" s="108">
        <f>AVERAGE(Z201:AB201)</f>
        <v/>
      </c>
      <c r="Z201" s="108">
        <f>ABS(AL201-AL$1)</f>
        <v/>
      </c>
      <c r="AA201" s="108">
        <f>ABS(AM201-AM$1)</f>
        <v/>
      </c>
      <c r="AB201" s="108">
        <f>ABS(AN201-AN$1)</f>
        <v/>
      </c>
      <c r="AC201" s="108" t="n"/>
      <c r="AD201" s="108" t="n"/>
      <c r="AE201" s="108">
        <f>ABS(AQ$1-AQ201)</f>
        <v/>
      </c>
      <c r="AF201" s="108">
        <f>ABS(AR$1-AR201)</f>
        <v/>
      </c>
      <c r="AG201" s="108">
        <f>ABS(AS$1-AS201)</f>
        <v/>
      </c>
      <c r="AH201" s="108">
        <f>ABS(AT$1-AT201)</f>
        <v/>
      </c>
      <c r="AI201" s="108">
        <f>ABS(AU$1-AU201)</f>
        <v/>
      </c>
      <c r="AJ201" s="108">
        <f>(AV201-Driver!$K$179)/(Driver!$L$179-Driver!$K$179)</f>
        <v/>
      </c>
      <c r="AK201" s="108">
        <f>(AW201-Driver!$K$180)/(Driver!$L$180-Driver!$K$180)</f>
        <v/>
      </c>
      <c r="AL201" s="108">
        <f>(AX201-Driver!$K$181)/(Driver!$L$181-Driver!$K$181)</f>
        <v/>
      </c>
      <c r="AM201" s="108">
        <f>(AY201-Driver!$K$182)/(Driver!$L$182-Driver!$K$182)</f>
        <v/>
      </c>
      <c r="AN201" s="108">
        <f>(AZ201-Driver!$K$183)/(Driver!$L$183-Driver!$K$183)</f>
        <v/>
      </c>
      <c r="AO201" s="108" t="n"/>
      <c r="AP201" s="108" t="n"/>
      <c r="AQ201" s="108">
        <f>(BC201-Driver!$K$188)/(Driver!$L$188-Driver!$K$188)</f>
        <v/>
      </c>
      <c r="AR201" s="108">
        <f>MIN((BD201-Driver!$K$189)/(Driver!$L$189-Driver!$K$189),100%)</f>
        <v/>
      </c>
      <c r="AS201" s="108">
        <f>(BE201-Driver!$K$190)/(Driver!$L$190-Driver!$K$190)</f>
        <v/>
      </c>
      <c r="AT201" s="108">
        <f>(BF201-Driver!$K$191)/(Driver!$L$191-Driver!$K$191)</f>
        <v/>
      </c>
      <c r="AU201" s="108">
        <f>(BG201-Driver!$K$192)/(Driver!$L$192-Driver!$K$192)</f>
        <v/>
      </c>
      <c r="AV201" s="105">
        <f>IFERROR(BM201*BJ201^1/4,"")</f>
        <v/>
      </c>
      <c r="AW201" s="105">
        <f>IFERROR(SUM(AX201:AZ201),"")</f>
        <v/>
      </c>
      <c r="AX201" s="105">
        <f>IFERROR(BH201,"")</f>
        <v/>
      </c>
      <c r="AY201" s="105">
        <f>IFERROR(Driver!$K$19/Data!BH201/Data!BI201*Data!BK201*Data!BL201,"")</f>
        <v/>
      </c>
      <c r="AZ201" s="105">
        <f>IFERROR(BI201*BN201,"")</f>
        <v/>
      </c>
      <c r="BA201" s="105" t="n"/>
      <c r="BB201" s="105" t="n"/>
      <c r="BC201" s="105">
        <f>IFERROR(BI201*BN201*BK201/BJ201^(1/2),"")</f>
        <v/>
      </c>
      <c r="BD201" s="105">
        <f>IFERROR(BH201*BM201*BL201/BJ201/BK201,"")</f>
        <v/>
      </c>
      <c r="BE201" s="105">
        <f>IFERROR(MIN(BI201/BQ201/BP201/BO201/BH201,$BE$1),"")</f>
        <v/>
      </c>
      <c r="BF201" s="105">
        <f>IFERROR(BJ201*BO201*BP201/BK201,"")</f>
        <v/>
      </c>
      <c r="BG201" s="105">
        <f>IFERROR(1/BM201/BH201*BQ201,"")</f>
        <v/>
      </c>
      <c r="BH201" s="102">
        <f>MAX((CE201-Driver!$F$200)/(Driver!$G$200-Driver!$F$200)*$BI$1,1)</f>
        <v/>
      </c>
      <c r="BI201" s="102">
        <f>MAX($BI$1*(BY201-Driver!$F$201)/(Driver!$G$201-Driver!$F$201),1)</f>
        <v/>
      </c>
      <c r="BJ201" s="102">
        <f>(CB201-Driver!$F$206)/(Driver!$G$206-Driver!$F$206)*$BI$1</f>
        <v/>
      </c>
      <c r="BK201" s="102">
        <f>(CD201-Driver!$F$203)/(Driver!$G$203-Driver!$F$203)*$BI$1</f>
        <v/>
      </c>
      <c r="BL201" s="102">
        <f>MAX((CR201-Driver!$F$202)/(Driver!$G$202-Driver!$F$202)*$BI$1,1)</f>
        <v/>
      </c>
      <c r="BM201" s="102">
        <f>MAX((CH201-Driver!$F$204)/(Driver!$G$204-Driver!$F$204)*$BI$1,1)</f>
        <v/>
      </c>
      <c r="BN201" s="102">
        <f>(CI201-Driver!$F$205)/(Driver!$G$205-Driver!$F$205)*$BI$1</f>
        <v/>
      </c>
      <c r="BO201" s="102">
        <f>(CK201-Driver!$F$207)/(Driver!$G$207-Driver!$F$207)*$BI$1</f>
        <v/>
      </c>
      <c r="BP201" s="102">
        <f>(CM201-Driver!$F$208)/(Driver!$G$208-Driver!$F$208)*$BI$1</f>
        <v/>
      </c>
      <c r="BQ201" s="102">
        <f>(CL201-Driver!$F$209)/(Driver!$G$209-Driver!$F$209)*$BI$1</f>
        <v/>
      </c>
      <c r="BR201" s="40" t="inlineStr">
        <is>
          <t>21/22</t>
        </is>
      </c>
      <c r="BS201" s="10" t="inlineStr">
        <is>
          <t xml:space="preserve"> Dynastar</t>
        </is>
      </c>
      <c r="BT201" s="11" t="inlineStr">
        <is>
          <t>M-Pro 84</t>
        </is>
      </c>
      <c r="BU201" s="13" t="n">
        <v>177</v>
      </c>
      <c r="BV201" s="11" t="inlineStr">
        <is>
          <t xml:space="preserve"> Unisex</t>
        </is>
      </c>
      <c r="BW201" s="13" t="n">
        <v>177</v>
      </c>
      <c r="BX201" s="13" t="n">
        <v>177</v>
      </c>
      <c r="BY201" s="13" t="n">
        <v>146</v>
      </c>
      <c r="BZ201" s="13" t="n">
        <v>143</v>
      </c>
      <c r="CA201" s="13" t="n">
        <v>120</v>
      </c>
      <c r="CB201" s="13" t="n">
        <v>82</v>
      </c>
      <c r="CC201" s="13" t="n">
        <v>105</v>
      </c>
      <c r="CD201" s="13" t="n">
        <v>16.4</v>
      </c>
      <c r="CE201" s="13" t="n">
        <v>1760</v>
      </c>
      <c r="CF201" s="13" t="n">
        <v>0.95</v>
      </c>
      <c r="CG201" s="13" t="n">
        <v>1670</v>
      </c>
      <c r="CH201" s="13" t="n">
        <v>223</v>
      </c>
      <c r="CI201" s="13" t="n">
        <v>99</v>
      </c>
      <c r="CJ201" s="13" t="n">
        <v>40</v>
      </c>
      <c r="CK201" s="13" t="n">
        <v>252</v>
      </c>
      <c r="CL201" s="13" t="n">
        <v>5</v>
      </c>
      <c r="CM201" s="13" t="n">
        <v>63</v>
      </c>
      <c r="CN201" s="13" t="n">
        <v>0.137</v>
      </c>
      <c r="CO201" s="13" t="n">
        <v>167</v>
      </c>
      <c r="CP201" s="13" t="n">
        <v>175</v>
      </c>
      <c r="CQ201" s="13" t="n">
        <v>85</v>
      </c>
      <c r="CR201" s="13" t="n">
        <v>9</v>
      </c>
      <c r="CS201" s="13" t="n">
        <v>6.6</v>
      </c>
      <c r="CT201" s="11" t="inlineStr">
        <is>
          <t xml:space="preserve"> On-Piste Carving</t>
        </is>
      </c>
      <c r="CU201" s="11" t="inlineStr">
        <is>
          <t xml:space="preserve"> On-Piste All-Mountain</t>
        </is>
      </c>
      <c r="CV201" s="11" t="inlineStr">
        <is>
          <t xml:space="preserve"> Resort Freeride</t>
        </is>
      </c>
      <c r="CW201" s="13" t="n"/>
      <c r="CX201">
        <f>INDEX('Data_Price '!AG$2:AG$1266,MATCH(Data!$DN201,'Data_Price '!$AT$2:$AT$1266,0))</f>
        <v/>
      </c>
      <c r="CY201">
        <f>INDEX('Data_Price '!AH$2:AH$1266,MATCH(Data!$DN201,'Data_Price '!$AT$2:$AT$1266,0))</f>
        <v/>
      </c>
      <c r="CZ201">
        <f>INDEX('Data_Price '!AI$2:AI$1266,MATCH(Data!$DN201,'Data_Price '!$AT$2:$AT$1266,0))</f>
        <v/>
      </c>
      <c r="DA201">
        <f>INDEX('Data_Price '!AJ$2:AJ$1266,MATCH(Data!$DN201,'Data_Price '!$AT$2:$AT$1266,0))</f>
        <v/>
      </c>
      <c r="DB201">
        <f>INDEX('Data_Price '!AK$2:AK$1266,MATCH(Data!$DN201,'Data_Price '!$AT$2:$AT$1266,0))</f>
        <v/>
      </c>
      <c r="DC201">
        <f>INDEX('Data_Price '!AL$2:AL$1266,MATCH(Data!$DN201,'Data_Price '!$AT$2:$AT$1266,0))</f>
        <v/>
      </c>
      <c r="DD201">
        <f>INDEX('Data_Price '!AM$2:AM$1266,MATCH(Data!$DN201,'Data_Price '!$AT$2:$AT$1266,0))</f>
        <v/>
      </c>
      <c r="DE201">
        <f>INDEX('Data_Price '!AN$2:AN$1266,MATCH(Data!$DN201,'Data_Price '!$AT$2:$AT$1266,0))</f>
        <v/>
      </c>
      <c r="DF201">
        <f>INDEX('Data_Price '!AO$2:AO$1266,MATCH(Data!$DN201,'Data_Price '!$AT$2:$AT$1266,0))</f>
        <v/>
      </c>
      <c r="DG201">
        <f>INDEX('Data_Price '!AP$2:AP$1266,MATCH(Data!$DN201,'Data_Price '!$AT$2:$AT$1266,0))</f>
        <v/>
      </c>
      <c r="DH201">
        <f>INDEX('Data_Price '!AQ$2:AQ$1266,MATCH(Data!$DN201,'Data_Price '!$AT$2:$AT$1266,0))</f>
        <v/>
      </c>
      <c r="DI201">
        <f>INDEX('Data_Price '!AR$2:AR$1266,MATCH(Data!$DN201,'Data_Price '!$AT$2:$AT$1266,0))</f>
        <v/>
      </c>
      <c r="DJ201" s="138">
        <f>DA201</f>
        <v/>
      </c>
      <c r="DK201" s="138">
        <f>DE201</f>
        <v/>
      </c>
      <c r="DL201" s="138">
        <f>DI201</f>
        <v/>
      </c>
      <c r="DM201" s="303">
        <f>IF(LEFT(BT201,1)=" ",RIGHT(BT201,LEN(BT201)-1),BT201)</f>
        <v/>
      </c>
      <c r="DN201" s="138">
        <f>_xlfn.CONCAT(BS201,DM201,BU201,BV201)</f>
        <v/>
      </c>
      <c r="DO201" s="307" t="inlineStr">
        <is>
          <t>https://images.evo.com/imgp/250/185152/874336/dynastar-m-pro-84-skis-2021-.jpg</t>
        </is>
      </c>
    </row>
    <row r="202" ht="15.6" customHeight="1" s="184">
      <c r="B202" s="303">
        <f t="array" ref="B202">IF(OR(ISERROR(K202:P202)),FALSE,TRUE)</f>
        <v/>
      </c>
      <c r="C202" s="60">
        <f>OR(BR202=Driver!$G$50,Data!BR621=Driver!$H$50)</f>
        <v/>
      </c>
      <c r="D202" s="60">
        <f>OR(BV202=Driver!$G$51,BV202=Driver!$H$51)</f>
        <v/>
      </c>
      <c r="E202" s="60">
        <f>AND(BX202&gt;Driver!$F$54,BX202&lt;Driver!$G$54)</f>
        <v/>
      </c>
      <c r="F202" s="60">
        <f>CL202&gt;Driver!$F$56</f>
        <v/>
      </c>
      <c r="G202" s="60">
        <f>AND(CB202&gt;Driver!$F$55,CB202&lt;Driver!$G$55)</f>
        <v/>
      </c>
      <c r="H202" s="60">
        <f>AND(B202:G202)</f>
        <v/>
      </c>
      <c r="I202" s="60">
        <f>COUNTIFS($H$9:$H$1273,TRUE,$BT$9:$BT$1273,BT202)</f>
        <v/>
      </c>
      <c r="J202" s="60">
        <f t="array" ref="J202">NOT(OR(($H$9:$H$1273=TRUE)*($I$9:$I$1273&gt;0)*($BT$9:$BT$1273=BT202)*($K$9:$K$1273&gt;K202)))</f>
        <v/>
      </c>
      <c r="K202" s="108">
        <f>IFERROR(1-AVERAGE(X202:Y202),"")</f>
        <v/>
      </c>
      <c r="L202" s="108">
        <f>1-X202</f>
        <v/>
      </c>
      <c r="M202" s="108">
        <f>1-Y202</f>
        <v/>
      </c>
      <c r="N202" s="108">
        <f>1-Z202</f>
        <v/>
      </c>
      <c r="O202" s="108">
        <f>1-AA202</f>
        <v/>
      </c>
      <c r="P202" s="108">
        <f>1-AB202</f>
        <v/>
      </c>
      <c r="Q202" s="108" t="n"/>
      <c r="R202" s="108" t="n"/>
      <c r="S202" s="108">
        <f>1-AE202</f>
        <v/>
      </c>
      <c r="T202" s="108">
        <f>1-AF202</f>
        <v/>
      </c>
      <c r="U202" s="108">
        <f>1-AG202</f>
        <v/>
      </c>
      <c r="V202" s="108">
        <f>1-AH202</f>
        <v/>
      </c>
      <c r="W202" s="108">
        <f>1-AI202</f>
        <v/>
      </c>
      <c r="X202" s="108">
        <f>ABS(AJ202-AJ$1)</f>
        <v/>
      </c>
      <c r="Y202" s="108">
        <f>AVERAGE(Z202:AB202)</f>
        <v/>
      </c>
      <c r="Z202" s="108">
        <f>ABS(AL202-AL$1)</f>
        <v/>
      </c>
      <c r="AA202" s="108">
        <f>ABS(AM202-AM$1)</f>
        <v/>
      </c>
      <c r="AB202" s="108">
        <f>ABS(AN202-AN$1)</f>
        <v/>
      </c>
      <c r="AC202" s="108" t="n"/>
      <c r="AD202" s="108" t="n"/>
      <c r="AE202" s="108">
        <f>ABS(AQ$1-AQ202)</f>
        <v/>
      </c>
      <c r="AF202" s="108">
        <f>ABS(AR$1-AR202)</f>
        <v/>
      </c>
      <c r="AG202" s="108">
        <f>ABS(AS$1-AS202)</f>
        <v/>
      </c>
      <c r="AH202" s="108">
        <f>ABS(AT$1-AT202)</f>
        <v/>
      </c>
      <c r="AI202" s="108">
        <f>ABS(AU$1-AU202)</f>
        <v/>
      </c>
      <c r="AJ202" s="108">
        <f>(AV202-Driver!$K$179)/(Driver!$L$179-Driver!$K$179)</f>
        <v/>
      </c>
      <c r="AK202" s="108">
        <f>(AW202-Driver!$K$180)/(Driver!$L$180-Driver!$K$180)</f>
        <v/>
      </c>
      <c r="AL202" s="108">
        <f>(AX202-Driver!$K$181)/(Driver!$L$181-Driver!$K$181)</f>
        <v/>
      </c>
      <c r="AM202" s="108">
        <f>(AY202-Driver!$K$182)/(Driver!$L$182-Driver!$K$182)</f>
        <v/>
      </c>
      <c r="AN202" s="108">
        <f>(AZ202-Driver!$K$183)/(Driver!$L$183-Driver!$K$183)</f>
        <v/>
      </c>
      <c r="AO202" s="108" t="n"/>
      <c r="AP202" s="108" t="n"/>
      <c r="AQ202" s="108">
        <f>(BC202-Driver!$K$188)/(Driver!$L$188-Driver!$K$188)</f>
        <v/>
      </c>
      <c r="AR202" s="108">
        <f>MIN((BD202-Driver!$K$189)/(Driver!$L$189-Driver!$K$189),100%)</f>
        <v/>
      </c>
      <c r="AS202" s="108">
        <f>(BE202-Driver!$K$190)/(Driver!$L$190-Driver!$K$190)</f>
        <v/>
      </c>
      <c r="AT202" s="108">
        <f>(BF202-Driver!$K$191)/(Driver!$L$191-Driver!$K$191)</f>
        <v/>
      </c>
      <c r="AU202" s="108">
        <f>(BG202-Driver!$K$192)/(Driver!$L$192-Driver!$K$192)</f>
        <v/>
      </c>
      <c r="AV202" s="105">
        <f>IFERROR(BM202*BJ202^1/4,"")</f>
        <v/>
      </c>
      <c r="AW202" s="105">
        <f>IFERROR(SUM(AX202:AZ202),"")</f>
        <v/>
      </c>
      <c r="AX202" s="105">
        <f>IFERROR(BH202,"")</f>
        <v/>
      </c>
      <c r="AY202" s="105">
        <f>IFERROR(Driver!$K$19/Data!BH202/Data!BI202*Data!BK202*Data!BL202,"")</f>
        <v/>
      </c>
      <c r="AZ202" s="105">
        <f>IFERROR(BI202*BN202,"")</f>
        <v/>
      </c>
      <c r="BA202" s="105" t="n"/>
      <c r="BB202" s="105" t="n"/>
      <c r="BC202" s="105">
        <f>IFERROR(BI202*BN202*BK202/BJ202^(1/2),"")</f>
        <v/>
      </c>
      <c r="BD202" s="105">
        <f>IFERROR(BH202*BM202*BL202/BJ202/BK202,"")</f>
        <v/>
      </c>
      <c r="BE202" s="105">
        <f>IFERROR(MIN(BI202/BQ202/BP202/BO202/BH202,$BE$1),"")</f>
        <v/>
      </c>
      <c r="BF202" s="105">
        <f>IFERROR(BJ202*BO202*BP202/BK202,"")</f>
        <v/>
      </c>
      <c r="BG202" s="105">
        <f>IFERROR(1/BM202/BH202*BQ202,"")</f>
        <v/>
      </c>
      <c r="BH202" s="102">
        <f>MAX((CE202-Driver!$F$200)/(Driver!$G$200-Driver!$F$200)*$BI$1,1)</f>
        <v/>
      </c>
      <c r="BI202" s="102">
        <f>MAX($BI$1*(BY202-Driver!$F$201)/(Driver!$G$201-Driver!$F$201),1)</f>
        <v/>
      </c>
      <c r="BJ202" s="102">
        <f>(CB202-Driver!$F$206)/(Driver!$G$206-Driver!$F$206)*$BI$1</f>
        <v/>
      </c>
      <c r="BK202" s="102">
        <f>(CD202-Driver!$F$203)/(Driver!$G$203-Driver!$F$203)*$BI$1</f>
        <v/>
      </c>
      <c r="BL202" s="102">
        <f>MAX((CR202-Driver!$F$202)/(Driver!$G$202-Driver!$F$202)*$BI$1,1)</f>
        <v/>
      </c>
      <c r="BM202" s="102">
        <f>MAX((CH202-Driver!$F$204)/(Driver!$G$204-Driver!$F$204)*$BI$1,1)</f>
        <v/>
      </c>
      <c r="BN202" s="102">
        <f>(CI202-Driver!$F$205)/(Driver!$G$205-Driver!$F$205)*$BI$1</f>
        <v/>
      </c>
      <c r="BO202" s="102">
        <f>(CK202-Driver!$F$207)/(Driver!$G$207-Driver!$F$207)*$BI$1</f>
        <v/>
      </c>
      <c r="BP202" s="102">
        <f>(CM202-Driver!$F$208)/(Driver!$G$208-Driver!$F$208)*$BI$1</f>
        <v/>
      </c>
      <c r="BQ202" s="102">
        <f>(CL202-Driver!$F$209)/(Driver!$G$209-Driver!$F$209)*$BI$1</f>
        <v/>
      </c>
      <c r="BR202" s="40" t="inlineStr">
        <is>
          <t>21/22</t>
        </is>
      </c>
      <c r="BS202" s="10" t="inlineStr">
        <is>
          <t xml:space="preserve"> Head</t>
        </is>
      </c>
      <c r="BT202" s="11" t="inlineStr">
        <is>
          <t>Kore 93</t>
        </is>
      </c>
      <c r="BU202" s="13" t="n">
        <v>163</v>
      </c>
      <c r="BV202" s="11" t="inlineStr">
        <is>
          <t xml:space="preserve"> Unisex</t>
        </is>
      </c>
      <c r="BW202" s="13" t="n">
        <v>163</v>
      </c>
      <c r="BX202" s="13" t="n">
        <v>162.7</v>
      </c>
      <c r="BY202" s="13" t="n">
        <v>128</v>
      </c>
      <c r="BZ202" s="13" t="n">
        <v>132</v>
      </c>
      <c r="CA202" s="13" t="n">
        <v>127</v>
      </c>
      <c r="CB202" s="13" t="n">
        <v>88</v>
      </c>
      <c r="CC202" s="13" t="n">
        <v>109</v>
      </c>
      <c r="CD202" s="13" t="n">
        <v>13.2</v>
      </c>
      <c r="CE202" s="13" t="n">
        <v>1474</v>
      </c>
      <c r="CF202" s="13" t="n">
        <v>1.11</v>
      </c>
      <c r="CG202" s="13" t="n">
        <v>1639</v>
      </c>
      <c r="CH202" s="13" t="n">
        <v>206</v>
      </c>
      <c r="CI202" s="13" t="n">
        <v>93</v>
      </c>
      <c r="CJ202" s="13" t="n">
        <v>49</v>
      </c>
      <c r="CK202" s="13" t="n">
        <v>218</v>
      </c>
      <c r="CL202" s="13" t="n">
        <v>11</v>
      </c>
      <c r="CM202" s="13" t="n">
        <v>130</v>
      </c>
      <c r="CN202" s="13" t="n">
        <v>0.218</v>
      </c>
      <c r="CO202" s="13" t="n">
        <v>152</v>
      </c>
      <c r="CP202" s="13" t="n">
        <v>159</v>
      </c>
      <c r="CQ202" s="13" t="n">
        <v>65</v>
      </c>
      <c r="CR202" s="13" t="n">
        <v>7</v>
      </c>
      <c r="CS202" s="13" t="n">
        <v>9.199999999999999</v>
      </c>
      <c r="CT202" s="11" t="inlineStr">
        <is>
          <t xml:space="preserve"> Resort Freeride</t>
        </is>
      </c>
      <c r="CU202" s="11" t="inlineStr">
        <is>
          <t xml:space="preserve"> Touring</t>
        </is>
      </c>
      <c r="CV202" s="13" t="n"/>
      <c r="CW202" s="13" t="n"/>
      <c r="CX202">
        <f>INDEX('Data_Price '!AG$2:AG$1266,MATCH(Data!$DN202,'Data_Price '!$AT$2:$AT$1266,0))</f>
        <v/>
      </c>
      <c r="CY202">
        <f>INDEX('Data_Price '!AH$2:AH$1266,MATCH(Data!$DN202,'Data_Price '!$AT$2:$AT$1266,0))</f>
        <v/>
      </c>
      <c r="CZ202">
        <f>INDEX('Data_Price '!AI$2:AI$1266,MATCH(Data!$DN202,'Data_Price '!$AT$2:$AT$1266,0))</f>
        <v/>
      </c>
      <c r="DA202">
        <f>INDEX('Data_Price '!AJ$2:AJ$1266,MATCH(Data!$DN202,'Data_Price '!$AT$2:$AT$1266,0))</f>
        <v/>
      </c>
      <c r="DB202">
        <f>INDEX('Data_Price '!AK$2:AK$1266,MATCH(Data!$DN202,'Data_Price '!$AT$2:$AT$1266,0))</f>
        <v/>
      </c>
      <c r="DC202">
        <f>INDEX('Data_Price '!AL$2:AL$1266,MATCH(Data!$DN202,'Data_Price '!$AT$2:$AT$1266,0))</f>
        <v/>
      </c>
      <c r="DD202">
        <f>INDEX('Data_Price '!AM$2:AM$1266,MATCH(Data!$DN202,'Data_Price '!$AT$2:$AT$1266,0))</f>
        <v/>
      </c>
      <c r="DE202">
        <f>INDEX('Data_Price '!AN$2:AN$1266,MATCH(Data!$DN202,'Data_Price '!$AT$2:$AT$1266,0))</f>
        <v/>
      </c>
      <c r="DF202">
        <f>INDEX('Data_Price '!AO$2:AO$1266,MATCH(Data!$DN202,'Data_Price '!$AT$2:$AT$1266,0))</f>
        <v/>
      </c>
      <c r="DG202">
        <f>INDEX('Data_Price '!AP$2:AP$1266,MATCH(Data!$DN202,'Data_Price '!$AT$2:$AT$1266,0))</f>
        <v/>
      </c>
      <c r="DH202">
        <f>INDEX('Data_Price '!AQ$2:AQ$1266,MATCH(Data!$DN202,'Data_Price '!$AT$2:$AT$1266,0))</f>
        <v/>
      </c>
      <c r="DI202">
        <f>INDEX('Data_Price '!AR$2:AR$1266,MATCH(Data!$DN202,'Data_Price '!$AT$2:$AT$1266,0))</f>
        <v/>
      </c>
      <c r="DJ202" s="138">
        <f>DA202</f>
        <v/>
      </c>
      <c r="DK202" s="138">
        <f>DE202</f>
        <v/>
      </c>
      <c r="DL202" s="138">
        <f>DI202</f>
        <v/>
      </c>
      <c r="DM202" s="303">
        <f>IF(LEFT(BT202,1)=" ",RIGHT(BT202,LEN(BT202)-1),BT202)</f>
        <v/>
      </c>
      <c r="DN202" s="138">
        <f>_xlfn.CONCAT(BS202,DM202,BU202,BV202)</f>
        <v/>
      </c>
      <c r="DO202" s="307" t="inlineStr">
        <is>
          <t>https://images.evo.com/imgp/250/208274/832642/clone.jpg</t>
        </is>
      </c>
    </row>
    <row r="203" ht="15.6" customHeight="1" s="184">
      <c r="B203" s="303">
        <f t="array" ref="B203">IF(OR(ISERROR(K203:P203)),FALSE,TRUE)</f>
        <v/>
      </c>
      <c r="C203" s="60">
        <f>OR(BR203=Driver!$G$50,Data!BR870=Driver!$H$50)</f>
        <v/>
      </c>
      <c r="D203" s="60">
        <f>OR(BV203=Driver!$G$51,BV203=Driver!$H$51)</f>
        <v/>
      </c>
      <c r="E203" s="60">
        <f>AND(BX203&gt;Driver!$F$54,BX203&lt;Driver!$G$54)</f>
        <v/>
      </c>
      <c r="F203" s="60">
        <f>CL203&gt;Driver!$F$56</f>
        <v/>
      </c>
      <c r="G203" s="60">
        <f>AND(CB203&gt;Driver!$F$55,CB203&lt;Driver!$G$55)</f>
        <v/>
      </c>
      <c r="H203" s="60">
        <f>AND(B203:G203)</f>
        <v/>
      </c>
      <c r="I203" s="60">
        <f>COUNTIFS($H$9:$H$1273,TRUE,$BT$9:$BT$1273,BT203)</f>
        <v/>
      </c>
      <c r="J203" s="60">
        <f t="array" ref="J203">NOT(OR(($H$9:$H$1273=TRUE)*($I$9:$I$1273&gt;0)*($BT$9:$BT$1273=BT203)*($K$9:$K$1273&gt;K203)))</f>
        <v/>
      </c>
      <c r="K203" s="108">
        <f>IFERROR(1-AVERAGE(X203:Y203),"")</f>
        <v/>
      </c>
      <c r="L203" s="108">
        <f>1-X203</f>
        <v/>
      </c>
      <c r="M203" s="108">
        <f>1-Y203</f>
        <v/>
      </c>
      <c r="N203" s="108">
        <f>1-Z203</f>
        <v/>
      </c>
      <c r="O203" s="108">
        <f>1-AA203</f>
        <v/>
      </c>
      <c r="P203" s="108">
        <f>1-AB203</f>
        <v/>
      </c>
      <c r="Q203" s="108" t="n"/>
      <c r="R203" s="108" t="n"/>
      <c r="S203" s="108">
        <f>1-AE203</f>
        <v/>
      </c>
      <c r="T203" s="108">
        <f>1-AF203</f>
        <v/>
      </c>
      <c r="U203" s="108">
        <f>1-AG203</f>
        <v/>
      </c>
      <c r="V203" s="108">
        <f>1-AH203</f>
        <v/>
      </c>
      <c r="W203" s="108">
        <f>1-AI203</f>
        <v/>
      </c>
      <c r="X203" s="108">
        <f>ABS(AJ203-AJ$1)</f>
        <v/>
      </c>
      <c r="Y203" s="108">
        <f>AVERAGE(Z203:AB203)</f>
        <v/>
      </c>
      <c r="Z203" s="108">
        <f>ABS(AL203-AL$1)</f>
        <v/>
      </c>
      <c r="AA203" s="108">
        <f>ABS(AM203-AM$1)</f>
        <v/>
      </c>
      <c r="AB203" s="108">
        <f>ABS(AN203-AN$1)</f>
        <v/>
      </c>
      <c r="AC203" s="108" t="n"/>
      <c r="AD203" s="108" t="n"/>
      <c r="AE203" s="108">
        <f>ABS(AQ$1-AQ203)</f>
        <v/>
      </c>
      <c r="AF203" s="108">
        <f>ABS(AR$1-AR203)</f>
        <v/>
      </c>
      <c r="AG203" s="108">
        <f>ABS(AS$1-AS203)</f>
        <v/>
      </c>
      <c r="AH203" s="108">
        <f>ABS(AT$1-AT203)</f>
        <v/>
      </c>
      <c r="AI203" s="108">
        <f>ABS(AU$1-AU203)</f>
        <v/>
      </c>
      <c r="AJ203" s="108">
        <f>(AV203-Driver!$K$179)/(Driver!$L$179-Driver!$K$179)</f>
        <v/>
      </c>
      <c r="AK203" s="108">
        <f>(AW203-Driver!$K$180)/(Driver!$L$180-Driver!$K$180)</f>
        <v/>
      </c>
      <c r="AL203" s="108">
        <f>(AX203-Driver!$K$181)/(Driver!$L$181-Driver!$K$181)</f>
        <v/>
      </c>
      <c r="AM203" s="108">
        <f>(AY203-Driver!$K$182)/(Driver!$L$182-Driver!$K$182)</f>
        <v/>
      </c>
      <c r="AN203" s="108">
        <f>(AZ203-Driver!$K$183)/(Driver!$L$183-Driver!$K$183)</f>
        <v/>
      </c>
      <c r="AO203" s="108" t="n"/>
      <c r="AP203" s="108" t="n"/>
      <c r="AQ203" s="108">
        <f>(BC203-Driver!$K$188)/(Driver!$L$188-Driver!$K$188)</f>
        <v/>
      </c>
      <c r="AR203" s="108">
        <f>MIN((BD203-Driver!$K$189)/(Driver!$L$189-Driver!$K$189),100%)</f>
        <v/>
      </c>
      <c r="AS203" s="108">
        <f>(BE203-Driver!$K$190)/(Driver!$L$190-Driver!$K$190)</f>
        <v/>
      </c>
      <c r="AT203" s="108">
        <f>(BF203-Driver!$K$191)/(Driver!$L$191-Driver!$K$191)</f>
        <v/>
      </c>
      <c r="AU203" s="108">
        <f>(BG203-Driver!$K$192)/(Driver!$L$192-Driver!$K$192)</f>
        <v/>
      </c>
      <c r="AV203" s="105">
        <f>IFERROR(BM203*BJ203^1/4,"")</f>
        <v/>
      </c>
      <c r="AW203" s="105">
        <f>IFERROR(SUM(AX203:AZ203),"")</f>
        <v/>
      </c>
      <c r="AX203" s="105">
        <f>IFERROR(BH203,"")</f>
        <v/>
      </c>
      <c r="AY203" s="105">
        <f>IFERROR(Driver!$K$19/Data!BH203/Data!BI203*Data!BK203*Data!BL203,"")</f>
        <v/>
      </c>
      <c r="AZ203" s="105">
        <f>IFERROR(BI203*BN203,"")</f>
        <v/>
      </c>
      <c r="BA203" s="105" t="n"/>
      <c r="BB203" s="105" t="n"/>
      <c r="BC203" s="105">
        <f>IFERROR(BI203*BN203*BK203/BJ203^(1/2),"")</f>
        <v/>
      </c>
      <c r="BD203" s="105">
        <f>IFERROR(BH203*BM203*BL203/BJ203/BK203,"")</f>
        <v/>
      </c>
      <c r="BE203" s="105">
        <f>IFERROR(MIN(BI203/BQ203/BP203/BO203/BH203,$BE$1),"")</f>
        <v/>
      </c>
      <c r="BF203" s="105">
        <f>IFERROR(BJ203*BO203*BP203/BK203,"")</f>
        <v/>
      </c>
      <c r="BG203" s="105">
        <f>IFERROR(1/BM203/BH203*BQ203,"")</f>
        <v/>
      </c>
      <c r="BH203" s="102">
        <f>MAX((CE203-Driver!$F$200)/(Driver!$G$200-Driver!$F$200)*$BI$1,1)</f>
        <v/>
      </c>
      <c r="BI203" s="102">
        <f>MAX($BI$1*(BY203-Driver!$F$201)/(Driver!$G$201-Driver!$F$201),1)</f>
        <v/>
      </c>
      <c r="BJ203" s="102">
        <f>(CB203-Driver!$F$206)/(Driver!$G$206-Driver!$F$206)*$BI$1</f>
        <v/>
      </c>
      <c r="BK203" s="102">
        <f>(CD203-Driver!$F$203)/(Driver!$G$203-Driver!$F$203)*$BI$1</f>
        <v/>
      </c>
      <c r="BL203" s="102">
        <f>MAX((CR203-Driver!$F$202)/(Driver!$G$202-Driver!$F$202)*$BI$1,1)</f>
        <v/>
      </c>
      <c r="BM203" s="102">
        <f>MAX((CH203-Driver!$F$204)/(Driver!$G$204-Driver!$F$204)*$BI$1,1)</f>
        <v/>
      </c>
      <c r="BN203" s="102">
        <f>(CI203-Driver!$F$205)/(Driver!$G$205-Driver!$F$205)*$BI$1</f>
        <v/>
      </c>
      <c r="BO203" s="102">
        <f>(CK203-Driver!$F$207)/(Driver!$G$207-Driver!$F$207)*$BI$1</f>
        <v/>
      </c>
      <c r="BP203" s="102">
        <f>(CM203-Driver!$F$208)/(Driver!$G$208-Driver!$F$208)*$BI$1</f>
        <v/>
      </c>
      <c r="BQ203" s="102">
        <f>(CL203-Driver!$F$209)/(Driver!$G$209-Driver!$F$209)*$BI$1</f>
        <v/>
      </c>
      <c r="BR203" s="40" t="inlineStr">
        <is>
          <t>21/22</t>
        </is>
      </c>
      <c r="BS203" s="10" t="inlineStr">
        <is>
          <t xml:space="preserve"> Line</t>
        </is>
      </c>
      <c r="BT203" s="11" t="inlineStr">
        <is>
          <t xml:space="preserve"> Sir Francis Bacon</t>
        </is>
      </c>
      <c r="BU203" s="13" t="n">
        <v>190</v>
      </c>
      <c r="BV203" s="11" t="inlineStr">
        <is>
          <t xml:space="preserve"> Unisex</t>
        </is>
      </c>
      <c r="BW203" s="13" t="n">
        <v>190</v>
      </c>
      <c r="BX203" s="13" t="n">
        <v>188.8</v>
      </c>
      <c r="BY203" s="13" t="n">
        <v>135</v>
      </c>
      <c r="BZ203" s="13" t="n">
        <v>157</v>
      </c>
      <c r="CA203" s="13" t="n">
        <v>142</v>
      </c>
      <c r="CB203" s="13" t="n">
        <v>106</v>
      </c>
      <c r="CC203" s="13" t="n">
        <v>138</v>
      </c>
      <c r="CD203" s="13" t="n">
        <v>17.8</v>
      </c>
      <c r="CE203" s="13" t="n">
        <v>1910</v>
      </c>
      <c r="CF203" s="13" t="n">
        <v>1.15</v>
      </c>
      <c r="CG203" s="13" t="n">
        <v>2188</v>
      </c>
      <c r="CH203" s="13" t="n">
        <v>177</v>
      </c>
      <c r="CI203" s="13" t="n">
        <v>95</v>
      </c>
      <c r="CJ203" s="13" t="n">
        <v>44</v>
      </c>
      <c r="CK203" s="13" t="n">
        <v>346</v>
      </c>
      <c r="CL203" s="13" t="n">
        <v>44</v>
      </c>
      <c r="CM203" s="13" t="n">
        <v>190</v>
      </c>
      <c r="CN203" s="13" t="n">
        <v>1.004</v>
      </c>
      <c r="CO203" s="13" t="n">
        <v>157</v>
      </c>
      <c r="CP203" s="13" t="n">
        <v>163</v>
      </c>
      <c r="CQ203" s="13" t="n">
        <v>189</v>
      </c>
      <c r="CR203" s="13" t="n">
        <v>6</v>
      </c>
      <c r="CS203" s="13" t="n">
        <v>4.1</v>
      </c>
      <c r="CT203" s="11" t="inlineStr">
        <is>
          <t xml:space="preserve"> Freeski</t>
        </is>
      </c>
      <c r="CU203" s="11" t="inlineStr">
        <is>
          <t xml:space="preserve"> Powder</t>
        </is>
      </c>
      <c r="CV203" s="11" t="inlineStr">
        <is>
          <t xml:space="preserve"> Touring</t>
        </is>
      </c>
      <c r="CW203" s="13" t="n"/>
      <c r="CX203">
        <f>INDEX('Data_Price '!AG$2:AG$1266,MATCH(Data!$DN203,'Data_Price '!$AT$2:$AT$1266,0))</f>
        <v/>
      </c>
      <c r="CY203">
        <f>INDEX('Data_Price '!AH$2:AH$1266,MATCH(Data!$DN203,'Data_Price '!$AT$2:$AT$1266,0))</f>
        <v/>
      </c>
      <c r="CZ203">
        <f>INDEX('Data_Price '!AI$2:AI$1266,MATCH(Data!$DN203,'Data_Price '!$AT$2:$AT$1266,0))</f>
        <v/>
      </c>
      <c r="DA203">
        <f>INDEX('Data_Price '!AJ$2:AJ$1266,MATCH(Data!$DN203,'Data_Price '!$AT$2:$AT$1266,0))</f>
        <v/>
      </c>
      <c r="DB203">
        <f>INDEX('Data_Price '!AK$2:AK$1266,MATCH(Data!$DN203,'Data_Price '!$AT$2:$AT$1266,0))</f>
        <v/>
      </c>
      <c r="DC203">
        <f>INDEX('Data_Price '!AL$2:AL$1266,MATCH(Data!$DN203,'Data_Price '!$AT$2:$AT$1266,0))</f>
        <v/>
      </c>
      <c r="DD203">
        <f>INDEX('Data_Price '!AM$2:AM$1266,MATCH(Data!$DN203,'Data_Price '!$AT$2:$AT$1266,0))</f>
        <v/>
      </c>
      <c r="DE203">
        <f>INDEX('Data_Price '!AN$2:AN$1266,MATCH(Data!$DN203,'Data_Price '!$AT$2:$AT$1266,0))</f>
        <v/>
      </c>
      <c r="DF203">
        <f>INDEX('Data_Price '!AO$2:AO$1266,MATCH(Data!$DN203,'Data_Price '!$AT$2:$AT$1266,0))</f>
        <v/>
      </c>
      <c r="DG203">
        <f>INDEX('Data_Price '!AP$2:AP$1266,MATCH(Data!$DN203,'Data_Price '!$AT$2:$AT$1266,0))</f>
        <v/>
      </c>
      <c r="DH203">
        <f>INDEX('Data_Price '!AQ$2:AQ$1266,MATCH(Data!$DN203,'Data_Price '!$AT$2:$AT$1266,0))</f>
        <v/>
      </c>
      <c r="DI203">
        <f>INDEX('Data_Price '!AR$2:AR$1266,MATCH(Data!$DN203,'Data_Price '!$AT$2:$AT$1266,0))</f>
        <v/>
      </c>
      <c r="DJ203" s="138">
        <f>DA203</f>
        <v/>
      </c>
      <c r="DK203" s="138">
        <f>DE203</f>
        <v/>
      </c>
      <c r="DL203" s="138">
        <f>DI203</f>
        <v/>
      </c>
      <c r="DM203" s="303">
        <f>IF(LEFT(BT203,1)=" ",RIGHT(BT203,LEN(BT203)-1),BT203)</f>
        <v/>
      </c>
      <c r="DN203" s="138">
        <f>_xlfn.CONCAT(BS203,DM203,BU203,BV203)</f>
        <v/>
      </c>
      <c r="DO203" s="307" t="inlineStr">
        <is>
          <t>https://images.evo.com/imgp/250/197208/792879/line-skis-sir-francis-bacon-skis-2022-.jpg</t>
        </is>
      </c>
    </row>
    <row r="204" ht="15.6" customHeight="1" s="184">
      <c r="B204" s="303">
        <f t="array" ref="B204">IF(OR(ISERROR(K204:P204)),FALSE,TRUE)</f>
        <v/>
      </c>
      <c r="C204" s="60">
        <f>OR(BR204=Driver!$G$50,Data!BR1129=Driver!$H$50)</f>
        <v/>
      </c>
      <c r="D204" s="60">
        <f>OR(BV204=Driver!$G$51,BV204=Driver!$H$51)</f>
        <v/>
      </c>
      <c r="E204" s="60">
        <f>AND(BX204&gt;Driver!$F$54,BX204&lt;Driver!$G$54)</f>
        <v/>
      </c>
      <c r="F204" s="60">
        <f>CL204&gt;Driver!$F$56</f>
        <v/>
      </c>
      <c r="G204" s="60">
        <f>AND(CB204&gt;Driver!$F$55,CB204&lt;Driver!$G$55)</f>
        <v/>
      </c>
      <c r="H204" s="60">
        <f>AND(B204:G204)</f>
        <v/>
      </c>
      <c r="I204" s="60">
        <f>COUNTIFS($H$9:$H$1273,TRUE,$BT$9:$BT$1273,BT204)</f>
        <v/>
      </c>
      <c r="J204" s="60">
        <f t="array" ref="J204">NOT(OR(($H$9:$H$1273=TRUE)*($I$9:$I$1273&gt;0)*($BT$9:$BT$1273=BT204)*($K$9:$K$1273&gt;K204)))</f>
        <v/>
      </c>
      <c r="K204" s="108">
        <f>IFERROR(1-AVERAGE(X204:Y204),"")</f>
        <v/>
      </c>
      <c r="L204" s="108">
        <f>1-X204</f>
        <v/>
      </c>
      <c r="M204" s="108">
        <f>1-Y204</f>
        <v/>
      </c>
      <c r="N204" s="108">
        <f>1-Z204</f>
        <v/>
      </c>
      <c r="O204" s="108">
        <f>1-AA204</f>
        <v/>
      </c>
      <c r="P204" s="108">
        <f>1-AB204</f>
        <v/>
      </c>
      <c r="Q204" s="108" t="n"/>
      <c r="R204" s="108" t="n"/>
      <c r="S204" s="108">
        <f>1-AE204</f>
        <v/>
      </c>
      <c r="T204" s="108">
        <f>1-AF204</f>
        <v/>
      </c>
      <c r="U204" s="108">
        <f>1-AG204</f>
        <v/>
      </c>
      <c r="V204" s="108">
        <f>1-AH204</f>
        <v/>
      </c>
      <c r="W204" s="108">
        <f>1-AI204</f>
        <v/>
      </c>
      <c r="X204" s="108">
        <f>ABS(AJ204-AJ$1)</f>
        <v/>
      </c>
      <c r="Y204" s="108">
        <f>AVERAGE(Z204:AB204)</f>
        <v/>
      </c>
      <c r="Z204" s="108">
        <f>ABS(AL204-AL$1)</f>
        <v/>
      </c>
      <c r="AA204" s="108">
        <f>ABS(AM204-AM$1)</f>
        <v/>
      </c>
      <c r="AB204" s="108">
        <f>ABS(AN204-AN$1)</f>
        <v/>
      </c>
      <c r="AC204" s="108" t="n"/>
      <c r="AD204" s="108" t="n"/>
      <c r="AE204" s="108">
        <f>ABS(AQ$1-AQ204)</f>
        <v/>
      </c>
      <c r="AF204" s="108">
        <f>ABS(AR$1-AR204)</f>
        <v/>
      </c>
      <c r="AG204" s="108">
        <f>ABS(AS$1-AS204)</f>
        <v/>
      </c>
      <c r="AH204" s="108">
        <f>ABS(AT$1-AT204)</f>
        <v/>
      </c>
      <c r="AI204" s="108">
        <f>ABS(AU$1-AU204)</f>
        <v/>
      </c>
      <c r="AJ204" s="108">
        <f>(AV204-Driver!$K$179)/(Driver!$L$179-Driver!$K$179)</f>
        <v/>
      </c>
      <c r="AK204" s="108">
        <f>(AW204-Driver!$K$180)/(Driver!$L$180-Driver!$K$180)</f>
        <v/>
      </c>
      <c r="AL204" s="108">
        <f>(AX204-Driver!$K$181)/(Driver!$L$181-Driver!$K$181)</f>
        <v/>
      </c>
      <c r="AM204" s="108">
        <f>(AY204-Driver!$K$182)/(Driver!$L$182-Driver!$K$182)</f>
        <v/>
      </c>
      <c r="AN204" s="108">
        <f>(AZ204-Driver!$K$183)/(Driver!$L$183-Driver!$K$183)</f>
        <v/>
      </c>
      <c r="AO204" s="108" t="n"/>
      <c r="AP204" s="108" t="n"/>
      <c r="AQ204" s="108">
        <f>(BC204-Driver!$K$188)/(Driver!$L$188-Driver!$K$188)</f>
        <v/>
      </c>
      <c r="AR204" s="108">
        <f>MIN((BD204-Driver!$K$189)/(Driver!$L$189-Driver!$K$189),100%)</f>
        <v/>
      </c>
      <c r="AS204" s="108">
        <f>(BE204-Driver!$K$190)/(Driver!$L$190-Driver!$K$190)</f>
        <v/>
      </c>
      <c r="AT204" s="108">
        <f>(BF204-Driver!$K$191)/(Driver!$L$191-Driver!$K$191)</f>
        <v/>
      </c>
      <c r="AU204" s="108">
        <f>(BG204-Driver!$K$192)/(Driver!$L$192-Driver!$K$192)</f>
        <v/>
      </c>
      <c r="AV204" s="105">
        <f>IFERROR(BM204*BJ204^1/4,"")</f>
        <v/>
      </c>
      <c r="AW204" s="105">
        <f>IFERROR(SUM(AX204:AZ204),"")</f>
        <v/>
      </c>
      <c r="AX204" s="105">
        <f>IFERROR(BH204,"")</f>
        <v/>
      </c>
      <c r="AY204" s="105">
        <f>IFERROR(Driver!$K$19/Data!BH204/Data!BI204*Data!BK204*Data!BL204,"")</f>
        <v/>
      </c>
      <c r="AZ204" s="105">
        <f>IFERROR(BI204*BN204,"")</f>
        <v/>
      </c>
      <c r="BA204" s="105" t="n"/>
      <c r="BB204" s="105" t="n"/>
      <c r="BC204" s="105">
        <f>IFERROR(BI204*BN204*BK204/BJ204^(1/2),"")</f>
        <v/>
      </c>
      <c r="BD204" s="105">
        <f>IFERROR(BH204*BM204*BL204/BJ204/BK204,"")</f>
        <v/>
      </c>
      <c r="BE204" s="105">
        <f>IFERROR(MIN(BI204/BQ204/BP204/BO204/BH204,$BE$1),"")</f>
        <v/>
      </c>
      <c r="BF204" s="105">
        <f>IFERROR(BJ204*BO204*BP204/BK204,"")</f>
        <v/>
      </c>
      <c r="BG204" s="105">
        <f>IFERROR(1/BM204/BH204*BQ204,"")</f>
        <v/>
      </c>
      <c r="BH204" s="102">
        <f>MAX((CE204-Driver!$F$200)/(Driver!$G$200-Driver!$F$200)*$BI$1,1)</f>
        <v/>
      </c>
      <c r="BI204" s="102">
        <f>MAX($BI$1*(BY204-Driver!$F$201)/(Driver!$G$201-Driver!$F$201),1)</f>
        <v/>
      </c>
      <c r="BJ204" s="102">
        <f>(CB204-Driver!$F$206)/(Driver!$G$206-Driver!$F$206)*$BI$1</f>
        <v/>
      </c>
      <c r="BK204" s="102">
        <f>(CD204-Driver!$F$203)/(Driver!$G$203-Driver!$F$203)*$BI$1</f>
        <v/>
      </c>
      <c r="BL204" s="102">
        <f>MAX((CR204-Driver!$F$202)/(Driver!$G$202-Driver!$F$202)*$BI$1,1)</f>
        <v/>
      </c>
      <c r="BM204" s="102">
        <f>MAX((CH204-Driver!$F$204)/(Driver!$G$204-Driver!$F$204)*$BI$1,1)</f>
        <v/>
      </c>
      <c r="BN204" s="102">
        <f>(CI204-Driver!$F$205)/(Driver!$G$205-Driver!$F$205)*$BI$1</f>
        <v/>
      </c>
      <c r="BO204" s="102">
        <f>(CK204-Driver!$F$207)/(Driver!$G$207-Driver!$F$207)*$BI$1</f>
        <v/>
      </c>
      <c r="BP204" s="102">
        <f>(CM204-Driver!$F$208)/(Driver!$G$208-Driver!$F$208)*$BI$1</f>
        <v/>
      </c>
      <c r="BQ204" s="102">
        <f>(CL204-Driver!$F$209)/(Driver!$G$209-Driver!$F$209)*$BI$1</f>
        <v/>
      </c>
      <c r="BR204" s="40" t="inlineStr">
        <is>
          <t>21/22</t>
        </is>
      </c>
      <c r="BS204" s="10" t="inlineStr">
        <is>
          <t xml:space="preserve"> Stöckli</t>
        </is>
      </c>
      <c r="BT204" s="11" t="inlineStr">
        <is>
          <t xml:space="preserve"> Edge FT</t>
        </is>
      </c>
      <c r="BU204" s="13" t="n">
        <v>167</v>
      </c>
      <c r="BV204" s="11" t="inlineStr">
        <is>
          <t xml:space="preserve"> Unisex</t>
        </is>
      </c>
      <c r="BW204" s="13" t="n">
        <v>167</v>
      </c>
      <c r="BX204" s="13" t="n">
        <v>166.2</v>
      </c>
      <c r="BY204" s="13" t="n">
        <v>139</v>
      </c>
      <c r="BZ204" s="13" t="n">
        <v>144</v>
      </c>
      <c r="CA204" s="13" t="n">
        <v>127</v>
      </c>
      <c r="CB204" s="13" t="n">
        <v>91</v>
      </c>
      <c r="CC204" s="13" t="n">
        <v>117</v>
      </c>
      <c r="CD204" s="13" t="n">
        <v>16.1</v>
      </c>
      <c r="CE204" s="13" t="n">
        <v>1544</v>
      </c>
      <c r="CF204" s="13" t="n">
        <v>1.11</v>
      </c>
      <c r="CG204" s="13" t="n">
        <v>1714</v>
      </c>
      <c r="CH204" s="13" t="n">
        <v>164</v>
      </c>
      <c r="CI204" s="13" t="n">
        <v>88</v>
      </c>
      <c r="CJ204" s="13" t="n">
        <v>44</v>
      </c>
      <c r="CK204" s="13" t="n">
        <v>201</v>
      </c>
      <c r="CL204" s="13" t="n">
        <v>9</v>
      </c>
      <c r="CM204" s="13" t="n">
        <v>75</v>
      </c>
      <c r="CN204" s="13" t="n">
        <v>0.198</v>
      </c>
      <c r="CO204" s="13" t="n">
        <v>168</v>
      </c>
      <c r="CP204" s="13" t="n">
        <v>54</v>
      </c>
      <c r="CQ204" s="13" t="n">
        <v>33</v>
      </c>
      <c r="CR204" s="13" t="n">
        <v>6</v>
      </c>
      <c r="CS204" s="13" t="n">
        <v>13.3</v>
      </c>
      <c r="CT204" s="11" t="inlineStr">
        <is>
          <t xml:space="preserve"> Resort Freeride</t>
        </is>
      </c>
      <c r="CU204" s="11" t="inlineStr">
        <is>
          <t xml:space="preserve"> Touring</t>
        </is>
      </c>
      <c r="CV204" s="13" t="n"/>
      <c r="CW204" s="13" t="n"/>
      <c r="CX204">
        <f>INDEX('Data_Price '!AG$2:AG$1266,MATCH(Data!$DN204,'Data_Price '!$AT$2:$AT$1266,0))</f>
        <v/>
      </c>
      <c r="CY204">
        <f>INDEX('Data_Price '!AH$2:AH$1266,MATCH(Data!$DN204,'Data_Price '!$AT$2:$AT$1266,0))</f>
        <v/>
      </c>
      <c r="CZ204">
        <f>INDEX('Data_Price '!AI$2:AI$1266,MATCH(Data!$DN204,'Data_Price '!$AT$2:$AT$1266,0))</f>
        <v/>
      </c>
      <c r="DA204">
        <f>INDEX('Data_Price '!AJ$2:AJ$1266,MATCH(Data!$DN204,'Data_Price '!$AT$2:$AT$1266,0))</f>
        <v/>
      </c>
      <c r="DB204">
        <f>INDEX('Data_Price '!AK$2:AK$1266,MATCH(Data!$DN204,'Data_Price '!$AT$2:$AT$1266,0))</f>
        <v/>
      </c>
      <c r="DC204">
        <f>INDEX('Data_Price '!AL$2:AL$1266,MATCH(Data!$DN204,'Data_Price '!$AT$2:$AT$1266,0))</f>
        <v/>
      </c>
      <c r="DD204">
        <f>INDEX('Data_Price '!AM$2:AM$1266,MATCH(Data!$DN204,'Data_Price '!$AT$2:$AT$1266,0))</f>
        <v/>
      </c>
      <c r="DE204">
        <f>INDEX('Data_Price '!AN$2:AN$1266,MATCH(Data!$DN204,'Data_Price '!$AT$2:$AT$1266,0))</f>
        <v/>
      </c>
      <c r="DF204">
        <f>INDEX('Data_Price '!AO$2:AO$1266,MATCH(Data!$DN204,'Data_Price '!$AT$2:$AT$1266,0))</f>
        <v/>
      </c>
      <c r="DG204">
        <f>INDEX('Data_Price '!AP$2:AP$1266,MATCH(Data!$DN204,'Data_Price '!$AT$2:$AT$1266,0))</f>
        <v/>
      </c>
      <c r="DH204">
        <f>INDEX('Data_Price '!AQ$2:AQ$1266,MATCH(Data!$DN204,'Data_Price '!$AT$2:$AT$1266,0))</f>
        <v/>
      </c>
      <c r="DI204">
        <f>INDEX('Data_Price '!AR$2:AR$1266,MATCH(Data!$DN204,'Data_Price '!$AT$2:$AT$1266,0))</f>
        <v/>
      </c>
      <c r="DJ204" s="138">
        <f>DA204</f>
        <v/>
      </c>
      <c r="DK204" s="138">
        <f>DE204</f>
        <v/>
      </c>
      <c r="DL204" s="138">
        <f>DI204</f>
        <v/>
      </c>
      <c r="DM204" s="303">
        <f>IF(LEFT(BT204,1)=" ",RIGHT(BT204,LEN(BT204)-1),BT204)</f>
        <v/>
      </c>
      <c r="DN204" s="138">
        <f>_xlfn.CONCAT(BS204,DM204,BU204,BV204)</f>
        <v/>
      </c>
      <c r="DO204" s="307" t="n"/>
    </row>
    <row r="205" ht="15.6" customHeight="1" s="184">
      <c r="B205" s="303">
        <f t="array" ref="B205">IF(OR(ISERROR(K205:P205)),FALSE,TRUE)</f>
        <v/>
      </c>
      <c r="C205" s="60">
        <f>OR(BR205=Driver!$G$50,Data!BR365=Driver!$H$50)</f>
        <v/>
      </c>
      <c r="D205" s="60">
        <f>OR(BV205=Driver!$G$51,BV205=Driver!$H$51)</f>
        <v/>
      </c>
      <c r="E205" s="60">
        <f>AND(BX205&gt;Driver!$F$54,BX205&lt;Driver!$G$54)</f>
        <v/>
      </c>
      <c r="F205" s="60">
        <f>CL205&gt;Driver!$F$56</f>
        <v/>
      </c>
      <c r="G205" s="60">
        <f>AND(CB205&gt;Driver!$F$55,CB205&lt;Driver!$G$55)</f>
        <v/>
      </c>
      <c r="H205" s="60">
        <f>AND(B205:G205)</f>
        <v/>
      </c>
      <c r="I205" s="60">
        <f>COUNTIFS($H$9:$H$1273,TRUE,$BT$9:$BT$1273,BT205)</f>
        <v/>
      </c>
      <c r="J205" s="60">
        <f t="array" ref="J205">NOT(OR(($H$9:$H$1273=TRUE)*($I$9:$I$1273&gt;0)*($BT$9:$BT$1273=BT205)*($K$9:$K$1273&gt;K205)))</f>
        <v/>
      </c>
      <c r="K205" s="108">
        <f>IFERROR(1-AVERAGE(X205:Y205),"")</f>
        <v/>
      </c>
      <c r="L205" s="108">
        <f>1-X205</f>
        <v/>
      </c>
      <c r="M205" s="108">
        <f>1-Y205</f>
        <v/>
      </c>
      <c r="N205" s="108">
        <f>1-Z205</f>
        <v/>
      </c>
      <c r="O205" s="108">
        <f>1-AA205</f>
        <v/>
      </c>
      <c r="P205" s="108">
        <f>1-AB205</f>
        <v/>
      </c>
      <c r="Q205" s="108" t="n"/>
      <c r="R205" s="108" t="n"/>
      <c r="S205" s="108">
        <f>1-AE205</f>
        <v/>
      </c>
      <c r="T205" s="108">
        <f>1-AF205</f>
        <v/>
      </c>
      <c r="U205" s="108">
        <f>1-AG205</f>
        <v/>
      </c>
      <c r="V205" s="108">
        <f>1-AH205</f>
        <v/>
      </c>
      <c r="W205" s="108">
        <f>1-AI205</f>
        <v/>
      </c>
      <c r="X205" s="108">
        <f>ABS(AJ205-AJ$1)</f>
        <v/>
      </c>
      <c r="Y205" s="108">
        <f>AVERAGE(Z205:AB205)</f>
        <v/>
      </c>
      <c r="Z205" s="108">
        <f>ABS(AL205-AL$1)</f>
        <v/>
      </c>
      <c r="AA205" s="108">
        <f>ABS(AM205-AM$1)</f>
        <v/>
      </c>
      <c r="AB205" s="108">
        <f>ABS(AN205-AN$1)</f>
        <v/>
      </c>
      <c r="AC205" s="108" t="n"/>
      <c r="AD205" s="108" t="n"/>
      <c r="AE205" s="108">
        <f>ABS(AQ$1-AQ205)</f>
        <v/>
      </c>
      <c r="AF205" s="108">
        <f>ABS(AR$1-AR205)</f>
        <v/>
      </c>
      <c r="AG205" s="108">
        <f>ABS(AS$1-AS205)</f>
        <v/>
      </c>
      <c r="AH205" s="108">
        <f>ABS(AT$1-AT205)</f>
        <v/>
      </c>
      <c r="AI205" s="108">
        <f>ABS(AU$1-AU205)</f>
        <v/>
      </c>
      <c r="AJ205" s="108">
        <f>(AV205-Driver!$K$179)/(Driver!$L$179-Driver!$K$179)</f>
        <v/>
      </c>
      <c r="AK205" s="108">
        <f>(AW205-Driver!$K$180)/(Driver!$L$180-Driver!$K$180)</f>
        <v/>
      </c>
      <c r="AL205" s="108">
        <f>(AX205-Driver!$K$181)/(Driver!$L$181-Driver!$K$181)</f>
        <v/>
      </c>
      <c r="AM205" s="108">
        <f>(AY205-Driver!$K$182)/(Driver!$L$182-Driver!$K$182)</f>
        <v/>
      </c>
      <c r="AN205" s="108">
        <f>(AZ205-Driver!$K$183)/(Driver!$L$183-Driver!$K$183)</f>
        <v/>
      </c>
      <c r="AO205" s="108" t="n"/>
      <c r="AP205" s="108" t="n"/>
      <c r="AQ205" s="108">
        <f>(BC205-Driver!$K$188)/(Driver!$L$188-Driver!$K$188)</f>
        <v/>
      </c>
      <c r="AR205" s="108">
        <f>MIN((BD205-Driver!$K$189)/(Driver!$L$189-Driver!$K$189),100%)</f>
        <v/>
      </c>
      <c r="AS205" s="108">
        <f>(BE205-Driver!$K$190)/(Driver!$L$190-Driver!$K$190)</f>
        <v/>
      </c>
      <c r="AT205" s="108">
        <f>(BF205-Driver!$K$191)/(Driver!$L$191-Driver!$K$191)</f>
        <v/>
      </c>
      <c r="AU205" s="108">
        <f>(BG205-Driver!$K$192)/(Driver!$L$192-Driver!$K$192)</f>
        <v/>
      </c>
      <c r="AV205" s="105">
        <f>IFERROR(BM205*BJ205^1/4,"")</f>
        <v/>
      </c>
      <c r="AW205" s="105">
        <f>IFERROR(SUM(AX205:AZ205),"")</f>
        <v/>
      </c>
      <c r="AX205" s="105">
        <f>IFERROR(BH205,"")</f>
        <v/>
      </c>
      <c r="AY205" s="105">
        <f>IFERROR(Driver!$K$19/Data!BH205/Data!BI205*Data!BK205*Data!BL205,"")</f>
        <v/>
      </c>
      <c r="AZ205" s="105">
        <f>IFERROR(BI205*BN205,"")</f>
        <v/>
      </c>
      <c r="BA205" s="105" t="n"/>
      <c r="BB205" s="105" t="n"/>
      <c r="BC205" s="105">
        <f>IFERROR(BI205*BN205*BK205/BJ205^(1/2),"")</f>
        <v/>
      </c>
      <c r="BD205" s="105">
        <f>IFERROR(BH205*BM205*BL205/BJ205/BK205,"")</f>
        <v/>
      </c>
      <c r="BE205" s="105">
        <f>IFERROR(MIN(BI205/BQ205/BP205/BO205/BH205,$BE$1),"")</f>
        <v/>
      </c>
      <c r="BF205" s="105">
        <f>IFERROR(BJ205*BO205*BP205/BK205,"")</f>
        <v/>
      </c>
      <c r="BG205" s="105">
        <f>IFERROR(1/BM205/BH205*BQ205,"")</f>
        <v/>
      </c>
      <c r="BH205" s="102">
        <f>MAX((CE205-Driver!$F$200)/(Driver!$G$200-Driver!$F$200)*$BI$1,1)</f>
        <v/>
      </c>
      <c r="BI205" s="102">
        <f>MAX($BI$1*(BY205-Driver!$F$201)/(Driver!$G$201-Driver!$F$201),1)</f>
        <v/>
      </c>
      <c r="BJ205" s="102">
        <f>(CB205-Driver!$F$206)/(Driver!$G$206-Driver!$F$206)*$BI$1</f>
        <v/>
      </c>
      <c r="BK205" s="102">
        <f>(CD205-Driver!$F$203)/(Driver!$G$203-Driver!$F$203)*$BI$1</f>
        <v/>
      </c>
      <c r="BL205" s="102">
        <f>MAX((CR205-Driver!$F$202)/(Driver!$G$202-Driver!$F$202)*$BI$1,1)</f>
        <v/>
      </c>
      <c r="BM205" s="102">
        <f>MAX((CH205-Driver!$F$204)/(Driver!$G$204-Driver!$F$204)*$BI$1,1)</f>
        <v/>
      </c>
      <c r="BN205" s="102">
        <f>(CI205-Driver!$F$205)/(Driver!$G$205-Driver!$F$205)*$BI$1</f>
        <v/>
      </c>
      <c r="BO205" s="102">
        <f>(CK205-Driver!$F$207)/(Driver!$G$207-Driver!$F$207)*$BI$1</f>
        <v/>
      </c>
      <c r="BP205" s="102">
        <f>(CM205-Driver!$F$208)/(Driver!$G$208-Driver!$F$208)*$BI$1</f>
        <v/>
      </c>
      <c r="BQ205" s="102">
        <f>(CL205-Driver!$F$209)/(Driver!$G$209-Driver!$F$209)*$BI$1</f>
        <v/>
      </c>
      <c r="BR205" s="40" t="inlineStr">
        <is>
          <t>21/22</t>
        </is>
      </c>
      <c r="BS205" s="10" t="inlineStr">
        <is>
          <t xml:space="preserve"> Dynafit</t>
        </is>
      </c>
      <c r="BT205" s="11" t="inlineStr">
        <is>
          <t>Beast 98</t>
        </is>
      </c>
      <c r="BU205" s="13" t="n">
        <v>177</v>
      </c>
      <c r="BV205" s="11" t="inlineStr">
        <is>
          <t xml:space="preserve"> Unisex</t>
        </is>
      </c>
      <c r="BW205" s="13" t="n">
        <v>177</v>
      </c>
      <c r="BX205" s="13" t="n">
        <v>175.8</v>
      </c>
      <c r="BY205" s="13" t="n">
        <v>115</v>
      </c>
      <c r="BZ205" s="13" t="n">
        <v>142</v>
      </c>
      <c r="CA205" s="13" t="n">
        <v>125</v>
      </c>
      <c r="CB205" s="13" t="n">
        <v>96</v>
      </c>
      <c r="CC205" s="13" t="n">
        <v>115</v>
      </c>
      <c r="CD205" s="13" t="n">
        <v>18.4</v>
      </c>
      <c r="CE205" s="13" t="n">
        <v>1525</v>
      </c>
      <c r="CF205" s="13" t="n">
        <v>1.22</v>
      </c>
      <c r="CG205" s="13" t="n">
        <v>1867</v>
      </c>
      <c r="CH205" s="13" t="n">
        <v>187</v>
      </c>
      <c r="CI205" s="13" t="n">
        <v>92</v>
      </c>
      <c r="CJ205" s="13" t="n">
        <v>59</v>
      </c>
      <c r="CK205" s="13" t="n">
        <v>442</v>
      </c>
      <c r="CL205" s="13" t="n">
        <v>13</v>
      </c>
      <c r="CM205" s="13" t="n">
        <v>167</v>
      </c>
      <c r="CN205" s="13" t="n">
        <v>0.224</v>
      </c>
      <c r="CO205" s="13" t="n">
        <v>183</v>
      </c>
      <c r="CP205" s="13" t="n">
        <v>151</v>
      </c>
      <c r="CQ205" s="13" t="n">
        <v>259</v>
      </c>
      <c r="CR205" s="13" t="n">
        <v>3</v>
      </c>
      <c r="CS205" s="13" t="n">
        <v>8.5</v>
      </c>
      <c r="CT205" s="11" t="inlineStr">
        <is>
          <t xml:space="preserve"> Resort Freeride</t>
        </is>
      </c>
      <c r="CU205" s="11" t="inlineStr">
        <is>
          <t xml:space="preserve"> Touring</t>
        </is>
      </c>
      <c r="CV205" s="13" t="n"/>
      <c r="CW205" s="13" t="n"/>
      <c r="CX205">
        <f>INDEX('Data_Price '!AG$2:AG$1266,MATCH(Data!$DN205,'Data_Price '!$AT$2:$AT$1266,0))</f>
        <v/>
      </c>
      <c r="CY205">
        <f>INDEX('Data_Price '!AH$2:AH$1266,MATCH(Data!$DN205,'Data_Price '!$AT$2:$AT$1266,0))</f>
        <v/>
      </c>
      <c r="CZ205">
        <f>INDEX('Data_Price '!AI$2:AI$1266,MATCH(Data!$DN205,'Data_Price '!$AT$2:$AT$1266,0))</f>
        <v/>
      </c>
      <c r="DA205">
        <f>INDEX('Data_Price '!AJ$2:AJ$1266,MATCH(Data!$DN205,'Data_Price '!$AT$2:$AT$1266,0))</f>
        <v/>
      </c>
      <c r="DB205">
        <f>INDEX('Data_Price '!AK$2:AK$1266,MATCH(Data!$DN205,'Data_Price '!$AT$2:$AT$1266,0))</f>
        <v/>
      </c>
      <c r="DC205">
        <f>INDEX('Data_Price '!AL$2:AL$1266,MATCH(Data!$DN205,'Data_Price '!$AT$2:$AT$1266,0))</f>
        <v/>
      </c>
      <c r="DD205">
        <f>INDEX('Data_Price '!AM$2:AM$1266,MATCH(Data!$DN205,'Data_Price '!$AT$2:$AT$1266,0))</f>
        <v/>
      </c>
      <c r="DE205">
        <f>INDEX('Data_Price '!AN$2:AN$1266,MATCH(Data!$DN205,'Data_Price '!$AT$2:$AT$1266,0))</f>
        <v/>
      </c>
      <c r="DF205">
        <f>INDEX('Data_Price '!AO$2:AO$1266,MATCH(Data!$DN205,'Data_Price '!$AT$2:$AT$1266,0))</f>
        <v/>
      </c>
      <c r="DG205">
        <f>INDEX('Data_Price '!AP$2:AP$1266,MATCH(Data!$DN205,'Data_Price '!$AT$2:$AT$1266,0))</f>
        <v/>
      </c>
      <c r="DH205">
        <f>INDEX('Data_Price '!AQ$2:AQ$1266,MATCH(Data!$DN205,'Data_Price '!$AT$2:$AT$1266,0))</f>
        <v/>
      </c>
      <c r="DI205">
        <f>INDEX('Data_Price '!AR$2:AR$1266,MATCH(Data!$DN205,'Data_Price '!$AT$2:$AT$1266,0))</f>
        <v/>
      </c>
      <c r="DJ205" s="138">
        <f>DA205</f>
        <v/>
      </c>
      <c r="DK205" s="138">
        <f>DE205</f>
        <v/>
      </c>
      <c r="DL205" s="138">
        <f>DI205</f>
        <v/>
      </c>
      <c r="DM205" s="303">
        <f>IF(LEFT(BT205,1)=" ",RIGHT(BT205,LEN(BT205)-1),BT205)</f>
        <v/>
      </c>
      <c r="DN205" s="138">
        <f>_xlfn.CONCAT(BS205,DM205,BU205,BV205)</f>
        <v/>
      </c>
      <c r="DO205" s="307" t="n"/>
    </row>
    <row r="206" ht="15.6" customHeight="1" s="184">
      <c r="A206" s="303">
        <f>ROW()</f>
        <v/>
      </c>
      <c r="B206" s="303">
        <f t="array" ref="B206">IF(OR(ISERROR(K206:P206)),FALSE,TRUE)</f>
        <v/>
      </c>
      <c r="C206" s="60">
        <f>OR(BR206=Driver!$G$50,Data!BR45=Driver!$H$50)</f>
        <v/>
      </c>
      <c r="D206" s="60">
        <f>OR(BV206=Driver!$G$51,BV206=Driver!$H$51)</f>
        <v/>
      </c>
      <c r="E206" s="60">
        <f>AND(BX206&gt;Driver!$F$54,BX206&lt;Driver!$G$54)</f>
        <v/>
      </c>
      <c r="F206" s="60">
        <f>CL206&gt;Driver!$F$56</f>
        <v/>
      </c>
      <c r="G206" s="60">
        <f>AND(CB206&gt;Driver!$F$55,CB206&lt;Driver!$G$55)</f>
        <v/>
      </c>
      <c r="H206" s="60">
        <f>AND(B206:G206)</f>
        <v/>
      </c>
      <c r="I206" s="60">
        <f>COUNTIFS($H$9:$H$1273,TRUE,$BT$9:$BT$1273,BT206)</f>
        <v/>
      </c>
      <c r="J206" s="60">
        <f t="array" ref="J206">NOT(OR(($H$9:$H$1273=TRUE)*($I$9:$I$1273&gt;0)*($BT$9:$BT$1273=BT206)*($K$9:$K$1273&gt;K206)))</f>
        <v/>
      </c>
      <c r="K206" s="108">
        <f>IFERROR(1-AVERAGE(X206:Y206),"")</f>
        <v/>
      </c>
      <c r="L206" s="108">
        <f>1-X206</f>
        <v/>
      </c>
      <c r="M206" s="108">
        <f>1-Y206</f>
        <v/>
      </c>
      <c r="N206" s="108">
        <f>1-Z206</f>
        <v/>
      </c>
      <c r="O206" s="108">
        <f>1-AA206</f>
        <v/>
      </c>
      <c r="P206" s="108">
        <f>1-AB206</f>
        <v/>
      </c>
      <c r="Q206" s="108" t="n"/>
      <c r="R206" s="108" t="n"/>
      <c r="S206" s="108">
        <f>1-AE206</f>
        <v/>
      </c>
      <c r="T206" s="108">
        <f>1-AF206</f>
        <v/>
      </c>
      <c r="U206" s="108">
        <f>1-AG206</f>
        <v/>
      </c>
      <c r="V206" s="108">
        <f>1-AH206</f>
        <v/>
      </c>
      <c r="W206" s="108">
        <f>1-AI206</f>
        <v/>
      </c>
      <c r="X206" s="108">
        <f>ABS(AJ206-AJ$1)</f>
        <v/>
      </c>
      <c r="Y206" s="108">
        <f>AVERAGE(Z206:AB206)</f>
        <v/>
      </c>
      <c r="Z206" s="108">
        <f>ABS(AL206-AL$1)</f>
        <v/>
      </c>
      <c r="AA206" s="108">
        <f>ABS(AM206-AM$1)</f>
        <v/>
      </c>
      <c r="AB206" s="108">
        <f>ABS(AN206-AN$1)</f>
        <v/>
      </c>
      <c r="AC206" s="108" t="n"/>
      <c r="AD206" s="108" t="n"/>
      <c r="AE206" s="108">
        <f>ABS(AQ$1-AQ206)</f>
        <v/>
      </c>
      <c r="AF206" s="108">
        <f>ABS(AR$1-AR206)</f>
        <v/>
      </c>
      <c r="AG206" s="108">
        <f>ABS(AS$1-AS206)</f>
        <v/>
      </c>
      <c r="AH206" s="108">
        <f>ABS(AT$1-AT206)</f>
        <v/>
      </c>
      <c r="AI206" s="108">
        <f>ABS(AU$1-AU206)</f>
        <v/>
      </c>
      <c r="AJ206" s="108">
        <f>(AV206-Driver!$K$179)/(Driver!$L$179-Driver!$K$179)</f>
        <v/>
      </c>
      <c r="AK206" s="108">
        <f>(AW206-Driver!$K$180)/(Driver!$L$180-Driver!$K$180)</f>
        <v/>
      </c>
      <c r="AL206" s="108">
        <f>(AX206-Driver!$K$181)/(Driver!$L$181-Driver!$K$181)</f>
        <v/>
      </c>
      <c r="AM206" s="108">
        <f>(AY206-Driver!$K$182)/(Driver!$L$182-Driver!$K$182)</f>
        <v/>
      </c>
      <c r="AN206" s="108">
        <f>(AZ206-Driver!$K$183)/(Driver!$L$183-Driver!$K$183)</f>
        <v/>
      </c>
      <c r="AO206" s="108" t="n"/>
      <c r="AP206" s="108" t="n"/>
      <c r="AQ206" s="108">
        <f>(BC206-Driver!$K$188)/(Driver!$L$188-Driver!$K$188)</f>
        <v/>
      </c>
      <c r="AR206" s="108">
        <f>MIN((BD206-Driver!$K$189)/(Driver!$L$189-Driver!$K$189),100%)</f>
        <v/>
      </c>
      <c r="AS206" s="108">
        <f>(BE206-Driver!$K$190)/(Driver!$L$190-Driver!$K$190)</f>
        <v/>
      </c>
      <c r="AT206" s="108">
        <f>(BF206-Driver!$K$191)/(Driver!$L$191-Driver!$K$191)</f>
        <v/>
      </c>
      <c r="AU206" s="108">
        <f>(BG206-Driver!$K$192)/(Driver!$L$192-Driver!$K$192)</f>
        <v/>
      </c>
      <c r="AV206" s="105">
        <f>IFERROR(BM206*BJ206^1/4,"")</f>
        <v/>
      </c>
      <c r="AW206" s="105">
        <f>IFERROR(SUM(AX206:AZ206),"")</f>
        <v/>
      </c>
      <c r="AX206" s="105">
        <f>IFERROR(BH206,"")</f>
        <v/>
      </c>
      <c r="AY206" s="105">
        <f>IFERROR(Driver!$K$19/Data!BH206/Data!BI206*Data!BK206*Data!BL206,"")</f>
        <v/>
      </c>
      <c r="AZ206" s="105">
        <f>IFERROR(BI206*BN206,"")</f>
        <v/>
      </c>
      <c r="BA206" s="105" t="n"/>
      <c r="BB206" s="105" t="n"/>
      <c r="BC206" s="105">
        <f>IFERROR(BI206*BN206*BK206/BJ206^(1/2),"")</f>
        <v/>
      </c>
      <c r="BD206" s="105">
        <f>IFERROR(BH206*BM206*BL206/BJ206/BK206,"")</f>
        <v/>
      </c>
      <c r="BE206" s="105">
        <f>IFERROR(MIN(BI206/BQ206/BP206/BO206/BH206,$BE$1),"")</f>
        <v/>
      </c>
      <c r="BF206" s="105">
        <f>IFERROR(BJ206*BO206*BP206/BK206,"")</f>
        <v/>
      </c>
      <c r="BG206" s="105">
        <f>IFERROR(1/BM206/BH206*BQ206,"")</f>
        <v/>
      </c>
      <c r="BH206" s="102">
        <f>MAX((CE206-Driver!$F$200)/(Driver!$G$200-Driver!$F$200)*$BI$1,1)</f>
        <v/>
      </c>
      <c r="BI206" s="102">
        <f>MAX($BI$1*(BY206-Driver!$F$201)/(Driver!$G$201-Driver!$F$201),1)</f>
        <v/>
      </c>
      <c r="BJ206" s="102">
        <f>(CB206-Driver!$F$206)/(Driver!$G$206-Driver!$F$206)*$BI$1</f>
        <v/>
      </c>
      <c r="BK206" s="102">
        <f>(CD206-Driver!$F$203)/(Driver!$G$203-Driver!$F$203)*$BI$1</f>
        <v/>
      </c>
      <c r="BL206" s="102">
        <f>MAX((CR206-Driver!$F$202)/(Driver!$G$202-Driver!$F$202)*$BI$1,1)</f>
        <v/>
      </c>
      <c r="BM206" s="102">
        <f>MAX((CH206-Driver!$F$204)/(Driver!$G$204-Driver!$F$204)*$BI$1,1)</f>
        <v/>
      </c>
      <c r="BN206" s="102">
        <f>(CI206-Driver!$F$205)/(Driver!$G$205-Driver!$F$205)*$BI$1</f>
        <v/>
      </c>
      <c r="BO206" s="102">
        <f>(CK206-Driver!$F$207)/(Driver!$G$207-Driver!$F$207)*$BI$1</f>
        <v/>
      </c>
      <c r="BP206" s="102">
        <f>(CM206-Driver!$F$208)/(Driver!$G$208-Driver!$F$208)*$BI$1</f>
        <v/>
      </c>
      <c r="BQ206" s="102">
        <f>(CL206-Driver!$F$209)/(Driver!$G$209-Driver!$F$209)*$BI$1</f>
        <v/>
      </c>
      <c r="BR206" s="40" t="inlineStr">
        <is>
          <t>21/22</t>
        </is>
      </c>
      <c r="BS206" s="10" t="inlineStr">
        <is>
          <t xml:space="preserve"> Armada</t>
        </is>
      </c>
      <c r="BT206" s="11" t="inlineStr">
        <is>
          <t>ARW 106 UL</t>
        </is>
      </c>
      <c r="BU206" s="13" t="n">
        <v>164</v>
      </c>
      <c r="BV206" s="11" t="inlineStr">
        <is>
          <t xml:space="preserve"> Women's</t>
        </is>
      </c>
      <c r="BW206" s="13" t="n">
        <v>164</v>
      </c>
      <c r="BX206" s="13" t="n">
        <v>161.8</v>
      </c>
      <c r="BY206" s="13" t="n">
        <v>111</v>
      </c>
      <c r="BZ206" s="13" t="n">
        <v>129</v>
      </c>
      <c r="CA206" s="13" t="n">
        <v>131</v>
      </c>
      <c r="CB206" s="13" t="n">
        <v>105</v>
      </c>
      <c r="CC206" s="13" t="n">
        <v>120</v>
      </c>
      <c r="CD206" s="13" t="n">
        <v>18.4</v>
      </c>
      <c r="CE206" s="13" t="n">
        <v>1668</v>
      </c>
      <c r="CF206" s="13" t="n">
        <v>1.09</v>
      </c>
      <c r="CG206" s="13" t="n">
        <v>1816</v>
      </c>
      <c r="CH206" s="13" t="n">
        <v>174</v>
      </c>
      <c r="CI206" s="13" t="n">
        <v>85</v>
      </c>
      <c r="CJ206" s="13" t="n">
        <v>52</v>
      </c>
      <c r="CK206" s="13" t="n">
        <v>274</v>
      </c>
      <c r="CL206" s="13" t="n">
        <v>44</v>
      </c>
      <c r="CM206" s="13" t="n">
        <v>233</v>
      </c>
      <c r="CN206" s="13" t="n">
        <v>0.845</v>
      </c>
      <c r="CO206" s="13" t="n">
        <v>144</v>
      </c>
      <c r="CP206" s="13" t="n">
        <v>188</v>
      </c>
      <c r="CQ206" s="13" t="n">
        <v>129</v>
      </c>
      <c r="CR206" s="13" t="n">
        <v>5</v>
      </c>
      <c r="CS206" s="13" t="n">
        <v>2.6</v>
      </c>
      <c r="CT206" s="11" t="inlineStr">
        <is>
          <t xml:space="preserve"> Resort Freeride</t>
        </is>
      </c>
      <c r="CU206" s="11" t="inlineStr">
        <is>
          <t xml:space="preserve"> Freeski</t>
        </is>
      </c>
      <c r="CV206" s="11" t="inlineStr">
        <is>
          <t xml:space="preserve"> Powder</t>
        </is>
      </c>
      <c r="CW206" s="11" t="inlineStr">
        <is>
          <t xml:space="preserve"> Touring</t>
        </is>
      </c>
      <c r="CX206">
        <f>INDEX('Data_Price '!AG$2:AG$1266,MATCH(Data!$DN206,'Data_Price '!$AT$2:$AT$1266,0))</f>
        <v/>
      </c>
      <c r="CY206">
        <f>INDEX('Data_Price '!AH$2:AH$1266,MATCH(Data!$DN206,'Data_Price '!$AT$2:$AT$1266,0))</f>
        <v/>
      </c>
      <c r="CZ206">
        <f>INDEX('Data_Price '!AI$2:AI$1266,MATCH(Data!$DN206,'Data_Price '!$AT$2:$AT$1266,0))</f>
        <v/>
      </c>
      <c r="DA206">
        <f>INDEX('Data_Price '!AJ$2:AJ$1266,MATCH(Data!$DN206,'Data_Price '!$AT$2:$AT$1266,0))</f>
        <v/>
      </c>
      <c r="DB206">
        <f>INDEX('Data_Price '!AK$2:AK$1266,MATCH(Data!$DN206,'Data_Price '!$AT$2:$AT$1266,0))</f>
        <v/>
      </c>
      <c r="DC206">
        <f>INDEX('Data_Price '!AL$2:AL$1266,MATCH(Data!$DN206,'Data_Price '!$AT$2:$AT$1266,0))</f>
        <v/>
      </c>
      <c r="DD206">
        <f>INDEX('Data_Price '!AM$2:AM$1266,MATCH(Data!$DN206,'Data_Price '!$AT$2:$AT$1266,0))</f>
        <v/>
      </c>
      <c r="DE206">
        <f>INDEX('Data_Price '!AN$2:AN$1266,MATCH(Data!$DN206,'Data_Price '!$AT$2:$AT$1266,0))</f>
        <v/>
      </c>
      <c r="DF206">
        <f>INDEX('Data_Price '!AO$2:AO$1266,MATCH(Data!$DN206,'Data_Price '!$AT$2:$AT$1266,0))</f>
        <v/>
      </c>
      <c r="DG206">
        <f>INDEX('Data_Price '!AP$2:AP$1266,MATCH(Data!$DN206,'Data_Price '!$AT$2:$AT$1266,0))</f>
        <v/>
      </c>
      <c r="DH206">
        <f>INDEX('Data_Price '!AQ$2:AQ$1266,MATCH(Data!$DN206,'Data_Price '!$AT$2:$AT$1266,0))</f>
        <v/>
      </c>
      <c r="DI206">
        <f>INDEX('Data_Price '!AR$2:AR$1266,MATCH(Data!$DN206,'Data_Price '!$AT$2:$AT$1266,0))</f>
        <v/>
      </c>
      <c r="DJ206" s="138">
        <f>DA206</f>
        <v/>
      </c>
      <c r="DK206" s="138">
        <f>DE206</f>
        <v/>
      </c>
      <c r="DL206" s="138">
        <f>DI206</f>
        <v/>
      </c>
      <c r="DM206" s="303">
        <f>IF(LEFT(BT206,1)=" ",RIGHT(BT206,LEN(BT206)-1),BT206)</f>
        <v/>
      </c>
      <c r="DN206" s="138">
        <f>_xlfn.CONCAT(BS206,DM206,BU206,BV206)</f>
        <v/>
      </c>
      <c r="DO206" s="307" t="inlineStr">
        <is>
          <t>https://images.evo.com/imgp/250/198715/839687/armada-arw-106-ul-skis-2022-.jpg</t>
        </is>
      </c>
    </row>
    <row r="207" ht="15.6" customHeight="1" s="184">
      <c r="B207" s="303">
        <f t="array" ref="B207">IF(OR(ISERROR(K207:P207)),FALSE,TRUE)</f>
        <v/>
      </c>
      <c r="C207" s="60">
        <f>OR(BR207=Driver!$G$50,Data!BR1258=Driver!$H$50)</f>
        <v/>
      </c>
      <c r="D207" s="60">
        <f>OR(BV207=Driver!$G$51,BV207=Driver!$H$51)</f>
        <v/>
      </c>
      <c r="E207" s="60">
        <f>AND(BX207&gt;Driver!$F$54,BX207&lt;Driver!$G$54)</f>
        <v/>
      </c>
      <c r="F207" s="60">
        <f>CL207&gt;Driver!$F$56</f>
        <v/>
      </c>
      <c r="G207" s="60">
        <f>AND(CB207&gt;Driver!$F$55,CB207&lt;Driver!$G$55)</f>
        <v/>
      </c>
      <c r="H207" s="60">
        <f>AND(B207:G207)</f>
        <v/>
      </c>
      <c r="I207" s="60">
        <f>COUNTIFS($H$9:$H$1273,TRUE,$BT$9:$BT$1273,BT207)</f>
        <v/>
      </c>
      <c r="J207" s="60">
        <f t="array" ref="J207">NOT(OR(($H$9:$H$1273=TRUE)*($I$9:$I$1273&gt;0)*($BT$9:$BT$1273=BT207)*($K$9:$K$1273&gt;K207)))</f>
        <v/>
      </c>
      <c r="K207" s="108">
        <f>IFERROR(1-AVERAGE(X207:Y207),"")</f>
        <v/>
      </c>
      <c r="L207" s="108">
        <f>1-X207</f>
        <v/>
      </c>
      <c r="M207" s="108">
        <f>1-Y207</f>
        <v/>
      </c>
      <c r="N207" s="108">
        <f>1-Z207</f>
        <v/>
      </c>
      <c r="O207" s="108">
        <f>1-AA207</f>
        <v/>
      </c>
      <c r="P207" s="108">
        <f>1-AB207</f>
        <v/>
      </c>
      <c r="Q207" s="108" t="n"/>
      <c r="R207" s="108" t="n"/>
      <c r="S207" s="108">
        <f>1-AE207</f>
        <v/>
      </c>
      <c r="T207" s="108">
        <f>1-AF207</f>
        <v/>
      </c>
      <c r="U207" s="108">
        <f>1-AG207</f>
        <v/>
      </c>
      <c r="V207" s="108">
        <f>1-AH207</f>
        <v/>
      </c>
      <c r="W207" s="108">
        <f>1-AI207</f>
        <v/>
      </c>
      <c r="X207" s="108">
        <f>ABS(AJ207-AJ$1)</f>
        <v/>
      </c>
      <c r="Y207" s="108">
        <f>AVERAGE(Z207:AB207)</f>
        <v/>
      </c>
      <c r="Z207" s="108">
        <f>ABS(AL207-AL$1)</f>
        <v/>
      </c>
      <c r="AA207" s="108">
        <f>ABS(AM207-AM$1)</f>
        <v/>
      </c>
      <c r="AB207" s="108">
        <f>ABS(AN207-AN$1)</f>
        <v/>
      </c>
      <c r="AC207" s="108" t="n"/>
      <c r="AD207" s="108" t="n"/>
      <c r="AE207" s="108">
        <f>ABS(AQ$1-AQ207)</f>
        <v/>
      </c>
      <c r="AF207" s="108">
        <f>ABS(AR$1-AR207)</f>
        <v/>
      </c>
      <c r="AG207" s="108">
        <f>ABS(AS$1-AS207)</f>
        <v/>
      </c>
      <c r="AH207" s="108">
        <f>ABS(AT$1-AT207)</f>
        <v/>
      </c>
      <c r="AI207" s="108">
        <f>ABS(AU$1-AU207)</f>
        <v/>
      </c>
      <c r="AJ207" s="108">
        <f>(AV207-Driver!$K$179)/(Driver!$L$179-Driver!$K$179)</f>
        <v/>
      </c>
      <c r="AK207" s="108">
        <f>(AW207-Driver!$K$180)/(Driver!$L$180-Driver!$K$180)</f>
        <v/>
      </c>
      <c r="AL207" s="108">
        <f>(AX207-Driver!$K$181)/(Driver!$L$181-Driver!$K$181)</f>
        <v/>
      </c>
      <c r="AM207" s="108">
        <f>(AY207-Driver!$K$182)/(Driver!$L$182-Driver!$K$182)</f>
        <v/>
      </c>
      <c r="AN207" s="108">
        <f>(AZ207-Driver!$K$183)/(Driver!$L$183-Driver!$K$183)</f>
        <v/>
      </c>
      <c r="AO207" s="108" t="n"/>
      <c r="AP207" s="108" t="n"/>
      <c r="AQ207" s="108">
        <f>(BC207-Driver!$K$188)/(Driver!$L$188-Driver!$K$188)</f>
        <v/>
      </c>
      <c r="AR207" s="108">
        <f>MIN((BD207-Driver!$K$189)/(Driver!$L$189-Driver!$K$189),100%)</f>
        <v/>
      </c>
      <c r="AS207" s="108">
        <f>(BE207-Driver!$K$190)/(Driver!$L$190-Driver!$K$190)</f>
        <v/>
      </c>
      <c r="AT207" s="108">
        <f>(BF207-Driver!$K$191)/(Driver!$L$191-Driver!$K$191)</f>
        <v/>
      </c>
      <c r="AU207" s="108">
        <f>(BG207-Driver!$K$192)/(Driver!$L$192-Driver!$K$192)</f>
        <v/>
      </c>
      <c r="AV207" s="105">
        <f>IFERROR(BM207*BJ207^1/4,"")</f>
        <v/>
      </c>
      <c r="AW207" s="105">
        <f>IFERROR(SUM(AX207:AZ207),"")</f>
        <v/>
      </c>
      <c r="AX207" s="105">
        <f>IFERROR(BH207,"")</f>
        <v/>
      </c>
      <c r="AY207" s="105">
        <f>IFERROR(Driver!$K$19/Data!BH207/Data!BI207*Data!BK207*Data!BL207,"")</f>
        <v/>
      </c>
      <c r="AZ207" s="105">
        <f>IFERROR(BI207*BN207,"")</f>
        <v/>
      </c>
      <c r="BA207" s="105" t="n"/>
      <c r="BB207" s="105" t="n"/>
      <c r="BC207" s="105">
        <f>IFERROR(BI207*BN207*BK207/BJ207^(1/2),"")</f>
        <v/>
      </c>
      <c r="BD207" s="105">
        <f>IFERROR(BH207*BM207*BL207/BJ207/BK207,"")</f>
        <v/>
      </c>
      <c r="BE207" s="105">
        <f>IFERROR(MIN(BI207/BQ207/BP207/BO207/BH207,$BE$1),"")</f>
        <v/>
      </c>
      <c r="BF207" s="105">
        <f>IFERROR(BJ207*BO207*BP207/BK207,"")</f>
        <v/>
      </c>
      <c r="BG207" s="105">
        <f>IFERROR(1/BM207/BH207*BQ207,"")</f>
        <v/>
      </c>
      <c r="BH207" s="102">
        <f>MAX((CE207-Driver!$F$200)/(Driver!$G$200-Driver!$F$200)*$BI$1,1)</f>
        <v/>
      </c>
      <c r="BI207" s="102">
        <f>MAX($BI$1*(BY207-Driver!$F$201)/(Driver!$G$201-Driver!$F$201),1)</f>
        <v/>
      </c>
      <c r="BJ207" s="102">
        <f>(CB207-Driver!$F$206)/(Driver!$G$206-Driver!$F$206)*$BI$1</f>
        <v/>
      </c>
      <c r="BK207" s="102">
        <f>(CD207-Driver!$F$203)/(Driver!$G$203-Driver!$F$203)*$BI$1</f>
        <v/>
      </c>
      <c r="BL207" s="102">
        <f>MAX((CR207-Driver!$F$202)/(Driver!$G$202-Driver!$F$202)*$BI$1,1)</f>
        <v/>
      </c>
      <c r="BM207" s="102">
        <f>MAX((CH207-Driver!$F$204)/(Driver!$G$204-Driver!$F$204)*$BI$1,1)</f>
        <v/>
      </c>
      <c r="BN207" s="102">
        <f>(CI207-Driver!$F$205)/(Driver!$G$205-Driver!$F$205)*$BI$1</f>
        <v/>
      </c>
      <c r="BO207" s="102">
        <f>(CK207-Driver!$F$207)/(Driver!$G$207-Driver!$F$207)*$BI$1</f>
        <v/>
      </c>
      <c r="BP207" s="102">
        <f>(CM207-Driver!$F$208)/(Driver!$G$208-Driver!$F$208)*$BI$1</f>
        <v/>
      </c>
      <c r="BQ207" s="102">
        <f>(CL207-Driver!$F$209)/(Driver!$G$209-Driver!$F$209)*$BI$1</f>
        <v/>
      </c>
      <c r="BR207" s="40" t="inlineStr">
        <is>
          <t>21/22</t>
        </is>
      </c>
      <c r="BS207" s="10" t="inlineStr">
        <is>
          <t xml:space="preserve"> Völkl</t>
        </is>
      </c>
      <c r="BT207" s="11" t="inlineStr">
        <is>
          <t>Secret 102</t>
        </is>
      </c>
      <c r="BU207" s="13" t="n">
        <v>156</v>
      </c>
      <c r="BV207" s="11" t="inlineStr">
        <is>
          <t xml:space="preserve"> Women's</t>
        </is>
      </c>
      <c r="BW207" s="13" t="n">
        <v>156</v>
      </c>
      <c r="BX207" s="13" t="n">
        <v>155.9</v>
      </c>
      <c r="BY207" s="13" t="n">
        <v>107</v>
      </c>
      <c r="BZ207" s="13" t="n">
        <v>133</v>
      </c>
      <c r="CA207" s="13" t="n">
        <v>139</v>
      </c>
      <c r="CB207" s="13" t="n">
        <v>101</v>
      </c>
      <c r="CC207" s="13" t="n">
        <v>123</v>
      </c>
      <c r="CD207" s="13" t="n">
        <v>14.1</v>
      </c>
      <c r="CE207" s="13" t="n">
        <v>1846</v>
      </c>
      <c r="CF207" s="13" t="n">
        <v>0.96</v>
      </c>
      <c r="CG207" s="13" t="n">
        <v>1763</v>
      </c>
      <c r="CH207" s="13" t="n">
        <v>205</v>
      </c>
      <c r="CI207" s="13" t="n">
        <v>132</v>
      </c>
      <c r="CJ207" s="13" t="n">
        <v>49</v>
      </c>
      <c r="CK207" s="13" t="n">
        <v>310</v>
      </c>
      <c r="CL207" s="13" t="n">
        <v>17</v>
      </c>
      <c r="CM207" s="13" t="n">
        <v>174</v>
      </c>
      <c r="CN207" s="13" t="n">
        <v>0.34</v>
      </c>
      <c r="CO207" s="13" t="n">
        <v>131</v>
      </c>
      <c r="CP207" s="13" t="n">
        <v>101</v>
      </c>
      <c r="CQ207" s="13" t="n">
        <v>178</v>
      </c>
      <c r="CR207" s="13" t="n">
        <v>3</v>
      </c>
      <c r="CS207" s="13" t="n">
        <v>11.4</v>
      </c>
      <c r="CT207" s="11" t="inlineStr">
        <is>
          <t xml:space="preserve"> Resort Freeride</t>
        </is>
      </c>
      <c r="CU207" s="11" t="inlineStr">
        <is>
          <t xml:space="preserve"> Big Mountain</t>
        </is>
      </c>
      <c r="CV207" s="13" t="n"/>
      <c r="CW207" s="13" t="n"/>
      <c r="CX207">
        <f>INDEX('Data_Price '!AG$2:AG$1266,MATCH(Data!$DN207,'Data_Price '!$AT$2:$AT$1266,0))</f>
        <v/>
      </c>
      <c r="CY207">
        <f>INDEX('Data_Price '!AH$2:AH$1266,MATCH(Data!$DN207,'Data_Price '!$AT$2:$AT$1266,0))</f>
        <v/>
      </c>
      <c r="CZ207">
        <f>INDEX('Data_Price '!AI$2:AI$1266,MATCH(Data!$DN207,'Data_Price '!$AT$2:$AT$1266,0))</f>
        <v/>
      </c>
      <c r="DA207">
        <f>INDEX('Data_Price '!AJ$2:AJ$1266,MATCH(Data!$DN207,'Data_Price '!$AT$2:$AT$1266,0))</f>
        <v/>
      </c>
      <c r="DB207">
        <f>INDEX('Data_Price '!AK$2:AK$1266,MATCH(Data!$DN207,'Data_Price '!$AT$2:$AT$1266,0))</f>
        <v/>
      </c>
      <c r="DC207">
        <f>INDEX('Data_Price '!AL$2:AL$1266,MATCH(Data!$DN207,'Data_Price '!$AT$2:$AT$1266,0))</f>
        <v/>
      </c>
      <c r="DD207">
        <f>INDEX('Data_Price '!AM$2:AM$1266,MATCH(Data!$DN207,'Data_Price '!$AT$2:$AT$1266,0))</f>
        <v/>
      </c>
      <c r="DE207">
        <f>INDEX('Data_Price '!AN$2:AN$1266,MATCH(Data!$DN207,'Data_Price '!$AT$2:$AT$1266,0))</f>
        <v/>
      </c>
      <c r="DF207">
        <f>INDEX('Data_Price '!AO$2:AO$1266,MATCH(Data!$DN207,'Data_Price '!$AT$2:$AT$1266,0))</f>
        <v/>
      </c>
      <c r="DG207">
        <f>INDEX('Data_Price '!AP$2:AP$1266,MATCH(Data!$DN207,'Data_Price '!$AT$2:$AT$1266,0))</f>
        <v/>
      </c>
      <c r="DH207">
        <f>INDEX('Data_Price '!AQ$2:AQ$1266,MATCH(Data!$DN207,'Data_Price '!$AT$2:$AT$1266,0))</f>
        <v/>
      </c>
      <c r="DI207">
        <f>INDEX('Data_Price '!AR$2:AR$1266,MATCH(Data!$DN207,'Data_Price '!$AT$2:$AT$1266,0))</f>
        <v/>
      </c>
      <c r="DJ207" s="138">
        <f>DA207</f>
        <v/>
      </c>
      <c r="DK207" s="138">
        <f>DE207</f>
        <v/>
      </c>
      <c r="DL207" s="138">
        <f>DI207</f>
        <v/>
      </c>
      <c r="DM207" s="303">
        <f>IF(LEFT(BT207,1)=" ",RIGHT(BT207,LEN(BT207)-1),BT207)</f>
        <v/>
      </c>
      <c r="DN207" s="138">
        <f>_xlfn.CONCAT(BS207,DM207,BU207,BV207)</f>
        <v/>
      </c>
      <c r="DO207" s="307" t="inlineStr">
        <is>
          <t>https://images.evo.com/imgp/250/183416/726698/volkl-secret-102-skis-women-s-2021-.jpg</t>
        </is>
      </c>
    </row>
    <row r="208" ht="15.6" customHeight="1" s="184">
      <c r="B208" s="303">
        <f t="array" ref="B208">IF(OR(ISERROR(K208:P208)),FALSE,TRUE)</f>
        <v/>
      </c>
      <c r="C208" s="60">
        <f>OR(BR208=Driver!$G$50,Data!BR58=Driver!$H$50)</f>
        <v/>
      </c>
      <c r="D208" s="60">
        <f>OR(BV208=Driver!$G$51,BV208=Driver!$H$51)</f>
        <v/>
      </c>
      <c r="E208" s="60">
        <f>AND(BX208&gt;Driver!$F$54,BX208&lt;Driver!$G$54)</f>
        <v/>
      </c>
      <c r="F208" s="60">
        <f>CL208&gt;Driver!$F$56</f>
        <v/>
      </c>
      <c r="G208" s="60">
        <f>AND(CB208&gt;Driver!$F$55,CB208&lt;Driver!$G$55)</f>
        <v/>
      </c>
      <c r="H208" s="60">
        <f>AND(B208:G208)</f>
        <v/>
      </c>
      <c r="I208" s="60">
        <f>COUNTIFS($H$9:$H$1273,TRUE,$BT$9:$BT$1273,BT208)</f>
        <v/>
      </c>
      <c r="J208" s="60">
        <f t="array" ref="J208">NOT(OR(($H$9:$H$1273=TRUE)*($I$9:$I$1273&gt;0)*($BT$9:$BT$1273=BT208)*($K$9:$K$1273&gt;K208)))</f>
        <v/>
      </c>
      <c r="K208" s="108">
        <f>IFERROR(1-AVERAGE(X208:Y208),"")</f>
        <v/>
      </c>
      <c r="L208" s="108">
        <f>1-X208</f>
        <v/>
      </c>
      <c r="M208" s="108">
        <f>1-Y208</f>
        <v/>
      </c>
      <c r="N208" s="108">
        <f>1-Z208</f>
        <v/>
      </c>
      <c r="O208" s="108">
        <f>1-AA208</f>
        <v/>
      </c>
      <c r="P208" s="108">
        <f>1-AB208</f>
        <v/>
      </c>
      <c r="Q208" s="108" t="n"/>
      <c r="R208" s="108" t="n"/>
      <c r="S208" s="108">
        <f>1-AE208</f>
        <v/>
      </c>
      <c r="T208" s="108">
        <f>1-AF208</f>
        <v/>
      </c>
      <c r="U208" s="108">
        <f>1-AG208</f>
        <v/>
      </c>
      <c r="V208" s="108">
        <f>1-AH208</f>
        <v/>
      </c>
      <c r="W208" s="108">
        <f>1-AI208</f>
        <v/>
      </c>
      <c r="X208" s="108">
        <f>ABS(AJ208-AJ$1)</f>
        <v/>
      </c>
      <c r="Y208" s="108">
        <f>AVERAGE(Z208:AB208)</f>
        <v/>
      </c>
      <c r="Z208" s="108">
        <f>ABS(AL208-AL$1)</f>
        <v/>
      </c>
      <c r="AA208" s="108">
        <f>ABS(AM208-AM$1)</f>
        <v/>
      </c>
      <c r="AB208" s="108">
        <f>ABS(AN208-AN$1)</f>
        <v/>
      </c>
      <c r="AC208" s="108" t="n"/>
      <c r="AD208" s="108" t="n"/>
      <c r="AE208" s="108">
        <f>ABS(AQ$1-AQ208)</f>
        <v/>
      </c>
      <c r="AF208" s="108">
        <f>ABS(AR$1-AR208)</f>
        <v/>
      </c>
      <c r="AG208" s="108">
        <f>ABS(AS$1-AS208)</f>
        <v/>
      </c>
      <c r="AH208" s="108">
        <f>ABS(AT$1-AT208)</f>
        <v/>
      </c>
      <c r="AI208" s="108">
        <f>ABS(AU$1-AU208)</f>
        <v/>
      </c>
      <c r="AJ208" s="108">
        <f>(AV208-Driver!$K$179)/(Driver!$L$179-Driver!$K$179)</f>
        <v/>
      </c>
      <c r="AK208" s="108">
        <f>(AW208-Driver!$K$180)/(Driver!$L$180-Driver!$K$180)</f>
        <v/>
      </c>
      <c r="AL208" s="108">
        <f>(AX208-Driver!$K$181)/(Driver!$L$181-Driver!$K$181)</f>
        <v/>
      </c>
      <c r="AM208" s="108">
        <f>(AY208-Driver!$K$182)/(Driver!$L$182-Driver!$K$182)</f>
        <v/>
      </c>
      <c r="AN208" s="108">
        <f>(AZ208-Driver!$K$183)/(Driver!$L$183-Driver!$K$183)</f>
        <v/>
      </c>
      <c r="AO208" s="108" t="n"/>
      <c r="AP208" s="108" t="n"/>
      <c r="AQ208" s="108">
        <f>(BC208-Driver!$K$188)/(Driver!$L$188-Driver!$K$188)</f>
        <v/>
      </c>
      <c r="AR208" s="108">
        <f>MIN((BD208-Driver!$K$189)/(Driver!$L$189-Driver!$K$189),100%)</f>
        <v/>
      </c>
      <c r="AS208" s="108">
        <f>(BE208-Driver!$K$190)/(Driver!$L$190-Driver!$K$190)</f>
        <v/>
      </c>
      <c r="AT208" s="108">
        <f>(BF208-Driver!$K$191)/(Driver!$L$191-Driver!$K$191)</f>
        <v/>
      </c>
      <c r="AU208" s="108">
        <f>(BG208-Driver!$K$192)/(Driver!$L$192-Driver!$K$192)</f>
        <v/>
      </c>
      <c r="AV208" s="105">
        <f>IFERROR(BM208*BJ208^1/4,"")</f>
        <v/>
      </c>
      <c r="AW208" s="105">
        <f>IFERROR(SUM(AX208:AZ208),"")</f>
        <v/>
      </c>
      <c r="AX208" s="105">
        <f>IFERROR(BH208,"")</f>
        <v/>
      </c>
      <c r="AY208" s="105">
        <f>IFERROR(Driver!$K$19/Data!BH208/Data!BI208*Data!BK208*Data!BL208,"")</f>
        <v/>
      </c>
      <c r="AZ208" s="105">
        <f>IFERROR(BI208*BN208,"")</f>
        <v/>
      </c>
      <c r="BA208" s="105" t="n"/>
      <c r="BB208" s="105" t="n"/>
      <c r="BC208" s="105">
        <f>IFERROR(BI208*BN208*BK208/BJ208^(1/2),"")</f>
        <v/>
      </c>
      <c r="BD208" s="105">
        <f>IFERROR(BH208*BM208*BL208/BJ208/BK208,"")</f>
        <v/>
      </c>
      <c r="BE208" s="105">
        <f>IFERROR(MIN(BI208/BQ208/BP208/BO208/BH208,$BE$1),"")</f>
        <v/>
      </c>
      <c r="BF208" s="105">
        <f>IFERROR(BJ208*BO208*BP208/BK208,"")</f>
        <v/>
      </c>
      <c r="BG208" s="105">
        <f>IFERROR(1/BM208/BH208*BQ208,"")</f>
        <v/>
      </c>
      <c r="BH208" s="102">
        <f>MAX((CE208-Driver!$F$200)/(Driver!$G$200-Driver!$F$200)*$BI$1,1)</f>
        <v/>
      </c>
      <c r="BI208" s="102">
        <f>MAX($BI$1*(BY208-Driver!$F$201)/(Driver!$G$201-Driver!$F$201),1)</f>
        <v/>
      </c>
      <c r="BJ208" s="102">
        <f>(CB208-Driver!$F$206)/(Driver!$G$206-Driver!$F$206)*$BI$1</f>
        <v/>
      </c>
      <c r="BK208" s="102">
        <f>(CD208-Driver!$F$203)/(Driver!$G$203-Driver!$F$203)*$BI$1</f>
        <v/>
      </c>
      <c r="BL208" s="102">
        <f>MAX((CR208-Driver!$F$202)/(Driver!$G$202-Driver!$F$202)*$BI$1,1)</f>
        <v/>
      </c>
      <c r="BM208" s="102">
        <f>MAX((CH208-Driver!$F$204)/(Driver!$G$204-Driver!$F$204)*$BI$1,1)</f>
        <v/>
      </c>
      <c r="BN208" s="102">
        <f>(CI208-Driver!$F$205)/(Driver!$G$205-Driver!$F$205)*$BI$1</f>
        <v/>
      </c>
      <c r="BO208" s="102">
        <f>(CK208-Driver!$F$207)/(Driver!$G$207-Driver!$F$207)*$BI$1</f>
        <v/>
      </c>
      <c r="BP208" s="102">
        <f>(CM208-Driver!$F$208)/(Driver!$G$208-Driver!$F$208)*$BI$1</f>
        <v/>
      </c>
      <c r="BQ208" s="102">
        <f>(CL208-Driver!$F$209)/(Driver!$G$209-Driver!$F$209)*$BI$1</f>
        <v/>
      </c>
      <c r="BR208" s="40" t="inlineStr">
        <is>
          <t>21/22</t>
        </is>
      </c>
      <c r="BS208" s="10" t="inlineStr">
        <is>
          <t xml:space="preserve"> Armada</t>
        </is>
      </c>
      <c r="BT208" s="11" t="inlineStr">
        <is>
          <t>ARW 96</t>
        </is>
      </c>
      <c r="BU208" s="13" t="n">
        <v>170</v>
      </c>
      <c r="BV208" s="11" t="inlineStr">
        <is>
          <t xml:space="preserve"> Women's</t>
        </is>
      </c>
      <c r="BW208" s="13" t="n">
        <v>170</v>
      </c>
      <c r="BX208" s="13" t="n">
        <v>168.4</v>
      </c>
      <c r="BY208" s="13" t="n">
        <v>123</v>
      </c>
      <c r="BZ208" s="13" t="n">
        <v>139</v>
      </c>
      <c r="CA208" s="13" t="n">
        <v>123</v>
      </c>
      <c r="CB208" s="13" t="n">
        <v>95</v>
      </c>
      <c r="CC208" s="13" t="n">
        <v>115</v>
      </c>
      <c r="CD208" s="13" t="n">
        <v>18.2</v>
      </c>
      <c r="CE208" s="13" t="n">
        <v>1769</v>
      </c>
      <c r="CF208" s="13" t="n">
        <v>0.99</v>
      </c>
      <c r="CG208" s="13" t="n">
        <v>1756</v>
      </c>
      <c r="CH208" s="13" t="n">
        <v>183</v>
      </c>
      <c r="CI208" s="13" t="n">
        <v>96</v>
      </c>
      <c r="CJ208" s="13" t="n">
        <v>47</v>
      </c>
      <c r="CK208" s="13" t="n">
        <v>236</v>
      </c>
      <c r="CL208" s="13" t="n">
        <v>40</v>
      </c>
      <c r="CM208" s="13" t="n">
        <v>221</v>
      </c>
      <c r="CN208" s="13" t="n">
        <v>0.86</v>
      </c>
      <c r="CO208" s="13" t="n">
        <v>141</v>
      </c>
      <c r="CP208" s="13" t="n">
        <v>152</v>
      </c>
      <c r="CQ208" s="13" t="n">
        <v>94</v>
      </c>
      <c r="CR208" s="13" t="n">
        <v>10</v>
      </c>
      <c r="CS208" s="13" t="n">
        <v>5</v>
      </c>
      <c r="CT208" s="11" t="inlineStr">
        <is>
          <t xml:space="preserve"> Resort Freeride</t>
        </is>
      </c>
      <c r="CU208" s="11" t="inlineStr">
        <is>
          <t xml:space="preserve"> Freeski</t>
        </is>
      </c>
      <c r="CV208" s="13" t="n"/>
      <c r="CW208" s="13" t="n"/>
      <c r="CX208">
        <f>INDEX('Data_Price '!AG$2:AG$1266,MATCH(Data!$DN208,'Data_Price '!$AT$2:$AT$1266,0))</f>
        <v/>
      </c>
      <c r="CY208">
        <f>INDEX('Data_Price '!AH$2:AH$1266,MATCH(Data!$DN208,'Data_Price '!$AT$2:$AT$1266,0))</f>
        <v/>
      </c>
      <c r="CZ208">
        <f>INDEX('Data_Price '!AI$2:AI$1266,MATCH(Data!$DN208,'Data_Price '!$AT$2:$AT$1266,0))</f>
        <v/>
      </c>
      <c r="DA208">
        <f>INDEX('Data_Price '!AJ$2:AJ$1266,MATCH(Data!$DN208,'Data_Price '!$AT$2:$AT$1266,0))</f>
        <v/>
      </c>
      <c r="DB208">
        <f>INDEX('Data_Price '!AK$2:AK$1266,MATCH(Data!$DN208,'Data_Price '!$AT$2:$AT$1266,0))</f>
        <v/>
      </c>
      <c r="DC208">
        <f>INDEX('Data_Price '!AL$2:AL$1266,MATCH(Data!$DN208,'Data_Price '!$AT$2:$AT$1266,0))</f>
        <v/>
      </c>
      <c r="DD208">
        <f>INDEX('Data_Price '!AM$2:AM$1266,MATCH(Data!$DN208,'Data_Price '!$AT$2:$AT$1266,0))</f>
        <v/>
      </c>
      <c r="DE208">
        <f>INDEX('Data_Price '!AN$2:AN$1266,MATCH(Data!$DN208,'Data_Price '!$AT$2:$AT$1266,0))</f>
        <v/>
      </c>
      <c r="DF208">
        <f>INDEX('Data_Price '!AO$2:AO$1266,MATCH(Data!$DN208,'Data_Price '!$AT$2:$AT$1266,0))</f>
        <v/>
      </c>
      <c r="DG208">
        <f>INDEX('Data_Price '!AP$2:AP$1266,MATCH(Data!$DN208,'Data_Price '!$AT$2:$AT$1266,0))</f>
        <v/>
      </c>
      <c r="DH208">
        <f>INDEX('Data_Price '!AQ$2:AQ$1266,MATCH(Data!$DN208,'Data_Price '!$AT$2:$AT$1266,0))</f>
        <v/>
      </c>
      <c r="DI208">
        <f>INDEX('Data_Price '!AR$2:AR$1266,MATCH(Data!$DN208,'Data_Price '!$AT$2:$AT$1266,0))</f>
        <v/>
      </c>
      <c r="DJ208" s="138">
        <f>DA208</f>
        <v/>
      </c>
      <c r="DK208" s="138">
        <f>DE208</f>
        <v/>
      </c>
      <c r="DL208" s="138">
        <f>DI208</f>
        <v/>
      </c>
      <c r="DM208" s="303">
        <f>IF(LEFT(BT208,1)=" ",RIGHT(BT208,LEN(BT208)-1),BT208)</f>
        <v/>
      </c>
      <c r="DN208" s="138">
        <f>_xlfn.CONCAT(BS208,DM208,BU208,BV208)</f>
        <v/>
      </c>
      <c r="DO208" s="307" t="inlineStr">
        <is>
          <t>https://images.evo.com/imgp/250/198714/839686/armada-arw-96-skis-women-s-2022-.jpg</t>
        </is>
      </c>
    </row>
    <row r="209" ht="15.6" customHeight="1" s="184">
      <c r="B209" s="303">
        <f t="array" ref="B209">IF(OR(ISERROR(K209:P209)),FALSE,TRUE)</f>
        <v/>
      </c>
      <c r="C209" s="60">
        <f>OR(BR209=Driver!$G$50,Data!BR133=Driver!$H$50)</f>
        <v/>
      </c>
      <c r="D209" s="60">
        <f>OR(BV209=Driver!$G$51,BV209=Driver!$H$51)</f>
        <v/>
      </c>
      <c r="E209" s="60">
        <f>AND(BX209&gt;Driver!$F$54,BX209&lt;Driver!$G$54)</f>
        <v/>
      </c>
      <c r="F209" s="60">
        <f>CL209&gt;Driver!$F$56</f>
        <v/>
      </c>
      <c r="G209" s="60">
        <f>AND(CB209&gt;Driver!$F$55,CB209&lt;Driver!$G$55)</f>
        <v/>
      </c>
      <c r="H209" s="60">
        <f>AND(B209:G209)</f>
        <v/>
      </c>
      <c r="I209" s="60">
        <f>COUNTIFS($H$9:$H$1273,TRUE,$BT$9:$BT$1273,BT209)</f>
        <v/>
      </c>
      <c r="J209" s="60">
        <f t="array" ref="J209">NOT(OR(($H$9:$H$1273=TRUE)*($I$9:$I$1273&gt;0)*($BT$9:$BT$1273=BT209)*($K$9:$K$1273&gt;K209)))</f>
        <v/>
      </c>
      <c r="K209" s="108">
        <f>IFERROR(1-AVERAGE(X209:Y209),"")</f>
        <v/>
      </c>
      <c r="L209" s="108">
        <f>1-X209</f>
        <v/>
      </c>
      <c r="M209" s="108">
        <f>1-Y209</f>
        <v/>
      </c>
      <c r="N209" s="108">
        <f>1-Z209</f>
        <v/>
      </c>
      <c r="O209" s="108">
        <f>1-AA209</f>
        <v/>
      </c>
      <c r="P209" s="108">
        <f>1-AB209</f>
        <v/>
      </c>
      <c r="Q209" s="108" t="n"/>
      <c r="R209" s="108" t="n"/>
      <c r="S209" s="108">
        <f>1-AE209</f>
        <v/>
      </c>
      <c r="T209" s="108">
        <f>1-AF209</f>
        <v/>
      </c>
      <c r="U209" s="108">
        <f>1-AG209</f>
        <v/>
      </c>
      <c r="V209" s="108">
        <f>1-AH209</f>
        <v/>
      </c>
      <c r="W209" s="108">
        <f>1-AI209</f>
        <v/>
      </c>
      <c r="X209" s="108">
        <f>ABS(AJ209-AJ$1)</f>
        <v/>
      </c>
      <c r="Y209" s="108">
        <f>AVERAGE(Z209:AB209)</f>
        <v/>
      </c>
      <c r="Z209" s="108">
        <f>ABS(AL209-AL$1)</f>
        <v/>
      </c>
      <c r="AA209" s="108">
        <f>ABS(AM209-AM$1)</f>
        <v/>
      </c>
      <c r="AB209" s="108">
        <f>ABS(AN209-AN$1)</f>
        <v/>
      </c>
      <c r="AC209" s="108" t="n"/>
      <c r="AD209" s="108" t="n"/>
      <c r="AE209" s="108">
        <f>ABS(AQ$1-AQ209)</f>
        <v/>
      </c>
      <c r="AF209" s="108">
        <f>ABS(AR$1-AR209)</f>
        <v/>
      </c>
      <c r="AG209" s="108">
        <f>ABS(AS$1-AS209)</f>
        <v/>
      </c>
      <c r="AH209" s="108">
        <f>ABS(AT$1-AT209)</f>
        <v/>
      </c>
      <c r="AI209" s="108">
        <f>ABS(AU$1-AU209)</f>
        <v/>
      </c>
      <c r="AJ209" s="108">
        <f>(AV209-Driver!$K$179)/(Driver!$L$179-Driver!$K$179)</f>
        <v/>
      </c>
      <c r="AK209" s="108">
        <f>(AW209-Driver!$K$180)/(Driver!$L$180-Driver!$K$180)</f>
        <v/>
      </c>
      <c r="AL209" s="108">
        <f>(AX209-Driver!$K$181)/(Driver!$L$181-Driver!$K$181)</f>
        <v/>
      </c>
      <c r="AM209" s="108">
        <f>(AY209-Driver!$K$182)/(Driver!$L$182-Driver!$K$182)</f>
        <v/>
      </c>
      <c r="AN209" s="108">
        <f>(AZ209-Driver!$K$183)/(Driver!$L$183-Driver!$K$183)</f>
        <v/>
      </c>
      <c r="AO209" s="108" t="n"/>
      <c r="AP209" s="108" t="n"/>
      <c r="AQ209" s="108">
        <f>(BC209-Driver!$K$188)/(Driver!$L$188-Driver!$K$188)</f>
        <v/>
      </c>
      <c r="AR209" s="108">
        <f>MIN((BD209-Driver!$K$189)/(Driver!$L$189-Driver!$K$189),100%)</f>
        <v/>
      </c>
      <c r="AS209" s="108">
        <f>(BE209-Driver!$K$190)/(Driver!$L$190-Driver!$K$190)</f>
        <v/>
      </c>
      <c r="AT209" s="108">
        <f>(BF209-Driver!$K$191)/(Driver!$L$191-Driver!$K$191)</f>
        <v/>
      </c>
      <c r="AU209" s="108">
        <f>(BG209-Driver!$K$192)/(Driver!$L$192-Driver!$K$192)</f>
        <v/>
      </c>
      <c r="AV209" s="105">
        <f>IFERROR(BM209*BJ209^1/4,"")</f>
        <v/>
      </c>
      <c r="AW209" s="105">
        <f>IFERROR(SUM(AX209:AZ209),"")</f>
        <v/>
      </c>
      <c r="AX209" s="105">
        <f>IFERROR(BH209,"")</f>
        <v/>
      </c>
      <c r="AY209" s="105">
        <f>IFERROR(Driver!$K$19/Data!BH209/Data!BI209*Data!BK209*Data!BL209,"")</f>
        <v/>
      </c>
      <c r="AZ209" s="105">
        <f>IFERROR(BI209*BN209,"")</f>
        <v/>
      </c>
      <c r="BA209" s="105" t="n"/>
      <c r="BB209" s="105" t="n"/>
      <c r="BC209" s="105">
        <f>IFERROR(BI209*BN209*BK209/BJ209^(1/2),"")</f>
        <v/>
      </c>
      <c r="BD209" s="105">
        <f>IFERROR(BH209*BM209*BL209/BJ209/BK209,"")</f>
        <v/>
      </c>
      <c r="BE209" s="105">
        <f>IFERROR(MIN(BI209/BQ209/BP209/BO209/BH209,$BE$1),"")</f>
        <v/>
      </c>
      <c r="BF209" s="105">
        <f>IFERROR(BJ209*BO209*BP209/BK209,"")</f>
        <v/>
      </c>
      <c r="BG209" s="105">
        <f>IFERROR(1/BM209/BH209*BQ209,"")</f>
        <v/>
      </c>
      <c r="BH209" s="102">
        <f>MAX((CE209-Driver!$F$200)/(Driver!$G$200-Driver!$F$200)*$BI$1,1)</f>
        <v/>
      </c>
      <c r="BI209" s="102">
        <f>MAX($BI$1*(BY209-Driver!$F$201)/(Driver!$G$201-Driver!$F$201),1)</f>
        <v/>
      </c>
      <c r="BJ209" s="102">
        <f>(CB209-Driver!$F$206)/(Driver!$G$206-Driver!$F$206)*$BI$1</f>
        <v/>
      </c>
      <c r="BK209" s="102">
        <f>(CD209-Driver!$F$203)/(Driver!$G$203-Driver!$F$203)*$BI$1</f>
        <v/>
      </c>
      <c r="BL209" s="102">
        <f>MAX((CR209-Driver!$F$202)/(Driver!$G$202-Driver!$F$202)*$BI$1,1)</f>
        <v/>
      </c>
      <c r="BM209" s="102">
        <f>MAX((CH209-Driver!$F$204)/(Driver!$G$204-Driver!$F$204)*$BI$1,1)</f>
        <v/>
      </c>
      <c r="BN209" s="102">
        <f>(CI209-Driver!$F$205)/(Driver!$G$205-Driver!$F$205)*$BI$1</f>
        <v/>
      </c>
      <c r="BO209" s="102">
        <f>(CK209-Driver!$F$207)/(Driver!$G$207-Driver!$F$207)*$BI$1</f>
        <v/>
      </c>
      <c r="BP209" s="102">
        <f>(CM209-Driver!$F$208)/(Driver!$G$208-Driver!$F$208)*$BI$1</f>
        <v/>
      </c>
      <c r="BQ209" s="102">
        <f>(CL209-Driver!$F$209)/(Driver!$G$209-Driver!$F$209)*$BI$1</f>
        <v/>
      </c>
      <c r="BR209" s="40" t="inlineStr">
        <is>
          <t>21/22</t>
        </is>
      </c>
      <c r="BS209" s="10" t="inlineStr">
        <is>
          <t xml:space="preserve"> Atomic</t>
        </is>
      </c>
      <c r="BT209" s="11" t="inlineStr">
        <is>
          <t>Bent Chetler 100</t>
        </is>
      </c>
      <c r="BU209" s="13" t="n">
        <v>180</v>
      </c>
      <c r="BV209" s="11" t="inlineStr">
        <is>
          <t xml:space="preserve"> Unisex</t>
        </is>
      </c>
      <c r="BW209" s="13" t="n">
        <v>180</v>
      </c>
      <c r="BX209" s="13" t="n">
        <v>179.3</v>
      </c>
      <c r="BY209" s="13" t="n">
        <v>135</v>
      </c>
      <c r="BZ209" s="13" t="n">
        <v>146</v>
      </c>
      <c r="CA209" s="13" t="n">
        <v>129</v>
      </c>
      <c r="CB209" s="13" t="n">
        <v>99</v>
      </c>
      <c r="CC209" s="13" t="n">
        <v>119</v>
      </c>
      <c r="CD209" s="13" t="n">
        <v>19.6</v>
      </c>
      <c r="CE209" s="13" t="n">
        <v>1763</v>
      </c>
      <c r="CF209" s="13" t="n">
        <v>1.09</v>
      </c>
      <c r="CG209" s="13" t="n">
        <v>1921</v>
      </c>
      <c r="CH209" s="13" t="n">
        <v>208</v>
      </c>
      <c r="CI209" s="13" t="n">
        <v>113</v>
      </c>
      <c r="CJ209" s="13" t="n">
        <v>45</v>
      </c>
      <c r="CK209" s="13" t="n">
        <v>277</v>
      </c>
      <c r="CL209" s="13" t="n">
        <v>26</v>
      </c>
      <c r="CM209" s="13" t="n">
        <v>168</v>
      </c>
      <c r="CN209" s="13" t="n">
        <v>0.583</v>
      </c>
      <c r="CO209" s="13" t="n">
        <v>184</v>
      </c>
      <c r="CP209" s="13" t="n">
        <v>147</v>
      </c>
      <c r="CQ209" s="13" t="n">
        <v>94</v>
      </c>
      <c r="CR209" s="13" t="n">
        <v>12</v>
      </c>
      <c r="CS209" s="13" t="n">
        <v>8.199999999999999</v>
      </c>
      <c r="CT209" s="11" t="inlineStr">
        <is>
          <t xml:space="preserve"> Resort Freeride</t>
        </is>
      </c>
      <c r="CU209" s="11" t="inlineStr">
        <is>
          <t xml:space="preserve"> Touring</t>
        </is>
      </c>
      <c r="CV209" s="13" t="n"/>
      <c r="CW209" s="13" t="n"/>
      <c r="CX209">
        <f>INDEX('Data_Price '!AG$2:AG$1266,MATCH(Data!$DN209,'Data_Price '!$AT$2:$AT$1266,0))</f>
        <v/>
      </c>
      <c r="CY209">
        <f>INDEX('Data_Price '!AH$2:AH$1266,MATCH(Data!$DN209,'Data_Price '!$AT$2:$AT$1266,0))</f>
        <v/>
      </c>
      <c r="CZ209">
        <f>INDEX('Data_Price '!AI$2:AI$1266,MATCH(Data!$DN209,'Data_Price '!$AT$2:$AT$1266,0))</f>
        <v/>
      </c>
      <c r="DA209">
        <f>INDEX('Data_Price '!AJ$2:AJ$1266,MATCH(Data!$DN209,'Data_Price '!$AT$2:$AT$1266,0))</f>
        <v/>
      </c>
      <c r="DB209">
        <f>INDEX('Data_Price '!AK$2:AK$1266,MATCH(Data!$DN209,'Data_Price '!$AT$2:$AT$1266,0))</f>
        <v/>
      </c>
      <c r="DC209">
        <f>INDEX('Data_Price '!AL$2:AL$1266,MATCH(Data!$DN209,'Data_Price '!$AT$2:$AT$1266,0))</f>
        <v/>
      </c>
      <c r="DD209">
        <f>INDEX('Data_Price '!AM$2:AM$1266,MATCH(Data!$DN209,'Data_Price '!$AT$2:$AT$1266,0))</f>
        <v/>
      </c>
      <c r="DE209">
        <f>INDEX('Data_Price '!AN$2:AN$1266,MATCH(Data!$DN209,'Data_Price '!$AT$2:$AT$1266,0))</f>
        <v/>
      </c>
      <c r="DF209">
        <f>INDEX('Data_Price '!AO$2:AO$1266,MATCH(Data!$DN209,'Data_Price '!$AT$2:$AT$1266,0))</f>
        <v/>
      </c>
      <c r="DG209">
        <f>INDEX('Data_Price '!AP$2:AP$1266,MATCH(Data!$DN209,'Data_Price '!$AT$2:$AT$1266,0))</f>
        <v/>
      </c>
      <c r="DH209">
        <f>INDEX('Data_Price '!AQ$2:AQ$1266,MATCH(Data!$DN209,'Data_Price '!$AT$2:$AT$1266,0))</f>
        <v/>
      </c>
      <c r="DI209">
        <f>INDEX('Data_Price '!AR$2:AR$1266,MATCH(Data!$DN209,'Data_Price '!$AT$2:$AT$1266,0))</f>
        <v/>
      </c>
      <c r="DJ209" s="138">
        <f>DA209</f>
        <v/>
      </c>
      <c r="DK209" s="138">
        <f>DE209</f>
        <v/>
      </c>
      <c r="DL209" s="138">
        <f>DI209</f>
        <v/>
      </c>
      <c r="DM209" s="303">
        <f>IF(LEFT(BT209,1)=" ",RIGHT(BT209,LEN(BT209)-1),BT209)</f>
        <v/>
      </c>
      <c r="DN209" s="138">
        <f>_xlfn.CONCAT(BS209,DM209,BU209,BV209)</f>
        <v/>
      </c>
      <c r="DO209" s="307" t="inlineStr">
        <is>
          <t>https://images.evo.com/imgp/250/197747/826833/atomic-bent-chetler-100-skis-2022-.jpg</t>
        </is>
      </c>
    </row>
    <row r="210" ht="15.6" customHeight="1" s="184">
      <c r="B210" s="303">
        <f t="array" ref="B210">IF(OR(ISERROR(K210:P210)),FALSE,TRUE)</f>
        <v/>
      </c>
      <c r="C210" s="60">
        <f>OR(BR210=Driver!$G$50,Data!BR615=Driver!$H$50)</f>
        <v/>
      </c>
      <c r="D210" s="60">
        <f>OR(BV210=Driver!$G$51,BV210=Driver!$H$51)</f>
        <v/>
      </c>
      <c r="E210" s="60">
        <f>AND(BX210&gt;Driver!$F$54,BX210&lt;Driver!$G$54)</f>
        <v/>
      </c>
      <c r="F210" s="60">
        <f>CL210&gt;Driver!$F$56</f>
        <v/>
      </c>
      <c r="G210" s="60">
        <f>AND(CB210&gt;Driver!$F$55,CB210&lt;Driver!$G$55)</f>
        <v/>
      </c>
      <c r="H210" s="60">
        <f>AND(B210:G210)</f>
        <v/>
      </c>
      <c r="I210" s="60">
        <f>COUNTIFS($H$9:$H$1273,TRUE,$BT$9:$BT$1273,BT210)</f>
        <v/>
      </c>
      <c r="J210" s="60">
        <f t="array" ref="J210">NOT(OR(($H$9:$H$1273=TRUE)*($I$9:$I$1273&gt;0)*($BT$9:$BT$1273=BT210)*($K$9:$K$1273&gt;K210)))</f>
        <v/>
      </c>
      <c r="K210" s="108">
        <f>IFERROR(1-AVERAGE(X210:Y210),"")</f>
        <v/>
      </c>
      <c r="L210" s="108">
        <f>1-X210</f>
        <v/>
      </c>
      <c r="M210" s="108">
        <f>1-Y210</f>
        <v/>
      </c>
      <c r="N210" s="108">
        <f>1-Z210</f>
        <v/>
      </c>
      <c r="O210" s="108">
        <f>1-AA210</f>
        <v/>
      </c>
      <c r="P210" s="108">
        <f>1-AB210</f>
        <v/>
      </c>
      <c r="Q210" s="108" t="n"/>
      <c r="R210" s="108" t="n"/>
      <c r="S210" s="108">
        <f>1-AE210</f>
        <v/>
      </c>
      <c r="T210" s="108">
        <f>1-AF210</f>
        <v/>
      </c>
      <c r="U210" s="108">
        <f>1-AG210</f>
        <v/>
      </c>
      <c r="V210" s="108">
        <f>1-AH210</f>
        <v/>
      </c>
      <c r="W210" s="108">
        <f>1-AI210</f>
        <v/>
      </c>
      <c r="X210" s="108">
        <f>ABS(AJ210-AJ$1)</f>
        <v/>
      </c>
      <c r="Y210" s="108">
        <f>AVERAGE(Z210:AB210)</f>
        <v/>
      </c>
      <c r="Z210" s="108">
        <f>ABS(AL210-AL$1)</f>
        <v/>
      </c>
      <c r="AA210" s="108">
        <f>ABS(AM210-AM$1)</f>
        <v/>
      </c>
      <c r="AB210" s="108">
        <f>ABS(AN210-AN$1)</f>
        <v/>
      </c>
      <c r="AC210" s="108" t="n"/>
      <c r="AD210" s="108" t="n"/>
      <c r="AE210" s="108">
        <f>ABS(AQ$1-AQ210)</f>
        <v/>
      </c>
      <c r="AF210" s="108">
        <f>ABS(AR$1-AR210)</f>
        <v/>
      </c>
      <c r="AG210" s="108">
        <f>ABS(AS$1-AS210)</f>
        <v/>
      </c>
      <c r="AH210" s="108">
        <f>ABS(AT$1-AT210)</f>
        <v/>
      </c>
      <c r="AI210" s="108">
        <f>ABS(AU$1-AU210)</f>
        <v/>
      </c>
      <c r="AJ210" s="108">
        <f>(AV210-Driver!$K$179)/(Driver!$L$179-Driver!$K$179)</f>
        <v/>
      </c>
      <c r="AK210" s="108">
        <f>(AW210-Driver!$K$180)/(Driver!$L$180-Driver!$K$180)</f>
        <v/>
      </c>
      <c r="AL210" s="108">
        <f>(AX210-Driver!$K$181)/(Driver!$L$181-Driver!$K$181)</f>
        <v/>
      </c>
      <c r="AM210" s="108">
        <f>(AY210-Driver!$K$182)/(Driver!$L$182-Driver!$K$182)</f>
        <v/>
      </c>
      <c r="AN210" s="108">
        <f>(AZ210-Driver!$K$183)/(Driver!$L$183-Driver!$K$183)</f>
        <v/>
      </c>
      <c r="AO210" s="108" t="n"/>
      <c r="AP210" s="108" t="n"/>
      <c r="AQ210" s="108">
        <f>(BC210-Driver!$K$188)/(Driver!$L$188-Driver!$K$188)</f>
        <v/>
      </c>
      <c r="AR210" s="108">
        <f>MIN((BD210-Driver!$K$189)/(Driver!$L$189-Driver!$K$189),100%)</f>
        <v/>
      </c>
      <c r="AS210" s="108">
        <f>(BE210-Driver!$K$190)/(Driver!$L$190-Driver!$K$190)</f>
        <v/>
      </c>
      <c r="AT210" s="108">
        <f>(BF210-Driver!$K$191)/(Driver!$L$191-Driver!$K$191)</f>
        <v/>
      </c>
      <c r="AU210" s="108">
        <f>(BG210-Driver!$K$192)/(Driver!$L$192-Driver!$K$192)</f>
        <v/>
      </c>
      <c r="AV210" s="105">
        <f>IFERROR(BM210*BJ210^1/4,"")</f>
        <v/>
      </c>
      <c r="AW210" s="105">
        <f>IFERROR(SUM(AX210:AZ210),"")</f>
        <v/>
      </c>
      <c r="AX210" s="105">
        <f>IFERROR(BH210,"")</f>
        <v/>
      </c>
      <c r="AY210" s="105">
        <f>IFERROR(Driver!$K$19/Data!BH210/Data!BI210*Data!BK210*Data!BL210,"")</f>
        <v/>
      </c>
      <c r="AZ210" s="105">
        <f>IFERROR(BI210*BN210,"")</f>
        <v/>
      </c>
      <c r="BA210" s="105" t="n"/>
      <c r="BB210" s="105" t="n"/>
      <c r="BC210" s="105">
        <f>IFERROR(BI210*BN210*BK210/BJ210^(1/2),"")</f>
        <v/>
      </c>
      <c r="BD210" s="105">
        <f>IFERROR(BH210*BM210*BL210/BJ210/BK210,"")</f>
        <v/>
      </c>
      <c r="BE210" s="105">
        <f>IFERROR(MIN(BI210/BQ210/BP210/BO210/BH210,$BE$1),"")</f>
        <v/>
      </c>
      <c r="BF210" s="105">
        <f>IFERROR(BJ210*BO210*BP210/BK210,"")</f>
        <v/>
      </c>
      <c r="BG210" s="105">
        <f>IFERROR(1/BM210/BH210*BQ210,"")</f>
        <v/>
      </c>
      <c r="BH210" s="102">
        <f>MAX((CE210-Driver!$F$200)/(Driver!$G$200-Driver!$F$200)*$BI$1,1)</f>
        <v/>
      </c>
      <c r="BI210" s="102">
        <f>MAX($BI$1*(BY210-Driver!$F$201)/(Driver!$G$201-Driver!$F$201),1)</f>
        <v/>
      </c>
      <c r="BJ210" s="102">
        <f>(CB210-Driver!$F$206)/(Driver!$G$206-Driver!$F$206)*$BI$1</f>
        <v/>
      </c>
      <c r="BK210" s="102">
        <f>(CD210-Driver!$F$203)/(Driver!$G$203-Driver!$F$203)*$BI$1</f>
        <v/>
      </c>
      <c r="BL210" s="102">
        <f>MAX((CR210-Driver!$F$202)/(Driver!$G$202-Driver!$F$202)*$BI$1,1)</f>
        <v/>
      </c>
      <c r="BM210" s="102">
        <f>MAX((CH210-Driver!$F$204)/(Driver!$G$204-Driver!$F$204)*$BI$1,1)</f>
        <v/>
      </c>
      <c r="BN210" s="102">
        <f>(CI210-Driver!$F$205)/(Driver!$G$205-Driver!$F$205)*$BI$1</f>
        <v/>
      </c>
      <c r="BO210" s="102">
        <f>(CK210-Driver!$F$207)/(Driver!$G$207-Driver!$F$207)*$BI$1</f>
        <v/>
      </c>
      <c r="BP210" s="102">
        <f>(CM210-Driver!$F$208)/(Driver!$G$208-Driver!$F$208)*$BI$1</f>
        <v/>
      </c>
      <c r="BQ210" s="102">
        <f>(CL210-Driver!$F$209)/(Driver!$G$209-Driver!$F$209)*$BI$1</f>
        <v/>
      </c>
      <c r="BR210" s="40" t="inlineStr">
        <is>
          <t>21/22</t>
        </is>
      </c>
      <c r="BS210" s="10" t="inlineStr">
        <is>
          <t xml:space="preserve"> Head</t>
        </is>
      </c>
      <c r="BT210" s="11" t="inlineStr">
        <is>
          <t>Kore 90 X</t>
        </is>
      </c>
      <c r="BU210" s="13" t="n">
        <v>163</v>
      </c>
      <c r="BV210" s="11" t="inlineStr">
        <is>
          <t xml:space="preserve"> Unisex</t>
        </is>
      </c>
      <c r="BW210" s="13" t="n">
        <v>163</v>
      </c>
      <c r="BX210" s="13" t="n">
        <v>162.4</v>
      </c>
      <c r="BY210" s="13" t="n">
        <v>128</v>
      </c>
      <c r="BZ210" s="13" t="n">
        <v>133</v>
      </c>
      <c r="CA210" s="13" t="n">
        <v>127</v>
      </c>
      <c r="CB210" s="13" t="n">
        <v>89</v>
      </c>
      <c r="CC210" s="13" t="n">
        <v>109</v>
      </c>
      <c r="CD210" s="13" t="n">
        <v>13.2</v>
      </c>
      <c r="CE210" s="13" t="n">
        <v>1683</v>
      </c>
      <c r="CF210" s="13" t="n">
        <v>0.98</v>
      </c>
      <c r="CG210" s="13" t="n">
        <v>1645</v>
      </c>
      <c r="CH210" s="13" t="n">
        <v>188</v>
      </c>
      <c r="CI210" s="13" t="n">
        <v>80</v>
      </c>
      <c r="CJ210" s="13" t="n">
        <v>46</v>
      </c>
      <c r="CK210" s="13" t="n">
        <v>212</v>
      </c>
      <c r="CL210" s="13" t="n">
        <v>11</v>
      </c>
      <c r="CM210" s="13" t="n">
        <v>129</v>
      </c>
      <c r="CN210" s="13" t="n">
        <v>0.238</v>
      </c>
      <c r="CO210" s="13" t="n">
        <v>142</v>
      </c>
      <c r="CP210" s="13" t="n">
        <v>156</v>
      </c>
      <c r="CQ210" s="13" t="n">
        <v>70</v>
      </c>
      <c r="CR210" s="13" t="n">
        <v>7</v>
      </c>
      <c r="CS210" s="13" t="n">
        <v>11.5</v>
      </c>
      <c r="CT210" s="11" t="inlineStr">
        <is>
          <t xml:space="preserve"> Resort Freeride</t>
        </is>
      </c>
      <c r="CU210" s="13" t="n"/>
      <c r="CV210" s="13" t="n"/>
      <c r="CW210" s="13" t="n"/>
      <c r="CX210">
        <f>INDEX('Data_Price '!AG$2:AG$1266,MATCH(Data!$DN210,'Data_Price '!$AT$2:$AT$1266,0))</f>
        <v/>
      </c>
      <c r="CY210">
        <f>INDEX('Data_Price '!AH$2:AH$1266,MATCH(Data!$DN210,'Data_Price '!$AT$2:$AT$1266,0))</f>
        <v/>
      </c>
      <c r="CZ210">
        <f>INDEX('Data_Price '!AI$2:AI$1266,MATCH(Data!$DN210,'Data_Price '!$AT$2:$AT$1266,0))</f>
        <v/>
      </c>
      <c r="DA210">
        <f>INDEX('Data_Price '!AJ$2:AJ$1266,MATCH(Data!$DN210,'Data_Price '!$AT$2:$AT$1266,0))</f>
        <v/>
      </c>
      <c r="DB210">
        <f>INDEX('Data_Price '!AK$2:AK$1266,MATCH(Data!$DN210,'Data_Price '!$AT$2:$AT$1266,0))</f>
        <v/>
      </c>
      <c r="DC210">
        <f>INDEX('Data_Price '!AL$2:AL$1266,MATCH(Data!$DN210,'Data_Price '!$AT$2:$AT$1266,0))</f>
        <v/>
      </c>
      <c r="DD210">
        <f>INDEX('Data_Price '!AM$2:AM$1266,MATCH(Data!$DN210,'Data_Price '!$AT$2:$AT$1266,0))</f>
        <v/>
      </c>
      <c r="DE210">
        <f>INDEX('Data_Price '!AN$2:AN$1266,MATCH(Data!$DN210,'Data_Price '!$AT$2:$AT$1266,0))</f>
        <v/>
      </c>
      <c r="DF210">
        <f>INDEX('Data_Price '!AO$2:AO$1266,MATCH(Data!$DN210,'Data_Price '!$AT$2:$AT$1266,0))</f>
        <v/>
      </c>
      <c r="DG210">
        <f>INDEX('Data_Price '!AP$2:AP$1266,MATCH(Data!$DN210,'Data_Price '!$AT$2:$AT$1266,0))</f>
        <v/>
      </c>
      <c r="DH210">
        <f>INDEX('Data_Price '!AQ$2:AQ$1266,MATCH(Data!$DN210,'Data_Price '!$AT$2:$AT$1266,0))</f>
        <v/>
      </c>
      <c r="DI210">
        <f>INDEX('Data_Price '!AR$2:AR$1266,MATCH(Data!$DN210,'Data_Price '!$AT$2:$AT$1266,0))</f>
        <v/>
      </c>
      <c r="DJ210" s="138">
        <f>DA210</f>
        <v/>
      </c>
      <c r="DK210" s="138">
        <f>DE210</f>
        <v/>
      </c>
      <c r="DL210" s="138">
        <f>DI210</f>
        <v/>
      </c>
      <c r="DM210" s="303">
        <f>IF(LEFT(BT210,1)=" ",RIGHT(BT210,LEN(BT210)-1),BT210)</f>
        <v/>
      </c>
      <c r="DN210" s="138">
        <f>_xlfn.CONCAT(BS210,DM210,BU210,BV210)</f>
        <v/>
      </c>
      <c r="DO210" s="307" t="inlineStr">
        <is>
          <t>https://images.evo.com/imgp/250/218718/886395/head-kore-90-x-skis-2022-.jpg</t>
        </is>
      </c>
    </row>
    <row r="211" ht="15.6" customHeight="1" s="184">
      <c r="B211" s="303">
        <f t="array" ref="B211">IF(OR(ISERROR(K211:P211)),FALSE,TRUE)</f>
        <v/>
      </c>
      <c r="C211" s="60">
        <f>OR(BR211=Driver!$G$50,Data!BR348=Driver!$H$50)</f>
        <v/>
      </c>
      <c r="D211" s="60">
        <f>OR(BV211=Driver!$G$51,BV211=Driver!$H$51)</f>
        <v/>
      </c>
      <c r="E211" s="60">
        <f>AND(BX211&gt;Driver!$F$54,BX211&lt;Driver!$G$54)</f>
        <v/>
      </c>
      <c r="F211" s="60">
        <f>CL211&gt;Driver!$F$56</f>
        <v/>
      </c>
      <c r="G211" s="60">
        <f>AND(CB211&gt;Driver!$F$55,CB211&lt;Driver!$G$55)</f>
        <v/>
      </c>
      <c r="H211" s="60">
        <f>AND(B211:G211)</f>
        <v/>
      </c>
      <c r="I211" s="60">
        <f>COUNTIFS($H$9:$H$1273,TRUE,$BT$9:$BT$1273,BT211)</f>
        <v/>
      </c>
      <c r="J211" s="60">
        <f t="array" ref="J211">NOT(OR(($H$9:$H$1273=TRUE)*($I$9:$I$1273&gt;0)*($BT$9:$BT$1273=BT211)*($K$9:$K$1273&gt;K211)))</f>
        <v/>
      </c>
      <c r="K211" s="108">
        <f>IFERROR(1-AVERAGE(X211:Y211),"")</f>
        <v/>
      </c>
      <c r="L211" s="108">
        <f>1-X211</f>
        <v/>
      </c>
      <c r="M211" s="108">
        <f>1-Y211</f>
        <v/>
      </c>
      <c r="N211" s="108">
        <f>1-Z211</f>
        <v/>
      </c>
      <c r="O211" s="108">
        <f>1-AA211</f>
        <v/>
      </c>
      <c r="P211" s="108">
        <f>1-AB211</f>
        <v/>
      </c>
      <c r="Q211" s="108" t="n"/>
      <c r="R211" s="108" t="n"/>
      <c r="S211" s="108">
        <f>1-AE211</f>
        <v/>
      </c>
      <c r="T211" s="108">
        <f>1-AF211</f>
        <v/>
      </c>
      <c r="U211" s="108">
        <f>1-AG211</f>
        <v/>
      </c>
      <c r="V211" s="108">
        <f>1-AH211</f>
        <v/>
      </c>
      <c r="W211" s="108">
        <f>1-AI211</f>
        <v/>
      </c>
      <c r="X211" s="108">
        <f>ABS(AJ211-AJ$1)</f>
        <v/>
      </c>
      <c r="Y211" s="108">
        <f>AVERAGE(Z211:AB211)</f>
        <v/>
      </c>
      <c r="Z211" s="108">
        <f>ABS(AL211-AL$1)</f>
        <v/>
      </c>
      <c r="AA211" s="108">
        <f>ABS(AM211-AM$1)</f>
        <v/>
      </c>
      <c r="AB211" s="108">
        <f>ABS(AN211-AN$1)</f>
        <v/>
      </c>
      <c r="AC211" s="108" t="n"/>
      <c r="AD211" s="108" t="n"/>
      <c r="AE211" s="108">
        <f>ABS(AQ$1-AQ211)</f>
        <v/>
      </c>
      <c r="AF211" s="108">
        <f>ABS(AR$1-AR211)</f>
        <v/>
      </c>
      <c r="AG211" s="108">
        <f>ABS(AS$1-AS211)</f>
        <v/>
      </c>
      <c r="AH211" s="108">
        <f>ABS(AT$1-AT211)</f>
        <v/>
      </c>
      <c r="AI211" s="108">
        <f>ABS(AU$1-AU211)</f>
        <v/>
      </c>
      <c r="AJ211" s="108">
        <f>(AV211-Driver!$K$179)/(Driver!$L$179-Driver!$K$179)</f>
        <v/>
      </c>
      <c r="AK211" s="108">
        <f>(AW211-Driver!$K$180)/(Driver!$L$180-Driver!$K$180)</f>
        <v/>
      </c>
      <c r="AL211" s="108">
        <f>(AX211-Driver!$K$181)/(Driver!$L$181-Driver!$K$181)</f>
        <v/>
      </c>
      <c r="AM211" s="108">
        <f>(AY211-Driver!$K$182)/(Driver!$L$182-Driver!$K$182)</f>
        <v/>
      </c>
      <c r="AN211" s="108">
        <f>(AZ211-Driver!$K$183)/(Driver!$L$183-Driver!$K$183)</f>
        <v/>
      </c>
      <c r="AO211" s="108" t="n"/>
      <c r="AP211" s="108" t="n"/>
      <c r="AQ211" s="108">
        <f>(BC211-Driver!$K$188)/(Driver!$L$188-Driver!$K$188)</f>
        <v/>
      </c>
      <c r="AR211" s="108">
        <f>MIN((BD211-Driver!$K$189)/(Driver!$L$189-Driver!$K$189),100%)</f>
        <v/>
      </c>
      <c r="AS211" s="108">
        <f>(BE211-Driver!$K$190)/(Driver!$L$190-Driver!$K$190)</f>
        <v/>
      </c>
      <c r="AT211" s="108">
        <f>(BF211-Driver!$K$191)/(Driver!$L$191-Driver!$K$191)</f>
        <v/>
      </c>
      <c r="AU211" s="108">
        <f>(BG211-Driver!$K$192)/(Driver!$L$192-Driver!$K$192)</f>
        <v/>
      </c>
      <c r="AV211" s="105">
        <f>IFERROR(BM211*BJ211^1/4,"")</f>
        <v/>
      </c>
      <c r="AW211" s="105">
        <f>IFERROR(SUM(AX211:AZ211),"")</f>
        <v/>
      </c>
      <c r="AX211" s="105">
        <f>IFERROR(BH211,"")</f>
        <v/>
      </c>
      <c r="AY211" s="105">
        <f>IFERROR(Driver!$K$19/Data!BH211/Data!BI211*Data!BK211*Data!BL211,"")</f>
        <v/>
      </c>
      <c r="AZ211" s="105">
        <f>IFERROR(BI211*BN211,"")</f>
        <v/>
      </c>
      <c r="BA211" s="105" t="n"/>
      <c r="BB211" s="105" t="n"/>
      <c r="BC211" s="105">
        <f>IFERROR(BI211*BN211*BK211/BJ211^(1/2),"")</f>
        <v/>
      </c>
      <c r="BD211" s="105">
        <f>IFERROR(BH211*BM211*BL211/BJ211/BK211,"")</f>
        <v/>
      </c>
      <c r="BE211" s="105">
        <f>IFERROR(MIN(BI211/BQ211/BP211/BO211/BH211,$BE$1),"")</f>
        <v/>
      </c>
      <c r="BF211" s="105">
        <f>IFERROR(BJ211*BO211*BP211/BK211,"")</f>
        <v/>
      </c>
      <c r="BG211" s="105">
        <f>IFERROR(1/BM211/BH211*BQ211,"")</f>
        <v/>
      </c>
      <c r="BH211" s="102">
        <f>MAX((CE211-Driver!$F$200)/(Driver!$G$200-Driver!$F$200)*$BI$1,1)</f>
        <v/>
      </c>
      <c r="BI211" s="102">
        <f>MAX($BI$1*(BY211-Driver!$F$201)/(Driver!$G$201-Driver!$F$201),1)</f>
        <v/>
      </c>
      <c r="BJ211" s="102">
        <f>(CB211-Driver!$F$206)/(Driver!$G$206-Driver!$F$206)*$BI$1</f>
        <v/>
      </c>
      <c r="BK211" s="102">
        <f>(CD211-Driver!$F$203)/(Driver!$G$203-Driver!$F$203)*$BI$1</f>
        <v/>
      </c>
      <c r="BL211" s="102">
        <f>MAX((CR211-Driver!$F$202)/(Driver!$G$202-Driver!$F$202)*$BI$1,1)</f>
        <v/>
      </c>
      <c r="BM211" s="102">
        <f>MAX((CH211-Driver!$F$204)/(Driver!$G$204-Driver!$F$204)*$BI$1,1)</f>
        <v/>
      </c>
      <c r="BN211" s="102">
        <f>(CI211-Driver!$F$205)/(Driver!$G$205-Driver!$F$205)*$BI$1</f>
        <v/>
      </c>
      <c r="BO211" s="102">
        <f>(CK211-Driver!$F$207)/(Driver!$G$207-Driver!$F$207)*$BI$1</f>
        <v/>
      </c>
      <c r="BP211" s="102">
        <f>(CM211-Driver!$F$208)/(Driver!$G$208-Driver!$F$208)*$BI$1</f>
        <v/>
      </c>
      <c r="BQ211" s="102">
        <f>(CL211-Driver!$F$209)/(Driver!$G$209-Driver!$F$209)*$BI$1</f>
        <v/>
      </c>
      <c r="BR211" s="40" t="inlineStr">
        <is>
          <t>21/22</t>
        </is>
      </c>
      <c r="BS211" s="10" t="inlineStr">
        <is>
          <t xml:space="preserve"> DPS</t>
        </is>
      </c>
      <c r="BT211" s="11" t="inlineStr">
        <is>
          <t>Pagoda Piste 100 C2</t>
        </is>
      </c>
      <c r="BU211" s="13" t="n">
        <v>171</v>
      </c>
      <c r="BV211" s="11" t="inlineStr">
        <is>
          <t xml:space="preserve"> Unisex</t>
        </is>
      </c>
      <c r="BW211" s="13" t="n">
        <v>171</v>
      </c>
      <c r="BX211" s="13" t="n">
        <v>170.9</v>
      </c>
      <c r="BY211" s="13" t="n">
        <v>127</v>
      </c>
      <c r="BZ211" s="13" t="n">
        <v>135</v>
      </c>
      <c r="CA211" s="13" t="n">
        <v>128</v>
      </c>
      <c r="CB211" s="13" t="n">
        <v>99</v>
      </c>
      <c r="CC211" s="13" t="n">
        <v>115</v>
      </c>
      <c r="CD211" s="13" t="n">
        <v>19.4</v>
      </c>
      <c r="CE211" s="13" t="n">
        <v>1793</v>
      </c>
      <c r="CF211" s="13" t="n">
        <v>1.03</v>
      </c>
      <c r="CG211" s="13" t="n">
        <v>1849</v>
      </c>
      <c r="CH211" s="13" t="n">
        <v>192</v>
      </c>
      <c r="CI211" s="13" t="n">
        <v>106</v>
      </c>
      <c r="CJ211" s="13" t="n">
        <v>43</v>
      </c>
      <c r="CK211" s="13" t="n">
        <v>252</v>
      </c>
      <c r="CL211" s="13" t="n">
        <v>21</v>
      </c>
      <c r="CM211" s="13" t="n">
        <v>184</v>
      </c>
      <c r="CN211" s="13" t="n">
        <v>0.488</v>
      </c>
      <c r="CO211" s="13" t="n">
        <v>185</v>
      </c>
      <c r="CP211" s="13" t="n">
        <v>176</v>
      </c>
      <c r="CQ211" s="13" t="n">
        <v>67</v>
      </c>
      <c r="CR211" s="13" t="n">
        <v>8</v>
      </c>
      <c r="CS211" s="13" t="n">
        <v>10.4</v>
      </c>
      <c r="CT211" s="11" t="inlineStr">
        <is>
          <t xml:space="preserve"> Resort Freeride</t>
        </is>
      </c>
      <c r="CU211" s="13" t="n"/>
      <c r="CV211" s="13" t="n"/>
      <c r="CW211" s="13" t="n"/>
      <c r="CX211">
        <f>INDEX('Data_Price '!AG$2:AG$1266,MATCH(Data!$DN211,'Data_Price '!$AT$2:$AT$1266,0))</f>
        <v/>
      </c>
      <c r="CY211">
        <f>INDEX('Data_Price '!AH$2:AH$1266,MATCH(Data!$DN211,'Data_Price '!$AT$2:$AT$1266,0))</f>
        <v/>
      </c>
      <c r="CZ211">
        <f>INDEX('Data_Price '!AI$2:AI$1266,MATCH(Data!$DN211,'Data_Price '!$AT$2:$AT$1266,0))</f>
        <v/>
      </c>
      <c r="DA211">
        <f>INDEX('Data_Price '!AJ$2:AJ$1266,MATCH(Data!$DN211,'Data_Price '!$AT$2:$AT$1266,0))</f>
        <v/>
      </c>
      <c r="DB211">
        <f>INDEX('Data_Price '!AK$2:AK$1266,MATCH(Data!$DN211,'Data_Price '!$AT$2:$AT$1266,0))</f>
        <v/>
      </c>
      <c r="DC211">
        <f>INDEX('Data_Price '!AL$2:AL$1266,MATCH(Data!$DN211,'Data_Price '!$AT$2:$AT$1266,0))</f>
        <v/>
      </c>
      <c r="DD211">
        <f>INDEX('Data_Price '!AM$2:AM$1266,MATCH(Data!$DN211,'Data_Price '!$AT$2:$AT$1266,0))</f>
        <v/>
      </c>
      <c r="DE211">
        <f>INDEX('Data_Price '!AN$2:AN$1266,MATCH(Data!$DN211,'Data_Price '!$AT$2:$AT$1266,0))</f>
        <v/>
      </c>
      <c r="DF211">
        <f>INDEX('Data_Price '!AO$2:AO$1266,MATCH(Data!$DN211,'Data_Price '!$AT$2:$AT$1266,0))</f>
        <v/>
      </c>
      <c r="DG211">
        <f>INDEX('Data_Price '!AP$2:AP$1266,MATCH(Data!$DN211,'Data_Price '!$AT$2:$AT$1266,0))</f>
        <v/>
      </c>
      <c r="DH211">
        <f>INDEX('Data_Price '!AQ$2:AQ$1266,MATCH(Data!$DN211,'Data_Price '!$AT$2:$AT$1266,0))</f>
        <v/>
      </c>
      <c r="DI211">
        <f>INDEX('Data_Price '!AR$2:AR$1266,MATCH(Data!$DN211,'Data_Price '!$AT$2:$AT$1266,0))</f>
        <v/>
      </c>
      <c r="DJ211" s="138">
        <f>DA211</f>
        <v/>
      </c>
      <c r="DK211" s="138">
        <f>DE211</f>
        <v/>
      </c>
      <c r="DL211" s="138">
        <f>DI211</f>
        <v/>
      </c>
      <c r="DM211" s="303">
        <f>IF(LEFT(BT211,1)=" ",RIGHT(BT211,LEN(BT211)-1),BT211)</f>
        <v/>
      </c>
      <c r="DN211" s="138">
        <f>_xlfn.CONCAT(BS211,DM211,BU211,BV211)</f>
        <v/>
      </c>
      <c r="DO211" s="307" t="n"/>
    </row>
    <row r="212" ht="15.6" customHeight="1" s="184">
      <c r="B212" s="303">
        <f t="array" ref="B212">IF(OR(ISERROR(K212:P212)),FALSE,TRUE)</f>
        <v/>
      </c>
      <c r="C212" s="60">
        <f>OR(BR212=Driver!$G$50,Data!BR321=Driver!$H$50)</f>
        <v/>
      </c>
      <c r="D212" s="60">
        <f>OR(BV212=Driver!$G$51,BV212=Driver!$H$51)</f>
        <v/>
      </c>
      <c r="E212" s="60">
        <f>AND(BX212&gt;Driver!$F$54,BX212&lt;Driver!$G$54)</f>
        <v/>
      </c>
      <c r="F212" s="60">
        <f>CL212&gt;Driver!$F$56</f>
        <v/>
      </c>
      <c r="G212" s="60">
        <f>AND(CB212&gt;Driver!$F$55,CB212&lt;Driver!$G$55)</f>
        <v/>
      </c>
      <c r="H212" s="60">
        <f>AND(B212:G212)</f>
        <v/>
      </c>
      <c r="I212" s="60">
        <f>COUNTIFS($H$9:$H$1273,TRUE,$BT$9:$BT$1273,BT212)</f>
        <v/>
      </c>
      <c r="J212" s="60">
        <f t="array" ref="J212">NOT(OR(($H$9:$H$1273=TRUE)*($I$9:$I$1273&gt;0)*($BT$9:$BT$1273=BT212)*($K$9:$K$1273&gt;K212)))</f>
        <v/>
      </c>
      <c r="K212" s="108">
        <f>IFERROR(1-AVERAGE(X212:Y212),"")</f>
        <v/>
      </c>
      <c r="L212" s="108">
        <f>1-X212</f>
        <v/>
      </c>
      <c r="M212" s="108">
        <f>1-Y212</f>
        <v/>
      </c>
      <c r="N212" s="108">
        <f>1-Z212</f>
        <v/>
      </c>
      <c r="O212" s="108">
        <f>1-AA212</f>
        <v/>
      </c>
      <c r="P212" s="108">
        <f>1-AB212</f>
        <v/>
      </c>
      <c r="Q212" s="108" t="n"/>
      <c r="R212" s="108" t="n"/>
      <c r="S212" s="108">
        <f>1-AE212</f>
        <v/>
      </c>
      <c r="T212" s="108">
        <f>1-AF212</f>
        <v/>
      </c>
      <c r="U212" s="108">
        <f>1-AG212</f>
        <v/>
      </c>
      <c r="V212" s="108">
        <f>1-AH212</f>
        <v/>
      </c>
      <c r="W212" s="108">
        <f>1-AI212</f>
        <v/>
      </c>
      <c r="X212" s="108">
        <f>ABS(AJ212-AJ$1)</f>
        <v/>
      </c>
      <c r="Y212" s="108">
        <f>AVERAGE(Z212:AB212)</f>
        <v/>
      </c>
      <c r="Z212" s="108">
        <f>ABS(AL212-AL$1)</f>
        <v/>
      </c>
      <c r="AA212" s="108">
        <f>ABS(AM212-AM$1)</f>
        <v/>
      </c>
      <c r="AB212" s="108">
        <f>ABS(AN212-AN$1)</f>
        <v/>
      </c>
      <c r="AC212" s="108" t="n"/>
      <c r="AD212" s="108" t="n"/>
      <c r="AE212" s="108">
        <f>ABS(AQ$1-AQ212)</f>
        <v/>
      </c>
      <c r="AF212" s="108">
        <f>ABS(AR$1-AR212)</f>
        <v/>
      </c>
      <c r="AG212" s="108">
        <f>ABS(AS$1-AS212)</f>
        <v/>
      </c>
      <c r="AH212" s="108">
        <f>ABS(AT$1-AT212)</f>
        <v/>
      </c>
      <c r="AI212" s="108">
        <f>ABS(AU$1-AU212)</f>
        <v/>
      </c>
      <c r="AJ212" s="108">
        <f>(AV212-Driver!$K$179)/(Driver!$L$179-Driver!$K$179)</f>
        <v/>
      </c>
      <c r="AK212" s="108">
        <f>(AW212-Driver!$K$180)/(Driver!$L$180-Driver!$K$180)</f>
        <v/>
      </c>
      <c r="AL212" s="108">
        <f>(AX212-Driver!$K$181)/(Driver!$L$181-Driver!$K$181)</f>
        <v/>
      </c>
      <c r="AM212" s="108">
        <f>(AY212-Driver!$K$182)/(Driver!$L$182-Driver!$K$182)</f>
        <v/>
      </c>
      <c r="AN212" s="108">
        <f>(AZ212-Driver!$K$183)/(Driver!$L$183-Driver!$K$183)</f>
        <v/>
      </c>
      <c r="AO212" s="108" t="n"/>
      <c r="AP212" s="108" t="n"/>
      <c r="AQ212" s="108">
        <f>(BC212-Driver!$K$188)/(Driver!$L$188-Driver!$K$188)</f>
        <v/>
      </c>
      <c r="AR212" s="108">
        <f>MIN((BD212-Driver!$K$189)/(Driver!$L$189-Driver!$K$189),100%)</f>
        <v/>
      </c>
      <c r="AS212" s="108">
        <f>(BE212-Driver!$K$190)/(Driver!$L$190-Driver!$K$190)</f>
        <v/>
      </c>
      <c r="AT212" s="108">
        <f>(BF212-Driver!$K$191)/(Driver!$L$191-Driver!$K$191)</f>
        <v/>
      </c>
      <c r="AU212" s="108">
        <f>(BG212-Driver!$K$192)/(Driver!$L$192-Driver!$K$192)</f>
        <v/>
      </c>
      <c r="AV212" s="105">
        <f>IFERROR(BM212*BJ212^1/4,"")</f>
        <v/>
      </c>
      <c r="AW212" s="105">
        <f>IFERROR(SUM(AX212:AZ212),"")</f>
        <v/>
      </c>
      <c r="AX212" s="105">
        <f>IFERROR(BH212,"")</f>
        <v/>
      </c>
      <c r="AY212" s="105">
        <f>IFERROR(Driver!$K$19/Data!BH212/Data!BI212*Data!BK212*Data!BL212,"")</f>
        <v/>
      </c>
      <c r="AZ212" s="105">
        <f>IFERROR(BI212*BN212,"")</f>
        <v/>
      </c>
      <c r="BA212" s="105" t="n"/>
      <c r="BB212" s="105" t="n"/>
      <c r="BC212" s="105">
        <f>IFERROR(BI212*BN212*BK212/BJ212^(1/2),"")</f>
        <v/>
      </c>
      <c r="BD212" s="105">
        <f>IFERROR(BH212*BM212*BL212/BJ212/BK212,"")</f>
        <v/>
      </c>
      <c r="BE212" s="105">
        <f>IFERROR(MIN(BI212/BQ212/BP212/BO212/BH212,$BE$1),"")</f>
        <v/>
      </c>
      <c r="BF212" s="105">
        <f>IFERROR(BJ212*BO212*BP212/BK212,"")</f>
        <v/>
      </c>
      <c r="BG212" s="105">
        <f>IFERROR(1/BM212/BH212*BQ212,"")</f>
        <v/>
      </c>
      <c r="BH212" s="102">
        <f>MAX((CE212-Driver!$F$200)/(Driver!$G$200-Driver!$F$200)*$BI$1,1)</f>
        <v/>
      </c>
      <c r="BI212" s="102">
        <f>MAX($BI$1*(BY212-Driver!$F$201)/(Driver!$G$201-Driver!$F$201),1)</f>
        <v/>
      </c>
      <c r="BJ212" s="102">
        <f>(CB212-Driver!$F$206)/(Driver!$G$206-Driver!$F$206)*$BI$1</f>
        <v/>
      </c>
      <c r="BK212" s="102">
        <f>(CD212-Driver!$F$203)/(Driver!$G$203-Driver!$F$203)*$BI$1</f>
        <v/>
      </c>
      <c r="BL212" s="102">
        <f>MAX((CR212-Driver!$F$202)/(Driver!$G$202-Driver!$F$202)*$BI$1,1)</f>
        <v/>
      </c>
      <c r="BM212" s="102">
        <f>MAX((CH212-Driver!$F$204)/(Driver!$G$204-Driver!$F$204)*$BI$1,1)</f>
        <v/>
      </c>
      <c r="BN212" s="102">
        <f>(CI212-Driver!$F$205)/(Driver!$G$205-Driver!$F$205)*$BI$1</f>
        <v/>
      </c>
      <c r="BO212" s="102">
        <f>(CK212-Driver!$F$207)/(Driver!$G$207-Driver!$F$207)*$BI$1</f>
        <v/>
      </c>
      <c r="BP212" s="102">
        <f>(CM212-Driver!$F$208)/(Driver!$G$208-Driver!$F$208)*$BI$1</f>
        <v/>
      </c>
      <c r="BQ212" s="102">
        <f>(CL212-Driver!$F$209)/(Driver!$G$209-Driver!$F$209)*$BI$1</f>
        <v/>
      </c>
      <c r="BR212" s="40" t="inlineStr">
        <is>
          <t>21/22</t>
        </is>
      </c>
      <c r="BS212" s="10" t="inlineStr">
        <is>
          <t xml:space="preserve"> Blizzard</t>
        </is>
      </c>
      <c r="BT212" s="11" t="inlineStr">
        <is>
          <t>Zero G 105</t>
        </is>
      </c>
      <c r="BU212" s="13" t="n">
        <v>188</v>
      </c>
      <c r="BV212" s="11" t="inlineStr">
        <is>
          <t xml:space="preserve"> Unisex</t>
        </is>
      </c>
      <c r="BW212" s="13" t="n">
        <v>188</v>
      </c>
      <c r="BX212" s="13" t="n">
        <v>185.8</v>
      </c>
      <c r="BY212" s="13" t="n">
        <v>126</v>
      </c>
      <c r="BZ212" s="13" t="n">
        <v>155</v>
      </c>
      <c r="CA212" s="13" t="n">
        <v>133</v>
      </c>
      <c r="CB212" s="13" t="n">
        <v>104</v>
      </c>
      <c r="CC212" s="13" t="n">
        <v>119</v>
      </c>
      <c r="CD212" s="13" t="n">
        <v>25.3</v>
      </c>
      <c r="CE212" s="13" t="n">
        <v>1645</v>
      </c>
      <c r="CF212" s="13" t="n">
        <v>1.27</v>
      </c>
      <c r="CG212" s="13" t="n">
        <v>2096</v>
      </c>
      <c r="CH212" s="13" t="n">
        <v>265</v>
      </c>
      <c r="CI212" s="13" t="n">
        <v>95</v>
      </c>
      <c r="CJ212" s="13" t="n">
        <v>52</v>
      </c>
      <c r="CK212" s="13" t="n">
        <v>333</v>
      </c>
      <c r="CL212" s="13" t="n">
        <v>22</v>
      </c>
      <c r="CM212" s="13" t="n">
        <v>265</v>
      </c>
      <c r="CN212" s="13" t="n">
        <v>0.425</v>
      </c>
      <c r="CO212" s="13" t="n">
        <v>160</v>
      </c>
      <c r="CP212" s="13" t="n">
        <v>145</v>
      </c>
      <c r="CQ212" s="13" t="n">
        <v>173</v>
      </c>
      <c r="CR212" s="13" t="n">
        <v>4</v>
      </c>
      <c r="CS212" s="13" t="n">
        <v>9.6</v>
      </c>
      <c r="CT212" s="11" t="inlineStr">
        <is>
          <t xml:space="preserve"> Resort Freeride</t>
        </is>
      </c>
      <c r="CU212" s="11" t="inlineStr">
        <is>
          <t xml:space="preserve"> Powder</t>
        </is>
      </c>
      <c r="CV212" s="11" t="inlineStr">
        <is>
          <t xml:space="preserve"> Touring</t>
        </is>
      </c>
      <c r="CW212" s="11" t="inlineStr">
        <is>
          <t xml:space="preserve"> Ultralight Touring</t>
        </is>
      </c>
      <c r="CX212">
        <f>INDEX('Data_Price '!AG$2:AG$1266,MATCH(Data!$DN212,'Data_Price '!$AT$2:$AT$1266,0))</f>
        <v/>
      </c>
      <c r="CY212">
        <f>INDEX('Data_Price '!AH$2:AH$1266,MATCH(Data!$DN212,'Data_Price '!$AT$2:$AT$1266,0))</f>
        <v/>
      </c>
      <c r="CZ212">
        <f>INDEX('Data_Price '!AI$2:AI$1266,MATCH(Data!$DN212,'Data_Price '!$AT$2:$AT$1266,0))</f>
        <v/>
      </c>
      <c r="DA212">
        <f>INDEX('Data_Price '!AJ$2:AJ$1266,MATCH(Data!$DN212,'Data_Price '!$AT$2:$AT$1266,0))</f>
        <v/>
      </c>
      <c r="DB212">
        <f>INDEX('Data_Price '!AK$2:AK$1266,MATCH(Data!$DN212,'Data_Price '!$AT$2:$AT$1266,0))</f>
        <v/>
      </c>
      <c r="DC212">
        <f>INDEX('Data_Price '!AL$2:AL$1266,MATCH(Data!$DN212,'Data_Price '!$AT$2:$AT$1266,0))</f>
        <v/>
      </c>
      <c r="DD212">
        <f>INDEX('Data_Price '!AM$2:AM$1266,MATCH(Data!$DN212,'Data_Price '!$AT$2:$AT$1266,0))</f>
        <v/>
      </c>
      <c r="DE212">
        <f>INDEX('Data_Price '!AN$2:AN$1266,MATCH(Data!$DN212,'Data_Price '!$AT$2:$AT$1266,0))</f>
        <v/>
      </c>
      <c r="DF212">
        <f>INDEX('Data_Price '!AO$2:AO$1266,MATCH(Data!$DN212,'Data_Price '!$AT$2:$AT$1266,0))</f>
        <v/>
      </c>
      <c r="DG212">
        <f>INDEX('Data_Price '!AP$2:AP$1266,MATCH(Data!$DN212,'Data_Price '!$AT$2:$AT$1266,0))</f>
        <v/>
      </c>
      <c r="DH212">
        <f>INDEX('Data_Price '!AQ$2:AQ$1266,MATCH(Data!$DN212,'Data_Price '!$AT$2:$AT$1266,0))</f>
        <v/>
      </c>
      <c r="DI212">
        <f>INDEX('Data_Price '!AR$2:AR$1266,MATCH(Data!$DN212,'Data_Price '!$AT$2:$AT$1266,0))</f>
        <v/>
      </c>
      <c r="DJ212" s="138">
        <f>DA212</f>
        <v/>
      </c>
      <c r="DK212" s="138">
        <f>DE212</f>
        <v/>
      </c>
      <c r="DL212" s="138">
        <f>DI212</f>
        <v/>
      </c>
      <c r="DM212" s="303">
        <f>IF(LEFT(BT212,1)=" ",RIGHT(BT212,LEN(BT212)-1),BT212)</f>
        <v/>
      </c>
      <c r="DN212" s="138">
        <f>_xlfn.CONCAT(BS212,DM212,BU212,BV212)</f>
        <v/>
      </c>
      <c r="DO212" s="307" t="inlineStr">
        <is>
          <t>https://images.evo.com/imgp/250/197481/783558/blizzard-zero-g-105-skis-2022-.jpg</t>
        </is>
      </c>
    </row>
    <row r="213" ht="15.6" customHeight="1" s="184">
      <c r="B213" s="303">
        <f t="array" ref="B213">IF(OR(ISERROR(K213:P213)),FALSE,TRUE)</f>
        <v/>
      </c>
      <c r="C213" s="60">
        <f>OR(BR213=Driver!$G$50,Data!BR623=Driver!$H$50)</f>
        <v/>
      </c>
      <c r="D213" s="60">
        <f>OR(BV213=Driver!$G$51,BV213=Driver!$H$51)</f>
        <v/>
      </c>
      <c r="E213" s="60">
        <f>AND(BX213&gt;Driver!$F$54,BX213&lt;Driver!$G$54)</f>
        <v/>
      </c>
      <c r="F213" s="60">
        <f>CL213&gt;Driver!$F$56</f>
        <v/>
      </c>
      <c r="G213" s="60">
        <f>AND(CB213&gt;Driver!$F$55,CB213&lt;Driver!$G$55)</f>
        <v/>
      </c>
      <c r="H213" s="60">
        <f>AND(B213:G213)</f>
        <v/>
      </c>
      <c r="I213" s="60">
        <f>COUNTIFS($H$9:$H$1273,TRUE,$BT$9:$BT$1273,BT213)</f>
        <v/>
      </c>
      <c r="J213" s="60">
        <f t="array" ref="J213">NOT(OR(($H$9:$H$1273=TRUE)*($I$9:$I$1273&gt;0)*($BT$9:$BT$1273=BT213)*($K$9:$K$1273&gt;K213)))</f>
        <v/>
      </c>
      <c r="K213" s="108">
        <f>IFERROR(1-AVERAGE(X213:Y213),"")</f>
        <v/>
      </c>
      <c r="L213" s="108">
        <f>1-X213</f>
        <v/>
      </c>
      <c r="M213" s="108">
        <f>1-Y213</f>
        <v/>
      </c>
      <c r="N213" s="108">
        <f>1-Z213</f>
        <v/>
      </c>
      <c r="O213" s="108">
        <f>1-AA213</f>
        <v/>
      </c>
      <c r="P213" s="108">
        <f>1-AB213</f>
        <v/>
      </c>
      <c r="Q213" s="108" t="n"/>
      <c r="R213" s="108" t="n"/>
      <c r="S213" s="108">
        <f>1-AE213</f>
        <v/>
      </c>
      <c r="T213" s="108">
        <f>1-AF213</f>
        <v/>
      </c>
      <c r="U213" s="108">
        <f>1-AG213</f>
        <v/>
      </c>
      <c r="V213" s="108">
        <f>1-AH213</f>
        <v/>
      </c>
      <c r="W213" s="108">
        <f>1-AI213</f>
        <v/>
      </c>
      <c r="X213" s="108">
        <f>ABS(AJ213-AJ$1)</f>
        <v/>
      </c>
      <c r="Y213" s="108">
        <f>AVERAGE(Z213:AB213)</f>
        <v/>
      </c>
      <c r="Z213" s="108">
        <f>ABS(AL213-AL$1)</f>
        <v/>
      </c>
      <c r="AA213" s="108">
        <f>ABS(AM213-AM$1)</f>
        <v/>
      </c>
      <c r="AB213" s="108">
        <f>ABS(AN213-AN$1)</f>
        <v/>
      </c>
      <c r="AC213" s="108" t="n"/>
      <c r="AD213" s="108" t="n"/>
      <c r="AE213" s="108">
        <f>ABS(AQ$1-AQ213)</f>
        <v/>
      </c>
      <c r="AF213" s="108">
        <f>ABS(AR$1-AR213)</f>
        <v/>
      </c>
      <c r="AG213" s="108">
        <f>ABS(AS$1-AS213)</f>
        <v/>
      </c>
      <c r="AH213" s="108">
        <f>ABS(AT$1-AT213)</f>
        <v/>
      </c>
      <c r="AI213" s="108">
        <f>ABS(AU$1-AU213)</f>
        <v/>
      </c>
      <c r="AJ213" s="108">
        <f>(AV213-Driver!$K$179)/(Driver!$L$179-Driver!$K$179)</f>
        <v/>
      </c>
      <c r="AK213" s="108">
        <f>(AW213-Driver!$K$180)/(Driver!$L$180-Driver!$K$180)</f>
        <v/>
      </c>
      <c r="AL213" s="108">
        <f>(AX213-Driver!$K$181)/(Driver!$L$181-Driver!$K$181)</f>
        <v/>
      </c>
      <c r="AM213" s="108">
        <f>(AY213-Driver!$K$182)/(Driver!$L$182-Driver!$K$182)</f>
        <v/>
      </c>
      <c r="AN213" s="108">
        <f>(AZ213-Driver!$K$183)/(Driver!$L$183-Driver!$K$183)</f>
        <v/>
      </c>
      <c r="AO213" s="108" t="n"/>
      <c r="AP213" s="108" t="n"/>
      <c r="AQ213" s="108">
        <f>(BC213-Driver!$K$188)/(Driver!$L$188-Driver!$K$188)</f>
        <v/>
      </c>
      <c r="AR213" s="108">
        <f>MIN((BD213-Driver!$K$189)/(Driver!$L$189-Driver!$K$189),100%)</f>
        <v/>
      </c>
      <c r="AS213" s="108">
        <f>(BE213-Driver!$K$190)/(Driver!$L$190-Driver!$K$190)</f>
        <v/>
      </c>
      <c r="AT213" s="108">
        <f>(BF213-Driver!$K$191)/(Driver!$L$191-Driver!$K$191)</f>
        <v/>
      </c>
      <c r="AU213" s="108">
        <f>(BG213-Driver!$K$192)/(Driver!$L$192-Driver!$K$192)</f>
        <v/>
      </c>
      <c r="AV213" s="105">
        <f>IFERROR(BM213*BJ213^1/4,"")</f>
        <v/>
      </c>
      <c r="AW213" s="105">
        <f>IFERROR(SUM(AX213:AZ213),"")</f>
        <v/>
      </c>
      <c r="AX213" s="105">
        <f>IFERROR(BH213,"")</f>
        <v/>
      </c>
      <c r="AY213" s="105">
        <f>IFERROR(Driver!$K$19/Data!BH213/Data!BI213*Data!BK213*Data!BL213,"")</f>
        <v/>
      </c>
      <c r="AZ213" s="105">
        <f>IFERROR(BI213*BN213,"")</f>
        <v/>
      </c>
      <c r="BA213" s="105" t="n"/>
      <c r="BB213" s="105" t="n"/>
      <c r="BC213" s="105">
        <f>IFERROR(BI213*BN213*BK213/BJ213^(1/2),"")</f>
        <v/>
      </c>
      <c r="BD213" s="105">
        <f>IFERROR(BH213*BM213*BL213/BJ213/BK213,"")</f>
        <v/>
      </c>
      <c r="BE213" s="105">
        <f>IFERROR(MIN(BI213/BQ213/BP213/BO213/BH213,$BE$1),"")</f>
        <v/>
      </c>
      <c r="BF213" s="105">
        <f>IFERROR(BJ213*BO213*BP213/BK213,"")</f>
        <v/>
      </c>
      <c r="BG213" s="105">
        <f>IFERROR(1/BM213/BH213*BQ213,"")</f>
        <v/>
      </c>
      <c r="BH213" s="102">
        <f>MAX((CE213-Driver!$F$200)/(Driver!$G$200-Driver!$F$200)*$BI$1,1)</f>
        <v/>
      </c>
      <c r="BI213" s="102">
        <f>MAX($BI$1*(BY213-Driver!$F$201)/(Driver!$G$201-Driver!$F$201),1)</f>
        <v/>
      </c>
      <c r="BJ213" s="102">
        <f>(CB213-Driver!$F$206)/(Driver!$G$206-Driver!$F$206)*$BI$1</f>
        <v/>
      </c>
      <c r="BK213" s="102">
        <f>(CD213-Driver!$F$203)/(Driver!$G$203-Driver!$F$203)*$BI$1</f>
        <v/>
      </c>
      <c r="BL213" s="102">
        <f>MAX((CR213-Driver!$F$202)/(Driver!$G$202-Driver!$F$202)*$BI$1,1)</f>
        <v/>
      </c>
      <c r="BM213" s="102">
        <f>MAX((CH213-Driver!$F$204)/(Driver!$G$204-Driver!$F$204)*$BI$1,1)</f>
        <v/>
      </c>
      <c r="BN213" s="102">
        <f>(CI213-Driver!$F$205)/(Driver!$G$205-Driver!$F$205)*$BI$1</f>
        <v/>
      </c>
      <c r="BO213" s="102">
        <f>(CK213-Driver!$F$207)/(Driver!$G$207-Driver!$F$207)*$BI$1</f>
        <v/>
      </c>
      <c r="BP213" s="102">
        <f>(CM213-Driver!$F$208)/(Driver!$G$208-Driver!$F$208)*$BI$1</f>
        <v/>
      </c>
      <c r="BQ213" s="102">
        <f>(CL213-Driver!$F$209)/(Driver!$G$209-Driver!$F$209)*$BI$1</f>
        <v/>
      </c>
      <c r="BR213" s="40" t="inlineStr">
        <is>
          <t>21/22</t>
        </is>
      </c>
      <c r="BS213" s="10" t="inlineStr">
        <is>
          <t xml:space="preserve"> Head</t>
        </is>
      </c>
      <c r="BT213" s="11" t="inlineStr">
        <is>
          <t>Kore 93</t>
        </is>
      </c>
      <c r="BU213" s="13" t="n">
        <v>177</v>
      </c>
      <c r="BV213" s="11" t="inlineStr">
        <is>
          <t xml:space="preserve"> Unisex</t>
        </is>
      </c>
      <c r="BW213" s="13" t="n">
        <v>177</v>
      </c>
      <c r="BX213" s="13" t="n">
        <v>176.3</v>
      </c>
      <c r="BY213" s="13" t="n">
        <v>138</v>
      </c>
      <c r="BZ213" s="13" t="n">
        <v>146</v>
      </c>
      <c r="CA213" s="13" t="n">
        <v>132</v>
      </c>
      <c r="CB213" s="13" t="n">
        <v>92</v>
      </c>
      <c r="CC213" s="13" t="n">
        <v>114</v>
      </c>
      <c r="CD213" s="13" t="n">
        <v>16.4</v>
      </c>
      <c r="CE213" s="13" t="n">
        <v>1660</v>
      </c>
      <c r="CF213" s="13" t="n">
        <v>1.11</v>
      </c>
      <c r="CG213" s="13" t="n">
        <v>1844</v>
      </c>
      <c r="CH213" s="13" t="n">
        <v>257</v>
      </c>
      <c r="CI213" s="13" t="n">
        <v>119</v>
      </c>
      <c r="CJ213" s="13" t="n">
        <v>50</v>
      </c>
      <c r="CK213" s="13" t="n">
        <v>221</v>
      </c>
      <c r="CL213" s="13" t="n">
        <v>15</v>
      </c>
      <c r="CM213" s="13" t="n">
        <v>160</v>
      </c>
      <c r="CN213" s="13" t="n">
        <v>0.299</v>
      </c>
      <c r="CO213" s="13" t="n">
        <v>147</v>
      </c>
      <c r="CP213" s="13" t="n">
        <v>151</v>
      </c>
      <c r="CQ213" s="13" t="n">
        <v>74</v>
      </c>
      <c r="CR213" s="13" t="n">
        <v>8</v>
      </c>
      <c r="CS213" s="13" t="n">
        <v>10.2</v>
      </c>
      <c r="CT213" s="11" t="inlineStr">
        <is>
          <t xml:space="preserve"> Resort Freeride</t>
        </is>
      </c>
      <c r="CU213" s="11" t="inlineStr">
        <is>
          <t xml:space="preserve"> Touring</t>
        </is>
      </c>
      <c r="CV213" s="13" t="n"/>
      <c r="CW213" s="13" t="n"/>
      <c r="CX213">
        <f>INDEX('Data_Price '!AG$2:AG$1266,MATCH(Data!$DN213,'Data_Price '!$AT$2:$AT$1266,0))</f>
        <v/>
      </c>
      <c r="CY213">
        <f>INDEX('Data_Price '!AH$2:AH$1266,MATCH(Data!$DN213,'Data_Price '!$AT$2:$AT$1266,0))</f>
        <v/>
      </c>
      <c r="CZ213">
        <f>INDEX('Data_Price '!AI$2:AI$1266,MATCH(Data!$DN213,'Data_Price '!$AT$2:$AT$1266,0))</f>
        <v/>
      </c>
      <c r="DA213">
        <f>INDEX('Data_Price '!AJ$2:AJ$1266,MATCH(Data!$DN213,'Data_Price '!$AT$2:$AT$1266,0))</f>
        <v/>
      </c>
      <c r="DB213">
        <f>INDEX('Data_Price '!AK$2:AK$1266,MATCH(Data!$DN213,'Data_Price '!$AT$2:$AT$1266,0))</f>
        <v/>
      </c>
      <c r="DC213">
        <f>INDEX('Data_Price '!AL$2:AL$1266,MATCH(Data!$DN213,'Data_Price '!$AT$2:$AT$1266,0))</f>
        <v/>
      </c>
      <c r="DD213">
        <f>INDEX('Data_Price '!AM$2:AM$1266,MATCH(Data!$DN213,'Data_Price '!$AT$2:$AT$1266,0))</f>
        <v/>
      </c>
      <c r="DE213">
        <f>INDEX('Data_Price '!AN$2:AN$1266,MATCH(Data!$DN213,'Data_Price '!$AT$2:$AT$1266,0))</f>
        <v/>
      </c>
      <c r="DF213">
        <f>INDEX('Data_Price '!AO$2:AO$1266,MATCH(Data!$DN213,'Data_Price '!$AT$2:$AT$1266,0))</f>
        <v/>
      </c>
      <c r="DG213">
        <f>INDEX('Data_Price '!AP$2:AP$1266,MATCH(Data!$DN213,'Data_Price '!$AT$2:$AT$1266,0))</f>
        <v/>
      </c>
      <c r="DH213">
        <f>INDEX('Data_Price '!AQ$2:AQ$1266,MATCH(Data!$DN213,'Data_Price '!$AT$2:$AT$1266,0))</f>
        <v/>
      </c>
      <c r="DI213">
        <f>INDEX('Data_Price '!AR$2:AR$1266,MATCH(Data!$DN213,'Data_Price '!$AT$2:$AT$1266,0))</f>
        <v/>
      </c>
      <c r="DJ213" s="138">
        <f>DA213</f>
        <v/>
      </c>
      <c r="DK213" s="138">
        <f>DE213</f>
        <v/>
      </c>
      <c r="DL213" s="138">
        <f>DI213</f>
        <v/>
      </c>
      <c r="DM213" s="303">
        <f>IF(LEFT(BT213,1)=" ",RIGHT(BT213,LEN(BT213)-1),BT213)</f>
        <v/>
      </c>
      <c r="DN213" s="138">
        <f>_xlfn.CONCAT(BS213,DM213,BU213,BV213)</f>
        <v/>
      </c>
      <c r="DO213" s="307" t="inlineStr">
        <is>
          <t>https://images.evo.com/imgp/250/208274/832642/clone.jpg</t>
        </is>
      </c>
    </row>
    <row r="214" ht="15.6" customHeight="1" s="184">
      <c r="B214" s="303">
        <f t="array" ref="B214">IF(OR(ISERROR(K214:P214)),FALSE,TRUE)</f>
        <v/>
      </c>
      <c r="C214" s="60">
        <f>OR(BR214=Driver!$G$50,Data!BR504=Driver!$H$50)</f>
        <v/>
      </c>
      <c r="D214" s="60">
        <f>OR(BV214=Driver!$G$51,BV214=Driver!$H$51)</f>
        <v/>
      </c>
      <c r="E214" s="60">
        <f>AND(BX214&gt;Driver!$F$54,BX214&lt;Driver!$G$54)</f>
        <v/>
      </c>
      <c r="F214" s="60">
        <f>CL214&gt;Driver!$F$56</f>
        <v/>
      </c>
      <c r="G214" s="60">
        <f>AND(CB214&gt;Driver!$F$55,CB214&lt;Driver!$G$55)</f>
        <v/>
      </c>
      <c r="H214" s="60">
        <f>AND(B214:G214)</f>
        <v/>
      </c>
      <c r="I214" s="60">
        <f>COUNTIFS($H$9:$H$1273,TRUE,$BT$9:$BT$1273,BT214)</f>
        <v/>
      </c>
      <c r="J214" s="60">
        <f t="array" ref="J214">NOT(OR(($H$9:$H$1273=TRUE)*($I$9:$I$1273&gt;0)*($BT$9:$BT$1273=BT214)*($K$9:$K$1273&gt;K214)))</f>
        <v/>
      </c>
      <c r="K214" s="108">
        <f>IFERROR(1-AVERAGE(X214:Y214),"")</f>
        <v/>
      </c>
      <c r="L214" s="108">
        <f>1-X214</f>
        <v/>
      </c>
      <c r="M214" s="108">
        <f>1-Y214</f>
        <v/>
      </c>
      <c r="N214" s="108">
        <f>1-Z214</f>
        <v/>
      </c>
      <c r="O214" s="108">
        <f>1-AA214</f>
        <v/>
      </c>
      <c r="P214" s="108">
        <f>1-AB214</f>
        <v/>
      </c>
      <c r="Q214" s="108" t="n"/>
      <c r="R214" s="108" t="n"/>
      <c r="S214" s="108">
        <f>1-AE214</f>
        <v/>
      </c>
      <c r="T214" s="108">
        <f>1-AF214</f>
        <v/>
      </c>
      <c r="U214" s="108">
        <f>1-AG214</f>
        <v/>
      </c>
      <c r="V214" s="108">
        <f>1-AH214</f>
        <v/>
      </c>
      <c r="W214" s="108">
        <f>1-AI214</f>
        <v/>
      </c>
      <c r="X214" s="108">
        <f>ABS(AJ214-AJ$1)</f>
        <v/>
      </c>
      <c r="Y214" s="108">
        <f>AVERAGE(Z214:AB214)</f>
        <v/>
      </c>
      <c r="Z214" s="108">
        <f>ABS(AL214-AL$1)</f>
        <v/>
      </c>
      <c r="AA214" s="108">
        <f>ABS(AM214-AM$1)</f>
        <v/>
      </c>
      <c r="AB214" s="108">
        <f>ABS(AN214-AN$1)</f>
        <v/>
      </c>
      <c r="AC214" s="108" t="n"/>
      <c r="AD214" s="108" t="n"/>
      <c r="AE214" s="108">
        <f>ABS(AQ$1-AQ214)</f>
        <v/>
      </c>
      <c r="AF214" s="108">
        <f>ABS(AR$1-AR214)</f>
        <v/>
      </c>
      <c r="AG214" s="108">
        <f>ABS(AS$1-AS214)</f>
        <v/>
      </c>
      <c r="AH214" s="108">
        <f>ABS(AT$1-AT214)</f>
        <v/>
      </c>
      <c r="AI214" s="108">
        <f>ABS(AU$1-AU214)</f>
        <v/>
      </c>
      <c r="AJ214" s="108">
        <f>(AV214-Driver!$K$179)/(Driver!$L$179-Driver!$K$179)</f>
        <v/>
      </c>
      <c r="AK214" s="108">
        <f>(AW214-Driver!$K$180)/(Driver!$L$180-Driver!$K$180)</f>
        <v/>
      </c>
      <c r="AL214" s="108">
        <f>(AX214-Driver!$K$181)/(Driver!$L$181-Driver!$K$181)</f>
        <v/>
      </c>
      <c r="AM214" s="108">
        <f>(AY214-Driver!$K$182)/(Driver!$L$182-Driver!$K$182)</f>
        <v/>
      </c>
      <c r="AN214" s="108">
        <f>(AZ214-Driver!$K$183)/(Driver!$L$183-Driver!$K$183)</f>
        <v/>
      </c>
      <c r="AO214" s="108" t="n"/>
      <c r="AP214" s="108" t="n"/>
      <c r="AQ214" s="108">
        <f>(BC214-Driver!$K$188)/(Driver!$L$188-Driver!$K$188)</f>
        <v/>
      </c>
      <c r="AR214" s="108">
        <f>MIN((BD214-Driver!$K$189)/(Driver!$L$189-Driver!$K$189),100%)</f>
        <v/>
      </c>
      <c r="AS214" s="108">
        <f>(BE214-Driver!$K$190)/(Driver!$L$190-Driver!$K$190)</f>
        <v/>
      </c>
      <c r="AT214" s="108">
        <f>(BF214-Driver!$K$191)/(Driver!$L$191-Driver!$K$191)</f>
        <v/>
      </c>
      <c r="AU214" s="108">
        <f>(BG214-Driver!$K$192)/(Driver!$L$192-Driver!$K$192)</f>
        <v/>
      </c>
      <c r="AV214" s="105">
        <f>IFERROR(BM214*BJ214^1/4,"")</f>
        <v/>
      </c>
      <c r="AW214" s="105">
        <f>IFERROR(SUM(AX214:AZ214),"")</f>
        <v/>
      </c>
      <c r="AX214" s="105">
        <f>IFERROR(BH214,"")</f>
        <v/>
      </c>
      <c r="AY214" s="105">
        <f>IFERROR(Driver!$K$19/Data!BH214/Data!BI214*Data!BK214*Data!BL214,"")</f>
        <v/>
      </c>
      <c r="AZ214" s="105">
        <f>IFERROR(BI214*BN214,"")</f>
        <v/>
      </c>
      <c r="BA214" s="105" t="n"/>
      <c r="BB214" s="105" t="n"/>
      <c r="BC214" s="105">
        <f>IFERROR(BI214*BN214*BK214/BJ214^(1/2),"")</f>
        <v/>
      </c>
      <c r="BD214" s="105">
        <f>IFERROR(BH214*BM214*BL214/BJ214/BK214,"")</f>
        <v/>
      </c>
      <c r="BE214" s="105">
        <f>IFERROR(MIN(BI214/BQ214/BP214/BO214/BH214,$BE$1),"")</f>
        <v/>
      </c>
      <c r="BF214" s="105">
        <f>IFERROR(BJ214*BO214*BP214/BK214,"")</f>
        <v/>
      </c>
      <c r="BG214" s="105">
        <f>IFERROR(1/BM214/BH214*BQ214,"")</f>
        <v/>
      </c>
      <c r="BH214" s="102">
        <f>MAX((CE214-Driver!$F$200)/(Driver!$G$200-Driver!$F$200)*$BI$1,1)</f>
        <v/>
      </c>
      <c r="BI214" s="102">
        <f>MAX($BI$1*(BY214-Driver!$F$201)/(Driver!$G$201-Driver!$F$201),1)</f>
        <v/>
      </c>
      <c r="BJ214" s="102">
        <f>(CB214-Driver!$F$206)/(Driver!$G$206-Driver!$F$206)*$BI$1</f>
        <v/>
      </c>
      <c r="BK214" s="102">
        <f>(CD214-Driver!$F$203)/(Driver!$G$203-Driver!$F$203)*$BI$1</f>
        <v/>
      </c>
      <c r="BL214" s="102">
        <f>MAX((CR214-Driver!$F$202)/(Driver!$G$202-Driver!$F$202)*$BI$1,1)</f>
        <v/>
      </c>
      <c r="BM214" s="102">
        <f>MAX((CH214-Driver!$F$204)/(Driver!$G$204-Driver!$F$204)*$BI$1,1)</f>
        <v/>
      </c>
      <c r="BN214" s="102">
        <f>(CI214-Driver!$F$205)/(Driver!$G$205-Driver!$F$205)*$BI$1</f>
        <v/>
      </c>
      <c r="BO214" s="102">
        <f>(CK214-Driver!$F$207)/(Driver!$G$207-Driver!$F$207)*$BI$1</f>
        <v/>
      </c>
      <c r="BP214" s="102">
        <f>(CM214-Driver!$F$208)/(Driver!$G$208-Driver!$F$208)*$BI$1</f>
        <v/>
      </c>
      <c r="BQ214" s="102">
        <f>(CL214-Driver!$F$209)/(Driver!$G$209-Driver!$F$209)*$BI$1</f>
        <v/>
      </c>
      <c r="BR214" s="40" t="inlineStr">
        <is>
          <t>21/22</t>
        </is>
      </c>
      <c r="BS214" s="10" t="inlineStr">
        <is>
          <t xml:space="preserve"> Faction</t>
        </is>
      </c>
      <c r="BT214" s="11" t="inlineStr">
        <is>
          <t>CT 2.0</t>
        </is>
      </c>
      <c r="BU214" s="13" t="n">
        <v>183</v>
      </c>
      <c r="BV214" s="11" t="inlineStr">
        <is>
          <t xml:space="preserve"> Unisex</t>
        </is>
      </c>
      <c r="BW214" s="13" t="n">
        <v>183</v>
      </c>
      <c r="BX214" s="13" t="n">
        <v>181.1</v>
      </c>
      <c r="BY214" s="13" t="n">
        <v>120</v>
      </c>
      <c r="BZ214" s="13" t="n">
        <v>154</v>
      </c>
      <c r="CA214" s="13" t="n">
        <v>131</v>
      </c>
      <c r="CB214" s="13" t="n">
        <v>101</v>
      </c>
      <c r="CC214" s="13" t="n">
        <v>127</v>
      </c>
      <c r="CD214" s="13" t="n">
        <v>20.7</v>
      </c>
      <c r="CE214" s="13" t="n">
        <v>1912</v>
      </c>
      <c r="CF214" s="13" t="n">
        <v>1.06</v>
      </c>
      <c r="CG214" s="13" t="n">
        <v>2023</v>
      </c>
      <c r="CH214" s="13" t="n">
        <v>245</v>
      </c>
      <c r="CI214" s="13" t="n">
        <v>102</v>
      </c>
      <c r="CJ214" s="13" t="n">
        <v>54</v>
      </c>
      <c r="CK214" s="13" t="n">
        <v>320</v>
      </c>
      <c r="CL214" s="13" t="n">
        <v>49</v>
      </c>
      <c r="CM214" s="13" t="n">
        <v>291</v>
      </c>
      <c r="CN214" s="13" t="n">
        <v>0.909</v>
      </c>
      <c r="CO214" s="13" t="n">
        <v>143</v>
      </c>
      <c r="CP214" s="13" t="n">
        <v>130</v>
      </c>
      <c r="CQ214" s="13" t="n">
        <v>177</v>
      </c>
      <c r="CR214" s="13" t="n">
        <v>6</v>
      </c>
      <c r="CS214" s="13" t="n">
        <v>4.1</v>
      </c>
      <c r="CT214" s="11" t="inlineStr">
        <is>
          <t xml:space="preserve"> Freeski</t>
        </is>
      </c>
      <c r="CU214" s="11" t="inlineStr">
        <is>
          <t xml:space="preserve"> Powder</t>
        </is>
      </c>
      <c r="CV214" s="11" t="inlineStr">
        <is>
          <t xml:space="preserve"> Touring</t>
        </is>
      </c>
      <c r="CW214" s="13" t="n"/>
      <c r="CX214">
        <f>INDEX('Data_Price '!AG$2:AG$1266,MATCH(Data!$DN214,'Data_Price '!$AT$2:$AT$1266,0))</f>
        <v/>
      </c>
      <c r="CY214">
        <f>INDEX('Data_Price '!AH$2:AH$1266,MATCH(Data!$DN214,'Data_Price '!$AT$2:$AT$1266,0))</f>
        <v/>
      </c>
      <c r="CZ214">
        <f>INDEX('Data_Price '!AI$2:AI$1266,MATCH(Data!$DN214,'Data_Price '!$AT$2:$AT$1266,0))</f>
        <v/>
      </c>
      <c r="DA214">
        <f>INDEX('Data_Price '!AJ$2:AJ$1266,MATCH(Data!$DN214,'Data_Price '!$AT$2:$AT$1266,0))</f>
        <v/>
      </c>
      <c r="DB214">
        <f>INDEX('Data_Price '!AK$2:AK$1266,MATCH(Data!$DN214,'Data_Price '!$AT$2:$AT$1266,0))</f>
        <v/>
      </c>
      <c r="DC214">
        <f>INDEX('Data_Price '!AL$2:AL$1266,MATCH(Data!$DN214,'Data_Price '!$AT$2:$AT$1266,0))</f>
        <v/>
      </c>
      <c r="DD214">
        <f>INDEX('Data_Price '!AM$2:AM$1266,MATCH(Data!$DN214,'Data_Price '!$AT$2:$AT$1266,0))</f>
        <v/>
      </c>
      <c r="DE214">
        <f>INDEX('Data_Price '!AN$2:AN$1266,MATCH(Data!$DN214,'Data_Price '!$AT$2:$AT$1266,0))</f>
        <v/>
      </c>
      <c r="DF214">
        <f>INDEX('Data_Price '!AO$2:AO$1266,MATCH(Data!$DN214,'Data_Price '!$AT$2:$AT$1266,0))</f>
        <v/>
      </c>
      <c r="DG214">
        <f>INDEX('Data_Price '!AP$2:AP$1266,MATCH(Data!$DN214,'Data_Price '!$AT$2:$AT$1266,0))</f>
        <v/>
      </c>
      <c r="DH214">
        <f>INDEX('Data_Price '!AQ$2:AQ$1266,MATCH(Data!$DN214,'Data_Price '!$AT$2:$AT$1266,0))</f>
        <v/>
      </c>
      <c r="DI214">
        <f>INDEX('Data_Price '!AR$2:AR$1266,MATCH(Data!$DN214,'Data_Price '!$AT$2:$AT$1266,0))</f>
        <v/>
      </c>
      <c r="DJ214" s="138">
        <f>DA214</f>
        <v/>
      </c>
      <c r="DK214" s="138">
        <f>DE214</f>
        <v/>
      </c>
      <c r="DL214" s="138">
        <f>DI214</f>
        <v/>
      </c>
      <c r="DM214" s="303">
        <f>IF(LEFT(BT214,1)=" ",RIGHT(BT214,LEN(BT214)-1),BT214)</f>
        <v/>
      </c>
      <c r="DN214" s="138">
        <f>_xlfn.CONCAT(BS214,DM214,BU214,BV214)</f>
        <v/>
      </c>
      <c r="DO214" s="307" t="inlineStr">
        <is>
          <t>https://images.evo.com/imgp/250/208622/839895/clone.jpg</t>
        </is>
      </c>
    </row>
    <row r="215" ht="15.6" customHeight="1" s="184">
      <c r="B215" s="303">
        <f t="array" ref="B215">IF(OR(ISERROR(K215:P215)),FALSE,TRUE)</f>
        <v/>
      </c>
      <c r="C215" s="60">
        <f>OR(BR215=Driver!$G$50,Data!BR251=Driver!$H$50)</f>
        <v/>
      </c>
      <c r="D215" s="60">
        <f>OR(BV215=Driver!$G$51,BV215=Driver!$H$51)</f>
        <v/>
      </c>
      <c r="E215" s="60">
        <f>AND(BX215&gt;Driver!$F$54,BX215&lt;Driver!$G$54)</f>
        <v/>
      </c>
      <c r="F215" s="60">
        <f>CL215&gt;Driver!$F$56</f>
        <v/>
      </c>
      <c r="G215" s="60">
        <f>AND(CB215&gt;Driver!$F$55,CB215&lt;Driver!$G$55)</f>
        <v/>
      </c>
      <c r="H215" s="60">
        <f>AND(B215:G215)</f>
        <v/>
      </c>
      <c r="I215" s="60">
        <f>COUNTIFS($H$9:$H$1273,TRUE,$BT$9:$BT$1273,BT215)</f>
        <v/>
      </c>
      <c r="J215" s="60">
        <f t="array" ref="J215">NOT(OR(($H$9:$H$1273=TRUE)*($I$9:$I$1273&gt;0)*($BT$9:$BT$1273=BT215)*($K$9:$K$1273&gt;K215)))</f>
        <v/>
      </c>
      <c r="K215" s="108">
        <f>IFERROR(1-AVERAGE(X215:Y215),"")</f>
        <v/>
      </c>
      <c r="L215" s="108">
        <f>1-X215</f>
        <v/>
      </c>
      <c r="M215" s="108">
        <f>1-Y215</f>
        <v/>
      </c>
      <c r="N215" s="108">
        <f>1-Z215</f>
        <v/>
      </c>
      <c r="O215" s="108">
        <f>1-AA215</f>
        <v/>
      </c>
      <c r="P215" s="108">
        <f>1-AB215</f>
        <v/>
      </c>
      <c r="Q215" s="108" t="n"/>
      <c r="R215" s="108" t="n"/>
      <c r="S215" s="108">
        <f>1-AE215</f>
        <v/>
      </c>
      <c r="T215" s="108">
        <f>1-AF215</f>
        <v/>
      </c>
      <c r="U215" s="108">
        <f>1-AG215</f>
        <v/>
      </c>
      <c r="V215" s="108">
        <f>1-AH215</f>
        <v/>
      </c>
      <c r="W215" s="108">
        <f>1-AI215</f>
        <v/>
      </c>
      <c r="X215" s="108">
        <f>ABS(AJ215-AJ$1)</f>
        <v/>
      </c>
      <c r="Y215" s="108">
        <f>AVERAGE(Z215:AB215)</f>
        <v/>
      </c>
      <c r="Z215" s="108">
        <f>ABS(AL215-AL$1)</f>
        <v/>
      </c>
      <c r="AA215" s="108">
        <f>ABS(AM215-AM$1)</f>
        <v/>
      </c>
      <c r="AB215" s="108">
        <f>ABS(AN215-AN$1)</f>
        <v/>
      </c>
      <c r="AC215" s="108" t="n"/>
      <c r="AD215" s="108" t="n"/>
      <c r="AE215" s="108">
        <f>ABS(AQ$1-AQ215)</f>
        <v/>
      </c>
      <c r="AF215" s="108">
        <f>ABS(AR$1-AR215)</f>
        <v/>
      </c>
      <c r="AG215" s="108">
        <f>ABS(AS$1-AS215)</f>
        <v/>
      </c>
      <c r="AH215" s="108">
        <f>ABS(AT$1-AT215)</f>
        <v/>
      </c>
      <c r="AI215" s="108">
        <f>ABS(AU$1-AU215)</f>
        <v/>
      </c>
      <c r="AJ215" s="108">
        <f>(AV215-Driver!$K$179)/(Driver!$L$179-Driver!$K$179)</f>
        <v/>
      </c>
      <c r="AK215" s="108">
        <f>(AW215-Driver!$K$180)/(Driver!$L$180-Driver!$K$180)</f>
        <v/>
      </c>
      <c r="AL215" s="108">
        <f>(AX215-Driver!$K$181)/(Driver!$L$181-Driver!$K$181)</f>
        <v/>
      </c>
      <c r="AM215" s="108">
        <f>(AY215-Driver!$K$182)/(Driver!$L$182-Driver!$K$182)</f>
        <v/>
      </c>
      <c r="AN215" s="108">
        <f>(AZ215-Driver!$K$183)/(Driver!$L$183-Driver!$K$183)</f>
        <v/>
      </c>
      <c r="AO215" s="108" t="n"/>
      <c r="AP215" s="108" t="n"/>
      <c r="AQ215" s="108">
        <f>(BC215-Driver!$K$188)/(Driver!$L$188-Driver!$K$188)</f>
        <v/>
      </c>
      <c r="AR215" s="108">
        <f>MIN((BD215-Driver!$K$189)/(Driver!$L$189-Driver!$K$189),100%)</f>
        <v/>
      </c>
      <c r="AS215" s="108">
        <f>(BE215-Driver!$K$190)/(Driver!$L$190-Driver!$K$190)</f>
        <v/>
      </c>
      <c r="AT215" s="108">
        <f>(BF215-Driver!$K$191)/(Driver!$L$191-Driver!$K$191)</f>
        <v/>
      </c>
      <c r="AU215" s="108">
        <f>(BG215-Driver!$K$192)/(Driver!$L$192-Driver!$K$192)</f>
        <v/>
      </c>
      <c r="AV215" s="105">
        <f>IFERROR(BM215*BJ215^1/4,"")</f>
        <v/>
      </c>
      <c r="AW215" s="105">
        <f>IFERROR(SUM(AX215:AZ215),"")</f>
        <v/>
      </c>
      <c r="AX215" s="105">
        <f>IFERROR(BH215,"")</f>
        <v/>
      </c>
      <c r="AY215" s="105">
        <f>IFERROR(Driver!$K$19/Data!BH215/Data!BI215*Data!BK215*Data!BL215,"")</f>
        <v/>
      </c>
      <c r="AZ215" s="105">
        <f>IFERROR(BI215*BN215,"")</f>
        <v/>
      </c>
      <c r="BA215" s="105" t="n"/>
      <c r="BB215" s="105" t="n"/>
      <c r="BC215" s="105">
        <f>IFERROR(BI215*BN215*BK215/BJ215^(1/2),"")</f>
        <v/>
      </c>
      <c r="BD215" s="105">
        <f>IFERROR(BH215*BM215*BL215/BJ215/BK215,"")</f>
        <v/>
      </c>
      <c r="BE215" s="105">
        <f>IFERROR(MIN(BI215/BQ215/BP215/BO215/BH215,$BE$1),"")</f>
        <v/>
      </c>
      <c r="BF215" s="105">
        <f>IFERROR(BJ215*BO215*BP215/BK215,"")</f>
        <v/>
      </c>
      <c r="BG215" s="105">
        <f>IFERROR(1/BM215/BH215*BQ215,"")</f>
        <v/>
      </c>
      <c r="BH215" s="102">
        <f>MAX((CE215-Driver!$F$200)/(Driver!$G$200-Driver!$F$200)*$BI$1,1)</f>
        <v/>
      </c>
      <c r="BI215" s="102">
        <f>MAX($BI$1*(BY215-Driver!$F$201)/(Driver!$G$201-Driver!$F$201),1)</f>
        <v/>
      </c>
      <c r="BJ215" s="102">
        <f>(CB215-Driver!$F$206)/(Driver!$G$206-Driver!$F$206)*$BI$1</f>
        <v/>
      </c>
      <c r="BK215" s="102">
        <f>(CD215-Driver!$F$203)/(Driver!$G$203-Driver!$F$203)*$BI$1</f>
        <v/>
      </c>
      <c r="BL215" s="102">
        <f>MAX((CR215-Driver!$F$202)/(Driver!$G$202-Driver!$F$202)*$BI$1,1)</f>
        <v/>
      </c>
      <c r="BM215" s="102">
        <f>MAX((CH215-Driver!$F$204)/(Driver!$G$204-Driver!$F$204)*$BI$1,1)</f>
        <v/>
      </c>
      <c r="BN215" s="102">
        <f>(CI215-Driver!$F$205)/(Driver!$G$205-Driver!$F$205)*$BI$1</f>
        <v/>
      </c>
      <c r="BO215" s="102">
        <f>(CK215-Driver!$F$207)/(Driver!$G$207-Driver!$F$207)*$BI$1</f>
        <v/>
      </c>
      <c r="BP215" s="102">
        <f>(CM215-Driver!$F$208)/(Driver!$G$208-Driver!$F$208)*$BI$1</f>
        <v/>
      </c>
      <c r="BQ215" s="102">
        <f>(CL215-Driver!$F$209)/(Driver!$G$209-Driver!$F$209)*$BI$1</f>
        <v/>
      </c>
      <c r="BR215" s="40" t="inlineStr">
        <is>
          <t>21/22</t>
        </is>
      </c>
      <c r="BS215" s="10" t="inlineStr">
        <is>
          <t xml:space="preserve"> Black Diamond</t>
        </is>
      </c>
      <c r="BT215" s="11" t="inlineStr">
        <is>
          <t>Impulse 98</t>
        </is>
      </c>
      <c r="BU215" s="13" t="n">
        <v>175</v>
      </c>
      <c r="BV215" s="11" t="inlineStr">
        <is>
          <t xml:space="preserve"> Unisex</t>
        </is>
      </c>
      <c r="BW215" s="13" t="n">
        <v>175</v>
      </c>
      <c r="BX215" s="13" t="n">
        <v>175.7</v>
      </c>
      <c r="BY215" s="13" t="n">
        <v>128</v>
      </c>
      <c r="BZ215" s="13" t="n">
        <v>141</v>
      </c>
      <c r="CA215" s="13" t="n">
        <v>130</v>
      </c>
      <c r="CB215" s="13" t="n">
        <v>97</v>
      </c>
      <c r="CC215" s="13" t="n">
        <v>118</v>
      </c>
      <c r="CD215" s="13" t="n">
        <v>16.8</v>
      </c>
      <c r="CE215" s="13" t="n">
        <v>1856</v>
      </c>
      <c r="CF215" s="13" t="n">
        <v>1.02</v>
      </c>
      <c r="CG215" s="13" t="n">
        <v>1896</v>
      </c>
      <c r="CH215" s="13" t="n">
        <v>212</v>
      </c>
      <c r="CI215" s="13" t="n">
        <v>85</v>
      </c>
      <c r="CJ215" s="13" t="n">
        <v>40</v>
      </c>
      <c r="CK215" s="13" t="n">
        <v>273</v>
      </c>
      <c r="CL215" s="13" t="n">
        <v>22</v>
      </c>
      <c r="CM215" s="13" t="n">
        <v>202</v>
      </c>
      <c r="CN215" s="13" t="n">
        <v>0.5610000000000001</v>
      </c>
      <c r="CO215" s="13" t="n">
        <v>217</v>
      </c>
      <c r="CP215" s="13" t="n">
        <v>131</v>
      </c>
      <c r="CQ215" s="13" t="n">
        <v>57</v>
      </c>
      <c r="CR215" s="13" t="n">
        <v>10</v>
      </c>
      <c r="CS215" s="13" t="n">
        <v>8.5</v>
      </c>
      <c r="CT215" s="11" t="inlineStr">
        <is>
          <t xml:space="preserve"> Resort Freeride</t>
        </is>
      </c>
      <c r="CU215" s="13" t="n"/>
      <c r="CV215" s="13" t="n"/>
      <c r="CW215" s="13" t="n"/>
      <c r="CX215">
        <f>INDEX('Data_Price '!AG$2:AG$1266,MATCH(Data!$DN215,'Data_Price '!$AT$2:$AT$1266,0))</f>
        <v/>
      </c>
      <c r="CY215">
        <f>INDEX('Data_Price '!AH$2:AH$1266,MATCH(Data!$DN215,'Data_Price '!$AT$2:$AT$1266,0))</f>
        <v/>
      </c>
      <c r="CZ215">
        <f>INDEX('Data_Price '!AI$2:AI$1266,MATCH(Data!$DN215,'Data_Price '!$AT$2:$AT$1266,0))</f>
        <v/>
      </c>
      <c r="DA215">
        <f>INDEX('Data_Price '!AJ$2:AJ$1266,MATCH(Data!$DN215,'Data_Price '!$AT$2:$AT$1266,0))</f>
        <v/>
      </c>
      <c r="DB215">
        <f>INDEX('Data_Price '!AK$2:AK$1266,MATCH(Data!$DN215,'Data_Price '!$AT$2:$AT$1266,0))</f>
        <v/>
      </c>
      <c r="DC215">
        <f>INDEX('Data_Price '!AL$2:AL$1266,MATCH(Data!$DN215,'Data_Price '!$AT$2:$AT$1266,0))</f>
        <v/>
      </c>
      <c r="DD215">
        <f>INDEX('Data_Price '!AM$2:AM$1266,MATCH(Data!$DN215,'Data_Price '!$AT$2:$AT$1266,0))</f>
        <v/>
      </c>
      <c r="DE215">
        <f>INDEX('Data_Price '!AN$2:AN$1266,MATCH(Data!$DN215,'Data_Price '!$AT$2:$AT$1266,0))</f>
        <v/>
      </c>
      <c r="DF215">
        <f>INDEX('Data_Price '!AO$2:AO$1266,MATCH(Data!$DN215,'Data_Price '!$AT$2:$AT$1266,0))</f>
        <v/>
      </c>
      <c r="DG215">
        <f>INDEX('Data_Price '!AP$2:AP$1266,MATCH(Data!$DN215,'Data_Price '!$AT$2:$AT$1266,0))</f>
        <v/>
      </c>
      <c r="DH215">
        <f>INDEX('Data_Price '!AQ$2:AQ$1266,MATCH(Data!$DN215,'Data_Price '!$AT$2:$AT$1266,0))</f>
        <v/>
      </c>
      <c r="DI215">
        <f>INDEX('Data_Price '!AR$2:AR$1266,MATCH(Data!$DN215,'Data_Price '!$AT$2:$AT$1266,0))</f>
        <v/>
      </c>
      <c r="DJ215" s="138">
        <f>DA215</f>
        <v/>
      </c>
      <c r="DK215" s="138">
        <f>DE215</f>
        <v/>
      </c>
      <c r="DL215" s="138">
        <f>DI215</f>
        <v/>
      </c>
      <c r="DM215" s="303">
        <f>IF(LEFT(BT215,1)=" ",RIGHT(BT215,LEN(BT215)-1),BT215)</f>
        <v/>
      </c>
      <c r="DN215" s="138">
        <f>_xlfn.CONCAT(BS215,DM215,BU215,BV215)</f>
        <v/>
      </c>
      <c r="DO215" s="307" t="inlineStr">
        <is>
          <t>https://images.evo.com/imgp/250/200509/836796/clone.jpg</t>
        </is>
      </c>
    </row>
    <row r="216" ht="15.6" customHeight="1" s="184">
      <c r="B216" s="303">
        <f t="array" ref="B216">IF(OR(ISERROR(K216:P216)),FALSE,TRUE)</f>
        <v/>
      </c>
      <c r="C216" s="60">
        <f>OR(BR216=Driver!$G$50,Data!BR914=Driver!$H$50)</f>
        <v/>
      </c>
      <c r="D216" s="60">
        <f>OR(BV216=Driver!$G$51,BV216=Driver!$H$51)</f>
        <v/>
      </c>
      <c r="E216" s="60">
        <f>AND(BX216&gt;Driver!$F$54,BX216&lt;Driver!$G$54)</f>
        <v/>
      </c>
      <c r="F216" s="60">
        <f>CL216&gt;Driver!$F$56</f>
        <v/>
      </c>
      <c r="G216" s="60">
        <f>AND(CB216&gt;Driver!$F$55,CB216&lt;Driver!$G$55)</f>
        <v/>
      </c>
      <c r="H216" s="60">
        <f>AND(B216:G216)</f>
        <v/>
      </c>
      <c r="I216" s="60">
        <f>COUNTIFS($H$9:$H$1273,TRUE,$BT$9:$BT$1273,BT216)</f>
        <v/>
      </c>
      <c r="J216" s="60">
        <f t="array" ref="J216">NOT(OR(($H$9:$H$1273=TRUE)*($I$9:$I$1273&gt;0)*($BT$9:$BT$1273=BT216)*($K$9:$K$1273&gt;K216)))</f>
        <v/>
      </c>
      <c r="K216" s="108">
        <f>IFERROR(1-AVERAGE(X216:Y216),"")</f>
        <v/>
      </c>
      <c r="L216" s="108">
        <f>1-X216</f>
        <v/>
      </c>
      <c r="M216" s="108">
        <f>1-Y216</f>
        <v/>
      </c>
      <c r="N216" s="108">
        <f>1-Z216</f>
        <v/>
      </c>
      <c r="O216" s="108">
        <f>1-AA216</f>
        <v/>
      </c>
      <c r="P216" s="108">
        <f>1-AB216</f>
        <v/>
      </c>
      <c r="Q216" s="108" t="n"/>
      <c r="R216" s="108" t="n"/>
      <c r="S216" s="108">
        <f>1-AE216</f>
        <v/>
      </c>
      <c r="T216" s="108">
        <f>1-AF216</f>
        <v/>
      </c>
      <c r="U216" s="108">
        <f>1-AG216</f>
        <v/>
      </c>
      <c r="V216" s="108">
        <f>1-AH216</f>
        <v/>
      </c>
      <c r="W216" s="108">
        <f>1-AI216</f>
        <v/>
      </c>
      <c r="X216" s="108">
        <f>ABS(AJ216-AJ$1)</f>
        <v/>
      </c>
      <c r="Y216" s="108">
        <f>AVERAGE(Z216:AB216)</f>
        <v/>
      </c>
      <c r="Z216" s="108">
        <f>ABS(AL216-AL$1)</f>
        <v/>
      </c>
      <c r="AA216" s="108">
        <f>ABS(AM216-AM$1)</f>
        <v/>
      </c>
      <c r="AB216" s="108">
        <f>ABS(AN216-AN$1)</f>
        <v/>
      </c>
      <c r="AC216" s="108" t="n"/>
      <c r="AD216" s="108" t="n"/>
      <c r="AE216" s="108">
        <f>ABS(AQ$1-AQ216)</f>
        <v/>
      </c>
      <c r="AF216" s="108">
        <f>ABS(AR$1-AR216)</f>
        <v/>
      </c>
      <c r="AG216" s="108">
        <f>ABS(AS$1-AS216)</f>
        <v/>
      </c>
      <c r="AH216" s="108">
        <f>ABS(AT$1-AT216)</f>
        <v/>
      </c>
      <c r="AI216" s="108">
        <f>ABS(AU$1-AU216)</f>
        <v/>
      </c>
      <c r="AJ216" s="108">
        <f>(AV216-Driver!$K$179)/(Driver!$L$179-Driver!$K$179)</f>
        <v/>
      </c>
      <c r="AK216" s="108">
        <f>(AW216-Driver!$K$180)/(Driver!$L$180-Driver!$K$180)</f>
        <v/>
      </c>
      <c r="AL216" s="108">
        <f>(AX216-Driver!$K$181)/(Driver!$L$181-Driver!$K$181)</f>
        <v/>
      </c>
      <c r="AM216" s="108">
        <f>(AY216-Driver!$K$182)/(Driver!$L$182-Driver!$K$182)</f>
        <v/>
      </c>
      <c r="AN216" s="108">
        <f>(AZ216-Driver!$K$183)/(Driver!$L$183-Driver!$K$183)</f>
        <v/>
      </c>
      <c r="AO216" s="108" t="n"/>
      <c r="AP216" s="108" t="n"/>
      <c r="AQ216" s="108">
        <f>(BC216-Driver!$K$188)/(Driver!$L$188-Driver!$K$188)</f>
        <v/>
      </c>
      <c r="AR216" s="108">
        <f>MIN((BD216-Driver!$K$189)/(Driver!$L$189-Driver!$K$189),100%)</f>
        <v/>
      </c>
      <c r="AS216" s="108">
        <f>(BE216-Driver!$K$190)/(Driver!$L$190-Driver!$K$190)</f>
        <v/>
      </c>
      <c r="AT216" s="108">
        <f>(BF216-Driver!$K$191)/(Driver!$L$191-Driver!$K$191)</f>
        <v/>
      </c>
      <c r="AU216" s="108">
        <f>(BG216-Driver!$K$192)/(Driver!$L$192-Driver!$K$192)</f>
        <v/>
      </c>
      <c r="AV216" s="105">
        <f>IFERROR(BM216*BJ216^1/4,"")</f>
        <v/>
      </c>
      <c r="AW216" s="105">
        <f>IFERROR(SUM(AX216:AZ216),"")</f>
        <v/>
      </c>
      <c r="AX216" s="105">
        <f>IFERROR(BH216,"")</f>
        <v/>
      </c>
      <c r="AY216" s="105">
        <f>IFERROR(Driver!$K$19/Data!BH216/Data!BI216*Data!BK216*Data!BL216,"")</f>
        <v/>
      </c>
      <c r="AZ216" s="105">
        <f>IFERROR(BI216*BN216,"")</f>
        <v/>
      </c>
      <c r="BA216" s="105" t="n"/>
      <c r="BB216" s="105" t="n"/>
      <c r="BC216" s="105">
        <f>IFERROR(BI216*BN216*BK216/BJ216^(1/2),"")</f>
        <v/>
      </c>
      <c r="BD216" s="105">
        <f>IFERROR(BH216*BM216*BL216/BJ216/BK216,"")</f>
        <v/>
      </c>
      <c r="BE216" s="105">
        <f>IFERROR(MIN(BI216/BQ216/BP216/BO216/BH216,$BE$1),"")</f>
        <v/>
      </c>
      <c r="BF216" s="105">
        <f>IFERROR(BJ216*BO216*BP216/BK216,"")</f>
        <v/>
      </c>
      <c r="BG216" s="105">
        <f>IFERROR(1/BM216/BH216*BQ216,"")</f>
        <v/>
      </c>
      <c r="BH216" s="102">
        <f>MAX((CE216-Driver!$F$200)/(Driver!$G$200-Driver!$F$200)*$BI$1,1)</f>
        <v/>
      </c>
      <c r="BI216" s="102">
        <f>MAX($BI$1*(BY216-Driver!$F$201)/(Driver!$G$201-Driver!$F$201),1)</f>
        <v/>
      </c>
      <c r="BJ216" s="102">
        <f>(CB216-Driver!$F$206)/(Driver!$G$206-Driver!$F$206)*$BI$1</f>
        <v/>
      </c>
      <c r="BK216" s="102">
        <f>(CD216-Driver!$F$203)/(Driver!$G$203-Driver!$F$203)*$BI$1</f>
        <v/>
      </c>
      <c r="BL216" s="102">
        <f>MAX((CR216-Driver!$F$202)/(Driver!$G$202-Driver!$F$202)*$BI$1,1)</f>
        <v/>
      </c>
      <c r="BM216" s="102">
        <f>MAX((CH216-Driver!$F$204)/(Driver!$G$204-Driver!$F$204)*$BI$1,1)</f>
        <v/>
      </c>
      <c r="BN216" s="102">
        <f>(CI216-Driver!$F$205)/(Driver!$G$205-Driver!$F$205)*$BI$1</f>
        <v/>
      </c>
      <c r="BO216" s="102">
        <f>(CK216-Driver!$F$207)/(Driver!$G$207-Driver!$F$207)*$BI$1</f>
        <v/>
      </c>
      <c r="BP216" s="102">
        <f>(CM216-Driver!$F$208)/(Driver!$G$208-Driver!$F$208)*$BI$1</f>
        <v/>
      </c>
      <c r="BQ216" s="102">
        <f>(CL216-Driver!$F$209)/(Driver!$G$209-Driver!$F$209)*$BI$1</f>
        <v/>
      </c>
      <c r="BR216" s="40" t="inlineStr">
        <is>
          <t>21/22</t>
        </is>
      </c>
      <c r="BS216" s="10" t="inlineStr">
        <is>
          <t xml:space="preserve"> Nordica</t>
        </is>
      </c>
      <c r="BT216" s="11" t="inlineStr">
        <is>
          <t>Santa Ana 104 Free</t>
        </is>
      </c>
      <c r="BU216" s="13" t="n">
        <v>172</v>
      </c>
      <c r="BV216" s="11" t="inlineStr">
        <is>
          <t xml:space="preserve"> Women's</t>
        </is>
      </c>
      <c r="BW216" s="13" t="n">
        <v>172</v>
      </c>
      <c r="BX216" s="13" t="n">
        <v>170.6</v>
      </c>
      <c r="BY216" s="13" t="n">
        <v>116</v>
      </c>
      <c r="BZ216" s="13" t="n">
        <v>142</v>
      </c>
      <c r="CA216" s="13" t="n">
        <v>135</v>
      </c>
      <c r="CB216" s="13" t="n">
        <v>103</v>
      </c>
      <c r="CC216" s="13" t="n">
        <v>125</v>
      </c>
      <c r="CD216" s="13" t="n">
        <v>16.3</v>
      </c>
      <c r="CE216" s="13" t="n">
        <v>1787</v>
      </c>
      <c r="CF216" s="13" t="n">
        <v>1.09</v>
      </c>
      <c r="CG216" s="13" t="n">
        <v>1945</v>
      </c>
      <c r="CH216" s="13" t="n">
        <v>182</v>
      </c>
      <c r="CI216" s="13" t="n">
        <v>99</v>
      </c>
      <c r="CJ216" s="13" t="n">
        <v>62</v>
      </c>
      <c r="CK216" s="13" t="n">
        <v>298</v>
      </c>
      <c r="CL216" s="13" t="n">
        <v>44</v>
      </c>
      <c r="CM216" s="13" t="n">
        <v>248</v>
      </c>
      <c r="CN216" s="13" t="n">
        <v>0.713</v>
      </c>
      <c r="CO216" s="13" t="n">
        <v>140</v>
      </c>
      <c r="CP216" s="13" t="n">
        <v>151</v>
      </c>
      <c r="CQ216" s="13" t="n">
        <v>159</v>
      </c>
      <c r="CR216" s="13" t="n">
        <v>7</v>
      </c>
      <c r="CS216" s="13" t="n">
        <v>8.800000000000001</v>
      </c>
      <c r="CT216" s="11" t="inlineStr">
        <is>
          <t xml:space="preserve"> Resort Freeride</t>
        </is>
      </c>
      <c r="CU216" s="11" t="inlineStr">
        <is>
          <t xml:space="preserve"> Powder</t>
        </is>
      </c>
      <c r="CV216" s="11" t="inlineStr">
        <is>
          <t xml:space="preserve"> Touring</t>
        </is>
      </c>
      <c r="CW216" s="13" t="n"/>
      <c r="CX216">
        <f>INDEX('Data_Price '!AG$2:AG$1266,MATCH(Data!$DN216,'Data_Price '!$AT$2:$AT$1266,0))</f>
        <v/>
      </c>
      <c r="CY216">
        <f>INDEX('Data_Price '!AH$2:AH$1266,MATCH(Data!$DN216,'Data_Price '!$AT$2:$AT$1266,0))</f>
        <v/>
      </c>
      <c r="CZ216">
        <f>INDEX('Data_Price '!AI$2:AI$1266,MATCH(Data!$DN216,'Data_Price '!$AT$2:$AT$1266,0))</f>
        <v/>
      </c>
      <c r="DA216">
        <f>INDEX('Data_Price '!AJ$2:AJ$1266,MATCH(Data!$DN216,'Data_Price '!$AT$2:$AT$1266,0))</f>
        <v/>
      </c>
      <c r="DB216">
        <f>INDEX('Data_Price '!AK$2:AK$1266,MATCH(Data!$DN216,'Data_Price '!$AT$2:$AT$1266,0))</f>
        <v/>
      </c>
      <c r="DC216">
        <f>INDEX('Data_Price '!AL$2:AL$1266,MATCH(Data!$DN216,'Data_Price '!$AT$2:$AT$1266,0))</f>
        <v/>
      </c>
      <c r="DD216">
        <f>INDEX('Data_Price '!AM$2:AM$1266,MATCH(Data!$DN216,'Data_Price '!$AT$2:$AT$1266,0))</f>
        <v/>
      </c>
      <c r="DE216">
        <f>INDEX('Data_Price '!AN$2:AN$1266,MATCH(Data!$DN216,'Data_Price '!$AT$2:$AT$1266,0))</f>
        <v/>
      </c>
      <c r="DF216">
        <f>INDEX('Data_Price '!AO$2:AO$1266,MATCH(Data!$DN216,'Data_Price '!$AT$2:$AT$1266,0))</f>
        <v/>
      </c>
      <c r="DG216">
        <f>INDEX('Data_Price '!AP$2:AP$1266,MATCH(Data!$DN216,'Data_Price '!$AT$2:$AT$1266,0))</f>
        <v/>
      </c>
      <c r="DH216">
        <f>INDEX('Data_Price '!AQ$2:AQ$1266,MATCH(Data!$DN216,'Data_Price '!$AT$2:$AT$1266,0))</f>
        <v/>
      </c>
      <c r="DI216">
        <f>INDEX('Data_Price '!AR$2:AR$1266,MATCH(Data!$DN216,'Data_Price '!$AT$2:$AT$1266,0))</f>
        <v/>
      </c>
      <c r="DJ216" s="138">
        <f>DA216</f>
        <v/>
      </c>
      <c r="DK216" s="138">
        <f>DE216</f>
        <v/>
      </c>
      <c r="DL216" s="138">
        <f>DI216</f>
        <v/>
      </c>
      <c r="DM216" s="303">
        <f>IF(LEFT(BT216,1)=" ",RIGHT(BT216,LEN(BT216)-1),BT216)</f>
        <v/>
      </c>
      <c r="DN216" s="138">
        <f>_xlfn.CONCAT(BS216,DM216,BU216,BV216)</f>
        <v/>
      </c>
      <c r="DO216" s="307" t="inlineStr">
        <is>
          <t>https://images.evo.com/imgp/250/198263/792326/nordica-santa-ana-104-free-skis-women-s-2022-.jpg</t>
        </is>
      </c>
    </row>
    <row r="217" ht="15.6" customHeight="1" s="184">
      <c r="B217" s="303">
        <f t="array" ref="B217">IF(OR(ISERROR(K217:P217)),FALSE,TRUE)</f>
        <v/>
      </c>
      <c r="C217" s="60">
        <f>OR(BR217=Driver!$G$50,Data!BR863=Driver!$H$50)</f>
        <v/>
      </c>
      <c r="D217" s="60">
        <f>OR(BV217=Driver!$G$51,BV217=Driver!$H$51)</f>
        <v/>
      </c>
      <c r="E217" s="60">
        <f>AND(BX217&gt;Driver!$F$54,BX217&lt;Driver!$G$54)</f>
        <v/>
      </c>
      <c r="F217" s="60">
        <f>CL217&gt;Driver!$F$56</f>
        <v/>
      </c>
      <c r="G217" s="60">
        <f>AND(CB217&gt;Driver!$F$55,CB217&lt;Driver!$G$55)</f>
        <v/>
      </c>
      <c r="H217" s="60">
        <f>AND(B217:G217)</f>
        <v/>
      </c>
      <c r="I217" s="60">
        <f>COUNTIFS($H$9:$H$1273,TRUE,$BT$9:$BT$1273,BT217)</f>
        <v/>
      </c>
      <c r="J217" s="60">
        <f t="array" ref="J217">NOT(OR(($H$9:$H$1273=TRUE)*($I$9:$I$1273&gt;0)*($BT$9:$BT$1273=BT217)*($K$9:$K$1273&gt;K217)))</f>
        <v/>
      </c>
      <c r="K217" s="108">
        <f>IFERROR(1-AVERAGE(X217:Y217),"")</f>
        <v/>
      </c>
      <c r="L217" s="108">
        <f>1-X217</f>
        <v/>
      </c>
      <c r="M217" s="108">
        <f>1-Y217</f>
        <v/>
      </c>
      <c r="N217" s="108">
        <f>1-Z217</f>
        <v/>
      </c>
      <c r="O217" s="108">
        <f>1-AA217</f>
        <v/>
      </c>
      <c r="P217" s="108">
        <f>1-AB217</f>
        <v/>
      </c>
      <c r="Q217" s="108" t="n"/>
      <c r="R217" s="108" t="n"/>
      <c r="S217" s="108">
        <f>1-AE217</f>
        <v/>
      </c>
      <c r="T217" s="108">
        <f>1-AF217</f>
        <v/>
      </c>
      <c r="U217" s="108">
        <f>1-AG217</f>
        <v/>
      </c>
      <c r="V217" s="108">
        <f>1-AH217</f>
        <v/>
      </c>
      <c r="W217" s="108">
        <f>1-AI217</f>
        <v/>
      </c>
      <c r="X217" s="108">
        <f>ABS(AJ217-AJ$1)</f>
        <v/>
      </c>
      <c r="Y217" s="108">
        <f>AVERAGE(Z217:AB217)</f>
        <v/>
      </c>
      <c r="Z217" s="108">
        <f>ABS(AL217-AL$1)</f>
        <v/>
      </c>
      <c r="AA217" s="108">
        <f>ABS(AM217-AM$1)</f>
        <v/>
      </c>
      <c r="AB217" s="108">
        <f>ABS(AN217-AN$1)</f>
        <v/>
      </c>
      <c r="AC217" s="108" t="n"/>
      <c r="AD217" s="108" t="n"/>
      <c r="AE217" s="108">
        <f>ABS(AQ$1-AQ217)</f>
        <v/>
      </c>
      <c r="AF217" s="108">
        <f>ABS(AR$1-AR217)</f>
        <v/>
      </c>
      <c r="AG217" s="108">
        <f>ABS(AS$1-AS217)</f>
        <v/>
      </c>
      <c r="AH217" s="108">
        <f>ABS(AT$1-AT217)</f>
        <v/>
      </c>
      <c r="AI217" s="108">
        <f>ABS(AU$1-AU217)</f>
        <v/>
      </c>
      <c r="AJ217" s="108">
        <f>(AV217-Driver!$K$179)/(Driver!$L$179-Driver!$K$179)</f>
        <v/>
      </c>
      <c r="AK217" s="108">
        <f>(AW217-Driver!$K$180)/(Driver!$L$180-Driver!$K$180)</f>
        <v/>
      </c>
      <c r="AL217" s="108">
        <f>(AX217-Driver!$K$181)/(Driver!$L$181-Driver!$K$181)</f>
        <v/>
      </c>
      <c r="AM217" s="108">
        <f>(AY217-Driver!$K$182)/(Driver!$L$182-Driver!$K$182)</f>
        <v/>
      </c>
      <c r="AN217" s="108">
        <f>(AZ217-Driver!$K$183)/(Driver!$L$183-Driver!$K$183)</f>
        <v/>
      </c>
      <c r="AO217" s="108" t="n"/>
      <c r="AP217" s="108" t="n"/>
      <c r="AQ217" s="108">
        <f>(BC217-Driver!$K$188)/(Driver!$L$188-Driver!$K$188)</f>
        <v/>
      </c>
      <c r="AR217" s="108">
        <f>MIN((BD217-Driver!$K$189)/(Driver!$L$189-Driver!$K$189),100%)</f>
        <v/>
      </c>
      <c r="AS217" s="108">
        <f>(BE217-Driver!$K$190)/(Driver!$L$190-Driver!$K$190)</f>
        <v/>
      </c>
      <c r="AT217" s="108">
        <f>(BF217-Driver!$K$191)/(Driver!$L$191-Driver!$K$191)</f>
        <v/>
      </c>
      <c r="AU217" s="108">
        <f>(BG217-Driver!$K$192)/(Driver!$L$192-Driver!$K$192)</f>
        <v/>
      </c>
      <c r="AV217" s="105">
        <f>IFERROR(BM217*BJ217^1/4,"")</f>
        <v/>
      </c>
      <c r="AW217" s="105">
        <f>IFERROR(SUM(AX217:AZ217),"")</f>
        <v/>
      </c>
      <c r="AX217" s="105">
        <f>IFERROR(BH217,"")</f>
        <v/>
      </c>
      <c r="AY217" s="105">
        <f>IFERROR(Driver!$K$19/Data!BH217/Data!BI217*Data!BK217*Data!BL217,"")</f>
        <v/>
      </c>
      <c r="AZ217" s="105">
        <f>IFERROR(BI217*BN217,"")</f>
        <v/>
      </c>
      <c r="BA217" s="105" t="n"/>
      <c r="BB217" s="105" t="n"/>
      <c r="BC217" s="105">
        <f>IFERROR(BI217*BN217*BK217/BJ217^(1/2),"")</f>
        <v/>
      </c>
      <c r="BD217" s="105">
        <f>IFERROR(BH217*BM217*BL217/BJ217/BK217,"")</f>
        <v/>
      </c>
      <c r="BE217" s="105">
        <f>IFERROR(MIN(BI217/BQ217/BP217/BO217/BH217,$BE$1),"")</f>
        <v/>
      </c>
      <c r="BF217" s="105">
        <f>IFERROR(BJ217*BO217*BP217/BK217,"")</f>
        <v/>
      </c>
      <c r="BG217" s="105">
        <f>IFERROR(1/BM217/BH217*BQ217,"")</f>
        <v/>
      </c>
      <c r="BH217" s="102">
        <f>MAX((CE217-Driver!$F$200)/(Driver!$G$200-Driver!$F$200)*$BI$1,1)</f>
        <v/>
      </c>
      <c r="BI217" s="102">
        <f>MAX($BI$1*(BY217-Driver!$F$201)/(Driver!$G$201-Driver!$F$201),1)</f>
        <v/>
      </c>
      <c r="BJ217" s="102">
        <f>(CB217-Driver!$F$206)/(Driver!$G$206-Driver!$F$206)*$BI$1</f>
        <v/>
      </c>
      <c r="BK217" s="102">
        <f>(CD217-Driver!$F$203)/(Driver!$G$203-Driver!$F$203)*$BI$1</f>
        <v/>
      </c>
      <c r="BL217" s="102">
        <f>MAX((CR217-Driver!$F$202)/(Driver!$G$202-Driver!$F$202)*$BI$1,1)</f>
        <v/>
      </c>
      <c r="BM217" s="102">
        <f>MAX((CH217-Driver!$F$204)/(Driver!$G$204-Driver!$F$204)*$BI$1,1)</f>
        <v/>
      </c>
      <c r="BN217" s="102">
        <f>(CI217-Driver!$F$205)/(Driver!$G$205-Driver!$F$205)*$BI$1</f>
        <v/>
      </c>
      <c r="BO217" s="102">
        <f>(CK217-Driver!$F$207)/(Driver!$G$207-Driver!$F$207)*$BI$1</f>
        <v/>
      </c>
      <c r="BP217" s="102">
        <f>(CM217-Driver!$F$208)/(Driver!$G$208-Driver!$F$208)*$BI$1</f>
        <v/>
      </c>
      <c r="BQ217" s="102">
        <f>(CL217-Driver!$F$209)/(Driver!$G$209-Driver!$F$209)*$BI$1</f>
        <v/>
      </c>
      <c r="BR217" s="40" t="inlineStr">
        <is>
          <t>21/22</t>
        </is>
      </c>
      <c r="BS217" s="10" t="inlineStr">
        <is>
          <t xml:space="preserve"> Line</t>
        </is>
      </c>
      <c r="BT217" s="11" t="inlineStr">
        <is>
          <t>Sick Day 88</t>
        </is>
      </c>
      <c r="BU217" s="13" t="n">
        <v>172</v>
      </c>
      <c r="BV217" s="11" t="inlineStr">
        <is>
          <t xml:space="preserve"> Unisex</t>
        </is>
      </c>
      <c r="BW217" s="13" t="n">
        <v>172</v>
      </c>
      <c r="BX217" s="13" t="n">
        <v>171.9</v>
      </c>
      <c r="BY217" s="13" t="n">
        <v>127</v>
      </c>
      <c r="BZ217" s="13" t="n">
        <v>146</v>
      </c>
      <c r="CA217" s="13" t="n">
        <v>126</v>
      </c>
      <c r="CB217" s="13" t="n">
        <v>87</v>
      </c>
      <c r="CC217" s="13" t="n">
        <v>112</v>
      </c>
      <c r="CD217" s="13" t="n">
        <v>16.2</v>
      </c>
      <c r="CE217" s="13" t="n">
        <v>1588</v>
      </c>
      <c r="CF217" s="13" t="n">
        <v>1.08</v>
      </c>
      <c r="CG217" s="13" t="n">
        <v>1709</v>
      </c>
      <c r="CH217" s="13" t="n">
        <v>183</v>
      </c>
      <c r="CI217" s="13" t="n">
        <v>96</v>
      </c>
      <c r="CJ217" s="13" t="n">
        <v>44</v>
      </c>
      <c r="CK217" s="13" t="n">
        <v>284</v>
      </c>
      <c r="CL217" s="13" t="n">
        <v>16</v>
      </c>
      <c r="CM217" s="13" t="n">
        <v>160</v>
      </c>
      <c r="CN217" s="13" t="n">
        <v>0.359</v>
      </c>
      <c r="CO217" s="13" t="n">
        <v>147</v>
      </c>
      <c r="CP217" s="13" t="n">
        <v>108</v>
      </c>
      <c r="CQ217" s="13" t="n">
        <v>138</v>
      </c>
      <c r="CR217" s="13" t="n">
        <v>6</v>
      </c>
      <c r="CS217" s="13" t="n">
        <v>9.699999999999999</v>
      </c>
      <c r="CT217" s="11" t="inlineStr">
        <is>
          <t xml:space="preserve"> Resort Freeride</t>
        </is>
      </c>
      <c r="CU217" s="11" t="inlineStr">
        <is>
          <t xml:space="preserve"> Touring</t>
        </is>
      </c>
      <c r="CV217" s="13" t="n"/>
      <c r="CW217" s="13" t="n"/>
      <c r="CX217">
        <f>INDEX('Data_Price '!AG$2:AG$1266,MATCH(Data!$DN217,'Data_Price '!$AT$2:$AT$1266,0))</f>
        <v/>
      </c>
      <c r="CY217">
        <f>INDEX('Data_Price '!AH$2:AH$1266,MATCH(Data!$DN217,'Data_Price '!$AT$2:$AT$1266,0))</f>
        <v/>
      </c>
      <c r="CZ217">
        <f>INDEX('Data_Price '!AI$2:AI$1266,MATCH(Data!$DN217,'Data_Price '!$AT$2:$AT$1266,0))</f>
        <v/>
      </c>
      <c r="DA217">
        <f>INDEX('Data_Price '!AJ$2:AJ$1266,MATCH(Data!$DN217,'Data_Price '!$AT$2:$AT$1266,0))</f>
        <v/>
      </c>
      <c r="DB217">
        <f>INDEX('Data_Price '!AK$2:AK$1266,MATCH(Data!$DN217,'Data_Price '!$AT$2:$AT$1266,0))</f>
        <v/>
      </c>
      <c r="DC217">
        <f>INDEX('Data_Price '!AL$2:AL$1266,MATCH(Data!$DN217,'Data_Price '!$AT$2:$AT$1266,0))</f>
        <v/>
      </c>
      <c r="DD217">
        <f>INDEX('Data_Price '!AM$2:AM$1266,MATCH(Data!$DN217,'Data_Price '!$AT$2:$AT$1266,0))</f>
        <v/>
      </c>
      <c r="DE217">
        <f>INDEX('Data_Price '!AN$2:AN$1266,MATCH(Data!$DN217,'Data_Price '!$AT$2:$AT$1266,0))</f>
        <v/>
      </c>
      <c r="DF217">
        <f>INDEX('Data_Price '!AO$2:AO$1266,MATCH(Data!$DN217,'Data_Price '!$AT$2:$AT$1266,0))</f>
        <v/>
      </c>
      <c r="DG217">
        <f>INDEX('Data_Price '!AP$2:AP$1266,MATCH(Data!$DN217,'Data_Price '!$AT$2:$AT$1266,0))</f>
        <v/>
      </c>
      <c r="DH217">
        <f>INDEX('Data_Price '!AQ$2:AQ$1266,MATCH(Data!$DN217,'Data_Price '!$AT$2:$AT$1266,0))</f>
        <v/>
      </c>
      <c r="DI217">
        <f>INDEX('Data_Price '!AR$2:AR$1266,MATCH(Data!$DN217,'Data_Price '!$AT$2:$AT$1266,0))</f>
        <v/>
      </c>
      <c r="DJ217" s="138">
        <f>DA217</f>
        <v/>
      </c>
      <c r="DK217" s="138">
        <f>DE217</f>
        <v/>
      </c>
      <c r="DL217" s="138">
        <f>DI217</f>
        <v/>
      </c>
      <c r="DM217" s="303">
        <f>IF(LEFT(BT217,1)=" ",RIGHT(BT217,LEN(BT217)-1),BT217)</f>
        <v/>
      </c>
      <c r="DN217" s="138">
        <f>_xlfn.CONCAT(BS217,DM217,BU217,BV217)</f>
        <v/>
      </c>
      <c r="DO217" s="307" t="n"/>
    </row>
    <row r="218" ht="15.6" customHeight="1" s="184">
      <c r="B218" s="303">
        <f t="array" ref="B218">IF(OR(ISERROR(K218:P218)),FALSE,TRUE)</f>
        <v/>
      </c>
      <c r="C218" s="60">
        <f>OR(BR218=Driver!$G$50,Data!BR503=Driver!$H$50)</f>
        <v/>
      </c>
      <c r="D218" s="60">
        <f>OR(BV218=Driver!$G$51,BV218=Driver!$H$51)</f>
        <v/>
      </c>
      <c r="E218" s="60">
        <f>AND(BX218&gt;Driver!$F$54,BX218&lt;Driver!$G$54)</f>
        <v/>
      </c>
      <c r="F218" s="60">
        <f>CL218&gt;Driver!$F$56</f>
        <v/>
      </c>
      <c r="G218" s="60">
        <f>AND(CB218&gt;Driver!$F$55,CB218&lt;Driver!$G$55)</f>
        <v/>
      </c>
      <c r="H218" s="60">
        <f>AND(B218:G218)</f>
        <v/>
      </c>
      <c r="I218" s="60">
        <f>COUNTIFS($H$9:$H$1273,TRUE,$BT$9:$BT$1273,BT218)</f>
        <v/>
      </c>
      <c r="J218" s="60">
        <f t="array" ref="J218">NOT(OR(($H$9:$H$1273=TRUE)*($I$9:$I$1273&gt;0)*($BT$9:$BT$1273=BT218)*($K$9:$K$1273&gt;K218)))</f>
        <v/>
      </c>
      <c r="K218" s="108">
        <f>IFERROR(1-AVERAGE(X218:Y218),"")</f>
        <v/>
      </c>
      <c r="L218" s="108">
        <f>1-X218</f>
        <v/>
      </c>
      <c r="M218" s="108">
        <f>1-Y218</f>
        <v/>
      </c>
      <c r="N218" s="108">
        <f>1-Z218</f>
        <v/>
      </c>
      <c r="O218" s="108">
        <f>1-AA218</f>
        <v/>
      </c>
      <c r="P218" s="108">
        <f>1-AB218</f>
        <v/>
      </c>
      <c r="Q218" s="108" t="n"/>
      <c r="R218" s="108" t="n"/>
      <c r="S218" s="108">
        <f>1-AE218</f>
        <v/>
      </c>
      <c r="T218" s="108">
        <f>1-AF218</f>
        <v/>
      </c>
      <c r="U218" s="108">
        <f>1-AG218</f>
        <v/>
      </c>
      <c r="V218" s="108">
        <f>1-AH218</f>
        <v/>
      </c>
      <c r="W218" s="108">
        <f>1-AI218</f>
        <v/>
      </c>
      <c r="X218" s="108">
        <f>ABS(AJ218-AJ$1)</f>
        <v/>
      </c>
      <c r="Y218" s="108">
        <f>AVERAGE(Z218:AB218)</f>
        <v/>
      </c>
      <c r="Z218" s="108">
        <f>ABS(AL218-AL$1)</f>
        <v/>
      </c>
      <c r="AA218" s="108">
        <f>ABS(AM218-AM$1)</f>
        <v/>
      </c>
      <c r="AB218" s="108">
        <f>ABS(AN218-AN$1)</f>
        <v/>
      </c>
      <c r="AC218" s="108" t="n"/>
      <c r="AD218" s="108" t="n"/>
      <c r="AE218" s="108">
        <f>ABS(AQ$1-AQ218)</f>
        <v/>
      </c>
      <c r="AF218" s="108">
        <f>ABS(AR$1-AR218)</f>
        <v/>
      </c>
      <c r="AG218" s="108">
        <f>ABS(AS$1-AS218)</f>
        <v/>
      </c>
      <c r="AH218" s="108">
        <f>ABS(AT$1-AT218)</f>
        <v/>
      </c>
      <c r="AI218" s="108">
        <f>ABS(AU$1-AU218)</f>
        <v/>
      </c>
      <c r="AJ218" s="108">
        <f>(AV218-Driver!$K$179)/(Driver!$L$179-Driver!$K$179)</f>
        <v/>
      </c>
      <c r="AK218" s="108">
        <f>(AW218-Driver!$K$180)/(Driver!$L$180-Driver!$K$180)</f>
        <v/>
      </c>
      <c r="AL218" s="108">
        <f>(AX218-Driver!$K$181)/(Driver!$L$181-Driver!$K$181)</f>
        <v/>
      </c>
      <c r="AM218" s="108">
        <f>(AY218-Driver!$K$182)/(Driver!$L$182-Driver!$K$182)</f>
        <v/>
      </c>
      <c r="AN218" s="108">
        <f>(AZ218-Driver!$K$183)/(Driver!$L$183-Driver!$K$183)</f>
        <v/>
      </c>
      <c r="AO218" s="108" t="n"/>
      <c r="AP218" s="108" t="n"/>
      <c r="AQ218" s="108">
        <f>(BC218-Driver!$K$188)/(Driver!$L$188-Driver!$K$188)</f>
        <v/>
      </c>
      <c r="AR218" s="108">
        <f>MIN((BD218-Driver!$K$189)/(Driver!$L$189-Driver!$K$189),100%)</f>
        <v/>
      </c>
      <c r="AS218" s="108">
        <f>(BE218-Driver!$K$190)/(Driver!$L$190-Driver!$K$190)</f>
        <v/>
      </c>
      <c r="AT218" s="108">
        <f>(BF218-Driver!$K$191)/(Driver!$L$191-Driver!$K$191)</f>
        <v/>
      </c>
      <c r="AU218" s="108">
        <f>(BG218-Driver!$K$192)/(Driver!$L$192-Driver!$K$192)</f>
        <v/>
      </c>
      <c r="AV218" s="105">
        <f>IFERROR(BM218*BJ218^1/4,"")</f>
        <v/>
      </c>
      <c r="AW218" s="105">
        <f>IFERROR(SUM(AX218:AZ218),"")</f>
        <v/>
      </c>
      <c r="AX218" s="105">
        <f>IFERROR(BH218,"")</f>
        <v/>
      </c>
      <c r="AY218" s="105">
        <f>IFERROR(Driver!$K$19/Data!BH218/Data!BI218*Data!BK218*Data!BL218,"")</f>
        <v/>
      </c>
      <c r="AZ218" s="105">
        <f>IFERROR(BI218*BN218,"")</f>
        <v/>
      </c>
      <c r="BA218" s="105" t="n"/>
      <c r="BB218" s="105" t="n"/>
      <c r="BC218" s="105">
        <f>IFERROR(BI218*BN218*BK218/BJ218^(1/2),"")</f>
        <v/>
      </c>
      <c r="BD218" s="105">
        <f>IFERROR(BH218*BM218*BL218/BJ218/BK218,"")</f>
        <v/>
      </c>
      <c r="BE218" s="105">
        <f>IFERROR(MIN(BI218/BQ218/BP218/BO218/BH218,$BE$1),"")</f>
        <v/>
      </c>
      <c r="BF218" s="105">
        <f>IFERROR(BJ218*BO218*BP218/BK218,"")</f>
        <v/>
      </c>
      <c r="BG218" s="105">
        <f>IFERROR(1/BM218/BH218*BQ218,"")</f>
        <v/>
      </c>
      <c r="BH218" s="102">
        <f>MAX((CE218-Driver!$F$200)/(Driver!$G$200-Driver!$F$200)*$BI$1,1)</f>
        <v/>
      </c>
      <c r="BI218" s="102">
        <f>MAX($BI$1*(BY218-Driver!$F$201)/(Driver!$G$201-Driver!$F$201),1)</f>
        <v/>
      </c>
      <c r="BJ218" s="102">
        <f>(CB218-Driver!$F$206)/(Driver!$G$206-Driver!$F$206)*$BI$1</f>
        <v/>
      </c>
      <c r="BK218" s="102">
        <f>(CD218-Driver!$F$203)/(Driver!$G$203-Driver!$F$203)*$BI$1</f>
        <v/>
      </c>
      <c r="BL218" s="102">
        <f>MAX((CR218-Driver!$F$202)/(Driver!$G$202-Driver!$F$202)*$BI$1,1)</f>
        <v/>
      </c>
      <c r="BM218" s="102">
        <f>MAX((CH218-Driver!$F$204)/(Driver!$G$204-Driver!$F$204)*$BI$1,1)</f>
        <v/>
      </c>
      <c r="BN218" s="102">
        <f>(CI218-Driver!$F$205)/(Driver!$G$205-Driver!$F$205)*$BI$1</f>
        <v/>
      </c>
      <c r="BO218" s="102">
        <f>(CK218-Driver!$F$207)/(Driver!$G$207-Driver!$F$207)*$BI$1</f>
        <v/>
      </c>
      <c r="BP218" s="102">
        <f>(CM218-Driver!$F$208)/(Driver!$G$208-Driver!$F$208)*$BI$1</f>
        <v/>
      </c>
      <c r="BQ218" s="102">
        <f>(CL218-Driver!$F$209)/(Driver!$G$209-Driver!$F$209)*$BI$1</f>
        <v/>
      </c>
      <c r="BR218" s="40" t="inlineStr">
        <is>
          <t>21/22</t>
        </is>
      </c>
      <c r="BS218" s="10" t="inlineStr">
        <is>
          <t xml:space="preserve"> Faction</t>
        </is>
      </c>
      <c r="BT218" s="11" t="inlineStr">
        <is>
          <t>CT 2.0</t>
        </is>
      </c>
      <c r="BU218" s="13" t="n">
        <v>178</v>
      </c>
      <c r="BV218" s="11" t="inlineStr">
        <is>
          <t xml:space="preserve"> Unisex</t>
        </is>
      </c>
      <c r="BW218" s="13" t="n">
        <v>178</v>
      </c>
      <c r="BX218" s="13" t="n">
        <v>176.1</v>
      </c>
      <c r="BY218" s="13" t="n">
        <v>119</v>
      </c>
      <c r="BZ218" s="13" t="n">
        <v>147</v>
      </c>
      <c r="CA218" s="13" t="n">
        <v>131</v>
      </c>
      <c r="CB218" s="13" t="n">
        <v>102</v>
      </c>
      <c r="CC218" s="13" t="n">
        <v>127</v>
      </c>
      <c r="CD218" s="13" t="n">
        <v>19.4</v>
      </c>
      <c r="CE218" s="13" t="n">
        <v>1905</v>
      </c>
      <c r="CF218" s="13" t="n">
        <v>1.03</v>
      </c>
      <c r="CG218" s="13" t="n">
        <v>1969</v>
      </c>
      <c r="CH218" s="13" t="n">
        <v>227</v>
      </c>
      <c r="CI218" s="13" t="n">
        <v>97</v>
      </c>
      <c r="CJ218" s="13" t="n">
        <v>55</v>
      </c>
      <c r="CK218" s="13" t="n">
        <v>302</v>
      </c>
      <c r="CL218" s="13" t="n">
        <v>49</v>
      </c>
      <c r="CM218" s="13" t="n">
        <v>270</v>
      </c>
      <c r="CN218" s="13" t="n">
        <v>0.891</v>
      </c>
      <c r="CO218" s="13" t="n">
        <v>149</v>
      </c>
      <c r="CP218" s="13" t="n">
        <v>141</v>
      </c>
      <c r="CQ218" s="13" t="n">
        <v>153</v>
      </c>
      <c r="CR218" s="13" t="n">
        <v>7</v>
      </c>
      <c r="CS218" s="13" t="n">
        <v>4.6</v>
      </c>
      <c r="CT218" s="11" t="inlineStr">
        <is>
          <t xml:space="preserve"> Freeski</t>
        </is>
      </c>
      <c r="CU218" s="11" t="inlineStr">
        <is>
          <t xml:space="preserve"> Powder</t>
        </is>
      </c>
      <c r="CV218" s="13" t="n"/>
      <c r="CW218" s="13" t="n"/>
      <c r="CX218">
        <f>INDEX('Data_Price '!AG$2:AG$1266,MATCH(Data!$DN218,'Data_Price '!$AT$2:$AT$1266,0))</f>
        <v/>
      </c>
      <c r="CY218">
        <f>INDEX('Data_Price '!AH$2:AH$1266,MATCH(Data!$DN218,'Data_Price '!$AT$2:$AT$1266,0))</f>
        <v/>
      </c>
      <c r="CZ218">
        <f>INDEX('Data_Price '!AI$2:AI$1266,MATCH(Data!$DN218,'Data_Price '!$AT$2:$AT$1266,0))</f>
        <v/>
      </c>
      <c r="DA218">
        <f>INDEX('Data_Price '!AJ$2:AJ$1266,MATCH(Data!$DN218,'Data_Price '!$AT$2:$AT$1266,0))</f>
        <v/>
      </c>
      <c r="DB218">
        <f>INDEX('Data_Price '!AK$2:AK$1266,MATCH(Data!$DN218,'Data_Price '!$AT$2:$AT$1266,0))</f>
        <v/>
      </c>
      <c r="DC218">
        <f>INDEX('Data_Price '!AL$2:AL$1266,MATCH(Data!$DN218,'Data_Price '!$AT$2:$AT$1266,0))</f>
        <v/>
      </c>
      <c r="DD218">
        <f>INDEX('Data_Price '!AM$2:AM$1266,MATCH(Data!$DN218,'Data_Price '!$AT$2:$AT$1266,0))</f>
        <v/>
      </c>
      <c r="DE218">
        <f>INDEX('Data_Price '!AN$2:AN$1266,MATCH(Data!$DN218,'Data_Price '!$AT$2:$AT$1266,0))</f>
        <v/>
      </c>
      <c r="DF218">
        <f>INDEX('Data_Price '!AO$2:AO$1266,MATCH(Data!$DN218,'Data_Price '!$AT$2:$AT$1266,0))</f>
        <v/>
      </c>
      <c r="DG218">
        <f>INDEX('Data_Price '!AP$2:AP$1266,MATCH(Data!$DN218,'Data_Price '!$AT$2:$AT$1266,0))</f>
        <v/>
      </c>
      <c r="DH218">
        <f>INDEX('Data_Price '!AQ$2:AQ$1266,MATCH(Data!$DN218,'Data_Price '!$AT$2:$AT$1266,0))</f>
        <v/>
      </c>
      <c r="DI218">
        <f>INDEX('Data_Price '!AR$2:AR$1266,MATCH(Data!$DN218,'Data_Price '!$AT$2:$AT$1266,0))</f>
        <v/>
      </c>
      <c r="DJ218" s="138">
        <f>DA218</f>
        <v/>
      </c>
      <c r="DK218" s="138">
        <f>DE218</f>
        <v/>
      </c>
      <c r="DL218" s="138">
        <f>DI218</f>
        <v/>
      </c>
      <c r="DM218" s="303">
        <f>IF(LEFT(BT218,1)=" ",RIGHT(BT218,LEN(BT218)-1),BT218)</f>
        <v/>
      </c>
      <c r="DN218" s="138">
        <f>_xlfn.CONCAT(BS218,DM218,BU218,BV218)</f>
        <v/>
      </c>
      <c r="DO218" s="307" t="inlineStr">
        <is>
          <t>https://images.evo.com/imgp/250/208622/839895/clone.jpg</t>
        </is>
      </c>
    </row>
    <row r="219" ht="15.6" customHeight="1" s="184">
      <c r="B219" s="303">
        <f t="array" ref="B219">IF(OR(ISERROR(K219:P219)),FALSE,TRUE)</f>
        <v/>
      </c>
      <c r="C219" s="60">
        <f>OR(BR219=Driver!$G$50,Data!BR510=Driver!$H$50)</f>
        <v/>
      </c>
      <c r="D219" s="60">
        <f>OR(BV219=Driver!$G$51,BV219=Driver!$H$51)</f>
        <v/>
      </c>
      <c r="E219" s="60">
        <f>AND(BX219&gt;Driver!$F$54,BX219&lt;Driver!$G$54)</f>
        <v/>
      </c>
      <c r="F219" s="60">
        <f>CL219&gt;Driver!$F$56</f>
        <v/>
      </c>
      <c r="G219" s="60">
        <f>AND(CB219&gt;Driver!$F$55,CB219&lt;Driver!$G$55)</f>
        <v/>
      </c>
      <c r="H219" s="60">
        <f>AND(B219:G219)</f>
        <v/>
      </c>
      <c r="I219" s="60">
        <f>COUNTIFS($H$9:$H$1273,TRUE,$BT$9:$BT$1273,BT219)</f>
        <v/>
      </c>
      <c r="J219" s="60">
        <f t="array" ref="J219">NOT(OR(($H$9:$H$1273=TRUE)*($I$9:$I$1273&gt;0)*($BT$9:$BT$1273=BT219)*($K$9:$K$1273&gt;K219)))</f>
        <v/>
      </c>
      <c r="K219" s="108">
        <f>IFERROR(1-AVERAGE(X219:Y219),"")</f>
        <v/>
      </c>
      <c r="L219" s="108">
        <f>1-X219</f>
        <v/>
      </c>
      <c r="M219" s="108">
        <f>1-Y219</f>
        <v/>
      </c>
      <c r="N219" s="108">
        <f>1-Z219</f>
        <v/>
      </c>
      <c r="O219" s="108">
        <f>1-AA219</f>
        <v/>
      </c>
      <c r="P219" s="108">
        <f>1-AB219</f>
        <v/>
      </c>
      <c r="Q219" s="108" t="n"/>
      <c r="R219" s="108" t="n"/>
      <c r="S219" s="108">
        <f>1-AE219</f>
        <v/>
      </c>
      <c r="T219" s="108">
        <f>1-AF219</f>
        <v/>
      </c>
      <c r="U219" s="108">
        <f>1-AG219</f>
        <v/>
      </c>
      <c r="V219" s="108">
        <f>1-AH219</f>
        <v/>
      </c>
      <c r="W219" s="108">
        <f>1-AI219</f>
        <v/>
      </c>
      <c r="X219" s="108">
        <f>ABS(AJ219-AJ$1)</f>
        <v/>
      </c>
      <c r="Y219" s="108">
        <f>AVERAGE(Z219:AB219)</f>
        <v/>
      </c>
      <c r="Z219" s="108">
        <f>ABS(AL219-AL$1)</f>
        <v/>
      </c>
      <c r="AA219" s="108">
        <f>ABS(AM219-AM$1)</f>
        <v/>
      </c>
      <c r="AB219" s="108">
        <f>ABS(AN219-AN$1)</f>
        <v/>
      </c>
      <c r="AC219" s="108" t="n"/>
      <c r="AD219" s="108" t="n"/>
      <c r="AE219" s="108">
        <f>ABS(AQ$1-AQ219)</f>
        <v/>
      </c>
      <c r="AF219" s="108">
        <f>ABS(AR$1-AR219)</f>
        <v/>
      </c>
      <c r="AG219" s="108">
        <f>ABS(AS$1-AS219)</f>
        <v/>
      </c>
      <c r="AH219" s="108">
        <f>ABS(AT$1-AT219)</f>
        <v/>
      </c>
      <c r="AI219" s="108">
        <f>ABS(AU$1-AU219)</f>
        <v/>
      </c>
      <c r="AJ219" s="108">
        <f>(AV219-Driver!$K$179)/(Driver!$L$179-Driver!$K$179)</f>
        <v/>
      </c>
      <c r="AK219" s="108">
        <f>(AW219-Driver!$K$180)/(Driver!$L$180-Driver!$K$180)</f>
        <v/>
      </c>
      <c r="AL219" s="108">
        <f>(AX219-Driver!$K$181)/(Driver!$L$181-Driver!$K$181)</f>
        <v/>
      </c>
      <c r="AM219" s="108">
        <f>(AY219-Driver!$K$182)/(Driver!$L$182-Driver!$K$182)</f>
        <v/>
      </c>
      <c r="AN219" s="108">
        <f>(AZ219-Driver!$K$183)/(Driver!$L$183-Driver!$K$183)</f>
        <v/>
      </c>
      <c r="AO219" s="108" t="n"/>
      <c r="AP219" s="108" t="n"/>
      <c r="AQ219" s="108">
        <f>(BC219-Driver!$K$188)/(Driver!$L$188-Driver!$K$188)</f>
        <v/>
      </c>
      <c r="AR219" s="108">
        <f>MIN((BD219-Driver!$K$189)/(Driver!$L$189-Driver!$K$189),100%)</f>
        <v/>
      </c>
      <c r="AS219" s="108">
        <f>(BE219-Driver!$K$190)/(Driver!$L$190-Driver!$K$190)</f>
        <v/>
      </c>
      <c r="AT219" s="108">
        <f>(BF219-Driver!$K$191)/(Driver!$L$191-Driver!$K$191)</f>
        <v/>
      </c>
      <c r="AU219" s="108">
        <f>(BG219-Driver!$K$192)/(Driver!$L$192-Driver!$K$192)</f>
        <v/>
      </c>
      <c r="AV219" s="105">
        <f>IFERROR(BM219*BJ219^1/4,"")</f>
        <v/>
      </c>
      <c r="AW219" s="105">
        <f>IFERROR(SUM(AX219:AZ219),"")</f>
        <v/>
      </c>
      <c r="AX219" s="105">
        <f>IFERROR(BH219,"")</f>
        <v/>
      </c>
      <c r="AY219" s="105">
        <f>IFERROR(Driver!$K$19/Data!BH219/Data!BI219*Data!BK219*Data!BL219,"")</f>
        <v/>
      </c>
      <c r="AZ219" s="105">
        <f>IFERROR(BI219*BN219,"")</f>
        <v/>
      </c>
      <c r="BA219" s="105" t="n"/>
      <c r="BB219" s="105" t="n"/>
      <c r="BC219" s="105">
        <f>IFERROR(BI219*BN219*BK219/BJ219^(1/2),"")</f>
        <v/>
      </c>
      <c r="BD219" s="105">
        <f>IFERROR(BH219*BM219*BL219/BJ219/BK219,"")</f>
        <v/>
      </c>
      <c r="BE219" s="105">
        <f>IFERROR(MIN(BI219/BQ219/BP219/BO219/BH219,$BE$1),"")</f>
        <v/>
      </c>
      <c r="BF219" s="105">
        <f>IFERROR(BJ219*BO219*BP219/BK219,"")</f>
        <v/>
      </c>
      <c r="BG219" s="105">
        <f>IFERROR(1/BM219/BH219*BQ219,"")</f>
        <v/>
      </c>
      <c r="BH219" s="102">
        <f>MAX((CE219-Driver!$F$200)/(Driver!$G$200-Driver!$F$200)*$BI$1,1)</f>
        <v/>
      </c>
      <c r="BI219" s="102">
        <f>MAX($BI$1*(BY219-Driver!$F$201)/(Driver!$G$201-Driver!$F$201),1)</f>
        <v/>
      </c>
      <c r="BJ219" s="102">
        <f>(CB219-Driver!$F$206)/(Driver!$G$206-Driver!$F$206)*$BI$1</f>
        <v/>
      </c>
      <c r="BK219" s="102">
        <f>(CD219-Driver!$F$203)/(Driver!$G$203-Driver!$F$203)*$BI$1</f>
        <v/>
      </c>
      <c r="BL219" s="102">
        <f>MAX((CR219-Driver!$F$202)/(Driver!$G$202-Driver!$F$202)*$BI$1,1)</f>
        <v/>
      </c>
      <c r="BM219" s="102">
        <f>MAX((CH219-Driver!$F$204)/(Driver!$G$204-Driver!$F$204)*$BI$1,1)</f>
        <v/>
      </c>
      <c r="BN219" s="102">
        <f>(CI219-Driver!$F$205)/(Driver!$G$205-Driver!$F$205)*$BI$1</f>
        <v/>
      </c>
      <c r="BO219" s="102">
        <f>(CK219-Driver!$F$207)/(Driver!$G$207-Driver!$F$207)*$BI$1</f>
        <v/>
      </c>
      <c r="BP219" s="102">
        <f>(CM219-Driver!$F$208)/(Driver!$G$208-Driver!$F$208)*$BI$1</f>
        <v/>
      </c>
      <c r="BQ219" s="102">
        <f>(CL219-Driver!$F$209)/(Driver!$G$209-Driver!$F$209)*$BI$1</f>
        <v/>
      </c>
      <c r="BR219" s="40" t="inlineStr">
        <is>
          <t>21/22</t>
        </is>
      </c>
      <c r="BS219" s="10" t="inlineStr">
        <is>
          <t xml:space="preserve"> Faction</t>
        </is>
      </c>
      <c r="BT219" s="11" t="inlineStr">
        <is>
          <t>Dictator 1.0 X</t>
        </is>
      </c>
      <c r="BU219" s="13" t="n">
        <v>162</v>
      </c>
      <c r="BV219" s="11" t="inlineStr">
        <is>
          <t xml:space="preserve"> Women's</t>
        </is>
      </c>
      <c r="BW219" s="13" t="n">
        <v>162</v>
      </c>
      <c r="BX219" s="13" t="n">
        <v>160.3</v>
      </c>
      <c r="BY219" s="13" t="n">
        <v>122</v>
      </c>
      <c r="BZ219" s="13" t="n">
        <v>136</v>
      </c>
      <c r="CA219" s="13" t="n">
        <v>120</v>
      </c>
      <c r="CB219" s="13" t="n">
        <v>86</v>
      </c>
      <c r="CC219" s="13" t="n">
        <v>110</v>
      </c>
      <c r="CD219" s="13" t="n">
        <v>15</v>
      </c>
      <c r="CE219" s="13" t="n">
        <v>1574</v>
      </c>
      <c r="CF219" s="13" t="n">
        <v>0.99</v>
      </c>
      <c r="CG219" s="13" t="n">
        <v>1561</v>
      </c>
      <c r="CH219" s="13" t="n">
        <v>190</v>
      </c>
      <c r="CI219" s="13" t="n">
        <v>116</v>
      </c>
      <c r="CJ219" s="13" t="n">
        <v>50</v>
      </c>
      <c r="CK219" s="13" t="n">
        <v>230</v>
      </c>
      <c r="CL219" s="13" t="n">
        <v>20</v>
      </c>
      <c r="CM219" s="13" t="n">
        <v>150</v>
      </c>
      <c r="CN219" s="13" t="n">
        <v>0.404</v>
      </c>
      <c r="CO219" s="13" t="n">
        <v>154</v>
      </c>
      <c r="CP219" s="13" t="n">
        <v>88</v>
      </c>
      <c r="CQ219" s="13" t="n">
        <v>76</v>
      </c>
      <c r="CR219" s="13" t="n">
        <v>6</v>
      </c>
      <c r="CS219" s="13" t="n">
        <v>9.4</v>
      </c>
      <c r="CT219" s="11" t="inlineStr">
        <is>
          <t xml:space="preserve"> Resort Freeride</t>
        </is>
      </c>
      <c r="CU219" s="13" t="n"/>
      <c r="CV219" s="13" t="n"/>
      <c r="CW219" s="13" t="n"/>
      <c r="CX219">
        <f>INDEX('Data_Price '!AG$2:AG$1266,MATCH(Data!$DN219,'Data_Price '!$AT$2:$AT$1266,0))</f>
        <v/>
      </c>
      <c r="CY219">
        <f>INDEX('Data_Price '!AH$2:AH$1266,MATCH(Data!$DN219,'Data_Price '!$AT$2:$AT$1266,0))</f>
        <v/>
      </c>
      <c r="CZ219">
        <f>INDEX('Data_Price '!AI$2:AI$1266,MATCH(Data!$DN219,'Data_Price '!$AT$2:$AT$1266,0))</f>
        <v/>
      </c>
      <c r="DA219">
        <f>INDEX('Data_Price '!AJ$2:AJ$1266,MATCH(Data!$DN219,'Data_Price '!$AT$2:$AT$1266,0))</f>
        <v/>
      </c>
      <c r="DB219">
        <f>INDEX('Data_Price '!AK$2:AK$1266,MATCH(Data!$DN219,'Data_Price '!$AT$2:$AT$1266,0))</f>
        <v/>
      </c>
      <c r="DC219">
        <f>INDEX('Data_Price '!AL$2:AL$1266,MATCH(Data!$DN219,'Data_Price '!$AT$2:$AT$1266,0))</f>
        <v/>
      </c>
      <c r="DD219">
        <f>INDEX('Data_Price '!AM$2:AM$1266,MATCH(Data!$DN219,'Data_Price '!$AT$2:$AT$1266,0))</f>
        <v/>
      </c>
      <c r="DE219">
        <f>INDEX('Data_Price '!AN$2:AN$1266,MATCH(Data!$DN219,'Data_Price '!$AT$2:$AT$1266,0))</f>
        <v/>
      </c>
      <c r="DF219">
        <f>INDEX('Data_Price '!AO$2:AO$1266,MATCH(Data!$DN219,'Data_Price '!$AT$2:$AT$1266,0))</f>
        <v/>
      </c>
      <c r="DG219">
        <f>INDEX('Data_Price '!AP$2:AP$1266,MATCH(Data!$DN219,'Data_Price '!$AT$2:$AT$1266,0))</f>
        <v/>
      </c>
      <c r="DH219">
        <f>INDEX('Data_Price '!AQ$2:AQ$1266,MATCH(Data!$DN219,'Data_Price '!$AT$2:$AT$1266,0))</f>
        <v/>
      </c>
      <c r="DI219">
        <f>INDEX('Data_Price '!AR$2:AR$1266,MATCH(Data!$DN219,'Data_Price '!$AT$2:$AT$1266,0))</f>
        <v/>
      </c>
      <c r="DJ219" s="138">
        <f>DA219</f>
        <v/>
      </c>
      <c r="DK219" s="138">
        <f>DE219</f>
        <v/>
      </c>
      <c r="DL219" s="138">
        <f>DI219</f>
        <v/>
      </c>
      <c r="DM219" s="303">
        <f>IF(LEFT(BT219,1)=" ",RIGHT(BT219,LEN(BT219)-1),BT219)</f>
        <v/>
      </c>
      <c r="DN219" s="138">
        <f>_xlfn.CONCAT(BS219,DM219,BU219,BV219)</f>
        <v/>
      </c>
      <c r="DO219" s="307" t="n"/>
    </row>
    <row r="220" ht="15.6" customHeight="1" s="184">
      <c r="B220" s="303">
        <f t="array" ref="B220">IF(OR(ISERROR(K220:P220)),FALSE,TRUE)</f>
        <v/>
      </c>
      <c r="C220" s="60">
        <f>OR(BR220=Driver!$G$50,Data!BR1208=Driver!$H$50)</f>
        <v/>
      </c>
      <c r="D220" s="60">
        <f>OR(BV220=Driver!$G$51,BV220=Driver!$H$51)</f>
        <v/>
      </c>
      <c r="E220" s="60">
        <f>AND(BX220&gt;Driver!$F$54,BX220&lt;Driver!$G$54)</f>
        <v/>
      </c>
      <c r="F220" s="60">
        <f>CL220&gt;Driver!$F$56</f>
        <v/>
      </c>
      <c r="G220" s="60">
        <f>AND(CB220&gt;Driver!$F$55,CB220&lt;Driver!$G$55)</f>
        <v/>
      </c>
      <c r="H220" s="60">
        <f>AND(B220:G220)</f>
        <v/>
      </c>
      <c r="I220" s="60">
        <f>COUNTIFS($H$9:$H$1273,TRUE,$BT$9:$BT$1273,BT220)</f>
        <v/>
      </c>
      <c r="J220" s="60">
        <f t="array" ref="J220">NOT(OR(($H$9:$H$1273=TRUE)*($I$9:$I$1273&gt;0)*($BT$9:$BT$1273=BT220)*($K$9:$K$1273&gt;K220)))</f>
        <v/>
      </c>
      <c r="K220" s="108">
        <f>IFERROR(1-AVERAGE(X220:Y220),"")</f>
        <v/>
      </c>
      <c r="L220" s="108">
        <f>1-X220</f>
        <v/>
      </c>
      <c r="M220" s="108">
        <f>1-Y220</f>
        <v/>
      </c>
      <c r="N220" s="108">
        <f>1-Z220</f>
        <v/>
      </c>
      <c r="O220" s="108">
        <f>1-AA220</f>
        <v/>
      </c>
      <c r="P220" s="108">
        <f>1-AB220</f>
        <v/>
      </c>
      <c r="Q220" s="108" t="n"/>
      <c r="R220" s="108" t="n"/>
      <c r="S220" s="108">
        <f>1-AE220</f>
        <v/>
      </c>
      <c r="T220" s="108">
        <f>1-AF220</f>
        <v/>
      </c>
      <c r="U220" s="108">
        <f>1-AG220</f>
        <v/>
      </c>
      <c r="V220" s="108">
        <f>1-AH220</f>
        <v/>
      </c>
      <c r="W220" s="108">
        <f>1-AI220</f>
        <v/>
      </c>
      <c r="X220" s="108">
        <f>ABS(AJ220-AJ$1)</f>
        <v/>
      </c>
      <c r="Y220" s="108">
        <f>AVERAGE(Z220:AB220)</f>
        <v/>
      </c>
      <c r="Z220" s="108">
        <f>ABS(AL220-AL$1)</f>
        <v/>
      </c>
      <c r="AA220" s="108">
        <f>ABS(AM220-AM$1)</f>
        <v/>
      </c>
      <c r="AB220" s="108">
        <f>ABS(AN220-AN$1)</f>
        <v/>
      </c>
      <c r="AC220" s="108" t="n"/>
      <c r="AD220" s="108" t="n"/>
      <c r="AE220" s="108">
        <f>ABS(AQ$1-AQ220)</f>
        <v/>
      </c>
      <c r="AF220" s="108">
        <f>ABS(AR$1-AR220)</f>
        <v/>
      </c>
      <c r="AG220" s="108">
        <f>ABS(AS$1-AS220)</f>
        <v/>
      </c>
      <c r="AH220" s="108">
        <f>ABS(AT$1-AT220)</f>
        <v/>
      </c>
      <c r="AI220" s="108">
        <f>ABS(AU$1-AU220)</f>
        <v/>
      </c>
      <c r="AJ220" s="108">
        <f>(AV220-Driver!$K$179)/(Driver!$L$179-Driver!$K$179)</f>
        <v/>
      </c>
      <c r="AK220" s="108">
        <f>(AW220-Driver!$K$180)/(Driver!$L$180-Driver!$K$180)</f>
        <v/>
      </c>
      <c r="AL220" s="108">
        <f>(AX220-Driver!$K$181)/(Driver!$L$181-Driver!$K$181)</f>
        <v/>
      </c>
      <c r="AM220" s="108">
        <f>(AY220-Driver!$K$182)/(Driver!$L$182-Driver!$K$182)</f>
        <v/>
      </c>
      <c r="AN220" s="108">
        <f>(AZ220-Driver!$K$183)/(Driver!$L$183-Driver!$K$183)</f>
        <v/>
      </c>
      <c r="AO220" s="108" t="n"/>
      <c r="AP220" s="108" t="n"/>
      <c r="AQ220" s="108">
        <f>(BC220-Driver!$K$188)/(Driver!$L$188-Driver!$K$188)</f>
        <v/>
      </c>
      <c r="AR220" s="108">
        <f>MIN((BD220-Driver!$K$189)/(Driver!$L$189-Driver!$K$189),100%)</f>
        <v/>
      </c>
      <c r="AS220" s="108">
        <f>(BE220-Driver!$K$190)/(Driver!$L$190-Driver!$K$190)</f>
        <v/>
      </c>
      <c r="AT220" s="108">
        <f>(BF220-Driver!$K$191)/(Driver!$L$191-Driver!$K$191)</f>
        <v/>
      </c>
      <c r="AU220" s="108">
        <f>(BG220-Driver!$K$192)/(Driver!$L$192-Driver!$K$192)</f>
        <v/>
      </c>
      <c r="AV220" s="105">
        <f>IFERROR(BM220*BJ220^1/4,"")</f>
        <v/>
      </c>
      <c r="AW220" s="105">
        <f>IFERROR(SUM(AX220:AZ220),"")</f>
        <v/>
      </c>
      <c r="AX220" s="105">
        <f>IFERROR(BH220,"")</f>
        <v/>
      </c>
      <c r="AY220" s="105">
        <f>IFERROR(Driver!$K$19/Data!BH220/Data!BI220*Data!BK220*Data!BL220,"")</f>
        <v/>
      </c>
      <c r="AZ220" s="105">
        <f>IFERROR(BI220*BN220,"")</f>
        <v/>
      </c>
      <c r="BA220" s="105" t="n"/>
      <c r="BB220" s="105" t="n"/>
      <c r="BC220" s="105">
        <f>IFERROR(BI220*BN220*BK220/BJ220^(1/2),"")</f>
        <v/>
      </c>
      <c r="BD220" s="105">
        <f>IFERROR(BH220*BM220*BL220/BJ220/BK220,"")</f>
        <v/>
      </c>
      <c r="BE220" s="105">
        <f>IFERROR(MIN(BI220/BQ220/BP220/BO220/BH220,$BE$1),"")</f>
        <v/>
      </c>
      <c r="BF220" s="105">
        <f>IFERROR(BJ220*BO220*BP220/BK220,"")</f>
        <v/>
      </c>
      <c r="BG220" s="105">
        <f>IFERROR(1/BM220/BH220*BQ220,"")</f>
        <v/>
      </c>
      <c r="BH220" s="102">
        <f>MAX((CE220-Driver!$F$200)/(Driver!$G$200-Driver!$F$200)*$BI$1,1)</f>
        <v/>
      </c>
      <c r="BI220" s="102">
        <f>MAX($BI$1*(BY220-Driver!$F$201)/(Driver!$G$201-Driver!$F$201),1)</f>
        <v/>
      </c>
      <c r="BJ220" s="102">
        <f>(CB220-Driver!$F$206)/(Driver!$G$206-Driver!$F$206)*$BI$1</f>
        <v/>
      </c>
      <c r="BK220" s="102">
        <f>(CD220-Driver!$F$203)/(Driver!$G$203-Driver!$F$203)*$BI$1</f>
        <v/>
      </c>
      <c r="BL220" s="102">
        <f>MAX((CR220-Driver!$F$202)/(Driver!$G$202-Driver!$F$202)*$BI$1,1)</f>
        <v/>
      </c>
      <c r="BM220" s="102">
        <f>MAX((CH220-Driver!$F$204)/(Driver!$G$204-Driver!$F$204)*$BI$1,1)</f>
        <v/>
      </c>
      <c r="BN220" s="102">
        <f>(CI220-Driver!$F$205)/(Driver!$G$205-Driver!$F$205)*$BI$1</f>
        <v/>
      </c>
      <c r="BO220" s="102">
        <f>(CK220-Driver!$F$207)/(Driver!$G$207-Driver!$F$207)*$BI$1</f>
        <v/>
      </c>
      <c r="BP220" s="102">
        <f>(CM220-Driver!$F$208)/(Driver!$G$208-Driver!$F$208)*$BI$1</f>
        <v/>
      </c>
      <c r="BQ220" s="102">
        <f>(CL220-Driver!$F$209)/(Driver!$G$209-Driver!$F$209)*$BI$1</f>
        <v/>
      </c>
      <c r="BR220" s="40" t="inlineStr">
        <is>
          <t>21/22</t>
        </is>
      </c>
      <c r="BS220" s="10" t="inlineStr">
        <is>
          <t xml:space="preserve"> Völkl</t>
        </is>
      </c>
      <c r="BT220" s="11" t="inlineStr">
        <is>
          <t>Kendo 88</t>
        </is>
      </c>
      <c r="BU220" s="13" t="n">
        <v>163</v>
      </c>
      <c r="BV220" s="11" t="inlineStr">
        <is>
          <t xml:space="preserve"> Unisex</t>
        </is>
      </c>
      <c r="BW220" s="13" t="n">
        <v>163</v>
      </c>
      <c r="BX220" s="13" t="n">
        <v>163.4</v>
      </c>
      <c r="BY220" s="13" t="n">
        <v>106</v>
      </c>
      <c r="BZ220" s="13" t="n">
        <v>140</v>
      </c>
      <c r="CA220" s="13" t="n">
        <v>128</v>
      </c>
      <c r="CB220" s="13" t="n">
        <v>87</v>
      </c>
      <c r="CC220" s="13" t="n">
        <v>110</v>
      </c>
      <c r="CD220" s="13" t="n">
        <v>14.6</v>
      </c>
      <c r="CE220" s="13" t="n">
        <v>1722</v>
      </c>
      <c r="CF220" s="13" t="n">
        <v>0.95</v>
      </c>
      <c r="CG220" s="13" t="n">
        <v>1637</v>
      </c>
      <c r="CH220" s="13" t="n">
        <v>202</v>
      </c>
      <c r="CI220" s="13" t="n">
        <v>128</v>
      </c>
      <c r="CJ220" s="13" t="n">
        <v>40</v>
      </c>
      <c r="CK220" s="13" t="n">
        <v>345</v>
      </c>
      <c r="CL220" s="13" t="n">
        <v>17</v>
      </c>
      <c r="CM220" s="13" t="n">
        <v>228</v>
      </c>
      <c r="CN220" s="13" t="n">
        <v>0.416</v>
      </c>
      <c r="CO220" s="13" t="n">
        <v>130</v>
      </c>
      <c r="CP220" s="13" t="n">
        <v>106</v>
      </c>
      <c r="CQ220" s="13" t="n">
        <v>215</v>
      </c>
      <c r="CR220" s="13" t="n">
        <v>3</v>
      </c>
      <c r="CS220" s="13" t="n">
        <v>11.8</v>
      </c>
      <c r="CT220" s="11" t="inlineStr">
        <is>
          <t xml:space="preserve"> Resort Freeride</t>
        </is>
      </c>
      <c r="CU220" s="13" t="n"/>
      <c r="CV220" s="13" t="n"/>
      <c r="CW220" s="13" t="n"/>
      <c r="CX220">
        <f>INDEX('Data_Price '!AG$2:AG$1266,MATCH(Data!$DN220,'Data_Price '!$AT$2:$AT$1266,0))</f>
        <v/>
      </c>
      <c r="CY220">
        <f>INDEX('Data_Price '!AH$2:AH$1266,MATCH(Data!$DN220,'Data_Price '!$AT$2:$AT$1266,0))</f>
        <v/>
      </c>
      <c r="CZ220">
        <f>INDEX('Data_Price '!AI$2:AI$1266,MATCH(Data!$DN220,'Data_Price '!$AT$2:$AT$1266,0))</f>
        <v/>
      </c>
      <c r="DA220">
        <f>INDEX('Data_Price '!AJ$2:AJ$1266,MATCH(Data!$DN220,'Data_Price '!$AT$2:$AT$1266,0))</f>
        <v/>
      </c>
      <c r="DB220">
        <f>INDEX('Data_Price '!AK$2:AK$1266,MATCH(Data!$DN220,'Data_Price '!$AT$2:$AT$1266,0))</f>
        <v/>
      </c>
      <c r="DC220">
        <f>INDEX('Data_Price '!AL$2:AL$1266,MATCH(Data!$DN220,'Data_Price '!$AT$2:$AT$1266,0))</f>
        <v/>
      </c>
      <c r="DD220">
        <f>INDEX('Data_Price '!AM$2:AM$1266,MATCH(Data!$DN220,'Data_Price '!$AT$2:$AT$1266,0))</f>
        <v/>
      </c>
      <c r="DE220">
        <f>INDEX('Data_Price '!AN$2:AN$1266,MATCH(Data!$DN220,'Data_Price '!$AT$2:$AT$1266,0))</f>
        <v/>
      </c>
      <c r="DF220">
        <f>INDEX('Data_Price '!AO$2:AO$1266,MATCH(Data!$DN220,'Data_Price '!$AT$2:$AT$1266,0))</f>
        <v/>
      </c>
      <c r="DG220">
        <f>INDEX('Data_Price '!AP$2:AP$1266,MATCH(Data!$DN220,'Data_Price '!$AT$2:$AT$1266,0))</f>
        <v/>
      </c>
      <c r="DH220">
        <f>INDEX('Data_Price '!AQ$2:AQ$1266,MATCH(Data!$DN220,'Data_Price '!$AT$2:$AT$1266,0))</f>
        <v/>
      </c>
      <c r="DI220">
        <f>INDEX('Data_Price '!AR$2:AR$1266,MATCH(Data!$DN220,'Data_Price '!$AT$2:$AT$1266,0))</f>
        <v/>
      </c>
      <c r="DJ220" s="138">
        <f>DA220</f>
        <v/>
      </c>
      <c r="DK220" s="138">
        <f>DE220</f>
        <v/>
      </c>
      <c r="DL220" s="138">
        <f>DI220</f>
        <v/>
      </c>
      <c r="DM220" s="303">
        <f>IF(LEFT(BT220,1)=" ",RIGHT(BT220,LEN(BT220)-1),BT220)</f>
        <v/>
      </c>
      <c r="DN220" s="138">
        <f>_xlfn.CONCAT(BS220,DM220,BU220,BV220)</f>
        <v/>
      </c>
      <c r="DO220" s="307" t="n"/>
    </row>
    <row r="221" ht="15.6" customHeight="1" s="184">
      <c r="B221" s="303">
        <f t="array" ref="B221">IF(OR(ISERROR(K221:P221)),FALSE,TRUE)</f>
        <v/>
      </c>
      <c r="C221" s="60">
        <f>OR(BR221=Driver!$G$50,Data!BR131=Driver!$H$50)</f>
        <v/>
      </c>
      <c r="D221" s="60">
        <f>OR(BV221=Driver!$G$51,BV221=Driver!$H$51)</f>
        <v/>
      </c>
      <c r="E221" s="60">
        <f>AND(BX221&gt;Driver!$F$54,BX221&lt;Driver!$G$54)</f>
        <v/>
      </c>
      <c r="F221" s="60">
        <f>CL221&gt;Driver!$F$56</f>
        <v/>
      </c>
      <c r="G221" s="60">
        <f>AND(CB221&gt;Driver!$F$55,CB221&lt;Driver!$G$55)</f>
        <v/>
      </c>
      <c r="H221" s="60">
        <f>AND(B221:G221)</f>
        <v/>
      </c>
      <c r="I221" s="60">
        <f>COUNTIFS($H$9:$H$1273,TRUE,$BT$9:$BT$1273,BT221)</f>
        <v/>
      </c>
      <c r="J221" s="60">
        <f t="array" ref="J221">NOT(OR(($H$9:$H$1273=TRUE)*($I$9:$I$1273&gt;0)*($BT$9:$BT$1273=BT221)*($K$9:$K$1273&gt;K221)))</f>
        <v/>
      </c>
      <c r="K221" s="108">
        <f>IFERROR(1-AVERAGE(X221:Y221),"")</f>
        <v/>
      </c>
      <c r="L221" s="108">
        <f>1-X221</f>
        <v/>
      </c>
      <c r="M221" s="108">
        <f>1-Y221</f>
        <v/>
      </c>
      <c r="N221" s="108">
        <f>1-Z221</f>
        <v/>
      </c>
      <c r="O221" s="108">
        <f>1-AA221</f>
        <v/>
      </c>
      <c r="P221" s="108">
        <f>1-AB221</f>
        <v/>
      </c>
      <c r="Q221" s="108" t="n"/>
      <c r="R221" s="108" t="n"/>
      <c r="S221" s="108">
        <f>1-AE221</f>
        <v/>
      </c>
      <c r="T221" s="108">
        <f>1-AF221</f>
        <v/>
      </c>
      <c r="U221" s="108">
        <f>1-AG221</f>
        <v/>
      </c>
      <c r="V221" s="108">
        <f>1-AH221</f>
        <v/>
      </c>
      <c r="W221" s="108">
        <f>1-AI221</f>
        <v/>
      </c>
      <c r="X221" s="108">
        <f>ABS(AJ221-AJ$1)</f>
        <v/>
      </c>
      <c r="Y221" s="108">
        <f>AVERAGE(Z221:AB221)</f>
        <v/>
      </c>
      <c r="Z221" s="108">
        <f>ABS(AL221-AL$1)</f>
        <v/>
      </c>
      <c r="AA221" s="108">
        <f>ABS(AM221-AM$1)</f>
        <v/>
      </c>
      <c r="AB221" s="108">
        <f>ABS(AN221-AN$1)</f>
        <v/>
      </c>
      <c r="AC221" s="108" t="n"/>
      <c r="AD221" s="108" t="n"/>
      <c r="AE221" s="108">
        <f>ABS(AQ$1-AQ221)</f>
        <v/>
      </c>
      <c r="AF221" s="108">
        <f>ABS(AR$1-AR221)</f>
        <v/>
      </c>
      <c r="AG221" s="108">
        <f>ABS(AS$1-AS221)</f>
        <v/>
      </c>
      <c r="AH221" s="108">
        <f>ABS(AT$1-AT221)</f>
        <v/>
      </c>
      <c r="AI221" s="108">
        <f>ABS(AU$1-AU221)</f>
        <v/>
      </c>
      <c r="AJ221" s="108">
        <f>(AV221-Driver!$K$179)/(Driver!$L$179-Driver!$K$179)</f>
        <v/>
      </c>
      <c r="AK221" s="108">
        <f>(AW221-Driver!$K$180)/(Driver!$L$180-Driver!$K$180)</f>
        <v/>
      </c>
      <c r="AL221" s="108">
        <f>(AX221-Driver!$K$181)/(Driver!$L$181-Driver!$K$181)</f>
        <v/>
      </c>
      <c r="AM221" s="108">
        <f>(AY221-Driver!$K$182)/(Driver!$L$182-Driver!$K$182)</f>
        <v/>
      </c>
      <c r="AN221" s="108">
        <f>(AZ221-Driver!$K$183)/(Driver!$L$183-Driver!$K$183)</f>
        <v/>
      </c>
      <c r="AO221" s="108" t="n"/>
      <c r="AP221" s="108" t="n"/>
      <c r="AQ221" s="108">
        <f>(BC221-Driver!$K$188)/(Driver!$L$188-Driver!$K$188)</f>
        <v/>
      </c>
      <c r="AR221" s="108">
        <f>MIN((BD221-Driver!$K$189)/(Driver!$L$189-Driver!$K$189),100%)</f>
        <v/>
      </c>
      <c r="AS221" s="108">
        <f>(BE221-Driver!$K$190)/(Driver!$L$190-Driver!$K$190)</f>
        <v/>
      </c>
      <c r="AT221" s="108">
        <f>(BF221-Driver!$K$191)/(Driver!$L$191-Driver!$K$191)</f>
        <v/>
      </c>
      <c r="AU221" s="108">
        <f>(BG221-Driver!$K$192)/(Driver!$L$192-Driver!$K$192)</f>
        <v/>
      </c>
      <c r="AV221" s="105">
        <f>IFERROR(BM221*BJ221^1/4,"")</f>
        <v/>
      </c>
      <c r="AW221" s="105">
        <f>IFERROR(SUM(AX221:AZ221),"")</f>
        <v/>
      </c>
      <c r="AX221" s="105">
        <f>IFERROR(BH221,"")</f>
        <v/>
      </c>
      <c r="AY221" s="105">
        <f>IFERROR(Driver!$K$19/Data!BH221/Data!BI221*Data!BK221*Data!BL221,"")</f>
        <v/>
      </c>
      <c r="AZ221" s="105">
        <f>IFERROR(BI221*BN221,"")</f>
        <v/>
      </c>
      <c r="BA221" s="105" t="n"/>
      <c r="BB221" s="105" t="n"/>
      <c r="BC221" s="105">
        <f>IFERROR(BI221*BN221*BK221/BJ221^(1/2),"")</f>
        <v/>
      </c>
      <c r="BD221" s="105">
        <f>IFERROR(BH221*BM221*BL221/BJ221/BK221,"")</f>
        <v/>
      </c>
      <c r="BE221" s="105">
        <f>IFERROR(MIN(BI221/BQ221/BP221/BO221/BH221,$BE$1),"")</f>
        <v/>
      </c>
      <c r="BF221" s="105">
        <f>IFERROR(BJ221*BO221*BP221/BK221,"")</f>
        <v/>
      </c>
      <c r="BG221" s="105">
        <f>IFERROR(1/BM221/BH221*BQ221,"")</f>
        <v/>
      </c>
      <c r="BH221" s="102">
        <f>MAX((CE221-Driver!$F$200)/(Driver!$G$200-Driver!$F$200)*$BI$1,1)</f>
        <v/>
      </c>
      <c r="BI221" s="102">
        <f>MAX($BI$1*(BY221-Driver!$F$201)/(Driver!$G$201-Driver!$F$201),1)</f>
        <v/>
      </c>
      <c r="BJ221" s="102">
        <f>(CB221-Driver!$F$206)/(Driver!$G$206-Driver!$F$206)*$BI$1</f>
        <v/>
      </c>
      <c r="BK221" s="102">
        <f>(CD221-Driver!$F$203)/(Driver!$G$203-Driver!$F$203)*$BI$1</f>
        <v/>
      </c>
      <c r="BL221" s="102">
        <f>MAX((CR221-Driver!$F$202)/(Driver!$G$202-Driver!$F$202)*$BI$1,1)</f>
        <v/>
      </c>
      <c r="BM221" s="102">
        <f>MAX((CH221-Driver!$F$204)/(Driver!$G$204-Driver!$F$204)*$BI$1,1)</f>
        <v/>
      </c>
      <c r="BN221" s="102">
        <f>(CI221-Driver!$F$205)/(Driver!$G$205-Driver!$F$205)*$BI$1</f>
        <v/>
      </c>
      <c r="BO221" s="102">
        <f>(CK221-Driver!$F$207)/(Driver!$G$207-Driver!$F$207)*$BI$1</f>
        <v/>
      </c>
      <c r="BP221" s="102">
        <f>(CM221-Driver!$F$208)/(Driver!$G$208-Driver!$F$208)*$BI$1</f>
        <v/>
      </c>
      <c r="BQ221" s="102">
        <f>(CL221-Driver!$F$209)/(Driver!$G$209-Driver!$F$209)*$BI$1</f>
        <v/>
      </c>
      <c r="BR221" s="40" t="inlineStr">
        <is>
          <t>21/22</t>
        </is>
      </c>
      <c r="BS221" s="10" t="inlineStr">
        <is>
          <t xml:space="preserve"> Atomic</t>
        </is>
      </c>
      <c r="BT221" s="11" t="inlineStr">
        <is>
          <t>Bent Chetler 100</t>
        </is>
      </c>
      <c r="BU221" s="13" t="n">
        <v>164</v>
      </c>
      <c r="BV221" s="11" t="inlineStr">
        <is>
          <t xml:space="preserve"> Unisex</t>
        </is>
      </c>
      <c r="BW221" s="13" t="n">
        <v>164</v>
      </c>
      <c r="BX221" s="13" t="n">
        <v>163.4</v>
      </c>
      <c r="BY221" s="13" t="n">
        <v>115</v>
      </c>
      <c r="BZ221" s="13" t="n">
        <v>129</v>
      </c>
      <c r="CA221" s="13" t="n">
        <v>127</v>
      </c>
      <c r="CB221" s="13" t="n">
        <v>99</v>
      </c>
      <c r="CC221" s="13" t="n">
        <v>117</v>
      </c>
      <c r="CD221" s="13" t="n">
        <v>16.3</v>
      </c>
      <c r="CE221" s="13" t="n">
        <v>1568</v>
      </c>
      <c r="CF221" s="13" t="n">
        <v>1.11</v>
      </c>
      <c r="CG221" s="13" t="n">
        <v>1733</v>
      </c>
      <c r="CH221" s="13" t="n">
        <v>165</v>
      </c>
      <c r="CI221" s="13" t="n">
        <v>99</v>
      </c>
      <c r="CJ221" s="13" t="n">
        <v>48</v>
      </c>
      <c r="CK221" s="13" t="n">
        <v>297</v>
      </c>
      <c r="CL221" s="13" t="n">
        <v>30</v>
      </c>
      <c r="CM221" s="13" t="n">
        <v>187</v>
      </c>
      <c r="CN221" s="13" t="n">
        <v>0.619</v>
      </c>
      <c r="CO221" s="13" t="n">
        <v>187</v>
      </c>
      <c r="CP221" s="13" t="n">
        <v>160</v>
      </c>
      <c r="CQ221" s="13" t="n">
        <v>110</v>
      </c>
      <c r="CR221" s="13" t="n">
        <v>8</v>
      </c>
      <c r="CS221" s="13" t="n">
        <v>7.9</v>
      </c>
      <c r="CT221" s="11" t="inlineStr">
        <is>
          <t xml:space="preserve"> Resort Freeride</t>
        </is>
      </c>
      <c r="CU221" s="11" t="inlineStr">
        <is>
          <t xml:space="preserve"> Touring</t>
        </is>
      </c>
      <c r="CV221" s="13" t="n"/>
      <c r="CW221" s="13" t="n"/>
      <c r="CX221">
        <f>INDEX('Data_Price '!AG$2:AG$1266,MATCH(Data!$DN221,'Data_Price '!$AT$2:$AT$1266,0))</f>
        <v/>
      </c>
      <c r="CY221">
        <f>INDEX('Data_Price '!AH$2:AH$1266,MATCH(Data!$DN221,'Data_Price '!$AT$2:$AT$1266,0))</f>
        <v/>
      </c>
      <c r="CZ221">
        <f>INDEX('Data_Price '!AI$2:AI$1266,MATCH(Data!$DN221,'Data_Price '!$AT$2:$AT$1266,0))</f>
        <v/>
      </c>
      <c r="DA221">
        <f>INDEX('Data_Price '!AJ$2:AJ$1266,MATCH(Data!$DN221,'Data_Price '!$AT$2:$AT$1266,0))</f>
        <v/>
      </c>
      <c r="DB221">
        <f>INDEX('Data_Price '!AK$2:AK$1266,MATCH(Data!$DN221,'Data_Price '!$AT$2:$AT$1266,0))</f>
        <v/>
      </c>
      <c r="DC221">
        <f>INDEX('Data_Price '!AL$2:AL$1266,MATCH(Data!$DN221,'Data_Price '!$AT$2:$AT$1266,0))</f>
        <v/>
      </c>
      <c r="DD221">
        <f>INDEX('Data_Price '!AM$2:AM$1266,MATCH(Data!$DN221,'Data_Price '!$AT$2:$AT$1266,0))</f>
        <v/>
      </c>
      <c r="DE221">
        <f>INDEX('Data_Price '!AN$2:AN$1266,MATCH(Data!$DN221,'Data_Price '!$AT$2:$AT$1266,0))</f>
        <v/>
      </c>
      <c r="DF221">
        <f>INDEX('Data_Price '!AO$2:AO$1266,MATCH(Data!$DN221,'Data_Price '!$AT$2:$AT$1266,0))</f>
        <v/>
      </c>
      <c r="DG221">
        <f>INDEX('Data_Price '!AP$2:AP$1266,MATCH(Data!$DN221,'Data_Price '!$AT$2:$AT$1266,0))</f>
        <v/>
      </c>
      <c r="DH221">
        <f>INDEX('Data_Price '!AQ$2:AQ$1266,MATCH(Data!$DN221,'Data_Price '!$AT$2:$AT$1266,0))</f>
        <v/>
      </c>
      <c r="DI221">
        <f>INDEX('Data_Price '!AR$2:AR$1266,MATCH(Data!$DN221,'Data_Price '!$AT$2:$AT$1266,0))</f>
        <v/>
      </c>
      <c r="DJ221" s="138">
        <f>DA221</f>
        <v/>
      </c>
      <c r="DK221" s="138">
        <f>DE221</f>
        <v/>
      </c>
      <c r="DL221" s="138">
        <f>DI221</f>
        <v/>
      </c>
      <c r="DM221" s="303">
        <f>IF(LEFT(BT221,1)=" ",RIGHT(BT221,LEN(BT221)-1),BT221)</f>
        <v/>
      </c>
      <c r="DN221" s="138">
        <f>_xlfn.CONCAT(BS221,DM221,BU221,BV221)</f>
        <v/>
      </c>
      <c r="DO221" s="307" t="inlineStr">
        <is>
          <t>https://images.evo.com/imgp/250/197747/826833/atomic-bent-chetler-100-skis-2022-.jpg</t>
        </is>
      </c>
    </row>
    <row r="222" ht="15.6" customHeight="1" s="184">
      <c r="B222" s="303">
        <f t="array" ref="B222">IF(OR(ISERROR(K222:P222)),FALSE,TRUE)</f>
        <v/>
      </c>
      <c r="C222" s="60">
        <f>OR(BR222=Driver!$G$50,Data!BR577=Driver!$H$50)</f>
        <v/>
      </c>
      <c r="D222" s="60">
        <f>OR(BV222=Driver!$G$51,BV222=Driver!$H$51)</f>
        <v/>
      </c>
      <c r="E222" s="60">
        <f>AND(BX222&gt;Driver!$F$54,BX222&lt;Driver!$G$54)</f>
        <v/>
      </c>
      <c r="F222" s="60">
        <f>CL222&gt;Driver!$F$56</f>
        <v/>
      </c>
      <c r="G222" s="60">
        <f>AND(CB222&gt;Driver!$F$55,CB222&lt;Driver!$G$55)</f>
        <v/>
      </c>
      <c r="H222" s="60">
        <f>AND(B222:G222)</f>
        <v/>
      </c>
      <c r="I222" s="60">
        <f>COUNTIFS($H$9:$H$1273,TRUE,$BT$9:$BT$1273,BT222)</f>
        <v/>
      </c>
      <c r="J222" s="60">
        <f t="array" ref="J222">NOT(OR(($H$9:$H$1273=TRUE)*($I$9:$I$1273&gt;0)*($BT$9:$BT$1273=BT222)*($K$9:$K$1273&gt;K222)))</f>
        <v/>
      </c>
      <c r="K222" s="108">
        <f>IFERROR(1-AVERAGE(X222:Y222),"")</f>
        <v/>
      </c>
      <c r="L222" s="108">
        <f>1-X222</f>
        <v/>
      </c>
      <c r="M222" s="108">
        <f>1-Y222</f>
        <v/>
      </c>
      <c r="N222" s="108">
        <f>1-Z222</f>
        <v/>
      </c>
      <c r="O222" s="108">
        <f>1-AA222</f>
        <v/>
      </c>
      <c r="P222" s="108">
        <f>1-AB222</f>
        <v/>
      </c>
      <c r="Q222" s="108" t="n"/>
      <c r="R222" s="108" t="n"/>
      <c r="S222" s="108">
        <f>1-AE222</f>
        <v/>
      </c>
      <c r="T222" s="108">
        <f>1-AF222</f>
        <v/>
      </c>
      <c r="U222" s="108">
        <f>1-AG222</f>
        <v/>
      </c>
      <c r="V222" s="108">
        <f>1-AH222</f>
        <v/>
      </c>
      <c r="W222" s="108">
        <f>1-AI222</f>
        <v/>
      </c>
      <c r="X222" s="108">
        <f>ABS(AJ222-AJ$1)</f>
        <v/>
      </c>
      <c r="Y222" s="108">
        <f>AVERAGE(Z222:AB222)</f>
        <v/>
      </c>
      <c r="Z222" s="108">
        <f>ABS(AL222-AL$1)</f>
        <v/>
      </c>
      <c r="AA222" s="108">
        <f>ABS(AM222-AM$1)</f>
        <v/>
      </c>
      <c r="AB222" s="108">
        <f>ABS(AN222-AN$1)</f>
        <v/>
      </c>
      <c r="AC222" s="108" t="n"/>
      <c r="AD222" s="108" t="n"/>
      <c r="AE222" s="108">
        <f>ABS(AQ$1-AQ222)</f>
        <v/>
      </c>
      <c r="AF222" s="108">
        <f>ABS(AR$1-AR222)</f>
        <v/>
      </c>
      <c r="AG222" s="108">
        <f>ABS(AS$1-AS222)</f>
        <v/>
      </c>
      <c r="AH222" s="108">
        <f>ABS(AT$1-AT222)</f>
        <v/>
      </c>
      <c r="AI222" s="108">
        <f>ABS(AU$1-AU222)</f>
        <v/>
      </c>
      <c r="AJ222" s="108">
        <f>(AV222-Driver!$K$179)/(Driver!$L$179-Driver!$K$179)</f>
        <v/>
      </c>
      <c r="AK222" s="108">
        <f>(AW222-Driver!$K$180)/(Driver!$L$180-Driver!$K$180)</f>
        <v/>
      </c>
      <c r="AL222" s="108">
        <f>(AX222-Driver!$K$181)/(Driver!$L$181-Driver!$K$181)</f>
        <v/>
      </c>
      <c r="AM222" s="108">
        <f>(AY222-Driver!$K$182)/(Driver!$L$182-Driver!$K$182)</f>
        <v/>
      </c>
      <c r="AN222" s="108">
        <f>(AZ222-Driver!$K$183)/(Driver!$L$183-Driver!$K$183)</f>
        <v/>
      </c>
      <c r="AO222" s="108" t="n"/>
      <c r="AP222" s="108" t="n"/>
      <c r="AQ222" s="108">
        <f>(BC222-Driver!$K$188)/(Driver!$L$188-Driver!$K$188)</f>
        <v/>
      </c>
      <c r="AR222" s="108">
        <f>MIN((BD222-Driver!$K$189)/(Driver!$L$189-Driver!$K$189),100%)</f>
        <v/>
      </c>
      <c r="AS222" s="108">
        <f>(BE222-Driver!$K$190)/(Driver!$L$190-Driver!$K$190)</f>
        <v/>
      </c>
      <c r="AT222" s="108">
        <f>(BF222-Driver!$K$191)/(Driver!$L$191-Driver!$K$191)</f>
        <v/>
      </c>
      <c r="AU222" s="108">
        <f>(BG222-Driver!$K$192)/(Driver!$L$192-Driver!$K$192)</f>
        <v/>
      </c>
      <c r="AV222" s="105">
        <f>IFERROR(BM222*BJ222^1/4,"")</f>
        <v/>
      </c>
      <c r="AW222" s="105">
        <f>IFERROR(SUM(AX222:AZ222),"")</f>
        <v/>
      </c>
      <c r="AX222" s="105">
        <f>IFERROR(BH222,"")</f>
        <v/>
      </c>
      <c r="AY222" s="105">
        <f>IFERROR(Driver!$K$19/Data!BH222/Data!BI222*Data!BK222*Data!BL222,"")</f>
        <v/>
      </c>
      <c r="AZ222" s="105">
        <f>IFERROR(BI222*BN222,"")</f>
        <v/>
      </c>
      <c r="BA222" s="105" t="n"/>
      <c r="BB222" s="105" t="n"/>
      <c r="BC222" s="105">
        <f>IFERROR(BI222*BN222*BK222/BJ222^(1/2),"")</f>
        <v/>
      </c>
      <c r="BD222" s="105">
        <f>IFERROR(BH222*BM222*BL222/BJ222/BK222,"")</f>
        <v/>
      </c>
      <c r="BE222" s="105">
        <f>IFERROR(MIN(BI222/BQ222/BP222/BO222/BH222,$BE$1),"")</f>
        <v/>
      </c>
      <c r="BF222" s="105">
        <f>IFERROR(BJ222*BO222*BP222/BK222,"")</f>
        <v/>
      </c>
      <c r="BG222" s="105">
        <f>IFERROR(1/BM222/BH222*BQ222,"")</f>
        <v/>
      </c>
      <c r="BH222" s="102">
        <f>MAX((CE222-Driver!$F$200)/(Driver!$G$200-Driver!$F$200)*$BI$1,1)</f>
        <v/>
      </c>
      <c r="BI222" s="102">
        <f>MAX($BI$1*(BY222-Driver!$F$201)/(Driver!$G$201-Driver!$F$201),1)</f>
        <v/>
      </c>
      <c r="BJ222" s="102">
        <f>(CB222-Driver!$F$206)/(Driver!$G$206-Driver!$F$206)*$BI$1</f>
        <v/>
      </c>
      <c r="BK222" s="102">
        <f>(CD222-Driver!$F$203)/(Driver!$G$203-Driver!$F$203)*$BI$1</f>
        <v/>
      </c>
      <c r="BL222" s="102">
        <f>MAX((CR222-Driver!$F$202)/(Driver!$G$202-Driver!$F$202)*$BI$1,1)</f>
        <v/>
      </c>
      <c r="BM222" s="102">
        <f>MAX((CH222-Driver!$F$204)/(Driver!$G$204-Driver!$F$204)*$BI$1,1)</f>
        <v/>
      </c>
      <c r="BN222" s="102">
        <f>(CI222-Driver!$F$205)/(Driver!$G$205-Driver!$F$205)*$BI$1</f>
        <v/>
      </c>
      <c r="BO222" s="102">
        <f>(CK222-Driver!$F$207)/(Driver!$G$207-Driver!$F$207)*$BI$1</f>
        <v/>
      </c>
      <c r="BP222" s="102">
        <f>(CM222-Driver!$F$208)/(Driver!$G$208-Driver!$F$208)*$BI$1</f>
        <v/>
      </c>
      <c r="BQ222" s="102">
        <f>(CL222-Driver!$F$209)/(Driver!$G$209-Driver!$F$209)*$BI$1</f>
        <v/>
      </c>
      <c r="BR222" s="40" t="inlineStr">
        <is>
          <t>21/22</t>
        </is>
      </c>
      <c r="BS222" s="10" t="inlineStr">
        <is>
          <t xml:space="preserve"> Fischer</t>
        </is>
      </c>
      <c r="BT222" s="11" t="inlineStr">
        <is>
          <t>Ranger 92 Ti W</t>
        </is>
      </c>
      <c r="BU222" s="13" t="n">
        <v>155</v>
      </c>
      <c r="BV222" s="11" t="inlineStr">
        <is>
          <t xml:space="preserve"> Women's</t>
        </is>
      </c>
      <c r="BW222" s="13" t="n">
        <v>155</v>
      </c>
      <c r="BX222" s="13" t="n">
        <v>154.1</v>
      </c>
      <c r="BY222" s="13" t="n">
        <v>109</v>
      </c>
      <c r="BZ222" s="13" t="n">
        <v>131</v>
      </c>
      <c r="CA222" s="13" t="n">
        <v>120</v>
      </c>
      <c r="CB222" s="13" t="n">
        <v>87</v>
      </c>
      <c r="CC222" s="13" t="n">
        <v>109</v>
      </c>
      <c r="CD222" s="13" t="n">
        <v>13.1</v>
      </c>
      <c r="CE222" s="13" t="n">
        <v>1530</v>
      </c>
      <c r="CF222" s="13" t="n">
        <v>1</v>
      </c>
      <c r="CG222" s="13" t="n">
        <v>1525</v>
      </c>
      <c r="CH222" s="13" t="n">
        <v>179</v>
      </c>
      <c r="CI222" s="13" t="n">
        <v>111</v>
      </c>
      <c r="CJ222" s="13" t="n">
        <v>48</v>
      </c>
      <c r="CK222" s="13" t="n">
        <v>288</v>
      </c>
      <c r="CL222" s="13" t="n">
        <v>15</v>
      </c>
      <c r="CM222" s="13" t="n">
        <v>160</v>
      </c>
      <c r="CN222" s="13" t="n">
        <v>0.308</v>
      </c>
      <c r="CO222" s="13" t="n">
        <v>114</v>
      </c>
      <c r="CP222" s="13" t="n">
        <v>119</v>
      </c>
      <c r="CQ222" s="13" t="n">
        <v>173</v>
      </c>
      <c r="CR222" s="13" t="n">
        <v>2</v>
      </c>
      <c r="CS222" s="13" t="n">
        <v>10.1</v>
      </c>
      <c r="CT222" s="11" t="inlineStr">
        <is>
          <t xml:space="preserve"> Resort Freeride</t>
        </is>
      </c>
      <c r="CU222" s="13" t="n"/>
      <c r="CV222" s="13" t="n"/>
      <c r="CW222" s="13" t="n"/>
      <c r="CX222">
        <f>INDEX('Data_Price '!AG$2:AG$1266,MATCH(Data!$DN222,'Data_Price '!$AT$2:$AT$1266,0))</f>
        <v/>
      </c>
      <c r="CY222">
        <f>INDEX('Data_Price '!AH$2:AH$1266,MATCH(Data!$DN222,'Data_Price '!$AT$2:$AT$1266,0))</f>
        <v/>
      </c>
      <c r="CZ222">
        <f>INDEX('Data_Price '!AI$2:AI$1266,MATCH(Data!$DN222,'Data_Price '!$AT$2:$AT$1266,0))</f>
        <v/>
      </c>
      <c r="DA222">
        <f>INDEX('Data_Price '!AJ$2:AJ$1266,MATCH(Data!$DN222,'Data_Price '!$AT$2:$AT$1266,0))</f>
        <v/>
      </c>
      <c r="DB222">
        <f>INDEX('Data_Price '!AK$2:AK$1266,MATCH(Data!$DN222,'Data_Price '!$AT$2:$AT$1266,0))</f>
        <v/>
      </c>
      <c r="DC222">
        <f>INDEX('Data_Price '!AL$2:AL$1266,MATCH(Data!$DN222,'Data_Price '!$AT$2:$AT$1266,0))</f>
        <v/>
      </c>
      <c r="DD222">
        <f>INDEX('Data_Price '!AM$2:AM$1266,MATCH(Data!$DN222,'Data_Price '!$AT$2:$AT$1266,0))</f>
        <v/>
      </c>
      <c r="DE222">
        <f>INDEX('Data_Price '!AN$2:AN$1266,MATCH(Data!$DN222,'Data_Price '!$AT$2:$AT$1266,0))</f>
        <v/>
      </c>
      <c r="DF222">
        <f>INDEX('Data_Price '!AO$2:AO$1266,MATCH(Data!$DN222,'Data_Price '!$AT$2:$AT$1266,0))</f>
        <v/>
      </c>
      <c r="DG222">
        <f>INDEX('Data_Price '!AP$2:AP$1266,MATCH(Data!$DN222,'Data_Price '!$AT$2:$AT$1266,0))</f>
        <v/>
      </c>
      <c r="DH222">
        <f>INDEX('Data_Price '!AQ$2:AQ$1266,MATCH(Data!$DN222,'Data_Price '!$AT$2:$AT$1266,0))</f>
        <v/>
      </c>
      <c r="DI222">
        <f>INDEX('Data_Price '!AR$2:AR$1266,MATCH(Data!$DN222,'Data_Price '!$AT$2:$AT$1266,0))</f>
        <v/>
      </c>
      <c r="DJ222" s="138">
        <f>DA222</f>
        <v/>
      </c>
      <c r="DK222" s="138">
        <f>DE222</f>
        <v/>
      </c>
      <c r="DL222" s="138">
        <f>DI222</f>
        <v/>
      </c>
      <c r="DM222" s="303">
        <f>IF(LEFT(BT222,1)=" ",RIGHT(BT222,LEN(BT222)-1),BT222)</f>
        <v/>
      </c>
      <c r="DN222" s="138">
        <f>_xlfn.CONCAT(BS222,DM222,BU222,BV222)</f>
        <v/>
      </c>
      <c r="DO222" s="307" t="n"/>
    </row>
    <row r="223" ht="15.6" customHeight="1" s="184">
      <c r="B223" s="303">
        <f t="array" ref="B223">IF(OR(ISERROR(K223:P223)),FALSE,TRUE)</f>
        <v/>
      </c>
      <c r="C223" s="60">
        <f>OR(BR223=Driver!$G$50,Data!BR1065=Driver!$H$50)</f>
        <v/>
      </c>
      <c r="D223" s="60">
        <f>OR(BV223=Driver!$G$51,BV223=Driver!$H$51)</f>
        <v/>
      </c>
      <c r="E223" s="60">
        <f>AND(BX223&gt;Driver!$F$54,BX223&lt;Driver!$G$54)</f>
        <v/>
      </c>
      <c r="F223" s="60">
        <f>CL223&gt;Driver!$F$56</f>
        <v/>
      </c>
      <c r="G223" s="60">
        <f>AND(CB223&gt;Driver!$F$55,CB223&lt;Driver!$G$55)</f>
        <v/>
      </c>
      <c r="H223" s="60">
        <f>AND(B223:G223)</f>
        <v/>
      </c>
      <c r="I223" s="60">
        <f>COUNTIFS($H$9:$H$1273,TRUE,$BT$9:$BT$1273,BT223)</f>
        <v/>
      </c>
      <c r="J223" s="60">
        <f t="array" ref="J223">NOT(OR(($H$9:$H$1273=TRUE)*($I$9:$I$1273&gt;0)*($BT$9:$BT$1273=BT223)*($K$9:$K$1273&gt;K223)))</f>
        <v/>
      </c>
      <c r="K223" s="108">
        <f>IFERROR(1-AVERAGE(X223:Y223),"")</f>
        <v/>
      </c>
      <c r="L223" s="108">
        <f>1-X223</f>
        <v/>
      </c>
      <c r="M223" s="108">
        <f>1-Y223</f>
        <v/>
      </c>
      <c r="N223" s="108">
        <f>1-Z223</f>
        <v/>
      </c>
      <c r="O223" s="108">
        <f>1-AA223</f>
        <v/>
      </c>
      <c r="P223" s="108">
        <f>1-AB223</f>
        <v/>
      </c>
      <c r="Q223" s="108" t="n"/>
      <c r="R223" s="108" t="n"/>
      <c r="S223" s="108">
        <f>1-AE223</f>
        <v/>
      </c>
      <c r="T223" s="108">
        <f>1-AF223</f>
        <v/>
      </c>
      <c r="U223" s="108">
        <f>1-AG223</f>
        <v/>
      </c>
      <c r="V223" s="108">
        <f>1-AH223</f>
        <v/>
      </c>
      <c r="W223" s="108">
        <f>1-AI223</f>
        <v/>
      </c>
      <c r="X223" s="108">
        <f>ABS(AJ223-AJ$1)</f>
        <v/>
      </c>
      <c r="Y223" s="108">
        <f>AVERAGE(Z223:AB223)</f>
        <v/>
      </c>
      <c r="Z223" s="108">
        <f>ABS(AL223-AL$1)</f>
        <v/>
      </c>
      <c r="AA223" s="108">
        <f>ABS(AM223-AM$1)</f>
        <v/>
      </c>
      <c r="AB223" s="108">
        <f>ABS(AN223-AN$1)</f>
        <v/>
      </c>
      <c r="AC223" s="108" t="n"/>
      <c r="AD223" s="108" t="n"/>
      <c r="AE223" s="108">
        <f>ABS(AQ$1-AQ223)</f>
        <v/>
      </c>
      <c r="AF223" s="108">
        <f>ABS(AR$1-AR223)</f>
        <v/>
      </c>
      <c r="AG223" s="108">
        <f>ABS(AS$1-AS223)</f>
        <v/>
      </c>
      <c r="AH223" s="108">
        <f>ABS(AT$1-AT223)</f>
        <v/>
      </c>
      <c r="AI223" s="108">
        <f>ABS(AU$1-AU223)</f>
        <v/>
      </c>
      <c r="AJ223" s="108">
        <f>(AV223-Driver!$K$179)/(Driver!$L$179-Driver!$K$179)</f>
        <v/>
      </c>
      <c r="AK223" s="108">
        <f>(AW223-Driver!$K$180)/(Driver!$L$180-Driver!$K$180)</f>
        <v/>
      </c>
      <c r="AL223" s="108">
        <f>(AX223-Driver!$K$181)/(Driver!$L$181-Driver!$K$181)</f>
        <v/>
      </c>
      <c r="AM223" s="108">
        <f>(AY223-Driver!$K$182)/(Driver!$L$182-Driver!$K$182)</f>
        <v/>
      </c>
      <c r="AN223" s="108">
        <f>(AZ223-Driver!$K$183)/(Driver!$L$183-Driver!$K$183)</f>
        <v/>
      </c>
      <c r="AO223" s="108" t="n"/>
      <c r="AP223" s="108" t="n"/>
      <c r="AQ223" s="108">
        <f>(BC223-Driver!$K$188)/(Driver!$L$188-Driver!$K$188)</f>
        <v/>
      </c>
      <c r="AR223" s="108">
        <f>MIN((BD223-Driver!$K$189)/(Driver!$L$189-Driver!$K$189),100%)</f>
        <v/>
      </c>
      <c r="AS223" s="108">
        <f>(BE223-Driver!$K$190)/(Driver!$L$190-Driver!$K$190)</f>
        <v/>
      </c>
      <c r="AT223" s="108">
        <f>(BF223-Driver!$K$191)/(Driver!$L$191-Driver!$K$191)</f>
        <v/>
      </c>
      <c r="AU223" s="108">
        <f>(BG223-Driver!$K$192)/(Driver!$L$192-Driver!$K$192)</f>
        <v/>
      </c>
      <c r="AV223" s="105">
        <f>IFERROR(BM223*BJ223^1/4,"")</f>
        <v/>
      </c>
      <c r="AW223" s="105">
        <f>IFERROR(SUM(AX223:AZ223),"")</f>
        <v/>
      </c>
      <c r="AX223" s="105">
        <f>IFERROR(BH223,"")</f>
        <v/>
      </c>
      <c r="AY223" s="105">
        <f>IFERROR(Driver!$K$19/Data!BH223/Data!BI223*Data!BK223*Data!BL223,"")</f>
        <v/>
      </c>
      <c r="AZ223" s="105">
        <f>IFERROR(BI223*BN223,"")</f>
        <v/>
      </c>
      <c r="BA223" s="105" t="n"/>
      <c r="BB223" s="105" t="n"/>
      <c r="BC223" s="105">
        <f>IFERROR(BI223*BN223*BK223/BJ223^(1/2),"")</f>
        <v/>
      </c>
      <c r="BD223" s="105">
        <f>IFERROR(BH223*BM223*BL223/BJ223/BK223,"")</f>
        <v/>
      </c>
      <c r="BE223" s="105">
        <f>IFERROR(MIN(BI223/BQ223/BP223/BO223/BH223,$BE$1),"")</f>
        <v/>
      </c>
      <c r="BF223" s="105">
        <f>IFERROR(BJ223*BO223*BP223/BK223,"")</f>
        <v/>
      </c>
      <c r="BG223" s="105">
        <f>IFERROR(1/BM223/BH223*BQ223,"")</f>
        <v/>
      </c>
      <c r="BH223" s="102">
        <f>MAX((CE223-Driver!$F$200)/(Driver!$G$200-Driver!$F$200)*$BI$1,1)</f>
        <v/>
      </c>
      <c r="BI223" s="102">
        <f>MAX($BI$1*(BY223-Driver!$F$201)/(Driver!$G$201-Driver!$F$201),1)</f>
        <v/>
      </c>
      <c r="BJ223" s="102">
        <f>(CB223-Driver!$F$206)/(Driver!$G$206-Driver!$F$206)*$BI$1</f>
        <v/>
      </c>
      <c r="BK223" s="102">
        <f>(CD223-Driver!$F$203)/(Driver!$G$203-Driver!$F$203)*$BI$1</f>
        <v/>
      </c>
      <c r="BL223" s="102">
        <f>MAX((CR223-Driver!$F$202)/(Driver!$G$202-Driver!$F$202)*$BI$1,1)</f>
        <v/>
      </c>
      <c r="BM223" s="102">
        <f>MAX((CH223-Driver!$F$204)/(Driver!$G$204-Driver!$F$204)*$BI$1,1)</f>
        <v/>
      </c>
      <c r="BN223" s="102">
        <f>(CI223-Driver!$F$205)/(Driver!$G$205-Driver!$F$205)*$BI$1</f>
        <v/>
      </c>
      <c r="BO223" s="102">
        <f>(CK223-Driver!$F$207)/(Driver!$G$207-Driver!$F$207)*$BI$1</f>
        <v/>
      </c>
      <c r="BP223" s="102">
        <f>(CM223-Driver!$F$208)/(Driver!$G$208-Driver!$F$208)*$BI$1</f>
        <v/>
      </c>
      <c r="BQ223" s="102">
        <f>(CL223-Driver!$F$209)/(Driver!$G$209-Driver!$F$209)*$BI$1</f>
        <v/>
      </c>
      <c r="BR223" s="40" t="inlineStr">
        <is>
          <t>21/22</t>
        </is>
      </c>
      <c r="BS223" s="10" t="inlineStr">
        <is>
          <t xml:space="preserve"> Salomon</t>
        </is>
      </c>
      <c r="BT223" s="11" t="inlineStr">
        <is>
          <t>QST 106</t>
        </is>
      </c>
      <c r="BU223" s="13" t="n">
        <v>167</v>
      </c>
      <c r="BV223" s="11" t="inlineStr">
        <is>
          <t xml:space="preserve"> Unisex</t>
        </is>
      </c>
      <c r="BW223" s="13" t="n">
        <v>167</v>
      </c>
      <c r="BX223" s="13" t="n">
        <v>166.8</v>
      </c>
      <c r="BY223" s="13" t="n">
        <v>105</v>
      </c>
      <c r="BZ223" s="13" t="n">
        <v>135</v>
      </c>
      <c r="CA223" s="13" t="n">
        <v>136</v>
      </c>
      <c r="CB223" s="13" t="n">
        <v>104</v>
      </c>
      <c r="CC223" s="13" t="n">
        <v>122</v>
      </c>
      <c r="CD223" s="13" t="n">
        <v>18.1</v>
      </c>
      <c r="CE223" s="13" t="n">
        <v>1881</v>
      </c>
      <c r="CF223" s="13" t="n">
        <v>1.02</v>
      </c>
      <c r="CG223" s="13" t="n">
        <v>1912</v>
      </c>
      <c r="CH223" s="13" t="n">
        <v>174</v>
      </c>
      <c r="CI223" s="13" t="n">
        <v>83</v>
      </c>
      <c r="CJ223" s="13" t="n">
        <v>59</v>
      </c>
      <c r="CK223" s="13" t="n">
        <v>353</v>
      </c>
      <c r="CL223" s="13" t="n">
        <v>22</v>
      </c>
      <c r="CM223" s="13" t="n">
        <v>262</v>
      </c>
      <c r="CN223" s="13" t="n">
        <v>0.368</v>
      </c>
      <c r="CO223" s="13" t="n">
        <v>189</v>
      </c>
      <c r="CP223" s="13" t="n">
        <v>124</v>
      </c>
      <c r="CQ223" s="13" t="n">
        <v>164</v>
      </c>
      <c r="CR223" s="13" t="n">
        <v>6</v>
      </c>
      <c r="CS223" s="13" t="n">
        <v>9.300000000000001</v>
      </c>
      <c r="CT223" s="11" t="inlineStr">
        <is>
          <t xml:space="preserve"> Resort Freeride</t>
        </is>
      </c>
      <c r="CU223" s="11" t="inlineStr">
        <is>
          <t xml:space="preserve"> Powder</t>
        </is>
      </c>
      <c r="CV223" s="11" t="inlineStr">
        <is>
          <t xml:space="preserve"> Big Mountain</t>
        </is>
      </c>
      <c r="CW223" s="13" t="n"/>
      <c r="CX223">
        <f>INDEX('Data_Price '!AG$2:AG$1266,MATCH(Data!$DN223,'Data_Price '!$AT$2:$AT$1266,0))</f>
        <v/>
      </c>
      <c r="CY223">
        <f>INDEX('Data_Price '!AH$2:AH$1266,MATCH(Data!$DN223,'Data_Price '!$AT$2:$AT$1266,0))</f>
        <v/>
      </c>
      <c r="CZ223">
        <f>INDEX('Data_Price '!AI$2:AI$1266,MATCH(Data!$DN223,'Data_Price '!$AT$2:$AT$1266,0))</f>
        <v/>
      </c>
      <c r="DA223">
        <f>INDEX('Data_Price '!AJ$2:AJ$1266,MATCH(Data!$DN223,'Data_Price '!$AT$2:$AT$1266,0))</f>
        <v/>
      </c>
      <c r="DB223">
        <f>INDEX('Data_Price '!AK$2:AK$1266,MATCH(Data!$DN223,'Data_Price '!$AT$2:$AT$1266,0))</f>
        <v/>
      </c>
      <c r="DC223">
        <f>INDEX('Data_Price '!AL$2:AL$1266,MATCH(Data!$DN223,'Data_Price '!$AT$2:$AT$1266,0))</f>
        <v/>
      </c>
      <c r="DD223">
        <f>INDEX('Data_Price '!AM$2:AM$1266,MATCH(Data!$DN223,'Data_Price '!$AT$2:$AT$1266,0))</f>
        <v/>
      </c>
      <c r="DE223">
        <f>INDEX('Data_Price '!AN$2:AN$1266,MATCH(Data!$DN223,'Data_Price '!$AT$2:$AT$1266,0))</f>
        <v/>
      </c>
      <c r="DF223">
        <f>INDEX('Data_Price '!AO$2:AO$1266,MATCH(Data!$DN223,'Data_Price '!$AT$2:$AT$1266,0))</f>
        <v/>
      </c>
      <c r="DG223">
        <f>INDEX('Data_Price '!AP$2:AP$1266,MATCH(Data!$DN223,'Data_Price '!$AT$2:$AT$1266,0))</f>
        <v/>
      </c>
      <c r="DH223">
        <f>INDEX('Data_Price '!AQ$2:AQ$1266,MATCH(Data!$DN223,'Data_Price '!$AT$2:$AT$1266,0))</f>
        <v/>
      </c>
      <c r="DI223">
        <f>INDEX('Data_Price '!AR$2:AR$1266,MATCH(Data!$DN223,'Data_Price '!$AT$2:$AT$1266,0))</f>
        <v/>
      </c>
      <c r="DJ223" s="138">
        <f>DA223</f>
        <v/>
      </c>
      <c r="DK223" s="138">
        <f>DE223</f>
        <v/>
      </c>
      <c r="DL223" s="138">
        <f>DI223</f>
        <v/>
      </c>
      <c r="DM223" s="303">
        <f>IF(LEFT(BT223,1)=" ",RIGHT(BT223,LEN(BT223)-1),BT223)</f>
        <v/>
      </c>
      <c r="DN223" s="138">
        <f>_xlfn.CONCAT(BS223,DM223,BU223,BV223)</f>
        <v/>
      </c>
      <c r="DO223" s="307" t="inlineStr">
        <is>
          <t>https://images.evo.com/imgp/250/197272/812054/salomon-qst-106-skis-2022-.jpg</t>
        </is>
      </c>
    </row>
    <row r="224" ht="15.6" customHeight="1" s="184">
      <c r="B224" s="303">
        <f t="array" ref="B224">IF(OR(ISERROR(K224:P224)),FALSE,TRUE)</f>
        <v/>
      </c>
      <c r="C224" s="60">
        <f>OR(BR224=Driver!$G$50,Data!BR567=Driver!$H$50)</f>
        <v/>
      </c>
      <c r="D224" s="60">
        <f>OR(BV224=Driver!$G$51,BV224=Driver!$H$51)</f>
        <v/>
      </c>
      <c r="E224" s="60">
        <f>AND(BX224&gt;Driver!$F$54,BX224&lt;Driver!$G$54)</f>
        <v/>
      </c>
      <c r="F224" s="60">
        <f>CL224&gt;Driver!$F$56</f>
        <v/>
      </c>
      <c r="G224" s="60">
        <f>AND(CB224&gt;Driver!$F$55,CB224&lt;Driver!$G$55)</f>
        <v/>
      </c>
      <c r="H224" s="60">
        <f>AND(B224:G224)</f>
        <v/>
      </c>
      <c r="I224" s="60">
        <f>COUNTIFS($H$9:$H$1273,TRUE,$BT$9:$BT$1273,BT224)</f>
        <v/>
      </c>
      <c r="J224" s="60">
        <f t="array" ref="J224">NOT(OR(($H$9:$H$1273=TRUE)*($I$9:$I$1273&gt;0)*($BT$9:$BT$1273=BT224)*($K$9:$K$1273&gt;K224)))</f>
        <v/>
      </c>
      <c r="K224" s="108">
        <f>IFERROR(1-AVERAGE(X224:Y224),"")</f>
        <v/>
      </c>
      <c r="L224" s="108">
        <f>1-X224</f>
        <v/>
      </c>
      <c r="M224" s="108">
        <f>1-Y224</f>
        <v/>
      </c>
      <c r="N224" s="108">
        <f>1-Z224</f>
        <v/>
      </c>
      <c r="O224" s="108">
        <f>1-AA224</f>
        <v/>
      </c>
      <c r="P224" s="108">
        <f>1-AB224</f>
        <v/>
      </c>
      <c r="Q224" s="108" t="n"/>
      <c r="R224" s="108" t="n"/>
      <c r="S224" s="108">
        <f>1-AE224</f>
        <v/>
      </c>
      <c r="T224" s="108">
        <f>1-AF224</f>
        <v/>
      </c>
      <c r="U224" s="108">
        <f>1-AG224</f>
        <v/>
      </c>
      <c r="V224" s="108">
        <f>1-AH224</f>
        <v/>
      </c>
      <c r="W224" s="108">
        <f>1-AI224</f>
        <v/>
      </c>
      <c r="X224" s="108">
        <f>ABS(AJ224-AJ$1)</f>
        <v/>
      </c>
      <c r="Y224" s="108">
        <f>AVERAGE(Z224:AB224)</f>
        <v/>
      </c>
      <c r="Z224" s="108">
        <f>ABS(AL224-AL$1)</f>
        <v/>
      </c>
      <c r="AA224" s="108">
        <f>ABS(AM224-AM$1)</f>
        <v/>
      </c>
      <c r="AB224" s="108">
        <f>ABS(AN224-AN$1)</f>
        <v/>
      </c>
      <c r="AC224" s="108" t="n"/>
      <c r="AD224" s="108" t="n"/>
      <c r="AE224" s="108">
        <f>ABS(AQ$1-AQ224)</f>
        <v/>
      </c>
      <c r="AF224" s="108">
        <f>ABS(AR$1-AR224)</f>
        <v/>
      </c>
      <c r="AG224" s="108">
        <f>ABS(AS$1-AS224)</f>
        <v/>
      </c>
      <c r="AH224" s="108">
        <f>ABS(AT$1-AT224)</f>
        <v/>
      </c>
      <c r="AI224" s="108">
        <f>ABS(AU$1-AU224)</f>
        <v/>
      </c>
      <c r="AJ224" s="108">
        <f>(AV224-Driver!$K$179)/(Driver!$L$179-Driver!$K$179)</f>
        <v/>
      </c>
      <c r="AK224" s="108">
        <f>(AW224-Driver!$K$180)/(Driver!$L$180-Driver!$K$180)</f>
        <v/>
      </c>
      <c r="AL224" s="108">
        <f>(AX224-Driver!$K$181)/(Driver!$L$181-Driver!$K$181)</f>
        <v/>
      </c>
      <c r="AM224" s="108">
        <f>(AY224-Driver!$K$182)/(Driver!$L$182-Driver!$K$182)</f>
        <v/>
      </c>
      <c r="AN224" s="108">
        <f>(AZ224-Driver!$K$183)/(Driver!$L$183-Driver!$K$183)</f>
        <v/>
      </c>
      <c r="AO224" s="108" t="n"/>
      <c r="AP224" s="108" t="n"/>
      <c r="AQ224" s="108">
        <f>(BC224-Driver!$K$188)/(Driver!$L$188-Driver!$K$188)</f>
        <v/>
      </c>
      <c r="AR224" s="108">
        <f>MIN((BD224-Driver!$K$189)/(Driver!$L$189-Driver!$K$189),100%)</f>
        <v/>
      </c>
      <c r="AS224" s="108">
        <f>(BE224-Driver!$K$190)/(Driver!$L$190-Driver!$K$190)</f>
        <v/>
      </c>
      <c r="AT224" s="108">
        <f>(BF224-Driver!$K$191)/(Driver!$L$191-Driver!$K$191)</f>
        <v/>
      </c>
      <c r="AU224" s="108">
        <f>(BG224-Driver!$K$192)/(Driver!$L$192-Driver!$K$192)</f>
        <v/>
      </c>
      <c r="AV224" s="105">
        <f>IFERROR(BM224*BJ224^1/4,"")</f>
        <v/>
      </c>
      <c r="AW224" s="105">
        <f>IFERROR(SUM(AX224:AZ224),"")</f>
        <v/>
      </c>
      <c r="AX224" s="105">
        <f>IFERROR(BH224,"")</f>
        <v/>
      </c>
      <c r="AY224" s="105">
        <f>IFERROR(Driver!$K$19/Data!BH224/Data!BI224*Data!BK224*Data!BL224,"")</f>
        <v/>
      </c>
      <c r="AZ224" s="105">
        <f>IFERROR(BI224*BN224,"")</f>
        <v/>
      </c>
      <c r="BA224" s="105" t="n"/>
      <c r="BB224" s="105" t="n"/>
      <c r="BC224" s="105">
        <f>IFERROR(BI224*BN224*BK224/BJ224^(1/2),"")</f>
        <v/>
      </c>
      <c r="BD224" s="105">
        <f>IFERROR(BH224*BM224*BL224/BJ224/BK224,"")</f>
        <v/>
      </c>
      <c r="BE224" s="105">
        <f>IFERROR(MIN(BI224/BQ224/BP224/BO224/BH224,$BE$1),"")</f>
        <v/>
      </c>
      <c r="BF224" s="105">
        <f>IFERROR(BJ224*BO224*BP224/BK224,"")</f>
        <v/>
      </c>
      <c r="BG224" s="105">
        <f>IFERROR(1/BM224/BH224*BQ224,"")</f>
        <v/>
      </c>
      <c r="BH224" s="102">
        <f>MAX((CE224-Driver!$F$200)/(Driver!$G$200-Driver!$F$200)*$BI$1,1)</f>
        <v/>
      </c>
      <c r="BI224" s="102">
        <f>MAX($BI$1*(BY224-Driver!$F$201)/(Driver!$G$201-Driver!$F$201),1)</f>
        <v/>
      </c>
      <c r="BJ224" s="102">
        <f>(CB224-Driver!$F$206)/(Driver!$G$206-Driver!$F$206)*$BI$1</f>
        <v/>
      </c>
      <c r="BK224" s="102">
        <f>(CD224-Driver!$F$203)/(Driver!$G$203-Driver!$F$203)*$BI$1</f>
        <v/>
      </c>
      <c r="BL224" s="102">
        <f>MAX((CR224-Driver!$F$202)/(Driver!$G$202-Driver!$F$202)*$BI$1,1)</f>
        <v/>
      </c>
      <c r="BM224" s="102">
        <f>MAX((CH224-Driver!$F$204)/(Driver!$G$204-Driver!$F$204)*$BI$1,1)</f>
        <v/>
      </c>
      <c r="BN224" s="102">
        <f>(CI224-Driver!$F$205)/(Driver!$G$205-Driver!$F$205)*$BI$1</f>
        <v/>
      </c>
      <c r="BO224" s="102">
        <f>(CK224-Driver!$F$207)/(Driver!$G$207-Driver!$F$207)*$BI$1</f>
        <v/>
      </c>
      <c r="BP224" s="102">
        <f>(CM224-Driver!$F$208)/(Driver!$G$208-Driver!$F$208)*$BI$1</f>
        <v/>
      </c>
      <c r="BQ224" s="102">
        <f>(CL224-Driver!$F$209)/(Driver!$G$209-Driver!$F$209)*$BI$1</f>
        <v/>
      </c>
      <c r="BR224" s="40" t="inlineStr">
        <is>
          <t>21/22</t>
        </is>
      </c>
      <c r="BS224" s="10" t="inlineStr">
        <is>
          <t xml:space="preserve"> Fischer</t>
        </is>
      </c>
      <c r="BT224" s="11" t="inlineStr">
        <is>
          <t>Ranger 102 FR W</t>
        </is>
      </c>
      <c r="BU224" s="13" t="n">
        <v>184</v>
      </c>
      <c r="BV224" s="11" t="inlineStr">
        <is>
          <t xml:space="preserve"> Women's</t>
        </is>
      </c>
      <c r="BW224" s="13" t="n">
        <v>184</v>
      </c>
      <c r="BX224" s="13" t="n">
        <v>184.2</v>
      </c>
      <c r="BY224" s="13" t="n">
        <v>125</v>
      </c>
      <c r="BZ224" s="13" t="n">
        <v>152</v>
      </c>
      <c r="CA224" s="13" t="n">
        <v>137</v>
      </c>
      <c r="CB224" s="13" t="n">
        <v>102</v>
      </c>
      <c r="CC224" s="13" t="n">
        <v>127</v>
      </c>
      <c r="CD224" s="13" t="n">
        <v>16.1</v>
      </c>
      <c r="CE224" s="13" t="n">
        <v>1930</v>
      </c>
      <c r="CF224" s="13" t="n">
        <v>1.1</v>
      </c>
      <c r="CG224" s="13" t="n">
        <v>2127</v>
      </c>
      <c r="CH224" s="13" t="n">
        <v>230</v>
      </c>
      <c r="CI224" s="13" t="n">
        <v>108</v>
      </c>
      <c r="CJ224" s="13" t="n">
        <v>51</v>
      </c>
      <c r="CK224" s="13" t="n">
        <v>396</v>
      </c>
      <c r="CL224" s="13" t="n">
        <v>28</v>
      </c>
      <c r="CM224" s="13" t="n">
        <v>199</v>
      </c>
      <c r="CN224" s="13" t="n">
        <v>0.552</v>
      </c>
      <c r="CO224" s="13" t="n">
        <v>156</v>
      </c>
      <c r="CP224" s="13" t="n">
        <v>168</v>
      </c>
      <c r="CQ224" s="13" t="n">
        <v>240</v>
      </c>
      <c r="CR224" s="13" t="n">
        <v>5</v>
      </c>
      <c r="CS224" s="13" t="n">
        <v>10</v>
      </c>
      <c r="CT224" s="11" t="inlineStr">
        <is>
          <t xml:space="preserve"> Resort Freeride</t>
        </is>
      </c>
      <c r="CU224" s="11" t="inlineStr">
        <is>
          <t xml:space="preserve"> Powder</t>
        </is>
      </c>
      <c r="CV224" s="11" t="inlineStr">
        <is>
          <t xml:space="preserve"> Touring</t>
        </is>
      </c>
      <c r="CW224" s="13" t="n"/>
      <c r="CX224">
        <f>INDEX('Data_Price '!AG$2:AG$1266,MATCH(Data!$DN224,'Data_Price '!$AT$2:$AT$1266,0))</f>
        <v/>
      </c>
      <c r="CY224">
        <f>INDEX('Data_Price '!AH$2:AH$1266,MATCH(Data!$DN224,'Data_Price '!$AT$2:$AT$1266,0))</f>
        <v/>
      </c>
      <c r="CZ224">
        <f>INDEX('Data_Price '!AI$2:AI$1266,MATCH(Data!$DN224,'Data_Price '!$AT$2:$AT$1266,0))</f>
        <v/>
      </c>
      <c r="DA224">
        <f>INDEX('Data_Price '!AJ$2:AJ$1266,MATCH(Data!$DN224,'Data_Price '!$AT$2:$AT$1266,0))</f>
        <v/>
      </c>
      <c r="DB224">
        <f>INDEX('Data_Price '!AK$2:AK$1266,MATCH(Data!$DN224,'Data_Price '!$AT$2:$AT$1266,0))</f>
        <v/>
      </c>
      <c r="DC224">
        <f>INDEX('Data_Price '!AL$2:AL$1266,MATCH(Data!$DN224,'Data_Price '!$AT$2:$AT$1266,0))</f>
        <v/>
      </c>
      <c r="DD224">
        <f>INDEX('Data_Price '!AM$2:AM$1266,MATCH(Data!$DN224,'Data_Price '!$AT$2:$AT$1266,0))</f>
        <v/>
      </c>
      <c r="DE224">
        <f>INDEX('Data_Price '!AN$2:AN$1266,MATCH(Data!$DN224,'Data_Price '!$AT$2:$AT$1266,0))</f>
        <v/>
      </c>
      <c r="DF224">
        <f>INDEX('Data_Price '!AO$2:AO$1266,MATCH(Data!$DN224,'Data_Price '!$AT$2:$AT$1266,0))</f>
        <v/>
      </c>
      <c r="DG224">
        <f>INDEX('Data_Price '!AP$2:AP$1266,MATCH(Data!$DN224,'Data_Price '!$AT$2:$AT$1266,0))</f>
        <v/>
      </c>
      <c r="DH224">
        <f>INDEX('Data_Price '!AQ$2:AQ$1266,MATCH(Data!$DN224,'Data_Price '!$AT$2:$AT$1266,0))</f>
        <v/>
      </c>
      <c r="DI224">
        <f>INDEX('Data_Price '!AR$2:AR$1266,MATCH(Data!$DN224,'Data_Price '!$AT$2:$AT$1266,0))</f>
        <v/>
      </c>
      <c r="DJ224" s="138">
        <f>DA224</f>
        <v/>
      </c>
      <c r="DK224" s="138">
        <f>DE224</f>
        <v/>
      </c>
      <c r="DL224" s="138">
        <f>DI224</f>
        <v/>
      </c>
      <c r="DM224" s="303">
        <f>IF(LEFT(BT224,1)=" ",RIGHT(BT224,LEN(BT224)-1),BT224)</f>
        <v/>
      </c>
      <c r="DN224" s="138">
        <f>_xlfn.CONCAT(BS224,DM224,BU224,BV224)</f>
        <v/>
      </c>
      <c r="DO224" s="307" t="n"/>
    </row>
    <row r="225" ht="15.6" customHeight="1" s="184">
      <c r="B225" s="303">
        <f t="array" ref="B225">IF(OR(ISERROR(K225:P225)),FALSE,TRUE)</f>
        <v/>
      </c>
      <c r="C225" s="60">
        <f>OR(BR225=Driver!$G$50,Data!BR90=Driver!$H$50)</f>
        <v/>
      </c>
      <c r="D225" s="60">
        <f>OR(BV225=Driver!$G$51,BV225=Driver!$H$51)</f>
        <v/>
      </c>
      <c r="E225" s="60">
        <f>AND(BX225&gt;Driver!$F$54,BX225&lt;Driver!$G$54)</f>
        <v/>
      </c>
      <c r="F225" s="60">
        <f>CL225&gt;Driver!$F$56</f>
        <v/>
      </c>
      <c r="G225" s="60">
        <f>AND(CB225&gt;Driver!$F$55,CB225&lt;Driver!$G$55)</f>
        <v/>
      </c>
      <c r="H225" s="60">
        <f>AND(B225:G225)</f>
        <v/>
      </c>
      <c r="I225" s="60">
        <f>COUNTIFS($H$9:$H$1273,TRUE,$BT$9:$BT$1273,BT225)</f>
        <v/>
      </c>
      <c r="J225" s="60">
        <f t="array" ref="J225">NOT(OR(($H$9:$H$1273=TRUE)*($I$9:$I$1273&gt;0)*($BT$9:$BT$1273=BT225)*($K$9:$K$1273&gt;K225)))</f>
        <v/>
      </c>
      <c r="K225" s="108">
        <f>IFERROR(1-AVERAGE(X225:Y225),"")</f>
        <v/>
      </c>
      <c r="L225" s="108">
        <f>1-X225</f>
        <v/>
      </c>
      <c r="M225" s="108">
        <f>1-Y225</f>
        <v/>
      </c>
      <c r="N225" s="108">
        <f>1-Z225</f>
        <v/>
      </c>
      <c r="O225" s="108">
        <f>1-AA225</f>
        <v/>
      </c>
      <c r="P225" s="108">
        <f>1-AB225</f>
        <v/>
      </c>
      <c r="Q225" s="108" t="n"/>
      <c r="R225" s="108" t="n"/>
      <c r="S225" s="108">
        <f>1-AE225</f>
        <v/>
      </c>
      <c r="T225" s="108">
        <f>1-AF225</f>
        <v/>
      </c>
      <c r="U225" s="108">
        <f>1-AG225</f>
        <v/>
      </c>
      <c r="V225" s="108">
        <f>1-AH225</f>
        <v/>
      </c>
      <c r="W225" s="108">
        <f>1-AI225</f>
        <v/>
      </c>
      <c r="X225" s="108">
        <f>ABS(AJ225-AJ$1)</f>
        <v/>
      </c>
      <c r="Y225" s="108">
        <f>AVERAGE(Z225:AB225)</f>
        <v/>
      </c>
      <c r="Z225" s="108">
        <f>ABS(AL225-AL$1)</f>
        <v/>
      </c>
      <c r="AA225" s="108">
        <f>ABS(AM225-AM$1)</f>
        <v/>
      </c>
      <c r="AB225" s="108">
        <f>ABS(AN225-AN$1)</f>
        <v/>
      </c>
      <c r="AC225" s="108" t="n"/>
      <c r="AD225" s="108" t="n"/>
      <c r="AE225" s="108">
        <f>ABS(AQ$1-AQ225)</f>
        <v/>
      </c>
      <c r="AF225" s="108">
        <f>ABS(AR$1-AR225)</f>
        <v/>
      </c>
      <c r="AG225" s="108">
        <f>ABS(AS$1-AS225)</f>
        <v/>
      </c>
      <c r="AH225" s="108">
        <f>ABS(AT$1-AT225)</f>
        <v/>
      </c>
      <c r="AI225" s="108">
        <f>ABS(AU$1-AU225)</f>
        <v/>
      </c>
      <c r="AJ225" s="108">
        <f>(AV225-Driver!$K$179)/(Driver!$L$179-Driver!$K$179)</f>
        <v/>
      </c>
      <c r="AK225" s="108">
        <f>(AW225-Driver!$K$180)/(Driver!$L$180-Driver!$K$180)</f>
        <v/>
      </c>
      <c r="AL225" s="108">
        <f>(AX225-Driver!$K$181)/(Driver!$L$181-Driver!$K$181)</f>
        <v/>
      </c>
      <c r="AM225" s="108">
        <f>(AY225-Driver!$K$182)/(Driver!$L$182-Driver!$K$182)</f>
        <v/>
      </c>
      <c r="AN225" s="108">
        <f>(AZ225-Driver!$K$183)/(Driver!$L$183-Driver!$K$183)</f>
        <v/>
      </c>
      <c r="AO225" s="108" t="n"/>
      <c r="AP225" s="108" t="n"/>
      <c r="AQ225" s="108">
        <f>(BC225-Driver!$K$188)/(Driver!$L$188-Driver!$K$188)</f>
        <v/>
      </c>
      <c r="AR225" s="108">
        <f>MIN((BD225-Driver!$K$189)/(Driver!$L$189-Driver!$K$189),100%)</f>
        <v/>
      </c>
      <c r="AS225" s="108">
        <f>(BE225-Driver!$K$190)/(Driver!$L$190-Driver!$K$190)</f>
        <v/>
      </c>
      <c r="AT225" s="108">
        <f>(BF225-Driver!$K$191)/(Driver!$L$191-Driver!$K$191)</f>
        <v/>
      </c>
      <c r="AU225" s="108">
        <f>(BG225-Driver!$K$192)/(Driver!$L$192-Driver!$K$192)</f>
        <v/>
      </c>
      <c r="AV225" s="105">
        <f>IFERROR(BM225*BJ225^1/4,"")</f>
        <v/>
      </c>
      <c r="AW225" s="105">
        <f>IFERROR(SUM(AX225:AZ225),"")</f>
        <v/>
      </c>
      <c r="AX225" s="105">
        <f>IFERROR(BH225,"")</f>
        <v/>
      </c>
      <c r="AY225" s="105">
        <f>IFERROR(Driver!$K$19/Data!BH225/Data!BI225*Data!BK225*Data!BL225,"")</f>
        <v/>
      </c>
      <c r="AZ225" s="105">
        <f>IFERROR(BI225*BN225,"")</f>
        <v/>
      </c>
      <c r="BA225" s="105" t="n"/>
      <c r="BB225" s="105" t="n"/>
      <c r="BC225" s="105">
        <f>IFERROR(BI225*BN225*BK225/BJ225^(1/2),"")</f>
        <v/>
      </c>
      <c r="BD225" s="105">
        <f>IFERROR(BH225*BM225*BL225/BJ225/BK225,"")</f>
        <v/>
      </c>
      <c r="BE225" s="105">
        <f>IFERROR(MIN(BI225/BQ225/BP225/BO225/BH225,$BE$1),"")</f>
        <v/>
      </c>
      <c r="BF225" s="105">
        <f>IFERROR(BJ225*BO225*BP225/BK225,"")</f>
        <v/>
      </c>
      <c r="BG225" s="105">
        <f>IFERROR(1/BM225/BH225*BQ225,"")</f>
        <v/>
      </c>
      <c r="BH225" s="102">
        <f>MAX((CE225-Driver!$F$200)/(Driver!$G$200-Driver!$F$200)*$BI$1,1)</f>
        <v/>
      </c>
      <c r="BI225" s="102">
        <f>MAX($BI$1*(BY225-Driver!$F$201)/(Driver!$G$201-Driver!$F$201),1)</f>
        <v/>
      </c>
      <c r="BJ225" s="102">
        <f>(CB225-Driver!$F$206)/(Driver!$G$206-Driver!$F$206)*$BI$1</f>
        <v/>
      </c>
      <c r="BK225" s="102">
        <f>(CD225-Driver!$F$203)/(Driver!$G$203-Driver!$F$203)*$BI$1</f>
        <v/>
      </c>
      <c r="BL225" s="102">
        <f>MAX((CR225-Driver!$F$202)/(Driver!$G$202-Driver!$F$202)*$BI$1,1)</f>
        <v/>
      </c>
      <c r="BM225" s="102">
        <f>MAX((CH225-Driver!$F$204)/(Driver!$G$204-Driver!$F$204)*$BI$1,1)</f>
        <v/>
      </c>
      <c r="BN225" s="102">
        <f>(CI225-Driver!$F$205)/(Driver!$G$205-Driver!$F$205)*$BI$1</f>
        <v/>
      </c>
      <c r="BO225" s="102">
        <f>(CK225-Driver!$F$207)/(Driver!$G$207-Driver!$F$207)*$BI$1</f>
        <v/>
      </c>
      <c r="BP225" s="102">
        <f>(CM225-Driver!$F$208)/(Driver!$G$208-Driver!$F$208)*$BI$1</f>
        <v/>
      </c>
      <c r="BQ225" s="102">
        <f>(CL225-Driver!$F$209)/(Driver!$G$209-Driver!$F$209)*$BI$1</f>
        <v/>
      </c>
      <c r="BR225" s="40" t="inlineStr">
        <is>
          <t>21/22</t>
        </is>
      </c>
      <c r="BS225" s="10" t="inlineStr">
        <is>
          <t xml:space="preserve"> Armada</t>
        </is>
      </c>
      <c r="BT225" s="11" t="inlineStr">
        <is>
          <t>Reliance 92 Ti</t>
        </is>
      </c>
      <c r="BU225" s="13" t="n">
        <v>164</v>
      </c>
      <c r="BV225" s="11" t="inlineStr">
        <is>
          <t xml:space="preserve"> Women's</t>
        </is>
      </c>
      <c r="BW225" s="13" t="n">
        <v>164</v>
      </c>
      <c r="BX225" s="13" t="n">
        <v>163.6</v>
      </c>
      <c r="BY225" s="13" t="n">
        <v>126</v>
      </c>
      <c r="BZ225" s="13" t="n">
        <v>143</v>
      </c>
      <c r="CA225" s="13" t="n">
        <v>129</v>
      </c>
      <c r="CB225" s="13" t="n">
        <v>91</v>
      </c>
      <c r="CC225" s="13" t="n">
        <v>114</v>
      </c>
      <c r="CD225" s="13" t="n">
        <v>16.4</v>
      </c>
      <c r="CE225" s="13" t="n">
        <v>1610</v>
      </c>
      <c r="CF225" s="13" t="n">
        <v>1.05</v>
      </c>
      <c r="CG225" s="13" t="n">
        <v>1687</v>
      </c>
      <c r="CH225" s="13" t="n">
        <v>203</v>
      </c>
      <c r="CI225" s="13" t="n">
        <v>125</v>
      </c>
      <c r="CJ225" s="13" t="n">
        <v>40</v>
      </c>
      <c r="CK225" s="13" t="n">
        <v>229</v>
      </c>
      <c r="CL225" s="13" t="n">
        <v>17</v>
      </c>
      <c r="CM225" s="13" t="n">
        <v>146</v>
      </c>
      <c r="CN225" s="13" t="n">
        <v>0.417</v>
      </c>
      <c r="CO225" s="13" t="n">
        <v>130</v>
      </c>
      <c r="CP225" s="13" t="n">
        <v>78</v>
      </c>
      <c r="CQ225" s="13" t="n">
        <v>99</v>
      </c>
      <c r="CR225" s="13" t="n">
        <v>8</v>
      </c>
      <c r="CS225" s="13" t="n">
        <v>9.9</v>
      </c>
      <c r="CT225" s="11" t="inlineStr">
        <is>
          <t xml:space="preserve"> Resort Freeride</t>
        </is>
      </c>
      <c r="CU225" s="13" t="n"/>
      <c r="CV225" s="13" t="n"/>
      <c r="CW225" s="13" t="n"/>
      <c r="CX225">
        <f>INDEX('Data_Price '!AG$2:AG$1266,MATCH(Data!$DN225,'Data_Price '!$AT$2:$AT$1266,0))</f>
        <v/>
      </c>
      <c r="CY225">
        <f>INDEX('Data_Price '!AH$2:AH$1266,MATCH(Data!$DN225,'Data_Price '!$AT$2:$AT$1266,0))</f>
        <v/>
      </c>
      <c r="CZ225">
        <f>INDEX('Data_Price '!AI$2:AI$1266,MATCH(Data!$DN225,'Data_Price '!$AT$2:$AT$1266,0))</f>
        <v/>
      </c>
      <c r="DA225">
        <f>INDEX('Data_Price '!AJ$2:AJ$1266,MATCH(Data!$DN225,'Data_Price '!$AT$2:$AT$1266,0))</f>
        <v/>
      </c>
      <c r="DB225">
        <f>INDEX('Data_Price '!AK$2:AK$1266,MATCH(Data!$DN225,'Data_Price '!$AT$2:$AT$1266,0))</f>
        <v/>
      </c>
      <c r="DC225">
        <f>INDEX('Data_Price '!AL$2:AL$1266,MATCH(Data!$DN225,'Data_Price '!$AT$2:$AT$1266,0))</f>
        <v/>
      </c>
      <c r="DD225">
        <f>INDEX('Data_Price '!AM$2:AM$1266,MATCH(Data!$DN225,'Data_Price '!$AT$2:$AT$1266,0))</f>
        <v/>
      </c>
      <c r="DE225">
        <f>INDEX('Data_Price '!AN$2:AN$1266,MATCH(Data!$DN225,'Data_Price '!$AT$2:$AT$1266,0))</f>
        <v/>
      </c>
      <c r="DF225">
        <f>INDEX('Data_Price '!AO$2:AO$1266,MATCH(Data!$DN225,'Data_Price '!$AT$2:$AT$1266,0))</f>
        <v/>
      </c>
      <c r="DG225">
        <f>INDEX('Data_Price '!AP$2:AP$1266,MATCH(Data!$DN225,'Data_Price '!$AT$2:$AT$1266,0))</f>
        <v/>
      </c>
      <c r="DH225">
        <f>INDEX('Data_Price '!AQ$2:AQ$1266,MATCH(Data!$DN225,'Data_Price '!$AT$2:$AT$1266,0))</f>
        <v/>
      </c>
      <c r="DI225">
        <f>INDEX('Data_Price '!AR$2:AR$1266,MATCH(Data!$DN225,'Data_Price '!$AT$2:$AT$1266,0))</f>
        <v/>
      </c>
      <c r="DJ225" s="138">
        <f>DA225</f>
        <v/>
      </c>
      <c r="DK225" s="138">
        <f>DE225</f>
        <v/>
      </c>
      <c r="DL225" s="138">
        <f>DI225</f>
        <v/>
      </c>
      <c r="DM225" s="303">
        <f>IF(LEFT(BT225,1)=" ",RIGHT(BT225,LEN(BT225)-1),BT225)</f>
        <v/>
      </c>
      <c r="DN225" s="138">
        <f>_xlfn.CONCAT(BS225,DM225,BU225,BV225)</f>
        <v/>
      </c>
      <c r="DO225" s="307" t="inlineStr">
        <is>
          <t>https://images.evo.com/imgp/250/198722/799804/armada-reliance-92-ti-skis-women-s-2023-.jpg</t>
        </is>
      </c>
    </row>
    <row r="226" ht="15.6" customHeight="1" s="184">
      <c r="B226" s="303">
        <f t="array" ref="B226">IF(OR(ISERROR(K226:P226)),FALSE,TRUE)</f>
        <v/>
      </c>
      <c r="C226" s="60">
        <f>OR(BR226=Driver!$G$50,Data!BR983=Driver!$H$50)</f>
        <v/>
      </c>
      <c r="D226" s="60">
        <f>OR(BV226=Driver!$G$51,BV226=Driver!$H$51)</f>
        <v/>
      </c>
      <c r="E226" s="60">
        <f>AND(BX226&gt;Driver!$F$54,BX226&lt;Driver!$G$54)</f>
        <v/>
      </c>
      <c r="F226" s="60">
        <f>CL226&gt;Driver!$F$56</f>
        <v/>
      </c>
      <c r="G226" s="60">
        <f>AND(CB226&gt;Driver!$F$55,CB226&lt;Driver!$G$55)</f>
        <v/>
      </c>
      <c r="H226" s="60">
        <f>AND(B226:G226)</f>
        <v/>
      </c>
      <c r="I226" s="60">
        <f>COUNTIFS($H$9:$H$1273,TRUE,$BT$9:$BT$1273,BT226)</f>
        <v/>
      </c>
      <c r="J226" s="60">
        <f t="array" ref="J226">NOT(OR(($H$9:$H$1273=TRUE)*($I$9:$I$1273&gt;0)*($BT$9:$BT$1273=BT226)*($K$9:$K$1273&gt;K226)))</f>
        <v/>
      </c>
      <c r="K226" s="108">
        <f>IFERROR(1-AVERAGE(X226:Y226),"")</f>
        <v/>
      </c>
      <c r="L226" s="108">
        <f>1-X226</f>
        <v/>
      </c>
      <c r="M226" s="108">
        <f>1-Y226</f>
        <v/>
      </c>
      <c r="N226" s="108">
        <f>1-Z226</f>
        <v/>
      </c>
      <c r="O226" s="108">
        <f>1-AA226</f>
        <v/>
      </c>
      <c r="P226" s="108">
        <f>1-AB226</f>
        <v/>
      </c>
      <c r="Q226" s="108" t="n"/>
      <c r="R226" s="108" t="n"/>
      <c r="S226" s="108">
        <f>1-AE226</f>
        <v/>
      </c>
      <c r="T226" s="108">
        <f>1-AF226</f>
        <v/>
      </c>
      <c r="U226" s="108">
        <f>1-AG226</f>
        <v/>
      </c>
      <c r="V226" s="108">
        <f>1-AH226</f>
        <v/>
      </c>
      <c r="W226" s="108">
        <f>1-AI226</f>
        <v/>
      </c>
      <c r="X226" s="108">
        <f>ABS(AJ226-AJ$1)</f>
        <v/>
      </c>
      <c r="Y226" s="108">
        <f>AVERAGE(Z226:AB226)</f>
        <v/>
      </c>
      <c r="Z226" s="108">
        <f>ABS(AL226-AL$1)</f>
        <v/>
      </c>
      <c r="AA226" s="108">
        <f>ABS(AM226-AM$1)</f>
        <v/>
      </c>
      <c r="AB226" s="108">
        <f>ABS(AN226-AN$1)</f>
        <v/>
      </c>
      <c r="AC226" s="108" t="n"/>
      <c r="AD226" s="108" t="n"/>
      <c r="AE226" s="108">
        <f>ABS(AQ$1-AQ226)</f>
        <v/>
      </c>
      <c r="AF226" s="108">
        <f>ABS(AR$1-AR226)</f>
        <v/>
      </c>
      <c r="AG226" s="108">
        <f>ABS(AS$1-AS226)</f>
        <v/>
      </c>
      <c r="AH226" s="108">
        <f>ABS(AT$1-AT226)</f>
        <v/>
      </c>
      <c r="AI226" s="108">
        <f>ABS(AU$1-AU226)</f>
        <v/>
      </c>
      <c r="AJ226" s="108">
        <f>(AV226-Driver!$K$179)/(Driver!$L$179-Driver!$K$179)</f>
        <v/>
      </c>
      <c r="AK226" s="108">
        <f>(AW226-Driver!$K$180)/(Driver!$L$180-Driver!$K$180)</f>
        <v/>
      </c>
      <c r="AL226" s="108">
        <f>(AX226-Driver!$K$181)/(Driver!$L$181-Driver!$K$181)</f>
        <v/>
      </c>
      <c r="AM226" s="108">
        <f>(AY226-Driver!$K$182)/(Driver!$L$182-Driver!$K$182)</f>
        <v/>
      </c>
      <c r="AN226" s="108">
        <f>(AZ226-Driver!$K$183)/(Driver!$L$183-Driver!$K$183)</f>
        <v/>
      </c>
      <c r="AO226" s="108" t="n"/>
      <c r="AP226" s="108" t="n"/>
      <c r="AQ226" s="108">
        <f>(BC226-Driver!$K$188)/(Driver!$L$188-Driver!$K$188)</f>
        <v/>
      </c>
      <c r="AR226" s="108">
        <f>MIN((BD226-Driver!$K$189)/(Driver!$L$189-Driver!$K$189),100%)</f>
        <v/>
      </c>
      <c r="AS226" s="108">
        <f>(BE226-Driver!$K$190)/(Driver!$L$190-Driver!$K$190)</f>
        <v/>
      </c>
      <c r="AT226" s="108">
        <f>(BF226-Driver!$K$191)/(Driver!$L$191-Driver!$K$191)</f>
        <v/>
      </c>
      <c r="AU226" s="108">
        <f>(BG226-Driver!$K$192)/(Driver!$L$192-Driver!$K$192)</f>
        <v/>
      </c>
      <c r="AV226" s="105">
        <f>IFERROR(BM226*BJ226^1/4,"")</f>
        <v/>
      </c>
      <c r="AW226" s="105">
        <f>IFERROR(SUM(AX226:AZ226),"")</f>
        <v/>
      </c>
      <c r="AX226" s="105">
        <f>IFERROR(BH226,"")</f>
        <v/>
      </c>
      <c r="AY226" s="105">
        <f>IFERROR(Driver!$K$19/Data!BH226/Data!BI226*Data!BK226*Data!BL226,"")</f>
        <v/>
      </c>
      <c r="AZ226" s="105">
        <f>IFERROR(BI226*BN226,"")</f>
        <v/>
      </c>
      <c r="BA226" s="105" t="n"/>
      <c r="BB226" s="105" t="n"/>
      <c r="BC226" s="105">
        <f>IFERROR(BI226*BN226*BK226/BJ226^(1/2),"")</f>
        <v/>
      </c>
      <c r="BD226" s="105">
        <f>IFERROR(BH226*BM226*BL226/BJ226/BK226,"")</f>
        <v/>
      </c>
      <c r="BE226" s="105">
        <f>IFERROR(MIN(BI226/BQ226/BP226/BO226/BH226,$BE$1),"")</f>
        <v/>
      </c>
      <c r="BF226" s="105">
        <f>IFERROR(BJ226*BO226*BP226/BK226,"")</f>
        <v/>
      </c>
      <c r="BG226" s="105">
        <f>IFERROR(1/BM226/BH226*BQ226,"")</f>
        <v/>
      </c>
      <c r="BH226" s="102">
        <f>MAX((CE226-Driver!$F$200)/(Driver!$G$200-Driver!$F$200)*$BI$1,1)</f>
        <v/>
      </c>
      <c r="BI226" s="102">
        <f>MAX($BI$1*(BY226-Driver!$F$201)/(Driver!$G$201-Driver!$F$201),1)</f>
        <v/>
      </c>
      <c r="BJ226" s="102">
        <f>(CB226-Driver!$F$206)/(Driver!$G$206-Driver!$F$206)*$BI$1</f>
        <v/>
      </c>
      <c r="BK226" s="102">
        <f>(CD226-Driver!$F$203)/(Driver!$G$203-Driver!$F$203)*$BI$1</f>
        <v/>
      </c>
      <c r="BL226" s="102">
        <f>MAX((CR226-Driver!$F$202)/(Driver!$G$202-Driver!$F$202)*$BI$1,1)</f>
        <v/>
      </c>
      <c r="BM226" s="102">
        <f>MAX((CH226-Driver!$F$204)/(Driver!$G$204-Driver!$F$204)*$BI$1,1)</f>
        <v/>
      </c>
      <c r="BN226" s="102">
        <f>(CI226-Driver!$F$205)/(Driver!$G$205-Driver!$F$205)*$BI$1</f>
        <v/>
      </c>
      <c r="BO226" s="102">
        <f>(CK226-Driver!$F$207)/(Driver!$G$207-Driver!$F$207)*$BI$1</f>
        <v/>
      </c>
      <c r="BP226" s="102">
        <f>(CM226-Driver!$F$208)/(Driver!$G$208-Driver!$F$208)*$BI$1</f>
        <v/>
      </c>
      <c r="BQ226" s="102">
        <f>(CL226-Driver!$F$209)/(Driver!$G$209-Driver!$F$209)*$BI$1</f>
        <v/>
      </c>
      <c r="BR226" s="40" t="inlineStr">
        <is>
          <t>21/22</t>
        </is>
      </c>
      <c r="BS226" s="10" t="inlineStr">
        <is>
          <t xml:space="preserve"> Rossignol</t>
        </is>
      </c>
      <c r="BT226" s="11" t="inlineStr">
        <is>
          <t xml:space="preserve"> Blackops Rallybird W</t>
        </is>
      </c>
      <c r="BU226" s="13" t="n">
        <v>162</v>
      </c>
      <c r="BV226" s="11" t="inlineStr">
        <is>
          <t xml:space="preserve"> Women's</t>
        </is>
      </c>
      <c r="BW226" s="13" t="n">
        <v>162</v>
      </c>
      <c r="BX226" s="13" t="n">
        <v>162.7</v>
      </c>
      <c r="BY226" s="13" t="n">
        <v>111</v>
      </c>
      <c r="BZ226" s="13" t="n">
        <v>136</v>
      </c>
      <c r="CA226" s="13" t="n">
        <v>136</v>
      </c>
      <c r="CB226" s="13" t="n">
        <v>100</v>
      </c>
      <c r="CC226" s="13" t="n">
        <v>127</v>
      </c>
      <c r="CD226" s="13" t="n">
        <v>13</v>
      </c>
      <c r="CE226" s="13" t="n">
        <v>1690</v>
      </c>
      <c r="CF226" s="13" t="n">
        <v>1.09</v>
      </c>
      <c r="CG226" s="13" t="n">
        <v>1839</v>
      </c>
      <c r="CH226" s="13" t="n">
        <v>200</v>
      </c>
      <c r="CI226" s="13" t="n">
        <v>97</v>
      </c>
      <c r="CJ226" s="13" t="n">
        <v>48</v>
      </c>
      <c r="CK226" s="13" t="n">
        <v>297</v>
      </c>
      <c r="CL226" s="13" t="n">
        <v>14</v>
      </c>
      <c r="CM226" s="13" t="n">
        <v>223</v>
      </c>
      <c r="CN226" s="13" t="n">
        <v>0.29</v>
      </c>
      <c r="CO226" s="13" t="n">
        <v>161</v>
      </c>
      <c r="CP226" s="13" t="n">
        <v>107</v>
      </c>
      <c r="CQ226" s="13" t="n">
        <v>136</v>
      </c>
      <c r="CR226" s="13" t="n">
        <v>5</v>
      </c>
      <c r="CS226" s="13" t="n">
        <v>6.3</v>
      </c>
      <c r="CT226" s="11" t="inlineStr">
        <is>
          <t xml:space="preserve"> Resort Freeride</t>
        </is>
      </c>
      <c r="CU226" s="11" t="inlineStr">
        <is>
          <t xml:space="preserve"> Big Mountain</t>
        </is>
      </c>
      <c r="CV226" s="11" t="inlineStr">
        <is>
          <t xml:space="preserve"> Touring</t>
        </is>
      </c>
      <c r="CW226" s="13" t="n"/>
      <c r="CX226">
        <f>INDEX('Data_Price '!AG$2:AG$1266,MATCH(Data!$DN226,'Data_Price '!$AT$2:$AT$1266,0))</f>
        <v/>
      </c>
      <c r="CY226">
        <f>INDEX('Data_Price '!AH$2:AH$1266,MATCH(Data!$DN226,'Data_Price '!$AT$2:$AT$1266,0))</f>
        <v/>
      </c>
      <c r="CZ226">
        <f>INDEX('Data_Price '!AI$2:AI$1266,MATCH(Data!$DN226,'Data_Price '!$AT$2:$AT$1266,0))</f>
        <v/>
      </c>
      <c r="DA226">
        <f>INDEX('Data_Price '!AJ$2:AJ$1266,MATCH(Data!$DN226,'Data_Price '!$AT$2:$AT$1266,0))</f>
        <v/>
      </c>
      <c r="DB226">
        <f>INDEX('Data_Price '!AK$2:AK$1266,MATCH(Data!$DN226,'Data_Price '!$AT$2:$AT$1266,0))</f>
        <v/>
      </c>
      <c r="DC226">
        <f>INDEX('Data_Price '!AL$2:AL$1266,MATCH(Data!$DN226,'Data_Price '!$AT$2:$AT$1266,0))</f>
        <v/>
      </c>
      <c r="DD226">
        <f>INDEX('Data_Price '!AM$2:AM$1266,MATCH(Data!$DN226,'Data_Price '!$AT$2:$AT$1266,0))</f>
        <v/>
      </c>
      <c r="DE226">
        <f>INDEX('Data_Price '!AN$2:AN$1266,MATCH(Data!$DN226,'Data_Price '!$AT$2:$AT$1266,0))</f>
        <v/>
      </c>
      <c r="DF226">
        <f>INDEX('Data_Price '!AO$2:AO$1266,MATCH(Data!$DN226,'Data_Price '!$AT$2:$AT$1266,0))</f>
        <v/>
      </c>
      <c r="DG226">
        <f>INDEX('Data_Price '!AP$2:AP$1266,MATCH(Data!$DN226,'Data_Price '!$AT$2:$AT$1266,0))</f>
        <v/>
      </c>
      <c r="DH226">
        <f>INDEX('Data_Price '!AQ$2:AQ$1266,MATCH(Data!$DN226,'Data_Price '!$AT$2:$AT$1266,0))</f>
        <v/>
      </c>
      <c r="DI226">
        <f>INDEX('Data_Price '!AR$2:AR$1266,MATCH(Data!$DN226,'Data_Price '!$AT$2:$AT$1266,0))</f>
        <v/>
      </c>
      <c r="DJ226" s="138">
        <f>DA226</f>
        <v/>
      </c>
      <c r="DK226" s="138">
        <f>DE226</f>
        <v/>
      </c>
      <c r="DL226" s="138">
        <f>DI226</f>
        <v/>
      </c>
      <c r="DM226" s="303">
        <f>IF(LEFT(BT226,1)=" ",RIGHT(BT226,LEN(BT226)-1),BT226)</f>
        <v/>
      </c>
      <c r="DN226" s="138">
        <f>_xlfn.CONCAT(BS226,DM226,BU226,BV226)</f>
        <v/>
      </c>
      <c r="DO226" s="307" t="n"/>
    </row>
    <row r="227" ht="15.6" customHeight="1" s="184">
      <c r="B227" s="303">
        <f t="array" ref="B227">IF(OR(ISERROR(K227:P227)),FALSE,TRUE)</f>
        <v/>
      </c>
      <c r="C227" s="60">
        <f>OR(BR227=Driver!$G$50,Data!BR339=Driver!$H$50)</f>
        <v/>
      </c>
      <c r="D227" s="60">
        <f>OR(BV227=Driver!$G$51,BV227=Driver!$H$51)</f>
        <v/>
      </c>
      <c r="E227" s="60">
        <f>AND(BX227&gt;Driver!$F$54,BX227&lt;Driver!$G$54)</f>
        <v/>
      </c>
      <c r="F227" s="60">
        <f>CL227&gt;Driver!$F$56</f>
        <v/>
      </c>
      <c r="G227" s="60">
        <f>AND(CB227&gt;Driver!$F$55,CB227&lt;Driver!$G$55)</f>
        <v/>
      </c>
      <c r="H227" s="60">
        <f>AND(B227:G227)</f>
        <v/>
      </c>
      <c r="I227" s="60">
        <f>COUNTIFS($H$9:$H$1273,TRUE,$BT$9:$BT$1273,BT227)</f>
        <v/>
      </c>
      <c r="J227" s="60">
        <f t="array" ref="J227">NOT(OR(($H$9:$H$1273=TRUE)*($I$9:$I$1273&gt;0)*($BT$9:$BT$1273=BT227)*($K$9:$K$1273&gt;K227)))</f>
        <v/>
      </c>
      <c r="K227" s="108">
        <f>IFERROR(1-AVERAGE(X227:Y227),"")</f>
        <v/>
      </c>
      <c r="L227" s="108">
        <f>1-X227</f>
        <v/>
      </c>
      <c r="M227" s="108">
        <f>1-Y227</f>
        <v/>
      </c>
      <c r="N227" s="108">
        <f>1-Z227</f>
        <v/>
      </c>
      <c r="O227" s="108">
        <f>1-AA227</f>
        <v/>
      </c>
      <c r="P227" s="108">
        <f>1-AB227</f>
        <v/>
      </c>
      <c r="Q227" s="108" t="n"/>
      <c r="R227" s="108" t="n"/>
      <c r="S227" s="108">
        <f>1-AE227</f>
        <v/>
      </c>
      <c r="T227" s="108">
        <f>1-AF227</f>
        <v/>
      </c>
      <c r="U227" s="108">
        <f>1-AG227</f>
        <v/>
      </c>
      <c r="V227" s="108">
        <f>1-AH227</f>
        <v/>
      </c>
      <c r="W227" s="108">
        <f>1-AI227</f>
        <v/>
      </c>
      <c r="X227" s="108">
        <f>ABS(AJ227-AJ$1)</f>
        <v/>
      </c>
      <c r="Y227" s="108">
        <f>AVERAGE(Z227:AB227)</f>
        <v/>
      </c>
      <c r="Z227" s="108">
        <f>ABS(AL227-AL$1)</f>
        <v/>
      </c>
      <c r="AA227" s="108">
        <f>ABS(AM227-AM$1)</f>
        <v/>
      </c>
      <c r="AB227" s="108">
        <f>ABS(AN227-AN$1)</f>
        <v/>
      </c>
      <c r="AC227" s="108" t="n"/>
      <c r="AD227" s="108" t="n"/>
      <c r="AE227" s="108">
        <f>ABS(AQ$1-AQ227)</f>
        <v/>
      </c>
      <c r="AF227" s="108">
        <f>ABS(AR$1-AR227)</f>
        <v/>
      </c>
      <c r="AG227" s="108">
        <f>ABS(AS$1-AS227)</f>
        <v/>
      </c>
      <c r="AH227" s="108">
        <f>ABS(AT$1-AT227)</f>
        <v/>
      </c>
      <c r="AI227" s="108">
        <f>ABS(AU$1-AU227)</f>
        <v/>
      </c>
      <c r="AJ227" s="108">
        <f>(AV227-Driver!$K$179)/(Driver!$L$179-Driver!$K$179)</f>
        <v/>
      </c>
      <c r="AK227" s="108">
        <f>(AW227-Driver!$K$180)/(Driver!$L$180-Driver!$K$180)</f>
        <v/>
      </c>
      <c r="AL227" s="108">
        <f>(AX227-Driver!$K$181)/(Driver!$L$181-Driver!$K$181)</f>
        <v/>
      </c>
      <c r="AM227" s="108">
        <f>(AY227-Driver!$K$182)/(Driver!$L$182-Driver!$K$182)</f>
        <v/>
      </c>
      <c r="AN227" s="108">
        <f>(AZ227-Driver!$K$183)/(Driver!$L$183-Driver!$K$183)</f>
        <v/>
      </c>
      <c r="AO227" s="108" t="n"/>
      <c r="AP227" s="108" t="n"/>
      <c r="AQ227" s="108">
        <f>(BC227-Driver!$K$188)/(Driver!$L$188-Driver!$K$188)</f>
        <v/>
      </c>
      <c r="AR227" s="108">
        <f>MIN((BD227-Driver!$K$189)/(Driver!$L$189-Driver!$K$189),100%)</f>
        <v/>
      </c>
      <c r="AS227" s="108">
        <f>(BE227-Driver!$K$190)/(Driver!$L$190-Driver!$K$190)</f>
        <v/>
      </c>
      <c r="AT227" s="108">
        <f>(BF227-Driver!$K$191)/(Driver!$L$191-Driver!$K$191)</f>
        <v/>
      </c>
      <c r="AU227" s="108">
        <f>(BG227-Driver!$K$192)/(Driver!$L$192-Driver!$K$192)</f>
        <v/>
      </c>
      <c r="AV227" s="105">
        <f>IFERROR(BM227*BJ227^1/4,"")</f>
        <v/>
      </c>
      <c r="AW227" s="105">
        <f>IFERROR(SUM(AX227:AZ227),"")</f>
        <v/>
      </c>
      <c r="AX227" s="105">
        <f>IFERROR(BH227,"")</f>
        <v/>
      </c>
      <c r="AY227" s="105">
        <f>IFERROR(Driver!$K$19/Data!BH227/Data!BI227*Data!BK227*Data!BL227,"")</f>
        <v/>
      </c>
      <c r="AZ227" s="105">
        <f>IFERROR(BI227*BN227,"")</f>
        <v/>
      </c>
      <c r="BA227" s="105" t="n"/>
      <c r="BB227" s="105" t="n"/>
      <c r="BC227" s="105">
        <f>IFERROR(BI227*BN227*BK227/BJ227^(1/2),"")</f>
        <v/>
      </c>
      <c r="BD227" s="105">
        <f>IFERROR(BH227*BM227*BL227/BJ227/BK227,"")</f>
        <v/>
      </c>
      <c r="BE227" s="105">
        <f>IFERROR(MIN(BI227/BQ227/BP227/BO227/BH227,$BE$1),"")</f>
        <v/>
      </c>
      <c r="BF227" s="105">
        <f>IFERROR(BJ227*BO227*BP227/BK227,"")</f>
        <v/>
      </c>
      <c r="BG227" s="105">
        <f>IFERROR(1/BM227/BH227*BQ227,"")</f>
        <v/>
      </c>
      <c r="BH227" s="102">
        <f>MAX((CE227-Driver!$F$200)/(Driver!$G$200-Driver!$F$200)*$BI$1,1)</f>
        <v/>
      </c>
      <c r="BI227" s="102">
        <f>MAX($BI$1*(BY227-Driver!$F$201)/(Driver!$G$201-Driver!$F$201),1)</f>
        <v/>
      </c>
      <c r="BJ227" s="102">
        <f>(CB227-Driver!$F$206)/(Driver!$G$206-Driver!$F$206)*$BI$1</f>
        <v/>
      </c>
      <c r="BK227" s="102">
        <f>(CD227-Driver!$F$203)/(Driver!$G$203-Driver!$F$203)*$BI$1</f>
        <v/>
      </c>
      <c r="BL227" s="102">
        <f>MAX((CR227-Driver!$F$202)/(Driver!$G$202-Driver!$F$202)*$BI$1,1)</f>
        <v/>
      </c>
      <c r="BM227" s="102">
        <f>MAX((CH227-Driver!$F$204)/(Driver!$G$204-Driver!$F$204)*$BI$1,1)</f>
        <v/>
      </c>
      <c r="BN227" s="102">
        <f>(CI227-Driver!$F$205)/(Driver!$G$205-Driver!$F$205)*$BI$1</f>
        <v/>
      </c>
      <c r="BO227" s="102">
        <f>(CK227-Driver!$F$207)/(Driver!$G$207-Driver!$F$207)*$BI$1</f>
        <v/>
      </c>
      <c r="BP227" s="102">
        <f>(CM227-Driver!$F$208)/(Driver!$G$208-Driver!$F$208)*$BI$1</f>
        <v/>
      </c>
      <c r="BQ227" s="102">
        <f>(CL227-Driver!$F$209)/(Driver!$G$209-Driver!$F$209)*$BI$1</f>
        <v/>
      </c>
      <c r="BR227" s="40" t="inlineStr">
        <is>
          <t>21/22</t>
        </is>
      </c>
      <c r="BS227" s="10" t="inlineStr">
        <is>
          <t xml:space="preserve"> DPS</t>
        </is>
      </c>
      <c r="BT227" s="11" t="inlineStr">
        <is>
          <t>Pagoda 106 C2</t>
        </is>
      </c>
      <c r="BU227" s="13" t="n">
        <v>171</v>
      </c>
      <c r="BV227" s="11" t="inlineStr">
        <is>
          <t xml:space="preserve"> Unisex</t>
        </is>
      </c>
      <c r="BW227" s="13" t="n">
        <v>171</v>
      </c>
      <c r="BX227" s="13" t="n">
        <v>169.4</v>
      </c>
      <c r="BY227" s="13" t="n">
        <v>123</v>
      </c>
      <c r="BZ227" s="13" t="n">
        <v>131</v>
      </c>
      <c r="CA227" s="13" t="n">
        <v>134</v>
      </c>
      <c r="CB227" s="13" t="n">
        <v>106</v>
      </c>
      <c r="CC227" s="13" t="n">
        <v>119</v>
      </c>
      <c r="CD227" s="13" t="n">
        <v>19</v>
      </c>
      <c r="CE227" s="13" t="n">
        <v>1843</v>
      </c>
      <c r="CF227" s="13" t="n">
        <v>1.05</v>
      </c>
      <c r="CG227" s="13" t="n">
        <v>1938</v>
      </c>
      <c r="CH227" s="13" t="n">
        <v>209</v>
      </c>
      <c r="CI227" s="13" t="n">
        <v>116</v>
      </c>
      <c r="CJ227" s="13" t="n">
        <v>34</v>
      </c>
      <c r="CK227" s="13" t="n">
        <v>261</v>
      </c>
      <c r="CL227" s="13" t="n">
        <v>21</v>
      </c>
      <c r="CM227" s="13" t="n">
        <v>203</v>
      </c>
      <c r="CN227" s="13" t="n">
        <v>0.607</v>
      </c>
      <c r="CO227" s="13" t="n">
        <v>199</v>
      </c>
      <c r="CP227" s="13" t="n">
        <v>188</v>
      </c>
      <c r="CQ227" s="13" t="n">
        <v>62</v>
      </c>
      <c r="CR227" s="13" t="n">
        <v>9</v>
      </c>
      <c r="CS227" s="13" t="n">
        <v>10.6</v>
      </c>
      <c r="CT227" s="11" t="inlineStr">
        <is>
          <t xml:space="preserve"> Powder</t>
        </is>
      </c>
      <c r="CU227" s="11" t="inlineStr">
        <is>
          <t xml:space="preserve"> Touring</t>
        </is>
      </c>
      <c r="CV227" s="13" t="n"/>
      <c r="CW227" s="13" t="n"/>
      <c r="CX227">
        <f>INDEX('Data_Price '!AG$2:AG$1266,MATCH(Data!$DN227,'Data_Price '!$AT$2:$AT$1266,0))</f>
        <v/>
      </c>
      <c r="CY227">
        <f>INDEX('Data_Price '!AH$2:AH$1266,MATCH(Data!$DN227,'Data_Price '!$AT$2:$AT$1266,0))</f>
        <v/>
      </c>
      <c r="CZ227">
        <f>INDEX('Data_Price '!AI$2:AI$1266,MATCH(Data!$DN227,'Data_Price '!$AT$2:$AT$1266,0))</f>
        <v/>
      </c>
      <c r="DA227">
        <f>INDEX('Data_Price '!AJ$2:AJ$1266,MATCH(Data!$DN227,'Data_Price '!$AT$2:$AT$1266,0))</f>
        <v/>
      </c>
      <c r="DB227">
        <f>INDEX('Data_Price '!AK$2:AK$1266,MATCH(Data!$DN227,'Data_Price '!$AT$2:$AT$1266,0))</f>
        <v/>
      </c>
      <c r="DC227">
        <f>INDEX('Data_Price '!AL$2:AL$1266,MATCH(Data!$DN227,'Data_Price '!$AT$2:$AT$1266,0))</f>
        <v/>
      </c>
      <c r="DD227">
        <f>INDEX('Data_Price '!AM$2:AM$1266,MATCH(Data!$DN227,'Data_Price '!$AT$2:$AT$1266,0))</f>
        <v/>
      </c>
      <c r="DE227">
        <f>INDEX('Data_Price '!AN$2:AN$1266,MATCH(Data!$DN227,'Data_Price '!$AT$2:$AT$1266,0))</f>
        <v/>
      </c>
      <c r="DF227">
        <f>INDEX('Data_Price '!AO$2:AO$1266,MATCH(Data!$DN227,'Data_Price '!$AT$2:$AT$1266,0))</f>
        <v/>
      </c>
      <c r="DG227">
        <f>INDEX('Data_Price '!AP$2:AP$1266,MATCH(Data!$DN227,'Data_Price '!$AT$2:$AT$1266,0))</f>
        <v/>
      </c>
      <c r="DH227">
        <f>INDEX('Data_Price '!AQ$2:AQ$1266,MATCH(Data!$DN227,'Data_Price '!$AT$2:$AT$1266,0))</f>
        <v/>
      </c>
      <c r="DI227">
        <f>INDEX('Data_Price '!AR$2:AR$1266,MATCH(Data!$DN227,'Data_Price '!$AT$2:$AT$1266,0))</f>
        <v/>
      </c>
      <c r="DJ227" s="138">
        <f>DA227</f>
        <v/>
      </c>
      <c r="DK227" s="138">
        <f>DE227</f>
        <v/>
      </c>
      <c r="DL227" s="138">
        <f>DI227</f>
        <v/>
      </c>
      <c r="DM227" s="303">
        <f>IF(LEFT(BT227,1)=" ",RIGHT(BT227,LEN(BT227)-1),BT227)</f>
        <v/>
      </c>
      <c r="DN227" s="138">
        <f>_xlfn.CONCAT(BS227,DM227,BU227,BV227)</f>
        <v/>
      </c>
      <c r="DO227" s="307" t="inlineStr">
        <is>
          <t>https://images.evo.com/imgp/250/209064/857445/dps-pagoda-106-c2-skis-2023-.jpg</t>
        </is>
      </c>
    </row>
    <row r="228" ht="15.6" customHeight="1" s="184">
      <c r="B228" s="303">
        <f t="array" ref="B228">IF(OR(ISERROR(K228:P228)),FALSE,TRUE)</f>
        <v/>
      </c>
      <c r="C228" s="60">
        <f>OR(BR228=Driver!$G$50,Data!BR819=Driver!$H$50)</f>
        <v/>
      </c>
      <c r="D228" s="60">
        <f>OR(BV228=Driver!$G$51,BV228=Driver!$H$51)</f>
        <v/>
      </c>
      <c r="E228" s="60">
        <f>AND(BX228&gt;Driver!$F$54,BX228&lt;Driver!$G$54)</f>
        <v/>
      </c>
      <c r="F228" s="60">
        <f>CL228&gt;Driver!$F$56</f>
        <v/>
      </c>
      <c r="G228" s="60">
        <f>AND(CB228&gt;Driver!$F$55,CB228&lt;Driver!$G$55)</f>
        <v/>
      </c>
      <c r="H228" s="60">
        <f>AND(B228:G228)</f>
        <v/>
      </c>
      <c r="I228" s="60">
        <f>COUNTIFS($H$9:$H$1273,TRUE,$BT$9:$BT$1273,BT228)</f>
        <v/>
      </c>
      <c r="J228" s="60">
        <f t="array" ref="J228">NOT(OR(($H$9:$H$1273=TRUE)*($I$9:$I$1273&gt;0)*($BT$9:$BT$1273=BT228)*($K$9:$K$1273&gt;K228)))</f>
        <v/>
      </c>
      <c r="K228" s="108">
        <f>IFERROR(1-AVERAGE(X228:Y228),"")</f>
        <v/>
      </c>
      <c r="L228" s="108">
        <f>1-X228</f>
        <v/>
      </c>
      <c r="M228" s="108">
        <f>1-Y228</f>
        <v/>
      </c>
      <c r="N228" s="108">
        <f>1-Z228</f>
        <v/>
      </c>
      <c r="O228" s="108">
        <f>1-AA228</f>
        <v/>
      </c>
      <c r="P228" s="108">
        <f>1-AB228</f>
        <v/>
      </c>
      <c r="Q228" s="108" t="n"/>
      <c r="R228" s="108" t="n"/>
      <c r="S228" s="108">
        <f>1-AE228</f>
        <v/>
      </c>
      <c r="T228" s="108">
        <f>1-AF228</f>
        <v/>
      </c>
      <c r="U228" s="108">
        <f>1-AG228</f>
        <v/>
      </c>
      <c r="V228" s="108">
        <f>1-AH228</f>
        <v/>
      </c>
      <c r="W228" s="108">
        <f>1-AI228</f>
        <v/>
      </c>
      <c r="X228" s="108">
        <f>ABS(AJ228-AJ$1)</f>
        <v/>
      </c>
      <c r="Y228" s="108">
        <f>AVERAGE(Z228:AB228)</f>
        <v/>
      </c>
      <c r="Z228" s="108">
        <f>ABS(AL228-AL$1)</f>
        <v/>
      </c>
      <c r="AA228" s="108">
        <f>ABS(AM228-AM$1)</f>
        <v/>
      </c>
      <c r="AB228" s="108">
        <f>ABS(AN228-AN$1)</f>
        <v/>
      </c>
      <c r="AC228" s="108" t="n"/>
      <c r="AD228" s="108" t="n"/>
      <c r="AE228" s="108">
        <f>ABS(AQ$1-AQ228)</f>
        <v/>
      </c>
      <c r="AF228" s="108">
        <f>ABS(AR$1-AR228)</f>
        <v/>
      </c>
      <c r="AG228" s="108">
        <f>ABS(AS$1-AS228)</f>
        <v/>
      </c>
      <c r="AH228" s="108">
        <f>ABS(AT$1-AT228)</f>
        <v/>
      </c>
      <c r="AI228" s="108">
        <f>ABS(AU$1-AU228)</f>
        <v/>
      </c>
      <c r="AJ228" s="108">
        <f>(AV228-Driver!$K$179)/(Driver!$L$179-Driver!$K$179)</f>
        <v/>
      </c>
      <c r="AK228" s="108">
        <f>(AW228-Driver!$K$180)/(Driver!$L$180-Driver!$K$180)</f>
        <v/>
      </c>
      <c r="AL228" s="108">
        <f>(AX228-Driver!$K$181)/(Driver!$L$181-Driver!$K$181)</f>
        <v/>
      </c>
      <c r="AM228" s="108">
        <f>(AY228-Driver!$K$182)/(Driver!$L$182-Driver!$K$182)</f>
        <v/>
      </c>
      <c r="AN228" s="108">
        <f>(AZ228-Driver!$K$183)/(Driver!$L$183-Driver!$K$183)</f>
        <v/>
      </c>
      <c r="AO228" s="108" t="n"/>
      <c r="AP228" s="108" t="n"/>
      <c r="AQ228" s="108">
        <f>(BC228-Driver!$K$188)/(Driver!$L$188-Driver!$K$188)</f>
        <v/>
      </c>
      <c r="AR228" s="108">
        <f>MIN((BD228-Driver!$K$189)/(Driver!$L$189-Driver!$K$189),100%)</f>
        <v/>
      </c>
      <c r="AS228" s="108">
        <f>(BE228-Driver!$K$190)/(Driver!$L$190-Driver!$K$190)</f>
        <v/>
      </c>
      <c r="AT228" s="108">
        <f>(BF228-Driver!$K$191)/(Driver!$L$191-Driver!$K$191)</f>
        <v/>
      </c>
      <c r="AU228" s="108">
        <f>(BG228-Driver!$K$192)/(Driver!$L$192-Driver!$K$192)</f>
        <v/>
      </c>
      <c r="AV228" s="105">
        <f>IFERROR(BM228*BJ228^1/4,"")</f>
        <v/>
      </c>
      <c r="AW228" s="105">
        <f>IFERROR(SUM(AX228:AZ228),"")</f>
        <v/>
      </c>
      <c r="AX228" s="105">
        <f>IFERROR(BH228,"")</f>
        <v/>
      </c>
      <c r="AY228" s="105">
        <f>IFERROR(Driver!$K$19/Data!BH228/Data!BI228*Data!BK228*Data!BL228,"")</f>
        <v/>
      </c>
      <c r="AZ228" s="105">
        <f>IFERROR(BI228*BN228,"")</f>
        <v/>
      </c>
      <c r="BA228" s="105" t="n"/>
      <c r="BB228" s="105" t="n"/>
      <c r="BC228" s="105">
        <f>IFERROR(BI228*BN228*BK228/BJ228^(1/2),"")</f>
        <v/>
      </c>
      <c r="BD228" s="105">
        <f>IFERROR(BH228*BM228*BL228/BJ228/BK228,"")</f>
        <v/>
      </c>
      <c r="BE228" s="105">
        <f>IFERROR(MIN(BI228/BQ228/BP228/BO228/BH228,$BE$1),"")</f>
        <v/>
      </c>
      <c r="BF228" s="105">
        <f>IFERROR(BJ228*BO228*BP228/BK228,"")</f>
        <v/>
      </c>
      <c r="BG228" s="105">
        <f>IFERROR(1/BM228/BH228*BQ228,"")</f>
        <v/>
      </c>
      <c r="BH228" s="102">
        <f>MAX((CE228-Driver!$F$200)/(Driver!$G$200-Driver!$F$200)*$BI$1,1)</f>
        <v/>
      </c>
      <c r="BI228" s="102">
        <f>MAX($BI$1*(BY228-Driver!$F$201)/(Driver!$G$201-Driver!$F$201),1)</f>
        <v/>
      </c>
      <c r="BJ228" s="102">
        <f>(CB228-Driver!$F$206)/(Driver!$G$206-Driver!$F$206)*$BI$1</f>
        <v/>
      </c>
      <c r="BK228" s="102">
        <f>(CD228-Driver!$F$203)/(Driver!$G$203-Driver!$F$203)*$BI$1</f>
        <v/>
      </c>
      <c r="BL228" s="102">
        <f>MAX((CR228-Driver!$F$202)/(Driver!$G$202-Driver!$F$202)*$BI$1,1)</f>
        <v/>
      </c>
      <c r="BM228" s="102">
        <f>MAX((CH228-Driver!$F$204)/(Driver!$G$204-Driver!$F$204)*$BI$1,1)</f>
        <v/>
      </c>
      <c r="BN228" s="102">
        <f>(CI228-Driver!$F$205)/(Driver!$G$205-Driver!$F$205)*$BI$1</f>
        <v/>
      </c>
      <c r="BO228" s="102">
        <f>(CK228-Driver!$F$207)/(Driver!$G$207-Driver!$F$207)*$BI$1</f>
        <v/>
      </c>
      <c r="BP228" s="102">
        <f>(CM228-Driver!$F$208)/(Driver!$G$208-Driver!$F$208)*$BI$1</f>
        <v/>
      </c>
      <c r="BQ228" s="102">
        <f>(CL228-Driver!$F$209)/(Driver!$G$209-Driver!$F$209)*$BI$1</f>
        <v/>
      </c>
      <c r="BR228" s="40" t="inlineStr">
        <is>
          <t>21/22</t>
        </is>
      </c>
      <c r="BS228" s="10" t="inlineStr">
        <is>
          <t xml:space="preserve"> Liberty</t>
        </is>
      </c>
      <c r="BT228" s="11" t="inlineStr">
        <is>
          <t>Origin 96</t>
        </is>
      </c>
      <c r="BU228" s="13" t="n">
        <v>182</v>
      </c>
      <c r="BV228" s="11" t="inlineStr">
        <is>
          <t xml:space="preserve"> Unisex</t>
        </is>
      </c>
      <c r="BW228" s="13" t="n">
        <v>182</v>
      </c>
      <c r="BX228" s="13" t="n">
        <v>180.8</v>
      </c>
      <c r="BY228" s="13" t="n">
        <v>123</v>
      </c>
      <c r="BZ228" s="13" t="n">
        <v>151</v>
      </c>
      <c r="CA228" s="13" t="n">
        <v>129</v>
      </c>
      <c r="CB228" s="13" t="n">
        <v>96</v>
      </c>
      <c r="CC228" s="13" t="n">
        <v>117</v>
      </c>
      <c r="CD228" s="13" t="n">
        <v>18.7</v>
      </c>
      <c r="CE228" s="13" t="n">
        <v>1860</v>
      </c>
      <c r="CF228" s="13" t="n">
        <v>1.03</v>
      </c>
      <c r="CG228" s="13" t="n">
        <v>1919</v>
      </c>
      <c r="CH228" s="13" t="n">
        <v>205</v>
      </c>
      <c r="CI228" s="13" t="n">
        <v>97</v>
      </c>
      <c r="CJ228" s="13" t="n">
        <v>47</v>
      </c>
      <c r="CK228" s="13" t="n">
        <v>332</v>
      </c>
      <c r="CL228" s="13" t="n">
        <v>30</v>
      </c>
      <c r="CM228" s="13" t="n">
        <v>243</v>
      </c>
      <c r="CN228" s="13" t="n">
        <v>0.646</v>
      </c>
      <c r="CO228" s="13" t="n">
        <v>136</v>
      </c>
      <c r="CP228" s="13" t="n">
        <v>164</v>
      </c>
      <c r="CQ228" s="13" t="n">
        <v>195</v>
      </c>
      <c r="CR228" s="13" t="n">
        <v>6</v>
      </c>
      <c r="CS228" s="13" t="n">
        <v>8.6</v>
      </c>
      <c r="CT228" s="11" t="inlineStr">
        <is>
          <t xml:space="preserve"> Resort Freeride</t>
        </is>
      </c>
      <c r="CU228" s="13" t="n"/>
      <c r="CV228" s="13" t="n"/>
      <c r="CW228" s="13" t="n"/>
      <c r="CX228">
        <f>INDEX('Data_Price '!AG$2:AG$1266,MATCH(Data!$DN228,'Data_Price '!$AT$2:$AT$1266,0))</f>
        <v/>
      </c>
      <c r="CY228">
        <f>INDEX('Data_Price '!AH$2:AH$1266,MATCH(Data!$DN228,'Data_Price '!$AT$2:$AT$1266,0))</f>
        <v/>
      </c>
      <c r="CZ228">
        <f>INDEX('Data_Price '!AI$2:AI$1266,MATCH(Data!$DN228,'Data_Price '!$AT$2:$AT$1266,0))</f>
        <v/>
      </c>
      <c r="DA228">
        <f>INDEX('Data_Price '!AJ$2:AJ$1266,MATCH(Data!$DN228,'Data_Price '!$AT$2:$AT$1266,0))</f>
        <v/>
      </c>
      <c r="DB228">
        <f>INDEX('Data_Price '!AK$2:AK$1266,MATCH(Data!$DN228,'Data_Price '!$AT$2:$AT$1266,0))</f>
        <v/>
      </c>
      <c r="DC228">
        <f>INDEX('Data_Price '!AL$2:AL$1266,MATCH(Data!$DN228,'Data_Price '!$AT$2:$AT$1266,0))</f>
        <v/>
      </c>
      <c r="DD228">
        <f>INDEX('Data_Price '!AM$2:AM$1266,MATCH(Data!$DN228,'Data_Price '!$AT$2:$AT$1266,0))</f>
        <v/>
      </c>
      <c r="DE228">
        <f>INDEX('Data_Price '!AN$2:AN$1266,MATCH(Data!$DN228,'Data_Price '!$AT$2:$AT$1266,0))</f>
        <v/>
      </c>
      <c r="DF228">
        <f>INDEX('Data_Price '!AO$2:AO$1266,MATCH(Data!$DN228,'Data_Price '!$AT$2:$AT$1266,0))</f>
        <v/>
      </c>
      <c r="DG228">
        <f>INDEX('Data_Price '!AP$2:AP$1266,MATCH(Data!$DN228,'Data_Price '!$AT$2:$AT$1266,0))</f>
        <v/>
      </c>
      <c r="DH228">
        <f>INDEX('Data_Price '!AQ$2:AQ$1266,MATCH(Data!$DN228,'Data_Price '!$AT$2:$AT$1266,0))</f>
        <v/>
      </c>
      <c r="DI228">
        <f>INDEX('Data_Price '!AR$2:AR$1266,MATCH(Data!$DN228,'Data_Price '!$AT$2:$AT$1266,0))</f>
        <v/>
      </c>
      <c r="DJ228" s="138">
        <f>DA228</f>
        <v/>
      </c>
      <c r="DK228" s="138">
        <f>DE228</f>
        <v/>
      </c>
      <c r="DL228" s="138">
        <f>DI228</f>
        <v/>
      </c>
      <c r="DM228" s="303">
        <f>IF(LEFT(BT228,1)=" ",RIGHT(BT228,LEN(BT228)-1),BT228)</f>
        <v/>
      </c>
      <c r="DN228" s="138">
        <f>_xlfn.CONCAT(BS228,DM228,BU228,BV228)</f>
        <v/>
      </c>
      <c r="DO228" s="307" t="inlineStr">
        <is>
          <t>https://images.evo.com/imgp/250/208524/851432/clone.jpg</t>
        </is>
      </c>
    </row>
    <row r="229" ht="15.6" customHeight="1" s="184">
      <c r="B229" s="303">
        <f t="array" ref="B229">IF(OR(ISERROR(K229:P229)),FALSE,TRUE)</f>
        <v/>
      </c>
      <c r="C229" s="60">
        <f>OR(BR229=Driver!$G$50,Data!BR1070=Driver!$H$50)</f>
        <v/>
      </c>
      <c r="D229" s="60">
        <f>OR(BV229=Driver!$G$51,BV229=Driver!$H$51)</f>
        <v/>
      </c>
      <c r="E229" s="60">
        <f>AND(BX229&gt;Driver!$F$54,BX229&lt;Driver!$G$54)</f>
        <v/>
      </c>
      <c r="F229" s="60">
        <f>CL229&gt;Driver!$F$56</f>
        <v/>
      </c>
      <c r="G229" s="60">
        <f>AND(CB229&gt;Driver!$F$55,CB229&lt;Driver!$G$55)</f>
        <v/>
      </c>
      <c r="H229" s="60">
        <f>AND(B229:G229)</f>
        <v/>
      </c>
      <c r="I229" s="60">
        <f>COUNTIFS($H$9:$H$1273,TRUE,$BT$9:$BT$1273,BT229)</f>
        <v/>
      </c>
      <c r="J229" s="60">
        <f t="array" ref="J229">NOT(OR(($H$9:$H$1273=TRUE)*($I$9:$I$1273&gt;0)*($BT$9:$BT$1273=BT229)*($K$9:$K$1273&gt;K229)))</f>
        <v/>
      </c>
      <c r="K229" s="108">
        <f>IFERROR(1-AVERAGE(X229:Y229),"")</f>
        <v/>
      </c>
      <c r="L229" s="108">
        <f>1-X229</f>
        <v/>
      </c>
      <c r="M229" s="108">
        <f>1-Y229</f>
        <v/>
      </c>
      <c r="N229" s="108">
        <f>1-Z229</f>
        <v/>
      </c>
      <c r="O229" s="108">
        <f>1-AA229</f>
        <v/>
      </c>
      <c r="P229" s="108">
        <f>1-AB229</f>
        <v/>
      </c>
      <c r="Q229" s="108" t="n"/>
      <c r="R229" s="108" t="n"/>
      <c r="S229" s="108">
        <f>1-AE229</f>
        <v/>
      </c>
      <c r="T229" s="108">
        <f>1-AF229</f>
        <v/>
      </c>
      <c r="U229" s="108">
        <f>1-AG229</f>
        <v/>
      </c>
      <c r="V229" s="108">
        <f>1-AH229</f>
        <v/>
      </c>
      <c r="W229" s="108">
        <f>1-AI229</f>
        <v/>
      </c>
      <c r="X229" s="108">
        <f>ABS(AJ229-AJ$1)</f>
        <v/>
      </c>
      <c r="Y229" s="108">
        <f>AVERAGE(Z229:AB229)</f>
        <v/>
      </c>
      <c r="Z229" s="108">
        <f>ABS(AL229-AL$1)</f>
        <v/>
      </c>
      <c r="AA229" s="108">
        <f>ABS(AM229-AM$1)</f>
        <v/>
      </c>
      <c r="AB229" s="108">
        <f>ABS(AN229-AN$1)</f>
        <v/>
      </c>
      <c r="AC229" s="108" t="n"/>
      <c r="AD229" s="108" t="n"/>
      <c r="AE229" s="108">
        <f>ABS(AQ$1-AQ229)</f>
        <v/>
      </c>
      <c r="AF229" s="108">
        <f>ABS(AR$1-AR229)</f>
        <v/>
      </c>
      <c r="AG229" s="108">
        <f>ABS(AS$1-AS229)</f>
        <v/>
      </c>
      <c r="AH229" s="108">
        <f>ABS(AT$1-AT229)</f>
        <v/>
      </c>
      <c r="AI229" s="108">
        <f>ABS(AU$1-AU229)</f>
        <v/>
      </c>
      <c r="AJ229" s="108">
        <f>(AV229-Driver!$K$179)/(Driver!$L$179-Driver!$K$179)</f>
        <v/>
      </c>
      <c r="AK229" s="108">
        <f>(AW229-Driver!$K$180)/(Driver!$L$180-Driver!$K$180)</f>
        <v/>
      </c>
      <c r="AL229" s="108">
        <f>(AX229-Driver!$K$181)/(Driver!$L$181-Driver!$K$181)</f>
        <v/>
      </c>
      <c r="AM229" s="108">
        <f>(AY229-Driver!$K$182)/(Driver!$L$182-Driver!$K$182)</f>
        <v/>
      </c>
      <c r="AN229" s="108">
        <f>(AZ229-Driver!$K$183)/(Driver!$L$183-Driver!$K$183)</f>
        <v/>
      </c>
      <c r="AO229" s="108" t="n"/>
      <c r="AP229" s="108" t="n"/>
      <c r="AQ229" s="108">
        <f>(BC229-Driver!$K$188)/(Driver!$L$188-Driver!$K$188)</f>
        <v/>
      </c>
      <c r="AR229" s="108">
        <f>MIN((BD229-Driver!$K$189)/(Driver!$L$189-Driver!$K$189),100%)</f>
        <v/>
      </c>
      <c r="AS229" s="108">
        <f>(BE229-Driver!$K$190)/(Driver!$L$190-Driver!$K$190)</f>
        <v/>
      </c>
      <c r="AT229" s="108">
        <f>(BF229-Driver!$K$191)/(Driver!$L$191-Driver!$K$191)</f>
        <v/>
      </c>
      <c r="AU229" s="108">
        <f>(BG229-Driver!$K$192)/(Driver!$L$192-Driver!$K$192)</f>
        <v/>
      </c>
      <c r="AV229" s="105">
        <f>IFERROR(BM229*BJ229^1/4,"")</f>
        <v/>
      </c>
      <c r="AW229" s="105">
        <f>IFERROR(SUM(AX229:AZ229),"")</f>
        <v/>
      </c>
      <c r="AX229" s="105">
        <f>IFERROR(BH229,"")</f>
        <v/>
      </c>
      <c r="AY229" s="105">
        <f>IFERROR(Driver!$K$19/Data!BH229/Data!BI229*Data!BK229*Data!BL229,"")</f>
        <v/>
      </c>
      <c r="AZ229" s="105">
        <f>IFERROR(BI229*BN229,"")</f>
        <v/>
      </c>
      <c r="BA229" s="105" t="n"/>
      <c r="BB229" s="105" t="n"/>
      <c r="BC229" s="105">
        <f>IFERROR(BI229*BN229*BK229/BJ229^(1/2),"")</f>
        <v/>
      </c>
      <c r="BD229" s="105">
        <f>IFERROR(BH229*BM229*BL229/BJ229/BK229,"")</f>
        <v/>
      </c>
      <c r="BE229" s="105">
        <f>IFERROR(MIN(BI229/BQ229/BP229/BO229/BH229,$BE$1),"")</f>
        <v/>
      </c>
      <c r="BF229" s="105">
        <f>IFERROR(BJ229*BO229*BP229/BK229,"")</f>
        <v/>
      </c>
      <c r="BG229" s="105">
        <f>IFERROR(1/BM229/BH229*BQ229,"")</f>
        <v/>
      </c>
      <c r="BH229" s="102">
        <f>MAX((CE229-Driver!$F$200)/(Driver!$G$200-Driver!$F$200)*$BI$1,1)</f>
        <v/>
      </c>
      <c r="BI229" s="102">
        <f>MAX($BI$1*(BY229-Driver!$F$201)/(Driver!$G$201-Driver!$F$201),1)</f>
        <v/>
      </c>
      <c r="BJ229" s="102">
        <f>(CB229-Driver!$F$206)/(Driver!$G$206-Driver!$F$206)*$BI$1</f>
        <v/>
      </c>
      <c r="BK229" s="102">
        <f>(CD229-Driver!$F$203)/(Driver!$G$203-Driver!$F$203)*$BI$1</f>
        <v/>
      </c>
      <c r="BL229" s="102">
        <f>MAX((CR229-Driver!$F$202)/(Driver!$G$202-Driver!$F$202)*$BI$1,1)</f>
        <v/>
      </c>
      <c r="BM229" s="102">
        <f>MAX((CH229-Driver!$F$204)/(Driver!$G$204-Driver!$F$204)*$BI$1,1)</f>
        <v/>
      </c>
      <c r="BN229" s="102">
        <f>(CI229-Driver!$F$205)/(Driver!$G$205-Driver!$F$205)*$BI$1</f>
        <v/>
      </c>
      <c r="BO229" s="102">
        <f>(CK229-Driver!$F$207)/(Driver!$G$207-Driver!$F$207)*$BI$1</f>
        <v/>
      </c>
      <c r="BP229" s="102">
        <f>(CM229-Driver!$F$208)/(Driver!$G$208-Driver!$F$208)*$BI$1</f>
        <v/>
      </c>
      <c r="BQ229" s="102">
        <f>(CL229-Driver!$F$209)/(Driver!$G$209-Driver!$F$209)*$BI$1</f>
        <v/>
      </c>
      <c r="BR229" s="40" t="inlineStr">
        <is>
          <t>21/22</t>
        </is>
      </c>
      <c r="BS229" s="10" t="inlineStr">
        <is>
          <t xml:space="preserve"> Salomon</t>
        </is>
      </c>
      <c r="BT229" s="11" t="inlineStr">
        <is>
          <t>QST 92</t>
        </is>
      </c>
      <c r="BU229" s="13" t="n">
        <v>153</v>
      </c>
      <c r="BV229" s="11" t="inlineStr">
        <is>
          <t xml:space="preserve"> Unisex</t>
        </is>
      </c>
      <c r="BW229" s="13" t="n">
        <v>153</v>
      </c>
      <c r="BX229" s="13" t="n">
        <v>151.9</v>
      </c>
      <c r="BY229" s="13" t="n">
        <v>112</v>
      </c>
      <c r="BZ229" s="13" t="n">
        <v>127</v>
      </c>
      <c r="CA229" s="13" t="n">
        <v>128</v>
      </c>
      <c r="CB229" s="13" t="n">
        <v>91</v>
      </c>
      <c r="CC229" s="13" t="n">
        <v>111</v>
      </c>
      <c r="CD229" s="13" t="n">
        <v>12.7</v>
      </c>
      <c r="CE229" s="13" t="n">
        <v>1579</v>
      </c>
      <c r="CF229" s="13" t="n">
        <v>0.99</v>
      </c>
      <c r="CG229" s="13" t="n">
        <v>1571</v>
      </c>
      <c r="CH229" s="13" t="n">
        <v>172</v>
      </c>
      <c r="CI229" s="13" t="n">
        <v>84</v>
      </c>
      <c r="CJ229" s="13" t="n">
        <v>54</v>
      </c>
      <c r="CK229" s="13" t="n">
        <v>254</v>
      </c>
      <c r="CL229" s="13" t="n">
        <v>16</v>
      </c>
      <c r="CM229" s="13" t="n">
        <v>147</v>
      </c>
      <c r="CN229" s="13" t="n">
        <v>0.301</v>
      </c>
      <c r="CO229" s="13" t="n">
        <v>131</v>
      </c>
      <c r="CP229" s="13" t="n">
        <v>118</v>
      </c>
      <c r="CQ229" s="13" t="n">
        <v>123</v>
      </c>
      <c r="CR229" s="13" t="n">
        <v>6</v>
      </c>
      <c r="CS229" s="13" t="n">
        <v>8.5</v>
      </c>
      <c r="CT229" s="11" t="inlineStr">
        <is>
          <t xml:space="preserve"> Resort Freeride</t>
        </is>
      </c>
      <c r="CU229" s="13" t="n"/>
      <c r="CV229" s="13" t="n"/>
      <c r="CW229" s="13" t="n"/>
      <c r="CX229">
        <f>INDEX('Data_Price '!AG$2:AG$1266,MATCH(Data!$DN229,'Data_Price '!$AT$2:$AT$1266,0))</f>
        <v/>
      </c>
      <c r="CY229">
        <f>INDEX('Data_Price '!AH$2:AH$1266,MATCH(Data!$DN229,'Data_Price '!$AT$2:$AT$1266,0))</f>
        <v/>
      </c>
      <c r="CZ229">
        <f>INDEX('Data_Price '!AI$2:AI$1266,MATCH(Data!$DN229,'Data_Price '!$AT$2:$AT$1266,0))</f>
        <v/>
      </c>
      <c r="DA229">
        <f>INDEX('Data_Price '!AJ$2:AJ$1266,MATCH(Data!$DN229,'Data_Price '!$AT$2:$AT$1266,0))</f>
        <v/>
      </c>
      <c r="DB229">
        <f>INDEX('Data_Price '!AK$2:AK$1266,MATCH(Data!$DN229,'Data_Price '!$AT$2:$AT$1266,0))</f>
        <v/>
      </c>
      <c r="DC229">
        <f>INDEX('Data_Price '!AL$2:AL$1266,MATCH(Data!$DN229,'Data_Price '!$AT$2:$AT$1266,0))</f>
        <v/>
      </c>
      <c r="DD229">
        <f>INDEX('Data_Price '!AM$2:AM$1266,MATCH(Data!$DN229,'Data_Price '!$AT$2:$AT$1266,0))</f>
        <v/>
      </c>
      <c r="DE229">
        <f>INDEX('Data_Price '!AN$2:AN$1266,MATCH(Data!$DN229,'Data_Price '!$AT$2:$AT$1266,0))</f>
        <v/>
      </c>
      <c r="DF229">
        <f>INDEX('Data_Price '!AO$2:AO$1266,MATCH(Data!$DN229,'Data_Price '!$AT$2:$AT$1266,0))</f>
        <v/>
      </c>
      <c r="DG229">
        <f>INDEX('Data_Price '!AP$2:AP$1266,MATCH(Data!$DN229,'Data_Price '!$AT$2:$AT$1266,0))</f>
        <v/>
      </c>
      <c r="DH229">
        <f>INDEX('Data_Price '!AQ$2:AQ$1266,MATCH(Data!$DN229,'Data_Price '!$AT$2:$AT$1266,0))</f>
        <v/>
      </c>
      <c r="DI229">
        <f>INDEX('Data_Price '!AR$2:AR$1266,MATCH(Data!$DN229,'Data_Price '!$AT$2:$AT$1266,0))</f>
        <v/>
      </c>
      <c r="DJ229" s="138">
        <f>DA229</f>
        <v/>
      </c>
      <c r="DK229" s="138">
        <f>DE229</f>
        <v/>
      </c>
      <c r="DL229" s="138">
        <f>DI229</f>
        <v/>
      </c>
      <c r="DM229" s="303">
        <f>IF(LEFT(BT229,1)=" ",RIGHT(BT229,LEN(BT229)-1),BT229)</f>
        <v/>
      </c>
      <c r="DN229" s="138">
        <f>_xlfn.CONCAT(BS229,DM229,BU229,BV229)</f>
        <v/>
      </c>
      <c r="DO229" s="307" t="inlineStr">
        <is>
          <t>https://images.evo.com/imgp/250/197274/812050/salomon-qst-92-skis-2022-.jpg</t>
        </is>
      </c>
    </row>
    <row r="230" ht="15.6" customHeight="1" s="184">
      <c r="B230" s="303">
        <f t="array" ref="B230">IF(OR(ISERROR(K230:P230)),FALSE,TRUE)</f>
        <v/>
      </c>
      <c r="C230" s="60">
        <f>OR(BR230=Driver!$G$50,Data!BR218=Driver!$H$50)</f>
        <v/>
      </c>
      <c r="D230" s="60">
        <f>OR(BV230=Driver!$G$51,BV230=Driver!$H$51)</f>
        <v/>
      </c>
      <c r="E230" s="60">
        <f>AND(BX230&gt;Driver!$F$54,BX230&lt;Driver!$G$54)</f>
        <v/>
      </c>
      <c r="F230" s="60">
        <f>CL230&gt;Driver!$F$56</f>
        <v/>
      </c>
      <c r="G230" s="60">
        <f>AND(CB230&gt;Driver!$F$55,CB230&lt;Driver!$G$55)</f>
        <v/>
      </c>
      <c r="H230" s="60">
        <f>AND(B230:G230)</f>
        <v/>
      </c>
      <c r="I230" s="60">
        <f>COUNTIFS($H$9:$H$1273,TRUE,$BT$9:$BT$1273,BT230)</f>
        <v/>
      </c>
      <c r="J230" s="60">
        <f t="array" ref="J230">NOT(OR(($H$9:$H$1273=TRUE)*($I$9:$I$1273&gt;0)*($BT$9:$BT$1273=BT230)*($K$9:$K$1273&gt;K230)))</f>
        <v/>
      </c>
      <c r="K230" s="108">
        <f>IFERROR(1-AVERAGE(X230:Y230),"")</f>
        <v/>
      </c>
      <c r="L230" s="108">
        <f>1-X230</f>
        <v/>
      </c>
      <c r="M230" s="108">
        <f>1-Y230</f>
        <v/>
      </c>
      <c r="N230" s="108">
        <f>1-Z230</f>
        <v/>
      </c>
      <c r="O230" s="108">
        <f>1-AA230</f>
        <v/>
      </c>
      <c r="P230" s="108">
        <f>1-AB230</f>
        <v/>
      </c>
      <c r="Q230" s="108" t="n"/>
      <c r="R230" s="108" t="n"/>
      <c r="S230" s="108">
        <f>1-AE230</f>
        <v/>
      </c>
      <c r="T230" s="108">
        <f>1-AF230</f>
        <v/>
      </c>
      <c r="U230" s="108">
        <f>1-AG230</f>
        <v/>
      </c>
      <c r="V230" s="108">
        <f>1-AH230</f>
        <v/>
      </c>
      <c r="W230" s="108">
        <f>1-AI230</f>
        <v/>
      </c>
      <c r="X230" s="108">
        <f>ABS(AJ230-AJ$1)</f>
        <v/>
      </c>
      <c r="Y230" s="108">
        <f>AVERAGE(Z230:AB230)</f>
        <v/>
      </c>
      <c r="Z230" s="108">
        <f>ABS(AL230-AL$1)</f>
        <v/>
      </c>
      <c r="AA230" s="108">
        <f>ABS(AM230-AM$1)</f>
        <v/>
      </c>
      <c r="AB230" s="108">
        <f>ABS(AN230-AN$1)</f>
        <v/>
      </c>
      <c r="AC230" s="108" t="n"/>
      <c r="AD230" s="108" t="n"/>
      <c r="AE230" s="108">
        <f>ABS(AQ$1-AQ230)</f>
        <v/>
      </c>
      <c r="AF230" s="108">
        <f>ABS(AR$1-AR230)</f>
        <v/>
      </c>
      <c r="AG230" s="108">
        <f>ABS(AS$1-AS230)</f>
        <v/>
      </c>
      <c r="AH230" s="108">
        <f>ABS(AT$1-AT230)</f>
        <v/>
      </c>
      <c r="AI230" s="108">
        <f>ABS(AU$1-AU230)</f>
        <v/>
      </c>
      <c r="AJ230" s="108">
        <f>(AV230-Driver!$K$179)/(Driver!$L$179-Driver!$K$179)</f>
        <v/>
      </c>
      <c r="AK230" s="108">
        <f>(AW230-Driver!$K$180)/(Driver!$L$180-Driver!$K$180)</f>
        <v/>
      </c>
      <c r="AL230" s="108">
        <f>(AX230-Driver!$K$181)/(Driver!$L$181-Driver!$K$181)</f>
        <v/>
      </c>
      <c r="AM230" s="108">
        <f>(AY230-Driver!$K$182)/(Driver!$L$182-Driver!$K$182)</f>
        <v/>
      </c>
      <c r="AN230" s="108">
        <f>(AZ230-Driver!$K$183)/(Driver!$L$183-Driver!$K$183)</f>
        <v/>
      </c>
      <c r="AO230" s="108" t="n"/>
      <c r="AP230" s="108" t="n"/>
      <c r="AQ230" s="108">
        <f>(BC230-Driver!$K$188)/(Driver!$L$188-Driver!$K$188)</f>
        <v/>
      </c>
      <c r="AR230" s="108">
        <f>MIN((BD230-Driver!$K$189)/(Driver!$L$189-Driver!$K$189),100%)</f>
        <v/>
      </c>
      <c r="AS230" s="108">
        <f>(BE230-Driver!$K$190)/(Driver!$L$190-Driver!$K$190)</f>
        <v/>
      </c>
      <c r="AT230" s="108">
        <f>(BF230-Driver!$K$191)/(Driver!$L$191-Driver!$K$191)</f>
        <v/>
      </c>
      <c r="AU230" s="108">
        <f>(BG230-Driver!$K$192)/(Driver!$L$192-Driver!$K$192)</f>
        <v/>
      </c>
      <c r="AV230" s="105">
        <f>IFERROR(BM230*BJ230^1/4,"")</f>
        <v/>
      </c>
      <c r="AW230" s="105">
        <f>IFERROR(SUM(AX230:AZ230),"")</f>
        <v/>
      </c>
      <c r="AX230" s="105">
        <f>IFERROR(BH230,"")</f>
        <v/>
      </c>
      <c r="AY230" s="105">
        <f>IFERROR(Driver!$K$19/Data!BH230/Data!BI230*Data!BK230*Data!BL230,"")</f>
        <v/>
      </c>
      <c r="AZ230" s="105">
        <f>IFERROR(BI230*BN230,"")</f>
        <v/>
      </c>
      <c r="BA230" s="105" t="n"/>
      <c r="BB230" s="105" t="n"/>
      <c r="BC230" s="105">
        <f>IFERROR(BI230*BN230*BK230/BJ230^(1/2),"")</f>
        <v/>
      </c>
      <c r="BD230" s="105">
        <f>IFERROR(BH230*BM230*BL230/BJ230/BK230,"")</f>
        <v/>
      </c>
      <c r="BE230" s="105">
        <f>IFERROR(MIN(BI230/BQ230/BP230/BO230/BH230,$BE$1),"")</f>
        <v/>
      </c>
      <c r="BF230" s="105">
        <f>IFERROR(BJ230*BO230*BP230/BK230,"")</f>
        <v/>
      </c>
      <c r="BG230" s="105">
        <f>IFERROR(1/BM230/BH230*BQ230,"")</f>
        <v/>
      </c>
      <c r="BH230" s="102">
        <f>MAX((CE230-Driver!$F$200)/(Driver!$G$200-Driver!$F$200)*$BI$1,1)</f>
        <v/>
      </c>
      <c r="BI230" s="102">
        <f>MAX($BI$1*(BY230-Driver!$F$201)/(Driver!$G$201-Driver!$F$201),1)</f>
        <v/>
      </c>
      <c r="BJ230" s="102">
        <f>(CB230-Driver!$F$206)/(Driver!$G$206-Driver!$F$206)*$BI$1</f>
        <v/>
      </c>
      <c r="BK230" s="102">
        <f>(CD230-Driver!$F$203)/(Driver!$G$203-Driver!$F$203)*$BI$1</f>
        <v/>
      </c>
      <c r="BL230" s="102">
        <f>MAX((CR230-Driver!$F$202)/(Driver!$G$202-Driver!$F$202)*$BI$1,1)</f>
        <v/>
      </c>
      <c r="BM230" s="102">
        <f>MAX((CH230-Driver!$F$204)/(Driver!$G$204-Driver!$F$204)*$BI$1,1)</f>
        <v/>
      </c>
      <c r="BN230" s="102">
        <f>(CI230-Driver!$F$205)/(Driver!$G$205-Driver!$F$205)*$BI$1</f>
        <v/>
      </c>
      <c r="BO230" s="102">
        <f>(CK230-Driver!$F$207)/(Driver!$G$207-Driver!$F$207)*$BI$1</f>
        <v/>
      </c>
      <c r="BP230" s="102">
        <f>(CM230-Driver!$F$208)/(Driver!$G$208-Driver!$F$208)*$BI$1</f>
        <v/>
      </c>
      <c r="BQ230" s="102">
        <f>(CL230-Driver!$F$209)/(Driver!$G$209-Driver!$F$209)*$BI$1</f>
        <v/>
      </c>
      <c r="BR230" s="40" t="inlineStr">
        <is>
          <t>21/22</t>
        </is>
      </c>
      <c r="BS230" s="10" t="inlineStr">
        <is>
          <t xml:space="preserve"> Black Crows</t>
        </is>
      </c>
      <c r="BT230" s="11" t="inlineStr">
        <is>
          <t xml:space="preserve"> Corvus Freebird</t>
        </is>
      </c>
      <c r="BU230" s="13" t="n">
        <v>176</v>
      </c>
      <c r="BV230" s="11" t="inlineStr">
        <is>
          <t xml:space="preserve"> Unisex</t>
        </is>
      </c>
      <c r="BW230" s="13" t="n">
        <v>176</v>
      </c>
      <c r="BX230" s="13" t="n">
        <v>175.6</v>
      </c>
      <c r="BY230" s="13" t="n">
        <v>140</v>
      </c>
      <c r="BZ230" s="13" t="n">
        <v>143</v>
      </c>
      <c r="CA230" s="13" t="n">
        <v>141</v>
      </c>
      <c r="CB230" s="13" t="n">
        <v>106</v>
      </c>
      <c r="CC230" s="13" t="n">
        <v>118</v>
      </c>
      <c r="CD230" s="13" t="n">
        <v>20.8</v>
      </c>
      <c r="CE230" s="13" t="n">
        <v>1817</v>
      </c>
      <c r="CF230" s="13" t="n">
        <v>1.12</v>
      </c>
      <c r="CG230" s="13" t="n">
        <v>2035</v>
      </c>
      <c r="CH230" s="13" t="n">
        <v>189</v>
      </c>
      <c r="CI230" s="13" t="n">
        <v>103</v>
      </c>
      <c r="CJ230" s="13" t="n">
        <v>45</v>
      </c>
      <c r="CK230" s="13" t="n">
        <v>274</v>
      </c>
      <c r="CL230" s="13" t="n">
        <v>4</v>
      </c>
      <c r="CM230" s="13" t="n">
        <v>83</v>
      </c>
      <c r="CN230" s="13" t="n">
        <v>0.08</v>
      </c>
      <c r="CO230" s="13" t="n">
        <v>193</v>
      </c>
      <c r="CP230" s="13" t="n">
        <v>138</v>
      </c>
      <c r="CQ230" s="13" t="n">
        <v>81</v>
      </c>
      <c r="CR230" s="13" t="n">
        <v>9</v>
      </c>
      <c r="CS230" s="13" t="n">
        <v>10.3</v>
      </c>
      <c r="CT230" s="11" t="inlineStr">
        <is>
          <t xml:space="preserve"> Big Mountain</t>
        </is>
      </c>
      <c r="CU230" s="11" t="inlineStr">
        <is>
          <t xml:space="preserve"> Touring</t>
        </is>
      </c>
      <c r="CV230" s="13" t="n"/>
      <c r="CW230" s="13" t="n"/>
      <c r="CX230">
        <f>INDEX('Data_Price '!AG$2:AG$1266,MATCH(Data!$DN230,'Data_Price '!$AT$2:$AT$1266,0))</f>
        <v/>
      </c>
      <c r="CY230">
        <f>INDEX('Data_Price '!AH$2:AH$1266,MATCH(Data!$DN230,'Data_Price '!$AT$2:$AT$1266,0))</f>
        <v/>
      </c>
      <c r="CZ230">
        <f>INDEX('Data_Price '!AI$2:AI$1266,MATCH(Data!$DN230,'Data_Price '!$AT$2:$AT$1266,0))</f>
        <v/>
      </c>
      <c r="DA230">
        <f>INDEX('Data_Price '!AJ$2:AJ$1266,MATCH(Data!$DN230,'Data_Price '!$AT$2:$AT$1266,0))</f>
        <v/>
      </c>
      <c r="DB230">
        <f>INDEX('Data_Price '!AK$2:AK$1266,MATCH(Data!$DN230,'Data_Price '!$AT$2:$AT$1266,0))</f>
        <v/>
      </c>
      <c r="DC230">
        <f>INDEX('Data_Price '!AL$2:AL$1266,MATCH(Data!$DN230,'Data_Price '!$AT$2:$AT$1266,0))</f>
        <v/>
      </c>
      <c r="DD230">
        <f>INDEX('Data_Price '!AM$2:AM$1266,MATCH(Data!$DN230,'Data_Price '!$AT$2:$AT$1266,0))</f>
        <v/>
      </c>
      <c r="DE230">
        <f>INDEX('Data_Price '!AN$2:AN$1266,MATCH(Data!$DN230,'Data_Price '!$AT$2:$AT$1266,0))</f>
        <v/>
      </c>
      <c r="DF230">
        <f>INDEX('Data_Price '!AO$2:AO$1266,MATCH(Data!$DN230,'Data_Price '!$AT$2:$AT$1266,0))</f>
        <v/>
      </c>
      <c r="DG230">
        <f>INDEX('Data_Price '!AP$2:AP$1266,MATCH(Data!$DN230,'Data_Price '!$AT$2:$AT$1266,0))</f>
        <v/>
      </c>
      <c r="DH230">
        <f>INDEX('Data_Price '!AQ$2:AQ$1266,MATCH(Data!$DN230,'Data_Price '!$AT$2:$AT$1266,0))</f>
        <v/>
      </c>
      <c r="DI230">
        <f>INDEX('Data_Price '!AR$2:AR$1266,MATCH(Data!$DN230,'Data_Price '!$AT$2:$AT$1266,0))</f>
        <v/>
      </c>
      <c r="DJ230" s="138">
        <f>DA230</f>
        <v/>
      </c>
      <c r="DK230" s="138">
        <f>DE230</f>
        <v/>
      </c>
      <c r="DL230" s="138">
        <f>DI230</f>
        <v/>
      </c>
      <c r="DM230" s="303">
        <f>IF(LEFT(BT230,1)=" ",RIGHT(BT230,LEN(BT230)-1),BT230)</f>
        <v/>
      </c>
      <c r="DN230" s="138">
        <f>_xlfn.CONCAT(BS230,DM230,BU230,BV230)</f>
        <v/>
      </c>
      <c r="DO230" s="307" t="inlineStr">
        <is>
          <t>https://images.evo.com/imgp/250/181609/727269/black-crows-corvus-freebird-skis-2022-.jpg</t>
        </is>
      </c>
    </row>
    <row r="231" ht="15.6" customHeight="1" s="184">
      <c r="B231" s="303">
        <f t="array" ref="B231">IF(OR(ISERROR(K231:P231)),FALSE,TRUE)</f>
        <v/>
      </c>
      <c r="C231" s="60">
        <f>OR(BR231=Driver!$G$50,Data!BR565=Driver!$H$50)</f>
        <v/>
      </c>
      <c r="D231" s="60">
        <f>OR(BV231=Driver!$G$51,BV231=Driver!$H$51)</f>
        <v/>
      </c>
      <c r="E231" s="60">
        <f>AND(BX231&gt;Driver!$F$54,BX231&lt;Driver!$G$54)</f>
        <v/>
      </c>
      <c r="F231" s="60">
        <f>CL231&gt;Driver!$F$56</f>
        <v/>
      </c>
      <c r="G231" s="60">
        <f>AND(CB231&gt;Driver!$F$55,CB231&lt;Driver!$G$55)</f>
        <v/>
      </c>
      <c r="H231" s="60">
        <f>AND(B231:G231)</f>
        <v/>
      </c>
      <c r="I231" s="60">
        <f>COUNTIFS($H$9:$H$1273,TRUE,$BT$9:$BT$1273,BT231)</f>
        <v/>
      </c>
      <c r="J231" s="60">
        <f t="array" ref="J231">NOT(OR(($H$9:$H$1273=TRUE)*($I$9:$I$1273&gt;0)*($BT$9:$BT$1273=BT231)*($K$9:$K$1273&gt;K231)))</f>
        <v/>
      </c>
      <c r="K231" s="108">
        <f>IFERROR(1-AVERAGE(X231:Y231),"")</f>
        <v/>
      </c>
      <c r="L231" s="108">
        <f>1-X231</f>
        <v/>
      </c>
      <c r="M231" s="108">
        <f>1-Y231</f>
        <v/>
      </c>
      <c r="N231" s="108">
        <f>1-Z231</f>
        <v/>
      </c>
      <c r="O231" s="108">
        <f>1-AA231</f>
        <v/>
      </c>
      <c r="P231" s="108">
        <f>1-AB231</f>
        <v/>
      </c>
      <c r="Q231" s="108" t="n"/>
      <c r="R231" s="108" t="n"/>
      <c r="S231" s="108">
        <f>1-AE231</f>
        <v/>
      </c>
      <c r="T231" s="108">
        <f>1-AF231</f>
        <v/>
      </c>
      <c r="U231" s="108">
        <f>1-AG231</f>
        <v/>
      </c>
      <c r="V231" s="108">
        <f>1-AH231</f>
        <v/>
      </c>
      <c r="W231" s="108">
        <f>1-AI231</f>
        <v/>
      </c>
      <c r="X231" s="108">
        <f>ABS(AJ231-AJ$1)</f>
        <v/>
      </c>
      <c r="Y231" s="108">
        <f>AVERAGE(Z231:AB231)</f>
        <v/>
      </c>
      <c r="Z231" s="108">
        <f>ABS(AL231-AL$1)</f>
        <v/>
      </c>
      <c r="AA231" s="108">
        <f>ABS(AM231-AM$1)</f>
        <v/>
      </c>
      <c r="AB231" s="108">
        <f>ABS(AN231-AN$1)</f>
        <v/>
      </c>
      <c r="AC231" s="108" t="n"/>
      <c r="AD231" s="108" t="n"/>
      <c r="AE231" s="108">
        <f>ABS(AQ$1-AQ231)</f>
        <v/>
      </c>
      <c r="AF231" s="108">
        <f>ABS(AR$1-AR231)</f>
        <v/>
      </c>
      <c r="AG231" s="108">
        <f>ABS(AS$1-AS231)</f>
        <v/>
      </c>
      <c r="AH231" s="108">
        <f>ABS(AT$1-AT231)</f>
        <v/>
      </c>
      <c r="AI231" s="108">
        <f>ABS(AU$1-AU231)</f>
        <v/>
      </c>
      <c r="AJ231" s="108">
        <f>(AV231-Driver!$K$179)/(Driver!$L$179-Driver!$K$179)</f>
        <v/>
      </c>
      <c r="AK231" s="108">
        <f>(AW231-Driver!$K$180)/(Driver!$L$180-Driver!$K$180)</f>
        <v/>
      </c>
      <c r="AL231" s="108">
        <f>(AX231-Driver!$K$181)/(Driver!$L$181-Driver!$K$181)</f>
        <v/>
      </c>
      <c r="AM231" s="108">
        <f>(AY231-Driver!$K$182)/(Driver!$L$182-Driver!$K$182)</f>
        <v/>
      </c>
      <c r="AN231" s="108">
        <f>(AZ231-Driver!$K$183)/(Driver!$L$183-Driver!$K$183)</f>
        <v/>
      </c>
      <c r="AO231" s="108" t="n"/>
      <c r="AP231" s="108" t="n"/>
      <c r="AQ231" s="108">
        <f>(BC231-Driver!$K$188)/(Driver!$L$188-Driver!$K$188)</f>
        <v/>
      </c>
      <c r="AR231" s="108">
        <f>MIN((BD231-Driver!$K$189)/(Driver!$L$189-Driver!$K$189),100%)</f>
        <v/>
      </c>
      <c r="AS231" s="108">
        <f>(BE231-Driver!$K$190)/(Driver!$L$190-Driver!$K$190)</f>
        <v/>
      </c>
      <c r="AT231" s="108">
        <f>(BF231-Driver!$K$191)/(Driver!$L$191-Driver!$K$191)</f>
        <v/>
      </c>
      <c r="AU231" s="108">
        <f>(BG231-Driver!$K$192)/(Driver!$L$192-Driver!$K$192)</f>
        <v/>
      </c>
      <c r="AV231" s="105">
        <f>IFERROR(BM231*BJ231^1/4,"")</f>
        <v/>
      </c>
      <c r="AW231" s="105">
        <f>IFERROR(SUM(AX231:AZ231),"")</f>
        <v/>
      </c>
      <c r="AX231" s="105">
        <f>IFERROR(BH231,"")</f>
        <v/>
      </c>
      <c r="AY231" s="105">
        <f>IFERROR(Driver!$K$19/Data!BH231/Data!BI231*Data!BK231*Data!BL231,"")</f>
        <v/>
      </c>
      <c r="AZ231" s="105">
        <f>IFERROR(BI231*BN231,"")</f>
        <v/>
      </c>
      <c r="BA231" s="105" t="n"/>
      <c r="BB231" s="105" t="n"/>
      <c r="BC231" s="105">
        <f>IFERROR(BI231*BN231*BK231/BJ231^(1/2),"")</f>
        <v/>
      </c>
      <c r="BD231" s="105">
        <f>IFERROR(BH231*BM231*BL231/BJ231/BK231,"")</f>
        <v/>
      </c>
      <c r="BE231" s="105">
        <f>IFERROR(MIN(BI231/BQ231/BP231/BO231/BH231,$BE$1),"")</f>
        <v/>
      </c>
      <c r="BF231" s="105">
        <f>IFERROR(BJ231*BO231*BP231/BK231,"")</f>
        <v/>
      </c>
      <c r="BG231" s="105">
        <f>IFERROR(1/BM231/BH231*BQ231,"")</f>
        <v/>
      </c>
      <c r="BH231" s="102">
        <f>MAX((CE231-Driver!$F$200)/(Driver!$G$200-Driver!$F$200)*$BI$1,1)</f>
        <v/>
      </c>
      <c r="BI231" s="102">
        <f>MAX($BI$1*(BY231-Driver!$F$201)/(Driver!$G$201-Driver!$F$201),1)</f>
        <v/>
      </c>
      <c r="BJ231" s="102">
        <f>(CB231-Driver!$F$206)/(Driver!$G$206-Driver!$F$206)*$BI$1</f>
        <v/>
      </c>
      <c r="BK231" s="102">
        <f>(CD231-Driver!$F$203)/(Driver!$G$203-Driver!$F$203)*$BI$1</f>
        <v/>
      </c>
      <c r="BL231" s="102">
        <f>MAX((CR231-Driver!$F$202)/(Driver!$G$202-Driver!$F$202)*$BI$1,1)</f>
        <v/>
      </c>
      <c r="BM231" s="102">
        <f>MAX((CH231-Driver!$F$204)/(Driver!$G$204-Driver!$F$204)*$BI$1,1)</f>
        <v/>
      </c>
      <c r="BN231" s="102">
        <f>(CI231-Driver!$F$205)/(Driver!$G$205-Driver!$F$205)*$BI$1</f>
        <v/>
      </c>
      <c r="BO231" s="102">
        <f>(CK231-Driver!$F$207)/(Driver!$G$207-Driver!$F$207)*$BI$1</f>
        <v/>
      </c>
      <c r="BP231" s="102">
        <f>(CM231-Driver!$F$208)/(Driver!$G$208-Driver!$F$208)*$BI$1</f>
        <v/>
      </c>
      <c r="BQ231" s="102">
        <f>(CL231-Driver!$F$209)/(Driver!$G$209-Driver!$F$209)*$BI$1</f>
        <v/>
      </c>
      <c r="BR231" s="40" t="inlineStr">
        <is>
          <t>21/22</t>
        </is>
      </c>
      <c r="BS231" s="10" t="inlineStr">
        <is>
          <t xml:space="preserve"> Fischer</t>
        </is>
      </c>
      <c r="BT231" s="11" t="inlineStr">
        <is>
          <t>Ranger 102 FR W</t>
        </is>
      </c>
      <c r="BU231" s="13" t="n">
        <v>170</v>
      </c>
      <c r="BV231" s="11" t="inlineStr">
        <is>
          <t xml:space="preserve"> Women's</t>
        </is>
      </c>
      <c r="BW231" s="13" t="n">
        <v>170</v>
      </c>
      <c r="BX231" s="13" t="n">
        <v>168.3</v>
      </c>
      <c r="BY231" s="13" t="n">
        <v>113</v>
      </c>
      <c r="BZ231" s="13" t="n">
        <v>139</v>
      </c>
      <c r="CA231" s="13" t="n">
        <v>135</v>
      </c>
      <c r="CB231" s="13" t="n">
        <v>100</v>
      </c>
      <c r="CC231" s="13" t="n">
        <v>124</v>
      </c>
      <c r="CD231" s="13" t="n">
        <v>13.7</v>
      </c>
      <c r="CE231" s="13" t="n">
        <v>1700</v>
      </c>
      <c r="CF231" s="13" t="n">
        <v>1.12</v>
      </c>
      <c r="CG231" s="13" t="n">
        <v>1900</v>
      </c>
      <c r="CH231" s="13" t="n">
        <v>191</v>
      </c>
      <c r="CI231" s="13" t="n">
        <v>86</v>
      </c>
      <c r="CJ231" s="13" t="n">
        <v>50</v>
      </c>
      <c r="CK231" s="13" t="n">
        <v>361</v>
      </c>
      <c r="CL231" s="13" t="n">
        <v>30</v>
      </c>
      <c r="CM231" s="13" t="n">
        <v>189</v>
      </c>
      <c r="CN231" s="13" t="n">
        <v>0.594</v>
      </c>
      <c r="CO231" s="13" t="n">
        <v>153</v>
      </c>
      <c r="CP231" s="13" t="n">
        <v>139</v>
      </c>
      <c r="CQ231" s="13" t="n">
        <v>208</v>
      </c>
      <c r="CR231" s="13" t="n">
        <v>6</v>
      </c>
      <c r="CS231" s="13" t="n">
        <v>10.5</v>
      </c>
      <c r="CT231" s="11" t="inlineStr">
        <is>
          <t xml:space="preserve"> Resort Freeride</t>
        </is>
      </c>
      <c r="CU231" s="11" t="inlineStr">
        <is>
          <t xml:space="preserve"> Touring</t>
        </is>
      </c>
      <c r="CV231" s="13" t="n"/>
      <c r="CW231" s="13" t="n"/>
      <c r="CX231">
        <f>INDEX('Data_Price '!AG$2:AG$1266,MATCH(Data!$DN231,'Data_Price '!$AT$2:$AT$1266,0))</f>
        <v/>
      </c>
      <c r="CY231">
        <f>INDEX('Data_Price '!AH$2:AH$1266,MATCH(Data!$DN231,'Data_Price '!$AT$2:$AT$1266,0))</f>
        <v/>
      </c>
      <c r="CZ231">
        <f>INDEX('Data_Price '!AI$2:AI$1266,MATCH(Data!$DN231,'Data_Price '!$AT$2:$AT$1266,0))</f>
        <v/>
      </c>
      <c r="DA231">
        <f>INDEX('Data_Price '!AJ$2:AJ$1266,MATCH(Data!$DN231,'Data_Price '!$AT$2:$AT$1266,0))</f>
        <v/>
      </c>
      <c r="DB231">
        <f>INDEX('Data_Price '!AK$2:AK$1266,MATCH(Data!$DN231,'Data_Price '!$AT$2:$AT$1266,0))</f>
        <v/>
      </c>
      <c r="DC231">
        <f>INDEX('Data_Price '!AL$2:AL$1266,MATCH(Data!$DN231,'Data_Price '!$AT$2:$AT$1266,0))</f>
        <v/>
      </c>
      <c r="DD231">
        <f>INDEX('Data_Price '!AM$2:AM$1266,MATCH(Data!$DN231,'Data_Price '!$AT$2:$AT$1266,0))</f>
        <v/>
      </c>
      <c r="DE231">
        <f>INDEX('Data_Price '!AN$2:AN$1266,MATCH(Data!$DN231,'Data_Price '!$AT$2:$AT$1266,0))</f>
        <v/>
      </c>
      <c r="DF231">
        <f>INDEX('Data_Price '!AO$2:AO$1266,MATCH(Data!$DN231,'Data_Price '!$AT$2:$AT$1266,0))</f>
        <v/>
      </c>
      <c r="DG231">
        <f>INDEX('Data_Price '!AP$2:AP$1266,MATCH(Data!$DN231,'Data_Price '!$AT$2:$AT$1266,0))</f>
        <v/>
      </c>
      <c r="DH231">
        <f>INDEX('Data_Price '!AQ$2:AQ$1266,MATCH(Data!$DN231,'Data_Price '!$AT$2:$AT$1266,0))</f>
        <v/>
      </c>
      <c r="DI231">
        <f>INDEX('Data_Price '!AR$2:AR$1266,MATCH(Data!$DN231,'Data_Price '!$AT$2:$AT$1266,0))</f>
        <v/>
      </c>
      <c r="DJ231" s="138">
        <f>DA231</f>
        <v/>
      </c>
      <c r="DK231" s="138">
        <f>DE231</f>
        <v/>
      </c>
      <c r="DL231" s="138">
        <f>DI231</f>
        <v/>
      </c>
      <c r="DM231" s="303">
        <f>IF(LEFT(BT231,1)=" ",RIGHT(BT231,LEN(BT231)-1),BT231)</f>
        <v/>
      </c>
      <c r="DN231" s="138">
        <f>_xlfn.CONCAT(BS231,DM231,BU231,BV231)</f>
        <v/>
      </c>
      <c r="DO231" s="307" t="n"/>
    </row>
    <row r="232" ht="15.6" customHeight="1" s="184">
      <c r="B232" s="303">
        <f t="array" ref="B232">IF(OR(ISERROR(K232:P232)),FALSE,TRUE)</f>
        <v/>
      </c>
      <c r="C232" s="60">
        <f>OR(BR232=Driver!$G$50,Data!BR399=Driver!$H$50)</f>
        <v/>
      </c>
      <c r="D232" s="60">
        <f>OR(BV232=Driver!$G$51,BV232=Driver!$H$51)</f>
        <v/>
      </c>
      <c r="E232" s="60">
        <f>AND(BX232&gt;Driver!$F$54,BX232&lt;Driver!$G$54)</f>
        <v/>
      </c>
      <c r="F232" s="60">
        <f>CL232&gt;Driver!$F$56</f>
        <v/>
      </c>
      <c r="G232" s="60">
        <f>AND(CB232&gt;Driver!$F$55,CB232&lt;Driver!$G$55)</f>
        <v/>
      </c>
      <c r="H232" s="60">
        <f>AND(B232:G232)</f>
        <v/>
      </c>
      <c r="I232" s="60">
        <f>COUNTIFS($H$9:$H$1273,TRUE,$BT$9:$BT$1273,BT232)</f>
        <v/>
      </c>
      <c r="J232" s="60">
        <f t="array" ref="J232">NOT(OR(($H$9:$H$1273=TRUE)*($I$9:$I$1273&gt;0)*($BT$9:$BT$1273=BT232)*($K$9:$K$1273&gt;K232)))</f>
        <v/>
      </c>
      <c r="K232" s="108">
        <f>IFERROR(1-AVERAGE(X232:Y232),"")</f>
        <v/>
      </c>
      <c r="L232" s="108">
        <f>1-X232</f>
        <v/>
      </c>
      <c r="M232" s="108">
        <f>1-Y232</f>
        <v/>
      </c>
      <c r="N232" s="108">
        <f>1-Z232</f>
        <v/>
      </c>
      <c r="O232" s="108">
        <f>1-AA232</f>
        <v/>
      </c>
      <c r="P232" s="108">
        <f>1-AB232</f>
        <v/>
      </c>
      <c r="Q232" s="108" t="n"/>
      <c r="R232" s="108" t="n"/>
      <c r="S232" s="108">
        <f>1-AE232</f>
        <v/>
      </c>
      <c r="T232" s="108">
        <f>1-AF232</f>
        <v/>
      </c>
      <c r="U232" s="108">
        <f>1-AG232</f>
        <v/>
      </c>
      <c r="V232" s="108">
        <f>1-AH232</f>
        <v/>
      </c>
      <c r="W232" s="108">
        <f>1-AI232</f>
        <v/>
      </c>
      <c r="X232" s="108">
        <f>ABS(AJ232-AJ$1)</f>
        <v/>
      </c>
      <c r="Y232" s="108">
        <f>AVERAGE(Z232:AB232)</f>
        <v/>
      </c>
      <c r="Z232" s="108">
        <f>ABS(AL232-AL$1)</f>
        <v/>
      </c>
      <c r="AA232" s="108">
        <f>ABS(AM232-AM$1)</f>
        <v/>
      </c>
      <c r="AB232" s="108">
        <f>ABS(AN232-AN$1)</f>
        <v/>
      </c>
      <c r="AC232" s="108" t="n"/>
      <c r="AD232" s="108" t="n"/>
      <c r="AE232" s="108">
        <f>ABS(AQ$1-AQ232)</f>
        <v/>
      </c>
      <c r="AF232" s="108">
        <f>ABS(AR$1-AR232)</f>
        <v/>
      </c>
      <c r="AG232" s="108">
        <f>ABS(AS$1-AS232)</f>
        <v/>
      </c>
      <c r="AH232" s="108">
        <f>ABS(AT$1-AT232)</f>
        <v/>
      </c>
      <c r="AI232" s="108">
        <f>ABS(AU$1-AU232)</f>
        <v/>
      </c>
      <c r="AJ232" s="108">
        <f>(AV232-Driver!$K$179)/(Driver!$L$179-Driver!$K$179)</f>
        <v/>
      </c>
      <c r="AK232" s="108">
        <f>(AW232-Driver!$K$180)/(Driver!$L$180-Driver!$K$180)</f>
        <v/>
      </c>
      <c r="AL232" s="108">
        <f>(AX232-Driver!$K$181)/(Driver!$L$181-Driver!$K$181)</f>
        <v/>
      </c>
      <c r="AM232" s="108">
        <f>(AY232-Driver!$K$182)/(Driver!$L$182-Driver!$K$182)</f>
        <v/>
      </c>
      <c r="AN232" s="108">
        <f>(AZ232-Driver!$K$183)/(Driver!$L$183-Driver!$K$183)</f>
        <v/>
      </c>
      <c r="AO232" s="108" t="n"/>
      <c r="AP232" s="108" t="n"/>
      <c r="AQ232" s="108">
        <f>(BC232-Driver!$K$188)/(Driver!$L$188-Driver!$K$188)</f>
        <v/>
      </c>
      <c r="AR232" s="108">
        <f>MIN((BD232-Driver!$K$189)/(Driver!$L$189-Driver!$K$189),100%)</f>
        <v/>
      </c>
      <c r="AS232" s="108">
        <f>(BE232-Driver!$K$190)/(Driver!$L$190-Driver!$K$190)</f>
        <v/>
      </c>
      <c r="AT232" s="108">
        <f>(BF232-Driver!$K$191)/(Driver!$L$191-Driver!$K$191)</f>
        <v/>
      </c>
      <c r="AU232" s="108">
        <f>(BG232-Driver!$K$192)/(Driver!$L$192-Driver!$K$192)</f>
        <v/>
      </c>
      <c r="AV232" s="105">
        <f>IFERROR(BM232*BJ232^1/4,"")</f>
        <v/>
      </c>
      <c r="AW232" s="105">
        <f>IFERROR(SUM(AX232:AZ232),"")</f>
        <v/>
      </c>
      <c r="AX232" s="105">
        <f>IFERROR(BH232,"")</f>
        <v/>
      </c>
      <c r="AY232" s="105">
        <f>IFERROR(Driver!$K$19/Data!BH232/Data!BI232*Data!BK232*Data!BL232,"")</f>
        <v/>
      </c>
      <c r="AZ232" s="105">
        <f>IFERROR(BI232*BN232,"")</f>
        <v/>
      </c>
      <c r="BA232" s="105" t="n"/>
      <c r="BB232" s="105" t="n"/>
      <c r="BC232" s="105">
        <f>IFERROR(BI232*BN232*BK232/BJ232^(1/2),"")</f>
        <v/>
      </c>
      <c r="BD232" s="105">
        <f>IFERROR(BH232*BM232*BL232/BJ232/BK232,"")</f>
        <v/>
      </c>
      <c r="BE232" s="105">
        <f>IFERROR(MIN(BI232/BQ232/BP232/BO232/BH232,$BE$1),"")</f>
        <v/>
      </c>
      <c r="BF232" s="105">
        <f>IFERROR(BJ232*BO232*BP232/BK232,"")</f>
        <v/>
      </c>
      <c r="BG232" s="105">
        <f>IFERROR(1/BM232/BH232*BQ232,"")</f>
        <v/>
      </c>
      <c r="BH232" s="102">
        <f>MAX((CE232-Driver!$F$200)/(Driver!$G$200-Driver!$F$200)*$BI$1,1)</f>
        <v/>
      </c>
      <c r="BI232" s="102">
        <f>MAX($BI$1*(BY232-Driver!$F$201)/(Driver!$G$201-Driver!$F$201),1)</f>
        <v/>
      </c>
      <c r="BJ232" s="102">
        <f>(CB232-Driver!$F$206)/(Driver!$G$206-Driver!$F$206)*$BI$1</f>
        <v/>
      </c>
      <c r="BK232" s="102">
        <f>(CD232-Driver!$F$203)/(Driver!$G$203-Driver!$F$203)*$BI$1</f>
        <v/>
      </c>
      <c r="BL232" s="102">
        <f>MAX((CR232-Driver!$F$202)/(Driver!$G$202-Driver!$F$202)*$BI$1,1)</f>
        <v/>
      </c>
      <c r="BM232" s="102">
        <f>MAX((CH232-Driver!$F$204)/(Driver!$G$204-Driver!$F$204)*$BI$1,1)</f>
        <v/>
      </c>
      <c r="BN232" s="102">
        <f>(CI232-Driver!$F$205)/(Driver!$G$205-Driver!$F$205)*$BI$1</f>
        <v/>
      </c>
      <c r="BO232" s="102">
        <f>(CK232-Driver!$F$207)/(Driver!$G$207-Driver!$F$207)*$BI$1</f>
        <v/>
      </c>
      <c r="BP232" s="102">
        <f>(CM232-Driver!$F$208)/(Driver!$G$208-Driver!$F$208)*$BI$1</f>
        <v/>
      </c>
      <c r="BQ232" s="102">
        <f>(CL232-Driver!$F$209)/(Driver!$G$209-Driver!$F$209)*$BI$1</f>
        <v/>
      </c>
      <c r="BR232" s="40" t="inlineStr">
        <is>
          <t>21/22</t>
        </is>
      </c>
      <c r="BS232" s="10" t="inlineStr">
        <is>
          <t xml:space="preserve"> Dynastar</t>
        </is>
      </c>
      <c r="BT232" s="11" t="inlineStr">
        <is>
          <t>M-Pro 90</t>
        </is>
      </c>
      <c r="BU232" s="13" t="n">
        <v>170</v>
      </c>
      <c r="BV232" s="11" t="inlineStr">
        <is>
          <t xml:space="preserve"> Unisex</t>
        </is>
      </c>
      <c r="BW232" s="13" t="n">
        <v>170</v>
      </c>
      <c r="BX232" s="13" t="n">
        <v>170</v>
      </c>
      <c r="BY232" s="13" t="n">
        <v>121</v>
      </c>
      <c r="BZ232" s="13" t="n">
        <v>140</v>
      </c>
      <c r="CA232" s="13" t="n">
        <v>118</v>
      </c>
      <c r="CB232" s="13" t="n">
        <v>87</v>
      </c>
      <c r="CC232" s="13" t="n">
        <v>108</v>
      </c>
      <c r="CD232" s="13" t="n">
        <v>16.5</v>
      </c>
      <c r="CE232" s="13" t="n">
        <v>1683</v>
      </c>
      <c r="CF232" s="13" t="n">
        <v>0.99</v>
      </c>
      <c r="CG232" s="13" t="n">
        <v>1668</v>
      </c>
      <c r="CH232" s="13" t="n">
        <v>223</v>
      </c>
      <c r="CI232" s="13" t="n">
        <v>89</v>
      </c>
      <c r="CJ232" s="13" t="n">
        <v>62</v>
      </c>
      <c r="CK232" s="13" t="n">
        <v>334</v>
      </c>
      <c r="CL232" s="13" t="n">
        <v>15</v>
      </c>
      <c r="CM232" s="13" t="n">
        <v>153</v>
      </c>
      <c r="CN232" s="13" t="n">
        <v>0.234</v>
      </c>
      <c r="CO232" s="13" t="n">
        <v>187</v>
      </c>
      <c r="CP232" s="13" t="n">
        <v>117</v>
      </c>
      <c r="CQ232" s="13" t="n">
        <v>147</v>
      </c>
      <c r="CR232" s="13" t="n">
        <v>6</v>
      </c>
      <c r="CS232" s="13" t="n">
        <v>11.4</v>
      </c>
      <c r="CT232" s="11" t="inlineStr">
        <is>
          <t xml:space="preserve"> Resort Freeride</t>
        </is>
      </c>
      <c r="CU232" s="13" t="n"/>
      <c r="CV232" s="13" t="n"/>
      <c r="CW232" s="13" t="n"/>
      <c r="CX232">
        <f>INDEX('Data_Price '!AG$2:AG$1266,MATCH(Data!$DN232,'Data_Price '!$AT$2:$AT$1266,0))</f>
        <v/>
      </c>
      <c r="CY232">
        <f>INDEX('Data_Price '!AH$2:AH$1266,MATCH(Data!$DN232,'Data_Price '!$AT$2:$AT$1266,0))</f>
        <v/>
      </c>
      <c r="CZ232">
        <f>INDEX('Data_Price '!AI$2:AI$1266,MATCH(Data!$DN232,'Data_Price '!$AT$2:$AT$1266,0))</f>
        <v/>
      </c>
      <c r="DA232">
        <f>INDEX('Data_Price '!AJ$2:AJ$1266,MATCH(Data!$DN232,'Data_Price '!$AT$2:$AT$1266,0))</f>
        <v/>
      </c>
      <c r="DB232">
        <f>INDEX('Data_Price '!AK$2:AK$1266,MATCH(Data!$DN232,'Data_Price '!$AT$2:$AT$1266,0))</f>
        <v/>
      </c>
      <c r="DC232">
        <f>INDEX('Data_Price '!AL$2:AL$1266,MATCH(Data!$DN232,'Data_Price '!$AT$2:$AT$1266,0))</f>
        <v/>
      </c>
      <c r="DD232">
        <f>INDEX('Data_Price '!AM$2:AM$1266,MATCH(Data!$DN232,'Data_Price '!$AT$2:$AT$1266,0))</f>
        <v/>
      </c>
      <c r="DE232">
        <f>INDEX('Data_Price '!AN$2:AN$1266,MATCH(Data!$DN232,'Data_Price '!$AT$2:$AT$1266,0))</f>
        <v/>
      </c>
      <c r="DF232">
        <f>INDEX('Data_Price '!AO$2:AO$1266,MATCH(Data!$DN232,'Data_Price '!$AT$2:$AT$1266,0))</f>
        <v/>
      </c>
      <c r="DG232">
        <f>INDEX('Data_Price '!AP$2:AP$1266,MATCH(Data!$DN232,'Data_Price '!$AT$2:$AT$1266,0))</f>
        <v/>
      </c>
      <c r="DH232">
        <f>INDEX('Data_Price '!AQ$2:AQ$1266,MATCH(Data!$DN232,'Data_Price '!$AT$2:$AT$1266,0))</f>
        <v/>
      </c>
      <c r="DI232">
        <f>INDEX('Data_Price '!AR$2:AR$1266,MATCH(Data!$DN232,'Data_Price '!$AT$2:$AT$1266,0))</f>
        <v/>
      </c>
      <c r="DJ232" s="138">
        <f>DA232</f>
        <v/>
      </c>
      <c r="DK232" s="138">
        <f>DE232</f>
        <v/>
      </c>
      <c r="DL232" s="138">
        <f>DI232</f>
        <v/>
      </c>
      <c r="DM232" s="303">
        <f>IF(LEFT(BT232,1)=" ",RIGHT(BT232,LEN(BT232)-1),BT232)</f>
        <v/>
      </c>
      <c r="DN232" s="138">
        <f>_xlfn.CONCAT(BS232,DM232,BU232,BV232)</f>
        <v/>
      </c>
      <c r="DO232" s="307" t="inlineStr">
        <is>
          <t>https://images.evo.com/imgp/250/180345/727761/dynastar-m-pro-90-skis-2022-.jpg</t>
        </is>
      </c>
    </row>
    <row r="233" ht="15.6" customHeight="1" s="184">
      <c r="B233" s="303">
        <f t="array" ref="B233">IF(OR(ISERROR(K233:P233)),FALSE,TRUE)</f>
        <v/>
      </c>
      <c r="C233" s="60">
        <f>OR(BR233=Driver!$G$50,Data!BR1155=Driver!$H$50)</f>
        <v/>
      </c>
      <c r="D233" s="60">
        <f>OR(BV233=Driver!$G$51,BV233=Driver!$H$51)</f>
        <v/>
      </c>
      <c r="E233" s="60">
        <f>AND(BX233&gt;Driver!$F$54,BX233&lt;Driver!$G$54)</f>
        <v/>
      </c>
      <c r="F233" s="60">
        <f>CL233&gt;Driver!$F$56</f>
        <v/>
      </c>
      <c r="G233" s="60">
        <f>AND(CB233&gt;Driver!$F$55,CB233&lt;Driver!$G$55)</f>
        <v/>
      </c>
      <c r="H233" s="60">
        <f>AND(B233:G233)</f>
        <v/>
      </c>
      <c r="I233" s="60">
        <f>COUNTIFS($H$9:$H$1273,TRUE,$BT$9:$BT$1273,BT233)</f>
        <v/>
      </c>
      <c r="J233" s="60">
        <f t="array" ref="J233">NOT(OR(($H$9:$H$1273=TRUE)*($I$9:$I$1273&gt;0)*($BT$9:$BT$1273=BT233)*($K$9:$K$1273&gt;K233)))</f>
        <v/>
      </c>
      <c r="K233" s="108">
        <f>IFERROR(1-AVERAGE(X233:Y233),"")</f>
        <v/>
      </c>
      <c r="L233" s="108">
        <f>1-X233</f>
        <v/>
      </c>
      <c r="M233" s="108">
        <f>1-Y233</f>
        <v/>
      </c>
      <c r="N233" s="108">
        <f>1-Z233</f>
        <v/>
      </c>
      <c r="O233" s="108">
        <f>1-AA233</f>
        <v/>
      </c>
      <c r="P233" s="108">
        <f>1-AB233</f>
        <v/>
      </c>
      <c r="Q233" s="108" t="n"/>
      <c r="R233" s="108" t="n"/>
      <c r="S233" s="108">
        <f>1-AE233</f>
        <v/>
      </c>
      <c r="T233" s="108">
        <f>1-AF233</f>
        <v/>
      </c>
      <c r="U233" s="108">
        <f>1-AG233</f>
        <v/>
      </c>
      <c r="V233" s="108">
        <f>1-AH233</f>
        <v/>
      </c>
      <c r="W233" s="108">
        <f>1-AI233</f>
        <v/>
      </c>
      <c r="X233" s="108">
        <f>ABS(AJ233-AJ$1)</f>
        <v/>
      </c>
      <c r="Y233" s="108">
        <f>AVERAGE(Z233:AB233)</f>
        <v/>
      </c>
      <c r="Z233" s="108">
        <f>ABS(AL233-AL$1)</f>
        <v/>
      </c>
      <c r="AA233" s="108">
        <f>ABS(AM233-AM$1)</f>
        <v/>
      </c>
      <c r="AB233" s="108">
        <f>ABS(AN233-AN$1)</f>
        <v/>
      </c>
      <c r="AC233" s="108" t="n"/>
      <c r="AD233" s="108" t="n"/>
      <c r="AE233" s="108">
        <f>ABS(AQ$1-AQ233)</f>
        <v/>
      </c>
      <c r="AF233" s="108">
        <f>ABS(AR$1-AR233)</f>
        <v/>
      </c>
      <c r="AG233" s="108">
        <f>ABS(AS$1-AS233)</f>
        <v/>
      </c>
      <c r="AH233" s="108">
        <f>ABS(AT$1-AT233)</f>
        <v/>
      </c>
      <c r="AI233" s="108">
        <f>ABS(AU$1-AU233)</f>
        <v/>
      </c>
      <c r="AJ233" s="108">
        <f>(AV233-Driver!$K$179)/(Driver!$L$179-Driver!$K$179)</f>
        <v/>
      </c>
      <c r="AK233" s="108">
        <f>(AW233-Driver!$K$180)/(Driver!$L$180-Driver!$K$180)</f>
        <v/>
      </c>
      <c r="AL233" s="108">
        <f>(AX233-Driver!$K$181)/(Driver!$L$181-Driver!$K$181)</f>
        <v/>
      </c>
      <c r="AM233" s="108">
        <f>(AY233-Driver!$K$182)/(Driver!$L$182-Driver!$K$182)</f>
        <v/>
      </c>
      <c r="AN233" s="108">
        <f>(AZ233-Driver!$K$183)/(Driver!$L$183-Driver!$K$183)</f>
        <v/>
      </c>
      <c r="AO233" s="108" t="n"/>
      <c r="AP233" s="108" t="n"/>
      <c r="AQ233" s="108">
        <f>(BC233-Driver!$K$188)/(Driver!$L$188-Driver!$K$188)</f>
        <v/>
      </c>
      <c r="AR233" s="108">
        <f>MIN((BD233-Driver!$K$189)/(Driver!$L$189-Driver!$K$189),100%)</f>
        <v/>
      </c>
      <c r="AS233" s="108">
        <f>(BE233-Driver!$K$190)/(Driver!$L$190-Driver!$K$190)</f>
        <v/>
      </c>
      <c r="AT233" s="108">
        <f>(BF233-Driver!$K$191)/(Driver!$L$191-Driver!$K$191)</f>
        <v/>
      </c>
      <c r="AU233" s="108">
        <f>(BG233-Driver!$K$192)/(Driver!$L$192-Driver!$K$192)</f>
        <v/>
      </c>
      <c r="AV233" s="105">
        <f>IFERROR(BM233*BJ233^1/4,"")</f>
        <v/>
      </c>
      <c r="AW233" s="105">
        <f>IFERROR(SUM(AX233:AZ233),"")</f>
        <v/>
      </c>
      <c r="AX233" s="105">
        <f>IFERROR(BH233,"")</f>
        <v/>
      </c>
      <c r="AY233" s="105">
        <f>IFERROR(Driver!$K$19/Data!BH233/Data!BI233*Data!BK233*Data!BL233,"")</f>
        <v/>
      </c>
      <c r="AZ233" s="105">
        <f>IFERROR(BI233*BN233,"")</f>
        <v/>
      </c>
      <c r="BA233" s="105" t="n"/>
      <c r="BB233" s="105" t="n"/>
      <c r="BC233" s="105">
        <f>IFERROR(BI233*BN233*BK233/BJ233^(1/2),"")</f>
        <v/>
      </c>
      <c r="BD233" s="105">
        <f>IFERROR(BH233*BM233*BL233/BJ233/BK233,"")</f>
        <v/>
      </c>
      <c r="BE233" s="105">
        <f>IFERROR(MIN(BI233/BQ233/BP233/BO233/BH233,$BE$1),"")</f>
        <v/>
      </c>
      <c r="BF233" s="105">
        <f>IFERROR(BJ233*BO233*BP233/BK233,"")</f>
        <v/>
      </c>
      <c r="BG233" s="105">
        <f>IFERROR(1/BM233/BH233*BQ233,"")</f>
        <v/>
      </c>
      <c r="BH233" s="102">
        <f>MAX((CE233-Driver!$F$200)/(Driver!$G$200-Driver!$F$200)*$BI$1,1)</f>
        <v/>
      </c>
      <c r="BI233" s="102">
        <f>MAX($BI$1*(BY233-Driver!$F$201)/(Driver!$G$201-Driver!$F$201),1)</f>
        <v/>
      </c>
      <c r="BJ233" s="102">
        <f>(CB233-Driver!$F$206)/(Driver!$G$206-Driver!$F$206)*$BI$1</f>
        <v/>
      </c>
      <c r="BK233" s="102">
        <f>(CD233-Driver!$F$203)/(Driver!$G$203-Driver!$F$203)*$BI$1</f>
        <v/>
      </c>
      <c r="BL233" s="102">
        <f>MAX((CR233-Driver!$F$202)/(Driver!$G$202-Driver!$F$202)*$BI$1,1)</f>
        <v/>
      </c>
      <c r="BM233" s="102">
        <f>MAX((CH233-Driver!$F$204)/(Driver!$G$204-Driver!$F$204)*$BI$1,1)</f>
        <v/>
      </c>
      <c r="BN233" s="102">
        <f>(CI233-Driver!$F$205)/(Driver!$G$205-Driver!$F$205)*$BI$1</f>
        <v/>
      </c>
      <c r="BO233" s="102">
        <f>(CK233-Driver!$F$207)/(Driver!$G$207-Driver!$F$207)*$BI$1</f>
        <v/>
      </c>
      <c r="BP233" s="102">
        <f>(CM233-Driver!$F$208)/(Driver!$G$208-Driver!$F$208)*$BI$1</f>
        <v/>
      </c>
      <c r="BQ233" s="102">
        <f>(CL233-Driver!$F$209)/(Driver!$G$209-Driver!$F$209)*$BI$1</f>
        <v/>
      </c>
      <c r="BR233" s="40" t="inlineStr">
        <is>
          <t>21/22</t>
        </is>
      </c>
      <c r="BS233" s="10" t="inlineStr">
        <is>
          <t xml:space="preserve"> Völkl</t>
        </is>
      </c>
      <c r="BT233" s="11" t="inlineStr">
        <is>
          <t>Bash 86 W</t>
        </is>
      </c>
      <c r="BU233" s="13" t="n">
        <v>172</v>
      </c>
      <c r="BV233" s="11" t="inlineStr">
        <is>
          <t xml:space="preserve"> Women's</t>
        </is>
      </c>
      <c r="BW233" s="13" t="n">
        <v>172</v>
      </c>
      <c r="BX233" s="13" t="n">
        <v>172.6</v>
      </c>
      <c r="BY233" s="13" t="n">
        <v>123</v>
      </c>
      <c r="BZ233" s="13" t="n">
        <v>158</v>
      </c>
      <c r="CA233" s="13" t="n">
        <v>119</v>
      </c>
      <c r="CB233" s="13" t="n">
        <v>85</v>
      </c>
      <c r="CC233" s="13" t="n">
        <v>109</v>
      </c>
      <c r="CD233" s="13" t="n">
        <v>21.1</v>
      </c>
      <c r="CE233" s="13" t="n">
        <v>1733</v>
      </c>
      <c r="CF233" s="13" t="n">
        <v>0.95</v>
      </c>
      <c r="CG233" s="13" t="n">
        <v>1652</v>
      </c>
      <c r="CH233" s="13" t="n">
        <v>193</v>
      </c>
      <c r="CI233" s="13" t="n">
        <v>89</v>
      </c>
      <c r="CJ233" s="13" t="n">
        <v>42</v>
      </c>
      <c r="CK233" s="13" t="n">
        <v>271</v>
      </c>
      <c r="CL233" s="13" t="n">
        <v>37</v>
      </c>
      <c r="CM233" s="13" t="n">
        <v>228</v>
      </c>
      <c r="CN233" s="13" t="n">
        <v>0.881</v>
      </c>
      <c r="CO233" s="13" t="n">
        <v>75</v>
      </c>
      <c r="CP233" s="13" t="n">
        <v>74</v>
      </c>
      <c r="CQ233" s="13" t="n">
        <v>196</v>
      </c>
      <c r="CR233" s="13" t="n">
        <v>4</v>
      </c>
      <c r="CS233" s="13" t="n">
        <v>1.7</v>
      </c>
      <c r="CT233" s="11" t="inlineStr">
        <is>
          <t xml:space="preserve"> Freeski</t>
        </is>
      </c>
      <c r="CU233" s="13" t="n"/>
      <c r="CV233" s="13" t="n"/>
      <c r="CW233" s="13" t="n"/>
      <c r="CX233">
        <f>INDEX('Data_Price '!AG$2:AG$1266,MATCH(Data!$DN233,'Data_Price '!$AT$2:$AT$1266,0))</f>
        <v/>
      </c>
      <c r="CY233">
        <f>INDEX('Data_Price '!AH$2:AH$1266,MATCH(Data!$DN233,'Data_Price '!$AT$2:$AT$1266,0))</f>
        <v/>
      </c>
      <c r="CZ233">
        <f>INDEX('Data_Price '!AI$2:AI$1266,MATCH(Data!$DN233,'Data_Price '!$AT$2:$AT$1266,0))</f>
        <v/>
      </c>
      <c r="DA233">
        <f>INDEX('Data_Price '!AJ$2:AJ$1266,MATCH(Data!$DN233,'Data_Price '!$AT$2:$AT$1266,0))</f>
        <v/>
      </c>
      <c r="DB233">
        <f>INDEX('Data_Price '!AK$2:AK$1266,MATCH(Data!$DN233,'Data_Price '!$AT$2:$AT$1266,0))</f>
        <v/>
      </c>
      <c r="DC233">
        <f>INDEX('Data_Price '!AL$2:AL$1266,MATCH(Data!$DN233,'Data_Price '!$AT$2:$AT$1266,0))</f>
        <v/>
      </c>
      <c r="DD233">
        <f>INDEX('Data_Price '!AM$2:AM$1266,MATCH(Data!$DN233,'Data_Price '!$AT$2:$AT$1266,0))</f>
        <v/>
      </c>
      <c r="DE233">
        <f>INDEX('Data_Price '!AN$2:AN$1266,MATCH(Data!$DN233,'Data_Price '!$AT$2:$AT$1266,0))</f>
        <v/>
      </c>
      <c r="DF233">
        <f>INDEX('Data_Price '!AO$2:AO$1266,MATCH(Data!$DN233,'Data_Price '!$AT$2:$AT$1266,0))</f>
        <v/>
      </c>
      <c r="DG233">
        <f>INDEX('Data_Price '!AP$2:AP$1266,MATCH(Data!$DN233,'Data_Price '!$AT$2:$AT$1266,0))</f>
        <v/>
      </c>
      <c r="DH233">
        <f>INDEX('Data_Price '!AQ$2:AQ$1266,MATCH(Data!$DN233,'Data_Price '!$AT$2:$AT$1266,0))</f>
        <v/>
      </c>
      <c r="DI233">
        <f>INDEX('Data_Price '!AR$2:AR$1266,MATCH(Data!$DN233,'Data_Price '!$AT$2:$AT$1266,0))</f>
        <v/>
      </c>
      <c r="DJ233" s="138">
        <f>DA233</f>
        <v/>
      </c>
      <c r="DK233" s="138">
        <f>DE233</f>
        <v/>
      </c>
      <c r="DL233" s="138">
        <f>DI233</f>
        <v/>
      </c>
      <c r="DM233" s="303">
        <f>IF(LEFT(BT233,1)=" ",RIGHT(BT233,LEN(BT233)-1),BT233)</f>
        <v/>
      </c>
      <c r="DN233" s="138">
        <f>_xlfn.CONCAT(BS233,DM233,BU233,BV233)</f>
        <v/>
      </c>
      <c r="DO233" s="307" t="inlineStr">
        <is>
          <t>https://images.evo.com/imgp/250/183431/726761/volkl-bash-86-w-skis-women-s-2022-.jpg</t>
        </is>
      </c>
    </row>
    <row r="234" ht="15.6" customHeight="1" s="184">
      <c r="B234" s="303">
        <f t="array" ref="B234">IF(OR(ISERROR(K234:P234)),FALSE,TRUE)</f>
        <v/>
      </c>
      <c r="C234" s="60">
        <f>OR(BR234=Driver!$G$50,Data!BR1120=Driver!$H$50)</f>
        <v/>
      </c>
      <c r="D234" s="60">
        <f>OR(BV234=Driver!$G$51,BV234=Driver!$H$51)</f>
        <v/>
      </c>
      <c r="E234" s="60">
        <f>AND(BX234&gt;Driver!$F$54,BX234&lt;Driver!$G$54)</f>
        <v/>
      </c>
      <c r="F234" s="60">
        <f>CL234&gt;Driver!$F$56</f>
        <v/>
      </c>
      <c r="G234" s="60">
        <f>AND(CB234&gt;Driver!$F$55,CB234&lt;Driver!$G$55)</f>
        <v/>
      </c>
      <c r="H234" s="60">
        <f>AND(B234:G234)</f>
        <v/>
      </c>
      <c r="I234" s="60">
        <f>COUNTIFS($H$9:$H$1273,TRUE,$BT$9:$BT$1273,BT234)</f>
        <v/>
      </c>
      <c r="J234" s="60">
        <f t="array" ref="J234">NOT(OR(($H$9:$H$1273=TRUE)*($I$9:$I$1273&gt;0)*($BT$9:$BT$1273=BT234)*($K$9:$K$1273&gt;K234)))</f>
        <v/>
      </c>
      <c r="K234" s="108">
        <f>IFERROR(1-AVERAGE(X234:Y234),"")</f>
        <v/>
      </c>
      <c r="L234" s="108">
        <f>1-X234</f>
        <v/>
      </c>
      <c r="M234" s="108">
        <f>1-Y234</f>
        <v/>
      </c>
      <c r="N234" s="108">
        <f>1-Z234</f>
        <v/>
      </c>
      <c r="O234" s="108">
        <f>1-AA234</f>
        <v/>
      </c>
      <c r="P234" s="108">
        <f>1-AB234</f>
        <v/>
      </c>
      <c r="Q234" s="108" t="n"/>
      <c r="R234" s="108" t="n"/>
      <c r="S234" s="108">
        <f>1-AE234</f>
        <v/>
      </c>
      <c r="T234" s="108">
        <f>1-AF234</f>
        <v/>
      </c>
      <c r="U234" s="108">
        <f>1-AG234</f>
        <v/>
      </c>
      <c r="V234" s="108">
        <f>1-AH234</f>
        <v/>
      </c>
      <c r="W234" s="108">
        <f>1-AI234</f>
        <v/>
      </c>
      <c r="X234" s="108">
        <f>ABS(AJ234-AJ$1)</f>
        <v/>
      </c>
      <c r="Y234" s="108">
        <f>AVERAGE(Z234:AB234)</f>
        <v/>
      </c>
      <c r="Z234" s="108">
        <f>ABS(AL234-AL$1)</f>
        <v/>
      </c>
      <c r="AA234" s="108">
        <f>ABS(AM234-AM$1)</f>
        <v/>
      </c>
      <c r="AB234" s="108">
        <f>ABS(AN234-AN$1)</f>
        <v/>
      </c>
      <c r="AC234" s="108" t="n"/>
      <c r="AD234" s="108" t="n"/>
      <c r="AE234" s="108">
        <f>ABS(AQ$1-AQ234)</f>
        <v/>
      </c>
      <c r="AF234" s="108">
        <f>ABS(AR$1-AR234)</f>
        <v/>
      </c>
      <c r="AG234" s="108">
        <f>ABS(AS$1-AS234)</f>
        <v/>
      </c>
      <c r="AH234" s="108">
        <f>ABS(AT$1-AT234)</f>
        <v/>
      </c>
      <c r="AI234" s="108">
        <f>ABS(AU$1-AU234)</f>
        <v/>
      </c>
      <c r="AJ234" s="108">
        <f>(AV234-Driver!$K$179)/(Driver!$L$179-Driver!$K$179)</f>
        <v/>
      </c>
      <c r="AK234" s="108">
        <f>(AW234-Driver!$K$180)/(Driver!$L$180-Driver!$K$180)</f>
        <v/>
      </c>
      <c r="AL234" s="108">
        <f>(AX234-Driver!$K$181)/(Driver!$L$181-Driver!$K$181)</f>
        <v/>
      </c>
      <c r="AM234" s="108">
        <f>(AY234-Driver!$K$182)/(Driver!$L$182-Driver!$K$182)</f>
        <v/>
      </c>
      <c r="AN234" s="108">
        <f>(AZ234-Driver!$K$183)/(Driver!$L$183-Driver!$K$183)</f>
        <v/>
      </c>
      <c r="AO234" s="108" t="n"/>
      <c r="AP234" s="108" t="n"/>
      <c r="AQ234" s="108">
        <f>(BC234-Driver!$K$188)/(Driver!$L$188-Driver!$K$188)</f>
        <v/>
      </c>
      <c r="AR234" s="108">
        <f>MIN((BD234-Driver!$K$189)/(Driver!$L$189-Driver!$K$189),100%)</f>
        <v/>
      </c>
      <c r="AS234" s="108">
        <f>(BE234-Driver!$K$190)/(Driver!$L$190-Driver!$K$190)</f>
        <v/>
      </c>
      <c r="AT234" s="108">
        <f>(BF234-Driver!$K$191)/(Driver!$L$191-Driver!$K$191)</f>
        <v/>
      </c>
      <c r="AU234" s="108">
        <f>(BG234-Driver!$K$192)/(Driver!$L$192-Driver!$K$192)</f>
        <v/>
      </c>
      <c r="AV234" s="105">
        <f>IFERROR(BM234*BJ234^1/4,"")</f>
        <v/>
      </c>
      <c r="AW234" s="105">
        <f>IFERROR(SUM(AX234:AZ234),"")</f>
        <v/>
      </c>
      <c r="AX234" s="105">
        <f>IFERROR(BH234,"")</f>
        <v/>
      </c>
      <c r="AY234" s="105">
        <f>IFERROR(Driver!$K$19/Data!BH234/Data!BI234*Data!BK234*Data!BL234,"")</f>
        <v/>
      </c>
      <c r="AZ234" s="105">
        <f>IFERROR(BI234*BN234,"")</f>
        <v/>
      </c>
      <c r="BA234" s="105" t="n"/>
      <c r="BB234" s="105" t="n"/>
      <c r="BC234" s="105">
        <f>IFERROR(BI234*BN234*BK234/BJ234^(1/2),"")</f>
        <v/>
      </c>
      <c r="BD234" s="105">
        <f>IFERROR(BH234*BM234*BL234/BJ234/BK234,"")</f>
        <v/>
      </c>
      <c r="BE234" s="105">
        <f>IFERROR(MIN(BI234/BQ234/BP234/BO234/BH234,$BE$1),"")</f>
        <v/>
      </c>
      <c r="BF234" s="105">
        <f>IFERROR(BJ234*BO234*BP234/BK234,"")</f>
        <v/>
      </c>
      <c r="BG234" s="105">
        <f>IFERROR(1/BM234/BH234*BQ234,"")</f>
        <v/>
      </c>
      <c r="BH234" s="102">
        <f>MAX((CE234-Driver!$F$200)/(Driver!$G$200-Driver!$F$200)*$BI$1,1)</f>
        <v/>
      </c>
      <c r="BI234" s="102">
        <f>MAX($BI$1*(BY234-Driver!$F$201)/(Driver!$G$201-Driver!$F$201),1)</f>
        <v/>
      </c>
      <c r="BJ234" s="102">
        <f>(CB234-Driver!$F$206)/(Driver!$G$206-Driver!$F$206)*$BI$1</f>
        <v/>
      </c>
      <c r="BK234" s="102">
        <f>(CD234-Driver!$F$203)/(Driver!$G$203-Driver!$F$203)*$BI$1</f>
        <v/>
      </c>
      <c r="BL234" s="102">
        <f>MAX((CR234-Driver!$F$202)/(Driver!$G$202-Driver!$F$202)*$BI$1,1)</f>
        <v/>
      </c>
      <c r="BM234" s="102">
        <f>MAX((CH234-Driver!$F$204)/(Driver!$G$204-Driver!$F$204)*$BI$1,1)</f>
        <v/>
      </c>
      <c r="BN234" s="102">
        <f>(CI234-Driver!$F$205)/(Driver!$G$205-Driver!$F$205)*$BI$1</f>
        <v/>
      </c>
      <c r="BO234" s="102">
        <f>(CK234-Driver!$F$207)/(Driver!$G$207-Driver!$F$207)*$BI$1</f>
        <v/>
      </c>
      <c r="BP234" s="102">
        <f>(CM234-Driver!$F$208)/(Driver!$G$208-Driver!$F$208)*$BI$1</f>
        <v/>
      </c>
      <c r="BQ234" s="102">
        <f>(CL234-Driver!$F$209)/(Driver!$G$209-Driver!$F$209)*$BI$1</f>
        <v/>
      </c>
      <c r="BR234" s="40" t="inlineStr">
        <is>
          <t>21/22</t>
        </is>
      </c>
      <c r="BS234" s="10" t="inlineStr">
        <is>
          <t xml:space="preserve"> Scott</t>
        </is>
      </c>
      <c r="BT234" s="11" t="inlineStr">
        <is>
          <t>Slight 93</t>
        </is>
      </c>
      <c r="BU234" s="13" t="n">
        <v>170</v>
      </c>
      <c r="BV234" s="11" t="inlineStr">
        <is>
          <t xml:space="preserve"> Unisex</t>
        </is>
      </c>
      <c r="BW234" s="13" t="n">
        <v>170</v>
      </c>
      <c r="BX234" s="13" t="n">
        <v>168.5</v>
      </c>
      <c r="BY234" s="13" t="n">
        <v>128</v>
      </c>
      <c r="BZ234" s="13" t="n">
        <v>149</v>
      </c>
      <c r="CA234" s="13" t="n">
        <v>134</v>
      </c>
      <c r="CB234" s="13" t="n">
        <v>90</v>
      </c>
      <c r="CC234" s="13" t="n">
        <v>121</v>
      </c>
      <c r="CD234" s="13" t="n">
        <v>15.1</v>
      </c>
      <c r="CE234" s="13" t="n">
        <v>1472</v>
      </c>
      <c r="CF234" s="13" t="n">
        <v>1.19</v>
      </c>
      <c r="CG234" s="13" t="n">
        <v>1746</v>
      </c>
      <c r="CH234" s="13" t="n">
        <v>229</v>
      </c>
      <c r="CI234" s="13" t="n">
        <v>90</v>
      </c>
      <c r="CJ234" s="13" t="n">
        <v>57</v>
      </c>
      <c r="CK234" s="13" t="n">
        <v>272</v>
      </c>
      <c r="CL234" s="13" t="n">
        <v>21</v>
      </c>
      <c r="CM234" s="13" t="n">
        <v>134</v>
      </c>
      <c r="CN234" s="13" t="n">
        <v>0.362</v>
      </c>
      <c r="CO234" s="13" t="n">
        <v>122</v>
      </c>
      <c r="CP234" s="13" t="n">
        <v>73</v>
      </c>
      <c r="CQ234" s="13" t="n">
        <v>150</v>
      </c>
      <c r="CR234" s="13" t="n">
        <v>4</v>
      </c>
      <c r="CS234" s="13" t="n">
        <v>12.2</v>
      </c>
      <c r="CT234" s="11" t="inlineStr">
        <is>
          <t xml:space="preserve"> Resort Freeride</t>
        </is>
      </c>
      <c r="CU234" s="11" t="inlineStr">
        <is>
          <t xml:space="preserve"> Touring</t>
        </is>
      </c>
      <c r="CV234" s="13" t="n"/>
      <c r="CW234" s="13" t="n"/>
      <c r="CX234">
        <f>INDEX('Data_Price '!AG$2:AG$1266,MATCH(Data!$DN234,'Data_Price '!$AT$2:$AT$1266,0))</f>
        <v/>
      </c>
      <c r="CY234">
        <f>INDEX('Data_Price '!AH$2:AH$1266,MATCH(Data!$DN234,'Data_Price '!$AT$2:$AT$1266,0))</f>
        <v/>
      </c>
      <c r="CZ234">
        <f>INDEX('Data_Price '!AI$2:AI$1266,MATCH(Data!$DN234,'Data_Price '!$AT$2:$AT$1266,0))</f>
        <v/>
      </c>
      <c r="DA234">
        <f>INDEX('Data_Price '!AJ$2:AJ$1266,MATCH(Data!$DN234,'Data_Price '!$AT$2:$AT$1266,0))</f>
        <v/>
      </c>
      <c r="DB234">
        <f>INDEX('Data_Price '!AK$2:AK$1266,MATCH(Data!$DN234,'Data_Price '!$AT$2:$AT$1266,0))</f>
        <v/>
      </c>
      <c r="DC234">
        <f>INDEX('Data_Price '!AL$2:AL$1266,MATCH(Data!$DN234,'Data_Price '!$AT$2:$AT$1266,0))</f>
        <v/>
      </c>
      <c r="DD234">
        <f>INDEX('Data_Price '!AM$2:AM$1266,MATCH(Data!$DN234,'Data_Price '!$AT$2:$AT$1266,0))</f>
        <v/>
      </c>
      <c r="DE234">
        <f>INDEX('Data_Price '!AN$2:AN$1266,MATCH(Data!$DN234,'Data_Price '!$AT$2:$AT$1266,0))</f>
        <v/>
      </c>
      <c r="DF234">
        <f>INDEX('Data_Price '!AO$2:AO$1266,MATCH(Data!$DN234,'Data_Price '!$AT$2:$AT$1266,0))</f>
        <v/>
      </c>
      <c r="DG234">
        <f>INDEX('Data_Price '!AP$2:AP$1266,MATCH(Data!$DN234,'Data_Price '!$AT$2:$AT$1266,0))</f>
        <v/>
      </c>
      <c r="DH234">
        <f>INDEX('Data_Price '!AQ$2:AQ$1266,MATCH(Data!$DN234,'Data_Price '!$AT$2:$AT$1266,0))</f>
        <v/>
      </c>
      <c r="DI234">
        <f>INDEX('Data_Price '!AR$2:AR$1266,MATCH(Data!$DN234,'Data_Price '!$AT$2:$AT$1266,0))</f>
        <v/>
      </c>
      <c r="DJ234" s="138">
        <f>DA234</f>
        <v/>
      </c>
      <c r="DK234" s="138">
        <f>DE234</f>
        <v/>
      </c>
      <c r="DL234" s="138">
        <f>DI234</f>
        <v/>
      </c>
      <c r="DM234" s="303">
        <f>IF(LEFT(BT234,1)=" ",RIGHT(BT234,LEN(BT234)-1),BT234)</f>
        <v/>
      </c>
      <c r="DN234" s="138">
        <f>_xlfn.CONCAT(BS234,DM234,BU234,BV234)</f>
        <v/>
      </c>
      <c r="DO234" s="307" t="n"/>
    </row>
    <row r="235" ht="15.6" customHeight="1" s="184">
      <c r="B235" s="303">
        <f t="array" ref="B235">IF(OR(ISERROR(K235:P235)),FALSE,TRUE)</f>
        <v/>
      </c>
      <c r="C235" s="60">
        <f>OR(BR235=Driver!$G$50,Data!BR299=Driver!$H$50)</f>
        <v/>
      </c>
      <c r="D235" s="60">
        <f>OR(BV235=Driver!$G$51,BV235=Driver!$H$51)</f>
        <v/>
      </c>
      <c r="E235" s="60">
        <f>AND(BX235&gt;Driver!$F$54,BX235&lt;Driver!$G$54)</f>
        <v/>
      </c>
      <c r="F235" s="60">
        <f>CL235&gt;Driver!$F$56</f>
        <v/>
      </c>
      <c r="G235" s="60">
        <f>AND(CB235&gt;Driver!$F$55,CB235&lt;Driver!$G$55)</f>
        <v/>
      </c>
      <c r="H235" s="60">
        <f>AND(B235:G235)</f>
        <v/>
      </c>
      <c r="I235" s="60">
        <f>COUNTIFS($H$9:$H$1273,TRUE,$BT$9:$BT$1273,BT235)</f>
        <v/>
      </c>
      <c r="J235" s="60">
        <f t="array" ref="J235">NOT(OR(($H$9:$H$1273=TRUE)*($I$9:$I$1273&gt;0)*($BT$9:$BT$1273=BT235)*($K$9:$K$1273&gt;K235)))</f>
        <v/>
      </c>
      <c r="K235" s="108">
        <f>IFERROR(1-AVERAGE(X235:Y235),"")</f>
        <v/>
      </c>
      <c r="L235" s="108">
        <f>1-X235</f>
        <v/>
      </c>
      <c r="M235" s="108">
        <f>1-Y235</f>
        <v/>
      </c>
      <c r="N235" s="108">
        <f>1-Z235</f>
        <v/>
      </c>
      <c r="O235" s="108">
        <f>1-AA235</f>
        <v/>
      </c>
      <c r="P235" s="108">
        <f>1-AB235</f>
        <v/>
      </c>
      <c r="Q235" s="108" t="n"/>
      <c r="R235" s="108" t="n"/>
      <c r="S235" s="108">
        <f>1-AE235</f>
        <v/>
      </c>
      <c r="T235" s="108">
        <f>1-AF235</f>
        <v/>
      </c>
      <c r="U235" s="108">
        <f>1-AG235</f>
        <v/>
      </c>
      <c r="V235" s="108">
        <f>1-AH235</f>
        <v/>
      </c>
      <c r="W235" s="108">
        <f>1-AI235</f>
        <v/>
      </c>
      <c r="X235" s="108">
        <f>ABS(AJ235-AJ$1)</f>
        <v/>
      </c>
      <c r="Y235" s="108">
        <f>AVERAGE(Z235:AB235)</f>
        <v/>
      </c>
      <c r="Z235" s="108">
        <f>ABS(AL235-AL$1)</f>
        <v/>
      </c>
      <c r="AA235" s="108">
        <f>ABS(AM235-AM$1)</f>
        <v/>
      </c>
      <c r="AB235" s="108">
        <f>ABS(AN235-AN$1)</f>
        <v/>
      </c>
      <c r="AC235" s="108" t="n"/>
      <c r="AD235" s="108" t="n"/>
      <c r="AE235" s="108">
        <f>ABS(AQ$1-AQ235)</f>
        <v/>
      </c>
      <c r="AF235" s="108">
        <f>ABS(AR$1-AR235)</f>
        <v/>
      </c>
      <c r="AG235" s="108">
        <f>ABS(AS$1-AS235)</f>
        <v/>
      </c>
      <c r="AH235" s="108">
        <f>ABS(AT$1-AT235)</f>
        <v/>
      </c>
      <c r="AI235" s="108">
        <f>ABS(AU$1-AU235)</f>
        <v/>
      </c>
      <c r="AJ235" s="108">
        <f>(AV235-Driver!$K$179)/(Driver!$L$179-Driver!$K$179)</f>
        <v/>
      </c>
      <c r="AK235" s="108">
        <f>(AW235-Driver!$K$180)/(Driver!$L$180-Driver!$K$180)</f>
        <v/>
      </c>
      <c r="AL235" s="108">
        <f>(AX235-Driver!$K$181)/(Driver!$L$181-Driver!$K$181)</f>
        <v/>
      </c>
      <c r="AM235" s="108">
        <f>(AY235-Driver!$K$182)/(Driver!$L$182-Driver!$K$182)</f>
        <v/>
      </c>
      <c r="AN235" s="108">
        <f>(AZ235-Driver!$K$183)/(Driver!$L$183-Driver!$K$183)</f>
        <v/>
      </c>
      <c r="AO235" s="108" t="n"/>
      <c r="AP235" s="108" t="n"/>
      <c r="AQ235" s="108">
        <f>(BC235-Driver!$K$188)/(Driver!$L$188-Driver!$K$188)</f>
        <v/>
      </c>
      <c r="AR235" s="108">
        <f>MIN((BD235-Driver!$K$189)/(Driver!$L$189-Driver!$K$189),100%)</f>
        <v/>
      </c>
      <c r="AS235" s="108">
        <f>(BE235-Driver!$K$190)/(Driver!$L$190-Driver!$K$190)</f>
        <v/>
      </c>
      <c r="AT235" s="108">
        <f>(BF235-Driver!$K$191)/(Driver!$L$191-Driver!$K$191)</f>
        <v/>
      </c>
      <c r="AU235" s="108">
        <f>(BG235-Driver!$K$192)/(Driver!$L$192-Driver!$K$192)</f>
        <v/>
      </c>
      <c r="AV235" s="105">
        <f>IFERROR(BM235*BJ235^1/4,"")</f>
        <v/>
      </c>
      <c r="AW235" s="105">
        <f>IFERROR(SUM(AX235:AZ235),"")</f>
        <v/>
      </c>
      <c r="AX235" s="105">
        <f>IFERROR(BH235,"")</f>
        <v/>
      </c>
      <c r="AY235" s="105">
        <f>IFERROR(Driver!$K$19/Data!BH235/Data!BI235*Data!BK235*Data!BL235,"")</f>
        <v/>
      </c>
      <c r="AZ235" s="105">
        <f>IFERROR(BI235*BN235,"")</f>
        <v/>
      </c>
      <c r="BA235" s="105" t="n"/>
      <c r="BB235" s="105" t="n"/>
      <c r="BC235" s="105">
        <f>IFERROR(BI235*BN235*BK235/BJ235^(1/2),"")</f>
        <v/>
      </c>
      <c r="BD235" s="105">
        <f>IFERROR(BH235*BM235*BL235/BJ235/BK235,"")</f>
        <v/>
      </c>
      <c r="BE235" s="105">
        <f>IFERROR(MIN(BI235/BQ235/BP235/BO235/BH235,$BE$1),"")</f>
        <v/>
      </c>
      <c r="BF235" s="105">
        <f>IFERROR(BJ235*BO235*BP235/BK235,"")</f>
        <v/>
      </c>
      <c r="BG235" s="105">
        <f>IFERROR(1/BM235/BH235*BQ235,"")</f>
        <v/>
      </c>
      <c r="BH235" s="102">
        <f>MAX((CE235-Driver!$F$200)/(Driver!$G$200-Driver!$F$200)*$BI$1,1)</f>
        <v/>
      </c>
      <c r="BI235" s="102">
        <f>MAX($BI$1*(BY235-Driver!$F$201)/(Driver!$G$201-Driver!$F$201),1)</f>
        <v/>
      </c>
      <c r="BJ235" s="102">
        <f>(CB235-Driver!$F$206)/(Driver!$G$206-Driver!$F$206)*$BI$1</f>
        <v/>
      </c>
      <c r="BK235" s="102">
        <f>(CD235-Driver!$F$203)/(Driver!$G$203-Driver!$F$203)*$BI$1</f>
        <v/>
      </c>
      <c r="BL235" s="102">
        <f>MAX((CR235-Driver!$F$202)/(Driver!$G$202-Driver!$F$202)*$BI$1,1)</f>
        <v/>
      </c>
      <c r="BM235" s="102">
        <f>MAX((CH235-Driver!$F$204)/(Driver!$G$204-Driver!$F$204)*$BI$1,1)</f>
        <v/>
      </c>
      <c r="BN235" s="102">
        <f>(CI235-Driver!$F$205)/(Driver!$G$205-Driver!$F$205)*$BI$1</f>
        <v/>
      </c>
      <c r="BO235" s="102">
        <f>(CK235-Driver!$F$207)/(Driver!$G$207-Driver!$F$207)*$BI$1</f>
        <v/>
      </c>
      <c r="BP235" s="102">
        <f>(CM235-Driver!$F$208)/(Driver!$G$208-Driver!$F$208)*$BI$1</f>
        <v/>
      </c>
      <c r="BQ235" s="102">
        <f>(CL235-Driver!$F$209)/(Driver!$G$209-Driver!$F$209)*$BI$1</f>
        <v/>
      </c>
      <c r="BR235" s="40" t="inlineStr">
        <is>
          <t>21/22</t>
        </is>
      </c>
      <c r="BS235" s="10" t="inlineStr">
        <is>
          <t xml:space="preserve"> Blizzard</t>
        </is>
      </c>
      <c r="BT235" s="11" t="inlineStr">
        <is>
          <t>Sheeva 10</t>
        </is>
      </c>
      <c r="BU235" s="13" t="n">
        <v>172</v>
      </c>
      <c r="BV235" s="11" t="inlineStr">
        <is>
          <t xml:space="preserve"> Women's</t>
        </is>
      </c>
      <c r="BW235" s="13" t="n">
        <v>172</v>
      </c>
      <c r="BX235" s="13" t="n">
        <v>170.1</v>
      </c>
      <c r="BY235" s="13" t="n">
        <v>100</v>
      </c>
      <c r="BZ235" s="13" t="n">
        <v>141</v>
      </c>
      <c r="CA235" s="13" t="n">
        <v>132</v>
      </c>
      <c r="CB235" s="13" t="n">
        <v>101</v>
      </c>
      <c r="CC235" s="13" t="n">
        <v>122</v>
      </c>
      <c r="CD235" s="13" t="n">
        <v>17.1</v>
      </c>
      <c r="CE235" s="13" t="n">
        <v>1919</v>
      </c>
      <c r="CF235" s="13" t="n">
        <v>0.99</v>
      </c>
      <c r="CG235" s="13" t="n">
        <v>1903</v>
      </c>
      <c r="CH235" s="13" t="n">
        <v>190</v>
      </c>
      <c r="CI235" s="13" t="n">
        <v>106</v>
      </c>
      <c r="CJ235" s="13" t="n">
        <v>72</v>
      </c>
      <c r="CK235" s="13" t="n">
        <v>387</v>
      </c>
      <c r="CL235" s="13" t="n">
        <v>37</v>
      </c>
      <c r="CM235" s="13" t="n">
        <v>313</v>
      </c>
      <c r="CN235" s="13" t="n">
        <v>0.517</v>
      </c>
      <c r="CO235" s="13" t="n">
        <v>147</v>
      </c>
      <c r="CP235" s="13" t="n">
        <v>145</v>
      </c>
      <c r="CQ235" s="13" t="n">
        <v>240</v>
      </c>
      <c r="CR235" s="13" t="n">
        <v>3</v>
      </c>
      <c r="CS235" s="13" t="n">
        <v>7.5</v>
      </c>
      <c r="CT235" s="11" t="inlineStr">
        <is>
          <t xml:space="preserve"> Resort Freeride</t>
        </is>
      </c>
      <c r="CU235" s="11" t="inlineStr">
        <is>
          <t xml:space="preserve"> Powder</t>
        </is>
      </c>
      <c r="CV235" s="13" t="n"/>
      <c r="CW235" s="13" t="n"/>
      <c r="CX235">
        <f>INDEX('Data_Price '!AG$2:AG$1266,MATCH(Data!$DN235,'Data_Price '!$AT$2:$AT$1266,0))</f>
        <v/>
      </c>
      <c r="CY235">
        <f>INDEX('Data_Price '!AH$2:AH$1266,MATCH(Data!$DN235,'Data_Price '!$AT$2:$AT$1266,0))</f>
        <v/>
      </c>
      <c r="CZ235">
        <f>INDEX('Data_Price '!AI$2:AI$1266,MATCH(Data!$DN235,'Data_Price '!$AT$2:$AT$1266,0))</f>
        <v/>
      </c>
      <c r="DA235">
        <f>INDEX('Data_Price '!AJ$2:AJ$1266,MATCH(Data!$DN235,'Data_Price '!$AT$2:$AT$1266,0))</f>
        <v/>
      </c>
      <c r="DB235">
        <f>INDEX('Data_Price '!AK$2:AK$1266,MATCH(Data!$DN235,'Data_Price '!$AT$2:$AT$1266,0))</f>
        <v/>
      </c>
      <c r="DC235">
        <f>INDEX('Data_Price '!AL$2:AL$1266,MATCH(Data!$DN235,'Data_Price '!$AT$2:$AT$1266,0))</f>
        <v/>
      </c>
      <c r="DD235">
        <f>INDEX('Data_Price '!AM$2:AM$1266,MATCH(Data!$DN235,'Data_Price '!$AT$2:$AT$1266,0))</f>
        <v/>
      </c>
      <c r="DE235">
        <f>INDEX('Data_Price '!AN$2:AN$1266,MATCH(Data!$DN235,'Data_Price '!$AT$2:$AT$1266,0))</f>
        <v/>
      </c>
      <c r="DF235">
        <f>INDEX('Data_Price '!AO$2:AO$1266,MATCH(Data!$DN235,'Data_Price '!$AT$2:$AT$1266,0))</f>
        <v/>
      </c>
      <c r="DG235">
        <f>INDEX('Data_Price '!AP$2:AP$1266,MATCH(Data!$DN235,'Data_Price '!$AT$2:$AT$1266,0))</f>
        <v/>
      </c>
      <c r="DH235">
        <f>INDEX('Data_Price '!AQ$2:AQ$1266,MATCH(Data!$DN235,'Data_Price '!$AT$2:$AT$1266,0))</f>
        <v/>
      </c>
      <c r="DI235">
        <f>INDEX('Data_Price '!AR$2:AR$1266,MATCH(Data!$DN235,'Data_Price '!$AT$2:$AT$1266,0))</f>
        <v/>
      </c>
      <c r="DJ235" s="138">
        <f>DA235</f>
        <v/>
      </c>
      <c r="DK235" s="138">
        <f>DE235</f>
        <v/>
      </c>
      <c r="DL235" s="138">
        <f>DI235</f>
        <v/>
      </c>
      <c r="DM235" s="303">
        <f>IF(LEFT(BT235,1)=" ",RIGHT(BT235,LEN(BT235)-1),BT235)</f>
        <v/>
      </c>
      <c r="DN235" s="138">
        <f>_xlfn.CONCAT(BS235,DM235,BU235,BV235)</f>
        <v/>
      </c>
      <c r="DO235" s="307" t="inlineStr">
        <is>
          <t>https://images.evo.com/imgp/250/176891/722699/blizzard-sheeva-10-skis-women-s-2022-.jpg</t>
        </is>
      </c>
    </row>
    <row r="236" ht="15.6" customHeight="1" s="184">
      <c r="B236" s="303">
        <f t="array" ref="B236">IF(OR(ISERROR(K236:P236)),FALSE,TRUE)</f>
        <v/>
      </c>
      <c r="C236" s="60">
        <f>OR(BR236=Driver!$G$50,Data!BR232=Driver!$H$50)</f>
        <v/>
      </c>
      <c r="D236" s="60">
        <f>OR(BV236=Driver!$G$51,BV236=Driver!$H$51)</f>
        <v/>
      </c>
      <c r="E236" s="60">
        <f>AND(BX236&gt;Driver!$F$54,BX236&lt;Driver!$G$54)</f>
        <v/>
      </c>
      <c r="F236" s="60">
        <f>CL236&gt;Driver!$F$56</f>
        <v/>
      </c>
      <c r="G236" s="60">
        <f>AND(CB236&gt;Driver!$F$55,CB236&lt;Driver!$G$55)</f>
        <v/>
      </c>
      <c r="H236" s="60">
        <f>AND(B236:G236)</f>
        <v/>
      </c>
      <c r="I236" s="60">
        <f>COUNTIFS($H$9:$H$1273,TRUE,$BT$9:$BT$1273,BT236)</f>
        <v/>
      </c>
      <c r="J236" s="60">
        <f t="array" ref="J236">NOT(OR(($H$9:$H$1273=TRUE)*($I$9:$I$1273&gt;0)*($BT$9:$BT$1273=BT236)*($K$9:$K$1273&gt;K236)))</f>
        <v/>
      </c>
      <c r="K236" s="108">
        <f>IFERROR(1-AVERAGE(X236:Y236),"")</f>
        <v/>
      </c>
      <c r="L236" s="108">
        <f>1-X236</f>
        <v/>
      </c>
      <c r="M236" s="108">
        <f>1-Y236</f>
        <v/>
      </c>
      <c r="N236" s="108">
        <f>1-Z236</f>
        <v/>
      </c>
      <c r="O236" s="108">
        <f>1-AA236</f>
        <v/>
      </c>
      <c r="P236" s="108">
        <f>1-AB236</f>
        <v/>
      </c>
      <c r="Q236" s="108" t="n"/>
      <c r="R236" s="108" t="n"/>
      <c r="S236" s="108">
        <f>1-AE236</f>
        <v/>
      </c>
      <c r="T236" s="108">
        <f>1-AF236</f>
        <v/>
      </c>
      <c r="U236" s="108">
        <f>1-AG236</f>
        <v/>
      </c>
      <c r="V236" s="108">
        <f>1-AH236</f>
        <v/>
      </c>
      <c r="W236" s="108">
        <f>1-AI236</f>
        <v/>
      </c>
      <c r="X236" s="108">
        <f>ABS(AJ236-AJ$1)</f>
        <v/>
      </c>
      <c r="Y236" s="108">
        <f>AVERAGE(Z236:AB236)</f>
        <v/>
      </c>
      <c r="Z236" s="108">
        <f>ABS(AL236-AL$1)</f>
        <v/>
      </c>
      <c r="AA236" s="108">
        <f>ABS(AM236-AM$1)</f>
        <v/>
      </c>
      <c r="AB236" s="108">
        <f>ABS(AN236-AN$1)</f>
        <v/>
      </c>
      <c r="AC236" s="108" t="n"/>
      <c r="AD236" s="108" t="n"/>
      <c r="AE236" s="108">
        <f>ABS(AQ$1-AQ236)</f>
        <v/>
      </c>
      <c r="AF236" s="108">
        <f>ABS(AR$1-AR236)</f>
        <v/>
      </c>
      <c r="AG236" s="108">
        <f>ABS(AS$1-AS236)</f>
        <v/>
      </c>
      <c r="AH236" s="108">
        <f>ABS(AT$1-AT236)</f>
        <v/>
      </c>
      <c r="AI236" s="108">
        <f>ABS(AU$1-AU236)</f>
        <v/>
      </c>
      <c r="AJ236" s="108">
        <f>(AV236-Driver!$K$179)/(Driver!$L$179-Driver!$K$179)</f>
        <v/>
      </c>
      <c r="AK236" s="108">
        <f>(AW236-Driver!$K$180)/(Driver!$L$180-Driver!$K$180)</f>
        <v/>
      </c>
      <c r="AL236" s="108">
        <f>(AX236-Driver!$K$181)/(Driver!$L$181-Driver!$K$181)</f>
        <v/>
      </c>
      <c r="AM236" s="108">
        <f>(AY236-Driver!$K$182)/(Driver!$L$182-Driver!$K$182)</f>
        <v/>
      </c>
      <c r="AN236" s="108">
        <f>(AZ236-Driver!$K$183)/(Driver!$L$183-Driver!$K$183)</f>
        <v/>
      </c>
      <c r="AO236" s="108" t="n"/>
      <c r="AP236" s="108" t="n"/>
      <c r="AQ236" s="108">
        <f>(BC236-Driver!$K$188)/(Driver!$L$188-Driver!$K$188)</f>
        <v/>
      </c>
      <c r="AR236" s="108">
        <f>MIN((BD236-Driver!$K$189)/(Driver!$L$189-Driver!$K$189),100%)</f>
        <v/>
      </c>
      <c r="AS236" s="108">
        <f>(BE236-Driver!$K$190)/(Driver!$L$190-Driver!$K$190)</f>
        <v/>
      </c>
      <c r="AT236" s="108">
        <f>(BF236-Driver!$K$191)/(Driver!$L$191-Driver!$K$191)</f>
        <v/>
      </c>
      <c r="AU236" s="108">
        <f>(BG236-Driver!$K$192)/(Driver!$L$192-Driver!$K$192)</f>
        <v/>
      </c>
      <c r="AV236" s="105">
        <f>IFERROR(BM236*BJ236^1/4,"")</f>
        <v/>
      </c>
      <c r="AW236" s="105">
        <f>IFERROR(SUM(AX236:AZ236),"")</f>
        <v/>
      </c>
      <c r="AX236" s="105">
        <f>IFERROR(BH236,"")</f>
        <v/>
      </c>
      <c r="AY236" s="105">
        <f>IFERROR(Driver!$K$19/Data!BH236/Data!BI236*Data!BK236*Data!BL236,"")</f>
        <v/>
      </c>
      <c r="AZ236" s="105">
        <f>IFERROR(BI236*BN236,"")</f>
        <v/>
      </c>
      <c r="BA236" s="105" t="n"/>
      <c r="BB236" s="105" t="n"/>
      <c r="BC236" s="105">
        <f>IFERROR(BI236*BN236*BK236/BJ236^(1/2),"")</f>
        <v/>
      </c>
      <c r="BD236" s="105">
        <f>IFERROR(BH236*BM236*BL236/BJ236/BK236,"")</f>
        <v/>
      </c>
      <c r="BE236" s="105">
        <f>IFERROR(MIN(BI236/BQ236/BP236/BO236/BH236,$BE$1),"")</f>
        <v/>
      </c>
      <c r="BF236" s="105">
        <f>IFERROR(BJ236*BO236*BP236/BK236,"")</f>
        <v/>
      </c>
      <c r="BG236" s="105">
        <f>IFERROR(1/BM236/BH236*BQ236,"")</f>
        <v/>
      </c>
      <c r="BH236" s="102">
        <f>MAX((CE236-Driver!$F$200)/(Driver!$G$200-Driver!$F$200)*$BI$1,1)</f>
        <v/>
      </c>
      <c r="BI236" s="102">
        <f>MAX($BI$1*(BY236-Driver!$F$201)/(Driver!$G$201-Driver!$F$201),1)</f>
        <v/>
      </c>
      <c r="BJ236" s="102">
        <f>(CB236-Driver!$F$206)/(Driver!$G$206-Driver!$F$206)*$BI$1</f>
        <v/>
      </c>
      <c r="BK236" s="102">
        <f>(CD236-Driver!$F$203)/(Driver!$G$203-Driver!$F$203)*$BI$1</f>
        <v/>
      </c>
      <c r="BL236" s="102">
        <f>MAX((CR236-Driver!$F$202)/(Driver!$G$202-Driver!$F$202)*$BI$1,1)</f>
        <v/>
      </c>
      <c r="BM236" s="102">
        <f>MAX((CH236-Driver!$F$204)/(Driver!$G$204-Driver!$F$204)*$BI$1,1)</f>
        <v/>
      </c>
      <c r="BN236" s="102">
        <f>(CI236-Driver!$F$205)/(Driver!$G$205-Driver!$F$205)*$BI$1</f>
        <v/>
      </c>
      <c r="BO236" s="102">
        <f>(CK236-Driver!$F$207)/(Driver!$G$207-Driver!$F$207)*$BI$1</f>
        <v/>
      </c>
      <c r="BP236" s="102">
        <f>(CM236-Driver!$F$208)/(Driver!$G$208-Driver!$F$208)*$BI$1</f>
        <v/>
      </c>
      <c r="BQ236" s="102">
        <f>(CL236-Driver!$F$209)/(Driver!$G$209-Driver!$F$209)*$BI$1</f>
        <v/>
      </c>
      <c r="BR236" s="40" t="inlineStr">
        <is>
          <t>21/22</t>
        </is>
      </c>
      <c r="BS236" s="10" t="inlineStr">
        <is>
          <t xml:space="preserve"> Black Crows</t>
        </is>
      </c>
      <c r="BT236" s="11" t="inlineStr">
        <is>
          <t xml:space="preserve"> Navis Freebird</t>
        </is>
      </c>
      <c r="BU236" s="13" t="n">
        <v>167.1</v>
      </c>
      <c r="BV236" s="11" t="inlineStr">
        <is>
          <t xml:space="preserve"> Unisex</t>
        </is>
      </c>
      <c r="BW236" s="13" t="n">
        <v>167.1</v>
      </c>
      <c r="BX236" s="13" t="n">
        <v>166.5</v>
      </c>
      <c r="BY236" s="13" t="n">
        <v>114</v>
      </c>
      <c r="BZ236" s="13" t="n">
        <v>140</v>
      </c>
      <c r="CA236" s="13" t="n">
        <v>137</v>
      </c>
      <c r="CB236" s="13" t="n">
        <v>100</v>
      </c>
      <c r="CC236" s="13" t="n">
        <v>117</v>
      </c>
      <c r="CD236" s="13" t="n">
        <v>18.2</v>
      </c>
      <c r="CE236" s="13" t="n">
        <v>1576</v>
      </c>
      <c r="CF236" s="13" t="n">
        <v>1.17</v>
      </c>
      <c r="CG236" s="13" t="n">
        <v>1847</v>
      </c>
      <c r="CH236" s="13" t="n">
        <v>185</v>
      </c>
      <c r="CI236" s="13" t="n">
        <v>82</v>
      </c>
      <c r="CJ236" s="13" t="n">
        <v>46</v>
      </c>
      <c r="CK236" s="13" t="n">
        <v>309</v>
      </c>
      <c r="CL236" s="13" t="n">
        <v>17</v>
      </c>
      <c r="CM236" s="13" t="n">
        <v>215</v>
      </c>
      <c r="CN236" s="13" t="n">
        <v>0.361</v>
      </c>
      <c r="CO236" s="13" t="n">
        <v>138</v>
      </c>
      <c r="CP236" s="13" t="n">
        <v>122</v>
      </c>
      <c r="CQ236" s="13" t="n">
        <v>171</v>
      </c>
      <c r="CR236" s="13" t="n">
        <v>4</v>
      </c>
      <c r="CS236" s="13" t="n">
        <v>9.300000000000001</v>
      </c>
      <c r="CT236" s="11" t="inlineStr">
        <is>
          <t xml:space="preserve"> Resort Freeride</t>
        </is>
      </c>
      <c r="CU236" s="11" t="inlineStr">
        <is>
          <t xml:space="preserve"> Powder</t>
        </is>
      </c>
      <c r="CV236" s="11" t="inlineStr">
        <is>
          <t xml:space="preserve"> Big Mountain</t>
        </is>
      </c>
      <c r="CW236" s="11" t="inlineStr">
        <is>
          <t xml:space="preserve"> Touring</t>
        </is>
      </c>
      <c r="CX236">
        <f>INDEX('Data_Price '!AG$2:AG$1266,MATCH(Data!$DN236,'Data_Price '!$AT$2:$AT$1266,0))</f>
        <v/>
      </c>
      <c r="CY236">
        <f>INDEX('Data_Price '!AH$2:AH$1266,MATCH(Data!$DN236,'Data_Price '!$AT$2:$AT$1266,0))</f>
        <v/>
      </c>
      <c r="CZ236">
        <f>INDEX('Data_Price '!AI$2:AI$1266,MATCH(Data!$DN236,'Data_Price '!$AT$2:$AT$1266,0))</f>
        <v/>
      </c>
      <c r="DA236">
        <f>INDEX('Data_Price '!AJ$2:AJ$1266,MATCH(Data!$DN236,'Data_Price '!$AT$2:$AT$1266,0))</f>
        <v/>
      </c>
      <c r="DB236">
        <f>INDEX('Data_Price '!AK$2:AK$1266,MATCH(Data!$DN236,'Data_Price '!$AT$2:$AT$1266,0))</f>
        <v/>
      </c>
      <c r="DC236">
        <f>INDEX('Data_Price '!AL$2:AL$1266,MATCH(Data!$DN236,'Data_Price '!$AT$2:$AT$1266,0))</f>
        <v/>
      </c>
      <c r="DD236">
        <f>INDEX('Data_Price '!AM$2:AM$1266,MATCH(Data!$DN236,'Data_Price '!$AT$2:$AT$1266,0))</f>
        <v/>
      </c>
      <c r="DE236">
        <f>INDEX('Data_Price '!AN$2:AN$1266,MATCH(Data!$DN236,'Data_Price '!$AT$2:$AT$1266,0))</f>
        <v/>
      </c>
      <c r="DF236">
        <f>INDEX('Data_Price '!AO$2:AO$1266,MATCH(Data!$DN236,'Data_Price '!$AT$2:$AT$1266,0))</f>
        <v/>
      </c>
      <c r="DG236">
        <f>INDEX('Data_Price '!AP$2:AP$1266,MATCH(Data!$DN236,'Data_Price '!$AT$2:$AT$1266,0))</f>
        <v/>
      </c>
      <c r="DH236">
        <f>INDEX('Data_Price '!AQ$2:AQ$1266,MATCH(Data!$DN236,'Data_Price '!$AT$2:$AT$1266,0))</f>
        <v/>
      </c>
      <c r="DI236">
        <f>INDEX('Data_Price '!AR$2:AR$1266,MATCH(Data!$DN236,'Data_Price '!$AT$2:$AT$1266,0))</f>
        <v/>
      </c>
      <c r="DJ236" s="138">
        <f>DA236</f>
        <v/>
      </c>
      <c r="DK236" s="138">
        <f>DE236</f>
        <v/>
      </c>
      <c r="DL236" s="138">
        <f>DI236</f>
        <v/>
      </c>
      <c r="DM236" s="303">
        <f>IF(LEFT(BT236,1)=" ",RIGHT(BT236,LEN(BT236)-1),BT236)</f>
        <v/>
      </c>
      <c r="DN236" s="138">
        <f>_xlfn.CONCAT(BS236,DM236,BU236,BV236)</f>
        <v/>
      </c>
      <c r="DO236" s="307" t="inlineStr">
        <is>
          <t>https://images.evo.com/imgp/250/164661/659376/black-crows-navis-freebird-skis-2022-.jpg</t>
        </is>
      </c>
    </row>
    <row r="237" ht="15.6" customHeight="1" s="184">
      <c r="B237" s="303">
        <f t="array" ref="B237">IF(OR(ISERROR(K237:P237)),FALSE,TRUE)</f>
        <v/>
      </c>
      <c r="C237" s="60">
        <f>OR(BR237=Driver!$G$50,Data!BR331=Driver!$H$50)</f>
        <v/>
      </c>
      <c r="D237" s="60">
        <f>OR(BV237=Driver!$G$51,BV237=Driver!$H$51)</f>
        <v/>
      </c>
      <c r="E237" s="60">
        <f>AND(BX237&gt;Driver!$F$54,BX237&lt;Driver!$G$54)</f>
        <v/>
      </c>
      <c r="F237" s="60">
        <f>CL237&gt;Driver!$F$56</f>
        <v/>
      </c>
      <c r="G237" s="60">
        <f>AND(CB237&gt;Driver!$F$55,CB237&lt;Driver!$G$55)</f>
        <v/>
      </c>
      <c r="H237" s="60">
        <f>AND(B237:G237)</f>
        <v/>
      </c>
      <c r="I237" s="60">
        <f>COUNTIFS($H$9:$H$1273,TRUE,$BT$9:$BT$1273,BT237)</f>
        <v/>
      </c>
      <c r="J237" s="60">
        <f t="array" ref="J237">NOT(OR(($H$9:$H$1273=TRUE)*($I$9:$I$1273&gt;0)*($BT$9:$BT$1273=BT237)*($K$9:$K$1273&gt;K237)))</f>
        <v/>
      </c>
      <c r="K237" s="108">
        <f>IFERROR(1-AVERAGE(X237:Y237),"")</f>
        <v/>
      </c>
      <c r="L237" s="108">
        <f>1-X237</f>
        <v/>
      </c>
      <c r="M237" s="108">
        <f>1-Y237</f>
        <v/>
      </c>
      <c r="N237" s="108">
        <f>1-Z237</f>
        <v/>
      </c>
      <c r="O237" s="108">
        <f>1-AA237</f>
        <v/>
      </c>
      <c r="P237" s="108">
        <f>1-AB237</f>
        <v/>
      </c>
      <c r="Q237" s="108" t="n"/>
      <c r="R237" s="108" t="n"/>
      <c r="S237" s="108">
        <f>1-AE237</f>
        <v/>
      </c>
      <c r="T237" s="108">
        <f>1-AF237</f>
        <v/>
      </c>
      <c r="U237" s="108">
        <f>1-AG237</f>
        <v/>
      </c>
      <c r="V237" s="108">
        <f>1-AH237</f>
        <v/>
      </c>
      <c r="W237" s="108">
        <f>1-AI237</f>
        <v/>
      </c>
      <c r="X237" s="108">
        <f>ABS(AJ237-AJ$1)</f>
        <v/>
      </c>
      <c r="Y237" s="108">
        <f>AVERAGE(Z237:AB237)</f>
        <v/>
      </c>
      <c r="Z237" s="108">
        <f>ABS(AL237-AL$1)</f>
        <v/>
      </c>
      <c r="AA237" s="108">
        <f>ABS(AM237-AM$1)</f>
        <v/>
      </c>
      <c r="AB237" s="108">
        <f>ABS(AN237-AN$1)</f>
        <v/>
      </c>
      <c r="AC237" s="108" t="n"/>
      <c r="AD237" s="108" t="n"/>
      <c r="AE237" s="108">
        <f>ABS(AQ$1-AQ237)</f>
        <v/>
      </c>
      <c r="AF237" s="108">
        <f>ABS(AR$1-AR237)</f>
        <v/>
      </c>
      <c r="AG237" s="108">
        <f>ABS(AS$1-AS237)</f>
        <v/>
      </c>
      <c r="AH237" s="108">
        <f>ABS(AT$1-AT237)</f>
        <v/>
      </c>
      <c r="AI237" s="108">
        <f>ABS(AU$1-AU237)</f>
        <v/>
      </c>
      <c r="AJ237" s="108">
        <f>(AV237-Driver!$K$179)/(Driver!$L$179-Driver!$K$179)</f>
        <v/>
      </c>
      <c r="AK237" s="108">
        <f>(AW237-Driver!$K$180)/(Driver!$L$180-Driver!$K$180)</f>
        <v/>
      </c>
      <c r="AL237" s="108">
        <f>(AX237-Driver!$K$181)/(Driver!$L$181-Driver!$K$181)</f>
        <v/>
      </c>
      <c r="AM237" s="108">
        <f>(AY237-Driver!$K$182)/(Driver!$L$182-Driver!$K$182)</f>
        <v/>
      </c>
      <c r="AN237" s="108">
        <f>(AZ237-Driver!$K$183)/(Driver!$L$183-Driver!$K$183)</f>
        <v/>
      </c>
      <c r="AO237" s="108" t="n"/>
      <c r="AP237" s="108" t="n"/>
      <c r="AQ237" s="108">
        <f>(BC237-Driver!$K$188)/(Driver!$L$188-Driver!$K$188)</f>
        <v/>
      </c>
      <c r="AR237" s="108">
        <f>MIN((BD237-Driver!$K$189)/(Driver!$L$189-Driver!$K$189),100%)</f>
        <v/>
      </c>
      <c r="AS237" s="108">
        <f>(BE237-Driver!$K$190)/(Driver!$L$190-Driver!$K$190)</f>
        <v/>
      </c>
      <c r="AT237" s="108">
        <f>(BF237-Driver!$K$191)/(Driver!$L$191-Driver!$K$191)</f>
        <v/>
      </c>
      <c r="AU237" s="108">
        <f>(BG237-Driver!$K$192)/(Driver!$L$192-Driver!$K$192)</f>
        <v/>
      </c>
      <c r="AV237" s="105">
        <f>IFERROR(BM237*BJ237^1/4,"")</f>
        <v/>
      </c>
      <c r="AW237" s="105">
        <f>IFERROR(SUM(AX237:AZ237),"")</f>
        <v/>
      </c>
      <c r="AX237" s="105">
        <f>IFERROR(BH237,"")</f>
        <v/>
      </c>
      <c r="AY237" s="105">
        <f>IFERROR(Driver!$K$19/Data!BH237/Data!BI237*Data!BK237*Data!BL237,"")</f>
        <v/>
      </c>
      <c r="AZ237" s="105">
        <f>IFERROR(BI237*BN237,"")</f>
        <v/>
      </c>
      <c r="BA237" s="105" t="n"/>
      <c r="BB237" s="105" t="n"/>
      <c r="BC237" s="105">
        <f>IFERROR(BI237*BN237*BK237/BJ237^(1/2),"")</f>
        <v/>
      </c>
      <c r="BD237" s="105">
        <f>IFERROR(BH237*BM237*BL237/BJ237/BK237,"")</f>
        <v/>
      </c>
      <c r="BE237" s="105">
        <f>IFERROR(MIN(BI237/BQ237/BP237/BO237/BH237,$BE$1),"")</f>
        <v/>
      </c>
      <c r="BF237" s="105">
        <f>IFERROR(BJ237*BO237*BP237/BK237,"")</f>
        <v/>
      </c>
      <c r="BG237" s="105">
        <f>IFERROR(1/BM237/BH237*BQ237,"")</f>
        <v/>
      </c>
      <c r="BH237" s="102">
        <f>MAX((CE237-Driver!$F$200)/(Driver!$G$200-Driver!$F$200)*$BI$1,1)</f>
        <v/>
      </c>
      <c r="BI237" s="102">
        <f>MAX($BI$1*(BY237-Driver!$F$201)/(Driver!$G$201-Driver!$F$201),1)</f>
        <v/>
      </c>
      <c r="BJ237" s="102">
        <f>(CB237-Driver!$F$206)/(Driver!$G$206-Driver!$F$206)*$BI$1</f>
        <v/>
      </c>
      <c r="BK237" s="102">
        <f>(CD237-Driver!$F$203)/(Driver!$G$203-Driver!$F$203)*$BI$1</f>
        <v/>
      </c>
      <c r="BL237" s="102">
        <f>MAX((CR237-Driver!$F$202)/(Driver!$G$202-Driver!$F$202)*$BI$1,1)</f>
        <v/>
      </c>
      <c r="BM237" s="102">
        <f>MAX((CH237-Driver!$F$204)/(Driver!$G$204-Driver!$F$204)*$BI$1,1)</f>
        <v/>
      </c>
      <c r="BN237" s="102">
        <f>(CI237-Driver!$F$205)/(Driver!$G$205-Driver!$F$205)*$BI$1</f>
        <v/>
      </c>
      <c r="BO237" s="102">
        <f>(CK237-Driver!$F$207)/(Driver!$G$207-Driver!$F$207)*$BI$1</f>
        <v/>
      </c>
      <c r="BP237" s="102">
        <f>(CM237-Driver!$F$208)/(Driver!$G$208-Driver!$F$208)*$BI$1</f>
        <v/>
      </c>
      <c r="BQ237" s="102">
        <f>(CL237-Driver!$F$209)/(Driver!$G$209-Driver!$F$209)*$BI$1</f>
        <v/>
      </c>
      <c r="BR237" s="40" t="inlineStr">
        <is>
          <t>21/22</t>
        </is>
      </c>
      <c r="BS237" s="10" t="inlineStr">
        <is>
          <t xml:space="preserve"> Blizzard</t>
        </is>
      </c>
      <c r="BT237" s="11" t="inlineStr">
        <is>
          <t>Zero G 95</t>
        </is>
      </c>
      <c r="BU237" s="13" t="n">
        <v>185</v>
      </c>
      <c r="BV237" s="11" t="inlineStr">
        <is>
          <t xml:space="preserve"> Unisex</t>
        </is>
      </c>
      <c r="BW237" s="13" t="n">
        <v>185</v>
      </c>
      <c r="BX237" s="13" t="n">
        <v>182.7</v>
      </c>
      <c r="BY237" s="13" t="n">
        <v>141</v>
      </c>
      <c r="BZ237" s="13" t="n">
        <v>156</v>
      </c>
      <c r="CA237" s="13" t="n">
        <v>127</v>
      </c>
      <c r="CB237" s="13" t="n">
        <v>93</v>
      </c>
      <c r="CC237" s="13" t="n">
        <v>110</v>
      </c>
      <c r="CD237" s="13" t="n">
        <v>24</v>
      </c>
      <c r="CE237" s="13" t="n">
        <v>1374</v>
      </c>
      <c r="CF237" s="13" t="n">
        <v>1.36</v>
      </c>
      <c r="CG237" s="13" t="n">
        <v>1865</v>
      </c>
      <c r="CH237" s="13" t="n">
        <v>275</v>
      </c>
      <c r="CI237" s="13" t="n">
        <v>104</v>
      </c>
      <c r="CJ237" s="13" t="n">
        <v>56</v>
      </c>
      <c r="CK237" s="13" t="n">
        <v>276</v>
      </c>
      <c r="CL237" s="13" t="n">
        <v>9</v>
      </c>
      <c r="CM237" s="13" t="n">
        <v>143</v>
      </c>
      <c r="CN237" s="13" t="n">
        <v>0.167</v>
      </c>
      <c r="CO237" s="13" t="n">
        <v>134</v>
      </c>
      <c r="CP237" s="13" t="n">
        <v>137</v>
      </c>
      <c r="CQ237" s="13" t="n">
        <v>142</v>
      </c>
      <c r="CR237" s="13" t="n">
        <v>4</v>
      </c>
      <c r="CS237" s="13" t="n">
        <v>10.8</v>
      </c>
      <c r="CT237" s="11" t="inlineStr">
        <is>
          <t xml:space="preserve"> Touring</t>
        </is>
      </c>
      <c r="CU237" s="11" t="inlineStr">
        <is>
          <t xml:space="preserve"> Ultralight Touring</t>
        </is>
      </c>
      <c r="CV237" s="13" t="n"/>
      <c r="CW237" s="13" t="n"/>
      <c r="CX237">
        <f>INDEX('Data_Price '!AG$2:AG$1266,MATCH(Data!$DN237,'Data_Price '!$AT$2:$AT$1266,0))</f>
        <v/>
      </c>
      <c r="CY237">
        <f>INDEX('Data_Price '!AH$2:AH$1266,MATCH(Data!$DN237,'Data_Price '!$AT$2:$AT$1266,0))</f>
        <v/>
      </c>
      <c r="CZ237">
        <f>INDEX('Data_Price '!AI$2:AI$1266,MATCH(Data!$DN237,'Data_Price '!$AT$2:$AT$1266,0))</f>
        <v/>
      </c>
      <c r="DA237">
        <f>INDEX('Data_Price '!AJ$2:AJ$1266,MATCH(Data!$DN237,'Data_Price '!$AT$2:$AT$1266,0))</f>
        <v/>
      </c>
      <c r="DB237">
        <f>INDEX('Data_Price '!AK$2:AK$1266,MATCH(Data!$DN237,'Data_Price '!$AT$2:$AT$1266,0))</f>
        <v/>
      </c>
      <c r="DC237">
        <f>INDEX('Data_Price '!AL$2:AL$1266,MATCH(Data!$DN237,'Data_Price '!$AT$2:$AT$1266,0))</f>
        <v/>
      </c>
      <c r="DD237">
        <f>INDEX('Data_Price '!AM$2:AM$1266,MATCH(Data!$DN237,'Data_Price '!$AT$2:$AT$1266,0))</f>
        <v/>
      </c>
      <c r="DE237">
        <f>INDEX('Data_Price '!AN$2:AN$1266,MATCH(Data!$DN237,'Data_Price '!$AT$2:$AT$1266,0))</f>
        <v/>
      </c>
      <c r="DF237">
        <f>INDEX('Data_Price '!AO$2:AO$1266,MATCH(Data!$DN237,'Data_Price '!$AT$2:$AT$1266,0))</f>
        <v/>
      </c>
      <c r="DG237">
        <f>INDEX('Data_Price '!AP$2:AP$1266,MATCH(Data!$DN237,'Data_Price '!$AT$2:$AT$1266,0))</f>
        <v/>
      </c>
      <c r="DH237">
        <f>INDEX('Data_Price '!AQ$2:AQ$1266,MATCH(Data!$DN237,'Data_Price '!$AT$2:$AT$1266,0))</f>
        <v/>
      </c>
      <c r="DI237">
        <f>INDEX('Data_Price '!AR$2:AR$1266,MATCH(Data!$DN237,'Data_Price '!$AT$2:$AT$1266,0))</f>
        <v/>
      </c>
      <c r="DJ237" s="138">
        <f>DA237</f>
        <v/>
      </c>
      <c r="DK237" s="138">
        <f>DE237</f>
        <v/>
      </c>
      <c r="DL237" s="138">
        <f>DI237</f>
        <v/>
      </c>
      <c r="DM237" s="303">
        <f>IF(LEFT(BT237,1)=" ",RIGHT(BT237,LEN(BT237)-1),BT237)</f>
        <v/>
      </c>
      <c r="DN237" s="138">
        <f>_xlfn.CONCAT(BS237,DM237,BU237,BV237)</f>
        <v/>
      </c>
      <c r="DO237" s="307" t="inlineStr">
        <is>
          <t>https://images.evo.com/imgp/250/197482/830329/blizzard-zero-g-95-skis-2022-.jpg</t>
        </is>
      </c>
    </row>
    <row r="238" ht="15.6" customHeight="1" s="184">
      <c r="B238" s="303">
        <f t="array" ref="B238">IF(OR(ISERROR(K238:P238)),FALSE,TRUE)</f>
        <v/>
      </c>
      <c r="C238" s="60">
        <f>OR(BR238=Driver!$G$50,Data!BR1124=Driver!$H$50)</f>
        <v/>
      </c>
      <c r="D238" s="60">
        <f>OR(BV238=Driver!$G$51,BV238=Driver!$H$51)</f>
        <v/>
      </c>
      <c r="E238" s="60">
        <f>AND(BX238&gt;Driver!$F$54,BX238&lt;Driver!$G$54)</f>
        <v/>
      </c>
      <c r="F238" s="60">
        <f>CL238&gt;Driver!$F$56</f>
        <v/>
      </c>
      <c r="G238" s="60">
        <f>AND(CB238&gt;Driver!$F$55,CB238&lt;Driver!$G$55)</f>
        <v/>
      </c>
      <c r="H238" s="60">
        <f>AND(B238:G238)</f>
        <v/>
      </c>
      <c r="I238" s="60">
        <f>COUNTIFS($H$9:$H$1273,TRUE,$BT$9:$BT$1273,BT238)</f>
        <v/>
      </c>
      <c r="J238" s="60">
        <f t="array" ref="J238">NOT(OR(($H$9:$H$1273=TRUE)*($I$9:$I$1273&gt;0)*($BT$9:$BT$1273=BT238)*($K$9:$K$1273&gt;K238)))</f>
        <v/>
      </c>
      <c r="K238" s="108">
        <f>IFERROR(1-AVERAGE(X238:Y238),"")</f>
        <v/>
      </c>
      <c r="L238" s="108">
        <f>1-X238</f>
        <v/>
      </c>
      <c r="M238" s="108">
        <f>1-Y238</f>
        <v/>
      </c>
      <c r="N238" s="108">
        <f>1-Z238</f>
        <v/>
      </c>
      <c r="O238" s="108">
        <f>1-AA238</f>
        <v/>
      </c>
      <c r="P238" s="108">
        <f>1-AB238</f>
        <v/>
      </c>
      <c r="Q238" s="108" t="n"/>
      <c r="R238" s="108" t="n"/>
      <c r="S238" s="108">
        <f>1-AE238</f>
        <v/>
      </c>
      <c r="T238" s="108">
        <f>1-AF238</f>
        <v/>
      </c>
      <c r="U238" s="108">
        <f>1-AG238</f>
        <v/>
      </c>
      <c r="V238" s="108">
        <f>1-AH238</f>
        <v/>
      </c>
      <c r="W238" s="108">
        <f>1-AI238</f>
        <v/>
      </c>
      <c r="X238" s="108">
        <f>ABS(AJ238-AJ$1)</f>
        <v/>
      </c>
      <c r="Y238" s="108">
        <f>AVERAGE(Z238:AB238)</f>
        <v/>
      </c>
      <c r="Z238" s="108">
        <f>ABS(AL238-AL$1)</f>
        <v/>
      </c>
      <c r="AA238" s="108">
        <f>ABS(AM238-AM$1)</f>
        <v/>
      </c>
      <c r="AB238" s="108">
        <f>ABS(AN238-AN$1)</f>
        <v/>
      </c>
      <c r="AC238" s="108" t="n"/>
      <c r="AD238" s="108" t="n"/>
      <c r="AE238" s="108">
        <f>ABS(AQ$1-AQ238)</f>
        <v/>
      </c>
      <c r="AF238" s="108">
        <f>ABS(AR$1-AR238)</f>
        <v/>
      </c>
      <c r="AG238" s="108">
        <f>ABS(AS$1-AS238)</f>
        <v/>
      </c>
      <c r="AH238" s="108">
        <f>ABS(AT$1-AT238)</f>
        <v/>
      </c>
      <c r="AI238" s="108">
        <f>ABS(AU$1-AU238)</f>
        <v/>
      </c>
      <c r="AJ238" s="108">
        <f>(AV238-Driver!$K$179)/(Driver!$L$179-Driver!$K$179)</f>
        <v/>
      </c>
      <c r="AK238" s="108">
        <f>(AW238-Driver!$K$180)/(Driver!$L$180-Driver!$K$180)</f>
        <v/>
      </c>
      <c r="AL238" s="108">
        <f>(AX238-Driver!$K$181)/(Driver!$L$181-Driver!$K$181)</f>
        <v/>
      </c>
      <c r="AM238" s="108">
        <f>(AY238-Driver!$K$182)/(Driver!$L$182-Driver!$K$182)</f>
        <v/>
      </c>
      <c r="AN238" s="108">
        <f>(AZ238-Driver!$K$183)/(Driver!$L$183-Driver!$K$183)</f>
        <v/>
      </c>
      <c r="AO238" s="108" t="n"/>
      <c r="AP238" s="108" t="n"/>
      <c r="AQ238" s="108">
        <f>(BC238-Driver!$K$188)/(Driver!$L$188-Driver!$K$188)</f>
        <v/>
      </c>
      <c r="AR238" s="108">
        <f>MIN((BD238-Driver!$K$189)/(Driver!$L$189-Driver!$K$189),100%)</f>
        <v/>
      </c>
      <c r="AS238" s="108">
        <f>(BE238-Driver!$K$190)/(Driver!$L$190-Driver!$K$190)</f>
        <v/>
      </c>
      <c r="AT238" s="108">
        <f>(BF238-Driver!$K$191)/(Driver!$L$191-Driver!$K$191)</f>
        <v/>
      </c>
      <c r="AU238" s="108">
        <f>(BG238-Driver!$K$192)/(Driver!$L$192-Driver!$K$192)</f>
        <v/>
      </c>
      <c r="AV238" s="105">
        <f>IFERROR(BM238*BJ238^1/4,"")</f>
        <v/>
      </c>
      <c r="AW238" s="105">
        <f>IFERROR(SUM(AX238:AZ238),"")</f>
        <v/>
      </c>
      <c r="AX238" s="105">
        <f>IFERROR(BH238,"")</f>
        <v/>
      </c>
      <c r="AY238" s="105">
        <f>IFERROR(Driver!$K$19/Data!BH238/Data!BI238*Data!BK238*Data!BL238,"")</f>
        <v/>
      </c>
      <c r="AZ238" s="105">
        <f>IFERROR(BI238*BN238,"")</f>
        <v/>
      </c>
      <c r="BA238" s="105" t="n"/>
      <c r="BB238" s="105" t="n"/>
      <c r="BC238" s="105">
        <f>IFERROR(BI238*BN238*BK238/BJ238^(1/2),"")</f>
        <v/>
      </c>
      <c r="BD238" s="105">
        <f>IFERROR(BH238*BM238*BL238/BJ238/BK238,"")</f>
        <v/>
      </c>
      <c r="BE238" s="105">
        <f>IFERROR(MIN(BI238/BQ238/BP238/BO238/BH238,$BE$1),"")</f>
        <v/>
      </c>
      <c r="BF238" s="105">
        <f>IFERROR(BJ238*BO238*BP238/BK238,"")</f>
        <v/>
      </c>
      <c r="BG238" s="105">
        <f>IFERROR(1/BM238/BH238*BQ238,"")</f>
        <v/>
      </c>
      <c r="BH238" s="102">
        <f>MAX((CE238-Driver!$F$200)/(Driver!$G$200-Driver!$F$200)*$BI$1,1)</f>
        <v/>
      </c>
      <c r="BI238" s="102">
        <f>MAX($BI$1*(BY238-Driver!$F$201)/(Driver!$G$201-Driver!$F$201),1)</f>
        <v/>
      </c>
      <c r="BJ238" s="102">
        <f>(CB238-Driver!$F$206)/(Driver!$G$206-Driver!$F$206)*$BI$1</f>
        <v/>
      </c>
      <c r="BK238" s="102">
        <f>(CD238-Driver!$F$203)/(Driver!$G$203-Driver!$F$203)*$BI$1</f>
        <v/>
      </c>
      <c r="BL238" s="102">
        <f>MAX((CR238-Driver!$F$202)/(Driver!$G$202-Driver!$F$202)*$BI$1,1)</f>
        <v/>
      </c>
      <c r="BM238" s="102">
        <f>MAX((CH238-Driver!$F$204)/(Driver!$G$204-Driver!$F$204)*$BI$1,1)</f>
        <v/>
      </c>
      <c r="BN238" s="102">
        <f>(CI238-Driver!$F$205)/(Driver!$G$205-Driver!$F$205)*$BI$1</f>
        <v/>
      </c>
      <c r="BO238" s="102">
        <f>(CK238-Driver!$F$207)/(Driver!$G$207-Driver!$F$207)*$BI$1</f>
        <v/>
      </c>
      <c r="BP238" s="102">
        <f>(CM238-Driver!$F$208)/(Driver!$G$208-Driver!$F$208)*$BI$1</f>
        <v/>
      </c>
      <c r="BQ238" s="102">
        <f>(CL238-Driver!$F$209)/(Driver!$G$209-Driver!$F$209)*$BI$1</f>
        <v/>
      </c>
      <c r="BR238" s="40" t="inlineStr">
        <is>
          <t>21/22</t>
        </is>
      </c>
      <c r="BS238" s="10" t="inlineStr">
        <is>
          <t xml:space="preserve"> Scott</t>
        </is>
      </c>
      <c r="BT238" s="11" t="inlineStr">
        <is>
          <t>Superguide 88</t>
        </is>
      </c>
      <c r="BU238" s="13" t="n">
        <v>178</v>
      </c>
      <c r="BV238" s="11" t="inlineStr">
        <is>
          <t xml:space="preserve"> Unisex</t>
        </is>
      </c>
      <c r="BW238" s="13" t="n">
        <v>178</v>
      </c>
      <c r="BX238" s="13" t="n">
        <v>176.9</v>
      </c>
      <c r="BY238" s="13" t="n">
        <v>136</v>
      </c>
      <c r="BZ238" s="13" t="n">
        <v>157</v>
      </c>
      <c r="CA238" s="13" t="n">
        <v>125</v>
      </c>
      <c r="CB238" s="13" t="n">
        <v>88</v>
      </c>
      <c r="CC238" s="13" t="n">
        <v>110</v>
      </c>
      <c r="CD238" s="13" t="n">
        <v>19.2</v>
      </c>
      <c r="CE238" s="13" t="n">
        <v>1470</v>
      </c>
      <c r="CF238" s="13" t="n">
        <v>1.19</v>
      </c>
      <c r="CG238" s="13" t="n">
        <v>1753</v>
      </c>
      <c r="CH238" s="13" t="n">
        <v>301</v>
      </c>
      <c r="CI238" s="13" t="n">
        <v>112</v>
      </c>
      <c r="CJ238" s="13" t="n">
        <v>55</v>
      </c>
      <c r="CK238" s="13" t="n">
        <v>272</v>
      </c>
      <c r="CL238" s="13" t="n">
        <v>18</v>
      </c>
      <c r="CM238" s="13" t="n">
        <v>139</v>
      </c>
      <c r="CN238" s="13" t="n">
        <v>0.322</v>
      </c>
      <c r="CO238" s="13" t="n">
        <v>112</v>
      </c>
      <c r="CP238" s="13" t="n">
        <v>87</v>
      </c>
      <c r="CQ238" s="13" t="n">
        <v>159</v>
      </c>
      <c r="CR238" s="13" t="n">
        <v>5</v>
      </c>
      <c r="CS238" s="13" t="n">
        <v>10.8</v>
      </c>
      <c r="CT238" s="11" t="inlineStr">
        <is>
          <t xml:space="preserve"> Resort Freeride</t>
        </is>
      </c>
      <c r="CU238" s="11" t="inlineStr">
        <is>
          <t xml:space="preserve"> Touring</t>
        </is>
      </c>
      <c r="CV238" s="13" t="n"/>
      <c r="CW238" s="13" t="n"/>
      <c r="CX238">
        <f>INDEX('Data_Price '!AG$2:AG$1266,MATCH(Data!$DN238,'Data_Price '!$AT$2:$AT$1266,0))</f>
        <v/>
      </c>
      <c r="CY238">
        <f>INDEX('Data_Price '!AH$2:AH$1266,MATCH(Data!$DN238,'Data_Price '!$AT$2:$AT$1266,0))</f>
        <v/>
      </c>
      <c r="CZ238">
        <f>INDEX('Data_Price '!AI$2:AI$1266,MATCH(Data!$DN238,'Data_Price '!$AT$2:$AT$1266,0))</f>
        <v/>
      </c>
      <c r="DA238">
        <f>INDEX('Data_Price '!AJ$2:AJ$1266,MATCH(Data!$DN238,'Data_Price '!$AT$2:$AT$1266,0))</f>
        <v/>
      </c>
      <c r="DB238">
        <f>INDEX('Data_Price '!AK$2:AK$1266,MATCH(Data!$DN238,'Data_Price '!$AT$2:$AT$1266,0))</f>
        <v/>
      </c>
      <c r="DC238">
        <f>INDEX('Data_Price '!AL$2:AL$1266,MATCH(Data!$DN238,'Data_Price '!$AT$2:$AT$1266,0))</f>
        <v/>
      </c>
      <c r="DD238">
        <f>INDEX('Data_Price '!AM$2:AM$1266,MATCH(Data!$DN238,'Data_Price '!$AT$2:$AT$1266,0))</f>
        <v/>
      </c>
      <c r="DE238">
        <f>INDEX('Data_Price '!AN$2:AN$1266,MATCH(Data!$DN238,'Data_Price '!$AT$2:$AT$1266,0))</f>
        <v/>
      </c>
      <c r="DF238">
        <f>INDEX('Data_Price '!AO$2:AO$1266,MATCH(Data!$DN238,'Data_Price '!$AT$2:$AT$1266,0))</f>
        <v/>
      </c>
      <c r="DG238">
        <f>INDEX('Data_Price '!AP$2:AP$1266,MATCH(Data!$DN238,'Data_Price '!$AT$2:$AT$1266,0))</f>
        <v/>
      </c>
      <c r="DH238">
        <f>INDEX('Data_Price '!AQ$2:AQ$1266,MATCH(Data!$DN238,'Data_Price '!$AT$2:$AT$1266,0))</f>
        <v/>
      </c>
      <c r="DI238">
        <f>INDEX('Data_Price '!AR$2:AR$1266,MATCH(Data!$DN238,'Data_Price '!$AT$2:$AT$1266,0))</f>
        <v/>
      </c>
      <c r="DJ238" s="138">
        <f>DA238</f>
        <v/>
      </c>
      <c r="DK238" s="138">
        <f>DE238</f>
        <v/>
      </c>
      <c r="DL238" s="138">
        <f>DI238</f>
        <v/>
      </c>
      <c r="DM238" s="303">
        <f>IF(LEFT(BT238,1)=" ",RIGHT(BT238,LEN(BT238)-1),BT238)</f>
        <v/>
      </c>
      <c r="DN238" s="138">
        <f>_xlfn.CONCAT(BS238,DM238,BU238,BV238)</f>
        <v/>
      </c>
      <c r="DO238" s="307" t="n"/>
    </row>
    <row r="239" ht="15.6" customHeight="1" s="184">
      <c r="B239" s="303">
        <f t="array" ref="B239">IF(OR(ISERROR(K239:P239)),FALSE,TRUE)</f>
        <v/>
      </c>
      <c r="C239" s="60">
        <f>OR(BR239=Driver!$G$50,Data!BR859=Driver!$H$50)</f>
        <v/>
      </c>
      <c r="D239" s="60">
        <f>OR(BV239=Driver!$G$51,BV239=Driver!$H$51)</f>
        <v/>
      </c>
      <c r="E239" s="60">
        <f>AND(BX239&gt;Driver!$F$54,BX239&lt;Driver!$G$54)</f>
        <v/>
      </c>
      <c r="F239" s="60">
        <f>CL239&gt;Driver!$F$56</f>
        <v/>
      </c>
      <c r="G239" s="60">
        <f>AND(CB239&gt;Driver!$F$55,CB239&lt;Driver!$G$55)</f>
        <v/>
      </c>
      <c r="H239" s="60">
        <f>AND(B239:G239)</f>
        <v/>
      </c>
      <c r="I239" s="60">
        <f>COUNTIFS($H$9:$H$1273,TRUE,$BT$9:$BT$1273,BT239)</f>
        <v/>
      </c>
      <c r="J239" s="60">
        <f t="array" ref="J239">NOT(OR(($H$9:$H$1273=TRUE)*($I$9:$I$1273&gt;0)*($BT$9:$BT$1273=BT239)*($K$9:$K$1273&gt;K239)))</f>
        <v/>
      </c>
      <c r="K239" s="108">
        <f>IFERROR(1-AVERAGE(X239:Y239),"")</f>
        <v/>
      </c>
      <c r="L239" s="108">
        <f>1-X239</f>
        <v/>
      </c>
      <c r="M239" s="108">
        <f>1-Y239</f>
        <v/>
      </c>
      <c r="N239" s="108">
        <f>1-Z239</f>
        <v/>
      </c>
      <c r="O239" s="108">
        <f>1-AA239</f>
        <v/>
      </c>
      <c r="P239" s="108">
        <f>1-AB239</f>
        <v/>
      </c>
      <c r="Q239" s="108" t="n"/>
      <c r="R239" s="108" t="n"/>
      <c r="S239" s="108">
        <f>1-AE239</f>
        <v/>
      </c>
      <c r="T239" s="108">
        <f>1-AF239</f>
        <v/>
      </c>
      <c r="U239" s="108">
        <f>1-AG239</f>
        <v/>
      </c>
      <c r="V239" s="108">
        <f>1-AH239</f>
        <v/>
      </c>
      <c r="W239" s="108">
        <f>1-AI239</f>
        <v/>
      </c>
      <c r="X239" s="108">
        <f>ABS(AJ239-AJ$1)</f>
        <v/>
      </c>
      <c r="Y239" s="108">
        <f>AVERAGE(Z239:AB239)</f>
        <v/>
      </c>
      <c r="Z239" s="108">
        <f>ABS(AL239-AL$1)</f>
        <v/>
      </c>
      <c r="AA239" s="108">
        <f>ABS(AM239-AM$1)</f>
        <v/>
      </c>
      <c r="AB239" s="108">
        <f>ABS(AN239-AN$1)</f>
        <v/>
      </c>
      <c r="AC239" s="108" t="n"/>
      <c r="AD239" s="108" t="n"/>
      <c r="AE239" s="108">
        <f>ABS(AQ$1-AQ239)</f>
        <v/>
      </c>
      <c r="AF239" s="108">
        <f>ABS(AR$1-AR239)</f>
        <v/>
      </c>
      <c r="AG239" s="108">
        <f>ABS(AS$1-AS239)</f>
        <v/>
      </c>
      <c r="AH239" s="108">
        <f>ABS(AT$1-AT239)</f>
        <v/>
      </c>
      <c r="AI239" s="108">
        <f>ABS(AU$1-AU239)</f>
        <v/>
      </c>
      <c r="AJ239" s="108">
        <f>(AV239-Driver!$K$179)/(Driver!$L$179-Driver!$K$179)</f>
        <v/>
      </c>
      <c r="AK239" s="108">
        <f>(AW239-Driver!$K$180)/(Driver!$L$180-Driver!$K$180)</f>
        <v/>
      </c>
      <c r="AL239" s="108">
        <f>(AX239-Driver!$K$181)/(Driver!$L$181-Driver!$K$181)</f>
        <v/>
      </c>
      <c r="AM239" s="108">
        <f>(AY239-Driver!$K$182)/(Driver!$L$182-Driver!$K$182)</f>
        <v/>
      </c>
      <c r="AN239" s="108">
        <f>(AZ239-Driver!$K$183)/(Driver!$L$183-Driver!$K$183)</f>
        <v/>
      </c>
      <c r="AO239" s="108" t="n"/>
      <c r="AP239" s="108" t="n"/>
      <c r="AQ239" s="108">
        <f>(BC239-Driver!$K$188)/(Driver!$L$188-Driver!$K$188)</f>
        <v/>
      </c>
      <c r="AR239" s="108">
        <f>MIN((BD239-Driver!$K$189)/(Driver!$L$189-Driver!$K$189),100%)</f>
        <v/>
      </c>
      <c r="AS239" s="108">
        <f>(BE239-Driver!$K$190)/(Driver!$L$190-Driver!$K$190)</f>
        <v/>
      </c>
      <c r="AT239" s="108">
        <f>(BF239-Driver!$K$191)/(Driver!$L$191-Driver!$K$191)</f>
        <v/>
      </c>
      <c r="AU239" s="108">
        <f>(BG239-Driver!$K$192)/(Driver!$L$192-Driver!$K$192)</f>
        <v/>
      </c>
      <c r="AV239" s="105">
        <f>IFERROR(BM239*BJ239^1/4,"")</f>
        <v/>
      </c>
      <c r="AW239" s="105">
        <f>IFERROR(SUM(AX239:AZ239),"")</f>
        <v/>
      </c>
      <c r="AX239" s="105">
        <f>IFERROR(BH239,"")</f>
        <v/>
      </c>
      <c r="AY239" s="105">
        <f>IFERROR(Driver!$K$19/Data!BH239/Data!BI239*Data!BK239*Data!BL239,"")</f>
        <v/>
      </c>
      <c r="AZ239" s="105">
        <f>IFERROR(BI239*BN239,"")</f>
        <v/>
      </c>
      <c r="BA239" s="105" t="n"/>
      <c r="BB239" s="105" t="n"/>
      <c r="BC239" s="105">
        <f>IFERROR(BI239*BN239*BK239/BJ239^(1/2),"")</f>
        <v/>
      </c>
      <c r="BD239" s="105">
        <f>IFERROR(BH239*BM239*BL239/BJ239/BK239,"")</f>
        <v/>
      </c>
      <c r="BE239" s="105">
        <f>IFERROR(MIN(BI239/BQ239/BP239/BO239/BH239,$BE$1),"")</f>
        <v/>
      </c>
      <c r="BF239" s="105">
        <f>IFERROR(BJ239*BO239*BP239/BK239,"")</f>
        <v/>
      </c>
      <c r="BG239" s="105">
        <f>IFERROR(1/BM239/BH239*BQ239,"")</f>
        <v/>
      </c>
      <c r="BH239" s="102">
        <f>MAX((CE239-Driver!$F$200)/(Driver!$G$200-Driver!$F$200)*$BI$1,1)</f>
        <v/>
      </c>
      <c r="BI239" s="102">
        <f>MAX($BI$1*(BY239-Driver!$F$201)/(Driver!$G$201-Driver!$F$201),1)</f>
        <v/>
      </c>
      <c r="BJ239" s="102">
        <f>(CB239-Driver!$F$206)/(Driver!$G$206-Driver!$F$206)*$BI$1</f>
        <v/>
      </c>
      <c r="BK239" s="102">
        <f>(CD239-Driver!$F$203)/(Driver!$G$203-Driver!$F$203)*$BI$1</f>
        <v/>
      </c>
      <c r="BL239" s="102">
        <f>MAX((CR239-Driver!$F$202)/(Driver!$G$202-Driver!$F$202)*$BI$1,1)</f>
        <v/>
      </c>
      <c r="BM239" s="102">
        <f>MAX((CH239-Driver!$F$204)/(Driver!$G$204-Driver!$F$204)*$BI$1,1)</f>
        <v/>
      </c>
      <c r="BN239" s="102">
        <f>(CI239-Driver!$F$205)/(Driver!$G$205-Driver!$F$205)*$BI$1</f>
        <v/>
      </c>
      <c r="BO239" s="102">
        <f>(CK239-Driver!$F$207)/(Driver!$G$207-Driver!$F$207)*$BI$1</f>
        <v/>
      </c>
      <c r="BP239" s="102">
        <f>(CM239-Driver!$F$208)/(Driver!$G$208-Driver!$F$208)*$BI$1</f>
        <v/>
      </c>
      <c r="BQ239" s="102">
        <f>(CL239-Driver!$F$209)/(Driver!$G$209-Driver!$F$209)*$BI$1</f>
        <v/>
      </c>
      <c r="BR239" s="40" t="inlineStr">
        <is>
          <t>21/22</t>
        </is>
      </c>
      <c r="BS239" s="10" t="inlineStr">
        <is>
          <t xml:space="preserve"> Line</t>
        </is>
      </c>
      <c r="BT239" s="11" t="inlineStr">
        <is>
          <t xml:space="preserve"> Sakana</t>
        </is>
      </c>
      <c r="BU239" s="13" t="n">
        <v>181</v>
      </c>
      <c r="BV239" s="11" t="inlineStr">
        <is>
          <t xml:space="preserve"> Unisex</t>
        </is>
      </c>
      <c r="BW239" s="13" t="n">
        <v>181</v>
      </c>
      <c r="BX239" s="13" t="n">
        <v>180.9</v>
      </c>
      <c r="BY239" s="13" t="n">
        <v>130</v>
      </c>
      <c r="BZ239" s="13" t="n">
        <v>160</v>
      </c>
      <c r="CA239" s="13" t="n">
        <v>149</v>
      </c>
      <c r="CB239" s="13" t="n">
        <v>104</v>
      </c>
      <c r="CC239" s="13" t="n">
        <v>136</v>
      </c>
      <c r="CD239" s="13" t="n">
        <v>16.2</v>
      </c>
      <c r="CE239" s="13" t="n">
        <v>1801</v>
      </c>
      <c r="CF239" s="13" t="n">
        <v>1.19</v>
      </c>
      <c r="CG239" s="13" t="n">
        <v>2142</v>
      </c>
      <c r="CH239" s="13" t="n">
        <v>168</v>
      </c>
      <c r="CI239" s="13" t="n">
        <v>92</v>
      </c>
      <c r="CJ239" s="13" t="n">
        <v>45</v>
      </c>
      <c r="CK239" s="13" t="n">
        <v>382</v>
      </c>
      <c r="CL239" s="13" t="n">
        <v>14</v>
      </c>
      <c r="CM239" s="13" t="n">
        <v>130</v>
      </c>
      <c r="CN239" s="13" t="n">
        <v>0.301</v>
      </c>
      <c r="CO239" s="13" t="n">
        <v>164</v>
      </c>
      <c r="CP239" s="13" t="n">
        <v>40</v>
      </c>
      <c r="CQ239" s="13" t="n">
        <v>218</v>
      </c>
      <c r="CR239" s="13" t="n">
        <v>6</v>
      </c>
      <c r="CS239" s="13" t="n">
        <v>11.2</v>
      </c>
      <c r="CT239" s="11" t="inlineStr">
        <is>
          <t xml:space="preserve"> Resort Freeride</t>
        </is>
      </c>
      <c r="CU239" s="11" t="inlineStr">
        <is>
          <t xml:space="preserve"> Big Mountain</t>
        </is>
      </c>
      <c r="CV239" s="11" t="inlineStr">
        <is>
          <t xml:space="preserve"> Touring</t>
        </is>
      </c>
      <c r="CW239" s="13" t="n"/>
      <c r="CX239">
        <f>INDEX('Data_Price '!AG$2:AG$1266,MATCH(Data!$DN239,'Data_Price '!$AT$2:$AT$1266,0))</f>
        <v/>
      </c>
      <c r="CY239">
        <f>INDEX('Data_Price '!AH$2:AH$1266,MATCH(Data!$DN239,'Data_Price '!$AT$2:$AT$1266,0))</f>
        <v/>
      </c>
      <c r="CZ239">
        <f>INDEX('Data_Price '!AI$2:AI$1266,MATCH(Data!$DN239,'Data_Price '!$AT$2:$AT$1266,0))</f>
        <v/>
      </c>
      <c r="DA239">
        <f>INDEX('Data_Price '!AJ$2:AJ$1266,MATCH(Data!$DN239,'Data_Price '!$AT$2:$AT$1266,0))</f>
        <v/>
      </c>
      <c r="DB239">
        <f>INDEX('Data_Price '!AK$2:AK$1266,MATCH(Data!$DN239,'Data_Price '!$AT$2:$AT$1266,0))</f>
        <v/>
      </c>
      <c r="DC239">
        <f>INDEX('Data_Price '!AL$2:AL$1266,MATCH(Data!$DN239,'Data_Price '!$AT$2:$AT$1266,0))</f>
        <v/>
      </c>
      <c r="DD239">
        <f>INDEX('Data_Price '!AM$2:AM$1266,MATCH(Data!$DN239,'Data_Price '!$AT$2:$AT$1266,0))</f>
        <v/>
      </c>
      <c r="DE239">
        <f>INDEX('Data_Price '!AN$2:AN$1266,MATCH(Data!$DN239,'Data_Price '!$AT$2:$AT$1266,0))</f>
        <v/>
      </c>
      <c r="DF239">
        <f>INDEX('Data_Price '!AO$2:AO$1266,MATCH(Data!$DN239,'Data_Price '!$AT$2:$AT$1266,0))</f>
        <v/>
      </c>
      <c r="DG239">
        <f>INDEX('Data_Price '!AP$2:AP$1266,MATCH(Data!$DN239,'Data_Price '!$AT$2:$AT$1266,0))</f>
        <v/>
      </c>
      <c r="DH239">
        <f>INDEX('Data_Price '!AQ$2:AQ$1266,MATCH(Data!$DN239,'Data_Price '!$AT$2:$AT$1266,0))</f>
        <v/>
      </c>
      <c r="DI239">
        <f>INDEX('Data_Price '!AR$2:AR$1266,MATCH(Data!$DN239,'Data_Price '!$AT$2:$AT$1266,0))</f>
        <v/>
      </c>
      <c r="DJ239" s="138">
        <f>DA239</f>
        <v/>
      </c>
      <c r="DK239" s="138">
        <f>DE239</f>
        <v/>
      </c>
      <c r="DL239" s="138">
        <f>DI239</f>
        <v/>
      </c>
      <c r="DM239" s="303">
        <f>IF(LEFT(BT239,1)=" ",RIGHT(BT239,LEN(BT239)-1),BT239)</f>
        <v/>
      </c>
      <c r="DN239" s="138">
        <f>_xlfn.CONCAT(BS239,DM239,BU239,BV239)</f>
        <v/>
      </c>
      <c r="DO239" s="307" t="inlineStr">
        <is>
          <t>https://images.evo.com/imgp/250/198434/817640/clone.jpg</t>
        </is>
      </c>
    </row>
    <row r="240" ht="15.6" customHeight="1" s="184">
      <c r="A240" s="303">
        <f>ROW()</f>
        <v/>
      </c>
      <c r="B240" s="303">
        <f t="array" ref="B240">IF(OR(ISERROR(K240:P240)),FALSE,TRUE)</f>
        <v/>
      </c>
      <c r="C240" s="60">
        <f>OR(BR240=Driver!$G$50,Data!BR933=Driver!$H$50)</f>
        <v/>
      </c>
      <c r="D240" s="60">
        <f>OR(BV240=Driver!$G$51,BV240=Driver!$H$51)</f>
        <v/>
      </c>
      <c r="E240" s="60">
        <f>AND(BX240&gt;Driver!$F$54,BX240&lt;Driver!$G$54)</f>
        <v/>
      </c>
      <c r="F240" s="60">
        <f>CL240&gt;Driver!$F$56</f>
        <v/>
      </c>
      <c r="G240" s="60">
        <f>AND(CB240&gt;Driver!$F$55,CB240&lt;Driver!$G$55)</f>
        <v/>
      </c>
      <c r="H240" s="60">
        <f>AND(B240:G240)</f>
        <v/>
      </c>
      <c r="I240" s="60">
        <f>COUNTIFS($H$9:$H$1273,TRUE,$BT$9:$BT$1273,BT240)</f>
        <v/>
      </c>
      <c r="J240" s="60">
        <f t="array" ref="J240">NOT(OR(($H$9:$H$1273=TRUE)*($I$9:$I$1273&gt;0)*($BT$9:$BT$1273=BT240)*($K$9:$K$1273&gt;K240)))</f>
        <v/>
      </c>
      <c r="K240" s="108">
        <f>IFERROR(1-AVERAGE(X240:Y240),"")</f>
        <v/>
      </c>
      <c r="L240" s="108">
        <f>1-X240</f>
        <v/>
      </c>
      <c r="M240" s="108">
        <f>1-Y240</f>
        <v/>
      </c>
      <c r="N240" s="108">
        <f>1-Z240</f>
        <v/>
      </c>
      <c r="O240" s="108">
        <f>1-AA240</f>
        <v/>
      </c>
      <c r="P240" s="108">
        <f>1-AB240</f>
        <v/>
      </c>
      <c r="Q240" s="108" t="n"/>
      <c r="R240" s="108" t="n"/>
      <c r="S240" s="108">
        <f>1-AE240</f>
        <v/>
      </c>
      <c r="T240" s="108">
        <f>1-AF240</f>
        <v/>
      </c>
      <c r="U240" s="108">
        <f>1-AG240</f>
        <v/>
      </c>
      <c r="V240" s="108">
        <f>1-AH240</f>
        <v/>
      </c>
      <c r="W240" s="108">
        <f>1-AI240</f>
        <v/>
      </c>
      <c r="X240" s="108">
        <f>ABS(AJ240-AJ$1)</f>
        <v/>
      </c>
      <c r="Y240" s="108">
        <f>AVERAGE(Z240:AB240)</f>
        <v/>
      </c>
      <c r="Z240" s="108">
        <f>ABS(AL240-AL$1)</f>
        <v/>
      </c>
      <c r="AA240" s="108">
        <f>ABS(AM240-AM$1)</f>
        <v/>
      </c>
      <c r="AB240" s="108">
        <f>ABS(AN240-AN$1)</f>
        <v/>
      </c>
      <c r="AC240" s="108" t="n"/>
      <c r="AD240" s="108" t="n"/>
      <c r="AE240" s="108">
        <f>ABS(AQ$1-AQ240)</f>
        <v/>
      </c>
      <c r="AF240" s="108">
        <f>ABS(AR$1-AR240)</f>
        <v/>
      </c>
      <c r="AG240" s="108">
        <f>ABS(AS$1-AS240)</f>
        <v/>
      </c>
      <c r="AH240" s="108">
        <f>ABS(AT$1-AT240)</f>
        <v/>
      </c>
      <c r="AI240" s="108">
        <f>ABS(AU$1-AU240)</f>
        <v/>
      </c>
      <c r="AJ240" s="108">
        <f>(AV240-Driver!$K$179)/(Driver!$L$179-Driver!$K$179)</f>
        <v/>
      </c>
      <c r="AK240" s="108">
        <f>(AW240-Driver!$K$180)/(Driver!$L$180-Driver!$K$180)</f>
        <v/>
      </c>
      <c r="AL240" s="108">
        <f>(AX240-Driver!$K$181)/(Driver!$L$181-Driver!$K$181)</f>
        <v/>
      </c>
      <c r="AM240" s="108">
        <f>(AY240-Driver!$K$182)/(Driver!$L$182-Driver!$K$182)</f>
        <v/>
      </c>
      <c r="AN240" s="108">
        <f>(AZ240-Driver!$K$183)/(Driver!$L$183-Driver!$K$183)</f>
        <v/>
      </c>
      <c r="AO240" s="108" t="n"/>
      <c r="AP240" s="108" t="n"/>
      <c r="AQ240" s="108">
        <f>(BC240-Driver!$K$188)/(Driver!$L$188-Driver!$K$188)</f>
        <v/>
      </c>
      <c r="AR240" s="108">
        <f>MIN((BD240-Driver!$K$189)/(Driver!$L$189-Driver!$K$189),100%)</f>
        <v/>
      </c>
      <c r="AS240" s="108">
        <f>(BE240-Driver!$K$190)/(Driver!$L$190-Driver!$K$190)</f>
        <v/>
      </c>
      <c r="AT240" s="108">
        <f>(BF240-Driver!$K$191)/(Driver!$L$191-Driver!$K$191)</f>
        <v/>
      </c>
      <c r="AU240" s="108">
        <f>(BG240-Driver!$K$192)/(Driver!$L$192-Driver!$K$192)</f>
        <v/>
      </c>
      <c r="AV240" s="105">
        <f>IFERROR(BM240*BJ240^1/4,"")</f>
        <v/>
      </c>
      <c r="AW240" s="105">
        <f>IFERROR(SUM(AX240:AZ240),"")</f>
        <v/>
      </c>
      <c r="AX240" s="105">
        <f>IFERROR(BH240,"")</f>
        <v/>
      </c>
      <c r="AY240" s="105">
        <f>IFERROR(Driver!$K$19/Data!BH240/Data!BI240*Data!BK240*Data!BL240,"")</f>
        <v/>
      </c>
      <c r="AZ240" s="105">
        <f>IFERROR(BI240*BN240,"")</f>
        <v/>
      </c>
      <c r="BA240" s="105" t="n"/>
      <c r="BB240" s="105" t="n"/>
      <c r="BC240" s="105">
        <f>IFERROR(BI240*BN240*BK240/BJ240^(1/2),"")</f>
        <v/>
      </c>
      <c r="BD240" s="105">
        <f>IFERROR(BH240*BM240*BL240/BJ240/BK240,"")</f>
        <v/>
      </c>
      <c r="BE240" s="105">
        <f>IFERROR(MIN(BI240/BQ240/BP240/BO240/BH240,$BE$1),"")</f>
        <v/>
      </c>
      <c r="BF240" s="105">
        <f>IFERROR(BJ240*BO240*BP240/BK240,"")</f>
        <v/>
      </c>
      <c r="BG240" s="105">
        <f>IFERROR(1/BM240/BH240*BQ240,"")</f>
        <v/>
      </c>
      <c r="BH240" s="102">
        <f>MAX((CE240-Driver!$F$200)/(Driver!$G$200-Driver!$F$200)*$BI$1,1)</f>
        <v/>
      </c>
      <c r="BI240" s="102">
        <f>MAX($BI$1*(BY240-Driver!$F$201)/(Driver!$G$201-Driver!$F$201),1)</f>
        <v/>
      </c>
      <c r="BJ240" s="102">
        <f>(CB240-Driver!$F$206)/(Driver!$G$206-Driver!$F$206)*$BI$1</f>
        <v/>
      </c>
      <c r="BK240" s="102">
        <f>(CD240-Driver!$F$203)/(Driver!$G$203-Driver!$F$203)*$BI$1</f>
        <v/>
      </c>
      <c r="BL240" s="102">
        <f>MAX((CR240-Driver!$F$202)/(Driver!$G$202-Driver!$F$202)*$BI$1,1)</f>
        <v/>
      </c>
      <c r="BM240" s="102">
        <f>MAX((CH240-Driver!$F$204)/(Driver!$G$204-Driver!$F$204)*$BI$1,1)</f>
        <v/>
      </c>
      <c r="BN240" s="102">
        <f>(CI240-Driver!$F$205)/(Driver!$G$205-Driver!$F$205)*$BI$1</f>
        <v/>
      </c>
      <c r="BO240" s="102">
        <f>(CK240-Driver!$F$207)/(Driver!$G$207-Driver!$F$207)*$BI$1</f>
        <v/>
      </c>
      <c r="BP240" s="102">
        <f>(CM240-Driver!$F$208)/(Driver!$G$208-Driver!$F$208)*$BI$1</f>
        <v/>
      </c>
      <c r="BQ240" s="102">
        <f>(CL240-Driver!$F$209)/(Driver!$G$209-Driver!$F$209)*$BI$1</f>
        <v/>
      </c>
      <c r="BR240" s="40" t="inlineStr">
        <is>
          <t>21/22</t>
        </is>
      </c>
      <c r="BS240" s="10" t="inlineStr">
        <is>
          <t xml:space="preserve"> Nordica</t>
        </is>
      </c>
      <c r="BT240" s="11" t="inlineStr">
        <is>
          <t>Soul Rider 84</t>
        </is>
      </c>
      <c r="BU240" s="13" t="n">
        <v>163</v>
      </c>
      <c r="BV240" s="11" t="inlineStr">
        <is>
          <t xml:space="preserve"> Unisex</t>
        </is>
      </c>
      <c r="BW240" s="13" t="n">
        <v>163</v>
      </c>
      <c r="BX240" s="13" t="n">
        <v>161.4</v>
      </c>
      <c r="BY240" s="13" t="n">
        <v>132</v>
      </c>
      <c r="BZ240" s="13" t="n">
        <v>145</v>
      </c>
      <c r="CA240" s="13" t="n">
        <v>120</v>
      </c>
      <c r="CB240" s="13" t="n">
        <v>83</v>
      </c>
      <c r="CC240" s="13" t="n">
        <v>109</v>
      </c>
      <c r="CD240" s="13" t="n">
        <v>16</v>
      </c>
      <c r="CE240" s="13" t="n">
        <v>1565</v>
      </c>
      <c r="CF240" s="13" t="n">
        <v>0.98</v>
      </c>
      <c r="CG240" s="13" t="n">
        <v>1527</v>
      </c>
      <c r="CH240" s="13" t="n">
        <v>160</v>
      </c>
      <c r="CI240" s="13" t="n">
        <v>86</v>
      </c>
      <c r="CJ240" s="13" t="n">
        <v>45</v>
      </c>
      <c r="CK240" s="13" t="n">
        <v>152</v>
      </c>
      <c r="CL240" s="13" t="n">
        <v>39</v>
      </c>
      <c r="CM240" s="13" t="n">
        <v>140</v>
      </c>
      <c r="CN240" s="13" t="n">
        <v>0.866</v>
      </c>
      <c r="CO240" s="13" t="n">
        <v>90</v>
      </c>
      <c r="CP240" s="13" t="n">
        <v>76</v>
      </c>
      <c r="CQ240" s="13" t="n">
        <v>62</v>
      </c>
      <c r="CR240" s="13" t="n">
        <v>9</v>
      </c>
      <c r="CS240" s="13" t="n">
        <v>9.300000000000001</v>
      </c>
      <c r="CT240" s="11" t="inlineStr">
        <is>
          <t xml:space="preserve"> Freeski</t>
        </is>
      </c>
      <c r="CU240" s="13" t="n"/>
      <c r="CV240" s="13" t="n"/>
      <c r="CW240" s="13" t="n"/>
      <c r="CX240">
        <f>INDEX('Data_Price '!AG$2:AG$1266,MATCH(Data!$DN240,'Data_Price '!$AT$2:$AT$1266,0))</f>
        <v/>
      </c>
      <c r="CY240">
        <f>INDEX('Data_Price '!AH$2:AH$1266,MATCH(Data!$DN240,'Data_Price '!$AT$2:$AT$1266,0))</f>
        <v/>
      </c>
      <c r="CZ240">
        <f>INDEX('Data_Price '!AI$2:AI$1266,MATCH(Data!$DN240,'Data_Price '!$AT$2:$AT$1266,0))</f>
        <v/>
      </c>
      <c r="DA240">
        <f>INDEX('Data_Price '!AJ$2:AJ$1266,MATCH(Data!$DN240,'Data_Price '!$AT$2:$AT$1266,0))</f>
        <v/>
      </c>
      <c r="DB240">
        <f>INDEX('Data_Price '!AK$2:AK$1266,MATCH(Data!$DN240,'Data_Price '!$AT$2:$AT$1266,0))</f>
        <v/>
      </c>
      <c r="DC240">
        <f>INDEX('Data_Price '!AL$2:AL$1266,MATCH(Data!$DN240,'Data_Price '!$AT$2:$AT$1266,0))</f>
        <v/>
      </c>
      <c r="DD240">
        <f>INDEX('Data_Price '!AM$2:AM$1266,MATCH(Data!$DN240,'Data_Price '!$AT$2:$AT$1266,0))</f>
        <v/>
      </c>
      <c r="DE240">
        <f>INDEX('Data_Price '!AN$2:AN$1266,MATCH(Data!$DN240,'Data_Price '!$AT$2:$AT$1266,0))</f>
        <v/>
      </c>
      <c r="DF240">
        <f>INDEX('Data_Price '!AO$2:AO$1266,MATCH(Data!$DN240,'Data_Price '!$AT$2:$AT$1266,0))</f>
        <v/>
      </c>
      <c r="DG240">
        <f>INDEX('Data_Price '!AP$2:AP$1266,MATCH(Data!$DN240,'Data_Price '!$AT$2:$AT$1266,0))</f>
        <v/>
      </c>
      <c r="DH240">
        <f>INDEX('Data_Price '!AQ$2:AQ$1266,MATCH(Data!$DN240,'Data_Price '!$AT$2:$AT$1266,0))</f>
        <v/>
      </c>
      <c r="DI240">
        <f>INDEX('Data_Price '!AR$2:AR$1266,MATCH(Data!$DN240,'Data_Price '!$AT$2:$AT$1266,0))</f>
        <v/>
      </c>
      <c r="DJ240" s="138">
        <f>DA240</f>
        <v/>
      </c>
      <c r="DK240" s="138">
        <f>DE240</f>
        <v/>
      </c>
      <c r="DL240" s="138">
        <f>DI240</f>
        <v/>
      </c>
      <c r="DM240" s="303">
        <f>IF(LEFT(BT240,1)=" ",RIGHT(BT240,LEN(BT240)-1),BT240)</f>
        <v/>
      </c>
      <c r="DN240" s="138">
        <f>_xlfn.CONCAT(BS240,DM240,BU240,BV240)</f>
        <v/>
      </c>
      <c r="DO240" s="307" t="n"/>
    </row>
    <row r="241" ht="15.6" customHeight="1" s="184">
      <c r="B241" s="303">
        <f t="array" ref="B241">IF(OR(ISERROR(K241:P241)),FALSE,TRUE)</f>
        <v/>
      </c>
      <c r="C241" s="60">
        <f>OR(BR241=Driver!$G$50,Data!BR520=Driver!$H$50)</f>
        <v/>
      </c>
      <c r="D241" s="60">
        <f>OR(BV241=Driver!$G$51,BV241=Driver!$H$51)</f>
        <v/>
      </c>
      <c r="E241" s="60">
        <f>AND(BX241&gt;Driver!$F$54,BX241&lt;Driver!$G$54)</f>
        <v/>
      </c>
      <c r="F241" s="60">
        <f>CL241&gt;Driver!$F$56</f>
        <v/>
      </c>
      <c r="G241" s="60">
        <f>AND(CB241&gt;Driver!$F$55,CB241&lt;Driver!$G$55)</f>
        <v/>
      </c>
      <c r="H241" s="60">
        <f>AND(B241:G241)</f>
        <v/>
      </c>
      <c r="I241" s="60">
        <f>COUNTIFS($H$9:$H$1273,TRUE,$BT$9:$BT$1273,BT241)</f>
        <v/>
      </c>
      <c r="J241" s="60">
        <f t="array" ref="J241">NOT(OR(($H$9:$H$1273=TRUE)*($I$9:$I$1273&gt;0)*($BT$9:$BT$1273=BT241)*($K$9:$K$1273&gt;K241)))</f>
        <v/>
      </c>
      <c r="K241" s="108">
        <f>IFERROR(1-AVERAGE(X241:Y241),"")</f>
        <v/>
      </c>
      <c r="L241" s="108">
        <f>1-X241</f>
        <v/>
      </c>
      <c r="M241" s="108">
        <f>1-Y241</f>
        <v/>
      </c>
      <c r="N241" s="108">
        <f>1-Z241</f>
        <v/>
      </c>
      <c r="O241" s="108">
        <f>1-AA241</f>
        <v/>
      </c>
      <c r="P241" s="108">
        <f>1-AB241</f>
        <v/>
      </c>
      <c r="Q241" s="108" t="n"/>
      <c r="R241" s="108" t="n"/>
      <c r="S241" s="108">
        <f>1-AE241</f>
        <v/>
      </c>
      <c r="T241" s="108">
        <f>1-AF241</f>
        <v/>
      </c>
      <c r="U241" s="108">
        <f>1-AG241</f>
        <v/>
      </c>
      <c r="V241" s="108">
        <f>1-AH241</f>
        <v/>
      </c>
      <c r="W241" s="108">
        <f>1-AI241</f>
        <v/>
      </c>
      <c r="X241" s="108">
        <f>ABS(AJ241-AJ$1)</f>
        <v/>
      </c>
      <c r="Y241" s="108">
        <f>AVERAGE(Z241:AB241)</f>
        <v/>
      </c>
      <c r="Z241" s="108">
        <f>ABS(AL241-AL$1)</f>
        <v/>
      </c>
      <c r="AA241" s="108">
        <f>ABS(AM241-AM$1)</f>
        <v/>
      </c>
      <c r="AB241" s="108">
        <f>ABS(AN241-AN$1)</f>
        <v/>
      </c>
      <c r="AC241" s="108" t="n"/>
      <c r="AD241" s="108" t="n"/>
      <c r="AE241" s="108">
        <f>ABS(AQ$1-AQ241)</f>
        <v/>
      </c>
      <c r="AF241" s="108">
        <f>ABS(AR$1-AR241)</f>
        <v/>
      </c>
      <c r="AG241" s="108">
        <f>ABS(AS$1-AS241)</f>
        <v/>
      </c>
      <c r="AH241" s="108">
        <f>ABS(AT$1-AT241)</f>
        <v/>
      </c>
      <c r="AI241" s="108">
        <f>ABS(AU$1-AU241)</f>
        <v/>
      </c>
      <c r="AJ241" s="108">
        <f>(AV241-Driver!$K$179)/(Driver!$L$179-Driver!$K$179)</f>
        <v/>
      </c>
      <c r="AK241" s="108">
        <f>(AW241-Driver!$K$180)/(Driver!$L$180-Driver!$K$180)</f>
        <v/>
      </c>
      <c r="AL241" s="108">
        <f>(AX241-Driver!$K$181)/(Driver!$L$181-Driver!$K$181)</f>
        <v/>
      </c>
      <c r="AM241" s="108">
        <f>(AY241-Driver!$K$182)/(Driver!$L$182-Driver!$K$182)</f>
        <v/>
      </c>
      <c r="AN241" s="108">
        <f>(AZ241-Driver!$K$183)/(Driver!$L$183-Driver!$K$183)</f>
        <v/>
      </c>
      <c r="AO241" s="108" t="n"/>
      <c r="AP241" s="108" t="n"/>
      <c r="AQ241" s="108">
        <f>(BC241-Driver!$K$188)/(Driver!$L$188-Driver!$K$188)</f>
        <v/>
      </c>
      <c r="AR241" s="108">
        <f>MIN((BD241-Driver!$K$189)/(Driver!$L$189-Driver!$K$189),100%)</f>
        <v/>
      </c>
      <c r="AS241" s="108">
        <f>(BE241-Driver!$K$190)/(Driver!$L$190-Driver!$K$190)</f>
        <v/>
      </c>
      <c r="AT241" s="108">
        <f>(BF241-Driver!$K$191)/(Driver!$L$191-Driver!$K$191)</f>
        <v/>
      </c>
      <c r="AU241" s="108">
        <f>(BG241-Driver!$K$192)/(Driver!$L$192-Driver!$K$192)</f>
        <v/>
      </c>
      <c r="AV241" s="105">
        <f>IFERROR(BM241*BJ241^1/4,"")</f>
        <v/>
      </c>
      <c r="AW241" s="105">
        <f>IFERROR(SUM(AX241:AZ241),"")</f>
        <v/>
      </c>
      <c r="AX241" s="105">
        <f>IFERROR(BH241,"")</f>
        <v/>
      </c>
      <c r="AY241" s="105">
        <f>IFERROR(Driver!$K$19/Data!BH241/Data!BI241*Data!BK241*Data!BL241,"")</f>
        <v/>
      </c>
      <c r="AZ241" s="105">
        <f>IFERROR(BI241*BN241,"")</f>
        <v/>
      </c>
      <c r="BA241" s="105" t="n"/>
      <c r="BB241" s="105" t="n"/>
      <c r="BC241" s="105">
        <f>IFERROR(BI241*BN241*BK241/BJ241^(1/2),"")</f>
        <v/>
      </c>
      <c r="BD241" s="105">
        <f>IFERROR(BH241*BM241*BL241/BJ241/BK241,"")</f>
        <v/>
      </c>
      <c r="BE241" s="105">
        <f>IFERROR(MIN(BI241/BQ241/BP241/BO241/BH241,$BE$1),"")</f>
        <v/>
      </c>
      <c r="BF241" s="105">
        <f>IFERROR(BJ241*BO241*BP241/BK241,"")</f>
        <v/>
      </c>
      <c r="BG241" s="105">
        <f>IFERROR(1/BM241/BH241*BQ241,"")</f>
        <v/>
      </c>
      <c r="BH241" s="102">
        <f>MAX((CE241-Driver!$F$200)/(Driver!$G$200-Driver!$F$200)*$BI$1,1)</f>
        <v/>
      </c>
      <c r="BI241" s="102">
        <f>MAX($BI$1*(BY241-Driver!$F$201)/(Driver!$G$201-Driver!$F$201),1)</f>
        <v/>
      </c>
      <c r="BJ241" s="102">
        <f>(CB241-Driver!$F$206)/(Driver!$G$206-Driver!$F$206)*$BI$1</f>
        <v/>
      </c>
      <c r="BK241" s="102">
        <f>(CD241-Driver!$F$203)/(Driver!$G$203-Driver!$F$203)*$BI$1</f>
        <v/>
      </c>
      <c r="BL241" s="102">
        <f>MAX((CR241-Driver!$F$202)/(Driver!$G$202-Driver!$F$202)*$BI$1,1)</f>
        <v/>
      </c>
      <c r="BM241" s="102">
        <f>MAX((CH241-Driver!$F$204)/(Driver!$G$204-Driver!$F$204)*$BI$1,1)</f>
        <v/>
      </c>
      <c r="BN241" s="102">
        <f>(CI241-Driver!$F$205)/(Driver!$G$205-Driver!$F$205)*$BI$1</f>
        <v/>
      </c>
      <c r="BO241" s="102">
        <f>(CK241-Driver!$F$207)/(Driver!$G$207-Driver!$F$207)*$BI$1</f>
        <v/>
      </c>
      <c r="BP241" s="102">
        <f>(CM241-Driver!$F$208)/(Driver!$G$208-Driver!$F$208)*$BI$1</f>
        <v/>
      </c>
      <c r="BQ241" s="102">
        <f>(CL241-Driver!$F$209)/(Driver!$G$209-Driver!$F$209)*$BI$1</f>
        <v/>
      </c>
      <c r="BR241" s="40" t="inlineStr">
        <is>
          <t>21/22</t>
        </is>
      </c>
      <c r="BS241" s="10" t="inlineStr">
        <is>
          <t xml:space="preserve"> Faction</t>
        </is>
      </c>
      <c r="BT241" s="11" t="inlineStr">
        <is>
          <t>Dictator FG 2.0</t>
        </is>
      </c>
      <c r="BU241" s="13" t="n">
        <v>171</v>
      </c>
      <c r="BV241" s="11" t="inlineStr">
        <is>
          <t xml:space="preserve"> Unisex</t>
        </is>
      </c>
      <c r="BW241" s="13" t="n">
        <v>171</v>
      </c>
      <c r="BX241" s="13" t="n">
        <v>169.4</v>
      </c>
      <c r="BY241" s="13" t="n">
        <v>127</v>
      </c>
      <c r="BZ241" s="13" t="n">
        <v>142</v>
      </c>
      <c r="CA241" s="13" t="n">
        <v>126</v>
      </c>
      <c r="CB241" s="13" t="n">
        <v>94</v>
      </c>
      <c r="CC241" s="13" t="n">
        <v>116</v>
      </c>
      <c r="CD241" s="13" t="n">
        <v>17.4</v>
      </c>
      <c r="CE241" s="13" t="n">
        <v>1721</v>
      </c>
      <c r="CF241" s="13" t="n">
        <v>1.04</v>
      </c>
      <c r="CG241" s="13" t="n">
        <v>1784</v>
      </c>
      <c r="CH241" s="13" t="n">
        <v>205</v>
      </c>
      <c r="CI241" s="13" t="n">
        <v>87</v>
      </c>
      <c r="CJ241" s="13" t="n">
        <v>49</v>
      </c>
      <c r="CK241" s="13" t="n">
        <v>248</v>
      </c>
      <c r="CL241" s="13" t="n">
        <v>21</v>
      </c>
      <c r="CM241" s="13" t="n">
        <v>174</v>
      </c>
      <c r="CN241" s="13" t="n">
        <v>0.424</v>
      </c>
      <c r="CO241" s="13" t="n">
        <v>172</v>
      </c>
      <c r="CP241" s="13" t="n">
        <v>107</v>
      </c>
      <c r="CQ241" s="13" t="n">
        <v>76</v>
      </c>
      <c r="CR241" s="13" t="n">
        <v>9</v>
      </c>
      <c r="CS241" s="13" t="n">
        <v>10.9</v>
      </c>
      <c r="CT241" s="11" t="inlineStr">
        <is>
          <t xml:space="preserve"> Resort Freeride</t>
        </is>
      </c>
      <c r="CU241" s="13" t="n"/>
      <c r="CV241" s="13" t="n"/>
      <c r="CW241" s="13" t="n"/>
      <c r="CX241">
        <f>INDEX('Data_Price '!AG$2:AG$1266,MATCH(Data!$DN241,'Data_Price '!$AT$2:$AT$1266,0))</f>
        <v/>
      </c>
      <c r="CY241">
        <f>INDEX('Data_Price '!AH$2:AH$1266,MATCH(Data!$DN241,'Data_Price '!$AT$2:$AT$1266,0))</f>
        <v/>
      </c>
      <c r="CZ241">
        <f>INDEX('Data_Price '!AI$2:AI$1266,MATCH(Data!$DN241,'Data_Price '!$AT$2:$AT$1266,0))</f>
        <v/>
      </c>
      <c r="DA241">
        <f>INDEX('Data_Price '!AJ$2:AJ$1266,MATCH(Data!$DN241,'Data_Price '!$AT$2:$AT$1266,0))</f>
        <v/>
      </c>
      <c r="DB241">
        <f>INDEX('Data_Price '!AK$2:AK$1266,MATCH(Data!$DN241,'Data_Price '!$AT$2:$AT$1266,0))</f>
        <v/>
      </c>
      <c r="DC241">
        <f>INDEX('Data_Price '!AL$2:AL$1266,MATCH(Data!$DN241,'Data_Price '!$AT$2:$AT$1266,0))</f>
        <v/>
      </c>
      <c r="DD241">
        <f>INDEX('Data_Price '!AM$2:AM$1266,MATCH(Data!$DN241,'Data_Price '!$AT$2:$AT$1266,0))</f>
        <v/>
      </c>
      <c r="DE241">
        <f>INDEX('Data_Price '!AN$2:AN$1266,MATCH(Data!$DN241,'Data_Price '!$AT$2:$AT$1266,0))</f>
        <v/>
      </c>
      <c r="DF241">
        <f>INDEX('Data_Price '!AO$2:AO$1266,MATCH(Data!$DN241,'Data_Price '!$AT$2:$AT$1266,0))</f>
        <v/>
      </c>
      <c r="DG241">
        <f>INDEX('Data_Price '!AP$2:AP$1266,MATCH(Data!$DN241,'Data_Price '!$AT$2:$AT$1266,0))</f>
        <v/>
      </c>
      <c r="DH241">
        <f>INDEX('Data_Price '!AQ$2:AQ$1266,MATCH(Data!$DN241,'Data_Price '!$AT$2:$AT$1266,0))</f>
        <v/>
      </c>
      <c r="DI241">
        <f>INDEX('Data_Price '!AR$2:AR$1266,MATCH(Data!$DN241,'Data_Price '!$AT$2:$AT$1266,0))</f>
        <v/>
      </c>
      <c r="DJ241" s="138">
        <f>DA241</f>
        <v/>
      </c>
      <c r="DK241" s="138">
        <f>DE241</f>
        <v/>
      </c>
      <c r="DL241" s="138">
        <f>DI241</f>
        <v/>
      </c>
      <c r="DM241" s="303">
        <f>IF(LEFT(BT241,1)=" ",RIGHT(BT241,LEN(BT241)-1),BT241)</f>
        <v/>
      </c>
      <c r="DN241" s="138">
        <f>_xlfn.CONCAT(BS241,DM241,BU241,BV241)</f>
        <v/>
      </c>
      <c r="DO241" s="307" t="inlineStr">
        <is>
          <t>https://images.evo.com/imgp/250/208648/839908/clone.jpg</t>
        </is>
      </c>
    </row>
    <row r="242" ht="15.6" customHeight="1" s="184">
      <c r="B242" s="303">
        <f t="array" ref="B242">IF(OR(ISERROR(K242:P242)),FALSE,TRUE)</f>
        <v/>
      </c>
      <c r="C242" s="60">
        <f>OR(BR242=Driver!$G$50,Data!BR826=Driver!$H$50)</f>
        <v/>
      </c>
      <c r="D242" s="60">
        <f>OR(BV242=Driver!$G$51,BV242=Driver!$H$51)</f>
        <v/>
      </c>
      <c r="E242" s="60">
        <f>AND(BX242&gt;Driver!$F$54,BX242&lt;Driver!$G$54)</f>
        <v/>
      </c>
      <c r="F242" s="60">
        <f>CL242&gt;Driver!$F$56</f>
        <v/>
      </c>
      <c r="G242" s="60">
        <f>AND(CB242&gt;Driver!$F$55,CB242&lt;Driver!$G$55)</f>
        <v/>
      </c>
      <c r="H242" s="60">
        <f>AND(B242:G242)</f>
        <v/>
      </c>
      <c r="I242" s="60">
        <f>COUNTIFS($H$9:$H$1273,TRUE,$BT$9:$BT$1273,BT242)</f>
        <v/>
      </c>
      <c r="J242" s="60">
        <f t="array" ref="J242">NOT(OR(($H$9:$H$1273=TRUE)*($I$9:$I$1273&gt;0)*($BT$9:$BT$1273=BT242)*($K$9:$K$1273&gt;K242)))</f>
        <v/>
      </c>
      <c r="K242" s="108">
        <f>IFERROR(1-AVERAGE(X242:Y242),"")</f>
        <v/>
      </c>
      <c r="L242" s="108">
        <f>1-X242</f>
        <v/>
      </c>
      <c r="M242" s="108">
        <f>1-Y242</f>
        <v/>
      </c>
      <c r="N242" s="108">
        <f>1-Z242</f>
        <v/>
      </c>
      <c r="O242" s="108">
        <f>1-AA242</f>
        <v/>
      </c>
      <c r="P242" s="108">
        <f>1-AB242</f>
        <v/>
      </c>
      <c r="Q242" s="108" t="n"/>
      <c r="R242" s="108" t="n"/>
      <c r="S242" s="108">
        <f>1-AE242</f>
        <v/>
      </c>
      <c r="T242" s="108">
        <f>1-AF242</f>
        <v/>
      </c>
      <c r="U242" s="108">
        <f>1-AG242</f>
        <v/>
      </c>
      <c r="V242" s="108">
        <f>1-AH242</f>
        <v/>
      </c>
      <c r="W242" s="108">
        <f>1-AI242</f>
        <v/>
      </c>
      <c r="X242" s="108">
        <f>ABS(AJ242-AJ$1)</f>
        <v/>
      </c>
      <c r="Y242" s="108">
        <f>AVERAGE(Z242:AB242)</f>
        <v/>
      </c>
      <c r="Z242" s="108">
        <f>ABS(AL242-AL$1)</f>
        <v/>
      </c>
      <c r="AA242" s="108">
        <f>ABS(AM242-AM$1)</f>
        <v/>
      </c>
      <c r="AB242" s="108">
        <f>ABS(AN242-AN$1)</f>
        <v/>
      </c>
      <c r="AC242" s="108" t="n"/>
      <c r="AD242" s="108" t="n"/>
      <c r="AE242" s="108">
        <f>ABS(AQ$1-AQ242)</f>
        <v/>
      </c>
      <c r="AF242" s="108">
        <f>ABS(AR$1-AR242)</f>
        <v/>
      </c>
      <c r="AG242" s="108">
        <f>ABS(AS$1-AS242)</f>
        <v/>
      </c>
      <c r="AH242" s="108">
        <f>ABS(AT$1-AT242)</f>
        <v/>
      </c>
      <c r="AI242" s="108">
        <f>ABS(AU$1-AU242)</f>
        <v/>
      </c>
      <c r="AJ242" s="108">
        <f>(AV242-Driver!$K$179)/(Driver!$L$179-Driver!$K$179)</f>
        <v/>
      </c>
      <c r="AK242" s="108">
        <f>(AW242-Driver!$K$180)/(Driver!$L$180-Driver!$K$180)</f>
        <v/>
      </c>
      <c r="AL242" s="108">
        <f>(AX242-Driver!$K$181)/(Driver!$L$181-Driver!$K$181)</f>
        <v/>
      </c>
      <c r="AM242" s="108">
        <f>(AY242-Driver!$K$182)/(Driver!$L$182-Driver!$K$182)</f>
        <v/>
      </c>
      <c r="AN242" s="108">
        <f>(AZ242-Driver!$K$183)/(Driver!$L$183-Driver!$K$183)</f>
        <v/>
      </c>
      <c r="AO242" s="108" t="n"/>
      <c r="AP242" s="108" t="n"/>
      <c r="AQ242" s="108">
        <f>(BC242-Driver!$K$188)/(Driver!$L$188-Driver!$K$188)</f>
        <v/>
      </c>
      <c r="AR242" s="108">
        <f>MIN((BD242-Driver!$K$189)/(Driver!$L$189-Driver!$K$189),100%)</f>
        <v/>
      </c>
      <c r="AS242" s="108">
        <f>(BE242-Driver!$K$190)/(Driver!$L$190-Driver!$K$190)</f>
        <v/>
      </c>
      <c r="AT242" s="108">
        <f>(BF242-Driver!$K$191)/(Driver!$L$191-Driver!$K$191)</f>
        <v/>
      </c>
      <c r="AU242" s="108">
        <f>(BG242-Driver!$K$192)/(Driver!$L$192-Driver!$K$192)</f>
        <v/>
      </c>
      <c r="AV242" s="105">
        <f>IFERROR(BM242*BJ242^1/4,"")</f>
        <v/>
      </c>
      <c r="AW242" s="105">
        <f>IFERROR(SUM(AX242:AZ242),"")</f>
        <v/>
      </c>
      <c r="AX242" s="105">
        <f>IFERROR(BH242,"")</f>
        <v/>
      </c>
      <c r="AY242" s="105">
        <f>IFERROR(Driver!$K$19/Data!BH242/Data!BI242*Data!BK242*Data!BL242,"")</f>
        <v/>
      </c>
      <c r="AZ242" s="105">
        <f>IFERROR(BI242*BN242,"")</f>
        <v/>
      </c>
      <c r="BA242" s="105" t="n"/>
      <c r="BB242" s="105" t="n"/>
      <c r="BC242" s="105">
        <f>IFERROR(BI242*BN242*BK242/BJ242^(1/2),"")</f>
        <v/>
      </c>
      <c r="BD242" s="105">
        <f>IFERROR(BH242*BM242*BL242/BJ242/BK242,"")</f>
        <v/>
      </c>
      <c r="BE242" s="105">
        <f>IFERROR(MIN(BI242/BQ242/BP242/BO242/BH242,$BE$1),"")</f>
        <v/>
      </c>
      <c r="BF242" s="105">
        <f>IFERROR(BJ242*BO242*BP242/BK242,"")</f>
        <v/>
      </c>
      <c r="BG242" s="105">
        <f>IFERROR(1/BM242/BH242*BQ242,"")</f>
        <v/>
      </c>
      <c r="BH242" s="102">
        <f>MAX((CE242-Driver!$F$200)/(Driver!$G$200-Driver!$F$200)*$BI$1,1)</f>
        <v/>
      </c>
      <c r="BI242" s="102">
        <f>MAX($BI$1*(BY242-Driver!$F$201)/(Driver!$G$201-Driver!$F$201),1)</f>
        <v/>
      </c>
      <c r="BJ242" s="102">
        <f>(CB242-Driver!$F$206)/(Driver!$G$206-Driver!$F$206)*$BI$1</f>
        <v/>
      </c>
      <c r="BK242" s="102">
        <f>(CD242-Driver!$F$203)/(Driver!$G$203-Driver!$F$203)*$BI$1</f>
        <v/>
      </c>
      <c r="BL242" s="102">
        <f>MAX((CR242-Driver!$F$202)/(Driver!$G$202-Driver!$F$202)*$BI$1,1)</f>
        <v/>
      </c>
      <c r="BM242" s="102">
        <f>MAX((CH242-Driver!$F$204)/(Driver!$G$204-Driver!$F$204)*$BI$1,1)</f>
        <v/>
      </c>
      <c r="BN242" s="102">
        <f>(CI242-Driver!$F$205)/(Driver!$G$205-Driver!$F$205)*$BI$1</f>
        <v/>
      </c>
      <c r="BO242" s="102">
        <f>(CK242-Driver!$F$207)/(Driver!$G$207-Driver!$F$207)*$BI$1</f>
        <v/>
      </c>
      <c r="BP242" s="102">
        <f>(CM242-Driver!$F$208)/(Driver!$G$208-Driver!$F$208)*$BI$1</f>
        <v/>
      </c>
      <c r="BQ242" s="102">
        <f>(CL242-Driver!$F$209)/(Driver!$G$209-Driver!$F$209)*$BI$1</f>
        <v/>
      </c>
      <c r="BR242" s="40" t="inlineStr">
        <is>
          <t>21/22</t>
        </is>
      </c>
      <c r="BS242" s="10" t="inlineStr">
        <is>
          <t xml:space="preserve"> Line</t>
        </is>
      </c>
      <c r="BT242" s="11" t="inlineStr">
        <is>
          <t xml:space="preserve"> Blade W</t>
        </is>
      </c>
      <c r="BU242" s="13" t="n">
        <v>167</v>
      </c>
      <c r="BV242" s="11" t="inlineStr">
        <is>
          <t xml:space="preserve"> Women's</t>
        </is>
      </c>
      <c r="BW242" s="13" t="n">
        <v>167</v>
      </c>
      <c r="BX242" s="13" t="n">
        <v>166.7</v>
      </c>
      <c r="BY242" s="13" t="n">
        <v>134</v>
      </c>
      <c r="BZ242" s="13" t="n">
        <v>152</v>
      </c>
      <c r="CA242" s="13" t="n">
        <v>139</v>
      </c>
      <c r="CB242" s="13" t="n">
        <v>90</v>
      </c>
      <c r="CC242" s="13" t="n">
        <v>113</v>
      </c>
      <c r="CD242" s="13" t="n">
        <v>16.3</v>
      </c>
      <c r="CE242" s="13" t="n">
        <v>1752</v>
      </c>
      <c r="CF242" s="13" t="n">
        <v>0.99</v>
      </c>
      <c r="CG242" s="13" t="n">
        <v>1743</v>
      </c>
      <c r="CH242" s="13" t="n">
        <v>174</v>
      </c>
      <c r="CI242" s="13" t="n">
        <v>116</v>
      </c>
      <c r="CJ242" s="13" t="n">
        <v>39</v>
      </c>
      <c r="CK242" s="13" t="n">
        <v>211</v>
      </c>
      <c r="CL242" s="13" t="n">
        <v>16</v>
      </c>
      <c r="CM242" s="13" t="n">
        <v>121</v>
      </c>
      <c r="CN242" s="13" t="n">
        <v>0.401</v>
      </c>
      <c r="CO242" s="13" t="n">
        <v>128</v>
      </c>
      <c r="CP242" s="13" t="n">
        <v>23</v>
      </c>
      <c r="CQ242" s="13" t="n">
        <v>82</v>
      </c>
      <c r="CR242" s="13" t="n">
        <v>10</v>
      </c>
      <c r="CS242" s="13" t="n">
        <v>6.9</v>
      </c>
      <c r="CT242" s="11" t="inlineStr">
        <is>
          <t xml:space="preserve"> Resort Freeride</t>
        </is>
      </c>
      <c r="CU242" s="13" t="n"/>
      <c r="CV242" s="13" t="n"/>
      <c r="CW242" s="13" t="n"/>
      <c r="CX242">
        <f>INDEX('Data_Price '!AG$2:AG$1266,MATCH(Data!$DN242,'Data_Price '!$AT$2:$AT$1266,0))</f>
        <v/>
      </c>
      <c r="CY242">
        <f>INDEX('Data_Price '!AH$2:AH$1266,MATCH(Data!$DN242,'Data_Price '!$AT$2:$AT$1266,0))</f>
        <v/>
      </c>
      <c r="CZ242">
        <f>INDEX('Data_Price '!AI$2:AI$1266,MATCH(Data!$DN242,'Data_Price '!$AT$2:$AT$1266,0))</f>
        <v/>
      </c>
      <c r="DA242">
        <f>INDEX('Data_Price '!AJ$2:AJ$1266,MATCH(Data!$DN242,'Data_Price '!$AT$2:$AT$1266,0))</f>
        <v/>
      </c>
      <c r="DB242">
        <f>INDEX('Data_Price '!AK$2:AK$1266,MATCH(Data!$DN242,'Data_Price '!$AT$2:$AT$1266,0))</f>
        <v/>
      </c>
      <c r="DC242">
        <f>INDEX('Data_Price '!AL$2:AL$1266,MATCH(Data!$DN242,'Data_Price '!$AT$2:$AT$1266,0))</f>
        <v/>
      </c>
      <c r="DD242">
        <f>INDEX('Data_Price '!AM$2:AM$1266,MATCH(Data!$DN242,'Data_Price '!$AT$2:$AT$1266,0))</f>
        <v/>
      </c>
      <c r="DE242">
        <f>INDEX('Data_Price '!AN$2:AN$1266,MATCH(Data!$DN242,'Data_Price '!$AT$2:$AT$1266,0))</f>
        <v/>
      </c>
      <c r="DF242">
        <f>INDEX('Data_Price '!AO$2:AO$1266,MATCH(Data!$DN242,'Data_Price '!$AT$2:$AT$1266,0))</f>
        <v/>
      </c>
      <c r="DG242">
        <f>INDEX('Data_Price '!AP$2:AP$1266,MATCH(Data!$DN242,'Data_Price '!$AT$2:$AT$1266,0))</f>
        <v/>
      </c>
      <c r="DH242">
        <f>INDEX('Data_Price '!AQ$2:AQ$1266,MATCH(Data!$DN242,'Data_Price '!$AT$2:$AT$1266,0))</f>
        <v/>
      </c>
      <c r="DI242">
        <f>INDEX('Data_Price '!AR$2:AR$1266,MATCH(Data!$DN242,'Data_Price '!$AT$2:$AT$1266,0))</f>
        <v/>
      </c>
      <c r="DJ242" s="138">
        <f>DA242</f>
        <v/>
      </c>
      <c r="DK242" s="138">
        <f>DE242</f>
        <v/>
      </c>
      <c r="DL242" s="138">
        <f>DI242</f>
        <v/>
      </c>
      <c r="DM242" s="303">
        <f>IF(LEFT(BT242,1)=" ",RIGHT(BT242,LEN(BT242)-1),BT242)</f>
        <v/>
      </c>
      <c r="DN242" s="138">
        <f>_xlfn.CONCAT(BS242,DM242,BU242,BV242)</f>
        <v/>
      </c>
      <c r="DO242" s="307" t="inlineStr">
        <is>
          <t>https://images.evo.com/imgp/250/198424/817629/line-skis-blade-w-skis-women-s-2022-.jpg</t>
        </is>
      </c>
    </row>
    <row r="243" ht="15.6" customHeight="1" s="184">
      <c r="B243" s="303">
        <f t="array" ref="B243">IF(OR(ISERROR(K243:P243)),FALSE,TRUE)</f>
        <v/>
      </c>
      <c r="C243" s="60">
        <f>OR(BR243=Driver!$G$50,Data!BR111=Driver!$H$50)</f>
        <v/>
      </c>
      <c r="D243" s="60">
        <f>OR(BV243=Driver!$G$51,BV243=Driver!$H$51)</f>
        <v/>
      </c>
      <c r="E243" s="60">
        <f>AND(BX243&gt;Driver!$F$54,BX243&lt;Driver!$G$54)</f>
        <v/>
      </c>
      <c r="F243" s="60">
        <f>CL243&gt;Driver!$F$56</f>
        <v/>
      </c>
      <c r="G243" s="60">
        <f>AND(CB243&gt;Driver!$F$55,CB243&lt;Driver!$G$55)</f>
        <v/>
      </c>
      <c r="H243" s="60">
        <f>AND(B243:G243)</f>
        <v/>
      </c>
      <c r="I243" s="60">
        <f>COUNTIFS($H$9:$H$1273,TRUE,$BT$9:$BT$1273,BT243)</f>
        <v/>
      </c>
      <c r="J243" s="60">
        <f t="array" ref="J243">NOT(OR(($H$9:$H$1273=TRUE)*($I$9:$I$1273&gt;0)*($BT$9:$BT$1273=BT243)*($K$9:$K$1273&gt;K243)))</f>
        <v/>
      </c>
      <c r="K243" s="108">
        <f>IFERROR(1-AVERAGE(X243:Y243),"")</f>
        <v/>
      </c>
      <c r="L243" s="108">
        <f>1-X243</f>
        <v/>
      </c>
      <c r="M243" s="108">
        <f>1-Y243</f>
        <v/>
      </c>
      <c r="N243" s="108">
        <f>1-Z243</f>
        <v/>
      </c>
      <c r="O243" s="108">
        <f>1-AA243</f>
        <v/>
      </c>
      <c r="P243" s="108">
        <f>1-AB243</f>
        <v/>
      </c>
      <c r="Q243" s="108" t="n"/>
      <c r="R243" s="108" t="n"/>
      <c r="S243" s="108">
        <f>1-AE243</f>
        <v/>
      </c>
      <c r="T243" s="108">
        <f>1-AF243</f>
        <v/>
      </c>
      <c r="U243" s="108">
        <f>1-AG243</f>
        <v/>
      </c>
      <c r="V243" s="108">
        <f>1-AH243</f>
        <v/>
      </c>
      <c r="W243" s="108">
        <f>1-AI243</f>
        <v/>
      </c>
      <c r="X243" s="108">
        <f>ABS(AJ243-AJ$1)</f>
        <v/>
      </c>
      <c r="Y243" s="108">
        <f>AVERAGE(Z243:AB243)</f>
        <v/>
      </c>
      <c r="Z243" s="108">
        <f>ABS(AL243-AL$1)</f>
        <v/>
      </c>
      <c r="AA243" s="108">
        <f>ABS(AM243-AM$1)</f>
        <v/>
      </c>
      <c r="AB243" s="108">
        <f>ABS(AN243-AN$1)</f>
        <v/>
      </c>
      <c r="AC243" s="108" t="n"/>
      <c r="AD243" s="108" t="n"/>
      <c r="AE243" s="108">
        <f>ABS(AQ$1-AQ243)</f>
        <v/>
      </c>
      <c r="AF243" s="108">
        <f>ABS(AR$1-AR243)</f>
        <v/>
      </c>
      <c r="AG243" s="108">
        <f>ABS(AS$1-AS243)</f>
        <v/>
      </c>
      <c r="AH243" s="108">
        <f>ABS(AT$1-AT243)</f>
        <v/>
      </c>
      <c r="AI243" s="108">
        <f>ABS(AU$1-AU243)</f>
        <v/>
      </c>
      <c r="AJ243" s="108">
        <f>(AV243-Driver!$K$179)/(Driver!$L$179-Driver!$K$179)</f>
        <v/>
      </c>
      <c r="AK243" s="108">
        <f>(AW243-Driver!$K$180)/(Driver!$L$180-Driver!$K$180)</f>
        <v/>
      </c>
      <c r="AL243" s="108">
        <f>(AX243-Driver!$K$181)/(Driver!$L$181-Driver!$K$181)</f>
        <v/>
      </c>
      <c r="AM243" s="108">
        <f>(AY243-Driver!$K$182)/(Driver!$L$182-Driver!$K$182)</f>
        <v/>
      </c>
      <c r="AN243" s="108">
        <f>(AZ243-Driver!$K$183)/(Driver!$L$183-Driver!$K$183)</f>
        <v/>
      </c>
      <c r="AO243" s="108" t="n"/>
      <c r="AP243" s="108" t="n"/>
      <c r="AQ243" s="108">
        <f>(BC243-Driver!$K$188)/(Driver!$L$188-Driver!$K$188)</f>
        <v/>
      </c>
      <c r="AR243" s="108">
        <f>MIN((BD243-Driver!$K$189)/(Driver!$L$189-Driver!$K$189),100%)</f>
        <v/>
      </c>
      <c r="AS243" s="108">
        <f>(BE243-Driver!$K$190)/(Driver!$L$190-Driver!$K$190)</f>
        <v/>
      </c>
      <c r="AT243" s="108">
        <f>(BF243-Driver!$K$191)/(Driver!$L$191-Driver!$K$191)</f>
        <v/>
      </c>
      <c r="AU243" s="108">
        <f>(BG243-Driver!$K$192)/(Driver!$L$192-Driver!$K$192)</f>
        <v/>
      </c>
      <c r="AV243" s="105">
        <f>IFERROR(BM243*BJ243^1/4,"")</f>
        <v/>
      </c>
      <c r="AW243" s="105">
        <f>IFERROR(SUM(AX243:AZ243),"")</f>
        <v/>
      </c>
      <c r="AX243" s="105">
        <f>IFERROR(BH243,"")</f>
        <v/>
      </c>
      <c r="AY243" s="105">
        <f>IFERROR(Driver!$K$19/Data!BH243/Data!BI243*Data!BK243*Data!BL243,"")</f>
        <v/>
      </c>
      <c r="AZ243" s="105">
        <f>IFERROR(BI243*BN243,"")</f>
        <v/>
      </c>
      <c r="BA243" s="105" t="n"/>
      <c r="BB243" s="105" t="n"/>
      <c r="BC243" s="105">
        <f>IFERROR(BI243*BN243*BK243/BJ243^(1/2),"")</f>
        <v/>
      </c>
      <c r="BD243" s="105">
        <f>IFERROR(BH243*BM243*BL243/BJ243/BK243,"")</f>
        <v/>
      </c>
      <c r="BE243" s="105">
        <f>IFERROR(MIN(BI243/BQ243/BP243/BO243/BH243,$BE$1),"")</f>
        <v/>
      </c>
      <c r="BF243" s="105">
        <f>IFERROR(BJ243*BO243*BP243/BK243,"")</f>
        <v/>
      </c>
      <c r="BG243" s="105">
        <f>IFERROR(1/BM243/BH243*BQ243,"")</f>
        <v/>
      </c>
      <c r="BH243" s="102">
        <f>MAX((CE243-Driver!$F$200)/(Driver!$G$200-Driver!$F$200)*$BI$1,1)</f>
        <v/>
      </c>
      <c r="BI243" s="102">
        <f>MAX($BI$1*(BY243-Driver!$F$201)/(Driver!$G$201-Driver!$F$201),1)</f>
        <v/>
      </c>
      <c r="BJ243" s="102">
        <f>(CB243-Driver!$F$206)/(Driver!$G$206-Driver!$F$206)*$BI$1</f>
        <v/>
      </c>
      <c r="BK243" s="102">
        <f>(CD243-Driver!$F$203)/(Driver!$G$203-Driver!$F$203)*$BI$1</f>
        <v/>
      </c>
      <c r="BL243" s="102">
        <f>MAX((CR243-Driver!$F$202)/(Driver!$G$202-Driver!$F$202)*$BI$1,1)</f>
        <v/>
      </c>
      <c r="BM243" s="102">
        <f>MAX((CH243-Driver!$F$204)/(Driver!$G$204-Driver!$F$204)*$BI$1,1)</f>
        <v/>
      </c>
      <c r="BN243" s="102">
        <f>(CI243-Driver!$F$205)/(Driver!$G$205-Driver!$F$205)*$BI$1</f>
        <v/>
      </c>
      <c r="BO243" s="102">
        <f>(CK243-Driver!$F$207)/(Driver!$G$207-Driver!$F$207)*$BI$1</f>
        <v/>
      </c>
      <c r="BP243" s="102">
        <f>(CM243-Driver!$F$208)/(Driver!$G$208-Driver!$F$208)*$BI$1</f>
        <v/>
      </c>
      <c r="BQ243" s="102">
        <f>(CL243-Driver!$F$209)/(Driver!$G$209-Driver!$F$209)*$BI$1</f>
        <v/>
      </c>
      <c r="BR243" s="40" t="inlineStr">
        <is>
          <t>21/22</t>
        </is>
      </c>
      <c r="BS243" s="10" t="inlineStr">
        <is>
          <t xml:space="preserve"> Armada</t>
        </is>
      </c>
      <c r="BT243" s="11" t="inlineStr">
        <is>
          <t>Tracer 98</t>
        </is>
      </c>
      <c r="BU243" s="13" t="n">
        <v>172</v>
      </c>
      <c r="BV243" s="11" t="inlineStr">
        <is>
          <t xml:space="preserve"> Unisex</t>
        </is>
      </c>
      <c r="BW243" s="13" t="n">
        <v>172</v>
      </c>
      <c r="BX243" s="13" t="n">
        <v>171.5</v>
      </c>
      <c r="BY243" s="13" t="n">
        <v>132</v>
      </c>
      <c r="BZ243" s="13" t="n">
        <v>143</v>
      </c>
      <c r="CA243" s="13" t="n">
        <v>129</v>
      </c>
      <c r="CB243" s="13" t="n">
        <v>97</v>
      </c>
      <c r="CC243" s="13" t="n">
        <v>120</v>
      </c>
      <c r="CD243" s="13" t="n">
        <v>17.3</v>
      </c>
      <c r="CE243" s="13" t="n">
        <v>1497</v>
      </c>
      <c r="CF243" s="13" t="n">
        <v>1.23</v>
      </c>
      <c r="CG243" s="13" t="n">
        <v>1844</v>
      </c>
      <c r="CH243" s="13" t="n">
        <v>163</v>
      </c>
      <c r="CI243" s="13" t="n">
        <v>102</v>
      </c>
      <c r="CJ243" s="13" t="n">
        <v>41</v>
      </c>
      <c r="CK243" s="13" t="n">
        <v>250</v>
      </c>
      <c r="CL243" s="13" t="n">
        <v>15</v>
      </c>
      <c r="CM243" s="13" t="n">
        <v>145</v>
      </c>
      <c r="CN243" s="13" t="n">
        <v>0.369</v>
      </c>
      <c r="CO243" s="13" t="n">
        <v>171</v>
      </c>
      <c r="CP243" s="13" t="n">
        <v>112</v>
      </c>
      <c r="CQ243" s="13" t="n">
        <v>79</v>
      </c>
      <c r="CR243" s="13" t="n">
        <v>6</v>
      </c>
      <c r="CS243" s="13" t="n">
        <v>10</v>
      </c>
      <c r="CT243" s="11" t="inlineStr">
        <is>
          <t xml:space="preserve"> Resort Freeride</t>
        </is>
      </c>
      <c r="CU243" s="11" t="inlineStr">
        <is>
          <t xml:space="preserve"> Touring</t>
        </is>
      </c>
      <c r="CV243" s="13" t="n"/>
      <c r="CW243" s="13" t="n"/>
      <c r="CX243">
        <f>INDEX('Data_Price '!AG$2:AG$1266,MATCH(Data!$DN243,'Data_Price '!$AT$2:$AT$1266,0))</f>
        <v/>
      </c>
      <c r="CY243">
        <f>INDEX('Data_Price '!AH$2:AH$1266,MATCH(Data!$DN243,'Data_Price '!$AT$2:$AT$1266,0))</f>
        <v/>
      </c>
      <c r="CZ243">
        <f>INDEX('Data_Price '!AI$2:AI$1266,MATCH(Data!$DN243,'Data_Price '!$AT$2:$AT$1266,0))</f>
        <v/>
      </c>
      <c r="DA243">
        <f>INDEX('Data_Price '!AJ$2:AJ$1266,MATCH(Data!$DN243,'Data_Price '!$AT$2:$AT$1266,0))</f>
        <v/>
      </c>
      <c r="DB243">
        <f>INDEX('Data_Price '!AK$2:AK$1266,MATCH(Data!$DN243,'Data_Price '!$AT$2:$AT$1266,0))</f>
        <v/>
      </c>
      <c r="DC243">
        <f>INDEX('Data_Price '!AL$2:AL$1266,MATCH(Data!$DN243,'Data_Price '!$AT$2:$AT$1266,0))</f>
        <v/>
      </c>
      <c r="DD243">
        <f>INDEX('Data_Price '!AM$2:AM$1266,MATCH(Data!$DN243,'Data_Price '!$AT$2:$AT$1266,0))</f>
        <v/>
      </c>
      <c r="DE243">
        <f>INDEX('Data_Price '!AN$2:AN$1266,MATCH(Data!$DN243,'Data_Price '!$AT$2:$AT$1266,0))</f>
        <v/>
      </c>
      <c r="DF243">
        <f>INDEX('Data_Price '!AO$2:AO$1266,MATCH(Data!$DN243,'Data_Price '!$AT$2:$AT$1266,0))</f>
        <v/>
      </c>
      <c r="DG243">
        <f>INDEX('Data_Price '!AP$2:AP$1266,MATCH(Data!$DN243,'Data_Price '!$AT$2:$AT$1266,0))</f>
        <v/>
      </c>
      <c r="DH243">
        <f>INDEX('Data_Price '!AQ$2:AQ$1266,MATCH(Data!$DN243,'Data_Price '!$AT$2:$AT$1266,0))</f>
        <v/>
      </c>
      <c r="DI243">
        <f>INDEX('Data_Price '!AR$2:AR$1266,MATCH(Data!$DN243,'Data_Price '!$AT$2:$AT$1266,0))</f>
        <v/>
      </c>
      <c r="DJ243" s="138">
        <f>DA243</f>
        <v/>
      </c>
      <c r="DK243" s="138">
        <f>DE243</f>
        <v/>
      </c>
      <c r="DL243" s="138">
        <f>DI243</f>
        <v/>
      </c>
      <c r="DM243" s="303">
        <f>IF(LEFT(BT243,1)=" ",RIGHT(BT243,LEN(BT243)-1),BT243)</f>
        <v/>
      </c>
      <c r="DN243" s="138">
        <f>_xlfn.CONCAT(BS243,DM243,BU243,BV243)</f>
        <v/>
      </c>
      <c r="DO243" s="307" t="inlineStr">
        <is>
          <t>https://images.evo.com/imgp/250/198694/839659/clone.jpg</t>
        </is>
      </c>
    </row>
    <row r="244" ht="15.6" customHeight="1" s="184">
      <c r="B244" s="303">
        <f t="array" ref="B244">IF(OR(ISERROR(K244:P244)),FALSE,TRUE)</f>
        <v/>
      </c>
      <c r="C244" s="60">
        <f>OR(BR244=Driver!$G$50,Data!BR904=Driver!$H$50)</f>
        <v/>
      </c>
      <c r="D244" s="60">
        <f>OR(BV244=Driver!$G$51,BV244=Driver!$H$51)</f>
        <v/>
      </c>
      <c r="E244" s="60">
        <f>AND(BX244&gt;Driver!$F$54,BX244&lt;Driver!$G$54)</f>
        <v/>
      </c>
      <c r="F244" s="60">
        <f>CL244&gt;Driver!$F$56</f>
        <v/>
      </c>
      <c r="G244" s="60">
        <f>AND(CB244&gt;Driver!$F$55,CB244&lt;Driver!$G$55)</f>
        <v/>
      </c>
      <c r="H244" s="60">
        <f>AND(B244:G244)</f>
        <v/>
      </c>
      <c r="I244" s="60">
        <f>COUNTIFS($H$9:$H$1273,TRUE,$BT$9:$BT$1273,BT244)</f>
        <v/>
      </c>
      <c r="J244" s="60">
        <f t="array" ref="J244">NOT(OR(($H$9:$H$1273=TRUE)*($I$9:$I$1273&gt;0)*($BT$9:$BT$1273=BT244)*($K$9:$K$1273&gt;K244)))</f>
        <v/>
      </c>
      <c r="K244" s="108">
        <f>IFERROR(1-AVERAGE(X244:Y244),"")</f>
        <v/>
      </c>
      <c r="L244" s="108">
        <f>1-X244</f>
        <v/>
      </c>
      <c r="M244" s="108">
        <f>1-Y244</f>
        <v/>
      </c>
      <c r="N244" s="108">
        <f>1-Z244</f>
        <v/>
      </c>
      <c r="O244" s="108">
        <f>1-AA244</f>
        <v/>
      </c>
      <c r="P244" s="108">
        <f>1-AB244</f>
        <v/>
      </c>
      <c r="Q244" s="108" t="n"/>
      <c r="R244" s="108" t="n"/>
      <c r="S244" s="108">
        <f>1-AE244</f>
        <v/>
      </c>
      <c r="T244" s="108">
        <f>1-AF244</f>
        <v/>
      </c>
      <c r="U244" s="108">
        <f>1-AG244</f>
        <v/>
      </c>
      <c r="V244" s="108">
        <f>1-AH244</f>
        <v/>
      </c>
      <c r="W244" s="108">
        <f>1-AI244</f>
        <v/>
      </c>
      <c r="X244" s="108">
        <f>ABS(AJ244-AJ$1)</f>
        <v/>
      </c>
      <c r="Y244" s="108">
        <f>AVERAGE(Z244:AB244)</f>
        <v/>
      </c>
      <c r="Z244" s="108">
        <f>ABS(AL244-AL$1)</f>
        <v/>
      </c>
      <c r="AA244" s="108">
        <f>ABS(AM244-AM$1)</f>
        <v/>
      </c>
      <c r="AB244" s="108">
        <f>ABS(AN244-AN$1)</f>
        <v/>
      </c>
      <c r="AC244" s="108" t="n"/>
      <c r="AD244" s="108" t="n"/>
      <c r="AE244" s="108">
        <f>ABS(AQ$1-AQ244)</f>
        <v/>
      </c>
      <c r="AF244" s="108">
        <f>ABS(AR$1-AR244)</f>
        <v/>
      </c>
      <c r="AG244" s="108">
        <f>ABS(AS$1-AS244)</f>
        <v/>
      </c>
      <c r="AH244" s="108">
        <f>ABS(AT$1-AT244)</f>
        <v/>
      </c>
      <c r="AI244" s="108">
        <f>ABS(AU$1-AU244)</f>
        <v/>
      </c>
      <c r="AJ244" s="108">
        <f>(AV244-Driver!$K$179)/(Driver!$L$179-Driver!$K$179)</f>
        <v/>
      </c>
      <c r="AK244" s="108">
        <f>(AW244-Driver!$K$180)/(Driver!$L$180-Driver!$K$180)</f>
        <v/>
      </c>
      <c r="AL244" s="108">
        <f>(AX244-Driver!$K$181)/(Driver!$L$181-Driver!$K$181)</f>
        <v/>
      </c>
      <c r="AM244" s="108">
        <f>(AY244-Driver!$K$182)/(Driver!$L$182-Driver!$K$182)</f>
        <v/>
      </c>
      <c r="AN244" s="108">
        <f>(AZ244-Driver!$K$183)/(Driver!$L$183-Driver!$K$183)</f>
        <v/>
      </c>
      <c r="AO244" s="108" t="n"/>
      <c r="AP244" s="108" t="n"/>
      <c r="AQ244" s="108">
        <f>(BC244-Driver!$K$188)/(Driver!$L$188-Driver!$K$188)</f>
        <v/>
      </c>
      <c r="AR244" s="108">
        <f>MIN((BD244-Driver!$K$189)/(Driver!$L$189-Driver!$K$189),100%)</f>
        <v/>
      </c>
      <c r="AS244" s="108">
        <f>(BE244-Driver!$K$190)/(Driver!$L$190-Driver!$K$190)</f>
        <v/>
      </c>
      <c r="AT244" s="108">
        <f>(BF244-Driver!$K$191)/(Driver!$L$191-Driver!$K$191)</f>
        <v/>
      </c>
      <c r="AU244" s="108">
        <f>(BG244-Driver!$K$192)/(Driver!$L$192-Driver!$K$192)</f>
        <v/>
      </c>
      <c r="AV244" s="105">
        <f>IFERROR(BM244*BJ244^1/4,"")</f>
        <v/>
      </c>
      <c r="AW244" s="105">
        <f>IFERROR(SUM(AX244:AZ244),"")</f>
        <v/>
      </c>
      <c r="AX244" s="105">
        <f>IFERROR(BH244,"")</f>
        <v/>
      </c>
      <c r="AY244" s="105">
        <f>IFERROR(Driver!$K$19/Data!BH244/Data!BI244*Data!BK244*Data!BL244,"")</f>
        <v/>
      </c>
      <c r="AZ244" s="105">
        <f>IFERROR(BI244*BN244,"")</f>
        <v/>
      </c>
      <c r="BA244" s="105" t="n"/>
      <c r="BB244" s="105" t="n"/>
      <c r="BC244" s="105">
        <f>IFERROR(BI244*BN244*BK244/BJ244^(1/2),"")</f>
        <v/>
      </c>
      <c r="BD244" s="105">
        <f>IFERROR(BH244*BM244*BL244/BJ244/BK244,"")</f>
        <v/>
      </c>
      <c r="BE244" s="105">
        <f>IFERROR(MIN(BI244/BQ244/BP244/BO244/BH244,$BE$1),"")</f>
        <v/>
      </c>
      <c r="BF244" s="105">
        <f>IFERROR(BJ244*BO244*BP244/BK244,"")</f>
        <v/>
      </c>
      <c r="BG244" s="105">
        <f>IFERROR(1/BM244/BH244*BQ244,"")</f>
        <v/>
      </c>
      <c r="BH244" s="102">
        <f>MAX((CE244-Driver!$F$200)/(Driver!$G$200-Driver!$F$200)*$BI$1,1)</f>
        <v/>
      </c>
      <c r="BI244" s="102">
        <f>MAX($BI$1*(BY244-Driver!$F$201)/(Driver!$G$201-Driver!$F$201),1)</f>
        <v/>
      </c>
      <c r="BJ244" s="102">
        <f>(CB244-Driver!$F$206)/(Driver!$G$206-Driver!$F$206)*$BI$1</f>
        <v/>
      </c>
      <c r="BK244" s="102">
        <f>(CD244-Driver!$F$203)/(Driver!$G$203-Driver!$F$203)*$BI$1</f>
        <v/>
      </c>
      <c r="BL244" s="102">
        <f>MAX((CR244-Driver!$F$202)/(Driver!$G$202-Driver!$F$202)*$BI$1,1)</f>
        <v/>
      </c>
      <c r="BM244" s="102">
        <f>MAX((CH244-Driver!$F$204)/(Driver!$G$204-Driver!$F$204)*$BI$1,1)</f>
        <v/>
      </c>
      <c r="BN244" s="102">
        <f>(CI244-Driver!$F$205)/(Driver!$G$205-Driver!$F$205)*$BI$1</f>
        <v/>
      </c>
      <c r="BO244" s="102">
        <f>(CK244-Driver!$F$207)/(Driver!$G$207-Driver!$F$207)*$BI$1</f>
        <v/>
      </c>
      <c r="BP244" s="102">
        <f>(CM244-Driver!$F$208)/(Driver!$G$208-Driver!$F$208)*$BI$1</f>
        <v/>
      </c>
      <c r="BQ244" s="102">
        <f>(CL244-Driver!$F$209)/(Driver!$G$209-Driver!$F$209)*$BI$1</f>
        <v/>
      </c>
      <c r="BR244" s="40" t="inlineStr">
        <is>
          <t>21/22</t>
        </is>
      </c>
      <c r="BS244" s="10" t="inlineStr">
        <is>
          <t xml:space="preserve"> Nordica</t>
        </is>
      </c>
      <c r="BT244" s="11" t="inlineStr">
        <is>
          <t>Enforcer 88</t>
        </is>
      </c>
      <c r="BU244" s="13" t="n">
        <v>165</v>
      </c>
      <c r="BV244" s="11" t="inlineStr">
        <is>
          <t xml:space="preserve"> Unisex</t>
        </is>
      </c>
      <c r="BW244" s="13" t="n">
        <v>165</v>
      </c>
      <c r="BX244" s="13" t="n">
        <v>164.5</v>
      </c>
      <c r="BY244" s="13" t="n">
        <v>122</v>
      </c>
      <c r="BZ244" s="13" t="n">
        <v>137</v>
      </c>
      <c r="CA244" s="13" t="n">
        <v>121</v>
      </c>
      <c r="CB244" s="13" t="n">
        <v>87</v>
      </c>
      <c r="CC244" s="13" t="n">
        <v>107</v>
      </c>
      <c r="CD244" s="13" t="n">
        <v>15.3</v>
      </c>
      <c r="CE244" s="13" t="n">
        <v>1820</v>
      </c>
      <c r="CF244" s="13" t="n">
        <v>0.89</v>
      </c>
      <c r="CG244" s="13" t="n">
        <v>1620</v>
      </c>
      <c r="CH244" s="13" t="n">
        <v>178</v>
      </c>
      <c r="CI244" s="13" t="n">
        <v>121</v>
      </c>
      <c r="CJ244" s="13" t="n">
        <v>52</v>
      </c>
      <c r="CK244" s="13" t="n">
        <v>258</v>
      </c>
      <c r="CL244" s="13" t="n">
        <v>11</v>
      </c>
      <c r="CM244" s="13" t="n">
        <v>166</v>
      </c>
      <c r="CN244" s="13" t="n">
        <v>0.215</v>
      </c>
      <c r="CO244" s="13" t="n">
        <v>128</v>
      </c>
      <c r="CP244" s="13" t="n">
        <v>148</v>
      </c>
      <c r="CQ244" s="13" t="n">
        <v>130</v>
      </c>
      <c r="CR244" s="13" t="n">
        <v>8</v>
      </c>
      <c r="CS244" s="13" t="n">
        <v>8.699999999999999</v>
      </c>
      <c r="CT244" s="11" t="inlineStr">
        <is>
          <t xml:space="preserve"> Resort Freeride</t>
        </is>
      </c>
      <c r="CU244" s="13" t="n"/>
      <c r="CV244" s="13" t="n"/>
      <c r="CW244" s="13" t="n"/>
      <c r="CX244">
        <f>INDEX('Data_Price '!AG$2:AG$1266,MATCH(Data!$DN244,'Data_Price '!$AT$2:$AT$1266,0))</f>
        <v/>
      </c>
      <c r="CY244">
        <f>INDEX('Data_Price '!AH$2:AH$1266,MATCH(Data!$DN244,'Data_Price '!$AT$2:$AT$1266,0))</f>
        <v/>
      </c>
      <c r="CZ244">
        <f>INDEX('Data_Price '!AI$2:AI$1266,MATCH(Data!$DN244,'Data_Price '!$AT$2:$AT$1266,0))</f>
        <v/>
      </c>
      <c r="DA244">
        <f>INDEX('Data_Price '!AJ$2:AJ$1266,MATCH(Data!$DN244,'Data_Price '!$AT$2:$AT$1266,0))</f>
        <v/>
      </c>
      <c r="DB244">
        <f>INDEX('Data_Price '!AK$2:AK$1266,MATCH(Data!$DN244,'Data_Price '!$AT$2:$AT$1266,0))</f>
        <v/>
      </c>
      <c r="DC244">
        <f>INDEX('Data_Price '!AL$2:AL$1266,MATCH(Data!$DN244,'Data_Price '!$AT$2:$AT$1266,0))</f>
        <v/>
      </c>
      <c r="DD244">
        <f>INDEX('Data_Price '!AM$2:AM$1266,MATCH(Data!$DN244,'Data_Price '!$AT$2:$AT$1266,0))</f>
        <v/>
      </c>
      <c r="DE244">
        <f>INDEX('Data_Price '!AN$2:AN$1266,MATCH(Data!$DN244,'Data_Price '!$AT$2:$AT$1266,0))</f>
        <v/>
      </c>
      <c r="DF244">
        <f>INDEX('Data_Price '!AO$2:AO$1266,MATCH(Data!$DN244,'Data_Price '!$AT$2:$AT$1266,0))</f>
        <v/>
      </c>
      <c r="DG244">
        <f>INDEX('Data_Price '!AP$2:AP$1266,MATCH(Data!$DN244,'Data_Price '!$AT$2:$AT$1266,0))</f>
        <v/>
      </c>
      <c r="DH244">
        <f>INDEX('Data_Price '!AQ$2:AQ$1266,MATCH(Data!$DN244,'Data_Price '!$AT$2:$AT$1266,0))</f>
        <v/>
      </c>
      <c r="DI244">
        <f>INDEX('Data_Price '!AR$2:AR$1266,MATCH(Data!$DN244,'Data_Price '!$AT$2:$AT$1266,0))</f>
        <v/>
      </c>
      <c r="DJ244" s="138">
        <f>DA244</f>
        <v/>
      </c>
      <c r="DK244" s="138">
        <f>DE244</f>
        <v/>
      </c>
      <c r="DL244" s="138">
        <f>DI244</f>
        <v/>
      </c>
      <c r="DM244" s="303">
        <f>IF(LEFT(BT244,1)=" ",RIGHT(BT244,LEN(BT244)-1),BT244)</f>
        <v/>
      </c>
      <c r="DN244" s="138">
        <f>_xlfn.CONCAT(BS244,DM244,BU244,BV244)</f>
        <v/>
      </c>
      <c r="DO244" s="307" t="n"/>
    </row>
    <row r="245" ht="15.6" customHeight="1" s="184">
      <c r="B245" s="303">
        <f t="array" ref="B245">IF(OR(ISERROR(K245:P245)),FALSE,TRUE)</f>
        <v/>
      </c>
      <c r="C245" s="60">
        <f>OR(BR245=Driver!$G$50,Data!BR864=Driver!$H$50)</f>
        <v/>
      </c>
      <c r="D245" s="60">
        <f>OR(BV245=Driver!$G$51,BV245=Driver!$H$51)</f>
        <v/>
      </c>
      <c r="E245" s="60">
        <f>AND(BX245&gt;Driver!$F$54,BX245&lt;Driver!$G$54)</f>
        <v/>
      </c>
      <c r="F245" s="60">
        <f>CL245&gt;Driver!$F$56</f>
        <v/>
      </c>
      <c r="G245" s="60">
        <f>AND(CB245&gt;Driver!$F$55,CB245&lt;Driver!$G$55)</f>
        <v/>
      </c>
      <c r="H245" s="60">
        <f>AND(B245:G245)</f>
        <v/>
      </c>
      <c r="I245" s="60">
        <f>COUNTIFS($H$9:$H$1273,TRUE,$BT$9:$BT$1273,BT245)</f>
        <v/>
      </c>
      <c r="J245" s="60">
        <f t="array" ref="J245">NOT(OR(($H$9:$H$1273=TRUE)*($I$9:$I$1273&gt;0)*($BT$9:$BT$1273=BT245)*($K$9:$K$1273&gt;K245)))</f>
        <v/>
      </c>
      <c r="K245" s="108">
        <f>IFERROR(1-AVERAGE(X245:Y245),"")</f>
        <v/>
      </c>
      <c r="L245" s="108">
        <f>1-X245</f>
        <v/>
      </c>
      <c r="M245" s="108">
        <f>1-Y245</f>
        <v/>
      </c>
      <c r="N245" s="108">
        <f>1-Z245</f>
        <v/>
      </c>
      <c r="O245" s="108">
        <f>1-AA245</f>
        <v/>
      </c>
      <c r="P245" s="108">
        <f>1-AB245</f>
        <v/>
      </c>
      <c r="Q245" s="108" t="n"/>
      <c r="R245" s="108" t="n"/>
      <c r="S245" s="108">
        <f>1-AE245</f>
        <v/>
      </c>
      <c r="T245" s="108">
        <f>1-AF245</f>
        <v/>
      </c>
      <c r="U245" s="108">
        <f>1-AG245</f>
        <v/>
      </c>
      <c r="V245" s="108">
        <f>1-AH245</f>
        <v/>
      </c>
      <c r="W245" s="108">
        <f>1-AI245</f>
        <v/>
      </c>
      <c r="X245" s="108">
        <f>ABS(AJ245-AJ$1)</f>
        <v/>
      </c>
      <c r="Y245" s="108">
        <f>AVERAGE(Z245:AB245)</f>
        <v/>
      </c>
      <c r="Z245" s="108">
        <f>ABS(AL245-AL$1)</f>
        <v/>
      </c>
      <c r="AA245" s="108">
        <f>ABS(AM245-AM$1)</f>
        <v/>
      </c>
      <c r="AB245" s="108">
        <f>ABS(AN245-AN$1)</f>
        <v/>
      </c>
      <c r="AC245" s="108" t="n"/>
      <c r="AD245" s="108" t="n"/>
      <c r="AE245" s="108">
        <f>ABS(AQ$1-AQ245)</f>
        <v/>
      </c>
      <c r="AF245" s="108">
        <f>ABS(AR$1-AR245)</f>
        <v/>
      </c>
      <c r="AG245" s="108">
        <f>ABS(AS$1-AS245)</f>
        <v/>
      </c>
      <c r="AH245" s="108">
        <f>ABS(AT$1-AT245)</f>
        <v/>
      </c>
      <c r="AI245" s="108">
        <f>ABS(AU$1-AU245)</f>
        <v/>
      </c>
      <c r="AJ245" s="108">
        <f>(AV245-Driver!$K$179)/(Driver!$L$179-Driver!$K$179)</f>
        <v/>
      </c>
      <c r="AK245" s="108">
        <f>(AW245-Driver!$K$180)/(Driver!$L$180-Driver!$K$180)</f>
        <v/>
      </c>
      <c r="AL245" s="108">
        <f>(AX245-Driver!$K$181)/(Driver!$L$181-Driver!$K$181)</f>
        <v/>
      </c>
      <c r="AM245" s="108">
        <f>(AY245-Driver!$K$182)/(Driver!$L$182-Driver!$K$182)</f>
        <v/>
      </c>
      <c r="AN245" s="108">
        <f>(AZ245-Driver!$K$183)/(Driver!$L$183-Driver!$K$183)</f>
        <v/>
      </c>
      <c r="AO245" s="108" t="n"/>
      <c r="AP245" s="108" t="n"/>
      <c r="AQ245" s="108">
        <f>(BC245-Driver!$K$188)/(Driver!$L$188-Driver!$K$188)</f>
        <v/>
      </c>
      <c r="AR245" s="108">
        <f>MIN((BD245-Driver!$K$189)/(Driver!$L$189-Driver!$K$189),100%)</f>
        <v/>
      </c>
      <c r="AS245" s="108">
        <f>(BE245-Driver!$K$190)/(Driver!$L$190-Driver!$K$190)</f>
        <v/>
      </c>
      <c r="AT245" s="108">
        <f>(BF245-Driver!$K$191)/(Driver!$L$191-Driver!$K$191)</f>
        <v/>
      </c>
      <c r="AU245" s="108">
        <f>(BG245-Driver!$K$192)/(Driver!$L$192-Driver!$K$192)</f>
        <v/>
      </c>
      <c r="AV245" s="105">
        <f>IFERROR(BM245*BJ245^1/4,"")</f>
        <v/>
      </c>
      <c r="AW245" s="105">
        <f>IFERROR(SUM(AX245:AZ245),"")</f>
        <v/>
      </c>
      <c r="AX245" s="105">
        <f>IFERROR(BH245,"")</f>
        <v/>
      </c>
      <c r="AY245" s="105">
        <f>IFERROR(Driver!$K$19/Data!BH245/Data!BI245*Data!BK245*Data!BL245,"")</f>
        <v/>
      </c>
      <c r="AZ245" s="105">
        <f>IFERROR(BI245*BN245,"")</f>
        <v/>
      </c>
      <c r="BA245" s="105" t="n"/>
      <c r="BB245" s="105" t="n"/>
      <c r="BC245" s="105">
        <f>IFERROR(BI245*BN245*BK245/BJ245^(1/2),"")</f>
        <v/>
      </c>
      <c r="BD245" s="105">
        <f>IFERROR(BH245*BM245*BL245/BJ245/BK245,"")</f>
        <v/>
      </c>
      <c r="BE245" s="105">
        <f>IFERROR(MIN(BI245/BQ245/BP245/BO245/BH245,$BE$1),"")</f>
        <v/>
      </c>
      <c r="BF245" s="105">
        <f>IFERROR(BJ245*BO245*BP245/BK245,"")</f>
        <v/>
      </c>
      <c r="BG245" s="105">
        <f>IFERROR(1/BM245/BH245*BQ245,"")</f>
        <v/>
      </c>
      <c r="BH245" s="102">
        <f>MAX((CE245-Driver!$F$200)/(Driver!$G$200-Driver!$F$200)*$BI$1,1)</f>
        <v/>
      </c>
      <c r="BI245" s="102">
        <f>MAX($BI$1*(BY245-Driver!$F$201)/(Driver!$G$201-Driver!$F$201),1)</f>
        <v/>
      </c>
      <c r="BJ245" s="102">
        <f>(CB245-Driver!$F$206)/(Driver!$G$206-Driver!$F$206)*$BI$1</f>
        <v/>
      </c>
      <c r="BK245" s="102">
        <f>(CD245-Driver!$F$203)/(Driver!$G$203-Driver!$F$203)*$BI$1</f>
        <v/>
      </c>
      <c r="BL245" s="102">
        <f>MAX((CR245-Driver!$F$202)/(Driver!$G$202-Driver!$F$202)*$BI$1,1)</f>
        <v/>
      </c>
      <c r="BM245" s="102">
        <f>MAX((CH245-Driver!$F$204)/(Driver!$G$204-Driver!$F$204)*$BI$1,1)</f>
        <v/>
      </c>
      <c r="BN245" s="102">
        <f>(CI245-Driver!$F$205)/(Driver!$G$205-Driver!$F$205)*$BI$1</f>
        <v/>
      </c>
      <c r="BO245" s="102">
        <f>(CK245-Driver!$F$207)/(Driver!$G$207-Driver!$F$207)*$BI$1</f>
        <v/>
      </c>
      <c r="BP245" s="102">
        <f>(CM245-Driver!$F$208)/(Driver!$G$208-Driver!$F$208)*$BI$1</f>
        <v/>
      </c>
      <c r="BQ245" s="102">
        <f>(CL245-Driver!$F$209)/(Driver!$G$209-Driver!$F$209)*$BI$1</f>
        <v/>
      </c>
      <c r="BR245" s="40" t="inlineStr">
        <is>
          <t>21/22</t>
        </is>
      </c>
      <c r="BS245" s="10" t="inlineStr">
        <is>
          <t xml:space="preserve"> Line</t>
        </is>
      </c>
      <c r="BT245" s="11" t="inlineStr">
        <is>
          <t>Sick Day 88</t>
        </is>
      </c>
      <c r="BU245" s="13" t="n">
        <v>179</v>
      </c>
      <c r="BV245" s="11" t="inlineStr">
        <is>
          <t xml:space="preserve"> Unisex</t>
        </is>
      </c>
      <c r="BW245" s="13" t="n">
        <v>179</v>
      </c>
      <c r="BX245" s="13" t="n">
        <v>179</v>
      </c>
      <c r="BY245" s="13" t="n">
        <v>135</v>
      </c>
      <c r="BZ245" s="13" t="n">
        <v>154</v>
      </c>
      <c r="CA245" s="13" t="n">
        <v>126</v>
      </c>
      <c r="CB245" s="13" t="n">
        <v>87</v>
      </c>
      <c r="CC245" s="13" t="n">
        <v>113</v>
      </c>
      <c r="CD245" s="13" t="n">
        <v>18.1</v>
      </c>
      <c r="CE245" s="13" t="n">
        <v>1635</v>
      </c>
      <c r="CF245" s="13" t="n">
        <v>1.09</v>
      </c>
      <c r="CG245" s="13" t="n">
        <v>1784</v>
      </c>
      <c r="CH245" s="13" t="n">
        <v>191</v>
      </c>
      <c r="CI245" s="13" t="n">
        <v>101</v>
      </c>
      <c r="CJ245" s="13" t="n">
        <v>44</v>
      </c>
      <c r="CK245" s="13" t="n">
        <v>282</v>
      </c>
      <c r="CL245" s="13" t="n">
        <v>17</v>
      </c>
      <c r="CM245" s="13" t="n">
        <v>155</v>
      </c>
      <c r="CN245" s="13" t="n">
        <v>0.376</v>
      </c>
      <c r="CO245" s="13" t="n">
        <v>146</v>
      </c>
      <c r="CP245" s="13" t="n">
        <v>102</v>
      </c>
      <c r="CQ245" s="13" t="n">
        <v>136</v>
      </c>
      <c r="CR245" s="13" t="n">
        <v>7</v>
      </c>
      <c r="CS245" s="13" t="n">
        <v>10.3</v>
      </c>
      <c r="CT245" s="11" t="inlineStr">
        <is>
          <t xml:space="preserve"> Resort Freeride</t>
        </is>
      </c>
      <c r="CU245" s="11" t="inlineStr">
        <is>
          <t xml:space="preserve"> Touring</t>
        </is>
      </c>
      <c r="CV245" s="13" t="n"/>
      <c r="CW245" s="13" t="n"/>
      <c r="CX245">
        <f>INDEX('Data_Price '!AG$2:AG$1266,MATCH(Data!$DN245,'Data_Price '!$AT$2:$AT$1266,0))</f>
        <v/>
      </c>
      <c r="CY245">
        <f>INDEX('Data_Price '!AH$2:AH$1266,MATCH(Data!$DN245,'Data_Price '!$AT$2:$AT$1266,0))</f>
        <v/>
      </c>
      <c r="CZ245">
        <f>INDEX('Data_Price '!AI$2:AI$1266,MATCH(Data!$DN245,'Data_Price '!$AT$2:$AT$1266,0))</f>
        <v/>
      </c>
      <c r="DA245">
        <f>INDEX('Data_Price '!AJ$2:AJ$1266,MATCH(Data!$DN245,'Data_Price '!$AT$2:$AT$1266,0))</f>
        <v/>
      </c>
      <c r="DB245">
        <f>INDEX('Data_Price '!AK$2:AK$1266,MATCH(Data!$DN245,'Data_Price '!$AT$2:$AT$1266,0))</f>
        <v/>
      </c>
      <c r="DC245">
        <f>INDEX('Data_Price '!AL$2:AL$1266,MATCH(Data!$DN245,'Data_Price '!$AT$2:$AT$1266,0))</f>
        <v/>
      </c>
      <c r="DD245">
        <f>INDEX('Data_Price '!AM$2:AM$1266,MATCH(Data!$DN245,'Data_Price '!$AT$2:$AT$1266,0))</f>
        <v/>
      </c>
      <c r="DE245">
        <f>INDEX('Data_Price '!AN$2:AN$1266,MATCH(Data!$DN245,'Data_Price '!$AT$2:$AT$1266,0))</f>
        <v/>
      </c>
      <c r="DF245">
        <f>INDEX('Data_Price '!AO$2:AO$1266,MATCH(Data!$DN245,'Data_Price '!$AT$2:$AT$1266,0))</f>
        <v/>
      </c>
      <c r="DG245">
        <f>INDEX('Data_Price '!AP$2:AP$1266,MATCH(Data!$DN245,'Data_Price '!$AT$2:$AT$1266,0))</f>
        <v/>
      </c>
      <c r="DH245">
        <f>INDEX('Data_Price '!AQ$2:AQ$1266,MATCH(Data!$DN245,'Data_Price '!$AT$2:$AT$1266,0))</f>
        <v/>
      </c>
      <c r="DI245">
        <f>INDEX('Data_Price '!AR$2:AR$1266,MATCH(Data!$DN245,'Data_Price '!$AT$2:$AT$1266,0))</f>
        <v/>
      </c>
      <c r="DJ245" s="138">
        <f>DA245</f>
        <v/>
      </c>
      <c r="DK245" s="138">
        <f>DE245</f>
        <v/>
      </c>
      <c r="DL245" s="138">
        <f>DI245</f>
        <v/>
      </c>
      <c r="DM245" s="303">
        <f>IF(LEFT(BT245,1)=" ",RIGHT(BT245,LEN(BT245)-1),BT245)</f>
        <v/>
      </c>
      <c r="DN245" s="138">
        <f>_xlfn.CONCAT(BS245,DM245,BU245,BV245)</f>
        <v/>
      </c>
      <c r="DO245" s="307" t="n"/>
    </row>
    <row r="246" ht="15.6" customHeight="1" s="184">
      <c r="B246" s="303">
        <f t="array" ref="B246">IF(OR(ISERROR(K246:P246)),FALSE,TRUE)</f>
        <v/>
      </c>
      <c r="C246" s="60">
        <f>OR(BR246=Driver!$G$50,Data!BR266=Driver!$H$50)</f>
        <v/>
      </c>
      <c r="D246" s="60">
        <f>OR(BV246=Driver!$G$51,BV246=Driver!$H$51)</f>
        <v/>
      </c>
      <c r="E246" s="60">
        <f>AND(BX246&gt;Driver!$F$54,BX246&lt;Driver!$G$54)</f>
        <v/>
      </c>
      <c r="F246" s="60">
        <f>CL246&gt;Driver!$F$56</f>
        <v/>
      </c>
      <c r="G246" s="60">
        <f>AND(CB246&gt;Driver!$F$55,CB246&lt;Driver!$G$55)</f>
        <v/>
      </c>
      <c r="H246" s="60">
        <f>AND(B246:G246)</f>
        <v/>
      </c>
      <c r="I246" s="60">
        <f>COUNTIFS($H$9:$H$1273,TRUE,$BT$9:$BT$1273,BT246)</f>
        <v/>
      </c>
      <c r="J246" s="60">
        <f t="array" ref="J246">NOT(OR(($H$9:$H$1273=TRUE)*($I$9:$I$1273&gt;0)*($BT$9:$BT$1273=BT246)*($K$9:$K$1273&gt;K246)))</f>
        <v/>
      </c>
      <c r="K246" s="108">
        <f>IFERROR(1-AVERAGE(X246:Y246),"")</f>
        <v/>
      </c>
      <c r="L246" s="108">
        <f>1-X246</f>
        <v/>
      </c>
      <c r="M246" s="108">
        <f>1-Y246</f>
        <v/>
      </c>
      <c r="N246" s="108">
        <f>1-Z246</f>
        <v/>
      </c>
      <c r="O246" s="108">
        <f>1-AA246</f>
        <v/>
      </c>
      <c r="P246" s="108">
        <f>1-AB246</f>
        <v/>
      </c>
      <c r="Q246" s="108" t="n"/>
      <c r="R246" s="108" t="n"/>
      <c r="S246" s="108">
        <f>1-AE246</f>
        <v/>
      </c>
      <c r="T246" s="108">
        <f>1-AF246</f>
        <v/>
      </c>
      <c r="U246" s="108">
        <f>1-AG246</f>
        <v/>
      </c>
      <c r="V246" s="108">
        <f>1-AH246</f>
        <v/>
      </c>
      <c r="W246" s="108">
        <f>1-AI246</f>
        <v/>
      </c>
      <c r="X246" s="108">
        <f>ABS(AJ246-AJ$1)</f>
        <v/>
      </c>
      <c r="Y246" s="108">
        <f>AVERAGE(Z246:AB246)</f>
        <v/>
      </c>
      <c r="Z246" s="108">
        <f>ABS(AL246-AL$1)</f>
        <v/>
      </c>
      <c r="AA246" s="108">
        <f>ABS(AM246-AM$1)</f>
        <v/>
      </c>
      <c r="AB246" s="108">
        <f>ABS(AN246-AN$1)</f>
        <v/>
      </c>
      <c r="AC246" s="108" t="n"/>
      <c r="AD246" s="108" t="n"/>
      <c r="AE246" s="108">
        <f>ABS(AQ$1-AQ246)</f>
        <v/>
      </c>
      <c r="AF246" s="108">
        <f>ABS(AR$1-AR246)</f>
        <v/>
      </c>
      <c r="AG246" s="108">
        <f>ABS(AS$1-AS246)</f>
        <v/>
      </c>
      <c r="AH246" s="108">
        <f>ABS(AT$1-AT246)</f>
        <v/>
      </c>
      <c r="AI246" s="108">
        <f>ABS(AU$1-AU246)</f>
        <v/>
      </c>
      <c r="AJ246" s="108">
        <f>(AV246-Driver!$K$179)/(Driver!$L$179-Driver!$K$179)</f>
        <v/>
      </c>
      <c r="AK246" s="108">
        <f>(AW246-Driver!$K$180)/(Driver!$L$180-Driver!$K$180)</f>
        <v/>
      </c>
      <c r="AL246" s="108">
        <f>(AX246-Driver!$K$181)/(Driver!$L$181-Driver!$K$181)</f>
        <v/>
      </c>
      <c r="AM246" s="108">
        <f>(AY246-Driver!$K$182)/(Driver!$L$182-Driver!$K$182)</f>
        <v/>
      </c>
      <c r="AN246" s="108">
        <f>(AZ246-Driver!$K$183)/(Driver!$L$183-Driver!$K$183)</f>
        <v/>
      </c>
      <c r="AO246" s="108" t="n"/>
      <c r="AP246" s="108" t="n"/>
      <c r="AQ246" s="108">
        <f>(BC246-Driver!$K$188)/(Driver!$L$188-Driver!$K$188)</f>
        <v/>
      </c>
      <c r="AR246" s="108">
        <f>MIN((BD246-Driver!$K$189)/(Driver!$L$189-Driver!$K$189),100%)</f>
        <v/>
      </c>
      <c r="AS246" s="108">
        <f>(BE246-Driver!$K$190)/(Driver!$L$190-Driver!$K$190)</f>
        <v/>
      </c>
      <c r="AT246" s="108">
        <f>(BF246-Driver!$K$191)/(Driver!$L$191-Driver!$K$191)</f>
        <v/>
      </c>
      <c r="AU246" s="108">
        <f>(BG246-Driver!$K$192)/(Driver!$L$192-Driver!$K$192)</f>
        <v/>
      </c>
      <c r="AV246" s="105">
        <f>IFERROR(BM246*BJ246^1/4,"")</f>
        <v/>
      </c>
      <c r="AW246" s="105">
        <f>IFERROR(SUM(AX246:AZ246),"")</f>
        <v/>
      </c>
      <c r="AX246" s="105">
        <f>IFERROR(BH246,"")</f>
        <v/>
      </c>
      <c r="AY246" s="105">
        <f>IFERROR(Driver!$K$19/Data!BH246/Data!BI246*Data!BK246*Data!BL246,"")</f>
        <v/>
      </c>
      <c r="AZ246" s="105">
        <f>IFERROR(BI246*BN246,"")</f>
        <v/>
      </c>
      <c r="BA246" s="105" t="n"/>
      <c r="BB246" s="105" t="n"/>
      <c r="BC246" s="105">
        <f>IFERROR(BI246*BN246*BK246/BJ246^(1/2),"")</f>
        <v/>
      </c>
      <c r="BD246" s="105">
        <f>IFERROR(BH246*BM246*BL246/BJ246/BK246,"")</f>
        <v/>
      </c>
      <c r="BE246" s="105">
        <f>IFERROR(MIN(BI246/BQ246/BP246/BO246/BH246,$BE$1),"")</f>
        <v/>
      </c>
      <c r="BF246" s="105">
        <f>IFERROR(BJ246*BO246*BP246/BK246,"")</f>
        <v/>
      </c>
      <c r="BG246" s="105">
        <f>IFERROR(1/BM246/BH246*BQ246,"")</f>
        <v/>
      </c>
      <c r="BH246" s="102">
        <f>MAX((CE246-Driver!$F$200)/(Driver!$G$200-Driver!$F$200)*$BI$1,1)</f>
        <v/>
      </c>
      <c r="BI246" s="102">
        <f>MAX($BI$1*(BY246-Driver!$F$201)/(Driver!$G$201-Driver!$F$201),1)</f>
        <v/>
      </c>
      <c r="BJ246" s="102">
        <f>(CB246-Driver!$F$206)/(Driver!$G$206-Driver!$F$206)*$BI$1</f>
        <v/>
      </c>
      <c r="BK246" s="102">
        <f>(CD246-Driver!$F$203)/(Driver!$G$203-Driver!$F$203)*$BI$1</f>
        <v/>
      </c>
      <c r="BL246" s="102">
        <f>MAX((CR246-Driver!$F$202)/(Driver!$G$202-Driver!$F$202)*$BI$1,1)</f>
        <v/>
      </c>
      <c r="BM246" s="102">
        <f>MAX((CH246-Driver!$F$204)/(Driver!$G$204-Driver!$F$204)*$BI$1,1)</f>
        <v/>
      </c>
      <c r="BN246" s="102">
        <f>(CI246-Driver!$F$205)/(Driver!$G$205-Driver!$F$205)*$BI$1</f>
        <v/>
      </c>
      <c r="BO246" s="102">
        <f>(CK246-Driver!$F$207)/(Driver!$G$207-Driver!$F$207)*$BI$1</f>
        <v/>
      </c>
      <c r="BP246" s="102">
        <f>(CM246-Driver!$F$208)/(Driver!$G$208-Driver!$F$208)*$BI$1</f>
        <v/>
      </c>
      <c r="BQ246" s="102">
        <f>(CL246-Driver!$F$209)/(Driver!$G$209-Driver!$F$209)*$BI$1</f>
        <v/>
      </c>
      <c r="BR246" s="40" t="inlineStr">
        <is>
          <t>21/22</t>
        </is>
      </c>
      <c r="BS246" s="10" t="inlineStr">
        <is>
          <t xml:space="preserve"> Blizzard</t>
        </is>
      </c>
      <c r="BT246" s="11" t="inlineStr">
        <is>
          <t>Black Pearl 97</t>
        </is>
      </c>
      <c r="BU246" s="13" t="n">
        <v>165</v>
      </c>
      <c r="BV246" s="11" t="inlineStr">
        <is>
          <t xml:space="preserve"> Women's</t>
        </is>
      </c>
      <c r="BW246" s="13" t="n">
        <v>165</v>
      </c>
      <c r="BX246" s="13" t="n">
        <v>163.8</v>
      </c>
      <c r="BY246" s="13" t="n">
        <v>130</v>
      </c>
      <c r="BZ246" s="13" t="n">
        <v>140</v>
      </c>
      <c r="CA246" s="13" t="n">
        <v>136</v>
      </c>
      <c r="CB246" s="13" t="n">
        <v>96</v>
      </c>
      <c r="CC246" s="13" t="n">
        <v>118</v>
      </c>
      <c r="CD246" s="13" t="n">
        <v>15.3</v>
      </c>
      <c r="CE246" s="13" t="n">
        <v>1911</v>
      </c>
      <c r="CF246" s="13" t="n">
        <v>0.92</v>
      </c>
      <c r="CG246" s="13" t="n">
        <v>1766</v>
      </c>
      <c r="CH246" s="13" t="n">
        <v>191</v>
      </c>
      <c r="CI246" s="13" t="n">
        <v>95</v>
      </c>
      <c r="CJ246" s="13" t="n">
        <v>59</v>
      </c>
      <c r="CK246" s="13" t="n">
        <v>228</v>
      </c>
      <c r="CL246" s="13" t="n">
        <v>9</v>
      </c>
      <c r="CM246" s="13" t="n">
        <v>112</v>
      </c>
      <c r="CN246" s="13" t="n">
        <v>0.16</v>
      </c>
      <c r="CO246" s="13" t="n">
        <v>126</v>
      </c>
      <c r="CP246" s="13" t="n">
        <v>108</v>
      </c>
      <c r="CQ246" s="13" t="n">
        <v>102</v>
      </c>
      <c r="CR246" s="13" t="n">
        <v>6</v>
      </c>
      <c r="CS246" s="13" t="n">
        <v>11.4</v>
      </c>
      <c r="CT246" s="11" t="inlineStr">
        <is>
          <t xml:space="preserve"> Resort Freeride</t>
        </is>
      </c>
      <c r="CU246" s="13" t="n"/>
      <c r="CV246" s="13" t="n"/>
      <c r="CW246" s="13" t="n"/>
      <c r="CX246">
        <f>INDEX('Data_Price '!AG$2:AG$1266,MATCH(Data!$DN246,'Data_Price '!$AT$2:$AT$1266,0))</f>
        <v/>
      </c>
      <c r="CY246">
        <f>INDEX('Data_Price '!AH$2:AH$1266,MATCH(Data!$DN246,'Data_Price '!$AT$2:$AT$1266,0))</f>
        <v/>
      </c>
      <c r="CZ246">
        <f>INDEX('Data_Price '!AI$2:AI$1266,MATCH(Data!$DN246,'Data_Price '!$AT$2:$AT$1266,0))</f>
        <v/>
      </c>
      <c r="DA246">
        <f>INDEX('Data_Price '!AJ$2:AJ$1266,MATCH(Data!$DN246,'Data_Price '!$AT$2:$AT$1266,0))</f>
        <v/>
      </c>
      <c r="DB246">
        <f>INDEX('Data_Price '!AK$2:AK$1266,MATCH(Data!$DN246,'Data_Price '!$AT$2:$AT$1266,0))</f>
        <v/>
      </c>
      <c r="DC246">
        <f>INDEX('Data_Price '!AL$2:AL$1266,MATCH(Data!$DN246,'Data_Price '!$AT$2:$AT$1266,0))</f>
        <v/>
      </c>
      <c r="DD246">
        <f>INDEX('Data_Price '!AM$2:AM$1266,MATCH(Data!$DN246,'Data_Price '!$AT$2:$AT$1266,0))</f>
        <v/>
      </c>
      <c r="DE246">
        <f>INDEX('Data_Price '!AN$2:AN$1266,MATCH(Data!$DN246,'Data_Price '!$AT$2:$AT$1266,0))</f>
        <v/>
      </c>
      <c r="DF246">
        <f>INDEX('Data_Price '!AO$2:AO$1266,MATCH(Data!$DN246,'Data_Price '!$AT$2:$AT$1266,0))</f>
        <v/>
      </c>
      <c r="DG246">
        <f>INDEX('Data_Price '!AP$2:AP$1266,MATCH(Data!$DN246,'Data_Price '!$AT$2:$AT$1266,0))</f>
        <v/>
      </c>
      <c r="DH246">
        <f>INDEX('Data_Price '!AQ$2:AQ$1266,MATCH(Data!$DN246,'Data_Price '!$AT$2:$AT$1266,0))</f>
        <v/>
      </c>
      <c r="DI246">
        <f>INDEX('Data_Price '!AR$2:AR$1266,MATCH(Data!$DN246,'Data_Price '!$AT$2:$AT$1266,0))</f>
        <v/>
      </c>
      <c r="DJ246" s="138">
        <f>DA246</f>
        <v/>
      </c>
      <c r="DK246" s="138">
        <f>DE246</f>
        <v/>
      </c>
      <c r="DL246" s="138">
        <f>DI246</f>
        <v/>
      </c>
      <c r="DM246" s="303">
        <f>IF(LEFT(BT246,1)=" ",RIGHT(BT246,LEN(BT246)-1),BT246)</f>
        <v/>
      </c>
      <c r="DN246" s="138">
        <f>_xlfn.CONCAT(BS246,DM246,BU246,BV246)</f>
        <v/>
      </c>
      <c r="DO246" s="307" t="inlineStr">
        <is>
          <t>https://images.evo.com/imgp/250/176882/722692/blizzard-black-pearl-97-skis-women-s-2022-.jpg</t>
        </is>
      </c>
    </row>
    <row r="247" ht="15.6" customHeight="1" s="184">
      <c r="B247" s="303">
        <f t="array" ref="B247">IF(OR(ISERROR(K247:P247)),FALSE,TRUE)</f>
        <v/>
      </c>
      <c r="C247" s="60">
        <f>OR(BR247=Driver!$G$50,Data!BR684=Driver!$H$50)</f>
        <v/>
      </c>
      <c r="D247" s="60">
        <f>OR(BV247=Driver!$G$51,BV247=Driver!$H$51)</f>
        <v/>
      </c>
      <c r="E247" s="60">
        <f>AND(BX247&gt;Driver!$F$54,BX247&lt;Driver!$G$54)</f>
        <v/>
      </c>
      <c r="F247" s="60">
        <f>CL247&gt;Driver!$F$56</f>
        <v/>
      </c>
      <c r="G247" s="60">
        <f>AND(CB247&gt;Driver!$F$55,CB247&lt;Driver!$G$55)</f>
        <v/>
      </c>
      <c r="H247" s="60">
        <f>AND(B247:G247)</f>
        <v/>
      </c>
      <c r="I247" s="60">
        <f>COUNTIFS($H$9:$H$1273,TRUE,$BT$9:$BT$1273,BT247)</f>
        <v/>
      </c>
      <c r="J247" s="60">
        <f t="array" ref="J247">NOT(OR(($H$9:$H$1273=TRUE)*($I$9:$I$1273&gt;0)*($BT$9:$BT$1273=BT247)*($K$9:$K$1273&gt;K247)))</f>
        <v/>
      </c>
      <c r="K247" s="108">
        <f>IFERROR(1-AVERAGE(X247:Y247),"")</f>
        <v/>
      </c>
      <c r="L247" s="108">
        <f>1-X247</f>
        <v/>
      </c>
      <c r="M247" s="108">
        <f>1-Y247</f>
        <v/>
      </c>
      <c r="N247" s="108">
        <f>1-Z247</f>
        <v/>
      </c>
      <c r="O247" s="108">
        <f>1-AA247</f>
        <v/>
      </c>
      <c r="P247" s="108">
        <f>1-AB247</f>
        <v/>
      </c>
      <c r="Q247" s="108" t="n"/>
      <c r="R247" s="108" t="n"/>
      <c r="S247" s="108">
        <f>1-AE247</f>
        <v/>
      </c>
      <c r="T247" s="108">
        <f>1-AF247</f>
        <v/>
      </c>
      <c r="U247" s="108">
        <f>1-AG247</f>
        <v/>
      </c>
      <c r="V247" s="108">
        <f>1-AH247</f>
        <v/>
      </c>
      <c r="W247" s="108">
        <f>1-AI247</f>
        <v/>
      </c>
      <c r="X247" s="108">
        <f>ABS(AJ247-AJ$1)</f>
        <v/>
      </c>
      <c r="Y247" s="108">
        <f>AVERAGE(Z247:AB247)</f>
        <v/>
      </c>
      <c r="Z247" s="108">
        <f>ABS(AL247-AL$1)</f>
        <v/>
      </c>
      <c r="AA247" s="108">
        <f>ABS(AM247-AM$1)</f>
        <v/>
      </c>
      <c r="AB247" s="108">
        <f>ABS(AN247-AN$1)</f>
        <v/>
      </c>
      <c r="AC247" s="108" t="n"/>
      <c r="AD247" s="108" t="n"/>
      <c r="AE247" s="108">
        <f>ABS(AQ$1-AQ247)</f>
        <v/>
      </c>
      <c r="AF247" s="108">
        <f>ABS(AR$1-AR247)</f>
        <v/>
      </c>
      <c r="AG247" s="108">
        <f>ABS(AS$1-AS247)</f>
        <v/>
      </c>
      <c r="AH247" s="108">
        <f>ABS(AT$1-AT247)</f>
        <v/>
      </c>
      <c r="AI247" s="108">
        <f>ABS(AU$1-AU247)</f>
        <v/>
      </c>
      <c r="AJ247" s="108">
        <f>(AV247-Driver!$K$179)/(Driver!$L$179-Driver!$K$179)</f>
        <v/>
      </c>
      <c r="AK247" s="108">
        <f>(AW247-Driver!$K$180)/(Driver!$L$180-Driver!$K$180)</f>
        <v/>
      </c>
      <c r="AL247" s="108">
        <f>(AX247-Driver!$K$181)/(Driver!$L$181-Driver!$K$181)</f>
        <v/>
      </c>
      <c r="AM247" s="108">
        <f>(AY247-Driver!$K$182)/(Driver!$L$182-Driver!$K$182)</f>
        <v/>
      </c>
      <c r="AN247" s="108">
        <f>(AZ247-Driver!$K$183)/(Driver!$L$183-Driver!$K$183)</f>
        <v/>
      </c>
      <c r="AO247" s="108" t="n"/>
      <c r="AP247" s="108" t="n"/>
      <c r="AQ247" s="108">
        <f>(BC247-Driver!$K$188)/(Driver!$L$188-Driver!$K$188)</f>
        <v/>
      </c>
      <c r="AR247" s="108">
        <f>MIN((BD247-Driver!$K$189)/(Driver!$L$189-Driver!$K$189),100%)</f>
        <v/>
      </c>
      <c r="AS247" s="108">
        <f>(BE247-Driver!$K$190)/(Driver!$L$190-Driver!$K$190)</f>
        <v/>
      </c>
      <c r="AT247" s="108">
        <f>(BF247-Driver!$K$191)/(Driver!$L$191-Driver!$K$191)</f>
        <v/>
      </c>
      <c r="AU247" s="108">
        <f>(BG247-Driver!$K$192)/(Driver!$L$192-Driver!$K$192)</f>
        <v/>
      </c>
      <c r="AV247" s="105">
        <f>IFERROR(BM247*BJ247^1/4,"")</f>
        <v/>
      </c>
      <c r="AW247" s="105">
        <f>IFERROR(SUM(AX247:AZ247),"")</f>
        <v/>
      </c>
      <c r="AX247" s="105">
        <f>IFERROR(BH247,"")</f>
        <v/>
      </c>
      <c r="AY247" s="105">
        <f>IFERROR(Driver!$K$19/Data!BH247/Data!BI247*Data!BK247*Data!BL247,"")</f>
        <v/>
      </c>
      <c r="AZ247" s="105">
        <f>IFERROR(BI247*BN247,"")</f>
        <v/>
      </c>
      <c r="BA247" s="105" t="n"/>
      <c r="BB247" s="105" t="n"/>
      <c r="BC247" s="105">
        <f>IFERROR(BI247*BN247*BK247/BJ247^(1/2),"")</f>
        <v/>
      </c>
      <c r="BD247" s="105">
        <f>IFERROR(BH247*BM247*BL247/BJ247/BK247,"")</f>
        <v/>
      </c>
      <c r="BE247" s="105">
        <f>IFERROR(MIN(BI247/BQ247/BP247/BO247/BH247,$BE$1),"")</f>
        <v/>
      </c>
      <c r="BF247" s="105">
        <f>IFERROR(BJ247*BO247*BP247/BK247,"")</f>
        <v/>
      </c>
      <c r="BG247" s="105">
        <f>IFERROR(1/BM247/BH247*BQ247,"")</f>
        <v/>
      </c>
      <c r="BH247" s="102">
        <f>MAX((CE247-Driver!$F$200)/(Driver!$G$200-Driver!$F$200)*$BI$1,1)</f>
        <v/>
      </c>
      <c r="BI247" s="102">
        <f>MAX($BI$1*(BY247-Driver!$F$201)/(Driver!$G$201-Driver!$F$201),1)</f>
        <v/>
      </c>
      <c r="BJ247" s="102">
        <f>(CB247-Driver!$F$206)/(Driver!$G$206-Driver!$F$206)*$BI$1</f>
        <v/>
      </c>
      <c r="BK247" s="102">
        <f>(CD247-Driver!$F$203)/(Driver!$G$203-Driver!$F$203)*$BI$1</f>
        <v/>
      </c>
      <c r="BL247" s="102">
        <f>MAX((CR247-Driver!$F$202)/(Driver!$G$202-Driver!$F$202)*$BI$1,1)</f>
        <v/>
      </c>
      <c r="BM247" s="102">
        <f>MAX((CH247-Driver!$F$204)/(Driver!$G$204-Driver!$F$204)*$BI$1,1)</f>
        <v/>
      </c>
      <c r="BN247" s="102">
        <f>(CI247-Driver!$F$205)/(Driver!$G$205-Driver!$F$205)*$BI$1</f>
        <v/>
      </c>
      <c r="BO247" s="102">
        <f>(CK247-Driver!$F$207)/(Driver!$G$207-Driver!$F$207)*$BI$1</f>
        <v/>
      </c>
      <c r="BP247" s="102">
        <f>(CM247-Driver!$F$208)/(Driver!$G$208-Driver!$F$208)*$BI$1</f>
        <v/>
      </c>
      <c r="BQ247" s="102">
        <f>(CL247-Driver!$F$209)/(Driver!$G$209-Driver!$F$209)*$BI$1</f>
        <v/>
      </c>
      <c r="BR247" s="40" t="inlineStr">
        <is>
          <t>21/22</t>
        </is>
      </c>
      <c r="BS247" s="10" t="inlineStr">
        <is>
          <t xml:space="preserve"> Icelantic</t>
        </is>
      </c>
      <c r="BT247" s="11" t="inlineStr">
        <is>
          <t>Nomad Lite 105</t>
        </is>
      </c>
      <c r="BU247" s="13" t="n">
        <v>176</v>
      </c>
      <c r="BV247" s="11" t="inlineStr">
        <is>
          <t xml:space="preserve"> Unisex</t>
        </is>
      </c>
      <c r="BW247" s="13" t="n">
        <v>176</v>
      </c>
      <c r="BX247" s="13" t="n">
        <v>173.3</v>
      </c>
      <c r="BY247" s="13" t="n">
        <v>108</v>
      </c>
      <c r="BZ247" s="13" t="n">
        <v>147</v>
      </c>
      <c r="CA247" s="13" t="n">
        <v>145</v>
      </c>
      <c r="CB247" s="13" t="n">
        <v>110</v>
      </c>
      <c r="CC247" s="13" t="n">
        <v>135</v>
      </c>
      <c r="CD247" s="13" t="n">
        <v>17.7</v>
      </c>
      <c r="CE247" s="13" t="n">
        <v>1781</v>
      </c>
      <c r="CF247" s="13" t="n">
        <v>1.18</v>
      </c>
      <c r="CG247" s="13" t="n">
        <v>2096</v>
      </c>
      <c r="CH247" s="13" t="n">
        <v>247</v>
      </c>
      <c r="CI247" s="13" t="n">
        <v>108</v>
      </c>
      <c r="CJ247" s="13" t="n">
        <v>57</v>
      </c>
      <c r="CK247" s="13" t="n">
        <v>354</v>
      </c>
      <c r="CL247" s="13" t="n">
        <v>53</v>
      </c>
      <c r="CM247" s="13" t="n">
        <v>304</v>
      </c>
      <c r="CN247" s="13" t="n">
        <v>0.924</v>
      </c>
      <c r="CO247" s="13" t="n">
        <v>128</v>
      </c>
      <c r="CP247" s="13" t="n">
        <v>137</v>
      </c>
      <c r="CQ247" s="13" t="n">
        <v>226</v>
      </c>
      <c r="CR247" s="13" t="n">
        <v>3</v>
      </c>
      <c r="CS247" s="13" t="n">
        <v>8.5</v>
      </c>
      <c r="CT247" s="11" t="inlineStr">
        <is>
          <t xml:space="preserve"> Freeski</t>
        </is>
      </c>
      <c r="CU247" s="11" t="inlineStr">
        <is>
          <t xml:space="preserve"> Powder</t>
        </is>
      </c>
      <c r="CV247" s="11" t="inlineStr">
        <is>
          <t xml:space="preserve"> Touring</t>
        </is>
      </c>
      <c r="CW247" s="13" t="n"/>
      <c r="CX247">
        <f>INDEX('Data_Price '!AG$2:AG$1266,MATCH(Data!$DN247,'Data_Price '!$AT$2:$AT$1266,0))</f>
        <v/>
      </c>
      <c r="CY247">
        <f>INDEX('Data_Price '!AH$2:AH$1266,MATCH(Data!$DN247,'Data_Price '!$AT$2:$AT$1266,0))</f>
        <v/>
      </c>
      <c r="CZ247">
        <f>INDEX('Data_Price '!AI$2:AI$1266,MATCH(Data!$DN247,'Data_Price '!$AT$2:$AT$1266,0))</f>
        <v/>
      </c>
      <c r="DA247">
        <f>INDEX('Data_Price '!AJ$2:AJ$1266,MATCH(Data!$DN247,'Data_Price '!$AT$2:$AT$1266,0))</f>
        <v/>
      </c>
      <c r="DB247">
        <f>INDEX('Data_Price '!AK$2:AK$1266,MATCH(Data!$DN247,'Data_Price '!$AT$2:$AT$1266,0))</f>
        <v/>
      </c>
      <c r="DC247">
        <f>INDEX('Data_Price '!AL$2:AL$1266,MATCH(Data!$DN247,'Data_Price '!$AT$2:$AT$1266,0))</f>
        <v/>
      </c>
      <c r="DD247">
        <f>INDEX('Data_Price '!AM$2:AM$1266,MATCH(Data!$DN247,'Data_Price '!$AT$2:$AT$1266,0))</f>
        <v/>
      </c>
      <c r="DE247">
        <f>INDEX('Data_Price '!AN$2:AN$1266,MATCH(Data!$DN247,'Data_Price '!$AT$2:$AT$1266,0))</f>
        <v/>
      </c>
      <c r="DF247">
        <f>INDEX('Data_Price '!AO$2:AO$1266,MATCH(Data!$DN247,'Data_Price '!$AT$2:$AT$1266,0))</f>
        <v/>
      </c>
      <c r="DG247">
        <f>INDEX('Data_Price '!AP$2:AP$1266,MATCH(Data!$DN247,'Data_Price '!$AT$2:$AT$1266,0))</f>
        <v/>
      </c>
      <c r="DH247">
        <f>INDEX('Data_Price '!AQ$2:AQ$1266,MATCH(Data!$DN247,'Data_Price '!$AT$2:$AT$1266,0))</f>
        <v/>
      </c>
      <c r="DI247">
        <f>INDEX('Data_Price '!AR$2:AR$1266,MATCH(Data!$DN247,'Data_Price '!$AT$2:$AT$1266,0))</f>
        <v/>
      </c>
      <c r="DJ247" s="138">
        <f>DA247</f>
        <v/>
      </c>
      <c r="DK247" s="138">
        <f>DE247</f>
        <v/>
      </c>
      <c r="DL247" s="138">
        <f>DI247</f>
        <v/>
      </c>
      <c r="DM247" s="303">
        <f>IF(LEFT(BT247,1)=" ",RIGHT(BT247,LEN(BT247)-1),BT247)</f>
        <v/>
      </c>
      <c r="DN247" s="138">
        <f>_xlfn.CONCAT(BS247,DM247,BU247,BV247)</f>
        <v/>
      </c>
      <c r="DO247" s="307" t="inlineStr">
        <is>
          <t>https://images.evo.com/imgp/250/208406/833110/icelantic-nomad-lite-105-skis-2022-.jpg</t>
        </is>
      </c>
    </row>
    <row r="248" ht="15.6" customHeight="1" s="184">
      <c r="B248" s="303">
        <f t="array" ref="B248">IF(OR(ISERROR(K248:P248)),FALSE,TRUE)</f>
        <v/>
      </c>
      <c r="C248" s="60">
        <f>OR(BR248=Driver!$G$50,Data!BR120=Driver!$H$50)</f>
        <v/>
      </c>
      <c r="D248" s="60">
        <f>OR(BV248=Driver!$G$51,BV248=Driver!$H$51)</f>
        <v/>
      </c>
      <c r="E248" s="60">
        <f>AND(BX248&gt;Driver!$F$54,BX248&lt;Driver!$G$54)</f>
        <v/>
      </c>
      <c r="F248" s="60">
        <f>CL248&gt;Driver!$F$56</f>
        <v/>
      </c>
      <c r="G248" s="60">
        <f>AND(CB248&gt;Driver!$F$55,CB248&lt;Driver!$G$55)</f>
        <v/>
      </c>
      <c r="H248" s="60">
        <f>AND(B248:G248)</f>
        <v/>
      </c>
      <c r="I248" s="60">
        <f>COUNTIFS($H$9:$H$1273,TRUE,$BT$9:$BT$1273,BT248)</f>
        <v/>
      </c>
      <c r="J248" s="60">
        <f t="array" ref="J248">NOT(OR(($H$9:$H$1273=TRUE)*($I$9:$I$1273&gt;0)*($BT$9:$BT$1273=BT248)*($K$9:$K$1273&gt;K248)))</f>
        <v/>
      </c>
      <c r="K248" s="108">
        <f>IFERROR(1-AVERAGE(X248:Y248),"")</f>
        <v/>
      </c>
      <c r="L248" s="108">
        <f>1-X248</f>
        <v/>
      </c>
      <c r="M248" s="108">
        <f>1-Y248</f>
        <v/>
      </c>
      <c r="N248" s="108">
        <f>1-Z248</f>
        <v/>
      </c>
      <c r="O248" s="108">
        <f>1-AA248</f>
        <v/>
      </c>
      <c r="P248" s="108">
        <f>1-AB248</f>
        <v/>
      </c>
      <c r="Q248" s="108" t="n"/>
      <c r="R248" s="108" t="n"/>
      <c r="S248" s="108">
        <f>1-AE248</f>
        <v/>
      </c>
      <c r="T248" s="108">
        <f>1-AF248</f>
        <v/>
      </c>
      <c r="U248" s="108">
        <f>1-AG248</f>
        <v/>
      </c>
      <c r="V248" s="108">
        <f>1-AH248</f>
        <v/>
      </c>
      <c r="W248" s="108">
        <f>1-AI248</f>
        <v/>
      </c>
      <c r="X248" s="108">
        <f>ABS(AJ248-AJ$1)</f>
        <v/>
      </c>
      <c r="Y248" s="108">
        <f>AVERAGE(Z248:AB248)</f>
        <v/>
      </c>
      <c r="Z248" s="108">
        <f>ABS(AL248-AL$1)</f>
        <v/>
      </c>
      <c r="AA248" s="108">
        <f>ABS(AM248-AM$1)</f>
        <v/>
      </c>
      <c r="AB248" s="108">
        <f>ABS(AN248-AN$1)</f>
        <v/>
      </c>
      <c r="AC248" s="108" t="n"/>
      <c r="AD248" s="108" t="n"/>
      <c r="AE248" s="108">
        <f>ABS(AQ$1-AQ248)</f>
        <v/>
      </c>
      <c r="AF248" s="108">
        <f>ABS(AR$1-AR248)</f>
        <v/>
      </c>
      <c r="AG248" s="108">
        <f>ABS(AS$1-AS248)</f>
        <v/>
      </c>
      <c r="AH248" s="108">
        <f>ABS(AT$1-AT248)</f>
        <v/>
      </c>
      <c r="AI248" s="108">
        <f>ABS(AU$1-AU248)</f>
        <v/>
      </c>
      <c r="AJ248" s="108">
        <f>(AV248-Driver!$K$179)/(Driver!$L$179-Driver!$K$179)</f>
        <v/>
      </c>
      <c r="AK248" s="108">
        <f>(AW248-Driver!$K$180)/(Driver!$L$180-Driver!$K$180)</f>
        <v/>
      </c>
      <c r="AL248" s="108">
        <f>(AX248-Driver!$K$181)/(Driver!$L$181-Driver!$K$181)</f>
        <v/>
      </c>
      <c r="AM248" s="108">
        <f>(AY248-Driver!$K$182)/(Driver!$L$182-Driver!$K$182)</f>
        <v/>
      </c>
      <c r="AN248" s="108">
        <f>(AZ248-Driver!$K$183)/(Driver!$L$183-Driver!$K$183)</f>
        <v/>
      </c>
      <c r="AO248" s="108" t="n"/>
      <c r="AP248" s="108" t="n"/>
      <c r="AQ248" s="108">
        <f>(BC248-Driver!$K$188)/(Driver!$L$188-Driver!$K$188)</f>
        <v/>
      </c>
      <c r="AR248" s="108">
        <f>MIN((BD248-Driver!$K$189)/(Driver!$L$189-Driver!$K$189),100%)</f>
        <v/>
      </c>
      <c r="AS248" s="108">
        <f>(BE248-Driver!$K$190)/(Driver!$L$190-Driver!$K$190)</f>
        <v/>
      </c>
      <c r="AT248" s="108">
        <f>(BF248-Driver!$K$191)/(Driver!$L$191-Driver!$K$191)</f>
        <v/>
      </c>
      <c r="AU248" s="108">
        <f>(BG248-Driver!$K$192)/(Driver!$L$192-Driver!$K$192)</f>
        <v/>
      </c>
      <c r="AV248" s="105">
        <f>IFERROR(BM248*BJ248^1/4,"")</f>
        <v/>
      </c>
      <c r="AW248" s="105">
        <f>IFERROR(SUM(AX248:AZ248),"")</f>
        <v/>
      </c>
      <c r="AX248" s="105">
        <f>IFERROR(BH248,"")</f>
        <v/>
      </c>
      <c r="AY248" s="105">
        <f>IFERROR(Driver!$K$19/Data!BH248/Data!BI248*Data!BK248*Data!BL248,"")</f>
        <v/>
      </c>
      <c r="AZ248" s="105">
        <f>IFERROR(BI248*BN248,"")</f>
        <v/>
      </c>
      <c r="BA248" s="105" t="n"/>
      <c r="BB248" s="105" t="n"/>
      <c r="BC248" s="105">
        <f>IFERROR(BI248*BN248*BK248/BJ248^(1/2),"")</f>
        <v/>
      </c>
      <c r="BD248" s="105">
        <f>IFERROR(BH248*BM248*BL248/BJ248/BK248,"")</f>
        <v/>
      </c>
      <c r="BE248" s="105">
        <f>IFERROR(MIN(BI248/BQ248/BP248/BO248/BH248,$BE$1),"")</f>
        <v/>
      </c>
      <c r="BF248" s="105">
        <f>IFERROR(BJ248*BO248*BP248/BK248,"")</f>
        <v/>
      </c>
      <c r="BG248" s="105">
        <f>IFERROR(1/BM248/BH248*BQ248,"")</f>
        <v/>
      </c>
      <c r="BH248" s="102">
        <f>MAX((CE248-Driver!$F$200)/(Driver!$G$200-Driver!$F$200)*$BI$1,1)</f>
        <v/>
      </c>
      <c r="BI248" s="102">
        <f>MAX($BI$1*(BY248-Driver!$F$201)/(Driver!$G$201-Driver!$F$201),1)</f>
        <v/>
      </c>
      <c r="BJ248" s="102">
        <f>(CB248-Driver!$F$206)/(Driver!$G$206-Driver!$F$206)*$BI$1</f>
        <v/>
      </c>
      <c r="BK248" s="102">
        <f>(CD248-Driver!$F$203)/(Driver!$G$203-Driver!$F$203)*$BI$1</f>
        <v/>
      </c>
      <c r="BL248" s="102">
        <f>MAX((CR248-Driver!$F$202)/(Driver!$G$202-Driver!$F$202)*$BI$1,1)</f>
        <v/>
      </c>
      <c r="BM248" s="102">
        <f>MAX((CH248-Driver!$F$204)/(Driver!$G$204-Driver!$F$204)*$BI$1,1)</f>
        <v/>
      </c>
      <c r="BN248" s="102">
        <f>(CI248-Driver!$F$205)/(Driver!$G$205-Driver!$F$205)*$BI$1</f>
        <v/>
      </c>
      <c r="BO248" s="102">
        <f>(CK248-Driver!$F$207)/(Driver!$G$207-Driver!$F$207)*$BI$1</f>
        <v/>
      </c>
      <c r="BP248" s="102">
        <f>(CM248-Driver!$F$208)/(Driver!$G$208-Driver!$F$208)*$BI$1</f>
        <v/>
      </c>
      <c r="BQ248" s="102">
        <f>(CL248-Driver!$F$209)/(Driver!$G$209-Driver!$F$209)*$BI$1</f>
        <v/>
      </c>
      <c r="BR248" s="40" t="inlineStr">
        <is>
          <t>21/22</t>
        </is>
      </c>
      <c r="BS248" s="10" t="inlineStr">
        <is>
          <t xml:space="preserve"> Atomic</t>
        </is>
      </c>
      <c r="BT248" s="11" t="inlineStr">
        <is>
          <t>Backland 107</t>
        </is>
      </c>
      <c r="BU248" s="13" t="n">
        <v>175</v>
      </c>
      <c r="BV248" s="11" t="inlineStr">
        <is>
          <t xml:space="preserve"> Unisex</t>
        </is>
      </c>
      <c r="BW248" s="13" t="n">
        <v>175</v>
      </c>
      <c r="BX248" s="13" t="n">
        <v>174.5</v>
      </c>
      <c r="BY248" s="13" t="n">
        <v>114</v>
      </c>
      <c r="BZ248" s="13" t="n">
        <v>134</v>
      </c>
      <c r="CA248" s="13" t="n">
        <v>135</v>
      </c>
      <c r="CB248" s="13" t="n">
        <v>107</v>
      </c>
      <c r="CC248" s="13" t="n">
        <v>122</v>
      </c>
      <c r="CD248" s="13" t="n">
        <v>18.1</v>
      </c>
      <c r="CE248" s="13" t="n">
        <v>1508</v>
      </c>
      <c r="CF248" s="13" t="n">
        <v>1.33</v>
      </c>
      <c r="CG248" s="13" t="n">
        <v>2013</v>
      </c>
      <c r="CH248" s="13" t="n">
        <v>178</v>
      </c>
      <c r="CI248" s="13" t="n">
        <v>89</v>
      </c>
      <c r="CJ248" s="13" t="n">
        <v>51</v>
      </c>
      <c r="CK248" s="13" t="n">
        <v>367</v>
      </c>
      <c r="CL248" s="13" t="n">
        <v>16</v>
      </c>
      <c r="CM248" s="13" t="n">
        <v>234</v>
      </c>
      <c r="CN248" s="13" t="n">
        <v>0.32</v>
      </c>
      <c r="CO248" s="13" t="n">
        <v>225</v>
      </c>
      <c r="CP248" s="13" t="n">
        <v>185</v>
      </c>
      <c r="CQ248" s="13" t="n">
        <v>143</v>
      </c>
      <c r="CR248" s="13" t="n">
        <v>4</v>
      </c>
      <c r="CS248" s="13" t="n">
        <v>9.699999999999999</v>
      </c>
      <c r="CT248" s="11" t="inlineStr">
        <is>
          <t xml:space="preserve"> Big Mountain</t>
        </is>
      </c>
      <c r="CU248" s="11" t="inlineStr">
        <is>
          <t xml:space="preserve"> Touring</t>
        </is>
      </c>
      <c r="CV248" s="11" t="inlineStr">
        <is>
          <t xml:space="preserve"> Ultralight Touring</t>
        </is>
      </c>
      <c r="CW248" s="13" t="n"/>
      <c r="CX248">
        <f>INDEX('Data_Price '!AG$2:AG$1266,MATCH(Data!$DN248,'Data_Price '!$AT$2:$AT$1266,0))</f>
        <v/>
      </c>
      <c r="CY248">
        <f>INDEX('Data_Price '!AH$2:AH$1266,MATCH(Data!$DN248,'Data_Price '!$AT$2:$AT$1266,0))</f>
        <v/>
      </c>
      <c r="CZ248">
        <f>INDEX('Data_Price '!AI$2:AI$1266,MATCH(Data!$DN248,'Data_Price '!$AT$2:$AT$1266,0))</f>
        <v/>
      </c>
      <c r="DA248">
        <f>INDEX('Data_Price '!AJ$2:AJ$1266,MATCH(Data!$DN248,'Data_Price '!$AT$2:$AT$1266,0))</f>
        <v/>
      </c>
      <c r="DB248">
        <f>INDEX('Data_Price '!AK$2:AK$1266,MATCH(Data!$DN248,'Data_Price '!$AT$2:$AT$1266,0))</f>
        <v/>
      </c>
      <c r="DC248">
        <f>INDEX('Data_Price '!AL$2:AL$1266,MATCH(Data!$DN248,'Data_Price '!$AT$2:$AT$1266,0))</f>
        <v/>
      </c>
      <c r="DD248">
        <f>INDEX('Data_Price '!AM$2:AM$1266,MATCH(Data!$DN248,'Data_Price '!$AT$2:$AT$1266,0))</f>
        <v/>
      </c>
      <c r="DE248">
        <f>INDEX('Data_Price '!AN$2:AN$1266,MATCH(Data!$DN248,'Data_Price '!$AT$2:$AT$1266,0))</f>
        <v/>
      </c>
      <c r="DF248">
        <f>INDEX('Data_Price '!AO$2:AO$1266,MATCH(Data!$DN248,'Data_Price '!$AT$2:$AT$1266,0))</f>
        <v/>
      </c>
      <c r="DG248">
        <f>INDEX('Data_Price '!AP$2:AP$1266,MATCH(Data!$DN248,'Data_Price '!$AT$2:$AT$1266,0))</f>
        <v/>
      </c>
      <c r="DH248">
        <f>INDEX('Data_Price '!AQ$2:AQ$1266,MATCH(Data!$DN248,'Data_Price '!$AT$2:$AT$1266,0))</f>
        <v/>
      </c>
      <c r="DI248">
        <f>INDEX('Data_Price '!AR$2:AR$1266,MATCH(Data!$DN248,'Data_Price '!$AT$2:$AT$1266,0))</f>
        <v/>
      </c>
      <c r="DJ248" s="138">
        <f>DA248</f>
        <v/>
      </c>
      <c r="DK248" s="138">
        <f>DE248</f>
        <v/>
      </c>
      <c r="DL248" s="138">
        <f>DI248</f>
        <v/>
      </c>
      <c r="DM248" s="303">
        <f>IF(LEFT(BT248,1)=" ",RIGHT(BT248,LEN(BT248)-1),BT248)</f>
        <v/>
      </c>
      <c r="DN248" s="138">
        <f>_xlfn.CONCAT(BS248,DM248,BU248,BV248)</f>
        <v/>
      </c>
      <c r="DO248" s="307" t="inlineStr">
        <is>
          <t>https://images.evo.com/imgp/250/197750/826841/atomic-backland-107-skis-2022-.jpg</t>
        </is>
      </c>
    </row>
    <row r="249" ht="15.6" customHeight="1" s="184">
      <c r="B249" s="303">
        <f t="array" ref="B249">IF(OR(ISERROR(K249:P249)),FALSE,TRUE)</f>
        <v/>
      </c>
      <c r="C249" s="60">
        <f>OR(BR249=Driver!$G$50,Data!BR1043=Driver!$H$50)</f>
        <v/>
      </c>
      <c r="D249" s="60">
        <f>OR(BV249=Driver!$G$51,BV249=Driver!$H$51)</f>
        <v/>
      </c>
      <c r="E249" s="60">
        <f>AND(BX249&gt;Driver!$F$54,BX249&lt;Driver!$G$54)</f>
        <v/>
      </c>
      <c r="F249" s="60">
        <f>CL249&gt;Driver!$F$56</f>
        <v/>
      </c>
      <c r="G249" s="60">
        <f>AND(CB249&gt;Driver!$F$55,CB249&lt;Driver!$G$55)</f>
        <v/>
      </c>
      <c r="H249" s="60">
        <f>AND(B249:G249)</f>
        <v/>
      </c>
      <c r="I249" s="60">
        <f>COUNTIFS($H$9:$H$1273,TRUE,$BT$9:$BT$1273,BT249)</f>
        <v/>
      </c>
      <c r="J249" s="60">
        <f t="array" ref="J249">NOT(OR(($H$9:$H$1273=TRUE)*($I$9:$I$1273&gt;0)*($BT$9:$BT$1273=BT249)*($K$9:$K$1273&gt;K249)))</f>
        <v/>
      </c>
      <c r="K249" s="108">
        <f>IFERROR(1-AVERAGE(X249:Y249),"")</f>
        <v/>
      </c>
      <c r="L249" s="108">
        <f>1-X249</f>
        <v/>
      </c>
      <c r="M249" s="108">
        <f>1-Y249</f>
        <v/>
      </c>
      <c r="N249" s="108">
        <f>1-Z249</f>
        <v/>
      </c>
      <c r="O249" s="108">
        <f>1-AA249</f>
        <v/>
      </c>
      <c r="P249" s="108">
        <f>1-AB249</f>
        <v/>
      </c>
      <c r="Q249" s="108" t="n"/>
      <c r="R249" s="108" t="n"/>
      <c r="S249" s="108">
        <f>1-AE249</f>
        <v/>
      </c>
      <c r="T249" s="108">
        <f>1-AF249</f>
        <v/>
      </c>
      <c r="U249" s="108">
        <f>1-AG249</f>
        <v/>
      </c>
      <c r="V249" s="108">
        <f>1-AH249</f>
        <v/>
      </c>
      <c r="W249" s="108">
        <f>1-AI249</f>
        <v/>
      </c>
      <c r="X249" s="108">
        <f>ABS(AJ249-AJ$1)</f>
        <v/>
      </c>
      <c r="Y249" s="108">
        <f>AVERAGE(Z249:AB249)</f>
        <v/>
      </c>
      <c r="Z249" s="108">
        <f>ABS(AL249-AL$1)</f>
        <v/>
      </c>
      <c r="AA249" s="108">
        <f>ABS(AM249-AM$1)</f>
        <v/>
      </c>
      <c r="AB249" s="108">
        <f>ABS(AN249-AN$1)</f>
        <v/>
      </c>
      <c r="AC249" s="108" t="n"/>
      <c r="AD249" s="108" t="n"/>
      <c r="AE249" s="108">
        <f>ABS(AQ$1-AQ249)</f>
        <v/>
      </c>
      <c r="AF249" s="108">
        <f>ABS(AR$1-AR249)</f>
        <v/>
      </c>
      <c r="AG249" s="108">
        <f>ABS(AS$1-AS249)</f>
        <v/>
      </c>
      <c r="AH249" s="108">
        <f>ABS(AT$1-AT249)</f>
        <v/>
      </c>
      <c r="AI249" s="108">
        <f>ABS(AU$1-AU249)</f>
        <v/>
      </c>
      <c r="AJ249" s="108">
        <f>(AV249-Driver!$K$179)/(Driver!$L$179-Driver!$K$179)</f>
        <v/>
      </c>
      <c r="AK249" s="108">
        <f>(AW249-Driver!$K$180)/(Driver!$L$180-Driver!$K$180)</f>
        <v/>
      </c>
      <c r="AL249" s="108">
        <f>(AX249-Driver!$K$181)/(Driver!$L$181-Driver!$K$181)</f>
        <v/>
      </c>
      <c r="AM249" s="108">
        <f>(AY249-Driver!$K$182)/(Driver!$L$182-Driver!$K$182)</f>
        <v/>
      </c>
      <c r="AN249" s="108">
        <f>(AZ249-Driver!$K$183)/(Driver!$L$183-Driver!$K$183)</f>
        <v/>
      </c>
      <c r="AO249" s="108" t="n"/>
      <c r="AP249" s="108" t="n"/>
      <c r="AQ249" s="108">
        <f>(BC249-Driver!$K$188)/(Driver!$L$188-Driver!$K$188)</f>
        <v/>
      </c>
      <c r="AR249" s="108">
        <f>MIN((BD249-Driver!$K$189)/(Driver!$L$189-Driver!$K$189),100%)</f>
        <v/>
      </c>
      <c r="AS249" s="108">
        <f>(BE249-Driver!$K$190)/(Driver!$L$190-Driver!$K$190)</f>
        <v/>
      </c>
      <c r="AT249" s="108">
        <f>(BF249-Driver!$K$191)/(Driver!$L$191-Driver!$K$191)</f>
        <v/>
      </c>
      <c r="AU249" s="108">
        <f>(BG249-Driver!$K$192)/(Driver!$L$192-Driver!$K$192)</f>
        <v/>
      </c>
      <c r="AV249" s="105">
        <f>IFERROR(BM249*BJ249^1/4,"")</f>
        <v/>
      </c>
      <c r="AW249" s="105">
        <f>IFERROR(SUM(AX249:AZ249),"")</f>
        <v/>
      </c>
      <c r="AX249" s="105">
        <f>IFERROR(BH249,"")</f>
        <v/>
      </c>
      <c r="AY249" s="105">
        <f>IFERROR(Driver!$K$19/Data!BH249/Data!BI249*Data!BK249*Data!BL249,"")</f>
        <v/>
      </c>
      <c r="AZ249" s="105">
        <f>IFERROR(BI249*BN249,"")</f>
        <v/>
      </c>
      <c r="BA249" s="105" t="n"/>
      <c r="BB249" s="105" t="n"/>
      <c r="BC249" s="105">
        <f>IFERROR(BI249*BN249*BK249/BJ249^(1/2),"")</f>
        <v/>
      </c>
      <c r="BD249" s="105">
        <f>IFERROR(BH249*BM249*BL249/BJ249/BK249,"")</f>
        <v/>
      </c>
      <c r="BE249" s="105">
        <f>IFERROR(MIN(BI249/BQ249/BP249/BO249/BH249,$BE$1),"")</f>
        <v/>
      </c>
      <c r="BF249" s="105">
        <f>IFERROR(BJ249*BO249*BP249/BK249,"")</f>
        <v/>
      </c>
      <c r="BG249" s="105">
        <f>IFERROR(1/BM249/BH249*BQ249,"")</f>
        <v/>
      </c>
      <c r="BH249" s="102">
        <f>MAX((CE249-Driver!$F$200)/(Driver!$G$200-Driver!$F$200)*$BI$1,1)</f>
        <v/>
      </c>
      <c r="BI249" s="102">
        <f>MAX($BI$1*(BY249-Driver!$F$201)/(Driver!$G$201-Driver!$F$201),1)</f>
        <v/>
      </c>
      <c r="BJ249" s="102">
        <f>(CB249-Driver!$F$206)/(Driver!$G$206-Driver!$F$206)*$BI$1</f>
        <v/>
      </c>
      <c r="BK249" s="102">
        <f>(CD249-Driver!$F$203)/(Driver!$G$203-Driver!$F$203)*$BI$1</f>
        <v/>
      </c>
      <c r="BL249" s="102">
        <f>MAX((CR249-Driver!$F$202)/(Driver!$G$202-Driver!$F$202)*$BI$1,1)</f>
        <v/>
      </c>
      <c r="BM249" s="102">
        <f>MAX((CH249-Driver!$F$204)/(Driver!$G$204-Driver!$F$204)*$BI$1,1)</f>
        <v/>
      </c>
      <c r="BN249" s="102">
        <f>(CI249-Driver!$F$205)/(Driver!$G$205-Driver!$F$205)*$BI$1</f>
        <v/>
      </c>
      <c r="BO249" s="102">
        <f>(CK249-Driver!$F$207)/(Driver!$G$207-Driver!$F$207)*$BI$1</f>
        <v/>
      </c>
      <c r="BP249" s="102">
        <f>(CM249-Driver!$F$208)/(Driver!$G$208-Driver!$F$208)*$BI$1</f>
        <v/>
      </c>
      <c r="BQ249" s="102">
        <f>(CL249-Driver!$F$209)/(Driver!$G$209-Driver!$F$209)*$BI$1</f>
        <v/>
      </c>
      <c r="BR249" s="40" t="inlineStr">
        <is>
          <t>21/22</t>
        </is>
      </c>
      <c r="BS249" s="10" t="inlineStr">
        <is>
          <t xml:space="preserve"> Rossignol</t>
        </is>
      </c>
      <c r="BT249" s="11" t="inlineStr">
        <is>
          <t>Nova 10 Ti</t>
        </is>
      </c>
      <c r="BU249" s="13" t="n">
        <v>153</v>
      </c>
      <c r="BV249" s="11" t="inlineStr">
        <is>
          <t xml:space="preserve"> Women's</t>
        </is>
      </c>
      <c r="BW249" s="13" t="n">
        <v>153</v>
      </c>
      <c r="BX249" s="13" t="n">
        <v>152.5</v>
      </c>
      <c r="BY249" s="13" t="n">
        <v>130</v>
      </c>
      <c r="BZ249" s="13" t="n">
        <v>139</v>
      </c>
      <c r="CA249" s="13" t="n">
        <v>122</v>
      </c>
      <c r="CB249" s="13" t="n">
        <v>73</v>
      </c>
      <c r="CC249" s="13" t="n">
        <v>108</v>
      </c>
      <c r="CD249" s="13" t="n">
        <v>11.2</v>
      </c>
      <c r="CE249" s="13" t="n">
        <v>1630</v>
      </c>
      <c r="CF249" s="13" t="n">
        <v>0.83</v>
      </c>
      <c r="CG249" s="13" t="n">
        <v>1359</v>
      </c>
      <c r="CH249" s="13" t="n">
        <v>180</v>
      </c>
      <c r="CI249" s="13" t="n">
        <v>77</v>
      </c>
      <c r="CJ249" s="13" t="n">
        <v>39</v>
      </c>
      <c r="CK249" s="13" t="n">
        <v>149</v>
      </c>
      <c r="CL249" s="13" t="n">
        <v>6</v>
      </c>
      <c r="CM249" s="13" t="n">
        <v>73</v>
      </c>
      <c r="CN249" s="13" t="n">
        <v>0.15</v>
      </c>
      <c r="CO249" s="13" t="n">
        <v>75</v>
      </c>
      <c r="CP249" s="13" t="n">
        <v>63</v>
      </c>
      <c r="CQ249" s="13" t="n">
        <v>74</v>
      </c>
      <c r="CR249" s="13" t="n">
        <v>7</v>
      </c>
      <c r="CS249" s="13" t="n">
        <v>9.6</v>
      </c>
      <c r="CT249" s="11" t="inlineStr">
        <is>
          <t xml:space="preserve"> On-Piste Carving</t>
        </is>
      </c>
      <c r="CU249" s="13" t="n"/>
      <c r="CV249" s="13" t="n"/>
      <c r="CW249" s="13" t="n"/>
      <c r="CX249">
        <f>INDEX('Data_Price '!AG$2:AG$1266,MATCH(Data!$DN249,'Data_Price '!$AT$2:$AT$1266,0))</f>
        <v/>
      </c>
      <c r="CY249">
        <f>INDEX('Data_Price '!AH$2:AH$1266,MATCH(Data!$DN249,'Data_Price '!$AT$2:$AT$1266,0))</f>
        <v/>
      </c>
      <c r="CZ249">
        <f>INDEX('Data_Price '!AI$2:AI$1266,MATCH(Data!$DN249,'Data_Price '!$AT$2:$AT$1266,0))</f>
        <v/>
      </c>
      <c r="DA249">
        <f>INDEX('Data_Price '!AJ$2:AJ$1266,MATCH(Data!$DN249,'Data_Price '!$AT$2:$AT$1266,0))</f>
        <v/>
      </c>
      <c r="DB249">
        <f>INDEX('Data_Price '!AK$2:AK$1266,MATCH(Data!$DN249,'Data_Price '!$AT$2:$AT$1266,0))</f>
        <v/>
      </c>
      <c r="DC249">
        <f>INDEX('Data_Price '!AL$2:AL$1266,MATCH(Data!$DN249,'Data_Price '!$AT$2:$AT$1266,0))</f>
        <v/>
      </c>
      <c r="DD249">
        <f>INDEX('Data_Price '!AM$2:AM$1266,MATCH(Data!$DN249,'Data_Price '!$AT$2:$AT$1266,0))</f>
        <v/>
      </c>
      <c r="DE249">
        <f>INDEX('Data_Price '!AN$2:AN$1266,MATCH(Data!$DN249,'Data_Price '!$AT$2:$AT$1266,0))</f>
        <v/>
      </c>
      <c r="DF249">
        <f>INDEX('Data_Price '!AO$2:AO$1266,MATCH(Data!$DN249,'Data_Price '!$AT$2:$AT$1266,0))</f>
        <v/>
      </c>
      <c r="DG249">
        <f>INDEX('Data_Price '!AP$2:AP$1266,MATCH(Data!$DN249,'Data_Price '!$AT$2:$AT$1266,0))</f>
        <v/>
      </c>
      <c r="DH249">
        <f>INDEX('Data_Price '!AQ$2:AQ$1266,MATCH(Data!$DN249,'Data_Price '!$AT$2:$AT$1266,0))</f>
        <v/>
      </c>
      <c r="DI249">
        <f>INDEX('Data_Price '!AR$2:AR$1266,MATCH(Data!$DN249,'Data_Price '!$AT$2:$AT$1266,0))</f>
        <v/>
      </c>
      <c r="DJ249" s="138">
        <f>DA249</f>
        <v/>
      </c>
      <c r="DK249" s="138">
        <f>DE249</f>
        <v/>
      </c>
      <c r="DL249" s="138">
        <f>DI249</f>
        <v/>
      </c>
      <c r="DM249" s="303">
        <f>IF(LEFT(BT249,1)=" ",RIGHT(BT249,LEN(BT249)-1),BT249)</f>
        <v/>
      </c>
      <c r="DN249" s="138">
        <f>_xlfn.CONCAT(BS249,DM249,BU249,BV249)</f>
        <v/>
      </c>
      <c r="DO249" s="307" t="n"/>
    </row>
    <row r="250" ht="15.6" customHeight="1" s="184">
      <c r="B250" s="303">
        <f t="array" ref="B250">IF(OR(ISERROR(K250:P250)),FALSE,TRUE)</f>
        <v/>
      </c>
      <c r="C250" s="60">
        <f>OR(BR250=Driver!$G$50,Data!BR1254=Driver!$H$50)</f>
        <v/>
      </c>
      <c r="D250" s="60">
        <f>OR(BV250=Driver!$G$51,BV250=Driver!$H$51)</f>
        <v/>
      </c>
      <c r="E250" s="60">
        <f>AND(BX250&gt;Driver!$F$54,BX250&lt;Driver!$G$54)</f>
        <v/>
      </c>
      <c r="F250" s="60">
        <f>CL250&gt;Driver!$F$56</f>
        <v/>
      </c>
      <c r="G250" s="60">
        <f>AND(CB250&gt;Driver!$F$55,CB250&lt;Driver!$G$55)</f>
        <v/>
      </c>
      <c r="H250" s="60">
        <f>AND(B250:G250)</f>
        <v/>
      </c>
      <c r="I250" s="60">
        <f>COUNTIFS($H$9:$H$1273,TRUE,$BT$9:$BT$1273,BT250)</f>
        <v/>
      </c>
      <c r="J250" s="60">
        <f t="array" ref="J250">NOT(OR(($H$9:$H$1273=TRUE)*($I$9:$I$1273&gt;0)*($BT$9:$BT$1273=BT250)*($K$9:$K$1273&gt;K250)))</f>
        <v/>
      </c>
      <c r="K250" s="108">
        <f>IFERROR(1-AVERAGE(X250:Y250),"")</f>
        <v/>
      </c>
      <c r="L250" s="108">
        <f>1-X250</f>
        <v/>
      </c>
      <c r="M250" s="108">
        <f>1-Y250</f>
        <v/>
      </c>
      <c r="N250" s="108">
        <f>1-Z250</f>
        <v/>
      </c>
      <c r="O250" s="108">
        <f>1-AA250</f>
        <v/>
      </c>
      <c r="P250" s="108">
        <f>1-AB250</f>
        <v/>
      </c>
      <c r="Q250" s="108" t="n"/>
      <c r="R250" s="108" t="n"/>
      <c r="S250" s="108">
        <f>1-AE250</f>
        <v/>
      </c>
      <c r="T250" s="108">
        <f>1-AF250</f>
        <v/>
      </c>
      <c r="U250" s="108">
        <f>1-AG250</f>
        <v/>
      </c>
      <c r="V250" s="108">
        <f>1-AH250</f>
        <v/>
      </c>
      <c r="W250" s="108">
        <f>1-AI250</f>
        <v/>
      </c>
      <c r="X250" s="108">
        <f>ABS(AJ250-AJ$1)</f>
        <v/>
      </c>
      <c r="Y250" s="108">
        <f>AVERAGE(Z250:AB250)</f>
        <v/>
      </c>
      <c r="Z250" s="108">
        <f>ABS(AL250-AL$1)</f>
        <v/>
      </c>
      <c r="AA250" s="108">
        <f>ABS(AM250-AM$1)</f>
        <v/>
      </c>
      <c r="AB250" s="108">
        <f>ABS(AN250-AN$1)</f>
        <v/>
      </c>
      <c r="AC250" s="108" t="n"/>
      <c r="AD250" s="108" t="n"/>
      <c r="AE250" s="108">
        <f>ABS(AQ$1-AQ250)</f>
        <v/>
      </c>
      <c r="AF250" s="108">
        <f>ABS(AR$1-AR250)</f>
        <v/>
      </c>
      <c r="AG250" s="108">
        <f>ABS(AS$1-AS250)</f>
        <v/>
      </c>
      <c r="AH250" s="108">
        <f>ABS(AT$1-AT250)</f>
        <v/>
      </c>
      <c r="AI250" s="108">
        <f>ABS(AU$1-AU250)</f>
        <v/>
      </c>
      <c r="AJ250" s="108">
        <f>(AV250-Driver!$K$179)/(Driver!$L$179-Driver!$K$179)</f>
        <v/>
      </c>
      <c r="AK250" s="108">
        <f>(AW250-Driver!$K$180)/(Driver!$L$180-Driver!$K$180)</f>
        <v/>
      </c>
      <c r="AL250" s="108">
        <f>(AX250-Driver!$K$181)/(Driver!$L$181-Driver!$K$181)</f>
        <v/>
      </c>
      <c r="AM250" s="108">
        <f>(AY250-Driver!$K$182)/(Driver!$L$182-Driver!$K$182)</f>
        <v/>
      </c>
      <c r="AN250" s="108">
        <f>(AZ250-Driver!$K$183)/(Driver!$L$183-Driver!$K$183)</f>
        <v/>
      </c>
      <c r="AO250" s="108" t="n"/>
      <c r="AP250" s="108" t="n"/>
      <c r="AQ250" s="108">
        <f>(BC250-Driver!$K$188)/(Driver!$L$188-Driver!$K$188)</f>
        <v/>
      </c>
      <c r="AR250" s="108">
        <f>MIN((BD250-Driver!$K$189)/(Driver!$L$189-Driver!$K$189),100%)</f>
        <v/>
      </c>
      <c r="AS250" s="108">
        <f>(BE250-Driver!$K$190)/(Driver!$L$190-Driver!$K$190)</f>
        <v/>
      </c>
      <c r="AT250" s="108">
        <f>(BF250-Driver!$K$191)/(Driver!$L$191-Driver!$K$191)</f>
        <v/>
      </c>
      <c r="AU250" s="108">
        <f>(BG250-Driver!$K$192)/(Driver!$L$192-Driver!$K$192)</f>
        <v/>
      </c>
      <c r="AV250" s="105">
        <f>IFERROR(BM250*BJ250^1/4,"")</f>
        <v/>
      </c>
      <c r="AW250" s="105">
        <f>IFERROR(SUM(AX250:AZ250),"")</f>
        <v/>
      </c>
      <c r="AX250" s="105">
        <f>IFERROR(BH250,"")</f>
        <v/>
      </c>
      <c r="AY250" s="105">
        <f>IFERROR(Driver!$K$19/Data!BH250/Data!BI250*Data!BK250*Data!BL250,"")</f>
        <v/>
      </c>
      <c r="AZ250" s="105">
        <f>IFERROR(BI250*BN250,"")</f>
        <v/>
      </c>
      <c r="BA250" s="105" t="n"/>
      <c r="BB250" s="105" t="n"/>
      <c r="BC250" s="105">
        <f>IFERROR(BI250*BN250*BK250/BJ250^(1/2),"")</f>
        <v/>
      </c>
      <c r="BD250" s="105">
        <f>IFERROR(BH250*BM250*BL250/BJ250/BK250,"")</f>
        <v/>
      </c>
      <c r="BE250" s="105">
        <f>IFERROR(MIN(BI250/BQ250/BP250/BO250/BH250,$BE$1),"")</f>
        <v/>
      </c>
      <c r="BF250" s="105">
        <f>IFERROR(BJ250*BO250*BP250/BK250,"")</f>
        <v/>
      </c>
      <c r="BG250" s="105">
        <f>IFERROR(1/BM250/BH250*BQ250,"")</f>
        <v/>
      </c>
      <c r="BH250" s="102">
        <f>MAX((CE250-Driver!$F$200)/(Driver!$G$200-Driver!$F$200)*$BI$1,1)</f>
        <v/>
      </c>
      <c r="BI250" s="102">
        <f>MAX($BI$1*(BY250-Driver!$F$201)/(Driver!$G$201-Driver!$F$201),1)</f>
        <v/>
      </c>
      <c r="BJ250" s="102">
        <f>(CB250-Driver!$F$206)/(Driver!$G$206-Driver!$F$206)*$BI$1</f>
        <v/>
      </c>
      <c r="BK250" s="102">
        <f>(CD250-Driver!$F$203)/(Driver!$G$203-Driver!$F$203)*$BI$1</f>
        <v/>
      </c>
      <c r="BL250" s="102">
        <f>MAX((CR250-Driver!$F$202)/(Driver!$G$202-Driver!$F$202)*$BI$1,1)</f>
        <v/>
      </c>
      <c r="BM250" s="102">
        <f>MAX((CH250-Driver!$F$204)/(Driver!$G$204-Driver!$F$204)*$BI$1,1)</f>
        <v/>
      </c>
      <c r="BN250" s="102">
        <f>(CI250-Driver!$F$205)/(Driver!$G$205-Driver!$F$205)*$BI$1</f>
        <v/>
      </c>
      <c r="BO250" s="102">
        <f>(CK250-Driver!$F$207)/(Driver!$G$207-Driver!$F$207)*$BI$1</f>
        <v/>
      </c>
      <c r="BP250" s="102">
        <f>(CM250-Driver!$F$208)/(Driver!$G$208-Driver!$F$208)*$BI$1</f>
        <v/>
      </c>
      <c r="BQ250" s="102">
        <f>(CL250-Driver!$F$209)/(Driver!$G$209-Driver!$F$209)*$BI$1</f>
        <v/>
      </c>
      <c r="BR250" s="40" t="inlineStr">
        <is>
          <t>21/22</t>
        </is>
      </c>
      <c r="BS250" s="10" t="inlineStr">
        <is>
          <t xml:space="preserve"> Völkl</t>
        </is>
      </c>
      <c r="BT250" s="11" t="inlineStr">
        <is>
          <t>Rise Beyond 96</t>
        </is>
      </c>
      <c r="BU250" s="13" t="n">
        <v>184</v>
      </c>
      <c r="BV250" s="11" t="inlineStr">
        <is>
          <t xml:space="preserve"> Unisex</t>
        </is>
      </c>
      <c r="BW250" s="13" t="n">
        <v>184</v>
      </c>
      <c r="BX250" s="13" t="n">
        <v>184</v>
      </c>
      <c r="BY250" s="13" t="n">
        <v>142</v>
      </c>
      <c r="BZ250" s="13" t="n">
        <v>162</v>
      </c>
      <c r="CA250" s="13" t="n">
        <v>138</v>
      </c>
      <c r="CB250" s="13" t="n">
        <v>96</v>
      </c>
      <c r="CC250" s="13" t="n">
        <v>119</v>
      </c>
      <c r="CD250" s="13" t="n">
        <v>19.5</v>
      </c>
      <c r="CE250" s="13" t="n">
        <v>1366</v>
      </c>
      <c r="CF250" s="13" t="n">
        <v>1.46</v>
      </c>
      <c r="CG250" s="13" t="n">
        <v>1997</v>
      </c>
      <c r="CH250" s="13" t="n">
        <v>192</v>
      </c>
      <c r="CI250" s="13" t="n">
        <v>82</v>
      </c>
      <c r="CJ250" s="13" t="n">
        <v>40</v>
      </c>
      <c r="CK250" s="13" t="n">
        <v>346</v>
      </c>
      <c r="CL250" s="13" t="n">
        <v>5</v>
      </c>
      <c r="CM250" s="13" t="n">
        <v>69</v>
      </c>
      <c r="CN250" s="13" t="n">
        <v>0.119</v>
      </c>
      <c r="CO250" s="13" t="n">
        <v>127</v>
      </c>
      <c r="CP250" s="13" t="n">
        <v>88</v>
      </c>
      <c r="CQ250" s="13" t="n">
        <v>219</v>
      </c>
      <c r="CR250" s="13" t="n">
        <v>2</v>
      </c>
      <c r="CS250" s="13" t="n">
        <v>12.1</v>
      </c>
      <c r="CT250" s="11" t="inlineStr">
        <is>
          <t xml:space="preserve"> Touring</t>
        </is>
      </c>
      <c r="CU250" s="11" t="inlineStr">
        <is>
          <t xml:space="preserve"> Ultralight Touring</t>
        </is>
      </c>
      <c r="CV250" s="13" t="n"/>
      <c r="CW250" s="13" t="n"/>
      <c r="CX250">
        <f>INDEX('Data_Price '!AG$2:AG$1266,MATCH(Data!$DN250,'Data_Price '!$AT$2:$AT$1266,0))</f>
        <v/>
      </c>
      <c r="CY250">
        <f>INDEX('Data_Price '!AH$2:AH$1266,MATCH(Data!$DN250,'Data_Price '!$AT$2:$AT$1266,0))</f>
        <v/>
      </c>
      <c r="CZ250">
        <f>INDEX('Data_Price '!AI$2:AI$1266,MATCH(Data!$DN250,'Data_Price '!$AT$2:$AT$1266,0))</f>
        <v/>
      </c>
      <c r="DA250">
        <f>INDEX('Data_Price '!AJ$2:AJ$1266,MATCH(Data!$DN250,'Data_Price '!$AT$2:$AT$1266,0))</f>
        <v/>
      </c>
      <c r="DB250">
        <f>INDEX('Data_Price '!AK$2:AK$1266,MATCH(Data!$DN250,'Data_Price '!$AT$2:$AT$1266,0))</f>
        <v/>
      </c>
      <c r="DC250">
        <f>INDEX('Data_Price '!AL$2:AL$1266,MATCH(Data!$DN250,'Data_Price '!$AT$2:$AT$1266,0))</f>
        <v/>
      </c>
      <c r="DD250">
        <f>INDEX('Data_Price '!AM$2:AM$1266,MATCH(Data!$DN250,'Data_Price '!$AT$2:$AT$1266,0))</f>
        <v/>
      </c>
      <c r="DE250">
        <f>INDEX('Data_Price '!AN$2:AN$1266,MATCH(Data!$DN250,'Data_Price '!$AT$2:$AT$1266,0))</f>
        <v/>
      </c>
      <c r="DF250">
        <f>INDEX('Data_Price '!AO$2:AO$1266,MATCH(Data!$DN250,'Data_Price '!$AT$2:$AT$1266,0))</f>
        <v/>
      </c>
      <c r="DG250">
        <f>INDEX('Data_Price '!AP$2:AP$1266,MATCH(Data!$DN250,'Data_Price '!$AT$2:$AT$1266,0))</f>
        <v/>
      </c>
      <c r="DH250">
        <f>INDEX('Data_Price '!AQ$2:AQ$1266,MATCH(Data!$DN250,'Data_Price '!$AT$2:$AT$1266,0))</f>
        <v/>
      </c>
      <c r="DI250">
        <f>INDEX('Data_Price '!AR$2:AR$1266,MATCH(Data!$DN250,'Data_Price '!$AT$2:$AT$1266,0))</f>
        <v/>
      </c>
      <c r="DJ250" s="138">
        <f>DA250</f>
        <v/>
      </c>
      <c r="DK250" s="138">
        <f>DE250</f>
        <v/>
      </c>
      <c r="DL250" s="138">
        <f>DI250</f>
        <v/>
      </c>
      <c r="DM250" s="303">
        <f>IF(LEFT(BT250,1)=" ",RIGHT(BT250,LEN(BT250)-1),BT250)</f>
        <v/>
      </c>
      <c r="DN250" s="138">
        <f>_xlfn.CONCAT(BS250,DM250,BU250,BV250)</f>
        <v/>
      </c>
      <c r="DO250" s="307" t="n"/>
    </row>
    <row r="251" ht="15.6" customHeight="1" s="184">
      <c r="B251" s="303">
        <f t="array" ref="B251">IF(OR(ISERROR(K251:P251)),FALSE,TRUE)</f>
        <v/>
      </c>
      <c r="C251" s="60">
        <f>OR(BR251=Driver!$G$50,Data!BR235=Driver!$H$50)</f>
        <v/>
      </c>
      <c r="D251" s="60">
        <f>OR(BV251=Driver!$G$51,BV251=Driver!$H$51)</f>
        <v/>
      </c>
      <c r="E251" s="60">
        <f>AND(BX251&gt;Driver!$F$54,BX251&lt;Driver!$G$54)</f>
        <v/>
      </c>
      <c r="F251" s="60">
        <f>CL251&gt;Driver!$F$56</f>
        <v/>
      </c>
      <c r="G251" s="60">
        <f>AND(CB251&gt;Driver!$F$55,CB251&lt;Driver!$G$55)</f>
        <v/>
      </c>
      <c r="H251" s="60">
        <f>AND(B251:G251)</f>
        <v/>
      </c>
      <c r="I251" s="60">
        <f>COUNTIFS($H$9:$H$1273,TRUE,$BT$9:$BT$1273,BT251)</f>
        <v/>
      </c>
      <c r="J251" s="60">
        <f t="array" ref="J251">NOT(OR(($H$9:$H$1273=TRUE)*($I$9:$I$1273&gt;0)*($BT$9:$BT$1273=BT251)*($K$9:$K$1273&gt;K251)))</f>
        <v/>
      </c>
      <c r="K251" s="108">
        <f>IFERROR(1-AVERAGE(X251:Y251),"")</f>
        <v/>
      </c>
      <c r="L251" s="108">
        <f>1-X251</f>
        <v/>
      </c>
      <c r="M251" s="108">
        <f>1-Y251</f>
        <v/>
      </c>
      <c r="N251" s="108">
        <f>1-Z251</f>
        <v/>
      </c>
      <c r="O251" s="108">
        <f>1-AA251</f>
        <v/>
      </c>
      <c r="P251" s="108">
        <f>1-AB251</f>
        <v/>
      </c>
      <c r="Q251" s="108" t="n"/>
      <c r="R251" s="108" t="n"/>
      <c r="S251" s="108">
        <f>1-AE251</f>
        <v/>
      </c>
      <c r="T251" s="108">
        <f>1-AF251</f>
        <v/>
      </c>
      <c r="U251" s="108">
        <f>1-AG251</f>
        <v/>
      </c>
      <c r="V251" s="108">
        <f>1-AH251</f>
        <v/>
      </c>
      <c r="W251" s="108">
        <f>1-AI251</f>
        <v/>
      </c>
      <c r="X251" s="108">
        <f>ABS(AJ251-AJ$1)</f>
        <v/>
      </c>
      <c r="Y251" s="108">
        <f>AVERAGE(Z251:AB251)</f>
        <v/>
      </c>
      <c r="Z251" s="108">
        <f>ABS(AL251-AL$1)</f>
        <v/>
      </c>
      <c r="AA251" s="108">
        <f>ABS(AM251-AM$1)</f>
        <v/>
      </c>
      <c r="AB251" s="108">
        <f>ABS(AN251-AN$1)</f>
        <v/>
      </c>
      <c r="AC251" s="108" t="n"/>
      <c r="AD251" s="108" t="n"/>
      <c r="AE251" s="108">
        <f>ABS(AQ$1-AQ251)</f>
        <v/>
      </c>
      <c r="AF251" s="108">
        <f>ABS(AR$1-AR251)</f>
        <v/>
      </c>
      <c r="AG251" s="108">
        <f>ABS(AS$1-AS251)</f>
        <v/>
      </c>
      <c r="AH251" s="108">
        <f>ABS(AT$1-AT251)</f>
        <v/>
      </c>
      <c r="AI251" s="108">
        <f>ABS(AU$1-AU251)</f>
        <v/>
      </c>
      <c r="AJ251" s="108">
        <f>(AV251-Driver!$K$179)/(Driver!$L$179-Driver!$K$179)</f>
        <v/>
      </c>
      <c r="AK251" s="108">
        <f>(AW251-Driver!$K$180)/(Driver!$L$180-Driver!$K$180)</f>
        <v/>
      </c>
      <c r="AL251" s="108">
        <f>(AX251-Driver!$K$181)/(Driver!$L$181-Driver!$K$181)</f>
        <v/>
      </c>
      <c r="AM251" s="108">
        <f>(AY251-Driver!$K$182)/(Driver!$L$182-Driver!$K$182)</f>
        <v/>
      </c>
      <c r="AN251" s="108">
        <f>(AZ251-Driver!$K$183)/(Driver!$L$183-Driver!$K$183)</f>
        <v/>
      </c>
      <c r="AO251" s="108" t="n"/>
      <c r="AP251" s="108" t="n"/>
      <c r="AQ251" s="108">
        <f>(BC251-Driver!$K$188)/(Driver!$L$188-Driver!$K$188)</f>
        <v/>
      </c>
      <c r="AR251" s="108">
        <f>MIN((BD251-Driver!$K$189)/(Driver!$L$189-Driver!$K$189),100%)</f>
        <v/>
      </c>
      <c r="AS251" s="108">
        <f>(BE251-Driver!$K$190)/(Driver!$L$190-Driver!$K$190)</f>
        <v/>
      </c>
      <c r="AT251" s="108">
        <f>(BF251-Driver!$K$191)/(Driver!$L$191-Driver!$K$191)</f>
        <v/>
      </c>
      <c r="AU251" s="108">
        <f>(BG251-Driver!$K$192)/(Driver!$L$192-Driver!$K$192)</f>
        <v/>
      </c>
      <c r="AV251" s="105">
        <f>IFERROR(BM251*BJ251^1/4,"")</f>
        <v/>
      </c>
      <c r="AW251" s="105">
        <f>IFERROR(SUM(AX251:AZ251),"")</f>
        <v/>
      </c>
      <c r="AX251" s="105">
        <f>IFERROR(BH251,"")</f>
        <v/>
      </c>
      <c r="AY251" s="105">
        <f>IFERROR(Driver!$K$19/Data!BH251/Data!BI251*Data!BK251*Data!BL251,"")</f>
        <v/>
      </c>
      <c r="AZ251" s="105">
        <f>IFERROR(BI251*BN251,"")</f>
        <v/>
      </c>
      <c r="BA251" s="105" t="n"/>
      <c r="BB251" s="105" t="n"/>
      <c r="BC251" s="105">
        <f>IFERROR(BI251*BN251*BK251/BJ251^(1/2),"")</f>
        <v/>
      </c>
      <c r="BD251" s="105">
        <f>IFERROR(BH251*BM251*BL251/BJ251/BK251,"")</f>
        <v/>
      </c>
      <c r="BE251" s="105">
        <f>IFERROR(MIN(BI251/BQ251/BP251/BO251/BH251,$BE$1),"")</f>
        <v/>
      </c>
      <c r="BF251" s="105">
        <f>IFERROR(BJ251*BO251*BP251/BK251,"")</f>
        <v/>
      </c>
      <c r="BG251" s="105">
        <f>IFERROR(1/BM251/BH251*BQ251,"")</f>
        <v/>
      </c>
      <c r="BH251" s="102">
        <f>MAX((CE251-Driver!$F$200)/(Driver!$G$200-Driver!$F$200)*$BI$1,1)</f>
        <v/>
      </c>
      <c r="BI251" s="102">
        <f>MAX($BI$1*(BY251-Driver!$F$201)/(Driver!$G$201-Driver!$F$201),1)</f>
        <v/>
      </c>
      <c r="BJ251" s="102">
        <f>(CB251-Driver!$F$206)/(Driver!$G$206-Driver!$F$206)*$BI$1</f>
        <v/>
      </c>
      <c r="BK251" s="102">
        <f>(CD251-Driver!$F$203)/(Driver!$G$203-Driver!$F$203)*$BI$1</f>
        <v/>
      </c>
      <c r="BL251" s="102">
        <f>MAX((CR251-Driver!$F$202)/(Driver!$G$202-Driver!$F$202)*$BI$1,1)</f>
        <v/>
      </c>
      <c r="BM251" s="102">
        <f>MAX((CH251-Driver!$F$204)/(Driver!$G$204-Driver!$F$204)*$BI$1,1)</f>
        <v/>
      </c>
      <c r="BN251" s="102">
        <f>(CI251-Driver!$F$205)/(Driver!$G$205-Driver!$F$205)*$BI$1</f>
        <v/>
      </c>
      <c r="BO251" s="102">
        <f>(CK251-Driver!$F$207)/(Driver!$G$207-Driver!$F$207)*$BI$1</f>
        <v/>
      </c>
      <c r="BP251" s="102">
        <f>(CM251-Driver!$F$208)/(Driver!$G$208-Driver!$F$208)*$BI$1</f>
        <v/>
      </c>
      <c r="BQ251" s="102">
        <f>(CL251-Driver!$F$209)/(Driver!$G$209-Driver!$F$209)*$BI$1</f>
        <v/>
      </c>
      <c r="BR251" s="40" t="inlineStr">
        <is>
          <t>21/22</t>
        </is>
      </c>
      <c r="BS251" s="10" t="inlineStr">
        <is>
          <t xml:space="preserve"> Black Crows</t>
        </is>
      </c>
      <c r="BT251" s="11" t="inlineStr">
        <is>
          <t xml:space="preserve"> Navis Freebird</t>
        </is>
      </c>
      <c r="BU251" s="13" t="n">
        <v>185.8</v>
      </c>
      <c r="BV251" s="11" t="inlineStr">
        <is>
          <t xml:space="preserve"> Unisex</t>
        </is>
      </c>
      <c r="BW251" s="13" t="n">
        <v>185.8</v>
      </c>
      <c r="BX251" s="13" t="n">
        <v>184.5</v>
      </c>
      <c r="BY251" s="13" t="n">
        <v>143</v>
      </c>
      <c r="BZ251" s="13" t="n">
        <v>152</v>
      </c>
      <c r="CA251" s="13" t="n">
        <v>139</v>
      </c>
      <c r="CB251" s="13" t="n">
        <v>100</v>
      </c>
      <c r="CC251" s="13" t="n">
        <v>120</v>
      </c>
      <c r="CD251" s="13" t="n">
        <v>19.1</v>
      </c>
      <c r="CE251" s="13" t="n">
        <v>1800</v>
      </c>
      <c r="CF251" s="13" t="n">
        <v>1.15</v>
      </c>
      <c r="CG251" s="13" t="n">
        <v>2071</v>
      </c>
      <c r="CH251" s="13" t="n">
        <v>239</v>
      </c>
      <c r="CI251" s="13" t="n">
        <v>116</v>
      </c>
      <c r="CJ251" s="13" t="n">
        <v>41</v>
      </c>
      <c r="CK251" s="13" t="n">
        <v>213</v>
      </c>
      <c r="CL251" s="13" t="n">
        <v>15</v>
      </c>
      <c r="CM251" s="13" t="n">
        <v>202</v>
      </c>
      <c r="CN251" s="13" t="n">
        <v>0.371</v>
      </c>
      <c r="CO251" s="13" t="n">
        <v>182</v>
      </c>
      <c r="CP251" s="13" t="n">
        <v>142</v>
      </c>
      <c r="CQ251" s="13" t="n">
        <v>31</v>
      </c>
      <c r="CR251" s="13" t="n">
        <v>7</v>
      </c>
      <c r="CS251" s="13" t="n">
        <v>9.5</v>
      </c>
      <c r="CT251" s="11" t="inlineStr">
        <is>
          <t xml:space="preserve"> Resort Freeride</t>
        </is>
      </c>
      <c r="CU251" s="11" t="inlineStr">
        <is>
          <t xml:space="preserve"> Powder</t>
        </is>
      </c>
      <c r="CV251" s="11" t="inlineStr">
        <is>
          <t xml:space="preserve"> Big Mountain</t>
        </is>
      </c>
      <c r="CW251" s="11" t="inlineStr">
        <is>
          <t xml:space="preserve"> Touring</t>
        </is>
      </c>
      <c r="CX251">
        <f>INDEX('Data_Price '!AG$2:AG$1266,MATCH(Data!$DN251,'Data_Price '!$AT$2:$AT$1266,0))</f>
        <v/>
      </c>
      <c r="CY251">
        <f>INDEX('Data_Price '!AH$2:AH$1266,MATCH(Data!$DN251,'Data_Price '!$AT$2:$AT$1266,0))</f>
        <v/>
      </c>
      <c r="CZ251">
        <f>INDEX('Data_Price '!AI$2:AI$1266,MATCH(Data!$DN251,'Data_Price '!$AT$2:$AT$1266,0))</f>
        <v/>
      </c>
      <c r="DA251">
        <f>INDEX('Data_Price '!AJ$2:AJ$1266,MATCH(Data!$DN251,'Data_Price '!$AT$2:$AT$1266,0))</f>
        <v/>
      </c>
      <c r="DB251">
        <f>INDEX('Data_Price '!AK$2:AK$1266,MATCH(Data!$DN251,'Data_Price '!$AT$2:$AT$1266,0))</f>
        <v/>
      </c>
      <c r="DC251">
        <f>INDEX('Data_Price '!AL$2:AL$1266,MATCH(Data!$DN251,'Data_Price '!$AT$2:$AT$1266,0))</f>
        <v/>
      </c>
      <c r="DD251">
        <f>INDEX('Data_Price '!AM$2:AM$1266,MATCH(Data!$DN251,'Data_Price '!$AT$2:$AT$1266,0))</f>
        <v/>
      </c>
      <c r="DE251">
        <f>INDEX('Data_Price '!AN$2:AN$1266,MATCH(Data!$DN251,'Data_Price '!$AT$2:$AT$1266,0))</f>
        <v/>
      </c>
      <c r="DF251">
        <f>INDEX('Data_Price '!AO$2:AO$1266,MATCH(Data!$DN251,'Data_Price '!$AT$2:$AT$1266,0))</f>
        <v/>
      </c>
      <c r="DG251">
        <f>INDEX('Data_Price '!AP$2:AP$1266,MATCH(Data!$DN251,'Data_Price '!$AT$2:$AT$1266,0))</f>
        <v/>
      </c>
      <c r="DH251">
        <f>INDEX('Data_Price '!AQ$2:AQ$1266,MATCH(Data!$DN251,'Data_Price '!$AT$2:$AT$1266,0))</f>
        <v/>
      </c>
      <c r="DI251">
        <f>INDEX('Data_Price '!AR$2:AR$1266,MATCH(Data!$DN251,'Data_Price '!$AT$2:$AT$1266,0))</f>
        <v/>
      </c>
      <c r="DJ251" s="138">
        <f>DA251</f>
        <v/>
      </c>
      <c r="DK251" s="138">
        <f>DE251</f>
        <v/>
      </c>
      <c r="DL251" s="138">
        <f>DI251</f>
        <v/>
      </c>
      <c r="DM251" s="303">
        <f>IF(LEFT(BT251,1)=" ",RIGHT(BT251,LEN(BT251)-1),BT251)</f>
        <v/>
      </c>
      <c r="DN251" s="138">
        <f>_xlfn.CONCAT(BS251,DM251,BU251,BV251)</f>
        <v/>
      </c>
      <c r="DO251" s="307" t="inlineStr">
        <is>
          <t>https://images.evo.com/imgp/250/164661/659376/black-crows-navis-freebird-skis-2022-.jpg</t>
        </is>
      </c>
    </row>
    <row r="252" ht="15.6" customHeight="1" s="184">
      <c r="B252" s="303">
        <f t="array" ref="B252">IF(OR(ISERROR(K252:P252)),FALSE,TRUE)</f>
        <v/>
      </c>
      <c r="C252" s="60">
        <f>OR(BR252=Driver!$G$50,Data!BR569=Driver!$H$50)</f>
        <v/>
      </c>
      <c r="D252" s="60">
        <f>OR(BV252=Driver!$G$51,BV252=Driver!$H$51)</f>
        <v/>
      </c>
      <c r="E252" s="60">
        <f>AND(BX252&gt;Driver!$F$54,BX252&lt;Driver!$G$54)</f>
        <v/>
      </c>
      <c r="F252" s="60">
        <f>CL252&gt;Driver!$F$56</f>
        <v/>
      </c>
      <c r="G252" s="60">
        <f>AND(CB252&gt;Driver!$F$55,CB252&lt;Driver!$G$55)</f>
        <v/>
      </c>
      <c r="H252" s="60">
        <f>AND(B252:G252)</f>
        <v/>
      </c>
      <c r="I252" s="60">
        <f>COUNTIFS($H$9:$H$1273,TRUE,$BT$9:$BT$1273,BT252)</f>
        <v/>
      </c>
      <c r="J252" s="60">
        <f t="array" ref="J252">NOT(OR(($H$9:$H$1273=TRUE)*($I$9:$I$1273&gt;0)*($BT$9:$BT$1273=BT252)*($K$9:$K$1273&gt;K252)))</f>
        <v/>
      </c>
      <c r="K252" s="108">
        <f>IFERROR(1-AVERAGE(X252:Y252),"")</f>
        <v/>
      </c>
      <c r="L252" s="108">
        <f>1-X252</f>
        <v/>
      </c>
      <c r="M252" s="108">
        <f>1-Y252</f>
        <v/>
      </c>
      <c r="N252" s="108">
        <f>1-Z252</f>
        <v/>
      </c>
      <c r="O252" s="108">
        <f>1-AA252</f>
        <v/>
      </c>
      <c r="P252" s="108">
        <f>1-AB252</f>
        <v/>
      </c>
      <c r="Q252" s="108" t="n"/>
      <c r="R252" s="108" t="n"/>
      <c r="S252" s="108">
        <f>1-AE252</f>
        <v/>
      </c>
      <c r="T252" s="108">
        <f>1-AF252</f>
        <v/>
      </c>
      <c r="U252" s="108">
        <f>1-AG252</f>
        <v/>
      </c>
      <c r="V252" s="108">
        <f>1-AH252</f>
        <v/>
      </c>
      <c r="W252" s="108">
        <f>1-AI252</f>
        <v/>
      </c>
      <c r="X252" s="108">
        <f>ABS(AJ252-AJ$1)</f>
        <v/>
      </c>
      <c r="Y252" s="108">
        <f>AVERAGE(Z252:AB252)</f>
        <v/>
      </c>
      <c r="Z252" s="108">
        <f>ABS(AL252-AL$1)</f>
        <v/>
      </c>
      <c r="AA252" s="108">
        <f>ABS(AM252-AM$1)</f>
        <v/>
      </c>
      <c r="AB252" s="108">
        <f>ABS(AN252-AN$1)</f>
        <v/>
      </c>
      <c r="AC252" s="108" t="n"/>
      <c r="AD252" s="108" t="n"/>
      <c r="AE252" s="108">
        <f>ABS(AQ$1-AQ252)</f>
        <v/>
      </c>
      <c r="AF252" s="108">
        <f>ABS(AR$1-AR252)</f>
        <v/>
      </c>
      <c r="AG252" s="108">
        <f>ABS(AS$1-AS252)</f>
        <v/>
      </c>
      <c r="AH252" s="108">
        <f>ABS(AT$1-AT252)</f>
        <v/>
      </c>
      <c r="AI252" s="108">
        <f>ABS(AU$1-AU252)</f>
        <v/>
      </c>
      <c r="AJ252" s="108">
        <f>(AV252-Driver!$K$179)/(Driver!$L$179-Driver!$K$179)</f>
        <v/>
      </c>
      <c r="AK252" s="108">
        <f>(AW252-Driver!$K$180)/(Driver!$L$180-Driver!$K$180)</f>
        <v/>
      </c>
      <c r="AL252" s="108">
        <f>(AX252-Driver!$K$181)/(Driver!$L$181-Driver!$K$181)</f>
        <v/>
      </c>
      <c r="AM252" s="108">
        <f>(AY252-Driver!$K$182)/(Driver!$L$182-Driver!$K$182)</f>
        <v/>
      </c>
      <c r="AN252" s="108">
        <f>(AZ252-Driver!$K$183)/(Driver!$L$183-Driver!$K$183)</f>
        <v/>
      </c>
      <c r="AO252" s="108" t="n"/>
      <c r="AP252" s="108" t="n"/>
      <c r="AQ252" s="108">
        <f>(BC252-Driver!$K$188)/(Driver!$L$188-Driver!$K$188)</f>
        <v/>
      </c>
      <c r="AR252" s="108">
        <f>MIN((BD252-Driver!$K$189)/(Driver!$L$189-Driver!$K$189),100%)</f>
        <v/>
      </c>
      <c r="AS252" s="108">
        <f>(BE252-Driver!$K$190)/(Driver!$L$190-Driver!$K$190)</f>
        <v/>
      </c>
      <c r="AT252" s="108">
        <f>(BF252-Driver!$K$191)/(Driver!$L$191-Driver!$K$191)</f>
        <v/>
      </c>
      <c r="AU252" s="108">
        <f>(BG252-Driver!$K$192)/(Driver!$L$192-Driver!$K$192)</f>
        <v/>
      </c>
      <c r="AV252" s="105">
        <f>IFERROR(BM252*BJ252^1/4,"")</f>
        <v/>
      </c>
      <c r="AW252" s="105">
        <f>IFERROR(SUM(AX252:AZ252),"")</f>
        <v/>
      </c>
      <c r="AX252" s="105">
        <f>IFERROR(BH252,"")</f>
        <v/>
      </c>
      <c r="AY252" s="105">
        <f>IFERROR(Driver!$K$19/Data!BH252/Data!BI252*Data!BK252*Data!BL252,"")</f>
        <v/>
      </c>
      <c r="AZ252" s="105">
        <f>IFERROR(BI252*BN252,"")</f>
        <v/>
      </c>
      <c r="BA252" s="105" t="n"/>
      <c r="BB252" s="105" t="n"/>
      <c r="BC252" s="105">
        <f>IFERROR(BI252*BN252*BK252/BJ252^(1/2),"")</f>
        <v/>
      </c>
      <c r="BD252" s="105">
        <f>IFERROR(BH252*BM252*BL252/BJ252/BK252,"")</f>
        <v/>
      </c>
      <c r="BE252" s="105">
        <f>IFERROR(MIN(BI252/BQ252/BP252/BO252/BH252,$BE$1),"")</f>
        <v/>
      </c>
      <c r="BF252" s="105">
        <f>IFERROR(BJ252*BO252*BP252/BK252,"")</f>
        <v/>
      </c>
      <c r="BG252" s="105">
        <f>IFERROR(1/BM252/BH252*BQ252,"")</f>
        <v/>
      </c>
      <c r="BH252" s="102">
        <f>MAX((CE252-Driver!$F$200)/(Driver!$G$200-Driver!$F$200)*$BI$1,1)</f>
        <v/>
      </c>
      <c r="BI252" s="102">
        <f>MAX($BI$1*(BY252-Driver!$F$201)/(Driver!$G$201-Driver!$F$201),1)</f>
        <v/>
      </c>
      <c r="BJ252" s="102">
        <f>(CB252-Driver!$F$206)/(Driver!$G$206-Driver!$F$206)*$BI$1</f>
        <v/>
      </c>
      <c r="BK252" s="102">
        <f>(CD252-Driver!$F$203)/(Driver!$G$203-Driver!$F$203)*$BI$1</f>
        <v/>
      </c>
      <c r="BL252" s="102">
        <f>MAX((CR252-Driver!$F$202)/(Driver!$G$202-Driver!$F$202)*$BI$1,1)</f>
        <v/>
      </c>
      <c r="BM252" s="102">
        <f>MAX((CH252-Driver!$F$204)/(Driver!$G$204-Driver!$F$204)*$BI$1,1)</f>
        <v/>
      </c>
      <c r="BN252" s="102">
        <f>(CI252-Driver!$F$205)/(Driver!$G$205-Driver!$F$205)*$BI$1</f>
        <v/>
      </c>
      <c r="BO252" s="102">
        <f>(CK252-Driver!$F$207)/(Driver!$G$207-Driver!$F$207)*$BI$1</f>
        <v/>
      </c>
      <c r="BP252" s="102">
        <f>(CM252-Driver!$F$208)/(Driver!$G$208-Driver!$F$208)*$BI$1</f>
        <v/>
      </c>
      <c r="BQ252" s="102">
        <f>(CL252-Driver!$F$209)/(Driver!$G$209-Driver!$F$209)*$BI$1</f>
        <v/>
      </c>
      <c r="BR252" s="40" t="inlineStr">
        <is>
          <t>21/22</t>
        </is>
      </c>
      <c r="BS252" s="10" t="inlineStr">
        <is>
          <t xml:space="preserve"> Fischer</t>
        </is>
      </c>
      <c r="BT252" s="11" t="inlineStr">
        <is>
          <t>Ranger 115 FR Big Stix</t>
        </is>
      </c>
      <c r="BU252" s="13" t="n">
        <v>172</v>
      </c>
      <c r="BV252" s="11" t="inlineStr">
        <is>
          <t xml:space="preserve"> Unisex</t>
        </is>
      </c>
      <c r="BW252" s="13" t="n">
        <v>172</v>
      </c>
      <c r="BX252" s="13" t="n">
        <v>171.2</v>
      </c>
      <c r="BY252" s="13" t="n">
        <v>117</v>
      </c>
      <c r="BZ252" s="13" t="n">
        <v>140</v>
      </c>
      <c r="CA252" s="13" t="n">
        <v>138</v>
      </c>
      <c r="CB252" s="13" t="n">
        <v>109</v>
      </c>
      <c r="CC252" s="13" t="n">
        <v>128</v>
      </c>
      <c r="CD252" s="13" t="n">
        <v>17.3</v>
      </c>
      <c r="CE252" s="13" t="n">
        <v>1827</v>
      </c>
      <c r="CF252" s="13" t="n">
        <v>1.11</v>
      </c>
      <c r="CG252" s="13" t="n">
        <v>2027</v>
      </c>
      <c r="CH252" s="13" t="n">
        <v>186</v>
      </c>
      <c r="CI252" s="13" t="n">
        <v>91</v>
      </c>
      <c r="CJ252" s="13" t="n">
        <v>51</v>
      </c>
      <c r="CK252" s="13" t="n">
        <v>340</v>
      </c>
      <c r="CL252" s="13" t="n">
        <v>30</v>
      </c>
      <c r="CM252" s="13" t="n">
        <v>205</v>
      </c>
      <c r="CN252" s="13" t="n">
        <v>0.587</v>
      </c>
      <c r="CO252" s="13" t="n">
        <v>159</v>
      </c>
      <c r="CP252" s="13" t="n">
        <v>152</v>
      </c>
      <c r="CQ252" s="13" t="n">
        <v>180</v>
      </c>
      <c r="CR252" s="13" t="n">
        <v>7</v>
      </c>
      <c r="CS252" s="13" t="n">
        <v>9.6</v>
      </c>
      <c r="CT252" s="11" t="inlineStr">
        <is>
          <t xml:space="preserve"> Powder</t>
        </is>
      </c>
      <c r="CU252" s="11" t="inlineStr">
        <is>
          <t xml:space="preserve"> Touring</t>
        </is>
      </c>
      <c r="CV252" s="13" t="n"/>
      <c r="CW252" s="13" t="n"/>
      <c r="CX252">
        <f>INDEX('Data_Price '!AG$2:AG$1266,MATCH(Data!$DN252,'Data_Price '!$AT$2:$AT$1266,0))</f>
        <v/>
      </c>
      <c r="CY252">
        <f>INDEX('Data_Price '!AH$2:AH$1266,MATCH(Data!$DN252,'Data_Price '!$AT$2:$AT$1266,0))</f>
        <v/>
      </c>
      <c r="CZ252">
        <f>INDEX('Data_Price '!AI$2:AI$1266,MATCH(Data!$DN252,'Data_Price '!$AT$2:$AT$1266,0))</f>
        <v/>
      </c>
      <c r="DA252">
        <f>INDEX('Data_Price '!AJ$2:AJ$1266,MATCH(Data!$DN252,'Data_Price '!$AT$2:$AT$1266,0))</f>
        <v/>
      </c>
      <c r="DB252">
        <f>INDEX('Data_Price '!AK$2:AK$1266,MATCH(Data!$DN252,'Data_Price '!$AT$2:$AT$1266,0))</f>
        <v/>
      </c>
      <c r="DC252">
        <f>INDEX('Data_Price '!AL$2:AL$1266,MATCH(Data!$DN252,'Data_Price '!$AT$2:$AT$1266,0))</f>
        <v/>
      </c>
      <c r="DD252">
        <f>INDEX('Data_Price '!AM$2:AM$1266,MATCH(Data!$DN252,'Data_Price '!$AT$2:$AT$1266,0))</f>
        <v/>
      </c>
      <c r="DE252">
        <f>INDEX('Data_Price '!AN$2:AN$1266,MATCH(Data!$DN252,'Data_Price '!$AT$2:$AT$1266,0))</f>
        <v/>
      </c>
      <c r="DF252">
        <f>INDEX('Data_Price '!AO$2:AO$1266,MATCH(Data!$DN252,'Data_Price '!$AT$2:$AT$1266,0))</f>
        <v/>
      </c>
      <c r="DG252">
        <f>INDEX('Data_Price '!AP$2:AP$1266,MATCH(Data!$DN252,'Data_Price '!$AT$2:$AT$1266,0))</f>
        <v/>
      </c>
      <c r="DH252">
        <f>INDEX('Data_Price '!AQ$2:AQ$1266,MATCH(Data!$DN252,'Data_Price '!$AT$2:$AT$1266,0))</f>
        <v/>
      </c>
      <c r="DI252">
        <f>INDEX('Data_Price '!AR$2:AR$1266,MATCH(Data!$DN252,'Data_Price '!$AT$2:$AT$1266,0))</f>
        <v/>
      </c>
      <c r="DJ252" s="138">
        <f>DA252</f>
        <v/>
      </c>
      <c r="DK252" s="138">
        <f>DE252</f>
        <v/>
      </c>
      <c r="DL252" s="138">
        <f>DI252</f>
        <v/>
      </c>
      <c r="DM252" s="303">
        <f>IF(LEFT(BT252,1)=" ",RIGHT(BT252,LEN(BT252)-1),BT252)</f>
        <v/>
      </c>
      <c r="DN252" s="138">
        <f>_xlfn.CONCAT(BS252,DM252,BU252,BV252)</f>
        <v/>
      </c>
      <c r="DO252" s="307" t="n"/>
    </row>
    <row r="253" ht="15.6" customHeight="1" s="184">
      <c r="B253" s="303">
        <f t="array" ref="B253">IF(OR(ISERROR(K253:P253)),FALSE,TRUE)</f>
        <v/>
      </c>
      <c r="C253" s="60">
        <f>OR(BR253=Driver!$G$50,Data!BR502=Driver!$H$50)</f>
        <v/>
      </c>
      <c r="D253" s="60">
        <f>OR(BV253=Driver!$G$51,BV253=Driver!$H$51)</f>
        <v/>
      </c>
      <c r="E253" s="60">
        <f>AND(BX253&gt;Driver!$F$54,BX253&lt;Driver!$G$54)</f>
        <v/>
      </c>
      <c r="F253" s="60">
        <f>CL253&gt;Driver!$F$56</f>
        <v/>
      </c>
      <c r="G253" s="60">
        <f>AND(CB253&gt;Driver!$F$55,CB253&lt;Driver!$G$55)</f>
        <v/>
      </c>
      <c r="H253" s="60">
        <f>AND(B253:G253)</f>
        <v/>
      </c>
      <c r="I253" s="60">
        <f>COUNTIFS($H$9:$H$1273,TRUE,$BT$9:$BT$1273,BT253)</f>
        <v/>
      </c>
      <c r="J253" s="60">
        <f t="array" ref="J253">NOT(OR(($H$9:$H$1273=TRUE)*($I$9:$I$1273&gt;0)*($BT$9:$BT$1273=BT253)*($K$9:$K$1273&gt;K253)))</f>
        <v/>
      </c>
      <c r="K253" s="108">
        <f>IFERROR(1-AVERAGE(X253:Y253),"")</f>
        <v/>
      </c>
      <c r="L253" s="108">
        <f>1-X253</f>
        <v/>
      </c>
      <c r="M253" s="108">
        <f>1-Y253</f>
        <v/>
      </c>
      <c r="N253" s="108">
        <f>1-Z253</f>
        <v/>
      </c>
      <c r="O253" s="108">
        <f>1-AA253</f>
        <v/>
      </c>
      <c r="P253" s="108">
        <f>1-AB253</f>
        <v/>
      </c>
      <c r="Q253" s="108" t="n"/>
      <c r="R253" s="108" t="n"/>
      <c r="S253" s="108">
        <f>1-AE253</f>
        <v/>
      </c>
      <c r="T253" s="108">
        <f>1-AF253</f>
        <v/>
      </c>
      <c r="U253" s="108">
        <f>1-AG253</f>
        <v/>
      </c>
      <c r="V253" s="108">
        <f>1-AH253</f>
        <v/>
      </c>
      <c r="W253" s="108">
        <f>1-AI253</f>
        <v/>
      </c>
      <c r="X253" s="108">
        <f>ABS(AJ253-AJ$1)</f>
        <v/>
      </c>
      <c r="Y253" s="108">
        <f>AVERAGE(Z253:AB253)</f>
        <v/>
      </c>
      <c r="Z253" s="108">
        <f>ABS(AL253-AL$1)</f>
        <v/>
      </c>
      <c r="AA253" s="108">
        <f>ABS(AM253-AM$1)</f>
        <v/>
      </c>
      <c r="AB253" s="108">
        <f>ABS(AN253-AN$1)</f>
        <v/>
      </c>
      <c r="AC253" s="108" t="n"/>
      <c r="AD253" s="108" t="n"/>
      <c r="AE253" s="108">
        <f>ABS(AQ$1-AQ253)</f>
        <v/>
      </c>
      <c r="AF253" s="108">
        <f>ABS(AR$1-AR253)</f>
        <v/>
      </c>
      <c r="AG253" s="108">
        <f>ABS(AS$1-AS253)</f>
        <v/>
      </c>
      <c r="AH253" s="108">
        <f>ABS(AT$1-AT253)</f>
        <v/>
      </c>
      <c r="AI253" s="108">
        <f>ABS(AU$1-AU253)</f>
        <v/>
      </c>
      <c r="AJ253" s="108">
        <f>(AV253-Driver!$K$179)/(Driver!$L$179-Driver!$K$179)</f>
        <v/>
      </c>
      <c r="AK253" s="108">
        <f>(AW253-Driver!$K$180)/(Driver!$L$180-Driver!$K$180)</f>
        <v/>
      </c>
      <c r="AL253" s="108">
        <f>(AX253-Driver!$K$181)/(Driver!$L$181-Driver!$K$181)</f>
        <v/>
      </c>
      <c r="AM253" s="108">
        <f>(AY253-Driver!$K$182)/(Driver!$L$182-Driver!$K$182)</f>
        <v/>
      </c>
      <c r="AN253" s="108">
        <f>(AZ253-Driver!$K$183)/(Driver!$L$183-Driver!$K$183)</f>
        <v/>
      </c>
      <c r="AO253" s="108" t="n"/>
      <c r="AP253" s="108" t="n"/>
      <c r="AQ253" s="108">
        <f>(BC253-Driver!$K$188)/(Driver!$L$188-Driver!$K$188)</f>
        <v/>
      </c>
      <c r="AR253" s="108">
        <f>MIN((BD253-Driver!$K$189)/(Driver!$L$189-Driver!$K$189),100%)</f>
        <v/>
      </c>
      <c r="AS253" s="108">
        <f>(BE253-Driver!$K$190)/(Driver!$L$190-Driver!$K$190)</f>
        <v/>
      </c>
      <c r="AT253" s="108">
        <f>(BF253-Driver!$K$191)/(Driver!$L$191-Driver!$K$191)</f>
        <v/>
      </c>
      <c r="AU253" s="108">
        <f>(BG253-Driver!$K$192)/(Driver!$L$192-Driver!$K$192)</f>
        <v/>
      </c>
      <c r="AV253" s="105">
        <f>IFERROR(BM253*BJ253^1/4,"")</f>
        <v/>
      </c>
      <c r="AW253" s="105">
        <f>IFERROR(SUM(AX253:AZ253),"")</f>
        <v/>
      </c>
      <c r="AX253" s="105">
        <f>IFERROR(BH253,"")</f>
        <v/>
      </c>
      <c r="AY253" s="105">
        <f>IFERROR(Driver!$K$19/Data!BH253/Data!BI253*Data!BK253*Data!BL253,"")</f>
        <v/>
      </c>
      <c r="AZ253" s="105">
        <f>IFERROR(BI253*BN253,"")</f>
        <v/>
      </c>
      <c r="BA253" s="105" t="n"/>
      <c r="BB253" s="105" t="n"/>
      <c r="BC253" s="105">
        <f>IFERROR(BI253*BN253*BK253/BJ253^(1/2),"")</f>
        <v/>
      </c>
      <c r="BD253" s="105">
        <f>IFERROR(BH253*BM253*BL253/BJ253/BK253,"")</f>
        <v/>
      </c>
      <c r="BE253" s="105">
        <f>IFERROR(MIN(BI253/BQ253/BP253/BO253/BH253,$BE$1),"")</f>
        <v/>
      </c>
      <c r="BF253" s="105">
        <f>IFERROR(BJ253*BO253*BP253/BK253,"")</f>
        <v/>
      </c>
      <c r="BG253" s="105">
        <f>IFERROR(1/BM253/BH253*BQ253,"")</f>
        <v/>
      </c>
      <c r="BH253" s="102">
        <f>MAX((CE253-Driver!$F$200)/(Driver!$G$200-Driver!$F$200)*$BI$1,1)</f>
        <v/>
      </c>
      <c r="BI253" s="102">
        <f>MAX($BI$1*(BY253-Driver!$F$201)/(Driver!$G$201-Driver!$F$201),1)</f>
        <v/>
      </c>
      <c r="BJ253" s="102">
        <f>(CB253-Driver!$F$206)/(Driver!$G$206-Driver!$F$206)*$BI$1</f>
        <v/>
      </c>
      <c r="BK253" s="102">
        <f>(CD253-Driver!$F$203)/(Driver!$G$203-Driver!$F$203)*$BI$1</f>
        <v/>
      </c>
      <c r="BL253" s="102">
        <f>MAX((CR253-Driver!$F$202)/(Driver!$G$202-Driver!$F$202)*$BI$1,1)</f>
        <v/>
      </c>
      <c r="BM253" s="102">
        <f>MAX((CH253-Driver!$F$204)/(Driver!$G$204-Driver!$F$204)*$BI$1,1)</f>
        <v/>
      </c>
      <c r="BN253" s="102">
        <f>(CI253-Driver!$F$205)/(Driver!$G$205-Driver!$F$205)*$BI$1</f>
        <v/>
      </c>
      <c r="BO253" s="102">
        <f>(CK253-Driver!$F$207)/(Driver!$G$207-Driver!$F$207)*$BI$1</f>
        <v/>
      </c>
      <c r="BP253" s="102">
        <f>(CM253-Driver!$F$208)/(Driver!$G$208-Driver!$F$208)*$BI$1</f>
        <v/>
      </c>
      <c r="BQ253" s="102">
        <f>(CL253-Driver!$F$209)/(Driver!$G$209-Driver!$F$209)*$BI$1</f>
        <v/>
      </c>
      <c r="BR253" s="40" t="inlineStr">
        <is>
          <t>21/22</t>
        </is>
      </c>
      <c r="BS253" s="10" t="inlineStr">
        <is>
          <t xml:space="preserve"> Faction</t>
        </is>
      </c>
      <c r="BT253" s="11" t="inlineStr">
        <is>
          <t>CT 2.0</t>
        </is>
      </c>
      <c r="BU253" s="13" t="n">
        <v>173</v>
      </c>
      <c r="BV253" s="11" t="inlineStr">
        <is>
          <t xml:space="preserve"> Unisex</t>
        </is>
      </c>
      <c r="BW253" s="13" t="n">
        <v>173</v>
      </c>
      <c r="BX253" s="13" t="n">
        <v>171.1</v>
      </c>
      <c r="BY253" s="13" t="n">
        <v>112</v>
      </c>
      <c r="BZ253" s="13" t="n">
        <v>145</v>
      </c>
      <c r="CA253" s="13" t="n">
        <v>131</v>
      </c>
      <c r="CB253" s="13" t="n">
        <v>102</v>
      </c>
      <c r="CC253" s="13" t="n">
        <v>127</v>
      </c>
      <c r="CD253" s="13" t="n">
        <v>18.1</v>
      </c>
      <c r="CE253" s="13" t="n">
        <v>1782</v>
      </c>
      <c r="CF253" s="13" t="n">
        <v>1.07</v>
      </c>
      <c r="CG253" s="13" t="n">
        <v>1913</v>
      </c>
      <c r="CH253" s="13" t="n">
        <v>213</v>
      </c>
      <c r="CI253" s="13" t="n">
        <v>96</v>
      </c>
      <c r="CJ253" s="13" t="n">
        <v>57</v>
      </c>
      <c r="CK253" s="13" t="n">
        <v>316</v>
      </c>
      <c r="CL253" s="13" t="n">
        <v>51</v>
      </c>
      <c r="CM253" s="13" t="n">
        <v>278</v>
      </c>
      <c r="CN253" s="13" t="n">
        <v>0.887</v>
      </c>
      <c r="CO253" s="13" t="n">
        <v>136</v>
      </c>
      <c r="CP253" s="13" t="n">
        <v>123</v>
      </c>
      <c r="CQ253" s="13" t="n">
        <v>179</v>
      </c>
      <c r="CR253" s="13" t="n">
        <v>5</v>
      </c>
      <c r="CS253" s="13" t="n">
        <v>4</v>
      </c>
      <c r="CT253" s="11" t="inlineStr">
        <is>
          <t xml:space="preserve"> Freeski</t>
        </is>
      </c>
      <c r="CU253" s="11" t="inlineStr">
        <is>
          <t xml:space="preserve"> Powder</t>
        </is>
      </c>
      <c r="CV253" s="11" t="inlineStr">
        <is>
          <t xml:space="preserve"> Touring</t>
        </is>
      </c>
      <c r="CW253" s="13" t="n"/>
      <c r="CX253">
        <f>INDEX('Data_Price '!AG$2:AG$1266,MATCH(Data!$DN253,'Data_Price '!$AT$2:$AT$1266,0))</f>
        <v/>
      </c>
      <c r="CY253">
        <f>INDEX('Data_Price '!AH$2:AH$1266,MATCH(Data!$DN253,'Data_Price '!$AT$2:$AT$1266,0))</f>
        <v/>
      </c>
      <c r="CZ253">
        <f>INDEX('Data_Price '!AI$2:AI$1266,MATCH(Data!$DN253,'Data_Price '!$AT$2:$AT$1266,0))</f>
        <v/>
      </c>
      <c r="DA253">
        <f>INDEX('Data_Price '!AJ$2:AJ$1266,MATCH(Data!$DN253,'Data_Price '!$AT$2:$AT$1266,0))</f>
        <v/>
      </c>
      <c r="DB253">
        <f>INDEX('Data_Price '!AK$2:AK$1266,MATCH(Data!$DN253,'Data_Price '!$AT$2:$AT$1266,0))</f>
        <v/>
      </c>
      <c r="DC253">
        <f>INDEX('Data_Price '!AL$2:AL$1266,MATCH(Data!$DN253,'Data_Price '!$AT$2:$AT$1266,0))</f>
        <v/>
      </c>
      <c r="DD253">
        <f>INDEX('Data_Price '!AM$2:AM$1266,MATCH(Data!$DN253,'Data_Price '!$AT$2:$AT$1266,0))</f>
        <v/>
      </c>
      <c r="DE253">
        <f>INDEX('Data_Price '!AN$2:AN$1266,MATCH(Data!$DN253,'Data_Price '!$AT$2:$AT$1266,0))</f>
        <v/>
      </c>
      <c r="DF253">
        <f>INDEX('Data_Price '!AO$2:AO$1266,MATCH(Data!$DN253,'Data_Price '!$AT$2:$AT$1266,0))</f>
        <v/>
      </c>
      <c r="DG253">
        <f>INDEX('Data_Price '!AP$2:AP$1266,MATCH(Data!$DN253,'Data_Price '!$AT$2:$AT$1266,0))</f>
        <v/>
      </c>
      <c r="DH253">
        <f>INDEX('Data_Price '!AQ$2:AQ$1266,MATCH(Data!$DN253,'Data_Price '!$AT$2:$AT$1266,0))</f>
        <v/>
      </c>
      <c r="DI253">
        <f>INDEX('Data_Price '!AR$2:AR$1266,MATCH(Data!$DN253,'Data_Price '!$AT$2:$AT$1266,0))</f>
        <v/>
      </c>
      <c r="DJ253" s="138">
        <f>DA253</f>
        <v/>
      </c>
      <c r="DK253" s="138">
        <f>DE253</f>
        <v/>
      </c>
      <c r="DL253" s="138">
        <f>DI253</f>
        <v/>
      </c>
      <c r="DM253" s="303">
        <f>IF(LEFT(BT253,1)=" ",RIGHT(BT253,LEN(BT253)-1),BT253)</f>
        <v/>
      </c>
      <c r="DN253" s="138">
        <f>_xlfn.CONCAT(BS253,DM253,BU253,BV253)</f>
        <v/>
      </c>
      <c r="DO253" s="307" t="inlineStr">
        <is>
          <t>https://images.evo.com/imgp/250/208622/839895/clone.jpg</t>
        </is>
      </c>
    </row>
    <row r="254" ht="15.6" customHeight="1" s="184">
      <c r="B254" s="303">
        <f t="array" ref="B254">IF(OR(ISERROR(K254:P254)),FALSE,TRUE)</f>
        <v/>
      </c>
      <c r="C254" s="60">
        <f>OR(BR254=Driver!$G$50,Data!BR243=Driver!$H$50)</f>
        <v/>
      </c>
      <c r="D254" s="60">
        <f>OR(BV254=Driver!$G$51,BV254=Driver!$H$51)</f>
        <v/>
      </c>
      <c r="E254" s="60">
        <f>AND(BX254&gt;Driver!$F$54,BX254&lt;Driver!$G$54)</f>
        <v/>
      </c>
      <c r="F254" s="60">
        <f>CL254&gt;Driver!$F$56</f>
        <v/>
      </c>
      <c r="G254" s="60">
        <f>AND(CB254&gt;Driver!$F$55,CB254&lt;Driver!$G$55)</f>
        <v/>
      </c>
      <c r="H254" s="60">
        <f>AND(B254:G254)</f>
        <v/>
      </c>
      <c r="I254" s="60">
        <f>COUNTIFS($H$9:$H$1273,TRUE,$BT$9:$BT$1273,BT254)</f>
        <v/>
      </c>
      <c r="J254" s="60">
        <f t="array" ref="J254">NOT(OR(($H$9:$H$1273=TRUE)*($I$9:$I$1273&gt;0)*($BT$9:$BT$1273=BT254)*($K$9:$K$1273&gt;K254)))</f>
        <v/>
      </c>
      <c r="K254" s="108">
        <f>IFERROR(1-AVERAGE(X254:Y254),"")</f>
        <v/>
      </c>
      <c r="L254" s="108">
        <f>1-X254</f>
        <v/>
      </c>
      <c r="M254" s="108">
        <f>1-Y254</f>
        <v/>
      </c>
      <c r="N254" s="108">
        <f>1-Z254</f>
        <v/>
      </c>
      <c r="O254" s="108">
        <f>1-AA254</f>
        <v/>
      </c>
      <c r="P254" s="108">
        <f>1-AB254</f>
        <v/>
      </c>
      <c r="Q254" s="108" t="n"/>
      <c r="R254" s="108" t="n"/>
      <c r="S254" s="108">
        <f>1-AE254</f>
        <v/>
      </c>
      <c r="T254" s="108">
        <f>1-AF254</f>
        <v/>
      </c>
      <c r="U254" s="108">
        <f>1-AG254</f>
        <v/>
      </c>
      <c r="V254" s="108">
        <f>1-AH254</f>
        <v/>
      </c>
      <c r="W254" s="108">
        <f>1-AI254</f>
        <v/>
      </c>
      <c r="X254" s="108">
        <f>ABS(AJ254-AJ$1)</f>
        <v/>
      </c>
      <c r="Y254" s="108">
        <f>AVERAGE(Z254:AB254)</f>
        <v/>
      </c>
      <c r="Z254" s="108">
        <f>ABS(AL254-AL$1)</f>
        <v/>
      </c>
      <c r="AA254" s="108">
        <f>ABS(AM254-AM$1)</f>
        <v/>
      </c>
      <c r="AB254" s="108">
        <f>ABS(AN254-AN$1)</f>
        <v/>
      </c>
      <c r="AC254" s="108" t="n"/>
      <c r="AD254" s="108" t="n"/>
      <c r="AE254" s="108">
        <f>ABS(AQ$1-AQ254)</f>
        <v/>
      </c>
      <c r="AF254" s="108">
        <f>ABS(AR$1-AR254)</f>
        <v/>
      </c>
      <c r="AG254" s="108">
        <f>ABS(AS$1-AS254)</f>
        <v/>
      </c>
      <c r="AH254" s="108">
        <f>ABS(AT$1-AT254)</f>
        <v/>
      </c>
      <c r="AI254" s="108">
        <f>ABS(AU$1-AU254)</f>
        <v/>
      </c>
      <c r="AJ254" s="108">
        <f>(AV254-Driver!$K$179)/(Driver!$L$179-Driver!$K$179)</f>
        <v/>
      </c>
      <c r="AK254" s="108">
        <f>(AW254-Driver!$K$180)/(Driver!$L$180-Driver!$K$180)</f>
        <v/>
      </c>
      <c r="AL254" s="108">
        <f>(AX254-Driver!$K$181)/(Driver!$L$181-Driver!$K$181)</f>
        <v/>
      </c>
      <c r="AM254" s="108">
        <f>(AY254-Driver!$K$182)/(Driver!$L$182-Driver!$K$182)</f>
        <v/>
      </c>
      <c r="AN254" s="108">
        <f>(AZ254-Driver!$K$183)/(Driver!$L$183-Driver!$K$183)</f>
        <v/>
      </c>
      <c r="AO254" s="108" t="n"/>
      <c r="AP254" s="108" t="n"/>
      <c r="AQ254" s="108">
        <f>(BC254-Driver!$K$188)/(Driver!$L$188-Driver!$K$188)</f>
        <v/>
      </c>
      <c r="AR254" s="108">
        <f>MIN((BD254-Driver!$K$189)/(Driver!$L$189-Driver!$K$189),100%)</f>
        <v/>
      </c>
      <c r="AS254" s="108">
        <f>(BE254-Driver!$K$190)/(Driver!$L$190-Driver!$K$190)</f>
        <v/>
      </c>
      <c r="AT254" s="108">
        <f>(BF254-Driver!$K$191)/(Driver!$L$191-Driver!$K$191)</f>
        <v/>
      </c>
      <c r="AU254" s="108">
        <f>(BG254-Driver!$K$192)/(Driver!$L$192-Driver!$K$192)</f>
        <v/>
      </c>
      <c r="AV254" s="105">
        <f>IFERROR(BM254*BJ254^1/4,"")</f>
        <v/>
      </c>
      <c r="AW254" s="105">
        <f>IFERROR(SUM(AX254:AZ254),"")</f>
        <v/>
      </c>
      <c r="AX254" s="105">
        <f>IFERROR(BH254,"")</f>
        <v/>
      </c>
      <c r="AY254" s="105">
        <f>IFERROR(Driver!$K$19/Data!BH254/Data!BI254*Data!BK254*Data!BL254,"")</f>
        <v/>
      </c>
      <c r="AZ254" s="105">
        <f>IFERROR(BI254*BN254,"")</f>
        <v/>
      </c>
      <c r="BA254" s="105" t="n"/>
      <c r="BB254" s="105" t="n"/>
      <c r="BC254" s="105">
        <f>IFERROR(BI254*BN254*BK254/BJ254^(1/2),"")</f>
        <v/>
      </c>
      <c r="BD254" s="105">
        <f>IFERROR(BH254*BM254*BL254/BJ254/BK254,"")</f>
        <v/>
      </c>
      <c r="BE254" s="105">
        <f>IFERROR(MIN(BI254/BQ254/BP254/BO254/BH254,$BE$1),"")</f>
        <v/>
      </c>
      <c r="BF254" s="105">
        <f>IFERROR(BJ254*BO254*BP254/BK254,"")</f>
        <v/>
      </c>
      <c r="BG254" s="105">
        <f>IFERROR(1/BM254/BH254*BQ254,"")</f>
        <v/>
      </c>
      <c r="BH254" s="102">
        <f>MAX((CE254-Driver!$F$200)/(Driver!$G$200-Driver!$F$200)*$BI$1,1)</f>
        <v/>
      </c>
      <c r="BI254" s="102">
        <f>MAX($BI$1*(BY254-Driver!$F$201)/(Driver!$G$201-Driver!$F$201),1)</f>
        <v/>
      </c>
      <c r="BJ254" s="102">
        <f>(CB254-Driver!$F$206)/(Driver!$G$206-Driver!$F$206)*$BI$1</f>
        <v/>
      </c>
      <c r="BK254" s="102">
        <f>(CD254-Driver!$F$203)/(Driver!$G$203-Driver!$F$203)*$BI$1</f>
        <v/>
      </c>
      <c r="BL254" s="102">
        <f>MAX((CR254-Driver!$F$202)/(Driver!$G$202-Driver!$F$202)*$BI$1,1)</f>
        <v/>
      </c>
      <c r="BM254" s="102">
        <f>MAX((CH254-Driver!$F$204)/(Driver!$G$204-Driver!$F$204)*$BI$1,1)</f>
        <v/>
      </c>
      <c r="BN254" s="102">
        <f>(CI254-Driver!$F$205)/(Driver!$G$205-Driver!$F$205)*$BI$1</f>
        <v/>
      </c>
      <c r="BO254" s="102">
        <f>(CK254-Driver!$F$207)/(Driver!$G$207-Driver!$F$207)*$BI$1</f>
        <v/>
      </c>
      <c r="BP254" s="102">
        <f>(CM254-Driver!$F$208)/(Driver!$G$208-Driver!$F$208)*$BI$1</f>
        <v/>
      </c>
      <c r="BQ254" s="102">
        <f>(CL254-Driver!$F$209)/(Driver!$G$209-Driver!$F$209)*$BI$1</f>
        <v/>
      </c>
      <c r="BR254" s="40" t="inlineStr">
        <is>
          <t>21/22</t>
        </is>
      </c>
      <c r="BS254" s="10" t="inlineStr">
        <is>
          <t xml:space="preserve"> Black Crows</t>
        </is>
      </c>
      <c r="BT254" s="11" t="inlineStr">
        <is>
          <t xml:space="preserve"> Serpo</t>
        </is>
      </c>
      <c r="BU254" s="13" t="n">
        <v>174.1</v>
      </c>
      <c r="BV254" s="11" t="inlineStr">
        <is>
          <t xml:space="preserve"> Unisex</t>
        </is>
      </c>
      <c r="BW254" s="13" t="n">
        <v>174.1</v>
      </c>
      <c r="BX254" s="13" t="n">
        <v>173.5</v>
      </c>
      <c r="BY254" s="13" t="n">
        <v>117</v>
      </c>
      <c r="BZ254" s="13" t="n">
        <v>153</v>
      </c>
      <c r="CA254" s="13" t="n">
        <v>129</v>
      </c>
      <c r="CB254" s="13" t="n">
        <v>92</v>
      </c>
      <c r="CC254" s="13" t="n">
        <v>112</v>
      </c>
      <c r="CD254" s="13" t="n">
        <v>19.8</v>
      </c>
      <c r="CE254" s="13" t="n">
        <v>1752</v>
      </c>
      <c r="CF254" s="13" t="n">
        <v>1.02</v>
      </c>
      <c r="CG254" s="13" t="n">
        <v>1784</v>
      </c>
      <c r="CH254" s="13" t="n">
        <v>185</v>
      </c>
      <c r="CI254" s="13" t="n">
        <v>80</v>
      </c>
      <c r="CJ254" s="13" t="n">
        <v>42</v>
      </c>
      <c r="CK254" s="13" t="n">
        <v>292</v>
      </c>
      <c r="CL254" s="13" t="n">
        <v>14</v>
      </c>
      <c r="CM254" s="13" t="n">
        <v>276</v>
      </c>
      <c r="CN254" s="13" t="n">
        <v>0.324</v>
      </c>
      <c r="CO254" s="13" t="n">
        <v>107</v>
      </c>
      <c r="CP254" s="13" t="n">
        <v>95</v>
      </c>
      <c r="CQ254" s="13" t="n">
        <v>185</v>
      </c>
      <c r="CR254" s="13" t="n">
        <v>3</v>
      </c>
      <c r="CS254" s="13" t="n">
        <v>8.5</v>
      </c>
      <c r="CT254" s="11" t="inlineStr">
        <is>
          <t xml:space="preserve"> Resort Freeride</t>
        </is>
      </c>
      <c r="CU254" s="13" t="n"/>
      <c r="CV254" s="13" t="n"/>
      <c r="CW254" s="13" t="n"/>
      <c r="CX254">
        <f>INDEX('Data_Price '!AG$2:AG$1266,MATCH(Data!$DN254,'Data_Price '!$AT$2:$AT$1266,0))</f>
        <v/>
      </c>
      <c r="CY254">
        <f>INDEX('Data_Price '!AH$2:AH$1266,MATCH(Data!$DN254,'Data_Price '!$AT$2:$AT$1266,0))</f>
        <v/>
      </c>
      <c r="CZ254">
        <f>INDEX('Data_Price '!AI$2:AI$1266,MATCH(Data!$DN254,'Data_Price '!$AT$2:$AT$1266,0))</f>
        <v/>
      </c>
      <c r="DA254">
        <f>INDEX('Data_Price '!AJ$2:AJ$1266,MATCH(Data!$DN254,'Data_Price '!$AT$2:$AT$1266,0))</f>
        <v/>
      </c>
      <c r="DB254">
        <f>INDEX('Data_Price '!AK$2:AK$1266,MATCH(Data!$DN254,'Data_Price '!$AT$2:$AT$1266,0))</f>
        <v/>
      </c>
      <c r="DC254">
        <f>INDEX('Data_Price '!AL$2:AL$1266,MATCH(Data!$DN254,'Data_Price '!$AT$2:$AT$1266,0))</f>
        <v/>
      </c>
      <c r="DD254">
        <f>INDEX('Data_Price '!AM$2:AM$1266,MATCH(Data!$DN254,'Data_Price '!$AT$2:$AT$1266,0))</f>
        <v/>
      </c>
      <c r="DE254">
        <f>INDEX('Data_Price '!AN$2:AN$1266,MATCH(Data!$DN254,'Data_Price '!$AT$2:$AT$1266,0))</f>
        <v/>
      </c>
      <c r="DF254">
        <f>INDEX('Data_Price '!AO$2:AO$1266,MATCH(Data!$DN254,'Data_Price '!$AT$2:$AT$1266,0))</f>
        <v/>
      </c>
      <c r="DG254">
        <f>INDEX('Data_Price '!AP$2:AP$1266,MATCH(Data!$DN254,'Data_Price '!$AT$2:$AT$1266,0))</f>
        <v/>
      </c>
      <c r="DH254">
        <f>INDEX('Data_Price '!AQ$2:AQ$1266,MATCH(Data!$DN254,'Data_Price '!$AT$2:$AT$1266,0))</f>
        <v/>
      </c>
      <c r="DI254">
        <f>INDEX('Data_Price '!AR$2:AR$1266,MATCH(Data!$DN254,'Data_Price '!$AT$2:$AT$1266,0))</f>
        <v/>
      </c>
      <c r="DJ254" s="138">
        <f>DA254</f>
        <v/>
      </c>
      <c r="DK254" s="138">
        <f>DE254</f>
        <v/>
      </c>
      <c r="DL254" s="138">
        <f>DI254</f>
        <v/>
      </c>
      <c r="DM254" s="303">
        <f>IF(LEFT(BT254,1)=" ",RIGHT(BT254,LEN(BT254)-1),BT254)</f>
        <v/>
      </c>
      <c r="DN254" s="138">
        <f>_xlfn.CONCAT(BS254,DM254,BU254,BV254)</f>
        <v/>
      </c>
      <c r="DO254" s="307" t="inlineStr">
        <is>
          <t>https://images.evo.com/imgp/250/202411/868118/clone.jpg</t>
        </is>
      </c>
    </row>
    <row r="255" ht="15.6" customHeight="1" s="184">
      <c r="B255" s="303">
        <f t="array" ref="B255">IF(OR(ISERROR(K255:P255)),FALSE,TRUE)</f>
        <v/>
      </c>
      <c r="C255" s="60">
        <f>OR(BR255=Driver!$G$50,Data!BR1158=Driver!$H$50)</f>
        <v/>
      </c>
      <c r="D255" s="60">
        <f>OR(BV255=Driver!$G$51,BV255=Driver!$H$51)</f>
        <v/>
      </c>
      <c r="E255" s="60">
        <f>AND(BX255&gt;Driver!$F$54,BX255&lt;Driver!$G$54)</f>
        <v/>
      </c>
      <c r="F255" s="60">
        <f>CL255&gt;Driver!$F$56</f>
        <v/>
      </c>
      <c r="G255" s="60">
        <f>AND(CB255&gt;Driver!$F$55,CB255&lt;Driver!$G$55)</f>
        <v/>
      </c>
      <c r="H255" s="60">
        <f>AND(B255:G255)</f>
        <v/>
      </c>
      <c r="I255" s="60">
        <f>COUNTIFS($H$9:$H$1273,TRUE,$BT$9:$BT$1273,BT255)</f>
        <v/>
      </c>
      <c r="J255" s="60">
        <f t="array" ref="J255">NOT(OR(($H$9:$H$1273=TRUE)*($I$9:$I$1273&gt;0)*($BT$9:$BT$1273=BT255)*($K$9:$K$1273&gt;K255)))</f>
        <v/>
      </c>
      <c r="K255" s="108">
        <f>IFERROR(1-AVERAGE(X255:Y255),"")</f>
        <v/>
      </c>
      <c r="L255" s="108">
        <f>1-X255</f>
        <v/>
      </c>
      <c r="M255" s="108">
        <f>1-Y255</f>
        <v/>
      </c>
      <c r="N255" s="108">
        <f>1-Z255</f>
        <v/>
      </c>
      <c r="O255" s="108">
        <f>1-AA255</f>
        <v/>
      </c>
      <c r="P255" s="108">
        <f>1-AB255</f>
        <v/>
      </c>
      <c r="Q255" s="108" t="n"/>
      <c r="R255" s="108" t="n"/>
      <c r="S255" s="108">
        <f>1-AE255</f>
        <v/>
      </c>
      <c r="T255" s="108">
        <f>1-AF255</f>
        <v/>
      </c>
      <c r="U255" s="108">
        <f>1-AG255</f>
        <v/>
      </c>
      <c r="V255" s="108">
        <f>1-AH255</f>
        <v/>
      </c>
      <c r="W255" s="108">
        <f>1-AI255</f>
        <v/>
      </c>
      <c r="X255" s="108">
        <f>ABS(AJ255-AJ$1)</f>
        <v/>
      </c>
      <c r="Y255" s="108">
        <f>AVERAGE(Z255:AB255)</f>
        <v/>
      </c>
      <c r="Z255" s="108">
        <f>ABS(AL255-AL$1)</f>
        <v/>
      </c>
      <c r="AA255" s="108">
        <f>ABS(AM255-AM$1)</f>
        <v/>
      </c>
      <c r="AB255" s="108">
        <f>ABS(AN255-AN$1)</f>
        <v/>
      </c>
      <c r="AC255" s="108" t="n"/>
      <c r="AD255" s="108" t="n"/>
      <c r="AE255" s="108">
        <f>ABS(AQ$1-AQ255)</f>
        <v/>
      </c>
      <c r="AF255" s="108">
        <f>ABS(AR$1-AR255)</f>
        <v/>
      </c>
      <c r="AG255" s="108">
        <f>ABS(AS$1-AS255)</f>
        <v/>
      </c>
      <c r="AH255" s="108">
        <f>ABS(AT$1-AT255)</f>
        <v/>
      </c>
      <c r="AI255" s="108">
        <f>ABS(AU$1-AU255)</f>
        <v/>
      </c>
      <c r="AJ255" s="108">
        <f>(AV255-Driver!$K$179)/(Driver!$L$179-Driver!$K$179)</f>
        <v/>
      </c>
      <c r="AK255" s="108">
        <f>(AW255-Driver!$K$180)/(Driver!$L$180-Driver!$K$180)</f>
        <v/>
      </c>
      <c r="AL255" s="108">
        <f>(AX255-Driver!$K$181)/(Driver!$L$181-Driver!$K$181)</f>
        <v/>
      </c>
      <c r="AM255" s="108">
        <f>(AY255-Driver!$K$182)/(Driver!$L$182-Driver!$K$182)</f>
        <v/>
      </c>
      <c r="AN255" s="108">
        <f>(AZ255-Driver!$K$183)/(Driver!$L$183-Driver!$K$183)</f>
        <v/>
      </c>
      <c r="AO255" s="108" t="n"/>
      <c r="AP255" s="108" t="n"/>
      <c r="AQ255" s="108">
        <f>(BC255-Driver!$K$188)/(Driver!$L$188-Driver!$K$188)</f>
        <v/>
      </c>
      <c r="AR255" s="108">
        <f>MIN((BD255-Driver!$K$189)/(Driver!$L$189-Driver!$K$189),100%)</f>
        <v/>
      </c>
      <c r="AS255" s="108">
        <f>(BE255-Driver!$K$190)/(Driver!$L$190-Driver!$K$190)</f>
        <v/>
      </c>
      <c r="AT255" s="108">
        <f>(BF255-Driver!$K$191)/(Driver!$L$191-Driver!$K$191)</f>
        <v/>
      </c>
      <c r="AU255" s="108">
        <f>(BG255-Driver!$K$192)/(Driver!$L$192-Driver!$K$192)</f>
        <v/>
      </c>
      <c r="AV255" s="105">
        <f>IFERROR(BM255*BJ255^1/4,"")</f>
        <v/>
      </c>
      <c r="AW255" s="105">
        <f>IFERROR(SUM(AX255:AZ255),"")</f>
        <v/>
      </c>
      <c r="AX255" s="105">
        <f>IFERROR(BH255,"")</f>
        <v/>
      </c>
      <c r="AY255" s="105">
        <f>IFERROR(Driver!$K$19/Data!BH255/Data!BI255*Data!BK255*Data!BL255,"")</f>
        <v/>
      </c>
      <c r="AZ255" s="105">
        <f>IFERROR(BI255*BN255,"")</f>
        <v/>
      </c>
      <c r="BA255" s="105" t="n"/>
      <c r="BB255" s="105" t="n"/>
      <c r="BC255" s="105">
        <f>IFERROR(BI255*BN255*BK255/BJ255^(1/2),"")</f>
        <v/>
      </c>
      <c r="BD255" s="105">
        <f>IFERROR(BH255*BM255*BL255/BJ255/BK255,"")</f>
        <v/>
      </c>
      <c r="BE255" s="105">
        <f>IFERROR(MIN(BI255/BQ255/BP255/BO255/BH255,$BE$1),"")</f>
        <v/>
      </c>
      <c r="BF255" s="105">
        <f>IFERROR(BJ255*BO255*BP255/BK255,"")</f>
        <v/>
      </c>
      <c r="BG255" s="105">
        <f>IFERROR(1/BM255/BH255*BQ255,"")</f>
        <v/>
      </c>
      <c r="BH255" s="102">
        <f>MAX((CE255-Driver!$F$200)/(Driver!$G$200-Driver!$F$200)*$BI$1,1)</f>
        <v/>
      </c>
      <c r="BI255" s="102">
        <f>MAX($BI$1*(BY255-Driver!$F$201)/(Driver!$G$201-Driver!$F$201),1)</f>
        <v/>
      </c>
      <c r="BJ255" s="102">
        <f>(CB255-Driver!$F$206)/(Driver!$G$206-Driver!$F$206)*$BI$1</f>
        <v/>
      </c>
      <c r="BK255" s="102">
        <f>(CD255-Driver!$F$203)/(Driver!$G$203-Driver!$F$203)*$BI$1</f>
        <v/>
      </c>
      <c r="BL255" s="102">
        <f>MAX((CR255-Driver!$F$202)/(Driver!$G$202-Driver!$F$202)*$BI$1,1)</f>
        <v/>
      </c>
      <c r="BM255" s="102">
        <f>MAX((CH255-Driver!$F$204)/(Driver!$G$204-Driver!$F$204)*$BI$1,1)</f>
        <v/>
      </c>
      <c r="BN255" s="102">
        <f>(CI255-Driver!$F$205)/(Driver!$G$205-Driver!$F$205)*$BI$1</f>
        <v/>
      </c>
      <c r="BO255" s="102">
        <f>(CK255-Driver!$F$207)/(Driver!$G$207-Driver!$F$207)*$BI$1</f>
        <v/>
      </c>
      <c r="BP255" s="102">
        <f>(CM255-Driver!$F$208)/(Driver!$G$208-Driver!$F$208)*$BI$1</f>
        <v/>
      </c>
      <c r="BQ255" s="102">
        <f>(CL255-Driver!$F$209)/(Driver!$G$209-Driver!$F$209)*$BI$1</f>
        <v/>
      </c>
      <c r="BR255" s="40" t="inlineStr">
        <is>
          <t>21/22</t>
        </is>
      </c>
      <c r="BS255" s="10" t="inlineStr">
        <is>
          <t xml:space="preserve"> Völkl</t>
        </is>
      </c>
      <c r="BT255" s="11" t="inlineStr">
        <is>
          <t>Blaze 106</t>
        </is>
      </c>
      <c r="BU255" s="13" t="n">
        <v>179</v>
      </c>
      <c r="BV255" s="11" t="inlineStr">
        <is>
          <t xml:space="preserve"> Unisex</t>
        </is>
      </c>
      <c r="BW255" s="13" t="n">
        <v>179</v>
      </c>
      <c r="BX255" s="13" t="n">
        <v>179.4</v>
      </c>
      <c r="BY255" s="13" t="n">
        <v>111</v>
      </c>
      <c r="BZ255" s="13" t="n">
        <v>155</v>
      </c>
      <c r="CA255" s="13" t="n">
        <v>145</v>
      </c>
      <c r="CB255" s="13" t="n">
        <v>105</v>
      </c>
      <c r="CC255" s="13" t="n">
        <v>127</v>
      </c>
      <c r="CD255" s="13" t="n">
        <v>18.7</v>
      </c>
      <c r="CE255" s="13" t="n">
        <v>1763</v>
      </c>
      <c r="CF255" s="13" t="n">
        <v>1.19</v>
      </c>
      <c r="CG255" s="13" t="n">
        <v>2103</v>
      </c>
      <c r="CH255" s="13" t="n">
        <v>187</v>
      </c>
      <c r="CI255" s="13" t="n">
        <v>95</v>
      </c>
      <c r="CJ255" s="13" t="n">
        <v>52</v>
      </c>
      <c r="CK255" s="13" t="n">
        <v>434</v>
      </c>
      <c r="CL255" s="13" t="n">
        <v>22</v>
      </c>
      <c r="CM255" s="13" t="n">
        <v>248</v>
      </c>
      <c r="CN255" s="13" t="n">
        <v>0.42</v>
      </c>
      <c r="CO255" s="13" t="n">
        <v>145</v>
      </c>
      <c r="CP255" s="13" t="n">
        <v>97</v>
      </c>
      <c r="CQ255" s="13" t="n">
        <v>290</v>
      </c>
      <c r="CR255" s="13" t="n">
        <v>2</v>
      </c>
      <c r="CS255" s="13" t="n">
        <v>13</v>
      </c>
      <c r="CT255" s="11" t="inlineStr">
        <is>
          <t xml:space="preserve"> Powder</t>
        </is>
      </c>
      <c r="CU255" s="11" t="inlineStr">
        <is>
          <t xml:space="preserve"> Touring</t>
        </is>
      </c>
      <c r="CV255" s="13" t="n"/>
      <c r="CW255" s="13" t="n"/>
      <c r="CX255">
        <f>INDEX('Data_Price '!AG$2:AG$1266,MATCH(Data!$DN255,'Data_Price '!$AT$2:$AT$1266,0))</f>
        <v/>
      </c>
      <c r="CY255">
        <f>INDEX('Data_Price '!AH$2:AH$1266,MATCH(Data!$DN255,'Data_Price '!$AT$2:$AT$1266,0))</f>
        <v/>
      </c>
      <c r="CZ255">
        <f>INDEX('Data_Price '!AI$2:AI$1266,MATCH(Data!$DN255,'Data_Price '!$AT$2:$AT$1266,0))</f>
        <v/>
      </c>
      <c r="DA255">
        <f>INDEX('Data_Price '!AJ$2:AJ$1266,MATCH(Data!$DN255,'Data_Price '!$AT$2:$AT$1266,0))</f>
        <v/>
      </c>
      <c r="DB255">
        <f>INDEX('Data_Price '!AK$2:AK$1266,MATCH(Data!$DN255,'Data_Price '!$AT$2:$AT$1266,0))</f>
        <v/>
      </c>
      <c r="DC255">
        <f>INDEX('Data_Price '!AL$2:AL$1266,MATCH(Data!$DN255,'Data_Price '!$AT$2:$AT$1266,0))</f>
        <v/>
      </c>
      <c r="DD255">
        <f>INDEX('Data_Price '!AM$2:AM$1266,MATCH(Data!$DN255,'Data_Price '!$AT$2:$AT$1266,0))</f>
        <v/>
      </c>
      <c r="DE255">
        <f>INDEX('Data_Price '!AN$2:AN$1266,MATCH(Data!$DN255,'Data_Price '!$AT$2:$AT$1266,0))</f>
        <v/>
      </c>
      <c r="DF255">
        <f>INDEX('Data_Price '!AO$2:AO$1266,MATCH(Data!$DN255,'Data_Price '!$AT$2:$AT$1266,0))</f>
        <v/>
      </c>
      <c r="DG255">
        <f>INDEX('Data_Price '!AP$2:AP$1266,MATCH(Data!$DN255,'Data_Price '!$AT$2:$AT$1266,0))</f>
        <v/>
      </c>
      <c r="DH255">
        <f>INDEX('Data_Price '!AQ$2:AQ$1266,MATCH(Data!$DN255,'Data_Price '!$AT$2:$AT$1266,0))</f>
        <v/>
      </c>
      <c r="DI255">
        <f>INDEX('Data_Price '!AR$2:AR$1266,MATCH(Data!$DN255,'Data_Price '!$AT$2:$AT$1266,0))</f>
        <v/>
      </c>
      <c r="DJ255" s="138">
        <f>DA255</f>
        <v/>
      </c>
      <c r="DK255" s="138">
        <f>DE255</f>
        <v/>
      </c>
      <c r="DL255" s="138">
        <f>DI255</f>
        <v/>
      </c>
      <c r="DM255" s="303">
        <f>IF(LEFT(BT255,1)=" ",RIGHT(BT255,LEN(BT255)-1),BT255)</f>
        <v/>
      </c>
      <c r="DN255" s="138">
        <f>_xlfn.CONCAT(BS255,DM255,BU255,BV255)</f>
        <v/>
      </c>
      <c r="DO255" s="307" t="inlineStr">
        <is>
          <t>https://images.evo.com/imgp/250/208350/837599/clone.jpg</t>
        </is>
      </c>
    </row>
    <row r="256" ht="15.6" customHeight="1" s="184">
      <c r="B256" s="303">
        <f t="array" ref="B256">IF(OR(ISERROR(K256:P256)),FALSE,TRUE)</f>
        <v/>
      </c>
      <c r="C256" s="60">
        <f>OR(BR256=Driver!$G$50,Data!BR860=Driver!$H$50)</f>
        <v/>
      </c>
      <c r="D256" s="60">
        <f>OR(BV256=Driver!$G$51,BV256=Driver!$H$51)</f>
        <v/>
      </c>
      <c r="E256" s="60">
        <f>AND(BX256&gt;Driver!$F$54,BX256&lt;Driver!$G$54)</f>
        <v/>
      </c>
      <c r="F256" s="60">
        <f>CL256&gt;Driver!$F$56</f>
        <v/>
      </c>
      <c r="G256" s="60">
        <f>AND(CB256&gt;Driver!$F$55,CB256&lt;Driver!$G$55)</f>
        <v/>
      </c>
      <c r="H256" s="60">
        <f>AND(B256:G256)</f>
        <v/>
      </c>
      <c r="I256" s="60">
        <f>COUNTIFS($H$9:$H$1273,TRUE,$BT$9:$BT$1273,BT256)</f>
        <v/>
      </c>
      <c r="J256" s="60">
        <f t="array" ref="J256">NOT(OR(($H$9:$H$1273=TRUE)*($I$9:$I$1273&gt;0)*($BT$9:$BT$1273=BT256)*($K$9:$K$1273&gt;K256)))</f>
        <v/>
      </c>
      <c r="K256" s="108">
        <f>IFERROR(1-AVERAGE(X256:Y256),"")</f>
        <v/>
      </c>
      <c r="L256" s="108">
        <f>1-X256</f>
        <v/>
      </c>
      <c r="M256" s="108">
        <f>1-Y256</f>
        <v/>
      </c>
      <c r="N256" s="108">
        <f>1-Z256</f>
        <v/>
      </c>
      <c r="O256" s="108">
        <f>1-AA256</f>
        <v/>
      </c>
      <c r="P256" s="108">
        <f>1-AB256</f>
        <v/>
      </c>
      <c r="Q256" s="108" t="n"/>
      <c r="R256" s="108" t="n"/>
      <c r="S256" s="108">
        <f>1-AE256</f>
        <v/>
      </c>
      <c r="T256" s="108">
        <f>1-AF256</f>
        <v/>
      </c>
      <c r="U256" s="108">
        <f>1-AG256</f>
        <v/>
      </c>
      <c r="V256" s="108">
        <f>1-AH256</f>
        <v/>
      </c>
      <c r="W256" s="108">
        <f>1-AI256</f>
        <v/>
      </c>
      <c r="X256" s="108">
        <f>ABS(AJ256-AJ$1)</f>
        <v/>
      </c>
      <c r="Y256" s="108">
        <f>AVERAGE(Z256:AB256)</f>
        <v/>
      </c>
      <c r="Z256" s="108">
        <f>ABS(AL256-AL$1)</f>
        <v/>
      </c>
      <c r="AA256" s="108">
        <f>ABS(AM256-AM$1)</f>
        <v/>
      </c>
      <c r="AB256" s="108">
        <f>ABS(AN256-AN$1)</f>
        <v/>
      </c>
      <c r="AC256" s="108" t="n"/>
      <c r="AD256" s="108" t="n"/>
      <c r="AE256" s="108">
        <f>ABS(AQ$1-AQ256)</f>
        <v/>
      </c>
      <c r="AF256" s="108">
        <f>ABS(AR$1-AR256)</f>
        <v/>
      </c>
      <c r="AG256" s="108">
        <f>ABS(AS$1-AS256)</f>
        <v/>
      </c>
      <c r="AH256" s="108">
        <f>ABS(AT$1-AT256)</f>
        <v/>
      </c>
      <c r="AI256" s="108">
        <f>ABS(AU$1-AU256)</f>
        <v/>
      </c>
      <c r="AJ256" s="108">
        <f>(AV256-Driver!$K$179)/(Driver!$L$179-Driver!$K$179)</f>
        <v/>
      </c>
      <c r="AK256" s="108">
        <f>(AW256-Driver!$K$180)/(Driver!$L$180-Driver!$K$180)</f>
        <v/>
      </c>
      <c r="AL256" s="108">
        <f>(AX256-Driver!$K$181)/(Driver!$L$181-Driver!$K$181)</f>
        <v/>
      </c>
      <c r="AM256" s="108">
        <f>(AY256-Driver!$K$182)/(Driver!$L$182-Driver!$K$182)</f>
        <v/>
      </c>
      <c r="AN256" s="108">
        <f>(AZ256-Driver!$K$183)/(Driver!$L$183-Driver!$K$183)</f>
        <v/>
      </c>
      <c r="AO256" s="108" t="n"/>
      <c r="AP256" s="108" t="n"/>
      <c r="AQ256" s="108">
        <f>(BC256-Driver!$K$188)/(Driver!$L$188-Driver!$K$188)</f>
        <v/>
      </c>
      <c r="AR256" s="108">
        <f>MIN((BD256-Driver!$K$189)/(Driver!$L$189-Driver!$K$189),100%)</f>
        <v/>
      </c>
      <c r="AS256" s="108">
        <f>(BE256-Driver!$K$190)/(Driver!$L$190-Driver!$K$190)</f>
        <v/>
      </c>
      <c r="AT256" s="108">
        <f>(BF256-Driver!$K$191)/(Driver!$L$191-Driver!$K$191)</f>
        <v/>
      </c>
      <c r="AU256" s="108">
        <f>(BG256-Driver!$K$192)/(Driver!$L$192-Driver!$K$192)</f>
        <v/>
      </c>
      <c r="AV256" s="105">
        <f>IFERROR(BM256*BJ256^1/4,"")</f>
        <v/>
      </c>
      <c r="AW256" s="105">
        <f>IFERROR(SUM(AX256:AZ256),"")</f>
        <v/>
      </c>
      <c r="AX256" s="105">
        <f>IFERROR(BH256,"")</f>
        <v/>
      </c>
      <c r="AY256" s="105">
        <f>IFERROR(Driver!$K$19/Data!BH256/Data!BI256*Data!BK256*Data!BL256,"")</f>
        <v/>
      </c>
      <c r="AZ256" s="105">
        <f>IFERROR(BI256*BN256,"")</f>
        <v/>
      </c>
      <c r="BA256" s="105" t="n"/>
      <c r="BB256" s="105" t="n"/>
      <c r="BC256" s="105">
        <f>IFERROR(BI256*BN256*BK256/BJ256^(1/2),"")</f>
        <v/>
      </c>
      <c r="BD256" s="105">
        <f>IFERROR(BH256*BM256*BL256/BJ256/BK256,"")</f>
        <v/>
      </c>
      <c r="BE256" s="105">
        <f>IFERROR(MIN(BI256/BQ256/BP256/BO256/BH256,$BE$1),"")</f>
        <v/>
      </c>
      <c r="BF256" s="105">
        <f>IFERROR(BJ256*BO256*BP256/BK256,"")</f>
        <v/>
      </c>
      <c r="BG256" s="105">
        <f>IFERROR(1/BM256/BH256*BQ256,"")</f>
        <v/>
      </c>
      <c r="BH256" s="102">
        <f>MAX((CE256-Driver!$F$200)/(Driver!$G$200-Driver!$F$200)*$BI$1,1)</f>
        <v/>
      </c>
      <c r="BI256" s="102">
        <f>MAX($BI$1*(BY256-Driver!$F$201)/(Driver!$G$201-Driver!$F$201),1)</f>
        <v/>
      </c>
      <c r="BJ256" s="102">
        <f>(CB256-Driver!$F$206)/(Driver!$G$206-Driver!$F$206)*$BI$1</f>
        <v/>
      </c>
      <c r="BK256" s="102">
        <f>(CD256-Driver!$F$203)/(Driver!$G$203-Driver!$F$203)*$BI$1</f>
        <v/>
      </c>
      <c r="BL256" s="102">
        <f>MAX((CR256-Driver!$F$202)/(Driver!$G$202-Driver!$F$202)*$BI$1,1)</f>
        <v/>
      </c>
      <c r="BM256" s="102">
        <f>MAX((CH256-Driver!$F$204)/(Driver!$G$204-Driver!$F$204)*$BI$1,1)</f>
        <v/>
      </c>
      <c r="BN256" s="102">
        <f>(CI256-Driver!$F$205)/(Driver!$G$205-Driver!$F$205)*$BI$1</f>
        <v/>
      </c>
      <c r="BO256" s="102">
        <f>(CK256-Driver!$F$207)/(Driver!$G$207-Driver!$F$207)*$BI$1</f>
        <v/>
      </c>
      <c r="BP256" s="102">
        <f>(CM256-Driver!$F$208)/(Driver!$G$208-Driver!$F$208)*$BI$1</f>
        <v/>
      </c>
      <c r="BQ256" s="102">
        <f>(CL256-Driver!$F$209)/(Driver!$G$209-Driver!$F$209)*$BI$1</f>
        <v/>
      </c>
      <c r="BR256" s="40" t="inlineStr">
        <is>
          <t>21/22</t>
        </is>
      </c>
      <c r="BS256" s="10" t="inlineStr">
        <is>
          <t xml:space="preserve"> Line</t>
        </is>
      </c>
      <c r="BT256" s="11" t="inlineStr">
        <is>
          <t>Sick Day 104</t>
        </is>
      </c>
      <c r="BU256" s="13" t="n">
        <v>172</v>
      </c>
      <c r="BV256" s="11" t="inlineStr">
        <is>
          <t xml:space="preserve"> Unisex</t>
        </is>
      </c>
      <c r="BW256" s="13" t="n">
        <v>172</v>
      </c>
      <c r="BX256" s="13" t="n">
        <v>171.8</v>
      </c>
      <c r="BY256" s="13" t="n">
        <v>113</v>
      </c>
      <c r="BZ256" s="13" t="n">
        <v>133</v>
      </c>
      <c r="CA256" s="13" t="n">
        <v>136</v>
      </c>
      <c r="CB256" s="13" t="n">
        <v>103</v>
      </c>
      <c r="CC256" s="13" t="n">
        <v>120</v>
      </c>
      <c r="CD256" s="13" t="n">
        <v>16.5</v>
      </c>
      <c r="CE256" s="13" t="n">
        <v>1625</v>
      </c>
      <c r="CF256" s="13" t="n">
        <v>1.2</v>
      </c>
      <c r="CG256" s="13" t="n">
        <v>1949</v>
      </c>
      <c r="CH256" s="13" t="n">
        <v>158</v>
      </c>
      <c r="CI256" s="13" t="n">
        <v>92</v>
      </c>
      <c r="CJ256" s="13" t="n">
        <v>50</v>
      </c>
      <c r="CK256" s="13" t="n">
        <v>365</v>
      </c>
      <c r="CL256" s="13" t="n">
        <v>20</v>
      </c>
      <c r="CM256" s="13" t="n">
        <v>220</v>
      </c>
      <c r="CN256" s="13" t="n">
        <v>0.402</v>
      </c>
      <c r="CO256" s="13" t="n">
        <v>189</v>
      </c>
      <c r="CP256" s="13" t="n">
        <v>198</v>
      </c>
      <c r="CQ256" s="13" t="n">
        <v>176</v>
      </c>
      <c r="CR256" s="13" t="n">
        <v>6</v>
      </c>
      <c r="CS256" s="13" t="n">
        <v>10.2</v>
      </c>
      <c r="CT256" s="11" t="inlineStr">
        <is>
          <t xml:space="preserve"> Resort Freeride</t>
        </is>
      </c>
      <c r="CU256" s="11" t="inlineStr">
        <is>
          <t xml:space="preserve"> Powder</t>
        </is>
      </c>
      <c r="CV256" s="11" t="inlineStr">
        <is>
          <t xml:space="preserve"> Touring</t>
        </is>
      </c>
      <c r="CW256" s="13" t="n"/>
      <c r="CX256">
        <f>INDEX('Data_Price '!AG$2:AG$1266,MATCH(Data!$DN256,'Data_Price '!$AT$2:$AT$1266,0))</f>
        <v/>
      </c>
      <c r="CY256">
        <f>INDEX('Data_Price '!AH$2:AH$1266,MATCH(Data!$DN256,'Data_Price '!$AT$2:$AT$1266,0))</f>
        <v/>
      </c>
      <c r="CZ256">
        <f>INDEX('Data_Price '!AI$2:AI$1266,MATCH(Data!$DN256,'Data_Price '!$AT$2:$AT$1266,0))</f>
        <v/>
      </c>
      <c r="DA256">
        <f>INDEX('Data_Price '!AJ$2:AJ$1266,MATCH(Data!$DN256,'Data_Price '!$AT$2:$AT$1266,0))</f>
        <v/>
      </c>
      <c r="DB256">
        <f>INDEX('Data_Price '!AK$2:AK$1266,MATCH(Data!$DN256,'Data_Price '!$AT$2:$AT$1266,0))</f>
        <v/>
      </c>
      <c r="DC256">
        <f>INDEX('Data_Price '!AL$2:AL$1266,MATCH(Data!$DN256,'Data_Price '!$AT$2:$AT$1266,0))</f>
        <v/>
      </c>
      <c r="DD256">
        <f>INDEX('Data_Price '!AM$2:AM$1266,MATCH(Data!$DN256,'Data_Price '!$AT$2:$AT$1266,0))</f>
        <v/>
      </c>
      <c r="DE256">
        <f>INDEX('Data_Price '!AN$2:AN$1266,MATCH(Data!$DN256,'Data_Price '!$AT$2:$AT$1266,0))</f>
        <v/>
      </c>
      <c r="DF256">
        <f>INDEX('Data_Price '!AO$2:AO$1266,MATCH(Data!$DN256,'Data_Price '!$AT$2:$AT$1266,0))</f>
        <v/>
      </c>
      <c r="DG256">
        <f>INDEX('Data_Price '!AP$2:AP$1266,MATCH(Data!$DN256,'Data_Price '!$AT$2:$AT$1266,0))</f>
        <v/>
      </c>
      <c r="DH256">
        <f>INDEX('Data_Price '!AQ$2:AQ$1266,MATCH(Data!$DN256,'Data_Price '!$AT$2:$AT$1266,0))</f>
        <v/>
      </c>
      <c r="DI256">
        <f>INDEX('Data_Price '!AR$2:AR$1266,MATCH(Data!$DN256,'Data_Price '!$AT$2:$AT$1266,0))</f>
        <v/>
      </c>
      <c r="DJ256" s="138">
        <f>DA256</f>
        <v/>
      </c>
      <c r="DK256" s="138">
        <f>DE256</f>
        <v/>
      </c>
      <c r="DL256" s="138">
        <f>DI256</f>
        <v/>
      </c>
      <c r="DM256" s="303">
        <f>IF(LEFT(BT256,1)=" ",RIGHT(BT256,LEN(BT256)-1),BT256)</f>
        <v/>
      </c>
      <c r="DN256" s="138">
        <f>_xlfn.CONCAT(BS256,DM256,BU256,BV256)</f>
        <v/>
      </c>
      <c r="DO256" s="307" t="inlineStr">
        <is>
          <t>https://images.evo.com/imgp/250/198436/817694/line-skis-sick-day-104-skis-2022-.jpg</t>
        </is>
      </c>
    </row>
    <row r="257" ht="15.6" customHeight="1" s="184">
      <c r="B257" s="303">
        <f t="array" ref="B257">IF(OR(ISERROR(K257:P257)),FALSE,TRUE)</f>
        <v/>
      </c>
      <c r="C257" s="60">
        <f>OR(BR257=Driver!$G$50,Data!BR295=Driver!$H$50)</f>
        <v/>
      </c>
      <c r="D257" s="60">
        <f>OR(BV257=Driver!$G$51,BV257=Driver!$H$51)</f>
        <v/>
      </c>
      <c r="E257" s="60">
        <f>AND(BX257&gt;Driver!$F$54,BX257&lt;Driver!$G$54)</f>
        <v/>
      </c>
      <c r="F257" s="60">
        <f>CL257&gt;Driver!$F$56</f>
        <v/>
      </c>
      <c r="G257" s="60">
        <f>AND(CB257&gt;Driver!$F$55,CB257&lt;Driver!$G$55)</f>
        <v/>
      </c>
      <c r="H257" s="60">
        <f>AND(B257:G257)</f>
        <v/>
      </c>
      <c r="I257" s="60">
        <f>COUNTIFS($H$9:$H$1273,TRUE,$BT$9:$BT$1273,BT257)</f>
        <v/>
      </c>
      <c r="J257" s="60">
        <f t="array" ref="J257">NOT(OR(($H$9:$H$1273=TRUE)*($I$9:$I$1273&gt;0)*($BT$9:$BT$1273=BT257)*($K$9:$K$1273&gt;K257)))</f>
        <v/>
      </c>
      <c r="K257" s="108">
        <f>IFERROR(1-AVERAGE(X257:Y257),"")</f>
        <v/>
      </c>
      <c r="L257" s="108">
        <f>1-X257</f>
        <v/>
      </c>
      <c r="M257" s="108">
        <f>1-Y257</f>
        <v/>
      </c>
      <c r="N257" s="108">
        <f>1-Z257</f>
        <v/>
      </c>
      <c r="O257" s="108">
        <f>1-AA257</f>
        <v/>
      </c>
      <c r="P257" s="108">
        <f>1-AB257</f>
        <v/>
      </c>
      <c r="Q257" s="108" t="n"/>
      <c r="R257" s="108" t="n"/>
      <c r="S257" s="108">
        <f>1-AE257</f>
        <v/>
      </c>
      <c r="T257" s="108">
        <f>1-AF257</f>
        <v/>
      </c>
      <c r="U257" s="108">
        <f>1-AG257</f>
        <v/>
      </c>
      <c r="V257" s="108">
        <f>1-AH257</f>
        <v/>
      </c>
      <c r="W257" s="108">
        <f>1-AI257</f>
        <v/>
      </c>
      <c r="X257" s="108">
        <f>ABS(AJ257-AJ$1)</f>
        <v/>
      </c>
      <c r="Y257" s="108">
        <f>AVERAGE(Z257:AB257)</f>
        <v/>
      </c>
      <c r="Z257" s="108">
        <f>ABS(AL257-AL$1)</f>
        <v/>
      </c>
      <c r="AA257" s="108">
        <f>ABS(AM257-AM$1)</f>
        <v/>
      </c>
      <c r="AB257" s="108">
        <f>ABS(AN257-AN$1)</f>
        <v/>
      </c>
      <c r="AC257" s="108" t="n"/>
      <c r="AD257" s="108" t="n"/>
      <c r="AE257" s="108">
        <f>ABS(AQ$1-AQ257)</f>
        <v/>
      </c>
      <c r="AF257" s="108">
        <f>ABS(AR$1-AR257)</f>
        <v/>
      </c>
      <c r="AG257" s="108">
        <f>ABS(AS$1-AS257)</f>
        <v/>
      </c>
      <c r="AH257" s="108">
        <f>ABS(AT$1-AT257)</f>
        <v/>
      </c>
      <c r="AI257" s="108">
        <f>ABS(AU$1-AU257)</f>
        <v/>
      </c>
      <c r="AJ257" s="108">
        <f>(AV257-Driver!$K$179)/(Driver!$L$179-Driver!$K$179)</f>
        <v/>
      </c>
      <c r="AK257" s="108">
        <f>(AW257-Driver!$K$180)/(Driver!$L$180-Driver!$K$180)</f>
        <v/>
      </c>
      <c r="AL257" s="108">
        <f>(AX257-Driver!$K$181)/(Driver!$L$181-Driver!$K$181)</f>
        <v/>
      </c>
      <c r="AM257" s="108">
        <f>(AY257-Driver!$K$182)/(Driver!$L$182-Driver!$K$182)</f>
        <v/>
      </c>
      <c r="AN257" s="108">
        <f>(AZ257-Driver!$K$183)/(Driver!$L$183-Driver!$K$183)</f>
        <v/>
      </c>
      <c r="AO257" s="108" t="n"/>
      <c r="AP257" s="108" t="n"/>
      <c r="AQ257" s="108">
        <f>(BC257-Driver!$K$188)/(Driver!$L$188-Driver!$K$188)</f>
        <v/>
      </c>
      <c r="AR257" s="108">
        <f>MIN((BD257-Driver!$K$189)/(Driver!$L$189-Driver!$K$189),100%)</f>
        <v/>
      </c>
      <c r="AS257" s="108">
        <f>(BE257-Driver!$K$190)/(Driver!$L$190-Driver!$K$190)</f>
        <v/>
      </c>
      <c r="AT257" s="108">
        <f>(BF257-Driver!$K$191)/(Driver!$L$191-Driver!$K$191)</f>
        <v/>
      </c>
      <c r="AU257" s="108">
        <f>(BG257-Driver!$K$192)/(Driver!$L$192-Driver!$K$192)</f>
        <v/>
      </c>
      <c r="AV257" s="105">
        <f>IFERROR(BM257*BJ257^1/4,"")</f>
        <v/>
      </c>
      <c r="AW257" s="105">
        <f>IFERROR(SUM(AX257:AZ257),"")</f>
        <v/>
      </c>
      <c r="AX257" s="105">
        <f>IFERROR(BH257,"")</f>
        <v/>
      </c>
      <c r="AY257" s="105">
        <f>IFERROR(Driver!$K$19/Data!BH257/Data!BI257*Data!BK257*Data!BL257,"")</f>
        <v/>
      </c>
      <c r="AZ257" s="105">
        <f>IFERROR(BI257*BN257,"")</f>
        <v/>
      </c>
      <c r="BA257" s="105" t="n"/>
      <c r="BB257" s="105" t="n"/>
      <c r="BC257" s="105">
        <f>IFERROR(BI257*BN257*BK257/BJ257^(1/2),"")</f>
        <v/>
      </c>
      <c r="BD257" s="105">
        <f>IFERROR(BH257*BM257*BL257/BJ257/BK257,"")</f>
        <v/>
      </c>
      <c r="BE257" s="105">
        <f>IFERROR(MIN(BI257/BQ257/BP257/BO257/BH257,$BE$1),"")</f>
        <v/>
      </c>
      <c r="BF257" s="105">
        <f>IFERROR(BJ257*BO257*BP257/BK257,"")</f>
        <v/>
      </c>
      <c r="BG257" s="105">
        <f>IFERROR(1/BM257/BH257*BQ257,"")</f>
        <v/>
      </c>
      <c r="BH257" s="102">
        <f>MAX((CE257-Driver!$F$200)/(Driver!$G$200-Driver!$F$200)*$BI$1,1)</f>
        <v/>
      </c>
      <c r="BI257" s="102">
        <f>MAX($BI$1*(BY257-Driver!$F$201)/(Driver!$G$201-Driver!$F$201),1)</f>
        <v/>
      </c>
      <c r="BJ257" s="102">
        <f>(CB257-Driver!$F$206)/(Driver!$G$206-Driver!$F$206)*$BI$1</f>
        <v/>
      </c>
      <c r="BK257" s="102">
        <f>(CD257-Driver!$F$203)/(Driver!$G$203-Driver!$F$203)*$BI$1</f>
        <v/>
      </c>
      <c r="BL257" s="102">
        <f>MAX((CR257-Driver!$F$202)/(Driver!$G$202-Driver!$F$202)*$BI$1,1)</f>
        <v/>
      </c>
      <c r="BM257" s="102">
        <f>MAX((CH257-Driver!$F$204)/(Driver!$G$204-Driver!$F$204)*$BI$1,1)</f>
        <v/>
      </c>
      <c r="BN257" s="102">
        <f>(CI257-Driver!$F$205)/(Driver!$G$205-Driver!$F$205)*$BI$1</f>
        <v/>
      </c>
      <c r="BO257" s="102">
        <f>(CK257-Driver!$F$207)/(Driver!$G$207-Driver!$F$207)*$BI$1</f>
        <v/>
      </c>
      <c r="BP257" s="102">
        <f>(CM257-Driver!$F$208)/(Driver!$G$208-Driver!$F$208)*$BI$1</f>
        <v/>
      </c>
      <c r="BQ257" s="102">
        <f>(CL257-Driver!$F$209)/(Driver!$G$209-Driver!$F$209)*$BI$1</f>
        <v/>
      </c>
      <c r="BR257" s="40" t="inlineStr">
        <is>
          <t>21/22</t>
        </is>
      </c>
      <c r="BS257" s="10" t="inlineStr">
        <is>
          <t xml:space="preserve"> Blizzard</t>
        </is>
      </c>
      <c r="BT257" s="11" t="inlineStr">
        <is>
          <t>Rustler 9</t>
        </is>
      </c>
      <c r="BU257" s="13" t="n">
        <v>180</v>
      </c>
      <c r="BV257" s="11" t="inlineStr">
        <is>
          <t xml:space="preserve"> Unisex</t>
        </is>
      </c>
      <c r="BW257" s="13" t="n">
        <v>180</v>
      </c>
      <c r="BX257" s="13" t="n">
        <v>178.6</v>
      </c>
      <c r="BY257" s="13" t="n">
        <v>121</v>
      </c>
      <c r="BZ257" s="13" t="n">
        <v>150</v>
      </c>
      <c r="CA257" s="13" t="n">
        <v>127</v>
      </c>
      <c r="CB257" s="13" t="n">
        <v>93</v>
      </c>
      <c r="CC257" s="13" t="n">
        <v>117</v>
      </c>
      <c r="CD257" s="13" t="n">
        <v>17.3</v>
      </c>
      <c r="CE257" s="13" t="n">
        <v>2073</v>
      </c>
      <c r="CF257" s="13" t="n">
        <v>0.91</v>
      </c>
      <c r="CG257" s="13" t="n">
        <v>1880</v>
      </c>
      <c r="CH257" s="13" t="n">
        <v>230</v>
      </c>
      <c r="CI257" s="13" t="n">
        <v>114</v>
      </c>
      <c r="CJ257" s="13" t="n">
        <v>63</v>
      </c>
      <c r="CK257" s="13" t="n">
        <v>335</v>
      </c>
      <c r="CL257" s="13" t="n">
        <v>27</v>
      </c>
      <c r="CM257" s="13" t="n">
        <v>242</v>
      </c>
      <c r="CN257" s="13" t="n">
        <v>0.427</v>
      </c>
      <c r="CO257" s="13" t="n">
        <v>148</v>
      </c>
      <c r="CP257" s="13" t="n">
        <v>140</v>
      </c>
      <c r="CQ257" s="13" t="n">
        <v>187</v>
      </c>
      <c r="CR257" s="13" t="n">
        <v>3</v>
      </c>
      <c r="CS257" s="13" t="n">
        <v>7.9</v>
      </c>
      <c r="CT257" s="11" t="inlineStr">
        <is>
          <t xml:space="preserve"> Resort Freeride</t>
        </is>
      </c>
      <c r="CU257" s="13" t="n"/>
      <c r="CV257" s="13" t="n"/>
      <c r="CW257" s="13" t="n"/>
      <c r="CX257">
        <f>INDEX('Data_Price '!AG$2:AG$1266,MATCH(Data!$DN257,'Data_Price '!$AT$2:$AT$1266,0))</f>
        <v/>
      </c>
      <c r="CY257">
        <f>INDEX('Data_Price '!AH$2:AH$1266,MATCH(Data!$DN257,'Data_Price '!$AT$2:$AT$1266,0))</f>
        <v/>
      </c>
      <c r="CZ257">
        <f>INDEX('Data_Price '!AI$2:AI$1266,MATCH(Data!$DN257,'Data_Price '!$AT$2:$AT$1266,0))</f>
        <v/>
      </c>
      <c r="DA257">
        <f>INDEX('Data_Price '!AJ$2:AJ$1266,MATCH(Data!$DN257,'Data_Price '!$AT$2:$AT$1266,0))</f>
        <v/>
      </c>
      <c r="DB257">
        <f>INDEX('Data_Price '!AK$2:AK$1266,MATCH(Data!$DN257,'Data_Price '!$AT$2:$AT$1266,0))</f>
        <v/>
      </c>
      <c r="DC257">
        <f>INDEX('Data_Price '!AL$2:AL$1266,MATCH(Data!$DN257,'Data_Price '!$AT$2:$AT$1266,0))</f>
        <v/>
      </c>
      <c r="DD257">
        <f>INDEX('Data_Price '!AM$2:AM$1266,MATCH(Data!$DN257,'Data_Price '!$AT$2:$AT$1266,0))</f>
        <v/>
      </c>
      <c r="DE257">
        <f>INDEX('Data_Price '!AN$2:AN$1266,MATCH(Data!$DN257,'Data_Price '!$AT$2:$AT$1266,0))</f>
        <v/>
      </c>
      <c r="DF257">
        <f>INDEX('Data_Price '!AO$2:AO$1266,MATCH(Data!$DN257,'Data_Price '!$AT$2:$AT$1266,0))</f>
        <v/>
      </c>
      <c r="DG257">
        <f>INDEX('Data_Price '!AP$2:AP$1266,MATCH(Data!$DN257,'Data_Price '!$AT$2:$AT$1266,0))</f>
        <v/>
      </c>
      <c r="DH257">
        <f>INDEX('Data_Price '!AQ$2:AQ$1266,MATCH(Data!$DN257,'Data_Price '!$AT$2:$AT$1266,0))</f>
        <v/>
      </c>
      <c r="DI257">
        <f>INDEX('Data_Price '!AR$2:AR$1266,MATCH(Data!$DN257,'Data_Price '!$AT$2:$AT$1266,0))</f>
        <v/>
      </c>
      <c r="DJ257" s="138">
        <f>DA257</f>
        <v/>
      </c>
      <c r="DK257" s="138">
        <f>DE257</f>
        <v/>
      </c>
      <c r="DL257" s="138">
        <f>DI257</f>
        <v/>
      </c>
      <c r="DM257" s="303">
        <f>IF(LEFT(BT257,1)=" ",RIGHT(BT257,LEN(BT257)-1),BT257)</f>
        <v/>
      </c>
      <c r="DN257" s="138">
        <f>_xlfn.CONCAT(BS257,DM257,BU257,BV257)</f>
        <v/>
      </c>
      <c r="DO257" s="307" t="inlineStr">
        <is>
          <t>https://images.evo.com/imgp/250/176889/722697/blizzard-rustler-9-skis-2022-.jpg</t>
        </is>
      </c>
    </row>
    <row r="258" ht="15.6" customHeight="1" s="184">
      <c r="B258" s="303">
        <f t="array" ref="B258">IF(OR(ISERROR(K258:P258)),FALSE,TRUE)</f>
        <v/>
      </c>
      <c r="C258" s="60">
        <f>OR(BR258=Driver!$G$50,Data!BR939=Driver!$H$50)</f>
        <v/>
      </c>
      <c r="D258" s="60">
        <f>OR(BV258=Driver!$G$51,BV258=Driver!$H$51)</f>
        <v/>
      </c>
      <c r="E258" s="60">
        <f>AND(BX258&gt;Driver!$F$54,BX258&lt;Driver!$G$54)</f>
        <v/>
      </c>
      <c r="F258" s="60">
        <f>CL258&gt;Driver!$F$56</f>
        <v/>
      </c>
      <c r="G258" s="60">
        <f>AND(CB258&gt;Driver!$F$55,CB258&lt;Driver!$G$55)</f>
        <v/>
      </c>
      <c r="H258" s="60">
        <f>AND(B258:G258)</f>
        <v/>
      </c>
      <c r="I258" s="60">
        <f>COUNTIFS($H$9:$H$1273,TRUE,$BT$9:$BT$1273,BT258)</f>
        <v/>
      </c>
      <c r="J258" s="60">
        <f t="array" ref="J258">NOT(OR(($H$9:$H$1273=TRUE)*($I$9:$I$1273&gt;0)*($BT$9:$BT$1273=BT258)*($K$9:$K$1273&gt;K258)))</f>
        <v/>
      </c>
      <c r="K258" s="108">
        <f>IFERROR(1-AVERAGE(X258:Y258),"")</f>
        <v/>
      </c>
      <c r="L258" s="108">
        <f>1-X258</f>
        <v/>
      </c>
      <c r="M258" s="108">
        <f>1-Y258</f>
        <v/>
      </c>
      <c r="N258" s="108">
        <f>1-Z258</f>
        <v/>
      </c>
      <c r="O258" s="108">
        <f>1-AA258</f>
        <v/>
      </c>
      <c r="P258" s="108">
        <f>1-AB258</f>
        <v/>
      </c>
      <c r="Q258" s="108" t="n"/>
      <c r="R258" s="108" t="n"/>
      <c r="S258" s="108">
        <f>1-AE258</f>
        <v/>
      </c>
      <c r="T258" s="108">
        <f>1-AF258</f>
        <v/>
      </c>
      <c r="U258" s="108">
        <f>1-AG258</f>
        <v/>
      </c>
      <c r="V258" s="108">
        <f>1-AH258</f>
        <v/>
      </c>
      <c r="W258" s="108">
        <f>1-AI258</f>
        <v/>
      </c>
      <c r="X258" s="108">
        <f>ABS(AJ258-AJ$1)</f>
        <v/>
      </c>
      <c r="Y258" s="108">
        <f>AVERAGE(Z258:AB258)</f>
        <v/>
      </c>
      <c r="Z258" s="108">
        <f>ABS(AL258-AL$1)</f>
        <v/>
      </c>
      <c r="AA258" s="108">
        <f>ABS(AM258-AM$1)</f>
        <v/>
      </c>
      <c r="AB258" s="108">
        <f>ABS(AN258-AN$1)</f>
        <v/>
      </c>
      <c r="AC258" s="108" t="n"/>
      <c r="AD258" s="108" t="n"/>
      <c r="AE258" s="108">
        <f>ABS(AQ$1-AQ258)</f>
        <v/>
      </c>
      <c r="AF258" s="108">
        <f>ABS(AR$1-AR258)</f>
        <v/>
      </c>
      <c r="AG258" s="108">
        <f>ABS(AS$1-AS258)</f>
        <v/>
      </c>
      <c r="AH258" s="108">
        <f>ABS(AT$1-AT258)</f>
        <v/>
      </c>
      <c r="AI258" s="108">
        <f>ABS(AU$1-AU258)</f>
        <v/>
      </c>
      <c r="AJ258" s="108">
        <f>(AV258-Driver!$K$179)/(Driver!$L$179-Driver!$K$179)</f>
        <v/>
      </c>
      <c r="AK258" s="108">
        <f>(AW258-Driver!$K$180)/(Driver!$L$180-Driver!$K$180)</f>
        <v/>
      </c>
      <c r="AL258" s="108">
        <f>(AX258-Driver!$K$181)/(Driver!$L$181-Driver!$K$181)</f>
        <v/>
      </c>
      <c r="AM258" s="108">
        <f>(AY258-Driver!$K$182)/(Driver!$L$182-Driver!$K$182)</f>
        <v/>
      </c>
      <c r="AN258" s="108">
        <f>(AZ258-Driver!$K$183)/(Driver!$L$183-Driver!$K$183)</f>
        <v/>
      </c>
      <c r="AO258" s="108" t="n"/>
      <c r="AP258" s="108" t="n"/>
      <c r="AQ258" s="108">
        <f>(BC258-Driver!$K$188)/(Driver!$L$188-Driver!$K$188)</f>
        <v/>
      </c>
      <c r="AR258" s="108">
        <f>MIN((BD258-Driver!$K$189)/(Driver!$L$189-Driver!$K$189),100%)</f>
        <v/>
      </c>
      <c r="AS258" s="108">
        <f>(BE258-Driver!$K$190)/(Driver!$L$190-Driver!$K$190)</f>
        <v/>
      </c>
      <c r="AT258" s="108">
        <f>(BF258-Driver!$K$191)/(Driver!$L$191-Driver!$K$191)</f>
        <v/>
      </c>
      <c r="AU258" s="108">
        <f>(BG258-Driver!$K$192)/(Driver!$L$192-Driver!$K$192)</f>
        <v/>
      </c>
      <c r="AV258" s="105">
        <f>IFERROR(BM258*BJ258^1/4,"")</f>
        <v/>
      </c>
      <c r="AW258" s="105">
        <f>IFERROR(SUM(AX258:AZ258),"")</f>
        <v/>
      </c>
      <c r="AX258" s="105">
        <f>IFERROR(BH258,"")</f>
        <v/>
      </c>
      <c r="AY258" s="105">
        <f>IFERROR(Driver!$K$19/Data!BH258/Data!BI258*Data!BK258*Data!BL258,"")</f>
        <v/>
      </c>
      <c r="AZ258" s="105">
        <f>IFERROR(BI258*BN258,"")</f>
        <v/>
      </c>
      <c r="BA258" s="105" t="n"/>
      <c r="BB258" s="105" t="n"/>
      <c r="BC258" s="105">
        <f>IFERROR(BI258*BN258*BK258/BJ258^(1/2),"")</f>
        <v/>
      </c>
      <c r="BD258" s="105">
        <f>IFERROR(BH258*BM258*BL258/BJ258/BK258,"")</f>
        <v/>
      </c>
      <c r="BE258" s="105">
        <f>IFERROR(MIN(BI258/BQ258/BP258/BO258/BH258,$BE$1),"")</f>
        <v/>
      </c>
      <c r="BF258" s="105">
        <f>IFERROR(BJ258*BO258*BP258/BK258,"")</f>
        <v/>
      </c>
      <c r="BG258" s="105">
        <f>IFERROR(1/BM258/BH258*BQ258,"")</f>
        <v/>
      </c>
      <c r="BH258" s="102">
        <f>MAX((CE258-Driver!$F$200)/(Driver!$G$200-Driver!$F$200)*$BI$1,1)</f>
        <v/>
      </c>
      <c r="BI258" s="102">
        <f>MAX($BI$1*(BY258-Driver!$F$201)/(Driver!$G$201-Driver!$F$201),1)</f>
        <v/>
      </c>
      <c r="BJ258" s="102">
        <f>(CB258-Driver!$F$206)/(Driver!$G$206-Driver!$F$206)*$BI$1</f>
        <v/>
      </c>
      <c r="BK258" s="102">
        <f>(CD258-Driver!$F$203)/(Driver!$G$203-Driver!$F$203)*$BI$1</f>
        <v/>
      </c>
      <c r="BL258" s="102">
        <f>MAX((CR258-Driver!$F$202)/(Driver!$G$202-Driver!$F$202)*$BI$1,1)</f>
        <v/>
      </c>
      <c r="BM258" s="102">
        <f>MAX((CH258-Driver!$F$204)/(Driver!$G$204-Driver!$F$204)*$BI$1,1)</f>
        <v/>
      </c>
      <c r="BN258" s="102">
        <f>(CI258-Driver!$F$205)/(Driver!$G$205-Driver!$F$205)*$BI$1</f>
        <v/>
      </c>
      <c r="BO258" s="102">
        <f>(CK258-Driver!$F$207)/(Driver!$G$207-Driver!$F$207)*$BI$1</f>
        <v/>
      </c>
      <c r="BP258" s="102">
        <f>(CM258-Driver!$F$208)/(Driver!$G$208-Driver!$F$208)*$BI$1</f>
        <v/>
      </c>
      <c r="BQ258" s="102">
        <f>(CL258-Driver!$F$209)/(Driver!$G$209-Driver!$F$209)*$BI$1</f>
        <v/>
      </c>
      <c r="BR258" s="40" t="inlineStr">
        <is>
          <t>21/22</t>
        </is>
      </c>
      <c r="BS258" s="10" t="inlineStr">
        <is>
          <t xml:space="preserve"> Nordica</t>
        </is>
      </c>
      <c r="BT258" s="11" t="inlineStr">
        <is>
          <t>Soul Rider 97</t>
        </is>
      </c>
      <c r="BU258" s="13" t="n">
        <v>177</v>
      </c>
      <c r="BV258" s="11" t="inlineStr">
        <is>
          <t xml:space="preserve"> Unisex</t>
        </is>
      </c>
      <c r="BW258" s="13" t="n">
        <v>177</v>
      </c>
      <c r="BX258" s="13" t="n">
        <v>175.3</v>
      </c>
      <c r="BY258" s="13" t="n">
        <v>140</v>
      </c>
      <c r="BZ258" s="13" t="n">
        <v>152</v>
      </c>
      <c r="CA258" s="13" t="n">
        <v>133</v>
      </c>
      <c r="CB258" s="13" t="n">
        <v>96</v>
      </c>
      <c r="CC258" s="13" t="n">
        <v>123</v>
      </c>
      <c r="CD258" s="13" t="n">
        <v>16.9</v>
      </c>
      <c r="CE258" s="13" t="n">
        <v>1992</v>
      </c>
      <c r="CF258" s="13" t="n">
        <v>0.95</v>
      </c>
      <c r="CG258" s="13" t="n">
        <v>1896</v>
      </c>
      <c r="CH258" s="13" t="n">
        <v>184</v>
      </c>
      <c r="CI258" s="13" t="n">
        <v>91</v>
      </c>
      <c r="CJ258" s="13" t="n">
        <v>48</v>
      </c>
      <c r="CK258" s="13" t="n">
        <v>177</v>
      </c>
      <c r="CL258" s="13" t="n">
        <v>44</v>
      </c>
      <c r="CM258" s="13" t="n">
        <v>175</v>
      </c>
      <c r="CN258" s="13" t="n">
        <v>0.922</v>
      </c>
      <c r="CO258" s="13" t="n">
        <v>103</v>
      </c>
      <c r="CP258" s="13" t="n">
        <v>128</v>
      </c>
      <c r="CQ258" s="13" t="n">
        <v>74</v>
      </c>
      <c r="CR258" s="13" t="n">
        <v>11</v>
      </c>
      <c r="CS258" s="13" t="n">
        <v>6</v>
      </c>
      <c r="CT258" s="11" t="inlineStr">
        <is>
          <t xml:space="preserve"> Freeski</t>
        </is>
      </c>
      <c r="CU258" s="13" t="n"/>
      <c r="CV258" s="13" t="n"/>
      <c r="CW258" s="13" t="n"/>
      <c r="CX258">
        <f>INDEX('Data_Price '!AG$2:AG$1266,MATCH(Data!$DN258,'Data_Price '!$AT$2:$AT$1266,0))</f>
        <v/>
      </c>
      <c r="CY258">
        <f>INDEX('Data_Price '!AH$2:AH$1266,MATCH(Data!$DN258,'Data_Price '!$AT$2:$AT$1266,0))</f>
        <v/>
      </c>
      <c r="CZ258">
        <f>INDEX('Data_Price '!AI$2:AI$1266,MATCH(Data!$DN258,'Data_Price '!$AT$2:$AT$1266,0))</f>
        <v/>
      </c>
      <c r="DA258">
        <f>INDEX('Data_Price '!AJ$2:AJ$1266,MATCH(Data!$DN258,'Data_Price '!$AT$2:$AT$1266,0))</f>
        <v/>
      </c>
      <c r="DB258">
        <f>INDEX('Data_Price '!AK$2:AK$1266,MATCH(Data!$DN258,'Data_Price '!$AT$2:$AT$1266,0))</f>
        <v/>
      </c>
      <c r="DC258">
        <f>INDEX('Data_Price '!AL$2:AL$1266,MATCH(Data!$DN258,'Data_Price '!$AT$2:$AT$1266,0))</f>
        <v/>
      </c>
      <c r="DD258">
        <f>INDEX('Data_Price '!AM$2:AM$1266,MATCH(Data!$DN258,'Data_Price '!$AT$2:$AT$1266,0))</f>
        <v/>
      </c>
      <c r="DE258">
        <f>INDEX('Data_Price '!AN$2:AN$1266,MATCH(Data!$DN258,'Data_Price '!$AT$2:$AT$1266,0))</f>
        <v/>
      </c>
      <c r="DF258">
        <f>INDEX('Data_Price '!AO$2:AO$1266,MATCH(Data!$DN258,'Data_Price '!$AT$2:$AT$1266,0))</f>
        <v/>
      </c>
      <c r="DG258">
        <f>INDEX('Data_Price '!AP$2:AP$1266,MATCH(Data!$DN258,'Data_Price '!$AT$2:$AT$1266,0))</f>
        <v/>
      </c>
      <c r="DH258">
        <f>INDEX('Data_Price '!AQ$2:AQ$1266,MATCH(Data!$DN258,'Data_Price '!$AT$2:$AT$1266,0))</f>
        <v/>
      </c>
      <c r="DI258">
        <f>INDEX('Data_Price '!AR$2:AR$1266,MATCH(Data!$DN258,'Data_Price '!$AT$2:$AT$1266,0))</f>
        <v/>
      </c>
      <c r="DJ258" s="138">
        <f>DA258</f>
        <v/>
      </c>
      <c r="DK258" s="138">
        <f>DE258</f>
        <v/>
      </c>
      <c r="DL258" s="138">
        <f>DI258</f>
        <v/>
      </c>
      <c r="DM258" s="303">
        <f>IF(LEFT(BT258,1)=" ",RIGHT(BT258,LEN(BT258)-1),BT258)</f>
        <v/>
      </c>
      <c r="DN258" s="138">
        <f>_xlfn.CONCAT(BS258,DM258,BU258,BV258)</f>
        <v/>
      </c>
      <c r="DO258" s="307" t="n"/>
    </row>
    <row r="259" ht="15.6" customHeight="1" s="184">
      <c r="B259" s="303">
        <f t="array" ref="B259">IF(OR(ISERROR(K259:P259)),FALSE,TRUE)</f>
        <v/>
      </c>
      <c r="C259" s="60">
        <f>OR(BR259=Driver!$G$50,Data!BR582=Driver!$H$50)</f>
        <v/>
      </c>
      <c r="D259" s="60">
        <f>OR(BV259=Driver!$G$51,BV259=Driver!$H$51)</f>
        <v/>
      </c>
      <c r="E259" s="60">
        <f>AND(BX259&gt;Driver!$F$54,BX259&lt;Driver!$G$54)</f>
        <v/>
      </c>
      <c r="F259" s="60">
        <f>CL259&gt;Driver!$F$56</f>
        <v/>
      </c>
      <c r="G259" s="60">
        <f>AND(CB259&gt;Driver!$F$55,CB259&lt;Driver!$G$55)</f>
        <v/>
      </c>
      <c r="H259" s="60">
        <f>AND(B259:G259)</f>
        <v/>
      </c>
      <c r="I259" s="60">
        <f>COUNTIFS($H$9:$H$1273,TRUE,$BT$9:$BT$1273,BT259)</f>
        <v/>
      </c>
      <c r="J259" s="60">
        <f t="array" ref="J259">NOT(OR(($H$9:$H$1273=TRUE)*($I$9:$I$1273&gt;0)*($BT$9:$BT$1273=BT259)*($K$9:$K$1273&gt;K259)))</f>
        <v/>
      </c>
      <c r="K259" s="108">
        <f>IFERROR(1-AVERAGE(X259:Y259),"")</f>
        <v/>
      </c>
      <c r="L259" s="108">
        <f>1-X259</f>
        <v/>
      </c>
      <c r="M259" s="108">
        <f>1-Y259</f>
        <v/>
      </c>
      <c r="N259" s="108">
        <f>1-Z259</f>
        <v/>
      </c>
      <c r="O259" s="108">
        <f>1-AA259</f>
        <v/>
      </c>
      <c r="P259" s="108">
        <f>1-AB259</f>
        <v/>
      </c>
      <c r="Q259" s="108" t="n"/>
      <c r="R259" s="108" t="n"/>
      <c r="S259" s="108">
        <f>1-AE259</f>
        <v/>
      </c>
      <c r="T259" s="108">
        <f>1-AF259</f>
        <v/>
      </c>
      <c r="U259" s="108">
        <f>1-AG259</f>
        <v/>
      </c>
      <c r="V259" s="108">
        <f>1-AH259</f>
        <v/>
      </c>
      <c r="W259" s="108">
        <f>1-AI259</f>
        <v/>
      </c>
      <c r="X259" s="108">
        <f>ABS(AJ259-AJ$1)</f>
        <v/>
      </c>
      <c r="Y259" s="108">
        <f>AVERAGE(Z259:AB259)</f>
        <v/>
      </c>
      <c r="Z259" s="108">
        <f>ABS(AL259-AL$1)</f>
        <v/>
      </c>
      <c r="AA259" s="108">
        <f>ABS(AM259-AM$1)</f>
        <v/>
      </c>
      <c r="AB259" s="108">
        <f>ABS(AN259-AN$1)</f>
        <v/>
      </c>
      <c r="AC259" s="108" t="n"/>
      <c r="AD259" s="108" t="n"/>
      <c r="AE259" s="108">
        <f>ABS(AQ$1-AQ259)</f>
        <v/>
      </c>
      <c r="AF259" s="108">
        <f>ABS(AR$1-AR259)</f>
        <v/>
      </c>
      <c r="AG259" s="108">
        <f>ABS(AS$1-AS259)</f>
        <v/>
      </c>
      <c r="AH259" s="108">
        <f>ABS(AT$1-AT259)</f>
        <v/>
      </c>
      <c r="AI259" s="108">
        <f>ABS(AU$1-AU259)</f>
        <v/>
      </c>
      <c r="AJ259" s="108">
        <f>(AV259-Driver!$K$179)/(Driver!$L$179-Driver!$K$179)</f>
        <v/>
      </c>
      <c r="AK259" s="108">
        <f>(AW259-Driver!$K$180)/(Driver!$L$180-Driver!$K$180)</f>
        <v/>
      </c>
      <c r="AL259" s="108">
        <f>(AX259-Driver!$K$181)/(Driver!$L$181-Driver!$K$181)</f>
        <v/>
      </c>
      <c r="AM259" s="108">
        <f>(AY259-Driver!$K$182)/(Driver!$L$182-Driver!$K$182)</f>
        <v/>
      </c>
      <c r="AN259" s="108">
        <f>(AZ259-Driver!$K$183)/(Driver!$L$183-Driver!$K$183)</f>
        <v/>
      </c>
      <c r="AO259" s="108" t="n"/>
      <c r="AP259" s="108" t="n"/>
      <c r="AQ259" s="108">
        <f>(BC259-Driver!$K$188)/(Driver!$L$188-Driver!$K$188)</f>
        <v/>
      </c>
      <c r="AR259" s="108">
        <f>MIN((BD259-Driver!$K$189)/(Driver!$L$189-Driver!$K$189),100%)</f>
        <v/>
      </c>
      <c r="AS259" s="108">
        <f>(BE259-Driver!$K$190)/(Driver!$L$190-Driver!$K$190)</f>
        <v/>
      </c>
      <c r="AT259" s="108">
        <f>(BF259-Driver!$K$191)/(Driver!$L$191-Driver!$K$191)</f>
        <v/>
      </c>
      <c r="AU259" s="108">
        <f>(BG259-Driver!$K$192)/(Driver!$L$192-Driver!$K$192)</f>
        <v/>
      </c>
      <c r="AV259" s="105">
        <f>IFERROR(BM259*BJ259^1/4,"")</f>
        <v/>
      </c>
      <c r="AW259" s="105">
        <f>IFERROR(SUM(AX259:AZ259),"")</f>
        <v/>
      </c>
      <c r="AX259" s="105">
        <f>IFERROR(BH259,"")</f>
        <v/>
      </c>
      <c r="AY259" s="105">
        <f>IFERROR(Driver!$K$19/Data!BH259/Data!BI259*Data!BK259*Data!BL259,"")</f>
        <v/>
      </c>
      <c r="AZ259" s="105">
        <f>IFERROR(BI259*BN259,"")</f>
        <v/>
      </c>
      <c r="BA259" s="105" t="n"/>
      <c r="BB259" s="105" t="n"/>
      <c r="BC259" s="105">
        <f>IFERROR(BI259*BN259*BK259/BJ259^(1/2),"")</f>
        <v/>
      </c>
      <c r="BD259" s="105">
        <f>IFERROR(BH259*BM259*BL259/BJ259/BK259,"")</f>
        <v/>
      </c>
      <c r="BE259" s="105">
        <f>IFERROR(MIN(BI259/BQ259/BP259/BO259/BH259,$BE$1),"")</f>
        <v/>
      </c>
      <c r="BF259" s="105">
        <f>IFERROR(BJ259*BO259*BP259/BK259,"")</f>
        <v/>
      </c>
      <c r="BG259" s="105">
        <f>IFERROR(1/BM259/BH259*BQ259,"")</f>
        <v/>
      </c>
      <c r="BH259" s="102">
        <f>MAX((CE259-Driver!$F$200)/(Driver!$G$200-Driver!$F$200)*$BI$1,1)</f>
        <v/>
      </c>
      <c r="BI259" s="102">
        <f>MAX($BI$1*(BY259-Driver!$F$201)/(Driver!$G$201-Driver!$F$201),1)</f>
        <v/>
      </c>
      <c r="BJ259" s="102">
        <f>(CB259-Driver!$F$206)/(Driver!$G$206-Driver!$F$206)*$BI$1</f>
        <v/>
      </c>
      <c r="BK259" s="102">
        <f>(CD259-Driver!$F$203)/(Driver!$G$203-Driver!$F$203)*$BI$1</f>
        <v/>
      </c>
      <c r="BL259" s="102">
        <f>MAX((CR259-Driver!$F$202)/(Driver!$G$202-Driver!$F$202)*$BI$1,1)</f>
        <v/>
      </c>
      <c r="BM259" s="102">
        <f>MAX((CH259-Driver!$F$204)/(Driver!$G$204-Driver!$F$204)*$BI$1,1)</f>
        <v/>
      </c>
      <c r="BN259" s="102">
        <f>(CI259-Driver!$F$205)/(Driver!$G$205-Driver!$F$205)*$BI$1</f>
        <v/>
      </c>
      <c r="BO259" s="102">
        <f>(CK259-Driver!$F$207)/(Driver!$G$207-Driver!$F$207)*$BI$1</f>
        <v/>
      </c>
      <c r="BP259" s="102">
        <f>(CM259-Driver!$F$208)/(Driver!$G$208-Driver!$F$208)*$BI$1</f>
        <v/>
      </c>
      <c r="BQ259" s="102">
        <f>(CL259-Driver!$F$209)/(Driver!$G$209-Driver!$F$209)*$BI$1</f>
        <v/>
      </c>
      <c r="BR259" s="40" t="inlineStr">
        <is>
          <t>21/22</t>
        </is>
      </c>
      <c r="BS259" s="10" t="inlineStr">
        <is>
          <t xml:space="preserve"> Fischer</t>
        </is>
      </c>
      <c r="BT259" s="11" t="inlineStr">
        <is>
          <t>Ranger 94 FR</t>
        </is>
      </c>
      <c r="BU259" s="13" t="n">
        <v>177</v>
      </c>
      <c r="BV259" s="11" t="inlineStr">
        <is>
          <t xml:space="preserve"> Unisex</t>
        </is>
      </c>
      <c r="BW259" s="13" t="n">
        <v>177</v>
      </c>
      <c r="BX259" s="13" t="n">
        <v>176</v>
      </c>
      <c r="BY259" s="13" t="n">
        <v>113</v>
      </c>
      <c r="BZ259" s="13" t="n">
        <v>148</v>
      </c>
      <c r="CA259" s="13" t="n">
        <v>125</v>
      </c>
      <c r="CB259" s="13" t="n">
        <v>91</v>
      </c>
      <c r="CC259" s="13" t="n">
        <v>116</v>
      </c>
      <c r="CD259" s="13" t="n">
        <v>15</v>
      </c>
      <c r="CE259" s="13" t="n">
        <v>1867</v>
      </c>
      <c r="CF259" s="13" t="n">
        <v>0.98</v>
      </c>
      <c r="CG259" s="13" t="n">
        <v>1837</v>
      </c>
      <c r="CH259" s="13" t="n">
        <v>221</v>
      </c>
      <c r="CI259" s="13" t="n">
        <v>114</v>
      </c>
      <c r="CJ259" s="13" t="n">
        <v>56</v>
      </c>
      <c r="CK259" s="13" t="n">
        <v>387</v>
      </c>
      <c r="CL259" s="13" t="n">
        <v>34</v>
      </c>
      <c r="CM259" s="13" t="n">
        <v>241</v>
      </c>
      <c r="CN259" s="13" t="n">
        <v>0.607</v>
      </c>
      <c r="CO259" s="13" t="n">
        <v>146</v>
      </c>
      <c r="CP259" s="13" t="n">
        <v>139</v>
      </c>
      <c r="CQ259" s="13" t="n">
        <v>241</v>
      </c>
      <c r="CR259" s="13" t="n">
        <v>5</v>
      </c>
      <c r="CS259" s="13" t="n">
        <v>8.9</v>
      </c>
      <c r="CT259" s="11" t="inlineStr">
        <is>
          <t xml:space="preserve"> Resort Freeride</t>
        </is>
      </c>
      <c r="CU259" s="13" t="n"/>
      <c r="CV259" s="13" t="n"/>
      <c r="CW259" s="13" t="n"/>
      <c r="CX259">
        <f>INDEX('Data_Price '!AG$2:AG$1266,MATCH(Data!$DN259,'Data_Price '!$AT$2:$AT$1266,0))</f>
        <v/>
      </c>
      <c r="CY259">
        <f>INDEX('Data_Price '!AH$2:AH$1266,MATCH(Data!$DN259,'Data_Price '!$AT$2:$AT$1266,0))</f>
        <v/>
      </c>
      <c r="CZ259">
        <f>INDEX('Data_Price '!AI$2:AI$1266,MATCH(Data!$DN259,'Data_Price '!$AT$2:$AT$1266,0))</f>
        <v/>
      </c>
      <c r="DA259">
        <f>INDEX('Data_Price '!AJ$2:AJ$1266,MATCH(Data!$DN259,'Data_Price '!$AT$2:$AT$1266,0))</f>
        <v/>
      </c>
      <c r="DB259">
        <f>INDEX('Data_Price '!AK$2:AK$1266,MATCH(Data!$DN259,'Data_Price '!$AT$2:$AT$1266,0))</f>
        <v/>
      </c>
      <c r="DC259">
        <f>INDEX('Data_Price '!AL$2:AL$1266,MATCH(Data!$DN259,'Data_Price '!$AT$2:$AT$1266,0))</f>
        <v/>
      </c>
      <c r="DD259">
        <f>INDEX('Data_Price '!AM$2:AM$1266,MATCH(Data!$DN259,'Data_Price '!$AT$2:$AT$1266,0))</f>
        <v/>
      </c>
      <c r="DE259">
        <f>INDEX('Data_Price '!AN$2:AN$1266,MATCH(Data!$DN259,'Data_Price '!$AT$2:$AT$1266,0))</f>
        <v/>
      </c>
      <c r="DF259">
        <f>INDEX('Data_Price '!AO$2:AO$1266,MATCH(Data!$DN259,'Data_Price '!$AT$2:$AT$1266,0))</f>
        <v/>
      </c>
      <c r="DG259">
        <f>INDEX('Data_Price '!AP$2:AP$1266,MATCH(Data!$DN259,'Data_Price '!$AT$2:$AT$1266,0))</f>
        <v/>
      </c>
      <c r="DH259">
        <f>INDEX('Data_Price '!AQ$2:AQ$1266,MATCH(Data!$DN259,'Data_Price '!$AT$2:$AT$1266,0))</f>
        <v/>
      </c>
      <c r="DI259">
        <f>INDEX('Data_Price '!AR$2:AR$1266,MATCH(Data!$DN259,'Data_Price '!$AT$2:$AT$1266,0))</f>
        <v/>
      </c>
      <c r="DJ259" s="138">
        <f>DA259</f>
        <v/>
      </c>
      <c r="DK259" s="138">
        <f>DE259</f>
        <v/>
      </c>
      <c r="DL259" s="138">
        <f>DI259</f>
        <v/>
      </c>
      <c r="DM259" s="303">
        <f>IF(LEFT(BT259,1)=" ",RIGHT(BT259,LEN(BT259)-1),BT259)</f>
        <v/>
      </c>
      <c r="DN259" s="138">
        <f>_xlfn.CONCAT(BS259,DM259,BU259,BV259)</f>
        <v/>
      </c>
      <c r="DO259" s="307" t="n"/>
    </row>
    <row r="260" ht="15.6" customHeight="1" s="184">
      <c r="B260" s="303">
        <f t="array" ref="B260">IF(OR(ISERROR(K260:P260)),FALSE,TRUE)</f>
        <v/>
      </c>
      <c r="C260" s="60">
        <f>OR(BR260=Driver!$G$50,Data!BR1263=Driver!$H$50)</f>
        <v/>
      </c>
      <c r="D260" s="60">
        <f>OR(BV260=Driver!$G$51,BV260=Driver!$H$51)</f>
        <v/>
      </c>
      <c r="E260" s="60">
        <f>AND(BX260&gt;Driver!$F$54,BX260&lt;Driver!$G$54)</f>
        <v/>
      </c>
      <c r="F260" s="60">
        <f>CL260&gt;Driver!$F$56</f>
        <v/>
      </c>
      <c r="G260" s="60">
        <f>AND(CB260&gt;Driver!$F$55,CB260&lt;Driver!$G$55)</f>
        <v/>
      </c>
      <c r="H260" s="60">
        <f>AND(B260:G260)</f>
        <v/>
      </c>
      <c r="I260" s="60">
        <f>COUNTIFS($H$9:$H$1273,TRUE,$BT$9:$BT$1273,BT260)</f>
        <v/>
      </c>
      <c r="J260" s="60">
        <f t="array" ref="J260">NOT(OR(($H$9:$H$1273=TRUE)*($I$9:$I$1273&gt;0)*($BT$9:$BT$1273=BT260)*($K$9:$K$1273&gt;K260)))</f>
        <v/>
      </c>
      <c r="K260" s="108">
        <f>IFERROR(1-AVERAGE(X260:Y260),"")</f>
        <v/>
      </c>
      <c r="L260" s="108">
        <f>1-X260</f>
        <v/>
      </c>
      <c r="M260" s="108">
        <f>1-Y260</f>
        <v/>
      </c>
      <c r="N260" s="108">
        <f>1-Z260</f>
        <v/>
      </c>
      <c r="O260" s="108">
        <f>1-AA260</f>
        <v/>
      </c>
      <c r="P260" s="108">
        <f>1-AB260</f>
        <v/>
      </c>
      <c r="Q260" s="108" t="n"/>
      <c r="R260" s="108" t="n"/>
      <c r="S260" s="108">
        <f>1-AE260</f>
        <v/>
      </c>
      <c r="T260" s="108">
        <f>1-AF260</f>
        <v/>
      </c>
      <c r="U260" s="108">
        <f>1-AG260</f>
        <v/>
      </c>
      <c r="V260" s="108">
        <f>1-AH260</f>
        <v/>
      </c>
      <c r="W260" s="108">
        <f>1-AI260</f>
        <v/>
      </c>
      <c r="X260" s="108">
        <f>ABS(AJ260-AJ$1)</f>
        <v/>
      </c>
      <c r="Y260" s="108">
        <f>AVERAGE(Z260:AB260)</f>
        <v/>
      </c>
      <c r="Z260" s="108">
        <f>ABS(AL260-AL$1)</f>
        <v/>
      </c>
      <c r="AA260" s="108">
        <f>ABS(AM260-AM$1)</f>
        <v/>
      </c>
      <c r="AB260" s="108">
        <f>ABS(AN260-AN$1)</f>
        <v/>
      </c>
      <c r="AC260" s="108" t="n"/>
      <c r="AD260" s="108" t="n"/>
      <c r="AE260" s="108">
        <f>ABS(AQ$1-AQ260)</f>
        <v/>
      </c>
      <c r="AF260" s="108">
        <f>ABS(AR$1-AR260)</f>
        <v/>
      </c>
      <c r="AG260" s="108">
        <f>ABS(AS$1-AS260)</f>
        <v/>
      </c>
      <c r="AH260" s="108">
        <f>ABS(AT$1-AT260)</f>
        <v/>
      </c>
      <c r="AI260" s="108">
        <f>ABS(AU$1-AU260)</f>
        <v/>
      </c>
      <c r="AJ260" s="108">
        <f>(AV260-Driver!$K$179)/(Driver!$L$179-Driver!$K$179)</f>
        <v/>
      </c>
      <c r="AK260" s="108">
        <f>(AW260-Driver!$K$180)/(Driver!$L$180-Driver!$K$180)</f>
        <v/>
      </c>
      <c r="AL260" s="108">
        <f>(AX260-Driver!$K$181)/(Driver!$L$181-Driver!$K$181)</f>
        <v/>
      </c>
      <c r="AM260" s="108">
        <f>(AY260-Driver!$K$182)/(Driver!$L$182-Driver!$K$182)</f>
        <v/>
      </c>
      <c r="AN260" s="108">
        <f>(AZ260-Driver!$K$183)/(Driver!$L$183-Driver!$K$183)</f>
        <v/>
      </c>
      <c r="AO260" s="108" t="n"/>
      <c r="AP260" s="108" t="n"/>
      <c r="AQ260" s="108">
        <f>(BC260-Driver!$K$188)/(Driver!$L$188-Driver!$K$188)</f>
        <v/>
      </c>
      <c r="AR260" s="108">
        <f>MIN((BD260-Driver!$K$189)/(Driver!$L$189-Driver!$K$189),100%)</f>
        <v/>
      </c>
      <c r="AS260" s="108">
        <f>(BE260-Driver!$K$190)/(Driver!$L$190-Driver!$K$190)</f>
        <v/>
      </c>
      <c r="AT260" s="108">
        <f>(BF260-Driver!$K$191)/(Driver!$L$191-Driver!$K$191)</f>
        <v/>
      </c>
      <c r="AU260" s="108">
        <f>(BG260-Driver!$K$192)/(Driver!$L$192-Driver!$K$192)</f>
        <v/>
      </c>
      <c r="AV260" s="105">
        <f>IFERROR(BM260*BJ260^1/4,"")</f>
        <v/>
      </c>
      <c r="AW260" s="105">
        <f>IFERROR(SUM(AX260:AZ260),"")</f>
        <v/>
      </c>
      <c r="AX260" s="105">
        <f>IFERROR(BH260,"")</f>
        <v/>
      </c>
      <c r="AY260" s="105">
        <f>IFERROR(Driver!$K$19/Data!BH260/Data!BI260*Data!BK260*Data!BL260,"")</f>
        <v/>
      </c>
      <c r="AZ260" s="105">
        <f>IFERROR(BI260*BN260,"")</f>
        <v/>
      </c>
      <c r="BA260" s="105" t="n"/>
      <c r="BB260" s="105" t="n"/>
      <c r="BC260" s="105">
        <f>IFERROR(BI260*BN260*BK260/BJ260^(1/2),"")</f>
        <v/>
      </c>
      <c r="BD260" s="105">
        <f>IFERROR(BH260*BM260*BL260/BJ260/BK260,"")</f>
        <v/>
      </c>
      <c r="BE260" s="105">
        <f>IFERROR(MIN(BI260/BQ260/BP260/BO260/BH260,$BE$1),"")</f>
        <v/>
      </c>
      <c r="BF260" s="105">
        <f>IFERROR(BJ260*BO260*BP260/BK260,"")</f>
        <v/>
      </c>
      <c r="BG260" s="105">
        <f>IFERROR(1/BM260/BH260*BQ260,"")</f>
        <v/>
      </c>
      <c r="BH260" s="102">
        <f>MAX((CE260-Driver!$F$200)/(Driver!$G$200-Driver!$F$200)*$BI$1,1)</f>
        <v/>
      </c>
      <c r="BI260" s="102">
        <f>MAX($BI$1*(BY260-Driver!$F$201)/(Driver!$G$201-Driver!$F$201),1)</f>
        <v/>
      </c>
      <c r="BJ260" s="102">
        <f>(CB260-Driver!$F$206)/(Driver!$G$206-Driver!$F$206)*$BI$1</f>
        <v/>
      </c>
      <c r="BK260" s="102">
        <f>(CD260-Driver!$F$203)/(Driver!$G$203-Driver!$F$203)*$BI$1</f>
        <v/>
      </c>
      <c r="BL260" s="102">
        <f>MAX((CR260-Driver!$F$202)/(Driver!$G$202-Driver!$F$202)*$BI$1,1)</f>
        <v/>
      </c>
      <c r="BM260" s="102">
        <f>MAX((CH260-Driver!$F$204)/(Driver!$G$204-Driver!$F$204)*$BI$1,1)</f>
        <v/>
      </c>
      <c r="BN260" s="102">
        <f>(CI260-Driver!$F$205)/(Driver!$G$205-Driver!$F$205)*$BI$1</f>
        <v/>
      </c>
      <c r="BO260" s="102">
        <f>(CK260-Driver!$F$207)/(Driver!$G$207-Driver!$F$207)*$BI$1</f>
        <v/>
      </c>
      <c r="BP260" s="102">
        <f>(CM260-Driver!$F$208)/(Driver!$G$208-Driver!$F$208)*$BI$1</f>
        <v/>
      </c>
      <c r="BQ260" s="102">
        <f>(CL260-Driver!$F$209)/(Driver!$G$209-Driver!$F$209)*$BI$1</f>
        <v/>
      </c>
      <c r="BR260" s="40" t="inlineStr">
        <is>
          <t>21/22</t>
        </is>
      </c>
      <c r="BS260" s="10" t="inlineStr">
        <is>
          <t xml:space="preserve"> Völkl</t>
        </is>
      </c>
      <c r="BT260" s="11" t="inlineStr">
        <is>
          <t>Secret 96</t>
        </is>
      </c>
      <c r="BU260" s="13" t="n">
        <v>156</v>
      </c>
      <c r="BV260" s="11" t="inlineStr">
        <is>
          <t xml:space="preserve"> Women's</t>
        </is>
      </c>
      <c r="BW260" s="13" t="n">
        <v>156</v>
      </c>
      <c r="BX260" s="13" t="n">
        <v>155.8</v>
      </c>
      <c r="BY260" s="13" t="n">
        <v>112</v>
      </c>
      <c r="BZ260" s="13" t="n">
        <v>133</v>
      </c>
      <c r="CA260" s="13" t="n">
        <v>135</v>
      </c>
      <c r="CB260" s="13" t="n">
        <v>95</v>
      </c>
      <c r="CC260" s="13" t="n">
        <v>118</v>
      </c>
      <c r="CD260" s="13" t="n">
        <v>13.2</v>
      </c>
      <c r="CE260" s="13" t="n">
        <v>1700</v>
      </c>
      <c r="CF260" s="13" t="n">
        <v>0.99</v>
      </c>
      <c r="CG260" s="13" t="n">
        <v>1679</v>
      </c>
      <c r="CH260" s="13" t="n">
        <v>173</v>
      </c>
      <c r="CI260" s="13" t="n">
        <v>120</v>
      </c>
      <c r="CJ260" s="13" t="n">
        <v>44</v>
      </c>
      <c r="CK260" s="13" t="n">
        <v>257</v>
      </c>
      <c r="CL260" s="13" t="n">
        <v>16</v>
      </c>
      <c r="CM260" s="13" t="n">
        <v>177</v>
      </c>
      <c r="CN260" s="13" t="n">
        <v>0.357</v>
      </c>
      <c r="CO260" s="13" t="n">
        <v>125</v>
      </c>
      <c r="CP260" s="13" t="n">
        <v>101</v>
      </c>
      <c r="CQ260" s="13" t="n">
        <v>132</v>
      </c>
      <c r="CR260" s="13" t="n">
        <v>3</v>
      </c>
      <c r="CS260" s="13" t="n">
        <v>11.8</v>
      </c>
      <c r="CT260" s="11" t="inlineStr">
        <is>
          <t xml:space="preserve"> Resort Freeride</t>
        </is>
      </c>
      <c r="CU260" s="13" t="n"/>
      <c r="CV260" s="13" t="n"/>
      <c r="CW260" s="13" t="n"/>
      <c r="CX260">
        <f>INDEX('Data_Price '!AG$2:AG$1266,MATCH(Data!$DN260,'Data_Price '!$AT$2:$AT$1266,0))</f>
        <v/>
      </c>
      <c r="CY260">
        <f>INDEX('Data_Price '!AH$2:AH$1266,MATCH(Data!$DN260,'Data_Price '!$AT$2:$AT$1266,0))</f>
        <v/>
      </c>
      <c r="CZ260">
        <f>INDEX('Data_Price '!AI$2:AI$1266,MATCH(Data!$DN260,'Data_Price '!$AT$2:$AT$1266,0))</f>
        <v/>
      </c>
      <c r="DA260">
        <f>INDEX('Data_Price '!AJ$2:AJ$1266,MATCH(Data!$DN260,'Data_Price '!$AT$2:$AT$1266,0))</f>
        <v/>
      </c>
      <c r="DB260">
        <f>INDEX('Data_Price '!AK$2:AK$1266,MATCH(Data!$DN260,'Data_Price '!$AT$2:$AT$1266,0))</f>
        <v/>
      </c>
      <c r="DC260">
        <f>INDEX('Data_Price '!AL$2:AL$1266,MATCH(Data!$DN260,'Data_Price '!$AT$2:$AT$1266,0))</f>
        <v/>
      </c>
      <c r="DD260">
        <f>INDEX('Data_Price '!AM$2:AM$1266,MATCH(Data!$DN260,'Data_Price '!$AT$2:$AT$1266,0))</f>
        <v/>
      </c>
      <c r="DE260">
        <f>INDEX('Data_Price '!AN$2:AN$1266,MATCH(Data!$DN260,'Data_Price '!$AT$2:$AT$1266,0))</f>
        <v/>
      </c>
      <c r="DF260">
        <f>INDEX('Data_Price '!AO$2:AO$1266,MATCH(Data!$DN260,'Data_Price '!$AT$2:$AT$1266,0))</f>
        <v/>
      </c>
      <c r="DG260">
        <f>INDEX('Data_Price '!AP$2:AP$1266,MATCH(Data!$DN260,'Data_Price '!$AT$2:$AT$1266,0))</f>
        <v/>
      </c>
      <c r="DH260">
        <f>INDEX('Data_Price '!AQ$2:AQ$1266,MATCH(Data!$DN260,'Data_Price '!$AT$2:$AT$1266,0))</f>
        <v/>
      </c>
      <c r="DI260">
        <f>INDEX('Data_Price '!AR$2:AR$1266,MATCH(Data!$DN260,'Data_Price '!$AT$2:$AT$1266,0))</f>
        <v/>
      </c>
      <c r="DJ260" s="138">
        <f>DA260</f>
        <v/>
      </c>
      <c r="DK260" s="138">
        <f>DE260</f>
        <v/>
      </c>
      <c r="DL260" s="138">
        <f>DI260</f>
        <v/>
      </c>
      <c r="DM260" s="303">
        <f>IF(LEFT(BT260,1)=" ",RIGHT(BT260,LEN(BT260)-1),BT260)</f>
        <v/>
      </c>
      <c r="DN260" s="138">
        <f>_xlfn.CONCAT(BS260,DM260,BU260,BV260)</f>
        <v/>
      </c>
      <c r="DO260" s="307" t="inlineStr">
        <is>
          <t>https://images.evo.com/imgp/250/201961/795907/volkl-secret-96-skis-women-s-2022-.jpg</t>
        </is>
      </c>
    </row>
    <row r="261" ht="15.6" customHeight="1" s="184">
      <c r="B261" s="303">
        <f t="array" ref="B261">IF(OR(ISERROR(K261:P261)),FALSE,TRUE)</f>
        <v/>
      </c>
      <c r="C261" s="60">
        <f>OR(BR261=Driver!$G$50,Data!BR858=Driver!$H$50)</f>
        <v/>
      </c>
      <c r="D261" s="60">
        <f>OR(BV261=Driver!$G$51,BV261=Driver!$H$51)</f>
        <v/>
      </c>
      <c r="E261" s="60">
        <f>AND(BX261&gt;Driver!$F$54,BX261&lt;Driver!$G$54)</f>
        <v/>
      </c>
      <c r="F261" s="60">
        <f>CL261&gt;Driver!$F$56</f>
        <v/>
      </c>
      <c r="G261" s="60">
        <f>AND(CB261&gt;Driver!$F$55,CB261&lt;Driver!$G$55)</f>
        <v/>
      </c>
      <c r="H261" s="60">
        <f>AND(B261:G261)</f>
        <v/>
      </c>
      <c r="I261" s="60">
        <f>COUNTIFS($H$9:$H$1273,TRUE,$BT$9:$BT$1273,BT261)</f>
        <v/>
      </c>
      <c r="J261" s="60">
        <f t="array" ref="J261">NOT(OR(($H$9:$H$1273=TRUE)*($I$9:$I$1273&gt;0)*($BT$9:$BT$1273=BT261)*($K$9:$K$1273&gt;K261)))</f>
        <v/>
      </c>
      <c r="K261" s="108">
        <f>IFERROR(1-AVERAGE(X261:Y261),"")</f>
        <v/>
      </c>
      <c r="L261" s="108">
        <f>1-X261</f>
        <v/>
      </c>
      <c r="M261" s="108">
        <f>1-Y261</f>
        <v/>
      </c>
      <c r="N261" s="108">
        <f>1-Z261</f>
        <v/>
      </c>
      <c r="O261" s="108">
        <f>1-AA261</f>
        <v/>
      </c>
      <c r="P261" s="108">
        <f>1-AB261</f>
        <v/>
      </c>
      <c r="Q261" s="108" t="n"/>
      <c r="R261" s="108" t="n"/>
      <c r="S261" s="108">
        <f>1-AE261</f>
        <v/>
      </c>
      <c r="T261" s="108">
        <f>1-AF261</f>
        <v/>
      </c>
      <c r="U261" s="108">
        <f>1-AG261</f>
        <v/>
      </c>
      <c r="V261" s="108">
        <f>1-AH261</f>
        <v/>
      </c>
      <c r="W261" s="108">
        <f>1-AI261</f>
        <v/>
      </c>
      <c r="X261" s="108">
        <f>ABS(AJ261-AJ$1)</f>
        <v/>
      </c>
      <c r="Y261" s="108">
        <f>AVERAGE(Z261:AB261)</f>
        <v/>
      </c>
      <c r="Z261" s="108">
        <f>ABS(AL261-AL$1)</f>
        <v/>
      </c>
      <c r="AA261" s="108">
        <f>ABS(AM261-AM$1)</f>
        <v/>
      </c>
      <c r="AB261" s="108">
        <f>ABS(AN261-AN$1)</f>
        <v/>
      </c>
      <c r="AC261" s="108" t="n"/>
      <c r="AD261" s="108" t="n"/>
      <c r="AE261" s="108">
        <f>ABS(AQ$1-AQ261)</f>
        <v/>
      </c>
      <c r="AF261" s="108">
        <f>ABS(AR$1-AR261)</f>
        <v/>
      </c>
      <c r="AG261" s="108">
        <f>ABS(AS$1-AS261)</f>
        <v/>
      </c>
      <c r="AH261" s="108">
        <f>ABS(AT$1-AT261)</f>
        <v/>
      </c>
      <c r="AI261" s="108">
        <f>ABS(AU$1-AU261)</f>
        <v/>
      </c>
      <c r="AJ261" s="108">
        <f>(AV261-Driver!$K$179)/(Driver!$L$179-Driver!$K$179)</f>
        <v/>
      </c>
      <c r="AK261" s="108">
        <f>(AW261-Driver!$K$180)/(Driver!$L$180-Driver!$K$180)</f>
        <v/>
      </c>
      <c r="AL261" s="108">
        <f>(AX261-Driver!$K$181)/(Driver!$L$181-Driver!$K$181)</f>
        <v/>
      </c>
      <c r="AM261" s="108">
        <f>(AY261-Driver!$K$182)/(Driver!$L$182-Driver!$K$182)</f>
        <v/>
      </c>
      <c r="AN261" s="108">
        <f>(AZ261-Driver!$K$183)/(Driver!$L$183-Driver!$K$183)</f>
        <v/>
      </c>
      <c r="AO261" s="108" t="n"/>
      <c r="AP261" s="108" t="n"/>
      <c r="AQ261" s="108">
        <f>(BC261-Driver!$K$188)/(Driver!$L$188-Driver!$K$188)</f>
        <v/>
      </c>
      <c r="AR261" s="108">
        <f>MIN((BD261-Driver!$K$189)/(Driver!$L$189-Driver!$K$189),100%)</f>
        <v/>
      </c>
      <c r="AS261" s="108">
        <f>(BE261-Driver!$K$190)/(Driver!$L$190-Driver!$K$190)</f>
        <v/>
      </c>
      <c r="AT261" s="108">
        <f>(BF261-Driver!$K$191)/(Driver!$L$191-Driver!$K$191)</f>
        <v/>
      </c>
      <c r="AU261" s="108">
        <f>(BG261-Driver!$K$192)/(Driver!$L$192-Driver!$K$192)</f>
        <v/>
      </c>
      <c r="AV261" s="105">
        <f>IFERROR(BM261*BJ261^1/4,"")</f>
        <v/>
      </c>
      <c r="AW261" s="105">
        <f>IFERROR(SUM(AX261:AZ261),"")</f>
        <v/>
      </c>
      <c r="AX261" s="105">
        <f>IFERROR(BH261,"")</f>
        <v/>
      </c>
      <c r="AY261" s="105">
        <f>IFERROR(Driver!$K$19/Data!BH261/Data!BI261*Data!BK261*Data!BL261,"")</f>
        <v/>
      </c>
      <c r="AZ261" s="105">
        <f>IFERROR(BI261*BN261,"")</f>
        <v/>
      </c>
      <c r="BA261" s="105" t="n"/>
      <c r="BB261" s="105" t="n"/>
      <c r="BC261" s="105">
        <f>IFERROR(BI261*BN261*BK261/BJ261^(1/2),"")</f>
        <v/>
      </c>
      <c r="BD261" s="105">
        <f>IFERROR(BH261*BM261*BL261/BJ261/BK261,"")</f>
        <v/>
      </c>
      <c r="BE261" s="105">
        <f>IFERROR(MIN(BI261/BQ261/BP261/BO261/BH261,$BE$1),"")</f>
        <v/>
      </c>
      <c r="BF261" s="105">
        <f>IFERROR(BJ261*BO261*BP261/BK261,"")</f>
        <v/>
      </c>
      <c r="BG261" s="105">
        <f>IFERROR(1/BM261/BH261*BQ261,"")</f>
        <v/>
      </c>
      <c r="BH261" s="102">
        <f>MAX((CE261-Driver!$F$200)/(Driver!$G$200-Driver!$F$200)*$BI$1,1)</f>
        <v/>
      </c>
      <c r="BI261" s="102">
        <f>MAX($BI$1*(BY261-Driver!$F$201)/(Driver!$G$201-Driver!$F$201),1)</f>
        <v/>
      </c>
      <c r="BJ261" s="102">
        <f>(CB261-Driver!$F$206)/(Driver!$G$206-Driver!$F$206)*$BI$1</f>
        <v/>
      </c>
      <c r="BK261" s="102">
        <f>(CD261-Driver!$F$203)/(Driver!$G$203-Driver!$F$203)*$BI$1</f>
        <v/>
      </c>
      <c r="BL261" s="102">
        <f>MAX((CR261-Driver!$F$202)/(Driver!$G$202-Driver!$F$202)*$BI$1,1)</f>
        <v/>
      </c>
      <c r="BM261" s="102">
        <f>MAX((CH261-Driver!$F$204)/(Driver!$G$204-Driver!$F$204)*$BI$1,1)</f>
        <v/>
      </c>
      <c r="BN261" s="102">
        <f>(CI261-Driver!$F$205)/(Driver!$G$205-Driver!$F$205)*$BI$1</f>
        <v/>
      </c>
      <c r="BO261" s="102">
        <f>(CK261-Driver!$F$207)/(Driver!$G$207-Driver!$F$207)*$BI$1</f>
        <v/>
      </c>
      <c r="BP261" s="102">
        <f>(CM261-Driver!$F$208)/(Driver!$G$208-Driver!$F$208)*$BI$1</f>
        <v/>
      </c>
      <c r="BQ261" s="102">
        <f>(CL261-Driver!$F$209)/(Driver!$G$209-Driver!$F$209)*$BI$1</f>
        <v/>
      </c>
      <c r="BR261" s="40" t="inlineStr">
        <is>
          <t>21/22</t>
        </is>
      </c>
      <c r="BS261" s="10" t="inlineStr">
        <is>
          <t xml:space="preserve"> Line</t>
        </is>
      </c>
      <c r="BT261" s="11" t="inlineStr">
        <is>
          <t xml:space="preserve"> Sakana</t>
        </is>
      </c>
      <c r="BU261" s="13" t="n">
        <v>174</v>
      </c>
      <c r="BV261" s="11" t="inlineStr">
        <is>
          <t xml:space="preserve"> Unisex</t>
        </is>
      </c>
      <c r="BW261" s="13" t="n">
        <v>174</v>
      </c>
      <c r="BX261" s="13" t="n">
        <v>174</v>
      </c>
      <c r="BY261" s="13" t="n">
        <v>137</v>
      </c>
      <c r="BZ261" s="13" t="n">
        <v>142</v>
      </c>
      <c r="CA261" s="13" t="n">
        <v>149</v>
      </c>
      <c r="CB261" s="13" t="n">
        <v>104</v>
      </c>
      <c r="CC261" s="13" t="n">
        <v>128</v>
      </c>
      <c r="CD261" s="13" t="n">
        <v>14.4</v>
      </c>
      <c r="CE261" s="13" t="n">
        <v>1720</v>
      </c>
      <c r="CF261" s="13" t="n">
        <v>1.17</v>
      </c>
      <c r="CG261" s="13" t="n">
        <v>2017</v>
      </c>
      <c r="CH261" s="13" t="n">
        <v>145</v>
      </c>
      <c r="CI261" s="13" t="n">
        <v>84</v>
      </c>
      <c r="CJ261" s="13" t="n">
        <v>48</v>
      </c>
      <c r="CK261" s="13" t="n">
        <v>368</v>
      </c>
      <c r="CL261" s="13" t="n">
        <v>0</v>
      </c>
      <c r="CM261" s="13" t="n">
        <v>0</v>
      </c>
      <c r="CN261" s="13" t="n">
        <v>0.001</v>
      </c>
      <c r="CO261" s="13" t="n">
        <v>169</v>
      </c>
      <c r="CP261" s="13" t="n">
        <v>148</v>
      </c>
      <c r="CQ261" s="13" t="n">
        <v>200</v>
      </c>
      <c r="CR261" s="13" t="n">
        <v>6</v>
      </c>
      <c r="CS261" s="13" t="n">
        <v>10.7</v>
      </c>
      <c r="CT261" s="11" t="inlineStr">
        <is>
          <t xml:space="preserve"> Resort Freeride</t>
        </is>
      </c>
      <c r="CU261" s="11" t="inlineStr">
        <is>
          <t xml:space="preserve"> Big Mountain</t>
        </is>
      </c>
      <c r="CV261" s="11" t="inlineStr">
        <is>
          <t xml:space="preserve"> Touring</t>
        </is>
      </c>
      <c r="CW261" s="13" t="n"/>
      <c r="CX261">
        <f>INDEX('Data_Price '!AG$2:AG$1266,MATCH(Data!$DN261,'Data_Price '!$AT$2:$AT$1266,0))</f>
        <v/>
      </c>
      <c r="CY261">
        <f>INDEX('Data_Price '!AH$2:AH$1266,MATCH(Data!$DN261,'Data_Price '!$AT$2:$AT$1266,0))</f>
        <v/>
      </c>
      <c r="CZ261">
        <f>INDEX('Data_Price '!AI$2:AI$1266,MATCH(Data!$DN261,'Data_Price '!$AT$2:$AT$1266,0))</f>
        <v/>
      </c>
      <c r="DA261">
        <f>INDEX('Data_Price '!AJ$2:AJ$1266,MATCH(Data!$DN261,'Data_Price '!$AT$2:$AT$1266,0))</f>
        <v/>
      </c>
      <c r="DB261">
        <f>INDEX('Data_Price '!AK$2:AK$1266,MATCH(Data!$DN261,'Data_Price '!$AT$2:$AT$1266,0))</f>
        <v/>
      </c>
      <c r="DC261">
        <f>INDEX('Data_Price '!AL$2:AL$1266,MATCH(Data!$DN261,'Data_Price '!$AT$2:$AT$1266,0))</f>
        <v/>
      </c>
      <c r="DD261">
        <f>INDEX('Data_Price '!AM$2:AM$1266,MATCH(Data!$DN261,'Data_Price '!$AT$2:$AT$1266,0))</f>
        <v/>
      </c>
      <c r="DE261">
        <f>INDEX('Data_Price '!AN$2:AN$1266,MATCH(Data!$DN261,'Data_Price '!$AT$2:$AT$1266,0))</f>
        <v/>
      </c>
      <c r="DF261">
        <f>INDEX('Data_Price '!AO$2:AO$1266,MATCH(Data!$DN261,'Data_Price '!$AT$2:$AT$1266,0))</f>
        <v/>
      </c>
      <c r="DG261">
        <f>INDEX('Data_Price '!AP$2:AP$1266,MATCH(Data!$DN261,'Data_Price '!$AT$2:$AT$1266,0))</f>
        <v/>
      </c>
      <c r="DH261">
        <f>INDEX('Data_Price '!AQ$2:AQ$1266,MATCH(Data!$DN261,'Data_Price '!$AT$2:$AT$1266,0))</f>
        <v/>
      </c>
      <c r="DI261">
        <f>INDEX('Data_Price '!AR$2:AR$1266,MATCH(Data!$DN261,'Data_Price '!$AT$2:$AT$1266,0))</f>
        <v/>
      </c>
      <c r="DJ261" s="138">
        <f>DA261</f>
        <v/>
      </c>
      <c r="DK261" s="138">
        <f>DE261</f>
        <v/>
      </c>
      <c r="DL261" s="138">
        <f>DI261</f>
        <v/>
      </c>
      <c r="DM261" s="303">
        <f>IF(LEFT(BT261,1)=" ",RIGHT(BT261,LEN(BT261)-1),BT261)</f>
        <v/>
      </c>
      <c r="DN261" s="138">
        <f>_xlfn.CONCAT(BS261,DM261,BU261,BV261)</f>
        <v/>
      </c>
      <c r="DO261" s="307" t="inlineStr">
        <is>
          <t>https://images.evo.com/imgp/250/198434/817640/clone.jpg</t>
        </is>
      </c>
    </row>
    <row r="262" ht="15.6" customHeight="1" s="184">
      <c r="B262" s="303">
        <f t="array" ref="B262">IF(OR(ISERROR(K262:P262)),FALSE,TRUE)</f>
        <v/>
      </c>
      <c r="C262" s="60">
        <f>OR(BR262=Driver!$G$50,Data!BR613=Driver!$H$50)</f>
        <v/>
      </c>
      <c r="D262" s="60">
        <f>OR(BV262=Driver!$G$51,BV262=Driver!$H$51)</f>
        <v/>
      </c>
      <c r="E262" s="60">
        <f>AND(BX262&gt;Driver!$F$54,BX262&lt;Driver!$G$54)</f>
        <v/>
      </c>
      <c r="F262" s="60">
        <f>CL262&gt;Driver!$F$56</f>
        <v/>
      </c>
      <c r="G262" s="60">
        <f>AND(CB262&gt;Driver!$F$55,CB262&lt;Driver!$G$55)</f>
        <v/>
      </c>
      <c r="H262" s="60">
        <f>AND(B262:G262)</f>
        <v/>
      </c>
      <c r="I262" s="60">
        <f>COUNTIFS($H$9:$H$1273,TRUE,$BT$9:$BT$1273,BT262)</f>
        <v/>
      </c>
      <c r="J262" s="60">
        <f t="array" ref="J262">NOT(OR(($H$9:$H$1273=TRUE)*($I$9:$I$1273&gt;0)*($BT$9:$BT$1273=BT262)*($K$9:$K$1273&gt;K262)))</f>
        <v/>
      </c>
      <c r="K262" s="108">
        <f>IFERROR(1-AVERAGE(X262:Y262),"")</f>
        <v/>
      </c>
      <c r="L262" s="108">
        <f>1-X262</f>
        <v/>
      </c>
      <c r="M262" s="108">
        <f>1-Y262</f>
        <v/>
      </c>
      <c r="N262" s="108">
        <f>1-Z262</f>
        <v/>
      </c>
      <c r="O262" s="108">
        <f>1-AA262</f>
        <v/>
      </c>
      <c r="P262" s="108">
        <f>1-AB262</f>
        <v/>
      </c>
      <c r="Q262" s="108" t="n"/>
      <c r="R262" s="108" t="n"/>
      <c r="S262" s="108">
        <f>1-AE262</f>
        <v/>
      </c>
      <c r="T262" s="108">
        <f>1-AF262</f>
        <v/>
      </c>
      <c r="U262" s="108">
        <f>1-AG262</f>
        <v/>
      </c>
      <c r="V262" s="108">
        <f>1-AH262</f>
        <v/>
      </c>
      <c r="W262" s="108">
        <f>1-AI262</f>
        <v/>
      </c>
      <c r="X262" s="108">
        <f>ABS(AJ262-AJ$1)</f>
        <v/>
      </c>
      <c r="Y262" s="108">
        <f>AVERAGE(Z262:AB262)</f>
        <v/>
      </c>
      <c r="Z262" s="108">
        <f>ABS(AL262-AL$1)</f>
        <v/>
      </c>
      <c r="AA262" s="108">
        <f>ABS(AM262-AM$1)</f>
        <v/>
      </c>
      <c r="AB262" s="108">
        <f>ABS(AN262-AN$1)</f>
        <v/>
      </c>
      <c r="AC262" s="108" t="n"/>
      <c r="AD262" s="108" t="n"/>
      <c r="AE262" s="108">
        <f>ABS(AQ$1-AQ262)</f>
        <v/>
      </c>
      <c r="AF262" s="108">
        <f>ABS(AR$1-AR262)</f>
        <v/>
      </c>
      <c r="AG262" s="108">
        <f>ABS(AS$1-AS262)</f>
        <v/>
      </c>
      <c r="AH262" s="108">
        <f>ABS(AT$1-AT262)</f>
        <v/>
      </c>
      <c r="AI262" s="108">
        <f>ABS(AU$1-AU262)</f>
        <v/>
      </c>
      <c r="AJ262" s="108">
        <f>(AV262-Driver!$K$179)/(Driver!$L$179-Driver!$K$179)</f>
        <v/>
      </c>
      <c r="AK262" s="108">
        <f>(AW262-Driver!$K$180)/(Driver!$L$180-Driver!$K$180)</f>
        <v/>
      </c>
      <c r="AL262" s="108">
        <f>(AX262-Driver!$K$181)/(Driver!$L$181-Driver!$K$181)</f>
        <v/>
      </c>
      <c r="AM262" s="108">
        <f>(AY262-Driver!$K$182)/(Driver!$L$182-Driver!$K$182)</f>
        <v/>
      </c>
      <c r="AN262" s="108">
        <f>(AZ262-Driver!$K$183)/(Driver!$L$183-Driver!$K$183)</f>
        <v/>
      </c>
      <c r="AO262" s="108" t="n"/>
      <c r="AP262" s="108" t="n"/>
      <c r="AQ262" s="108">
        <f>(BC262-Driver!$K$188)/(Driver!$L$188-Driver!$K$188)</f>
        <v/>
      </c>
      <c r="AR262" s="108">
        <f>MIN((BD262-Driver!$K$189)/(Driver!$L$189-Driver!$K$189),100%)</f>
        <v/>
      </c>
      <c r="AS262" s="108">
        <f>(BE262-Driver!$K$190)/(Driver!$L$190-Driver!$K$190)</f>
        <v/>
      </c>
      <c r="AT262" s="108">
        <f>(BF262-Driver!$K$191)/(Driver!$L$191-Driver!$K$191)</f>
        <v/>
      </c>
      <c r="AU262" s="108">
        <f>(BG262-Driver!$K$192)/(Driver!$L$192-Driver!$K$192)</f>
        <v/>
      </c>
      <c r="AV262" s="105">
        <f>IFERROR(BM262*BJ262^1/4,"")</f>
        <v/>
      </c>
      <c r="AW262" s="105">
        <f>IFERROR(SUM(AX262:AZ262),"")</f>
        <v/>
      </c>
      <c r="AX262" s="105">
        <f>IFERROR(BH262,"")</f>
        <v/>
      </c>
      <c r="AY262" s="105">
        <f>IFERROR(Driver!$K$19/Data!BH262/Data!BI262*Data!BK262*Data!BL262,"")</f>
        <v/>
      </c>
      <c r="AZ262" s="105">
        <f>IFERROR(BI262*BN262,"")</f>
        <v/>
      </c>
      <c r="BA262" s="105" t="n"/>
      <c r="BB262" s="105" t="n"/>
      <c r="BC262" s="105">
        <f>IFERROR(BI262*BN262*BK262/BJ262^(1/2),"")</f>
        <v/>
      </c>
      <c r="BD262" s="105">
        <f>IFERROR(BH262*BM262*BL262/BJ262/BK262,"")</f>
        <v/>
      </c>
      <c r="BE262" s="105">
        <f>IFERROR(MIN(BI262/BQ262/BP262/BO262/BH262,$BE$1),"")</f>
        <v/>
      </c>
      <c r="BF262" s="105">
        <f>IFERROR(BJ262*BO262*BP262/BK262,"")</f>
        <v/>
      </c>
      <c r="BG262" s="105">
        <f>IFERROR(1/BM262/BH262*BQ262,"")</f>
        <v/>
      </c>
      <c r="BH262" s="102">
        <f>MAX((CE262-Driver!$F$200)/(Driver!$G$200-Driver!$F$200)*$BI$1,1)</f>
        <v/>
      </c>
      <c r="BI262" s="102">
        <f>MAX($BI$1*(BY262-Driver!$F$201)/(Driver!$G$201-Driver!$F$201),1)</f>
        <v/>
      </c>
      <c r="BJ262" s="102">
        <f>(CB262-Driver!$F$206)/(Driver!$G$206-Driver!$F$206)*$BI$1</f>
        <v/>
      </c>
      <c r="BK262" s="102">
        <f>(CD262-Driver!$F$203)/(Driver!$G$203-Driver!$F$203)*$BI$1</f>
        <v/>
      </c>
      <c r="BL262" s="102">
        <f>MAX((CR262-Driver!$F$202)/(Driver!$G$202-Driver!$F$202)*$BI$1,1)</f>
        <v/>
      </c>
      <c r="BM262" s="102">
        <f>MAX((CH262-Driver!$F$204)/(Driver!$G$204-Driver!$F$204)*$BI$1,1)</f>
        <v/>
      </c>
      <c r="BN262" s="102">
        <f>(CI262-Driver!$F$205)/(Driver!$G$205-Driver!$F$205)*$BI$1</f>
        <v/>
      </c>
      <c r="BO262" s="102">
        <f>(CK262-Driver!$F$207)/(Driver!$G$207-Driver!$F$207)*$BI$1</f>
        <v/>
      </c>
      <c r="BP262" s="102">
        <f>(CM262-Driver!$F$208)/(Driver!$G$208-Driver!$F$208)*$BI$1</f>
        <v/>
      </c>
      <c r="BQ262" s="102">
        <f>(CL262-Driver!$F$209)/(Driver!$G$209-Driver!$F$209)*$BI$1</f>
        <v/>
      </c>
      <c r="BR262" s="40" t="inlineStr">
        <is>
          <t>21/22</t>
        </is>
      </c>
      <c r="BS262" s="10" t="inlineStr">
        <is>
          <t xml:space="preserve"> Head</t>
        </is>
      </c>
      <c r="BT262" s="11" t="inlineStr">
        <is>
          <t>Kore 85 W</t>
        </is>
      </c>
      <c r="BU262" s="13" t="n">
        <v>163</v>
      </c>
      <c r="BV262" s="11" t="inlineStr">
        <is>
          <t xml:space="preserve"> Women's</t>
        </is>
      </c>
      <c r="BW262" s="13" t="n">
        <v>163</v>
      </c>
      <c r="BX262" s="13" t="n">
        <v>162.6</v>
      </c>
      <c r="BY262" s="13" t="n">
        <v>128</v>
      </c>
      <c r="BZ262" s="13" t="n">
        <v>135</v>
      </c>
      <c r="CA262" s="13" t="n">
        <v>123</v>
      </c>
      <c r="CB262" s="13" t="n">
        <v>82</v>
      </c>
      <c r="CC262" s="13" t="n">
        <v>104</v>
      </c>
      <c r="CD262" s="13" t="n">
        <v>13.7</v>
      </c>
      <c r="CE262" s="13" t="n">
        <v>1444</v>
      </c>
      <c r="CF262" s="13" t="n">
        <v>1.08</v>
      </c>
      <c r="CG262" s="13" t="n">
        <v>1555</v>
      </c>
      <c r="CH262" s="13" t="n">
        <v>209</v>
      </c>
      <c r="CI262" s="13" t="n">
        <v>96</v>
      </c>
      <c r="CJ262" s="13" t="n">
        <v>45</v>
      </c>
      <c r="CK262" s="13" t="n">
        <v>210</v>
      </c>
      <c r="CL262" s="13" t="n">
        <v>11</v>
      </c>
      <c r="CM262" s="13" t="n">
        <v>135</v>
      </c>
      <c r="CN262" s="13" t="n">
        <v>0.238</v>
      </c>
      <c r="CO262" s="13" t="n">
        <v>140</v>
      </c>
      <c r="CP262" s="13" t="n">
        <v>132</v>
      </c>
      <c r="CQ262" s="13" t="n">
        <v>70</v>
      </c>
      <c r="CR262" s="13" t="n">
        <v>6</v>
      </c>
      <c r="CS262" s="13" t="n">
        <v>8.699999999999999</v>
      </c>
      <c r="CT262" s="11" t="inlineStr">
        <is>
          <t xml:space="preserve"> On-Piste All-Mountain</t>
        </is>
      </c>
      <c r="CU262" s="11" t="inlineStr">
        <is>
          <t xml:space="preserve"> Resort Freeride</t>
        </is>
      </c>
      <c r="CV262" s="11" t="inlineStr">
        <is>
          <t xml:space="preserve"> Touring</t>
        </is>
      </c>
      <c r="CW262" s="13" t="n"/>
      <c r="CX262">
        <f>INDEX('Data_Price '!AG$2:AG$1266,MATCH(Data!$DN262,'Data_Price '!$AT$2:$AT$1266,0))</f>
        <v/>
      </c>
      <c r="CY262">
        <f>INDEX('Data_Price '!AH$2:AH$1266,MATCH(Data!$DN262,'Data_Price '!$AT$2:$AT$1266,0))</f>
        <v/>
      </c>
      <c r="CZ262">
        <f>INDEX('Data_Price '!AI$2:AI$1266,MATCH(Data!$DN262,'Data_Price '!$AT$2:$AT$1266,0))</f>
        <v/>
      </c>
      <c r="DA262">
        <f>INDEX('Data_Price '!AJ$2:AJ$1266,MATCH(Data!$DN262,'Data_Price '!$AT$2:$AT$1266,0))</f>
        <v/>
      </c>
      <c r="DB262">
        <f>INDEX('Data_Price '!AK$2:AK$1266,MATCH(Data!$DN262,'Data_Price '!$AT$2:$AT$1266,0))</f>
        <v/>
      </c>
      <c r="DC262">
        <f>INDEX('Data_Price '!AL$2:AL$1266,MATCH(Data!$DN262,'Data_Price '!$AT$2:$AT$1266,0))</f>
        <v/>
      </c>
      <c r="DD262">
        <f>INDEX('Data_Price '!AM$2:AM$1266,MATCH(Data!$DN262,'Data_Price '!$AT$2:$AT$1266,0))</f>
        <v/>
      </c>
      <c r="DE262">
        <f>INDEX('Data_Price '!AN$2:AN$1266,MATCH(Data!$DN262,'Data_Price '!$AT$2:$AT$1266,0))</f>
        <v/>
      </c>
      <c r="DF262">
        <f>INDEX('Data_Price '!AO$2:AO$1266,MATCH(Data!$DN262,'Data_Price '!$AT$2:$AT$1266,0))</f>
        <v/>
      </c>
      <c r="DG262">
        <f>INDEX('Data_Price '!AP$2:AP$1266,MATCH(Data!$DN262,'Data_Price '!$AT$2:$AT$1266,0))</f>
        <v/>
      </c>
      <c r="DH262">
        <f>INDEX('Data_Price '!AQ$2:AQ$1266,MATCH(Data!$DN262,'Data_Price '!$AT$2:$AT$1266,0))</f>
        <v/>
      </c>
      <c r="DI262">
        <f>INDEX('Data_Price '!AR$2:AR$1266,MATCH(Data!$DN262,'Data_Price '!$AT$2:$AT$1266,0))</f>
        <v/>
      </c>
      <c r="DJ262" s="138">
        <f>DA262</f>
        <v/>
      </c>
      <c r="DK262" s="138">
        <f>DE262</f>
        <v/>
      </c>
      <c r="DL262" s="138">
        <f>DI262</f>
        <v/>
      </c>
      <c r="DM262" s="303">
        <f>IF(LEFT(BT262,1)=" ",RIGHT(BT262,LEN(BT262)-1),BT262)</f>
        <v/>
      </c>
      <c r="DN262" s="138">
        <f>_xlfn.CONCAT(BS262,DM262,BU262,BV262)</f>
        <v/>
      </c>
      <c r="DO262" s="307" t="n"/>
    </row>
    <row r="263" ht="15.6" customHeight="1" s="184">
      <c r="B263" s="303">
        <f t="array" ref="B263">IF(OR(ISERROR(K263:P263)),FALSE,TRUE)</f>
        <v/>
      </c>
      <c r="C263" s="60">
        <f>OR(BR263=Driver!$G$50,Data!BR546=Driver!$H$50)</f>
        <v/>
      </c>
      <c r="D263" s="60">
        <f>OR(BV263=Driver!$G$51,BV263=Driver!$H$51)</f>
        <v/>
      </c>
      <c r="E263" s="60">
        <f>AND(BX263&gt;Driver!$F$54,BX263&lt;Driver!$G$54)</f>
        <v/>
      </c>
      <c r="F263" s="60">
        <f>CL263&gt;Driver!$F$56</f>
        <v/>
      </c>
      <c r="G263" s="60">
        <f>AND(CB263&gt;Driver!$F$55,CB263&lt;Driver!$G$55)</f>
        <v/>
      </c>
      <c r="H263" s="60">
        <f>AND(B263:G263)</f>
        <v/>
      </c>
      <c r="I263" s="60">
        <f>COUNTIFS($H$9:$H$1273,TRUE,$BT$9:$BT$1273,BT263)</f>
        <v/>
      </c>
      <c r="J263" s="60">
        <f t="array" ref="J263">NOT(OR(($H$9:$H$1273=TRUE)*($I$9:$I$1273&gt;0)*($BT$9:$BT$1273=BT263)*($K$9:$K$1273&gt;K263)))</f>
        <v/>
      </c>
      <c r="K263" s="108">
        <f>IFERROR(1-AVERAGE(X263:Y263),"")</f>
        <v/>
      </c>
      <c r="L263" s="108">
        <f>1-X263</f>
        <v/>
      </c>
      <c r="M263" s="108">
        <f>1-Y263</f>
        <v/>
      </c>
      <c r="N263" s="108">
        <f>1-Z263</f>
        <v/>
      </c>
      <c r="O263" s="108">
        <f>1-AA263</f>
        <v/>
      </c>
      <c r="P263" s="108">
        <f>1-AB263</f>
        <v/>
      </c>
      <c r="Q263" s="108" t="n"/>
      <c r="R263" s="108" t="n"/>
      <c r="S263" s="108">
        <f>1-AE263</f>
        <v/>
      </c>
      <c r="T263" s="108">
        <f>1-AF263</f>
        <v/>
      </c>
      <c r="U263" s="108">
        <f>1-AG263</f>
        <v/>
      </c>
      <c r="V263" s="108">
        <f>1-AH263</f>
        <v/>
      </c>
      <c r="W263" s="108">
        <f>1-AI263</f>
        <v/>
      </c>
      <c r="X263" s="108">
        <f>ABS(AJ263-AJ$1)</f>
        <v/>
      </c>
      <c r="Y263" s="108">
        <f>AVERAGE(Z263:AB263)</f>
        <v/>
      </c>
      <c r="Z263" s="108">
        <f>ABS(AL263-AL$1)</f>
        <v/>
      </c>
      <c r="AA263" s="108">
        <f>ABS(AM263-AM$1)</f>
        <v/>
      </c>
      <c r="AB263" s="108">
        <f>ABS(AN263-AN$1)</f>
        <v/>
      </c>
      <c r="AC263" s="108" t="n"/>
      <c r="AD263" s="108" t="n"/>
      <c r="AE263" s="108">
        <f>ABS(AQ$1-AQ263)</f>
        <v/>
      </c>
      <c r="AF263" s="108">
        <f>ABS(AR$1-AR263)</f>
        <v/>
      </c>
      <c r="AG263" s="108">
        <f>ABS(AS$1-AS263)</f>
        <v/>
      </c>
      <c r="AH263" s="108">
        <f>ABS(AT$1-AT263)</f>
        <v/>
      </c>
      <c r="AI263" s="108">
        <f>ABS(AU$1-AU263)</f>
        <v/>
      </c>
      <c r="AJ263" s="108">
        <f>(AV263-Driver!$K$179)/(Driver!$L$179-Driver!$K$179)</f>
        <v/>
      </c>
      <c r="AK263" s="108">
        <f>(AW263-Driver!$K$180)/(Driver!$L$180-Driver!$K$180)</f>
        <v/>
      </c>
      <c r="AL263" s="108">
        <f>(AX263-Driver!$K$181)/(Driver!$L$181-Driver!$K$181)</f>
        <v/>
      </c>
      <c r="AM263" s="108">
        <f>(AY263-Driver!$K$182)/(Driver!$L$182-Driver!$K$182)</f>
        <v/>
      </c>
      <c r="AN263" s="108">
        <f>(AZ263-Driver!$K$183)/(Driver!$L$183-Driver!$K$183)</f>
        <v/>
      </c>
      <c r="AO263" s="108" t="n"/>
      <c r="AP263" s="108" t="n"/>
      <c r="AQ263" s="108">
        <f>(BC263-Driver!$K$188)/(Driver!$L$188-Driver!$K$188)</f>
        <v/>
      </c>
      <c r="AR263" s="108">
        <f>MIN((BD263-Driver!$K$189)/(Driver!$L$189-Driver!$K$189),100%)</f>
        <v/>
      </c>
      <c r="AS263" s="108">
        <f>(BE263-Driver!$K$190)/(Driver!$L$190-Driver!$K$190)</f>
        <v/>
      </c>
      <c r="AT263" s="108">
        <f>(BF263-Driver!$K$191)/(Driver!$L$191-Driver!$K$191)</f>
        <v/>
      </c>
      <c r="AU263" s="108">
        <f>(BG263-Driver!$K$192)/(Driver!$L$192-Driver!$K$192)</f>
        <v/>
      </c>
      <c r="AV263" s="105">
        <f>IFERROR(BM263*BJ263^1/4,"")</f>
        <v/>
      </c>
      <c r="AW263" s="105">
        <f>IFERROR(SUM(AX263:AZ263),"")</f>
        <v/>
      </c>
      <c r="AX263" s="105">
        <f>IFERROR(BH263,"")</f>
        <v/>
      </c>
      <c r="AY263" s="105">
        <f>IFERROR(Driver!$K$19/Data!BH263/Data!BI263*Data!BK263*Data!BL263,"")</f>
        <v/>
      </c>
      <c r="AZ263" s="105">
        <f>IFERROR(BI263*BN263,"")</f>
        <v/>
      </c>
      <c r="BA263" s="105" t="n"/>
      <c r="BB263" s="105" t="n"/>
      <c r="BC263" s="105">
        <f>IFERROR(BI263*BN263*BK263/BJ263^(1/2),"")</f>
        <v/>
      </c>
      <c r="BD263" s="105">
        <f>IFERROR(BH263*BM263*BL263/BJ263/BK263,"")</f>
        <v/>
      </c>
      <c r="BE263" s="105">
        <f>IFERROR(MIN(BI263/BQ263/BP263/BO263/BH263,$BE$1),"")</f>
        <v/>
      </c>
      <c r="BF263" s="105">
        <f>IFERROR(BJ263*BO263*BP263/BK263,"")</f>
        <v/>
      </c>
      <c r="BG263" s="105">
        <f>IFERROR(1/BM263/BH263*BQ263,"")</f>
        <v/>
      </c>
      <c r="BH263" s="102">
        <f>MAX((CE263-Driver!$F$200)/(Driver!$G$200-Driver!$F$200)*$BI$1,1)</f>
        <v/>
      </c>
      <c r="BI263" s="102">
        <f>MAX($BI$1*(BY263-Driver!$F$201)/(Driver!$G$201-Driver!$F$201),1)</f>
        <v/>
      </c>
      <c r="BJ263" s="102">
        <f>(CB263-Driver!$F$206)/(Driver!$G$206-Driver!$F$206)*$BI$1</f>
        <v/>
      </c>
      <c r="BK263" s="102">
        <f>(CD263-Driver!$F$203)/(Driver!$G$203-Driver!$F$203)*$BI$1</f>
        <v/>
      </c>
      <c r="BL263" s="102">
        <f>MAX((CR263-Driver!$F$202)/(Driver!$G$202-Driver!$F$202)*$BI$1,1)</f>
        <v/>
      </c>
      <c r="BM263" s="102">
        <f>MAX((CH263-Driver!$F$204)/(Driver!$G$204-Driver!$F$204)*$BI$1,1)</f>
        <v/>
      </c>
      <c r="BN263" s="102">
        <f>(CI263-Driver!$F$205)/(Driver!$G$205-Driver!$F$205)*$BI$1</f>
        <v/>
      </c>
      <c r="BO263" s="102">
        <f>(CK263-Driver!$F$207)/(Driver!$G$207-Driver!$F$207)*$BI$1</f>
        <v/>
      </c>
      <c r="BP263" s="102">
        <f>(CM263-Driver!$F$208)/(Driver!$G$208-Driver!$F$208)*$BI$1</f>
        <v/>
      </c>
      <c r="BQ263" s="102">
        <f>(CL263-Driver!$F$209)/(Driver!$G$209-Driver!$F$209)*$BI$1</f>
        <v/>
      </c>
      <c r="BR263" s="40" t="inlineStr">
        <is>
          <t>21/22</t>
        </is>
      </c>
      <c r="BS263" s="10" t="inlineStr">
        <is>
          <t xml:space="preserve"> Ferreol</t>
        </is>
      </c>
      <c r="BT263" s="11" t="inlineStr">
        <is>
          <t>Pionnier 104</t>
        </is>
      </c>
      <c r="BU263" s="13" t="n">
        <v>164</v>
      </c>
      <c r="BV263" s="11" t="inlineStr">
        <is>
          <t xml:space="preserve"> Unisex</t>
        </is>
      </c>
      <c r="BW263" s="13" t="n">
        <v>164</v>
      </c>
      <c r="BX263" s="13" t="n">
        <v>164.8</v>
      </c>
      <c r="BY263" s="13" t="n">
        <v>110</v>
      </c>
      <c r="BZ263" s="13" t="n">
        <v>131</v>
      </c>
      <c r="CA263" s="13" t="n">
        <v>132</v>
      </c>
      <c r="CB263" s="13" t="n">
        <v>103</v>
      </c>
      <c r="CC263" s="13" t="n">
        <v>124</v>
      </c>
      <c r="CD263" s="13" t="n">
        <v>14.2</v>
      </c>
      <c r="CE263" s="13" t="n">
        <v>1634</v>
      </c>
      <c r="CF263" s="13" t="n">
        <v>1.15</v>
      </c>
      <c r="CG263" s="13" t="n">
        <v>1876</v>
      </c>
      <c r="CH263" s="13" t="n">
        <v>194</v>
      </c>
      <c r="CI263" s="13" t="n">
        <v>73</v>
      </c>
      <c r="CJ263" s="13" t="n">
        <v>46</v>
      </c>
      <c r="CK263" s="13" t="n">
        <v>324</v>
      </c>
      <c r="CL263" s="13" t="n">
        <v>27</v>
      </c>
      <c r="CM263" s="13" t="n">
        <v>222</v>
      </c>
      <c r="CN263" s="13" t="n">
        <v>0.585</v>
      </c>
      <c r="CO263" s="13" t="n">
        <v>227</v>
      </c>
      <c r="CP263" s="13" t="n">
        <v>107</v>
      </c>
      <c r="CQ263" s="13" t="n">
        <v>97</v>
      </c>
      <c r="CR263" s="13" t="n">
        <v>10</v>
      </c>
      <c r="CS263" s="13" t="n">
        <v>7.9</v>
      </c>
      <c r="CT263" s="11" t="inlineStr">
        <is>
          <t xml:space="preserve"> Resort Freeride</t>
        </is>
      </c>
      <c r="CU263" s="11" t="inlineStr">
        <is>
          <t xml:space="preserve"> Powder</t>
        </is>
      </c>
      <c r="CV263" s="11" t="inlineStr">
        <is>
          <t xml:space="preserve"> Touring</t>
        </is>
      </c>
      <c r="CW263" s="13" t="n"/>
      <c r="CX263">
        <f>INDEX('Data_Price '!AG$2:AG$1266,MATCH(Data!$DN263,'Data_Price '!$AT$2:$AT$1266,0))</f>
        <v/>
      </c>
      <c r="CY263">
        <f>INDEX('Data_Price '!AH$2:AH$1266,MATCH(Data!$DN263,'Data_Price '!$AT$2:$AT$1266,0))</f>
        <v/>
      </c>
      <c r="CZ263">
        <f>INDEX('Data_Price '!AI$2:AI$1266,MATCH(Data!$DN263,'Data_Price '!$AT$2:$AT$1266,0))</f>
        <v/>
      </c>
      <c r="DA263">
        <f>INDEX('Data_Price '!AJ$2:AJ$1266,MATCH(Data!$DN263,'Data_Price '!$AT$2:$AT$1266,0))</f>
        <v/>
      </c>
      <c r="DB263">
        <f>INDEX('Data_Price '!AK$2:AK$1266,MATCH(Data!$DN263,'Data_Price '!$AT$2:$AT$1266,0))</f>
        <v/>
      </c>
      <c r="DC263">
        <f>INDEX('Data_Price '!AL$2:AL$1266,MATCH(Data!$DN263,'Data_Price '!$AT$2:$AT$1266,0))</f>
        <v/>
      </c>
      <c r="DD263">
        <f>INDEX('Data_Price '!AM$2:AM$1266,MATCH(Data!$DN263,'Data_Price '!$AT$2:$AT$1266,0))</f>
        <v/>
      </c>
      <c r="DE263">
        <f>INDEX('Data_Price '!AN$2:AN$1266,MATCH(Data!$DN263,'Data_Price '!$AT$2:$AT$1266,0))</f>
        <v/>
      </c>
      <c r="DF263">
        <f>INDEX('Data_Price '!AO$2:AO$1266,MATCH(Data!$DN263,'Data_Price '!$AT$2:$AT$1266,0))</f>
        <v/>
      </c>
      <c r="DG263">
        <f>INDEX('Data_Price '!AP$2:AP$1266,MATCH(Data!$DN263,'Data_Price '!$AT$2:$AT$1266,0))</f>
        <v/>
      </c>
      <c r="DH263">
        <f>INDEX('Data_Price '!AQ$2:AQ$1266,MATCH(Data!$DN263,'Data_Price '!$AT$2:$AT$1266,0))</f>
        <v/>
      </c>
      <c r="DI263">
        <f>INDEX('Data_Price '!AR$2:AR$1266,MATCH(Data!$DN263,'Data_Price '!$AT$2:$AT$1266,0))</f>
        <v/>
      </c>
      <c r="DJ263" s="138">
        <f>DA263</f>
        <v/>
      </c>
      <c r="DK263" s="138">
        <f>DE263</f>
        <v/>
      </c>
      <c r="DL263" s="138">
        <f>DI263</f>
        <v/>
      </c>
      <c r="DM263" s="303">
        <f>IF(LEFT(BT263,1)=" ",RIGHT(BT263,LEN(BT263)-1),BT263)</f>
        <v/>
      </c>
      <c r="DN263" s="138">
        <f>_xlfn.CONCAT(BS263,DM263,BU263,BV263)</f>
        <v/>
      </c>
      <c r="DO263" s="307" t="n"/>
    </row>
    <row r="264" ht="15.6" customHeight="1" s="184">
      <c r="B264" s="303">
        <f t="array" ref="B264">IF(OR(ISERROR(K264:P264)),FALSE,TRUE)</f>
        <v/>
      </c>
      <c r="C264" s="60">
        <f>OR(BR264=Driver!$G$50,Data!BR865=Driver!$H$50)</f>
        <v/>
      </c>
      <c r="D264" s="60">
        <f>OR(BV264=Driver!$G$51,BV264=Driver!$H$51)</f>
        <v/>
      </c>
      <c r="E264" s="60">
        <f>AND(BX264&gt;Driver!$F$54,BX264&lt;Driver!$G$54)</f>
        <v/>
      </c>
      <c r="F264" s="60">
        <f>CL264&gt;Driver!$F$56</f>
        <v/>
      </c>
      <c r="G264" s="60">
        <f>AND(CB264&gt;Driver!$F$55,CB264&lt;Driver!$G$55)</f>
        <v/>
      </c>
      <c r="H264" s="60">
        <f>AND(B264:G264)</f>
        <v/>
      </c>
      <c r="I264" s="60">
        <f>COUNTIFS($H$9:$H$1273,TRUE,$BT$9:$BT$1273,BT264)</f>
        <v/>
      </c>
      <c r="J264" s="60">
        <f t="array" ref="J264">NOT(OR(($H$9:$H$1273=TRUE)*($I$9:$I$1273&gt;0)*($BT$9:$BT$1273=BT264)*($K$9:$K$1273&gt;K264)))</f>
        <v/>
      </c>
      <c r="K264" s="108">
        <f>IFERROR(1-AVERAGE(X264:Y264),"")</f>
        <v/>
      </c>
      <c r="L264" s="108">
        <f>1-X264</f>
        <v/>
      </c>
      <c r="M264" s="108">
        <f>1-Y264</f>
        <v/>
      </c>
      <c r="N264" s="108">
        <f>1-Z264</f>
        <v/>
      </c>
      <c r="O264" s="108">
        <f>1-AA264</f>
        <v/>
      </c>
      <c r="P264" s="108">
        <f>1-AB264</f>
        <v/>
      </c>
      <c r="Q264" s="108" t="n"/>
      <c r="R264" s="108" t="n"/>
      <c r="S264" s="108">
        <f>1-AE264</f>
        <v/>
      </c>
      <c r="T264" s="108">
        <f>1-AF264</f>
        <v/>
      </c>
      <c r="U264" s="108">
        <f>1-AG264</f>
        <v/>
      </c>
      <c r="V264" s="108">
        <f>1-AH264</f>
        <v/>
      </c>
      <c r="W264" s="108">
        <f>1-AI264</f>
        <v/>
      </c>
      <c r="X264" s="108">
        <f>ABS(AJ264-AJ$1)</f>
        <v/>
      </c>
      <c r="Y264" s="108">
        <f>AVERAGE(Z264:AB264)</f>
        <v/>
      </c>
      <c r="Z264" s="108">
        <f>ABS(AL264-AL$1)</f>
        <v/>
      </c>
      <c r="AA264" s="108">
        <f>ABS(AM264-AM$1)</f>
        <v/>
      </c>
      <c r="AB264" s="108">
        <f>ABS(AN264-AN$1)</f>
        <v/>
      </c>
      <c r="AC264" s="108" t="n"/>
      <c r="AD264" s="108" t="n"/>
      <c r="AE264" s="108">
        <f>ABS(AQ$1-AQ264)</f>
        <v/>
      </c>
      <c r="AF264" s="108">
        <f>ABS(AR$1-AR264)</f>
        <v/>
      </c>
      <c r="AG264" s="108">
        <f>ABS(AS$1-AS264)</f>
        <v/>
      </c>
      <c r="AH264" s="108">
        <f>ABS(AT$1-AT264)</f>
        <v/>
      </c>
      <c r="AI264" s="108">
        <f>ABS(AU$1-AU264)</f>
        <v/>
      </c>
      <c r="AJ264" s="108">
        <f>(AV264-Driver!$K$179)/(Driver!$L$179-Driver!$K$179)</f>
        <v/>
      </c>
      <c r="AK264" s="108">
        <f>(AW264-Driver!$K$180)/(Driver!$L$180-Driver!$K$180)</f>
        <v/>
      </c>
      <c r="AL264" s="108">
        <f>(AX264-Driver!$K$181)/(Driver!$L$181-Driver!$K$181)</f>
        <v/>
      </c>
      <c r="AM264" s="108">
        <f>(AY264-Driver!$K$182)/(Driver!$L$182-Driver!$K$182)</f>
        <v/>
      </c>
      <c r="AN264" s="108">
        <f>(AZ264-Driver!$K$183)/(Driver!$L$183-Driver!$K$183)</f>
        <v/>
      </c>
      <c r="AO264" s="108" t="n"/>
      <c r="AP264" s="108" t="n"/>
      <c r="AQ264" s="108">
        <f>(BC264-Driver!$K$188)/(Driver!$L$188-Driver!$K$188)</f>
        <v/>
      </c>
      <c r="AR264" s="108">
        <f>MIN((BD264-Driver!$K$189)/(Driver!$L$189-Driver!$K$189),100%)</f>
        <v/>
      </c>
      <c r="AS264" s="108">
        <f>(BE264-Driver!$K$190)/(Driver!$L$190-Driver!$K$190)</f>
        <v/>
      </c>
      <c r="AT264" s="108">
        <f>(BF264-Driver!$K$191)/(Driver!$L$191-Driver!$K$191)</f>
        <v/>
      </c>
      <c r="AU264" s="108">
        <f>(BG264-Driver!$K$192)/(Driver!$L$192-Driver!$K$192)</f>
        <v/>
      </c>
      <c r="AV264" s="105">
        <f>IFERROR(BM264*BJ264^1/4,"")</f>
        <v/>
      </c>
      <c r="AW264" s="105">
        <f>IFERROR(SUM(AX264:AZ264),"")</f>
        <v/>
      </c>
      <c r="AX264" s="105">
        <f>IFERROR(BH264,"")</f>
        <v/>
      </c>
      <c r="AY264" s="105">
        <f>IFERROR(Driver!$K$19/Data!BH264/Data!BI264*Data!BK264*Data!BL264,"")</f>
        <v/>
      </c>
      <c r="AZ264" s="105">
        <f>IFERROR(BI264*BN264,"")</f>
        <v/>
      </c>
      <c r="BA264" s="105" t="n"/>
      <c r="BB264" s="105" t="n"/>
      <c r="BC264" s="105">
        <f>IFERROR(BI264*BN264*BK264/BJ264^(1/2),"")</f>
        <v/>
      </c>
      <c r="BD264" s="105">
        <f>IFERROR(BH264*BM264*BL264/BJ264/BK264,"")</f>
        <v/>
      </c>
      <c r="BE264" s="105">
        <f>IFERROR(MIN(BI264/BQ264/BP264/BO264/BH264,$BE$1),"")</f>
        <v/>
      </c>
      <c r="BF264" s="105">
        <f>IFERROR(BJ264*BO264*BP264/BK264,"")</f>
        <v/>
      </c>
      <c r="BG264" s="105">
        <f>IFERROR(1/BM264/BH264*BQ264,"")</f>
        <v/>
      </c>
      <c r="BH264" s="102">
        <f>MAX((CE264-Driver!$F$200)/(Driver!$G$200-Driver!$F$200)*$BI$1,1)</f>
        <v/>
      </c>
      <c r="BI264" s="102">
        <f>MAX($BI$1*(BY264-Driver!$F$201)/(Driver!$G$201-Driver!$F$201),1)</f>
        <v/>
      </c>
      <c r="BJ264" s="102">
        <f>(CB264-Driver!$F$206)/(Driver!$G$206-Driver!$F$206)*$BI$1</f>
        <v/>
      </c>
      <c r="BK264" s="102">
        <f>(CD264-Driver!$F$203)/(Driver!$G$203-Driver!$F$203)*$BI$1</f>
        <v/>
      </c>
      <c r="BL264" s="102">
        <f>MAX((CR264-Driver!$F$202)/(Driver!$G$202-Driver!$F$202)*$BI$1,1)</f>
        <v/>
      </c>
      <c r="BM264" s="102">
        <f>MAX((CH264-Driver!$F$204)/(Driver!$G$204-Driver!$F$204)*$BI$1,1)</f>
        <v/>
      </c>
      <c r="BN264" s="102">
        <f>(CI264-Driver!$F$205)/(Driver!$G$205-Driver!$F$205)*$BI$1</f>
        <v/>
      </c>
      <c r="BO264" s="102">
        <f>(CK264-Driver!$F$207)/(Driver!$G$207-Driver!$F$207)*$BI$1</f>
        <v/>
      </c>
      <c r="BP264" s="102">
        <f>(CM264-Driver!$F$208)/(Driver!$G$208-Driver!$F$208)*$BI$1</f>
        <v/>
      </c>
      <c r="BQ264" s="102">
        <f>(CL264-Driver!$F$209)/(Driver!$G$209-Driver!$F$209)*$BI$1</f>
        <v/>
      </c>
      <c r="BR264" s="40" t="inlineStr">
        <is>
          <t>21/22</t>
        </is>
      </c>
      <c r="BS264" s="10" t="inlineStr">
        <is>
          <t xml:space="preserve"> Line</t>
        </is>
      </c>
      <c r="BT264" s="11" t="inlineStr">
        <is>
          <t>Sick Day 94</t>
        </is>
      </c>
      <c r="BU264" s="13" t="n">
        <v>172</v>
      </c>
      <c r="BV264" s="11" t="inlineStr">
        <is>
          <t xml:space="preserve"> Unisex</t>
        </is>
      </c>
      <c r="BW264" s="13" t="n">
        <v>172</v>
      </c>
      <c r="BX264" s="13" t="n">
        <v>172.2</v>
      </c>
      <c r="BY264" s="13" t="n">
        <v>129</v>
      </c>
      <c r="BZ264" s="13" t="n">
        <v>144</v>
      </c>
      <c r="CA264" s="13" t="n">
        <v>131</v>
      </c>
      <c r="CB264" s="13" t="n">
        <v>93</v>
      </c>
      <c r="CC264" s="13" t="n">
        <v>116</v>
      </c>
      <c r="CD264" s="13" t="n">
        <v>16.4</v>
      </c>
      <c r="CE264" s="13" t="n">
        <v>1500</v>
      </c>
      <c r="CF264" s="13" t="n">
        <v>1.21</v>
      </c>
      <c r="CG264" s="13" t="n">
        <v>1811</v>
      </c>
      <c r="CH264" s="13" t="n">
        <v>146</v>
      </c>
      <c r="CI264" s="13" t="n">
        <v>77</v>
      </c>
      <c r="CJ264" s="13" t="n">
        <v>48</v>
      </c>
      <c r="CK264" s="13" t="n">
        <v>277</v>
      </c>
      <c r="CL264" s="13" t="n">
        <v>19</v>
      </c>
      <c r="CM264" s="13" t="n">
        <v>155</v>
      </c>
      <c r="CN264" s="13" t="n">
        <v>0.394</v>
      </c>
      <c r="CO264" s="13" t="n">
        <v>153</v>
      </c>
      <c r="CP264" s="13" t="n">
        <v>126</v>
      </c>
      <c r="CQ264" s="13" t="n">
        <v>124</v>
      </c>
      <c r="CR264" s="13" t="n">
        <v>7</v>
      </c>
      <c r="CS264" s="13" t="n">
        <v>9.199999999999999</v>
      </c>
      <c r="CT264" s="11" t="inlineStr">
        <is>
          <t xml:space="preserve"> Resort Freeride</t>
        </is>
      </c>
      <c r="CU264" s="11" t="inlineStr">
        <is>
          <t xml:space="preserve"> Touring</t>
        </is>
      </c>
      <c r="CV264" s="13" t="n"/>
      <c r="CW264" s="13" t="n"/>
      <c r="CX264">
        <f>INDEX('Data_Price '!AG$2:AG$1266,MATCH(Data!$DN264,'Data_Price '!$AT$2:$AT$1266,0))</f>
        <v/>
      </c>
      <c r="CY264">
        <f>INDEX('Data_Price '!AH$2:AH$1266,MATCH(Data!$DN264,'Data_Price '!$AT$2:$AT$1266,0))</f>
        <v/>
      </c>
      <c r="CZ264">
        <f>INDEX('Data_Price '!AI$2:AI$1266,MATCH(Data!$DN264,'Data_Price '!$AT$2:$AT$1266,0))</f>
        <v/>
      </c>
      <c r="DA264">
        <f>INDEX('Data_Price '!AJ$2:AJ$1266,MATCH(Data!$DN264,'Data_Price '!$AT$2:$AT$1266,0))</f>
        <v/>
      </c>
      <c r="DB264">
        <f>INDEX('Data_Price '!AK$2:AK$1266,MATCH(Data!$DN264,'Data_Price '!$AT$2:$AT$1266,0))</f>
        <v/>
      </c>
      <c r="DC264">
        <f>INDEX('Data_Price '!AL$2:AL$1266,MATCH(Data!$DN264,'Data_Price '!$AT$2:$AT$1266,0))</f>
        <v/>
      </c>
      <c r="DD264">
        <f>INDEX('Data_Price '!AM$2:AM$1266,MATCH(Data!$DN264,'Data_Price '!$AT$2:$AT$1266,0))</f>
        <v/>
      </c>
      <c r="DE264">
        <f>INDEX('Data_Price '!AN$2:AN$1266,MATCH(Data!$DN264,'Data_Price '!$AT$2:$AT$1266,0))</f>
        <v/>
      </c>
      <c r="DF264">
        <f>INDEX('Data_Price '!AO$2:AO$1266,MATCH(Data!$DN264,'Data_Price '!$AT$2:$AT$1266,0))</f>
        <v/>
      </c>
      <c r="DG264">
        <f>INDEX('Data_Price '!AP$2:AP$1266,MATCH(Data!$DN264,'Data_Price '!$AT$2:$AT$1266,0))</f>
        <v/>
      </c>
      <c r="DH264">
        <f>INDEX('Data_Price '!AQ$2:AQ$1266,MATCH(Data!$DN264,'Data_Price '!$AT$2:$AT$1266,0))</f>
        <v/>
      </c>
      <c r="DI264">
        <f>INDEX('Data_Price '!AR$2:AR$1266,MATCH(Data!$DN264,'Data_Price '!$AT$2:$AT$1266,0))</f>
        <v/>
      </c>
      <c r="DJ264" s="138">
        <f>DA264</f>
        <v/>
      </c>
      <c r="DK264" s="138">
        <f>DE264</f>
        <v/>
      </c>
      <c r="DL264" s="138">
        <f>DI264</f>
        <v/>
      </c>
      <c r="DM264" s="303">
        <f>IF(LEFT(BT264,1)=" ",RIGHT(BT264,LEN(BT264)-1),BT264)</f>
        <v/>
      </c>
      <c r="DN264" s="138">
        <f>_xlfn.CONCAT(BS264,DM264,BU264,BV264)</f>
        <v/>
      </c>
      <c r="DO264" s="307" t="inlineStr">
        <is>
          <t>https://images.evo.com/imgp/250/198437/817697/line-skis-sick-day-94-skis-2022-.jpg</t>
        </is>
      </c>
    </row>
    <row r="265" ht="15.6" customHeight="1" s="184">
      <c r="B265" s="303">
        <f t="array" ref="B265">IF(OR(ISERROR(K265:P265)),FALSE,TRUE)</f>
        <v/>
      </c>
      <c r="C265" s="60">
        <f>OR(BR265=Driver!$G$50,Data!BR982=Driver!$H$50)</f>
        <v/>
      </c>
      <c r="D265" s="60">
        <f>OR(BV265=Driver!$G$51,BV265=Driver!$H$51)</f>
        <v/>
      </c>
      <c r="E265" s="60">
        <f>AND(BX265&gt;Driver!$F$54,BX265&lt;Driver!$G$54)</f>
        <v/>
      </c>
      <c r="F265" s="60">
        <f>CL265&gt;Driver!$F$56</f>
        <v/>
      </c>
      <c r="G265" s="60">
        <f>AND(CB265&gt;Driver!$F$55,CB265&lt;Driver!$G$55)</f>
        <v/>
      </c>
      <c r="H265" s="60">
        <f>AND(B265:G265)</f>
        <v/>
      </c>
      <c r="I265" s="60">
        <f>COUNTIFS($H$9:$H$1273,TRUE,$BT$9:$BT$1273,BT265)</f>
        <v/>
      </c>
      <c r="J265" s="60">
        <f t="array" ref="J265">NOT(OR(($H$9:$H$1273=TRUE)*($I$9:$I$1273&gt;0)*($BT$9:$BT$1273=BT265)*($K$9:$K$1273&gt;K265)))</f>
        <v/>
      </c>
      <c r="K265" s="108">
        <f>IFERROR(1-AVERAGE(X265:Y265),"")</f>
        <v/>
      </c>
      <c r="L265" s="108">
        <f>1-X265</f>
        <v/>
      </c>
      <c r="M265" s="108">
        <f>1-Y265</f>
        <v/>
      </c>
      <c r="N265" s="108">
        <f>1-Z265</f>
        <v/>
      </c>
      <c r="O265" s="108">
        <f>1-AA265</f>
        <v/>
      </c>
      <c r="P265" s="108">
        <f>1-AB265</f>
        <v/>
      </c>
      <c r="Q265" s="108" t="n"/>
      <c r="R265" s="108" t="n"/>
      <c r="S265" s="108">
        <f>1-AE265</f>
        <v/>
      </c>
      <c r="T265" s="108">
        <f>1-AF265</f>
        <v/>
      </c>
      <c r="U265" s="108">
        <f>1-AG265</f>
        <v/>
      </c>
      <c r="V265" s="108">
        <f>1-AH265</f>
        <v/>
      </c>
      <c r="W265" s="108">
        <f>1-AI265</f>
        <v/>
      </c>
      <c r="X265" s="108">
        <f>ABS(AJ265-AJ$1)</f>
        <v/>
      </c>
      <c r="Y265" s="108">
        <f>AVERAGE(Z265:AB265)</f>
        <v/>
      </c>
      <c r="Z265" s="108">
        <f>ABS(AL265-AL$1)</f>
        <v/>
      </c>
      <c r="AA265" s="108">
        <f>ABS(AM265-AM$1)</f>
        <v/>
      </c>
      <c r="AB265" s="108">
        <f>ABS(AN265-AN$1)</f>
        <v/>
      </c>
      <c r="AC265" s="108" t="n"/>
      <c r="AD265" s="108" t="n"/>
      <c r="AE265" s="108">
        <f>ABS(AQ$1-AQ265)</f>
        <v/>
      </c>
      <c r="AF265" s="108">
        <f>ABS(AR$1-AR265)</f>
        <v/>
      </c>
      <c r="AG265" s="108">
        <f>ABS(AS$1-AS265)</f>
        <v/>
      </c>
      <c r="AH265" s="108">
        <f>ABS(AT$1-AT265)</f>
        <v/>
      </c>
      <c r="AI265" s="108">
        <f>ABS(AU$1-AU265)</f>
        <v/>
      </c>
      <c r="AJ265" s="108">
        <f>(AV265-Driver!$K$179)/(Driver!$L$179-Driver!$K$179)</f>
        <v/>
      </c>
      <c r="AK265" s="108">
        <f>(AW265-Driver!$K$180)/(Driver!$L$180-Driver!$K$180)</f>
        <v/>
      </c>
      <c r="AL265" s="108">
        <f>(AX265-Driver!$K$181)/(Driver!$L$181-Driver!$K$181)</f>
        <v/>
      </c>
      <c r="AM265" s="108">
        <f>(AY265-Driver!$K$182)/(Driver!$L$182-Driver!$K$182)</f>
        <v/>
      </c>
      <c r="AN265" s="108">
        <f>(AZ265-Driver!$K$183)/(Driver!$L$183-Driver!$K$183)</f>
        <v/>
      </c>
      <c r="AO265" s="108" t="n"/>
      <c r="AP265" s="108" t="n"/>
      <c r="AQ265" s="108">
        <f>(BC265-Driver!$K$188)/(Driver!$L$188-Driver!$K$188)</f>
        <v/>
      </c>
      <c r="AR265" s="108">
        <f>MIN((BD265-Driver!$K$189)/(Driver!$L$189-Driver!$K$189),100%)</f>
        <v/>
      </c>
      <c r="AS265" s="108">
        <f>(BE265-Driver!$K$190)/(Driver!$L$190-Driver!$K$190)</f>
        <v/>
      </c>
      <c r="AT265" s="108">
        <f>(BF265-Driver!$K$191)/(Driver!$L$191-Driver!$K$191)</f>
        <v/>
      </c>
      <c r="AU265" s="108">
        <f>(BG265-Driver!$K$192)/(Driver!$L$192-Driver!$K$192)</f>
        <v/>
      </c>
      <c r="AV265" s="105">
        <f>IFERROR(BM265*BJ265^1/4,"")</f>
        <v/>
      </c>
      <c r="AW265" s="105">
        <f>IFERROR(SUM(AX265:AZ265),"")</f>
        <v/>
      </c>
      <c r="AX265" s="105">
        <f>IFERROR(BH265,"")</f>
        <v/>
      </c>
      <c r="AY265" s="105">
        <f>IFERROR(Driver!$K$19/Data!BH265/Data!BI265*Data!BK265*Data!BL265,"")</f>
        <v/>
      </c>
      <c r="AZ265" s="105">
        <f>IFERROR(BI265*BN265,"")</f>
        <v/>
      </c>
      <c r="BA265" s="105" t="n"/>
      <c r="BB265" s="105" t="n"/>
      <c r="BC265" s="105">
        <f>IFERROR(BI265*BN265*BK265/BJ265^(1/2),"")</f>
        <v/>
      </c>
      <c r="BD265" s="105">
        <f>IFERROR(BH265*BM265*BL265/BJ265/BK265,"")</f>
        <v/>
      </c>
      <c r="BE265" s="105">
        <f>IFERROR(MIN(BI265/BQ265/BP265/BO265/BH265,$BE$1),"")</f>
        <v/>
      </c>
      <c r="BF265" s="105">
        <f>IFERROR(BJ265*BO265*BP265/BK265,"")</f>
        <v/>
      </c>
      <c r="BG265" s="105">
        <f>IFERROR(1/BM265/BH265*BQ265,"")</f>
        <v/>
      </c>
      <c r="BH265" s="102">
        <f>MAX((CE265-Driver!$F$200)/(Driver!$G$200-Driver!$F$200)*$BI$1,1)</f>
        <v/>
      </c>
      <c r="BI265" s="102">
        <f>MAX($BI$1*(BY265-Driver!$F$201)/(Driver!$G$201-Driver!$F$201),1)</f>
        <v/>
      </c>
      <c r="BJ265" s="102">
        <f>(CB265-Driver!$F$206)/(Driver!$G$206-Driver!$F$206)*$BI$1</f>
        <v/>
      </c>
      <c r="BK265" s="102">
        <f>(CD265-Driver!$F$203)/(Driver!$G$203-Driver!$F$203)*$BI$1</f>
        <v/>
      </c>
      <c r="BL265" s="102">
        <f>MAX((CR265-Driver!$F$202)/(Driver!$G$202-Driver!$F$202)*$BI$1,1)</f>
        <v/>
      </c>
      <c r="BM265" s="102">
        <f>MAX((CH265-Driver!$F$204)/(Driver!$G$204-Driver!$F$204)*$BI$1,1)</f>
        <v/>
      </c>
      <c r="BN265" s="102">
        <f>(CI265-Driver!$F$205)/(Driver!$G$205-Driver!$F$205)*$BI$1</f>
        <v/>
      </c>
      <c r="BO265" s="102">
        <f>(CK265-Driver!$F$207)/(Driver!$G$207-Driver!$F$207)*$BI$1</f>
        <v/>
      </c>
      <c r="BP265" s="102">
        <f>(CM265-Driver!$F$208)/(Driver!$G$208-Driver!$F$208)*$BI$1</f>
        <v/>
      </c>
      <c r="BQ265" s="102">
        <f>(CL265-Driver!$F$209)/(Driver!$G$209-Driver!$F$209)*$BI$1</f>
        <v/>
      </c>
      <c r="BR265" s="40" t="inlineStr">
        <is>
          <t>21/22</t>
        </is>
      </c>
      <c r="BS265" s="10" t="inlineStr">
        <is>
          <t xml:space="preserve"> Rossignol</t>
        </is>
      </c>
      <c r="BT265" s="11" t="inlineStr">
        <is>
          <t xml:space="preserve"> Blackops Rallybird W</t>
        </is>
      </c>
      <c r="BU265" s="13" t="n">
        <v>154</v>
      </c>
      <c r="BV265" s="11" t="inlineStr">
        <is>
          <t xml:space="preserve"> Women's</t>
        </is>
      </c>
      <c r="BW265" s="13" t="n">
        <v>154</v>
      </c>
      <c r="BX265" s="13" t="n">
        <v>154.4</v>
      </c>
      <c r="BY265" s="13" t="n">
        <v>100</v>
      </c>
      <c r="BZ265" s="13" t="n">
        <v>129</v>
      </c>
      <c r="CA265" s="13" t="n">
        <v>136</v>
      </c>
      <c r="CB265" s="13" t="n">
        <v>99</v>
      </c>
      <c r="CC265" s="13" t="n">
        <v>127</v>
      </c>
      <c r="CD265" s="13" t="n">
        <v>11.1</v>
      </c>
      <c r="CE265" s="13" t="n">
        <v>1623</v>
      </c>
      <c r="CF265" s="13" t="n">
        <v>1.07</v>
      </c>
      <c r="CG265" s="13" t="n">
        <v>1736</v>
      </c>
      <c r="CH265" s="13" t="n">
        <v>205</v>
      </c>
      <c r="CI265" s="13" t="n">
        <v>81</v>
      </c>
      <c r="CJ265" s="13" t="n">
        <v>49</v>
      </c>
      <c r="CK265" s="13" t="n">
        <v>304</v>
      </c>
      <c r="CL265" s="13" t="n">
        <v>14</v>
      </c>
      <c r="CM265" s="13" t="n">
        <v>237</v>
      </c>
      <c r="CN265" s="13" t="n">
        <v>0.275</v>
      </c>
      <c r="CO265" s="13" t="n">
        <v>147</v>
      </c>
      <c r="CP265" s="13" t="n">
        <v>106</v>
      </c>
      <c r="CQ265" s="13" t="n">
        <v>157</v>
      </c>
      <c r="CR265" s="13" t="n">
        <v>3</v>
      </c>
      <c r="CS265" s="13" t="n">
        <v>6</v>
      </c>
      <c r="CT265" s="11" t="inlineStr">
        <is>
          <t xml:space="preserve"> Resort Freeride</t>
        </is>
      </c>
      <c r="CU265" s="11" t="inlineStr">
        <is>
          <t xml:space="preserve"> Touring</t>
        </is>
      </c>
      <c r="CV265" s="13" t="n"/>
      <c r="CW265" s="13" t="n"/>
      <c r="CX265">
        <f>INDEX('Data_Price '!AG$2:AG$1266,MATCH(Data!$DN265,'Data_Price '!$AT$2:$AT$1266,0))</f>
        <v/>
      </c>
      <c r="CY265">
        <f>INDEX('Data_Price '!AH$2:AH$1266,MATCH(Data!$DN265,'Data_Price '!$AT$2:$AT$1266,0))</f>
        <v/>
      </c>
      <c r="CZ265">
        <f>INDEX('Data_Price '!AI$2:AI$1266,MATCH(Data!$DN265,'Data_Price '!$AT$2:$AT$1266,0))</f>
        <v/>
      </c>
      <c r="DA265">
        <f>INDEX('Data_Price '!AJ$2:AJ$1266,MATCH(Data!$DN265,'Data_Price '!$AT$2:$AT$1266,0))</f>
        <v/>
      </c>
      <c r="DB265">
        <f>INDEX('Data_Price '!AK$2:AK$1266,MATCH(Data!$DN265,'Data_Price '!$AT$2:$AT$1266,0))</f>
        <v/>
      </c>
      <c r="DC265">
        <f>INDEX('Data_Price '!AL$2:AL$1266,MATCH(Data!$DN265,'Data_Price '!$AT$2:$AT$1266,0))</f>
        <v/>
      </c>
      <c r="DD265">
        <f>INDEX('Data_Price '!AM$2:AM$1266,MATCH(Data!$DN265,'Data_Price '!$AT$2:$AT$1266,0))</f>
        <v/>
      </c>
      <c r="DE265">
        <f>INDEX('Data_Price '!AN$2:AN$1266,MATCH(Data!$DN265,'Data_Price '!$AT$2:$AT$1266,0))</f>
        <v/>
      </c>
      <c r="DF265">
        <f>INDEX('Data_Price '!AO$2:AO$1266,MATCH(Data!$DN265,'Data_Price '!$AT$2:$AT$1266,0))</f>
        <v/>
      </c>
      <c r="DG265">
        <f>INDEX('Data_Price '!AP$2:AP$1266,MATCH(Data!$DN265,'Data_Price '!$AT$2:$AT$1266,0))</f>
        <v/>
      </c>
      <c r="DH265">
        <f>INDEX('Data_Price '!AQ$2:AQ$1266,MATCH(Data!$DN265,'Data_Price '!$AT$2:$AT$1266,0))</f>
        <v/>
      </c>
      <c r="DI265">
        <f>INDEX('Data_Price '!AR$2:AR$1266,MATCH(Data!$DN265,'Data_Price '!$AT$2:$AT$1266,0))</f>
        <v/>
      </c>
      <c r="DJ265" s="138">
        <f>DA265</f>
        <v/>
      </c>
      <c r="DK265" s="138">
        <f>DE265</f>
        <v/>
      </c>
      <c r="DL265" s="138">
        <f>DI265</f>
        <v/>
      </c>
      <c r="DM265" s="303">
        <f>IF(LEFT(BT265,1)=" ",RIGHT(BT265,LEN(BT265)-1),BT265)</f>
        <v/>
      </c>
      <c r="DN265" s="138">
        <f>_xlfn.CONCAT(BS265,DM265,BU265,BV265)</f>
        <v/>
      </c>
      <c r="DO265" s="307" t="n"/>
    </row>
    <row r="266" ht="15.6" customHeight="1" s="184">
      <c r="B266" s="303">
        <f t="array" ref="B266">IF(OR(ISERROR(K266:P266)),FALSE,TRUE)</f>
        <v/>
      </c>
      <c r="C266" s="60">
        <f>OR(BR266=Driver!$G$50,Data!BR1140=Driver!$H$50)</f>
        <v/>
      </c>
      <c r="D266" s="60">
        <f>OR(BV266=Driver!$G$51,BV266=Driver!$H$51)</f>
        <v/>
      </c>
      <c r="E266" s="60">
        <f>AND(BX266&gt;Driver!$F$54,BX266&lt;Driver!$G$54)</f>
        <v/>
      </c>
      <c r="F266" s="60">
        <f>CL266&gt;Driver!$F$56</f>
        <v/>
      </c>
      <c r="G266" s="60">
        <f>AND(CB266&gt;Driver!$F$55,CB266&lt;Driver!$G$55)</f>
        <v/>
      </c>
      <c r="H266" s="60">
        <f>AND(B266:G266)</f>
        <v/>
      </c>
      <c r="I266" s="60">
        <f>COUNTIFS($H$9:$H$1273,TRUE,$BT$9:$BT$1273,BT266)</f>
        <v/>
      </c>
      <c r="J266" s="60">
        <f t="array" ref="J266">NOT(OR(($H$9:$H$1273=TRUE)*($I$9:$I$1273&gt;0)*($BT$9:$BT$1273=BT266)*($K$9:$K$1273&gt;K266)))</f>
        <v/>
      </c>
      <c r="K266" s="108">
        <f>IFERROR(1-AVERAGE(X266:Y266),"")</f>
        <v/>
      </c>
      <c r="L266" s="108">
        <f>1-X266</f>
        <v/>
      </c>
      <c r="M266" s="108">
        <f>1-Y266</f>
        <v/>
      </c>
      <c r="N266" s="108">
        <f>1-Z266</f>
        <v/>
      </c>
      <c r="O266" s="108">
        <f>1-AA266</f>
        <v/>
      </c>
      <c r="P266" s="108">
        <f>1-AB266</f>
        <v/>
      </c>
      <c r="Q266" s="108" t="n"/>
      <c r="R266" s="108" t="n"/>
      <c r="S266" s="108">
        <f>1-AE266</f>
        <v/>
      </c>
      <c r="T266" s="108">
        <f>1-AF266</f>
        <v/>
      </c>
      <c r="U266" s="108">
        <f>1-AG266</f>
        <v/>
      </c>
      <c r="V266" s="108">
        <f>1-AH266</f>
        <v/>
      </c>
      <c r="W266" s="108">
        <f>1-AI266</f>
        <v/>
      </c>
      <c r="X266" s="108">
        <f>ABS(AJ266-AJ$1)</f>
        <v/>
      </c>
      <c r="Y266" s="108">
        <f>AVERAGE(Z266:AB266)</f>
        <v/>
      </c>
      <c r="Z266" s="108">
        <f>ABS(AL266-AL$1)</f>
        <v/>
      </c>
      <c r="AA266" s="108">
        <f>ABS(AM266-AM$1)</f>
        <v/>
      </c>
      <c r="AB266" s="108">
        <f>ABS(AN266-AN$1)</f>
        <v/>
      </c>
      <c r="AC266" s="108" t="n"/>
      <c r="AD266" s="108" t="n"/>
      <c r="AE266" s="108">
        <f>ABS(AQ$1-AQ266)</f>
        <v/>
      </c>
      <c r="AF266" s="108">
        <f>ABS(AR$1-AR266)</f>
        <v/>
      </c>
      <c r="AG266" s="108">
        <f>ABS(AS$1-AS266)</f>
        <v/>
      </c>
      <c r="AH266" s="108">
        <f>ABS(AT$1-AT266)</f>
        <v/>
      </c>
      <c r="AI266" s="108">
        <f>ABS(AU$1-AU266)</f>
        <v/>
      </c>
      <c r="AJ266" s="108">
        <f>(AV266-Driver!$K$179)/(Driver!$L$179-Driver!$K$179)</f>
        <v/>
      </c>
      <c r="AK266" s="108">
        <f>(AW266-Driver!$K$180)/(Driver!$L$180-Driver!$K$180)</f>
        <v/>
      </c>
      <c r="AL266" s="108">
        <f>(AX266-Driver!$K$181)/(Driver!$L$181-Driver!$K$181)</f>
        <v/>
      </c>
      <c r="AM266" s="108">
        <f>(AY266-Driver!$K$182)/(Driver!$L$182-Driver!$K$182)</f>
        <v/>
      </c>
      <c r="AN266" s="108">
        <f>(AZ266-Driver!$K$183)/(Driver!$L$183-Driver!$K$183)</f>
        <v/>
      </c>
      <c r="AO266" s="108" t="n"/>
      <c r="AP266" s="108" t="n"/>
      <c r="AQ266" s="108">
        <f>(BC266-Driver!$K$188)/(Driver!$L$188-Driver!$K$188)</f>
        <v/>
      </c>
      <c r="AR266" s="108">
        <f>MIN((BD266-Driver!$K$189)/(Driver!$L$189-Driver!$K$189),100%)</f>
        <v/>
      </c>
      <c r="AS266" s="108">
        <f>(BE266-Driver!$K$190)/(Driver!$L$190-Driver!$K$190)</f>
        <v/>
      </c>
      <c r="AT266" s="108">
        <f>(BF266-Driver!$K$191)/(Driver!$L$191-Driver!$K$191)</f>
        <v/>
      </c>
      <c r="AU266" s="108">
        <f>(BG266-Driver!$K$192)/(Driver!$L$192-Driver!$K$192)</f>
        <v/>
      </c>
      <c r="AV266" s="105">
        <f>IFERROR(BM266*BJ266^1/4,"")</f>
        <v/>
      </c>
      <c r="AW266" s="105">
        <f>IFERROR(SUM(AX266:AZ266),"")</f>
        <v/>
      </c>
      <c r="AX266" s="105">
        <f>IFERROR(BH266,"")</f>
        <v/>
      </c>
      <c r="AY266" s="105">
        <f>IFERROR(Driver!$K$19/Data!BH266/Data!BI266*Data!BK266*Data!BL266,"")</f>
        <v/>
      </c>
      <c r="AZ266" s="105">
        <f>IFERROR(BI266*BN266,"")</f>
        <v/>
      </c>
      <c r="BA266" s="105" t="n"/>
      <c r="BB266" s="105" t="n"/>
      <c r="BC266" s="105">
        <f>IFERROR(BI266*BN266*BK266/BJ266^(1/2),"")</f>
        <v/>
      </c>
      <c r="BD266" s="105">
        <f>IFERROR(BH266*BM266*BL266/BJ266/BK266,"")</f>
        <v/>
      </c>
      <c r="BE266" s="105">
        <f>IFERROR(MIN(BI266/BQ266/BP266/BO266/BH266,$BE$1),"")</f>
        <v/>
      </c>
      <c r="BF266" s="105">
        <f>IFERROR(BJ266*BO266*BP266/BK266,"")</f>
        <v/>
      </c>
      <c r="BG266" s="105">
        <f>IFERROR(1/BM266/BH266*BQ266,"")</f>
        <v/>
      </c>
      <c r="BH266" s="102">
        <f>MAX((CE266-Driver!$F$200)/(Driver!$G$200-Driver!$F$200)*$BI$1,1)</f>
        <v/>
      </c>
      <c r="BI266" s="102">
        <f>MAX($BI$1*(BY266-Driver!$F$201)/(Driver!$G$201-Driver!$F$201),1)</f>
        <v/>
      </c>
      <c r="BJ266" s="102">
        <f>(CB266-Driver!$F$206)/(Driver!$G$206-Driver!$F$206)*$BI$1</f>
        <v/>
      </c>
      <c r="BK266" s="102">
        <f>(CD266-Driver!$F$203)/(Driver!$G$203-Driver!$F$203)*$BI$1</f>
        <v/>
      </c>
      <c r="BL266" s="102">
        <f>MAX((CR266-Driver!$F$202)/(Driver!$G$202-Driver!$F$202)*$BI$1,1)</f>
        <v/>
      </c>
      <c r="BM266" s="102">
        <f>MAX((CH266-Driver!$F$204)/(Driver!$G$204-Driver!$F$204)*$BI$1,1)</f>
        <v/>
      </c>
      <c r="BN266" s="102">
        <f>(CI266-Driver!$F$205)/(Driver!$G$205-Driver!$F$205)*$BI$1</f>
        <v/>
      </c>
      <c r="BO266" s="102">
        <f>(CK266-Driver!$F$207)/(Driver!$G$207-Driver!$F$207)*$BI$1</f>
        <v/>
      </c>
      <c r="BP266" s="102">
        <f>(CM266-Driver!$F$208)/(Driver!$G$208-Driver!$F$208)*$BI$1</f>
        <v/>
      </c>
      <c r="BQ266" s="102">
        <f>(CL266-Driver!$F$209)/(Driver!$G$209-Driver!$F$209)*$BI$1</f>
        <v/>
      </c>
      <c r="BR266" s="40" t="inlineStr">
        <is>
          <t>21/22</t>
        </is>
      </c>
      <c r="BS266" s="10" t="inlineStr">
        <is>
          <t xml:space="preserve"> Stöckli</t>
        </is>
      </c>
      <c r="BT266" s="11" t="inlineStr">
        <is>
          <t>Stormrider 102</t>
        </is>
      </c>
      <c r="BU266" s="13" t="n">
        <v>173</v>
      </c>
      <c r="BV266" s="11" t="inlineStr">
        <is>
          <t xml:space="preserve"> Unisex</t>
        </is>
      </c>
      <c r="BW266" s="13" t="n">
        <v>173</v>
      </c>
      <c r="BX266" s="13" t="n">
        <v>171.2</v>
      </c>
      <c r="BY266" s="13" t="n">
        <v>135</v>
      </c>
      <c r="BZ266" s="13" t="n">
        <v>143</v>
      </c>
      <c r="CA266" s="13" t="n">
        <v>135</v>
      </c>
      <c r="CB266" s="13" t="n">
        <v>102</v>
      </c>
      <c r="CC266" s="13" t="n">
        <v>124</v>
      </c>
      <c r="CD266" s="13" t="n">
        <v>16.9</v>
      </c>
      <c r="CE266" s="13" t="n">
        <v>1817</v>
      </c>
      <c r="CF266" s="13" t="n">
        <v>1.06</v>
      </c>
      <c r="CG266" s="13" t="n">
        <v>1933</v>
      </c>
      <c r="CH266" s="13" t="n">
        <v>190</v>
      </c>
      <c r="CI266" s="13" t="n">
        <v>104</v>
      </c>
      <c r="CJ266" s="13" t="n">
        <v>58</v>
      </c>
      <c r="CK266" s="13" t="n">
        <v>252</v>
      </c>
      <c r="CL266" s="13" t="n">
        <v>10</v>
      </c>
      <c r="CM266" s="13" t="n">
        <v>107</v>
      </c>
      <c r="CN266" s="13" t="n">
        <v>0.178</v>
      </c>
      <c r="CO266" s="13" t="n">
        <v>193</v>
      </c>
      <c r="CP266" s="13" t="n">
        <v>87</v>
      </c>
      <c r="CQ266" s="13" t="n">
        <v>59</v>
      </c>
      <c r="CR266" s="13" t="n">
        <v>4</v>
      </c>
      <c r="CS266" s="13" t="n">
        <v>12.6</v>
      </c>
      <c r="CT266" s="11" t="inlineStr">
        <is>
          <t xml:space="preserve"> Resort Freeride</t>
        </is>
      </c>
      <c r="CU266" s="11" t="inlineStr">
        <is>
          <t xml:space="preserve"> Big Mountain</t>
        </is>
      </c>
      <c r="CV266" s="11" t="inlineStr">
        <is>
          <t xml:space="preserve"> Touring</t>
        </is>
      </c>
      <c r="CW266" s="13" t="n"/>
      <c r="CX266">
        <f>INDEX('Data_Price '!AG$2:AG$1266,MATCH(Data!$DN266,'Data_Price '!$AT$2:$AT$1266,0))</f>
        <v/>
      </c>
      <c r="CY266">
        <f>INDEX('Data_Price '!AH$2:AH$1266,MATCH(Data!$DN266,'Data_Price '!$AT$2:$AT$1266,0))</f>
        <v/>
      </c>
      <c r="CZ266">
        <f>INDEX('Data_Price '!AI$2:AI$1266,MATCH(Data!$DN266,'Data_Price '!$AT$2:$AT$1266,0))</f>
        <v/>
      </c>
      <c r="DA266">
        <f>INDEX('Data_Price '!AJ$2:AJ$1266,MATCH(Data!$DN266,'Data_Price '!$AT$2:$AT$1266,0))</f>
        <v/>
      </c>
      <c r="DB266">
        <f>INDEX('Data_Price '!AK$2:AK$1266,MATCH(Data!$DN266,'Data_Price '!$AT$2:$AT$1266,0))</f>
        <v/>
      </c>
      <c r="DC266">
        <f>INDEX('Data_Price '!AL$2:AL$1266,MATCH(Data!$DN266,'Data_Price '!$AT$2:$AT$1266,0))</f>
        <v/>
      </c>
      <c r="DD266">
        <f>INDEX('Data_Price '!AM$2:AM$1266,MATCH(Data!$DN266,'Data_Price '!$AT$2:$AT$1266,0))</f>
        <v/>
      </c>
      <c r="DE266">
        <f>INDEX('Data_Price '!AN$2:AN$1266,MATCH(Data!$DN266,'Data_Price '!$AT$2:$AT$1266,0))</f>
        <v/>
      </c>
      <c r="DF266">
        <f>INDEX('Data_Price '!AO$2:AO$1266,MATCH(Data!$DN266,'Data_Price '!$AT$2:$AT$1266,0))</f>
        <v/>
      </c>
      <c r="DG266">
        <f>INDEX('Data_Price '!AP$2:AP$1266,MATCH(Data!$DN266,'Data_Price '!$AT$2:$AT$1266,0))</f>
        <v/>
      </c>
      <c r="DH266">
        <f>INDEX('Data_Price '!AQ$2:AQ$1266,MATCH(Data!$DN266,'Data_Price '!$AT$2:$AT$1266,0))</f>
        <v/>
      </c>
      <c r="DI266">
        <f>INDEX('Data_Price '!AR$2:AR$1266,MATCH(Data!$DN266,'Data_Price '!$AT$2:$AT$1266,0))</f>
        <v/>
      </c>
      <c r="DJ266" s="138">
        <f>DA266</f>
        <v/>
      </c>
      <c r="DK266" s="138">
        <f>DE266</f>
        <v/>
      </c>
      <c r="DL266" s="138">
        <f>DI266</f>
        <v/>
      </c>
      <c r="DM266" s="303">
        <f>IF(LEFT(BT266,1)=" ",RIGHT(BT266,LEN(BT266)-1),BT266)</f>
        <v/>
      </c>
      <c r="DN266" s="138">
        <f>_xlfn.CONCAT(BS266,DM266,BU266,BV266)</f>
        <v/>
      </c>
      <c r="DO266" s="307" t="inlineStr">
        <is>
          <t>https://images.evo.com/imgp/250/208923/857957/stockli-stormrider-102-skis-2022-.jpg</t>
        </is>
      </c>
    </row>
    <row r="267" ht="15.6" customHeight="1" s="184">
      <c r="B267" s="303">
        <f t="array" ref="B267">IF(OR(ISERROR(K267:P267)),FALSE,TRUE)</f>
        <v/>
      </c>
      <c r="C267" s="60">
        <f>OR(BR267=Driver!$G$50,Data!BR393=Driver!$H$50)</f>
        <v/>
      </c>
      <c r="D267" s="60">
        <f>OR(BV267=Driver!$G$51,BV267=Driver!$H$51)</f>
        <v/>
      </c>
      <c r="E267" s="60">
        <f>AND(BX267&gt;Driver!$F$54,BX267&lt;Driver!$G$54)</f>
        <v/>
      </c>
      <c r="F267" s="60">
        <f>CL267&gt;Driver!$F$56</f>
        <v/>
      </c>
      <c r="G267" s="60">
        <f>AND(CB267&gt;Driver!$F$55,CB267&lt;Driver!$G$55)</f>
        <v/>
      </c>
      <c r="H267" s="60">
        <f>AND(B267:G267)</f>
        <v/>
      </c>
      <c r="I267" s="60">
        <f>COUNTIFS($H$9:$H$1273,TRUE,$BT$9:$BT$1273,BT267)</f>
        <v/>
      </c>
      <c r="J267" s="60">
        <f t="array" ref="J267">NOT(OR(($H$9:$H$1273=TRUE)*($I$9:$I$1273&gt;0)*($BT$9:$BT$1273=BT267)*($K$9:$K$1273&gt;K267)))</f>
        <v/>
      </c>
      <c r="K267" s="108">
        <f>IFERROR(1-AVERAGE(X267:Y267),"")</f>
        <v/>
      </c>
      <c r="L267" s="108">
        <f>1-X267</f>
        <v/>
      </c>
      <c r="M267" s="108">
        <f>1-Y267</f>
        <v/>
      </c>
      <c r="N267" s="108">
        <f>1-Z267</f>
        <v/>
      </c>
      <c r="O267" s="108">
        <f>1-AA267</f>
        <v/>
      </c>
      <c r="P267" s="108">
        <f>1-AB267</f>
        <v/>
      </c>
      <c r="Q267" s="108" t="n"/>
      <c r="R267" s="108" t="n"/>
      <c r="S267" s="108">
        <f>1-AE267</f>
        <v/>
      </c>
      <c r="T267" s="108">
        <f>1-AF267</f>
        <v/>
      </c>
      <c r="U267" s="108">
        <f>1-AG267</f>
        <v/>
      </c>
      <c r="V267" s="108">
        <f>1-AH267</f>
        <v/>
      </c>
      <c r="W267" s="108">
        <f>1-AI267</f>
        <v/>
      </c>
      <c r="X267" s="108">
        <f>ABS(AJ267-AJ$1)</f>
        <v/>
      </c>
      <c r="Y267" s="108">
        <f>AVERAGE(Z267:AB267)</f>
        <v/>
      </c>
      <c r="Z267" s="108">
        <f>ABS(AL267-AL$1)</f>
        <v/>
      </c>
      <c r="AA267" s="108">
        <f>ABS(AM267-AM$1)</f>
        <v/>
      </c>
      <c r="AB267" s="108">
        <f>ABS(AN267-AN$1)</f>
        <v/>
      </c>
      <c r="AC267" s="108" t="n"/>
      <c r="AD267" s="108" t="n"/>
      <c r="AE267" s="108">
        <f>ABS(AQ$1-AQ267)</f>
        <v/>
      </c>
      <c r="AF267" s="108">
        <f>ABS(AR$1-AR267)</f>
        <v/>
      </c>
      <c r="AG267" s="108">
        <f>ABS(AS$1-AS267)</f>
        <v/>
      </c>
      <c r="AH267" s="108">
        <f>ABS(AT$1-AT267)</f>
        <v/>
      </c>
      <c r="AI267" s="108">
        <f>ABS(AU$1-AU267)</f>
        <v/>
      </c>
      <c r="AJ267" s="108">
        <f>(AV267-Driver!$K$179)/(Driver!$L$179-Driver!$K$179)</f>
        <v/>
      </c>
      <c r="AK267" s="108">
        <f>(AW267-Driver!$K$180)/(Driver!$L$180-Driver!$K$180)</f>
        <v/>
      </c>
      <c r="AL267" s="108">
        <f>(AX267-Driver!$K$181)/(Driver!$L$181-Driver!$K$181)</f>
        <v/>
      </c>
      <c r="AM267" s="108">
        <f>(AY267-Driver!$K$182)/(Driver!$L$182-Driver!$K$182)</f>
        <v/>
      </c>
      <c r="AN267" s="108">
        <f>(AZ267-Driver!$K$183)/(Driver!$L$183-Driver!$K$183)</f>
        <v/>
      </c>
      <c r="AO267" s="108" t="n"/>
      <c r="AP267" s="108" t="n"/>
      <c r="AQ267" s="108">
        <f>(BC267-Driver!$K$188)/(Driver!$L$188-Driver!$K$188)</f>
        <v/>
      </c>
      <c r="AR267" s="108">
        <f>MIN((BD267-Driver!$K$189)/(Driver!$L$189-Driver!$K$189),100%)</f>
        <v/>
      </c>
      <c r="AS267" s="108">
        <f>(BE267-Driver!$K$190)/(Driver!$L$190-Driver!$K$190)</f>
        <v/>
      </c>
      <c r="AT267" s="108">
        <f>(BF267-Driver!$K$191)/(Driver!$L$191-Driver!$K$191)</f>
        <v/>
      </c>
      <c r="AU267" s="108">
        <f>(BG267-Driver!$K$192)/(Driver!$L$192-Driver!$K$192)</f>
        <v/>
      </c>
      <c r="AV267" s="105">
        <f>IFERROR(BM267*BJ267^1/4,"")</f>
        <v/>
      </c>
      <c r="AW267" s="105">
        <f>IFERROR(SUM(AX267:AZ267),"")</f>
        <v/>
      </c>
      <c r="AX267" s="105">
        <f>IFERROR(BH267,"")</f>
        <v/>
      </c>
      <c r="AY267" s="105">
        <f>IFERROR(Driver!$K$19/Data!BH267/Data!BI267*Data!BK267*Data!BL267,"")</f>
        <v/>
      </c>
      <c r="AZ267" s="105">
        <f>IFERROR(BI267*BN267,"")</f>
        <v/>
      </c>
      <c r="BA267" s="105" t="n"/>
      <c r="BB267" s="105" t="n"/>
      <c r="BC267" s="105">
        <f>IFERROR(BI267*BN267*BK267/BJ267^(1/2),"")</f>
        <v/>
      </c>
      <c r="BD267" s="105">
        <f>IFERROR(BH267*BM267*BL267/BJ267/BK267,"")</f>
        <v/>
      </c>
      <c r="BE267" s="105">
        <f>IFERROR(MIN(BI267/BQ267/BP267/BO267/BH267,$BE$1),"")</f>
        <v/>
      </c>
      <c r="BF267" s="105">
        <f>IFERROR(BJ267*BO267*BP267/BK267,"")</f>
        <v/>
      </c>
      <c r="BG267" s="105">
        <f>IFERROR(1/BM267/BH267*BQ267,"")</f>
        <v/>
      </c>
      <c r="BH267" s="102">
        <f>MAX((CE267-Driver!$F$200)/(Driver!$G$200-Driver!$F$200)*$BI$1,1)</f>
        <v/>
      </c>
      <c r="BI267" s="102">
        <f>MAX($BI$1*(BY267-Driver!$F$201)/(Driver!$G$201-Driver!$F$201),1)</f>
        <v/>
      </c>
      <c r="BJ267" s="102">
        <f>(CB267-Driver!$F$206)/(Driver!$G$206-Driver!$F$206)*$BI$1</f>
        <v/>
      </c>
      <c r="BK267" s="102">
        <f>(CD267-Driver!$F$203)/(Driver!$G$203-Driver!$F$203)*$BI$1</f>
        <v/>
      </c>
      <c r="BL267" s="102">
        <f>MAX((CR267-Driver!$F$202)/(Driver!$G$202-Driver!$F$202)*$BI$1,1)</f>
        <v/>
      </c>
      <c r="BM267" s="102">
        <f>MAX((CH267-Driver!$F$204)/(Driver!$G$204-Driver!$F$204)*$BI$1,1)</f>
        <v/>
      </c>
      <c r="BN267" s="102">
        <f>(CI267-Driver!$F$205)/(Driver!$G$205-Driver!$F$205)*$BI$1</f>
        <v/>
      </c>
      <c r="BO267" s="102">
        <f>(CK267-Driver!$F$207)/(Driver!$G$207-Driver!$F$207)*$BI$1</f>
        <v/>
      </c>
      <c r="BP267" s="102">
        <f>(CM267-Driver!$F$208)/(Driver!$G$208-Driver!$F$208)*$BI$1</f>
        <v/>
      </c>
      <c r="BQ267" s="102">
        <f>(CL267-Driver!$F$209)/(Driver!$G$209-Driver!$F$209)*$BI$1</f>
        <v/>
      </c>
      <c r="BR267" s="40" t="inlineStr">
        <is>
          <t>21/22</t>
        </is>
      </c>
      <c r="BS267" s="10" t="inlineStr">
        <is>
          <t xml:space="preserve"> Dynastar</t>
        </is>
      </c>
      <c r="BT267" s="11" t="inlineStr">
        <is>
          <t>M-Pro 84</t>
        </is>
      </c>
      <c r="BU267" s="13" t="n">
        <v>170</v>
      </c>
      <c r="BV267" s="11" t="inlineStr">
        <is>
          <t xml:space="preserve"> Unisex</t>
        </is>
      </c>
      <c r="BW267" s="13" t="n">
        <v>170</v>
      </c>
      <c r="BX267" s="13" t="n">
        <v>171.1</v>
      </c>
      <c r="BY267" s="13" t="n">
        <v>139</v>
      </c>
      <c r="BZ267" s="13" t="n">
        <v>140</v>
      </c>
      <c r="CA267" s="13" t="n">
        <v>121</v>
      </c>
      <c r="CB267" s="13" t="n">
        <v>82</v>
      </c>
      <c r="CC267" s="13" t="n">
        <v>103</v>
      </c>
      <c r="CD267" s="13" t="n">
        <v>15.6</v>
      </c>
      <c r="CE267" s="13" t="n">
        <v>1610</v>
      </c>
      <c r="CF267" s="13" t="n">
        <v>1</v>
      </c>
      <c r="CG267" s="13" t="n">
        <v>1615</v>
      </c>
      <c r="CH267" s="13" t="n">
        <v>186</v>
      </c>
      <c r="CI267" s="13" t="n">
        <v>84</v>
      </c>
      <c r="CJ267" s="13" t="n">
        <v>41</v>
      </c>
      <c r="CK267" s="13" t="n">
        <v>260</v>
      </c>
      <c r="CL267" s="13" t="n">
        <v>5</v>
      </c>
      <c r="CM267" s="13" t="n">
        <v>59</v>
      </c>
      <c r="CN267" s="13" t="n">
        <v>0.115</v>
      </c>
      <c r="CO267" s="13" t="n">
        <v>164</v>
      </c>
      <c r="CP267" s="13" t="n">
        <v>148</v>
      </c>
      <c r="CQ267" s="13" t="n">
        <v>96</v>
      </c>
      <c r="CR267" s="13" t="n">
        <v>11</v>
      </c>
      <c r="CS267" s="13" t="n">
        <v>6.2</v>
      </c>
      <c r="CT267" s="11" t="inlineStr">
        <is>
          <t xml:space="preserve"> On-Piste All-Mountain</t>
        </is>
      </c>
      <c r="CU267" s="11" t="inlineStr">
        <is>
          <t xml:space="preserve"> Resort Freeride</t>
        </is>
      </c>
      <c r="CV267" s="13" t="n"/>
      <c r="CW267" s="13" t="n"/>
      <c r="CX267">
        <f>INDEX('Data_Price '!AG$2:AG$1266,MATCH(Data!$DN267,'Data_Price '!$AT$2:$AT$1266,0))</f>
        <v/>
      </c>
      <c r="CY267">
        <f>INDEX('Data_Price '!AH$2:AH$1266,MATCH(Data!$DN267,'Data_Price '!$AT$2:$AT$1266,0))</f>
        <v/>
      </c>
      <c r="CZ267">
        <f>INDEX('Data_Price '!AI$2:AI$1266,MATCH(Data!$DN267,'Data_Price '!$AT$2:$AT$1266,0))</f>
        <v/>
      </c>
      <c r="DA267">
        <f>INDEX('Data_Price '!AJ$2:AJ$1266,MATCH(Data!$DN267,'Data_Price '!$AT$2:$AT$1266,0))</f>
        <v/>
      </c>
      <c r="DB267">
        <f>INDEX('Data_Price '!AK$2:AK$1266,MATCH(Data!$DN267,'Data_Price '!$AT$2:$AT$1266,0))</f>
        <v/>
      </c>
      <c r="DC267">
        <f>INDEX('Data_Price '!AL$2:AL$1266,MATCH(Data!$DN267,'Data_Price '!$AT$2:$AT$1266,0))</f>
        <v/>
      </c>
      <c r="DD267">
        <f>INDEX('Data_Price '!AM$2:AM$1266,MATCH(Data!$DN267,'Data_Price '!$AT$2:$AT$1266,0))</f>
        <v/>
      </c>
      <c r="DE267">
        <f>INDEX('Data_Price '!AN$2:AN$1266,MATCH(Data!$DN267,'Data_Price '!$AT$2:$AT$1266,0))</f>
        <v/>
      </c>
      <c r="DF267">
        <f>INDEX('Data_Price '!AO$2:AO$1266,MATCH(Data!$DN267,'Data_Price '!$AT$2:$AT$1266,0))</f>
        <v/>
      </c>
      <c r="DG267">
        <f>INDEX('Data_Price '!AP$2:AP$1266,MATCH(Data!$DN267,'Data_Price '!$AT$2:$AT$1266,0))</f>
        <v/>
      </c>
      <c r="DH267">
        <f>INDEX('Data_Price '!AQ$2:AQ$1266,MATCH(Data!$DN267,'Data_Price '!$AT$2:$AT$1266,0))</f>
        <v/>
      </c>
      <c r="DI267">
        <f>INDEX('Data_Price '!AR$2:AR$1266,MATCH(Data!$DN267,'Data_Price '!$AT$2:$AT$1266,0))</f>
        <v/>
      </c>
      <c r="DJ267" s="138">
        <f>DA267</f>
        <v/>
      </c>
      <c r="DK267" s="138">
        <f>DE267</f>
        <v/>
      </c>
      <c r="DL267" s="138">
        <f>DI267</f>
        <v/>
      </c>
      <c r="DM267" s="303">
        <f>IF(LEFT(BT267,1)=" ",RIGHT(BT267,LEN(BT267)-1),BT267)</f>
        <v/>
      </c>
      <c r="DN267" s="138">
        <f>_xlfn.CONCAT(BS267,DM267,BU267,BV267)</f>
        <v/>
      </c>
      <c r="DO267" s="307" t="inlineStr">
        <is>
          <t>https://images.evo.com/imgp/250/185152/874336/dynastar-m-pro-84-skis-2021-.jpg</t>
        </is>
      </c>
    </row>
    <row r="268" ht="15.6" customHeight="1" s="184">
      <c r="B268" s="303">
        <f t="array" ref="B268">IF(OR(ISERROR(K268:P268)),FALSE,TRUE)</f>
        <v/>
      </c>
      <c r="C268" s="60">
        <f>OR(BR268=Driver!$G$50,Data!BR1011=Driver!$H$50)</f>
        <v/>
      </c>
      <c r="D268" s="60">
        <f>OR(BV268=Driver!$G$51,BV268=Driver!$H$51)</f>
        <v/>
      </c>
      <c r="E268" s="60">
        <f>AND(BX268&gt;Driver!$F$54,BX268&lt;Driver!$G$54)</f>
        <v/>
      </c>
      <c r="F268" s="60">
        <f>CL268&gt;Driver!$F$56</f>
        <v/>
      </c>
      <c r="G268" s="60">
        <f>AND(CB268&gt;Driver!$F$55,CB268&lt;Driver!$G$55)</f>
        <v/>
      </c>
      <c r="H268" s="60">
        <f>AND(B268:G268)</f>
        <v/>
      </c>
      <c r="I268" s="60">
        <f>COUNTIFS($H$9:$H$1273,TRUE,$BT$9:$BT$1273,BT268)</f>
        <v/>
      </c>
      <c r="J268" s="60">
        <f t="array" ref="J268">NOT(OR(($H$9:$H$1273=TRUE)*($I$9:$I$1273&gt;0)*($BT$9:$BT$1273=BT268)*($K$9:$K$1273&gt;K268)))</f>
        <v/>
      </c>
      <c r="K268" s="108">
        <f>IFERROR(1-AVERAGE(X268:Y268),"")</f>
        <v/>
      </c>
      <c r="L268" s="108">
        <f>1-X268</f>
        <v/>
      </c>
      <c r="M268" s="108">
        <f>1-Y268</f>
        <v/>
      </c>
      <c r="N268" s="108">
        <f>1-Z268</f>
        <v/>
      </c>
      <c r="O268" s="108">
        <f>1-AA268</f>
        <v/>
      </c>
      <c r="P268" s="108">
        <f>1-AB268</f>
        <v/>
      </c>
      <c r="Q268" s="108" t="n"/>
      <c r="R268" s="108" t="n"/>
      <c r="S268" s="108">
        <f>1-AE268</f>
        <v/>
      </c>
      <c r="T268" s="108">
        <f>1-AF268</f>
        <v/>
      </c>
      <c r="U268" s="108">
        <f>1-AG268</f>
        <v/>
      </c>
      <c r="V268" s="108">
        <f>1-AH268</f>
        <v/>
      </c>
      <c r="W268" s="108">
        <f>1-AI268</f>
        <v/>
      </c>
      <c r="X268" s="108">
        <f>ABS(AJ268-AJ$1)</f>
        <v/>
      </c>
      <c r="Y268" s="108">
        <f>AVERAGE(Z268:AB268)</f>
        <v/>
      </c>
      <c r="Z268" s="108">
        <f>ABS(AL268-AL$1)</f>
        <v/>
      </c>
      <c r="AA268" s="108">
        <f>ABS(AM268-AM$1)</f>
        <v/>
      </c>
      <c r="AB268" s="108">
        <f>ABS(AN268-AN$1)</f>
        <v/>
      </c>
      <c r="AC268" s="108" t="n"/>
      <c r="AD268" s="108" t="n"/>
      <c r="AE268" s="108">
        <f>ABS(AQ$1-AQ268)</f>
        <v/>
      </c>
      <c r="AF268" s="108">
        <f>ABS(AR$1-AR268)</f>
        <v/>
      </c>
      <c r="AG268" s="108">
        <f>ABS(AS$1-AS268)</f>
        <v/>
      </c>
      <c r="AH268" s="108">
        <f>ABS(AT$1-AT268)</f>
        <v/>
      </c>
      <c r="AI268" s="108">
        <f>ABS(AU$1-AU268)</f>
        <v/>
      </c>
      <c r="AJ268" s="108">
        <f>(AV268-Driver!$K$179)/(Driver!$L$179-Driver!$K$179)</f>
        <v/>
      </c>
      <c r="AK268" s="108">
        <f>(AW268-Driver!$K$180)/(Driver!$L$180-Driver!$K$180)</f>
        <v/>
      </c>
      <c r="AL268" s="108">
        <f>(AX268-Driver!$K$181)/(Driver!$L$181-Driver!$K$181)</f>
        <v/>
      </c>
      <c r="AM268" s="108">
        <f>(AY268-Driver!$K$182)/(Driver!$L$182-Driver!$K$182)</f>
        <v/>
      </c>
      <c r="AN268" s="108">
        <f>(AZ268-Driver!$K$183)/(Driver!$L$183-Driver!$K$183)</f>
        <v/>
      </c>
      <c r="AO268" s="108" t="n"/>
      <c r="AP268" s="108" t="n"/>
      <c r="AQ268" s="108">
        <f>(BC268-Driver!$K$188)/(Driver!$L$188-Driver!$K$188)</f>
        <v/>
      </c>
      <c r="AR268" s="108">
        <f>MIN((BD268-Driver!$K$189)/(Driver!$L$189-Driver!$K$189),100%)</f>
        <v/>
      </c>
      <c r="AS268" s="108">
        <f>(BE268-Driver!$K$190)/(Driver!$L$190-Driver!$K$190)</f>
        <v/>
      </c>
      <c r="AT268" s="108">
        <f>(BF268-Driver!$K$191)/(Driver!$L$191-Driver!$K$191)</f>
        <v/>
      </c>
      <c r="AU268" s="108">
        <f>(BG268-Driver!$K$192)/(Driver!$L$192-Driver!$K$192)</f>
        <v/>
      </c>
      <c r="AV268" s="105">
        <f>IFERROR(BM268*BJ268^1/4,"")</f>
        <v/>
      </c>
      <c r="AW268" s="105">
        <f>IFERROR(SUM(AX268:AZ268),"")</f>
        <v/>
      </c>
      <c r="AX268" s="105">
        <f>IFERROR(BH268,"")</f>
        <v/>
      </c>
      <c r="AY268" s="105">
        <f>IFERROR(Driver!$K$19/Data!BH268/Data!BI268*Data!BK268*Data!BL268,"")</f>
        <v/>
      </c>
      <c r="AZ268" s="105">
        <f>IFERROR(BI268*BN268,"")</f>
        <v/>
      </c>
      <c r="BA268" s="105" t="n"/>
      <c r="BB268" s="105" t="n"/>
      <c r="BC268" s="105">
        <f>IFERROR(BI268*BN268*BK268/BJ268^(1/2),"")</f>
        <v/>
      </c>
      <c r="BD268" s="105">
        <f>IFERROR(BH268*BM268*BL268/BJ268/BK268,"")</f>
        <v/>
      </c>
      <c r="BE268" s="105">
        <f>IFERROR(MIN(BI268/BQ268/BP268/BO268/BH268,$BE$1),"")</f>
        <v/>
      </c>
      <c r="BF268" s="105">
        <f>IFERROR(BJ268*BO268*BP268/BK268,"")</f>
        <v/>
      </c>
      <c r="BG268" s="105">
        <f>IFERROR(1/BM268/BH268*BQ268,"")</f>
        <v/>
      </c>
      <c r="BH268" s="102">
        <f>MAX((CE268-Driver!$F$200)/(Driver!$G$200-Driver!$F$200)*$BI$1,1)</f>
        <v/>
      </c>
      <c r="BI268" s="102">
        <f>MAX($BI$1*(BY268-Driver!$F$201)/(Driver!$G$201-Driver!$F$201),1)</f>
        <v/>
      </c>
      <c r="BJ268" s="102">
        <f>(CB268-Driver!$F$206)/(Driver!$G$206-Driver!$F$206)*$BI$1</f>
        <v/>
      </c>
      <c r="BK268" s="102">
        <f>(CD268-Driver!$F$203)/(Driver!$G$203-Driver!$F$203)*$BI$1</f>
        <v/>
      </c>
      <c r="BL268" s="102">
        <f>MAX((CR268-Driver!$F$202)/(Driver!$G$202-Driver!$F$202)*$BI$1,1)</f>
        <v/>
      </c>
      <c r="BM268" s="102">
        <f>MAX((CH268-Driver!$F$204)/(Driver!$G$204-Driver!$F$204)*$BI$1,1)</f>
        <v/>
      </c>
      <c r="BN268" s="102">
        <f>(CI268-Driver!$F$205)/(Driver!$G$205-Driver!$F$205)*$BI$1</f>
        <v/>
      </c>
      <c r="BO268" s="102">
        <f>(CK268-Driver!$F$207)/(Driver!$G$207-Driver!$F$207)*$BI$1</f>
        <v/>
      </c>
      <c r="BP268" s="102">
        <f>(CM268-Driver!$F$208)/(Driver!$G$208-Driver!$F$208)*$BI$1</f>
        <v/>
      </c>
      <c r="BQ268" s="102">
        <f>(CL268-Driver!$F$209)/(Driver!$G$209-Driver!$F$209)*$BI$1</f>
        <v/>
      </c>
      <c r="BR268" s="40" t="inlineStr">
        <is>
          <t>21/22</t>
        </is>
      </c>
      <c r="BS268" s="10" t="inlineStr">
        <is>
          <t xml:space="preserve"> Rossignol</t>
        </is>
      </c>
      <c r="BT268" s="11" t="inlineStr">
        <is>
          <t>Experience 82 Basalt</t>
        </is>
      </c>
      <c r="BU268" s="13" t="n">
        <v>176</v>
      </c>
      <c r="BV268" s="11" t="inlineStr">
        <is>
          <t xml:space="preserve"> Unisex</t>
        </is>
      </c>
      <c r="BW268" s="13" t="n">
        <v>176</v>
      </c>
      <c r="BX268" s="13" t="n">
        <v>174.4</v>
      </c>
      <c r="BY268" s="13" t="n">
        <v>134</v>
      </c>
      <c r="BZ268" s="13" t="n">
        <v>160</v>
      </c>
      <c r="CA268" s="13" t="n">
        <v>125</v>
      </c>
      <c r="CB268" s="13" t="n">
        <v>80</v>
      </c>
      <c r="CC268" s="13" t="n">
        <v>113</v>
      </c>
      <c r="CD268" s="13" t="n">
        <v>16</v>
      </c>
      <c r="CE268" s="13" t="n">
        <v>1805</v>
      </c>
      <c r="CF268" s="13" t="n">
        <v>0.91</v>
      </c>
      <c r="CG268" s="13" t="n">
        <v>1639</v>
      </c>
      <c r="CH268" s="13" t="n">
        <v>241</v>
      </c>
      <c r="CI268" s="13" t="n">
        <v>89</v>
      </c>
      <c r="CJ268" s="13" t="n">
        <v>48</v>
      </c>
      <c r="CK268" s="13" t="n">
        <v>266</v>
      </c>
      <c r="CL268" s="13" t="n">
        <v>14</v>
      </c>
      <c r="CM268" s="13" t="n">
        <v>134</v>
      </c>
      <c r="CN268" s="13" t="n">
        <v>0.285</v>
      </c>
      <c r="CO268" s="13" t="n">
        <v>77</v>
      </c>
      <c r="CP268" s="13" t="n">
        <v>65</v>
      </c>
      <c r="CQ268" s="13" t="n">
        <v>189</v>
      </c>
      <c r="CR268" s="13" t="n">
        <v>7</v>
      </c>
      <c r="CS268" s="13" t="n">
        <v>6.1</v>
      </c>
      <c r="CT268" s="11" t="inlineStr">
        <is>
          <t xml:space="preserve"> Other</t>
        </is>
      </c>
      <c r="CU268" s="13" t="n"/>
      <c r="CV268" s="13" t="n"/>
      <c r="CW268" s="13" t="n"/>
      <c r="CX268">
        <f>INDEX('Data_Price '!AG$2:AG$1266,MATCH(Data!$DN268,'Data_Price '!$AT$2:$AT$1266,0))</f>
        <v/>
      </c>
      <c r="CY268">
        <f>INDEX('Data_Price '!AH$2:AH$1266,MATCH(Data!$DN268,'Data_Price '!$AT$2:$AT$1266,0))</f>
        <v/>
      </c>
      <c r="CZ268">
        <f>INDEX('Data_Price '!AI$2:AI$1266,MATCH(Data!$DN268,'Data_Price '!$AT$2:$AT$1266,0))</f>
        <v/>
      </c>
      <c r="DA268">
        <f>INDEX('Data_Price '!AJ$2:AJ$1266,MATCH(Data!$DN268,'Data_Price '!$AT$2:$AT$1266,0))</f>
        <v/>
      </c>
      <c r="DB268">
        <f>INDEX('Data_Price '!AK$2:AK$1266,MATCH(Data!$DN268,'Data_Price '!$AT$2:$AT$1266,0))</f>
        <v/>
      </c>
      <c r="DC268">
        <f>INDEX('Data_Price '!AL$2:AL$1266,MATCH(Data!$DN268,'Data_Price '!$AT$2:$AT$1266,0))</f>
        <v/>
      </c>
      <c r="DD268">
        <f>INDEX('Data_Price '!AM$2:AM$1266,MATCH(Data!$DN268,'Data_Price '!$AT$2:$AT$1266,0))</f>
        <v/>
      </c>
      <c r="DE268">
        <f>INDEX('Data_Price '!AN$2:AN$1266,MATCH(Data!$DN268,'Data_Price '!$AT$2:$AT$1266,0))</f>
        <v/>
      </c>
      <c r="DF268">
        <f>INDEX('Data_Price '!AO$2:AO$1266,MATCH(Data!$DN268,'Data_Price '!$AT$2:$AT$1266,0))</f>
        <v/>
      </c>
      <c r="DG268">
        <f>INDEX('Data_Price '!AP$2:AP$1266,MATCH(Data!$DN268,'Data_Price '!$AT$2:$AT$1266,0))</f>
        <v/>
      </c>
      <c r="DH268">
        <f>INDEX('Data_Price '!AQ$2:AQ$1266,MATCH(Data!$DN268,'Data_Price '!$AT$2:$AT$1266,0))</f>
        <v/>
      </c>
      <c r="DI268">
        <f>INDEX('Data_Price '!AR$2:AR$1266,MATCH(Data!$DN268,'Data_Price '!$AT$2:$AT$1266,0))</f>
        <v/>
      </c>
      <c r="DJ268" s="138">
        <f>DA268</f>
        <v/>
      </c>
      <c r="DK268" s="138">
        <f>DE268</f>
        <v/>
      </c>
      <c r="DL268" s="138">
        <f>DI268</f>
        <v/>
      </c>
      <c r="DM268" s="303">
        <f>IF(LEFT(BT268,1)=" ",RIGHT(BT268,LEN(BT268)-1),BT268)</f>
        <v/>
      </c>
      <c r="DN268" s="138">
        <f>_xlfn.CONCAT(BS268,DM268,BU268,BV268)</f>
        <v/>
      </c>
      <c r="DO268" s="307" t="n"/>
    </row>
    <row r="269" ht="15.6" customHeight="1" s="184">
      <c r="B269" s="303">
        <f t="array" ref="B269">IF(OR(ISERROR(K269:P269)),FALSE,TRUE)</f>
        <v/>
      </c>
      <c r="C269" s="60">
        <f>OR(BR269=Driver!$G$50,Data!BR1150=Driver!$H$50)</f>
        <v/>
      </c>
      <c r="D269" s="60">
        <f>OR(BV269=Driver!$G$51,BV269=Driver!$H$51)</f>
        <v/>
      </c>
      <c r="E269" s="60">
        <f>AND(BX269&gt;Driver!$F$54,BX269&lt;Driver!$G$54)</f>
        <v/>
      </c>
      <c r="F269" s="60">
        <f>CL269&gt;Driver!$F$56</f>
        <v/>
      </c>
      <c r="G269" s="60">
        <f>AND(CB269&gt;Driver!$F$55,CB269&lt;Driver!$G$55)</f>
        <v/>
      </c>
      <c r="H269" s="60">
        <f>AND(B269:G269)</f>
        <v/>
      </c>
      <c r="I269" s="60">
        <f>COUNTIFS($H$9:$H$1273,TRUE,$BT$9:$BT$1273,BT269)</f>
        <v/>
      </c>
      <c r="J269" s="60">
        <f t="array" ref="J269">NOT(OR(($H$9:$H$1273=TRUE)*($I$9:$I$1273&gt;0)*($BT$9:$BT$1273=BT269)*($K$9:$K$1273&gt;K269)))</f>
        <v/>
      </c>
      <c r="K269" s="108">
        <f>IFERROR(1-AVERAGE(X269:Y269),"")</f>
        <v/>
      </c>
      <c r="L269" s="108">
        <f>1-X269</f>
        <v/>
      </c>
      <c r="M269" s="108">
        <f>1-Y269</f>
        <v/>
      </c>
      <c r="N269" s="108">
        <f>1-Z269</f>
        <v/>
      </c>
      <c r="O269" s="108">
        <f>1-AA269</f>
        <v/>
      </c>
      <c r="P269" s="108">
        <f>1-AB269</f>
        <v/>
      </c>
      <c r="Q269" s="108" t="n"/>
      <c r="R269" s="108" t="n"/>
      <c r="S269" s="108">
        <f>1-AE269</f>
        <v/>
      </c>
      <c r="T269" s="108">
        <f>1-AF269</f>
        <v/>
      </c>
      <c r="U269" s="108">
        <f>1-AG269</f>
        <v/>
      </c>
      <c r="V269" s="108">
        <f>1-AH269</f>
        <v/>
      </c>
      <c r="W269" s="108">
        <f>1-AI269</f>
        <v/>
      </c>
      <c r="X269" s="108">
        <f>ABS(AJ269-AJ$1)</f>
        <v/>
      </c>
      <c r="Y269" s="108">
        <f>AVERAGE(Z269:AB269)</f>
        <v/>
      </c>
      <c r="Z269" s="108">
        <f>ABS(AL269-AL$1)</f>
        <v/>
      </c>
      <c r="AA269" s="108">
        <f>ABS(AM269-AM$1)</f>
        <v/>
      </c>
      <c r="AB269" s="108">
        <f>ABS(AN269-AN$1)</f>
        <v/>
      </c>
      <c r="AC269" s="108" t="n"/>
      <c r="AD269" s="108" t="n"/>
      <c r="AE269" s="108">
        <f>ABS(AQ$1-AQ269)</f>
        <v/>
      </c>
      <c r="AF269" s="108">
        <f>ABS(AR$1-AR269)</f>
        <v/>
      </c>
      <c r="AG269" s="108">
        <f>ABS(AS$1-AS269)</f>
        <v/>
      </c>
      <c r="AH269" s="108">
        <f>ABS(AT$1-AT269)</f>
        <v/>
      </c>
      <c r="AI269" s="108">
        <f>ABS(AU$1-AU269)</f>
        <v/>
      </c>
      <c r="AJ269" s="108">
        <f>(AV269-Driver!$K$179)/(Driver!$L$179-Driver!$K$179)</f>
        <v/>
      </c>
      <c r="AK269" s="108">
        <f>(AW269-Driver!$K$180)/(Driver!$L$180-Driver!$K$180)</f>
        <v/>
      </c>
      <c r="AL269" s="108">
        <f>(AX269-Driver!$K$181)/(Driver!$L$181-Driver!$K$181)</f>
        <v/>
      </c>
      <c r="AM269" s="108">
        <f>(AY269-Driver!$K$182)/(Driver!$L$182-Driver!$K$182)</f>
        <v/>
      </c>
      <c r="AN269" s="108">
        <f>(AZ269-Driver!$K$183)/(Driver!$L$183-Driver!$K$183)</f>
        <v/>
      </c>
      <c r="AO269" s="108" t="n"/>
      <c r="AP269" s="108" t="n"/>
      <c r="AQ269" s="108">
        <f>(BC269-Driver!$K$188)/(Driver!$L$188-Driver!$K$188)</f>
        <v/>
      </c>
      <c r="AR269" s="108">
        <f>MIN((BD269-Driver!$K$189)/(Driver!$L$189-Driver!$K$189),100%)</f>
        <v/>
      </c>
      <c r="AS269" s="108">
        <f>(BE269-Driver!$K$190)/(Driver!$L$190-Driver!$K$190)</f>
        <v/>
      </c>
      <c r="AT269" s="108">
        <f>(BF269-Driver!$K$191)/(Driver!$L$191-Driver!$K$191)</f>
        <v/>
      </c>
      <c r="AU269" s="108">
        <f>(BG269-Driver!$K$192)/(Driver!$L$192-Driver!$K$192)</f>
        <v/>
      </c>
      <c r="AV269" s="105">
        <f>IFERROR(BM269*BJ269^1/4,"")</f>
        <v/>
      </c>
      <c r="AW269" s="105">
        <f>IFERROR(SUM(AX269:AZ269),"")</f>
        <v/>
      </c>
      <c r="AX269" s="105">
        <f>IFERROR(BH269,"")</f>
        <v/>
      </c>
      <c r="AY269" s="105">
        <f>IFERROR(Driver!$K$19/Data!BH269/Data!BI269*Data!BK269*Data!BL269,"")</f>
        <v/>
      </c>
      <c r="AZ269" s="105">
        <f>IFERROR(BI269*BN269,"")</f>
        <v/>
      </c>
      <c r="BA269" s="105" t="n"/>
      <c r="BB269" s="105" t="n"/>
      <c r="BC269" s="105">
        <f>IFERROR(BI269*BN269*BK269/BJ269^(1/2),"")</f>
        <v/>
      </c>
      <c r="BD269" s="105">
        <f>IFERROR(BH269*BM269*BL269/BJ269/BK269,"")</f>
        <v/>
      </c>
      <c r="BE269" s="105">
        <f>IFERROR(MIN(BI269/BQ269/BP269/BO269/BH269,$BE$1),"")</f>
        <v/>
      </c>
      <c r="BF269" s="105">
        <f>IFERROR(BJ269*BO269*BP269/BK269,"")</f>
        <v/>
      </c>
      <c r="BG269" s="105">
        <f>IFERROR(1/BM269/BH269*BQ269,"")</f>
        <v/>
      </c>
      <c r="BH269" s="102">
        <f>MAX((CE269-Driver!$F$200)/(Driver!$G$200-Driver!$F$200)*$BI$1,1)</f>
        <v/>
      </c>
      <c r="BI269" s="102">
        <f>MAX($BI$1*(BY269-Driver!$F$201)/(Driver!$G$201-Driver!$F$201),1)</f>
        <v/>
      </c>
      <c r="BJ269" s="102">
        <f>(CB269-Driver!$F$206)/(Driver!$G$206-Driver!$F$206)*$BI$1</f>
        <v/>
      </c>
      <c r="BK269" s="102">
        <f>(CD269-Driver!$F$203)/(Driver!$G$203-Driver!$F$203)*$BI$1</f>
        <v/>
      </c>
      <c r="BL269" s="102">
        <f>MAX((CR269-Driver!$F$202)/(Driver!$G$202-Driver!$F$202)*$BI$1,1)</f>
        <v/>
      </c>
      <c r="BM269" s="102">
        <f>MAX((CH269-Driver!$F$204)/(Driver!$G$204-Driver!$F$204)*$BI$1,1)</f>
        <v/>
      </c>
      <c r="BN269" s="102">
        <f>(CI269-Driver!$F$205)/(Driver!$G$205-Driver!$F$205)*$BI$1</f>
        <v/>
      </c>
      <c r="BO269" s="102">
        <f>(CK269-Driver!$F$207)/(Driver!$G$207-Driver!$F$207)*$BI$1</f>
        <v/>
      </c>
      <c r="BP269" s="102">
        <f>(CM269-Driver!$F$208)/(Driver!$G$208-Driver!$F$208)*$BI$1</f>
        <v/>
      </c>
      <c r="BQ269" s="102">
        <f>(CL269-Driver!$F$209)/(Driver!$G$209-Driver!$F$209)*$BI$1</f>
        <v/>
      </c>
      <c r="BR269" s="40" t="inlineStr">
        <is>
          <t>21/22</t>
        </is>
      </c>
      <c r="BS269" s="10" t="inlineStr">
        <is>
          <t xml:space="preserve"> Völkl</t>
        </is>
      </c>
      <c r="BT269" s="11" t="inlineStr">
        <is>
          <t>Bash 86</t>
        </is>
      </c>
      <c r="BU269" s="13" t="n">
        <v>172</v>
      </c>
      <c r="BV269" s="11" t="inlineStr">
        <is>
          <t xml:space="preserve"> Unisex</t>
        </is>
      </c>
      <c r="BW269" s="13" t="n">
        <v>172</v>
      </c>
      <c r="BX269" s="13" t="n">
        <v>173</v>
      </c>
      <c r="BY269" s="13" t="n">
        <v>129</v>
      </c>
      <c r="BZ269" s="13" t="n">
        <v>159</v>
      </c>
      <c r="CA269" s="13" t="n">
        <v>119</v>
      </c>
      <c r="CB269" s="13" t="n">
        <v>85</v>
      </c>
      <c r="CC269" s="13" t="n">
        <v>109</v>
      </c>
      <c r="CD269" s="13" t="n">
        <v>21.2</v>
      </c>
      <c r="CE269" s="13" t="n">
        <v>1754</v>
      </c>
      <c r="CF269" s="13" t="n">
        <v>0.9399999999999999</v>
      </c>
      <c r="CG269" s="13" t="n">
        <v>1655</v>
      </c>
      <c r="CH269" s="13" t="n">
        <v>188</v>
      </c>
      <c r="CI269" s="13" t="n">
        <v>92</v>
      </c>
      <c r="CJ269" s="13" t="n">
        <v>42</v>
      </c>
      <c r="CK269" s="13" t="n">
        <v>226</v>
      </c>
      <c r="CL269" s="13" t="n">
        <v>36</v>
      </c>
      <c r="CM269" s="13" t="n">
        <v>210</v>
      </c>
      <c r="CN269" s="13" t="n">
        <v>0.861</v>
      </c>
      <c r="CO269" s="13" t="n">
        <v>81</v>
      </c>
      <c r="CP269" s="13" t="n">
        <v>62</v>
      </c>
      <c r="CQ269" s="13" t="n">
        <v>145</v>
      </c>
      <c r="CR269" s="13" t="n">
        <v>6</v>
      </c>
      <c r="CS269" s="13" t="n">
        <v>2</v>
      </c>
      <c r="CT269" s="11" t="inlineStr">
        <is>
          <t xml:space="preserve"> Freeski</t>
        </is>
      </c>
      <c r="CU269" s="13" t="n"/>
      <c r="CV269" s="13" t="n"/>
      <c r="CW269" s="13" t="n"/>
      <c r="CX269">
        <f>INDEX('Data_Price '!AG$2:AG$1266,MATCH(Data!$DN269,'Data_Price '!$AT$2:$AT$1266,0))</f>
        <v/>
      </c>
      <c r="CY269">
        <f>INDEX('Data_Price '!AH$2:AH$1266,MATCH(Data!$DN269,'Data_Price '!$AT$2:$AT$1266,0))</f>
        <v/>
      </c>
      <c r="CZ269">
        <f>INDEX('Data_Price '!AI$2:AI$1266,MATCH(Data!$DN269,'Data_Price '!$AT$2:$AT$1266,0))</f>
        <v/>
      </c>
      <c r="DA269">
        <f>INDEX('Data_Price '!AJ$2:AJ$1266,MATCH(Data!$DN269,'Data_Price '!$AT$2:$AT$1266,0))</f>
        <v/>
      </c>
      <c r="DB269">
        <f>INDEX('Data_Price '!AK$2:AK$1266,MATCH(Data!$DN269,'Data_Price '!$AT$2:$AT$1266,0))</f>
        <v/>
      </c>
      <c r="DC269">
        <f>INDEX('Data_Price '!AL$2:AL$1266,MATCH(Data!$DN269,'Data_Price '!$AT$2:$AT$1266,0))</f>
        <v/>
      </c>
      <c r="DD269">
        <f>INDEX('Data_Price '!AM$2:AM$1266,MATCH(Data!$DN269,'Data_Price '!$AT$2:$AT$1266,0))</f>
        <v/>
      </c>
      <c r="DE269">
        <f>INDEX('Data_Price '!AN$2:AN$1266,MATCH(Data!$DN269,'Data_Price '!$AT$2:$AT$1266,0))</f>
        <v/>
      </c>
      <c r="DF269">
        <f>INDEX('Data_Price '!AO$2:AO$1266,MATCH(Data!$DN269,'Data_Price '!$AT$2:$AT$1266,0))</f>
        <v/>
      </c>
      <c r="DG269">
        <f>INDEX('Data_Price '!AP$2:AP$1266,MATCH(Data!$DN269,'Data_Price '!$AT$2:$AT$1266,0))</f>
        <v/>
      </c>
      <c r="DH269">
        <f>INDEX('Data_Price '!AQ$2:AQ$1266,MATCH(Data!$DN269,'Data_Price '!$AT$2:$AT$1266,0))</f>
        <v/>
      </c>
      <c r="DI269">
        <f>INDEX('Data_Price '!AR$2:AR$1266,MATCH(Data!$DN269,'Data_Price '!$AT$2:$AT$1266,0))</f>
        <v/>
      </c>
      <c r="DJ269" s="138">
        <f>DA269</f>
        <v/>
      </c>
      <c r="DK269" s="138">
        <f>DE269</f>
        <v/>
      </c>
      <c r="DL269" s="138">
        <f>DI269</f>
        <v/>
      </c>
      <c r="DM269" s="303">
        <f>IF(LEFT(BT269,1)=" ",RIGHT(BT269,LEN(BT269)-1),BT269)</f>
        <v/>
      </c>
      <c r="DN269" s="138">
        <f>_xlfn.CONCAT(BS269,DM269,BU269,BV269)</f>
        <v/>
      </c>
      <c r="DO269" s="307" t="inlineStr">
        <is>
          <t>https://images.evo.com/imgp/250/183430/726763/clone.jpg</t>
        </is>
      </c>
    </row>
    <row r="270" ht="15.6" customHeight="1" s="184">
      <c r="B270" s="303">
        <f t="array" ref="B270">IF(OR(ISERROR(K270:P270)),FALSE,TRUE)</f>
        <v/>
      </c>
      <c r="C270" s="60">
        <f>OR(BR270=Driver!$G$50,Data!BR406=Driver!$H$50)</f>
        <v/>
      </c>
      <c r="D270" s="60">
        <f>OR(BV270=Driver!$G$51,BV270=Driver!$H$51)</f>
        <v/>
      </c>
      <c r="E270" s="60">
        <f>AND(BX270&gt;Driver!$F$54,BX270&lt;Driver!$G$54)</f>
        <v/>
      </c>
      <c r="F270" s="60">
        <f>CL270&gt;Driver!$F$56</f>
        <v/>
      </c>
      <c r="G270" s="60">
        <f>AND(CB270&gt;Driver!$F$55,CB270&lt;Driver!$G$55)</f>
        <v/>
      </c>
      <c r="H270" s="60">
        <f>AND(B270:G270)</f>
        <v/>
      </c>
      <c r="I270" s="60">
        <f>COUNTIFS($H$9:$H$1273,TRUE,$BT$9:$BT$1273,BT270)</f>
        <v/>
      </c>
      <c r="J270" s="60">
        <f t="array" ref="J270">NOT(OR(($H$9:$H$1273=TRUE)*($I$9:$I$1273&gt;0)*($BT$9:$BT$1273=BT270)*($K$9:$K$1273&gt;K270)))</f>
        <v/>
      </c>
      <c r="K270" s="108">
        <f>IFERROR(1-AVERAGE(X270:Y270),"")</f>
        <v/>
      </c>
      <c r="L270" s="108">
        <f>1-X270</f>
        <v/>
      </c>
      <c r="M270" s="108">
        <f>1-Y270</f>
        <v/>
      </c>
      <c r="N270" s="108">
        <f>1-Z270</f>
        <v/>
      </c>
      <c r="O270" s="108">
        <f>1-AA270</f>
        <v/>
      </c>
      <c r="P270" s="108">
        <f>1-AB270</f>
        <v/>
      </c>
      <c r="Q270" s="108" t="n"/>
      <c r="R270" s="108" t="n"/>
      <c r="S270" s="108">
        <f>1-AE270</f>
        <v/>
      </c>
      <c r="T270" s="108">
        <f>1-AF270</f>
        <v/>
      </c>
      <c r="U270" s="108">
        <f>1-AG270</f>
        <v/>
      </c>
      <c r="V270" s="108">
        <f>1-AH270</f>
        <v/>
      </c>
      <c r="W270" s="108">
        <f>1-AI270</f>
        <v/>
      </c>
      <c r="X270" s="108">
        <f>ABS(AJ270-AJ$1)</f>
        <v/>
      </c>
      <c r="Y270" s="108">
        <f>AVERAGE(Z270:AB270)</f>
        <v/>
      </c>
      <c r="Z270" s="108">
        <f>ABS(AL270-AL$1)</f>
        <v/>
      </c>
      <c r="AA270" s="108">
        <f>ABS(AM270-AM$1)</f>
        <v/>
      </c>
      <c r="AB270" s="108">
        <f>ABS(AN270-AN$1)</f>
        <v/>
      </c>
      <c r="AC270" s="108" t="n"/>
      <c r="AD270" s="108" t="n"/>
      <c r="AE270" s="108">
        <f>ABS(AQ$1-AQ270)</f>
        <v/>
      </c>
      <c r="AF270" s="108">
        <f>ABS(AR$1-AR270)</f>
        <v/>
      </c>
      <c r="AG270" s="108">
        <f>ABS(AS$1-AS270)</f>
        <v/>
      </c>
      <c r="AH270" s="108">
        <f>ABS(AT$1-AT270)</f>
        <v/>
      </c>
      <c r="AI270" s="108">
        <f>ABS(AU$1-AU270)</f>
        <v/>
      </c>
      <c r="AJ270" s="108">
        <f>(AV270-Driver!$K$179)/(Driver!$L$179-Driver!$K$179)</f>
        <v/>
      </c>
      <c r="AK270" s="108">
        <f>(AW270-Driver!$K$180)/(Driver!$L$180-Driver!$K$180)</f>
        <v/>
      </c>
      <c r="AL270" s="108">
        <f>(AX270-Driver!$K$181)/(Driver!$L$181-Driver!$K$181)</f>
        <v/>
      </c>
      <c r="AM270" s="108">
        <f>(AY270-Driver!$K$182)/(Driver!$L$182-Driver!$K$182)</f>
        <v/>
      </c>
      <c r="AN270" s="108">
        <f>(AZ270-Driver!$K$183)/(Driver!$L$183-Driver!$K$183)</f>
        <v/>
      </c>
      <c r="AO270" s="108" t="n"/>
      <c r="AP270" s="108" t="n"/>
      <c r="AQ270" s="108">
        <f>(BC270-Driver!$K$188)/(Driver!$L$188-Driver!$K$188)</f>
        <v/>
      </c>
      <c r="AR270" s="108">
        <f>MIN((BD270-Driver!$K$189)/(Driver!$L$189-Driver!$K$189),100%)</f>
        <v/>
      </c>
      <c r="AS270" s="108">
        <f>(BE270-Driver!$K$190)/(Driver!$L$190-Driver!$K$190)</f>
        <v/>
      </c>
      <c r="AT270" s="108">
        <f>(BF270-Driver!$K$191)/(Driver!$L$191-Driver!$K$191)</f>
        <v/>
      </c>
      <c r="AU270" s="108">
        <f>(BG270-Driver!$K$192)/(Driver!$L$192-Driver!$K$192)</f>
        <v/>
      </c>
      <c r="AV270" s="105">
        <f>IFERROR(BM270*BJ270^1/4,"")</f>
        <v/>
      </c>
      <c r="AW270" s="105">
        <f>IFERROR(SUM(AX270:AZ270),"")</f>
        <v/>
      </c>
      <c r="AX270" s="105">
        <f>IFERROR(BH270,"")</f>
        <v/>
      </c>
      <c r="AY270" s="105">
        <f>IFERROR(Driver!$K$19/Data!BH270/Data!BI270*Data!BK270*Data!BL270,"")</f>
        <v/>
      </c>
      <c r="AZ270" s="105">
        <f>IFERROR(BI270*BN270,"")</f>
        <v/>
      </c>
      <c r="BA270" s="105" t="n"/>
      <c r="BB270" s="105" t="n"/>
      <c r="BC270" s="105">
        <f>IFERROR(BI270*BN270*BK270/BJ270^(1/2),"")</f>
        <v/>
      </c>
      <c r="BD270" s="105">
        <f>IFERROR(BH270*BM270*BL270/BJ270/BK270,"")</f>
        <v/>
      </c>
      <c r="BE270" s="105">
        <f>IFERROR(MIN(BI270/BQ270/BP270/BO270/BH270,$BE$1),"")</f>
        <v/>
      </c>
      <c r="BF270" s="105">
        <f>IFERROR(BJ270*BO270*BP270/BK270,"")</f>
        <v/>
      </c>
      <c r="BG270" s="105">
        <f>IFERROR(1/BM270/BH270*BQ270,"")</f>
        <v/>
      </c>
      <c r="BH270" s="102">
        <f>MAX((CE270-Driver!$F$200)/(Driver!$G$200-Driver!$F$200)*$BI$1,1)</f>
        <v/>
      </c>
      <c r="BI270" s="102">
        <f>MAX($BI$1*(BY270-Driver!$F$201)/(Driver!$G$201-Driver!$F$201),1)</f>
        <v/>
      </c>
      <c r="BJ270" s="102">
        <f>(CB270-Driver!$F$206)/(Driver!$G$206-Driver!$F$206)*$BI$1</f>
        <v/>
      </c>
      <c r="BK270" s="102">
        <f>(CD270-Driver!$F$203)/(Driver!$G$203-Driver!$F$203)*$BI$1</f>
        <v/>
      </c>
      <c r="BL270" s="102">
        <f>MAX((CR270-Driver!$F$202)/(Driver!$G$202-Driver!$F$202)*$BI$1,1)</f>
        <v/>
      </c>
      <c r="BM270" s="102">
        <f>MAX((CH270-Driver!$F$204)/(Driver!$G$204-Driver!$F$204)*$BI$1,1)</f>
        <v/>
      </c>
      <c r="BN270" s="102">
        <f>(CI270-Driver!$F$205)/(Driver!$G$205-Driver!$F$205)*$BI$1</f>
        <v/>
      </c>
      <c r="BO270" s="102">
        <f>(CK270-Driver!$F$207)/(Driver!$G$207-Driver!$F$207)*$BI$1</f>
        <v/>
      </c>
      <c r="BP270" s="102">
        <f>(CM270-Driver!$F$208)/(Driver!$G$208-Driver!$F$208)*$BI$1</f>
        <v/>
      </c>
      <c r="BQ270" s="102">
        <f>(CL270-Driver!$F$209)/(Driver!$G$209-Driver!$F$209)*$BI$1</f>
        <v/>
      </c>
      <c r="BR270" s="40" t="inlineStr">
        <is>
          <t>21/22</t>
        </is>
      </c>
      <c r="BS270" s="10" t="inlineStr">
        <is>
          <t xml:space="preserve"> Dynastar</t>
        </is>
      </c>
      <c r="BT270" s="11" t="inlineStr">
        <is>
          <t>M-Pro 99 W</t>
        </is>
      </c>
      <c r="BU270" s="13" t="n">
        <v>154</v>
      </c>
      <c r="BV270" s="11" t="inlineStr">
        <is>
          <t xml:space="preserve"> Women's</t>
        </is>
      </c>
      <c r="BW270" s="13" t="n">
        <v>154</v>
      </c>
      <c r="BX270" s="13" t="n">
        <v>153.7</v>
      </c>
      <c r="BY270" s="13" t="n">
        <v>105</v>
      </c>
      <c r="BZ270" s="13" t="n">
        <v>124</v>
      </c>
      <c r="CA270" s="13" t="n">
        <v>124</v>
      </c>
      <c r="CB270" s="13" t="n">
        <v>95</v>
      </c>
      <c r="CC270" s="13" t="n">
        <v>114</v>
      </c>
      <c r="CD270" s="13" t="n">
        <v>13.8</v>
      </c>
      <c r="CE270" s="13" t="n">
        <v>1561</v>
      </c>
      <c r="CF270" s="13" t="n">
        <v>1.03</v>
      </c>
      <c r="CG270" s="13" t="n">
        <v>1614</v>
      </c>
      <c r="CH270" s="13" t="n">
        <v>205</v>
      </c>
      <c r="CI270" s="13" t="n">
        <v>91</v>
      </c>
      <c r="CJ270" s="13" t="n">
        <v>64</v>
      </c>
      <c r="CK270" s="13" t="n">
        <v>334</v>
      </c>
      <c r="CL270" s="13" t="n">
        <v>14</v>
      </c>
      <c r="CM270" s="13" t="n">
        <v>150</v>
      </c>
      <c r="CN270" s="13" t="n">
        <v>0.225</v>
      </c>
      <c r="CO270" s="13" t="n">
        <v>194</v>
      </c>
      <c r="CP270" s="13" t="n">
        <v>99</v>
      </c>
      <c r="CQ270" s="13" t="n">
        <v>140</v>
      </c>
      <c r="CR270" s="13" t="n">
        <v>4</v>
      </c>
      <c r="CS270" s="13" t="n">
        <v>11.2</v>
      </c>
      <c r="CT270" s="11" t="inlineStr">
        <is>
          <t xml:space="preserve"> Resort Freeride</t>
        </is>
      </c>
      <c r="CU270" s="13" t="n"/>
      <c r="CV270" s="13" t="n"/>
      <c r="CW270" s="13" t="n"/>
      <c r="CX270">
        <f>INDEX('Data_Price '!AG$2:AG$1266,MATCH(Data!$DN270,'Data_Price '!$AT$2:$AT$1266,0))</f>
        <v/>
      </c>
      <c r="CY270">
        <f>INDEX('Data_Price '!AH$2:AH$1266,MATCH(Data!$DN270,'Data_Price '!$AT$2:$AT$1266,0))</f>
        <v/>
      </c>
      <c r="CZ270">
        <f>INDEX('Data_Price '!AI$2:AI$1266,MATCH(Data!$DN270,'Data_Price '!$AT$2:$AT$1266,0))</f>
        <v/>
      </c>
      <c r="DA270">
        <f>INDEX('Data_Price '!AJ$2:AJ$1266,MATCH(Data!$DN270,'Data_Price '!$AT$2:$AT$1266,0))</f>
        <v/>
      </c>
      <c r="DB270">
        <f>INDEX('Data_Price '!AK$2:AK$1266,MATCH(Data!$DN270,'Data_Price '!$AT$2:$AT$1266,0))</f>
        <v/>
      </c>
      <c r="DC270">
        <f>INDEX('Data_Price '!AL$2:AL$1266,MATCH(Data!$DN270,'Data_Price '!$AT$2:$AT$1266,0))</f>
        <v/>
      </c>
      <c r="DD270">
        <f>INDEX('Data_Price '!AM$2:AM$1266,MATCH(Data!$DN270,'Data_Price '!$AT$2:$AT$1266,0))</f>
        <v/>
      </c>
      <c r="DE270">
        <f>INDEX('Data_Price '!AN$2:AN$1266,MATCH(Data!$DN270,'Data_Price '!$AT$2:$AT$1266,0))</f>
        <v/>
      </c>
      <c r="DF270">
        <f>INDEX('Data_Price '!AO$2:AO$1266,MATCH(Data!$DN270,'Data_Price '!$AT$2:$AT$1266,0))</f>
        <v/>
      </c>
      <c r="DG270">
        <f>INDEX('Data_Price '!AP$2:AP$1266,MATCH(Data!$DN270,'Data_Price '!$AT$2:$AT$1266,0))</f>
        <v/>
      </c>
      <c r="DH270">
        <f>INDEX('Data_Price '!AQ$2:AQ$1266,MATCH(Data!$DN270,'Data_Price '!$AT$2:$AT$1266,0))</f>
        <v/>
      </c>
      <c r="DI270">
        <f>INDEX('Data_Price '!AR$2:AR$1266,MATCH(Data!$DN270,'Data_Price '!$AT$2:$AT$1266,0))</f>
        <v/>
      </c>
      <c r="DJ270" s="138">
        <f>DA270</f>
        <v/>
      </c>
      <c r="DK270" s="138">
        <f>DE270</f>
        <v/>
      </c>
      <c r="DL270" s="138">
        <f>DI270</f>
        <v/>
      </c>
      <c r="DM270" s="303">
        <f>IF(LEFT(BT270,1)=" ",RIGHT(BT270,LEN(BT270)-1),BT270)</f>
        <v/>
      </c>
      <c r="DN270" s="138">
        <f>_xlfn.CONCAT(BS270,DM270,BU270,BV270)</f>
        <v/>
      </c>
      <c r="DO270" s="307" t="inlineStr">
        <is>
          <t>https://images.evo.com/imgp/250/185155/736345/dynastar-m-pro-99-w-skis-women-s-2022-.jpg</t>
        </is>
      </c>
    </row>
    <row r="271" ht="15.6" customHeight="1" s="184">
      <c r="B271" s="303">
        <f t="array" ref="B271">IF(OR(ISERROR(K271:P271)),FALSE,TRUE)</f>
        <v/>
      </c>
      <c r="C271" s="60">
        <f>OR(BR271=Driver!$G$50,Data!BR1108=Driver!$H$50)</f>
        <v/>
      </c>
      <c r="D271" s="60">
        <f>OR(BV271=Driver!$G$51,BV271=Driver!$H$51)</f>
        <v/>
      </c>
      <c r="E271" s="60">
        <f>AND(BX271&gt;Driver!$F$54,BX271&lt;Driver!$G$54)</f>
        <v/>
      </c>
      <c r="F271" s="60">
        <f>CL271&gt;Driver!$F$56</f>
        <v/>
      </c>
      <c r="G271" s="60">
        <f>AND(CB271&gt;Driver!$F$55,CB271&lt;Driver!$G$55)</f>
        <v/>
      </c>
      <c r="H271" s="60">
        <f>AND(B271:G271)</f>
        <v/>
      </c>
      <c r="I271" s="60">
        <f>COUNTIFS($H$9:$H$1273,TRUE,$BT$9:$BT$1273,BT271)</f>
        <v/>
      </c>
      <c r="J271" s="60">
        <f t="array" ref="J271">NOT(OR(($H$9:$H$1273=TRUE)*($I$9:$I$1273&gt;0)*($BT$9:$BT$1273=BT271)*($K$9:$K$1273&gt;K271)))</f>
        <v/>
      </c>
      <c r="K271" s="108">
        <f>IFERROR(1-AVERAGE(X271:Y271),"")</f>
        <v/>
      </c>
      <c r="L271" s="108">
        <f>1-X271</f>
        <v/>
      </c>
      <c r="M271" s="108">
        <f>1-Y271</f>
        <v/>
      </c>
      <c r="N271" s="108">
        <f>1-Z271</f>
        <v/>
      </c>
      <c r="O271" s="108">
        <f>1-AA271</f>
        <v/>
      </c>
      <c r="P271" s="108">
        <f>1-AB271</f>
        <v/>
      </c>
      <c r="Q271" s="108" t="n"/>
      <c r="R271" s="108" t="n"/>
      <c r="S271" s="108">
        <f>1-AE271</f>
        <v/>
      </c>
      <c r="T271" s="108">
        <f>1-AF271</f>
        <v/>
      </c>
      <c r="U271" s="108">
        <f>1-AG271</f>
        <v/>
      </c>
      <c r="V271" s="108">
        <f>1-AH271</f>
        <v/>
      </c>
      <c r="W271" s="108">
        <f>1-AI271</f>
        <v/>
      </c>
      <c r="X271" s="108">
        <f>ABS(AJ271-AJ$1)</f>
        <v/>
      </c>
      <c r="Y271" s="108">
        <f>AVERAGE(Z271:AB271)</f>
        <v/>
      </c>
      <c r="Z271" s="108">
        <f>ABS(AL271-AL$1)</f>
        <v/>
      </c>
      <c r="AA271" s="108">
        <f>ABS(AM271-AM$1)</f>
        <v/>
      </c>
      <c r="AB271" s="108">
        <f>ABS(AN271-AN$1)</f>
        <v/>
      </c>
      <c r="AC271" s="108" t="n"/>
      <c r="AD271" s="108" t="n"/>
      <c r="AE271" s="108">
        <f>ABS(AQ$1-AQ271)</f>
        <v/>
      </c>
      <c r="AF271" s="108">
        <f>ABS(AR$1-AR271)</f>
        <v/>
      </c>
      <c r="AG271" s="108">
        <f>ABS(AS$1-AS271)</f>
        <v/>
      </c>
      <c r="AH271" s="108">
        <f>ABS(AT$1-AT271)</f>
        <v/>
      </c>
      <c r="AI271" s="108">
        <f>ABS(AU$1-AU271)</f>
        <v/>
      </c>
      <c r="AJ271" s="108">
        <f>(AV271-Driver!$K$179)/(Driver!$L$179-Driver!$K$179)</f>
        <v/>
      </c>
      <c r="AK271" s="108">
        <f>(AW271-Driver!$K$180)/(Driver!$L$180-Driver!$K$180)</f>
        <v/>
      </c>
      <c r="AL271" s="108">
        <f>(AX271-Driver!$K$181)/(Driver!$L$181-Driver!$K$181)</f>
        <v/>
      </c>
      <c r="AM271" s="108">
        <f>(AY271-Driver!$K$182)/(Driver!$L$182-Driver!$K$182)</f>
        <v/>
      </c>
      <c r="AN271" s="108">
        <f>(AZ271-Driver!$K$183)/(Driver!$L$183-Driver!$K$183)</f>
        <v/>
      </c>
      <c r="AO271" s="108" t="n"/>
      <c r="AP271" s="108" t="n"/>
      <c r="AQ271" s="108">
        <f>(BC271-Driver!$K$188)/(Driver!$L$188-Driver!$K$188)</f>
        <v/>
      </c>
      <c r="AR271" s="108">
        <f>MIN((BD271-Driver!$K$189)/(Driver!$L$189-Driver!$K$189),100%)</f>
        <v/>
      </c>
      <c r="AS271" s="108">
        <f>(BE271-Driver!$K$190)/(Driver!$L$190-Driver!$K$190)</f>
        <v/>
      </c>
      <c r="AT271" s="108">
        <f>(BF271-Driver!$K$191)/(Driver!$L$191-Driver!$K$191)</f>
        <v/>
      </c>
      <c r="AU271" s="108">
        <f>(BG271-Driver!$K$192)/(Driver!$L$192-Driver!$K$192)</f>
        <v/>
      </c>
      <c r="AV271" s="105">
        <f>IFERROR(BM271*BJ271^1/4,"")</f>
        <v/>
      </c>
      <c r="AW271" s="105">
        <f>IFERROR(SUM(AX271:AZ271),"")</f>
        <v/>
      </c>
      <c r="AX271" s="105">
        <f>IFERROR(BH271,"")</f>
        <v/>
      </c>
      <c r="AY271" s="105">
        <f>IFERROR(Driver!$K$19/Data!BH271/Data!BI271*Data!BK271*Data!BL271,"")</f>
        <v/>
      </c>
      <c r="AZ271" s="105">
        <f>IFERROR(BI271*BN271,"")</f>
        <v/>
      </c>
      <c r="BA271" s="105" t="n"/>
      <c r="BB271" s="105" t="n"/>
      <c r="BC271" s="105">
        <f>IFERROR(BI271*BN271*BK271/BJ271^(1/2),"")</f>
        <v/>
      </c>
      <c r="BD271" s="105">
        <f>IFERROR(BH271*BM271*BL271/BJ271/BK271,"")</f>
        <v/>
      </c>
      <c r="BE271" s="105">
        <f>IFERROR(MIN(BI271/BQ271/BP271/BO271/BH271,$BE$1),"")</f>
        <v/>
      </c>
      <c r="BF271" s="105">
        <f>IFERROR(BJ271*BO271*BP271/BK271,"")</f>
        <v/>
      </c>
      <c r="BG271" s="105">
        <f>IFERROR(1/BM271/BH271*BQ271,"")</f>
        <v/>
      </c>
      <c r="BH271" s="102">
        <f>MAX((CE271-Driver!$F$200)/(Driver!$G$200-Driver!$F$200)*$BI$1,1)</f>
        <v/>
      </c>
      <c r="BI271" s="102">
        <f>MAX($BI$1*(BY271-Driver!$F$201)/(Driver!$G$201-Driver!$F$201),1)</f>
        <v/>
      </c>
      <c r="BJ271" s="102">
        <f>(CB271-Driver!$F$206)/(Driver!$G$206-Driver!$F$206)*$BI$1</f>
        <v/>
      </c>
      <c r="BK271" s="102">
        <f>(CD271-Driver!$F$203)/(Driver!$G$203-Driver!$F$203)*$BI$1</f>
        <v/>
      </c>
      <c r="BL271" s="102">
        <f>MAX((CR271-Driver!$F$202)/(Driver!$G$202-Driver!$F$202)*$BI$1,1)</f>
        <v/>
      </c>
      <c r="BM271" s="102">
        <f>MAX((CH271-Driver!$F$204)/(Driver!$G$204-Driver!$F$204)*$BI$1,1)</f>
        <v/>
      </c>
      <c r="BN271" s="102">
        <f>(CI271-Driver!$F$205)/(Driver!$G$205-Driver!$F$205)*$BI$1</f>
        <v/>
      </c>
      <c r="BO271" s="102">
        <f>(CK271-Driver!$F$207)/(Driver!$G$207-Driver!$F$207)*$BI$1</f>
        <v/>
      </c>
      <c r="BP271" s="102">
        <f>(CM271-Driver!$F$208)/(Driver!$G$208-Driver!$F$208)*$BI$1</f>
        <v/>
      </c>
      <c r="BQ271" s="102">
        <f>(CL271-Driver!$F$209)/(Driver!$G$209-Driver!$F$209)*$BI$1</f>
        <v/>
      </c>
      <c r="BR271" s="40" t="inlineStr">
        <is>
          <t>21/22</t>
        </is>
      </c>
      <c r="BS271" s="10" t="inlineStr">
        <is>
          <t xml:space="preserve"> Salomon</t>
        </is>
      </c>
      <c r="BT271" s="11" t="inlineStr">
        <is>
          <t>Stance 90</t>
        </is>
      </c>
      <c r="BU271" s="13" t="n">
        <v>168</v>
      </c>
      <c r="BV271" s="11" t="inlineStr">
        <is>
          <t xml:space="preserve"> Unisex</t>
        </is>
      </c>
      <c r="BW271" s="13" t="n">
        <v>168</v>
      </c>
      <c r="BX271" s="13" t="n">
        <v>167</v>
      </c>
      <c r="BY271" s="13" t="n">
        <v>129</v>
      </c>
      <c r="BZ271" s="13" t="n">
        <v>138</v>
      </c>
      <c r="CA271" s="13" t="n">
        <v>122</v>
      </c>
      <c r="CB271" s="13" t="n">
        <v>88</v>
      </c>
      <c r="CC271" s="13" t="n">
        <v>104</v>
      </c>
      <c r="CD271" s="13" t="n">
        <v>16.9</v>
      </c>
      <c r="CE271" s="13" t="n">
        <v>1643</v>
      </c>
      <c r="CF271" s="13" t="n">
        <v>1</v>
      </c>
      <c r="CG271" s="13" t="n">
        <v>1650</v>
      </c>
      <c r="CH271" s="13" t="n">
        <v>164</v>
      </c>
      <c r="CI271" s="13" t="n">
        <v>91</v>
      </c>
      <c r="CJ271" s="13" t="n">
        <v>47</v>
      </c>
      <c r="CK271" s="13" t="n">
        <v>220</v>
      </c>
      <c r="CL271" s="13" t="n">
        <v>8</v>
      </c>
      <c r="CM271" s="13" t="n">
        <v>158</v>
      </c>
      <c r="CN271" s="13" t="n">
        <v>0.161</v>
      </c>
      <c r="CO271" s="13" t="n">
        <v>168</v>
      </c>
      <c r="CP271" s="13" t="n">
        <v>124</v>
      </c>
      <c r="CQ271" s="13" t="n">
        <v>53</v>
      </c>
      <c r="CR271" s="13" t="n">
        <v>9</v>
      </c>
      <c r="CS271" s="13" t="n">
        <v>9.699999999999999</v>
      </c>
      <c r="CT271" s="11" t="inlineStr">
        <is>
          <t xml:space="preserve"> Resort Freeride</t>
        </is>
      </c>
      <c r="CU271" s="13" t="n"/>
      <c r="CV271" s="13" t="n"/>
      <c r="CW271" s="13" t="n"/>
      <c r="CX271">
        <f>INDEX('Data_Price '!AG$2:AG$1266,MATCH(Data!$DN271,'Data_Price '!$AT$2:$AT$1266,0))</f>
        <v/>
      </c>
      <c r="CY271">
        <f>INDEX('Data_Price '!AH$2:AH$1266,MATCH(Data!$DN271,'Data_Price '!$AT$2:$AT$1266,0))</f>
        <v/>
      </c>
      <c r="CZ271">
        <f>INDEX('Data_Price '!AI$2:AI$1266,MATCH(Data!$DN271,'Data_Price '!$AT$2:$AT$1266,0))</f>
        <v/>
      </c>
      <c r="DA271">
        <f>INDEX('Data_Price '!AJ$2:AJ$1266,MATCH(Data!$DN271,'Data_Price '!$AT$2:$AT$1266,0))</f>
        <v/>
      </c>
      <c r="DB271">
        <f>INDEX('Data_Price '!AK$2:AK$1266,MATCH(Data!$DN271,'Data_Price '!$AT$2:$AT$1266,0))</f>
        <v/>
      </c>
      <c r="DC271">
        <f>INDEX('Data_Price '!AL$2:AL$1266,MATCH(Data!$DN271,'Data_Price '!$AT$2:$AT$1266,0))</f>
        <v/>
      </c>
      <c r="DD271">
        <f>INDEX('Data_Price '!AM$2:AM$1266,MATCH(Data!$DN271,'Data_Price '!$AT$2:$AT$1266,0))</f>
        <v/>
      </c>
      <c r="DE271">
        <f>INDEX('Data_Price '!AN$2:AN$1266,MATCH(Data!$DN271,'Data_Price '!$AT$2:$AT$1266,0))</f>
        <v/>
      </c>
      <c r="DF271">
        <f>INDEX('Data_Price '!AO$2:AO$1266,MATCH(Data!$DN271,'Data_Price '!$AT$2:$AT$1266,0))</f>
        <v/>
      </c>
      <c r="DG271">
        <f>INDEX('Data_Price '!AP$2:AP$1266,MATCH(Data!$DN271,'Data_Price '!$AT$2:$AT$1266,0))</f>
        <v/>
      </c>
      <c r="DH271">
        <f>INDEX('Data_Price '!AQ$2:AQ$1266,MATCH(Data!$DN271,'Data_Price '!$AT$2:$AT$1266,0))</f>
        <v/>
      </c>
      <c r="DI271">
        <f>INDEX('Data_Price '!AR$2:AR$1266,MATCH(Data!$DN271,'Data_Price '!$AT$2:$AT$1266,0))</f>
        <v/>
      </c>
      <c r="DJ271" s="138">
        <f>DA271</f>
        <v/>
      </c>
      <c r="DK271" s="138">
        <f>DE271</f>
        <v/>
      </c>
      <c r="DL271" s="138">
        <f>DI271</f>
        <v/>
      </c>
      <c r="DM271" s="303">
        <f>IF(LEFT(BT271,1)=" ",RIGHT(BT271,LEN(BT271)-1),BT271)</f>
        <v/>
      </c>
      <c r="DN271" s="138">
        <f>_xlfn.CONCAT(BS271,DM271,BU271,BV271)</f>
        <v/>
      </c>
      <c r="DO271" s="307" t="inlineStr">
        <is>
          <t>https://images.evo.com/imgp/250/183473/737709/clone.jpg</t>
        </is>
      </c>
    </row>
    <row r="272" ht="15.6" customHeight="1" s="184">
      <c r="B272" s="303">
        <f t="array" ref="B272">IF(OR(ISERROR(K272:P272)),FALSE,TRUE)</f>
        <v/>
      </c>
      <c r="C272" s="60">
        <f>OR(BR272=Driver!$G$50,Data!BR1160=Driver!$H$50)</f>
        <v/>
      </c>
      <c r="D272" s="60">
        <f>OR(BV272=Driver!$G$51,BV272=Driver!$H$51)</f>
        <v/>
      </c>
      <c r="E272" s="60">
        <f>AND(BX272&gt;Driver!$F$54,BX272&lt;Driver!$G$54)</f>
        <v/>
      </c>
      <c r="F272" s="60">
        <f>CL272&gt;Driver!$F$56</f>
        <v/>
      </c>
      <c r="G272" s="60">
        <f>AND(CB272&gt;Driver!$F$55,CB272&lt;Driver!$G$55)</f>
        <v/>
      </c>
      <c r="H272" s="60">
        <f>AND(B272:G272)</f>
        <v/>
      </c>
      <c r="I272" s="60">
        <f>COUNTIFS($H$9:$H$1273,TRUE,$BT$9:$BT$1273,BT272)</f>
        <v/>
      </c>
      <c r="J272" s="60">
        <f t="array" ref="J272">NOT(OR(($H$9:$H$1273=TRUE)*($I$9:$I$1273&gt;0)*($BT$9:$BT$1273=BT272)*($K$9:$K$1273&gt;K272)))</f>
        <v/>
      </c>
      <c r="K272" s="108">
        <f>IFERROR(1-AVERAGE(X272:Y272),"")</f>
        <v/>
      </c>
      <c r="L272" s="108">
        <f>1-X272</f>
        <v/>
      </c>
      <c r="M272" s="108">
        <f>1-Y272</f>
        <v/>
      </c>
      <c r="N272" s="108">
        <f>1-Z272</f>
        <v/>
      </c>
      <c r="O272" s="108">
        <f>1-AA272</f>
        <v/>
      </c>
      <c r="P272" s="108">
        <f>1-AB272</f>
        <v/>
      </c>
      <c r="Q272" s="108" t="n"/>
      <c r="R272" s="108" t="n"/>
      <c r="S272" s="108">
        <f>1-AE272</f>
        <v/>
      </c>
      <c r="T272" s="108">
        <f>1-AF272</f>
        <v/>
      </c>
      <c r="U272" s="108">
        <f>1-AG272</f>
        <v/>
      </c>
      <c r="V272" s="108">
        <f>1-AH272</f>
        <v/>
      </c>
      <c r="W272" s="108">
        <f>1-AI272</f>
        <v/>
      </c>
      <c r="X272" s="108">
        <f>ABS(AJ272-AJ$1)</f>
        <v/>
      </c>
      <c r="Y272" s="108">
        <f>AVERAGE(Z272:AB272)</f>
        <v/>
      </c>
      <c r="Z272" s="108">
        <f>ABS(AL272-AL$1)</f>
        <v/>
      </c>
      <c r="AA272" s="108">
        <f>ABS(AM272-AM$1)</f>
        <v/>
      </c>
      <c r="AB272" s="108">
        <f>ABS(AN272-AN$1)</f>
        <v/>
      </c>
      <c r="AC272" s="108" t="n"/>
      <c r="AD272" s="108" t="n"/>
      <c r="AE272" s="108">
        <f>ABS(AQ$1-AQ272)</f>
        <v/>
      </c>
      <c r="AF272" s="108">
        <f>ABS(AR$1-AR272)</f>
        <v/>
      </c>
      <c r="AG272" s="108">
        <f>ABS(AS$1-AS272)</f>
        <v/>
      </c>
      <c r="AH272" s="108">
        <f>ABS(AT$1-AT272)</f>
        <v/>
      </c>
      <c r="AI272" s="108">
        <f>ABS(AU$1-AU272)</f>
        <v/>
      </c>
      <c r="AJ272" s="108">
        <f>(AV272-Driver!$K$179)/(Driver!$L$179-Driver!$K$179)</f>
        <v/>
      </c>
      <c r="AK272" s="108">
        <f>(AW272-Driver!$K$180)/(Driver!$L$180-Driver!$K$180)</f>
        <v/>
      </c>
      <c r="AL272" s="108">
        <f>(AX272-Driver!$K$181)/(Driver!$L$181-Driver!$K$181)</f>
        <v/>
      </c>
      <c r="AM272" s="108">
        <f>(AY272-Driver!$K$182)/(Driver!$L$182-Driver!$K$182)</f>
        <v/>
      </c>
      <c r="AN272" s="108">
        <f>(AZ272-Driver!$K$183)/(Driver!$L$183-Driver!$K$183)</f>
        <v/>
      </c>
      <c r="AO272" s="108" t="n"/>
      <c r="AP272" s="108" t="n"/>
      <c r="AQ272" s="108">
        <f>(BC272-Driver!$K$188)/(Driver!$L$188-Driver!$K$188)</f>
        <v/>
      </c>
      <c r="AR272" s="108">
        <f>MIN((BD272-Driver!$K$189)/(Driver!$L$189-Driver!$K$189),100%)</f>
        <v/>
      </c>
      <c r="AS272" s="108">
        <f>(BE272-Driver!$K$190)/(Driver!$L$190-Driver!$K$190)</f>
        <v/>
      </c>
      <c r="AT272" s="108">
        <f>(BF272-Driver!$K$191)/(Driver!$L$191-Driver!$K$191)</f>
        <v/>
      </c>
      <c r="AU272" s="108">
        <f>(BG272-Driver!$K$192)/(Driver!$L$192-Driver!$K$192)</f>
        <v/>
      </c>
      <c r="AV272" s="105">
        <f>IFERROR(BM272*BJ272^1/4,"")</f>
        <v/>
      </c>
      <c r="AW272" s="105">
        <f>IFERROR(SUM(AX272:AZ272),"")</f>
        <v/>
      </c>
      <c r="AX272" s="105">
        <f>IFERROR(BH272,"")</f>
        <v/>
      </c>
      <c r="AY272" s="105">
        <f>IFERROR(Driver!$K$19/Data!BH272/Data!BI272*Data!BK272*Data!BL272,"")</f>
        <v/>
      </c>
      <c r="AZ272" s="105">
        <f>IFERROR(BI272*BN272,"")</f>
        <v/>
      </c>
      <c r="BA272" s="105" t="n"/>
      <c r="BB272" s="105" t="n"/>
      <c r="BC272" s="105">
        <f>IFERROR(BI272*BN272*BK272/BJ272^(1/2),"")</f>
        <v/>
      </c>
      <c r="BD272" s="105">
        <f>IFERROR(BH272*BM272*BL272/BJ272/BK272,"")</f>
        <v/>
      </c>
      <c r="BE272" s="105">
        <f>IFERROR(MIN(BI272/BQ272/BP272/BO272/BH272,$BE$1),"")</f>
        <v/>
      </c>
      <c r="BF272" s="105">
        <f>IFERROR(BJ272*BO272*BP272/BK272,"")</f>
        <v/>
      </c>
      <c r="BG272" s="105">
        <f>IFERROR(1/BM272/BH272*BQ272,"")</f>
        <v/>
      </c>
      <c r="BH272" s="102">
        <f>MAX((CE272-Driver!$F$200)/(Driver!$G$200-Driver!$F$200)*$BI$1,1)</f>
        <v/>
      </c>
      <c r="BI272" s="102">
        <f>MAX($BI$1*(BY272-Driver!$F$201)/(Driver!$G$201-Driver!$F$201),1)</f>
        <v/>
      </c>
      <c r="BJ272" s="102">
        <f>(CB272-Driver!$F$206)/(Driver!$G$206-Driver!$F$206)*$BI$1</f>
        <v/>
      </c>
      <c r="BK272" s="102">
        <f>(CD272-Driver!$F$203)/(Driver!$G$203-Driver!$F$203)*$BI$1</f>
        <v/>
      </c>
      <c r="BL272" s="102">
        <f>MAX((CR272-Driver!$F$202)/(Driver!$G$202-Driver!$F$202)*$BI$1,1)</f>
        <v/>
      </c>
      <c r="BM272" s="102">
        <f>MAX((CH272-Driver!$F$204)/(Driver!$G$204-Driver!$F$204)*$BI$1,1)</f>
        <v/>
      </c>
      <c r="BN272" s="102">
        <f>(CI272-Driver!$F$205)/(Driver!$G$205-Driver!$F$205)*$BI$1</f>
        <v/>
      </c>
      <c r="BO272" s="102">
        <f>(CK272-Driver!$F$207)/(Driver!$G$207-Driver!$F$207)*$BI$1</f>
        <v/>
      </c>
      <c r="BP272" s="102">
        <f>(CM272-Driver!$F$208)/(Driver!$G$208-Driver!$F$208)*$BI$1</f>
        <v/>
      </c>
      <c r="BQ272" s="102">
        <f>(CL272-Driver!$F$209)/(Driver!$G$209-Driver!$F$209)*$BI$1</f>
        <v/>
      </c>
      <c r="BR272" s="40" t="inlineStr">
        <is>
          <t>21/22</t>
        </is>
      </c>
      <c r="BS272" s="10" t="inlineStr">
        <is>
          <t xml:space="preserve"> Völkl</t>
        </is>
      </c>
      <c r="BT272" s="11" t="inlineStr">
        <is>
          <t>Blaze 106 W</t>
        </is>
      </c>
      <c r="BU272" s="13" t="n">
        <v>158</v>
      </c>
      <c r="BV272" s="11" t="inlineStr">
        <is>
          <t xml:space="preserve"> Women's</t>
        </is>
      </c>
      <c r="BW272" s="13" t="n">
        <v>158</v>
      </c>
      <c r="BX272" s="13" t="n">
        <v>159.2</v>
      </c>
      <c r="BY272" s="13" t="n">
        <v>85</v>
      </c>
      <c r="BZ272" s="13" t="n">
        <v>135</v>
      </c>
      <c r="CA272" s="13" t="n">
        <v>145</v>
      </c>
      <c r="CB272" s="13" t="n">
        <v>105</v>
      </c>
      <c r="CC272" s="13" t="n">
        <v>127</v>
      </c>
      <c r="CD272" s="13" t="n">
        <v>13.8</v>
      </c>
      <c r="CE272" s="13" t="n">
        <v>1526</v>
      </c>
      <c r="CF272" s="13" t="n">
        <v>1.23</v>
      </c>
      <c r="CG272" s="13" t="n">
        <v>1873</v>
      </c>
      <c r="CH272" s="13" t="n">
        <v>189</v>
      </c>
      <c r="CI272" s="13" t="n">
        <v>101</v>
      </c>
      <c r="CJ272" s="13" t="n">
        <v>50</v>
      </c>
      <c r="CK272" s="13" t="n">
        <v>441</v>
      </c>
      <c r="CL272" s="13" t="n">
        <v>23</v>
      </c>
      <c r="CM272" s="13" t="n">
        <v>297</v>
      </c>
      <c r="CN272" s="13" t="n">
        <v>0.466</v>
      </c>
      <c r="CO272" s="13" t="n">
        <v>139</v>
      </c>
      <c r="CP272" s="13" t="n">
        <v>101</v>
      </c>
      <c r="CQ272" s="13" t="n">
        <v>302</v>
      </c>
      <c r="CR272" s="13" t="n">
        <v>1</v>
      </c>
      <c r="CS272" s="13" t="n">
        <v>11.6</v>
      </c>
      <c r="CT272" s="11" t="inlineStr">
        <is>
          <t xml:space="preserve"> Powder</t>
        </is>
      </c>
      <c r="CU272" s="11" t="inlineStr">
        <is>
          <t xml:space="preserve"> Touring</t>
        </is>
      </c>
      <c r="CV272" s="13" t="n"/>
      <c r="CW272" s="13" t="n"/>
      <c r="CX272">
        <f>INDEX('Data_Price '!AG$2:AG$1266,MATCH(Data!$DN272,'Data_Price '!$AT$2:$AT$1266,0))</f>
        <v/>
      </c>
      <c r="CY272">
        <f>INDEX('Data_Price '!AH$2:AH$1266,MATCH(Data!$DN272,'Data_Price '!$AT$2:$AT$1266,0))</f>
        <v/>
      </c>
      <c r="CZ272">
        <f>INDEX('Data_Price '!AI$2:AI$1266,MATCH(Data!$DN272,'Data_Price '!$AT$2:$AT$1266,0))</f>
        <v/>
      </c>
      <c r="DA272">
        <f>INDEX('Data_Price '!AJ$2:AJ$1266,MATCH(Data!$DN272,'Data_Price '!$AT$2:$AT$1266,0))</f>
        <v/>
      </c>
      <c r="DB272">
        <f>INDEX('Data_Price '!AK$2:AK$1266,MATCH(Data!$DN272,'Data_Price '!$AT$2:$AT$1266,0))</f>
        <v/>
      </c>
      <c r="DC272">
        <f>INDEX('Data_Price '!AL$2:AL$1266,MATCH(Data!$DN272,'Data_Price '!$AT$2:$AT$1266,0))</f>
        <v/>
      </c>
      <c r="DD272">
        <f>INDEX('Data_Price '!AM$2:AM$1266,MATCH(Data!$DN272,'Data_Price '!$AT$2:$AT$1266,0))</f>
        <v/>
      </c>
      <c r="DE272">
        <f>INDEX('Data_Price '!AN$2:AN$1266,MATCH(Data!$DN272,'Data_Price '!$AT$2:$AT$1266,0))</f>
        <v/>
      </c>
      <c r="DF272">
        <f>INDEX('Data_Price '!AO$2:AO$1266,MATCH(Data!$DN272,'Data_Price '!$AT$2:$AT$1266,0))</f>
        <v/>
      </c>
      <c r="DG272">
        <f>INDEX('Data_Price '!AP$2:AP$1266,MATCH(Data!$DN272,'Data_Price '!$AT$2:$AT$1266,0))</f>
        <v/>
      </c>
      <c r="DH272">
        <f>INDEX('Data_Price '!AQ$2:AQ$1266,MATCH(Data!$DN272,'Data_Price '!$AT$2:$AT$1266,0))</f>
        <v/>
      </c>
      <c r="DI272">
        <f>INDEX('Data_Price '!AR$2:AR$1266,MATCH(Data!$DN272,'Data_Price '!$AT$2:$AT$1266,0))</f>
        <v/>
      </c>
      <c r="DJ272" s="138">
        <f>DA272</f>
        <v/>
      </c>
      <c r="DK272" s="138">
        <f>DE272</f>
        <v/>
      </c>
      <c r="DL272" s="138">
        <f>DI272</f>
        <v/>
      </c>
      <c r="DM272" s="303">
        <f>IF(LEFT(BT272,1)=" ",RIGHT(BT272,LEN(BT272)-1),BT272)</f>
        <v/>
      </c>
      <c r="DN272" s="138">
        <f>_xlfn.CONCAT(BS272,DM272,BU272,BV272)</f>
        <v/>
      </c>
      <c r="DO272" s="307" t="inlineStr">
        <is>
          <t>https://images.evo.com/imgp/250/208353/837601/volkl-blaze-106-w-skis-women-s-2022-.jpg</t>
        </is>
      </c>
    </row>
    <row r="273" ht="15.6" customHeight="1" s="184">
      <c r="B273" s="303">
        <f t="array" ref="B273">IF(OR(ISERROR(K273:P273)),FALSE,TRUE)</f>
        <v/>
      </c>
      <c r="C273" s="60">
        <f>OR(BR273=Driver!$G$50,Data!BR739=Driver!$H$50)</f>
        <v/>
      </c>
      <c r="D273" s="60">
        <f>OR(BV273=Driver!$G$51,BV273=Driver!$H$51)</f>
        <v/>
      </c>
      <c r="E273" s="60">
        <f>AND(BX273&gt;Driver!$F$54,BX273&lt;Driver!$G$54)</f>
        <v/>
      </c>
      <c r="F273" s="60">
        <f>CL273&gt;Driver!$F$56</f>
        <v/>
      </c>
      <c r="G273" s="60">
        <f>AND(CB273&gt;Driver!$F$55,CB273&lt;Driver!$G$55)</f>
        <v/>
      </c>
      <c r="H273" s="60">
        <f>AND(B273:G273)</f>
        <v/>
      </c>
      <c r="I273" s="60">
        <f>COUNTIFS($H$9:$H$1273,TRUE,$BT$9:$BT$1273,BT273)</f>
        <v/>
      </c>
      <c r="J273" s="60">
        <f t="array" ref="J273">NOT(OR(($H$9:$H$1273=TRUE)*($I$9:$I$1273&gt;0)*($BT$9:$BT$1273=BT273)*($K$9:$K$1273&gt;K273)))</f>
        <v/>
      </c>
      <c r="K273" s="108">
        <f>IFERROR(1-AVERAGE(X273:Y273),"")</f>
        <v/>
      </c>
      <c r="L273" s="108">
        <f>1-X273</f>
        <v/>
      </c>
      <c r="M273" s="108">
        <f>1-Y273</f>
        <v/>
      </c>
      <c r="N273" s="108">
        <f>1-Z273</f>
        <v/>
      </c>
      <c r="O273" s="108">
        <f>1-AA273</f>
        <v/>
      </c>
      <c r="P273" s="108">
        <f>1-AB273</f>
        <v/>
      </c>
      <c r="Q273" s="108" t="n"/>
      <c r="R273" s="108" t="n"/>
      <c r="S273" s="108">
        <f>1-AE273</f>
        <v/>
      </c>
      <c r="T273" s="108">
        <f>1-AF273</f>
        <v/>
      </c>
      <c r="U273" s="108">
        <f>1-AG273</f>
        <v/>
      </c>
      <c r="V273" s="108">
        <f>1-AH273</f>
        <v/>
      </c>
      <c r="W273" s="108">
        <f>1-AI273</f>
        <v/>
      </c>
      <c r="X273" s="108">
        <f>ABS(AJ273-AJ$1)</f>
        <v/>
      </c>
      <c r="Y273" s="108">
        <f>AVERAGE(Z273:AB273)</f>
        <v/>
      </c>
      <c r="Z273" s="108">
        <f>ABS(AL273-AL$1)</f>
        <v/>
      </c>
      <c r="AA273" s="108">
        <f>ABS(AM273-AM$1)</f>
        <v/>
      </c>
      <c r="AB273" s="108">
        <f>ABS(AN273-AN$1)</f>
        <v/>
      </c>
      <c r="AC273" s="108" t="n"/>
      <c r="AD273" s="108" t="n"/>
      <c r="AE273" s="108">
        <f>ABS(AQ$1-AQ273)</f>
        <v/>
      </c>
      <c r="AF273" s="108">
        <f>ABS(AR$1-AR273)</f>
        <v/>
      </c>
      <c r="AG273" s="108">
        <f>ABS(AS$1-AS273)</f>
        <v/>
      </c>
      <c r="AH273" s="108">
        <f>ABS(AT$1-AT273)</f>
        <v/>
      </c>
      <c r="AI273" s="108">
        <f>ABS(AU$1-AU273)</f>
        <v/>
      </c>
      <c r="AJ273" s="108">
        <f>(AV273-Driver!$K$179)/(Driver!$L$179-Driver!$K$179)</f>
        <v/>
      </c>
      <c r="AK273" s="108">
        <f>(AW273-Driver!$K$180)/(Driver!$L$180-Driver!$K$180)</f>
        <v/>
      </c>
      <c r="AL273" s="108">
        <f>(AX273-Driver!$K$181)/(Driver!$L$181-Driver!$K$181)</f>
        <v/>
      </c>
      <c r="AM273" s="108">
        <f>(AY273-Driver!$K$182)/(Driver!$L$182-Driver!$K$182)</f>
        <v/>
      </c>
      <c r="AN273" s="108">
        <f>(AZ273-Driver!$K$183)/(Driver!$L$183-Driver!$K$183)</f>
        <v/>
      </c>
      <c r="AO273" s="108" t="n"/>
      <c r="AP273" s="108" t="n"/>
      <c r="AQ273" s="108">
        <f>(BC273-Driver!$K$188)/(Driver!$L$188-Driver!$K$188)</f>
        <v/>
      </c>
      <c r="AR273" s="108">
        <f>MIN((BD273-Driver!$K$189)/(Driver!$L$189-Driver!$K$189),100%)</f>
        <v/>
      </c>
      <c r="AS273" s="108">
        <f>(BE273-Driver!$K$190)/(Driver!$L$190-Driver!$K$190)</f>
        <v/>
      </c>
      <c r="AT273" s="108">
        <f>(BF273-Driver!$K$191)/(Driver!$L$191-Driver!$K$191)</f>
        <v/>
      </c>
      <c r="AU273" s="108">
        <f>(BG273-Driver!$K$192)/(Driver!$L$192-Driver!$K$192)</f>
        <v/>
      </c>
      <c r="AV273" s="105">
        <f>IFERROR(BM273*BJ273^1/4,"")</f>
        <v/>
      </c>
      <c r="AW273" s="105">
        <f>IFERROR(SUM(AX273:AZ273),"")</f>
        <v/>
      </c>
      <c r="AX273" s="105">
        <f>IFERROR(BH273,"")</f>
        <v/>
      </c>
      <c r="AY273" s="105">
        <f>IFERROR(Driver!$K$19/Data!BH273/Data!BI273*Data!BK273*Data!BL273,"")</f>
        <v/>
      </c>
      <c r="AZ273" s="105">
        <f>IFERROR(BI273*BN273,"")</f>
        <v/>
      </c>
      <c r="BA273" s="105" t="n"/>
      <c r="BB273" s="105" t="n"/>
      <c r="BC273" s="105">
        <f>IFERROR(BI273*BN273*BK273/BJ273^(1/2),"")</f>
        <v/>
      </c>
      <c r="BD273" s="105">
        <f>IFERROR(BH273*BM273*BL273/BJ273/BK273,"")</f>
        <v/>
      </c>
      <c r="BE273" s="105">
        <f>IFERROR(MIN(BI273/BQ273/BP273/BO273/BH273,$BE$1),"")</f>
        <v/>
      </c>
      <c r="BF273" s="105">
        <f>IFERROR(BJ273*BO273*BP273/BK273,"")</f>
        <v/>
      </c>
      <c r="BG273" s="105">
        <f>IFERROR(1/BM273/BH273*BQ273,"")</f>
        <v/>
      </c>
      <c r="BH273" s="102">
        <f>MAX((CE273-Driver!$F$200)/(Driver!$G$200-Driver!$F$200)*$BI$1,1)</f>
        <v/>
      </c>
      <c r="BI273" s="102">
        <f>MAX($BI$1*(BY273-Driver!$F$201)/(Driver!$G$201-Driver!$F$201),1)</f>
        <v/>
      </c>
      <c r="BJ273" s="102">
        <f>(CB273-Driver!$F$206)/(Driver!$G$206-Driver!$F$206)*$BI$1</f>
        <v/>
      </c>
      <c r="BK273" s="102">
        <f>(CD273-Driver!$F$203)/(Driver!$G$203-Driver!$F$203)*$BI$1</f>
        <v/>
      </c>
      <c r="BL273" s="102">
        <f>MAX((CR273-Driver!$F$202)/(Driver!$G$202-Driver!$F$202)*$BI$1,1)</f>
        <v/>
      </c>
      <c r="BM273" s="102">
        <f>MAX((CH273-Driver!$F$204)/(Driver!$G$204-Driver!$F$204)*$BI$1,1)</f>
        <v/>
      </c>
      <c r="BN273" s="102">
        <f>(CI273-Driver!$F$205)/(Driver!$G$205-Driver!$F$205)*$BI$1</f>
        <v/>
      </c>
      <c r="BO273" s="102">
        <f>(CK273-Driver!$F$207)/(Driver!$G$207-Driver!$F$207)*$BI$1</f>
        <v/>
      </c>
      <c r="BP273" s="102">
        <f>(CM273-Driver!$F$208)/(Driver!$G$208-Driver!$F$208)*$BI$1</f>
        <v/>
      </c>
      <c r="BQ273" s="102">
        <f>(CL273-Driver!$F$209)/(Driver!$G$209-Driver!$F$209)*$BI$1</f>
        <v/>
      </c>
      <c r="BR273" s="40" t="inlineStr">
        <is>
          <t>21/22</t>
        </is>
      </c>
      <c r="BS273" s="10" t="inlineStr">
        <is>
          <t xml:space="preserve"> K2</t>
        </is>
      </c>
      <c r="BT273" s="11" t="inlineStr">
        <is>
          <t>Mindbender 90 Ti</t>
        </is>
      </c>
      <c r="BU273" s="13" t="n">
        <v>163</v>
      </c>
      <c r="BV273" s="11" t="inlineStr">
        <is>
          <t xml:space="preserve"> Unisex</t>
        </is>
      </c>
      <c r="BW273" s="13" t="n">
        <v>163</v>
      </c>
      <c r="BX273" s="13" t="n">
        <v>163</v>
      </c>
      <c r="BY273" s="13" t="n">
        <v>122</v>
      </c>
      <c r="BZ273" s="13" t="n">
        <v>139</v>
      </c>
      <c r="CA273" s="13" t="n">
        <v>126</v>
      </c>
      <c r="CB273" s="13" t="n">
        <v>89</v>
      </c>
      <c r="CC273" s="13" t="n">
        <v>112</v>
      </c>
      <c r="CD273" s="13" t="n">
        <v>15</v>
      </c>
      <c r="CE273" s="13" t="n">
        <v>1675</v>
      </c>
      <c r="CF273" s="13" t="n">
        <v>0.98</v>
      </c>
      <c r="CG273" s="13" t="n">
        <v>1650</v>
      </c>
      <c r="CH273" s="13" t="n">
        <v>155</v>
      </c>
      <c r="CI273" s="13" t="n">
        <v>105</v>
      </c>
      <c r="CJ273" s="13" t="n">
        <v>43</v>
      </c>
      <c r="CK273" s="13" t="n">
        <v>230</v>
      </c>
      <c r="CL273" s="13" t="n">
        <v>20</v>
      </c>
      <c r="CM273" s="13" t="n">
        <v>178</v>
      </c>
      <c r="CN273" s="13" t="n">
        <v>0.479</v>
      </c>
      <c r="CO273" s="13" t="n">
        <v>140</v>
      </c>
      <c r="CP273" s="13" t="n">
        <v>99</v>
      </c>
      <c r="CQ273" s="13" t="n">
        <v>91</v>
      </c>
      <c r="CR273" s="13" t="n">
        <v>7</v>
      </c>
      <c r="CS273" s="13" t="n">
        <v>10.6</v>
      </c>
      <c r="CT273" s="11" t="inlineStr">
        <is>
          <t xml:space="preserve"> Resort Freeride</t>
        </is>
      </c>
      <c r="CU273" s="13" t="n"/>
      <c r="CV273" s="13" t="n"/>
      <c r="CW273" s="13" t="n"/>
      <c r="CX273">
        <f>INDEX('Data_Price '!AG$2:AG$1266,MATCH(Data!$DN273,'Data_Price '!$AT$2:$AT$1266,0))</f>
        <v/>
      </c>
      <c r="CY273">
        <f>INDEX('Data_Price '!AH$2:AH$1266,MATCH(Data!$DN273,'Data_Price '!$AT$2:$AT$1266,0))</f>
        <v/>
      </c>
      <c r="CZ273">
        <f>INDEX('Data_Price '!AI$2:AI$1266,MATCH(Data!$DN273,'Data_Price '!$AT$2:$AT$1266,0))</f>
        <v/>
      </c>
      <c r="DA273">
        <f>INDEX('Data_Price '!AJ$2:AJ$1266,MATCH(Data!$DN273,'Data_Price '!$AT$2:$AT$1266,0))</f>
        <v/>
      </c>
      <c r="DB273">
        <f>INDEX('Data_Price '!AK$2:AK$1266,MATCH(Data!$DN273,'Data_Price '!$AT$2:$AT$1266,0))</f>
        <v/>
      </c>
      <c r="DC273">
        <f>INDEX('Data_Price '!AL$2:AL$1266,MATCH(Data!$DN273,'Data_Price '!$AT$2:$AT$1266,0))</f>
        <v/>
      </c>
      <c r="DD273">
        <f>INDEX('Data_Price '!AM$2:AM$1266,MATCH(Data!$DN273,'Data_Price '!$AT$2:$AT$1266,0))</f>
        <v/>
      </c>
      <c r="DE273">
        <f>INDEX('Data_Price '!AN$2:AN$1266,MATCH(Data!$DN273,'Data_Price '!$AT$2:$AT$1266,0))</f>
        <v/>
      </c>
      <c r="DF273">
        <f>INDEX('Data_Price '!AO$2:AO$1266,MATCH(Data!$DN273,'Data_Price '!$AT$2:$AT$1266,0))</f>
        <v/>
      </c>
      <c r="DG273">
        <f>INDEX('Data_Price '!AP$2:AP$1266,MATCH(Data!$DN273,'Data_Price '!$AT$2:$AT$1266,0))</f>
        <v/>
      </c>
      <c r="DH273">
        <f>INDEX('Data_Price '!AQ$2:AQ$1266,MATCH(Data!$DN273,'Data_Price '!$AT$2:$AT$1266,0))</f>
        <v/>
      </c>
      <c r="DI273">
        <f>INDEX('Data_Price '!AR$2:AR$1266,MATCH(Data!$DN273,'Data_Price '!$AT$2:$AT$1266,0))</f>
        <v/>
      </c>
      <c r="DJ273" s="138">
        <f>DA273</f>
        <v/>
      </c>
      <c r="DK273" s="138">
        <f>DE273</f>
        <v/>
      </c>
      <c r="DL273" s="138">
        <f>DI273</f>
        <v/>
      </c>
      <c r="DM273" s="303">
        <f>IF(LEFT(BT273,1)=" ",RIGHT(BT273,LEN(BT273)-1),BT273)</f>
        <v/>
      </c>
      <c r="DN273" s="138">
        <f>_xlfn.CONCAT(BS273,DM273,BU273,BV273)</f>
        <v/>
      </c>
      <c r="DO273" s="307" t="n"/>
    </row>
    <row r="274" ht="15.6" customHeight="1" s="184">
      <c r="B274" s="303">
        <f t="array" ref="B274">IF(OR(ISERROR(K274:P274)),FALSE,TRUE)</f>
        <v/>
      </c>
      <c r="C274" s="60">
        <f>OR(BR274=Driver!$G$50,Data!BR560=Driver!$H$50)</f>
        <v/>
      </c>
      <c r="D274" s="60">
        <f>OR(BV274=Driver!$G$51,BV274=Driver!$H$51)</f>
        <v/>
      </c>
      <c r="E274" s="60">
        <f>AND(BX274&gt;Driver!$F$54,BX274&lt;Driver!$G$54)</f>
        <v/>
      </c>
      <c r="F274" s="60">
        <f>CL274&gt;Driver!$F$56</f>
        <v/>
      </c>
      <c r="G274" s="60">
        <f>AND(CB274&gt;Driver!$F$55,CB274&lt;Driver!$G$55)</f>
        <v/>
      </c>
      <c r="H274" s="60">
        <f>AND(B274:G274)</f>
        <v/>
      </c>
      <c r="I274" s="60">
        <f>COUNTIFS($H$9:$H$1273,TRUE,$BT$9:$BT$1273,BT274)</f>
        <v/>
      </c>
      <c r="J274" s="60">
        <f t="array" ref="J274">NOT(OR(($H$9:$H$1273=TRUE)*($I$9:$I$1273&gt;0)*($BT$9:$BT$1273=BT274)*($K$9:$K$1273&gt;K274)))</f>
        <v/>
      </c>
      <c r="K274" s="108">
        <f>IFERROR(1-AVERAGE(X274:Y274),"")</f>
        <v/>
      </c>
      <c r="L274" s="108">
        <f>1-X274</f>
        <v/>
      </c>
      <c r="M274" s="108">
        <f>1-Y274</f>
        <v/>
      </c>
      <c r="N274" s="108">
        <f>1-Z274</f>
        <v/>
      </c>
      <c r="O274" s="108">
        <f>1-AA274</f>
        <v/>
      </c>
      <c r="P274" s="108">
        <f>1-AB274</f>
        <v/>
      </c>
      <c r="Q274" s="108" t="n"/>
      <c r="R274" s="108" t="n"/>
      <c r="S274" s="108">
        <f>1-AE274</f>
        <v/>
      </c>
      <c r="T274" s="108">
        <f>1-AF274</f>
        <v/>
      </c>
      <c r="U274" s="108">
        <f>1-AG274</f>
        <v/>
      </c>
      <c r="V274" s="108">
        <f>1-AH274</f>
        <v/>
      </c>
      <c r="W274" s="108">
        <f>1-AI274</f>
        <v/>
      </c>
      <c r="X274" s="108">
        <f>ABS(AJ274-AJ$1)</f>
        <v/>
      </c>
      <c r="Y274" s="108">
        <f>AVERAGE(Z274:AB274)</f>
        <v/>
      </c>
      <c r="Z274" s="108">
        <f>ABS(AL274-AL$1)</f>
        <v/>
      </c>
      <c r="AA274" s="108">
        <f>ABS(AM274-AM$1)</f>
        <v/>
      </c>
      <c r="AB274" s="108">
        <f>ABS(AN274-AN$1)</f>
        <v/>
      </c>
      <c r="AC274" s="108" t="n"/>
      <c r="AD274" s="108" t="n"/>
      <c r="AE274" s="108">
        <f>ABS(AQ$1-AQ274)</f>
        <v/>
      </c>
      <c r="AF274" s="108">
        <f>ABS(AR$1-AR274)</f>
        <v/>
      </c>
      <c r="AG274" s="108">
        <f>ABS(AS$1-AS274)</f>
        <v/>
      </c>
      <c r="AH274" s="108">
        <f>ABS(AT$1-AT274)</f>
        <v/>
      </c>
      <c r="AI274" s="108">
        <f>ABS(AU$1-AU274)</f>
        <v/>
      </c>
      <c r="AJ274" s="108">
        <f>(AV274-Driver!$K$179)/(Driver!$L$179-Driver!$K$179)</f>
        <v/>
      </c>
      <c r="AK274" s="108">
        <f>(AW274-Driver!$K$180)/(Driver!$L$180-Driver!$K$180)</f>
        <v/>
      </c>
      <c r="AL274" s="108">
        <f>(AX274-Driver!$K$181)/(Driver!$L$181-Driver!$K$181)</f>
        <v/>
      </c>
      <c r="AM274" s="108">
        <f>(AY274-Driver!$K$182)/(Driver!$L$182-Driver!$K$182)</f>
        <v/>
      </c>
      <c r="AN274" s="108">
        <f>(AZ274-Driver!$K$183)/(Driver!$L$183-Driver!$K$183)</f>
        <v/>
      </c>
      <c r="AO274" s="108" t="n"/>
      <c r="AP274" s="108" t="n"/>
      <c r="AQ274" s="108">
        <f>(BC274-Driver!$K$188)/(Driver!$L$188-Driver!$K$188)</f>
        <v/>
      </c>
      <c r="AR274" s="108">
        <f>MIN((BD274-Driver!$K$189)/(Driver!$L$189-Driver!$K$189),100%)</f>
        <v/>
      </c>
      <c r="AS274" s="108">
        <f>(BE274-Driver!$K$190)/(Driver!$L$190-Driver!$K$190)</f>
        <v/>
      </c>
      <c r="AT274" s="108">
        <f>(BF274-Driver!$K$191)/(Driver!$L$191-Driver!$K$191)</f>
        <v/>
      </c>
      <c r="AU274" s="108">
        <f>(BG274-Driver!$K$192)/(Driver!$L$192-Driver!$K$192)</f>
        <v/>
      </c>
      <c r="AV274" s="105">
        <f>IFERROR(BM274*BJ274^1/4,"")</f>
        <v/>
      </c>
      <c r="AW274" s="105">
        <f>IFERROR(SUM(AX274:AZ274),"")</f>
        <v/>
      </c>
      <c r="AX274" s="105">
        <f>IFERROR(BH274,"")</f>
        <v/>
      </c>
      <c r="AY274" s="105">
        <f>IFERROR(Driver!$K$19/Data!BH274/Data!BI274*Data!BK274*Data!BL274,"")</f>
        <v/>
      </c>
      <c r="AZ274" s="105">
        <f>IFERROR(BI274*BN274,"")</f>
        <v/>
      </c>
      <c r="BA274" s="105" t="n"/>
      <c r="BB274" s="105" t="n"/>
      <c r="BC274" s="105">
        <f>IFERROR(BI274*BN274*BK274/BJ274^(1/2),"")</f>
        <v/>
      </c>
      <c r="BD274" s="105">
        <f>IFERROR(BH274*BM274*BL274/BJ274/BK274,"")</f>
        <v/>
      </c>
      <c r="BE274" s="105">
        <f>IFERROR(MIN(BI274/BQ274/BP274/BO274/BH274,$BE$1),"")</f>
        <v/>
      </c>
      <c r="BF274" s="105">
        <f>IFERROR(BJ274*BO274*BP274/BK274,"")</f>
        <v/>
      </c>
      <c r="BG274" s="105">
        <f>IFERROR(1/BM274/BH274*BQ274,"")</f>
        <v/>
      </c>
      <c r="BH274" s="102">
        <f>MAX((CE274-Driver!$F$200)/(Driver!$G$200-Driver!$F$200)*$BI$1,1)</f>
        <v/>
      </c>
      <c r="BI274" s="102">
        <f>MAX($BI$1*(BY274-Driver!$F$201)/(Driver!$G$201-Driver!$F$201),1)</f>
        <v/>
      </c>
      <c r="BJ274" s="102">
        <f>(CB274-Driver!$F$206)/(Driver!$G$206-Driver!$F$206)*$BI$1</f>
        <v/>
      </c>
      <c r="BK274" s="102">
        <f>(CD274-Driver!$F$203)/(Driver!$G$203-Driver!$F$203)*$BI$1</f>
        <v/>
      </c>
      <c r="BL274" s="102">
        <f>MAX((CR274-Driver!$F$202)/(Driver!$G$202-Driver!$F$202)*$BI$1,1)</f>
        <v/>
      </c>
      <c r="BM274" s="102">
        <f>MAX((CH274-Driver!$F$204)/(Driver!$G$204-Driver!$F$204)*$BI$1,1)</f>
        <v/>
      </c>
      <c r="BN274" s="102">
        <f>(CI274-Driver!$F$205)/(Driver!$G$205-Driver!$F$205)*$BI$1</f>
        <v/>
      </c>
      <c r="BO274" s="102">
        <f>(CK274-Driver!$F$207)/(Driver!$G$207-Driver!$F$207)*$BI$1</f>
        <v/>
      </c>
      <c r="BP274" s="102">
        <f>(CM274-Driver!$F$208)/(Driver!$G$208-Driver!$F$208)*$BI$1</f>
        <v/>
      </c>
      <c r="BQ274" s="102">
        <f>(CL274-Driver!$F$209)/(Driver!$G$209-Driver!$F$209)*$BI$1</f>
        <v/>
      </c>
      <c r="BR274" s="40" t="inlineStr">
        <is>
          <t>21/22</t>
        </is>
      </c>
      <c r="BS274" s="10" t="inlineStr">
        <is>
          <t xml:space="preserve"> Fischer</t>
        </is>
      </c>
      <c r="BT274" s="11" t="inlineStr">
        <is>
          <t>Ranger 102 FR</t>
        </is>
      </c>
      <c r="BU274" s="13" t="n">
        <v>170</v>
      </c>
      <c r="BV274" s="11" t="inlineStr">
        <is>
          <t xml:space="preserve"> Unisex</t>
        </is>
      </c>
      <c r="BW274" s="13" t="n">
        <v>170</v>
      </c>
      <c r="BX274" s="13" t="n">
        <v>168.7</v>
      </c>
      <c r="BY274" s="13" t="n">
        <v>116</v>
      </c>
      <c r="BZ274" s="13" t="n">
        <v>139</v>
      </c>
      <c r="CA274" s="13" t="n">
        <v>134</v>
      </c>
      <c r="CB274" s="13" t="n">
        <v>100</v>
      </c>
      <c r="CC274" s="13" t="n">
        <v>124</v>
      </c>
      <c r="CD274" s="13" t="n">
        <v>13.9</v>
      </c>
      <c r="CE274" s="13" t="n">
        <v>1664</v>
      </c>
      <c r="CF274" s="13" t="n">
        <v>1.14</v>
      </c>
      <c r="CG274" s="13" t="n">
        <v>1900</v>
      </c>
      <c r="CH274" s="13" t="n">
        <v>172</v>
      </c>
      <c r="CI274" s="13" t="n">
        <v>89</v>
      </c>
      <c r="CJ274" s="13" t="n">
        <v>48</v>
      </c>
      <c r="CK274" s="13" t="n">
        <v>342</v>
      </c>
      <c r="CL274" s="13" t="n">
        <v>29</v>
      </c>
      <c r="CM274" s="13" t="n">
        <v>182</v>
      </c>
      <c r="CN274" s="13" t="n">
        <v>0.601</v>
      </c>
      <c r="CO274" s="13" t="n">
        <v>153</v>
      </c>
      <c r="CP274" s="13" t="n">
        <v>145</v>
      </c>
      <c r="CQ274" s="13" t="n">
        <v>189</v>
      </c>
      <c r="CR274" s="13" t="n">
        <v>7</v>
      </c>
      <c r="CS274" s="13" t="n">
        <v>9.5</v>
      </c>
      <c r="CT274" s="11" t="inlineStr">
        <is>
          <t xml:space="preserve"> Resort Freeride</t>
        </is>
      </c>
      <c r="CU274" s="11" t="inlineStr">
        <is>
          <t xml:space="preserve"> Touring</t>
        </is>
      </c>
      <c r="CV274" s="13" t="n"/>
      <c r="CW274" s="13" t="n"/>
      <c r="CX274">
        <f>INDEX('Data_Price '!AG$2:AG$1266,MATCH(Data!$DN274,'Data_Price '!$AT$2:$AT$1266,0))</f>
        <v/>
      </c>
      <c r="CY274">
        <f>INDEX('Data_Price '!AH$2:AH$1266,MATCH(Data!$DN274,'Data_Price '!$AT$2:$AT$1266,0))</f>
        <v/>
      </c>
      <c r="CZ274">
        <f>INDEX('Data_Price '!AI$2:AI$1266,MATCH(Data!$DN274,'Data_Price '!$AT$2:$AT$1266,0))</f>
        <v/>
      </c>
      <c r="DA274">
        <f>INDEX('Data_Price '!AJ$2:AJ$1266,MATCH(Data!$DN274,'Data_Price '!$AT$2:$AT$1266,0))</f>
        <v/>
      </c>
      <c r="DB274">
        <f>INDEX('Data_Price '!AK$2:AK$1266,MATCH(Data!$DN274,'Data_Price '!$AT$2:$AT$1266,0))</f>
        <v/>
      </c>
      <c r="DC274">
        <f>INDEX('Data_Price '!AL$2:AL$1266,MATCH(Data!$DN274,'Data_Price '!$AT$2:$AT$1266,0))</f>
        <v/>
      </c>
      <c r="DD274">
        <f>INDEX('Data_Price '!AM$2:AM$1266,MATCH(Data!$DN274,'Data_Price '!$AT$2:$AT$1266,0))</f>
        <v/>
      </c>
      <c r="DE274">
        <f>INDEX('Data_Price '!AN$2:AN$1266,MATCH(Data!$DN274,'Data_Price '!$AT$2:$AT$1266,0))</f>
        <v/>
      </c>
      <c r="DF274">
        <f>INDEX('Data_Price '!AO$2:AO$1266,MATCH(Data!$DN274,'Data_Price '!$AT$2:$AT$1266,0))</f>
        <v/>
      </c>
      <c r="DG274">
        <f>INDEX('Data_Price '!AP$2:AP$1266,MATCH(Data!$DN274,'Data_Price '!$AT$2:$AT$1266,0))</f>
        <v/>
      </c>
      <c r="DH274">
        <f>INDEX('Data_Price '!AQ$2:AQ$1266,MATCH(Data!$DN274,'Data_Price '!$AT$2:$AT$1266,0))</f>
        <v/>
      </c>
      <c r="DI274">
        <f>INDEX('Data_Price '!AR$2:AR$1266,MATCH(Data!$DN274,'Data_Price '!$AT$2:$AT$1266,0))</f>
        <v/>
      </c>
      <c r="DJ274" s="138">
        <f>DA274</f>
        <v/>
      </c>
      <c r="DK274" s="138">
        <f>DE274</f>
        <v/>
      </c>
      <c r="DL274" s="138">
        <f>DI274</f>
        <v/>
      </c>
      <c r="DM274" s="303">
        <f>IF(LEFT(BT274,1)=" ",RIGHT(BT274,LEN(BT274)-1),BT274)</f>
        <v/>
      </c>
      <c r="DN274" s="138">
        <f>_xlfn.CONCAT(BS274,DM274,BU274,BV274)</f>
        <v/>
      </c>
      <c r="DO274" s="307" t="inlineStr">
        <is>
          <t>https://images.evo.com/imgp/250/209031/846558/fischer-ranger-102-fr-skis-2022-.jpg</t>
        </is>
      </c>
    </row>
    <row r="275" ht="15.6" customHeight="1" s="184">
      <c r="B275" s="303">
        <f t="array" ref="B275">IF(OR(ISERROR(K275:P275)),FALSE,TRUE)</f>
        <v/>
      </c>
      <c r="C275" s="60">
        <f>OR(BR275=Driver!$G$50,Data!BR678=Driver!$H$50)</f>
        <v/>
      </c>
      <c r="D275" s="60">
        <f>OR(BV275=Driver!$G$51,BV275=Driver!$H$51)</f>
        <v/>
      </c>
      <c r="E275" s="60">
        <f>AND(BX275&gt;Driver!$F$54,BX275&lt;Driver!$G$54)</f>
        <v/>
      </c>
      <c r="F275" s="60">
        <f>CL275&gt;Driver!$F$56</f>
        <v/>
      </c>
      <c r="G275" s="60">
        <f>AND(CB275&gt;Driver!$F$55,CB275&lt;Driver!$G$55)</f>
        <v/>
      </c>
      <c r="H275" s="60">
        <f>AND(B275:G275)</f>
        <v/>
      </c>
      <c r="I275" s="60">
        <f>COUNTIFS($H$9:$H$1273,TRUE,$BT$9:$BT$1273,BT275)</f>
        <v/>
      </c>
      <c r="J275" s="60">
        <f t="array" ref="J275">NOT(OR(($H$9:$H$1273=TRUE)*($I$9:$I$1273&gt;0)*($BT$9:$BT$1273=BT275)*($K$9:$K$1273&gt;K275)))</f>
        <v/>
      </c>
      <c r="K275" s="108">
        <f>IFERROR(1-AVERAGE(X275:Y275),"")</f>
        <v/>
      </c>
      <c r="L275" s="108">
        <f>1-X275</f>
        <v/>
      </c>
      <c r="M275" s="108">
        <f>1-Y275</f>
        <v/>
      </c>
      <c r="N275" s="108">
        <f>1-Z275</f>
        <v/>
      </c>
      <c r="O275" s="108">
        <f>1-AA275</f>
        <v/>
      </c>
      <c r="P275" s="108">
        <f>1-AB275</f>
        <v/>
      </c>
      <c r="Q275" s="108" t="n"/>
      <c r="R275" s="108" t="n"/>
      <c r="S275" s="108">
        <f>1-AE275</f>
        <v/>
      </c>
      <c r="T275" s="108">
        <f>1-AF275</f>
        <v/>
      </c>
      <c r="U275" s="108">
        <f>1-AG275</f>
        <v/>
      </c>
      <c r="V275" s="108">
        <f>1-AH275</f>
        <v/>
      </c>
      <c r="W275" s="108">
        <f>1-AI275</f>
        <v/>
      </c>
      <c r="X275" s="108">
        <f>ABS(AJ275-AJ$1)</f>
        <v/>
      </c>
      <c r="Y275" s="108">
        <f>AVERAGE(Z275:AB275)</f>
        <v/>
      </c>
      <c r="Z275" s="108">
        <f>ABS(AL275-AL$1)</f>
        <v/>
      </c>
      <c r="AA275" s="108">
        <f>ABS(AM275-AM$1)</f>
        <v/>
      </c>
      <c r="AB275" s="108">
        <f>ABS(AN275-AN$1)</f>
        <v/>
      </c>
      <c r="AC275" s="108" t="n"/>
      <c r="AD275" s="108" t="n"/>
      <c r="AE275" s="108">
        <f>ABS(AQ$1-AQ275)</f>
        <v/>
      </c>
      <c r="AF275" s="108">
        <f>ABS(AR$1-AR275)</f>
        <v/>
      </c>
      <c r="AG275" s="108">
        <f>ABS(AS$1-AS275)</f>
        <v/>
      </c>
      <c r="AH275" s="108">
        <f>ABS(AT$1-AT275)</f>
        <v/>
      </c>
      <c r="AI275" s="108">
        <f>ABS(AU$1-AU275)</f>
        <v/>
      </c>
      <c r="AJ275" s="108">
        <f>(AV275-Driver!$K$179)/(Driver!$L$179-Driver!$K$179)</f>
        <v/>
      </c>
      <c r="AK275" s="108">
        <f>(AW275-Driver!$K$180)/(Driver!$L$180-Driver!$K$180)</f>
        <v/>
      </c>
      <c r="AL275" s="108">
        <f>(AX275-Driver!$K$181)/(Driver!$L$181-Driver!$K$181)</f>
        <v/>
      </c>
      <c r="AM275" s="108">
        <f>(AY275-Driver!$K$182)/(Driver!$L$182-Driver!$K$182)</f>
        <v/>
      </c>
      <c r="AN275" s="108">
        <f>(AZ275-Driver!$K$183)/(Driver!$L$183-Driver!$K$183)</f>
        <v/>
      </c>
      <c r="AO275" s="108" t="n"/>
      <c r="AP275" s="108" t="n"/>
      <c r="AQ275" s="108">
        <f>(BC275-Driver!$K$188)/(Driver!$L$188-Driver!$K$188)</f>
        <v/>
      </c>
      <c r="AR275" s="108">
        <f>MIN((BD275-Driver!$K$189)/(Driver!$L$189-Driver!$K$189),100%)</f>
        <v/>
      </c>
      <c r="AS275" s="108">
        <f>(BE275-Driver!$K$190)/(Driver!$L$190-Driver!$K$190)</f>
        <v/>
      </c>
      <c r="AT275" s="108">
        <f>(BF275-Driver!$K$191)/(Driver!$L$191-Driver!$K$191)</f>
        <v/>
      </c>
      <c r="AU275" s="108">
        <f>(BG275-Driver!$K$192)/(Driver!$L$192-Driver!$K$192)</f>
        <v/>
      </c>
      <c r="AV275" s="105">
        <f>IFERROR(BM275*BJ275^1/4,"")</f>
        <v/>
      </c>
      <c r="AW275" s="105">
        <f>IFERROR(SUM(AX275:AZ275),"")</f>
        <v/>
      </c>
      <c r="AX275" s="105">
        <f>IFERROR(BH275,"")</f>
        <v/>
      </c>
      <c r="AY275" s="105">
        <f>IFERROR(Driver!$K$19/Data!BH275/Data!BI275*Data!BK275*Data!BL275,"")</f>
        <v/>
      </c>
      <c r="AZ275" s="105">
        <f>IFERROR(BI275*BN275,"")</f>
        <v/>
      </c>
      <c r="BA275" s="105" t="n"/>
      <c r="BB275" s="105" t="n"/>
      <c r="BC275" s="105">
        <f>IFERROR(BI275*BN275*BK275/BJ275^(1/2),"")</f>
        <v/>
      </c>
      <c r="BD275" s="105">
        <f>IFERROR(BH275*BM275*BL275/BJ275/BK275,"")</f>
        <v/>
      </c>
      <c r="BE275" s="105">
        <f>IFERROR(MIN(BI275/BQ275/BP275/BO275/BH275,$BE$1),"")</f>
        <v/>
      </c>
      <c r="BF275" s="105">
        <f>IFERROR(BJ275*BO275*BP275/BK275,"")</f>
        <v/>
      </c>
      <c r="BG275" s="105">
        <f>IFERROR(1/BM275/BH275*BQ275,"")</f>
        <v/>
      </c>
      <c r="BH275" s="102">
        <f>MAX((CE275-Driver!$F$200)/(Driver!$G$200-Driver!$F$200)*$BI$1,1)</f>
        <v/>
      </c>
      <c r="BI275" s="102">
        <f>MAX($BI$1*(BY275-Driver!$F$201)/(Driver!$G$201-Driver!$F$201),1)</f>
        <v/>
      </c>
      <c r="BJ275" s="102">
        <f>(CB275-Driver!$F$206)/(Driver!$G$206-Driver!$F$206)*$BI$1</f>
        <v/>
      </c>
      <c r="BK275" s="102">
        <f>(CD275-Driver!$F$203)/(Driver!$G$203-Driver!$F$203)*$BI$1</f>
        <v/>
      </c>
      <c r="BL275" s="102">
        <f>MAX((CR275-Driver!$F$202)/(Driver!$G$202-Driver!$F$202)*$BI$1,1)</f>
        <v/>
      </c>
      <c r="BM275" s="102">
        <f>MAX((CH275-Driver!$F$204)/(Driver!$G$204-Driver!$F$204)*$BI$1,1)</f>
        <v/>
      </c>
      <c r="BN275" s="102">
        <f>(CI275-Driver!$F$205)/(Driver!$G$205-Driver!$F$205)*$BI$1</f>
        <v/>
      </c>
      <c r="BO275" s="102">
        <f>(CK275-Driver!$F$207)/(Driver!$G$207-Driver!$F$207)*$BI$1</f>
        <v/>
      </c>
      <c r="BP275" s="102">
        <f>(CM275-Driver!$F$208)/(Driver!$G$208-Driver!$F$208)*$BI$1</f>
        <v/>
      </c>
      <c r="BQ275" s="102">
        <f>(CL275-Driver!$F$209)/(Driver!$G$209-Driver!$F$209)*$BI$1</f>
        <v/>
      </c>
      <c r="BR275" s="40" t="inlineStr">
        <is>
          <t>21/22</t>
        </is>
      </c>
      <c r="BS275" s="10" t="inlineStr">
        <is>
          <t xml:space="preserve"> Icelantic</t>
        </is>
      </c>
      <c r="BT275" s="11" t="inlineStr">
        <is>
          <t>Nomad 105</t>
        </is>
      </c>
      <c r="BU275" s="13" t="n">
        <v>176</v>
      </c>
      <c r="BV275" s="11" t="inlineStr">
        <is>
          <t xml:space="preserve"> Unisex</t>
        </is>
      </c>
      <c r="BW275" s="13" t="n">
        <v>176</v>
      </c>
      <c r="BX275" s="13" t="n">
        <v>173.5</v>
      </c>
      <c r="BY275" s="13" t="n">
        <v>107</v>
      </c>
      <c r="BZ275" s="13" t="n">
        <v>147</v>
      </c>
      <c r="CA275" s="13" t="n">
        <v>145</v>
      </c>
      <c r="CB275" s="13" t="n">
        <v>111</v>
      </c>
      <c r="CC275" s="13" t="n">
        <v>135</v>
      </c>
      <c r="CD275" s="13" t="n">
        <v>18</v>
      </c>
      <c r="CE275" s="13" t="n">
        <v>1848</v>
      </c>
      <c r="CF275" s="13" t="n">
        <v>1.14</v>
      </c>
      <c r="CG275" s="13" t="n">
        <v>2103</v>
      </c>
      <c r="CH275" s="13" t="n">
        <v>216</v>
      </c>
      <c r="CI275" s="13" t="n">
        <v>102</v>
      </c>
      <c r="CJ275" s="13" t="n">
        <v>58</v>
      </c>
      <c r="CK275" s="13" t="n">
        <v>351</v>
      </c>
      <c r="CL275" s="13" t="n">
        <v>57</v>
      </c>
      <c r="CM275" s="13" t="n">
        <v>312</v>
      </c>
      <c r="CN275" s="13" t="n">
        <v>0.975</v>
      </c>
      <c r="CO275" s="13" t="n">
        <v>129</v>
      </c>
      <c r="CP275" s="13" t="n">
        <v>132</v>
      </c>
      <c r="CQ275" s="13" t="n">
        <v>222</v>
      </c>
      <c r="CR275" s="13" t="n">
        <v>3</v>
      </c>
      <c r="CS275" s="13" t="n">
        <v>8.300000000000001</v>
      </c>
      <c r="CT275" s="11" t="inlineStr">
        <is>
          <t xml:space="preserve"> Freeski</t>
        </is>
      </c>
      <c r="CU275" s="11" t="inlineStr">
        <is>
          <t xml:space="preserve"> Powder</t>
        </is>
      </c>
      <c r="CV275" s="11" t="inlineStr">
        <is>
          <t xml:space="preserve"> Touring</t>
        </is>
      </c>
      <c r="CW275" s="13" t="n"/>
      <c r="CX275">
        <f>INDEX('Data_Price '!AG$2:AG$1266,MATCH(Data!$DN275,'Data_Price '!$AT$2:$AT$1266,0))</f>
        <v/>
      </c>
      <c r="CY275">
        <f>INDEX('Data_Price '!AH$2:AH$1266,MATCH(Data!$DN275,'Data_Price '!$AT$2:$AT$1266,0))</f>
        <v/>
      </c>
      <c r="CZ275">
        <f>INDEX('Data_Price '!AI$2:AI$1266,MATCH(Data!$DN275,'Data_Price '!$AT$2:$AT$1266,0))</f>
        <v/>
      </c>
      <c r="DA275">
        <f>INDEX('Data_Price '!AJ$2:AJ$1266,MATCH(Data!$DN275,'Data_Price '!$AT$2:$AT$1266,0))</f>
        <v/>
      </c>
      <c r="DB275">
        <f>INDEX('Data_Price '!AK$2:AK$1266,MATCH(Data!$DN275,'Data_Price '!$AT$2:$AT$1266,0))</f>
        <v/>
      </c>
      <c r="DC275">
        <f>INDEX('Data_Price '!AL$2:AL$1266,MATCH(Data!$DN275,'Data_Price '!$AT$2:$AT$1266,0))</f>
        <v/>
      </c>
      <c r="DD275">
        <f>INDEX('Data_Price '!AM$2:AM$1266,MATCH(Data!$DN275,'Data_Price '!$AT$2:$AT$1266,0))</f>
        <v/>
      </c>
      <c r="DE275">
        <f>INDEX('Data_Price '!AN$2:AN$1266,MATCH(Data!$DN275,'Data_Price '!$AT$2:$AT$1266,0))</f>
        <v/>
      </c>
      <c r="DF275">
        <f>INDEX('Data_Price '!AO$2:AO$1266,MATCH(Data!$DN275,'Data_Price '!$AT$2:$AT$1266,0))</f>
        <v/>
      </c>
      <c r="DG275">
        <f>INDEX('Data_Price '!AP$2:AP$1266,MATCH(Data!$DN275,'Data_Price '!$AT$2:$AT$1266,0))</f>
        <v/>
      </c>
      <c r="DH275">
        <f>INDEX('Data_Price '!AQ$2:AQ$1266,MATCH(Data!$DN275,'Data_Price '!$AT$2:$AT$1266,0))</f>
        <v/>
      </c>
      <c r="DI275">
        <f>INDEX('Data_Price '!AR$2:AR$1266,MATCH(Data!$DN275,'Data_Price '!$AT$2:$AT$1266,0))</f>
        <v/>
      </c>
      <c r="DJ275" s="138">
        <f>DA275</f>
        <v/>
      </c>
      <c r="DK275" s="138">
        <f>DE275</f>
        <v/>
      </c>
      <c r="DL275" s="138">
        <f>DI275</f>
        <v/>
      </c>
      <c r="DM275" s="303">
        <f>IF(LEFT(BT275,1)=" ",RIGHT(BT275,LEN(BT275)-1),BT275)</f>
        <v/>
      </c>
      <c r="DN275" s="138">
        <f>_xlfn.CONCAT(BS275,DM275,BU275,BV275)</f>
        <v/>
      </c>
      <c r="DO275" s="307" t="inlineStr">
        <is>
          <t>https://images.evo.com/imgp/250/208395/833069/icelantic-nomad-105-skis-2022-.jpg</t>
        </is>
      </c>
    </row>
    <row r="276" ht="15.6" customHeight="1" s="184">
      <c r="B276" s="303">
        <f t="array" ref="B276">IF(OR(ISERROR(K276:P276)),FALSE,TRUE)</f>
        <v/>
      </c>
      <c r="C276" s="60">
        <f>OR(BR276=Driver!$G$50,Data!BR1188=Driver!$H$50)</f>
        <v/>
      </c>
      <c r="D276" s="60">
        <f>OR(BV276=Driver!$G$51,BV276=Driver!$H$51)</f>
        <v/>
      </c>
      <c r="E276" s="60">
        <f>AND(BX276&gt;Driver!$F$54,BX276&lt;Driver!$G$54)</f>
        <v/>
      </c>
      <c r="F276" s="60">
        <f>CL276&gt;Driver!$F$56</f>
        <v/>
      </c>
      <c r="G276" s="60">
        <f>AND(CB276&gt;Driver!$F$55,CB276&lt;Driver!$G$55)</f>
        <v/>
      </c>
      <c r="H276" s="60">
        <f>AND(B276:G276)</f>
        <v/>
      </c>
      <c r="I276" s="60">
        <f>COUNTIFS($H$9:$H$1273,TRUE,$BT$9:$BT$1273,BT276)</f>
        <v/>
      </c>
      <c r="J276" s="60">
        <f t="array" ref="J276">NOT(OR(($H$9:$H$1273=TRUE)*($I$9:$I$1273&gt;0)*($BT$9:$BT$1273=BT276)*($K$9:$K$1273&gt;K276)))</f>
        <v/>
      </c>
      <c r="K276" s="108">
        <f>IFERROR(1-AVERAGE(X276:Y276),"")</f>
        <v/>
      </c>
      <c r="L276" s="108">
        <f>1-X276</f>
        <v/>
      </c>
      <c r="M276" s="108">
        <f>1-Y276</f>
        <v/>
      </c>
      <c r="N276" s="108">
        <f>1-Z276</f>
        <v/>
      </c>
      <c r="O276" s="108">
        <f>1-AA276</f>
        <v/>
      </c>
      <c r="P276" s="108">
        <f>1-AB276</f>
        <v/>
      </c>
      <c r="Q276" s="108" t="n"/>
      <c r="R276" s="108" t="n"/>
      <c r="S276" s="108">
        <f>1-AE276</f>
        <v/>
      </c>
      <c r="T276" s="108">
        <f>1-AF276</f>
        <v/>
      </c>
      <c r="U276" s="108">
        <f>1-AG276</f>
        <v/>
      </c>
      <c r="V276" s="108">
        <f>1-AH276</f>
        <v/>
      </c>
      <c r="W276" s="108">
        <f>1-AI276</f>
        <v/>
      </c>
      <c r="X276" s="108">
        <f>ABS(AJ276-AJ$1)</f>
        <v/>
      </c>
      <c r="Y276" s="108">
        <f>AVERAGE(Z276:AB276)</f>
        <v/>
      </c>
      <c r="Z276" s="108">
        <f>ABS(AL276-AL$1)</f>
        <v/>
      </c>
      <c r="AA276" s="108">
        <f>ABS(AM276-AM$1)</f>
        <v/>
      </c>
      <c r="AB276" s="108">
        <f>ABS(AN276-AN$1)</f>
        <v/>
      </c>
      <c r="AC276" s="108" t="n"/>
      <c r="AD276" s="108" t="n"/>
      <c r="AE276" s="108">
        <f>ABS(AQ$1-AQ276)</f>
        <v/>
      </c>
      <c r="AF276" s="108">
        <f>ABS(AR$1-AR276)</f>
        <v/>
      </c>
      <c r="AG276" s="108">
        <f>ABS(AS$1-AS276)</f>
        <v/>
      </c>
      <c r="AH276" s="108">
        <f>ABS(AT$1-AT276)</f>
        <v/>
      </c>
      <c r="AI276" s="108">
        <f>ABS(AU$1-AU276)</f>
        <v/>
      </c>
      <c r="AJ276" s="108">
        <f>(AV276-Driver!$K$179)/(Driver!$L$179-Driver!$K$179)</f>
        <v/>
      </c>
      <c r="AK276" s="108">
        <f>(AW276-Driver!$K$180)/(Driver!$L$180-Driver!$K$180)</f>
        <v/>
      </c>
      <c r="AL276" s="108">
        <f>(AX276-Driver!$K$181)/(Driver!$L$181-Driver!$K$181)</f>
        <v/>
      </c>
      <c r="AM276" s="108">
        <f>(AY276-Driver!$K$182)/(Driver!$L$182-Driver!$K$182)</f>
        <v/>
      </c>
      <c r="AN276" s="108">
        <f>(AZ276-Driver!$K$183)/(Driver!$L$183-Driver!$K$183)</f>
        <v/>
      </c>
      <c r="AO276" s="108" t="n"/>
      <c r="AP276" s="108" t="n"/>
      <c r="AQ276" s="108">
        <f>(BC276-Driver!$K$188)/(Driver!$L$188-Driver!$K$188)</f>
        <v/>
      </c>
      <c r="AR276" s="108">
        <f>MIN((BD276-Driver!$K$189)/(Driver!$L$189-Driver!$K$189),100%)</f>
        <v/>
      </c>
      <c r="AS276" s="108">
        <f>(BE276-Driver!$K$190)/(Driver!$L$190-Driver!$K$190)</f>
        <v/>
      </c>
      <c r="AT276" s="108">
        <f>(BF276-Driver!$K$191)/(Driver!$L$191-Driver!$K$191)</f>
        <v/>
      </c>
      <c r="AU276" s="108">
        <f>(BG276-Driver!$K$192)/(Driver!$L$192-Driver!$K$192)</f>
        <v/>
      </c>
      <c r="AV276" s="105">
        <f>IFERROR(BM276*BJ276^1/4,"")</f>
        <v/>
      </c>
      <c r="AW276" s="105">
        <f>IFERROR(SUM(AX276:AZ276),"")</f>
        <v/>
      </c>
      <c r="AX276" s="105">
        <f>IFERROR(BH276,"")</f>
        <v/>
      </c>
      <c r="AY276" s="105">
        <f>IFERROR(Driver!$K$19/Data!BH276/Data!BI276*Data!BK276*Data!BL276,"")</f>
        <v/>
      </c>
      <c r="AZ276" s="105">
        <f>IFERROR(BI276*BN276,"")</f>
        <v/>
      </c>
      <c r="BA276" s="105" t="n"/>
      <c r="BB276" s="105" t="n"/>
      <c r="BC276" s="105">
        <f>IFERROR(BI276*BN276*BK276/BJ276^(1/2),"")</f>
        <v/>
      </c>
      <c r="BD276" s="105">
        <f>IFERROR(BH276*BM276*BL276/BJ276/BK276,"")</f>
        <v/>
      </c>
      <c r="BE276" s="105">
        <f>IFERROR(MIN(BI276/BQ276/BP276/BO276/BH276,$BE$1),"")</f>
        <v/>
      </c>
      <c r="BF276" s="105">
        <f>IFERROR(BJ276*BO276*BP276/BK276,"")</f>
        <v/>
      </c>
      <c r="BG276" s="105">
        <f>IFERROR(1/BM276/BH276*BQ276,"")</f>
        <v/>
      </c>
      <c r="BH276" s="102">
        <f>MAX((CE276-Driver!$F$200)/(Driver!$G$200-Driver!$F$200)*$BI$1,1)</f>
        <v/>
      </c>
      <c r="BI276" s="102">
        <f>MAX($BI$1*(BY276-Driver!$F$201)/(Driver!$G$201-Driver!$F$201),1)</f>
        <v/>
      </c>
      <c r="BJ276" s="102">
        <f>(CB276-Driver!$F$206)/(Driver!$G$206-Driver!$F$206)*$BI$1</f>
        <v/>
      </c>
      <c r="BK276" s="102">
        <f>(CD276-Driver!$F$203)/(Driver!$G$203-Driver!$F$203)*$BI$1</f>
        <v/>
      </c>
      <c r="BL276" s="102">
        <f>MAX((CR276-Driver!$F$202)/(Driver!$G$202-Driver!$F$202)*$BI$1,1)</f>
        <v/>
      </c>
      <c r="BM276" s="102">
        <f>MAX((CH276-Driver!$F$204)/(Driver!$G$204-Driver!$F$204)*$BI$1,1)</f>
        <v/>
      </c>
      <c r="BN276" s="102">
        <f>(CI276-Driver!$F$205)/(Driver!$G$205-Driver!$F$205)*$BI$1</f>
        <v/>
      </c>
      <c r="BO276" s="102">
        <f>(CK276-Driver!$F$207)/(Driver!$G$207-Driver!$F$207)*$BI$1</f>
        <v/>
      </c>
      <c r="BP276" s="102">
        <f>(CM276-Driver!$F$208)/(Driver!$G$208-Driver!$F$208)*$BI$1</f>
        <v/>
      </c>
      <c r="BQ276" s="102">
        <f>(CL276-Driver!$F$209)/(Driver!$G$209-Driver!$F$209)*$BI$1</f>
        <v/>
      </c>
      <c r="BR276" s="40" t="inlineStr">
        <is>
          <t>21/22</t>
        </is>
      </c>
      <c r="BS276" s="10" t="inlineStr">
        <is>
          <t xml:space="preserve"> Völkl</t>
        </is>
      </c>
      <c r="BT276" s="11" t="inlineStr">
        <is>
          <t xml:space="preserve"> Deacon XTD</t>
        </is>
      </c>
      <c r="BU276" s="13" t="n">
        <v>168</v>
      </c>
      <c r="BV276" s="11" t="inlineStr">
        <is>
          <t xml:space="preserve"> Unisex</t>
        </is>
      </c>
      <c r="BW276" s="13" t="n">
        <v>168</v>
      </c>
      <c r="BX276" s="13" t="n">
        <v>168.1</v>
      </c>
      <c r="BY276" s="13" t="n">
        <v>148</v>
      </c>
      <c r="BZ276" s="13" t="n">
        <v>156</v>
      </c>
      <c r="CA276" s="13" t="n">
        <v>123</v>
      </c>
      <c r="CB276" s="13" t="n">
        <v>75</v>
      </c>
      <c r="CC276" s="13" t="n">
        <v>104</v>
      </c>
      <c r="CD276" s="13" t="n">
        <v>15.5</v>
      </c>
      <c r="CE276" s="13" t="n">
        <v>1802</v>
      </c>
      <c r="CF276" s="13" t="n">
        <v>0.83</v>
      </c>
      <c r="CG276" s="13" t="n">
        <v>1497</v>
      </c>
      <c r="CH276" s="13" t="n">
        <v>176</v>
      </c>
      <c r="CI276" s="13" t="n">
        <v>76</v>
      </c>
      <c r="CJ276" s="13" t="n">
        <v>36</v>
      </c>
      <c r="CK276" s="13" t="n">
        <v>147</v>
      </c>
      <c r="CL276" s="13" t="n">
        <v>5</v>
      </c>
      <c r="CM276" s="13" t="n">
        <v>54</v>
      </c>
      <c r="CN276" s="13" t="n">
        <v>0.127</v>
      </c>
      <c r="CO276" s="13" t="n">
        <v>75</v>
      </c>
      <c r="CP276" s="13" t="n">
        <v>51</v>
      </c>
      <c r="CQ276" s="13" t="n">
        <v>72</v>
      </c>
      <c r="CR276" s="13" t="n">
        <v>8</v>
      </c>
      <c r="CS276" s="13" t="n">
        <v>13.1</v>
      </c>
      <c r="CT276" s="11" t="inlineStr">
        <is>
          <t xml:space="preserve"> On-Piste Carving</t>
        </is>
      </c>
      <c r="CU276" s="13" t="n"/>
      <c r="CV276" s="13" t="n"/>
      <c r="CW276" s="13" t="n"/>
      <c r="CX276">
        <f>INDEX('Data_Price '!AG$2:AG$1266,MATCH(Data!$DN276,'Data_Price '!$AT$2:$AT$1266,0))</f>
        <v/>
      </c>
      <c r="CY276">
        <f>INDEX('Data_Price '!AH$2:AH$1266,MATCH(Data!$DN276,'Data_Price '!$AT$2:$AT$1266,0))</f>
        <v/>
      </c>
      <c r="CZ276">
        <f>INDEX('Data_Price '!AI$2:AI$1266,MATCH(Data!$DN276,'Data_Price '!$AT$2:$AT$1266,0))</f>
        <v/>
      </c>
      <c r="DA276">
        <f>INDEX('Data_Price '!AJ$2:AJ$1266,MATCH(Data!$DN276,'Data_Price '!$AT$2:$AT$1266,0))</f>
        <v/>
      </c>
      <c r="DB276">
        <f>INDEX('Data_Price '!AK$2:AK$1266,MATCH(Data!$DN276,'Data_Price '!$AT$2:$AT$1266,0))</f>
        <v/>
      </c>
      <c r="DC276">
        <f>INDEX('Data_Price '!AL$2:AL$1266,MATCH(Data!$DN276,'Data_Price '!$AT$2:$AT$1266,0))</f>
        <v/>
      </c>
      <c r="DD276">
        <f>INDEX('Data_Price '!AM$2:AM$1266,MATCH(Data!$DN276,'Data_Price '!$AT$2:$AT$1266,0))</f>
        <v/>
      </c>
      <c r="DE276">
        <f>INDEX('Data_Price '!AN$2:AN$1266,MATCH(Data!$DN276,'Data_Price '!$AT$2:$AT$1266,0))</f>
        <v/>
      </c>
      <c r="DF276">
        <f>INDEX('Data_Price '!AO$2:AO$1266,MATCH(Data!$DN276,'Data_Price '!$AT$2:$AT$1266,0))</f>
        <v/>
      </c>
      <c r="DG276">
        <f>INDEX('Data_Price '!AP$2:AP$1266,MATCH(Data!$DN276,'Data_Price '!$AT$2:$AT$1266,0))</f>
        <v/>
      </c>
      <c r="DH276">
        <f>INDEX('Data_Price '!AQ$2:AQ$1266,MATCH(Data!$DN276,'Data_Price '!$AT$2:$AT$1266,0))</f>
        <v/>
      </c>
      <c r="DI276">
        <f>INDEX('Data_Price '!AR$2:AR$1266,MATCH(Data!$DN276,'Data_Price '!$AT$2:$AT$1266,0))</f>
        <v/>
      </c>
      <c r="DJ276" s="138">
        <f>DA276</f>
        <v/>
      </c>
      <c r="DK276" s="138">
        <f>DE276</f>
        <v/>
      </c>
      <c r="DL276" s="138">
        <f>DI276</f>
        <v/>
      </c>
      <c r="DM276" s="303">
        <f>IF(LEFT(BT276,1)=" ",RIGHT(BT276,LEN(BT276)-1),BT276)</f>
        <v/>
      </c>
      <c r="DN276" s="138">
        <f>_xlfn.CONCAT(BS276,DM276,BU276,BV276)</f>
        <v/>
      </c>
      <c r="DO276" s="307" t="n"/>
    </row>
    <row r="277" ht="15.6" customHeight="1" s="184">
      <c r="A277" s="303">
        <f>ROW()</f>
        <v/>
      </c>
      <c r="B277" s="303">
        <f t="array" ref="B277">IF(OR(ISERROR(K277:P277)),FALSE,TRUE)</f>
        <v/>
      </c>
      <c r="C277" s="60">
        <f>OR(BR277=Driver!$G$50,Data!BR913=Driver!$H$50)</f>
        <v/>
      </c>
      <c r="D277" s="60">
        <f>OR(BV277=Driver!$G$51,BV277=Driver!$H$51)</f>
        <v/>
      </c>
      <c r="E277" s="60">
        <f>AND(BX277&gt;Driver!$F$54,BX277&lt;Driver!$G$54)</f>
        <v/>
      </c>
      <c r="F277" s="60">
        <f>CL277&gt;Driver!$F$56</f>
        <v/>
      </c>
      <c r="G277" s="60">
        <f>AND(CB277&gt;Driver!$F$55,CB277&lt;Driver!$G$55)</f>
        <v/>
      </c>
      <c r="H277" s="60">
        <f>AND(B277:G277)</f>
        <v/>
      </c>
      <c r="I277" s="60">
        <f>COUNTIFS($H$9:$H$1273,TRUE,$BT$9:$BT$1273,BT277)</f>
        <v/>
      </c>
      <c r="J277" s="60">
        <f t="array" ref="J277">NOT(OR(($H$9:$H$1273=TRUE)*($I$9:$I$1273&gt;0)*($BT$9:$BT$1273=BT277)*($K$9:$K$1273&gt;K277)))</f>
        <v/>
      </c>
      <c r="K277" s="108">
        <f>IFERROR(1-AVERAGE(X277:Y277),"")</f>
        <v/>
      </c>
      <c r="L277" s="108">
        <f>1-X277</f>
        <v/>
      </c>
      <c r="M277" s="108">
        <f>1-Y277</f>
        <v/>
      </c>
      <c r="N277" s="108">
        <f>1-Z277</f>
        <v/>
      </c>
      <c r="O277" s="108">
        <f>1-AA277</f>
        <v/>
      </c>
      <c r="P277" s="108">
        <f>1-AB277</f>
        <v/>
      </c>
      <c r="Q277" s="108" t="n"/>
      <c r="R277" s="108" t="n"/>
      <c r="S277" s="108">
        <f>1-AE277</f>
        <v/>
      </c>
      <c r="T277" s="108">
        <f>1-AF277</f>
        <v/>
      </c>
      <c r="U277" s="108">
        <f>1-AG277</f>
        <v/>
      </c>
      <c r="V277" s="108">
        <f>1-AH277</f>
        <v/>
      </c>
      <c r="W277" s="108">
        <f>1-AI277</f>
        <v/>
      </c>
      <c r="X277" s="108">
        <f>ABS(AJ277-AJ$1)</f>
        <v/>
      </c>
      <c r="Y277" s="108">
        <f>AVERAGE(Z277:AB277)</f>
        <v/>
      </c>
      <c r="Z277" s="108">
        <f>ABS(AL277-AL$1)</f>
        <v/>
      </c>
      <c r="AA277" s="108">
        <f>ABS(AM277-AM$1)</f>
        <v/>
      </c>
      <c r="AB277" s="108">
        <f>ABS(AN277-AN$1)</f>
        <v/>
      </c>
      <c r="AC277" s="108" t="n"/>
      <c r="AD277" s="108" t="n"/>
      <c r="AE277" s="108">
        <f>ABS(AQ$1-AQ277)</f>
        <v/>
      </c>
      <c r="AF277" s="108">
        <f>ABS(AR$1-AR277)</f>
        <v/>
      </c>
      <c r="AG277" s="108">
        <f>ABS(AS$1-AS277)</f>
        <v/>
      </c>
      <c r="AH277" s="108">
        <f>ABS(AT$1-AT277)</f>
        <v/>
      </c>
      <c r="AI277" s="108">
        <f>ABS(AU$1-AU277)</f>
        <v/>
      </c>
      <c r="AJ277" s="108">
        <f>(AV277-Driver!$K$179)/(Driver!$L$179-Driver!$K$179)</f>
        <v/>
      </c>
      <c r="AK277" s="108">
        <f>(AW277-Driver!$K$180)/(Driver!$L$180-Driver!$K$180)</f>
        <v/>
      </c>
      <c r="AL277" s="108">
        <f>(AX277-Driver!$K$181)/(Driver!$L$181-Driver!$K$181)</f>
        <v/>
      </c>
      <c r="AM277" s="108">
        <f>(AY277-Driver!$K$182)/(Driver!$L$182-Driver!$K$182)</f>
        <v/>
      </c>
      <c r="AN277" s="108">
        <f>(AZ277-Driver!$K$183)/(Driver!$L$183-Driver!$K$183)</f>
        <v/>
      </c>
      <c r="AO277" s="108" t="n"/>
      <c r="AP277" s="108" t="n"/>
      <c r="AQ277" s="108">
        <f>(BC277-Driver!$K$188)/(Driver!$L$188-Driver!$K$188)</f>
        <v/>
      </c>
      <c r="AR277" s="108">
        <f>MIN((BD277-Driver!$K$189)/(Driver!$L$189-Driver!$K$189),100%)</f>
        <v/>
      </c>
      <c r="AS277" s="108">
        <f>(BE277-Driver!$K$190)/(Driver!$L$190-Driver!$K$190)</f>
        <v/>
      </c>
      <c r="AT277" s="108">
        <f>(BF277-Driver!$K$191)/(Driver!$L$191-Driver!$K$191)</f>
        <v/>
      </c>
      <c r="AU277" s="108">
        <f>(BG277-Driver!$K$192)/(Driver!$L$192-Driver!$K$192)</f>
        <v/>
      </c>
      <c r="AV277" s="105">
        <f>IFERROR(BM277*BJ277^1/4,"")</f>
        <v/>
      </c>
      <c r="AW277" s="105">
        <f>IFERROR(SUM(AX277:AZ277),"")</f>
        <v/>
      </c>
      <c r="AX277" s="105">
        <f>IFERROR(BH277,"")</f>
        <v/>
      </c>
      <c r="AY277" s="105">
        <f>IFERROR(Driver!$K$19/Data!BH277/Data!BI277*Data!BK277*Data!BL277,"")</f>
        <v/>
      </c>
      <c r="AZ277" s="105">
        <f>IFERROR(BI277*BN277,"")</f>
        <v/>
      </c>
      <c r="BA277" s="105" t="n"/>
      <c r="BB277" s="105" t="n"/>
      <c r="BC277" s="105">
        <f>IFERROR(BI277*BN277*BK277/BJ277^(1/2),"")</f>
        <v/>
      </c>
      <c r="BD277" s="105">
        <f>IFERROR(BH277*BM277*BL277/BJ277/BK277,"")</f>
        <v/>
      </c>
      <c r="BE277" s="105">
        <f>IFERROR(MIN(BI277/BQ277/BP277/BO277/BH277,$BE$1),"")</f>
        <v/>
      </c>
      <c r="BF277" s="105">
        <f>IFERROR(BJ277*BO277*BP277/BK277,"")</f>
        <v/>
      </c>
      <c r="BG277" s="105">
        <f>IFERROR(1/BM277/BH277*BQ277,"")</f>
        <v/>
      </c>
      <c r="BH277" s="102">
        <f>MAX((CE277-Driver!$F$200)/(Driver!$G$200-Driver!$F$200)*$BI$1,1)</f>
        <v/>
      </c>
      <c r="BI277" s="102">
        <f>MAX($BI$1*(BY277-Driver!$F$201)/(Driver!$G$201-Driver!$F$201),1)</f>
        <v/>
      </c>
      <c r="BJ277" s="102">
        <f>(CB277-Driver!$F$206)/(Driver!$G$206-Driver!$F$206)*$BI$1</f>
        <v/>
      </c>
      <c r="BK277" s="102">
        <f>(CD277-Driver!$F$203)/(Driver!$G$203-Driver!$F$203)*$BI$1</f>
        <v/>
      </c>
      <c r="BL277" s="102">
        <f>MAX((CR277-Driver!$F$202)/(Driver!$G$202-Driver!$F$202)*$BI$1,1)</f>
        <v/>
      </c>
      <c r="BM277" s="102">
        <f>MAX((CH277-Driver!$F$204)/(Driver!$G$204-Driver!$F$204)*$BI$1,1)</f>
        <v/>
      </c>
      <c r="BN277" s="102">
        <f>(CI277-Driver!$F$205)/(Driver!$G$205-Driver!$F$205)*$BI$1</f>
        <v/>
      </c>
      <c r="BO277" s="102">
        <f>(CK277-Driver!$F$207)/(Driver!$G$207-Driver!$F$207)*$BI$1</f>
        <v/>
      </c>
      <c r="BP277" s="102">
        <f>(CM277-Driver!$F$208)/(Driver!$G$208-Driver!$F$208)*$BI$1</f>
        <v/>
      </c>
      <c r="BQ277" s="102">
        <f>(CL277-Driver!$F$209)/(Driver!$G$209-Driver!$F$209)*$BI$1</f>
        <v/>
      </c>
      <c r="BR277" s="40" t="inlineStr">
        <is>
          <t>21/22</t>
        </is>
      </c>
      <c r="BS277" s="10" t="inlineStr">
        <is>
          <t xml:space="preserve"> Nordica</t>
        </is>
      </c>
      <c r="BT277" s="11" t="inlineStr">
        <is>
          <t>Santa Ana 104 Free</t>
        </is>
      </c>
      <c r="BU277" s="13" t="n">
        <v>165</v>
      </c>
      <c r="BV277" s="11" t="inlineStr">
        <is>
          <t xml:space="preserve"> Women's</t>
        </is>
      </c>
      <c r="BW277" s="13" t="n">
        <v>165</v>
      </c>
      <c r="BX277" s="13" t="n">
        <v>164.1</v>
      </c>
      <c r="BY277" s="13" t="n">
        <v>110</v>
      </c>
      <c r="BZ277" s="13" t="n">
        <v>135</v>
      </c>
      <c r="CA277" s="13" t="n">
        <v>134</v>
      </c>
      <c r="CB277" s="13" t="n">
        <v>103</v>
      </c>
      <c r="CC277" s="13" t="n">
        <v>124</v>
      </c>
      <c r="CD277" s="13" t="n">
        <v>15.6</v>
      </c>
      <c r="CE277" s="13" t="n">
        <v>1715</v>
      </c>
      <c r="CF277" s="13" t="n">
        <v>1.08</v>
      </c>
      <c r="CG277" s="13" t="n">
        <v>1857</v>
      </c>
      <c r="CH277" s="13" t="n">
        <v>174</v>
      </c>
      <c r="CI277" s="13" t="n">
        <v>94</v>
      </c>
      <c r="CJ277" s="13" t="n">
        <v>57</v>
      </c>
      <c r="CK277" s="13" t="n">
        <v>297</v>
      </c>
      <c r="CL277" s="13" t="n">
        <v>39</v>
      </c>
      <c r="CM277" s="13" t="n">
        <v>241</v>
      </c>
      <c r="CN277" s="13" t="n">
        <v>0.6870000000000001</v>
      </c>
      <c r="CO277" s="13" t="n">
        <v>134</v>
      </c>
      <c r="CP277" s="13" t="n">
        <v>160</v>
      </c>
      <c r="CQ277" s="13" t="n">
        <v>163</v>
      </c>
      <c r="CR277" s="13" t="n">
        <v>5</v>
      </c>
      <c r="CS277" s="13" t="n">
        <v>8.4</v>
      </c>
      <c r="CT277" s="11" t="inlineStr">
        <is>
          <t xml:space="preserve"> Resort Freeride</t>
        </is>
      </c>
      <c r="CU277" s="11" t="inlineStr">
        <is>
          <t xml:space="preserve"> Powder</t>
        </is>
      </c>
      <c r="CV277" s="11" t="inlineStr">
        <is>
          <t xml:space="preserve"> Touring</t>
        </is>
      </c>
      <c r="CW277" s="13" t="n"/>
      <c r="CX277">
        <f>INDEX('Data_Price '!AG$2:AG$1266,MATCH(Data!$DN277,'Data_Price '!$AT$2:$AT$1266,0))</f>
        <v/>
      </c>
      <c r="CY277">
        <f>INDEX('Data_Price '!AH$2:AH$1266,MATCH(Data!$DN277,'Data_Price '!$AT$2:$AT$1266,0))</f>
        <v/>
      </c>
      <c r="CZ277">
        <f>INDEX('Data_Price '!AI$2:AI$1266,MATCH(Data!$DN277,'Data_Price '!$AT$2:$AT$1266,0))</f>
        <v/>
      </c>
      <c r="DA277">
        <f>INDEX('Data_Price '!AJ$2:AJ$1266,MATCH(Data!$DN277,'Data_Price '!$AT$2:$AT$1266,0))</f>
        <v/>
      </c>
      <c r="DB277">
        <f>INDEX('Data_Price '!AK$2:AK$1266,MATCH(Data!$DN277,'Data_Price '!$AT$2:$AT$1266,0))</f>
        <v/>
      </c>
      <c r="DC277">
        <f>INDEX('Data_Price '!AL$2:AL$1266,MATCH(Data!$DN277,'Data_Price '!$AT$2:$AT$1266,0))</f>
        <v/>
      </c>
      <c r="DD277">
        <f>INDEX('Data_Price '!AM$2:AM$1266,MATCH(Data!$DN277,'Data_Price '!$AT$2:$AT$1266,0))</f>
        <v/>
      </c>
      <c r="DE277">
        <f>INDEX('Data_Price '!AN$2:AN$1266,MATCH(Data!$DN277,'Data_Price '!$AT$2:$AT$1266,0))</f>
        <v/>
      </c>
      <c r="DF277">
        <f>INDEX('Data_Price '!AO$2:AO$1266,MATCH(Data!$DN277,'Data_Price '!$AT$2:$AT$1266,0))</f>
        <v/>
      </c>
      <c r="DG277">
        <f>INDEX('Data_Price '!AP$2:AP$1266,MATCH(Data!$DN277,'Data_Price '!$AT$2:$AT$1266,0))</f>
        <v/>
      </c>
      <c r="DH277">
        <f>INDEX('Data_Price '!AQ$2:AQ$1266,MATCH(Data!$DN277,'Data_Price '!$AT$2:$AT$1266,0))</f>
        <v/>
      </c>
      <c r="DI277">
        <f>INDEX('Data_Price '!AR$2:AR$1266,MATCH(Data!$DN277,'Data_Price '!$AT$2:$AT$1266,0))</f>
        <v/>
      </c>
      <c r="DJ277" s="138">
        <f>DA277</f>
        <v/>
      </c>
      <c r="DK277" s="138">
        <f>DE277</f>
        <v/>
      </c>
      <c r="DL277" s="138">
        <f>DI277</f>
        <v/>
      </c>
      <c r="DM277" s="303">
        <f>IF(LEFT(BT277,1)=" ",RIGHT(BT277,LEN(BT277)-1),BT277)</f>
        <v/>
      </c>
      <c r="DN277" s="138">
        <f>_xlfn.CONCAT(BS277,DM277,BU277,BV277)</f>
        <v/>
      </c>
      <c r="DO277" s="307" t="inlineStr">
        <is>
          <t>https://images.evo.com/imgp/250/198263/792326/nordica-santa-ana-104-free-skis-women-s-2022-.jpg</t>
        </is>
      </c>
    </row>
    <row r="278" ht="15.6" customHeight="1" s="184">
      <c r="B278" s="303">
        <f t="array" ref="B278">IF(OR(ISERROR(K278:P278)),FALSE,TRUE)</f>
        <v/>
      </c>
      <c r="C278" s="60">
        <f>OR(BR278=Driver!$G$50,Data!BR1006=Driver!$H$50)</f>
        <v/>
      </c>
      <c r="D278" s="60">
        <f>OR(BV278=Driver!$G$51,BV278=Driver!$H$51)</f>
        <v/>
      </c>
      <c r="E278" s="60">
        <f>AND(BX278&gt;Driver!$F$54,BX278&lt;Driver!$G$54)</f>
        <v/>
      </c>
      <c r="F278" s="60">
        <f>CL278&gt;Driver!$F$56</f>
        <v/>
      </c>
      <c r="G278" s="60">
        <f>AND(CB278&gt;Driver!$F$55,CB278&lt;Driver!$G$55)</f>
        <v/>
      </c>
      <c r="H278" s="60">
        <f>AND(B278:G278)</f>
        <v/>
      </c>
      <c r="I278" s="60">
        <f>COUNTIFS($H$9:$H$1273,TRUE,$BT$9:$BT$1273,BT278)</f>
        <v/>
      </c>
      <c r="J278" s="60">
        <f t="array" ref="J278">NOT(OR(($H$9:$H$1273=TRUE)*($I$9:$I$1273&gt;0)*($BT$9:$BT$1273=BT278)*($K$9:$K$1273&gt;K278)))</f>
        <v/>
      </c>
      <c r="K278" s="108">
        <f>IFERROR(1-AVERAGE(X278:Y278),"")</f>
        <v/>
      </c>
      <c r="L278" s="108">
        <f>1-X278</f>
        <v/>
      </c>
      <c r="M278" s="108">
        <f>1-Y278</f>
        <v/>
      </c>
      <c r="N278" s="108">
        <f>1-Z278</f>
        <v/>
      </c>
      <c r="O278" s="108">
        <f>1-AA278</f>
        <v/>
      </c>
      <c r="P278" s="108">
        <f>1-AB278</f>
        <v/>
      </c>
      <c r="Q278" s="108" t="n"/>
      <c r="R278" s="108" t="n"/>
      <c r="S278" s="108">
        <f>1-AE278</f>
        <v/>
      </c>
      <c r="T278" s="108">
        <f>1-AF278</f>
        <v/>
      </c>
      <c r="U278" s="108">
        <f>1-AG278</f>
        <v/>
      </c>
      <c r="V278" s="108">
        <f>1-AH278</f>
        <v/>
      </c>
      <c r="W278" s="108">
        <f>1-AI278</f>
        <v/>
      </c>
      <c r="X278" s="108">
        <f>ABS(AJ278-AJ$1)</f>
        <v/>
      </c>
      <c r="Y278" s="108">
        <f>AVERAGE(Z278:AB278)</f>
        <v/>
      </c>
      <c r="Z278" s="108">
        <f>ABS(AL278-AL$1)</f>
        <v/>
      </c>
      <c r="AA278" s="108">
        <f>ABS(AM278-AM$1)</f>
        <v/>
      </c>
      <c r="AB278" s="108">
        <f>ABS(AN278-AN$1)</f>
        <v/>
      </c>
      <c r="AC278" s="108" t="n"/>
      <c r="AD278" s="108" t="n"/>
      <c r="AE278" s="108">
        <f>ABS(AQ$1-AQ278)</f>
        <v/>
      </c>
      <c r="AF278" s="108">
        <f>ABS(AR$1-AR278)</f>
        <v/>
      </c>
      <c r="AG278" s="108">
        <f>ABS(AS$1-AS278)</f>
        <v/>
      </c>
      <c r="AH278" s="108">
        <f>ABS(AT$1-AT278)</f>
        <v/>
      </c>
      <c r="AI278" s="108">
        <f>ABS(AU$1-AU278)</f>
        <v/>
      </c>
      <c r="AJ278" s="108">
        <f>(AV278-Driver!$K$179)/(Driver!$L$179-Driver!$K$179)</f>
        <v/>
      </c>
      <c r="AK278" s="108">
        <f>(AW278-Driver!$K$180)/(Driver!$L$180-Driver!$K$180)</f>
        <v/>
      </c>
      <c r="AL278" s="108">
        <f>(AX278-Driver!$K$181)/(Driver!$L$181-Driver!$K$181)</f>
        <v/>
      </c>
      <c r="AM278" s="108">
        <f>(AY278-Driver!$K$182)/(Driver!$L$182-Driver!$K$182)</f>
        <v/>
      </c>
      <c r="AN278" s="108">
        <f>(AZ278-Driver!$K$183)/(Driver!$L$183-Driver!$K$183)</f>
        <v/>
      </c>
      <c r="AO278" s="108" t="n"/>
      <c r="AP278" s="108" t="n"/>
      <c r="AQ278" s="108">
        <f>(BC278-Driver!$K$188)/(Driver!$L$188-Driver!$K$188)</f>
        <v/>
      </c>
      <c r="AR278" s="108">
        <f>MIN((BD278-Driver!$K$189)/(Driver!$L$189-Driver!$K$189),100%)</f>
        <v/>
      </c>
      <c r="AS278" s="108">
        <f>(BE278-Driver!$K$190)/(Driver!$L$190-Driver!$K$190)</f>
        <v/>
      </c>
      <c r="AT278" s="108">
        <f>(BF278-Driver!$K$191)/(Driver!$L$191-Driver!$K$191)</f>
        <v/>
      </c>
      <c r="AU278" s="108">
        <f>(BG278-Driver!$K$192)/(Driver!$L$192-Driver!$K$192)</f>
        <v/>
      </c>
      <c r="AV278" s="105">
        <f>IFERROR(BM278*BJ278^1/4,"")</f>
        <v/>
      </c>
      <c r="AW278" s="105">
        <f>IFERROR(SUM(AX278:AZ278),"")</f>
        <v/>
      </c>
      <c r="AX278" s="105">
        <f>IFERROR(BH278,"")</f>
        <v/>
      </c>
      <c r="AY278" s="105">
        <f>IFERROR(Driver!$K$19/Data!BH278/Data!BI278*Data!BK278*Data!BL278,"")</f>
        <v/>
      </c>
      <c r="AZ278" s="105">
        <f>IFERROR(BI278*BN278,"")</f>
        <v/>
      </c>
      <c r="BA278" s="105" t="n"/>
      <c r="BB278" s="105" t="n"/>
      <c r="BC278" s="105">
        <f>IFERROR(BI278*BN278*BK278/BJ278^(1/2),"")</f>
        <v/>
      </c>
      <c r="BD278" s="105">
        <f>IFERROR(BH278*BM278*BL278/BJ278/BK278,"")</f>
        <v/>
      </c>
      <c r="BE278" s="105">
        <f>IFERROR(MIN(BI278/BQ278/BP278/BO278/BH278,$BE$1),"")</f>
        <v/>
      </c>
      <c r="BF278" s="105">
        <f>IFERROR(BJ278*BO278*BP278/BK278,"")</f>
        <v/>
      </c>
      <c r="BG278" s="105">
        <f>IFERROR(1/BM278/BH278*BQ278,"")</f>
        <v/>
      </c>
      <c r="BH278" s="102">
        <f>MAX((CE278-Driver!$F$200)/(Driver!$G$200-Driver!$F$200)*$BI$1,1)</f>
        <v/>
      </c>
      <c r="BI278" s="102">
        <f>MAX($BI$1*(BY278-Driver!$F$201)/(Driver!$G$201-Driver!$F$201),1)</f>
        <v/>
      </c>
      <c r="BJ278" s="102">
        <f>(CB278-Driver!$F$206)/(Driver!$G$206-Driver!$F$206)*$BI$1</f>
        <v/>
      </c>
      <c r="BK278" s="102">
        <f>(CD278-Driver!$F$203)/(Driver!$G$203-Driver!$F$203)*$BI$1</f>
        <v/>
      </c>
      <c r="BL278" s="102">
        <f>MAX((CR278-Driver!$F$202)/(Driver!$G$202-Driver!$F$202)*$BI$1,1)</f>
        <v/>
      </c>
      <c r="BM278" s="102">
        <f>MAX((CH278-Driver!$F$204)/(Driver!$G$204-Driver!$F$204)*$BI$1,1)</f>
        <v/>
      </c>
      <c r="BN278" s="102">
        <f>(CI278-Driver!$F$205)/(Driver!$G$205-Driver!$F$205)*$BI$1</f>
        <v/>
      </c>
      <c r="BO278" s="102">
        <f>(CK278-Driver!$F$207)/(Driver!$G$207-Driver!$F$207)*$BI$1</f>
        <v/>
      </c>
      <c r="BP278" s="102">
        <f>(CM278-Driver!$F$208)/(Driver!$G$208-Driver!$F$208)*$BI$1</f>
        <v/>
      </c>
      <c r="BQ278" s="102">
        <f>(CL278-Driver!$F$209)/(Driver!$G$209-Driver!$F$209)*$BI$1</f>
        <v/>
      </c>
      <c r="BR278" s="40" t="inlineStr">
        <is>
          <t>21/22</t>
        </is>
      </c>
      <c r="BS278" s="10" t="inlineStr">
        <is>
          <t xml:space="preserve"> Rossignol</t>
        </is>
      </c>
      <c r="BT278" s="11" t="inlineStr">
        <is>
          <t>Experience 80 Carbon W</t>
        </is>
      </c>
      <c r="BU278" s="13" t="n">
        <v>150</v>
      </c>
      <c r="BV278" s="11" t="inlineStr">
        <is>
          <t xml:space="preserve"> Women's</t>
        </is>
      </c>
      <c r="BW278" s="13" t="n">
        <v>150</v>
      </c>
      <c r="BX278" s="13" t="n">
        <v>150.3</v>
      </c>
      <c r="BY278" s="13" t="n">
        <v>112</v>
      </c>
      <c r="BZ278" s="13" t="n">
        <v>136</v>
      </c>
      <c r="CA278" s="13" t="n">
        <v>125</v>
      </c>
      <c r="CB278" s="13" t="n">
        <v>80</v>
      </c>
      <c r="CC278" s="13" t="n">
        <v>113</v>
      </c>
      <c r="CD278" s="13" t="n">
        <v>11.2</v>
      </c>
      <c r="CE278" s="13" t="n">
        <v>1598</v>
      </c>
      <c r="CF278" s="13" t="n">
        <v>0.89</v>
      </c>
      <c r="CG278" s="13" t="n">
        <v>1429</v>
      </c>
      <c r="CH278" s="13" t="n">
        <v>167</v>
      </c>
      <c r="CI278" s="13" t="n">
        <v>72</v>
      </c>
      <c r="CJ278" s="13" t="n">
        <v>47</v>
      </c>
      <c r="CK278" s="13" t="n">
        <v>260</v>
      </c>
      <c r="CL278" s="13" t="n">
        <v>12</v>
      </c>
      <c r="CM278" s="13" t="n">
        <v>126</v>
      </c>
      <c r="CN278" s="13" t="n">
        <v>0.266</v>
      </c>
      <c r="CO278" s="13" t="n">
        <v>80</v>
      </c>
      <c r="CP278" s="13" t="n">
        <v>65</v>
      </c>
      <c r="CQ278" s="13" t="n">
        <v>181</v>
      </c>
      <c r="CR278" s="13" t="n">
        <v>9</v>
      </c>
      <c r="CS278" s="13" t="n">
        <v>6.6</v>
      </c>
      <c r="CT278" s="11" t="inlineStr">
        <is>
          <t xml:space="preserve"> Resort Freeride</t>
        </is>
      </c>
      <c r="CU278" s="13" t="n"/>
      <c r="CV278" s="13" t="n"/>
      <c r="CW278" s="13" t="n"/>
      <c r="CX278">
        <f>INDEX('Data_Price '!AG$2:AG$1266,MATCH(Data!$DN278,'Data_Price '!$AT$2:$AT$1266,0))</f>
        <v/>
      </c>
      <c r="CY278">
        <f>INDEX('Data_Price '!AH$2:AH$1266,MATCH(Data!$DN278,'Data_Price '!$AT$2:$AT$1266,0))</f>
        <v/>
      </c>
      <c r="CZ278">
        <f>INDEX('Data_Price '!AI$2:AI$1266,MATCH(Data!$DN278,'Data_Price '!$AT$2:$AT$1266,0))</f>
        <v/>
      </c>
      <c r="DA278">
        <f>INDEX('Data_Price '!AJ$2:AJ$1266,MATCH(Data!$DN278,'Data_Price '!$AT$2:$AT$1266,0))</f>
        <v/>
      </c>
      <c r="DB278">
        <f>INDEX('Data_Price '!AK$2:AK$1266,MATCH(Data!$DN278,'Data_Price '!$AT$2:$AT$1266,0))</f>
        <v/>
      </c>
      <c r="DC278">
        <f>INDEX('Data_Price '!AL$2:AL$1266,MATCH(Data!$DN278,'Data_Price '!$AT$2:$AT$1266,0))</f>
        <v/>
      </c>
      <c r="DD278">
        <f>INDEX('Data_Price '!AM$2:AM$1266,MATCH(Data!$DN278,'Data_Price '!$AT$2:$AT$1266,0))</f>
        <v/>
      </c>
      <c r="DE278">
        <f>INDEX('Data_Price '!AN$2:AN$1266,MATCH(Data!$DN278,'Data_Price '!$AT$2:$AT$1266,0))</f>
        <v/>
      </c>
      <c r="DF278">
        <f>INDEX('Data_Price '!AO$2:AO$1266,MATCH(Data!$DN278,'Data_Price '!$AT$2:$AT$1266,0))</f>
        <v/>
      </c>
      <c r="DG278">
        <f>INDEX('Data_Price '!AP$2:AP$1266,MATCH(Data!$DN278,'Data_Price '!$AT$2:$AT$1266,0))</f>
        <v/>
      </c>
      <c r="DH278">
        <f>INDEX('Data_Price '!AQ$2:AQ$1266,MATCH(Data!$DN278,'Data_Price '!$AT$2:$AT$1266,0))</f>
        <v/>
      </c>
      <c r="DI278">
        <f>INDEX('Data_Price '!AR$2:AR$1266,MATCH(Data!$DN278,'Data_Price '!$AT$2:$AT$1266,0))</f>
        <v/>
      </c>
      <c r="DJ278" s="138">
        <f>DA278</f>
        <v/>
      </c>
      <c r="DK278" s="138">
        <f>DE278</f>
        <v/>
      </c>
      <c r="DL278" s="138">
        <f>DI278</f>
        <v/>
      </c>
      <c r="DM278" s="303">
        <f>IF(LEFT(BT278,1)=" ",RIGHT(BT278,LEN(BT278)-1),BT278)</f>
        <v/>
      </c>
      <c r="DN278" s="138">
        <f>_xlfn.CONCAT(BS278,DM278,BU278,BV278)</f>
        <v/>
      </c>
      <c r="DO278" s="307" t="n"/>
    </row>
    <row r="279" ht="15.6" customHeight="1" s="184">
      <c r="B279" s="303">
        <f t="array" ref="B279">IF(OR(ISERROR(K279:P279)),FALSE,TRUE)</f>
        <v/>
      </c>
      <c r="C279" s="60">
        <f>OR(BR279=Driver!$G$50,Data!BR480=Driver!$H$50)</f>
        <v/>
      </c>
      <c r="D279" s="60">
        <f>OR(BV279=Driver!$G$51,BV279=Driver!$H$51)</f>
        <v/>
      </c>
      <c r="E279" s="60">
        <f>AND(BX279&gt;Driver!$F$54,BX279&lt;Driver!$G$54)</f>
        <v/>
      </c>
      <c r="F279" s="60">
        <f>CL279&gt;Driver!$F$56</f>
        <v/>
      </c>
      <c r="G279" s="60">
        <f>AND(CB279&gt;Driver!$F$55,CB279&lt;Driver!$G$55)</f>
        <v/>
      </c>
      <c r="H279" s="60">
        <f>AND(B279:G279)</f>
        <v/>
      </c>
      <c r="I279" s="60">
        <f>COUNTIFS($H$9:$H$1273,TRUE,$BT$9:$BT$1273,BT279)</f>
        <v/>
      </c>
      <c r="J279" s="60">
        <f t="array" ref="J279">NOT(OR(($H$9:$H$1273=TRUE)*($I$9:$I$1273&gt;0)*($BT$9:$BT$1273=BT279)*($K$9:$K$1273&gt;K279)))</f>
        <v/>
      </c>
      <c r="K279" s="108">
        <f>IFERROR(1-AVERAGE(X279:Y279),"")</f>
        <v/>
      </c>
      <c r="L279" s="108">
        <f>1-X279</f>
        <v/>
      </c>
      <c r="M279" s="108">
        <f>1-Y279</f>
        <v/>
      </c>
      <c r="N279" s="108">
        <f>1-Z279</f>
        <v/>
      </c>
      <c r="O279" s="108">
        <f>1-AA279</f>
        <v/>
      </c>
      <c r="P279" s="108">
        <f>1-AB279</f>
        <v/>
      </c>
      <c r="Q279" s="108" t="n"/>
      <c r="R279" s="108" t="n"/>
      <c r="S279" s="108">
        <f>1-AE279</f>
        <v/>
      </c>
      <c r="T279" s="108">
        <f>1-AF279</f>
        <v/>
      </c>
      <c r="U279" s="108">
        <f>1-AG279</f>
        <v/>
      </c>
      <c r="V279" s="108">
        <f>1-AH279</f>
        <v/>
      </c>
      <c r="W279" s="108">
        <f>1-AI279</f>
        <v/>
      </c>
      <c r="X279" s="108">
        <f>ABS(AJ279-AJ$1)</f>
        <v/>
      </c>
      <c r="Y279" s="108">
        <f>AVERAGE(Z279:AB279)</f>
        <v/>
      </c>
      <c r="Z279" s="108">
        <f>ABS(AL279-AL$1)</f>
        <v/>
      </c>
      <c r="AA279" s="108">
        <f>ABS(AM279-AM$1)</f>
        <v/>
      </c>
      <c r="AB279" s="108">
        <f>ABS(AN279-AN$1)</f>
        <v/>
      </c>
      <c r="AC279" s="108" t="n"/>
      <c r="AD279" s="108" t="n"/>
      <c r="AE279" s="108">
        <f>ABS(AQ$1-AQ279)</f>
        <v/>
      </c>
      <c r="AF279" s="108">
        <f>ABS(AR$1-AR279)</f>
        <v/>
      </c>
      <c r="AG279" s="108">
        <f>ABS(AS$1-AS279)</f>
        <v/>
      </c>
      <c r="AH279" s="108">
        <f>ABS(AT$1-AT279)</f>
        <v/>
      </c>
      <c r="AI279" s="108">
        <f>ABS(AU$1-AU279)</f>
        <v/>
      </c>
      <c r="AJ279" s="108">
        <f>(AV279-Driver!$K$179)/(Driver!$L$179-Driver!$K$179)</f>
        <v/>
      </c>
      <c r="AK279" s="108">
        <f>(AW279-Driver!$K$180)/(Driver!$L$180-Driver!$K$180)</f>
        <v/>
      </c>
      <c r="AL279" s="108">
        <f>(AX279-Driver!$K$181)/(Driver!$L$181-Driver!$K$181)</f>
        <v/>
      </c>
      <c r="AM279" s="108">
        <f>(AY279-Driver!$K$182)/(Driver!$L$182-Driver!$K$182)</f>
        <v/>
      </c>
      <c r="AN279" s="108">
        <f>(AZ279-Driver!$K$183)/(Driver!$L$183-Driver!$K$183)</f>
        <v/>
      </c>
      <c r="AO279" s="108" t="n"/>
      <c r="AP279" s="108" t="n"/>
      <c r="AQ279" s="108">
        <f>(BC279-Driver!$K$188)/(Driver!$L$188-Driver!$K$188)</f>
        <v/>
      </c>
      <c r="AR279" s="108">
        <f>MIN((BD279-Driver!$K$189)/(Driver!$L$189-Driver!$K$189),100%)</f>
        <v/>
      </c>
      <c r="AS279" s="108">
        <f>(BE279-Driver!$K$190)/(Driver!$L$190-Driver!$K$190)</f>
        <v/>
      </c>
      <c r="AT279" s="108">
        <f>(BF279-Driver!$K$191)/(Driver!$L$191-Driver!$K$191)</f>
        <v/>
      </c>
      <c r="AU279" s="108">
        <f>(BG279-Driver!$K$192)/(Driver!$L$192-Driver!$K$192)</f>
        <v/>
      </c>
      <c r="AV279" s="105">
        <f>IFERROR(BM279*BJ279^1/4,"")</f>
        <v/>
      </c>
      <c r="AW279" s="105">
        <f>IFERROR(SUM(AX279:AZ279),"")</f>
        <v/>
      </c>
      <c r="AX279" s="105">
        <f>IFERROR(BH279,"")</f>
        <v/>
      </c>
      <c r="AY279" s="105">
        <f>IFERROR(Driver!$K$19/Data!BH279/Data!BI279*Data!BK279*Data!BL279,"")</f>
        <v/>
      </c>
      <c r="AZ279" s="105">
        <f>IFERROR(BI279*BN279,"")</f>
        <v/>
      </c>
      <c r="BA279" s="105" t="n"/>
      <c r="BB279" s="105" t="n"/>
      <c r="BC279" s="105">
        <f>IFERROR(BI279*BN279*BK279/BJ279^(1/2),"")</f>
        <v/>
      </c>
      <c r="BD279" s="105">
        <f>IFERROR(BH279*BM279*BL279/BJ279/BK279,"")</f>
        <v/>
      </c>
      <c r="BE279" s="105">
        <f>IFERROR(MIN(BI279/BQ279/BP279/BO279/BH279,$BE$1),"")</f>
        <v/>
      </c>
      <c r="BF279" s="105">
        <f>IFERROR(BJ279*BO279*BP279/BK279,"")</f>
        <v/>
      </c>
      <c r="BG279" s="105">
        <f>IFERROR(1/BM279/BH279*BQ279,"")</f>
        <v/>
      </c>
      <c r="BH279" s="102">
        <f>MAX((CE279-Driver!$F$200)/(Driver!$G$200-Driver!$F$200)*$BI$1,1)</f>
        <v/>
      </c>
      <c r="BI279" s="102">
        <f>MAX($BI$1*(BY279-Driver!$F$201)/(Driver!$G$201-Driver!$F$201),1)</f>
        <v/>
      </c>
      <c r="BJ279" s="102">
        <f>(CB279-Driver!$F$206)/(Driver!$G$206-Driver!$F$206)*$BI$1</f>
        <v/>
      </c>
      <c r="BK279" s="102">
        <f>(CD279-Driver!$F$203)/(Driver!$G$203-Driver!$F$203)*$BI$1</f>
        <v/>
      </c>
      <c r="BL279" s="102">
        <f>MAX((CR279-Driver!$F$202)/(Driver!$G$202-Driver!$F$202)*$BI$1,1)</f>
        <v/>
      </c>
      <c r="BM279" s="102">
        <f>MAX((CH279-Driver!$F$204)/(Driver!$G$204-Driver!$F$204)*$BI$1,1)</f>
        <v/>
      </c>
      <c r="BN279" s="102">
        <f>(CI279-Driver!$F$205)/(Driver!$G$205-Driver!$F$205)*$BI$1</f>
        <v/>
      </c>
      <c r="BO279" s="102">
        <f>(CK279-Driver!$F$207)/(Driver!$G$207-Driver!$F$207)*$BI$1</f>
        <v/>
      </c>
      <c r="BP279" s="102">
        <f>(CM279-Driver!$F$208)/(Driver!$G$208-Driver!$F$208)*$BI$1</f>
        <v/>
      </c>
      <c r="BQ279" s="102">
        <f>(CL279-Driver!$F$209)/(Driver!$G$209-Driver!$F$209)*$BI$1</f>
        <v/>
      </c>
      <c r="BR279" s="40" t="inlineStr">
        <is>
          <t>21/22</t>
        </is>
      </c>
      <c r="BS279" s="10" t="inlineStr">
        <is>
          <t xml:space="preserve"> Elan</t>
        </is>
      </c>
      <c r="BT279" s="11" t="inlineStr">
        <is>
          <t>Wingman 82 Ti</t>
        </is>
      </c>
      <c r="BU279" s="13" t="n">
        <v>172</v>
      </c>
      <c r="BV279" s="11" t="inlineStr">
        <is>
          <t xml:space="preserve"> Unisex</t>
        </is>
      </c>
      <c r="BW279" s="13" t="n">
        <v>172</v>
      </c>
      <c r="BX279" s="13" t="n">
        <v>171.3</v>
      </c>
      <c r="BY279" s="13" t="n">
        <v>142</v>
      </c>
      <c r="BZ279" s="13" t="n">
        <v>151</v>
      </c>
      <c r="CA279" s="13" t="n">
        <v>128</v>
      </c>
      <c r="CB279" s="13" t="n">
        <v>81</v>
      </c>
      <c r="CC279" s="13" t="n">
        <v>111</v>
      </c>
      <c r="CD279" s="13" t="n">
        <v>14.3</v>
      </c>
      <c r="CE279" s="13" t="n">
        <v>1910</v>
      </c>
      <c r="CF279" s="13" t="n">
        <v>0.86</v>
      </c>
      <c r="CG279" s="13" t="n">
        <v>1651</v>
      </c>
      <c r="CH279" s="13" t="n">
        <v>231</v>
      </c>
      <c r="CI279" s="13" t="n">
        <v>99</v>
      </c>
      <c r="CJ279" s="13" t="n">
        <v>37</v>
      </c>
      <c r="CK279" s="13" t="n">
        <v>170</v>
      </c>
      <c r="CL279" s="13" t="n">
        <v>12</v>
      </c>
      <c r="CM279" s="13" t="n">
        <v>122</v>
      </c>
      <c r="CN279" s="13" t="n">
        <v>0.313</v>
      </c>
      <c r="CO279" s="13" t="n">
        <v>105</v>
      </c>
      <c r="CP279" s="13" t="n">
        <v>95</v>
      </c>
      <c r="CQ279" s="13" t="n">
        <v>66</v>
      </c>
      <c r="CR279" s="13" t="n">
        <v>11</v>
      </c>
      <c r="CS279" s="13" t="n">
        <v>10</v>
      </c>
      <c r="CT279" s="11" t="inlineStr">
        <is>
          <t xml:space="preserve"> On-Piste All-Mountain</t>
        </is>
      </c>
      <c r="CU279" s="11" t="inlineStr">
        <is>
          <t xml:space="preserve"> Resort Freeride</t>
        </is>
      </c>
      <c r="CV279" s="13" t="n"/>
      <c r="CW279" s="13" t="n"/>
      <c r="CX279">
        <f>INDEX('Data_Price '!AG$2:AG$1266,MATCH(Data!$DN279,'Data_Price '!$AT$2:$AT$1266,0))</f>
        <v/>
      </c>
      <c r="CY279">
        <f>INDEX('Data_Price '!AH$2:AH$1266,MATCH(Data!$DN279,'Data_Price '!$AT$2:$AT$1266,0))</f>
        <v/>
      </c>
      <c r="CZ279">
        <f>INDEX('Data_Price '!AI$2:AI$1266,MATCH(Data!$DN279,'Data_Price '!$AT$2:$AT$1266,0))</f>
        <v/>
      </c>
      <c r="DA279">
        <f>INDEX('Data_Price '!AJ$2:AJ$1266,MATCH(Data!$DN279,'Data_Price '!$AT$2:$AT$1266,0))</f>
        <v/>
      </c>
      <c r="DB279">
        <f>INDEX('Data_Price '!AK$2:AK$1266,MATCH(Data!$DN279,'Data_Price '!$AT$2:$AT$1266,0))</f>
        <v/>
      </c>
      <c r="DC279">
        <f>INDEX('Data_Price '!AL$2:AL$1266,MATCH(Data!$DN279,'Data_Price '!$AT$2:$AT$1266,0))</f>
        <v/>
      </c>
      <c r="DD279">
        <f>INDEX('Data_Price '!AM$2:AM$1266,MATCH(Data!$DN279,'Data_Price '!$AT$2:$AT$1266,0))</f>
        <v/>
      </c>
      <c r="DE279">
        <f>INDEX('Data_Price '!AN$2:AN$1266,MATCH(Data!$DN279,'Data_Price '!$AT$2:$AT$1266,0))</f>
        <v/>
      </c>
      <c r="DF279">
        <f>INDEX('Data_Price '!AO$2:AO$1266,MATCH(Data!$DN279,'Data_Price '!$AT$2:$AT$1266,0))</f>
        <v/>
      </c>
      <c r="DG279">
        <f>INDEX('Data_Price '!AP$2:AP$1266,MATCH(Data!$DN279,'Data_Price '!$AT$2:$AT$1266,0))</f>
        <v/>
      </c>
      <c r="DH279">
        <f>INDEX('Data_Price '!AQ$2:AQ$1266,MATCH(Data!$DN279,'Data_Price '!$AT$2:$AT$1266,0))</f>
        <v/>
      </c>
      <c r="DI279">
        <f>INDEX('Data_Price '!AR$2:AR$1266,MATCH(Data!$DN279,'Data_Price '!$AT$2:$AT$1266,0))</f>
        <v/>
      </c>
      <c r="DJ279" s="138">
        <f>DA279</f>
        <v/>
      </c>
      <c r="DK279" s="138">
        <f>DE279</f>
        <v/>
      </c>
      <c r="DL279" s="138">
        <f>DI279</f>
        <v/>
      </c>
      <c r="DM279" s="303">
        <f>IF(LEFT(BT279,1)=" ",RIGHT(BT279,LEN(BT279)-1),BT279)</f>
        <v/>
      </c>
      <c r="DN279" s="138">
        <f>_xlfn.CONCAT(BS279,DM279,BU279,BV279)</f>
        <v/>
      </c>
      <c r="DO279" s="307" t="n"/>
    </row>
    <row r="280" ht="15.6" customHeight="1" s="184">
      <c r="B280" s="303">
        <f t="array" ref="B280">IF(OR(ISERROR(K280:P280)),FALSE,TRUE)</f>
        <v/>
      </c>
      <c r="C280" s="60">
        <f>OR(BR280=Driver!$G$50,Data!BR1109=Driver!$H$50)</f>
        <v/>
      </c>
      <c r="D280" s="60">
        <f>OR(BV280=Driver!$G$51,BV280=Driver!$H$51)</f>
        <v/>
      </c>
      <c r="E280" s="60">
        <f>AND(BX280&gt;Driver!$F$54,BX280&lt;Driver!$G$54)</f>
        <v/>
      </c>
      <c r="F280" s="60">
        <f>CL280&gt;Driver!$F$56</f>
        <v/>
      </c>
      <c r="G280" s="60">
        <f>AND(CB280&gt;Driver!$F$55,CB280&lt;Driver!$G$55)</f>
        <v/>
      </c>
      <c r="H280" s="60">
        <f>AND(B280:G280)</f>
        <v/>
      </c>
      <c r="I280" s="60">
        <f>COUNTIFS($H$9:$H$1273,TRUE,$BT$9:$BT$1273,BT280)</f>
        <v/>
      </c>
      <c r="J280" s="60">
        <f t="array" ref="J280">NOT(OR(($H$9:$H$1273=TRUE)*($I$9:$I$1273&gt;0)*($BT$9:$BT$1273=BT280)*($K$9:$K$1273&gt;K280)))</f>
        <v/>
      </c>
      <c r="K280" s="108">
        <f>IFERROR(1-AVERAGE(X280:Y280),"")</f>
        <v/>
      </c>
      <c r="L280" s="108">
        <f>1-X280</f>
        <v/>
      </c>
      <c r="M280" s="108">
        <f>1-Y280</f>
        <v/>
      </c>
      <c r="N280" s="108">
        <f>1-Z280</f>
        <v/>
      </c>
      <c r="O280" s="108">
        <f>1-AA280</f>
        <v/>
      </c>
      <c r="P280" s="108">
        <f>1-AB280</f>
        <v/>
      </c>
      <c r="Q280" s="108" t="n"/>
      <c r="R280" s="108" t="n"/>
      <c r="S280" s="108">
        <f>1-AE280</f>
        <v/>
      </c>
      <c r="T280" s="108">
        <f>1-AF280</f>
        <v/>
      </c>
      <c r="U280" s="108">
        <f>1-AG280</f>
        <v/>
      </c>
      <c r="V280" s="108">
        <f>1-AH280</f>
        <v/>
      </c>
      <c r="W280" s="108">
        <f>1-AI280</f>
        <v/>
      </c>
      <c r="X280" s="108">
        <f>ABS(AJ280-AJ$1)</f>
        <v/>
      </c>
      <c r="Y280" s="108">
        <f>AVERAGE(Z280:AB280)</f>
        <v/>
      </c>
      <c r="Z280" s="108">
        <f>ABS(AL280-AL$1)</f>
        <v/>
      </c>
      <c r="AA280" s="108">
        <f>ABS(AM280-AM$1)</f>
        <v/>
      </c>
      <c r="AB280" s="108">
        <f>ABS(AN280-AN$1)</f>
        <v/>
      </c>
      <c r="AC280" s="108" t="n"/>
      <c r="AD280" s="108" t="n"/>
      <c r="AE280" s="108">
        <f>ABS(AQ$1-AQ280)</f>
        <v/>
      </c>
      <c r="AF280" s="108">
        <f>ABS(AR$1-AR280)</f>
        <v/>
      </c>
      <c r="AG280" s="108">
        <f>ABS(AS$1-AS280)</f>
        <v/>
      </c>
      <c r="AH280" s="108">
        <f>ABS(AT$1-AT280)</f>
        <v/>
      </c>
      <c r="AI280" s="108">
        <f>ABS(AU$1-AU280)</f>
        <v/>
      </c>
      <c r="AJ280" s="108">
        <f>(AV280-Driver!$K$179)/(Driver!$L$179-Driver!$K$179)</f>
        <v/>
      </c>
      <c r="AK280" s="108">
        <f>(AW280-Driver!$K$180)/(Driver!$L$180-Driver!$K$180)</f>
        <v/>
      </c>
      <c r="AL280" s="108">
        <f>(AX280-Driver!$K$181)/(Driver!$L$181-Driver!$K$181)</f>
        <v/>
      </c>
      <c r="AM280" s="108">
        <f>(AY280-Driver!$K$182)/(Driver!$L$182-Driver!$K$182)</f>
        <v/>
      </c>
      <c r="AN280" s="108">
        <f>(AZ280-Driver!$K$183)/(Driver!$L$183-Driver!$K$183)</f>
        <v/>
      </c>
      <c r="AO280" s="108" t="n"/>
      <c r="AP280" s="108" t="n"/>
      <c r="AQ280" s="108">
        <f>(BC280-Driver!$K$188)/(Driver!$L$188-Driver!$K$188)</f>
        <v/>
      </c>
      <c r="AR280" s="108">
        <f>MIN((BD280-Driver!$K$189)/(Driver!$L$189-Driver!$K$189),100%)</f>
        <v/>
      </c>
      <c r="AS280" s="108">
        <f>(BE280-Driver!$K$190)/(Driver!$L$190-Driver!$K$190)</f>
        <v/>
      </c>
      <c r="AT280" s="108">
        <f>(BF280-Driver!$K$191)/(Driver!$L$191-Driver!$K$191)</f>
        <v/>
      </c>
      <c r="AU280" s="108">
        <f>(BG280-Driver!$K$192)/(Driver!$L$192-Driver!$K$192)</f>
        <v/>
      </c>
      <c r="AV280" s="105">
        <f>IFERROR(BM280*BJ280^1/4,"")</f>
        <v/>
      </c>
      <c r="AW280" s="105">
        <f>IFERROR(SUM(AX280:AZ280),"")</f>
        <v/>
      </c>
      <c r="AX280" s="105">
        <f>IFERROR(BH280,"")</f>
        <v/>
      </c>
      <c r="AY280" s="105">
        <f>IFERROR(Driver!$K$19/Data!BH280/Data!BI280*Data!BK280*Data!BL280,"")</f>
        <v/>
      </c>
      <c r="AZ280" s="105">
        <f>IFERROR(BI280*BN280,"")</f>
        <v/>
      </c>
      <c r="BA280" s="105" t="n"/>
      <c r="BB280" s="105" t="n"/>
      <c r="BC280" s="105">
        <f>IFERROR(BI280*BN280*BK280/BJ280^(1/2),"")</f>
        <v/>
      </c>
      <c r="BD280" s="105">
        <f>IFERROR(BH280*BM280*BL280/BJ280/BK280,"")</f>
        <v/>
      </c>
      <c r="BE280" s="105">
        <f>IFERROR(MIN(BI280/BQ280/BP280/BO280/BH280,$BE$1),"")</f>
        <v/>
      </c>
      <c r="BF280" s="105">
        <f>IFERROR(BJ280*BO280*BP280/BK280,"")</f>
        <v/>
      </c>
      <c r="BG280" s="105">
        <f>IFERROR(1/BM280/BH280*BQ280,"")</f>
        <v/>
      </c>
      <c r="BH280" s="102">
        <f>MAX((CE280-Driver!$F$200)/(Driver!$G$200-Driver!$F$200)*$BI$1,1)</f>
        <v/>
      </c>
      <c r="BI280" s="102">
        <f>MAX($BI$1*(BY280-Driver!$F$201)/(Driver!$G$201-Driver!$F$201),1)</f>
        <v/>
      </c>
      <c r="BJ280" s="102">
        <f>(CB280-Driver!$F$206)/(Driver!$G$206-Driver!$F$206)*$BI$1</f>
        <v/>
      </c>
      <c r="BK280" s="102">
        <f>(CD280-Driver!$F$203)/(Driver!$G$203-Driver!$F$203)*$BI$1</f>
        <v/>
      </c>
      <c r="BL280" s="102">
        <f>MAX((CR280-Driver!$F$202)/(Driver!$G$202-Driver!$F$202)*$BI$1,1)</f>
        <v/>
      </c>
      <c r="BM280" s="102">
        <f>MAX((CH280-Driver!$F$204)/(Driver!$G$204-Driver!$F$204)*$BI$1,1)</f>
        <v/>
      </c>
      <c r="BN280" s="102">
        <f>(CI280-Driver!$F$205)/(Driver!$G$205-Driver!$F$205)*$BI$1</f>
        <v/>
      </c>
      <c r="BO280" s="102">
        <f>(CK280-Driver!$F$207)/(Driver!$G$207-Driver!$F$207)*$BI$1</f>
        <v/>
      </c>
      <c r="BP280" s="102">
        <f>(CM280-Driver!$F$208)/(Driver!$G$208-Driver!$F$208)*$BI$1</f>
        <v/>
      </c>
      <c r="BQ280" s="102">
        <f>(CL280-Driver!$F$209)/(Driver!$G$209-Driver!$F$209)*$BI$1</f>
        <v/>
      </c>
      <c r="BR280" s="40" t="inlineStr">
        <is>
          <t>21/22</t>
        </is>
      </c>
      <c r="BS280" s="10" t="inlineStr">
        <is>
          <t xml:space="preserve"> Salomon</t>
        </is>
      </c>
      <c r="BT280" s="11" t="inlineStr">
        <is>
          <t>Stance 94 W</t>
        </is>
      </c>
      <c r="BU280" s="13" t="n">
        <v>168</v>
      </c>
      <c r="BV280" s="11" t="inlineStr">
        <is>
          <t xml:space="preserve"> Women's</t>
        </is>
      </c>
      <c r="BW280" s="13" t="n">
        <v>168</v>
      </c>
      <c r="BX280" s="13" t="n">
        <v>167.1</v>
      </c>
      <c r="BY280" s="13" t="n">
        <v>133</v>
      </c>
      <c r="BZ280" s="13" t="n">
        <v>138</v>
      </c>
      <c r="CA280" s="13" t="n">
        <v>126</v>
      </c>
      <c r="CB280" s="13" t="n">
        <v>94</v>
      </c>
      <c r="CC280" s="13" t="n">
        <v>108</v>
      </c>
      <c r="CD280" s="13" t="n">
        <v>18.5</v>
      </c>
      <c r="CE280" s="13" t="n">
        <v>1700</v>
      </c>
      <c r="CF280" s="13" t="n">
        <v>1.02</v>
      </c>
      <c r="CG280" s="13" t="n">
        <v>1733</v>
      </c>
      <c r="CH280" s="13" t="n">
        <v>171</v>
      </c>
      <c r="CI280" s="13" t="n">
        <v>106</v>
      </c>
      <c r="CJ280" s="13" t="n">
        <v>49</v>
      </c>
      <c r="CK280" s="13" t="n">
        <v>212</v>
      </c>
      <c r="CL280" s="13" t="n">
        <v>6</v>
      </c>
      <c r="CM280" s="13" t="n">
        <v>134</v>
      </c>
      <c r="CN280" s="13" t="n">
        <v>0.114</v>
      </c>
      <c r="CO280" s="13" t="n">
        <v>160</v>
      </c>
      <c r="CP280" s="13" t="n">
        <v>130</v>
      </c>
      <c r="CQ280" s="13" t="n">
        <v>51</v>
      </c>
      <c r="CR280" s="13" t="n">
        <v>10</v>
      </c>
      <c r="CS280" s="13" t="n">
        <v>9.6</v>
      </c>
      <c r="CT280" s="11" t="inlineStr">
        <is>
          <t xml:space="preserve"> Resort Freeride</t>
        </is>
      </c>
      <c r="CU280" s="13" t="n"/>
      <c r="CV280" s="13" t="n"/>
      <c r="CW280" s="13" t="n"/>
      <c r="CX280">
        <f>INDEX('Data_Price '!AG$2:AG$1266,MATCH(Data!$DN280,'Data_Price '!$AT$2:$AT$1266,0))</f>
        <v/>
      </c>
      <c r="CY280">
        <f>INDEX('Data_Price '!AH$2:AH$1266,MATCH(Data!$DN280,'Data_Price '!$AT$2:$AT$1266,0))</f>
        <v/>
      </c>
      <c r="CZ280">
        <f>INDEX('Data_Price '!AI$2:AI$1266,MATCH(Data!$DN280,'Data_Price '!$AT$2:$AT$1266,0))</f>
        <v/>
      </c>
      <c r="DA280">
        <f>INDEX('Data_Price '!AJ$2:AJ$1266,MATCH(Data!$DN280,'Data_Price '!$AT$2:$AT$1266,0))</f>
        <v/>
      </c>
      <c r="DB280">
        <f>INDEX('Data_Price '!AK$2:AK$1266,MATCH(Data!$DN280,'Data_Price '!$AT$2:$AT$1266,0))</f>
        <v/>
      </c>
      <c r="DC280">
        <f>INDEX('Data_Price '!AL$2:AL$1266,MATCH(Data!$DN280,'Data_Price '!$AT$2:$AT$1266,0))</f>
        <v/>
      </c>
      <c r="DD280">
        <f>INDEX('Data_Price '!AM$2:AM$1266,MATCH(Data!$DN280,'Data_Price '!$AT$2:$AT$1266,0))</f>
        <v/>
      </c>
      <c r="DE280">
        <f>INDEX('Data_Price '!AN$2:AN$1266,MATCH(Data!$DN280,'Data_Price '!$AT$2:$AT$1266,0))</f>
        <v/>
      </c>
      <c r="DF280">
        <f>INDEX('Data_Price '!AO$2:AO$1266,MATCH(Data!$DN280,'Data_Price '!$AT$2:$AT$1266,0))</f>
        <v/>
      </c>
      <c r="DG280">
        <f>INDEX('Data_Price '!AP$2:AP$1266,MATCH(Data!$DN280,'Data_Price '!$AT$2:$AT$1266,0))</f>
        <v/>
      </c>
      <c r="DH280">
        <f>INDEX('Data_Price '!AQ$2:AQ$1266,MATCH(Data!$DN280,'Data_Price '!$AT$2:$AT$1266,0))</f>
        <v/>
      </c>
      <c r="DI280">
        <f>INDEX('Data_Price '!AR$2:AR$1266,MATCH(Data!$DN280,'Data_Price '!$AT$2:$AT$1266,0))</f>
        <v/>
      </c>
      <c r="DJ280" s="138">
        <f>DA280</f>
        <v/>
      </c>
      <c r="DK280" s="138">
        <f>DE280</f>
        <v/>
      </c>
      <c r="DL280" s="138">
        <f>DI280</f>
        <v/>
      </c>
      <c r="DM280" s="303">
        <f>IF(LEFT(BT280,1)=" ",RIGHT(BT280,LEN(BT280)-1),BT280)</f>
        <v/>
      </c>
      <c r="DN280" s="138">
        <f>_xlfn.CONCAT(BS280,DM280,BU280,BV280)</f>
        <v/>
      </c>
      <c r="DO280" s="307" t="inlineStr">
        <is>
          <t>https://images.evo.com/imgp/250/183474/737236/salomon-stance-w-94-skis-women-s-2022-.jpg</t>
        </is>
      </c>
    </row>
    <row r="281" ht="15.6" customHeight="1" s="184">
      <c r="B281" s="303">
        <f t="array" ref="B281">IF(OR(ISERROR(K281:P281)),FALSE,TRUE)</f>
        <v/>
      </c>
      <c r="C281" s="60">
        <f>OR(BR281=Driver!$G$50,Data!BR294=Driver!$H$50)</f>
        <v/>
      </c>
      <c r="D281" s="60">
        <f>OR(BV281=Driver!$G$51,BV281=Driver!$H$51)</f>
        <v/>
      </c>
      <c r="E281" s="60">
        <f>AND(BX281&gt;Driver!$F$54,BX281&lt;Driver!$G$54)</f>
        <v/>
      </c>
      <c r="F281" s="60">
        <f>CL281&gt;Driver!$F$56</f>
        <v/>
      </c>
      <c r="G281" s="60">
        <f>AND(CB281&gt;Driver!$F$55,CB281&lt;Driver!$G$55)</f>
        <v/>
      </c>
      <c r="H281" s="60">
        <f>AND(B281:G281)</f>
        <v/>
      </c>
      <c r="I281" s="60">
        <f>COUNTIFS($H$9:$H$1273,TRUE,$BT$9:$BT$1273,BT281)</f>
        <v/>
      </c>
      <c r="J281" s="60">
        <f t="array" ref="J281">NOT(OR(($H$9:$H$1273=TRUE)*($I$9:$I$1273&gt;0)*($BT$9:$BT$1273=BT281)*($K$9:$K$1273&gt;K281)))</f>
        <v/>
      </c>
      <c r="K281" s="108">
        <f>IFERROR(1-AVERAGE(X281:Y281),"")</f>
        <v/>
      </c>
      <c r="L281" s="108">
        <f>1-X281</f>
        <v/>
      </c>
      <c r="M281" s="108">
        <f>1-Y281</f>
        <v/>
      </c>
      <c r="N281" s="108">
        <f>1-Z281</f>
        <v/>
      </c>
      <c r="O281" s="108">
        <f>1-AA281</f>
        <v/>
      </c>
      <c r="P281" s="108">
        <f>1-AB281</f>
        <v/>
      </c>
      <c r="Q281" s="108" t="n"/>
      <c r="R281" s="108" t="n"/>
      <c r="S281" s="108">
        <f>1-AE281</f>
        <v/>
      </c>
      <c r="T281" s="108">
        <f>1-AF281</f>
        <v/>
      </c>
      <c r="U281" s="108">
        <f>1-AG281</f>
        <v/>
      </c>
      <c r="V281" s="108">
        <f>1-AH281</f>
        <v/>
      </c>
      <c r="W281" s="108">
        <f>1-AI281</f>
        <v/>
      </c>
      <c r="X281" s="108">
        <f>ABS(AJ281-AJ$1)</f>
        <v/>
      </c>
      <c r="Y281" s="108">
        <f>AVERAGE(Z281:AB281)</f>
        <v/>
      </c>
      <c r="Z281" s="108">
        <f>ABS(AL281-AL$1)</f>
        <v/>
      </c>
      <c r="AA281" s="108">
        <f>ABS(AM281-AM$1)</f>
        <v/>
      </c>
      <c r="AB281" s="108">
        <f>ABS(AN281-AN$1)</f>
        <v/>
      </c>
      <c r="AC281" s="108" t="n"/>
      <c r="AD281" s="108" t="n"/>
      <c r="AE281" s="108">
        <f>ABS(AQ$1-AQ281)</f>
        <v/>
      </c>
      <c r="AF281" s="108">
        <f>ABS(AR$1-AR281)</f>
        <v/>
      </c>
      <c r="AG281" s="108">
        <f>ABS(AS$1-AS281)</f>
        <v/>
      </c>
      <c r="AH281" s="108">
        <f>ABS(AT$1-AT281)</f>
        <v/>
      </c>
      <c r="AI281" s="108">
        <f>ABS(AU$1-AU281)</f>
        <v/>
      </c>
      <c r="AJ281" s="108">
        <f>(AV281-Driver!$K$179)/(Driver!$L$179-Driver!$K$179)</f>
        <v/>
      </c>
      <c r="AK281" s="108">
        <f>(AW281-Driver!$K$180)/(Driver!$L$180-Driver!$K$180)</f>
        <v/>
      </c>
      <c r="AL281" s="108">
        <f>(AX281-Driver!$K$181)/(Driver!$L$181-Driver!$K$181)</f>
        <v/>
      </c>
      <c r="AM281" s="108">
        <f>(AY281-Driver!$K$182)/(Driver!$L$182-Driver!$K$182)</f>
        <v/>
      </c>
      <c r="AN281" s="108">
        <f>(AZ281-Driver!$K$183)/(Driver!$L$183-Driver!$K$183)</f>
        <v/>
      </c>
      <c r="AO281" s="108" t="n"/>
      <c r="AP281" s="108" t="n"/>
      <c r="AQ281" s="108">
        <f>(BC281-Driver!$K$188)/(Driver!$L$188-Driver!$K$188)</f>
        <v/>
      </c>
      <c r="AR281" s="108">
        <f>MIN((BD281-Driver!$K$189)/(Driver!$L$189-Driver!$K$189),100%)</f>
        <v/>
      </c>
      <c r="AS281" s="108">
        <f>(BE281-Driver!$K$190)/(Driver!$L$190-Driver!$K$190)</f>
        <v/>
      </c>
      <c r="AT281" s="108">
        <f>(BF281-Driver!$K$191)/(Driver!$L$191-Driver!$K$191)</f>
        <v/>
      </c>
      <c r="AU281" s="108">
        <f>(BG281-Driver!$K$192)/(Driver!$L$192-Driver!$K$192)</f>
        <v/>
      </c>
      <c r="AV281" s="105">
        <f>IFERROR(BM281*BJ281^1/4,"")</f>
        <v/>
      </c>
      <c r="AW281" s="105">
        <f>IFERROR(SUM(AX281:AZ281),"")</f>
        <v/>
      </c>
      <c r="AX281" s="105">
        <f>IFERROR(BH281,"")</f>
        <v/>
      </c>
      <c r="AY281" s="105">
        <f>IFERROR(Driver!$K$19/Data!BH281/Data!BI281*Data!BK281*Data!BL281,"")</f>
        <v/>
      </c>
      <c r="AZ281" s="105">
        <f>IFERROR(BI281*BN281,"")</f>
        <v/>
      </c>
      <c r="BA281" s="105" t="n"/>
      <c r="BB281" s="105" t="n"/>
      <c r="BC281" s="105">
        <f>IFERROR(BI281*BN281*BK281/BJ281^(1/2),"")</f>
        <v/>
      </c>
      <c r="BD281" s="105">
        <f>IFERROR(BH281*BM281*BL281/BJ281/BK281,"")</f>
        <v/>
      </c>
      <c r="BE281" s="105">
        <f>IFERROR(MIN(BI281/BQ281/BP281/BO281/BH281,$BE$1),"")</f>
        <v/>
      </c>
      <c r="BF281" s="105">
        <f>IFERROR(BJ281*BO281*BP281/BK281,"")</f>
        <v/>
      </c>
      <c r="BG281" s="105">
        <f>IFERROR(1/BM281/BH281*BQ281,"")</f>
        <v/>
      </c>
      <c r="BH281" s="102">
        <f>MAX((CE281-Driver!$F$200)/(Driver!$G$200-Driver!$F$200)*$BI$1,1)</f>
        <v/>
      </c>
      <c r="BI281" s="102">
        <f>MAX($BI$1*(BY281-Driver!$F$201)/(Driver!$G$201-Driver!$F$201),1)</f>
        <v/>
      </c>
      <c r="BJ281" s="102">
        <f>(CB281-Driver!$F$206)/(Driver!$G$206-Driver!$F$206)*$BI$1</f>
        <v/>
      </c>
      <c r="BK281" s="102">
        <f>(CD281-Driver!$F$203)/(Driver!$G$203-Driver!$F$203)*$BI$1</f>
        <v/>
      </c>
      <c r="BL281" s="102">
        <f>MAX((CR281-Driver!$F$202)/(Driver!$G$202-Driver!$F$202)*$BI$1,1)</f>
        <v/>
      </c>
      <c r="BM281" s="102">
        <f>MAX((CH281-Driver!$F$204)/(Driver!$G$204-Driver!$F$204)*$BI$1,1)</f>
        <v/>
      </c>
      <c r="BN281" s="102">
        <f>(CI281-Driver!$F$205)/(Driver!$G$205-Driver!$F$205)*$BI$1</f>
        <v/>
      </c>
      <c r="BO281" s="102">
        <f>(CK281-Driver!$F$207)/(Driver!$G$207-Driver!$F$207)*$BI$1</f>
        <v/>
      </c>
      <c r="BP281" s="102">
        <f>(CM281-Driver!$F$208)/(Driver!$G$208-Driver!$F$208)*$BI$1</f>
        <v/>
      </c>
      <c r="BQ281" s="102">
        <f>(CL281-Driver!$F$209)/(Driver!$G$209-Driver!$F$209)*$BI$1</f>
        <v/>
      </c>
      <c r="BR281" s="40" t="inlineStr">
        <is>
          <t>21/22</t>
        </is>
      </c>
      <c r="BS281" s="10" t="inlineStr">
        <is>
          <t xml:space="preserve"> Blizzard</t>
        </is>
      </c>
      <c r="BT281" s="11" t="inlineStr">
        <is>
          <t>Rustler 9</t>
        </is>
      </c>
      <c r="BU281" s="13" t="n">
        <v>172</v>
      </c>
      <c r="BV281" s="11" t="inlineStr">
        <is>
          <t xml:space="preserve"> Unisex</t>
        </is>
      </c>
      <c r="BW281" s="13" t="n">
        <v>172</v>
      </c>
      <c r="BX281" s="13" t="n">
        <v>170.8</v>
      </c>
      <c r="BY281" s="13" t="n">
        <v>118</v>
      </c>
      <c r="BZ281" s="13" t="n">
        <v>142</v>
      </c>
      <c r="CA281" s="13" t="n">
        <v>124</v>
      </c>
      <c r="CB281" s="13" t="n">
        <v>91</v>
      </c>
      <c r="CC281" s="13" t="n">
        <v>113</v>
      </c>
      <c r="CD281" s="13" t="n">
        <v>15.9</v>
      </c>
      <c r="CE281" s="13" t="n">
        <v>1914</v>
      </c>
      <c r="CF281" s="13" t="n">
        <v>0.92</v>
      </c>
      <c r="CG281" s="13" t="n">
        <v>1751</v>
      </c>
      <c r="CH281" s="13" t="n">
        <v>200</v>
      </c>
      <c r="CI281" s="13" t="n">
        <v>109</v>
      </c>
      <c r="CJ281" s="13" t="n">
        <v>62</v>
      </c>
      <c r="CK281" s="13" t="n">
        <v>320</v>
      </c>
      <c r="CL281" s="13" t="n">
        <v>27</v>
      </c>
      <c r="CM281" s="13" t="n">
        <v>208</v>
      </c>
      <c r="CN281" s="13" t="n">
        <v>0.436</v>
      </c>
      <c r="CO281" s="13" t="n">
        <v>153</v>
      </c>
      <c r="CP281" s="13" t="n">
        <v>133</v>
      </c>
      <c r="CQ281" s="13" t="n">
        <v>167</v>
      </c>
      <c r="CR281" s="13" t="n">
        <v>5</v>
      </c>
      <c r="CS281" s="13" t="n">
        <v>7.2</v>
      </c>
      <c r="CT281" s="11" t="inlineStr">
        <is>
          <t xml:space="preserve"> Resort Freeride</t>
        </is>
      </c>
      <c r="CU281" s="13" t="n"/>
      <c r="CV281" s="13" t="n"/>
      <c r="CW281" s="13" t="n"/>
      <c r="CX281">
        <f>INDEX('Data_Price '!AG$2:AG$1266,MATCH(Data!$DN281,'Data_Price '!$AT$2:$AT$1266,0))</f>
        <v/>
      </c>
      <c r="CY281">
        <f>INDEX('Data_Price '!AH$2:AH$1266,MATCH(Data!$DN281,'Data_Price '!$AT$2:$AT$1266,0))</f>
        <v/>
      </c>
      <c r="CZ281">
        <f>INDEX('Data_Price '!AI$2:AI$1266,MATCH(Data!$DN281,'Data_Price '!$AT$2:$AT$1266,0))</f>
        <v/>
      </c>
      <c r="DA281">
        <f>INDEX('Data_Price '!AJ$2:AJ$1266,MATCH(Data!$DN281,'Data_Price '!$AT$2:$AT$1266,0))</f>
        <v/>
      </c>
      <c r="DB281">
        <f>INDEX('Data_Price '!AK$2:AK$1266,MATCH(Data!$DN281,'Data_Price '!$AT$2:$AT$1266,0))</f>
        <v/>
      </c>
      <c r="DC281">
        <f>INDEX('Data_Price '!AL$2:AL$1266,MATCH(Data!$DN281,'Data_Price '!$AT$2:$AT$1266,0))</f>
        <v/>
      </c>
      <c r="DD281">
        <f>INDEX('Data_Price '!AM$2:AM$1266,MATCH(Data!$DN281,'Data_Price '!$AT$2:$AT$1266,0))</f>
        <v/>
      </c>
      <c r="DE281">
        <f>INDEX('Data_Price '!AN$2:AN$1266,MATCH(Data!$DN281,'Data_Price '!$AT$2:$AT$1266,0))</f>
        <v/>
      </c>
      <c r="DF281">
        <f>INDEX('Data_Price '!AO$2:AO$1266,MATCH(Data!$DN281,'Data_Price '!$AT$2:$AT$1266,0))</f>
        <v/>
      </c>
      <c r="DG281">
        <f>INDEX('Data_Price '!AP$2:AP$1266,MATCH(Data!$DN281,'Data_Price '!$AT$2:$AT$1266,0))</f>
        <v/>
      </c>
      <c r="DH281">
        <f>INDEX('Data_Price '!AQ$2:AQ$1266,MATCH(Data!$DN281,'Data_Price '!$AT$2:$AT$1266,0))</f>
        <v/>
      </c>
      <c r="DI281">
        <f>INDEX('Data_Price '!AR$2:AR$1266,MATCH(Data!$DN281,'Data_Price '!$AT$2:$AT$1266,0))</f>
        <v/>
      </c>
      <c r="DJ281" s="138">
        <f>DA281</f>
        <v/>
      </c>
      <c r="DK281" s="138">
        <f>DE281</f>
        <v/>
      </c>
      <c r="DL281" s="138">
        <f>DI281</f>
        <v/>
      </c>
      <c r="DM281" s="303">
        <f>IF(LEFT(BT281,1)=" ",RIGHT(BT281,LEN(BT281)-1),BT281)</f>
        <v/>
      </c>
      <c r="DN281" s="138">
        <f>_xlfn.CONCAT(BS281,DM281,BU281,BV281)</f>
        <v/>
      </c>
      <c r="DO281" s="307" t="inlineStr">
        <is>
          <t>https://images.evo.com/imgp/250/176889/722697/blizzard-rustler-9-skis-2022-.jpg</t>
        </is>
      </c>
    </row>
    <row r="282" ht="15.6" customHeight="1" s="184">
      <c r="B282" s="303">
        <f t="array" ref="B282">IF(OR(ISERROR(K282:P282)),FALSE,TRUE)</f>
        <v/>
      </c>
      <c r="C282" s="60">
        <f>OR(BR282=Driver!$G$50,Data!BR837=Driver!$H$50)</f>
        <v/>
      </c>
      <c r="D282" s="60">
        <f>OR(BV282=Driver!$G$51,BV282=Driver!$H$51)</f>
        <v/>
      </c>
      <c r="E282" s="60">
        <f>AND(BX282&gt;Driver!$F$54,BX282&lt;Driver!$G$54)</f>
        <v/>
      </c>
      <c r="F282" s="60">
        <f>CL282&gt;Driver!$F$56</f>
        <v/>
      </c>
      <c r="G282" s="60">
        <f>AND(CB282&gt;Driver!$F$55,CB282&lt;Driver!$G$55)</f>
        <v/>
      </c>
      <c r="H282" s="60">
        <f>AND(B282:G282)</f>
        <v/>
      </c>
      <c r="I282" s="60">
        <f>COUNTIFS($H$9:$H$1273,TRUE,$BT$9:$BT$1273,BT282)</f>
        <v/>
      </c>
      <c r="J282" s="60">
        <f t="array" ref="J282">NOT(OR(($H$9:$H$1273=TRUE)*($I$9:$I$1273&gt;0)*($BT$9:$BT$1273=BT282)*($K$9:$K$1273&gt;K282)))</f>
        <v/>
      </c>
      <c r="K282" s="108">
        <f>IFERROR(1-AVERAGE(X282:Y282),"")</f>
        <v/>
      </c>
      <c r="L282" s="108">
        <f>1-X282</f>
        <v/>
      </c>
      <c r="M282" s="108">
        <f>1-Y282</f>
        <v/>
      </c>
      <c r="N282" s="108">
        <f>1-Z282</f>
        <v/>
      </c>
      <c r="O282" s="108">
        <f>1-AA282</f>
        <v/>
      </c>
      <c r="P282" s="108">
        <f>1-AB282</f>
        <v/>
      </c>
      <c r="Q282" s="108" t="n"/>
      <c r="R282" s="108" t="n"/>
      <c r="S282" s="108">
        <f>1-AE282</f>
        <v/>
      </c>
      <c r="T282" s="108">
        <f>1-AF282</f>
        <v/>
      </c>
      <c r="U282" s="108">
        <f>1-AG282</f>
        <v/>
      </c>
      <c r="V282" s="108">
        <f>1-AH282</f>
        <v/>
      </c>
      <c r="W282" s="108">
        <f>1-AI282</f>
        <v/>
      </c>
      <c r="X282" s="108">
        <f>ABS(AJ282-AJ$1)</f>
        <v/>
      </c>
      <c r="Y282" s="108">
        <f>AVERAGE(Z282:AB282)</f>
        <v/>
      </c>
      <c r="Z282" s="108">
        <f>ABS(AL282-AL$1)</f>
        <v/>
      </c>
      <c r="AA282" s="108">
        <f>ABS(AM282-AM$1)</f>
        <v/>
      </c>
      <c r="AB282" s="108">
        <f>ABS(AN282-AN$1)</f>
        <v/>
      </c>
      <c r="AC282" s="108" t="n"/>
      <c r="AD282" s="108" t="n"/>
      <c r="AE282" s="108">
        <f>ABS(AQ$1-AQ282)</f>
        <v/>
      </c>
      <c r="AF282" s="108">
        <f>ABS(AR$1-AR282)</f>
        <v/>
      </c>
      <c r="AG282" s="108">
        <f>ABS(AS$1-AS282)</f>
        <v/>
      </c>
      <c r="AH282" s="108">
        <f>ABS(AT$1-AT282)</f>
        <v/>
      </c>
      <c r="AI282" s="108">
        <f>ABS(AU$1-AU282)</f>
        <v/>
      </c>
      <c r="AJ282" s="108">
        <f>(AV282-Driver!$K$179)/(Driver!$L$179-Driver!$K$179)</f>
        <v/>
      </c>
      <c r="AK282" s="108">
        <f>(AW282-Driver!$K$180)/(Driver!$L$180-Driver!$K$180)</f>
        <v/>
      </c>
      <c r="AL282" s="108">
        <f>(AX282-Driver!$K$181)/(Driver!$L$181-Driver!$K$181)</f>
        <v/>
      </c>
      <c r="AM282" s="108">
        <f>(AY282-Driver!$K$182)/(Driver!$L$182-Driver!$K$182)</f>
        <v/>
      </c>
      <c r="AN282" s="108">
        <f>(AZ282-Driver!$K$183)/(Driver!$L$183-Driver!$K$183)</f>
        <v/>
      </c>
      <c r="AO282" s="108" t="n"/>
      <c r="AP282" s="108" t="n"/>
      <c r="AQ282" s="108">
        <f>(BC282-Driver!$K$188)/(Driver!$L$188-Driver!$K$188)</f>
        <v/>
      </c>
      <c r="AR282" s="108">
        <f>MIN((BD282-Driver!$K$189)/(Driver!$L$189-Driver!$K$189),100%)</f>
        <v/>
      </c>
      <c r="AS282" s="108">
        <f>(BE282-Driver!$K$190)/(Driver!$L$190-Driver!$K$190)</f>
        <v/>
      </c>
      <c r="AT282" s="108">
        <f>(BF282-Driver!$K$191)/(Driver!$L$191-Driver!$K$191)</f>
        <v/>
      </c>
      <c r="AU282" s="108">
        <f>(BG282-Driver!$K$192)/(Driver!$L$192-Driver!$K$192)</f>
        <v/>
      </c>
      <c r="AV282" s="105">
        <f>IFERROR(BM282*BJ282^1/4,"")</f>
        <v/>
      </c>
      <c r="AW282" s="105">
        <f>IFERROR(SUM(AX282:AZ282),"")</f>
        <v/>
      </c>
      <c r="AX282" s="105">
        <f>IFERROR(BH282,"")</f>
        <v/>
      </c>
      <c r="AY282" s="105">
        <f>IFERROR(Driver!$K$19/Data!BH282/Data!BI282*Data!BK282*Data!BL282,"")</f>
        <v/>
      </c>
      <c r="AZ282" s="105">
        <f>IFERROR(BI282*BN282,"")</f>
        <v/>
      </c>
      <c r="BA282" s="105" t="n"/>
      <c r="BB282" s="105" t="n"/>
      <c r="BC282" s="105">
        <f>IFERROR(BI282*BN282*BK282/BJ282^(1/2),"")</f>
        <v/>
      </c>
      <c r="BD282" s="105">
        <f>IFERROR(BH282*BM282*BL282/BJ282/BK282,"")</f>
        <v/>
      </c>
      <c r="BE282" s="105">
        <f>IFERROR(MIN(BI282/BQ282/BP282/BO282/BH282,$BE$1),"")</f>
        <v/>
      </c>
      <c r="BF282" s="105">
        <f>IFERROR(BJ282*BO282*BP282/BK282,"")</f>
        <v/>
      </c>
      <c r="BG282" s="105">
        <f>IFERROR(1/BM282/BH282*BQ282,"")</f>
        <v/>
      </c>
      <c r="BH282" s="102">
        <f>MAX((CE282-Driver!$F$200)/(Driver!$G$200-Driver!$F$200)*$BI$1,1)</f>
        <v/>
      </c>
      <c r="BI282" s="102">
        <f>MAX($BI$1*(BY282-Driver!$F$201)/(Driver!$G$201-Driver!$F$201),1)</f>
        <v/>
      </c>
      <c r="BJ282" s="102">
        <f>(CB282-Driver!$F$206)/(Driver!$G$206-Driver!$F$206)*$BI$1</f>
        <v/>
      </c>
      <c r="BK282" s="102">
        <f>(CD282-Driver!$F$203)/(Driver!$G$203-Driver!$F$203)*$BI$1</f>
        <v/>
      </c>
      <c r="BL282" s="102">
        <f>MAX((CR282-Driver!$F$202)/(Driver!$G$202-Driver!$F$202)*$BI$1,1)</f>
        <v/>
      </c>
      <c r="BM282" s="102">
        <f>MAX((CH282-Driver!$F$204)/(Driver!$G$204-Driver!$F$204)*$BI$1,1)</f>
        <v/>
      </c>
      <c r="BN282" s="102">
        <f>(CI282-Driver!$F$205)/(Driver!$G$205-Driver!$F$205)*$BI$1</f>
        <v/>
      </c>
      <c r="BO282" s="102">
        <f>(CK282-Driver!$F$207)/(Driver!$G$207-Driver!$F$207)*$BI$1</f>
        <v/>
      </c>
      <c r="BP282" s="102">
        <f>(CM282-Driver!$F$208)/(Driver!$G$208-Driver!$F$208)*$BI$1</f>
        <v/>
      </c>
      <c r="BQ282" s="102">
        <f>(CL282-Driver!$F$209)/(Driver!$G$209-Driver!$F$209)*$BI$1</f>
        <v/>
      </c>
      <c r="BR282" s="40" t="inlineStr">
        <is>
          <t>21/22</t>
        </is>
      </c>
      <c r="BS282" s="10" t="inlineStr">
        <is>
          <t xml:space="preserve"> Line</t>
        </is>
      </c>
      <c r="BT282" s="11" t="inlineStr">
        <is>
          <t xml:space="preserve"> Honey Badger</t>
        </is>
      </c>
      <c r="BU282" s="13" t="n">
        <v>177</v>
      </c>
      <c r="BV282" s="11" t="inlineStr">
        <is>
          <t xml:space="preserve"> Unisex</t>
        </is>
      </c>
      <c r="BW282" s="13" t="n">
        <v>177</v>
      </c>
      <c r="BX282" s="13" t="n">
        <v>176.2</v>
      </c>
      <c r="BY282" s="13" t="n">
        <v>136</v>
      </c>
      <c r="BZ282" s="13" t="n">
        <v>152</v>
      </c>
      <c r="CA282" s="13" t="n">
        <v>120</v>
      </c>
      <c r="CB282" s="13" t="n">
        <v>91</v>
      </c>
      <c r="CC282" s="13" t="n">
        <v>117</v>
      </c>
      <c r="CD282" s="13" t="n">
        <v>20.4</v>
      </c>
      <c r="CE282" s="13" t="n">
        <v>1704</v>
      </c>
      <c r="CF282" s="13" t="n">
        <v>1.05</v>
      </c>
      <c r="CG282" s="13" t="n">
        <v>1784</v>
      </c>
      <c r="CH282" s="13" t="n">
        <v>164</v>
      </c>
      <c r="CI282" s="13" t="n">
        <v>71</v>
      </c>
      <c r="CJ282" s="13" t="n">
        <v>44</v>
      </c>
      <c r="CK282" s="13" t="n">
        <v>195</v>
      </c>
      <c r="CL282" s="13" t="n">
        <v>44</v>
      </c>
      <c r="CM282" s="13" t="n">
        <v>210</v>
      </c>
      <c r="CN282" s="13" t="n">
        <v>0.986</v>
      </c>
      <c r="CO282" s="13" t="n">
        <v>120</v>
      </c>
      <c r="CP282" s="13" t="n">
        <v>122</v>
      </c>
      <c r="CQ282" s="13" t="n">
        <v>75</v>
      </c>
      <c r="CR282" s="13" t="n">
        <v>5</v>
      </c>
      <c r="CS282" s="13" t="n">
        <v>3.3</v>
      </c>
      <c r="CT282" s="11" t="inlineStr">
        <is>
          <t xml:space="preserve"> Freeski</t>
        </is>
      </c>
      <c r="CU282" s="13" t="n"/>
      <c r="CV282" s="13" t="n"/>
      <c r="CW282" s="13" t="n"/>
      <c r="CX282">
        <f>INDEX('Data_Price '!AG$2:AG$1266,MATCH(Data!$DN282,'Data_Price '!$AT$2:$AT$1266,0))</f>
        <v/>
      </c>
      <c r="CY282">
        <f>INDEX('Data_Price '!AH$2:AH$1266,MATCH(Data!$DN282,'Data_Price '!$AT$2:$AT$1266,0))</f>
        <v/>
      </c>
      <c r="CZ282">
        <f>INDEX('Data_Price '!AI$2:AI$1266,MATCH(Data!$DN282,'Data_Price '!$AT$2:$AT$1266,0))</f>
        <v/>
      </c>
      <c r="DA282">
        <f>INDEX('Data_Price '!AJ$2:AJ$1266,MATCH(Data!$DN282,'Data_Price '!$AT$2:$AT$1266,0))</f>
        <v/>
      </c>
      <c r="DB282">
        <f>INDEX('Data_Price '!AK$2:AK$1266,MATCH(Data!$DN282,'Data_Price '!$AT$2:$AT$1266,0))</f>
        <v/>
      </c>
      <c r="DC282">
        <f>INDEX('Data_Price '!AL$2:AL$1266,MATCH(Data!$DN282,'Data_Price '!$AT$2:$AT$1266,0))</f>
        <v/>
      </c>
      <c r="DD282">
        <f>INDEX('Data_Price '!AM$2:AM$1266,MATCH(Data!$DN282,'Data_Price '!$AT$2:$AT$1266,0))</f>
        <v/>
      </c>
      <c r="DE282">
        <f>INDEX('Data_Price '!AN$2:AN$1266,MATCH(Data!$DN282,'Data_Price '!$AT$2:$AT$1266,0))</f>
        <v/>
      </c>
      <c r="DF282">
        <f>INDEX('Data_Price '!AO$2:AO$1266,MATCH(Data!$DN282,'Data_Price '!$AT$2:$AT$1266,0))</f>
        <v/>
      </c>
      <c r="DG282">
        <f>INDEX('Data_Price '!AP$2:AP$1266,MATCH(Data!$DN282,'Data_Price '!$AT$2:$AT$1266,0))</f>
        <v/>
      </c>
      <c r="DH282">
        <f>INDEX('Data_Price '!AQ$2:AQ$1266,MATCH(Data!$DN282,'Data_Price '!$AT$2:$AT$1266,0))</f>
        <v/>
      </c>
      <c r="DI282">
        <f>INDEX('Data_Price '!AR$2:AR$1266,MATCH(Data!$DN282,'Data_Price '!$AT$2:$AT$1266,0))</f>
        <v/>
      </c>
      <c r="DJ282" s="138">
        <f>DA282</f>
        <v/>
      </c>
      <c r="DK282" s="138">
        <f>DE282</f>
        <v/>
      </c>
      <c r="DL282" s="138">
        <f>DI282</f>
        <v/>
      </c>
      <c r="DM282" s="303">
        <f>IF(LEFT(BT282,1)=" ",RIGHT(BT282,LEN(BT282)-1),BT282)</f>
        <v/>
      </c>
      <c r="DN282" s="138">
        <f>_xlfn.CONCAT(BS282,DM282,BU282,BV282)</f>
        <v/>
      </c>
      <c r="DO282" s="307" t="inlineStr">
        <is>
          <t>https://images.evo.com/imgp/250/198441/817647/clone.jpg</t>
        </is>
      </c>
    </row>
    <row r="283" ht="15.6" customHeight="1" s="184">
      <c r="B283" s="303">
        <f t="array" ref="B283">IF(OR(ISERROR(K283:P283)),FALSE,TRUE)</f>
        <v/>
      </c>
      <c r="C283" s="60">
        <f>OR(BR283=Driver!$G$50,Data!BR475=Driver!$H$50)</f>
        <v/>
      </c>
      <c r="D283" s="60">
        <f>OR(BV283=Driver!$G$51,BV283=Driver!$H$51)</f>
        <v/>
      </c>
      <c r="E283" s="60">
        <f>AND(BX283&gt;Driver!$F$54,BX283&lt;Driver!$G$54)</f>
        <v/>
      </c>
      <c r="F283" s="60">
        <f>CL283&gt;Driver!$F$56</f>
        <v/>
      </c>
      <c r="G283" s="60">
        <f>AND(CB283&gt;Driver!$F$55,CB283&lt;Driver!$G$55)</f>
        <v/>
      </c>
      <c r="H283" s="60">
        <f>AND(B283:G283)</f>
        <v/>
      </c>
      <c r="I283" s="60">
        <f>COUNTIFS($H$9:$H$1273,TRUE,$BT$9:$BT$1273,BT283)</f>
        <v/>
      </c>
      <c r="J283" s="60">
        <f t="array" ref="J283">NOT(OR(($H$9:$H$1273=TRUE)*($I$9:$I$1273&gt;0)*($BT$9:$BT$1273=BT283)*($K$9:$K$1273&gt;K283)))</f>
        <v/>
      </c>
      <c r="K283" s="108">
        <f>IFERROR(1-AVERAGE(X283:Y283),"")</f>
        <v/>
      </c>
      <c r="L283" s="108">
        <f>1-X283</f>
        <v/>
      </c>
      <c r="M283" s="108">
        <f>1-Y283</f>
        <v/>
      </c>
      <c r="N283" s="108">
        <f>1-Z283</f>
        <v/>
      </c>
      <c r="O283" s="108">
        <f>1-AA283</f>
        <v/>
      </c>
      <c r="P283" s="108">
        <f>1-AB283</f>
        <v/>
      </c>
      <c r="Q283" s="108" t="n"/>
      <c r="R283" s="108" t="n"/>
      <c r="S283" s="108">
        <f>1-AE283</f>
        <v/>
      </c>
      <c r="T283" s="108">
        <f>1-AF283</f>
        <v/>
      </c>
      <c r="U283" s="108">
        <f>1-AG283</f>
        <v/>
      </c>
      <c r="V283" s="108">
        <f>1-AH283</f>
        <v/>
      </c>
      <c r="W283" s="108">
        <f>1-AI283</f>
        <v/>
      </c>
      <c r="X283" s="108">
        <f>ABS(AJ283-AJ$1)</f>
        <v/>
      </c>
      <c r="Y283" s="108">
        <f>AVERAGE(Z283:AB283)</f>
        <v/>
      </c>
      <c r="Z283" s="108">
        <f>ABS(AL283-AL$1)</f>
        <v/>
      </c>
      <c r="AA283" s="108">
        <f>ABS(AM283-AM$1)</f>
        <v/>
      </c>
      <c r="AB283" s="108">
        <f>ABS(AN283-AN$1)</f>
        <v/>
      </c>
      <c r="AC283" s="108" t="n"/>
      <c r="AD283" s="108" t="n"/>
      <c r="AE283" s="108">
        <f>ABS(AQ$1-AQ283)</f>
        <v/>
      </c>
      <c r="AF283" s="108">
        <f>ABS(AR$1-AR283)</f>
        <v/>
      </c>
      <c r="AG283" s="108">
        <f>ABS(AS$1-AS283)</f>
        <v/>
      </c>
      <c r="AH283" s="108">
        <f>ABS(AT$1-AT283)</f>
        <v/>
      </c>
      <c r="AI283" s="108">
        <f>ABS(AU$1-AU283)</f>
        <v/>
      </c>
      <c r="AJ283" s="108">
        <f>(AV283-Driver!$K$179)/(Driver!$L$179-Driver!$K$179)</f>
        <v/>
      </c>
      <c r="AK283" s="108">
        <f>(AW283-Driver!$K$180)/(Driver!$L$180-Driver!$K$180)</f>
        <v/>
      </c>
      <c r="AL283" s="108">
        <f>(AX283-Driver!$K$181)/(Driver!$L$181-Driver!$K$181)</f>
        <v/>
      </c>
      <c r="AM283" s="108">
        <f>(AY283-Driver!$K$182)/(Driver!$L$182-Driver!$K$182)</f>
        <v/>
      </c>
      <c r="AN283" s="108">
        <f>(AZ283-Driver!$K$183)/(Driver!$L$183-Driver!$K$183)</f>
        <v/>
      </c>
      <c r="AO283" s="108" t="n"/>
      <c r="AP283" s="108" t="n"/>
      <c r="AQ283" s="108">
        <f>(BC283-Driver!$K$188)/(Driver!$L$188-Driver!$K$188)</f>
        <v/>
      </c>
      <c r="AR283" s="108">
        <f>MIN((BD283-Driver!$K$189)/(Driver!$L$189-Driver!$K$189),100%)</f>
        <v/>
      </c>
      <c r="AS283" s="108">
        <f>(BE283-Driver!$K$190)/(Driver!$L$190-Driver!$K$190)</f>
        <v/>
      </c>
      <c r="AT283" s="108">
        <f>(BF283-Driver!$K$191)/(Driver!$L$191-Driver!$K$191)</f>
        <v/>
      </c>
      <c r="AU283" s="108">
        <f>(BG283-Driver!$K$192)/(Driver!$L$192-Driver!$K$192)</f>
        <v/>
      </c>
      <c r="AV283" s="105">
        <f>IFERROR(BM283*BJ283^1/4,"")</f>
        <v/>
      </c>
      <c r="AW283" s="105">
        <f>IFERROR(SUM(AX283:AZ283),"")</f>
        <v/>
      </c>
      <c r="AX283" s="105">
        <f>IFERROR(BH283,"")</f>
        <v/>
      </c>
      <c r="AY283" s="105">
        <f>IFERROR(Driver!$K$19/Data!BH283/Data!BI283*Data!BK283*Data!BL283,"")</f>
        <v/>
      </c>
      <c r="AZ283" s="105">
        <f>IFERROR(BI283*BN283,"")</f>
        <v/>
      </c>
      <c r="BA283" s="105" t="n"/>
      <c r="BB283" s="105" t="n"/>
      <c r="BC283" s="105">
        <f>IFERROR(BI283*BN283*BK283/BJ283^(1/2),"")</f>
        <v/>
      </c>
      <c r="BD283" s="105">
        <f>IFERROR(BH283*BM283*BL283/BJ283/BK283,"")</f>
        <v/>
      </c>
      <c r="BE283" s="105">
        <f>IFERROR(MIN(BI283/BQ283/BP283/BO283/BH283,$BE$1),"")</f>
        <v/>
      </c>
      <c r="BF283" s="105">
        <f>IFERROR(BJ283*BO283*BP283/BK283,"")</f>
        <v/>
      </c>
      <c r="BG283" s="105">
        <f>IFERROR(1/BM283/BH283*BQ283,"")</f>
        <v/>
      </c>
      <c r="BH283" s="102">
        <f>MAX((CE283-Driver!$F$200)/(Driver!$G$200-Driver!$F$200)*$BI$1,1)</f>
        <v/>
      </c>
      <c r="BI283" s="102">
        <f>MAX($BI$1*(BY283-Driver!$F$201)/(Driver!$G$201-Driver!$F$201),1)</f>
        <v/>
      </c>
      <c r="BJ283" s="102">
        <f>(CB283-Driver!$F$206)/(Driver!$G$206-Driver!$F$206)*$BI$1</f>
        <v/>
      </c>
      <c r="BK283" s="102">
        <f>(CD283-Driver!$F$203)/(Driver!$G$203-Driver!$F$203)*$BI$1</f>
        <v/>
      </c>
      <c r="BL283" s="102">
        <f>MAX((CR283-Driver!$F$202)/(Driver!$G$202-Driver!$F$202)*$BI$1,1)</f>
        <v/>
      </c>
      <c r="BM283" s="102">
        <f>MAX((CH283-Driver!$F$204)/(Driver!$G$204-Driver!$F$204)*$BI$1,1)</f>
        <v/>
      </c>
      <c r="BN283" s="102">
        <f>(CI283-Driver!$F$205)/(Driver!$G$205-Driver!$F$205)*$BI$1</f>
        <v/>
      </c>
      <c r="BO283" s="102">
        <f>(CK283-Driver!$F$207)/(Driver!$G$207-Driver!$F$207)*$BI$1</f>
        <v/>
      </c>
      <c r="BP283" s="102">
        <f>(CM283-Driver!$F$208)/(Driver!$G$208-Driver!$F$208)*$BI$1</f>
        <v/>
      </c>
      <c r="BQ283" s="102">
        <f>(CL283-Driver!$F$209)/(Driver!$G$209-Driver!$F$209)*$BI$1</f>
        <v/>
      </c>
      <c r="BR283" s="40" t="inlineStr">
        <is>
          <t>21/22</t>
        </is>
      </c>
      <c r="BS283" s="10" t="inlineStr">
        <is>
          <t xml:space="preserve"> Elan</t>
        </is>
      </c>
      <c r="BT283" s="11" t="inlineStr">
        <is>
          <t>Wildcat 82 CX</t>
        </is>
      </c>
      <c r="BU283" s="13" t="n">
        <v>164</v>
      </c>
      <c r="BV283" s="11" t="inlineStr">
        <is>
          <t xml:space="preserve"> Women's</t>
        </is>
      </c>
      <c r="BW283" s="13" t="n">
        <v>164</v>
      </c>
      <c r="BX283" s="13" t="n">
        <v>165.2</v>
      </c>
      <c r="BY283" s="13" t="n">
        <v>136</v>
      </c>
      <c r="BZ283" s="13" t="n">
        <v>145</v>
      </c>
      <c r="CA283" s="13" t="n">
        <v>128</v>
      </c>
      <c r="CB283" s="13" t="n">
        <v>82</v>
      </c>
      <c r="CC283" s="13" t="n">
        <v>112</v>
      </c>
      <c r="CD283" s="13" t="n">
        <v>13.1</v>
      </c>
      <c r="CE283" s="13" t="n">
        <v>1790</v>
      </c>
      <c r="CF283" s="13" t="n">
        <v>0.89</v>
      </c>
      <c r="CG283" s="13" t="n">
        <v>1600</v>
      </c>
      <c r="CH283" s="13" t="n">
        <v>206</v>
      </c>
      <c r="CI283" s="13" t="n">
        <v>91</v>
      </c>
      <c r="CJ283" s="13" t="n">
        <v>41</v>
      </c>
      <c r="CK283" s="13" t="n">
        <v>179</v>
      </c>
      <c r="CL283" s="13" t="n">
        <v>9</v>
      </c>
      <c r="CM283" s="13" t="n">
        <v>118</v>
      </c>
      <c r="CN283" s="13" t="n">
        <v>0.214</v>
      </c>
      <c r="CO283" s="13" t="n">
        <v>106</v>
      </c>
      <c r="CP283" s="13" t="n">
        <v>92</v>
      </c>
      <c r="CQ283" s="13" t="n">
        <v>72</v>
      </c>
      <c r="CR283" s="13" t="n">
        <v>8</v>
      </c>
      <c r="CS283" s="13" t="n">
        <v>8.4</v>
      </c>
      <c r="CT283" s="11" t="inlineStr">
        <is>
          <t xml:space="preserve"> On-Piste All-Mountain</t>
        </is>
      </c>
      <c r="CU283" s="11" t="inlineStr">
        <is>
          <t xml:space="preserve"> Resort Freeride</t>
        </is>
      </c>
      <c r="CV283" s="13" t="n"/>
      <c r="CW283" s="13" t="n"/>
      <c r="CX283">
        <f>INDEX('Data_Price '!AG$2:AG$1266,MATCH(Data!$DN283,'Data_Price '!$AT$2:$AT$1266,0))</f>
        <v/>
      </c>
      <c r="CY283">
        <f>INDEX('Data_Price '!AH$2:AH$1266,MATCH(Data!$DN283,'Data_Price '!$AT$2:$AT$1266,0))</f>
        <v/>
      </c>
      <c r="CZ283">
        <f>INDEX('Data_Price '!AI$2:AI$1266,MATCH(Data!$DN283,'Data_Price '!$AT$2:$AT$1266,0))</f>
        <v/>
      </c>
      <c r="DA283">
        <f>INDEX('Data_Price '!AJ$2:AJ$1266,MATCH(Data!$DN283,'Data_Price '!$AT$2:$AT$1266,0))</f>
        <v/>
      </c>
      <c r="DB283">
        <f>INDEX('Data_Price '!AK$2:AK$1266,MATCH(Data!$DN283,'Data_Price '!$AT$2:$AT$1266,0))</f>
        <v/>
      </c>
      <c r="DC283">
        <f>INDEX('Data_Price '!AL$2:AL$1266,MATCH(Data!$DN283,'Data_Price '!$AT$2:$AT$1266,0))</f>
        <v/>
      </c>
      <c r="DD283">
        <f>INDEX('Data_Price '!AM$2:AM$1266,MATCH(Data!$DN283,'Data_Price '!$AT$2:$AT$1266,0))</f>
        <v/>
      </c>
      <c r="DE283">
        <f>INDEX('Data_Price '!AN$2:AN$1266,MATCH(Data!$DN283,'Data_Price '!$AT$2:$AT$1266,0))</f>
        <v/>
      </c>
      <c r="DF283">
        <f>INDEX('Data_Price '!AO$2:AO$1266,MATCH(Data!$DN283,'Data_Price '!$AT$2:$AT$1266,0))</f>
        <v/>
      </c>
      <c r="DG283">
        <f>INDEX('Data_Price '!AP$2:AP$1266,MATCH(Data!$DN283,'Data_Price '!$AT$2:$AT$1266,0))</f>
        <v/>
      </c>
      <c r="DH283">
        <f>INDEX('Data_Price '!AQ$2:AQ$1266,MATCH(Data!$DN283,'Data_Price '!$AT$2:$AT$1266,0))</f>
        <v/>
      </c>
      <c r="DI283">
        <f>INDEX('Data_Price '!AR$2:AR$1266,MATCH(Data!$DN283,'Data_Price '!$AT$2:$AT$1266,0))</f>
        <v/>
      </c>
      <c r="DJ283" s="138">
        <f>DA283</f>
        <v/>
      </c>
      <c r="DK283" s="138">
        <f>DE283</f>
        <v/>
      </c>
      <c r="DL283" s="138">
        <f>DI283</f>
        <v/>
      </c>
      <c r="DM283" s="303">
        <f>IF(LEFT(BT283,1)=" ",RIGHT(BT283,LEN(BT283)-1),BT283)</f>
        <v/>
      </c>
      <c r="DN283" s="138">
        <f>_xlfn.CONCAT(BS283,DM283,BU283,BV283)</f>
        <v/>
      </c>
      <c r="DO283" s="307" t="n"/>
    </row>
    <row r="284" ht="15.6" customHeight="1" s="184">
      <c r="B284" s="303">
        <f t="array" ref="B284">IF(OR(ISERROR(K284:P284)),FALSE,TRUE)</f>
        <v/>
      </c>
      <c r="C284" s="60">
        <f>OR(BR284=Driver!$G$50,Data!BR735=Driver!$H$50)</f>
        <v/>
      </c>
      <c r="D284" s="60">
        <f>OR(BV284=Driver!$G$51,BV284=Driver!$H$51)</f>
        <v/>
      </c>
      <c r="E284" s="60">
        <f>AND(BX284&gt;Driver!$F$54,BX284&lt;Driver!$G$54)</f>
        <v/>
      </c>
      <c r="F284" s="60">
        <f>CL284&gt;Driver!$F$56</f>
        <v/>
      </c>
      <c r="G284" s="60">
        <f>AND(CB284&gt;Driver!$F$55,CB284&lt;Driver!$G$55)</f>
        <v/>
      </c>
      <c r="H284" s="60">
        <f>AND(B284:G284)</f>
        <v/>
      </c>
      <c r="I284" s="60">
        <f>COUNTIFS($H$9:$H$1273,TRUE,$BT$9:$BT$1273,BT284)</f>
        <v/>
      </c>
      <c r="J284" s="60">
        <f t="array" ref="J284">NOT(OR(($H$9:$H$1273=TRUE)*($I$9:$I$1273&gt;0)*($BT$9:$BT$1273=BT284)*($K$9:$K$1273&gt;K284)))</f>
        <v/>
      </c>
      <c r="K284" s="108">
        <f>IFERROR(1-AVERAGE(X284:Y284),"")</f>
        <v/>
      </c>
      <c r="L284" s="108">
        <f>1-X284</f>
        <v/>
      </c>
      <c r="M284" s="108">
        <f>1-Y284</f>
        <v/>
      </c>
      <c r="N284" s="108">
        <f>1-Z284</f>
        <v/>
      </c>
      <c r="O284" s="108">
        <f>1-AA284</f>
        <v/>
      </c>
      <c r="P284" s="108">
        <f>1-AB284</f>
        <v/>
      </c>
      <c r="Q284" s="108" t="n"/>
      <c r="R284" s="108" t="n"/>
      <c r="S284" s="108">
        <f>1-AE284</f>
        <v/>
      </c>
      <c r="T284" s="108">
        <f>1-AF284</f>
        <v/>
      </c>
      <c r="U284" s="108">
        <f>1-AG284</f>
        <v/>
      </c>
      <c r="V284" s="108">
        <f>1-AH284</f>
        <v/>
      </c>
      <c r="W284" s="108">
        <f>1-AI284</f>
        <v/>
      </c>
      <c r="X284" s="108">
        <f>ABS(AJ284-AJ$1)</f>
        <v/>
      </c>
      <c r="Y284" s="108">
        <f>AVERAGE(Z284:AB284)</f>
        <v/>
      </c>
      <c r="Z284" s="108">
        <f>ABS(AL284-AL$1)</f>
        <v/>
      </c>
      <c r="AA284" s="108">
        <f>ABS(AM284-AM$1)</f>
        <v/>
      </c>
      <c r="AB284" s="108">
        <f>ABS(AN284-AN$1)</f>
        <v/>
      </c>
      <c r="AC284" s="108" t="n"/>
      <c r="AD284" s="108" t="n"/>
      <c r="AE284" s="108">
        <f>ABS(AQ$1-AQ284)</f>
        <v/>
      </c>
      <c r="AF284" s="108">
        <f>ABS(AR$1-AR284)</f>
        <v/>
      </c>
      <c r="AG284" s="108">
        <f>ABS(AS$1-AS284)</f>
        <v/>
      </c>
      <c r="AH284" s="108">
        <f>ABS(AT$1-AT284)</f>
        <v/>
      </c>
      <c r="AI284" s="108">
        <f>ABS(AU$1-AU284)</f>
        <v/>
      </c>
      <c r="AJ284" s="108">
        <f>(AV284-Driver!$K$179)/(Driver!$L$179-Driver!$K$179)</f>
        <v/>
      </c>
      <c r="AK284" s="108">
        <f>(AW284-Driver!$K$180)/(Driver!$L$180-Driver!$K$180)</f>
        <v/>
      </c>
      <c r="AL284" s="108">
        <f>(AX284-Driver!$K$181)/(Driver!$L$181-Driver!$K$181)</f>
        <v/>
      </c>
      <c r="AM284" s="108">
        <f>(AY284-Driver!$K$182)/(Driver!$L$182-Driver!$K$182)</f>
        <v/>
      </c>
      <c r="AN284" s="108">
        <f>(AZ284-Driver!$K$183)/(Driver!$L$183-Driver!$K$183)</f>
        <v/>
      </c>
      <c r="AO284" s="108" t="n"/>
      <c r="AP284" s="108" t="n"/>
      <c r="AQ284" s="108">
        <f>(BC284-Driver!$K$188)/(Driver!$L$188-Driver!$K$188)</f>
        <v/>
      </c>
      <c r="AR284" s="108">
        <f>MIN((BD284-Driver!$K$189)/(Driver!$L$189-Driver!$K$189),100%)</f>
        <v/>
      </c>
      <c r="AS284" s="108">
        <f>(BE284-Driver!$K$190)/(Driver!$L$190-Driver!$K$190)</f>
        <v/>
      </c>
      <c r="AT284" s="108">
        <f>(BF284-Driver!$K$191)/(Driver!$L$191-Driver!$K$191)</f>
        <v/>
      </c>
      <c r="AU284" s="108">
        <f>(BG284-Driver!$K$192)/(Driver!$L$192-Driver!$K$192)</f>
        <v/>
      </c>
      <c r="AV284" s="105">
        <f>IFERROR(BM284*BJ284^1/4,"")</f>
        <v/>
      </c>
      <c r="AW284" s="105">
        <f>IFERROR(SUM(AX284:AZ284),"")</f>
        <v/>
      </c>
      <c r="AX284" s="105">
        <f>IFERROR(BH284,"")</f>
        <v/>
      </c>
      <c r="AY284" s="105">
        <f>IFERROR(Driver!$K$19/Data!BH284/Data!BI284*Data!BK284*Data!BL284,"")</f>
        <v/>
      </c>
      <c r="AZ284" s="105">
        <f>IFERROR(BI284*BN284,"")</f>
        <v/>
      </c>
      <c r="BA284" s="105" t="n"/>
      <c r="BB284" s="105" t="n"/>
      <c r="BC284" s="105">
        <f>IFERROR(BI284*BN284*BK284/BJ284^(1/2),"")</f>
        <v/>
      </c>
      <c r="BD284" s="105">
        <f>IFERROR(BH284*BM284*BL284/BJ284/BK284,"")</f>
        <v/>
      </c>
      <c r="BE284" s="105">
        <f>IFERROR(MIN(BI284/BQ284/BP284/BO284/BH284,$BE$1),"")</f>
        <v/>
      </c>
      <c r="BF284" s="105">
        <f>IFERROR(BJ284*BO284*BP284/BK284,"")</f>
        <v/>
      </c>
      <c r="BG284" s="105">
        <f>IFERROR(1/BM284/BH284*BQ284,"")</f>
        <v/>
      </c>
      <c r="BH284" s="102">
        <f>MAX((CE284-Driver!$F$200)/(Driver!$G$200-Driver!$F$200)*$BI$1,1)</f>
        <v/>
      </c>
      <c r="BI284" s="102">
        <f>MAX($BI$1*(BY284-Driver!$F$201)/(Driver!$G$201-Driver!$F$201),1)</f>
        <v/>
      </c>
      <c r="BJ284" s="102">
        <f>(CB284-Driver!$F$206)/(Driver!$G$206-Driver!$F$206)*$BI$1</f>
        <v/>
      </c>
      <c r="BK284" s="102">
        <f>(CD284-Driver!$F$203)/(Driver!$G$203-Driver!$F$203)*$BI$1</f>
        <v/>
      </c>
      <c r="BL284" s="102">
        <f>MAX((CR284-Driver!$F$202)/(Driver!$G$202-Driver!$F$202)*$BI$1,1)</f>
        <v/>
      </c>
      <c r="BM284" s="102">
        <f>MAX((CH284-Driver!$F$204)/(Driver!$G$204-Driver!$F$204)*$BI$1,1)</f>
        <v/>
      </c>
      <c r="BN284" s="102">
        <f>(CI284-Driver!$F$205)/(Driver!$G$205-Driver!$F$205)*$BI$1</f>
        <v/>
      </c>
      <c r="BO284" s="102">
        <f>(CK284-Driver!$F$207)/(Driver!$G$207-Driver!$F$207)*$BI$1</f>
        <v/>
      </c>
      <c r="BP284" s="102">
        <f>(CM284-Driver!$F$208)/(Driver!$G$208-Driver!$F$208)*$BI$1</f>
        <v/>
      </c>
      <c r="BQ284" s="102">
        <f>(CL284-Driver!$F$209)/(Driver!$G$209-Driver!$F$209)*$BI$1</f>
        <v/>
      </c>
      <c r="BR284" s="40" t="inlineStr">
        <is>
          <t>21/22</t>
        </is>
      </c>
      <c r="BS284" s="10" t="inlineStr">
        <is>
          <t xml:space="preserve"> K2</t>
        </is>
      </c>
      <c r="BT284" s="11" t="inlineStr">
        <is>
          <t>Mindbender 88 Ti Alliance</t>
        </is>
      </c>
      <c r="BU284" s="13" t="n">
        <v>170</v>
      </c>
      <c r="BV284" s="11" t="inlineStr">
        <is>
          <t xml:space="preserve"> Women's</t>
        </is>
      </c>
      <c r="BW284" s="13" t="n">
        <v>170</v>
      </c>
      <c r="BX284" s="13" t="n">
        <v>169.4</v>
      </c>
      <c r="BY284" s="13" t="n">
        <v>125</v>
      </c>
      <c r="BZ284" s="13" t="n">
        <v>146</v>
      </c>
      <c r="CA284" s="13" t="n">
        <v>125</v>
      </c>
      <c r="CB284" s="13" t="n">
        <v>87</v>
      </c>
      <c r="CC284" s="13" t="n">
        <v>111</v>
      </c>
      <c r="CD284" s="13" t="n">
        <v>16.5</v>
      </c>
      <c r="CE284" s="13" t="n">
        <v>1668</v>
      </c>
      <c r="CF284" s="13" t="n">
        <v>1.01</v>
      </c>
      <c r="CG284" s="13" t="n">
        <v>1685</v>
      </c>
      <c r="CH284" s="13" t="n">
        <v>176</v>
      </c>
      <c r="CI284" s="13" t="n">
        <v>90</v>
      </c>
      <c r="CJ284" s="13" t="n">
        <v>52</v>
      </c>
      <c r="CK284" s="13" t="n">
        <v>250</v>
      </c>
      <c r="CL284" s="13" t="n">
        <v>26</v>
      </c>
      <c r="CM284" s="13" t="n">
        <v>198</v>
      </c>
      <c r="CN284" s="13" t="n">
        <v>0.495</v>
      </c>
      <c r="CO284" s="13" t="n">
        <v>137</v>
      </c>
      <c r="CP284" s="13" t="n">
        <v>99</v>
      </c>
      <c r="CQ284" s="13" t="n">
        <v>112</v>
      </c>
      <c r="CR284" s="13" t="n">
        <v>8</v>
      </c>
      <c r="CS284" s="13" t="n">
        <v>11.2</v>
      </c>
      <c r="CT284" s="11" t="inlineStr">
        <is>
          <t xml:space="preserve"> Resort Freeride</t>
        </is>
      </c>
      <c r="CU284" s="13" t="n"/>
      <c r="CV284" s="13" t="n"/>
      <c r="CW284" s="13" t="n"/>
      <c r="CX284">
        <f>INDEX('Data_Price '!AG$2:AG$1266,MATCH(Data!$DN284,'Data_Price '!$AT$2:$AT$1266,0))</f>
        <v/>
      </c>
      <c r="CY284">
        <f>INDEX('Data_Price '!AH$2:AH$1266,MATCH(Data!$DN284,'Data_Price '!$AT$2:$AT$1266,0))</f>
        <v/>
      </c>
      <c r="CZ284">
        <f>INDEX('Data_Price '!AI$2:AI$1266,MATCH(Data!$DN284,'Data_Price '!$AT$2:$AT$1266,0))</f>
        <v/>
      </c>
      <c r="DA284">
        <f>INDEX('Data_Price '!AJ$2:AJ$1266,MATCH(Data!$DN284,'Data_Price '!$AT$2:$AT$1266,0))</f>
        <v/>
      </c>
      <c r="DB284">
        <f>INDEX('Data_Price '!AK$2:AK$1266,MATCH(Data!$DN284,'Data_Price '!$AT$2:$AT$1266,0))</f>
        <v/>
      </c>
      <c r="DC284">
        <f>INDEX('Data_Price '!AL$2:AL$1266,MATCH(Data!$DN284,'Data_Price '!$AT$2:$AT$1266,0))</f>
        <v/>
      </c>
      <c r="DD284">
        <f>INDEX('Data_Price '!AM$2:AM$1266,MATCH(Data!$DN284,'Data_Price '!$AT$2:$AT$1266,0))</f>
        <v/>
      </c>
      <c r="DE284">
        <f>INDEX('Data_Price '!AN$2:AN$1266,MATCH(Data!$DN284,'Data_Price '!$AT$2:$AT$1266,0))</f>
        <v/>
      </c>
      <c r="DF284">
        <f>INDEX('Data_Price '!AO$2:AO$1266,MATCH(Data!$DN284,'Data_Price '!$AT$2:$AT$1266,0))</f>
        <v/>
      </c>
      <c r="DG284">
        <f>INDEX('Data_Price '!AP$2:AP$1266,MATCH(Data!$DN284,'Data_Price '!$AT$2:$AT$1266,0))</f>
        <v/>
      </c>
      <c r="DH284">
        <f>INDEX('Data_Price '!AQ$2:AQ$1266,MATCH(Data!$DN284,'Data_Price '!$AT$2:$AT$1266,0))</f>
        <v/>
      </c>
      <c r="DI284">
        <f>INDEX('Data_Price '!AR$2:AR$1266,MATCH(Data!$DN284,'Data_Price '!$AT$2:$AT$1266,0))</f>
        <v/>
      </c>
      <c r="DJ284" s="138">
        <f>DA284</f>
        <v/>
      </c>
      <c r="DK284" s="138">
        <f>DE284</f>
        <v/>
      </c>
      <c r="DL284" s="138">
        <f>DI284</f>
        <v/>
      </c>
      <c r="DM284" s="303">
        <f>IF(LEFT(BT284,1)=" ",RIGHT(BT284,LEN(BT284)-1),BT284)</f>
        <v/>
      </c>
      <c r="DN284" s="138">
        <f>_xlfn.CONCAT(BS284,DM284,BU284,BV284)</f>
        <v/>
      </c>
      <c r="DO284" s="307" t="n"/>
    </row>
    <row r="285" ht="15.6" customHeight="1" s="184">
      <c r="B285" s="303">
        <f t="array" ref="B285">IF(OR(ISERROR(K285:P285)),FALSE,TRUE)</f>
        <v/>
      </c>
      <c r="C285" s="60">
        <f>OR(BR285=Driver!$G$50,Data!BR686=Driver!$H$50)</f>
        <v/>
      </c>
      <c r="D285" s="60">
        <f>OR(BV285=Driver!$G$51,BV285=Driver!$H$51)</f>
        <v/>
      </c>
      <c r="E285" s="60">
        <f>AND(BX285&gt;Driver!$F$54,BX285&lt;Driver!$G$54)</f>
        <v/>
      </c>
      <c r="F285" s="60">
        <f>CL285&gt;Driver!$F$56</f>
        <v/>
      </c>
      <c r="G285" s="60">
        <f>AND(CB285&gt;Driver!$F$55,CB285&lt;Driver!$G$55)</f>
        <v/>
      </c>
      <c r="H285" s="60">
        <f>AND(B285:G285)</f>
        <v/>
      </c>
      <c r="I285" s="60">
        <f>COUNTIFS($H$9:$H$1273,TRUE,$BT$9:$BT$1273,BT285)</f>
        <v/>
      </c>
      <c r="J285" s="60">
        <f t="array" ref="J285">NOT(OR(($H$9:$H$1273=TRUE)*($I$9:$I$1273&gt;0)*($BT$9:$BT$1273=BT285)*($K$9:$K$1273&gt;K285)))</f>
        <v/>
      </c>
      <c r="K285" s="108">
        <f>IFERROR(1-AVERAGE(X285:Y285),"")</f>
        <v/>
      </c>
      <c r="L285" s="108">
        <f>1-X285</f>
        <v/>
      </c>
      <c r="M285" s="108">
        <f>1-Y285</f>
        <v/>
      </c>
      <c r="N285" s="108">
        <f>1-Z285</f>
        <v/>
      </c>
      <c r="O285" s="108">
        <f>1-AA285</f>
        <v/>
      </c>
      <c r="P285" s="108">
        <f>1-AB285</f>
        <v/>
      </c>
      <c r="Q285" s="108" t="n"/>
      <c r="R285" s="108" t="n"/>
      <c r="S285" s="108">
        <f>1-AE285</f>
        <v/>
      </c>
      <c r="T285" s="108">
        <f>1-AF285</f>
        <v/>
      </c>
      <c r="U285" s="108">
        <f>1-AG285</f>
        <v/>
      </c>
      <c r="V285" s="108">
        <f>1-AH285</f>
        <v/>
      </c>
      <c r="W285" s="108">
        <f>1-AI285</f>
        <v/>
      </c>
      <c r="X285" s="108">
        <f>ABS(AJ285-AJ$1)</f>
        <v/>
      </c>
      <c r="Y285" s="108">
        <f>AVERAGE(Z285:AB285)</f>
        <v/>
      </c>
      <c r="Z285" s="108">
        <f>ABS(AL285-AL$1)</f>
        <v/>
      </c>
      <c r="AA285" s="108">
        <f>ABS(AM285-AM$1)</f>
        <v/>
      </c>
      <c r="AB285" s="108">
        <f>ABS(AN285-AN$1)</f>
        <v/>
      </c>
      <c r="AC285" s="108" t="n"/>
      <c r="AD285" s="108" t="n"/>
      <c r="AE285" s="108">
        <f>ABS(AQ$1-AQ285)</f>
        <v/>
      </c>
      <c r="AF285" s="108">
        <f>ABS(AR$1-AR285)</f>
        <v/>
      </c>
      <c r="AG285" s="108">
        <f>ABS(AS$1-AS285)</f>
        <v/>
      </c>
      <c r="AH285" s="108">
        <f>ABS(AT$1-AT285)</f>
        <v/>
      </c>
      <c r="AI285" s="108">
        <f>ABS(AU$1-AU285)</f>
        <v/>
      </c>
      <c r="AJ285" s="108">
        <f>(AV285-Driver!$K$179)/(Driver!$L$179-Driver!$K$179)</f>
        <v/>
      </c>
      <c r="AK285" s="108">
        <f>(AW285-Driver!$K$180)/(Driver!$L$180-Driver!$K$180)</f>
        <v/>
      </c>
      <c r="AL285" s="108">
        <f>(AX285-Driver!$K$181)/(Driver!$L$181-Driver!$K$181)</f>
        <v/>
      </c>
      <c r="AM285" s="108">
        <f>(AY285-Driver!$K$182)/(Driver!$L$182-Driver!$K$182)</f>
        <v/>
      </c>
      <c r="AN285" s="108">
        <f>(AZ285-Driver!$K$183)/(Driver!$L$183-Driver!$K$183)</f>
        <v/>
      </c>
      <c r="AO285" s="108" t="n"/>
      <c r="AP285" s="108" t="n"/>
      <c r="AQ285" s="108">
        <f>(BC285-Driver!$K$188)/(Driver!$L$188-Driver!$K$188)</f>
        <v/>
      </c>
      <c r="AR285" s="108">
        <f>MIN((BD285-Driver!$K$189)/(Driver!$L$189-Driver!$K$189),100%)</f>
        <v/>
      </c>
      <c r="AS285" s="108">
        <f>(BE285-Driver!$K$190)/(Driver!$L$190-Driver!$K$190)</f>
        <v/>
      </c>
      <c r="AT285" s="108">
        <f>(BF285-Driver!$K$191)/(Driver!$L$191-Driver!$K$191)</f>
        <v/>
      </c>
      <c r="AU285" s="108">
        <f>(BG285-Driver!$K$192)/(Driver!$L$192-Driver!$K$192)</f>
        <v/>
      </c>
      <c r="AV285" s="105">
        <f>IFERROR(BM285*BJ285^1/4,"")</f>
        <v/>
      </c>
      <c r="AW285" s="105">
        <f>IFERROR(SUM(AX285:AZ285),"")</f>
        <v/>
      </c>
      <c r="AX285" s="105">
        <f>IFERROR(BH285,"")</f>
        <v/>
      </c>
      <c r="AY285" s="105">
        <f>IFERROR(Driver!$K$19/Data!BH285/Data!BI285*Data!BK285*Data!BL285,"")</f>
        <v/>
      </c>
      <c r="AZ285" s="105">
        <f>IFERROR(BI285*BN285,"")</f>
        <v/>
      </c>
      <c r="BA285" s="105" t="n"/>
      <c r="BB285" s="105" t="n"/>
      <c r="BC285" s="105">
        <f>IFERROR(BI285*BN285*BK285/BJ285^(1/2),"")</f>
        <v/>
      </c>
      <c r="BD285" s="105">
        <f>IFERROR(BH285*BM285*BL285/BJ285/BK285,"")</f>
        <v/>
      </c>
      <c r="BE285" s="105">
        <f>IFERROR(MIN(BI285/BQ285/BP285/BO285/BH285,$BE$1),"")</f>
        <v/>
      </c>
      <c r="BF285" s="105">
        <f>IFERROR(BJ285*BO285*BP285/BK285,"")</f>
        <v/>
      </c>
      <c r="BG285" s="105">
        <f>IFERROR(1/BM285/BH285*BQ285,"")</f>
        <v/>
      </c>
      <c r="BH285" s="102">
        <f>MAX((CE285-Driver!$F$200)/(Driver!$G$200-Driver!$F$200)*$BI$1,1)</f>
        <v/>
      </c>
      <c r="BI285" s="102">
        <f>MAX($BI$1*(BY285-Driver!$F$201)/(Driver!$G$201-Driver!$F$201),1)</f>
        <v/>
      </c>
      <c r="BJ285" s="102">
        <f>(CB285-Driver!$F$206)/(Driver!$G$206-Driver!$F$206)*$BI$1</f>
        <v/>
      </c>
      <c r="BK285" s="102">
        <f>(CD285-Driver!$F$203)/(Driver!$G$203-Driver!$F$203)*$BI$1</f>
        <v/>
      </c>
      <c r="BL285" s="102">
        <f>MAX((CR285-Driver!$F$202)/(Driver!$G$202-Driver!$F$202)*$BI$1,1)</f>
        <v/>
      </c>
      <c r="BM285" s="102">
        <f>MAX((CH285-Driver!$F$204)/(Driver!$G$204-Driver!$F$204)*$BI$1,1)</f>
        <v/>
      </c>
      <c r="BN285" s="102">
        <f>(CI285-Driver!$F$205)/(Driver!$G$205-Driver!$F$205)*$BI$1</f>
        <v/>
      </c>
      <c r="BO285" s="102">
        <f>(CK285-Driver!$F$207)/(Driver!$G$207-Driver!$F$207)*$BI$1</f>
        <v/>
      </c>
      <c r="BP285" s="102">
        <f>(CM285-Driver!$F$208)/(Driver!$G$208-Driver!$F$208)*$BI$1</f>
        <v/>
      </c>
      <c r="BQ285" s="102">
        <f>(CL285-Driver!$F$209)/(Driver!$G$209-Driver!$F$209)*$BI$1</f>
        <v/>
      </c>
      <c r="BR285" s="40" t="inlineStr">
        <is>
          <t>21/22</t>
        </is>
      </c>
      <c r="BS285" s="10" t="inlineStr">
        <is>
          <t xml:space="preserve"> Icelantic</t>
        </is>
      </c>
      <c r="BT285" s="11" t="inlineStr">
        <is>
          <t>Pioneer 96</t>
        </is>
      </c>
      <c r="BU285" s="13" t="n">
        <v>166</v>
      </c>
      <c r="BV285" s="11" t="inlineStr">
        <is>
          <t xml:space="preserve"> Unisex</t>
        </is>
      </c>
      <c r="BW285" s="13" t="n">
        <v>166</v>
      </c>
      <c r="BX285" s="13" t="n">
        <v>165.1</v>
      </c>
      <c r="BY285" s="13" t="n">
        <v>112</v>
      </c>
      <c r="BZ285" s="13" t="n">
        <v>135</v>
      </c>
      <c r="CA285" s="13" t="n">
        <v>131</v>
      </c>
      <c r="CB285" s="13" t="n">
        <v>96</v>
      </c>
      <c r="CC285" s="13" t="n">
        <v>117</v>
      </c>
      <c r="CD285" s="13" t="n">
        <v>15.5</v>
      </c>
      <c r="CE285" s="13" t="n">
        <v>1691</v>
      </c>
      <c r="CF285" s="13" t="n">
        <v>1.04</v>
      </c>
      <c r="CG285" s="13" t="n">
        <v>1757</v>
      </c>
      <c r="CH285" s="13" t="n">
        <v>200</v>
      </c>
      <c r="CI285" s="13" t="n">
        <v>94</v>
      </c>
      <c r="CJ285" s="13" t="n">
        <v>53</v>
      </c>
      <c r="CK285" s="13" t="n">
        <v>308</v>
      </c>
      <c r="CL285" s="13" t="n">
        <v>17</v>
      </c>
      <c r="CM285" s="13" t="n">
        <v>228</v>
      </c>
      <c r="CN285" s="13" t="n">
        <v>0.328</v>
      </c>
      <c r="CO285" s="13" t="n">
        <v>182</v>
      </c>
      <c r="CP285" s="13" t="n">
        <v>116</v>
      </c>
      <c r="CQ285" s="13" t="n">
        <v>126</v>
      </c>
      <c r="CR285" s="13" t="n">
        <v>6</v>
      </c>
      <c r="CS285" s="13" t="n">
        <v>8.800000000000001</v>
      </c>
      <c r="CT285" s="11" t="inlineStr">
        <is>
          <t xml:space="preserve"> Resort Freeride</t>
        </is>
      </c>
      <c r="CU285" s="13" t="n"/>
      <c r="CV285" s="13" t="n"/>
      <c r="CW285" s="13" t="n"/>
      <c r="CX285">
        <f>INDEX('Data_Price '!AG$2:AG$1266,MATCH(Data!$DN285,'Data_Price '!$AT$2:$AT$1266,0))</f>
        <v/>
      </c>
      <c r="CY285">
        <f>INDEX('Data_Price '!AH$2:AH$1266,MATCH(Data!$DN285,'Data_Price '!$AT$2:$AT$1266,0))</f>
        <v/>
      </c>
      <c r="CZ285">
        <f>INDEX('Data_Price '!AI$2:AI$1266,MATCH(Data!$DN285,'Data_Price '!$AT$2:$AT$1266,0))</f>
        <v/>
      </c>
      <c r="DA285">
        <f>INDEX('Data_Price '!AJ$2:AJ$1266,MATCH(Data!$DN285,'Data_Price '!$AT$2:$AT$1266,0))</f>
        <v/>
      </c>
      <c r="DB285">
        <f>INDEX('Data_Price '!AK$2:AK$1266,MATCH(Data!$DN285,'Data_Price '!$AT$2:$AT$1266,0))</f>
        <v/>
      </c>
      <c r="DC285">
        <f>INDEX('Data_Price '!AL$2:AL$1266,MATCH(Data!$DN285,'Data_Price '!$AT$2:$AT$1266,0))</f>
        <v/>
      </c>
      <c r="DD285">
        <f>INDEX('Data_Price '!AM$2:AM$1266,MATCH(Data!$DN285,'Data_Price '!$AT$2:$AT$1266,0))</f>
        <v/>
      </c>
      <c r="DE285">
        <f>INDEX('Data_Price '!AN$2:AN$1266,MATCH(Data!$DN285,'Data_Price '!$AT$2:$AT$1266,0))</f>
        <v/>
      </c>
      <c r="DF285">
        <f>INDEX('Data_Price '!AO$2:AO$1266,MATCH(Data!$DN285,'Data_Price '!$AT$2:$AT$1266,0))</f>
        <v/>
      </c>
      <c r="DG285">
        <f>INDEX('Data_Price '!AP$2:AP$1266,MATCH(Data!$DN285,'Data_Price '!$AT$2:$AT$1266,0))</f>
        <v/>
      </c>
      <c r="DH285">
        <f>INDEX('Data_Price '!AQ$2:AQ$1266,MATCH(Data!$DN285,'Data_Price '!$AT$2:$AT$1266,0))</f>
        <v/>
      </c>
      <c r="DI285">
        <f>INDEX('Data_Price '!AR$2:AR$1266,MATCH(Data!$DN285,'Data_Price '!$AT$2:$AT$1266,0))</f>
        <v/>
      </c>
      <c r="DJ285" s="138">
        <f>DA285</f>
        <v/>
      </c>
      <c r="DK285" s="138">
        <f>DE285</f>
        <v/>
      </c>
      <c r="DL285" s="138">
        <f>DI285</f>
        <v/>
      </c>
      <c r="DM285" s="303">
        <f>IF(LEFT(BT285,1)=" ",RIGHT(BT285,LEN(BT285)-1),BT285)</f>
        <v/>
      </c>
      <c r="DN285" s="138">
        <f>_xlfn.CONCAT(BS285,DM285,BU285,BV285)</f>
        <v/>
      </c>
      <c r="DO285" s="307" t="inlineStr">
        <is>
          <t>https://images.evo.com/imgp/250/212325/858471/clone.jpg</t>
        </is>
      </c>
    </row>
    <row r="286" ht="15.6" customHeight="1" s="184">
      <c r="B286" s="303">
        <f t="array" ref="B286">IF(OR(ISERROR(K286:P286)),FALSE,TRUE)</f>
        <v/>
      </c>
      <c r="C286" s="60">
        <f>OR(BR286=Driver!$G$50,Data!BR589=Driver!$H$50)</f>
        <v/>
      </c>
      <c r="D286" s="60">
        <f>OR(BV286=Driver!$G$51,BV286=Driver!$H$51)</f>
        <v/>
      </c>
      <c r="E286" s="60">
        <f>AND(BX286&gt;Driver!$F$54,BX286&lt;Driver!$G$54)</f>
        <v/>
      </c>
      <c r="F286" s="60">
        <f>CL286&gt;Driver!$F$56</f>
        <v/>
      </c>
      <c r="G286" s="60">
        <f>AND(CB286&gt;Driver!$F$55,CB286&lt;Driver!$G$55)</f>
        <v/>
      </c>
      <c r="H286" s="60">
        <f>AND(B286:G286)</f>
        <v/>
      </c>
      <c r="I286" s="60">
        <f>COUNTIFS($H$9:$H$1273,TRUE,$BT$9:$BT$1273,BT286)</f>
        <v/>
      </c>
      <c r="J286" s="60">
        <f t="array" ref="J286">NOT(OR(($H$9:$H$1273=TRUE)*($I$9:$I$1273&gt;0)*($BT$9:$BT$1273=BT286)*($K$9:$K$1273&gt;K286)))</f>
        <v/>
      </c>
      <c r="K286" s="108">
        <f>IFERROR(1-AVERAGE(X286:Y286),"")</f>
        <v/>
      </c>
      <c r="L286" s="108">
        <f>1-X286</f>
        <v/>
      </c>
      <c r="M286" s="108">
        <f>1-Y286</f>
        <v/>
      </c>
      <c r="N286" s="108">
        <f>1-Z286</f>
        <v/>
      </c>
      <c r="O286" s="108">
        <f>1-AA286</f>
        <v/>
      </c>
      <c r="P286" s="108">
        <f>1-AB286</f>
        <v/>
      </c>
      <c r="Q286" s="108" t="n"/>
      <c r="R286" s="108" t="n"/>
      <c r="S286" s="108">
        <f>1-AE286</f>
        <v/>
      </c>
      <c r="T286" s="108">
        <f>1-AF286</f>
        <v/>
      </c>
      <c r="U286" s="108">
        <f>1-AG286</f>
        <v/>
      </c>
      <c r="V286" s="108">
        <f>1-AH286</f>
        <v/>
      </c>
      <c r="W286" s="108">
        <f>1-AI286</f>
        <v/>
      </c>
      <c r="X286" s="108">
        <f>ABS(AJ286-AJ$1)</f>
        <v/>
      </c>
      <c r="Y286" s="108">
        <f>AVERAGE(Z286:AB286)</f>
        <v/>
      </c>
      <c r="Z286" s="108">
        <f>ABS(AL286-AL$1)</f>
        <v/>
      </c>
      <c r="AA286" s="108">
        <f>ABS(AM286-AM$1)</f>
        <v/>
      </c>
      <c r="AB286" s="108">
        <f>ABS(AN286-AN$1)</f>
        <v/>
      </c>
      <c r="AC286" s="108" t="n"/>
      <c r="AD286" s="108" t="n"/>
      <c r="AE286" s="108">
        <f>ABS(AQ$1-AQ286)</f>
        <v/>
      </c>
      <c r="AF286" s="108">
        <f>ABS(AR$1-AR286)</f>
        <v/>
      </c>
      <c r="AG286" s="108">
        <f>ABS(AS$1-AS286)</f>
        <v/>
      </c>
      <c r="AH286" s="108">
        <f>ABS(AT$1-AT286)</f>
        <v/>
      </c>
      <c r="AI286" s="108">
        <f>ABS(AU$1-AU286)</f>
        <v/>
      </c>
      <c r="AJ286" s="108">
        <f>(AV286-Driver!$K$179)/(Driver!$L$179-Driver!$K$179)</f>
        <v/>
      </c>
      <c r="AK286" s="108">
        <f>(AW286-Driver!$K$180)/(Driver!$L$180-Driver!$K$180)</f>
        <v/>
      </c>
      <c r="AL286" s="108">
        <f>(AX286-Driver!$K$181)/(Driver!$L$181-Driver!$K$181)</f>
        <v/>
      </c>
      <c r="AM286" s="108">
        <f>(AY286-Driver!$K$182)/(Driver!$L$182-Driver!$K$182)</f>
        <v/>
      </c>
      <c r="AN286" s="108">
        <f>(AZ286-Driver!$K$183)/(Driver!$L$183-Driver!$K$183)</f>
        <v/>
      </c>
      <c r="AO286" s="108" t="n"/>
      <c r="AP286" s="108" t="n"/>
      <c r="AQ286" s="108">
        <f>(BC286-Driver!$K$188)/(Driver!$L$188-Driver!$K$188)</f>
        <v/>
      </c>
      <c r="AR286" s="108">
        <f>MIN((BD286-Driver!$K$189)/(Driver!$L$189-Driver!$K$189),100%)</f>
        <v/>
      </c>
      <c r="AS286" s="108">
        <f>(BE286-Driver!$K$190)/(Driver!$L$190-Driver!$K$190)</f>
        <v/>
      </c>
      <c r="AT286" s="108">
        <f>(BF286-Driver!$K$191)/(Driver!$L$191-Driver!$K$191)</f>
        <v/>
      </c>
      <c r="AU286" s="108">
        <f>(BG286-Driver!$K$192)/(Driver!$L$192-Driver!$K$192)</f>
        <v/>
      </c>
      <c r="AV286" s="105">
        <f>IFERROR(BM286*BJ286^1/4,"")</f>
        <v/>
      </c>
      <c r="AW286" s="105">
        <f>IFERROR(SUM(AX286:AZ286),"")</f>
        <v/>
      </c>
      <c r="AX286" s="105">
        <f>IFERROR(BH286,"")</f>
        <v/>
      </c>
      <c r="AY286" s="105">
        <f>IFERROR(Driver!$K$19/Data!BH286/Data!BI286*Data!BK286*Data!BL286,"")</f>
        <v/>
      </c>
      <c r="AZ286" s="105">
        <f>IFERROR(BI286*BN286,"")</f>
        <v/>
      </c>
      <c r="BA286" s="105" t="n"/>
      <c r="BB286" s="105" t="n"/>
      <c r="BC286" s="105">
        <f>IFERROR(BI286*BN286*BK286/BJ286^(1/2),"")</f>
        <v/>
      </c>
      <c r="BD286" s="105">
        <f>IFERROR(BH286*BM286*BL286/BJ286/BK286,"")</f>
        <v/>
      </c>
      <c r="BE286" s="105">
        <f>IFERROR(MIN(BI286/BQ286/BP286/BO286/BH286,$BE$1),"")</f>
        <v/>
      </c>
      <c r="BF286" s="105">
        <f>IFERROR(BJ286*BO286*BP286/BK286,"")</f>
        <v/>
      </c>
      <c r="BG286" s="105">
        <f>IFERROR(1/BM286/BH286*BQ286,"")</f>
        <v/>
      </c>
      <c r="BH286" s="102">
        <f>MAX((CE286-Driver!$F$200)/(Driver!$G$200-Driver!$F$200)*$BI$1,1)</f>
        <v/>
      </c>
      <c r="BI286" s="102">
        <f>MAX($BI$1*(BY286-Driver!$F$201)/(Driver!$G$201-Driver!$F$201),1)</f>
        <v/>
      </c>
      <c r="BJ286" s="102">
        <f>(CB286-Driver!$F$206)/(Driver!$G$206-Driver!$F$206)*$BI$1</f>
        <v/>
      </c>
      <c r="BK286" s="102">
        <f>(CD286-Driver!$F$203)/(Driver!$G$203-Driver!$F$203)*$BI$1</f>
        <v/>
      </c>
      <c r="BL286" s="102">
        <f>MAX((CR286-Driver!$F$202)/(Driver!$G$202-Driver!$F$202)*$BI$1,1)</f>
        <v/>
      </c>
      <c r="BM286" s="102">
        <f>MAX((CH286-Driver!$F$204)/(Driver!$G$204-Driver!$F$204)*$BI$1,1)</f>
        <v/>
      </c>
      <c r="BN286" s="102">
        <f>(CI286-Driver!$F$205)/(Driver!$G$205-Driver!$F$205)*$BI$1</f>
        <v/>
      </c>
      <c r="BO286" s="102">
        <f>(CK286-Driver!$F$207)/(Driver!$G$207-Driver!$F$207)*$BI$1</f>
        <v/>
      </c>
      <c r="BP286" s="102">
        <f>(CM286-Driver!$F$208)/(Driver!$G$208-Driver!$F$208)*$BI$1</f>
        <v/>
      </c>
      <c r="BQ286" s="102">
        <f>(CL286-Driver!$F$209)/(Driver!$G$209-Driver!$F$209)*$BI$1</f>
        <v/>
      </c>
      <c r="BR286" s="40" t="inlineStr">
        <is>
          <t>21/22</t>
        </is>
      </c>
      <c r="BS286" s="10" t="inlineStr">
        <is>
          <t xml:space="preserve"> Fischer</t>
        </is>
      </c>
      <c r="BT286" s="11" t="inlineStr">
        <is>
          <t>Ranger 99 Ti W</t>
        </is>
      </c>
      <c r="BU286" s="13" t="n">
        <v>166</v>
      </c>
      <c r="BV286" s="11" t="inlineStr">
        <is>
          <t xml:space="preserve"> Women's</t>
        </is>
      </c>
      <c r="BW286" s="13" t="n">
        <v>166</v>
      </c>
      <c r="BX286" s="13" t="n">
        <v>165.2</v>
      </c>
      <c r="BY286" s="13" t="n">
        <v>114</v>
      </c>
      <c r="BZ286" s="13" t="n">
        <v>140</v>
      </c>
      <c r="CA286" s="13" t="n">
        <v>126</v>
      </c>
      <c r="CB286" s="13" t="n">
        <v>94</v>
      </c>
      <c r="CC286" s="13" t="n">
        <v>117</v>
      </c>
      <c r="CD286" s="13" t="n">
        <v>15.3</v>
      </c>
      <c r="CE286" s="13" t="n">
        <v>1723</v>
      </c>
      <c r="CF286" s="13" t="n">
        <v>1.01</v>
      </c>
      <c r="CG286" s="13" t="n">
        <v>1740</v>
      </c>
      <c r="CH286" s="13" t="n">
        <v>189</v>
      </c>
      <c r="CI286" s="13" t="n">
        <v>118</v>
      </c>
      <c r="CJ286" s="13" t="n">
        <v>45</v>
      </c>
      <c r="CK286" s="13" t="n">
        <v>286</v>
      </c>
      <c r="CL286" s="13" t="n">
        <v>19</v>
      </c>
      <c r="CM286" s="13" t="n">
        <v>229</v>
      </c>
      <c r="CN286" s="13" t="n">
        <v>0.409</v>
      </c>
      <c r="CO286" s="13" t="n">
        <v>134</v>
      </c>
      <c r="CP286" s="13" t="n">
        <v>120</v>
      </c>
      <c r="CQ286" s="13" t="n">
        <v>152</v>
      </c>
      <c r="CR286" s="13" t="n">
        <v>4</v>
      </c>
      <c r="CS286" s="13" t="n">
        <v>9.5</v>
      </c>
      <c r="CT286" s="11" t="inlineStr">
        <is>
          <t xml:space="preserve"> Resort Freeride</t>
        </is>
      </c>
      <c r="CU286" s="13" t="n"/>
      <c r="CV286" s="13" t="n"/>
      <c r="CW286" s="13" t="n"/>
      <c r="CX286">
        <f>INDEX('Data_Price '!AG$2:AG$1266,MATCH(Data!$DN286,'Data_Price '!$AT$2:$AT$1266,0))</f>
        <v/>
      </c>
      <c r="CY286">
        <f>INDEX('Data_Price '!AH$2:AH$1266,MATCH(Data!$DN286,'Data_Price '!$AT$2:$AT$1266,0))</f>
        <v/>
      </c>
      <c r="CZ286">
        <f>INDEX('Data_Price '!AI$2:AI$1266,MATCH(Data!$DN286,'Data_Price '!$AT$2:$AT$1266,0))</f>
        <v/>
      </c>
      <c r="DA286">
        <f>INDEX('Data_Price '!AJ$2:AJ$1266,MATCH(Data!$DN286,'Data_Price '!$AT$2:$AT$1266,0))</f>
        <v/>
      </c>
      <c r="DB286">
        <f>INDEX('Data_Price '!AK$2:AK$1266,MATCH(Data!$DN286,'Data_Price '!$AT$2:$AT$1266,0))</f>
        <v/>
      </c>
      <c r="DC286">
        <f>INDEX('Data_Price '!AL$2:AL$1266,MATCH(Data!$DN286,'Data_Price '!$AT$2:$AT$1266,0))</f>
        <v/>
      </c>
      <c r="DD286">
        <f>INDEX('Data_Price '!AM$2:AM$1266,MATCH(Data!$DN286,'Data_Price '!$AT$2:$AT$1266,0))</f>
        <v/>
      </c>
      <c r="DE286">
        <f>INDEX('Data_Price '!AN$2:AN$1266,MATCH(Data!$DN286,'Data_Price '!$AT$2:$AT$1266,0))</f>
        <v/>
      </c>
      <c r="DF286">
        <f>INDEX('Data_Price '!AO$2:AO$1266,MATCH(Data!$DN286,'Data_Price '!$AT$2:$AT$1266,0))</f>
        <v/>
      </c>
      <c r="DG286">
        <f>INDEX('Data_Price '!AP$2:AP$1266,MATCH(Data!$DN286,'Data_Price '!$AT$2:$AT$1266,0))</f>
        <v/>
      </c>
      <c r="DH286">
        <f>INDEX('Data_Price '!AQ$2:AQ$1266,MATCH(Data!$DN286,'Data_Price '!$AT$2:$AT$1266,0))</f>
        <v/>
      </c>
      <c r="DI286">
        <f>INDEX('Data_Price '!AR$2:AR$1266,MATCH(Data!$DN286,'Data_Price '!$AT$2:$AT$1266,0))</f>
        <v/>
      </c>
      <c r="DJ286" s="138">
        <f>DA286</f>
        <v/>
      </c>
      <c r="DK286" s="138">
        <f>DE286</f>
        <v/>
      </c>
      <c r="DL286" s="138">
        <f>DI286</f>
        <v/>
      </c>
      <c r="DM286" s="303">
        <f>IF(LEFT(BT286,1)=" ",RIGHT(BT286,LEN(BT286)-1),BT286)</f>
        <v/>
      </c>
      <c r="DN286" s="138">
        <f>_xlfn.CONCAT(BS286,DM286,BU286,BV286)</f>
        <v/>
      </c>
      <c r="DO286" s="307" t="n"/>
    </row>
    <row r="287" ht="15.6" customHeight="1" s="184">
      <c r="B287" s="303">
        <f t="array" ref="B287">IF(OR(ISERROR(K287:P287)),FALSE,TRUE)</f>
        <v/>
      </c>
      <c r="C287" s="60">
        <f>OR(BR287=Driver!$G$50,Data!BR227=Driver!$H$50)</f>
        <v/>
      </c>
      <c r="D287" s="60">
        <f>OR(BV287=Driver!$G$51,BV287=Driver!$H$51)</f>
        <v/>
      </c>
      <c r="E287" s="60">
        <f>AND(BX287&gt;Driver!$F$54,BX287&lt;Driver!$G$54)</f>
        <v/>
      </c>
      <c r="F287" s="60">
        <f>CL287&gt;Driver!$F$56</f>
        <v/>
      </c>
      <c r="G287" s="60">
        <f>AND(CB287&gt;Driver!$F$55,CB287&lt;Driver!$G$55)</f>
        <v/>
      </c>
      <c r="H287" s="60">
        <f>AND(B287:G287)</f>
        <v/>
      </c>
      <c r="I287" s="60">
        <f>COUNTIFS($H$9:$H$1273,TRUE,$BT$9:$BT$1273,BT287)</f>
        <v/>
      </c>
      <c r="J287" s="60">
        <f t="array" ref="J287">NOT(OR(($H$9:$H$1273=TRUE)*($I$9:$I$1273&gt;0)*($BT$9:$BT$1273=BT287)*($K$9:$K$1273&gt;K287)))</f>
        <v/>
      </c>
      <c r="K287" s="108">
        <f>IFERROR(1-AVERAGE(X287:Y287),"")</f>
        <v/>
      </c>
      <c r="L287" s="108">
        <f>1-X287</f>
        <v/>
      </c>
      <c r="M287" s="108">
        <f>1-Y287</f>
        <v/>
      </c>
      <c r="N287" s="108">
        <f>1-Z287</f>
        <v/>
      </c>
      <c r="O287" s="108">
        <f>1-AA287</f>
        <v/>
      </c>
      <c r="P287" s="108">
        <f>1-AB287</f>
        <v/>
      </c>
      <c r="Q287" s="108" t="n"/>
      <c r="R287" s="108" t="n"/>
      <c r="S287" s="108">
        <f>1-AE287</f>
        <v/>
      </c>
      <c r="T287" s="108">
        <f>1-AF287</f>
        <v/>
      </c>
      <c r="U287" s="108">
        <f>1-AG287</f>
        <v/>
      </c>
      <c r="V287" s="108">
        <f>1-AH287</f>
        <v/>
      </c>
      <c r="W287" s="108">
        <f>1-AI287</f>
        <v/>
      </c>
      <c r="X287" s="108">
        <f>ABS(AJ287-AJ$1)</f>
        <v/>
      </c>
      <c r="Y287" s="108">
        <f>AVERAGE(Z287:AB287)</f>
        <v/>
      </c>
      <c r="Z287" s="108">
        <f>ABS(AL287-AL$1)</f>
        <v/>
      </c>
      <c r="AA287" s="108">
        <f>ABS(AM287-AM$1)</f>
        <v/>
      </c>
      <c r="AB287" s="108">
        <f>ABS(AN287-AN$1)</f>
        <v/>
      </c>
      <c r="AC287" s="108" t="n"/>
      <c r="AD287" s="108" t="n"/>
      <c r="AE287" s="108">
        <f>ABS(AQ$1-AQ287)</f>
        <v/>
      </c>
      <c r="AF287" s="108">
        <f>ABS(AR$1-AR287)</f>
        <v/>
      </c>
      <c r="AG287" s="108">
        <f>ABS(AS$1-AS287)</f>
        <v/>
      </c>
      <c r="AH287" s="108">
        <f>ABS(AT$1-AT287)</f>
        <v/>
      </c>
      <c r="AI287" s="108">
        <f>ABS(AU$1-AU287)</f>
        <v/>
      </c>
      <c r="AJ287" s="108">
        <f>(AV287-Driver!$K$179)/(Driver!$L$179-Driver!$K$179)</f>
        <v/>
      </c>
      <c r="AK287" s="108">
        <f>(AW287-Driver!$K$180)/(Driver!$L$180-Driver!$K$180)</f>
        <v/>
      </c>
      <c r="AL287" s="108">
        <f>(AX287-Driver!$K$181)/(Driver!$L$181-Driver!$K$181)</f>
        <v/>
      </c>
      <c r="AM287" s="108">
        <f>(AY287-Driver!$K$182)/(Driver!$L$182-Driver!$K$182)</f>
        <v/>
      </c>
      <c r="AN287" s="108">
        <f>(AZ287-Driver!$K$183)/(Driver!$L$183-Driver!$K$183)</f>
        <v/>
      </c>
      <c r="AO287" s="108" t="n"/>
      <c r="AP287" s="108" t="n"/>
      <c r="AQ287" s="108">
        <f>(BC287-Driver!$K$188)/(Driver!$L$188-Driver!$K$188)</f>
        <v/>
      </c>
      <c r="AR287" s="108">
        <f>MIN((BD287-Driver!$K$189)/(Driver!$L$189-Driver!$K$189),100%)</f>
        <v/>
      </c>
      <c r="AS287" s="108">
        <f>(BE287-Driver!$K$190)/(Driver!$L$190-Driver!$K$190)</f>
        <v/>
      </c>
      <c r="AT287" s="108">
        <f>(BF287-Driver!$K$191)/(Driver!$L$191-Driver!$K$191)</f>
        <v/>
      </c>
      <c r="AU287" s="108">
        <f>(BG287-Driver!$K$192)/(Driver!$L$192-Driver!$K$192)</f>
        <v/>
      </c>
      <c r="AV287" s="105">
        <f>IFERROR(BM287*BJ287^1/4,"")</f>
        <v/>
      </c>
      <c r="AW287" s="105">
        <f>IFERROR(SUM(AX287:AZ287),"")</f>
        <v/>
      </c>
      <c r="AX287" s="105">
        <f>IFERROR(BH287,"")</f>
        <v/>
      </c>
      <c r="AY287" s="105">
        <f>IFERROR(Driver!$K$19/Data!BH287/Data!BI287*Data!BK287*Data!BL287,"")</f>
        <v/>
      </c>
      <c r="AZ287" s="105">
        <f>IFERROR(BI287*BN287,"")</f>
        <v/>
      </c>
      <c r="BA287" s="105" t="n"/>
      <c r="BB287" s="105" t="n"/>
      <c r="BC287" s="105">
        <f>IFERROR(BI287*BN287*BK287/BJ287^(1/2),"")</f>
        <v/>
      </c>
      <c r="BD287" s="105">
        <f>IFERROR(BH287*BM287*BL287/BJ287/BK287,"")</f>
        <v/>
      </c>
      <c r="BE287" s="105">
        <f>IFERROR(MIN(BI287/BQ287/BP287/BO287/BH287,$BE$1),"")</f>
        <v/>
      </c>
      <c r="BF287" s="105">
        <f>IFERROR(BJ287*BO287*BP287/BK287,"")</f>
        <v/>
      </c>
      <c r="BG287" s="105">
        <f>IFERROR(1/BM287/BH287*BQ287,"")</f>
        <v/>
      </c>
      <c r="BH287" s="102">
        <f>MAX((CE287-Driver!$F$200)/(Driver!$G$200-Driver!$F$200)*$BI$1,1)</f>
        <v/>
      </c>
      <c r="BI287" s="102">
        <f>MAX($BI$1*(BY287-Driver!$F$201)/(Driver!$G$201-Driver!$F$201),1)</f>
        <v/>
      </c>
      <c r="BJ287" s="102">
        <f>(CB287-Driver!$F$206)/(Driver!$G$206-Driver!$F$206)*$BI$1</f>
        <v/>
      </c>
      <c r="BK287" s="102">
        <f>(CD287-Driver!$F$203)/(Driver!$G$203-Driver!$F$203)*$BI$1</f>
        <v/>
      </c>
      <c r="BL287" s="102">
        <f>MAX((CR287-Driver!$F$202)/(Driver!$G$202-Driver!$F$202)*$BI$1,1)</f>
        <v/>
      </c>
      <c r="BM287" s="102">
        <f>MAX((CH287-Driver!$F$204)/(Driver!$G$204-Driver!$F$204)*$BI$1,1)</f>
        <v/>
      </c>
      <c r="BN287" s="102">
        <f>(CI287-Driver!$F$205)/(Driver!$G$205-Driver!$F$205)*$BI$1</f>
        <v/>
      </c>
      <c r="BO287" s="102">
        <f>(CK287-Driver!$F$207)/(Driver!$G$207-Driver!$F$207)*$BI$1</f>
        <v/>
      </c>
      <c r="BP287" s="102">
        <f>(CM287-Driver!$F$208)/(Driver!$G$208-Driver!$F$208)*$BI$1</f>
        <v/>
      </c>
      <c r="BQ287" s="102">
        <f>(CL287-Driver!$F$209)/(Driver!$G$209-Driver!$F$209)*$BI$1</f>
        <v/>
      </c>
      <c r="BR287" s="40" t="inlineStr">
        <is>
          <t>21/22</t>
        </is>
      </c>
      <c r="BS287" s="10" t="inlineStr">
        <is>
          <t xml:space="preserve"> Black Crows</t>
        </is>
      </c>
      <c r="BT287" s="11" t="inlineStr">
        <is>
          <t xml:space="preserve"> Ferox Freebird</t>
        </is>
      </c>
      <c r="BU287" s="13" t="n">
        <v>186.2</v>
      </c>
      <c r="BV287" s="11" t="inlineStr">
        <is>
          <t xml:space="preserve"> Unisex</t>
        </is>
      </c>
      <c r="BW287" s="13" t="n">
        <v>186.2</v>
      </c>
      <c r="BX287" s="13" t="n">
        <v>184.6</v>
      </c>
      <c r="BY287" s="13" t="n">
        <v>136</v>
      </c>
      <c r="BZ287" s="13" t="n">
        <v>145</v>
      </c>
      <c r="CA287" s="13" t="n">
        <v>138</v>
      </c>
      <c r="CB287" s="13" t="n">
        <v>109</v>
      </c>
      <c r="CC287" s="13" t="n">
        <v>127</v>
      </c>
      <c r="CD287" s="13" t="n">
        <v>21.2</v>
      </c>
      <c r="CE287" s="13" t="n">
        <v>1964</v>
      </c>
      <c r="CF287" s="13" t="n">
        <v>1.11</v>
      </c>
      <c r="CG287" s="13" t="n">
        <v>2179</v>
      </c>
      <c r="CH287" s="13" t="n">
        <v>210</v>
      </c>
      <c r="CI287" s="13" t="n">
        <v>94</v>
      </c>
      <c r="CJ287" s="13" t="n">
        <v>42</v>
      </c>
      <c r="CK287" s="13" t="n">
        <v>195</v>
      </c>
      <c r="CL287" s="13" t="n">
        <v>39</v>
      </c>
      <c r="CM287" s="13" t="n">
        <v>293</v>
      </c>
      <c r="CN287" s="13" t="n">
        <v>0.928</v>
      </c>
      <c r="CO287" s="13" t="n">
        <v>220</v>
      </c>
      <c r="CP287" s="13" t="n">
        <v>174</v>
      </c>
      <c r="CQ287" s="13" t="n">
        <v>-25</v>
      </c>
      <c r="CR287" s="13" t="n">
        <v>3</v>
      </c>
      <c r="CS287" s="13" t="n">
        <v>8.199999999999999</v>
      </c>
      <c r="CT287" s="11" t="inlineStr">
        <is>
          <t xml:space="preserve"> Freeski</t>
        </is>
      </c>
      <c r="CU287" s="11" t="inlineStr">
        <is>
          <t xml:space="preserve"> Powder</t>
        </is>
      </c>
      <c r="CV287" s="11" t="inlineStr">
        <is>
          <t xml:space="preserve"> Touring</t>
        </is>
      </c>
      <c r="CW287" s="13" t="n"/>
      <c r="CX287">
        <f>INDEX('Data_Price '!AG$2:AG$1266,MATCH(Data!$DN287,'Data_Price '!$AT$2:$AT$1266,0))</f>
        <v/>
      </c>
      <c r="CY287">
        <f>INDEX('Data_Price '!AH$2:AH$1266,MATCH(Data!$DN287,'Data_Price '!$AT$2:$AT$1266,0))</f>
        <v/>
      </c>
      <c r="CZ287">
        <f>INDEX('Data_Price '!AI$2:AI$1266,MATCH(Data!$DN287,'Data_Price '!$AT$2:$AT$1266,0))</f>
        <v/>
      </c>
      <c r="DA287">
        <f>INDEX('Data_Price '!AJ$2:AJ$1266,MATCH(Data!$DN287,'Data_Price '!$AT$2:$AT$1266,0))</f>
        <v/>
      </c>
      <c r="DB287">
        <f>INDEX('Data_Price '!AK$2:AK$1266,MATCH(Data!$DN287,'Data_Price '!$AT$2:$AT$1266,0))</f>
        <v/>
      </c>
      <c r="DC287">
        <f>INDEX('Data_Price '!AL$2:AL$1266,MATCH(Data!$DN287,'Data_Price '!$AT$2:$AT$1266,0))</f>
        <v/>
      </c>
      <c r="DD287">
        <f>INDEX('Data_Price '!AM$2:AM$1266,MATCH(Data!$DN287,'Data_Price '!$AT$2:$AT$1266,0))</f>
        <v/>
      </c>
      <c r="DE287">
        <f>INDEX('Data_Price '!AN$2:AN$1266,MATCH(Data!$DN287,'Data_Price '!$AT$2:$AT$1266,0))</f>
        <v/>
      </c>
      <c r="DF287">
        <f>INDEX('Data_Price '!AO$2:AO$1266,MATCH(Data!$DN287,'Data_Price '!$AT$2:$AT$1266,0))</f>
        <v/>
      </c>
      <c r="DG287">
        <f>INDEX('Data_Price '!AP$2:AP$1266,MATCH(Data!$DN287,'Data_Price '!$AT$2:$AT$1266,0))</f>
        <v/>
      </c>
      <c r="DH287">
        <f>INDEX('Data_Price '!AQ$2:AQ$1266,MATCH(Data!$DN287,'Data_Price '!$AT$2:$AT$1266,0))</f>
        <v/>
      </c>
      <c r="DI287">
        <f>INDEX('Data_Price '!AR$2:AR$1266,MATCH(Data!$DN287,'Data_Price '!$AT$2:$AT$1266,0))</f>
        <v/>
      </c>
      <c r="DJ287" s="138">
        <f>DA287</f>
        <v/>
      </c>
      <c r="DK287" s="138">
        <f>DE287</f>
        <v/>
      </c>
      <c r="DL287" s="138">
        <f>DI287</f>
        <v/>
      </c>
      <c r="DM287" s="303">
        <f>IF(LEFT(BT287,1)=" ",RIGHT(BT287,LEN(BT287)-1),BT287)</f>
        <v/>
      </c>
      <c r="DN287" s="138">
        <f>_xlfn.CONCAT(BS287,DM287,BU287,BV287)</f>
        <v/>
      </c>
      <c r="DO287" s="307" t="inlineStr">
        <is>
          <t>https://images.evo.com/imgp/250/164660/659377/black-crows-ferox-freebird-skis-2022-.jpg</t>
        </is>
      </c>
    </row>
    <row r="288" ht="15.6" customHeight="1" s="184">
      <c r="B288" s="303">
        <f t="array" ref="B288">IF(OR(ISERROR(K288:P288)),FALSE,TRUE)</f>
        <v/>
      </c>
      <c r="C288" s="60">
        <f>OR(BR288=Driver!$G$50,Data!BR749=Driver!$H$50)</f>
        <v/>
      </c>
      <c r="D288" s="60">
        <f>OR(BV288=Driver!$G$51,BV288=Driver!$H$51)</f>
        <v/>
      </c>
      <c r="E288" s="60">
        <f>AND(BX288&gt;Driver!$F$54,BX288&lt;Driver!$G$54)</f>
        <v/>
      </c>
      <c r="F288" s="60">
        <f>CL288&gt;Driver!$F$56</f>
        <v/>
      </c>
      <c r="G288" s="60">
        <f>AND(CB288&gt;Driver!$F$55,CB288&lt;Driver!$G$55)</f>
        <v/>
      </c>
      <c r="H288" s="60">
        <f>AND(B288:G288)</f>
        <v/>
      </c>
      <c r="I288" s="60">
        <f>COUNTIFS($H$9:$H$1273,TRUE,$BT$9:$BT$1273,BT288)</f>
        <v/>
      </c>
      <c r="J288" s="60">
        <f t="array" ref="J288">NOT(OR(($H$9:$H$1273=TRUE)*($I$9:$I$1273&gt;0)*($BT$9:$BT$1273=BT288)*($K$9:$K$1273&gt;K288)))</f>
        <v/>
      </c>
      <c r="K288" s="108">
        <f>IFERROR(1-AVERAGE(X288:Y288),"")</f>
        <v/>
      </c>
      <c r="L288" s="108">
        <f>1-X288</f>
        <v/>
      </c>
      <c r="M288" s="108">
        <f>1-Y288</f>
        <v/>
      </c>
      <c r="N288" s="108">
        <f>1-Z288</f>
        <v/>
      </c>
      <c r="O288" s="108">
        <f>1-AA288</f>
        <v/>
      </c>
      <c r="P288" s="108">
        <f>1-AB288</f>
        <v/>
      </c>
      <c r="Q288" s="108" t="n"/>
      <c r="R288" s="108" t="n"/>
      <c r="S288" s="108">
        <f>1-AE288</f>
        <v/>
      </c>
      <c r="T288" s="108">
        <f>1-AF288</f>
        <v/>
      </c>
      <c r="U288" s="108">
        <f>1-AG288</f>
        <v/>
      </c>
      <c r="V288" s="108">
        <f>1-AH288</f>
        <v/>
      </c>
      <c r="W288" s="108">
        <f>1-AI288</f>
        <v/>
      </c>
      <c r="X288" s="108">
        <f>ABS(AJ288-AJ$1)</f>
        <v/>
      </c>
      <c r="Y288" s="108">
        <f>AVERAGE(Z288:AB288)</f>
        <v/>
      </c>
      <c r="Z288" s="108">
        <f>ABS(AL288-AL$1)</f>
        <v/>
      </c>
      <c r="AA288" s="108">
        <f>ABS(AM288-AM$1)</f>
        <v/>
      </c>
      <c r="AB288" s="108">
        <f>ABS(AN288-AN$1)</f>
        <v/>
      </c>
      <c r="AC288" s="108" t="n"/>
      <c r="AD288" s="108" t="n"/>
      <c r="AE288" s="108">
        <f>ABS(AQ$1-AQ288)</f>
        <v/>
      </c>
      <c r="AF288" s="108">
        <f>ABS(AR$1-AR288)</f>
        <v/>
      </c>
      <c r="AG288" s="108">
        <f>ABS(AS$1-AS288)</f>
        <v/>
      </c>
      <c r="AH288" s="108">
        <f>ABS(AT$1-AT288)</f>
        <v/>
      </c>
      <c r="AI288" s="108">
        <f>ABS(AU$1-AU288)</f>
        <v/>
      </c>
      <c r="AJ288" s="108">
        <f>(AV288-Driver!$K$179)/(Driver!$L$179-Driver!$K$179)</f>
        <v/>
      </c>
      <c r="AK288" s="108">
        <f>(AW288-Driver!$K$180)/(Driver!$L$180-Driver!$K$180)</f>
        <v/>
      </c>
      <c r="AL288" s="108">
        <f>(AX288-Driver!$K$181)/(Driver!$L$181-Driver!$K$181)</f>
        <v/>
      </c>
      <c r="AM288" s="108">
        <f>(AY288-Driver!$K$182)/(Driver!$L$182-Driver!$K$182)</f>
        <v/>
      </c>
      <c r="AN288" s="108">
        <f>(AZ288-Driver!$K$183)/(Driver!$L$183-Driver!$K$183)</f>
        <v/>
      </c>
      <c r="AO288" s="108" t="n"/>
      <c r="AP288" s="108" t="n"/>
      <c r="AQ288" s="108">
        <f>(BC288-Driver!$K$188)/(Driver!$L$188-Driver!$K$188)</f>
        <v/>
      </c>
      <c r="AR288" s="108">
        <f>MIN((BD288-Driver!$K$189)/(Driver!$L$189-Driver!$K$189),100%)</f>
        <v/>
      </c>
      <c r="AS288" s="108">
        <f>(BE288-Driver!$K$190)/(Driver!$L$190-Driver!$K$190)</f>
        <v/>
      </c>
      <c r="AT288" s="108">
        <f>(BF288-Driver!$K$191)/(Driver!$L$191-Driver!$K$191)</f>
        <v/>
      </c>
      <c r="AU288" s="108">
        <f>(BG288-Driver!$K$192)/(Driver!$L$192-Driver!$K$192)</f>
        <v/>
      </c>
      <c r="AV288" s="105">
        <f>IFERROR(BM288*BJ288^1/4,"")</f>
        <v/>
      </c>
      <c r="AW288" s="105">
        <f>IFERROR(SUM(AX288:AZ288),"")</f>
        <v/>
      </c>
      <c r="AX288" s="105">
        <f>IFERROR(BH288,"")</f>
        <v/>
      </c>
      <c r="AY288" s="105">
        <f>IFERROR(Driver!$K$19/Data!BH288/Data!BI288*Data!BK288*Data!BL288,"")</f>
        <v/>
      </c>
      <c r="AZ288" s="105">
        <f>IFERROR(BI288*BN288,"")</f>
        <v/>
      </c>
      <c r="BA288" s="105" t="n"/>
      <c r="BB288" s="105" t="n"/>
      <c r="BC288" s="105">
        <f>IFERROR(BI288*BN288*BK288/BJ288^(1/2),"")</f>
        <v/>
      </c>
      <c r="BD288" s="105">
        <f>IFERROR(BH288*BM288*BL288/BJ288/BK288,"")</f>
        <v/>
      </c>
      <c r="BE288" s="105">
        <f>IFERROR(MIN(BI288/BQ288/BP288/BO288/BH288,$BE$1),"")</f>
        <v/>
      </c>
      <c r="BF288" s="105">
        <f>IFERROR(BJ288*BO288*BP288/BK288,"")</f>
        <v/>
      </c>
      <c r="BG288" s="105">
        <f>IFERROR(1/BM288/BH288*BQ288,"")</f>
        <v/>
      </c>
      <c r="BH288" s="102">
        <f>MAX((CE288-Driver!$F$200)/(Driver!$G$200-Driver!$F$200)*$BI$1,1)</f>
        <v/>
      </c>
      <c r="BI288" s="102">
        <f>MAX($BI$1*(BY288-Driver!$F$201)/(Driver!$G$201-Driver!$F$201),1)</f>
        <v/>
      </c>
      <c r="BJ288" s="102">
        <f>(CB288-Driver!$F$206)/(Driver!$G$206-Driver!$F$206)*$BI$1</f>
        <v/>
      </c>
      <c r="BK288" s="102">
        <f>(CD288-Driver!$F$203)/(Driver!$G$203-Driver!$F$203)*$BI$1</f>
        <v/>
      </c>
      <c r="BL288" s="102">
        <f>MAX((CR288-Driver!$F$202)/(Driver!$G$202-Driver!$F$202)*$BI$1,1)</f>
        <v/>
      </c>
      <c r="BM288" s="102">
        <f>MAX((CH288-Driver!$F$204)/(Driver!$G$204-Driver!$F$204)*$BI$1,1)</f>
        <v/>
      </c>
      <c r="BN288" s="102">
        <f>(CI288-Driver!$F$205)/(Driver!$G$205-Driver!$F$205)*$BI$1</f>
        <v/>
      </c>
      <c r="BO288" s="102">
        <f>(CK288-Driver!$F$207)/(Driver!$G$207-Driver!$F$207)*$BI$1</f>
        <v/>
      </c>
      <c r="BP288" s="102">
        <f>(CM288-Driver!$F$208)/(Driver!$G$208-Driver!$F$208)*$BI$1</f>
        <v/>
      </c>
      <c r="BQ288" s="102">
        <f>(CL288-Driver!$F$209)/(Driver!$G$209-Driver!$F$209)*$BI$1</f>
        <v/>
      </c>
      <c r="BR288" s="40" t="inlineStr">
        <is>
          <t>21/22</t>
        </is>
      </c>
      <c r="BS288" s="10" t="inlineStr">
        <is>
          <t xml:space="preserve"> K2</t>
        </is>
      </c>
      <c r="BT288" s="11" t="inlineStr">
        <is>
          <t>Mindbender 98 Ti Alliance</t>
        </is>
      </c>
      <c r="BU288" s="13" t="n">
        <v>168</v>
      </c>
      <c r="BV288" s="11" t="inlineStr">
        <is>
          <t xml:space="preserve"> Women's</t>
        </is>
      </c>
      <c r="BW288" s="13" t="n">
        <v>168</v>
      </c>
      <c r="BX288" s="13" t="n">
        <v>167.8</v>
      </c>
      <c r="BY288" s="13" t="n">
        <v>119</v>
      </c>
      <c r="BZ288" s="13" t="n">
        <v>139</v>
      </c>
      <c r="CA288" s="13" t="n">
        <v>132</v>
      </c>
      <c r="CB288" s="13" t="n">
        <v>97</v>
      </c>
      <c r="CC288" s="13" t="n">
        <v>118</v>
      </c>
      <c r="CD288" s="13" t="n">
        <v>16.3</v>
      </c>
      <c r="CE288" s="13" t="n">
        <v>1803</v>
      </c>
      <c r="CF288" s="13" t="n">
        <v>1.01</v>
      </c>
      <c r="CG288" s="13" t="n">
        <v>1823</v>
      </c>
      <c r="CH288" s="13" t="n">
        <v>169</v>
      </c>
      <c r="CI288" s="13" t="n">
        <v>106</v>
      </c>
      <c r="CJ288" s="13" t="n">
        <v>51</v>
      </c>
      <c r="CK288" s="13" t="n">
        <v>294</v>
      </c>
      <c r="CL288" s="13" t="n">
        <v>19</v>
      </c>
      <c r="CM288" s="13" t="n">
        <v>197</v>
      </c>
      <c r="CN288" s="13" t="n">
        <v>0.374</v>
      </c>
      <c r="CO288" s="13" t="n">
        <v>157</v>
      </c>
      <c r="CP288" s="13" t="n">
        <v>128</v>
      </c>
      <c r="CQ288" s="13" t="n">
        <v>137</v>
      </c>
      <c r="CR288" s="13" t="n">
        <v>7</v>
      </c>
      <c r="CS288" s="13" t="n">
        <v>10.3</v>
      </c>
      <c r="CT288" s="11" t="inlineStr">
        <is>
          <t xml:space="preserve"> Resort Freeride</t>
        </is>
      </c>
      <c r="CU288" s="13" t="n"/>
      <c r="CV288" s="13" t="n"/>
      <c r="CW288" s="13" t="n"/>
      <c r="CX288">
        <f>INDEX('Data_Price '!AG$2:AG$1266,MATCH(Data!$DN288,'Data_Price '!$AT$2:$AT$1266,0))</f>
        <v/>
      </c>
      <c r="CY288">
        <f>INDEX('Data_Price '!AH$2:AH$1266,MATCH(Data!$DN288,'Data_Price '!$AT$2:$AT$1266,0))</f>
        <v/>
      </c>
      <c r="CZ288">
        <f>INDEX('Data_Price '!AI$2:AI$1266,MATCH(Data!$DN288,'Data_Price '!$AT$2:$AT$1266,0))</f>
        <v/>
      </c>
      <c r="DA288">
        <f>INDEX('Data_Price '!AJ$2:AJ$1266,MATCH(Data!$DN288,'Data_Price '!$AT$2:$AT$1266,0))</f>
        <v/>
      </c>
      <c r="DB288">
        <f>INDEX('Data_Price '!AK$2:AK$1266,MATCH(Data!$DN288,'Data_Price '!$AT$2:$AT$1266,0))</f>
        <v/>
      </c>
      <c r="DC288">
        <f>INDEX('Data_Price '!AL$2:AL$1266,MATCH(Data!$DN288,'Data_Price '!$AT$2:$AT$1266,0))</f>
        <v/>
      </c>
      <c r="DD288">
        <f>INDEX('Data_Price '!AM$2:AM$1266,MATCH(Data!$DN288,'Data_Price '!$AT$2:$AT$1266,0))</f>
        <v/>
      </c>
      <c r="DE288">
        <f>INDEX('Data_Price '!AN$2:AN$1266,MATCH(Data!$DN288,'Data_Price '!$AT$2:$AT$1266,0))</f>
        <v/>
      </c>
      <c r="DF288">
        <f>INDEX('Data_Price '!AO$2:AO$1266,MATCH(Data!$DN288,'Data_Price '!$AT$2:$AT$1266,0))</f>
        <v/>
      </c>
      <c r="DG288">
        <f>INDEX('Data_Price '!AP$2:AP$1266,MATCH(Data!$DN288,'Data_Price '!$AT$2:$AT$1266,0))</f>
        <v/>
      </c>
      <c r="DH288">
        <f>INDEX('Data_Price '!AQ$2:AQ$1266,MATCH(Data!$DN288,'Data_Price '!$AT$2:$AT$1266,0))</f>
        <v/>
      </c>
      <c r="DI288">
        <f>INDEX('Data_Price '!AR$2:AR$1266,MATCH(Data!$DN288,'Data_Price '!$AT$2:$AT$1266,0))</f>
        <v/>
      </c>
      <c r="DJ288" s="138">
        <f>DA288</f>
        <v/>
      </c>
      <c r="DK288" s="138">
        <f>DE288</f>
        <v/>
      </c>
      <c r="DL288" s="138">
        <f>DI288</f>
        <v/>
      </c>
      <c r="DM288" s="303">
        <f>IF(LEFT(BT288,1)=" ",RIGHT(BT288,LEN(BT288)-1),BT288)</f>
        <v/>
      </c>
      <c r="DN288" s="138">
        <f>_xlfn.CONCAT(BS288,DM288,BU288,BV288)</f>
        <v/>
      </c>
      <c r="DO288" s="307" t="n"/>
    </row>
    <row r="289" ht="15.6" customHeight="1" s="184">
      <c r="B289" s="303">
        <f t="array" ref="B289">IF(OR(ISERROR(K289:P289)),FALSE,TRUE)</f>
        <v/>
      </c>
      <c r="C289" s="60">
        <f>OR(BR289=Driver!$G$50,Data!BR757=Driver!$H$50)</f>
        <v/>
      </c>
      <c r="D289" s="60">
        <f>OR(BV289=Driver!$G$51,BV289=Driver!$H$51)</f>
        <v/>
      </c>
      <c r="E289" s="60">
        <f>AND(BX289&gt;Driver!$F$54,BX289&lt;Driver!$G$54)</f>
        <v/>
      </c>
      <c r="F289" s="60">
        <f>CL289&gt;Driver!$F$56</f>
        <v/>
      </c>
      <c r="G289" s="60">
        <f>AND(CB289&gt;Driver!$F$55,CB289&lt;Driver!$G$55)</f>
        <v/>
      </c>
      <c r="H289" s="60">
        <f>AND(B289:G289)</f>
        <v/>
      </c>
      <c r="I289" s="60">
        <f>COUNTIFS($H$9:$H$1273,TRUE,$BT$9:$BT$1273,BT289)</f>
        <v/>
      </c>
      <c r="J289" s="60">
        <f t="array" ref="J289">NOT(OR(($H$9:$H$1273=TRUE)*($I$9:$I$1273&gt;0)*($BT$9:$BT$1273=BT289)*($K$9:$K$1273&gt;K289)))</f>
        <v/>
      </c>
      <c r="K289" s="108">
        <f>IFERROR(1-AVERAGE(X289:Y289),"")</f>
        <v/>
      </c>
      <c r="L289" s="108">
        <f>1-X289</f>
        <v/>
      </c>
      <c r="M289" s="108">
        <f>1-Y289</f>
        <v/>
      </c>
      <c r="N289" s="108">
        <f>1-Z289</f>
        <v/>
      </c>
      <c r="O289" s="108">
        <f>1-AA289</f>
        <v/>
      </c>
      <c r="P289" s="108">
        <f>1-AB289</f>
        <v/>
      </c>
      <c r="Q289" s="108" t="n"/>
      <c r="R289" s="108" t="n"/>
      <c r="S289" s="108">
        <f>1-AE289</f>
        <v/>
      </c>
      <c r="T289" s="108">
        <f>1-AF289</f>
        <v/>
      </c>
      <c r="U289" s="108">
        <f>1-AG289</f>
        <v/>
      </c>
      <c r="V289" s="108">
        <f>1-AH289</f>
        <v/>
      </c>
      <c r="W289" s="108">
        <f>1-AI289</f>
        <v/>
      </c>
      <c r="X289" s="108">
        <f>ABS(AJ289-AJ$1)</f>
        <v/>
      </c>
      <c r="Y289" s="108">
        <f>AVERAGE(Z289:AB289)</f>
        <v/>
      </c>
      <c r="Z289" s="108">
        <f>ABS(AL289-AL$1)</f>
        <v/>
      </c>
      <c r="AA289" s="108">
        <f>ABS(AM289-AM$1)</f>
        <v/>
      </c>
      <c r="AB289" s="108">
        <f>ABS(AN289-AN$1)</f>
        <v/>
      </c>
      <c r="AC289" s="108" t="n"/>
      <c r="AD289" s="108" t="n"/>
      <c r="AE289" s="108">
        <f>ABS(AQ$1-AQ289)</f>
        <v/>
      </c>
      <c r="AF289" s="108">
        <f>ABS(AR$1-AR289)</f>
        <v/>
      </c>
      <c r="AG289" s="108">
        <f>ABS(AS$1-AS289)</f>
        <v/>
      </c>
      <c r="AH289" s="108">
        <f>ABS(AT$1-AT289)</f>
        <v/>
      </c>
      <c r="AI289" s="108">
        <f>ABS(AU$1-AU289)</f>
        <v/>
      </c>
      <c r="AJ289" s="108">
        <f>(AV289-Driver!$K$179)/(Driver!$L$179-Driver!$K$179)</f>
        <v/>
      </c>
      <c r="AK289" s="108">
        <f>(AW289-Driver!$K$180)/(Driver!$L$180-Driver!$K$180)</f>
        <v/>
      </c>
      <c r="AL289" s="108">
        <f>(AX289-Driver!$K$181)/(Driver!$L$181-Driver!$K$181)</f>
        <v/>
      </c>
      <c r="AM289" s="108">
        <f>(AY289-Driver!$K$182)/(Driver!$L$182-Driver!$K$182)</f>
        <v/>
      </c>
      <c r="AN289" s="108">
        <f>(AZ289-Driver!$K$183)/(Driver!$L$183-Driver!$K$183)</f>
        <v/>
      </c>
      <c r="AO289" s="108" t="n"/>
      <c r="AP289" s="108" t="n"/>
      <c r="AQ289" s="108">
        <f>(BC289-Driver!$K$188)/(Driver!$L$188-Driver!$K$188)</f>
        <v/>
      </c>
      <c r="AR289" s="108">
        <f>MIN((BD289-Driver!$K$189)/(Driver!$L$189-Driver!$K$189),100%)</f>
        <v/>
      </c>
      <c r="AS289" s="108">
        <f>(BE289-Driver!$K$190)/(Driver!$L$190-Driver!$K$190)</f>
        <v/>
      </c>
      <c r="AT289" s="108">
        <f>(BF289-Driver!$K$191)/(Driver!$L$191-Driver!$K$191)</f>
        <v/>
      </c>
      <c r="AU289" s="108">
        <f>(BG289-Driver!$K$192)/(Driver!$L$192-Driver!$K$192)</f>
        <v/>
      </c>
      <c r="AV289" s="105">
        <f>IFERROR(BM289*BJ289^1/4,"")</f>
        <v/>
      </c>
      <c r="AW289" s="105">
        <f>IFERROR(SUM(AX289:AZ289),"")</f>
        <v/>
      </c>
      <c r="AX289" s="105">
        <f>IFERROR(BH289,"")</f>
        <v/>
      </c>
      <c r="AY289" s="105">
        <f>IFERROR(Driver!$K$19/Data!BH289/Data!BI289*Data!BK289*Data!BL289,"")</f>
        <v/>
      </c>
      <c r="AZ289" s="105">
        <f>IFERROR(BI289*BN289,"")</f>
        <v/>
      </c>
      <c r="BA289" s="105" t="n"/>
      <c r="BB289" s="105" t="n"/>
      <c r="BC289" s="105">
        <f>IFERROR(BI289*BN289*BK289/BJ289^(1/2),"")</f>
        <v/>
      </c>
      <c r="BD289" s="105">
        <f>IFERROR(BH289*BM289*BL289/BJ289/BK289,"")</f>
        <v/>
      </c>
      <c r="BE289" s="105">
        <f>IFERROR(MIN(BI289/BQ289/BP289/BO289/BH289,$BE$1),"")</f>
        <v/>
      </c>
      <c r="BF289" s="105">
        <f>IFERROR(BJ289*BO289*BP289/BK289,"")</f>
        <v/>
      </c>
      <c r="BG289" s="105">
        <f>IFERROR(1/BM289/BH289*BQ289,"")</f>
        <v/>
      </c>
      <c r="BH289" s="102">
        <f>MAX((CE289-Driver!$F$200)/(Driver!$G$200-Driver!$F$200)*$BI$1,1)</f>
        <v/>
      </c>
      <c r="BI289" s="102">
        <f>MAX($BI$1*(BY289-Driver!$F$201)/(Driver!$G$201-Driver!$F$201),1)</f>
        <v/>
      </c>
      <c r="BJ289" s="102">
        <f>(CB289-Driver!$F$206)/(Driver!$G$206-Driver!$F$206)*$BI$1</f>
        <v/>
      </c>
      <c r="BK289" s="102">
        <f>(CD289-Driver!$F$203)/(Driver!$G$203-Driver!$F$203)*$BI$1</f>
        <v/>
      </c>
      <c r="BL289" s="102">
        <f>MAX((CR289-Driver!$F$202)/(Driver!$G$202-Driver!$F$202)*$BI$1,1)</f>
        <v/>
      </c>
      <c r="BM289" s="102">
        <f>MAX((CH289-Driver!$F$204)/(Driver!$G$204-Driver!$F$204)*$BI$1,1)</f>
        <v/>
      </c>
      <c r="BN289" s="102">
        <f>(CI289-Driver!$F$205)/(Driver!$G$205-Driver!$F$205)*$BI$1</f>
        <v/>
      </c>
      <c r="BO289" s="102">
        <f>(CK289-Driver!$F$207)/(Driver!$G$207-Driver!$F$207)*$BI$1</f>
        <v/>
      </c>
      <c r="BP289" s="102">
        <f>(CM289-Driver!$F$208)/(Driver!$G$208-Driver!$F$208)*$BI$1</f>
        <v/>
      </c>
      <c r="BQ289" s="102">
        <f>(CL289-Driver!$F$209)/(Driver!$G$209-Driver!$F$209)*$BI$1</f>
        <v/>
      </c>
      <c r="BR289" s="40" t="inlineStr">
        <is>
          <t>21/22</t>
        </is>
      </c>
      <c r="BS289" s="10" t="inlineStr">
        <is>
          <t xml:space="preserve"> K2</t>
        </is>
      </c>
      <c r="BT289" s="11" t="inlineStr">
        <is>
          <t xml:space="preserve"> Poacher</t>
        </is>
      </c>
      <c r="BU289" s="13" t="n">
        <v>170</v>
      </c>
      <c r="BV289" s="11" t="inlineStr">
        <is>
          <t xml:space="preserve"> Unisex</t>
        </is>
      </c>
      <c r="BW289" s="13" t="n">
        <v>170</v>
      </c>
      <c r="BX289" s="13" t="n">
        <v>168.2</v>
      </c>
      <c r="BY289" s="13" t="n">
        <v>97</v>
      </c>
      <c r="BZ289" s="13" t="n">
        <v>131</v>
      </c>
      <c r="CA289" s="13" t="n">
        <v>123</v>
      </c>
      <c r="CB289" s="13" t="n">
        <v>95</v>
      </c>
      <c r="CC289" s="13" t="n">
        <v>117</v>
      </c>
      <c r="CD289" s="13" t="n">
        <v>15.4</v>
      </c>
      <c r="CE289" s="13" t="n">
        <v>1935</v>
      </c>
      <c r="CF289" s="13" t="n">
        <v>0.91</v>
      </c>
      <c r="CG289" s="13" t="n">
        <v>1769</v>
      </c>
      <c r="CH289" s="13" t="n">
        <v>202</v>
      </c>
      <c r="CI289" s="13" t="n">
        <v>104</v>
      </c>
      <c r="CJ289" s="13" t="n">
        <v>43</v>
      </c>
      <c r="CK289" s="13" t="n">
        <v>368</v>
      </c>
      <c r="CL289" s="13" t="n">
        <v>42</v>
      </c>
      <c r="CM289" s="13" t="n">
        <v>340</v>
      </c>
      <c r="CN289" s="13" t="n">
        <v>0.984</v>
      </c>
      <c r="CO289" s="13" t="n">
        <v>188</v>
      </c>
      <c r="CP289" s="13" t="n">
        <v>185</v>
      </c>
      <c r="CQ289" s="13" t="n">
        <v>180</v>
      </c>
      <c r="CR289" s="13" t="n">
        <v>5</v>
      </c>
      <c r="CS289" s="13" t="n">
        <v>5.3</v>
      </c>
      <c r="CT289" s="11" t="inlineStr">
        <is>
          <t xml:space="preserve"> Freeski</t>
        </is>
      </c>
      <c r="CU289" s="13" t="n"/>
      <c r="CV289" s="13" t="n"/>
      <c r="CW289" s="13" t="n"/>
      <c r="CX289">
        <f>INDEX('Data_Price '!AG$2:AG$1266,MATCH(Data!$DN289,'Data_Price '!$AT$2:$AT$1266,0))</f>
        <v/>
      </c>
      <c r="CY289">
        <f>INDEX('Data_Price '!AH$2:AH$1266,MATCH(Data!$DN289,'Data_Price '!$AT$2:$AT$1266,0))</f>
        <v/>
      </c>
      <c r="CZ289">
        <f>INDEX('Data_Price '!AI$2:AI$1266,MATCH(Data!$DN289,'Data_Price '!$AT$2:$AT$1266,0))</f>
        <v/>
      </c>
      <c r="DA289">
        <f>INDEX('Data_Price '!AJ$2:AJ$1266,MATCH(Data!$DN289,'Data_Price '!$AT$2:$AT$1266,0))</f>
        <v/>
      </c>
      <c r="DB289">
        <f>INDEX('Data_Price '!AK$2:AK$1266,MATCH(Data!$DN289,'Data_Price '!$AT$2:$AT$1266,0))</f>
        <v/>
      </c>
      <c r="DC289">
        <f>INDEX('Data_Price '!AL$2:AL$1266,MATCH(Data!$DN289,'Data_Price '!$AT$2:$AT$1266,0))</f>
        <v/>
      </c>
      <c r="DD289">
        <f>INDEX('Data_Price '!AM$2:AM$1266,MATCH(Data!$DN289,'Data_Price '!$AT$2:$AT$1266,0))</f>
        <v/>
      </c>
      <c r="DE289">
        <f>INDEX('Data_Price '!AN$2:AN$1266,MATCH(Data!$DN289,'Data_Price '!$AT$2:$AT$1266,0))</f>
        <v/>
      </c>
      <c r="DF289">
        <f>INDEX('Data_Price '!AO$2:AO$1266,MATCH(Data!$DN289,'Data_Price '!$AT$2:$AT$1266,0))</f>
        <v/>
      </c>
      <c r="DG289">
        <f>INDEX('Data_Price '!AP$2:AP$1266,MATCH(Data!$DN289,'Data_Price '!$AT$2:$AT$1266,0))</f>
        <v/>
      </c>
      <c r="DH289">
        <f>INDEX('Data_Price '!AQ$2:AQ$1266,MATCH(Data!$DN289,'Data_Price '!$AT$2:$AT$1266,0))</f>
        <v/>
      </c>
      <c r="DI289">
        <f>INDEX('Data_Price '!AR$2:AR$1266,MATCH(Data!$DN289,'Data_Price '!$AT$2:$AT$1266,0))</f>
        <v/>
      </c>
      <c r="DJ289" s="138">
        <f>DA289</f>
        <v/>
      </c>
      <c r="DK289" s="138">
        <f>DE289</f>
        <v/>
      </c>
      <c r="DL289" s="138">
        <f>DI289</f>
        <v/>
      </c>
      <c r="DM289" s="303">
        <f>IF(LEFT(BT289,1)=" ",RIGHT(BT289,LEN(BT289)-1),BT289)</f>
        <v/>
      </c>
      <c r="DN289" s="138">
        <f>_xlfn.CONCAT(BS289,DM289,BU289,BV289)</f>
        <v/>
      </c>
      <c r="DO289" s="307" t="inlineStr">
        <is>
          <t>https://images.evo.com/imgp/250/201070/825034/k2-poacher-skis-2022-.jpg</t>
        </is>
      </c>
    </row>
    <row r="290" ht="15.6" customHeight="1" s="184">
      <c r="B290" s="303">
        <f t="array" ref="B290">IF(OR(ISERROR(K290:P290)),FALSE,TRUE)</f>
        <v/>
      </c>
      <c r="C290" s="60">
        <f>OR(BR290=Driver!$G$50,Data!BR984=Driver!$H$50)</f>
        <v/>
      </c>
      <c r="D290" s="60">
        <f>OR(BV290=Driver!$G$51,BV290=Driver!$H$51)</f>
        <v/>
      </c>
      <c r="E290" s="60">
        <f>AND(BX290&gt;Driver!$F$54,BX290&lt;Driver!$G$54)</f>
        <v/>
      </c>
      <c r="F290" s="60">
        <f>CL290&gt;Driver!$F$56</f>
        <v/>
      </c>
      <c r="G290" s="60">
        <f>AND(CB290&gt;Driver!$F$55,CB290&lt;Driver!$G$55)</f>
        <v/>
      </c>
      <c r="H290" s="60">
        <f>AND(B290:G290)</f>
        <v/>
      </c>
      <c r="I290" s="60">
        <f>COUNTIFS($H$9:$H$1273,TRUE,$BT$9:$BT$1273,BT290)</f>
        <v/>
      </c>
      <c r="J290" s="60">
        <f t="array" ref="J290">NOT(OR(($H$9:$H$1273=TRUE)*($I$9:$I$1273&gt;0)*($BT$9:$BT$1273=BT290)*($K$9:$K$1273&gt;K290)))</f>
        <v/>
      </c>
      <c r="K290" s="108">
        <f>IFERROR(1-AVERAGE(X290:Y290),"")</f>
        <v/>
      </c>
      <c r="L290" s="108">
        <f>1-X290</f>
        <v/>
      </c>
      <c r="M290" s="108">
        <f>1-Y290</f>
        <v/>
      </c>
      <c r="N290" s="108">
        <f>1-Z290</f>
        <v/>
      </c>
      <c r="O290" s="108">
        <f>1-AA290</f>
        <v/>
      </c>
      <c r="P290" s="108">
        <f>1-AB290</f>
        <v/>
      </c>
      <c r="Q290" s="108" t="n"/>
      <c r="R290" s="108" t="n"/>
      <c r="S290" s="108">
        <f>1-AE290</f>
        <v/>
      </c>
      <c r="T290" s="108">
        <f>1-AF290</f>
        <v/>
      </c>
      <c r="U290" s="108">
        <f>1-AG290</f>
        <v/>
      </c>
      <c r="V290" s="108">
        <f>1-AH290</f>
        <v/>
      </c>
      <c r="W290" s="108">
        <f>1-AI290</f>
        <v/>
      </c>
      <c r="X290" s="108">
        <f>ABS(AJ290-AJ$1)</f>
        <v/>
      </c>
      <c r="Y290" s="108">
        <f>AVERAGE(Z290:AB290)</f>
        <v/>
      </c>
      <c r="Z290" s="108">
        <f>ABS(AL290-AL$1)</f>
        <v/>
      </c>
      <c r="AA290" s="108">
        <f>ABS(AM290-AM$1)</f>
        <v/>
      </c>
      <c r="AB290" s="108">
        <f>ABS(AN290-AN$1)</f>
        <v/>
      </c>
      <c r="AC290" s="108" t="n"/>
      <c r="AD290" s="108" t="n"/>
      <c r="AE290" s="108">
        <f>ABS(AQ$1-AQ290)</f>
        <v/>
      </c>
      <c r="AF290" s="108">
        <f>ABS(AR$1-AR290)</f>
        <v/>
      </c>
      <c r="AG290" s="108">
        <f>ABS(AS$1-AS290)</f>
        <v/>
      </c>
      <c r="AH290" s="108">
        <f>ABS(AT$1-AT290)</f>
        <v/>
      </c>
      <c r="AI290" s="108">
        <f>ABS(AU$1-AU290)</f>
        <v/>
      </c>
      <c r="AJ290" s="108">
        <f>(AV290-Driver!$K$179)/(Driver!$L$179-Driver!$K$179)</f>
        <v/>
      </c>
      <c r="AK290" s="108">
        <f>(AW290-Driver!$K$180)/(Driver!$L$180-Driver!$K$180)</f>
        <v/>
      </c>
      <c r="AL290" s="108">
        <f>(AX290-Driver!$K$181)/(Driver!$L$181-Driver!$K$181)</f>
        <v/>
      </c>
      <c r="AM290" s="108">
        <f>(AY290-Driver!$K$182)/(Driver!$L$182-Driver!$K$182)</f>
        <v/>
      </c>
      <c r="AN290" s="108">
        <f>(AZ290-Driver!$K$183)/(Driver!$L$183-Driver!$K$183)</f>
        <v/>
      </c>
      <c r="AO290" s="108" t="n"/>
      <c r="AP290" s="108" t="n"/>
      <c r="AQ290" s="108">
        <f>(BC290-Driver!$K$188)/(Driver!$L$188-Driver!$K$188)</f>
        <v/>
      </c>
      <c r="AR290" s="108">
        <f>MIN((BD290-Driver!$K$189)/(Driver!$L$189-Driver!$K$189),100%)</f>
        <v/>
      </c>
      <c r="AS290" s="108">
        <f>(BE290-Driver!$K$190)/(Driver!$L$190-Driver!$K$190)</f>
        <v/>
      </c>
      <c r="AT290" s="108">
        <f>(BF290-Driver!$K$191)/(Driver!$L$191-Driver!$K$191)</f>
        <v/>
      </c>
      <c r="AU290" s="108">
        <f>(BG290-Driver!$K$192)/(Driver!$L$192-Driver!$K$192)</f>
        <v/>
      </c>
      <c r="AV290" s="105">
        <f>IFERROR(BM290*BJ290^1/4,"")</f>
        <v/>
      </c>
      <c r="AW290" s="105">
        <f>IFERROR(SUM(AX290:AZ290),"")</f>
        <v/>
      </c>
      <c r="AX290" s="105">
        <f>IFERROR(BH290,"")</f>
        <v/>
      </c>
      <c r="AY290" s="105">
        <f>IFERROR(Driver!$K$19/Data!BH290/Data!BI290*Data!BK290*Data!BL290,"")</f>
        <v/>
      </c>
      <c r="AZ290" s="105">
        <f>IFERROR(BI290*BN290,"")</f>
        <v/>
      </c>
      <c r="BA290" s="105" t="n"/>
      <c r="BB290" s="105" t="n"/>
      <c r="BC290" s="105">
        <f>IFERROR(BI290*BN290*BK290/BJ290^(1/2),"")</f>
        <v/>
      </c>
      <c r="BD290" s="105">
        <f>IFERROR(BH290*BM290*BL290/BJ290/BK290,"")</f>
        <v/>
      </c>
      <c r="BE290" s="105">
        <f>IFERROR(MIN(BI290/BQ290/BP290/BO290/BH290,$BE$1),"")</f>
        <v/>
      </c>
      <c r="BF290" s="105">
        <f>IFERROR(BJ290*BO290*BP290/BK290,"")</f>
        <v/>
      </c>
      <c r="BG290" s="105">
        <f>IFERROR(1/BM290/BH290*BQ290,"")</f>
        <v/>
      </c>
      <c r="BH290" s="102">
        <f>MAX((CE290-Driver!$F$200)/(Driver!$G$200-Driver!$F$200)*$BI$1,1)</f>
        <v/>
      </c>
      <c r="BI290" s="102">
        <f>MAX($BI$1*(BY290-Driver!$F$201)/(Driver!$G$201-Driver!$F$201),1)</f>
        <v/>
      </c>
      <c r="BJ290" s="102">
        <f>(CB290-Driver!$F$206)/(Driver!$G$206-Driver!$F$206)*$BI$1</f>
        <v/>
      </c>
      <c r="BK290" s="102">
        <f>(CD290-Driver!$F$203)/(Driver!$G$203-Driver!$F$203)*$BI$1</f>
        <v/>
      </c>
      <c r="BL290" s="102">
        <f>MAX((CR290-Driver!$F$202)/(Driver!$G$202-Driver!$F$202)*$BI$1,1)</f>
        <v/>
      </c>
      <c r="BM290" s="102">
        <f>MAX((CH290-Driver!$F$204)/(Driver!$G$204-Driver!$F$204)*$BI$1,1)</f>
        <v/>
      </c>
      <c r="BN290" s="102">
        <f>(CI290-Driver!$F$205)/(Driver!$G$205-Driver!$F$205)*$BI$1</f>
        <v/>
      </c>
      <c r="BO290" s="102">
        <f>(CK290-Driver!$F$207)/(Driver!$G$207-Driver!$F$207)*$BI$1</f>
        <v/>
      </c>
      <c r="BP290" s="102">
        <f>(CM290-Driver!$F$208)/(Driver!$G$208-Driver!$F$208)*$BI$1</f>
        <v/>
      </c>
      <c r="BQ290" s="102">
        <f>(CL290-Driver!$F$209)/(Driver!$G$209-Driver!$F$209)*$BI$1</f>
        <v/>
      </c>
      <c r="BR290" s="40" t="inlineStr">
        <is>
          <t>21/22</t>
        </is>
      </c>
      <c r="BS290" s="10" t="inlineStr">
        <is>
          <t xml:space="preserve"> Rossignol</t>
        </is>
      </c>
      <c r="BT290" s="11" t="inlineStr">
        <is>
          <t xml:space="preserve"> Blackops Sender</t>
        </is>
      </c>
      <c r="BU290" s="13" t="n">
        <v>164</v>
      </c>
      <c r="BV290" s="11" t="inlineStr">
        <is>
          <t xml:space="preserve"> Unisex</t>
        </is>
      </c>
      <c r="BW290" s="13" t="n">
        <v>164</v>
      </c>
      <c r="BX290" s="13" t="n">
        <v>162.6</v>
      </c>
      <c r="BY290" s="13" t="n">
        <v>113</v>
      </c>
      <c r="BZ290" s="13" t="n">
        <v>137</v>
      </c>
      <c r="CA290" s="13" t="n">
        <v>137</v>
      </c>
      <c r="CB290" s="13" t="n">
        <v>100</v>
      </c>
      <c r="CC290" s="13" t="n">
        <v>127</v>
      </c>
      <c r="CD290" s="13" t="n">
        <v>12.9</v>
      </c>
      <c r="CE290" s="13" t="n">
        <v>1700</v>
      </c>
      <c r="CF290" s="13" t="n">
        <v>1.08</v>
      </c>
      <c r="CG290" s="13" t="n">
        <v>1839</v>
      </c>
      <c r="CH290" s="13" t="n">
        <v>201</v>
      </c>
      <c r="CI290" s="13" t="n">
        <v>91</v>
      </c>
      <c r="CJ290" s="13" t="n">
        <v>48</v>
      </c>
      <c r="CK290" s="13" t="n">
        <v>291</v>
      </c>
      <c r="CL290" s="13" t="n">
        <v>13</v>
      </c>
      <c r="CM290" s="13" t="n">
        <v>207</v>
      </c>
      <c r="CN290" s="13" t="n">
        <v>0.282</v>
      </c>
      <c r="CO290" s="13" t="n">
        <v>143</v>
      </c>
      <c r="CP290" s="13" t="n">
        <v>113</v>
      </c>
      <c r="CQ290" s="13" t="n">
        <v>148</v>
      </c>
      <c r="CR290" s="13" t="n">
        <v>6</v>
      </c>
      <c r="CS290" s="13" t="n">
        <v>5.9</v>
      </c>
      <c r="CT290" s="11" t="inlineStr">
        <is>
          <t xml:space="preserve"> Resort Freeride</t>
        </is>
      </c>
      <c r="CU290" s="11" t="inlineStr">
        <is>
          <t xml:space="preserve"> Big Mountain</t>
        </is>
      </c>
      <c r="CV290" s="11" t="inlineStr">
        <is>
          <t xml:space="preserve"> Touring</t>
        </is>
      </c>
      <c r="CW290" s="13" t="n"/>
      <c r="CX290">
        <f>INDEX('Data_Price '!AG$2:AG$1266,MATCH(Data!$DN290,'Data_Price '!$AT$2:$AT$1266,0))</f>
        <v/>
      </c>
      <c r="CY290">
        <f>INDEX('Data_Price '!AH$2:AH$1266,MATCH(Data!$DN290,'Data_Price '!$AT$2:$AT$1266,0))</f>
        <v/>
      </c>
      <c r="CZ290">
        <f>INDEX('Data_Price '!AI$2:AI$1266,MATCH(Data!$DN290,'Data_Price '!$AT$2:$AT$1266,0))</f>
        <v/>
      </c>
      <c r="DA290">
        <f>INDEX('Data_Price '!AJ$2:AJ$1266,MATCH(Data!$DN290,'Data_Price '!$AT$2:$AT$1266,0))</f>
        <v/>
      </c>
      <c r="DB290">
        <f>INDEX('Data_Price '!AK$2:AK$1266,MATCH(Data!$DN290,'Data_Price '!$AT$2:$AT$1266,0))</f>
        <v/>
      </c>
      <c r="DC290">
        <f>INDEX('Data_Price '!AL$2:AL$1266,MATCH(Data!$DN290,'Data_Price '!$AT$2:$AT$1266,0))</f>
        <v/>
      </c>
      <c r="DD290">
        <f>INDEX('Data_Price '!AM$2:AM$1266,MATCH(Data!$DN290,'Data_Price '!$AT$2:$AT$1266,0))</f>
        <v/>
      </c>
      <c r="DE290">
        <f>INDEX('Data_Price '!AN$2:AN$1266,MATCH(Data!$DN290,'Data_Price '!$AT$2:$AT$1266,0))</f>
        <v/>
      </c>
      <c r="DF290">
        <f>INDEX('Data_Price '!AO$2:AO$1266,MATCH(Data!$DN290,'Data_Price '!$AT$2:$AT$1266,0))</f>
        <v/>
      </c>
      <c r="DG290">
        <f>INDEX('Data_Price '!AP$2:AP$1266,MATCH(Data!$DN290,'Data_Price '!$AT$2:$AT$1266,0))</f>
        <v/>
      </c>
      <c r="DH290">
        <f>INDEX('Data_Price '!AQ$2:AQ$1266,MATCH(Data!$DN290,'Data_Price '!$AT$2:$AT$1266,0))</f>
        <v/>
      </c>
      <c r="DI290">
        <f>INDEX('Data_Price '!AR$2:AR$1266,MATCH(Data!$DN290,'Data_Price '!$AT$2:$AT$1266,0))</f>
        <v/>
      </c>
      <c r="DJ290" s="138">
        <f>DA290</f>
        <v/>
      </c>
      <c r="DK290" s="138">
        <f>DE290</f>
        <v/>
      </c>
      <c r="DL290" s="138">
        <f>DI290</f>
        <v/>
      </c>
      <c r="DM290" s="303">
        <f>IF(LEFT(BT290,1)=" ",RIGHT(BT290,LEN(BT290)-1),BT290)</f>
        <v/>
      </c>
      <c r="DN290" s="138">
        <f>_xlfn.CONCAT(BS290,DM290,BU290,BV290)</f>
        <v/>
      </c>
      <c r="DO290" s="307" t="n"/>
    </row>
    <row r="291" ht="15.6" customHeight="1" s="184">
      <c r="B291" s="303">
        <f t="array" ref="B291">IF(OR(ISERROR(K291:P291)),FALSE,TRUE)</f>
        <v/>
      </c>
      <c r="C291" s="60">
        <f>OR(BR291=Driver!$G$50,Data!BR39=Driver!$H$50)</f>
        <v/>
      </c>
      <c r="D291" s="60">
        <f>OR(BV291=Driver!$G$51,BV291=Driver!$H$51)</f>
        <v/>
      </c>
      <c r="E291" s="60">
        <f>AND(BX291&gt;Driver!$F$54,BX291&lt;Driver!$G$54)</f>
        <v/>
      </c>
      <c r="F291" s="60">
        <f>CL291&gt;Driver!$F$56</f>
        <v/>
      </c>
      <c r="G291" s="60">
        <f>AND(CB291&gt;Driver!$F$55,CB291&lt;Driver!$G$55)</f>
        <v/>
      </c>
      <c r="H291" s="60">
        <f>AND(B291:G291)</f>
        <v/>
      </c>
      <c r="I291" s="60">
        <f>COUNTIFS($H$9:$H$1273,TRUE,$BT$9:$BT$1273,BT291)</f>
        <v/>
      </c>
      <c r="J291" s="60">
        <f t="array" ref="J291">NOT(OR(($H$9:$H$1273=TRUE)*($I$9:$I$1273&gt;0)*($BT$9:$BT$1273=BT291)*($K$9:$K$1273&gt;K291)))</f>
        <v/>
      </c>
      <c r="K291" s="108">
        <f>IFERROR(1-AVERAGE(X291:Y291),"")</f>
        <v/>
      </c>
      <c r="L291" s="108">
        <f>1-X291</f>
        <v/>
      </c>
      <c r="M291" s="108">
        <f>1-Y291</f>
        <v/>
      </c>
      <c r="N291" s="108">
        <f>1-Z291</f>
        <v/>
      </c>
      <c r="O291" s="108">
        <f>1-AA291</f>
        <v/>
      </c>
      <c r="P291" s="108">
        <f>1-AB291</f>
        <v/>
      </c>
      <c r="Q291" s="108" t="n"/>
      <c r="R291" s="108" t="n"/>
      <c r="S291" s="108">
        <f>1-AE291</f>
        <v/>
      </c>
      <c r="T291" s="108">
        <f>1-AF291</f>
        <v/>
      </c>
      <c r="U291" s="108">
        <f>1-AG291</f>
        <v/>
      </c>
      <c r="V291" s="108">
        <f>1-AH291</f>
        <v/>
      </c>
      <c r="W291" s="108">
        <f>1-AI291</f>
        <v/>
      </c>
      <c r="X291" s="108">
        <f>ABS(AJ291-AJ$1)</f>
        <v/>
      </c>
      <c r="Y291" s="108">
        <f>AVERAGE(Z291:AB291)</f>
        <v/>
      </c>
      <c r="Z291" s="108">
        <f>ABS(AL291-AL$1)</f>
        <v/>
      </c>
      <c r="AA291" s="108">
        <f>ABS(AM291-AM$1)</f>
        <v/>
      </c>
      <c r="AB291" s="108">
        <f>ABS(AN291-AN$1)</f>
        <v/>
      </c>
      <c r="AC291" s="108" t="n"/>
      <c r="AD291" s="108" t="n"/>
      <c r="AE291" s="108">
        <f>ABS(AQ$1-AQ291)</f>
        <v/>
      </c>
      <c r="AF291" s="108">
        <f>ABS(AR$1-AR291)</f>
        <v/>
      </c>
      <c r="AG291" s="108">
        <f>ABS(AS$1-AS291)</f>
        <v/>
      </c>
      <c r="AH291" s="108">
        <f>ABS(AT$1-AT291)</f>
        <v/>
      </c>
      <c r="AI291" s="108">
        <f>ABS(AU$1-AU291)</f>
        <v/>
      </c>
      <c r="AJ291" s="108">
        <f>(AV291-Driver!$K$179)/(Driver!$L$179-Driver!$K$179)</f>
        <v/>
      </c>
      <c r="AK291" s="108">
        <f>(AW291-Driver!$K$180)/(Driver!$L$180-Driver!$K$180)</f>
        <v/>
      </c>
      <c r="AL291" s="108">
        <f>(AX291-Driver!$K$181)/(Driver!$L$181-Driver!$K$181)</f>
        <v/>
      </c>
      <c r="AM291" s="108">
        <f>(AY291-Driver!$K$182)/(Driver!$L$182-Driver!$K$182)</f>
        <v/>
      </c>
      <c r="AN291" s="108">
        <f>(AZ291-Driver!$K$183)/(Driver!$L$183-Driver!$K$183)</f>
        <v/>
      </c>
      <c r="AO291" s="108" t="n"/>
      <c r="AP291" s="108" t="n"/>
      <c r="AQ291" s="108">
        <f>(BC291-Driver!$K$188)/(Driver!$L$188-Driver!$K$188)</f>
        <v/>
      </c>
      <c r="AR291" s="108">
        <f>MIN((BD291-Driver!$K$189)/(Driver!$L$189-Driver!$K$189),100%)</f>
        <v/>
      </c>
      <c r="AS291" s="108">
        <f>(BE291-Driver!$K$190)/(Driver!$L$190-Driver!$K$190)</f>
        <v/>
      </c>
      <c r="AT291" s="108">
        <f>(BF291-Driver!$K$191)/(Driver!$L$191-Driver!$K$191)</f>
        <v/>
      </c>
      <c r="AU291" s="108">
        <f>(BG291-Driver!$K$192)/(Driver!$L$192-Driver!$K$192)</f>
        <v/>
      </c>
      <c r="AV291" s="105">
        <f>IFERROR(BM291*BJ291^1/4,"")</f>
        <v/>
      </c>
      <c r="AW291" s="105">
        <f>IFERROR(SUM(AX291:AZ291),"")</f>
        <v/>
      </c>
      <c r="AX291" s="105">
        <f>IFERROR(BH291,"")</f>
        <v/>
      </c>
      <c r="AY291" s="105">
        <f>IFERROR(Driver!$K$19/Data!BH291/Data!BI291*Data!BK291*Data!BL291,"")</f>
        <v/>
      </c>
      <c r="AZ291" s="105">
        <f>IFERROR(BI291*BN291,"")</f>
        <v/>
      </c>
      <c r="BA291" s="105" t="n"/>
      <c r="BB291" s="105" t="n"/>
      <c r="BC291" s="105">
        <f>IFERROR(BI291*BN291*BK291/BJ291^(1/2),"")</f>
        <v/>
      </c>
      <c r="BD291" s="105">
        <f>IFERROR(BH291*BM291*BL291/BJ291/BK291,"")</f>
        <v/>
      </c>
      <c r="BE291" s="105">
        <f>IFERROR(MIN(BI291/BQ291/BP291/BO291/BH291,$BE$1),"")</f>
        <v/>
      </c>
      <c r="BF291" s="105">
        <f>IFERROR(BJ291*BO291*BP291/BK291,"")</f>
        <v/>
      </c>
      <c r="BG291" s="105">
        <f>IFERROR(1/BM291/BH291*BQ291,"")</f>
        <v/>
      </c>
      <c r="BH291" s="102">
        <f>MAX((CE291-Driver!$F$200)/(Driver!$G$200-Driver!$F$200)*$BI$1,1)</f>
        <v/>
      </c>
      <c r="BI291" s="102">
        <f>MAX($BI$1*(BY291-Driver!$F$201)/(Driver!$G$201-Driver!$F$201),1)</f>
        <v/>
      </c>
      <c r="BJ291" s="102">
        <f>(CB291-Driver!$F$206)/(Driver!$G$206-Driver!$F$206)*$BI$1</f>
        <v/>
      </c>
      <c r="BK291" s="102">
        <f>(CD291-Driver!$F$203)/(Driver!$G$203-Driver!$F$203)*$BI$1</f>
        <v/>
      </c>
      <c r="BL291" s="102">
        <f>MAX((CR291-Driver!$F$202)/(Driver!$G$202-Driver!$F$202)*$BI$1,1)</f>
        <v/>
      </c>
      <c r="BM291" s="102">
        <f>MAX((CH291-Driver!$F$204)/(Driver!$G$204-Driver!$F$204)*$BI$1,1)</f>
        <v/>
      </c>
      <c r="BN291" s="102">
        <f>(CI291-Driver!$F$205)/(Driver!$G$205-Driver!$F$205)*$BI$1</f>
        <v/>
      </c>
      <c r="BO291" s="102">
        <f>(CK291-Driver!$F$207)/(Driver!$G$207-Driver!$F$207)*$BI$1</f>
        <v/>
      </c>
      <c r="BP291" s="102">
        <f>(CM291-Driver!$F$208)/(Driver!$G$208-Driver!$F$208)*$BI$1</f>
        <v/>
      </c>
      <c r="BQ291" s="102">
        <f>(CL291-Driver!$F$209)/(Driver!$G$209-Driver!$F$209)*$BI$1</f>
        <v/>
      </c>
      <c r="BR291" s="40" t="inlineStr">
        <is>
          <t>21/22</t>
        </is>
      </c>
      <c r="BS291" s="10" t="inlineStr">
        <is>
          <t xml:space="preserve"> Armada</t>
        </is>
      </c>
      <c r="BT291" s="11" t="inlineStr">
        <is>
          <t>ARV 86</t>
        </is>
      </c>
      <c r="BU291" s="13" t="n">
        <v>177</v>
      </c>
      <c r="BV291" s="11" t="inlineStr">
        <is>
          <t xml:space="preserve"> Unisex</t>
        </is>
      </c>
      <c r="BW291" s="13" t="n">
        <v>177</v>
      </c>
      <c r="BX291" s="13" t="n">
        <v>174.9</v>
      </c>
      <c r="BY291" s="13" t="n">
        <v>140</v>
      </c>
      <c r="BZ291" s="13" t="n">
        <v>152</v>
      </c>
      <c r="CA291" s="13" t="n">
        <v>118</v>
      </c>
      <c r="CB291" s="13" t="n">
        <v>85</v>
      </c>
      <c r="CC291" s="13" t="n">
        <v>112</v>
      </c>
      <c r="CD291" s="13" t="n">
        <v>18</v>
      </c>
      <c r="CE291" s="13" t="n">
        <v>1819</v>
      </c>
      <c r="CF291" s="13" t="n">
        <v>0.93</v>
      </c>
      <c r="CG291" s="13" t="n">
        <v>1694</v>
      </c>
      <c r="CH291" s="13" t="n">
        <v>204</v>
      </c>
      <c r="CI291" s="13" t="n">
        <v>97</v>
      </c>
      <c r="CJ291" s="13" t="n">
        <v>44</v>
      </c>
      <c r="CK291" s="13" t="n">
        <v>181</v>
      </c>
      <c r="CL291" s="13" t="n">
        <v>38</v>
      </c>
      <c r="CM291" s="13" t="n">
        <v>169</v>
      </c>
      <c r="CN291" s="13" t="n">
        <v>0.853</v>
      </c>
      <c r="CO291" s="13" t="n">
        <v>108</v>
      </c>
      <c r="CP291" s="13" t="n">
        <v>120</v>
      </c>
      <c r="CQ291" s="13" t="n">
        <v>73</v>
      </c>
      <c r="CR291" s="13" t="n">
        <v>11</v>
      </c>
      <c r="CS291" s="13" t="n">
        <v>4</v>
      </c>
      <c r="CT291" s="11" t="inlineStr">
        <is>
          <t xml:space="preserve"> Resort Freeride</t>
        </is>
      </c>
      <c r="CU291" s="11" t="inlineStr">
        <is>
          <t xml:space="preserve"> Freeski</t>
        </is>
      </c>
      <c r="CV291" s="13" t="n"/>
      <c r="CW291" s="13" t="n"/>
      <c r="CX291">
        <f>INDEX('Data_Price '!AG$2:AG$1266,MATCH(Data!$DN291,'Data_Price '!$AT$2:$AT$1266,0))</f>
        <v/>
      </c>
      <c r="CY291">
        <f>INDEX('Data_Price '!AH$2:AH$1266,MATCH(Data!$DN291,'Data_Price '!$AT$2:$AT$1266,0))</f>
        <v/>
      </c>
      <c r="CZ291">
        <f>INDEX('Data_Price '!AI$2:AI$1266,MATCH(Data!$DN291,'Data_Price '!$AT$2:$AT$1266,0))</f>
        <v/>
      </c>
      <c r="DA291">
        <f>INDEX('Data_Price '!AJ$2:AJ$1266,MATCH(Data!$DN291,'Data_Price '!$AT$2:$AT$1266,0))</f>
        <v/>
      </c>
      <c r="DB291">
        <f>INDEX('Data_Price '!AK$2:AK$1266,MATCH(Data!$DN291,'Data_Price '!$AT$2:$AT$1266,0))</f>
        <v/>
      </c>
      <c r="DC291">
        <f>INDEX('Data_Price '!AL$2:AL$1266,MATCH(Data!$DN291,'Data_Price '!$AT$2:$AT$1266,0))</f>
        <v/>
      </c>
      <c r="DD291">
        <f>INDEX('Data_Price '!AM$2:AM$1266,MATCH(Data!$DN291,'Data_Price '!$AT$2:$AT$1266,0))</f>
        <v/>
      </c>
      <c r="DE291">
        <f>INDEX('Data_Price '!AN$2:AN$1266,MATCH(Data!$DN291,'Data_Price '!$AT$2:$AT$1266,0))</f>
        <v/>
      </c>
      <c r="DF291">
        <f>INDEX('Data_Price '!AO$2:AO$1266,MATCH(Data!$DN291,'Data_Price '!$AT$2:$AT$1266,0))</f>
        <v/>
      </c>
      <c r="DG291">
        <f>INDEX('Data_Price '!AP$2:AP$1266,MATCH(Data!$DN291,'Data_Price '!$AT$2:$AT$1266,0))</f>
        <v/>
      </c>
      <c r="DH291">
        <f>INDEX('Data_Price '!AQ$2:AQ$1266,MATCH(Data!$DN291,'Data_Price '!$AT$2:$AT$1266,0))</f>
        <v/>
      </c>
      <c r="DI291">
        <f>INDEX('Data_Price '!AR$2:AR$1266,MATCH(Data!$DN291,'Data_Price '!$AT$2:$AT$1266,0))</f>
        <v/>
      </c>
      <c r="DJ291" s="138">
        <f>DA291</f>
        <v/>
      </c>
      <c r="DK291" s="138">
        <f>DE291</f>
        <v/>
      </c>
      <c r="DL291" s="138">
        <f>DI291</f>
        <v/>
      </c>
      <c r="DM291" s="303">
        <f>IF(LEFT(BT291,1)=" ",RIGHT(BT291,LEN(BT291)-1),BT291)</f>
        <v/>
      </c>
      <c r="DN291" s="138">
        <f>_xlfn.CONCAT(BS291,DM291,BU291,BV291)</f>
        <v/>
      </c>
      <c r="DO291" s="307" t="inlineStr">
        <is>
          <t>https://images.evo.com/imgp/250/198699/839665/armada-arv-86-skis-2022-.jpg</t>
        </is>
      </c>
    </row>
    <row r="292" ht="15.6" customHeight="1" s="184">
      <c r="B292" s="303">
        <f t="array" ref="B292">IF(OR(ISERROR(K292:P292)),FALSE,TRUE)</f>
        <v/>
      </c>
      <c r="C292" s="60">
        <f>OR(BR292=Driver!$G$50,Data!BR381=Driver!$H$50)</f>
        <v/>
      </c>
      <c r="D292" s="60">
        <f>OR(BV292=Driver!$G$51,BV292=Driver!$H$51)</f>
        <v/>
      </c>
      <c r="E292" s="60">
        <f>AND(BX292&gt;Driver!$F$54,BX292&lt;Driver!$G$54)</f>
        <v/>
      </c>
      <c r="F292" s="60">
        <f>CL292&gt;Driver!$F$56</f>
        <v/>
      </c>
      <c r="G292" s="60">
        <f>AND(CB292&gt;Driver!$F$55,CB292&lt;Driver!$G$55)</f>
        <v/>
      </c>
      <c r="H292" s="60">
        <f>AND(B292:G292)</f>
        <v/>
      </c>
      <c r="I292" s="60">
        <f>COUNTIFS($H$9:$H$1273,TRUE,$BT$9:$BT$1273,BT292)</f>
        <v/>
      </c>
      <c r="J292" s="60">
        <f t="array" ref="J292">NOT(OR(($H$9:$H$1273=TRUE)*($I$9:$I$1273&gt;0)*($BT$9:$BT$1273=BT292)*($K$9:$K$1273&gt;K292)))</f>
        <v/>
      </c>
      <c r="K292" s="108">
        <f>IFERROR(1-AVERAGE(X292:Y292),"")</f>
        <v/>
      </c>
      <c r="L292" s="108">
        <f>1-X292</f>
        <v/>
      </c>
      <c r="M292" s="108">
        <f>1-Y292</f>
        <v/>
      </c>
      <c r="N292" s="108">
        <f>1-Z292</f>
        <v/>
      </c>
      <c r="O292" s="108">
        <f>1-AA292</f>
        <v/>
      </c>
      <c r="P292" s="108">
        <f>1-AB292</f>
        <v/>
      </c>
      <c r="Q292" s="108" t="n"/>
      <c r="R292" s="108" t="n"/>
      <c r="S292" s="108">
        <f>1-AE292</f>
        <v/>
      </c>
      <c r="T292" s="108">
        <f>1-AF292</f>
        <v/>
      </c>
      <c r="U292" s="108">
        <f>1-AG292</f>
        <v/>
      </c>
      <c r="V292" s="108">
        <f>1-AH292</f>
        <v/>
      </c>
      <c r="W292" s="108">
        <f>1-AI292</f>
        <v/>
      </c>
      <c r="X292" s="108">
        <f>ABS(AJ292-AJ$1)</f>
        <v/>
      </c>
      <c r="Y292" s="108">
        <f>AVERAGE(Z292:AB292)</f>
        <v/>
      </c>
      <c r="Z292" s="108">
        <f>ABS(AL292-AL$1)</f>
        <v/>
      </c>
      <c r="AA292" s="108">
        <f>ABS(AM292-AM$1)</f>
        <v/>
      </c>
      <c r="AB292" s="108">
        <f>ABS(AN292-AN$1)</f>
        <v/>
      </c>
      <c r="AC292" s="108" t="n"/>
      <c r="AD292" s="108" t="n"/>
      <c r="AE292" s="108">
        <f>ABS(AQ$1-AQ292)</f>
        <v/>
      </c>
      <c r="AF292" s="108">
        <f>ABS(AR$1-AR292)</f>
        <v/>
      </c>
      <c r="AG292" s="108">
        <f>ABS(AS$1-AS292)</f>
        <v/>
      </c>
      <c r="AH292" s="108">
        <f>ABS(AT$1-AT292)</f>
        <v/>
      </c>
      <c r="AI292" s="108">
        <f>ABS(AU$1-AU292)</f>
        <v/>
      </c>
      <c r="AJ292" s="108">
        <f>(AV292-Driver!$K$179)/(Driver!$L$179-Driver!$K$179)</f>
        <v/>
      </c>
      <c r="AK292" s="108">
        <f>(AW292-Driver!$K$180)/(Driver!$L$180-Driver!$K$180)</f>
        <v/>
      </c>
      <c r="AL292" s="108">
        <f>(AX292-Driver!$K$181)/(Driver!$L$181-Driver!$K$181)</f>
        <v/>
      </c>
      <c r="AM292" s="108">
        <f>(AY292-Driver!$K$182)/(Driver!$L$182-Driver!$K$182)</f>
        <v/>
      </c>
      <c r="AN292" s="108">
        <f>(AZ292-Driver!$K$183)/(Driver!$L$183-Driver!$K$183)</f>
        <v/>
      </c>
      <c r="AO292" s="108" t="n"/>
      <c r="AP292" s="108" t="n"/>
      <c r="AQ292" s="108">
        <f>(BC292-Driver!$K$188)/(Driver!$L$188-Driver!$K$188)</f>
        <v/>
      </c>
      <c r="AR292" s="108">
        <f>MIN((BD292-Driver!$K$189)/(Driver!$L$189-Driver!$K$189),100%)</f>
        <v/>
      </c>
      <c r="AS292" s="108">
        <f>(BE292-Driver!$K$190)/(Driver!$L$190-Driver!$K$190)</f>
        <v/>
      </c>
      <c r="AT292" s="108">
        <f>(BF292-Driver!$K$191)/(Driver!$L$191-Driver!$K$191)</f>
        <v/>
      </c>
      <c r="AU292" s="108">
        <f>(BG292-Driver!$K$192)/(Driver!$L$192-Driver!$K$192)</f>
        <v/>
      </c>
      <c r="AV292" s="105">
        <f>IFERROR(BM292*BJ292^1/4,"")</f>
        <v/>
      </c>
      <c r="AW292" s="105">
        <f>IFERROR(SUM(AX292:AZ292),"")</f>
        <v/>
      </c>
      <c r="AX292" s="105">
        <f>IFERROR(BH292,"")</f>
        <v/>
      </c>
      <c r="AY292" s="105">
        <f>IFERROR(Driver!$K$19/Data!BH292/Data!BI292*Data!BK292*Data!BL292,"")</f>
        <v/>
      </c>
      <c r="AZ292" s="105">
        <f>IFERROR(BI292*BN292,"")</f>
        <v/>
      </c>
      <c r="BA292" s="105" t="n"/>
      <c r="BB292" s="105" t="n"/>
      <c r="BC292" s="105">
        <f>IFERROR(BI292*BN292*BK292/BJ292^(1/2),"")</f>
        <v/>
      </c>
      <c r="BD292" s="105">
        <f>IFERROR(BH292*BM292*BL292/BJ292/BK292,"")</f>
        <v/>
      </c>
      <c r="BE292" s="105">
        <f>IFERROR(MIN(BI292/BQ292/BP292/BO292/BH292,$BE$1),"")</f>
        <v/>
      </c>
      <c r="BF292" s="105">
        <f>IFERROR(BJ292*BO292*BP292/BK292,"")</f>
        <v/>
      </c>
      <c r="BG292" s="105">
        <f>IFERROR(1/BM292/BH292*BQ292,"")</f>
        <v/>
      </c>
      <c r="BH292" s="102">
        <f>MAX((CE292-Driver!$F$200)/(Driver!$G$200-Driver!$F$200)*$BI$1,1)</f>
        <v/>
      </c>
      <c r="BI292" s="102">
        <f>MAX($BI$1*(BY292-Driver!$F$201)/(Driver!$G$201-Driver!$F$201),1)</f>
        <v/>
      </c>
      <c r="BJ292" s="102">
        <f>(CB292-Driver!$F$206)/(Driver!$G$206-Driver!$F$206)*$BI$1</f>
        <v/>
      </c>
      <c r="BK292" s="102">
        <f>(CD292-Driver!$F$203)/(Driver!$G$203-Driver!$F$203)*$BI$1</f>
        <v/>
      </c>
      <c r="BL292" s="102">
        <f>MAX((CR292-Driver!$F$202)/(Driver!$G$202-Driver!$F$202)*$BI$1,1)</f>
        <v/>
      </c>
      <c r="BM292" s="102">
        <f>MAX((CH292-Driver!$F$204)/(Driver!$G$204-Driver!$F$204)*$BI$1,1)</f>
        <v/>
      </c>
      <c r="BN292" s="102">
        <f>(CI292-Driver!$F$205)/(Driver!$G$205-Driver!$F$205)*$BI$1</f>
        <v/>
      </c>
      <c r="BO292" s="102">
        <f>(CK292-Driver!$F$207)/(Driver!$G$207-Driver!$F$207)*$BI$1</f>
        <v/>
      </c>
      <c r="BP292" s="102">
        <f>(CM292-Driver!$F$208)/(Driver!$G$208-Driver!$F$208)*$BI$1</f>
        <v/>
      </c>
      <c r="BQ292" s="102">
        <f>(CL292-Driver!$F$209)/(Driver!$G$209-Driver!$F$209)*$BI$1</f>
        <v/>
      </c>
      <c r="BR292" s="40" t="inlineStr">
        <is>
          <t>21/22</t>
        </is>
      </c>
      <c r="BS292" s="10" t="inlineStr">
        <is>
          <t xml:space="preserve"> Dynastar</t>
        </is>
      </c>
      <c r="BT292" s="11" t="inlineStr">
        <is>
          <t>M-Free 108</t>
        </is>
      </c>
      <c r="BU292" s="13" t="n">
        <v>172</v>
      </c>
      <c r="BV292" s="11" t="inlineStr">
        <is>
          <t xml:space="preserve"> Unisex</t>
        </is>
      </c>
      <c r="BW292" s="13" t="n">
        <v>172</v>
      </c>
      <c r="BX292" s="13" t="n">
        <v>170</v>
      </c>
      <c r="BY292" s="13" t="n">
        <v>107</v>
      </c>
      <c r="BZ292" s="13" t="n">
        <v>133</v>
      </c>
      <c r="CA292" s="13" t="n">
        <v>137</v>
      </c>
      <c r="CB292" s="13" t="n">
        <v>107</v>
      </c>
      <c r="CC292" s="13" t="n">
        <v>127</v>
      </c>
      <c r="CD292" s="13" t="n">
        <v>15.1</v>
      </c>
      <c r="CE292" s="13" t="n">
        <v>1972</v>
      </c>
      <c r="CF292" s="13" t="n">
        <v>1.01</v>
      </c>
      <c r="CG292" s="13" t="n">
        <v>1986</v>
      </c>
      <c r="CH292" s="13" t="n">
        <v>197</v>
      </c>
      <c r="CI292" s="13" t="n">
        <v>95</v>
      </c>
      <c r="CJ292" s="13" t="n">
        <v>57</v>
      </c>
      <c r="CK292" s="13" t="n">
        <v>334</v>
      </c>
      <c r="CL292" s="13" t="n">
        <v>40</v>
      </c>
      <c r="CM292" s="13" t="n">
        <v>300</v>
      </c>
      <c r="CN292" s="13" t="n">
        <v>0.699</v>
      </c>
      <c r="CO292" s="13" t="n">
        <v>198</v>
      </c>
      <c r="CP292" s="13" t="n">
        <v>172</v>
      </c>
      <c r="CQ292" s="13" t="n">
        <v>135</v>
      </c>
      <c r="CR292" s="13" t="n">
        <v>7</v>
      </c>
      <c r="CS292" s="13" t="n">
        <v>7.4</v>
      </c>
      <c r="CT292" s="11" t="inlineStr">
        <is>
          <t xml:space="preserve"> Powder</t>
        </is>
      </c>
      <c r="CU292" s="13" t="n"/>
      <c r="CV292" s="13" t="n"/>
      <c r="CW292" s="13" t="n"/>
      <c r="CX292">
        <f>INDEX('Data_Price '!AG$2:AG$1266,MATCH(Data!$DN292,'Data_Price '!$AT$2:$AT$1266,0))</f>
        <v/>
      </c>
      <c r="CY292">
        <f>INDEX('Data_Price '!AH$2:AH$1266,MATCH(Data!$DN292,'Data_Price '!$AT$2:$AT$1266,0))</f>
        <v/>
      </c>
      <c r="CZ292">
        <f>INDEX('Data_Price '!AI$2:AI$1266,MATCH(Data!$DN292,'Data_Price '!$AT$2:$AT$1266,0))</f>
        <v/>
      </c>
      <c r="DA292">
        <f>INDEX('Data_Price '!AJ$2:AJ$1266,MATCH(Data!$DN292,'Data_Price '!$AT$2:$AT$1266,0))</f>
        <v/>
      </c>
      <c r="DB292">
        <f>INDEX('Data_Price '!AK$2:AK$1266,MATCH(Data!$DN292,'Data_Price '!$AT$2:$AT$1266,0))</f>
        <v/>
      </c>
      <c r="DC292">
        <f>INDEX('Data_Price '!AL$2:AL$1266,MATCH(Data!$DN292,'Data_Price '!$AT$2:$AT$1266,0))</f>
        <v/>
      </c>
      <c r="DD292">
        <f>INDEX('Data_Price '!AM$2:AM$1266,MATCH(Data!$DN292,'Data_Price '!$AT$2:$AT$1266,0))</f>
        <v/>
      </c>
      <c r="DE292">
        <f>INDEX('Data_Price '!AN$2:AN$1266,MATCH(Data!$DN292,'Data_Price '!$AT$2:$AT$1266,0))</f>
        <v/>
      </c>
      <c r="DF292">
        <f>INDEX('Data_Price '!AO$2:AO$1266,MATCH(Data!$DN292,'Data_Price '!$AT$2:$AT$1266,0))</f>
        <v/>
      </c>
      <c r="DG292">
        <f>INDEX('Data_Price '!AP$2:AP$1266,MATCH(Data!$DN292,'Data_Price '!$AT$2:$AT$1266,0))</f>
        <v/>
      </c>
      <c r="DH292">
        <f>INDEX('Data_Price '!AQ$2:AQ$1266,MATCH(Data!$DN292,'Data_Price '!$AT$2:$AT$1266,0))</f>
        <v/>
      </c>
      <c r="DI292">
        <f>INDEX('Data_Price '!AR$2:AR$1266,MATCH(Data!$DN292,'Data_Price '!$AT$2:$AT$1266,0))</f>
        <v/>
      </c>
      <c r="DJ292" s="138">
        <f>DA292</f>
        <v/>
      </c>
      <c r="DK292" s="138">
        <f>DE292</f>
        <v/>
      </c>
      <c r="DL292" s="138">
        <f>DI292</f>
        <v/>
      </c>
      <c r="DM292" s="303">
        <f>IF(LEFT(BT292,1)=" ",RIGHT(BT292,LEN(BT292)-1),BT292)</f>
        <v/>
      </c>
      <c r="DN292" s="138">
        <f>_xlfn.CONCAT(BS292,DM292,BU292,BV292)</f>
        <v/>
      </c>
      <c r="DO292" s="307" t="inlineStr">
        <is>
          <t>https://images.evo.com/imgp/250/180346/710820/dynastar-m-free-108-skis-2022-.jpg</t>
        </is>
      </c>
    </row>
    <row r="293" ht="15.6" customHeight="1" s="184">
      <c r="B293" s="303">
        <f t="array" ref="B293">IF(OR(ISERROR(K293:P293)),FALSE,TRUE)</f>
        <v/>
      </c>
      <c r="C293" s="60">
        <f>OR(BR293=Driver!$G$50,Data!BR1133=Driver!$H$50)</f>
        <v/>
      </c>
      <c r="D293" s="60">
        <f>OR(BV293=Driver!$G$51,BV293=Driver!$H$51)</f>
        <v/>
      </c>
      <c r="E293" s="60">
        <f>AND(BX293&gt;Driver!$F$54,BX293&lt;Driver!$G$54)</f>
        <v/>
      </c>
      <c r="F293" s="60">
        <f>CL293&gt;Driver!$F$56</f>
        <v/>
      </c>
      <c r="G293" s="60">
        <f>AND(CB293&gt;Driver!$F$55,CB293&lt;Driver!$G$55)</f>
        <v/>
      </c>
      <c r="H293" s="60">
        <f>AND(B293:G293)</f>
        <v/>
      </c>
      <c r="I293" s="60">
        <f>COUNTIFS($H$9:$H$1273,TRUE,$BT$9:$BT$1273,BT293)</f>
        <v/>
      </c>
      <c r="J293" s="60">
        <f t="array" ref="J293">NOT(OR(($H$9:$H$1273=TRUE)*($I$9:$I$1273&gt;0)*($BT$9:$BT$1273=BT293)*($K$9:$K$1273&gt;K293)))</f>
        <v/>
      </c>
      <c r="K293" s="108">
        <f>IFERROR(1-AVERAGE(X293:Y293),"")</f>
        <v/>
      </c>
      <c r="L293" s="108">
        <f>1-X293</f>
        <v/>
      </c>
      <c r="M293" s="108">
        <f>1-Y293</f>
        <v/>
      </c>
      <c r="N293" s="108">
        <f>1-Z293</f>
        <v/>
      </c>
      <c r="O293" s="108">
        <f>1-AA293</f>
        <v/>
      </c>
      <c r="P293" s="108">
        <f>1-AB293</f>
        <v/>
      </c>
      <c r="Q293" s="108" t="n"/>
      <c r="R293" s="108" t="n"/>
      <c r="S293" s="108">
        <f>1-AE293</f>
        <v/>
      </c>
      <c r="T293" s="108">
        <f>1-AF293</f>
        <v/>
      </c>
      <c r="U293" s="108">
        <f>1-AG293</f>
        <v/>
      </c>
      <c r="V293" s="108">
        <f>1-AH293</f>
        <v/>
      </c>
      <c r="W293" s="108">
        <f>1-AI293</f>
        <v/>
      </c>
      <c r="X293" s="108">
        <f>ABS(AJ293-AJ$1)</f>
        <v/>
      </c>
      <c r="Y293" s="108">
        <f>AVERAGE(Z293:AB293)</f>
        <v/>
      </c>
      <c r="Z293" s="108">
        <f>ABS(AL293-AL$1)</f>
        <v/>
      </c>
      <c r="AA293" s="108">
        <f>ABS(AM293-AM$1)</f>
        <v/>
      </c>
      <c r="AB293" s="108">
        <f>ABS(AN293-AN$1)</f>
        <v/>
      </c>
      <c r="AC293" s="108" t="n"/>
      <c r="AD293" s="108" t="n"/>
      <c r="AE293" s="108">
        <f>ABS(AQ$1-AQ293)</f>
        <v/>
      </c>
      <c r="AF293" s="108">
        <f>ABS(AR$1-AR293)</f>
        <v/>
      </c>
      <c r="AG293" s="108">
        <f>ABS(AS$1-AS293)</f>
        <v/>
      </c>
      <c r="AH293" s="108">
        <f>ABS(AT$1-AT293)</f>
        <v/>
      </c>
      <c r="AI293" s="108">
        <f>ABS(AU$1-AU293)</f>
        <v/>
      </c>
      <c r="AJ293" s="108">
        <f>(AV293-Driver!$K$179)/(Driver!$L$179-Driver!$K$179)</f>
        <v/>
      </c>
      <c r="AK293" s="108">
        <f>(AW293-Driver!$K$180)/(Driver!$L$180-Driver!$K$180)</f>
        <v/>
      </c>
      <c r="AL293" s="108">
        <f>(AX293-Driver!$K$181)/(Driver!$L$181-Driver!$K$181)</f>
        <v/>
      </c>
      <c r="AM293" s="108">
        <f>(AY293-Driver!$K$182)/(Driver!$L$182-Driver!$K$182)</f>
        <v/>
      </c>
      <c r="AN293" s="108">
        <f>(AZ293-Driver!$K$183)/(Driver!$L$183-Driver!$K$183)</f>
        <v/>
      </c>
      <c r="AO293" s="108" t="n"/>
      <c r="AP293" s="108" t="n"/>
      <c r="AQ293" s="108">
        <f>(BC293-Driver!$K$188)/(Driver!$L$188-Driver!$K$188)</f>
        <v/>
      </c>
      <c r="AR293" s="108">
        <f>MIN((BD293-Driver!$K$189)/(Driver!$L$189-Driver!$K$189),100%)</f>
        <v/>
      </c>
      <c r="AS293" s="108">
        <f>(BE293-Driver!$K$190)/(Driver!$L$190-Driver!$K$190)</f>
        <v/>
      </c>
      <c r="AT293" s="108">
        <f>(BF293-Driver!$K$191)/(Driver!$L$191-Driver!$K$191)</f>
        <v/>
      </c>
      <c r="AU293" s="108">
        <f>(BG293-Driver!$K$192)/(Driver!$L$192-Driver!$K$192)</f>
        <v/>
      </c>
      <c r="AV293" s="105">
        <f>IFERROR(BM293*BJ293^1/4,"")</f>
        <v/>
      </c>
      <c r="AW293" s="105">
        <f>IFERROR(SUM(AX293:AZ293),"")</f>
        <v/>
      </c>
      <c r="AX293" s="105">
        <f>IFERROR(BH293,"")</f>
        <v/>
      </c>
      <c r="AY293" s="105">
        <f>IFERROR(Driver!$K$19/Data!BH293/Data!BI293*Data!BK293*Data!BL293,"")</f>
        <v/>
      </c>
      <c r="AZ293" s="105">
        <f>IFERROR(BI293*BN293,"")</f>
        <v/>
      </c>
      <c r="BA293" s="105" t="n"/>
      <c r="BB293" s="105" t="n"/>
      <c r="BC293" s="105">
        <f>IFERROR(BI293*BN293*BK293/BJ293^(1/2),"")</f>
        <v/>
      </c>
      <c r="BD293" s="105">
        <f>IFERROR(BH293*BM293*BL293/BJ293/BK293,"")</f>
        <v/>
      </c>
      <c r="BE293" s="105">
        <f>IFERROR(MIN(BI293/BQ293/BP293/BO293/BH293,$BE$1),"")</f>
        <v/>
      </c>
      <c r="BF293" s="105">
        <f>IFERROR(BJ293*BO293*BP293/BK293,"")</f>
        <v/>
      </c>
      <c r="BG293" s="105">
        <f>IFERROR(1/BM293/BH293*BQ293,"")</f>
        <v/>
      </c>
      <c r="BH293" s="102">
        <f>MAX((CE293-Driver!$F$200)/(Driver!$G$200-Driver!$F$200)*$BI$1,1)</f>
        <v/>
      </c>
      <c r="BI293" s="102">
        <f>MAX($BI$1*(BY293-Driver!$F$201)/(Driver!$G$201-Driver!$F$201),1)</f>
        <v/>
      </c>
      <c r="BJ293" s="102">
        <f>(CB293-Driver!$F$206)/(Driver!$G$206-Driver!$F$206)*$BI$1</f>
        <v/>
      </c>
      <c r="BK293" s="102">
        <f>(CD293-Driver!$F$203)/(Driver!$G$203-Driver!$F$203)*$BI$1</f>
        <v/>
      </c>
      <c r="BL293" s="102">
        <f>MAX((CR293-Driver!$F$202)/(Driver!$G$202-Driver!$F$202)*$BI$1,1)</f>
        <v/>
      </c>
      <c r="BM293" s="102">
        <f>MAX((CH293-Driver!$F$204)/(Driver!$G$204-Driver!$F$204)*$BI$1,1)</f>
        <v/>
      </c>
      <c r="BN293" s="102">
        <f>(CI293-Driver!$F$205)/(Driver!$G$205-Driver!$F$205)*$BI$1</f>
        <v/>
      </c>
      <c r="BO293" s="102">
        <f>(CK293-Driver!$F$207)/(Driver!$G$207-Driver!$F$207)*$BI$1</f>
        <v/>
      </c>
      <c r="BP293" s="102">
        <f>(CM293-Driver!$F$208)/(Driver!$G$208-Driver!$F$208)*$BI$1</f>
        <v/>
      </c>
      <c r="BQ293" s="102">
        <f>(CL293-Driver!$F$209)/(Driver!$G$209-Driver!$F$209)*$BI$1</f>
        <v/>
      </c>
      <c r="BR293" s="40" t="inlineStr">
        <is>
          <t>21/22</t>
        </is>
      </c>
      <c r="BS293" s="10" t="inlineStr">
        <is>
          <t xml:space="preserve"> Stöckli</t>
        </is>
      </c>
      <c r="BT293" s="11" t="inlineStr">
        <is>
          <t xml:space="preserve"> Laser SC Orea</t>
        </is>
      </c>
      <c r="BU293" s="13" t="n">
        <v>163</v>
      </c>
      <c r="BV293" s="11" t="inlineStr">
        <is>
          <t xml:space="preserve"> Unisex</t>
        </is>
      </c>
      <c r="BW293" s="13" t="n">
        <v>163</v>
      </c>
      <c r="BX293" s="13" t="n">
        <v>162</v>
      </c>
      <c r="BY293" s="13" t="n">
        <v>141</v>
      </c>
      <c r="BZ293" s="13" t="n">
        <v>148</v>
      </c>
      <c r="CA293" s="13" t="n">
        <v>122</v>
      </c>
      <c r="CB293" s="13" t="n">
        <v>72</v>
      </c>
      <c r="CC293" s="13" t="n">
        <v>103</v>
      </c>
      <c r="CD293" s="13" t="n">
        <v>13.5</v>
      </c>
      <c r="CE293" s="13" t="n">
        <v>1671</v>
      </c>
      <c r="CF293" s="13" t="n">
        <v>0.84</v>
      </c>
      <c r="CG293" s="13" t="n">
        <v>1405</v>
      </c>
      <c r="CH293" s="13" t="n">
        <v>170</v>
      </c>
      <c r="CI293" s="13" t="n">
        <v>106</v>
      </c>
      <c r="CJ293" s="13" t="n">
        <v>40</v>
      </c>
      <c r="CK293" s="13" t="n">
        <v>144</v>
      </c>
      <c r="CL293" s="13" t="n">
        <v>7</v>
      </c>
      <c r="CM293" s="13" t="n">
        <v>66</v>
      </c>
      <c r="CN293" s="13" t="n">
        <v>0.179</v>
      </c>
      <c r="CO293" s="13" t="n">
        <v>78</v>
      </c>
      <c r="CP293" s="13" t="n">
        <v>57</v>
      </c>
      <c r="CQ293" s="13" t="n">
        <v>66</v>
      </c>
      <c r="CR293" s="13" t="n">
        <v>8</v>
      </c>
      <c r="CS293" s="13" t="n">
        <v>12.1</v>
      </c>
      <c r="CT293" s="11" t="inlineStr">
        <is>
          <t xml:space="preserve"> On-Piste Carving</t>
        </is>
      </c>
      <c r="CU293" s="13" t="n"/>
      <c r="CV293" s="13" t="n"/>
      <c r="CW293" s="13" t="n"/>
      <c r="CX293">
        <f>INDEX('Data_Price '!AG$2:AG$1266,MATCH(Data!$DN293,'Data_Price '!$AT$2:$AT$1266,0))</f>
        <v/>
      </c>
      <c r="CY293">
        <f>INDEX('Data_Price '!AH$2:AH$1266,MATCH(Data!$DN293,'Data_Price '!$AT$2:$AT$1266,0))</f>
        <v/>
      </c>
      <c r="CZ293">
        <f>INDEX('Data_Price '!AI$2:AI$1266,MATCH(Data!$DN293,'Data_Price '!$AT$2:$AT$1266,0))</f>
        <v/>
      </c>
      <c r="DA293">
        <f>INDEX('Data_Price '!AJ$2:AJ$1266,MATCH(Data!$DN293,'Data_Price '!$AT$2:$AT$1266,0))</f>
        <v/>
      </c>
      <c r="DB293">
        <f>INDEX('Data_Price '!AK$2:AK$1266,MATCH(Data!$DN293,'Data_Price '!$AT$2:$AT$1266,0))</f>
        <v/>
      </c>
      <c r="DC293">
        <f>INDEX('Data_Price '!AL$2:AL$1266,MATCH(Data!$DN293,'Data_Price '!$AT$2:$AT$1266,0))</f>
        <v/>
      </c>
      <c r="DD293">
        <f>INDEX('Data_Price '!AM$2:AM$1266,MATCH(Data!$DN293,'Data_Price '!$AT$2:$AT$1266,0))</f>
        <v/>
      </c>
      <c r="DE293">
        <f>INDEX('Data_Price '!AN$2:AN$1266,MATCH(Data!$DN293,'Data_Price '!$AT$2:$AT$1266,0))</f>
        <v/>
      </c>
      <c r="DF293">
        <f>INDEX('Data_Price '!AO$2:AO$1266,MATCH(Data!$DN293,'Data_Price '!$AT$2:$AT$1266,0))</f>
        <v/>
      </c>
      <c r="DG293">
        <f>INDEX('Data_Price '!AP$2:AP$1266,MATCH(Data!$DN293,'Data_Price '!$AT$2:$AT$1266,0))</f>
        <v/>
      </c>
      <c r="DH293">
        <f>INDEX('Data_Price '!AQ$2:AQ$1266,MATCH(Data!$DN293,'Data_Price '!$AT$2:$AT$1266,0))</f>
        <v/>
      </c>
      <c r="DI293">
        <f>INDEX('Data_Price '!AR$2:AR$1266,MATCH(Data!$DN293,'Data_Price '!$AT$2:$AT$1266,0))</f>
        <v/>
      </c>
      <c r="DJ293" s="138">
        <f>DA293</f>
        <v/>
      </c>
      <c r="DK293" s="138">
        <f>DE293</f>
        <v/>
      </c>
      <c r="DL293" s="138">
        <f>DI293</f>
        <v/>
      </c>
      <c r="DM293" s="303">
        <f>IF(LEFT(BT293,1)=" ",RIGHT(BT293,LEN(BT293)-1),BT293)</f>
        <v/>
      </c>
      <c r="DN293" s="138">
        <f>_xlfn.CONCAT(BS293,DM293,BU293,BV293)</f>
        <v/>
      </c>
      <c r="DO293" s="307" t="n"/>
    </row>
    <row r="294" ht="15.6" customHeight="1" s="184">
      <c r="B294" s="303">
        <f t="array" ref="B294">IF(OR(ISERROR(K294:P294)),FALSE,TRUE)</f>
        <v/>
      </c>
      <c r="C294" s="60">
        <f>OR(BR294=Driver!$G$50,Data!BR330=Driver!$H$50)</f>
        <v/>
      </c>
      <c r="D294" s="60">
        <f>OR(BV294=Driver!$G$51,BV294=Driver!$H$51)</f>
        <v/>
      </c>
      <c r="E294" s="60">
        <f>AND(BX294&gt;Driver!$F$54,BX294&lt;Driver!$G$54)</f>
        <v/>
      </c>
      <c r="F294" s="60">
        <f>CL294&gt;Driver!$F$56</f>
        <v/>
      </c>
      <c r="G294" s="60">
        <f>AND(CB294&gt;Driver!$F$55,CB294&lt;Driver!$G$55)</f>
        <v/>
      </c>
      <c r="H294" s="60">
        <f>AND(B294:G294)</f>
        <v/>
      </c>
      <c r="I294" s="60">
        <f>COUNTIFS($H$9:$H$1273,TRUE,$BT$9:$BT$1273,BT294)</f>
        <v/>
      </c>
      <c r="J294" s="60">
        <f t="array" ref="J294">NOT(OR(($H$9:$H$1273=TRUE)*($I$9:$I$1273&gt;0)*($BT$9:$BT$1273=BT294)*($K$9:$K$1273&gt;K294)))</f>
        <v/>
      </c>
      <c r="K294" s="108">
        <f>IFERROR(1-AVERAGE(X294:Y294),"")</f>
        <v/>
      </c>
      <c r="L294" s="108">
        <f>1-X294</f>
        <v/>
      </c>
      <c r="M294" s="108">
        <f>1-Y294</f>
        <v/>
      </c>
      <c r="N294" s="108">
        <f>1-Z294</f>
        <v/>
      </c>
      <c r="O294" s="108">
        <f>1-AA294</f>
        <v/>
      </c>
      <c r="P294" s="108">
        <f>1-AB294</f>
        <v/>
      </c>
      <c r="Q294" s="108" t="n"/>
      <c r="R294" s="108" t="n"/>
      <c r="S294" s="108">
        <f>1-AE294</f>
        <v/>
      </c>
      <c r="T294" s="108">
        <f>1-AF294</f>
        <v/>
      </c>
      <c r="U294" s="108">
        <f>1-AG294</f>
        <v/>
      </c>
      <c r="V294" s="108">
        <f>1-AH294</f>
        <v/>
      </c>
      <c r="W294" s="108">
        <f>1-AI294</f>
        <v/>
      </c>
      <c r="X294" s="108">
        <f>ABS(AJ294-AJ$1)</f>
        <v/>
      </c>
      <c r="Y294" s="108">
        <f>AVERAGE(Z294:AB294)</f>
        <v/>
      </c>
      <c r="Z294" s="108">
        <f>ABS(AL294-AL$1)</f>
        <v/>
      </c>
      <c r="AA294" s="108">
        <f>ABS(AM294-AM$1)</f>
        <v/>
      </c>
      <c r="AB294" s="108">
        <f>ABS(AN294-AN$1)</f>
        <v/>
      </c>
      <c r="AC294" s="108" t="n"/>
      <c r="AD294" s="108" t="n"/>
      <c r="AE294" s="108">
        <f>ABS(AQ$1-AQ294)</f>
        <v/>
      </c>
      <c r="AF294" s="108">
        <f>ABS(AR$1-AR294)</f>
        <v/>
      </c>
      <c r="AG294" s="108">
        <f>ABS(AS$1-AS294)</f>
        <v/>
      </c>
      <c r="AH294" s="108">
        <f>ABS(AT$1-AT294)</f>
        <v/>
      </c>
      <c r="AI294" s="108">
        <f>ABS(AU$1-AU294)</f>
        <v/>
      </c>
      <c r="AJ294" s="108">
        <f>(AV294-Driver!$K$179)/(Driver!$L$179-Driver!$K$179)</f>
        <v/>
      </c>
      <c r="AK294" s="108">
        <f>(AW294-Driver!$K$180)/(Driver!$L$180-Driver!$K$180)</f>
        <v/>
      </c>
      <c r="AL294" s="108">
        <f>(AX294-Driver!$K$181)/(Driver!$L$181-Driver!$K$181)</f>
        <v/>
      </c>
      <c r="AM294" s="108">
        <f>(AY294-Driver!$K$182)/(Driver!$L$182-Driver!$K$182)</f>
        <v/>
      </c>
      <c r="AN294" s="108">
        <f>(AZ294-Driver!$K$183)/(Driver!$L$183-Driver!$K$183)</f>
        <v/>
      </c>
      <c r="AO294" s="108" t="n"/>
      <c r="AP294" s="108" t="n"/>
      <c r="AQ294" s="108">
        <f>(BC294-Driver!$K$188)/(Driver!$L$188-Driver!$K$188)</f>
        <v/>
      </c>
      <c r="AR294" s="108">
        <f>MIN((BD294-Driver!$K$189)/(Driver!$L$189-Driver!$K$189),100%)</f>
        <v/>
      </c>
      <c r="AS294" s="108">
        <f>(BE294-Driver!$K$190)/(Driver!$L$190-Driver!$K$190)</f>
        <v/>
      </c>
      <c r="AT294" s="108">
        <f>(BF294-Driver!$K$191)/(Driver!$L$191-Driver!$K$191)</f>
        <v/>
      </c>
      <c r="AU294" s="108">
        <f>(BG294-Driver!$K$192)/(Driver!$L$192-Driver!$K$192)</f>
        <v/>
      </c>
      <c r="AV294" s="105">
        <f>IFERROR(BM294*BJ294^1/4,"")</f>
        <v/>
      </c>
      <c r="AW294" s="105">
        <f>IFERROR(SUM(AX294:AZ294),"")</f>
        <v/>
      </c>
      <c r="AX294" s="105">
        <f>IFERROR(BH294,"")</f>
        <v/>
      </c>
      <c r="AY294" s="105">
        <f>IFERROR(Driver!$K$19/Data!BH294/Data!BI294*Data!BK294*Data!BL294,"")</f>
        <v/>
      </c>
      <c r="AZ294" s="105">
        <f>IFERROR(BI294*BN294,"")</f>
        <v/>
      </c>
      <c r="BA294" s="105" t="n"/>
      <c r="BB294" s="105" t="n"/>
      <c r="BC294" s="105">
        <f>IFERROR(BI294*BN294*BK294/BJ294^(1/2),"")</f>
        <v/>
      </c>
      <c r="BD294" s="105">
        <f>IFERROR(BH294*BM294*BL294/BJ294/BK294,"")</f>
        <v/>
      </c>
      <c r="BE294" s="105">
        <f>IFERROR(MIN(BI294/BQ294/BP294/BO294/BH294,$BE$1),"")</f>
        <v/>
      </c>
      <c r="BF294" s="105">
        <f>IFERROR(BJ294*BO294*BP294/BK294,"")</f>
        <v/>
      </c>
      <c r="BG294" s="105">
        <f>IFERROR(1/BM294/BH294*BQ294,"")</f>
        <v/>
      </c>
      <c r="BH294" s="102">
        <f>MAX((CE294-Driver!$F$200)/(Driver!$G$200-Driver!$F$200)*$BI$1,1)</f>
        <v/>
      </c>
      <c r="BI294" s="102">
        <f>MAX($BI$1*(BY294-Driver!$F$201)/(Driver!$G$201-Driver!$F$201),1)</f>
        <v/>
      </c>
      <c r="BJ294" s="102">
        <f>(CB294-Driver!$F$206)/(Driver!$G$206-Driver!$F$206)*$BI$1</f>
        <v/>
      </c>
      <c r="BK294" s="102">
        <f>(CD294-Driver!$F$203)/(Driver!$G$203-Driver!$F$203)*$BI$1</f>
        <v/>
      </c>
      <c r="BL294" s="102">
        <f>MAX((CR294-Driver!$F$202)/(Driver!$G$202-Driver!$F$202)*$BI$1,1)</f>
        <v/>
      </c>
      <c r="BM294" s="102">
        <f>MAX((CH294-Driver!$F$204)/(Driver!$G$204-Driver!$F$204)*$BI$1,1)</f>
        <v/>
      </c>
      <c r="BN294" s="102">
        <f>(CI294-Driver!$F$205)/(Driver!$G$205-Driver!$F$205)*$BI$1</f>
        <v/>
      </c>
      <c r="BO294" s="102">
        <f>(CK294-Driver!$F$207)/(Driver!$G$207-Driver!$F$207)*$BI$1</f>
        <v/>
      </c>
      <c r="BP294" s="102">
        <f>(CM294-Driver!$F$208)/(Driver!$G$208-Driver!$F$208)*$BI$1</f>
        <v/>
      </c>
      <c r="BQ294" s="102">
        <f>(CL294-Driver!$F$209)/(Driver!$G$209-Driver!$F$209)*$BI$1</f>
        <v/>
      </c>
      <c r="BR294" s="40" t="inlineStr">
        <is>
          <t>21/22</t>
        </is>
      </c>
      <c r="BS294" s="10" t="inlineStr">
        <is>
          <t xml:space="preserve"> Blizzard</t>
        </is>
      </c>
      <c r="BT294" s="11" t="inlineStr">
        <is>
          <t>Zero G 95</t>
        </is>
      </c>
      <c r="BU294" s="13" t="n">
        <v>178</v>
      </c>
      <c r="BV294" s="11" t="inlineStr">
        <is>
          <t xml:space="preserve"> Unisex</t>
        </is>
      </c>
      <c r="BW294" s="13" t="n">
        <v>178</v>
      </c>
      <c r="BX294" s="13" t="n">
        <v>176</v>
      </c>
      <c r="BY294" s="13" t="n">
        <v>125</v>
      </c>
      <c r="BZ294" s="13" t="n">
        <v>149</v>
      </c>
      <c r="CA294" s="13" t="n">
        <v>126</v>
      </c>
      <c r="CB294" s="13" t="n">
        <v>93</v>
      </c>
      <c r="CC294" s="13" t="n">
        <v>110</v>
      </c>
      <c r="CD294" s="13" t="n">
        <v>22.1</v>
      </c>
      <c r="CE294" s="13" t="n">
        <v>1284</v>
      </c>
      <c r="CF294" s="13" t="n">
        <v>1.4</v>
      </c>
      <c r="CG294" s="13" t="n">
        <v>1794</v>
      </c>
      <c r="CH294" s="13" t="n">
        <v>242</v>
      </c>
      <c r="CI294" s="13" t="n">
        <v>84</v>
      </c>
      <c r="CJ294" s="13" t="n">
        <v>54</v>
      </c>
      <c r="CK294" s="13" t="n">
        <v>304</v>
      </c>
      <c r="CL294" s="13" t="n">
        <v>12</v>
      </c>
      <c r="CM294" s="13" t="n">
        <v>210</v>
      </c>
      <c r="CN294" s="13" t="n">
        <v>0.219</v>
      </c>
      <c r="CO294" s="13" t="n">
        <v>138</v>
      </c>
      <c r="CP294" s="13" t="n">
        <v>129</v>
      </c>
      <c r="CQ294" s="13" t="n">
        <v>166</v>
      </c>
      <c r="CR294" s="13" t="n">
        <v>3</v>
      </c>
      <c r="CS294" s="13" t="n">
        <v>10.5</v>
      </c>
      <c r="CT294" s="11" t="inlineStr">
        <is>
          <t xml:space="preserve"> Touring</t>
        </is>
      </c>
      <c r="CU294" s="11" t="inlineStr">
        <is>
          <t xml:space="preserve"> Ultralight Touring</t>
        </is>
      </c>
      <c r="CV294" s="13" t="n"/>
      <c r="CW294" s="13" t="n"/>
      <c r="CX294">
        <f>INDEX('Data_Price '!AG$2:AG$1266,MATCH(Data!$DN294,'Data_Price '!$AT$2:$AT$1266,0))</f>
        <v/>
      </c>
      <c r="CY294">
        <f>INDEX('Data_Price '!AH$2:AH$1266,MATCH(Data!$DN294,'Data_Price '!$AT$2:$AT$1266,0))</f>
        <v/>
      </c>
      <c r="CZ294">
        <f>INDEX('Data_Price '!AI$2:AI$1266,MATCH(Data!$DN294,'Data_Price '!$AT$2:$AT$1266,0))</f>
        <v/>
      </c>
      <c r="DA294">
        <f>INDEX('Data_Price '!AJ$2:AJ$1266,MATCH(Data!$DN294,'Data_Price '!$AT$2:$AT$1266,0))</f>
        <v/>
      </c>
      <c r="DB294">
        <f>INDEX('Data_Price '!AK$2:AK$1266,MATCH(Data!$DN294,'Data_Price '!$AT$2:$AT$1266,0))</f>
        <v/>
      </c>
      <c r="DC294">
        <f>INDEX('Data_Price '!AL$2:AL$1266,MATCH(Data!$DN294,'Data_Price '!$AT$2:$AT$1266,0))</f>
        <v/>
      </c>
      <c r="DD294">
        <f>INDEX('Data_Price '!AM$2:AM$1266,MATCH(Data!$DN294,'Data_Price '!$AT$2:$AT$1266,0))</f>
        <v/>
      </c>
      <c r="DE294">
        <f>INDEX('Data_Price '!AN$2:AN$1266,MATCH(Data!$DN294,'Data_Price '!$AT$2:$AT$1266,0))</f>
        <v/>
      </c>
      <c r="DF294">
        <f>INDEX('Data_Price '!AO$2:AO$1266,MATCH(Data!$DN294,'Data_Price '!$AT$2:$AT$1266,0))</f>
        <v/>
      </c>
      <c r="DG294">
        <f>INDEX('Data_Price '!AP$2:AP$1266,MATCH(Data!$DN294,'Data_Price '!$AT$2:$AT$1266,0))</f>
        <v/>
      </c>
      <c r="DH294">
        <f>INDEX('Data_Price '!AQ$2:AQ$1266,MATCH(Data!$DN294,'Data_Price '!$AT$2:$AT$1266,0))</f>
        <v/>
      </c>
      <c r="DI294">
        <f>INDEX('Data_Price '!AR$2:AR$1266,MATCH(Data!$DN294,'Data_Price '!$AT$2:$AT$1266,0))</f>
        <v/>
      </c>
      <c r="DJ294" s="138">
        <f>DA294</f>
        <v/>
      </c>
      <c r="DK294" s="138">
        <f>DE294</f>
        <v/>
      </c>
      <c r="DL294" s="138">
        <f>DI294</f>
        <v/>
      </c>
      <c r="DM294" s="303">
        <f>IF(LEFT(BT294,1)=" ",RIGHT(BT294,LEN(BT294)-1),BT294)</f>
        <v/>
      </c>
      <c r="DN294" s="138">
        <f>_xlfn.CONCAT(BS294,DM294,BU294,BV294)</f>
        <v/>
      </c>
      <c r="DO294" s="307" t="inlineStr">
        <is>
          <t>https://images.evo.com/imgp/250/197482/830329/blizzard-zero-g-95-skis-2022-.jpg</t>
        </is>
      </c>
    </row>
    <row r="295" ht="15.6" customHeight="1" s="184">
      <c r="B295" s="303">
        <f t="array" ref="B295">IF(OR(ISERROR(K295:P295)),FALSE,TRUE)</f>
        <v/>
      </c>
      <c r="C295" s="60">
        <f>OR(BR295=Driver!$G$50,Data!BR779=Driver!$H$50)</f>
        <v/>
      </c>
      <c r="D295" s="60">
        <f>OR(BV295=Driver!$G$51,BV295=Driver!$H$51)</f>
        <v/>
      </c>
      <c r="E295" s="60">
        <f>AND(BX295&gt;Driver!$F$54,BX295&lt;Driver!$G$54)</f>
        <v/>
      </c>
      <c r="F295" s="60">
        <f>CL295&gt;Driver!$F$56</f>
        <v/>
      </c>
      <c r="G295" s="60">
        <f>AND(CB295&gt;Driver!$F$55,CB295&lt;Driver!$G$55)</f>
        <v/>
      </c>
      <c r="H295" s="60">
        <f>AND(B295:G295)</f>
        <v/>
      </c>
      <c r="I295" s="60">
        <f>COUNTIFS($H$9:$H$1273,TRUE,$BT$9:$BT$1273,BT295)</f>
        <v/>
      </c>
      <c r="J295" s="60">
        <f t="array" ref="J295">NOT(OR(($H$9:$H$1273=TRUE)*($I$9:$I$1273&gt;0)*($BT$9:$BT$1273=BT295)*($K$9:$K$1273&gt;K295)))</f>
        <v/>
      </c>
      <c r="K295" s="108">
        <f>IFERROR(1-AVERAGE(X295:Y295),"")</f>
        <v/>
      </c>
      <c r="L295" s="108">
        <f>1-X295</f>
        <v/>
      </c>
      <c r="M295" s="108">
        <f>1-Y295</f>
        <v/>
      </c>
      <c r="N295" s="108">
        <f>1-Z295</f>
        <v/>
      </c>
      <c r="O295" s="108">
        <f>1-AA295</f>
        <v/>
      </c>
      <c r="P295" s="108">
        <f>1-AB295</f>
        <v/>
      </c>
      <c r="Q295" s="108" t="n"/>
      <c r="R295" s="108" t="n"/>
      <c r="S295" s="108">
        <f>1-AE295</f>
        <v/>
      </c>
      <c r="T295" s="108">
        <f>1-AF295</f>
        <v/>
      </c>
      <c r="U295" s="108">
        <f>1-AG295</f>
        <v/>
      </c>
      <c r="V295" s="108">
        <f>1-AH295</f>
        <v/>
      </c>
      <c r="W295" s="108">
        <f>1-AI295</f>
        <v/>
      </c>
      <c r="X295" s="108">
        <f>ABS(AJ295-AJ$1)</f>
        <v/>
      </c>
      <c r="Y295" s="108">
        <f>AVERAGE(Z295:AB295)</f>
        <v/>
      </c>
      <c r="Z295" s="108">
        <f>ABS(AL295-AL$1)</f>
        <v/>
      </c>
      <c r="AA295" s="108">
        <f>ABS(AM295-AM$1)</f>
        <v/>
      </c>
      <c r="AB295" s="108">
        <f>ABS(AN295-AN$1)</f>
        <v/>
      </c>
      <c r="AC295" s="108" t="n"/>
      <c r="AD295" s="108" t="n"/>
      <c r="AE295" s="108">
        <f>ABS(AQ$1-AQ295)</f>
        <v/>
      </c>
      <c r="AF295" s="108">
        <f>ABS(AR$1-AR295)</f>
        <v/>
      </c>
      <c r="AG295" s="108">
        <f>ABS(AS$1-AS295)</f>
        <v/>
      </c>
      <c r="AH295" s="108">
        <f>ABS(AT$1-AT295)</f>
        <v/>
      </c>
      <c r="AI295" s="108">
        <f>ABS(AU$1-AU295)</f>
        <v/>
      </c>
      <c r="AJ295" s="108">
        <f>(AV295-Driver!$K$179)/(Driver!$L$179-Driver!$K$179)</f>
        <v/>
      </c>
      <c r="AK295" s="108">
        <f>(AW295-Driver!$K$180)/(Driver!$L$180-Driver!$K$180)</f>
        <v/>
      </c>
      <c r="AL295" s="108">
        <f>(AX295-Driver!$K$181)/(Driver!$L$181-Driver!$K$181)</f>
        <v/>
      </c>
      <c r="AM295" s="108">
        <f>(AY295-Driver!$K$182)/(Driver!$L$182-Driver!$K$182)</f>
        <v/>
      </c>
      <c r="AN295" s="108">
        <f>(AZ295-Driver!$K$183)/(Driver!$L$183-Driver!$K$183)</f>
        <v/>
      </c>
      <c r="AO295" s="108" t="n"/>
      <c r="AP295" s="108" t="n"/>
      <c r="AQ295" s="108">
        <f>(BC295-Driver!$K$188)/(Driver!$L$188-Driver!$K$188)</f>
        <v/>
      </c>
      <c r="AR295" s="108">
        <f>MIN((BD295-Driver!$K$189)/(Driver!$L$189-Driver!$K$189),100%)</f>
        <v/>
      </c>
      <c r="AS295" s="108">
        <f>(BE295-Driver!$K$190)/(Driver!$L$190-Driver!$K$190)</f>
        <v/>
      </c>
      <c r="AT295" s="108">
        <f>(BF295-Driver!$K$191)/(Driver!$L$191-Driver!$K$191)</f>
        <v/>
      </c>
      <c r="AU295" s="108">
        <f>(BG295-Driver!$K$192)/(Driver!$L$192-Driver!$K$192)</f>
        <v/>
      </c>
      <c r="AV295" s="105">
        <f>IFERROR(BM295*BJ295^1/4,"")</f>
        <v/>
      </c>
      <c r="AW295" s="105">
        <f>IFERROR(SUM(AX295:AZ295),"")</f>
        <v/>
      </c>
      <c r="AX295" s="105">
        <f>IFERROR(BH295,"")</f>
        <v/>
      </c>
      <c r="AY295" s="105">
        <f>IFERROR(Driver!$K$19/Data!BH295/Data!BI295*Data!BK295*Data!BL295,"")</f>
        <v/>
      </c>
      <c r="AZ295" s="105">
        <f>IFERROR(BI295*BN295,"")</f>
        <v/>
      </c>
      <c r="BA295" s="105" t="n"/>
      <c r="BB295" s="105" t="n"/>
      <c r="BC295" s="105">
        <f>IFERROR(BI295*BN295*BK295/BJ295^(1/2),"")</f>
        <v/>
      </c>
      <c r="BD295" s="105">
        <f>IFERROR(BH295*BM295*BL295/BJ295/BK295,"")</f>
        <v/>
      </c>
      <c r="BE295" s="105">
        <f>IFERROR(MIN(BI295/BQ295/BP295/BO295/BH295,$BE$1),"")</f>
        <v/>
      </c>
      <c r="BF295" s="105">
        <f>IFERROR(BJ295*BO295*BP295/BK295,"")</f>
        <v/>
      </c>
      <c r="BG295" s="105">
        <f>IFERROR(1/BM295/BH295*BQ295,"")</f>
        <v/>
      </c>
      <c r="BH295" s="102">
        <f>MAX((CE295-Driver!$F$200)/(Driver!$G$200-Driver!$F$200)*$BI$1,1)</f>
        <v/>
      </c>
      <c r="BI295" s="102">
        <f>MAX($BI$1*(BY295-Driver!$F$201)/(Driver!$G$201-Driver!$F$201),1)</f>
        <v/>
      </c>
      <c r="BJ295" s="102">
        <f>(CB295-Driver!$F$206)/(Driver!$G$206-Driver!$F$206)*$BI$1</f>
        <v/>
      </c>
      <c r="BK295" s="102">
        <f>(CD295-Driver!$F$203)/(Driver!$G$203-Driver!$F$203)*$BI$1</f>
        <v/>
      </c>
      <c r="BL295" s="102">
        <f>MAX((CR295-Driver!$F$202)/(Driver!$G$202-Driver!$F$202)*$BI$1,1)</f>
        <v/>
      </c>
      <c r="BM295" s="102">
        <f>MAX((CH295-Driver!$F$204)/(Driver!$G$204-Driver!$F$204)*$BI$1,1)</f>
        <v/>
      </c>
      <c r="BN295" s="102">
        <f>(CI295-Driver!$F$205)/(Driver!$G$205-Driver!$F$205)*$BI$1</f>
        <v/>
      </c>
      <c r="BO295" s="102">
        <f>(CK295-Driver!$F$207)/(Driver!$G$207-Driver!$F$207)*$BI$1</f>
        <v/>
      </c>
      <c r="BP295" s="102">
        <f>(CM295-Driver!$F$208)/(Driver!$G$208-Driver!$F$208)*$BI$1</f>
        <v/>
      </c>
      <c r="BQ295" s="102">
        <f>(CL295-Driver!$F$209)/(Driver!$G$209-Driver!$F$209)*$BI$1</f>
        <v/>
      </c>
      <c r="BR295" s="40" t="inlineStr">
        <is>
          <t>21/22</t>
        </is>
      </c>
      <c r="BS295" s="10" t="inlineStr">
        <is>
          <t xml:space="preserve"> K2</t>
        </is>
      </c>
      <c r="BT295" s="11" t="inlineStr">
        <is>
          <t xml:space="preserve"> Sight</t>
        </is>
      </c>
      <c r="BU295" s="13" t="n">
        <v>169</v>
      </c>
      <c r="BV295" s="11" t="inlineStr">
        <is>
          <t xml:space="preserve"> Unisex</t>
        </is>
      </c>
      <c r="BW295" s="13" t="n">
        <v>169</v>
      </c>
      <c r="BX295" s="13" t="n">
        <v>169.7</v>
      </c>
      <c r="BY295" s="13" t="n">
        <v>131</v>
      </c>
      <c r="BZ295" s="13" t="n">
        <v>137</v>
      </c>
      <c r="CA295" s="13" t="n">
        <v>116</v>
      </c>
      <c r="CB295" s="13" t="n">
        <v>87</v>
      </c>
      <c r="CC295" s="13" t="n">
        <v>110</v>
      </c>
      <c r="CD295" s="13" t="n">
        <v>16.9</v>
      </c>
      <c r="CE295" s="13" t="n">
        <v>1772</v>
      </c>
      <c r="CF295" s="13" t="n">
        <v>0.9399999999999999</v>
      </c>
      <c r="CG295" s="13" t="n">
        <v>1663</v>
      </c>
      <c r="CH295" s="13" t="n">
        <v>166</v>
      </c>
      <c r="CI295" s="13" t="n">
        <v>85</v>
      </c>
      <c r="CJ295" s="13" t="n">
        <v>49</v>
      </c>
      <c r="CK295" s="13" t="n">
        <v>190</v>
      </c>
      <c r="CL295" s="13" t="n">
        <v>48</v>
      </c>
      <c r="CM295" s="13" t="n">
        <v>200</v>
      </c>
      <c r="CN295" s="13" t="n">
        <v>0.963</v>
      </c>
      <c r="CO295" s="13" t="n">
        <v>163</v>
      </c>
      <c r="CP295" s="13" t="n">
        <v>167</v>
      </c>
      <c r="CQ295" s="13" t="n">
        <v>26</v>
      </c>
      <c r="CR295" s="13" t="n">
        <v>7</v>
      </c>
      <c r="CS295" s="13" t="n">
        <v>4</v>
      </c>
      <c r="CT295" s="11" t="inlineStr">
        <is>
          <t xml:space="preserve"> Freeski</t>
        </is>
      </c>
      <c r="CU295" s="13" t="n"/>
      <c r="CV295" s="13" t="n"/>
      <c r="CW295" s="13" t="n"/>
      <c r="CX295">
        <f>INDEX('Data_Price '!AG$2:AG$1266,MATCH(Data!$DN295,'Data_Price '!$AT$2:$AT$1266,0))</f>
        <v/>
      </c>
      <c r="CY295">
        <f>INDEX('Data_Price '!AH$2:AH$1266,MATCH(Data!$DN295,'Data_Price '!$AT$2:$AT$1266,0))</f>
        <v/>
      </c>
      <c r="CZ295">
        <f>INDEX('Data_Price '!AI$2:AI$1266,MATCH(Data!$DN295,'Data_Price '!$AT$2:$AT$1266,0))</f>
        <v/>
      </c>
      <c r="DA295">
        <f>INDEX('Data_Price '!AJ$2:AJ$1266,MATCH(Data!$DN295,'Data_Price '!$AT$2:$AT$1266,0))</f>
        <v/>
      </c>
      <c r="DB295">
        <f>INDEX('Data_Price '!AK$2:AK$1266,MATCH(Data!$DN295,'Data_Price '!$AT$2:$AT$1266,0))</f>
        <v/>
      </c>
      <c r="DC295">
        <f>INDEX('Data_Price '!AL$2:AL$1266,MATCH(Data!$DN295,'Data_Price '!$AT$2:$AT$1266,0))</f>
        <v/>
      </c>
      <c r="DD295">
        <f>INDEX('Data_Price '!AM$2:AM$1266,MATCH(Data!$DN295,'Data_Price '!$AT$2:$AT$1266,0))</f>
        <v/>
      </c>
      <c r="DE295">
        <f>INDEX('Data_Price '!AN$2:AN$1266,MATCH(Data!$DN295,'Data_Price '!$AT$2:$AT$1266,0))</f>
        <v/>
      </c>
      <c r="DF295">
        <f>INDEX('Data_Price '!AO$2:AO$1266,MATCH(Data!$DN295,'Data_Price '!$AT$2:$AT$1266,0))</f>
        <v/>
      </c>
      <c r="DG295">
        <f>INDEX('Data_Price '!AP$2:AP$1266,MATCH(Data!$DN295,'Data_Price '!$AT$2:$AT$1266,0))</f>
        <v/>
      </c>
      <c r="DH295">
        <f>INDEX('Data_Price '!AQ$2:AQ$1266,MATCH(Data!$DN295,'Data_Price '!$AT$2:$AT$1266,0))</f>
        <v/>
      </c>
      <c r="DI295">
        <f>INDEX('Data_Price '!AR$2:AR$1266,MATCH(Data!$DN295,'Data_Price '!$AT$2:$AT$1266,0))</f>
        <v/>
      </c>
      <c r="DJ295" s="138">
        <f>DA295</f>
        <v/>
      </c>
      <c r="DK295" s="138">
        <f>DE295</f>
        <v/>
      </c>
      <c r="DL295" s="138">
        <f>DI295</f>
        <v/>
      </c>
      <c r="DM295" s="303">
        <f>IF(LEFT(BT295,1)=" ",RIGHT(BT295,LEN(BT295)-1),BT295)</f>
        <v/>
      </c>
      <c r="DN295" s="138">
        <f>_xlfn.CONCAT(BS295,DM295,BU295,BV295)</f>
        <v/>
      </c>
      <c r="DO295" s="307" t="inlineStr">
        <is>
          <t>https://images.evo.com/imgp/250/201071/825172/k2-sight-skis-2022-.jpg</t>
        </is>
      </c>
    </row>
    <row r="296" ht="15.6" customHeight="1" s="184">
      <c r="B296" s="303">
        <f t="array" ref="B296">IF(OR(ISERROR(K296:P296)),FALSE,TRUE)</f>
        <v/>
      </c>
      <c r="C296" s="60">
        <f>OR(BR296=Driver!$G$50,Data!BR412=Driver!$H$50)</f>
        <v/>
      </c>
      <c r="D296" s="60">
        <f>OR(BV296=Driver!$G$51,BV296=Driver!$H$51)</f>
        <v/>
      </c>
      <c r="E296" s="60">
        <f>AND(BX296&gt;Driver!$F$54,BX296&lt;Driver!$G$54)</f>
        <v/>
      </c>
      <c r="F296" s="60">
        <f>CL296&gt;Driver!$F$56</f>
        <v/>
      </c>
      <c r="G296" s="60">
        <f>AND(CB296&gt;Driver!$F$55,CB296&lt;Driver!$G$55)</f>
        <v/>
      </c>
      <c r="H296" s="60">
        <f>AND(B296:G296)</f>
        <v/>
      </c>
      <c r="I296" s="60">
        <f>COUNTIFS($H$9:$H$1273,TRUE,$BT$9:$BT$1273,BT296)</f>
        <v/>
      </c>
      <c r="J296" s="60">
        <f t="array" ref="J296">NOT(OR(($H$9:$H$1273=TRUE)*($I$9:$I$1273&gt;0)*($BT$9:$BT$1273=BT296)*($K$9:$K$1273&gt;K296)))</f>
        <v/>
      </c>
      <c r="K296" s="108">
        <f>IFERROR(1-AVERAGE(X296:Y296),"")</f>
        <v/>
      </c>
      <c r="L296" s="108">
        <f>1-X296</f>
        <v/>
      </c>
      <c r="M296" s="108">
        <f>1-Y296</f>
        <v/>
      </c>
      <c r="N296" s="108">
        <f>1-Z296</f>
        <v/>
      </c>
      <c r="O296" s="108">
        <f>1-AA296</f>
        <v/>
      </c>
      <c r="P296" s="108">
        <f>1-AB296</f>
        <v/>
      </c>
      <c r="Q296" s="108" t="n"/>
      <c r="R296" s="108" t="n"/>
      <c r="S296" s="108">
        <f>1-AE296</f>
        <v/>
      </c>
      <c r="T296" s="108">
        <f>1-AF296</f>
        <v/>
      </c>
      <c r="U296" s="108">
        <f>1-AG296</f>
        <v/>
      </c>
      <c r="V296" s="108">
        <f>1-AH296</f>
        <v/>
      </c>
      <c r="W296" s="108">
        <f>1-AI296</f>
        <v/>
      </c>
      <c r="X296" s="108">
        <f>ABS(AJ296-AJ$1)</f>
        <v/>
      </c>
      <c r="Y296" s="108">
        <f>AVERAGE(Z296:AB296)</f>
        <v/>
      </c>
      <c r="Z296" s="108">
        <f>ABS(AL296-AL$1)</f>
        <v/>
      </c>
      <c r="AA296" s="108">
        <f>ABS(AM296-AM$1)</f>
        <v/>
      </c>
      <c r="AB296" s="108">
        <f>ABS(AN296-AN$1)</f>
        <v/>
      </c>
      <c r="AC296" s="108" t="n"/>
      <c r="AD296" s="108" t="n"/>
      <c r="AE296" s="108">
        <f>ABS(AQ$1-AQ296)</f>
        <v/>
      </c>
      <c r="AF296" s="108">
        <f>ABS(AR$1-AR296)</f>
        <v/>
      </c>
      <c r="AG296" s="108">
        <f>ABS(AS$1-AS296)</f>
        <v/>
      </c>
      <c r="AH296" s="108">
        <f>ABS(AT$1-AT296)</f>
        <v/>
      </c>
      <c r="AI296" s="108">
        <f>ABS(AU$1-AU296)</f>
        <v/>
      </c>
      <c r="AJ296" s="108">
        <f>(AV296-Driver!$K$179)/(Driver!$L$179-Driver!$K$179)</f>
        <v/>
      </c>
      <c r="AK296" s="108">
        <f>(AW296-Driver!$K$180)/(Driver!$L$180-Driver!$K$180)</f>
        <v/>
      </c>
      <c r="AL296" s="108">
        <f>(AX296-Driver!$K$181)/(Driver!$L$181-Driver!$K$181)</f>
        <v/>
      </c>
      <c r="AM296" s="108">
        <f>(AY296-Driver!$K$182)/(Driver!$L$182-Driver!$K$182)</f>
        <v/>
      </c>
      <c r="AN296" s="108">
        <f>(AZ296-Driver!$K$183)/(Driver!$L$183-Driver!$K$183)</f>
        <v/>
      </c>
      <c r="AO296" s="108" t="n"/>
      <c r="AP296" s="108" t="n"/>
      <c r="AQ296" s="108">
        <f>(BC296-Driver!$K$188)/(Driver!$L$188-Driver!$K$188)</f>
        <v/>
      </c>
      <c r="AR296" s="108">
        <f>MIN((BD296-Driver!$K$189)/(Driver!$L$189-Driver!$K$189),100%)</f>
        <v/>
      </c>
      <c r="AS296" s="108">
        <f>(BE296-Driver!$K$190)/(Driver!$L$190-Driver!$K$190)</f>
        <v/>
      </c>
      <c r="AT296" s="108">
        <f>(BF296-Driver!$K$191)/(Driver!$L$191-Driver!$K$191)</f>
        <v/>
      </c>
      <c r="AU296" s="108">
        <f>(BG296-Driver!$K$192)/(Driver!$L$192-Driver!$K$192)</f>
        <v/>
      </c>
      <c r="AV296" s="105">
        <f>IFERROR(BM296*BJ296^1/4,"")</f>
        <v/>
      </c>
      <c r="AW296" s="105">
        <f>IFERROR(SUM(AX296:AZ296),"")</f>
        <v/>
      </c>
      <c r="AX296" s="105">
        <f>IFERROR(BH296,"")</f>
        <v/>
      </c>
      <c r="AY296" s="105">
        <f>IFERROR(Driver!$K$19/Data!BH296/Data!BI296*Data!BK296*Data!BL296,"")</f>
        <v/>
      </c>
      <c r="AZ296" s="105">
        <f>IFERROR(BI296*BN296,"")</f>
        <v/>
      </c>
      <c r="BA296" s="105" t="n"/>
      <c r="BB296" s="105" t="n"/>
      <c r="BC296" s="105">
        <f>IFERROR(BI296*BN296*BK296/BJ296^(1/2),"")</f>
        <v/>
      </c>
      <c r="BD296" s="105">
        <f>IFERROR(BH296*BM296*BL296/BJ296/BK296,"")</f>
        <v/>
      </c>
      <c r="BE296" s="105">
        <f>IFERROR(MIN(BI296/BQ296/BP296/BO296/BH296,$BE$1),"")</f>
        <v/>
      </c>
      <c r="BF296" s="105">
        <f>IFERROR(BJ296*BO296*BP296/BK296,"")</f>
        <v/>
      </c>
      <c r="BG296" s="105">
        <f>IFERROR(1/BM296/BH296*BQ296,"")</f>
        <v/>
      </c>
      <c r="BH296" s="102">
        <f>MAX((CE296-Driver!$F$200)/(Driver!$G$200-Driver!$F$200)*$BI$1,1)</f>
        <v/>
      </c>
      <c r="BI296" s="102">
        <f>MAX($BI$1*(BY296-Driver!$F$201)/(Driver!$G$201-Driver!$F$201),1)</f>
        <v/>
      </c>
      <c r="BJ296" s="102">
        <f>(CB296-Driver!$F$206)/(Driver!$G$206-Driver!$F$206)*$BI$1</f>
        <v/>
      </c>
      <c r="BK296" s="102">
        <f>(CD296-Driver!$F$203)/(Driver!$G$203-Driver!$F$203)*$BI$1</f>
        <v/>
      </c>
      <c r="BL296" s="102">
        <f>MAX((CR296-Driver!$F$202)/(Driver!$G$202-Driver!$F$202)*$BI$1,1)</f>
        <v/>
      </c>
      <c r="BM296" s="102">
        <f>MAX((CH296-Driver!$F$204)/(Driver!$G$204-Driver!$F$204)*$BI$1,1)</f>
        <v/>
      </c>
      <c r="BN296" s="102">
        <f>(CI296-Driver!$F$205)/(Driver!$G$205-Driver!$F$205)*$BI$1</f>
        <v/>
      </c>
      <c r="BO296" s="102">
        <f>(CK296-Driver!$F$207)/(Driver!$G$207-Driver!$F$207)*$BI$1</f>
        <v/>
      </c>
      <c r="BP296" s="102">
        <f>(CM296-Driver!$F$208)/(Driver!$G$208-Driver!$F$208)*$BI$1</f>
        <v/>
      </c>
      <c r="BQ296" s="102">
        <f>(CL296-Driver!$F$209)/(Driver!$G$209-Driver!$F$209)*$BI$1</f>
        <v/>
      </c>
      <c r="BR296" s="40" t="inlineStr">
        <is>
          <t>21/22</t>
        </is>
      </c>
      <c r="BS296" s="10" t="inlineStr">
        <is>
          <t xml:space="preserve"> Dynastar</t>
        </is>
      </c>
      <c r="BT296" s="11" t="inlineStr">
        <is>
          <t>M-Tour 99</t>
        </is>
      </c>
      <c r="BU296" s="13" t="n">
        <v>170</v>
      </c>
      <c r="BV296" s="11" t="inlineStr">
        <is>
          <t xml:space="preserve"> Unisex</t>
        </is>
      </c>
      <c r="BW296" s="13" t="n">
        <v>170</v>
      </c>
      <c r="BX296" s="13" t="n">
        <v>169.6</v>
      </c>
      <c r="BY296" s="13" t="n">
        <v>123</v>
      </c>
      <c r="BZ296" s="13" t="n">
        <v>136</v>
      </c>
      <c r="CA296" s="13" t="n">
        <v>125</v>
      </c>
      <c r="CB296" s="13" t="n">
        <v>96</v>
      </c>
      <c r="CC296" s="13" t="n">
        <v>115</v>
      </c>
      <c r="CD296" s="13" t="n">
        <v>17.6</v>
      </c>
      <c r="CE296" s="13" t="n">
        <v>1245</v>
      </c>
      <c r="CF296" s="13" t="n">
        <v>1.44</v>
      </c>
      <c r="CG296" s="13" t="n">
        <v>1796</v>
      </c>
      <c r="CH296" s="13" t="n">
        <v>189</v>
      </c>
      <c r="CI296" s="13" t="n">
        <v>80</v>
      </c>
      <c r="CJ296" s="13" t="n">
        <v>55</v>
      </c>
      <c r="CK296" s="13" t="n">
        <v>320</v>
      </c>
      <c r="CL296" s="13" t="n">
        <v>14</v>
      </c>
      <c r="CM296" s="13" t="n">
        <v>149</v>
      </c>
      <c r="CN296" s="13" t="n">
        <v>0.255</v>
      </c>
      <c r="CO296" s="13" t="n">
        <v>201</v>
      </c>
      <c r="CP296" s="13" t="n">
        <v>132</v>
      </c>
      <c r="CQ296" s="13" t="n">
        <v>120</v>
      </c>
      <c r="CR296" s="13" t="n">
        <v>6</v>
      </c>
      <c r="CS296" s="13" t="n">
        <v>11.9</v>
      </c>
      <c r="CT296" s="11" t="inlineStr">
        <is>
          <t xml:space="preserve"> Touring</t>
        </is>
      </c>
      <c r="CU296" s="11" t="inlineStr">
        <is>
          <t xml:space="preserve"> Ultralight Touring</t>
        </is>
      </c>
      <c r="CV296" s="13" t="n"/>
      <c r="CW296" s="13" t="n"/>
      <c r="CX296">
        <f>INDEX('Data_Price '!AG$2:AG$1266,MATCH(Data!$DN296,'Data_Price '!$AT$2:$AT$1266,0))</f>
        <v/>
      </c>
      <c r="CY296">
        <f>INDEX('Data_Price '!AH$2:AH$1266,MATCH(Data!$DN296,'Data_Price '!$AT$2:$AT$1266,0))</f>
        <v/>
      </c>
      <c r="CZ296">
        <f>INDEX('Data_Price '!AI$2:AI$1266,MATCH(Data!$DN296,'Data_Price '!$AT$2:$AT$1266,0))</f>
        <v/>
      </c>
      <c r="DA296">
        <f>INDEX('Data_Price '!AJ$2:AJ$1266,MATCH(Data!$DN296,'Data_Price '!$AT$2:$AT$1266,0))</f>
        <v/>
      </c>
      <c r="DB296">
        <f>INDEX('Data_Price '!AK$2:AK$1266,MATCH(Data!$DN296,'Data_Price '!$AT$2:$AT$1266,0))</f>
        <v/>
      </c>
      <c r="DC296">
        <f>INDEX('Data_Price '!AL$2:AL$1266,MATCH(Data!$DN296,'Data_Price '!$AT$2:$AT$1266,0))</f>
        <v/>
      </c>
      <c r="DD296">
        <f>INDEX('Data_Price '!AM$2:AM$1266,MATCH(Data!$DN296,'Data_Price '!$AT$2:$AT$1266,0))</f>
        <v/>
      </c>
      <c r="DE296">
        <f>INDEX('Data_Price '!AN$2:AN$1266,MATCH(Data!$DN296,'Data_Price '!$AT$2:$AT$1266,0))</f>
        <v/>
      </c>
      <c r="DF296">
        <f>INDEX('Data_Price '!AO$2:AO$1266,MATCH(Data!$DN296,'Data_Price '!$AT$2:$AT$1266,0))</f>
        <v/>
      </c>
      <c r="DG296">
        <f>INDEX('Data_Price '!AP$2:AP$1266,MATCH(Data!$DN296,'Data_Price '!$AT$2:$AT$1266,0))</f>
        <v/>
      </c>
      <c r="DH296">
        <f>INDEX('Data_Price '!AQ$2:AQ$1266,MATCH(Data!$DN296,'Data_Price '!$AT$2:$AT$1266,0))</f>
        <v/>
      </c>
      <c r="DI296">
        <f>INDEX('Data_Price '!AR$2:AR$1266,MATCH(Data!$DN296,'Data_Price '!$AT$2:$AT$1266,0))</f>
        <v/>
      </c>
      <c r="DJ296" s="138">
        <f>DA296</f>
        <v/>
      </c>
      <c r="DK296" s="138">
        <f>DE296</f>
        <v/>
      </c>
      <c r="DL296" s="138">
        <f>DI296</f>
        <v/>
      </c>
      <c r="DM296" s="303">
        <f>IF(LEFT(BT296,1)=" ",RIGHT(BT296,LEN(BT296)-1),BT296)</f>
        <v/>
      </c>
      <c r="DN296" s="138">
        <f>_xlfn.CONCAT(BS296,DM296,BU296,BV296)</f>
        <v/>
      </c>
      <c r="DO296" s="307" t="inlineStr">
        <is>
          <t>https://images.evo.com/imgp/250/185154/738410/clone.jpg</t>
        </is>
      </c>
    </row>
    <row r="297" ht="15.6" customHeight="1" s="184">
      <c r="B297" s="303">
        <f t="array" ref="B297">IF(OR(ISERROR(K297:P297)),FALSE,TRUE)</f>
        <v/>
      </c>
      <c r="C297" s="60">
        <f>OR(BR297=Driver!$G$50,Data!BR246=Driver!$H$50)</f>
        <v/>
      </c>
      <c r="D297" s="60">
        <f>OR(BV297=Driver!$G$51,BV297=Driver!$H$51)</f>
        <v/>
      </c>
      <c r="E297" s="60">
        <f>AND(BX297&gt;Driver!$F$54,BX297&lt;Driver!$G$54)</f>
        <v/>
      </c>
      <c r="F297" s="60">
        <f>CL297&gt;Driver!$F$56</f>
        <v/>
      </c>
      <c r="G297" s="60">
        <f>AND(CB297&gt;Driver!$F$55,CB297&lt;Driver!$G$55)</f>
        <v/>
      </c>
      <c r="H297" s="60">
        <f>AND(B297:G297)</f>
        <v/>
      </c>
      <c r="I297" s="60">
        <f>COUNTIFS($H$9:$H$1273,TRUE,$BT$9:$BT$1273,BT297)</f>
        <v/>
      </c>
      <c r="J297" s="60">
        <f t="array" ref="J297">NOT(OR(($H$9:$H$1273=TRUE)*($I$9:$I$1273&gt;0)*($BT$9:$BT$1273=BT297)*($K$9:$K$1273&gt;K297)))</f>
        <v/>
      </c>
      <c r="K297" s="108">
        <f>IFERROR(1-AVERAGE(X297:Y297),"")</f>
        <v/>
      </c>
      <c r="L297" s="108">
        <f>1-X297</f>
        <v/>
      </c>
      <c r="M297" s="108">
        <f>1-Y297</f>
        <v/>
      </c>
      <c r="N297" s="108">
        <f>1-Z297</f>
        <v/>
      </c>
      <c r="O297" s="108">
        <f>1-AA297</f>
        <v/>
      </c>
      <c r="P297" s="108">
        <f>1-AB297</f>
        <v/>
      </c>
      <c r="Q297" s="108" t="n"/>
      <c r="R297" s="108" t="n"/>
      <c r="S297" s="108">
        <f>1-AE297</f>
        <v/>
      </c>
      <c r="T297" s="108">
        <f>1-AF297</f>
        <v/>
      </c>
      <c r="U297" s="108">
        <f>1-AG297</f>
        <v/>
      </c>
      <c r="V297" s="108">
        <f>1-AH297</f>
        <v/>
      </c>
      <c r="W297" s="108">
        <f>1-AI297</f>
        <v/>
      </c>
      <c r="X297" s="108">
        <f>ABS(AJ297-AJ$1)</f>
        <v/>
      </c>
      <c r="Y297" s="108">
        <f>AVERAGE(Z297:AB297)</f>
        <v/>
      </c>
      <c r="Z297" s="108">
        <f>ABS(AL297-AL$1)</f>
        <v/>
      </c>
      <c r="AA297" s="108">
        <f>ABS(AM297-AM$1)</f>
        <v/>
      </c>
      <c r="AB297" s="108">
        <f>ABS(AN297-AN$1)</f>
        <v/>
      </c>
      <c r="AC297" s="108" t="n"/>
      <c r="AD297" s="108" t="n"/>
      <c r="AE297" s="108">
        <f>ABS(AQ$1-AQ297)</f>
        <v/>
      </c>
      <c r="AF297" s="108">
        <f>ABS(AR$1-AR297)</f>
        <v/>
      </c>
      <c r="AG297" s="108">
        <f>ABS(AS$1-AS297)</f>
        <v/>
      </c>
      <c r="AH297" s="108">
        <f>ABS(AT$1-AT297)</f>
        <v/>
      </c>
      <c r="AI297" s="108">
        <f>ABS(AU$1-AU297)</f>
        <v/>
      </c>
      <c r="AJ297" s="108">
        <f>(AV297-Driver!$K$179)/(Driver!$L$179-Driver!$K$179)</f>
        <v/>
      </c>
      <c r="AK297" s="108">
        <f>(AW297-Driver!$K$180)/(Driver!$L$180-Driver!$K$180)</f>
        <v/>
      </c>
      <c r="AL297" s="108">
        <f>(AX297-Driver!$K$181)/(Driver!$L$181-Driver!$K$181)</f>
        <v/>
      </c>
      <c r="AM297" s="108">
        <f>(AY297-Driver!$K$182)/(Driver!$L$182-Driver!$K$182)</f>
        <v/>
      </c>
      <c r="AN297" s="108">
        <f>(AZ297-Driver!$K$183)/(Driver!$L$183-Driver!$K$183)</f>
        <v/>
      </c>
      <c r="AO297" s="108" t="n"/>
      <c r="AP297" s="108" t="n"/>
      <c r="AQ297" s="108">
        <f>(BC297-Driver!$K$188)/(Driver!$L$188-Driver!$K$188)</f>
        <v/>
      </c>
      <c r="AR297" s="108">
        <f>MIN((BD297-Driver!$K$189)/(Driver!$L$189-Driver!$K$189),100%)</f>
        <v/>
      </c>
      <c r="AS297" s="108">
        <f>(BE297-Driver!$K$190)/(Driver!$L$190-Driver!$K$190)</f>
        <v/>
      </c>
      <c r="AT297" s="108">
        <f>(BF297-Driver!$K$191)/(Driver!$L$191-Driver!$K$191)</f>
        <v/>
      </c>
      <c r="AU297" s="108">
        <f>(BG297-Driver!$K$192)/(Driver!$L$192-Driver!$K$192)</f>
        <v/>
      </c>
      <c r="AV297" s="105">
        <f>IFERROR(BM297*BJ297^1/4,"")</f>
        <v/>
      </c>
      <c r="AW297" s="105">
        <f>IFERROR(SUM(AX297:AZ297),"")</f>
        <v/>
      </c>
      <c r="AX297" s="105">
        <f>IFERROR(BH297,"")</f>
        <v/>
      </c>
      <c r="AY297" s="105">
        <f>IFERROR(Driver!$K$19/Data!BH297/Data!BI297*Data!BK297*Data!BL297,"")</f>
        <v/>
      </c>
      <c r="AZ297" s="105">
        <f>IFERROR(BI297*BN297,"")</f>
        <v/>
      </c>
      <c r="BA297" s="105" t="n"/>
      <c r="BB297" s="105" t="n"/>
      <c r="BC297" s="105">
        <f>IFERROR(BI297*BN297*BK297/BJ297^(1/2),"")</f>
        <v/>
      </c>
      <c r="BD297" s="105">
        <f>IFERROR(BH297*BM297*BL297/BJ297/BK297,"")</f>
        <v/>
      </c>
      <c r="BE297" s="105">
        <f>IFERROR(MIN(BI297/BQ297/BP297/BO297/BH297,$BE$1),"")</f>
        <v/>
      </c>
      <c r="BF297" s="105">
        <f>IFERROR(BJ297*BO297*BP297/BK297,"")</f>
        <v/>
      </c>
      <c r="BG297" s="105">
        <f>IFERROR(1/BM297/BH297*BQ297,"")</f>
        <v/>
      </c>
      <c r="BH297" s="102">
        <f>MAX((CE297-Driver!$F$200)/(Driver!$G$200-Driver!$F$200)*$BI$1,1)</f>
        <v/>
      </c>
      <c r="BI297" s="102">
        <f>MAX($BI$1*(BY297-Driver!$F$201)/(Driver!$G$201-Driver!$F$201),1)</f>
        <v/>
      </c>
      <c r="BJ297" s="102">
        <f>(CB297-Driver!$F$206)/(Driver!$G$206-Driver!$F$206)*$BI$1</f>
        <v/>
      </c>
      <c r="BK297" s="102">
        <f>(CD297-Driver!$F$203)/(Driver!$G$203-Driver!$F$203)*$BI$1</f>
        <v/>
      </c>
      <c r="BL297" s="102">
        <f>MAX((CR297-Driver!$F$202)/(Driver!$G$202-Driver!$F$202)*$BI$1,1)</f>
        <v/>
      </c>
      <c r="BM297" s="102">
        <f>MAX((CH297-Driver!$F$204)/(Driver!$G$204-Driver!$F$204)*$BI$1,1)</f>
        <v/>
      </c>
      <c r="BN297" s="102">
        <f>(CI297-Driver!$F$205)/(Driver!$G$205-Driver!$F$205)*$BI$1</f>
        <v/>
      </c>
      <c r="BO297" s="102">
        <f>(CK297-Driver!$F$207)/(Driver!$G$207-Driver!$F$207)*$BI$1</f>
        <v/>
      </c>
      <c r="BP297" s="102">
        <f>(CM297-Driver!$F$208)/(Driver!$G$208-Driver!$F$208)*$BI$1</f>
        <v/>
      </c>
      <c r="BQ297" s="102">
        <f>(CL297-Driver!$F$209)/(Driver!$G$209-Driver!$F$209)*$BI$1</f>
        <v/>
      </c>
      <c r="BR297" s="40" t="inlineStr">
        <is>
          <t>21/22</t>
        </is>
      </c>
      <c r="BS297" s="10" t="inlineStr">
        <is>
          <t xml:space="preserve"> Black Diamond</t>
        </is>
      </c>
      <c r="BT297" s="11" t="inlineStr">
        <is>
          <t>Impulse 104</t>
        </is>
      </c>
      <c r="BU297" s="13" t="n">
        <v>165</v>
      </c>
      <c r="BV297" s="11" t="inlineStr">
        <is>
          <t xml:space="preserve"> Unisex</t>
        </is>
      </c>
      <c r="BW297" s="13" t="n">
        <v>165</v>
      </c>
      <c r="BX297" s="13" t="n">
        <v>165.7</v>
      </c>
      <c r="BY297" s="13" t="n">
        <v>120</v>
      </c>
      <c r="BZ297" s="13" t="n">
        <v>131</v>
      </c>
      <c r="CA297" s="13" t="n">
        <v>134</v>
      </c>
      <c r="CB297" s="13" t="n">
        <v>103</v>
      </c>
      <c r="CC297" s="13" t="n">
        <v>122</v>
      </c>
      <c r="CD297" s="13" t="n">
        <v>15.9</v>
      </c>
      <c r="CE297" s="13" t="n">
        <v>1780</v>
      </c>
      <c r="CF297" s="13" t="n">
        <v>1.05</v>
      </c>
      <c r="CG297" s="13" t="n">
        <v>1864</v>
      </c>
      <c r="CH297" s="13" t="n">
        <v>185</v>
      </c>
      <c r="CI297" s="13" t="n">
        <v>75</v>
      </c>
      <c r="CJ297" s="13" t="n">
        <v>39</v>
      </c>
      <c r="CK297" s="13" t="n">
        <v>272</v>
      </c>
      <c r="CL297" s="13" t="n">
        <v>19</v>
      </c>
      <c r="CM297" s="13" t="n">
        <v>185</v>
      </c>
      <c r="CN297" s="13" t="n">
        <v>0.493</v>
      </c>
      <c r="CO297" s="13" t="n">
        <v>214</v>
      </c>
      <c r="CP297" s="13" t="n">
        <v>137</v>
      </c>
      <c r="CQ297" s="13" t="n">
        <v>58</v>
      </c>
      <c r="CR297" s="13" t="n">
        <v>8</v>
      </c>
      <c r="CS297" s="13" t="n">
        <v>8.4</v>
      </c>
      <c r="CT297" s="11" t="inlineStr">
        <is>
          <t xml:space="preserve"> Resort Freeride</t>
        </is>
      </c>
      <c r="CU297" s="11" t="inlineStr">
        <is>
          <t xml:space="preserve"> Powder</t>
        </is>
      </c>
      <c r="CV297" s="13" t="n"/>
      <c r="CW297" s="13" t="n"/>
      <c r="CX297">
        <f>INDEX('Data_Price '!AG$2:AG$1266,MATCH(Data!$DN297,'Data_Price '!$AT$2:$AT$1266,0))</f>
        <v/>
      </c>
      <c r="CY297">
        <f>INDEX('Data_Price '!AH$2:AH$1266,MATCH(Data!$DN297,'Data_Price '!$AT$2:$AT$1266,0))</f>
        <v/>
      </c>
      <c r="CZ297">
        <f>INDEX('Data_Price '!AI$2:AI$1266,MATCH(Data!$DN297,'Data_Price '!$AT$2:$AT$1266,0))</f>
        <v/>
      </c>
      <c r="DA297">
        <f>INDEX('Data_Price '!AJ$2:AJ$1266,MATCH(Data!$DN297,'Data_Price '!$AT$2:$AT$1266,0))</f>
        <v/>
      </c>
      <c r="DB297">
        <f>INDEX('Data_Price '!AK$2:AK$1266,MATCH(Data!$DN297,'Data_Price '!$AT$2:$AT$1266,0))</f>
        <v/>
      </c>
      <c r="DC297">
        <f>INDEX('Data_Price '!AL$2:AL$1266,MATCH(Data!$DN297,'Data_Price '!$AT$2:$AT$1266,0))</f>
        <v/>
      </c>
      <c r="DD297">
        <f>INDEX('Data_Price '!AM$2:AM$1266,MATCH(Data!$DN297,'Data_Price '!$AT$2:$AT$1266,0))</f>
        <v/>
      </c>
      <c r="DE297">
        <f>INDEX('Data_Price '!AN$2:AN$1266,MATCH(Data!$DN297,'Data_Price '!$AT$2:$AT$1266,0))</f>
        <v/>
      </c>
      <c r="DF297">
        <f>INDEX('Data_Price '!AO$2:AO$1266,MATCH(Data!$DN297,'Data_Price '!$AT$2:$AT$1266,0))</f>
        <v/>
      </c>
      <c r="DG297">
        <f>INDEX('Data_Price '!AP$2:AP$1266,MATCH(Data!$DN297,'Data_Price '!$AT$2:$AT$1266,0))</f>
        <v/>
      </c>
      <c r="DH297">
        <f>INDEX('Data_Price '!AQ$2:AQ$1266,MATCH(Data!$DN297,'Data_Price '!$AT$2:$AT$1266,0))</f>
        <v/>
      </c>
      <c r="DI297">
        <f>INDEX('Data_Price '!AR$2:AR$1266,MATCH(Data!$DN297,'Data_Price '!$AT$2:$AT$1266,0))</f>
        <v/>
      </c>
      <c r="DJ297" s="138">
        <f>DA297</f>
        <v/>
      </c>
      <c r="DK297" s="138">
        <f>DE297</f>
        <v/>
      </c>
      <c r="DL297" s="138">
        <f>DI297</f>
        <v/>
      </c>
      <c r="DM297" s="303">
        <f>IF(LEFT(BT297,1)=" ",RIGHT(BT297,LEN(BT297)-1),BT297)</f>
        <v/>
      </c>
      <c r="DN297" s="138">
        <f>_xlfn.CONCAT(BS297,DM297,BU297,BV297)</f>
        <v/>
      </c>
      <c r="DO297" s="307" t="inlineStr">
        <is>
          <t>https://images.evo.com/imgp/250/200507/836805/black-diamond-impulse-104-skis-2022-.jpg</t>
        </is>
      </c>
    </row>
    <row r="298" ht="15.6" customHeight="1" s="184">
      <c r="B298" s="303">
        <f t="array" ref="B298">IF(OR(ISERROR(K298:P298)),FALSE,TRUE)</f>
        <v/>
      </c>
      <c r="C298" s="60">
        <f>OR(BR298=Driver!$G$50,Data!BR414=Driver!$H$50)</f>
        <v/>
      </c>
      <c r="D298" s="60">
        <f>OR(BV298=Driver!$G$51,BV298=Driver!$H$51)</f>
        <v/>
      </c>
      <c r="E298" s="60">
        <f>AND(BX298&gt;Driver!$F$54,BX298&lt;Driver!$G$54)</f>
        <v/>
      </c>
      <c r="F298" s="60">
        <f>CL298&gt;Driver!$F$56</f>
        <v/>
      </c>
      <c r="G298" s="60">
        <f>AND(CB298&gt;Driver!$F$55,CB298&lt;Driver!$G$55)</f>
        <v/>
      </c>
      <c r="H298" s="60">
        <f>AND(B298:G298)</f>
        <v/>
      </c>
      <c r="I298" s="60">
        <f>COUNTIFS($H$9:$H$1273,TRUE,$BT$9:$BT$1273,BT298)</f>
        <v/>
      </c>
      <c r="J298" s="60">
        <f t="array" ref="J298">NOT(OR(($H$9:$H$1273=TRUE)*($I$9:$I$1273&gt;0)*($BT$9:$BT$1273=BT298)*($K$9:$K$1273&gt;K298)))</f>
        <v/>
      </c>
      <c r="K298" s="108">
        <f>IFERROR(1-AVERAGE(X298:Y298),"")</f>
        <v/>
      </c>
      <c r="L298" s="108">
        <f>1-X298</f>
        <v/>
      </c>
      <c r="M298" s="108">
        <f>1-Y298</f>
        <v/>
      </c>
      <c r="N298" s="108">
        <f>1-Z298</f>
        <v/>
      </c>
      <c r="O298" s="108">
        <f>1-AA298</f>
        <v/>
      </c>
      <c r="P298" s="108">
        <f>1-AB298</f>
        <v/>
      </c>
      <c r="Q298" s="108" t="n"/>
      <c r="R298" s="108" t="n"/>
      <c r="S298" s="108">
        <f>1-AE298</f>
        <v/>
      </c>
      <c r="T298" s="108">
        <f>1-AF298</f>
        <v/>
      </c>
      <c r="U298" s="108">
        <f>1-AG298</f>
        <v/>
      </c>
      <c r="V298" s="108">
        <f>1-AH298</f>
        <v/>
      </c>
      <c r="W298" s="108">
        <f>1-AI298</f>
        <v/>
      </c>
      <c r="X298" s="108">
        <f>ABS(AJ298-AJ$1)</f>
        <v/>
      </c>
      <c r="Y298" s="108">
        <f>AVERAGE(Z298:AB298)</f>
        <v/>
      </c>
      <c r="Z298" s="108">
        <f>ABS(AL298-AL$1)</f>
        <v/>
      </c>
      <c r="AA298" s="108">
        <f>ABS(AM298-AM$1)</f>
        <v/>
      </c>
      <c r="AB298" s="108">
        <f>ABS(AN298-AN$1)</f>
        <v/>
      </c>
      <c r="AC298" s="108" t="n"/>
      <c r="AD298" s="108" t="n"/>
      <c r="AE298" s="108">
        <f>ABS(AQ$1-AQ298)</f>
        <v/>
      </c>
      <c r="AF298" s="108">
        <f>ABS(AR$1-AR298)</f>
        <v/>
      </c>
      <c r="AG298" s="108">
        <f>ABS(AS$1-AS298)</f>
        <v/>
      </c>
      <c r="AH298" s="108">
        <f>ABS(AT$1-AT298)</f>
        <v/>
      </c>
      <c r="AI298" s="108">
        <f>ABS(AU$1-AU298)</f>
        <v/>
      </c>
      <c r="AJ298" s="108">
        <f>(AV298-Driver!$K$179)/(Driver!$L$179-Driver!$K$179)</f>
        <v/>
      </c>
      <c r="AK298" s="108">
        <f>(AW298-Driver!$K$180)/(Driver!$L$180-Driver!$K$180)</f>
        <v/>
      </c>
      <c r="AL298" s="108">
        <f>(AX298-Driver!$K$181)/(Driver!$L$181-Driver!$K$181)</f>
        <v/>
      </c>
      <c r="AM298" s="108">
        <f>(AY298-Driver!$K$182)/(Driver!$L$182-Driver!$K$182)</f>
        <v/>
      </c>
      <c r="AN298" s="108">
        <f>(AZ298-Driver!$K$183)/(Driver!$L$183-Driver!$K$183)</f>
        <v/>
      </c>
      <c r="AO298" s="108" t="n"/>
      <c r="AP298" s="108" t="n"/>
      <c r="AQ298" s="108">
        <f>(BC298-Driver!$K$188)/(Driver!$L$188-Driver!$K$188)</f>
        <v/>
      </c>
      <c r="AR298" s="108">
        <f>MIN((BD298-Driver!$K$189)/(Driver!$L$189-Driver!$K$189),100%)</f>
        <v/>
      </c>
      <c r="AS298" s="108">
        <f>(BE298-Driver!$K$190)/(Driver!$L$190-Driver!$K$190)</f>
        <v/>
      </c>
      <c r="AT298" s="108">
        <f>(BF298-Driver!$K$191)/(Driver!$L$191-Driver!$K$191)</f>
        <v/>
      </c>
      <c r="AU298" s="108">
        <f>(BG298-Driver!$K$192)/(Driver!$L$192-Driver!$K$192)</f>
        <v/>
      </c>
      <c r="AV298" s="105">
        <f>IFERROR(BM298*BJ298^1/4,"")</f>
        <v/>
      </c>
      <c r="AW298" s="105">
        <f>IFERROR(SUM(AX298:AZ298),"")</f>
        <v/>
      </c>
      <c r="AX298" s="105">
        <f>IFERROR(BH298,"")</f>
        <v/>
      </c>
      <c r="AY298" s="105">
        <f>IFERROR(Driver!$K$19/Data!BH298/Data!BI298*Data!BK298*Data!BL298,"")</f>
        <v/>
      </c>
      <c r="AZ298" s="105">
        <f>IFERROR(BI298*BN298,"")</f>
        <v/>
      </c>
      <c r="BA298" s="105" t="n"/>
      <c r="BB298" s="105" t="n"/>
      <c r="BC298" s="105">
        <f>IFERROR(BI298*BN298*BK298/BJ298^(1/2),"")</f>
        <v/>
      </c>
      <c r="BD298" s="105">
        <f>IFERROR(BH298*BM298*BL298/BJ298/BK298,"")</f>
        <v/>
      </c>
      <c r="BE298" s="105">
        <f>IFERROR(MIN(BI298/BQ298/BP298/BO298/BH298,$BE$1),"")</f>
        <v/>
      </c>
      <c r="BF298" s="105">
        <f>IFERROR(BJ298*BO298*BP298/BK298,"")</f>
        <v/>
      </c>
      <c r="BG298" s="105">
        <f>IFERROR(1/BM298/BH298*BQ298,"")</f>
        <v/>
      </c>
      <c r="BH298" s="102">
        <f>MAX((CE298-Driver!$F$200)/(Driver!$G$200-Driver!$F$200)*$BI$1,1)</f>
        <v/>
      </c>
      <c r="BI298" s="102">
        <f>MAX($BI$1*(BY298-Driver!$F$201)/(Driver!$G$201-Driver!$F$201),1)</f>
        <v/>
      </c>
      <c r="BJ298" s="102">
        <f>(CB298-Driver!$F$206)/(Driver!$G$206-Driver!$F$206)*$BI$1</f>
        <v/>
      </c>
      <c r="BK298" s="102">
        <f>(CD298-Driver!$F$203)/(Driver!$G$203-Driver!$F$203)*$BI$1</f>
        <v/>
      </c>
      <c r="BL298" s="102">
        <f>MAX((CR298-Driver!$F$202)/(Driver!$G$202-Driver!$F$202)*$BI$1,1)</f>
        <v/>
      </c>
      <c r="BM298" s="102">
        <f>MAX((CH298-Driver!$F$204)/(Driver!$G$204-Driver!$F$204)*$BI$1,1)</f>
        <v/>
      </c>
      <c r="BN298" s="102">
        <f>(CI298-Driver!$F$205)/(Driver!$G$205-Driver!$F$205)*$BI$1</f>
        <v/>
      </c>
      <c r="BO298" s="102">
        <f>(CK298-Driver!$F$207)/(Driver!$G$207-Driver!$F$207)*$BI$1</f>
        <v/>
      </c>
      <c r="BP298" s="102">
        <f>(CM298-Driver!$F$208)/(Driver!$G$208-Driver!$F$208)*$BI$1</f>
        <v/>
      </c>
      <c r="BQ298" s="102">
        <f>(CL298-Driver!$F$209)/(Driver!$G$209-Driver!$F$209)*$BI$1</f>
        <v/>
      </c>
      <c r="BR298" s="40" t="inlineStr">
        <is>
          <t>21/22</t>
        </is>
      </c>
      <c r="BS298" s="10" t="inlineStr">
        <is>
          <t xml:space="preserve"> Dynastar</t>
        </is>
      </c>
      <c r="BT298" s="11" t="inlineStr">
        <is>
          <t>M-Tour 99</t>
        </is>
      </c>
      <c r="BU298" s="13" t="n">
        <v>186</v>
      </c>
      <c r="BV298" s="11" t="inlineStr">
        <is>
          <t xml:space="preserve"> Unisex</t>
        </is>
      </c>
      <c r="BW298" s="13" t="n">
        <v>186</v>
      </c>
      <c r="BX298" s="13" t="n">
        <v>185.2</v>
      </c>
      <c r="BY298" s="13" t="n">
        <v>138</v>
      </c>
      <c r="BZ298" s="13" t="n">
        <v>153</v>
      </c>
      <c r="CA298" s="13" t="n">
        <v>126</v>
      </c>
      <c r="CB298" s="13" t="n">
        <v>97</v>
      </c>
      <c r="CC298" s="13" t="n">
        <v>116</v>
      </c>
      <c r="CD298" s="13" t="n">
        <v>22.1</v>
      </c>
      <c r="CE298" s="13" t="n">
        <v>1421</v>
      </c>
      <c r="CF298" s="13" t="n">
        <v>1.39</v>
      </c>
      <c r="CG298" s="13" t="n">
        <v>1975</v>
      </c>
      <c r="CH298" s="13" t="n">
        <v>278</v>
      </c>
      <c r="CI298" s="13" t="n">
        <v>92</v>
      </c>
      <c r="CJ298" s="13" t="n">
        <v>56</v>
      </c>
      <c r="CK298" s="13" t="n">
        <v>324</v>
      </c>
      <c r="CL298" s="13" t="n">
        <v>12</v>
      </c>
      <c r="CM298" s="13" t="n">
        <v>145</v>
      </c>
      <c r="CN298" s="13" t="n">
        <v>0.214</v>
      </c>
      <c r="CO298" s="13" t="n">
        <v>201</v>
      </c>
      <c r="CP298" s="13" t="n">
        <v>122</v>
      </c>
      <c r="CQ298" s="13" t="n">
        <v>123</v>
      </c>
      <c r="CR298" s="13" t="n">
        <v>7</v>
      </c>
      <c r="CS298" s="13" t="n">
        <v>12.4</v>
      </c>
      <c r="CT298" s="11" t="inlineStr">
        <is>
          <t xml:space="preserve"> Touring</t>
        </is>
      </c>
      <c r="CU298" s="11" t="inlineStr">
        <is>
          <t xml:space="preserve"> Ultralight Touring</t>
        </is>
      </c>
      <c r="CV298" s="13" t="n"/>
      <c r="CW298" s="13" t="n"/>
      <c r="CX298">
        <f>INDEX('Data_Price '!AG$2:AG$1266,MATCH(Data!$DN298,'Data_Price '!$AT$2:$AT$1266,0))</f>
        <v/>
      </c>
      <c r="CY298">
        <f>INDEX('Data_Price '!AH$2:AH$1266,MATCH(Data!$DN298,'Data_Price '!$AT$2:$AT$1266,0))</f>
        <v/>
      </c>
      <c r="CZ298">
        <f>INDEX('Data_Price '!AI$2:AI$1266,MATCH(Data!$DN298,'Data_Price '!$AT$2:$AT$1266,0))</f>
        <v/>
      </c>
      <c r="DA298">
        <f>INDEX('Data_Price '!AJ$2:AJ$1266,MATCH(Data!$DN298,'Data_Price '!$AT$2:$AT$1266,0))</f>
        <v/>
      </c>
      <c r="DB298">
        <f>INDEX('Data_Price '!AK$2:AK$1266,MATCH(Data!$DN298,'Data_Price '!$AT$2:$AT$1266,0))</f>
        <v/>
      </c>
      <c r="DC298">
        <f>INDEX('Data_Price '!AL$2:AL$1266,MATCH(Data!$DN298,'Data_Price '!$AT$2:$AT$1266,0))</f>
        <v/>
      </c>
      <c r="DD298">
        <f>INDEX('Data_Price '!AM$2:AM$1266,MATCH(Data!$DN298,'Data_Price '!$AT$2:$AT$1266,0))</f>
        <v/>
      </c>
      <c r="DE298">
        <f>INDEX('Data_Price '!AN$2:AN$1266,MATCH(Data!$DN298,'Data_Price '!$AT$2:$AT$1266,0))</f>
        <v/>
      </c>
      <c r="DF298">
        <f>INDEX('Data_Price '!AO$2:AO$1266,MATCH(Data!$DN298,'Data_Price '!$AT$2:$AT$1266,0))</f>
        <v/>
      </c>
      <c r="DG298">
        <f>INDEX('Data_Price '!AP$2:AP$1266,MATCH(Data!$DN298,'Data_Price '!$AT$2:$AT$1266,0))</f>
        <v/>
      </c>
      <c r="DH298">
        <f>INDEX('Data_Price '!AQ$2:AQ$1266,MATCH(Data!$DN298,'Data_Price '!$AT$2:$AT$1266,0))</f>
        <v/>
      </c>
      <c r="DI298">
        <f>INDEX('Data_Price '!AR$2:AR$1266,MATCH(Data!$DN298,'Data_Price '!$AT$2:$AT$1266,0))</f>
        <v/>
      </c>
      <c r="DJ298" s="138">
        <f>DA298</f>
        <v/>
      </c>
      <c r="DK298" s="138">
        <f>DE298</f>
        <v/>
      </c>
      <c r="DL298" s="138">
        <f>DI298</f>
        <v/>
      </c>
      <c r="DM298" s="303">
        <f>IF(LEFT(BT298,1)=" ",RIGHT(BT298,LEN(BT298)-1),BT298)</f>
        <v/>
      </c>
      <c r="DN298" s="138">
        <f>_xlfn.CONCAT(BS298,DM298,BU298,BV298)</f>
        <v/>
      </c>
      <c r="DO298" s="307" t="inlineStr">
        <is>
          <t>https://images.evo.com/imgp/250/185154/738410/clone.jpg</t>
        </is>
      </c>
    </row>
    <row r="299" ht="15.6" customHeight="1" s="184">
      <c r="B299" s="303">
        <f t="array" ref="B299">IF(OR(ISERROR(K299:P299)),FALSE,TRUE)</f>
        <v/>
      </c>
      <c r="C299" s="60">
        <f>OR(BR299=Driver!$G$50,Data!BR882=Driver!$H$50)</f>
        <v/>
      </c>
      <c r="D299" s="60">
        <f>OR(BV299=Driver!$G$51,BV299=Driver!$H$51)</f>
        <v/>
      </c>
      <c r="E299" s="60">
        <f>AND(BX299&gt;Driver!$F$54,BX299&lt;Driver!$G$54)</f>
        <v/>
      </c>
      <c r="F299" s="60">
        <f>CL299&gt;Driver!$F$56</f>
        <v/>
      </c>
      <c r="G299" s="60">
        <f>AND(CB299&gt;Driver!$F$55,CB299&lt;Driver!$G$55)</f>
        <v/>
      </c>
      <c r="H299" s="60">
        <f>AND(B299:G299)</f>
        <v/>
      </c>
      <c r="I299" s="60">
        <f>COUNTIFS($H$9:$H$1273,TRUE,$BT$9:$BT$1273,BT299)</f>
        <v/>
      </c>
      <c r="J299" s="60">
        <f t="array" ref="J299">NOT(OR(($H$9:$H$1273=TRUE)*($I$9:$I$1273&gt;0)*($BT$9:$BT$1273=BT299)*($K$9:$K$1273&gt;K299)))</f>
        <v/>
      </c>
      <c r="K299" s="108">
        <f>IFERROR(1-AVERAGE(X299:Y299),"")</f>
        <v/>
      </c>
      <c r="L299" s="108">
        <f>1-X299</f>
        <v/>
      </c>
      <c r="M299" s="108">
        <f>1-Y299</f>
        <v/>
      </c>
      <c r="N299" s="108">
        <f>1-Z299</f>
        <v/>
      </c>
      <c r="O299" s="108">
        <f>1-AA299</f>
        <v/>
      </c>
      <c r="P299" s="108">
        <f>1-AB299</f>
        <v/>
      </c>
      <c r="Q299" s="108" t="n"/>
      <c r="R299" s="108" t="n"/>
      <c r="S299" s="108">
        <f>1-AE299</f>
        <v/>
      </c>
      <c r="T299" s="108">
        <f>1-AF299</f>
        <v/>
      </c>
      <c r="U299" s="108">
        <f>1-AG299</f>
        <v/>
      </c>
      <c r="V299" s="108">
        <f>1-AH299</f>
        <v/>
      </c>
      <c r="W299" s="108">
        <f>1-AI299</f>
        <v/>
      </c>
      <c r="X299" s="108">
        <f>ABS(AJ299-AJ$1)</f>
        <v/>
      </c>
      <c r="Y299" s="108">
        <f>AVERAGE(Z299:AB299)</f>
        <v/>
      </c>
      <c r="Z299" s="108">
        <f>ABS(AL299-AL$1)</f>
        <v/>
      </c>
      <c r="AA299" s="108">
        <f>ABS(AM299-AM$1)</f>
        <v/>
      </c>
      <c r="AB299" s="108">
        <f>ABS(AN299-AN$1)</f>
        <v/>
      </c>
      <c r="AC299" s="108" t="n"/>
      <c r="AD299" s="108" t="n"/>
      <c r="AE299" s="108">
        <f>ABS(AQ$1-AQ299)</f>
        <v/>
      </c>
      <c r="AF299" s="108">
        <f>ABS(AR$1-AR299)</f>
        <v/>
      </c>
      <c r="AG299" s="108">
        <f>ABS(AS$1-AS299)</f>
        <v/>
      </c>
      <c r="AH299" s="108">
        <f>ABS(AT$1-AT299)</f>
        <v/>
      </c>
      <c r="AI299" s="108">
        <f>ABS(AU$1-AU299)</f>
        <v/>
      </c>
      <c r="AJ299" s="108">
        <f>(AV299-Driver!$K$179)/(Driver!$L$179-Driver!$K$179)</f>
        <v/>
      </c>
      <c r="AK299" s="108">
        <f>(AW299-Driver!$K$180)/(Driver!$L$180-Driver!$K$180)</f>
        <v/>
      </c>
      <c r="AL299" s="108">
        <f>(AX299-Driver!$K$181)/(Driver!$L$181-Driver!$K$181)</f>
        <v/>
      </c>
      <c r="AM299" s="108">
        <f>(AY299-Driver!$K$182)/(Driver!$L$182-Driver!$K$182)</f>
        <v/>
      </c>
      <c r="AN299" s="108">
        <f>(AZ299-Driver!$K$183)/(Driver!$L$183-Driver!$K$183)</f>
        <v/>
      </c>
      <c r="AO299" s="108" t="n"/>
      <c r="AP299" s="108" t="n"/>
      <c r="AQ299" s="108">
        <f>(BC299-Driver!$K$188)/(Driver!$L$188-Driver!$K$188)</f>
        <v/>
      </c>
      <c r="AR299" s="108">
        <f>MIN((BD299-Driver!$K$189)/(Driver!$L$189-Driver!$K$189),100%)</f>
        <v/>
      </c>
      <c r="AS299" s="108">
        <f>(BE299-Driver!$K$190)/(Driver!$L$190-Driver!$K$190)</f>
        <v/>
      </c>
      <c r="AT299" s="108">
        <f>(BF299-Driver!$K$191)/(Driver!$L$191-Driver!$K$191)</f>
        <v/>
      </c>
      <c r="AU299" s="108">
        <f>(BG299-Driver!$K$192)/(Driver!$L$192-Driver!$K$192)</f>
        <v/>
      </c>
      <c r="AV299" s="105">
        <f>IFERROR(BM299*BJ299^1/4,"")</f>
        <v/>
      </c>
      <c r="AW299" s="105">
        <f>IFERROR(SUM(AX299:AZ299),"")</f>
        <v/>
      </c>
      <c r="AX299" s="105">
        <f>IFERROR(BH299,"")</f>
        <v/>
      </c>
      <c r="AY299" s="105">
        <f>IFERROR(Driver!$K$19/Data!BH299/Data!BI299*Data!BK299*Data!BL299,"")</f>
        <v/>
      </c>
      <c r="AZ299" s="105">
        <f>IFERROR(BI299*BN299,"")</f>
        <v/>
      </c>
      <c r="BA299" s="105" t="n"/>
      <c r="BB299" s="105" t="n"/>
      <c r="BC299" s="105">
        <f>IFERROR(BI299*BN299*BK299/BJ299^(1/2),"")</f>
        <v/>
      </c>
      <c r="BD299" s="105">
        <f>IFERROR(BH299*BM299*BL299/BJ299/BK299,"")</f>
        <v/>
      </c>
      <c r="BE299" s="105">
        <f>IFERROR(MIN(BI299/BQ299/BP299/BO299/BH299,$BE$1),"")</f>
        <v/>
      </c>
      <c r="BF299" s="105">
        <f>IFERROR(BJ299*BO299*BP299/BK299,"")</f>
        <v/>
      </c>
      <c r="BG299" s="105">
        <f>IFERROR(1/BM299/BH299*BQ299,"")</f>
        <v/>
      </c>
      <c r="BH299" s="102">
        <f>MAX((CE299-Driver!$F$200)/(Driver!$G$200-Driver!$F$200)*$BI$1,1)</f>
        <v/>
      </c>
      <c r="BI299" s="102">
        <f>MAX($BI$1*(BY299-Driver!$F$201)/(Driver!$G$201-Driver!$F$201),1)</f>
        <v/>
      </c>
      <c r="BJ299" s="102">
        <f>(CB299-Driver!$F$206)/(Driver!$G$206-Driver!$F$206)*$BI$1</f>
        <v/>
      </c>
      <c r="BK299" s="102">
        <f>(CD299-Driver!$F$203)/(Driver!$G$203-Driver!$F$203)*$BI$1</f>
        <v/>
      </c>
      <c r="BL299" s="102">
        <f>MAX((CR299-Driver!$F$202)/(Driver!$G$202-Driver!$F$202)*$BI$1,1)</f>
        <v/>
      </c>
      <c r="BM299" s="102">
        <f>MAX((CH299-Driver!$F$204)/(Driver!$G$204-Driver!$F$204)*$BI$1,1)</f>
        <v/>
      </c>
      <c r="BN299" s="102">
        <f>(CI299-Driver!$F$205)/(Driver!$G$205-Driver!$F$205)*$BI$1</f>
        <v/>
      </c>
      <c r="BO299" s="102">
        <f>(CK299-Driver!$F$207)/(Driver!$G$207-Driver!$F$207)*$BI$1</f>
        <v/>
      </c>
      <c r="BP299" s="102">
        <f>(CM299-Driver!$F$208)/(Driver!$G$208-Driver!$F$208)*$BI$1</f>
        <v/>
      </c>
      <c r="BQ299" s="102">
        <f>(CL299-Driver!$F$209)/(Driver!$G$209-Driver!$F$209)*$BI$1</f>
        <v/>
      </c>
      <c r="BR299" s="40" t="inlineStr">
        <is>
          <t>21/22</t>
        </is>
      </c>
      <c r="BS299" s="10" t="inlineStr">
        <is>
          <t xml:space="preserve"> Line</t>
        </is>
      </c>
      <c r="BT299" s="11" t="inlineStr">
        <is>
          <t>Vision 98</t>
        </is>
      </c>
      <c r="BU299" s="13" t="n">
        <v>179</v>
      </c>
      <c r="BV299" s="11" t="inlineStr">
        <is>
          <t xml:space="preserve"> Unisex</t>
        </is>
      </c>
      <c r="BW299" s="13" t="n">
        <v>179</v>
      </c>
      <c r="BX299" s="13" t="n">
        <v>178.3</v>
      </c>
      <c r="BY299" s="13" t="n">
        <v>117</v>
      </c>
      <c r="BZ299" s="13" t="n">
        <v>145</v>
      </c>
      <c r="CA299" s="13" t="n">
        <v>130</v>
      </c>
      <c r="CB299" s="13" t="n">
        <v>97</v>
      </c>
      <c r="CC299" s="13" t="n">
        <v>117</v>
      </c>
      <c r="CD299" s="13" t="n">
        <v>18.1</v>
      </c>
      <c r="CE299" s="13" t="n">
        <v>1452</v>
      </c>
      <c r="CF299" s="13" t="n">
        <v>1.32</v>
      </c>
      <c r="CG299" s="13" t="n">
        <v>1910</v>
      </c>
      <c r="CH299" s="13" t="n">
        <v>192</v>
      </c>
      <c r="CI299" s="13" t="n">
        <v>80</v>
      </c>
      <c r="CJ299" s="13" t="n">
        <v>52</v>
      </c>
      <c r="CK299" s="13" t="n">
        <v>341</v>
      </c>
      <c r="CL299" s="13" t="n">
        <v>32</v>
      </c>
      <c r="CM299" s="13" t="n">
        <v>271</v>
      </c>
      <c r="CN299" s="13" t="n">
        <v>0.619</v>
      </c>
      <c r="CO299" s="13" t="n">
        <v>165</v>
      </c>
      <c r="CP299" s="13" t="n">
        <v>171</v>
      </c>
      <c r="CQ299" s="13" t="n">
        <v>176</v>
      </c>
      <c r="CR299" s="13" t="n">
        <v>5</v>
      </c>
      <c r="CS299" s="13" t="n">
        <v>6.3</v>
      </c>
      <c r="CT299" s="11" t="inlineStr">
        <is>
          <t xml:space="preserve"> Touring</t>
        </is>
      </c>
      <c r="CU299" s="11" t="inlineStr">
        <is>
          <t xml:space="preserve"> Ultralight Touring</t>
        </is>
      </c>
      <c r="CV299" s="13" t="n"/>
      <c r="CW299" s="13" t="n"/>
      <c r="CX299">
        <f>INDEX('Data_Price '!AG$2:AG$1266,MATCH(Data!$DN299,'Data_Price '!$AT$2:$AT$1266,0))</f>
        <v/>
      </c>
      <c r="CY299">
        <f>INDEX('Data_Price '!AH$2:AH$1266,MATCH(Data!$DN299,'Data_Price '!$AT$2:$AT$1266,0))</f>
        <v/>
      </c>
      <c r="CZ299">
        <f>INDEX('Data_Price '!AI$2:AI$1266,MATCH(Data!$DN299,'Data_Price '!$AT$2:$AT$1266,0))</f>
        <v/>
      </c>
      <c r="DA299">
        <f>INDEX('Data_Price '!AJ$2:AJ$1266,MATCH(Data!$DN299,'Data_Price '!$AT$2:$AT$1266,0))</f>
        <v/>
      </c>
      <c r="DB299">
        <f>INDEX('Data_Price '!AK$2:AK$1266,MATCH(Data!$DN299,'Data_Price '!$AT$2:$AT$1266,0))</f>
        <v/>
      </c>
      <c r="DC299">
        <f>INDEX('Data_Price '!AL$2:AL$1266,MATCH(Data!$DN299,'Data_Price '!$AT$2:$AT$1266,0))</f>
        <v/>
      </c>
      <c r="DD299">
        <f>INDEX('Data_Price '!AM$2:AM$1266,MATCH(Data!$DN299,'Data_Price '!$AT$2:$AT$1266,0))</f>
        <v/>
      </c>
      <c r="DE299">
        <f>INDEX('Data_Price '!AN$2:AN$1266,MATCH(Data!$DN299,'Data_Price '!$AT$2:$AT$1266,0))</f>
        <v/>
      </c>
      <c r="DF299">
        <f>INDEX('Data_Price '!AO$2:AO$1266,MATCH(Data!$DN299,'Data_Price '!$AT$2:$AT$1266,0))</f>
        <v/>
      </c>
      <c r="DG299">
        <f>INDEX('Data_Price '!AP$2:AP$1266,MATCH(Data!$DN299,'Data_Price '!$AT$2:$AT$1266,0))</f>
        <v/>
      </c>
      <c r="DH299">
        <f>INDEX('Data_Price '!AQ$2:AQ$1266,MATCH(Data!$DN299,'Data_Price '!$AT$2:$AT$1266,0))</f>
        <v/>
      </c>
      <c r="DI299">
        <f>INDEX('Data_Price '!AR$2:AR$1266,MATCH(Data!$DN299,'Data_Price '!$AT$2:$AT$1266,0))</f>
        <v/>
      </c>
      <c r="DJ299" s="138">
        <f>DA299</f>
        <v/>
      </c>
      <c r="DK299" s="138">
        <f>DE299</f>
        <v/>
      </c>
      <c r="DL299" s="138">
        <f>DI299</f>
        <v/>
      </c>
      <c r="DM299" s="303">
        <f>IF(LEFT(BT299,1)=" ",RIGHT(BT299,LEN(BT299)-1),BT299)</f>
        <v/>
      </c>
      <c r="DN299" s="138">
        <f>_xlfn.CONCAT(BS299,DM299,BU299,BV299)</f>
        <v/>
      </c>
      <c r="DO299" s="307" t="inlineStr">
        <is>
          <t>https://images.evo.com/imgp/250/198428/817630/line-skis-vision-98-skis-2022-.jpg</t>
        </is>
      </c>
    </row>
    <row r="300" ht="15.6" customHeight="1" s="184">
      <c r="B300" s="303">
        <f t="array" ref="B300">IF(OR(ISERROR(K300:P300)),FALSE,TRUE)</f>
        <v/>
      </c>
      <c r="C300" s="60">
        <f>OR(BR300=Driver!$G$50,Data!BR261=Driver!$H$50)</f>
        <v/>
      </c>
      <c r="D300" s="60">
        <f>OR(BV300=Driver!$G$51,BV300=Driver!$H$51)</f>
        <v/>
      </c>
      <c r="E300" s="60">
        <f>AND(BX300&gt;Driver!$F$54,BX300&lt;Driver!$G$54)</f>
        <v/>
      </c>
      <c r="F300" s="60">
        <f>CL300&gt;Driver!$F$56</f>
        <v/>
      </c>
      <c r="G300" s="60">
        <f>AND(CB300&gt;Driver!$F$55,CB300&lt;Driver!$G$55)</f>
        <v/>
      </c>
      <c r="H300" s="60">
        <f>AND(B300:G300)</f>
        <v/>
      </c>
      <c r="I300" s="60">
        <f>COUNTIFS($H$9:$H$1273,TRUE,$BT$9:$BT$1273,BT300)</f>
        <v/>
      </c>
      <c r="J300" s="60">
        <f t="array" ref="J300">NOT(OR(($H$9:$H$1273=TRUE)*($I$9:$I$1273&gt;0)*($BT$9:$BT$1273=BT300)*($K$9:$K$1273&gt;K300)))</f>
        <v/>
      </c>
      <c r="K300" s="108">
        <f>IFERROR(1-AVERAGE(X300:Y300),"")</f>
        <v/>
      </c>
      <c r="L300" s="108">
        <f>1-X300</f>
        <v/>
      </c>
      <c r="M300" s="108">
        <f>1-Y300</f>
        <v/>
      </c>
      <c r="N300" s="108">
        <f>1-Z300</f>
        <v/>
      </c>
      <c r="O300" s="108">
        <f>1-AA300</f>
        <v/>
      </c>
      <c r="P300" s="108">
        <f>1-AB300</f>
        <v/>
      </c>
      <c r="Q300" s="108" t="n"/>
      <c r="R300" s="108" t="n"/>
      <c r="S300" s="108">
        <f>1-AE300</f>
        <v/>
      </c>
      <c r="T300" s="108">
        <f>1-AF300</f>
        <v/>
      </c>
      <c r="U300" s="108">
        <f>1-AG300</f>
        <v/>
      </c>
      <c r="V300" s="108">
        <f>1-AH300</f>
        <v/>
      </c>
      <c r="W300" s="108">
        <f>1-AI300</f>
        <v/>
      </c>
      <c r="X300" s="108">
        <f>ABS(AJ300-AJ$1)</f>
        <v/>
      </c>
      <c r="Y300" s="108">
        <f>AVERAGE(Z300:AB300)</f>
        <v/>
      </c>
      <c r="Z300" s="108">
        <f>ABS(AL300-AL$1)</f>
        <v/>
      </c>
      <c r="AA300" s="108">
        <f>ABS(AM300-AM$1)</f>
        <v/>
      </c>
      <c r="AB300" s="108">
        <f>ABS(AN300-AN$1)</f>
        <v/>
      </c>
      <c r="AC300" s="108" t="n"/>
      <c r="AD300" s="108" t="n"/>
      <c r="AE300" s="108">
        <f>ABS(AQ$1-AQ300)</f>
        <v/>
      </c>
      <c r="AF300" s="108">
        <f>ABS(AR$1-AR300)</f>
        <v/>
      </c>
      <c r="AG300" s="108">
        <f>ABS(AS$1-AS300)</f>
        <v/>
      </c>
      <c r="AH300" s="108">
        <f>ABS(AT$1-AT300)</f>
        <v/>
      </c>
      <c r="AI300" s="108">
        <f>ABS(AU$1-AU300)</f>
        <v/>
      </c>
      <c r="AJ300" s="108">
        <f>(AV300-Driver!$K$179)/(Driver!$L$179-Driver!$K$179)</f>
        <v/>
      </c>
      <c r="AK300" s="108">
        <f>(AW300-Driver!$K$180)/(Driver!$L$180-Driver!$K$180)</f>
        <v/>
      </c>
      <c r="AL300" s="108">
        <f>(AX300-Driver!$K$181)/(Driver!$L$181-Driver!$K$181)</f>
        <v/>
      </c>
      <c r="AM300" s="108">
        <f>(AY300-Driver!$K$182)/(Driver!$L$182-Driver!$K$182)</f>
        <v/>
      </c>
      <c r="AN300" s="108">
        <f>(AZ300-Driver!$K$183)/(Driver!$L$183-Driver!$K$183)</f>
        <v/>
      </c>
      <c r="AO300" s="108" t="n"/>
      <c r="AP300" s="108" t="n"/>
      <c r="AQ300" s="108">
        <f>(BC300-Driver!$K$188)/(Driver!$L$188-Driver!$K$188)</f>
        <v/>
      </c>
      <c r="AR300" s="108">
        <f>MIN((BD300-Driver!$K$189)/(Driver!$L$189-Driver!$K$189),100%)</f>
        <v/>
      </c>
      <c r="AS300" s="108">
        <f>(BE300-Driver!$K$190)/(Driver!$L$190-Driver!$K$190)</f>
        <v/>
      </c>
      <c r="AT300" s="108">
        <f>(BF300-Driver!$K$191)/(Driver!$L$191-Driver!$K$191)</f>
        <v/>
      </c>
      <c r="AU300" s="108">
        <f>(BG300-Driver!$K$192)/(Driver!$L$192-Driver!$K$192)</f>
        <v/>
      </c>
      <c r="AV300" s="105">
        <f>IFERROR(BM300*BJ300^1/4,"")</f>
        <v/>
      </c>
      <c r="AW300" s="105">
        <f>IFERROR(SUM(AX300:AZ300),"")</f>
        <v/>
      </c>
      <c r="AX300" s="105">
        <f>IFERROR(BH300,"")</f>
        <v/>
      </c>
      <c r="AY300" s="105">
        <f>IFERROR(Driver!$K$19/Data!BH300/Data!BI300*Data!BK300*Data!BL300,"")</f>
        <v/>
      </c>
      <c r="AZ300" s="105">
        <f>IFERROR(BI300*BN300,"")</f>
        <v/>
      </c>
      <c r="BA300" s="105" t="n"/>
      <c r="BB300" s="105" t="n"/>
      <c r="BC300" s="105">
        <f>IFERROR(BI300*BN300*BK300/BJ300^(1/2),"")</f>
        <v/>
      </c>
      <c r="BD300" s="105">
        <f>IFERROR(BH300*BM300*BL300/BJ300/BK300,"")</f>
        <v/>
      </c>
      <c r="BE300" s="105">
        <f>IFERROR(MIN(BI300/BQ300/BP300/BO300/BH300,$BE$1),"")</f>
        <v/>
      </c>
      <c r="BF300" s="105">
        <f>IFERROR(BJ300*BO300*BP300/BK300,"")</f>
        <v/>
      </c>
      <c r="BG300" s="105">
        <f>IFERROR(1/BM300/BH300*BQ300,"")</f>
        <v/>
      </c>
      <c r="BH300" s="102">
        <f>MAX((CE300-Driver!$F$200)/(Driver!$G$200-Driver!$F$200)*$BI$1,1)</f>
        <v/>
      </c>
      <c r="BI300" s="102">
        <f>MAX($BI$1*(BY300-Driver!$F$201)/(Driver!$G$201-Driver!$F$201),1)</f>
        <v/>
      </c>
      <c r="BJ300" s="102">
        <f>(CB300-Driver!$F$206)/(Driver!$G$206-Driver!$F$206)*$BI$1</f>
        <v/>
      </c>
      <c r="BK300" s="102">
        <f>(CD300-Driver!$F$203)/(Driver!$G$203-Driver!$F$203)*$BI$1</f>
        <v/>
      </c>
      <c r="BL300" s="102">
        <f>MAX((CR300-Driver!$F$202)/(Driver!$G$202-Driver!$F$202)*$BI$1,1)</f>
        <v/>
      </c>
      <c r="BM300" s="102">
        <f>MAX((CH300-Driver!$F$204)/(Driver!$G$204-Driver!$F$204)*$BI$1,1)</f>
        <v/>
      </c>
      <c r="BN300" s="102">
        <f>(CI300-Driver!$F$205)/(Driver!$G$205-Driver!$F$205)*$BI$1</f>
        <v/>
      </c>
      <c r="BO300" s="102">
        <f>(CK300-Driver!$F$207)/(Driver!$G$207-Driver!$F$207)*$BI$1</f>
        <v/>
      </c>
      <c r="BP300" s="102">
        <f>(CM300-Driver!$F$208)/(Driver!$G$208-Driver!$F$208)*$BI$1</f>
        <v/>
      </c>
      <c r="BQ300" s="102">
        <f>(CL300-Driver!$F$209)/(Driver!$G$209-Driver!$F$209)*$BI$1</f>
        <v/>
      </c>
      <c r="BR300" s="40" t="inlineStr">
        <is>
          <t>21/22</t>
        </is>
      </c>
      <c r="BS300" s="10" t="inlineStr">
        <is>
          <t xml:space="preserve"> Blizzard</t>
        </is>
      </c>
      <c r="BT300" s="11" t="inlineStr">
        <is>
          <t>Black Pearl 88</t>
        </is>
      </c>
      <c r="BU300" s="13" t="n">
        <v>165</v>
      </c>
      <c r="BV300" s="11" t="inlineStr">
        <is>
          <t xml:space="preserve"> Women's</t>
        </is>
      </c>
      <c r="BW300" s="13" t="n">
        <v>165</v>
      </c>
      <c r="BX300" s="13" t="n">
        <v>163.7</v>
      </c>
      <c r="BY300" s="13" t="n">
        <v>133</v>
      </c>
      <c r="BZ300" s="13" t="n">
        <v>141</v>
      </c>
      <c r="CA300" s="13" t="n">
        <v>128</v>
      </c>
      <c r="CB300" s="13" t="n">
        <v>86</v>
      </c>
      <c r="CC300" s="13" t="n">
        <v>109</v>
      </c>
      <c r="CD300" s="13" t="n">
        <v>14.9</v>
      </c>
      <c r="CE300" s="13" t="n">
        <v>1757</v>
      </c>
      <c r="CF300" s="13" t="n">
        <v>0.92</v>
      </c>
      <c r="CG300" s="13" t="n">
        <v>1613</v>
      </c>
      <c r="CH300" s="13" t="n">
        <v>177</v>
      </c>
      <c r="CI300" s="13" t="n">
        <v>91</v>
      </c>
      <c r="CJ300" s="13" t="n">
        <v>63</v>
      </c>
      <c r="CK300" s="13" t="n">
        <v>209</v>
      </c>
      <c r="CL300" s="13" t="n">
        <v>7</v>
      </c>
      <c r="CM300" s="13" t="n">
        <v>96</v>
      </c>
      <c r="CN300" s="13" t="n">
        <v>0.118</v>
      </c>
      <c r="CO300" s="13" t="n">
        <v>123</v>
      </c>
      <c r="CP300" s="13" t="n">
        <v>106</v>
      </c>
      <c r="CQ300" s="13" t="n">
        <v>86</v>
      </c>
      <c r="CR300" s="13" t="n">
        <v>8</v>
      </c>
      <c r="CS300" s="13" t="n">
        <v>11.1</v>
      </c>
      <c r="CT300" s="11" t="inlineStr">
        <is>
          <t xml:space="preserve"> Resort Freeride</t>
        </is>
      </c>
      <c r="CU300" s="13" t="n"/>
      <c r="CV300" s="13" t="n"/>
      <c r="CW300" s="13" t="n"/>
      <c r="CX300">
        <f>INDEX('Data_Price '!AG$2:AG$1266,MATCH(Data!$DN300,'Data_Price '!$AT$2:$AT$1266,0))</f>
        <v/>
      </c>
      <c r="CY300">
        <f>INDEX('Data_Price '!AH$2:AH$1266,MATCH(Data!$DN300,'Data_Price '!$AT$2:$AT$1266,0))</f>
        <v/>
      </c>
      <c r="CZ300">
        <f>INDEX('Data_Price '!AI$2:AI$1266,MATCH(Data!$DN300,'Data_Price '!$AT$2:$AT$1266,0))</f>
        <v/>
      </c>
      <c r="DA300">
        <f>INDEX('Data_Price '!AJ$2:AJ$1266,MATCH(Data!$DN300,'Data_Price '!$AT$2:$AT$1266,0))</f>
        <v/>
      </c>
      <c r="DB300">
        <f>INDEX('Data_Price '!AK$2:AK$1266,MATCH(Data!$DN300,'Data_Price '!$AT$2:$AT$1266,0))</f>
        <v/>
      </c>
      <c r="DC300">
        <f>INDEX('Data_Price '!AL$2:AL$1266,MATCH(Data!$DN300,'Data_Price '!$AT$2:$AT$1266,0))</f>
        <v/>
      </c>
      <c r="DD300">
        <f>INDEX('Data_Price '!AM$2:AM$1266,MATCH(Data!$DN300,'Data_Price '!$AT$2:$AT$1266,0))</f>
        <v/>
      </c>
      <c r="DE300">
        <f>INDEX('Data_Price '!AN$2:AN$1266,MATCH(Data!$DN300,'Data_Price '!$AT$2:$AT$1266,0))</f>
        <v/>
      </c>
      <c r="DF300">
        <f>INDEX('Data_Price '!AO$2:AO$1266,MATCH(Data!$DN300,'Data_Price '!$AT$2:$AT$1266,0))</f>
        <v/>
      </c>
      <c r="DG300">
        <f>INDEX('Data_Price '!AP$2:AP$1266,MATCH(Data!$DN300,'Data_Price '!$AT$2:$AT$1266,0))</f>
        <v/>
      </c>
      <c r="DH300">
        <f>INDEX('Data_Price '!AQ$2:AQ$1266,MATCH(Data!$DN300,'Data_Price '!$AT$2:$AT$1266,0))</f>
        <v/>
      </c>
      <c r="DI300">
        <f>INDEX('Data_Price '!AR$2:AR$1266,MATCH(Data!$DN300,'Data_Price '!$AT$2:$AT$1266,0))</f>
        <v/>
      </c>
      <c r="DJ300" s="138">
        <f>DA300</f>
        <v/>
      </c>
      <c r="DK300" s="138">
        <f>DE300</f>
        <v/>
      </c>
      <c r="DL300" s="138">
        <f>DI300</f>
        <v/>
      </c>
      <c r="DM300" s="303">
        <f>IF(LEFT(BT300,1)=" ",RIGHT(BT300,LEN(BT300)-1),BT300)</f>
        <v/>
      </c>
      <c r="DN300" s="138">
        <f>_xlfn.CONCAT(BS300,DM300,BU300,BV300)</f>
        <v/>
      </c>
      <c r="DO300" s="307" t="inlineStr">
        <is>
          <t>https://images.evo.com/imgp/250/176883/876087/blizzard-black-pearl-88-skis-women-s-.jpg</t>
        </is>
      </c>
    </row>
    <row r="301" ht="15.6" customHeight="1" s="184">
      <c r="B301" s="303">
        <f t="array" ref="B301">IF(OR(ISERROR(K301:P301)),FALSE,TRUE)</f>
        <v/>
      </c>
      <c r="C301" s="60">
        <f>OR(BR301=Driver!$G$50,Data!BR1142=Driver!$H$50)</f>
        <v/>
      </c>
      <c r="D301" s="60">
        <f>OR(BV301=Driver!$G$51,BV301=Driver!$H$51)</f>
        <v/>
      </c>
      <c r="E301" s="60">
        <f>AND(BX301&gt;Driver!$F$54,BX301&lt;Driver!$G$54)</f>
        <v/>
      </c>
      <c r="F301" s="60">
        <f>CL301&gt;Driver!$F$56</f>
        <v/>
      </c>
      <c r="G301" s="60">
        <f>AND(CB301&gt;Driver!$F$55,CB301&lt;Driver!$G$55)</f>
        <v/>
      </c>
      <c r="H301" s="60">
        <f>AND(B301:G301)</f>
        <v/>
      </c>
      <c r="I301" s="60">
        <f>COUNTIFS($H$9:$H$1273,TRUE,$BT$9:$BT$1273,BT301)</f>
        <v/>
      </c>
      <c r="J301" s="60">
        <f t="array" ref="J301">NOT(OR(($H$9:$H$1273=TRUE)*($I$9:$I$1273&gt;0)*($BT$9:$BT$1273=BT301)*($K$9:$K$1273&gt;K301)))</f>
        <v/>
      </c>
      <c r="K301" s="108">
        <f>IFERROR(1-AVERAGE(X301:Y301),"")</f>
        <v/>
      </c>
      <c r="L301" s="108">
        <f>1-X301</f>
        <v/>
      </c>
      <c r="M301" s="108">
        <f>1-Y301</f>
        <v/>
      </c>
      <c r="N301" s="108">
        <f>1-Z301</f>
        <v/>
      </c>
      <c r="O301" s="108">
        <f>1-AA301</f>
        <v/>
      </c>
      <c r="P301" s="108">
        <f>1-AB301</f>
        <v/>
      </c>
      <c r="Q301" s="108" t="n"/>
      <c r="R301" s="108" t="n"/>
      <c r="S301" s="108">
        <f>1-AE301</f>
        <v/>
      </c>
      <c r="T301" s="108">
        <f>1-AF301</f>
        <v/>
      </c>
      <c r="U301" s="108">
        <f>1-AG301</f>
        <v/>
      </c>
      <c r="V301" s="108">
        <f>1-AH301</f>
        <v/>
      </c>
      <c r="W301" s="108">
        <f>1-AI301</f>
        <v/>
      </c>
      <c r="X301" s="108">
        <f>ABS(AJ301-AJ$1)</f>
        <v/>
      </c>
      <c r="Y301" s="108">
        <f>AVERAGE(Z301:AB301)</f>
        <v/>
      </c>
      <c r="Z301" s="108">
        <f>ABS(AL301-AL$1)</f>
        <v/>
      </c>
      <c r="AA301" s="108">
        <f>ABS(AM301-AM$1)</f>
        <v/>
      </c>
      <c r="AB301" s="108">
        <f>ABS(AN301-AN$1)</f>
        <v/>
      </c>
      <c r="AC301" s="108" t="n"/>
      <c r="AD301" s="108" t="n"/>
      <c r="AE301" s="108">
        <f>ABS(AQ$1-AQ301)</f>
        <v/>
      </c>
      <c r="AF301" s="108">
        <f>ABS(AR$1-AR301)</f>
        <v/>
      </c>
      <c r="AG301" s="108">
        <f>ABS(AS$1-AS301)</f>
        <v/>
      </c>
      <c r="AH301" s="108">
        <f>ABS(AT$1-AT301)</f>
        <v/>
      </c>
      <c r="AI301" s="108">
        <f>ABS(AU$1-AU301)</f>
        <v/>
      </c>
      <c r="AJ301" s="108">
        <f>(AV301-Driver!$K$179)/(Driver!$L$179-Driver!$K$179)</f>
        <v/>
      </c>
      <c r="AK301" s="108">
        <f>(AW301-Driver!$K$180)/(Driver!$L$180-Driver!$K$180)</f>
        <v/>
      </c>
      <c r="AL301" s="108">
        <f>(AX301-Driver!$K$181)/(Driver!$L$181-Driver!$K$181)</f>
        <v/>
      </c>
      <c r="AM301" s="108">
        <f>(AY301-Driver!$K$182)/(Driver!$L$182-Driver!$K$182)</f>
        <v/>
      </c>
      <c r="AN301" s="108">
        <f>(AZ301-Driver!$K$183)/(Driver!$L$183-Driver!$K$183)</f>
        <v/>
      </c>
      <c r="AO301" s="108" t="n"/>
      <c r="AP301" s="108" t="n"/>
      <c r="AQ301" s="108">
        <f>(BC301-Driver!$K$188)/(Driver!$L$188-Driver!$K$188)</f>
        <v/>
      </c>
      <c r="AR301" s="108">
        <f>MIN((BD301-Driver!$K$189)/(Driver!$L$189-Driver!$K$189),100%)</f>
        <v/>
      </c>
      <c r="AS301" s="108">
        <f>(BE301-Driver!$K$190)/(Driver!$L$190-Driver!$K$190)</f>
        <v/>
      </c>
      <c r="AT301" s="108">
        <f>(BF301-Driver!$K$191)/(Driver!$L$191-Driver!$K$191)</f>
        <v/>
      </c>
      <c r="AU301" s="108">
        <f>(BG301-Driver!$K$192)/(Driver!$L$192-Driver!$K$192)</f>
        <v/>
      </c>
      <c r="AV301" s="105">
        <f>IFERROR(BM301*BJ301^1/4,"")</f>
        <v/>
      </c>
      <c r="AW301" s="105">
        <f>IFERROR(SUM(AX301:AZ301),"")</f>
        <v/>
      </c>
      <c r="AX301" s="105">
        <f>IFERROR(BH301,"")</f>
        <v/>
      </c>
      <c r="AY301" s="105">
        <f>IFERROR(Driver!$K$19/Data!BH301/Data!BI301*Data!BK301*Data!BL301,"")</f>
        <v/>
      </c>
      <c r="AZ301" s="105">
        <f>IFERROR(BI301*BN301,"")</f>
        <v/>
      </c>
      <c r="BA301" s="105" t="n"/>
      <c r="BB301" s="105" t="n"/>
      <c r="BC301" s="105">
        <f>IFERROR(BI301*BN301*BK301/BJ301^(1/2),"")</f>
        <v/>
      </c>
      <c r="BD301" s="105">
        <f>IFERROR(BH301*BM301*BL301/BJ301/BK301,"")</f>
        <v/>
      </c>
      <c r="BE301" s="105">
        <f>IFERROR(MIN(BI301/BQ301/BP301/BO301/BH301,$BE$1),"")</f>
        <v/>
      </c>
      <c r="BF301" s="105">
        <f>IFERROR(BJ301*BO301*BP301/BK301,"")</f>
        <v/>
      </c>
      <c r="BG301" s="105">
        <f>IFERROR(1/BM301/BH301*BQ301,"")</f>
        <v/>
      </c>
      <c r="BH301" s="102">
        <f>MAX((CE301-Driver!$F$200)/(Driver!$G$200-Driver!$F$200)*$BI$1,1)</f>
        <v/>
      </c>
      <c r="BI301" s="102">
        <f>MAX($BI$1*(BY301-Driver!$F$201)/(Driver!$G$201-Driver!$F$201),1)</f>
        <v/>
      </c>
      <c r="BJ301" s="102">
        <f>(CB301-Driver!$F$206)/(Driver!$G$206-Driver!$F$206)*$BI$1</f>
        <v/>
      </c>
      <c r="BK301" s="102">
        <f>(CD301-Driver!$F$203)/(Driver!$G$203-Driver!$F$203)*$BI$1</f>
        <v/>
      </c>
      <c r="BL301" s="102">
        <f>MAX((CR301-Driver!$F$202)/(Driver!$G$202-Driver!$F$202)*$BI$1,1)</f>
        <v/>
      </c>
      <c r="BM301" s="102">
        <f>MAX((CH301-Driver!$F$204)/(Driver!$G$204-Driver!$F$204)*$BI$1,1)</f>
        <v/>
      </c>
      <c r="BN301" s="102">
        <f>(CI301-Driver!$F$205)/(Driver!$G$205-Driver!$F$205)*$BI$1</f>
        <v/>
      </c>
      <c r="BO301" s="102">
        <f>(CK301-Driver!$F$207)/(Driver!$G$207-Driver!$F$207)*$BI$1</f>
        <v/>
      </c>
      <c r="BP301" s="102">
        <f>(CM301-Driver!$F$208)/(Driver!$G$208-Driver!$F$208)*$BI$1</f>
        <v/>
      </c>
      <c r="BQ301" s="102">
        <f>(CL301-Driver!$F$209)/(Driver!$G$209-Driver!$F$209)*$BI$1</f>
        <v/>
      </c>
      <c r="BR301" s="40" t="inlineStr">
        <is>
          <t>21/22</t>
        </is>
      </c>
      <c r="BS301" s="10" t="inlineStr">
        <is>
          <t xml:space="preserve"> Stöckli</t>
        </is>
      </c>
      <c r="BT301" s="11" t="inlineStr">
        <is>
          <t>Stormrider 95</t>
        </is>
      </c>
      <c r="BU301" s="13" t="n">
        <v>166</v>
      </c>
      <c r="BV301" s="11" t="inlineStr">
        <is>
          <t xml:space="preserve"> Unisex</t>
        </is>
      </c>
      <c r="BW301" s="13" t="n">
        <v>166</v>
      </c>
      <c r="BX301" s="13" t="n">
        <v>165.3</v>
      </c>
      <c r="BY301" s="13" t="n">
        <v>134</v>
      </c>
      <c r="BZ301" s="13" t="n">
        <v>144</v>
      </c>
      <c r="CA301" s="13" t="n">
        <v>131</v>
      </c>
      <c r="CB301" s="13" t="n">
        <v>94</v>
      </c>
      <c r="CC301" s="13" t="n">
        <v>122</v>
      </c>
      <c r="CD301" s="13" t="n">
        <v>14.8</v>
      </c>
      <c r="CE301" s="13" t="n">
        <v>1691</v>
      </c>
      <c r="CF301" s="13" t="n">
        <v>1.04</v>
      </c>
      <c r="CG301" s="13" t="n">
        <v>1762</v>
      </c>
      <c r="CH301" s="13" t="n">
        <v>171</v>
      </c>
      <c r="CI301" s="13" t="n">
        <v>104</v>
      </c>
      <c r="CJ301" s="13" t="n">
        <v>48</v>
      </c>
      <c r="CK301" s="13" t="n">
        <v>229</v>
      </c>
      <c r="CL301" s="13" t="n">
        <v>10</v>
      </c>
      <c r="CM301" s="13" t="n">
        <v>87</v>
      </c>
      <c r="CN301" s="13" t="n">
        <v>0.203</v>
      </c>
      <c r="CO301" s="13" t="n">
        <v>157</v>
      </c>
      <c r="CP301" s="13" t="n">
        <v>61</v>
      </c>
      <c r="CQ301" s="13" t="n">
        <v>72</v>
      </c>
      <c r="CR301" s="13" t="n">
        <v>4</v>
      </c>
      <c r="CS301" s="13" t="n">
        <v>13.3</v>
      </c>
      <c r="CT301" s="11" t="inlineStr">
        <is>
          <t xml:space="preserve"> Resort Freeride</t>
        </is>
      </c>
      <c r="CU301" s="13" t="n"/>
      <c r="CV301" s="13" t="n"/>
      <c r="CW301" s="13" t="n"/>
      <c r="CX301">
        <f>INDEX('Data_Price '!AG$2:AG$1266,MATCH(Data!$DN301,'Data_Price '!$AT$2:$AT$1266,0))</f>
        <v/>
      </c>
      <c r="CY301">
        <f>INDEX('Data_Price '!AH$2:AH$1266,MATCH(Data!$DN301,'Data_Price '!$AT$2:$AT$1266,0))</f>
        <v/>
      </c>
      <c r="CZ301">
        <f>INDEX('Data_Price '!AI$2:AI$1266,MATCH(Data!$DN301,'Data_Price '!$AT$2:$AT$1266,0))</f>
        <v/>
      </c>
      <c r="DA301">
        <f>INDEX('Data_Price '!AJ$2:AJ$1266,MATCH(Data!$DN301,'Data_Price '!$AT$2:$AT$1266,0))</f>
        <v/>
      </c>
      <c r="DB301">
        <f>INDEX('Data_Price '!AK$2:AK$1266,MATCH(Data!$DN301,'Data_Price '!$AT$2:$AT$1266,0))</f>
        <v/>
      </c>
      <c r="DC301">
        <f>INDEX('Data_Price '!AL$2:AL$1266,MATCH(Data!$DN301,'Data_Price '!$AT$2:$AT$1266,0))</f>
        <v/>
      </c>
      <c r="DD301">
        <f>INDEX('Data_Price '!AM$2:AM$1266,MATCH(Data!$DN301,'Data_Price '!$AT$2:$AT$1266,0))</f>
        <v/>
      </c>
      <c r="DE301">
        <f>INDEX('Data_Price '!AN$2:AN$1266,MATCH(Data!$DN301,'Data_Price '!$AT$2:$AT$1266,0))</f>
        <v/>
      </c>
      <c r="DF301">
        <f>INDEX('Data_Price '!AO$2:AO$1266,MATCH(Data!$DN301,'Data_Price '!$AT$2:$AT$1266,0))</f>
        <v/>
      </c>
      <c r="DG301">
        <f>INDEX('Data_Price '!AP$2:AP$1266,MATCH(Data!$DN301,'Data_Price '!$AT$2:$AT$1266,0))</f>
        <v/>
      </c>
      <c r="DH301">
        <f>INDEX('Data_Price '!AQ$2:AQ$1266,MATCH(Data!$DN301,'Data_Price '!$AT$2:$AT$1266,0))</f>
        <v/>
      </c>
      <c r="DI301">
        <f>INDEX('Data_Price '!AR$2:AR$1266,MATCH(Data!$DN301,'Data_Price '!$AT$2:$AT$1266,0))</f>
        <v/>
      </c>
      <c r="DJ301" s="138">
        <f>DA301</f>
        <v/>
      </c>
      <c r="DK301" s="138">
        <f>DE301</f>
        <v/>
      </c>
      <c r="DL301" s="138">
        <f>DI301</f>
        <v/>
      </c>
      <c r="DM301" s="303">
        <f>IF(LEFT(BT301,1)=" ",RIGHT(BT301,LEN(BT301)-1),BT301)</f>
        <v/>
      </c>
      <c r="DN301" s="138">
        <f>_xlfn.CONCAT(BS301,DM301,BU301,BV301)</f>
        <v/>
      </c>
      <c r="DO301" s="307" t="n"/>
    </row>
    <row r="302" ht="15.6" customHeight="1" s="184">
      <c r="B302" s="303">
        <f t="array" ref="B302">IF(OR(ISERROR(K302:P302)),FALSE,TRUE)</f>
        <v/>
      </c>
      <c r="C302" s="60">
        <f>OR(BR302=Driver!$G$50,Data!BR683=Driver!$H$50)</f>
        <v/>
      </c>
      <c r="D302" s="60">
        <f>OR(BV302=Driver!$G$51,BV302=Driver!$H$51)</f>
        <v/>
      </c>
      <c r="E302" s="60">
        <f>AND(BX302&gt;Driver!$F$54,BX302&lt;Driver!$G$54)</f>
        <v/>
      </c>
      <c r="F302" s="60">
        <f>CL302&gt;Driver!$F$56</f>
        <v/>
      </c>
      <c r="G302" s="60">
        <f>AND(CB302&gt;Driver!$F$55,CB302&lt;Driver!$G$55)</f>
        <v/>
      </c>
      <c r="H302" s="60">
        <f>AND(B302:G302)</f>
        <v/>
      </c>
      <c r="I302" s="60">
        <f>COUNTIFS($H$9:$H$1273,TRUE,$BT$9:$BT$1273,BT302)</f>
        <v/>
      </c>
      <c r="J302" s="60">
        <f t="array" ref="J302">NOT(OR(($H$9:$H$1273=TRUE)*($I$9:$I$1273&gt;0)*($BT$9:$BT$1273=BT302)*($K$9:$K$1273&gt;K302)))</f>
        <v/>
      </c>
      <c r="K302" s="108">
        <f>IFERROR(1-AVERAGE(X302:Y302),"")</f>
        <v/>
      </c>
      <c r="L302" s="108">
        <f>1-X302</f>
        <v/>
      </c>
      <c r="M302" s="108">
        <f>1-Y302</f>
        <v/>
      </c>
      <c r="N302" s="108">
        <f>1-Z302</f>
        <v/>
      </c>
      <c r="O302" s="108">
        <f>1-AA302</f>
        <v/>
      </c>
      <c r="P302" s="108">
        <f>1-AB302</f>
        <v/>
      </c>
      <c r="Q302" s="108" t="n"/>
      <c r="R302" s="108" t="n"/>
      <c r="S302" s="108">
        <f>1-AE302</f>
        <v/>
      </c>
      <c r="T302" s="108">
        <f>1-AF302</f>
        <v/>
      </c>
      <c r="U302" s="108">
        <f>1-AG302</f>
        <v/>
      </c>
      <c r="V302" s="108">
        <f>1-AH302</f>
        <v/>
      </c>
      <c r="W302" s="108">
        <f>1-AI302</f>
        <v/>
      </c>
      <c r="X302" s="108">
        <f>ABS(AJ302-AJ$1)</f>
        <v/>
      </c>
      <c r="Y302" s="108">
        <f>AVERAGE(Z302:AB302)</f>
        <v/>
      </c>
      <c r="Z302" s="108">
        <f>ABS(AL302-AL$1)</f>
        <v/>
      </c>
      <c r="AA302" s="108">
        <f>ABS(AM302-AM$1)</f>
        <v/>
      </c>
      <c r="AB302" s="108">
        <f>ABS(AN302-AN$1)</f>
        <v/>
      </c>
      <c r="AC302" s="108" t="n"/>
      <c r="AD302" s="108" t="n"/>
      <c r="AE302" s="108">
        <f>ABS(AQ$1-AQ302)</f>
        <v/>
      </c>
      <c r="AF302" s="108">
        <f>ABS(AR$1-AR302)</f>
        <v/>
      </c>
      <c r="AG302" s="108">
        <f>ABS(AS$1-AS302)</f>
        <v/>
      </c>
      <c r="AH302" s="108">
        <f>ABS(AT$1-AT302)</f>
        <v/>
      </c>
      <c r="AI302" s="108">
        <f>ABS(AU$1-AU302)</f>
        <v/>
      </c>
      <c r="AJ302" s="108">
        <f>(AV302-Driver!$K$179)/(Driver!$L$179-Driver!$K$179)</f>
        <v/>
      </c>
      <c r="AK302" s="108">
        <f>(AW302-Driver!$K$180)/(Driver!$L$180-Driver!$K$180)</f>
        <v/>
      </c>
      <c r="AL302" s="108">
        <f>(AX302-Driver!$K$181)/(Driver!$L$181-Driver!$K$181)</f>
        <v/>
      </c>
      <c r="AM302" s="108">
        <f>(AY302-Driver!$K$182)/(Driver!$L$182-Driver!$K$182)</f>
        <v/>
      </c>
      <c r="AN302" s="108">
        <f>(AZ302-Driver!$K$183)/(Driver!$L$183-Driver!$K$183)</f>
        <v/>
      </c>
      <c r="AO302" s="108" t="n"/>
      <c r="AP302" s="108" t="n"/>
      <c r="AQ302" s="108">
        <f>(BC302-Driver!$K$188)/(Driver!$L$188-Driver!$K$188)</f>
        <v/>
      </c>
      <c r="AR302" s="108">
        <f>MIN((BD302-Driver!$K$189)/(Driver!$L$189-Driver!$K$189),100%)</f>
        <v/>
      </c>
      <c r="AS302" s="108">
        <f>(BE302-Driver!$K$190)/(Driver!$L$190-Driver!$K$190)</f>
        <v/>
      </c>
      <c r="AT302" s="108">
        <f>(BF302-Driver!$K$191)/(Driver!$L$191-Driver!$K$191)</f>
        <v/>
      </c>
      <c r="AU302" s="108">
        <f>(BG302-Driver!$K$192)/(Driver!$L$192-Driver!$K$192)</f>
        <v/>
      </c>
      <c r="AV302" s="105">
        <f>IFERROR(BM302*BJ302^1/4,"")</f>
        <v/>
      </c>
      <c r="AW302" s="105">
        <f>IFERROR(SUM(AX302:AZ302),"")</f>
        <v/>
      </c>
      <c r="AX302" s="105">
        <f>IFERROR(BH302,"")</f>
        <v/>
      </c>
      <c r="AY302" s="105">
        <f>IFERROR(Driver!$K$19/Data!BH302/Data!BI302*Data!BK302*Data!BL302,"")</f>
        <v/>
      </c>
      <c r="AZ302" s="105">
        <f>IFERROR(BI302*BN302,"")</f>
        <v/>
      </c>
      <c r="BA302" s="105" t="n"/>
      <c r="BB302" s="105" t="n"/>
      <c r="BC302" s="105">
        <f>IFERROR(BI302*BN302*BK302/BJ302^(1/2),"")</f>
        <v/>
      </c>
      <c r="BD302" s="105">
        <f>IFERROR(BH302*BM302*BL302/BJ302/BK302,"")</f>
        <v/>
      </c>
      <c r="BE302" s="105">
        <f>IFERROR(MIN(BI302/BQ302/BP302/BO302/BH302,$BE$1),"")</f>
        <v/>
      </c>
      <c r="BF302" s="105">
        <f>IFERROR(BJ302*BO302*BP302/BK302,"")</f>
        <v/>
      </c>
      <c r="BG302" s="105">
        <f>IFERROR(1/BM302/BH302*BQ302,"")</f>
        <v/>
      </c>
      <c r="BH302" s="102">
        <f>MAX((CE302-Driver!$F$200)/(Driver!$G$200-Driver!$F$200)*$BI$1,1)</f>
        <v/>
      </c>
      <c r="BI302" s="102">
        <f>MAX($BI$1*(BY302-Driver!$F$201)/(Driver!$G$201-Driver!$F$201),1)</f>
        <v/>
      </c>
      <c r="BJ302" s="102">
        <f>(CB302-Driver!$F$206)/(Driver!$G$206-Driver!$F$206)*$BI$1</f>
        <v/>
      </c>
      <c r="BK302" s="102">
        <f>(CD302-Driver!$F$203)/(Driver!$G$203-Driver!$F$203)*$BI$1</f>
        <v/>
      </c>
      <c r="BL302" s="102">
        <f>MAX((CR302-Driver!$F$202)/(Driver!$G$202-Driver!$F$202)*$BI$1,1)</f>
        <v/>
      </c>
      <c r="BM302" s="102">
        <f>MAX((CH302-Driver!$F$204)/(Driver!$G$204-Driver!$F$204)*$BI$1,1)</f>
        <v/>
      </c>
      <c r="BN302" s="102">
        <f>(CI302-Driver!$F$205)/(Driver!$G$205-Driver!$F$205)*$BI$1</f>
        <v/>
      </c>
      <c r="BO302" s="102">
        <f>(CK302-Driver!$F$207)/(Driver!$G$207-Driver!$F$207)*$BI$1</f>
        <v/>
      </c>
      <c r="BP302" s="102">
        <f>(CM302-Driver!$F$208)/(Driver!$G$208-Driver!$F$208)*$BI$1</f>
        <v/>
      </c>
      <c r="BQ302" s="102">
        <f>(CL302-Driver!$F$209)/(Driver!$G$209-Driver!$F$209)*$BI$1</f>
        <v/>
      </c>
      <c r="BR302" s="40" t="inlineStr">
        <is>
          <t>21/22</t>
        </is>
      </c>
      <c r="BS302" s="10" t="inlineStr">
        <is>
          <t xml:space="preserve"> Icelantic</t>
        </is>
      </c>
      <c r="BT302" s="11" t="inlineStr">
        <is>
          <t>Nomad Lite 105</t>
        </is>
      </c>
      <c r="BU302" s="13" t="n">
        <v>171</v>
      </c>
      <c r="BV302" s="11" t="inlineStr">
        <is>
          <t xml:space="preserve"> Unisex</t>
        </is>
      </c>
      <c r="BW302" s="13" t="n">
        <v>171</v>
      </c>
      <c r="BX302" s="13" t="n">
        <v>168.7</v>
      </c>
      <c r="BY302" s="13" t="n">
        <v>102</v>
      </c>
      <c r="BZ302" s="13" t="n">
        <v>142</v>
      </c>
      <c r="CA302" s="13" t="n">
        <v>145</v>
      </c>
      <c r="CB302" s="13" t="n">
        <v>111</v>
      </c>
      <c r="CC302" s="13" t="n">
        <v>136</v>
      </c>
      <c r="CD302" s="13" t="n">
        <v>16.3</v>
      </c>
      <c r="CE302" s="13" t="n">
        <v>1797</v>
      </c>
      <c r="CF302" s="13" t="n">
        <v>1.14</v>
      </c>
      <c r="CG302" s="13" t="n">
        <v>2052</v>
      </c>
      <c r="CH302" s="13" t="n">
        <v>237</v>
      </c>
      <c r="CI302" s="13" t="n">
        <v>109</v>
      </c>
      <c r="CJ302" s="13" t="n">
        <v>60</v>
      </c>
      <c r="CK302" s="13" t="n">
        <v>364</v>
      </c>
      <c r="CL302" s="13" t="n">
        <v>54</v>
      </c>
      <c r="CM302" s="13" t="n">
        <v>304</v>
      </c>
      <c r="CN302" s="13" t="n">
        <v>0.913</v>
      </c>
      <c r="CO302" s="13" t="n">
        <v>134</v>
      </c>
      <c r="CP302" s="13" t="n">
        <v>136</v>
      </c>
      <c r="CQ302" s="13" t="n">
        <v>230</v>
      </c>
      <c r="CR302" s="13" t="n">
        <v>2</v>
      </c>
      <c r="CS302" s="13" t="n">
        <v>8.6</v>
      </c>
      <c r="CT302" s="11" t="inlineStr">
        <is>
          <t xml:space="preserve"> Freeski</t>
        </is>
      </c>
      <c r="CU302" s="11" t="inlineStr">
        <is>
          <t xml:space="preserve"> Powder</t>
        </is>
      </c>
      <c r="CV302" s="11" t="inlineStr">
        <is>
          <t xml:space="preserve"> Touring</t>
        </is>
      </c>
      <c r="CW302" s="13" t="n"/>
      <c r="CX302">
        <f>INDEX('Data_Price '!AG$2:AG$1266,MATCH(Data!$DN302,'Data_Price '!$AT$2:$AT$1266,0))</f>
        <v/>
      </c>
      <c r="CY302">
        <f>INDEX('Data_Price '!AH$2:AH$1266,MATCH(Data!$DN302,'Data_Price '!$AT$2:$AT$1266,0))</f>
        <v/>
      </c>
      <c r="CZ302">
        <f>INDEX('Data_Price '!AI$2:AI$1266,MATCH(Data!$DN302,'Data_Price '!$AT$2:$AT$1266,0))</f>
        <v/>
      </c>
      <c r="DA302">
        <f>INDEX('Data_Price '!AJ$2:AJ$1266,MATCH(Data!$DN302,'Data_Price '!$AT$2:$AT$1266,0))</f>
        <v/>
      </c>
      <c r="DB302">
        <f>INDEX('Data_Price '!AK$2:AK$1266,MATCH(Data!$DN302,'Data_Price '!$AT$2:$AT$1266,0))</f>
        <v/>
      </c>
      <c r="DC302">
        <f>INDEX('Data_Price '!AL$2:AL$1266,MATCH(Data!$DN302,'Data_Price '!$AT$2:$AT$1266,0))</f>
        <v/>
      </c>
      <c r="DD302">
        <f>INDEX('Data_Price '!AM$2:AM$1266,MATCH(Data!$DN302,'Data_Price '!$AT$2:$AT$1266,0))</f>
        <v/>
      </c>
      <c r="DE302">
        <f>INDEX('Data_Price '!AN$2:AN$1266,MATCH(Data!$DN302,'Data_Price '!$AT$2:$AT$1266,0))</f>
        <v/>
      </c>
      <c r="DF302">
        <f>INDEX('Data_Price '!AO$2:AO$1266,MATCH(Data!$DN302,'Data_Price '!$AT$2:$AT$1266,0))</f>
        <v/>
      </c>
      <c r="DG302">
        <f>INDEX('Data_Price '!AP$2:AP$1266,MATCH(Data!$DN302,'Data_Price '!$AT$2:$AT$1266,0))</f>
        <v/>
      </c>
      <c r="DH302">
        <f>INDEX('Data_Price '!AQ$2:AQ$1266,MATCH(Data!$DN302,'Data_Price '!$AT$2:$AT$1266,0))</f>
        <v/>
      </c>
      <c r="DI302">
        <f>INDEX('Data_Price '!AR$2:AR$1266,MATCH(Data!$DN302,'Data_Price '!$AT$2:$AT$1266,0))</f>
        <v/>
      </c>
      <c r="DJ302" s="138">
        <f>DA302</f>
        <v/>
      </c>
      <c r="DK302" s="138">
        <f>DE302</f>
        <v/>
      </c>
      <c r="DL302" s="138">
        <f>DI302</f>
        <v/>
      </c>
      <c r="DM302" s="303">
        <f>IF(LEFT(BT302,1)=" ",RIGHT(BT302,LEN(BT302)-1),BT302)</f>
        <v/>
      </c>
      <c r="DN302" s="138">
        <f>_xlfn.CONCAT(BS302,DM302,BU302,BV302)</f>
        <v/>
      </c>
      <c r="DO302" s="307" t="inlineStr">
        <is>
          <t>https://images.evo.com/imgp/250/208406/833110/icelantic-nomad-lite-105-skis-2022-.jpg</t>
        </is>
      </c>
    </row>
    <row r="303" ht="15.6" customHeight="1" s="184">
      <c r="B303" s="303">
        <f t="array" ref="B303">IF(OR(ISERROR(K303:P303)),FALSE,TRUE)</f>
        <v/>
      </c>
      <c r="C303" s="60">
        <f>OR(BR303=Driver!$G$50,Data!BR42=Driver!$H$50)</f>
        <v/>
      </c>
      <c r="D303" s="60">
        <f>OR(BV303=Driver!$G$51,BV303=Driver!$H$51)</f>
        <v/>
      </c>
      <c r="E303" s="60">
        <f>AND(BX303&gt;Driver!$F$54,BX303&lt;Driver!$G$54)</f>
        <v/>
      </c>
      <c r="F303" s="60">
        <f>CL303&gt;Driver!$F$56</f>
        <v/>
      </c>
      <c r="G303" s="60">
        <f>AND(CB303&gt;Driver!$F$55,CB303&lt;Driver!$G$55)</f>
        <v/>
      </c>
      <c r="H303" s="60">
        <f>AND(B303:G303)</f>
        <v/>
      </c>
      <c r="I303" s="60">
        <f>COUNTIFS($H$9:$H$1273,TRUE,$BT$9:$BT$1273,BT303)</f>
        <v/>
      </c>
      <c r="J303" s="60">
        <f t="array" ref="J303">NOT(OR(($H$9:$H$1273=TRUE)*($I$9:$I$1273&gt;0)*($BT$9:$BT$1273=BT303)*($K$9:$K$1273&gt;K303)))</f>
        <v/>
      </c>
      <c r="K303" s="108">
        <f>IFERROR(1-AVERAGE(X303:Y303),"")</f>
        <v/>
      </c>
      <c r="L303" s="108">
        <f>1-X303</f>
        <v/>
      </c>
      <c r="M303" s="108">
        <f>1-Y303</f>
        <v/>
      </c>
      <c r="N303" s="108">
        <f>1-Z303</f>
        <v/>
      </c>
      <c r="O303" s="108">
        <f>1-AA303</f>
        <v/>
      </c>
      <c r="P303" s="108">
        <f>1-AB303</f>
        <v/>
      </c>
      <c r="Q303" s="108" t="n"/>
      <c r="R303" s="108" t="n"/>
      <c r="S303" s="108">
        <f>1-AE303</f>
        <v/>
      </c>
      <c r="T303" s="108">
        <f>1-AF303</f>
        <v/>
      </c>
      <c r="U303" s="108">
        <f>1-AG303</f>
        <v/>
      </c>
      <c r="V303" s="108">
        <f>1-AH303</f>
        <v/>
      </c>
      <c r="W303" s="108">
        <f>1-AI303</f>
        <v/>
      </c>
      <c r="X303" s="108">
        <f>ABS(AJ303-AJ$1)</f>
        <v/>
      </c>
      <c r="Y303" s="108">
        <f>AVERAGE(Z303:AB303)</f>
        <v/>
      </c>
      <c r="Z303" s="108">
        <f>ABS(AL303-AL$1)</f>
        <v/>
      </c>
      <c r="AA303" s="108">
        <f>ABS(AM303-AM$1)</f>
        <v/>
      </c>
      <c r="AB303" s="108">
        <f>ABS(AN303-AN$1)</f>
        <v/>
      </c>
      <c r="AC303" s="108" t="n"/>
      <c r="AD303" s="108" t="n"/>
      <c r="AE303" s="108">
        <f>ABS(AQ$1-AQ303)</f>
        <v/>
      </c>
      <c r="AF303" s="108">
        <f>ABS(AR$1-AR303)</f>
        <v/>
      </c>
      <c r="AG303" s="108">
        <f>ABS(AS$1-AS303)</f>
        <v/>
      </c>
      <c r="AH303" s="108">
        <f>ABS(AT$1-AT303)</f>
        <v/>
      </c>
      <c r="AI303" s="108">
        <f>ABS(AU$1-AU303)</f>
        <v/>
      </c>
      <c r="AJ303" s="108">
        <f>(AV303-Driver!$K$179)/(Driver!$L$179-Driver!$K$179)</f>
        <v/>
      </c>
      <c r="AK303" s="108">
        <f>(AW303-Driver!$K$180)/(Driver!$L$180-Driver!$K$180)</f>
        <v/>
      </c>
      <c r="AL303" s="108">
        <f>(AX303-Driver!$K$181)/(Driver!$L$181-Driver!$K$181)</f>
        <v/>
      </c>
      <c r="AM303" s="108">
        <f>(AY303-Driver!$K$182)/(Driver!$L$182-Driver!$K$182)</f>
        <v/>
      </c>
      <c r="AN303" s="108">
        <f>(AZ303-Driver!$K$183)/(Driver!$L$183-Driver!$K$183)</f>
        <v/>
      </c>
      <c r="AO303" s="108" t="n"/>
      <c r="AP303" s="108" t="n"/>
      <c r="AQ303" s="108">
        <f>(BC303-Driver!$K$188)/(Driver!$L$188-Driver!$K$188)</f>
        <v/>
      </c>
      <c r="AR303" s="108">
        <f>MIN((BD303-Driver!$K$189)/(Driver!$L$189-Driver!$K$189),100%)</f>
        <v/>
      </c>
      <c r="AS303" s="108">
        <f>(BE303-Driver!$K$190)/(Driver!$L$190-Driver!$K$190)</f>
        <v/>
      </c>
      <c r="AT303" s="108">
        <f>(BF303-Driver!$K$191)/(Driver!$L$191-Driver!$K$191)</f>
        <v/>
      </c>
      <c r="AU303" s="108">
        <f>(BG303-Driver!$K$192)/(Driver!$L$192-Driver!$K$192)</f>
        <v/>
      </c>
      <c r="AV303" s="105">
        <f>IFERROR(BM303*BJ303^1/4,"")</f>
        <v/>
      </c>
      <c r="AW303" s="105">
        <f>IFERROR(SUM(AX303:AZ303),"")</f>
        <v/>
      </c>
      <c r="AX303" s="105">
        <f>IFERROR(BH303,"")</f>
        <v/>
      </c>
      <c r="AY303" s="105">
        <f>IFERROR(Driver!$K$19/Data!BH303/Data!BI303*Data!BK303*Data!BL303,"")</f>
        <v/>
      </c>
      <c r="AZ303" s="105">
        <f>IFERROR(BI303*BN303,"")</f>
        <v/>
      </c>
      <c r="BA303" s="105" t="n"/>
      <c r="BB303" s="105" t="n"/>
      <c r="BC303" s="105">
        <f>IFERROR(BI303*BN303*BK303/BJ303^(1/2),"")</f>
        <v/>
      </c>
      <c r="BD303" s="105">
        <f>IFERROR(BH303*BM303*BL303/BJ303/BK303,"")</f>
        <v/>
      </c>
      <c r="BE303" s="105">
        <f>IFERROR(MIN(BI303/BQ303/BP303/BO303/BH303,$BE$1),"")</f>
        <v/>
      </c>
      <c r="BF303" s="105">
        <f>IFERROR(BJ303*BO303*BP303/BK303,"")</f>
        <v/>
      </c>
      <c r="BG303" s="105">
        <f>IFERROR(1/BM303/BH303*BQ303,"")</f>
        <v/>
      </c>
      <c r="BH303" s="102">
        <f>MAX((CE303-Driver!$F$200)/(Driver!$G$200-Driver!$F$200)*$BI$1,1)</f>
        <v/>
      </c>
      <c r="BI303" s="102">
        <f>MAX($BI$1*(BY303-Driver!$F$201)/(Driver!$G$201-Driver!$F$201),1)</f>
        <v/>
      </c>
      <c r="BJ303" s="102">
        <f>(CB303-Driver!$F$206)/(Driver!$G$206-Driver!$F$206)*$BI$1</f>
        <v/>
      </c>
      <c r="BK303" s="102">
        <f>(CD303-Driver!$F$203)/(Driver!$G$203-Driver!$F$203)*$BI$1</f>
        <v/>
      </c>
      <c r="BL303" s="102">
        <f>MAX((CR303-Driver!$F$202)/(Driver!$G$202-Driver!$F$202)*$BI$1,1)</f>
        <v/>
      </c>
      <c r="BM303" s="102">
        <f>MAX((CH303-Driver!$F$204)/(Driver!$G$204-Driver!$F$204)*$BI$1,1)</f>
        <v/>
      </c>
      <c r="BN303" s="102">
        <f>(CI303-Driver!$F$205)/(Driver!$G$205-Driver!$F$205)*$BI$1</f>
        <v/>
      </c>
      <c r="BO303" s="102">
        <f>(CK303-Driver!$F$207)/(Driver!$G$207-Driver!$F$207)*$BI$1</f>
        <v/>
      </c>
      <c r="BP303" s="102">
        <f>(CM303-Driver!$F$208)/(Driver!$G$208-Driver!$F$208)*$BI$1</f>
        <v/>
      </c>
      <c r="BQ303" s="102">
        <f>(CL303-Driver!$F$209)/(Driver!$G$209-Driver!$F$209)*$BI$1</f>
        <v/>
      </c>
      <c r="BR303" s="40" t="inlineStr">
        <is>
          <t>21/22</t>
        </is>
      </c>
      <c r="BS303" s="10" t="inlineStr">
        <is>
          <t xml:space="preserve"> Armada</t>
        </is>
      </c>
      <c r="BT303" s="11" t="inlineStr">
        <is>
          <t>ARV 96</t>
        </is>
      </c>
      <c r="BU303" s="13" t="n">
        <v>170</v>
      </c>
      <c r="BV303" s="11" t="inlineStr">
        <is>
          <t xml:space="preserve"> Unisex</t>
        </is>
      </c>
      <c r="BW303" s="13" t="n">
        <v>170</v>
      </c>
      <c r="BX303" s="13" t="n">
        <v>168.9</v>
      </c>
      <c r="BY303" s="13" t="n">
        <v>126</v>
      </c>
      <c r="BZ303" s="13" t="n">
        <v>141</v>
      </c>
      <c r="CA303" s="13" t="n">
        <v>123</v>
      </c>
      <c r="CB303" s="13" t="n">
        <v>95</v>
      </c>
      <c r="CC303" s="13" t="n">
        <v>115</v>
      </c>
      <c r="CD303" s="13" t="n">
        <v>18.7</v>
      </c>
      <c r="CE303" s="13" t="n">
        <v>1729</v>
      </c>
      <c r="CF303" s="13" t="n">
        <v>1.02</v>
      </c>
      <c r="CG303" s="13" t="n">
        <v>1755</v>
      </c>
      <c r="CH303" s="13" t="n">
        <v>155</v>
      </c>
      <c r="CI303" s="13" t="n">
        <v>92</v>
      </c>
      <c r="CJ303" s="13" t="n">
        <v>44</v>
      </c>
      <c r="CK303" s="13" t="n">
        <v>226</v>
      </c>
      <c r="CL303" s="13" t="n">
        <v>37</v>
      </c>
      <c r="CM303" s="13" t="n">
        <v>205</v>
      </c>
      <c r="CN303" s="13" t="n">
        <v>0.836</v>
      </c>
      <c r="CO303" s="13" t="n">
        <v>135</v>
      </c>
      <c r="CP303" s="13" t="n">
        <v>141</v>
      </c>
      <c r="CQ303" s="13" t="n">
        <v>91</v>
      </c>
      <c r="CR303" s="13" t="n">
        <v>11</v>
      </c>
      <c r="CS303" s="13" t="n">
        <v>4.8</v>
      </c>
      <c r="CT303" s="11" t="inlineStr">
        <is>
          <t xml:space="preserve"> Resort Freeride</t>
        </is>
      </c>
      <c r="CU303" s="11" t="inlineStr">
        <is>
          <t xml:space="preserve"> Freeski</t>
        </is>
      </c>
      <c r="CV303" s="13" t="n"/>
      <c r="CW303" s="13" t="n"/>
      <c r="CX303">
        <f>INDEX('Data_Price '!AG$2:AG$1266,MATCH(Data!$DN303,'Data_Price '!$AT$2:$AT$1266,0))</f>
        <v/>
      </c>
      <c r="CY303">
        <f>INDEX('Data_Price '!AH$2:AH$1266,MATCH(Data!$DN303,'Data_Price '!$AT$2:$AT$1266,0))</f>
        <v/>
      </c>
      <c r="CZ303">
        <f>INDEX('Data_Price '!AI$2:AI$1266,MATCH(Data!$DN303,'Data_Price '!$AT$2:$AT$1266,0))</f>
        <v/>
      </c>
      <c r="DA303">
        <f>INDEX('Data_Price '!AJ$2:AJ$1266,MATCH(Data!$DN303,'Data_Price '!$AT$2:$AT$1266,0))</f>
        <v/>
      </c>
      <c r="DB303">
        <f>INDEX('Data_Price '!AK$2:AK$1266,MATCH(Data!$DN303,'Data_Price '!$AT$2:$AT$1266,0))</f>
        <v/>
      </c>
      <c r="DC303">
        <f>INDEX('Data_Price '!AL$2:AL$1266,MATCH(Data!$DN303,'Data_Price '!$AT$2:$AT$1266,0))</f>
        <v/>
      </c>
      <c r="DD303">
        <f>INDEX('Data_Price '!AM$2:AM$1266,MATCH(Data!$DN303,'Data_Price '!$AT$2:$AT$1266,0))</f>
        <v/>
      </c>
      <c r="DE303">
        <f>INDEX('Data_Price '!AN$2:AN$1266,MATCH(Data!$DN303,'Data_Price '!$AT$2:$AT$1266,0))</f>
        <v/>
      </c>
      <c r="DF303">
        <f>INDEX('Data_Price '!AO$2:AO$1266,MATCH(Data!$DN303,'Data_Price '!$AT$2:$AT$1266,0))</f>
        <v/>
      </c>
      <c r="DG303">
        <f>INDEX('Data_Price '!AP$2:AP$1266,MATCH(Data!$DN303,'Data_Price '!$AT$2:$AT$1266,0))</f>
        <v/>
      </c>
      <c r="DH303">
        <f>INDEX('Data_Price '!AQ$2:AQ$1266,MATCH(Data!$DN303,'Data_Price '!$AT$2:$AT$1266,0))</f>
        <v/>
      </c>
      <c r="DI303">
        <f>INDEX('Data_Price '!AR$2:AR$1266,MATCH(Data!$DN303,'Data_Price '!$AT$2:$AT$1266,0))</f>
        <v/>
      </c>
      <c r="DJ303" s="138">
        <f>DA303</f>
        <v/>
      </c>
      <c r="DK303" s="138">
        <f>DE303</f>
        <v/>
      </c>
      <c r="DL303" s="138">
        <f>DI303</f>
        <v/>
      </c>
      <c r="DM303" s="303">
        <f>IF(LEFT(BT303,1)=" ",RIGHT(BT303,LEN(BT303)-1),BT303)</f>
        <v/>
      </c>
      <c r="DN303" s="138">
        <f>_xlfn.CONCAT(BS303,DM303,BU303,BV303)</f>
        <v/>
      </c>
      <c r="DO303" s="307" t="inlineStr">
        <is>
          <t>https://images.evo.com/imgp/250/198700/839667/clone.jpg</t>
        </is>
      </c>
    </row>
    <row r="304" ht="15.6" customHeight="1" s="184">
      <c r="B304" s="303">
        <f t="array" ref="B304">IF(OR(ISERROR(K304:P304)),FALSE,TRUE)</f>
        <v/>
      </c>
      <c r="C304" s="60">
        <f>OR(BR304=Driver!$G$50,Data!BR154=Driver!$H$50)</f>
        <v/>
      </c>
      <c r="D304" s="60">
        <f>OR(BV304=Driver!$G$51,BV304=Driver!$H$51)</f>
        <v/>
      </c>
      <c r="E304" s="60">
        <f>AND(BX304&gt;Driver!$F$54,BX304&lt;Driver!$G$54)</f>
        <v/>
      </c>
      <c r="F304" s="60">
        <f>CL304&gt;Driver!$F$56</f>
        <v/>
      </c>
      <c r="G304" s="60">
        <f>AND(CB304&gt;Driver!$F$55,CB304&lt;Driver!$G$55)</f>
        <v/>
      </c>
      <c r="H304" s="60">
        <f>AND(B304:G304)</f>
        <v/>
      </c>
      <c r="I304" s="60">
        <f>COUNTIFS($H$9:$H$1273,TRUE,$BT$9:$BT$1273,BT304)</f>
        <v/>
      </c>
      <c r="J304" s="60">
        <f t="array" ref="J304">NOT(OR(($H$9:$H$1273=TRUE)*($I$9:$I$1273&gt;0)*($BT$9:$BT$1273=BT304)*($K$9:$K$1273&gt;K304)))</f>
        <v/>
      </c>
      <c r="K304" s="108">
        <f>IFERROR(1-AVERAGE(X304:Y304),"")</f>
        <v/>
      </c>
      <c r="L304" s="108">
        <f>1-X304</f>
        <v/>
      </c>
      <c r="M304" s="108">
        <f>1-Y304</f>
        <v/>
      </c>
      <c r="N304" s="108">
        <f>1-Z304</f>
        <v/>
      </c>
      <c r="O304" s="108">
        <f>1-AA304</f>
        <v/>
      </c>
      <c r="P304" s="108">
        <f>1-AB304</f>
        <v/>
      </c>
      <c r="Q304" s="108" t="n"/>
      <c r="R304" s="108" t="n"/>
      <c r="S304" s="108">
        <f>1-AE304</f>
        <v/>
      </c>
      <c r="T304" s="108">
        <f>1-AF304</f>
        <v/>
      </c>
      <c r="U304" s="108">
        <f>1-AG304</f>
        <v/>
      </c>
      <c r="V304" s="108">
        <f>1-AH304</f>
        <v/>
      </c>
      <c r="W304" s="108">
        <f>1-AI304</f>
        <v/>
      </c>
      <c r="X304" s="108">
        <f>ABS(AJ304-AJ$1)</f>
        <v/>
      </c>
      <c r="Y304" s="108">
        <f>AVERAGE(Z304:AB304)</f>
        <v/>
      </c>
      <c r="Z304" s="108">
        <f>ABS(AL304-AL$1)</f>
        <v/>
      </c>
      <c r="AA304" s="108">
        <f>ABS(AM304-AM$1)</f>
        <v/>
      </c>
      <c r="AB304" s="108">
        <f>ABS(AN304-AN$1)</f>
        <v/>
      </c>
      <c r="AC304" s="108" t="n"/>
      <c r="AD304" s="108" t="n"/>
      <c r="AE304" s="108">
        <f>ABS(AQ$1-AQ304)</f>
        <v/>
      </c>
      <c r="AF304" s="108">
        <f>ABS(AR$1-AR304)</f>
        <v/>
      </c>
      <c r="AG304" s="108">
        <f>ABS(AS$1-AS304)</f>
        <v/>
      </c>
      <c r="AH304" s="108">
        <f>ABS(AT$1-AT304)</f>
        <v/>
      </c>
      <c r="AI304" s="108">
        <f>ABS(AU$1-AU304)</f>
        <v/>
      </c>
      <c r="AJ304" s="108">
        <f>(AV304-Driver!$K$179)/(Driver!$L$179-Driver!$K$179)</f>
        <v/>
      </c>
      <c r="AK304" s="108">
        <f>(AW304-Driver!$K$180)/(Driver!$L$180-Driver!$K$180)</f>
        <v/>
      </c>
      <c r="AL304" s="108">
        <f>(AX304-Driver!$K$181)/(Driver!$L$181-Driver!$K$181)</f>
        <v/>
      </c>
      <c r="AM304" s="108">
        <f>(AY304-Driver!$K$182)/(Driver!$L$182-Driver!$K$182)</f>
        <v/>
      </c>
      <c r="AN304" s="108">
        <f>(AZ304-Driver!$K$183)/(Driver!$L$183-Driver!$K$183)</f>
        <v/>
      </c>
      <c r="AO304" s="108" t="n"/>
      <c r="AP304" s="108" t="n"/>
      <c r="AQ304" s="108">
        <f>(BC304-Driver!$K$188)/(Driver!$L$188-Driver!$K$188)</f>
        <v/>
      </c>
      <c r="AR304" s="108">
        <f>MIN((BD304-Driver!$K$189)/(Driver!$L$189-Driver!$K$189),100%)</f>
        <v/>
      </c>
      <c r="AS304" s="108">
        <f>(BE304-Driver!$K$190)/(Driver!$L$190-Driver!$K$190)</f>
        <v/>
      </c>
      <c r="AT304" s="108">
        <f>(BF304-Driver!$K$191)/(Driver!$L$191-Driver!$K$191)</f>
        <v/>
      </c>
      <c r="AU304" s="108">
        <f>(BG304-Driver!$K$192)/(Driver!$L$192-Driver!$K$192)</f>
        <v/>
      </c>
      <c r="AV304" s="105">
        <f>IFERROR(BM304*BJ304^1/4,"")</f>
        <v/>
      </c>
      <c r="AW304" s="105">
        <f>IFERROR(SUM(AX304:AZ304),"")</f>
        <v/>
      </c>
      <c r="AX304" s="105">
        <f>IFERROR(BH304,"")</f>
        <v/>
      </c>
      <c r="AY304" s="105">
        <f>IFERROR(Driver!$K$19/Data!BH304/Data!BI304*Data!BK304*Data!BL304,"")</f>
        <v/>
      </c>
      <c r="AZ304" s="105">
        <f>IFERROR(BI304*BN304,"")</f>
        <v/>
      </c>
      <c r="BA304" s="105" t="n"/>
      <c r="BB304" s="105" t="n"/>
      <c r="BC304" s="105">
        <f>IFERROR(BI304*BN304*BK304/BJ304^(1/2),"")</f>
        <v/>
      </c>
      <c r="BD304" s="105">
        <f>IFERROR(BH304*BM304*BL304/BJ304/BK304,"")</f>
        <v/>
      </c>
      <c r="BE304" s="105">
        <f>IFERROR(MIN(BI304/BQ304/BP304/BO304/BH304,$BE$1),"")</f>
        <v/>
      </c>
      <c r="BF304" s="105">
        <f>IFERROR(BJ304*BO304*BP304/BK304,"")</f>
        <v/>
      </c>
      <c r="BG304" s="105">
        <f>IFERROR(1/BM304/BH304*BQ304,"")</f>
        <v/>
      </c>
      <c r="BH304" s="102">
        <f>MAX((CE304-Driver!$F$200)/(Driver!$G$200-Driver!$F$200)*$BI$1,1)</f>
        <v/>
      </c>
      <c r="BI304" s="102">
        <f>MAX($BI$1*(BY304-Driver!$F$201)/(Driver!$G$201-Driver!$F$201),1)</f>
        <v/>
      </c>
      <c r="BJ304" s="102">
        <f>(CB304-Driver!$F$206)/(Driver!$G$206-Driver!$F$206)*$BI$1</f>
        <v/>
      </c>
      <c r="BK304" s="102">
        <f>(CD304-Driver!$F$203)/(Driver!$G$203-Driver!$F$203)*$BI$1</f>
        <v/>
      </c>
      <c r="BL304" s="102">
        <f>MAX((CR304-Driver!$F$202)/(Driver!$G$202-Driver!$F$202)*$BI$1,1)</f>
        <v/>
      </c>
      <c r="BM304" s="102">
        <f>MAX((CH304-Driver!$F$204)/(Driver!$G$204-Driver!$F$204)*$BI$1,1)</f>
        <v/>
      </c>
      <c r="BN304" s="102">
        <f>(CI304-Driver!$F$205)/(Driver!$G$205-Driver!$F$205)*$BI$1</f>
        <v/>
      </c>
      <c r="BO304" s="102">
        <f>(CK304-Driver!$F$207)/(Driver!$G$207-Driver!$F$207)*$BI$1</f>
        <v/>
      </c>
      <c r="BP304" s="102">
        <f>(CM304-Driver!$F$208)/(Driver!$G$208-Driver!$F$208)*$BI$1</f>
        <v/>
      </c>
      <c r="BQ304" s="102">
        <f>(CL304-Driver!$F$209)/(Driver!$G$209-Driver!$F$209)*$BI$1</f>
        <v/>
      </c>
      <c r="BR304" s="40" t="inlineStr">
        <is>
          <t>21/22</t>
        </is>
      </c>
      <c r="BS304" s="10" t="inlineStr">
        <is>
          <t xml:space="preserve"> Atomic</t>
        </is>
      </c>
      <c r="BT304" s="11" t="inlineStr">
        <is>
          <t>Maven 93 C</t>
        </is>
      </c>
      <c r="BU304" s="13" t="n">
        <v>164</v>
      </c>
      <c r="BV304" s="11" t="inlineStr">
        <is>
          <t xml:space="preserve"> Women's</t>
        </is>
      </c>
      <c r="BW304" s="13" t="n">
        <v>164</v>
      </c>
      <c r="BX304" s="13" t="n">
        <v>163.4</v>
      </c>
      <c r="BY304" s="13" t="n">
        <v>113</v>
      </c>
      <c r="BZ304" s="13" t="n">
        <v>134</v>
      </c>
      <c r="CA304" s="13" t="n">
        <v>125</v>
      </c>
      <c r="CB304" s="13" t="n">
        <v>92</v>
      </c>
      <c r="CC304" s="13" t="n">
        <v>109</v>
      </c>
      <c r="CD304" s="13" t="n">
        <v>16.6</v>
      </c>
      <c r="CE304" s="13" t="n">
        <v>1489</v>
      </c>
      <c r="CF304" s="13" t="n">
        <v>1.12</v>
      </c>
      <c r="CG304" s="13" t="n">
        <v>1669</v>
      </c>
      <c r="CH304" s="13" t="n">
        <v>218</v>
      </c>
      <c r="CI304" s="13" t="n">
        <v>87</v>
      </c>
      <c r="CJ304" s="13" t="n">
        <v>53</v>
      </c>
      <c r="CK304" s="13" t="n">
        <v>303</v>
      </c>
      <c r="CL304" s="13" t="n">
        <v>13</v>
      </c>
      <c r="CM304" s="13" t="n">
        <v>197</v>
      </c>
      <c r="CN304" s="13" t="n">
        <v>0.255</v>
      </c>
      <c r="CO304" s="13" t="n">
        <v>163</v>
      </c>
      <c r="CP304" s="13" t="n">
        <v>135</v>
      </c>
      <c r="CQ304" s="13" t="n">
        <v>140</v>
      </c>
      <c r="CR304" s="13" t="n">
        <v>4</v>
      </c>
      <c r="CS304" s="13" t="n">
        <v>9.5</v>
      </c>
      <c r="CT304" s="11" t="inlineStr">
        <is>
          <t xml:space="preserve"> Resort Freeride</t>
        </is>
      </c>
      <c r="CU304" s="11" t="inlineStr">
        <is>
          <t xml:space="preserve"> Touring</t>
        </is>
      </c>
      <c r="CV304" s="13" t="n"/>
      <c r="CW304" s="13" t="n"/>
      <c r="CX304">
        <f>INDEX('Data_Price '!AG$2:AG$1266,MATCH(Data!$DN304,'Data_Price '!$AT$2:$AT$1266,0))</f>
        <v/>
      </c>
      <c r="CY304">
        <f>INDEX('Data_Price '!AH$2:AH$1266,MATCH(Data!$DN304,'Data_Price '!$AT$2:$AT$1266,0))</f>
        <v/>
      </c>
      <c r="CZ304">
        <f>INDEX('Data_Price '!AI$2:AI$1266,MATCH(Data!$DN304,'Data_Price '!$AT$2:$AT$1266,0))</f>
        <v/>
      </c>
      <c r="DA304">
        <f>INDEX('Data_Price '!AJ$2:AJ$1266,MATCH(Data!$DN304,'Data_Price '!$AT$2:$AT$1266,0))</f>
        <v/>
      </c>
      <c r="DB304">
        <f>INDEX('Data_Price '!AK$2:AK$1266,MATCH(Data!$DN304,'Data_Price '!$AT$2:$AT$1266,0))</f>
        <v/>
      </c>
      <c r="DC304">
        <f>INDEX('Data_Price '!AL$2:AL$1266,MATCH(Data!$DN304,'Data_Price '!$AT$2:$AT$1266,0))</f>
        <v/>
      </c>
      <c r="DD304">
        <f>INDEX('Data_Price '!AM$2:AM$1266,MATCH(Data!$DN304,'Data_Price '!$AT$2:$AT$1266,0))</f>
        <v/>
      </c>
      <c r="DE304">
        <f>INDEX('Data_Price '!AN$2:AN$1266,MATCH(Data!$DN304,'Data_Price '!$AT$2:$AT$1266,0))</f>
        <v/>
      </c>
      <c r="DF304">
        <f>INDEX('Data_Price '!AO$2:AO$1266,MATCH(Data!$DN304,'Data_Price '!$AT$2:$AT$1266,0))</f>
        <v/>
      </c>
      <c r="DG304">
        <f>INDEX('Data_Price '!AP$2:AP$1266,MATCH(Data!$DN304,'Data_Price '!$AT$2:$AT$1266,0))</f>
        <v/>
      </c>
      <c r="DH304">
        <f>INDEX('Data_Price '!AQ$2:AQ$1266,MATCH(Data!$DN304,'Data_Price '!$AT$2:$AT$1266,0))</f>
        <v/>
      </c>
      <c r="DI304">
        <f>INDEX('Data_Price '!AR$2:AR$1266,MATCH(Data!$DN304,'Data_Price '!$AT$2:$AT$1266,0))</f>
        <v/>
      </c>
      <c r="DJ304" s="138">
        <f>DA304</f>
        <v/>
      </c>
      <c r="DK304" s="138">
        <f>DE304</f>
        <v/>
      </c>
      <c r="DL304" s="138">
        <f>DI304</f>
        <v/>
      </c>
      <c r="DM304" s="303">
        <f>IF(LEFT(BT304,1)=" ",RIGHT(BT304,LEN(BT304)-1),BT304)</f>
        <v/>
      </c>
      <c r="DN304" s="138">
        <f>_xlfn.CONCAT(BS304,DM304,BU304,BV304)</f>
        <v/>
      </c>
      <c r="DO304" s="307" t="inlineStr">
        <is>
          <t>https://images.evo.com/imgp/250/219397/904532/atomic-maven-93-c-skis-women-s-2023-.jpg</t>
        </is>
      </c>
    </row>
    <row r="305" ht="15.6" customHeight="1" s="184">
      <c r="B305" s="303">
        <f t="array" ref="B305">IF(OR(ISERROR(K305:P305)),FALSE,TRUE)</f>
        <v/>
      </c>
      <c r="C305" s="60">
        <f>OR(BR305=Driver!$G$50,Data!BR204=Driver!$H$50)</f>
        <v/>
      </c>
      <c r="D305" s="60">
        <f>OR(BV305=Driver!$G$51,BV305=Driver!$H$51)</f>
        <v/>
      </c>
      <c r="E305" s="60">
        <f>AND(BX305&gt;Driver!$F$54,BX305&lt;Driver!$G$54)</f>
        <v/>
      </c>
      <c r="F305" s="60">
        <f>CL305&gt;Driver!$F$56</f>
        <v/>
      </c>
      <c r="G305" s="60">
        <f>AND(CB305&gt;Driver!$F$55,CB305&lt;Driver!$G$55)</f>
        <v/>
      </c>
      <c r="H305" s="60">
        <f>AND(B305:G305)</f>
        <v/>
      </c>
      <c r="I305" s="60">
        <f>COUNTIFS($H$9:$H$1273,TRUE,$BT$9:$BT$1273,BT305)</f>
        <v/>
      </c>
      <c r="J305" s="60">
        <f t="array" ref="J305">NOT(OR(($H$9:$H$1273=TRUE)*($I$9:$I$1273&gt;0)*($BT$9:$BT$1273=BT305)*($K$9:$K$1273&gt;K305)))</f>
        <v/>
      </c>
      <c r="K305" s="108">
        <f>IFERROR(1-AVERAGE(X305:Y305),"")</f>
        <v/>
      </c>
      <c r="L305" s="108">
        <f>1-X305</f>
        <v/>
      </c>
      <c r="M305" s="108">
        <f>1-Y305</f>
        <v/>
      </c>
      <c r="N305" s="108">
        <f>1-Z305</f>
        <v/>
      </c>
      <c r="O305" s="108">
        <f>1-AA305</f>
        <v/>
      </c>
      <c r="P305" s="108">
        <f>1-AB305</f>
        <v/>
      </c>
      <c r="Q305" s="108" t="n"/>
      <c r="R305" s="108" t="n"/>
      <c r="S305" s="108">
        <f>1-AE305</f>
        <v/>
      </c>
      <c r="T305" s="108">
        <f>1-AF305</f>
        <v/>
      </c>
      <c r="U305" s="108">
        <f>1-AG305</f>
        <v/>
      </c>
      <c r="V305" s="108">
        <f>1-AH305</f>
        <v/>
      </c>
      <c r="W305" s="108">
        <f>1-AI305</f>
        <v/>
      </c>
      <c r="X305" s="108">
        <f>ABS(AJ305-AJ$1)</f>
        <v/>
      </c>
      <c r="Y305" s="108">
        <f>AVERAGE(Z305:AB305)</f>
        <v/>
      </c>
      <c r="Z305" s="108">
        <f>ABS(AL305-AL$1)</f>
        <v/>
      </c>
      <c r="AA305" s="108">
        <f>ABS(AM305-AM$1)</f>
        <v/>
      </c>
      <c r="AB305" s="108">
        <f>ABS(AN305-AN$1)</f>
        <v/>
      </c>
      <c r="AC305" s="108" t="n"/>
      <c r="AD305" s="108" t="n"/>
      <c r="AE305" s="108">
        <f>ABS(AQ$1-AQ305)</f>
        <v/>
      </c>
      <c r="AF305" s="108">
        <f>ABS(AR$1-AR305)</f>
        <v/>
      </c>
      <c r="AG305" s="108">
        <f>ABS(AS$1-AS305)</f>
        <v/>
      </c>
      <c r="AH305" s="108">
        <f>ABS(AT$1-AT305)</f>
        <v/>
      </c>
      <c r="AI305" s="108">
        <f>ABS(AU$1-AU305)</f>
        <v/>
      </c>
      <c r="AJ305" s="108">
        <f>(AV305-Driver!$K$179)/(Driver!$L$179-Driver!$K$179)</f>
        <v/>
      </c>
      <c r="AK305" s="108">
        <f>(AW305-Driver!$K$180)/(Driver!$L$180-Driver!$K$180)</f>
        <v/>
      </c>
      <c r="AL305" s="108">
        <f>(AX305-Driver!$K$181)/(Driver!$L$181-Driver!$K$181)</f>
        <v/>
      </c>
      <c r="AM305" s="108">
        <f>(AY305-Driver!$K$182)/(Driver!$L$182-Driver!$K$182)</f>
        <v/>
      </c>
      <c r="AN305" s="108">
        <f>(AZ305-Driver!$K$183)/(Driver!$L$183-Driver!$K$183)</f>
        <v/>
      </c>
      <c r="AO305" s="108" t="n"/>
      <c r="AP305" s="108" t="n"/>
      <c r="AQ305" s="108">
        <f>(BC305-Driver!$K$188)/(Driver!$L$188-Driver!$K$188)</f>
        <v/>
      </c>
      <c r="AR305" s="108">
        <f>MIN((BD305-Driver!$K$189)/(Driver!$L$189-Driver!$K$189),100%)</f>
        <v/>
      </c>
      <c r="AS305" s="108">
        <f>(BE305-Driver!$K$190)/(Driver!$L$190-Driver!$K$190)</f>
        <v/>
      </c>
      <c r="AT305" s="108">
        <f>(BF305-Driver!$K$191)/(Driver!$L$191-Driver!$K$191)</f>
        <v/>
      </c>
      <c r="AU305" s="108">
        <f>(BG305-Driver!$K$192)/(Driver!$L$192-Driver!$K$192)</f>
        <v/>
      </c>
      <c r="AV305" s="105">
        <f>IFERROR(BM305*BJ305^1/4,"")</f>
        <v/>
      </c>
      <c r="AW305" s="105">
        <f>IFERROR(SUM(AX305:AZ305),"")</f>
        <v/>
      </c>
      <c r="AX305" s="105">
        <f>IFERROR(BH305,"")</f>
        <v/>
      </c>
      <c r="AY305" s="105">
        <f>IFERROR(Driver!$K$19/Data!BH305/Data!BI305*Data!BK305*Data!BL305,"")</f>
        <v/>
      </c>
      <c r="AZ305" s="105">
        <f>IFERROR(BI305*BN305,"")</f>
        <v/>
      </c>
      <c r="BA305" s="105" t="n"/>
      <c r="BB305" s="105" t="n"/>
      <c r="BC305" s="105">
        <f>IFERROR(BI305*BN305*BK305/BJ305^(1/2),"")</f>
        <v/>
      </c>
      <c r="BD305" s="105">
        <f>IFERROR(BH305*BM305*BL305/BJ305/BK305,"")</f>
        <v/>
      </c>
      <c r="BE305" s="105">
        <f>IFERROR(MIN(BI305/BQ305/BP305/BO305/BH305,$BE$1),"")</f>
        <v/>
      </c>
      <c r="BF305" s="105">
        <f>IFERROR(BJ305*BO305*BP305/BK305,"")</f>
        <v/>
      </c>
      <c r="BG305" s="105">
        <f>IFERROR(1/BM305/BH305*BQ305,"")</f>
        <v/>
      </c>
      <c r="BH305" s="102">
        <f>MAX((CE305-Driver!$F$200)/(Driver!$G$200-Driver!$F$200)*$BI$1,1)</f>
        <v/>
      </c>
      <c r="BI305" s="102">
        <f>MAX($BI$1*(BY305-Driver!$F$201)/(Driver!$G$201-Driver!$F$201),1)</f>
        <v/>
      </c>
      <c r="BJ305" s="102">
        <f>(CB305-Driver!$F$206)/(Driver!$G$206-Driver!$F$206)*$BI$1</f>
        <v/>
      </c>
      <c r="BK305" s="102">
        <f>(CD305-Driver!$F$203)/(Driver!$G$203-Driver!$F$203)*$BI$1</f>
        <v/>
      </c>
      <c r="BL305" s="102">
        <f>MAX((CR305-Driver!$F$202)/(Driver!$G$202-Driver!$F$202)*$BI$1,1)</f>
        <v/>
      </c>
      <c r="BM305" s="102">
        <f>MAX((CH305-Driver!$F$204)/(Driver!$G$204-Driver!$F$204)*$BI$1,1)</f>
        <v/>
      </c>
      <c r="BN305" s="102">
        <f>(CI305-Driver!$F$205)/(Driver!$G$205-Driver!$F$205)*$BI$1</f>
        <v/>
      </c>
      <c r="BO305" s="102">
        <f>(CK305-Driver!$F$207)/(Driver!$G$207-Driver!$F$207)*$BI$1</f>
        <v/>
      </c>
      <c r="BP305" s="102">
        <f>(CM305-Driver!$F$208)/(Driver!$G$208-Driver!$F$208)*$BI$1</f>
        <v/>
      </c>
      <c r="BQ305" s="102">
        <f>(CL305-Driver!$F$209)/(Driver!$G$209-Driver!$F$209)*$BI$1</f>
        <v/>
      </c>
      <c r="BR305" s="40" t="inlineStr">
        <is>
          <t>21/22</t>
        </is>
      </c>
      <c r="BS305" s="10" t="inlineStr">
        <is>
          <t xml:space="preserve"> Black Crows</t>
        </is>
      </c>
      <c r="BT305" s="11" t="inlineStr">
        <is>
          <t xml:space="preserve"> Camox</t>
        </is>
      </c>
      <c r="BU305" s="13" t="n">
        <v>180.4</v>
      </c>
      <c r="BV305" s="11" t="inlineStr">
        <is>
          <t xml:space="preserve"> Unisex</t>
        </is>
      </c>
      <c r="BW305" s="13" t="n">
        <v>180.4</v>
      </c>
      <c r="BX305" s="13" t="n">
        <v>179.2</v>
      </c>
      <c r="BY305" s="13" t="n">
        <v>143</v>
      </c>
      <c r="BZ305" s="13" t="n">
        <v>157</v>
      </c>
      <c r="CA305" s="13" t="n">
        <v>129</v>
      </c>
      <c r="CB305" s="13" t="n">
        <v>96</v>
      </c>
      <c r="CC305" s="13" t="n">
        <v>118</v>
      </c>
      <c r="CD305" s="13" t="n">
        <v>20.2</v>
      </c>
      <c r="CE305" s="13" t="n">
        <v>1790</v>
      </c>
      <c r="CF305" s="13" t="n">
        <v>1.07</v>
      </c>
      <c r="CG305" s="13" t="n">
        <v>1910</v>
      </c>
      <c r="CH305" s="13" t="n">
        <v>177</v>
      </c>
      <c r="CI305" s="13" t="n">
        <v>83</v>
      </c>
      <c r="CJ305" s="13" t="n">
        <v>44</v>
      </c>
      <c r="CK305" s="13" t="n">
        <v>214</v>
      </c>
      <c r="CL305" s="13" t="n">
        <v>29</v>
      </c>
      <c r="CM305" s="13" t="n">
        <v>145</v>
      </c>
      <c r="CN305" s="13" t="n">
        <v>0.667</v>
      </c>
      <c r="CO305" s="13" t="n">
        <v>137</v>
      </c>
      <c r="CP305" s="13" t="n">
        <v>86</v>
      </c>
      <c r="CQ305" s="13" t="n">
        <v>77</v>
      </c>
      <c r="CR305" s="13" t="n">
        <v>15</v>
      </c>
      <c r="CS305" s="13" t="n">
        <v>6.7</v>
      </c>
      <c r="CT305" s="11" t="inlineStr">
        <is>
          <t xml:space="preserve"> Resort Freeride</t>
        </is>
      </c>
      <c r="CU305" s="11" t="inlineStr">
        <is>
          <t xml:space="preserve"> Touring</t>
        </is>
      </c>
      <c r="CV305" s="13" t="n"/>
      <c r="CW305" s="13" t="n"/>
      <c r="CX305">
        <f>INDEX('Data_Price '!AG$2:AG$1266,MATCH(Data!$DN305,'Data_Price '!$AT$2:$AT$1266,0))</f>
        <v/>
      </c>
      <c r="CY305">
        <f>INDEX('Data_Price '!AH$2:AH$1266,MATCH(Data!$DN305,'Data_Price '!$AT$2:$AT$1266,0))</f>
        <v/>
      </c>
      <c r="CZ305">
        <f>INDEX('Data_Price '!AI$2:AI$1266,MATCH(Data!$DN305,'Data_Price '!$AT$2:$AT$1266,0))</f>
        <v/>
      </c>
      <c r="DA305">
        <f>INDEX('Data_Price '!AJ$2:AJ$1266,MATCH(Data!$DN305,'Data_Price '!$AT$2:$AT$1266,0))</f>
        <v/>
      </c>
      <c r="DB305">
        <f>INDEX('Data_Price '!AK$2:AK$1266,MATCH(Data!$DN305,'Data_Price '!$AT$2:$AT$1266,0))</f>
        <v/>
      </c>
      <c r="DC305">
        <f>INDEX('Data_Price '!AL$2:AL$1266,MATCH(Data!$DN305,'Data_Price '!$AT$2:$AT$1266,0))</f>
        <v/>
      </c>
      <c r="DD305">
        <f>INDEX('Data_Price '!AM$2:AM$1266,MATCH(Data!$DN305,'Data_Price '!$AT$2:$AT$1266,0))</f>
        <v/>
      </c>
      <c r="DE305">
        <f>INDEX('Data_Price '!AN$2:AN$1266,MATCH(Data!$DN305,'Data_Price '!$AT$2:$AT$1266,0))</f>
        <v/>
      </c>
      <c r="DF305">
        <f>INDEX('Data_Price '!AO$2:AO$1266,MATCH(Data!$DN305,'Data_Price '!$AT$2:$AT$1266,0))</f>
        <v/>
      </c>
      <c r="DG305">
        <f>INDEX('Data_Price '!AP$2:AP$1266,MATCH(Data!$DN305,'Data_Price '!$AT$2:$AT$1266,0))</f>
        <v/>
      </c>
      <c r="DH305">
        <f>INDEX('Data_Price '!AQ$2:AQ$1266,MATCH(Data!$DN305,'Data_Price '!$AT$2:$AT$1266,0))</f>
        <v/>
      </c>
      <c r="DI305">
        <f>INDEX('Data_Price '!AR$2:AR$1266,MATCH(Data!$DN305,'Data_Price '!$AT$2:$AT$1266,0))</f>
        <v/>
      </c>
      <c r="DJ305" s="138">
        <f>DA305</f>
        <v/>
      </c>
      <c r="DK305" s="138">
        <f>DE305</f>
        <v/>
      </c>
      <c r="DL305" s="138">
        <f>DI305</f>
        <v/>
      </c>
      <c r="DM305" s="303">
        <f>IF(LEFT(BT305,1)=" ",RIGHT(BT305,LEN(BT305)-1),BT305)</f>
        <v/>
      </c>
      <c r="DN305" s="138">
        <f>_xlfn.CONCAT(BS305,DM305,BU305,BV305)</f>
        <v/>
      </c>
      <c r="DO305" s="307" t="inlineStr">
        <is>
          <t>https://images.evo.com/imgp/250/181599/727231/black-crows-camox-skis-2022-.jpg</t>
        </is>
      </c>
    </row>
    <row r="306" ht="15.6" customHeight="1" s="184">
      <c r="B306" s="303">
        <f t="array" ref="B306">IF(OR(ISERROR(K306:P306)),FALSE,TRUE)</f>
        <v/>
      </c>
      <c r="C306" s="60">
        <f>OR(BR306=Driver!$G$50,Data!BR1060=Driver!$H$50)</f>
        <v/>
      </c>
      <c r="D306" s="60">
        <f>OR(BV306=Driver!$G$51,BV306=Driver!$H$51)</f>
        <v/>
      </c>
      <c r="E306" s="60">
        <f>AND(BX306&gt;Driver!$F$54,BX306&lt;Driver!$G$54)</f>
        <v/>
      </c>
      <c r="F306" s="60">
        <f>CL306&gt;Driver!$F$56</f>
        <v/>
      </c>
      <c r="G306" s="60">
        <f>AND(CB306&gt;Driver!$F$55,CB306&lt;Driver!$G$55)</f>
        <v/>
      </c>
      <c r="H306" s="60">
        <f>AND(B306:G306)</f>
        <v/>
      </c>
      <c r="I306" s="60">
        <f>COUNTIFS($H$9:$H$1273,TRUE,$BT$9:$BT$1273,BT306)</f>
        <v/>
      </c>
      <c r="J306" s="60">
        <f t="array" ref="J306">NOT(OR(($H$9:$H$1273=TRUE)*($I$9:$I$1273&gt;0)*($BT$9:$BT$1273=BT306)*($K$9:$K$1273&gt;K306)))</f>
        <v/>
      </c>
      <c r="K306" s="108">
        <f>IFERROR(1-AVERAGE(X306:Y306),"")</f>
        <v/>
      </c>
      <c r="L306" s="108">
        <f>1-X306</f>
        <v/>
      </c>
      <c r="M306" s="108">
        <f>1-Y306</f>
        <v/>
      </c>
      <c r="N306" s="108">
        <f>1-Z306</f>
        <v/>
      </c>
      <c r="O306" s="108">
        <f>1-AA306</f>
        <v/>
      </c>
      <c r="P306" s="108">
        <f>1-AB306</f>
        <v/>
      </c>
      <c r="Q306" s="108" t="n"/>
      <c r="R306" s="108" t="n"/>
      <c r="S306" s="108">
        <f>1-AE306</f>
        <v/>
      </c>
      <c r="T306" s="108">
        <f>1-AF306</f>
        <v/>
      </c>
      <c r="U306" s="108">
        <f>1-AG306</f>
        <v/>
      </c>
      <c r="V306" s="108">
        <f>1-AH306</f>
        <v/>
      </c>
      <c r="W306" s="108">
        <f>1-AI306</f>
        <v/>
      </c>
      <c r="X306" s="108">
        <f>ABS(AJ306-AJ$1)</f>
        <v/>
      </c>
      <c r="Y306" s="108">
        <f>AVERAGE(Z306:AB306)</f>
        <v/>
      </c>
      <c r="Z306" s="108">
        <f>ABS(AL306-AL$1)</f>
        <v/>
      </c>
      <c r="AA306" s="108">
        <f>ABS(AM306-AM$1)</f>
        <v/>
      </c>
      <c r="AB306" s="108">
        <f>ABS(AN306-AN$1)</f>
        <v/>
      </c>
      <c r="AC306" s="108" t="n"/>
      <c r="AD306" s="108" t="n"/>
      <c r="AE306" s="108">
        <f>ABS(AQ$1-AQ306)</f>
        <v/>
      </c>
      <c r="AF306" s="108">
        <f>ABS(AR$1-AR306)</f>
        <v/>
      </c>
      <c r="AG306" s="108">
        <f>ABS(AS$1-AS306)</f>
        <v/>
      </c>
      <c r="AH306" s="108">
        <f>ABS(AT$1-AT306)</f>
        <v/>
      </c>
      <c r="AI306" s="108">
        <f>ABS(AU$1-AU306)</f>
        <v/>
      </c>
      <c r="AJ306" s="108">
        <f>(AV306-Driver!$K$179)/(Driver!$L$179-Driver!$K$179)</f>
        <v/>
      </c>
      <c r="AK306" s="108">
        <f>(AW306-Driver!$K$180)/(Driver!$L$180-Driver!$K$180)</f>
        <v/>
      </c>
      <c r="AL306" s="108">
        <f>(AX306-Driver!$K$181)/(Driver!$L$181-Driver!$K$181)</f>
        <v/>
      </c>
      <c r="AM306" s="108">
        <f>(AY306-Driver!$K$182)/(Driver!$L$182-Driver!$K$182)</f>
        <v/>
      </c>
      <c r="AN306" s="108">
        <f>(AZ306-Driver!$K$183)/(Driver!$L$183-Driver!$K$183)</f>
        <v/>
      </c>
      <c r="AO306" s="108" t="n"/>
      <c r="AP306" s="108" t="n"/>
      <c r="AQ306" s="108">
        <f>(BC306-Driver!$K$188)/(Driver!$L$188-Driver!$K$188)</f>
        <v/>
      </c>
      <c r="AR306" s="108">
        <f>MIN((BD306-Driver!$K$189)/(Driver!$L$189-Driver!$K$189),100%)</f>
        <v/>
      </c>
      <c r="AS306" s="108">
        <f>(BE306-Driver!$K$190)/(Driver!$L$190-Driver!$K$190)</f>
        <v/>
      </c>
      <c r="AT306" s="108">
        <f>(BF306-Driver!$K$191)/(Driver!$L$191-Driver!$K$191)</f>
        <v/>
      </c>
      <c r="AU306" s="108">
        <f>(BG306-Driver!$K$192)/(Driver!$L$192-Driver!$K$192)</f>
        <v/>
      </c>
      <c r="AV306" s="105">
        <f>IFERROR(BM306*BJ306^1/4,"")</f>
        <v/>
      </c>
      <c r="AW306" s="105">
        <f>IFERROR(SUM(AX306:AZ306),"")</f>
        <v/>
      </c>
      <c r="AX306" s="105">
        <f>IFERROR(BH306,"")</f>
        <v/>
      </c>
      <c r="AY306" s="105">
        <f>IFERROR(Driver!$K$19/Data!BH306/Data!BI306*Data!BK306*Data!BL306,"")</f>
        <v/>
      </c>
      <c r="AZ306" s="105">
        <f>IFERROR(BI306*BN306,"")</f>
        <v/>
      </c>
      <c r="BA306" s="105" t="n"/>
      <c r="BB306" s="105" t="n"/>
      <c r="BC306" s="105">
        <f>IFERROR(BI306*BN306*BK306/BJ306^(1/2),"")</f>
        <v/>
      </c>
      <c r="BD306" s="105">
        <f>IFERROR(BH306*BM306*BL306/BJ306/BK306,"")</f>
        <v/>
      </c>
      <c r="BE306" s="105">
        <f>IFERROR(MIN(BI306/BQ306/BP306/BO306/BH306,$BE$1),"")</f>
        <v/>
      </c>
      <c r="BF306" s="105">
        <f>IFERROR(BJ306*BO306*BP306/BK306,"")</f>
        <v/>
      </c>
      <c r="BG306" s="105">
        <f>IFERROR(1/BM306/BH306*BQ306,"")</f>
        <v/>
      </c>
      <c r="BH306" s="102">
        <f>MAX((CE306-Driver!$F$200)/(Driver!$G$200-Driver!$F$200)*$BI$1,1)</f>
        <v/>
      </c>
      <c r="BI306" s="102">
        <f>MAX($BI$1*(BY306-Driver!$F$201)/(Driver!$G$201-Driver!$F$201),1)</f>
        <v/>
      </c>
      <c r="BJ306" s="102">
        <f>(CB306-Driver!$F$206)/(Driver!$G$206-Driver!$F$206)*$BI$1</f>
        <v/>
      </c>
      <c r="BK306" s="102">
        <f>(CD306-Driver!$F$203)/(Driver!$G$203-Driver!$F$203)*$BI$1</f>
        <v/>
      </c>
      <c r="BL306" s="102">
        <f>MAX((CR306-Driver!$F$202)/(Driver!$G$202-Driver!$F$202)*$BI$1,1)</f>
        <v/>
      </c>
      <c r="BM306" s="102">
        <f>MAX((CH306-Driver!$F$204)/(Driver!$G$204-Driver!$F$204)*$BI$1,1)</f>
        <v/>
      </c>
      <c r="BN306" s="102">
        <f>(CI306-Driver!$F$205)/(Driver!$G$205-Driver!$F$205)*$BI$1</f>
        <v/>
      </c>
      <c r="BO306" s="102">
        <f>(CK306-Driver!$F$207)/(Driver!$G$207-Driver!$F$207)*$BI$1</f>
        <v/>
      </c>
      <c r="BP306" s="102">
        <f>(CM306-Driver!$F$208)/(Driver!$G$208-Driver!$F$208)*$BI$1</f>
        <v/>
      </c>
      <c r="BQ306" s="102">
        <f>(CL306-Driver!$F$209)/(Driver!$G$209-Driver!$F$209)*$BI$1</f>
        <v/>
      </c>
      <c r="BR306" s="40" t="inlineStr">
        <is>
          <t>21/22</t>
        </is>
      </c>
      <c r="BS306" s="10" t="inlineStr">
        <is>
          <t xml:space="preserve"> Salomon</t>
        </is>
      </c>
      <c r="BT306" s="11" t="inlineStr">
        <is>
          <t>MTN Explore 88</t>
        </is>
      </c>
      <c r="BU306" s="13" t="n">
        <v>177</v>
      </c>
      <c r="BV306" s="11" t="inlineStr">
        <is>
          <t xml:space="preserve"> Unisex</t>
        </is>
      </c>
      <c r="BW306" s="13" t="n">
        <v>177</v>
      </c>
      <c r="BX306" s="13" t="n">
        <v>175.7</v>
      </c>
      <c r="BY306" s="13" t="n">
        <v>139</v>
      </c>
      <c r="BZ306" s="13" t="n">
        <v>153</v>
      </c>
      <c r="CA306" s="13" t="n">
        <v>125</v>
      </c>
      <c r="CB306" s="13" t="n">
        <v>88</v>
      </c>
      <c r="CC306" s="13" t="n">
        <v>111</v>
      </c>
      <c r="CD306" s="13" t="n">
        <v>18.5</v>
      </c>
      <c r="CE306" s="13" t="n">
        <v>1397</v>
      </c>
      <c r="CF306" s="13" t="n">
        <v>1.27</v>
      </c>
      <c r="CG306" s="13" t="n">
        <v>1768</v>
      </c>
      <c r="CH306" s="13" t="n">
        <v>173</v>
      </c>
      <c r="CI306" s="13" t="n">
        <v>76</v>
      </c>
      <c r="CJ306" s="13" t="n">
        <v>50</v>
      </c>
      <c r="CK306" s="13" t="n">
        <v>205</v>
      </c>
      <c r="CL306" s="13" t="n">
        <v>12</v>
      </c>
      <c r="CM306" s="13" t="n">
        <v>162</v>
      </c>
      <c r="CN306" s="13" t="n">
        <v>0.251</v>
      </c>
      <c r="CO306" s="13" t="n">
        <v>149</v>
      </c>
      <c r="CP306" s="13" t="n">
        <v>78</v>
      </c>
      <c r="CQ306" s="13" t="n">
        <v>56</v>
      </c>
      <c r="CR306" s="13" t="n">
        <v>8</v>
      </c>
      <c r="CS306" s="13" t="n">
        <v>11.6</v>
      </c>
      <c r="CT306" s="11" t="inlineStr">
        <is>
          <t xml:space="preserve"> Resort Freeride</t>
        </is>
      </c>
      <c r="CU306" s="11" t="inlineStr">
        <is>
          <t xml:space="preserve"> Touring</t>
        </is>
      </c>
      <c r="CV306" s="11" t="inlineStr">
        <is>
          <t xml:space="preserve"> Ultralight Touring</t>
        </is>
      </c>
      <c r="CW306" s="13" t="n"/>
      <c r="CX306">
        <f>INDEX('Data_Price '!AG$2:AG$1266,MATCH(Data!$DN306,'Data_Price '!$AT$2:$AT$1266,0))</f>
        <v/>
      </c>
      <c r="CY306">
        <f>INDEX('Data_Price '!AH$2:AH$1266,MATCH(Data!$DN306,'Data_Price '!$AT$2:$AT$1266,0))</f>
        <v/>
      </c>
      <c r="CZ306">
        <f>INDEX('Data_Price '!AI$2:AI$1266,MATCH(Data!$DN306,'Data_Price '!$AT$2:$AT$1266,0))</f>
        <v/>
      </c>
      <c r="DA306">
        <f>INDEX('Data_Price '!AJ$2:AJ$1266,MATCH(Data!$DN306,'Data_Price '!$AT$2:$AT$1266,0))</f>
        <v/>
      </c>
      <c r="DB306">
        <f>INDEX('Data_Price '!AK$2:AK$1266,MATCH(Data!$DN306,'Data_Price '!$AT$2:$AT$1266,0))</f>
        <v/>
      </c>
      <c r="DC306">
        <f>INDEX('Data_Price '!AL$2:AL$1266,MATCH(Data!$DN306,'Data_Price '!$AT$2:$AT$1266,0))</f>
        <v/>
      </c>
      <c r="DD306">
        <f>INDEX('Data_Price '!AM$2:AM$1266,MATCH(Data!$DN306,'Data_Price '!$AT$2:$AT$1266,0))</f>
        <v/>
      </c>
      <c r="DE306">
        <f>INDEX('Data_Price '!AN$2:AN$1266,MATCH(Data!$DN306,'Data_Price '!$AT$2:$AT$1266,0))</f>
        <v/>
      </c>
      <c r="DF306">
        <f>INDEX('Data_Price '!AO$2:AO$1266,MATCH(Data!$DN306,'Data_Price '!$AT$2:$AT$1266,0))</f>
        <v/>
      </c>
      <c r="DG306">
        <f>INDEX('Data_Price '!AP$2:AP$1266,MATCH(Data!$DN306,'Data_Price '!$AT$2:$AT$1266,0))</f>
        <v/>
      </c>
      <c r="DH306">
        <f>INDEX('Data_Price '!AQ$2:AQ$1266,MATCH(Data!$DN306,'Data_Price '!$AT$2:$AT$1266,0))</f>
        <v/>
      </c>
      <c r="DI306">
        <f>INDEX('Data_Price '!AR$2:AR$1266,MATCH(Data!$DN306,'Data_Price '!$AT$2:$AT$1266,0))</f>
        <v/>
      </c>
      <c r="DJ306" s="138">
        <f>DA306</f>
        <v/>
      </c>
      <c r="DK306" s="138">
        <f>DE306</f>
        <v/>
      </c>
      <c r="DL306" s="138">
        <f>DI306</f>
        <v/>
      </c>
      <c r="DM306" s="303">
        <f>IF(LEFT(BT306,1)=" ",RIGHT(BT306,LEN(BT306)-1),BT306)</f>
        <v/>
      </c>
      <c r="DN306" s="138">
        <f>_xlfn.CONCAT(BS306,DM306,BU306,BV306)</f>
        <v/>
      </c>
      <c r="DO306" s="307" t="inlineStr">
        <is>
          <t>https://images.evo.com/imgp/250/197285/812041/clone.jpg</t>
        </is>
      </c>
    </row>
    <row r="307" ht="15.6" customHeight="1" s="184">
      <c r="B307" s="303">
        <f t="array" ref="B307">IF(OR(ISERROR(K307:P307)),FALSE,TRUE)</f>
        <v/>
      </c>
      <c r="C307" s="60">
        <f>OR(BR307=Driver!$G$50,Data!BR764=Driver!$H$50)</f>
        <v/>
      </c>
      <c r="D307" s="60">
        <f>OR(BV307=Driver!$G$51,BV307=Driver!$H$51)</f>
        <v/>
      </c>
      <c r="E307" s="60">
        <f>AND(BX307&gt;Driver!$F$54,BX307&lt;Driver!$G$54)</f>
        <v/>
      </c>
      <c r="F307" s="60">
        <f>CL307&gt;Driver!$F$56</f>
        <v/>
      </c>
      <c r="G307" s="60">
        <f>AND(CB307&gt;Driver!$F$55,CB307&lt;Driver!$G$55)</f>
        <v/>
      </c>
      <c r="H307" s="60">
        <f>AND(B307:G307)</f>
        <v/>
      </c>
      <c r="I307" s="60">
        <f>COUNTIFS($H$9:$H$1273,TRUE,$BT$9:$BT$1273,BT307)</f>
        <v/>
      </c>
      <c r="J307" s="60">
        <f t="array" ref="J307">NOT(OR(($H$9:$H$1273=TRUE)*($I$9:$I$1273&gt;0)*($BT$9:$BT$1273=BT307)*($K$9:$K$1273&gt;K307)))</f>
        <v/>
      </c>
      <c r="K307" s="108">
        <f>IFERROR(1-AVERAGE(X307:Y307),"")</f>
        <v/>
      </c>
      <c r="L307" s="108">
        <f>1-X307</f>
        <v/>
      </c>
      <c r="M307" s="108">
        <f>1-Y307</f>
        <v/>
      </c>
      <c r="N307" s="108">
        <f>1-Z307</f>
        <v/>
      </c>
      <c r="O307" s="108">
        <f>1-AA307</f>
        <v/>
      </c>
      <c r="P307" s="108">
        <f>1-AB307</f>
        <v/>
      </c>
      <c r="Q307" s="108" t="n"/>
      <c r="R307" s="108" t="n"/>
      <c r="S307" s="108">
        <f>1-AE307</f>
        <v/>
      </c>
      <c r="T307" s="108">
        <f>1-AF307</f>
        <v/>
      </c>
      <c r="U307" s="108">
        <f>1-AG307</f>
        <v/>
      </c>
      <c r="V307" s="108">
        <f>1-AH307</f>
        <v/>
      </c>
      <c r="W307" s="108">
        <f>1-AI307</f>
        <v/>
      </c>
      <c r="X307" s="108">
        <f>ABS(AJ307-AJ$1)</f>
        <v/>
      </c>
      <c r="Y307" s="108">
        <f>AVERAGE(Z307:AB307)</f>
        <v/>
      </c>
      <c r="Z307" s="108">
        <f>ABS(AL307-AL$1)</f>
        <v/>
      </c>
      <c r="AA307" s="108">
        <f>ABS(AM307-AM$1)</f>
        <v/>
      </c>
      <c r="AB307" s="108">
        <f>ABS(AN307-AN$1)</f>
        <v/>
      </c>
      <c r="AC307" s="108" t="n"/>
      <c r="AD307" s="108" t="n"/>
      <c r="AE307" s="108">
        <f>ABS(AQ$1-AQ307)</f>
        <v/>
      </c>
      <c r="AF307" s="108">
        <f>ABS(AR$1-AR307)</f>
        <v/>
      </c>
      <c r="AG307" s="108">
        <f>ABS(AS$1-AS307)</f>
        <v/>
      </c>
      <c r="AH307" s="108">
        <f>ABS(AT$1-AT307)</f>
        <v/>
      </c>
      <c r="AI307" s="108">
        <f>ABS(AU$1-AU307)</f>
        <v/>
      </c>
      <c r="AJ307" s="108">
        <f>(AV307-Driver!$K$179)/(Driver!$L$179-Driver!$K$179)</f>
        <v/>
      </c>
      <c r="AK307" s="108">
        <f>(AW307-Driver!$K$180)/(Driver!$L$180-Driver!$K$180)</f>
        <v/>
      </c>
      <c r="AL307" s="108">
        <f>(AX307-Driver!$K$181)/(Driver!$L$181-Driver!$K$181)</f>
        <v/>
      </c>
      <c r="AM307" s="108">
        <f>(AY307-Driver!$K$182)/(Driver!$L$182-Driver!$K$182)</f>
        <v/>
      </c>
      <c r="AN307" s="108">
        <f>(AZ307-Driver!$K$183)/(Driver!$L$183-Driver!$K$183)</f>
        <v/>
      </c>
      <c r="AO307" s="108" t="n"/>
      <c r="AP307" s="108" t="n"/>
      <c r="AQ307" s="108">
        <f>(BC307-Driver!$K$188)/(Driver!$L$188-Driver!$K$188)</f>
        <v/>
      </c>
      <c r="AR307" s="108">
        <f>MIN((BD307-Driver!$K$189)/(Driver!$L$189-Driver!$K$189),100%)</f>
        <v/>
      </c>
      <c r="AS307" s="108">
        <f>(BE307-Driver!$K$190)/(Driver!$L$190-Driver!$K$190)</f>
        <v/>
      </c>
      <c r="AT307" s="108">
        <f>(BF307-Driver!$K$191)/(Driver!$L$191-Driver!$K$191)</f>
        <v/>
      </c>
      <c r="AU307" s="108">
        <f>(BG307-Driver!$K$192)/(Driver!$L$192-Driver!$K$192)</f>
        <v/>
      </c>
      <c r="AV307" s="105">
        <f>IFERROR(BM307*BJ307^1/4,"")</f>
        <v/>
      </c>
      <c r="AW307" s="105">
        <f>IFERROR(SUM(AX307:AZ307),"")</f>
        <v/>
      </c>
      <c r="AX307" s="105">
        <f>IFERROR(BH307,"")</f>
        <v/>
      </c>
      <c r="AY307" s="105">
        <f>IFERROR(Driver!$K$19/Data!BH307/Data!BI307*Data!BK307*Data!BL307,"")</f>
        <v/>
      </c>
      <c r="AZ307" s="105">
        <f>IFERROR(BI307*BN307,"")</f>
        <v/>
      </c>
      <c r="BA307" s="105" t="n"/>
      <c r="BB307" s="105" t="n"/>
      <c r="BC307" s="105">
        <f>IFERROR(BI307*BN307*BK307/BJ307^(1/2),"")</f>
        <v/>
      </c>
      <c r="BD307" s="105">
        <f>IFERROR(BH307*BM307*BL307/BJ307/BK307,"")</f>
        <v/>
      </c>
      <c r="BE307" s="105">
        <f>IFERROR(MIN(BI307/BQ307/BP307/BO307/BH307,$BE$1),"")</f>
        <v/>
      </c>
      <c r="BF307" s="105">
        <f>IFERROR(BJ307*BO307*BP307/BK307,"")</f>
        <v/>
      </c>
      <c r="BG307" s="105">
        <f>IFERROR(1/BM307/BH307*BQ307,"")</f>
        <v/>
      </c>
      <c r="BH307" s="102">
        <f>MAX((CE307-Driver!$F$200)/(Driver!$G$200-Driver!$F$200)*$BI$1,1)</f>
        <v/>
      </c>
      <c r="BI307" s="102">
        <f>MAX($BI$1*(BY307-Driver!$F$201)/(Driver!$G$201-Driver!$F$201),1)</f>
        <v/>
      </c>
      <c r="BJ307" s="102">
        <f>(CB307-Driver!$F$206)/(Driver!$G$206-Driver!$F$206)*$BI$1</f>
        <v/>
      </c>
      <c r="BK307" s="102">
        <f>(CD307-Driver!$F$203)/(Driver!$G$203-Driver!$F$203)*$BI$1</f>
        <v/>
      </c>
      <c r="BL307" s="102">
        <f>MAX((CR307-Driver!$F$202)/(Driver!$G$202-Driver!$F$202)*$BI$1,1)</f>
        <v/>
      </c>
      <c r="BM307" s="102">
        <f>MAX((CH307-Driver!$F$204)/(Driver!$G$204-Driver!$F$204)*$BI$1,1)</f>
        <v/>
      </c>
      <c r="BN307" s="102">
        <f>(CI307-Driver!$F$205)/(Driver!$G$205-Driver!$F$205)*$BI$1</f>
        <v/>
      </c>
      <c r="BO307" s="102">
        <f>(CK307-Driver!$F$207)/(Driver!$G$207-Driver!$F$207)*$BI$1</f>
        <v/>
      </c>
      <c r="BP307" s="102">
        <f>(CM307-Driver!$F$208)/(Driver!$G$208-Driver!$F$208)*$BI$1</f>
        <v/>
      </c>
      <c r="BQ307" s="102">
        <f>(CL307-Driver!$F$209)/(Driver!$G$209-Driver!$F$209)*$BI$1</f>
        <v/>
      </c>
      <c r="BR307" s="40" t="inlineStr">
        <is>
          <t>21/22</t>
        </is>
      </c>
      <c r="BS307" s="10" t="inlineStr">
        <is>
          <t xml:space="preserve"> K2</t>
        </is>
      </c>
      <c r="BT307" s="11" t="inlineStr">
        <is>
          <t>Reckoner 102</t>
        </is>
      </c>
      <c r="BU307" s="13" t="n">
        <v>184</v>
      </c>
      <c r="BV307" s="11" t="inlineStr">
        <is>
          <t xml:space="preserve"> Unisex</t>
        </is>
      </c>
      <c r="BW307" s="13" t="n">
        <v>184</v>
      </c>
      <c r="BX307" s="13" t="n">
        <v>184.2</v>
      </c>
      <c r="BY307" s="13" t="n">
        <v>121</v>
      </c>
      <c r="BZ307" s="13" t="n">
        <v>155</v>
      </c>
      <c r="CA307" s="13" t="n">
        <v>134</v>
      </c>
      <c r="CB307" s="13" t="n">
        <v>101</v>
      </c>
      <c r="CC307" s="13" t="n">
        <v>126</v>
      </c>
      <c r="CD307" s="13" t="n">
        <v>19.8</v>
      </c>
      <c r="CE307" s="13" t="n">
        <v>1875</v>
      </c>
      <c r="CF307" s="13" t="n">
        <v>1.1</v>
      </c>
      <c r="CG307" s="13" t="n">
        <v>2065</v>
      </c>
      <c r="CH307" s="13" t="n">
        <v>210</v>
      </c>
      <c r="CI307" s="13" t="n">
        <v>85</v>
      </c>
      <c r="CJ307" s="13" t="n">
        <v>46</v>
      </c>
      <c r="CK307" s="13" t="n">
        <v>333</v>
      </c>
      <c r="CL307" s="13" t="n">
        <v>43</v>
      </c>
      <c r="CM307" s="13" t="n">
        <v>302</v>
      </c>
      <c r="CN307" s="13" t="n">
        <v>0.927</v>
      </c>
      <c r="CO307" s="13" t="n">
        <v>147</v>
      </c>
      <c r="CP307" s="13" t="n">
        <v>147</v>
      </c>
      <c r="CQ307" s="13" t="n">
        <v>186</v>
      </c>
      <c r="CR307" s="13" t="n">
        <v>7</v>
      </c>
      <c r="CS307" s="13" t="n">
        <v>4.8</v>
      </c>
      <c r="CT307" s="11" t="inlineStr">
        <is>
          <t xml:space="preserve"> Freeski</t>
        </is>
      </c>
      <c r="CU307" s="11" t="inlineStr">
        <is>
          <t xml:space="preserve"> Powder</t>
        </is>
      </c>
      <c r="CV307" s="11" t="inlineStr">
        <is>
          <t xml:space="preserve"> Touring</t>
        </is>
      </c>
      <c r="CW307" s="13" t="n"/>
      <c r="CX307">
        <f>INDEX('Data_Price '!AG$2:AG$1266,MATCH(Data!$DN307,'Data_Price '!$AT$2:$AT$1266,0))</f>
        <v/>
      </c>
      <c r="CY307">
        <f>INDEX('Data_Price '!AH$2:AH$1266,MATCH(Data!$DN307,'Data_Price '!$AT$2:$AT$1266,0))</f>
        <v/>
      </c>
      <c r="CZ307">
        <f>INDEX('Data_Price '!AI$2:AI$1266,MATCH(Data!$DN307,'Data_Price '!$AT$2:$AT$1266,0))</f>
        <v/>
      </c>
      <c r="DA307">
        <f>INDEX('Data_Price '!AJ$2:AJ$1266,MATCH(Data!$DN307,'Data_Price '!$AT$2:$AT$1266,0))</f>
        <v/>
      </c>
      <c r="DB307">
        <f>INDEX('Data_Price '!AK$2:AK$1266,MATCH(Data!$DN307,'Data_Price '!$AT$2:$AT$1266,0))</f>
        <v/>
      </c>
      <c r="DC307">
        <f>INDEX('Data_Price '!AL$2:AL$1266,MATCH(Data!$DN307,'Data_Price '!$AT$2:$AT$1266,0))</f>
        <v/>
      </c>
      <c r="DD307">
        <f>INDEX('Data_Price '!AM$2:AM$1266,MATCH(Data!$DN307,'Data_Price '!$AT$2:$AT$1266,0))</f>
        <v/>
      </c>
      <c r="DE307">
        <f>INDEX('Data_Price '!AN$2:AN$1266,MATCH(Data!$DN307,'Data_Price '!$AT$2:$AT$1266,0))</f>
        <v/>
      </c>
      <c r="DF307">
        <f>INDEX('Data_Price '!AO$2:AO$1266,MATCH(Data!$DN307,'Data_Price '!$AT$2:$AT$1266,0))</f>
        <v/>
      </c>
      <c r="DG307">
        <f>INDEX('Data_Price '!AP$2:AP$1266,MATCH(Data!$DN307,'Data_Price '!$AT$2:$AT$1266,0))</f>
        <v/>
      </c>
      <c r="DH307">
        <f>INDEX('Data_Price '!AQ$2:AQ$1266,MATCH(Data!$DN307,'Data_Price '!$AT$2:$AT$1266,0))</f>
        <v/>
      </c>
      <c r="DI307">
        <f>INDEX('Data_Price '!AR$2:AR$1266,MATCH(Data!$DN307,'Data_Price '!$AT$2:$AT$1266,0))</f>
        <v/>
      </c>
      <c r="DJ307" s="138">
        <f>DA307</f>
        <v/>
      </c>
      <c r="DK307" s="138">
        <f>DE307</f>
        <v/>
      </c>
      <c r="DL307" s="138">
        <f>DI307</f>
        <v/>
      </c>
      <c r="DM307" s="303">
        <f>IF(LEFT(BT307,1)=" ",RIGHT(BT307,LEN(BT307)-1),BT307)</f>
        <v/>
      </c>
      <c r="DN307" s="138">
        <f>_xlfn.CONCAT(BS307,DM307,BU307,BV307)</f>
        <v/>
      </c>
      <c r="DO307" s="307" t="inlineStr">
        <is>
          <t>https://images.evo.com/imgp/250/201066/825041/k2-reckoner-102-skis-2022-.jpg</t>
        </is>
      </c>
    </row>
    <row r="308" ht="15.6" customHeight="1" s="184">
      <c r="B308" s="303">
        <f t="array" ref="B308">IF(OR(ISERROR(K308:P308)),FALSE,TRUE)</f>
        <v/>
      </c>
      <c r="C308" s="60">
        <f>OR(BR308=Driver!$G$50,Data!BR585=Driver!$H$50)</f>
        <v/>
      </c>
      <c r="D308" s="60">
        <f>OR(BV308=Driver!$G$51,BV308=Driver!$H$51)</f>
        <v/>
      </c>
      <c r="E308" s="60">
        <f>AND(BX308&gt;Driver!$F$54,BX308&lt;Driver!$G$54)</f>
        <v/>
      </c>
      <c r="F308" s="60">
        <f>CL308&gt;Driver!$F$56</f>
        <v/>
      </c>
      <c r="G308" s="60">
        <f>AND(CB308&gt;Driver!$F$55,CB308&lt;Driver!$G$55)</f>
        <v/>
      </c>
      <c r="H308" s="60">
        <f>AND(B308:G308)</f>
        <v/>
      </c>
      <c r="I308" s="60">
        <f>COUNTIFS($H$9:$H$1273,TRUE,$BT$9:$BT$1273,BT308)</f>
        <v/>
      </c>
      <c r="J308" s="60">
        <f t="array" ref="J308">NOT(OR(($H$9:$H$1273=TRUE)*($I$9:$I$1273&gt;0)*($BT$9:$BT$1273=BT308)*($K$9:$K$1273&gt;K308)))</f>
        <v/>
      </c>
      <c r="K308" s="108">
        <f>IFERROR(1-AVERAGE(X308:Y308),"")</f>
        <v/>
      </c>
      <c r="L308" s="108">
        <f>1-X308</f>
        <v/>
      </c>
      <c r="M308" s="108">
        <f>1-Y308</f>
        <v/>
      </c>
      <c r="N308" s="108">
        <f>1-Z308</f>
        <v/>
      </c>
      <c r="O308" s="108">
        <f>1-AA308</f>
        <v/>
      </c>
      <c r="P308" s="108">
        <f>1-AB308</f>
        <v/>
      </c>
      <c r="Q308" s="108" t="n"/>
      <c r="R308" s="108" t="n"/>
      <c r="S308" s="108">
        <f>1-AE308</f>
        <v/>
      </c>
      <c r="T308" s="108">
        <f>1-AF308</f>
        <v/>
      </c>
      <c r="U308" s="108">
        <f>1-AG308</f>
        <v/>
      </c>
      <c r="V308" s="108">
        <f>1-AH308</f>
        <v/>
      </c>
      <c r="W308" s="108">
        <f>1-AI308</f>
        <v/>
      </c>
      <c r="X308" s="108">
        <f>ABS(AJ308-AJ$1)</f>
        <v/>
      </c>
      <c r="Y308" s="108">
        <f>AVERAGE(Z308:AB308)</f>
        <v/>
      </c>
      <c r="Z308" s="108">
        <f>ABS(AL308-AL$1)</f>
        <v/>
      </c>
      <c r="AA308" s="108">
        <f>ABS(AM308-AM$1)</f>
        <v/>
      </c>
      <c r="AB308" s="108">
        <f>ABS(AN308-AN$1)</f>
        <v/>
      </c>
      <c r="AC308" s="108" t="n"/>
      <c r="AD308" s="108" t="n"/>
      <c r="AE308" s="108">
        <f>ABS(AQ$1-AQ308)</f>
        <v/>
      </c>
      <c r="AF308" s="108">
        <f>ABS(AR$1-AR308)</f>
        <v/>
      </c>
      <c r="AG308" s="108">
        <f>ABS(AS$1-AS308)</f>
        <v/>
      </c>
      <c r="AH308" s="108">
        <f>ABS(AT$1-AT308)</f>
        <v/>
      </c>
      <c r="AI308" s="108">
        <f>ABS(AU$1-AU308)</f>
        <v/>
      </c>
      <c r="AJ308" s="108">
        <f>(AV308-Driver!$K$179)/(Driver!$L$179-Driver!$K$179)</f>
        <v/>
      </c>
      <c r="AK308" s="108">
        <f>(AW308-Driver!$K$180)/(Driver!$L$180-Driver!$K$180)</f>
        <v/>
      </c>
      <c r="AL308" s="108">
        <f>(AX308-Driver!$K$181)/(Driver!$L$181-Driver!$K$181)</f>
        <v/>
      </c>
      <c r="AM308" s="108">
        <f>(AY308-Driver!$K$182)/(Driver!$L$182-Driver!$K$182)</f>
        <v/>
      </c>
      <c r="AN308" s="108">
        <f>(AZ308-Driver!$K$183)/(Driver!$L$183-Driver!$K$183)</f>
        <v/>
      </c>
      <c r="AO308" s="108" t="n"/>
      <c r="AP308" s="108" t="n"/>
      <c r="AQ308" s="108">
        <f>(BC308-Driver!$K$188)/(Driver!$L$188-Driver!$K$188)</f>
        <v/>
      </c>
      <c r="AR308" s="108">
        <f>MIN((BD308-Driver!$K$189)/(Driver!$L$189-Driver!$K$189),100%)</f>
        <v/>
      </c>
      <c r="AS308" s="108">
        <f>(BE308-Driver!$K$190)/(Driver!$L$190-Driver!$K$190)</f>
        <v/>
      </c>
      <c r="AT308" s="108">
        <f>(BF308-Driver!$K$191)/(Driver!$L$191-Driver!$K$191)</f>
        <v/>
      </c>
      <c r="AU308" s="108">
        <f>(BG308-Driver!$K$192)/(Driver!$L$192-Driver!$K$192)</f>
        <v/>
      </c>
      <c r="AV308" s="105">
        <f>IFERROR(BM308*BJ308^1/4,"")</f>
        <v/>
      </c>
      <c r="AW308" s="105">
        <f>IFERROR(SUM(AX308:AZ308),"")</f>
        <v/>
      </c>
      <c r="AX308" s="105">
        <f>IFERROR(BH308,"")</f>
        <v/>
      </c>
      <c r="AY308" s="105">
        <f>IFERROR(Driver!$K$19/Data!BH308/Data!BI308*Data!BK308*Data!BL308,"")</f>
        <v/>
      </c>
      <c r="AZ308" s="105">
        <f>IFERROR(BI308*BN308,"")</f>
        <v/>
      </c>
      <c r="BA308" s="105" t="n"/>
      <c r="BB308" s="105" t="n"/>
      <c r="BC308" s="105">
        <f>IFERROR(BI308*BN308*BK308/BJ308^(1/2),"")</f>
        <v/>
      </c>
      <c r="BD308" s="105">
        <f>IFERROR(BH308*BM308*BL308/BJ308/BK308,"")</f>
        <v/>
      </c>
      <c r="BE308" s="105">
        <f>IFERROR(MIN(BI308/BQ308/BP308/BO308/BH308,$BE$1),"")</f>
        <v/>
      </c>
      <c r="BF308" s="105">
        <f>IFERROR(BJ308*BO308*BP308/BK308,"")</f>
        <v/>
      </c>
      <c r="BG308" s="105">
        <f>IFERROR(1/BM308/BH308*BQ308,"")</f>
        <v/>
      </c>
      <c r="BH308" s="102">
        <f>MAX((CE308-Driver!$F$200)/(Driver!$G$200-Driver!$F$200)*$BI$1,1)</f>
        <v/>
      </c>
      <c r="BI308" s="102">
        <f>MAX($BI$1*(BY308-Driver!$F$201)/(Driver!$G$201-Driver!$F$201),1)</f>
        <v/>
      </c>
      <c r="BJ308" s="102">
        <f>(CB308-Driver!$F$206)/(Driver!$G$206-Driver!$F$206)*$BI$1</f>
        <v/>
      </c>
      <c r="BK308" s="102">
        <f>(CD308-Driver!$F$203)/(Driver!$G$203-Driver!$F$203)*$BI$1</f>
        <v/>
      </c>
      <c r="BL308" s="102">
        <f>MAX((CR308-Driver!$F$202)/(Driver!$G$202-Driver!$F$202)*$BI$1,1)</f>
        <v/>
      </c>
      <c r="BM308" s="102">
        <f>MAX((CH308-Driver!$F$204)/(Driver!$G$204-Driver!$F$204)*$BI$1,1)</f>
        <v/>
      </c>
      <c r="BN308" s="102">
        <f>(CI308-Driver!$F$205)/(Driver!$G$205-Driver!$F$205)*$BI$1</f>
        <v/>
      </c>
      <c r="BO308" s="102">
        <f>(CK308-Driver!$F$207)/(Driver!$G$207-Driver!$F$207)*$BI$1</f>
        <v/>
      </c>
      <c r="BP308" s="102">
        <f>(CM308-Driver!$F$208)/(Driver!$G$208-Driver!$F$208)*$BI$1</f>
        <v/>
      </c>
      <c r="BQ308" s="102">
        <f>(CL308-Driver!$F$209)/(Driver!$G$209-Driver!$F$209)*$BI$1</f>
        <v/>
      </c>
      <c r="BR308" s="40" t="inlineStr">
        <is>
          <t>21/22</t>
        </is>
      </c>
      <c r="BS308" s="10" t="inlineStr">
        <is>
          <t xml:space="preserve"> Fischer</t>
        </is>
      </c>
      <c r="BT308" s="11" t="inlineStr">
        <is>
          <t>Ranger 99 Ti</t>
        </is>
      </c>
      <c r="BU308" s="13" t="n">
        <v>174</v>
      </c>
      <c r="BV308" s="11" t="inlineStr">
        <is>
          <t xml:space="preserve"> Unisex</t>
        </is>
      </c>
      <c r="BW308" s="13" t="n">
        <v>174</v>
      </c>
      <c r="BX308" s="13" t="n">
        <v>174.2</v>
      </c>
      <c r="BY308" s="13" t="n">
        <v>123</v>
      </c>
      <c r="BZ308" s="13" t="n">
        <v>147</v>
      </c>
      <c r="CA308" s="13" t="n">
        <v>127</v>
      </c>
      <c r="CB308" s="13" t="n">
        <v>95</v>
      </c>
      <c r="CC308" s="13" t="n">
        <v>118</v>
      </c>
      <c r="CD308" s="13" t="n">
        <v>16.5</v>
      </c>
      <c r="CE308" s="13" t="n">
        <v>1786</v>
      </c>
      <c r="CF308" s="13" t="n">
        <v>1.04</v>
      </c>
      <c r="CG308" s="13" t="n">
        <v>1857</v>
      </c>
      <c r="CH308" s="13" t="n">
        <v>210</v>
      </c>
      <c r="CI308" s="13" t="n">
        <v>118</v>
      </c>
      <c r="CJ308" s="13" t="n">
        <v>49</v>
      </c>
      <c r="CK308" s="13" t="n">
        <v>296</v>
      </c>
      <c r="CL308" s="13" t="n">
        <v>18</v>
      </c>
      <c r="CM308" s="13" t="n">
        <v>217</v>
      </c>
      <c r="CN308" s="13" t="n">
        <v>0.373</v>
      </c>
      <c r="CO308" s="13" t="n">
        <v>144</v>
      </c>
      <c r="CP308" s="13" t="n">
        <v>126</v>
      </c>
      <c r="CQ308" s="13" t="n">
        <v>152</v>
      </c>
      <c r="CR308" s="13" t="n">
        <v>6</v>
      </c>
      <c r="CS308" s="13" t="n">
        <v>9.300000000000001</v>
      </c>
      <c r="CT308" s="11" t="inlineStr">
        <is>
          <t xml:space="preserve"> Resort Freeride</t>
        </is>
      </c>
      <c r="CU308" s="13" t="n"/>
      <c r="CV308" s="13" t="n"/>
      <c r="CW308" s="13" t="n"/>
      <c r="CX308">
        <f>INDEX('Data_Price '!AG$2:AG$1266,MATCH(Data!$DN308,'Data_Price '!$AT$2:$AT$1266,0))</f>
        <v/>
      </c>
      <c r="CY308">
        <f>INDEX('Data_Price '!AH$2:AH$1266,MATCH(Data!$DN308,'Data_Price '!$AT$2:$AT$1266,0))</f>
        <v/>
      </c>
      <c r="CZ308">
        <f>INDEX('Data_Price '!AI$2:AI$1266,MATCH(Data!$DN308,'Data_Price '!$AT$2:$AT$1266,0))</f>
        <v/>
      </c>
      <c r="DA308">
        <f>INDEX('Data_Price '!AJ$2:AJ$1266,MATCH(Data!$DN308,'Data_Price '!$AT$2:$AT$1266,0))</f>
        <v/>
      </c>
      <c r="DB308">
        <f>INDEX('Data_Price '!AK$2:AK$1266,MATCH(Data!$DN308,'Data_Price '!$AT$2:$AT$1266,0))</f>
        <v/>
      </c>
      <c r="DC308">
        <f>INDEX('Data_Price '!AL$2:AL$1266,MATCH(Data!$DN308,'Data_Price '!$AT$2:$AT$1266,0))</f>
        <v/>
      </c>
      <c r="DD308">
        <f>INDEX('Data_Price '!AM$2:AM$1266,MATCH(Data!$DN308,'Data_Price '!$AT$2:$AT$1266,0))</f>
        <v/>
      </c>
      <c r="DE308">
        <f>INDEX('Data_Price '!AN$2:AN$1266,MATCH(Data!$DN308,'Data_Price '!$AT$2:$AT$1266,0))</f>
        <v/>
      </c>
      <c r="DF308">
        <f>INDEX('Data_Price '!AO$2:AO$1266,MATCH(Data!$DN308,'Data_Price '!$AT$2:$AT$1266,0))</f>
        <v/>
      </c>
      <c r="DG308">
        <f>INDEX('Data_Price '!AP$2:AP$1266,MATCH(Data!$DN308,'Data_Price '!$AT$2:$AT$1266,0))</f>
        <v/>
      </c>
      <c r="DH308">
        <f>INDEX('Data_Price '!AQ$2:AQ$1266,MATCH(Data!$DN308,'Data_Price '!$AT$2:$AT$1266,0))</f>
        <v/>
      </c>
      <c r="DI308">
        <f>INDEX('Data_Price '!AR$2:AR$1266,MATCH(Data!$DN308,'Data_Price '!$AT$2:$AT$1266,0))</f>
        <v/>
      </c>
      <c r="DJ308" s="138">
        <f>DA308</f>
        <v/>
      </c>
      <c r="DK308" s="138">
        <f>DE308</f>
        <v/>
      </c>
      <c r="DL308" s="138">
        <f>DI308</f>
        <v/>
      </c>
      <c r="DM308" s="303">
        <f>IF(LEFT(BT308,1)=" ",RIGHT(BT308,LEN(BT308)-1),BT308)</f>
        <v/>
      </c>
      <c r="DN308" s="138">
        <f>_xlfn.CONCAT(BS308,DM308,BU308,BV308)</f>
        <v/>
      </c>
      <c r="DO308" s="307" t="inlineStr">
        <is>
          <t>https://images.evo.com/imgp/250/209035/846569/fischer-ranger-99-ti-skis-2022-.jpg</t>
        </is>
      </c>
    </row>
    <row r="309" ht="15.6" customHeight="1" s="184">
      <c r="B309" s="303">
        <f t="array" ref="B309">IF(OR(ISERROR(K309:P309)),FALSE,TRUE)</f>
        <v/>
      </c>
      <c r="C309" s="60">
        <f>OR(BR309=Driver!$G$50,Data!BR332=Driver!$H$50)</f>
        <v/>
      </c>
      <c r="D309" s="60">
        <f>OR(BV309=Driver!$G$51,BV309=Driver!$H$51)</f>
        <v/>
      </c>
      <c r="E309" s="60">
        <f>AND(BX309&gt;Driver!$F$54,BX309&lt;Driver!$G$54)</f>
        <v/>
      </c>
      <c r="F309" s="60">
        <f>CL309&gt;Driver!$F$56</f>
        <v/>
      </c>
      <c r="G309" s="60">
        <f>AND(CB309&gt;Driver!$F$55,CB309&lt;Driver!$G$55)</f>
        <v/>
      </c>
      <c r="H309" s="60">
        <f>AND(B309:G309)</f>
        <v/>
      </c>
      <c r="I309" s="60">
        <f>COUNTIFS($H$9:$H$1273,TRUE,$BT$9:$BT$1273,BT309)</f>
        <v/>
      </c>
      <c r="J309" s="60">
        <f t="array" ref="J309">NOT(OR(($H$9:$H$1273=TRUE)*($I$9:$I$1273&gt;0)*($BT$9:$BT$1273=BT309)*($K$9:$K$1273&gt;K309)))</f>
        <v/>
      </c>
      <c r="K309" s="108">
        <f>IFERROR(1-AVERAGE(X309:Y309),"")</f>
        <v/>
      </c>
      <c r="L309" s="108">
        <f>1-X309</f>
        <v/>
      </c>
      <c r="M309" s="108">
        <f>1-Y309</f>
        <v/>
      </c>
      <c r="N309" s="108">
        <f>1-Z309</f>
        <v/>
      </c>
      <c r="O309" s="108">
        <f>1-AA309</f>
        <v/>
      </c>
      <c r="P309" s="108">
        <f>1-AB309</f>
        <v/>
      </c>
      <c r="Q309" s="108" t="n"/>
      <c r="R309" s="108" t="n"/>
      <c r="S309" s="108">
        <f>1-AE309</f>
        <v/>
      </c>
      <c r="T309" s="108">
        <f>1-AF309</f>
        <v/>
      </c>
      <c r="U309" s="108">
        <f>1-AG309</f>
        <v/>
      </c>
      <c r="V309" s="108">
        <f>1-AH309</f>
        <v/>
      </c>
      <c r="W309" s="108">
        <f>1-AI309</f>
        <v/>
      </c>
      <c r="X309" s="108">
        <f>ABS(AJ309-AJ$1)</f>
        <v/>
      </c>
      <c r="Y309" s="108">
        <f>AVERAGE(Z309:AB309)</f>
        <v/>
      </c>
      <c r="Z309" s="108">
        <f>ABS(AL309-AL$1)</f>
        <v/>
      </c>
      <c r="AA309" s="108">
        <f>ABS(AM309-AM$1)</f>
        <v/>
      </c>
      <c r="AB309" s="108">
        <f>ABS(AN309-AN$1)</f>
        <v/>
      </c>
      <c r="AC309" s="108" t="n"/>
      <c r="AD309" s="108" t="n"/>
      <c r="AE309" s="108">
        <f>ABS(AQ$1-AQ309)</f>
        <v/>
      </c>
      <c r="AF309" s="108">
        <f>ABS(AR$1-AR309)</f>
        <v/>
      </c>
      <c r="AG309" s="108">
        <f>ABS(AS$1-AS309)</f>
        <v/>
      </c>
      <c r="AH309" s="108">
        <f>ABS(AT$1-AT309)</f>
        <v/>
      </c>
      <c r="AI309" s="108">
        <f>ABS(AU$1-AU309)</f>
        <v/>
      </c>
      <c r="AJ309" s="108">
        <f>(AV309-Driver!$K$179)/(Driver!$L$179-Driver!$K$179)</f>
        <v/>
      </c>
      <c r="AK309" s="108">
        <f>(AW309-Driver!$K$180)/(Driver!$L$180-Driver!$K$180)</f>
        <v/>
      </c>
      <c r="AL309" s="108">
        <f>(AX309-Driver!$K$181)/(Driver!$L$181-Driver!$K$181)</f>
        <v/>
      </c>
      <c r="AM309" s="108">
        <f>(AY309-Driver!$K$182)/(Driver!$L$182-Driver!$K$182)</f>
        <v/>
      </c>
      <c r="AN309" s="108">
        <f>(AZ309-Driver!$K$183)/(Driver!$L$183-Driver!$K$183)</f>
        <v/>
      </c>
      <c r="AO309" s="108" t="n"/>
      <c r="AP309" s="108" t="n"/>
      <c r="AQ309" s="108">
        <f>(BC309-Driver!$K$188)/(Driver!$L$188-Driver!$K$188)</f>
        <v/>
      </c>
      <c r="AR309" s="108">
        <f>MIN((BD309-Driver!$K$189)/(Driver!$L$189-Driver!$K$189),100%)</f>
        <v/>
      </c>
      <c r="AS309" s="108">
        <f>(BE309-Driver!$K$190)/(Driver!$L$190-Driver!$K$190)</f>
        <v/>
      </c>
      <c r="AT309" s="108">
        <f>(BF309-Driver!$K$191)/(Driver!$L$191-Driver!$K$191)</f>
        <v/>
      </c>
      <c r="AU309" s="108">
        <f>(BG309-Driver!$K$192)/(Driver!$L$192-Driver!$K$192)</f>
        <v/>
      </c>
      <c r="AV309" s="105">
        <f>IFERROR(BM309*BJ309^1/4,"")</f>
        <v/>
      </c>
      <c r="AW309" s="105">
        <f>IFERROR(SUM(AX309:AZ309),"")</f>
        <v/>
      </c>
      <c r="AX309" s="105">
        <f>IFERROR(BH309,"")</f>
        <v/>
      </c>
      <c r="AY309" s="105">
        <f>IFERROR(Driver!$K$19/Data!BH309/Data!BI309*Data!BK309*Data!BL309,"")</f>
        <v/>
      </c>
      <c r="AZ309" s="105">
        <f>IFERROR(BI309*BN309,"")</f>
        <v/>
      </c>
      <c r="BA309" s="105" t="n"/>
      <c r="BB309" s="105" t="n"/>
      <c r="BC309" s="105">
        <f>IFERROR(BI309*BN309*BK309/BJ309^(1/2),"")</f>
        <v/>
      </c>
      <c r="BD309" s="105">
        <f>IFERROR(BH309*BM309*BL309/BJ309/BK309,"")</f>
        <v/>
      </c>
      <c r="BE309" s="105">
        <f>IFERROR(MIN(BI309/BQ309/BP309/BO309/BH309,$BE$1),"")</f>
        <v/>
      </c>
      <c r="BF309" s="105">
        <f>IFERROR(BJ309*BO309*BP309/BK309,"")</f>
        <v/>
      </c>
      <c r="BG309" s="105">
        <f>IFERROR(1/BM309/BH309*BQ309,"")</f>
        <v/>
      </c>
      <c r="BH309" s="102">
        <f>MAX((CE309-Driver!$F$200)/(Driver!$G$200-Driver!$F$200)*$BI$1,1)</f>
        <v/>
      </c>
      <c r="BI309" s="102">
        <f>MAX($BI$1*(BY309-Driver!$F$201)/(Driver!$G$201-Driver!$F$201),1)</f>
        <v/>
      </c>
      <c r="BJ309" s="102">
        <f>(CB309-Driver!$F$206)/(Driver!$G$206-Driver!$F$206)*$BI$1</f>
        <v/>
      </c>
      <c r="BK309" s="102">
        <f>(CD309-Driver!$F$203)/(Driver!$G$203-Driver!$F$203)*$BI$1</f>
        <v/>
      </c>
      <c r="BL309" s="102">
        <f>MAX((CR309-Driver!$F$202)/(Driver!$G$202-Driver!$F$202)*$BI$1,1)</f>
        <v/>
      </c>
      <c r="BM309" s="102">
        <f>MAX((CH309-Driver!$F$204)/(Driver!$G$204-Driver!$F$204)*$BI$1,1)</f>
        <v/>
      </c>
      <c r="BN309" s="102">
        <f>(CI309-Driver!$F$205)/(Driver!$G$205-Driver!$F$205)*$BI$1</f>
        <v/>
      </c>
      <c r="BO309" s="102">
        <f>(CK309-Driver!$F$207)/(Driver!$G$207-Driver!$F$207)*$BI$1</f>
        <v/>
      </c>
      <c r="BP309" s="102">
        <f>(CM309-Driver!$F$208)/(Driver!$G$208-Driver!$F$208)*$BI$1</f>
        <v/>
      </c>
      <c r="BQ309" s="102">
        <f>(CL309-Driver!$F$209)/(Driver!$G$209-Driver!$F$209)*$BI$1</f>
        <v/>
      </c>
      <c r="BR309" s="40" t="inlineStr">
        <is>
          <t>21/22</t>
        </is>
      </c>
      <c r="BS309" s="10" t="inlineStr">
        <is>
          <t xml:space="preserve"> DPS</t>
        </is>
      </c>
      <c r="BT309" s="11" t="inlineStr">
        <is>
          <t>Foundation 103 Koala</t>
        </is>
      </c>
      <c r="BU309" s="13" t="n">
        <v>168</v>
      </c>
      <c r="BV309" s="11" t="inlineStr">
        <is>
          <t xml:space="preserve"> Unisex</t>
        </is>
      </c>
      <c r="BW309" s="13" t="n">
        <v>168</v>
      </c>
      <c r="BX309" s="13" t="n">
        <v>167.4</v>
      </c>
      <c r="BY309" s="13" t="n">
        <v>108</v>
      </c>
      <c r="BZ309" s="13" t="n">
        <v>133</v>
      </c>
      <c r="CA309" s="13" t="n">
        <v>128</v>
      </c>
      <c r="CB309" s="13" t="n">
        <v>103</v>
      </c>
      <c r="CC309" s="13" t="n">
        <v>117</v>
      </c>
      <c r="CD309" s="13" t="n">
        <v>18.2</v>
      </c>
      <c r="CE309" s="13" t="n">
        <v>1615</v>
      </c>
      <c r="CF309" s="13" t="n">
        <v>1.15</v>
      </c>
      <c r="CG309" s="13" t="n">
        <v>1863</v>
      </c>
      <c r="CH309" s="13" t="n">
        <v>173</v>
      </c>
      <c r="CI309" s="13" t="n">
        <v>79</v>
      </c>
      <c r="CJ309" s="13" t="n">
        <v>50</v>
      </c>
      <c r="CK309" s="13" t="n">
        <v>313</v>
      </c>
      <c r="CL309" s="13" t="n">
        <v>33</v>
      </c>
      <c r="CM309" s="13" t="n">
        <v>278</v>
      </c>
      <c r="CN309" s="13" t="n">
        <v>0.661</v>
      </c>
      <c r="CO309" s="13" t="n">
        <v>198</v>
      </c>
      <c r="CP309" s="13" t="n">
        <v>147</v>
      </c>
      <c r="CQ309" s="13" t="n">
        <v>115</v>
      </c>
      <c r="CR309" s="13" t="n">
        <v>5</v>
      </c>
      <c r="CS309" s="13" t="n">
        <v>6.5</v>
      </c>
      <c r="CT309" s="11" t="inlineStr">
        <is>
          <t xml:space="preserve"> Resort Freeride</t>
        </is>
      </c>
      <c r="CU309" s="11" t="inlineStr">
        <is>
          <t xml:space="preserve"> Powder</t>
        </is>
      </c>
      <c r="CV309" s="11" t="inlineStr">
        <is>
          <t xml:space="preserve"> Touring</t>
        </is>
      </c>
      <c r="CW309" s="13" t="n"/>
      <c r="CX309">
        <f>INDEX('Data_Price '!AG$2:AG$1266,MATCH(Data!$DN309,'Data_Price '!$AT$2:$AT$1266,0))</f>
        <v/>
      </c>
      <c r="CY309">
        <f>INDEX('Data_Price '!AH$2:AH$1266,MATCH(Data!$DN309,'Data_Price '!$AT$2:$AT$1266,0))</f>
        <v/>
      </c>
      <c r="CZ309">
        <f>INDEX('Data_Price '!AI$2:AI$1266,MATCH(Data!$DN309,'Data_Price '!$AT$2:$AT$1266,0))</f>
        <v/>
      </c>
      <c r="DA309">
        <f>INDEX('Data_Price '!AJ$2:AJ$1266,MATCH(Data!$DN309,'Data_Price '!$AT$2:$AT$1266,0))</f>
        <v/>
      </c>
      <c r="DB309">
        <f>INDEX('Data_Price '!AK$2:AK$1266,MATCH(Data!$DN309,'Data_Price '!$AT$2:$AT$1266,0))</f>
        <v/>
      </c>
      <c r="DC309">
        <f>INDEX('Data_Price '!AL$2:AL$1266,MATCH(Data!$DN309,'Data_Price '!$AT$2:$AT$1266,0))</f>
        <v/>
      </c>
      <c r="DD309">
        <f>INDEX('Data_Price '!AM$2:AM$1266,MATCH(Data!$DN309,'Data_Price '!$AT$2:$AT$1266,0))</f>
        <v/>
      </c>
      <c r="DE309">
        <f>INDEX('Data_Price '!AN$2:AN$1266,MATCH(Data!$DN309,'Data_Price '!$AT$2:$AT$1266,0))</f>
        <v/>
      </c>
      <c r="DF309">
        <f>INDEX('Data_Price '!AO$2:AO$1266,MATCH(Data!$DN309,'Data_Price '!$AT$2:$AT$1266,0))</f>
        <v/>
      </c>
      <c r="DG309">
        <f>INDEX('Data_Price '!AP$2:AP$1266,MATCH(Data!$DN309,'Data_Price '!$AT$2:$AT$1266,0))</f>
        <v/>
      </c>
      <c r="DH309">
        <f>INDEX('Data_Price '!AQ$2:AQ$1266,MATCH(Data!$DN309,'Data_Price '!$AT$2:$AT$1266,0))</f>
        <v/>
      </c>
      <c r="DI309">
        <f>INDEX('Data_Price '!AR$2:AR$1266,MATCH(Data!$DN309,'Data_Price '!$AT$2:$AT$1266,0))</f>
        <v/>
      </c>
      <c r="DJ309" s="138">
        <f>DA309</f>
        <v/>
      </c>
      <c r="DK309" s="138">
        <f>DE309</f>
        <v/>
      </c>
      <c r="DL309" s="138">
        <f>DI309</f>
        <v/>
      </c>
      <c r="DM309" s="303">
        <f>IF(LEFT(BT309,1)=" ",RIGHT(BT309,LEN(BT309)-1),BT309)</f>
        <v/>
      </c>
      <c r="DN309" s="138">
        <f>_xlfn.CONCAT(BS309,DM309,BU309,BV309)</f>
        <v/>
      </c>
      <c r="DO309" s="307" t="n"/>
    </row>
    <row r="310" ht="15.6" customHeight="1" s="184">
      <c r="B310" s="303">
        <f t="array" ref="B310">IF(OR(ISERROR(K310:P310)),FALSE,TRUE)</f>
        <v/>
      </c>
      <c r="C310" s="60">
        <f>OR(BR310=Driver!$G$50,Data!BR758=Driver!$H$50)</f>
        <v/>
      </c>
      <c r="D310" s="60">
        <f>OR(BV310=Driver!$G$51,BV310=Driver!$H$51)</f>
        <v/>
      </c>
      <c r="E310" s="60">
        <f>AND(BX310&gt;Driver!$F$54,BX310&lt;Driver!$G$54)</f>
        <v/>
      </c>
      <c r="F310" s="60">
        <f>CL310&gt;Driver!$F$56</f>
        <v/>
      </c>
      <c r="G310" s="60">
        <f>AND(CB310&gt;Driver!$F$55,CB310&lt;Driver!$G$55)</f>
        <v/>
      </c>
      <c r="H310" s="60">
        <f>AND(B310:G310)</f>
        <v/>
      </c>
      <c r="I310" s="60">
        <f>COUNTIFS($H$9:$H$1273,TRUE,$BT$9:$BT$1273,BT310)</f>
        <v/>
      </c>
      <c r="J310" s="60">
        <f t="array" ref="J310">NOT(OR(($H$9:$H$1273=TRUE)*($I$9:$I$1273&gt;0)*($BT$9:$BT$1273=BT310)*($K$9:$K$1273&gt;K310)))</f>
        <v/>
      </c>
      <c r="K310" s="108">
        <f>IFERROR(1-AVERAGE(X310:Y310),"")</f>
        <v/>
      </c>
      <c r="L310" s="108">
        <f>1-X310</f>
        <v/>
      </c>
      <c r="M310" s="108">
        <f>1-Y310</f>
        <v/>
      </c>
      <c r="N310" s="108">
        <f>1-Z310</f>
        <v/>
      </c>
      <c r="O310" s="108">
        <f>1-AA310</f>
        <v/>
      </c>
      <c r="P310" s="108">
        <f>1-AB310</f>
        <v/>
      </c>
      <c r="Q310" s="108" t="n"/>
      <c r="R310" s="108" t="n"/>
      <c r="S310" s="108">
        <f>1-AE310</f>
        <v/>
      </c>
      <c r="T310" s="108">
        <f>1-AF310</f>
        <v/>
      </c>
      <c r="U310" s="108">
        <f>1-AG310</f>
        <v/>
      </c>
      <c r="V310" s="108">
        <f>1-AH310</f>
        <v/>
      </c>
      <c r="W310" s="108">
        <f>1-AI310</f>
        <v/>
      </c>
      <c r="X310" s="108">
        <f>ABS(AJ310-AJ$1)</f>
        <v/>
      </c>
      <c r="Y310" s="108">
        <f>AVERAGE(Z310:AB310)</f>
        <v/>
      </c>
      <c r="Z310" s="108">
        <f>ABS(AL310-AL$1)</f>
        <v/>
      </c>
      <c r="AA310" s="108">
        <f>ABS(AM310-AM$1)</f>
        <v/>
      </c>
      <c r="AB310" s="108">
        <f>ABS(AN310-AN$1)</f>
        <v/>
      </c>
      <c r="AC310" s="108" t="n"/>
      <c r="AD310" s="108" t="n"/>
      <c r="AE310" s="108">
        <f>ABS(AQ$1-AQ310)</f>
        <v/>
      </c>
      <c r="AF310" s="108">
        <f>ABS(AR$1-AR310)</f>
        <v/>
      </c>
      <c r="AG310" s="108">
        <f>ABS(AS$1-AS310)</f>
        <v/>
      </c>
      <c r="AH310" s="108">
        <f>ABS(AT$1-AT310)</f>
        <v/>
      </c>
      <c r="AI310" s="108">
        <f>ABS(AU$1-AU310)</f>
        <v/>
      </c>
      <c r="AJ310" s="108">
        <f>(AV310-Driver!$K$179)/(Driver!$L$179-Driver!$K$179)</f>
        <v/>
      </c>
      <c r="AK310" s="108">
        <f>(AW310-Driver!$K$180)/(Driver!$L$180-Driver!$K$180)</f>
        <v/>
      </c>
      <c r="AL310" s="108">
        <f>(AX310-Driver!$K$181)/(Driver!$L$181-Driver!$K$181)</f>
        <v/>
      </c>
      <c r="AM310" s="108">
        <f>(AY310-Driver!$K$182)/(Driver!$L$182-Driver!$K$182)</f>
        <v/>
      </c>
      <c r="AN310" s="108">
        <f>(AZ310-Driver!$K$183)/(Driver!$L$183-Driver!$K$183)</f>
        <v/>
      </c>
      <c r="AO310" s="108" t="n"/>
      <c r="AP310" s="108" t="n"/>
      <c r="AQ310" s="108">
        <f>(BC310-Driver!$K$188)/(Driver!$L$188-Driver!$K$188)</f>
        <v/>
      </c>
      <c r="AR310" s="108">
        <f>MIN((BD310-Driver!$K$189)/(Driver!$L$189-Driver!$K$189),100%)</f>
        <v/>
      </c>
      <c r="AS310" s="108">
        <f>(BE310-Driver!$K$190)/(Driver!$L$190-Driver!$K$190)</f>
        <v/>
      </c>
      <c r="AT310" s="108">
        <f>(BF310-Driver!$K$191)/(Driver!$L$191-Driver!$K$191)</f>
        <v/>
      </c>
      <c r="AU310" s="108">
        <f>(BG310-Driver!$K$192)/(Driver!$L$192-Driver!$K$192)</f>
        <v/>
      </c>
      <c r="AV310" s="105">
        <f>IFERROR(BM310*BJ310^1/4,"")</f>
        <v/>
      </c>
      <c r="AW310" s="105">
        <f>IFERROR(SUM(AX310:AZ310),"")</f>
        <v/>
      </c>
      <c r="AX310" s="105">
        <f>IFERROR(BH310,"")</f>
        <v/>
      </c>
      <c r="AY310" s="105">
        <f>IFERROR(Driver!$K$19/Data!BH310/Data!BI310*Data!BK310*Data!BL310,"")</f>
        <v/>
      </c>
      <c r="AZ310" s="105">
        <f>IFERROR(BI310*BN310,"")</f>
        <v/>
      </c>
      <c r="BA310" s="105" t="n"/>
      <c r="BB310" s="105" t="n"/>
      <c r="BC310" s="105">
        <f>IFERROR(BI310*BN310*BK310/BJ310^(1/2),"")</f>
        <v/>
      </c>
      <c r="BD310" s="105">
        <f>IFERROR(BH310*BM310*BL310/BJ310/BK310,"")</f>
        <v/>
      </c>
      <c r="BE310" s="105">
        <f>IFERROR(MIN(BI310/BQ310/BP310/BO310/BH310,$BE$1),"")</f>
        <v/>
      </c>
      <c r="BF310" s="105">
        <f>IFERROR(BJ310*BO310*BP310/BK310,"")</f>
        <v/>
      </c>
      <c r="BG310" s="105">
        <f>IFERROR(1/BM310/BH310*BQ310,"")</f>
        <v/>
      </c>
      <c r="BH310" s="102">
        <f>MAX((CE310-Driver!$F$200)/(Driver!$G$200-Driver!$F$200)*$BI$1,1)</f>
        <v/>
      </c>
      <c r="BI310" s="102">
        <f>MAX($BI$1*(BY310-Driver!$F$201)/(Driver!$G$201-Driver!$F$201),1)</f>
        <v/>
      </c>
      <c r="BJ310" s="102">
        <f>(CB310-Driver!$F$206)/(Driver!$G$206-Driver!$F$206)*$BI$1</f>
        <v/>
      </c>
      <c r="BK310" s="102">
        <f>(CD310-Driver!$F$203)/(Driver!$G$203-Driver!$F$203)*$BI$1</f>
        <v/>
      </c>
      <c r="BL310" s="102">
        <f>MAX((CR310-Driver!$F$202)/(Driver!$G$202-Driver!$F$202)*$BI$1,1)</f>
        <v/>
      </c>
      <c r="BM310" s="102">
        <f>MAX((CH310-Driver!$F$204)/(Driver!$G$204-Driver!$F$204)*$BI$1,1)</f>
        <v/>
      </c>
      <c r="BN310" s="102">
        <f>(CI310-Driver!$F$205)/(Driver!$G$205-Driver!$F$205)*$BI$1</f>
        <v/>
      </c>
      <c r="BO310" s="102">
        <f>(CK310-Driver!$F$207)/(Driver!$G$207-Driver!$F$207)*$BI$1</f>
        <v/>
      </c>
      <c r="BP310" s="102">
        <f>(CM310-Driver!$F$208)/(Driver!$G$208-Driver!$F$208)*$BI$1</f>
        <v/>
      </c>
      <c r="BQ310" s="102">
        <f>(CL310-Driver!$F$209)/(Driver!$G$209-Driver!$F$209)*$BI$1</f>
        <v/>
      </c>
      <c r="BR310" s="40" t="inlineStr">
        <is>
          <t>21/22</t>
        </is>
      </c>
      <c r="BS310" s="10" t="inlineStr">
        <is>
          <t xml:space="preserve"> K2</t>
        </is>
      </c>
      <c r="BT310" s="11" t="inlineStr">
        <is>
          <t xml:space="preserve"> Poacher</t>
        </is>
      </c>
      <c r="BU310" s="13" t="n">
        <v>177</v>
      </c>
      <c r="BV310" s="11" t="inlineStr">
        <is>
          <t xml:space="preserve"> Unisex</t>
        </is>
      </c>
      <c r="BW310" s="13" t="n">
        <v>177</v>
      </c>
      <c r="BX310" s="13" t="n">
        <v>175.6</v>
      </c>
      <c r="BY310" s="13" t="n">
        <v>106</v>
      </c>
      <c r="BZ310" s="13" t="n">
        <v>138</v>
      </c>
      <c r="CA310" s="13" t="n">
        <v>123</v>
      </c>
      <c r="CB310" s="13" t="n">
        <v>95</v>
      </c>
      <c r="CC310" s="13" t="n">
        <v>117</v>
      </c>
      <c r="CD310" s="13" t="n">
        <v>17.3</v>
      </c>
      <c r="CE310" s="13" t="n">
        <v>2037</v>
      </c>
      <c r="CF310" s="13" t="n">
        <v>0.91</v>
      </c>
      <c r="CG310" s="13" t="n">
        <v>1847</v>
      </c>
      <c r="CH310" s="13" t="n">
        <v>233</v>
      </c>
      <c r="CI310" s="13" t="n">
        <v>108</v>
      </c>
      <c r="CJ310" s="13" t="n">
        <v>41</v>
      </c>
      <c r="CK310" s="13" t="n">
        <v>328</v>
      </c>
      <c r="CL310" s="13" t="n">
        <v>38</v>
      </c>
      <c r="CM310" s="13" t="n">
        <v>370</v>
      </c>
      <c r="CN310" s="13" t="n">
        <v>0.929</v>
      </c>
      <c r="CO310" s="13" t="n">
        <v>190</v>
      </c>
      <c r="CP310" s="13" t="n">
        <v>184</v>
      </c>
      <c r="CQ310" s="13" t="n">
        <v>137</v>
      </c>
      <c r="CR310" s="13" t="n">
        <v>6</v>
      </c>
      <c r="CS310" s="13" t="n">
        <v>5.5</v>
      </c>
      <c r="CT310" s="11" t="inlineStr">
        <is>
          <t xml:space="preserve"> Freeski</t>
        </is>
      </c>
      <c r="CU310" s="13" t="n"/>
      <c r="CV310" s="13" t="n"/>
      <c r="CW310" s="13" t="n"/>
      <c r="CX310">
        <f>INDEX('Data_Price '!AG$2:AG$1266,MATCH(Data!$DN310,'Data_Price '!$AT$2:$AT$1266,0))</f>
        <v/>
      </c>
      <c r="CY310">
        <f>INDEX('Data_Price '!AH$2:AH$1266,MATCH(Data!$DN310,'Data_Price '!$AT$2:$AT$1266,0))</f>
        <v/>
      </c>
      <c r="CZ310">
        <f>INDEX('Data_Price '!AI$2:AI$1266,MATCH(Data!$DN310,'Data_Price '!$AT$2:$AT$1266,0))</f>
        <v/>
      </c>
      <c r="DA310">
        <f>INDEX('Data_Price '!AJ$2:AJ$1266,MATCH(Data!$DN310,'Data_Price '!$AT$2:$AT$1266,0))</f>
        <v/>
      </c>
      <c r="DB310">
        <f>INDEX('Data_Price '!AK$2:AK$1266,MATCH(Data!$DN310,'Data_Price '!$AT$2:$AT$1266,0))</f>
        <v/>
      </c>
      <c r="DC310">
        <f>INDEX('Data_Price '!AL$2:AL$1266,MATCH(Data!$DN310,'Data_Price '!$AT$2:$AT$1266,0))</f>
        <v/>
      </c>
      <c r="DD310">
        <f>INDEX('Data_Price '!AM$2:AM$1266,MATCH(Data!$DN310,'Data_Price '!$AT$2:$AT$1266,0))</f>
        <v/>
      </c>
      <c r="DE310">
        <f>INDEX('Data_Price '!AN$2:AN$1266,MATCH(Data!$DN310,'Data_Price '!$AT$2:$AT$1266,0))</f>
        <v/>
      </c>
      <c r="DF310">
        <f>INDEX('Data_Price '!AO$2:AO$1266,MATCH(Data!$DN310,'Data_Price '!$AT$2:$AT$1266,0))</f>
        <v/>
      </c>
      <c r="DG310">
        <f>INDEX('Data_Price '!AP$2:AP$1266,MATCH(Data!$DN310,'Data_Price '!$AT$2:$AT$1266,0))</f>
        <v/>
      </c>
      <c r="DH310">
        <f>INDEX('Data_Price '!AQ$2:AQ$1266,MATCH(Data!$DN310,'Data_Price '!$AT$2:$AT$1266,0))</f>
        <v/>
      </c>
      <c r="DI310">
        <f>INDEX('Data_Price '!AR$2:AR$1266,MATCH(Data!$DN310,'Data_Price '!$AT$2:$AT$1266,0))</f>
        <v/>
      </c>
      <c r="DJ310" s="138">
        <f>DA310</f>
        <v/>
      </c>
      <c r="DK310" s="138">
        <f>DE310</f>
        <v/>
      </c>
      <c r="DL310" s="138">
        <f>DI310</f>
        <v/>
      </c>
      <c r="DM310" s="303">
        <f>IF(LEFT(BT310,1)=" ",RIGHT(BT310,LEN(BT310)-1),BT310)</f>
        <v/>
      </c>
      <c r="DN310" s="138">
        <f>_xlfn.CONCAT(BS310,DM310,BU310,BV310)</f>
        <v/>
      </c>
      <c r="DO310" s="307" t="inlineStr">
        <is>
          <t>https://images.evo.com/imgp/250/201070/825034/k2-poacher-skis-2022-.jpg</t>
        </is>
      </c>
    </row>
    <row r="311" ht="15.6" customHeight="1" s="184">
      <c r="B311" s="303">
        <f t="array" ref="B311">IF(OR(ISERROR(K311:P311)),FALSE,TRUE)</f>
        <v/>
      </c>
      <c r="C311" s="60">
        <f>OR(BR311=Driver!$G$50,Data!BR514=Driver!$H$50)</f>
        <v/>
      </c>
      <c r="D311" s="60">
        <f>OR(BV311=Driver!$G$51,BV311=Driver!$H$51)</f>
        <v/>
      </c>
      <c r="E311" s="60">
        <f>AND(BX311&gt;Driver!$F$54,BX311&lt;Driver!$G$54)</f>
        <v/>
      </c>
      <c r="F311" s="60">
        <f>CL311&gt;Driver!$F$56</f>
        <v/>
      </c>
      <c r="G311" s="60">
        <f>AND(CB311&gt;Driver!$F$55,CB311&lt;Driver!$G$55)</f>
        <v/>
      </c>
      <c r="H311" s="60">
        <f>AND(B311:G311)</f>
        <v/>
      </c>
      <c r="I311" s="60">
        <f>COUNTIFS($H$9:$H$1273,TRUE,$BT$9:$BT$1273,BT311)</f>
        <v/>
      </c>
      <c r="J311" s="60">
        <f t="array" ref="J311">NOT(OR(($H$9:$H$1273=TRUE)*($I$9:$I$1273&gt;0)*($BT$9:$BT$1273=BT311)*($K$9:$K$1273&gt;K311)))</f>
        <v/>
      </c>
      <c r="K311" s="108">
        <f>IFERROR(1-AVERAGE(X311:Y311),"")</f>
        <v/>
      </c>
      <c r="L311" s="108">
        <f>1-X311</f>
        <v/>
      </c>
      <c r="M311" s="108">
        <f>1-Y311</f>
        <v/>
      </c>
      <c r="N311" s="108">
        <f>1-Z311</f>
        <v/>
      </c>
      <c r="O311" s="108">
        <f>1-AA311</f>
        <v/>
      </c>
      <c r="P311" s="108">
        <f>1-AB311</f>
        <v/>
      </c>
      <c r="Q311" s="108" t="n"/>
      <c r="R311" s="108" t="n"/>
      <c r="S311" s="108">
        <f>1-AE311</f>
        <v/>
      </c>
      <c r="T311" s="108">
        <f>1-AF311</f>
        <v/>
      </c>
      <c r="U311" s="108">
        <f>1-AG311</f>
        <v/>
      </c>
      <c r="V311" s="108">
        <f>1-AH311</f>
        <v/>
      </c>
      <c r="W311" s="108">
        <f>1-AI311</f>
        <v/>
      </c>
      <c r="X311" s="108">
        <f>ABS(AJ311-AJ$1)</f>
        <v/>
      </c>
      <c r="Y311" s="108">
        <f>AVERAGE(Z311:AB311)</f>
        <v/>
      </c>
      <c r="Z311" s="108">
        <f>ABS(AL311-AL$1)</f>
        <v/>
      </c>
      <c r="AA311" s="108">
        <f>ABS(AM311-AM$1)</f>
        <v/>
      </c>
      <c r="AB311" s="108">
        <f>ABS(AN311-AN$1)</f>
        <v/>
      </c>
      <c r="AC311" s="108" t="n"/>
      <c r="AD311" s="108" t="n"/>
      <c r="AE311" s="108">
        <f>ABS(AQ$1-AQ311)</f>
        <v/>
      </c>
      <c r="AF311" s="108">
        <f>ABS(AR$1-AR311)</f>
        <v/>
      </c>
      <c r="AG311" s="108">
        <f>ABS(AS$1-AS311)</f>
        <v/>
      </c>
      <c r="AH311" s="108">
        <f>ABS(AT$1-AT311)</f>
        <v/>
      </c>
      <c r="AI311" s="108">
        <f>ABS(AU$1-AU311)</f>
        <v/>
      </c>
      <c r="AJ311" s="108">
        <f>(AV311-Driver!$K$179)/(Driver!$L$179-Driver!$K$179)</f>
        <v/>
      </c>
      <c r="AK311" s="108">
        <f>(AW311-Driver!$K$180)/(Driver!$L$180-Driver!$K$180)</f>
        <v/>
      </c>
      <c r="AL311" s="108">
        <f>(AX311-Driver!$K$181)/(Driver!$L$181-Driver!$K$181)</f>
        <v/>
      </c>
      <c r="AM311" s="108">
        <f>(AY311-Driver!$K$182)/(Driver!$L$182-Driver!$K$182)</f>
        <v/>
      </c>
      <c r="AN311" s="108">
        <f>(AZ311-Driver!$K$183)/(Driver!$L$183-Driver!$K$183)</f>
        <v/>
      </c>
      <c r="AO311" s="108" t="n"/>
      <c r="AP311" s="108" t="n"/>
      <c r="AQ311" s="108">
        <f>(BC311-Driver!$K$188)/(Driver!$L$188-Driver!$K$188)</f>
        <v/>
      </c>
      <c r="AR311" s="108">
        <f>MIN((BD311-Driver!$K$189)/(Driver!$L$189-Driver!$K$189),100%)</f>
        <v/>
      </c>
      <c r="AS311" s="108">
        <f>(BE311-Driver!$K$190)/(Driver!$L$190-Driver!$K$190)</f>
        <v/>
      </c>
      <c r="AT311" s="108">
        <f>(BF311-Driver!$K$191)/(Driver!$L$191-Driver!$K$191)</f>
        <v/>
      </c>
      <c r="AU311" s="108">
        <f>(BG311-Driver!$K$192)/(Driver!$L$192-Driver!$K$192)</f>
        <v/>
      </c>
      <c r="AV311" s="105">
        <f>IFERROR(BM311*BJ311^1/4,"")</f>
        <v/>
      </c>
      <c r="AW311" s="105">
        <f>IFERROR(SUM(AX311:AZ311),"")</f>
        <v/>
      </c>
      <c r="AX311" s="105">
        <f>IFERROR(BH311,"")</f>
        <v/>
      </c>
      <c r="AY311" s="105">
        <f>IFERROR(Driver!$K$19/Data!BH311/Data!BI311*Data!BK311*Data!BL311,"")</f>
        <v/>
      </c>
      <c r="AZ311" s="105">
        <f>IFERROR(BI311*BN311,"")</f>
        <v/>
      </c>
      <c r="BA311" s="105" t="n"/>
      <c r="BB311" s="105" t="n"/>
      <c r="BC311" s="105">
        <f>IFERROR(BI311*BN311*BK311/BJ311^(1/2),"")</f>
        <v/>
      </c>
      <c r="BD311" s="105">
        <f>IFERROR(BH311*BM311*BL311/BJ311/BK311,"")</f>
        <v/>
      </c>
      <c r="BE311" s="105">
        <f>IFERROR(MIN(BI311/BQ311/BP311/BO311/BH311,$BE$1),"")</f>
        <v/>
      </c>
      <c r="BF311" s="105">
        <f>IFERROR(BJ311*BO311*BP311/BK311,"")</f>
        <v/>
      </c>
      <c r="BG311" s="105">
        <f>IFERROR(1/BM311/BH311*BQ311,"")</f>
        <v/>
      </c>
      <c r="BH311" s="102">
        <f>MAX((CE311-Driver!$F$200)/(Driver!$G$200-Driver!$F$200)*$BI$1,1)</f>
        <v/>
      </c>
      <c r="BI311" s="102">
        <f>MAX($BI$1*(BY311-Driver!$F$201)/(Driver!$G$201-Driver!$F$201),1)</f>
        <v/>
      </c>
      <c r="BJ311" s="102">
        <f>(CB311-Driver!$F$206)/(Driver!$G$206-Driver!$F$206)*$BI$1</f>
        <v/>
      </c>
      <c r="BK311" s="102">
        <f>(CD311-Driver!$F$203)/(Driver!$G$203-Driver!$F$203)*$BI$1</f>
        <v/>
      </c>
      <c r="BL311" s="102">
        <f>MAX((CR311-Driver!$F$202)/(Driver!$G$202-Driver!$F$202)*$BI$1,1)</f>
        <v/>
      </c>
      <c r="BM311" s="102">
        <f>MAX((CH311-Driver!$F$204)/(Driver!$G$204-Driver!$F$204)*$BI$1,1)</f>
        <v/>
      </c>
      <c r="BN311" s="102">
        <f>(CI311-Driver!$F$205)/(Driver!$G$205-Driver!$F$205)*$BI$1</f>
        <v/>
      </c>
      <c r="BO311" s="102">
        <f>(CK311-Driver!$F$207)/(Driver!$G$207-Driver!$F$207)*$BI$1</f>
        <v/>
      </c>
      <c r="BP311" s="102">
        <f>(CM311-Driver!$F$208)/(Driver!$G$208-Driver!$F$208)*$BI$1</f>
        <v/>
      </c>
      <c r="BQ311" s="102">
        <f>(CL311-Driver!$F$209)/(Driver!$G$209-Driver!$F$209)*$BI$1</f>
        <v/>
      </c>
      <c r="BR311" s="40" t="inlineStr">
        <is>
          <t>21/22</t>
        </is>
      </c>
      <c r="BS311" s="10" t="inlineStr">
        <is>
          <t xml:space="preserve"> Faction</t>
        </is>
      </c>
      <c r="BT311" s="11" t="inlineStr">
        <is>
          <t>Dictator 2.0 X</t>
        </is>
      </c>
      <c r="BU311" s="13" t="n">
        <v>163</v>
      </c>
      <c r="BV311" s="11" t="inlineStr">
        <is>
          <t xml:space="preserve"> Women's</t>
        </is>
      </c>
      <c r="BW311" s="13" t="n">
        <v>163</v>
      </c>
      <c r="BX311" s="13" t="n">
        <v>161.6</v>
      </c>
      <c r="BY311" s="13" t="n">
        <v>119</v>
      </c>
      <c r="BZ311" s="13" t="n">
        <v>134</v>
      </c>
      <c r="CA311" s="13" t="n">
        <v>127</v>
      </c>
      <c r="CB311" s="13" t="n">
        <v>96</v>
      </c>
      <c r="CC311" s="13" t="n">
        <v>117</v>
      </c>
      <c r="CD311" s="13" t="n">
        <v>15.4</v>
      </c>
      <c r="CE311" s="13" t="n">
        <v>1753</v>
      </c>
      <c r="CF311" s="13" t="n">
        <v>0.98</v>
      </c>
      <c r="CG311" s="13" t="n">
        <v>1719</v>
      </c>
      <c r="CH311" s="13" t="n">
        <v>197</v>
      </c>
      <c r="CI311" s="13" t="n">
        <v>122</v>
      </c>
      <c r="CJ311" s="13" t="n">
        <v>54</v>
      </c>
      <c r="CK311" s="13" t="n">
        <v>252</v>
      </c>
      <c r="CL311" s="13" t="n">
        <v>20</v>
      </c>
      <c r="CM311" s="13" t="n">
        <v>170</v>
      </c>
      <c r="CN311" s="13" t="n">
        <v>0.377</v>
      </c>
      <c r="CO311" s="13" t="n">
        <v>168</v>
      </c>
      <c r="CP311" s="13" t="n">
        <v>108</v>
      </c>
      <c r="CQ311" s="13" t="n">
        <v>84</v>
      </c>
      <c r="CR311" s="13" t="n">
        <v>5</v>
      </c>
      <c r="CS311" s="13" t="n">
        <v>10.4</v>
      </c>
      <c r="CT311" s="11" t="inlineStr">
        <is>
          <t xml:space="preserve"> Resort Freeride</t>
        </is>
      </c>
      <c r="CU311" s="13" t="n"/>
      <c r="CV311" s="13" t="n"/>
      <c r="CW311" s="13" t="n"/>
      <c r="CX311">
        <f>INDEX('Data_Price '!AG$2:AG$1266,MATCH(Data!$DN311,'Data_Price '!$AT$2:$AT$1266,0))</f>
        <v/>
      </c>
      <c r="CY311">
        <f>INDEX('Data_Price '!AH$2:AH$1266,MATCH(Data!$DN311,'Data_Price '!$AT$2:$AT$1266,0))</f>
        <v/>
      </c>
      <c r="CZ311">
        <f>INDEX('Data_Price '!AI$2:AI$1266,MATCH(Data!$DN311,'Data_Price '!$AT$2:$AT$1266,0))</f>
        <v/>
      </c>
      <c r="DA311">
        <f>INDEX('Data_Price '!AJ$2:AJ$1266,MATCH(Data!$DN311,'Data_Price '!$AT$2:$AT$1266,0))</f>
        <v/>
      </c>
      <c r="DB311">
        <f>INDEX('Data_Price '!AK$2:AK$1266,MATCH(Data!$DN311,'Data_Price '!$AT$2:$AT$1266,0))</f>
        <v/>
      </c>
      <c r="DC311">
        <f>INDEX('Data_Price '!AL$2:AL$1266,MATCH(Data!$DN311,'Data_Price '!$AT$2:$AT$1266,0))</f>
        <v/>
      </c>
      <c r="DD311">
        <f>INDEX('Data_Price '!AM$2:AM$1266,MATCH(Data!$DN311,'Data_Price '!$AT$2:$AT$1266,0))</f>
        <v/>
      </c>
      <c r="DE311">
        <f>INDEX('Data_Price '!AN$2:AN$1266,MATCH(Data!$DN311,'Data_Price '!$AT$2:$AT$1266,0))</f>
        <v/>
      </c>
      <c r="DF311">
        <f>INDEX('Data_Price '!AO$2:AO$1266,MATCH(Data!$DN311,'Data_Price '!$AT$2:$AT$1266,0))</f>
        <v/>
      </c>
      <c r="DG311">
        <f>INDEX('Data_Price '!AP$2:AP$1266,MATCH(Data!$DN311,'Data_Price '!$AT$2:$AT$1266,0))</f>
        <v/>
      </c>
      <c r="DH311">
        <f>INDEX('Data_Price '!AQ$2:AQ$1266,MATCH(Data!$DN311,'Data_Price '!$AT$2:$AT$1266,0))</f>
        <v/>
      </c>
      <c r="DI311">
        <f>INDEX('Data_Price '!AR$2:AR$1266,MATCH(Data!$DN311,'Data_Price '!$AT$2:$AT$1266,0))</f>
        <v/>
      </c>
      <c r="DJ311" s="138">
        <f>DA311</f>
        <v/>
      </c>
      <c r="DK311" s="138">
        <f>DE311</f>
        <v/>
      </c>
      <c r="DL311" s="138">
        <f>DI311</f>
        <v/>
      </c>
      <c r="DM311" s="303">
        <f>IF(LEFT(BT311,1)=" ",RIGHT(BT311,LEN(BT311)-1),BT311)</f>
        <v/>
      </c>
      <c r="DN311" s="138">
        <f>_xlfn.CONCAT(BS311,DM311,BU311,BV311)</f>
        <v/>
      </c>
      <c r="DO311" s="307" t="n"/>
    </row>
    <row r="312" ht="15.6" customHeight="1" s="184">
      <c r="B312" s="303">
        <f t="array" ref="B312">IF(OR(ISERROR(K312:P312)),FALSE,TRUE)</f>
        <v/>
      </c>
      <c r="C312" s="60">
        <f>OR(BR312=Driver!$G$50,Data!BR320=Driver!$H$50)</f>
        <v/>
      </c>
      <c r="D312" s="60">
        <f>OR(BV312=Driver!$G$51,BV312=Driver!$H$51)</f>
        <v/>
      </c>
      <c r="E312" s="60">
        <f>AND(BX312&gt;Driver!$F$54,BX312&lt;Driver!$G$54)</f>
        <v/>
      </c>
      <c r="F312" s="60">
        <f>CL312&gt;Driver!$F$56</f>
        <v/>
      </c>
      <c r="G312" s="60">
        <f>AND(CB312&gt;Driver!$F$55,CB312&lt;Driver!$G$55)</f>
        <v/>
      </c>
      <c r="H312" s="60">
        <f>AND(B312:G312)</f>
        <v/>
      </c>
      <c r="I312" s="60">
        <f>COUNTIFS($H$9:$H$1273,TRUE,$BT$9:$BT$1273,BT312)</f>
        <v/>
      </c>
      <c r="J312" s="60">
        <f t="array" ref="J312">NOT(OR(($H$9:$H$1273=TRUE)*($I$9:$I$1273&gt;0)*($BT$9:$BT$1273=BT312)*($K$9:$K$1273&gt;K312)))</f>
        <v/>
      </c>
      <c r="K312" s="108">
        <f>IFERROR(1-AVERAGE(X312:Y312),"")</f>
        <v/>
      </c>
      <c r="L312" s="108">
        <f>1-X312</f>
        <v/>
      </c>
      <c r="M312" s="108">
        <f>1-Y312</f>
        <v/>
      </c>
      <c r="N312" s="108">
        <f>1-Z312</f>
        <v/>
      </c>
      <c r="O312" s="108">
        <f>1-AA312</f>
        <v/>
      </c>
      <c r="P312" s="108">
        <f>1-AB312</f>
        <v/>
      </c>
      <c r="Q312" s="108" t="n"/>
      <c r="R312" s="108" t="n"/>
      <c r="S312" s="108">
        <f>1-AE312</f>
        <v/>
      </c>
      <c r="T312" s="108">
        <f>1-AF312</f>
        <v/>
      </c>
      <c r="U312" s="108">
        <f>1-AG312</f>
        <v/>
      </c>
      <c r="V312" s="108">
        <f>1-AH312</f>
        <v/>
      </c>
      <c r="W312" s="108">
        <f>1-AI312</f>
        <v/>
      </c>
      <c r="X312" s="108">
        <f>ABS(AJ312-AJ$1)</f>
        <v/>
      </c>
      <c r="Y312" s="108">
        <f>AVERAGE(Z312:AB312)</f>
        <v/>
      </c>
      <c r="Z312" s="108">
        <f>ABS(AL312-AL$1)</f>
        <v/>
      </c>
      <c r="AA312" s="108">
        <f>ABS(AM312-AM$1)</f>
        <v/>
      </c>
      <c r="AB312" s="108">
        <f>ABS(AN312-AN$1)</f>
        <v/>
      </c>
      <c r="AC312" s="108" t="n"/>
      <c r="AD312" s="108" t="n"/>
      <c r="AE312" s="108">
        <f>ABS(AQ$1-AQ312)</f>
        <v/>
      </c>
      <c r="AF312" s="108">
        <f>ABS(AR$1-AR312)</f>
        <v/>
      </c>
      <c r="AG312" s="108">
        <f>ABS(AS$1-AS312)</f>
        <v/>
      </c>
      <c r="AH312" s="108">
        <f>ABS(AT$1-AT312)</f>
        <v/>
      </c>
      <c r="AI312" s="108">
        <f>ABS(AU$1-AU312)</f>
        <v/>
      </c>
      <c r="AJ312" s="108">
        <f>(AV312-Driver!$K$179)/(Driver!$L$179-Driver!$K$179)</f>
        <v/>
      </c>
      <c r="AK312" s="108">
        <f>(AW312-Driver!$K$180)/(Driver!$L$180-Driver!$K$180)</f>
        <v/>
      </c>
      <c r="AL312" s="108">
        <f>(AX312-Driver!$K$181)/(Driver!$L$181-Driver!$K$181)</f>
        <v/>
      </c>
      <c r="AM312" s="108">
        <f>(AY312-Driver!$K$182)/(Driver!$L$182-Driver!$K$182)</f>
        <v/>
      </c>
      <c r="AN312" s="108">
        <f>(AZ312-Driver!$K$183)/(Driver!$L$183-Driver!$K$183)</f>
        <v/>
      </c>
      <c r="AO312" s="108" t="n"/>
      <c r="AP312" s="108" t="n"/>
      <c r="AQ312" s="108">
        <f>(BC312-Driver!$K$188)/(Driver!$L$188-Driver!$K$188)</f>
        <v/>
      </c>
      <c r="AR312" s="108">
        <f>MIN((BD312-Driver!$K$189)/(Driver!$L$189-Driver!$K$189),100%)</f>
        <v/>
      </c>
      <c r="AS312" s="108">
        <f>(BE312-Driver!$K$190)/(Driver!$L$190-Driver!$K$190)</f>
        <v/>
      </c>
      <c r="AT312" s="108">
        <f>(BF312-Driver!$K$191)/(Driver!$L$191-Driver!$K$191)</f>
        <v/>
      </c>
      <c r="AU312" s="108">
        <f>(BG312-Driver!$K$192)/(Driver!$L$192-Driver!$K$192)</f>
        <v/>
      </c>
      <c r="AV312" s="105">
        <f>IFERROR(BM312*BJ312^1/4,"")</f>
        <v/>
      </c>
      <c r="AW312" s="105">
        <f>IFERROR(SUM(AX312:AZ312),"")</f>
        <v/>
      </c>
      <c r="AX312" s="105">
        <f>IFERROR(BH312,"")</f>
        <v/>
      </c>
      <c r="AY312" s="105">
        <f>IFERROR(Driver!$K$19/Data!BH312/Data!BI312*Data!BK312*Data!BL312,"")</f>
        <v/>
      </c>
      <c r="AZ312" s="105">
        <f>IFERROR(BI312*BN312,"")</f>
        <v/>
      </c>
      <c r="BA312" s="105" t="n"/>
      <c r="BB312" s="105" t="n"/>
      <c r="BC312" s="105">
        <f>IFERROR(BI312*BN312*BK312/BJ312^(1/2),"")</f>
        <v/>
      </c>
      <c r="BD312" s="105">
        <f>IFERROR(BH312*BM312*BL312/BJ312/BK312,"")</f>
        <v/>
      </c>
      <c r="BE312" s="105">
        <f>IFERROR(MIN(BI312/BQ312/BP312/BO312/BH312,$BE$1),"")</f>
        <v/>
      </c>
      <c r="BF312" s="105">
        <f>IFERROR(BJ312*BO312*BP312/BK312,"")</f>
        <v/>
      </c>
      <c r="BG312" s="105">
        <f>IFERROR(1/BM312/BH312*BQ312,"")</f>
        <v/>
      </c>
      <c r="BH312" s="102">
        <f>MAX((CE312-Driver!$F$200)/(Driver!$G$200-Driver!$F$200)*$BI$1,1)</f>
        <v/>
      </c>
      <c r="BI312" s="102">
        <f>MAX($BI$1*(BY312-Driver!$F$201)/(Driver!$G$201-Driver!$F$201),1)</f>
        <v/>
      </c>
      <c r="BJ312" s="102">
        <f>(CB312-Driver!$F$206)/(Driver!$G$206-Driver!$F$206)*$BI$1</f>
        <v/>
      </c>
      <c r="BK312" s="102">
        <f>(CD312-Driver!$F$203)/(Driver!$G$203-Driver!$F$203)*$BI$1</f>
        <v/>
      </c>
      <c r="BL312" s="102">
        <f>MAX((CR312-Driver!$F$202)/(Driver!$G$202-Driver!$F$202)*$BI$1,1)</f>
        <v/>
      </c>
      <c r="BM312" s="102">
        <f>MAX((CH312-Driver!$F$204)/(Driver!$G$204-Driver!$F$204)*$BI$1,1)</f>
        <v/>
      </c>
      <c r="BN312" s="102">
        <f>(CI312-Driver!$F$205)/(Driver!$G$205-Driver!$F$205)*$BI$1</f>
        <v/>
      </c>
      <c r="BO312" s="102">
        <f>(CK312-Driver!$F$207)/(Driver!$G$207-Driver!$F$207)*$BI$1</f>
        <v/>
      </c>
      <c r="BP312" s="102">
        <f>(CM312-Driver!$F$208)/(Driver!$G$208-Driver!$F$208)*$BI$1</f>
        <v/>
      </c>
      <c r="BQ312" s="102">
        <f>(CL312-Driver!$F$209)/(Driver!$G$209-Driver!$F$209)*$BI$1</f>
        <v/>
      </c>
      <c r="BR312" s="40" t="inlineStr">
        <is>
          <t>21/22</t>
        </is>
      </c>
      <c r="BS312" s="10" t="inlineStr">
        <is>
          <t xml:space="preserve"> Blizzard</t>
        </is>
      </c>
      <c r="BT312" s="11" t="inlineStr">
        <is>
          <t>Zero G 105</t>
        </is>
      </c>
      <c r="BU312" s="13" t="n">
        <v>180</v>
      </c>
      <c r="BV312" s="11" t="inlineStr">
        <is>
          <t xml:space="preserve"> Unisex</t>
        </is>
      </c>
      <c r="BW312" s="13" t="n">
        <v>180</v>
      </c>
      <c r="BX312" s="13" t="n">
        <v>177.9</v>
      </c>
      <c r="BY312" s="13" t="n">
        <v>120</v>
      </c>
      <c r="BZ312" s="13" t="n">
        <v>148</v>
      </c>
      <c r="CA312" s="13" t="n">
        <v>132</v>
      </c>
      <c r="CB312" s="13" t="n">
        <v>104</v>
      </c>
      <c r="CC312" s="13" t="n">
        <v>118</v>
      </c>
      <c r="CD312" s="13" t="n">
        <v>23.8</v>
      </c>
      <c r="CE312" s="13" t="n">
        <v>1487</v>
      </c>
      <c r="CF312" s="13" t="n">
        <v>1.34</v>
      </c>
      <c r="CG312" s="13" t="n">
        <v>1999</v>
      </c>
      <c r="CH312" s="13" t="n">
        <v>208</v>
      </c>
      <c r="CI312" s="13" t="n">
        <v>78</v>
      </c>
      <c r="CJ312" s="13" t="n">
        <v>58</v>
      </c>
      <c r="CK312" s="13" t="n">
        <v>336</v>
      </c>
      <c r="CL312" s="13" t="n">
        <v>24</v>
      </c>
      <c r="CM312" s="13" t="n">
        <v>243</v>
      </c>
      <c r="CN312" s="13" t="n">
        <v>0.414</v>
      </c>
      <c r="CO312" s="13" t="n">
        <v>152</v>
      </c>
      <c r="CP312" s="13" t="n">
        <v>145</v>
      </c>
      <c r="CQ312" s="13" t="n">
        <v>184</v>
      </c>
      <c r="CR312" s="13" t="n">
        <v>3</v>
      </c>
      <c r="CS312" s="13" t="n">
        <v>9.199999999999999</v>
      </c>
      <c r="CT312" s="11" t="inlineStr">
        <is>
          <t xml:space="preserve"> Powder</t>
        </is>
      </c>
      <c r="CU312" s="11" t="inlineStr">
        <is>
          <t xml:space="preserve"> Touring</t>
        </is>
      </c>
      <c r="CV312" s="11" t="inlineStr">
        <is>
          <t xml:space="preserve"> Ultralight Touring</t>
        </is>
      </c>
      <c r="CW312" s="13" t="n"/>
      <c r="CX312">
        <f>INDEX('Data_Price '!AG$2:AG$1266,MATCH(Data!$DN312,'Data_Price '!$AT$2:$AT$1266,0))</f>
        <v/>
      </c>
      <c r="CY312">
        <f>INDEX('Data_Price '!AH$2:AH$1266,MATCH(Data!$DN312,'Data_Price '!$AT$2:$AT$1266,0))</f>
        <v/>
      </c>
      <c r="CZ312">
        <f>INDEX('Data_Price '!AI$2:AI$1266,MATCH(Data!$DN312,'Data_Price '!$AT$2:$AT$1266,0))</f>
        <v/>
      </c>
      <c r="DA312">
        <f>INDEX('Data_Price '!AJ$2:AJ$1266,MATCH(Data!$DN312,'Data_Price '!$AT$2:$AT$1266,0))</f>
        <v/>
      </c>
      <c r="DB312">
        <f>INDEX('Data_Price '!AK$2:AK$1266,MATCH(Data!$DN312,'Data_Price '!$AT$2:$AT$1266,0))</f>
        <v/>
      </c>
      <c r="DC312">
        <f>INDEX('Data_Price '!AL$2:AL$1266,MATCH(Data!$DN312,'Data_Price '!$AT$2:$AT$1266,0))</f>
        <v/>
      </c>
      <c r="DD312">
        <f>INDEX('Data_Price '!AM$2:AM$1266,MATCH(Data!$DN312,'Data_Price '!$AT$2:$AT$1266,0))</f>
        <v/>
      </c>
      <c r="DE312">
        <f>INDEX('Data_Price '!AN$2:AN$1266,MATCH(Data!$DN312,'Data_Price '!$AT$2:$AT$1266,0))</f>
        <v/>
      </c>
      <c r="DF312">
        <f>INDEX('Data_Price '!AO$2:AO$1266,MATCH(Data!$DN312,'Data_Price '!$AT$2:$AT$1266,0))</f>
        <v/>
      </c>
      <c r="DG312">
        <f>INDEX('Data_Price '!AP$2:AP$1266,MATCH(Data!$DN312,'Data_Price '!$AT$2:$AT$1266,0))</f>
        <v/>
      </c>
      <c r="DH312">
        <f>INDEX('Data_Price '!AQ$2:AQ$1266,MATCH(Data!$DN312,'Data_Price '!$AT$2:$AT$1266,0))</f>
        <v/>
      </c>
      <c r="DI312">
        <f>INDEX('Data_Price '!AR$2:AR$1266,MATCH(Data!$DN312,'Data_Price '!$AT$2:$AT$1266,0))</f>
        <v/>
      </c>
      <c r="DJ312" s="138">
        <f>DA312</f>
        <v/>
      </c>
      <c r="DK312" s="138">
        <f>DE312</f>
        <v/>
      </c>
      <c r="DL312" s="138">
        <f>DI312</f>
        <v/>
      </c>
      <c r="DM312" s="303">
        <f>IF(LEFT(BT312,1)=" ",RIGHT(BT312,LEN(BT312)-1),BT312)</f>
        <v/>
      </c>
      <c r="DN312" s="138">
        <f>_xlfn.CONCAT(BS312,DM312,BU312,BV312)</f>
        <v/>
      </c>
      <c r="DO312" s="307" t="inlineStr">
        <is>
          <t>https://images.evo.com/imgp/250/197481/783558/blizzard-zero-g-105-skis-2022-.jpg</t>
        </is>
      </c>
    </row>
    <row r="313" ht="15.6" customHeight="1" s="184">
      <c r="B313" s="303">
        <f t="array" ref="B313">IF(OR(ISERROR(K313:P313)),FALSE,TRUE)</f>
        <v/>
      </c>
      <c r="C313" s="60">
        <f>OR(BR313=Driver!$G$50,Data!BR1110=Driver!$H$50)</f>
        <v/>
      </c>
      <c r="D313" s="60">
        <f>OR(BV313=Driver!$G$51,BV313=Driver!$H$51)</f>
        <v/>
      </c>
      <c r="E313" s="60">
        <f>AND(BX313&gt;Driver!$F$54,BX313&lt;Driver!$G$54)</f>
        <v/>
      </c>
      <c r="F313" s="60">
        <f>CL313&gt;Driver!$F$56</f>
        <v/>
      </c>
      <c r="G313" s="60">
        <f>AND(CB313&gt;Driver!$F$55,CB313&lt;Driver!$G$55)</f>
        <v/>
      </c>
      <c r="H313" s="60">
        <f>AND(B313:G313)</f>
        <v/>
      </c>
      <c r="I313" s="60">
        <f>COUNTIFS($H$9:$H$1273,TRUE,$BT$9:$BT$1273,BT313)</f>
        <v/>
      </c>
      <c r="J313" s="60">
        <f t="array" ref="J313">NOT(OR(($H$9:$H$1273=TRUE)*($I$9:$I$1273&gt;0)*($BT$9:$BT$1273=BT313)*($K$9:$K$1273&gt;K313)))</f>
        <v/>
      </c>
      <c r="K313" s="108">
        <f>IFERROR(1-AVERAGE(X313:Y313),"")</f>
        <v/>
      </c>
      <c r="L313" s="108">
        <f>1-X313</f>
        <v/>
      </c>
      <c r="M313" s="108">
        <f>1-Y313</f>
        <v/>
      </c>
      <c r="N313" s="108">
        <f>1-Z313</f>
        <v/>
      </c>
      <c r="O313" s="108">
        <f>1-AA313</f>
        <v/>
      </c>
      <c r="P313" s="108">
        <f>1-AB313</f>
        <v/>
      </c>
      <c r="Q313" s="108" t="n"/>
      <c r="R313" s="108" t="n"/>
      <c r="S313" s="108">
        <f>1-AE313</f>
        <v/>
      </c>
      <c r="T313" s="108">
        <f>1-AF313</f>
        <v/>
      </c>
      <c r="U313" s="108">
        <f>1-AG313</f>
        <v/>
      </c>
      <c r="V313" s="108">
        <f>1-AH313</f>
        <v/>
      </c>
      <c r="W313" s="108">
        <f>1-AI313</f>
        <v/>
      </c>
      <c r="X313" s="108">
        <f>ABS(AJ313-AJ$1)</f>
        <v/>
      </c>
      <c r="Y313" s="108">
        <f>AVERAGE(Z313:AB313)</f>
        <v/>
      </c>
      <c r="Z313" s="108">
        <f>ABS(AL313-AL$1)</f>
        <v/>
      </c>
      <c r="AA313" s="108">
        <f>ABS(AM313-AM$1)</f>
        <v/>
      </c>
      <c r="AB313" s="108">
        <f>ABS(AN313-AN$1)</f>
        <v/>
      </c>
      <c r="AC313" s="108" t="n"/>
      <c r="AD313" s="108" t="n"/>
      <c r="AE313" s="108">
        <f>ABS(AQ$1-AQ313)</f>
        <v/>
      </c>
      <c r="AF313" s="108">
        <f>ABS(AR$1-AR313)</f>
        <v/>
      </c>
      <c r="AG313" s="108">
        <f>ABS(AS$1-AS313)</f>
        <v/>
      </c>
      <c r="AH313" s="108">
        <f>ABS(AT$1-AT313)</f>
        <v/>
      </c>
      <c r="AI313" s="108">
        <f>ABS(AU$1-AU313)</f>
        <v/>
      </c>
      <c r="AJ313" s="108">
        <f>(AV313-Driver!$K$179)/(Driver!$L$179-Driver!$K$179)</f>
        <v/>
      </c>
      <c r="AK313" s="108">
        <f>(AW313-Driver!$K$180)/(Driver!$L$180-Driver!$K$180)</f>
        <v/>
      </c>
      <c r="AL313" s="108">
        <f>(AX313-Driver!$K$181)/(Driver!$L$181-Driver!$K$181)</f>
        <v/>
      </c>
      <c r="AM313" s="108">
        <f>(AY313-Driver!$K$182)/(Driver!$L$182-Driver!$K$182)</f>
        <v/>
      </c>
      <c r="AN313" s="108">
        <f>(AZ313-Driver!$K$183)/(Driver!$L$183-Driver!$K$183)</f>
        <v/>
      </c>
      <c r="AO313" s="108" t="n"/>
      <c r="AP313" s="108" t="n"/>
      <c r="AQ313" s="108">
        <f>(BC313-Driver!$K$188)/(Driver!$L$188-Driver!$K$188)</f>
        <v/>
      </c>
      <c r="AR313" s="108">
        <f>MIN((BD313-Driver!$K$189)/(Driver!$L$189-Driver!$K$189),100%)</f>
        <v/>
      </c>
      <c r="AS313" s="108">
        <f>(BE313-Driver!$K$190)/(Driver!$L$190-Driver!$K$190)</f>
        <v/>
      </c>
      <c r="AT313" s="108">
        <f>(BF313-Driver!$K$191)/(Driver!$L$191-Driver!$K$191)</f>
        <v/>
      </c>
      <c r="AU313" s="108">
        <f>(BG313-Driver!$K$192)/(Driver!$L$192-Driver!$K$192)</f>
        <v/>
      </c>
      <c r="AV313" s="105">
        <f>IFERROR(BM313*BJ313^1/4,"")</f>
        <v/>
      </c>
      <c r="AW313" s="105">
        <f>IFERROR(SUM(AX313:AZ313),"")</f>
        <v/>
      </c>
      <c r="AX313" s="105">
        <f>IFERROR(BH313,"")</f>
        <v/>
      </c>
      <c r="AY313" s="105">
        <f>IFERROR(Driver!$K$19/Data!BH313/Data!BI313*Data!BK313*Data!BL313,"")</f>
        <v/>
      </c>
      <c r="AZ313" s="105">
        <f>IFERROR(BI313*BN313,"")</f>
        <v/>
      </c>
      <c r="BA313" s="105" t="n"/>
      <c r="BB313" s="105" t="n"/>
      <c r="BC313" s="105">
        <f>IFERROR(BI313*BN313*BK313/BJ313^(1/2),"")</f>
        <v/>
      </c>
      <c r="BD313" s="105">
        <f>IFERROR(BH313*BM313*BL313/BJ313/BK313,"")</f>
        <v/>
      </c>
      <c r="BE313" s="105">
        <f>IFERROR(MIN(BI313/BQ313/BP313/BO313/BH313,$BE$1),"")</f>
        <v/>
      </c>
      <c r="BF313" s="105">
        <f>IFERROR(BJ313*BO313*BP313/BK313,"")</f>
        <v/>
      </c>
      <c r="BG313" s="105">
        <f>IFERROR(1/BM313/BH313*BQ313,"")</f>
        <v/>
      </c>
      <c r="BH313" s="102">
        <f>MAX((CE313-Driver!$F$200)/(Driver!$G$200-Driver!$F$200)*$BI$1,1)</f>
        <v/>
      </c>
      <c r="BI313" s="102">
        <f>MAX($BI$1*(BY313-Driver!$F$201)/(Driver!$G$201-Driver!$F$201),1)</f>
        <v/>
      </c>
      <c r="BJ313" s="102">
        <f>(CB313-Driver!$F$206)/(Driver!$G$206-Driver!$F$206)*$BI$1</f>
        <v/>
      </c>
      <c r="BK313" s="102">
        <f>(CD313-Driver!$F$203)/(Driver!$G$203-Driver!$F$203)*$BI$1</f>
        <v/>
      </c>
      <c r="BL313" s="102">
        <f>MAX((CR313-Driver!$F$202)/(Driver!$G$202-Driver!$F$202)*$BI$1,1)</f>
        <v/>
      </c>
      <c r="BM313" s="102">
        <f>MAX((CH313-Driver!$F$204)/(Driver!$G$204-Driver!$F$204)*$BI$1,1)</f>
        <v/>
      </c>
      <c r="BN313" s="102">
        <f>(CI313-Driver!$F$205)/(Driver!$G$205-Driver!$F$205)*$BI$1</f>
        <v/>
      </c>
      <c r="BO313" s="102">
        <f>(CK313-Driver!$F$207)/(Driver!$G$207-Driver!$F$207)*$BI$1</f>
        <v/>
      </c>
      <c r="BP313" s="102">
        <f>(CM313-Driver!$F$208)/(Driver!$G$208-Driver!$F$208)*$BI$1</f>
        <v/>
      </c>
      <c r="BQ313" s="102">
        <f>(CL313-Driver!$F$209)/(Driver!$G$209-Driver!$F$209)*$BI$1</f>
        <v/>
      </c>
      <c r="BR313" s="40" t="inlineStr">
        <is>
          <t>21/22</t>
        </is>
      </c>
      <c r="BS313" s="10" t="inlineStr">
        <is>
          <t xml:space="preserve"> Salomon</t>
        </is>
      </c>
      <c r="BT313" s="11" t="inlineStr">
        <is>
          <t>Stance 96</t>
        </is>
      </c>
      <c r="BU313" s="13" t="n">
        <v>168</v>
      </c>
      <c r="BV313" s="11" t="inlineStr">
        <is>
          <t xml:space="preserve"> Unisex</t>
        </is>
      </c>
      <c r="BW313" s="13" t="n">
        <v>168</v>
      </c>
      <c r="BX313" s="13" t="n">
        <v>167.4</v>
      </c>
      <c r="BY313" s="13" t="n">
        <v>128</v>
      </c>
      <c r="BZ313" s="13" t="n">
        <v>137</v>
      </c>
      <c r="CA313" s="13" t="n">
        <v>126</v>
      </c>
      <c r="CB313" s="13" t="n">
        <v>93</v>
      </c>
      <c r="CC313" s="13" t="n">
        <v>107</v>
      </c>
      <c r="CD313" s="13" t="n">
        <v>18.5</v>
      </c>
      <c r="CE313" s="13" t="n">
        <v>1767</v>
      </c>
      <c r="CF313" s="13" t="n">
        <v>0.98</v>
      </c>
      <c r="CG313" s="13" t="n">
        <v>1734</v>
      </c>
      <c r="CH313" s="13" t="n">
        <v>180</v>
      </c>
      <c r="CI313" s="13" t="n">
        <v>111</v>
      </c>
      <c r="CJ313" s="13" t="n">
        <v>48</v>
      </c>
      <c r="CK313" s="13" t="n">
        <v>225</v>
      </c>
      <c r="CL313" s="13" t="n">
        <v>9</v>
      </c>
      <c r="CM313" s="13" t="n">
        <v>167</v>
      </c>
      <c r="CN313" s="13" t="n">
        <v>0.189</v>
      </c>
      <c r="CO313" s="13" t="n">
        <v>166</v>
      </c>
      <c r="CP313" s="13" t="n">
        <v>138</v>
      </c>
      <c r="CQ313" s="13" t="n">
        <v>58</v>
      </c>
      <c r="CR313" s="13" t="n">
        <v>9</v>
      </c>
      <c r="CS313" s="13" t="n">
        <v>9.4</v>
      </c>
      <c r="CT313" s="11" t="inlineStr">
        <is>
          <t xml:space="preserve"> Resort Freeride</t>
        </is>
      </c>
      <c r="CU313" s="13" t="n"/>
      <c r="CV313" s="13" t="n"/>
      <c r="CW313" s="13" t="n"/>
      <c r="CX313">
        <f>INDEX('Data_Price '!AG$2:AG$1266,MATCH(Data!$DN313,'Data_Price '!$AT$2:$AT$1266,0))</f>
        <v/>
      </c>
      <c r="CY313">
        <f>INDEX('Data_Price '!AH$2:AH$1266,MATCH(Data!$DN313,'Data_Price '!$AT$2:$AT$1266,0))</f>
        <v/>
      </c>
      <c r="CZ313">
        <f>INDEX('Data_Price '!AI$2:AI$1266,MATCH(Data!$DN313,'Data_Price '!$AT$2:$AT$1266,0))</f>
        <v/>
      </c>
      <c r="DA313">
        <f>INDEX('Data_Price '!AJ$2:AJ$1266,MATCH(Data!$DN313,'Data_Price '!$AT$2:$AT$1266,0))</f>
        <v/>
      </c>
      <c r="DB313">
        <f>INDEX('Data_Price '!AK$2:AK$1266,MATCH(Data!$DN313,'Data_Price '!$AT$2:$AT$1266,0))</f>
        <v/>
      </c>
      <c r="DC313">
        <f>INDEX('Data_Price '!AL$2:AL$1266,MATCH(Data!$DN313,'Data_Price '!$AT$2:$AT$1266,0))</f>
        <v/>
      </c>
      <c r="DD313">
        <f>INDEX('Data_Price '!AM$2:AM$1266,MATCH(Data!$DN313,'Data_Price '!$AT$2:$AT$1266,0))</f>
        <v/>
      </c>
      <c r="DE313">
        <f>INDEX('Data_Price '!AN$2:AN$1266,MATCH(Data!$DN313,'Data_Price '!$AT$2:$AT$1266,0))</f>
        <v/>
      </c>
      <c r="DF313">
        <f>INDEX('Data_Price '!AO$2:AO$1266,MATCH(Data!$DN313,'Data_Price '!$AT$2:$AT$1266,0))</f>
        <v/>
      </c>
      <c r="DG313">
        <f>INDEX('Data_Price '!AP$2:AP$1266,MATCH(Data!$DN313,'Data_Price '!$AT$2:$AT$1266,0))</f>
        <v/>
      </c>
      <c r="DH313">
        <f>INDEX('Data_Price '!AQ$2:AQ$1266,MATCH(Data!$DN313,'Data_Price '!$AT$2:$AT$1266,0))</f>
        <v/>
      </c>
      <c r="DI313">
        <f>INDEX('Data_Price '!AR$2:AR$1266,MATCH(Data!$DN313,'Data_Price '!$AT$2:$AT$1266,0))</f>
        <v/>
      </c>
      <c r="DJ313" s="138">
        <f>DA313</f>
        <v/>
      </c>
      <c r="DK313" s="138">
        <f>DE313</f>
        <v/>
      </c>
      <c r="DL313" s="138">
        <f>DI313</f>
        <v/>
      </c>
      <c r="DM313" s="303">
        <f>IF(LEFT(BT313,1)=" ",RIGHT(BT313,LEN(BT313)-1),BT313)</f>
        <v/>
      </c>
      <c r="DN313" s="138">
        <f>_xlfn.CONCAT(BS313,DM313,BU313,BV313)</f>
        <v/>
      </c>
      <c r="DO313" s="307" t="inlineStr">
        <is>
          <t>https://images.evo.com/imgp/250/183472/737233/salomon-stance-96-skis-2022-.jpg</t>
        </is>
      </c>
    </row>
    <row r="314" ht="15.6" customHeight="1" s="184">
      <c r="B314" s="303">
        <f t="array" ref="B314">IF(OR(ISERROR(K314:P314)),FALSE,TRUE)</f>
        <v/>
      </c>
      <c r="C314" s="60">
        <f>OR(BR314=Driver!$G$50,Data!BR353=Driver!$H$50)</f>
        <v/>
      </c>
      <c r="D314" s="60">
        <f>OR(BV314=Driver!$G$51,BV314=Driver!$H$51)</f>
        <v/>
      </c>
      <c r="E314" s="60">
        <f>AND(BX314&gt;Driver!$F$54,BX314&lt;Driver!$G$54)</f>
        <v/>
      </c>
      <c r="F314" s="60">
        <f>CL314&gt;Driver!$F$56</f>
        <v/>
      </c>
      <c r="G314" s="60">
        <f>AND(CB314&gt;Driver!$F$55,CB314&lt;Driver!$G$55)</f>
        <v/>
      </c>
      <c r="H314" s="60">
        <f>AND(B314:G314)</f>
        <v/>
      </c>
      <c r="I314" s="60">
        <f>COUNTIFS($H$9:$H$1273,TRUE,$BT$9:$BT$1273,BT314)</f>
        <v/>
      </c>
      <c r="J314" s="60">
        <f t="array" ref="J314">NOT(OR(($H$9:$H$1273=TRUE)*($I$9:$I$1273&gt;0)*($BT$9:$BT$1273=BT314)*($K$9:$K$1273&gt;K314)))</f>
        <v/>
      </c>
      <c r="K314" s="108">
        <f>IFERROR(1-AVERAGE(X314:Y314),"")</f>
        <v/>
      </c>
      <c r="L314" s="108">
        <f>1-X314</f>
        <v/>
      </c>
      <c r="M314" s="108">
        <f>1-Y314</f>
        <v/>
      </c>
      <c r="N314" s="108">
        <f>1-Z314</f>
        <v/>
      </c>
      <c r="O314" s="108">
        <f>1-AA314</f>
        <v/>
      </c>
      <c r="P314" s="108">
        <f>1-AB314</f>
        <v/>
      </c>
      <c r="Q314" s="108" t="n"/>
      <c r="R314" s="108" t="n"/>
      <c r="S314" s="108">
        <f>1-AE314</f>
        <v/>
      </c>
      <c r="T314" s="108">
        <f>1-AF314</f>
        <v/>
      </c>
      <c r="U314" s="108">
        <f>1-AG314</f>
        <v/>
      </c>
      <c r="V314" s="108">
        <f>1-AH314</f>
        <v/>
      </c>
      <c r="W314" s="108">
        <f>1-AI314</f>
        <v/>
      </c>
      <c r="X314" s="108">
        <f>ABS(AJ314-AJ$1)</f>
        <v/>
      </c>
      <c r="Y314" s="108">
        <f>AVERAGE(Z314:AB314)</f>
        <v/>
      </c>
      <c r="Z314" s="108">
        <f>ABS(AL314-AL$1)</f>
        <v/>
      </c>
      <c r="AA314" s="108">
        <f>ABS(AM314-AM$1)</f>
        <v/>
      </c>
      <c r="AB314" s="108">
        <f>ABS(AN314-AN$1)</f>
        <v/>
      </c>
      <c r="AC314" s="108" t="n"/>
      <c r="AD314" s="108" t="n"/>
      <c r="AE314" s="108">
        <f>ABS(AQ$1-AQ314)</f>
        <v/>
      </c>
      <c r="AF314" s="108">
        <f>ABS(AR$1-AR314)</f>
        <v/>
      </c>
      <c r="AG314" s="108">
        <f>ABS(AS$1-AS314)</f>
        <v/>
      </c>
      <c r="AH314" s="108">
        <f>ABS(AT$1-AT314)</f>
        <v/>
      </c>
      <c r="AI314" s="108">
        <f>ABS(AU$1-AU314)</f>
        <v/>
      </c>
      <c r="AJ314" s="108">
        <f>(AV314-Driver!$K$179)/(Driver!$L$179-Driver!$K$179)</f>
        <v/>
      </c>
      <c r="AK314" s="108">
        <f>(AW314-Driver!$K$180)/(Driver!$L$180-Driver!$K$180)</f>
        <v/>
      </c>
      <c r="AL314" s="108">
        <f>(AX314-Driver!$K$181)/(Driver!$L$181-Driver!$K$181)</f>
        <v/>
      </c>
      <c r="AM314" s="108">
        <f>(AY314-Driver!$K$182)/(Driver!$L$182-Driver!$K$182)</f>
        <v/>
      </c>
      <c r="AN314" s="108">
        <f>(AZ314-Driver!$K$183)/(Driver!$L$183-Driver!$K$183)</f>
        <v/>
      </c>
      <c r="AO314" s="108" t="n"/>
      <c r="AP314" s="108" t="n"/>
      <c r="AQ314" s="108">
        <f>(BC314-Driver!$K$188)/(Driver!$L$188-Driver!$K$188)</f>
        <v/>
      </c>
      <c r="AR314" s="108">
        <f>MIN((BD314-Driver!$K$189)/(Driver!$L$189-Driver!$K$189),100%)</f>
        <v/>
      </c>
      <c r="AS314" s="108">
        <f>(BE314-Driver!$K$190)/(Driver!$L$190-Driver!$K$190)</f>
        <v/>
      </c>
      <c r="AT314" s="108">
        <f>(BF314-Driver!$K$191)/(Driver!$L$191-Driver!$K$191)</f>
        <v/>
      </c>
      <c r="AU314" s="108">
        <f>(BG314-Driver!$K$192)/(Driver!$L$192-Driver!$K$192)</f>
        <v/>
      </c>
      <c r="AV314" s="105">
        <f>IFERROR(BM314*BJ314^1/4,"")</f>
        <v/>
      </c>
      <c r="AW314" s="105">
        <f>IFERROR(SUM(AX314:AZ314),"")</f>
        <v/>
      </c>
      <c r="AX314" s="105">
        <f>IFERROR(BH314,"")</f>
        <v/>
      </c>
      <c r="AY314" s="105">
        <f>IFERROR(Driver!$K$19/Data!BH314/Data!BI314*Data!BK314*Data!BL314,"")</f>
        <v/>
      </c>
      <c r="AZ314" s="105">
        <f>IFERROR(BI314*BN314,"")</f>
        <v/>
      </c>
      <c r="BA314" s="105" t="n"/>
      <c r="BB314" s="105" t="n"/>
      <c r="BC314" s="105">
        <f>IFERROR(BI314*BN314*BK314/BJ314^(1/2),"")</f>
        <v/>
      </c>
      <c r="BD314" s="105">
        <f>IFERROR(BH314*BM314*BL314/BJ314/BK314,"")</f>
        <v/>
      </c>
      <c r="BE314" s="105">
        <f>IFERROR(MIN(BI314/BQ314/BP314/BO314/BH314,$BE$1),"")</f>
        <v/>
      </c>
      <c r="BF314" s="105">
        <f>IFERROR(BJ314*BO314*BP314/BK314,"")</f>
        <v/>
      </c>
      <c r="BG314" s="105">
        <f>IFERROR(1/BM314/BH314*BQ314,"")</f>
        <v/>
      </c>
      <c r="BH314" s="102">
        <f>MAX((CE314-Driver!$F$200)/(Driver!$G$200-Driver!$F$200)*$BI$1,1)</f>
        <v/>
      </c>
      <c r="BI314" s="102">
        <f>MAX($BI$1*(BY314-Driver!$F$201)/(Driver!$G$201-Driver!$F$201),1)</f>
        <v/>
      </c>
      <c r="BJ314" s="102">
        <f>(CB314-Driver!$F$206)/(Driver!$G$206-Driver!$F$206)*$BI$1</f>
        <v/>
      </c>
      <c r="BK314" s="102">
        <f>(CD314-Driver!$F$203)/(Driver!$G$203-Driver!$F$203)*$BI$1</f>
        <v/>
      </c>
      <c r="BL314" s="102">
        <f>MAX((CR314-Driver!$F$202)/(Driver!$G$202-Driver!$F$202)*$BI$1,1)</f>
        <v/>
      </c>
      <c r="BM314" s="102">
        <f>MAX((CH314-Driver!$F$204)/(Driver!$G$204-Driver!$F$204)*$BI$1,1)</f>
        <v/>
      </c>
      <c r="BN314" s="102">
        <f>(CI314-Driver!$F$205)/(Driver!$G$205-Driver!$F$205)*$BI$1</f>
        <v/>
      </c>
      <c r="BO314" s="102">
        <f>(CK314-Driver!$F$207)/(Driver!$G$207-Driver!$F$207)*$BI$1</f>
        <v/>
      </c>
      <c r="BP314" s="102">
        <f>(CM314-Driver!$F$208)/(Driver!$G$208-Driver!$F$208)*$BI$1</f>
        <v/>
      </c>
      <c r="BQ314" s="102">
        <f>(CL314-Driver!$F$209)/(Driver!$G$209-Driver!$F$209)*$BI$1</f>
        <v/>
      </c>
      <c r="BR314" s="40" t="inlineStr">
        <is>
          <t>21/22</t>
        </is>
      </c>
      <c r="BS314" s="10" t="inlineStr">
        <is>
          <t xml:space="preserve"> DPS</t>
        </is>
      </c>
      <c r="BT314" s="11" t="inlineStr">
        <is>
          <t>Pagoda Piste 90 RP</t>
        </is>
      </c>
      <c r="BU314" s="13" t="n">
        <v>184</v>
      </c>
      <c r="BV314" s="11" t="inlineStr">
        <is>
          <t xml:space="preserve"> Unisex</t>
        </is>
      </c>
      <c r="BW314" s="13" t="n">
        <v>184</v>
      </c>
      <c r="BX314" s="13" t="n">
        <v>183.3</v>
      </c>
      <c r="BY314" s="13" t="n">
        <v>131</v>
      </c>
      <c r="BZ314" s="13" t="n">
        <v>140</v>
      </c>
      <c r="CA314" s="13" t="n">
        <v>127</v>
      </c>
      <c r="CB314" s="13" t="n">
        <v>90</v>
      </c>
      <c r="CC314" s="13" t="n">
        <v>110</v>
      </c>
      <c r="CD314" s="13" t="n">
        <v>14.9</v>
      </c>
      <c r="CE314" s="13" t="n">
        <v>1885</v>
      </c>
      <c r="CF314" s="13" t="n">
        <v>1</v>
      </c>
      <c r="CG314" s="13" t="n">
        <v>1885</v>
      </c>
      <c r="CH314" s="13" t="n">
        <v>245</v>
      </c>
      <c r="CI314" s="13" t="n">
        <v>117</v>
      </c>
      <c r="CJ314" s="13" t="n">
        <v>58</v>
      </c>
      <c r="CK314" s="13" t="n">
        <v>339</v>
      </c>
      <c r="CL314" s="13" t="n">
        <v>11</v>
      </c>
      <c r="CM314" s="13" t="n">
        <v>184</v>
      </c>
      <c r="CN314" s="13" t="n">
        <v>0.184</v>
      </c>
      <c r="CO314" s="13" t="n">
        <v>203</v>
      </c>
      <c r="CP314" s="13" t="n">
        <v>227</v>
      </c>
      <c r="CQ314" s="13" t="n">
        <v>136</v>
      </c>
      <c r="CR314" s="13" t="n">
        <v>9</v>
      </c>
      <c r="CS314" s="13" t="n">
        <v>12</v>
      </c>
      <c r="CT314" s="11" t="inlineStr">
        <is>
          <t xml:space="preserve"> Resort Freeride</t>
        </is>
      </c>
      <c r="CU314" s="13" t="n"/>
      <c r="CV314" s="13" t="n"/>
      <c r="CW314" s="13" t="n"/>
      <c r="CX314">
        <f>INDEX('Data_Price '!AG$2:AG$1266,MATCH(Data!$DN314,'Data_Price '!$AT$2:$AT$1266,0))</f>
        <v/>
      </c>
      <c r="CY314">
        <f>INDEX('Data_Price '!AH$2:AH$1266,MATCH(Data!$DN314,'Data_Price '!$AT$2:$AT$1266,0))</f>
        <v/>
      </c>
      <c r="CZ314">
        <f>INDEX('Data_Price '!AI$2:AI$1266,MATCH(Data!$DN314,'Data_Price '!$AT$2:$AT$1266,0))</f>
        <v/>
      </c>
      <c r="DA314">
        <f>INDEX('Data_Price '!AJ$2:AJ$1266,MATCH(Data!$DN314,'Data_Price '!$AT$2:$AT$1266,0))</f>
        <v/>
      </c>
      <c r="DB314">
        <f>INDEX('Data_Price '!AK$2:AK$1266,MATCH(Data!$DN314,'Data_Price '!$AT$2:$AT$1266,0))</f>
        <v/>
      </c>
      <c r="DC314">
        <f>INDEX('Data_Price '!AL$2:AL$1266,MATCH(Data!$DN314,'Data_Price '!$AT$2:$AT$1266,0))</f>
        <v/>
      </c>
      <c r="DD314">
        <f>INDEX('Data_Price '!AM$2:AM$1266,MATCH(Data!$DN314,'Data_Price '!$AT$2:$AT$1266,0))</f>
        <v/>
      </c>
      <c r="DE314">
        <f>INDEX('Data_Price '!AN$2:AN$1266,MATCH(Data!$DN314,'Data_Price '!$AT$2:$AT$1266,0))</f>
        <v/>
      </c>
      <c r="DF314">
        <f>INDEX('Data_Price '!AO$2:AO$1266,MATCH(Data!$DN314,'Data_Price '!$AT$2:$AT$1266,0))</f>
        <v/>
      </c>
      <c r="DG314">
        <f>INDEX('Data_Price '!AP$2:AP$1266,MATCH(Data!$DN314,'Data_Price '!$AT$2:$AT$1266,0))</f>
        <v/>
      </c>
      <c r="DH314">
        <f>INDEX('Data_Price '!AQ$2:AQ$1266,MATCH(Data!$DN314,'Data_Price '!$AT$2:$AT$1266,0))</f>
        <v/>
      </c>
      <c r="DI314">
        <f>INDEX('Data_Price '!AR$2:AR$1266,MATCH(Data!$DN314,'Data_Price '!$AT$2:$AT$1266,0))</f>
        <v/>
      </c>
      <c r="DJ314" s="138">
        <f>DA314</f>
        <v/>
      </c>
      <c r="DK314" s="138">
        <f>DE314</f>
        <v/>
      </c>
      <c r="DL314" s="138">
        <f>DI314</f>
        <v/>
      </c>
      <c r="DM314" s="303">
        <f>IF(LEFT(BT314,1)=" ",RIGHT(BT314,LEN(BT314)-1),BT314)</f>
        <v/>
      </c>
      <c r="DN314" s="138">
        <f>_xlfn.CONCAT(BS314,DM314,BU314,BV314)</f>
        <v/>
      </c>
      <c r="DO314" s="307" t="n"/>
    </row>
    <row r="315" ht="15.6" customHeight="1" s="184">
      <c r="B315" s="303">
        <f t="array" ref="B315">IF(OR(ISERROR(K315:P315)),FALSE,TRUE)</f>
        <v/>
      </c>
      <c r="C315" s="60">
        <f>OR(BR315=Driver!$G$50,Data!BR617=Driver!$H$50)</f>
        <v/>
      </c>
      <c r="D315" s="60">
        <f>OR(BV315=Driver!$G$51,BV315=Driver!$H$51)</f>
        <v/>
      </c>
      <c r="E315" s="60">
        <f>AND(BX315&gt;Driver!$F$54,BX315&lt;Driver!$G$54)</f>
        <v/>
      </c>
      <c r="F315" s="60">
        <f>CL315&gt;Driver!$F$56</f>
        <v/>
      </c>
      <c r="G315" s="60">
        <f>AND(CB315&gt;Driver!$F$55,CB315&lt;Driver!$G$55)</f>
        <v/>
      </c>
      <c r="H315" s="60">
        <f>AND(B315:G315)</f>
        <v/>
      </c>
      <c r="I315" s="60">
        <f>COUNTIFS($H$9:$H$1273,TRUE,$BT$9:$BT$1273,BT315)</f>
        <v/>
      </c>
      <c r="J315" s="60">
        <f t="array" ref="J315">NOT(OR(($H$9:$H$1273=TRUE)*($I$9:$I$1273&gt;0)*($BT$9:$BT$1273=BT315)*($K$9:$K$1273&gt;K315)))</f>
        <v/>
      </c>
      <c r="K315" s="108">
        <f>IFERROR(1-AVERAGE(X315:Y315),"")</f>
        <v/>
      </c>
      <c r="L315" s="108">
        <f>1-X315</f>
        <v/>
      </c>
      <c r="M315" s="108">
        <f>1-Y315</f>
        <v/>
      </c>
      <c r="N315" s="108">
        <f>1-Z315</f>
        <v/>
      </c>
      <c r="O315" s="108">
        <f>1-AA315</f>
        <v/>
      </c>
      <c r="P315" s="108">
        <f>1-AB315</f>
        <v/>
      </c>
      <c r="Q315" s="108" t="n"/>
      <c r="R315" s="108" t="n"/>
      <c r="S315" s="108">
        <f>1-AE315</f>
        <v/>
      </c>
      <c r="T315" s="108">
        <f>1-AF315</f>
        <v/>
      </c>
      <c r="U315" s="108">
        <f>1-AG315</f>
        <v/>
      </c>
      <c r="V315" s="108">
        <f>1-AH315</f>
        <v/>
      </c>
      <c r="W315" s="108">
        <f>1-AI315</f>
        <v/>
      </c>
      <c r="X315" s="108">
        <f>ABS(AJ315-AJ$1)</f>
        <v/>
      </c>
      <c r="Y315" s="108">
        <f>AVERAGE(Z315:AB315)</f>
        <v/>
      </c>
      <c r="Z315" s="108">
        <f>ABS(AL315-AL$1)</f>
        <v/>
      </c>
      <c r="AA315" s="108">
        <f>ABS(AM315-AM$1)</f>
        <v/>
      </c>
      <c r="AB315" s="108">
        <f>ABS(AN315-AN$1)</f>
        <v/>
      </c>
      <c r="AC315" s="108" t="n"/>
      <c r="AD315" s="108" t="n"/>
      <c r="AE315" s="108">
        <f>ABS(AQ$1-AQ315)</f>
        <v/>
      </c>
      <c r="AF315" s="108">
        <f>ABS(AR$1-AR315)</f>
        <v/>
      </c>
      <c r="AG315" s="108">
        <f>ABS(AS$1-AS315)</f>
        <v/>
      </c>
      <c r="AH315" s="108">
        <f>ABS(AT$1-AT315)</f>
        <v/>
      </c>
      <c r="AI315" s="108">
        <f>ABS(AU$1-AU315)</f>
        <v/>
      </c>
      <c r="AJ315" s="108">
        <f>(AV315-Driver!$K$179)/(Driver!$L$179-Driver!$K$179)</f>
        <v/>
      </c>
      <c r="AK315" s="108">
        <f>(AW315-Driver!$K$180)/(Driver!$L$180-Driver!$K$180)</f>
        <v/>
      </c>
      <c r="AL315" s="108">
        <f>(AX315-Driver!$K$181)/(Driver!$L$181-Driver!$K$181)</f>
        <v/>
      </c>
      <c r="AM315" s="108">
        <f>(AY315-Driver!$K$182)/(Driver!$L$182-Driver!$K$182)</f>
        <v/>
      </c>
      <c r="AN315" s="108">
        <f>(AZ315-Driver!$K$183)/(Driver!$L$183-Driver!$K$183)</f>
        <v/>
      </c>
      <c r="AO315" s="108" t="n"/>
      <c r="AP315" s="108" t="n"/>
      <c r="AQ315" s="108">
        <f>(BC315-Driver!$K$188)/(Driver!$L$188-Driver!$K$188)</f>
        <v/>
      </c>
      <c r="AR315" s="108">
        <f>MIN((BD315-Driver!$K$189)/(Driver!$L$189-Driver!$K$189),100%)</f>
        <v/>
      </c>
      <c r="AS315" s="108">
        <f>(BE315-Driver!$K$190)/(Driver!$L$190-Driver!$K$190)</f>
        <v/>
      </c>
      <c r="AT315" s="108">
        <f>(BF315-Driver!$K$191)/(Driver!$L$191-Driver!$K$191)</f>
        <v/>
      </c>
      <c r="AU315" s="108">
        <f>(BG315-Driver!$K$192)/(Driver!$L$192-Driver!$K$192)</f>
        <v/>
      </c>
      <c r="AV315" s="105">
        <f>IFERROR(BM315*BJ315^1/4,"")</f>
        <v/>
      </c>
      <c r="AW315" s="105">
        <f>IFERROR(SUM(AX315:AZ315),"")</f>
        <v/>
      </c>
      <c r="AX315" s="105">
        <f>IFERROR(BH315,"")</f>
        <v/>
      </c>
      <c r="AY315" s="105">
        <f>IFERROR(Driver!$K$19/Data!BH315/Data!BI315*Data!BK315*Data!BL315,"")</f>
        <v/>
      </c>
      <c r="AZ315" s="105">
        <f>IFERROR(BI315*BN315,"")</f>
        <v/>
      </c>
      <c r="BA315" s="105" t="n"/>
      <c r="BB315" s="105" t="n"/>
      <c r="BC315" s="105">
        <f>IFERROR(BI315*BN315*BK315/BJ315^(1/2),"")</f>
        <v/>
      </c>
      <c r="BD315" s="105">
        <f>IFERROR(BH315*BM315*BL315/BJ315/BK315,"")</f>
        <v/>
      </c>
      <c r="BE315" s="105">
        <f>IFERROR(MIN(BI315/BQ315/BP315/BO315/BH315,$BE$1),"")</f>
        <v/>
      </c>
      <c r="BF315" s="105">
        <f>IFERROR(BJ315*BO315*BP315/BK315,"")</f>
        <v/>
      </c>
      <c r="BG315" s="105">
        <f>IFERROR(1/BM315/BH315*BQ315,"")</f>
        <v/>
      </c>
      <c r="BH315" s="102">
        <f>MAX((CE315-Driver!$F$200)/(Driver!$G$200-Driver!$F$200)*$BI$1,1)</f>
        <v/>
      </c>
      <c r="BI315" s="102">
        <f>MAX($BI$1*(BY315-Driver!$F$201)/(Driver!$G$201-Driver!$F$201),1)</f>
        <v/>
      </c>
      <c r="BJ315" s="102">
        <f>(CB315-Driver!$F$206)/(Driver!$G$206-Driver!$F$206)*$BI$1</f>
        <v/>
      </c>
      <c r="BK315" s="102">
        <f>(CD315-Driver!$F$203)/(Driver!$G$203-Driver!$F$203)*$BI$1</f>
        <v/>
      </c>
      <c r="BL315" s="102">
        <f>MAX((CR315-Driver!$F$202)/(Driver!$G$202-Driver!$F$202)*$BI$1,1)</f>
        <v/>
      </c>
      <c r="BM315" s="102">
        <f>MAX((CH315-Driver!$F$204)/(Driver!$G$204-Driver!$F$204)*$BI$1,1)</f>
        <v/>
      </c>
      <c r="BN315" s="102">
        <f>(CI315-Driver!$F$205)/(Driver!$G$205-Driver!$F$205)*$BI$1</f>
        <v/>
      </c>
      <c r="BO315" s="102">
        <f>(CK315-Driver!$F$207)/(Driver!$G$207-Driver!$F$207)*$BI$1</f>
        <v/>
      </c>
      <c r="BP315" s="102">
        <f>(CM315-Driver!$F$208)/(Driver!$G$208-Driver!$F$208)*$BI$1</f>
        <v/>
      </c>
      <c r="BQ315" s="102">
        <f>(CL315-Driver!$F$209)/(Driver!$G$209-Driver!$F$209)*$BI$1</f>
        <v/>
      </c>
      <c r="BR315" s="40" t="inlineStr">
        <is>
          <t>21/22</t>
        </is>
      </c>
      <c r="BS315" s="10" t="inlineStr">
        <is>
          <t xml:space="preserve"> Head</t>
        </is>
      </c>
      <c r="BT315" s="11" t="inlineStr">
        <is>
          <t>Kore 90 X</t>
        </is>
      </c>
      <c r="BU315" s="13" t="n">
        <v>177</v>
      </c>
      <c r="BV315" s="11" t="inlineStr">
        <is>
          <t xml:space="preserve"> Unisex</t>
        </is>
      </c>
      <c r="BW315" s="13" t="n">
        <v>177</v>
      </c>
      <c r="BX315" s="13" t="n">
        <v>176.3</v>
      </c>
      <c r="BY315" s="13" t="n">
        <v>140</v>
      </c>
      <c r="BZ315" s="13" t="n">
        <v>147</v>
      </c>
      <c r="CA315" s="13" t="n">
        <v>132</v>
      </c>
      <c r="CB315" s="13" t="n">
        <v>92</v>
      </c>
      <c r="CC315" s="13" t="n">
        <v>114</v>
      </c>
      <c r="CD315" s="13" t="n">
        <v>16.4</v>
      </c>
      <c r="CE315" s="13" t="n">
        <v>1930</v>
      </c>
      <c r="CF315" s="13" t="n">
        <v>0.96</v>
      </c>
      <c r="CG315" s="13" t="n">
        <v>1845</v>
      </c>
      <c r="CH315" s="13" t="n">
        <v>216</v>
      </c>
      <c r="CI315" s="13" t="n">
        <v>101</v>
      </c>
      <c r="CJ315" s="13" t="n">
        <v>51</v>
      </c>
      <c r="CK315" s="13" t="n">
        <v>217</v>
      </c>
      <c r="CL315" s="13" t="n">
        <v>12</v>
      </c>
      <c r="CM315" s="13" t="n">
        <v>142</v>
      </c>
      <c r="CN315" s="13" t="n">
        <v>0.241</v>
      </c>
      <c r="CO315" s="13" t="n">
        <v>147</v>
      </c>
      <c r="CP315" s="13" t="n">
        <v>146</v>
      </c>
      <c r="CQ315" s="13" t="n">
        <v>69</v>
      </c>
      <c r="CR315" s="13" t="n">
        <v>11</v>
      </c>
      <c r="CS315" s="13" t="n">
        <v>10.5</v>
      </c>
      <c r="CT315" s="11" t="inlineStr">
        <is>
          <t xml:space="preserve"> Resort Freeride</t>
        </is>
      </c>
      <c r="CU315" s="13" t="n"/>
      <c r="CV315" s="13" t="n"/>
      <c r="CW315" s="13" t="n"/>
      <c r="CX315">
        <f>INDEX('Data_Price '!AG$2:AG$1266,MATCH(Data!$DN315,'Data_Price '!$AT$2:$AT$1266,0))</f>
        <v/>
      </c>
      <c r="CY315">
        <f>INDEX('Data_Price '!AH$2:AH$1266,MATCH(Data!$DN315,'Data_Price '!$AT$2:$AT$1266,0))</f>
        <v/>
      </c>
      <c r="CZ315">
        <f>INDEX('Data_Price '!AI$2:AI$1266,MATCH(Data!$DN315,'Data_Price '!$AT$2:$AT$1266,0))</f>
        <v/>
      </c>
      <c r="DA315">
        <f>INDEX('Data_Price '!AJ$2:AJ$1266,MATCH(Data!$DN315,'Data_Price '!$AT$2:$AT$1266,0))</f>
        <v/>
      </c>
      <c r="DB315">
        <f>INDEX('Data_Price '!AK$2:AK$1266,MATCH(Data!$DN315,'Data_Price '!$AT$2:$AT$1266,0))</f>
        <v/>
      </c>
      <c r="DC315">
        <f>INDEX('Data_Price '!AL$2:AL$1266,MATCH(Data!$DN315,'Data_Price '!$AT$2:$AT$1266,0))</f>
        <v/>
      </c>
      <c r="DD315">
        <f>INDEX('Data_Price '!AM$2:AM$1266,MATCH(Data!$DN315,'Data_Price '!$AT$2:$AT$1266,0))</f>
        <v/>
      </c>
      <c r="DE315">
        <f>INDEX('Data_Price '!AN$2:AN$1266,MATCH(Data!$DN315,'Data_Price '!$AT$2:$AT$1266,0))</f>
        <v/>
      </c>
      <c r="DF315">
        <f>INDEX('Data_Price '!AO$2:AO$1266,MATCH(Data!$DN315,'Data_Price '!$AT$2:$AT$1266,0))</f>
        <v/>
      </c>
      <c r="DG315">
        <f>INDEX('Data_Price '!AP$2:AP$1266,MATCH(Data!$DN315,'Data_Price '!$AT$2:$AT$1266,0))</f>
        <v/>
      </c>
      <c r="DH315">
        <f>INDEX('Data_Price '!AQ$2:AQ$1266,MATCH(Data!$DN315,'Data_Price '!$AT$2:$AT$1266,0))</f>
        <v/>
      </c>
      <c r="DI315">
        <f>INDEX('Data_Price '!AR$2:AR$1266,MATCH(Data!$DN315,'Data_Price '!$AT$2:$AT$1266,0))</f>
        <v/>
      </c>
      <c r="DJ315" s="138">
        <f>DA315</f>
        <v/>
      </c>
      <c r="DK315" s="138">
        <f>DE315</f>
        <v/>
      </c>
      <c r="DL315" s="138">
        <f>DI315</f>
        <v/>
      </c>
      <c r="DM315" s="303">
        <f>IF(LEFT(BT315,1)=" ",RIGHT(BT315,LEN(BT315)-1),BT315)</f>
        <v/>
      </c>
      <c r="DN315" s="138">
        <f>_xlfn.CONCAT(BS315,DM315,BU315,BV315)</f>
        <v/>
      </c>
      <c r="DO315" s="307" t="inlineStr">
        <is>
          <t>https://images.evo.com/imgp/250/218718/886395/head-kore-90-x-skis-2022-.jpg</t>
        </is>
      </c>
    </row>
    <row r="316" ht="15.6" customHeight="1" s="184">
      <c r="B316" s="303">
        <f t="array" ref="B316">IF(OR(ISERROR(K316:P316)),FALSE,TRUE)</f>
        <v/>
      </c>
      <c r="C316" s="60">
        <f>OR(BR316=Driver!$G$50,Data!BR461=Driver!$H$50)</f>
        <v/>
      </c>
      <c r="D316" s="60">
        <f>OR(BV316=Driver!$G$51,BV316=Driver!$H$51)</f>
        <v/>
      </c>
      <c r="E316" s="60">
        <f>AND(BX316&gt;Driver!$F$54,BX316&lt;Driver!$G$54)</f>
        <v/>
      </c>
      <c r="F316" s="60">
        <f>CL316&gt;Driver!$F$56</f>
        <v/>
      </c>
      <c r="G316" s="60">
        <f>AND(CB316&gt;Driver!$F$55,CB316&lt;Driver!$G$55)</f>
        <v/>
      </c>
      <c r="H316" s="60">
        <f>AND(B316:G316)</f>
        <v/>
      </c>
      <c r="I316" s="60">
        <f>COUNTIFS($H$9:$H$1273,TRUE,$BT$9:$BT$1273,BT316)</f>
        <v/>
      </c>
      <c r="J316" s="60">
        <f t="array" ref="J316">NOT(OR(($H$9:$H$1273=TRUE)*($I$9:$I$1273&gt;0)*($BT$9:$BT$1273=BT316)*($K$9:$K$1273&gt;K316)))</f>
        <v/>
      </c>
      <c r="K316" s="108">
        <f>IFERROR(1-AVERAGE(X316:Y316),"")</f>
        <v/>
      </c>
      <c r="L316" s="108">
        <f>1-X316</f>
        <v/>
      </c>
      <c r="M316" s="108">
        <f>1-Y316</f>
        <v/>
      </c>
      <c r="N316" s="108">
        <f>1-Z316</f>
        <v/>
      </c>
      <c r="O316" s="108">
        <f>1-AA316</f>
        <v/>
      </c>
      <c r="P316" s="108">
        <f>1-AB316</f>
        <v/>
      </c>
      <c r="Q316" s="108" t="n"/>
      <c r="R316" s="108" t="n"/>
      <c r="S316" s="108">
        <f>1-AE316</f>
        <v/>
      </c>
      <c r="T316" s="108">
        <f>1-AF316</f>
        <v/>
      </c>
      <c r="U316" s="108">
        <f>1-AG316</f>
        <v/>
      </c>
      <c r="V316" s="108">
        <f>1-AH316</f>
        <v/>
      </c>
      <c r="W316" s="108">
        <f>1-AI316</f>
        <v/>
      </c>
      <c r="X316" s="108">
        <f>ABS(AJ316-AJ$1)</f>
        <v/>
      </c>
      <c r="Y316" s="108">
        <f>AVERAGE(Z316:AB316)</f>
        <v/>
      </c>
      <c r="Z316" s="108">
        <f>ABS(AL316-AL$1)</f>
        <v/>
      </c>
      <c r="AA316" s="108">
        <f>ABS(AM316-AM$1)</f>
        <v/>
      </c>
      <c r="AB316" s="108">
        <f>ABS(AN316-AN$1)</f>
        <v/>
      </c>
      <c r="AC316" s="108" t="n"/>
      <c r="AD316" s="108" t="n"/>
      <c r="AE316" s="108">
        <f>ABS(AQ$1-AQ316)</f>
        <v/>
      </c>
      <c r="AF316" s="108">
        <f>ABS(AR$1-AR316)</f>
        <v/>
      </c>
      <c r="AG316" s="108">
        <f>ABS(AS$1-AS316)</f>
        <v/>
      </c>
      <c r="AH316" s="108">
        <f>ABS(AT$1-AT316)</f>
        <v/>
      </c>
      <c r="AI316" s="108">
        <f>ABS(AU$1-AU316)</f>
        <v/>
      </c>
      <c r="AJ316" s="108">
        <f>(AV316-Driver!$K$179)/(Driver!$L$179-Driver!$K$179)</f>
        <v/>
      </c>
      <c r="AK316" s="108">
        <f>(AW316-Driver!$K$180)/(Driver!$L$180-Driver!$K$180)</f>
        <v/>
      </c>
      <c r="AL316" s="108">
        <f>(AX316-Driver!$K$181)/(Driver!$L$181-Driver!$K$181)</f>
        <v/>
      </c>
      <c r="AM316" s="108">
        <f>(AY316-Driver!$K$182)/(Driver!$L$182-Driver!$K$182)</f>
        <v/>
      </c>
      <c r="AN316" s="108">
        <f>(AZ316-Driver!$K$183)/(Driver!$L$183-Driver!$K$183)</f>
        <v/>
      </c>
      <c r="AO316" s="108" t="n"/>
      <c r="AP316" s="108" t="n"/>
      <c r="AQ316" s="108">
        <f>(BC316-Driver!$K$188)/(Driver!$L$188-Driver!$K$188)</f>
        <v/>
      </c>
      <c r="AR316" s="108">
        <f>MIN((BD316-Driver!$K$189)/(Driver!$L$189-Driver!$K$189),100%)</f>
        <v/>
      </c>
      <c r="AS316" s="108">
        <f>(BE316-Driver!$K$190)/(Driver!$L$190-Driver!$K$190)</f>
        <v/>
      </c>
      <c r="AT316" s="108">
        <f>(BF316-Driver!$K$191)/(Driver!$L$191-Driver!$K$191)</f>
        <v/>
      </c>
      <c r="AU316" s="108">
        <f>(BG316-Driver!$K$192)/(Driver!$L$192-Driver!$K$192)</f>
        <v/>
      </c>
      <c r="AV316" s="105">
        <f>IFERROR(BM316*BJ316^1/4,"")</f>
        <v/>
      </c>
      <c r="AW316" s="105">
        <f>IFERROR(SUM(AX316:AZ316),"")</f>
        <v/>
      </c>
      <c r="AX316" s="105">
        <f>IFERROR(BH316,"")</f>
        <v/>
      </c>
      <c r="AY316" s="105">
        <f>IFERROR(Driver!$K$19/Data!BH316/Data!BI316*Data!BK316*Data!BL316,"")</f>
        <v/>
      </c>
      <c r="AZ316" s="105">
        <f>IFERROR(BI316*BN316,"")</f>
        <v/>
      </c>
      <c r="BA316" s="105" t="n"/>
      <c r="BB316" s="105" t="n"/>
      <c r="BC316" s="105">
        <f>IFERROR(BI316*BN316*BK316/BJ316^(1/2),"")</f>
        <v/>
      </c>
      <c r="BD316" s="105">
        <f>IFERROR(BH316*BM316*BL316/BJ316/BK316,"")</f>
        <v/>
      </c>
      <c r="BE316" s="105">
        <f>IFERROR(MIN(BI316/BQ316/BP316/BO316/BH316,$BE$1),"")</f>
        <v/>
      </c>
      <c r="BF316" s="105">
        <f>IFERROR(BJ316*BO316*BP316/BK316,"")</f>
        <v/>
      </c>
      <c r="BG316" s="105">
        <f>IFERROR(1/BM316/BH316*BQ316,"")</f>
        <v/>
      </c>
      <c r="BH316" s="102">
        <f>MAX((CE316-Driver!$F$200)/(Driver!$G$200-Driver!$F$200)*$BI$1,1)</f>
        <v/>
      </c>
      <c r="BI316" s="102">
        <f>MAX($BI$1*(BY316-Driver!$F$201)/(Driver!$G$201-Driver!$F$201),1)</f>
        <v/>
      </c>
      <c r="BJ316" s="102">
        <f>(CB316-Driver!$F$206)/(Driver!$G$206-Driver!$F$206)*$BI$1</f>
        <v/>
      </c>
      <c r="BK316" s="102">
        <f>(CD316-Driver!$F$203)/(Driver!$G$203-Driver!$F$203)*$BI$1</f>
        <v/>
      </c>
      <c r="BL316" s="102">
        <f>MAX((CR316-Driver!$F$202)/(Driver!$G$202-Driver!$F$202)*$BI$1,1)</f>
        <v/>
      </c>
      <c r="BM316" s="102">
        <f>MAX((CH316-Driver!$F$204)/(Driver!$G$204-Driver!$F$204)*$BI$1,1)</f>
        <v/>
      </c>
      <c r="BN316" s="102">
        <f>(CI316-Driver!$F$205)/(Driver!$G$205-Driver!$F$205)*$BI$1</f>
        <v/>
      </c>
      <c r="BO316" s="102">
        <f>(CK316-Driver!$F$207)/(Driver!$G$207-Driver!$F$207)*$BI$1</f>
        <v/>
      </c>
      <c r="BP316" s="102">
        <f>(CM316-Driver!$F$208)/(Driver!$G$208-Driver!$F$208)*$BI$1</f>
        <v/>
      </c>
      <c r="BQ316" s="102">
        <f>(CL316-Driver!$F$209)/(Driver!$G$209-Driver!$F$209)*$BI$1</f>
        <v/>
      </c>
      <c r="BR316" s="40" t="inlineStr">
        <is>
          <t>21/22</t>
        </is>
      </c>
      <c r="BS316" s="10" t="inlineStr">
        <is>
          <t xml:space="preserve"> Elan</t>
        </is>
      </c>
      <c r="BT316" s="11" t="inlineStr">
        <is>
          <t>Ripstick 94 W</t>
        </is>
      </c>
      <c r="BU316" s="13" t="n">
        <v>170</v>
      </c>
      <c r="BV316" s="11" t="inlineStr">
        <is>
          <t xml:space="preserve"> Women's</t>
        </is>
      </c>
      <c r="BW316" s="13" t="n">
        <v>170</v>
      </c>
      <c r="BX316" s="13" t="n">
        <v>170.4</v>
      </c>
      <c r="BY316" s="13" t="n">
        <v>128</v>
      </c>
      <c r="BZ316" s="13" t="n">
        <v>137</v>
      </c>
      <c r="CA316" s="13" t="n">
        <v>136</v>
      </c>
      <c r="CB316" s="13" t="n">
        <v>95</v>
      </c>
      <c r="CC316" s="13" t="n">
        <v>111</v>
      </c>
      <c r="CD316" s="13" t="n">
        <v>15.7</v>
      </c>
      <c r="CE316" s="13" t="n">
        <v>1612</v>
      </c>
      <c r="CF316" s="13" t="n">
        <v>1.13</v>
      </c>
      <c r="CG316" s="13" t="n">
        <v>1827</v>
      </c>
      <c r="CH316" s="13" t="n">
        <v>187</v>
      </c>
      <c r="CI316" s="13" t="n">
        <v>74</v>
      </c>
      <c r="CJ316" s="13" t="n">
        <v>47</v>
      </c>
      <c r="CK316" s="13" t="n">
        <v>242</v>
      </c>
      <c r="CL316" s="13" t="n">
        <v>16</v>
      </c>
      <c r="CM316" s="13" t="n">
        <v>181</v>
      </c>
      <c r="CN316" s="13" t="n">
        <v>0.347</v>
      </c>
      <c r="CO316" s="13" t="n">
        <v>176</v>
      </c>
      <c r="CP316" s="13" t="n">
        <v>163</v>
      </c>
      <c r="CQ316" s="13" t="n">
        <v>66</v>
      </c>
      <c r="CR316" s="13" t="n">
        <v>4</v>
      </c>
      <c r="CS316" s="13" t="n">
        <v>6.8</v>
      </c>
      <c r="CT316" s="11" t="inlineStr">
        <is>
          <t xml:space="preserve"> Resort Freeride</t>
        </is>
      </c>
      <c r="CU316" s="11" t="inlineStr">
        <is>
          <t xml:space="preserve"> Touring</t>
        </is>
      </c>
      <c r="CV316" s="13" t="n"/>
      <c r="CW316" s="13" t="n"/>
      <c r="CX316">
        <f>INDEX('Data_Price '!AG$2:AG$1266,MATCH(Data!$DN316,'Data_Price '!$AT$2:$AT$1266,0))</f>
        <v/>
      </c>
      <c r="CY316">
        <f>INDEX('Data_Price '!AH$2:AH$1266,MATCH(Data!$DN316,'Data_Price '!$AT$2:$AT$1266,0))</f>
        <v/>
      </c>
      <c r="CZ316">
        <f>INDEX('Data_Price '!AI$2:AI$1266,MATCH(Data!$DN316,'Data_Price '!$AT$2:$AT$1266,0))</f>
        <v/>
      </c>
      <c r="DA316">
        <f>INDEX('Data_Price '!AJ$2:AJ$1266,MATCH(Data!$DN316,'Data_Price '!$AT$2:$AT$1266,0))</f>
        <v/>
      </c>
      <c r="DB316">
        <f>INDEX('Data_Price '!AK$2:AK$1266,MATCH(Data!$DN316,'Data_Price '!$AT$2:$AT$1266,0))</f>
        <v/>
      </c>
      <c r="DC316">
        <f>INDEX('Data_Price '!AL$2:AL$1266,MATCH(Data!$DN316,'Data_Price '!$AT$2:$AT$1266,0))</f>
        <v/>
      </c>
      <c r="DD316">
        <f>INDEX('Data_Price '!AM$2:AM$1266,MATCH(Data!$DN316,'Data_Price '!$AT$2:$AT$1266,0))</f>
        <v/>
      </c>
      <c r="DE316">
        <f>INDEX('Data_Price '!AN$2:AN$1266,MATCH(Data!$DN316,'Data_Price '!$AT$2:$AT$1266,0))</f>
        <v/>
      </c>
      <c r="DF316">
        <f>INDEX('Data_Price '!AO$2:AO$1266,MATCH(Data!$DN316,'Data_Price '!$AT$2:$AT$1266,0))</f>
        <v/>
      </c>
      <c r="DG316">
        <f>INDEX('Data_Price '!AP$2:AP$1266,MATCH(Data!$DN316,'Data_Price '!$AT$2:$AT$1266,0))</f>
        <v/>
      </c>
      <c r="DH316">
        <f>INDEX('Data_Price '!AQ$2:AQ$1266,MATCH(Data!$DN316,'Data_Price '!$AT$2:$AT$1266,0))</f>
        <v/>
      </c>
      <c r="DI316">
        <f>INDEX('Data_Price '!AR$2:AR$1266,MATCH(Data!$DN316,'Data_Price '!$AT$2:$AT$1266,0))</f>
        <v/>
      </c>
      <c r="DJ316" s="138">
        <f>DA316</f>
        <v/>
      </c>
      <c r="DK316" s="138">
        <f>DE316</f>
        <v/>
      </c>
      <c r="DL316" s="138">
        <f>DI316</f>
        <v/>
      </c>
      <c r="DM316" s="303">
        <f>IF(LEFT(BT316,1)=" ",RIGHT(BT316,LEN(BT316)-1),BT316)</f>
        <v/>
      </c>
      <c r="DN316" s="138">
        <f>_xlfn.CONCAT(BS316,DM316,BU316,BV316)</f>
        <v/>
      </c>
      <c r="DO316" s="307" t="inlineStr">
        <is>
          <t>https://images.evo.com/imgp/250/181077/718564/elan-ripstick-94-w-skis-women-s-2022-.jpg</t>
        </is>
      </c>
    </row>
    <row r="317" ht="15.6" customHeight="1" s="184">
      <c r="B317" s="303">
        <f t="array" ref="B317">IF(OR(ISERROR(K317:P317)),FALSE,TRUE)</f>
        <v/>
      </c>
      <c r="C317" s="60">
        <f>OR(BR317=Driver!$G$50,Data!BR372=Driver!$H$50)</f>
        <v/>
      </c>
      <c r="D317" s="60">
        <f>OR(BV317=Driver!$G$51,BV317=Driver!$H$51)</f>
        <v/>
      </c>
      <c r="E317" s="60">
        <f>AND(BX317&gt;Driver!$F$54,BX317&lt;Driver!$G$54)</f>
        <v/>
      </c>
      <c r="F317" s="60">
        <f>CL317&gt;Driver!$F$56</f>
        <v/>
      </c>
      <c r="G317" s="60">
        <f>AND(CB317&gt;Driver!$F$55,CB317&lt;Driver!$G$55)</f>
        <v/>
      </c>
      <c r="H317" s="60">
        <f>AND(B317:G317)</f>
        <v/>
      </c>
      <c r="I317" s="60">
        <f>COUNTIFS($H$9:$H$1273,TRUE,$BT$9:$BT$1273,BT317)</f>
        <v/>
      </c>
      <c r="J317" s="60">
        <f t="array" ref="J317">NOT(OR(($H$9:$H$1273=TRUE)*($I$9:$I$1273&gt;0)*($BT$9:$BT$1273=BT317)*($K$9:$K$1273&gt;K317)))</f>
        <v/>
      </c>
      <c r="K317" s="108">
        <f>IFERROR(1-AVERAGE(X317:Y317),"")</f>
        <v/>
      </c>
      <c r="L317" s="108">
        <f>1-X317</f>
        <v/>
      </c>
      <c r="M317" s="108">
        <f>1-Y317</f>
        <v/>
      </c>
      <c r="N317" s="108">
        <f>1-Z317</f>
        <v/>
      </c>
      <c r="O317" s="108">
        <f>1-AA317</f>
        <v/>
      </c>
      <c r="P317" s="108">
        <f>1-AB317</f>
        <v/>
      </c>
      <c r="Q317" s="108" t="n"/>
      <c r="R317" s="108" t="n"/>
      <c r="S317" s="108">
        <f>1-AE317</f>
        <v/>
      </c>
      <c r="T317" s="108">
        <f>1-AF317</f>
        <v/>
      </c>
      <c r="U317" s="108">
        <f>1-AG317</f>
        <v/>
      </c>
      <c r="V317" s="108">
        <f>1-AH317</f>
        <v/>
      </c>
      <c r="W317" s="108">
        <f>1-AI317</f>
        <v/>
      </c>
      <c r="X317" s="108">
        <f>ABS(AJ317-AJ$1)</f>
        <v/>
      </c>
      <c r="Y317" s="108">
        <f>AVERAGE(Z317:AB317)</f>
        <v/>
      </c>
      <c r="Z317" s="108">
        <f>ABS(AL317-AL$1)</f>
        <v/>
      </c>
      <c r="AA317" s="108">
        <f>ABS(AM317-AM$1)</f>
        <v/>
      </c>
      <c r="AB317" s="108">
        <f>ABS(AN317-AN$1)</f>
        <v/>
      </c>
      <c r="AC317" s="108" t="n"/>
      <c r="AD317" s="108" t="n"/>
      <c r="AE317" s="108">
        <f>ABS(AQ$1-AQ317)</f>
        <v/>
      </c>
      <c r="AF317" s="108">
        <f>ABS(AR$1-AR317)</f>
        <v/>
      </c>
      <c r="AG317" s="108">
        <f>ABS(AS$1-AS317)</f>
        <v/>
      </c>
      <c r="AH317" s="108">
        <f>ABS(AT$1-AT317)</f>
        <v/>
      </c>
      <c r="AI317" s="108">
        <f>ABS(AU$1-AU317)</f>
        <v/>
      </c>
      <c r="AJ317" s="108">
        <f>(AV317-Driver!$K$179)/(Driver!$L$179-Driver!$K$179)</f>
        <v/>
      </c>
      <c r="AK317" s="108">
        <f>(AW317-Driver!$K$180)/(Driver!$L$180-Driver!$K$180)</f>
        <v/>
      </c>
      <c r="AL317" s="108">
        <f>(AX317-Driver!$K$181)/(Driver!$L$181-Driver!$K$181)</f>
        <v/>
      </c>
      <c r="AM317" s="108">
        <f>(AY317-Driver!$K$182)/(Driver!$L$182-Driver!$K$182)</f>
        <v/>
      </c>
      <c r="AN317" s="108">
        <f>(AZ317-Driver!$K$183)/(Driver!$L$183-Driver!$K$183)</f>
        <v/>
      </c>
      <c r="AO317" s="108" t="n"/>
      <c r="AP317" s="108" t="n"/>
      <c r="AQ317" s="108">
        <f>(BC317-Driver!$K$188)/(Driver!$L$188-Driver!$K$188)</f>
        <v/>
      </c>
      <c r="AR317" s="108">
        <f>MIN((BD317-Driver!$K$189)/(Driver!$L$189-Driver!$K$189),100%)</f>
        <v/>
      </c>
      <c r="AS317" s="108">
        <f>(BE317-Driver!$K$190)/(Driver!$L$190-Driver!$K$190)</f>
        <v/>
      </c>
      <c r="AT317" s="108">
        <f>(BF317-Driver!$K$191)/(Driver!$L$191-Driver!$K$191)</f>
        <v/>
      </c>
      <c r="AU317" s="108">
        <f>(BG317-Driver!$K$192)/(Driver!$L$192-Driver!$K$192)</f>
        <v/>
      </c>
      <c r="AV317" s="105">
        <f>IFERROR(BM317*BJ317^1/4,"")</f>
        <v/>
      </c>
      <c r="AW317" s="105">
        <f>IFERROR(SUM(AX317:AZ317),"")</f>
        <v/>
      </c>
      <c r="AX317" s="105">
        <f>IFERROR(BH317,"")</f>
        <v/>
      </c>
      <c r="AY317" s="105">
        <f>IFERROR(Driver!$K$19/Data!BH317/Data!BI317*Data!BK317*Data!BL317,"")</f>
        <v/>
      </c>
      <c r="AZ317" s="105">
        <f>IFERROR(BI317*BN317,"")</f>
        <v/>
      </c>
      <c r="BA317" s="105" t="n"/>
      <c r="BB317" s="105" t="n"/>
      <c r="BC317" s="105">
        <f>IFERROR(BI317*BN317*BK317/BJ317^(1/2),"")</f>
        <v/>
      </c>
      <c r="BD317" s="105">
        <f>IFERROR(BH317*BM317*BL317/BJ317/BK317,"")</f>
        <v/>
      </c>
      <c r="BE317" s="105">
        <f>IFERROR(MIN(BI317/BQ317/BP317/BO317/BH317,$BE$1),"")</f>
        <v/>
      </c>
      <c r="BF317" s="105">
        <f>IFERROR(BJ317*BO317*BP317/BK317,"")</f>
        <v/>
      </c>
      <c r="BG317" s="105">
        <f>IFERROR(1/BM317/BH317*BQ317,"")</f>
        <v/>
      </c>
      <c r="BH317" s="102">
        <f>MAX((CE317-Driver!$F$200)/(Driver!$G$200-Driver!$F$200)*$BI$1,1)</f>
        <v/>
      </c>
      <c r="BI317" s="102">
        <f>MAX($BI$1*(BY317-Driver!$F$201)/(Driver!$G$201-Driver!$F$201),1)</f>
        <v/>
      </c>
      <c r="BJ317" s="102">
        <f>(CB317-Driver!$F$206)/(Driver!$G$206-Driver!$F$206)*$BI$1</f>
        <v/>
      </c>
      <c r="BK317" s="102">
        <f>(CD317-Driver!$F$203)/(Driver!$G$203-Driver!$F$203)*$BI$1</f>
        <v/>
      </c>
      <c r="BL317" s="102">
        <f>MAX((CR317-Driver!$F$202)/(Driver!$G$202-Driver!$F$202)*$BI$1,1)</f>
        <v/>
      </c>
      <c r="BM317" s="102">
        <f>MAX((CH317-Driver!$F$204)/(Driver!$G$204-Driver!$F$204)*$BI$1,1)</f>
        <v/>
      </c>
      <c r="BN317" s="102">
        <f>(CI317-Driver!$F$205)/(Driver!$G$205-Driver!$F$205)*$BI$1</f>
        <v/>
      </c>
      <c r="BO317" s="102">
        <f>(CK317-Driver!$F$207)/(Driver!$G$207-Driver!$F$207)*$BI$1</f>
        <v/>
      </c>
      <c r="BP317" s="102">
        <f>(CM317-Driver!$F$208)/(Driver!$G$208-Driver!$F$208)*$BI$1</f>
        <v/>
      </c>
      <c r="BQ317" s="102">
        <f>(CL317-Driver!$F$209)/(Driver!$G$209-Driver!$F$209)*$BI$1</f>
        <v/>
      </c>
      <c r="BR317" s="40" t="inlineStr">
        <is>
          <t>21/22</t>
        </is>
      </c>
      <c r="BS317" s="10" t="inlineStr">
        <is>
          <t xml:space="preserve"> Dynafit</t>
        </is>
      </c>
      <c r="BT317" s="11" t="inlineStr">
        <is>
          <t>Blacklight 88</t>
        </is>
      </c>
      <c r="BU317" s="13" t="n">
        <v>178</v>
      </c>
      <c r="BV317" s="11" t="inlineStr">
        <is>
          <t xml:space="preserve"> Unisex</t>
        </is>
      </c>
      <c r="BW317" s="13" t="n">
        <v>178</v>
      </c>
      <c r="BX317" s="13" t="n">
        <v>175.9</v>
      </c>
      <c r="BY317" s="13" t="n">
        <v>123</v>
      </c>
      <c r="BZ317" s="13" t="n">
        <v>153</v>
      </c>
      <c r="CA317" s="13" t="n">
        <v>123</v>
      </c>
      <c r="CB317" s="13" t="n">
        <v>88</v>
      </c>
      <c r="CC317" s="13" t="n">
        <v>111</v>
      </c>
      <c r="CD317" s="13" t="n">
        <v>19.8</v>
      </c>
      <c r="CE317" s="13" t="n">
        <v>1263</v>
      </c>
      <c r="CF317" s="13" t="n">
        <v>1.37</v>
      </c>
      <c r="CG317" s="13" t="n">
        <v>1727</v>
      </c>
      <c r="CH317" s="13" t="n">
        <v>312</v>
      </c>
      <c r="CI317" s="13" t="n">
        <v>103</v>
      </c>
      <c r="CJ317" s="13" t="n">
        <v>54</v>
      </c>
      <c r="CK317" s="13" t="n">
        <v>364</v>
      </c>
      <c r="CL317" s="13" t="n">
        <v>10</v>
      </c>
      <c r="CM317" s="13" t="n">
        <v>167</v>
      </c>
      <c r="CN317" s="13" t="n">
        <v>0.18</v>
      </c>
      <c r="CO317" s="13" t="n">
        <v>138</v>
      </c>
      <c r="CP317" s="13" t="n">
        <v>96</v>
      </c>
      <c r="CQ317" s="13" t="n">
        <v>226</v>
      </c>
      <c r="CR317" s="13" t="n">
        <v>2</v>
      </c>
      <c r="CS317" s="13" t="n">
        <v>12.4</v>
      </c>
      <c r="CT317" s="11" t="inlineStr">
        <is>
          <t xml:space="preserve"> Touring</t>
        </is>
      </c>
      <c r="CU317" s="11" t="inlineStr">
        <is>
          <t xml:space="preserve"> Ultralight Touring</t>
        </is>
      </c>
      <c r="CV317" s="13" t="n"/>
      <c r="CW317" s="13" t="n"/>
      <c r="CX317">
        <f>INDEX('Data_Price '!AG$2:AG$1266,MATCH(Data!$DN317,'Data_Price '!$AT$2:$AT$1266,0))</f>
        <v/>
      </c>
      <c r="CY317">
        <f>INDEX('Data_Price '!AH$2:AH$1266,MATCH(Data!$DN317,'Data_Price '!$AT$2:$AT$1266,0))</f>
        <v/>
      </c>
      <c r="CZ317">
        <f>INDEX('Data_Price '!AI$2:AI$1266,MATCH(Data!$DN317,'Data_Price '!$AT$2:$AT$1266,0))</f>
        <v/>
      </c>
      <c r="DA317">
        <f>INDEX('Data_Price '!AJ$2:AJ$1266,MATCH(Data!$DN317,'Data_Price '!$AT$2:$AT$1266,0))</f>
        <v/>
      </c>
      <c r="DB317">
        <f>INDEX('Data_Price '!AK$2:AK$1266,MATCH(Data!$DN317,'Data_Price '!$AT$2:$AT$1266,0))</f>
        <v/>
      </c>
      <c r="DC317">
        <f>INDEX('Data_Price '!AL$2:AL$1266,MATCH(Data!$DN317,'Data_Price '!$AT$2:$AT$1266,0))</f>
        <v/>
      </c>
      <c r="DD317">
        <f>INDEX('Data_Price '!AM$2:AM$1266,MATCH(Data!$DN317,'Data_Price '!$AT$2:$AT$1266,0))</f>
        <v/>
      </c>
      <c r="DE317">
        <f>INDEX('Data_Price '!AN$2:AN$1266,MATCH(Data!$DN317,'Data_Price '!$AT$2:$AT$1266,0))</f>
        <v/>
      </c>
      <c r="DF317">
        <f>INDEX('Data_Price '!AO$2:AO$1266,MATCH(Data!$DN317,'Data_Price '!$AT$2:$AT$1266,0))</f>
        <v/>
      </c>
      <c r="DG317">
        <f>INDEX('Data_Price '!AP$2:AP$1266,MATCH(Data!$DN317,'Data_Price '!$AT$2:$AT$1266,0))</f>
        <v/>
      </c>
      <c r="DH317">
        <f>INDEX('Data_Price '!AQ$2:AQ$1266,MATCH(Data!$DN317,'Data_Price '!$AT$2:$AT$1266,0))</f>
        <v/>
      </c>
      <c r="DI317">
        <f>INDEX('Data_Price '!AR$2:AR$1266,MATCH(Data!$DN317,'Data_Price '!$AT$2:$AT$1266,0))</f>
        <v/>
      </c>
      <c r="DJ317" s="138">
        <f>DA317</f>
        <v/>
      </c>
      <c r="DK317" s="138">
        <f>DE317</f>
        <v/>
      </c>
      <c r="DL317" s="138">
        <f>DI317</f>
        <v/>
      </c>
      <c r="DM317" s="303">
        <f>IF(LEFT(BT317,1)=" ",RIGHT(BT317,LEN(BT317)-1),BT317)</f>
        <v/>
      </c>
      <c r="DN317" s="138">
        <f>_xlfn.CONCAT(BS317,DM317,BU317,BV317)</f>
        <v/>
      </c>
      <c r="DO317" s="307" t="inlineStr">
        <is>
          <t>https://images.evo.com/imgp/250/208963/851016/dynafit-blacklight-88-skis-2022-.jpg</t>
        </is>
      </c>
    </row>
    <row r="318" ht="15.6" customHeight="1" s="184">
      <c r="B318" s="303">
        <f t="array" ref="B318">IF(OR(ISERROR(K318:P318)),FALSE,TRUE)</f>
        <v/>
      </c>
      <c r="C318" s="60">
        <f>OR(BR318=Driver!$G$50,Data!BR1213=Driver!$H$50)</f>
        <v/>
      </c>
      <c r="D318" s="60">
        <f>OR(BV318=Driver!$G$51,BV318=Driver!$H$51)</f>
        <v/>
      </c>
      <c r="E318" s="60">
        <f>AND(BX318&gt;Driver!$F$54,BX318&lt;Driver!$G$54)</f>
        <v/>
      </c>
      <c r="F318" s="60">
        <f>CL318&gt;Driver!$F$56</f>
        <v/>
      </c>
      <c r="G318" s="60">
        <f>AND(CB318&gt;Driver!$F$55,CB318&lt;Driver!$G$55)</f>
        <v/>
      </c>
      <c r="H318" s="60">
        <f>AND(B318:G318)</f>
        <v/>
      </c>
      <c r="I318" s="60">
        <f>COUNTIFS($H$9:$H$1273,TRUE,$BT$9:$BT$1273,BT318)</f>
        <v/>
      </c>
      <c r="J318" s="60">
        <f t="array" ref="J318">NOT(OR(($H$9:$H$1273=TRUE)*($I$9:$I$1273&gt;0)*($BT$9:$BT$1273=BT318)*($K$9:$K$1273&gt;K318)))</f>
        <v/>
      </c>
      <c r="K318" s="108">
        <f>IFERROR(1-AVERAGE(X318:Y318),"")</f>
        <v/>
      </c>
      <c r="L318" s="108">
        <f>1-X318</f>
        <v/>
      </c>
      <c r="M318" s="108">
        <f>1-Y318</f>
        <v/>
      </c>
      <c r="N318" s="108">
        <f>1-Z318</f>
        <v/>
      </c>
      <c r="O318" s="108">
        <f>1-AA318</f>
        <v/>
      </c>
      <c r="P318" s="108">
        <f>1-AB318</f>
        <v/>
      </c>
      <c r="Q318" s="108" t="n"/>
      <c r="R318" s="108" t="n"/>
      <c r="S318" s="108">
        <f>1-AE318</f>
        <v/>
      </c>
      <c r="T318" s="108">
        <f>1-AF318</f>
        <v/>
      </c>
      <c r="U318" s="108">
        <f>1-AG318</f>
        <v/>
      </c>
      <c r="V318" s="108">
        <f>1-AH318</f>
        <v/>
      </c>
      <c r="W318" s="108">
        <f>1-AI318</f>
        <v/>
      </c>
      <c r="X318" s="108">
        <f>ABS(AJ318-AJ$1)</f>
        <v/>
      </c>
      <c r="Y318" s="108">
        <f>AVERAGE(Z318:AB318)</f>
        <v/>
      </c>
      <c r="Z318" s="108">
        <f>ABS(AL318-AL$1)</f>
        <v/>
      </c>
      <c r="AA318" s="108">
        <f>ABS(AM318-AM$1)</f>
        <v/>
      </c>
      <c r="AB318" s="108">
        <f>ABS(AN318-AN$1)</f>
        <v/>
      </c>
      <c r="AC318" s="108" t="n"/>
      <c r="AD318" s="108" t="n"/>
      <c r="AE318" s="108">
        <f>ABS(AQ$1-AQ318)</f>
        <v/>
      </c>
      <c r="AF318" s="108">
        <f>ABS(AR$1-AR318)</f>
        <v/>
      </c>
      <c r="AG318" s="108">
        <f>ABS(AS$1-AS318)</f>
        <v/>
      </c>
      <c r="AH318" s="108">
        <f>ABS(AT$1-AT318)</f>
        <v/>
      </c>
      <c r="AI318" s="108">
        <f>ABS(AU$1-AU318)</f>
        <v/>
      </c>
      <c r="AJ318" s="108">
        <f>(AV318-Driver!$K$179)/(Driver!$L$179-Driver!$K$179)</f>
        <v/>
      </c>
      <c r="AK318" s="108">
        <f>(AW318-Driver!$K$180)/(Driver!$L$180-Driver!$K$180)</f>
        <v/>
      </c>
      <c r="AL318" s="108">
        <f>(AX318-Driver!$K$181)/(Driver!$L$181-Driver!$K$181)</f>
        <v/>
      </c>
      <c r="AM318" s="108">
        <f>(AY318-Driver!$K$182)/(Driver!$L$182-Driver!$K$182)</f>
        <v/>
      </c>
      <c r="AN318" s="108">
        <f>(AZ318-Driver!$K$183)/(Driver!$L$183-Driver!$K$183)</f>
        <v/>
      </c>
      <c r="AO318" s="108" t="n"/>
      <c r="AP318" s="108" t="n"/>
      <c r="AQ318" s="108">
        <f>(BC318-Driver!$K$188)/(Driver!$L$188-Driver!$K$188)</f>
        <v/>
      </c>
      <c r="AR318" s="108">
        <f>MIN((BD318-Driver!$K$189)/(Driver!$L$189-Driver!$K$189),100%)</f>
        <v/>
      </c>
      <c r="AS318" s="108">
        <f>(BE318-Driver!$K$190)/(Driver!$L$190-Driver!$K$190)</f>
        <v/>
      </c>
      <c r="AT318" s="108">
        <f>(BF318-Driver!$K$191)/(Driver!$L$191-Driver!$K$191)</f>
        <v/>
      </c>
      <c r="AU318" s="108">
        <f>(BG318-Driver!$K$192)/(Driver!$L$192-Driver!$K$192)</f>
        <v/>
      </c>
      <c r="AV318" s="105">
        <f>IFERROR(BM318*BJ318^1/4,"")</f>
        <v/>
      </c>
      <c r="AW318" s="105">
        <f>IFERROR(SUM(AX318:AZ318),"")</f>
        <v/>
      </c>
      <c r="AX318" s="105">
        <f>IFERROR(BH318,"")</f>
        <v/>
      </c>
      <c r="AY318" s="105">
        <f>IFERROR(Driver!$K$19/Data!BH318/Data!BI318*Data!BK318*Data!BL318,"")</f>
        <v/>
      </c>
      <c r="AZ318" s="105">
        <f>IFERROR(BI318*BN318,"")</f>
        <v/>
      </c>
      <c r="BA318" s="105" t="n"/>
      <c r="BB318" s="105" t="n"/>
      <c r="BC318" s="105">
        <f>IFERROR(BI318*BN318*BK318/BJ318^(1/2),"")</f>
        <v/>
      </c>
      <c r="BD318" s="105">
        <f>IFERROR(BH318*BM318*BL318/BJ318/BK318,"")</f>
        <v/>
      </c>
      <c r="BE318" s="105">
        <f>IFERROR(MIN(BI318/BQ318/BP318/BO318/BH318,$BE$1),"")</f>
        <v/>
      </c>
      <c r="BF318" s="105">
        <f>IFERROR(BJ318*BO318*BP318/BK318,"")</f>
        <v/>
      </c>
      <c r="BG318" s="105">
        <f>IFERROR(1/BM318/BH318*BQ318,"")</f>
        <v/>
      </c>
      <c r="BH318" s="102">
        <f>MAX((CE318-Driver!$F$200)/(Driver!$G$200-Driver!$F$200)*$BI$1,1)</f>
        <v/>
      </c>
      <c r="BI318" s="102">
        <f>MAX($BI$1*(BY318-Driver!$F$201)/(Driver!$G$201-Driver!$F$201),1)</f>
        <v/>
      </c>
      <c r="BJ318" s="102">
        <f>(CB318-Driver!$F$206)/(Driver!$G$206-Driver!$F$206)*$BI$1</f>
        <v/>
      </c>
      <c r="BK318" s="102">
        <f>(CD318-Driver!$F$203)/(Driver!$G$203-Driver!$F$203)*$BI$1</f>
        <v/>
      </c>
      <c r="BL318" s="102">
        <f>MAX((CR318-Driver!$F$202)/(Driver!$G$202-Driver!$F$202)*$BI$1,1)</f>
        <v/>
      </c>
      <c r="BM318" s="102">
        <f>MAX((CH318-Driver!$F$204)/(Driver!$G$204-Driver!$F$204)*$BI$1,1)</f>
        <v/>
      </c>
      <c r="BN318" s="102">
        <f>(CI318-Driver!$F$205)/(Driver!$G$205-Driver!$F$205)*$BI$1</f>
        <v/>
      </c>
      <c r="BO318" s="102">
        <f>(CK318-Driver!$F$207)/(Driver!$G$207-Driver!$F$207)*$BI$1</f>
        <v/>
      </c>
      <c r="BP318" s="102">
        <f>(CM318-Driver!$F$208)/(Driver!$G$208-Driver!$F$208)*$BI$1</f>
        <v/>
      </c>
      <c r="BQ318" s="102">
        <f>(CL318-Driver!$F$209)/(Driver!$G$209-Driver!$F$209)*$BI$1</f>
        <v/>
      </c>
      <c r="BR318" s="40" t="inlineStr">
        <is>
          <t>21/22</t>
        </is>
      </c>
      <c r="BS318" s="10" t="inlineStr">
        <is>
          <t xml:space="preserve"> Völkl</t>
        </is>
      </c>
      <c r="BT318" s="11" t="inlineStr">
        <is>
          <t>Kenja 88</t>
        </is>
      </c>
      <c r="BU318" s="13" t="n">
        <v>156</v>
      </c>
      <c r="BV318" s="11" t="inlineStr">
        <is>
          <t xml:space="preserve"> Women's</t>
        </is>
      </c>
      <c r="BW318" s="13" t="n">
        <v>156</v>
      </c>
      <c r="BX318" s="13" t="n">
        <v>156.1</v>
      </c>
      <c r="BY318" s="13" t="n">
        <v>108</v>
      </c>
      <c r="BZ318" s="13" t="n">
        <v>132</v>
      </c>
      <c r="CA318" s="13" t="n">
        <v>128</v>
      </c>
      <c r="CB318" s="13" t="n">
        <v>87</v>
      </c>
      <c r="CC318" s="13" t="n">
        <v>110</v>
      </c>
      <c r="CD318" s="13" t="n">
        <v>12.9</v>
      </c>
      <c r="CE318" s="13" t="n">
        <v>1675</v>
      </c>
      <c r="CF318" s="13" t="n">
        <v>0.9399999999999999</v>
      </c>
      <c r="CG318" s="13" t="n">
        <v>1567</v>
      </c>
      <c r="CH318" s="13" t="n">
        <v>194</v>
      </c>
      <c r="CI318" s="13" t="n">
        <v>132</v>
      </c>
      <c r="CJ318" s="13" t="n">
        <v>43</v>
      </c>
      <c r="CK318" s="13" t="n">
        <v>283</v>
      </c>
      <c r="CL318" s="13" t="n">
        <v>16</v>
      </c>
      <c r="CM318" s="13" t="n">
        <v>202</v>
      </c>
      <c r="CN318" s="13" t="n">
        <v>0.374</v>
      </c>
      <c r="CO318" s="13" t="n">
        <v>132</v>
      </c>
      <c r="CP318" s="13" t="n">
        <v>104</v>
      </c>
      <c r="CQ318" s="13" t="n">
        <v>151</v>
      </c>
      <c r="CR318" s="13" t="n">
        <v>3</v>
      </c>
      <c r="CS318" s="13" t="n">
        <v>11.6</v>
      </c>
      <c r="CT318" s="11" t="inlineStr">
        <is>
          <t xml:space="preserve"> Resort Freeride</t>
        </is>
      </c>
      <c r="CU318" s="13" t="n"/>
      <c r="CV318" s="13" t="n"/>
      <c r="CW318" s="13" t="n"/>
      <c r="CX318">
        <f>INDEX('Data_Price '!AG$2:AG$1266,MATCH(Data!$DN318,'Data_Price '!$AT$2:$AT$1266,0))</f>
        <v/>
      </c>
      <c r="CY318">
        <f>INDEX('Data_Price '!AH$2:AH$1266,MATCH(Data!$DN318,'Data_Price '!$AT$2:$AT$1266,0))</f>
        <v/>
      </c>
      <c r="CZ318">
        <f>INDEX('Data_Price '!AI$2:AI$1266,MATCH(Data!$DN318,'Data_Price '!$AT$2:$AT$1266,0))</f>
        <v/>
      </c>
      <c r="DA318">
        <f>INDEX('Data_Price '!AJ$2:AJ$1266,MATCH(Data!$DN318,'Data_Price '!$AT$2:$AT$1266,0))</f>
        <v/>
      </c>
      <c r="DB318">
        <f>INDEX('Data_Price '!AK$2:AK$1266,MATCH(Data!$DN318,'Data_Price '!$AT$2:$AT$1266,0))</f>
        <v/>
      </c>
      <c r="DC318">
        <f>INDEX('Data_Price '!AL$2:AL$1266,MATCH(Data!$DN318,'Data_Price '!$AT$2:$AT$1266,0))</f>
        <v/>
      </c>
      <c r="DD318">
        <f>INDEX('Data_Price '!AM$2:AM$1266,MATCH(Data!$DN318,'Data_Price '!$AT$2:$AT$1266,0))</f>
        <v/>
      </c>
      <c r="DE318">
        <f>INDEX('Data_Price '!AN$2:AN$1266,MATCH(Data!$DN318,'Data_Price '!$AT$2:$AT$1266,0))</f>
        <v/>
      </c>
      <c r="DF318">
        <f>INDEX('Data_Price '!AO$2:AO$1266,MATCH(Data!$DN318,'Data_Price '!$AT$2:$AT$1266,0))</f>
        <v/>
      </c>
      <c r="DG318">
        <f>INDEX('Data_Price '!AP$2:AP$1266,MATCH(Data!$DN318,'Data_Price '!$AT$2:$AT$1266,0))</f>
        <v/>
      </c>
      <c r="DH318">
        <f>INDEX('Data_Price '!AQ$2:AQ$1266,MATCH(Data!$DN318,'Data_Price '!$AT$2:$AT$1266,0))</f>
        <v/>
      </c>
      <c r="DI318">
        <f>INDEX('Data_Price '!AR$2:AR$1266,MATCH(Data!$DN318,'Data_Price '!$AT$2:$AT$1266,0))</f>
        <v/>
      </c>
      <c r="DJ318" s="138">
        <f>DA318</f>
        <v/>
      </c>
      <c r="DK318" s="138">
        <f>DE318</f>
        <v/>
      </c>
      <c r="DL318" s="138">
        <f>DI318</f>
        <v/>
      </c>
      <c r="DM318" s="303">
        <f>IF(LEFT(BT318,1)=" ",RIGHT(BT318,LEN(BT318)-1),BT318)</f>
        <v/>
      </c>
      <c r="DN318" s="138">
        <f>_xlfn.CONCAT(BS318,DM318,BU318,BV318)</f>
        <v/>
      </c>
      <c r="DO318" s="307" t="inlineStr">
        <is>
          <t>https://images.evo.com/imgp/250/208363/837595/volkl-kenja-88-skis-women-s-2022-.jpg</t>
        </is>
      </c>
    </row>
    <row r="319" ht="15.6" customHeight="1" s="184">
      <c r="B319" s="303">
        <f t="array" ref="B319">IF(OR(ISERROR(K319:P319)),FALSE,TRUE)</f>
        <v/>
      </c>
      <c r="C319" s="60">
        <f>OR(BR319=Driver!$G$50,Data!BR750=Driver!$H$50)</f>
        <v/>
      </c>
      <c r="D319" s="60">
        <f>OR(BV319=Driver!$G$51,BV319=Driver!$H$51)</f>
        <v/>
      </c>
      <c r="E319" s="60">
        <f>AND(BX319&gt;Driver!$F$54,BX319&lt;Driver!$G$54)</f>
        <v/>
      </c>
      <c r="F319" s="60">
        <f>CL319&gt;Driver!$F$56</f>
        <v/>
      </c>
      <c r="G319" s="60">
        <f>AND(CB319&gt;Driver!$F$55,CB319&lt;Driver!$G$55)</f>
        <v/>
      </c>
      <c r="H319" s="60">
        <f>AND(B319:G319)</f>
        <v/>
      </c>
      <c r="I319" s="60">
        <f>COUNTIFS($H$9:$H$1273,TRUE,$BT$9:$BT$1273,BT319)</f>
        <v/>
      </c>
      <c r="J319" s="60">
        <f t="array" ref="J319">NOT(OR(($H$9:$H$1273=TRUE)*($I$9:$I$1273&gt;0)*($BT$9:$BT$1273=BT319)*($K$9:$K$1273&gt;K319)))</f>
        <v/>
      </c>
      <c r="K319" s="108">
        <f>IFERROR(1-AVERAGE(X319:Y319),"")</f>
        <v/>
      </c>
      <c r="L319" s="108">
        <f>1-X319</f>
        <v/>
      </c>
      <c r="M319" s="108">
        <f>1-Y319</f>
        <v/>
      </c>
      <c r="N319" s="108">
        <f>1-Z319</f>
        <v/>
      </c>
      <c r="O319" s="108">
        <f>1-AA319</f>
        <v/>
      </c>
      <c r="P319" s="108">
        <f>1-AB319</f>
        <v/>
      </c>
      <c r="Q319" s="108" t="n"/>
      <c r="R319" s="108" t="n"/>
      <c r="S319" s="108">
        <f>1-AE319</f>
        <v/>
      </c>
      <c r="T319" s="108">
        <f>1-AF319</f>
        <v/>
      </c>
      <c r="U319" s="108">
        <f>1-AG319</f>
        <v/>
      </c>
      <c r="V319" s="108">
        <f>1-AH319</f>
        <v/>
      </c>
      <c r="W319" s="108">
        <f>1-AI319</f>
        <v/>
      </c>
      <c r="X319" s="108">
        <f>ABS(AJ319-AJ$1)</f>
        <v/>
      </c>
      <c r="Y319" s="108">
        <f>AVERAGE(Z319:AB319)</f>
        <v/>
      </c>
      <c r="Z319" s="108">
        <f>ABS(AL319-AL$1)</f>
        <v/>
      </c>
      <c r="AA319" s="108">
        <f>ABS(AM319-AM$1)</f>
        <v/>
      </c>
      <c r="AB319" s="108">
        <f>ABS(AN319-AN$1)</f>
        <v/>
      </c>
      <c r="AC319" s="108" t="n"/>
      <c r="AD319" s="108" t="n"/>
      <c r="AE319" s="108">
        <f>ABS(AQ$1-AQ319)</f>
        <v/>
      </c>
      <c r="AF319" s="108">
        <f>ABS(AR$1-AR319)</f>
        <v/>
      </c>
      <c r="AG319" s="108">
        <f>ABS(AS$1-AS319)</f>
        <v/>
      </c>
      <c r="AH319" s="108">
        <f>ABS(AT$1-AT319)</f>
        <v/>
      </c>
      <c r="AI319" s="108">
        <f>ABS(AU$1-AU319)</f>
        <v/>
      </c>
      <c r="AJ319" s="108">
        <f>(AV319-Driver!$K$179)/(Driver!$L$179-Driver!$K$179)</f>
        <v/>
      </c>
      <c r="AK319" s="108">
        <f>(AW319-Driver!$K$180)/(Driver!$L$180-Driver!$K$180)</f>
        <v/>
      </c>
      <c r="AL319" s="108">
        <f>(AX319-Driver!$K$181)/(Driver!$L$181-Driver!$K$181)</f>
        <v/>
      </c>
      <c r="AM319" s="108">
        <f>(AY319-Driver!$K$182)/(Driver!$L$182-Driver!$K$182)</f>
        <v/>
      </c>
      <c r="AN319" s="108">
        <f>(AZ319-Driver!$K$183)/(Driver!$L$183-Driver!$K$183)</f>
        <v/>
      </c>
      <c r="AO319" s="108" t="n"/>
      <c r="AP319" s="108" t="n"/>
      <c r="AQ319" s="108">
        <f>(BC319-Driver!$K$188)/(Driver!$L$188-Driver!$K$188)</f>
        <v/>
      </c>
      <c r="AR319" s="108">
        <f>MIN((BD319-Driver!$K$189)/(Driver!$L$189-Driver!$K$189),100%)</f>
        <v/>
      </c>
      <c r="AS319" s="108">
        <f>(BE319-Driver!$K$190)/(Driver!$L$190-Driver!$K$190)</f>
        <v/>
      </c>
      <c r="AT319" s="108">
        <f>(BF319-Driver!$K$191)/(Driver!$L$191-Driver!$K$191)</f>
        <v/>
      </c>
      <c r="AU319" s="108">
        <f>(BG319-Driver!$K$192)/(Driver!$L$192-Driver!$K$192)</f>
        <v/>
      </c>
      <c r="AV319" s="105">
        <f>IFERROR(BM319*BJ319^1/4,"")</f>
        <v/>
      </c>
      <c r="AW319" s="105">
        <f>IFERROR(SUM(AX319:AZ319),"")</f>
        <v/>
      </c>
      <c r="AX319" s="105">
        <f>IFERROR(BH319,"")</f>
        <v/>
      </c>
      <c r="AY319" s="105">
        <f>IFERROR(Driver!$K$19/Data!BH319/Data!BI319*Data!BK319*Data!BL319,"")</f>
        <v/>
      </c>
      <c r="AZ319" s="105">
        <f>IFERROR(BI319*BN319,"")</f>
        <v/>
      </c>
      <c r="BA319" s="105" t="n"/>
      <c r="BB319" s="105" t="n"/>
      <c r="BC319" s="105">
        <f>IFERROR(BI319*BN319*BK319/BJ319^(1/2),"")</f>
        <v/>
      </c>
      <c r="BD319" s="105">
        <f>IFERROR(BH319*BM319*BL319/BJ319/BK319,"")</f>
        <v/>
      </c>
      <c r="BE319" s="105">
        <f>IFERROR(MIN(BI319/BQ319/BP319/BO319/BH319,$BE$1),"")</f>
        <v/>
      </c>
      <c r="BF319" s="105">
        <f>IFERROR(BJ319*BO319*BP319/BK319,"")</f>
        <v/>
      </c>
      <c r="BG319" s="105">
        <f>IFERROR(1/BM319/BH319*BQ319,"")</f>
        <v/>
      </c>
      <c r="BH319" s="102">
        <f>MAX((CE319-Driver!$F$200)/(Driver!$G$200-Driver!$F$200)*$BI$1,1)</f>
        <v/>
      </c>
      <c r="BI319" s="102">
        <f>MAX($BI$1*(BY319-Driver!$F$201)/(Driver!$G$201-Driver!$F$201),1)</f>
        <v/>
      </c>
      <c r="BJ319" s="102">
        <f>(CB319-Driver!$F$206)/(Driver!$G$206-Driver!$F$206)*$BI$1</f>
        <v/>
      </c>
      <c r="BK319" s="102">
        <f>(CD319-Driver!$F$203)/(Driver!$G$203-Driver!$F$203)*$BI$1</f>
        <v/>
      </c>
      <c r="BL319" s="102">
        <f>MAX((CR319-Driver!$F$202)/(Driver!$G$202-Driver!$F$202)*$BI$1,1)</f>
        <v/>
      </c>
      <c r="BM319" s="102">
        <f>MAX((CH319-Driver!$F$204)/(Driver!$G$204-Driver!$F$204)*$BI$1,1)</f>
        <v/>
      </c>
      <c r="BN319" s="102">
        <f>(CI319-Driver!$F$205)/(Driver!$G$205-Driver!$F$205)*$BI$1</f>
        <v/>
      </c>
      <c r="BO319" s="102">
        <f>(CK319-Driver!$F$207)/(Driver!$G$207-Driver!$F$207)*$BI$1</f>
        <v/>
      </c>
      <c r="BP319" s="102">
        <f>(CM319-Driver!$F$208)/(Driver!$G$208-Driver!$F$208)*$BI$1</f>
        <v/>
      </c>
      <c r="BQ319" s="102">
        <f>(CL319-Driver!$F$209)/(Driver!$G$209-Driver!$F$209)*$BI$1</f>
        <v/>
      </c>
      <c r="BR319" s="40" t="inlineStr">
        <is>
          <t>21/22</t>
        </is>
      </c>
      <c r="BS319" s="10" t="inlineStr">
        <is>
          <t xml:space="preserve"> K2</t>
        </is>
      </c>
      <c r="BT319" s="11" t="inlineStr">
        <is>
          <t>Mindbender 99 Ti</t>
        </is>
      </c>
      <c r="BU319" s="13" t="n">
        <v>170</v>
      </c>
      <c r="BV319" s="11" t="inlineStr">
        <is>
          <t xml:space="preserve"> Unisex</t>
        </is>
      </c>
      <c r="BW319" s="13" t="n">
        <v>170</v>
      </c>
      <c r="BX319" s="13" t="n">
        <v>169.9</v>
      </c>
      <c r="BY319" s="13" t="n">
        <v>117</v>
      </c>
      <c r="BZ319" s="13" t="n">
        <v>143</v>
      </c>
      <c r="CA319" s="13" t="n">
        <v>137</v>
      </c>
      <c r="CB319" s="13" t="n">
        <v>98</v>
      </c>
      <c r="CC319" s="13" t="n">
        <v>122</v>
      </c>
      <c r="CD319" s="13" t="n">
        <v>16</v>
      </c>
      <c r="CE319" s="13" t="n">
        <v>1901</v>
      </c>
      <c r="CF319" s="13" t="n">
        <v>0.99</v>
      </c>
      <c r="CG319" s="13" t="n">
        <v>1875</v>
      </c>
      <c r="CH319" s="13" t="n">
        <v>164</v>
      </c>
      <c r="CI319" s="13" t="n">
        <v>107</v>
      </c>
      <c r="CJ319" s="13" t="n">
        <v>50</v>
      </c>
      <c r="CK319" s="13" t="n">
        <v>315</v>
      </c>
      <c r="CL319" s="13" t="n">
        <v>16</v>
      </c>
      <c r="CM319" s="13" t="n">
        <v>215</v>
      </c>
      <c r="CN319" s="13" t="n">
        <v>0.316</v>
      </c>
      <c r="CO319" s="13" t="n">
        <v>154</v>
      </c>
      <c r="CP319" s="13" t="n">
        <v>117</v>
      </c>
      <c r="CQ319" s="13" t="n">
        <v>161</v>
      </c>
      <c r="CR319" s="13" t="n">
        <v>6</v>
      </c>
      <c r="CS319" s="13" t="n">
        <v>10.8</v>
      </c>
      <c r="CT319" s="11" t="inlineStr">
        <is>
          <t xml:space="preserve"> Resort Freeride</t>
        </is>
      </c>
      <c r="CU319" s="13" t="n"/>
      <c r="CV319" s="13" t="n"/>
      <c r="CW319" s="13" t="n"/>
      <c r="CX319">
        <f>INDEX('Data_Price '!AG$2:AG$1266,MATCH(Data!$DN319,'Data_Price '!$AT$2:$AT$1266,0))</f>
        <v/>
      </c>
      <c r="CY319">
        <f>INDEX('Data_Price '!AH$2:AH$1266,MATCH(Data!$DN319,'Data_Price '!$AT$2:$AT$1266,0))</f>
        <v/>
      </c>
      <c r="CZ319">
        <f>INDEX('Data_Price '!AI$2:AI$1266,MATCH(Data!$DN319,'Data_Price '!$AT$2:$AT$1266,0))</f>
        <v/>
      </c>
      <c r="DA319">
        <f>INDEX('Data_Price '!AJ$2:AJ$1266,MATCH(Data!$DN319,'Data_Price '!$AT$2:$AT$1266,0))</f>
        <v/>
      </c>
      <c r="DB319">
        <f>INDEX('Data_Price '!AK$2:AK$1266,MATCH(Data!$DN319,'Data_Price '!$AT$2:$AT$1266,0))</f>
        <v/>
      </c>
      <c r="DC319">
        <f>INDEX('Data_Price '!AL$2:AL$1266,MATCH(Data!$DN319,'Data_Price '!$AT$2:$AT$1266,0))</f>
        <v/>
      </c>
      <c r="DD319">
        <f>INDEX('Data_Price '!AM$2:AM$1266,MATCH(Data!$DN319,'Data_Price '!$AT$2:$AT$1266,0))</f>
        <v/>
      </c>
      <c r="DE319">
        <f>INDEX('Data_Price '!AN$2:AN$1266,MATCH(Data!$DN319,'Data_Price '!$AT$2:$AT$1266,0))</f>
        <v/>
      </c>
      <c r="DF319">
        <f>INDEX('Data_Price '!AO$2:AO$1266,MATCH(Data!$DN319,'Data_Price '!$AT$2:$AT$1266,0))</f>
        <v/>
      </c>
      <c r="DG319">
        <f>INDEX('Data_Price '!AP$2:AP$1266,MATCH(Data!$DN319,'Data_Price '!$AT$2:$AT$1266,0))</f>
        <v/>
      </c>
      <c r="DH319">
        <f>INDEX('Data_Price '!AQ$2:AQ$1266,MATCH(Data!$DN319,'Data_Price '!$AT$2:$AT$1266,0))</f>
        <v/>
      </c>
      <c r="DI319">
        <f>INDEX('Data_Price '!AR$2:AR$1266,MATCH(Data!$DN319,'Data_Price '!$AT$2:$AT$1266,0))</f>
        <v/>
      </c>
      <c r="DJ319" s="138">
        <f>DA319</f>
        <v/>
      </c>
      <c r="DK319" s="138">
        <f>DE319</f>
        <v/>
      </c>
      <c r="DL319" s="138">
        <f>DI319</f>
        <v/>
      </c>
      <c r="DM319" s="303">
        <f>IF(LEFT(BT319,1)=" ",RIGHT(BT319,LEN(BT319)-1),BT319)</f>
        <v/>
      </c>
      <c r="DN319" s="138">
        <f>_xlfn.CONCAT(BS319,DM319,BU319,BV319)</f>
        <v/>
      </c>
      <c r="DO319" s="307" t="n"/>
    </row>
    <row r="320" ht="15.6" customHeight="1" s="184">
      <c r="B320" s="303">
        <f t="array" ref="B320">IF(OR(ISERROR(K320:P320)),FALSE,TRUE)</f>
        <v/>
      </c>
      <c r="C320" s="60">
        <f>OR(BR320=Driver!$G$50,Data!BR915=Driver!$H$50)</f>
        <v/>
      </c>
      <c r="D320" s="60">
        <f>OR(BV320=Driver!$G$51,BV320=Driver!$H$51)</f>
        <v/>
      </c>
      <c r="E320" s="60">
        <f>AND(BX320&gt;Driver!$F$54,BX320&lt;Driver!$G$54)</f>
        <v/>
      </c>
      <c r="F320" s="60">
        <f>CL320&gt;Driver!$F$56</f>
        <v/>
      </c>
      <c r="G320" s="60">
        <f>AND(CB320&gt;Driver!$F$55,CB320&lt;Driver!$G$55)</f>
        <v/>
      </c>
      <c r="H320" s="60">
        <f>AND(B320:G320)</f>
        <v/>
      </c>
      <c r="I320" s="60">
        <f>COUNTIFS($H$9:$H$1273,TRUE,$BT$9:$BT$1273,BT320)</f>
        <v/>
      </c>
      <c r="J320" s="60">
        <f t="array" ref="J320">NOT(OR(($H$9:$H$1273=TRUE)*($I$9:$I$1273&gt;0)*($BT$9:$BT$1273=BT320)*($K$9:$K$1273&gt;K320)))</f>
        <v/>
      </c>
      <c r="K320" s="108">
        <f>IFERROR(1-AVERAGE(X320:Y320),"")</f>
        <v/>
      </c>
      <c r="L320" s="108">
        <f>1-X320</f>
        <v/>
      </c>
      <c r="M320" s="108">
        <f>1-Y320</f>
        <v/>
      </c>
      <c r="N320" s="108">
        <f>1-Z320</f>
        <v/>
      </c>
      <c r="O320" s="108">
        <f>1-AA320</f>
        <v/>
      </c>
      <c r="P320" s="108">
        <f>1-AB320</f>
        <v/>
      </c>
      <c r="Q320" s="108" t="n"/>
      <c r="R320" s="108" t="n"/>
      <c r="S320" s="108">
        <f>1-AE320</f>
        <v/>
      </c>
      <c r="T320" s="108">
        <f>1-AF320</f>
        <v/>
      </c>
      <c r="U320" s="108">
        <f>1-AG320</f>
        <v/>
      </c>
      <c r="V320" s="108">
        <f>1-AH320</f>
        <v/>
      </c>
      <c r="W320" s="108">
        <f>1-AI320</f>
        <v/>
      </c>
      <c r="X320" s="108">
        <f>ABS(AJ320-AJ$1)</f>
        <v/>
      </c>
      <c r="Y320" s="108">
        <f>AVERAGE(Z320:AB320)</f>
        <v/>
      </c>
      <c r="Z320" s="108">
        <f>ABS(AL320-AL$1)</f>
        <v/>
      </c>
      <c r="AA320" s="108">
        <f>ABS(AM320-AM$1)</f>
        <v/>
      </c>
      <c r="AB320" s="108">
        <f>ABS(AN320-AN$1)</f>
        <v/>
      </c>
      <c r="AC320" s="108" t="n"/>
      <c r="AD320" s="108" t="n"/>
      <c r="AE320" s="108">
        <f>ABS(AQ$1-AQ320)</f>
        <v/>
      </c>
      <c r="AF320" s="108">
        <f>ABS(AR$1-AR320)</f>
        <v/>
      </c>
      <c r="AG320" s="108">
        <f>ABS(AS$1-AS320)</f>
        <v/>
      </c>
      <c r="AH320" s="108">
        <f>ABS(AT$1-AT320)</f>
        <v/>
      </c>
      <c r="AI320" s="108">
        <f>ABS(AU$1-AU320)</f>
        <v/>
      </c>
      <c r="AJ320" s="108">
        <f>(AV320-Driver!$K$179)/(Driver!$L$179-Driver!$K$179)</f>
        <v/>
      </c>
      <c r="AK320" s="108">
        <f>(AW320-Driver!$K$180)/(Driver!$L$180-Driver!$K$180)</f>
        <v/>
      </c>
      <c r="AL320" s="108">
        <f>(AX320-Driver!$K$181)/(Driver!$L$181-Driver!$K$181)</f>
        <v/>
      </c>
      <c r="AM320" s="108">
        <f>(AY320-Driver!$K$182)/(Driver!$L$182-Driver!$K$182)</f>
        <v/>
      </c>
      <c r="AN320" s="108">
        <f>(AZ320-Driver!$K$183)/(Driver!$L$183-Driver!$K$183)</f>
        <v/>
      </c>
      <c r="AO320" s="108" t="n"/>
      <c r="AP320" s="108" t="n"/>
      <c r="AQ320" s="108">
        <f>(BC320-Driver!$K$188)/(Driver!$L$188-Driver!$K$188)</f>
        <v/>
      </c>
      <c r="AR320" s="108">
        <f>MIN((BD320-Driver!$K$189)/(Driver!$L$189-Driver!$K$189),100%)</f>
        <v/>
      </c>
      <c r="AS320" s="108">
        <f>(BE320-Driver!$K$190)/(Driver!$L$190-Driver!$K$190)</f>
        <v/>
      </c>
      <c r="AT320" s="108">
        <f>(BF320-Driver!$K$191)/(Driver!$L$191-Driver!$K$191)</f>
        <v/>
      </c>
      <c r="AU320" s="108">
        <f>(BG320-Driver!$K$192)/(Driver!$L$192-Driver!$K$192)</f>
        <v/>
      </c>
      <c r="AV320" s="105">
        <f>IFERROR(BM320*BJ320^1/4,"")</f>
        <v/>
      </c>
      <c r="AW320" s="105">
        <f>IFERROR(SUM(AX320:AZ320),"")</f>
        <v/>
      </c>
      <c r="AX320" s="105">
        <f>IFERROR(BH320,"")</f>
        <v/>
      </c>
      <c r="AY320" s="105">
        <f>IFERROR(Driver!$K$19/Data!BH320/Data!BI320*Data!BK320*Data!BL320,"")</f>
        <v/>
      </c>
      <c r="AZ320" s="105">
        <f>IFERROR(BI320*BN320,"")</f>
        <v/>
      </c>
      <c r="BA320" s="105" t="n"/>
      <c r="BB320" s="105" t="n"/>
      <c r="BC320" s="105">
        <f>IFERROR(BI320*BN320*BK320/BJ320^(1/2),"")</f>
        <v/>
      </c>
      <c r="BD320" s="105">
        <f>IFERROR(BH320*BM320*BL320/BJ320/BK320,"")</f>
        <v/>
      </c>
      <c r="BE320" s="105">
        <f>IFERROR(MIN(BI320/BQ320/BP320/BO320/BH320,$BE$1),"")</f>
        <v/>
      </c>
      <c r="BF320" s="105">
        <f>IFERROR(BJ320*BO320*BP320/BK320,"")</f>
        <v/>
      </c>
      <c r="BG320" s="105">
        <f>IFERROR(1/BM320/BH320*BQ320,"")</f>
        <v/>
      </c>
      <c r="BH320" s="102">
        <f>MAX((CE320-Driver!$F$200)/(Driver!$G$200-Driver!$F$200)*$BI$1,1)</f>
        <v/>
      </c>
      <c r="BI320" s="102">
        <f>MAX($BI$1*(BY320-Driver!$F$201)/(Driver!$G$201-Driver!$F$201),1)</f>
        <v/>
      </c>
      <c r="BJ320" s="102">
        <f>(CB320-Driver!$F$206)/(Driver!$G$206-Driver!$F$206)*$BI$1</f>
        <v/>
      </c>
      <c r="BK320" s="102">
        <f>(CD320-Driver!$F$203)/(Driver!$G$203-Driver!$F$203)*$BI$1</f>
        <v/>
      </c>
      <c r="BL320" s="102">
        <f>MAX((CR320-Driver!$F$202)/(Driver!$G$202-Driver!$F$202)*$BI$1,1)</f>
        <v/>
      </c>
      <c r="BM320" s="102">
        <f>MAX((CH320-Driver!$F$204)/(Driver!$G$204-Driver!$F$204)*$BI$1,1)</f>
        <v/>
      </c>
      <c r="BN320" s="102">
        <f>(CI320-Driver!$F$205)/(Driver!$G$205-Driver!$F$205)*$BI$1</f>
        <v/>
      </c>
      <c r="BO320" s="102">
        <f>(CK320-Driver!$F$207)/(Driver!$G$207-Driver!$F$207)*$BI$1</f>
        <v/>
      </c>
      <c r="BP320" s="102">
        <f>(CM320-Driver!$F$208)/(Driver!$G$208-Driver!$F$208)*$BI$1</f>
        <v/>
      </c>
      <c r="BQ320" s="102">
        <f>(CL320-Driver!$F$209)/(Driver!$G$209-Driver!$F$209)*$BI$1</f>
        <v/>
      </c>
      <c r="BR320" s="40" t="inlineStr">
        <is>
          <t>21/22</t>
        </is>
      </c>
      <c r="BS320" s="10" t="inlineStr">
        <is>
          <t xml:space="preserve"> Nordica</t>
        </is>
      </c>
      <c r="BT320" s="11" t="inlineStr">
        <is>
          <t>Santa Ana 104 Free</t>
        </is>
      </c>
      <c r="BU320" s="13" t="n">
        <v>179</v>
      </c>
      <c r="BV320" s="11" t="inlineStr">
        <is>
          <t xml:space="preserve"> Women's</t>
        </is>
      </c>
      <c r="BW320" s="13" t="n">
        <v>179</v>
      </c>
      <c r="BX320" s="13" t="n">
        <v>177.6</v>
      </c>
      <c r="BY320" s="13" t="n">
        <v>122</v>
      </c>
      <c r="BZ320" s="13" t="n">
        <v>147</v>
      </c>
      <c r="CA320" s="13" t="n">
        <v>135</v>
      </c>
      <c r="CB320" s="13" t="n">
        <v>103</v>
      </c>
      <c r="CC320" s="13" t="n">
        <v>126</v>
      </c>
      <c r="CD320" s="13" t="n">
        <v>17.5</v>
      </c>
      <c r="CE320" s="13" t="n">
        <v>1898</v>
      </c>
      <c r="CF320" s="13" t="n">
        <v>1.07</v>
      </c>
      <c r="CG320" s="13" t="n">
        <v>2026</v>
      </c>
      <c r="CH320" s="13" t="n">
        <v>220</v>
      </c>
      <c r="CI320" s="13" t="n">
        <v>108</v>
      </c>
      <c r="CJ320" s="13" t="n">
        <v>64</v>
      </c>
      <c r="CK320" s="13" t="n">
        <v>307</v>
      </c>
      <c r="CL320" s="13" t="n">
        <v>42</v>
      </c>
      <c r="CM320" s="13" t="n">
        <v>248</v>
      </c>
      <c r="CN320" s="13" t="n">
        <v>0.645</v>
      </c>
      <c r="CO320" s="13" t="n">
        <v>155</v>
      </c>
      <c r="CP320" s="13" t="n">
        <v>154</v>
      </c>
      <c r="CQ320" s="13" t="n">
        <v>152</v>
      </c>
      <c r="CR320" s="13" t="n">
        <v>6</v>
      </c>
      <c r="CS320" s="13" t="n">
        <v>8.699999999999999</v>
      </c>
      <c r="CT320" s="11" t="inlineStr">
        <is>
          <t xml:space="preserve"> Resort Freeride</t>
        </is>
      </c>
      <c r="CU320" s="11" t="inlineStr">
        <is>
          <t xml:space="preserve"> Powder</t>
        </is>
      </c>
      <c r="CV320" s="11" t="inlineStr">
        <is>
          <t xml:space="preserve"> Touring</t>
        </is>
      </c>
      <c r="CW320" s="13" t="n"/>
      <c r="CX320">
        <f>INDEX('Data_Price '!AG$2:AG$1266,MATCH(Data!$DN320,'Data_Price '!$AT$2:$AT$1266,0))</f>
        <v/>
      </c>
      <c r="CY320">
        <f>INDEX('Data_Price '!AH$2:AH$1266,MATCH(Data!$DN320,'Data_Price '!$AT$2:$AT$1266,0))</f>
        <v/>
      </c>
      <c r="CZ320">
        <f>INDEX('Data_Price '!AI$2:AI$1266,MATCH(Data!$DN320,'Data_Price '!$AT$2:$AT$1266,0))</f>
        <v/>
      </c>
      <c r="DA320">
        <f>INDEX('Data_Price '!AJ$2:AJ$1266,MATCH(Data!$DN320,'Data_Price '!$AT$2:$AT$1266,0))</f>
        <v/>
      </c>
      <c r="DB320">
        <f>INDEX('Data_Price '!AK$2:AK$1266,MATCH(Data!$DN320,'Data_Price '!$AT$2:$AT$1266,0))</f>
        <v/>
      </c>
      <c r="DC320">
        <f>INDEX('Data_Price '!AL$2:AL$1266,MATCH(Data!$DN320,'Data_Price '!$AT$2:$AT$1266,0))</f>
        <v/>
      </c>
      <c r="DD320">
        <f>INDEX('Data_Price '!AM$2:AM$1266,MATCH(Data!$DN320,'Data_Price '!$AT$2:$AT$1266,0))</f>
        <v/>
      </c>
      <c r="DE320">
        <f>INDEX('Data_Price '!AN$2:AN$1266,MATCH(Data!$DN320,'Data_Price '!$AT$2:$AT$1266,0))</f>
        <v/>
      </c>
      <c r="DF320">
        <f>INDEX('Data_Price '!AO$2:AO$1266,MATCH(Data!$DN320,'Data_Price '!$AT$2:$AT$1266,0))</f>
        <v/>
      </c>
      <c r="DG320">
        <f>INDEX('Data_Price '!AP$2:AP$1266,MATCH(Data!$DN320,'Data_Price '!$AT$2:$AT$1266,0))</f>
        <v/>
      </c>
      <c r="DH320">
        <f>INDEX('Data_Price '!AQ$2:AQ$1266,MATCH(Data!$DN320,'Data_Price '!$AT$2:$AT$1266,0))</f>
        <v/>
      </c>
      <c r="DI320">
        <f>INDEX('Data_Price '!AR$2:AR$1266,MATCH(Data!$DN320,'Data_Price '!$AT$2:$AT$1266,0))</f>
        <v/>
      </c>
      <c r="DJ320" s="138">
        <f>DA320</f>
        <v/>
      </c>
      <c r="DK320" s="138">
        <f>DE320</f>
        <v/>
      </c>
      <c r="DL320" s="138">
        <f>DI320</f>
        <v/>
      </c>
      <c r="DM320" s="303">
        <f>IF(LEFT(BT320,1)=" ",RIGHT(BT320,LEN(BT320)-1),BT320)</f>
        <v/>
      </c>
      <c r="DN320" s="138">
        <f>_xlfn.CONCAT(BS320,DM320,BU320,BV320)</f>
        <v/>
      </c>
      <c r="DO320" s="307" t="inlineStr">
        <is>
          <t>https://images.evo.com/imgp/250/198263/792326/nordica-santa-ana-104-free-skis-women-s-2022-.jpg</t>
        </is>
      </c>
    </row>
    <row r="321" ht="15.6" customHeight="1" s="184">
      <c r="B321" s="303">
        <f t="array" ref="B321">IF(OR(ISERROR(K321:P321)),FALSE,TRUE)</f>
        <v/>
      </c>
      <c r="C321" s="60">
        <f>OR(BR321=Driver!$G$50,Data!BR856=Driver!$H$50)</f>
        <v/>
      </c>
      <c r="D321" s="60">
        <f>OR(BV321=Driver!$G$51,BV321=Driver!$H$51)</f>
        <v/>
      </c>
      <c r="E321" s="60">
        <f>AND(BX321&gt;Driver!$F$54,BX321&lt;Driver!$G$54)</f>
        <v/>
      </c>
      <c r="F321" s="60">
        <f>CL321&gt;Driver!$F$56</f>
        <v/>
      </c>
      <c r="G321" s="60">
        <f>AND(CB321&gt;Driver!$F$55,CB321&lt;Driver!$G$55)</f>
        <v/>
      </c>
      <c r="H321" s="60">
        <f>AND(B321:G321)</f>
        <v/>
      </c>
      <c r="I321" s="60">
        <f>COUNTIFS($H$9:$H$1273,TRUE,$BT$9:$BT$1273,BT321)</f>
        <v/>
      </c>
      <c r="J321" s="60">
        <f t="array" ref="J321">NOT(OR(($H$9:$H$1273=TRUE)*($I$9:$I$1273&gt;0)*($BT$9:$BT$1273=BT321)*($K$9:$K$1273&gt;K321)))</f>
        <v/>
      </c>
      <c r="K321" s="108">
        <f>IFERROR(1-AVERAGE(X321:Y321),"")</f>
        <v/>
      </c>
      <c r="L321" s="108">
        <f>1-X321</f>
        <v/>
      </c>
      <c r="M321" s="108">
        <f>1-Y321</f>
        <v/>
      </c>
      <c r="N321" s="108">
        <f>1-Z321</f>
        <v/>
      </c>
      <c r="O321" s="108">
        <f>1-AA321</f>
        <v/>
      </c>
      <c r="P321" s="108">
        <f>1-AB321</f>
        <v/>
      </c>
      <c r="Q321" s="108" t="n"/>
      <c r="R321" s="108" t="n"/>
      <c r="S321" s="108">
        <f>1-AE321</f>
        <v/>
      </c>
      <c r="T321" s="108">
        <f>1-AF321</f>
        <v/>
      </c>
      <c r="U321" s="108">
        <f>1-AG321</f>
        <v/>
      </c>
      <c r="V321" s="108">
        <f>1-AH321</f>
        <v/>
      </c>
      <c r="W321" s="108">
        <f>1-AI321</f>
        <v/>
      </c>
      <c r="X321" s="108">
        <f>ABS(AJ321-AJ$1)</f>
        <v/>
      </c>
      <c r="Y321" s="108">
        <f>AVERAGE(Z321:AB321)</f>
        <v/>
      </c>
      <c r="Z321" s="108">
        <f>ABS(AL321-AL$1)</f>
        <v/>
      </c>
      <c r="AA321" s="108">
        <f>ABS(AM321-AM$1)</f>
        <v/>
      </c>
      <c r="AB321" s="108">
        <f>ABS(AN321-AN$1)</f>
        <v/>
      </c>
      <c r="AC321" s="108" t="n"/>
      <c r="AD321" s="108" t="n"/>
      <c r="AE321" s="108">
        <f>ABS(AQ$1-AQ321)</f>
        <v/>
      </c>
      <c r="AF321" s="108">
        <f>ABS(AR$1-AR321)</f>
        <v/>
      </c>
      <c r="AG321" s="108">
        <f>ABS(AS$1-AS321)</f>
        <v/>
      </c>
      <c r="AH321" s="108">
        <f>ABS(AT$1-AT321)</f>
        <v/>
      </c>
      <c r="AI321" s="108">
        <f>ABS(AU$1-AU321)</f>
        <v/>
      </c>
      <c r="AJ321" s="108">
        <f>(AV321-Driver!$K$179)/(Driver!$L$179-Driver!$K$179)</f>
        <v/>
      </c>
      <c r="AK321" s="108">
        <f>(AW321-Driver!$K$180)/(Driver!$L$180-Driver!$K$180)</f>
        <v/>
      </c>
      <c r="AL321" s="108">
        <f>(AX321-Driver!$K$181)/(Driver!$L$181-Driver!$K$181)</f>
        <v/>
      </c>
      <c r="AM321" s="108">
        <f>(AY321-Driver!$K$182)/(Driver!$L$182-Driver!$K$182)</f>
        <v/>
      </c>
      <c r="AN321" s="108">
        <f>(AZ321-Driver!$K$183)/(Driver!$L$183-Driver!$K$183)</f>
        <v/>
      </c>
      <c r="AO321" s="108" t="n"/>
      <c r="AP321" s="108" t="n"/>
      <c r="AQ321" s="108">
        <f>(BC321-Driver!$K$188)/(Driver!$L$188-Driver!$K$188)</f>
        <v/>
      </c>
      <c r="AR321" s="108">
        <f>MIN((BD321-Driver!$K$189)/(Driver!$L$189-Driver!$K$189),100%)</f>
        <v/>
      </c>
      <c r="AS321" s="108">
        <f>(BE321-Driver!$K$190)/(Driver!$L$190-Driver!$K$190)</f>
        <v/>
      </c>
      <c r="AT321" s="108">
        <f>(BF321-Driver!$K$191)/(Driver!$L$191-Driver!$K$191)</f>
        <v/>
      </c>
      <c r="AU321" s="108">
        <f>(BG321-Driver!$K$192)/(Driver!$L$192-Driver!$K$192)</f>
        <v/>
      </c>
      <c r="AV321" s="105">
        <f>IFERROR(BM321*BJ321^1/4,"")</f>
        <v/>
      </c>
      <c r="AW321" s="105">
        <f>IFERROR(SUM(AX321:AZ321),"")</f>
        <v/>
      </c>
      <c r="AX321" s="105">
        <f>IFERROR(BH321,"")</f>
        <v/>
      </c>
      <c r="AY321" s="105">
        <f>IFERROR(Driver!$K$19/Data!BH321/Data!BI321*Data!BK321*Data!BL321,"")</f>
        <v/>
      </c>
      <c r="AZ321" s="105">
        <f>IFERROR(BI321*BN321,"")</f>
        <v/>
      </c>
      <c r="BA321" s="105" t="n"/>
      <c r="BB321" s="105" t="n"/>
      <c r="BC321" s="105">
        <f>IFERROR(BI321*BN321*BK321/BJ321^(1/2),"")</f>
        <v/>
      </c>
      <c r="BD321" s="105">
        <f>IFERROR(BH321*BM321*BL321/BJ321/BK321,"")</f>
        <v/>
      </c>
      <c r="BE321" s="105">
        <f>IFERROR(MIN(BI321/BQ321/BP321/BO321/BH321,$BE$1),"")</f>
        <v/>
      </c>
      <c r="BF321" s="105">
        <f>IFERROR(BJ321*BO321*BP321/BK321,"")</f>
        <v/>
      </c>
      <c r="BG321" s="105">
        <f>IFERROR(1/BM321/BH321*BQ321,"")</f>
        <v/>
      </c>
      <c r="BH321" s="102">
        <f>MAX((CE321-Driver!$F$200)/(Driver!$G$200-Driver!$F$200)*$BI$1,1)</f>
        <v/>
      </c>
      <c r="BI321" s="102">
        <f>MAX($BI$1*(BY321-Driver!$F$201)/(Driver!$G$201-Driver!$F$201),1)</f>
        <v/>
      </c>
      <c r="BJ321" s="102">
        <f>(CB321-Driver!$F$206)/(Driver!$G$206-Driver!$F$206)*$BI$1</f>
        <v/>
      </c>
      <c r="BK321" s="102">
        <f>(CD321-Driver!$F$203)/(Driver!$G$203-Driver!$F$203)*$BI$1</f>
        <v/>
      </c>
      <c r="BL321" s="102">
        <f>MAX((CR321-Driver!$F$202)/(Driver!$G$202-Driver!$F$202)*$BI$1,1)</f>
        <v/>
      </c>
      <c r="BM321" s="102">
        <f>MAX((CH321-Driver!$F$204)/(Driver!$G$204-Driver!$F$204)*$BI$1,1)</f>
        <v/>
      </c>
      <c r="BN321" s="102">
        <f>(CI321-Driver!$F$205)/(Driver!$G$205-Driver!$F$205)*$BI$1</f>
        <v/>
      </c>
      <c r="BO321" s="102">
        <f>(CK321-Driver!$F$207)/(Driver!$G$207-Driver!$F$207)*$BI$1</f>
        <v/>
      </c>
      <c r="BP321" s="102">
        <f>(CM321-Driver!$F$208)/(Driver!$G$208-Driver!$F$208)*$BI$1</f>
        <v/>
      </c>
      <c r="BQ321" s="102">
        <f>(CL321-Driver!$F$209)/(Driver!$G$209-Driver!$F$209)*$BI$1</f>
        <v/>
      </c>
      <c r="BR321" s="40" t="inlineStr">
        <is>
          <t>21/22</t>
        </is>
      </c>
      <c r="BS321" s="10" t="inlineStr">
        <is>
          <t xml:space="preserve"> Line</t>
        </is>
      </c>
      <c r="BT321" s="11" t="inlineStr">
        <is>
          <t xml:space="preserve"> Pescado</t>
        </is>
      </c>
      <c r="BU321" s="13" t="n">
        <v>180</v>
      </c>
      <c r="BV321" s="11" t="inlineStr">
        <is>
          <t xml:space="preserve"> Unisex</t>
        </is>
      </c>
      <c r="BW321" s="13" t="n">
        <v>180</v>
      </c>
      <c r="BX321" s="13" t="n">
        <v>178.7</v>
      </c>
      <c r="BY321" s="13" t="n">
        <v>128</v>
      </c>
      <c r="BZ321" s="13" t="n">
        <v>145</v>
      </c>
      <c r="CA321" s="13" t="n">
        <v>158</v>
      </c>
      <c r="CB321" s="13" t="n">
        <v>124</v>
      </c>
      <c r="CC321" s="13" t="n">
        <v>144</v>
      </c>
      <c r="CD321" s="13" t="n">
        <v>18.4</v>
      </c>
      <c r="CE321" s="13" t="n">
        <v>1828</v>
      </c>
      <c r="CF321" s="13" t="n">
        <v>1.3</v>
      </c>
      <c r="CG321" s="13" t="n">
        <v>2380</v>
      </c>
      <c r="CH321" s="13" t="n">
        <v>156</v>
      </c>
      <c r="CI321" s="13" t="n">
        <v>87</v>
      </c>
      <c r="CJ321" s="13" t="n">
        <v>61</v>
      </c>
      <c r="CK321" s="13" t="n">
        <v>374</v>
      </c>
      <c r="CL321" s="13" t="n">
        <v>16</v>
      </c>
      <c r="CM321" s="13" t="n">
        <v>131</v>
      </c>
      <c r="CN321" s="13" t="n">
        <v>0.263</v>
      </c>
      <c r="CO321" s="13" t="n">
        <v>217</v>
      </c>
      <c r="CP321" s="13" t="n">
        <v>119</v>
      </c>
      <c r="CQ321" s="13" t="n">
        <v>157</v>
      </c>
      <c r="CR321" s="13" t="n">
        <v>9</v>
      </c>
      <c r="CS321" s="13" t="n">
        <v>10</v>
      </c>
      <c r="CT321" s="11" t="inlineStr">
        <is>
          <t xml:space="preserve"> Big Mountain</t>
        </is>
      </c>
      <c r="CU321" s="11" t="inlineStr">
        <is>
          <t xml:space="preserve"> Touring</t>
        </is>
      </c>
      <c r="CV321" s="11" t="inlineStr">
        <is>
          <t xml:space="preserve"> Ultralight Touring</t>
        </is>
      </c>
      <c r="CW321" s="13" t="n"/>
      <c r="CX321">
        <f>INDEX('Data_Price '!AG$2:AG$1266,MATCH(Data!$DN321,'Data_Price '!$AT$2:$AT$1266,0))</f>
        <v/>
      </c>
      <c r="CY321">
        <f>INDEX('Data_Price '!AH$2:AH$1266,MATCH(Data!$DN321,'Data_Price '!$AT$2:$AT$1266,0))</f>
        <v/>
      </c>
      <c r="CZ321">
        <f>INDEX('Data_Price '!AI$2:AI$1266,MATCH(Data!$DN321,'Data_Price '!$AT$2:$AT$1266,0))</f>
        <v/>
      </c>
      <c r="DA321">
        <f>INDEX('Data_Price '!AJ$2:AJ$1266,MATCH(Data!$DN321,'Data_Price '!$AT$2:$AT$1266,0))</f>
        <v/>
      </c>
      <c r="DB321">
        <f>INDEX('Data_Price '!AK$2:AK$1266,MATCH(Data!$DN321,'Data_Price '!$AT$2:$AT$1266,0))</f>
        <v/>
      </c>
      <c r="DC321">
        <f>INDEX('Data_Price '!AL$2:AL$1266,MATCH(Data!$DN321,'Data_Price '!$AT$2:$AT$1266,0))</f>
        <v/>
      </c>
      <c r="DD321">
        <f>INDEX('Data_Price '!AM$2:AM$1266,MATCH(Data!$DN321,'Data_Price '!$AT$2:$AT$1266,0))</f>
        <v/>
      </c>
      <c r="DE321">
        <f>INDEX('Data_Price '!AN$2:AN$1266,MATCH(Data!$DN321,'Data_Price '!$AT$2:$AT$1266,0))</f>
        <v/>
      </c>
      <c r="DF321">
        <f>INDEX('Data_Price '!AO$2:AO$1266,MATCH(Data!$DN321,'Data_Price '!$AT$2:$AT$1266,0))</f>
        <v/>
      </c>
      <c r="DG321">
        <f>INDEX('Data_Price '!AP$2:AP$1266,MATCH(Data!$DN321,'Data_Price '!$AT$2:$AT$1266,0))</f>
        <v/>
      </c>
      <c r="DH321">
        <f>INDEX('Data_Price '!AQ$2:AQ$1266,MATCH(Data!$DN321,'Data_Price '!$AT$2:$AT$1266,0))</f>
        <v/>
      </c>
      <c r="DI321">
        <f>INDEX('Data_Price '!AR$2:AR$1266,MATCH(Data!$DN321,'Data_Price '!$AT$2:$AT$1266,0))</f>
        <v/>
      </c>
      <c r="DJ321" s="138">
        <f>DA321</f>
        <v/>
      </c>
      <c r="DK321" s="138">
        <f>DE321</f>
        <v/>
      </c>
      <c r="DL321" s="138">
        <f>DI321</f>
        <v/>
      </c>
      <c r="DM321" s="303">
        <f>IF(LEFT(BT321,1)=" ",RIGHT(BT321,LEN(BT321)-1),BT321)</f>
        <v/>
      </c>
      <c r="DN321" s="138">
        <f>_xlfn.CONCAT(BS321,DM321,BU321,BV321)</f>
        <v/>
      </c>
      <c r="DO321" s="307" t="inlineStr">
        <is>
          <t>https://images.evo.com/imgp/250/198432/817637/line-skis-pescado-skis-2022-.jpg</t>
        </is>
      </c>
    </row>
    <row r="322" ht="15.6" customHeight="1" s="184">
      <c r="B322" s="303">
        <f t="array" ref="B322">IF(OR(ISERROR(K322:P322)),FALSE,TRUE)</f>
        <v/>
      </c>
      <c r="C322" s="60">
        <f>OR(BR322=Driver!$G$50,Data!BR89=Driver!$H$50)</f>
        <v/>
      </c>
      <c r="D322" s="60">
        <f>OR(BV322=Driver!$G$51,BV322=Driver!$H$51)</f>
        <v/>
      </c>
      <c r="E322" s="60">
        <f>AND(BX322&gt;Driver!$F$54,BX322&lt;Driver!$G$54)</f>
        <v/>
      </c>
      <c r="F322" s="60">
        <f>CL322&gt;Driver!$F$56</f>
        <v/>
      </c>
      <c r="G322" s="60">
        <f>AND(CB322&gt;Driver!$F$55,CB322&lt;Driver!$G$55)</f>
        <v/>
      </c>
      <c r="H322" s="60">
        <f>AND(B322:G322)</f>
        <v/>
      </c>
      <c r="I322" s="60">
        <f>COUNTIFS($H$9:$H$1273,TRUE,$BT$9:$BT$1273,BT322)</f>
        <v/>
      </c>
      <c r="J322" s="60">
        <f t="array" ref="J322">NOT(OR(($H$9:$H$1273=TRUE)*($I$9:$I$1273&gt;0)*($BT$9:$BT$1273=BT322)*($K$9:$K$1273&gt;K322)))</f>
        <v/>
      </c>
      <c r="K322" s="108">
        <f>IFERROR(1-AVERAGE(X322:Y322),"")</f>
        <v/>
      </c>
      <c r="L322" s="108">
        <f>1-X322</f>
        <v/>
      </c>
      <c r="M322" s="108">
        <f>1-Y322</f>
        <v/>
      </c>
      <c r="N322" s="108">
        <f>1-Z322</f>
        <v/>
      </c>
      <c r="O322" s="108">
        <f>1-AA322</f>
        <v/>
      </c>
      <c r="P322" s="108">
        <f>1-AB322</f>
        <v/>
      </c>
      <c r="Q322" s="108" t="n"/>
      <c r="R322" s="108" t="n"/>
      <c r="S322" s="108">
        <f>1-AE322</f>
        <v/>
      </c>
      <c r="T322" s="108">
        <f>1-AF322</f>
        <v/>
      </c>
      <c r="U322" s="108">
        <f>1-AG322</f>
        <v/>
      </c>
      <c r="V322" s="108">
        <f>1-AH322</f>
        <v/>
      </c>
      <c r="W322" s="108">
        <f>1-AI322</f>
        <v/>
      </c>
      <c r="X322" s="108">
        <f>ABS(AJ322-AJ$1)</f>
        <v/>
      </c>
      <c r="Y322" s="108">
        <f>AVERAGE(Z322:AB322)</f>
        <v/>
      </c>
      <c r="Z322" s="108">
        <f>ABS(AL322-AL$1)</f>
        <v/>
      </c>
      <c r="AA322" s="108">
        <f>ABS(AM322-AM$1)</f>
        <v/>
      </c>
      <c r="AB322" s="108">
        <f>ABS(AN322-AN$1)</f>
        <v/>
      </c>
      <c r="AC322" s="108" t="n"/>
      <c r="AD322" s="108" t="n"/>
      <c r="AE322" s="108">
        <f>ABS(AQ$1-AQ322)</f>
        <v/>
      </c>
      <c r="AF322" s="108">
        <f>ABS(AR$1-AR322)</f>
        <v/>
      </c>
      <c r="AG322" s="108">
        <f>ABS(AS$1-AS322)</f>
        <v/>
      </c>
      <c r="AH322" s="108">
        <f>ABS(AT$1-AT322)</f>
        <v/>
      </c>
      <c r="AI322" s="108">
        <f>ABS(AU$1-AU322)</f>
        <v/>
      </c>
      <c r="AJ322" s="108">
        <f>(AV322-Driver!$K$179)/(Driver!$L$179-Driver!$K$179)</f>
        <v/>
      </c>
      <c r="AK322" s="108">
        <f>(AW322-Driver!$K$180)/(Driver!$L$180-Driver!$K$180)</f>
        <v/>
      </c>
      <c r="AL322" s="108">
        <f>(AX322-Driver!$K$181)/(Driver!$L$181-Driver!$K$181)</f>
        <v/>
      </c>
      <c r="AM322" s="108">
        <f>(AY322-Driver!$K$182)/(Driver!$L$182-Driver!$K$182)</f>
        <v/>
      </c>
      <c r="AN322" s="108">
        <f>(AZ322-Driver!$K$183)/(Driver!$L$183-Driver!$K$183)</f>
        <v/>
      </c>
      <c r="AO322" s="108" t="n"/>
      <c r="AP322" s="108" t="n"/>
      <c r="AQ322" s="108">
        <f>(BC322-Driver!$K$188)/(Driver!$L$188-Driver!$K$188)</f>
        <v/>
      </c>
      <c r="AR322" s="108">
        <f>MIN((BD322-Driver!$K$189)/(Driver!$L$189-Driver!$K$189),100%)</f>
        <v/>
      </c>
      <c r="AS322" s="108">
        <f>(BE322-Driver!$K$190)/(Driver!$L$190-Driver!$K$190)</f>
        <v/>
      </c>
      <c r="AT322" s="108">
        <f>(BF322-Driver!$K$191)/(Driver!$L$191-Driver!$K$191)</f>
        <v/>
      </c>
      <c r="AU322" s="108">
        <f>(BG322-Driver!$K$192)/(Driver!$L$192-Driver!$K$192)</f>
        <v/>
      </c>
      <c r="AV322" s="105">
        <f>IFERROR(BM322*BJ322^1/4,"")</f>
        <v/>
      </c>
      <c r="AW322" s="105">
        <f>IFERROR(SUM(AX322:AZ322),"")</f>
        <v/>
      </c>
      <c r="AX322" s="105">
        <f>IFERROR(BH322,"")</f>
        <v/>
      </c>
      <c r="AY322" s="105">
        <f>IFERROR(Driver!$K$19/Data!BH322/Data!BI322*Data!BK322*Data!BL322,"")</f>
        <v/>
      </c>
      <c r="AZ322" s="105">
        <f>IFERROR(BI322*BN322,"")</f>
        <v/>
      </c>
      <c r="BA322" s="105" t="n"/>
      <c r="BB322" s="105" t="n"/>
      <c r="BC322" s="105">
        <f>IFERROR(BI322*BN322*BK322/BJ322^(1/2),"")</f>
        <v/>
      </c>
      <c r="BD322" s="105">
        <f>IFERROR(BH322*BM322*BL322/BJ322/BK322,"")</f>
        <v/>
      </c>
      <c r="BE322" s="105">
        <f>IFERROR(MIN(BI322/BQ322/BP322/BO322/BH322,$BE$1),"")</f>
        <v/>
      </c>
      <c r="BF322" s="105">
        <f>IFERROR(BJ322*BO322*BP322/BK322,"")</f>
        <v/>
      </c>
      <c r="BG322" s="105">
        <f>IFERROR(1/BM322/BH322*BQ322,"")</f>
        <v/>
      </c>
      <c r="BH322" s="102">
        <f>MAX((CE322-Driver!$F$200)/(Driver!$G$200-Driver!$F$200)*$BI$1,1)</f>
        <v/>
      </c>
      <c r="BI322" s="102">
        <f>MAX($BI$1*(BY322-Driver!$F$201)/(Driver!$G$201-Driver!$F$201),1)</f>
        <v/>
      </c>
      <c r="BJ322" s="102">
        <f>(CB322-Driver!$F$206)/(Driver!$G$206-Driver!$F$206)*$BI$1</f>
        <v/>
      </c>
      <c r="BK322" s="102">
        <f>(CD322-Driver!$F$203)/(Driver!$G$203-Driver!$F$203)*$BI$1</f>
        <v/>
      </c>
      <c r="BL322" s="102">
        <f>MAX((CR322-Driver!$F$202)/(Driver!$G$202-Driver!$F$202)*$BI$1,1)</f>
        <v/>
      </c>
      <c r="BM322" s="102">
        <f>MAX((CH322-Driver!$F$204)/(Driver!$G$204-Driver!$F$204)*$BI$1,1)</f>
        <v/>
      </c>
      <c r="BN322" s="102">
        <f>(CI322-Driver!$F$205)/(Driver!$G$205-Driver!$F$205)*$BI$1</f>
        <v/>
      </c>
      <c r="BO322" s="102">
        <f>(CK322-Driver!$F$207)/(Driver!$G$207-Driver!$F$207)*$BI$1</f>
        <v/>
      </c>
      <c r="BP322" s="102">
        <f>(CM322-Driver!$F$208)/(Driver!$G$208-Driver!$F$208)*$BI$1</f>
        <v/>
      </c>
      <c r="BQ322" s="102">
        <f>(CL322-Driver!$F$209)/(Driver!$G$209-Driver!$F$209)*$BI$1</f>
        <v/>
      </c>
      <c r="BR322" s="40" t="inlineStr">
        <is>
          <t>21/22</t>
        </is>
      </c>
      <c r="BS322" s="10" t="inlineStr">
        <is>
          <t xml:space="preserve"> Armada</t>
        </is>
      </c>
      <c r="BT322" s="11" t="inlineStr">
        <is>
          <t>Reliance 92 Ti</t>
        </is>
      </c>
      <c r="BU322" s="13" t="n">
        <v>156</v>
      </c>
      <c r="BV322" s="11" t="inlineStr">
        <is>
          <t xml:space="preserve"> Women's</t>
        </is>
      </c>
      <c r="BW322" s="13" t="n">
        <v>156</v>
      </c>
      <c r="BX322" s="13" t="n">
        <v>155.6</v>
      </c>
      <c r="BY322" s="13" t="n">
        <v>119</v>
      </c>
      <c r="BZ322" s="13" t="n">
        <v>136</v>
      </c>
      <c r="CA322" s="13" t="n">
        <v>128</v>
      </c>
      <c r="CB322" s="13" t="n">
        <v>91</v>
      </c>
      <c r="CC322" s="13" t="n">
        <v>114</v>
      </c>
      <c r="CD322" s="13" t="n">
        <v>15.5</v>
      </c>
      <c r="CE322" s="13" t="n">
        <v>1492</v>
      </c>
      <c r="CF322" s="13" t="n">
        <v>1.07</v>
      </c>
      <c r="CG322" s="13" t="n">
        <v>1595</v>
      </c>
      <c r="CH322" s="13" t="n">
        <v>169</v>
      </c>
      <c r="CI322" s="13" t="n">
        <v>94</v>
      </c>
      <c r="CJ322" s="13" t="n">
        <v>43</v>
      </c>
      <c r="CK322" s="13" t="n">
        <v>226</v>
      </c>
      <c r="CL322" s="13" t="n">
        <v>17</v>
      </c>
      <c r="CM322" s="13" t="n">
        <v>145</v>
      </c>
      <c r="CN322" s="13" t="n">
        <v>0.386</v>
      </c>
      <c r="CO322" s="13" t="n">
        <v>128</v>
      </c>
      <c r="CP322" s="13" t="n">
        <v>70</v>
      </c>
      <c r="CQ322" s="13" t="n">
        <v>98</v>
      </c>
      <c r="CR322" s="13" t="n">
        <v>6</v>
      </c>
      <c r="CS322" s="13" t="n">
        <v>9.800000000000001</v>
      </c>
      <c r="CT322" s="11" t="inlineStr">
        <is>
          <t xml:space="preserve"> Resort Freeride</t>
        </is>
      </c>
      <c r="CU322" s="11" t="inlineStr">
        <is>
          <t xml:space="preserve"> Touring</t>
        </is>
      </c>
      <c r="CV322" s="13" t="n"/>
      <c r="CW322" s="13" t="n"/>
      <c r="CX322">
        <f>INDEX('Data_Price '!AG$2:AG$1266,MATCH(Data!$DN322,'Data_Price '!$AT$2:$AT$1266,0))</f>
        <v/>
      </c>
      <c r="CY322">
        <f>INDEX('Data_Price '!AH$2:AH$1266,MATCH(Data!$DN322,'Data_Price '!$AT$2:$AT$1266,0))</f>
        <v/>
      </c>
      <c r="CZ322">
        <f>INDEX('Data_Price '!AI$2:AI$1266,MATCH(Data!$DN322,'Data_Price '!$AT$2:$AT$1266,0))</f>
        <v/>
      </c>
      <c r="DA322">
        <f>INDEX('Data_Price '!AJ$2:AJ$1266,MATCH(Data!$DN322,'Data_Price '!$AT$2:$AT$1266,0))</f>
        <v/>
      </c>
      <c r="DB322">
        <f>INDEX('Data_Price '!AK$2:AK$1266,MATCH(Data!$DN322,'Data_Price '!$AT$2:$AT$1266,0))</f>
        <v/>
      </c>
      <c r="DC322">
        <f>INDEX('Data_Price '!AL$2:AL$1266,MATCH(Data!$DN322,'Data_Price '!$AT$2:$AT$1266,0))</f>
        <v/>
      </c>
      <c r="DD322">
        <f>INDEX('Data_Price '!AM$2:AM$1266,MATCH(Data!$DN322,'Data_Price '!$AT$2:$AT$1266,0))</f>
        <v/>
      </c>
      <c r="DE322">
        <f>INDEX('Data_Price '!AN$2:AN$1266,MATCH(Data!$DN322,'Data_Price '!$AT$2:$AT$1266,0))</f>
        <v/>
      </c>
      <c r="DF322">
        <f>INDEX('Data_Price '!AO$2:AO$1266,MATCH(Data!$DN322,'Data_Price '!$AT$2:$AT$1266,0))</f>
        <v/>
      </c>
      <c r="DG322">
        <f>INDEX('Data_Price '!AP$2:AP$1266,MATCH(Data!$DN322,'Data_Price '!$AT$2:$AT$1266,0))</f>
        <v/>
      </c>
      <c r="DH322">
        <f>INDEX('Data_Price '!AQ$2:AQ$1266,MATCH(Data!$DN322,'Data_Price '!$AT$2:$AT$1266,0))</f>
        <v/>
      </c>
      <c r="DI322">
        <f>INDEX('Data_Price '!AR$2:AR$1266,MATCH(Data!$DN322,'Data_Price '!$AT$2:$AT$1266,0))</f>
        <v/>
      </c>
      <c r="DJ322" s="138">
        <f>DA322</f>
        <v/>
      </c>
      <c r="DK322" s="138">
        <f>DE322</f>
        <v/>
      </c>
      <c r="DL322" s="138">
        <f>DI322</f>
        <v/>
      </c>
      <c r="DM322" s="303">
        <f>IF(LEFT(BT322,1)=" ",RIGHT(BT322,LEN(BT322)-1),BT322)</f>
        <v/>
      </c>
      <c r="DN322" s="138">
        <f>_xlfn.CONCAT(BS322,DM322,BU322,BV322)</f>
        <v/>
      </c>
      <c r="DO322" s="307" t="inlineStr">
        <is>
          <t>https://images.evo.com/imgp/250/198722/799804/armada-reliance-92-ti-skis-women-s-2023-.jpg</t>
        </is>
      </c>
    </row>
    <row r="323" ht="15.6" customHeight="1" s="184">
      <c r="B323" s="303">
        <f t="array" ref="B323">IF(OR(ISERROR(K323:P323)),FALSE,TRUE)</f>
        <v/>
      </c>
      <c r="C323" s="60">
        <f>OR(BR323=Driver!$G$50,Data!BR658=Driver!$H$50)</f>
        <v/>
      </c>
      <c r="D323" s="60">
        <f>OR(BV323=Driver!$G$51,BV323=Driver!$H$51)</f>
        <v/>
      </c>
      <c r="E323" s="60">
        <f>AND(BX323&gt;Driver!$F$54,BX323&lt;Driver!$G$54)</f>
        <v/>
      </c>
      <c r="F323" s="60">
        <f>CL323&gt;Driver!$F$56</f>
        <v/>
      </c>
      <c r="G323" s="60">
        <f>AND(CB323&gt;Driver!$F$55,CB323&lt;Driver!$G$55)</f>
        <v/>
      </c>
      <c r="H323" s="60">
        <f>AND(B323:G323)</f>
        <v/>
      </c>
      <c r="I323" s="60">
        <f>COUNTIFS($H$9:$H$1273,TRUE,$BT$9:$BT$1273,BT323)</f>
        <v/>
      </c>
      <c r="J323" s="60">
        <f t="array" ref="J323">NOT(OR(($H$9:$H$1273=TRUE)*($I$9:$I$1273&gt;0)*($BT$9:$BT$1273=BT323)*($K$9:$K$1273&gt;K323)))</f>
        <v/>
      </c>
      <c r="K323" s="108">
        <f>IFERROR(1-AVERAGE(X323:Y323),"")</f>
        <v/>
      </c>
      <c r="L323" s="108">
        <f>1-X323</f>
        <v/>
      </c>
      <c r="M323" s="108">
        <f>1-Y323</f>
        <v/>
      </c>
      <c r="N323" s="108">
        <f>1-Z323</f>
        <v/>
      </c>
      <c r="O323" s="108">
        <f>1-AA323</f>
        <v/>
      </c>
      <c r="P323" s="108">
        <f>1-AB323</f>
        <v/>
      </c>
      <c r="Q323" s="108" t="n"/>
      <c r="R323" s="108" t="n"/>
      <c r="S323" s="108">
        <f>1-AE323</f>
        <v/>
      </c>
      <c r="T323" s="108">
        <f>1-AF323</f>
        <v/>
      </c>
      <c r="U323" s="108">
        <f>1-AG323</f>
        <v/>
      </c>
      <c r="V323" s="108">
        <f>1-AH323</f>
        <v/>
      </c>
      <c r="W323" s="108">
        <f>1-AI323</f>
        <v/>
      </c>
      <c r="X323" s="108">
        <f>ABS(AJ323-AJ$1)</f>
        <v/>
      </c>
      <c r="Y323" s="108">
        <f>AVERAGE(Z323:AB323)</f>
        <v/>
      </c>
      <c r="Z323" s="108">
        <f>ABS(AL323-AL$1)</f>
        <v/>
      </c>
      <c r="AA323" s="108">
        <f>ABS(AM323-AM$1)</f>
        <v/>
      </c>
      <c r="AB323" s="108">
        <f>ABS(AN323-AN$1)</f>
        <v/>
      </c>
      <c r="AC323" s="108" t="n"/>
      <c r="AD323" s="108" t="n"/>
      <c r="AE323" s="108">
        <f>ABS(AQ$1-AQ323)</f>
        <v/>
      </c>
      <c r="AF323" s="108">
        <f>ABS(AR$1-AR323)</f>
        <v/>
      </c>
      <c r="AG323" s="108">
        <f>ABS(AS$1-AS323)</f>
        <v/>
      </c>
      <c r="AH323" s="108">
        <f>ABS(AT$1-AT323)</f>
        <v/>
      </c>
      <c r="AI323" s="108">
        <f>ABS(AU$1-AU323)</f>
        <v/>
      </c>
      <c r="AJ323" s="108">
        <f>(AV323-Driver!$K$179)/(Driver!$L$179-Driver!$K$179)</f>
        <v/>
      </c>
      <c r="AK323" s="108">
        <f>(AW323-Driver!$K$180)/(Driver!$L$180-Driver!$K$180)</f>
        <v/>
      </c>
      <c r="AL323" s="108">
        <f>(AX323-Driver!$K$181)/(Driver!$L$181-Driver!$K$181)</f>
        <v/>
      </c>
      <c r="AM323" s="108">
        <f>(AY323-Driver!$K$182)/(Driver!$L$182-Driver!$K$182)</f>
        <v/>
      </c>
      <c r="AN323" s="108">
        <f>(AZ323-Driver!$K$183)/(Driver!$L$183-Driver!$K$183)</f>
        <v/>
      </c>
      <c r="AO323" s="108" t="n"/>
      <c r="AP323" s="108" t="n"/>
      <c r="AQ323" s="108">
        <f>(BC323-Driver!$K$188)/(Driver!$L$188-Driver!$K$188)</f>
        <v/>
      </c>
      <c r="AR323" s="108">
        <f>MIN((BD323-Driver!$K$189)/(Driver!$L$189-Driver!$K$189),100%)</f>
        <v/>
      </c>
      <c r="AS323" s="108">
        <f>(BE323-Driver!$K$190)/(Driver!$L$190-Driver!$K$190)</f>
        <v/>
      </c>
      <c r="AT323" s="108">
        <f>(BF323-Driver!$K$191)/(Driver!$L$191-Driver!$K$191)</f>
        <v/>
      </c>
      <c r="AU323" s="108">
        <f>(BG323-Driver!$K$192)/(Driver!$L$192-Driver!$K$192)</f>
        <v/>
      </c>
      <c r="AV323" s="105">
        <f>IFERROR(BM323*BJ323^1/4,"")</f>
        <v/>
      </c>
      <c r="AW323" s="105">
        <f>IFERROR(SUM(AX323:AZ323),"")</f>
        <v/>
      </c>
      <c r="AX323" s="105">
        <f>IFERROR(BH323,"")</f>
        <v/>
      </c>
      <c r="AY323" s="105">
        <f>IFERROR(Driver!$K$19/Data!BH323/Data!BI323*Data!BK323*Data!BL323,"")</f>
        <v/>
      </c>
      <c r="AZ323" s="105">
        <f>IFERROR(BI323*BN323,"")</f>
        <v/>
      </c>
      <c r="BA323" s="105" t="n"/>
      <c r="BB323" s="105" t="n"/>
      <c r="BC323" s="105">
        <f>IFERROR(BI323*BN323*BK323/BJ323^(1/2),"")</f>
        <v/>
      </c>
      <c r="BD323" s="105">
        <f>IFERROR(BH323*BM323*BL323/BJ323/BK323,"")</f>
        <v/>
      </c>
      <c r="BE323" s="105">
        <f>IFERROR(MIN(BI323/BQ323/BP323/BO323/BH323,$BE$1),"")</f>
        <v/>
      </c>
      <c r="BF323" s="105">
        <f>IFERROR(BJ323*BO323*BP323/BK323,"")</f>
        <v/>
      </c>
      <c r="BG323" s="105">
        <f>IFERROR(1/BM323/BH323*BQ323,"")</f>
        <v/>
      </c>
      <c r="BH323" s="102">
        <f>MAX((CE323-Driver!$F$200)/(Driver!$G$200-Driver!$F$200)*$BI$1,1)</f>
        <v/>
      </c>
      <c r="BI323" s="102">
        <f>MAX($BI$1*(BY323-Driver!$F$201)/(Driver!$G$201-Driver!$F$201),1)</f>
        <v/>
      </c>
      <c r="BJ323" s="102">
        <f>(CB323-Driver!$F$206)/(Driver!$G$206-Driver!$F$206)*$BI$1</f>
        <v/>
      </c>
      <c r="BK323" s="102">
        <f>(CD323-Driver!$F$203)/(Driver!$G$203-Driver!$F$203)*$BI$1</f>
        <v/>
      </c>
      <c r="BL323" s="102">
        <f>MAX((CR323-Driver!$F$202)/(Driver!$G$202-Driver!$F$202)*$BI$1,1)</f>
        <v/>
      </c>
      <c r="BM323" s="102">
        <f>MAX((CH323-Driver!$F$204)/(Driver!$G$204-Driver!$F$204)*$BI$1,1)</f>
        <v/>
      </c>
      <c r="BN323" s="102">
        <f>(CI323-Driver!$F$205)/(Driver!$G$205-Driver!$F$205)*$BI$1</f>
        <v/>
      </c>
      <c r="BO323" s="102">
        <f>(CK323-Driver!$F$207)/(Driver!$G$207-Driver!$F$207)*$BI$1</f>
        <v/>
      </c>
      <c r="BP323" s="102">
        <f>(CM323-Driver!$F$208)/(Driver!$G$208-Driver!$F$208)*$BI$1</f>
        <v/>
      </c>
      <c r="BQ323" s="102">
        <f>(CL323-Driver!$F$209)/(Driver!$G$209-Driver!$F$209)*$BI$1</f>
        <v/>
      </c>
      <c r="BR323" s="40" t="inlineStr">
        <is>
          <t>21/22</t>
        </is>
      </c>
      <c r="BS323" s="10" t="inlineStr">
        <is>
          <t xml:space="preserve"> Head</t>
        </is>
      </c>
      <c r="BT323" s="11" t="inlineStr">
        <is>
          <t>V-Shape V4 XL</t>
        </is>
      </c>
      <c r="BU323" s="13" t="n">
        <v>170</v>
      </c>
      <c r="BV323" s="11" t="inlineStr">
        <is>
          <t xml:space="preserve"> Unisex</t>
        </is>
      </c>
      <c r="BW323" s="13" t="n">
        <v>170</v>
      </c>
      <c r="BX323" s="13" t="n">
        <v>169.4</v>
      </c>
      <c r="BY323" s="13" t="n">
        <v>150</v>
      </c>
      <c r="BZ323" s="13" t="n">
        <v>156</v>
      </c>
      <c r="CA323" s="13" t="n">
        <v>133</v>
      </c>
      <c r="CB323" s="13" t="n">
        <v>82</v>
      </c>
      <c r="CC323" s="13" t="n">
        <v>114</v>
      </c>
      <c r="CD323" s="13" t="n">
        <v>14.5</v>
      </c>
      <c r="CE323" s="13" t="n">
        <v>2000</v>
      </c>
      <c r="CF323" s="13" t="n">
        <v>0.82</v>
      </c>
      <c r="CG323" s="13" t="n">
        <v>1647</v>
      </c>
      <c r="CH323" s="13" t="n">
        <v>180</v>
      </c>
      <c r="CI323" s="13" t="n">
        <v>91</v>
      </c>
      <c r="CJ323" s="13" t="n">
        <v>33</v>
      </c>
      <c r="CK323" s="13" t="n">
        <v>138</v>
      </c>
      <c r="CL323" s="13" t="n">
        <v>7</v>
      </c>
      <c r="CM323" s="13" t="n">
        <v>58</v>
      </c>
      <c r="CN323" s="13" t="n">
        <v>0.21</v>
      </c>
      <c r="CO323" s="13" t="n">
        <v>83</v>
      </c>
      <c r="CP323" s="13" t="n">
        <v>55</v>
      </c>
      <c r="CQ323" s="13" t="n">
        <v>55</v>
      </c>
      <c r="CR323" s="13" t="n">
        <v>14</v>
      </c>
      <c r="CS323" s="13" t="n">
        <v>13.4</v>
      </c>
      <c r="CT323" s="11" t="inlineStr">
        <is>
          <t xml:space="preserve"> On-Piste Carving</t>
        </is>
      </c>
      <c r="CU323" s="11" t="inlineStr">
        <is>
          <t xml:space="preserve"> Resort Freeride</t>
        </is>
      </c>
      <c r="CV323" s="13" t="n"/>
      <c r="CW323" s="13" t="n"/>
      <c r="CX323">
        <f>INDEX('Data_Price '!AG$2:AG$1266,MATCH(Data!$DN323,'Data_Price '!$AT$2:$AT$1266,0))</f>
        <v/>
      </c>
      <c r="CY323">
        <f>INDEX('Data_Price '!AH$2:AH$1266,MATCH(Data!$DN323,'Data_Price '!$AT$2:$AT$1266,0))</f>
        <v/>
      </c>
      <c r="CZ323">
        <f>INDEX('Data_Price '!AI$2:AI$1266,MATCH(Data!$DN323,'Data_Price '!$AT$2:$AT$1266,0))</f>
        <v/>
      </c>
      <c r="DA323">
        <f>INDEX('Data_Price '!AJ$2:AJ$1266,MATCH(Data!$DN323,'Data_Price '!$AT$2:$AT$1266,0))</f>
        <v/>
      </c>
      <c r="DB323">
        <f>INDEX('Data_Price '!AK$2:AK$1266,MATCH(Data!$DN323,'Data_Price '!$AT$2:$AT$1266,0))</f>
        <v/>
      </c>
      <c r="DC323">
        <f>INDEX('Data_Price '!AL$2:AL$1266,MATCH(Data!$DN323,'Data_Price '!$AT$2:$AT$1266,0))</f>
        <v/>
      </c>
      <c r="DD323">
        <f>INDEX('Data_Price '!AM$2:AM$1266,MATCH(Data!$DN323,'Data_Price '!$AT$2:$AT$1266,0))</f>
        <v/>
      </c>
      <c r="DE323">
        <f>INDEX('Data_Price '!AN$2:AN$1266,MATCH(Data!$DN323,'Data_Price '!$AT$2:$AT$1266,0))</f>
        <v/>
      </c>
      <c r="DF323">
        <f>INDEX('Data_Price '!AO$2:AO$1266,MATCH(Data!$DN323,'Data_Price '!$AT$2:$AT$1266,0))</f>
        <v/>
      </c>
      <c r="DG323">
        <f>INDEX('Data_Price '!AP$2:AP$1266,MATCH(Data!$DN323,'Data_Price '!$AT$2:$AT$1266,0))</f>
        <v/>
      </c>
      <c r="DH323">
        <f>INDEX('Data_Price '!AQ$2:AQ$1266,MATCH(Data!$DN323,'Data_Price '!$AT$2:$AT$1266,0))</f>
        <v/>
      </c>
      <c r="DI323">
        <f>INDEX('Data_Price '!AR$2:AR$1266,MATCH(Data!$DN323,'Data_Price '!$AT$2:$AT$1266,0))</f>
        <v/>
      </c>
      <c r="DJ323" s="138">
        <f>DA323</f>
        <v/>
      </c>
      <c r="DK323" s="138">
        <f>DE323</f>
        <v/>
      </c>
      <c r="DL323" s="138">
        <f>DI323</f>
        <v/>
      </c>
      <c r="DM323" s="303">
        <f>IF(LEFT(BT323,1)=" ",RIGHT(BT323,LEN(BT323)-1),BT323)</f>
        <v/>
      </c>
      <c r="DN323" s="138">
        <f>_xlfn.CONCAT(BS323,DM323,BU323,BV323)</f>
        <v/>
      </c>
      <c r="DO323" s="307" t="n"/>
    </row>
    <row r="324" ht="15.6" customHeight="1" s="184">
      <c r="B324" s="303">
        <f t="array" ref="B324">IF(OR(ISERROR(K324:P324)),FALSE,TRUE)</f>
        <v/>
      </c>
      <c r="C324" s="60">
        <f>OR(BR324=Driver!$G$50,Data!BR878=Driver!$H$50)</f>
        <v/>
      </c>
      <c r="D324" s="60">
        <f>OR(BV324=Driver!$G$51,BV324=Driver!$H$51)</f>
        <v/>
      </c>
      <c r="E324" s="60">
        <f>AND(BX324&gt;Driver!$F$54,BX324&lt;Driver!$G$54)</f>
        <v/>
      </c>
      <c r="F324" s="60">
        <f>CL324&gt;Driver!$F$56</f>
        <v/>
      </c>
      <c r="G324" s="60">
        <f>AND(CB324&gt;Driver!$F$55,CB324&lt;Driver!$G$55)</f>
        <v/>
      </c>
      <c r="H324" s="60">
        <f>AND(B324:G324)</f>
        <v/>
      </c>
      <c r="I324" s="60">
        <f>COUNTIFS($H$9:$H$1273,TRUE,$BT$9:$BT$1273,BT324)</f>
        <v/>
      </c>
      <c r="J324" s="60">
        <f t="array" ref="J324">NOT(OR(($H$9:$H$1273=TRUE)*($I$9:$I$1273&gt;0)*($BT$9:$BT$1273=BT324)*($K$9:$K$1273&gt;K324)))</f>
        <v/>
      </c>
      <c r="K324" s="108">
        <f>IFERROR(1-AVERAGE(X324:Y324),"")</f>
        <v/>
      </c>
      <c r="L324" s="108">
        <f>1-X324</f>
        <v/>
      </c>
      <c r="M324" s="108">
        <f>1-Y324</f>
        <v/>
      </c>
      <c r="N324" s="108">
        <f>1-Z324</f>
        <v/>
      </c>
      <c r="O324" s="108">
        <f>1-AA324</f>
        <v/>
      </c>
      <c r="P324" s="108">
        <f>1-AB324</f>
        <v/>
      </c>
      <c r="Q324" s="108" t="n"/>
      <c r="R324" s="108" t="n"/>
      <c r="S324" s="108">
        <f>1-AE324</f>
        <v/>
      </c>
      <c r="T324" s="108">
        <f>1-AF324</f>
        <v/>
      </c>
      <c r="U324" s="108">
        <f>1-AG324</f>
        <v/>
      </c>
      <c r="V324" s="108">
        <f>1-AH324</f>
        <v/>
      </c>
      <c r="W324" s="108">
        <f>1-AI324</f>
        <v/>
      </c>
      <c r="X324" s="108">
        <f>ABS(AJ324-AJ$1)</f>
        <v/>
      </c>
      <c r="Y324" s="108">
        <f>AVERAGE(Z324:AB324)</f>
        <v/>
      </c>
      <c r="Z324" s="108">
        <f>ABS(AL324-AL$1)</f>
        <v/>
      </c>
      <c r="AA324" s="108">
        <f>ABS(AM324-AM$1)</f>
        <v/>
      </c>
      <c r="AB324" s="108">
        <f>ABS(AN324-AN$1)</f>
        <v/>
      </c>
      <c r="AC324" s="108" t="n"/>
      <c r="AD324" s="108" t="n"/>
      <c r="AE324" s="108">
        <f>ABS(AQ$1-AQ324)</f>
        <v/>
      </c>
      <c r="AF324" s="108">
        <f>ABS(AR$1-AR324)</f>
        <v/>
      </c>
      <c r="AG324" s="108">
        <f>ABS(AS$1-AS324)</f>
        <v/>
      </c>
      <c r="AH324" s="108">
        <f>ABS(AT$1-AT324)</f>
        <v/>
      </c>
      <c r="AI324" s="108">
        <f>ABS(AU$1-AU324)</f>
        <v/>
      </c>
      <c r="AJ324" s="108">
        <f>(AV324-Driver!$K$179)/(Driver!$L$179-Driver!$K$179)</f>
        <v/>
      </c>
      <c r="AK324" s="108">
        <f>(AW324-Driver!$K$180)/(Driver!$L$180-Driver!$K$180)</f>
        <v/>
      </c>
      <c r="AL324" s="108">
        <f>(AX324-Driver!$K$181)/(Driver!$L$181-Driver!$K$181)</f>
        <v/>
      </c>
      <c r="AM324" s="108">
        <f>(AY324-Driver!$K$182)/(Driver!$L$182-Driver!$K$182)</f>
        <v/>
      </c>
      <c r="AN324" s="108">
        <f>(AZ324-Driver!$K$183)/(Driver!$L$183-Driver!$K$183)</f>
        <v/>
      </c>
      <c r="AO324" s="108" t="n"/>
      <c r="AP324" s="108" t="n"/>
      <c r="AQ324" s="108">
        <f>(BC324-Driver!$K$188)/(Driver!$L$188-Driver!$K$188)</f>
        <v/>
      </c>
      <c r="AR324" s="108">
        <f>MIN((BD324-Driver!$K$189)/(Driver!$L$189-Driver!$K$189),100%)</f>
        <v/>
      </c>
      <c r="AS324" s="108">
        <f>(BE324-Driver!$K$190)/(Driver!$L$190-Driver!$K$190)</f>
        <v/>
      </c>
      <c r="AT324" s="108">
        <f>(BF324-Driver!$K$191)/(Driver!$L$191-Driver!$K$191)</f>
        <v/>
      </c>
      <c r="AU324" s="108">
        <f>(BG324-Driver!$K$192)/(Driver!$L$192-Driver!$K$192)</f>
        <v/>
      </c>
      <c r="AV324" s="105">
        <f>IFERROR(BM324*BJ324^1/4,"")</f>
        <v/>
      </c>
      <c r="AW324" s="105">
        <f>IFERROR(SUM(AX324:AZ324),"")</f>
        <v/>
      </c>
      <c r="AX324" s="105">
        <f>IFERROR(BH324,"")</f>
        <v/>
      </c>
      <c r="AY324" s="105">
        <f>IFERROR(Driver!$K$19/Data!BH324/Data!BI324*Data!BK324*Data!BL324,"")</f>
        <v/>
      </c>
      <c r="AZ324" s="105">
        <f>IFERROR(BI324*BN324,"")</f>
        <v/>
      </c>
      <c r="BA324" s="105" t="n"/>
      <c r="BB324" s="105" t="n"/>
      <c r="BC324" s="105">
        <f>IFERROR(BI324*BN324*BK324/BJ324^(1/2),"")</f>
        <v/>
      </c>
      <c r="BD324" s="105">
        <f>IFERROR(BH324*BM324*BL324/BJ324/BK324,"")</f>
        <v/>
      </c>
      <c r="BE324" s="105">
        <f>IFERROR(MIN(BI324/BQ324/BP324/BO324/BH324,$BE$1),"")</f>
        <v/>
      </c>
      <c r="BF324" s="105">
        <f>IFERROR(BJ324*BO324*BP324/BK324,"")</f>
        <v/>
      </c>
      <c r="BG324" s="105">
        <f>IFERROR(1/BM324/BH324*BQ324,"")</f>
        <v/>
      </c>
      <c r="BH324" s="102">
        <f>MAX((CE324-Driver!$F$200)/(Driver!$G$200-Driver!$F$200)*$BI$1,1)</f>
        <v/>
      </c>
      <c r="BI324" s="102">
        <f>MAX($BI$1*(BY324-Driver!$F$201)/(Driver!$G$201-Driver!$F$201),1)</f>
        <v/>
      </c>
      <c r="BJ324" s="102">
        <f>(CB324-Driver!$F$206)/(Driver!$G$206-Driver!$F$206)*$BI$1</f>
        <v/>
      </c>
      <c r="BK324" s="102">
        <f>(CD324-Driver!$F$203)/(Driver!$G$203-Driver!$F$203)*$BI$1</f>
        <v/>
      </c>
      <c r="BL324" s="102">
        <f>MAX((CR324-Driver!$F$202)/(Driver!$G$202-Driver!$F$202)*$BI$1,1)</f>
        <v/>
      </c>
      <c r="BM324" s="102">
        <f>MAX((CH324-Driver!$F$204)/(Driver!$G$204-Driver!$F$204)*$BI$1,1)</f>
        <v/>
      </c>
      <c r="BN324" s="102">
        <f>(CI324-Driver!$F$205)/(Driver!$G$205-Driver!$F$205)*$BI$1</f>
        <v/>
      </c>
      <c r="BO324" s="102">
        <f>(CK324-Driver!$F$207)/(Driver!$G$207-Driver!$F$207)*$BI$1</f>
        <v/>
      </c>
      <c r="BP324" s="102">
        <f>(CM324-Driver!$F$208)/(Driver!$G$208-Driver!$F$208)*$BI$1</f>
        <v/>
      </c>
      <c r="BQ324" s="102">
        <f>(CL324-Driver!$F$209)/(Driver!$G$209-Driver!$F$209)*$BI$1</f>
        <v/>
      </c>
      <c r="BR324" s="40" t="inlineStr">
        <is>
          <t>21/22</t>
        </is>
      </c>
      <c r="BS324" s="10" t="inlineStr">
        <is>
          <t xml:space="preserve"> Line</t>
        </is>
      </c>
      <c r="BT324" s="11" t="inlineStr">
        <is>
          <t>Vision 118</t>
        </is>
      </c>
      <c r="BU324" s="13" t="n">
        <v>175</v>
      </c>
      <c r="BV324" s="11" t="inlineStr">
        <is>
          <t xml:space="preserve"> Unisex</t>
        </is>
      </c>
      <c r="BW324" s="13" t="n">
        <v>175</v>
      </c>
      <c r="BX324" s="13" t="n">
        <v>175.3</v>
      </c>
      <c r="BY324" s="13" t="n">
        <v>85</v>
      </c>
      <c r="BZ324" s="13" t="n">
        <v>140</v>
      </c>
      <c r="CA324" s="13" t="n">
        <v>151</v>
      </c>
      <c r="CB324" s="13" t="n">
        <v>117</v>
      </c>
      <c r="CC324" s="13" t="n">
        <v>137</v>
      </c>
      <c r="CD324" s="13" t="n">
        <v>17.2</v>
      </c>
      <c r="CE324" s="13" t="n">
        <v>1758</v>
      </c>
      <c r="CF324" s="13" t="n">
        <v>1.26</v>
      </c>
      <c r="CG324" s="13" t="n">
        <v>2223</v>
      </c>
      <c r="CH324" s="13" t="n">
        <v>175</v>
      </c>
      <c r="CI324" s="13" t="n">
        <v>92</v>
      </c>
      <c r="CJ324" s="13" t="n">
        <v>52</v>
      </c>
      <c r="CK324" s="13" t="n">
        <v>495</v>
      </c>
      <c r="CL324" s="13" t="n">
        <v>34</v>
      </c>
      <c r="CM324" s="13" t="n">
        <v>411</v>
      </c>
      <c r="CN324" s="13" t="n">
        <v>0.639</v>
      </c>
      <c r="CO324" s="13" t="n">
        <v>180</v>
      </c>
      <c r="CP324" s="13" t="n">
        <v>177</v>
      </c>
      <c r="CQ324" s="13" t="n">
        <v>315</v>
      </c>
      <c r="CR324" s="13" t="n">
        <v>3</v>
      </c>
      <c r="CS324" s="13" t="n">
        <v>6.7</v>
      </c>
      <c r="CT324" s="11" t="inlineStr">
        <is>
          <t xml:space="preserve"> Powder</t>
        </is>
      </c>
      <c r="CU324" s="11" t="inlineStr">
        <is>
          <t xml:space="preserve"> Touring</t>
        </is>
      </c>
      <c r="CV324" s="11" t="inlineStr">
        <is>
          <t xml:space="preserve"> Ultralight Touring</t>
        </is>
      </c>
      <c r="CW324" s="13" t="n"/>
      <c r="CX324">
        <f>INDEX('Data_Price '!AG$2:AG$1266,MATCH(Data!$DN324,'Data_Price '!$AT$2:$AT$1266,0))</f>
        <v/>
      </c>
      <c r="CY324">
        <f>INDEX('Data_Price '!AH$2:AH$1266,MATCH(Data!$DN324,'Data_Price '!$AT$2:$AT$1266,0))</f>
        <v/>
      </c>
      <c r="CZ324">
        <f>INDEX('Data_Price '!AI$2:AI$1266,MATCH(Data!$DN324,'Data_Price '!$AT$2:$AT$1266,0))</f>
        <v/>
      </c>
      <c r="DA324">
        <f>INDEX('Data_Price '!AJ$2:AJ$1266,MATCH(Data!$DN324,'Data_Price '!$AT$2:$AT$1266,0))</f>
        <v/>
      </c>
      <c r="DB324">
        <f>INDEX('Data_Price '!AK$2:AK$1266,MATCH(Data!$DN324,'Data_Price '!$AT$2:$AT$1266,0))</f>
        <v/>
      </c>
      <c r="DC324">
        <f>INDEX('Data_Price '!AL$2:AL$1266,MATCH(Data!$DN324,'Data_Price '!$AT$2:$AT$1266,0))</f>
        <v/>
      </c>
      <c r="DD324">
        <f>INDEX('Data_Price '!AM$2:AM$1266,MATCH(Data!$DN324,'Data_Price '!$AT$2:$AT$1266,0))</f>
        <v/>
      </c>
      <c r="DE324">
        <f>INDEX('Data_Price '!AN$2:AN$1266,MATCH(Data!$DN324,'Data_Price '!$AT$2:$AT$1266,0))</f>
        <v/>
      </c>
      <c r="DF324">
        <f>INDEX('Data_Price '!AO$2:AO$1266,MATCH(Data!$DN324,'Data_Price '!$AT$2:$AT$1266,0))</f>
        <v/>
      </c>
      <c r="DG324">
        <f>INDEX('Data_Price '!AP$2:AP$1266,MATCH(Data!$DN324,'Data_Price '!$AT$2:$AT$1266,0))</f>
        <v/>
      </c>
      <c r="DH324">
        <f>INDEX('Data_Price '!AQ$2:AQ$1266,MATCH(Data!$DN324,'Data_Price '!$AT$2:$AT$1266,0))</f>
        <v/>
      </c>
      <c r="DI324">
        <f>INDEX('Data_Price '!AR$2:AR$1266,MATCH(Data!$DN324,'Data_Price '!$AT$2:$AT$1266,0))</f>
        <v/>
      </c>
      <c r="DJ324" s="138">
        <f>DA324</f>
        <v/>
      </c>
      <c r="DK324" s="138">
        <f>DE324</f>
        <v/>
      </c>
      <c r="DL324" s="138">
        <f>DI324</f>
        <v/>
      </c>
      <c r="DM324" s="303">
        <f>IF(LEFT(BT324,1)=" ",RIGHT(BT324,LEN(BT324)-1),BT324)</f>
        <v/>
      </c>
      <c r="DN324" s="138">
        <f>_xlfn.CONCAT(BS324,DM324,BU324,BV324)</f>
        <v/>
      </c>
      <c r="DO324" s="307" t="inlineStr">
        <is>
          <t>https://images.evo.com/imgp/250/198426/817626/line-skis-vision-118-skis-2022-.jpg</t>
        </is>
      </c>
    </row>
    <row r="325" ht="15.6" customHeight="1" s="184">
      <c r="B325" s="303">
        <f t="array" ref="B325">IF(OR(ISERROR(K325:P325)),FALSE,TRUE)</f>
        <v/>
      </c>
      <c r="C325" s="60">
        <f>OR(BR325=Driver!$G$50,Data!BR1087=Driver!$H$50)</f>
        <v/>
      </c>
      <c r="D325" s="60">
        <f>OR(BV325=Driver!$G$51,BV325=Driver!$H$51)</f>
        <v/>
      </c>
      <c r="E325" s="60">
        <f>AND(BX325&gt;Driver!$F$54,BX325&lt;Driver!$G$54)</f>
        <v/>
      </c>
      <c r="F325" s="60">
        <f>CL325&gt;Driver!$F$56</f>
        <v/>
      </c>
      <c r="G325" s="60">
        <f>AND(CB325&gt;Driver!$F$55,CB325&lt;Driver!$G$55)</f>
        <v/>
      </c>
      <c r="H325" s="60">
        <f>AND(B325:G325)</f>
        <v/>
      </c>
      <c r="I325" s="60">
        <f>COUNTIFS($H$9:$H$1273,TRUE,$BT$9:$BT$1273,BT325)</f>
        <v/>
      </c>
      <c r="J325" s="60">
        <f t="array" ref="J325">NOT(OR(($H$9:$H$1273=TRUE)*($I$9:$I$1273&gt;0)*($BT$9:$BT$1273=BT325)*($K$9:$K$1273&gt;K325)))</f>
        <v/>
      </c>
      <c r="K325" s="108">
        <f>IFERROR(1-AVERAGE(X325:Y325),"")</f>
        <v/>
      </c>
      <c r="L325" s="108">
        <f>1-X325</f>
        <v/>
      </c>
      <c r="M325" s="108">
        <f>1-Y325</f>
        <v/>
      </c>
      <c r="N325" s="108">
        <f>1-Z325</f>
        <v/>
      </c>
      <c r="O325" s="108">
        <f>1-AA325</f>
        <v/>
      </c>
      <c r="P325" s="108">
        <f>1-AB325</f>
        <v/>
      </c>
      <c r="Q325" s="108" t="n"/>
      <c r="R325" s="108" t="n"/>
      <c r="S325" s="108">
        <f>1-AE325</f>
        <v/>
      </c>
      <c r="T325" s="108">
        <f>1-AF325</f>
        <v/>
      </c>
      <c r="U325" s="108">
        <f>1-AG325</f>
        <v/>
      </c>
      <c r="V325" s="108">
        <f>1-AH325</f>
        <v/>
      </c>
      <c r="W325" s="108">
        <f>1-AI325</f>
        <v/>
      </c>
      <c r="X325" s="108">
        <f>ABS(AJ325-AJ$1)</f>
        <v/>
      </c>
      <c r="Y325" s="108">
        <f>AVERAGE(Z325:AB325)</f>
        <v/>
      </c>
      <c r="Z325" s="108">
        <f>ABS(AL325-AL$1)</f>
        <v/>
      </c>
      <c r="AA325" s="108">
        <f>ABS(AM325-AM$1)</f>
        <v/>
      </c>
      <c r="AB325" s="108">
        <f>ABS(AN325-AN$1)</f>
        <v/>
      </c>
      <c r="AC325" s="108" t="n"/>
      <c r="AD325" s="108" t="n"/>
      <c r="AE325" s="108">
        <f>ABS(AQ$1-AQ325)</f>
        <v/>
      </c>
      <c r="AF325" s="108">
        <f>ABS(AR$1-AR325)</f>
        <v/>
      </c>
      <c r="AG325" s="108">
        <f>ABS(AS$1-AS325)</f>
        <v/>
      </c>
      <c r="AH325" s="108">
        <f>ABS(AT$1-AT325)</f>
        <v/>
      </c>
      <c r="AI325" s="108">
        <f>ABS(AU$1-AU325)</f>
        <v/>
      </c>
      <c r="AJ325" s="108">
        <f>(AV325-Driver!$K$179)/(Driver!$L$179-Driver!$K$179)</f>
        <v/>
      </c>
      <c r="AK325" s="108">
        <f>(AW325-Driver!$K$180)/(Driver!$L$180-Driver!$K$180)</f>
        <v/>
      </c>
      <c r="AL325" s="108">
        <f>(AX325-Driver!$K$181)/(Driver!$L$181-Driver!$K$181)</f>
        <v/>
      </c>
      <c r="AM325" s="108">
        <f>(AY325-Driver!$K$182)/(Driver!$L$182-Driver!$K$182)</f>
        <v/>
      </c>
      <c r="AN325" s="108">
        <f>(AZ325-Driver!$K$183)/(Driver!$L$183-Driver!$K$183)</f>
        <v/>
      </c>
      <c r="AO325" s="108" t="n"/>
      <c r="AP325" s="108" t="n"/>
      <c r="AQ325" s="108">
        <f>(BC325-Driver!$K$188)/(Driver!$L$188-Driver!$K$188)</f>
        <v/>
      </c>
      <c r="AR325" s="108">
        <f>MIN((BD325-Driver!$K$189)/(Driver!$L$189-Driver!$K$189),100%)</f>
        <v/>
      </c>
      <c r="AS325" s="108">
        <f>(BE325-Driver!$K$190)/(Driver!$L$190-Driver!$K$190)</f>
        <v/>
      </c>
      <c r="AT325" s="108">
        <f>(BF325-Driver!$K$191)/(Driver!$L$191-Driver!$K$191)</f>
        <v/>
      </c>
      <c r="AU325" s="108">
        <f>(BG325-Driver!$K$192)/(Driver!$L$192-Driver!$K$192)</f>
        <v/>
      </c>
      <c r="AV325" s="105">
        <f>IFERROR(BM325*BJ325^1/4,"")</f>
        <v/>
      </c>
      <c r="AW325" s="105">
        <f>IFERROR(SUM(AX325:AZ325),"")</f>
        <v/>
      </c>
      <c r="AX325" s="105">
        <f>IFERROR(BH325,"")</f>
        <v/>
      </c>
      <c r="AY325" s="105">
        <f>IFERROR(Driver!$K$19/Data!BH325/Data!BI325*Data!BK325*Data!BL325,"")</f>
        <v/>
      </c>
      <c r="AZ325" s="105">
        <f>IFERROR(BI325*BN325,"")</f>
        <v/>
      </c>
      <c r="BA325" s="105" t="n"/>
      <c r="BB325" s="105" t="n"/>
      <c r="BC325" s="105">
        <f>IFERROR(BI325*BN325*BK325/BJ325^(1/2),"")</f>
        <v/>
      </c>
      <c r="BD325" s="105">
        <f>IFERROR(BH325*BM325*BL325/BJ325/BK325,"")</f>
        <v/>
      </c>
      <c r="BE325" s="105">
        <f>IFERROR(MIN(BI325/BQ325/BP325/BO325/BH325,$BE$1),"")</f>
        <v/>
      </c>
      <c r="BF325" s="105">
        <f>IFERROR(BJ325*BO325*BP325/BK325,"")</f>
        <v/>
      </c>
      <c r="BG325" s="105">
        <f>IFERROR(1/BM325/BH325*BQ325,"")</f>
        <v/>
      </c>
      <c r="BH325" s="102">
        <f>MAX((CE325-Driver!$F$200)/(Driver!$G$200-Driver!$F$200)*$BI$1,1)</f>
        <v/>
      </c>
      <c r="BI325" s="102">
        <f>MAX($BI$1*(BY325-Driver!$F$201)/(Driver!$G$201-Driver!$F$201),1)</f>
        <v/>
      </c>
      <c r="BJ325" s="102">
        <f>(CB325-Driver!$F$206)/(Driver!$G$206-Driver!$F$206)*$BI$1</f>
        <v/>
      </c>
      <c r="BK325" s="102">
        <f>(CD325-Driver!$F$203)/(Driver!$G$203-Driver!$F$203)*$BI$1</f>
        <v/>
      </c>
      <c r="BL325" s="102">
        <f>MAX((CR325-Driver!$F$202)/(Driver!$G$202-Driver!$F$202)*$BI$1,1)</f>
        <v/>
      </c>
      <c r="BM325" s="102">
        <f>MAX((CH325-Driver!$F$204)/(Driver!$G$204-Driver!$F$204)*$BI$1,1)</f>
        <v/>
      </c>
      <c r="BN325" s="102">
        <f>(CI325-Driver!$F$205)/(Driver!$G$205-Driver!$F$205)*$BI$1</f>
        <v/>
      </c>
      <c r="BO325" s="102">
        <f>(CK325-Driver!$F$207)/(Driver!$G$207-Driver!$F$207)*$BI$1</f>
        <v/>
      </c>
      <c r="BP325" s="102">
        <f>(CM325-Driver!$F$208)/(Driver!$G$208-Driver!$F$208)*$BI$1</f>
        <v/>
      </c>
      <c r="BQ325" s="102">
        <f>(CL325-Driver!$F$209)/(Driver!$G$209-Driver!$F$209)*$BI$1</f>
        <v/>
      </c>
      <c r="BR325" s="40" t="inlineStr">
        <is>
          <t>21/22</t>
        </is>
      </c>
      <c r="BS325" s="10" t="inlineStr">
        <is>
          <t xml:space="preserve"> Salomon</t>
        </is>
      </c>
      <c r="BT325" s="11" t="inlineStr">
        <is>
          <t>QST Stella 106</t>
        </is>
      </c>
      <c r="BU325" s="13" t="n">
        <v>159</v>
      </c>
      <c r="BV325" s="11" t="inlineStr">
        <is>
          <t xml:space="preserve"> Women's</t>
        </is>
      </c>
      <c r="BW325" s="13" t="n">
        <v>159</v>
      </c>
      <c r="BX325" s="13" t="n">
        <v>158.2</v>
      </c>
      <c r="BY325" s="13" t="n">
        <v>99</v>
      </c>
      <c r="BZ325" s="13" t="n">
        <v>129</v>
      </c>
      <c r="CA325" s="13" t="n">
        <v>136</v>
      </c>
      <c r="CB325" s="13" t="n">
        <v>104</v>
      </c>
      <c r="CC325" s="13" t="n">
        <v>122</v>
      </c>
      <c r="CD325" s="13" t="n">
        <v>16.4</v>
      </c>
      <c r="CE325" s="13" t="n">
        <v>1771</v>
      </c>
      <c r="CF325" s="13" t="n">
        <v>1.02</v>
      </c>
      <c r="CG325" s="13" t="n">
        <v>1814</v>
      </c>
      <c r="CH325" s="13" t="n">
        <v>176</v>
      </c>
      <c r="CI325" s="13" t="n">
        <v>68</v>
      </c>
      <c r="CJ325" s="13" t="n">
        <v>58</v>
      </c>
      <c r="CK325" s="13" t="n">
        <v>340</v>
      </c>
      <c r="CL325" s="13" t="n">
        <v>26</v>
      </c>
      <c r="CM325" s="13" t="n">
        <v>254</v>
      </c>
      <c r="CN325" s="13" t="n">
        <v>0.445</v>
      </c>
      <c r="CO325" s="13" t="n">
        <v>176</v>
      </c>
      <c r="CP325" s="13" t="n">
        <v>113</v>
      </c>
      <c r="CQ325" s="13" t="n">
        <v>164</v>
      </c>
      <c r="CR325" s="13" t="n">
        <v>5</v>
      </c>
      <c r="CS325" s="13" t="n">
        <v>9.6</v>
      </c>
      <c r="CT325" s="11" t="inlineStr">
        <is>
          <t xml:space="preserve"> Resort Freeride</t>
        </is>
      </c>
      <c r="CU325" s="11" t="inlineStr">
        <is>
          <t xml:space="preserve"> Powder</t>
        </is>
      </c>
      <c r="CV325" s="13" t="n"/>
      <c r="CW325" s="13" t="n"/>
      <c r="CX325">
        <f>INDEX('Data_Price '!AG$2:AG$1266,MATCH(Data!$DN325,'Data_Price '!$AT$2:$AT$1266,0))</f>
        <v/>
      </c>
      <c r="CY325">
        <f>INDEX('Data_Price '!AH$2:AH$1266,MATCH(Data!$DN325,'Data_Price '!$AT$2:$AT$1266,0))</f>
        <v/>
      </c>
      <c r="CZ325">
        <f>INDEX('Data_Price '!AI$2:AI$1266,MATCH(Data!$DN325,'Data_Price '!$AT$2:$AT$1266,0))</f>
        <v/>
      </c>
      <c r="DA325">
        <f>INDEX('Data_Price '!AJ$2:AJ$1266,MATCH(Data!$DN325,'Data_Price '!$AT$2:$AT$1266,0))</f>
        <v/>
      </c>
      <c r="DB325">
        <f>INDEX('Data_Price '!AK$2:AK$1266,MATCH(Data!$DN325,'Data_Price '!$AT$2:$AT$1266,0))</f>
        <v/>
      </c>
      <c r="DC325">
        <f>INDEX('Data_Price '!AL$2:AL$1266,MATCH(Data!$DN325,'Data_Price '!$AT$2:$AT$1266,0))</f>
        <v/>
      </c>
      <c r="DD325">
        <f>INDEX('Data_Price '!AM$2:AM$1266,MATCH(Data!$DN325,'Data_Price '!$AT$2:$AT$1266,0))</f>
        <v/>
      </c>
      <c r="DE325">
        <f>INDEX('Data_Price '!AN$2:AN$1266,MATCH(Data!$DN325,'Data_Price '!$AT$2:$AT$1266,0))</f>
        <v/>
      </c>
      <c r="DF325">
        <f>INDEX('Data_Price '!AO$2:AO$1266,MATCH(Data!$DN325,'Data_Price '!$AT$2:$AT$1266,0))</f>
        <v/>
      </c>
      <c r="DG325">
        <f>INDEX('Data_Price '!AP$2:AP$1266,MATCH(Data!$DN325,'Data_Price '!$AT$2:$AT$1266,0))</f>
        <v/>
      </c>
      <c r="DH325">
        <f>INDEX('Data_Price '!AQ$2:AQ$1266,MATCH(Data!$DN325,'Data_Price '!$AT$2:$AT$1266,0))</f>
        <v/>
      </c>
      <c r="DI325">
        <f>INDEX('Data_Price '!AR$2:AR$1266,MATCH(Data!$DN325,'Data_Price '!$AT$2:$AT$1266,0))</f>
        <v/>
      </c>
      <c r="DJ325" s="138">
        <f>DA325</f>
        <v/>
      </c>
      <c r="DK325" s="138">
        <f>DE325</f>
        <v/>
      </c>
      <c r="DL325" s="138">
        <f>DI325</f>
        <v/>
      </c>
      <c r="DM325" s="303">
        <f>IF(LEFT(BT325,1)=" ",RIGHT(BT325,LEN(BT325)-1),BT325)</f>
        <v/>
      </c>
      <c r="DN325" s="138">
        <f>_xlfn.CONCAT(BS325,DM325,BU325,BV325)</f>
        <v/>
      </c>
      <c r="DO325" s="307" t="inlineStr">
        <is>
          <t>https://images.evo.com/imgp/250/197277/812056/salomon-qst-stella-106-skis-women-s-2022-.jpg</t>
        </is>
      </c>
    </row>
    <row r="326" ht="15.6" customHeight="1" s="184">
      <c r="B326" s="303">
        <f t="array" ref="B326">IF(OR(ISERROR(K326:P326)),FALSE,TRUE)</f>
        <v/>
      </c>
      <c r="C326" s="60">
        <f>OR(BR326=Driver!$G$50,Data!BR118=Driver!$H$50)</f>
        <v/>
      </c>
      <c r="D326" s="60">
        <f>OR(BV326=Driver!$G$51,BV326=Driver!$H$51)</f>
        <v/>
      </c>
      <c r="E326" s="60">
        <f>AND(BX326&gt;Driver!$F$54,BX326&lt;Driver!$G$54)</f>
        <v/>
      </c>
      <c r="F326" s="60">
        <f>CL326&gt;Driver!$F$56</f>
        <v/>
      </c>
      <c r="G326" s="60">
        <f>AND(CB326&gt;Driver!$F$55,CB326&lt;Driver!$G$55)</f>
        <v/>
      </c>
      <c r="H326" s="60">
        <f>AND(B326:G326)</f>
        <v/>
      </c>
      <c r="I326" s="60">
        <f>COUNTIFS($H$9:$H$1273,TRUE,$BT$9:$BT$1273,BT326)</f>
        <v/>
      </c>
      <c r="J326" s="60">
        <f t="array" ref="J326">NOT(OR(($H$9:$H$1273=TRUE)*($I$9:$I$1273&gt;0)*($BT$9:$BT$1273=BT326)*($K$9:$K$1273&gt;K326)))</f>
        <v/>
      </c>
      <c r="K326" s="108">
        <f>IFERROR(1-AVERAGE(X326:Y326),"")</f>
        <v/>
      </c>
      <c r="L326" s="108">
        <f>1-X326</f>
        <v/>
      </c>
      <c r="M326" s="108">
        <f>1-Y326</f>
        <v/>
      </c>
      <c r="N326" s="108">
        <f>1-Z326</f>
        <v/>
      </c>
      <c r="O326" s="108">
        <f>1-AA326</f>
        <v/>
      </c>
      <c r="P326" s="108">
        <f>1-AB326</f>
        <v/>
      </c>
      <c r="Q326" s="108" t="n"/>
      <c r="R326" s="108" t="n"/>
      <c r="S326" s="108">
        <f>1-AE326</f>
        <v/>
      </c>
      <c r="T326" s="108">
        <f>1-AF326</f>
        <v/>
      </c>
      <c r="U326" s="108">
        <f>1-AG326</f>
        <v/>
      </c>
      <c r="V326" s="108">
        <f>1-AH326</f>
        <v/>
      </c>
      <c r="W326" s="108">
        <f>1-AI326</f>
        <v/>
      </c>
      <c r="X326" s="108">
        <f>ABS(AJ326-AJ$1)</f>
        <v/>
      </c>
      <c r="Y326" s="108">
        <f>AVERAGE(Z326:AB326)</f>
        <v/>
      </c>
      <c r="Z326" s="108">
        <f>ABS(AL326-AL$1)</f>
        <v/>
      </c>
      <c r="AA326" s="108">
        <f>ABS(AM326-AM$1)</f>
        <v/>
      </c>
      <c r="AB326" s="108">
        <f>ABS(AN326-AN$1)</f>
        <v/>
      </c>
      <c r="AC326" s="108" t="n"/>
      <c r="AD326" s="108" t="n"/>
      <c r="AE326" s="108">
        <f>ABS(AQ$1-AQ326)</f>
        <v/>
      </c>
      <c r="AF326" s="108">
        <f>ABS(AR$1-AR326)</f>
        <v/>
      </c>
      <c r="AG326" s="108">
        <f>ABS(AS$1-AS326)</f>
        <v/>
      </c>
      <c r="AH326" s="108">
        <f>ABS(AT$1-AT326)</f>
        <v/>
      </c>
      <c r="AI326" s="108">
        <f>ABS(AU$1-AU326)</f>
        <v/>
      </c>
      <c r="AJ326" s="108">
        <f>(AV326-Driver!$K$179)/(Driver!$L$179-Driver!$K$179)</f>
        <v/>
      </c>
      <c r="AK326" s="108">
        <f>(AW326-Driver!$K$180)/(Driver!$L$180-Driver!$K$180)</f>
        <v/>
      </c>
      <c r="AL326" s="108">
        <f>(AX326-Driver!$K$181)/(Driver!$L$181-Driver!$K$181)</f>
        <v/>
      </c>
      <c r="AM326" s="108">
        <f>(AY326-Driver!$K$182)/(Driver!$L$182-Driver!$K$182)</f>
        <v/>
      </c>
      <c r="AN326" s="108">
        <f>(AZ326-Driver!$K$183)/(Driver!$L$183-Driver!$K$183)</f>
        <v/>
      </c>
      <c r="AO326" s="108" t="n"/>
      <c r="AP326" s="108" t="n"/>
      <c r="AQ326" s="108">
        <f>(BC326-Driver!$K$188)/(Driver!$L$188-Driver!$K$188)</f>
        <v/>
      </c>
      <c r="AR326" s="108">
        <f>MIN((BD326-Driver!$K$189)/(Driver!$L$189-Driver!$K$189),100%)</f>
        <v/>
      </c>
      <c r="AS326" s="108">
        <f>(BE326-Driver!$K$190)/(Driver!$L$190-Driver!$K$190)</f>
        <v/>
      </c>
      <c r="AT326" s="108">
        <f>(BF326-Driver!$K$191)/(Driver!$L$191-Driver!$K$191)</f>
        <v/>
      </c>
      <c r="AU326" s="108">
        <f>(BG326-Driver!$K$192)/(Driver!$L$192-Driver!$K$192)</f>
        <v/>
      </c>
      <c r="AV326" s="105">
        <f>IFERROR(BM326*BJ326^1/4,"")</f>
        <v/>
      </c>
      <c r="AW326" s="105">
        <f>IFERROR(SUM(AX326:AZ326),"")</f>
        <v/>
      </c>
      <c r="AX326" s="105">
        <f>IFERROR(BH326,"")</f>
        <v/>
      </c>
      <c r="AY326" s="105">
        <f>IFERROR(Driver!$K$19/Data!BH326/Data!BI326*Data!BK326*Data!BL326,"")</f>
        <v/>
      </c>
      <c r="AZ326" s="105">
        <f>IFERROR(BI326*BN326,"")</f>
        <v/>
      </c>
      <c r="BA326" s="105" t="n"/>
      <c r="BB326" s="105" t="n"/>
      <c r="BC326" s="105">
        <f>IFERROR(BI326*BN326*BK326/BJ326^(1/2),"")</f>
        <v/>
      </c>
      <c r="BD326" s="105">
        <f>IFERROR(BH326*BM326*BL326/BJ326/BK326,"")</f>
        <v/>
      </c>
      <c r="BE326" s="105">
        <f>IFERROR(MIN(BI326/BQ326/BP326/BO326/BH326,$BE$1),"")</f>
        <v/>
      </c>
      <c r="BF326" s="105">
        <f>IFERROR(BJ326*BO326*BP326/BK326,"")</f>
        <v/>
      </c>
      <c r="BG326" s="105">
        <f>IFERROR(1/BM326/BH326*BQ326,"")</f>
        <v/>
      </c>
      <c r="BH326" s="102">
        <f>MAX((CE326-Driver!$F$200)/(Driver!$G$200-Driver!$F$200)*$BI$1,1)</f>
        <v/>
      </c>
      <c r="BI326" s="102">
        <f>MAX($BI$1*(BY326-Driver!$F$201)/(Driver!$G$201-Driver!$F$201),1)</f>
        <v/>
      </c>
      <c r="BJ326" s="102">
        <f>(CB326-Driver!$F$206)/(Driver!$G$206-Driver!$F$206)*$BI$1</f>
        <v/>
      </c>
      <c r="BK326" s="102">
        <f>(CD326-Driver!$F$203)/(Driver!$G$203-Driver!$F$203)*$BI$1</f>
        <v/>
      </c>
      <c r="BL326" s="102">
        <f>MAX((CR326-Driver!$F$202)/(Driver!$G$202-Driver!$F$202)*$BI$1,1)</f>
        <v/>
      </c>
      <c r="BM326" s="102">
        <f>MAX((CH326-Driver!$F$204)/(Driver!$G$204-Driver!$F$204)*$BI$1,1)</f>
        <v/>
      </c>
      <c r="BN326" s="102">
        <f>(CI326-Driver!$F$205)/(Driver!$G$205-Driver!$F$205)*$BI$1</f>
        <v/>
      </c>
      <c r="BO326" s="102">
        <f>(CK326-Driver!$F$207)/(Driver!$G$207-Driver!$F$207)*$BI$1</f>
        <v/>
      </c>
      <c r="BP326" s="102">
        <f>(CM326-Driver!$F$208)/(Driver!$G$208-Driver!$F$208)*$BI$1</f>
        <v/>
      </c>
      <c r="BQ326" s="102">
        <f>(CL326-Driver!$F$209)/(Driver!$G$209-Driver!$F$209)*$BI$1</f>
        <v/>
      </c>
      <c r="BR326" s="40" t="inlineStr">
        <is>
          <t>21/22</t>
        </is>
      </c>
      <c r="BS326" s="10" t="inlineStr">
        <is>
          <t xml:space="preserve"> Atomic</t>
        </is>
      </c>
      <c r="BT326" s="11" t="inlineStr">
        <is>
          <t>Backland 100</t>
        </is>
      </c>
      <c r="BU326" s="13" t="n">
        <v>180</v>
      </c>
      <c r="BV326" s="11" t="inlineStr">
        <is>
          <t xml:space="preserve"> Unisex</t>
        </is>
      </c>
      <c r="BW326" s="13" t="n">
        <v>180</v>
      </c>
      <c r="BX326" s="13" t="n">
        <v>178.3</v>
      </c>
      <c r="BY326" s="13" t="n">
        <v>129</v>
      </c>
      <c r="BZ326" s="13" t="n">
        <v>144</v>
      </c>
      <c r="CA326" s="13" t="n">
        <v>129</v>
      </c>
      <c r="CB326" s="13" t="n">
        <v>99</v>
      </c>
      <c r="CC326" s="13" t="n">
        <v>119</v>
      </c>
      <c r="CD326" s="13" t="n">
        <v>19.3</v>
      </c>
      <c r="CE326" s="13" t="n">
        <v>1344</v>
      </c>
      <c r="CF326" s="13" t="n">
        <v>1.44</v>
      </c>
      <c r="CG326" s="13" t="n">
        <v>1931</v>
      </c>
      <c r="CH326" s="13" t="n">
        <v>190</v>
      </c>
      <c r="CI326" s="13" t="n">
        <v>88</v>
      </c>
      <c r="CJ326" s="13" t="n">
        <v>53</v>
      </c>
      <c r="CK326" s="13" t="n">
        <v>284</v>
      </c>
      <c r="CL326" s="13" t="n">
        <v>16</v>
      </c>
      <c r="CM326" s="13" t="n">
        <v>208</v>
      </c>
      <c r="CN326" s="13" t="n">
        <v>0.306</v>
      </c>
      <c r="CO326" s="13" t="n">
        <v>177</v>
      </c>
      <c r="CP326" s="13" t="n">
        <v>167</v>
      </c>
      <c r="CQ326" s="13" t="n">
        <v>107</v>
      </c>
      <c r="CR326" s="13" t="n">
        <v>4</v>
      </c>
      <c r="CS326" s="13" t="n">
        <v>8.5</v>
      </c>
      <c r="CT326" s="11" t="inlineStr">
        <is>
          <t xml:space="preserve"> Touring</t>
        </is>
      </c>
      <c r="CU326" s="11" t="inlineStr">
        <is>
          <t xml:space="preserve"> Ultralight Touring</t>
        </is>
      </c>
      <c r="CV326" s="13" t="n"/>
      <c r="CW326" s="13" t="n"/>
      <c r="CX326">
        <f>INDEX('Data_Price '!AG$2:AG$1266,MATCH(Data!$DN326,'Data_Price '!$AT$2:$AT$1266,0))</f>
        <v/>
      </c>
      <c r="CY326">
        <f>INDEX('Data_Price '!AH$2:AH$1266,MATCH(Data!$DN326,'Data_Price '!$AT$2:$AT$1266,0))</f>
        <v/>
      </c>
      <c r="CZ326">
        <f>INDEX('Data_Price '!AI$2:AI$1266,MATCH(Data!$DN326,'Data_Price '!$AT$2:$AT$1266,0))</f>
        <v/>
      </c>
      <c r="DA326">
        <f>INDEX('Data_Price '!AJ$2:AJ$1266,MATCH(Data!$DN326,'Data_Price '!$AT$2:$AT$1266,0))</f>
        <v/>
      </c>
      <c r="DB326">
        <f>INDEX('Data_Price '!AK$2:AK$1266,MATCH(Data!$DN326,'Data_Price '!$AT$2:$AT$1266,0))</f>
        <v/>
      </c>
      <c r="DC326">
        <f>INDEX('Data_Price '!AL$2:AL$1266,MATCH(Data!$DN326,'Data_Price '!$AT$2:$AT$1266,0))</f>
        <v/>
      </c>
      <c r="DD326">
        <f>INDEX('Data_Price '!AM$2:AM$1266,MATCH(Data!$DN326,'Data_Price '!$AT$2:$AT$1266,0))</f>
        <v/>
      </c>
      <c r="DE326">
        <f>INDEX('Data_Price '!AN$2:AN$1266,MATCH(Data!$DN326,'Data_Price '!$AT$2:$AT$1266,0))</f>
        <v/>
      </c>
      <c r="DF326">
        <f>INDEX('Data_Price '!AO$2:AO$1266,MATCH(Data!$DN326,'Data_Price '!$AT$2:$AT$1266,0))</f>
        <v/>
      </c>
      <c r="DG326">
        <f>INDEX('Data_Price '!AP$2:AP$1266,MATCH(Data!$DN326,'Data_Price '!$AT$2:$AT$1266,0))</f>
        <v/>
      </c>
      <c r="DH326">
        <f>INDEX('Data_Price '!AQ$2:AQ$1266,MATCH(Data!$DN326,'Data_Price '!$AT$2:$AT$1266,0))</f>
        <v/>
      </c>
      <c r="DI326">
        <f>INDEX('Data_Price '!AR$2:AR$1266,MATCH(Data!$DN326,'Data_Price '!$AT$2:$AT$1266,0))</f>
        <v/>
      </c>
      <c r="DJ326" s="138">
        <f>DA326</f>
        <v/>
      </c>
      <c r="DK326" s="138">
        <f>DE326</f>
        <v/>
      </c>
      <c r="DL326" s="138">
        <f>DI326</f>
        <v/>
      </c>
      <c r="DM326" s="303">
        <f>IF(LEFT(BT326,1)=" ",RIGHT(BT326,LEN(BT326)-1),BT326)</f>
        <v/>
      </c>
      <c r="DN326" s="138">
        <f>_xlfn.CONCAT(BS326,DM326,BU326,BV326)</f>
        <v/>
      </c>
      <c r="DO326" s="307" t="inlineStr">
        <is>
          <t>https://images.evo.com/imgp/250/197751/826836/atomic-backland-100-skis-2022-.jpg</t>
        </is>
      </c>
    </row>
    <row r="327" ht="15.6" customHeight="1" s="184">
      <c r="B327" s="303">
        <f t="array" ref="B327">IF(OR(ISERROR(K327:P327)),FALSE,TRUE)</f>
        <v/>
      </c>
      <c r="C327" s="60">
        <f>OR(BR327=Driver!$G$50,Data!BR801=Driver!$H$50)</f>
        <v/>
      </c>
      <c r="D327" s="60">
        <f>OR(BV327=Driver!$G$51,BV327=Driver!$H$51)</f>
        <v/>
      </c>
      <c r="E327" s="60">
        <f>AND(BX327&gt;Driver!$F$54,BX327&lt;Driver!$G$54)</f>
        <v/>
      </c>
      <c r="F327" s="60">
        <f>CL327&gt;Driver!$F$56</f>
        <v/>
      </c>
      <c r="G327" s="60">
        <f>AND(CB327&gt;Driver!$F$55,CB327&lt;Driver!$G$55)</f>
        <v/>
      </c>
      <c r="H327" s="60">
        <f>AND(B327:G327)</f>
        <v/>
      </c>
      <c r="I327" s="60">
        <f>COUNTIFS($H$9:$H$1273,TRUE,$BT$9:$BT$1273,BT327)</f>
        <v/>
      </c>
      <c r="J327" s="60">
        <f t="array" ref="J327">NOT(OR(($H$9:$H$1273=TRUE)*($I$9:$I$1273&gt;0)*($BT$9:$BT$1273=BT327)*($K$9:$K$1273&gt;K327)))</f>
        <v/>
      </c>
      <c r="K327" s="108">
        <f>IFERROR(1-AVERAGE(X327:Y327),"")</f>
        <v/>
      </c>
      <c r="L327" s="108">
        <f>1-X327</f>
        <v/>
      </c>
      <c r="M327" s="108">
        <f>1-Y327</f>
        <v/>
      </c>
      <c r="N327" s="108">
        <f>1-Z327</f>
        <v/>
      </c>
      <c r="O327" s="108">
        <f>1-AA327</f>
        <v/>
      </c>
      <c r="P327" s="108">
        <f>1-AB327</f>
        <v/>
      </c>
      <c r="Q327" s="108" t="n"/>
      <c r="R327" s="108" t="n"/>
      <c r="S327" s="108">
        <f>1-AE327</f>
        <v/>
      </c>
      <c r="T327" s="108">
        <f>1-AF327</f>
        <v/>
      </c>
      <c r="U327" s="108">
        <f>1-AG327</f>
        <v/>
      </c>
      <c r="V327" s="108">
        <f>1-AH327</f>
        <v/>
      </c>
      <c r="W327" s="108">
        <f>1-AI327</f>
        <v/>
      </c>
      <c r="X327" s="108">
        <f>ABS(AJ327-AJ$1)</f>
        <v/>
      </c>
      <c r="Y327" s="108">
        <f>AVERAGE(Z327:AB327)</f>
        <v/>
      </c>
      <c r="Z327" s="108">
        <f>ABS(AL327-AL$1)</f>
        <v/>
      </c>
      <c r="AA327" s="108">
        <f>ABS(AM327-AM$1)</f>
        <v/>
      </c>
      <c r="AB327" s="108">
        <f>ABS(AN327-AN$1)</f>
        <v/>
      </c>
      <c r="AC327" s="108" t="n"/>
      <c r="AD327" s="108" t="n"/>
      <c r="AE327" s="108">
        <f>ABS(AQ$1-AQ327)</f>
        <v/>
      </c>
      <c r="AF327" s="108">
        <f>ABS(AR$1-AR327)</f>
        <v/>
      </c>
      <c r="AG327" s="108">
        <f>ABS(AS$1-AS327)</f>
        <v/>
      </c>
      <c r="AH327" s="108">
        <f>ABS(AT$1-AT327)</f>
        <v/>
      </c>
      <c r="AI327" s="108">
        <f>ABS(AU$1-AU327)</f>
        <v/>
      </c>
      <c r="AJ327" s="108">
        <f>(AV327-Driver!$K$179)/(Driver!$L$179-Driver!$K$179)</f>
        <v/>
      </c>
      <c r="AK327" s="108">
        <f>(AW327-Driver!$K$180)/(Driver!$L$180-Driver!$K$180)</f>
        <v/>
      </c>
      <c r="AL327" s="108">
        <f>(AX327-Driver!$K$181)/(Driver!$L$181-Driver!$K$181)</f>
        <v/>
      </c>
      <c r="AM327" s="108">
        <f>(AY327-Driver!$K$182)/(Driver!$L$182-Driver!$K$182)</f>
        <v/>
      </c>
      <c r="AN327" s="108">
        <f>(AZ327-Driver!$K$183)/(Driver!$L$183-Driver!$K$183)</f>
        <v/>
      </c>
      <c r="AO327" s="108" t="n"/>
      <c r="AP327" s="108" t="n"/>
      <c r="AQ327" s="108">
        <f>(BC327-Driver!$K$188)/(Driver!$L$188-Driver!$K$188)</f>
        <v/>
      </c>
      <c r="AR327" s="108">
        <f>MIN((BD327-Driver!$K$189)/(Driver!$L$189-Driver!$K$189),100%)</f>
        <v/>
      </c>
      <c r="AS327" s="108">
        <f>(BE327-Driver!$K$190)/(Driver!$L$190-Driver!$K$190)</f>
        <v/>
      </c>
      <c r="AT327" s="108">
        <f>(BF327-Driver!$K$191)/(Driver!$L$191-Driver!$K$191)</f>
        <v/>
      </c>
      <c r="AU327" s="108">
        <f>(BG327-Driver!$K$192)/(Driver!$L$192-Driver!$K$192)</f>
        <v/>
      </c>
      <c r="AV327" s="105">
        <f>IFERROR(BM327*BJ327^1/4,"")</f>
        <v/>
      </c>
      <c r="AW327" s="105">
        <f>IFERROR(SUM(AX327:AZ327),"")</f>
        <v/>
      </c>
      <c r="AX327" s="105">
        <f>IFERROR(BH327,"")</f>
        <v/>
      </c>
      <c r="AY327" s="105">
        <f>IFERROR(Driver!$K$19/Data!BH327/Data!BI327*Data!BK327*Data!BL327,"")</f>
        <v/>
      </c>
      <c r="AZ327" s="105">
        <f>IFERROR(BI327*BN327,"")</f>
        <v/>
      </c>
      <c r="BA327" s="105" t="n"/>
      <c r="BB327" s="105" t="n"/>
      <c r="BC327" s="105">
        <f>IFERROR(BI327*BN327*BK327/BJ327^(1/2),"")</f>
        <v/>
      </c>
      <c r="BD327" s="105">
        <f>IFERROR(BH327*BM327*BL327/BJ327/BK327,"")</f>
        <v/>
      </c>
      <c r="BE327" s="105">
        <f>IFERROR(MIN(BI327/BQ327/BP327/BO327/BH327,$BE$1),"")</f>
        <v/>
      </c>
      <c r="BF327" s="105">
        <f>IFERROR(BJ327*BO327*BP327/BK327,"")</f>
        <v/>
      </c>
      <c r="BG327" s="105">
        <f>IFERROR(1/BM327/BH327*BQ327,"")</f>
        <v/>
      </c>
      <c r="BH327" s="102">
        <f>MAX((CE327-Driver!$F$200)/(Driver!$G$200-Driver!$F$200)*$BI$1,1)</f>
        <v/>
      </c>
      <c r="BI327" s="102">
        <f>MAX($BI$1*(BY327-Driver!$F$201)/(Driver!$G$201-Driver!$F$201),1)</f>
        <v/>
      </c>
      <c r="BJ327" s="102">
        <f>(CB327-Driver!$F$206)/(Driver!$G$206-Driver!$F$206)*$BI$1</f>
        <v/>
      </c>
      <c r="BK327" s="102">
        <f>(CD327-Driver!$F$203)/(Driver!$G$203-Driver!$F$203)*$BI$1</f>
        <v/>
      </c>
      <c r="BL327" s="102">
        <f>MAX((CR327-Driver!$F$202)/(Driver!$G$202-Driver!$F$202)*$BI$1,1)</f>
        <v/>
      </c>
      <c r="BM327" s="102">
        <f>MAX((CH327-Driver!$F$204)/(Driver!$G$204-Driver!$F$204)*$BI$1,1)</f>
        <v/>
      </c>
      <c r="BN327" s="102">
        <f>(CI327-Driver!$F$205)/(Driver!$G$205-Driver!$F$205)*$BI$1</f>
        <v/>
      </c>
      <c r="BO327" s="102">
        <f>(CK327-Driver!$F$207)/(Driver!$G$207-Driver!$F$207)*$BI$1</f>
        <v/>
      </c>
      <c r="BP327" s="102">
        <f>(CM327-Driver!$F$208)/(Driver!$G$208-Driver!$F$208)*$BI$1</f>
        <v/>
      </c>
      <c r="BQ327" s="102">
        <f>(CL327-Driver!$F$209)/(Driver!$G$209-Driver!$F$209)*$BI$1</f>
        <v/>
      </c>
      <c r="BR327" s="40" t="inlineStr">
        <is>
          <t>21/22</t>
        </is>
      </c>
      <c r="BS327" s="10" t="inlineStr">
        <is>
          <t xml:space="preserve"> Liberty</t>
        </is>
      </c>
      <c r="BT327" s="11" t="inlineStr">
        <is>
          <t>Evolv 90</t>
        </is>
      </c>
      <c r="BU327" s="13" t="n">
        <v>179</v>
      </c>
      <c r="BV327" s="11" t="inlineStr">
        <is>
          <t xml:space="preserve"> Unisex</t>
        </is>
      </c>
      <c r="BW327" s="13" t="n">
        <v>179</v>
      </c>
      <c r="BX327" s="13" t="n">
        <v>178.6</v>
      </c>
      <c r="BY327" s="13" t="n">
        <v>145</v>
      </c>
      <c r="BZ327" s="13" t="n">
        <v>158</v>
      </c>
      <c r="CA327" s="13" t="n">
        <v>130</v>
      </c>
      <c r="CB327" s="13" t="n">
        <v>89</v>
      </c>
      <c r="CC327" s="13" t="n">
        <v>113</v>
      </c>
      <c r="CD327" s="13" t="n">
        <v>18.3</v>
      </c>
      <c r="CE327" s="13" t="n">
        <v>1787</v>
      </c>
      <c r="CF327" s="13" t="n">
        <v>1.02</v>
      </c>
      <c r="CG327" s="13" t="n">
        <v>1815</v>
      </c>
      <c r="CH327" s="13" t="n">
        <v>208</v>
      </c>
      <c r="CI327" s="13" t="n">
        <v>103</v>
      </c>
      <c r="CJ327" s="13" t="n">
        <v>39</v>
      </c>
      <c r="CK327" s="13" t="n">
        <v>205</v>
      </c>
      <c r="CL327" s="13" t="n">
        <v>10</v>
      </c>
      <c r="CM327" s="13" t="n">
        <v>130</v>
      </c>
      <c r="CN327" s="13" t="n">
        <v>0.257</v>
      </c>
      <c r="CO327" s="13" t="n">
        <v>119</v>
      </c>
      <c r="CP327" s="13" t="n">
        <v>86</v>
      </c>
      <c r="CQ327" s="13" t="n">
        <v>86</v>
      </c>
      <c r="CR327" s="13" t="n">
        <v>9</v>
      </c>
      <c r="CS327" s="13" t="n">
        <v>10.5</v>
      </c>
      <c r="CT327" s="11" t="inlineStr">
        <is>
          <t xml:space="preserve"> Resort Freeride</t>
        </is>
      </c>
      <c r="CU327" s="13" t="n"/>
      <c r="CV327" s="13" t="n"/>
      <c r="CW327" s="13" t="n"/>
      <c r="CX327">
        <f>INDEX('Data_Price '!AG$2:AG$1266,MATCH(Data!$DN327,'Data_Price '!$AT$2:$AT$1266,0))</f>
        <v/>
      </c>
      <c r="CY327">
        <f>INDEX('Data_Price '!AH$2:AH$1266,MATCH(Data!$DN327,'Data_Price '!$AT$2:$AT$1266,0))</f>
        <v/>
      </c>
      <c r="CZ327">
        <f>INDEX('Data_Price '!AI$2:AI$1266,MATCH(Data!$DN327,'Data_Price '!$AT$2:$AT$1266,0))</f>
        <v/>
      </c>
      <c r="DA327">
        <f>INDEX('Data_Price '!AJ$2:AJ$1266,MATCH(Data!$DN327,'Data_Price '!$AT$2:$AT$1266,0))</f>
        <v/>
      </c>
      <c r="DB327">
        <f>INDEX('Data_Price '!AK$2:AK$1266,MATCH(Data!$DN327,'Data_Price '!$AT$2:$AT$1266,0))</f>
        <v/>
      </c>
      <c r="DC327">
        <f>INDEX('Data_Price '!AL$2:AL$1266,MATCH(Data!$DN327,'Data_Price '!$AT$2:$AT$1266,0))</f>
        <v/>
      </c>
      <c r="DD327">
        <f>INDEX('Data_Price '!AM$2:AM$1266,MATCH(Data!$DN327,'Data_Price '!$AT$2:$AT$1266,0))</f>
        <v/>
      </c>
      <c r="DE327">
        <f>INDEX('Data_Price '!AN$2:AN$1266,MATCH(Data!$DN327,'Data_Price '!$AT$2:$AT$1266,0))</f>
        <v/>
      </c>
      <c r="DF327">
        <f>INDEX('Data_Price '!AO$2:AO$1266,MATCH(Data!$DN327,'Data_Price '!$AT$2:$AT$1266,0))</f>
        <v/>
      </c>
      <c r="DG327">
        <f>INDEX('Data_Price '!AP$2:AP$1266,MATCH(Data!$DN327,'Data_Price '!$AT$2:$AT$1266,0))</f>
        <v/>
      </c>
      <c r="DH327">
        <f>INDEX('Data_Price '!AQ$2:AQ$1266,MATCH(Data!$DN327,'Data_Price '!$AT$2:$AT$1266,0))</f>
        <v/>
      </c>
      <c r="DI327">
        <f>INDEX('Data_Price '!AR$2:AR$1266,MATCH(Data!$DN327,'Data_Price '!$AT$2:$AT$1266,0))</f>
        <v/>
      </c>
      <c r="DJ327" s="138">
        <f>DA327</f>
        <v/>
      </c>
      <c r="DK327" s="138">
        <f>DE327</f>
        <v/>
      </c>
      <c r="DL327" s="138">
        <f>DI327</f>
        <v/>
      </c>
      <c r="DM327" s="303">
        <f>IF(LEFT(BT327,1)=" ",RIGHT(BT327,LEN(BT327)-1),BT327)</f>
        <v/>
      </c>
      <c r="DN327" s="138">
        <f>_xlfn.CONCAT(BS327,DM327,BU327,BV327)</f>
        <v/>
      </c>
      <c r="DO327" s="307" t="n"/>
    </row>
    <row r="328" ht="15.6" customHeight="1" s="184">
      <c r="B328" s="303">
        <f t="array" ref="B328">IF(OR(ISERROR(K328:P328)),FALSE,TRUE)</f>
        <v/>
      </c>
      <c r="C328" s="60">
        <f>OR(BR328=Driver!$G$50,Data!BR535=Driver!$H$50)</f>
        <v/>
      </c>
      <c r="D328" s="60">
        <f>OR(BV328=Driver!$G$51,BV328=Driver!$H$51)</f>
        <v/>
      </c>
      <c r="E328" s="60">
        <f>AND(BX328&gt;Driver!$F$54,BX328&lt;Driver!$G$54)</f>
        <v/>
      </c>
      <c r="F328" s="60">
        <f>CL328&gt;Driver!$F$56</f>
        <v/>
      </c>
      <c r="G328" s="60">
        <f>AND(CB328&gt;Driver!$F$55,CB328&lt;Driver!$G$55)</f>
        <v/>
      </c>
      <c r="H328" s="60">
        <f>AND(B328:G328)</f>
        <v/>
      </c>
      <c r="I328" s="60">
        <f>COUNTIFS($H$9:$H$1273,TRUE,$BT$9:$BT$1273,BT328)</f>
        <v/>
      </c>
      <c r="J328" s="60">
        <f t="array" ref="J328">NOT(OR(($H$9:$H$1273=TRUE)*($I$9:$I$1273&gt;0)*($BT$9:$BT$1273=BT328)*($K$9:$K$1273&gt;K328)))</f>
        <v/>
      </c>
      <c r="K328" s="108">
        <f>IFERROR(1-AVERAGE(X328:Y328),"")</f>
        <v/>
      </c>
      <c r="L328" s="108">
        <f>1-X328</f>
        <v/>
      </c>
      <c r="M328" s="108">
        <f>1-Y328</f>
        <v/>
      </c>
      <c r="N328" s="108">
        <f>1-Z328</f>
        <v/>
      </c>
      <c r="O328" s="108">
        <f>1-AA328</f>
        <v/>
      </c>
      <c r="P328" s="108">
        <f>1-AB328</f>
        <v/>
      </c>
      <c r="Q328" s="108" t="n"/>
      <c r="R328" s="108" t="n"/>
      <c r="S328" s="108">
        <f>1-AE328</f>
        <v/>
      </c>
      <c r="T328" s="108">
        <f>1-AF328</f>
        <v/>
      </c>
      <c r="U328" s="108">
        <f>1-AG328</f>
        <v/>
      </c>
      <c r="V328" s="108">
        <f>1-AH328</f>
        <v/>
      </c>
      <c r="W328" s="108">
        <f>1-AI328</f>
        <v/>
      </c>
      <c r="X328" s="108">
        <f>ABS(AJ328-AJ$1)</f>
        <v/>
      </c>
      <c r="Y328" s="108">
        <f>AVERAGE(Z328:AB328)</f>
        <v/>
      </c>
      <c r="Z328" s="108">
        <f>ABS(AL328-AL$1)</f>
        <v/>
      </c>
      <c r="AA328" s="108">
        <f>ABS(AM328-AM$1)</f>
        <v/>
      </c>
      <c r="AB328" s="108">
        <f>ABS(AN328-AN$1)</f>
        <v/>
      </c>
      <c r="AC328" s="108" t="n"/>
      <c r="AD328" s="108" t="n"/>
      <c r="AE328" s="108">
        <f>ABS(AQ$1-AQ328)</f>
        <v/>
      </c>
      <c r="AF328" s="108">
        <f>ABS(AR$1-AR328)</f>
        <v/>
      </c>
      <c r="AG328" s="108">
        <f>ABS(AS$1-AS328)</f>
        <v/>
      </c>
      <c r="AH328" s="108">
        <f>ABS(AT$1-AT328)</f>
        <v/>
      </c>
      <c r="AI328" s="108">
        <f>ABS(AU$1-AU328)</f>
        <v/>
      </c>
      <c r="AJ328" s="108">
        <f>(AV328-Driver!$K$179)/(Driver!$L$179-Driver!$K$179)</f>
        <v/>
      </c>
      <c r="AK328" s="108">
        <f>(AW328-Driver!$K$180)/(Driver!$L$180-Driver!$K$180)</f>
        <v/>
      </c>
      <c r="AL328" s="108">
        <f>(AX328-Driver!$K$181)/(Driver!$L$181-Driver!$K$181)</f>
        <v/>
      </c>
      <c r="AM328" s="108">
        <f>(AY328-Driver!$K$182)/(Driver!$L$182-Driver!$K$182)</f>
        <v/>
      </c>
      <c r="AN328" s="108">
        <f>(AZ328-Driver!$K$183)/(Driver!$L$183-Driver!$K$183)</f>
        <v/>
      </c>
      <c r="AO328" s="108" t="n"/>
      <c r="AP328" s="108" t="n"/>
      <c r="AQ328" s="108">
        <f>(BC328-Driver!$K$188)/(Driver!$L$188-Driver!$K$188)</f>
        <v/>
      </c>
      <c r="AR328" s="108">
        <f>MIN((BD328-Driver!$K$189)/(Driver!$L$189-Driver!$K$189),100%)</f>
        <v/>
      </c>
      <c r="AS328" s="108">
        <f>(BE328-Driver!$K$190)/(Driver!$L$190-Driver!$K$190)</f>
        <v/>
      </c>
      <c r="AT328" s="108">
        <f>(BF328-Driver!$K$191)/(Driver!$L$191-Driver!$K$191)</f>
        <v/>
      </c>
      <c r="AU328" s="108">
        <f>(BG328-Driver!$K$192)/(Driver!$L$192-Driver!$K$192)</f>
        <v/>
      </c>
      <c r="AV328" s="105">
        <f>IFERROR(BM328*BJ328^1/4,"")</f>
        <v/>
      </c>
      <c r="AW328" s="105">
        <f>IFERROR(SUM(AX328:AZ328),"")</f>
        <v/>
      </c>
      <c r="AX328" s="105">
        <f>IFERROR(BH328,"")</f>
        <v/>
      </c>
      <c r="AY328" s="105">
        <f>IFERROR(Driver!$K$19/Data!BH328/Data!BI328*Data!BK328*Data!BL328,"")</f>
        <v/>
      </c>
      <c r="AZ328" s="105">
        <f>IFERROR(BI328*BN328,"")</f>
        <v/>
      </c>
      <c r="BA328" s="105" t="n"/>
      <c r="BB328" s="105" t="n"/>
      <c r="BC328" s="105">
        <f>IFERROR(BI328*BN328*BK328/BJ328^(1/2),"")</f>
        <v/>
      </c>
      <c r="BD328" s="105">
        <f>IFERROR(BH328*BM328*BL328/BJ328/BK328,"")</f>
        <v/>
      </c>
      <c r="BE328" s="105">
        <f>IFERROR(MIN(BI328/BQ328/BP328/BO328/BH328,$BE$1),"")</f>
        <v/>
      </c>
      <c r="BF328" s="105">
        <f>IFERROR(BJ328*BO328*BP328/BK328,"")</f>
        <v/>
      </c>
      <c r="BG328" s="105">
        <f>IFERROR(1/BM328/BH328*BQ328,"")</f>
        <v/>
      </c>
      <c r="BH328" s="102">
        <f>MAX((CE328-Driver!$F$200)/(Driver!$G$200-Driver!$F$200)*$BI$1,1)</f>
        <v/>
      </c>
      <c r="BI328" s="102">
        <f>MAX($BI$1*(BY328-Driver!$F$201)/(Driver!$G$201-Driver!$F$201),1)</f>
        <v/>
      </c>
      <c r="BJ328" s="102">
        <f>(CB328-Driver!$F$206)/(Driver!$G$206-Driver!$F$206)*$BI$1</f>
        <v/>
      </c>
      <c r="BK328" s="102">
        <f>(CD328-Driver!$F$203)/(Driver!$G$203-Driver!$F$203)*$BI$1</f>
        <v/>
      </c>
      <c r="BL328" s="102">
        <f>MAX((CR328-Driver!$F$202)/(Driver!$G$202-Driver!$F$202)*$BI$1,1)</f>
        <v/>
      </c>
      <c r="BM328" s="102">
        <f>MAX((CH328-Driver!$F$204)/(Driver!$G$204-Driver!$F$204)*$BI$1,1)</f>
        <v/>
      </c>
      <c r="BN328" s="102">
        <f>(CI328-Driver!$F$205)/(Driver!$G$205-Driver!$F$205)*$BI$1</f>
        <v/>
      </c>
      <c r="BO328" s="102">
        <f>(CK328-Driver!$F$207)/(Driver!$G$207-Driver!$F$207)*$BI$1</f>
        <v/>
      </c>
      <c r="BP328" s="102">
        <f>(CM328-Driver!$F$208)/(Driver!$G$208-Driver!$F$208)*$BI$1</f>
        <v/>
      </c>
      <c r="BQ328" s="102">
        <f>(CL328-Driver!$F$209)/(Driver!$G$209-Driver!$F$209)*$BI$1</f>
        <v/>
      </c>
      <c r="BR328" s="40" t="inlineStr">
        <is>
          <t>21/22</t>
        </is>
      </c>
      <c r="BS328" s="10" t="inlineStr">
        <is>
          <t xml:space="preserve"> Faction</t>
        </is>
      </c>
      <c r="BT328" s="11" t="inlineStr">
        <is>
          <t>Prodigy 2.0</t>
        </is>
      </c>
      <c r="BU328" s="13" t="n">
        <v>171</v>
      </c>
      <c r="BV328" s="11" t="inlineStr">
        <is>
          <t xml:space="preserve"> Unisex</t>
        </is>
      </c>
      <c r="BW328" s="13" t="n">
        <v>171</v>
      </c>
      <c r="BX328" s="13" t="n">
        <v>169.3</v>
      </c>
      <c r="BY328" s="13" t="n">
        <v>114</v>
      </c>
      <c r="BZ328" s="13" t="n">
        <v>139</v>
      </c>
      <c r="CA328" s="13" t="n">
        <v>126</v>
      </c>
      <c r="CB328" s="13" t="n">
        <v>97</v>
      </c>
      <c r="CC328" s="13" t="n">
        <v>119</v>
      </c>
      <c r="CD328" s="13" t="n">
        <v>17.3</v>
      </c>
      <c r="CE328" s="13" t="n">
        <v>1904</v>
      </c>
      <c r="CF328" s="13" t="n">
        <v>0.96</v>
      </c>
      <c r="CG328" s="13" t="n">
        <v>1824</v>
      </c>
      <c r="CH328" s="13" t="n">
        <v>200</v>
      </c>
      <c r="CI328" s="13" t="n">
        <v>90</v>
      </c>
      <c r="CJ328" s="13" t="n">
        <v>52</v>
      </c>
      <c r="CK328" s="13" t="n">
        <v>304</v>
      </c>
      <c r="CL328" s="13" t="n">
        <v>43</v>
      </c>
      <c r="CM328" s="13" t="n">
        <v>250</v>
      </c>
      <c r="CN328" s="13" t="n">
        <v>0.831</v>
      </c>
      <c r="CO328" s="13" t="n">
        <v>162</v>
      </c>
      <c r="CP328" s="13" t="n">
        <v>144</v>
      </c>
      <c r="CQ328" s="13" t="n">
        <v>142</v>
      </c>
      <c r="CR328" s="13" t="n">
        <v>5</v>
      </c>
      <c r="CS328" s="13" t="n">
        <v>8.1</v>
      </c>
      <c r="CT328" s="11" t="inlineStr">
        <is>
          <t xml:space="preserve"> Resort Freeride</t>
        </is>
      </c>
      <c r="CU328" s="11" t="inlineStr">
        <is>
          <t xml:space="preserve"> Freeski</t>
        </is>
      </c>
      <c r="CV328" s="13" t="n"/>
      <c r="CW328" s="13" t="n"/>
      <c r="CX328">
        <f>INDEX('Data_Price '!AG$2:AG$1266,MATCH(Data!$DN328,'Data_Price '!$AT$2:$AT$1266,0))</f>
        <v/>
      </c>
      <c r="CY328">
        <f>INDEX('Data_Price '!AH$2:AH$1266,MATCH(Data!$DN328,'Data_Price '!$AT$2:$AT$1266,0))</f>
        <v/>
      </c>
      <c r="CZ328">
        <f>INDEX('Data_Price '!AI$2:AI$1266,MATCH(Data!$DN328,'Data_Price '!$AT$2:$AT$1266,0))</f>
        <v/>
      </c>
      <c r="DA328">
        <f>INDEX('Data_Price '!AJ$2:AJ$1266,MATCH(Data!$DN328,'Data_Price '!$AT$2:$AT$1266,0))</f>
        <v/>
      </c>
      <c r="DB328">
        <f>INDEX('Data_Price '!AK$2:AK$1266,MATCH(Data!$DN328,'Data_Price '!$AT$2:$AT$1266,0))</f>
        <v/>
      </c>
      <c r="DC328">
        <f>INDEX('Data_Price '!AL$2:AL$1266,MATCH(Data!$DN328,'Data_Price '!$AT$2:$AT$1266,0))</f>
        <v/>
      </c>
      <c r="DD328">
        <f>INDEX('Data_Price '!AM$2:AM$1266,MATCH(Data!$DN328,'Data_Price '!$AT$2:$AT$1266,0))</f>
        <v/>
      </c>
      <c r="DE328">
        <f>INDEX('Data_Price '!AN$2:AN$1266,MATCH(Data!$DN328,'Data_Price '!$AT$2:$AT$1266,0))</f>
        <v/>
      </c>
      <c r="DF328">
        <f>INDEX('Data_Price '!AO$2:AO$1266,MATCH(Data!$DN328,'Data_Price '!$AT$2:$AT$1266,0))</f>
        <v/>
      </c>
      <c r="DG328">
        <f>INDEX('Data_Price '!AP$2:AP$1266,MATCH(Data!$DN328,'Data_Price '!$AT$2:$AT$1266,0))</f>
        <v/>
      </c>
      <c r="DH328">
        <f>INDEX('Data_Price '!AQ$2:AQ$1266,MATCH(Data!$DN328,'Data_Price '!$AT$2:$AT$1266,0))</f>
        <v/>
      </c>
      <c r="DI328">
        <f>INDEX('Data_Price '!AR$2:AR$1266,MATCH(Data!$DN328,'Data_Price '!$AT$2:$AT$1266,0))</f>
        <v/>
      </c>
      <c r="DJ328" s="138">
        <f>DA328</f>
        <v/>
      </c>
      <c r="DK328" s="138">
        <f>DE328</f>
        <v/>
      </c>
      <c r="DL328" s="138">
        <f>DI328</f>
        <v/>
      </c>
      <c r="DM328" s="303">
        <f>IF(LEFT(BT328,1)=" ",RIGHT(BT328,LEN(BT328)-1),BT328)</f>
        <v/>
      </c>
      <c r="DN328" s="138">
        <f>_xlfn.CONCAT(BS328,DM328,BU328,BV328)</f>
        <v/>
      </c>
      <c r="DO328" s="307" t="inlineStr">
        <is>
          <t>https://images.evo.com/imgp/250/208633/839528/faction-prodigy-2-0-skis-2022-.jpg</t>
        </is>
      </c>
    </row>
    <row r="329" ht="15.6" customHeight="1" s="184">
      <c r="B329" s="303">
        <f t="array" ref="B329">IF(OR(ISERROR(K329:P329)),FALSE,TRUE)</f>
        <v/>
      </c>
      <c r="C329" s="60">
        <f>OR(BR329=Driver!$G$50,Data!BR927=Driver!$H$50)</f>
        <v/>
      </c>
      <c r="D329" s="60">
        <f>OR(BV329=Driver!$G$51,BV329=Driver!$H$51)</f>
        <v/>
      </c>
      <c r="E329" s="60">
        <f>AND(BX329&gt;Driver!$F$54,BX329&lt;Driver!$G$54)</f>
        <v/>
      </c>
      <c r="F329" s="60">
        <f>CL329&gt;Driver!$F$56</f>
        <v/>
      </c>
      <c r="G329" s="60">
        <f>AND(CB329&gt;Driver!$F$55,CB329&lt;Driver!$G$55)</f>
        <v/>
      </c>
      <c r="H329" s="60">
        <f>AND(B329:G329)</f>
        <v/>
      </c>
      <c r="I329" s="60">
        <f>COUNTIFS($H$9:$H$1273,TRUE,$BT$9:$BT$1273,BT329)</f>
        <v/>
      </c>
      <c r="J329" s="60">
        <f t="array" ref="J329">NOT(OR(($H$9:$H$1273=TRUE)*($I$9:$I$1273&gt;0)*($BT$9:$BT$1273=BT329)*($K$9:$K$1273&gt;K329)))</f>
        <v/>
      </c>
      <c r="K329" s="108">
        <f>IFERROR(1-AVERAGE(X329:Y329),"")</f>
        <v/>
      </c>
      <c r="L329" s="108">
        <f>1-X329</f>
        <v/>
      </c>
      <c r="M329" s="108">
        <f>1-Y329</f>
        <v/>
      </c>
      <c r="N329" s="108">
        <f>1-Z329</f>
        <v/>
      </c>
      <c r="O329" s="108">
        <f>1-AA329</f>
        <v/>
      </c>
      <c r="P329" s="108">
        <f>1-AB329</f>
        <v/>
      </c>
      <c r="Q329" s="108" t="n"/>
      <c r="R329" s="108" t="n"/>
      <c r="S329" s="108">
        <f>1-AE329</f>
        <v/>
      </c>
      <c r="T329" s="108">
        <f>1-AF329</f>
        <v/>
      </c>
      <c r="U329" s="108">
        <f>1-AG329</f>
        <v/>
      </c>
      <c r="V329" s="108">
        <f>1-AH329</f>
        <v/>
      </c>
      <c r="W329" s="108">
        <f>1-AI329</f>
        <v/>
      </c>
      <c r="X329" s="108">
        <f>ABS(AJ329-AJ$1)</f>
        <v/>
      </c>
      <c r="Y329" s="108">
        <f>AVERAGE(Z329:AB329)</f>
        <v/>
      </c>
      <c r="Z329" s="108">
        <f>ABS(AL329-AL$1)</f>
        <v/>
      </c>
      <c r="AA329" s="108">
        <f>ABS(AM329-AM$1)</f>
        <v/>
      </c>
      <c r="AB329" s="108">
        <f>ABS(AN329-AN$1)</f>
        <v/>
      </c>
      <c r="AC329" s="108" t="n"/>
      <c r="AD329" s="108" t="n"/>
      <c r="AE329" s="108">
        <f>ABS(AQ$1-AQ329)</f>
        <v/>
      </c>
      <c r="AF329" s="108">
        <f>ABS(AR$1-AR329)</f>
        <v/>
      </c>
      <c r="AG329" s="108">
        <f>ABS(AS$1-AS329)</f>
        <v/>
      </c>
      <c r="AH329" s="108">
        <f>ABS(AT$1-AT329)</f>
        <v/>
      </c>
      <c r="AI329" s="108">
        <f>ABS(AU$1-AU329)</f>
        <v/>
      </c>
      <c r="AJ329" s="108">
        <f>(AV329-Driver!$K$179)/(Driver!$L$179-Driver!$K$179)</f>
        <v/>
      </c>
      <c r="AK329" s="108">
        <f>(AW329-Driver!$K$180)/(Driver!$L$180-Driver!$K$180)</f>
        <v/>
      </c>
      <c r="AL329" s="108">
        <f>(AX329-Driver!$K$181)/(Driver!$L$181-Driver!$K$181)</f>
        <v/>
      </c>
      <c r="AM329" s="108">
        <f>(AY329-Driver!$K$182)/(Driver!$L$182-Driver!$K$182)</f>
        <v/>
      </c>
      <c r="AN329" s="108">
        <f>(AZ329-Driver!$K$183)/(Driver!$L$183-Driver!$K$183)</f>
        <v/>
      </c>
      <c r="AO329" s="108" t="n"/>
      <c r="AP329" s="108" t="n"/>
      <c r="AQ329" s="108">
        <f>(BC329-Driver!$K$188)/(Driver!$L$188-Driver!$K$188)</f>
        <v/>
      </c>
      <c r="AR329" s="108">
        <f>MIN((BD329-Driver!$K$189)/(Driver!$L$189-Driver!$K$189),100%)</f>
        <v/>
      </c>
      <c r="AS329" s="108">
        <f>(BE329-Driver!$K$190)/(Driver!$L$190-Driver!$K$190)</f>
        <v/>
      </c>
      <c r="AT329" s="108">
        <f>(BF329-Driver!$K$191)/(Driver!$L$191-Driver!$K$191)</f>
        <v/>
      </c>
      <c r="AU329" s="108">
        <f>(BG329-Driver!$K$192)/(Driver!$L$192-Driver!$K$192)</f>
        <v/>
      </c>
      <c r="AV329" s="105">
        <f>IFERROR(BM329*BJ329^1/4,"")</f>
        <v/>
      </c>
      <c r="AW329" s="105">
        <f>IFERROR(SUM(AX329:AZ329),"")</f>
        <v/>
      </c>
      <c r="AX329" s="105">
        <f>IFERROR(BH329,"")</f>
        <v/>
      </c>
      <c r="AY329" s="105">
        <f>IFERROR(Driver!$K$19/Data!BH329/Data!BI329*Data!BK329*Data!BL329,"")</f>
        <v/>
      </c>
      <c r="AZ329" s="105">
        <f>IFERROR(BI329*BN329,"")</f>
        <v/>
      </c>
      <c r="BA329" s="105" t="n"/>
      <c r="BB329" s="105" t="n"/>
      <c r="BC329" s="105">
        <f>IFERROR(BI329*BN329*BK329/BJ329^(1/2),"")</f>
        <v/>
      </c>
      <c r="BD329" s="105">
        <f>IFERROR(BH329*BM329*BL329/BJ329/BK329,"")</f>
        <v/>
      </c>
      <c r="BE329" s="105">
        <f>IFERROR(MIN(BI329/BQ329/BP329/BO329/BH329,$BE$1),"")</f>
        <v/>
      </c>
      <c r="BF329" s="105">
        <f>IFERROR(BJ329*BO329*BP329/BK329,"")</f>
        <v/>
      </c>
      <c r="BG329" s="105">
        <f>IFERROR(1/BM329/BH329*BQ329,"")</f>
        <v/>
      </c>
      <c r="BH329" s="102">
        <f>MAX((CE329-Driver!$F$200)/(Driver!$G$200-Driver!$F$200)*$BI$1,1)</f>
        <v/>
      </c>
      <c r="BI329" s="102">
        <f>MAX($BI$1*(BY329-Driver!$F$201)/(Driver!$G$201-Driver!$F$201),1)</f>
        <v/>
      </c>
      <c r="BJ329" s="102">
        <f>(CB329-Driver!$F$206)/(Driver!$G$206-Driver!$F$206)*$BI$1</f>
        <v/>
      </c>
      <c r="BK329" s="102">
        <f>(CD329-Driver!$F$203)/(Driver!$G$203-Driver!$F$203)*$BI$1</f>
        <v/>
      </c>
      <c r="BL329" s="102">
        <f>MAX((CR329-Driver!$F$202)/(Driver!$G$202-Driver!$F$202)*$BI$1,1)</f>
        <v/>
      </c>
      <c r="BM329" s="102">
        <f>MAX((CH329-Driver!$F$204)/(Driver!$G$204-Driver!$F$204)*$BI$1,1)</f>
        <v/>
      </c>
      <c r="BN329" s="102">
        <f>(CI329-Driver!$F$205)/(Driver!$G$205-Driver!$F$205)*$BI$1</f>
        <v/>
      </c>
      <c r="BO329" s="102">
        <f>(CK329-Driver!$F$207)/(Driver!$G$207-Driver!$F$207)*$BI$1</f>
        <v/>
      </c>
      <c r="BP329" s="102">
        <f>(CM329-Driver!$F$208)/(Driver!$G$208-Driver!$F$208)*$BI$1</f>
        <v/>
      </c>
      <c r="BQ329" s="102">
        <f>(CL329-Driver!$F$209)/(Driver!$G$209-Driver!$F$209)*$BI$1</f>
        <v/>
      </c>
      <c r="BR329" s="40" t="inlineStr">
        <is>
          <t>21/22</t>
        </is>
      </c>
      <c r="BS329" s="10" t="inlineStr">
        <is>
          <t xml:space="preserve"> Nordica</t>
        </is>
      </c>
      <c r="BT329" s="11" t="inlineStr">
        <is>
          <t>Santa Ana 93</t>
        </is>
      </c>
      <c r="BU329" s="13" t="n">
        <v>165</v>
      </c>
      <c r="BV329" s="11" t="inlineStr">
        <is>
          <t xml:space="preserve"> Women's</t>
        </is>
      </c>
      <c r="BW329" s="13" t="n">
        <v>165</v>
      </c>
      <c r="BX329" s="13" t="n">
        <v>164.2</v>
      </c>
      <c r="BY329" s="13" t="n">
        <v>117</v>
      </c>
      <c r="BZ329" s="13" t="n">
        <v>137</v>
      </c>
      <c r="CA329" s="13" t="n">
        <v>126</v>
      </c>
      <c r="CB329" s="13" t="n">
        <v>93</v>
      </c>
      <c r="CC329" s="13" t="n">
        <v>112</v>
      </c>
      <c r="CD329" s="13" t="n">
        <v>15.4</v>
      </c>
      <c r="CE329" s="13" t="n">
        <v>1825</v>
      </c>
      <c r="CF329" s="13" t="n">
        <v>0.93</v>
      </c>
      <c r="CG329" s="13" t="n">
        <v>1699</v>
      </c>
      <c r="CH329" s="13" t="n">
        <v>205</v>
      </c>
      <c r="CI329" s="13" t="n">
        <v>91</v>
      </c>
      <c r="CJ329" s="13" t="n">
        <v>60</v>
      </c>
      <c r="CK329" s="13" t="n">
        <v>283</v>
      </c>
      <c r="CL329" s="13" t="n">
        <v>14</v>
      </c>
      <c r="CM329" s="13" t="n">
        <v>186</v>
      </c>
      <c r="CN329" s="13" t="n">
        <v>0.23</v>
      </c>
      <c r="CO329" s="13" t="n">
        <v>130</v>
      </c>
      <c r="CP329" s="13" t="n">
        <v>137</v>
      </c>
      <c r="CQ329" s="13" t="n">
        <v>153</v>
      </c>
      <c r="CR329" s="13" t="n">
        <v>6</v>
      </c>
      <c r="CS329" s="13" t="n">
        <v>8.5</v>
      </c>
      <c r="CT329" s="11" t="inlineStr">
        <is>
          <t xml:space="preserve"> Resort Freeride</t>
        </is>
      </c>
      <c r="CU329" s="13" t="n"/>
      <c r="CV329" s="13" t="n"/>
      <c r="CW329" s="13" t="n"/>
      <c r="CX329">
        <f>INDEX('Data_Price '!AG$2:AG$1266,MATCH(Data!$DN329,'Data_Price '!$AT$2:$AT$1266,0))</f>
        <v/>
      </c>
      <c r="CY329">
        <f>INDEX('Data_Price '!AH$2:AH$1266,MATCH(Data!$DN329,'Data_Price '!$AT$2:$AT$1266,0))</f>
        <v/>
      </c>
      <c r="CZ329">
        <f>INDEX('Data_Price '!AI$2:AI$1266,MATCH(Data!$DN329,'Data_Price '!$AT$2:$AT$1266,0))</f>
        <v/>
      </c>
      <c r="DA329">
        <f>INDEX('Data_Price '!AJ$2:AJ$1266,MATCH(Data!$DN329,'Data_Price '!$AT$2:$AT$1266,0))</f>
        <v/>
      </c>
      <c r="DB329">
        <f>INDEX('Data_Price '!AK$2:AK$1266,MATCH(Data!$DN329,'Data_Price '!$AT$2:$AT$1266,0))</f>
        <v/>
      </c>
      <c r="DC329">
        <f>INDEX('Data_Price '!AL$2:AL$1266,MATCH(Data!$DN329,'Data_Price '!$AT$2:$AT$1266,0))</f>
        <v/>
      </c>
      <c r="DD329">
        <f>INDEX('Data_Price '!AM$2:AM$1266,MATCH(Data!$DN329,'Data_Price '!$AT$2:$AT$1266,0))</f>
        <v/>
      </c>
      <c r="DE329">
        <f>INDEX('Data_Price '!AN$2:AN$1266,MATCH(Data!$DN329,'Data_Price '!$AT$2:$AT$1266,0))</f>
        <v/>
      </c>
      <c r="DF329">
        <f>INDEX('Data_Price '!AO$2:AO$1266,MATCH(Data!$DN329,'Data_Price '!$AT$2:$AT$1266,0))</f>
        <v/>
      </c>
      <c r="DG329">
        <f>INDEX('Data_Price '!AP$2:AP$1266,MATCH(Data!$DN329,'Data_Price '!$AT$2:$AT$1266,0))</f>
        <v/>
      </c>
      <c r="DH329">
        <f>INDEX('Data_Price '!AQ$2:AQ$1266,MATCH(Data!$DN329,'Data_Price '!$AT$2:$AT$1266,0))</f>
        <v/>
      </c>
      <c r="DI329">
        <f>INDEX('Data_Price '!AR$2:AR$1266,MATCH(Data!$DN329,'Data_Price '!$AT$2:$AT$1266,0))</f>
        <v/>
      </c>
      <c r="DJ329" s="138">
        <f>DA329</f>
        <v/>
      </c>
      <c r="DK329" s="138">
        <f>DE329</f>
        <v/>
      </c>
      <c r="DL329" s="138">
        <f>DI329</f>
        <v/>
      </c>
      <c r="DM329" s="303">
        <f>IF(LEFT(BT329,1)=" ",RIGHT(BT329,LEN(BT329)-1),BT329)</f>
        <v/>
      </c>
      <c r="DN329" s="138">
        <f>_xlfn.CONCAT(BS329,DM329,BU329,BV329)</f>
        <v/>
      </c>
      <c r="DO329" s="307" t="inlineStr">
        <is>
          <t>https://images.evo.com/imgp/250/198265/792325/nordica-santa-ana-93-skis-women-s-2022-.jpg</t>
        </is>
      </c>
    </row>
    <row r="330" ht="15.6" customHeight="1" s="184">
      <c r="B330" s="303">
        <f t="array" ref="B330">IF(OR(ISERROR(K330:P330)),FALSE,TRUE)</f>
        <v/>
      </c>
      <c r="C330" s="60">
        <f>OR(BR330=Driver!$G$50,Data!BR875=Driver!$H$50)</f>
        <v/>
      </c>
      <c r="D330" s="60">
        <f>OR(BV330=Driver!$G$51,BV330=Driver!$H$51)</f>
        <v/>
      </c>
      <c r="E330" s="60">
        <f>AND(BX330&gt;Driver!$F$54,BX330&lt;Driver!$G$54)</f>
        <v/>
      </c>
      <c r="F330" s="60">
        <f>CL330&gt;Driver!$F$56</f>
        <v/>
      </c>
      <c r="G330" s="60">
        <f>AND(CB330&gt;Driver!$F$55,CB330&lt;Driver!$G$55)</f>
        <v/>
      </c>
      <c r="H330" s="60">
        <f>AND(B330:G330)</f>
        <v/>
      </c>
      <c r="I330" s="60">
        <f>COUNTIFS($H$9:$H$1273,TRUE,$BT$9:$BT$1273,BT330)</f>
        <v/>
      </c>
      <c r="J330" s="60">
        <f t="array" ref="J330">NOT(OR(($H$9:$H$1273=TRUE)*($I$9:$I$1273&gt;0)*($BT$9:$BT$1273=BT330)*($K$9:$K$1273&gt;K330)))</f>
        <v/>
      </c>
      <c r="K330" s="108">
        <f>IFERROR(1-AVERAGE(X330:Y330),"")</f>
        <v/>
      </c>
      <c r="L330" s="108">
        <f>1-X330</f>
        <v/>
      </c>
      <c r="M330" s="108">
        <f>1-Y330</f>
        <v/>
      </c>
      <c r="N330" s="108">
        <f>1-Z330</f>
        <v/>
      </c>
      <c r="O330" s="108">
        <f>1-AA330</f>
        <v/>
      </c>
      <c r="P330" s="108">
        <f>1-AB330</f>
        <v/>
      </c>
      <c r="Q330" s="108" t="n"/>
      <c r="R330" s="108" t="n"/>
      <c r="S330" s="108">
        <f>1-AE330</f>
        <v/>
      </c>
      <c r="T330" s="108">
        <f>1-AF330</f>
        <v/>
      </c>
      <c r="U330" s="108">
        <f>1-AG330</f>
        <v/>
      </c>
      <c r="V330" s="108">
        <f>1-AH330</f>
        <v/>
      </c>
      <c r="W330" s="108">
        <f>1-AI330</f>
        <v/>
      </c>
      <c r="X330" s="108">
        <f>ABS(AJ330-AJ$1)</f>
        <v/>
      </c>
      <c r="Y330" s="108">
        <f>AVERAGE(Z330:AB330)</f>
        <v/>
      </c>
      <c r="Z330" s="108">
        <f>ABS(AL330-AL$1)</f>
        <v/>
      </c>
      <c r="AA330" s="108">
        <f>ABS(AM330-AM$1)</f>
        <v/>
      </c>
      <c r="AB330" s="108">
        <f>ABS(AN330-AN$1)</f>
        <v/>
      </c>
      <c r="AC330" s="108" t="n"/>
      <c r="AD330" s="108" t="n"/>
      <c r="AE330" s="108">
        <f>ABS(AQ$1-AQ330)</f>
        <v/>
      </c>
      <c r="AF330" s="108">
        <f>ABS(AR$1-AR330)</f>
        <v/>
      </c>
      <c r="AG330" s="108">
        <f>ABS(AS$1-AS330)</f>
        <v/>
      </c>
      <c r="AH330" s="108">
        <f>ABS(AT$1-AT330)</f>
        <v/>
      </c>
      <c r="AI330" s="108">
        <f>ABS(AU$1-AU330)</f>
        <v/>
      </c>
      <c r="AJ330" s="108">
        <f>(AV330-Driver!$K$179)/(Driver!$L$179-Driver!$K$179)</f>
        <v/>
      </c>
      <c r="AK330" s="108">
        <f>(AW330-Driver!$K$180)/(Driver!$L$180-Driver!$K$180)</f>
        <v/>
      </c>
      <c r="AL330" s="108">
        <f>(AX330-Driver!$K$181)/(Driver!$L$181-Driver!$K$181)</f>
        <v/>
      </c>
      <c r="AM330" s="108">
        <f>(AY330-Driver!$K$182)/(Driver!$L$182-Driver!$K$182)</f>
        <v/>
      </c>
      <c r="AN330" s="108">
        <f>(AZ330-Driver!$K$183)/(Driver!$L$183-Driver!$K$183)</f>
        <v/>
      </c>
      <c r="AO330" s="108" t="n"/>
      <c r="AP330" s="108" t="n"/>
      <c r="AQ330" s="108">
        <f>(BC330-Driver!$K$188)/(Driver!$L$188-Driver!$K$188)</f>
        <v/>
      </c>
      <c r="AR330" s="108">
        <f>MIN((BD330-Driver!$K$189)/(Driver!$L$189-Driver!$K$189),100%)</f>
        <v/>
      </c>
      <c r="AS330" s="108">
        <f>(BE330-Driver!$K$190)/(Driver!$L$190-Driver!$K$190)</f>
        <v/>
      </c>
      <c r="AT330" s="108">
        <f>(BF330-Driver!$K$191)/(Driver!$L$191-Driver!$K$191)</f>
        <v/>
      </c>
      <c r="AU330" s="108">
        <f>(BG330-Driver!$K$192)/(Driver!$L$192-Driver!$K$192)</f>
        <v/>
      </c>
      <c r="AV330" s="105">
        <f>IFERROR(BM330*BJ330^1/4,"")</f>
        <v/>
      </c>
      <c r="AW330" s="105">
        <f>IFERROR(SUM(AX330:AZ330),"")</f>
        <v/>
      </c>
      <c r="AX330" s="105">
        <f>IFERROR(BH330,"")</f>
        <v/>
      </c>
      <c r="AY330" s="105">
        <f>IFERROR(Driver!$K$19/Data!BH330/Data!BI330*Data!BK330*Data!BL330,"")</f>
        <v/>
      </c>
      <c r="AZ330" s="105">
        <f>IFERROR(BI330*BN330,"")</f>
        <v/>
      </c>
      <c r="BA330" s="105" t="n"/>
      <c r="BB330" s="105" t="n"/>
      <c r="BC330" s="105">
        <f>IFERROR(BI330*BN330*BK330/BJ330^(1/2),"")</f>
        <v/>
      </c>
      <c r="BD330" s="105">
        <f>IFERROR(BH330*BM330*BL330/BJ330/BK330,"")</f>
        <v/>
      </c>
      <c r="BE330" s="105">
        <f>IFERROR(MIN(BI330/BQ330/BP330/BO330/BH330,$BE$1),"")</f>
        <v/>
      </c>
      <c r="BF330" s="105">
        <f>IFERROR(BJ330*BO330*BP330/BK330,"")</f>
        <v/>
      </c>
      <c r="BG330" s="105">
        <f>IFERROR(1/BM330/BH330*BQ330,"")</f>
        <v/>
      </c>
      <c r="BH330" s="102">
        <f>MAX((CE330-Driver!$F$200)/(Driver!$G$200-Driver!$F$200)*$BI$1,1)</f>
        <v/>
      </c>
      <c r="BI330" s="102">
        <f>MAX($BI$1*(BY330-Driver!$F$201)/(Driver!$G$201-Driver!$F$201),1)</f>
        <v/>
      </c>
      <c r="BJ330" s="102">
        <f>(CB330-Driver!$F$206)/(Driver!$G$206-Driver!$F$206)*$BI$1</f>
        <v/>
      </c>
      <c r="BK330" s="102">
        <f>(CD330-Driver!$F$203)/(Driver!$G$203-Driver!$F$203)*$BI$1</f>
        <v/>
      </c>
      <c r="BL330" s="102">
        <f>MAX((CR330-Driver!$F$202)/(Driver!$G$202-Driver!$F$202)*$BI$1,1)</f>
        <v/>
      </c>
      <c r="BM330" s="102">
        <f>MAX((CH330-Driver!$F$204)/(Driver!$G$204-Driver!$F$204)*$BI$1,1)</f>
        <v/>
      </c>
      <c r="BN330" s="102">
        <f>(CI330-Driver!$F$205)/(Driver!$G$205-Driver!$F$205)*$BI$1</f>
        <v/>
      </c>
      <c r="BO330" s="102">
        <f>(CK330-Driver!$F$207)/(Driver!$G$207-Driver!$F$207)*$BI$1</f>
        <v/>
      </c>
      <c r="BP330" s="102">
        <f>(CM330-Driver!$F$208)/(Driver!$G$208-Driver!$F$208)*$BI$1</f>
        <v/>
      </c>
      <c r="BQ330" s="102">
        <f>(CL330-Driver!$F$209)/(Driver!$G$209-Driver!$F$209)*$BI$1</f>
        <v/>
      </c>
      <c r="BR330" s="40" t="inlineStr">
        <is>
          <t>21/22</t>
        </is>
      </c>
      <c r="BS330" s="10" t="inlineStr">
        <is>
          <t xml:space="preserve"> Line</t>
        </is>
      </c>
      <c r="BT330" s="11" t="inlineStr">
        <is>
          <t xml:space="preserve"> Tom Wallisch Pro</t>
        </is>
      </c>
      <c r="BU330" s="13" t="n">
        <v>178</v>
      </c>
      <c r="BV330" s="11" t="inlineStr">
        <is>
          <t xml:space="preserve"> Unisex</t>
        </is>
      </c>
      <c r="BW330" s="13" t="n">
        <v>178</v>
      </c>
      <c r="BX330" s="13" t="n">
        <v>177.7</v>
      </c>
      <c r="BY330" s="13" t="n">
        <v>131</v>
      </c>
      <c r="BZ330" s="13" t="n">
        <v>151</v>
      </c>
      <c r="CA330" s="13" t="n">
        <v>117</v>
      </c>
      <c r="CB330" s="13" t="n">
        <v>89</v>
      </c>
      <c r="CC330" s="13" t="n">
        <v>116</v>
      </c>
      <c r="CD330" s="13" t="n">
        <v>19.9</v>
      </c>
      <c r="CE330" s="13" t="n">
        <v>1752</v>
      </c>
      <c r="CF330" s="13" t="n">
        <v>1.01</v>
      </c>
      <c r="CG330" s="13" t="n">
        <v>1763</v>
      </c>
      <c r="CH330" s="13" t="n">
        <v>200</v>
      </c>
      <c r="CI330" s="13" t="n">
        <v>91</v>
      </c>
      <c r="CJ330" s="13" t="n">
        <v>42</v>
      </c>
      <c r="CK330" s="13" t="n">
        <v>235</v>
      </c>
      <c r="CL330" s="13" t="n">
        <v>44</v>
      </c>
      <c r="CM330" s="13" t="n">
        <v>228</v>
      </c>
      <c r="CN330" s="13" t="n">
        <v>1.031</v>
      </c>
      <c r="CO330" s="13" t="n">
        <v>125</v>
      </c>
      <c r="CP330" s="13" t="n">
        <v>139</v>
      </c>
      <c r="CQ330" s="13" t="n">
        <v>110</v>
      </c>
      <c r="CR330" s="13" t="n">
        <v>8</v>
      </c>
      <c r="CS330" s="13" t="n">
        <v>2.4</v>
      </c>
      <c r="CT330" s="11" t="inlineStr">
        <is>
          <t xml:space="preserve"> Freeski</t>
        </is>
      </c>
      <c r="CU330" s="13" t="n"/>
      <c r="CV330" s="13" t="n"/>
      <c r="CW330" s="13" t="n"/>
      <c r="CX330">
        <f>INDEX('Data_Price '!AG$2:AG$1266,MATCH(Data!$DN330,'Data_Price '!$AT$2:$AT$1266,0))</f>
        <v/>
      </c>
      <c r="CY330">
        <f>INDEX('Data_Price '!AH$2:AH$1266,MATCH(Data!$DN330,'Data_Price '!$AT$2:$AT$1266,0))</f>
        <v/>
      </c>
      <c r="CZ330">
        <f>INDEX('Data_Price '!AI$2:AI$1266,MATCH(Data!$DN330,'Data_Price '!$AT$2:$AT$1266,0))</f>
        <v/>
      </c>
      <c r="DA330">
        <f>INDEX('Data_Price '!AJ$2:AJ$1266,MATCH(Data!$DN330,'Data_Price '!$AT$2:$AT$1266,0))</f>
        <v/>
      </c>
      <c r="DB330">
        <f>INDEX('Data_Price '!AK$2:AK$1266,MATCH(Data!$DN330,'Data_Price '!$AT$2:$AT$1266,0))</f>
        <v/>
      </c>
      <c r="DC330">
        <f>INDEX('Data_Price '!AL$2:AL$1266,MATCH(Data!$DN330,'Data_Price '!$AT$2:$AT$1266,0))</f>
        <v/>
      </c>
      <c r="DD330">
        <f>INDEX('Data_Price '!AM$2:AM$1266,MATCH(Data!$DN330,'Data_Price '!$AT$2:$AT$1266,0))</f>
        <v/>
      </c>
      <c r="DE330">
        <f>INDEX('Data_Price '!AN$2:AN$1266,MATCH(Data!$DN330,'Data_Price '!$AT$2:$AT$1266,0))</f>
        <v/>
      </c>
      <c r="DF330">
        <f>INDEX('Data_Price '!AO$2:AO$1266,MATCH(Data!$DN330,'Data_Price '!$AT$2:$AT$1266,0))</f>
        <v/>
      </c>
      <c r="DG330">
        <f>INDEX('Data_Price '!AP$2:AP$1266,MATCH(Data!$DN330,'Data_Price '!$AT$2:$AT$1266,0))</f>
        <v/>
      </c>
      <c r="DH330">
        <f>INDEX('Data_Price '!AQ$2:AQ$1266,MATCH(Data!$DN330,'Data_Price '!$AT$2:$AT$1266,0))</f>
        <v/>
      </c>
      <c r="DI330">
        <f>INDEX('Data_Price '!AR$2:AR$1266,MATCH(Data!$DN330,'Data_Price '!$AT$2:$AT$1266,0))</f>
        <v/>
      </c>
      <c r="DJ330" s="138">
        <f>DA330</f>
        <v/>
      </c>
      <c r="DK330" s="138">
        <f>DE330</f>
        <v/>
      </c>
      <c r="DL330" s="138">
        <f>DI330</f>
        <v/>
      </c>
      <c r="DM330" s="303">
        <f>IF(LEFT(BT330,1)=" ",RIGHT(BT330,LEN(BT330)-1),BT330)</f>
        <v/>
      </c>
      <c r="DN330" s="138">
        <f>_xlfn.CONCAT(BS330,DM330,BU330,BV330)</f>
        <v/>
      </c>
      <c r="DO330" s="307" t="n"/>
    </row>
    <row r="331" ht="15.6" customHeight="1" s="184">
      <c r="B331" s="303">
        <f t="array" ref="B331">IF(OR(ISERROR(K331:P331)),FALSE,TRUE)</f>
        <v/>
      </c>
      <c r="C331" s="60">
        <f>OR(BR331=Driver!$G$50,Data!BR549=Driver!$H$50)</f>
        <v/>
      </c>
      <c r="D331" s="60">
        <f>OR(BV331=Driver!$G$51,BV331=Driver!$H$51)</f>
        <v/>
      </c>
      <c r="E331" s="60">
        <f>AND(BX331&gt;Driver!$F$54,BX331&lt;Driver!$G$54)</f>
        <v/>
      </c>
      <c r="F331" s="60">
        <f>CL331&gt;Driver!$F$56</f>
        <v/>
      </c>
      <c r="G331" s="60">
        <f>AND(CB331&gt;Driver!$F$55,CB331&lt;Driver!$G$55)</f>
        <v/>
      </c>
      <c r="H331" s="60">
        <f>AND(B331:G331)</f>
        <v/>
      </c>
      <c r="I331" s="60">
        <f>COUNTIFS($H$9:$H$1273,TRUE,$BT$9:$BT$1273,BT331)</f>
        <v/>
      </c>
      <c r="J331" s="60">
        <f t="array" ref="J331">NOT(OR(($H$9:$H$1273=TRUE)*($I$9:$I$1273&gt;0)*($BT$9:$BT$1273=BT331)*($K$9:$K$1273&gt;K331)))</f>
        <v/>
      </c>
      <c r="K331" s="108">
        <f>IFERROR(1-AVERAGE(X331:Y331),"")</f>
        <v/>
      </c>
      <c r="L331" s="108">
        <f>1-X331</f>
        <v/>
      </c>
      <c r="M331" s="108">
        <f>1-Y331</f>
        <v/>
      </c>
      <c r="N331" s="108">
        <f>1-Z331</f>
        <v/>
      </c>
      <c r="O331" s="108">
        <f>1-AA331</f>
        <v/>
      </c>
      <c r="P331" s="108">
        <f>1-AB331</f>
        <v/>
      </c>
      <c r="Q331" s="108" t="n"/>
      <c r="R331" s="108" t="n"/>
      <c r="S331" s="108">
        <f>1-AE331</f>
        <v/>
      </c>
      <c r="T331" s="108">
        <f>1-AF331</f>
        <v/>
      </c>
      <c r="U331" s="108">
        <f>1-AG331</f>
        <v/>
      </c>
      <c r="V331" s="108">
        <f>1-AH331</f>
        <v/>
      </c>
      <c r="W331" s="108">
        <f>1-AI331</f>
        <v/>
      </c>
      <c r="X331" s="108">
        <f>ABS(AJ331-AJ$1)</f>
        <v/>
      </c>
      <c r="Y331" s="108">
        <f>AVERAGE(Z331:AB331)</f>
        <v/>
      </c>
      <c r="Z331" s="108">
        <f>ABS(AL331-AL$1)</f>
        <v/>
      </c>
      <c r="AA331" s="108">
        <f>ABS(AM331-AM$1)</f>
        <v/>
      </c>
      <c r="AB331" s="108">
        <f>ABS(AN331-AN$1)</f>
        <v/>
      </c>
      <c r="AC331" s="108" t="n"/>
      <c r="AD331" s="108" t="n"/>
      <c r="AE331" s="108">
        <f>ABS(AQ$1-AQ331)</f>
        <v/>
      </c>
      <c r="AF331" s="108">
        <f>ABS(AR$1-AR331)</f>
        <v/>
      </c>
      <c r="AG331" s="108">
        <f>ABS(AS$1-AS331)</f>
        <v/>
      </c>
      <c r="AH331" s="108">
        <f>ABS(AT$1-AT331)</f>
        <v/>
      </c>
      <c r="AI331" s="108">
        <f>ABS(AU$1-AU331)</f>
        <v/>
      </c>
      <c r="AJ331" s="108">
        <f>(AV331-Driver!$K$179)/(Driver!$L$179-Driver!$K$179)</f>
        <v/>
      </c>
      <c r="AK331" s="108">
        <f>(AW331-Driver!$K$180)/(Driver!$L$180-Driver!$K$180)</f>
        <v/>
      </c>
      <c r="AL331" s="108">
        <f>(AX331-Driver!$K$181)/(Driver!$L$181-Driver!$K$181)</f>
        <v/>
      </c>
      <c r="AM331" s="108">
        <f>(AY331-Driver!$K$182)/(Driver!$L$182-Driver!$K$182)</f>
        <v/>
      </c>
      <c r="AN331" s="108">
        <f>(AZ331-Driver!$K$183)/(Driver!$L$183-Driver!$K$183)</f>
        <v/>
      </c>
      <c r="AO331" s="108" t="n"/>
      <c r="AP331" s="108" t="n"/>
      <c r="AQ331" s="108">
        <f>(BC331-Driver!$K$188)/(Driver!$L$188-Driver!$K$188)</f>
        <v/>
      </c>
      <c r="AR331" s="108">
        <f>MIN((BD331-Driver!$K$189)/(Driver!$L$189-Driver!$K$189),100%)</f>
        <v/>
      </c>
      <c r="AS331" s="108">
        <f>(BE331-Driver!$K$190)/(Driver!$L$190-Driver!$K$190)</f>
        <v/>
      </c>
      <c r="AT331" s="108">
        <f>(BF331-Driver!$K$191)/(Driver!$L$191-Driver!$K$191)</f>
        <v/>
      </c>
      <c r="AU331" s="108">
        <f>(BG331-Driver!$K$192)/(Driver!$L$192-Driver!$K$192)</f>
        <v/>
      </c>
      <c r="AV331" s="105">
        <f>IFERROR(BM331*BJ331^1/4,"")</f>
        <v/>
      </c>
      <c r="AW331" s="105">
        <f>IFERROR(SUM(AX331:AZ331),"")</f>
        <v/>
      </c>
      <c r="AX331" s="105">
        <f>IFERROR(BH331,"")</f>
        <v/>
      </c>
      <c r="AY331" s="105">
        <f>IFERROR(Driver!$K$19/Data!BH331/Data!BI331*Data!BK331*Data!BL331,"")</f>
        <v/>
      </c>
      <c r="AZ331" s="105">
        <f>IFERROR(BI331*BN331,"")</f>
        <v/>
      </c>
      <c r="BA331" s="105" t="n"/>
      <c r="BB331" s="105" t="n"/>
      <c r="BC331" s="105">
        <f>IFERROR(BI331*BN331*BK331/BJ331^(1/2),"")</f>
        <v/>
      </c>
      <c r="BD331" s="105">
        <f>IFERROR(BH331*BM331*BL331/BJ331/BK331,"")</f>
        <v/>
      </c>
      <c r="BE331" s="105">
        <f>IFERROR(MIN(BI331/BQ331/BP331/BO331/BH331,$BE$1),"")</f>
        <v/>
      </c>
      <c r="BF331" s="105">
        <f>IFERROR(BJ331*BO331*BP331/BK331,"")</f>
        <v/>
      </c>
      <c r="BG331" s="105">
        <f>IFERROR(1/BM331/BH331*BQ331,"")</f>
        <v/>
      </c>
      <c r="BH331" s="102">
        <f>MAX((CE331-Driver!$F$200)/(Driver!$G$200-Driver!$F$200)*$BI$1,1)</f>
        <v/>
      </c>
      <c r="BI331" s="102">
        <f>MAX($BI$1*(BY331-Driver!$F$201)/(Driver!$G$201-Driver!$F$201),1)</f>
        <v/>
      </c>
      <c r="BJ331" s="102">
        <f>(CB331-Driver!$F$206)/(Driver!$G$206-Driver!$F$206)*$BI$1</f>
        <v/>
      </c>
      <c r="BK331" s="102">
        <f>(CD331-Driver!$F$203)/(Driver!$G$203-Driver!$F$203)*$BI$1</f>
        <v/>
      </c>
      <c r="BL331" s="102">
        <f>MAX((CR331-Driver!$F$202)/(Driver!$G$202-Driver!$F$202)*$BI$1,1)</f>
        <v/>
      </c>
      <c r="BM331" s="102">
        <f>MAX((CH331-Driver!$F$204)/(Driver!$G$204-Driver!$F$204)*$BI$1,1)</f>
        <v/>
      </c>
      <c r="BN331" s="102">
        <f>(CI331-Driver!$F$205)/(Driver!$G$205-Driver!$F$205)*$BI$1</f>
        <v/>
      </c>
      <c r="BO331" s="102">
        <f>(CK331-Driver!$F$207)/(Driver!$G$207-Driver!$F$207)*$BI$1</f>
        <v/>
      </c>
      <c r="BP331" s="102">
        <f>(CM331-Driver!$F$208)/(Driver!$G$208-Driver!$F$208)*$BI$1</f>
        <v/>
      </c>
      <c r="BQ331" s="102">
        <f>(CL331-Driver!$F$209)/(Driver!$G$209-Driver!$F$209)*$BI$1</f>
        <v/>
      </c>
      <c r="BR331" s="40" t="inlineStr">
        <is>
          <t>21/22</t>
        </is>
      </c>
      <c r="BS331" s="10" t="inlineStr">
        <is>
          <t xml:space="preserve"> Ferreol</t>
        </is>
      </c>
      <c r="BT331" s="11" t="inlineStr">
        <is>
          <t>Pionnier 104</t>
        </is>
      </c>
      <c r="BU331" s="13" t="n">
        <v>188</v>
      </c>
      <c r="BV331" s="11" t="inlineStr">
        <is>
          <t xml:space="preserve"> Unisex</t>
        </is>
      </c>
      <c r="BW331" s="13" t="n">
        <v>188</v>
      </c>
      <c r="BX331" s="13" t="n">
        <v>188.6</v>
      </c>
      <c r="BY331" s="13" t="n">
        <v>134</v>
      </c>
      <c r="BZ331" s="13" t="n">
        <v>149</v>
      </c>
      <c r="CA331" s="13" t="n">
        <v>136</v>
      </c>
      <c r="CB331" s="13" t="n">
        <v>104</v>
      </c>
      <c r="CC331" s="13" t="n">
        <v>126</v>
      </c>
      <c r="CD331" s="13" t="n">
        <v>17.4</v>
      </c>
      <c r="CE331" s="13" t="n">
        <v>1891</v>
      </c>
      <c r="CF331" s="13" t="n">
        <v>1.15</v>
      </c>
      <c r="CG331" s="13" t="n">
        <v>2168</v>
      </c>
      <c r="CH331" s="13" t="n">
        <v>237</v>
      </c>
      <c r="CI331" s="13" t="n">
        <v>89</v>
      </c>
      <c r="CJ331" s="13" t="n">
        <v>45</v>
      </c>
      <c r="CK331" s="13" t="n">
        <v>322</v>
      </c>
      <c r="CL331" s="13" t="n">
        <v>26</v>
      </c>
      <c r="CM331" s="13" t="n">
        <v>221</v>
      </c>
      <c r="CN331" s="13" t="n">
        <v>0.5679999999999999</v>
      </c>
      <c r="CO331" s="13" t="n">
        <v>271</v>
      </c>
      <c r="CP331" s="13" t="n">
        <v>124</v>
      </c>
      <c r="CQ331" s="13" t="n">
        <v>51</v>
      </c>
      <c r="CR331" s="13" t="n">
        <v>11</v>
      </c>
      <c r="CS331" s="13" t="n">
        <v>10.6</v>
      </c>
      <c r="CT331" s="11" t="inlineStr">
        <is>
          <t xml:space="preserve"> Resort Freeride</t>
        </is>
      </c>
      <c r="CU331" s="11" t="inlineStr">
        <is>
          <t xml:space="preserve"> Powder</t>
        </is>
      </c>
      <c r="CV331" s="11" t="inlineStr">
        <is>
          <t xml:space="preserve"> Touring</t>
        </is>
      </c>
      <c r="CW331" s="13" t="n"/>
      <c r="CX331">
        <f>INDEX('Data_Price '!AG$2:AG$1266,MATCH(Data!$DN331,'Data_Price '!$AT$2:$AT$1266,0))</f>
        <v/>
      </c>
      <c r="CY331">
        <f>INDEX('Data_Price '!AH$2:AH$1266,MATCH(Data!$DN331,'Data_Price '!$AT$2:$AT$1266,0))</f>
        <v/>
      </c>
      <c r="CZ331">
        <f>INDEX('Data_Price '!AI$2:AI$1266,MATCH(Data!$DN331,'Data_Price '!$AT$2:$AT$1266,0))</f>
        <v/>
      </c>
      <c r="DA331">
        <f>INDEX('Data_Price '!AJ$2:AJ$1266,MATCH(Data!$DN331,'Data_Price '!$AT$2:$AT$1266,0))</f>
        <v/>
      </c>
      <c r="DB331">
        <f>INDEX('Data_Price '!AK$2:AK$1266,MATCH(Data!$DN331,'Data_Price '!$AT$2:$AT$1266,0))</f>
        <v/>
      </c>
      <c r="DC331">
        <f>INDEX('Data_Price '!AL$2:AL$1266,MATCH(Data!$DN331,'Data_Price '!$AT$2:$AT$1266,0))</f>
        <v/>
      </c>
      <c r="DD331">
        <f>INDEX('Data_Price '!AM$2:AM$1266,MATCH(Data!$DN331,'Data_Price '!$AT$2:$AT$1266,0))</f>
        <v/>
      </c>
      <c r="DE331">
        <f>INDEX('Data_Price '!AN$2:AN$1266,MATCH(Data!$DN331,'Data_Price '!$AT$2:$AT$1266,0))</f>
        <v/>
      </c>
      <c r="DF331">
        <f>INDEX('Data_Price '!AO$2:AO$1266,MATCH(Data!$DN331,'Data_Price '!$AT$2:$AT$1266,0))</f>
        <v/>
      </c>
      <c r="DG331">
        <f>INDEX('Data_Price '!AP$2:AP$1266,MATCH(Data!$DN331,'Data_Price '!$AT$2:$AT$1266,0))</f>
        <v/>
      </c>
      <c r="DH331">
        <f>INDEX('Data_Price '!AQ$2:AQ$1266,MATCH(Data!$DN331,'Data_Price '!$AT$2:$AT$1266,0))</f>
        <v/>
      </c>
      <c r="DI331">
        <f>INDEX('Data_Price '!AR$2:AR$1266,MATCH(Data!$DN331,'Data_Price '!$AT$2:$AT$1266,0))</f>
        <v/>
      </c>
      <c r="DJ331" s="138">
        <f>DA331</f>
        <v/>
      </c>
      <c r="DK331" s="138">
        <f>DE331</f>
        <v/>
      </c>
      <c r="DL331" s="138">
        <f>DI331</f>
        <v/>
      </c>
      <c r="DM331" s="303">
        <f>IF(LEFT(BT331,1)=" ",RIGHT(BT331,LEN(BT331)-1),BT331)</f>
        <v/>
      </c>
      <c r="DN331" s="138">
        <f>_xlfn.CONCAT(BS331,DM331,BU331,BV331)</f>
        <v/>
      </c>
      <c r="DO331" s="307" t="n"/>
    </row>
    <row r="332" ht="15.6" customHeight="1" s="184">
      <c r="B332" s="303">
        <f t="array" ref="B332">IF(OR(ISERROR(K332:P332)),FALSE,TRUE)</f>
        <v/>
      </c>
      <c r="C332" s="60">
        <f>OR(BR332=Driver!$G$50,Data!BR637=Driver!$H$50)</f>
        <v/>
      </c>
      <c r="D332" s="60">
        <f>OR(BV332=Driver!$G$51,BV332=Driver!$H$51)</f>
        <v/>
      </c>
      <c r="E332" s="60">
        <f>AND(BX332&gt;Driver!$F$54,BX332&lt;Driver!$G$54)</f>
        <v/>
      </c>
      <c r="F332" s="60">
        <f>CL332&gt;Driver!$F$56</f>
        <v/>
      </c>
      <c r="G332" s="60">
        <f>AND(CB332&gt;Driver!$F$55,CB332&lt;Driver!$G$55)</f>
        <v/>
      </c>
      <c r="H332" s="60">
        <f>AND(B332:G332)</f>
        <v/>
      </c>
      <c r="I332" s="60">
        <f>COUNTIFS($H$9:$H$1273,TRUE,$BT$9:$BT$1273,BT332)</f>
        <v/>
      </c>
      <c r="J332" s="60">
        <f t="array" ref="J332">NOT(OR(($H$9:$H$1273=TRUE)*($I$9:$I$1273&gt;0)*($BT$9:$BT$1273=BT332)*($K$9:$K$1273&gt;K332)))</f>
        <v/>
      </c>
      <c r="K332" s="108">
        <f>IFERROR(1-AVERAGE(X332:Y332),"")</f>
        <v/>
      </c>
      <c r="L332" s="108">
        <f>1-X332</f>
        <v/>
      </c>
      <c r="M332" s="108">
        <f>1-Y332</f>
        <v/>
      </c>
      <c r="N332" s="108">
        <f>1-Z332</f>
        <v/>
      </c>
      <c r="O332" s="108">
        <f>1-AA332</f>
        <v/>
      </c>
      <c r="P332" s="108">
        <f>1-AB332</f>
        <v/>
      </c>
      <c r="Q332" s="108" t="n"/>
      <c r="R332" s="108" t="n"/>
      <c r="S332" s="108">
        <f>1-AE332</f>
        <v/>
      </c>
      <c r="T332" s="108">
        <f>1-AF332</f>
        <v/>
      </c>
      <c r="U332" s="108">
        <f>1-AG332</f>
        <v/>
      </c>
      <c r="V332" s="108">
        <f>1-AH332</f>
        <v/>
      </c>
      <c r="W332" s="108">
        <f>1-AI332</f>
        <v/>
      </c>
      <c r="X332" s="108">
        <f>ABS(AJ332-AJ$1)</f>
        <v/>
      </c>
      <c r="Y332" s="108">
        <f>AVERAGE(Z332:AB332)</f>
        <v/>
      </c>
      <c r="Z332" s="108">
        <f>ABS(AL332-AL$1)</f>
        <v/>
      </c>
      <c r="AA332" s="108">
        <f>ABS(AM332-AM$1)</f>
        <v/>
      </c>
      <c r="AB332" s="108">
        <f>ABS(AN332-AN$1)</f>
        <v/>
      </c>
      <c r="AC332" s="108" t="n"/>
      <c r="AD332" s="108" t="n"/>
      <c r="AE332" s="108">
        <f>ABS(AQ$1-AQ332)</f>
        <v/>
      </c>
      <c r="AF332" s="108">
        <f>ABS(AR$1-AR332)</f>
        <v/>
      </c>
      <c r="AG332" s="108">
        <f>ABS(AS$1-AS332)</f>
        <v/>
      </c>
      <c r="AH332" s="108">
        <f>ABS(AT$1-AT332)</f>
        <v/>
      </c>
      <c r="AI332" s="108">
        <f>ABS(AU$1-AU332)</f>
        <v/>
      </c>
      <c r="AJ332" s="108">
        <f>(AV332-Driver!$K$179)/(Driver!$L$179-Driver!$K$179)</f>
        <v/>
      </c>
      <c r="AK332" s="108">
        <f>(AW332-Driver!$K$180)/(Driver!$L$180-Driver!$K$180)</f>
        <v/>
      </c>
      <c r="AL332" s="108">
        <f>(AX332-Driver!$K$181)/(Driver!$L$181-Driver!$K$181)</f>
        <v/>
      </c>
      <c r="AM332" s="108">
        <f>(AY332-Driver!$K$182)/(Driver!$L$182-Driver!$K$182)</f>
        <v/>
      </c>
      <c r="AN332" s="108">
        <f>(AZ332-Driver!$K$183)/(Driver!$L$183-Driver!$K$183)</f>
        <v/>
      </c>
      <c r="AO332" s="108" t="n"/>
      <c r="AP332" s="108" t="n"/>
      <c r="AQ332" s="108">
        <f>(BC332-Driver!$K$188)/(Driver!$L$188-Driver!$K$188)</f>
        <v/>
      </c>
      <c r="AR332" s="108">
        <f>MIN((BD332-Driver!$K$189)/(Driver!$L$189-Driver!$K$189),100%)</f>
        <v/>
      </c>
      <c r="AS332" s="108">
        <f>(BE332-Driver!$K$190)/(Driver!$L$190-Driver!$K$190)</f>
        <v/>
      </c>
      <c r="AT332" s="108">
        <f>(BF332-Driver!$K$191)/(Driver!$L$191-Driver!$K$191)</f>
        <v/>
      </c>
      <c r="AU332" s="108">
        <f>(BG332-Driver!$K$192)/(Driver!$L$192-Driver!$K$192)</f>
        <v/>
      </c>
      <c r="AV332" s="105">
        <f>IFERROR(BM332*BJ332^1/4,"")</f>
        <v/>
      </c>
      <c r="AW332" s="105">
        <f>IFERROR(SUM(AX332:AZ332),"")</f>
        <v/>
      </c>
      <c r="AX332" s="105">
        <f>IFERROR(BH332,"")</f>
        <v/>
      </c>
      <c r="AY332" s="105">
        <f>IFERROR(Driver!$K$19/Data!BH332/Data!BI332*Data!BK332*Data!BL332,"")</f>
        <v/>
      </c>
      <c r="AZ332" s="105">
        <f>IFERROR(BI332*BN332,"")</f>
        <v/>
      </c>
      <c r="BA332" s="105" t="n"/>
      <c r="BB332" s="105" t="n"/>
      <c r="BC332" s="105">
        <f>IFERROR(BI332*BN332*BK332/BJ332^(1/2),"")</f>
        <v/>
      </c>
      <c r="BD332" s="105">
        <f>IFERROR(BH332*BM332*BL332/BJ332/BK332,"")</f>
        <v/>
      </c>
      <c r="BE332" s="105">
        <f>IFERROR(MIN(BI332/BQ332/BP332/BO332/BH332,$BE$1),"")</f>
        <v/>
      </c>
      <c r="BF332" s="105">
        <f>IFERROR(BJ332*BO332*BP332/BK332,"")</f>
        <v/>
      </c>
      <c r="BG332" s="105">
        <f>IFERROR(1/BM332/BH332*BQ332,"")</f>
        <v/>
      </c>
      <c r="BH332" s="102">
        <f>MAX((CE332-Driver!$F$200)/(Driver!$G$200-Driver!$F$200)*$BI$1,1)</f>
        <v/>
      </c>
      <c r="BI332" s="102">
        <f>MAX($BI$1*(BY332-Driver!$F$201)/(Driver!$G$201-Driver!$F$201),1)</f>
        <v/>
      </c>
      <c r="BJ332" s="102">
        <f>(CB332-Driver!$F$206)/(Driver!$G$206-Driver!$F$206)*$BI$1</f>
        <v/>
      </c>
      <c r="BK332" s="102">
        <f>(CD332-Driver!$F$203)/(Driver!$G$203-Driver!$F$203)*$BI$1</f>
        <v/>
      </c>
      <c r="BL332" s="102">
        <f>MAX((CR332-Driver!$F$202)/(Driver!$G$202-Driver!$F$202)*$BI$1,1)</f>
        <v/>
      </c>
      <c r="BM332" s="102">
        <f>MAX((CH332-Driver!$F$204)/(Driver!$G$204-Driver!$F$204)*$BI$1,1)</f>
        <v/>
      </c>
      <c r="BN332" s="102">
        <f>(CI332-Driver!$F$205)/(Driver!$G$205-Driver!$F$205)*$BI$1</f>
        <v/>
      </c>
      <c r="BO332" s="102">
        <f>(CK332-Driver!$F$207)/(Driver!$G$207-Driver!$F$207)*$BI$1</f>
        <v/>
      </c>
      <c r="BP332" s="102">
        <f>(CM332-Driver!$F$208)/(Driver!$G$208-Driver!$F$208)*$BI$1</f>
        <v/>
      </c>
      <c r="BQ332" s="102">
        <f>(CL332-Driver!$F$209)/(Driver!$G$209-Driver!$F$209)*$BI$1</f>
        <v/>
      </c>
      <c r="BR332" s="40" t="inlineStr">
        <is>
          <t>21/22</t>
        </is>
      </c>
      <c r="BS332" s="10" t="inlineStr">
        <is>
          <t xml:space="preserve"> Head</t>
        </is>
      </c>
      <c r="BT332" s="11" t="inlineStr">
        <is>
          <t>Oblivion 94</t>
        </is>
      </c>
      <c r="BU332" s="13" t="n">
        <v>184</v>
      </c>
      <c r="BV332" s="11" t="inlineStr">
        <is>
          <t xml:space="preserve"> Unisex</t>
        </is>
      </c>
      <c r="BW332" s="13" t="n">
        <v>184</v>
      </c>
      <c r="BX332" s="13" t="n">
        <v>181.9</v>
      </c>
      <c r="BY332" s="13" t="n">
        <v>142</v>
      </c>
      <c r="BZ332" s="13" t="n">
        <v>164</v>
      </c>
      <c r="CA332" s="13" t="n">
        <v>127</v>
      </c>
      <c r="CB332" s="13" t="n">
        <v>93</v>
      </c>
      <c r="CC332" s="13" t="n">
        <v>117</v>
      </c>
      <c r="CD332" s="13" t="n">
        <v>22.6</v>
      </c>
      <c r="CE332" s="13" t="n">
        <v>1830</v>
      </c>
      <c r="CF332" s="13" t="n">
        <v>1.03</v>
      </c>
      <c r="CG332" s="13" t="n">
        <v>1878</v>
      </c>
      <c r="CH332" s="13" t="n">
        <v>189</v>
      </c>
      <c r="CI332" s="13" t="n">
        <v>83</v>
      </c>
      <c r="CJ332" s="13" t="n">
        <v>54</v>
      </c>
      <c r="CK332" s="13" t="n">
        <v>254</v>
      </c>
      <c r="CL332" s="13" t="n">
        <v>38</v>
      </c>
      <c r="CM332" s="13" t="n">
        <v>145</v>
      </c>
      <c r="CN332" s="13" t="n">
        <v>0.704</v>
      </c>
      <c r="CO332" s="13" t="n">
        <v>95</v>
      </c>
      <c r="CP332" s="13" t="n">
        <v>87</v>
      </c>
      <c r="CQ332" s="13" t="n">
        <v>159</v>
      </c>
      <c r="CR332" s="13" t="n">
        <v>9</v>
      </c>
      <c r="CS332" s="13" t="n">
        <v>5.6</v>
      </c>
      <c r="CT332" s="11" t="inlineStr">
        <is>
          <t xml:space="preserve"> Resort Freeride</t>
        </is>
      </c>
      <c r="CU332" s="13" t="n"/>
      <c r="CV332" s="13" t="n"/>
      <c r="CW332" s="13" t="n"/>
      <c r="CX332">
        <f>INDEX('Data_Price '!AG$2:AG$1266,MATCH(Data!$DN332,'Data_Price '!$AT$2:$AT$1266,0))</f>
        <v/>
      </c>
      <c r="CY332">
        <f>INDEX('Data_Price '!AH$2:AH$1266,MATCH(Data!$DN332,'Data_Price '!$AT$2:$AT$1266,0))</f>
        <v/>
      </c>
      <c r="CZ332">
        <f>INDEX('Data_Price '!AI$2:AI$1266,MATCH(Data!$DN332,'Data_Price '!$AT$2:$AT$1266,0))</f>
        <v/>
      </c>
      <c r="DA332">
        <f>INDEX('Data_Price '!AJ$2:AJ$1266,MATCH(Data!$DN332,'Data_Price '!$AT$2:$AT$1266,0))</f>
        <v/>
      </c>
      <c r="DB332">
        <f>INDEX('Data_Price '!AK$2:AK$1266,MATCH(Data!$DN332,'Data_Price '!$AT$2:$AT$1266,0))</f>
        <v/>
      </c>
      <c r="DC332">
        <f>INDEX('Data_Price '!AL$2:AL$1266,MATCH(Data!$DN332,'Data_Price '!$AT$2:$AT$1266,0))</f>
        <v/>
      </c>
      <c r="DD332">
        <f>INDEX('Data_Price '!AM$2:AM$1266,MATCH(Data!$DN332,'Data_Price '!$AT$2:$AT$1266,0))</f>
        <v/>
      </c>
      <c r="DE332">
        <f>INDEX('Data_Price '!AN$2:AN$1266,MATCH(Data!$DN332,'Data_Price '!$AT$2:$AT$1266,0))</f>
        <v/>
      </c>
      <c r="DF332">
        <f>INDEX('Data_Price '!AO$2:AO$1266,MATCH(Data!$DN332,'Data_Price '!$AT$2:$AT$1266,0))</f>
        <v/>
      </c>
      <c r="DG332">
        <f>INDEX('Data_Price '!AP$2:AP$1266,MATCH(Data!$DN332,'Data_Price '!$AT$2:$AT$1266,0))</f>
        <v/>
      </c>
      <c r="DH332">
        <f>INDEX('Data_Price '!AQ$2:AQ$1266,MATCH(Data!$DN332,'Data_Price '!$AT$2:$AT$1266,0))</f>
        <v/>
      </c>
      <c r="DI332">
        <f>INDEX('Data_Price '!AR$2:AR$1266,MATCH(Data!$DN332,'Data_Price '!$AT$2:$AT$1266,0))</f>
        <v/>
      </c>
      <c r="DJ332" s="138">
        <f>DA332</f>
        <v/>
      </c>
      <c r="DK332" s="138">
        <f>DE332</f>
        <v/>
      </c>
      <c r="DL332" s="138">
        <f>DI332</f>
        <v/>
      </c>
      <c r="DM332" s="303">
        <f>IF(LEFT(BT332,1)=" ",RIGHT(BT332,LEN(BT332)-1),BT332)</f>
        <v/>
      </c>
      <c r="DN332" s="138">
        <f>_xlfn.CONCAT(BS332,DM332,BU332,BV332)</f>
        <v/>
      </c>
      <c r="DO332" s="307" t="inlineStr">
        <is>
          <t>https://images.evo.com/imgp/250/208282/832656/clone.jpg</t>
        </is>
      </c>
    </row>
    <row r="333" ht="15.6" customHeight="1" s="184">
      <c r="B333" s="303">
        <f t="array" ref="B333">IF(OR(ISERROR(K333:P333)),FALSE,TRUE)</f>
        <v/>
      </c>
      <c r="C333" s="60">
        <f>OR(BR333=Driver!$G$50,Data!BR964=Driver!$H$50)</f>
        <v/>
      </c>
      <c r="D333" s="60">
        <f>OR(BV333=Driver!$G$51,BV333=Driver!$H$51)</f>
        <v/>
      </c>
      <c r="E333" s="60">
        <f>AND(BX333&gt;Driver!$F$54,BX333&lt;Driver!$G$54)</f>
        <v/>
      </c>
      <c r="F333" s="60">
        <f>CL333&gt;Driver!$F$56</f>
        <v/>
      </c>
      <c r="G333" s="60">
        <f>AND(CB333&gt;Driver!$F$55,CB333&lt;Driver!$G$55)</f>
        <v/>
      </c>
      <c r="H333" s="60">
        <f>AND(B333:G333)</f>
        <v/>
      </c>
      <c r="I333" s="60">
        <f>COUNTIFS($H$9:$H$1273,TRUE,$BT$9:$BT$1273,BT333)</f>
        <v/>
      </c>
      <c r="J333" s="60">
        <f t="array" ref="J333">NOT(OR(($H$9:$H$1273=TRUE)*($I$9:$I$1273&gt;0)*($BT$9:$BT$1273=BT333)*($K$9:$K$1273&gt;K333)))</f>
        <v/>
      </c>
      <c r="K333" s="108">
        <f>IFERROR(1-AVERAGE(X333:Y333),"")</f>
        <v/>
      </c>
      <c r="L333" s="108">
        <f>1-X333</f>
        <v/>
      </c>
      <c r="M333" s="108">
        <f>1-Y333</f>
        <v/>
      </c>
      <c r="N333" s="108">
        <f>1-Z333</f>
        <v/>
      </c>
      <c r="O333" s="108">
        <f>1-AA333</f>
        <v/>
      </c>
      <c r="P333" s="108">
        <f>1-AB333</f>
        <v/>
      </c>
      <c r="Q333" s="108" t="n"/>
      <c r="R333" s="108" t="n"/>
      <c r="S333" s="108">
        <f>1-AE333</f>
        <v/>
      </c>
      <c r="T333" s="108">
        <f>1-AF333</f>
        <v/>
      </c>
      <c r="U333" s="108">
        <f>1-AG333</f>
        <v/>
      </c>
      <c r="V333" s="108">
        <f>1-AH333</f>
        <v/>
      </c>
      <c r="W333" s="108">
        <f>1-AI333</f>
        <v/>
      </c>
      <c r="X333" s="108">
        <f>ABS(AJ333-AJ$1)</f>
        <v/>
      </c>
      <c r="Y333" s="108">
        <f>AVERAGE(Z333:AB333)</f>
        <v/>
      </c>
      <c r="Z333" s="108">
        <f>ABS(AL333-AL$1)</f>
        <v/>
      </c>
      <c r="AA333" s="108">
        <f>ABS(AM333-AM$1)</f>
        <v/>
      </c>
      <c r="AB333" s="108">
        <f>ABS(AN333-AN$1)</f>
        <v/>
      </c>
      <c r="AC333" s="108" t="n"/>
      <c r="AD333" s="108" t="n"/>
      <c r="AE333" s="108">
        <f>ABS(AQ$1-AQ333)</f>
        <v/>
      </c>
      <c r="AF333" s="108">
        <f>ABS(AR$1-AR333)</f>
        <v/>
      </c>
      <c r="AG333" s="108">
        <f>ABS(AS$1-AS333)</f>
        <v/>
      </c>
      <c r="AH333" s="108">
        <f>ABS(AT$1-AT333)</f>
        <v/>
      </c>
      <c r="AI333" s="108">
        <f>ABS(AU$1-AU333)</f>
        <v/>
      </c>
      <c r="AJ333" s="108">
        <f>(AV333-Driver!$K$179)/(Driver!$L$179-Driver!$K$179)</f>
        <v/>
      </c>
      <c r="AK333" s="108">
        <f>(AW333-Driver!$K$180)/(Driver!$L$180-Driver!$K$180)</f>
        <v/>
      </c>
      <c r="AL333" s="108">
        <f>(AX333-Driver!$K$181)/(Driver!$L$181-Driver!$K$181)</f>
        <v/>
      </c>
      <c r="AM333" s="108">
        <f>(AY333-Driver!$K$182)/(Driver!$L$182-Driver!$K$182)</f>
        <v/>
      </c>
      <c r="AN333" s="108">
        <f>(AZ333-Driver!$K$183)/(Driver!$L$183-Driver!$K$183)</f>
        <v/>
      </c>
      <c r="AO333" s="108" t="n"/>
      <c r="AP333" s="108" t="n"/>
      <c r="AQ333" s="108">
        <f>(BC333-Driver!$K$188)/(Driver!$L$188-Driver!$K$188)</f>
        <v/>
      </c>
      <c r="AR333" s="108">
        <f>MIN((BD333-Driver!$K$189)/(Driver!$L$189-Driver!$K$189),100%)</f>
        <v/>
      </c>
      <c r="AS333" s="108">
        <f>(BE333-Driver!$K$190)/(Driver!$L$190-Driver!$K$190)</f>
        <v/>
      </c>
      <c r="AT333" s="108">
        <f>(BF333-Driver!$K$191)/(Driver!$L$191-Driver!$K$191)</f>
        <v/>
      </c>
      <c r="AU333" s="108">
        <f>(BG333-Driver!$K$192)/(Driver!$L$192-Driver!$K$192)</f>
        <v/>
      </c>
      <c r="AV333" s="105">
        <f>IFERROR(BM333*BJ333^1/4,"")</f>
        <v/>
      </c>
      <c r="AW333" s="105">
        <f>IFERROR(SUM(AX333:AZ333),"")</f>
        <v/>
      </c>
      <c r="AX333" s="105">
        <f>IFERROR(BH333,"")</f>
        <v/>
      </c>
      <c r="AY333" s="105">
        <f>IFERROR(Driver!$K$19/Data!BH333/Data!BI333*Data!BK333*Data!BL333,"")</f>
        <v/>
      </c>
      <c r="AZ333" s="105">
        <f>IFERROR(BI333*BN333,"")</f>
        <v/>
      </c>
      <c r="BA333" s="105" t="n"/>
      <c r="BB333" s="105" t="n"/>
      <c r="BC333" s="105">
        <f>IFERROR(BI333*BN333*BK333/BJ333^(1/2),"")</f>
        <v/>
      </c>
      <c r="BD333" s="105">
        <f>IFERROR(BH333*BM333*BL333/BJ333/BK333,"")</f>
        <v/>
      </c>
      <c r="BE333" s="105">
        <f>IFERROR(MIN(BI333/BQ333/BP333/BO333/BH333,$BE$1),"")</f>
        <v/>
      </c>
      <c r="BF333" s="105">
        <f>IFERROR(BJ333*BO333*BP333/BK333,"")</f>
        <v/>
      </c>
      <c r="BG333" s="105">
        <f>IFERROR(1/BM333/BH333*BQ333,"")</f>
        <v/>
      </c>
      <c r="BH333" s="102">
        <f>MAX((CE333-Driver!$F$200)/(Driver!$G$200-Driver!$F$200)*$BI$1,1)</f>
        <v/>
      </c>
      <c r="BI333" s="102">
        <f>MAX($BI$1*(BY333-Driver!$F$201)/(Driver!$G$201-Driver!$F$201),1)</f>
        <v/>
      </c>
      <c r="BJ333" s="102">
        <f>(CB333-Driver!$F$206)/(Driver!$G$206-Driver!$F$206)*$BI$1</f>
        <v/>
      </c>
      <c r="BK333" s="102">
        <f>(CD333-Driver!$F$203)/(Driver!$G$203-Driver!$F$203)*$BI$1</f>
        <v/>
      </c>
      <c r="BL333" s="102">
        <f>MAX((CR333-Driver!$F$202)/(Driver!$G$202-Driver!$F$202)*$BI$1,1)</f>
        <v/>
      </c>
      <c r="BM333" s="102">
        <f>MAX((CH333-Driver!$F$204)/(Driver!$G$204-Driver!$F$204)*$BI$1,1)</f>
        <v/>
      </c>
      <c r="BN333" s="102">
        <f>(CI333-Driver!$F$205)/(Driver!$G$205-Driver!$F$205)*$BI$1</f>
        <v/>
      </c>
      <c r="BO333" s="102">
        <f>(CK333-Driver!$F$207)/(Driver!$G$207-Driver!$F$207)*$BI$1</f>
        <v/>
      </c>
      <c r="BP333" s="102">
        <f>(CM333-Driver!$F$208)/(Driver!$G$208-Driver!$F$208)*$BI$1</f>
        <v/>
      </c>
      <c r="BQ333" s="102">
        <f>(CL333-Driver!$F$209)/(Driver!$G$209-Driver!$F$209)*$BI$1</f>
        <v/>
      </c>
      <c r="BR333" s="40" t="inlineStr">
        <is>
          <t>21/22</t>
        </is>
      </c>
      <c r="BS333" s="10" t="inlineStr">
        <is>
          <t xml:space="preserve"> Rossignol</t>
        </is>
      </c>
      <c r="BT333" s="11" t="inlineStr">
        <is>
          <t>Blackops Alpineer 96</t>
        </is>
      </c>
      <c r="BU333" s="13" t="n">
        <v>177</v>
      </c>
      <c r="BV333" s="11" t="inlineStr">
        <is>
          <t xml:space="preserve"> Unisex</t>
        </is>
      </c>
      <c r="BW333" s="13" t="n">
        <v>177</v>
      </c>
      <c r="BX333" s="13" t="n">
        <v>177.3</v>
      </c>
      <c r="BY333" s="13" t="n">
        <v>130</v>
      </c>
      <c r="BZ333" s="13" t="n">
        <v>145</v>
      </c>
      <c r="CA333" s="13" t="n">
        <v>126</v>
      </c>
      <c r="CB333" s="13" t="n">
        <v>97</v>
      </c>
      <c r="CC333" s="13" t="n">
        <v>115</v>
      </c>
      <c r="CD333" s="13" t="n">
        <v>19.8</v>
      </c>
      <c r="CE333" s="13" t="n">
        <v>1319</v>
      </c>
      <c r="CF333" s="13" t="n">
        <v>1.43</v>
      </c>
      <c r="CG333" s="13" t="n">
        <v>1886</v>
      </c>
      <c r="CH333" s="13" t="n">
        <v>233</v>
      </c>
      <c r="CI333" s="13" t="n">
        <v>85</v>
      </c>
      <c r="CJ333" s="13" t="n">
        <v>56</v>
      </c>
      <c r="CK333" s="13" t="n">
        <v>319</v>
      </c>
      <c r="CL333" s="13" t="n">
        <v>13</v>
      </c>
      <c r="CM333" s="13" t="n">
        <v>151</v>
      </c>
      <c r="CN333" s="13" t="n">
        <v>0.23</v>
      </c>
      <c r="CO333" s="13" t="n">
        <v>204</v>
      </c>
      <c r="CP333" s="13" t="n">
        <v>122</v>
      </c>
      <c r="CQ333" s="13" t="n">
        <v>115</v>
      </c>
      <c r="CR333" s="13" t="n">
        <v>6</v>
      </c>
      <c r="CS333" s="13" t="n">
        <v>12.2</v>
      </c>
      <c r="CT333" s="11" t="inlineStr">
        <is>
          <t xml:space="preserve"> Touring</t>
        </is>
      </c>
      <c r="CU333" s="11" t="inlineStr">
        <is>
          <t xml:space="preserve"> Ultralight Touring</t>
        </is>
      </c>
      <c r="CV333" s="13" t="n"/>
      <c r="CW333" s="13" t="n"/>
      <c r="CX333">
        <f>INDEX('Data_Price '!AG$2:AG$1266,MATCH(Data!$DN333,'Data_Price '!$AT$2:$AT$1266,0))</f>
        <v/>
      </c>
      <c r="CY333">
        <f>INDEX('Data_Price '!AH$2:AH$1266,MATCH(Data!$DN333,'Data_Price '!$AT$2:$AT$1266,0))</f>
        <v/>
      </c>
      <c r="CZ333">
        <f>INDEX('Data_Price '!AI$2:AI$1266,MATCH(Data!$DN333,'Data_Price '!$AT$2:$AT$1266,0))</f>
        <v/>
      </c>
      <c r="DA333">
        <f>INDEX('Data_Price '!AJ$2:AJ$1266,MATCH(Data!$DN333,'Data_Price '!$AT$2:$AT$1266,0))</f>
        <v/>
      </c>
      <c r="DB333">
        <f>INDEX('Data_Price '!AK$2:AK$1266,MATCH(Data!$DN333,'Data_Price '!$AT$2:$AT$1266,0))</f>
        <v/>
      </c>
      <c r="DC333">
        <f>INDEX('Data_Price '!AL$2:AL$1266,MATCH(Data!$DN333,'Data_Price '!$AT$2:$AT$1266,0))</f>
        <v/>
      </c>
      <c r="DD333">
        <f>INDEX('Data_Price '!AM$2:AM$1266,MATCH(Data!$DN333,'Data_Price '!$AT$2:$AT$1266,0))</f>
        <v/>
      </c>
      <c r="DE333">
        <f>INDEX('Data_Price '!AN$2:AN$1266,MATCH(Data!$DN333,'Data_Price '!$AT$2:$AT$1266,0))</f>
        <v/>
      </c>
      <c r="DF333">
        <f>INDEX('Data_Price '!AO$2:AO$1266,MATCH(Data!$DN333,'Data_Price '!$AT$2:$AT$1266,0))</f>
        <v/>
      </c>
      <c r="DG333">
        <f>INDEX('Data_Price '!AP$2:AP$1266,MATCH(Data!$DN333,'Data_Price '!$AT$2:$AT$1266,0))</f>
        <v/>
      </c>
      <c r="DH333">
        <f>INDEX('Data_Price '!AQ$2:AQ$1266,MATCH(Data!$DN333,'Data_Price '!$AT$2:$AT$1266,0))</f>
        <v/>
      </c>
      <c r="DI333">
        <f>INDEX('Data_Price '!AR$2:AR$1266,MATCH(Data!$DN333,'Data_Price '!$AT$2:$AT$1266,0))</f>
        <v/>
      </c>
      <c r="DJ333" s="138">
        <f>DA333</f>
        <v/>
      </c>
      <c r="DK333" s="138">
        <f>DE333</f>
        <v/>
      </c>
      <c r="DL333" s="138">
        <f>DI333</f>
        <v/>
      </c>
      <c r="DM333" s="303">
        <f>IF(LEFT(BT333,1)=" ",RIGHT(BT333,LEN(BT333)-1),BT333)</f>
        <v/>
      </c>
      <c r="DN333" s="138">
        <f>_xlfn.CONCAT(BS333,DM333,BU333,BV333)</f>
        <v/>
      </c>
      <c r="DO333" s="307" t="n"/>
    </row>
    <row r="334" ht="15.6" customHeight="1" s="184">
      <c r="B334" s="303">
        <f t="array" ref="B334">IF(OR(ISERROR(K334:P334)),FALSE,TRUE)</f>
        <v/>
      </c>
      <c r="C334" s="60">
        <f>OR(BR334=Driver!$G$50,Data!BR934=Driver!$H$50)</f>
        <v/>
      </c>
      <c r="D334" s="60">
        <f>OR(BV334=Driver!$G$51,BV334=Driver!$H$51)</f>
        <v/>
      </c>
      <c r="E334" s="60">
        <f>AND(BX334&gt;Driver!$F$54,BX334&lt;Driver!$G$54)</f>
        <v/>
      </c>
      <c r="F334" s="60">
        <f>CL334&gt;Driver!$F$56</f>
        <v/>
      </c>
      <c r="G334" s="60">
        <f>AND(CB334&gt;Driver!$F$55,CB334&lt;Driver!$G$55)</f>
        <v/>
      </c>
      <c r="H334" s="60">
        <f>AND(B334:G334)</f>
        <v/>
      </c>
      <c r="I334" s="60">
        <f>COUNTIFS($H$9:$H$1273,TRUE,$BT$9:$BT$1273,BT334)</f>
        <v/>
      </c>
      <c r="J334" s="60">
        <f t="array" ref="J334">NOT(OR(($H$9:$H$1273=TRUE)*($I$9:$I$1273&gt;0)*($BT$9:$BT$1273=BT334)*($K$9:$K$1273&gt;K334)))</f>
        <v/>
      </c>
      <c r="K334" s="108">
        <f>IFERROR(1-AVERAGE(X334:Y334),"")</f>
        <v/>
      </c>
      <c r="L334" s="108">
        <f>1-X334</f>
        <v/>
      </c>
      <c r="M334" s="108">
        <f>1-Y334</f>
        <v/>
      </c>
      <c r="N334" s="108">
        <f>1-Z334</f>
        <v/>
      </c>
      <c r="O334" s="108">
        <f>1-AA334</f>
        <v/>
      </c>
      <c r="P334" s="108">
        <f>1-AB334</f>
        <v/>
      </c>
      <c r="Q334" s="108" t="n"/>
      <c r="R334" s="108" t="n"/>
      <c r="S334" s="108">
        <f>1-AE334</f>
        <v/>
      </c>
      <c r="T334" s="108">
        <f>1-AF334</f>
        <v/>
      </c>
      <c r="U334" s="108">
        <f>1-AG334</f>
        <v/>
      </c>
      <c r="V334" s="108">
        <f>1-AH334</f>
        <v/>
      </c>
      <c r="W334" s="108">
        <f>1-AI334</f>
        <v/>
      </c>
      <c r="X334" s="108">
        <f>ABS(AJ334-AJ$1)</f>
        <v/>
      </c>
      <c r="Y334" s="108">
        <f>AVERAGE(Z334:AB334)</f>
        <v/>
      </c>
      <c r="Z334" s="108">
        <f>ABS(AL334-AL$1)</f>
        <v/>
      </c>
      <c r="AA334" s="108">
        <f>ABS(AM334-AM$1)</f>
        <v/>
      </c>
      <c r="AB334" s="108">
        <f>ABS(AN334-AN$1)</f>
        <v/>
      </c>
      <c r="AC334" s="108" t="n"/>
      <c r="AD334" s="108" t="n"/>
      <c r="AE334" s="108">
        <f>ABS(AQ$1-AQ334)</f>
        <v/>
      </c>
      <c r="AF334" s="108">
        <f>ABS(AR$1-AR334)</f>
        <v/>
      </c>
      <c r="AG334" s="108">
        <f>ABS(AS$1-AS334)</f>
        <v/>
      </c>
      <c r="AH334" s="108">
        <f>ABS(AT$1-AT334)</f>
        <v/>
      </c>
      <c r="AI334" s="108">
        <f>ABS(AU$1-AU334)</f>
        <v/>
      </c>
      <c r="AJ334" s="108">
        <f>(AV334-Driver!$K$179)/(Driver!$L$179-Driver!$K$179)</f>
        <v/>
      </c>
      <c r="AK334" s="108">
        <f>(AW334-Driver!$K$180)/(Driver!$L$180-Driver!$K$180)</f>
        <v/>
      </c>
      <c r="AL334" s="108">
        <f>(AX334-Driver!$K$181)/(Driver!$L$181-Driver!$K$181)</f>
        <v/>
      </c>
      <c r="AM334" s="108">
        <f>(AY334-Driver!$K$182)/(Driver!$L$182-Driver!$K$182)</f>
        <v/>
      </c>
      <c r="AN334" s="108">
        <f>(AZ334-Driver!$K$183)/(Driver!$L$183-Driver!$K$183)</f>
        <v/>
      </c>
      <c r="AO334" s="108" t="n"/>
      <c r="AP334" s="108" t="n"/>
      <c r="AQ334" s="108">
        <f>(BC334-Driver!$K$188)/(Driver!$L$188-Driver!$K$188)</f>
        <v/>
      </c>
      <c r="AR334" s="108">
        <f>MIN((BD334-Driver!$K$189)/(Driver!$L$189-Driver!$K$189),100%)</f>
        <v/>
      </c>
      <c r="AS334" s="108">
        <f>(BE334-Driver!$K$190)/(Driver!$L$190-Driver!$K$190)</f>
        <v/>
      </c>
      <c r="AT334" s="108">
        <f>(BF334-Driver!$K$191)/(Driver!$L$191-Driver!$K$191)</f>
        <v/>
      </c>
      <c r="AU334" s="108">
        <f>(BG334-Driver!$K$192)/(Driver!$L$192-Driver!$K$192)</f>
        <v/>
      </c>
      <c r="AV334" s="105">
        <f>IFERROR(BM334*BJ334^1/4,"")</f>
        <v/>
      </c>
      <c r="AW334" s="105">
        <f>IFERROR(SUM(AX334:AZ334),"")</f>
        <v/>
      </c>
      <c r="AX334" s="105">
        <f>IFERROR(BH334,"")</f>
        <v/>
      </c>
      <c r="AY334" s="105">
        <f>IFERROR(Driver!$K$19/Data!BH334/Data!BI334*Data!BK334*Data!BL334,"")</f>
        <v/>
      </c>
      <c r="AZ334" s="105">
        <f>IFERROR(BI334*BN334,"")</f>
        <v/>
      </c>
      <c r="BA334" s="105" t="n"/>
      <c r="BB334" s="105" t="n"/>
      <c r="BC334" s="105">
        <f>IFERROR(BI334*BN334*BK334/BJ334^(1/2),"")</f>
        <v/>
      </c>
      <c r="BD334" s="105">
        <f>IFERROR(BH334*BM334*BL334/BJ334/BK334,"")</f>
        <v/>
      </c>
      <c r="BE334" s="105">
        <f>IFERROR(MIN(BI334/BQ334/BP334/BO334/BH334,$BE$1),"")</f>
        <v/>
      </c>
      <c r="BF334" s="105">
        <f>IFERROR(BJ334*BO334*BP334/BK334,"")</f>
        <v/>
      </c>
      <c r="BG334" s="105">
        <f>IFERROR(1/BM334/BH334*BQ334,"")</f>
        <v/>
      </c>
      <c r="BH334" s="102">
        <f>MAX((CE334-Driver!$F$200)/(Driver!$G$200-Driver!$F$200)*$BI$1,1)</f>
        <v/>
      </c>
      <c r="BI334" s="102">
        <f>MAX($BI$1*(BY334-Driver!$F$201)/(Driver!$G$201-Driver!$F$201),1)</f>
        <v/>
      </c>
      <c r="BJ334" s="102">
        <f>(CB334-Driver!$F$206)/(Driver!$G$206-Driver!$F$206)*$BI$1</f>
        <v/>
      </c>
      <c r="BK334" s="102">
        <f>(CD334-Driver!$F$203)/(Driver!$G$203-Driver!$F$203)*$BI$1</f>
        <v/>
      </c>
      <c r="BL334" s="102">
        <f>MAX((CR334-Driver!$F$202)/(Driver!$G$202-Driver!$F$202)*$BI$1,1)</f>
        <v/>
      </c>
      <c r="BM334" s="102">
        <f>MAX((CH334-Driver!$F$204)/(Driver!$G$204-Driver!$F$204)*$BI$1,1)</f>
        <v/>
      </c>
      <c r="BN334" s="102">
        <f>(CI334-Driver!$F$205)/(Driver!$G$205-Driver!$F$205)*$BI$1</f>
        <v/>
      </c>
      <c r="BO334" s="102">
        <f>(CK334-Driver!$F$207)/(Driver!$G$207-Driver!$F$207)*$BI$1</f>
        <v/>
      </c>
      <c r="BP334" s="102">
        <f>(CM334-Driver!$F$208)/(Driver!$G$208-Driver!$F$208)*$BI$1</f>
        <v/>
      </c>
      <c r="BQ334" s="102">
        <f>(CL334-Driver!$F$209)/(Driver!$G$209-Driver!$F$209)*$BI$1</f>
        <v/>
      </c>
      <c r="BR334" s="40" t="inlineStr">
        <is>
          <t>21/22</t>
        </is>
      </c>
      <c r="BS334" s="10" t="inlineStr">
        <is>
          <t xml:space="preserve"> Nordica</t>
        </is>
      </c>
      <c r="BT334" s="11" t="inlineStr">
        <is>
          <t>Soul Rider 84</t>
        </is>
      </c>
      <c r="BU334" s="13" t="n">
        <v>170</v>
      </c>
      <c r="BV334" s="11" t="inlineStr">
        <is>
          <t xml:space="preserve"> Unisex</t>
        </is>
      </c>
      <c r="BW334" s="13" t="n">
        <v>170</v>
      </c>
      <c r="BX334" s="13" t="n">
        <v>168.6</v>
      </c>
      <c r="BY334" s="13" t="n">
        <v>138</v>
      </c>
      <c r="BZ334" s="13" t="n">
        <v>151</v>
      </c>
      <c r="CA334" s="13" t="n">
        <v>120</v>
      </c>
      <c r="CB334" s="13" t="n">
        <v>83</v>
      </c>
      <c r="CC334" s="13" t="n">
        <v>109</v>
      </c>
      <c r="CD334" s="13" t="n">
        <v>18</v>
      </c>
      <c r="CE334" s="13" t="n">
        <v>1690</v>
      </c>
      <c r="CF334" s="13" t="n">
        <v>0.9399999999999999</v>
      </c>
      <c r="CG334" s="13" t="n">
        <v>1593</v>
      </c>
      <c r="CH334" s="13" t="n">
        <v>200</v>
      </c>
      <c r="CI334" s="13" t="n">
        <v>103</v>
      </c>
      <c r="CJ334" s="13" t="n">
        <v>48</v>
      </c>
      <c r="CK334" s="13" t="n">
        <v>159</v>
      </c>
      <c r="CL334" s="13" t="n">
        <v>41</v>
      </c>
      <c r="CM334" s="13" t="n">
        <v>143</v>
      </c>
      <c r="CN334" s="13" t="n">
        <v>0.853</v>
      </c>
      <c r="CO334" s="13" t="n">
        <v>94</v>
      </c>
      <c r="CP334" s="13" t="n">
        <v>78</v>
      </c>
      <c r="CQ334" s="13" t="n">
        <v>65</v>
      </c>
      <c r="CR334" s="13" t="n">
        <v>11</v>
      </c>
      <c r="CS334" s="13" t="n">
        <v>9.699999999999999</v>
      </c>
      <c r="CT334" s="11" t="inlineStr">
        <is>
          <t xml:space="preserve"> Resort Freeride</t>
        </is>
      </c>
      <c r="CU334" s="11" t="inlineStr">
        <is>
          <t xml:space="preserve"> Freeski</t>
        </is>
      </c>
      <c r="CV334" s="13" t="n"/>
      <c r="CW334" s="13" t="n"/>
      <c r="CX334">
        <f>INDEX('Data_Price '!AG$2:AG$1266,MATCH(Data!$DN334,'Data_Price '!$AT$2:$AT$1266,0))</f>
        <v/>
      </c>
      <c r="CY334">
        <f>INDEX('Data_Price '!AH$2:AH$1266,MATCH(Data!$DN334,'Data_Price '!$AT$2:$AT$1266,0))</f>
        <v/>
      </c>
      <c r="CZ334">
        <f>INDEX('Data_Price '!AI$2:AI$1266,MATCH(Data!$DN334,'Data_Price '!$AT$2:$AT$1266,0))</f>
        <v/>
      </c>
      <c r="DA334">
        <f>INDEX('Data_Price '!AJ$2:AJ$1266,MATCH(Data!$DN334,'Data_Price '!$AT$2:$AT$1266,0))</f>
        <v/>
      </c>
      <c r="DB334">
        <f>INDEX('Data_Price '!AK$2:AK$1266,MATCH(Data!$DN334,'Data_Price '!$AT$2:$AT$1266,0))</f>
        <v/>
      </c>
      <c r="DC334">
        <f>INDEX('Data_Price '!AL$2:AL$1266,MATCH(Data!$DN334,'Data_Price '!$AT$2:$AT$1266,0))</f>
        <v/>
      </c>
      <c r="DD334">
        <f>INDEX('Data_Price '!AM$2:AM$1266,MATCH(Data!$DN334,'Data_Price '!$AT$2:$AT$1266,0))</f>
        <v/>
      </c>
      <c r="DE334">
        <f>INDEX('Data_Price '!AN$2:AN$1266,MATCH(Data!$DN334,'Data_Price '!$AT$2:$AT$1266,0))</f>
        <v/>
      </c>
      <c r="DF334">
        <f>INDEX('Data_Price '!AO$2:AO$1266,MATCH(Data!$DN334,'Data_Price '!$AT$2:$AT$1266,0))</f>
        <v/>
      </c>
      <c r="DG334">
        <f>INDEX('Data_Price '!AP$2:AP$1266,MATCH(Data!$DN334,'Data_Price '!$AT$2:$AT$1266,0))</f>
        <v/>
      </c>
      <c r="DH334">
        <f>INDEX('Data_Price '!AQ$2:AQ$1266,MATCH(Data!$DN334,'Data_Price '!$AT$2:$AT$1266,0))</f>
        <v/>
      </c>
      <c r="DI334">
        <f>INDEX('Data_Price '!AR$2:AR$1266,MATCH(Data!$DN334,'Data_Price '!$AT$2:$AT$1266,0))</f>
        <v/>
      </c>
      <c r="DJ334" s="138">
        <f>DA334</f>
        <v/>
      </c>
      <c r="DK334" s="138">
        <f>DE334</f>
        <v/>
      </c>
      <c r="DL334" s="138">
        <f>DI334</f>
        <v/>
      </c>
      <c r="DM334" s="303">
        <f>IF(LEFT(BT334,1)=" ",RIGHT(BT334,LEN(BT334)-1),BT334)</f>
        <v/>
      </c>
      <c r="DN334" s="138">
        <f>_xlfn.CONCAT(BS334,DM334,BU334,BV334)</f>
        <v/>
      </c>
      <c r="DO334" s="307" t="n"/>
    </row>
    <row r="335" ht="15.6" customHeight="1" s="184">
      <c r="B335" s="303">
        <f t="array" ref="B335">IF(OR(ISERROR(K335:P335)),FALSE,TRUE)</f>
        <v/>
      </c>
      <c r="C335" s="60">
        <f>OR(BR335=Driver!$G$50,Data!BR38=Driver!$H$50)</f>
        <v/>
      </c>
      <c r="D335" s="60">
        <f>OR(BV335=Driver!$G$51,BV335=Driver!$H$51)</f>
        <v/>
      </c>
      <c r="E335" s="60">
        <f>AND(BX335&gt;Driver!$F$54,BX335&lt;Driver!$G$54)</f>
        <v/>
      </c>
      <c r="F335" s="60">
        <f>CL335&gt;Driver!$F$56</f>
        <v/>
      </c>
      <c r="G335" s="60">
        <f>AND(CB335&gt;Driver!$F$55,CB335&lt;Driver!$G$55)</f>
        <v/>
      </c>
      <c r="H335" s="60">
        <f>AND(B335:G335)</f>
        <v/>
      </c>
      <c r="I335" s="60">
        <f>COUNTIFS($H$9:$H$1273,TRUE,$BT$9:$BT$1273,BT335)</f>
        <v/>
      </c>
      <c r="J335" s="60">
        <f t="array" ref="J335">NOT(OR(($H$9:$H$1273=TRUE)*($I$9:$I$1273&gt;0)*($BT$9:$BT$1273=BT335)*($K$9:$K$1273&gt;K335)))</f>
        <v/>
      </c>
      <c r="K335" s="108">
        <f>IFERROR(1-AVERAGE(X335:Y335),"")</f>
        <v/>
      </c>
      <c r="L335" s="108">
        <f>1-X335</f>
        <v/>
      </c>
      <c r="M335" s="108">
        <f>1-Y335</f>
        <v/>
      </c>
      <c r="N335" s="108">
        <f>1-Z335</f>
        <v/>
      </c>
      <c r="O335" s="108">
        <f>1-AA335</f>
        <v/>
      </c>
      <c r="P335" s="108">
        <f>1-AB335</f>
        <v/>
      </c>
      <c r="Q335" s="108" t="n"/>
      <c r="R335" s="108" t="n"/>
      <c r="S335" s="108">
        <f>1-AE335</f>
        <v/>
      </c>
      <c r="T335" s="108">
        <f>1-AF335</f>
        <v/>
      </c>
      <c r="U335" s="108">
        <f>1-AG335</f>
        <v/>
      </c>
      <c r="V335" s="108">
        <f>1-AH335</f>
        <v/>
      </c>
      <c r="W335" s="108">
        <f>1-AI335</f>
        <v/>
      </c>
      <c r="X335" s="108">
        <f>ABS(AJ335-AJ$1)</f>
        <v/>
      </c>
      <c r="Y335" s="108">
        <f>AVERAGE(Z335:AB335)</f>
        <v/>
      </c>
      <c r="Z335" s="108">
        <f>ABS(AL335-AL$1)</f>
        <v/>
      </c>
      <c r="AA335" s="108">
        <f>ABS(AM335-AM$1)</f>
        <v/>
      </c>
      <c r="AB335" s="108">
        <f>ABS(AN335-AN$1)</f>
        <v/>
      </c>
      <c r="AC335" s="108" t="n"/>
      <c r="AD335" s="108" t="n"/>
      <c r="AE335" s="108">
        <f>ABS(AQ$1-AQ335)</f>
        <v/>
      </c>
      <c r="AF335" s="108">
        <f>ABS(AR$1-AR335)</f>
        <v/>
      </c>
      <c r="AG335" s="108">
        <f>ABS(AS$1-AS335)</f>
        <v/>
      </c>
      <c r="AH335" s="108">
        <f>ABS(AT$1-AT335)</f>
        <v/>
      </c>
      <c r="AI335" s="108">
        <f>ABS(AU$1-AU335)</f>
        <v/>
      </c>
      <c r="AJ335" s="108">
        <f>(AV335-Driver!$K$179)/(Driver!$L$179-Driver!$K$179)</f>
        <v/>
      </c>
      <c r="AK335" s="108">
        <f>(AW335-Driver!$K$180)/(Driver!$L$180-Driver!$K$180)</f>
        <v/>
      </c>
      <c r="AL335" s="108">
        <f>(AX335-Driver!$K$181)/(Driver!$L$181-Driver!$K$181)</f>
        <v/>
      </c>
      <c r="AM335" s="108">
        <f>(AY335-Driver!$K$182)/(Driver!$L$182-Driver!$K$182)</f>
        <v/>
      </c>
      <c r="AN335" s="108">
        <f>(AZ335-Driver!$K$183)/(Driver!$L$183-Driver!$K$183)</f>
        <v/>
      </c>
      <c r="AO335" s="108" t="n"/>
      <c r="AP335" s="108" t="n"/>
      <c r="AQ335" s="108">
        <f>(BC335-Driver!$K$188)/(Driver!$L$188-Driver!$K$188)</f>
        <v/>
      </c>
      <c r="AR335" s="108">
        <f>MIN((BD335-Driver!$K$189)/(Driver!$L$189-Driver!$K$189),100%)</f>
        <v/>
      </c>
      <c r="AS335" s="108">
        <f>(BE335-Driver!$K$190)/(Driver!$L$190-Driver!$K$190)</f>
        <v/>
      </c>
      <c r="AT335" s="108">
        <f>(BF335-Driver!$K$191)/(Driver!$L$191-Driver!$K$191)</f>
        <v/>
      </c>
      <c r="AU335" s="108">
        <f>(BG335-Driver!$K$192)/(Driver!$L$192-Driver!$K$192)</f>
        <v/>
      </c>
      <c r="AV335" s="105">
        <f>IFERROR(BM335*BJ335^1/4,"")</f>
        <v/>
      </c>
      <c r="AW335" s="105">
        <f>IFERROR(SUM(AX335:AZ335),"")</f>
        <v/>
      </c>
      <c r="AX335" s="105">
        <f>IFERROR(BH335,"")</f>
        <v/>
      </c>
      <c r="AY335" s="105">
        <f>IFERROR(Driver!$K$19/Data!BH335/Data!BI335*Data!BK335*Data!BL335,"")</f>
        <v/>
      </c>
      <c r="AZ335" s="105">
        <f>IFERROR(BI335*BN335,"")</f>
        <v/>
      </c>
      <c r="BA335" s="105" t="n"/>
      <c r="BB335" s="105" t="n"/>
      <c r="BC335" s="105">
        <f>IFERROR(BI335*BN335*BK335/BJ335^(1/2),"")</f>
        <v/>
      </c>
      <c r="BD335" s="105">
        <f>IFERROR(BH335*BM335*BL335/BJ335/BK335,"")</f>
        <v/>
      </c>
      <c r="BE335" s="105">
        <f>IFERROR(MIN(BI335/BQ335/BP335/BO335/BH335,$BE$1),"")</f>
        <v/>
      </c>
      <c r="BF335" s="105">
        <f>IFERROR(BJ335*BO335*BP335/BK335,"")</f>
        <v/>
      </c>
      <c r="BG335" s="105">
        <f>IFERROR(1/BM335/BH335*BQ335,"")</f>
        <v/>
      </c>
      <c r="BH335" s="102">
        <f>MAX((CE335-Driver!$F$200)/(Driver!$G$200-Driver!$F$200)*$BI$1,1)</f>
        <v/>
      </c>
      <c r="BI335" s="102">
        <f>MAX($BI$1*(BY335-Driver!$F$201)/(Driver!$G$201-Driver!$F$201),1)</f>
        <v/>
      </c>
      <c r="BJ335" s="102">
        <f>(CB335-Driver!$F$206)/(Driver!$G$206-Driver!$F$206)*$BI$1</f>
        <v/>
      </c>
      <c r="BK335" s="102">
        <f>(CD335-Driver!$F$203)/(Driver!$G$203-Driver!$F$203)*$BI$1</f>
        <v/>
      </c>
      <c r="BL335" s="102">
        <f>MAX((CR335-Driver!$F$202)/(Driver!$G$202-Driver!$F$202)*$BI$1,1)</f>
        <v/>
      </c>
      <c r="BM335" s="102">
        <f>MAX((CH335-Driver!$F$204)/(Driver!$G$204-Driver!$F$204)*$BI$1,1)</f>
        <v/>
      </c>
      <c r="BN335" s="102">
        <f>(CI335-Driver!$F$205)/(Driver!$G$205-Driver!$F$205)*$BI$1</f>
        <v/>
      </c>
      <c r="BO335" s="102">
        <f>(CK335-Driver!$F$207)/(Driver!$G$207-Driver!$F$207)*$BI$1</f>
        <v/>
      </c>
      <c r="BP335" s="102">
        <f>(CM335-Driver!$F$208)/(Driver!$G$208-Driver!$F$208)*$BI$1</f>
        <v/>
      </c>
      <c r="BQ335" s="102">
        <f>(CL335-Driver!$F$209)/(Driver!$G$209-Driver!$F$209)*$BI$1</f>
        <v/>
      </c>
      <c r="BR335" s="40" t="inlineStr">
        <is>
          <t>21/22</t>
        </is>
      </c>
      <c r="BS335" s="10" t="inlineStr">
        <is>
          <t xml:space="preserve"> Armada</t>
        </is>
      </c>
      <c r="BT335" s="11" t="inlineStr">
        <is>
          <t>ARV 86</t>
        </is>
      </c>
      <c r="BU335" s="13" t="n">
        <v>170</v>
      </c>
      <c r="BV335" s="11" t="inlineStr">
        <is>
          <t xml:space="preserve"> Unisex</t>
        </is>
      </c>
      <c r="BW335" s="13" t="n">
        <v>170</v>
      </c>
      <c r="BX335" s="13" t="n">
        <v>167.9</v>
      </c>
      <c r="BY335" s="13" t="n">
        <v>134</v>
      </c>
      <c r="BZ335" s="13" t="n">
        <v>142</v>
      </c>
      <c r="CA335" s="13" t="n">
        <v>114</v>
      </c>
      <c r="CB335" s="13" t="n">
        <v>85</v>
      </c>
      <c r="CC335" s="13" t="n">
        <v>108</v>
      </c>
      <c r="CD335" s="13" t="n">
        <v>17.7</v>
      </c>
      <c r="CE335" s="13" t="n">
        <v>1710</v>
      </c>
      <c r="CF335" s="13" t="n">
        <v>0.9399999999999999</v>
      </c>
      <c r="CG335" s="13" t="n">
        <v>1606</v>
      </c>
      <c r="CH335" s="13" t="n">
        <v>175</v>
      </c>
      <c r="CI335" s="13" t="n">
        <v>103</v>
      </c>
      <c r="CJ335" s="13" t="n">
        <v>43</v>
      </c>
      <c r="CK335" s="13" t="n">
        <v>179</v>
      </c>
      <c r="CL335" s="13" t="n">
        <v>37</v>
      </c>
      <c r="CM335" s="13" t="n">
        <v>162</v>
      </c>
      <c r="CN335" s="13" t="n">
        <v>0.869</v>
      </c>
      <c r="CO335" s="13" t="n">
        <v>125</v>
      </c>
      <c r="CP335" s="13" t="n">
        <v>130</v>
      </c>
      <c r="CQ335" s="13" t="n">
        <v>54</v>
      </c>
      <c r="CR335" s="13" t="n">
        <v>11</v>
      </c>
      <c r="CS335" s="13" t="n">
        <v>3.6</v>
      </c>
      <c r="CT335" s="11" t="inlineStr">
        <is>
          <t xml:space="preserve"> Freeski</t>
        </is>
      </c>
      <c r="CU335" s="13" t="n"/>
      <c r="CV335" s="13" t="n"/>
      <c r="CW335" s="13" t="n"/>
      <c r="CX335">
        <f>INDEX('Data_Price '!AG$2:AG$1266,MATCH(Data!$DN335,'Data_Price '!$AT$2:$AT$1266,0))</f>
        <v/>
      </c>
      <c r="CY335">
        <f>INDEX('Data_Price '!AH$2:AH$1266,MATCH(Data!$DN335,'Data_Price '!$AT$2:$AT$1266,0))</f>
        <v/>
      </c>
      <c r="CZ335">
        <f>INDEX('Data_Price '!AI$2:AI$1266,MATCH(Data!$DN335,'Data_Price '!$AT$2:$AT$1266,0))</f>
        <v/>
      </c>
      <c r="DA335">
        <f>INDEX('Data_Price '!AJ$2:AJ$1266,MATCH(Data!$DN335,'Data_Price '!$AT$2:$AT$1266,0))</f>
        <v/>
      </c>
      <c r="DB335">
        <f>INDEX('Data_Price '!AK$2:AK$1266,MATCH(Data!$DN335,'Data_Price '!$AT$2:$AT$1266,0))</f>
        <v/>
      </c>
      <c r="DC335">
        <f>INDEX('Data_Price '!AL$2:AL$1266,MATCH(Data!$DN335,'Data_Price '!$AT$2:$AT$1266,0))</f>
        <v/>
      </c>
      <c r="DD335">
        <f>INDEX('Data_Price '!AM$2:AM$1266,MATCH(Data!$DN335,'Data_Price '!$AT$2:$AT$1266,0))</f>
        <v/>
      </c>
      <c r="DE335">
        <f>INDEX('Data_Price '!AN$2:AN$1266,MATCH(Data!$DN335,'Data_Price '!$AT$2:$AT$1266,0))</f>
        <v/>
      </c>
      <c r="DF335">
        <f>INDEX('Data_Price '!AO$2:AO$1266,MATCH(Data!$DN335,'Data_Price '!$AT$2:$AT$1266,0))</f>
        <v/>
      </c>
      <c r="DG335">
        <f>INDEX('Data_Price '!AP$2:AP$1266,MATCH(Data!$DN335,'Data_Price '!$AT$2:$AT$1266,0))</f>
        <v/>
      </c>
      <c r="DH335">
        <f>INDEX('Data_Price '!AQ$2:AQ$1266,MATCH(Data!$DN335,'Data_Price '!$AT$2:$AT$1266,0))</f>
        <v/>
      </c>
      <c r="DI335">
        <f>INDEX('Data_Price '!AR$2:AR$1266,MATCH(Data!$DN335,'Data_Price '!$AT$2:$AT$1266,0))</f>
        <v/>
      </c>
      <c r="DJ335" s="138">
        <f>DA335</f>
        <v/>
      </c>
      <c r="DK335" s="138">
        <f>DE335</f>
        <v/>
      </c>
      <c r="DL335" s="138">
        <f>DI335</f>
        <v/>
      </c>
      <c r="DM335" s="303">
        <f>IF(LEFT(BT335,1)=" ",RIGHT(BT335,LEN(BT335)-1),BT335)</f>
        <v/>
      </c>
      <c r="DN335" s="138">
        <f>_xlfn.CONCAT(BS335,DM335,BU335,BV335)</f>
        <v/>
      </c>
      <c r="DO335" s="307" t="inlineStr">
        <is>
          <t>https://images.evo.com/imgp/250/198699/839665/armada-arv-86-skis-2022-.jpg</t>
        </is>
      </c>
    </row>
    <row r="336" ht="15.6" customHeight="1" s="184">
      <c r="B336" s="303">
        <f t="array" ref="B336">IF(OR(ISERROR(K336:P336)),FALSE,TRUE)</f>
        <v/>
      </c>
      <c r="C336" s="60">
        <f>OR(BR336=Driver!$G$50,Data!BR175=Driver!$H$50)</f>
        <v/>
      </c>
      <c r="D336" s="60">
        <f>OR(BV336=Driver!$G$51,BV336=Driver!$H$51)</f>
        <v/>
      </c>
      <c r="E336" s="60">
        <f>AND(BX336&gt;Driver!$F$54,BX336&lt;Driver!$G$54)</f>
        <v/>
      </c>
      <c r="F336" s="60">
        <f>CL336&gt;Driver!$F$56</f>
        <v/>
      </c>
      <c r="G336" s="60">
        <f>AND(CB336&gt;Driver!$F$55,CB336&lt;Driver!$G$55)</f>
        <v/>
      </c>
      <c r="H336" s="60">
        <f>AND(B336:G336)</f>
        <v/>
      </c>
      <c r="I336" s="60">
        <f>COUNTIFS($H$9:$H$1273,TRUE,$BT$9:$BT$1273,BT336)</f>
        <v/>
      </c>
      <c r="J336" s="60">
        <f t="array" ref="J336">NOT(OR(($H$9:$H$1273=TRUE)*($I$9:$I$1273&gt;0)*($BT$9:$BT$1273=BT336)*($K$9:$K$1273&gt;K336)))</f>
        <v/>
      </c>
      <c r="K336" s="108">
        <f>IFERROR(1-AVERAGE(X336:Y336),"")</f>
        <v/>
      </c>
      <c r="L336" s="108">
        <f>1-X336</f>
        <v/>
      </c>
      <c r="M336" s="108">
        <f>1-Y336</f>
        <v/>
      </c>
      <c r="N336" s="108">
        <f>1-Z336</f>
        <v/>
      </c>
      <c r="O336" s="108">
        <f>1-AA336</f>
        <v/>
      </c>
      <c r="P336" s="108">
        <f>1-AB336</f>
        <v/>
      </c>
      <c r="Q336" s="108" t="n"/>
      <c r="R336" s="108" t="n"/>
      <c r="S336" s="108">
        <f>1-AE336</f>
        <v/>
      </c>
      <c r="T336" s="108">
        <f>1-AF336</f>
        <v/>
      </c>
      <c r="U336" s="108">
        <f>1-AG336</f>
        <v/>
      </c>
      <c r="V336" s="108">
        <f>1-AH336</f>
        <v/>
      </c>
      <c r="W336" s="108">
        <f>1-AI336</f>
        <v/>
      </c>
      <c r="X336" s="108">
        <f>ABS(AJ336-AJ$1)</f>
        <v/>
      </c>
      <c r="Y336" s="108">
        <f>AVERAGE(Z336:AB336)</f>
        <v/>
      </c>
      <c r="Z336" s="108">
        <f>ABS(AL336-AL$1)</f>
        <v/>
      </c>
      <c r="AA336" s="108">
        <f>ABS(AM336-AM$1)</f>
        <v/>
      </c>
      <c r="AB336" s="108">
        <f>ABS(AN336-AN$1)</f>
        <v/>
      </c>
      <c r="AC336" s="108" t="n"/>
      <c r="AD336" s="108" t="n"/>
      <c r="AE336" s="108">
        <f>ABS(AQ$1-AQ336)</f>
        <v/>
      </c>
      <c r="AF336" s="108">
        <f>ABS(AR$1-AR336)</f>
        <v/>
      </c>
      <c r="AG336" s="108">
        <f>ABS(AS$1-AS336)</f>
        <v/>
      </c>
      <c r="AH336" s="108">
        <f>ABS(AT$1-AT336)</f>
        <v/>
      </c>
      <c r="AI336" s="108">
        <f>ABS(AU$1-AU336)</f>
        <v/>
      </c>
      <c r="AJ336" s="108">
        <f>(AV336-Driver!$K$179)/(Driver!$L$179-Driver!$K$179)</f>
        <v/>
      </c>
      <c r="AK336" s="108">
        <f>(AW336-Driver!$K$180)/(Driver!$L$180-Driver!$K$180)</f>
        <v/>
      </c>
      <c r="AL336" s="108">
        <f>(AX336-Driver!$K$181)/(Driver!$L$181-Driver!$K$181)</f>
        <v/>
      </c>
      <c r="AM336" s="108">
        <f>(AY336-Driver!$K$182)/(Driver!$L$182-Driver!$K$182)</f>
        <v/>
      </c>
      <c r="AN336" s="108">
        <f>(AZ336-Driver!$K$183)/(Driver!$L$183-Driver!$K$183)</f>
        <v/>
      </c>
      <c r="AO336" s="108" t="n"/>
      <c r="AP336" s="108" t="n"/>
      <c r="AQ336" s="108">
        <f>(BC336-Driver!$K$188)/(Driver!$L$188-Driver!$K$188)</f>
        <v/>
      </c>
      <c r="AR336" s="108">
        <f>MIN((BD336-Driver!$K$189)/(Driver!$L$189-Driver!$K$189),100%)</f>
        <v/>
      </c>
      <c r="AS336" s="108">
        <f>(BE336-Driver!$K$190)/(Driver!$L$190-Driver!$K$190)</f>
        <v/>
      </c>
      <c r="AT336" s="108">
        <f>(BF336-Driver!$K$191)/(Driver!$L$191-Driver!$K$191)</f>
        <v/>
      </c>
      <c r="AU336" s="108">
        <f>(BG336-Driver!$K$192)/(Driver!$L$192-Driver!$K$192)</f>
        <v/>
      </c>
      <c r="AV336" s="105">
        <f>IFERROR(BM336*BJ336^1/4,"")</f>
        <v/>
      </c>
      <c r="AW336" s="105">
        <f>IFERROR(SUM(AX336:AZ336),"")</f>
        <v/>
      </c>
      <c r="AX336" s="105">
        <f>IFERROR(BH336,"")</f>
        <v/>
      </c>
      <c r="AY336" s="105">
        <f>IFERROR(Driver!$K$19/Data!BH336/Data!BI336*Data!BK336*Data!BL336,"")</f>
        <v/>
      </c>
      <c r="AZ336" s="105">
        <f>IFERROR(BI336*BN336,"")</f>
        <v/>
      </c>
      <c r="BA336" s="105" t="n"/>
      <c r="BB336" s="105" t="n"/>
      <c r="BC336" s="105">
        <f>IFERROR(BI336*BN336*BK336/BJ336^(1/2),"")</f>
        <v/>
      </c>
      <c r="BD336" s="105">
        <f>IFERROR(BH336*BM336*BL336/BJ336/BK336,"")</f>
        <v/>
      </c>
      <c r="BE336" s="105">
        <f>IFERROR(MIN(BI336/BQ336/BP336/BO336/BH336,$BE$1),"")</f>
        <v/>
      </c>
      <c r="BF336" s="105">
        <f>IFERROR(BJ336*BO336*BP336/BK336,"")</f>
        <v/>
      </c>
      <c r="BG336" s="105">
        <f>IFERROR(1/BM336/BH336*BQ336,"")</f>
        <v/>
      </c>
      <c r="BH336" s="102">
        <f>MAX((CE336-Driver!$F$200)/(Driver!$G$200-Driver!$F$200)*$BI$1,1)</f>
        <v/>
      </c>
      <c r="BI336" s="102">
        <f>MAX($BI$1*(BY336-Driver!$F$201)/(Driver!$G$201-Driver!$F$201),1)</f>
        <v/>
      </c>
      <c r="BJ336" s="102">
        <f>(CB336-Driver!$F$206)/(Driver!$G$206-Driver!$F$206)*$BI$1</f>
        <v/>
      </c>
      <c r="BK336" s="102">
        <f>(CD336-Driver!$F$203)/(Driver!$G$203-Driver!$F$203)*$BI$1</f>
        <v/>
      </c>
      <c r="BL336" s="102">
        <f>MAX((CR336-Driver!$F$202)/(Driver!$G$202-Driver!$F$202)*$BI$1,1)</f>
        <v/>
      </c>
      <c r="BM336" s="102">
        <f>MAX((CH336-Driver!$F$204)/(Driver!$G$204-Driver!$F$204)*$BI$1,1)</f>
        <v/>
      </c>
      <c r="BN336" s="102">
        <f>(CI336-Driver!$F$205)/(Driver!$G$205-Driver!$F$205)*$BI$1</f>
        <v/>
      </c>
      <c r="BO336" s="102">
        <f>(CK336-Driver!$F$207)/(Driver!$G$207-Driver!$F$207)*$BI$1</f>
        <v/>
      </c>
      <c r="BP336" s="102">
        <f>(CM336-Driver!$F$208)/(Driver!$G$208-Driver!$F$208)*$BI$1</f>
        <v/>
      </c>
      <c r="BQ336" s="102">
        <f>(CL336-Driver!$F$209)/(Driver!$G$209-Driver!$F$209)*$BI$1</f>
        <v/>
      </c>
      <c r="BR336" s="40" t="inlineStr">
        <is>
          <t>21/22</t>
        </is>
      </c>
      <c r="BS336" s="10" t="inlineStr">
        <is>
          <t xml:space="preserve"> Atomic</t>
        </is>
      </c>
      <c r="BT336" s="11" t="inlineStr">
        <is>
          <t>Redster S7</t>
        </is>
      </c>
      <c r="BU336" s="13" t="n">
        <v>163</v>
      </c>
      <c r="BV336" s="11" t="inlineStr">
        <is>
          <t xml:space="preserve"> Unisex</t>
        </is>
      </c>
      <c r="BW336" s="13" t="n">
        <v>163</v>
      </c>
      <c r="BX336" s="13" t="n">
        <v>160.4</v>
      </c>
      <c r="BY336" s="13" t="n">
        <v>139</v>
      </c>
      <c r="BZ336" s="13" t="n">
        <v>146</v>
      </c>
      <c r="CA336" s="13" t="n">
        <v>111</v>
      </c>
      <c r="CB336" s="13" t="n">
        <v>69</v>
      </c>
      <c r="CC336" s="13" t="n">
        <v>99</v>
      </c>
      <c r="CD336" s="13" t="n">
        <v>14.5</v>
      </c>
      <c r="CE336" s="13" t="n">
        <v>1682</v>
      </c>
      <c r="CF336" s="13" t="n">
        <v>0.79</v>
      </c>
      <c r="CG336" s="13" t="n">
        <v>1331</v>
      </c>
      <c r="CH336" s="13" t="n">
        <v>198</v>
      </c>
      <c r="CI336" s="13" t="n">
        <v>98</v>
      </c>
      <c r="CJ336" s="13" t="n">
        <v>40</v>
      </c>
      <c r="CK336" s="13" t="n">
        <v>147</v>
      </c>
      <c r="CL336" s="13" t="n">
        <v>5</v>
      </c>
      <c r="CM336" s="13" t="n">
        <v>64</v>
      </c>
      <c r="CN336" s="13" t="n">
        <v>0.138</v>
      </c>
      <c r="CO336" s="13" t="n">
        <v>83</v>
      </c>
      <c r="CP336" s="13" t="n">
        <v>57</v>
      </c>
      <c r="CQ336" s="13" t="n">
        <v>65</v>
      </c>
      <c r="CR336" s="13" t="n">
        <v>6</v>
      </c>
      <c r="CS336" s="13" t="n">
        <v>12.5</v>
      </c>
      <c r="CT336" s="11" t="inlineStr">
        <is>
          <t xml:space="preserve"> On-Piste Carving</t>
        </is>
      </c>
      <c r="CU336" s="13" t="n"/>
      <c r="CV336" s="13" t="n"/>
      <c r="CW336" s="13" t="n"/>
      <c r="CX336">
        <f>INDEX('Data_Price '!AG$2:AG$1266,MATCH(Data!$DN336,'Data_Price '!$AT$2:$AT$1266,0))</f>
        <v/>
      </c>
      <c r="CY336">
        <f>INDEX('Data_Price '!AH$2:AH$1266,MATCH(Data!$DN336,'Data_Price '!$AT$2:$AT$1266,0))</f>
        <v/>
      </c>
      <c r="CZ336">
        <f>INDEX('Data_Price '!AI$2:AI$1266,MATCH(Data!$DN336,'Data_Price '!$AT$2:$AT$1266,0))</f>
        <v/>
      </c>
      <c r="DA336">
        <f>INDEX('Data_Price '!AJ$2:AJ$1266,MATCH(Data!$DN336,'Data_Price '!$AT$2:$AT$1266,0))</f>
        <v/>
      </c>
      <c r="DB336">
        <f>INDEX('Data_Price '!AK$2:AK$1266,MATCH(Data!$DN336,'Data_Price '!$AT$2:$AT$1266,0))</f>
        <v/>
      </c>
      <c r="DC336">
        <f>INDEX('Data_Price '!AL$2:AL$1266,MATCH(Data!$DN336,'Data_Price '!$AT$2:$AT$1266,0))</f>
        <v/>
      </c>
      <c r="DD336">
        <f>INDEX('Data_Price '!AM$2:AM$1266,MATCH(Data!$DN336,'Data_Price '!$AT$2:$AT$1266,0))</f>
        <v/>
      </c>
      <c r="DE336">
        <f>INDEX('Data_Price '!AN$2:AN$1266,MATCH(Data!$DN336,'Data_Price '!$AT$2:$AT$1266,0))</f>
        <v/>
      </c>
      <c r="DF336">
        <f>INDEX('Data_Price '!AO$2:AO$1266,MATCH(Data!$DN336,'Data_Price '!$AT$2:$AT$1266,0))</f>
        <v/>
      </c>
      <c r="DG336">
        <f>INDEX('Data_Price '!AP$2:AP$1266,MATCH(Data!$DN336,'Data_Price '!$AT$2:$AT$1266,0))</f>
        <v/>
      </c>
      <c r="DH336">
        <f>INDEX('Data_Price '!AQ$2:AQ$1266,MATCH(Data!$DN336,'Data_Price '!$AT$2:$AT$1266,0))</f>
        <v/>
      </c>
      <c r="DI336">
        <f>INDEX('Data_Price '!AR$2:AR$1266,MATCH(Data!$DN336,'Data_Price '!$AT$2:$AT$1266,0))</f>
        <v/>
      </c>
      <c r="DJ336" s="138">
        <f>DA336</f>
        <v/>
      </c>
      <c r="DK336" s="138">
        <f>DE336</f>
        <v/>
      </c>
      <c r="DL336" s="138">
        <f>DI336</f>
        <v/>
      </c>
      <c r="DM336" s="303">
        <f>IF(LEFT(BT336,1)=" ",RIGHT(BT336,LEN(BT336)-1),BT336)</f>
        <v/>
      </c>
      <c r="DN336" s="138">
        <f>_xlfn.CONCAT(BS336,DM336,BU336,BV336)</f>
        <v/>
      </c>
      <c r="DO336" s="307" t="n"/>
    </row>
    <row r="337" ht="15.6" customHeight="1" s="184">
      <c r="B337" s="303">
        <f t="array" ref="B337">IF(OR(ISERROR(K337:P337)),FALSE,TRUE)</f>
        <v/>
      </c>
      <c r="C337" s="60">
        <f>OR(BR337=Driver!$G$50,Data!BR867=Driver!$H$50)</f>
        <v/>
      </c>
      <c r="D337" s="60">
        <f>OR(BV337=Driver!$G$51,BV337=Driver!$H$51)</f>
        <v/>
      </c>
      <c r="E337" s="60">
        <f>AND(BX337&gt;Driver!$F$54,BX337&lt;Driver!$G$54)</f>
        <v/>
      </c>
      <c r="F337" s="60">
        <f>CL337&gt;Driver!$F$56</f>
        <v/>
      </c>
      <c r="G337" s="60">
        <f>AND(CB337&gt;Driver!$F$55,CB337&lt;Driver!$G$55)</f>
        <v/>
      </c>
      <c r="H337" s="60">
        <f>AND(B337:G337)</f>
        <v/>
      </c>
      <c r="I337" s="60">
        <f>COUNTIFS($H$9:$H$1273,TRUE,$BT$9:$BT$1273,BT337)</f>
        <v/>
      </c>
      <c r="J337" s="60">
        <f t="array" ref="J337">NOT(OR(($H$9:$H$1273=TRUE)*($I$9:$I$1273&gt;0)*($BT$9:$BT$1273=BT337)*($K$9:$K$1273&gt;K337)))</f>
        <v/>
      </c>
      <c r="K337" s="108">
        <f>IFERROR(1-AVERAGE(X337:Y337),"")</f>
        <v/>
      </c>
      <c r="L337" s="108">
        <f>1-X337</f>
        <v/>
      </c>
      <c r="M337" s="108">
        <f>1-Y337</f>
        <v/>
      </c>
      <c r="N337" s="108">
        <f>1-Z337</f>
        <v/>
      </c>
      <c r="O337" s="108">
        <f>1-AA337</f>
        <v/>
      </c>
      <c r="P337" s="108">
        <f>1-AB337</f>
        <v/>
      </c>
      <c r="Q337" s="108" t="n"/>
      <c r="R337" s="108" t="n"/>
      <c r="S337" s="108">
        <f>1-AE337</f>
        <v/>
      </c>
      <c r="T337" s="108">
        <f>1-AF337</f>
        <v/>
      </c>
      <c r="U337" s="108">
        <f>1-AG337</f>
        <v/>
      </c>
      <c r="V337" s="108">
        <f>1-AH337</f>
        <v/>
      </c>
      <c r="W337" s="108">
        <f>1-AI337</f>
        <v/>
      </c>
      <c r="X337" s="108">
        <f>ABS(AJ337-AJ$1)</f>
        <v/>
      </c>
      <c r="Y337" s="108">
        <f>AVERAGE(Z337:AB337)</f>
        <v/>
      </c>
      <c r="Z337" s="108">
        <f>ABS(AL337-AL$1)</f>
        <v/>
      </c>
      <c r="AA337" s="108">
        <f>ABS(AM337-AM$1)</f>
        <v/>
      </c>
      <c r="AB337" s="108">
        <f>ABS(AN337-AN$1)</f>
        <v/>
      </c>
      <c r="AC337" s="108" t="n"/>
      <c r="AD337" s="108" t="n"/>
      <c r="AE337" s="108">
        <f>ABS(AQ$1-AQ337)</f>
        <v/>
      </c>
      <c r="AF337" s="108">
        <f>ABS(AR$1-AR337)</f>
        <v/>
      </c>
      <c r="AG337" s="108">
        <f>ABS(AS$1-AS337)</f>
        <v/>
      </c>
      <c r="AH337" s="108">
        <f>ABS(AT$1-AT337)</f>
        <v/>
      </c>
      <c r="AI337" s="108">
        <f>ABS(AU$1-AU337)</f>
        <v/>
      </c>
      <c r="AJ337" s="108">
        <f>(AV337-Driver!$K$179)/(Driver!$L$179-Driver!$K$179)</f>
        <v/>
      </c>
      <c r="AK337" s="108">
        <f>(AW337-Driver!$K$180)/(Driver!$L$180-Driver!$K$180)</f>
        <v/>
      </c>
      <c r="AL337" s="108">
        <f>(AX337-Driver!$K$181)/(Driver!$L$181-Driver!$K$181)</f>
        <v/>
      </c>
      <c r="AM337" s="108">
        <f>(AY337-Driver!$K$182)/(Driver!$L$182-Driver!$K$182)</f>
        <v/>
      </c>
      <c r="AN337" s="108">
        <f>(AZ337-Driver!$K$183)/(Driver!$L$183-Driver!$K$183)</f>
        <v/>
      </c>
      <c r="AO337" s="108" t="n"/>
      <c r="AP337" s="108" t="n"/>
      <c r="AQ337" s="108">
        <f>(BC337-Driver!$K$188)/(Driver!$L$188-Driver!$K$188)</f>
        <v/>
      </c>
      <c r="AR337" s="108">
        <f>MIN((BD337-Driver!$K$189)/(Driver!$L$189-Driver!$K$189),100%)</f>
        <v/>
      </c>
      <c r="AS337" s="108">
        <f>(BE337-Driver!$K$190)/(Driver!$L$190-Driver!$K$190)</f>
        <v/>
      </c>
      <c r="AT337" s="108">
        <f>(BF337-Driver!$K$191)/(Driver!$L$191-Driver!$K$191)</f>
        <v/>
      </c>
      <c r="AU337" s="108">
        <f>(BG337-Driver!$K$192)/(Driver!$L$192-Driver!$K$192)</f>
        <v/>
      </c>
      <c r="AV337" s="105">
        <f>IFERROR(BM337*BJ337^1/4,"")</f>
        <v/>
      </c>
      <c r="AW337" s="105">
        <f>IFERROR(SUM(AX337:AZ337),"")</f>
        <v/>
      </c>
      <c r="AX337" s="105">
        <f>IFERROR(BH337,"")</f>
        <v/>
      </c>
      <c r="AY337" s="105">
        <f>IFERROR(Driver!$K$19/Data!BH337/Data!BI337*Data!BK337*Data!BL337,"")</f>
        <v/>
      </c>
      <c r="AZ337" s="105">
        <f>IFERROR(BI337*BN337,"")</f>
        <v/>
      </c>
      <c r="BA337" s="105" t="n"/>
      <c r="BB337" s="105" t="n"/>
      <c r="BC337" s="105">
        <f>IFERROR(BI337*BN337*BK337/BJ337^(1/2),"")</f>
        <v/>
      </c>
      <c r="BD337" s="105">
        <f>IFERROR(BH337*BM337*BL337/BJ337/BK337,"")</f>
        <v/>
      </c>
      <c r="BE337" s="105">
        <f>IFERROR(MIN(BI337/BQ337/BP337/BO337/BH337,$BE$1),"")</f>
        <v/>
      </c>
      <c r="BF337" s="105">
        <f>IFERROR(BJ337*BO337*BP337/BK337,"")</f>
        <v/>
      </c>
      <c r="BG337" s="105">
        <f>IFERROR(1/BM337/BH337*BQ337,"")</f>
        <v/>
      </c>
      <c r="BH337" s="102">
        <f>MAX((CE337-Driver!$F$200)/(Driver!$G$200-Driver!$F$200)*$BI$1,1)</f>
        <v/>
      </c>
      <c r="BI337" s="102">
        <f>MAX($BI$1*(BY337-Driver!$F$201)/(Driver!$G$201-Driver!$F$201),1)</f>
        <v/>
      </c>
      <c r="BJ337" s="102">
        <f>(CB337-Driver!$F$206)/(Driver!$G$206-Driver!$F$206)*$BI$1</f>
        <v/>
      </c>
      <c r="BK337" s="102">
        <f>(CD337-Driver!$F$203)/(Driver!$G$203-Driver!$F$203)*$BI$1</f>
        <v/>
      </c>
      <c r="BL337" s="102">
        <f>MAX((CR337-Driver!$F$202)/(Driver!$G$202-Driver!$F$202)*$BI$1,1)</f>
        <v/>
      </c>
      <c r="BM337" s="102">
        <f>MAX((CH337-Driver!$F$204)/(Driver!$G$204-Driver!$F$204)*$BI$1,1)</f>
        <v/>
      </c>
      <c r="BN337" s="102">
        <f>(CI337-Driver!$F$205)/(Driver!$G$205-Driver!$F$205)*$BI$1</f>
        <v/>
      </c>
      <c r="BO337" s="102">
        <f>(CK337-Driver!$F$207)/(Driver!$G$207-Driver!$F$207)*$BI$1</f>
        <v/>
      </c>
      <c r="BP337" s="102">
        <f>(CM337-Driver!$F$208)/(Driver!$G$208-Driver!$F$208)*$BI$1</f>
        <v/>
      </c>
      <c r="BQ337" s="102">
        <f>(CL337-Driver!$F$209)/(Driver!$G$209-Driver!$F$209)*$BI$1</f>
        <v/>
      </c>
      <c r="BR337" s="40" t="inlineStr">
        <is>
          <t>21/22</t>
        </is>
      </c>
      <c r="BS337" s="10" t="inlineStr">
        <is>
          <t xml:space="preserve"> Line</t>
        </is>
      </c>
      <c r="BT337" s="11" t="inlineStr">
        <is>
          <t>Sick Day 94</t>
        </is>
      </c>
      <c r="BU337" s="13" t="n">
        <v>186</v>
      </c>
      <c r="BV337" s="11" t="inlineStr">
        <is>
          <t xml:space="preserve"> Unisex</t>
        </is>
      </c>
      <c r="BW337" s="13" t="n">
        <v>186</v>
      </c>
      <c r="BX337" s="13" t="n">
        <v>185.7</v>
      </c>
      <c r="BY337" s="13" t="n">
        <v>147</v>
      </c>
      <c r="BZ337" s="13" t="n">
        <v>161</v>
      </c>
      <c r="CA337" s="13" t="n">
        <v>131</v>
      </c>
      <c r="CB337" s="13" t="n">
        <v>93</v>
      </c>
      <c r="CC337" s="13" t="n">
        <v>116</v>
      </c>
      <c r="CD337" s="13" t="n">
        <v>19.6</v>
      </c>
      <c r="CE337" s="13" t="n">
        <v>1736</v>
      </c>
      <c r="CF337" s="13" t="n">
        <v>1.12</v>
      </c>
      <c r="CG337" s="13" t="n">
        <v>1952</v>
      </c>
      <c r="CH337" s="13" t="n">
        <v>191</v>
      </c>
      <c r="CI337" s="13" t="n">
        <v>102</v>
      </c>
      <c r="CJ337" s="13" t="n">
        <v>45</v>
      </c>
      <c r="CK337" s="13" t="n">
        <v>252</v>
      </c>
      <c r="CL337" s="13" t="n">
        <v>17</v>
      </c>
      <c r="CM337" s="13" t="n">
        <v>133</v>
      </c>
      <c r="CN337" s="13" t="n">
        <v>0.372</v>
      </c>
      <c r="CO337" s="13" t="n">
        <v>135</v>
      </c>
      <c r="CP337" s="13" t="n">
        <v>113</v>
      </c>
      <c r="CQ337" s="13" t="n">
        <v>117</v>
      </c>
      <c r="CR337" s="13" t="n">
        <v>10</v>
      </c>
      <c r="CS337" s="13" t="n">
        <v>9.9</v>
      </c>
      <c r="CT337" s="11" t="inlineStr">
        <is>
          <t xml:space="preserve"> Resort Freeride</t>
        </is>
      </c>
      <c r="CU337" s="11" t="inlineStr">
        <is>
          <t xml:space="preserve"> Touring</t>
        </is>
      </c>
      <c r="CV337" s="13" t="n"/>
      <c r="CW337" s="13" t="n"/>
      <c r="CX337">
        <f>INDEX('Data_Price '!AG$2:AG$1266,MATCH(Data!$DN337,'Data_Price '!$AT$2:$AT$1266,0))</f>
        <v/>
      </c>
      <c r="CY337">
        <f>INDEX('Data_Price '!AH$2:AH$1266,MATCH(Data!$DN337,'Data_Price '!$AT$2:$AT$1266,0))</f>
        <v/>
      </c>
      <c r="CZ337">
        <f>INDEX('Data_Price '!AI$2:AI$1266,MATCH(Data!$DN337,'Data_Price '!$AT$2:$AT$1266,0))</f>
        <v/>
      </c>
      <c r="DA337">
        <f>INDEX('Data_Price '!AJ$2:AJ$1266,MATCH(Data!$DN337,'Data_Price '!$AT$2:$AT$1266,0))</f>
        <v/>
      </c>
      <c r="DB337">
        <f>INDEX('Data_Price '!AK$2:AK$1266,MATCH(Data!$DN337,'Data_Price '!$AT$2:$AT$1266,0))</f>
        <v/>
      </c>
      <c r="DC337">
        <f>INDEX('Data_Price '!AL$2:AL$1266,MATCH(Data!$DN337,'Data_Price '!$AT$2:$AT$1266,0))</f>
        <v/>
      </c>
      <c r="DD337">
        <f>INDEX('Data_Price '!AM$2:AM$1266,MATCH(Data!$DN337,'Data_Price '!$AT$2:$AT$1266,0))</f>
        <v/>
      </c>
      <c r="DE337">
        <f>INDEX('Data_Price '!AN$2:AN$1266,MATCH(Data!$DN337,'Data_Price '!$AT$2:$AT$1266,0))</f>
        <v/>
      </c>
      <c r="DF337">
        <f>INDEX('Data_Price '!AO$2:AO$1266,MATCH(Data!$DN337,'Data_Price '!$AT$2:$AT$1266,0))</f>
        <v/>
      </c>
      <c r="DG337">
        <f>INDEX('Data_Price '!AP$2:AP$1266,MATCH(Data!$DN337,'Data_Price '!$AT$2:$AT$1266,0))</f>
        <v/>
      </c>
      <c r="DH337">
        <f>INDEX('Data_Price '!AQ$2:AQ$1266,MATCH(Data!$DN337,'Data_Price '!$AT$2:$AT$1266,0))</f>
        <v/>
      </c>
      <c r="DI337">
        <f>INDEX('Data_Price '!AR$2:AR$1266,MATCH(Data!$DN337,'Data_Price '!$AT$2:$AT$1266,0))</f>
        <v/>
      </c>
      <c r="DJ337" s="138">
        <f>DA337</f>
        <v/>
      </c>
      <c r="DK337" s="138">
        <f>DE337</f>
        <v/>
      </c>
      <c r="DL337" s="138">
        <f>DI337</f>
        <v/>
      </c>
      <c r="DM337" s="303">
        <f>IF(LEFT(BT337,1)=" ",RIGHT(BT337,LEN(BT337)-1),BT337)</f>
        <v/>
      </c>
      <c r="DN337" s="138">
        <f>_xlfn.CONCAT(BS337,DM337,BU337,BV337)</f>
        <v/>
      </c>
      <c r="DO337" s="307" t="inlineStr">
        <is>
          <t>https://images.evo.com/imgp/250/198437/817697/line-skis-sick-day-94-skis-2022-.jpg</t>
        </is>
      </c>
    </row>
    <row r="338" ht="15.6" customHeight="1" s="184">
      <c r="B338" s="303">
        <f t="array" ref="B338">IF(OR(ISERROR(K338:P338)),FALSE,TRUE)</f>
        <v/>
      </c>
      <c r="C338" s="60">
        <f>OR(BR338=Driver!$G$50,Data!BR1134=Driver!$H$50)</f>
        <v/>
      </c>
      <c r="D338" s="60">
        <f>OR(BV338=Driver!$G$51,BV338=Driver!$H$51)</f>
        <v/>
      </c>
      <c r="E338" s="60">
        <f>AND(BX338&gt;Driver!$F$54,BX338&lt;Driver!$G$54)</f>
        <v/>
      </c>
      <c r="F338" s="60">
        <f>CL338&gt;Driver!$F$56</f>
        <v/>
      </c>
      <c r="G338" s="60">
        <f>AND(CB338&gt;Driver!$F$55,CB338&lt;Driver!$G$55)</f>
        <v/>
      </c>
      <c r="H338" s="60">
        <f>AND(B338:G338)</f>
        <v/>
      </c>
      <c r="I338" s="60">
        <f>COUNTIFS($H$9:$H$1273,TRUE,$BT$9:$BT$1273,BT338)</f>
        <v/>
      </c>
      <c r="J338" s="60">
        <f t="array" ref="J338">NOT(OR(($H$9:$H$1273=TRUE)*($I$9:$I$1273&gt;0)*($BT$9:$BT$1273=BT338)*($K$9:$K$1273&gt;K338)))</f>
        <v/>
      </c>
      <c r="K338" s="108">
        <f>IFERROR(1-AVERAGE(X338:Y338),"")</f>
        <v/>
      </c>
      <c r="L338" s="108">
        <f>1-X338</f>
        <v/>
      </c>
      <c r="M338" s="108">
        <f>1-Y338</f>
        <v/>
      </c>
      <c r="N338" s="108">
        <f>1-Z338</f>
        <v/>
      </c>
      <c r="O338" s="108">
        <f>1-AA338</f>
        <v/>
      </c>
      <c r="P338" s="108">
        <f>1-AB338</f>
        <v/>
      </c>
      <c r="Q338" s="108" t="n"/>
      <c r="R338" s="108" t="n"/>
      <c r="S338" s="108">
        <f>1-AE338</f>
        <v/>
      </c>
      <c r="T338" s="108">
        <f>1-AF338</f>
        <v/>
      </c>
      <c r="U338" s="108">
        <f>1-AG338</f>
        <v/>
      </c>
      <c r="V338" s="108">
        <f>1-AH338</f>
        <v/>
      </c>
      <c r="W338" s="108">
        <f>1-AI338</f>
        <v/>
      </c>
      <c r="X338" s="108">
        <f>ABS(AJ338-AJ$1)</f>
        <v/>
      </c>
      <c r="Y338" s="108">
        <f>AVERAGE(Z338:AB338)</f>
        <v/>
      </c>
      <c r="Z338" s="108">
        <f>ABS(AL338-AL$1)</f>
        <v/>
      </c>
      <c r="AA338" s="108">
        <f>ABS(AM338-AM$1)</f>
        <v/>
      </c>
      <c r="AB338" s="108">
        <f>ABS(AN338-AN$1)</f>
        <v/>
      </c>
      <c r="AC338" s="108" t="n"/>
      <c r="AD338" s="108" t="n"/>
      <c r="AE338" s="108">
        <f>ABS(AQ$1-AQ338)</f>
        <v/>
      </c>
      <c r="AF338" s="108">
        <f>ABS(AR$1-AR338)</f>
        <v/>
      </c>
      <c r="AG338" s="108">
        <f>ABS(AS$1-AS338)</f>
        <v/>
      </c>
      <c r="AH338" s="108">
        <f>ABS(AT$1-AT338)</f>
        <v/>
      </c>
      <c r="AI338" s="108">
        <f>ABS(AU$1-AU338)</f>
        <v/>
      </c>
      <c r="AJ338" s="108">
        <f>(AV338-Driver!$K$179)/(Driver!$L$179-Driver!$K$179)</f>
        <v/>
      </c>
      <c r="AK338" s="108">
        <f>(AW338-Driver!$K$180)/(Driver!$L$180-Driver!$K$180)</f>
        <v/>
      </c>
      <c r="AL338" s="108">
        <f>(AX338-Driver!$K$181)/(Driver!$L$181-Driver!$K$181)</f>
        <v/>
      </c>
      <c r="AM338" s="108">
        <f>(AY338-Driver!$K$182)/(Driver!$L$182-Driver!$K$182)</f>
        <v/>
      </c>
      <c r="AN338" s="108">
        <f>(AZ338-Driver!$K$183)/(Driver!$L$183-Driver!$K$183)</f>
        <v/>
      </c>
      <c r="AO338" s="108" t="n"/>
      <c r="AP338" s="108" t="n"/>
      <c r="AQ338" s="108">
        <f>(BC338-Driver!$K$188)/(Driver!$L$188-Driver!$K$188)</f>
        <v/>
      </c>
      <c r="AR338" s="108">
        <f>MIN((BD338-Driver!$K$189)/(Driver!$L$189-Driver!$K$189),100%)</f>
        <v/>
      </c>
      <c r="AS338" s="108">
        <f>(BE338-Driver!$K$190)/(Driver!$L$190-Driver!$K$190)</f>
        <v/>
      </c>
      <c r="AT338" s="108">
        <f>(BF338-Driver!$K$191)/(Driver!$L$191-Driver!$K$191)</f>
        <v/>
      </c>
      <c r="AU338" s="108">
        <f>(BG338-Driver!$K$192)/(Driver!$L$192-Driver!$K$192)</f>
        <v/>
      </c>
      <c r="AV338" s="105">
        <f>IFERROR(BM338*BJ338^1/4,"")</f>
        <v/>
      </c>
      <c r="AW338" s="105">
        <f>IFERROR(SUM(AX338:AZ338),"")</f>
        <v/>
      </c>
      <c r="AX338" s="105">
        <f>IFERROR(BH338,"")</f>
        <v/>
      </c>
      <c r="AY338" s="105">
        <f>IFERROR(Driver!$K$19/Data!BH338/Data!BI338*Data!BK338*Data!BL338,"")</f>
        <v/>
      </c>
      <c r="AZ338" s="105">
        <f>IFERROR(BI338*BN338,"")</f>
        <v/>
      </c>
      <c r="BA338" s="105" t="n"/>
      <c r="BB338" s="105" t="n"/>
      <c r="BC338" s="105">
        <f>IFERROR(BI338*BN338*BK338/BJ338^(1/2),"")</f>
        <v/>
      </c>
      <c r="BD338" s="105">
        <f>IFERROR(BH338*BM338*BL338/BJ338/BK338,"")</f>
        <v/>
      </c>
      <c r="BE338" s="105">
        <f>IFERROR(MIN(BI338/BQ338/BP338/BO338/BH338,$BE$1),"")</f>
        <v/>
      </c>
      <c r="BF338" s="105">
        <f>IFERROR(BJ338*BO338*BP338/BK338,"")</f>
        <v/>
      </c>
      <c r="BG338" s="105">
        <f>IFERROR(1/BM338/BH338*BQ338,"")</f>
        <v/>
      </c>
      <c r="BH338" s="102">
        <f>MAX((CE338-Driver!$F$200)/(Driver!$G$200-Driver!$F$200)*$BI$1,1)</f>
        <v/>
      </c>
      <c r="BI338" s="102">
        <f>MAX($BI$1*(BY338-Driver!$F$201)/(Driver!$G$201-Driver!$F$201),1)</f>
        <v/>
      </c>
      <c r="BJ338" s="102">
        <f>(CB338-Driver!$F$206)/(Driver!$G$206-Driver!$F$206)*$BI$1</f>
        <v/>
      </c>
      <c r="BK338" s="102">
        <f>(CD338-Driver!$F$203)/(Driver!$G$203-Driver!$F$203)*$BI$1</f>
        <v/>
      </c>
      <c r="BL338" s="102">
        <f>MAX((CR338-Driver!$F$202)/(Driver!$G$202-Driver!$F$202)*$BI$1,1)</f>
        <v/>
      </c>
      <c r="BM338" s="102">
        <f>MAX((CH338-Driver!$F$204)/(Driver!$G$204-Driver!$F$204)*$BI$1,1)</f>
        <v/>
      </c>
      <c r="BN338" s="102">
        <f>(CI338-Driver!$F$205)/(Driver!$G$205-Driver!$F$205)*$BI$1</f>
        <v/>
      </c>
      <c r="BO338" s="102">
        <f>(CK338-Driver!$F$207)/(Driver!$G$207-Driver!$F$207)*$BI$1</f>
        <v/>
      </c>
      <c r="BP338" s="102">
        <f>(CM338-Driver!$F$208)/(Driver!$G$208-Driver!$F$208)*$BI$1</f>
        <v/>
      </c>
      <c r="BQ338" s="102">
        <f>(CL338-Driver!$F$209)/(Driver!$G$209-Driver!$F$209)*$BI$1</f>
        <v/>
      </c>
      <c r="BR338" s="40" t="inlineStr">
        <is>
          <t>21/22</t>
        </is>
      </c>
      <c r="BS338" s="10" t="inlineStr">
        <is>
          <t xml:space="preserve"> Stöckli</t>
        </is>
      </c>
      <c r="BT338" s="11" t="inlineStr">
        <is>
          <t xml:space="preserve"> Laser SC Orea</t>
        </is>
      </c>
      <c r="BU338" s="13" t="n">
        <v>170</v>
      </c>
      <c r="BV338" s="11" t="inlineStr">
        <is>
          <t xml:space="preserve"> Unisex</t>
        </is>
      </c>
      <c r="BW338" s="13" t="n">
        <v>170</v>
      </c>
      <c r="BX338" s="13" t="n">
        <v>169.2</v>
      </c>
      <c r="BY338" s="13" t="n">
        <v>149</v>
      </c>
      <c r="BZ338" s="13" t="n">
        <v>156</v>
      </c>
      <c r="CA338" s="13" t="n">
        <v>122</v>
      </c>
      <c r="CB338" s="13" t="n">
        <v>72</v>
      </c>
      <c r="CC338" s="13" t="n">
        <v>103</v>
      </c>
      <c r="CD338" s="13" t="n">
        <v>14.8</v>
      </c>
      <c r="CE338" s="13" t="n">
        <v>1751</v>
      </c>
      <c r="CF338" s="13" t="n">
        <v>0.84</v>
      </c>
      <c r="CG338" s="13" t="n">
        <v>1467</v>
      </c>
      <c r="CH338" s="13" t="n">
        <v>200</v>
      </c>
      <c r="CI338" s="13" t="n">
        <v>110</v>
      </c>
      <c r="CJ338" s="13" t="n">
        <v>39</v>
      </c>
      <c r="CK338" s="13" t="n">
        <v>140</v>
      </c>
      <c r="CL338" s="13" t="n">
        <v>6</v>
      </c>
      <c r="CM338" s="13" t="n">
        <v>61</v>
      </c>
      <c r="CN338" s="13" t="n">
        <v>0.157</v>
      </c>
      <c r="CO338" s="13" t="n">
        <v>73</v>
      </c>
      <c r="CP338" s="13" t="n">
        <v>59</v>
      </c>
      <c r="CQ338" s="13" t="n">
        <v>68</v>
      </c>
      <c r="CR338" s="13" t="n">
        <v>10</v>
      </c>
      <c r="CS338" s="13" t="n">
        <v>13.9</v>
      </c>
      <c r="CT338" s="11" t="inlineStr">
        <is>
          <t xml:space="preserve"> On-Piste Carving</t>
        </is>
      </c>
      <c r="CU338" s="13" t="n"/>
      <c r="CV338" s="13" t="n"/>
      <c r="CW338" s="13" t="n"/>
      <c r="CX338">
        <f>INDEX('Data_Price '!AG$2:AG$1266,MATCH(Data!$DN338,'Data_Price '!$AT$2:$AT$1266,0))</f>
        <v/>
      </c>
      <c r="CY338">
        <f>INDEX('Data_Price '!AH$2:AH$1266,MATCH(Data!$DN338,'Data_Price '!$AT$2:$AT$1266,0))</f>
        <v/>
      </c>
      <c r="CZ338">
        <f>INDEX('Data_Price '!AI$2:AI$1266,MATCH(Data!$DN338,'Data_Price '!$AT$2:$AT$1266,0))</f>
        <v/>
      </c>
      <c r="DA338">
        <f>INDEX('Data_Price '!AJ$2:AJ$1266,MATCH(Data!$DN338,'Data_Price '!$AT$2:$AT$1266,0))</f>
        <v/>
      </c>
      <c r="DB338">
        <f>INDEX('Data_Price '!AK$2:AK$1266,MATCH(Data!$DN338,'Data_Price '!$AT$2:$AT$1266,0))</f>
        <v/>
      </c>
      <c r="DC338">
        <f>INDEX('Data_Price '!AL$2:AL$1266,MATCH(Data!$DN338,'Data_Price '!$AT$2:$AT$1266,0))</f>
        <v/>
      </c>
      <c r="DD338">
        <f>INDEX('Data_Price '!AM$2:AM$1266,MATCH(Data!$DN338,'Data_Price '!$AT$2:$AT$1266,0))</f>
        <v/>
      </c>
      <c r="DE338">
        <f>INDEX('Data_Price '!AN$2:AN$1266,MATCH(Data!$DN338,'Data_Price '!$AT$2:$AT$1266,0))</f>
        <v/>
      </c>
      <c r="DF338">
        <f>INDEX('Data_Price '!AO$2:AO$1266,MATCH(Data!$DN338,'Data_Price '!$AT$2:$AT$1266,0))</f>
        <v/>
      </c>
      <c r="DG338">
        <f>INDEX('Data_Price '!AP$2:AP$1266,MATCH(Data!$DN338,'Data_Price '!$AT$2:$AT$1266,0))</f>
        <v/>
      </c>
      <c r="DH338">
        <f>INDEX('Data_Price '!AQ$2:AQ$1266,MATCH(Data!$DN338,'Data_Price '!$AT$2:$AT$1266,0))</f>
        <v/>
      </c>
      <c r="DI338">
        <f>INDEX('Data_Price '!AR$2:AR$1266,MATCH(Data!$DN338,'Data_Price '!$AT$2:$AT$1266,0))</f>
        <v/>
      </c>
      <c r="DJ338" s="138">
        <f>DA338</f>
        <v/>
      </c>
      <c r="DK338" s="138">
        <f>DE338</f>
        <v/>
      </c>
      <c r="DL338" s="138">
        <f>DI338</f>
        <v/>
      </c>
      <c r="DM338" s="303">
        <f>IF(LEFT(BT338,1)=" ",RIGHT(BT338,LEN(BT338)-1),BT338)</f>
        <v/>
      </c>
      <c r="DN338" s="138">
        <f>_xlfn.CONCAT(BS338,DM338,BU338,BV338)</f>
        <v/>
      </c>
      <c r="DO338" s="307" t="n"/>
    </row>
    <row r="339" ht="15.6" customHeight="1" s="184">
      <c r="B339" s="303">
        <f t="array" ref="B339">IF(OR(ISERROR(K339:P339)),FALSE,TRUE)</f>
        <v/>
      </c>
      <c r="C339" s="60">
        <f>OR(BR339=Driver!$G$50,Data!BR986=Driver!$H$50)</f>
        <v/>
      </c>
      <c r="D339" s="60">
        <f>OR(BV339=Driver!$G$51,BV339=Driver!$H$51)</f>
        <v/>
      </c>
      <c r="E339" s="60">
        <f>AND(BX339&gt;Driver!$F$54,BX339&lt;Driver!$G$54)</f>
        <v/>
      </c>
      <c r="F339" s="60">
        <f>CL339&gt;Driver!$F$56</f>
        <v/>
      </c>
      <c r="G339" s="60">
        <f>AND(CB339&gt;Driver!$F$55,CB339&lt;Driver!$G$55)</f>
        <v/>
      </c>
      <c r="H339" s="60">
        <f>AND(B339:G339)</f>
        <v/>
      </c>
      <c r="I339" s="60">
        <f>COUNTIFS($H$9:$H$1273,TRUE,$BT$9:$BT$1273,BT339)</f>
        <v/>
      </c>
      <c r="J339" s="60">
        <f t="array" ref="J339">NOT(OR(($H$9:$H$1273=TRUE)*($I$9:$I$1273&gt;0)*($BT$9:$BT$1273=BT339)*($K$9:$K$1273&gt;K339)))</f>
        <v/>
      </c>
      <c r="K339" s="108">
        <f>IFERROR(1-AVERAGE(X339:Y339),"")</f>
        <v/>
      </c>
      <c r="L339" s="108">
        <f>1-X339</f>
        <v/>
      </c>
      <c r="M339" s="108">
        <f>1-Y339</f>
        <v/>
      </c>
      <c r="N339" s="108">
        <f>1-Z339</f>
        <v/>
      </c>
      <c r="O339" s="108">
        <f>1-AA339</f>
        <v/>
      </c>
      <c r="P339" s="108">
        <f>1-AB339</f>
        <v/>
      </c>
      <c r="Q339" s="108" t="n"/>
      <c r="R339" s="108" t="n"/>
      <c r="S339" s="108">
        <f>1-AE339</f>
        <v/>
      </c>
      <c r="T339" s="108">
        <f>1-AF339</f>
        <v/>
      </c>
      <c r="U339" s="108">
        <f>1-AG339</f>
        <v/>
      </c>
      <c r="V339" s="108">
        <f>1-AH339</f>
        <v/>
      </c>
      <c r="W339" s="108">
        <f>1-AI339</f>
        <v/>
      </c>
      <c r="X339" s="108">
        <f>ABS(AJ339-AJ$1)</f>
        <v/>
      </c>
      <c r="Y339" s="108">
        <f>AVERAGE(Z339:AB339)</f>
        <v/>
      </c>
      <c r="Z339" s="108">
        <f>ABS(AL339-AL$1)</f>
        <v/>
      </c>
      <c r="AA339" s="108">
        <f>ABS(AM339-AM$1)</f>
        <v/>
      </c>
      <c r="AB339" s="108">
        <f>ABS(AN339-AN$1)</f>
        <v/>
      </c>
      <c r="AC339" s="108" t="n"/>
      <c r="AD339" s="108" t="n"/>
      <c r="AE339" s="108">
        <f>ABS(AQ$1-AQ339)</f>
        <v/>
      </c>
      <c r="AF339" s="108">
        <f>ABS(AR$1-AR339)</f>
        <v/>
      </c>
      <c r="AG339" s="108">
        <f>ABS(AS$1-AS339)</f>
        <v/>
      </c>
      <c r="AH339" s="108">
        <f>ABS(AT$1-AT339)</f>
        <v/>
      </c>
      <c r="AI339" s="108">
        <f>ABS(AU$1-AU339)</f>
        <v/>
      </c>
      <c r="AJ339" s="108">
        <f>(AV339-Driver!$K$179)/(Driver!$L$179-Driver!$K$179)</f>
        <v/>
      </c>
      <c r="AK339" s="108">
        <f>(AW339-Driver!$K$180)/(Driver!$L$180-Driver!$K$180)</f>
        <v/>
      </c>
      <c r="AL339" s="108">
        <f>(AX339-Driver!$K$181)/(Driver!$L$181-Driver!$K$181)</f>
        <v/>
      </c>
      <c r="AM339" s="108">
        <f>(AY339-Driver!$K$182)/(Driver!$L$182-Driver!$K$182)</f>
        <v/>
      </c>
      <c r="AN339" s="108">
        <f>(AZ339-Driver!$K$183)/(Driver!$L$183-Driver!$K$183)</f>
        <v/>
      </c>
      <c r="AO339" s="108" t="n"/>
      <c r="AP339" s="108" t="n"/>
      <c r="AQ339" s="108">
        <f>(BC339-Driver!$K$188)/(Driver!$L$188-Driver!$K$188)</f>
        <v/>
      </c>
      <c r="AR339" s="108">
        <f>MIN((BD339-Driver!$K$189)/(Driver!$L$189-Driver!$K$189),100%)</f>
        <v/>
      </c>
      <c r="AS339" s="108">
        <f>(BE339-Driver!$K$190)/(Driver!$L$190-Driver!$K$190)</f>
        <v/>
      </c>
      <c r="AT339" s="108">
        <f>(BF339-Driver!$K$191)/(Driver!$L$191-Driver!$K$191)</f>
        <v/>
      </c>
      <c r="AU339" s="108">
        <f>(BG339-Driver!$K$192)/(Driver!$L$192-Driver!$K$192)</f>
        <v/>
      </c>
      <c r="AV339" s="105">
        <f>IFERROR(BM339*BJ339^1/4,"")</f>
        <v/>
      </c>
      <c r="AW339" s="105">
        <f>IFERROR(SUM(AX339:AZ339),"")</f>
        <v/>
      </c>
      <c r="AX339" s="105">
        <f>IFERROR(BH339,"")</f>
        <v/>
      </c>
      <c r="AY339" s="105">
        <f>IFERROR(Driver!$K$19/Data!BH339/Data!BI339*Data!BK339*Data!BL339,"")</f>
        <v/>
      </c>
      <c r="AZ339" s="105">
        <f>IFERROR(BI339*BN339,"")</f>
        <v/>
      </c>
      <c r="BA339" s="105" t="n"/>
      <c r="BB339" s="105" t="n"/>
      <c r="BC339" s="105">
        <f>IFERROR(BI339*BN339*BK339/BJ339^(1/2),"")</f>
        <v/>
      </c>
      <c r="BD339" s="105">
        <f>IFERROR(BH339*BM339*BL339/BJ339/BK339,"")</f>
        <v/>
      </c>
      <c r="BE339" s="105">
        <f>IFERROR(MIN(BI339/BQ339/BP339/BO339/BH339,$BE$1),"")</f>
        <v/>
      </c>
      <c r="BF339" s="105">
        <f>IFERROR(BJ339*BO339*BP339/BK339,"")</f>
        <v/>
      </c>
      <c r="BG339" s="105">
        <f>IFERROR(1/BM339/BH339*BQ339,"")</f>
        <v/>
      </c>
      <c r="BH339" s="102">
        <f>MAX((CE339-Driver!$F$200)/(Driver!$G$200-Driver!$F$200)*$BI$1,1)</f>
        <v/>
      </c>
      <c r="BI339" s="102">
        <f>MAX($BI$1*(BY339-Driver!$F$201)/(Driver!$G$201-Driver!$F$201),1)</f>
        <v/>
      </c>
      <c r="BJ339" s="102">
        <f>(CB339-Driver!$F$206)/(Driver!$G$206-Driver!$F$206)*$BI$1</f>
        <v/>
      </c>
      <c r="BK339" s="102">
        <f>(CD339-Driver!$F$203)/(Driver!$G$203-Driver!$F$203)*$BI$1</f>
        <v/>
      </c>
      <c r="BL339" s="102">
        <f>MAX((CR339-Driver!$F$202)/(Driver!$G$202-Driver!$F$202)*$BI$1,1)</f>
        <v/>
      </c>
      <c r="BM339" s="102">
        <f>MAX((CH339-Driver!$F$204)/(Driver!$G$204-Driver!$F$204)*$BI$1,1)</f>
        <v/>
      </c>
      <c r="BN339" s="102">
        <f>(CI339-Driver!$F$205)/(Driver!$G$205-Driver!$F$205)*$BI$1</f>
        <v/>
      </c>
      <c r="BO339" s="102">
        <f>(CK339-Driver!$F$207)/(Driver!$G$207-Driver!$F$207)*$BI$1</f>
        <v/>
      </c>
      <c r="BP339" s="102">
        <f>(CM339-Driver!$F$208)/(Driver!$G$208-Driver!$F$208)*$BI$1</f>
        <v/>
      </c>
      <c r="BQ339" s="102">
        <f>(CL339-Driver!$F$209)/(Driver!$G$209-Driver!$F$209)*$BI$1</f>
        <v/>
      </c>
      <c r="BR339" s="40" t="inlineStr">
        <is>
          <t>21/22</t>
        </is>
      </c>
      <c r="BS339" s="10" t="inlineStr">
        <is>
          <t xml:space="preserve"> Rossignol</t>
        </is>
      </c>
      <c r="BT339" s="11" t="inlineStr">
        <is>
          <t xml:space="preserve"> Blackops Sender</t>
        </is>
      </c>
      <c r="BU339" s="13" t="n">
        <v>178</v>
      </c>
      <c r="BV339" s="11" t="inlineStr">
        <is>
          <t xml:space="preserve"> Unisex</t>
        </is>
      </c>
      <c r="BW339" s="13" t="n">
        <v>178</v>
      </c>
      <c r="BX339" s="13" t="n">
        <v>178.3</v>
      </c>
      <c r="BY339" s="13" t="n">
        <v>128</v>
      </c>
      <c r="BZ339" s="13" t="n">
        <v>152</v>
      </c>
      <c r="CA339" s="13" t="n">
        <v>137</v>
      </c>
      <c r="CB339" s="13" t="n">
        <v>103</v>
      </c>
      <c r="CC339" s="13" t="n">
        <v>127</v>
      </c>
      <c r="CD339" s="13" t="n">
        <v>18</v>
      </c>
      <c r="CE339" s="13" t="n">
        <v>1950</v>
      </c>
      <c r="CF339" s="13" t="n">
        <v>1.05</v>
      </c>
      <c r="CG339" s="13" t="n">
        <v>2041</v>
      </c>
      <c r="CH339" s="13" t="n">
        <v>246</v>
      </c>
      <c r="CI339" s="13" t="n">
        <v>109</v>
      </c>
      <c r="CJ339" s="13" t="n">
        <v>51</v>
      </c>
      <c r="CK339" s="13" t="n">
        <v>304</v>
      </c>
      <c r="CL339" s="13" t="n">
        <v>12</v>
      </c>
      <c r="CM339" s="13" t="n">
        <v>203</v>
      </c>
      <c r="CN339" s="13" t="n">
        <v>0.236</v>
      </c>
      <c r="CO339" s="13" t="n">
        <v>153</v>
      </c>
      <c r="CP339" s="13" t="n">
        <v>112</v>
      </c>
      <c r="CQ339" s="13" t="n">
        <v>152</v>
      </c>
      <c r="CR339" s="13" t="n">
        <v>6</v>
      </c>
      <c r="CS339" s="13" t="n">
        <v>7.2</v>
      </c>
      <c r="CT339" s="11" t="inlineStr">
        <is>
          <t xml:space="preserve"> Resort Freeride</t>
        </is>
      </c>
      <c r="CU339" s="11" t="inlineStr">
        <is>
          <t xml:space="preserve"> Big Mountain</t>
        </is>
      </c>
      <c r="CV339" s="13" t="n"/>
      <c r="CW339" s="13" t="n"/>
      <c r="CX339">
        <f>INDEX('Data_Price '!AG$2:AG$1266,MATCH(Data!$DN339,'Data_Price '!$AT$2:$AT$1266,0))</f>
        <v/>
      </c>
      <c r="CY339">
        <f>INDEX('Data_Price '!AH$2:AH$1266,MATCH(Data!$DN339,'Data_Price '!$AT$2:$AT$1266,0))</f>
        <v/>
      </c>
      <c r="CZ339">
        <f>INDEX('Data_Price '!AI$2:AI$1266,MATCH(Data!$DN339,'Data_Price '!$AT$2:$AT$1266,0))</f>
        <v/>
      </c>
      <c r="DA339">
        <f>INDEX('Data_Price '!AJ$2:AJ$1266,MATCH(Data!$DN339,'Data_Price '!$AT$2:$AT$1266,0))</f>
        <v/>
      </c>
      <c r="DB339">
        <f>INDEX('Data_Price '!AK$2:AK$1266,MATCH(Data!$DN339,'Data_Price '!$AT$2:$AT$1266,0))</f>
        <v/>
      </c>
      <c r="DC339">
        <f>INDEX('Data_Price '!AL$2:AL$1266,MATCH(Data!$DN339,'Data_Price '!$AT$2:$AT$1266,0))</f>
        <v/>
      </c>
      <c r="DD339">
        <f>INDEX('Data_Price '!AM$2:AM$1266,MATCH(Data!$DN339,'Data_Price '!$AT$2:$AT$1266,0))</f>
        <v/>
      </c>
      <c r="DE339">
        <f>INDEX('Data_Price '!AN$2:AN$1266,MATCH(Data!$DN339,'Data_Price '!$AT$2:$AT$1266,0))</f>
        <v/>
      </c>
      <c r="DF339">
        <f>INDEX('Data_Price '!AO$2:AO$1266,MATCH(Data!$DN339,'Data_Price '!$AT$2:$AT$1266,0))</f>
        <v/>
      </c>
      <c r="DG339">
        <f>INDEX('Data_Price '!AP$2:AP$1266,MATCH(Data!$DN339,'Data_Price '!$AT$2:$AT$1266,0))</f>
        <v/>
      </c>
      <c r="DH339">
        <f>INDEX('Data_Price '!AQ$2:AQ$1266,MATCH(Data!$DN339,'Data_Price '!$AT$2:$AT$1266,0))</f>
        <v/>
      </c>
      <c r="DI339">
        <f>INDEX('Data_Price '!AR$2:AR$1266,MATCH(Data!$DN339,'Data_Price '!$AT$2:$AT$1266,0))</f>
        <v/>
      </c>
      <c r="DJ339" s="138">
        <f>DA339</f>
        <v/>
      </c>
      <c r="DK339" s="138">
        <f>DE339</f>
        <v/>
      </c>
      <c r="DL339" s="138">
        <f>DI339</f>
        <v/>
      </c>
      <c r="DM339" s="303">
        <f>IF(LEFT(BT339,1)=" ",RIGHT(BT339,LEN(BT339)-1),BT339)</f>
        <v/>
      </c>
      <c r="DN339" s="138">
        <f>_xlfn.CONCAT(BS339,DM339,BU339,BV339)</f>
        <v/>
      </c>
      <c r="DO339" s="307" t="n"/>
    </row>
    <row r="340" ht="15.6" customHeight="1" s="184">
      <c r="B340" s="303">
        <f t="array" ref="B340">IF(OR(ISERROR(K340:P340)),FALSE,TRUE)</f>
        <v/>
      </c>
      <c r="C340" s="60">
        <f>OR(BR340=Driver!$G$50,Data!BR1004=Driver!$H$50)</f>
        <v/>
      </c>
      <c r="D340" s="60">
        <f>OR(BV340=Driver!$G$51,BV340=Driver!$H$51)</f>
        <v/>
      </c>
      <c r="E340" s="60">
        <f>AND(BX340&gt;Driver!$F$54,BX340&lt;Driver!$G$54)</f>
        <v/>
      </c>
      <c r="F340" s="60">
        <f>CL340&gt;Driver!$F$56</f>
        <v/>
      </c>
      <c r="G340" s="60">
        <f>AND(CB340&gt;Driver!$F$55,CB340&lt;Driver!$G$55)</f>
        <v/>
      </c>
      <c r="H340" s="60">
        <f>AND(B340:G340)</f>
        <v/>
      </c>
      <c r="I340" s="60">
        <f>COUNTIFS($H$9:$H$1273,TRUE,$BT$9:$BT$1273,BT340)</f>
        <v/>
      </c>
      <c r="J340" s="60">
        <f t="array" ref="J340">NOT(OR(($H$9:$H$1273=TRUE)*($I$9:$I$1273&gt;0)*($BT$9:$BT$1273=BT340)*($K$9:$K$1273&gt;K340)))</f>
        <v/>
      </c>
      <c r="K340" s="108">
        <f>IFERROR(1-AVERAGE(X340:Y340),"")</f>
        <v/>
      </c>
      <c r="L340" s="108">
        <f>1-X340</f>
        <v/>
      </c>
      <c r="M340" s="108">
        <f>1-Y340</f>
        <v/>
      </c>
      <c r="N340" s="108">
        <f>1-Z340</f>
        <v/>
      </c>
      <c r="O340" s="108">
        <f>1-AA340</f>
        <v/>
      </c>
      <c r="P340" s="108">
        <f>1-AB340</f>
        <v/>
      </c>
      <c r="Q340" s="108" t="n"/>
      <c r="R340" s="108" t="n"/>
      <c r="S340" s="108">
        <f>1-AE340</f>
        <v/>
      </c>
      <c r="T340" s="108">
        <f>1-AF340</f>
        <v/>
      </c>
      <c r="U340" s="108">
        <f>1-AG340</f>
        <v/>
      </c>
      <c r="V340" s="108">
        <f>1-AH340</f>
        <v/>
      </c>
      <c r="W340" s="108">
        <f>1-AI340</f>
        <v/>
      </c>
      <c r="X340" s="108">
        <f>ABS(AJ340-AJ$1)</f>
        <v/>
      </c>
      <c r="Y340" s="108">
        <f>AVERAGE(Z340:AB340)</f>
        <v/>
      </c>
      <c r="Z340" s="108">
        <f>ABS(AL340-AL$1)</f>
        <v/>
      </c>
      <c r="AA340" s="108">
        <f>ABS(AM340-AM$1)</f>
        <v/>
      </c>
      <c r="AB340" s="108">
        <f>ABS(AN340-AN$1)</f>
        <v/>
      </c>
      <c r="AC340" s="108" t="n"/>
      <c r="AD340" s="108" t="n"/>
      <c r="AE340" s="108">
        <f>ABS(AQ$1-AQ340)</f>
        <v/>
      </c>
      <c r="AF340" s="108">
        <f>ABS(AR$1-AR340)</f>
        <v/>
      </c>
      <c r="AG340" s="108">
        <f>ABS(AS$1-AS340)</f>
        <v/>
      </c>
      <c r="AH340" s="108">
        <f>ABS(AT$1-AT340)</f>
        <v/>
      </c>
      <c r="AI340" s="108">
        <f>ABS(AU$1-AU340)</f>
        <v/>
      </c>
      <c r="AJ340" s="108">
        <f>(AV340-Driver!$K$179)/(Driver!$L$179-Driver!$K$179)</f>
        <v/>
      </c>
      <c r="AK340" s="108">
        <f>(AW340-Driver!$K$180)/(Driver!$L$180-Driver!$K$180)</f>
        <v/>
      </c>
      <c r="AL340" s="108">
        <f>(AX340-Driver!$K$181)/(Driver!$L$181-Driver!$K$181)</f>
        <v/>
      </c>
      <c r="AM340" s="108">
        <f>(AY340-Driver!$K$182)/(Driver!$L$182-Driver!$K$182)</f>
        <v/>
      </c>
      <c r="AN340" s="108">
        <f>(AZ340-Driver!$K$183)/(Driver!$L$183-Driver!$K$183)</f>
        <v/>
      </c>
      <c r="AO340" s="108" t="n"/>
      <c r="AP340" s="108" t="n"/>
      <c r="AQ340" s="108">
        <f>(BC340-Driver!$K$188)/(Driver!$L$188-Driver!$K$188)</f>
        <v/>
      </c>
      <c r="AR340" s="108">
        <f>MIN((BD340-Driver!$K$189)/(Driver!$L$189-Driver!$K$189),100%)</f>
        <v/>
      </c>
      <c r="AS340" s="108">
        <f>(BE340-Driver!$K$190)/(Driver!$L$190-Driver!$K$190)</f>
        <v/>
      </c>
      <c r="AT340" s="108">
        <f>(BF340-Driver!$K$191)/(Driver!$L$191-Driver!$K$191)</f>
        <v/>
      </c>
      <c r="AU340" s="108">
        <f>(BG340-Driver!$K$192)/(Driver!$L$192-Driver!$K$192)</f>
        <v/>
      </c>
      <c r="AV340" s="105">
        <f>IFERROR(BM340*BJ340^1/4,"")</f>
        <v/>
      </c>
      <c r="AW340" s="105">
        <f>IFERROR(SUM(AX340:AZ340),"")</f>
        <v/>
      </c>
      <c r="AX340" s="105">
        <f>IFERROR(BH340,"")</f>
        <v/>
      </c>
      <c r="AY340" s="105">
        <f>IFERROR(Driver!$K$19/Data!BH340/Data!BI340*Data!BK340*Data!BL340,"")</f>
        <v/>
      </c>
      <c r="AZ340" s="105">
        <f>IFERROR(BI340*BN340,"")</f>
        <v/>
      </c>
      <c r="BA340" s="105" t="n"/>
      <c r="BB340" s="105" t="n"/>
      <c r="BC340" s="105">
        <f>IFERROR(BI340*BN340*BK340/BJ340^(1/2),"")</f>
        <v/>
      </c>
      <c r="BD340" s="105">
        <f>IFERROR(BH340*BM340*BL340/BJ340/BK340,"")</f>
        <v/>
      </c>
      <c r="BE340" s="105">
        <f>IFERROR(MIN(BI340/BQ340/BP340/BO340/BH340,$BE$1),"")</f>
        <v/>
      </c>
      <c r="BF340" s="105">
        <f>IFERROR(BJ340*BO340*BP340/BK340,"")</f>
        <v/>
      </c>
      <c r="BG340" s="105">
        <f>IFERROR(1/BM340/BH340*BQ340,"")</f>
        <v/>
      </c>
      <c r="BH340" s="102">
        <f>MAX((CE340-Driver!$F$200)/(Driver!$G$200-Driver!$F$200)*$BI$1,1)</f>
        <v/>
      </c>
      <c r="BI340" s="102">
        <f>MAX($BI$1*(BY340-Driver!$F$201)/(Driver!$G$201-Driver!$F$201),1)</f>
        <v/>
      </c>
      <c r="BJ340" s="102">
        <f>(CB340-Driver!$F$206)/(Driver!$G$206-Driver!$F$206)*$BI$1</f>
        <v/>
      </c>
      <c r="BK340" s="102">
        <f>(CD340-Driver!$F$203)/(Driver!$G$203-Driver!$F$203)*$BI$1</f>
        <v/>
      </c>
      <c r="BL340" s="102">
        <f>MAX((CR340-Driver!$F$202)/(Driver!$G$202-Driver!$F$202)*$BI$1,1)</f>
        <v/>
      </c>
      <c r="BM340" s="102">
        <f>MAX((CH340-Driver!$F$204)/(Driver!$G$204-Driver!$F$204)*$BI$1,1)</f>
        <v/>
      </c>
      <c r="BN340" s="102">
        <f>(CI340-Driver!$F$205)/(Driver!$G$205-Driver!$F$205)*$BI$1</f>
        <v/>
      </c>
      <c r="BO340" s="102">
        <f>(CK340-Driver!$F$207)/(Driver!$G$207-Driver!$F$207)*$BI$1</f>
        <v/>
      </c>
      <c r="BP340" s="102">
        <f>(CM340-Driver!$F$208)/(Driver!$G$208-Driver!$F$208)*$BI$1</f>
        <v/>
      </c>
      <c r="BQ340" s="102">
        <f>(CL340-Driver!$F$209)/(Driver!$G$209-Driver!$F$209)*$BI$1</f>
        <v/>
      </c>
      <c r="BR340" s="40" t="inlineStr">
        <is>
          <t>21/22</t>
        </is>
      </c>
      <c r="BS340" s="10" t="inlineStr">
        <is>
          <t xml:space="preserve"> Rossignol</t>
        </is>
      </c>
      <c r="BT340" s="11" t="inlineStr">
        <is>
          <t>Experience 80 Carbon</t>
        </is>
      </c>
      <c r="BU340" s="13" t="n">
        <v>166</v>
      </c>
      <c r="BV340" s="11" t="inlineStr">
        <is>
          <t xml:space="preserve"> Unisex</t>
        </is>
      </c>
      <c r="BW340" s="13" t="n">
        <v>166</v>
      </c>
      <c r="BX340" s="13" t="n">
        <v>166.6</v>
      </c>
      <c r="BY340" s="13" t="n">
        <v>128</v>
      </c>
      <c r="BZ340" s="13" t="n">
        <v>152</v>
      </c>
      <c r="CA340" s="13" t="n">
        <v>125</v>
      </c>
      <c r="CB340" s="13" t="n">
        <v>80</v>
      </c>
      <c r="CC340" s="13" t="n">
        <v>113</v>
      </c>
      <c r="CD340" s="13" t="n">
        <v>14.4</v>
      </c>
      <c r="CE340" s="13" t="n">
        <v>1734</v>
      </c>
      <c r="CF340" s="13" t="n">
        <v>0.91</v>
      </c>
      <c r="CG340" s="13" t="n">
        <v>1575</v>
      </c>
      <c r="CH340" s="13" t="n">
        <v>215</v>
      </c>
      <c r="CI340" s="13" t="n">
        <v>91</v>
      </c>
      <c r="CJ340" s="13" t="n">
        <v>47</v>
      </c>
      <c r="CK340" s="13" t="n">
        <v>261</v>
      </c>
      <c r="CL340" s="13" t="n">
        <v>12</v>
      </c>
      <c r="CM340" s="13" t="n">
        <v>127</v>
      </c>
      <c r="CN340" s="13" t="n">
        <v>0.261</v>
      </c>
      <c r="CO340" s="13" t="n">
        <v>80</v>
      </c>
      <c r="CP340" s="13" t="n">
        <v>66</v>
      </c>
      <c r="CQ340" s="13" t="n">
        <v>181</v>
      </c>
      <c r="CR340" s="13" t="n">
        <v>10</v>
      </c>
      <c r="CS340" s="13" t="n">
        <v>7</v>
      </c>
      <c r="CT340" s="11" t="inlineStr">
        <is>
          <t xml:space="preserve"> Resort Freeride</t>
        </is>
      </c>
      <c r="CU340" s="13" t="n"/>
      <c r="CV340" s="13" t="n"/>
      <c r="CW340" s="13" t="n"/>
      <c r="CX340">
        <f>INDEX('Data_Price '!AG$2:AG$1266,MATCH(Data!$DN340,'Data_Price '!$AT$2:$AT$1266,0))</f>
        <v/>
      </c>
      <c r="CY340">
        <f>INDEX('Data_Price '!AH$2:AH$1266,MATCH(Data!$DN340,'Data_Price '!$AT$2:$AT$1266,0))</f>
        <v/>
      </c>
      <c r="CZ340">
        <f>INDEX('Data_Price '!AI$2:AI$1266,MATCH(Data!$DN340,'Data_Price '!$AT$2:$AT$1266,0))</f>
        <v/>
      </c>
      <c r="DA340">
        <f>INDEX('Data_Price '!AJ$2:AJ$1266,MATCH(Data!$DN340,'Data_Price '!$AT$2:$AT$1266,0))</f>
        <v/>
      </c>
      <c r="DB340">
        <f>INDEX('Data_Price '!AK$2:AK$1266,MATCH(Data!$DN340,'Data_Price '!$AT$2:$AT$1266,0))</f>
        <v/>
      </c>
      <c r="DC340">
        <f>INDEX('Data_Price '!AL$2:AL$1266,MATCH(Data!$DN340,'Data_Price '!$AT$2:$AT$1266,0))</f>
        <v/>
      </c>
      <c r="DD340">
        <f>INDEX('Data_Price '!AM$2:AM$1266,MATCH(Data!$DN340,'Data_Price '!$AT$2:$AT$1266,0))</f>
        <v/>
      </c>
      <c r="DE340">
        <f>INDEX('Data_Price '!AN$2:AN$1266,MATCH(Data!$DN340,'Data_Price '!$AT$2:$AT$1266,0))</f>
        <v/>
      </c>
      <c r="DF340">
        <f>INDEX('Data_Price '!AO$2:AO$1266,MATCH(Data!$DN340,'Data_Price '!$AT$2:$AT$1266,0))</f>
        <v/>
      </c>
      <c r="DG340">
        <f>INDEX('Data_Price '!AP$2:AP$1266,MATCH(Data!$DN340,'Data_Price '!$AT$2:$AT$1266,0))</f>
        <v/>
      </c>
      <c r="DH340">
        <f>INDEX('Data_Price '!AQ$2:AQ$1266,MATCH(Data!$DN340,'Data_Price '!$AT$2:$AT$1266,0))</f>
        <v/>
      </c>
      <c r="DI340">
        <f>INDEX('Data_Price '!AR$2:AR$1266,MATCH(Data!$DN340,'Data_Price '!$AT$2:$AT$1266,0))</f>
        <v/>
      </c>
      <c r="DJ340" s="138">
        <f>DA340</f>
        <v/>
      </c>
      <c r="DK340" s="138">
        <f>DE340</f>
        <v/>
      </c>
      <c r="DL340" s="138">
        <f>DI340</f>
        <v/>
      </c>
      <c r="DM340" s="303">
        <f>IF(LEFT(BT340,1)=" ",RIGHT(BT340,LEN(BT340)-1),BT340)</f>
        <v/>
      </c>
      <c r="DN340" s="138">
        <f>_xlfn.CONCAT(BS340,DM340,BU340,BV340)</f>
        <v/>
      </c>
      <c r="DO340" s="307" t="n"/>
    </row>
    <row r="341" ht="15.6" customHeight="1" s="184">
      <c r="B341" s="303">
        <f t="array" ref="B341">IF(OR(ISERROR(K341:P341)),FALSE,TRUE)</f>
        <v/>
      </c>
      <c r="C341" s="60">
        <f>OR(BR341=Driver!$G$50,Data!BR1229=Driver!$H$50)</f>
        <v/>
      </c>
      <c r="D341" s="60">
        <f>OR(BV341=Driver!$G$51,BV341=Driver!$H$51)</f>
        <v/>
      </c>
      <c r="E341" s="60">
        <f>AND(BX341&gt;Driver!$F$54,BX341&lt;Driver!$G$54)</f>
        <v/>
      </c>
      <c r="F341" s="60">
        <f>CL341&gt;Driver!$F$56</f>
        <v/>
      </c>
      <c r="G341" s="60">
        <f>AND(CB341&gt;Driver!$F$55,CB341&lt;Driver!$G$55)</f>
        <v/>
      </c>
      <c r="H341" s="60">
        <f>AND(B341:G341)</f>
        <v/>
      </c>
      <c r="I341" s="60">
        <f>COUNTIFS($H$9:$H$1273,TRUE,$BT$9:$BT$1273,BT341)</f>
        <v/>
      </c>
      <c r="J341" s="60">
        <f t="array" ref="J341">NOT(OR(($H$9:$H$1273=TRUE)*($I$9:$I$1273&gt;0)*($BT$9:$BT$1273=BT341)*($K$9:$K$1273&gt;K341)))</f>
        <v/>
      </c>
      <c r="K341" s="108">
        <f>IFERROR(1-AVERAGE(X341:Y341),"")</f>
        <v/>
      </c>
      <c r="L341" s="108">
        <f>1-X341</f>
        <v/>
      </c>
      <c r="M341" s="108">
        <f>1-Y341</f>
        <v/>
      </c>
      <c r="N341" s="108">
        <f>1-Z341</f>
        <v/>
      </c>
      <c r="O341" s="108">
        <f>1-AA341</f>
        <v/>
      </c>
      <c r="P341" s="108">
        <f>1-AB341</f>
        <v/>
      </c>
      <c r="Q341" s="108" t="n"/>
      <c r="R341" s="108" t="n"/>
      <c r="S341" s="108">
        <f>1-AE341</f>
        <v/>
      </c>
      <c r="T341" s="108">
        <f>1-AF341</f>
        <v/>
      </c>
      <c r="U341" s="108">
        <f>1-AG341</f>
        <v/>
      </c>
      <c r="V341" s="108">
        <f>1-AH341</f>
        <v/>
      </c>
      <c r="W341" s="108">
        <f>1-AI341</f>
        <v/>
      </c>
      <c r="X341" s="108">
        <f>ABS(AJ341-AJ$1)</f>
        <v/>
      </c>
      <c r="Y341" s="108">
        <f>AVERAGE(Z341:AB341)</f>
        <v/>
      </c>
      <c r="Z341" s="108">
        <f>ABS(AL341-AL$1)</f>
        <v/>
      </c>
      <c r="AA341" s="108">
        <f>ABS(AM341-AM$1)</f>
        <v/>
      </c>
      <c r="AB341" s="108">
        <f>ABS(AN341-AN$1)</f>
        <v/>
      </c>
      <c r="AC341" s="108" t="n"/>
      <c r="AD341" s="108" t="n"/>
      <c r="AE341" s="108">
        <f>ABS(AQ$1-AQ341)</f>
        <v/>
      </c>
      <c r="AF341" s="108">
        <f>ABS(AR$1-AR341)</f>
        <v/>
      </c>
      <c r="AG341" s="108">
        <f>ABS(AS$1-AS341)</f>
        <v/>
      </c>
      <c r="AH341" s="108">
        <f>ABS(AT$1-AT341)</f>
        <v/>
      </c>
      <c r="AI341" s="108">
        <f>ABS(AU$1-AU341)</f>
        <v/>
      </c>
      <c r="AJ341" s="108">
        <f>(AV341-Driver!$K$179)/(Driver!$L$179-Driver!$K$179)</f>
        <v/>
      </c>
      <c r="AK341" s="108">
        <f>(AW341-Driver!$K$180)/(Driver!$L$180-Driver!$K$180)</f>
        <v/>
      </c>
      <c r="AL341" s="108">
        <f>(AX341-Driver!$K$181)/(Driver!$L$181-Driver!$K$181)</f>
        <v/>
      </c>
      <c r="AM341" s="108">
        <f>(AY341-Driver!$K$182)/(Driver!$L$182-Driver!$K$182)</f>
        <v/>
      </c>
      <c r="AN341" s="108">
        <f>(AZ341-Driver!$K$183)/(Driver!$L$183-Driver!$K$183)</f>
        <v/>
      </c>
      <c r="AO341" s="108" t="n"/>
      <c r="AP341" s="108" t="n"/>
      <c r="AQ341" s="108">
        <f>(BC341-Driver!$K$188)/(Driver!$L$188-Driver!$K$188)</f>
        <v/>
      </c>
      <c r="AR341" s="108">
        <f>MIN((BD341-Driver!$K$189)/(Driver!$L$189-Driver!$K$189),100%)</f>
        <v/>
      </c>
      <c r="AS341" s="108">
        <f>(BE341-Driver!$K$190)/(Driver!$L$190-Driver!$K$190)</f>
        <v/>
      </c>
      <c r="AT341" s="108">
        <f>(BF341-Driver!$K$191)/(Driver!$L$191-Driver!$K$191)</f>
        <v/>
      </c>
      <c r="AU341" s="108">
        <f>(BG341-Driver!$K$192)/(Driver!$L$192-Driver!$K$192)</f>
        <v/>
      </c>
      <c r="AV341" s="105">
        <f>IFERROR(BM341*BJ341^1/4,"")</f>
        <v/>
      </c>
      <c r="AW341" s="105">
        <f>IFERROR(SUM(AX341:AZ341),"")</f>
        <v/>
      </c>
      <c r="AX341" s="105">
        <f>IFERROR(BH341,"")</f>
        <v/>
      </c>
      <c r="AY341" s="105">
        <f>IFERROR(Driver!$K$19/Data!BH341/Data!BI341*Data!BK341*Data!BL341,"")</f>
        <v/>
      </c>
      <c r="AZ341" s="105">
        <f>IFERROR(BI341*BN341,"")</f>
        <v/>
      </c>
      <c r="BA341" s="105" t="n"/>
      <c r="BB341" s="105" t="n"/>
      <c r="BC341" s="105">
        <f>IFERROR(BI341*BN341*BK341/BJ341^(1/2),"")</f>
        <v/>
      </c>
      <c r="BD341" s="105">
        <f>IFERROR(BH341*BM341*BL341/BJ341/BK341,"")</f>
        <v/>
      </c>
      <c r="BE341" s="105">
        <f>IFERROR(MIN(BI341/BQ341/BP341/BO341/BH341,$BE$1),"")</f>
        <v/>
      </c>
      <c r="BF341" s="105">
        <f>IFERROR(BJ341*BO341*BP341/BK341,"")</f>
        <v/>
      </c>
      <c r="BG341" s="105">
        <f>IFERROR(1/BM341/BH341*BQ341,"")</f>
        <v/>
      </c>
      <c r="BH341" s="102">
        <f>MAX((CE341-Driver!$F$200)/(Driver!$G$200-Driver!$F$200)*$BI$1,1)</f>
        <v/>
      </c>
      <c r="BI341" s="102">
        <f>MAX($BI$1*(BY341-Driver!$F$201)/(Driver!$G$201-Driver!$F$201),1)</f>
        <v/>
      </c>
      <c r="BJ341" s="102">
        <f>(CB341-Driver!$F$206)/(Driver!$G$206-Driver!$F$206)*$BI$1</f>
        <v/>
      </c>
      <c r="BK341" s="102">
        <f>(CD341-Driver!$F$203)/(Driver!$G$203-Driver!$F$203)*$BI$1</f>
        <v/>
      </c>
      <c r="BL341" s="102">
        <f>MAX((CR341-Driver!$F$202)/(Driver!$G$202-Driver!$F$202)*$BI$1,1)</f>
        <v/>
      </c>
      <c r="BM341" s="102">
        <f>MAX((CH341-Driver!$F$204)/(Driver!$G$204-Driver!$F$204)*$BI$1,1)</f>
        <v/>
      </c>
      <c r="BN341" s="102">
        <f>(CI341-Driver!$F$205)/(Driver!$G$205-Driver!$F$205)*$BI$1</f>
        <v/>
      </c>
      <c r="BO341" s="102">
        <f>(CK341-Driver!$F$207)/(Driver!$G$207-Driver!$F$207)*$BI$1</f>
        <v/>
      </c>
      <c r="BP341" s="102">
        <f>(CM341-Driver!$F$208)/(Driver!$G$208-Driver!$F$208)*$BI$1</f>
        <v/>
      </c>
      <c r="BQ341" s="102">
        <f>(CL341-Driver!$F$209)/(Driver!$G$209-Driver!$F$209)*$BI$1</f>
        <v/>
      </c>
      <c r="BR341" s="40" t="inlineStr">
        <is>
          <t>21/22</t>
        </is>
      </c>
      <c r="BS341" s="10" t="inlineStr">
        <is>
          <t xml:space="preserve"> Völkl</t>
        </is>
      </c>
      <c r="BT341" s="11" t="inlineStr">
        <is>
          <t xml:space="preserve"> Mantra V.Werks</t>
        </is>
      </c>
      <c r="BU341" s="13" t="n">
        <v>170</v>
      </c>
      <c r="BV341" s="11" t="inlineStr">
        <is>
          <t xml:space="preserve"> Unisex</t>
        </is>
      </c>
      <c r="BW341" s="13" t="n">
        <v>170</v>
      </c>
      <c r="BX341" s="13" t="n">
        <v>169.7</v>
      </c>
      <c r="BY341" s="13" t="n">
        <v>113</v>
      </c>
      <c r="BZ341" s="13" t="n">
        <v>142</v>
      </c>
      <c r="CA341" s="13" t="n">
        <v>134</v>
      </c>
      <c r="CB341" s="13" t="n">
        <v>98</v>
      </c>
      <c r="CC341" s="13" t="n">
        <v>116</v>
      </c>
      <c r="CD341" s="13" t="n">
        <v>18.4</v>
      </c>
      <c r="CE341" s="13" t="n">
        <v>1583</v>
      </c>
      <c r="CF341" s="13" t="n">
        <v>1.17</v>
      </c>
      <c r="CG341" s="13" t="n">
        <v>1849</v>
      </c>
      <c r="CH341" s="13" t="n">
        <v>174</v>
      </c>
      <c r="CI341" s="13" t="n">
        <v>147</v>
      </c>
      <c r="CJ341" s="13" t="n">
        <v>47</v>
      </c>
      <c r="CK341" s="13" t="n">
        <v>321</v>
      </c>
      <c r="CL341" s="13" t="n">
        <v>17</v>
      </c>
      <c r="CM341" s="13" t="n">
        <v>242</v>
      </c>
      <c r="CN341" s="13" t="n">
        <v>0.363</v>
      </c>
      <c r="CO341" s="13" t="n">
        <v>155</v>
      </c>
      <c r="CP341" s="13" t="n">
        <v>121</v>
      </c>
      <c r="CQ341" s="13" t="n">
        <v>166</v>
      </c>
      <c r="CR341" s="13" t="n">
        <v>2</v>
      </c>
      <c r="CS341" s="13" t="n">
        <v>10.6</v>
      </c>
      <c r="CT341" s="11" t="inlineStr">
        <is>
          <t xml:space="preserve"> Resort Freeride</t>
        </is>
      </c>
      <c r="CU341" s="11" t="inlineStr">
        <is>
          <t xml:space="preserve"> Touring</t>
        </is>
      </c>
      <c r="CV341" s="13" t="n"/>
      <c r="CW341" s="13" t="n"/>
      <c r="CX341">
        <f>INDEX('Data_Price '!AG$2:AG$1266,MATCH(Data!$DN341,'Data_Price '!$AT$2:$AT$1266,0))</f>
        <v/>
      </c>
      <c r="CY341">
        <f>INDEX('Data_Price '!AH$2:AH$1266,MATCH(Data!$DN341,'Data_Price '!$AT$2:$AT$1266,0))</f>
        <v/>
      </c>
      <c r="CZ341">
        <f>INDEX('Data_Price '!AI$2:AI$1266,MATCH(Data!$DN341,'Data_Price '!$AT$2:$AT$1266,0))</f>
        <v/>
      </c>
      <c r="DA341">
        <f>INDEX('Data_Price '!AJ$2:AJ$1266,MATCH(Data!$DN341,'Data_Price '!$AT$2:$AT$1266,0))</f>
        <v/>
      </c>
      <c r="DB341">
        <f>INDEX('Data_Price '!AK$2:AK$1266,MATCH(Data!$DN341,'Data_Price '!$AT$2:$AT$1266,0))</f>
        <v/>
      </c>
      <c r="DC341">
        <f>INDEX('Data_Price '!AL$2:AL$1266,MATCH(Data!$DN341,'Data_Price '!$AT$2:$AT$1266,0))</f>
        <v/>
      </c>
      <c r="DD341">
        <f>INDEX('Data_Price '!AM$2:AM$1266,MATCH(Data!$DN341,'Data_Price '!$AT$2:$AT$1266,0))</f>
        <v/>
      </c>
      <c r="DE341">
        <f>INDEX('Data_Price '!AN$2:AN$1266,MATCH(Data!$DN341,'Data_Price '!$AT$2:$AT$1266,0))</f>
        <v/>
      </c>
      <c r="DF341">
        <f>INDEX('Data_Price '!AO$2:AO$1266,MATCH(Data!$DN341,'Data_Price '!$AT$2:$AT$1266,0))</f>
        <v/>
      </c>
      <c r="DG341">
        <f>INDEX('Data_Price '!AP$2:AP$1266,MATCH(Data!$DN341,'Data_Price '!$AT$2:$AT$1266,0))</f>
        <v/>
      </c>
      <c r="DH341">
        <f>INDEX('Data_Price '!AQ$2:AQ$1266,MATCH(Data!$DN341,'Data_Price '!$AT$2:$AT$1266,0))</f>
        <v/>
      </c>
      <c r="DI341">
        <f>INDEX('Data_Price '!AR$2:AR$1266,MATCH(Data!$DN341,'Data_Price '!$AT$2:$AT$1266,0))</f>
        <v/>
      </c>
      <c r="DJ341" s="138">
        <f>DA341</f>
        <v/>
      </c>
      <c r="DK341" s="138">
        <f>DE341</f>
        <v/>
      </c>
      <c r="DL341" s="138">
        <f>DI341</f>
        <v/>
      </c>
      <c r="DM341" s="303">
        <f>IF(LEFT(BT341,1)=" ",RIGHT(BT341,LEN(BT341)-1),BT341)</f>
        <v/>
      </c>
      <c r="DN341" s="138">
        <f>_xlfn.CONCAT(BS341,DM341,BU341,BV341)</f>
        <v/>
      </c>
      <c r="DO341" s="307" t="n"/>
    </row>
    <row r="342" ht="15.6" customHeight="1" s="184">
      <c r="B342" s="303">
        <f t="array" ref="B342">IF(OR(ISERROR(K342:P342)),FALSE,TRUE)</f>
        <v/>
      </c>
      <c r="C342" s="60">
        <f>OR(BR342=Driver!$G$50,Data!BR756=Driver!$H$50)</f>
        <v/>
      </c>
      <c r="D342" s="60">
        <f>OR(BV342=Driver!$G$51,BV342=Driver!$H$51)</f>
        <v/>
      </c>
      <c r="E342" s="60">
        <f>AND(BX342&gt;Driver!$F$54,BX342&lt;Driver!$G$54)</f>
        <v/>
      </c>
      <c r="F342" s="60">
        <f>CL342&gt;Driver!$F$56</f>
        <v/>
      </c>
      <c r="G342" s="60">
        <f>AND(CB342&gt;Driver!$F$55,CB342&lt;Driver!$G$55)</f>
        <v/>
      </c>
      <c r="H342" s="60">
        <f>AND(B342:G342)</f>
        <v/>
      </c>
      <c r="I342" s="60">
        <f>COUNTIFS($H$9:$H$1273,TRUE,$BT$9:$BT$1273,BT342)</f>
        <v/>
      </c>
      <c r="J342" s="60">
        <f t="array" ref="J342">NOT(OR(($H$9:$H$1273=TRUE)*($I$9:$I$1273&gt;0)*($BT$9:$BT$1273=BT342)*($K$9:$K$1273&gt;K342)))</f>
        <v/>
      </c>
      <c r="K342" s="108">
        <f>IFERROR(1-AVERAGE(X342:Y342),"")</f>
        <v/>
      </c>
      <c r="L342" s="108">
        <f>1-X342</f>
        <v/>
      </c>
      <c r="M342" s="108">
        <f>1-Y342</f>
        <v/>
      </c>
      <c r="N342" s="108">
        <f>1-Z342</f>
        <v/>
      </c>
      <c r="O342" s="108">
        <f>1-AA342</f>
        <v/>
      </c>
      <c r="P342" s="108">
        <f>1-AB342</f>
        <v/>
      </c>
      <c r="Q342" s="108" t="n"/>
      <c r="R342" s="108" t="n"/>
      <c r="S342" s="108">
        <f>1-AE342</f>
        <v/>
      </c>
      <c r="T342" s="108">
        <f>1-AF342</f>
        <v/>
      </c>
      <c r="U342" s="108">
        <f>1-AG342</f>
        <v/>
      </c>
      <c r="V342" s="108">
        <f>1-AH342</f>
        <v/>
      </c>
      <c r="W342" s="108">
        <f>1-AI342</f>
        <v/>
      </c>
      <c r="X342" s="108">
        <f>ABS(AJ342-AJ$1)</f>
        <v/>
      </c>
      <c r="Y342" s="108">
        <f>AVERAGE(Z342:AB342)</f>
        <v/>
      </c>
      <c r="Z342" s="108">
        <f>ABS(AL342-AL$1)</f>
        <v/>
      </c>
      <c r="AA342" s="108">
        <f>ABS(AM342-AM$1)</f>
        <v/>
      </c>
      <c r="AB342" s="108">
        <f>ABS(AN342-AN$1)</f>
        <v/>
      </c>
      <c r="AC342" s="108" t="n"/>
      <c r="AD342" s="108" t="n"/>
      <c r="AE342" s="108">
        <f>ABS(AQ$1-AQ342)</f>
        <v/>
      </c>
      <c r="AF342" s="108">
        <f>ABS(AR$1-AR342)</f>
        <v/>
      </c>
      <c r="AG342" s="108">
        <f>ABS(AS$1-AS342)</f>
        <v/>
      </c>
      <c r="AH342" s="108">
        <f>ABS(AT$1-AT342)</f>
        <v/>
      </c>
      <c r="AI342" s="108">
        <f>ABS(AU$1-AU342)</f>
        <v/>
      </c>
      <c r="AJ342" s="108">
        <f>(AV342-Driver!$K$179)/(Driver!$L$179-Driver!$K$179)</f>
        <v/>
      </c>
      <c r="AK342" s="108">
        <f>(AW342-Driver!$K$180)/(Driver!$L$180-Driver!$K$180)</f>
        <v/>
      </c>
      <c r="AL342" s="108">
        <f>(AX342-Driver!$K$181)/(Driver!$L$181-Driver!$K$181)</f>
        <v/>
      </c>
      <c r="AM342" s="108">
        <f>(AY342-Driver!$K$182)/(Driver!$L$182-Driver!$K$182)</f>
        <v/>
      </c>
      <c r="AN342" s="108">
        <f>(AZ342-Driver!$K$183)/(Driver!$L$183-Driver!$K$183)</f>
        <v/>
      </c>
      <c r="AO342" s="108" t="n"/>
      <c r="AP342" s="108" t="n"/>
      <c r="AQ342" s="108">
        <f>(BC342-Driver!$K$188)/(Driver!$L$188-Driver!$K$188)</f>
        <v/>
      </c>
      <c r="AR342" s="108">
        <f>MIN((BD342-Driver!$K$189)/(Driver!$L$189-Driver!$K$189),100%)</f>
        <v/>
      </c>
      <c r="AS342" s="108">
        <f>(BE342-Driver!$K$190)/(Driver!$L$190-Driver!$K$190)</f>
        <v/>
      </c>
      <c r="AT342" s="108">
        <f>(BF342-Driver!$K$191)/(Driver!$L$191-Driver!$K$191)</f>
        <v/>
      </c>
      <c r="AU342" s="108">
        <f>(BG342-Driver!$K$192)/(Driver!$L$192-Driver!$K$192)</f>
        <v/>
      </c>
      <c r="AV342" s="105">
        <f>IFERROR(BM342*BJ342^1/4,"")</f>
        <v/>
      </c>
      <c r="AW342" s="105">
        <f>IFERROR(SUM(AX342:AZ342),"")</f>
        <v/>
      </c>
      <c r="AX342" s="105">
        <f>IFERROR(BH342,"")</f>
        <v/>
      </c>
      <c r="AY342" s="105">
        <f>IFERROR(Driver!$K$19/Data!BH342/Data!BI342*Data!BK342*Data!BL342,"")</f>
        <v/>
      </c>
      <c r="AZ342" s="105">
        <f>IFERROR(BI342*BN342,"")</f>
        <v/>
      </c>
      <c r="BA342" s="105" t="n"/>
      <c r="BB342" s="105" t="n"/>
      <c r="BC342" s="105">
        <f>IFERROR(BI342*BN342*BK342/BJ342^(1/2),"")</f>
        <v/>
      </c>
      <c r="BD342" s="105">
        <f>IFERROR(BH342*BM342*BL342/BJ342/BK342,"")</f>
        <v/>
      </c>
      <c r="BE342" s="105">
        <f>IFERROR(MIN(BI342/BQ342/BP342/BO342/BH342,$BE$1),"")</f>
        <v/>
      </c>
      <c r="BF342" s="105">
        <f>IFERROR(BJ342*BO342*BP342/BK342,"")</f>
        <v/>
      </c>
      <c r="BG342" s="105">
        <f>IFERROR(1/BM342/BH342*BQ342,"")</f>
        <v/>
      </c>
      <c r="BH342" s="102">
        <f>MAX((CE342-Driver!$F$200)/(Driver!$G$200-Driver!$F$200)*$BI$1,1)</f>
        <v/>
      </c>
      <c r="BI342" s="102">
        <f>MAX($BI$1*(BY342-Driver!$F$201)/(Driver!$G$201-Driver!$F$201),1)</f>
        <v/>
      </c>
      <c r="BJ342" s="102">
        <f>(CB342-Driver!$F$206)/(Driver!$G$206-Driver!$F$206)*$BI$1</f>
        <v/>
      </c>
      <c r="BK342" s="102">
        <f>(CD342-Driver!$F$203)/(Driver!$G$203-Driver!$F$203)*$BI$1</f>
        <v/>
      </c>
      <c r="BL342" s="102">
        <f>MAX((CR342-Driver!$F$202)/(Driver!$G$202-Driver!$F$202)*$BI$1,1)</f>
        <v/>
      </c>
      <c r="BM342" s="102">
        <f>MAX((CH342-Driver!$F$204)/(Driver!$G$204-Driver!$F$204)*$BI$1,1)</f>
        <v/>
      </c>
      <c r="BN342" s="102">
        <f>(CI342-Driver!$F$205)/(Driver!$G$205-Driver!$F$205)*$BI$1</f>
        <v/>
      </c>
      <c r="BO342" s="102">
        <f>(CK342-Driver!$F$207)/(Driver!$G$207-Driver!$F$207)*$BI$1</f>
        <v/>
      </c>
      <c r="BP342" s="102">
        <f>(CM342-Driver!$F$208)/(Driver!$G$208-Driver!$F$208)*$BI$1</f>
        <v/>
      </c>
      <c r="BQ342" s="102">
        <f>(CL342-Driver!$F$209)/(Driver!$G$209-Driver!$F$209)*$BI$1</f>
        <v/>
      </c>
      <c r="BR342" s="40" t="inlineStr">
        <is>
          <t>21/22</t>
        </is>
      </c>
      <c r="BS342" s="10" t="inlineStr">
        <is>
          <t xml:space="preserve"> K2</t>
        </is>
      </c>
      <c r="BT342" s="11" t="inlineStr">
        <is>
          <t xml:space="preserve"> Poacher</t>
        </is>
      </c>
      <c r="BU342" s="13" t="n">
        <v>163</v>
      </c>
      <c r="BV342" s="11" t="inlineStr">
        <is>
          <t xml:space="preserve"> Unisex</t>
        </is>
      </c>
      <c r="BW342" s="13" t="n">
        <v>163</v>
      </c>
      <c r="BX342" s="13" t="n">
        <v>160.6</v>
      </c>
      <c r="BY342" s="13" t="n">
        <v>98</v>
      </c>
      <c r="BZ342" s="13" t="n">
        <v>123</v>
      </c>
      <c r="CA342" s="13" t="n">
        <v>123</v>
      </c>
      <c r="CB342" s="13" t="n">
        <v>95</v>
      </c>
      <c r="CC342" s="13" t="n">
        <v>117</v>
      </c>
      <c r="CD342" s="13" t="n">
        <v>13.7</v>
      </c>
      <c r="CE342" s="13" t="n">
        <v>1883</v>
      </c>
      <c r="CF342" s="13" t="n">
        <v>0.9</v>
      </c>
      <c r="CG342" s="13" t="n">
        <v>1685</v>
      </c>
      <c r="CH342" s="13" t="n">
        <v>207</v>
      </c>
      <c r="CI342" s="13" t="n">
        <v>110</v>
      </c>
      <c r="CJ342" s="13" t="n">
        <v>40</v>
      </c>
      <c r="CK342" s="13" t="n">
        <v>306</v>
      </c>
      <c r="CL342" s="13" t="n">
        <v>40</v>
      </c>
      <c r="CM342" s="13" t="n">
        <v>317</v>
      </c>
      <c r="CN342" s="13" t="n">
        <v>1.004</v>
      </c>
      <c r="CO342" s="13" t="n">
        <v>182</v>
      </c>
      <c r="CP342" s="13" t="n">
        <v>192</v>
      </c>
      <c r="CQ342" s="13" t="n">
        <v>125</v>
      </c>
      <c r="CR342" s="13" t="n">
        <v>6</v>
      </c>
      <c r="CS342" s="13" t="n">
        <v>5</v>
      </c>
      <c r="CT342" s="11" t="inlineStr">
        <is>
          <t xml:space="preserve"> Freeski</t>
        </is>
      </c>
      <c r="CU342" s="13" t="n"/>
      <c r="CV342" s="13" t="n"/>
      <c r="CW342" s="13" t="n"/>
      <c r="CX342">
        <f>INDEX('Data_Price '!AG$2:AG$1266,MATCH(Data!$DN342,'Data_Price '!$AT$2:$AT$1266,0))</f>
        <v/>
      </c>
      <c r="CY342">
        <f>INDEX('Data_Price '!AH$2:AH$1266,MATCH(Data!$DN342,'Data_Price '!$AT$2:$AT$1266,0))</f>
        <v/>
      </c>
      <c r="CZ342">
        <f>INDEX('Data_Price '!AI$2:AI$1266,MATCH(Data!$DN342,'Data_Price '!$AT$2:$AT$1266,0))</f>
        <v/>
      </c>
      <c r="DA342">
        <f>INDEX('Data_Price '!AJ$2:AJ$1266,MATCH(Data!$DN342,'Data_Price '!$AT$2:$AT$1266,0))</f>
        <v/>
      </c>
      <c r="DB342">
        <f>INDEX('Data_Price '!AK$2:AK$1266,MATCH(Data!$DN342,'Data_Price '!$AT$2:$AT$1266,0))</f>
        <v/>
      </c>
      <c r="DC342">
        <f>INDEX('Data_Price '!AL$2:AL$1266,MATCH(Data!$DN342,'Data_Price '!$AT$2:$AT$1266,0))</f>
        <v/>
      </c>
      <c r="DD342">
        <f>INDEX('Data_Price '!AM$2:AM$1266,MATCH(Data!$DN342,'Data_Price '!$AT$2:$AT$1266,0))</f>
        <v/>
      </c>
      <c r="DE342">
        <f>INDEX('Data_Price '!AN$2:AN$1266,MATCH(Data!$DN342,'Data_Price '!$AT$2:$AT$1266,0))</f>
        <v/>
      </c>
      <c r="DF342">
        <f>INDEX('Data_Price '!AO$2:AO$1266,MATCH(Data!$DN342,'Data_Price '!$AT$2:$AT$1266,0))</f>
        <v/>
      </c>
      <c r="DG342">
        <f>INDEX('Data_Price '!AP$2:AP$1266,MATCH(Data!$DN342,'Data_Price '!$AT$2:$AT$1266,0))</f>
        <v/>
      </c>
      <c r="DH342">
        <f>INDEX('Data_Price '!AQ$2:AQ$1266,MATCH(Data!$DN342,'Data_Price '!$AT$2:$AT$1266,0))</f>
        <v/>
      </c>
      <c r="DI342">
        <f>INDEX('Data_Price '!AR$2:AR$1266,MATCH(Data!$DN342,'Data_Price '!$AT$2:$AT$1266,0))</f>
        <v/>
      </c>
      <c r="DJ342" s="138">
        <f>DA342</f>
        <v/>
      </c>
      <c r="DK342" s="138">
        <f>DE342</f>
        <v/>
      </c>
      <c r="DL342" s="138">
        <f>DI342</f>
        <v/>
      </c>
      <c r="DM342" s="303">
        <f>IF(LEFT(BT342,1)=" ",RIGHT(BT342,LEN(BT342)-1),BT342)</f>
        <v/>
      </c>
      <c r="DN342" s="138">
        <f>_xlfn.CONCAT(BS342,DM342,BU342,BV342)</f>
        <v/>
      </c>
      <c r="DO342" s="307" t="inlineStr">
        <is>
          <t>https://images.evo.com/imgp/250/201070/825034/k2-poacher-skis-2022-.jpg</t>
        </is>
      </c>
    </row>
    <row r="343" ht="15.6" customHeight="1" s="184">
      <c r="B343" s="303">
        <f t="array" ref="B343">IF(OR(ISERROR(K343:P343)),FALSE,TRUE)</f>
        <v/>
      </c>
      <c r="C343" s="60">
        <f>OR(BR343=Driver!$G$50,Data!BR530=Driver!$H$50)</f>
        <v/>
      </c>
      <c r="D343" s="60">
        <f>OR(BV343=Driver!$G$51,BV343=Driver!$H$51)</f>
        <v/>
      </c>
      <c r="E343" s="60">
        <f>AND(BX343&gt;Driver!$F$54,BX343&lt;Driver!$G$54)</f>
        <v/>
      </c>
      <c r="F343" s="60">
        <f>CL343&gt;Driver!$F$56</f>
        <v/>
      </c>
      <c r="G343" s="60">
        <f>AND(CB343&gt;Driver!$F$55,CB343&lt;Driver!$G$55)</f>
        <v/>
      </c>
      <c r="H343" s="60">
        <f>AND(B343:G343)</f>
        <v/>
      </c>
      <c r="I343" s="60">
        <f>COUNTIFS($H$9:$H$1273,TRUE,$BT$9:$BT$1273,BT343)</f>
        <v/>
      </c>
      <c r="J343" s="60">
        <f t="array" ref="J343">NOT(OR(($H$9:$H$1273=TRUE)*($I$9:$I$1273&gt;0)*($BT$9:$BT$1273=BT343)*($K$9:$K$1273&gt;K343)))</f>
        <v/>
      </c>
      <c r="K343" s="108">
        <f>IFERROR(1-AVERAGE(X343:Y343),"")</f>
        <v/>
      </c>
      <c r="L343" s="108">
        <f>1-X343</f>
        <v/>
      </c>
      <c r="M343" s="108">
        <f>1-Y343</f>
        <v/>
      </c>
      <c r="N343" s="108">
        <f>1-Z343</f>
        <v/>
      </c>
      <c r="O343" s="108">
        <f>1-AA343</f>
        <v/>
      </c>
      <c r="P343" s="108">
        <f>1-AB343</f>
        <v/>
      </c>
      <c r="Q343" s="108" t="n"/>
      <c r="R343" s="108" t="n"/>
      <c r="S343" s="108">
        <f>1-AE343</f>
        <v/>
      </c>
      <c r="T343" s="108">
        <f>1-AF343</f>
        <v/>
      </c>
      <c r="U343" s="108">
        <f>1-AG343</f>
        <v/>
      </c>
      <c r="V343" s="108">
        <f>1-AH343</f>
        <v/>
      </c>
      <c r="W343" s="108">
        <f>1-AI343</f>
        <v/>
      </c>
      <c r="X343" s="108">
        <f>ABS(AJ343-AJ$1)</f>
        <v/>
      </c>
      <c r="Y343" s="108">
        <f>AVERAGE(Z343:AB343)</f>
        <v/>
      </c>
      <c r="Z343" s="108">
        <f>ABS(AL343-AL$1)</f>
        <v/>
      </c>
      <c r="AA343" s="108">
        <f>ABS(AM343-AM$1)</f>
        <v/>
      </c>
      <c r="AB343" s="108">
        <f>ABS(AN343-AN$1)</f>
        <v/>
      </c>
      <c r="AC343" s="108" t="n"/>
      <c r="AD343" s="108" t="n"/>
      <c r="AE343" s="108">
        <f>ABS(AQ$1-AQ343)</f>
        <v/>
      </c>
      <c r="AF343" s="108">
        <f>ABS(AR$1-AR343)</f>
        <v/>
      </c>
      <c r="AG343" s="108">
        <f>ABS(AS$1-AS343)</f>
        <v/>
      </c>
      <c r="AH343" s="108">
        <f>ABS(AT$1-AT343)</f>
        <v/>
      </c>
      <c r="AI343" s="108">
        <f>ABS(AU$1-AU343)</f>
        <v/>
      </c>
      <c r="AJ343" s="108">
        <f>(AV343-Driver!$K$179)/(Driver!$L$179-Driver!$K$179)</f>
        <v/>
      </c>
      <c r="AK343" s="108">
        <f>(AW343-Driver!$K$180)/(Driver!$L$180-Driver!$K$180)</f>
        <v/>
      </c>
      <c r="AL343" s="108">
        <f>(AX343-Driver!$K$181)/(Driver!$L$181-Driver!$K$181)</f>
        <v/>
      </c>
      <c r="AM343" s="108">
        <f>(AY343-Driver!$K$182)/(Driver!$L$182-Driver!$K$182)</f>
        <v/>
      </c>
      <c r="AN343" s="108">
        <f>(AZ343-Driver!$K$183)/(Driver!$L$183-Driver!$K$183)</f>
        <v/>
      </c>
      <c r="AO343" s="108" t="n"/>
      <c r="AP343" s="108" t="n"/>
      <c r="AQ343" s="108">
        <f>(BC343-Driver!$K$188)/(Driver!$L$188-Driver!$K$188)</f>
        <v/>
      </c>
      <c r="AR343" s="108">
        <f>MIN((BD343-Driver!$K$189)/(Driver!$L$189-Driver!$K$189),100%)</f>
        <v/>
      </c>
      <c r="AS343" s="108">
        <f>(BE343-Driver!$K$190)/(Driver!$L$190-Driver!$K$190)</f>
        <v/>
      </c>
      <c r="AT343" s="108">
        <f>(BF343-Driver!$K$191)/(Driver!$L$191-Driver!$K$191)</f>
        <v/>
      </c>
      <c r="AU343" s="108">
        <f>(BG343-Driver!$K$192)/(Driver!$L$192-Driver!$K$192)</f>
        <v/>
      </c>
      <c r="AV343" s="105">
        <f>IFERROR(BM343*BJ343^1/4,"")</f>
        <v/>
      </c>
      <c r="AW343" s="105">
        <f>IFERROR(SUM(AX343:AZ343),"")</f>
        <v/>
      </c>
      <c r="AX343" s="105">
        <f>IFERROR(BH343,"")</f>
        <v/>
      </c>
      <c r="AY343" s="105">
        <f>IFERROR(Driver!$K$19/Data!BH343/Data!BI343*Data!BK343*Data!BL343,"")</f>
        <v/>
      </c>
      <c r="AZ343" s="105">
        <f>IFERROR(BI343*BN343,"")</f>
        <v/>
      </c>
      <c r="BA343" s="105" t="n"/>
      <c r="BB343" s="105" t="n"/>
      <c r="BC343" s="105">
        <f>IFERROR(BI343*BN343*BK343/BJ343^(1/2),"")</f>
        <v/>
      </c>
      <c r="BD343" s="105">
        <f>IFERROR(BH343*BM343*BL343/BJ343/BK343,"")</f>
        <v/>
      </c>
      <c r="BE343" s="105">
        <f>IFERROR(MIN(BI343/BQ343/BP343/BO343/BH343,$BE$1),"")</f>
        <v/>
      </c>
      <c r="BF343" s="105">
        <f>IFERROR(BJ343*BO343*BP343/BK343,"")</f>
        <v/>
      </c>
      <c r="BG343" s="105">
        <f>IFERROR(1/BM343/BH343*BQ343,"")</f>
        <v/>
      </c>
      <c r="BH343" s="102">
        <f>MAX((CE343-Driver!$F$200)/(Driver!$G$200-Driver!$F$200)*$BI$1,1)</f>
        <v/>
      </c>
      <c r="BI343" s="102">
        <f>MAX($BI$1*(BY343-Driver!$F$201)/(Driver!$G$201-Driver!$F$201),1)</f>
        <v/>
      </c>
      <c r="BJ343" s="102">
        <f>(CB343-Driver!$F$206)/(Driver!$G$206-Driver!$F$206)*$BI$1</f>
        <v/>
      </c>
      <c r="BK343" s="102">
        <f>(CD343-Driver!$F$203)/(Driver!$G$203-Driver!$F$203)*$BI$1</f>
        <v/>
      </c>
      <c r="BL343" s="102">
        <f>MAX((CR343-Driver!$F$202)/(Driver!$G$202-Driver!$F$202)*$BI$1,1)</f>
        <v/>
      </c>
      <c r="BM343" s="102">
        <f>MAX((CH343-Driver!$F$204)/(Driver!$G$204-Driver!$F$204)*$BI$1,1)</f>
        <v/>
      </c>
      <c r="BN343" s="102">
        <f>(CI343-Driver!$F$205)/(Driver!$G$205-Driver!$F$205)*$BI$1</f>
        <v/>
      </c>
      <c r="BO343" s="102">
        <f>(CK343-Driver!$F$207)/(Driver!$G$207-Driver!$F$207)*$BI$1</f>
        <v/>
      </c>
      <c r="BP343" s="102">
        <f>(CM343-Driver!$F$208)/(Driver!$G$208-Driver!$F$208)*$BI$1</f>
        <v/>
      </c>
      <c r="BQ343" s="102">
        <f>(CL343-Driver!$F$209)/(Driver!$G$209-Driver!$F$209)*$BI$1</f>
        <v/>
      </c>
      <c r="BR343" s="40" t="inlineStr">
        <is>
          <t>21/22</t>
        </is>
      </c>
      <c r="BS343" s="10" t="inlineStr">
        <is>
          <t xml:space="preserve"> Faction</t>
        </is>
      </c>
      <c r="BT343" s="11" t="inlineStr">
        <is>
          <t>Prodigy 1.0</t>
        </is>
      </c>
      <c r="BU343" s="13" t="n">
        <v>178</v>
      </c>
      <c r="BV343" s="11" t="inlineStr">
        <is>
          <t xml:space="preserve"> Unisex</t>
        </is>
      </c>
      <c r="BW343" s="13" t="n">
        <v>178</v>
      </c>
      <c r="BX343" s="13" t="n">
        <v>176.4</v>
      </c>
      <c r="BY343" s="13" t="n">
        <v>135</v>
      </c>
      <c r="BZ343" s="13" t="n">
        <v>149</v>
      </c>
      <c r="CA343" s="13" t="n">
        <v>120</v>
      </c>
      <c r="CB343" s="13" t="n">
        <v>88</v>
      </c>
      <c r="CC343" s="13" t="n">
        <v>112</v>
      </c>
      <c r="CD343" s="13" t="n">
        <v>17.9</v>
      </c>
      <c r="CE343" s="13" t="n">
        <v>1894</v>
      </c>
      <c r="CF343" s="13" t="n">
        <v>0.92</v>
      </c>
      <c r="CG343" s="13" t="n">
        <v>1751</v>
      </c>
      <c r="CH343" s="13" t="n">
        <v>201</v>
      </c>
      <c r="CI343" s="13" t="n">
        <v>88</v>
      </c>
      <c r="CJ343" s="13" t="n">
        <v>43</v>
      </c>
      <c r="CK343" s="13" t="n">
        <v>223</v>
      </c>
      <c r="CL343" s="13" t="n">
        <v>36</v>
      </c>
      <c r="CM343" s="13" t="n">
        <v>187</v>
      </c>
      <c r="CN343" s="13" t="n">
        <v>0.836</v>
      </c>
      <c r="CO343" s="13" t="n">
        <v>145</v>
      </c>
      <c r="CP343" s="13" t="n">
        <v>124</v>
      </c>
      <c r="CQ343" s="13" t="n">
        <v>78</v>
      </c>
      <c r="CR343" s="13" t="n">
        <v>14</v>
      </c>
      <c r="CS343" s="13" t="n">
        <v>7.7</v>
      </c>
      <c r="CT343" s="11" t="inlineStr">
        <is>
          <t xml:space="preserve"> Resort Freeride</t>
        </is>
      </c>
      <c r="CU343" s="11" t="inlineStr">
        <is>
          <t xml:space="preserve"> Freeski</t>
        </is>
      </c>
      <c r="CV343" s="13" t="n"/>
      <c r="CW343" s="13" t="n"/>
      <c r="CX343">
        <f>INDEX('Data_Price '!AG$2:AG$1266,MATCH(Data!$DN343,'Data_Price '!$AT$2:$AT$1266,0))</f>
        <v/>
      </c>
      <c r="CY343">
        <f>INDEX('Data_Price '!AH$2:AH$1266,MATCH(Data!$DN343,'Data_Price '!$AT$2:$AT$1266,0))</f>
        <v/>
      </c>
      <c r="CZ343">
        <f>INDEX('Data_Price '!AI$2:AI$1266,MATCH(Data!$DN343,'Data_Price '!$AT$2:$AT$1266,0))</f>
        <v/>
      </c>
      <c r="DA343">
        <f>INDEX('Data_Price '!AJ$2:AJ$1266,MATCH(Data!$DN343,'Data_Price '!$AT$2:$AT$1266,0))</f>
        <v/>
      </c>
      <c r="DB343">
        <f>INDEX('Data_Price '!AK$2:AK$1266,MATCH(Data!$DN343,'Data_Price '!$AT$2:$AT$1266,0))</f>
        <v/>
      </c>
      <c r="DC343">
        <f>INDEX('Data_Price '!AL$2:AL$1266,MATCH(Data!$DN343,'Data_Price '!$AT$2:$AT$1266,0))</f>
        <v/>
      </c>
      <c r="DD343">
        <f>INDEX('Data_Price '!AM$2:AM$1266,MATCH(Data!$DN343,'Data_Price '!$AT$2:$AT$1266,0))</f>
        <v/>
      </c>
      <c r="DE343">
        <f>INDEX('Data_Price '!AN$2:AN$1266,MATCH(Data!$DN343,'Data_Price '!$AT$2:$AT$1266,0))</f>
        <v/>
      </c>
      <c r="DF343">
        <f>INDEX('Data_Price '!AO$2:AO$1266,MATCH(Data!$DN343,'Data_Price '!$AT$2:$AT$1266,0))</f>
        <v/>
      </c>
      <c r="DG343">
        <f>INDEX('Data_Price '!AP$2:AP$1266,MATCH(Data!$DN343,'Data_Price '!$AT$2:$AT$1266,0))</f>
        <v/>
      </c>
      <c r="DH343">
        <f>INDEX('Data_Price '!AQ$2:AQ$1266,MATCH(Data!$DN343,'Data_Price '!$AT$2:$AT$1266,0))</f>
        <v/>
      </c>
      <c r="DI343">
        <f>INDEX('Data_Price '!AR$2:AR$1266,MATCH(Data!$DN343,'Data_Price '!$AT$2:$AT$1266,0))</f>
        <v/>
      </c>
      <c r="DJ343" s="138">
        <f>DA343</f>
        <v/>
      </c>
      <c r="DK343" s="138">
        <f>DE343</f>
        <v/>
      </c>
      <c r="DL343" s="138">
        <f>DI343</f>
        <v/>
      </c>
      <c r="DM343" s="303">
        <f>IF(LEFT(BT343,1)=" ",RIGHT(BT343,LEN(BT343)-1),BT343)</f>
        <v/>
      </c>
      <c r="DN343" s="138">
        <f>_xlfn.CONCAT(BS343,DM343,BU343,BV343)</f>
        <v/>
      </c>
      <c r="DO343" s="307" t="n"/>
    </row>
    <row r="344" ht="15.6" customHeight="1" s="184">
      <c r="B344" s="303">
        <f t="array" ref="B344">IF(OR(ISERROR(K344:P344)),FALSE,TRUE)</f>
        <v/>
      </c>
      <c r="C344" s="60">
        <f>OR(BR344=Driver!$G$50,Data!BR126=Driver!$H$50)</f>
        <v/>
      </c>
      <c r="D344" s="60">
        <f>OR(BV344=Driver!$G$51,BV344=Driver!$H$51)</f>
        <v/>
      </c>
      <c r="E344" s="60">
        <f>AND(BX344&gt;Driver!$F$54,BX344&lt;Driver!$G$54)</f>
        <v/>
      </c>
      <c r="F344" s="60">
        <f>CL344&gt;Driver!$F$56</f>
        <v/>
      </c>
      <c r="G344" s="60">
        <f>AND(CB344&gt;Driver!$F$55,CB344&lt;Driver!$G$55)</f>
        <v/>
      </c>
      <c r="H344" s="60">
        <f>AND(B344:G344)</f>
        <v/>
      </c>
      <c r="I344" s="60">
        <f>COUNTIFS($H$9:$H$1273,TRUE,$BT$9:$BT$1273,BT344)</f>
        <v/>
      </c>
      <c r="J344" s="60">
        <f t="array" ref="J344">NOT(OR(($H$9:$H$1273=TRUE)*($I$9:$I$1273&gt;0)*($BT$9:$BT$1273=BT344)*($K$9:$K$1273&gt;K344)))</f>
        <v/>
      </c>
      <c r="K344" s="108">
        <f>IFERROR(1-AVERAGE(X344:Y344),"")</f>
        <v/>
      </c>
      <c r="L344" s="108">
        <f>1-X344</f>
        <v/>
      </c>
      <c r="M344" s="108">
        <f>1-Y344</f>
        <v/>
      </c>
      <c r="N344" s="108">
        <f>1-Z344</f>
        <v/>
      </c>
      <c r="O344" s="108">
        <f>1-AA344</f>
        <v/>
      </c>
      <c r="P344" s="108">
        <f>1-AB344</f>
        <v/>
      </c>
      <c r="Q344" s="108" t="n"/>
      <c r="R344" s="108" t="n"/>
      <c r="S344" s="108">
        <f>1-AE344</f>
        <v/>
      </c>
      <c r="T344" s="108">
        <f>1-AF344</f>
        <v/>
      </c>
      <c r="U344" s="108">
        <f>1-AG344</f>
        <v/>
      </c>
      <c r="V344" s="108">
        <f>1-AH344</f>
        <v/>
      </c>
      <c r="W344" s="108">
        <f>1-AI344</f>
        <v/>
      </c>
      <c r="X344" s="108">
        <f>ABS(AJ344-AJ$1)</f>
        <v/>
      </c>
      <c r="Y344" s="108">
        <f>AVERAGE(Z344:AB344)</f>
        <v/>
      </c>
      <c r="Z344" s="108">
        <f>ABS(AL344-AL$1)</f>
        <v/>
      </c>
      <c r="AA344" s="108">
        <f>ABS(AM344-AM$1)</f>
        <v/>
      </c>
      <c r="AB344" s="108">
        <f>ABS(AN344-AN$1)</f>
        <v/>
      </c>
      <c r="AC344" s="108" t="n"/>
      <c r="AD344" s="108" t="n"/>
      <c r="AE344" s="108">
        <f>ABS(AQ$1-AQ344)</f>
        <v/>
      </c>
      <c r="AF344" s="108">
        <f>ABS(AR$1-AR344)</f>
        <v/>
      </c>
      <c r="AG344" s="108">
        <f>ABS(AS$1-AS344)</f>
        <v/>
      </c>
      <c r="AH344" s="108">
        <f>ABS(AT$1-AT344)</f>
        <v/>
      </c>
      <c r="AI344" s="108">
        <f>ABS(AU$1-AU344)</f>
        <v/>
      </c>
      <c r="AJ344" s="108">
        <f>(AV344-Driver!$K$179)/(Driver!$L$179-Driver!$K$179)</f>
        <v/>
      </c>
      <c r="AK344" s="108">
        <f>(AW344-Driver!$K$180)/(Driver!$L$180-Driver!$K$180)</f>
        <v/>
      </c>
      <c r="AL344" s="108">
        <f>(AX344-Driver!$K$181)/(Driver!$L$181-Driver!$K$181)</f>
        <v/>
      </c>
      <c r="AM344" s="108">
        <f>(AY344-Driver!$K$182)/(Driver!$L$182-Driver!$K$182)</f>
        <v/>
      </c>
      <c r="AN344" s="108">
        <f>(AZ344-Driver!$K$183)/(Driver!$L$183-Driver!$K$183)</f>
        <v/>
      </c>
      <c r="AO344" s="108" t="n"/>
      <c r="AP344" s="108" t="n"/>
      <c r="AQ344" s="108">
        <f>(BC344-Driver!$K$188)/(Driver!$L$188-Driver!$K$188)</f>
        <v/>
      </c>
      <c r="AR344" s="108">
        <f>MIN((BD344-Driver!$K$189)/(Driver!$L$189-Driver!$K$189),100%)</f>
        <v/>
      </c>
      <c r="AS344" s="108">
        <f>(BE344-Driver!$K$190)/(Driver!$L$190-Driver!$K$190)</f>
        <v/>
      </c>
      <c r="AT344" s="108">
        <f>(BF344-Driver!$K$191)/(Driver!$L$191-Driver!$K$191)</f>
        <v/>
      </c>
      <c r="AU344" s="108">
        <f>(BG344-Driver!$K$192)/(Driver!$L$192-Driver!$K$192)</f>
        <v/>
      </c>
      <c r="AV344" s="105">
        <f>IFERROR(BM344*BJ344^1/4,"")</f>
        <v/>
      </c>
      <c r="AW344" s="105">
        <f>IFERROR(SUM(AX344:AZ344),"")</f>
        <v/>
      </c>
      <c r="AX344" s="105">
        <f>IFERROR(BH344,"")</f>
        <v/>
      </c>
      <c r="AY344" s="105">
        <f>IFERROR(Driver!$K$19/Data!BH344/Data!BI344*Data!BK344*Data!BL344,"")</f>
        <v/>
      </c>
      <c r="AZ344" s="105">
        <f>IFERROR(BI344*BN344,"")</f>
        <v/>
      </c>
      <c r="BA344" s="105" t="n"/>
      <c r="BB344" s="105" t="n"/>
      <c r="BC344" s="105">
        <f>IFERROR(BI344*BN344*BK344/BJ344^(1/2),"")</f>
        <v/>
      </c>
      <c r="BD344" s="105">
        <f>IFERROR(BH344*BM344*BL344/BJ344/BK344,"")</f>
        <v/>
      </c>
      <c r="BE344" s="105">
        <f>IFERROR(MIN(BI344/BQ344/BP344/BO344/BH344,$BE$1),"")</f>
        <v/>
      </c>
      <c r="BF344" s="105">
        <f>IFERROR(BJ344*BO344*BP344/BK344,"")</f>
        <v/>
      </c>
      <c r="BG344" s="105">
        <f>IFERROR(1/BM344/BH344*BQ344,"")</f>
        <v/>
      </c>
      <c r="BH344" s="102">
        <f>MAX((CE344-Driver!$F$200)/(Driver!$G$200-Driver!$F$200)*$BI$1,1)</f>
        <v/>
      </c>
      <c r="BI344" s="102">
        <f>MAX($BI$1*(BY344-Driver!$F$201)/(Driver!$G$201-Driver!$F$201),1)</f>
        <v/>
      </c>
      <c r="BJ344" s="102">
        <f>(CB344-Driver!$F$206)/(Driver!$G$206-Driver!$F$206)*$BI$1</f>
        <v/>
      </c>
      <c r="BK344" s="102">
        <f>(CD344-Driver!$F$203)/(Driver!$G$203-Driver!$F$203)*$BI$1</f>
        <v/>
      </c>
      <c r="BL344" s="102">
        <f>MAX((CR344-Driver!$F$202)/(Driver!$G$202-Driver!$F$202)*$BI$1,1)</f>
        <v/>
      </c>
      <c r="BM344" s="102">
        <f>MAX((CH344-Driver!$F$204)/(Driver!$G$204-Driver!$F$204)*$BI$1,1)</f>
        <v/>
      </c>
      <c r="BN344" s="102">
        <f>(CI344-Driver!$F$205)/(Driver!$G$205-Driver!$F$205)*$BI$1</f>
        <v/>
      </c>
      <c r="BO344" s="102">
        <f>(CK344-Driver!$F$207)/(Driver!$G$207-Driver!$F$207)*$BI$1</f>
        <v/>
      </c>
      <c r="BP344" s="102">
        <f>(CM344-Driver!$F$208)/(Driver!$G$208-Driver!$F$208)*$BI$1</f>
        <v/>
      </c>
      <c r="BQ344" s="102">
        <f>(CL344-Driver!$F$209)/(Driver!$G$209-Driver!$F$209)*$BI$1</f>
        <v/>
      </c>
      <c r="BR344" s="40" t="inlineStr">
        <is>
          <t>21/22</t>
        </is>
      </c>
      <c r="BS344" s="10" t="inlineStr">
        <is>
          <t xml:space="preserve"> Atomic</t>
        </is>
      </c>
      <c r="BT344" s="11" t="inlineStr">
        <is>
          <t>Backland 86 SL</t>
        </is>
      </c>
      <c r="BU344" s="13" t="n">
        <v>179</v>
      </c>
      <c r="BV344" s="11" t="inlineStr">
        <is>
          <t xml:space="preserve"> Unisex</t>
        </is>
      </c>
      <c r="BW344" s="13" t="n">
        <v>179</v>
      </c>
      <c r="BX344" s="13" t="n">
        <v>177.9</v>
      </c>
      <c r="BY344" s="13" t="n">
        <v>139</v>
      </c>
      <c r="BZ344" s="13" t="n">
        <v>149</v>
      </c>
      <c r="CA344" s="13" t="n">
        <v>118</v>
      </c>
      <c r="CB344" s="13" t="n">
        <v>86</v>
      </c>
      <c r="CC344" s="13" t="n">
        <v>106</v>
      </c>
      <c r="CD344" s="13" t="n">
        <v>19.2</v>
      </c>
      <c r="CE344" s="13" t="n">
        <v>1301</v>
      </c>
      <c r="CF344" s="13" t="n">
        <v>1.31</v>
      </c>
      <c r="CG344" s="13" t="n">
        <v>1700</v>
      </c>
      <c r="CH344" s="13" t="n">
        <v>215</v>
      </c>
      <c r="CI344" s="13" t="n">
        <v>84</v>
      </c>
      <c r="CJ344" s="13" t="n">
        <v>50</v>
      </c>
      <c r="CK344" s="13" t="n">
        <v>242</v>
      </c>
      <c r="CL344" s="13" t="n">
        <v>13</v>
      </c>
      <c r="CM344" s="13" t="n">
        <v>145</v>
      </c>
      <c r="CN344" s="13" t="n">
        <v>0.255</v>
      </c>
      <c r="CO344" s="13" t="n">
        <v>175</v>
      </c>
      <c r="CP344" s="13" t="n">
        <v>113</v>
      </c>
      <c r="CQ344" s="13" t="n">
        <v>67</v>
      </c>
      <c r="CR344" s="13" t="n">
        <v>6</v>
      </c>
      <c r="CS344" s="13" t="n">
        <v>12.1</v>
      </c>
      <c r="CT344" s="11" t="inlineStr">
        <is>
          <t xml:space="preserve"> Touring</t>
        </is>
      </c>
      <c r="CU344" s="11" t="inlineStr">
        <is>
          <t xml:space="preserve"> Ultralight Touring</t>
        </is>
      </c>
      <c r="CV344" s="13" t="n"/>
      <c r="CW344" s="13" t="n"/>
      <c r="CX344">
        <f>INDEX('Data_Price '!AG$2:AG$1266,MATCH(Data!$DN344,'Data_Price '!$AT$2:$AT$1266,0))</f>
        <v/>
      </c>
      <c r="CY344">
        <f>INDEX('Data_Price '!AH$2:AH$1266,MATCH(Data!$DN344,'Data_Price '!$AT$2:$AT$1266,0))</f>
        <v/>
      </c>
      <c r="CZ344">
        <f>INDEX('Data_Price '!AI$2:AI$1266,MATCH(Data!$DN344,'Data_Price '!$AT$2:$AT$1266,0))</f>
        <v/>
      </c>
      <c r="DA344">
        <f>INDEX('Data_Price '!AJ$2:AJ$1266,MATCH(Data!$DN344,'Data_Price '!$AT$2:$AT$1266,0))</f>
        <v/>
      </c>
      <c r="DB344">
        <f>INDEX('Data_Price '!AK$2:AK$1266,MATCH(Data!$DN344,'Data_Price '!$AT$2:$AT$1266,0))</f>
        <v/>
      </c>
      <c r="DC344">
        <f>INDEX('Data_Price '!AL$2:AL$1266,MATCH(Data!$DN344,'Data_Price '!$AT$2:$AT$1266,0))</f>
        <v/>
      </c>
      <c r="DD344">
        <f>INDEX('Data_Price '!AM$2:AM$1266,MATCH(Data!$DN344,'Data_Price '!$AT$2:$AT$1266,0))</f>
        <v/>
      </c>
      <c r="DE344">
        <f>INDEX('Data_Price '!AN$2:AN$1266,MATCH(Data!$DN344,'Data_Price '!$AT$2:$AT$1266,0))</f>
        <v/>
      </c>
      <c r="DF344">
        <f>INDEX('Data_Price '!AO$2:AO$1266,MATCH(Data!$DN344,'Data_Price '!$AT$2:$AT$1266,0))</f>
        <v/>
      </c>
      <c r="DG344">
        <f>INDEX('Data_Price '!AP$2:AP$1266,MATCH(Data!$DN344,'Data_Price '!$AT$2:$AT$1266,0))</f>
        <v/>
      </c>
      <c r="DH344">
        <f>INDEX('Data_Price '!AQ$2:AQ$1266,MATCH(Data!$DN344,'Data_Price '!$AT$2:$AT$1266,0))</f>
        <v/>
      </c>
      <c r="DI344">
        <f>INDEX('Data_Price '!AR$2:AR$1266,MATCH(Data!$DN344,'Data_Price '!$AT$2:$AT$1266,0))</f>
        <v/>
      </c>
      <c r="DJ344" s="138">
        <f>DA344</f>
        <v/>
      </c>
      <c r="DK344" s="138">
        <f>DE344</f>
        <v/>
      </c>
      <c r="DL344" s="138">
        <f>DI344</f>
        <v/>
      </c>
      <c r="DM344" s="303">
        <f>IF(LEFT(BT344,1)=" ",RIGHT(BT344,LEN(BT344)-1),BT344)</f>
        <v/>
      </c>
      <c r="DN344" s="138">
        <f>_xlfn.CONCAT(BS344,DM344,BU344,BV344)</f>
        <v/>
      </c>
      <c r="DO344" s="307" t="n"/>
    </row>
    <row r="345" ht="15.6" customHeight="1" s="184">
      <c r="B345" s="303">
        <f t="array" ref="B345">IF(OR(ISERROR(K345:P345)),FALSE,TRUE)</f>
        <v/>
      </c>
      <c r="C345" s="60">
        <f>OR(BR345=Driver!$G$50,Data!BR78=Driver!$H$50)</f>
        <v/>
      </c>
      <c r="D345" s="60">
        <f>OR(BV345=Driver!$G$51,BV345=Driver!$H$51)</f>
        <v/>
      </c>
      <c r="E345" s="60">
        <f>AND(BX345&gt;Driver!$F$54,BX345&lt;Driver!$G$54)</f>
        <v/>
      </c>
      <c r="F345" s="60">
        <f>CL345&gt;Driver!$F$56</f>
        <v/>
      </c>
      <c r="G345" s="60">
        <f>AND(CB345&gt;Driver!$F$55,CB345&lt;Driver!$G$55)</f>
        <v/>
      </c>
      <c r="H345" s="60">
        <f>AND(B345:G345)</f>
        <v/>
      </c>
      <c r="I345" s="60">
        <f>COUNTIFS($H$9:$H$1273,TRUE,$BT$9:$BT$1273,BT345)</f>
        <v/>
      </c>
      <c r="J345" s="60">
        <f t="array" ref="J345">NOT(OR(($H$9:$H$1273=TRUE)*($I$9:$I$1273&gt;0)*($BT$9:$BT$1273=BT345)*($K$9:$K$1273&gt;K345)))</f>
        <v/>
      </c>
      <c r="K345" s="108">
        <f>IFERROR(1-AVERAGE(X345:Y345),"")</f>
        <v/>
      </c>
      <c r="L345" s="108">
        <f>1-X345</f>
        <v/>
      </c>
      <c r="M345" s="108">
        <f>1-Y345</f>
        <v/>
      </c>
      <c r="N345" s="108">
        <f>1-Z345</f>
        <v/>
      </c>
      <c r="O345" s="108">
        <f>1-AA345</f>
        <v/>
      </c>
      <c r="P345" s="108">
        <f>1-AB345</f>
        <v/>
      </c>
      <c r="Q345" s="108" t="n"/>
      <c r="R345" s="108" t="n"/>
      <c r="S345" s="108">
        <f>1-AE345</f>
        <v/>
      </c>
      <c r="T345" s="108">
        <f>1-AF345</f>
        <v/>
      </c>
      <c r="U345" s="108">
        <f>1-AG345</f>
        <v/>
      </c>
      <c r="V345" s="108">
        <f>1-AH345</f>
        <v/>
      </c>
      <c r="W345" s="108">
        <f>1-AI345</f>
        <v/>
      </c>
      <c r="X345" s="108">
        <f>ABS(AJ345-AJ$1)</f>
        <v/>
      </c>
      <c r="Y345" s="108">
        <f>AVERAGE(Z345:AB345)</f>
        <v/>
      </c>
      <c r="Z345" s="108">
        <f>ABS(AL345-AL$1)</f>
        <v/>
      </c>
      <c r="AA345" s="108">
        <f>ABS(AM345-AM$1)</f>
        <v/>
      </c>
      <c r="AB345" s="108">
        <f>ABS(AN345-AN$1)</f>
        <v/>
      </c>
      <c r="AC345" s="108" t="n"/>
      <c r="AD345" s="108" t="n"/>
      <c r="AE345" s="108">
        <f>ABS(AQ$1-AQ345)</f>
        <v/>
      </c>
      <c r="AF345" s="108">
        <f>ABS(AR$1-AR345)</f>
        <v/>
      </c>
      <c r="AG345" s="108">
        <f>ABS(AS$1-AS345)</f>
        <v/>
      </c>
      <c r="AH345" s="108">
        <f>ABS(AT$1-AT345)</f>
        <v/>
      </c>
      <c r="AI345" s="108">
        <f>ABS(AU$1-AU345)</f>
        <v/>
      </c>
      <c r="AJ345" s="108">
        <f>(AV345-Driver!$K$179)/(Driver!$L$179-Driver!$K$179)</f>
        <v/>
      </c>
      <c r="AK345" s="108">
        <f>(AW345-Driver!$K$180)/(Driver!$L$180-Driver!$K$180)</f>
        <v/>
      </c>
      <c r="AL345" s="108">
        <f>(AX345-Driver!$K$181)/(Driver!$L$181-Driver!$K$181)</f>
        <v/>
      </c>
      <c r="AM345" s="108">
        <f>(AY345-Driver!$K$182)/(Driver!$L$182-Driver!$K$182)</f>
        <v/>
      </c>
      <c r="AN345" s="108">
        <f>(AZ345-Driver!$K$183)/(Driver!$L$183-Driver!$K$183)</f>
        <v/>
      </c>
      <c r="AO345" s="108" t="n"/>
      <c r="AP345" s="108" t="n"/>
      <c r="AQ345" s="108">
        <f>(BC345-Driver!$K$188)/(Driver!$L$188-Driver!$K$188)</f>
        <v/>
      </c>
      <c r="AR345" s="108">
        <f>MIN((BD345-Driver!$K$189)/(Driver!$L$189-Driver!$K$189),100%)</f>
        <v/>
      </c>
      <c r="AS345" s="108">
        <f>(BE345-Driver!$K$190)/(Driver!$L$190-Driver!$K$190)</f>
        <v/>
      </c>
      <c r="AT345" s="108">
        <f>(BF345-Driver!$K$191)/(Driver!$L$191-Driver!$K$191)</f>
        <v/>
      </c>
      <c r="AU345" s="108">
        <f>(BG345-Driver!$K$192)/(Driver!$L$192-Driver!$K$192)</f>
        <v/>
      </c>
      <c r="AV345" s="105">
        <f>IFERROR(BM345*BJ345^1/4,"")</f>
        <v/>
      </c>
      <c r="AW345" s="105">
        <f>IFERROR(SUM(AX345:AZ345),"")</f>
        <v/>
      </c>
      <c r="AX345" s="105">
        <f>IFERROR(BH345,"")</f>
        <v/>
      </c>
      <c r="AY345" s="105">
        <f>IFERROR(Driver!$K$19/Data!BH345/Data!BI345*Data!BK345*Data!BL345,"")</f>
        <v/>
      </c>
      <c r="AZ345" s="105">
        <f>IFERROR(BI345*BN345,"")</f>
        <v/>
      </c>
      <c r="BA345" s="105" t="n"/>
      <c r="BB345" s="105" t="n"/>
      <c r="BC345" s="105">
        <f>IFERROR(BI345*BN345*BK345/BJ345^(1/2),"")</f>
        <v/>
      </c>
      <c r="BD345" s="105">
        <f>IFERROR(BH345*BM345*BL345/BJ345/BK345,"")</f>
        <v/>
      </c>
      <c r="BE345" s="105">
        <f>IFERROR(MIN(BI345/BQ345/BP345/BO345/BH345,$BE$1),"")</f>
        <v/>
      </c>
      <c r="BF345" s="105">
        <f>IFERROR(BJ345*BO345*BP345/BK345,"")</f>
        <v/>
      </c>
      <c r="BG345" s="105">
        <f>IFERROR(1/BM345/BH345*BQ345,"")</f>
        <v/>
      </c>
      <c r="BH345" s="102">
        <f>MAX((CE345-Driver!$F$200)/(Driver!$G$200-Driver!$F$200)*$BI$1,1)</f>
        <v/>
      </c>
      <c r="BI345" s="102">
        <f>MAX($BI$1*(BY345-Driver!$F$201)/(Driver!$G$201-Driver!$F$201),1)</f>
        <v/>
      </c>
      <c r="BJ345" s="102">
        <f>(CB345-Driver!$F$206)/(Driver!$G$206-Driver!$F$206)*$BI$1</f>
        <v/>
      </c>
      <c r="BK345" s="102">
        <f>(CD345-Driver!$F$203)/(Driver!$G$203-Driver!$F$203)*$BI$1</f>
        <v/>
      </c>
      <c r="BL345" s="102">
        <f>MAX((CR345-Driver!$F$202)/(Driver!$G$202-Driver!$F$202)*$BI$1,1)</f>
        <v/>
      </c>
      <c r="BM345" s="102">
        <f>MAX((CH345-Driver!$F$204)/(Driver!$G$204-Driver!$F$204)*$BI$1,1)</f>
        <v/>
      </c>
      <c r="BN345" s="102">
        <f>(CI345-Driver!$F$205)/(Driver!$G$205-Driver!$F$205)*$BI$1</f>
        <v/>
      </c>
      <c r="BO345" s="102">
        <f>(CK345-Driver!$F$207)/(Driver!$G$207-Driver!$F$207)*$BI$1</f>
        <v/>
      </c>
      <c r="BP345" s="102">
        <f>(CM345-Driver!$F$208)/(Driver!$G$208-Driver!$F$208)*$BI$1</f>
        <v/>
      </c>
      <c r="BQ345" s="102">
        <f>(CL345-Driver!$F$209)/(Driver!$G$209-Driver!$F$209)*$BI$1</f>
        <v/>
      </c>
      <c r="BR345" s="40" t="inlineStr">
        <is>
          <t>21/22</t>
        </is>
      </c>
      <c r="BS345" s="10" t="inlineStr">
        <is>
          <t xml:space="preserve"> Armada</t>
        </is>
      </c>
      <c r="BT345" s="11" t="inlineStr">
        <is>
          <t xml:space="preserve"> Edollo</t>
        </is>
      </c>
      <c r="BU345" s="13" t="n">
        <v>180</v>
      </c>
      <c r="BV345" s="11" t="inlineStr">
        <is>
          <t xml:space="preserve"> Unisex</t>
        </is>
      </c>
      <c r="BW345" s="13" t="n">
        <v>180</v>
      </c>
      <c r="BX345" s="13" t="n">
        <v>178</v>
      </c>
      <c r="BY345" s="13" t="n">
        <v>134</v>
      </c>
      <c r="BZ345" s="13" t="n">
        <v>159</v>
      </c>
      <c r="CA345" s="13" t="n">
        <v>132</v>
      </c>
      <c r="CB345" s="13" t="n">
        <v>97</v>
      </c>
      <c r="CC345" s="13" t="n">
        <v>122</v>
      </c>
      <c r="CD345" s="13" t="n">
        <v>20.4</v>
      </c>
      <c r="CE345" s="13" t="n">
        <v>2021</v>
      </c>
      <c r="CF345" s="13" t="n">
        <v>0.95</v>
      </c>
      <c r="CG345" s="13" t="n">
        <v>1913</v>
      </c>
      <c r="CH345" s="13" t="n">
        <v>198</v>
      </c>
      <c r="CI345" s="13" t="n">
        <v>87</v>
      </c>
      <c r="CJ345" s="13" t="n">
        <v>50</v>
      </c>
      <c r="CK345" s="13" t="n">
        <v>266</v>
      </c>
      <c r="CL345" s="13" t="n">
        <v>48</v>
      </c>
      <c r="CM345" s="13" t="n">
        <v>172</v>
      </c>
      <c r="CN345" s="13" t="n">
        <v>0.957</v>
      </c>
      <c r="CO345" s="13" t="n">
        <v>87</v>
      </c>
      <c r="CP345" s="13" t="n">
        <v>98</v>
      </c>
      <c r="CQ345" s="13" t="n">
        <v>179</v>
      </c>
      <c r="CR345" s="13" t="n">
        <v>8</v>
      </c>
      <c r="CS345" s="13" t="n">
        <v>3.2</v>
      </c>
      <c r="CT345" s="11" t="inlineStr">
        <is>
          <t xml:space="preserve"> Freeski</t>
        </is>
      </c>
      <c r="CU345" s="13" t="n"/>
      <c r="CV345" s="13" t="n"/>
      <c r="CW345" s="13" t="n"/>
      <c r="CX345">
        <f>INDEX('Data_Price '!AG$2:AG$1266,MATCH(Data!$DN345,'Data_Price '!$AT$2:$AT$1266,0))</f>
        <v/>
      </c>
      <c r="CY345">
        <f>INDEX('Data_Price '!AH$2:AH$1266,MATCH(Data!$DN345,'Data_Price '!$AT$2:$AT$1266,0))</f>
        <v/>
      </c>
      <c r="CZ345">
        <f>INDEX('Data_Price '!AI$2:AI$1266,MATCH(Data!$DN345,'Data_Price '!$AT$2:$AT$1266,0))</f>
        <v/>
      </c>
      <c r="DA345">
        <f>INDEX('Data_Price '!AJ$2:AJ$1266,MATCH(Data!$DN345,'Data_Price '!$AT$2:$AT$1266,0))</f>
        <v/>
      </c>
      <c r="DB345">
        <f>INDEX('Data_Price '!AK$2:AK$1266,MATCH(Data!$DN345,'Data_Price '!$AT$2:$AT$1266,0))</f>
        <v/>
      </c>
      <c r="DC345">
        <f>INDEX('Data_Price '!AL$2:AL$1266,MATCH(Data!$DN345,'Data_Price '!$AT$2:$AT$1266,0))</f>
        <v/>
      </c>
      <c r="DD345">
        <f>INDEX('Data_Price '!AM$2:AM$1266,MATCH(Data!$DN345,'Data_Price '!$AT$2:$AT$1266,0))</f>
        <v/>
      </c>
      <c r="DE345">
        <f>INDEX('Data_Price '!AN$2:AN$1266,MATCH(Data!$DN345,'Data_Price '!$AT$2:$AT$1266,0))</f>
        <v/>
      </c>
      <c r="DF345">
        <f>INDEX('Data_Price '!AO$2:AO$1266,MATCH(Data!$DN345,'Data_Price '!$AT$2:$AT$1266,0))</f>
        <v/>
      </c>
      <c r="DG345">
        <f>INDEX('Data_Price '!AP$2:AP$1266,MATCH(Data!$DN345,'Data_Price '!$AT$2:$AT$1266,0))</f>
        <v/>
      </c>
      <c r="DH345">
        <f>INDEX('Data_Price '!AQ$2:AQ$1266,MATCH(Data!$DN345,'Data_Price '!$AT$2:$AT$1266,0))</f>
        <v/>
      </c>
      <c r="DI345">
        <f>INDEX('Data_Price '!AR$2:AR$1266,MATCH(Data!$DN345,'Data_Price '!$AT$2:$AT$1266,0))</f>
        <v/>
      </c>
      <c r="DJ345" s="138">
        <f>DA345</f>
        <v/>
      </c>
      <c r="DK345" s="138">
        <f>DE345</f>
        <v/>
      </c>
      <c r="DL345" s="138">
        <f>DI345</f>
        <v/>
      </c>
      <c r="DM345" s="303">
        <f>IF(LEFT(BT345,1)=" ",RIGHT(BT345,LEN(BT345)-1),BT345)</f>
        <v/>
      </c>
      <c r="DN345" s="138">
        <f>_xlfn.CONCAT(BS345,DM345,BU345,BV345)</f>
        <v/>
      </c>
      <c r="DO345" s="307" t="inlineStr">
        <is>
          <t>https://images.evo.com/imgp/250/198691/839655/armada-edollo-skis-2022-.jpg</t>
        </is>
      </c>
    </row>
    <row r="346" ht="15.6" customHeight="1" s="184">
      <c r="B346" s="303">
        <f t="array" ref="B346">IF(OR(ISERROR(K346:P346)),FALSE,TRUE)</f>
        <v/>
      </c>
      <c r="C346" s="60">
        <f>OR(BR346=Driver!$G$50,Data!BR727=Driver!$H$50)</f>
        <v/>
      </c>
      <c r="D346" s="60">
        <f>OR(BV346=Driver!$G$51,BV346=Driver!$H$51)</f>
        <v/>
      </c>
      <c r="E346" s="60">
        <f>AND(BX346&gt;Driver!$F$54,BX346&lt;Driver!$G$54)</f>
        <v/>
      </c>
      <c r="F346" s="60">
        <f>CL346&gt;Driver!$F$56</f>
        <v/>
      </c>
      <c r="G346" s="60">
        <f>AND(CB346&gt;Driver!$F$55,CB346&lt;Driver!$G$55)</f>
        <v/>
      </c>
      <c r="H346" s="60">
        <f>AND(B346:G346)</f>
        <v/>
      </c>
      <c r="I346" s="60">
        <f>COUNTIFS($H$9:$H$1273,TRUE,$BT$9:$BT$1273,BT346)</f>
        <v/>
      </c>
      <c r="J346" s="60">
        <f t="array" ref="J346">NOT(OR(($H$9:$H$1273=TRUE)*($I$9:$I$1273&gt;0)*($BT$9:$BT$1273=BT346)*($K$9:$K$1273&gt;K346)))</f>
        <v/>
      </c>
      <c r="K346" s="108">
        <f>IFERROR(1-AVERAGE(X346:Y346),"")</f>
        <v/>
      </c>
      <c r="L346" s="108">
        <f>1-X346</f>
        <v/>
      </c>
      <c r="M346" s="108">
        <f>1-Y346</f>
        <v/>
      </c>
      <c r="N346" s="108">
        <f>1-Z346</f>
        <v/>
      </c>
      <c r="O346" s="108">
        <f>1-AA346</f>
        <v/>
      </c>
      <c r="P346" s="108">
        <f>1-AB346</f>
        <v/>
      </c>
      <c r="Q346" s="108" t="n"/>
      <c r="R346" s="108" t="n"/>
      <c r="S346" s="108">
        <f>1-AE346</f>
        <v/>
      </c>
      <c r="T346" s="108">
        <f>1-AF346</f>
        <v/>
      </c>
      <c r="U346" s="108">
        <f>1-AG346</f>
        <v/>
      </c>
      <c r="V346" s="108">
        <f>1-AH346</f>
        <v/>
      </c>
      <c r="W346" s="108">
        <f>1-AI346</f>
        <v/>
      </c>
      <c r="X346" s="108">
        <f>ABS(AJ346-AJ$1)</f>
        <v/>
      </c>
      <c r="Y346" s="108">
        <f>AVERAGE(Z346:AB346)</f>
        <v/>
      </c>
      <c r="Z346" s="108">
        <f>ABS(AL346-AL$1)</f>
        <v/>
      </c>
      <c r="AA346" s="108">
        <f>ABS(AM346-AM$1)</f>
        <v/>
      </c>
      <c r="AB346" s="108">
        <f>ABS(AN346-AN$1)</f>
        <v/>
      </c>
      <c r="AC346" s="108" t="n"/>
      <c r="AD346" s="108" t="n"/>
      <c r="AE346" s="108">
        <f>ABS(AQ$1-AQ346)</f>
        <v/>
      </c>
      <c r="AF346" s="108">
        <f>ABS(AR$1-AR346)</f>
        <v/>
      </c>
      <c r="AG346" s="108">
        <f>ABS(AS$1-AS346)</f>
        <v/>
      </c>
      <c r="AH346" s="108">
        <f>ABS(AT$1-AT346)</f>
        <v/>
      </c>
      <c r="AI346" s="108">
        <f>ABS(AU$1-AU346)</f>
        <v/>
      </c>
      <c r="AJ346" s="108">
        <f>(AV346-Driver!$K$179)/(Driver!$L$179-Driver!$K$179)</f>
        <v/>
      </c>
      <c r="AK346" s="108">
        <f>(AW346-Driver!$K$180)/(Driver!$L$180-Driver!$K$180)</f>
        <v/>
      </c>
      <c r="AL346" s="108">
        <f>(AX346-Driver!$K$181)/(Driver!$L$181-Driver!$K$181)</f>
        <v/>
      </c>
      <c r="AM346" s="108">
        <f>(AY346-Driver!$K$182)/(Driver!$L$182-Driver!$K$182)</f>
        <v/>
      </c>
      <c r="AN346" s="108">
        <f>(AZ346-Driver!$K$183)/(Driver!$L$183-Driver!$K$183)</f>
        <v/>
      </c>
      <c r="AO346" s="108" t="n"/>
      <c r="AP346" s="108" t="n"/>
      <c r="AQ346" s="108">
        <f>(BC346-Driver!$K$188)/(Driver!$L$188-Driver!$K$188)</f>
        <v/>
      </c>
      <c r="AR346" s="108">
        <f>MIN((BD346-Driver!$K$189)/(Driver!$L$189-Driver!$K$189),100%)</f>
        <v/>
      </c>
      <c r="AS346" s="108">
        <f>(BE346-Driver!$K$190)/(Driver!$L$190-Driver!$K$190)</f>
        <v/>
      </c>
      <c r="AT346" s="108">
        <f>(BF346-Driver!$K$191)/(Driver!$L$191-Driver!$K$191)</f>
        <v/>
      </c>
      <c r="AU346" s="108">
        <f>(BG346-Driver!$K$192)/(Driver!$L$192-Driver!$K$192)</f>
        <v/>
      </c>
      <c r="AV346" s="105">
        <f>IFERROR(BM346*BJ346^1/4,"")</f>
        <v/>
      </c>
      <c r="AW346" s="105">
        <f>IFERROR(SUM(AX346:AZ346),"")</f>
        <v/>
      </c>
      <c r="AX346" s="105">
        <f>IFERROR(BH346,"")</f>
        <v/>
      </c>
      <c r="AY346" s="105">
        <f>IFERROR(Driver!$K$19/Data!BH346/Data!BI346*Data!BK346*Data!BL346,"")</f>
        <v/>
      </c>
      <c r="AZ346" s="105">
        <f>IFERROR(BI346*BN346,"")</f>
        <v/>
      </c>
      <c r="BA346" s="105" t="n"/>
      <c r="BB346" s="105" t="n"/>
      <c r="BC346" s="105">
        <f>IFERROR(BI346*BN346*BK346/BJ346^(1/2),"")</f>
        <v/>
      </c>
      <c r="BD346" s="105">
        <f>IFERROR(BH346*BM346*BL346/BJ346/BK346,"")</f>
        <v/>
      </c>
      <c r="BE346" s="105">
        <f>IFERROR(MIN(BI346/BQ346/BP346/BO346/BH346,$BE$1),"")</f>
        <v/>
      </c>
      <c r="BF346" s="105">
        <f>IFERROR(BJ346*BO346*BP346/BK346,"")</f>
        <v/>
      </c>
      <c r="BG346" s="105">
        <f>IFERROR(1/BM346/BH346*BQ346,"")</f>
        <v/>
      </c>
      <c r="BH346" s="102">
        <f>MAX((CE346-Driver!$F$200)/(Driver!$G$200-Driver!$F$200)*$BI$1,1)</f>
        <v/>
      </c>
      <c r="BI346" s="102">
        <f>MAX($BI$1*(BY346-Driver!$F$201)/(Driver!$G$201-Driver!$F$201),1)</f>
        <v/>
      </c>
      <c r="BJ346" s="102">
        <f>(CB346-Driver!$F$206)/(Driver!$G$206-Driver!$F$206)*$BI$1</f>
        <v/>
      </c>
      <c r="BK346" s="102">
        <f>(CD346-Driver!$F$203)/(Driver!$G$203-Driver!$F$203)*$BI$1</f>
        <v/>
      </c>
      <c r="BL346" s="102">
        <f>MAX((CR346-Driver!$F$202)/(Driver!$G$202-Driver!$F$202)*$BI$1,1)</f>
        <v/>
      </c>
      <c r="BM346" s="102">
        <f>MAX((CH346-Driver!$F$204)/(Driver!$G$204-Driver!$F$204)*$BI$1,1)</f>
        <v/>
      </c>
      <c r="BN346" s="102">
        <f>(CI346-Driver!$F$205)/(Driver!$G$205-Driver!$F$205)*$BI$1</f>
        <v/>
      </c>
      <c r="BO346" s="102">
        <f>(CK346-Driver!$F$207)/(Driver!$G$207-Driver!$F$207)*$BI$1</f>
        <v/>
      </c>
      <c r="BP346" s="102">
        <f>(CM346-Driver!$F$208)/(Driver!$G$208-Driver!$F$208)*$BI$1</f>
        <v/>
      </c>
      <c r="BQ346" s="102">
        <f>(CL346-Driver!$F$209)/(Driver!$G$209-Driver!$F$209)*$BI$1</f>
        <v/>
      </c>
      <c r="BR346" s="40" t="inlineStr">
        <is>
          <t>21/22</t>
        </is>
      </c>
      <c r="BS346" s="10" t="inlineStr">
        <is>
          <t xml:space="preserve"> K2</t>
        </is>
      </c>
      <c r="BT346" s="11" t="inlineStr">
        <is>
          <t>Mindbender 85</t>
        </is>
      </c>
      <c r="BU346" s="13" t="n">
        <v>170</v>
      </c>
      <c r="BV346" s="11" t="inlineStr">
        <is>
          <t xml:space="preserve"> Unisex</t>
        </is>
      </c>
      <c r="BW346" s="13" t="n">
        <v>170</v>
      </c>
      <c r="BX346" s="13" t="n">
        <v>170.7</v>
      </c>
      <c r="BY346" s="13" t="n">
        <v>124</v>
      </c>
      <c r="BZ346" s="13" t="n">
        <v>141</v>
      </c>
      <c r="CA346" s="13" t="n">
        <v>129</v>
      </c>
      <c r="CB346" s="13" t="n">
        <v>84</v>
      </c>
      <c r="CC346" s="13" t="n">
        <v>112</v>
      </c>
      <c r="CD346" s="13" t="n">
        <v>13.1</v>
      </c>
      <c r="CE346" s="13" t="n">
        <v>1702</v>
      </c>
      <c r="CF346" s="13" t="n">
        <v>1</v>
      </c>
      <c r="CG346" s="13" t="n">
        <v>1694</v>
      </c>
      <c r="CH346" s="13" t="n">
        <v>181</v>
      </c>
      <c r="CI346" s="13" t="n">
        <v>97</v>
      </c>
      <c r="CJ346" s="13" t="n">
        <v>45</v>
      </c>
      <c r="CK346" s="13" t="n">
        <v>288</v>
      </c>
      <c r="CL346" s="13" t="n">
        <v>15</v>
      </c>
      <c r="CM346" s="13" t="n">
        <v>177</v>
      </c>
      <c r="CN346" s="13" t="n">
        <v>0.337</v>
      </c>
      <c r="CO346" s="13" t="n">
        <v>182</v>
      </c>
      <c r="CP346" s="13" t="n">
        <v>112</v>
      </c>
      <c r="CQ346" s="13" t="n">
        <v>107</v>
      </c>
      <c r="CR346" s="13" t="n">
        <v>7</v>
      </c>
      <c r="CS346" s="13" t="n">
        <v>10.8</v>
      </c>
      <c r="CT346" s="11" t="inlineStr">
        <is>
          <t xml:space="preserve"> On-Piste All-Mountain</t>
        </is>
      </c>
      <c r="CU346" s="11" t="inlineStr">
        <is>
          <t xml:space="preserve"> Resort Freeride</t>
        </is>
      </c>
      <c r="CV346" s="13" t="n"/>
      <c r="CW346" s="13" t="n"/>
      <c r="CX346">
        <f>INDEX('Data_Price '!AG$2:AG$1266,MATCH(Data!$DN346,'Data_Price '!$AT$2:$AT$1266,0))</f>
        <v/>
      </c>
      <c r="CY346">
        <f>INDEX('Data_Price '!AH$2:AH$1266,MATCH(Data!$DN346,'Data_Price '!$AT$2:$AT$1266,0))</f>
        <v/>
      </c>
      <c r="CZ346">
        <f>INDEX('Data_Price '!AI$2:AI$1266,MATCH(Data!$DN346,'Data_Price '!$AT$2:$AT$1266,0))</f>
        <v/>
      </c>
      <c r="DA346">
        <f>INDEX('Data_Price '!AJ$2:AJ$1266,MATCH(Data!$DN346,'Data_Price '!$AT$2:$AT$1266,0))</f>
        <v/>
      </c>
      <c r="DB346">
        <f>INDEX('Data_Price '!AK$2:AK$1266,MATCH(Data!$DN346,'Data_Price '!$AT$2:$AT$1266,0))</f>
        <v/>
      </c>
      <c r="DC346">
        <f>INDEX('Data_Price '!AL$2:AL$1266,MATCH(Data!$DN346,'Data_Price '!$AT$2:$AT$1266,0))</f>
        <v/>
      </c>
      <c r="DD346">
        <f>INDEX('Data_Price '!AM$2:AM$1266,MATCH(Data!$DN346,'Data_Price '!$AT$2:$AT$1266,0))</f>
        <v/>
      </c>
      <c r="DE346">
        <f>INDEX('Data_Price '!AN$2:AN$1266,MATCH(Data!$DN346,'Data_Price '!$AT$2:$AT$1266,0))</f>
        <v/>
      </c>
      <c r="DF346">
        <f>INDEX('Data_Price '!AO$2:AO$1266,MATCH(Data!$DN346,'Data_Price '!$AT$2:$AT$1266,0))</f>
        <v/>
      </c>
      <c r="DG346">
        <f>INDEX('Data_Price '!AP$2:AP$1266,MATCH(Data!$DN346,'Data_Price '!$AT$2:$AT$1266,0))</f>
        <v/>
      </c>
      <c r="DH346">
        <f>INDEX('Data_Price '!AQ$2:AQ$1266,MATCH(Data!$DN346,'Data_Price '!$AT$2:$AT$1266,0))</f>
        <v/>
      </c>
      <c r="DI346">
        <f>INDEX('Data_Price '!AR$2:AR$1266,MATCH(Data!$DN346,'Data_Price '!$AT$2:$AT$1266,0))</f>
        <v/>
      </c>
      <c r="DJ346" s="138">
        <f>DA346</f>
        <v/>
      </c>
      <c r="DK346" s="138">
        <f>DE346</f>
        <v/>
      </c>
      <c r="DL346" s="138">
        <f>DI346</f>
        <v/>
      </c>
      <c r="DM346" s="303">
        <f>IF(LEFT(BT346,1)=" ",RIGHT(BT346,LEN(BT346)-1),BT346)</f>
        <v/>
      </c>
      <c r="DN346" s="138">
        <f>_xlfn.CONCAT(BS346,DM346,BU346,BV346)</f>
        <v/>
      </c>
      <c r="DO346" s="307" t="inlineStr">
        <is>
          <t>https://images.evo.com/imgp/250/201044/824992/clone.jpg</t>
        </is>
      </c>
    </row>
    <row r="347" ht="15.6" customHeight="1" s="184">
      <c r="B347" s="303">
        <f t="array" ref="B347">IF(OR(ISERROR(K347:P347)),FALSE,TRUE)</f>
        <v/>
      </c>
      <c r="C347" s="60">
        <f>OR(BR347=Driver!$G$50,Data!BR198=Driver!$H$50)</f>
        <v/>
      </c>
      <c r="D347" s="60">
        <f>OR(BV347=Driver!$G$51,BV347=Driver!$H$51)</f>
        <v/>
      </c>
      <c r="E347" s="60">
        <f>AND(BX347&gt;Driver!$F$54,BX347&lt;Driver!$G$54)</f>
        <v/>
      </c>
      <c r="F347" s="60">
        <f>CL347&gt;Driver!$F$56</f>
        <v/>
      </c>
      <c r="G347" s="60">
        <f>AND(CB347&gt;Driver!$F$55,CB347&lt;Driver!$G$55)</f>
        <v/>
      </c>
      <c r="H347" s="60">
        <f>AND(B347:G347)</f>
        <v/>
      </c>
      <c r="I347" s="60">
        <f>COUNTIFS($H$9:$H$1273,TRUE,$BT$9:$BT$1273,BT347)</f>
        <v/>
      </c>
      <c r="J347" s="60">
        <f t="array" ref="J347">NOT(OR(($H$9:$H$1273=TRUE)*($I$9:$I$1273&gt;0)*($BT$9:$BT$1273=BT347)*($K$9:$K$1273&gt;K347)))</f>
        <v/>
      </c>
      <c r="K347" s="108">
        <f>IFERROR(1-AVERAGE(X347:Y347),"")</f>
        <v/>
      </c>
      <c r="L347" s="108">
        <f>1-X347</f>
        <v/>
      </c>
      <c r="M347" s="108">
        <f>1-Y347</f>
        <v/>
      </c>
      <c r="N347" s="108">
        <f>1-Z347</f>
        <v/>
      </c>
      <c r="O347" s="108">
        <f>1-AA347</f>
        <v/>
      </c>
      <c r="P347" s="108">
        <f>1-AB347</f>
        <v/>
      </c>
      <c r="Q347" s="108" t="n"/>
      <c r="R347" s="108" t="n"/>
      <c r="S347" s="108">
        <f>1-AE347</f>
        <v/>
      </c>
      <c r="T347" s="108">
        <f>1-AF347</f>
        <v/>
      </c>
      <c r="U347" s="108">
        <f>1-AG347</f>
        <v/>
      </c>
      <c r="V347" s="108">
        <f>1-AH347</f>
        <v/>
      </c>
      <c r="W347" s="108">
        <f>1-AI347</f>
        <v/>
      </c>
      <c r="X347" s="108">
        <f>ABS(AJ347-AJ$1)</f>
        <v/>
      </c>
      <c r="Y347" s="108">
        <f>AVERAGE(Z347:AB347)</f>
        <v/>
      </c>
      <c r="Z347" s="108">
        <f>ABS(AL347-AL$1)</f>
        <v/>
      </c>
      <c r="AA347" s="108">
        <f>ABS(AM347-AM$1)</f>
        <v/>
      </c>
      <c r="AB347" s="108">
        <f>ABS(AN347-AN$1)</f>
        <v/>
      </c>
      <c r="AC347" s="108" t="n"/>
      <c r="AD347" s="108" t="n"/>
      <c r="AE347" s="108">
        <f>ABS(AQ$1-AQ347)</f>
        <v/>
      </c>
      <c r="AF347" s="108">
        <f>ABS(AR$1-AR347)</f>
        <v/>
      </c>
      <c r="AG347" s="108">
        <f>ABS(AS$1-AS347)</f>
        <v/>
      </c>
      <c r="AH347" s="108">
        <f>ABS(AT$1-AT347)</f>
        <v/>
      </c>
      <c r="AI347" s="108">
        <f>ABS(AU$1-AU347)</f>
        <v/>
      </c>
      <c r="AJ347" s="108">
        <f>(AV347-Driver!$K$179)/(Driver!$L$179-Driver!$K$179)</f>
        <v/>
      </c>
      <c r="AK347" s="108">
        <f>(AW347-Driver!$K$180)/(Driver!$L$180-Driver!$K$180)</f>
        <v/>
      </c>
      <c r="AL347" s="108">
        <f>(AX347-Driver!$K$181)/(Driver!$L$181-Driver!$K$181)</f>
        <v/>
      </c>
      <c r="AM347" s="108">
        <f>(AY347-Driver!$K$182)/(Driver!$L$182-Driver!$K$182)</f>
        <v/>
      </c>
      <c r="AN347" s="108">
        <f>(AZ347-Driver!$K$183)/(Driver!$L$183-Driver!$K$183)</f>
        <v/>
      </c>
      <c r="AO347" s="108" t="n"/>
      <c r="AP347" s="108" t="n"/>
      <c r="AQ347" s="108">
        <f>(BC347-Driver!$K$188)/(Driver!$L$188-Driver!$K$188)</f>
        <v/>
      </c>
      <c r="AR347" s="108">
        <f>MIN((BD347-Driver!$K$189)/(Driver!$L$189-Driver!$K$189),100%)</f>
        <v/>
      </c>
      <c r="AS347" s="108">
        <f>(BE347-Driver!$K$190)/(Driver!$L$190-Driver!$K$190)</f>
        <v/>
      </c>
      <c r="AT347" s="108">
        <f>(BF347-Driver!$K$191)/(Driver!$L$191-Driver!$K$191)</f>
        <v/>
      </c>
      <c r="AU347" s="108">
        <f>(BG347-Driver!$K$192)/(Driver!$L$192-Driver!$K$192)</f>
        <v/>
      </c>
      <c r="AV347" s="105">
        <f>IFERROR(BM347*BJ347^1/4,"")</f>
        <v/>
      </c>
      <c r="AW347" s="105">
        <f>IFERROR(SUM(AX347:AZ347),"")</f>
        <v/>
      </c>
      <c r="AX347" s="105">
        <f>IFERROR(BH347,"")</f>
        <v/>
      </c>
      <c r="AY347" s="105">
        <f>IFERROR(Driver!$K$19/Data!BH347/Data!BI347*Data!BK347*Data!BL347,"")</f>
        <v/>
      </c>
      <c r="AZ347" s="105">
        <f>IFERROR(BI347*BN347,"")</f>
        <v/>
      </c>
      <c r="BA347" s="105" t="n"/>
      <c r="BB347" s="105" t="n"/>
      <c r="BC347" s="105">
        <f>IFERROR(BI347*BN347*BK347/BJ347^(1/2),"")</f>
        <v/>
      </c>
      <c r="BD347" s="105">
        <f>IFERROR(BH347*BM347*BL347/BJ347/BK347,"")</f>
        <v/>
      </c>
      <c r="BE347" s="105">
        <f>IFERROR(MIN(BI347/BQ347/BP347/BO347/BH347,$BE$1),"")</f>
        <v/>
      </c>
      <c r="BF347" s="105">
        <f>IFERROR(BJ347*BO347*BP347/BK347,"")</f>
        <v/>
      </c>
      <c r="BG347" s="105">
        <f>IFERROR(1/BM347/BH347*BQ347,"")</f>
        <v/>
      </c>
      <c r="BH347" s="102">
        <f>MAX((CE347-Driver!$F$200)/(Driver!$G$200-Driver!$F$200)*$BI$1,1)</f>
        <v/>
      </c>
      <c r="BI347" s="102">
        <f>MAX($BI$1*(BY347-Driver!$F$201)/(Driver!$G$201-Driver!$F$201),1)</f>
        <v/>
      </c>
      <c r="BJ347" s="102">
        <f>(CB347-Driver!$F$206)/(Driver!$G$206-Driver!$F$206)*$BI$1</f>
        <v/>
      </c>
      <c r="BK347" s="102">
        <f>(CD347-Driver!$F$203)/(Driver!$G$203-Driver!$F$203)*$BI$1</f>
        <v/>
      </c>
      <c r="BL347" s="102">
        <f>MAX((CR347-Driver!$F$202)/(Driver!$G$202-Driver!$F$202)*$BI$1,1)</f>
        <v/>
      </c>
      <c r="BM347" s="102">
        <f>MAX((CH347-Driver!$F$204)/(Driver!$G$204-Driver!$F$204)*$BI$1,1)</f>
        <v/>
      </c>
      <c r="BN347" s="102">
        <f>(CI347-Driver!$F$205)/(Driver!$G$205-Driver!$F$205)*$BI$1</f>
        <v/>
      </c>
      <c r="BO347" s="102">
        <f>(CK347-Driver!$F$207)/(Driver!$G$207-Driver!$F$207)*$BI$1</f>
        <v/>
      </c>
      <c r="BP347" s="102">
        <f>(CM347-Driver!$F$208)/(Driver!$G$208-Driver!$F$208)*$BI$1</f>
        <v/>
      </c>
      <c r="BQ347" s="102">
        <f>(CL347-Driver!$F$209)/(Driver!$G$209-Driver!$F$209)*$BI$1</f>
        <v/>
      </c>
      <c r="BR347" s="40" t="inlineStr">
        <is>
          <t>21/22</t>
        </is>
      </c>
      <c r="BS347" s="10" t="inlineStr">
        <is>
          <t xml:space="preserve"> Black Crows</t>
        </is>
      </c>
      <c r="BT347" s="11" t="inlineStr">
        <is>
          <t xml:space="preserve"> Atris</t>
        </is>
      </c>
      <c r="BU347" s="13" t="n">
        <v>184.2</v>
      </c>
      <c r="BV347" s="11" t="inlineStr">
        <is>
          <t xml:space="preserve"> Unisex</t>
        </is>
      </c>
      <c r="BW347" s="13" t="n">
        <v>184.2</v>
      </c>
      <c r="BX347" s="13" t="n">
        <v>182.7</v>
      </c>
      <c r="BY347" s="13" t="n">
        <v>121</v>
      </c>
      <c r="BZ347" s="13" t="n">
        <v>148</v>
      </c>
      <c r="CA347" s="13" t="n">
        <v>138</v>
      </c>
      <c r="CB347" s="13" t="n">
        <v>107</v>
      </c>
      <c r="CC347" s="13" t="n">
        <v>125</v>
      </c>
      <c r="CD347" s="13" t="n">
        <v>20.4</v>
      </c>
      <c r="CE347" s="13" t="n">
        <v>2066</v>
      </c>
      <c r="CF347" s="13" t="n">
        <v>1.04</v>
      </c>
      <c r="CG347" s="13" t="n">
        <v>2146</v>
      </c>
      <c r="CH347" s="13" t="n">
        <v>247</v>
      </c>
      <c r="CI347" s="13" t="n">
        <v>99</v>
      </c>
      <c r="CJ347" s="13" t="n">
        <v>57</v>
      </c>
      <c r="CK347" s="13" t="n">
        <v>356</v>
      </c>
      <c r="CL347" s="13" t="n">
        <v>32</v>
      </c>
      <c r="CM347" s="13" t="n">
        <v>260</v>
      </c>
      <c r="CN347" s="13" t="n">
        <v>0.5600000000000001</v>
      </c>
      <c r="CO347" s="13" t="n">
        <v>227</v>
      </c>
      <c r="CP347" s="13" t="n">
        <v>121</v>
      </c>
      <c r="CQ347" s="13" t="n">
        <v>128</v>
      </c>
      <c r="CR347" s="13" t="n">
        <v>3</v>
      </c>
      <c r="CS347" s="13" t="n">
        <v>7.9</v>
      </c>
      <c r="CT347" s="11" t="inlineStr">
        <is>
          <t xml:space="preserve"> Powder</t>
        </is>
      </c>
      <c r="CU347" s="13" t="n"/>
      <c r="CV347" s="13" t="n"/>
      <c r="CW347" s="13" t="n"/>
      <c r="CX347">
        <f>INDEX('Data_Price '!AG$2:AG$1266,MATCH(Data!$DN347,'Data_Price '!$AT$2:$AT$1266,0))</f>
        <v/>
      </c>
      <c r="CY347">
        <f>INDEX('Data_Price '!AH$2:AH$1266,MATCH(Data!$DN347,'Data_Price '!$AT$2:$AT$1266,0))</f>
        <v/>
      </c>
      <c r="CZ347">
        <f>INDEX('Data_Price '!AI$2:AI$1266,MATCH(Data!$DN347,'Data_Price '!$AT$2:$AT$1266,0))</f>
        <v/>
      </c>
      <c r="DA347">
        <f>INDEX('Data_Price '!AJ$2:AJ$1266,MATCH(Data!$DN347,'Data_Price '!$AT$2:$AT$1266,0))</f>
        <v/>
      </c>
      <c r="DB347">
        <f>INDEX('Data_Price '!AK$2:AK$1266,MATCH(Data!$DN347,'Data_Price '!$AT$2:$AT$1266,0))</f>
        <v/>
      </c>
      <c r="DC347">
        <f>INDEX('Data_Price '!AL$2:AL$1266,MATCH(Data!$DN347,'Data_Price '!$AT$2:$AT$1266,0))</f>
        <v/>
      </c>
      <c r="DD347">
        <f>INDEX('Data_Price '!AM$2:AM$1266,MATCH(Data!$DN347,'Data_Price '!$AT$2:$AT$1266,0))</f>
        <v/>
      </c>
      <c r="DE347">
        <f>INDEX('Data_Price '!AN$2:AN$1266,MATCH(Data!$DN347,'Data_Price '!$AT$2:$AT$1266,0))</f>
        <v/>
      </c>
      <c r="DF347">
        <f>INDEX('Data_Price '!AO$2:AO$1266,MATCH(Data!$DN347,'Data_Price '!$AT$2:$AT$1266,0))</f>
        <v/>
      </c>
      <c r="DG347">
        <f>INDEX('Data_Price '!AP$2:AP$1266,MATCH(Data!$DN347,'Data_Price '!$AT$2:$AT$1266,0))</f>
        <v/>
      </c>
      <c r="DH347">
        <f>INDEX('Data_Price '!AQ$2:AQ$1266,MATCH(Data!$DN347,'Data_Price '!$AT$2:$AT$1266,0))</f>
        <v/>
      </c>
      <c r="DI347">
        <f>INDEX('Data_Price '!AR$2:AR$1266,MATCH(Data!$DN347,'Data_Price '!$AT$2:$AT$1266,0))</f>
        <v/>
      </c>
      <c r="DJ347" s="138">
        <f>DA347</f>
        <v/>
      </c>
      <c r="DK347" s="138">
        <f>DE347</f>
        <v/>
      </c>
      <c r="DL347" s="138">
        <f>DI347</f>
        <v/>
      </c>
      <c r="DM347" s="303">
        <f>IF(LEFT(BT347,1)=" ",RIGHT(BT347,LEN(BT347)-1),BT347)</f>
        <v/>
      </c>
      <c r="DN347" s="138">
        <f>_xlfn.CONCAT(BS347,DM347,BU347,BV347)</f>
        <v/>
      </c>
      <c r="DO347" s="307" t="inlineStr">
        <is>
          <t>https://images.evo.com/imgp/250/181603/727242/black-crows-atris-skis-2022-.jpg</t>
        </is>
      </c>
    </row>
    <row r="348" ht="15.6" customHeight="1" s="184">
      <c r="B348" s="303">
        <f t="array" ref="B348">IF(OR(ISERROR(K348:P348)),FALSE,TRUE)</f>
        <v/>
      </c>
      <c r="C348" s="60">
        <f>OR(BR348=Driver!$G$50,Data!BR1044=Driver!$H$50)</f>
        <v/>
      </c>
      <c r="D348" s="60">
        <f>OR(BV348=Driver!$G$51,BV348=Driver!$H$51)</f>
        <v/>
      </c>
      <c r="E348" s="60">
        <f>AND(BX348&gt;Driver!$F$54,BX348&lt;Driver!$G$54)</f>
        <v/>
      </c>
      <c r="F348" s="60">
        <f>CL348&gt;Driver!$F$56</f>
        <v/>
      </c>
      <c r="G348" s="60">
        <f>AND(CB348&gt;Driver!$F$55,CB348&lt;Driver!$G$55)</f>
        <v/>
      </c>
      <c r="H348" s="60">
        <f>AND(B348:G348)</f>
        <v/>
      </c>
      <c r="I348" s="60">
        <f>COUNTIFS($H$9:$H$1273,TRUE,$BT$9:$BT$1273,BT348)</f>
        <v/>
      </c>
      <c r="J348" s="60">
        <f t="array" ref="J348">NOT(OR(($H$9:$H$1273=TRUE)*($I$9:$I$1273&gt;0)*($BT$9:$BT$1273=BT348)*($K$9:$K$1273&gt;K348)))</f>
        <v/>
      </c>
      <c r="K348" s="108">
        <f>IFERROR(1-AVERAGE(X348:Y348),"")</f>
        <v/>
      </c>
      <c r="L348" s="108">
        <f>1-X348</f>
        <v/>
      </c>
      <c r="M348" s="108">
        <f>1-Y348</f>
        <v/>
      </c>
      <c r="N348" s="108">
        <f>1-Z348</f>
        <v/>
      </c>
      <c r="O348" s="108">
        <f>1-AA348</f>
        <v/>
      </c>
      <c r="P348" s="108">
        <f>1-AB348</f>
        <v/>
      </c>
      <c r="Q348" s="108" t="n"/>
      <c r="R348" s="108" t="n"/>
      <c r="S348" s="108">
        <f>1-AE348</f>
        <v/>
      </c>
      <c r="T348" s="108">
        <f>1-AF348</f>
        <v/>
      </c>
      <c r="U348" s="108">
        <f>1-AG348</f>
        <v/>
      </c>
      <c r="V348" s="108">
        <f>1-AH348</f>
        <v/>
      </c>
      <c r="W348" s="108">
        <f>1-AI348</f>
        <v/>
      </c>
      <c r="X348" s="108">
        <f>ABS(AJ348-AJ$1)</f>
        <v/>
      </c>
      <c r="Y348" s="108">
        <f>AVERAGE(Z348:AB348)</f>
        <v/>
      </c>
      <c r="Z348" s="108">
        <f>ABS(AL348-AL$1)</f>
        <v/>
      </c>
      <c r="AA348" s="108">
        <f>ABS(AM348-AM$1)</f>
        <v/>
      </c>
      <c r="AB348" s="108">
        <f>ABS(AN348-AN$1)</f>
        <v/>
      </c>
      <c r="AC348" s="108" t="n"/>
      <c r="AD348" s="108" t="n"/>
      <c r="AE348" s="108">
        <f>ABS(AQ$1-AQ348)</f>
        <v/>
      </c>
      <c r="AF348" s="108">
        <f>ABS(AR$1-AR348)</f>
        <v/>
      </c>
      <c r="AG348" s="108">
        <f>ABS(AS$1-AS348)</f>
        <v/>
      </c>
      <c r="AH348" s="108">
        <f>ABS(AT$1-AT348)</f>
        <v/>
      </c>
      <c r="AI348" s="108">
        <f>ABS(AU$1-AU348)</f>
        <v/>
      </c>
      <c r="AJ348" s="108">
        <f>(AV348-Driver!$K$179)/(Driver!$L$179-Driver!$K$179)</f>
        <v/>
      </c>
      <c r="AK348" s="108">
        <f>(AW348-Driver!$K$180)/(Driver!$L$180-Driver!$K$180)</f>
        <v/>
      </c>
      <c r="AL348" s="108">
        <f>(AX348-Driver!$K$181)/(Driver!$L$181-Driver!$K$181)</f>
        <v/>
      </c>
      <c r="AM348" s="108">
        <f>(AY348-Driver!$K$182)/(Driver!$L$182-Driver!$K$182)</f>
        <v/>
      </c>
      <c r="AN348" s="108">
        <f>(AZ348-Driver!$K$183)/(Driver!$L$183-Driver!$K$183)</f>
        <v/>
      </c>
      <c r="AO348" s="108" t="n"/>
      <c r="AP348" s="108" t="n"/>
      <c r="AQ348" s="108">
        <f>(BC348-Driver!$K$188)/(Driver!$L$188-Driver!$K$188)</f>
        <v/>
      </c>
      <c r="AR348" s="108">
        <f>MIN((BD348-Driver!$K$189)/(Driver!$L$189-Driver!$K$189),100%)</f>
        <v/>
      </c>
      <c r="AS348" s="108">
        <f>(BE348-Driver!$K$190)/(Driver!$L$190-Driver!$K$190)</f>
        <v/>
      </c>
      <c r="AT348" s="108">
        <f>(BF348-Driver!$K$191)/(Driver!$L$191-Driver!$K$191)</f>
        <v/>
      </c>
      <c r="AU348" s="108">
        <f>(BG348-Driver!$K$192)/(Driver!$L$192-Driver!$K$192)</f>
        <v/>
      </c>
      <c r="AV348" s="105">
        <f>IFERROR(BM348*BJ348^1/4,"")</f>
        <v/>
      </c>
      <c r="AW348" s="105">
        <f>IFERROR(SUM(AX348:AZ348),"")</f>
        <v/>
      </c>
      <c r="AX348" s="105">
        <f>IFERROR(BH348,"")</f>
        <v/>
      </c>
      <c r="AY348" s="105">
        <f>IFERROR(Driver!$K$19/Data!BH348/Data!BI348*Data!BK348*Data!BL348,"")</f>
        <v/>
      </c>
      <c r="AZ348" s="105">
        <f>IFERROR(BI348*BN348,"")</f>
        <v/>
      </c>
      <c r="BA348" s="105" t="n"/>
      <c r="BB348" s="105" t="n"/>
      <c r="BC348" s="105">
        <f>IFERROR(BI348*BN348*BK348/BJ348^(1/2),"")</f>
        <v/>
      </c>
      <c r="BD348" s="105">
        <f>IFERROR(BH348*BM348*BL348/BJ348/BK348,"")</f>
        <v/>
      </c>
      <c r="BE348" s="105">
        <f>IFERROR(MIN(BI348/BQ348/BP348/BO348/BH348,$BE$1),"")</f>
        <v/>
      </c>
      <c r="BF348" s="105">
        <f>IFERROR(BJ348*BO348*BP348/BK348,"")</f>
        <v/>
      </c>
      <c r="BG348" s="105">
        <f>IFERROR(1/BM348/BH348*BQ348,"")</f>
        <v/>
      </c>
      <c r="BH348" s="102">
        <f>MAX((CE348-Driver!$F$200)/(Driver!$G$200-Driver!$F$200)*$BI$1,1)</f>
        <v/>
      </c>
      <c r="BI348" s="102">
        <f>MAX($BI$1*(BY348-Driver!$F$201)/(Driver!$G$201-Driver!$F$201),1)</f>
        <v/>
      </c>
      <c r="BJ348" s="102">
        <f>(CB348-Driver!$F$206)/(Driver!$G$206-Driver!$F$206)*$BI$1</f>
        <v/>
      </c>
      <c r="BK348" s="102">
        <f>(CD348-Driver!$F$203)/(Driver!$G$203-Driver!$F$203)*$BI$1</f>
        <v/>
      </c>
      <c r="BL348" s="102">
        <f>MAX((CR348-Driver!$F$202)/(Driver!$G$202-Driver!$F$202)*$BI$1,1)</f>
        <v/>
      </c>
      <c r="BM348" s="102">
        <f>MAX((CH348-Driver!$F$204)/(Driver!$G$204-Driver!$F$204)*$BI$1,1)</f>
        <v/>
      </c>
      <c r="BN348" s="102">
        <f>(CI348-Driver!$F$205)/(Driver!$G$205-Driver!$F$205)*$BI$1</f>
        <v/>
      </c>
      <c r="BO348" s="102">
        <f>(CK348-Driver!$F$207)/(Driver!$G$207-Driver!$F$207)*$BI$1</f>
        <v/>
      </c>
      <c r="BP348" s="102">
        <f>(CM348-Driver!$F$208)/(Driver!$G$208-Driver!$F$208)*$BI$1</f>
        <v/>
      </c>
      <c r="BQ348" s="102">
        <f>(CL348-Driver!$F$209)/(Driver!$G$209-Driver!$F$209)*$BI$1</f>
        <v/>
      </c>
      <c r="BR348" s="40" t="inlineStr">
        <is>
          <t>21/22</t>
        </is>
      </c>
      <c r="BS348" s="10" t="inlineStr">
        <is>
          <t xml:space="preserve"> Rossignol</t>
        </is>
      </c>
      <c r="BT348" s="11" t="inlineStr">
        <is>
          <t>Nova 10 Ti</t>
        </is>
      </c>
      <c r="BU348" s="13" t="n">
        <v>160</v>
      </c>
      <c r="BV348" s="11" t="inlineStr">
        <is>
          <t xml:space="preserve"> Women's</t>
        </is>
      </c>
      <c r="BW348" s="13" t="n">
        <v>160</v>
      </c>
      <c r="BX348" s="13" t="n">
        <v>158.7</v>
      </c>
      <c r="BY348" s="13" t="n">
        <v>135</v>
      </c>
      <c r="BZ348" s="13" t="n">
        <v>145</v>
      </c>
      <c r="CA348" s="13" t="n">
        <v>122</v>
      </c>
      <c r="CB348" s="13" t="n">
        <v>73</v>
      </c>
      <c r="CC348" s="13" t="n">
        <v>108</v>
      </c>
      <c r="CD348" s="13" t="n">
        <v>12.3</v>
      </c>
      <c r="CE348" s="13" t="n">
        <v>1660</v>
      </c>
      <c r="CF348" s="13" t="n">
        <v>0.85</v>
      </c>
      <c r="CG348" s="13" t="n">
        <v>1414</v>
      </c>
      <c r="CH348" s="13" t="n">
        <v>171</v>
      </c>
      <c r="CI348" s="13" t="n">
        <v>72</v>
      </c>
      <c r="CJ348" s="13" t="n">
        <v>39</v>
      </c>
      <c r="CK348" s="13" t="n">
        <v>169</v>
      </c>
      <c r="CL348" s="13" t="n">
        <v>5</v>
      </c>
      <c r="CM348" s="13" t="n">
        <v>67</v>
      </c>
      <c r="CN348" s="13" t="n">
        <v>0.119</v>
      </c>
      <c r="CO348" s="13" t="n">
        <v>80</v>
      </c>
      <c r="CP348" s="13" t="n">
        <v>61</v>
      </c>
      <c r="CQ348" s="13" t="n">
        <v>90</v>
      </c>
      <c r="CR348" s="13" t="n">
        <v>9</v>
      </c>
      <c r="CS348" s="13" t="n">
        <v>9.4</v>
      </c>
      <c r="CT348" s="11" t="inlineStr">
        <is>
          <t xml:space="preserve"> On-Piste Carving</t>
        </is>
      </c>
      <c r="CU348" s="13" t="n"/>
      <c r="CV348" s="13" t="n"/>
      <c r="CW348" s="13" t="n"/>
      <c r="CX348">
        <f>INDEX('Data_Price '!AG$2:AG$1266,MATCH(Data!$DN348,'Data_Price '!$AT$2:$AT$1266,0))</f>
        <v/>
      </c>
      <c r="CY348">
        <f>INDEX('Data_Price '!AH$2:AH$1266,MATCH(Data!$DN348,'Data_Price '!$AT$2:$AT$1266,0))</f>
        <v/>
      </c>
      <c r="CZ348">
        <f>INDEX('Data_Price '!AI$2:AI$1266,MATCH(Data!$DN348,'Data_Price '!$AT$2:$AT$1266,0))</f>
        <v/>
      </c>
      <c r="DA348">
        <f>INDEX('Data_Price '!AJ$2:AJ$1266,MATCH(Data!$DN348,'Data_Price '!$AT$2:$AT$1266,0))</f>
        <v/>
      </c>
      <c r="DB348">
        <f>INDEX('Data_Price '!AK$2:AK$1266,MATCH(Data!$DN348,'Data_Price '!$AT$2:$AT$1266,0))</f>
        <v/>
      </c>
      <c r="DC348">
        <f>INDEX('Data_Price '!AL$2:AL$1266,MATCH(Data!$DN348,'Data_Price '!$AT$2:$AT$1266,0))</f>
        <v/>
      </c>
      <c r="DD348">
        <f>INDEX('Data_Price '!AM$2:AM$1266,MATCH(Data!$DN348,'Data_Price '!$AT$2:$AT$1266,0))</f>
        <v/>
      </c>
      <c r="DE348">
        <f>INDEX('Data_Price '!AN$2:AN$1266,MATCH(Data!$DN348,'Data_Price '!$AT$2:$AT$1266,0))</f>
        <v/>
      </c>
      <c r="DF348">
        <f>INDEX('Data_Price '!AO$2:AO$1266,MATCH(Data!$DN348,'Data_Price '!$AT$2:$AT$1266,0))</f>
        <v/>
      </c>
      <c r="DG348">
        <f>INDEX('Data_Price '!AP$2:AP$1266,MATCH(Data!$DN348,'Data_Price '!$AT$2:$AT$1266,0))</f>
        <v/>
      </c>
      <c r="DH348">
        <f>INDEX('Data_Price '!AQ$2:AQ$1266,MATCH(Data!$DN348,'Data_Price '!$AT$2:$AT$1266,0))</f>
        <v/>
      </c>
      <c r="DI348">
        <f>INDEX('Data_Price '!AR$2:AR$1266,MATCH(Data!$DN348,'Data_Price '!$AT$2:$AT$1266,0))</f>
        <v/>
      </c>
      <c r="DJ348" s="138">
        <f>DA348</f>
        <v/>
      </c>
      <c r="DK348" s="138">
        <f>DE348</f>
        <v/>
      </c>
      <c r="DL348" s="138">
        <f>DI348</f>
        <v/>
      </c>
      <c r="DM348" s="303">
        <f>IF(LEFT(BT348,1)=" ",RIGHT(BT348,LEN(BT348)-1),BT348)</f>
        <v/>
      </c>
      <c r="DN348" s="138">
        <f>_xlfn.CONCAT(BS348,DM348,BU348,BV348)</f>
        <v/>
      </c>
      <c r="DO348" s="307" t="n"/>
    </row>
    <row r="349" ht="15.6" customHeight="1" s="184">
      <c r="B349" s="303">
        <f t="array" ref="B349">IF(OR(ISERROR(K349:P349)),FALSE,TRUE)</f>
        <v/>
      </c>
      <c r="C349" s="60">
        <f>OR(BR349=Driver!$G$50,Data!BR446=Driver!$H$50)</f>
        <v/>
      </c>
      <c r="D349" s="60">
        <f>OR(BV349=Driver!$G$51,BV349=Driver!$H$51)</f>
        <v/>
      </c>
      <c r="E349" s="60">
        <f>AND(BX349&gt;Driver!$F$54,BX349&lt;Driver!$G$54)</f>
        <v/>
      </c>
      <c r="F349" s="60">
        <f>CL349&gt;Driver!$F$56</f>
        <v/>
      </c>
      <c r="G349" s="60">
        <f>AND(CB349&gt;Driver!$F$55,CB349&lt;Driver!$G$55)</f>
        <v/>
      </c>
      <c r="H349" s="60">
        <f>AND(B349:G349)</f>
        <v/>
      </c>
      <c r="I349" s="60">
        <f>COUNTIFS($H$9:$H$1273,TRUE,$BT$9:$BT$1273,BT349)</f>
        <v/>
      </c>
      <c r="J349" s="60">
        <f t="array" ref="J349">NOT(OR(($H$9:$H$1273=TRUE)*($I$9:$I$1273&gt;0)*($BT$9:$BT$1273=BT349)*($K$9:$K$1273&gt;K349)))</f>
        <v/>
      </c>
      <c r="K349" s="108">
        <f>IFERROR(1-AVERAGE(X349:Y349),"")</f>
        <v/>
      </c>
      <c r="L349" s="108">
        <f>1-X349</f>
        <v/>
      </c>
      <c r="M349" s="108">
        <f>1-Y349</f>
        <v/>
      </c>
      <c r="N349" s="108">
        <f>1-Z349</f>
        <v/>
      </c>
      <c r="O349" s="108">
        <f>1-AA349</f>
        <v/>
      </c>
      <c r="P349" s="108">
        <f>1-AB349</f>
        <v/>
      </c>
      <c r="Q349" s="108" t="n"/>
      <c r="R349" s="108" t="n"/>
      <c r="S349" s="108">
        <f>1-AE349</f>
        <v/>
      </c>
      <c r="T349" s="108">
        <f>1-AF349</f>
        <v/>
      </c>
      <c r="U349" s="108">
        <f>1-AG349</f>
        <v/>
      </c>
      <c r="V349" s="108">
        <f>1-AH349</f>
        <v/>
      </c>
      <c r="W349" s="108">
        <f>1-AI349</f>
        <v/>
      </c>
      <c r="X349" s="108">
        <f>ABS(AJ349-AJ$1)</f>
        <v/>
      </c>
      <c r="Y349" s="108">
        <f>AVERAGE(Z349:AB349)</f>
        <v/>
      </c>
      <c r="Z349" s="108">
        <f>ABS(AL349-AL$1)</f>
        <v/>
      </c>
      <c r="AA349" s="108">
        <f>ABS(AM349-AM$1)</f>
        <v/>
      </c>
      <c r="AB349" s="108">
        <f>ABS(AN349-AN$1)</f>
        <v/>
      </c>
      <c r="AC349" s="108" t="n"/>
      <c r="AD349" s="108" t="n"/>
      <c r="AE349" s="108">
        <f>ABS(AQ$1-AQ349)</f>
        <v/>
      </c>
      <c r="AF349" s="108">
        <f>ABS(AR$1-AR349)</f>
        <v/>
      </c>
      <c r="AG349" s="108">
        <f>ABS(AS$1-AS349)</f>
        <v/>
      </c>
      <c r="AH349" s="108">
        <f>ABS(AT$1-AT349)</f>
        <v/>
      </c>
      <c r="AI349" s="108">
        <f>ABS(AU$1-AU349)</f>
        <v/>
      </c>
      <c r="AJ349" s="108">
        <f>(AV349-Driver!$K$179)/(Driver!$L$179-Driver!$K$179)</f>
        <v/>
      </c>
      <c r="AK349" s="108">
        <f>(AW349-Driver!$K$180)/(Driver!$L$180-Driver!$K$180)</f>
        <v/>
      </c>
      <c r="AL349" s="108">
        <f>(AX349-Driver!$K$181)/(Driver!$L$181-Driver!$K$181)</f>
        <v/>
      </c>
      <c r="AM349" s="108">
        <f>(AY349-Driver!$K$182)/(Driver!$L$182-Driver!$K$182)</f>
        <v/>
      </c>
      <c r="AN349" s="108">
        <f>(AZ349-Driver!$K$183)/(Driver!$L$183-Driver!$K$183)</f>
        <v/>
      </c>
      <c r="AO349" s="108" t="n"/>
      <c r="AP349" s="108" t="n"/>
      <c r="AQ349" s="108">
        <f>(BC349-Driver!$K$188)/(Driver!$L$188-Driver!$K$188)</f>
        <v/>
      </c>
      <c r="AR349" s="108">
        <f>MIN((BD349-Driver!$K$189)/(Driver!$L$189-Driver!$K$189),100%)</f>
        <v/>
      </c>
      <c r="AS349" s="108">
        <f>(BE349-Driver!$K$190)/(Driver!$L$190-Driver!$K$190)</f>
        <v/>
      </c>
      <c r="AT349" s="108">
        <f>(BF349-Driver!$K$191)/(Driver!$L$191-Driver!$K$191)</f>
        <v/>
      </c>
      <c r="AU349" s="108">
        <f>(BG349-Driver!$K$192)/(Driver!$L$192-Driver!$K$192)</f>
        <v/>
      </c>
      <c r="AV349" s="105">
        <f>IFERROR(BM349*BJ349^1/4,"")</f>
        <v/>
      </c>
      <c r="AW349" s="105">
        <f>IFERROR(SUM(AX349:AZ349),"")</f>
        <v/>
      </c>
      <c r="AX349" s="105">
        <f>IFERROR(BH349,"")</f>
        <v/>
      </c>
      <c r="AY349" s="105">
        <f>IFERROR(Driver!$K$19/Data!BH349/Data!BI349*Data!BK349*Data!BL349,"")</f>
        <v/>
      </c>
      <c r="AZ349" s="105">
        <f>IFERROR(BI349*BN349,"")</f>
        <v/>
      </c>
      <c r="BA349" s="105" t="n"/>
      <c r="BB349" s="105" t="n"/>
      <c r="BC349" s="105">
        <f>IFERROR(BI349*BN349*BK349/BJ349^(1/2),"")</f>
        <v/>
      </c>
      <c r="BD349" s="105">
        <f>IFERROR(BH349*BM349*BL349/BJ349/BK349,"")</f>
        <v/>
      </c>
      <c r="BE349" s="105">
        <f>IFERROR(MIN(BI349/BQ349/BP349/BO349/BH349,$BE$1),"")</f>
        <v/>
      </c>
      <c r="BF349" s="105">
        <f>IFERROR(BJ349*BO349*BP349/BK349,"")</f>
        <v/>
      </c>
      <c r="BG349" s="105">
        <f>IFERROR(1/BM349/BH349*BQ349,"")</f>
        <v/>
      </c>
      <c r="BH349" s="102">
        <f>MAX((CE349-Driver!$F$200)/(Driver!$G$200-Driver!$F$200)*$BI$1,1)</f>
        <v/>
      </c>
      <c r="BI349" s="102">
        <f>MAX($BI$1*(BY349-Driver!$F$201)/(Driver!$G$201-Driver!$F$201),1)</f>
        <v/>
      </c>
      <c r="BJ349" s="102">
        <f>(CB349-Driver!$F$206)/(Driver!$G$206-Driver!$F$206)*$BI$1</f>
        <v/>
      </c>
      <c r="BK349" s="102">
        <f>(CD349-Driver!$F$203)/(Driver!$G$203-Driver!$F$203)*$BI$1</f>
        <v/>
      </c>
      <c r="BL349" s="102">
        <f>MAX((CR349-Driver!$F$202)/(Driver!$G$202-Driver!$F$202)*$BI$1,1)</f>
        <v/>
      </c>
      <c r="BM349" s="102">
        <f>MAX((CH349-Driver!$F$204)/(Driver!$G$204-Driver!$F$204)*$BI$1,1)</f>
        <v/>
      </c>
      <c r="BN349" s="102">
        <f>(CI349-Driver!$F$205)/(Driver!$G$205-Driver!$F$205)*$BI$1</f>
        <v/>
      </c>
      <c r="BO349" s="102">
        <f>(CK349-Driver!$F$207)/(Driver!$G$207-Driver!$F$207)*$BI$1</f>
        <v/>
      </c>
      <c r="BP349" s="102">
        <f>(CM349-Driver!$F$208)/(Driver!$G$208-Driver!$F$208)*$BI$1</f>
        <v/>
      </c>
      <c r="BQ349" s="102">
        <f>(CL349-Driver!$F$209)/(Driver!$G$209-Driver!$F$209)*$BI$1</f>
        <v/>
      </c>
      <c r="BR349" s="40" t="inlineStr">
        <is>
          <t>21/22</t>
        </is>
      </c>
      <c r="BS349" s="10" t="inlineStr">
        <is>
          <t xml:space="preserve"> Elan</t>
        </is>
      </c>
      <c r="BT349" s="11" t="inlineStr">
        <is>
          <t>Ripstick 106</t>
        </is>
      </c>
      <c r="BU349" s="13" t="n">
        <v>180</v>
      </c>
      <c r="BV349" s="11" t="inlineStr">
        <is>
          <t xml:space="preserve"> Unisex</t>
        </is>
      </c>
      <c r="BW349" s="13" t="n">
        <v>180</v>
      </c>
      <c r="BX349" s="13" t="n">
        <v>177.3</v>
      </c>
      <c r="BY349" s="13" t="n">
        <v>125</v>
      </c>
      <c r="BZ349" s="13" t="n">
        <v>142</v>
      </c>
      <c r="CA349" s="13" t="n">
        <v>143</v>
      </c>
      <c r="CB349" s="13" t="n">
        <v>104</v>
      </c>
      <c r="CC349" s="13" t="n">
        <v>119</v>
      </c>
      <c r="CD349" s="13" t="n">
        <v>18.3</v>
      </c>
      <c r="CE349" s="13" t="n">
        <v>1799</v>
      </c>
      <c r="CF349" s="13" t="n">
        <v>1.14</v>
      </c>
      <c r="CG349" s="13" t="n">
        <v>2050</v>
      </c>
      <c r="CH349" s="13" t="n">
        <v>242</v>
      </c>
      <c r="CI349" s="13" t="n">
        <v>109</v>
      </c>
      <c r="CJ349" s="13" t="n">
        <v>52</v>
      </c>
      <c r="CK349" s="13" t="n">
        <v>310</v>
      </c>
      <c r="CL349" s="13" t="n">
        <v>17</v>
      </c>
      <c r="CM349" s="13" t="n">
        <v>213</v>
      </c>
      <c r="CN349" s="13" t="n">
        <v>0.324</v>
      </c>
      <c r="CO349" s="13" t="n">
        <v>176</v>
      </c>
      <c r="CP349" s="13" t="n">
        <v>180</v>
      </c>
      <c r="CQ349" s="13" t="n">
        <v>134</v>
      </c>
      <c r="CR349" s="13" t="n">
        <v>4</v>
      </c>
      <c r="CS349" s="13" t="n">
        <v>10</v>
      </c>
      <c r="CT349" s="11" t="inlineStr">
        <is>
          <t xml:space="preserve"> Resort Freeride</t>
        </is>
      </c>
      <c r="CU349" s="11" t="inlineStr">
        <is>
          <t xml:space="preserve"> Big Mountain</t>
        </is>
      </c>
      <c r="CV349" s="11" t="inlineStr">
        <is>
          <t xml:space="preserve"> Touring</t>
        </is>
      </c>
      <c r="CW349" s="13" t="n"/>
      <c r="CX349">
        <f>INDEX('Data_Price '!AG$2:AG$1266,MATCH(Data!$DN349,'Data_Price '!$AT$2:$AT$1266,0))</f>
        <v/>
      </c>
      <c r="CY349">
        <f>INDEX('Data_Price '!AH$2:AH$1266,MATCH(Data!$DN349,'Data_Price '!$AT$2:$AT$1266,0))</f>
        <v/>
      </c>
      <c r="CZ349">
        <f>INDEX('Data_Price '!AI$2:AI$1266,MATCH(Data!$DN349,'Data_Price '!$AT$2:$AT$1266,0))</f>
        <v/>
      </c>
      <c r="DA349">
        <f>INDEX('Data_Price '!AJ$2:AJ$1266,MATCH(Data!$DN349,'Data_Price '!$AT$2:$AT$1266,0))</f>
        <v/>
      </c>
      <c r="DB349">
        <f>INDEX('Data_Price '!AK$2:AK$1266,MATCH(Data!$DN349,'Data_Price '!$AT$2:$AT$1266,0))</f>
        <v/>
      </c>
      <c r="DC349">
        <f>INDEX('Data_Price '!AL$2:AL$1266,MATCH(Data!$DN349,'Data_Price '!$AT$2:$AT$1266,0))</f>
        <v/>
      </c>
      <c r="DD349">
        <f>INDEX('Data_Price '!AM$2:AM$1266,MATCH(Data!$DN349,'Data_Price '!$AT$2:$AT$1266,0))</f>
        <v/>
      </c>
      <c r="DE349">
        <f>INDEX('Data_Price '!AN$2:AN$1266,MATCH(Data!$DN349,'Data_Price '!$AT$2:$AT$1266,0))</f>
        <v/>
      </c>
      <c r="DF349">
        <f>INDEX('Data_Price '!AO$2:AO$1266,MATCH(Data!$DN349,'Data_Price '!$AT$2:$AT$1266,0))</f>
        <v/>
      </c>
      <c r="DG349">
        <f>INDEX('Data_Price '!AP$2:AP$1266,MATCH(Data!$DN349,'Data_Price '!$AT$2:$AT$1266,0))</f>
        <v/>
      </c>
      <c r="DH349">
        <f>INDEX('Data_Price '!AQ$2:AQ$1266,MATCH(Data!$DN349,'Data_Price '!$AT$2:$AT$1266,0))</f>
        <v/>
      </c>
      <c r="DI349">
        <f>INDEX('Data_Price '!AR$2:AR$1266,MATCH(Data!$DN349,'Data_Price '!$AT$2:$AT$1266,0))</f>
        <v/>
      </c>
      <c r="DJ349" s="138">
        <f>DA349</f>
        <v/>
      </c>
      <c r="DK349" s="138">
        <f>DE349</f>
        <v/>
      </c>
      <c r="DL349" s="138">
        <f>DI349</f>
        <v/>
      </c>
      <c r="DM349" s="303">
        <f>IF(LEFT(BT349,1)=" ",RIGHT(BT349,LEN(BT349)-1),BT349)</f>
        <v/>
      </c>
      <c r="DN349" s="138">
        <f>_xlfn.CONCAT(BS349,DM349,BU349,BV349)</f>
        <v/>
      </c>
      <c r="DO349" s="307" t="inlineStr">
        <is>
          <t>https://images.evo.com/imgp/250/181074/737306/clone.jpg</t>
        </is>
      </c>
    </row>
    <row r="350" ht="15.6" customHeight="1" s="184">
      <c r="B350" s="303">
        <f t="array" ref="B350">IF(OR(ISERROR(K350:P350)),FALSE,TRUE)</f>
        <v/>
      </c>
      <c r="C350" s="60">
        <f>OR(BR350=Driver!$G$50,Data!BR247=Driver!$H$50)</f>
        <v/>
      </c>
      <c r="D350" s="60">
        <f>OR(BV350=Driver!$G$51,BV350=Driver!$H$51)</f>
        <v/>
      </c>
      <c r="E350" s="60">
        <f>AND(BX350&gt;Driver!$F$54,BX350&lt;Driver!$G$54)</f>
        <v/>
      </c>
      <c r="F350" s="60">
        <f>CL350&gt;Driver!$F$56</f>
        <v/>
      </c>
      <c r="G350" s="60">
        <f>AND(CB350&gt;Driver!$F$55,CB350&lt;Driver!$G$55)</f>
        <v/>
      </c>
      <c r="H350" s="60">
        <f>AND(B350:G350)</f>
        <v/>
      </c>
      <c r="I350" s="60">
        <f>COUNTIFS($H$9:$H$1273,TRUE,$BT$9:$BT$1273,BT350)</f>
        <v/>
      </c>
      <c r="J350" s="60">
        <f t="array" ref="J350">NOT(OR(($H$9:$H$1273=TRUE)*($I$9:$I$1273&gt;0)*($BT$9:$BT$1273=BT350)*($K$9:$K$1273&gt;K350)))</f>
        <v/>
      </c>
      <c r="K350" s="108">
        <f>IFERROR(1-AVERAGE(X350:Y350),"")</f>
        <v/>
      </c>
      <c r="L350" s="108">
        <f>1-X350</f>
        <v/>
      </c>
      <c r="M350" s="108">
        <f>1-Y350</f>
        <v/>
      </c>
      <c r="N350" s="108">
        <f>1-Z350</f>
        <v/>
      </c>
      <c r="O350" s="108">
        <f>1-AA350</f>
        <v/>
      </c>
      <c r="P350" s="108">
        <f>1-AB350</f>
        <v/>
      </c>
      <c r="Q350" s="108" t="n"/>
      <c r="R350" s="108" t="n"/>
      <c r="S350" s="108">
        <f>1-AE350</f>
        <v/>
      </c>
      <c r="T350" s="108">
        <f>1-AF350</f>
        <v/>
      </c>
      <c r="U350" s="108">
        <f>1-AG350</f>
        <v/>
      </c>
      <c r="V350" s="108">
        <f>1-AH350</f>
        <v/>
      </c>
      <c r="W350" s="108">
        <f>1-AI350</f>
        <v/>
      </c>
      <c r="X350" s="108">
        <f>ABS(AJ350-AJ$1)</f>
        <v/>
      </c>
      <c r="Y350" s="108">
        <f>AVERAGE(Z350:AB350)</f>
        <v/>
      </c>
      <c r="Z350" s="108">
        <f>ABS(AL350-AL$1)</f>
        <v/>
      </c>
      <c r="AA350" s="108">
        <f>ABS(AM350-AM$1)</f>
        <v/>
      </c>
      <c r="AB350" s="108">
        <f>ABS(AN350-AN$1)</f>
        <v/>
      </c>
      <c r="AC350" s="108" t="n"/>
      <c r="AD350" s="108" t="n"/>
      <c r="AE350" s="108">
        <f>ABS(AQ$1-AQ350)</f>
        <v/>
      </c>
      <c r="AF350" s="108">
        <f>ABS(AR$1-AR350)</f>
        <v/>
      </c>
      <c r="AG350" s="108">
        <f>ABS(AS$1-AS350)</f>
        <v/>
      </c>
      <c r="AH350" s="108">
        <f>ABS(AT$1-AT350)</f>
        <v/>
      </c>
      <c r="AI350" s="108">
        <f>ABS(AU$1-AU350)</f>
        <v/>
      </c>
      <c r="AJ350" s="108">
        <f>(AV350-Driver!$K$179)/(Driver!$L$179-Driver!$K$179)</f>
        <v/>
      </c>
      <c r="AK350" s="108">
        <f>(AW350-Driver!$K$180)/(Driver!$L$180-Driver!$K$180)</f>
        <v/>
      </c>
      <c r="AL350" s="108">
        <f>(AX350-Driver!$K$181)/(Driver!$L$181-Driver!$K$181)</f>
        <v/>
      </c>
      <c r="AM350" s="108">
        <f>(AY350-Driver!$K$182)/(Driver!$L$182-Driver!$K$182)</f>
        <v/>
      </c>
      <c r="AN350" s="108">
        <f>(AZ350-Driver!$K$183)/(Driver!$L$183-Driver!$K$183)</f>
        <v/>
      </c>
      <c r="AO350" s="108" t="n"/>
      <c r="AP350" s="108" t="n"/>
      <c r="AQ350" s="108">
        <f>(BC350-Driver!$K$188)/(Driver!$L$188-Driver!$K$188)</f>
        <v/>
      </c>
      <c r="AR350" s="108">
        <f>MIN((BD350-Driver!$K$189)/(Driver!$L$189-Driver!$K$189),100%)</f>
        <v/>
      </c>
      <c r="AS350" s="108">
        <f>(BE350-Driver!$K$190)/(Driver!$L$190-Driver!$K$190)</f>
        <v/>
      </c>
      <c r="AT350" s="108">
        <f>(BF350-Driver!$K$191)/(Driver!$L$191-Driver!$K$191)</f>
        <v/>
      </c>
      <c r="AU350" s="108">
        <f>(BG350-Driver!$K$192)/(Driver!$L$192-Driver!$K$192)</f>
        <v/>
      </c>
      <c r="AV350" s="105">
        <f>IFERROR(BM350*BJ350^1/4,"")</f>
        <v/>
      </c>
      <c r="AW350" s="105">
        <f>IFERROR(SUM(AX350:AZ350),"")</f>
        <v/>
      </c>
      <c r="AX350" s="105">
        <f>IFERROR(BH350,"")</f>
        <v/>
      </c>
      <c r="AY350" s="105">
        <f>IFERROR(Driver!$K$19/Data!BH350/Data!BI350*Data!BK350*Data!BL350,"")</f>
        <v/>
      </c>
      <c r="AZ350" s="105">
        <f>IFERROR(BI350*BN350,"")</f>
        <v/>
      </c>
      <c r="BA350" s="105" t="n"/>
      <c r="BB350" s="105" t="n"/>
      <c r="BC350" s="105">
        <f>IFERROR(BI350*BN350*BK350/BJ350^(1/2),"")</f>
        <v/>
      </c>
      <c r="BD350" s="105">
        <f>IFERROR(BH350*BM350*BL350/BJ350/BK350,"")</f>
        <v/>
      </c>
      <c r="BE350" s="105">
        <f>IFERROR(MIN(BI350/BQ350/BP350/BO350/BH350,$BE$1),"")</f>
        <v/>
      </c>
      <c r="BF350" s="105">
        <f>IFERROR(BJ350*BO350*BP350/BK350,"")</f>
        <v/>
      </c>
      <c r="BG350" s="105">
        <f>IFERROR(1/BM350/BH350*BQ350,"")</f>
        <v/>
      </c>
      <c r="BH350" s="102">
        <f>MAX((CE350-Driver!$F$200)/(Driver!$G$200-Driver!$F$200)*$BI$1,1)</f>
        <v/>
      </c>
      <c r="BI350" s="102">
        <f>MAX($BI$1*(BY350-Driver!$F$201)/(Driver!$G$201-Driver!$F$201),1)</f>
        <v/>
      </c>
      <c r="BJ350" s="102">
        <f>(CB350-Driver!$F$206)/(Driver!$G$206-Driver!$F$206)*$BI$1</f>
        <v/>
      </c>
      <c r="BK350" s="102">
        <f>(CD350-Driver!$F$203)/(Driver!$G$203-Driver!$F$203)*$BI$1</f>
        <v/>
      </c>
      <c r="BL350" s="102">
        <f>MAX((CR350-Driver!$F$202)/(Driver!$G$202-Driver!$F$202)*$BI$1,1)</f>
        <v/>
      </c>
      <c r="BM350" s="102">
        <f>MAX((CH350-Driver!$F$204)/(Driver!$G$204-Driver!$F$204)*$BI$1,1)</f>
        <v/>
      </c>
      <c r="BN350" s="102">
        <f>(CI350-Driver!$F$205)/(Driver!$G$205-Driver!$F$205)*$BI$1</f>
        <v/>
      </c>
      <c r="BO350" s="102">
        <f>(CK350-Driver!$F$207)/(Driver!$G$207-Driver!$F$207)*$BI$1</f>
        <v/>
      </c>
      <c r="BP350" s="102">
        <f>(CM350-Driver!$F$208)/(Driver!$G$208-Driver!$F$208)*$BI$1</f>
        <v/>
      </c>
      <c r="BQ350" s="102">
        <f>(CL350-Driver!$F$209)/(Driver!$G$209-Driver!$F$209)*$BI$1</f>
        <v/>
      </c>
      <c r="BR350" s="40" t="inlineStr">
        <is>
          <t>21/22</t>
        </is>
      </c>
      <c r="BS350" s="10" t="inlineStr">
        <is>
          <t xml:space="preserve"> Black Diamond</t>
        </is>
      </c>
      <c r="BT350" s="11" t="inlineStr">
        <is>
          <t>Impulse 104</t>
        </is>
      </c>
      <c r="BU350" s="13" t="n">
        <v>172</v>
      </c>
      <c r="BV350" s="11" t="inlineStr">
        <is>
          <t xml:space="preserve"> Unisex</t>
        </is>
      </c>
      <c r="BW350" s="13" t="n">
        <v>172</v>
      </c>
      <c r="BX350" s="13" t="n">
        <v>172.7</v>
      </c>
      <c r="BY350" s="13" t="n">
        <v>124</v>
      </c>
      <c r="BZ350" s="13" t="n">
        <v>135</v>
      </c>
      <c r="CA350" s="13" t="n">
        <v>134</v>
      </c>
      <c r="CB350" s="13" t="n">
        <v>103</v>
      </c>
      <c r="CC350" s="13" t="n">
        <v>122</v>
      </c>
      <c r="CD350" s="13" t="n">
        <v>17</v>
      </c>
      <c r="CE350" s="13" t="n">
        <v>1822</v>
      </c>
      <c r="CF350" s="13" t="n">
        <v>1.07</v>
      </c>
      <c r="CG350" s="13" t="n">
        <v>1948</v>
      </c>
      <c r="CH350" s="13" t="n">
        <v>186</v>
      </c>
      <c r="CI350" s="13" t="n">
        <v>82</v>
      </c>
      <c r="CJ350" s="13" t="n">
        <v>40</v>
      </c>
      <c r="CK350" s="13" t="n">
        <v>282</v>
      </c>
      <c r="CL350" s="13" t="n">
        <v>22</v>
      </c>
      <c r="CM350" s="13" t="n">
        <v>205</v>
      </c>
      <c r="CN350" s="13" t="n">
        <v>0.554</v>
      </c>
      <c r="CO350" s="13" t="n">
        <v>232</v>
      </c>
      <c r="CP350" s="13" t="n">
        <v>147</v>
      </c>
      <c r="CQ350" s="13" t="n">
        <v>50</v>
      </c>
      <c r="CR350" s="13" t="n">
        <v>7</v>
      </c>
      <c r="CS350" s="13" t="n">
        <v>8.9</v>
      </c>
      <c r="CT350" s="11" t="inlineStr">
        <is>
          <t xml:space="preserve"> Resort Freeride</t>
        </is>
      </c>
      <c r="CU350" s="11" t="inlineStr">
        <is>
          <t xml:space="preserve"> Powder</t>
        </is>
      </c>
      <c r="CV350" s="11" t="inlineStr">
        <is>
          <t xml:space="preserve"> Touring</t>
        </is>
      </c>
      <c r="CW350" s="13" t="n"/>
      <c r="CX350">
        <f>INDEX('Data_Price '!AG$2:AG$1266,MATCH(Data!$DN350,'Data_Price '!$AT$2:$AT$1266,0))</f>
        <v/>
      </c>
      <c r="CY350">
        <f>INDEX('Data_Price '!AH$2:AH$1266,MATCH(Data!$DN350,'Data_Price '!$AT$2:$AT$1266,0))</f>
        <v/>
      </c>
      <c r="CZ350">
        <f>INDEX('Data_Price '!AI$2:AI$1266,MATCH(Data!$DN350,'Data_Price '!$AT$2:$AT$1266,0))</f>
        <v/>
      </c>
      <c r="DA350">
        <f>INDEX('Data_Price '!AJ$2:AJ$1266,MATCH(Data!$DN350,'Data_Price '!$AT$2:$AT$1266,0))</f>
        <v/>
      </c>
      <c r="DB350">
        <f>INDEX('Data_Price '!AK$2:AK$1266,MATCH(Data!$DN350,'Data_Price '!$AT$2:$AT$1266,0))</f>
        <v/>
      </c>
      <c r="DC350">
        <f>INDEX('Data_Price '!AL$2:AL$1266,MATCH(Data!$DN350,'Data_Price '!$AT$2:$AT$1266,0))</f>
        <v/>
      </c>
      <c r="DD350">
        <f>INDEX('Data_Price '!AM$2:AM$1266,MATCH(Data!$DN350,'Data_Price '!$AT$2:$AT$1266,0))</f>
        <v/>
      </c>
      <c r="DE350">
        <f>INDEX('Data_Price '!AN$2:AN$1266,MATCH(Data!$DN350,'Data_Price '!$AT$2:$AT$1266,0))</f>
        <v/>
      </c>
      <c r="DF350">
        <f>INDEX('Data_Price '!AO$2:AO$1266,MATCH(Data!$DN350,'Data_Price '!$AT$2:$AT$1266,0))</f>
        <v/>
      </c>
      <c r="DG350">
        <f>INDEX('Data_Price '!AP$2:AP$1266,MATCH(Data!$DN350,'Data_Price '!$AT$2:$AT$1266,0))</f>
        <v/>
      </c>
      <c r="DH350">
        <f>INDEX('Data_Price '!AQ$2:AQ$1266,MATCH(Data!$DN350,'Data_Price '!$AT$2:$AT$1266,0))</f>
        <v/>
      </c>
      <c r="DI350">
        <f>INDEX('Data_Price '!AR$2:AR$1266,MATCH(Data!$DN350,'Data_Price '!$AT$2:$AT$1266,0))</f>
        <v/>
      </c>
      <c r="DJ350" s="138">
        <f>DA350</f>
        <v/>
      </c>
      <c r="DK350" s="138">
        <f>DE350</f>
        <v/>
      </c>
      <c r="DL350" s="138">
        <f>DI350</f>
        <v/>
      </c>
      <c r="DM350" s="303">
        <f>IF(LEFT(BT350,1)=" ",RIGHT(BT350,LEN(BT350)-1),BT350)</f>
        <v/>
      </c>
      <c r="DN350" s="138">
        <f>_xlfn.CONCAT(BS350,DM350,BU350,BV350)</f>
        <v/>
      </c>
      <c r="DO350" s="307" t="inlineStr">
        <is>
          <t>https://images.evo.com/imgp/250/200507/836805/black-diamond-impulse-104-skis-2022-.jpg</t>
        </is>
      </c>
    </row>
    <row r="351" ht="15.6" customHeight="1" s="184">
      <c r="B351" s="303">
        <f t="array" ref="B351">IF(OR(ISERROR(K351:P351)),FALSE,TRUE)</f>
        <v/>
      </c>
      <c r="C351" s="60">
        <f>OR(BR351=Driver!$G$50,Data!BR388=Driver!$H$50)</f>
        <v/>
      </c>
      <c r="D351" s="60">
        <f>OR(BV351=Driver!$G$51,BV351=Driver!$H$51)</f>
        <v/>
      </c>
      <c r="E351" s="60">
        <f>AND(BX351&gt;Driver!$F$54,BX351&lt;Driver!$G$54)</f>
        <v/>
      </c>
      <c r="F351" s="60">
        <f>CL351&gt;Driver!$F$56</f>
        <v/>
      </c>
      <c r="G351" s="60">
        <f>AND(CB351&gt;Driver!$F$55,CB351&lt;Driver!$G$55)</f>
        <v/>
      </c>
      <c r="H351" s="60">
        <f>AND(B351:G351)</f>
        <v/>
      </c>
      <c r="I351" s="60">
        <f>COUNTIFS($H$9:$H$1273,TRUE,$BT$9:$BT$1273,BT351)</f>
        <v/>
      </c>
      <c r="J351" s="60">
        <f t="array" ref="J351">NOT(OR(($H$9:$H$1273=TRUE)*($I$9:$I$1273&gt;0)*($BT$9:$BT$1273=BT351)*($K$9:$K$1273&gt;K351)))</f>
        <v/>
      </c>
      <c r="K351" s="108">
        <f>IFERROR(1-AVERAGE(X351:Y351),"")</f>
        <v/>
      </c>
      <c r="L351" s="108">
        <f>1-X351</f>
        <v/>
      </c>
      <c r="M351" s="108">
        <f>1-Y351</f>
        <v/>
      </c>
      <c r="N351" s="108">
        <f>1-Z351</f>
        <v/>
      </c>
      <c r="O351" s="108">
        <f>1-AA351</f>
        <v/>
      </c>
      <c r="P351" s="108">
        <f>1-AB351</f>
        <v/>
      </c>
      <c r="Q351" s="108" t="n"/>
      <c r="R351" s="108" t="n"/>
      <c r="S351" s="108">
        <f>1-AE351</f>
        <v/>
      </c>
      <c r="T351" s="108">
        <f>1-AF351</f>
        <v/>
      </c>
      <c r="U351" s="108">
        <f>1-AG351</f>
        <v/>
      </c>
      <c r="V351" s="108">
        <f>1-AH351</f>
        <v/>
      </c>
      <c r="W351" s="108">
        <f>1-AI351</f>
        <v/>
      </c>
      <c r="X351" s="108">
        <f>ABS(AJ351-AJ$1)</f>
        <v/>
      </c>
      <c r="Y351" s="108">
        <f>AVERAGE(Z351:AB351)</f>
        <v/>
      </c>
      <c r="Z351" s="108">
        <f>ABS(AL351-AL$1)</f>
        <v/>
      </c>
      <c r="AA351" s="108">
        <f>ABS(AM351-AM$1)</f>
        <v/>
      </c>
      <c r="AB351" s="108">
        <f>ABS(AN351-AN$1)</f>
        <v/>
      </c>
      <c r="AC351" s="108" t="n"/>
      <c r="AD351" s="108" t="n"/>
      <c r="AE351" s="108">
        <f>ABS(AQ$1-AQ351)</f>
        <v/>
      </c>
      <c r="AF351" s="108">
        <f>ABS(AR$1-AR351)</f>
        <v/>
      </c>
      <c r="AG351" s="108">
        <f>ABS(AS$1-AS351)</f>
        <v/>
      </c>
      <c r="AH351" s="108">
        <f>ABS(AT$1-AT351)</f>
        <v/>
      </c>
      <c r="AI351" s="108">
        <f>ABS(AU$1-AU351)</f>
        <v/>
      </c>
      <c r="AJ351" s="108">
        <f>(AV351-Driver!$K$179)/(Driver!$L$179-Driver!$K$179)</f>
        <v/>
      </c>
      <c r="AK351" s="108">
        <f>(AW351-Driver!$K$180)/(Driver!$L$180-Driver!$K$180)</f>
        <v/>
      </c>
      <c r="AL351" s="108">
        <f>(AX351-Driver!$K$181)/(Driver!$L$181-Driver!$K$181)</f>
        <v/>
      </c>
      <c r="AM351" s="108">
        <f>(AY351-Driver!$K$182)/(Driver!$L$182-Driver!$K$182)</f>
        <v/>
      </c>
      <c r="AN351" s="108">
        <f>(AZ351-Driver!$K$183)/(Driver!$L$183-Driver!$K$183)</f>
        <v/>
      </c>
      <c r="AO351" s="108" t="n"/>
      <c r="AP351" s="108" t="n"/>
      <c r="AQ351" s="108">
        <f>(BC351-Driver!$K$188)/(Driver!$L$188-Driver!$K$188)</f>
        <v/>
      </c>
      <c r="AR351" s="108">
        <f>MIN((BD351-Driver!$K$189)/(Driver!$L$189-Driver!$K$189),100%)</f>
        <v/>
      </c>
      <c r="AS351" s="108">
        <f>(BE351-Driver!$K$190)/(Driver!$L$190-Driver!$K$190)</f>
        <v/>
      </c>
      <c r="AT351" s="108">
        <f>(BF351-Driver!$K$191)/(Driver!$L$191-Driver!$K$191)</f>
        <v/>
      </c>
      <c r="AU351" s="108">
        <f>(BG351-Driver!$K$192)/(Driver!$L$192-Driver!$K$192)</f>
        <v/>
      </c>
      <c r="AV351" s="105">
        <f>IFERROR(BM351*BJ351^1/4,"")</f>
        <v/>
      </c>
      <c r="AW351" s="105">
        <f>IFERROR(SUM(AX351:AZ351),"")</f>
        <v/>
      </c>
      <c r="AX351" s="105">
        <f>IFERROR(BH351,"")</f>
        <v/>
      </c>
      <c r="AY351" s="105">
        <f>IFERROR(Driver!$K$19/Data!BH351/Data!BI351*Data!BK351*Data!BL351,"")</f>
        <v/>
      </c>
      <c r="AZ351" s="105">
        <f>IFERROR(BI351*BN351,"")</f>
        <v/>
      </c>
      <c r="BA351" s="105" t="n"/>
      <c r="BB351" s="105" t="n"/>
      <c r="BC351" s="105">
        <f>IFERROR(BI351*BN351*BK351/BJ351^(1/2),"")</f>
        <v/>
      </c>
      <c r="BD351" s="105">
        <f>IFERROR(BH351*BM351*BL351/BJ351/BK351,"")</f>
        <v/>
      </c>
      <c r="BE351" s="105">
        <f>IFERROR(MIN(BI351/BQ351/BP351/BO351/BH351,$BE$1),"")</f>
        <v/>
      </c>
      <c r="BF351" s="105">
        <f>IFERROR(BJ351*BO351*BP351/BK351,"")</f>
        <v/>
      </c>
      <c r="BG351" s="105">
        <f>IFERROR(1/BM351/BH351*BQ351,"")</f>
        <v/>
      </c>
      <c r="BH351" s="102">
        <f>MAX((CE351-Driver!$F$200)/(Driver!$G$200-Driver!$F$200)*$BI$1,1)</f>
        <v/>
      </c>
      <c r="BI351" s="102">
        <f>MAX($BI$1*(BY351-Driver!$F$201)/(Driver!$G$201-Driver!$F$201),1)</f>
        <v/>
      </c>
      <c r="BJ351" s="102">
        <f>(CB351-Driver!$F$206)/(Driver!$G$206-Driver!$F$206)*$BI$1</f>
        <v/>
      </c>
      <c r="BK351" s="102">
        <f>(CD351-Driver!$F$203)/(Driver!$G$203-Driver!$F$203)*$BI$1</f>
        <v/>
      </c>
      <c r="BL351" s="102">
        <f>MAX((CR351-Driver!$F$202)/(Driver!$G$202-Driver!$F$202)*$BI$1,1)</f>
        <v/>
      </c>
      <c r="BM351" s="102">
        <f>MAX((CH351-Driver!$F$204)/(Driver!$G$204-Driver!$F$204)*$BI$1,1)</f>
        <v/>
      </c>
      <c r="BN351" s="102">
        <f>(CI351-Driver!$F$205)/(Driver!$G$205-Driver!$F$205)*$BI$1</f>
        <v/>
      </c>
      <c r="BO351" s="102">
        <f>(CK351-Driver!$F$207)/(Driver!$G$207-Driver!$F$207)*$BI$1</f>
        <v/>
      </c>
      <c r="BP351" s="102">
        <f>(CM351-Driver!$F$208)/(Driver!$G$208-Driver!$F$208)*$BI$1</f>
        <v/>
      </c>
      <c r="BQ351" s="102">
        <f>(CL351-Driver!$F$209)/(Driver!$G$209-Driver!$F$209)*$BI$1</f>
        <v/>
      </c>
      <c r="BR351" s="40" t="inlineStr">
        <is>
          <t>21/22</t>
        </is>
      </c>
      <c r="BS351" s="10" t="inlineStr">
        <is>
          <t xml:space="preserve"> Dynastar</t>
        </is>
      </c>
      <c r="BT351" s="11" t="inlineStr">
        <is>
          <t>M-Free 99</t>
        </is>
      </c>
      <c r="BU351" s="13" t="n">
        <v>185</v>
      </c>
      <c r="BV351" s="11" t="inlineStr">
        <is>
          <t xml:space="preserve"> Unisex</t>
        </is>
      </c>
      <c r="BW351" s="13" t="n">
        <v>185</v>
      </c>
      <c r="BX351" s="13" t="n">
        <v>184.2</v>
      </c>
      <c r="BY351" s="13" t="n">
        <v>112</v>
      </c>
      <c r="BZ351" s="13" t="n">
        <v>149</v>
      </c>
      <c r="CA351" s="13" t="n">
        <v>127</v>
      </c>
      <c r="CB351" s="13" t="n">
        <v>96</v>
      </c>
      <c r="CC351" s="13" t="n">
        <v>119</v>
      </c>
      <c r="CD351" s="13" t="n">
        <v>17.9</v>
      </c>
      <c r="CE351" s="13" t="n">
        <v>1999</v>
      </c>
      <c r="CF351" s="13" t="n">
        <v>0.98</v>
      </c>
      <c r="CG351" s="13" t="n">
        <v>1968</v>
      </c>
      <c r="CH351" s="13" t="n">
        <v>242</v>
      </c>
      <c r="CI351" s="13" t="n">
        <v>114</v>
      </c>
      <c r="CJ351" s="13" t="n">
        <v>59</v>
      </c>
      <c r="CK351" s="13" t="n">
        <v>341</v>
      </c>
      <c r="CL351" s="13" t="n">
        <v>60</v>
      </c>
      <c r="CM351" s="13" t="n">
        <v>382</v>
      </c>
      <c r="CN351" s="13" t="n">
        <v>1.028</v>
      </c>
      <c r="CO351" s="13" t="n">
        <v>184</v>
      </c>
      <c r="CP351" s="13" t="n">
        <v>170</v>
      </c>
      <c r="CQ351" s="13" t="n">
        <v>157</v>
      </c>
      <c r="CR351" s="13" t="n">
        <v>7</v>
      </c>
      <c r="CS351" s="13" t="n">
        <v>6.5</v>
      </c>
      <c r="CT351" s="11" t="inlineStr">
        <is>
          <t xml:space="preserve"> Freeski</t>
        </is>
      </c>
      <c r="CU351" s="13" t="n"/>
      <c r="CV351" s="13" t="n"/>
      <c r="CW351" s="13" t="n"/>
      <c r="CX351">
        <f>INDEX('Data_Price '!AG$2:AG$1266,MATCH(Data!$DN351,'Data_Price '!$AT$2:$AT$1266,0))</f>
        <v/>
      </c>
      <c r="CY351">
        <f>INDEX('Data_Price '!AH$2:AH$1266,MATCH(Data!$DN351,'Data_Price '!$AT$2:$AT$1266,0))</f>
        <v/>
      </c>
      <c r="CZ351">
        <f>INDEX('Data_Price '!AI$2:AI$1266,MATCH(Data!$DN351,'Data_Price '!$AT$2:$AT$1266,0))</f>
        <v/>
      </c>
      <c r="DA351">
        <f>INDEX('Data_Price '!AJ$2:AJ$1266,MATCH(Data!$DN351,'Data_Price '!$AT$2:$AT$1266,0))</f>
        <v/>
      </c>
      <c r="DB351">
        <f>INDEX('Data_Price '!AK$2:AK$1266,MATCH(Data!$DN351,'Data_Price '!$AT$2:$AT$1266,0))</f>
        <v/>
      </c>
      <c r="DC351">
        <f>INDEX('Data_Price '!AL$2:AL$1266,MATCH(Data!$DN351,'Data_Price '!$AT$2:$AT$1266,0))</f>
        <v/>
      </c>
      <c r="DD351">
        <f>INDEX('Data_Price '!AM$2:AM$1266,MATCH(Data!$DN351,'Data_Price '!$AT$2:$AT$1266,0))</f>
        <v/>
      </c>
      <c r="DE351">
        <f>INDEX('Data_Price '!AN$2:AN$1266,MATCH(Data!$DN351,'Data_Price '!$AT$2:$AT$1266,0))</f>
        <v/>
      </c>
      <c r="DF351">
        <f>INDEX('Data_Price '!AO$2:AO$1266,MATCH(Data!$DN351,'Data_Price '!$AT$2:$AT$1266,0))</f>
        <v/>
      </c>
      <c r="DG351">
        <f>INDEX('Data_Price '!AP$2:AP$1266,MATCH(Data!$DN351,'Data_Price '!$AT$2:$AT$1266,0))</f>
        <v/>
      </c>
      <c r="DH351">
        <f>INDEX('Data_Price '!AQ$2:AQ$1266,MATCH(Data!$DN351,'Data_Price '!$AT$2:$AT$1266,0))</f>
        <v/>
      </c>
      <c r="DI351">
        <f>INDEX('Data_Price '!AR$2:AR$1266,MATCH(Data!$DN351,'Data_Price '!$AT$2:$AT$1266,0))</f>
        <v/>
      </c>
      <c r="DJ351" s="138">
        <f>DA351</f>
        <v/>
      </c>
      <c r="DK351" s="138">
        <f>DE351</f>
        <v/>
      </c>
      <c r="DL351" s="138">
        <f>DI351</f>
        <v/>
      </c>
      <c r="DM351" s="303">
        <f>IF(LEFT(BT351,1)=" ",RIGHT(BT351,LEN(BT351)-1),BT351)</f>
        <v/>
      </c>
      <c r="DN351" s="138">
        <f>_xlfn.CONCAT(BS351,DM351,BU351,BV351)</f>
        <v/>
      </c>
      <c r="DO351" s="307" t="inlineStr">
        <is>
          <t>https://images.evo.com/imgp/250/198834/826148/dynastar-m-free-99-skis-2022-.jpg</t>
        </is>
      </c>
    </row>
    <row r="352" ht="15.6" customHeight="1" s="184">
      <c r="B352" s="303">
        <f t="array" ref="B352">IF(OR(ISERROR(K352:P352)),FALSE,TRUE)</f>
        <v/>
      </c>
      <c r="C352" s="60">
        <f>OR(BR352=Driver!$G$50,Data!BR966=Driver!$H$50)</f>
        <v/>
      </c>
      <c r="D352" s="60">
        <f>OR(BV352=Driver!$G$51,BV352=Driver!$H$51)</f>
        <v/>
      </c>
      <c r="E352" s="60">
        <f>AND(BX352&gt;Driver!$F$54,BX352&lt;Driver!$G$54)</f>
        <v/>
      </c>
      <c r="F352" s="60">
        <f>CL352&gt;Driver!$F$56</f>
        <v/>
      </c>
      <c r="G352" s="60">
        <f>AND(CB352&gt;Driver!$F$55,CB352&lt;Driver!$G$55)</f>
        <v/>
      </c>
      <c r="H352" s="60">
        <f>AND(B352:G352)</f>
        <v/>
      </c>
      <c r="I352" s="60">
        <f>COUNTIFS($H$9:$H$1273,TRUE,$BT$9:$BT$1273,BT352)</f>
        <v/>
      </c>
      <c r="J352" s="60">
        <f t="array" ref="J352">NOT(OR(($H$9:$H$1273=TRUE)*($I$9:$I$1273&gt;0)*($BT$9:$BT$1273=BT352)*($K$9:$K$1273&gt;K352)))</f>
        <v/>
      </c>
      <c r="K352" s="108">
        <f>IFERROR(1-AVERAGE(X352:Y352),"")</f>
        <v/>
      </c>
      <c r="L352" s="108">
        <f>1-X352</f>
        <v/>
      </c>
      <c r="M352" s="108">
        <f>1-Y352</f>
        <v/>
      </c>
      <c r="N352" s="108">
        <f>1-Z352</f>
        <v/>
      </c>
      <c r="O352" s="108">
        <f>1-AA352</f>
        <v/>
      </c>
      <c r="P352" s="108">
        <f>1-AB352</f>
        <v/>
      </c>
      <c r="Q352" s="108" t="n"/>
      <c r="R352" s="108" t="n"/>
      <c r="S352" s="108">
        <f>1-AE352</f>
        <v/>
      </c>
      <c r="T352" s="108">
        <f>1-AF352</f>
        <v/>
      </c>
      <c r="U352" s="108">
        <f>1-AG352</f>
        <v/>
      </c>
      <c r="V352" s="108">
        <f>1-AH352</f>
        <v/>
      </c>
      <c r="W352" s="108">
        <f>1-AI352</f>
        <v/>
      </c>
      <c r="X352" s="108">
        <f>ABS(AJ352-AJ$1)</f>
        <v/>
      </c>
      <c r="Y352" s="108">
        <f>AVERAGE(Z352:AB352)</f>
        <v/>
      </c>
      <c r="Z352" s="108">
        <f>ABS(AL352-AL$1)</f>
        <v/>
      </c>
      <c r="AA352" s="108">
        <f>ABS(AM352-AM$1)</f>
        <v/>
      </c>
      <c r="AB352" s="108">
        <f>ABS(AN352-AN$1)</f>
        <v/>
      </c>
      <c r="AC352" s="108" t="n"/>
      <c r="AD352" s="108" t="n"/>
      <c r="AE352" s="108">
        <f>ABS(AQ$1-AQ352)</f>
        <v/>
      </c>
      <c r="AF352" s="108">
        <f>ABS(AR$1-AR352)</f>
        <v/>
      </c>
      <c r="AG352" s="108">
        <f>ABS(AS$1-AS352)</f>
        <v/>
      </c>
      <c r="AH352" s="108">
        <f>ABS(AT$1-AT352)</f>
        <v/>
      </c>
      <c r="AI352" s="108">
        <f>ABS(AU$1-AU352)</f>
        <v/>
      </c>
      <c r="AJ352" s="108">
        <f>(AV352-Driver!$K$179)/(Driver!$L$179-Driver!$K$179)</f>
        <v/>
      </c>
      <c r="AK352" s="108">
        <f>(AW352-Driver!$K$180)/(Driver!$L$180-Driver!$K$180)</f>
        <v/>
      </c>
      <c r="AL352" s="108">
        <f>(AX352-Driver!$K$181)/(Driver!$L$181-Driver!$K$181)</f>
        <v/>
      </c>
      <c r="AM352" s="108">
        <f>(AY352-Driver!$K$182)/(Driver!$L$182-Driver!$K$182)</f>
        <v/>
      </c>
      <c r="AN352" s="108">
        <f>(AZ352-Driver!$K$183)/(Driver!$L$183-Driver!$K$183)</f>
        <v/>
      </c>
      <c r="AO352" s="108" t="n"/>
      <c r="AP352" s="108" t="n"/>
      <c r="AQ352" s="108">
        <f>(BC352-Driver!$K$188)/(Driver!$L$188-Driver!$K$188)</f>
        <v/>
      </c>
      <c r="AR352" s="108">
        <f>MIN((BD352-Driver!$K$189)/(Driver!$L$189-Driver!$K$189),100%)</f>
        <v/>
      </c>
      <c r="AS352" s="108">
        <f>(BE352-Driver!$K$190)/(Driver!$L$190-Driver!$K$190)</f>
        <v/>
      </c>
      <c r="AT352" s="108">
        <f>(BF352-Driver!$K$191)/(Driver!$L$191-Driver!$K$191)</f>
        <v/>
      </c>
      <c r="AU352" s="108">
        <f>(BG352-Driver!$K$192)/(Driver!$L$192-Driver!$K$192)</f>
        <v/>
      </c>
      <c r="AV352" s="105">
        <f>IFERROR(BM352*BJ352^1/4,"")</f>
        <v/>
      </c>
      <c r="AW352" s="105">
        <f>IFERROR(SUM(AX352:AZ352),"")</f>
        <v/>
      </c>
      <c r="AX352" s="105">
        <f>IFERROR(BH352,"")</f>
        <v/>
      </c>
      <c r="AY352" s="105">
        <f>IFERROR(Driver!$K$19/Data!BH352/Data!BI352*Data!BK352*Data!BL352,"")</f>
        <v/>
      </c>
      <c r="AZ352" s="105">
        <f>IFERROR(BI352*BN352,"")</f>
        <v/>
      </c>
      <c r="BA352" s="105" t="n"/>
      <c r="BB352" s="105" t="n"/>
      <c r="BC352" s="105">
        <f>IFERROR(BI352*BN352*BK352/BJ352^(1/2),"")</f>
        <v/>
      </c>
      <c r="BD352" s="105">
        <f>IFERROR(BH352*BM352*BL352/BJ352/BK352,"")</f>
        <v/>
      </c>
      <c r="BE352" s="105">
        <f>IFERROR(MIN(BI352/BQ352/BP352/BO352/BH352,$BE$1),"")</f>
        <v/>
      </c>
      <c r="BF352" s="105">
        <f>IFERROR(BJ352*BO352*BP352/BK352,"")</f>
        <v/>
      </c>
      <c r="BG352" s="105">
        <f>IFERROR(1/BM352/BH352*BQ352,"")</f>
        <v/>
      </c>
      <c r="BH352" s="102">
        <f>MAX((CE352-Driver!$F$200)/(Driver!$G$200-Driver!$F$200)*$BI$1,1)</f>
        <v/>
      </c>
      <c r="BI352" s="102">
        <f>MAX($BI$1*(BY352-Driver!$F$201)/(Driver!$G$201-Driver!$F$201),1)</f>
        <v/>
      </c>
      <c r="BJ352" s="102">
        <f>(CB352-Driver!$F$206)/(Driver!$G$206-Driver!$F$206)*$BI$1</f>
        <v/>
      </c>
      <c r="BK352" s="102">
        <f>(CD352-Driver!$F$203)/(Driver!$G$203-Driver!$F$203)*$BI$1</f>
        <v/>
      </c>
      <c r="BL352" s="102">
        <f>MAX((CR352-Driver!$F$202)/(Driver!$G$202-Driver!$F$202)*$BI$1,1)</f>
        <v/>
      </c>
      <c r="BM352" s="102">
        <f>MAX((CH352-Driver!$F$204)/(Driver!$G$204-Driver!$F$204)*$BI$1,1)</f>
        <v/>
      </c>
      <c r="BN352" s="102">
        <f>(CI352-Driver!$F$205)/(Driver!$G$205-Driver!$F$205)*$BI$1</f>
        <v/>
      </c>
      <c r="BO352" s="102">
        <f>(CK352-Driver!$F$207)/(Driver!$G$207-Driver!$F$207)*$BI$1</f>
        <v/>
      </c>
      <c r="BP352" s="102">
        <f>(CM352-Driver!$F$208)/(Driver!$G$208-Driver!$F$208)*$BI$1</f>
        <v/>
      </c>
      <c r="BQ352" s="102">
        <f>(CL352-Driver!$F$209)/(Driver!$G$209-Driver!$F$209)*$BI$1</f>
        <v/>
      </c>
      <c r="BR352" s="40" t="inlineStr">
        <is>
          <t>21/22</t>
        </is>
      </c>
      <c r="BS352" s="10" t="inlineStr">
        <is>
          <t xml:space="preserve"> Rossignol</t>
        </is>
      </c>
      <c r="BT352" s="11" t="inlineStr">
        <is>
          <t xml:space="preserve"> Blackops Blazer W</t>
        </is>
      </c>
      <c r="BU352" s="13" t="n">
        <v>170</v>
      </c>
      <c r="BV352" s="11" t="inlineStr">
        <is>
          <t xml:space="preserve"> Women's</t>
        </is>
      </c>
      <c r="BW352" s="13" t="n">
        <v>170</v>
      </c>
      <c r="BX352" s="13" t="n">
        <v>169</v>
      </c>
      <c r="BY352" s="13" t="n">
        <v>120</v>
      </c>
      <c r="BZ352" s="13" t="n">
        <v>146</v>
      </c>
      <c r="CA352" s="13" t="n">
        <v>130</v>
      </c>
      <c r="CB352" s="13" t="n">
        <v>97</v>
      </c>
      <c r="CC352" s="13" t="n">
        <v>120</v>
      </c>
      <c r="CD352" s="13" t="n">
        <v>16.7</v>
      </c>
      <c r="CE352" s="13" t="n">
        <v>1920</v>
      </c>
      <c r="CF352" s="13" t="n">
        <v>0.95</v>
      </c>
      <c r="CG352" s="13" t="n">
        <v>1827</v>
      </c>
      <c r="CH352" s="13" t="n">
        <v>205</v>
      </c>
      <c r="CI352" s="13" t="n">
        <v>115</v>
      </c>
      <c r="CJ352" s="13" t="n">
        <v>56</v>
      </c>
      <c r="CK352" s="13" t="n">
        <v>264</v>
      </c>
      <c r="CL352" s="13" t="n">
        <v>36</v>
      </c>
      <c r="CM352" s="13" t="n">
        <v>230</v>
      </c>
      <c r="CN352" s="13" t="n">
        <v>0.637</v>
      </c>
      <c r="CO352" s="13" t="n">
        <v>134</v>
      </c>
      <c r="CP352" s="13" t="n">
        <v>100</v>
      </c>
      <c r="CQ352" s="13" t="n">
        <v>130</v>
      </c>
      <c r="CR352" s="13" t="n">
        <v>6</v>
      </c>
      <c r="CS352" s="13" t="n">
        <v>4.9</v>
      </c>
      <c r="CT352" s="11" t="inlineStr">
        <is>
          <t xml:space="preserve"> Resort Freeride</t>
        </is>
      </c>
      <c r="CU352" s="13" t="n"/>
      <c r="CV352" s="13" t="n"/>
      <c r="CW352" s="13" t="n"/>
      <c r="CX352">
        <f>INDEX('Data_Price '!AG$2:AG$1266,MATCH(Data!$DN352,'Data_Price '!$AT$2:$AT$1266,0))</f>
        <v/>
      </c>
      <c r="CY352">
        <f>INDEX('Data_Price '!AH$2:AH$1266,MATCH(Data!$DN352,'Data_Price '!$AT$2:$AT$1266,0))</f>
        <v/>
      </c>
      <c r="CZ352">
        <f>INDEX('Data_Price '!AI$2:AI$1266,MATCH(Data!$DN352,'Data_Price '!$AT$2:$AT$1266,0))</f>
        <v/>
      </c>
      <c r="DA352">
        <f>INDEX('Data_Price '!AJ$2:AJ$1266,MATCH(Data!$DN352,'Data_Price '!$AT$2:$AT$1266,0))</f>
        <v/>
      </c>
      <c r="DB352">
        <f>INDEX('Data_Price '!AK$2:AK$1266,MATCH(Data!$DN352,'Data_Price '!$AT$2:$AT$1266,0))</f>
        <v/>
      </c>
      <c r="DC352">
        <f>INDEX('Data_Price '!AL$2:AL$1266,MATCH(Data!$DN352,'Data_Price '!$AT$2:$AT$1266,0))</f>
        <v/>
      </c>
      <c r="DD352">
        <f>INDEX('Data_Price '!AM$2:AM$1266,MATCH(Data!$DN352,'Data_Price '!$AT$2:$AT$1266,0))</f>
        <v/>
      </c>
      <c r="DE352">
        <f>INDEX('Data_Price '!AN$2:AN$1266,MATCH(Data!$DN352,'Data_Price '!$AT$2:$AT$1266,0))</f>
        <v/>
      </c>
      <c r="DF352">
        <f>INDEX('Data_Price '!AO$2:AO$1266,MATCH(Data!$DN352,'Data_Price '!$AT$2:$AT$1266,0))</f>
        <v/>
      </c>
      <c r="DG352">
        <f>INDEX('Data_Price '!AP$2:AP$1266,MATCH(Data!$DN352,'Data_Price '!$AT$2:$AT$1266,0))</f>
        <v/>
      </c>
      <c r="DH352">
        <f>INDEX('Data_Price '!AQ$2:AQ$1266,MATCH(Data!$DN352,'Data_Price '!$AT$2:$AT$1266,0))</f>
        <v/>
      </c>
      <c r="DI352">
        <f>INDEX('Data_Price '!AR$2:AR$1266,MATCH(Data!$DN352,'Data_Price '!$AT$2:$AT$1266,0))</f>
        <v/>
      </c>
      <c r="DJ352" s="138">
        <f>DA352</f>
        <v/>
      </c>
      <c r="DK352" s="138">
        <f>DE352</f>
        <v/>
      </c>
      <c r="DL352" s="138">
        <f>DI352</f>
        <v/>
      </c>
      <c r="DM352" s="303">
        <f>IF(LEFT(BT352,1)=" ",RIGHT(BT352,LEN(BT352)-1),BT352)</f>
        <v/>
      </c>
      <c r="DN352" s="138">
        <f>_xlfn.CONCAT(BS352,DM352,BU352,BV352)</f>
        <v/>
      </c>
      <c r="DO352" s="307" t="n"/>
    </row>
    <row r="353" ht="15.6" customHeight="1" s="184">
      <c r="B353" s="303">
        <f t="array" ref="B353">IF(OR(ISERROR(K353:P353)),FALSE,TRUE)</f>
        <v/>
      </c>
      <c r="C353" s="60">
        <f>OR(BR353=Driver!$G$50,Data!BR957=Driver!$H$50)</f>
        <v/>
      </c>
      <c r="D353" s="60">
        <f>OR(BV353=Driver!$G$51,BV353=Driver!$H$51)</f>
        <v/>
      </c>
      <c r="E353" s="60">
        <f>AND(BX353&gt;Driver!$F$54,BX353&lt;Driver!$G$54)</f>
        <v/>
      </c>
      <c r="F353" s="60">
        <f>CL353&gt;Driver!$F$56</f>
        <v/>
      </c>
      <c r="G353" s="60">
        <f>AND(CB353&gt;Driver!$F$55,CB353&lt;Driver!$G$55)</f>
        <v/>
      </c>
      <c r="H353" s="60">
        <f>AND(B353:G353)</f>
        <v/>
      </c>
      <c r="I353" s="60">
        <f>COUNTIFS($H$9:$H$1273,TRUE,$BT$9:$BT$1273,BT353)</f>
        <v/>
      </c>
      <c r="J353" s="60">
        <f t="array" ref="J353">NOT(OR(($H$9:$H$1273=TRUE)*($I$9:$I$1273&gt;0)*($BT$9:$BT$1273=BT353)*($K$9:$K$1273&gt;K353)))</f>
        <v/>
      </c>
      <c r="K353" s="108">
        <f>IFERROR(1-AVERAGE(X353:Y353),"")</f>
        <v/>
      </c>
      <c r="L353" s="108">
        <f>1-X353</f>
        <v/>
      </c>
      <c r="M353" s="108">
        <f>1-Y353</f>
        <v/>
      </c>
      <c r="N353" s="108">
        <f>1-Z353</f>
        <v/>
      </c>
      <c r="O353" s="108">
        <f>1-AA353</f>
        <v/>
      </c>
      <c r="P353" s="108">
        <f>1-AB353</f>
        <v/>
      </c>
      <c r="Q353" s="108" t="n"/>
      <c r="R353" s="108" t="n"/>
      <c r="S353" s="108">
        <f>1-AE353</f>
        <v/>
      </c>
      <c r="T353" s="108">
        <f>1-AF353</f>
        <v/>
      </c>
      <c r="U353" s="108">
        <f>1-AG353</f>
        <v/>
      </c>
      <c r="V353" s="108">
        <f>1-AH353</f>
        <v/>
      </c>
      <c r="W353" s="108">
        <f>1-AI353</f>
        <v/>
      </c>
      <c r="X353" s="108">
        <f>ABS(AJ353-AJ$1)</f>
        <v/>
      </c>
      <c r="Y353" s="108">
        <f>AVERAGE(Z353:AB353)</f>
        <v/>
      </c>
      <c r="Z353" s="108">
        <f>ABS(AL353-AL$1)</f>
        <v/>
      </c>
      <c r="AA353" s="108">
        <f>ABS(AM353-AM$1)</f>
        <v/>
      </c>
      <c r="AB353" s="108">
        <f>ABS(AN353-AN$1)</f>
        <v/>
      </c>
      <c r="AC353" s="108" t="n"/>
      <c r="AD353" s="108" t="n"/>
      <c r="AE353" s="108">
        <f>ABS(AQ$1-AQ353)</f>
        <v/>
      </c>
      <c r="AF353" s="108">
        <f>ABS(AR$1-AR353)</f>
        <v/>
      </c>
      <c r="AG353" s="108">
        <f>ABS(AS$1-AS353)</f>
        <v/>
      </c>
      <c r="AH353" s="108">
        <f>ABS(AT$1-AT353)</f>
        <v/>
      </c>
      <c r="AI353" s="108">
        <f>ABS(AU$1-AU353)</f>
        <v/>
      </c>
      <c r="AJ353" s="108">
        <f>(AV353-Driver!$K$179)/(Driver!$L$179-Driver!$K$179)</f>
        <v/>
      </c>
      <c r="AK353" s="108">
        <f>(AW353-Driver!$K$180)/(Driver!$L$180-Driver!$K$180)</f>
        <v/>
      </c>
      <c r="AL353" s="108">
        <f>(AX353-Driver!$K$181)/(Driver!$L$181-Driver!$K$181)</f>
        <v/>
      </c>
      <c r="AM353" s="108">
        <f>(AY353-Driver!$K$182)/(Driver!$L$182-Driver!$K$182)</f>
        <v/>
      </c>
      <c r="AN353" s="108">
        <f>(AZ353-Driver!$K$183)/(Driver!$L$183-Driver!$K$183)</f>
        <v/>
      </c>
      <c r="AO353" s="108" t="n"/>
      <c r="AP353" s="108" t="n"/>
      <c r="AQ353" s="108">
        <f>(BC353-Driver!$K$188)/(Driver!$L$188-Driver!$K$188)</f>
        <v/>
      </c>
      <c r="AR353" s="108">
        <f>MIN((BD353-Driver!$K$189)/(Driver!$L$189-Driver!$K$189),100%)</f>
        <v/>
      </c>
      <c r="AS353" s="108">
        <f>(BE353-Driver!$K$190)/(Driver!$L$190-Driver!$K$190)</f>
        <v/>
      </c>
      <c r="AT353" s="108">
        <f>(BF353-Driver!$K$191)/(Driver!$L$191-Driver!$K$191)</f>
        <v/>
      </c>
      <c r="AU353" s="108">
        <f>(BG353-Driver!$K$192)/(Driver!$L$192-Driver!$K$192)</f>
        <v/>
      </c>
      <c r="AV353" s="105">
        <f>IFERROR(BM353*BJ353^1/4,"")</f>
        <v/>
      </c>
      <c r="AW353" s="105">
        <f>IFERROR(SUM(AX353:AZ353),"")</f>
        <v/>
      </c>
      <c r="AX353" s="105">
        <f>IFERROR(BH353,"")</f>
        <v/>
      </c>
      <c r="AY353" s="105">
        <f>IFERROR(Driver!$K$19/Data!BH353/Data!BI353*Data!BK353*Data!BL353,"")</f>
        <v/>
      </c>
      <c r="AZ353" s="105">
        <f>IFERROR(BI353*BN353,"")</f>
        <v/>
      </c>
      <c r="BA353" s="105" t="n"/>
      <c r="BB353" s="105" t="n"/>
      <c r="BC353" s="105">
        <f>IFERROR(BI353*BN353*BK353/BJ353^(1/2),"")</f>
        <v/>
      </c>
      <c r="BD353" s="105">
        <f>IFERROR(BH353*BM353*BL353/BJ353/BK353,"")</f>
        <v/>
      </c>
      <c r="BE353" s="105">
        <f>IFERROR(MIN(BI353/BQ353/BP353/BO353/BH353,$BE$1),"")</f>
        <v/>
      </c>
      <c r="BF353" s="105">
        <f>IFERROR(BJ353*BO353*BP353/BK353,"")</f>
        <v/>
      </c>
      <c r="BG353" s="105">
        <f>IFERROR(1/BM353/BH353*BQ353,"")</f>
        <v/>
      </c>
      <c r="BH353" s="102">
        <f>MAX((CE353-Driver!$F$200)/(Driver!$G$200-Driver!$F$200)*$BI$1,1)</f>
        <v/>
      </c>
      <c r="BI353" s="102">
        <f>MAX($BI$1*(BY353-Driver!$F$201)/(Driver!$G$201-Driver!$F$201),1)</f>
        <v/>
      </c>
      <c r="BJ353" s="102">
        <f>(CB353-Driver!$F$206)/(Driver!$G$206-Driver!$F$206)*$BI$1</f>
        <v/>
      </c>
      <c r="BK353" s="102">
        <f>(CD353-Driver!$F$203)/(Driver!$G$203-Driver!$F$203)*$BI$1</f>
        <v/>
      </c>
      <c r="BL353" s="102">
        <f>MAX((CR353-Driver!$F$202)/(Driver!$G$202-Driver!$F$202)*$BI$1,1)</f>
        <v/>
      </c>
      <c r="BM353" s="102">
        <f>MAX((CH353-Driver!$F$204)/(Driver!$G$204-Driver!$F$204)*$BI$1,1)</f>
        <v/>
      </c>
      <c r="BN353" s="102">
        <f>(CI353-Driver!$F$205)/(Driver!$G$205-Driver!$F$205)*$BI$1</f>
        <v/>
      </c>
      <c r="BO353" s="102">
        <f>(CK353-Driver!$F$207)/(Driver!$G$207-Driver!$F$207)*$BI$1</f>
        <v/>
      </c>
      <c r="BP353" s="102">
        <f>(CM353-Driver!$F$208)/(Driver!$G$208-Driver!$F$208)*$BI$1</f>
        <v/>
      </c>
      <c r="BQ353" s="102">
        <f>(CL353-Driver!$F$209)/(Driver!$G$209-Driver!$F$209)*$BI$1</f>
        <v/>
      </c>
      <c r="BR353" s="40" t="inlineStr">
        <is>
          <t>21/22</t>
        </is>
      </c>
      <c r="BS353" s="10" t="inlineStr">
        <is>
          <t xml:space="preserve"> Raccoon</t>
        </is>
      </c>
      <c r="BT353" s="11" t="inlineStr">
        <is>
          <t xml:space="preserve"> Le Grizzly</t>
        </is>
      </c>
      <c r="BU353" s="13" t="n">
        <v>172</v>
      </c>
      <c r="BV353" s="11" t="inlineStr">
        <is>
          <t xml:space="preserve"> Unisex</t>
        </is>
      </c>
      <c r="BW353" s="13" t="n">
        <v>172</v>
      </c>
      <c r="BX353" s="13" t="n">
        <v>170.4</v>
      </c>
      <c r="BY353" s="13" t="n">
        <v>107</v>
      </c>
      <c r="BZ353" s="13" t="n">
        <v>142</v>
      </c>
      <c r="CA353" s="13" t="n">
        <v>129</v>
      </c>
      <c r="CB353" s="13" t="n">
        <v>98</v>
      </c>
      <c r="CC353" s="13" t="n">
        <v>120</v>
      </c>
      <c r="CD353" s="13" t="n">
        <v>17.3</v>
      </c>
      <c r="CE353" s="13" t="n">
        <v>1585</v>
      </c>
      <c r="CF353" s="13" t="n">
        <v>1.18</v>
      </c>
      <c r="CG353" s="13" t="n">
        <v>1866</v>
      </c>
      <c r="CH353" s="13" t="n">
        <v>176</v>
      </c>
      <c r="CI353" s="13" t="n">
        <v>81</v>
      </c>
      <c r="CJ353" s="13" t="n">
        <v>66</v>
      </c>
      <c r="CK353" s="13" t="n">
        <v>384</v>
      </c>
      <c r="CL353" s="13" t="n">
        <v>27</v>
      </c>
      <c r="CM353" s="13" t="n">
        <v>245</v>
      </c>
      <c r="CN353" s="13" t="n">
        <v>0.409</v>
      </c>
      <c r="CO353" s="13" t="n">
        <v>164</v>
      </c>
      <c r="CP353" s="13" t="n">
        <v>124</v>
      </c>
      <c r="CQ353" s="13" t="n">
        <v>220</v>
      </c>
      <c r="CR353" s="13" t="n">
        <v>5</v>
      </c>
      <c r="CS353" s="13" t="n">
        <v>10.8</v>
      </c>
      <c r="CT353" s="11" t="inlineStr">
        <is>
          <t xml:space="preserve"> Resort Freeride</t>
        </is>
      </c>
      <c r="CU353" s="11" t="inlineStr">
        <is>
          <t xml:space="preserve"> Touring</t>
        </is>
      </c>
      <c r="CV353" s="13" t="n"/>
      <c r="CW353" s="13" t="n"/>
      <c r="CX353">
        <f>INDEX('Data_Price '!AG$2:AG$1266,MATCH(Data!$DN353,'Data_Price '!$AT$2:$AT$1266,0))</f>
        <v/>
      </c>
      <c r="CY353">
        <f>INDEX('Data_Price '!AH$2:AH$1266,MATCH(Data!$DN353,'Data_Price '!$AT$2:$AT$1266,0))</f>
        <v/>
      </c>
      <c r="CZ353">
        <f>INDEX('Data_Price '!AI$2:AI$1266,MATCH(Data!$DN353,'Data_Price '!$AT$2:$AT$1266,0))</f>
        <v/>
      </c>
      <c r="DA353">
        <f>INDEX('Data_Price '!AJ$2:AJ$1266,MATCH(Data!$DN353,'Data_Price '!$AT$2:$AT$1266,0))</f>
        <v/>
      </c>
      <c r="DB353">
        <f>INDEX('Data_Price '!AK$2:AK$1266,MATCH(Data!$DN353,'Data_Price '!$AT$2:$AT$1266,0))</f>
        <v/>
      </c>
      <c r="DC353">
        <f>INDEX('Data_Price '!AL$2:AL$1266,MATCH(Data!$DN353,'Data_Price '!$AT$2:$AT$1266,0))</f>
        <v/>
      </c>
      <c r="DD353">
        <f>INDEX('Data_Price '!AM$2:AM$1266,MATCH(Data!$DN353,'Data_Price '!$AT$2:$AT$1266,0))</f>
        <v/>
      </c>
      <c r="DE353">
        <f>INDEX('Data_Price '!AN$2:AN$1266,MATCH(Data!$DN353,'Data_Price '!$AT$2:$AT$1266,0))</f>
        <v/>
      </c>
      <c r="DF353">
        <f>INDEX('Data_Price '!AO$2:AO$1266,MATCH(Data!$DN353,'Data_Price '!$AT$2:$AT$1266,0))</f>
        <v/>
      </c>
      <c r="DG353">
        <f>INDEX('Data_Price '!AP$2:AP$1266,MATCH(Data!$DN353,'Data_Price '!$AT$2:$AT$1266,0))</f>
        <v/>
      </c>
      <c r="DH353">
        <f>INDEX('Data_Price '!AQ$2:AQ$1266,MATCH(Data!$DN353,'Data_Price '!$AT$2:$AT$1266,0))</f>
        <v/>
      </c>
      <c r="DI353">
        <f>INDEX('Data_Price '!AR$2:AR$1266,MATCH(Data!$DN353,'Data_Price '!$AT$2:$AT$1266,0))</f>
        <v/>
      </c>
      <c r="DJ353" s="138">
        <f>DA353</f>
        <v/>
      </c>
      <c r="DK353" s="138">
        <f>DE353</f>
        <v/>
      </c>
      <c r="DL353" s="138">
        <f>DI353</f>
        <v/>
      </c>
      <c r="DM353" s="303">
        <f>IF(LEFT(BT353,1)=" ",RIGHT(BT353,LEN(BT353)-1),BT353)</f>
        <v/>
      </c>
      <c r="DN353" s="138">
        <f>_xlfn.CONCAT(BS353,DM353,BU353,BV353)</f>
        <v/>
      </c>
      <c r="DO353" s="307" t="n"/>
    </row>
    <row r="354" ht="15.6" customHeight="1" s="184">
      <c r="B354" s="303">
        <f t="array" ref="B354">IF(OR(ISERROR(K354:P354)),FALSE,TRUE)</f>
        <v/>
      </c>
      <c r="C354" s="60">
        <f>OR(BR354=Driver!$G$50,Data!BR1077=Driver!$H$50)</f>
        <v/>
      </c>
      <c r="D354" s="60">
        <f>OR(BV354=Driver!$G$51,BV354=Driver!$H$51)</f>
        <v/>
      </c>
      <c r="E354" s="60">
        <f>AND(BX354&gt;Driver!$F$54,BX354&lt;Driver!$G$54)</f>
        <v/>
      </c>
      <c r="F354" s="60">
        <f>CL354&gt;Driver!$F$56</f>
        <v/>
      </c>
      <c r="G354" s="60">
        <f>AND(CB354&gt;Driver!$F$55,CB354&lt;Driver!$G$55)</f>
        <v/>
      </c>
      <c r="H354" s="60">
        <f>AND(B354:G354)</f>
        <v/>
      </c>
      <c r="I354" s="60">
        <f>COUNTIFS($H$9:$H$1273,TRUE,$BT$9:$BT$1273,BT354)</f>
        <v/>
      </c>
      <c r="J354" s="60">
        <f t="array" ref="J354">NOT(OR(($H$9:$H$1273=TRUE)*($I$9:$I$1273&gt;0)*($BT$9:$BT$1273=BT354)*($K$9:$K$1273&gt;K354)))</f>
        <v/>
      </c>
      <c r="K354" s="108">
        <f>IFERROR(1-AVERAGE(X354:Y354),"")</f>
        <v/>
      </c>
      <c r="L354" s="108">
        <f>1-X354</f>
        <v/>
      </c>
      <c r="M354" s="108">
        <f>1-Y354</f>
        <v/>
      </c>
      <c r="N354" s="108">
        <f>1-Z354</f>
        <v/>
      </c>
      <c r="O354" s="108">
        <f>1-AA354</f>
        <v/>
      </c>
      <c r="P354" s="108">
        <f>1-AB354</f>
        <v/>
      </c>
      <c r="Q354" s="108" t="n"/>
      <c r="R354" s="108" t="n"/>
      <c r="S354" s="108">
        <f>1-AE354</f>
        <v/>
      </c>
      <c r="T354" s="108">
        <f>1-AF354</f>
        <v/>
      </c>
      <c r="U354" s="108">
        <f>1-AG354</f>
        <v/>
      </c>
      <c r="V354" s="108">
        <f>1-AH354</f>
        <v/>
      </c>
      <c r="W354" s="108">
        <f>1-AI354</f>
        <v/>
      </c>
      <c r="X354" s="108">
        <f>ABS(AJ354-AJ$1)</f>
        <v/>
      </c>
      <c r="Y354" s="108">
        <f>AVERAGE(Z354:AB354)</f>
        <v/>
      </c>
      <c r="Z354" s="108">
        <f>ABS(AL354-AL$1)</f>
        <v/>
      </c>
      <c r="AA354" s="108">
        <f>ABS(AM354-AM$1)</f>
        <v/>
      </c>
      <c r="AB354" s="108">
        <f>ABS(AN354-AN$1)</f>
        <v/>
      </c>
      <c r="AC354" s="108" t="n"/>
      <c r="AD354" s="108" t="n"/>
      <c r="AE354" s="108">
        <f>ABS(AQ$1-AQ354)</f>
        <v/>
      </c>
      <c r="AF354" s="108">
        <f>ABS(AR$1-AR354)</f>
        <v/>
      </c>
      <c r="AG354" s="108">
        <f>ABS(AS$1-AS354)</f>
        <v/>
      </c>
      <c r="AH354" s="108">
        <f>ABS(AT$1-AT354)</f>
        <v/>
      </c>
      <c r="AI354" s="108">
        <f>ABS(AU$1-AU354)</f>
        <v/>
      </c>
      <c r="AJ354" s="108">
        <f>(AV354-Driver!$K$179)/(Driver!$L$179-Driver!$K$179)</f>
        <v/>
      </c>
      <c r="AK354" s="108">
        <f>(AW354-Driver!$K$180)/(Driver!$L$180-Driver!$K$180)</f>
        <v/>
      </c>
      <c r="AL354" s="108">
        <f>(AX354-Driver!$K$181)/(Driver!$L$181-Driver!$K$181)</f>
        <v/>
      </c>
      <c r="AM354" s="108">
        <f>(AY354-Driver!$K$182)/(Driver!$L$182-Driver!$K$182)</f>
        <v/>
      </c>
      <c r="AN354" s="108">
        <f>(AZ354-Driver!$K$183)/(Driver!$L$183-Driver!$K$183)</f>
        <v/>
      </c>
      <c r="AO354" s="108" t="n"/>
      <c r="AP354" s="108" t="n"/>
      <c r="AQ354" s="108">
        <f>(BC354-Driver!$K$188)/(Driver!$L$188-Driver!$K$188)</f>
        <v/>
      </c>
      <c r="AR354" s="108">
        <f>MIN((BD354-Driver!$K$189)/(Driver!$L$189-Driver!$K$189),100%)</f>
        <v/>
      </c>
      <c r="AS354" s="108">
        <f>(BE354-Driver!$K$190)/(Driver!$L$190-Driver!$K$190)</f>
        <v/>
      </c>
      <c r="AT354" s="108">
        <f>(BF354-Driver!$K$191)/(Driver!$L$191-Driver!$K$191)</f>
        <v/>
      </c>
      <c r="AU354" s="108">
        <f>(BG354-Driver!$K$192)/(Driver!$L$192-Driver!$K$192)</f>
        <v/>
      </c>
      <c r="AV354" s="105">
        <f>IFERROR(BM354*BJ354^1/4,"")</f>
        <v/>
      </c>
      <c r="AW354" s="105">
        <f>IFERROR(SUM(AX354:AZ354),"")</f>
        <v/>
      </c>
      <c r="AX354" s="105">
        <f>IFERROR(BH354,"")</f>
        <v/>
      </c>
      <c r="AY354" s="105">
        <f>IFERROR(Driver!$K$19/Data!BH354/Data!BI354*Data!BK354*Data!BL354,"")</f>
        <v/>
      </c>
      <c r="AZ354" s="105">
        <f>IFERROR(BI354*BN354,"")</f>
        <v/>
      </c>
      <c r="BA354" s="105" t="n"/>
      <c r="BB354" s="105" t="n"/>
      <c r="BC354" s="105">
        <f>IFERROR(BI354*BN354*BK354/BJ354^(1/2),"")</f>
        <v/>
      </c>
      <c r="BD354" s="105">
        <f>IFERROR(BH354*BM354*BL354/BJ354/BK354,"")</f>
        <v/>
      </c>
      <c r="BE354" s="105">
        <f>IFERROR(MIN(BI354/BQ354/BP354/BO354/BH354,$BE$1),"")</f>
        <v/>
      </c>
      <c r="BF354" s="105">
        <f>IFERROR(BJ354*BO354*BP354/BK354,"")</f>
        <v/>
      </c>
      <c r="BG354" s="105">
        <f>IFERROR(1/BM354/BH354*BQ354,"")</f>
        <v/>
      </c>
      <c r="BH354" s="102">
        <f>MAX((CE354-Driver!$F$200)/(Driver!$G$200-Driver!$F$200)*$BI$1,1)</f>
        <v/>
      </c>
      <c r="BI354" s="102">
        <f>MAX($BI$1*(BY354-Driver!$F$201)/(Driver!$G$201-Driver!$F$201),1)</f>
        <v/>
      </c>
      <c r="BJ354" s="102">
        <f>(CB354-Driver!$F$206)/(Driver!$G$206-Driver!$F$206)*$BI$1</f>
        <v/>
      </c>
      <c r="BK354" s="102">
        <f>(CD354-Driver!$F$203)/(Driver!$G$203-Driver!$F$203)*$BI$1</f>
        <v/>
      </c>
      <c r="BL354" s="102">
        <f>MAX((CR354-Driver!$F$202)/(Driver!$G$202-Driver!$F$202)*$BI$1,1)</f>
        <v/>
      </c>
      <c r="BM354" s="102">
        <f>MAX((CH354-Driver!$F$204)/(Driver!$G$204-Driver!$F$204)*$BI$1,1)</f>
        <v/>
      </c>
      <c r="BN354" s="102">
        <f>(CI354-Driver!$F$205)/(Driver!$G$205-Driver!$F$205)*$BI$1</f>
        <v/>
      </c>
      <c r="BO354" s="102">
        <f>(CK354-Driver!$F$207)/(Driver!$G$207-Driver!$F$207)*$BI$1</f>
        <v/>
      </c>
      <c r="BP354" s="102">
        <f>(CM354-Driver!$F$208)/(Driver!$G$208-Driver!$F$208)*$BI$1</f>
        <v/>
      </c>
      <c r="BQ354" s="102">
        <f>(CL354-Driver!$F$209)/(Driver!$G$209-Driver!$F$209)*$BI$1</f>
        <v/>
      </c>
      <c r="BR354" s="40" t="inlineStr">
        <is>
          <t>21/22</t>
        </is>
      </c>
      <c r="BS354" s="10" t="inlineStr">
        <is>
          <t xml:space="preserve"> Salomon</t>
        </is>
      </c>
      <c r="BT354" s="11" t="inlineStr">
        <is>
          <t>QST 99</t>
        </is>
      </c>
      <c r="BU354" s="13" t="n">
        <v>167</v>
      </c>
      <c r="BV354" s="11" t="inlineStr">
        <is>
          <t xml:space="preserve"> Unisex</t>
        </is>
      </c>
      <c r="BW354" s="13" t="n">
        <v>167</v>
      </c>
      <c r="BX354" s="13" t="n">
        <v>166</v>
      </c>
      <c r="BY354" s="13" t="n">
        <v>130</v>
      </c>
      <c r="BZ354" s="13" t="n">
        <v>130</v>
      </c>
      <c r="CA354" s="13" t="n">
        <v>133</v>
      </c>
      <c r="CB354" s="13" t="n">
        <v>98</v>
      </c>
      <c r="CC354" s="13" t="n">
        <v>116</v>
      </c>
      <c r="CD354" s="13" t="n">
        <v>14</v>
      </c>
      <c r="CE354" s="13" t="n">
        <v>1882</v>
      </c>
      <c r="CF354" s="13" t="n">
        <v>0.97</v>
      </c>
      <c r="CG354" s="13" t="n">
        <v>1828</v>
      </c>
      <c r="CH354" s="13" t="n">
        <v>191</v>
      </c>
      <c r="CI354" s="13" t="n">
        <v>88</v>
      </c>
      <c r="CJ354" s="13" t="n">
        <v>51</v>
      </c>
      <c r="CK354" s="13" t="n">
        <v>194</v>
      </c>
      <c r="CL354" s="13" t="n">
        <v>19</v>
      </c>
      <c r="CM354" s="13" t="n">
        <v>169</v>
      </c>
      <c r="CN354" s="13" t="n">
        <v>0.375</v>
      </c>
      <c r="CO354" s="13" t="n">
        <v>212</v>
      </c>
      <c r="CP354" s="13" t="n">
        <v>153</v>
      </c>
      <c r="CQ354" s="13" t="n">
        <v>-18</v>
      </c>
      <c r="CR354" s="13" t="n">
        <v>14</v>
      </c>
      <c r="CS354" s="13" t="n">
        <v>8.6</v>
      </c>
      <c r="CT354" s="11" t="inlineStr">
        <is>
          <t xml:space="preserve"> Resort Freeride</t>
        </is>
      </c>
      <c r="CU354" s="13" t="n"/>
      <c r="CV354" s="13" t="n"/>
      <c r="CW354" s="13" t="n"/>
      <c r="CX354">
        <f>INDEX('Data_Price '!AG$2:AG$1266,MATCH(Data!$DN354,'Data_Price '!$AT$2:$AT$1266,0))</f>
        <v/>
      </c>
      <c r="CY354">
        <f>INDEX('Data_Price '!AH$2:AH$1266,MATCH(Data!$DN354,'Data_Price '!$AT$2:$AT$1266,0))</f>
        <v/>
      </c>
      <c r="CZ354">
        <f>INDEX('Data_Price '!AI$2:AI$1266,MATCH(Data!$DN354,'Data_Price '!$AT$2:$AT$1266,0))</f>
        <v/>
      </c>
      <c r="DA354">
        <f>INDEX('Data_Price '!AJ$2:AJ$1266,MATCH(Data!$DN354,'Data_Price '!$AT$2:$AT$1266,0))</f>
        <v/>
      </c>
      <c r="DB354">
        <f>INDEX('Data_Price '!AK$2:AK$1266,MATCH(Data!$DN354,'Data_Price '!$AT$2:$AT$1266,0))</f>
        <v/>
      </c>
      <c r="DC354">
        <f>INDEX('Data_Price '!AL$2:AL$1266,MATCH(Data!$DN354,'Data_Price '!$AT$2:$AT$1266,0))</f>
        <v/>
      </c>
      <c r="DD354">
        <f>INDEX('Data_Price '!AM$2:AM$1266,MATCH(Data!$DN354,'Data_Price '!$AT$2:$AT$1266,0))</f>
        <v/>
      </c>
      <c r="DE354">
        <f>INDEX('Data_Price '!AN$2:AN$1266,MATCH(Data!$DN354,'Data_Price '!$AT$2:$AT$1266,0))</f>
        <v/>
      </c>
      <c r="DF354">
        <f>INDEX('Data_Price '!AO$2:AO$1266,MATCH(Data!$DN354,'Data_Price '!$AT$2:$AT$1266,0))</f>
        <v/>
      </c>
      <c r="DG354">
        <f>INDEX('Data_Price '!AP$2:AP$1266,MATCH(Data!$DN354,'Data_Price '!$AT$2:$AT$1266,0))</f>
        <v/>
      </c>
      <c r="DH354">
        <f>INDEX('Data_Price '!AQ$2:AQ$1266,MATCH(Data!$DN354,'Data_Price '!$AT$2:$AT$1266,0))</f>
        <v/>
      </c>
      <c r="DI354">
        <f>INDEX('Data_Price '!AR$2:AR$1266,MATCH(Data!$DN354,'Data_Price '!$AT$2:$AT$1266,0))</f>
        <v/>
      </c>
      <c r="DJ354" s="138">
        <f>DA354</f>
        <v/>
      </c>
      <c r="DK354" s="138">
        <f>DE354</f>
        <v/>
      </c>
      <c r="DL354" s="138">
        <f>DI354</f>
        <v/>
      </c>
      <c r="DM354" s="303">
        <f>IF(LEFT(BT354,1)=" ",RIGHT(BT354,LEN(BT354)-1),BT354)</f>
        <v/>
      </c>
      <c r="DN354" s="138">
        <f>_xlfn.CONCAT(BS354,DM354,BU354,BV354)</f>
        <v/>
      </c>
      <c r="DO354" s="307" t="inlineStr">
        <is>
          <t>https://images.evo.com/imgp/250/197278/812047/salomon-qst-lumen-99-skis-women-s-2022-.jpg</t>
        </is>
      </c>
    </row>
    <row r="355" ht="15.6" customHeight="1" s="184">
      <c r="B355" s="303">
        <f t="array" ref="B355">IF(OR(ISERROR(K355:P355)),FALSE,TRUE)</f>
        <v/>
      </c>
      <c r="C355" s="60">
        <f>OR(BR355=Driver!$G$50,Data!BR1062=Driver!$H$50)</f>
        <v/>
      </c>
      <c r="D355" s="60">
        <f>OR(BV355=Driver!$G$51,BV355=Driver!$H$51)</f>
        <v/>
      </c>
      <c r="E355" s="60">
        <f>AND(BX355&gt;Driver!$F$54,BX355&lt;Driver!$G$54)</f>
        <v/>
      </c>
      <c r="F355" s="60">
        <f>CL355&gt;Driver!$F$56</f>
        <v/>
      </c>
      <c r="G355" s="60">
        <f>AND(CB355&gt;Driver!$F$55,CB355&lt;Driver!$G$55)</f>
        <v/>
      </c>
      <c r="H355" s="60">
        <f>AND(B355:G355)</f>
        <v/>
      </c>
      <c r="I355" s="60">
        <f>COUNTIFS($H$9:$H$1273,TRUE,$BT$9:$BT$1273,BT355)</f>
        <v/>
      </c>
      <c r="J355" s="60">
        <f t="array" ref="J355">NOT(OR(($H$9:$H$1273=TRUE)*($I$9:$I$1273&gt;0)*($BT$9:$BT$1273=BT355)*($K$9:$K$1273&gt;K355)))</f>
        <v/>
      </c>
      <c r="K355" s="108">
        <f>IFERROR(1-AVERAGE(X355:Y355),"")</f>
        <v/>
      </c>
      <c r="L355" s="108">
        <f>1-X355</f>
        <v/>
      </c>
      <c r="M355" s="108">
        <f>1-Y355</f>
        <v/>
      </c>
      <c r="N355" s="108">
        <f>1-Z355</f>
        <v/>
      </c>
      <c r="O355" s="108">
        <f>1-AA355</f>
        <v/>
      </c>
      <c r="P355" s="108">
        <f>1-AB355</f>
        <v/>
      </c>
      <c r="Q355" s="108" t="n"/>
      <c r="R355" s="108" t="n"/>
      <c r="S355" s="108">
        <f>1-AE355</f>
        <v/>
      </c>
      <c r="T355" s="108">
        <f>1-AF355</f>
        <v/>
      </c>
      <c r="U355" s="108">
        <f>1-AG355</f>
        <v/>
      </c>
      <c r="V355" s="108">
        <f>1-AH355</f>
        <v/>
      </c>
      <c r="W355" s="108">
        <f>1-AI355</f>
        <v/>
      </c>
      <c r="X355" s="108">
        <f>ABS(AJ355-AJ$1)</f>
        <v/>
      </c>
      <c r="Y355" s="108">
        <f>AVERAGE(Z355:AB355)</f>
        <v/>
      </c>
      <c r="Z355" s="108">
        <f>ABS(AL355-AL$1)</f>
        <v/>
      </c>
      <c r="AA355" s="108">
        <f>ABS(AM355-AM$1)</f>
        <v/>
      </c>
      <c r="AB355" s="108">
        <f>ABS(AN355-AN$1)</f>
        <v/>
      </c>
      <c r="AC355" s="108" t="n"/>
      <c r="AD355" s="108" t="n"/>
      <c r="AE355" s="108">
        <f>ABS(AQ$1-AQ355)</f>
        <v/>
      </c>
      <c r="AF355" s="108">
        <f>ABS(AR$1-AR355)</f>
        <v/>
      </c>
      <c r="AG355" s="108">
        <f>ABS(AS$1-AS355)</f>
        <v/>
      </c>
      <c r="AH355" s="108">
        <f>ABS(AT$1-AT355)</f>
        <v/>
      </c>
      <c r="AI355" s="108">
        <f>ABS(AU$1-AU355)</f>
        <v/>
      </c>
      <c r="AJ355" s="108">
        <f>(AV355-Driver!$K$179)/(Driver!$L$179-Driver!$K$179)</f>
        <v/>
      </c>
      <c r="AK355" s="108">
        <f>(AW355-Driver!$K$180)/(Driver!$L$180-Driver!$K$180)</f>
        <v/>
      </c>
      <c r="AL355" s="108">
        <f>(AX355-Driver!$K$181)/(Driver!$L$181-Driver!$K$181)</f>
        <v/>
      </c>
      <c r="AM355" s="108">
        <f>(AY355-Driver!$K$182)/(Driver!$L$182-Driver!$K$182)</f>
        <v/>
      </c>
      <c r="AN355" s="108">
        <f>(AZ355-Driver!$K$183)/(Driver!$L$183-Driver!$K$183)</f>
        <v/>
      </c>
      <c r="AO355" s="108" t="n"/>
      <c r="AP355" s="108" t="n"/>
      <c r="AQ355" s="108">
        <f>(BC355-Driver!$K$188)/(Driver!$L$188-Driver!$K$188)</f>
        <v/>
      </c>
      <c r="AR355" s="108">
        <f>MIN((BD355-Driver!$K$189)/(Driver!$L$189-Driver!$K$189),100%)</f>
        <v/>
      </c>
      <c r="AS355" s="108">
        <f>(BE355-Driver!$K$190)/(Driver!$L$190-Driver!$K$190)</f>
        <v/>
      </c>
      <c r="AT355" s="108">
        <f>(BF355-Driver!$K$191)/(Driver!$L$191-Driver!$K$191)</f>
        <v/>
      </c>
      <c r="AU355" s="108">
        <f>(BG355-Driver!$K$192)/(Driver!$L$192-Driver!$K$192)</f>
        <v/>
      </c>
      <c r="AV355" s="105">
        <f>IFERROR(BM355*BJ355^1/4,"")</f>
        <v/>
      </c>
      <c r="AW355" s="105">
        <f>IFERROR(SUM(AX355:AZ355),"")</f>
        <v/>
      </c>
      <c r="AX355" s="105">
        <f>IFERROR(BH355,"")</f>
        <v/>
      </c>
      <c r="AY355" s="105">
        <f>IFERROR(Driver!$K$19/Data!BH355/Data!BI355*Data!BK355*Data!BL355,"")</f>
        <v/>
      </c>
      <c r="AZ355" s="105">
        <f>IFERROR(BI355*BN355,"")</f>
        <v/>
      </c>
      <c r="BA355" s="105" t="n"/>
      <c r="BB355" s="105" t="n"/>
      <c r="BC355" s="105">
        <f>IFERROR(BI355*BN355*BK355/BJ355^(1/2),"")</f>
        <v/>
      </c>
      <c r="BD355" s="105">
        <f>IFERROR(BH355*BM355*BL355/BJ355/BK355,"")</f>
        <v/>
      </c>
      <c r="BE355" s="105">
        <f>IFERROR(MIN(BI355/BQ355/BP355/BO355/BH355,$BE$1),"")</f>
        <v/>
      </c>
      <c r="BF355" s="105">
        <f>IFERROR(BJ355*BO355*BP355/BK355,"")</f>
        <v/>
      </c>
      <c r="BG355" s="105">
        <f>IFERROR(1/BM355/BH355*BQ355,"")</f>
        <v/>
      </c>
      <c r="BH355" s="102">
        <f>MAX((CE355-Driver!$F$200)/(Driver!$G$200-Driver!$F$200)*$BI$1,1)</f>
        <v/>
      </c>
      <c r="BI355" s="102">
        <f>MAX($BI$1*(BY355-Driver!$F$201)/(Driver!$G$201-Driver!$F$201),1)</f>
        <v/>
      </c>
      <c r="BJ355" s="102">
        <f>(CB355-Driver!$F$206)/(Driver!$G$206-Driver!$F$206)*$BI$1</f>
        <v/>
      </c>
      <c r="BK355" s="102">
        <f>(CD355-Driver!$F$203)/(Driver!$G$203-Driver!$F$203)*$BI$1</f>
        <v/>
      </c>
      <c r="BL355" s="102">
        <f>MAX((CR355-Driver!$F$202)/(Driver!$G$202-Driver!$F$202)*$BI$1,1)</f>
        <v/>
      </c>
      <c r="BM355" s="102">
        <f>MAX((CH355-Driver!$F$204)/(Driver!$G$204-Driver!$F$204)*$BI$1,1)</f>
        <v/>
      </c>
      <c r="BN355" s="102">
        <f>(CI355-Driver!$F$205)/(Driver!$G$205-Driver!$F$205)*$BI$1</f>
        <v/>
      </c>
      <c r="BO355" s="102">
        <f>(CK355-Driver!$F$207)/(Driver!$G$207-Driver!$F$207)*$BI$1</f>
        <v/>
      </c>
      <c r="BP355" s="102">
        <f>(CM355-Driver!$F$208)/(Driver!$G$208-Driver!$F$208)*$BI$1</f>
        <v/>
      </c>
      <c r="BQ355" s="102">
        <f>(CL355-Driver!$F$209)/(Driver!$G$209-Driver!$F$209)*$BI$1</f>
        <v/>
      </c>
      <c r="BR355" s="40" t="inlineStr">
        <is>
          <t>21/22</t>
        </is>
      </c>
      <c r="BS355" s="10" t="inlineStr">
        <is>
          <t xml:space="preserve"> Salomon</t>
        </is>
      </c>
      <c r="BT355" s="11" t="inlineStr">
        <is>
          <t>MTN Explore 95</t>
        </is>
      </c>
      <c r="BU355" s="13" t="n">
        <v>169</v>
      </c>
      <c r="BV355" s="11" t="inlineStr">
        <is>
          <t xml:space="preserve"> Unisex</t>
        </is>
      </c>
      <c r="BW355" s="13" t="n">
        <v>169</v>
      </c>
      <c r="BX355" s="13" t="n">
        <v>168.7</v>
      </c>
      <c r="BY355" s="13" t="n">
        <v>125</v>
      </c>
      <c r="BZ355" s="13" t="n">
        <v>140</v>
      </c>
      <c r="CA355" s="13" t="n">
        <v>128</v>
      </c>
      <c r="CB355" s="13" t="n">
        <v>94</v>
      </c>
      <c r="CC355" s="13" t="n">
        <v>115</v>
      </c>
      <c r="CD355" s="13" t="n">
        <v>16.6</v>
      </c>
      <c r="CE355" s="13" t="n">
        <v>1450</v>
      </c>
      <c r="CF355" s="13" t="n">
        <v>1.23</v>
      </c>
      <c r="CG355" s="13" t="n">
        <v>1780</v>
      </c>
      <c r="CH355" s="13" t="n">
        <v>169</v>
      </c>
      <c r="CI355" s="13" t="n">
        <v>67</v>
      </c>
      <c r="CJ355" s="13" t="n">
        <v>55</v>
      </c>
      <c r="CK355" s="13" t="n">
        <v>321</v>
      </c>
      <c r="CL355" s="13" t="n">
        <v>7</v>
      </c>
      <c r="CM355" s="13" t="n">
        <v>115</v>
      </c>
      <c r="CN355" s="13" t="n">
        <v>0.119</v>
      </c>
      <c r="CO355" s="13" t="n">
        <v>181</v>
      </c>
      <c r="CP355" s="13" t="n">
        <v>111</v>
      </c>
      <c r="CQ355" s="13" t="n">
        <v>140</v>
      </c>
      <c r="CR355" s="13" t="n">
        <v>4</v>
      </c>
      <c r="CS355" s="13" t="n">
        <v>10.6</v>
      </c>
      <c r="CT355" s="11" t="inlineStr">
        <is>
          <t xml:space="preserve"> Resort Freeride</t>
        </is>
      </c>
      <c r="CU355" s="11" t="inlineStr">
        <is>
          <t xml:space="preserve"> Touring</t>
        </is>
      </c>
      <c r="CV355" s="13" t="n"/>
      <c r="CW355" s="13" t="n"/>
      <c r="CX355">
        <f>INDEX('Data_Price '!AG$2:AG$1266,MATCH(Data!$DN355,'Data_Price '!$AT$2:$AT$1266,0))</f>
        <v/>
      </c>
      <c r="CY355">
        <f>INDEX('Data_Price '!AH$2:AH$1266,MATCH(Data!$DN355,'Data_Price '!$AT$2:$AT$1266,0))</f>
        <v/>
      </c>
      <c r="CZ355">
        <f>INDEX('Data_Price '!AI$2:AI$1266,MATCH(Data!$DN355,'Data_Price '!$AT$2:$AT$1266,0))</f>
        <v/>
      </c>
      <c r="DA355">
        <f>INDEX('Data_Price '!AJ$2:AJ$1266,MATCH(Data!$DN355,'Data_Price '!$AT$2:$AT$1266,0))</f>
        <v/>
      </c>
      <c r="DB355">
        <f>INDEX('Data_Price '!AK$2:AK$1266,MATCH(Data!$DN355,'Data_Price '!$AT$2:$AT$1266,0))</f>
        <v/>
      </c>
      <c r="DC355">
        <f>INDEX('Data_Price '!AL$2:AL$1266,MATCH(Data!$DN355,'Data_Price '!$AT$2:$AT$1266,0))</f>
        <v/>
      </c>
      <c r="DD355">
        <f>INDEX('Data_Price '!AM$2:AM$1266,MATCH(Data!$DN355,'Data_Price '!$AT$2:$AT$1266,0))</f>
        <v/>
      </c>
      <c r="DE355">
        <f>INDEX('Data_Price '!AN$2:AN$1266,MATCH(Data!$DN355,'Data_Price '!$AT$2:$AT$1266,0))</f>
        <v/>
      </c>
      <c r="DF355">
        <f>INDEX('Data_Price '!AO$2:AO$1266,MATCH(Data!$DN355,'Data_Price '!$AT$2:$AT$1266,0))</f>
        <v/>
      </c>
      <c r="DG355">
        <f>INDEX('Data_Price '!AP$2:AP$1266,MATCH(Data!$DN355,'Data_Price '!$AT$2:$AT$1266,0))</f>
        <v/>
      </c>
      <c r="DH355">
        <f>INDEX('Data_Price '!AQ$2:AQ$1266,MATCH(Data!$DN355,'Data_Price '!$AT$2:$AT$1266,0))</f>
        <v/>
      </c>
      <c r="DI355">
        <f>INDEX('Data_Price '!AR$2:AR$1266,MATCH(Data!$DN355,'Data_Price '!$AT$2:$AT$1266,0))</f>
        <v/>
      </c>
      <c r="DJ355" s="138">
        <f>DA355</f>
        <v/>
      </c>
      <c r="DK355" s="138">
        <f>DE355</f>
        <v/>
      </c>
      <c r="DL355" s="138">
        <f>DI355</f>
        <v/>
      </c>
      <c r="DM355" s="303">
        <f>IF(LEFT(BT355,1)=" ",RIGHT(BT355,LEN(BT355)-1),BT355)</f>
        <v/>
      </c>
      <c r="DN355" s="138">
        <f>_xlfn.CONCAT(BS355,DM355,BU355,BV355)</f>
        <v/>
      </c>
      <c r="DO355" s="307" t="inlineStr">
        <is>
          <t>https://images.evo.com/imgp/250/197284/812037/clone.jpg</t>
        </is>
      </c>
    </row>
    <row r="356" ht="15.6" customHeight="1" s="184">
      <c r="B356" s="303">
        <f t="array" ref="B356">IF(OR(ISERROR(K356:P356)),FALSE,TRUE)</f>
        <v/>
      </c>
      <c r="C356" s="60">
        <f>OR(BR356=Driver!$G$50,Data!BR926=Driver!$H$50)</f>
        <v/>
      </c>
      <c r="D356" s="60">
        <f>OR(BV356=Driver!$G$51,BV356=Driver!$H$51)</f>
        <v/>
      </c>
      <c r="E356" s="60">
        <f>AND(BX356&gt;Driver!$F$54,BX356&lt;Driver!$G$54)</f>
        <v/>
      </c>
      <c r="F356" s="60">
        <f>CL356&gt;Driver!$F$56</f>
        <v/>
      </c>
      <c r="G356" s="60">
        <f>AND(CB356&gt;Driver!$F$55,CB356&lt;Driver!$G$55)</f>
        <v/>
      </c>
      <c r="H356" s="60">
        <f>AND(B356:G356)</f>
        <v/>
      </c>
      <c r="I356" s="60">
        <f>COUNTIFS($H$9:$H$1273,TRUE,$BT$9:$BT$1273,BT356)</f>
        <v/>
      </c>
      <c r="J356" s="60">
        <f t="array" ref="J356">NOT(OR(($H$9:$H$1273=TRUE)*($I$9:$I$1273&gt;0)*($BT$9:$BT$1273=BT356)*($K$9:$K$1273&gt;K356)))</f>
        <v/>
      </c>
      <c r="K356" s="108">
        <f>IFERROR(1-AVERAGE(X356:Y356),"")</f>
        <v/>
      </c>
      <c r="L356" s="108">
        <f>1-X356</f>
        <v/>
      </c>
      <c r="M356" s="108">
        <f>1-Y356</f>
        <v/>
      </c>
      <c r="N356" s="108">
        <f>1-Z356</f>
        <v/>
      </c>
      <c r="O356" s="108">
        <f>1-AA356</f>
        <v/>
      </c>
      <c r="P356" s="108">
        <f>1-AB356</f>
        <v/>
      </c>
      <c r="Q356" s="108" t="n"/>
      <c r="R356" s="108" t="n"/>
      <c r="S356" s="108">
        <f>1-AE356</f>
        <v/>
      </c>
      <c r="T356" s="108">
        <f>1-AF356</f>
        <v/>
      </c>
      <c r="U356" s="108">
        <f>1-AG356</f>
        <v/>
      </c>
      <c r="V356" s="108">
        <f>1-AH356</f>
        <v/>
      </c>
      <c r="W356" s="108">
        <f>1-AI356</f>
        <v/>
      </c>
      <c r="X356" s="108">
        <f>ABS(AJ356-AJ$1)</f>
        <v/>
      </c>
      <c r="Y356" s="108">
        <f>AVERAGE(Z356:AB356)</f>
        <v/>
      </c>
      <c r="Z356" s="108">
        <f>ABS(AL356-AL$1)</f>
        <v/>
      </c>
      <c r="AA356" s="108">
        <f>ABS(AM356-AM$1)</f>
        <v/>
      </c>
      <c r="AB356" s="108">
        <f>ABS(AN356-AN$1)</f>
        <v/>
      </c>
      <c r="AC356" s="108" t="n"/>
      <c r="AD356" s="108" t="n"/>
      <c r="AE356" s="108">
        <f>ABS(AQ$1-AQ356)</f>
        <v/>
      </c>
      <c r="AF356" s="108">
        <f>ABS(AR$1-AR356)</f>
        <v/>
      </c>
      <c r="AG356" s="108">
        <f>ABS(AS$1-AS356)</f>
        <v/>
      </c>
      <c r="AH356" s="108">
        <f>ABS(AT$1-AT356)</f>
        <v/>
      </c>
      <c r="AI356" s="108">
        <f>ABS(AU$1-AU356)</f>
        <v/>
      </c>
      <c r="AJ356" s="108">
        <f>(AV356-Driver!$K$179)/(Driver!$L$179-Driver!$K$179)</f>
        <v/>
      </c>
      <c r="AK356" s="108">
        <f>(AW356-Driver!$K$180)/(Driver!$L$180-Driver!$K$180)</f>
        <v/>
      </c>
      <c r="AL356" s="108">
        <f>(AX356-Driver!$K$181)/(Driver!$L$181-Driver!$K$181)</f>
        <v/>
      </c>
      <c r="AM356" s="108">
        <f>(AY356-Driver!$K$182)/(Driver!$L$182-Driver!$K$182)</f>
        <v/>
      </c>
      <c r="AN356" s="108">
        <f>(AZ356-Driver!$K$183)/(Driver!$L$183-Driver!$K$183)</f>
        <v/>
      </c>
      <c r="AO356" s="108" t="n"/>
      <c r="AP356" s="108" t="n"/>
      <c r="AQ356" s="108">
        <f>(BC356-Driver!$K$188)/(Driver!$L$188-Driver!$K$188)</f>
        <v/>
      </c>
      <c r="AR356" s="108">
        <f>MIN((BD356-Driver!$K$189)/(Driver!$L$189-Driver!$K$189),100%)</f>
        <v/>
      </c>
      <c r="AS356" s="108">
        <f>(BE356-Driver!$K$190)/(Driver!$L$190-Driver!$K$190)</f>
        <v/>
      </c>
      <c r="AT356" s="108">
        <f>(BF356-Driver!$K$191)/(Driver!$L$191-Driver!$K$191)</f>
        <v/>
      </c>
      <c r="AU356" s="108">
        <f>(BG356-Driver!$K$192)/(Driver!$L$192-Driver!$K$192)</f>
        <v/>
      </c>
      <c r="AV356" s="105">
        <f>IFERROR(BM356*BJ356^1/4,"")</f>
        <v/>
      </c>
      <c r="AW356" s="105">
        <f>IFERROR(SUM(AX356:AZ356),"")</f>
        <v/>
      </c>
      <c r="AX356" s="105">
        <f>IFERROR(BH356,"")</f>
        <v/>
      </c>
      <c r="AY356" s="105">
        <f>IFERROR(Driver!$K$19/Data!BH356/Data!BI356*Data!BK356*Data!BL356,"")</f>
        <v/>
      </c>
      <c r="AZ356" s="105">
        <f>IFERROR(BI356*BN356,"")</f>
        <v/>
      </c>
      <c r="BA356" s="105" t="n"/>
      <c r="BB356" s="105" t="n"/>
      <c r="BC356" s="105">
        <f>IFERROR(BI356*BN356*BK356/BJ356^(1/2),"")</f>
        <v/>
      </c>
      <c r="BD356" s="105">
        <f>IFERROR(BH356*BM356*BL356/BJ356/BK356,"")</f>
        <v/>
      </c>
      <c r="BE356" s="105">
        <f>IFERROR(MIN(BI356/BQ356/BP356/BO356/BH356,$BE$1),"")</f>
        <v/>
      </c>
      <c r="BF356" s="105">
        <f>IFERROR(BJ356*BO356*BP356/BK356,"")</f>
        <v/>
      </c>
      <c r="BG356" s="105">
        <f>IFERROR(1/BM356/BH356*BQ356,"")</f>
        <v/>
      </c>
      <c r="BH356" s="102">
        <f>MAX((CE356-Driver!$F$200)/(Driver!$G$200-Driver!$F$200)*$BI$1,1)</f>
        <v/>
      </c>
      <c r="BI356" s="102">
        <f>MAX($BI$1*(BY356-Driver!$F$201)/(Driver!$G$201-Driver!$F$201),1)</f>
        <v/>
      </c>
      <c r="BJ356" s="102">
        <f>(CB356-Driver!$F$206)/(Driver!$G$206-Driver!$F$206)*$BI$1</f>
        <v/>
      </c>
      <c r="BK356" s="102">
        <f>(CD356-Driver!$F$203)/(Driver!$G$203-Driver!$F$203)*$BI$1</f>
        <v/>
      </c>
      <c r="BL356" s="102">
        <f>MAX((CR356-Driver!$F$202)/(Driver!$G$202-Driver!$F$202)*$BI$1,1)</f>
        <v/>
      </c>
      <c r="BM356" s="102">
        <f>MAX((CH356-Driver!$F$204)/(Driver!$G$204-Driver!$F$204)*$BI$1,1)</f>
        <v/>
      </c>
      <c r="BN356" s="102">
        <f>(CI356-Driver!$F$205)/(Driver!$G$205-Driver!$F$205)*$BI$1</f>
        <v/>
      </c>
      <c r="BO356" s="102">
        <f>(CK356-Driver!$F$207)/(Driver!$G$207-Driver!$F$207)*$BI$1</f>
        <v/>
      </c>
      <c r="BP356" s="102">
        <f>(CM356-Driver!$F$208)/(Driver!$G$208-Driver!$F$208)*$BI$1</f>
        <v/>
      </c>
      <c r="BQ356" s="102">
        <f>(CL356-Driver!$F$209)/(Driver!$G$209-Driver!$F$209)*$BI$1</f>
        <v/>
      </c>
      <c r="BR356" s="40" t="inlineStr">
        <is>
          <t>21/22</t>
        </is>
      </c>
      <c r="BS356" s="10" t="inlineStr">
        <is>
          <t xml:space="preserve"> Nordica</t>
        </is>
      </c>
      <c r="BT356" s="11" t="inlineStr">
        <is>
          <t>Santa Ana 93</t>
        </is>
      </c>
      <c r="BU356" s="13" t="n">
        <v>158</v>
      </c>
      <c r="BV356" s="11" t="inlineStr">
        <is>
          <t xml:space="preserve"> Women's</t>
        </is>
      </c>
      <c r="BW356" s="13" t="n">
        <v>158</v>
      </c>
      <c r="BX356" s="13" t="n">
        <v>157.2</v>
      </c>
      <c r="BY356" s="13" t="n">
        <v>111</v>
      </c>
      <c r="BZ356" s="13" t="n">
        <v>128</v>
      </c>
      <c r="CA356" s="13" t="n">
        <v>126</v>
      </c>
      <c r="CB356" s="13" t="n">
        <v>93</v>
      </c>
      <c r="CC356" s="13" t="n">
        <v>112</v>
      </c>
      <c r="CD356" s="13" t="n">
        <v>14.3</v>
      </c>
      <c r="CE356" s="13" t="n">
        <v>1755</v>
      </c>
      <c r="CF356" s="13" t="n">
        <v>0.93</v>
      </c>
      <c r="CG356" s="13" t="n">
        <v>1634</v>
      </c>
      <c r="CH356" s="13" t="n">
        <v>173</v>
      </c>
      <c r="CI356" s="13" t="n">
        <v>97</v>
      </c>
      <c r="CJ356" s="13" t="n">
        <v>60</v>
      </c>
      <c r="CK356" s="13" t="n">
        <v>270</v>
      </c>
      <c r="CL356" s="13" t="n">
        <v>18</v>
      </c>
      <c r="CM356" s="13" t="n">
        <v>193</v>
      </c>
      <c r="CN356" s="13" t="n">
        <v>0.303</v>
      </c>
      <c r="CO356" s="13" t="n">
        <v>150</v>
      </c>
      <c r="CP356" s="13" t="n">
        <v>143</v>
      </c>
      <c r="CQ356" s="13" t="n">
        <v>120</v>
      </c>
      <c r="CR356" s="13" t="n">
        <v>6</v>
      </c>
      <c r="CS356" s="13" t="n">
        <v>8.699999999999999</v>
      </c>
      <c r="CT356" s="11" t="inlineStr">
        <is>
          <t xml:space="preserve"> Resort Freeride</t>
        </is>
      </c>
      <c r="CU356" s="13" t="n"/>
      <c r="CV356" s="13" t="n"/>
      <c r="CW356" s="13" t="n"/>
      <c r="CX356">
        <f>INDEX('Data_Price '!AG$2:AG$1266,MATCH(Data!$DN356,'Data_Price '!$AT$2:$AT$1266,0))</f>
        <v/>
      </c>
      <c r="CY356">
        <f>INDEX('Data_Price '!AH$2:AH$1266,MATCH(Data!$DN356,'Data_Price '!$AT$2:$AT$1266,0))</f>
        <v/>
      </c>
      <c r="CZ356">
        <f>INDEX('Data_Price '!AI$2:AI$1266,MATCH(Data!$DN356,'Data_Price '!$AT$2:$AT$1266,0))</f>
        <v/>
      </c>
      <c r="DA356">
        <f>INDEX('Data_Price '!AJ$2:AJ$1266,MATCH(Data!$DN356,'Data_Price '!$AT$2:$AT$1266,0))</f>
        <v/>
      </c>
      <c r="DB356">
        <f>INDEX('Data_Price '!AK$2:AK$1266,MATCH(Data!$DN356,'Data_Price '!$AT$2:$AT$1266,0))</f>
        <v/>
      </c>
      <c r="DC356">
        <f>INDEX('Data_Price '!AL$2:AL$1266,MATCH(Data!$DN356,'Data_Price '!$AT$2:$AT$1266,0))</f>
        <v/>
      </c>
      <c r="DD356">
        <f>INDEX('Data_Price '!AM$2:AM$1266,MATCH(Data!$DN356,'Data_Price '!$AT$2:$AT$1266,0))</f>
        <v/>
      </c>
      <c r="DE356">
        <f>INDEX('Data_Price '!AN$2:AN$1266,MATCH(Data!$DN356,'Data_Price '!$AT$2:$AT$1266,0))</f>
        <v/>
      </c>
      <c r="DF356">
        <f>INDEX('Data_Price '!AO$2:AO$1266,MATCH(Data!$DN356,'Data_Price '!$AT$2:$AT$1266,0))</f>
        <v/>
      </c>
      <c r="DG356">
        <f>INDEX('Data_Price '!AP$2:AP$1266,MATCH(Data!$DN356,'Data_Price '!$AT$2:$AT$1266,0))</f>
        <v/>
      </c>
      <c r="DH356">
        <f>INDEX('Data_Price '!AQ$2:AQ$1266,MATCH(Data!$DN356,'Data_Price '!$AT$2:$AT$1266,0))</f>
        <v/>
      </c>
      <c r="DI356">
        <f>INDEX('Data_Price '!AR$2:AR$1266,MATCH(Data!$DN356,'Data_Price '!$AT$2:$AT$1266,0))</f>
        <v/>
      </c>
      <c r="DJ356" s="138">
        <f>DA356</f>
        <v/>
      </c>
      <c r="DK356" s="138">
        <f>DE356</f>
        <v/>
      </c>
      <c r="DL356" s="138">
        <f>DI356</f>
        <v/>
      </c>
      <c r="DM356" s="303">
        <f>IF(LEFT(BT356,1)=" ",RIGHT(BT356,LEN(BT356)-1),BT356)</f>
        <v/>
      </c>
      <c r="DN356" s="138">
        <f>_xlfn.CONCAT(BS356,DM356,BU356,BV356)</f>
        <v/>
      </c>
      <c r="DO356" s="307" t="inlineStr">
        <is>
          <t>https://images.evo.com/imgp/250/198265/792325/nordica-santa-ana-93-skis-women-s-2022-.jpg</t>
        </is>
      </c>
    </row>
    <row r="357" ht="15.6" customHeight="1" s="184">
      <c r="B357" s="303">
        <f t="array" ref="B357">IF(OR(ISERROR(K357:P357)),FALSE,TRUE)</f>
        <v/>
      </c>
      <c r="C357" s="60">
        <f>OR(BR357=Driver!$G$50,Data!BR1063=Driver!$H$50)</f>
        <v/>
      </c>
      <c r="D357" s="60">
        <f>OR(BV357=Driver!$G$51,BV357=Driver!$H$51)</f>
        <v/>
      </c>
      <c r="E357" s="60">
        <f>AND(BX357&gt;Driver!$F$54,BX357&lt;Driver!$G$54)</f>
        <v/>
      </c>
      <c r="F357" s="60">
        <f>CL357&gt;Driver!$F$56</f>
        <v/>
      </c>
      <c r="G357" s="60">
        <f>AND(CB357&gt;Driver!$F$55,CB357&lt;Driver!$G$55)</f>
        <v/>
      </c>
      <c r="H357" s="60">
        <f>AND(B357:G357)</f>
        <v/>
      </c>
      <c r="I357" s="60">
        <f>COUNTIFS($H$9:$H$1273,TRUE,$BT$9:$BT$1273,BT357)</f>
        <v/>
      </c>
      <c r="J357" s="60">
        <f t="array" ref="J357">NOT(OR(($H$9:$H$1273=TRUE)*($I$9:$I$1273&gt;0)*($BT$9:$BT$1273=BT357)*($K$9:$K$1273&gt;K357)))</f>
        <v/>
      </c>
      <c r="K357" s="108">
        <f>IFERROR(1-AVERAGE(X357:Y357),"")</f>
        <v/>
      </c>
      <c r="L357" s="108">
        <f>1-X357</f>
        <v/>
      </c>
      <c r="M357" s="108">
        <f>1-Y357</f>
        <v/>
      </c>
      <c r="N357" s="108">
        <f>1-Z357</f>
        <v/>
      </c>
      <c r="O357" s="108">
        <f>1-AA357</f>
        <v/>
      </c>
      <c r="P357" s="108">
        <f>1-AB357</f>
        <v/>
      </c>
      <c r="Q357" s="108" t="n"/>
      <c r="R357" s="108" t="n"/>
      <c r="S357" s="108">
        <f>1-AE357</f>
        <v/>
      </c>
      <c r="T357" s="108">
        <f>1-AF357</f>
        <v/>
      </c>
      <c r="U357" s="108">
        <f>1-AG357</f>
        <v/>
      </c>
      <c r="V357" s="108">
        <f>1-AH357</f>
        <v/>
      </c>
      <c r="W357" s="108">
        <f>1-AI357</f>
        <v/>
      </c>
      <c r="X357" s="108">
        <f>ABS(AJ357-AJ$1)</f>
        <v/>
      </c>
      <c r="Y357" s="108">
        <f>AVERAGE(Z357:AB357)</f>
        <v/>
      </c>
      <c r="Z357" s="108">
        <f>ABS(AL357-AL$1)</f>
        <v/>
      </c>
      <c r="AA357" s="108">
        <f>ABS(AM357-AM$1)</f>
        <v/>
      </c>
      <c r="AB357" s="108">
        <f>ABS(AN357-AN$1)</f>
        <v/>
      </c>
      <c r="AC357" s="108" t="n"/>
      <c r="AD357" s="108" t="n"/>
      <c r="AE357" s="108">
        <f>ABS(AQ$1-AQ357)</f>
        <v/>
      </c>
      <c r="AF357" s="108">
        <f>ABS(AR$1-AR357)</f>
        <v/>
      </c>
      <c r="AG357" s="108">
        <f>ABS(AS$1-AS357)</f>
        <v/>
      </c>
      <c r="AH357" s="108">
        <f>ABS(AT$1-AT357)</f>
        <v/>
      </c>
      <c r="AI357" s="108">
        <f>ABS(AU$1-AU357)</f>
        <v/>
      </c>
      <c r="AJ357" s="108">
        <f>(AV357-Driver!$K$179)/(Driver!$L$179-Driver!$K$179)</f>
        <v/>
      </c>
      <c r="AK357" s="108">
        <f>(AW357-Driver!$K$180)/(Driver!$L$180-Driver!$K$180)</f>
        <v/>
      </c>
      <c r="AL357" s="108">
        <f>(AX357-Driver!$K$181)/(Driver!$L$181-Driver!$K$181)</f>
        <v/>
      </c>
      <c r="AM357" s="108">
        <f>(AY357-Driver!$K$182)/(Driver!$L$182-Driver!$K$182)</f>
        <v/>
      </c>
      <c r="AN357" s="108">
        <f>(AZ357-Driver!$K$183)/(Driver!$L$183-Driver!$K$183)</f>
        <v/>
      </c>
      <c r="AO357" s="108" t="n"/>
      <c r="AP357" s="108" t="n"/>
      <c r="AQ357" s="108">
        <f>(BC357-Driver!$K$188)/(Driver!$L$188-Driver!$K$188)</f>
        <v/>
      </c>
      <c r="AR357" s="108">
        <f>MIN((BD357-Driver!$K$189)/(Driver!$L$189-Driver!$K$189),100%)</f>
        <v/>
      </c>
      <c r="AS357" s="108">
        <f>(BE357-Driver!$K$190)/(Driver!$L$190-Driver!$K$190)</f>
        <v/>
      </c>
      <c r="AT357" s="108">
        <f>(BF357-Driver!$K$191)/(Driver!$L$191-Driver!$K$191)</f>
        <v/>
      </c>
      <c r="AU357" s="108">
        <f>(BG357-Driver!$K$192)/(Driver!$L$192-Driver!$K$192)</f>
        <v/>
      </c>
      <c r="AV357" s="105">
        <f>IFERROR(BM357*BJ357^1/4,"")</f>
        <v/>
      </c>
      <c r="AW357" s="105">
        <f>IFERROR(SUM(AX357:AZ357),"")</f>
        <v/>
      </c>
      <c r="AX357" s="105">
        <f>IFERROR(BH357,"")</f>
        <v/>
      </c>
      <c r="AY357" s="105">
        <f>IFERROR(Driver!$K$19/Data!BH357/Data!BI357*Data!BK357*Data!BL357,"")</f>
        <v/>
      </c>
      <c r="AZ357" s="105">
        <f>IFERROR(BI357*BN357,"")</f>
        <v/>
      </c>
      <c r="BA357" s="105" t="n"/>
      <c r="BB357" s="105" t="n"/>
      <c r="BC357" s="105">
        <f>IFERROR(BI357*BN357*BK357/BJ357^(1/2),"")</f>
        <v/>
      </c>
      <c r="BD357" s="105">
        <f>IFERROR(BH357*BM357*BL357/BJ357/BK357,"")</f>
        <v/>
      </c>
      <c r="BE357" s="105">
        <f>IFERROR(MIN(BI357/BQ357/BP357/BO357/BH357,$BE$1),"")</f>
        <v/>
      </c>
      <c r="BF357" s="105">
        <f>IFERROR(BJ357*BO357*BP357/BK357,"")</f>
        <v/>
      </c>
      <c r="BG357" s="105">
        <f>IFERROR(1/BM357/BH357*BQ357,"")</f>
        <v/>
      </c>
      <c r="BH357" s="102">
        <f>MAX((CE357-Driver!$F$200)/(Driver!$G$200-Driver!$F$200)*$BI$1,1)</f>
        <v/>
      </c>
      <c r="BI357" s="102">
        <f>MAX($BI$1*(BY357-Driver!$F$201)/(Driver!$G$201-Driver!$F$201),1)</f>
        <v/>
      </c>
      <c r="BJ357" s="102">
        <f>(CB357-Driver!$F$206)/(Driver!$G$206-Driver!$F$206)*$BI$1</f>
        <v/>
      </c>
      <c r="BK357" s="102">
        <f>(CD357-Driver!$F$203)/(Driver!$G$203-Driver!$F$203)*$BI$1</f>
        <v/>
      </c>
      <c r="BL357" s="102">
        <f>MAX((CR357-Driver!$F$202)/(Driver!$G$202-Driver!$F$202)*$BI$1,1)</f>
        <v/>
      </c>
      <c r="BM357" s="102">
        <f>MAX((CH357-Driver!$F$204)/(Driver!$G$204-Driver!$F$204)*$BI$1,1)</f>
        <v/>
      </c>
      <c r="BN357" s="102">
        <f>(CI357-Driver!$F$205)/(Driver!$G$205-Driver!$F$205)*$BI$1</f>
        <v/>
      </c>
      <c r="BO357" s="102">
        <f>(CK357-Driver!$F$207)/(Driver!$G$207-Driver!$F$207)*$BI$1</f>
        <v/>
      </c>
      <c r="BP357" s="102">
        <f>(CM357-Driver!$F$208)/(Driver!$G$208-Driver!$F$208)*$BI$1</f>
        <v/>
      </c>
      <c r="BQ357" s="102">
        <f>(CL357-Driver!$F$209)/(Driver!$G$209-Driver!$F$209)*$BI$1</f>
        <v/>
      </c>
      <c r="BR357" s="40" t="inlineStr">
        <is>
          <t>21/22</t>
        </is>
      </c>
      <c r="BS357" s="10" t="inlineStr">
        <is>
          <t xml:space="preserve"> Salomon</t>
        </is>
      </c>
      <c r="BT357" s="11" t="inlineStr">
        <is>
          <t>MTN Explore 95</t>
        </is>
      </c>
      <c r="BU357" s="13" t="n">
        <v>177</v>
      </c>
      <c r="BV357" s="11" t="inlineStr">
        <is>
          <t xml:space="preserve"> Unisex</t>
        </is>
      </c>
      <c r="BW357" s="13" t="n">
        <v>177</v>
      </c>
      <c r="BX357" s="13" t="n">
        <v>176.3</v>
      </c>
      <c r="BY357" s="13" t="n">
        <v>143</v>
      </c>
      <c r="BZ357" s="13" t="n">
        <v>146</v>
      </c>
      <c r="CA357" s="13" t="n">
        <v>130</v>
      </c>
      <c r="CB357" s="13" t="n">
        <v>95</v>
      </c>
      <c r="CC357" s="13" t="n">
        <v>116</v>
      </c>
      <c r="CD357" s="13" t="n">
        <v>17.6</v>
      </c>
      <c r="CE357" s="13" t="n">
        <v>1550</v>
      </c>
      <c r="CF357" s="13" t="n">
        <v>1.21</v>
      </c>
      <c r="CG357" s="13" t="n">
        <v>1874</v>
      </c>
      <c r="CH357" s="13" t="n">
        <v>186</v>
      </c>
      <c r="CI357" s="13" t="n">
        <v>77</v>
      </c>
      <c r="CJ357" s="13" t="n">
        <v>52</v>
      </c>
      <c r="CK357" s="13" t="n">
        <v>258</v>
      </c>
      <c r="CL357" s="13" t="n">
        <v>6</v>
      </c>
      <c r="CM357" s="13" t="n">
        <v>75</v>
      </c>
      <c r="CN357" s="13" t="n">
        <v>0.107</v>
      </c>
      <c r="CO357" s="13" t="n">
        <v>200</v>
      </c>
      <c r="CP357" s="13" t="n">
        <v>107</v>
      </c>
      <c r="CQ357" s="13" t="n">
        <v>58</v>
      </c>
      <c r="CR357" s="13" t="n">
        <v>8</v>
      </c>
      <c r="CS357" s="13" t="n">
        <v>10.9</v>
      </c>
      <c r="CT357" s="11" t="inlineStr">
        <is>
          <t xml:space="preserve"> Resort Freeride</t>
        </is>
      </c>
      <c r="CU357" s="11" t="inlineStr">
        <is>
          <t xml:space="preserve"> Touring</t>
        </is>
      </c>
      <c r="CV357" s="13" t="n"/>
      <c r="CW357" s="13" t="n"/>
      <c r="CX357">
        <f>INDEX('Data_Price '!AG$2:AG$1266,MATCH(Data!$DN357,'Data_Price '!$AT$2:$AT$1266,0))</f>
        <v/>
      </c>
      <c r="CY357">
        <f>INDEX('Data_Price '!AH$2:AH$1266,MATCH(Data!$DN357,'Data_Price '!$AT$2:$AT$1266,0))</f>
        <v/>
      </c>
      <c r="CZ357">
        <f>INDEX('Data_Price '!AI$2:AI$1266,MATCH(Data!$DN357,'Data_Price '!$AT$2:$AT$1266,0))</f>
        <v/>
      </c>
      <c r="DA357">
        <f>INDEX('Data_Price '!AJ$2:AJ$1266,MATCH(Data!$DN357,'Data_Price '!$AT$2:$AT$1266,0))</f>
        <v/>
      </c>
      <c r="DB357">
        <f>INDEX('Data_Price '!AK$2:AK$1266,MATCH(Data!$DN357,'Data_Price '!$AT$2:$AT$1266,0))</f>
        <v/>
      </c>
      <c r="DC357">
        <f>INDEX('Data_Price '!AL$2:AL$1266,MATCH(Data!$DN357,'Data_Price '!$AT$2:$AT$1266,0))</f>
        <v/>
      </c>
      <c r="DD357">
        <f>INDEX('Data_Price '!AM$2:AM$1266,MATCH(Data!$DN357,'Data_Price '!$AT$2:$AT$1266,0))</f>
        <v/>
      </c>
      <c r="DE357">
        <f>INDEX('Data_Price '!AN$2:AN$1266,MATCH(Data!$DN357,'Data_Price '!$AT$2:$AT$1266,0))</f>
        <v/>
      </c>
      <c r="DF357">
        <f>INDEX('Data_Price '!AO$2:AO$1266,MATCH(Data!$DN357,'Data_Price '!$AT$2:$AT$1266,0))</f>
        <v/>
      </c>
      <c r="DG357">
        <f>INDEX('Data_Price '!AP$2:AP$1266,MATCH(Data!$DN357,'Data_Price '!$AT$2:$AT$1266,0))</f>
        <v/>
      </c>
      <c r="DH357">
        <f>INDEX('Data_Price '!AQ$2:AQ$1266,MATCH(Data!$DN357,'Data_Price '!$AT$2:$AT$1266,0))</f>
        <v/>
      </c>
      <c r="DI357">
        <f>INDEX('Data_Price '!AR$2:AR$1266,MATCH(Data!$DN357,'Data_Price '!$AT$2:$AT$1266,0))</f>
        <v/>
      </c>
      <c r="DJ357" s="138">
        <f>DA357</f>
        <v/>
      </c>
      <c r="DK357" s="138">
        <f>DE357</f>
        <v/>
      </c>
      <c r="DL357" s="138">
        <f>DI357</f>
        <v/>
      </c>
      <c r="DM357" s="303">
        <f>IF(LEFT(BT357,1)=" ",RIGHT(BT357,LEN(BT357)-1),BT357)</f>
        <v/>
      </c>
      <c r="DN357" s="138">
        <f>_xlfn.CONCAT(BS357,DM357,BU357,BV357)</f>
        <v/>
      </c>
      <c r="DO357" s="307" t="inlineStr">
        <is>
          <t>https://images.evo.com/imgp/250/197284/812037/clone.jpg</t>
        </is>
      </c>
    </row>
    <row r="358" ht="15.6" customHeight="1" s="184">
      <c r="B358" s="303">
        <f t="array" ref="B358">IF(OR(ISERROR(K358:P358)),FALSE,TRUE)</f>
        <v/>
      </c>
      <c r="C358" s="60">
        <f>OR(BR358=Driver!$G$50,Data!BR1107=Driver!$H$50)</f>
        <v/>
      </c>
      <c r="D358" s="60">
        <f>OR(BV358=Driver!$G$51,BV358=Driver!$H$51)</f>
        <v/>
      </c>
      <c r="E358" s="60">
        <f>AND(BX358&gt;Driver!$F$54,BX358&lt;Driver!$G$54)</f>
        <v/>
      </c>
      <c r="F358" s="60">
        <f>CL358&gt;Driver!$F$56</f>
        <v/>
      </c>
      <c r="G358" s="60">
        <f>AND(CB358&gt;Driver!$F$55,CB358&lt;Driver!$G$55)</f>
        <v/>
      </c>
      <c r="H358" s="60">
        <f>AND(B358:G358)</f>
        <v/>
      </c>
      <c r="I358" s="60">
        <f>COUNTIFS($H$9:$H$1273,TRUE,$BT$9:$BT$1273,BT358)</f>
        <v/>
      </c>
      <c r="J358" s="60">
        <f t="array" ref="J358">NOT(OR(($H$9:$H$1273=TRUE)*($I$9:$I$1273&gt;0)*($BT$9:$BT$1273=BT358)*($K$9:$K$1273&gt;K358)))</f>
        <v/>
      </c>
      <c r="K358" s="108">
        <f>IFERROR(1-AVERAGE(X358:Y358),"")</f>
        <v/>
      </c>
      <c r="L358" s="108">
        <f>1-X358</f>
        <v/>
      </c>
      <c r="M358" s="108">
        <f>1-Y358</f>
        <v/>
      </c>
      <c r="N358" s="108">
        <f>1-Z358</f>
        <v/>
      </c>
      <c r="O358" s="108">
        <f>1-AA358</f>
        <v/>
      </c>
      <c r="P358" s="108">
        <f>1-AB358</f>
        <v/>
      </c>
      <c r="Q358" s="108" t="n"/>
      <c r="R358" s="108" t="n"/>
      <c r="S358" s="108">
        <f>1-AE358</f>
        <v/>
      </c>
      <c r="T358" s="108">
        <f>1-AF358</f>
        <v/>
      </c>
      <c r="U358" s="108">
        <f>1-AG358</f>
        <v/>
      </c>
      <c r="V358" s="108">
        <f>1-AH358</f>
        <v/>
      </c>
      <c r="W358" s="108">
        <f>1-AI358</f>
        <v/>
      </c>
      <c r="X358" s="108">
        <f>ABS(AJ358-AJ$1)</f>
        <v/>
      </c>
      <c r="Y358" s="108">
        <f>AVERAGE(Z358:AB358)</f>
        <v/>
      </c>
      <c r="Z358" s="108">
        <f>ABS(AL358-AL$1)</f>
        <v/>
      </c>
      <c r="AA358" s="108">
        <f>ABS(AM358-AM$1)</f>
        <v/>
      </c>
      <c r="AB358" s="108">
        <f>ABS(AN358-AN$1)</f>
        <v/>
      </c>
      <c r="AC358" s="108" t="n"/>
      <c r="AD358" s="108" t="n"/>
      <c r="AE358" s="108">
        <f>ABS(AQ$1-AQ358)</f>
        <v/>
      </c>
      <c r="AF358" s="108">
        <f>ABS(AR$1-AR358)</f>
        <v/>
      </c>
      <c r="AG358" s="108">
        <f>ABS(AS$1-AS358)</f>
        <v/>
      </c>
      <c r="AH358" s="108">
        <f>ABS(AT$1-AT358)</f>
        <v/>
      </c>
      <c r="AI358" s="108">
        <f>ABS(AU$1-AU358)</f>
        <v/>
      </c>
      <c r="AJ358" s="108">
        <f>(AV358-Driver!$K$179)/(Driver!$L$179-Driver!$K$179)</f>
        <v/>
      </c>
      <c r="AK358" s="108">
        <f>(AW358-Driver!$K$180)/(Driver!$L$180-Driver!$K$180)</f>
        <v/>
      </c>
      <c r="AL358" s="108">
        <f>(AX358-Driver!$K$181)/(Driver!$L$181-Driver!$K$181)</f>
        <v/>
      </c>
      <c r="AM358" s="108">
        <f>(AY358-Driver!$K$182)/(Driver!$L$182-Driver!$K$182)</f>
        <v/>
      </c>
      <c r="AN358" s="108">
        <f>(AZ358-Driver!$K$183)/(Driver!$L$183-Driver!$K$183)</f>
        <v/>
      </c>
      <c r="AO358" s="108" t="n"/>
      <c r="AP358" s="108" t="n"/>
      <c r="AQ358" s="108">
        <f>(BC358-Driver!$K$188)/(Driver!$L$188-Driver!$K$188)</f>
        <v/>
      </c>
      <c r="AR358" s="108">
        <f>MIN((BD358-Driver!$K$189)/(Driver!$L$189-Driver!$K$189),100%)</f>
        <v/>
      </c>
      <c r="AS358" s="108">
        <f>(BE358-Driver!$K$190)/(Driver!$L$190-Driver!$K$190)</f>
        <v/>
      </c>
      <c r="AT358" s="108">
        <f>(BF358-Driver!$K$191)/(Driver!$L$191-Driver!$K$191)</f>
        <v/>
      </c>
      <c r="AU358" s="108">
        <f>(BG358-Driver!$K$192)/(Driver!$L$192-Driver!$K$192)</f>
        <v/>
      </c>
      <c r="AV358" s="105">
        <f>IFERROR(BM358*BJ358^1/4,"")</f>
        <v/>
      </c>
      <c r="AW358" s="105">
        <f>IFERROR(SUM(AX358:AZ358),"")</f>
        <v/>
      </c>
      <c r="AX358" s="105">
        <f>IFERROR(BH358,"")</f>
        <v/>
      </c>
      <c r="AY358" s="105">
        <f>IFERROR(Driver!$K$19/Data!BH358/Data!BI358*Data!BK358*Data!BL358,"")</f>
        <v/>
      </c>
      <c r="AZ358" s="105">
        <f>IFERROR(BI358*BN358,"")</f>
        <v/>
      </c>
      <c r="BA358" s="105" t="n"/>
      <c r="BB358" s="105" t="n"/>
      <c r="BC358" s="105">
        <f>IFERROR(BI358*BN358*BK358/BJ358^(1/2),"")</f>
        <v/>
      </c>
      <c r="BD358" s="105">
        <f>IFERROR(BH358*BM358*BL358/BJ358/BK358,"")</f>
        <v/>
      </c>
      <c r="BE358" s="105">
        <f>IFERROR(MIN(BI358/BQ358/BP358/BO358/BH358,$BE$1),"")</f>
        <v/>
      </c>
      <c r="BF358" s="105">
        <f>IFERROR(BJ358*BO358*BP358/BK358,"")</f>
        <v/>
      </c>
      <c r="BG358" s="105">
        <f>IFERROR(1/BM358/BH358*BQ358,"")</f>
        <v/>
      </c>
      <c r="BH358" s="102">
        <f>MAX((CE358-Driver!$F$200)/(Driver!$G$200-Driver!$F$200)*$BI$1,1)</f>
        <v/>
      </c>
      <c r="BI358" s="102">
        <f>MAX($BI$1*(BY358-Driver!$F$201)/(Driver!$G$201-Driver!$F$201),1)</f>
        <v/>
      </c>
      <c r="BJ358" s="102">
        <f>(CB358-Driver!$F$206)/(Driver!$G$206-Driver!$F$206)*$BI$1</f>
        <v/>
      </c>
      <c r="BK358" s="102">
        <f>(CD358-Driver!$F$203)/(Driver!$G$203-Driver!$F$203)*$BI$1</f>
        <v/>
      </c>
      <c r="BL358" s="102">
        <f>MAX((CR358-Driver!$F$202)/(Driver!$G$202-Driver!$F$202)*$BI$1,1)</f>
        <v/>
      </c>
      <c r="BM358" s="102">
        <f>MAX((CH358-Driver!$F$204)/(Driver!$G$204-Driver!$F$204)*$BI$1,1)</f>
        <v/>
      </c>
      <c r="BN358" s="102">
        <f>(CI358-Driver!$F$205)/(Driver!$G$205-Driver!$F$205)*$BI$1</f>
        <v/>
      </c>
      <c r="BO358" s="102">
        <f>(CK358-Driver!$F$207)/(Driver!$G$207-Driver!$F$207)*$BI$1</f>
        <v/>
      </c>
      <c r="BP358" s="102">
        <f>(CM358-Driver!$F$208)/(Driver!$G$208-Driver!$F$208)*$BI$1</f>
        <v/>
      </c>
      <c r="BQ358" s="102">
        <f>(CL358-Driver!$F$209)/(Driver!$G$209-Driver!$F$209)*$BI$1</f>
        <v/>
      </c>
      <c r="BR358" s="40" t="inlineStr">
        <is>
          <t>21/22</t>
        </is>
      </c>
      <c r="BS358" s="10" t="inlineStr">
        <is>
          <t xml:space="preserve"> Salomon</t>
        </is>
      </c>
      <c r="BT358" s="11" t="inlineStr">
        <is>
          <t>Stance 88 W</t>
        </is>
      </c>
      <c r="BU358" s="13" t="n">
        <v>168</v>
      </c>
      <c r="BV358" s="11" t="inlineStr">
        <is>
          <t xml:space="preserve"> Women's</t>
        </is>
      </c>
      <c r="BW358" s="13" t="n">
        <v>168</v>
      </c>
      <c r="BX358" s="13" t="n">
        <v>166.9</v>
      </c>
      <c r="BY358" s="13" t="n">
        <v>126</v>
      </c>
      <c r="BZ358" s="13" t="n">
        <v>140</v>
      </c>
      <c r="CA358" s="13" t="n">
        <v>122</v>
      </c>
      <c r="CB358" s="13" t="n">
        <v>87</v>
      </c>
      <c r="CC358" s="13" t="n">
        <v>103</v>
      </c>
      <c r="CD358" s="13" t="n">
        <v>16.9</v>
      </c>
      <c r="CE358" s="13" t="n">
        <v>1650</v>
      </c>
      <c r="CF358" s="13" t="n">
        <v>1</v>
      </c>
      <c r="CG358" s="13" t="n">
        <v>1649</v>
      </c>
      <c r="CH358" s="13" t="n">
        <v>155</v>
      </c>
      <c r="CI358" s="13" t="n">
        <v>96</v>
      </c>
      <c r="CJ358" s="13" t="n">
        <v>52</v>
      </c>
      <c r="CK358" s="13" t="n">
        <v>234</v>
      </c>
      <c r="CL358" s="13" t="n">
        <v>9</v>
      </c>
      <c r="CM358" s="13" t="n">
        <v>175</v>
      </c>
      <c r="CN358" s="13" t="n">
        <v>0.17</v>
      </c>
      <c r="CO358" s="13" t="n">
        <v>157</v>
      </c>
      <c r="CP358" s="13" t="n">
        <v>112</v>
      </c>
      <c r="CQ358" s="13" t="n">
        <v>76</v>
      </c>
      <c r="CR358" s="13" t="n">
        <v>7</v>
      </c>
      <c r="CS358" s="13" t="n">
        <v>9.199999999999999</v>
      </c>
      <c r="CT358" s="11" t="inlineStr">
        <is>
          <t xml:space="preserve"> Resort Freeride</t>
        </is>
      </c>
      <c r="CU358" s="13" t="n"/>
      <c r="CV358" s="13" t="n"/>
      <c r="CW358" s="13" t="n"/>
      <c r="CX358">
        <f>INDEX('Data_Price '!AG$2:AG$1266,MATCH(Data!$DN358,'Data_Price '!$AT$2:$AT$1266,0))</f>
        <v/>
      </c>
      <c r="CY358">
        <f>INDEX('Data_Price '!AH$2:AH$1266,MATCH(Data!$DN358,'Data_Price '!$AT$2:$AT$1266,0))</f>
        <v/>
      </c>
      <c r="CZ358">
        <f>INDEX('Data_Price '!AI$2:AI$1266,MATCH(Data!$DN358,'Data_Price '!$AT$2:$AT$1266,0))</f>
        <v/>
      </c>
      <c r="DA358">
        <f>INDEX('Data_Price '!AJ$2:AJ$1266,MATCH(Data!$DN358,'Data_Price '!$AT$2:$AT$1266,0))</f>
        <v/>
      </c>
      <c r="DB358">
        <f>INDEX('Data_Price '!AK$2:AK$1266,MATCH(Data!$DN358,'Data_Price '!$AT$2:$AT$1266,0))</f>
        <v/>
      </c>
      <c r="DC358">
        <f>INDEX('Data_Price '!AL$2:AL$1266,MATCH(Data!$DN358,'Data_Price '!$AT$2:$AT$1266,0))</f>
        <v/>
      </c>
      <c r="DD358">
        <f>INDEX('Data_Price '!AM$2:AM$1266,MATCH(Data!$DN358,'Data_Price '!$AT$2:$AT$1266,0))</f>
        <v/>
      </c>
      <c r="DE358">
        <f>INDEX('Data_Price '!AN$2:AN$1266,MATCH(Data!$DN358,'Data_Price '!$AT$2:$AT$1266,0))</f>
        <v/>
      </c>
      <c r="DF358">
        <f>INDEX('Data_Price '!AO$2:AO$1266,MATCH(Data!$DN358,'Data_Price '!$AT$2:$AT$1266,0))</f>
        <v/>
      </c>
      <c r="DG358">
        <f>INDEX('Data_Price '!AP$2:AP$1266,MATCH(Data!$DN358,'Data_Price '!$AT$2:$AT$1266,0))</f>
        <v/>
      </c>
      <c r="DH358">
        <f>INDEX('Data_Price '!AQ$2:AQ$1266,MATCH(Data!$DN358,'Data_Price '!$AT$2:$AT$1266,0))</f>
        <v/>
      </c>
      <c r="DI358">
        <f>INDEX('Data_Price '!AR$2:AR$1266,MATCH(Data!$DN358,'Data_Price '!$AT$2:$AT$1266,0))</f>
        <v/>
      </c>
      <c r="DJ358" s="138">
        <f>DA358</f>
        <v/>
      </c>
      <c r="DK358" s="138">
        <f>DE358</f>
        <v/>
      </c>
      <c r="DL358" s="138">
        <f>DI358</f>
        <v/>
      </c>
      <c r="DM358" s="303">
        <f>IF(LEFT(BT358,1)=" ",RIGHT(BT358,LEN(BT358)-1),BT358)</f>
        <v/>
      </c>
      <c r="DN358" s="138">
        <f>_xlfn.CONCAT(BS358,DM358,BU358,BV358)</f>
        <v/>
      </c>
      <c r="DO358" s="307" t="inlineStr">
        <is>
          <t>https://images.evo.com/imgp/250/183475/737708/salomon-stance-w-88-skis-women-s-2022-.jpg</t>
        </is>
      </c>
    </row>
    <row r="359" ht="15.6" customHeight="1" s="184">
      <c r="B359" s="303">
        <f t="array" ref="B359">IF(OR(ISERROR(K359:P359)),FALSE,TRUE)</f>
        <v/>
      </c>
      <c r="C359" s="60">
        <f>OR(BR359=Driver!$G$50,Data!BR1016=Driver!$H$50)</f>
        <v/>
      </c>
      <c r="D359" s="60">
        <f>OR(BV359=Driver!$G$51,BV359=Driver!$H$51)</f>
        <v/>
      </c>
      <c r="E359" s="60">
        <f>AND(BX359&gt;Driver!$F$54,BX359&lt;Driver!$G$54)</f>
        <v/>
      </c>
      <c r="F359" s="60">
        <f>CL359&gt;Driver!$F$56</f>
        <v/>
      </c>
      <c r="G359" s="60">
        <f>AND(CB359&gt;Driver!$F$55,CB359&lt;Driver!$G$55)</f>
        <v/>
      </c>
      <c r="H359" s="60">
        <f>AND(B359:G359)</f>
        <v/>
      </c>
      <c r="I359" s="60">
        <f>COUNTIFS($H$9:$H$1273,TRUE,$BT$9:$BT$1273,BT359)</f>
        <v/>
      </c>
      <c r="J359" s="60">
        <f t="array" ref="J359">NOT(OR(($H$9:$H$1273=TRUE)*($I$9:$I$1273&gt;0)*($BT$9:$BT$1273=BT359)*($K$9:$K$1273&gt;K359)))</f>
        <v/>
      </c>
      <c r="K359" s="108">
        <f>IFERROR(1-AVERAGE(X359:Y359),"")</f>
        <v/>
      </c>
      <c r="L359" s="108">
        <f>1-X359</f>
        <v/>
      </c>
      <c r="M359" s="108">
        <f>1-Y359</f>
        <v/>
      </c>
      <c r="N359" s="108">
        <f>1-Z359</f>
        <v/>
      </c>
      <c r="O359" s="108">
        <f>1-AA359</f>
        <v/>
      </c>
      <c r="P359" s="108">
        <f>1-AB359</f>
        <v/>
      </c>
      <c r="Q359" s="108" t="n"/>
      <c r="R359" s="108" t="n"/>
      <c r="S359" s="108">
        <f>1-AE359</f>
        <v/>
      </c>
      <c r="T359" s="108">
        <f>1-AF359</f>
        <v/>
      </c>
      <c r="U359" s="108">
        <f>1-AG359</f>
        <v/>
      </c>
      <c r="V359" s="108">
        <f>1-AH359</f>
        <v/>
      </c>
      <c r="W359" s="108">
        <f>1-AI359</f>
        <v/>
      </c>
      <c r="X359" s="108">
        <f>ABS(AJ359-AJ$1)</f>
        <v/>
      </c>
      <c r="Y359" s="108">
        <f>AVERAGE(Z359:AB359)</f>
        <v/>
      </c>
      <c r="Z359" s="108">
        <f>ABS(AL359-AL$1)</f>
        <v/>
      </c>
      <c r="AA359" s="108">
        <f>ABS(AM359-AM$1)</f>
        <v/>
      </c>
      <c r="AB359" s="108">
        <f>ABS(AN359-AN$1)</f>
        <v/>
      </c>
      <c r="AC359" s="108" t="n"/>
      <c r="AD359" s="108" t="n"/>
      <c r="AE359" s="108">
        <f>ABS(AQ$1-AQ359)</f>
        <v/>
      </c>
      <c r="AF359" s="108">
        <f>ABS(AR$1-AR359)</f>
        <v/>
      </c>
      <c r="AG359" s="108">
        <f>ABS(AS$1-AS359)</f>
        <v/>
      </c>
      <c r="AH359" s="108">
        <f>ABS(AT$1-AT359)</f>
        <v/>
      </c>
      <c r="AI359" s="108">
        <f>ABS(AU$1-AU359)</f>
        <v/>
      </c>
      <c r="AJ359" s="108">
        <f>(AV359-Driver!$K$179)/(Driver!$L$179-Driver!$K$179)</f>
        <v/>
      </c>
      <c r="AK359" s="108">
        <f>(AW359-Driver!$K$180)/(Driver!$L$180-Driver!$K$180)</f>
        <v/>
      </c>
      <c r="AL359" s="108">
        <f>(AX359-Driver!$K$181)/(Driver!$L$181-Driver!$K$181)</f>
        <v/>
      </c>
      <c r="AM359" s="108">
        <f>(AY359-Driver!$K$182)/(Driver!$L$182-Driver!$K$182)</f>
        <v/>
      </c>
      <c r="AN359" s="108">
        <f>(AZ359-Driver!$K$183)/(Driver!$L$183-Driver!$K$183)</f>
        <v/>
      </c>
      <c r="AO359" s="108" t="n"/>
      <c r="AP359" s="108" t="n"/>
      <c r="AQ359" s="108">
        <f>(BC359-Driver!$K$188)/(Driver!$L$188-Driver!$K$188)</f>
        <v/>
      </c>
      <c r="AR359" s="108">
        <f>MIN((BD359-Driver!$K$189)/(Driver!$L$189-Driver!$K$189),100%)</f>
        <v/>
      </c>
      <c r="AS359" s="108">
        <f>(BE359-Driver!$K$190)/(Driver!$L$190-Driver!$K$190)</f>
        <v/>
      </c>
      <c r="AT359" s="108">
        <f>(BF359-Driver!$K$191)/(Driver!$L$191-Driver!$K$191)</f>
        <v/>
      </c>
      <c r="AU359" s="108">
        <f>(BG359-Driver!$K$192)/(Driver!$L$192-Driver!$K$192)</f>
        <v/>
      </c>
      <c r="AV359" s="105">
        <f>IFERROR(BM359*BJ359^1/4,"")</f>
        <v/>
      </c>
      <c r="AW359" s="105">
        <f>IFERROR(SUM(AX359:AZ359),"")</f>
        <v/>
      </c>
      <c r="AX359" s="105">
        <f>IFERROR(BH359,"")</f>
        <v/>
      </c>
      <c r="AY359" s="105">
        <f>IFERROR(Driver!$K$19/Data!BH359/Data!BI359*Data!BK359*Data!BL359,"")</f>
        <v/>
      </c>
      <c r="AZ359" s="105">
        <f>IFERROR(BI359*BN359,"")</f>
        <v/>
      </c>
      <c r="BA359" s="105" t="n"/>
      <c r="BB359" s="105" t="n"/>
      <c r="BC359" s="105">
        <f>IFERROR(BI359*BN359*BK359/BJ359^(1/2),"")</f>
        <v/>
      </c>
      <c r="BD359" s="105">
        <f>IFERROR(BH359*BM359*BL359/BJ359/BK359,"")</f>
        <v/>
      </c>
      <c r="BE359" s="105">
        <f>IFERROR(MIN(BI359/BQ359/BP359/BO359/BH359,$BE$1),"")</f>
        <v/>
      </c>
      <c r="BF359" s="105">
        <f>IFERROR(BJ359*BO359*BP359/BK359,"")</f>
        <v/>
      </c>
      <c r="BG359" s="105">
        <f>IFERROR(1/BM359/BH359*BQ359,"")</f>
        <v/>
      </c>
      <c r="BH359" s="102">
        <f>MAX((CE359-Driver!$F$200)/(Driver!$G$200-Driver!$F$200)*$BI$1,1)</f>
        <v/>
      </c>
      <c r="BI359" s="102">
        <f>MAX($BI$1*(BY359-Driver!$F$201)/(Driver!$G$201-Driver!$F$201),1)</f>
        <v/>
      </c>
      <c r="BJ359" s="102">
        <f>(CB359-Driver!$F$206)/(Driver!$G$206-Driver!$F$206)*$BI$1</f>
        <v/>
      </c>
      <c r="BK359" s="102">
        <f>(CD359-Driver!$F$203)/(Driver!$G$203-Driver!$F$203)*$BI$1</f>
        <v/>
      </c>
      <c r="BL359" s="102">
        <f>MAX((CR359-Driver!$F$202)/(Driver!$G$202-Driver!$F$202)*$BI$1,1)</f>
        <v/>
      </c>
      <c r="BM359" s="102">
        <f>MAX((CH359-Driver!$F$204)/(Driver!$G$204-Driver!$F$204)*$BI$1,1)</f>
        <v/>
      </c>
      <c r="BN359" s="102">
        <f>(CI359-Driver!$F$205)/(Driver!$G$205-Driver!$F$205)*$BI$1</f>
        <v/>
      </c>
      <c r="BO359" s="102">
        <f>(CK359-Driver!$F$207)/(Driver!$G$207-Driver!$F$207)*$BI$1</f>
        <v/>
      </c>
      <c r="BP359" s="102">
        <f>(CM359-Driver!$F$208)/(Driver!$G$208-Driver!$F$208)*$BI$1</f>
        <v/>
      </c>
      <c r="BQ359" s="102">
        <f>(CL359-Driver!$F$209)/(Driver!$G$209-Driver!$F$209)*$BI$1</f>
        <v/>
      </c>
      <c r="BR359" s="40" t="inlineStr">
        <is>
          <t>21/22</t>
        </is>
      </c>
      <c r="BS359" s="10" t="inlineStr">
        <is>
          <t xml:space="preserve"> Rossignol</t>
        </is>
      </c>
      <c r="BT359" s="11" t="inlineStr">
        <is>
          <t>Experience 82 Ti W</t>
        </is>
      </c>
      <c r="BU359" s="13" t="n">
        <v>159</v>
      </c>
      <c r="BV359" s="11" t="inlineStr">
        <is>
          <t xml:space="preserve"> Women's</t>
        </is>
      </c>
      <c r="BW359" s="13" t="n">
        <v>159</v>
      </c>
      <c r="BX359" s="13" t="n">
        <v>158.2</v>
      </c>
      <c r="BY359" s="13" t="n">
        <v>119</v>
      </c>
      <c r="BZ359" s="13" t="n">
        <v>144</v>
      </c>
      <c r="CA359" s="13" t="n">
        <v>125</v>
      </c>
      <c r="CB359" s="13" t="n">
        <v>80</v>
      </c>
      <c r="CC359" s="13" t="n">
        <v>114</v>
      </c>
      <c r="CD359" s="13" t="n">
        <v>12.7</v>
      </c>
      <c r="CE359" s="13" t="n">
        <v>1746</v>
      </c>
      <c r="CF359" s="13" t="n">
        <v>0.86</v>
      </c>
      <c r="CG359" s="13" t="n">
        <v>1498</v>
      </c>
      <c r="CH359" s="13" t="n">
        <v>180</v>
      </c>
      <c r="CI359" s="13" t="n">
        <v>94</v>
      </c>
      <c r="CJ359" s="13" t="n">
        <v>49</v>
      </c>
      <c r="CK359" s="13" t="n">
        <v>261</v>
      </c>
      <c r="CL359" s="13" t="n">
        <v>15</v>
      </c>
      <c r="CM359" s="13" t="n">
        <v>135</v>
      </c>
      <c r="CN359" s="13" t="n">
        <v>0.304</v>
      </c>
      <c r="CO359" s="13" t="n">
        <v>80</v>
      </c>
      <c r="CP359" s="13" t="n">
        <v>62</v>
      </c>
      <c r="CQ359" s="13" t="n">
        <v>181</v>
      </c>
      <c r="CR359" s="13" t="n">
        <v>8</v>
      </c>
      <c r="CS359" s="13" t="n">
        <v>6.9</v>
      </c>
      <c r="CT359" s="11" t="inlineStr">
        <is>
          <t xml:space="preserve"> Other</t>
        </is>
      </c>
      <c r="CU359" s="13" t="n"/>
      <c r="CV359" s="13" t="n"/>
      <c r="CW359" s="13" t="n"/>
      <c r="CX359">
        <f>INDEX('Data_Price '!AG$2:AG$1266,MATCH(Data!$DN359,'Data_Price '!$AT$2:$AT$1266,0))</f>
        <v/>
      </c>
      <c r="CY359">
        <f>INDEX('Data_Price '!AH$2:AH$1266,MATCH(Data!$DN359,'Data_Price '!$AT$2:$AT$1266,0))</f>
        <v/>
      </c>
      <c r="CZ359">
        <f>INDEX('Data_Price '!AI$2:AI$1266,MATCH(Data!$DN359,'Data_Price '!$AT$2:$AT$1266,0))</f>
        <v/>
      </c>
      <c r="DA359">
        <f>INDEX('Data_Price '!AJ$2:AJ$1266,MATCH(Data!$DN359,'Data_Price '!$AT$2:$AT$1266,0))</f>
        <v/>
      </c>
      <c r="DB359">
        <f>INDEX('Data_Price '!AK$2:AK$1266,MATCH(Data!$DN359,'Data_Price '!$AT$2:$AT$1266,0))</f>
        <v/>
      </c>
      <c r="DC359">
        <f>INDEX('Data_Price '!AL$2:AL$1266,MATCH(Data!$DN359,'Data_Price '!$AT$2:$AT$1266,0))</f>
        <v/>
      </c>
      <c r="DD359">
        <f>INDEX('Data_Price '!AM$2:AM$1266,MATCH(Data!$DN359,'Data_Price '!$AT$2:$AT$1266,0))</f>
        <v/>
      </c>
      <c r="DE359">
        <f>INDEX('Data_Price '!AN$2:AN$1266,MATCH(Data!$DN359,'Data_Price '!$AT$2:$AT$1266,0))</f>
        <v/>
      </c>
      <c r="DF359">
        <f>INDEX('Data_Price '!AO$2:AO$1266,MATCH(Data!$DN359,'Data_Price '!$AT$2:$AT$1266,0))</f>
        <v/>
      </c>
      <c r="DG359">
        <f>INDEX('Data_Price '!AP$2:AP$1266,MATCH(Data!$DN359,'Data_Price '!$AT$2:$AT$1266,0))</f>
        <v/>
      </c>
      <c r="DH359">
        <f>INDEX('Data_Price '!AQ$2:AQ$1266,MATCH(Data!$DN359,'Data_Price '!$AT$2:$AT$1266,0))</f>
        <v/>
      </c>
      <c r="DI359">
        <f>INDEX('Data_Price '!AR$2:AR$1266,MATCH(Data!$DN359,'Data_Price '!$AT$2:$AT$1266,0))</f>
        <v/>
      </c>
      <c r="DJ359" s="138">
        <f>DA359</f>
        <v/>
      </c>
      <c r="DK359" s="138">
        <f>DE359</f>
        <v/>
      </c>
      <c r="DL359" s="138">
        <f>DI359</f>
        <v/>
      </c>
      <c r="DM359" s="303">
        <f>IF(LEFT(BT359,1)=" ",RIGHT(BT359,LEN(BT359)-1),BT359)</f>
        <v/>
      </c>
      <c r="DN359" s="138">
        <f>_xlfn.CONCAT(BS359,DM359,BU359,BV359)</f>
        <v/>
      </c>
      <c r="DO359" s="307" t="n"/>
    </row>
    <row r="360" ht="15.6" customHeight="1" s="184">
      <c r="B360" s="303">
        <f t="array" ref="B360">IF(OR(ISERROR(K360:P360)),FALSE,TRUE)</f>
        <v/>
      </c>
      <c r="C360" s="60">
        <f>OR(BR360=Driver!$G$50,Data!BR375=Driver!$H$50)</f>
        <v/>
      </c>
      <c r="D360" s="60">
        <f>OR(BV360=Driver!$G$51,BV360=Driver!$H$51)</f>
        <v/>
      </c>
      <c r="E360" s="60">
        <f>AND(BX360&gt;Driver!$F$54,BX360&lt;Driver!$G$54)</f>
        <v/>
      </c>
      <c r="F360" s="60">
        <f>CL360&gt;Driver!$F$56</f>
        <v/>
      </c>
      <c r="G360" s="60">
        <f>AND(CB360&gt;Driver!$F$55,CB360&lt;Driver!$G$55)</f>
        <v/>
      </c>
      <c r="H360" s="60">
        <f>AND(B360:G360)</f>
        <v/>
      </c>
      <c r="I360" s="60">
        <f>COUNTIFS($H$9:$H$1273,TRUE,$BT$9:$BT$1273,BT360)</f>
        <v/>
      </c>
      <c r="J360" s="60">
        <f t="array" ref="J360">NOT(OR(($H$9:$H$1273=TRUE)*($I$9:$I$1273&gt;0)*($BT$9:$BT$1273=BT360)*($K$9:$K$1273&gt;K360)))</f>
        <v/>
      </c>
      <c r="K360" s="108">
        <f>IFERROR(1-AVERAGE(X360:Y360),"")</f>
        <v/>
      </c>
      <c r="L360" s="108">
        <f>1-X360</f>
        <v/>
      </c>
      <c r="M360" s="108">
        <f>1-Y360</f>
        <v/>
      </c>
      <c r="N360" s="108">
        <f>1-Z360</f>
        <v/>
      </c>
      <c r="O360" s="108">
        <f>1-AA360</f>
        <v/>
      </c>
      <c r="P360" s="108">
        <f>1-AB360</f>
        <v/>
      </c>
      <c r="Q360" s="108" t="n"/>
      <c r="R360" s="108" t="n"/>
      <c r="S360" s="108">
        <f>1-AE360</f>
        <v/>
      </c>
      <c r="T360" s="108">
        <f>1-AF360</f>
        <v/>
      </c>
      <c r="U360" s="108">
        <f>1-AG360</f>
        <v/>
      </c>
      <c r="V360" s="108">
        <f>1-AH360</f>
        <v/>
      </c>
      <c r="W360" s="108">
        <f>1-AI360</f>
        <v/>
      </c>
      <c r="X360" s="108">
        <f>ABS(AJ360-AJ$1)</f>
        <v/>
      </c>
      <c r="Y360" s="108">
        <f>AVERAGE(Z360:AB360)</f>
        <v/>
      </c>
      <c r="Z360" s="108">
        <f>ABS(AL360-AL$1)</f>
        <v/>
      </c>
      <c r="AA360" s="108">
        <f>ABS(AM360-AM$1)</f>
        <v/>
      </c>
      <c r="AB360" s="108">
        <f>ABS(AN360-AN$1)</f>
        <v/>
      </c>
      <c r="AC360" s="108" t="n"/>
      <c r="AD360" s="108" t="n"/>
      <c r="AE360" s="108">
        <f>ABS(AQ$1-AQ360)</f>
        <v/>
      </c>
      <c r="AF360" s="108">
        <f>ABS(AR$1-AR360)</f>
        <v/>
      </c>
      <c r="AG360" s="108">
        <f>ABS(AS$1-AS360)</f>
        <v/>
      </c>
      <c r="AH360" s="108">
        <f>ABS(AT$1-AT360)</f>
        <v/>
      </c>
      <c r="AI360" s="108">
        <f>ABS(AU$1-AU360)</f>
        <v/>
      </c>
      <c r="AJ360" s="108">
        <f>(AV360-Driver!$K$179)/(Driver!$L$179-Driver!$K$179)</f>
        <v/>
      </c>
      <c r="AK360" s="108">
        <f>(AW360-Driver!$K$180)/(Driver!$L$180-Driver!$K$180)</f>
        <v/>
      </c>
      <c r="AL360" s="108">
        <f>(AX360-Driver!$K$181)/(Driver!$L$181-Driver!$K$181)</f>
        <v/>
      </c>
      <c r="AM360" s="108">
        <f>(AY360-Driver!$K$182)/(Driver!$L$182-Driver!$K$182)</f>
        <v/>
      </c>
      <c r="AN360" s="108">
        <f>(AZ360-Driver!$K$183)/(Driver!$L$183-Driver!$K$183)</f>
        <v/>
      </c>
      <c r="AO360" s="108" t="n"/>
      <c r="AP360" s="108" t="n"/>
      <c r="AQ360" s="108">
        <f>(BC360-Driver!$K$188)/(Driver!$L$188-Driver!$K$188)</f>
        <v/>
      </c>
      <c r="AR360" s="108">
        <f>MIN((BD360-Driver!$K$189)/(Driver!$L$189-Driver!$K$189),100%)</f>
        <v/>
      </c>
      <c r="AS360" s="108">
        <f>(BE360-Driver!$K$190)/(Driver!$L$190-Driver!$K$190)</f>
        <v/>
      </c>
      <c r="AT360" s="108">
        <f>(BF360-Driver!$K$191)/(Driver!$L$191-Driver!$K$191)</f>
        <v/>
      </c>
      <c r="AU360" s="108">
        <f>(BG360-Driver!$K$192)/(Driver!$L$192-Driver!$K$192)</f>
        <v/>
      </c>
      <c r="AV360" s="105">
        <f>IFERROR(BM360*BJ360^1/4,"")</f>
        <v/>
      </c>
      <c r="AW360" s="105">
        <f>IFERROR(SUM(AX360:AZ360),"")</f>
        <v/>
      </c>
      <c r="AX360" s="105">
        <f>IFERROR(BH360,"")</f>
        <v/>
      </c>
      <c r="AY360" s="105">
        <f>IFERROR(Driver!$K$19/Data!BH360/Data!BI360*Data!BK360*Data!BL360,"")</f>
        <v/>
      </c>
      <c r="AZ360" s="105">
        <f>IFERROR(BI360*BN360,"")</f>
        <v/>
      </c>
      <c r="BA360" s="105" t="n"/>
      <c r="BB360" s="105" t="n"/>
      <c r="BC360" s="105">
        <f>IFERROR(BI360*BN360*BK360/BJ360^(1/2),"")</f>
        <v/>
      </c>
      <c r="BD360" s="105">
        <f>IFERROR(BH360*BM360*BL360/BJ360/BK360,"")</f>
        <v/>
      </c>
      <c r="BE360" s="105">
        <f>IFERROR(MIN(BI360/BQ360/BP360/BO360/BH360,$BE$1),"")</f>
        <v/>
      </c>
      <c r="BF360" s="105">
        <f>IFERROR(BJ360*BO360*BP360/BK360,"")</f>
        <v/>
      </c>
      <c r="BG360" s="105">
        <f>IFERROR(1/BM360/BH360*BQ360,"")</f>
        <v/>
      </c>
      <c r="BH360" s="102">
        <f>MAX((CE360-Driver!$F$200)/(Driver!$G$200-Driver!$F$200)*$BI$1,1)</f>
        <v/>
      </c>
      <c r="BI360" s="102">
        <f>MAX($BI$1*(BY360-Driver!$F$201)/(Driver!$G$201-Driver!$F$201),1)</f>
        <v/>
      </c>
      <c r="BJ360" s="102">
        <f>(CB360-Driver!$F$206)/(Driver!$G$206-Driver!$F$206)*$BI$1</f>
        <v/>
      </c>
      <c r="BK360" s="102">
        <f>(CD360-Driver!$F$203)/(Driver!$G$203-Driver!$F$203)*$BI$1</f>
        <v/>
      </c>
      <c r="BL360" s="102">
        <f>MAX((CR360-Driver!$F$202)/(Driver!$G$202-Driver!$F$202)*$BI$1,1)</f>
        <v/>
      </c>
      <c r="BM360" s="102">
        <f>MAX((CH360-Driver!$F$204)/(Driver!$G$204-Driver!$F$204)*$BI$1,1)</f>
        <v/>
      </c>
      <c r="BN360" s="102">
        <f>(CI360-Driver!$F$205)/(Driver!$G$205-Driver!$F$205)*$BI$1</f>
        <v/>
      </c>
      <c r="BO360" s="102">
        <f>(CK360-Driver!$F$207)/(Driver!$G$207-Driver!$F$207)*$BI$1</f>
        <v/>
      </c>
      <c r="BP360" s="102">
        <f>(CM360-Driver!$F$208)/(Driver!$G$208-Driver!$F$208)*$BI$1</f>
        <v/>
      </c>
      <c r="BQ360" s="102">
        <f>(CL360-Driver!$F$209)/(Driver!$G$209-Driver!$F$209)*$BI$1</f>
        <v/>
      </c>
      <c r="BR360" s="40" t="inlineStr">
        <is>
          <t>21/22</t>
        </is>
      </c>
      <c r="BS360" s="10" t="inlineStr">
        <is>
          <t xml:space="preserve"> Dynafit</t>
        </is>
      </c>
      <c r="BT360" s="11" t="inlineStr">
        <is>
          <t>Blacklight 95</t>
        </is>
      </c>
      <c r="BU360" s="13" t="n">
        <v>172</v>
      </c>
      <c r="BV360" s="11" t="inlineStr">
        <is>
          <t xml:space="preserve"> Unisex</t>
        </is>
      </c>
      <c r="BW360" s="13" t="n">
        <v>172</v>
      </c>
      <c r="BX360" s="13" t="n">
        <v>170.2</v>
      </c>
      <c r="BY360" s="13" t="n">
        <v>127</v>
      </c>
      <c r="BZ360" s="13" t="n">
        <v>146</v>
      </c>
      <c r="CA360" s="13" t="n">
        <v>126</v>
      </c>
      <c r="CB360" s="13" t="n">
        <v>94</v>
      </c>
      <c r="CC360" s="13" t="n">
        <v>113</v>
      </c>
      <c r="CD360" s="13" t="n">
        <v>20</v>
      </c>
      <c r="CE360" s="13" t="n">
        <v>1202</v>
      </c>
      <c r="CF360" s="13" t="n">
        <v>1.45</v>
      </c>
      <c r="CG360" s="13" t="n">
        <v>1748</v>
      </c>
      <c r="CH360" s="13" t="n">
        <v>235</v>
      </c>
      <c r="CI360" s="13" t="n">
        <v>95</v>
      </c>
      <c r="CJ360" s="13" t="n">
        <v>48</v>
      </c>
      <c r="CK360" s="13" t="n">
        <v>268</v>
      </c>
      <c r="CL360" s="13" t="n">
        <v>11</v>
      </c>
      <c r="CM360" s="13" t="n">
        <v>159</v>
      </c>
      <c r="CN360" s="13" t="n">
        <v>0.234</v>
      </c>
      <c r="CO360" s="13" t="n">
        <v>137</v>
      </c>
      <c r="CP360" s="13" t="n">
        <v>100</v>
      </c>
      <c r="CQ360" s="13" t="n">
        <v>131</v>
      </c>
      <c r="CR360" s="13" t="n">
        <v>4</v>
      </c>
      <c r="CS360" s="13" t="n">
        <v>12.6</v>
      </c>
      <c r="CT360" s="11" t="inlineStr">
        <is>
          <t xml:space="preserve"> Touring</t>
        </is>
      </c>
      <c r="CU360" s="11" t="inlineStr">
        <is>
          <t xml:space="preserve"> Ultralight Touring</t>
        </is>
      </c>
      <c r="CV360" s="13" t="n"/>
      <c r="CW360" s="13" t="n"/>
      <c r="CX360">
        <f>INDEX('Data_Price '!AG$2:AG$1266,MATCH(Data!$DN360,'Data_Price '!$AT$2:$AT$1266,0))</f>
        <v/>
      </c>
      <c r="CY360">
        <f>INDEX('Data_Price '!AH$2:AH$1266,MATCH(Data!$DN360,'Data_Price '!$AT$2:$AT$1266,0))</f>
        <v/>
      </c>
      <c r="CZ360">
        <f>INDEX('Data_Price '!AI$2:AI$1266,MATCH(Data!$DN360,'Data_Price '!$AT$2:$AT$1266,0))</f>
        <v/>
      </c>
      <c r="DA360">
        <f>INDEX('Data_Price '!AJ$2:AJ$1266,MATCH(Data!$DN360,'Data_Price '!$AT$2:$AT$1266,0))</f>
        <v/>
      </c>
      <c r="DB360">
        <f>INDEX('Data_Price '!AK$2:AK$1266,MATCH(Data!$DN360,'Data_Price '!$AT$2:$AT$1266,0))</f>
        <v/>
      </c>
      <c r="DC360">
        <f>INDEX('Data_Price '!AL$2:AL$1266,MATCH(Data!$DN360,'Data_Price '!$AT$2:$AT$1266,0))</f>
        <v/>
      </c>
      <c r="DD360">
        <f>INDEX('Data_Price '!AM$2:AM$1266,MATCH(Data!$DN360,'Data_Price '!$AT$2:$AT$1266,0))</f>
        <v/>
      </c>
      <c r="DE360">
        <f>INDEX('Data_Price '!AN$2:AN$1266,MATCH(Data!$DN360,'Data_Price '!$AT$2:$AT$1266,0))</f>
        <v/>
      </c>
      <c r="DF360">
        <f>INDEX('Data_Price '!AO$2:AO$1266,MATCH(Data!$DN360,'Data_Price '!$AT$2:$AT$1266,0))</f>
        <v/>
      </c>
      <c r="DG360">
        <f>INDEX('Data_Price '!AP$2:AP$1266,MATCH(Data!$DN360,'Data_Price '!$AT$2:$AT$1266,0))</f>
        <v/>
      </c>
      <c r="DH360">
        <f>INDEX('Data_Price '!AQ$2:AQ$1266,MATCH(Data!$DN360,'Data_Price '!$AT$2:$AT$1266,0))</f>
        <v/>
      </c>
      <c r="DI360">
        <f>INDEX('Data_Price '!AR$2:AR$1266,MATCH(Data!$DN360,'Data_Price '!$AT$2:$AT$1266,0))</f>
        <v/>
      </c>
      <c r="DJ360" s="138">
        <f>DA360</f>
        <v/>
      </c>
      <c r="DK360" s="138">
        <f>DE360</f>
        <v/>
      </c>
      <c r="DL360" s="138">
        <f>DI360</f>
        <v/>
      </c>
      <c r="DM360" s="303">
        <f>IF(LEFT(BT360,1)=" ",RIGHT(BT360,LEN(BT360)-1),BT360)</f>
        <v/>
      </c>
      <c r="DN360" s="138">
        <f>_xlfn.CONCAT(BS360,DM360,BU360,BV360)</f>
        <v/>
      </c>
      <c r="DO360" s="307" t="inlineStr">
        <is>
          <t>https://images.evo.com/imgp/250/208965/851019/dynafit-blacklight-95-skis-2022-.jpg</t>
        </is>
      </c>
    </row>
    <row r="361" ht="15.6" customHeight="1" s="184">
      <c r="B361" s="303">
        <f t="array" ref="B361">IF(OR(ISERROR(K361:P361)),FALSE,TRUE)</f>
        <v/>
      </c>
      <c r="C361" s="60">
        <f>OR(BR361=Driver!$G$50,Data!BR12=Driver!$H$50)</f>
        <v/>
      </c>
      <c r="D361" s="60">
        <f>OR(BV361=Driver!$G$51,BV361=Driver!$H$51)</f>
        <v/>
      </c>
      <c r="E361" s="60">
        <f>AND(BX361&gt;Driver!$F$54,BX361&lt;Driver!$G$54)</f>
        <v/>
      </c>
      <c r="F361" s="60">
        <f>CL361&gt;Driver!$F$56</f>
        <v/>
      </c>
      <c r="G361" s="60">
        <f>AND(CB361&gt;Driver!$F$55,CB361&lt;Driver!$G$55)</f>
        <v/>
      </c>
      <c r="H361" s="60">
        <f>AND(B361:G361)</f>
        <v/>
      </c>
      <c r="I361" s="60">
        <f>COUNTIFS($H$9:$H$1273,TRUE,$BT$9:$BT$1273,BT361)</f>
        <v/>
      </c>
      <c r="J361" s="60">
        <f t="array" ref="J361">NOT(OR(($H$9:$H$1273=TRUE)*($I$9:$I$1273&gt;0)*($BT$9:$BT$1273=BT361)*($K$9:$K$1273&gt;K361)))</f>
        <v/>
      </c>
      <c r="K361" s="108">
        <f>IFERROR(1-AVERAGE(X361:Y361),"")</f>
        <v/>
      </c>
      <c r="L361" s="108">
        <f>1-X361</f>
        <v/>
      </c>
      <c r="M361" s="108">
        <f>1-Y361</f>
        <v/>
      </c>
      <c r="N361" s="108">
        <f>1-Z361</f>
        <v/>
      </c>
      <c r="O361" s="108">
        <f>1-AA361</f>
        <v/>
      </c>
      <c r="P361" s="108">
        <f>1-AB361</f>
        <v/>
      </c>
      <c r="Q361" s="108" t="n"/>
      <c r="R361" s="108" t="n"/>
      <c r="S361" s="108">
        <f>1-AE361</f>
        <v/>
      </c>
      <c r="T361" s="108">
        <f>1-AF361</f>
        <v/>
      </c>
      <c r="U361" s="108">
        <f>1-AG361</f>
        <v/>
      </c>
      <c r="V361" s="108">
        <f>1-AH361</f>
        <v/>
      </c>
      <c r="W361" s="108">
        <f>1-AI361</f>
        <v/>
      </c>
      <c r="X361" s="108">
        <f>ABS(AJ361-AJ$1)</f>
        <v/>
      </c>
      <c r="Y361" s="108">
        <f>AVERAGE(Z361:AB361)</f>
        <v/>
      </c>
      <c r="Z361" s="108">
        <f>ABS(AL361-AL$1)</f>
        <v/>
      </c>
      <c r="AA361" s="108">
        <f>ABS(AM361-AM$1)</f>
        <v/>
      </c>
      <c r="AB361" s="108">
        <f>ABS(AN361-AN$1)</f>
        <v/>
      </c>
      <c r="AC361" s="108" t="n"/>
      <c r="AD361" s="108" t="n"/>
      <c r="AE361" s="108">
        <f>ABS(AQ$1-AQ361)</f>
        <v/>
      </c>
      <c r="AF361" s="108">
        <f>ABS(AR$1-AR361)</f>
        <v/>
      </c>
      <c r="AG361" s="108">
        <f>ABS(AS$1-AS361)</f>
        <v/>
      </c>
      <c r="AH361" s="108">
        <f>ABS(AT$1-AT361)</f>
        <v/>
      </c>
      <c r="AI361" s="108">
        <f>ABS(AU$1-AU361)</f>
        <v/>
      </c>
      <c r="AJ361" s="108">
        <f>(AV361-Driver!$K$179)/(Driver!$L$179-Driver!$K$179)</f>
        <v/>
      </c>
      <c r="AK361" s="108">
        <f>(AW361-Driver!$K$180)/(Driver!$L$180-Driver!$K$180)</f>
        <v/>
      </c>
      <c r="AL361" s="108">
        <f>(AX361-Driver!$K$181)/(Driver!$L$181-Driver!$K$181)</f>
        <v/>
      </c>
      <c r="AM361" s="108">
        <f>(AY361-Driver!$K$182)/(Driver!$L$182-Driver!$K$182)</f>
        <v/>
      </c>
      <c r="AN361" s="108">
        <f>(AZ361-Driver!$K$183)/(Driver!$L$183-Driver!$K$183)</f>
        <v/>
      </c>
      <c r="AO361" s="108" t="n"/>
      <c r="AP361" s="108" t="n"/>
      <c r="AQ361" s="108">
        <f>(BC361-Driver!$K$188)/(Driver!$L$188-Driver!$K$188)</f>
        <v/>
      </c>
      <c r="AR361" s="108">
        <f>MIN((BD361-Driver!$K$189)/(Driver!$L$189-Driver!$K$189),100%)</f>
        <v/>
      </c>
      <c r="AS361" s="108">
        <f>(BE361-Driver!$K$190)/(Driver!$L$190-Driver!$K$190)</f>
        <v/>
      </c>
      <c r="AT361" s="108">
        <f>(BF361-Driver!$K$191)/(Driver!$L$191-Driver!$K$191)</f>
        <v/>
      </c>
      <c r="AU361" s="108">
        <f>(BG361-Driver!$K$192)/(Driver!$L$192-Driver!$K$192)</f>
        <v/>
      </c>
      <c r="AV361" s="105">
        <f>IFERROR(BM361*BJ361^1/4,"")</f>
        <v/>
      </c>
      <c r="AW361" s="105">
        <f>IFERROR(SUM(AX361:AZ361),"")</f>
        <v/>
      </c>
      <c r="AX361" s="105">
        <f>IFERROR(BH361,"")</f>
        <v/>
      </c>
      <c r="AY361" s="105">
        <f>IFERROR(Driver!$K$19/Data!BH361/Data!BI361*Data!BK361*Data!BL361,"")</f>
        <v/>
      </c>
      <c r="AZ361" s="105">
        <f>IFERROR(BI361*BN361,"")</f>
        <v/>
      </c>
      <c r="BA361" s="105" t="n"/>
      <c r="BB361" s="105" t="n"/>
      <c r="BC361" s="105">
        <f>IFERROR(BI361*BN361*BK361/BJ361^(1/2),"")</f>
        <v/>
      </c>
      <c r="BD361" s="105">
        <f>IFERROR(BH361*BM361*BL361/BJ361/BK361,"")</f>
        <v/>
      </c>
      <c r="BE361" s="105">
        <f>IFERROR(MIN(BI361/BQ361/BP361/BO361/BH361,$BE$1),"")</f>
        <v/>
      </c>
      <c r="BF361" s="105">
        <f>IFERROR(BJ361*BO361*BP361/BK361,"")</f>
        <v/>
      </c>
      <c r="BG361" s="105">
        <f>IFERROR(1/BM361/BH361*BQ361,"")</f>
        <v/>
      </c>
      <c r="BH361" s="102">
        <f>MAX((CE361-Driver!$F$200)/(Driver!$G$200-Driver!$F$200)*$BI$1,1)</f>
        <v/>
      </c>
      <c r="BI361" s="102">
        <f>MAX($BI$1*(BY361-Driver!$F$201)/(Driver!$G$201-Driver!$F$201),1)</f>
        <v/>
      </c>
      <c r="BJ361" s="102">
        <f>(CB361-Driver!$F$206)/(Driver!$G$206-Driver!$F$206)*$BI$1</f>
        <v/>
      </c>
      <c r="BK361" s="102">
        <f>(CD361-Driver!$F$203)/(Driver!$G$203-Driver!$F$203)*$BI$1</f>
        <v/>
      </c>
      <c r="BL361" s="102">
        <f>MAX((CR361-Driver!$F$202)/(Driver!$G$202-Driver!$F$202)*$BI$1,1)</f>
        <v/>
      </c>
      <c r="BM361" s="102">
        <f>MAX((CH361-Driver!$F$204)/(Driver!$G$204-Driver!$F$204)*$BI$1,1)</f>
        <v/>
      </c>
      <c r="BN361" s="102">
        <f>(CI361-Driver!$F$205)/(Driver!$G$205-Driver!$F$205)*$BI$1</f>
        <v/>
      </c>
      <c r="BO361" s="102">
        <f>(CK361-Driver!$F$207)/(Driver!$G$207-Driver!$F$207)*$BI$1</f>
        <v/>
      </c>
      <c r="BP361" s="102">
        <f>(CM361-Driver!$F$208)/(Driver!$G$208-Driver!$F$208)*$BI$1</f>
        <v/>
      </c>
      <c r="BQ361" s="102">
        <f>(CL361-Driver!$F$209)/(Driver!$G$209-Driver!$F$209)*$BI$1</f>
        <v/>
      </c>
      <c r="BR361" s="40" t="inlineStr">
        <is>
          <t>22/23</t>
        </is>
      </c>
      <c r="BS361" s="10" t="inlineStr">
        <is>
          <t xml:space="preserve"> DPS</t>
        </is>
      </c>
      <c r="BT361" s="11" t="inlineStr">
        <is>
          <t>Pagoda Tour 90</t>
        </is>
      </c>
      <c r="BU361" s="13" t="n">
        <v>178</v>
      </c>
      <c r="BV361" s="11" t="inlineStr">
        <is>
          <t xml:space="preserve"> Unisex</t>
        </is>
      </c>
      <c r="BW361" s="13" t="n">
        <v>178</v>
      </c>
      <c r="BX361" s="13" t="n">
        <v>177.6</v>
      </c>
      <c r="BY361" s="13" t="n">
        <v>118</v>
      </c>
      <c r="BZ361" s="13" t="n">
        <v>135</v>
      </c>
      <c r="CA361" s="13" t="n">
        <v>125</v>
      </c>
      <c r="CB361" s="13" t="n">
        <v>90</v>
      </c>
      <c r="CC361" s="13" t="n">
        <v>109</v>
      </c>
      <c r="CD361" s="13" t="n">
        <v>15</v>
      </c>
      <c r="CE361" s="13" t="n">
        <v>1319</v>
      </c>
      <c r="CF361" s="13" t="n">
        <v>1.38</v>
      </c>
      <c r="CG361" s="13" t="n">
        <v>1819</v>
      </c>
      <c r="CH361" s="13" t="n">
        <v>201</v>
      </c>
      <c r="CI361" s="13" t="n">
        <v>92</v>
      </c>
      <c r="CJ361" s="13" t="n">
        <v>60</v>
      </c>
      <c r="CK361" s="13" t="n">
        <v>342</v>
      </c>
      <c r="CL361" s="13" t="n">
        <v>13</v>
      </c>
      <c r="CM361" s="13" t="n">
        <v>254</v>
      </c>
      <c r="CN361" s="13" t="n">
        <v>0.215</v>
      </c>
      <c r="CO361" s="13" t="n">
        <v>197</v>
      </c>
      <c r="CP361" s="13" t="n">
        <v>230</v>
      </c>
      <c r="CQ361" s="13" t="n">
        <v>144</v>
      </c>
      <c r="CR361" s="13" t="n">
        <v>8</v>
      </c>
      <c r="CS361" s="13" t="n">
        <v>13</v>
      </c>
      <c r="CT361" s="11" t="inlineStr">
        <is>
          <t xml:space="preserve"> Touring</t>
        </is>
      </c>
      <c r="CU361" s="11" t="inlineStr">
        <is>
          <t xml:space="preserve"> Ultralight Touring</t>
        </is>
      </c>
      <c r="CV361" s="13" t="n"/>
      <c r="CW361" s="13" t="n"/>
      <c r="CX361">
        <f>INDEX('Data_Price '!AG$2:AG$1266,MATCH(Data!$DN361,'Data_Price '!$AT$2:$AT$1266,0))</f>
        <v/>
      </c>
      <c r="CY361">
        <f>INDEX('Data_Price '!AH$2:AH$1266,MATCH(Data!$DN361,'Data_Price '!$AT$2:$AT$1266,0))</f>
        <v/>
      </c>
      <c r="CZ361">
        <f>INDEX('Data_Price '!AI$2:AI$1266,MATCH(Data!$DN361,'Data_Price '!$AT$2:$AT$1266,0))</f>
        <v/>
      </c>
      <c r="DA361">
        <f>INDEX('Data_Price '!AJ$2:AJ$1266,MATCH(Data!$DN361,'Data_Price '!$AT$2:$AT$1266,0))</f>
        <v/>
      </c>
      <c r="DB361">
        <f>INDEX('Data_Price '!AK$2:AK$1266,MATCH(Data!$DN361,'Data_Price '!$AT$2:$AT$1266,0))</f>
        <v/>
      </c>
      <c r="DC361">
        <f>INDEX('Data_Price '!AL$2:AL$1266,MATCH(Data!$DN361,'Data_Price '!$AT$2:$AT$1266,0))</f>
        <v/>
      </c>
      <c r="DD361">
        <f>INDEX('Data_Price '!AM$2:AM$1266,MATCH(Data!$DN361,'Data_Price '!$AT$2:$AT$1266,0))</f>
        <v/>
      </c>
      <c r="DE361">
        <f>INDEX('Data_Price '!AN$2:AN$1266,MATCH(Data!$DN361,'Data_Price '!$AT$2:$AT$1266,0))</f>
        <v/>
      </c>
      <c r="DF361">
        <f>INDEX('Data_Price '!AO$2:AO$1266,MATCH(Data!$DN361,'Data_Price '!$AT$2:$AT$1266,0))</f>
        <v/>
      </c>
      <c r="DG361">
        <f>INDEX('Data_Price '!AP$2:AP$1266,MATCH(Data!$DN361,'Data_Price '!$AT$2:$AT$1266,0))</f>
        <v/>
      </c>
      <c r="DH361">
        <f>INDEX('Data_Price '!AQ$2:AQ$1266,MATCH(Data!$DN361,'Data_Price '!$AT$2:$AT$1266,0))</f>
        <v/>
      </c>
      <c r="DI361">
        <f>INDEX('Data_Price '!AR$2:AR$1266,MATCH(Data!$DN361,'Data_Price '!$AT$2:$AT$1266,0))</f>
        <v/>
      </c>
      <c r="DJ361" s="138">
        <f>DA361</f>
        <v/>
      </c>
      <c r="DK361" s="138">
        <f>DE361</f>
        <v/>
      </c>
      <c r="DL361" s="138">
        <f>DI361</f>
        <v/>
      </c>
      <c r="DM361" s="303">
        <f>IF(LEFT(BT361,1)=" ",RIGHT(BT361,LEN(BT361)-1),BT361)</f>
        <v/>
      </c>
      <c r="DN361" s="138">
        <f>_xlfn.CONCAT(BS361,DM361,BU361,BV361)</f>
        <v/>
      </c>
      <c r="DO361" s="307" t="n"/>
    </row>
    <row r="362" ht="15.6" customHeight="1" s="184">
      <c r="B362" s="303">
        <f t="array" ref="B362">IF(OR(ISERROR(K362:P362)),FALSE,TRUE)</f>
        <v/>
      </c>
      <c r="C362" s="60">
        <f>OR(BR362=Driver!$G$50,Data!BR205=Driver!$H$50)</f>
        <v/>
      </c>
      <c r="D362" s="60">
        <f>OR(BV362=Driver!$G$51,BV362=Driver!$H$51)</f>
        <v/>
      </c>
      <c r="E362" s="60">
        <f>AND(BX362&gt;Driver!$F$54,BX362&lt;Driver!$G$54)</f>
        <v/>
      </c>
      <c r="F362" s="60">
        <f>CL362&gt;Driver!$F$56</f>
        <v/>
      </c>
      <c r="G362" s="60">
        <f>AND(CB362&gt;Driver!$F$55,CB362&lt;Driver!$G$55)</f>
        <v/>
      </c>
      <c r="H362" s="60">
        <f>AND(B362:G362)</f>
        <v/>
      </c>
      <c r="I362" s="60">
        <f>COUNTIFS($H$9:$H$1273,TRUE,$BT$9:$BT$1273,BT362)</f>
        <v/>
      </c>
      <c r="J362" s="60">
        <f t="array" ref="J362">NOT(OR(($H$9:$H$1273=TRUE)*($I$9:$I$1273&gt;0)*($BT$9:$BT$1273=BT362)*($K$9:$K$1273&gt;K362)))</f>
        <v/>
      </c>
      <c r="K362" s="108">
        <f>IFERROR(1-AVERAGE(X362:Y362),"")</f>
        <v/>
      </c>
      <c r="L362" s="108">
        <f>1-X362</f>
        <v/>
      </c>
      <c r="M362" s="108">
        <f>1-Y362</f>
        <v/>
      </c>
      <c r="N362" s="108">
        <f>1-Z362</f>
        <v/>
      </c>
      <c r="O362" s="108">
        <f>1-AA362</f>
        <v/>
      </c>
      <c r="P362" s="108">
        <f>1-AB362</f>
        <v/>
      </c>
      <c r="Q362" s="108" t="n"/>
      <c r="R362" s="108" t="n"/>
      <c r="S362" s="108">
        <f>1-AE362</f>
        <v/>
      </c>
      <c r="T362" s="108">
        <f>1-AF362</f>
        <v/>
      </c>
      <c r="U362" s="108">
        <f>1-AG362</f>
        <v/>
      </c>
      <c r="V362" s="108">
        <f>1-AH362</f>
        <v/>
      </c>
      <c r="W362" s="108">
        <f>1-AI362</f>
        <v/>
      </c>
      <c r="X362" s="108">
        <f>ABS(AJ362-AJ$1)</f>
        <v/>
      </c>
      <c r="Y362" s="108">
        <f>AVERAGE(Z362:AB362)</f>
        <v/>
      </c>
      <c r="Z362" s="108">
        <f>ABS(AL362-AL$1)</f>
        <v/>
      </c>
      <c r="AA362" s="108">
        <f>ABS(AM362-AM$1)</f>
        <v/>
      </c>
      <c r="AB362" s="108">
        <f>ABS(AN362-AN$1)</f>
        <v/>
      </c>
      <c r="AC362" s="108" t="n"/>
      <c r="AD362" s="108" t="n"/>
      <c r="AE362" s="108">
        <f>ABS(AQ$1-AQ362)</f>
        <v/>
      </c>
      <c r="AF362" s="108">
        <f>ABS(AR$1-AR362)</f>
        <v/>
      </c>
      <c r="AG362" s="108">
        <f>ABS(AS$1-AS362)</f>
        <v/>
      </c>
      <c r="AH362" s="108">
        <f>ABS(AT$1-AT362)</f>
        <v/>
      </c>
      <c r="AI362" s="108">
        <f>ABS(AU$1-AU362)</f>
        <v/>
      </c>
      <c r="AJ362" s="108">
        <f>(AV362-Driver!$K$179)/(Driver!$L$179-Driver!$K$179)</f>
        <v/>
      </c>
      <c r="AK362" s="108">
        <f>(AW362-Driver!$K$180)/(Driver!$L$180-Driver!$K$180)</f>
        <v/>
      </c>
      <c r="AL362" s="108">
        <f>(AX362-Driver!$K$181)/(Driver!$L$181-Driver!$K$181)</f>
        <v/>
      </c>
      <c r="AM362" s="108">
        <f>(AY362-Driver!$K$182)/(Driver!$L$182-Driver!$K$182)</f>
        <v/>
      </c>
      <c r="AN362" s="108">
        <f>(AZ362-Driver!$K$183)/(Driver!$L$183-Driver!$K$183)</f>
        <v/>
      </c>
      <c r="AO362" s="108" t="n"/>
      <c r="AP362" s="108" t="n"/>
      <c r="AQ362" s="108">
        <f>(BC362-Driver!$K$188)/(Driver!$L$188-Driver!$K$188)</f>
        <v/>
      </c>
      <c r="AR362" s="108">
        <f>MIN((BD362-Driver!$K$189)/(Driver!$L$189-Driver!$K$189),100%)</f>
        <v/>
      </c>
      <c r="AS362" s="108">
        <f>(BE362-Driver!$K$190)/(Driver!$L$190-Driver!$K$190)</f>
        <v/>
      </c>
      <c r="AT362" s="108">
        <f>(BF362-Driver!$K$191)/(Driver!$L$191-Driver!$K$191)</f>
        <v/>
      </c>
      <c r="AU362" s="108">
        <f>(BG362-Driver!$K$192)/(Driver!$L$192-Driver!$K$192)</f>
        <v/>
      </c>
      <c r="AV362" s="105">
        <f>IFERROR(BM362*BJ362^1/4,"")</f>
        <v/>
      </c>
      <c r="AW362" s="105">
        <f>IFERROR(SUM(AX362:AZ362),"")</f>
        <v/>
      </c>
      <c r="AX362" s="105">
        <f>IFERROR(BH362,"")</f>
        <v/>
      </c>
      <c r="AY362" s="105">
        <f>IFERROR(Driver!$K$19/Data!BH362/Data!BI362*Data!BK362*Data!BL362,"")</f>
        <v/>
      </c>
      <c r="AZ362" s="105">
        <f>IFERROR(BI362*BN362,"")</f>
        <v/>
      </c>
      <c r="BA362" s="105" t="n"/>
      <c r="BB362" s="105" t="n"/>
      <c r="BC362" s="105">
        <f>IFERROR(BI362*BN362*BK362/BJ362^(1/2),"")</f>
        <v/>
      </c>
      <c r="BD362" s="105">
        <f>IFERROR(BH362*BM362*BL362/BJ362/BK362,"")</f>
        <v/>
      </c>
      <c r="BE362" s="105">
        <f>IFERROR(MIN(BI362/BQ362/BP362/BO362/BH362,$BE$1),"")</f>
        <v/>
      </c>
      <c r="BF362" s="105">
        <f>IFERROR(BJ362*BO362*BP362/BK362,"")</f>
        <v/>
      </c>
      <c r="BG362" s="105">
        <f>IFERROR(1/BM362/BH362*BQ362,"")</f>
        <v/>
      </c>
      <c r="BH362" s="102">
        <f>MAX((CE362-Driver!$F$200)/(Driver!$G$200-Driver!$F$200)*$BI$1,1)</f>
        <v/>
      </c>
      <c r="BI362" s="102">
        <f>MAX($BI$1*(BY362-Driver!$F$201)/(Driver!$G$201-Driver!$F$201),1)</f>
        <v/>
      </c>
      <c r="BJ362" s="102">
        <f>(CB362-Driver!$F$206)/(Driver!$G$206-Driver!$F$206)*$BI$1</f>
        <v/>
      </c>
      <c r="BK362" s="102">
        <f>(CD362-Driver!$F$203)/(Driver!$G$203-Driver!$F$203)*$BI$1</f>
        <v/>
      </c>
      <c r="BL362" s="102">
        <f>MAX((CR362-Driver!$F$202)/(Driver!$G$202-Driver!$F$202)*$BI$1,1)</f>
        <v/>
      </c>
      <c r="BM362" s="102">
        <f>MAX((CH362-Driver!$F$204)/(Driver!$G$204-Driver!$F$204)*$BI$1,1)</f>
        <v/>
      </c>
      <c r="BN362" s="102">
        <f>(CI362-Driver!$F$205)/(Driver!$G$205-Driver!$F$205)*$BI$1</f>
        <v/>
      </c>
      <c r="BO362" s="102">
        <f>(CK362-Driver!$F$207)/(Driver!$G$207-Driver!$F$207)*$BI$1</f>
        <v/>
      </c>
      <c r="BP362" s="102">
        <f>(CM362-Driver!$F$208)/(Driver!$G$208-Driver!$F$208)*$BI$1</f>
        <v/>
      </c>
      <c r="BQ362" s="102">
        <f>(CL362-Driver!$F$209)/(Driver!$G$209-Driver!$F$209)*$BI$1</f>
        <v/>
      </c>
      <c r="BR362" s="40" t="inlineStr">
        <is>
          <t>21/22</t>
        </is>
      </c>
      <c r="BS362" s="10" t="inlineStr">
        <is>
          <t xml:space="preserve"> Black Crows</t>
        </is>
      </c>
      <c r="BT362" s="11" t="inlineStr">
        <is>
          <t xml:space="preserve"> Camox</t>
        </is>
      </c>
      <c r="BU362" s="13" t="n">
        <v>186.5</v>
      </c>
      <c r="BV362" s="11" t="inlineStr">
        <is>
          <t xml:space="preserve"> Unisex</t>
        </is>
      </c>
      <c r="BW362" s="13" t="n">
        <v>186.5</v>
      </c>
      <c r="BX362" s="13" t="n">
        <v>185.4</v>
      </c>
      <c r="BY362" s="13" t="n">
        <v>148</v>
      </c>
      <c r="BZ362" s="13" t="n">
        <v>159</v>
      </c>
      <c r="CA362" s="13" t="n">
        <v>131</v>
      </c>
      <c r="CB362" s="13" t="n">
        <v>96</v>
      </c>
      <c r="CC362" s="13" t="n">
        <v>119</v>
      </c>
      <c r="CD362" s="13" t="n">
        <v>20.3</v>
      </c>
      <c r="CE362" s="13" t="n">
        <v>1958</v>
      </c>
      <c r="CF362" s="13" t="n">
        <v>1.02</v>
      </c>
      <c r="CG362" s="13" t="n">
        <v>1990</v>
      </c>
      <c r="CH362" s="13" t="n">
        <v>198</v>
      </c>
      <c r="CI362" s="13" t="n">
        <v>96</v>
      </c>
      <c r="CJ362" s="13" t="n">
        <v>43</v>
      </c>
      <c r="CK362" s="13" t="n">
        <v>219</v>
      </c>
      <c r="CL362" s="13" t="n">
        <v>30</v>
      </c>
      <c r="CM362" s="13" t="n">
        <v>155</v>
      </c>
      <c r="CN362" s="13" t="n">
        <v>0.709</v>
      </c>
      <c r="CO362" s="13" t="n">
        <v>139</v>
      </c>
      <c r="CP362" s="13" t="n">
        <v>127</v>
      </c>
      <c r="CQ362" s="13" t="n">
        <v>80</v>
      </c>
      <c r="CR362" s="13" t="n">
        <v>17</v>
      </c>
      <c r="CS362" s="13" t="n">
        <v>6</v>
      </c>
      <c r="CT362" s="11" t="inlineStr">
        <is>
          <t xml:space="preserve"> Resort Freeride</t>
        </is>
      </c>
      <c r="CU362" s="13" t="n"/>
      <c r="CV362" s="13" t="n"/>
      <c r="CW362" s="13" t="n"/>
      <c r="CX362">
        <f>INDEX('Data_Price '!AG$2:AG$1266,MATCH(Data!$DN362,'Data_Price '!$AT$2:$AT$1266,0))</f>
        <v/>
      </c>
      <c r="CY362">
        <f>INDEX('Data_Price '!AH$2:AH$1266,MATCH(Data!$DN362,'Data_Price '!$AT$2:$AT$1266,0))</f>
        <v/>
      </c>
      <c r="CZ362">
        <f>INDEX('Data_Price '!AI$2:AI$1266,MATCH(Data!$DN362,'Data_Price '!$AT$2:$AT$1266,0))</f>
        <v/>
      </c>
      <c r="DA362">
        <f>INDEX('Data_Price '!AJ$2:AJ$1266,MATCH(Data!$DN362,'Data_Price '!$AT$2:$AT$1266,0))</f>
        <v/>
      </c>
      <c r="DB362">
        <f>INDEX('Data_Price '!AK$2:AK$1266,MATCH(Data!$DN362,'Data_Price '!$AT$2:$AT$1266,0))</f>
        <v/>
      </c>
      <c r="DC362">
        <f>INDEX('Data_Price '!AL$2:AL$1266,MATCH(Data!$DN362,'Data_Price '!$AT$2:$AT$1266,0))</f>
        <v/>
      </c>
      <c r="DD362">
        <f>INDEX('Data_Price '!AM$2:AM$1266,MATCH(Data!$DN362,'Data_Price '!$AT$2:$AT$1266,0))</f>
        <v/>
      </c>
      <c r="DE362">
        <f>INDEX('Data_Price '!AN$2:AN$1266,MATCH(Data!$DN362,'Data_Price '!$AT$2:$AT$1266,0))</f>
        <v/>
      </c>
      <c r="DF362">
        <f>INDEX('Data_Price '!AO$2:AO$1266,MATCH(Data!$DN362,'Data_Price '!$AT$2:$AT$1266,0))</f>
        <v/>
      </c>
      <c r="DG362">
        <f>INDEX('Data_Price '!AP$2:AP$1266,MATCH(Data!$DN362,'Data_Price '!$AT$2:$AT$1266,0))</f>
        <v/>
      </c>
      <c r="DH362">
        <f>INDEX('Data_Price '!AQ$2:AQ$1266,MATCH(Data!$DN362,'Data_Price '!$AT$2:$AT$1266,0))</f>
        <v/>
      </c>
      <c r="DI362">
        <f>INDEX('Data_Price '!AR$2:AR$1266,MATCH(Data!$DN362,'Data_Price '!$AT$2:$AT$1266,0))</f>
        <v/>
      </c>
      <c r="DJ362" s="138">
        <f>DA362</f>
        <v/>
      </c>
      <c r="DK362" s="138">
        <f>DE362</f>
        <v/>
      </c>
      <c r="DL362" s="138">
        <f>DI362</f>
        <v/>
      </c>
      <c r="DM362" s="303">
        <f>IF(LEFT(BT362,1)=" ",RIGHT(BT362,LEN(BT362)-1),BT362)</f>
        <v/>
      </c>
      <c r="DN362" s="138">
        <f>_xlfn.CONCAT(BS362,DM362,BU362,BV362)</f>
        <v/>
      </c>
      <c r="DO362" s="307" t="inlineStr">
        <is>
          <t>https://images.evo.com/imgp/250/181599/727231/black-crows-camox-skis-2022-.jpg</t>
        </is>
      </c>
    </row>
    <row r="363" ht="15.6" customHeight="1" s="184">
      <c r="B363" s="303">
        <f t="array" ref="B363">IF(OR(ISERROR(K363:P363)),FALSE,TRUE)</f>
        <v/>
      </c>
      <c r="C363" s="60">
        <f>OR(BR363=Driver!$G$50,Data!BR288=Driver!$H$50)</f>
        <v/>
      </c>
      <c r="D363" s="60">
        <f>OR(BV363=Driver!$G$51,BV363=Driver!$H$51)</f>
        <v/>
      </c>
      <c r="E363" s="60">
        <f>AND(BX363&gt;Driver!$F$54,BX363&lt;Driver!$G$54)</f>
        <v/>
      </c>
      <c r="F363" s="60">
        <f>CL363&gt;Driver!$F$56</f>
        <v/>
      </c>
      <c r="G363" s="60">
        <f>AND(CB363&gt;Driver!$F$55,CB363&lt;Driver!$G$55)</f>
        <v/>
      </c>
      <c r="H363" s="60">
        <f>AND(B363:G363)</f>
        <v/>
      </c>
      <c r="I363" s="60">
        <f>COUNTIFS($H$9:$H$1273,TRUE,$BT$9:$BT$1273,BT363)</f>
        <v/>
      </c>
      <c r="J363" s="60">
        <f t="array" ref="J363">NOT(OR(($H$9:$H$1273=TRUE)*($I$9:$I$1273&gt;0)*($BT$9:$BT$1273=BT363)*($K$9:$K$1273&gt;K363)))</f>
        <v/>
      </c>
      <c r="K363" s="108">
        <f>IFERROR(1-AVERAGE(X363:Y363),"")</f>
        <v/>
      </c>
      <c r="L363" s="108">
        <f>1-X363</f>
        <v/>
      </c>
      <c r="M363" s="108">
        <f>1-Y363</f>
        <v/>
      </c>
      <c r="N363" s="108">
        <f>1-Z363</f>
        <v/>
      </c>
      <c r="O363" s="108">
        <f>1-AA363</f>
        <v/>
      </c>
      <c r="P363" s="108">
        <f>1-AB363</f>
        <v/>
      </c>
      <c r="Q363" s="108" t="n"/>
      <c r="R363" s="108" t="n"/>
      <c r="S363" s="108">
        <f>1-AE363</f>
        <v/>
      </c>
      <c r="T363" s="108">
        <f>1-AF363</f>
        <v/>
      </c>
      <c r="U363" s="108">
        <f>1-AG363</f>
        <v/>
      </c>
      <c r="V363" s="108">
        <f>1-AH363</f>
        <v/>
      </c>
      <c r="W363" s="108">
        <f>1-AI363</f>
        <v/>
      </c>
      <c r="X363" s="108">
        <f>ABS(AJ363-AJ$1)</f>
        <v/>
      </c>
      <c r="Y363" s="108">
        <f>AVERAGE(Z363:AB363)</f>
        <v/>
      </c>
      <c r="Z363" s="108">
        <f>ABS(AL363-AL$1)</f>
        <v/>
      </c>
      <c r="AA363" s="108">
        <f>ABS(AM363-AM$1)</f>
        <v/>
      </c>
      <c r="AB363" s="108">
        <f>ABS(AN363-AN$1)</f>
        <v/>
      </c>
      <c r="AC363" s="108" t="n"/>
      <c r="AD363" s="108" t="n"/>
      <c r="AE363" s="108">
        <f>ABS(AQ$1-AQ363)</f>
        <v/>
      </c>
      <c r="AF363" s="108">
        <f>ABS(AR$1-AR363)</f>
        <v/>
      </c>
      <c r="AG363" s="108">
        <f>ABS(AS$1-AS363)</f>
        <v/>
      </c>
      <c r="AH363" s="108">
        <f>ABS(AT$1-AT363)</f>
        <v/>
      </c>
      <c r="AI363" s="108">
        <f>ABS(AU$1-AU363)</f>
        <v/>
      </c>
      <c r="AJ363" s="108">
        <f>(AV363-Driver!$K$179)/(Driver!$L$179-Driver!$K$179)</f>
        <v/>
      </c>
      <c r="AK363" s="108">
        <f>(AW363-Driver!$K$180)/(Driver!$L$180-Driver!$K$180)</f>
        <v/>
      </c>
      <c r="AL363" s="108">
        <f>(AX363-Driver!$K$181)/(Driver!$L$181-Driver!$K$181)</f>
        <v/>
      </c>
      <c r="AM363" s="108">
        <f>(AY363-Driver!$K$182)/(Driver!$L$182-Driver!$K$182)</f>
        <v/>
      </c>
      <c r="AN363" s="108">
        <f>(AZ363-Driver!$K$183)/(Driver!$L$183-Driver!$K$183)</f>
        <v/>
      </c>
      <c r="AO363" s="108" t="n"/>
      <c r="AP363" s="108" t="n"/>
      <c r="AQ363" s="108">
        <f>(BC363-Driver!$K$188)/(Driver!$L$188-Driver!$K$188)</f>
        <v/>
      </c>
      <c r="AR363" s="108">
        <f>MIN((BD363-Driver!$K$189)/(Driver!$L$189-Driver!$K$189),100%)</f>
        <v/>
      </c>
      <c r="AS363" s="108">
        <f>(BE363-Driver!$K$190)/(Driver!$L$190-Driver!$K$190)</f>
        <v/>
      </c>
      <c r="AT363" s="108">
        <f>(BF363-Driver!$K$191)/(Driver!$L$191-Driver!$K$191)</f>
        <v/>
      </c>
      <c r="AU363" s="108">
        <f>(BG363-Driver!$K$192)/(Driver!$L$192-Driver!$K$192)</f>
        <v/>
      </c>
      <c r="AV363" s="105">
        <f>IFERROR(BM363*BJ363^1/4,"")</f>
        <v/>
      </c>
      <c r="AW363" s="105">
        <f>IFERROR(SUM(AX363:AZ363),"")</f>
        <v/>
      </c>
      <c r="AX363" s="105">
        <f>IFERROR(BH363,"")</f>
        <v/>
      </c>
      <c r="AY363" s="105">
        <f>IFERROR(Driver!$K$19/Data!BH363/Data!BI363*Data!BK363*Data!BL363,"")</f>
        <v/>
      </c>
      <c r="AZ363" s="105">
        <f>IFERROR(BI363*BN363,"")</f>
        <v/>
      </c>
      <c r="BA363" s="105" t="n"/>
      <c r="BB363" s="105" t="n"/>
      <c r="BC363" s="105">
        <f>IFERROR(BI363*BN363*BK363/BJ363^(1/2),"")</f>
        <v/>
      </c>
      <c r="BD363" s="105">
        <f>IFERROR(BH363*BM363*BL363/BJ363/BK363,"")</f>
        <v/>
      </c>
      <c r="BE363" s="105">
        <f>IFERROR(MIN(BI363/BQ363/BP363/BO363/BH363,$BE$1),"")</f>
        <v/>
      </c>
      <c r="BF363" s="105">
        <f>IFERROR(BJ363*BO363*BP363/BK363,"")</f>
        <v/>
      </c>
      <c r="BG363" s="105">
        <f>IFERROR(1/BM363/BH363*BQ363,"")</f>
        <v/>
      </c>
      <c r="BH363" s="102">
        <f>MAX((CE363-Driver!$F$200)/(Driver!$G$200-Driver!$F$200)*$BI$1,1)</f>
        <v/>
      </c>
      <c r="BI363" s="102">
        <f>MAX($BI$1*(BY363-Driver!$F$201)/(Driver!$G$201-Driver!$F$201),1)</f>
        <v/>
      </c>
      <c r="BJ363" s="102">
        <f>(CB363-Driver!$F$206)/(Driver!$G$206-Driver!$F$206)*$BI$1</f>
        <v/>
      </c>
      <c r="BK363" s="102">
        <f>(CD363-Driver!$F$203)/(Driver!$G$203-Driver!$F$203)*$BI$1</f>
        <v/>
      </c>
      <c r="BL363" s="102">
        <f>MAX((CR363-Driver!$F$202)/(Driver!$G$202-Driver!$F$202)*$BI$1,1)</f>
        <v/>
      </c>
      <c r="BM363" s="102">
        <f>MAX((CH363-Driver!$F$204)/(Driver!$G$204-Driver!$F$204)*$BI$1,1)</f>
        <v/>
      </c>
      <c r="BN363" s="102">
        <f>(CI363-Driver!$F$205)/(Driver!$G$205-Driver!$F$205)*$BI$1</f>
        <v/>
      </c>
      <c r="BO363" s="102">
        <f>(CK363-Driver!$F$207)/(Driver!$G$207-Driver!$F$207)*$BI$1</f>
        <v/>
      </c>
      <c r="BP363" s="102">
        <f>(CM363-Driver!$F$208)/(Driver!$G$208-Driver!$F$208)*$BI$1</f>
        <v/>
      </c>
      <c r="BQ363" s="102">
        <f>(CL363-Driver!$F$209)/(Driver!$G$209-Driver!$F$209)*$BI$1</f>
        <v/>
      </c>
      <c r="BR363" s="40" t="inlineStr">
        <is>
          <t>21/22</t>
        </is>
      </c>
      <c r="BS363" s="10" t="inlineStr">
        <is>
          <t xml:space="preserve"> Blizzard</t>
        </is>
      </c>
      <c r="BT363" s="11" t="inlineStr">
        <is>
          <t>Rustler 10</t>
        </is>
      </c>
      <c r="BU363" s="13" t="n">
        <v>180</v>
      </c>
      <c r="BV363" s="11" t="inlineStr">
        <is>
          <t xml:space="preserve"> Unisex</t>
        </is>
      </c>
      <c r="BW363" s="13" t="n">
        <v>180</v>
      </c>
      <c r="BX363" s="13" t="n">
        <v>178.3</v>
      </c>
      <c r="BY363" s="13" t="n">
        <v>109</v>
      </c>
      <c r="BZ363" s="13" t="n">
        <v>150</v>
      </c>
      <c r="CA363" s="13" t="n">
        <v>132</v>
      </c>
      <c r="CB363" s="13" t="n">
        <v>101</v>
      </c>
      <c r="CC363" s="13" t="n">
        <v>122</v>
      </c>
      <c r="CD363" s="13" t="n">
        <v>18.6</v>
      </c>
      <c r="CE363" s="13" t="n">
        <v>2008</v>
      </c>
      <c r="CF363" s="13" t="n">
        <v>0.99</v>
      </c>
      <c r="CG363" s="13" t="n">
        <v>1996</v>
      </c>
      <c r="CH363" s="13" t="n">
        <v>209</v>
      </c>
      <c r="CI363" s="13" t="n">
        <v>99</v>
      </c>
      <c r="CJ363" s="13" t="n">
        <v>63</v>
      </c>
      <c r="CK363" s="13" t="n">
        <v>386</v>
      </c>
      <c r="CL363" s="13" t="n">
        <v>36</v>
      </c>
      <c r="CM363" s="13" t="n">
        <v>312</v>
      </c>
      <c r="CN363" s="13" t="n">
        <v>0.5659999999999999</v>
      </c>
      <c r="CO363" s="13" t="n">
        <v>145</v>
      </c>
      <c r="CP363" s="13" t="n">
        <v>142</v>
      </c>
      <c r="CQ363" s="13" t="n">
        <v>241</v>
      </c>
      <c r="CR363" s="13" t="n">
        <v>4</v>
      </c>
      <c r="CS363" s="13" t="n">
        <v>7.6</v>
      </c>
      <c r="CT363" s="11" t="inlineStr">
        <is>
          <t xml:space="preserve"> Resort Freeride</t>
        </is>
      </c>
      <c r="CU363" s="11" t="inlineStr">
        <is>
          <t xml:space="preserve"> Powder</t>
        </is>
      </c>
      <c r="CV363" s="13" t="n"/>
      <c r="CW363" s="13" t="n"/>
      <c r="CX363">
        <f>INDEX('Data_Price '!AG$2:AG$1266,MATCH(Data!$DN363,'Data_Price '!$AT$2:$AT$1266,0))</f>
        <v/>
      </c>
      <c r="CY363">
        <f>INDEX('Data_Price '!AH$2:AH$1266,MATCH(Data!$DN363,'Data_Price '!$AT$2:$AT$1266,0))</f>
        <v/>
      </c>
      <c r="CZ363">
        <f>INDEX('Data_Price '!AI$2:AI$1266,MATCH(Data!$DN363,'Data_Price '!$AT$2:$AT$1266,0))</f>
        <v/>
      </c>
      <c r="DA363">
        <f>INDEX('Data_Price '!AJ$2:AJ$1266,MATCH(Data!$DN363,'Data_Price '!$AT$2:$AT$1266,0))</f>
        <v/>
      </c>
      <c r="DB363">
        <f>INDEX('Data_Price '!AK$2:AK$1266,MATCH(Data!$DN363,'Data_Price '!$AT$2:$AT$1266,0))</f>
        <v/>
      </c>
      <c r="DC363">
        <f>INDEX('Data_Price '!AL$2:AL$1266,MATCH(Data!$DN363,'Data_Price '!$AT$2:$AT$1266,0))</f>
        <v/>
      </c>
      <c r="DD363">
        <f>INDEX('Data_Price '!AM$2:AM$1266,MATCH(Data!$DN363,'Data_Price '!$AT$2:$AT$1266,0))</f>
        <v/>
      </c>
      <c r="DE363">
        <f>INDEX('Data_Price '!AN$2:AN$1266,MATCH(Data!$DN363,'Data_Price '!$AT$2:$AT$1266,0))</f>
        <v/>
      </c>
      <c r="DF363">
        <f>INDEX('Data_Price '!AO$2:AO$1266,MATCH(Data!$DN363,'Data_Price '!$AT$2:$AT$1266,0))</f>
        <v/>
      </c>
      <c r="DG363">
        <f>INDEX('Data_Price '!AP$2:AP$1266,MATCH(Data!$DN363,'Data_Price '!$AT$2:$AT$1266,0))</f>
        <v/>
      </c>
      <c r="DH363">
        <f>INDEX('Data_Price '!AQ$2:AQ$1266,MATCH(Data!$DN363,'Data_Price '!$AT$2:$AT$1266,0))</f>
        <v/>
      </c>
      <c r="DI363">
        <f>INDEX('Data_Price '!AR$2:AR$1266,MATCH(Data!$DN363,'Data_Price '!$AT$2:$AT$1266,0))</f>
        <v/>
      </c>
      <c r="DJ363" s="138">
        <f>DA363</f>
        <v/>
      </c>
      <c r="DK363" s="138">
        <f>DE363</f>
        <v/>
      </c>
      <c r="DL363" s="138">
        <f>DI363</f>
        <v/>
      </c>
      <c r="DM363" s="303">
        <f>IF(LEFT(BT363,1)=" ",RIGHT(BT363,LEN(BT363)-1),BT363)</f>
        <v/>
      </c>
      <c r="DN363" s="138">
        <f>_xlfn.CONCAT(BS363,DM363,BU363,BV363)</f>
        <v/>
      </c>
      <c r="DO363" s="307" t="inlineStr">
        <is>
          <t>https://images.evo.com/imgp/250/216620/902901/blizzard-rustler-10-skis-2023-.jpg</t>
        </is>
      </c>
    </row>
    <row r="364" ht="15.6" customHeight="1" s="184">
      <c r="B364" s="303">
        <f t="array" ref="B364">IF(OR(ISERROR(K364:P364)),FALSE,TRUE)</f>
        <v/>
      </c>
      <c r="C364" s="60">
        <f>OR(BR364=Driver!$G$50,Data!BR499=Driver!$H$50)</f>
        <v/>
      </c>
      <c r="D364" s="60">
        <f>OR(BV364=Driver!$G$51,BV364=Driver!$H$51)</f>
        <v/>
      </c>
      <c r="E364" s="60">
        <f>AND(BX364&gt;Driver!$F$54,BX364&lt;Driver!$G$54)</f>
        <v/>
      </c>
      <c r="F364" s="60">
        <f>CL364&gt;Driver!$F$56</f>
        <v/>
      </c>
      <c r="G364" s="60">
        <f>AND(CB364&gt;Driver!$F$55,CB364&lt;Driver!$G$55)</f>
        <v/>
      </c>
      <c r="H364" s="60">
        <f>AND(B364:G364)</f>
        <v/>
      </c>
      <c r="I364" s="60">
        <f>COUNTIFS($H$9:$H$1273,TRUE,$BT$9:$BT$1273,BT364)</f>
        <v/>
      </c>
      <c r="J364" s="60">
        <f t="array" ref="J364">NOT(OR(($H$9:$H$1273=TRUE)*($I$9:$I$1273&gt;0)*($BT$9:$BT$1273=BT364)*($K$9:$K$1273&gt;K364)))</f>
        <v/>
      </c>
      <c r="K364" s="108">
        <f>IFERROR(1-AVERAGE(X364:Y364),"")</f>
        <v/>
      </c>
      <c r="L364" s="108">
        <f>1-X364</f>
        <v/>
      </c>
      <c r="M364" s="108">
        <f>1-Y364</f>
        <v/>
      </c>
      <c r="N364" s="108">
        <f>1-Z364</f>
        <v/>
      </c>
      <c r="O364" s="108">
        <f>1-AA364</f>
        <v/>
      </c>
      <c r="P364" s="108">
        <f>1-AB364</f>
        <v/>
      </c>
      <c r="Q364" s="108" t="n"/>
      <c r="R364" s="108" t="n"/>
      <c r="S364" s="108">
        <f>1-AE364</f>
        <v/>
      </c>
      <c r="T364" s="108">
        <f>1-AF364</f>
        <v/>
      </c>
      <c r="U364" s="108">
        <f>1-AG364</f>
        <v/>
      </c>
      <c r="V364" s="108">
        <f>1-AH364</f>
        <v/>
      </c>
      <c r="W364" s="108">
        <f>1-AI364</f>
        <v/>
      </c>
      <c r="X364" s="108">
        <f>ABS(AJ364-AJ$1)</f>
        <v/>
      </c>
      <c r="Y364" s="108">
        <f>AVERAGE(Z364:AB364)</f>
        <v/>
      </c>
      <c r="Z364" s="108">
        <f>ABS(AL364-AL$1)</f>
        <v/>
      </c>
      <c r="AA364" s="108">
        <f>ABS(AM364-AM$1)</f>
        <v/>
      </c>
      <c r="AB364" s="108">
        <f>ABS(AN364-AN$1)</f>
        <v/>
      </c>
      <c r="AC364" s="108" t="n"/>
      <c r="AD364" s="108" t="n"/>
      <c r="AE364" s="108">
        <f>ABS(AQ$1-AQ364)</f>
        <v/>
      </c>
      <c r="AF364" s="108">
        <f>ABS(AR$1-AR364)</f>
        <v/>
      </c>
      <c r="AG364" s="108">
        <f>ABS(AS$1-AS364)</f>
        <v/>
      </c>
      <c r="AH364" s="108">
        <f>ABS(AT$1-AT364)</f>
        <v/>
      </c>
      <c r="AI364" s="108">
        <f>ABS(AU$1-AU364)</f>
        <v/>
      </c>
      <c r="AJ364" s="108">
        <f>(AV364-Driver!$K$179)/(Driver!$L$179-Driver!$K$179)</f>
        <v/>
      </c>
      <c r="AK364" s="108">
        <f>(AW364-Driver!$K$180)/(Driver!$L$180-Driver!$K$180)</f>
        <v/>
      </c>
      <c r="AL364" s="108">
        <f>(AX364-Driver!$K$181)/(Driver!$L$181-Driver!$K$181)</f>
        <v/>
      </c>
      <c r="AM364" s="108">
        <f>(AY364-Driver!$K$182)/(Driver!$L$182-Driver!$K$182)</f>
        <v/>
      </c>
      <c r="AN364" s="108">
        <f>(AZ364-Driver!$K$183)/(Driver!$L$183-Driver!$K$183)</f>
        <v/>
      </c>
      <c r="AO364" s="108" t="n"/>
      <c r="AP364" s="108" t="n"/>
      <c r="AQ364" s="108">
        <f>(BC364-Driver!$K$188)/(Driver!$L$188-Driver!$K$188)</f>
        <v/>
      </c>
      <c r="AR364" s="108">
        <f>MIN((BD364-Driver!$K$189)/(Driver!$L$189-Driver!$K$189),100%)</f>
        <v/>
      </c>
      <c r="AS364" s="108">
        <f>(BE364-Driver!$K$190)/(Driver!$L$190-Driver!$K$190)</f>
        <v/>
      </c>
      <c r="AT364" s="108">
        <f>(BF364-Driver!$K$191)/(Driver!$L$191-Driver!$K$191)</f>
        <v/>
      </c>
      <c r="AU364" s="108">
        <f>(BG364-Driver!$K$192)/(Driver!$L$192-Driver!$K$192)</f>
        <v/>
      </c>
      <c r="AV364" s="105">
        <f>IFERROR(BM364*BJ364^1/4,"")</f>
        <v/>
      </c>
      <c r="AW364" s="105">
        <f>IFERROR(SUM(AX364:AZ364),"")</f>
        <v/>
      </c>
      <c r="AX364" s="105">
        <f>IFERROR(BH364,"")</f>
        <v/>
      </c>
      <c r="AY364" s="105">
        <f>IFERROR(Driver!$K$19/Data!BH364/Data!BI364*Data!BK364*Data!BL364,"")</f>
        <v/>
      </c>
      <c r="AZ364" s="105">
        <f>IFERROR(BI364*BN364,"")</f>
        <v/>
      </c>
      <c r="BA364" s="105" t="n"/>
      <c r="BB364" s="105" t="n"/>
      <c r="BC364" s="105">
        <f>IFERROR(BI364*BN364*BK364/BJ364^(1/2),"")</f>
        <v/>
      </c>
      <c r="BD364" s="105">
        <f>IFERROR(BH364*BM364*BL364/BJ364/BK364,"")</f>
        <v/>
      </c>
      <c r="BE364" s="105">
        <f>IFERROR(MIN(BI364/BQ364/BP364/BO364/BH364,$BE$1),"")</f>
        <v/>
      </c>
      <c r="BF364" s="105">
        <f>IFERROR(BJ364*BO364*BP364/BK364,"")</f>
        <v/>
      </c>
      <c r="BG364" s="105">
        <f>IFERROR(1/BM364/BH364*BQ364,"")</f>
        <v/>
      </c>
      <c r="BH364" s="102">
        <f>MAX((CE364-Driver!$F$200)/(Driver!$G$200-Driver!$F$200)*$BI$1,1)</f>
        <v/>
      </c>
      <c r="BI364" s="102">
        <f>MAX($BI$1*(BY364-Driver!$F$201)/(Driver!$G$201-Driver!$F$201),1)</f>
        <v/>
      </c>
      <c r="BJ364" s="102">
        <f>(CB364-Driver!$F$206)/(Driver!$G$206-Driver!$F$206)*$BI$1</f>
        <v/>
      </c>
      <c r="BK364" s="102">
        <f>(CD364-Driver!$F$203)/(Driver!$G$203-Driver!$F$203)*$BI$1</f>
        <v/>
      </c>
      <c r="BL364" s="102">
        <f>MAX((CR364-Driver!$F$202)/(Driver!$G$202-Driver!$F$202)*$BI$1,1)</f>
        <v/>
      </c>
      <c r="BM364" s="102">
        <f>MAX((CH364-Driver!$F$204)/(Driver!$G$204-Driver!$F$204)*$BI$1,1)</f>
        <v/>
      </c>
      <c r="BN364" s="102">
        <f>(CI364-Driver!$F$205)/(Driver!$G$205-Driver!$F$205)*$BI$1</f>
        <v/>
      </c>
      <c r="BO364" s="102">
        <f>(CK364-Driver!$F$207)/(Driver!$G$207-Driver!$F$207)*$BI$1</f>
        <v/>
      </c>
      <c r="BP364" s="102">
        <f>(CM364-Driver!$F$208)/(Driver!$G$208-Driver!$F$208)*$BI$1</f>
        <v/>
      </c>
      <c r="BQ364" s="102">
        <f>(CL364-Driver!$F$209)/(Driver!$G$209-Driver!$F$209)*$BI$1</f>
        <v/>
      </c>
      <c r="BR364" s="40" t="inlineStr">
        <is>
          <t>21/22</t>
        </is>
      </c>
      <c r="BS364" s="10" t="inlineStr">
        <is>
          <t xml:space="preserve"> Faction</t>
        </is>
      </c>
      <c r="BT364" s="11" t="inlineStr">
        <is>
          <t>Agent 4.0</t>
        </is>
      </c>
      <c r="BU364" s="13" t="n">
        <v>179</v>
      </c>
      <c r="BV364" s="11" t="inlineStr">
        <is>
          <t xml:space="preserve"> Unisex</t>
        </is>
      </c>
      <c r="BW364" s="13" t="n">
        <v>179</v>
      </c>
      <c r="BX364" s="13" t="n">
        <v>177.4</v>
      </c>
      <c r="BY364" s="13" t="n">
        <v>111</v>
      </c>
      <c r="BZ364" s="13" t="n">
        <v>143</v>
      </c>
      <c r="CA364" s="13" t="n">
        <v>140</v>
      </c>
      <c r="CB364" s="13" t="n">
        <v>115</v>
      </c>
      <c r="CC364" s="13" t="n">
        <v>131</v>
      </c>
      <c r="CD364" s="13" t="n">
        <v>21.9</v>
      </c>
      <c r="CE364" s="13" t="n">
        <v>1717</v>
      </c>
      <c r="CF364" s="13" t="n">
        <v>1.28</v>
      </c>
      <c r="CG364" s="13" t="n">
        <v>2191</v>
      </c>
      <c r="CH364" s="13" t="n">
        <v>207</v>
      </c>
      <c r="CI364" s="13" t="n">
        <v>89</v>
      </c>
      <c r="CJ364" s="13" t="n">
        <v>64</v>
      </c>
      <c r="CK364" s="13" t="n">
        <v>368</v>
      </c>
      <c r="CL364" s="13" t="n">
        <v>20</v>
      </c>
      <c r="CM364" s="13" t="n">
        <v>292</v>
      </c>
      <c r="CN364" s="13" t="n">
        <v>0.315</v>
      </c>
      <c r="CO364" s="13" t="n">
        <v>212</v>
      </c>
      <c r="CP364" s="13" t="n">
        <v>135</v>
      </c>
      <c r="CQ364" s="13" t="n">
        <v>156</v>
      </c>
      <c r="CR364" s="13" t="n">
        <v>3</v>
      </c>
      <c r="CS364" s="13" t="n">
        <v>12.2</v>
      </c>
      <c r="CT364" s="11" t="inlineStr">
        <is>
          <t xml:space="preserve"> Big Mountain</t>
        </is>
      </c>
      <c r="CU364" s="11" t="inlineStr">
        <is>
          <t xml:space="preserve"> Touring</t>
        </is>
      </c>
      <c r="CV364" s="11" t="inlineStr">
        <is>
          <t xml:space="preserve"> Ultralight Touring</t>
        </is>
      </c>
      <c r="CW364" s="13" t="n"/>
      <c r="CX364">
        <f>INDEX('Data_Price '!AG$2:AG$1266,MATCH(Data!$DN364,'Data_Price '!$AT$2:$AT$1266,0))</f>
        <v/>
      </c>
      <c r="CY364">
        <f>INDEX('Data_Price '!AH$2:AH$1266,MATCH(Data!$DN364,'Data_Price '!$AT$2:$AT$1266,0))</f>
        <v/>
      </c>
      <c r="CZ364">
        <f>INDEX('Data_Price '!AI$2:AI$1266,MATCH(Data!$DN364,'Data_Price '!$AT$2:$AT$1266,0))</f>
        <v/>
      </c>
      <c r="DA364">
        <f>INDEX('Data_Price '!AJ$2:AJ$1266,MATCH(Data!$DN364,'Data_Price '!$AT$2:$AT$1266,0))</f>
        <v/>
      </c>
      <c r="DB364">
        <f>INDEX('Data_Price '!AK$2:AK$1266,MATCH(Data!$DN364,'Data_Price '!$AT$2:$AT$1266,0))</f>
        <v/>
      </c>
      <c r="DC364">
        <f>INDEX('Data_Price '!AL$2:AL$1266,MATCH(Data!$DN364,'Data_Price '!$AT$2:$AT$1266,0))</f>
        <v/>
      </c>
      <c r="DD364">
        <f>INDEX('Data_Price '!AM$2:AM$1266,MATCH(Data!$DN364,'Data_Price '!$AT$2:$AT$1266,0))</f>
        <v/>
      </c>
      <c r="DE364">
        <f>INDEX('Data_Price '!AN$2:AN$1266,MATCH(Data!$DN364,'Data_Price '!$AT$2:$AT$1266,0))</f>
        <v/>
      </c>
      <c r="DF364">
        <f>INDEX('Data_Price '!AO$2:AO$1266,MATCH(Data!$DN364,'Data_Price '!$AT$2:$AT$1266,0))</f>
        <v/>
      </c>
      <c r="DG364">
        <f>INDEX('Data_Price '!AP$2:AP$1266,MATCH(Data!$DN364,'Data_Price '!$AT$2:$AT$1266,0))</f>
        <v/>
      </c>
      <c r="DH364">
        <f>INDEX('Data_Price '!AQ$2:AQ$1266,MATCH(Data!$DN364,'Data_Price '!$AT$2:$AT$1266,0))</f>
        <v/>
      </c>
      <c r="DI364">
        <f>INDEX('Data_Price '!AR$2:AR$1266,MATCH(Data!$DN364,'Data_Price '!$AT$2:$AT$1266,0))</f>
        <v/>
      </c>
      <c r="DJ364" s="138">
        <f>DA364</f>
        <v/>
      </c>
      <c r="DK364" s="138">
        <f>DE364</f>
        <v/>
      </c>
      <c r="DL364" s="138">
        <f>DI364</f>
        <v/>
      </c>
      <c r="DM364" s="303">
        <f>IF(LEFT(BT364,1)=" ",RIGHT(BT364,LEN(BT364)-1),BT364)</f>
        <v/>
      </c>
      <c r="DN364" s="138">
        <f>_xlfn.CONCAT(BS364,DM364,BU364,BV364)</f>
        <v/>
      </c>
      <c r="DO364" s="307" t="inlineStr">
        <is>
          <t>https://images.evo.com/imgp/250/208656/839885/faction-agent-4-0-x-pow-collab-skis-2022-.jpg</t>
        </is>
      </c>
    </row>
    <row r="365" ht="15.6" customHeight="1" s="184">
      <c r="B365" s="303">
        <f t="array" ref="B365">IF(OR(ISERROR(K365:P365)),FALSE,TRUE)</f>
        <v/>
      </c>
      <c r="C365" s="60">
        <f>OR(BR365=Driver!$G$50,Data!BR262=Driver!$H$50)</f>
        <v/>
      </c>
      <c r="D365" s="60">
        <f>OR(BV365=Driver!$G$51,BV365=Driver!$H$51)</f>
        <v/>
      </c>
      <c r="E365" s="60">
        <f>AND(BX365&gt;Driver!$F$54,BX365&lt;Driver!$G$54)</f>
        <v/>
      </c>
      <c r="F365" s="60">
        <f>CL365&gt;Driver!$F$56</f>
        <v/>
      </c>
      <c r="G365" s="60">
        <f>AND(CB365&gt;Driver!$F$55,CB365&lt;Driver!$G$55)</f>
        <v/>
      </c>
      <c r="H365" s="60">
        <f>AND(B365:G365)</f>
        <v/>
      </c>
      <c r="I365" s="60">
        <f>COUNTIFS($H$9:$H$1273,TRUE,$BT$9:$BT$1273,BT365)</f>
        <v/>
      </c>
      <c r="J365" s="60">
        <f t="array" ref="J365">NOT(OR(($H$9:$H$1273=TRUE)*($I$9:$I$1273&gt;0)*($BT$9:$BT$1273=BT365)*($K$9:$K$1273&gt;K365)))</f>
        <v/>
      </c>
      <c r="K365" s="108">
        <f>IFERROR(1-AVERAGE(X365:Y365),"")</f>
        <v/>
      </c>
      <c r="L365" s="108">
        <f>1-X365</f>
        <v/>
      </c>
      <c r="M365" s="108">
        <f>1-Y365</f>
        <v/>
      </c>
      <c r="N365" s="108">
        <f>1-Z365</f>
        <v/>
      </c>
      <c r="O365" s="108">
        <f>1-AA365</f>
        <v/>
      </c>
      <c r="P365" s="108">
        <f>1-AB365</f>
        <v/>
      </c>
      <c r="Q365" s="108" t="n"/>
      <c r="R365" s="108" t="n"/>
      <c r="S365" s="108">
        <f>1-AE365</f>
        <v/>
      </c>
      <c r="T365" s="108">
        <f>1-AF365</f>
        <v/>
      </c>
      <c r="U365" s="108">
        <f>1-AG365</f>
        <v/>
      </c>
      <c r="V365" s="108">
        <f>1-AH365</f>
        <v/>
      </c>
      <c r="W365" s="108">
        <f>1-AI365</f>
        <v/>
      </c>
      <c r="X365" s="108">
        <f>ABS(AJ365-AJ$1)</f>
        <v/>
      </c>
      <c r="Y365" s="108">
        <f>AVERAGE(Z365:AB365)</f>
        <v/>
      </c>
      <c r="Z365" s="108">
        <f>ABS(AL365-AL$1)</f>
        <v/>
      </c>
      <c r="AA365" s="108">
        <f>ABS(AM365-AM$1)</f>
        <v/>
      </c>
      <c r="AB365" s="108">
        <f>ABS(AN365-AN$1)</f>
        <v/>
      </c>
      <c r="AC365" s="108" t="n"/>
      <c r="AD365" s="108" t="n"/>
      <c r="AE365" s="108">
        <f>ABS(AQ$1-AQ365)</f>
        <v/>
      </c>
      <c r="AF365" s="108">
        <f>ABS(AR$1-AR365)</f>
        <v/>
      </c>
      <c r="AG365" s="108">
        <f>ABS(AS$1-AS365)</f>
        <v/>
      </c>
      <c r="AH365" s="108">
        <f>ABS(AT$1-AT365)</f>
        <v/>
      </c>
      <c r="AI365" s="108">
        <f>ABS(AU$1-AU365)</f>
        <v/>
      </c>
      <c r="AJ365" s="108">
        <f>(AV365-Driver!$K$179)/(Driver!$L$179-Driver!$K$179)</f>
        <v/>
      </c>
      <c r="AK365" s="108">
        <f>(AW365-Driver!$K$180)/(Driver!$L$180-Driver!$K$180)</f>
        <v/>
      </c>
      <c r="AL365" s="108">
        <f>(AX365-Driver!$K$181)/(Driver!$L$181-Driver!$K$181)</f>
        <v/>
      </c>
      <c r="AM365" s="108">
        <f>(AY365-Driver!$K$182)/(Driver!$L$182-Driver!$K$182)</f>
        <v/>
      </c>
      <c r="AN365" s="108">
        <f>(AZ365-Driver!$K$183)/(Driver!$L$183-Driver!$K$183)</f>
        <v/>
      </c>
      <c r="AO365" s="108" t="n"/>
      <c r="AP365" s="108" t="n"/>
      <c r="AQ365" s="108">
        <f>(BC365-Driver!$K$188)/(Driver!$L$188-Driver!$K$188)</f>
        <v/>
      </c>
      <c r="AR365" s="108">
        <f>MIN((BD365-Driver!$K$189)/(Driver!$L$189-Driver!$K$189),100%)</f>
        <v/>
      </c>
      <c r="AS365" s="108">
        <f>(BE365-Driver!$K$190)/(Driver!$L$190-Driver!$K$190)</f>
        <v/>
      </c>
      <c r="AT365" s="108">
        <f>(BF365-Driver!$K$191)/(Driver!$L$191-Driver!$K$191)</f>
        <v/>
      </c>
      <c r="AU365" s="108">
        <f>(BG365-Driver!$K$192)/(Driver!$L$192-Driver!$K$192)</f>
        <v/>
      </c>
      <c r="AV365" s="105">
        <f>IFERROR(BM365*BJ365^1/4,"")</f>
        <v/>
      </c>
      <c r="AW365" s="105">
        <f>IFERROR(SUM(AX365:AZ365),"")</f>
        <v/>
      </c>
      <c r="AX365" s="105">
        <f>IFERROR(BH365,"")</f>
        <v/>
      </c>
      <c r="AY365" s="105">
        <f>IFERROR(Driver!$K$19/Data!BH365/Data!BI365*Data!BK365*Data!BL365,"")</f>
        <v/>
      </c>
      <c r="AZ365" s="105">
        <f>IFERROR(BI365*BN365,"")</f>
        <v/>
      </c>
      <c r="BA365" s="105" t="n"/>
      <c r="BB365" s="105" t="n"/>
      <c r="BC365" s="105">
        <f>IFERROR(BI365*BN365*BK365/BJ365^(1/2),"")</f>
        <v/>
      </c>
      <c r="BD365" s="105">
        <f>IFERROR(BH365*BM365*BL365/BJ365/BK365,"")</f>
        <v/>
      </c>
      <c r="BE365" s="105">
        <f>IFERROR(MIN(BI365/BQ365/BP365/BO365/BH365,$BE$1),"")</f>
        <v/>
      </c>
      <c r="BF365" s="105">
        <f>IFERROR(BJ365*BO365*BP365/BK365,"")</f>
        <v/>
      </c>
      <c r="BG365" s="105">
        <f>IFERROR(1/BM365/BH365*BQ365,"")</f>
        <v/>
      </c>
      <c r="BH365" s="102">
        <f>MAX((CE365-Driver!$F$200)/(Driver!$G$200-Driver!$F$200)*$BI$1,1)</f>
        <v/>
      </c>
      <c r="BI365" s="102">
        <f>MAX($BI$1*(BY365-Driver!$F$201)/(Driver!$G$201-Driver!$F$201),1)</f>
        <v/>
      </c>
      <c r="BJ365" s="102">
        <f>(CB365-Driver!$F$206)/(Driver!$G$206-Driver!$F$206)*$BI$1</f>
        <v/>
      </c>
      <c r="BK365" s="102">
        <f>(CD365-Driver!$F$203)/(Driver!$G$203-Driver!$F$203)*$BI$1</f>
        <v/>
      </c>
      <c r="BL365" s="102">
        <f>MAX((CR365-Driver!$F$202)/(Driver!$G$202-Driver!$F$202)*$BI$1,1)</f>
        <v/>
      </c>
      <c r="BM365" s="102">
        <f>MAX((CH365-Driver!$F$204)/(Driver!$G$204-Driver!$F$204)*$BI$1,1)</f>
        <v/>
      </c>
      <c r="BN365" s="102">
        <f>(CI365-Driver!$F$205)/(Driver!$G$205-Driver!$F$205)*$BI$1</f>
        <v/>
      </c>
      <c r="BO365" s="102">
        <f>(CK365-Driver!$F$207)/(Driver!$G$207-Driver!$F$207)*$BI$1</f>
        <v/>
      </c>
      <c r="BP365" s="102">
        <f>(CM365-Driver!$F$208)/(Driver!$G$208-Driver!$F$208)*$BI$1</f>
        <v/>
      </c>
      <c r="BQ365" s="102">
        <f>(CL365-Driver!$F$209)/(Driver!$G$209-Driver!$F$209)*$BI$1</f>
        <v/>
      </c>
      <c r="BR365" s="40" t="inlineStr">
        <is>
          <t>21/22</t>
        </is>
      </c>
      <c r="BS365" s="10" t="inlineStr">
        <is>
          <t xml:space="preserve"> Blizzard</t>
        </is>
      </c>
      <c r="BT365" s="11" t="inlineStr">
        <is>
          <t>Black Pearl 88</t>
        </is>
      </c>
      <c r="BU365" s="13" t="n">
        <v>171</v>
      </c>
      <c r="BV365" s="11" t="inlineStr">
        <is>
          <t xml:space="preserve"> Women's</t>
        </is>
      </c>
      <c r="BW365" s="13" t="n">
        <v>171</v>
      </c>
      <c r="BX365" s="13" t="n">
        <v>172.4</v>
      </c>
      <c r="BY365" s="13" t="n">
        <v>137</v>
      </c>
      <c r="BZ365" s="13" t="n">
        <v>147</v>
      </c>
      <c r="CA365" s="13" t="n">
        <v>127</v>
      </c>
      <c r="CB365" s="13" t="n">
        <v>86</v>
      </c>
      <c r="CC365" s="13" t="n">
        <v>109</v>
      </c>
      <c r="CD365" s="13" t="n">
        <v>16</v>
      </c>
      <c r="CE365" s="13" t="n">
        <v>1893</v>
      </c>
      <c r="CF365" s="13" t="n">
        <v>0.89</v>
      </c>
      <c r="CG365" s="13" t="n">
        <v>1689</v>
      </c>
      <c r="CH365" s="13" t="n">
        <v>224</v>
      </c>
      <c r="CI365" s="13" t="n">
        <v>103</v>
      </c>
      <c r="CJ365" s="13" t="n">
        <v>58</v>
      </c>
      <c r="CK365" s="13" t="n">
        <v>217</v>
      </c>
      <c r="CL365" s="13" t="n">
        <v>12</v>
      </c>
      <c r="CM365" s="13" t="n">
        <v>140</v>
      </c>
      <c r="CN365" s="13" t="n">
        <v>0.215</v>
      </c>
      <c r="CO365" s="13" t="n">
        <v>118</v>
      </c>
      <c r="CP365" s="13" t="n">
        <v>134</v>
      </c>
      <c r="CQ365" s="13" t="n">
        <v>99</v>
      </c>
      <c r="CR365" s="13" t="n">
        <v>6</v>
      </c>
      <c r="CS365" s="13" t="n">
        <v>9.699999999999999</v>
      </c>
      <c r="CT365" s="11" t="inlineStr">
        <is>
          <t xml:space="preserve"> Resort Freeride</t>
        </is>
      </c>
      <c r="CU365" s="13" t="n"/>
      <c r="CV365" s="13" t="n"/>
      <c r="CW365" s="13" t="n"/>
      <c r="CX365">
        <f>INDEX('Data_Price '!AG$2:AG$1266,MATCH(Data!$DN365,'Data_Price '!$AT$2:$AT$1266,0))</f>
        <v/>
      </c>
      <c r="CY365">
        <f>INDEX('Data_Price '!AH$2:AH$1266,MATCH(Data!$DN365,'Data_Price '!$AT$2:$AT$1266,0))</f>
        <v/>
      </c>
      <c r="CZ365">
        <f>INDEX('Data_Price '!AI$2:AI$1266,MATCH(Data!$DN365,'Data_Price '!$AT$2:$AT$1266,0))</f>
        <v/>
      </c>
      <c r="DA365">
        <f>INDEX('Data_Price '!AJ$2:AJ$1266,MATCH(Data!$DN365,'Data_Price '!$AT$2:$AT$1266,0))</f>
        <v/>
      </c>
      <c r="DB365">
        <f>INDEX('Data_Price '!AK$2:AK$1266,MATCH(Data!$DN365,'Data_Price '!$AT$2:$AT$1266,0))</f>
        <v/>
      </c>
      <c r="DC365">
        <f>INDEX('Data_Price '!AL$2:AL$1266,MATCH(Data!$DN365,'Data_Price '!$AT$2:$AT$1266,0))</f>
        <v/>
      </c>
      <c r="DD365">
        <f>INDEX('Data_Price '!AM$2:AM$1266,MATCH(Data!$DN365,'Data_Price '!$AT$2:$AT$1266,0))</f>
        <v/>
      </c>
      <c r="DE365">
        <f>INDEX('Data_Price '!AN$2:AN$1266,MATCH(Data!$DN365,'Data_Price '!$AT$2:$AT$1266,0))</f>
        <v/>
      </c>
      <c r="DF365">
        <f>INDEX('Data_Price '!AO$2:AO$1266,MATCH(Data!$DN365,'Data_Price '!$AT$2:$AT$1266,0))</f>
        <v/>
      </c>
      <c r="DG365">
        <f>INDEX('Data_Price '!AP$2:AP$1266,MATCH(Data!$DN365,'Data_Price '!$AT$2:$AT$1266,0))</f>
        <v/>
      </c>
      <c r="DH365">
        <f>INDEX('Data_Price '!AQ$2:AQ$1266,MATCH(Data!$DN365,'Data_Price '!$AT$2:$AT$1266,0))</f>
        <v/>
      </c>
      <c r="DI365">
        <f>INDEX('Data_Price '!AR$2:AR$1266,MATCH(Data!$DN365,'Data_Price '!$AT$2:$AT$1266,0))</f>
        <v/>
      </c>
      <c r="DJ365" s="138">
        <f>DA365</f>
        <v/>
      </c>
      <c r="DK365" s="138">
        <f>DE365</f>
        <v/>
      </c>
      <c r="DL365" s="138">
        <f>DI365</f>
        <v/>
      </c>
      <c r="DM365" s="303">
        <f>IF(LEFT(BT365,1)=" ",RIGHT(BT365,LEN(BT365)-1),BT365)</f>
        <v/>
      </c>
      <c r="DN365" s="138">
        <f>_xlfn.CONCAT(BS365,DM365,BU365,BV365)</f>
        <v/>
      </c>
      <c r="DO365" s="307" t="inlineStr">
        <is>
          <t>https://images.evo.com/imgp/250/176883/876087/blizzard-black-pearl-88-skis-women-s-.jpg</t>
        </is>
      </c>
    </row>
    <row r="366" ht="15.6" customHeight="1" s="184">
      <c r="B366" s="303">
        <f t="array" ref="B366">IF(OR(ISERROR(K366:P366)),FALSE,TRUE)</f>
        <v/>
      </c>
      <c r="C366" s="60">
        <f>OR(BR366=Driver!$G$50,Data!BR677=Driver!$H$50)</f>
        <v/>
      </c>
      <c r="D366" s="60">
        <f>OR(BV366=Driver!$G$51,BV366=Driver!$H$51)</f>
        <v/>
      </c>
      <c r="E366" s="60">
        <f>AND(BX366&gt;Driver!$F$54,BX366&lt;Driver!$G$54)</f>
        <v/>
      </c>
      <c r="F366" s="60">
        <f>CL366&gt;Driver!$F$56</f>
        <v/>
      </c>
      <c r="G366" s="60">
        <f>AND(CB366&gt;Driver!$F$55,CB366&lt;Driver!$G$55)</f>
        <v/>
      </c>
      <c r="H366" s="60">
        <f>AND(B366:G366)</f>
        <v/>
      </c>
      <c r="I366" s="60">
        <f>COUNTIFS($H$9:$H$1273,TRUE,$BT$9:$BT$1273,BT366)</f>
        <v/>
      </c>
      <c r="J366" s="60">
        <f t="array" ref="J366">NOT(OR(($H$9:$H$1273=TRUE)*($I$9:$I$1273&gt;0)*($BT$9:$BT$1273=BT366)*($K$9:$K$1273&gt;K366)))</f>
        <v/>
      </c>
      <c r="K366" s="108">
        <f>IFERROR(1-AVERAGE(X366:Y366),"")</f>
        <v/>
      </c>
      <c r="L366" s="108">
        <f>1-X366</f>
        <v/>
      </c>
      <c r="M366" s="108">
        <f>1-Y366</f>
        <v/>
      </c>
      <c r="N366" s="108">
        <f>1-Z366</f>
        <v/>
      </c>
      <c r="O366" s="108">
        <f>1-AA366</f>
        <v/>
      </c>
      <c r="P366" s="108">
        <f>1-AB366</f>
        <v/>
      </c>
      <c r="Q366" s="108" t="n"/>
      <c r="R366" s="108" t="n"/>
      <c r="S366" s="108">
        <f>1-AE366</f>
        <v/>
      </c>
      <c r="T366" s="108">
        <f>1-AF366</f>
        <v/>
      </c>
      <c r="U366" s="108">
        <f>1-AG366</f>
        <v/>
      </c>
      <c r="V366" s="108">
        <f>1-AH366</f>
        <v/>
      </c>
      <c r="W366" s="108">
        <f>1-AI366</f>
        <v/>
      </c>
      <c r="X366" s="108">
        <f>ABS(AJ366-AJ$1)</f>
        <v/>
      </c>
      <c r="Y366" s="108">
        <f>AVERAGE(Z366:AB366)</f>
        <v/>
      </c>
      <c r="Z366" s="108">
        <f>ABS(AL366-AL$1)</f>
        <v/>
      </c>
      <c r="AA366" s="108">
        <f>ABS(AM366-AM$1)</f>
        <v/>
      </c>
      <c r="AB366" s="108">
        <f>ABS(AN366-AN$1)</f>
        <v/>
      </c>
      <c r="AC366" s="108" t="n"/>
      <c r="AD366" s="108" t="n"/>
      <c r="AE366" s="108">
        <f>ABS(AQ$1-AQ366)</f>
        <v/>
      </c>
      <c r="AF366" s="108">
        <f>ABS(AR$1-AR366)</f>
        <v/>
      </c>
      <c r="AG366" s="108">
        <f>ABS(AS$1-AS366)</f>
        <v/>
      </c>
      <c r="AH366" s="108">
        <f>ABS(AT$1-AT366)</f>
        <v/>
      </c>
      <c r="AI366" s="108">
        <f>ABS(AU$1-AU366)</f>
        <v/>
      </c>
      <c r="AJ366" s="108">
        <f>(AV366-Driver!$K$179)/(Driver!$L$179-Driver!$K$179)</f>
        <v/>
      </c>
      <c r="AK366" s="108">
        <f>(AW366-Driver!$K$180)/(Driver!$L$180-Driver!$K$180)</f>
        <v/>
      </c>
      <c r="AL366" s="108">
        <f>(AX366-Driver!$K$181)/(Driver!$L$181-Driver!$K$181)</f>
        <v/>
      </c>
      <c r="AM366" s="108">
        <f>(AY366-Driver!$K$182)/(Driver!$L$182-Driver!$K$182)</f>
        <v/>
      </c>
      <c r="AN366" s="108">
        <f>(AZ366-Driver!$K$183)/(Driver!$L$183-Driver!$K$183)</f>
        <v/>
      </c>
      <c r="AO366" s="108" t="n"/>
      <c r="AP366" s="108" t="n"/>
      <c r="AQ366" s="108">
        <f>(BC366-Driver!$K$188)/(Driver!$L$188-Driver!$K$188)</f>
        <v/>
      </c>
      <c r="AR366" s="108">
        <f>MIN((BD366-Driver!$K$189)/(Driver!$L$189-Driver!$K$189),100%)</f>
        <v/>
      </c>
      <c r="AS366" s="108">
        <f>(BE366-Driver!$K$190)/(Driver!$L$190-Driver!$K$190)</f>
        <v/>
      </c>
      <c r="AT366" s="108">
        <f>(BF366-Driver!$K$191)/(Driver!$L$191-Driver!$K$191)</f>
        <v/>
      </c>
      <c r="AU366" s="108">
        <f>(BG366-Driver!$K$192)/(Driver!$L$192-Driver!$K$192)</f>
        <v/>
      </c>
      <c r="AV366" s="105">
        <f>IFERROR(BM366*BJ366^1/4,"")</f>
        <v/>
      </c>
      <c r="AW366" s="105">
        <f>IFERROR(SUM(AX366:AZ366),"")</f>
        <v/>
      </c>
      <c r="AX366" s="105">
        <f>IFERROR(BH366,"")</f>
        <v/>
      </c>
      <c r="AY366" s="105">
        <f>IFERROR(Driver!$K$19/Data!BH366/Data!BI366*Data!BK366*Data!BL366,"")</f>
        <v/>
      </c>
      <c r="AZ366" s="105">
        <f>IFERROR(BI366*BN366,"")</f>
        <v/>
      </c>
      <c r="BA366" s="105" t="n"/>
      <c r="BB366" s="105" t="n"/>
      <c r="BC366" s="105">
        <f>IFERROR(BI366*BN366*BK366/BJ366^(1/2),"")</f>
        <v/>
      </c>
      <c r="BD366" s="105">
        <f>IFERROR(BH366*BM366*BL366/BJ366/BK366,"")</f>
        <v/>
      </c>
      <c r="BE366" s="105">
        <f>IFERROR(MIN(BI366/BQ366/BP366/BO366/BH366,$BE$1),"")</f>
        <v/>
      </c>
      <c r="BF366" s="105">
        <f>IFERROR(BJ366*BO366*BP366/BK366,"")</f>
        <v/>
      </c>
      <c r="BG366" s="105">
        <f>IFERROR(1/BM366/BH366*BQ366,"")</f>
        <v/>
      </c>
      <c r="BH366" s="102">
        <f>MAX((CE366-Driver!$F$200)/(Driver!$G$200-Driver!$F$200)*$BI$1,1)</f>
        <v/>
      </c>
      <c r="BI366" s="102">
        <f>MAX($BI$1*(BY366-Driver!$F$201)/(Driver!$G$201-Driver!$F$201),1)</f>
        <v/>
      </c>
      <c r="BJ366" s="102">
        <f>(CB366-Driver!$F$206)/(Driver!$G$206-Driver!$F$206)*$BI$1</f>
        <v/>
      </c>
      <c r="BK366" s="102">
        <f>(CD366-Driver!$F$203)/(Driver!$G$203-Driver!$F$203)*$BI$1</f>
        <v/>
      </c>
      <c r="BL366" s="102">
        <f>MAX((CR366-Driver!$F$202)/(Driver!$G$202-Driver!$F$202)*$BI$1,1)</f>
        <v/>
      </c>
      <c r="BM366" s="102">
        <f>MAX((CH366-Driver!$F$204)/(Driver!$G$204-Driver!$F$204)*$BI$1,1)</f>
        <v/>
      </c>
      <c r="BN366" s="102">
        <f>(CI366-Driver!$F$205)/(Driver!$G$205-Driver!$F$205)*$BI$1</f>
        <v/>
      </c>
      <c r="BO366" s="102">
        <f>(CK366-Driver!$F$207)/(Driver!$G$207-Driver!$F$207)*$BI$1</f>
        <v/>
      </c>
      <c r="BP366" s="102">
        <f>(CM366-Driver!$F$208)/(Driver!$G$208-Driver!$F$208)*$BI$1</f>
        <v/>
      </c>
      <c r="BQ366" s="102">
        <f>(CL366-Driver!$F$209)/(Driver!$G$209-Driver!$F$209)*$BI$1</f>
        <v/>
      </c>
      <c r="BR366" s="40" t="inlineStr">
        <is>
          <t>21/22</t>
        </is>
      </c>
      <c r="BS366" s="10" t="inlineStr">
        <is>
          <t xml:space="preserve"> Icelantic</t>
        </is>
      </c>
      <c r="BT366" s="11" t="inlineStr">
        <is>
          <t>Nomad 105</t>
        </is>
      </c>
      <c r="BU366" s="13" t="n">
        <v>171</v>
      </c>
      <c r="BV366" s="11" t="inlineStr">
        <is>
          <t xml:space="preserve"> Unisex</t>
        </is>
      </c>
      <c r="BW366" s="13" t="n">
        <v>171</v>
      </c>
      <c r="BX366" s="13" t="n">
        <v>169</v>
      </c>
      <c r="BY366" s="13" t="n">
        <v>103</v>
      </c>
      <c r="BZ366" s="13" t="n">
        <v>142</v>
      </c>
      <c r="CA366" s="13" t="n">
        <v>146</v>
      </c>
      <c r="CB366" s="13" t="n">
        <v>111</v>
      </c>
      <c r="CC366" s="13" t="n">
        <v>136</v>
      </c>
      <c r="CD366" s="13" t="n">
        <v>16.2</v>
      </c>
      <c r="CE366" s="13" t="n">
        <v>1949</v>
      </c>
      <c r="CF366" s="13" t="n">
        <v>1.06</v>
      </c>
      <c r="CG366" s="13" t="n">
        <v>2060</v>
      </c>
      <c r="CH366" s="13" t="n">
        <v>213</v>
      </c>
      <c r="CI366" s="13" t="n">
        <v>101</v>
      </c>
      <c r="CJ366" s="13" t="n">
        <v>57</v>
      </c>
      <c r="CK366" s="13" t="n">
        <v>353</v>
      </c>
      <c r="CL366" s="13" t="n">
        <v>55</v>
      </c>
      <c r="CM366" s="13" t="n">
        <v>305</v>
      </c>
      <c r="CN366" s="13" t="n">
        <v>0.964</v>
      </c>
      <c r="CO366" s="13" t="n">
        <v>134</v>
      </c>
      <c r="CP366" s="13" t="n">
        <v>141</v>
      </c>
      <c r="CQ366" s="13" t="n">
        <v>220</v>
      </c>
      <c r="CR366" s="13" t="n">
        <v>3</v>
      </c>
      <c r="CS366" s="13" t="n">
        <v>8.199999999999999</v>
      </c>
      <c r="CT366" s="11" t="inlineStr">
        <is>
          <t xml:space="preserve"> Freeski</t>
        </is>
      </c>
      <c r="CU366" s="11" t="inlineStr">
        <is>
          <t xml:space="preserve"> Powder</t>
        </is>
      </c>
      <c r="CV366" s="11" t="inlineStr">
        <is>
          <t xml:space="preserve"> Touring</t>
        </is>
      </c>
      <c r="CW366" s="13" t="n"/>
      <c r="CX366">
        <f>INDEX('Data_Price '!AG$2:AG$1266,MATCH(Data!$DN366,'Data_Price '!$AT$2:$AT$1266,0))</f>
        <v/>
      </c>
      <c r="CY366">
        <f>INDEX('Data_Price '!AH$2:AH$1266,MATCH(Data!$DN366,'Data_Price '!$AT$2:$AT$1266,0))</f>
        <v/>
      </c>
      <c r="CZ366">
        <f>INDEX('Data_Price '!AI$2:AI$1266,MATCH(Data!$DN366,'Data_Price '!$AT$2:$AT$1266,0))</f>
        <v/>
      </c>
      <c r="DA366">
        <f>INDEX('Data_Price '!AJ$2:AJ$1266,MATCH(Data!$DN366,'Data_Price '!$AT$2:$AT$1266,0))</f>
        <v/>
      </c>
      <c r="DB366">
        <f>INDEX('Data_Price '!AK$2:AK$1266,MATCH(Data!$DN366,'Data_Price '!$AT$2:$AT$1266,0))</f>
        <v/>
      </c>
      <c r="DC366">
        <f>INDEX('Data_Price '!AL$2:AL$1266,MATCH(Data!$DN366,'Data_Price '!$AT$2:$AT$1266,0))</f>
        <v/>
      </c>
      <c r="DD366">
        <f>INDEX('Data_Price '!AM$2:AM$1266,MATCH(Data!$DN366,'Data_Price '!$AT$2:$AT$1266,0))</f>
        <v/>
      </c>
      <c r="DE366">
        <f>INDEX('Data_Price '!AN$2:AN$1266,MATCH(Data!$DN366,'Data_Price '!$AT$2:$AT$1266,0))</f>
        <v/>
      </c>
      <c r="DF366">
        <f>INDEX('Data_Price '!AO$2:AO$1266,MATCH(Data!$DN366,'Data_Price '!$AT$2:$AT$1266,0))</f>
        <v/>
      </c>
      <c r="DG366">
        <f>INDEX('Data_Price '!AP$2:AP$1266,MATCH(Data!$DN366,'Data_Price '!$AT$2:$AT$1266,0))</f>
        <v/>
      </c>
      <c r="DH366">
        <f>INDEX('Data_Price '!AQ$2:AQ$1266,MATCH(Data!$DN366,'Data_Price '!$AT$2:$AT$1266,0))</f>
        <v/>
      </c>
      <c r="DI366">
        <f>INDEX('Data_Price '!AR$2:AR$1266,MATCH(Data!$DN366,'Data_Price '!$AT$2:$AT$1266,0))</f>
        <v/>
      </c>
      <c r="DJ366" s="138">
        <f>DA366</f>
        <v/>
      </c>
      <c r="DK366" s="138">
        <f>DE366</f>
        <v/>
      </c>
      <c r="DL366" s="138">
        <f>DI366</f>
        <v/>
      </c>
      <c r="DM366" s="303">
        <f>IF(LEFT(BT366,1)=" ",RIGHT(BT366,LEN(BT366)-1),BT366)</f>
        <v/>
      </c>
      <c r="DN366" s="138">
        <f>_xlfn.CONCAT(BS366,DM366,BU366,BV366)</f>
        <v/>
      </c>
      <c r="DO366" s="307" t="inlineStr">
        <is>
          <t>https://images.evo.com/imgp/250/208395/833069/icelantic-nomad-105-skis-2022-.jpg</t>
        </is>
      </c>
    </row>
    <row r="367" ht="15.6" customHeight="1" s="184">
      <c r="B367" s="303">
        <f t="array" ref="B367">IF(OR(ISERROR(K367:P367)),FALSE,TRUE)</f>
        <v/>
      </c>
      <c r="C367" s="60">
        <f>OR(BR367=Driver!$G$50,Data!BR228=Driver!$H$50)</f>
        <v/>
      </c>
      <c r="D367" s="60">
        <f>OR(BV367=Driver!$G$51,BV367=Driver!$H$51)</f>
        <v/>
      </c>
      <c r="E367" s="60">
        <f>AND(BX367&gt;Driver!$F$54,BX367&lt;Driver!$G$54)</f>
        <v/>
      </c>
      <c r="F367" s="60">
        <f>CL367&gt;Driver!$F$56</f>
        <v/>
      </c>
      <c r="G367" s="60">
        <f>AND(CB367&gt;Driver!$F$55,CB367&lt;Driver!$G$55)</f>
        <v/>
      </c>
      <c r="H367" s="60">
        <f>AND(B367:G367)</f>
        <v/>
      </c>
      <c r="I367" s="60">
        <f>COUNTIFS($H$9:$H$1273,TRUE,$BT$9:$BT$1273,BT367)</f>
        <v/>
      </c>
      <c r="J367" s="60">
        <f t="array" ref="J367">NOT(OR(($H$9:$H$1273=TRUE)*($I$9:$I$1273&gt;0)*($BT$9:$BT$1273=BT367)*($K$9:$K$1273&gt;K367)))</f>
        <v/>
      </c>
      <c r="K367" s="108">
        <f>IFERROR(1-AVERAGE(X367:Y367),"")</f>
        <v/>
      </c>
      <c r="L367" s="108">
        <f>1-X367</f>
        <v/>
      </c>
      <c r="M367" s="108">
        <f>1-Y367</f>
        <v/>
      </c>
      <c r="N367" s="108">
        <f>1-Z367</f>
        <v/>
      </c>
      <c r="O367" s="108">
        <f>1-AA367</f>
        <v/>
      </c>
      <c r="P367" s="108">
        <f>1-AB367</f>
        <v/>
      </c>
      <c r="Q367" s="108" t="n"/>
      <c r="R367" s="108" t="n"/>
      <c r="S367" s="108">
        <f>1-AE367</f>
        <v/>
      </c>
      <c r="T367" s="108">
        <f>1-AF367</f>
        <v/>
      </c>
      <c r="U367" s="108">
        <f>1-AG367</f>
        <v/>
      </c>
      <c r="V367" s="108">
        <f>1-AH367</f>
        <v/>
      </c>
      <c r="W367" s="108">
        <f>1-AI367</f>
        <v/>
      </c>
      <c r="X367" s="108">
        <f>ABS(AJ367-AJ$1)</f>
        <v/>
      </c>
      <c r="Y367" s="108">
        <f>AVERAGE(Z367:AB367)</f>
        <v/>
      </c>
      <c r="Z367" s="108">
        <f>ABS(AL367-AL$1)</f>
        <v/>
      </c>
      <c r="AA367" s="108">
        <f>ABS(AM367-AM$1)</f>
        <v/>
      </c>
      <c r="AB367" s="108">
        <f>ABS(AN367-AN$1)</f>
        <v/>
      </c>
      <c r="AC367" s="108" t="n"/>
      <c r="AD367" s="108" t="n"/>
      <c r="AE367" s="108">
        <f>ABS(AQ$1-AQ367)</f>
        <v/>
      </c>
      <c r="AF367" s="108">
        <f>ABS(AR$1-AR367)</f>
        <v/>
      </c>
      <c r="AG367" s="108">
        <f>ABS(AS$1-AS367)</f>
        <v/>
      </c>
      <c r="AH367" s="108">
        <f>ABS(AT$1-AT367)</f>
        <v/>
      </c>
      <c r="AI367" s="108">
        <f>ABS(AU$1-AU367)</f>
        <v/>
      </c>
      <c r="AJ367" s="108">
        <f>(AV367-Driver!$K$179)/(Driver!$L$179-Driver!$K$179)</f>
        <v/>
      </c>
      <c r="AK367" s="108">
        <f>(AW367-Driver!$K$180)/(Driver!$L$180-Driver!$K$180)</f>
        <v/>
      </c>
      <c r="AL367" s="108">
        <f>(AX367-Driver!$K$181)/(Driver!$L$181-Driver!$K$181)</f>
        <v/>
      </c>
      <c r="AM367" s="108">
        <f>(AY367-Driver!$K$182)/(Driver!$L$182-Driver!$K$182)</f>
        <v/>
      </c>
      <c r="AN367" s="108">
        <f>(AZ367-Driver!$K$183)/(Driver!$L$183-Driver!$K$183)</f>
        <v/>
      </c>
      <c r="AO367" s="108" t="n"/>
      <c r="AP367" s="108" t="n"/>
      <c r="AQ367" s="108">
        <f>(BC367-Driver!$K$188)/(Driver!$L$188-Driver!$K$188)</f>
        <v/>
      </c>
      <c r="AR367" s="108">
        <f>MIN((BD367-Driver!$K$189)/(Driver!$L$189-Driver!$K$189),100%)</f>
        <v/>
      </c>
      <c r="AS367" s="108">
        <f>(BE367-Driver!$K$190)/(Driver!$L$190-Driver!$K$190)</f>
        <v/>
      </c>
      <c r="AT367" s="108">
        <f>(BF367-Driver!$K$191)/(Driver!$L$191-Driver!$K$191)</f>
        <v/>
      </c>
      <c r="AU367" s="108">
        <f>(BG367-Driver!$K$192)/(Driver!$L$192-Driver!$K$192)</f>
        <v/>
      </c>
      <c r="AV367" s="105">
        <f>IFERROR(BM367*BJ367^1/4,"")</f>
        <v/>
      </c>
      <c r="AW367" s="105">
        <f>IFERROR(SUM(AX367:AZ367),"")</f>
        <v/>
      </c>
      <c r="AX367" s="105">
        <f>IFERROR(BH367,"")</f>
        <v/>
      </c>
      <c r="AY367" s="105">
        <f>IFERROR(Driver!$K$19/Data!BH367/Data!BI367*Data!BK367*Data!BL367,"")</f>
        <v/>
      </c>
      <c r="AZ367" s="105">
        <f>IFERROR(BI367*BN367,"")</f>
        <v/>
      </c>
      <c r="BA367" s="105" t="n"/>
      <c r="BB367" s="105" t="n"/>
      <c r="BC367" s="105">
        <f>IFERROR(BI367*BN367*BK367/BJ367^(1/2),"")</f>
        <v/>
      </c>
      <c r="BD367" s="105">
        <f>IFERROR(BH367*BM367*BL367/BJ367/BK367,"")</f>
        <v/>
      </c>
      <c r="BE367" s="105">
        <f>IFERROR(MIN(BI367/BQ367/BP367/BO367/BH367,$BE$1),"")</f>
        <v/>
      </c>
      <c r="BF367" s="105">
        <f>IFERROR(BJ367*BO367*BP367/BK367,"")</f>
        <v/>
      </c>
      <c r="BG367" s="105">
        <f>IFERROR(1/BM367/BH367*BQ367,"")</f>
        <v/>
      </c>
      <c r="BH367" s="102">
        <f>MAX((CE367-Driver!$F$200)/(Driver!$G$200-Driver!$F$200)*$BI$1,1)</f>
        <v/>
      </c>
      <c r="BI367" s="102">
        <f>MAX($BI$1*(BY367-Driver!$F$201)/(Driver!$G$201-Driver!$F$201),1)</f>
        <v/>
      </c>
      <c r="BJ367" s="102">
        <f>(CB367-Driver!$F$206)/(Driver!$G$206-Driver!$F$206)*$BI$1</f>
        <v/>
      </c>
      <c r="BK367" s="102">
        <f>(CD367-Driver!$F$203)/(Driver!$G$203-Driver!$F$203)*$BI$1</f>
        <v/>
      </c>
      <c r="BL367" s="102">
        <f>MAX((CR367-Driver!$F$202)/(Driver!$G$202-Driver!$F$202)*$BI$1,1)</f>
        <v/>
      </c>
      <c r="BM367" s="102">
        <f>MAX((CH367-Driver!$F$204)/(Driver!$G$204-Driver!$F$204)*$BI$1,1)</f>
        <v/>
      </c>
      <c r="BN367" s="102">
        <f>(CI367-Driver!$F$205)/(Driver!$G$205-Driver!$F$205)*$BI$1</f>
        <v/>
      </c>
      <c r="BO367" s="102">
        <f>(CK367-Driver!$F$207)/(Driver!$G$207-Driver!$F$207)*$BI$1</f>
        <v/>
      </c>
      <c r="BP367" s="102">
        <f>(CM367-Driver!$F$208)/(Driver!$G$208-Driver!$F$208)*$BI$1</f>
        <v/>
      </c>
      <c r="BQ367" s="102">
        <f>(CL367-Driver!$F$209)/(Driver!$G$209-Driver!$F$209)*$BI$1</f>
        <v/>
      </c>
      <c r="BR367" s="40" t="inlineStr">
        <is>
          <t>21/22</t>
        </is>
      </c>
      <c r="BS367" s="10" t="inlineStr">
        <is>
          <t xml:space="preserve"> Black Crows</t>
        </is>
      </c>
      <c r="BT367" s="11" t="inlineStr">
        <is>
          <t xml:space="preserve"> Justis</t>
        </is>
      </c>
      <c r="BU367" s="13" t="n">
        <v>177.4</v>
      </c>
      <c r="BV367" s="11" t="inlineStr">
        <is>
          <t xml:space="preserve"> Unisex</t>
        </is>
      </c>
      <c r="BW367" s="13" t="n">
        <v>177.4</v>
      </c>
      <c r="BX367" s="13" t="n">
        <v>176.1</v>
      </c>
      <c r="BY367" s="13" t="n">
        <v>104</v>
      </c>
      <c r="BZ367" s="13" t="n">
        <v>157</v>
      </c>
      <c r="CA367" s="13" t="n">
        <v>137</v>
      </c>
      <c r="CB367" s="13" t="n">
        <v>98</v>
      </c>
      <c r="CC367" s="13" t="n">
        <v>122</v>
      </c>
      <c r="CD367" s="13" t="n">
        <v>19.4</v>
      </c>
      <c r="CE367" s="13" t="n">
        <v>1952</v>
      </c>
      <c r="CF367" s="13" t="n">
        <v>0.99</v>
      </c>
      <c r="CG367" s="13" t="n">
        <v>1934</v>
      </c>
      <c r="CH367" s="13" t="n">
        <v>262</v>
      </c>
      <c r="CI367" s="13" t="n">
        <v>114</v>
      </c>
      <c r="CJ367" s="13" t="n">
        <v>53</v>
      </c>
      <c r="CK367" s="13" t="n">
        <v>426</v>
      </c>
      <c r="CL367" s="13" t="n">
        <v>30</v>
      </c>
      <c r="CM367" s="13" t="n">
        <v>295</v>
      </c>
      <c r="CN367" s="13" t="n">
        <v>0.573</v>
      </c>
      <c r="CO367" s="13" t="n">
        <v>112</v>
      </c>
      <c r="CP367" s="13" t="n">
        <v>84</v>
      </c>
      <c r="CQ367" s="13" t="n">
        <v>314</v>
      </c>
      <c r="CR367" s="13" t="n">
        <v>2</v>
      </c>
      <c r="CS367" s="13" t="n">
        <v>8.5</v>
      </c>
      <c r="CT367" s="11" t="inlineStr">
        <is>
          <t xml:space="preserve"> Resort Freeride</t>
        </is>
      </c>
      <c r="CU367" s="13" t="n"/>
      <c r="CV367" s="13" t="n"/>
      <c r="CW367" s="13" t="n"/>
      <c r="CX367">
        <f>INDEX('Data_Price '!AG$2:AG$1266,MATCH(Data!$DN367,'Data_Price '!$AT$2:$AT$1266,0))</f>
        <v/>
      </c>
      <c r="CY367">
        <f>INDEX('Data_Price '!AH$2:AH$1266,MATCH(Data!$DN367,'Data_Price '!$AT$2:$AT$1266,0))</f>
        <v/>
      </c>
      <c r="CZ367">
        <f>INDEX('Data_Price '!AI$2:AI$1266,MATCH(Data!$DN367,'Data_Price '!$AT$2:$AT$1266,0))</f>
        <v/>
      </c>
      <c r="DA367">
        <f>INDEX('Data_Price '!AJ$2:AJ$1266,MATCH(Data!$DN367,'Data_Price '!$AT$2:$AT$1266,0))</f>
        <v/>
      </c>
      <c r="DB367">
        <f>INDEX('Data_Price '!AK$2:AK$1266,MATCH(Data!$DN367,'Data_Price '!$AT$2:$AT$1266,0))</f>
        <v/>
      </c>
      <c r="DC367">
        <f>INDEX('Data_Price '!AL$2:AL$1266,MATCH(Data!$DN367,'Data_Price '!$AT$2:$AT$1266,0))</f>
        <v/>
      </c>
      <c r="DD367">
        <f>INDEX('Data_Price '!AM$2:AM$1266,MATCH(Data!$DN367,'Data_Price '!$AT$2:$AT$1266,0))</f>
        <v/>
      </c>
      <c r="DE367">
        <f>INDEX('Data_Price '!AN$2:AN$1266,MATCH(Data!$DN367,'Data_Price '!$AT$2:$AT$1266,0))</f>
        <v/>
      </c>
      <c r="DF367">
        <f>INDEX('Data_Price '!AO$2:AO$1266,MATCH(Data!$DN367,'Data_Price '!$AT$2:$AT$1266,0))</f>
        <v/>
      </c>
      <c r="DG367">
        <f>INDEX('Data_Price '!AP$2:AP$1266,MATCH(Data!$DN367,'Data_Price '!$AT$2:$AT$1266,0))</f>
        <v/>
      </c>
      <c r="DH367">
        <f>INDEX('Data_Price '!AQ$2:AQ$1266,MATCH(Data!$DN367,'Data_Price '!$AT$2:$AT$1266,0))</f>
        <v/>
      </c>
      <c r="DI367">
        <f>INDEX('Data_Price '!AR$2:AR$1266,MATCH(Data!$DN367,'Data_Price '!$AT$2:$AT$1266,0))</f>
        <v/>
      </c>
      <c r="DJ367" s="138">
        <f>DA367</f>
        <v/>
      </c>
      <c r="DK367" s="138">
        <f>DE367</f>
        <v/>
      </c>
      <c r="DL367" s="138">
        <f>DI367</f>
        <v/>
      </c>
      <c r="DM367" s="303">
        <f>IF(LEFT(BT367,1)=" ",RIGHT(BT367,LEN(BT367)-1),BT367)</f>
        <v/>
      </c>
      <c r="DN367" s="138">
        <f>_xlfn.CONCAT(BS367,DM367,BU367,BV367)</f>
        <v/>
      </c>
      <c r="DO367" s="307" t="inlineStr">
        <is>
          <t>https://images.evo.com/imgp/250/181598/727237/clone.jpg</t>
        </is>
      </c>
    </row>
    <row r="368" ht="15.6" customHeight="1" s="184">
      <c r="B368" s="303">
        <f t="array" ref="B368">IF(OR(ISERROR(K368:P368)),FALSE,TRUE)</f>
        <v/>
      </c>
      <c r="C368" s="60">
        <f>OR(BR368=Driver!$G$50,Data!BR1173=Driver!$H$50)</f>
        <v/>
      </c>
      <c r="D368" s="60">
        <f>OR(BV368=Driver!$G$51,BV368=Driver!$H$51)</f>
        <v/>
      </c>
      <c r="E368" s="60">
        <f>AND(BX368&gt;Driver!$F$54,BX368&lt;Driver!$G$54)</f>
        <v/>
      </c>
      <c r="F368" s="60">
        <f>CL368&gt;Driver!$F$56</f>
        <v/>
      </c>
      <c r="G368" s="60">
        <f>AND(CB368&gt;Driver!$F$55,CB368&lt;Driver!$G$55)</f>
        <v/>
      </c>
      <c r="H368" s="60">
        <f>AND(B368:G368)</f>
        <v/>
      </c>
      <c r="I368" s="60">
        <f>COUNTIFS($H$9:$H$1273,TRUE,$BT$9:$BT$1273,BT368)</f>
        <v/>
      </c>
      <c r="J368" s="60">
        <f t="array" ref="J368">NOT(OR(($H$9:$H$1273=TRUE)*($I$9:$I$1273&gt;0)*($BT$9:$BT$1273=BT368)*($K$9:$K$1273&gt;K368)))</f>
        <v/>
      </c>
      <c r="K368" s="108">
        <f>IFERROR(1-AVERAGE(X368:Y368),"")</f>
        <v/>
      </c>
      <c r="L368" s="108">
        <f>1-X368</f>
        <v/>
      </c>
      <c r="M368" s="108">
        <f>1-Y368</f>
        <v/>
      </c>
      <c r="N368" s="108">
        <f>1-Z368</f>
        <v/>
      </c>
      <c r="O368" s="108">
        <f>1-AA368</f>
        <v/>
      </c>
      <c r="P368" s="108">
        <f>1-AB368</f>
        <v/>
      </c>
      <c r="Q368" s="108" t="n"/>
      <c r="R368" s="108" t="n"/>
      <c r="S368" s="108">
        <f>1-AE368</f>
        <v/>
      </c>
      <c r="T368" s="108">
        <f>1-AF368</f>
        <v/>
      </c>
      <c r="U368" s="108">
        <f>1-AG368</f>
        <v/>
      </c>
      <c r="V368" s="108">
        <f>1-AH368</f>
        <v/>
      </c>
      <c r="W368" s="108">
        <f>1-AI368</f>
        <v/>
      </c>
      <c r="X368" s="108">
        <f>ABS(AJ368-AJ$1)</f>
        <v/>
      </c>
      <c r="Y368" s="108">
        <f>AVERAGE(Z368:AB368)</f>
        <v/>
      </c>
      <c r="Z368" s="108">
        <f>ABS(AL368-AL$1)</f>
        <v/>
      </c>
      <c r="AA368" s="108">
        <f>ABS(AM368-AM$1)</f>
        <v/>
      </c>
      <c r="AB368" s="108">
        <f>ABS(AN368-AN$1)</f>
        <v/>
      </c>
      <c r="AC368" s="108" t="n"/>
      <c r="AD368" s="108" t="n"/>
      <c r="AE368" s="108">
        <f>ABS(AQ$1-AQ368)</f>
        <v/>
      </c>
      <c r="AF368" s="108">
        <f>ABS(AR$1-AR368)</f>
        <v/>
      </c>
      <c r="AG368" s="108">
        <f>ABS(AS$1-AS368)</f>
        <v/>
      </c>
      <c r="AH368" s="108">
        <f>ABS(AT$1-AT368)</f>
        <v/>
      </c>
      <c r="AI368" s="108">
        <f>ABS(AU$1-AU368)</f>
        <v/>
      </c>
      <c r="AJ368" s="108">
        <f>(AV368-Driver!$K$179)/(Driver!$L$179-Driver!$K$179)</f>
        <v/>
      </c>
      <c r="AK368" s="108">
        <f>(AW368-Driver!$K$180)/(Driver!$L$180-Driver!$K$180)</f>
        <v/>
      </c>
      <c r="AL368" s="108">
        <f>(AX368-Driver!$K$181)/(Driver!$L$181-Driver!$K$181)</f>
        <v/>
      </c>
      <c r="AM368" s="108">
        <f>(AY368-Driver!$K$182)/(Driver!$L$182-Driver!$K$182)</f>
        <v/>
      </c>
      <c r="AN368" s="108">
        <f>(AZ368-Driver!$K$183)/(Driver!$L$183-Driver!$K$183)</f>
        <v/>
      </c>
      <c r="AO368" s="108" t="n"/>
      <c r="AP368" s="108" t="n"/>
      <c r="AQ368" s="108">
        <f>(BC368-Driver!$K$188)/(Driver!$L$188-Driver!$K$188)</f>
        <v/>
      </c>
      <c r="AR368" s="108">
        <f>MIN((BD368-Driver!$K$189)/(Driver!$L$189-Driver!$K$189),100%)</f>
        <v/>
      </c>
      <c r="AS368" s="108">
        <f>(BE368-Driver!$K$190)/(Driver!$L$190-Driver!$K$190)</f>
        <v/>
      </c>
      <c r="AT368" s="108">
        <f>(BF368-Driver!$K$191)/(Driver!$L$191-Driver!$K$191)</f>
        <v/>
      </c>
      <c r="AU368" s="108">
        <f>(BG368-Driver!$K$192)/(Driver!$L$192-Driver!$K$192)</f>
        <v/>
      </c>
      <c r="AV368" s="105">
        <f>IFERROR(BM368*BJ368^1/4,"")</f>
        <v/>
      </c>
      <c r="AW368" s="105">
        <f>IFERROR(SUM(AX368:AZ368),"")</f>
        <v/>
      </c>
      <c r="AX368" s="105">
        <f>IFERROR(BH368,"")</f>
        <v/>
      </c>
      <c r="AY368" s="105">
        <f>IFERROR(Driver!$K$19/Data!BH368/Data!BI368*Data!BK368*Data!BL368,"")</f>
        <v/>
      </c>
      <c r="AZ368" s="105">
        <f>IFERROR(BI368*BN368,"")</f>
        <v/>
      </c>
      <c r="BA368" s="105" t="n"/>
      <c r="BB368" s="105" t="n"/>
      <c r="BC368" s="105">
        <f>IFERROR(BI368*BN368*BK368/BJ368^(1/2),"")</f>
        <v/>
      </c>
      <c r="BD368" s="105">
        <f>IFERROR(BH368*BM368*BL368/BJ368/BK368,"")</f>
        <v/>
      </c>
      <c r="BE368" s="105">
        <f>IFERROR(MIN(BI368/BQ368/BP368/BO368/BH368,$BE$1),"")</f>
        <v/>
      </c>
      <c r="BF368" s="105">
        <f>IFERROR(BJ368*BO368*BP368/BK368,"")</f>
        <v/>
      </c>
      <c r="BG368" s="105">
        <f>IFERROR(1/BM368/BH368*BQ368,"")</f>
        <v/>
      </c>
      <c r="BH368" s="102">
        <f>MAX((CE368-Driver!$F$200)/(Driver!$G$200-Driver!$F$200)*$BI$1,1)</f>
        <v/>
      </c>
      <c r="BI368" s="102">
        <f>MAX($BI$1*(BY368-Driver!$F$201)/(Driver!$G$201-Driver!$F$201),1)</f>
        <v/>
      </c>
      <c r="BJ368" s="102">
        <f>(CB368-Driver!$F$206)/(Driver!$G$206-Driver!$F$206)*$BI$1</f>
        <v/>
      </c>
      <c r="BK368" s="102">
        <f>(CD368-Driver!$F$203)/(Driver!$G$203-Driver!$F$203)*$BI$1</f>
        <v/>
      </c>
      <c r="BL368" s="102">
        <f>MAX((CR368-Driver!$F$202)/(Driver!$G$202-Driver!$F$202)*$BI$1,1)</f>
        <v/>
      </c>
      <c r="BM368" s="102">
        <f>MAX((CH368-Driver!$F$204)/(Driver!$G$204-Driver!$F$204)*$BI$1,1)</f>
        <v/>
      </c>
      <c r="BN368" s="102">
        <f>(CI368-Driver!$F$205)/(Driver!$G$205-Driver!$F$205)*$BI$1</f>
        <v/>
      </c>
      <c r="BO368" s="102">
        <f>(CK368-Driver!$F$207)/(Driver!$G$207-Driver!$F$207)*$BI$1</f>
        <v/>
      </c>
      <c r="BP368" s="102">
        <f>(CM368-Driver!$F$208)/(Driver!$G$208-Driver!$F$208)*$BI$1</f>
        <v/>
      </c>
      <c r="BQ368" s="102">
        <f>(CL368-Driver!$F$209)/(Driver!$G$209-Driver!$F$209)*$BI$1</f>
        <v/>
      </c>
      <c r="BR368" s="40" t="inlineStr">
        <is>
          <t>21/22</t>
        </is>
      </c>
      <c r="BS368" s="10" t="inlineStr">
        <is>
          <t xml:space="preserve"> Völkl</t>
        </is>
      </c>
      <c r="BT368" s="11" t="inlineStr">
        <is>
          <t>Blaze 94</t>
        </is>
      </c>
      <c r="BU368" s="13" t="n">
        <v>172</v>
      </c>
      <c r="BV368" s="11" t="inlineStr">
        <is>
          <t xml:space="preserve"> Unisex</t>
        </is>
      </c>
      <c r="BW368" s="13" t="n">
        <v>172</v>
      </c>
      <c r="BX368" s="13" t="n">
        <v>171.7</v>
      </c>
      <c r="BY368" s="13" t="n">
        <v>74</v>
      </c>
      <c r="BZ368" s="13" t="n">
        <v>147</v>
      </c>
      <c r="CA368" s="13" t="n">
        <v>133</v>
      </c>
      <c r="CB368" s="13" t="n">
        <v>93</v>
      </c>
      <c r="CC368" s="13" t="n">
        <v>115</v>
      </c>
      <c r="CD368" s="13" t="n">
        <v>16.4</v>
      </c>
      <c r="CE368" s="13" t="n">
        <v>1513</v>
      </c>
      <c r="CF368" s="13" t="n">
        <v>1.2</v>
      </c>
      <c r="CG368" s="13" t="n">
        <v>1820</v>
      </c>
      <c r="CH368" s="13" t="n">
        <v>157</v>
      </c>
      <c r="CI368" s="13" t="n">
        <v>90</v>
      </c>
      <c r="CJ368" s="13" t="n">
        <v>48</v>
      </c>
      <c r="CK368" s="13" t="n">
        <v>536</v>
      </c>
      <c r="CL368" s="13" t="n">
        <v>22</v>
      </c>
      <c r="CM368" s="13" t="n">
        <v>436</v>
      </c>
      <c r="CN368" s="13" t="n">
        <v>0.45</v>
      </c>
      <c r="CO368" s="13" t="n">
        <v>138</v>
      </c>
      <c r="CP368" s="13" t="n">
        <v>105</v>
      </c>
      <c r="CQ368" s="13" t="n">
        <v>397</v>
      </c>
      <c r="CR368" s="13" t="n">
        <v>1</v>
      </c>
      <c r="CS368" s="13" t="n">
        <v>12.2</v>
      </c>
      <c r="CT368" s="11" t="inlineStr">
        <is>
          <t xml:space="preserve"> Resort Freeride</t>
        </is>
      </c>
      <c r="CU368" s="11" t="inlineStr">
        <is>
          <t xml:space="preserve"> Touring</t>
        </is>
      </c>
      <c r="CV368" s="13" t="n"/>
      <c r="CW368" s="13" t="n"/>
      <c r="CX368">
        <f>INDEX('Data_Price '!AG$2:AG$1266,MATCH(Data!$DN368,'Data_Price '!$AT$2:$AT$1266,0))</f>
        <v/>
      </c>
      <c r="CY368">
        <f>INDEX('Data_Price '!AH$2:AH$1266,MATCH(Data!$DN368,'Data_Price '!$AT$2:$AT$1266,0))</f>
        <v/>
      </c>
      <c r="CZ368">
        <f>INDEX('Data_Price '!AI$2:AI$1266,MATCH(Data!$DN368,'Data_Price '!$AT$2:$AT$1266,0))</f>
        <v/>
      </c>
      <c r="DA368">
        <f>INDEX('Data_Price '!AJ$2:AJ$1266,MATCH(Data!$DN368,'Data_Price '!$AT$2:$AT$1266,0))</f>
        <v/>
      </c>
      <c r="DB368">
        <f>INDEX('Data_Price '!AK$2:AK$1266,MATCH(Data!$DN368,'Data_Price '!$AT$2:$AT$1266,0))</f>
        <v/>
      </c>
      <c r="DC368">
        <f>INDEX('Data_Price '!AL$2:AL$1266,MATCH(Data!$DN368,'Data_Price '!$AT$2:$AT$1266,0))</f>
        <v/>
      </c>
      <c r="DD368">
        <f>INDEX('Data_Price '!AM$2:AM$1266,MATCH(Data!$DN368,'Data_Price '!$AT$2:$AT$1266,0))</f>
        <v/>
      </c>
      <c r="DE368">
        <f>INDEX('Data_Price '!AN$2:AN$1266,MATCH(Data!$DN368,'Data_Price '!$AT$2:$AT$1266,0))</f>
        <v/>
      </c>
      <c r="DF368">
        <f>INDEX('Data_Price '!AO$2:AO$1266,MATCH(Data!$DN368,'Data_Price '!$AT$2:$AT$1266,0))</f>
        <v/>
      </c>
      <c r="DG368">
        <f>INDEX('Data_Price '!AP$2:AP$1266,MATCH(Data!$DN368,'Data_Price '!$AT$2:$AT$1266,0))</f>
        <v/>
      </c>
      <c r="DH368">
        <f>INDEX('Data_Price '!AQ$2:AQ$1266,MATCH(Data!$DN368,'Data_Price '!$AT$2:$AT$1266,0))</f>
        <v/>
      </c>
      <c r="DI368">
        <f>INDEX('Data_Price '!AR$2:AR$1266,MATCH(Data!$DN368,'Data_Price '!$AT$2:$AT$1266,0))</f>
        <v/>
      </c>
      <c r="DJ368" s="138">
        <f>DA368</f>
        <v/>
      </c>
      <c r="DK368" s="138">
        <f>DE368</f>
        <v/>
      </c>
      <c r="DL368" s="138">
        <f>DI368</f>
        <v/>
      </c>
      <c r="DM368" s="303">
        <f>IF(LEFT(BT368,1)=" ",RIGHT(BT368,LEN(BT368)-1),BT368)</f>
        <v/>
      </c>
      <c r="DN368" s="138">
        <f>_xlfn.CONCAT(BS368,DM368,BU368,BV368)</f>
        <v/>
      </c>
      <c r="DO368" s="307" t="inlineStr">
        <is>
          <t>https://images.evo.com/imgp/250/208354/837597/clone.jpg</t>
        </is>
      </c>
    </row>
    <row r="369" ht="15.6" customHeight="1" s="184">
      <c r="B369" s="303">
        <f t="array" ref="B369">IF(OR(ISERROR(K369:P369)),FALSE,TRUE)</f>
        <v/>
      </c>
      <c r="C369" s="60">
        <f>OR(BR369=Driver!$G$50,Data!BR63=Driver!$H$50)</f>
        <v/>
      </c>
      <c r="D369" s="60">
        <f>OR(BV369=Driver!$G$51,BV369=Driver!$H$51)</f>
        <v/>
      </c>
      <c r="E369" s="60">
        <f>AND(BX369&gt;Driver!$F$54,BX369&lt;Driver!$G$54)</f>
        <v/>
      </c>
      <c r="F369" s="60">
        <f>CL369&gt;Driver!$F$56</f>
        <v/>
      </c>
      <c r="G369" s="60">
        <f>AND(CB369&gt;Driver!$F$55,CB369&lt;Driver!$G$55)</f>
        <v/>
      </c>
      <c r="H369" s="60">
        <f>AND(B369:G369)</f>
        <v/>
      </c>
      <c r="I369" s="60">
        <f>COUNTIFS($H$9:$H$1273,TRUE,$BT$9:$BT$1273,BT369)</f>
        <v/>
      </c>
      <c r="J369" s="60">
        <f t="array" ref="J369">NOT(OR(($H$9:$H$1273=TRUE)*($I$9:$I$1273&gt;0)*($BT$9:$BT$1273=BT369)*($K$9:$K$1273&gt;K369)))</f>
        <v/>
      </c>
      <c r="K369" s="108">
        <f>IFERROR(1-AVERAGE(X369:Y369),"")</f>
        <v/>
      </c>
      <c r="L369" s="108">
        <f>1-X369</f>
        <v/>
      </c>
      <c r="M369" s="108">
        <f>1-Y369</f>
        <v/>
      </c>
      <c r="N369" s="108">
        <f>1-Z369</f>
        <v/>
      </c>
      <c r="O369" s="108">
        <f>1-AA369</f>
        <v/>
      </c>
      <c r="P369" s="108">
        <f>1-AB369</f>
        <v/>
      </c>
      <c r="Q369" s="108" t="n"/>
      <c r="R369" s="108" t="n"/>
      <c r="S369" s="108">
        <f>1-AE369</f>
        <v/>
      </c>
      <c r="T369" s="108">
        <f>1-AF369</f>
        <v/>
      </c>
      <c r="U369" s="108">
        <f>1-AG369</f>
        <v/>
      </c>
      <c r="V369" s="108">
        <f>1-AH369</f>
        <v/>
      </c>
      <c r="W369" s="108">
        <f>1-AI369</f>
        <v/>
      </c>
      <c r="X369" s="108">
        <f>ABS(AJ369-AJ$1)</f>
        <v/>
      </c>
      <c r="Y369" s="108">
        <f>AVERAGE(Z369:AB369)</f>
        <v/>
      </c>
      <c r="Z369" s="108">
        <f>ABS(AL369-AL$1)</f>
        <v/>
      </c>
      <c r="AA369" s="108">
        <f>ABS(AM369-AM$1)</f>
        <v/>
      </c>
      <c r="AB369" s="108">
        <f>ABS(AN369-AN$1)</f>
        <v/>
      </c>
      <c r="AC369" s="108" t="n"/>
      <c r="AD369" s="108" t="n"/>
      <c r="AE369" s="108">
        <f>ABS(AQ$1-AQ369)</f>
        <v/>
      </c>
      <c r="AF369" s="108">
        <f>ABS(AR$1-AR369)</f>
        <v/>
      </c>
      <c r="AG369" s="108">
        <f>ABS(AS$1-AS369)</f>
        <v/>
      </c>
      <c r="AH369" s="108">
        <f>ABS(AT$1-AT369)</f>
        <v/>
      </c>
      <c r="AI369" s="108">
        <f>ABS(AU$1-AU369)</f>
        <v/>
      </c>
      <c r="AJ369" s="108">
        <f>(AV369-Driver!$K$179)/(Driver!$L$179-Driver!$K$179)</f>
        <v/>
      </c>
      <c r="AK369" s="108">
        <f>(AW369-Driver!$K$180)/(Driver!$L$180-Driver!$K$180)</f>
        <v/>
      </c>
      <c r="AL369" s="108">
        <f>(AX369-Driver!$K$181)/(Driver!$L$181-Driver!$K$181)</f>
        <v/>
      </c>
      <c r="AM369" s="108">
        <f>(AY369-Driver!$K$182)/(Driver!$L$182-Driver!$K$182)</f>
        <v/>
      </c>
      <c r="AN369" s="108">
        <f>(AZ369-Driver!$K$183)/(Driver!$L$183-Driver!$K$183)</f>
        <v/>
      </c>
      <c r="AO369" s="108" t="n"/>
      <c r="AP369" s="108" t="n"/>
      <c r="AQ369" s="108">
        <f>(BC369-Driver!$K$188)/(Driver!$L$188-Driver!$K$188)</f>
        <v/>
      </c>
      <c r="AR369" s="108">
        <f>MIN((BD369-Driver!$K$189)/(Driver!$L$189-Driver!$K$189),100%)</f>
        <v/>
      </c>
      <c r="AS369" s="108">
        <f>(BE369-Driver!$K$190)/(Driver!$L$190-Driver!$K$190)</f>
        <v/>
      </c>
      <c r="AT369" s="108">
        <f>(BF369-Driver!$K$191)/(Driver!$L$191-Driver!$K$191)</f>
        <v/>
      </c>
      <c r="AU369" s="108">
        <f>(BG369-Driver!$K$192)/(Driver!$L$192-Driver!$K$192)</f>
        <v/>
      </c>
      <c r="AV369" s="105">
        <f>IFERROR(BM369*BJ369^1/4,"")</f>
        <v/>
      </c>
      <c r="AW369" s="105">
        <f>IFERROR(SUM(AX369:AZ369),"")</f>
        <v/>
      </c>
      <c r="AX369" s="105">
        <f>IFERROR(BH369,"")</f>
        <v/>
      </c>
      <c r="AY369" s="105">
        <f>IFERROR(Driver!$K$19/Data!BH369/Data!BI369*Data!BK369*Data!BL369,"")</f>
        <v/>
      </c>
      <c r="AZ369" s="105">
        <f>IFERROR(BI369*BN369,"")</f>
        <v/>
      </c>
      <c r="BA369" s="105" t="n"/>
      <c r="BB369" s="105" t="n"/>
      <c r="BC369" s="105">
        <f>IFERROR(BI369*BN369*BK369/BJ369^(1/2),"")</f>
        <v/>
      </c>
      <c r="BD369" s="105">
        <f>IFERROR(BH369*BM369*BL369/BJ369/BK369,"")</f>
        <v/>
      </c>
      <c r="BE369" s="105">
        <f>IFERROR(MIN(BI369/BQ369/BP369/BO369/BH369,$BE$1),"")</f>
        <v/>
      </c>
      <c r="BF369" s="105">
        <f>IFERROR(BJ369*BO369*BP369/BK369,"")</f>
        <v/>
      </c>
      <c r="BG369" s="105">
        <f>IFERROR(1/BM369/BH369*BQ369,"")</f>
        <v/>
      </c>
      <c r="BH369" s="102">
        <f>MAX((CE369-Driver!$F$200)/(Driver!$G$200-Driver!$F$200)*$BI$1,1)</f>
        <v/>
      </c>
      <c r="BI369" s="102">
        <f>MAX($BI$1*(BY369-Driver!$F$201)/(Driver!$G$201-Driver!$F$201),1)</f>
        <v/>
      </c>
      <c r="BJ369" s="102">
        <f>(CB369-Driver!$F$206)/(Driver!$G$206-Driver!$F$206)*$BI$1</f>
        <v/>
      </c>
      <c r="BK369" s="102">
        <f>(CD369-Driver!$F$203)/(Driver!$G$203-Driver!$F$203)*$BI$1</f>
        <v/>
      </c>
      <c r="BL369" s="102">
        <f>MAX((CR369-Driver!$F$202)/(Driver!$G$202-Driver!$F$202)*$BI$1,1)</f>
        <v/>
      </c>
      <c r="BM369" s="102">
        <f>MAX((CH369-Driver!$F$204)/(Driver!$G$204-Driver!$F$204)*$BI$1,1)</f>
        <v/>
      </c>
      <c r="BN369" s="102">
        <f>(CI369-Driver!$F$205)/(Driver!$G$205-Driver!$F$205)*$BI$1</f>
        <v/>
      </c>
      <c r="BO369" s="102">
        <f>(CK369-Driver!$F$207)/(Driver!$G$207-Driver!$F$207)*$BI$1</f>
        <v/>
      </c>
      <c r="BP369" s="102">
        <f>(CM369-Driver!$F$208)/(Driver!$G$208-Driver!$F$208)*$BI$1</f>
        <v/>
      </c>
      <c r="BQ369" s="102">
        <f>(CL369-Driver!$F$209)/(Driver!$G$209-Driver!$F$209)*$BI$1</f>
        <v/>
      </c>
      <c r="BR369" s="40" t="inlineStr">
        <is>
          <t>21/22</t>
        </is>
      </c>
      <c r="BS369" s="10" t="inlineStr">
        <is>
          <t xml:space="preserve"> Armada</t>
        </is>
      </c>
      <c r="BT369" s="11" t="inlineStr">
        <is>
          <t>Declivity 102 Ti</t>
        </is>
      </c>
      <c r="BU369" s="13" t="n">
        <v>172</v>
      </c>
      <c r="BV369" s="11" t="inlineStr">
        <is>
          <t xml:space="preserve"> Unisex</t>
        </is>
      </c>
      <c r="BW369" s="13" t="n">
        <v>172</v>
      </c>
      <c r="BX369" s="13" t="n">
        <v>171.7</v>
      </c>
      <c r="BY369" s="13" t="n">
        <v>126</v>
      </c>
      <c r="BZ369" s="13" t="n">
        <v>142</v>
      </c>
      <c r="CA369" s="13" t="n">
        <v>133</v>
      </c>
      <c r="CB369" s="13" t="n">
        <v>101</v>
      </c>
      <c r="CC369" s="13" t="n">
        <v>123</v>
      </c>
      <c r="CD369" s="13" t="n">
        <v>17.8</v>
      </c>
      <c r="CE369" s="13" t="n">
        <v>1896</v>
      </c>
      <c r="CF369" s="13" t="n">
        <v>1.01</v>
      </c>
      <c r="CG369" s="13" t="n">
        <v>1914</v>
      </c>
      <c r="CH369" s="13" t="n">
        <v>209</v>
      </c>
      <c r="CI369" s="13" t="n">
        <v>123</v>
      </c>
      <c r="CJ369" s="13" t="n">
        <v>54</v>
      </c>
      <c r="CK369" s="13" t="n">
        <v>291</v>
      </c>
      <c r="CL369" s="13" t="n">
        <v>18</v>
      </c>
      <c r="CM369" s="13" t="n">
        <v>164</v>
      </c>
      <c r="CN369" s="13" t="n">
        <v>0.332</v>
      </c>
      <c r="CO369" s="13" t="n">
        <v>173</v>
      </c>
      <c r="CP369" s="13" t="n">
        <v>120</v>
      </c>
      <c r="CQ369" s="13" t="n">
        <v>118</v>
      </c>
      <c r="CR369" s="13" t="n">
        <v>7</v>
      </c>
      <c r="CS369" s="13" t="n">
        <v>7.7</v>
      </c>
      <c r="CT369" s="11" t="inlineStr">
        <is>
          <t xml:space="preserve"> Resort Freeride</t>
        </is>
      </c>
      <c r="CU369" s="11" t="inlineStr">
        <is>
          <t xml:space="preserve"> Big Mountain</t>
        </is>
      </c>
      <c r="CV369" s="13" t="n"/>
      <c r="CW369" s="13" t="n"/>
      <c r="CX369">
        <f>INDEX('Data_Price '!AG$2:AG$1266,MATCH(Data!$DN369,'Data_Price '!$AT$2:$AT$1266,0))</f>
        <v/>
      </c>
      <c r="CY369">
        <f>INDEX('Data_Price '!AH$2:AH$1266,MATCH(Data!$DN369,'Data_Price '!$AT$2:$AT$1266,0))</f>
        <v/>
      </c>
      <c r="CZ369">
        <f>INDEX('Data_Price '!AI$2:AI$1266,MATCH(Data!$DN369,'Data_Price '!$AT$2:$AT$1266,0))</f>
        <v/>
      </c>
      <c r="DA369">
        <f>INDEX('Data_Price '!AJ$2:AJ$1266,MATCH(Data!$DN369,'Data_Price '!$AT$2:$AT$1266,0))</f>
        <v/>
      </c>
      <c r="DB369">
        <f>INDEX('Data_Price '!AK$2:AK$1266,MATCH(Data!$DN369,'Data_Price '!$AT$2:$AT$1266,0))</f>
        <v/>
      </c>
      <c r="DC369">
        <f>INDEX('Data_Price '!AL$2:AL$1266,MATCH(Data!$DN369,'Data_Price '!$AT$2:$AT$1266,0))</f>
        <v/>
      </c>
      <c r="DD369">
        <f>INDEX('Data_Price '!AM$2:AM$1266,MATCH(Data!$DN369,'Data_Price '!$AT$2:$AT$1266,0))</f>
        <v/>
      </c>
      <c r="DE369">
        <f>INDEX('Data_Price '!AN$2:AN$1266,MATCH(Data!$DN369,'Data_Price '!$AT$2:$AT$1266,0))</f>
        <v/>
      </c>
      <c r="DF369">
        <f>INDEX('Data_Price '!AO$2:AO$1266,MATCH(Data!$DN369,'Data_Price '!$AT$2:$AT$1266,0))</f>
        <v/>
      </c>
      <c r="DG369">
        <f>INDEX('Data_Price '!AP$2:AP$1266,MATCH(Data!$DN369,'Data_Price '!$AT$2:$AT$1266,0))</f>
        <v/>
      </c>
      <c r="DH369">
        <f>INDEX('Data_Price '!AQ$2:AQ$1266,MATCH(Data!$DN369,'Data_Price '!$AT$2:$AT$1266,0))</f>
        <v/>
      </c>
      <c r="DI369">
        <f>INDEX('Data_Price '!AR$2:AR$1266,MATCH(Data!$DN369,'Data_Price '!$AT$2:$AT$1266,0))</f>
        <v/>
      </c>
      <c r="DJ369" s="138">
        <f>DA369</f>
        <v/>
      </c>
      <c r="DK369" s="138">
        <f>DE369</f>
        <v/>
      </c>
      <c r="DL369" s="138">
        <f>DI369</f>
        <v/>
      </c>
      <c r="DM369" s="303">
        <f>IF(LEFT(BT369,1)=" ",RIGHT(BT369,LEN(BT369)-1),BT369)</f>
        <v/>
      </c>
      <c r="DN369" s="138">
        <f>_xlfn.CONCAT(BS369,DM369,BU369,BV369)</f>
        <v/>
      </c>
      <c r="DO369" s="307" t="inlineStr">
        <is>
          <t>https://images.evo.com/imgp/250/181505/736822/armada-declivity-102-ti-skis-2022-.jpg</t>
        </is>
      </c>
    </row>
    <row r="370" ht="15.6" customHeight="1" s="184">
      <c r="B370" s="303">
        <f t="array" ref="B370">IF(OR(ISERROR(K370:P370)),FALSE,TRUE)</f>
        <v/>
      </c>
      <c r="C370" s="60">
        <f>OR(BR370=Driver!$G$50,Data!BR224=Driver!$H$50)</f>
        <v/>
      </c>
      <c r="D370" s="60">
        <f>OR(BV370=Driver!$G$51,BV370=Driver!$H$51)</f>
        <v/>
      </c>
      <c r="E370" s="60">
        <f>AND(BX370&gt;Driver!$F$54,BX370&lt;Driver!$G$54)</f>
        <v/>
      </c>
      <c r="F370" s="60">
        <f>CL370&gt;Driver!$F$56</f>
        <v/>
      </c>
      <c r="G370" s="60">
        <f>AND(CB370&gt;Driver!$F$55,CB370&lt;Driver!$G$55)</f>
        <v/>
      </c>
      <c r="H370" s="60">
        <f>AND(B370:G370)</f>
        <v/>
      </c>
      <c r="I370" s="60">
        <f>COUNTIFS($H$9:$H$1273,TRUE,$BT$9:$BT$1273,BT370)</f>
        <v/>
      </c>
      <c r="J370" s="60">
        <f t="array" ref="J370">NOT(OR(($H$9:$H$1273=TRUE)*($I$9:$I$1273&gt;0)*($BT$9:$BT$1273=BT370)*($K$9:$K$1273&gt;K370)))</f>
        <v/>
      </c>
      <c r="K370" s="108">
        <f>IFERROR(1-AVERAGE(X370:Y370),"")</f>
        <v/>
      </c>
      <c r="L370" s="108">
        <f>1-X370</f>
        <v/>
      </c>
      <c r="M370" s="108">
        <f>1-Y370</f>
        <v/>
      </c>
      <c r="N370" s="108">
        <f>1-Z370</f>
        <v/>
      </c>
      <c r="O370" s="108">
        <f>1-AA370</f>
        <v/>
      </c>
      <c r="P370" s="108">
        <f>1-AB370</f>
        <v/>
      </c>
      <c r="Q370" s="108" t="n"/>
      <c r="R370" s="108" t="n"/>
      <c r="S370" s="108">
        <f>1-AE370</f>
        <v/>
      </c>
      <c r="T370" s="108">
        <f>1-AF370</f>
        <v/>
      </c>
      <c r="U370" s="108">
        <f>1-AG370</f>
        <v/>
      </c>
      <c r="V370" s="108">
        <f>1-AH370</f>
        <v/>
      </c>
      <c r="W370" s="108">
        <f>1-AI370</f>
        <v/>
      </c>
      <c r="X370" s="108">
        <f>ABS(AJ370-AJ$1)</f>
        <v/>
      </c>
      <c r="Y370" s="108">
        <f>AVERAGE(Z370:AB370)</f>
        <v/>
      </c>
      <c r="Z370" s="108">
        <f>ABS(AL370-AL$1)</f>
        <v/>
      </c>
      <c r="AA370" s="108">
        <f>ABS(AM370-AM$1)</f>
        <v/>
      </c>
      <c r="AB370" s="108">
        <f>ABS(AN370-AN$1)</f>
        <v/>
      </c>
      <c r="AC370" s="108" t="n"/>
      <c r="AD370" s="108" t="n"/>
      <c r="AE370" s="108">
        <f>ABS(AQ$1-AQ370)</f>
        <v/>
      </c>
      <c r="AF370" s="108">
        <f>ABS(AR$1-AR370)</f>
        <v/>
      </c>
      <c r="AG370" s="108">
        <f>ABS(AS$1-AS370)</f>
        <v/>
      </c>
      <c r="AH370" s="108">
        <f>ABS(AT$1-AT370)</f>
        <v/>
      </c>
      <c r="AI370" s="108">
        <f>ABS(AU$1-AU370)</f>
        <v/>
      </c>
      <c r="AJ370" s="108">
        <f>(AV370-Driver!$K$179)/(Driver!$L$179-Driver!$K$179)</f>
        <v/>
      </c>
      <c r="AK370" s="108">
        <f>(AW370-Driver!$K$180)/(Driver!$L$180-Driver!$K$180)</f>
        <v/>
      </c>
      <c r="AL370" s="108">
        <f>(AX370-Driver!$K$181)/(Driver!$L$181-Driver!$K$181)</f>
        <v/>
      </c>
      <c r="AM370" s="108">
        <f>(AY370-Driver!$K$182)/(Driver!$L$182-Driver!$K$182)</f>
        <v/>
      </c>
      <c r="AN370" s="108">
        <f>(AZ370-Driver!$K$183)/(Driver!$L$183-Driver!$K$183)</f>
        <v/>
      </c>
      <c r="AO370" s="108" t="n"/>
      <c r="AP370" s="108" t="n"/>
      <c r="AQ370" s="108">
        <f>(BC370-Driver!$K$188)/(Driver!$L$188-Driver!$K$188)</f>
        <v/>
      </c>
      <c r="AR370" s="108">
        <f>MIN((BD370-Driver!$K$189)/(Driver!$L$189-Driver!$K$189),100%)</f>
        <v/>
      </c>
      <c r="AS370" s="108">
        <f>(BE370-Driver!$K$190)/(Driver!$L$190-Driver!$K$190)</f>
        <v/>
      </c>
      <c r="AT370" s="108">
        <f>(BF370-Driver!$K$191)/(Driver!$L$191-Driver!$K$191)</f>
        <v/>
      </c>
      <c r="AU370" s="108">
        <f>(BG370-Driver!$K$192)/(Driver!$L$192-Driver!$K$192)</f>
        <v/>
      </c>
      <c r="AV370" s="105">
        <f>IFERROR(BM370*BJ370^1/4,"")</f>
        <v/>
      </c>
      <c r="AW370" s="105">
        <f>IFERROR(SUM(AX370:AZ370),"")</f>
        <v/>
      </c>
      <c r="AX370" s="105">
        <f>IFERROR(BH370,"")</f>
        <v/>
      </c>
      <c r="AY370" s="105">
        <f>IFERROR(Driver!$K$19/Data!BH370/Data!BI370*Data!BK370*Data!BL370,"")</f>
        <v/>
      </c>
      <c r="AZ370" s="105">
        <f>IFERROR(BI370*BN370,"")</f>
        <v/>
      </c>
      <c r="BA370" s="105" t="n"/>
      <c r="BB370" s="105" t="n"/>
      <c r="BC370" s="105">
        <f>IFERROR(BI370*BN370*BK370/BJ370^(1/2),"")</f>
        <v/>
      </c>
      <c r="BD370" s="105">
        <f>IFERROR(BH370*BM370*BL370/BJ370/BK370,"")</f>
        <v/>
      </c>
      <c r="BE370" s="105">
        <f>IFERROR(MIN(BI370/BQ370/BP370/BO370/BH370,$BE$1),"")</f>
        <v/>
      </c>
      <c r="BF370" s="105">
        <f>IFERROR(BJ370*BO370*BP370/BK370,"")</f>
        <v/>
      </c>
      <c r="BG370" s="105">
        <f>IFERROR(1/BM370/BH370*BQ370,"")</f>
        <v/>
      </c>
      <c r="BH370" s="102">
        <f>MAX((CE370-Driver!$F$200)/(Driver!$G$200-Driver!$F$200)*$BI$1,1)</f>
        <v/>
      </c>
      <c r="BI370" s="102">
        <f>MAX($BI$1*(BY370-Driver!$F$201)/(Driver!$G$201-Driver!$F$201),1)</f>
        <v/>
      </c>
      <c r="BJ370" s="102">
        <f>(CB370-Driver!$F$206)/(Driver!$G$206-Driver!$F$206)*$BI$1</f>
        <v/>
      </c>
      <c r="BK370" s="102">
        <f>(CD370-Driver!$F$203)/(Driver!$G$203-Driver!$F$203)*$BI$1</f>
        <v/>
      </c>
      <c r="BL370" s="102">
        <f>MAX((CR370-Driver!$F$202)/(Driver!$G$202-Driver!$F$202)*$BI$1,1)</f>
        <v/>
      </c>
      <c r="BM370" s="102">
        <f>MAX((CH370-Driver!$F$204)/(Driver!$G$204-Driver!$F$204)*$BI$1,1)</f>
        <v/>
      </c>
      <c r="BN370" s="102">
        <f>(CI370-Driver!$F$205)/(Driver!$G$205-Driver!$F$205)*$BI$1</f>
        <v/>
      </c>
      <c r="BO370" s="102">
        <f>(CK370-Driver!$F$207)/(Driver!$G$207-Driver!$F$207)*$BI$1</f>
        <v/>
      </c>
      <c r="BP370" s="102">
        <f>(CM370-Driver!$F$208)/(Driver!$G$208-Driver!$F$208)*$BI$1</f>
        <v/>
      </c>
      <c r="BQ370" s="102">
        <f>(CL370-Driver!$F$209)/(Driver!$G$209-Driver!$F$209)*$BI$1</f>
        <v/>
      </c>
      <c r="BR370" s="40" t="inlineStr">
        <is>
          <t>21/22</t>
        </is>
      </c>
      <c r="BS370" s="10" t="inlineStr">
        <is>
          <t xml:space="preserve"> Black Crows</t>
        </is>
      </c>
      <c r="BT370" s="11" t="inlineStr">
        <is>
          <t xml:space="preserve"> Ferox Freebird</t>
        </is>
      </c>
      <c r="BU370" s="13" t="n">
        <v>170.1</v>
      </c>
      <c r="BV370" s="11" t="inlineStr">
        <is>
          <t xml:space="preserve"> Unisex</t>
        </is>
      </c>
      <c r="BW370" s="13" t="n">
        <v>170.1</v>
      </c>
      <c r="BX370" s="13" t="n">
        <v>168.7</v>
      </c>
      <c r="BY370" s="13" t="n">
        <v>122</v>
      </c>
      <c r="BZ370" s="13" t="n">
        <v>136</v>
      </c>
      <c r="CA370" s="13" t="n">
        <v>135</v>
      </c>
      <c r="CB370" s="13" t="n">
        <v>108</v>
      </c>
      <c r="CC370" s="13" t="n">
        <v>124</v>
      </c>
      <c r="CD370" s="13" t="n">
        <v>20.9</v>
      </c>
      <c r="CE370" s="13" t="n">
        <v>1727</v>
      </c>
      <c r="CF370" s="13" t="n">
        <v>1.14</v>
      </c>
      <c r="CG370" s="13" t="n">
        <v>1960</v>
      </c>
      <c r="CH370" s="13" t="n">
        <v>180</v>
      </c>
      <c r="CI370" s="13" t="n">
        <v>73</v>
      </c>
      <c r="CJ370" s="13" t="n">
        <v>39</v>
      </c>
      <c r="CK370" s="13" t="n">
        <v>200</v>
      </c>
      <c r="CL370" s="13" t="n">
        <v>36</v>
      </c>
      <c r="CM370" s="13" t="n">
        <v>271</v>
      </c>
      <c r="CN370" s="13" t="n">
        <v>0.908</v>
      </c>
      <c r="CO370" s="13" t="n">
        <v>190</v>
      </c>
      <c r="CP370" s="13" t="n">
        <v>141</v>
      </c>
      <c r="CQ370" s="13" t="n">
        <v>10</v>
      </c>
      <c r="CR370" s="13" t="n">
        <v>3</v>
      </c>
      <c r="CS370" s="13" t="n">
        <v>8.5</v>
      </c>
      <c r="CT370" s="11" t="inlineStr">
        <is>
          <t xml:space="preserve"> Freeski</t>
        </is>
      </c>
      <c r="CU370" s="11" t="inlineStr">
        <is>
          <t xml:space="preserve"> Powder</t>
        </is>
      </c>
      <c r="CV370" s="11" t="inlineStr">
        <is>
          <t xml:space="preserve"> Touring</t>
        </is>
      </c>
      <c r="CW370" s="13" t="n"/>
      <c r="CX370">
        <f>INDEX('Data_Price '!AG$2:AG$1266,MATCH(Data!$DN370,'Data_Price '!$AT$2:$AT$1266,0))</f>
        <v/>
      </c>
      <c r="CY370">
        <f>INDEX('Data_Price '!AH$2:AH$1266,MATCH(Data!$DN370,'Data_Price '!$AT$2:$AT$1266,0))</f>
        <v/>
      </c>
      <c r="CZ370">
        <f>INDEX('Data_Price '!AI$2:AI$1266,MATCH(Data!$DN370,'Data_Price '!$AT$2:$AT$1266,0))</f>
        <v/>
      </c>
      <c r="DA370">
        <f>INDEX('Data_Price '!AJ$2:AJ$1266,MATCH(Data!$DN370,'Data_Price '!$AT$2:$AT$1266,0))</f>
        <v/>
      </c>
      <c r="DB370">
        <f>INDEX('Data_Price '!AK$2:AK$1266,MATCH(Data!$DN370,'Data_Price '!$AT$2:$AT$1266,0))</f>
        <v/>
      </c>
      <c r="DC370">
        <f>INDEX('Data_Price '!AL$2:AL$1266,MATCH(Data!$DN370,'Data_Price '!$AT$2:$AT$1266,0))</f>
        <v/>
      </c>
      <c r="DD370">
        <f>INDEX('Data_Price '!AM$2:AM$1266,MATCH(Data!$DN370,'Data_Price '!$AT$2:$AT$1266,0))</f>
        <v/>
      </c>
      <c r="DE370">
        <f>INDEX('Data_Price '!AN$2:AN$1266,MATCH(Data!$DN370,'Data_Price '!$AT$2:$AT$1266,0))</f>
        <v/>
      </c>
      <c r="DF370">
        <f>INDEX('Data_Price '!AO$2:AO$1266,MATCH(Data!$DN370,'Data_Price '!$AT$2:$AT$1266,0))</f>
        <v/>
      </c>
      <c r="DG370">
        <f>INDEX('Data_Price '!AP$2:AP$1266,MATCH(Data!$DN370,'Data_Price '!$AT$2:$AT$1266,0))</f>
        <v/>
      </c>
      <c r="DH370">
        <f>INDEX('Data_Price '!AQ$2:AQ$1266,MATCH(Data!$DN370,'Data_Price '!$AT$2:$AT$1266,0))</f>
        <v/>
      </c>
      <c r="DI370">
        <f>INDEX('Data_Price '!AR$2:AR$1266,MATCH(Data!$DN370,'Data_Price '!$AT$2:$AT$1266,0))</f>
        <v/>
      </c>
      <c r="DJ370" s="138">
        <f>DA370</f>
        <v/>
      </c>
      <c r="DK370" s="138">
        <f>DE370</f>
        <v/>
      </c>
      <c r="DL370" s="138">
        <f>DI370</f>
        <v/>
      </c>
      <c r="DM370" s="303">
        <f>IF(LEFT(BT370,1)=" ",RIGHT(BT370,LEN(BT370)-1),BT370)</f>
        <v/>
      </c>
      <c r="DN370" s="138">
        <f>_xlfn.CONCAT(BS370,DM370,BU370,BV370)</f>
        <v/>
      </c>
      <c r="DO370" s="307" t="inlineStr">
        <is>
          <t>https://images.evo.com/imgp/250/164660/659377/black-crows-ferox-freebird-skis-2022-.jpg</t>
        </is>
      </c>
    </row>
    <row r="371" ht="15.6" customHeight="1" s="184">
      <c r="B371" s="303">
        <f t="array" ref="B371">IF(OR(ISERROR(K371:P371)),FALSE,TRUE)</f>
        <v/>
      </c>
      <c r="C371" s="60">
        <f>OR(BR371=Driver!$G$50,Data!BR290=Driver!$H$50)</f>
        <v/>
      </c>
      <c r="D371" s="60">
        <f>OR(BV371=Driver!$G$51,BV371=Driver!$H$51)</f>
        <v/>
      </c>
      <c r="E371" s="60">
        <f>AND(BX371&gt;Driver!$F$54,BX371&lt;Driver!$G$54)</f>
        <v/>
      </c>
      <c r="F371" s="60">
        <f>CL371&gt;Driver!$F$56</f>
        <v/>
      </c>
      <c r="G371" s="60">
        <f>AND(CB371&gt;Driver!$F$55,CB371&lt;Driver!$G$55)</f>
        <v/>
      </c>
      <c r="H371" s="60">
        <f>AND(B371:G371)</f>
        <v/>
      </c>
      <c r="I371" s="60">
        <f>COUNTIFS($H$9:$H$1273,TRUE,$BT$9:$BT$1273,BT371)</f>
        <v/>
      </c>
      <c r="J371" s="60">
        <f t="array" ref="J371">NOT(OR(($H$9:$H$1273=TRUE)*($I$9:$I$1273&gt;0)*($BT$9:$BT$1273=BT371)*($K$9:$K$1273&gt;K371)))</f>
        <v/>
      </c>
      <c r="K371" s="108">
        <f>IFERROR(1-AVERAGE(X371:Y371),"")</f>
        <v/>
      </c>
      <c r="L371" s="108">
        <f>1-X371</f>
        <v/>
      </c>
      <c r="M371" s="108">
        <f>1-Y371</f>
        <v/>
      </c>
      <c r="N371" s="108">
        <f>1-Z371</f>
        <v/>
      </c>
      <c r="O371" s="108">
        <f>1-AA371</f>
        <v/>
      </c>
      <c r="P371" s="108">
        <f>1-AB371</f>
        <v/>
      </c>
      <c r="Q371" s="108" t="n"/>
      <c r="R371" s="108" t="n"/>
      <c r="S371" s="108">
        <f>1-AE371</f>
        <v/>
      </c>
      <c r="T371" s="108">
        <f>1-AF371</f>
        <v/>
      </c>
      <c r="U371" s="108">
        <f>1-AG371</f>
        <v/>
      </c>
      <c r="V371" s="108">
        <f>1-AH371</f>
        <v/>
      </c>
      <c r="W371" s="108">
        <f>1-AI371</f>
        <v/>
      </c>
      <c r="X371" s="108">
        <f>ABS(AJ371-AJ$1)</f>
        <v/>
      </c>
      <c r="Y371" s="108">
        <f>AVERAGE(Z371:AB371)</f>
        <v/>
      </c>
      <c r="Z371" s="108">
        <f>ABS(AL371-AL$1)</f>
        <v/>
      </c>
      <c r="AA371" s="108">
        <f>ABS(AM371-AM$1)</f>
        <v/>
      </c>
      <c r="AB371" s="108">
        <f>ABS(AN371-AN$1)</f>
        <v/>
      </c>
      <c r="AC371" s="108" t="n"/>
      <c r="AD371" s="108" t="n"/>
      <c r="AE371" s="108">
        <f>ABS(AQ$1-AQ371)</f>
        <v/>
      </c>
      <c r="AF371" s="108">
        <f>ABS(AR$1-AR371)</f>
        <v/>
      </c>
      <c r="AG371" s="108">
        <f>ABS(AS$1-AS371)</f>
        <v/>
      </c>
      <c r="AH371" s="108">
        <f>ABS(AT$1-AT371)</f>
        <v/>
      </c>
      <c r="AI371" s="108">
        <f>ABS(AU$1-AU371)</f>
        <v/>
      </c>
      <c r="AJ371" s="108">
        <f>(AV371-Driver!$K$179)/(Driver!$L$179-Driver!$K$179)</f>
        <v/>
      </c>
      <c r="AK371" s="108">
        <f>(AW371-Driver!$K$180)/(Driver!$L$180-Driver!$K$180)</f>
        <v/>
      </c>
      <c r="AL371" s="108">
        <f>(AX371-Driver!$K$181)/(Driver!$L$181-Driver!$K$181)</f>
        <v/>
      </c>
      <c r="AM371" s="108">
        <f>(AY371-Driver!$K$182)/(Driver!$L$182-Driver!$K$182)</f>
        <v/>
      </c>
      <c r="AN371" s="108">
        <f>(AZ371-Driver!$K$183)/(Driver!$L$183-Driver!$K$183)</f>
        <v/>
      </c>
      <c r="AO371" s="108" t="n"/>
      <c r="AP371" s="108" t="n"/>
      <c r="AQ371" s="108">
        <f>(BC371-Driver!$K$188)/(Driver!$L$188-Driver!$K$188)</f>
        <v/>
      </c>
      <c r="AR371" s="108">
        <f>MIN((BD371-Driver!$K$189)/(Driver!$L$189-Driver!$K$189),100%)</f>
        <v/>
      </c>
      <c r="AS371" s="108">
        <f>(BE371-Driver!$K$190)/(Driver!$L$190-Driver!$K$190)</f>
        <v/>
      </c>
      <c r="AT371" s="108">
        <f>(BF371-Driver!$K$191)/(Driver!$L$191-Driver!$K$191)</f>
        <v/>
      </c>
      <c r="AU371" s="108">
        <f>(BG371-Driver!$K$192)/(Driver!$L$192-Driver!$K$192)</f>
        <v/>
      </c>
      <c r="AV371" s="105">
        <f>IFERROR(BM371*BJ371^1/4,"")</f>
        <v/>
      </c>
      <c r="AW371" s="105">
        <f>IFERROR(SUM(AX371:AZ371),"")</f>
        <v/>
      </c>
      <c r="AX371" s="105">
        <f>IFERROR(BH371,"")</f>
        <v/>
      </c>
      <c r="AY371" s="105">
        <f>IFERROR(Driver!$K$19/Data!BH371/Data!BI371*Data!BK371*Data!BL371,"")</f>
        <v/>
      </c>
      <c r="AZ371" s="105">
        <f>IFERROR(BI371*BN371,"")</f>
        <v/>
      </c>
      <c r="BA371" s="105" t="n"/>
      <c r="BB371" s="105" t="n"/>
      <c r="BC371" s="105">
        <f>IFERROR(BI371*BN371*BK371/BJ371^(1/2),"")</f>
        <v/>
      </c>
      <c r="BD371" s="105">
        <f>IFERROR(BH371*BM371*BL371/BJ371/BK371,"")</f>
        <v/>
      </c>
      <c r="BE371" s="105">
        <f>IFERROR(MIN(BI371/BQ371/BP371/BO371/BH371,$BE$1),"")</f>
        <v/>
      </c>
      <c r="BF371" s="105">
        <f>IFERROR(BJ371*BO371*BP371/BK371,"")</f>
        <v/>
      </c>
      <c r="BG371" s="105">
        <f>IFERROR(1/BM371/BH371*BQ371,"")</f>
        <v/>
      </c>
      <c r="BH371" s="102">
        <f>MAX((CE371-Driver!$F$200)/(Driver!$G$200-Driver!$F$200)*$BI$1,1)</f>
        <v/>
      </c>
      <c r="BI371" s="102">
        <f>MAX($BI$1*(BY371-Driver!$F$201)/(Driver!$G$201-Driver!$F$201),1)</f>
        <v/>
      </c>
      <c r="BJ371" s="102">
        <f>(CB371-Driver!$F$206)/(Driver!$G$206-Driver!$F$206)*$BI$1</f>
        <v/>
      </c>
      <c r="BK371" s="102">
        <f>(CD371-Driver!$F$203)/(Driver!$G$203-Driver!$F$203)*$BI$1</f>
        <v/>
      </c>
      <c r="BL371" s="102">
        <f>MAX((CR371-Driver!$F$202)/(Driver!$G$202-Driver!$F$202)*$BI$1,1)</f>
        <v/>
      </c>
      <c r="BM371" s="102">
        <f>MAX((CH371-Driver!$F$204)/(Driver!$G$204-Driver!$F$204)*$BI$1,1)</f>
        <v/>
      </c>
      <c r="BN371" s="102">
        <f>(CI371-Driver!$F$205)/(Driver!$G$205-Driver!$F$205)*$BI$1</f>
        <v/>
      </c>
      <c r="BO371" s="102">
        <f>(CK371-Driver!$F$207)/(Driver!$G$207-Driver!$F$207)*$BI$1</f>
        <v/>
      </c>
      <c r="BP371" s="102">
        <f>(CM371-Driver!$F$208)/(Driver!$G$208-Driver!$F$208)*$BI$1</f>
        <v/>
      </c>
      <c r="BQ371" s="102">
        <f>(CL371-Driver!$F$209)/(Driver!$G$209-Driver!$F$209)*$BI$1</f>
        <v/>
      </c>
      <c r="BR371" s="40" t="inlineStr">
        <is>
          <t>21/22</t>
        </is>
      </c>
      <c r="BS371" s="10" t="inlineStr">
        <is>
          <t xml:space="preserve"> Blizzard</t>
        </is>
      </c>
      <c r="BT371" s="11" t="inlineStr">
        <is>
          <t>Rustler 11</t>
        </is>
      </c>
      <c r="BU371" s="13" t="n">
        <v>172</v>
      </c>
      <c r="BV371" s="11" t="inlineStr">
        <is>
          <t xml:space="preserve"> Unisex</t>
        </is>
      </c>
      <c r="BW371" s="13" t="n">
        <v>172</v>
      </c>
      <c r="BX371" s="13" t="n">
        <v>170.8</v>
      </c>
      <c r="BY371" s="13" t="n">
        <v>103</v>
      </c>
      <c r="BZ371" s="13" t="n">
        <v>140</v>
      </c>
      <c r="CA371" s="13" t="n">
        <v>138</v>
      </c>
      <c r="CB371" s="13" t="n">
        <v>111</v>
      </c>
      <c r="CC371" s="13" t="n">
        <v>127</v>
      </c>
      <c r="CD371" s="13" t="n">
        <v>19.5</v>
      </c>
      <c r="CE371" s="13" t="n">
        <v>1985</v>
      </c>
      <c r="CF371" s="13" t="n">
        <v>1.03</v>
      </c>
      <c r="CG371" s="13" t="n">
        <v>2043</v>
      </c>
      <c r="CH371" s="13" t="n">
        <v>194</v>
      </c>
      <c r="CI371" s="13" t="n">
        <v>100</v>
      </c>
      <c r="CJ371" s="13" t="n">
        <v>63</v>
      </c>
      <c r="CK371" s="13" t="n">
        <v>391</v>
      </c>
      <c r="CL371" s="13" t="n">
        <v>24</v>
      </c>
      <c r="CM371" s="13" t="n">
        <v>284</v>
      </c>
      <c r="CN371" s="13" t="n">
        <v>0.382</v>
      </c>
      <c r="CO371" s="13" t="n">
        <v>161</v>
      </c>
      <c r="CP371" s="13" t="n">
        <v>144</v>
      </c>
      <c r="CQ371" s="13" t="n">
        <v>230</v>
      </c>
      <c r="CR371" s="13" t="n">
        <v>4</v>
      </c>
      <c r="CS371" s="13" t="n">
        <v>7.2</v>
      </c>
      <c r="CT371" s="11" t="inlineStr">
        <is>
          <t xml:space="preserve"> Powder</t>
        </is>
      </c>
      <c r="CU371" s="11" t="inlineStr">
        <is>
          <t xml:space="preserve"> Big Mountain</t>
        </is>
      </c>
      <c r="CV371" s="13" t="n"/>
      <c r="CW371" s="13" t="n"/>
      <c r="CX371">
        <f>INDEX('Data_Price '!AG$2:AG$1266,MATCH(Data!$DN371,'Data_Price '!$AT$2:$AT$1266,0))</f>
        <v/>
      </c>
      <c r="CY371">
        <f>INDEX('Data_Price '!AH$2:AH$1266,MATCH(Data!$DN371,'Data_Price '!$AT$2:$AT$1266,0))</f>
        <v/>
      </c>
      <c r="CZ371">
        <f>INDEX('Data_Price '!AI$2:AI$1266,MATCH(Data!$DN371,'Data_Price '!$AT$2:$AT$1266,0))</f>
        <v/>
      </c>
      <c r="DA371">
        <f>INDEX('Data_Price '!AJ$2:AJ$1266,MATCH(Data!$DN371,'Data_Price '!$AT$2:$AT$1266,0))</f>
        <v/>
      </c>
      <c r="DB371">
        <f>INDEX('Data_Price '!AK$2:AK$1266,MATCH(Data!$DN371,'Data_Price '!$AT$2:$AT$1266,0))</f>
        <v/>
      </c>
      <c r="DC371">
        <f>INDEX('Data_Price '!AL$2:AL$1266,MATCH(Data!$DN371,'Data_Price '!$AT$2:$AT$1266,0))</f>
        <v/>
      </c>
      <c r="DD371">
        <f>INDEX('Data_Price '!AM$2:AM$1266,MATCH(Data!$DN371,'Data_Price '!$AT$2:$AT$1266,0))</f>
        <v/>
      </c>
      <c r="DE371">
        <f>INDEX('Data_Price '!AN$2:AN$1266,MATCH(Data!$DN371,'Data_Price '!$AT$2:$AT$1266,0))</f>
        <v/>
      </c>
      <c r="DF371">
        <f>INDEX('Data_Price '!AO$2:AO$1266,MATCH(Data!$DN371,'Data_Price '!$AT$2:$AT$1266,0))</f>
        <v/>
      </c>
      <c r="DG371">
        <f>INDEX('Data_Price '!AP$2:AP$1266,MATCH(Data!$DN371,'Data_Price '!$AT$2:$AT$1266,0))</f>
        <v/>
      </c>
      <c r="DH371">
        <f>INDEX('Data_Price '!AQ$2:AQ$1266,MATCH(Data!$DN371,'Data_Price '!$AT$2:$AT$1266,0))</f>
        <v/>
      </c>
      <c r="DI371">
        <f>INDEX('Data_Price '!AR$2:AR$1266,MATCH(Data!$DN371,'Data_Price '!$AT$2:$AT$1266,0))</f>
        <v/>
      </c>
      <c r="DJ371" s="138">
        <f>DA371</f>
        <v/>
      </c>
      <c r="DK371" s="138">
        <f>DE371</f>
        <v/>
      </c>
      <c r="DL371" s="138">
        <f>DI371</f>
        <v/>
      </c>
      <c r="DM371" s="303">
        <f>IF(LEFT(BT371,1)=" ",RIGHT(BT371,LEN(BT371)-1),BT371)</f>
        <v/>
      </c>
      <c r="DN371" s="138">
        <f>_xlfn.CONCAT(BS371,DM371,BU371,BV371)</f>
        <v/>
      </c>
      <c r="DO371" s="307" t="inlineStr">
        <is>
          <t>https://images.evo.com/imgp/250/216621/902900/blizzard-rustler-11-skis-2023-.jpg</t>
        </is>
      </c>
    </row>
    <row r="372" ht="15.6" customHeight="1" s="184">
      <c r="B372" s="303">
        <f t="array" ref="B372">IF(OR(ISERROR(K372:P372)),FALSE,TRUE)</f>
        <v/>
      </c>
      <c r="C372" s="60">
        <f>OR(BR372=Driver!$G$50,Data!BR702=Driver!$H$50)</f>
        <v/>
      </c>
      <c r="D372" s="60">
        <f>OR(BV372=Driver!$G$51,BV372=Driver!$H$51)</f>
        <v/>
      </c>
      <c r="E372" s="60">
        <f>AND(BX372&gt;Driver!$F$54,BX372&lt;Driver!$G$54)</f>
        <v/>
      </c>
      <c r="F372" s="60">
        <f>CL372&gt;Driver!$F$56</f>
        <v/>
      </c>
      <c r="G372" s="60">
        <f>AND(CB372&gt;Driver!$F$55,CB372&lt;Driver!$G$55)</f>
        <v/>
      </c>
      <c r="H372" s="60">
        <f>AND(B372:G372)</f>
        <v/>
      </c>
      <c r="I372" s="60">
        <f>COUNTIFS($H$9:$H$1273,TRUE,$BT$9:$BT$1273,BT372)</f>
        <v/>
      </c>
      <c r="J372" s="60">
        <f t="array" ref="J372">NOT(OR(($H$9:$H$1273=TRUE)*($I$9:$I$1273&gt;0)*($BT$9:$BT$1273=BT372)*($K$9:$K$1273&gt;K372)))</f>
        <v/>
      </c>
      <c r="K372" s="108">
        <f>IFERROR(1-AVERAGE(X372:Y372),"")</f>
        <v/>
      </c>
      <c r="L372" s="108">
        <f>1-X372</f>
        <v/>
      </c>
      <c r="M372" s="108">
        <f>1-Y372</f>
        <v/>
      </c>
      <c r="N372" s="108">
        <f>1-Z372</f>
        <v/>
      </c>
      <c r="O372" s="108">
        <f>1-AA372</f>
        <v/>
      </c>
      <c r="P372" s="108">
        <f>1-AB372</f>
        <v/>
      </c>
      <c r="Q372" s="108" t="n"/>
      <c r="R372" s="108" t="n"/>
      <c r="S372" s="108">
        <f>1-AE372</f>
        <v/>
      </c>
      <c r="T372" s="108">
        <f>1-AF372</f>
        <v/>
      </c>
      <c r="U372" s="108">
        <f>1-AG372</f>
        <v/>
      </c>
      <c r="V372" s="108">
        <f>1-AH372</f>
        <v/>
      </c>
      <c r="W372" s="108">
        <f>1-AI372</f>
        <v/>
      </c>
      <c r="X372" s="108">
        <f>ABS(AJ372-AJ$1)</f>
        <v/>
      </c>
      <c r="Y372" s="108">
        <f>AVERAGE(Z372:AB372)</f>
        <v/>
      </c>
      <c r="Z372" s="108">
        <f>ABS(AL372-AL$1)</f>
        <v/>
      </c>
      <c r="AA372" s="108">
        <f>ABS(AM372-AM$1)</f>
        <v/>
      </c>
      <c r="AB372" s="108">
        <f>ABS(AN372-AN$1)</f>
        <v/>
      </c>
      <c r="AC372" s="108" t="n"/>
      <c r="AD372" s="108" t="n"/>
      <c r="AE372" s="108">
        <f>ABS(AQ$1-AQ372)</f>
        <v/>
      </c>
      <c r="AF372" s="108">
        <f>ABS(AR$1-AR372)</f>
        <v/>
      </c>
      <c r="AG372" s="108">
        <f>ABS(AS$1-AS372)</f>
        <v/>
      </c>
      <c r="AH372" s="108">
        <f>ABS(AT$1-AT372)</f>
        <v/>
      </c>
      <c r="AI372" s="108">
        <f>ABS(AU$1-AU372)</f>
        <v/>
      </c>
      <c r="AJ372" s="108">
        <f>(AV372-Driver!$K$179)/(Driver!$L$179-Driver!$K$179)</f>
        <v/>
      </c>
      <c r="AK372" s="108">
        <f>(AW372-Driver!$K$180)/(Driver!$L$180-Driver!$K$180)</f>
        <v/>
      </c>
      <c r="AL372" s="108">
        <f>(AX372-Driver!$K$181)/(Driver!$L$181-Driver!$K$181)</f>
        <v/>
      </c>
      <c r="AM372" s="108">
        <f>(AY372-Driver!$K$182)/(Driver!$L$182-Driver!$K$182)</f>
        <v/>
      </c>
      <c r="AN372" s="108">
        <f>(AZ372-Driver!$K$183)/(Driver!$L$183-Driver!$K$183)</f>
        <v/>
      </c>
      <c r="AO372" s="108" t="n"/>
      <c r="AP372" s="108" t="n"/>
      <c r="AQ372" s="108">
        <f>(BC372-Driver!$K$188)/(Driver!$L$188-Driver!$K$188)</f>
        <v/>
      </c>
      <c r="AR372" s="108">
        <f>MIN((BD372-Driver!$K$189)/(Driver!$L$189-Driver!$K$189),100%)</f>
        <v/>
      </c>
      <c r="AS372" s="108">
        <f>(BE372-Driver!$K$190)/(Driver!$L$190-Driver!$K$190)</f>
        <v/>
      </c>
      <c r="AT372" s="108">
        <f>(BF372-Driver!$K$191)/(Driver!$L$191-Driver!$K$191)</f>
        <v/>
      </c>
      <c r="AU372" s="108">
        <f>(BG372-Driver!$K$192)/(Driver!$L$192-Driver!$K$192)</f>
        <v/>
      </c>
      <c r="AV372" s="105">
        <f>IFERROR(BM372*BJ372^1/4,"")</f>
        <v/>
      </c>
      <c r="AW372" s="105">
        <f>IFERROR(SUM(AX372:AZ372),"")</f>
        <v/>
      </c>
      <c r="AX372" s="105">
        <f>IFERROR(BH372,"")</f>
        <v/>
      </c>
      <c r="AY372" s="105">
        <f>IFERROR(Driver!$K$19/Data!BH372/Data!BI372*Data!BK372*Data!BL372,"")</f>
        <v/>
      </c>
      <c r="AZ372" s="105">
        <f>IFERROR(BI372*BN372,"")</f>
        <v/>
      </c>
      <c r="BA372" s="105" t="n"/>
      <c r="BB372" s="105" t="n"/>
      <c r="BC372" s="105">
        <f>IFERROR(BI372*BN372*BK372/BJ372^(1/2),"")</f>
        <v/>
      </c>
      <c r="BD372" s="105">
        <f>IFERROR(BH372*BM372*BL372/BJ372/BK372,"")</f>
        <v/>
      </c>
      <c r="BE372" s="105">
        <f>IFERROR(MIN(BI372/BQ372/BP372/BO372/BH372,$BE$1),"")</f>
        <v/>
      </c>
      <c r="BF372" s="105">
        <f>IFERROR(BJ372*BO372*BP372/BK372,"")</f>
        <v/>
      </c>
      <c r="BG372" s="105">
        <f>IFERROR(1/BM372/BH372*BQ372,"")</f>
        <v/>
      </c>
      <c r="BH372" s="102">
        <f>MAX((CE372-Driver!$F$200)/(Driver!$G$200-Driver!$F$200)*$BI$1,1)</f>
        <v/>
      </c>
      <c r="BI372" s="102">
        <f>MAX($BI$1*(BY372-Driver!$F$201)/(Driver!$G$201-Driver!$F$201),1)</f>
        <v/>
      </c>
      <c r="BJ372" s="102">
        <f>(CB372-Driver!$F$206)/(Driver!$G$206-Driver!$F$206)*$BI$1</f>
        <v/>
      </c>
      <c r="BK372" s="102">
        <f>(CD372-Driver!$F$203)/(Driver!$G$203-Driver!$F$203)*$BI$1</f>
        <v/>
      </c>
      <c r="BL372" s="102">
        <f>MAX((CR372-Driver!$F$202)/(Driver!$G$202-Driver!$F$202)*$BI$1,1)</f>
        <v/>
      </c>
      <c r="BM372" s="102">
        <f>MAX((CH372-Driver!$F$204)/(Driver!$G$204-Driver!$F$204)*$BI$1,1)</f>
        <v/>
      </c>
      <c r="BN372" s="102">
        <f>(CI372-Driver!$F$205)/(Driver!$G$205-Driver!$F$205)*$BI$1</f>
        <v/>
      </c>
      <c r="BO372" s="102">
        <f>(CK372-Driver!$F$207)/(Driver!$G$207-Driver!$F$207)*$BI$1</f>
        <v/>
      </c>
      <c r="BP372" s="102">
        <f>(CM372-Driver!$F$208)/(Driver!$G$208-Driver!$F$208)*$BI$1</f>
        <v/>
      </c>
      <c r="BQ372" s="102">
        <f>(CL372-Driver!$F$209)/(Driver!$G$209-Driver!$F$209)*$BI$1</f>
        <v/>
      </c>
      <c r="BR372" s="40" t="inlineStr">
        <is>
          <t>21/22</t>
        </is>
      </c>
      <c r="BS372" s="10" t="inlineStr">
        <is>
          <t xml:space="preserve"> J Skis</t>
        </is>
      </c>
      <c r="BT372" s="11" t="inlineStr">
        <is>
          <t xml:space="preserve"> The Whipit</t>
        </is>
      </c>
      <c r="BU372" s="13" t="n">
        <v>178</v>
      </c>
      <c r="BV372" s="11" t="inlineStr">
        <is>
          <t xml:space="preserve"> Unisex</t>
        </is>
      </c>
      <c r="BW372" s="13" t="n">
        <v>178</v>
      </c>
      <c r="BX372" s="13" t="n">
        <v>175.6</v>
      </c>
      <c r="BY372" s="13" t="n">
        <v>122</v>
      </c>
      <c r="BZ372" s="13" t="n">
        <v>147</v>
      </c>
      <c r="CA372" s="13" t="n">
        <v>113</v>
      </c>
      <c r="CB372" s="13" t="n">
        <v>89</v>
      </c>
      <c r="CC372" s="13" t="n">
        <v>110</v>
      </c>
      <c r="CD372" s="13" t="n">
        <v>21.4</v>
      </c>
      <c r="CE372" s="13" t="n">
        <v>1856</v>
      </c>
      <c r="CF372" s="13" t="n">
        <v>0.92</v>
      </c>
      <c r="CG372" s="13" t="n">
        <v>1716</v>
      </c>
      <c r="CH372" s="13" t="n">
        <v>194</v>
      </c>
      <c r="CI372" s="13" t="n">
        <v>79</v>
      </c>
      <c r="CJ372" s="13" t="n">
        <v>50</v>
      </c>
      <c r="CK372" s="13" t="n">
        <v>266</v>
      </c>
      <c r="CL372" s="13" t="n">
        <v>49</v>
      </c>
      <c r="CM372" s="13" t="n">
        <v>271</v>
      </c>
      <c r="CN372" s="13" t="n">
        <v>0.977</v>
      </c>
      <c r="CO372" s="13" t="n">
        <v>136</v>
      </c>
      <c r="CP372" s="13" t="n">
        <v>148</v>
      </c>
      <c r="CQ372" s="13" t="n">
        <v>130</v>
      </c>
      <c r="CR372" s="13" t="n">
        <v>4</v>
      </c>
      <c r="CS372" s="13" t="n">
        <v>0.3</v>
      </c>
      <c r="CT372" s="11" t="inlineStr">
        <is>
          <t xml:space="preserve"> Freeski</t>
        </is>
      </c>
      <c r="CU372" s="13" t="n"/>
      <c r="CV372" s="13" t="n"/>
      <c r="CW372" s="13" t="n"/>
      <c r="CX372">
        <f>INDEX('Data_Price '!AG$2:AG$1266,MATCH(Data!$DN372,'Data_Price '!$AT$2:$AT$1266,0))</f>
        <v/>
      </c>
      <c r="CY372">
        <f>INDEX('Data_Price '!AH$2:AH$1266,MATCH(Data!$DN372,'Data_Price '!$AT$2:$AT$1266,0))</f>
        <v/>
      </c>
      <c r="CZ372">
        <f>INDEX('Data_Price '!AI$2:AI$1266,MATCH(Data!$DN372,'Data_Price '!$AT$2:$AT$1266,0))</f>
        <v/>
      </c>
      <c r="DA372">
        <f>INDEX('Data_Price '!AJ$2:AJ$1266,MATCH(Data!$DN372,'Data_Price '!$AT$2:$AT$1266,0))</f>
        <v/>
      </c>
      <c r="DB372">
        <f>INDEX('Data_Price '!AK$2:AK$1266,MATCH(Data!$DN372,'Data_Price '!$AT$2:$AT$1266,0))</f>
        <v/>
      </c>
      <c r="DC372">
        <f>INDEX('Data_Price '!AL$2:AL$1266,MATCH(Data!$DN372,'Data_Price '!$AT$2:$AT$1266,0))</f>
        <v/>
      </c>
      <c r="DD372">
        <f>INDEX('Data_Price '!AM$2:AM$1266,MATCH(Data!$DN372,'Data_Price '!$AT$2:$AT$1266,0))</f>
        <v/>
      </c>
      <c r="DE372">
        <f>INDEX('Data_Price '!AN$2:AN$1266,MATCH(Data!$DN372,'Data_Price '!$AT$2:$AT$1266,0))</f>
        <v/>
      </c>
      <c r="DF372">
        <f>INDEX('Data_Price '!AO$2:AO$1266,MATCH(Data!$DN372,'Data_Price '!$AT$2:$AT$1266,0))</f>
        <v/>
      </c>
      <c r="DG372">
        <f>INDEX('Data_Price '!AP$2:AP$1266,MATCH(Data!$DN372,'Data_Price '!$AT$2:$AT$1266,0))</f>
        <v/>
      </c>
      <c r="DH372">
        <f>INDEX('Data_Price '!AQ$2:AQ$1266,MATCH(Data!$DN372,'Data_Price '!$AT$2:$AT$1266,0))</f>
        <v/>
      </c>
      <c r="DI372">
        <f>INDEX('Data_Price '!AR$2:AR$1266,MATCH(Data!$DN372,'Data_Price '!$AT$2:$AT$1266,0))</f>
        <v/>
      </c>
      <c r="DJ372" s="138">
        <f>DA372</f>
        <v/>
      </c>
      <c r="DK372" s="138">
        <f>DE372</f>
        <v/>
      </c>
      <c r="DL372" s="138">
        <f>DI372</f>
        <v/>
      </c>
      <c r="DM372" s="303">
        <f>IF(LEFT(BT372,1)=" ",RIGHT(BT372,LEN(BT372)-1),BT372)</f>
        <v/>
      </c>
      <c r="DN372" s="138">
        <f>_xlfn.CONCAT(BS372,DM372,BU372,BV372)</f>
        <v/>
      </c>
      <c r="DO372" s="307" t="n"/>
    </row>
    <row r="373" ht="15.6" customHeight="1" s="184">
      <c r="B373" s="303">
        <f t="array" ref="B373">IF(OR(ISERROR(K373:P373)),FALSE,TRUE)</f>
        <v/>
      </c>
      <c r="C373" s="60">
        <f>OR(BR373=Driver!$G$50,Data!BR570=Driver!$H$50)</f>
        <v/>
      </c>
      <c r="D373" s="60">
        <f>OR(BV373=Driver!$G$51,BV373=Driver!$H$51)</f>
        <v/>
      </c>
      <c r="E373" s="60">
        <f>AND(BX373&gt;Driver!$F$54,BX373&lt;Driver!$G$54)</f>
        <v/>
      </c>
      <c r="F373" s="60">
        <f>CL373&gt;Driver!$F$56</f>
        <v/>
      </c>
      <c r="G373" s="60">
        <f>AND(CB373&gt;Driver!$F$55,CB373&lt;Driver!$G$55)</f>
        <v/>
      </c>
      <c r="H373" s="60">
        <f>AND(B373:G373)</f>
        <v/>
      </c>
      <c r="I373" s="60">
        <f>COUNTIFS($H$9:$H$1273,TRUE,$BT$9:$BT$1273,BT373)</f>
        <v/>
      </c>
      <c r="J373" s="60">
        <f t="array" ref="J373">NOT(OR(($H$9:$H$1273=TRUE)*($I$9:$I$1273&gt;0)*($BT$9:$BT$1273=BT373)*($K$9:$K$1273&gt;K373)))</f>
        <v/>
      </c>
      <c r="K373" s="108">
        <f>IFERROR(1-AVERAGE(X373:Y373),"")</f>
        <v/>
      </c>
      <c r="L373" s="108">
        <f>1-X373</f>
        <v/>
      </c>
      <c r="M373" s="108">
        <f>1-Y373</f>
        <v/>
      </c>
      <c r="N373" s="108">
        <f>1-Z373</f>
        <v/>
      </c>
      <c r="O373" s="108">
        <f>1-AA373</f>
        <v/>
      </c>
      <c r="P373" s="108">
        <f>1-AB373</f>
        <v/>
      </c>
      <c r="Q373" s="108" t="n"/>
      <c r="R373" s="108" t="n"/>
      <c r="S373" s="108">
        <f>1-AE373</f>
        <v/>
      </c>
      <c r="T373" s="108">
        <f>1-AF373</f>
        <v/>
      </c>
      <c r="U373" s="108">
        <f>1-AG373</f>
        <v/>
      </c>
      <c r="V373" s="108">
        <f>1-AH373</f>
        <v/>
      </c>
      <c r="W373" s="108">
        <f>1-AI373</f>
        <v/>
      </c>
      <c r="X373" s="108">
        <f>ABS(AJ373-AJ$1)</f>
        <v/>
      </c>
      <c r="Y373" s="108">
        <f>AVERAGE(Z373:AB373)</f>
        <v/>
      </c>
      <c r="Z373" s="108">
        <f>ABS(AL373-AL$1)</f>
        <v/>
      </c>
      <c r="AA373" s="108">
        <f>ABS(AM373-AM$1)</f>
        <v/>
      </c>
      <c r="AB373" s="108">
        <f>ABS(AN373-AN$1)</f>
        <v/>
      </c>
      <c r="AC373" s="108" t="n"/>
      <c r="AD373" s="108" t="n"/>
      <c r="AE373" s="108">
        <f>ABS(AQ$1-AQ373)</f>
        <v/>
      </c>
      <c r="AF373" s="108">
        <f>ABS(AR$1-AR373)</f>
        <v/>
      </c>
      <c r="AG373" s="108">
        <f>ABS(AS$1-AS373)</f>
        <v/>
      </c>
      <c r="AH373" s="108">
        <f>ABS(AT$1-AT373)</f>
        <v/>
      </c>
      <c r="AI373" s="108">
        <f>ABS(AU$1-AU373)</f>
        <v/>
      </c>
      <c r="AJ373" s="108">
        <f>(AV373-Driver!$K$179)/(Driver!$L$179-Driver!$K$179)</f>
        <v/>
      </c>
      <c r="AK373" s="108">
        <f>(AW373-Driver!$K$180)/(Driver!$L$180-Driver!$K$180)</f>
        <v/>
      </c>
      <c r="AL373" s="108">
        <f>(AX373-Driver!$K$181)/(Driver!$L$181-Driver!$K$181)</f>
        <v/>
      </c>
      <c r="AM373" s="108">
        <f>(AY373-Driver!$K$182)/(Driver!$L$182-Driver!$K$182)</f>
        <v/>
      </c>
      <c r="AN373" s="108">
        <f>(AZ373-Driver!$K$183)/(Driver!$L$183-Driver!$K$183)</f>
        <v/>
      </c>
      <c r="AO373" s="108" t="n"/>
      <c r="AP373" s="108" t="n"/>
      <c r="AQ373" s="108">
        <f>(BC373-Driver!$K$188)/(Driver!$L$188-Driver!$K$188)</f>
        <v/>
      </c>
      <c r="AR373" s="108">
        <f>MIN((BD373-Driver!$K$189)/(Driver!$L$189-Driver!$K$189),100%)</f>
        <v/>
      </c>
      <c r="AS373" s="108">
        <f>(BE373-Driver!$K$190)/(Driver!$L$190-Driver!$K$190)</f>
        <v/>
      </c>
      <c r="AT373" s="108">
        <f>(BF373-Driver!$K$191)/(Driver!$L$191-Driver!$K$191)</f>
        <v/>
      </c>
      <c r="AU373" s="108">
        <f>(BG373-Driver!$K$192)/(Driver!$L$192-Driver!$K$192)</f>
        <v/>
      </c>
      <c r="AV373" s="105">
        <f>IFERROR(BM373*BJ373^1/4,"")</f>
        <v/>
      </c>
      <c r="AW373" s="105">
        <f>IFERROR(SUM(AX373:AZ373),"")</f>
        <v/>
      </c>
      <c r="AX373" s="105">
        <f>IFERROR(BH373,"")</f>
        <v/>
      </c>
      <c r="AY373" s="105">
        <f>IFERROR(Driver!$K$19/Data!BH373/Data!BI373*Data!BK373*Data!BL373,"")</f>
        <v/>
      </c>
      <c r="AZ373" s="105">
        <f>IFERROR(BI373*BN373,"")</f>
        <v/>
      </c>
      <c r="BA373" s="105" t="n"/>
      <c r="BB373" s="105" t="n"/>
      <c r="BC373" s="105">
        <f>IFERROR(BI373*BN373*BK373/BJ373^(1/2),"")</f>
        <v/>
      </c>
      <c r="BD373" s="105">
        <f>IFERROR(BH373*BM373*BL373/BJ373/BK373,"")</f>
        <v/>
      </c>
      <c r="BE373" s="105">
        <f>IFERROR(MIN(BI373/BQ373/BP373/BO373/BH373,$BE$1),"")</f>
        <v/>
      </c>
      <c r="BF373" s="105">
        <f>IFERROR(BJ373*BO373*BP373/BK373,"")</f>
        <v/>
      </c>
      <c r="BG373" s="105">
        <f>IFERROR(1/BM373/BH373*BQ373,"")</f>
        <v/>
      </c>
      <c r="BH373" s="102">
        <f>MAX((CE373-Driver!$F$200)/(Driver!$G$200-Driver!$F$200)*$BI$1,1)</f>
        <v/>
      </c>
      <c r="BI373" s="102">
        <f>MAX($BI$1*(BY373-Driver!$F$201)/(Driver!$G$201-Driver!$F$201),1)</f>
        <v/>
      </c>
      <c r="BJ373" s="102">
        <f>(CB373-Driver!$F$206)/(Driver!$G$206-Driver!$F$206)*$BI$1</f>
        <v/>
      </c>
      <c r="BK373" s="102">
        <f>(CD373-Driver!$F$203)/(Driver!$G$203-Driver!$F$203)*$BI$1</f>
        <v/>
      </c>
      <c r="BL373" s="102">
        <f>MAX((CR373-Driver!$F$202)/(Driver!$G$202-Driver!$F$202)*$BI$1,1)</f>
        <v/>
      </c>
      <c r="BM373" s="102">
        <f>MAX((CH373-Driver!$F$204)/(Driver!$G$204-Driver!$F$204)*$BI$1,1)</f>
        <v/>
      </c>
      <c r="BN373" s="102">
        <f>(CI373-Driver!$F$205)/(Driver!$G$205-Driver!$F$205)*$BI$1</f>
        <v/>
      </c>
      <c r="BO373" s="102">
        <f>(CK373-Driver!$F$207)/(Driver!$G$207-Driver!$F$207)*$BI$1</f>
        <v/>
      </c>
      <c r="BP373" s="102">
        <f>(CM373-Driver!$F$208)/(Driver!$G$208-Driver!$F$208)*$BI$1</f>
        <v/>
      </c>
      <c r="BQ373" s="102">
        <f>(CL373-Driver!$F$209)/(Driver!$G$209-Driver!$F$209)*$BI$1</f>
        <v/>
      </c>
      <c r="BR373" s="40" t="inlineStr">
        <is>
          <t>21/22</t>
        </is>
      </c>
      <c r="BS373" s="10" t="inlineStr">
        <is>
          <t xml:space="preserve"> Fischer</t>
        </is>
      </c>
      <c r="BT373" s="11" t="inlineStr">
        <is>
          <t>Ranger 115 FR Big Stix</t>
        </is>
      </c>
      <c r="BU373" s="13" t="n">
        <v>178</v>
      </c>
      <c r="BV373" s="11" t="inlineStr">
        <is>
          <t xml:space="preserve"> Unisex</t>
        </is>
      </c>
      <c r="BW373" s="13" t="n">
        <v>178</v>
      </c>
      <c r="BX373" s="13" t="n">
        <v>179</v>
      </c>
      <c r="BY373" s="13" t="n">
        <v>130</v>
      </c>
      <c r="BZ373" s="13" t="n">
        <v>148</v>
      </c>
      <c r="CA373" s="13" t="n">
        <v>140</v>
      </c>
      <c r="CB373" s="13" t="n">
        <v>111</v>
      </c>
      <c r="CC373" s="13" t="n">
        <v>130</v>
      </c>
      <c r="CD373" s="13" t="n">
        <v>19</v>
      </c>
      <c r="CE373" s="13" t="n">
        <v>1998</v>
      </c>
      <c r="CF373" s="13" t="n">
        <v>1.08</v>
      </c>
      <c r="CG373" s="13" t="n">
        <v>2157</v>
      </c>
      <c r="CH373" s="13" t="n">
        <v>203</v>
      </c>
      <c r="CI373" s="13" t="n">
        <v>91</v>
      </c>
      <c r="CJ373" s="13" t="n">
        <v>46</v>
      </c>
      <c r="CK373" s="13" t="n">
        <v>316</v>
      </c>
      <c r="CL373" s="13" t="n">
        <v>31</v>
      </c>
      <c r="CM373" s="13" t="n">
        <v>179</v>
      </c>
      <c r="CN373" s="13" t="n">
        <v>0.674</v>
      </c>
      <c r="CO373" s="13" t="n">
        <v>149</v>
      </c>
      <c r="CP373" s="13" t="n">
        <v>160</v>
      </c>
      <c r="CQ373" s="13" t="n">
        <v>167</v>
      </c>
      <c r="CR373" s="13" t="n">
        <v>9</v>
      </c>
      <c r="CS373" s="13" t="n">
        <v>9.5</v>
      </c>
      <c r="CT373" s="11" t="inlineStr">
        <is>
          <t xml:space="preserve"> Powder</t>
        </is>
      </c>
      <c r="CU373" s="11" t="inlineStr">
        <is>
          <t xml:space="preserve"> Touring</t>
        </is>
      </c>
      <c r="CV373" s="13" t="n"/>
      <c r="CW373" s="13" t="n"/>
      <c r="CX373">
        <f>INDEX('Data_Price '!AG$2:AG$1266,MATCH(Data!$DN373,'Data_Price '!$AT$2:$AT$1266,0))</f>
        <v/>
      </c>
      <c r="CY373">
        <f>INDEX('Data_Price '!AH$2:AH$1266,MATCH(Data!$DN373,'Data_Price '!$AT$2:$AT$1266,0))</f>
        <v/>
      </c>
      <c r="CZ373">
        <f>INDEX('Data_Price '!AI$2:AI$1266,MATCH(Data!$DN373,'Data_Price '!$AT$2:$AT$1266,0))</f>
        <v/>
      </c>
      <c r="DA373">
        <f>INDEX('Data_Price '!AJ$2:AJ$1266,MATCH(Data!$DN373,'Data_Price '!$AT$2:$AT$1266,0))</f>
        <v/>
      </c>
      <c r="DB373">
        <f>INDEX('Data_Price '!AK$2:AK$1266,MATCH(Data!$DN373,'Data_Price '!$AT$2:$AT$1266,0))</f>
        <v/>
      </c>
      <c r="DC373">
        <f>INDEX('Data_Price '!AL$2:AL$1266,MATCH(Data!$DN373,'Data_Price '!$AT$2:$AT$1266,0))</f>
        <v/>
      </c>
      <c r="DD373">
        <f>INDEX('Data_Price '!AM$2:AM$1266,MATCH(Data!$DN373,'Data_Price '!$AT$2:$AT$1266,0))</f>
        <v/>
      </c>
      <c r="DE373">
        <f>INDEX('Data_Price '!AN$2:AN$1266,MATCH(Data!$DN373,'Data_Price '!$AT$2:$AT$1266,0))</f>
        <v/>
      </c>
      <c r="DF373">
        <f>INDEX('Data_Price '!AO$2:AO$1266,MATCH(Data!$DN373,'Data_Price '!$AT$2:$AT$1266,0))</f>
        <v/>
      </c>
      <c r="DG373">
        <f>INDEX('Data_Price '!AP$2:AP$1266,MATCH(Data!$DN373,'Data_Price '!$AT$2:$AT$1266,0))</f>
        <v/>
      </c>
      <c r="DH373">
        <f>INDEX('Data_Price '!AQ$2:AQ$1266,MATCH(Data!$DN373,'Data_Price '!$AT$2:$AT$1266,0))</f>
        <v/>
      </c>
      <c r="DI373">
        <f>INDEX('Data_Price '!AR$2:AR$1266,MATCH(Data!$DN373,'Data_Price '!$AT$2:$AT$1266,0))</f>
        <v/>
      </c>
      <c r="DJ373" s="138">
        <f>DA373</f>
        <v/>
      </c>
      <c r="DK373" s="138">
        <f>DE373</f>
        <v/>
      </c>
      <c r="DL373" s="138">
        <f>DI373</f>
        <v/>
      </c>
      <c r="DM373" s="303">
        <f>IF(LEFT(BT373,1)=" ",RIGHT(BT373,LEN(BT373)-1),BT373)</f>
        <v/>
      </c>
      <c r="DN373" s="138">
        <f>_xlfn.CONCAT(BS373,DM373,BU373,BV373)</f>
        <v/>
      </c>
      <c r="DO373" s="307" t="n"/>
    </row>
    <row r="374" ht="15.6" customHeight="1" s="184">
      <c r="B374" s="303">
        <f t="array" ref="B374">IF(OR(ISERROR(K374:P374)),FALSE,TRUE)</f>
        <v/>
      </c>
      <c r="C374" s="60">
        <f>OR(BR374=Driver!$G$50,Data!BR924=Driver!$H$50)</f>
        <v/>
      </c>
      <c r="D374" s="60">
        <f>OR(BV374=Driver!$G$51,BV374=Driver!$H$51)</f>
        <v/>
      </c>
      <c r="E374" s="60">
        <f>AND(BX374&gt;Driver!$F$54,BX374&lt;Driver!$G$54)</f>
        <v/>
      </c>
      <c r="F374" s="60">
        <f>CL374&gt;Driver!$F$56</f>
        <v/>
      </c>
      <c r="G374" s="60">
        <f>AND(CB374&gt;Driver!$F$55,CB374&lt;Driver!$G$55)</f>
        <v/>
      </c>
      <c r="H374" s="60">
        <f>AND(B374:G374)</f>
        <v/>
      </c>
      <c r="I374" s="60">
        <f>COUNTIFS($H$9:$H$1273,TRUE,$BT$9:$BT$1273,BT374)</f>
        <v/>
      </c>
      <c r="J374" s="60">
        <f t="array" ref="J374">NOT(OR(($H$9:$H$1273=TRUE)*($I$9:$I$1273&gt;0)*($BT$9:$BT$1273=BT374)*($K$9:$K$1273&gt;K374)))</f>
        <v/>
      </c>
      <c r="K374" s="108">
        <f>IFERROR(1-AVERAGE(X374:Y374),"")</f>
        <v/>
      </c>
      <c r="L374" s="108">
        <f>1-X374</f>
        <v/>
      </c>
      <c r="M374" s="108">
        <f>1-Y374</f>
        <v/>
      </c>
      <c r="N374" s="108">
        <f>1-Z374</f>
        <v/>
      </c>
      <c r="O374" s="108">
        <f>1-AA374</f>
        <v/>
      </c>
      <c r="P374" s="108">
        <f>1-AB374</f>
        <v/>
      </c>
      <c r="Q374" s="108" t="n"/>
      <c r="R374" s="108" t="n"/>
      <c r="S374" s="108">
        <f>1-AE374</f>
        <v/>
      </c>
      <c r="T374" s="108">
        <f>1-AF374</f>
        <v/>
      </c>
      <c r="U374" s="108">
        <f>1-AG374</f>
        <v/>
      </c>
      <c r="V374" s="108">
        <f>1-AH374</f>
        <v/>
      </c>
      <c r="W374" s="108">
        <f>1-AI374</f>
        <v/>
      </c>
      <c r="X374" s="108">
        <f>ABS(AJ374-AJ$1)</f>
        <v/>
      </c>
      <c r="Y374" s="108">
        <f>AVERAGE(Z374:AB374)</f>
        <v/>
      </c>
      <c r="Z374" s="108">
        <f>ABS(AL374-AL$1)</f>
        <v/>
      </c>
      <c r="AA374" s="108">
        <f>ABS(AM374-AM$1)</f>
        <v/>
      </c>
      <c r="AB374" s="108">
        <f>ABS(AN374-AN$1)</f>
        <v/>
      </c>
      <c r="AC374" s="108" t="n"/>
      <c r="AD374" s="108" t="n"/>
      <c r="AE374" s="108">
        <f>ABS(AQ$1-AQ374)</f>
        <v/>
      </c>
      <c r="AF374" s="108">
        <f>ABS(AR$1-AR374)</f>
        <v/>
      </c>
      <c r="AG374" s="108">
        <f>ABS(AS$1-AS374)</f>
        <v/>
      </c>
      <c r="AH374" s="108">
        <f>ABS(AT$1-AT374)</f>
        <v/>
      </c>
      <c r="AI374" s="108">
        <f>ABS(AU$1-AU374)</f>
        <v/>
      </c>
      <c r="AJ374" s="108">
        <f>(AV374-Driver!$K$179)/(Driver!$L$179-Driver!$K$179)</f>
        <v/>
      </c>
      <c r="AK374" s="108">
        <f>(AW374-Driver!$K$180)/(Driver!$L$180-Driver!$K$180)</f>
        <v/>
      </c>
      <c r="AL374" s="108">
        <f>(AX374-Driver!$K$181)/(Driver!$L$181-Driver!$K$181)</f>
        <v/>
      </c>
      <c r="AM374" s="108">
        <f>(AY374-Driver!$K$182)/(Driver!$L$182-Driver!$K$182)</f>
        <v/>
      </c>
      <c r="AN374" s="108">
        <f>(AZ374-Driver!$K$183)/(Driver!$L$183-Driver!$K$183)</f>
        <v/>
      </c>
      <c r="AO374" s="108" t="n"/>
      <c r="AP374" s="108" t="n"/>
      <c r="AQ374" s="108">
        <f>(BC374-Driver!$K$188)/(Driver!$L$188-Driver!$K$188)</f>
        <v/>
      </c>
      <c r="AR374" s="108">
        <f>MIN((BD374-Driver!$K$189)/(Driver!$L$189-Driver!$K$189),100%)</f>
        <v/>
      </c>
      <c r="AS374" s="108">
        <f>(BE374-Driver!$K$190)/(Driver!$L$190-Driver!$K$190)</f>
        <v/>
      </c>
      <c r="AT374" s="108">
        <f>(BF374-Driver!$K$191)/(Driver!$L$191-Driver!$K$191)</f>
        <v/>
      </c>
      <c r="AU374" s="108">
        <f>(BG374-Driver!$K$192)/(Driver!$L$192-Driver!$K$192)</f>
        <v/>
      </c>
      <c r="AV374" s="105">
        <f>IFERROR(BM374*BJ374^1/4,"")</f>
        <v/>
      </c>
      <c r="AW374" s="105">
        <f>IFERROR(SUM(AX374:AZ374),"")</f>
        <v/>
      </c>
      <c r="AX374" s="105">
        <f>IFERROR(BH374,"")</f>
        <v/>
      </c>
      <c r="AY374" s="105">
        <f>IFERROR(Driver!$K$19/Data!BH374/Data!BI374*Data!BK374*Data!BL374,"")</f>
        <v/>
      </c>
      <c r="AZ374" s="105">
        <f>IFERROR(BI374*BN374,"")</f>
        <v/>
      </c>
      <c r="BA374" s="105" t="n"/>
      <c r="BB374" s="105" t="n"/>
      <c r="BC374" s="105">
        <f>IFERROR(BI374*BN374*BK374/BJ374^(1/2),"")</f>
        <v/>
      </c>
      <c r="BD374" s="105">
        <f>IFERROR(BH374*BM374*BL374/BJ374/BK374,"")</f>
        <v/>
      </c>
      <c r="BE374" s="105">
        <f>IFERROR(MIN(BI374/BQ374/BP374/BO374/BH374,$BE$1),"")</f>
        <v/>
      </c>
      <c r="BF374" s="105">
        <f>IFERROR(BJ374*BO374*BP374/BK374,"")</f>
        <v/>
      </c>
      <c r="BG374" s="105">
        <f>IFERROR(1/BM374/BH374*BQ374,"")</f>
        <v/>
      </c>
      <c r="BH374" s="102">
        <f>MAX((CE374-Driver!$F$200)/(Driver!$G$200-Driver!$F$200)*$BI$1,1)</f>
        <v/>
      </c>
      <c r="BI374" s="102">
        <f>MAX($BI$1*(BY374-Driver!$F$201)/(Driver!$G$201-Driver!$F$201),1)</f>
        <v/>
      </c>
      <c r="BJ374" s="102">
        <f>(CB374-Driver!$F$206)/(Driver!$G$206-Driver!$F$206)*$BI$1</f>
        <v/>
      </c>
      <c r="BK374" s="102">
        <f>(CD374-Driver!$F$203)/(Driver!$G$203-Driver!$F$203)*$BI$1</f>
        <v/>
      </c>
      <c r="BL374" s="102">
        <f>MAX((CR374-Driver!$F$202)/(Driver!$G$202-Driver!$F$202)*$BI$1,1)</f>
        <v/>
      </c>
      <c r="BM374" s="102">
        <f>MAX((CH374-Driver!$F$204)/(Driver!$G$204-Driver!$F$204)*$BI$1,1)</f>
        <v/>
      </c>
      <c r="BN374" s="102">
        <f>(CI374-Driver!$F$205)/(Driver!$G$205-Driver!$F$205)*$BI$1</f>
        <v/>
      </c>
      <c r="BO374" s="102">
        <f>(CK374-Driver!$F$207)/(Driver!$G$207-Driver!$F$207)*$BI$1</f>
        <v/>
      </c>
      <c r="BP374" s="102">
        <f>(CM374-Driver!$F$208)/(Driver!$G$208-Driver!$F$208)*$BI$1</f>
        <v/>
      </c>
      <c r="BQ374" s="102">
        <f>(CL374-Driver!$F$209)/(Driver!$G$209-Driver!$F$209)*$BI$1</f>
        <v/>
      </c>
      <c r="BR374" s="40" t="inlineStr">
        <is>
          <t>21/22</t>
        </is>
      </c>
      <c r="BS374" s="10" t="inlineStr">
        <is>
          <t xml:space="preserve"> Nordica</t>
        </is>
      </c>
      <c r="BT374" s="11" t="inlineStr">
        <is>
          <t>Santa Ana 88</t>
        </is>
      </c>
      <c r="BU374" s="13" t="n">
        <v>172</v>
      </c>
      <c r="BV374" s="11" t="inlineStr">
        <is>
          <t xml:space="preserve"> Women's</t>
        </is>
      </c>
      <c r="BW374" s="13" t="n">
        <v>172</v>
      </c>
      <c r="BX374" s="13" t="n">
        <v>172</v>
      </c>
      <c r="BY374" s="13" t="n">
        <v>126</v>
      </c>
      <c r="BZ374" s="13" t="n">
        <v>143</v>
      </c>
      <c r="CA374" s="13" t="n">
        <v>122</v>
      </c>
      <c r="CB374" s="13" t="n">
        <v>87</v>
      </c>
      <c r="CC374" s="13" t="n">
        <v>108</v>
      </c>
      <c r="CD374" s="13" t="n">
        <v>16.1</v>
      </c>
      <c r="CE374" s="13" t="n">
        <v>1894</v>
      </c>
      <c r="CF374" s="13" t="n">
        <v>0.9</v>
      </c>
      <c r="CG374" s="13" t="n">
        <v>1697</v>
      </c>
      <c r="CH374" s="13" t="n">
        <v>205</v>
      </c>
      <c r="CI374" s="13" t="n">
        <v>101</v>
      </c>
      <c r="CJ374" s="13" t="n">
        <v>59</v>
      </c>
      <c r="CK374" s="13" t="n">
        <v>266</v>
      </c>
      <c r="CL374" s="13" t="n">
        <v>16</v>
      </c>
      <c r="CM374" s="13" t="n">
        <v>198</v>
      </c>
      <c r="CN374" s="13" t="n">
        <v>0.267</v>
      </c>
      <c r="CO374" s="13" t="n">
        <v>134</v>
      </c>
      <c r="CP374" s="13" t="n">
        <v>152</v>
      </c>
      <c r="CQ374" s="13" t="n">
        <v>132</v>
      </c>
      <c r="CR374" s="13" t="n">
        <v>7</v>
      </c>
      <c r="CS374" s="13" t="n">
        <v>8.5</v>
      </c>
      <c r="CT374" s="11" t="inlineStr">
        <is>
          <t xml:space="preserve"> Resort Freeride</t>
        </is>
      </c>
      <c r="CU374" s="13" t="n"/>
      <c r="CV374" s="13" t="n"/>
      <c r="CW374" s="13" t="n"/>
      <c r="CX374">
        <f>INDEX('Data_Price '!AG$2:AG$1266,MATCH(Data!$DN374,'Data_Price '!$AT$2:$AT$1266,0))</f>
        <v/>
      </c>
      <c r="CY374">
        <f>INDEX('Data_Price '!AH$2:AH$1266,MATCH(Data!$DN374,'Data_Price '!$AT$2:$AT$1266,0))</f>
        <v/>
      </c>
      <c r="CZ374">
        <f>INDEX('Data_Price '!AI$2:AI$1266,MATCH(Data!$DN374,'Data_Price '!$AT$2:$AT$1266,0))</f>
        <v/>
      </c>
      <c r="DA374">
        <f>INDEX('Data_Price '!AJ$2:AJ$1266,MATCH(Data!$DN374,'Data_Price '!$AT$2:$AT$1266,0))</f>
        <v/>
      </c>
      <c r="DB374">
        <f>INDEX('Data_Price '!AK$2:AK$1266,MATCH(Data!$DN374,'Data_Price '!$AT$2:$AT$1266,0))</f>
        <v/>
      </c>
      <c r="DC374">
        <f>INDEX('Data_Price '!AL$2:AL$1266,MATCH(Data!$DN374,'Data_Price '!$AT$2:$AT$1266,0))</f>
        <v/>
      </c>
      <c r="DD374">
        <f>INDEX('Data_Price '!AM$2:AM$1266,MATCH(Data!$DN374,'Data_Price '!$AT$2:$AT$1266,0))</f>
        <v/>
      </c>
      <c r="DE374">
        <f>INDEX('Data_Price '!AN$2:AN$1266,MATCH(Data!$DN374,'Data_Price '!$AT$2:$AT$1266,0))</f>
        <v/>
      </c>
      <c r="DF374">
        <f>INDEX('Data_Price '!AO$2:AO$1266,MATCH(Data!$DN374,'Data_Price '!$AT$2:$AT$1266,0))</f>
        <v/>
      </c>
      <c r="DG374">
        <f>INDEX('Data_Price '!AP$2:AP$1266,MATCH(Data!$DN374,'Data_Price '!$AT$2:$AT$1266,0))</f>
        <v/>
      </c>
      <c r="DH374">
        <f>INDEX('Data_Price '!AQ$2:AQ$1266,MATCH(Data!$DN374,'Data_Price '!$AT$2:$AT$1266,0))</f>
        <v/>
      </c>
      <c r="DI374">
        <f>INDEX('Data_Price '!AR$2:AR$1266,MATCH(Data!$DN374,'Data_Price '!$AT$2:$AT$1266,0))</f>
        <v/>
      </c>
      <c r="DJ374" s="138">
        <f>DA374</f>
        <v/>
      </c>
      <c r="DK374" s="138">
        <f>DE374</f>
        <v/>
      </c>
      <c r="DL374" s="138">
        <f>DI374</f>
        <v/>
      </c>
      <c r="DM374" s="303">
        <f>IF(LEFT(BT374,1)=" ",RIGHT(BT374,LEN(BT374)-1),BT374)</f>
        <v/>
      </c>
      <c r="DN374" s="138">
        <f>_xlfn.CONCAT(BS374,DM374,BU374,BV374)</f>
        <v/>
      </c>
      <c r="DO374" s="307" t="inlineStr">
        <is>
          <t>https://images.evo.com/imgp/250/217385/882111/nordica-santa-ana-88-unlimited-skis-women-s-2023-.jpg</t>
        </is>
      </c>
    </row>
    <row r="375" ht="15.6" customHeight="1" s="184">
      <c r="B375" s="303">
        <f t="array" ref="B375">IF(OR(ISERROR(K375:P375)),FALSE,TRUE)</f>
        <v/>
      </c>
      <c r="C375" s="60">
        <f>OR(BR375=Driver!$G$50,Data!BR1066=Driver!$H$50)</f>
        <v/>
      </c>
      <c r="D375" s="60">
        <f>OR(BV375=Driver!$G$51,BV375=Driver!$H$51)</f>
        <v/>
      </c>
      <c r="E375" s="60">
        <f>AND(BX375&gt;Driver!$F$54,BX375&lt;Driver!$G$54)</f>
        <v/>
      </c>
      <c r="F375" s="60">
        <f>CL375&gt;Driver!$F$56</f>
        <v/>
      </c>
      <c r="G375" s="60">
        <f>AND(CB375&gt;Driver!$F$55,CB375&lt;Driver!$G$55)</f>
        <v/>
      </c>
      <c r="H375" s="60">
        <f>AND(B375:G375)</f>
        <v/>
      </c>
      <c r="I375" s="60">
        <f>COUNTIFS($H$9:$H$1273,TRUE,$BT$9:$BT$1273,BT375)</f>
        <v/>
      </c>
      <c r="J375" s="60">
        <f t="array" ref="J375">NOT(OR(($H$9:$H$1273=TRUE)*($I$9:$I$1273&gt;0)*($BT$9:$BT$1273=BT375)*($K$9:$K$1273&gt;K375)))</f>
        <v/>
      </c>
      <c r="K375" s="108">
        <f>IFERROR(1-AVERAGE(X375:Y375),"")</f>
        <v/>
      </c>
      <c r="L375" s="108">
        <f>1-X375</f>
        <v/>
      </c>
      <c r="M375" s="108">
        <f>1-Y375</f>
        <v/>
      </c>
      <c r="N375" s="108">
        <f>1-Z375</f>
        <v/>
      </c>
      <c r="O375" s="108">
        <f>1-AA375</f>
        <v/>
      </c>
      <c r="P375" s="108">
        <f>1-AB375</f>
        <v/>
      </c>
      <c r="Q375" s="108" t="n"/>
      <c r="R375" s="108" t="n"/>
      <c r="S375" s="108">
        <f>1-AE375</f>
        <v/>
      </c>
      <c r="T375" s="108">
        <f>1-AF375</f>
        <v/>
      </c>
      <c r="U375" s="108">
        <f>1-AG375</f>
        <v/>
      </c>
      <c r="V375" s="108">
        <f>1-AH375</f>
        <v/>
      </c>
      <c r="W375" s="108">
        <f>1-AI375</f>
        <v/>
      </c>
      <c r="X375" s="108">
        <f>ABS(AJ375-AJ$1)</f>
        <v/>
      </c>
      <c r="Y375" s="108">
        <f>AVERAGE(Z375:AB375)</f>
        <v/>
      </c>
      <c r="Z375" s="108">
        <f>ABS(AL375-AL$1)</f>
        <v/>
      </c>
      <c r="AA375" s="108">
        <f>ABS(AM375-AM$1)</f>
        <v/>
      </c>
      <c r="AB375" s="108">
        <f>ABS(AN375-AN$1)</f>
        <v/>
      </c>
      <c r="AC375" s="108" t="n"/>
      <c r="AD375" s="108" t="n"/>
      <c r="AE375" s="108">
        <f>ABS(AQ$1-AQ375)</f>
        <v/>
      </c>
      <c r="AF375" s="108">
        <f>ABS(AR$1-AR375)</f>
        <v/>
      </c>
      <c r="AG375" s="108">
        <f>ABS(AS$1-AS375)</f>
        <v/>
      </c>
      <c r="AH375" s="108">
        <f>ABS(AT$1-AT375)</f>
        <v/>
      </c>
      <c r="AI375" s="108">
        <f>ABS(AU$1-AU375)</f>
        <v/>
      </c>
      <c r="AJ375" s="108">
        <f>(AV375-Driver!$K$179)/(Driver!$L$179-Driver!$K$179)</f>
        <v/>
      </c>
      <c r="AK375" s="108">
        <f>(AW375-Driver!$K$180)/(Driver!$L$180-Driver!$K$180)</f>
        <v/>
      </c>
      <c r="AL375" s="108">
        <f>(AX375-Driver!$K$181)/(Driver!$L$181-Driver!$K$181)</f>
        <v/>
      </c>
      <c r="AM375" s="108">
        <f>(AY375-Driver!$K$182)/(Driver!$L$182-Driver!$K$182)</f>
        <v/>
      </c>
      <c r="AN375" s="108">
        <f>(AZ375-Driver!$K$183)/(Driver!$L$183-Driver!$K$183)</f>
        <v/>
      </c>
      <c r="AO375" s="108" t="n"/>
      <c r="AP375" s="108" t="n"/>
      <c r="AQ375" s="108">
        <f>(BC375-Driver!$K$188)/(Driver!$L$188-Driver!$K$188)</f>
        <v/>
      </c>
      <c r="AR375" s="108">
        <f>MIN((BD375-Driver!$K$189)/(Driver!$L$189-Driver!$K$189),100%)</f>
        <v/>
      </c>
      <c r="AS375" s="108">
        <f>(BE375-Driver!$K$190)/(Driver!$L$190-Driver!$K$190)</f>
        <v/>
      </c>
      <c r="AT375" s="108">
        <f>(BF375-Driver!$K$191)/(Driver!$L$191-Driver!$K$191)</f>
        <v/>
      </c>
      <c r="AU375" s="108">
        <f>(BG375-Driver!$K$192)/(Driver!$L$192-Driver!$K$192)</f>
        <v/>
      </c>
      <c r="AV375" s="105">
        <f>IFERROR(BM375*BJ375^1/4,"")</f>
        <v/>
      </c>
      <c r="AW375" s="105">
        <f>IFERROR(SUM(AX375:AZ375),"")</f>
        <v/>
      </c>
      <c r="AX375" s="105">
        <f>IFERROR(BH375,"")</f>
        <v/>
      </c>
      <c r="AY375" s="105">
        <f>IFERROR(Driver!$K$19/Data!BH375/Data!BI375*Data!BK375*Data!BL375,"")</f>
        <v/>
      </c>
      <c r="AZ375" s="105">
        <f>IFERROR(BI375*BN375,"")</f>
        <v/>
      </c>
      <c r="BA375" s="105" t="n"/>
      <c r="BB375" s="105" t="n"/>
      <c r="BC375" s="105">
        <f>IFERROR(BI375*BN375*BK375/BJ375^(1/2),"")</f>
        <v/>
      </c>
      <c r="BD375" s="105">
        <f>IFERROR(BH375*BM375*BL375/BJ375/BK375,"")</f>
        <v/>
      </c>
      <c r="BE375" s="105">
        <f>IFERROR(MIN(BI375/BQ375/BP375/BO375/BH375,$BE$1),"")</f>
        <v/>
      </c>
      <c r="BF375" s="105">
        <f>IFERROR(BJ375*BO375*BP375/BK375,"")</f>
        <v/>
      </c>
      <c r="BG375" s="105">
        <f>IFERROR(1/BM375/BH375*BQ375,"")</f>
        <v/>
      </c>
      <c r="BH375" s="102">
        <f>MAX((CE375-Driver!$F$200)/(Driver!$G$200-Driver!$F$200)*$BI$1,1)</f>
        <v/>
      </c>
      <c r="BI375" s="102">
        <f>MAX($BI$1*(BY375-Driver!$F$201)/(Driver!$G$201-Driver!$F$201),1)</f>
        <v/>
      </c>
      <c r="BJ375" s="102">
        <f>(CB375-Driver!$F$206)/(Driver!$G$206-Driver!$F$206)*$BI$1</f>
        <v/>
      </c>
      <c r="BK375" s="102">
        <f>(CD375-Driver!$F$203)/(Driver!$G$203-Driver!$F$203)*$BI$1</f>
        <v/>
      </c>
      <c r="BL375" s="102">
        <f>MAX((CR375-Driver!$F$202)/(Driver!$G$202-Driver!$F$202)*$BI$1,1)</f>
        <v/>
      </c>
      <c r="BM375" s="102">
        <f>MAX((CH375-Driver!$F$204)/(Driver!$G$204-Driver!$F$204)*$BI$1,1)</f>
        <v/>
      </c>
      <c r="BN375" s="102">
        <f>(CI375-Driver!$F$205)/(Driver!$G$205-Driver!$F$205)*$BI$1</f>
        <v/>
      </c>
      <c r="BO375" s="102">
        <f>(CK375-Driver!$F$207)/(Driver!$G$207-Driver!$F$207)*$BI$1</f>
        <v/>
      </c>
      <c r="BP375" s="102">
        <f>(CM375-Driver!$F$208)/(Driver!$G$208-Driver!$F$208)*$BI$1</f>
        <v/>
      </c>
      <c r="BQ375" s="102">
        <f>(CL375-Driver!$F$209)/(Driver!$G$209-Driver!$F$209)*$BI$1</f>
        <v/>
      </c>
      <c r="BR375" s="40" t="inlineStr">
        <is>
          <t>21/22</t>
        </is>
      </c>
      <c r="BS375" s="10" t="inlineStr">
        <is>
          <t xml:space="preserve"> Salomon</t>
        </is>
      </c>
      <c r="BT375" s="11" t="inlineStr">
        <is>
          <t>QST 106</t>
        </is>
      </c>
      <c r="BU375" s="13" t="n">
        <v>174</v>
      </c>
      <c r="BV375" s="11" t="inlineStr">
        <is>
          <t xml:space="preserve"> Unisex</t>
        </is>
      </c>
      <c r="BW375" s="13" t="n">
        <v>174</v>
      </c>
      <c r="BX375" s="13" t="n">
        <v>173.9</v>
      </c>
      <c r="BY375" s="13" t="n">
        <v>109</v>
      </c>
      <c r="BZ375" s="13" t="n">
        <v>144</v>
      </c>
      <c r="CA375" s="13" t="n">
        <v>137</v>
      </c>
      <c r="CB375" s="13" t="n">
        <v>105</v>
      </c>
      <c r="CC375" s="13" t="n">
        <v>123</v>
      </c>
      <c r="CD375" s="13" t="n">
        <v>19.1</v>
      </c>
      <c r="CE375" s="13" t="n">
        <v>2014</v>
      </c>
      <c r="CF375" s="13" t="n">
        <v>0.99</v>
      </c>
      <c r="CG375" s="13" t="n">
        <v>2000</v>
      </c>
      <c r="CH375" s="13" t="n">
        <v>211</v>
      </c>
      <c r="CI375" s="13" t="n">
        <v>97</v>
      </c>
      <c r="CJ375" s="13" t="n">
        <v>59</v>
      </c>
      <c r="CK375" s="13" t="n">
        <v>365</v>
      </c>
      <c r="CL375" s="13" t="n">
        <v>22</v>
      </c>
      <c r="CM375" s="13" t="n">
        <v>282</v>
      </c>
      <c r="CN375" s="13" t="n">
        <v>0.378</v>
      </c>
      <c r="CO375" s="13" t="n">
        <v>181</v>
      </c>
      <c r="CP375" s="13" t="n">
        <v>119</v>
      </c>
      <c r="CQ375" s="13" t="n">
        <v>183</v>
      </c>
      <c r="CR375" s="13" t="n">
        <v>6</v>
      </c>
      <c r="CS375" s="13" t="n">
        <v>9.4</v>
      </c>
      <c r="CT375" s="11" t="inlineStr">
        <is>
          <t xml:space="preserve"> Resort Freeride</t>
        </is>
      </c>
      <c r="CU375" s="11" t="inlineStr">
        <is>
          <t xml:space="preserve"> Powder</t>
        </is>
      </c>
      <c r="CV375" s="11" t="inlineStr">
        <is>
          <t xml:space="preserve"> Big Mountain</t>
        </is>
      </c>
      <c r="CW375" s="13" t="n"/>
      <c r="CX375">
        <f>INDEX('Data_Price '!AG$2:AG$1266,MATCH(Data!$DN375,'Data_Price '!$AT$2:$AT$1266,0))</f>
        <v/>
      </c>
      <c r="CY375">
        <f>INDEX('Data_Price '!AH$2:AH$1266,MATCH(Data!$DN375,'Data_Price '!$AT$2:$AT$1266,0))</f>
        <v/>
      </c>
      <c r="CZ375">
        <f>INDEX('Data_Price '!AI$2:AI$1266,MATCH(Data!$DN375,'Data_Price '!$AT$2:$AT$1266,0))</f>
        <v/>
      </c>
      <c r="DA375">
        <f>INDEX('Data_Price '!AJ$2:AJ$1266,MATCH(Data!$DN375,'Data_Price '!$AT$2:$AT$1266,0))</f>
        <v/>
      </c>
      <c r="DB375">
        <f>INDEX('Data_Price '!AK$2:AK$1266,MATCH(Data!$DN375,'Data_Price '!$AT$2:$AT$1266,0))</f>
        <v/>
      </c>
      <c r="DC375">
        <f>INDEX('Data_Price '!AL$2:AL$1266,MATCH(Data!$DN375,'Data_Price '!$AT$2:$AT$1266,0))</f>
        <v/>
      </c>
      <c r="DD375">
        <f>INDEX('Data_Price '!AM$2:AM$1266,MATCH(Data!$DN375,'Data_Price '!$AT$2:$AT$1266,0))</f>
        <v/>
      </c>
      <c r="DE375">
        <f>INDEX('Data_Price '!AN$2:AN$1266,MATCH(Data!$DN375,'Data_Price '!$AT$2:$AT$1266,0))</f>
        <v/>
      </c>
      <c r="DF375">
        <f>INDEX('Data_Price '!AO$2:AO$1266,MATCH(Data!$DN375,'Data_Price '!$AT$2:$AT$1266,0))</f>
        <v/>
      </c>
      <c r="DG375">
        <f>INDEX('Data_Price '!AP$2:AP$1266,MATCH(Data!$DN375,'Data_Price '!$AT$2:$AT$1266,0))</f>
        <v/>
      </c>
      <c r="DH375">
        <f>INDEX('Data_Price '!AQ$2:AQ$1266,MATCH(Data!$DN375,'Data_Price '!$AT$2:$AT$1266,0))</f>
        <v/>
      </c>
      <c r="DI375">
        <f>INDEX('Data_Price '!AR$2:AR$1266,MATCH(Data!$DN375,'Data_Price '!$AT$2:$AT$1266,0))</f>
        <v/>
      </c>
      <c r="DJ375" s="138">
        <f>DA375</f>
        <v/>
      </c>
      <c r="DK375" s="138">
        <f>DE375</f>
        <v/>
      </c>
      <c r="DL375" s="138">
        <f>DI375</f>
        <v/>
      </c>
      <c r="DM375" s="303">
        <f>IF(LEFT(BT375,1)=" ",RIGHT(BT375,LEN(BT375)-1),BT375)</f>
        <v/>
      </c>
      <c r="DN375" s="138">
        <f>_xlfn.CONCAT(BS375,DM375,BU375,BV375)</f>
        <v/>
      </c>
      <c r="DO375" s="307" t="inlineStr">
        <is>
          <t>https://images.evo.com/imgp/250/197272/812054/salomon-qst-106-skis-2022-.jpg</t>
        </is>
      </c>
    </row>
    <row r="376" ht="15.6" customHeight="1" s="184">
      <c r="B376" s="303">
        <f t="array" ref="B376">IF(OR(ISERROR(K376:P376)),FALSE,TRUE)</f>
        <v/>
      </c>
      <c r="C376" s="60">
        <f>OR(BR376=Driver!$G$50,Data!BR1123=Driver!$H$50)</f>
        <v/>
      </c>
      <c r="D376" s="60">
        <f>OR(BV376=Driver!$G$51,BV376=Driver!$H$51)</f>
        <v/>
      </c>
      <c r="E376" s="60">
        <f>AND(BX376&gt;Driver!$F$54,BX376&lt;Driver!$G$54)</f>
        <v/>
      </c>
      <c r="F376" s="60">
        <f>CL376&gt;Driver!$F$56</f>
        <v/>
      </c>
      <c r="G376" s="60">
        <f>AND(CB376&gt;Driver!$F$55,CB376&lt;Driver!$G$55)</f>
        <v/>
      </c>
      <c r="H376" s="60">
        <f>AND(B376:G376)</f>
        <v/>
      </c>
      <c r="I376" s="60">
        <f>COUNTIFS($H$9:$H$1273,TRUE,$BT$9:$BT$1273,BT376)</f>
        <v/>
      </c>
      <c r="J376" s="60">
        <f t="array" ref="J376">NOT(OR(($H$9:$H$1273=TRUE)*($I$9:$I$1273&gt;0)*($BT$9:$BT$1273=BT376)*($K$9:$K$1273&gt;K376)))</f>
        <v/>
      </c>
      <c r="K376" s="108">
        <f>IFERROR(1-AVERAGE(X376:Y376),"")</f>
        <v/>
      </c>
      <c r="L376" s="108">
        <f>1-X376</f>
        <v/>
      </c>
      <c r="M376" s="108">
        <f>1-Y376</f>
        <v/>
      </c>
      <c r="N376" s="108">
        <f>1-Z376</f>
        <v/>
      </c>
      <c r="O376" s="108">
        <f>1-AA376</f>
        <v/>
      </c>
      <c r="P376" s="108">
        <f>1-AB376</f>
        <v/>
      </c>
      <c r="Q376" s="108" t="n"/>
      <c r="R376" s="108" t="n"/>
      <c r="S376" s="108">
        <f>1-AE376</f>
        <v/>
      </c>
      <c r="T376" s="108">
        <f>1-AF376</f>
        <v/>
      </c>
      <c r="U376" s="108">
        <f>1-AG376</f>
        <v/>
      </c>
      <c r="V376" s="108">
        <f>1-AH376</f>
        <v/>
      </c>
      <c r="W376" s="108">
        <f>1-AI376</f>
        <v/>
      </c>
      <c r="X376" s="108">
        <f>ABS(AJ376-AJ$1)</f>
        <v/>
      </c>
      <c r="Y376" s="108">
        <f>AVERAGE(Z376:AB376)</f>
        <v/>
      </c>
      <c r="Z376" s="108">
        <f>ABS(AL376-AL$1)</f>
        <v/>
      </c>
      <c r="AA376" s="108">
        <f>ABS(AM376-AM$1)</f>
        <v/>
      </c>
      <c r="AB376" s="108">
        <f>ABS(AN376-AN$1)</f>
        <v/>
      </c>
      <c r="AC376" s="108" t="n"/>
      <c r="AD376" s="108" t="n"/>
      <c r="AE376" s="108">
        <f>ABS(AQ$1-AQ376)</f>
        <v/>
      </c>
      <c r="AF376" s="108">
        <f>ABS(AR$1-AR376)</f>
        <v/>
      </c>
      <c r="AG376" s="108">
        <f>ABS(AS$1-AS376)</f>
        <v/>
      </c>
      <c r="AH376" s="108">
        <f>ABS(AT$1-AT376)</f>
        <v/>
      </c>
      <c r="AI376" s="108">
        <f>ABS(AU$1-AU376)</f>
        <v/>
      </c>
      <c r="AJ376" s="108">
        <f>(AV376-Driver!$K$179)/(Driver!$L$179-Driver!$K$179)</f>
        <v/>
      </c>
      <c r="AK376" s="108">
        <f>(AW376-Driver!$K$180)/(Driver!$L$180-Driver!$K$180)</f>
        <v/>
      </c>
      <c r="AL376" s="108">
        <f>(AX376-Driver!$K$181)/(Driver!$L$181-Driver!$K$181)</f>
        <v/>
      </c>
      <c r="AM376" s="108">
        <f>(AY376-Driver!$K$182)/(Driver!$L$182-Driver!$K$182)</f>
        <v/>
      </c>
      <c r="AN376" s="108">
        <f>(AZ376-Driver!$K$183)/(Driver!$L$183-Driver!$K$183)</f>
        <v/>
      </c>
      <c r="AO376" s="108" t="n"/>
      <c r="AP376" s="108" t="n"/>
      <c r="AQ376" s="108">
        <f>(BC376-Driver!$K$188)/(Driver!$L$188-Driver!$K$188)</f>
        <v/>
      </c>
      <c r="AR376" s="108">
        <f>MIN((BD376-Driver!$K$189)/(Driver!$L$189-Driver!$K$189),100%)</f>
        <v/>
      </c>
      <c r="AS376" s="108">
        <f>(BE376-Driver!$K$190)/(Driver!$L$190-Driver!$K$190)</f>
        <v/>
      </c>
      <c r="AT376" s="108">
        <f>(BF376-Driver!$K$191)/(Driver!$L$191-Driver!$K$191)</f>
        <v/>
      </c>
      <c r="AU376" s="108">
        <f>(BG376-Driver!$K$192)/(Driver!$L$192-Driver!$K$192)</f>
        <v/>
      </c>
      <c r="AV376" s="105">
        <f>IFERROR(BM376*BJ376^1/4,"")</f>
        <v/>
      </c>
      <c r="AW376" s="105">
        <f>IFERROR(SUM(AX376:AZ376),"")</f>
        <v/>
      </c>
      <c r="AX376" s="105">
        <f>IFERROR(BH376,"")</f>
        <v/>
      </c>
      <c r="AY376" s="105">
        <f>IFERROR(Driver!$K$19/Data!BH376/Data!BI376*Data!BK376*Data!BL376,"")</f>
        <v/>
      </c>
      <c r="AZ376" s="105">
        <f>IFERROR(BI376*BN376,"")</f>
        <v/>
      </c>
      <c r="BA376" s="105" t="n"/>
      <c r="BB376" s="105" t="n"/>
      <c r="BC376" s="105">
        <f>IFERROR(BI376*BN376*BK376/BJ376^(1/2),"")</f>
        <v/>
      </c>
      <c r="BD376" s="105">
        <f>IFERROR(BH376*BM376*BL376/BJ376/BK376,"")</f>
        <v/>
      </c>
      <c r="BE376" s="105">
        <f>IFERROR(MIN(BI376/BQ376/BP376/BO376/BH376,$BE$1),"")</f>
        <v/>
      </c>
      <c r="BF376" s="105">
        <f>IFERROR(BJ376*BO376*BP376/BK376,"")</f>
        <v/>
      </c>
      <c r="BG376" s="105">
        <f>IFERROR(1/BM376/BH376*BQ376,"")</f>
        <v/>
      </c>
      <c r="BH376" s="102">
        <f>MAX((CE376-Driver!$F$200)/(Driver!$G$200-Driver!$F$200)*$BI$1,1)</f>
        <v/>
      </c>
      <c r="BI376" s="102">
        <f>MAX($BI$1*(BY376-Driver!$F$201)/(Driver!$G$201-Driver!$F$201),1)</f>
        <v/>
      </c>
      <c r="BJ376" s="102">
        <f>(CB376-Driver!$F$206)/(Driver!$G$206-Driver!$F$206)*$BI$1</f>
        <v/>
      </c>
      <c r="BK376" s="102">
        <f>(CD376-Driver!$F$203)/(Driver!$G$203-Driver!$F$203)*$BI$1</f>
        <v/>
      </c>
      <c r="BL376" s="102">
        <f>MAX((CR376-Driver!$F$202)/(Driver!$G$202-Driver!$F$202)*$BI$1,1)</f>
        <v/>
      </c>
      <c r="BM376" s="102">
        <f>MAX((CH376-Driver!$F$204)/(Driver!$G$204-Driver!$F$204)*$BI$1,1)</f>
        <v/>
      </c>
      <c r="BN376" s="102">
        <f>(CI376-Driver!$F$205)/(Driver!$G$205-Driver!$F$205)*$BI$1</f>
        <v/>
      </c>
      <c r="BO376" s="102">
        <f>(CK376-Driver!$F$207)/(Driver!$G$207-Driver!$F$207)*$BI$1</f>
        <v/>
      </c>
      <c r="BP376" s="102">
        <f>(CM376-Driver!$F$208)/(Driver!$G$208-Driver!$F$208)*$BI$1</f>
        <v/>
      </c>
      <c r="BQ376" s="102">
        <f>(CL376-Driver!$F$209)/(Driver!$G$209-Driver!$F$209)*$BI$1</f>
        <v/>
      </c>
      <c r="BR376" s="40" t="inlineStr">
        <is>
          <t>21/22</t>
        </is>
      </c>
      <c r="BS376" s="10" t="inlineStr">
        <is>
          <t xml:space="preserve"> Scott</t>
        </is>
      </c>
      <c r="BT376" s="11" t="inlineStr">
        <is>
          <t>Superguide 88</t>
        </is>
      </c>
      <c r="BU376" s="13" t="n">
        <v>170</v>
      </c>
      <c r="BV376" s="11" t="inlineStr">
        <is>
          <t xml:space="preserve"> Unisex</t>
        </is>
      </c>
      <c r="BW376" s="13" t="n">
        <v>170</v>
      </c>
      <c r="BX376" s="13" t="n">
        <v>167.7</v>
      </c>
      <c r="BY376" s="13" t="n">
        <v>131</v>
      </c>
      <c r="BZ376" s="13" t="n">
        <v>148</v>
      </c>
      <c r="CA376" s="13" t="n">
        <v>123</v>
      </c>
      <c r="CB376" s="13" t="n">
        <v>85</v>
      </c>
      <c r="CC376" s="13" t="n">
        <v>108</v>
      </c>
      <c r="CD376" s="13" t="n">
        <v>17.7</v>
      </c>
      <c r="CE376" s="13" t="n">
        <v>1317</v>
      </c>
      <c r="CF376" s="13" t="n">
        <v>1.23</v>
      </c>
      <c r="CG376" s="13" t="n">
        <v>1624</v>
      </c>
      <c r="CH376" s="13" t="n">
        <v>252</v>
      </c>
      <c r="CI376" s="13" t="n">
        <v>90</v>
      </c>
      <c r="CJ376" s="13" t="n">
        <v>56</v>
      </c>
      <c r="CK376" s="13" t="n">
        <v>270</v>
      </c>
      <c r="CL376" s="13" t="n">
        <v>14</v>
      </c>
      <c r="CM376" s="13" t="n">
        <v>100</v>
      </c>
      <c r="CN376" s="13" t="n">
        <v>0.25</v>
      </c>
      <c r="CO376" s="13" t="n">
        <v>116</v>
      </c>
      <c r="CP376" s="13" t="n">
        <v>79</v>
      </c>
      <c r="CQ376" s="13" t="n">
        <v>154</v>
      </c>
      <c r="CR376" s="13" t="n">
        <v>8</v>
      </c>
      <c r="CS376" s="13" t="n">
        <v>11.2</v>
      </c>
      <c r="CT376" s="11" t="inlineStr">
        <is>
          <t xml:space="preserve"> Resort Freeride</t>
        </is>
      </c>
      <c r="CU376" s="11" t="inlineStr">
        <is>
          <t xml:space="preserve"> Touring</t>
        </is>
      </c>
      <c r="CV376" s="13" t="n"/>
      <c r="CW376" s="13" t="n"/>
      <c r="CX376">
        <f>INDEX('Data_Price '!AG$2:AG$1266,MATCH(Data!$DN376,'Data_Price '!$AT$2:$AT$1266,0))</f>
        <v/>
      </c>
      <c r="CY376">
        <f>INDEX('Data_Price '!AH$2:AH$1266,MATCH(Data!$DN376,'Data_Price '!$AT$2:$AT$1266,0))</f>
        <v/>
      </c>
      <c r="CZ376">
        <f>INDEX('Data_Price '!AI$2:AI$1266,MATCH(Data!$DN376,'Data_Price '!$AT$2:$AT$1266,0))</f>
        <v/>
      </c>
      <c r="DA376">
        <f>INDEX('Data_Price '!AJ$2:AJ$1266,MATCH(Data!$DN376,'Data_Price '!$AT$2:$AT$1266,0))</f>
        <v/>
      </c>
      <c r="DB376">
        <f>INDEX('Data_Price '!AK$2:AK$1266,MATCH(Data!$DN376,'Data_Price '!$AT$2:$AT$1266,0))</f>
        <v/>
      </c>
      <c r="DC376">
        <f>INDEX('Data_Price '!AL$2:AL$1266,MATCH(Data!$DN376,'Data_Price '!$AT$2:$AT$1266,0))</f>
        <v/>
      </c>
      <c r="DD376">
        <f>INDEX('Data_Price '!AM$2:AM$1266,MATCH(Data!$DN376,'Data_Price '!$AT$2:$AT$1266,0))</f>
        <v/>
      </c>
      <c r="DE376">
        <f>INDEX('Data_Price '!AN$2:AN$1266,MATCH(Data!$DN376,'Data_Price '!$AT$2:$AT$1266,0))</f>
        <v/>
      </c>
      <c r="DF376">
        <f>INDEX('Data_Price '!AO$2:AO$1266,MATCH(Data!$DN376,'Data_Price '!$AT$2:$AT$1266,0))</f>
        <v/>
      </c>
      <c r="DG376">
        <f>INDEX('Data_Price '!AP$2:AP$1266,MATCH(Data!$DN376,'Data_Price '!$AT$2:$AT$1266,0))</f>
        <v/>
      </c>
      <c r="DH376">
        <f>INDEX('Data_Price '!AQ$2:AQ$1266,MATCH(Data!$DN376,'Data_Price '!$AT$2:$AT$1266,0))</f>
        <v/>
      </c>
      <c r="DI376">
        <f>INDEX('Data_Price '!AR$2:AR$1266,MATCH(Data!$DN376,'Data_Price '!$AT$2:$AT$1266,0))</f>
        <v/>
      </c>
      <c r="DJ376" s="138">
        <f>DA376</f>
        <v/>
      </c>
      <c r="DK376" s="138">
        <f>DE376</f>
        <v/>
      </c>
      <c r="DL376" s="138">
        <f>DI376</f>
        <v/>
      </c>
      <c r="DM376" s="303">
        <f>IF(LEFT(BT376,1)=" ",RIGHT(BT376,LEN(BT376)-1),BT376)</f>
        <v/>
      </c>
      <c r="DN376" s="138">
        <f>_xlfn.CONCAT(BS376,DM376,BU376,BV376)</f>
        <v/>
      </c>
      <c r="DO376" s="307" t="n"/>
    </row>
    <row r="377" ht="15.6" customHeight="1" s="184">
      <c r="B377" s="303">
        <f t="array" ref="B377">IF(OR(ISERROR(K377:P377)),FALSE,TRUE)</f>
        <v/>
      </c>
      <c r="C377" s="60">
        <f>OR(BR377=Driver!$G$50,Data!BR107=Driver!$H$50)</f>
        <v/>
      </c>
      <c r="D377" s="60">
        <f>OR(BV377=Driver!$G$51,BV377=Driver!$H$51)</f>
        <v/>
      </c>
      <c r="E377" s="60">
        <f>AND(BX377&gt;Driver!$F$54,BX377&lt;Driver!$G$54)</f>
        <v/>
      </c>
      <c r="F377" s="60">
        <f>CL377&gt;Driver!$F$56</f>
        <v/>
      </c>
      <c r="G377" s="60">
        <f>AND(CB377&gt;Driver!$F$55,CB377&lt;Driver!$G$55)</f>
        <v/>
      </c>
      <c r="H377" s="60">
        <f>AND(B377:G377)</f>
        <v/>
      </c>
      <c r="I377" s="60">
        <f>COUNTIFS($H$9:$H$1273,TRUE,$BT$9:$BT$1273,BT377)</f>
        <v/>
      </c>
      <c r="J377" s="60">
        <f t="array" ref="J377">NOT(OR(($H$9:$H$1273=TRUE)*($I$9:$I$1273&gt;0)*($BT$9:$BT$1273=BT377)*($K$9:$K$1273&gt;K377)))</f>
        <v/>
      </c>
      <c r="K377" s="108">
        <f>IFERROR(1-AVERAGE(X377:Y377),"")</f>
        <v/>
      </c>
      <c r="L377" s="108">
        <f>1-X377</f>
        <v/>
      </c>
      <c r="M377" s="108">
        <f>1-Y377</f>
        <v/>
      </c>
      <c r="N377" s="108">
        <f>1-Z377</f>
        <v/>
      </c>
      <c r="O377" s="108">
        <f>1-AA377</f>
        <v/>
      </c>
      <c r="P377" s="108">
        <f>1-AB377</f>
        <v/>
      </c>
      <c r="Q377" s="108" t="n"/>
      <c r="R377" s="108" t="n"/>
      <c r="S377" s="108">
        <f>1-AE377</f>
        <v/>
      </c>
      <c r="T377" s="108">
        <f>1-AF377</f>
        <v/>
      </c>
      <c r="U377" s="108">
        <f>1-AG377</f>
        <v/>
      </c>
      <c r="V377" s="108">
        <f>1-AH377</f>
        <v/>
      </c>
      <c r="W377" s="108">
        <f>1-AI377</f>
        <v/>
      </c>
      <c r="X377" s="108">
        <f>ABS(AJ377-AJ$1)</f>
        <v/>
      </c>
      <c r="Y377" s="108">
        <f>AVERAGE(Z377:AB377)</f>
        <v/>
      </c>
      <c r="Z377" s="108">
        <f>ABS(AL377-AL$1)</f>
        <v/>
      </c>
      <c r="AA377" s="108">
        <f>ABS(AM377-AM$1)</f>
        <v/>
      </c>
      <c r="AB377" s="108">
        <f>ABS(AN377-AN$1)</f>
        <v/>
      </c>
      <c r="AC377" s="108" t="n"/>
      <c r="AD377" s="108" t="n"/>
      <c r="AE377" s="108">
        <f>ABS(AQ$1-AQ377)</f>
        <v/>
      </c>
      <c r="AF377" s="108">
        <f>ABS(AR$1-AR377)</f>
        <v/>
      </c>
      <c r="AG377" s="108">
        <f>ABS(AS$1-AS377)</f>
        <v/>
      </c>
      <c r="AH377" s="108">
        <f>ABS(AT$1-AT377)</f>
        <v/>
      </c>
      <c r="AI377" s="108">
        <f>ABS(AU$1-AU377)</f>
        <v/>
      </c>
      <c r="AJ377" s="108">
        <f>(AV377-Driver!$K$179)/(Driver!$L$179-Driver!$K$179)</f>
        <v/>
      </c>
      <c r="AK377" s="108">
        <f>(AW377-Driver!$K$180)/(Driver!$L$180-Driver!$K$180)</f>
        <v/>
      </c>
      <c r="AL377" s="108">
        <f>(AX377-Driver!$K$181)/(Driver!$L$181-Driver!$K$181)</f>
        <v/>
      </c>
      <c r="AM377" s="108">
        <f>(AY377-Driver!$K$182)/(Driver!$L$182-Driver!$K$182)</f>
        <v/>
      </c>
      <c r="AN377" s="108">
        <f>(AZ377-Driver!$K$183)/(Driver!$L$183-Driver!$K$183)</f>
        <v/>
      </c>
      <c r="AO377" s="108" t="n"/>
      <c r="AP377" s="108" t="n"/>
      <c r="AQ377" s="108">
        <f>(BC377-Driver!$K$188)/(Driver!$L$188-Driver!$K$188)</f>
        <v/>
      </c>
      <c r="AR377" s="108">
        <f>MIN((BD377-Driver!$K$189)/(Driver!$L$189-Driver!$K$189),100%)</f>
        <v/>
      </c>
      <c r="AS377" s="108">
        <f>(BE377-Driver!$K$190)/(Driver!$L$190-Driver!$K$190)</f>
        <v/>
      </c>
      <c r="AT377" s="108">
        <f>(BF377-Driver!$K$191)/(Driver!$L$191-Driver!$K$191)</f>
        <v/>
      </c>
      <c r="AU377" s="108">
        <f>(BG377-Driver!$K$192)/(Driver!$L$192-Driver!$K$192)</f>
        <v/>
      </c>
      <c r="AV377" s="105">
        <f>IFERROR(BM377*BJ377^1/4,"")</f>
        <v/>
      </c>
      <c r="AW377" s="105">
        <f>IFERROR(SUM(AX377:AZ377),"")</f>
        <v/>
      </c>
      <c r="AX377" s="105">
        <f>IFERROR(BH377,"")</f>
        <v/>
      </c>
      <c r="AY377" s="105">
        <f>IFERROR(Driver!$K$19/Data!BH377/Data!BI377*Data!BK377*Data!BL377,"")</f>
        <v/>
      </c>
      <c r="AZ377" s="105">
        <f>IFERROR(BI377*BN377,"")</f>
        <v/>
      </c>
      <c r="BA377" s="105" t="n"/>
      <c r="BB377" s="105" t="n"/>
      <c r="BC377" s="105">
        <f>IFERROR(BI377*BN377*BK377/BJ377^(1/2),"")</f>
        <v/>
      </c>
      <c r="BD377" s="105">
        <f>IFERROR(BH377*BM377*BL377/BJ377/BK377,"")</f>
        <v/>
      </c>
      <c r="BE377" s="105">
        <f>IFERROR(MIN(BI377/BQ377/BP377/BO377/BH377,$BE$1),"")</f>
        <v/>
      </c>
      <c r="BF377" s="105">
        <f>IFERROR(BJ377*BO377*BP377/BK377,"")</f>
        <v/>
      </c>
      <c r="BG377" s="105">
        <f>IFERROR(1/BM377/BH377*BQ377,"")</f>
        <v/>
      </c>
      <c r="BH377" s="102">
        <f>MAX((CE377-Driver!$F$200)/(Driver!$G$200-Driver!$F$200)*$BI$1,1)</f>
        <v/>
      </c>
      <c r="BI377" s="102">
        <f>MAX($BI$1*(BY377-Driver!$F$201)/(Driver!$G$201-Driver!$F$201),1)</f>
        <v/>
      </c>
      <c r="BJ377" s="102">
        <f>(CB377-Driver!$F$206)/(Driver!$G$206-Driver!$F$206)*$BI$1</f>
        <v/>
      </c>
      <c r="BK377" s="102">
        <f>(CD377-Driver!$F$203)/(Driver!$G$203-Driver!$F$203)*$BI$1</f>
        <v/>
      </c>
      <c r="BL377" s="102">
        <f>MAX((CR377-Driver!$F$202)/(Driver!$G$202-Driver!$F$202)*$BI$1,1)</f>
        <v/>
      </c>
      <c r="BM377" s="102">
        <f>MAX((CH377-Driver!$F$204)/(Driver!$G$204-Driver!$F$204)*$BI$1,1)</f>
        <v/>
      </c>
      <c r="BN377" s="102">
        <f>(CI377-Driver!$F$205)/(Driver!$G$205-Driver!$F$205)*$BI$1</f>
        <v/>
      </c>
      <c r="BO377" s="102">
        <f>(CK377-Driver!$F$207)/(Driver!$G$207-Driver!$F$207)*$BI$1</f>
        <v/>
      </c>
      <c r="BP377" s="102">
        <f>(CM377-Driver!$F$208)/(Driver!$G$208-Driver!$F$208)*$BI$1</f>
        <v/>
      </c>
      <c r="BQ377" s="102">
        <f>(CL377-Driver!$F$209)/(Driver!$G$209-Driver!$F$209)*$BI$1</f>
        <v/>
      </c>
      <c r="BR377" s="40" t="inlineStr">
        <is>
          <t>21/22</t>
        </is>
      </c>
      <c r="BS377" s="10" t="inlineStr">
        <is>
          <t xml:space="preserve"> Armada</t>
        </is>
      </c>
      <c r="BT377" s="11" t="inlineStr">
        <is>
          <t>Tracer 108</t>
        </is>
      </c>
      <c r="BU377" s="13" t="n">
        <v>188</v>
      </c>
      <c r="BV377" s="11" t="inlineStr">
        <is>
          <t xml:space="preserve"> Unisex</t>
        </is>
      </c>
      <c r="BW377" s="13" t="n">
        <v>188</v>
      </c>
      <c r="BX377" s="13" t="n">
        <v>187.3</v>
      </c>
      <c r="BY377" s="13" t="n">
        <v>128</v>
      </c>
      <c r="BZ377" s="13" t="n">
        <v>149</v>
      </c>
      <c r="CA377" s="13" t="n">
        <v>134</v>
      </c>
      <c r="CB377" s="13" t="n">
        <v>107</v>
      </c>
      <c r="CC377" s="13" t="n">
        <v>125</v>
      </c>
      <c r="CD377" s="13" t="n">
        <v>20.7</v>
      </c>
      <c r="CE377" s="13" t="n">
        <v>1799</v>
      </c>
      <c r="CF377" s="13" t="n">
        <v>1.21</v>
      </c>
      <c r="CG377" s="13" t="n">
        <v>2185</v>
      </c>
      <c r="CH377" s="13" t="n">
        <v>210</v>
      </c>
      <c r="CI377" s="13" t="n">
        <v>122</v>
      </c>
      <c r="CJ377" s="13" t="n">
        <v>49</v>
      </c>
      <c r="CK377" s="13" t="n">
        <v>426</v>
      </c>
      <c r="CL377" s="13" t="n">
        <v>28</v>
      </c>
      <c r="CM377" s="13" t="n">
        <v>169</v>
      </c>
      <c r="CN377" s="13" t="n">
        <v>0.58</v>
      </c>
      <c r="CO377" s="13" t="n">
        <v>211</v>
      </c>
      <c r="CP377" s="13" t="n">
        <v>170</v>
      </c>
      <c r="CQ377" s="13" t="n">
        <v>215</v>
      </c>
      <c r="CR377" s="13" t="n">
        <v>4</v>
      </c>
      <c r="CS377" s="13" t="n">
        <v>10.8</v>
      </c>
      <c r="CT377" s="11" t="inlineStr">
        <is>
          <t xml:space="preserve"> Powder</t>
        </is>
      </c>
      <c r="CU377" s="11" t="inlineStr">
        <is>
          <t xml:space="preserve"> Touring</t>
        </is>
      </c>
      <c r="CV377" s="13" t="n"/>
      <c r="CW377" s="13" t="n"/>
      <c r="CX377">
        <f>INDEX('Data_Price '!AG$2:AG$1266,MATCH(Data!$DN377,'Data_Price '!$AT$2:$AT$1266,0))</f>
        <v/>
      </c>
      <c r="CY377">
        <f>INDEX('Data_Price '!AH$2:AH$1266,MATCH(Data!$DN377,'Data_Price '!$AT$2:$AT$1266,0))</f>
        <v/>
      </c>
      <c r="CZ377">
        <f>INDEX('Data_Price '!AI$2:AI$1266,MATCH(Data!$DN377,'Data_Price '!$AT$2:$AT$1266,0))</f>
        <v/>
      </c>
      <c r="DA377">
        <f>INDEX('Data_Price '!AJ$2:AJ$1266,MATCH(Data!$DN377,'Data_Price '!$AT$2:$AT$1266,0))</f>
        <v/>
      </c>
      <c r="DB377">
        <f>INDEX('Data_Price '!AK$2:AK$1266,MATCH(Data!$DN377,'Data_Price '!$AT$2:$AT$1266,0))</f>
        <v/>
      </c>
      <c r="DC377">
        <f>INDEX('Data_Price '!AL$2:AL$1266,MATCH(Data!$DN377,'Data_Price '!$AT$2:$AT$1266,0))</f>
        <v/>
      </c>
      <c r="DD377">
        <f>INDEX('Data_Price '!AM$2:AM$1266,MATCH(Data!$DN377,'Data_Price '!$AT$2:$AT$1266,0))</f>
        <v/>
      </c>
      <c r="DE377">
        <f>INDEX('Data_Price '!AN$2:AN$1266,MATCH(Data!$DN377,'Data_Price '!$AT$2:$AT$1266,0))</f>
        <v/>
      </c>
      <c r="DF377">
        <f>INDEX('Data_Price '!AO$2:AO$1266,MATCH(Data!$DN377,'Data_Price '!$AT$2:$AT$1266,0))</f>
        <v/>
      </c>
      <c r="DG377">
        <f>INDEX('Data_Price '!AP$2:AP$1266,MATCH(Data!$DN377,'Data_Price '!$AT$2:$AT$1266,0))</f>
        <v/>
      </c>
      <c r="DH377">
        <f>INDEX('Data_Price '!AQ$2:AQ$1266,MATCH(Data!$DN377,'Data_Price '!$AT$2:$AT$1266,0))</f>
        <v/>
      </c>
      <c r="DI377">
        <f>INDEX('Data_Price '!AR$2:AR$1266,MATCH(Data!$DN377,'Data_Price '!$AT$2:$AT$1266,0))</f>
        <v/>
      </c>
      <c r="DJ377" s="138">
        <f>DA377</f>
        <v/>
      </c>
      <c r="DK377" s="138">
        <f>DE377</f>
        <v/>
      </c>
      <c r="DL377" s="138">
        <f>DI377</f>
        <v/>
      </c>
      <c r="DM377" s="303">
        <f>IF(LEFT(BT377,1)=" ",RIGHT(BT377,LEN(BT377)-1),BT377)</f>
        <v/>
      </c>
      <c r="DN377" s="138">
        <f>_xlfn.CONCAT(BS377,DM377,BU377,BV377)</f>
        <v/>
      </c>
      <c r="DO377" s="307" t="inlineStr">
        <is>
          <t>https://images.evo.com/imgp/250/198695/839662/clone.jpg</t>
        </is>
      </c>
    </row>
    <row r="378" ht="15.6" customHeight="1" s="184">
      <c r="B378" s="303">
        <f t="array" ref="B378">IF(OR(ISERROR(K378:P378)),FALSE,TRUE)</f>
        <v/>
      </c>
      <c r="C378" s="60">
        <f>OR(BR378=Driver!$G$50,Data!BR377=Driver!$H$50)</f>
        <v/>
      </c>
      <c r="D378" s="60">
        <f>OR(BV378=Driver!$G$51,BV378=Driver!$H$51)</f>
        <v/>
      </c>
      <c r="E378" s="60">
        <f>AND(BX378&gt;Driver!$F$54,BX378&lt;Driver!$G$54)</f>
        <v/>
      </c>
      <c r="F378" s="60">
        <f>CL378&gt;Driver!$F$56</f>
        <v/>
      </c>
      <c r="G378" s="60">
        <f>AND(CB378&gt;Driver!$F$55,CB378&lt;Driver!$G$55)</f>
        <v/>
      </c>
      <c r="H378" s="60">
        <f>AND(B378:G378)</f>
        <v/>
      </c>
      <c r="I378" s="60">
        <f>COUNTIFS($H$9:$H$1273,TRUE,$BT$9:$BT$1273,BT378)</f>
        <v/>
      </c>
      <c r="J378" s="60">
        <f t="array" ref="J378">NOT(OR(($H$9:$H$1273=TRUE)*($I$9:$I$1273&gt;0)*($BT$9:$BT$1273=BT378)*($K$9:$K$1273&gt;K378)))</f>
        <v/>
      </c>
      <c r="K378" s="108">
        <f>IFERROR(1-AVERAGE(X378:Y378),"")</f>
        <v/>
      </c>
      <c r="L378" s="108">
        <f>1-X378</f>
        <v/>
      </c>
      <c r="M378" s="108">
        <f>1-Y378</f>
        <v/>
      </c>
      <c r="N378" s="108">
        <f>1-Z378</f>
        <v/>
      </c>
      <c r="O378" s="108">
        <f>1-AA378</f>
        <v/>
      </c>
      <c r="P378" s="108">
        <f>1-AB378</f>
        <v/>
      </c>
      <c r="Q378" s="108" t="n"/>
      <c r="R378" s="108" t="n"/>
      <c r="S378" s="108">
        <f>1-AE378</f>
        <v/>
      </c>
      <c r="T378" s="108">
        <f>1-AF378</f>
        <v/>
      </c>
      <c r="U378" s="108">
        <f>1-AG378</f>
        <v/>
      </c>
      <c r="V378" s="108">
        <f>1-AH378</f>
        <v/>
      </c>
      <c r="W378" s="108">
        <f>1-AI378</f>
        <v/>
      </c>
      <c r="X378" s="108">
        <f>ABS(AJ378-AJ$1)</f>
        <v/>
      </c>
      <c r="Y378" s="108">
        <f>AVERAGE(Z378:AB378)</f>
        <v/>
      </c>
      <c r="Z378" s="108">
        <f>ABS(AL378-AL$1)</f>
        <v/>
      </c>
      <c r="AA378" s="108">
        <f>ABS(AM378-AM$1)</f>
        <v/>
      </c>
      <c r="AB378" s="108">
        <f>ABS(AN378-AN$1)</f>
        <v/>
      </c>
      <c r="AC378" s="108" t="n"/>
      <c r="AD378" s="108" t="n"/>
      <c r="AE378" s="108">
        <f>ABS(AQ$1-AQ378)</f>
        <v/>
      </c>
      <c r="AF378" s="108">
        <f>ABS(AR$1-AR378)</f>
        <v/>
      </c>
      <c r="AG378" s="108">
        <f>ABS(AS$1-AS378)</f>
        <v/>
      </c>
      <c r="AH378" s="108">
        <f>ABS(AT$1-AT378)</f>
        <v/>
      </c>
      <c r="AI378" s="108">
        <f>ABS(AU$1-AU378)</f>
        <v/>
      </c>
      <c r="AJ378" s="108">
        <f>(AV378-Driver!$K$179)/(Driver!$L$179-Driver!$K$179)</f>
        <v/>
      </c>
      <c r="AK378" s="108">
        <f>(AW378-Driver!$K$180)/(Driver!$L$180-Driver!$K$180)</f>
        <v/>
      </c>
      <c r="AL378" s="108">
        <f>(AX378-Driver!$K$181)/(Driver!$L$181-Driver!$K$181)</f>
        <v/>
      </c>
      <c r="AM378" s="108">
        <f>(AY378-Driver!$K$182)/(Driver!$L$182-Driver!$K$182)</f>
        <v/>
      </c>
      <c r="AN378" s="108">
        <f>(AZ378-Driver!$K$183)/(Driver!$L$183-Driver!$K$183)</f>
        <v/>
      </c>
      <c r="AO378" s="108" t="n"/>
      <c r="AP378" s="108" t="n"/>
      <c r="AQ378" s="108">
        <f>(BC378-Driver!$K$188)/(Driver!$L$188-Driver!$K$188)</f>
        <v/>
      </c>
      <c r="AR378" s="108">
        <f>MIN((BD378-Driver!$K$189)/(Driver!$L$189-Driver!$K$189),100%)</f>
        <v/>
      </c>
      <c r="AS378" s="108">
        <f>(BE378-Driver!$K$190)/(Driver!$L$190-Driver!$K$190)</f>
        <v/>
      </c>
      <c r="AT378" s="108">
        <f>(BF378-Driver!$K$191)/(Driver!$L$191-Driver!$K$191)</f>
        <v/>
      </c>
      <c r="AU378" s="108">
        <f>(BG378-Driver!$K$192)/(Driver!$L$192-Driver!$K$192)</f>
        <v/>
      </c>
      <c r="AV378" s="105">
        <f>IFERROR(BM378*BJ378^1/4,"")</f>
        <v/>
      </c>
      <c r="AW378" s="105">
        <f>IFERROR(SUM(AX378:AZ378),"")</f>
        <v/>
      </c>
      <c r="AX378" s="105">
        <f>IFERROR(BH378,"")</f>
        <v/>
      </c>
      <c r="AY378" s="105">
        <f>IFERROR(Driver!$K$19/Data!BH378/Data!BI378*Data!BK378*Data!BL378,"")</f>
        <v/>
      </c>
      <c r="AZ378" s="105">
        <f>IFERROR(BI378*BN378,"")</f>
        <v/>
      </c>
      <c r="BA378" s="105" t="n"/>
      <c r="BB378" s="105" t="n"/>
      <c r="BC378" s="105">
        <f>IFERROR(BI378*BN378*BK378/BJ378^(1/2),"")</f>
        <v/>
      </c>
      <c r="BD378" s="105">
        <f>IFERROR(BH378*BM378*BL378/BJ378/BK378,"")</f>
        <v/>
      </c>
      <c r="BE378" s="105">
        <f>IFERROR(MIN(BI378/BQ378/BP378/BO378/BH378,$BE$1),"")</f>
        <v/>
      </c>
      <c r="BF378" s="105">
        <f>IFERROR(BJ378*BO378*BP378/BK378,"")</f>
        <v/>
      </c>
      <c r="BG378" s="105">
        <f>IFERROR(1/BM378/BH378*BQ378,"")</f>
        <v/>
      </c>
      <c r="BH378" s="102">
        <f>MAX((CE378-Driver!$F$200)/(Driver!$G$200-Driver!$F$200)*$BI$1,1)</f>
        <v/>
      </c>
      <c r="BI378" s="102">
        <f>MAX($BI$1*(BY378-Driver!$F$201)/(Driver!$G$201-Driver!$F$201),1)</f>
        <v/>
      </c>
      <c r="BJ378" s="102">
        <f>(CB378-Driver!$F$206)/(Driver!$G$206-Driver!$F$206)*$BI$1</f>
        <v/>
      </c>
      <c r="BK378" s="102">
        <f>(CD378-Driver!$F$203)/(Driver!$G$203-Driver!$F$203)*$BI$1</f>
        <v/>
      </c>
      <c r="BL378" s="102">
        <f>MAX((CR378-Driver!$F$202)/(Driver!$G$202-Driver!$F$202)*$BI$1,1)</f>
        <v/>
      </c>
      <c r="BM378" s="102">
        <f>MAX((CH378-Driver!$F$204)/(Driver!$G$204-Driver!$F$204)*$BI$1,1)</f>
        <v/>
      </c>
      <c r="BN378" s="102">
        <f>(CI378-Driver!$F$205)/(Driver!$G$205-Driver!$F$205)*$BI$1</f>
        <v/>
      </c>
      <c r="BO378" s="102">
        <f>(CK378-Driver!$F$207)/(Driver!$G$207-Driver!$F$207)*$BI$1</f>
        <v/>
      </c>
      <c r="BP378" s="102">
        <f>(CM378-Driver!$F$208)/(Driver!$G$208-Driver!$F$208)*$BI$1</f>
        <v/>
      </c>
      <c r="BQ378" s="102">
        <f>(CL378-Driver!$F$209)/(Driver!$G$209-Driver!$F$209)*$BI$1</f>
        <v/>
      </c>
      <c r="BR378" s="40" t="inlineStr">
        <is>
          <t>21/22</t>
        </is>
      </c>
      <c r="BS378" s="10" t="inlineStr">
        <is>
          <t xml:space="preserve"> Dynafit</t>
        </is>
      </c>
      <c r="BT378" s="11" t="inlineStr">
        <is>
          <t>Blacklight 95</t>
        </is>
      </c>
      <c r="BU378" s="13" t="n">
        <v>184</v>
      </c>
      <c r="BV378" s="11" t="inlineStr">
        <is>
          <t xml:space="preserve"> Unisex</t>
        </is>
      </c>
      <c r="BW378" s="13" t="n">
        <v>184</v>
      </c>
      <c r="BX378" s="13" t="n">
        <v>182</v>
      </c>
      <c r="BY378" s="13" t="n">
        <v>145</v>
      </c>
      <c r="BZ378" s="13" t="n">
        <v>158</v>
      </c>
      <c r="CA378" s="13" t="n">
        <v>128</v>
      </c>
      <c r="CB378" s="13" t="n">
        <v>96</v>
      </c>
      <c r="CC378" s="13" t="n">
        <v>116</v>
      </c>
      <c r="CD378" s="13" t="n">
        <v>23.7</v>
      </c>
      <c r="CE378" s="13" t="n">
        <v>1367</v>
      </c>
      <c r="CF378" s="13" t="n">
        <v>1.39</v>
      </c>
      <c r="CG378" s="13" t="n">
        <v>1903</v>
      </c>
      <c r="CH378" s="13" t="n">
        <v>292</v>
      </c>
      <c r="CI378" s="13" t="n">
        <v>103</v>
      </c>
      <c r="CJ378" s="13" t="n">
        <v>51</v>
      </c>
      <c r="CK378" s="13" t="n">
        <v>277</v>
      </c>
      <c r="CL378" s="13" t="n">
        <v>8</v>
      </c>
      <c r="CM378" s="13" t="n">
        <v>97</v>
      </c>
      <c r="CN378" s="13" t="n">
        <v>0.157</v>
      </c>
      <c r="CO378" s="13" t="n">
        <v>146</v>
      </c>
      <c r="CP378" s="13" t="n">
        <v>99</v>
      </c>
      <c r="CQ378" s="13" t="n">
        <v>131</v>
      </c>
      <c r="CR378" s="13" t="n">
        <v>6</v>
      </c>
      <c r="CS378" s="13" t="n">
        <v>12.4</v>
      </c>
      <c r="CT378" s="11" t="inlineStr">
        <is>
          <t xml:space="preserve"> Touring</t>
        </is>
      </c>
      <c r="CU378" s="11" t="inlineStr">
        <is>
          <t xml:space="preserve"> Ultralight Touring</t>
        </is>
      </c>
      <c r="CV378" s="13" t="n"/>
      <c r="CW378" s="13" t="n"/>
      <c r="CX378">
        <f>INDEX('Data_Price '!AG$2:AG$1266,MATCH(Data!$DN378,'Data_Price '!$AT$2:$AT$1266,0))</f>
        <v/>
      </c>
      <c r="CY378">
        <f>INDEX('Data_Price '!AH$2:AH$1266,MATCH(Data!$DN378,'Data_Price '!$AT$2:$AT$1266,0))</f>
        <v/>
      </c>
      <c r="CZ378">
        <f>INDEX('Data_Price '!AI$2:AI$1266,MATCH(Data!$DN378,'Data_Price '!$AT$2:$AT$1266,0))</f>
        <v/>
      </c>
      <c r="DA378">
        <f>INDEX('Data_Price '!AJ$2:AJ$1266,MATCH(Data!$DN378,'Data_Price '!$AT$2:$AT$1266,0))</f>
        <v/>
      </c>
      <c r="DB378">
        <f>INDEX('Data_Price '!AK$2:AK$1266,MATCH(Data!$DN378,'Data_Price '!$AT$2:$AT$1266,0))</f>
        <v/>
      </c>
      <c r="DC378">
        <f>INDEX('Data_Price '!AL$2:AL$1266,MATCH(Data!$DN378,'Data_Price '!$AT$2:$AT$1266,0))</f>
        <v/>
      </c>
      <c r="DD378">
        <f>INDEX('Data_Price '!AM$2:AM$1266,MATCH(Data!$DN378,'Data_Price '!$AT$2:$AT$1266,0))</f>
        <v/>
      </c>
      <c r="DE378">
        <f>INDEX('Data_Price '!AN$2:AN$1266,MATCH(Data!$DN378,'Data_Price '!$AT$2:$AT$1266,0))</f>
        <v/>
      </c>
      <c r="DF378">
        <f>INDEX('Data_Price '!AO$2:AO$1266,MATCH(Data!$DN378,'Data_Price '!$AT$2:$AT$1266,0))</f>
        <v/>
      </c>
      <c r="DG378">
        <f>INDEX('Data_Price '!AP$2:AP$1266,MATCH(Data!$DN378,'Data_Price '!$AT$2:$AT$1266,0))</f>
        <v/>
      </c>
      <c r="DH378">
        <f>INDEX('Data_Price '!AQ$2:AQ$1266,MATCH(Data!$DN378,'Data_Price '!$AT$2:$AT$1266,0))</f>
        <v/>
      </c>
      <c r="DI378">
        <f>INDEX('Data_Price '!AR$2:AR$1266,MATCH(Data!$DN378,'Data_Price '!$AT$2:$AT$1266,0))</f>
        <v/>
      </c>
      <c r="DJ378" s="138">
        <f>DA378</f>
        <v/>
      </c>
      <c r="DK378" s="138">
        <f>DE378</f>
        <v/>
      </c>
      <c r="DL378" s="138">
        <f>DI378</f>
        <v/>
      </c>
      <c r="DM378" s="303">
        <f>IF(LEFT(BT378,1)=" ",RIGHT(BT378,LEN(BT378)-1),BT378)</f>
        <v/>
      </c>
      <c r="DN378" s="138">
        <f>_xlfn.CONCAT(BS378,DM378,BU378,BV378)</f>
        <v/>
      </c>
      <c r="DO378" s="307" t="inlineStr">
        <is>
          <t>https://images.evo.com/imgp/250/208965/851019/dynafit-blacklight-95-skis-2022-.jpg</t>
        </is>
      </c>
    </row>
    <row r="379" ht="15.6" customHeight="1" s="184">
      <c r="B379" s="303">
        <f t="array" ref="B379">IF(OR(ISERROR(K379:P379)),FALSE,TRUE)</f>
        <v/>
      </c>
      <c r="C379" s="60">
        <f>OR(BR379=Driver!$G$50,Data!BR930=Driver!$H$50)</f>
        <v/>
      </c>
      <c r="D379" s="60">
        <f>OR(BV379=Driver!$G$51,BV379=Driver!$H$51)</f>
        <v/>
      </c>
      <c r="E379" s="60">
        <f>AND(BX379&gt;Driver!$F$54,BX379&lt;Driver!$G$54)</f>
        <v/>
      </c>
      <c r="F379" s="60">
        <f>CL379&gt;Driver!$F$56</f>
        <v/>
      </c>
      <c r="G379" s="60">
        <f>AND(CB379&gt;Driver!$F$55,CB379&lt;Driver!$G$55)</f>
        <v/>
      </c>
      <c r="H379" s="60">
        <f>AND(B379:G379)</f>
        <v/>
      </c>
      <c r="I379" s="60">
        <f>COUNTIFS($H$9:$H$1273,TRUE,$BT$9:$BT$1273,BT379)</f>
        <v/>
      </c>
      <c r="J379" s="60">
        <f t="array" ref="J379">NOT(OR(($H$9:$H$1273=TRUE)*($I$9:$I$1273&gt;0)*($BT$9:$BT$1273=BT379)*($K$9:$K$1273&gt;K379)))</f>
        <v/>
      </c>
      <c r="K379" s="108">
        <f>IFERROR(1-AVERAGE(X379:Y379),"")</f>
        <v/>
      </c>
      <c r="L379" s="108">
        <f>1-X379</f>
        <v/>
      </c>
      <c r="M379" s="108">
        <f>1-Y379</f>
        <v/>
      </c>
      <c r="N379" s="108">
        <f>1-Z379</f>
        <v/>
      </c>
      <c r="O379" s="108">
        <f>1-AA379</f>
        <v/>
      </c>
      <c r="P379" s="108">
        <f>1-AB379</f>
        <v/>
      </c>
      <c r="Q379" s="108" t="n"/>
      <c r="R379" s="108" t="n"/>
      <c r="S379" s="108">
        <f>1-AE379</f>
        <v/>
      </c>
      <c r="T379" s="108">
        <f>1-AF379</f>
        <v/>
      </c>
      <c r="U379" s="108">
        <f>1-AG379</f>
        <v/>
      </c>
      <c r="V379" s="108">
        <f>1-AH379</f>
        <v/>
      </c>
      <c r="W379" s="108">
        <f>1-AI379</f>
        <v/>
      </c>
      <c r="X379" s="108">
        <f>ABS(AJ379-AJ$1)</f>
        <v/>
      </c>
      <c r="Y379" s="108">
        <f>AVERAGE(Z379:AB379)</f>
        <v/>
      </c>
      <c r="Z379" s="108">
        <f>ABS(AL379-AL$1)</f>
        <v/>
      </c>
      <c r="AA379" s="108">
        <f>ABS(AM379-AM$1)</f>
        <v/>
      </c>
      <c r="AB379" s="108">
        <f>ABS(AN379-AN$1)</f>
        <v/>
      </c>
      <c r="AC379" s="108" t="n"/>
      <c r="AD379" s="108" t="n"/>
      <c r="AE379" s="108">
        <f>ABS(AQ$1-AQ379)</f>
        <v/>
      </c>
      <c r="AF379" s="108">
        <f>ABS(AR$1-AR379)</f>
        <v/>
      </c>
      <c r="AG379" s="108">
        <f>ABS(AS$1-AS379)</f>
        <v/>
      </c>
      <c r="AH379" s="108">
        <f>ABS(AT$1-AT379)</f>
        <v/>
      </c>
      <c r="AI379" s="108">
        <f>ABS(AU$1-AU379)</f>
        <v/>
      </c>
      <c r="AJ379" s="108">
        <f>(AV379-Driver!$K$179)/(Driver!$L$179-Driver!$K$179)</f>
        <v/>
      </c>
      <c r="AK379" s="108">
        <f>(AW379-Driver!$K$180)/(Driver!$L$180-Driver!$K$180)</f>
        <v/>
      </c>
      <c r="AL379" s="108">
        <f>(AX379-Driver!$K$181)/(Driver!$L$181-Driver!$K$181)</f>
        <v/>
      </c>
      <c r="AM379" s="108">
        <f>(AY379-Driver!$K$182)/(Driver!$L$182-Driver!$K$182)</f>
        <v/>
      </c>
      <c r="AN379" s="108">
        <f>(AZ379-Driver!$K$183)/(Driver!$L$183-Driver!$K$183)</f>
        <v/>
      </c>
      <c r="AO379" s="108" t="n"/>
      <c r="AP379" s="108" t="n"/>
      <c r="AQ379" s="108">
        <f>(BC379-Driver!$K$188)/(Driver!$L$188-Driver!$K$188)</f>
        <v/>
      </c>
      <c r="AR379" s="108">
        <f>MIN((BD379-Driver!$K$189)/(Driver!$L$189-Driver!$K$189),100%)</f>
        <v/>
      </c>
      <c r="AS379" s="108">
        <f>(BE379-Driver!$K$190)/(Driver!$L$190-Driver!$K$190)</f>
        <v/>
      </c>
      <c r="AT379" s="108">
        <f>(BF379-Driver!$K$191)/(Driver!$L$191-Driver!$K$191)</f>
        <v/>
      </c>
      <c r="AU379" s="108">
        <f>(BG379-Driver!$K$192)/(Driver!$L$192-Driver!$K$192)</f>
        <v/>
      </c>
      <c r="AV379" s="105">
        <f>IFERROR(BM379*BJ379^1/4,"")</f>
        <v/>
      </c>
      <c r="AW379" s="105">
        <f>IFERROR(SUM(AX379:AZ379),"")</f>
        <v/>
      </c>
      <c r="AX379" s="105">
        <f>IFERROR(BH379,"")</f>
        <v/>
      </c>
      <c r="AY379" s="105">
        <f>IFERROR(Driver!$K$19/Data!BH379/Data!BI379*Data!BK379*Data!BL379,"")</f>
        <v/>
      </c>
      <c r="AZ379" s="105">
        <f>IFERROR(BI379*BN379,"")</f>
        <v/>
      </c>
      <c r="BA379" s="105" t="n"/>
      <c r="BB379" s="105" t="n"/>
      <c r="BC379" s="105">
        <f>IFERROR(BI379*BN379*BK379/BJ379^(1/2),"")</f>
        <v/>
      </c>
      <c r="BD379" s="105">
        <f>IFERROR(BH379*BM379*BL379/BJ379/BK379,"")</f>
        <v/>
      </c>
      <c r="BE379" s="105">
        <f>IFERROR(MIN(BI379/BQ379/BP379/BO379/BH379,$BE$1),"")</f>
        <v/>
      </c>
      <c r="BF379" s="105">
        <f>IFERROR(BJ379*BO379*BP379/BK379,"")</f>
        <v/>
      </c>
      <c r="BG379" s="105">
        <f>IFERROR(1/BM379/BH379*BQ379,"")</f>
        <v/>
      </c>
      <c r="BH379" s="102">
        <f>MAX((CE379-Driver!$F$200)/(Driver!$G$200-Driver!$F$200)*$BI$1,1)</f>
        <v/>
      </c>
      <c r="BI379" s="102">
        <f>MAX($BI$1*(BY379-Driver!$F$201)/(Driver!$G$201-Driver!$F$201),1)</f>
        <v/>
      </c>
      <c r="BJ379" s="102">
        <f>(CB379-Driver!$F$206)/(Driver!$G$206-Driver!$F$206)*$BI$1</f>
        <v/>
      </c>
      <c r="BK379" s="102">
        <f>(CD379-Driver!$F$203)/(Driver!$G$203-Driver!$F$203)*$BI$1</f>
        <v/>
      </c>
      <c r="BL379" s="102">
        <f>MAX((CR379-Driver!$F$202)/(Driver!$G$202-Driver!$F$202)*$BI$1,1)</f>
        <v/>
      </c>
      <c r="BM379" s="102">
        <f>MAX((CH379-Driver!$F$204)/(Driver!$G$204-Driver!$F$204)*$BI$1,1)</f>
        <v/>
      </c>
      <c r="BN379" s="102">
        <f>(CI379-Driver!$F$205)/(Driver!$G$205-Driver!$F$205)*$BI$1</f>
        <v/>
      </c>
      <c r="BO379" s="102">
        <f>(CK379-Driver!$F$207)/(Driver!$G$207-Driver!$F$207)*$BI$1</f>
        <v/>
      </c>
      <c r="BP379" s="102">
        <f>(CM379-Driver!$F$208)/(Driver!$G$208-Driver!$F$208)*$BI$1</f>
        <v/>
      </c>
      <c r="BQ379" s="102">
        <f>(CL379-Driver!$F$209)/(Driver!$G$209-Driver!$F$209)*$BI$1</f>
        <v/>
      </c>
      <c r="BR379" s="40" t="inlineStr">
        <is>
          <t>21/22</t>
        </is>
      </c>
      <c r="BS379" s="10" t="inlineStr">
        <is>
          <t xml:space="preserve"> Nordica</t>
        </is>
      </c>
      <c r="BT379" s="11" t="inlineStr">
        <is>
          <t>Santa Ana 98</t>
        </is>
      </c>
      <c r="BU379" s="13" t="n">
        <v>172</v>
      </c>
      <c r="BV379" s="11" t="inlineStr">
        <is>
          <t xml:space="preserve"> Women's</t>
        </is>
      </c>
      <c r="BW379" s="13" t="n">
        <v>172</v>
      </c>
      <c r="BX379" s="13" t="n">
        <v>171.1</v>
      </c>
      <c r="BY379" s="13" t="n">
        <v>120</v>
      </c>
      <c r="BZ379" s="13" t="n">
        <v>142</v>
      </c>
      <c r="CA379" s="13" t="n">
        <v>132</v>
      </c>
      <c r="CB379" s="13" t="n">
        <v>99</v>
      </c>
      <c r="CC379" s="13" t="n">
        <v>119</v>
      </c>
      <c r="CD379" s="13" t="n">
        <v>16.9</v>
      </c>
      <c r="CE379" s="13" t="n">
        <v>1927</v>
      </c>
      <c r="CF379" s="13" t="n">
        <v>0.97</v>
      </c>
      <c r="CG379" s="13" t="n">
        <v>1877</v>
      </c>
      <c r="CH379" s="13" t="n">
        <v>192</v>
      </c>
      <c r="CI379" s="13" t="n">
        <v>99</v>
      </c>
      <c r="CJ379" s="13" t="n">
        <v>62</v>
      </c>
      <c r="CK379" s="13" t="n">
        <v>296</v>
      </c>
      <c r="CL379" s="13" t="n">
        <v>21</v>
      </c>
      <c r="CM379" s="13" t="n">
        <v>213</v>
      </c>
      <c r="CN379" s="13" t="n">
        <v>0.344</v>
      </c>
      <c r="CO379" s="13" t="n">
        <v>142</v>
      </c>
      <c r="CP379" s="13" t="n">
        <v>150</v>
      </c>
      <c r="CQ379" s="13" t="n">
        <v>154</v>
      </c>
      <c r="CR379" s="13" t="n">
        <v>5</v>
      </c>
      <c r="CS379" s="13" t="n">
        <v>8.199999999999999</v>
      </c>
      <c r="CT379" s="11" t="inlineStr">
        <is>
          <t xml:space="preserve"> Resort Freeride</t>
        </is>
      </c>
      <c r="CU379" s="13" t="n"/>
      <c r="CV379" s="13" t="n"/>
      <c r="CW379" s="13" t="n"/>
      <c r="CX379">
        <f>INDEX('Data_Price '!AG$2:AG$1266,MATCH(Data!$DN379,'Data_Price '!$AT$2:$AT$1266,0))</f>
        <v/>
      </c>
      <c r="CY379">
        <f>INDEX('Data_Price '!AH$2:AH$1266,MATCH(Data!$DN379,'Data_Price '!$AT$2:$AT$1266,0))</f>
        <v/>
      </c>
      <c r="CZ379">
        <f>INDEX('Data_Price '!AI$2:AI$1266,MATCH(Data!$DN379,'Data_Price '!$AT$2:$AT$1266,0))</f>
        <v/>
      </c>
      <c r="DA379">
        <f>INDEX('Data_Price '!AJ$2:AJ$1266,MATCH(Data!$DN379,'Data_Price '!$AT$2:$AT$1266,0))</f>
        <v/>
      </c>
      <c r="DB379">
        <f>INDEX('Data_Price '!AK$2:AK$1266,MATCH(Data!$DN379,'Data_Price '!$AT$2:$AT$1266,0))</f>
        <v/>
      </c>
      <c r="DC379">
        <f>INDEX('Data_Price '!AL$2:AL$1266,MATCH(Data!$DN379,'Data_Price '!$AT$2:$AT$1266,0))</f>
        <v/>
      </c>
      <c r="DD379">
        <f>INDEX('Data_Price '!AM$2:AM$1266,MATCH(Data!$DN379,'Data_Price '!$AT$2:$AT$1266,0))</f>
        <v/>
      </c>
      <c r="DE379">
        <f>INDEX('Data_Price '!AN$2:AN$1266,MATCH(Data!$DN379,'Data_Price '!$AT$2:$AT$1266,0))</f>
        <v/>
      </c>
      <c r="DF379">
        <f>INDEX('Data_Price '!AO$2:AO$1266,MATCH(Data!$DN379,'Data_Price '!$AT$2:$AT$1266,0))</f>
        <v/>
      </c>
      <c r="DG379">
        <f>INDEX('Data_Price '!AP$2:AP$1266,MATCH(Data!$DN379,'Data_Price '!$AT$2:$AT$1266,0))</f>
        <v/>
      </c>
      <c r="DH379">
        <f>INDEX('Data_Price '!AQ$2:AQ$1266,MATCH(Data!$DN379,'Data_Price '!$AT$2:$AT$1266,0))</f>
        <v/>
      </c>
      <c r="DI379">
        <f>INDEX('Data_Price '!AR$2:AR$1266,MATCH(Data!$DN379,'Data_Price '!$AT$2:$AT$1266,0))</f>
        <v/>
      </c>
      <c r="DJ379" s="138">
        <f>DA379</f>
        <v/>
      </c>
      <c r="DK379" s="138">
        <f>DE379</f>
        <v/>
      </c>
      <c r="DL379" s="138">
        <f>DI379</f>
        <v/>
      </c>
      <c r="DM379" s="303">
        <f>IF(LEFT(BT379,1)=" ",RIGHT(BT379,LEN(BT379)-1),BT379)</f>
        <v/>
      </c>
      <c r="DN379" s="138">
        <f>_xlfn.CONCAT(BS379,DM379,BU379,BV379)</f>
        <v/>
      </c>
      <c r="DO379" s="307" t="inlineStr">
        <is>
          <t>https://images.evo.com/imgp/250/198262/792324/nordica-santa-ana-98-skis-women-s-2022-.jpg</t>
        </is>
      </c>
    </row>
    <row r="380" ht="15.6" customHeight="1" s="184">
      <c r="B380" s="303">
        <f t="array" ref="B380">IF(OR(ISERROR(K380:P380)),FALSE,TRUE)</f>
        <v/>
      </c>
      <c r="C380" s="60">
        <f>OR(BR380=Driver!$G$50,Data!BR1216=Driver!$H$50)</f>
        <v/>
      </c>
      <c r="D380" s="60">
        <f>OR(BV380=Driver!$G$51,BV380=Driver!$H$51)</f>
        <v/>
      </c>
      <c r="E380" s="60">
        <f>AND(BX380&gt;Driver!$F$54,BX380&lt;Driver!$G$54)</f>
        <v/>
      </c>
      <c r="F380" s="60">
        <f>CL380&gt;Driver!$F$56</f>
        <v/>
      </c>
      <c r="G380" s="60">
        <f>AND(CB380&gt;Driver!$F$55,CB380&lt;Driver!$G$55)</f>
        <v/>
      </c>
      <c r="H380" s="60">
        <f>AND(B380:G380)</f>
        <v/>
      </c>
      <c r="I380" s="60">
        <f>COUNTIFS($H$9:$H$1273,TRUE,$BT$9:$BT$1273,BT380)</f>
        <v/>
      </c>
      <c r="J380" s="60">
        <f t="array" ref="J380">NOT(OR(($H$9:$H$1273=TRUE)*($I$9:$I$1273&gt;0)*($BT$9:$BT$1273=BT380)*($K$9:$K$1273&gt;K380)))</f>
        <v/>
      </c>
      <c r="K380" s="108">
        <f>IFERROR(1-AVERAGE(X380:Y380),"")</f>
        <v/>
      </c>
      <c r="L380" s="108">
        <f>1-X380</f>
        <v/>
      </c>
      <c r="M380" s="108">
        <f>1-Y380</f>
        <v/>
      </c>
      <c r="N380" s="108">
        <f>1-Z380</f>
        <v/>
      </c>
      <c r="O380" s="108">
        <f>1-AA380</f>
        <v/>
      </c>
      <c r="P380" s="108">
        <f>1-AB380</f>
        <v/>
      </c>
      <c r="Q380" s="108" t="n"/>
      <c r="R380" s="108" t="n"/>
      <c r="S380" s="108">
        <f>1-AE380</f>
        <v/>
      </c>
      <c r="T380" s="108">
        <f>1-AF380</f>
        <v/>
      </c>
      <c r="U380" s="108">
        <f>1-AG380</f>
        <v/>
      </c>
      <c r="V380" s="108">
        <f>1-AH380</f>
        <v/>
      </c>
      <c r="W380" s="108">
        <f>1-AI380</f>
        <v/>
      </c>
      <c r="X380" s="108">
        <f>ABS(AJ380-AJ$1)</f>
        <v/>
      </c>
      <c r="Y380" s="108">
        <f>AVERAGE(Z380:AB380)</f>
        <v/>
      </c>
      <c r="Z380" s="108">
        <f>ABS(AL380-AL$1)</f>
        <v/>
      </c>
      <c r="AA380" s="108">
        <f>ABS(AM380-AM$1)</f>
        <v/>
      </c>
      <c r="AB380" s="108">
        <f>ABS(AN380-AN$1)</f>
        <v/>
      </c>
      <c r="AC380" s="108" t="n"/>
      <c r="AD380" s="108" t="n"/>
      <c r="AE380" s="108">
        <f>ABS(AQ$1-AQ380)</f>
        <v/>
      </c>
      <c r="AF380" s="108">
        <f>ABS(AR$1-AR380)</f>
        <v/>
      </c>
      <c r="AG380" s="108">
        <f>ABS(AS$1-AS380)</f>
        <v/>
      </c>
      <c r="AH380" s="108">
        <f>ABS(AT$1-AT380)</f>
        <v/>
      </c>
      <c r="AI380" s="108">
        <f>ABS(AU$1-AU380)</f>
        <v/>
      </c>
      <c r="AJ380" s="108">
        <f>(AV380-Driver!$K$179)/(Driver!$L$179-Driver!$K$179)</f>
        <v/>
      </c>
      <c r="AK380" s="108">
        <f>(AW380-Driver!$K$180)/(Driver!$L$180-Driver!$K$180)</f>
        <v/>
      </c>
      <c r="AL380" s="108">
        <f>(AX380-Driver!$K$181)/(Driver!$L$181-Driver!$K$181)</f>
        <v/>
      </c>
      <c r="AM380" s="108">
        <f>(AY380-Driver!$K$182)/(Driver!$L$182-Driver!$K$182)</f>
        <v/>
      </c>
      <c r="AN380" s="108">
        <f>(AZ380-Driver!$K$183)/(Driver!$L$183-Driver!$K$183)</f>
        <v/>
      </c>
      <c r="AO380" s="108" t="n"/>
      <c r="AP380" s="108" t="n"/>
      <c r="AQ380" s="108">
        <f>(BC380-Driver!$K$188)/(Driver!$L$188-Driver!$K$188)</f>
        <v/>
      </c>
      <c r="AR380" s="108">
        <f>MIN((BD380-Driver!$K$189)/(Driver!$L$189-Driver!$K$189),100%)</f>
        <v/>
      </c>
      <c r="AS380" s="108">
        <f>(BE380-Driver!$K$190)/(Driver!$L$190-Driver!$K$190)</f>
        <v/>
      </c>
      <c r="AT380" s="108">
        <f>(BF380-Driver!$K$191)/(Driver!$L$191-Driver!$K$191)</f>
        <v/>
      </c>
      <c r="AU380" s="108">
        <f>(BG380-Driver!$K$192)/(Driver!$L$192-Driver!$K$192)</f>
        <v/>
      </c>
      <c r="AV380" s="105">
        <f>IFERROR(BM380*BJ380^1/4,"")</f>
        <v/>
      </c>
      <c r="AW380" s="105">
        <f>IFERROR(SUM(AX380:AZ380),"")</f>
        <v/>
      </c>
      <c r="AX380" s="105">
        <f>IFERROR(BH380,"")</f>
        <v/>
      </c>
      <c r="AY380" s="105">
        <f>IFERROR(Driver!$K$19/Data!BH380/Data!BI380*Data!BK380*Data!BL380,"")</f>
        <v/>
      </c>
      <c r="AZ380" s="105">
        <f>IFERROR(BI380*BN380,"")</f>
        <v/>
      </c>
      <c r="BA380" s="105" t="n"/>
      <c r="BB380" s="105" t="n"/>
      <c r="BC380" s="105">
        <f>IFERROR(BI380*BN380*BK380/BJ380^(1/2),"")</f>
        <v/>
      </c>
      <c r="BD380" s="105">
        <f>IFERROR(BH380*BM380*BL380/BJ380/BK380,"")</f>
        <v/>
      </c>
      <c r="BE380" s="105">
        <f>IFERROR(MIN(BI380/BQ380/BP380/BO380/BH380,$BE$1),"")</f>
        <v/>
      </c>
      <c r="BF380" s="105">
        <f>IFERROR(BJ380*BO380*BP380/BK380,"")</f>
        <v/>
      </c>
      <c r="BG380" s="105">
        <f>IFERROR(1/BM380/BH380*BQ380,"")</f>
        <v/>
      </c>
      <c r="BH380" s="102">
        <f>MAX((CE380-Driver!$F$200)/(Driver!$G$200-Driver!$F$200)*$BI$1,1)</f>
        <v/>
      </c>
      <c r="BI380" s="102">
        <f>MAX($BI$1*(BY380-Driver!$F$201)/(Driver!$G$201-Driver!$F$201),1)</f>
        <v/>
      </c>
      <c r="BJ380" s="102">
        <f>(CB380-Driver!$F$206)/(Driver!$G$206-Driver!$F$206)*$BI$1</f>
        <v/>
      </c>
      <c r="BK380" s="102">
        <f>(CD380-Driver!$F$203)/(Driver!$G$203-Driver!$F$203)*$BI$1</f>
        <v/>
      </c>
      <c r="BL380" s="102">
        <f>MAX((CR380-Driver!$F$202)/(Driver!$G$202-Driver!$F$202)*$BI$1,1)</f>
        <v/>
      </c>
      <c r="BM380" s="102">
        <f>MAX((CH380-Driver!$F$204)/(Driver!$G$204-Driver!$F$204)*$BI$1,1)</f>
        <v/>
      </c>
      <c r="BN380" s="102">
        <f>(CI380-Driver!$F$205)/(Driver!$G$205-Driver!$F$205)*$BI$1</f>
        <v/>
      </c>
      <c r="BO380" s="102">
        <f>(CK380-Driver!$F$207)/(Driver!$G$207-Driver!$F$207)*$BI$1</f>
        <v/>
      </c>
      <c r="BP380" s="102">
        <f>(CM380-Driver!$F$208)/(Driver!$G$208-Driver!$F$208)*$BI$1</f>
        <v/>
      </c>
      <c r="BQ380" s="102">
        <f>(CL380-Driver!$F$209)/(Driver!$G$209-Driver!$F$209)*$BI$1</f>
        <v/>
      </c>
      <c r="BR380" s="40" t="inlineStr">
        <is>
          <t>21/22</t>
        </is>
      </c>
      <c r="BS380" s="10" t="inlineStr">
        <is>
          <t xml:space="preserve"> Völkl</t>
        </is>
      </c>
      <c r="BT380" s="11" t="inlineStr">
        <is>
          <t>M6 Mantra</t>
        </is>
      </c>
      <c r="BU380" s="13" t="n">
        <v>163</v>
      </c>
      <c r="BV380" s="11" t="inlineStr">
        <is>
          <t xml:space="preserve"> Unisex</t>
        </is>
      </c>
      <c r="BW380" s="13" t="n">
        <v>163</v>
      </c>
      <c r="BX380" s="13" t="n">
        <v>163.4</v>
      </c>
      <c r="BY380" s="13" t="n">
        <v>124</v>
      </c>
      <c r="BZ380" s="13" t="n">
        <v>140</v>
      </c>
      <c r="CA380" s="13" t="n">
        <v>134</v>
      </c>
      <c r="CB380" s="13" t="n">
        <v>95</v>
      </c>
      <c r="CC380" s="13" t="n">
        <v>118</v>
      </c>
      <c r="CD380" s="13" t="n">
        <v>15.2</v>
      </c>
      <c r="CE380" s="13" t="n">
        <v>1813</v>
      </c>
      <c r="CF380" s="13" t="n">
        <v>0.97</v>
      </c>
      <c r="CG380" s="13" t="n">
        <v>1756</v>
      </c>
      <c r="CH380" s="13" t="n">
        <v>181</v>
      </c>
      <c r="CI380" s="13" t="n">
        <v>119</v>
      </c>
      <c r="CJ380" s="13" t="n">
        <v>46</v>
      </c>
      <c r="CK380" s="13" t="n">
        <v>234</v>
      </c>
      <c r="CL380" s="13" t="n">
        <v>15</v>
      </c>
      <c r="CM380" s="13" t="n">
        <v>163</v>
      </c>
      <c r="CN380" s="13" t="n">
        <v>0.326</v>
      </c>
      <c r="CO380" s="13" t="n">
        <v>133</v>
      </c>
      <c r="CP380" s="13" t="n">
        <v>100</v>
      </c>
      <c r="CQ380" s="13" t="n">
        <v>101</v>
      </c>
      <c r="CR380" s="13" t="n">
        <v>4</v>
      </c>
      <c r="CS380" s="13" t="n">
        <v>11.1</v>
      </c>
      <c r="CT380" s="11" t="inlineStr">
        <is>
          <t xml:space="preserve"> Resort Freeride</t>
        </is>
      </c>
      <c r="CU380" s="13" t="n"/>
      <c r="CV380" s="13" t="n"/>
      <c r="CW380" s="13" t="n"/>
      <c r="CX380">
        <f>INDEX('Data_Price '!AG$2:AG$1266,MATCH(Data!$DN380,'Data_Price '!$AT$2:$AT$1266,0))</f>
        <v/>
      </c>
      <c r="CY380">
        <f>INDEX('Data_Price '!AH$2:AH$1266,MATCH(Data!$DN380,'Data_Price '!$AT$2:$AT$1266,0))</f>
        <v/>
      </c>
      <c r="CZ380">
        <f>INDEX('Data_Price '!AI$2:AI$1266,MATCH(Data!$DN380,'Data_Price '!$AT$2:$AT$1266,0))</f>
        <v/>
      </c>
      <c r="DA380">
        <f>INDEX('Data_Price '!AJ$2:AJ$1266,MATCH(Data!$DN380,'Data_Price '!$AT$2:$AT$1266,0))</f>
        <v/>
      </c>
      <c r="DB380">
        <f>INDEX('Data_Price '!AK$2:AK$1266,MATCH(Data!$DN380,'Data_Price '!$AT$2:$AT$1266,0))</f>
        <v/>
      </c>
      <c r="DC380">
        <f>INDEX('Data_Price '!AL$2:AL$1266,MATCH(Data!$DN380,'Data_Price '!$AT$2:$AT$1266,0))</f>
        <v/>
      </c>
      <c r="DD380">
        <f>INDEX('Data_Price '!AM$2:AM$1266,MATCH(Data!$DN380,'Data_Price '!$AT$2:$AT$1266,0))</f>
        <v/>
      </c>
      <c r="DE380">
        <f>INDEX('Data_Price '!AN$2:AN$1266,MATCH(Data!$DN380,'Data_Price '!$AT$2:$AT$1266,0))</f>
        <v/>
      </c>
      <c r="DF380">
        <f>INDEX('Data_Price '!AO$2:AO$1266,MATCH(Data!$DN380,'Data_Price '!$AT$2:$AT$1266,0))</f>
        <v/>
      </c>
      <c r="DG380">
        <f>INDEX('Data_Price '!AP$2:AP$1266,MATCH(Data!$DN380,'Data_Price '!$AT$2:$AT$1266,0))</f>
        <v/>
      </c>
      <c r="DH380">
        <f>INDEX('Data_Price '!AQ$2:AQ$1266,MATCH(Data!$DN380,'Data_Price '!$AT$2:$AT$1266,0))</f>
        <v/>
      </c>
      <c r="DI380">
        <f>INDEX('Data_Price '!AR$2:AR$1266,MATCH(Data!$DN380,'Data_Price '!$AT$2:$AT$1266,0))</f>
        <v/>
      </c>
      <c r="DJ380" s="138">
        <f>DA380</f>
        <v/>
      </c>
      <c r="DK380" s="138">
        <f>DE380</f>
        <v/>
      </c>
      <c r="DL380" s="138">
        <f>DI380</f>
        <v/>
      </c>
      <c r="DM380" s="303">
        <f>IF(LEFT(BT380,1)=" ",RIGHT(BT380,LEN(BT380)-1),BT380)</f>
        <v/>
      </c>
      <c r="DN380" s="138">
        <f>_xlfn.CONCAT(BS380,DM380,BU380,BV380)</f>
        <v/>
      </c>
      <c r="DO380" s="307" t="inlineStr">
        <is>
          <t>https://images.evo.com/imgp/250/201958/795901/volkl-m6-mantra-skis-2022-.jpg</t>
        </is>
      </c>
    </row>
    <row r="381" ht="15.6" customHeight="1" s="184">
      <c r="B381" s="303">
        <f t="array" ref="B381">IF(OR(ISERROR(K381:P381)),FALSE,TRUE)</f>
        <v/>
      </c>
      <c r="C381" s="60">
        <f>OR(BR381=Driver!$G$50,Data!BR77=Driver!$H$50)</f>
        <v/>
      </c>
      <c r="D381" s="60">
        <f>OR(BV381=Driver!$G$51,BV381=Driver!$H$51)</f>
        <v/>
      </c>
      <c r="E381" s="60">
        <f>AND(BX381&gt;Driver!$F$54,BX381&lt;Driver!$G$54)</f>
        <v/>
      </c>
      <c r="F381" s="60">
        <f>CL381&gt;Driver!$F$56</f>
        <v/>
      </c>
      <c r="G381" s="60">
        <f>AND(CB381&gt;Driver!$F$55,CB381&lt;Driver!$G$55)</f>
        <v/>
      </c>
      <c r="H381" s="60">
        <f>AND(B381:G381)</f>
        <v/>
      </c>
      <c r="I381" s="60">
        <f>COUNTIFS($H$9:$H$1273,TRUE,$BT$9:$BT$1273,BT381)</f>
        <v/>
      </c>
      <c r="J381" s="60">
        <f t="array" ref="J381">NOT(OR(($H$9:$H$1273=TRUE)*($I$9:$I$1273&gt;0)*($BT$9:$BT$1273=BT381)*($K$9:$K$1273&gt;K381)))</f>
        <v/>
      </c>
      <c r="K381" s="108">
        <f>IFERROR(1-AVERAGE(X381:Y381),"")</f>
        <v/>
      </c>
      <c r="L381" s="108">
        <f>1-X381</f>
        <v/>
      </c>
      <c r="M381" s="108">
        <f>1-Y381</f>
        <v/>
      </c>
      <c r="N381" s="108">
        <f>1-Z381</f>
        <v/>
      </c>
      <c r="O381" s="108">
        <f>1-AA381</f>
        <v/>
      </c>
      <c r="P381" s="108">
        <f>1-AB381</f>
        <v/>
      </c>
      <c r="Q381" s="108" t="n"/>
      <c r="R381" s="108" t="n"/>
      <c r="S381" s="108">
        <f>1-AE381</f>
        <v/>
      </c>
      <c r="T381" s="108">
        <f>1-AF381</f>
        <v/>
      </c>
      <c r="U381" s="108">
        <f>1-AG381</f>
        <v/>
      </c>
      <c r="V381" s="108">
        <f>1-AH381</f>
        <v/>
      </c>
      <c r="W381" s="108">
        <f>1-AI381</f>
        <v/>
      </c>
      <c r="X381" s="108">
        <f>ABS(AJ381-AJ$1)</f>
        <v/>
      </c>
      <c r="Y381" s="108">
        <f>AVERAGE(Z381:AB381)</f>
        <v/>
      </c>
      <c r="Z381" s="108">
        <f>ABS(AL381-AL$1)</f>
        <v/>
      </c>
      <c r="AA381" s="108">
        <f>ABS(AM381-AM$1)</f>
        <v/>
      </c>
      <c r="AB381" s="108">
        <f>ABS(AN381-AN$1)</f>
        <v/>
      </c>
      <c r="AC381" s="108" t="n"/>
      <c r="AD381" s="108" t="n"/>
      <c r="AE381" s="108">
        <f>ABS(AQ$1-AQ381)</f>
        <v/>
      </c>
      <c r="AF381" s="108">
        <f>ABS(AR$1-AR381)</f>
        <v/>
      </c>
      <c r="AG381" s="108">
        <f>ABS(AS$1-AS381)</f>
        <v/>
      </c>
      <c r="AH381" s="108">
        <f>ABS(AT$1-AT381)</f>
        <v/>
      </c>
      <c r="AI381" s="108">
        <f>ABS(AU$1-AU381)</f>
        <v/>
      </c>
      <c r="AJ381" s="108">
        <f>(AV381-Driver!$K$179)/(Driver!$L$179-Driver!$K$179)</f>
        <v/>
      </c>
      <c r="AK381" s="108">
        <f>(AW381-Driver!$K$180)/(Driver!$L$180-Driver!$K$180)</f>
        <v/>
      </c>
      <c r="AL381" s="108">
        <f>(AX381-Driver!$K$181)/(Driver!$L$181-Driver!$K$181)</f>
        <v/>
      </c>
      <c r="AM381" s="108">
        <f>(AY381-Driver!$K$182)/(Driver!$L$182-Driver!$K$182)</f>
        <v/>
      </c>
      <c r="AN381" s="108">
        <f>(AZ381-Driver!$K$183)/(Driver!$L$183-Driver!$K$183)</f>
        <v/>
      </c>
      <c r="AO381" s="108" t="n"/>
      <c r="AP381" s="108" t="n"/>
      <c r="AQ381" s="108">
        <f>(BC381-Driver!$K$188)/(Driver!$L$188-Driver!$K$188)</f>
        <v/>
      </c>
      <c r="AR381" s="108">
        <f>MIN((BD381-Driver!$K$189)/(Driver!$L$189-Driver!$K$189),100%)</f>
        <v/>
      </c>
      <c r="AS381" s="108">
        <f>(BE381-Driver!$K$190)/(Driver!$L$190-Driver!$K$190)</f>
        <v/>
      </c>
      <c r="AT381" s="108">
        <f>(BF381-Driver!$K$191)/(Driver!$L$191-Driver!$K$191)</f>
        <v/>
      </c>
      <c r="AU381" s="108">
        <f>(BG381-Driver!$K$192)/(Driver!$L$192-Driver!$K$192)</f>
        <v/>
      </c>
      <c r="AV381" s="105">
        <f>IFERROR(BM381*BJ381^1/4,"")</f>
        <v/>
      </c>
      <c r="AW381" s="105">
        <f>IFERROR(SUM(AX381:AZ381),"")</f>
        <v/>
      </c>
      <c r="AX381" s="105">
        <f>IFERROR(BH381,"")</f>
        <v/>
      </c>
      <c r="AY381" s="105">
        <f>IFERROR(Driver!$K$19/Data!BH381/Data!BI381*Data!BK381*Data!BL381,"")</f>
        <v/>
      </c>
      <c r="AZ381" s="105">
        <f>IFERROR(BI381*BN381,"")</f>
        <v/>
      </c>
      <c r="BA381" s="105" t="n"/>
      <c r="BB381" s="105" t="n"/>
      <c r="BC381" s="105">
        <f>IFERROR(BI381*BN381*BK381/BJ381^(1/2),"")</f>
        <v/>
      </c>
      <c r="BD381" s="105">
        <f>IFERROR(BH381*BM381*BL381/BJ381/BK381,"")</f>
        <v/>
      </c>
      <c r="BE381" s="105">
        <f>IFERROR(MIN(BI381/BQ381/BP381/BO381/BH381,$BE$1),"")</f>
        <v/>
      </c>
      <c r="BF381" s="105">
        <f>IFERROR(BJ381*BO381*BP381/BK381,"")</f>
        <v/>
      </c>
      <c r="BG381" s="105">
        <f>IFERROR(1/BM381/BH381*BQ381,"")</f>
        <v/>
      </c>
      <c r="BH381" s="102">
        <f>MAX((CE381-Driver!$F$200)/(Driver!$G$200-Driver!$F$200)*$BI$1,1)</f>
        <v/>
      </c>
      <c r="BI381" s="102">
        <f>MAX($BI$1*(BY381-Driver!$F$201)/(Driver!$G$201-Driver!$F$201),1)</f>
        <v/>
      </c>
      <c r="BJ381" s="102">
        <f>(CB381-Driver!$F$206)/(Driver!$G$206-Driver!$F$206)*$BI$1</f>
        <v/>
      </c>
      <c r="BK381" s="102">
        <f>(CD381-Driver!$F$203)/(Driver!$G$203-Driver!$F$203)*$BI$1</f>
        <v/>
      </c>
      <c r="BL381" s="102">
        <f>MAX((CR381-Driver!$F$202)/(Driver!$G$202-Driver!$F$202)*$BI$1,1)</f>
        <v/>
      </c>
      <c r="BM381" s="102">
        <f>MAX((CH381-Driver!$F$204)/(Driver!$G$204-Driver!$F$204)*$BI$1,1)</f>
        <v/>
      </c>
      <c r="BN381" s="102">
        <f>(CI381-Driver!$F$205)/(Driver!$G$205-Driver!$F$205)*$BI$1</f>
        <v/>
      </c>
      <c r="BO381" s="102">
        <f>(CK381-Driver!$F$207)/(Driver!$G$207-Driver!$F$207)*$BI$1</f>
        <v/>
      </c>
      <c r="BP381" s="102">
        <f>(CM381-Driver!$F$208)/(Driver!$G$208-Driver!$F$208)*$BI$1</f>
        <v/>
      </c>
      <c r="BQ381" s="102">
        <f>(CL381-Driver!$F$209)/(Driver!$G$209-Driver!$F$209)*$BI$1</f>
        <v/>
      </c>
      <c r="BR381" s="40" t="inlineStr">
        <is>
          <t>21/22</t>
        </is>
      </c>
      <c r="BS381" s="10" t="inlineStr">
        <is>
          <t xml:space="preserve"> Armada</t>
        </is>
      </c>
      <c r="BT381" s="11" t="inlineStr">
        <is>
          <t xml:space="preserve"> Edollo</t>
        </is>
      </c>
      <c r="BU381" s="13" t="n">
        <v>172</v>
      </c>
      <c r="BV381" s="11" t="inlineStr">
        <is>
          <t xml:space="preserve"> Unisex</t>
        </is>
      </c>
      <c r="BW381" s="13" t="n">
        <v>172</v>
      </c>
      <c r="BX381" s="13" t="n">
        <v>170</v>
      </c>
      <c r="BY381" s="13" t="n">
        <v>126</v>
      </c>
      <c r="BZ381" s="13" t="n">
        <v>150</v>
      </c>
      <c r="CA381" s="13" t="n">
        <v>130</v>
      </c>
      <c r="CB381" s="13" t="n">
        <v>97</v>
      </c>
      <c r="CC381" s="13" t="n">
        <v>120</v>
      </c>
      <c r="CD381" s="13" t="n">
        <v>19.6</v>
      </c>
      <c r="CE381" s="13" t="n">
        <v>1915</v>
      </c>
      <c r="CF381" s="13" t="n">
        <v>0.95</v>
      </c>
      <c r="CG381" s="13" t="n">
        <v>1816</v>
      </c>
      <c r="CH381" s="13" t="n">
        <v>170</v>
      </c>
      <c r="CI381" s="13" t="n">
        <v>87</v>
      </c>
      <c r="CJ381" s="13" t="n">
        <v>55</v>
      </c>
      <c r="CK381" s="13" t="n">
        <v>273</v>
      </c>
      <c r="CL381" s="13" t="n">
        <v>46</v>
      </c>
      <c r="CM381" s="13" t="n">
        <v>168</v>
      </c>
      <c r="CN381" s="13" t="n">
        <v>0.841</v>
      </c>
      <c r="CO381" s="13" t="n">
        <v>96</v>
      </c>
      <c r="CP381" s="13" t="n">
        <v>101</v>
      </c>
      <c r="CQ381" s="13" t="n">
        <v>176</v>
      </c>
      <c r="CR381" s="13" t="n">
        <v>7</v>
      </c>
      <c r="CS381" s="13" t="n">
        <v>3.5</v>
      </c>
      <c r="CT381" s="11" t="inlineStr">
        <is>
          <t xml:space="preserve"> Resort Freeride</t>
        </is>
      </c>
      <c r="CU381" s="11" t="inlineStr">
        <is>
          <t xml:space="preserve"> Freeski</t>
        </is>
      </c>
      <c r="CV381" s="13" t="n"/>
      <c r="CW381" s="13" t="n"/>
      <c r="CX381">
        <f>INDEX('Data_Price '!AG$2:AG$1266,MATCH(Data!$DN381,'Data_Price '!$AT$2:$AT$1266,0))</f>
        <v/>
      </c>
      <c r="CY381">
        <f>INDEX('Data_Price '!AH$2:AH$1266,MATCH(Data!$DN381,'Data_Price '!$AT$2:$AT$1266,0))</f>
        <v/>
      </c>
      <c r="CZ381">
        <f>INDEX('Data_Price '!AI$2:AI$1266,MATCH(Data!$DN381,'Data_Price '!$AT$2:$AT$1266,0))</f>
        <v/>
      </c>
      <c r="DA381">
        <f>INDEX('Data_Price '!AJ$2:AJ$1266,MATCH(Data!$DN381,'Data_Price '!$AT$2:$AT$1266,0))</f>
        <v/>
      </c>
      <c r="DB381">
        <f>INDEX('Data_Price '!AK$2:AK$1266,MATCH(Data!$DN381,'Data_Price '!$AT$2:$AT$1266,0))</f>
        <v/>
      </c>
      <c r="DC381">
        <f>INDEX('Data_Price '!AL$2:AL$1266,MATCH(Data!$DN381,'Data_Price '!$AT$2:$AT$1266,0))</f>
        <v/>
      </c>
      <c r="DD381">
        <f>INDEX('Data_Price '!AM$2:AM$1266,MATCH(Data!$DN381,'Data_Price '!$AT$2:$AT$1266,0))</f>
        <v/>
      </c>
      <c r="DE381">
        <f>INDEX('Data_Price '!AN$2:AN$1266,MATCH(Data!$DN381,'Data_Price '!$AT$2:$AT$1266,0))</f>
        <v/>
      </c>
      <c r="DF381">
        <f>INDEX('Data_Price '!AO$2:AO$1266,MATCH(Data!$DN381,'Data_Price '!$AT$2:$AT$1266,0))</f>
        <v/>
      </c>
      <c r="DG381">
        <f>INDEX('Data_Price '!AP$2:AP$1266,MATCH(Data!$DN381,'Data_Price '!$AT$2:$AT$1266,0))</f>
        <v/>
      </c>
      <c r="DH381">
        <f>INDEX('Data_Price '!AQ$2:AQ$1266,MATCH(Data!$DN381,'Data_Price '!$AT$2:$AT$1266,0))</f>
        <v/>
      </c>
      <c r="DI381">
        <f>INDEX('Data_Price '!AR$2:AR$1266,MATCH(Data!$DN381,'Data_Price '!$AT$2:$AT$1266,0))</f>
        <v/>
      </c>
      <c r="DJ381" s="138">
        <f>DA381</f>
        <v/>
      </c>
      <c r="DK381" s="138">
        <f>DE381</f>
        <v/>
      </c>
      <c r="DL381" s="138">
        <f>DI381</f>
        <v/>
      </c>
      <c r="DM381" s="303">
        <f>IF(LEFT(BT381,1)=" ",RIGHT(BT381,LEN(BT381)-1),BT381)</f>
        <v/>
      </c>
      <c r="DN381" s="138">
        <f>_xlfn.CONCAT(BS381,DM381,BU381,BV381)</f>
        <v/>
      </c>
      <c r="DO381" s="307" t="inlineStr">
        <is>
          <t>https://images.evo.com/imgp/250/198691/839655/armada-edollo-skis-2022-.jpg</t>
        </is>
      </c>
    </row>
    <row r="382" ht="15.6" customHeight="1" s="184">
      <c r="B382" s="303">
        <f t="array" ref="B382">IF(OR(ISERROR(K382:P382)),FALSE,TRUE)</f>
        <v/>
      </c>
      <c r="C382" s="60">
        <f>OR(BR382=Driver!$G$50,Data!BR250=Driver!$H$50)</f>
        <v/>
      </c>
      <c r="D382" s="60">
        <f>OR(BV382=Driver!$G$51,BV382=Driver!$H$51)</f>
        <v/>
      </c>
      <c r="E382" s="60">
        <f>AND(BX382&gt;Driver!$F$54,BX382&lt;Driver!$G$54)</f>
        <v/>
      </c>
      <c r="F382" s="60">
        <f>CL382&gt;Driver!$F$56</f>
        <v/>
      </c>
      <c r="G382" s="60">
        <f>AND(CB382&gt;Driver!$F$55,CB382&lt;Driver!$G$55)</f>
        <v/>
      </c>
      <c r="H382" s="60">
        <f>AND(B382:G382)</f>
        <v/>
      </c>
      <c r="I382" s="60">
        <f>COUNTIFS($H$9:$H$1273,TRUE,$BT$9:$BT$1273,BT382)</f>
        <v/>
      </c>
      <c r="J382" s="60">
        <f t="array" ref="J382">NOT(OR(($H$9:$H$1273=TRUE)*($I$9:$I$1273&gt;0)*($BT$9:$BT$1273=BT382)*($K$9:$K$1273&gt;K382)))</f>
        <v/>
      </c>
      <c r="K382" s="108">
        <f>IFERROR(1-AVERAGE(X382:Y382),"")</f>
        <v/>
      </c>
      <c r="L382" s="108">
        <f>1-X382</f>
        <v/>
      </c>
      <c r="M382" s="108">
        <f>1-Y382</f>
        <v/>
      </c>
      <c r="N382" s="108">
        <f>1-Z382</f>
        <v/>
      </c>
      <c r="O382" s="108">
        <f>1-AA382</f>
        <v/>
      </c>
      <c r="P382" s="108">
        <f>1-AB382</f>
        <v/>
      </c>
      <c r="Q382" s="108" t="n"/>
      <c r="R382" s="108" t="n"/>
      <c r="S382" s="108">
        <f>1-AE382</f>
        <v/>
      </c>
      <c r="T382" s="108">
        <f>1-AF382</f>
        <v/>
      </c>
      <c r="U382" s="108">
        <f>1-AG382</f>
        <v/>
      </c>
      <c r="V382" s="108">
        <f>1-AH382</f>
        <v/>
      </c>
      <c r="W382" s="108">
        <f>1-AI382</f>
        <v/>
      </c>
      <c r="X382" s="108">
        <f>ABS(AJ382-AJ$1)</f>
        <v/>
      </c>
      <c r="Y382" s="108">
        <f>AVERAGE(Z382:AB382)</f>
        <v/>
      </c>
      <c r="Z382" s="108">
        <f>ABS(AL382-AL$1)</f>
        <v/>
      </c>
      <c r="AA382" s="108">
        <f>ABS(AM382-AM$1)</f>
        <v/>
      </c>
      <c r="AB382" s="108">
        <f>ABS(AN382-AN$1)</f>
        <v/>
      </c>
      <c r="AC382" s="108" t="n"/>
      <c r="AD382" s="108" t="n"/>
      <c r="AE382" s="108">
        <f>ABS(AQ$1-AQ382)</f>
        <v/>
      </c>
      <c r="AF382" s="108">
        <f>ABS(AR$1-AR382)</f>
        <v/>
      </c>
      <c r="AG382" s="108">
        <f>ABS(AS$1-AS382)</f>
        <v/>
      </c>
      <c r="AH382" s="108">
        <f>ABS(AT$1-AT382)</f>
        <v/>
      </c>
      <c r="AI382" s="108">
        <f>ABS(AU$1-AU382)</f>
        <v/>
      </c>
      <c r="AJ382" s="108">
        <f>(AV382-Driver!$K$179)/(Driver!$L$179-Driver!$K$179)</f>
        <v/>
      </c>
      <c r="AK382" s="108">
        <f>(AW382-Driver!$K$180)/(Driver!$L$180-Driver!$K$180)</f>
        <v/>
      </c>
      <c r="AL382" s="108">
        <f>(AX382-Driver!$K$181)/(Driver!$L$181-Driver!$K$181)</f>
        <v/>
      </c>
      <c r="AM382" s="108">
        <f>(AY382-Driver!$K$182)/(Driver!$L$182-Driver!$K$182)</f>
        <v/>
      </c>
      <c r="AN382" s="108">
        <f>(AZ382-Driver!$K$183)/(Driver!$L$183-Driver!$K$183)</f>
        <v/>
      </c>
      <c r="AO382" s="108" t="n"/>
      <c r="AP382" s="108" t="n"/>
      <c r="AQ382" s="108">
        <f>(BC382-Driver!$K$188)/(Driver!$L$188-Driver!$K$188)</f>
        <v/>
      </c>
      <c r="AR382" s="108">
        <f>MIN((BD382-Driver!$K$189)/(Driver!$L$189-Driver!$K$189),100%)</f>
        <v/>
      </c>
      <c r="AS382" s="108">
        <f>(BE382-Driver!$K$190)/(Driver!$L$190-Driver!$K$190)</f>
        <v/>
      </c>
      <c r="AT382" s="108">
        <f>(BF382-Driver!$K$191)/(Driver!$L$191-Driver!$K$191)</f>
        <v/>
      </c>
      <c r="AU382" s="108">
        <f>(BG382-Driver!$K$192)/(Driver!$L$192-Driver!$K$192)</f>
        <v/>
      </c>
      <c r="AV382" s="105">
        <f>IFERROR(BM382*BJ382^1/4,"")</f>
        <v/>
      </c>
      <c r="AW382" s="105">
        <f>IFERROR(SUM(AX382:AZ382),"")</f>
        <v/>
      </c>
      <c r="AX382" s="105">
        <f>IFERROR(BH382,"")</f>
        <v/>
      </c>
      <c r="AY382" s="105">
        <f>IFERROR(Driver!$K$19/Data!BH382/Data!BI382*Data!BK382*Data!BL382,"")</f>
        <v/>
      </c>
      <c r="AZ382" s="105">
        <f>IFERROR(BI382*BN382,"")</f>
        <v/>
      </c>
      <c r="BA382" s="105" t="n"/>
      <c r="BB382" s="105" t="n"/>
      <c r="BC382" s="105">
        <f>IFERROR(BI382*BN382*BK382/BJ382^(1/2),"")</f>
        <v/>
      </c>
      <c r="BD382" s="105">
        <f>IFERROR(BH382*BM382*BL382/BJ382/BK382,"")</f>
        <v/>
      </c>
      <c r="BE382" s="105">
        <f>IFERROR(MIN(BI382/BQ382/BP382/BO382/BH382,$BE$1),"")</f>
        <v/>
      </c>
      <c r="BF382" s="105">
        <f>IFERROR(BJ382*BO382*BP382/BK382,"")</f>
        <v/>
      </c>
      <c r="BG382" s="105">
        <f>IFERROR(1/BM382/BH382*BQ382,"")</f>
        <v/>
      </c>
      <c r="BH382" s="102">
        <f>MAX((CE382-Driver!$F$200)/(Driver!$G$200-Driver!$F$200)*$BI$1,1)</f>
        <v/>
      </c>
      <c r="BI382" s="102">
        <f>MAX($BI$1*(BY382-Driver!$F$201)/(Driver!$G$201-Driver!$F$201),1)</f>
        <v/>
      </c>
      <c r="BJ382" s="102">
        <f>(CB382-Driver!$F$206)/(Driver!$G$206-Driver!$F$206)*$BI$1</f>
        <v/>
      </c>
      <c r="BK382" s="102">
        <f>(CD382-Driver!$F$203)/(Driver!$G$203-Driver!$F$203)*$BI$1</f>
        <v/>
      </c>
      <c r="BL382" s="102">
        <f>MAX((CR382-Driver!$F$202)/(Driver!$G$202-Driver!$F$202)*$BI$1,1)</f>
        <v/>
      </c>
      <c r="BM382" s="102">
        <f>MAX((CH382-Driver!$F$204)/(Driver!$G$204-Driver!$F$204)*$BI$1,1)</f>
        <v/>
      </c>
      <c r="BN382" s="102">
        <f>(CI382-Driver!$F$205)/(Driver!$G$205-Driver!$F$205)*$BI$1</f>
        <v/>
      </c>
      <c r="BO382" s="102">
        <f>(CK382-Driver!$F$207)/(Driver!$G$207-Driver!$F$207)*$BI$1</f>
        <v/>
      </c>
      <c r="BP382" s="102">
        <f>(CM382-Driver!$F$208)/(Driver!$G$208-Driver!$F$208)*$BI$1</f>
        <v/>
      </c>
      <c r="BQ382" s="102">
        <f>(CL382-Driver!$F$209)/(Driver!$G$209-Driver!$F$209)*$BI$1</f>
        <v/>
      </c>
      <c r="BR382" s="40" t="inlineStr">
        <is>
          <t>21/22</t>
        </is>
      </c>
      <c r="BS382" s="10" t="inlineStr">
        <is>
          <t xml:space="preserve"> Black Diamond</t>
        </is>
      </c>
      <c r="BT382" s="11" t="inlineStr">
        <is>
          <t>Impulse 98</t>
        </is>
      </c>
      <c r="BU382" s="13" t="n">
        <v>161</v>
      </c>
      <c r="BV382" s="11" t="inlineStr">
        <is>
          <t xml:space="preserve"> Unisex</t>
        </is>
      </c>
      <c r="BW382" s="13" t="n">
        <v>161</v>
      </c>
      <c r="BX382" s="13" t="n">
        <v>161.6</v>
      </c>
      <c r="BY382" s="13" t="n">
        <v>118</v>
      </c>
      <c r="BZ382" s="13" t="n">
        <v>132</v>
      </c>
      <c r="CA382" s="13" t="n">
        <v>129</v>
      </c>
      <c r="CB382" s="13" t="n">
        <v>97</v>
      </c>
      <c r="CC382" s="13" t="n">
        <v>117</v>
      </c>
      <c r="CD382" s="13" t="n">
        <v>14.9</v>
      </c>
      <c r="CE382" s="13" t="n">
        <v>1702</v>
      </c>
      <c r="CF382" s="13" t="n">
        <v>1.02</v>
      </c>
      <c r="CG382" s="13" t="n">
        <v>1732</v>
      </c>
      <c r="CH382" s="13" t="n">
        <v>179</v>
      </c>
      <c r="CI382" s="13" t="n">
        <v>76</v>
      </c>
      <c r="CJ382" s="13" t="n">
        <v>35</v>
      </c>
      <c r="CK382" s="13" t="n">
        <v>253</v>
      </c>
      <c r="CL382" s="13" t="n">
        <v>19</v>
      </c>
      <c r="CM382" s="13" t="n">
        <v>186</v>
      </c>
      <c r="CN382" s="13" t="n">
        <v>0.556</v>
      </c>
      <c r="CO382" s="13" t="n">
        <v>183</v>
      </c>
      <c r="CP382" s="13" t="n">
        <v>118</v>
      </c>
      <c r="CQ382" s="13" t="n">
        <v>71</v>
      </c>
      <c r="CR382" s="13" t="n">
        <v>9</v>
      </c>
      <c r="CS382" s="13" t="n">
        <v>8.199999999999999</v>
      </c>
      <c r="CT382" s="11" t="inlineStr">
        <is>
          <t xml:space="preserve"> Resort Freeride</t>
        </is>
      </c>
      <c r="CU382" s="13" t="n"/>
      <c r="CV382" s="13" t="n"/>
      <c r="CW382" s="13" t="n"/>
      <c r="CX382">
        <f>INDEX('Data_Price '!AG$2:AG$1266,MATCH(Data!$DN382,'Data_Price '!$AT$2:$AT$1266,0))</f>
        <v/>
      </c>
      <c r="CY382">
        <f>INDEX('Data_Price '!AH$2:AH$1266,MATCH(Data!$DN382,'Data_Price '!$AT$2:$AT$1266,0))</f>
        <v/>
      </c>
      <c r="CZ382">
        <f>INDEX('Data_Price '!AI$2:AI$1266,MATCH(Data!$DN382,'Data_Price '!$AT$2:$AT$1266,0))</f>
        <v/>
      </c>
      <c r="DA382">
        <f>INDEX('Data_Price '!AJ$2:AJ$1266,MATCH(Data!$DN382,'Data_Price '!$AT$2:$AT$1266,0))</f>
        <v/>
      </c>
      <c r="DB382">
        <f>INDEX('Data_Price '!AK$2:AK$1266,MATCH(Data!$DN382,'Data_Price '!$AT$2:$AT$1266,0))</f>
        <v/>
      </c>
      <c r="DC382">
        <f>INDEX('Data_Price '!AL$2:AL$1266,MATCH(Data!$DN382,'Data_Price '!$AT$2:$AT$1266,0))</f>
        <v/>
      </c>
      <c r="DD382">
        <f>INDEX('Data_Price '!AM$2:AM$1266,MATCH(Data!$DN382,'Data_Price '!$AT$2:$AT$1266,0))</f>
        <v/>
      </c>
      <c r="DE382">
        <f>INDEX('Data_Price '!AN$2:AN$1266,MATCH(Data!$DN382,'Data_Price '!$AT$2:$AT$1266,0))</f>
        <v/>
      </c>
      <c r="DF382">
        <f>INDEX('Data_Price '!AO$2:AO$1266,MATCH(Data!$DN382,'Data_Price '!$AT$2:$AT$1266,0))</f>
        <v/>
      </c>
      <c r="DG382">
        <f>INDEX('Data_Price '!AP$2:AP$1266,MATCH(Data!$DN382,'Data_Price '!$AT$2:$AT$1266,0))</f>
        <v/>
      </c>
      <c r="DH382">
        <f>INDEX('Data_Price '!AQ$2:AQ$1266,MATCH(Data!$DN382,'Data_Price '!$AT$2:$AT$1266,0))</f>
        <v/>
      </c>
      <c r="DI382">
        <f>INDEX('Data_Price '!AR$2:AR$1266,MATCH(Data!$DN382,'Data_Price '!$AT$2:$AT$1266,0))</f>
        <v/>
      </c>
      <c r="DJ382" s="138">
        <f>DA382</f>
        <v/>
      </c>
      <c r="DK382" s="138">
        <f>DE382</f>
        <v/>
      </c>
      <c r="DL382" s="138">
        <f>DI382</f>
        <v/>
      </c>
      <c r="DM382" s="303">
        <f>IF(LEFT(BT382,1)=" ",RIGHT(BT382,LEN(BT382)-1),BT382)</f>
        <v/>
      </c>
      <c r="DN382" s="138">
        <f>_xlfn.CONCAT(BS382,DM382,BU382,BV382)</f>
        <v/>
      </c>
      <c r="DO382" s="307" t="inlineStr">
        <is>
          <t>https://images.evo.com/imgp/250/200509/836796/clone.jpg</t>
        </is>
      </c>
    </row>
    <row r="383" ht="15.6" customHeight="1" s="184">
      <c r="B383" s="303">
        <f t="array" ref="B383">IF(OR(ISERROR(K383:P383)),FALSE,TRUE)</f>
        <v/>
      </c>
      <c r="C383" s="60">
        <f>OR(BR383=Driver!$G$50,Data!BR936=Driver!$H$50)</f>
        <v/>
      </c>
      <c r="D383" s="60">
        <f>OR(BV383=Driver!$G$51,BV383=Driver!$H$51)</f>
        <v/>
      </c>
      <c r="E383" s="60">
        <f>AND(BX383&gt;Driver!$F$54,BX383&lt;Driver!$G$54)</f>
        <v/>
      </c>
      <c r="F383" s="60">
        <f>CL383&gt;Driver!$F$56</f>
        <v/>
      </c>
      <c r="G383" s="60">
        <f>AND(CB383&gt;Driver!$F$55,CB383&lt;Driver!$G$55)</f>
        <v/>
      </c>
      <c r="H383" s="60">
        <f>AND(B383:G383)</f>
        <v/>
      </c>
      <c r="I383" s="60">
        <f>COUNTIFS($H$9:$H$1273,TRUE,$BT$9:$BT$1273,BT383)</f>
        <v/>
      </c>
      <c r="J383" s="60">
        <f t="array" ref="J383">NOT(OR(($H$9:$H$1273=TRUE)*($I$9:$I$1273&gt;0)*($BT$9:$BT$1273=BT383)*($K$9:$K$1273&gt;K383)))</f>
        <v/>
      </c>
      <c r="K383" s="108">
        <f>IFERROR(1-AVERAGE(X383:Y383),"")</f>
        <v/>
      </c>
      <c r="L383" s="108">
        <f>1-X383</f>
        <v/>
      </c>
      <c r="M383" s="108">
        <f>1-Y383</f>
        <v/>
      </c>
      <c r="N383" s="108">
        <f>1-Z383</f>
        <v/>
      </c>
      <c r="O383" s="108">
        <f>1-AA383</f>
        <v/>
      </c>
      <c r="P383" s="108">
        <f>1-AB383</f>
        <v/>
      </c>
      <c r="Q383" s="108" t="n"/>
      <c r="R383" s="108" t="n"/>
      <c r="S383" s="108">
        <f>1-AE383</f>
        <v/>
      </c>
      <c r="T383" s="108">
        <f>1-AF383</f>
        <v/>
      </c>
      <c r="U383" s="108">
        <f>1-AG383</f>
        <v/>
      </c>
      <c r="V383" s="108">
        <f>1-AH383</f>
        <v/>
      </c>
      <c r="W383" s="108">
        <f>1-AI383</f>
        <v/>
      </c>
      <c r="X383" s="108">
        <f>ABS(AJ383-AJ$1)</f>
        <v/>
      </c>
      <c r="Y383" s="108">
        <f>AVERAGE(Z383:AB383)</f>
        <v/>
      </c>
      <c r="Z383" s="108">
        <f>ABS(AL383-AL$1)</f>
        <v/>
      </c>
      <c r="AA383" s="108">
        <f>ABS(AM383-AM$1)</f>
        <v/>
      </c>
      <c r="AB383" s="108">
        <f>ABS(AN383-AN$1)</f>
        <v/>
      </c>
      <c r="AC383" s="108" t="n"/>
      <c r="AD383" s="108" t="n"/>
      <c r="AE383" s="108">
        <f>ABS(AQ$1-AQ383)</f>
        <v/>
      </c>
      <c r="AF383" s="108">
        <f>ABS(AR$1-AR383)</f>
        <v/>
      </c>
      <c r="AG383" s="108">
        <f>ABS(AS$1-AS383)</f>
        <v/>
      </c>
      <c r="AH383" s="108">
        <f>ABS(AT$1-AT383)</f>
        <v/>
      </c>
      <c r="AI383" s="108">
        <f>ABS(AU$1-AU383)</f>
        <v/>
      </c>
      <c r="AJ383" s="108">
        <f>(AV383-Driver!$K$179)/(Driver!$L$179-Driver!$K$179)</f>
        <v/>
      </c>
      <c r="AK383" s="108">
        <f>(AW383-Driver!$K$180)/(Driver!$L$180-Driver!$K$180)</f>
        <v/>
      </c>
      <c r="AL383" s="108">
        <f>(AX383-Driver!$K$181)/(Driver!$L$181-Driver!$K$181)</f>
        <v/>
      </c>
      <c r="AM383" s="108">
        <f>(AY383-Driver!$K$182)/(Driver!$L$182-Driver!$K$182)</f>
        <v/>
      </c>
      <c r="AN383" s="108">
        <f>(AZ383-Driver!$K$183)/(Driver!$L$183-Driver!$K$183)</f>
        <v/>
      </c>
      <c r="AO383" s="108" t="n"/>
      <c r="AP383" s="108" t="n"/>
      <c r="AQ383" s="108">
        <f>(BC383-Driver!$K$188)/(Driver!$L$188-Driver!$K$188)</f>
        <v/>
      </c>
      <c r="AR383" s="108">
        <f>MIN((BD383-Driver!$K$189)/(Driver!$L$189-Driver!$K$189),100%)</f>
        <v/>
      </c>
      <c r="AS383" s="108">
        <f>(BE383-Driver!$K$190)/(Driver!$L$190-Driver!$K$190)</f>
        <v/>
      </c>
      <c r="AT383" s="108">
        <f>(BF383-Driver!$K$191)/(Driver!$L$191-Driver!$K$191)</f>
        <v/>
      </c>
      <c r="AU383" s="108">
        <f>(BG383-Driver!$K$192)/(Driver!$L$192-Driver!$K$192)</f>
        <v/>
      </c>
      <c r="AV383" s="105">
        <f>IFERROR(BM383*BJ383^1/4,"")</f>
        <v/>
      </c>
      <c r="AW383" s="105">
        <f>IFERROR(SUM(AX383:AZ383),"")</f>
        <v/>
      </c>
      <c r="AX383" s="105">
        <f>IFERROR(BH383,"")</f>
        <v/>
      </c>
      <c r="AY383" s="105">
        <f>IFERROR(Driver!$K$19/Data!BH383/Data!BI383*Data!BK383*Data!BL383,"")</f>
        <v/>
      </c>
      <c r="AZ383" s="105">
        <f>IFERROR(BI383*BN383,"")</f>
        <v/>
      </c>
      <c r="BA383" s="105" t="n"/>
      <c r="BB383" s="105" t="n"/>
      <c r="BC383" s="105">
        <f>IFERROR(BI383*BN383*BK383/BJ383^(1/2),"")</f>
        <v/>
      </c>
      <c r="BD383" s="105">
        <f>IFERROR(BH383*BM383*BL383/BJ383/BK383,"")</f>
        <v/>
      </c>
      <c r="BE383" s="105">
        <f>IFERROR(MIN(BI383/BQ383/BP383/BO383/BH383,$BE$1),"")</f>
        <v/>
      </c>
      <c r="BF383" s="105">
        <f>IFERROR(BJ383*BO383*BP383/BK383,"")</f>
        <v/>
      </c>
      <c r="BG383" s="105">
        <f>IFERROR(1/BM383/BH383*BQ383,"")</f>
        <v/>
      </c>
      <c r="BH383" s="102">
        <f>MAX((CE383-Driver!$F$200)/(Driver!$G$200-Driver!$F$200)*$BI$1,1)</f>
        <v/>
      </c>
      <c r="BI383" s="102">
        <f>MAX($BI$1*(BY383-Driver!$F$201)/(Driver!$G$201-Driver!$F$201),1)</f>
        <v/>
      </c>
      <c r="BJ383" s="102">
        <f>(CB383-Driver!$F$206)/(Driver!$G$206-Driver!$F$206)*$BI$1</f>
        <v/>
      </c>
      <c r="BK383" s="102">
        <f>(CD383-Driver!$F$203)/(Driver!$G$203-Driver!$F$203)*$BI$1</f>
        <v/>
      </c>
      <c r="BL383" s="102">
        <f>MAX((CR383-Driver!$F$202)/(Driver!$G$202-Driver!$F$202)*$BI$1,1)</f>
        <v/>
      </c>
      <c r="BM383" s="102">
        <f>MAX((CH383-Driver!$F$204)/(Driver!$G$204-Driver!$F$204)*$BI$1,1)</f>
        <v/>
      </c>
      <c r="BN383" s="102">
        <f>(CI383-Driver!$F$205)/(Driver!$G$205-Driver!$F$205)*$BI$1</f>
        <v/>
      </c>
      <c r="BO383" s="102">
        <f>(CK383-Driver!$F$207)/(Driver!$G$207-Driver!$F$207)*$BI$1</f>
        <v/>
      </c>
      <c r="BP383" s="102">
        <f>(CM383-Driver!$F$208)/(Driver!$G$208-Driver!$F$208)*$BI$1</f>
        <v/>
      </c>
      <c r="BQ383" s="102">
        <f>(CL383-Driver!$F$209)/(Driver!$G$209-Driver!$F$209)*$BI$1</f>
        <v/>
      </c>
      <c r="BR383" s="40" t="inlineStr">
        <is>
          <t>21/22</t>
        </is>
      </c>
      <c r="BS383" s="10" t="inlineStr">
        <is>
          <t xml:space="preserve"> Nordica</t>
        </is>
      </c>
      <c r="BT383" s="11" t="inlineStr">
        <is>
          <t>Soul Rider 87</t>
        </is>
      </c>
      <c r="BU383" s="13" t="n">
        <v>177</v>
      </c>
      <c r="BV383" s="11" t="inlineStr">
        <is>
          <t xml:space="preserve"> Unisex</t>
        </is>
      </c>
      <c r="BW383" s="13" t="n">
        <v>177</v>
      </c>
      <c r="BX383" s="13" t="n">
        <v>175</v>
      </c>
      <c r="BY383" s="13" t="n">
        <v>138</v>
      </c>
      <c r="BZ383" s="13" t="n">
        <v>153</v>
      </c>
      <c r="CA383" s="13" t="n">
        <v>124</v>
      </c>
      <c r="CB383" s="13" t="n">
        <v>86</v>
      </c>
      <c r="CC383" s="13" t="n">
        <v>114</v>
      </c>
      <c r="CD383" s="13" t="n">
        <v>16.5</v>
      </c>
      <c r="CE383" s="13" t="n">
        <v>1946</v>
      </c>
      <c r="CF383" s="13" t="n">
        <v>0.89</v>
      </c>
      <c r="CG383" s="13" t="n">
        <v>1727</v>
      </c>
      <c r="CH383" s="13" t="n">
        <v>218</v>
      </c>
      <c r="CI383" s="13" t="n">
        <v>96</v>
      </c>
      <c r="CJ383" s="13" t="n">
        <v>47</v>
      </c>
      <c r="CK383" s="13" t="n">
        <v>180</v>
      </c>
      <c r="CL383" s="13" t="n">
        <v>48</v>
      </c>
      <c r="CM383" s="13" t="n">
        <v>185</v>
      </c>
      <c r="CN383" s="13" t="n">
        <v>1.011</v>
      </c>
      <c r="CO383" s="13" t="n">
        <v>103</v>
      </c>
      <c r="CP383" s="13" t="n">
        <v>115</v>
      </c>
      <c r="CQ383" s="13" t="n">
        <v>78</v>
      </c>
      <c r="CR383" s="13" t="n">
        <v>8</v>
      </c>
      <c r="CS383" s="13" t="n">
        <v>6.6</v>
      </c>
      <c r="CT383" s="11" t="inlineStr">
        <is>
          <t xml:space="preserve"> Freeski</t>
        </is>
      </c>
      <c r="CU383" s="13" t="n"/>
      <c r="CV383" s="13" t="n"/>
      <c r="CW383" s="13" t="n"/>
      <c r="CX383">
        <f>INDEX('Data_Price '!AG$2:AG$1266,MATCH(Data!$DN383,'Data_Price '!$AT$2:$AT$1266,0))</f>
        <v/>
      </c>
      <c r="CY383">
        <f>INDEX('Data_Price '!AH$2:AH$1266,MATCH(Data!$DN383,'Data_Price '!$AT$2:$AT$1266,0))</f>
        <v/>
      </c>
      <c r="CZ383">
        <f>INDEX('Data_Price '!AI$2:AI$1266,MATCH(Data!$DN383,'Data_Price '!$AT$2:$AT$1266,0))</f>
        <v/>
      </c>
      <c r="DA383">
        <f>INDEX('Data_Price '!AJ$2:AJ$1266,MATCH(Data!$DN383,'Data_Price '!$AT$2:$AT$1266,0))</f>
        <v/>
      </c>
      <c r="DB383">
        <f>INDEX('Data_Price '!AK$2:AK$1266,MATCH(Data!$DN383,'Data_Price '!$AT$2:$AT$1266,0))</f>
        <v/>
      </c>
      <c r="DC383">
        <f>INDEX('Data_Price '!AL$2:AL$1266,MATCH(Data!$DN383,'Data_Price '!$AT$2:$AT$1266,0))</f>
        <v/>
      </c>
      <c r="DD383">
        <f>INDEX('Data_Price '!AM$2:AM$1266,MATCH(Data!$DN383,'Data_Price '!$AT$2:$AT$1266,0))</f>
        <v/>
      </c>
      <c r="DE383">
        <f>INDEX('Data_Price '!AN$2:AN$1266,MATCH(Data!$DN383,'Data_Price '!$AT$2:$AT$1266,0))</f>
        <v/>
      </c>
      <c r="DF383">
        <f>INDEX('Data_Price '!AO$2:AO$1266,MATCH(Data!$DN383,'Data_Price '!$AT$2:$AT$1266,0))</f>
        <v/>
      </c>
      <c r="DG383">
        <f>INDEX('Data_Price '!AP$2:AP$1266,MATCH(Data!$DN383,'Data_Price '!$AT$2:$AT$1266,0))</f>
        <v/>
      </c>
      <c r="DH383">
        <f>INDEX('Data_Price '!AQ$2:AQ$1266,MATCH(Data!$DN383,'Data_Price '!$AT$2:$AT$1266,0))</f>
        <v/>
      </c>
      <c r="DI383">
        <f>INDEX('Data_Price '!AR$2:AR$1266,MATCH(Data!$DN383,'Data_Price '!$AT$2:$AT$1266,0))</f>
        <v/>
      </c>
      <c r="DJ383" s="138">
        <f>DA383</f>
        <v/>
      </c>
      <c r="DK383" s="138">
        <f>DE383</f>
        <v/>
      </c>
      <c r="DL383" s="138">
        <f>DI383</f>
        <v/>
      </c>
      <c r="DM383" s="303">
        <f>IF(LEFT(BT383,1)=" ",RIGHT(BT383,LEN(BT383)-1),BT383)</f>
        <v/>
      </c>
      <c r="DN383" s="138">
        <f>_xlfn.CONCAT(BS383,DM383,BU383,BV383)</f>
        <v/>
      </c>
      <c r="DO383" s="307" t="n"/>
    </row>
    <row r="384" ht="15.6" customHeight="1" s="184">
      <c r="B384" s="303">
        <f t="array" ref="B384">IF(OR(ISERROR(K384:P384)),FALSE,TRUE)</f>
        <v/>
      </c>
      <c r="C384" s="60">
        <f>OR(BR384=Driver!$G$50,Data!BR96=Driver!$H$50)</f>
        <v/>
      </c>
      <c r="D384" s="60">
        <f>OR(BV384=Driver!$G$51,BV384=Driver!$H$51)</f>
        <v/>
      </c>
      <c r="E384" s="60">
        <f>AND(BX384&gt;Driver!$F$54,BX384&lt;Driver!$G$54)</f>
        <v/>
      </c>
      <c r="F384" s="60">
        <f>CL384&gt;Driver!$F$56</f>
        <v/>
      </c>
      <c r="G384" s="60">
        <f>AND(CB384&gt;Driver!$F$55,CB384&lt;Driver!$G$55)</f>
        <v/>
      </c>
      <c r="H384" s="60">
        <f>AND(B384:G384)</f>
        <v/>
      </c>
      <c r="I384" s="60">
        <f>COUNTIFS($H$9:$H$1273,TRUE,$BT$9:$BT$1273,BT384)</f>
        <v/>
      </c>
      <c r="J384" s="60">
        <f t="array" ref="J384">NOT(OR(($H$9:$H$1273=TRUE)*($I$9:$I$1273&gt;0)*($BT$9:$BT$1273=BT384)*($K$9:$K$1273&gt;K384)))</f>
        <v/>
      </c>
      <c r="K384" s="108">
        <f>IFERROR(1-AVERAGE(X384:Y384),"")</f>
        <v/>
      </c>
      <c r="L384" s="108">
        <f>1-X384</f>
        <v/>
      </c>
      <c r="M384" s="108">
        <f>1-Y384</f>
        <v/>
      </c>
      <c r="N384" s="108">
        <f>1-Z384</f>
        <v/>
      </c>
      <c r="O384" s="108">
        <f>1-AA384</f>
        <v/>
      </c>
      <c r="P384" s="108">
        <f>1-AB384</f>
        <v/>
      </c>
      <c r="Q384" s="108" t="n"/>
      <c r="R384" s="108" t="n"/>
      <c r="S384" s="108">
        <f>1-AE384</f>
        <v/>
      </c>
      <c r="T384" s="108">
        <f>1-AF384</f>
        <v/>
      </c>
      <c r="U384" s="108">
        <f>1-AG384</f>
        <v/>
      </c>
      <c r="V384" s="108">
        <f>1-AH384</f>
        <v/>
      </c>
      <c r="W384" s="108">
        <f>1-AI384</f>
        <v/>
      </c>
      <c r="X384" s="108">
        <f>ABS(AJ384-AJ$1)</f>
        <v/>
      </c>
      <c r="Y384" s="108">
        <f>AVERAGE(Z384:AB384)</f>
        <v/>
      </c>
      <c r="Z384" s="108">
        <f>ABS(AL384-AL$1)</f>
        <v/>
      </c>
      <c r="AA384" s="108">
        <f>ABS(AM384-AM$1)</f>
        <v/>
      </c>
      <c r="AB384" s="108">
        <f>ABS(AN384-AN$1)</f>
        <v/>
      </c>
      <c r="AC384" s="108" t="n"/>
      <c r="AD384" s="108" t="n"/>
      <c r="AE384" s="108">
        <f>ABS(AQ$1-AQ384)</f>
        <v/>
      </c>
      <c r="AF384" s="108">
        <f>ABS(AR$1-AR384)</f>
        <v/>
      </c>
      <c r="AG384" s="108">
        <f>ABS(AS$1-AS384)</f>
        <v/>
      </c>
      <c r="AH384" s="108">
        <f>ABS(AT$1-AT384)</f>
        <v/>
      </c>
      <c r="AI384" s="108">
        <f>ABS(AU$1-AU384)</f>
        <v/>
      </c>
      <c r="AJ384" s="108">
        <f>(AV384-Driver!$K$179)/(Driver!$L$179-Driver!$K$179)</f>
        <v/>
      </c>
      <c r="AK384" s="108">
        <f>(AW384-Driver!$K$180)/(Driver!$L$180-Driver!$K$180)</f>
        <v/>
      </c>
      <c r="AL384" s="108">
        <f>(AX384-Driver!$K$181)/(Driver!$L$181-Driver!$K$181)</f>
        <v/>
      </c>
      <c r="AM384" s="108">
        <f>(AY384-Driver!$K$182)/(Driver!$L$182-Driver!$K$182)</f>
        <v/>
      </c>
      <c r="AN384" s="108">
        <f>(AZ384-Driver!$K$183)/(Driver!$L$183-Driver!$K$183)</f>
        <v/>
      </c>
      <c r="AO384" s="108" t="n"/>
      <c r="AP384" s="108" t="n"/>
      <c r="AQ384" s="108">
        <f>(BC384-Driver!$K$188)/(Driver!$L$188-Driver!$K$188)</f>
        <v/>
      </c>
      <c r="AR384" s="108">
        <f>MIN((BD384-Driver!$K$189)/(Driver!$L$189-Driver!$K$189),100%)</f>
        <v/>
      </c>
      <c r="AS384" s="108">
        <f>(BE384-Driver!$K$190)/(Driver!$L$190-Driver!$K$190)</f>
        <v/>
      </c>
      <c r="AT384" s="108">
        <f>(BF384-Driver!$K$191)/(Driver!$L$191-Driver!$K$191)</f>
        <v/>
      </c>
      <c r="AU384" s="108">
        <f>(BG384-Driver!$K$192)/(Driver!$L$192-Driver!$K$192)</f>
        <v/>
      </c>
      <c r="AV384" s="105">
        <f>IFERROR(BM384*BJ384^1/4,"")</f>
        <v/>
      </c>
      <c r="AW384" s="105">
        <f>IFERROR(SUM(AX384:AZ384),"")</f>
        <v/>
      </c>
      <c r="AX384" s="105">
        <f>IFERROR(BH384,"")</f>
        <v/>
      </c>
      <c r="AY384" s="105">
        <f>IFERROR(Driver!$K$19/Data!BH384/Data!BI384*Data!BK384*Data!BL384,"")</f>
        <v/>
      </c>
      <c r="AZ384" s="105">
        <f>IFERROR(BI384*BN384,"")</f>
        <v/>
      </c>
      <c r="BA384" s="105" t="n"/>
      <c r="BB384" s="105" t="n"/>
      <c r="BC384" s="105">
        <f>IFERROR(BI384*BN384*BK384/BJ384^(1/2),"")</f>
        <v/>
      </c>
      <c r="BD384" s="105">
        <f>IFERROR(BH384*BM384*BL384/BJ384/BK384,"")</f>
        <v/>
      </c>
      <c r="BE384" s="105">
        <f>IFERROR(MIN(BI384/BQ384/BP384/BO384/BH384,$BE$1),"")</f>
        <v/>
      </c>
      <c r="BF384" s="105">
        <f>IFERROR(BJ384*BO384*BP384/BK384,"")</f>
        <v/>
      </c>
      <c r="BG384" s="105">
        <f>IFERROR(1/BM384/BH384*BQ384,"")</f>
        <v/>
      </c>
      <c r="BH384" s="102">
        <f>MAX((CE384-Driver!$F$200)/(Driver!$G$200-Driver!$F$200)*$BI$1,1)</f>
        <v/>
      </c>
      <c r="BI384" s="102">
        <f>MAX($BI$1*(BY384-Driver!$F$201)/(Driver!$G$201-Driver!$F$201),1)</f>
        <v/>
      </c>
      <c r="BJ384" s="102">
        <f>(CB384-Driver!$F$206)/(Driver!$G$206-Driver!$F$206)*$BI$1</f>
        <v/>
      </c>
      <c r="BK384" s="102">
        <f>(CD384-Driver!$F$203)/(Driver!$G$203-Driver!$F$203)*$BI$1</f>
        <v/>
      </c>
      <c r="BL384" s="102">
        <f>MAX((CR384-Driver!$F$202)/(Driver!$G$202-Driver!$F$202)*$BI$1,1)</f>
        <v/>
      </c>
      <c r="BM384" s="102">
        <f>MAX((CH384-Driver!$F$204)/(Driver!$G$204-Driver!$F$204)*$BI$1,1)</f>
        <v/>
      </c>
      <c r="BN384" s="102">
        <f>(CI384-Driver!$F$205)/(Driver!$G$205-Driver!$F$205)*$BI$1</f>
        <v/>
      </c>
      <c r="BO384" s="102">
        <f>(CK384-Driver!$F$207)/(Driver!$G$207-Driver!$F$207)*$BI$1</f>
        <v/>
      </c>
      <c r="BP384" s="102">
        <f>(CM384-Driver!$F$208)/(Driver!$G$208-Driver!$F$208)*$BI$1</f>
        <v/>
      </c>
      <c r="BQ384" s="102">
        <f>(CL384-Driver!$F$209)/(Driver!$G$209-Driver!$F$209)*$BI$1</f>
        <v/>
      </c>
      <c r="BR384" s="40" t="inlineStr">
        <is>
          <t>21/22</t>
        </is>
      </c>
      <c r="BS384" s="10" t="inlineStr">
        <is>
          <t xml:space="preserve"> Armada</t>
        </is>
      </c>
      <c r="BT384" s="11" t="inlineStr">
        <is>
          <t>Trace 108</t>
        </is>
      </c>
      <c r="BU384" s="13" t="n">
        <v>164</v>
      </c>
      <c r="BV384" s="11" t="inlineStr">
        <is>
          <t xml:space="preserve"> Women's</t>
        </is>
      </c>
      <c r="BW384" s="13" t="n">
        <v>164</v>
      </c>
      <c r="BX384" s="13" t="n">
        <v>163.5</v>
      </c>
      <c r="BY384" s="13" t="n">
        <v>114</v>
      </c>
      <c r="BZ384" s="13" t="n">
        <v>132</v>
      </c>
      <c r="CA384" s="13" t="n">
        <v>131</v>
      </c>
      <c r="CB384" s="13" t="n">
        <v>107</v>
      </c>
      <c r="CC384" s="13" t="n">
        <v>124</v>
      </c>
      <c r="CD384" s="13" t="n">
        <v>17.4</v>
      </c>
      <c r="CE384" s="13" t="n">
        <v>1466</v>
      </c>
      <c r="CF384" s="13" t="n">
        <v>1.29</v>
      </c>
      <c r="CG384" s="13" t="n">
        <v>1884</v>
      </c>
      <c r="CH384" s="13" t="n">
        <v>145</v>
      </c>
      <c r="CI384" s="13" t="n">
        <v>82</v>
      </c>
      <c r="CJ384" s="13" t="n">
        <v>43</v>
      </c>
      <c r="CK384" s="13" t="n">
        <v>336</v>
      </c>
      <c r="CL384" s="13" t="n">
        <v>27</v>
      </c>
      <c r="CM384" s="13" t="n">
        <v>162</v>
      </c>
      <c r="CN384" s="13" t="n">
        <v>0.632</v>
      </c>
      <c r="CO384" s="13" t="n">
        <v>180</v>
      </c>
      <c r="CP384" s="13" t="n">
        <v>132</v>
      </c>
      <c r="CQ384" s="13" t="n">
        <v>157</v>
      </c>
      <c r="CR384" s="13" t="n">
        <v>6</v>
      </c>
      <c r="CS384" s="13" t="n">
        <v>10</v>
      </c>
      <c r="CT384" s="11" t="inlineStr">
        <is>
          <t xml:space="preserve"> Powder</t>
        </is>
      </c>
      <c r="CU384" s="11" t="inlineStr">
        <is>
          <t xml:space="preserve"> Touring</t>
        </is>
      </c>
      <c r="CV384" s="11" t="inlineStr">
        <is>
          <t xml:space="preserve"> Ultralight Touring</t>
        </is>
      </c>
      <c r="CW384" s="13" t="n"/>
      <c r="CX384">
        <f>INDEX('Data_Price '!AG$2:AG$1266,MATCH(Data!$DN384,'Data_Price '!$AT$2:$AT$1266,0))</f>
        <v/>
      </c>
      <c r="CY384">
        <f>INDEX('Data_Price '!AH$2:AH$1266,MATCH(Data!$DN384,'Data_Price '!$AT$2:$AT$1266,0))</f>
        <v/>
      </c>
      <c r="CZ384">
        <f>INDEX('Data_Price '!AI$2:AI$1266,MATCH(Data!$DN384,'Data_Price '!$AT$2:$AT$1266,0))</f>
        <v/>
      </c>
      <c r="DA384">
        <f>INDEX('Data_Price '!AJ$2:AJ$1266,MATCH(Data!$DN384,'Data_Price '!$AT$2:$AT$1266,0))</f>
        <v/>
      </c>
      <c r="DB384">
        <f>INDEX('Data_Price '!AK$2:AK$1266,MATCH(Data!$DN384,'Data_Price '!$AT$2:$AT$1266,0))</f>
        <v/>
      </c>
      <c r="DC384">
        <f>INDEX('Data_Price '!AL$2:AL$1266,MATCH(Data!$DN384,'Data_Price '!$AT$2:$AT$1266,0))</f>
        <v/>
      </c>
      <c r="DD384">
        <f>INDEX('Data_Price '!AM$2:AM$1266,MATCH(Data!$DN384,'Data_Price '!$AT$2:$AT$1266,0))</f>
        <v/>
      </c>
      <c r="DE384">
        <f>INDEX('Data_Price '!AN$2:AN$1266,MATCH(Data!$DN384,'Data_Price '!$AT$2:$AT$1266,0))</f>
        <v/>
      </c>
      <c r="DF384">
        <f>INDEX('Data_Price '!AO$2:AO$1266,MATCH(Data!$DN384,'Data_Price '!$AT$2:$AT$1266,0))</f>
        <v/>
      </c>
      <c r="DG384">
        <f>INDEX('Data_Price '!AP$2:AP$1266,MATCH(Data!$DN384,'Data_Price '!$AT$2:$AT$1266,0))</f>
        <v/>
      </c>
      <c r="DH384">
        <f>INDEX('Data_Price '!AQ$2:AQ$1266,MATCH(Data!$DN384,'Data_Price '!$AT$2:$AT$1266,0))</f>
        <v/>
      </c>
      <c r="DI384">
        <f>INDEX('Data_Price '!AR$2:AR$1266,MATCH(Data!$DN384,'Data_Price '!$AT$2:$AT$1266,0))</f>
        <v/>
      </c>
      <c r="DJ384" s="138">
        <f>DA384</f>
        <v/>
      </c>
      <c r="DK384" s="138">
        <f>DE384</f>
        <v/>
      </c>
      <c r="DL384" s="138">
        <f>DI384</f>
        <v/>
      </c>
      <c r="DM384" s="303">
        <f>IF(LEFT(BT384,1)=" ",RIGHT(BT384,LEN(BT384)-1),BT384)</f>
        <v/>
      </c>
      <c r="DN384" s="138">
        <f>_xlfn.CONCAT(BS384,DM384,BU384,BV384)</f>
        <v/>
      </c>
      <c r="DO384" s="307" t="inlineStr">
        <is>
          <t>https://images.evo.com/imgp/250/198710/839681/armada-trace-108-skis-women-s-2022-.jpg</t>
        </is>
      </c>
    </row>
    <row r="385" ht="15.6" customHeight="1" s="184">
      <c r="B385" s="303">
        <f t="array" ref="B385">IF(OR(ISERROR(K385:P385)),FALSE,TRUE)</f>
        <v/>
      </c>
      <c r="C385" s="60">
        <f>OR(BR385=Driver!$G$50,Data!BR700=Driver!$H$50)</f>
        <v/>
      </c>
      <c r="D385" s="60">
        <f>OR(BV385=Driver!$G$51,BV385=Driver!$H$51)</f>
        <v/>
      </c>
      <c r="E385" s="60">
        <f>AND(BX385&gt;Driver!$F$54,BX385&lt;Driver!$G$54)</f>
        <v/>
      </c>
      <c r="F385" s="60">
        <f>CL385&gt;Driver!$F$56</f>
        <v/>
      </c>
      <c r="G385" s="60">
        <f>AND(CB385&gt;Driver!$F$55,CB385&lt;Driver!$G$55)</f>
        <v/>
      </c>
      <c r="H385" s="60">
        <f>AND(B385:G385)</f>
        <v/>
      </c>
      <c r="I385" s="60">
        <f>COUNTIFS($H$9:$H$1273,TRUE,$BT$9:$BT$1273,BT385)</f>
        <v/>
      </c>
      <c r="J385" s="60">
        <f t="array" ref="J385">NOT(OR(($H$9:$H$1273=TRUE)*($I$9:$I$1273&gt;0)*($BT$9:$BT$1273=BT385)*($K$9:$K$1273&gt;K385)))</f>
        <v/>
      </c>
      <c r="K385" s="108">
        <f>IFERROR(1-AVERAGE(X385:Y385),"")</f>
        <v/>
      </c>
      <c r="L385" s="108">
        <f>1-X385</f>
        <v/>
      </c>
      <c r="M385" s="108">
        <f>1-Y385</f>
        <v/>
      </c>
      <c r="N385" s="108">
        <f>1-Z385</f>
        <v/>
      </c>
      <c r="O385" s="108">
        <f>1-AA385</f>
        <v/>
      </c>
      <c r="P385" s="108">
        <f>1-AB385</f>
        <v/>
      </c>
      <c r="Q385" s="108" t="n"/>
      <c r="R385" s="108" t="n"/>
      <c r="S385" s="108">
        <f>1-AE385</f>
        <v/>
      </c>
      <c r="T385" s="108">
        <f>1-AF385</f>
        <v/>
      </c>
      <c r="U385" s="108">
        <f>1-AG385</f>
        <v/>
      </c>
      <c r="V385" s="108">
        <f>1-AH385</f>
        <v/>
      </c>
      <c r="W385" s="108">
        <f>1-AI385</f>
        <v/>
      </c>
      <c r="X385" s="108">
        <f>ABS(AJ385-AJ$1)</f>
        <v/>
      </c>
      <c r="Y385" s="108">
        <f>AVERAGE(Z385:AB385)</f>
        <v/>
      </c>
      <c r="Z385" s="108">
        <f>ABS(AL385-AL$1)</f>
        <v/>
      </c>
      <c r="AA385" s="108">
        <f>ABS(AM385-AM$1)</f>
        <v/>
      </c>
      <c r="AB385" s="108">
        <f>ABS(AN385-AN$1)</f>
        <v/>
      </c>
      <c r="AC385" s="108" t="n"/>
      <c r="AD385" s="108" t="n"/>
      <c r="AE385" s="108">
        <f>ABS(AQ$1-AQ385)</f>
        <v/>
      </c>
      <c r="AF385" s="108">
        <f>ABS(AR$1-AR385)</f>
        <v/>
      </c>
      <c r="AG385" s="108">
        <f>ABS(AS$1-AS385)</f>
        <v/>
      </c>
      <c r="AH385" s="108">
        <f>ABS(AT$1-AT385)</f>
        <v/>
      </c>
      <c r="AI385" s="108">
        <f>ABS(AU$1-AU385)</f>
        <v/>
      </c>
      <c r="AJ385" s="108">
        <f>(AV385-Driver!$K$179)/(Driver!$L$179-Driver!$K$179)</f>
        <v/>
      </c>
      <c r="AK385" s="108">
        <f>(AW385-Driver!$K$180)/(Driver!$L$180-Driver!$K$180)</f>
        <v/>
      </c>
      <c r="AL385" s="108">
        <f>(AX385-Driver!$K$181)/(Driver!$L$181-Driver!$K$181)</f>
        <v/>
      </c>
      <c r="AM385" s="108">
        <f>(AY385-Driver!$K$182)/(Driver!$L$182-Driver!$K$182)</f>
        <v/>
      </c>
      <c r="AN385" s="108">
        <f>(AZ385-Driver!$K$183)/(Driver!$L$183-Driver!$K$183)</f>
        <v/>
      </c>
      <c r="AO385" s="108" t="n"/>
      <c r="AP385" s="108" t="n"/>
      <c r="AQ385" s="108">
        <f>(BC385-Driver!$K$188)/(Driver!$L$188-Driver!$K$188)</f>
        <v/>
      </c>
      <c r="AR385" s="108">
        <f>MIN((BD385-Driver!$K$189)/(Driver!$L$189-Driver!$K$189),100%)</f>
        <v/>
      </c>
      <c r="AS385" s="108">
        <f>(BE385-Driver!$K$190)/(Driver!$L$190-Driver!$K$190)</f>
        <v/>
      </c>
      <c r="AT385" s="108">
        <f>(BF385-Driver!$K$191)/(Driver!$L$191-Driver!$K$191)</f>
        <v/>
      </c>
      <c r="AU385" s="108">
        <f>(BG385-Driver!$K$192)/(Driver!$L$192-Driver!$K$192)</f>
        <v/>
      </c>
      <c r="AV385" s="105">
        <f>IFERROR(BM385*BJ385^1/4,"")</f>
        <v/>
      </c>
      <c r="AW385" s="105">
        <f>IFERROR(SUM(AX385:AZ385),"")</f>
        <v/>
      </c>
      <c r="AX385" s="105">
        <f>IFERROR(BH385,"")</f>
        <v/>
      </c>
      <c r="AY385" s="105">
        <f>IFERROR(Driver!$K$19/Data!BH385/Data!BI385*Data!BK385*Data!BL385,"")</f>
        <v/>
      </c>
      <c r="AZ385" s="105">
        <f>IFERROR(BI385*BN385,"")</f>
        <v/>
      </c>
      <c r="BA385" s="105" t="n"/>
      <c r="BB385" s="105" t="n"/>
      <c r="BC385" s="105">
        <f>IFERROR(BI385*BN385*BK385/BJ385^(1/2),"")</f>
        <v/>
      </c>
      <c r="BD385" s="105">
        <f>IFERROR(BH385*BM385*BL385/BJ385/BK385,"")</f>
        <v/>
      </c>
      <c r="BE385" s="105">
        <f>IFERROR(MIN(BI385/BQ385/BP385/BO385/BH385,$BE$1),"")</f>
        <v/>
      </c>
      <c r="BF385" s="105">
        <f>IFERROR(BJ385*BO385*BP385/BK385,"")</f>
        <v/>
      </c>
      <c r="BG385" s="105">
        <f>IFERROR(1/BM385/BH385*BQ385,"")</f>
        <v/>
      </c>
      <c r="BH385" s="102">
        <f>MAX((CE385-Driver!$F$200)/(Driver!$G$200-Driver!$F$200)*$BI$1,1)</f>
        <v/>
      </c>
      <c r="BI385" s="102">
        <f>MAX($BI$1*(BY385-Driver!$F$201)/(Driver!$G$201-Driver!$F$201),1)</f>
        <v/>
      </c>
      <c r="BJ385" s="102">
        <f>(CB385-Driver!$F$206)/(Driver!$G$206-Driver!$F$206)*$BI$1</f>
        <v/>
      </c>
      <c r="BK385" s="102">
        <f>(CD385-Driver!$F$203)/(Driver!$G$203-Driver!$F$203)*$BI$1</f>
        <v/>
      </c>
      <c r="BL385" s="102">
        <f>MAX((CR385-Driver!$F$202)/(Driver!$G$202-Driver!$F$202)*$BI$1,1)</f>
        <v/>
      </c>
      <c r="BM385" s="102">
        <f>MAX((CH385-Driver!$F$204)/(Driver!$G$204-Driver!$F$204)*$BI$1,1)</f>
        <v/>
      </c>
      <c r="BN385" s="102">
        <f>(CI385-Driver!$F$205)/(Driver!$G$205-Driver!$F$205)*$BI$1</f>
        <v/>
      </c>
      <c r="BO385" s="102">
        <f>(CK385-Driver!$F$207)/(Driver!$G$207-Driver!$F$207)*$BI$1</f>
        <v/>
      </c>
      <c r="BP385" s="102">
        <f>(CM385-Driver!$F$208)/(Driver!$G$208-Driver!$F$208)*$BI$1</f>
        <v/>
      </c>
      <c r="BQ385" s="102">
        <f>(CL385-Driver!$F$209)/(Driver!$G$209-Driver!$F$209)*$BI$1</f>
        <v/>
      </c>
      <c r="BR385" s="40" t="inlineStr">
        <is>
          <t>21/22</t>
        </is>
      </c>
      <c r="BS385" s="10" t="inlineStr">
        <is>
          <t xml:space="preserve"> J Skis</t>
        </is>
      </c>
      <c r="BT385" s="11" t="inlineStr">
        <is>
          <t xml:space="preserve"> The Slacker</t>
        </is>
      </c>
      <c r="BU385" s="13" t="n">
        <v>188</v>
      </c>
      <c r="BV385" s="11" t="inlineStr">
        <is>
          <t xml:space="preserve"> Unisex</t>
        </is>
      </c>
      <c r="BW385" s="13" t="n">
        <v>188</v>
      </c>
      <c r="BX385" s="13" t="n">
        <v>185.4</v>
      </c>
      <c r="BY385" s="13" t="n">
        <v>118</v>
      </c>
      <c r="BZ385" s="13" t="n">
        <v>151</v>
      </c>
      <c r="CA385" s="13" t="n">
        <v>136</v>
      </c>
      <c r="CB385" s="13" t="n">
        <v>109</v>
      </c>
      <c r="CC385" s="13" t="n">
        <v>127</v>
      </c>
      <c r="CD385" s="13" t="n">
        <v>21.7</v>
      </c>
      <c r="CE385" s="13" t="n">
        <v>1991</v>
      </c>
      <c r="CF385" s="13" t="n">
        <v>1.1</v>
      </c>
      <c r="CG385" s="13" t="n">
        <v>2196</v>
      </c>
      <c r="CH385" s="13" t="n">
        <v>227</v>
      </c>
      <c r="CI385" s="13" t="n">
        <v>102</v>
      </c>
      <c r="CJ385" s="13" t="n">
        <v>57</v>
      </c>
      <c r="CK385" s="13" t="n">
        <v>467</v>
      </c>
      <c r="CL385" s="13" t="n">
        <v>29</v>
      </c>
      <c r="CM385" s="13" t="n">
        <v>207</v>
      </c>
      <c r="CN385" s="13" t="n">
        <v>0.512</v>
      </c>
      <c r="CO385" s="13" t="n">
        <v>172</v>
      </c>
      <c r="CP385" s="13" t="n">
        <v>169</v>
      </c>
      <c r="CQ385" s="13" t="n">
        <v>295</v>
      </c>
      <c r="CR385" s="13" t="n">
        <v>3</v>
      </c>
      <c r="CS385" s="13" t="n">
        <v>8.300000000000001</v>
      </c>
      <c r="CT385" s="11" t="inlineStr">
        <is>
          <t xml:space="preserve"> Powder</t>
        </is>
      </c>
      <c r="CU385" s="11" t="inlineStr">
        <is>
          <t xml:space="preserve"> Touring</t>
        </is>
      </c>
      <c r="CV385" s="13" t="n"/>
      <c r="CW385" s="13" t="n"/>
      <c r="CX385">
        <f>INDEX('Data_Price '!AG$2:AG$1266,MATCH(Data!$DN385,'Data_Price '!$AT$2:$AT$1266,0))</f>
        <v/>
      </c>
      <c r="CY385">
        <f>INDEX('Data_Price '!AH$2:AH$1266,MATCH(Data!$DN385,'Data_Price '!$AT$2:$AT$1266,0))</f>
        <v/>
      </c>
      <c r="CZ385">
        <f>INDEX('Data_Price '!AI$2:AI$1266,MATCH(Data!$DN385,'Data_Price '!$AT$2:$AT$1266,0))</f>
        <v/>
      </c>
      <c r="DA385">
        <f>INDEX('Data_Price '!AJ$2:AJ$1266,MATCH(Data!$DN385,'Data_Price '!$AT$2:$AT$1266,0))</f>
        <v/>
      </c>
      <c r="DB385">
        <f>INDEX('Data_Price '!AK$2:AK$1266,MATCH(Data!$DN385,'Data_Price '!$AT$2:$AT$1266,0))</f>
        <v/>
      </c>
      <c r="DC385">
        <f>INDEX('Data_Price '!AL$2:AL$1266,MATCH(Data!$DN385,'Data_Price '!$AT$2:$AT$1266,0))</f>
        <v/>
      </c>
      <c r="DD385">
        <f>INDEX('Data_Price '!AM$2:AM$1266,MATCH(Data!$DN385,'Data_Price '!$AT$2:$AT$1266,0))</f>
        <v/>
      </c>
      <c r="DE385">
        <f>INDEX('Data_Price '!AN$2:AN$1266,MATCH(Data!$DN385,'Data_Price '!$AT$2:$AT$1266,0))</f>
        <v/>
      </c>
      <c r="DF385">
        <f>INDEX('Data_Price '!AO$2:AO$1266,MATCH(Data!$DN385,'Data_Price '!$AT$2:$AT$1266,0))</f>
        <v/>
      </c>
      <c r="DG385">
        <f>INDEX('Data_Price '!AP$2:AP$1266,MATCH(Data!$DN385,'Data_Price '!$AT$2:$AT$1266,0))</f>
        <v/>
      </c>
      <c r="DH385">
        <f>INDEX('Data_Price '!AQ$2:AQ$1266,MATCH(Data!$DN385,'Data_Price '!$AT$2:$AT$1266,0))</f>
        <v/>
      </c>
      <c r="DI385">
        <f>INDEX('Data_Price '!AR$2:AR$1266,MATCH(Data!$DN385,'Data_Price '!$AT$2:$AT$1266,0))</f>
        <v/>
      </c>
      <c r="DJ385" s="138">
        <f>DA385</f>
        <v/>
      </c>
      <c r="DK385" s="138">
        <f>DE385</f>
        <v/>
      </c>
      <c r="DL385" s="138">
        <f>DI385</f>
        <v/>
      </c>
      <c r="DM385" s="303">
        <f>IF(LEFT(BT385,1)=" ",RIGHT(BT385,LEN(BT385)-1),BT385)</f>
        <v/>
      </c>
      <c r="DN385" s="138">
        <f>_xlfn.CONCAT(BS385,DM385,BU385,BV385)</f>
        <v/>
      </c>
      <c r="DO385" s="307" t="n"/>
    </row>
    <row r="386" ht="15.6" customHeight="1" s="184">
      <c r="B386" s="303">
        <f t="array" ref="B386">IF(OR(ISERROR(K386:P386)),FALSE,TRUE)</f>
        <v/>
      </c>
      <c r="C386" s="60">
        <f>OR(BR386=Driver!$G$50,Data!BR713=Driver!$H$50)</f>
        <v/>
      </c>
      <c r="D386" s="60">
        <f>OR(BV386=Driver!$G$51,BV386=Driver!$H$51)</f>
        <v/>
      </c>
      <c r="E386" s="60">
        <f>AND(BX386&gt;Driver!$F$54,BX386&lt;Driver!$G$54)</f>
        <v/>
      </c>
      <c r="F386" s="60">
        <f>CL386&gt;Driver!$F$56</f>
        <v/>
      </c>
      <c r="G386" s="60">
        <f>AND(CB386&gt;Driver!$F$55,CB386&lt;Driver!$G$55)</f>
        <v/>
      </c>
      <c r="H386" s="60">
        <f>AND(B386:G386)</f>
        <v/>
      </c>
      <c r="I386" s="60">
        <f>COUNTIFS($H$9:$H$1273,TRUE,$BT$9:$BT$1273,BT386)</f>
        <v/>
      </c>
      <c r="J386" s="60">
        <f t="array" ref="J386">NOT(OR(($H$9:$H$1273=TRUE)*($I$9:$I$1273&gt;0)*($BT$9:$BT$1273=BT386)*($K$9:$K$1273&gt;K386)))</f>
        <v/>
      </c>
      <c r="K386" s="108">
        <f>IFERROR(1-AVERAGE(X386:Y386),"")</f>
        <v/>
      </c>
      <c r="L386" s="108">
        <f>1-X386</f>
        <v/>
      </c>
      <c r="M386" s="108">
        <f>1-Y386</f>
        <v/>
      </c>
      <c r="N386" s="108">
        <f>1-Z386</f>
        <v/>
      </c>
      <c r="O386" s="108">
        <f>1-AA386</f>
        <v/>
      </c>
      <c r="P386" s="108">
        <f>1-AB386</f>
        <v/>
      </c>
      <c r="Q386" s="108" t="n"/>
      <c r="R386" s="108" t="n"/>
      <c r="S386" s="108">
        <f>1-AE386</f>
        <v/>
      </c>
      <c r="T386" s="108">
        <f>1-AF386</f>
        <v/>
      </c>
      <c r="U386" s="108">
        <f>1-AG386</f>
        <v/>
      </c>
      <c r="V386" s="108">
        <f>1-AH386</f>
        <v/>
      </c>
      <c r="W386" s="108">
        <f>1-AI386</f>
        <v/>
      </c>
      <c r="X386" s="108">
        <f>ABS(AJ386-AJ$1)</f>
        <v/>
      </c>
      <c r="Y386" s="108">
        <f>AVERAGE(Z386:AB386)</f>
        <v/>
      </c>
      <c r="Z386" s="108">
        <f>ABS(AL386-AL$1)</f>
        <v/>
      </c>
      <c r="AA386" s="108">
        <f>ABS(AM386-AM$1)</f>
        <v/>
      </c>
      <c r="AB386" s="108">
        <f>ABS(AN386-AN$1)</f>
        <v/>
      </c>
      <c r="AC386" s="108" t="n"/>
      <c r="AD386" s="108" t="n"/>
      <c r="AE386" s="108">
        <f>ABS(AQ$1-AQ386)</f>
        <v/>
      </c>
      <c r="AF386" s="108">
        <f>ABS(AR$1-AR386)</f>
        <v/>
      </c>
      <c r="AG386" s="108">
        <f>ABS(AS$1-AS386)</f>
        <v/>
      </c>
      <c r="AH386" s="108">
        <f>ABS(AT$1-AT386)</f>
        <v/>
      </c>
      <c r="AI386" s="108">
        <f>ABS(AU$1-AU386)</f>
        <v/>
      </c>
      <c r="AJ386" s="108">
        <f>(AV386-Driver!$K$179)/(Driver!$L$179-Driver!$K$179)</f>
        <v/>
      </c>
      <c r="AK386" s="108">
        <f>(AW386-Driver!$K$180)/(Driver!$L$180-Driver!$K$180)</f>
        <v/>
      </c>
      <c r="AL386" s="108">
        <f>(AX386-Driver!$K$181)/(Driver!$L$181-Driver!$K$181)</f>
        <v/>
      </c>
      <c r="AM386" s="108">
        <f>(AY386-Driver!$K$182)/(Driver!$L$182-Driver!$K$182)</f>
        <v/>
      </c>
      <c r="AN386" s="108">
        <f>(AZ386-Driver!$K$183)/(Driver!$L$183-Driver!$K$183)</f>
        <v/>
      </c>
      <c r="AO386" s="108" t="n"/>
      <c r="AP386" s="108" t="n"/>
      <c r="AQ386" s="108">
        <f>(BC386-Driver!$K$188)/(Driver!$L$188-Driver!$K$188)</f>
        <v/>
      </c>
      <c r="AR386" s="108">
        <f>MIN((BD386-Driver!$K$189)/(Driver!$L$189-Driver!$K$189),100%)</f>
        <v/>
      </c>
      <c r="AS386" s="108">
        <f>(BE386-Driver!$K$190)/(Driver!$L$190-Driver!$K$190)</f>
        <v/>
      </c>
      <c r="AT386" s="108">
        <f>(BF386-Driver!$K$191)/(Driver!$L$191-Driver!$K$191)</f>
        <v/>
      </c>
      <c r="AU386" s="108">
        <f>(BG386-Driver!$K$192)/(Driver!$L$192-Driver!$K$192)</f>
        <v/>
      </c>
      <c r="AV386" s="105">
        <f>IFERROR(BM386*BJ386^1/4,"")</f>
        <v/>
      </c>
      <c r="AW386" s="105">
        <f>IFERROR(SUM(AX386:AZ386),"")</f>
        <v/>
      </c>
      <c r="AX386" s="105">
        <f>IFERROR(BH386,"")</f>
        <v/>
      </c>
      <c r="AY386" s="105">
        <f>IFERROR(Driver!$K$19/Data!BH386/Data!BI386*Data!BK386*Data!BL386,"")</f>
        <v/>
      </c>
      <c r="AZ386" s="105">
        <f>IFERROR(BI386*BN386,"")</f>
        <v/>
      </c>
      <c r="BA386" s="105" t="n"/>
      <c r="BB386" s="105" t="n"/>
      <c r="BC386" s="105">
        <f>IFERROR(BI386*BN386*BK386/BJ386^(1/2),"")</f>
        <v/>
      </c>
      <c r="BD386" s="105">
        <f>IFERROR(BH386*BM386*BL386/BJ386/BK386,"")</f>
        <v/>
      </c>
      <c r="BE386" s="105">
        <f>IFERROR(MIN(BI386/BQ386/BP386/BO386/BH386,$BE$1),"")</f>
        <v/>
      </c>
      <c r="BF386" s="105">
        <f>IFERROR(BJ386*BO386*BP386/BK386,"")</f>
        <v/>
      </c>
      <c r="BG386" s="105">
        <f>IFERROR(1/BM386/BH386*BQ386,"")</f>
        <v/>
      </c>
      <c r="BH386" s="102">
        <f>MAX((CE386-Driver!$F$200)/(Driver!$G$200-Driver!$F$200)*$BI$1,1)</f>
        <v/>
      </c>
      <c r="BI386" s="102">
        <f>MAX($BI$1*(BY386-Driver!$F$201)/(Driver!$G$201-Driver!$F$201),1)</f>
        <v/>
      </c>
      <c r="BJ386" s="102">
        <f>(CB386-Driver!$F$206)/(Driver!$G$206-Driver!$F$206)*$BI$1</f>
        <v/>
      </c>
      <c r="BK386" s="102">
        <f>(CD386-Driver!$F$203)/(Driver!$G$203-Driver!$F$203)*$BI$1</f>
        <v/>
      </c>
      <c r="BL386" s="102">
        <f>MAX((CR386-Driver!$F$202)/(Driver!$G$202-Driver!$F$202)*$BI$1,1)</f>
        <v/>
      </c>
      <c r="BM386" s="102">
        <f>MAX((CH386-Driver!$F$204)/(Driver!$G$204-Driver!$F$204)*$BI$1,1)</f>
        <v/>
      </c>
      <c r="BN386" s="102">
        <f>(CI386-Driver!$F$205)/(Driver!$G$205-Driver!$F$205)*$BI$1</f>
        <v/>
      </c>
      <c r="BO386" s="102">
        <f>(CK386-Driver!$F$207)/(Driver!$G$207-Driver!$F$207)*$BI$1</f>
        <v/>
      </c>
      <c r="BP386" s="102">
        <f>(CM386-Driver!$F$208)/(Driver!$G$208-Driver!$F$208)*$BI$1</f>
        <v/>
      </c>
      <c r="BQ386" s="102">
        <f>(CL386-Driver!$F$209)/(Driver!$G$209-Driver!$F$209)*$BI$1</f>
        <v/>
      </c>
      <c r="BR386" s="40" t="inlineStr">
        <is>
          <t>21/22</t>
        </is>
      </c>
      <c r="BS386" s="10" t="inlineStr">
        <is>
          <t xml:space="preserve"> K2</t>
        </is>
      </c>
      <c r="BT386" s="11" t="inlineStr">
        <is>
          <t xml:space="preserve"> Midnight</t>
        </is>
      </c>
      <c r="BU386" s="13" t="n">
        <v>159</v>
      </c>
      <c r="BV386" s="11" t="inlineStr">
        <is>
          <t xml:space="preserve"> Women's</t>
        </is>
      </c>
      <c r="BW386" s="13" t="n">
        <v>159</v>
      </c>
      <c r="BX386" s="13" t="n">
        <v>159.7</v>
      </c>
      <c r="BY386" s="13" t="n">
        <v>111</v>
      </c>
      <c r="BZ386" s="13" t="n">
        <v>129</v>
      </c>
      <c r="CA386" s="13" t="n">
        <v>117</v>
      </c>
      <c r="CB386" s="13" t="n">
        <v>88</v>
      </c>
      <c r="CC386" s="13" t="n">
        <v>111</v>
      </c>
      <c r="CD386" s="13" t="n">
        <v>14.4</v>
      </c>
      <c r="CE386" s="13" t="n">
        <v>1705</v>
      </c>
      <c r="CF386" s="13" t="n">
        <v>0.92</v>
      </c>
      <c r="CG386" s="13" t="n">
        <v>1573</v>
      </c>
      <c r="CH386" s="13" t="n">
        <v>173</v>
      </c>
      <c r="CI386" s="13" t="n">
        <v>92</v>
      </c>
      <c r="CJ386" s="13" t="n">
        <v>50</v>
      </c>
      <c r="CK386" s="13" t="n">
        <v>233</v>
      </c>
      <c r="CL386" s="13" t="n">
        <v>47</v>
      </c>
      <c r="CM386" s="13" t="n">
        <v>257</v>
      </c>
      <c r="CN386" s="13" t="n">
        <v>0.9360000000000001</v>
      </c>
      <c r="CO386" s="13" t="n">
        <v>156</v>
      </c>
      <c r="CP386" s="13" t="n">
        <v>154</v>
      </c>
      <c r="CQ386" s="13" t="n">
        <v>77</v>
      </c>
      <c r="CR386" s="13" t="n">
        <v>5</v>
      </c>
      <c r="CS386" s="13" t="n">
        <v>3.5</v>
      </c>
      <c r="CT386" s="11" t="inlineStr">
        <is>
          <t xml:space="preserve"> Freeski</t>
        </is>
      </c>
      <c r="CU386" s="13" t="n"/>
      <c r="CV386" s="13" t="n"/>
      <c r="CW386" s="13" t="n"/>
      <c r="CX386">
        <f>INDEX('Data_Price '!AG$2:AG$1266,MATCH(Data!$DN386,'Data_Price '!$AT$2:$AT$1266,0))</f>
        <v/>
      </c>
      <c r="CY386">
        <f>INDEX('Data_Price '!AH$2:AH$1266,MATCH(Data!$DN386,'Data_Price '!$AT$2:$AT$1266,0))</f>
        <v/>
      </c>
      <c r="CZ386">
        <f>INDEX('Data_Price '!AI$2:AI$1266,MATCH(Data!$DN386,'Data_Price '!$AT$2:$AT$1266,0))</f>
        <v/>
      </c>
      <c r="DA386">
        <f>INDEX('Data_Price '!AJ$2:AJ$1266,MATCH(Data!$DN386,'Data_Price '!$AT$2:$AT$1266,0))</f>
        <v/>
      </c>
      <c r="DB386">
        <f>INDEX('Data_Price '!AK$2:AK$1266,MATCH(Data!$DN386,'Data_Price '!$AT$2:$AT$1266,0))</f>
        <v/>
      </c>
      <c r="DC386">
        <f>INDEX('Data_Price '!AL$2:AL$1266,MATCH(Data!$DN386,'Data_Price '!$AT$2:$AT$1266,0))</f>
        <v/>
      </c>
      <c r="DD386">
        <f>INDEX('Data_Price '!AM$2:AM$1266,MATCH(Data!$DN386,'Data_Price '!$AT$2:$AT$1266,0))</f>
        <v/>
      </c>
      <c r="DE386">
        <f>INDEX('Data_Price '!AN$2:AN$1266,MATCH(Data!$DN386,'Data_Price '!$AT$2:$AT$1266,0))</f>
        <v/>
      </c>
      <c r="DF386">
        <f>INDEX('Data_Price '!AO$2:AO$1266,MATCH(Data!$DN386,'Data_Price '!$AT$2:$AT$1266,0))</f>
        <v/>
      </c>
      <c r="DG386">
        <f>INDEX('Data_Price '!AP$2:AP$1266,MATCH(Data!$DN386,'Data_Price '!$AT$2:$AT$1266,0))</f>
        <v/>
      </c>
      <c r="DH386">
        <f>INDEX('Data_Price '!AQ$2:AQ$1266,MATCH(Data!$DN386,'Data_Price '!$AT$2:$AT$1266,0))</f>
        <v/>
      </c>
      <c r="DI386">
        <f>INDEX('Data_Price '!AR$2:AR$1266,MATCH(Data!$DN386,'Data_Price '!$AT$2:$AT$1266,0))</f>
        <v/>
      </c>
      <c r="DJ386" s="138">
        <f>DA386</f>
        <v/>
      </c>
      <c r="DK386" s="138">
        <f>DE386</f>
        <v/>
      </c>
      <c r="DL386" s="138">
        <f>DI386</f>
        <v/>
      </c>
      <c r="DM386" s="303">
        <f>IF(LEFT(BT386,1)=" ",RIGHT(BT386,LEN(BT386)-1),BT386)</f>
        <v/>
      </c>
      <c r="DN386" s="138">
        <f>_xlfn.CONCAT(BS386,DM386,BU386,BV386)</f>
        <v/>
      </c>
      <c r="DO386" s="307" t="n"/>
    </row>
    <row r="387" ht="15.6" customHeight="1" s="184">
      <c r="A387" s="303">
        <f>ROW()</f>
        <v/>
      </c>
      <c r="B387" s="303">
        <f t="array" ref="B387">IF(OR(ISERROR(K387:P387)),FALSE,TRUE)</f>
        <v/>
      </c>
      <c r="C387" s="60">
        <f>OR(BR387=Driver!$G$50,Data!BR977=Driver!$H$50)</f>
        <v/>
      </c>
      <c r="D387" s="60">
        <f>OR(BV387=Driver!$G$51,BV387=Driver!$H$51)</f>
        <v/>
      </c>
      <c r="E387" s="60">
        <f>AND(BX387&gt;Driver!$F$54,BX387&lt;Driver!$G$54)</f>
        <v/>
      </c>
      <c r="F387" s="60">
        <f>CL387&gt;Driver!$F$56</f>
        <v/>
      </c>
      <c r="G387" s="60">
        <f>AND(CB387&gt;Driver!$F$55,CB387&lt;Driver!$G$55)</f>
        <v/>
      </c>
      <c r="H387" s="60">
        <f>AND(B387:G387)</f>
        <v/>
      </c>
      <c r="I387" s="60">
        <f>COUNTIFS($H$9:$H$1273,TRUE,$BT$9:$BT$1273,BT387)</f>
        <v/>
      </c>
      <c r="J387" s="60">
        <f t="array" ref="J387">NOT(OR(($H$9:$H$1273=TRUE)*($I$9:$I$1273&gt;0)*($BT$9:$BT$1273=BT387)*($K$9:$K$1273&gt;K387)))</f>
        <v/>
      </c>
      <c r="K387" s="108">
        <f>IFERROR(1-AVERAGE(X387:Y387),"")</f>
        <v/>
      </c>
      <c r="L387" s="108">
        <f>1-X387</f>
        <v/>
      </c>
      <c r="M387" s="108">
        <f>1-Y387</f>
        <v/>
      </c>
      <c r="N387" s="108">
        <f>1-Z387</f>
        <v/>
      </c>
      <c r="O387" s="108">
        <f>1-AA387</f>
        <v/>
      </c>
      <c r="P387" s="108">
        <f>1-AB387</f>
        <v/>
      </c>
      <c r="Q387" s="108" t="n"/>
      <c r="R387" s="108" t="n"/>
      <c r="S387" s="108">
        <f>1-AE387</f>
        <v/>
      </c>
      <c r="T387" s="108">
        <f>1-AF387</f>
        <v/>
      </c>
      <c r="U387" s="108">
        <f>1-AG387</f>
        <v/>
      </c>
      <c r="V387" s="108">
        <f>1-AH387</f>
        <v/>
      </c>
      <c r="W387" s="108">
        <f>1-AI387</f>
        <v/>
      </c>
      <c r="X387" s="108">
        <f>ABS(AJ387-AJ$1)</f>
        <v/>
      </c>
      <c r="Y387" s="108">
        <f>AVERAGE(Z387:AB387)</f>
        <v/>
      </c>
      <c r="Z387" s="108">
        <f>ABS(AL387-AL$1)</f>
        <v/>
      </c>
      <c r="AA387" s="108">
        <f>ABS(AM387-AM$1)</f>
        <v/>
      </c>
      <c r="AB387" s="108">
        <f>ABS(AN387-AN$1)</f>
        <v/>
      </c>
      <c r="AC387" s="108" t="n"/>
      <c r="AD387" s="108" t="n"/>
      <c r="AE387" s="108">
        <f>ABS(AQ$1-AQ387)</f>
        <v/>
      </c>
      <c r="AF387" s="108">
        <f>ABS(AR$1-AR387)</f>
        <v/>
      </c>
      <c r="AG387" s="108">
        <f>ABS(AS$1-AS387)</f>
        <v/>
      </c>
      <c r="AH387" s="108">
        <f>ABS(AT$1-AT387)</f>
        <v/>
      </c>
      <c r="AI387" s="108">
        <f>ABS(AU$1-AU387)</f>
        <v/>
      </c>
      <c r="AJ387" s="108">
        <f>(AV387-Driver!$K$179)/(Driver!$L$179-Driver!$K$179)</f>
        <v/>
      </c>
      <c r="AK387" s="108">
        <f>(AW387-Driver!$K$180)/(Driver!$L$180-Driver!$K$180)</f>
        <v/>
      </c>
      <c r="AL387" s="108">
        <f>(AX387-Driver!$K$181)/(Driver!$L$181-Driver!$K$181)</f>
        <v/>
      </c>
      <c r="AM387" s="108">
        <f>(AY387-Driver!$K$182)/(Driver!$L$182-Driver!$K$182)</f>
        <v/>
      </c>
      <c r="AN387" s="108">
        <f>(AZ387-Driver!$K$183)/(Driver!$L$183-Driver!$K$183)</f>
        <v/>
      </c>
      <c r="AO387" s="108" t="n"/>
      <c r="AP387" s="108" t="n"/>
      <c r="AQ387" s="108">
        <f>(BC387-Driver!$K$188)/(Driver!$L$188-Driver!$K$188)</f>
        <v/>
      </c>
      <c r="AR387" s="108">
        <f>MIN((BD387-Driver!$K$189)/(Driver!$L$189-Driver!$K$189),100%)</f>
        <v/>
      </c>
      <c r="AS387" s="108">
        <f>(BE387-Driver!$K$190)/(Driver!$L$190-Driver!$K$190)</f>
        <v/>
      </c>
      <c r="AT387" s="108">
        <f>(BF387-Driver!$K$191)/(Driver!$L$191-Driver!$K$191)</f>
        <v/>
      </c>
      <c r="AU387" s="108">
        <f>(BG387-Driver!$K$192)/(Driver!$L$192-Driver!$K$192)</f>
        <v/>
      </c>
      <c r="AV387" s="105">
        <f>IFERROR(BM387*BJ387^1/4,"")</f>
        <v/>
      </c>
      <c r="AW387" s="105">
        <f>IFERROR(SUM(AX387:AZ387),"")</f>
        <v/>
      </c>
      <c r="AX387" s="105">
        <f>IFERROR(BH387,"")</f>
        <v/>
      </c>
      <c r="AY387" s="105">
        <f>IFERROR(Driver!$K$19/Data!BH188/Data!BI188*Data!BK188*Data!BL188,"")</f>
        <v/>
      </c>
      <c r="AZ387" s="105">
        <f>IFERROR(BI387*BN387,"")</f>
        <v/>
      </c>
      <c r="BA387" s="105" t="n"/>
      <c r="BB387" s="105" t="n"/>
      <c r="BC387" s="105">
        <f>IFERROR(BI387*BN387*BK387/BJ387^(1/2),"")</f>
        <v/>
      </c>
      <c r="BD387" s="105">
        <f>IFERROR(BH387*BM387*BL387/BJ387/BK387,"")</f>
        <v/>
      </c>
      <c r="BE387" s="105">
        <f>IFERROR(MIN(BI387/BQ387/BP387/BO387/BH387,$BE$1),"")</f>
        <v/>
      </c>
      <c r="BF387" s="105">
        <f>IFERROR(BJ387*BO387*BP387/BK387,"")</f>
        <v/>
      </c>
      <c r="BG387" s="105">
        <f>IFERROR(1/BM387/BH387*BQ387,"")</f>
        <v/>
      </c>
      <c r="BH387" s="102">
        <f>MAX((CE387-Driver!$F$200)/(Driver!$G$200-Driver!$F$200)*$BI$1,1)</f>
        <v/>
      </c>
      <c r="BI387" s="102">
        <f>MAX($BI$1*(BY387-Driver!$F$201)/(Driver!$G$201-Driver!$F$201),1)</f>
        <v/>
      </c>
      <c r="BJ387" s="102">
        <f>(CB387-Driver!$F$206)/(Driver!$G$206-Driver!$F$206)*$BI$1</f>
        <v/>
      </c>
      <c r="BK387" s="102">
        <f>(CD387-Driver!$F$203)/(Driver!$G$203-Driver!$F$203)*$BI$1</f>
        <v/>
      </c>
      <c r="BL387" s="102">
        <f>MAX((CR387-Driver!$F$202)/(Driver!$G$202-Driver!$F$202)*$BI$1,1)</f>
        <v/>
      </c>
      <c r="BM387" s="102">
        <f>MAX((CH387-Driver!$F$204)/(Driver!$G$204-Driver!$F$204)*$BI$1,1)</f>
        <v/>
      </c>
      <c r="BN387" s="102">
        <f>(CI387-Driver!$F$205)/(Driver!$G$205-Driver!$F$205)*$BI$1</f>
        <v/>
      </c>
      <c r="BO387" s="102">
        <f>(CK387-Driver!$F$207)/(Driver!$G$207-Driver!$F$207)*$BI$1</f>
        <v/>
      </c>
      <c r="BP387" s="102">
        <f>(CM387-Driver!$F$208)/(Driver!$G$208-Driver!$F$208)*$BI$1</f>
        <v/>
      </c>
      <c r="BQ387" s="102">
        <f>(CL387-Driver!$F$209)/(Driver!$G$209-Driver!$F$209)*$BI$1</f>
        <v/>
      </c>
      <c r="BR387" s="40" t="inlineStr">
        <is>
          <t>21/22</t>
        </is>
      </c>
      <c r="BS387" s="10" t="inlineStr">
        <is>
          <t xml:space="preserve"> Rossignol</t>
        </is>
      </c>
      <c r="BT387" s="11" t="inlineStr">
        <is>
          <t xml:space="preserve"> Blackops Holyshred</t>
        </is>
      </c>
      <c r="BU387" s="13" t="n">
        <v>162</v>
      </c>
      <c r="BV387" s="11" t="inlineStr">
        <is>
          <t xml:space="preserve"> Unisex</t>
        </is>
      </c>
      <c r="BW387" s="13" t="n">
        <v>162</v>
      </c>
      <c r="BX387" s="13" t="n">
        <v>159.5</v>
      </c>
      <c r="BY387" s="13" t="n">
        <v>112</v>
      </c>
      <c r="BZ387" s="13" t="n">
        <v>136</v>
      </c>
      <c r="CA387" s="13" t="n">
        <v>129</v>
      </c>
      <c r="CB387" s="13" t="n">
        <v>97</v>
      </c>
      <c r="CC387" s="13" t="n">
        <v>120</v>
      </c>
      <c r="CD387" s="13" t="n">
        <v>14.4</v>
      </c>
      <c r="CE387" s="13" t="n">
        <v>1731</v>
      </c>
      <c r="CF387" s="13" t="n">
        <v>1</v>
      </c>
      <c r="CG387" s="13" t="n">
        <v>1723</v>
      </c>
      <c r="CH387" s="13" t="n">
        <v>192</v>
      </c>
      <c r="CI387" s="13" t="n">
        <v>101</v>
      </c>
      <c r="CJ387" s="13" t="n">
        <v>53</v>
      </c>
      <c r="CK387" s="13" t="n">
        <v>255</v>
      </c>
      <c r="CL387" s="13" t="n">
        <v>35</v>
      </c>
      <c r="CM387" s="13" t="n">
        <v>221</v>
      </c>
      <c r="CN387" s="13" t="n">
        <v>0.663</v>
      </c>
      <c r="CO387" s="13" t="n">
        <v>137</v>
      </c>
      <c r="CP387" s="13" t="n">
        <v>94</v>
      </c>
      <c r="CQ387" s="13" t="n">
        <v>118</v>
      </c>
      <c r="CR387" s="13" t="n">
        <v>7</v>
      </c>
      <c r="CS387" s="13" t="n">
        <v>4.1</v>
      </c>
      <c r="CT387" s="11" t="inlineStr">
        <is>
          <t xml:space="preserve"> Resort Freeride</t>
        </is>
      </c>
      <c r="CU387" s="13" t="n"/>
      <c r="CV387" s="13" t="n"/>
      <c r="CW387" s="13" t="n"/>
      <c r="CX387">
        <f>INDEX('Data_Price '!AG$2:AG$1266,MATCH(Data!$DN387,'Data_Price '!$AT$2:$AT$1266,0))</f>
        <v/>
      </c>
      <c r="CY387">
        <f>INDEX('Data_Price '!AH$2:AH$1266,MATCH(Data!$DN387,'Data_Price '!$AT$2:$AT$1266,0))</f>
        <v/>
      </c>
      <c r="CZ387">
        <f>INDEX('Data_Price '!AI$2:AI$1266,MATCH(Data!$DN387,'Data_Price '!$AT$2:$AT$1266,0))</f>
        <v/>
      </c>
      <c r="DA387">
        <f>INDEX('Data_Price '!AJ$2:AJ$1266,MATCH(Data!$DN387,'Data_Price '!$AT$2:$AT$1266,0))</f>
        <v/>
      </c>
      <c r="DB387">
        <f>INDEX('Data_Price '!AK$2:AK$1266,MATCH(Data!$DN387,'Data_Price '!$AT$2:$AT$1266,0))</f>
        <v/>
      </c>
      <c r="DC387">
        <f>INDEX('Data_Price '!AL$2:AL$1266,MATCH(Data!$DN387,'Data_Price '!$AT$2:$AT$1266,0))</f>
        <v/>
      </c>
      <c r="DD387">
        <f>INDEX('Data_Price '!AM$2:AM$1266,MATCH(Data!$DN387,'Data_Price '!$AT$2:$AT$1266,0))</f>
        <v/>
      </c>
      <c r="DE387">
        <f>INDEX('Data_Price '!AN$2:AN$1266,MATCH(Data!$DN387,'Data_Price '!$AT$2:$AT$1266,0))</f>
        <v/>
      </c>
      <c r="DF387">
        <f>INDEX('Data_Price '!AO$2:AO$1266,MATCH(Data!$DN387,'Data_Price '!$AT$2:$AT$1266,0))</f>
        <v/>
      </c>
      <c r="DG387">
        <f>INDEX('Data_Price '!AP$2:AP$1266,MATCH(Data!$DN387,'Data_Price '!$AT$2:$AT$1266,0))</f>
        <v/>
      </c>
      <c r="DH387">
        <f>INDEX('Data_Price '!AQ$2:AQ$1266,MATCH(Data!$DN387,'Data_Price '!$AT$2:$AT$1266,0))</f>
        <v/>
      </c>
      <c r="DI387">
        <f>INDEX('Data_Price '!AR$2:AR$1266,MATCH(Data!$DN387,'Data_Price '!$AT$2:$AT$1266,0))</f>
        <v/>
      </c>
      <c r="DJ387" s="138">
        <f>DA387</f>
        <v/>
      </c>
      <c r="DK387" s="138">
        <f>DE387</f>
        <v/>
      </c>
      <c r="DL387" s="138">
        <f>DI387</f>
        <v/>
      </c>
      <c r="DM387" s="303">
        <f>IF(LEFT(BT387,1)=" ",RIGHT(BT387,LEN(BT387)-1),BT387)</f>
        <v/>
      </c>
      <c r="DN387" s="138">
        <f>_xlfn.CONCAT(BS387,DM387,BU387,BV387)</f>
        <v/>
      </c>
      <c r="DO387" s="307" t="inlineStr">
        <is>
          <t>https://images.evo.com/imgp/250/198263/792326/nordica-santa-ana-104-free-skis-women-s-2022-.jpg</t>
        </is>
      </c>
    </row>
    <row r="388" ht="15.6" customHeight="1" s="184">
      <c r="B388" s="303">
        <f t="array" ref="B388">IF(OR(ISERROR(K388:P388)),FALSE,TRUE)</f>
        <v/>
      </c>
      <c r="C388" s="60">
        <f>OR(BR388=Driver!$G$50,Data!BR740=Driver!$H$50)</f>
        <v/>
      </c>
      <c r="D388" s="60">
        <f>OR(BV388=Driver!$G$51,BV388=Driver!$H$51)</f>
        <v/>
      </c>
      <c r="E388" s="60">
        <f>AND(BX388&gt;Driver!$F$54,BX388&lt;Driver!$G$54)</f>
        <v/>
      </c>
      <c r="F388" s="60">
        <f>CL388&gt;Driver!$F$56</f>
        <v/>
      </c>
      <c r="G388" s="60">
        <f>AND(CB388&gt;Driver!$F$55,CB388&lt;Driver!$G$55)</f>
        <v/>
      </c>
      <c r="H388" s="60">
        <f>AND(B388:G388)</f>
        <v/>
      </c>
      <c r="I388" s="60">
        <f>COUNTIFS($H$9:$H$1273,TRUE,$BT$9:$BT$1273,BT388)</f>
        <v/>
      </c>
      <c r="J388" s="60">
        <f t="array" ref="J388">NOT(OR(($H$9:$H$1273=TRUE)*($I$9:$I$1273&gt;0)*($BT$9:$BT$1273=BT388)*($K$9:$K$1273&gt;K388)))</f>
        <v/>
      </c>
      <c r="K388" s="108">
        <f>IFERROR(1-AVERAGE(X388:Y388),"")</f>
        <v/>
      </c>
      <c r="L388" s="108">
        <f>1-X388</f>
        <v/>
      </c>
      <c r="M388" s="108">
        <f>1-Y388</f>
        <v/>
      </c>
      <c r="N388" s="108">
        <f>1-Z388</f>
        <v/>
      </c>
      <c r="O388" s="108">
        <f>1-AA388</f>
        <v/>
      </c>
      <c r="P388" s="108">
        <f>1-AB388</f>
        <v/>
      </c>
      <c r="Q388" s="108" t="n"/>
      <c r="R388" s="108" t="n"/>
      <c r="S388" s="108">
        <f>1-AE388</f>
        <v/>
      </c>
      <c r="T388" s="108">
        <f>1-AF388</f>
        <v/>
      </c>
      <c r="U388" s="108">
        <f>1-AG388</f>
        <v/>
      </c>
      <c r="V388" s="108">
        <f>1-AH388</f>
        <v/>
      </c>
      <c r="W388" s="108">
        <f>1-AI388</f>
        <v/>
      </c>
      <c r="X388" s="108">
        <f>ABS(AJ388-AJ$1)</f>
        <v/>
      </c>
      <c r="Y388" s="108">
        <f>AVERAGE(Z388:AB388)</f>
        <v/>
      </c>
      <c r="Z388" s="108">
        <f>ABS(AL388-AL$1)</f>
        <v/>
      </c>
      <c r="AA388" s="108">
        <f>ABS(AM388-AM$1)</f>
        <v/>
      </c>
      <c r="AB388" s="108">
        <f>ABS(AN388-AN$1)</f>
        <v/>
      </c>
      <c r="AC388" s="108" t="n"/>
      <c r="AD388" s="108" t="n"/>
      <c r="AE388" s="108">
        <f>ABS(AQ$1-AQ388)</f>
        <v/>
      </c>
      <c r="AF388" s="108">
        <f>ABS(AR$1-AR388)</f>
        <v/>
      </c>
      <c r="AG388" s="108">
        <f>ABS(AS$1-AS388)</f>
        <v/>
      </c>
      <c r="AH388" s="108">
        <f>ABS(AT$1-AT388)</f>
        <v/>
      </c>
      <c r="AI388" s="108">
        <f>ABS(AU$1-AU388)</f>
        <v/>
      </c>
      <c r="AJ388" s="108">
        <f>(AV388-Driver!$K$179)/(Driver!$L$179-Driver!$K$179)</f>
        <v/>
      </c>
      <c r="AK388" s="108">
        <f>(AW388-Driver!$K$180)/(Driver!$L$180-Driver!$K$180)</f>
        <v/>
      </c>
      <c r="AL388" s="108">
        <f>(AX388-Driver!$K$181)/(Driver!$L$181-Driver!$K$181)</f>
        <v/>
      </c>
      <c r="AM388" s="108">
        <f>(AY388-Driver!$K$182)/(Driver!$L$182-Driver!$K$182)</f>
        <v/>
      </c>
      <c r="AN388" s="108">
        <f>(AZ388-Driver!$K$183)/(Driver!$L$183-Driver!$K$183)</f>
        <v/>
      </c>
      <c r="AO388" s="108" t="n"/>
      <c r="AP388" s="108" t="n"/>
      <c r="AQ388" s="108">
        <f>(BC388-Driver!$K$188)/(Driver!$L$188-Driver!$K$188)</f>
        <v/>
      </c>
      <c r="AR388" s="108">
        <f>MIN((BD388-Driver!$K$189)/(Driver!$L$189-Driver!$K$189),100%)</f>
        <v/>
      </c>
      <c r="AS388" s="108">
        <f>(BE388-Driver!$K$190)/(Driver!$L$190-Driver!$K$190)</f>
        <v/>
      </c>
      <c r="AT388" s="108">
        <f>(BF388-Driver!$K$191)/(Driver!$L$191-Driver!$K$191)</f>
        <v/>
      </c>
      <c r="AU388" s="108">
        <f>(BG388-Driver!$K$192)/(Driver!$L$192-Driver!$K$192)</f>
        <v/>
      </c>
      <c r="AV388" s="105">
        <f>IFERROR(BM388*BJ388^1/4,"")</f>
        <v/>
      </c>
      <c r="AW388" s="105">
        <f>IFERROR(SUM(AX388:AZ388),"")</f>
        <v/>
      </c>
      <c r="AX388" s="105">
        <f>IFERROR(BH388,"")</f>
        <v/>
      </c>
      <c r="AY388" s="105">
        <f>IFERROR(Driver!$K$19/Data!BH388/Data!BI388*Data!BK388*Data!BL388,"")</f>
        <v/>
      </c>
      <c r="AZ388" s="105">
        <f>IFERROR(BI388*BN388,"")</f>
        <v/>
      </c>
      <c r="BA388" s="105" t="n"/>
      <c r="BB388" s="105" t="n"/>
      <c r="BC388" s="105">
        <f>IFERROR(BI388*BN388*BK388/BJ388^(1/2),"")</f>
        <v/>
      </c>
      <c r="BD388" s="105">
        <f>IFERROR(BH388*BM388*BL388/BJ388/BK388,"")</f>
        <v/>
      </c>
      <c r="BE388" s="105">
        <f>IFERROR(MIN(BI388/BQ388/BP388/BO388/BH388,$BE$1),"")</f>
        <v/>
      </c>
      <c r="BF388" s="105">
        <f>IFERROR(BJ388*BO388*BP388/BK388,"")</f>
        <v/>
      </c>
      <c r="BG388" s="105">
        <f>IFERROR(1/BM388/BH388*BQ388,"")</f>
        <v/>
      </c>
      <c r="BH388" s="102">
        <f>MAX((CE388-Driver!$F$200)/(Driver!$G$200-Driver!$F$200)*$BI$1,1)</f>
        <v/>
      </c>
      <c r="BI388" s="102">
        <f>MAX($BI$1*(BY388-Driver!$F$201)/(Driver!$G$201-Driver!$F$201),1)</f>
        <v/>
      </c>
      <c r="BJ388" s="102">
        <f>(CB388-Driver!$F$206)/(Driver!$G$206-Driver!$F$206)*$BI$1</f>
        <v/>
      </c>
      <c r="BK388" s="102">
        <f>(CD388-Driver!$F$203)/(Driver!$G$203-Driver!$F$203)*$BI$1</f>
        <v/>
      </c>
      <c r="BL388" s="102">
        <f>MAX((CR388-Driver!$F$202)/(Driver!$G$202-Driver!$F$202)*$BI$1,1)</f>
        <v/>
      </c>
      <c r="BM388" s="102">
        <f>MAX((CH388-Driver!$F$204)/(Driver!$G$204-Driver!$F$204)*$BI$1,1)</f>
        <v/>
      </c>
      <c r="BN388" s="102">
        <f>(CI388-Driver!$F$205)/(Driver!$G$205-Driver!$F$205)*$BI$1</f>
        <v/>
      </c>
      <c r="BO388" s="102">
        <f>(CK388-Driver!$F$207)/(Driver!$G$207-Driver!$F$207)*$BI$1</f>
        <v/>
      </c>
      <c r="BP388" s="102">
        <f>(CM388-Driver!$F$208)/(Driver!$G$208-Driver!$F$208)*$BI$1</f>
        <v/>
      </c>
      <c r="BQ388" s="102">
        <f>(CL388-Driver!$F$209)/(Driver!$G$209-Driver!$F$209)*$BI$1</f>
        <v/>
      </c>
      <c r="BR388" s="40" t="inlineStr">
        <is>
          <t>21/22</t>
        </is>
      </c>
      <c r="BS388" s="10" t="inlineStr">
        <is>
          <t xml:space="preserve"> K2</t>
        </is>
      </c>
      <c r="BT388" s="11" t="inlineStr">
        <is>
          <t>Mindbender 90 Ti</t>
        </is>
      </c>
      <c r="BU388" s="13" t="n">
        <v>170</v>
      </c>
      <c r="BV388" s="11" t="inlineStr">
        <is>
          <t xml:space="preserve"> Unisex</t>
        </is>
      </c>
      <c r="BW388" s="13" t="n">
        <v>170</v>
      </c>
      <c r="BX388" s="13" t="n">
        <v>169.9</v>
      </c>
      <c r="BY388" s="13" t="n">
        <v>119</v>
      </c>
      <c r="BZ388" s="13" t="n">
        <v>146</v>
      </c>
      <c r="CA388" s="13" t="n">
        <v>127</v>
      </c>
      <c r="CB388" s="13" t="n">
        <v>89</v>
      </c>
      <c r="CC388" s="13" t="n">
        <v>113</v>
      </c>
      <c r="CD388" s="13" t="n">
        <v>16.7</v>
      </c>
      <c r="CE388" s="13" t="n">
        <v>1831</v>
      </c>
      <c r="CF388" s="13" t="n">
        <v>0.9399999999999999</v>
      </c>
      <c r="CG388" s="13" t="n">
        <v>1723</v>
      </c>
      <c r="CH388" s="13" t="n">
        <v>184</v>
      </c>
      <c r="CI388" s="13" t="n">
        <v>120</v>
      </c>
      <c r="CJ388" s="13" t="n">
        <v>43</v>
      </c>
      <c r="CK388" s="13" t="n">
        <v>329</v>
      </c>
      <c r="CL388" s="13" t="n">
        <v>20</v>
      </c>
      <c r="CM388" s="13" t="n">
        <v>180</v>
      </c>
      <c r="CN388" s="13" t="n">
        <v>0.469</v>
      </c>
      <c r="CO388" s="13" t="n">
        <v>139</v>
      </c>
      <c r="CP388" s="13" t="n">
        <v>98</v>
      </c>
      <c r="CQ388" s="13" t="n">
        <v>190</v>
      </c>
      <c r="CR388" s="13" t="n">
        <v>4</v>
      </c>
      <c r="CS388" s="13" t="n">
        <v>10.9</v>
      </c>
      <c r="CT388" s="11" t="inlineStr">
        <is>
          <t xml:space="preserve"> Resort Freeride</t>
        </is>
      </c>
      <c r="CU388" s="13" t="n"/>
      <c r="CV388" s="13" t="n"/>
      <c r="CW388" s="13" t="n"/>
      <c r="CX388">
        <f>INDEX('Data_Price '!AG$2:AG$1266,MATCH(Data!$DN388,'Data_Price '!$AT$2:$AT$1266,0))</f>
        <v/>
      </c>
      <c r="CY388">
        <f>INDEX('Data_Price '!AH$2:AH$1266,MATCH(Data!$DN388,'Data_Price '!$AT$2:$AT$1266,0))</f>
        <v/>
      </c>
      <c r="CZ388">
        <f>INDEX('Data_Price '!AI$2:AI$1266,MATCH(Data!$DN388,'Data_Price '!$AT$2:$AT$1266,0))</f>
        <v/>
      </c>
      <c r="DA388">
        <f>INDEX('Data_Price '!AJ$2:AJ$1266,MATCH(Data!$DN388,'Data_Price '!$AT$2:$AT$1266,0))</f>
        <v/>
      </c>
      <c r="DB388">
        <f>INDEX('Data_Price '!AK$2:AK$1266,MATCH(Data!$DN388,'Data_Price '!$AT$2:$AT$1266,0))</f>
        <v/>
      </c>
      <c r="DC388">
        <f>INDEX('Data_Price '!AL$2:AL$1266,MATCH(Data!$DN388,'Data_Price '!$AT$2:$AT$1266,0))</f>
        <v/>
      </c>
      <c r="DD388">
        <f>INDEX('Data_Price '!AM$2:AM$1266,MATCH(Data!$DN388,'Data_Price '!$AT$2:$AT$1266,0))</f>
        <v/>
      </c>
      <c r="DE388">
        <f>INDEX('Data_Price '!AN$2:AN$1266,MATCH(Data!$DN388,'Data_Price '!$AT$2:$AT$1266,0))</f>
        <v/>
      </c>
      <c r="DF388">
        <f>INDEX('Data_Price '!AO$2:AO$1266,MATCH(Data!$DN388,'Data_Price '!$AT$2:$AT$1266,0))</f>
        <v/>
      </c>
      <c r="DG388">
        <f>INDEX('Data_Price '!AP$2:AP$1266,MATCH(Data!$DN388,'Data_Price '!$AT$2:$AT$1266,0))</f>
        <v/>
      </c>
      <c r="DH388">
        <f>INDEX('Data_Price '!AQ$2:AQ$1266,MATCH(Data!$DN388,'Data_Price '!$AT$2:$AT$1266,0))</f>
        <v/>
      </c>
      <c r="DI388">
        <f>INDEX('Data_Price '!AR$2:AR$1266,MATCH(Data!$DN388,'Data_Price '!$AT$2:$AT$1266,0))</f>
        <v/>
      </c>
      <c r="DJ388" s="138">
        <f>DA388</f>
        <v/>
      </c>
      <c r="DK388" s="138">
        <f>DE388</f>
        <v/>
      </c>
      <c r="DL388" s="138">
        <f>DI388</f>
        <v/>
      </c>
      <c r="DM388" s="303">
        <f>IF(LEFT(BT388,1)=" ",RIGHT(BT388,LEN(BT388)-1),BT388)</f>
        <v/>
      </c>
      <c r="DN388" s="138">
        <f>_xlfn.CONCAT(BS388,DM388,BU388,BV388)</f>
        <v/>
      </c>
      <c r="DO388" s="307" t="n"/>
    </row>
    <row r="389" ht="15.6" customHeight="1" s="184">
      <c r="B389" s="303">
        <f t="array" ref="B389">IF(OR(ISERROR(K389:P389)),FALSE,TRUE)</f>
        <v/>
      </c>
      <c r="C389" s="60">
        <f>OR(BR389=Driver!$G$50,Data!BR922=Driver!$H$50)</f>
        <v/>
      </c>
      <c r="D389" s="60">
        <f>OR(BV389=Driver!$G$51,BV389=Driver!$H$51)</f>
        <v/>
      </c>
      <c r="E389" s="60">
        <f>AND(BX389&gt;Driver!$F$54,BX389&lt;Driver!$G$54)</f>
        <v/>
      </c>
      <c r="F389" s="60">
        <f>CL389&gt;Driver!$F$56</f>
        <v/>
      </c>
      <c r="G389" s="60">
        <f>AND(CB389&gt;Driver!$F$55,CB389&lt;Driver!$G$55)</f>
        <v/>
      </c>
      <c r="H389" s="60">
        <f>AND(B389:G389)</f>
        <v/>
      </c>
      <c r="I389" s="60">
        <f>COUNTIFS($H$9:$H$1273,TRUE,$BT$9:$BT$1273,BT389)</f>
        <v/>
      </c>
      <c r="J389" s="60">
        <f t="array" ref="J389">NOT(OR(($H$9:$H$1273=TRUE)*($I$9:$I$1273&gt;0)*($BT$9:$BT$1273=BT389)*($K$9:$K$1273&gt;K389)))</f>
        <v/>
      </c>
      <c r="K389" s="108">
        <f>IFERROR(1-AVERAGE(X389:Y389),"")</f>
        <v/>
      </c>
      <c r="L389" s="108">
        <f>1-X389</f>
        <v/>
      </c>
      <c r="M389" s="108">
        <f>1-Y389</f>
        <v/>
      </c>
      <c r="N389" s="108">
        <f>1-Z389</f>
        <v/>
      </c>
      <c r="O389" s="108">
        <f>1-AA389</f>
        <v/>
      </c>
      <c r="P389" s="108">
        <f>1-AB389</f>
        <v/>
      </c>
      <c r="Q389" s="108" t="n"/>
      <c r="R389" s="108" t="n"/>
      <c r="S389" s="108">
        <f>1-AE389</f>
        <v/>
      </c>
      <c r="T389" s="108">
        <f>1-AF389</f>
        <v/>
      </c>
      <c r="U389" s="108">
        <f>1-AG389</f>
        <v/>
      </c>
      <c r="V389" s="108">
        <f>1-AH389</f>
        <v/>
      </c>
      <c r="W389" s="108">
        <f>1-AI389</f>
        <v/>
      </c>
      <c r="X389" s="108">
        <f>ABS(AJ389-AJ$1)</f>
        <v/>
      </c>
      <c r="Y389" s="108">
        <f>AVERAGE(Z389:AB389)</f>
        <v/>
      </c>
      <c r="Z389" s="108">
        <f>ABS(AL389-AL$1)</f>
        <v/>
      </c>
      <c r="AA389" s="108">
        <f>ABS(AM389-AM$1)</f>
        <v/>
      </c>
      <c r="AB389" s="108">
        <f>ABS(AN389-AN$1)</f>
        <v/>
      </c>
      <c r="AC389" s="108" t="n"/>
      <c r="AD389" s="108" t="n"/>
      <c r="AE389" s="108">
        <f>ABS(AQ$1-AQ389)</f>
        <v/>
      </c>
      <c r="AF389" s="108">
        <f>ABS(AR$1-AR389)</f>
        <v/>
      </c>
      <c r="AG389" s="108">
        <f>ABS(AS$1-AS389)</f>
        <v/>
      </c>
      <c r="AH389" s="108">
        <f>ABS(AT$1-AT389)</f>
        <v/>
      </c>
      <c r="AI389" s="108">
        <f>ABS(AU$1-AU389)</f>
        <v/>
      </c>
      <c r="AJ389" s="108">
        <f>(AV389-Driver!$K$179)/(Driver!$L$179-Driver!$K$179)</f>
        <v/>
      </c>
      <c r="AK389" s="108">
        <f>(AW389-Driver!$K$180)/(Driver!$L$180-Driver!$K$180)</f>
        <v/>
      </c>
      <c r="AL389" s="108">
        <f>(AX389-Driver!$K$181)/(Driver!$L$181-Driver!$K$181)</f>
        <v/>
      </c>
      <c r="AM389" s="108">
        <f>(AY389-Driver!$K$182)/(Driver!$L$182-Driver!$K$182)</f>
        <v/>
      </c>
      <c r="AN389" s="108">
        <f>(AZ389-Driver!$K$183)/(Driver!$L$183-Driver!$K$183)</f>
        <v/>
      </c>
      <c r="AO389" s="108" t="n"/>
      <c r="AP389" s="108" t="n"/>
      <c r="AQ389" s="108">
        <f>(BC389-Driver!$K$188)/(Driver!$L$188-Driver!$K$188)</f>
        <v/>
      </c>
      <c r="AR389" s="108">
        <f>MIN((BD389-Driver!$K$189)/(Driver!$L$189-Driver!$K$189),100%)</f>
        <v/>
      </c>
      <c r="AS389" s="108">
        <f>(BE389-Driver!$K$190)/(Driver!$L$190-Driver!$K$190)</f>
        <v/>
      </c>
      <c r="AT389" s="108">
        <f>(BF389-Driver!$K$191)/(Driver!$L$191-Driver!$K$191)</f>
        <v/>
      </c>
      <c r="AU389" s="108">
        <f>(BG389-Driver!$K$192)/(Driver!$L$192-Driver!$K$192)</f>
        <v/>
      </c>
      <c r="AV389" s="105">
        <f>IFERROR(BM389*BJ389^1/4,"")</f>
        <v/>
      </c>
      <c r="AW389" s="105">
        <f>IFERROR(SUM(AX389:AZ389),"")</f>
        <v/>
      </c>
      <c r="AX389" s="105">
        <f>IFERROR(BH389,"")</f>
        <v/>
      </c>
      <c r="AY389" s="105">
        <f>IFERROR(Driver!$K$19/Data!BH389/Data!BI389*Data!BK389*Data!BL389,"")</f>
        <v/>
      </c>
      <c r="AZ389" s="105">
        <f>IFERROR(BI389*BN389,"")</f>
        <v/>
      </c>
      <c r="BA389" s="105" t="n"/>
      <c r="BB389" s="105" t="n"/>
      <c r="BC389" s="105">
        <f>IFERROR(BI389*BN389*BK389/BJ389^(1/2),"")</f>
        <v/>
      </c>
      <c r="BD389" s="105">
        <f>IFERROR(BH389*BM389*BL389/BJ389/BK389,"")</f>
        <v/>
      </c>
      <c r="BE389" s="105">
        <f>IFERROR(MIN(BI389/BQ389/BP389/BO389/BH389,$BE$1),"")</f>
        <v/>
      </c>
      <c r="BF389" s="105">
        <f>IFERROR(BJ389*BO389*BP389/BK389,"")</f>
        <v/>
      </c>
      <c r="BG389" s="105">
        <f>IFERROR(1/BM389/BH389*BQ389,"")</f>
        <v/>
      </c>
      <c r="BH389" s="102">
        <f>MAX((CE389-Driver!$F$200)/(Driver!$G$200-Driver!$F$200)*$BI$1,1)</f>
        <v/>
      </c>
      <c r="BI389" s="102">
        <f>MAX($BI$1*(BY389-Driver!$F$201)/(Driver!$G$201-Driver!$F$201),1)</f>
        <v/>
      </c>
      <c r="BJ389" s="102">
        <f>(CB389-Driver!$F$206)/(Driver!$G$206-Driver!$F$206)*$BI$1</f>
        <v/>
      </c>
      <c r="BK389" s="102">
        <f>(CD389-Driver!$F$203)/(Driver!$G$203-Driver!$F$203)*$BI$1</f>
        <v/>
      </c>
      <c r="BL389" s="102">
        <f>MAX((CR389-Driver!$F$202)/(Driver!$G$202-Driver!$F$202)*$BI$1,1)</f>
        <v/>
      </c>
      <c r="BM389" s="102">
        <f>MAX((CH389-Driver!$F$204)/(Driver!$G$204-Driver!$F$204)*$BI$1,1)</f>
        <v/>
      </c>
      <c r="BN389" s="102">
        <f>(CI389-Driver!$F$205)/(Driver!$G$205-Driver!$F$205)*$BI$1</f>
        <v/>
      </c>
      <c r="BO389" s="102">
        <f>(CK389-Driver!$F$207)/(Driver!$G$207-Driver!$F$207)*$BI$1</f>
        <v/>
      </c>
      <c r="BP389" s="102">
        <f>(CM389-Driver!$F$208)/(Driver!$G$208-Driver!$F$208)*$BI$1</f>
        <v/>
      </c>
      <c r="BQ389" s="102">
        <f>(CL389-Driver!$F$209)/(Driver!$G$209-Driver!$F$209)*$BI$1</f>
        <v/>
      </c>
      <c r="BR389" s="40" t="inlineStr">
        <is>
          <t>21/22</t>
        </is>
      </c>
      <c r="BS389" s="10" t="inlineStr">
        <is>
          <t xml:space="preserve"> Nordica</t>
        </is>
      </c>
      <c r="BT389" s="11" t="inlineStr">
        <is>
          <t>Santa Ana 88</t>
        </is>
      </c>
      <c r="BU389" s="13" t="n">
        <v>158</v>
      </c>
      <c r="BV389" s="11" t="inlineStr">
        <is>
          <t xml:space="preserve"> Women's</t>
        </is>
      </c>
      <c r="BW389" s="13" t="n">
        <v>158</v>
      </c>
      <c r="BX389" s="13" t="n">
        <v>157.4</v>
      </c>
      <c r="BY389" s="13" t="n">
        <v>114</v>
      </c>
      <c r="BZ389" s="13" t="n">
        <v>129</v>
      </c>
      <c r="CA389" s="13" t="n">
        <v>119</v>
      </c>
      <c r="CB389" s="13" t="n">
        <v>87</v>
      </c>
      <c r="CC389" s="13" t="n">
        <v>106</v>
      </c>
      <c r="CD389" s="13" t="n">
        <v>14.5</v>
      </c>
      <c r="CE389" s="13" t="n">
        <v>1654</v>
      </c>
      <c r="CF389" s="13" t="n">
        <v>0.93</v>
      </c>
      <c r="CG389" s="13" t="n">
        <v>1540</v>
      </c>
      <c r="CH389" s="13" t="n">
        <v>173</v>
      </c>
      <c r="CI389" s="13" t="n">
        <v>86</v>
      </c>
      <c r="CJ389" s="13" t="n">
        <v>60</v>
      </c>
      <c r="CK389" s="13" t="n">
        <v>260</v>
      </c>
      <c r="CL389" s="13" t="n">
        <v>11</v>
      </c>
      <c r="CM389" s="13" t="n">
        <v>174</v>
      </c>
      <c r="CN389" s="13" t="n">
        <v>0.183</v>
      </c>
      <c r="CO389" s="13" t="n">
        <v>128</v>
      </c>
      <c r="CP389" s="13" t="n">
        <v>154</v>
      </c>
      <c r="CQ389" s="13" t="n">
        <v>132</v>
      </c>
      <c r="CR389" s="13" t="n">
        <v>7</v>
      </c>
      <c r="CS389" s="13" t="n">
        <v>8.300000000000001</v>
      </c>
      <c r="CT389" s="11" t="inlineStr">
        <is>
          <t xml:space="preserve"> Resort Freeride</t>
        </is>
      </c>
      <c r="CU389" s="13" t="n"/>
      <c r="CV389" s="13" t="n"/>
      <c r="CW389" s="13" t="n"/>
      <c r="CX389">
        <f>INDEX('Data_Price '!AG$2:AG$1266,MATCH(Data!$DN389,'Data_Price '!$AT$2:$AT$1266,0))</f>
        <v/>
      </c>
      <c r="CY389">
        <f>INDEX('Data_Price '!AH$2:AH$1266,MATCH(Data!$DN389,'Data_Price '!$AT$2:$AT$1266,0))</f>
        <v/>
      </c>
      <c r="CZ389">
        <f>INDEX('Data_Price '!AI$2:AI$1266,MATCH(Data!$DN389,'Data_Price '!$AT$2:$AT$1266,0))</f>
        <v/>
      </c>
      <c r="DA389">
        <f>INDEX('Data_Price '!AJ$2:AJ$1266,MATCH(Data!$DN389,'Data_Price '!$AT$2:$AT$1266,0))</f>
        <v/>
      </c>
      <c r="DB389">
        <f>INDEX('Data_Price '!AK$2:AK$1266,MATCH(Data!$DN389,'Data_Price '!$AT$2:$AT$1266,0))</f>
        <v/>
      </c>
      <c r="DC389">
        <f>INDEX('Data_Price '!AL$2:AL$1266,MATCH(Data!$DN389,'Data_Price '!$AT$2:$AT$1266,0))</f>
        <v/>
      </c>
      <c r="DD389">
        <f>INDEX('Data_Price '!AM$2:AM$1266,MATCH(Data!$DN389,'Data_Price '!$AT$2:$AT$1266,0))</f>
        <v/>
      </c>
      <c r="DE389">
        <f>INDEX('Data_Price '!AN$2:AN$1266,MATCH(Data!$DN389,'Data_Price '!$AT$2:$AT$1266,0))</f>
        <v/>
      </c>
      <c r="DF389">
        <f>INDEX('Data_Price '!AO$2:AO$1266,MATCH(Data!$DN389,'Data_Price '!$AT$2:$AT$1266,0))</f>
        <v/>
      </c>
      <c r="DG389">
        <f>INDEX('Data_Price '!AP$2:AP$1266,MATCH(Data!$DN389,'Data_Price '!$AT$2:$AT$1266,0))</f>
        <v/>
      </c>
      <c r="DH389">
        <f>INDEX('Data_Price '!AQ$2:AQ$1266,MATCH(Data!$DN389,'Data_Price '!$AT$2:$AT$1266,0))</f>
        <v/>
      </c>
      <c r="DI389">
        <f>INDEX('Data_Price '!AR$2:AR$1266,MATCH(Data!$DN389,'Data_Price '!$AT$2:$AT$1266,0))</f>
        <v/>
      </c>
      <c r="DJ389" s="138">
        <f>DA389</f>
        <v/>
      </c>
      <c r="DK389" s="138">
        <f>DE389</f>
        <v/>
      </c>
      <c r="DL389" s="138">
        <f>DI389</f>
        <v/>
      </c>
      <c r="DM389" s="303">
        <f>IF(LEFT(BT389,1)=" ",RIGHT(BT389,LEN(BT389)-1),BT389)</f>
        <v/>
      </c>
      <c r="DN389" s="138">
        <f>_xlfn.CONCAT(BS389,DM389,BU389,BV389)</f>
        <v/>
      </c>
      <c r="DO389" s="307" t="inlineStr">
        <is>
          <t>https://images.evo.com/imgp/250/217385/882111/nordica-santa-ana-88-unlimited-skis-women-s-2023-.jpg</t>
        </is>
      </c>
    </row>
    <row r="390" ht="15.6" customHeight="1" s="184">
      <c r="B390" s="303">
        <f t="array" ref="B390">IF(OR(ISERROR(K390:P390)),FALSE,TRUE)</f>
        <v/>
      </c>
      <c r="C390" s="60">
        <f>OR(BR390=Driver!$G$50,Data!BR368=Driver!$H$50)</f>
        <v/>
      </c>
      <c r="D390" s="60">
        <f>OR(BV390=Driver!$G$51,BV390=Driver!$H$51)</f>
        <v/>
      </c>
      <c r="E390" s="60">
        <f>AND(BX390&gt;Driver!$F$54,BX390&lt;Driver!$G$54)</f>
        <v/>
      </c>
      <c r="F390" s="60">
        <f>CL390&gt;Driver!$F$56</f>
        <v/>
      </c>
      <c r="G390" s="60">
        <f>AND(CB390&gt;Driver!$F$55,CB390&lt;Driver!$G$55)</f>
        <v/>
      </c>
      <c r="H390" s="60">
        <f>AND(B390:G390)</f>
        <v/>
      </c>
      <c r="I390" s="60">
        <f>COUNTIFS($H$9:$H$1273,TRUE,$BT$9:$BT$1273,BT390)</f>
        <v/>
      </c>
      <c r="J390" s="60">
        <f t="array" ref="J390">NOT(OR(($H$9:$H$1273=TRUE)*($I$9:$I$1273&gt;0)*($BT$9:$BT$1273=BT390)*($K$9:$K$1273&gt;K390)))</f>
        <v/>
      </c>
      <c r="K390" s="108">
        <f>IFERROR(1-AVERAGE(X390:Y390),"")</f>
        <v/>
      </c>
      <c r="L390" s="108">
        <f>1-X390</f>
        <v/>
      </c>
      <c r="M390" s="108">
        <f>1-Y390</f>
        <v/>
      </c>
      <c r="N390" s="108">
        <f>1-Z390</f>
        <v/>
      </c>
      <c r="O390" s="108">
        <f>1-AA390</f>
        <v/>
      </c>
      <c r="P390" s="108">
        <f>1-AB390</f>
        <v/>
      </c>
      <c r="Q390" s="108" t="n"/>
      <c r="R390" s="108" t="n"/>
      <c r="S390" s="108">
        <f>1-AE390</f>
        <v/>
      </c>
      <c r="T390" s="108">
        <f>1-AF390</f>
        <v/>
      </c>
      <c r="U390" s="108">
        <f>1-AG390</f>
        <v/>
      </c>
      <c r="V390" s="108">
        <f>1-AH390</f>
        <v/>
      </c>
      <c r="W390" s="108">
        <f>1-AI390</f>
        <v/>
      </c>
      <c r="X390" s="108">
        <f>ABS(AJ390-AJ$1)</f>
        <v/>
      </c>
      <c r="Y390" s="108">
        <f>AVERAGE(Z390:AB390)</f>
        <v/>
      </c>
      <c r="Z390" s="108">
        <f>ABS(AL390-AL$1)</f>
        <v/>
      </c>
      <c r="AA390" s="108">
        <f>ABS(AM390-AM$1)</f>
        <v/>
      </c>
      <c r="AB390" s="108">
        <f>ABS(AN390-AN$1)</f>
        <v/>
      </c>
      <c r="AC390" s="108" t="n"/>
      <c r="AD390" s="108" t="n"/>
      <c r="AE390" s="108">
        <f>ABS(AQ$1-AQ390)</f>
        <v/>
      </c>
      <c r="AF390" s="108">
        <f>ABS(AR$1-AR390)</f>
        <v/>
      </c>
      <c r="AG390" s="108">
        <f>ABS(AS$1-AS390)</f>
        <v/>
      </c>
      <c r="AH390" s="108">
        <f>ABS(AT$1-AT390)</f>
        <v/>
      </c>
      <c r="AI390" s="108">
        <f>ABS(AU$1-AU390)</f>
        <v/>
      </c>
      <c r="AJ390" s="108">
        <f>(AV390-Driver!$K$179)/(Driver!$L$179-Driver!$K$179)</f>
        <v/>
      </c>
      <c r="AK390" s="108">
        <f>(AW390-Driver!$K$180)/(Driver!$L$180-Driver!$K$180)</f>
        <v/>
      </c>
      <c r="AL390" s="108">
        <f>(AX390-Driver!$K$181)/(Driver!$L$181-Driver!$K$181)</f>
        <v/>
      </c>
      <c r="AM390" s="108">
        <f>(AY390-Driver!$K$182)/(Driver!$L$182-Driver!$K$182)</f>
        <v/>
      </c>
      <c r="AN390" s="108">
        <f>(AZ390-Driver!$K$183)/(Driver!$L$183-Driver!$K$183)</f>
        <v/>
      </c>
      <c r="AO390" s="108" t="n"/>
      <c r="AP390" s="108" t="n"/>
      <c r="AQ390" s="108">
        <f>(BC390-Driver!$K$188)/(Driver!$L$188-Driver!$K$188)</f>
        <v/>
      </c>
      <c r="AR390" s="108">
        <f>MIN((BD390-Driver!$K$189)/(Driver!$L$189-Driver!$K$189),100%)</f>
        <v/>
      </c>
      <c r="AS390" s="108">
        <f>(BE390-Driver!$K$190)/(Driver!$L$190-Driver!$K$190)</f>
        <v/>
      </c>
      <c r="AT390" s="108">
        <f>(BF390-Driver!$K$191)/(Driver!$L$191-Driver!$K$191)</f>
        <v/>
      </c>
      <c r="AU390" s="108">
        <f>(BG390-Driver!$K$192)/(Driver!$L$192-Driver!$K$192)</f>
        <v/>
      </c>
      <c r="AV390" s="105">
        <f>IFERROR(BM390*BJ390^1/4,"")</f>
        <v/>
      </c>
      <c r="AW390" s="105">
        <f>IFERROR(SUM(AX390:AZ390),"")</f>
        <v/>
      </c>
      <c r="AX390" s="105">
        <f>IFERROR(BH390,"")</f>
        <v/>
      </c>
      <c r="AY390" s="105">
        <f>IFERROR(Driver!$K$19/Data!BH390/Data!BI390*Data!BK390*Data!BL390,"")</f>
        <v/>
      </c>
      <c r="AZ390" s="105">
        <f>IFERROR(BI390*BN390,"")</f>
        <v/>
      </c>
      <c r="BA390" s="105" t="n"/>
      <c r="BB390" s="105" t="n"/>
      <c r="BC390" s="105">
        <f>IFERROR(BI390*BN390*BK390/BJ390^(1/2),"")</f>
        <v/>
      </c>
      <c r="BD390" s="105">
        <f>IFERROR(BH390*BM390*BL390/BJ390/BK390,"")</f>
        <v/>
      </c>
      <c r="BE390" s="105">
        <f>IFERROR(MIN(BI390/BQ390/BP390/BO390/BH390,$BE$1),"")</f>
        <v/>
      </c>
      <c r="BF390" s="105">
        <f>IFERROR(BJ390*BO390*BP390/BK390,"")</f>
        <v/>
      </c>
      <c r="BG390" s="105">
        <f>IFERROR(1/BM390/BH390*BQ390,"")</f>
        <v/>
      </c>
      <c r="BH390" s="102">
        <f>MAX((CE390-Driver!$F$200)/(Driver!$G$200-Driver!$F$200)*$BI$1,1)</f>
        <v/>
      </c>
      <c r="BI390" s="102">
        <f>MAX($BI$1*(BY390-Driver!$F$201)/(Driver!$G$201-Driver!$F$201),1)</f>
        <v/>
      </c>
      <c r="BJ390" s="102">
        <f>(CB390-Driver!$F$206)/(Driver!$G$206-Driver!$F$206)*$BI$1</f>
        <v/>
      </c>
      <c r="BK390" s="102">
        <f>(CD390-Driver!$F$203)/(Driver!$G$203-Driver!$F$203)*$BI$1</f>
        <v/>
      </c>
      <c r="BL390" s="102">
        <f>MAX((CR390-Driver!$F$202)/(Driver!$G$202-Driver!$F$202)*$BI$1,1)</f>
        <v/>
      </c>
      <c r="BM390" s="102">
        <f>MAX((CH390-Driver!$F$204)/(Driver!$G$204-Driver!$F$204)*$BI$1,1)</f>
        <v/>
      </c>
      <c r="BN390" s="102">
        <f>(CI390-Driver!$F$205)/(Driver!$G$205-Driver!$F$205)*$BI$1</f>
        <v/>
      </c>
      <c r="BO390" s="102">
        <f>(CK390-Driver!$F$207)/(Driver!$G$207-Driver!$F$207)*$BI$1</f>
        <v/>
      </c>
      <c r="BP390" s="102">
        <f>(CM390-Driver!$F$208)/(Driver!$G$208-Driver!$F$208)*$BI$1</f>
        <v/>
      </c>
      <c r="BQ390" s="102">
        <f>(CL390-Driver!$F$209)/(Driver!$G$209-Driver!$F$209)*$BI$1</f>
        <v/>
      </c>
      <c r="BR390" s="40" t="inlineStr">
        <is>
          <t>21/22</t>
        </is>
      </c>
      <c r="BS390" s="10" t="inlineStr">
        <is>
          <t xml:space="preserve"> Dynafit</t>
        </is>
      </c>
      <c r="BT390" s="11" t="inlineStr">
        <is>
          <t>Blacklight 80</t>
        </is>
      </c>
      <c r="BU390" s="13" t="n">
        <v>178</v>
      </c>
      <c r="BV390" s="11" t="inlineStr">
        <is>
          <t xml:space="preserve"> Unisex</t>
        </is>
      </c>
      <c r="BW390" s="13" t="n">
        <v>178</v>
      </c>
      <c r="BX390" s="13" t="n">
        <v>175.8</v>
      </c>
      <c r="BY390" s="13" t="n">
        <v>138</v>
      </c>
      <c r="BZ390" s="13" t="n">
        <v>153</v>
      </c>
      <c r="CA390" s="13" t="n">
        <v>116</v>
      </c>
      <c r="CB390" s="13" t="n">
        <v>80</v>
      </c>
      <c r="CC390" s="13" t="n">
        <v>100</v>
      </c>
      <c r="CD390" s="13" t="n">
        <v>20.6</v>
      </c>
      <c r="CE390" s="13" t="n">
        <v>1175</v>
      </c>
      <c r="CF390" s="13" t="n">
        <v>1.35</v>
      </c>
      <c r="CG390" s="13" t="n">
        <v>1590</v>
      </c>
      <c r="CH390" s="13" t="n">
        <v>285</v>
      </c>
      <c r="CI390" s="13" t="n">
        <v>102</v>
      </c>
      <c r="CJ390" s="13" t="n">
        <v>56</v>
      </c>
      <c r="CK390" s="13" t="n">
        <v>280</v>
      </c>
      <c r="CL390" s="13" t="n">
        <v>9</v>
      </c>
      <c r="CM390" s="13" t="n">
        <v>95</v>
      </c>
      <c r="CN390" s="13" t="n">
        <v>0.163</v>
      </c>
      <c r="CO390" s="13" t="n">
        <v>136</v>
      </c>
      <c r="CP390" s="13" t="n">
        <v>90</v>
      </c>
      <c r="CQ390" s="13" t="n">
        <v>144</v>
      </c>
      <c r="CR390" s="13" t="n">
        <v>5</v>
      </c>
      <c r="CS390" s="13" t="n">
        <v>12.3</v>
      </c>
      <c r="CT390" s="11" t="inlineStr">
        <is>
          <t xml:space="preserve"> Touring</t>
        </is>
      </c>
      <c r="CU390" s="11" t="inlineStr">
        <is>
          <t xml:space="preserve"> Ultralight Touring</t>
        </is>
      </c>
      <c r="CV390" s="13" t="n"/>
      <c r="CW390" s="13" t="n"/>
      <c r="CX390">
        <f>INDEX('Data_Price '!AG$2:AG$1266,MATCH(Data!$DN390,'Data_Price '!$AT$2:$AT$1266,0))</f>
        <v/>
      </c>
      <c r="CY390">
        <f>INDEX('Data_Price '!AH$2:AH$1266,MATCH(Data!$DN390,'Data_Price '!$AT$2:$AT$1266,0))</f>
        <v/>
      </c>
      <c r="CZ390">
        <f>INDEX('Data_Price '!AI$2:AI$1266,MATCH(Data!$DN390,'Data_Price '!$AT$2:$AT$1266,0))</f>
        <v/>
      </c>
      <c r="DA390">
        <f>INDEX('Data_Price '!AJ$2:AJ$1266,MATCH(Data!$DN390,'Data_Price '!$AT$2:$AT$1266,0))</f>
        <v/>
      </c>
      <c r="DB390">
        <f>INDEX('Data_Price '!AK$2:AK$1266,MATCH(Data!$DN390,'Data_Price '!$AT$2:$AT$1266,0))</f>
        <v/>
      </c>
      <c r="DC390">
        <f>INDEX('Data_Price '!AL$2:AL$1266,MATCH(Data!$DN390,'Data_Price '!$AT$2:$AT$1266,0))</f>
        <v/>
      </c>
      <c r="DD390">
        <f>INDEX('Data_Price '!AM$2:AM$1266,MATCH(Data!$DN390,'Data_Price '!$AT$2:$AT$1266,0))</f>
        <v/>
      </c>
      <c r="DE390">
        <f>INDEX('Data_Price '!AN$2:AN$1266,MATCH(Data!$DN390,'Data_Price '!$AT$2:$AT$1266,0))</f>
        <v/>
      </c>
      <c r="DF390">
        <f>INDEX('Data_Price '!AO$2:AO$1266,MATCH(Data!$DN390,'Data_Price '!$AT$2:$AT$1266,0))</f>
        <v/>
      </c>
      <c r="DG390">
        <f>INDEX('Data_Price '!AP$2:AP$1266,MATCH(Data!$DN390,'Data_Price '!$AT$2:$AT$1266,0))</f>
        <v/>
      </c>
      <c r="DH390">
        <f>INDEX('Data_Price '!AQ$2:AQ$1266,MATCH(Data!$DN390,'Data_Price '!$AT$2:$AT$1266,0))</f>
        <v/>
      </c>
      <c r="DI390">
        <f>INDEX('Data_Price '!AR$2:AR$1266,MATCH(Data!$DN390,'Data_Price '!$AT$2:$AT$1266,0))</f>
        <v/>
      </c>
      <c r="DJ390" s="138">
        <f>DA390</f>
        <v/>
      </c>
      <c r="DK390" s="138">
        <f>DE390</f>
        <v/>
      </c>
      <c r="DL390" s="138">
        <f>DI390</f>
        <v/>
      </c>
      <c r="DM390" s="303">
        <f>IF(LEFT(BT390,1)=" ",RIGHT(BT390,LEN(BT390)-1),BT390)</f>
        <v/>
      </c>
      <c r="DN390" s="138">
        <f>_xlfn.CONCAT(BS390,DM390,BU390,BV390)</f>
        <v/>
      </c>
      <c r="DO390" s="307" t="n"/>
    </row>
    <row r="391" ht="15.6" customHeight="1" s="184">
      <c r="B391" s="303">
        <f t="array" ref="B391">IF(OR(ISERROR(K391:P391)),FALSE,TRUE)</f>
        <v/>
      </c>
      <c r="C391" s="60">
        <f>OR(BR391=Driver!$G$50,Data!BR304=Driver!$H$50)</f>
        <v/>
      </c>
      <c r="D391" s="60">
        <f>OR(BV391=Driver!$G$51,BV391=Driver!$H$51)</f>
        <v/>
      </c>
      <c r="E391" s="60">
        <f>AND(BX391&gt;Driver!$F$54,BX391&lt;Driver!$G$54)</f>
        <v/>
      </c>
      <c r="F391" s="60">
        <f>CL391&gt;Driver!$F$56</f>
        <v/>
      </c>
      <c r="G391" s="60">
        <f>AND(CB391&gt;Driver!$F$55,CB391&lt;Driver!$G$55)</f>
        <v/>
      </c>
      <c r="H391" s="60">
        <f>AND(B391:G391)</f>
        <v/>
      </c>
      <c r="I391" s="60">
        <f>COUNTIFS($H$9:$H$1273,TRUE,$BT$9:$BT$1273,BT391)</f>
        <v/>
      </c>
      <c r="J391" s="60">
        <f t="array" ref="J391">NOT(OR(($H$9:$H$1273=TRUE)*($I$9:$I$1273&gt;0)*($BT$9:$BT$1273=BT391)*($K$9:$K$1273&gt;K391)))</f>
        <v/>
      </c>
      <c r="K391" s="108">
        <f>IFERROR(1-AVERAGE(X391:Y391),"")</f>
        <v/>
      </c>
      <c r="L391" s="108">
        <f>1-X391</f>
        <v/>
      </c>
      <c r="M391" s="108">
        <f>1-Y391</f>
        <v/>
      </c>
      <c r="N391" s="108">
        <f>1-Z391</f>
        <v/>
      </c>
      <c r="O391" s="108">
        <f>1-AA391</f>
        <v/>
      </c>
      <c r="P391" s="108">
        <f>1-AB391</f>
        <v/>
      </c>
      <c r="Q391" s="108" t="n"/>
      <c r="R391" s="108" t="n"/>
      <c r="S391" s="108">
        <f>1-AE391</f>
        <v/>
      </c>
      <c r="T391" s="108">
        <f>1-AF391</f>
        <v/>
      </c>
      <c r="U391" s="108">
        <f>1-AG391</f>
        <v/>
      </c>
      <c r="V391" s="108">
        <f>1-AH391</f>
        <v/>
      </c>
      <c r="W391" s="108">
        <f>1-AI391</f>
        <v/>
      </c>
      <c r="X391" s="108">
        <f>ABS(AJ391-AJ$1)</f>
        <v/>
      </c>
      <c r="Y391" s="108">
        <f>AVERAGE(Z391:AB391)</f>
        <v/>
      </c>
      <c r="Z391" s="108">
        <f>ABS(AL391-AL$1)</f>
        <v/>
      </c>
      <c r="AA391" s="108">
        <f>ABS(AM391-AM$1)</f>
        <v/>
      </c>
      <c r="AB391" s="108">
        <f>ABS(AN391-AN$1)</f>
        <v/>
      </c>
      <c r="AC391" s="108" t="n"/>
      <c r="AD391" s="108" t="n"/>
      <c r="AE391" s="108">
        <f>ABS(AQ$1-AQ391)</f>
        <v/>
      </c>
      <c r="AF391" s="108">
        <f>ABS(AR$1-AR391)</f>
        <v/>
      </c>
      <c r="AG391" s="108">
        <f>ABS(AS$1-AS391)</f>
        <v/>
      </c>
      <c r="AH391" s="108">
        <f>ABS(AT$1-AT391)</f>
        <v/>
      </c>
      <c r="AI391" s="108">
        <f>ABS(AU$1-AU391)</f>
        <v/>
      </c>
      <c r="AJ391" s="108">
        <f>(AV391-Driver!$K$179)/(Driver!$L$179-Driver!$K$179)</f>
        <v/>
      </c>
      <c r="AK391" s="108">
        <f>(AW391-Driver!$K$180)/(Driver!$L$180-Driver!$K$180)</f>
        <v/>
      </c>
      <c r="AL391" s="108">
        <f>(AX391-Driver!$K$181)/(Driver!$L$181-Driver!$K$181)</f>
        <v/>
      </c>
      <c r="AM391" s="108">
        <f>(AY391-Driver!$K$182)/(Driver!$L$182-Driver!$K$182)</f>
        <v/>
      </c>
      <c r="AN391" s="108">
        <f>(AZ391-Driver!$K$183)/(Driver!$L$183-Driver!$K$183)</f>
        <v/>
      </c>
      <c r="AO391" s="108" t="n"/>
      <c r="AP391" s="108" t="n"/>
      <c r="AQ391" s="108">
        <f>(BC391-Driver!$K$188)/(Driver!$L$188-Driver!$K$188)</f>
        <v/>
      </c>
      <c r="AR391" s="108">
        <f>MIN((BD391-Driver!$K$189)/(Driver!$L$189-Driver!$K$189),100%)</f>
        <v/>
      </c>
      <c r="AS391" s="108">
        <f>(BE391-Driver!$K$190)/(Driver!$L$190-Driver!$K$190)</f>
        <v/>
      </c>
      <c r="AT391" s="108">
        <f>(BF391-Driver!$K$191)/(Driver!$L$191-Driver!$K$191)</f>
        <v/>
      </c>
      <c r="AU391" s="108">
        <f>(BG391-Driver!$K$192)/(Driver!$L$192-Driver!$K$192)</f>
        <v/>
      </c>
      <c r="AV391" s="105">
        <f>IFERROR(BM391*BJ391^1/4,"")</f>
        <v/>
      </c>
      <c r="AW391" s="105">
        <f>IFERROR(SUM(AX391:AZ391),"")</f>
        <v/>
      </c>
      <c r="AX391" s="105">
        <f>IFERROR(BH391,"")</f>
        <v/>
      </c>
      <c r="AY391" s="105">
        <f>IFERROR(Driver!$K$19/Data!BH391/Data!BI391*Data!BK391*Data!BL391,"")</f>
        <v/>
      </c>
      <c r="AZ391" s="105">
        <f>IFERROR(BI391*BN391,"")</f>
        <v/>
      </c>
      <c r="BA391" s="105" t="n"/>
      <c r="BB391" s="105" t="n"/>
      <c r="BC391" s="105">
        <f>IFERROR(BI391*BN391*BK391/BJ391^(1/2),"")</f>
        <v/>
      </c>
      <c r="BD391" s="105">
        <f>IFERROR(BH391*BM391*BL391/BJ391/BK391,"")</f>
        <v/>
      </c>
      <c r="BE391" s="105">
        <f>IFERROR(MIN(BI391/BQ391/BP391/BO391/BH391,$BE$1),"")</f>
        <v/>
      </c>
      <c r="BF391" s="105">
        <f>IFERROR(BJ391*BO391*BP391/BK391,"")</f>
        <v/>
      </c>
      <c r="BG391" s="105">
        <f>IFERROR(1/BM391/BH391*BQ391,"")</f>
        <v/>
      </c>
      <c r="BH391" s="102">
        <f>MAX((CE391-Driver!$F$200)/(Driver!$G$200-Driver!$F$200)*$BI$1,1)</f>
        <v/>
      </c>
      <c r="BI391" s="102">
        <f>MAX($BI$1*(BY391-Driver!$F$201)/(Driver!$G$201-Driver!$F$201),1)</f>
        <v/>
      </c>
      <c r="BJ391" s="102">
        <f>(CB391-Driver!$F$206)/(Driver!$G$206-Driver!$F$206)*$BI$1</f>
        <v/>
      </c>
      <c r="BK391" s="102">
        <f>(CD391-Driver!$F$203)/(Driver!$G$203-Driver!$F$203)*$BI$1</f>
        <v/>
      </c>
      <c r="BL391" s="102">
        <f>MAX((CR391-Driver!$F$202)/(Driver!$G$202-Driver!$F$202)*$BI$1,1)</f>
        <v/>
      </c>
      <c r="BM391" s="102">
        <f>MAX((CH391-Driver!$F$204)/(Driver!$G$204-Driver!$F$204)*$BI$1,1)</f>
        <v/>
      </c>
      <c r="BN391" s="102">
        <f>(CI391-Driver!$F$205)/(Driver!$G$205-Driver!$F$205)*$BI$1</f>
        <v/>
      </c>
      <c r="BO391" s="102">
        <f>(CK391-Driver!$F$207)/(Driver!$G$207-Driver!$F$207)*$BI$1</f>
        <v/>
      </c>
      <c r="BP391" s="102">
        <f>(CM391-Driver!$F$208)/(Driver!$G$208-Driver!$F$208)*$BI$1</f>
        <v/>
      </c>
      <c r="BQ391" s="102">
        <f>(CL391-Driver!$F$209)/(Driver!$G$209-Driver!$F$209)*$BI$1</f>
        <v/>
      </c>
      <c r="BR391" s="40" t="inlineStr">
        <is>
          <t>21/22</t>
        </is>
      </c>
      <c r="BS391" s="10" t="inlineStr">
        <is>
          <t xml:space="preserve"> Blizzard</t>
        </is>
      </c>
      <c r="BT391" s="11" t="inlineStr">
        <is>
          <t>Sheeva 9</t>
        </is>
      </c>
      <c r="BU391" s="13" t="n">
        <v>172</v>
      </c>
      <c r="BV391" s="11" t="inlineStr">
        <is>
          <t xml:space="preserve"> Women's</t>
        </is>
      </c>
      <c r="BW391" s="13" t="n">
        <v>172</v>
      </c>
      <c r="BX391" s="13" t="n">
        <v>170.8</v>
      </c>
      <c r="BY391" s="13" t="n">
        <v>115</v>
      </c>
      <c r="BZ391" s="13" t="n">
        <v>142</v>
      </c>
      <c r="CA391" s="13" t="n">
        <v>124</v>
      </c>
      <c r="CB391" s="13" t="n">
        <v>91</v>
      </c>
      <c r="CC391" s="13" t="n">
        <v>114</v>
      </c>
      <c r="CD391" s="13" t="n">
        <v>16.4</v>
      </c>
      <c r="CE391" s="13" t="n">
        <v>1938</v>
      </c>
      <c r="CF391" s="13" t="n">
        <v>0.91</v>
      </c>
      <c r="CG391" s="13" t="n">
        <v>1757</v>
      </c>
      <c r="CH391" s="13" t="n">
        <v>190</v>
      </c>
      <c r="CI391" s="13" t="n">
        <v>95</v>
      </c>
      <c r="CJ391" s="13" t="n">
        <v>65</v>
      </c>
      <c r="CK391" s="13" t="n">
        <v>325</v>
      </c>
      <c r="CL391" s="13" t="n">
        <v>31</v>
      </c>
      <c r="CM391" s="13" t="n">
        <v>237</v>
      </c>
      <c r="CN391" s="13" t="n">
        <v>0.485</v>
      </c>
      <c r="CO391" s="13" t="n">
        <v>146</v>
      </c>
      <c r="CP391" s="13" t="n">
        <v>138</v>
      </c>
      <c r="CQ391" s="13" t="n">
        <v>179</v>
      </c>
      <c r="CR391" s="13" t="n">
        <v>4</v>
      </c>
      <c r="CS391" s="13" t="n">
        <v>8</v>
      </c>
      <c r="CT391" s="11" t="inlineStr">
        <is>
          <t xml:space="preserve"> Resort Freeride</t>
        </is>
      </c>
      <c r="CU391" s="13" t="n"/>
      <c r="CV391" s="13" t="n"/>
      <c r="CW391" s="13" t="n"/>
      <c r="CX391">
        <f>INDEX('Data_Price '!AG$2:AG$1266,MATCH(Data!$DN391,'Data_Price '!$AT$2:$AT$1266,0))</f>
        <v/>
      </c>
      <c r="CY391">
        <f>INDEX('Data_Price '!AH$2:AH$1266,MATCH(Data!$DN391,'Data_Price '!$AT$2:$AT$1266,0))</f>
        <v/>
      </c>
      <c r="CZ391">
        <f>INDEX('Data_Price '!AI$2:AI$1266,MATCH(Data!$DN391,'Data_Price '!$AT$2:$AT$1266,0))</f>
        <v/>
      </c>
      <c r="DA391">
        <f>INDEX('Data_Price '!AJ$2:AJ$1266,MATCH(Data!$DN391,'Data_Price '!$AT$2:$AT$1266,0))</f>
        <v/>
      </c>
      <c r="DB391">
        <f>INDEX('Data_Price '!AK$2:AK$1266,MATCH(Data!$DN391,'Data_Price '!$AT$2:$AT$1266,0))</f>
        <v/>
      </c>
      <c r="DC391">
        <f>INDEX('Data_Price '!AL$2:AL$1266,MATCH(Data!$DN391,'Data_Price '!$AT$2:$AT$1266,0))</f>
        <v/>
      </c>
      <c r="DD391">
        <f>INDEX('Data_Price '!AM$2:AM$1266,MATCH(Data!$DN391,'Data_Price '!$AT$2:$AT$1266,0))</f>
        <v/>
      </c>
      <c r="DE391">
        <f>INDEX('Data_Price '!AN$2:AN$1266,MATCH(Data!$DN391,'Data_Price '!$AT$2:$AT$1266,0))</f>
        <v/>
      </c>
      <c r="DF391">
        <f>INDEX('Data_Price '!AO$2:AO$1266,MATCH(Data!$DN391,'Data_Price '!$AT$2:$AT$1266,0))</f>
        <v/>
      </c>
      <c r="DG391">
        <f>INDEX('Data_Price '!AP$2:AP$1266,MATCH(Data!$DN391,'Data_Price '!$AT$2:$AT$1266,0))</f>
        <v/>
      </c>
      <c r="DH391">
        <f>INDEX('Data_Price '!AQ$2:AQ$1266,MATCH(Data!$DN391,'Data_Price '!$AT$2:$AT$1266,0))</f>
        <v/>
      </c>
      <c r="DI391">
        <f>INDEX('Data_Price '!AR$2:AR$1266,MATCH(Data!$DN391,'Data_Price '!$AT$2:$AT$1266,0))</f>
        <v/>
      </c>
      <c r="DJ391" s="138">
        <f>DA391</f>
        <v/>
      </c>
      <c r="DK391" s="138">
        <f>DE391</f>
        <v/>
      </c>
      <c r="DL391" s="138">
        <f>DI391</f>
        <v/>
      </c>
      <c r="DM391" s="303">
        <f>IF(LEFT(BT391,1)=" ",RIGHT(BT391,LEN(BT391)-1),BT391)</f>
        <v/>
      </c>
      <c r="DN391" s="138">
        <f>_xlfn.CONCAT(BS391,DM391,BU391,BV391)</f>
        <v/>
      </c>
      <c r="DO391" s="307" t="inlineStr">
        <is>
          <t>https://images.evo.com/imgp/250/176892/722700/blizzard-sheeva-9-skis-women-s-2022-.jpg</t>
        </is>
      </c>
    </row>
    <row r="392" ht="15.6" customHeight="1" s="184">
      <c r="B392" s="303">
        <f t="array" ref="B392">IF(OR(ISERROR(K392:P392)),FALSE,TRUE)</f>
        <v/>
      </c>
      <c r="C392" s="60">
        <f>OR(BR392=Driver!$G$50,Data!BR1217=Driver!$H$50)</f>
        <v/>
      </c>
      <c r="D392" s="60">
        <f>OR(BV392=Driver!$G$51,BV392=Driver!$H$51)</f>
        <v/>
      </c>
      <c r="E392" s="60">
        <f>AND(BX392&gt;Driver!$F$54,BX392&lt;Driver!$G$54)</f>
        <v/>
      </c>
      <c r="F392" s="60">
        <f>CL392&gt;Driver!$F$56</f>
        <v/>
      </c>
      <c r="G392" s="60">
        <f>AND(CB392&gt;Driver!$F$55,CB392&lt;Driver!$G$55)</f>
        <v/>
      </c>
      <c r="H392" s="60">
        <f>AND(B392:G392)</f>
        <v/>
      </c>
      <c r="I392" s="60">
        <f>COUNTIFS($H$9:$H$1273,TRUE,$BT$9:$BT$1273,BT392)</f>
        <v/>
      </c>
      <c r="J392" s="60">
        <f t="array" ref="J392">NOT(OR(($H$9:$H$1273=TRUE)*($I$9:$I$1273&gt;0)*($BT$9:$BT$1273=BT392)*($K$9:$K$1273&gt;K392)))</f>
        <v/>
      </c>
      <c r="K392" s="108">
        <f>IFERROR(1-AVERAGE(X392:Y392),"")</f>
        <v/>
      </c>
      <c r="L392" s="108">
        <f>1-X392</f>
        <v/>
      </c>
      <c r="M392" s="108">
        <f>1-Y392</f>
        <v/>
      </c>
      <c r="N392" s="108">
        <f>1-Z392</f>
        <v/>
      </c>
      <c r="O392" s="108">
        <f>1-AA392</f>
        <v/>
      </c>
      <c r="P392" s="108">
        <f>1-AB392</f>
        <v/>
      </c>
      <c r="Q392" s="108" t="n"/>
      <c r="R392" s="108" t="n"/>
      <c r="S392" s="108">
        <f>1-AE392</f>
        <v/>
      </c>
      <c r="T392" s="108">
        <f>1-AF392</f>
        <v/>
      </c>
      <c r="U392" s="108">
        <f>1-AG392</f>
        <v/>
      </c>
      <c r="V392" s="108">
        <f>1-AH392</f>
        <v/>
      </c>
      <c r="W392" s="108">
        <f>1-AI392</f>
        <v/>
      </c>
      <c r="X392" s="108">
        <f>ABS(AJ392-AJ$1)</f>
        <v/>
      </c>
      <c r="Y392" s="108">
        <f>AVERAGE(Z392:AB392)</f>
        <v/>
      </c>
      <c r="Z392" s="108">
        <f>ABS(AL392-AL$1)</f>
        <v/>
      </c>
      <c r="AA392" s="108">
        <f>ABS(AM392-AM$1)</f>
        <v/>
      </c>
      <c r="AB392" s="108">
        <f>ABS(AN392-AN$1)</f>
        <v/>
      </c>
      <c r="AC392" s="108" t="n"/>
      <c r="AD392" s="108" t="n"/>
      <c r="AE392" s="108">
        <f>ABS(AQ$1-AQ392)</f>
        <v/>
      </c>
      <c r="AF392" s="108">
        <f>ABS(AR$1-AR392)</f>
        <v/>
      </c>
      <c r="AG392" s="108">
        <f>ABS(AS$1-AS392)</f>
        <v/>
      </c>
      <c r="AH392" s="108">
        <f>ABS(AT$1-AT392)</f>
        <v/>
      </c>
      <c r="AI392" s="108">
        <f>ABS(AU$1-AU392)</f>
        <v/>
      </c>
      <c r="AJ392" s="108">
        <f>(AV392-Driver!$K$179)/(Driver!$L$179-Driver!$K$179)</f>
        <v/>
      </c>
      <c r="AK392" s="108">
        <f>(AW392-Driver!$K$180)/(Driver!$L$180-Driver!$K$180)</f>
        <v/>
      </c>
      <c r="AL392" s="108">
        <f>(AX392-Driver!$K$181)/(Driver!$L$181-Driver!$K$181)</f>
        <v/>
      </c>
      <c r="AM392" s="108">
        <f>(AY392-Driver!$K$182)/(Driver!$L$182-Driver!$K$182)</f>
        <v/>
      </c>
      <c r="AN392" s="108">
        <f>(AZ392-Driver!$K$183)/(Driver!$L$183-Driver!$K$183)</f>
        <v/>
      </c>
      <c r="AO392" s="108" t="n"/>
      <c r="AP392" s="108" t="n"/>
      <c r="AQ392" s="108">
        <f>(BC392-Driver!$K$188)/(Driver!$L$188-Driver!$K$188)</f>
        <v/>
      </c>
      <c r="AR392" s="108">
        <f>MIN((BD392-Driver!$K$189)/(Driver!$L$189-Driver!$K$189),100%)</f>
        <v/>
      </c>
      <c r="AS392" s="108">
        <f>(BE392-Driver!$K$190)/(Driver!$L$190-Driver!$K$190)</f>
        <v/>
      </c>
      <c r="AT392" s="108">
        <f>(BF392-Driver!$K$191)/(Driver!$L$191-Driver!$K$191)</f>
        <v/>
      </c>
      <c r="AU392" s="108">
        <f>(BG392-Driver!$K$192)/(Driver!$L$192-Driver!$K$192)</f>
        <v/>
      </c>
      <c r="AV392" s="105">
        <f>IFERROR(BM392*BJ392^1/4,"")</f>
        <v/>
      </c>
      <c r="AW392" s="105">
        <f>IFERROR(SUM(AX392:AZ392),"")</f>
        <v/>
      </c>
      <c r="AX392" s="105">
        <f>IFERROR(BH392,"")</f>
        <v/>
      </c>
      <c r="AY392" s="105">
        <f>IFERROR(Driver!$K$19/Data!BH392/Data!BI392*Data!BK392*Data!BL392,"")</f>
        <v/>
      </c>
      <c r="AZ392" s="105">
        <f>IFERROR(BI392*BN392,"")</f>
        <v/>
      </c>
      <c r="BA392" s="105" t="n"/>
      <c r="BB392" s="105" t="n"/>
      <c r="BC392" s="105">
        <f>IFERROR(BI392*BN392*BK392/BJ392^(1/2),"")</f>
        <v/>
      </c>
      <c r="BD392" s="105">
        <f>IFERROR(BH392*BM392*BL392/BJ392/BK392,"")</f>
        <v/>
      </c>
      <c r="BE392" s="105">
        <f>IFERROR(MIN(BI392/BQ392/BP392/BO392/BH392,$BE$1),"")</f>
        <v/>
      </c>
      <c r="BF392" s="105">
        <f>IFERROR(BJ392*BO392*BP392/BK392,"")</f>
        <v/>
      </c>
      <c r="BG392" s="105">
        <f>IFERROR(1/BM392/BH392*BQ392,"")</f>
        <v/>
      </c>
      <c r="BH392" s="102">
        <f>MAX((CE392-Driver!$F$200)/(Driver!$G$200-Driver!$F$200)*$BI$1,1)</f>
        <v/>
      </c>
      <c r="BI392" s="102">
        <f>MAX($BI$1*(BY392-Driver!$F$201)/(Driver!$G$201-Driver!$F$201),1)</f>
        <v/>
      </c>
      <c r="BJ392" s="102">
        <f>(CB392-Driver!$F$206)/(Driver!$G$206-Driver!$F$206)*$BI$1</f>
        <v/>
      </c>
      <c r="BK392" s="102">
        <f>(CD392-Driver!$F$203)/(Driver!$G$203-Driver!$F$203)*$BI$1</f>
        <v/>
      </c>
      <c r="BL392" s="102">
        <f>MAX((CR392-Driver!$F$202)/(Driver!$G$202-Driver!$F$202)*$BI$1,1)</f>
        <v/>
      </c>
      <c r="BM392" s="102">
        <f>MAX((CH392-Driver!$F$204)/(Driver!$G$204-Driver!$F$204)*$BI$1,1)</f>
        <v/>
      </c>
      <c r="BN392" s="102">
        <f>(CI392-Driver!$F$205)/(Driver!$G$205-Driver!$F$205)*$BI$1</f>
        <v/>
      </c>
      <c r="BO392" s="102">
        <f>(CK392-Driver!$F$207)/(Driver!$G$207-Driver!$F$207)*$BI$1</f>
        <v/>
      </c>
      <c r="BP392" s="102">
        <f>(CM392-Driver!$F$208)/(Driver!$G$208-Driver!$F$208)*$BI$1</f>
        <v/>
      </c>
      <c r="BQ392" s="102">
        <f>(CL392-Driver!$F$209)/(Driver!$G$209-Driver!$F$209)*$BI$1</f>
        <v/>
      </c>
      <c r="BR392" s="40" t="inlineStr">
        <is>
          <t>21/22</t>
        </is>
      </c>
      <c r="BS392" s="10" t="inlineStr">
        <is>
          <t xml:space="preserve"> Völkl</t>
        </is>
      </c>
      <c r="BT392" s="11" t="inlineStr">
        <is>
          <t>M6 Mantra</t>
        </is>
      </c>
      <c r="BU392" s="13" t="n">
        <v>170</v>
      </c>
      <c r="BV392" s="11" t="inlineStr">
        <is>
          <t xml:space="preserve"> Unisex</t>
        </is>
      </c>
      <c r="BW392" s="13" t="n">
        <v>170</v>
      </c>
      <c r="BX392" s="13" t="n">
        <v>170.8</v>
      </c>
      <c r="BY392" s="13" t="n">
        <v>125</v>
      </c>
      <c r="BZ392" s="13" t="n">
        <v>148</v>
      </c>
      <c r="CA392" s="13" t="n">
        <v>134</v>
      </c>
      <c r="CB392" s="13" t="n">
        <v>95</v>
      </c>
      <c r="CC392" s="13" t="n">
        <v>118</v>
      </c>
      <c r="CD392" s="13" t="n">
        <v>17</v>
      </c>
      <c r="CE392" s="13" t="n">
        <v>1885</v>
      </c>
      <c r="CF392" s="13" t="n">
        <v>0.97</v>
      </c>
      <c r="CG392" s="13" t="n">
        <v>1836</v>
      </c>
      <c r="CH392" s="13" t="n">
        <v>203</v>
      </c>
      <c r="CI392" s="13" t="n">
        <v>131</v>
      </c>
      <c r="CJ392" s="13" t="n">
        <v>44</v>
      </c>
      <c r="CK392" s="13" t="n">
        <v>278</v>
      </c>
      <c r="CL392" s="13" t="n">
        <v>16</v>
      </c>
      <c r="CM392" s="13" t="n">
        <v>178</v>
      </c>
      <c r="CN392" s="13" t="n">
        <v>0.375</v>
      </c>
      <c r="CO392" s="13" t="n">
        <v>131</v>
      </c>
      <c r="CP392" s="13" t="n">
        <v>99</v>
      </c>
      <c r="CQ392" s="13" t="n">
        <v>147</v>
      </c>
      <c r="CR392" s="13" t="n">
        <v>3</v>
      </c>
      <c r="CS392" s="13" t="n">
        <v>11.1</v>
      </c>
      <c r="CT392" s="11" t="inlineStr">
        <is>
          <t xml:space="preserve"> Resort Freeride</t>
        </is>
      </c>
      <c r="CU392" s="13" t="n"/>
      <c r="CV392" s="13" t="n"/>
      <c r="CW392" s="13" t="n"/>
      <c r="CX392">
        <f>INDEX('Data_Price '!AG$2:AG$1266,MATCH(Data!$DN392,'Data_Price '!$AT$2:$AT$1266,0))</f>
        <v/>
      </c>
      <c r="CY392">
        <f>INDEX('Data_Price '!AH$2:AH$1266,MATCH(Data!$DN392,'Data_Price '!$AT$2:$AT$1266,0))</f>
        <v/>
      </c>
      <c r="CZ392">
        <f>INDEX('Data_Price '!AI$2:AI$1266,MATCH(Data!$DN392,'Data_Price '!$AT$2:$AT$1266,0))</f>
        <v/>
      </c>
      <c r="DA392">
        <f>INDEX('Data_Price '!AJ$2:AJ$1266,MATCH(Data!$DN392,'Data_Price '!$AT$2:$AT$1266,0))</f>
        <v/>
      </c>
      <c r="DB392">
        <f>INDEX('Data_Price '!AK$2:AK$1266,MATCH(Data!$DN392,'Data_Price '!$AT$2:$AT$1266,0))</f>
        <v/>
      </c>
      <c r="DC392">
        <f>INDEX('Data_Price '!AL$2:AL$1266,MATCH(Data!$DN392,'Data_Price '!$AT$2:$AT$1266,0))</f>
        <v/>
      </c>
      <c r="DD392">
        <f>INDEX('Data_Price '!AM$2:AM$1266,MATCH(Data!$DN392,'Data_Price '!$AT$2:$AT$1266,0))</f>
        <v/>
      </c>
      <c r="DE392">
        <f>INDEX('Data_Price '!AN$2:AN$1266,MATCH(Data!$DN392,'Data_Price '!$AT$2:$AT$1266,0))</f>
        <v/>
      </c>
      <c r="DF392">
        <f>INDEX('Data_Price '!AO$2:AO$1266,MATCH(Data!$DN392,'Data_Price '!$AT$2:$AT$1266,0))</f>
        <v/>
      </c>
      <c r="DG392">
        <f>INDEX('Data_Price '!AP$2:AP$1266,MATCH(Data!$DN392,'Data_Price '!$AT$2:$AT$1266,0))</f>
        <v/>
      </c>
      <c r="DH392">
        <f>INDEX('Data_Price '!AQ$2:AQ$1266,MATCH(Data!$DN392,'Data_Price '!$AT$2:$AT$1266,0))</f>
        <v/>
      </c>
      <c r="DI392">
        <f>INDEX('Data_Price '!AR$2:AR$1266,MATCH(Data!$DN392,'Data_Price '!$AT$2:$AT$1266,0))</f>
        <v/>
      </c>
      <c r="DJ392" s="138">
        <f>DA392</f>
        <v/>
      </c>
      <c r="DK392" s="138">
        <f>DE392</f>
        <v/>
      </c>
      <c r="DL392" s="138">
        <f>DI392</f>
        <v/>
      </c>
      <c r="DM392" s="303">
        <f>IF(LEFT(BT392,1)=" ",RIGHT(BT392,LEN(BT392)-1),BT392)</f>
        <v/>
      </c>
      <c r="DN392" s="138">
        <f>_xlfn.CONCAT(BS392,DM392,BU392,BV392)</f>
        <v/>
      </c>
      <c r="DO392" s="307" t="inlineStr">
        <is>
          <t>https://images.evo.com/imgp/250/201958/795901/volkl-m6-mantra-skis-2022-.jpg</t>
        </is>
      </c>
    </row>
    <row r="393" ht="15.6" customHeight="1" s="184">
      <c r="B393" s="303">
        <f t="array" ref="B393">IF(OR(ISERROR(K393:P393)),FALSE,TRUE)</f>
        <v/>
      </c>
      <c r="C393" s="60">
        <f>OR(BR393=Driver!$G$50,Data!BR1076=Driver!$H$50)</f>
        <v/>
      </c>
      <c r="D393" s="60">
        <f>OR(BV393=Driver!$G$51,BV393=Driver!$H$51)</f>
        <v/>
      </c>
      <c r="E393" s="60">
        <f>AND(BX393&gt;Driver!$F$54,BX393&lt;Driver!$G$54)</f>
        <v/>
      </c>
      <c r="F393" s="60">
        <f>CL393&gt;Driver!$F$56</f>
        <v/>
      </c>
      <c r="G393" s="60">
        <f>AND(CB393&gt;Driver!$F$55,CB393&lt;Driver!$G$55)</f>
        <v/>
      </c>
      <c r="H393" s="60">
        <f>AND(B393:G393)</f>
        <v/>
      </c>
      <c r="I393" s="60">
        <f>COUNTIFS($H$9:$H$1273,TRUE,$BT$9:$BT$1273,BT393)</f>
        <v/>
      </c>
      <c r="J393" s="60">
        <f t="array" ref="J393">NOT(OR(($H$9:$H$1273=TRUE)*($I$9:$I$1273&gt;0)*($BT$9:$BT$1273=BT393)*($K$9:$K$1273&gt;K393)))</f>
        <v/>
      </c>
      <c r="K393" s="108">
        <f>IFERROR(1-AVERAGE(X393:Y393),"")</f>
        <v/>
      </c>
      <c r="L393" s="108">
        <f>1-X393</f>
        <v/>
      </c>
      <c r="M393" s="108">
        <f>1-Y393</f>
        <v/>
      </c>
      <c r="N393" s="108">
        <f>1-Z393</f>
        <v/>
      </c>
      <c r="O393" s="108">
        <f>1-AA393</f>
        <v/>
      </c>
      <c r="P393" s="108">
        <f>1-AB393</f>
        <v/>
      </c>
      <c r="Q393" s="108" t="n"/>
      <c r="R393" s="108" t="n"/>
      <c r="S393" s="108">
        <f>1-AE393</f>
        <v/>
      </c>
      <c r="T393" s="108">
        <f>1-AF393</f>
        <v/>
      </c>
      <c r="U393" s="108">
        <f>1-AG393</f>
        <v/>
      </c>
      <c r="V393" s="108">
        <f>1-AH393</f>
        <v/>
      </c>
      <c r="W393" s="108">
        <f>1-AI393</f>
        <v/>
      </c>
      <c r="X393" s="108">
        <f>ABS(AJ393-AJ$1)</f>
        <v/>
      </c>
      <c r="Y393" s="108">
        <f>AVERAGE(Z393:AB393)</f>
        <v/>
      </c>
      <c r="Z393" s="108">
        <f>ABS(AL393-AL$1)</f>
        <v/>
      </c>
      <c r="AA393" s="108">
        <f>ABS(AM393-AM$1)</f>
        <v/>
      </c>
      <c r="AB393" s="108">
        <f>ABS(AN393-AN$1)</f>
        <v/>
      </c>
      <c r="AC393" s="108" t="n"/>
      <c r="AD393" s="108" t="n"/>
      <c r="AE393" s="108">
        <f>ABS(AQ$1-AQ393)</f>
        <v/>
      </c>
      <c r="AF393" s="108">
        <f>ABS(AR$1-AR393)</f>
        <v/>
      </c>
      <c r="AG393" s="108">
        <f>ABS(AS$1-AS393)</f>
        <v/>
      </c>
      <c r="AH393" s="108">
        <f>ABS(AT$1-AT393)</f>
        <v/>
      </c>
      <c r="AI393" s="108">
        <f>ABS(AU$1-AU393)</f>
        <v/>
      </c>
      <c r="AJ393" s="108">
        <f>(AV393-Driver!$K$179)/(Driver!$L$179-Driver!$K$179)</f>
        <v/>
      </c>
      <c r="AK393" s="108">
        <f>(AW393-Driver!$K$180)/(Driver!$L$180-Driver!$K$180)</f>
        <v/>
      </c>
      <c r="AL393" s="108">
        <f>(AX393-Driver!$K$181)/(Driver!$L$181-Driver!$K$181)</f>
        <v/>
      </c>
      <c r="AM393" s="108">
        <f>(AY393-Driver!$K$182)/(Driver!$L$182-Driver!$K$182)</f>
        <v/>
      </c>
      <c r="AN393" s="108">
        <f>(AZ393-Driver!$K$183)/(Driver!$L$183-Driver!$K$183)</f>
        <v/>
      </c>
      <c r="AO393" s="108" t="n"/>
      <c r="AP393" s="108" t="n"/>
      <c r="AQ393" s="108">
        <f>(BC393-Driver!$K$188)/(Driver!$L$188-Driver!$K$188)</f>
        <v/>
      </c>
      <c r="AR393" s="108">
        <f>MIN((BD393-Driver!$K$189)/(Driver!$L$189-Driver!$K$189),100%)</f>
        <v/>
      </c>
      <c r="AS393" s="108">
        <f>(BE393-Driver!$K$190)/(Driver!$L$190-Driver!$K$190)</f>
        <v/>
      </c>
      <c r="AT393" s="108">
        <f>(BF393-Driver!$K$191)/(Driver!$L$191-Driver!$K$191)</f>
        <v/>
      </c>
      <c r="AU393" s="108">
        <f>(BG393-Driver!$K$192)/(Driver!$L$192-Driver!$K$192)</f>
        <v/>
      </c>
      <c r="AV393" s="105">
        <f>IFERROR(BM393*BJ393^1/4,"")</f>
        <v/>
      </c>
      <c r="AW393" s="105">
        <f>IFERROR(SUM(AX393:AZ393),"")</f>
        <v/>
      </c>
      <c r="AX393" s="105">
        <f>IFERROR(BH393,"")</f>
        <v/>
      </c>
      <c r="AY393" s="105">
        <f>IFERROR(Driver!$K$19/Data!BH393/Data!BI393*Data!BK393*Data!BL393,"")</f>
        <v/>
      </c>
      <c r="AZ393" s="105">
        <f>IFERROR(BI393*BN393,"")</f>
        <v/>
      </c>
      <c r="BA393" s="105" t="n"/>
      <c r="BB393" s="105" t="n"/>
      <c r="BC393" s="105">
        <f>IFERROR(BI393*BN393*BK393/BJ393^(1/2),"")</f>
        <v/>
      </c>
      <c r="BD393" s="105">
        <f>IFERROR(BH393*BM393*BL393/BJ393/BK393,"")</f>
        <v/>
      </c>
      <c r="BE393" s="105">
        <f>IFERROR(MIN(BI393/BQ393/BP393/BO393/BH393,$BE$1),"")</f>
        <v/>
      </c>
      <c r="BF393" s="105">
        <f>IFERROR(BJ393*BO393*BP393/BK393,"")</f>
        <v/>
      </c>
      <c r="BG393" s="105">
        <f>IFERROR(1/BM393/BH393*BQ393,"")</f>
        <v/>
      </c>
      <c r="BH393" s="102">
        <f>MAX((CE393-Driver!$F$200)/(Driver!$G$200-Driver!$F$200)*$BI$1,1)</f>
        <v/>
      </c>
      <c r="BI393" s="102">
        <f>MAX($BI$1*(BY393-Driver!$F$201)/(Driver!$G$201-Driver!$F$201),1)</f>
        <v/>
      </c>
      <c r="BJ393" s="102">
        <f>(CB393-Driver!$F$206)/(Driver!$G$206-Driver!$F$206)*$BI$1</f>
        <v/>
      </c>
      <c r="BK393" s="102">
        <f>(CD393-Driver!$F$203)/(Driver!$G$203-Driver!$F$203)*$BI$1</f>
        <v/>
      </c>
      <c r="BL393" s="102">
        <f>MAX((CR393-Driver!$F$202)/(Driver!$G$202-Driver!$F$202)*$BI$1,1)</f>
        <v/>
      </c>
      <c r="BM393" s="102">
        <f>MAX((CH393-Driver!$F$204)/(Driver!$G$204-Driver!$F$204)*$BI$1,1)</f>
        <v/>
      </c>
      <c r="BN393" s="102">
        <f>(CI393-Driver!$F$205)/(Driver!$G$205-Driver!$F$205)*$BI$1</f>
        <v/>
      </c>
      <c r="BO393" s="102">
        <f>(CK393-Driver!$F$207)/(Driver!$G$207-Driver!$F$207)*$BI$1</f>
        <v/>
      </c>
      <c r="BP393" s="102">
        <f>(CM393-Driver!$F$208)/(Driver!$G$208-Driver!$F$208)*$BI$1</f>
        <v/>
      </c>
      <c r="BQ393" s="102">
        <f>(CL393-Driver!$F$209)/(Driver!$G$209-Driver!$F$209)*$BI$1</f>
        <v/>
      </c>
      <c r="BR393" s="40" t="inlineStr">
        <is>
          <t>21/22</t>
        </is>
      </c>
      <c r="BS393" s="10" t="inlineStr">
        <is>
          <t xml:space="preserve"> Salomon</t>
        </is>
      </c>
      <c r="BT393" s="11" t="inlineStr">
        <is>
          <t>QST 98</t>
        </is>
      </c>
      <c r="BU393" s="13" t="n">
        <v>183</v>
      </c>
      <c r="BV393" s="11" t="inlineStr">
        <is>
          <t xml:space="preserve"> Unisex</t>
        </is>
      </c>
      <c r="BW393" s="13" t="n">
        <v>183</v>
      </c>
      <c r="BX393" s="13" t="n">
        <v>182.6</v>
      </c>
      <c r="BY393" s="13" t="n">
        <v>101</v>
      </c>
      <c r="BZ393" s="13" t="n">
        <v>137</v>
      </c>
      <c r="CA393" s="13" t="n">
        <v>132</v>
      </c>
      <c r="CB393" s="13" t="n">
        <v>98</v>
      </c>
      <c r="CC393" s="13" t="n">
        <v>120</v>
      </c>
      <c r="CD393" s="13" t="n">
        <v>14.2</v>
      </c>
      <c r="CE393" s="13" t="n">
        <v>2030</v>
      </c>
      <c r="CF393" s="13" t="n">
        <v>0.99</v>
      </c>
      <c r="CG393" s="13" t="n">
        <v>2008</v>
      </c>
      <c r="CH393" s="13" t="n">
        <v>210</v>
      </c>
      <c r="CI393" s="13" t="n">
        <v>105</v>
      </c>
      <c r="CJ393" s="13" t="n">
        <v>52</v>
      </c>
      <c r="CK393" s="13" t="n">
        <v>414</v>
      </c>
      <c r="CL393" s="13" t="n">
        <v>33</v>
      </c>
      <c r="CM393" s="13" t="n">
        <v>406</v>
      </c>
      <c r="CN393" s="13" t="n">
        <v>0.629</v>
      </c>
      <c r="CO393" s="13" t="n">
        <v>276</v>
      </c>
      <c r="CP393" s="13" t="n">
        <v>182</v>
      </c>
      <c r="CQ393" s="13" t="n">
        <v>138</v>
      </c>
      <c r="CR393" s="13" t="n">
        <v>6</v>
      </c>
      <c r="CS393" s="13" t="n">
        <v>8.699999999999999</v>
      </c>
      <c r="CT393" s="11" t="inlineStr">
        <is>
          <t xml:space="preserve"> Resort Freeride</t>
        </is>
      </c>
      <c r="CU393" s="13" t="n"/>
      <c r="CV393" s="13" t="n"/>
      <c r="CW393" s="13" t="n"/>
      <c r="CX393">
        <f>INDEX('Data_Price '!AG$2:AG$1266,MATCH(Data!$DN393,'Data_Price '!$AT$2:$AT$1266,0))</f>
        <v/>
      </c>
      <c r="CY393">
        <f>INDEX('Data_Price '!AH$2:AH$1266,MATCH(Data!$DN393,'Data_Price '!$AT$2:$AT$1266,0))</f>
        <v/>
      </c>
      <c r="CZ393">
        <f>INDEX('Data_Price '!AI$2:AI$1266,MATCH(Data!$DN393,'Data_Price '!$AT$2:$AT$1266,0))</f>
        <v/>
      </c>
      <c r="DA393">
        <f>INDEX('Data_Price '!AJ$2:AJ$1266,MATCH(Data!$DN393,'Data_Price '!$AT$2:$AT$1266,0))</f>
        <v/>
      </c>
      <c r="DB393">
        <f>INDEX('Data_Price '!AK$2:AK$1266,MATCH(Data!$DN393,'Data_Price '!$AT$2:$AT$1266,0))</f>
        <v/>
      </c>
      <c r="DC393">
        <f>INDEX('Data_Price '!AL$2:AL$1266,MATCH(Data!$DN393,'Data_Price '!$AT$2:$AT$1266,0))</f>
        <v/>
      </c>
      <c r="DD393">
        <f>INDEX('Data_Price '!AM$2:AM$1266,MATCH(Data!$DN393,'Data_Price '!$AT$2:$AT$1266,0))</f>
        <v/>
      </c>
      <c r="DE393">
        <f>INDEX('Data_Price '!AN$2:AN$1266,MATCH(Data!$DN393,'Data_Price '!$AT$2:$AT$1266,0))</f>
        <v/>
      </c>
      <c r="DF393">
        <f>INDEX('Data_Price '!AO$2:AO$1266,MATCH(Data!$DN393,'Data_Price '!$AT$2:$AT$1266,0))</f>
        <v/>
      </c>
      <c r="DG393">
        <f>INDEX('Data_Price '!AP$2:AP$1266,MATCH(Data!$DN393,'Data_Price '!$AT$2:$AT$1266,0))</f>
        <v/>
      </c>
      <c r="DH393">
        <f>INDEX('Data_Price '!AQ$2:AQ$1266,MATCH(Data!$DN393,'Data_Price '!$AT$2:$AT$1266,0))</f>
        <v/>
      </c>
      <c r="DI393">
        <f>INDEX('Data_Price '!AR$2:AR$1266,MATCH(Data!$DN393,'Data_Price '!$AT$2:$AT$1266,0))</f>
        <v/>
      </c>
      <c r="DJ393" s="138">
        <f>DA393</f>
        <v/>
      </c>
      <c r="DK393" s="138">
        <f>DE393</f>
        <v/>
      </c>
      <c r="DL393" s="138">
        <f>DI393</f>
        <v/>
      </c>
      <c r="DM393" s="303">
        <f>IF(LEFT(BT393,1)=" ",RIGHT(BT393,LEN(BT393)-1),BT393)</f>
        <v/>
      </c>
      <c r="DN393" s="138">
        <f>_xlfn.CONCAT(BS393,DM393,BU393,BV393)</f>
        <v/>
      </c>
      <c r="DO393" s="307" t="inlineStr">
        <is>
          <t>https://images.evo.com/imgp/250/197273/812057/salomon-qst-98-skis-2022-.jpg</t>
        </is>
      </c>
    </row>
    <row r="394" ht="15.6" customHeight="1" s="184">
      <c r="B394" s="303">
        <f t="array" ref="B394">IF(OR(ISERROR(K394:P394)),FALSE,TRUE)</f>
        <v/>
      </c>
      <c r="C394" s="60">
        <f>OR(BR394=Driver!$G$50,Data!BR1088=Driver!$H$50)</f>
        <v/>
      </c>
      <c r="D394" s="60">
        <f>OR(BV394=Driver!$G$51,BV394=Driver!$H$51)</f>
        <v/>
      </c>
      <c r="E394" s="60">
        <f>AND(BX394&gt;Driver!$F$54,BX394&lt;Driver!$G$54)</f>
        <v/>
      </c>
      <c r="F394" s="60">
        <f>CL394&gt;Driver!$F$56</f>
        <v/>
      </c>
      <c r="G394" s="60">
        <f>AND(CB394&gt;Driver!$F$55,CB394&lt;Driver!$G$55)</f>
        <v/>
      </c>
      <c r="H394" s="60">
        <f>AND(B394:G394)</f>
        <v/>
      </c>
      <c r="I394" s="60">
        <f>COUNTIFS($H$9:$H$1273,TRUE,$BT$9:$BT$1273,BT394)</f>
        <v/>
      </c>
      <c r="J394" s="60">
        <f t="array" ref="J394">NOT(OR(($H$9:$H$1273=TRUE)*($I$9:$I$1273&gt;0)*($BT$9:$BT$1273=BT394)*($K$9:$K$1273&gt;K394)))</f>
        <v/>
      </c>
      <c r="K394" s="108">
        <f>IFERROR(1-AVERAGE(X394:Y394),"")</f>
        <v/>
      </c>
      <c r="L394" s="108">
        <f>1-X394</f>
        <v/>
      </c>
      <c r="M394" s="108">
        <f>1-Y394</f>
        <v/>
      </c>
      <c r="N394" s="108">
        <f>1-Z394</f>
        <v/>
      </c>
      <c r="O394" s="108">
        <f>1-AA394</f>
        <v/>
      </c>
      <c r="P394" s="108">
        <f>1-AB394</f>
        <v/>
      </c>
      <c r="Q394" s="108" t="n"/>
      <c r="R394" s="108" t="n"/>
      <c r="S394" s="108">
        <f>1-AE394</f>
        <v/>
      </c>
      <c r="T394" s="108">
        <f>1-AF394</f>
        <v/>
      </c>
      <c r="U394" s="108">
        <f>1-AG394</f>
        <v/>
      </c>
      <c r="V394" s="108">
        <f>1-AH394</f>
        <v/>
      </c>
      <c r="W394" s="108">
        <f>1-AI394</f>
        <v/>
      </c>
      <c r="X394" s="108">
        <f>ABS(AJ394-AJ$1)</f>
        <v/>
      </c>
      <c r="Y394" s="108">
        <f>AVERAGE(Z394:AB394)</f>
        <v/>
      </c>
      <c r="Z394" s="108">
        <f>ABS(AL394-AL$1)</f>
        <v/>
      </c>
      <c r="AA394" s="108">
        <f>ABS(AM394-AM$1)</f>
        <v/>
      </c>
      <c r="AB394" s="108">
        <f>ABS(AN394-AN$1)</f>
        <v/>
      </c>
      <c r="AC394" s="108" t="n"/>
      <c r="AD394" s="108" t="n"/>
      <c r="AE394" s="108">
        <f>ABS(AQ$1-AQ394)</f>
        <v/>
      </c>
      <c r="AF394" s="108">
        <f>ABS(AR$1-AR394)</f>
        <v/>
      </c>
      <c r="AG394" s="108">
        <f>ABS(AS$1-AS394)</f>
        <v/>
      </c>
      <c r="AH394" s="108">
        <f>ABS(AT$1-AT394)</f>
        <v/>
      </c>
      <c r="AI394" s="108">
        <f>ABS(AU$1-AU394)</f>
        <v/>
      </c>
      <c r="AJ394" s="108">
        <f>(AV394-Driver!$K$179)/(Driver!$L$179-Driver!$K$179)</f>
        <v/>
      </c>
      <c r="AK394" s="108">
        <f>(AW394-Driver!$K$180)/(Driver!$L$180-Driver!$K$180)</f>
        <v/>
      </c>
      <c r="AL394" s="108">
        <f>(AX394-Driver!$K$181)/(Driver!$L$181-Driver!$K$181)</f>
        <v/>
      </c>
      <c r="AM394" s="108">
        <f>(AY394-Driver!$K$182)/(Driver!$L$182-Driver!$K$182)</f>
        <v/>
      </c>
      <c r="AN394" s="108">
        <f>(AZ394-Driver!$K$183)/(Driver!$L$183-Driver!$K$183)</f>
        <v/>
      </c>
      <c r="AO394" s="108" t="n"/>
      <c r="AP394" s="108" t="n"/>
      <c r="AQ394" s="108">
        <f>(BC394-Driver!$K$188)/(Driver!$L$188-Driver!$K$188)</f>
        <v/>
      </c>
      <c r="AR394" s="108">
        <f>MIN((BD394-Driver!$K$189)/(Driver!$L$189-Driver!$K$189),100%)</f>
        <v/>
      </c>
      <c r="AS394" s="108">
        <f>(BE394-Driver!$K$190)/(Driver!$L$190-Driver!$K$190)</f>
        <v/>
      </c>
      <c r="AT394" s="108">
        <f>(BF394-Driver!$K$191)/(Driver!$L$191-Driver!$K$191)</f>
        <v/>
      </c>
      <c r="AU394" s="108">
        <f>(BG394-Driver!$K$192)/(Driver!$L$192-Driver!$K$192)</f>
        <v/>
      </c>
      <c r="AV394" s="105">
        <f>IFERROR(BM394*BJ394^1/4,"")</f>
        <v/>
      </c>
      <c r="AW394" s="105">
        <f>IFERROR(SUM(AX394:AZ394),"")</f>
        <v/>
      </c>
      <c r="AX394" s="105">
        <f>IFERROR(BH394,"")</f>
        <v/>
      </c>
      <c r="AY394" s="105">
        <f>IFERROR(Driver!$K$19/Data!BH394/Data!BI394*Data!BK394*Data!BL394,"")</f>
        <v/>
      </c>
      <c r="AZ394" s="105">
        <f>IFERROR(BI394*BN394,"")</f>
        <v/>
      </c>
      <c r="BA394" s="105" t="n"/>
      <c r="BB394" s="105" t="n"/>
      <c r="BC394" s="105">
        <f>IFERROR(BI394*BN394*BK394/BJ394^(1/2),"")</f>
        <v/>
      </c>
      <c r="BD394" s="105">
        <f>IFERROR(BH394*BM394*BL394/BJ394/BK394,"")</f>
        <v/>
      </c>
      <c r="BE394" s="105">
        <f>IFERROR(MIN(BI394/BQ394/BP394/BO394/BH394,$BE$1),"")</f>
        <v/>
      </c>
      <c r="BF394" s="105">
        <f>IFERROR(BJ394*BO394*BP394/BK394,"")</f>
        <v/>
      </c>
      <c r="BG394" s="105">
        <f>IFERROR(1/BM394/BH394*BQ394,"")</f>
        <v/>
      </c>
      <c r="BH394" s="102">
        <f>MAX((CE394-Driver!$F$200)/(Driver!$G$200-Driver!$F$200)*$BI$1,1)</f>
        <v/>
      </c>
      <c r="BI394" s="102">
        <f>MAX($BI$1*(BY394-Driver!$F$201)/(Driver!$G$201-Driver!$F$201),1)</f>
        <v/>
      </c>
      <c r="BJ394" s="102">
        <f>(CB394-Driver!$F$206)/(Driver!$G$206-Driver!$F$206)*$BI$1</f>
        <v/>
      </c>
      <c r="BK394" s="102">
        <f>(CD394-Driver!$F$203)/(Driver!$G$203-Driver!$F$203)*$BI$1</f>
        <v/>
      </c>
      <c r="BL394" s="102">
        <f>MAX((CR394-Driver!$F$202)/(Driver!$G$202-Driver!$F$202)*$BI$1,1)</f>
        <v/>
      </c>
      <c r="BM394" s="102">
        <f>MAX((CH394-Driver!$F$204)/(Driver!$G$204-Driver!$F$204)*$BI$1,1)</f>
        <v/>
      </c>
      <c r="BN394" s="102">
        <f>(CI394-Driver!$F$205)/(Driver!$G$205-Driver!$F$205)*$BI$1</f>
        <v/>
      </c>
      <c r="BO394" s="102">
        <f>(CK394-Driver!$F$207)/(Driver!$G$207-Driver!$F$207)*$BI$1</f>
        <v/>
      </c>
      <c r="BP394" s="102">
        <f>(CM394-Driver!$F$208)/(Driver!$G$208-Driver!$F$208)*$BI$1</f>
        <v/>
      </c>
      <c r="BQ394" s="102">
        <f>(CL394-Driver!$F$209)/(Driver!$G$209-Driver!$F$209)*$BI$1</f>
        <v/>
      </c>
      <c r="BR394" s="40" t="inlineStr">
        <is>
          <t>21/22</t>
        </is>
      </c>
      <c r="BS394" s="10" t="inlineStr">
        <is>
          <t xml:space="preserve"> Salomon</t>
        </is>
      </c>
      <c r="BT394" s="11" t="inlineStr">
        <is>
          <t>QST Stella 106</t>
        </is>
      </c>
      <c r="BU394" s="13" t="n">
        <v>167</v>
      </c>
      <c r="BV394" s="11" t="inlineStr">
        <is>
          <t xml:space="preserve"> Women's</t>
        </is>
      </c>
      <c r="BW394" s="13" t="n">
        <v>167</v>
      </c>
      <c r="BX394" s="13" t="n">
        <v>166.4</v>
      </c>
      <c r="BY394" s="13" t="n">
        <v>105</v>
      </c>
      <c r="BZ394" s="13" t="n">
        <v>136</v>
      </c>
      <c r="CA394" s="13" t="n">
        <v>136</v>
      </c>
      <c r="CB394" s="13" t="n">
        <v>104</v>
      </c>
      <c r="CC394" s="13" t="n">
        <v>123</v>
      </c>
      <c r="CD394" s="13" t="n">
        <v>17.6</v>
      </c>
      <c r="CE394" s="13" t="n">
        <v>1843</v>
      </c>
      <c r="CF394" s="13" t="n">
        <v>1.04</v>
      </c>
      <c r="CG394" s="13" t="n">
        <v>1912</v>
      </c>
      <c r="CH394" s="13" t="n">
        <v>207</v>
      </c>
      <c r="CI394" s="13" t="n">
        <v>85</v>
      </c>
      <c r="CJ394" s="13" t="n">
        <v>56</v>
      </c>
      <c r="CK394" s="13" t="n">
        <v>343</v>
      </c>
      <c r="CL394" s="13" t="n">
        <v>24</v>
      </c>
      <c r="CM394" s="13" t="n">
        <v>266</v>
      </c>
      <c r="CN394" s="13" t="n">
        <v>0.436</v>
      </c>
      <c r="CO394" s="13" t="n">
        <v>186</v>
      </c>
      <c r="CP394" s="13" t="n">
        <v>115</v>
      </c>
      <c r="CQ394" s="13" t="n">
        <v>158</v>
      </c>
      <c r="CR394" s="13" t="n">
        <v>6</v>
      </c>
      <c r="CS394" s="13" t="n">
        <v>9.9</v>
      </c>
      <c r="CT394" s="11" t="inlineStr">
        <is>
          <t xml:space="preserve"> Resort Freeride</t>
        </is>
      </c>
      <c r="CU394" s="11" t="inlineStr">
        <is>
          <t xml:space="preserve"> Powder</t>
        </is>
      </c>
      <c r="CV394" s="13" t="n"/>
      <c r="CW394" s="13" t="n"/>
      <c r="CX394">
        <f>INDEX('Data_Price '!AG$2:AG$1266,MATCH(Data!$DN394,'Data_Price '!$AT$2:$AT$1266,0))</f>
        <v/>
      </c>
      <c r="CY394">
        <f>INDEX('Data_Price '!AH$2:AH$1266,MATCH(Data!$DN394,'Data_Price '!$AT$2:$AT$1266,0))</f>
        <v/>
      </c>
      <c r="CZ394">
        <f>INDEX('Data_Price '!AI$2:AI$1266,MATCH(Data!$DN394,'Data_Price '!$AT$2:$AT$1266,0))</f>
        <v/>
      </c>
      <c r="DA394">
        <f>INDEX('Data_Price '!AJ$2:AJ$1266,MATCH(Data!$DN394,'Data_Price '!$AT$2:$AT$1266,0))</f>
        <v/>
      </c>
      <c r="DB394">
        <f>INDEX('Data_Price '!AK$2:AK$1266,MATCH(Data!$DN394,'Data_Price '!$AT$2:$AT$1266,0))</f>
        <v/>
      </c>
      <c r="DC394">
        <f>INDEX('Data_Price '!AL$2:AL$1266,MATCH(Data!$DN394,'Data_Price '!$AT$2:$AT$1266,0))</f>
        <v/>
      </c>
      <c r="DD394">
        <f>INDEX('Data_Price '!AM$2:AM$1266,MATCH(Data!$DN394,'Data_Price '!$AT$2:$AT$1266,0))</f>
        <v/>
      </c>
      <c r="DE394">
        <f>INDEX('Data_Price '!AN$2:AN$1266,MATCH(Data!$DN394,'Data_Price '!$AT$2:$AT$1266,0))</f>
        <v/>
      </c>
      <c r="DF394">
        <f>INDEX('Data_Price '!AO$2:AO$1266,MATCH(Data!$DN394,'Data_Price '!$AT$2:$AT$1266,0))</f>
        <v/>
      </c>
      <c r="DG394">
        <f>INDEX('Data_Price '!AP$2:AP$1266,MATCH(Data!$DN394,'Data_Price '!$AT$2:$AT$1266,0))</f>
        <v/>
      </c>
      <c r="DH394">
        <f>INDEX('Data_Price '!AQ$2:AQ$1266,MATCH(Data!$DN394,'Data_Price '!$AT$2:$AT$1266,0))</f>
        <v/>
      </c>
      <c r="DI394">
        <f>INDEX('Data_Price '!AR$2:AR$1266,MATCH(Data!$DN394,'Data_Price '!$AT$2:$AT$1266,0))</f>
        <v/>
      </c>
      <c r="DJ394" s="138">
        <f>DA394</f>
        <v/>
      </c>
      <c r="DK394" s="138">
        <f>DE394</f>
        <v/>
      </c>
      <c r="DL394" s="138">
        <f>DI394</f>
        <v/>
      </c>
      <c r="DM394" s="303">
        <f>IF(LEFT(BT394,1)=" ",RIGHT(BT394,LEN(BT394)-1),BT394)</f>
        <v/>
      </c>
      <c r="DN394" s="138">
        <f>_xlfn.CONCAT(BS394,DM394,BU394,BV394)</f>
        <v/>
      </c>
      <c r="DO394" s="307" t="inlineStr">
        <is>
          <t>https://images.evo.com/imgp/250/197277/812056/salomon-qst-stella-106-skis-women-s-2022-.jpg</t>
        </is>
      </c>
    </row>
    <row r="395" ht="15.6" customHeight="1" s="184">
      <c r="B395" s="303">
        <f t="array" ref="B395">IF(OR(ISERROR(K395:P395)),FALSE,TRUE)</f>
        <v/>
      </c>
      <c r="C395" s="60">
        <f>OR(BR395=Driver!$G$50,Data!BR699=Driver!$H$50)</f>
        <v/>
      </c>
      <c r="D395" s="60">
        <f>OR(BV395=Driver!$G$51,BV395=Driver!$H$51)</f>
        <v/>
      </c>
      <c r="E395" s="60">
        <f>AND(BX395&gt;Driver!$F$54,BX395&lt;Driver!$G$54)</f>
        <v/>
      </c>
      <c r="F395" s="60">
        <f>CL395&gt;Driver!$F$56</f>
        <v/>
      </c>
      <c r="G395" s="60">
        <f>AND(CB395&gt;Driver!$F$55,CB395&lt;Driver!$G$55)</f>
        <v/>
      </c>
      <c r="H395" s="60">
        <f>AND(B395:G395)</f>
        <v/>
      </c>
      <c r="I395" s="60">
        <f>COUNTIFS($H$9:$H$1273,TRUE,$BT$9:$BT$1273,BT395)</f>
        <v/>
      </c>
      <c r="J395" s="60">
        <f t="array" ref="J395">NOT(OR(($H$9:$H$1273=TRUE)*($I$9:$I$1273&gt;0)*($BT$9:$BT$1273=BT395)*($K$9:$K$1273&gt;K395)))</f>
        <v/>
      </c>
      <c r="K395" s="108">
        <f>IFERROR(1-AVERAGE(X395:Y395),"")</f>
        <v/>
      </c>
      <c r="L395" s="108">
        <f>1-X395</f>
        <v/>
      </c>
      <c r="M395" s="108">
        <f>1-Y395</f>
        <v/>
      </c>
      <c r="N395" s="108">
        <f>1-Z395</f>
        <v/>
      </c>
      <c r="O395" s="108">
        <f>1-AA395</f>
        <v/>
      </c>
      <c r="P395" s="108">
        <f>1-AB395</f>
        <v/>
      </c>
      <c r="Q395" s="108" t="n"/>
      <c r="R395" s="108" t="n"/>
      <c r="S395" s="108">
        <f>1-AE395</f>
        <v/>
      </c>
      <c r="T395" s="108">
        <f>1-AF395</f>
        <v/>
      </c>
      <c r="U395" s="108">
        <f>1-AG395</f>
        <v/>
      </c>
      <c r="V395" s="108">
        <f>1-AH395</f>
        <v/>
      </c>
      <c r="W395" s="108">
        <f>1-AI395</f>
        <v/>
      </c>
      <c r="X395" s="108">
        <f>ABS(AJ395-AJ$1)</f>
        <v/>
      </c>
      <c r="Y395" s="108">
        <f>AVERAGE(Z395:AB395)</f>
        <v/>
      </c>
      <c r="Z395" s="108">
        <f>ABS(AL395-AL$1)</f>
        <v/>
      </c>
      <c r="AA395" s="108">
        <f>ABS(AM395-AM$1)</f>
        <v/>
      </c>
      <c r="AB395" s="108">
        <f>ABS(AN395-AN$1)</f>
        <v/>
      </c>
      <c r="AC395" s="108" t="n"/>
      <c r="AD395" s="108" t="n"/>
      <c r="AE395" s="108">
        <f>ABS(AQ$1-AQ395)</f>
        <v/>
      </c>
      <c r="AF395" s="108">
        <f>ABS(AR$1-AR395)</f>
        <v/>
      </c>
      <c r="AG395" s="108">
        <f>ABS(AS$1-AS395)</f>
        <v/>
      </c>
      <c r="AH395" s="108">
        <f>ABS(AT$1-AT395)</f>
        <v/>
      </c>
      <c r="AI395" s="108">
        <f>ABS(AU$1-AU395)</f>
        <v/>
      </c>
      <c r="AJ395" s="108">
        <f>(AV395-Driver!$K$179)/(Driver!$L$179-Driver!$K$179)</f>
        <v/>
      </c>
      <c r="AK395" s="108">
        <f>(AW395-Driver!$K$180)/(Driver!$L$180-Driver!$K$180)</f>
        <v/>
      </c>
      <c r="AL395" s="108">
        <f>(AX395-Driver!$K$181)/(Driver!$L$181-Driver!$K$181)</f>
        <v/>
      </c>
      <c r="AM395" s="108">
        <f>(AY395-Driver!$K$182)/(Driver!$L$182-Driver!$K$182)</f>
        <v/>
      </c>
      <c r="AN395" s="108">
        <f>(AZ395-Driver!$K$183)/(Driver!$L$183-Driver!$K$183)</f>
        <v/>
      </c>
      <c r="AO395" s="108" t="n"/>
      <c r="AP395" s="108" t="n"/>
      <c r="AQ395" s="108">
        <f>(BC395-Driver!$K$188)/(Driver!$L$188-Driver!$K$188)</f>
        <v/>
      </c>
      <c r="AR395" s="108">
        <f>MIN((BD395-Driver!$K$189)/(Driver!$L$189-Driver!$K$189),100%)</f>
        <v/>
      </c>
      <c r="AS395" s="108">
        <f>(BE395-Driver!$K$190)/(Driver!$L$190-Driver!$K$190)</f>
        <v/>
      </c>
      <c r="AT395" s="108">
        <f>(BF395-Driver!$K$191)/(Driver!$L$191-Driver!$K$191)</f>
        <v/>
      </c>
      <c r="AU395" s="108">
        <f>(BG395-Driver!$K$192)/(Driver!$L$192-Driver!$K$192)</f>
        <v/>
      </c>
      <c r="AV395" s="105">
        <f>IFERROR(BM395*BJ395^1/4,"")</f>
        <v/>
      </c>
      <c r="AW395" s="105">
        <f>IFERROR(SUM(AX395:AZ395),"")</f>
        <v/>
      </c>
      <c r="AX395" s="105">
        <f>IFERROR(BH395,"")</f>
        <v/>
      </c>
      <c r="AY395" s="105">
        <f>IFERROR(Driver!$K$19/Data!BH395/Data!BI395*Data!BK395*Data!BL395,"")</f>
        <v/>
      </c>
      <c r="AZ395" s="105">
        <f>IFERROR(BI395*BN395,"")</f>
        <v/>
      </c>
      <c r="BA395" s="105" t="n"/>
      <c r="BB395" s="105" t="n"/>
      <c r="BC395" s="105">
        <f>IFERROR(BI395*BN395*BK395/BJ395^(1/2),"")</f>
        <v/>
      </c>
      <c r="BD395" s="105">
        <f>IFERROR(BH395*BM395*BL395/BJ395/BK395,"")</f>
        <v/>
      </c>
      <c r="BE395" s="105">
        <f>IFERROR(MIN(BI395/BQ395/BP395/BO395/BH395,$BE$1),"")</f>
        <v/>
      </c>
      <c r="BF395" s="105">
        <f>IFERROR(BJ395*BO395*BP395/BK395,"")</f>
        <v/>
      </c>
      <c r="BG395" s="105">
        <f>IFERROR(1/BM395/BH395*BQ395,"")</f>
        <v/>
      </c>
      <c r="BH395" s="102">
        <f>MAX((CE395-Driver!$F$200)/(Driver!$G$200-Driver!$F$200)*$BI$1,1)</f>
        <v/>
      </c>
      <c r="BI395" s="102">
        <f>MAX($BI$1*(BY395-Driver!$F$201)/(Driver!$G$201-Driver!$F$201),1)</f>
        <v/>
      </c>
      <c r="BJ395" s="102">
        <f>(CB395-Driver!$F$206)/(Driver!$G$206-Driver!$F$206)*$BI$1</f>
        <v/>
      </c>
      <c r="BK395" s="102">
        <f>(CD395-Driver!$F$203)/(Driver!$G$203-Driver!$F$203)*$BI$1</f>
        <v/>
      </c>
      <c r="BL395" s="102">
        <f>MAX((CR395-Driver!$F$202)/(Driver!$G$202-Driver!$F$202)*$BI$1,1)</f>
        <v/>
      </c>
      <c r="BM395" s="102">
        <f>MAX((CH395-Driver!$F$204)/(Driver!$G$204-Driver!$F$204)*$BI$1,1)</f>
        <v/>
      </c>
      <c r="BN395" s="102">
        <f>(CI395-Driver!$F$205)/(Driver!$G$205-Driver!$F$205)*$BI$1</f>
        <v/>
      </c>
      <c r="BO395" s="102">
        <f>(CK395-Driver!$F$207)/(Driver!$G$207-Driver!$F$207)*$BI$1</f>
        <v/>
      </c>
      <c r="BP395" s="102">
        <f>(CM395-Driver!$F$208)/(Driver!$G$208-Driver!$F$208)*$BI$1</f>
        <v/>
      </c>
      <c r="BQ395" s="102">
        <f>(CL395-Driver!$F$209)/(Driver!$G$209-Driver!$F$209)*$BI$1</f>
        <v/>
      </c>
      <c r="BR395" s="40" t="inlineStr">
        <is>
          <t>21/22</t>
        </is>
      </c>
      <c r="BS395" s="10" t="inlineStr">
        <is>
          <t xml:space="preserve"> J Skis</t>
        </is>
      </c>
      <c r="BT395" s="11" t="inlineStr">
        <is>
          <t xml:space="preserve"> The Slacker</t>
        </is>
      </c>
      <c r="BU395" s="13" t="n">
        <v>182</v>
      </c>
      <c r="BV395" s="11" t="inlineStr">
        <is>
          <t xml:space="preserve"> Unisex</t>
        </is>
      </c>
      <c r="BW395" s="13" t="n">
        <v>182</v>
      </c>
      <c r="BX395" s="13" t="n">
        <v>179.9</v>
      </c>
      <c r="BY395" s="13" t="n">
        <v>113</v>
      </c>
      <c r="BZ395" s="13" t="n">
        <v>147</v>
      </c>
      <c r="CA395" s="13" t="n">
        <v>136</v>
      </c>
      <c r="CB395" s="13" t="n">
        <v>109</v>
      </c>
      <c r="CC395" s="13" t="n">
        <v>128</v>
      </c>
      <c r="CD395" s="13" t="n">
        <v>20.4</v>
      </c>
      <c r="CE395" s="13" t="n">
        <v>1946</v>
      </c>
      <c r="CF395" s="13" t="n">
        <v>1.1</v>
      </c>
      <c r="CG395" s="13" t="n">
        <v>2132</v>
      </c>
      <c r="CH395" s="13" t="n">
        <v>212</v>
      </c>
      <c r="CI395" s="13" t="n">
        <v>99</v>
      </c>
      <c r="CJ395" s="13" t="n">
        <v>60</v>
      </c>
      <c r="CK395" s="13" t="n">
        <v>447</v>
      </c>
      <c r="CL395" s="13" t="n">
        <v>30</v>
      </c>
      <c r="CM395" s="13" t="n">
        <v>218</v>
      </c>
      <c r="CN395" s="13" t="n">
        <v>0.501</v>
      </c>
      <c r="CO395" s="13" t="n">
        <v>175</v>
      </c>
      <c r="CP395" s="13" t="n">
        <v>151</v>
      </c>
      <c r="CQ395" s="13" t="n">
        <v>271</v>
      </c>
      <c r="CR395" s="13" t="n">
        <v>5</v>
      </c>
      <c r="CS395" s="13" t="n">
        <v>8</v>
      </c>
      <c r="CT395" s="11" t="inlineStr">
        <is>
          <t xml:space="preserve"> Powder</t>
        </is>
      </c>
      <c r="CU395" s="11" t="inlineStr">
        <is>
          <t xml:space="preserve"> Touring</t>
        </is>
      </c>
      <c r="CV395" s="13" t="n"/>
      <c r="CW395" s="13" t="n"/>
      <c r="CX395">
        <f>INDEX('Data_Price '!AG$2:AG$1266,MATCH(Data!$DN395,'Data_Price '!$AT$2:$AT$1266,0))</f>
        <v/>
      </c>
      <c r="CY395">
        <f>INDEX('Data_Price '!AH$2:AH$1266,MATCH(Data!$DN395,'Data_Price '!$AT$2:$AT$1266,0))</f>
        <v/>
      </c>
      <c r="CZ395">
        <f>INDEX('Data_Price '!AI$2:AI$1266,MATCH(Data!$DN395,'Data_Price '!$AT$2:$AT$1266,0))</f>
        <v/>
      </c>
      <c r="DA395">
        <f>INDEX('Data_Price '!AJ$2:AJ$1266,MATCH(Data!$DN395,'Data_Price '!$AT$2:$AT$1266,0))</f>
        <v/>
      </c>
      <c r="DB395">
        <f>INDEX('Data_Price '!AK$2:AK$1266,MATCH(Data!$DN395,'Data_Price '!$AT$2:$AT$1266,0))</f>
        <v/>
      </c>
      <c r="DC395">
        <f>INDEX('Data_Price '!AL$2:AL$1266,MATCH(Data!$DN395,'Data_Price '!$AT$2:$AT$1266,0))</f>
        <v/>
      </c>
      <c r="DD395">
        <f>INDEX('Data_Price '!AM$2:AM$1266,MATCH(Data!$DN395,'Data_Price '!$AT$2:$AT$1266,0))</f>
        <v/>
      </c>
      <c r="DE395">
        <f>INDEX('Data_Price '!AN$2:AN$1266,MATCH(Data!$DN395,'Data_Price '!$AT$2:$AT$1266,0))</f>
        <v/>
      </c>
      <c r="DF395">
        <f>INDEX('Data_Price '!AO$2:AO$1266,MATCH(Data!$DN395,'Data_Price '!$AT$2:$AT$1266,0))</f>
        <v/>
      </c>
      <c r="DG395">
        <f>INDEX('Data_Price '!AP$2:AP$1266,MATCH(Data!$DN395,'Data_Price '!$AT$2:$AT$1266,0))</f>
        <v/>
      </c>
      <c r="DH395">
        <f>INDEX('Data_Price '!AQ$2:AQ$1266,MATCH(Data!$DN395,'Data_Price '!$AT$2:$AT$1266,0))</f>
        <v/>
      </c>
      <c r="DI395">
        <f>INDEX('Data_Price '!AR$2:AR$1266,MATCH(Data!$DN395,'Data_Price '!$AT$2:$AT$1266,0))</f>
        <v/>
      </c>
      <c r="DJ395" s="138">
        <f>DA395</f>
        <v/>
      </c>
      <c r="DK395" s="138">
        <f>DE395</f>
        <v/>
      </c>
      <c r="DL395" s="138">
        <f>DI395</f>
        <v/>
      </c>
      <c r="DM395" s="303">
        <f>IF(LEFT(BT395,1)=" ",RIGHT(BT395,LEN(BT395)-1),BT395)</f>
        <v/>
      </c>
      <c r="DN395" s="138">
        <f>_xlfn.CONCAT(BS395,DM395,BU395,BV395)</f>
        <v/>
      </c>
      <c r="DO395" s="307" t="n"/>
    </row>
    <row r="396" ht="15.6" customHeight="1" s="184">
      <c r="B396" s="303">
        <f t="array" ref="B396">IF(OR(ISERROR(K396:P396)),FALSE,TRUE)</f>
        <v/>
      </c>
      <c r="C396" s="60">
        <f>OR(BR396=Driver!$G$50,Data!BR1151=Driver!$H$50)</f>
        <v/>
      </c>
      <c r="D396" s="60">
        <f>OR(BV396=Driver!$G$51,BV396=Driver!$H$51)</f>
        <v/>
      </c>
      <c r="E396" s="60">
        <f>AND(BX396&gt;Driver!$F$54,BX396&lt;Driver!$G$54)</f>
        <v/>
      </c>
      <c r="F396" s="60">
        <f>CL396&gt;Driver!$F$56</f>
        <v/>
      </c>
      <c r="G396" s="60">
        <f>AND(CB396&gt;Driver!$F$55,CB396&lt;Driver!$G$55)</f>
        <v/>
      </c>
      <c r="H396" s="60">
        <f>AND(B396:G396)</f>
        <v/>
      </c>
      <c r="I396" s="60">
        <f>COUNTIFS($H$9:$H$1273,TRUE,$BT$9:$BT$1273,BT396)</f>
        <v/>
      </c>
      <c r="J396" s="60">
        <f t="array" ref="J396">NOT(OR(($H$9:$H$1273=TRUE)*($I$9:$I$1273&gt;0)*($BT$9:$BT$1273=BT396)*($K$9:$K$1273&gt;K396)))</f>
        <v/>
      </c>
      <c r="K396" s="108">
        <f>IFERROR(1-AVERAGE(X396:Y396),"")</f>
        <v/>
      </c>
      <c r="L396" s="108">
        <f>1-X396</f>
        <v/>
      </c>
      <c r="M396" s="108">
        <f>1-Y396</f>
        <v/>
      </c>
      <c r="N396" s="108">
        <f>1-Z396</f>
        <v/>
      </c>
      <c r="O396" s="108">
        <f>1-AA396</f>
        <v/>
      </c>
      <c r="P396" s="108">
        <f>1-AB396</f>
        <v/>
      </c>
      <c r="Q396" s="108" t="n"/>
      <c r="R396" s="108" t="n"/>
      <c r="S396" s="108">
        <f>1-AE396</f>
        <v/>
      </c>
      <c r="T396" s="108">
        <f>1-AF396</f>
        <v/>
      </c>
      <c r="U396" s="108">
        <f>1-AG396</f>
        <v/>
      </c>
      <c r="V396" s="108">
        <f>1-AH396</f>
        <v/>
      </c>
      <c r="W396" s="108">
        <f>1-AI396</f>
        <v/>
      </c>
      <c r="X396" s="108">
        <f>ABS(AJ396-AJ$1)</f>
        <v/>
      </c>
      <c r="Y396" s="108">
        <f>AVERAGE(Z396:AB396)</f>
        <v/>
      </c>
      <c r="Z396" s="108">
        <f>ABS(AL396-AL$1)</f>
        <v/>
      </c>
      <c r="AA396" s="108">
        <f>ABS(AM396-AM$1)</f>
        <v/>
      </c>
      <c r="AB396" s="108">
        <f>ABS(AN396-AN$1)</f>
        <v/>
      </c>
      <c r="AC396" s="108" t="n"/>
      <c r="AD396" s="108" t="n"/>
      <c r="AE396" s="108">
        <f>ABS(AQ$1-AQ396)</f>
        <v/>
      </c>
      <c r="AF396" s="108">
        <f>ABS(AR$1-AR396)</f>
        <v/>
      </c>
      <c r="AG396" s="108">
        <f>ABS(AS$1-AS396)</f>
        <v/>
      </c>
      <c r="AH396" s="108">
        <f>ABS(AT$1-AT396)</f>
        <v/>
      </c>
      <c r="AI396" s="108">
        <f>ABS(AU$1-AU396)</f>
        <v/>
      </c>
      <c r="AJ396" s="108">
        <f>(AV396-Driver!$K$179)/(Driver!$L$179-Driver!$K$179)</f>
        <v/>
      </c>
      <c r="AK396" s="108">
        <f>(AW396-Driver!$K$180)/(Driver!$L$180-Driver!$K$180)</f>
        <v/>
      </c>
      <c r="AL396" s="108">
        <f>(AX396-Driver!$K$181)/(Driver!$L$181-Driver!$K$181)</f>
        <v/>
      </c>
      <c r="AM396" s="108">
        <f>(AY396-Driver!$K$182)/(Driver!$L$182-Driver!$K$182)</f>
        <v/>
      </c>
      <c r="AN396" s="108">
        <f>(AZ396-Driver!$K$183)/(Driver!$L$183-Driver!$K$183)</f>
        <v/>
      </c>
      <c r="AO396" s="108" t="n"/>
      <c r="AP396" s="108" t="n"/>
      <c r="AQ396" s="108">
        <f>(BC396-Driver!$K$188)/(Driver!$L$188-Driver!$K$188)</f>
        <v/>
      </c>
      <c r="AR396" s="108">
        <f>MIN((BD396-Driver!$K$189)/(Driver!$L$189-Driver!$K$189),100%)</f>
        <v/>
      </c>
      <c r="AS396" s="108">
        <f>(BE396-Driver!$K$190)/(Driver!$L$190-Driver!$K$190)</f>
        <v/>
      </c>
      <c r="AT396" s="108">
        <f>(BF396-Driver!$K$191)/(Driver!$L$191-Driver!$K$191)</f>
        <v/>
      </c>
      <c r="AU396" s="108">
        <f>(BG396-Driver!$K$192)/(Driver!$L$192-Driver!$K$192)</f>
        <v/>
      </c>
      <c r="AV396" s="105">
        <f>IFERROR(BM396*BJ396^1/4,"")</f>
        <v/>
      </c>
      <c r="AW396" s="105">
        <f>IFERROR(SUM(AX396:AZ396),"")</f>
        <v/>
      </c>
      <c r="AX396" s="105">
        <f>IFERROR(BH396,"")</f>
        <v/>
      </c>
      <c r="AY396" s="105">
        <f>IFERROR(Driver!$K$19/Data!BH396/Data!BI396*Data!BK396*Data!BL396,"")</f>
        <v/>
      </c>
      <c r="AZ396" s="105">
        <f>IFERROR(BI396*BN396,"")</f>
        <v/>
      </c>
      <c r="BA396" s="105" t="n"/>
      <c r="BB396" s="105" t="n"/>
      <c r="BC396" s="105">
        <f>IFERROR(BI396*BN396*BK396/BJ396^(1/2),"")</f>
        <v/>
      </c>
      <c r="BD396" s="105">
        <f>IFERROR(BH396*BM396*BL396/BJ396/BK396,"")</f>
        <v/>
      </c>
      <c r="BE396" s="105">
        <f>IFERROR(MIN(BI396/BQ396/BP396/BO396/BH396,$BE$1),"")</f>
        <v/>
      </c>
      <c r="BF396" s="105">
        <f>IFERROR(BJ396*BO396*BP396/BK396,"")</f>
        <v/>
      </c>
      <c r="BG396" s="105">
        <f>IFERROR(1/BM396/BH396*BQ396,"")</f>
        <v/>
      </c>
      <c r="BH396" s="102">
        <f>MAX((CE396-Driver!$F$200)/(Driver!$G$200-Driver!$F$200)*$BI$1,1)</f>
        <v/>
      </c>
      <c r="BI396" s="102">
        <f>MAX($BI$1*(BY396-Driver!$F$201)/(Driver!$G$201-Driver!$F$201),1)</f>
        <v/>
      </c>
      <c r="BJ396" s="102">
        <f>(CB396-Driver!$F$206)/(Driver!$G$206-Driver!$F$206)*$BI$1</f>
        <v/>
      </c>
      <c r="BK396" s="102">
        <f>(CD396-Driver!$F$203)/(Driver!$G$203-Driver!$F$203)*$BI$1</f>
        <v/>
      </c>
      <c r="BL396" s="102">
        <f>MAX((CR396-Driver!$F$202)/(Driver!$G$202-Driver!$F$202)*$BI$1,1)</f>
        <v/>
      </c>
      <c r="BM396" s="102">
        <f>MAX((CH396-Driver!$F$204)/(Driver!$G$204-Driver!$F$204)*$BI$1,1)</f>
        <v/>
      </c>
      <c r="BN396" s="102">
        <f>(CI396-Driver!$F$205)/(Driver!$G$205-Driver!$F$205)*$BI$1</f>
        <v/>
      </c>
      <c r="BO396" s="102">
        <f>(CK396-Driver!$F$207)/(Driver!$G$207-Driver!$F$207)*$BI$1</f>
        <v/>
      </c>
      <c r="BP396" s="102">
        <f>(CM396-Driver!$F$208)/(Driver!$G$208-Driver!$F$208)*$BI$1</f>
        <v/>
      </c>
      <c r="BQ396" s="102">
        <f>(CL396-Driver!$F$209)/(Driver!$G$209-Driver!$F$209)*$BI$1</f>
        <v/>
      </c>
      <c r="BR396" s="40" t="inlineStr">
        <is>
          <t>21/22</t>
        </is>
      </c>
      <c r="BS396" s="10" t="inlineStr">
        <is>
          <t xml:space="preserve"> Völkl</t>
        </is>
      </c>
      <c r="BT396" s="11" t="inlineStr">
        <is>
          <t>Bash 86</t>
        </is>
      </c>
      <c r="BU396" s="13" t="n">
        <v>180</v>
      </c>
      <c r="BV396" s="11" t="inlineStr">
        <is>
          <t xml:space="preserve"> Unisex</t>
        </is>
      </c>
      <c r="BW396" s="13" t="n">
        <v>180</v>
      </c>
      <c r="BX396" s="13" t="n">
        <v>180.3</v>
      </c>
      <c r="BY396" s="13" t="n">
        <v>122</v>
      </c>
      <c r="BZ396" s="13" t="n">
        <v>166</v>
      </c>
      <c r="CA396" s="13" t="n">
        <v>119</v>
      </c>
      <c r="CB396" s="13" t="n">
        <v>85</v>
      </c>
      <c r="CC396" s="13" t="n">
        <v>109</v>
      </c>
      <c r="CD396" s="13" t="n">
        <v>23.5</v>
      </c>
      <c r="CE396" s="13" t="n">
        <v>1832</v>
      </c>
      <c r="CF396" s="13" t="n">
        <v>0.9399999999999999</v>
      </c>
      <c r="CG396" s="13" t="n">
        <v>1724</v>
      </c>
      <c r="CH396" s="13" t="n">
        <v>205</v>
      </c>
      <c r="CI396" s="13" t="n">
        <v>99</v>
      </c>
      <c r="CJ396" s="13" t="n">
        <v>43</v>
      </c>
      <c r="CK396" s="13" t="n">
        <v>285</v>
      </c>
      <c r="CL396" s="13" t="n">
        <v>39</v>
      </c>
      <c r="CM396" s="13" t="n">
        <v>295</v>
      </c>
      <c r="CN396" s="13" t="n">
        <v>0.902</v>
      </c>
      <c r="CO396" s="13" t="n">
        <v>79</v>
      </c>
      <c r="CP396" s="13" t="n">
        <v>68</v>
      </c>
      <c r="CQ396" s="13" t="n">
        <v>206</v>
      </c>
      <c r="CR396" s="13" t="n">
        <v>4</v>
      </c>
      <c r="CS396" s="13" t="n">
        <v>1.6</v>
      </c>
      <c r="CT396" s="11" t="inlineStr">
        <is>
          <t xml:space="preserve"> Freeski</t>
        </is>
      </c>
      <c r="CU396" s="13" t="n"/>
      <c r="CV396" s="13" t="n"/>
      <c r="CW396" s="13" t="n"/>
      <c r="CX396">
        <f>INDEX('Data_Price '!AG$2:AG$1266,MATCH(Data!$DN396,'Data_Price '!$AT$2:$AT$1266,0))</f>
        <v/>
      </c>
      <c r="CY396">
        <f>INDEX('Data_Price '!AH$2:AH$1266,MATCH(Data!$DN396,'Data_Price '!$AT$2:$AT$1266,0))</f>
        <v/>
      </c>
      <c r="CZ396">
        <f>INDEX('Data_Price '!AI$2:AI$1266,MATCH(Data!$DN396,'Data_Price '!$AT$2:$AT$1266,0))</f>
        <v/>
      </c>
      <c r="DA396">
        <f>INDEX('Data_Price '!AJ$2:AJ$1266,MATCH(Data!$DN396,'Data_Price '!$AT$2:$AT$1266,0))</f>
        <v/>
      </c>
      <c r="DB396">
        <f>INDEX('Data_Price '!AK$2:AK$1266,MATCH(Data!$DN396,'Data_Price '!$AT$2:$AT$1266,0))</f>
        <v/>
      </c>
      <c r="DC396">
        <f>INDEX('Data_Price '!AL$2:AL$1266,MATCH(Data!$DN396,'Data_Price '!$AT$2:$AT$1266,0))</f>
        <v/>
      </c>
      <c r="DD396">
        <f>INDEX('Data_Price '!AM$2:AM$1266,MATCH(Data!$DN396,'Data_Price '!$AT$2:$AT$1266,0))</f>
        <v/>
      </c>
      <c r="DE396">
        <f>INDEX('Data_Price '!AN$2:AN$1266,MATCH(Data!$DN396,'Data_Price '!$AT$2:$AT$1266,0))</f>
        <v/>
      </c>
      <c r="DF396">
        <f>INDEX('Data_Price '!AO$2:AO$1266,MATCH(Data!$DN396,'Data_Price '!$AT$2:$AT$1266,0))</f>
        <v/>
      </c>
      <c r="DG396">
        <f>INDEX('Data_Price '!AP$2:AP$1266,MATCH(Data!$DN396,'Data_Price '!$AT$2:$AT$1266,0))</f>
        <v/>
      </c>
      <c r="DH396">
        <f>INDEX('Data_Price '!AQ$2:AQ$1266,MATCH(Data!$DN396,'Data_Price '!$AT$2:$AT$1266,0))</f>
        <v/>
      </c>
      <c r="DI396">
        <f>INDEX('Data_Price '!AR$2:AR$1266,MATCH(Data!$DN396,'Data_Price '!$AT$2:$AT$1266,0))</f>
        <v/>
      </c>
      <c r="DJ396" s="138">
        <f>DA396</f>
        <v/>
      </c>
      <c r="DK396" s="138">
        <f>DE396</f>
        <v/>
      </c>
      <c r="DL396" s="138">
        <f>DI396</f>
        <v/>
      </c>
      <c r="DM396" s="303">
        <f>IF(LEFT(BT396,1)=" ",RIGHT(BT396,LEN(BT396)-1),BT396)</f>
        <v/>
      </c>
      <c r="DN396" s="138">
        <f>_xlfn.CONCAT(BS396,DM396,BU396,BV396)</f>
        <v/>
      </c>
      <c r="DO396" s="307" t="inlineStr">
        <is>
          <t>https://images.evo.com/imgp/250/183430/726763/clone.jpg</t>
        </is>
      </c>
    </row>
    <row r="397" ht="15.6" customHeight="1" s="184">
      <c r="B397" s="303">
        <f t="array" ref="B397">IF(OR(ISERROR(K397:P397)),FALSE,TRUE)</f>
        <v/>
      </c>
      <c r="C397" s="60">
        <f>OR(BR397=Driver!$G$50,Data!BR401=Driver!$H$50)</f>
        <v/>
      </c>
      <c r="D397" s="60">
        <f>OR(BV397=Driver!$G$51,BV397=Driver!$H$51)</f>
        <v/>
      </c>
      <c r="E397" s="60">
        <f>AND(BX397&gt;Driver!$F$54,BX397&lt;Driver!$G$54)</f>
        <v/>
      </c>
      <c r="F397" s="60">
        <f>CL397&gt;Driver!$F$56</f>
        <v/>
      </c>
      <c r="G397" s="60">
        <f>AND(CB397&gt;Driver!$F$55,CB397&lt;Driver!$G$55)</f>
        <v/>
      </c>
      <c r="H397" s="60">
        <f>AND(B397:G397)</f>
        <v/>
      </c>
      <c r="I397" s="60">
        <f>COUNTIFS($H$9:$H$1273,TRUE,$BT$9:$BT$1273,BT397)</f>
        <v/>
      </c>
      <c r="J397" s="60">
        <f t="array" ref="J397">NOT(OR(($H$9:$H$1273=TRUE)*($I$9:$I$1273&gt;0)*($BT$9:$BT$1273=BT397)*($K$9:$K$1273&gt;K397)))</f>
        <v/>
      </c>
      <c r="K397" s="108">
        <f>IFERROR(1-AVERAGE(X397:Y397),"")</f>
        <v/>
      </c>
      <c r="L397" s="108">
        <f>1-X397</f>
        <v/>
      </c>
      <c r="M397" s="108">
        <f>1-Y397</f>
        <v/>
      </c>
      <c r="N397" s="108">
        <f>1-Z397</f>
        <v/>
      </c>
      <c r="O397" s="108">
        <f>1-AA397</f>
        <v/>
      </c>
      <c r="P397" s="108">
        <f>1-AB397</f>
        <v/>
      </c>
      <c r="Q397" s="108" t="n"/>
      <c r="R397" s="108" t="n"/>
      <c r="S397" s="108">
        <f>1-AE397</f>
        <v/>
      </c>
      <c r="T397" s="108">
        <f>1-AF397</f>
        <v/>
      </c>
      <c r="U397" s="108">
        <f>1-AG397</f>
        <v/>
      </c>
      <c r="V397" s="108">
        <f>1-AH397</f>
        <v/>
      </c>
      <c r="W397" s="108">
        <f>1-AI397</f>
        <v/>
      </c>
      <c r="X397" s="108">
        <f>ABS(AJ397-AJ$1)</f>
        <v/>
      </c>
      <c r="Y397" s="108">
        <f>AVERAGE(Z397:AB397)</f>
        <v/>
      </c>
      <c r="Z397" s="108">
        <f>ABS(AL397-AL$1)</f>
        <v/>
      </c>
      <c r="AA397" s="108">
        <f>ABS(AM397-AM$1)</f>
        <v/>
      </c>
      <c r="AB397" s="108">
        <f>ABS(AN397-AN$1)</f>
        <v/>
      </c>
      <c r="AC397" s="108" t="n"/>
      <c r="AD397" s="108" t="n"/>
      <c r="AE397" s="108">
        <f>ABS(AQ$1-AQ397)</f>
        <v/>
      </c>
      <c r="AF397" s="108">
        <f>ABS(AR$1-AR397)</f>
        <v/>
      </c>
      <c r="AG397" s="108">
        <f>ABS(AS$1-AS397)</f>
        <v/>
      </c>
      <c r="AH397" s="108">
        <f>ABS(AT$1-AT397)</f>
        <v/>
      </c>
      <c r="AI397" s="108">
        <f>ABS(AU$1-AU397)</f>
        <v/>
      </c>
      <c r="AJ397" s="108">
        <f>(AV397-Driver!$K$179)/(Driver!$L$179-Driver!$K$179)</f>
        <v/>
      </c>
      <c r="AK397" s="108">
        <f>(AW397-Driver!$K$180)/(Driver!$L$180-Driver!$K$180)</f>
        <v/>
      </c>
      <c r="AL397" s="108">
        <f>(AX397-Driver!$K$181)/(Driver!$L$181-Driver!$K$181)</f>
        <v/>
      </c>
      <c r="AM397" s="108">
        <f>(AY397-Driver!$K$182)/(Driver!$L$182-Driver!$K$182)</f>
        <v/>
      </c>
      <c r="AN397" s="108">
        <f>(AZ397-Driver!$K$183)/(Driver!$L$183-Driver!$K$183)</f>
        <v/>
      </c>
      <c r="AO397" s="108" t="n"/>
      <c r="AP397" s="108" t="n"/>
      <c r="AQ397" s="108">
        <f>(BC397-Driver!$K$188)/(Driver!$L$188-Driver!$K$188)</f>
        <v/>
      </c>
      <c r="AR397" s="108">
        <f>MIN((BD397-Driver!$K$189)/(Driver!$L$189-Driver!$K$189),100%)</f>
        <v/>
      </c>
      <c r="AS397" s="108">
        <f>(BE397-Driver!$K$190)/(Driver!$L$190-Driver!$K$190)</f>
        <v/>
      </c>
      <c r="AT397" s="108">
        <f>(BF397-Driver!$K$191)/(Driver!$L$191-Driver!$K$191)</f>
        <v/>
      </c>
      <c r="AU397" s="108">
        <f>(BG397-Driver!$K$192)/(Driver!$L$192-Driver!$K$192)</f>
        <v/>
      </c>
      <c r="AV397" s="105">
        <f>IFERROR(BM397*BJ397^1/4,"")</f>
        <v/>
      </c>
      <c r="AW397" s="105">
        <f>IFERROR(SUM(AX397:AZ397),"")</f>
        <v/>
      </c>
      <c r="AX397" s="105">
        <f>IFERROR(BH397,"")</f>
        <v/>
      </c>
      <c r="AY397" s="105">
        <f>IFERROR(Driver!$K$19/Data!BH397/Data!BI397*Data!BK397*Data!BL397,"")</f>
        <v/>
      </c>
      <c r="AZ397" s="105">
        <f>IFERROR(BI397*BN397,"")</f>
        <v/>
      </c>
      <c r="BA397" s="105" t="n"/>
      <c r="BB397" s="105" t="n"/>
      <c r="BC397" s="105">
        <f>IFERROR(BI397*BN397*BK397/BJ397^(1/2),"")</f>
        <v/>
      </c>
      <c r="BD397" s="105">
        <f>IFERROR(BH397*BM397*BL397/BJ397/BK397,"")</f>
        <v/>
      </c>
      <c r="BE397" s="105">
        <f>IFERROR(MIN(BI397/BQ397/BP397/BO397/BH397,$BE$1),"")</f>
        <v/>
      </c>
      <c r="BF397" s="105">
        <f>IFERROR(BJ397*BO397*BP397/BK397,"")</f>
        <v/>
      </c>
      <c r="BG397" s="105">
        <f>IFERROR(1/BM397/BH397*BQ397,"")</f>
        <v/>
      </c>
      <c r="BH397" s="102">
        <f>MAX((CE397-Driver!$F$200)/(Driver!$G$200-Driver!$F$200)*$BI$1,1)</f>
        <v/>
      </c>
      <c r="BI397" s="102">
        <f>MAX($BI$1*(BY397-Driver!$F$201)/(Driver!$G$201-Driver!$F$201),1)</f>
        <v/>
      </c>
      <c r="BJ397" s="102">
        <f>(CB397-Driver!$F$206)/(Driver!$G$206-Driver!$F$206)*$BI$1</f>
        <v/>
      </c>
      <c r="BK397" s="102">
        <f>(CD397-Driver!$F$203)/(Driver!$G$203-Driver!$F$203)*$BI$1</f>
        <v/>
      </c>
      <c r="BL397" s="102">
        <f>MAX((CR397-Driver!$F$202)/(Driver!$G$202-Driver!$F$202)*$BI$1,1)</f>
        <v/>
      </c>
      <c r="BM397" s="102">
        <f>MAX((CH397-Driver!$F$204)/(Driver!$G$204-Driver!$F$204)*$BI$1,1)</f>
        <v/>
      </c>
      <c r="BN397" s="102">
        <f>(CI397-Driver!$F$205)/(Driver!$G$205-Driver!$F$205)*$BI$1</f>
        <v/>
      </c>
      <c r="BO397" s="102">
        <f>(CK397-Driver!$F$207)/(Driver!$G$207-Driver!$F$207)*$BI$1</f>
        <v/>
      </c>
      <c r="BP397" s="102">
        <f>(CM397-Driver!$F$208)/(Driver!$G$208-Driver!$F$208)*$BI$1</f>
        <v/>
      </c>
      <c r="BQ397" s="102">
        <f>(CL397-Driver!$F$209)/(Driver!$G$209-Driver!$F$209)*$BI$1</f>
        <v/>
      </c>
      <c r="BR397" s="40" t="inlineStr">
        <is>
          <t>21/22</t>
        </is>
      </c>
      <c r="BS397" s="10" t="inlineStr">
        <is>
          <t xml:space="preserve"> Dynastar</t>
        </is>
      </c>
      <c r="BT397" s="11" t="inlineStr">
        <is>
          <t>M-Pro 90</t>
        </is>
      </c>
      <c r="BU397" s="13" t="n">
        <v>186</v>
      </c>
      <c r="BV397" s="11" t="inlineStr">
        <is>
          <t xml:space="preserve"> Unisex</t>
        </is>
      </c>
      <c r="BW397" s="13" t="n">
        <v>186</v>
      </c>
      <c r="BX397" s="13" t="n">
        <v>185.6</v>
      </c>
      <c r="BY397" s="13" t="n">
        <v>137</v>
      </c>
      <c r="BZ397" s="13" t="n">
        <v>154</v>
      </c>
      <c r="CA397" s="13" t="n">
        <v>119</v>
      </c>
      <c r="CB397" s="13" t="n">
        <v>88</v>
      </c>
      <c r="CC397" s="13" t="n">
        <v>108</v>
      </c>
      <c r="CD397" s="13" t="n">
        <v>20.5</v>
      </c>
      <c r="CE397" s="13" t="n">
        <v>1922</v>
      </c>
      <c r="CF397" s="13" t="n">
        <v>0.95</v>
      </c>
      <c r="CG397" s="13" t="n">
        <v>1834</v>
      </c>
      <c r="CH397" s="13" t="n">
        <v>286</v>
      </c>
      <c r="CI397" s="13" t="n">
        <v>116</v>
      </c>
      <c r="CJ397" s="13" t="n">
        <v>66</v>
      </c>
      <c r="CK397" s="13" t="n">
        <v>334</v>
      </c>
      <c r="CL397" s="13" t="n">
        <v>14</v>
      </c>
      <c r="CM397" s="13" t="n">
        <v>152</v>
      </c>
      <c r="CN397" s="13" t="n">
        <v>0.219</v>
      </c>
      <c r="CO397" s="13" t="n">
        <v>203</v>
      </c>
      <c r="CP397" s="13" t="n">
        <v>116</v>
      </c>
      <c r="CQ397" s="13" t="n">
        <v>131</v>
      </c>
      <c r="CR397" s="13" t="n">
        <v>7</v>
      </c>
      <c r="CS397" s="13" t="n">
        <v>11.7</v>
      </c>
      <c r="CT397" s="11" t="inlineStr">
        <is>
          <t xml:space="preserve"> Resort Freeride</t>
        </is>
      </c>
      <c r="CU397" s="13" t="n"/>
      <c r="CV397" s="13" t="n"/>
      <c r="CW397" s="13" t="n"/>
      <c r="CX397">
        <f>INDEX('Data_Price '!AG$2:AG$1266,MATCH(Data!$DN397,'Data_Price '!$AT$2:$AT$1266,0))</f>
        <v/>
      </c>
      <c r="CY397">
        <f>INDEX('Data_Price '!AH$2:AH$1266,MATCH(Data!$DN397,'Data_Price '!$AT$2:$AT$1266,0))</f>
        <v/>
      </c>
      <c r="CZ397">
        <f>INDEX('Data_Price '!AI$2:AI$1266,MATCH(Data!$DN397,'Data_Price '!$AT$2:$AT$1266,0))</f>
        <v/>
      </c>
      <c r="DA397">
        <f>INDEX('Data_Price '!AJ$2:AJ$1266,MATCH(Data!$DN397,'Data_Price '!$AT$2:$AT$1266,0))</f>
        <v/>
      </c>
      <c r="DB397">
        <f>INDEX('Data_Price '!AK$2:AK$1266,MATCH(Data!$DN397,'Data_Price '!$AT$2:$AT$1266,0))</f>
        <v/>
      </c>
      <c r="DC397">
        <f>INDEX('Data_Price '!AL$2:AL$1266,MATCH(Data!$DN397,'Data_Price '!$AT$2:$AT$1266,0))</f>
        <v/>
      </c>
      <c r="DD397">
        <f>INDEX('Data_Price '!AM$2:AM$1266,MATCH(Data!$DN397,'Data_Price '!$AT$2:$AT$1266,0))</f>
        <v/>
      </c>
      <c r="DE397">
        <f>INDEX('Data_Price '!AN$2:AN$1266,MATCH(Data!$DN397,'Data_Price '!$AT$2:$AT$1266,0))</f>
        <v/>
      </c>
      <c r="DF397">
        <f>INDEX('Data_Price '!AO$2:AO$1266,MATCH(Data!$DN397,'Data_Price '!$AT$2:$AT$1266,0))</f>
        <v/>
      </c>
      <c r="DG397">
        <f>INDEX('Data_Price '!AP$2:AP$1266,MATCH(Data!$DN397,'Data_Price '!$AT$2:$AT$1266,0))</f>
        <v/>
      </c>
      <c r="DH397">
        <f>INDEX('Data_Price '!AQ$2:AQ$1266,MATCH(Data!$DN397,'Data_Price '!$AT$2:$AT$1266,0))</f>
        <v/>
      </c>
      <c r="DI397">
        <f>INDEX('Data_Price '!AR$2:AR$1266,MATCH(Data!$DN397,'Data_Price '!$AT$2:$AT$1266,0))</f>
        <v/>
      </c>
      <c r="DJ397" s="138">
        <f>DA397</f>
        <v/>
      </c>
      <c r="DK397" s="138">
        <f>DE397</f>
        <v/>
      </c>
      <c r="DL397" s="138">
        <f>DI397</f>
        <v/>
      </c>
      <c r="DM397" s="303">
        <f>IF(LEFT(BT397,1)=" ",RIGHT(BT397,LEN(BT397)-1),BT397)</f>
        <v/>
      </c>
      <c r="DN397" s="138">
        <f>_xlfn.CONCAT(BS397,DM397,BU397,BV397)</f>
        <v/>
      </c>
      <c r="DO397" s="307" t="inlineStr">
        <is>
          <t>https://images.evo.com/imgp/250/180345/727761/dynastar-m-pro-90-skis-2022-.jpg</t>
        </is>
      </c>
    </row>
    <row r="398" ht="15.6" customHeight="1" s="184">
      <c r="B398" s="303">
        <f t="array" ref="B398">IF(OR(ISERROR(K398:P398)),FALSE,TRUE)</f>
        <v/>
      </c>
      <c r="C398" s="60">
        <f>OR(BR398=Driver!$G$50,Data!BR1239=Driver!$H$50)</f>
        <v/>
      </c>
      <c r="D398" s="60">
        <f>OR(BV398=Driver!$G$51,BV398=Driver!$H$51)</f>
        <v/>
      </c>
      <c r="E398" s="60">
        <f>AND(BX398&gt;Driver!$F$54,BX398&lt;Driver!$G$54)</f>
        <v/>
      </c>
      <c r="F398" s="60">
        <f>CL398&gt;Driver!$F$56</f>
        <v/>
      </c>
      <c r="G398" s="60">
        <f>AND(CB398&gt;Driver!$F$55,CB398&lt;Driver!$G$55)</f>
        <v/>
      </c>
      <c r="H398" s="60">
        <f>AND(B398:G398)</f>
        <v/>
      </c>
      <c r="I398" s="60">
        <f>COUNTIFS($H$9:$H$1273,TRUE,$BT$9:$BT$1273,BT398)</f>
        <v/>
      </c>
      <c r="J398" s="60">
        <f t="array" ref="J398">NOT(OR(($H$9:$H$1273=TRUE)*($I$9:$I$1273&gt;0)*($BT$9:$BT$1273=BT398)*($K$9:$K$1273&gt;K398)))</f>
        <v/>
      </c>
      <c r="K398" s="108">
        <f>IFERROR(1-AVERAGE(X398:Y398),"")</f>
        <v/>
      </c>
      <c r="L398" s="108">
        <f>1-X398</f>
        <v/>
      </c>
      <c r="M398" s="108">
        <f>1-Y398</f>
        <v/>
      </c>
      <c r="N398" s="108">
        <f>1-Z398</f>
        <v/>
      </c>
      <c r="O398" s="108">
        <f>1-AA398</f>
        <v/>
      </c>
      <c r="P398" s="108">
        <f>1-AB398</f>
        <v/>
      </c>
      <c r="Q398" s="108" t="n"/>
      <c r="R398" s="108" t="n"/>
      <c r="S398" s="108">
        <f>1-AE398</f>
        <v/>
      </c>
      <c r="T398" s="108">
        <f>1-AF398</f>
        <v/>
      </c>
      <c r="U398" s="108">
        <f>1-AG398</f>
        <v/>
      </c>
      <c r="V398" s="108">
        <f>1-AH398</f>
        <v/>
      </c>
      <c r="W398" s="108">
        <f>1-AI398</f>
        <v/>
      </c>
      <c r="X398" s="108">
        <f>ABS(AJ398-AJ$1)</f>
        <v/>
      </c>
      <c r="Y398" s="108">
        <f>AVERAGE(Z398:AB398)</f>
        <v/>
      </c>
      <c r="Z398" s="108">
        <f>ABS(AL398-AL$1)</f>
        <v/>
      </c>
      <c r="AA398" s="108">
        <f>ABS(AM398-AM$1)</f>
        <v/>
      </c>
      <c r="AB398" s="108">
        <f>ABS(AN398-AN$1)</f>
        <v/>
      </c>
      <c r="AC398" s="108" t="n"/>
      <c r="AD398" s="108" t="n"/>
      <c r="AE398" s="108">
        <f>ABS(AQ$1-AQ398)</f>
        <v/>
      </c>
      <c r="AF398" s="108">
        <f>ABS(AR$1-AR398)</f>
        <v/>
      </c>
      <c r="AG398" s="108">
        <f>ABS(AS$1-AS398)</f>
        <v/>
      </c>
      <c r="AH398" s="108">
        <f>ABS(AT$1-AT398)</f>
        <v/>
      </c>
      <c r="AI398" s="108">
        <f>ABS(AU$1-AU398)</f>
        <v/>
      </c>
      <c r="AJ398" s="108">
        <f>(AV398-Driver!$K$179)/(Driver!$L$179-Driver!$K$179)</f>
        <v/>
      </c>
      <c r="AK398" s="108">
        <f>(AW398-Driver!$K$180)/(Driver!$L$180-Driver!$K$180)</f>
        <v/>
      </c>
      <c r="AL398" s="108">
        <f>(AX398-Driver!$K$181)/(Driver!$L$181-Driver!$K$181)</f>
        <v/>
      </c>
      <c r="AM398" s="108">
        <f>(AY398-Driver!$K$182)/(Driver!$L$182-Driver!$K$182)</f>
        <v/>
      </c>
      <c r="AN398" s="108">
        <f>(AZ398-Driver!$K$183)/(Driver!$L$183-Driver!$K$183)</f>
        <v/>
      </c>
      <c r="AO398" s="108" t="n"/>
      <c r="AP398" s="108" t="n"/>
      <c r="AQ398" s="108">
        <f>(BC398-Driver!$K$188)/(Driver!$L$188-Driver!$K$188)</f>
        <v/>
      </c>
      <c r="AR398" s="108">
        <f>MIN((BD398-Driver!$K$189)/(Driver!$L$189-Driver!$K$189),100%)</f>
        <v/>
      </c>
      <c r="AS398" s="108">
        <f>(BE398-Driver!$K$190)/(Driver!$L$190-Driver!$K$190)</f>
        <v/>
      </c>
      <c r="AT398" s="108">
        <f>(BF398-Driver!$K$191)/(Driver!$L$191-Driver!$K$191)</f>
        <v/>
      </c>
      <c r="AU398" s="108">
        <f>(BG398-Driver!$K$192)/(Driver!$L$192-Driver!$K$192)</f>
        <v/>
      </c>
      <c r="AV398" s="105">
        <f>IFERROR(BM398*BJ398^1/4,"")</f>
        <v/>
      </c>
      <c r="AW398" s="105">
        <f>IFERROR(SUM(AX398:AZ398),"")</f>
        <v/>
      </c>
      <c r="AX398" s="105">
        <f>IFERROR(BH398,"")</f>
        <v/>
      </c>
      <c r="AY398" s="105">
        <f>IFERROR(Driver!$K$19/Data!BH398/Data!BI398*Data!BK398*Data!BL398,"")</f>
        <v/>
      </c>
      <c r="AZ398" s="105">
        <f>IFERROR(BI398*BN398,"")</f>
        <v/>
      </c>
      <c r="BA398" s="105" t="n"/>
      <c r="BB398" s="105" t="n"/>
      <c r="BC398" s="105">
        <f>IFERROR(BI398*BN398*BK398/BJ398^(1/2),"")</f>
        <v/>
      </c>
      <c r="BD398" s="105">
        <f>IFERROR(BH398*BM398*BL398/BJ398/BK398,"")</f>
        <v/>
      </c>
      <c r="BE398" s="105">
        <f>IFERROR(MIN(BI398/BQ398/BP398/BO398/BH398,$BE$1),"")</f>
        <v/>
      </c>
      <c r="BF398" s="105">
        <f>IFERROR(BJ398*BO398*BP398/BK398,"")</f>
        <v/>
      </c>
      <c r="BG398" s="105">
        <f>IFERROR(1/BM398/BH398*BQ398,"")</f>
        <v/>
      </c>
      <c r="BH398" s="102">
        <f>MAX((CE398-Driver!$F$200)/(Driver!$G$200-Driver!$F$200)*$BI$1,1)</f>
        <v/>
      </c>
      <c r="BI398" s="102">
        <f>MAX($BI$1*(BY398-Driver!$F$201)/(Driver!$G$201-Driver!$F$201),1)</f>
        <v/>
      </c>
      <c r="BJ398" s="102">
        <f>(CB398-Driver!$F$206)/(Driver!$G$206-Driver!$F$206)*$BI$1</f>
        <v/>
      </c>
      <c r="BK398" s="102">
        <f>(CD398-Driver!$F$203)/(Driver!$G$203-Driver!$F$203)*$BI$1</f>
        <v/>
      </c>
      <c r="BL398" s="102">
        <f>MAX((CR398-Driver!$F$202)/(Driver!$G$202-Driver!$F$202)*$BI$1,1)</f>
        <v/>
      </c>
      <c r="BM398" s="102">
        <f>MAX((CH398-Driver!$F$204)/(Driver!$G$204-Driver!$F$204)*$BI$1,1)</f>
        <v/>
      </c>
      <c r="BN398" s="102">
        <f>(CI398-Driver!$F$205)/(Driver!$G$205-Driver!$F$205)*$BI$1</f>
        <v/>
      </c>
      <c r="BO398" s="102">
        <f>(CK398-Driver!$F$207)/(Driver!$G$207-Driver!$F$207)*$BI$1</f>
        <v/>
      </c>
      <c r="BP398" s="102">
        <f>(CM398-Driver!$F$208)/(Driver!$G$208-Driver!$F$208)*$BI$1</f>
        <v/>
      </c>
      <c r="BQ398" s="102">
        <f>(CL398-Driver!$F$209)/(Driver!$G$209-Driver!$F$209)*$BI$1</f>
        <v/>
      </c>
      <c r="BR398" s="40" t="inlineStr">
        <is>
          <t>21/22</t>
        </is>
      </c>
      <c r="BS398" s="10" t="inlineStr">
        <is>
          <t xml:space="preserve"> Völkl</t>
        </is>
      </c>
      <c r="BT398" s="11" t="inlineStr">
        <is>
          <t>Revolt 87</t>
        </is>
      </c>
      <c r="BU398" s="13" t="n">
        <v>169</v>
      </c>
      <c r="BV398" s="11" t="inlineStr">
        <is>
          <t xml:space="preserve"> Unisex</t>
        </is>
      </c>
      <c r="BW398" s="13" t="n">
        <v>169</v>
      </c>
      <c r="BX398" s="13" t="n">
        <v>166.1</v>
      </c>
      <c r="BY398" s="13" t="n">
        <v>133</v>
      </c>
      <c r="BZ398" s="13" t="n">
        <v>145</v>
      </c>
      <c r="CA398" s="13" t="n">
        <v>115</v>
      </c>
      <c r="CB398" s="13" t="n">
        <v>86</v>
      </c>
      <c r="CC398" s="13" t="n">
        <v>115</v>
      </c>
      <c r="CD398" s="13" t="n">
        <v>18</v>
      </c>
      <c r="CE398" s="13" t="n">
        <v>1834</v>
      </c>
      <c r="CF398" s="13" t="n">
        <v>0.87</v>
      </c>
      <c r="CG398" s="13" t="n">
        <v>1604</v>
      </c>
      <c r="CH398" s="13" t="n">
        <v>221</v>
      </c>
      <c r="CI398" s="13" t="n">
        <v>103</v>
      </c>
      <c r="CJ398" s="13" t="n">
        <v>45</v>
      </c>
      <c r="CK398" s="13" t="n">
        <v>169</v>
      </c>
      <c r="CL398" s="13" t="n">
        <v>42</v>
      </c>
      <c r="CM398" s="13" t="n">
        <v>166</v>
      </c>
      <c r="CN398" s="13" t="n">
        <v>0.929</v>
      </c>
      <c r="CO398" s="13" t="n">
        <v>103</v>
      </c>
      <c r="CP398" s="13" t="n">
        <v>110</v>
      </c>
      <c r="CQ398" s="13" t="n">
        <v>67</v>
      </c>
      <c r="CR398" s="13" t="n">
        <v>7</v>
      </c>
      <c r="CS398" s="13" t="n">
        <v>0.4</v>
      </c>
      <c r="CT398" s="11" t="inlineStr">
        <is>
          <t xml:space="preserve"> Freeski</t>
        </is>
      </c>
      <c r="CU398" s="13" t="n"/>
      <c r="CV398" s="13" t="n"/>
      <c r="CW398" s="13" t="n"/>
      <c r="CX398">
        <f>INDEX('Data_Price '!AG$2:AG$1266,MATCH(Data!$DN398,'Data_Price '!$AT$2:$AT$1266,0))</f>
        <v/>
      </c>
      <c r="CY398">
        <f>INDEX('Data_Price '!AH$2:AH$1266,MATCH(Data!$DN398,'Data_Price '!$AT$2:$AT$1266,0))</f>
        <v/>
      </c>
      <c r="CZ398">
        <f>INDEX('Data_Price '!AI$2:AI$1266,MATCH(Data!$DN398,'Data_Price '!$AT$2:$AT$1266,0))</f>
        <v/>
      </c>
      <c r="DA398">
        <f>INDEX('Data_Price '!AJ$2:AJ$1266,MATCH(Data!$DN398,'Data_Price '!$AT$2:$AT$1266,0))</f>
        <v/>
      </c>
      <c r="DB398">
        <f>INDEX('Data_Price '!AK$2:AK$1266,MATCH(Data!$DN398,'Data_Price '!$AT$2:$AT$1266,0))</f>
        <v/>
      </c>
      <c r="DC398">
        <f>INDEX('Data_Price '!AL$2:AL$1266,MATCH(Data!$DN398,'Data_Price '!$AT$2:$AT$1266,0))</f>
        <v/>
      </c>
      <c r="DD398">
        <f>INDEX('Data_Price '!AM$2:AM$1266,MATCH(Data!$DN398,'Data_Price '!$AT$2:$AT$1266,0))</f>
        <v/>
      </c>
      <c r="DE398">
        <f>INDEX('Data_Price '!AN$2:AN$1266,MATCH(Data!$DN398,'Data_Price '!$AT$2:$AT$1266,0))</f>
        <v/>
      </c>
      <c r="DF398">
        <f>INDEX('Data_Price '!AO$2:AO$1266,MATCH(Data!$DN398,'Data_Price '!$AT$2:$AT$1266,0))</f>
        <v/>
      </c>
      <c r="DG398">
        <f>INDEX('Data_Price '!AP$2:AP$1266,MATCH(Data!$DN398,'Data_Price '!$AT$2:$AT$1266,0))</f>
        <v/>
      </c>
      <c r="DH398">
        <f>INDEX('Data_Price '!AQ$2:AQ$1266,MATCH(Data!$DN398,'Data_Price '!$AT$2:$AT$1266,0))</f>
        <v/>
      </c>
      <c r="DI398">
        <f>INDEX('Data_Price '!AR$2:AR$1266,MATCH(Data!$DN398,'Data_Price '!$AT$2:$AT$1266,0))</f>
        <v/>
      </c>
      <c r="DJ398" s="138">
        <f>DA398</f>
        <v/>
      </c>
      <c r="DK398" s="138">
        <f>DE398</f>
        <v/>
      </c>
      <c r="DL398" s="138">
        <f>DI398</f>
        <v/>
      </c>
      <c r="DM398" s="303">
        <f>IF(LEFT(BT398,1)=" ",RIGHT(BT398,LEN(BT398)-1),BT398)</f>
        <v/>
      </c>
      <c r="DN398" s="138">
        <f>_xlfn.CONCAT(BS398,DM398,BU398,BV398)</f>
        <v/>
      </c>
      <c r="DO398" s="307" t="inlineStr">
        <is>
          <t>https://images.evo.com/imgp/250/183429/726980/volkl-revolt-87-skis-2022-.jpg</t>
        </is>
      </c>
    </row>
    <row r="399" ht="15.6" customHeight="1" s="184">
      <c r="B399" s="303">
        <f t="array" ref="B399">IF(OR(ISERROR(K399:P399)),FALSE,TRUE)</f>
        <v/>
      </c>
      <c r="C399" s="60">
        <f>OR(BR399=Driver!$G$50,Data!BR848=Driver!$H$50)</f>
        <v/>
      </c>
      <c r="D399" s="60">
        <f>OR(BV399=Driver!$G$51,BV399=Driver!$H$51)</f>
        <v/>
      </c>
      <c r="E399" s="60">
        <f>AND(BX399&gt;Driver!$F$54,BX399&lt;Driver!$G$54)</f>
        <v/>
      </c>
      <c r="F399" s="60">
        <f>CL399&gt;Driver!$F$56</f>
        <v/>
      </c>
      <c r="G399" s="60">
        <f>AND(CB399&gt;Driver!$F$55,CB399&lt;Driver!$G$55)</f>
        <v/>
      </c>
      <c r="H399" s="60">
        <f>AND(B399:G399)</f>
        <v/>
      </c>
      <c r="I399" s="60">
        <f>COUNTIFS($H$9:$H$1273,TRUE,$BT$9:$BT$1273,BT399)</f>
        <v/>
      </c>
      <c r="J399" s="60">
        <f t="array" ref="J399">NOT(OR(($H$9:$H$1273=TRUE)*($I$9:$I$1273&gt;0)*($BT$9:$BT$1273=BT399)*($K$9:$K$1273&gt;K399)))</f>
        <v/>
      </c>
      <c r="K399" s="108">
        <f>IFERROR(1-AVERAGE(X399:Y399),"")</f>
        <v/>
      </c>
      <c r="L399" s="108">
        <f>1-X399</f>
        <v/>
      </c>
      <c r="M399" s="108">
        <f>1-Y399</f>
        <v/>
      </c>
      <c r="N399" s="108">
        <f>1-Z399</f>
        <v/>
      </c>
      <c r="O399" s="108">
        <f>1-AA399</f>
        <v/>
      </c>
      <c r="P399" s="108">
        <f>1-AB399</f>
        <v/>
      </c>
      <c r="Q399" s="108" t="n"/>
      <c r="R399" s="108" t="n"/>
      <c r="S399" s="108">
        <f>1-AE399</f>
        <v/>
      </c>
      <c r="T399" s="108">
        <f>1-AF399</f>
        <v/>
      </c>
      <c r="U399" s="108">
        <f>1-AG399</f>
        <v/>
      </c>
      <c r="V399" s="108">
        <f>1-AH399</f>
        <v/>
      </c>
      <c r="W399" s="108">
        <f>1-AI399</f>
        <v/>
      </c>
      <c r="X399" s="108">
        <f>ABS(AJ399-AJ$1)</f>
        <v/>
      </c>
      <c r="Y399" s="108">
        <f>AVERAGE(Z399:AB399)</f>
        <v/>
      </c>
      <c r="Z399" s="108">
        <f>ABS(AL399-AL$1)</f>
        <v/>
      </c>
      <c r="AA399" s="108">
        <f>ABS(AM399-AM$1)</f>
        <v/>
      </c>
      <c r="AB399" s="108">
        <f>ABS(AN399-AN$1)</f>
        <v/>
      </c>
      <c r="AC399" s="108" t="n"/>
      <c r="AD399" s="108" t="n"/>
      <c r="AE399" s="108">
        <f>ABS(AQ$1-AQ399)</f>
        <v/>
      </c>
      <c r="AF399" s="108">
        <f>ABS(AR$1-AR399)</f>
        <v/>
      </c>
      <c r="AG399" s="108">
        <f>ABS(AS$1-AS399)</f>
        <v/>
      </c>
      <c r="AH399" s="108">
        <f>ABS(AT$1-AT399)</f>
        <v/>
      </c>
      <c r="AI399" s="108">
        <f>ABS(AU$1-AU399)</f>
        <v/>
      </c>
      <c r="AJ399" s="108">
        <f>(AV399-Driver!$K$179)/(Driver!$L$179-Driver!$K$179)</f>
        <v/>
      </c>
      <c r="AK399" s="108">
        <f>(AW399-Driver!$K$180)/(Driver!$L$180-Driver!$K$180)</f>
        <v/>
      </c>
      <c r="AL399" s="108">
        <f>(AX399-Driver!$K$181)/(Driver!$L$181-Driver!$K$181)</f>
        <v/>
      </c>
      <c r="AM399" s="108">
        <f>(AY399-Driver!$K$182)/(Driver!$L$182-Driver!$K$182)</f>
        <v/>
      </c>
      <c r="AN399" s="108">
        <f>(AZ399-Driver!$K$183)/(Driver!$L$183-Driver!$K$183)</f>
        <v/>
      </c>
      <c r="AO399" s="108" t="n"/>
      <c r="AP399" s="108" t="n"/>
      <c r="AQ399" s="108">
        <f>(BC399-Driver!$K$188)/(Driver!$L$188-Driver!$K$188)</f>
        <v/>
      </c>
      <c r="AR399" s="108">
        <f>MIN((BD399-Driver!$K$189)/(Driver!$L$189-Driver!$K$189),100%)</f>
        <v/>
      </c>
      <c r="AS399" s="108">
        <f>(BE399-Driver!$K$190)/(Driver!$L$190-Driver!$K$190)</f>
        <v/>
      </c>
      <c r="AT399" s="108">
        <f>(BF399-Driver!$K$191)/(Driver!$L$191-Driver!$K$191)</f>
        <v/>
      </c>
      <c r="AU399" s="108">
        <f>(BG399-Driver!$K$192)/(Driver!$L$192-Driver!$K$192)</f>
        <v/>
      </c>
      <c r="AV399" s="105">
        <f>IFERROR(BM399*BJ399^1/4,"")</f>
        <v/>
      </c>
      <c r="AW399" s="105">
        <f>IFERROR(SUM(AX399:AZ399),"")</f>
        <v/>
      </c>
      <c r="AX399" s="105">
        <f>IFERROR(BH399,"")</f>
        <v/>
      </c>
      <c r="AY399" s="105">
        <f>IFERROR(Driver!$K$19/Data!BH399/Data!BI399*Data!BK399*Data!BL399,"")</f>
        <v/>
      </c>
      <c r="AZ399" s="105">
        <f>IFERROR(BI399*BN399,"")</f>
        <v/>
      </c>
      <c r="BA399" s="105" t="n"/>
      <c r="BB399" s="105" t="n"/>
      <c r="BC399" s="105">
        <f>IFERROR(BI399*BN399*BK399/BJ399^(1/2),"")</f>
        <v/>
      </c>
      <c r="BD399" s="105">
        <f>IFERROR(BH399*BM399*BL399/BJ399/BK399,"")</f>
        <v/>
      </c>
      <c r="BE399" s="105">
        <f>IFERROR(MIN(BI399/BQ399/BP399/BO399/BH399,$BE$1),"")</f>
        <v/>
      </c>
      <c r="BF399" s="105">
        <f>IFERROR(BJ399*BO399*BP399/BK399,"")</f>
        <v/>
      </c>
      <c r="BG399" s="105">
        <f>IFERROR(1/BM399/BH399*BQ399,"")</f>
        <v/>
      </c>
      <c r="BH399" s="102">
        <f>MAX((CE399-Driver!$F$200)/(Driver!$G$200-Driver!$F$200)*$BI$1,1)</f>
        <v/>
      </c>
      <c r="BI399" s="102">
        <f>MAX($BI$1*(BY399-Driver!$F$201)/(Driver!$G$201-Driver!$F$201),1)</f>
        <v/>
      </c>
      <c r="BJ399" s="102">
        <f>(CB399-Driver!$F$206)/(Driver!$G$206-Driver!$F$206)*$BI$1</f>
        <v/>
      </c>
      <c r="BK399" s="102">
        <f>(CD399-Driver!$F$203)/(Driver!$G$203-Driver!$F$203)*$BI$1</f>
        <v/>
      </c>
      <c r="BL399" s="102">
        <f>MAX((CR399-Driver!$F$202)/(Driver!$G$202-Driver!$F$202)*$BI$1,1)</f>
        <v/>
      </c>
      <c r="BM399" s="102">
        <f>MAX((CH399-Driver!$F$204)/(Driver!$G$204-Driver!$F$204)*$BI$1,1)</f>
        <v/>
      </c>
      <c r="BN399" s="102">
        <f>(CI399-Driver!$F$205)/(Driver!$G$205-Driver!$F$205)*$BI$1</f>
        <v/>
      </c>
      <c r="BO399" s="102">
        <f>(CK399-Driver!$F$207)/(Driver!$G$207-Driver!$F$207)*$BI$1</f>
        <v/>
      </c>
      <c r="BP399" s="102">
        <f>(CM399-Driver!$F$208)/(Driver!$G$208-Driver!$F$208)*$BI$1</f>
        <v/>
      </c>
      <c r="BQ399" s="102">
        <f>(CL399-Driver!$F$209)/(Driver!$G$209-Driver!$F$209)*$BI$1</f>
        <v/>
      </c>
      <c r="BR399" s="40" t="inlineStr">
        <is>
          <t>21/22</t>
        </is>
      </c>
      <c r="BS399" s="10" t="inlineStr">
        <is>
          <t xml:space="preserve"> Line</t>
        </is>
      </c>
      <c r="BT399" s="11" t="inlineStr">
        <is>
          <t>Pandora 110</t>
        </is>
      </c>
      <c r="BU399" s="13" t="n">
        <v>178</v>
      </c>
      <c r="BV399" s="11" t="inlineStr">
        <is>
          <t xml:space="preserve"> Women's</t>
        </is>
      </c>
      <c r="BW399" s="13" t="n">
        <v>178</v>
      </c>
      <c r="BX399" s="13" t="n">
        <v>178.5</v>
      </c>
      <c r="BY399" s="13" t="n">
        <v>115</v>
      </c>
      <c r="BZ399" s="13" t="n">
        <v>145</v>
      </c>
      <c r="CA399" s="13" t="n">
        <v>142</v>
      </c>
      <c r="CB399" s="13" t="n">
        <v>109</v>
      </c>
      <c r="CC399" s="13" t="n">
        <v>128</v>
      </c>
      <c r="CD399" s="13" t="n">
        <v>18.3</v>
      </c>
      <c r="CE399" s="13" t="n">
        <v>1529</v>
      </c>
      <c r="CF399" s="13" t="n">
        <v>1.38</v>
      </c>
      <c r="CG399" s="13" t="n">
        <v>2115</v>
      </c>
      <c r="CH399" s="13" t="n">
        <v>167</v>
      </c>
      <c r="CI399" s="13" t="n">
        <v>81</v>
      </c>
      <c r="CJ399" s="13" t="n">
        <v>54</v>
      </c>
      <c r="CK399" s="13" t="n">
        <v>353</v>
      </c>
      <c r="CL399" s="13" t="n">
        <v>32</v>
      </c>
      <c r="CM399" s="13" t="n">
        <v>285</v>
      </c>
      <c r="CN399" s="13" t="n">
        <v>0.6</v>
      </c>
      <c r="CO399" s="13" t="n">
        <v>162</v>
      </c>
      <c r="CP399" s="13" t="n">
        <v>177</v>
      </c>
      <c r="CQ399" s="13" t="n">
        <v>191</v>
      </c>
      <c r="CR399" s="13" t="n">
        <v>5</v>
      </c>
      <c r="CS399" s="13" t="n">
        <v>5.5</v>
      </c>
      <c r="CT399" s="11" t="inlineStr">
        <is>
          <t xml:space="preserve"> Powder</t>
        </is>
      </c>
      <c r="CU399" s="11" t="inlineStr">
        <is>
          <t xml:space="preserve"> Touring</t>
        </is>
      </c>
      <c r="CV399" s="11" t="inlineStr">
        <is>
          <t xml:space="preserve"> Ultralight Touring</t>
        </is>
      </c>
      <c r="CW399" s="13" t="n"/>
      <c r="CX399">
        <f>INDEX('Data_Price '!AG$2:AG$1266,MATCH(Data!$DN399,'Data_Price '!$AT$2:$AT$1266,0))</f>
        <v/>
      </c>
      <c r="CY399">
        <f>INDEX('Data_Price '!AH$2:AH$1266,MATCH(Data!$DN399,'Data_Price '!$AT$2:$AT$1266,0))</f>
        <v/>
      </c>
      <c r="CZ399">
        <f>INDEX('Data_Price '!AI$2:AI$1266,MATCH(Data!$DN399,'Data_Price '!$AT$2:$AT$1266,0))</f>
        <v/>
      </c>
      <c r="DA399">
        <f>INDEX('Data_Price '!AJ$2:AJ$1266,MATCH(Data!$DN399,'Data_Price '!$AT$2:$AT$1266,0))</f>
        <v/>
      </c>
      <c r="DB399">
        <f>INDEX('Data_Price '!AK$2:AK$1266,MATCH(Data!$DN399,'Data_Price '!$AT$2:$AT$1266,0))</f>
        <v/>
      </c>
      <c r="DC399">
        <f>INDEX('Data_Price '!AL$2:AL$1266,MATCH(Data!$DN399,'Data_Price '!$AT$2:$AT$1266,0))</f>
        <v/>
      </c>
      <c r="DD399">
        <f>INDEX('Data_Price '!AM$2:AM$1266,MATCH(Data!$DN399,'Data_Price '!$AT$2:$AT$1266,0))</f>
        <v/>
      </c>
      <c r="DE399">
        <f>INDEX('Data_Price '!AN$2:AN$1266,MATCH(Data!$DN399,'Data_Price '!$AT$2:$AT$1266,0))</f>
        <v/>
      </c>
      <c r="DF399">
        <f>INDEX('Data_Price '!AO$2:AO$1266,MATCH(Data!$DN399,'Data_Price '!$AT$2:$AT$1266,0))</f>
        <v/>
      </c>
      <c r="DG399">
        <f>INDEX('Data_Price '!AP$2:AP$1266,MATCH(Data!$DN399,'Data_Price '!$AT$2:$AT$1266,0))</f>
        <v/>
      </c>
      <c r="DH399">
        <f>INDEX('Data_Price '!AQ$2:AQ$1266,MATCH(Data!$DN399,'Data_Price '!$AT$2:$AT$1266,0))</f>
        <v/>
      </c>
      <c r="DI399">
        <f>INDEX('Data_Price '!AR$2:AR$1266,MATCH(Data!$DN399,'Data_Price '!$AT$2:$AT$1266,0))</f>
        <v/>
      </c>
      <c r="DJ399" s="138">
        <f>DA399</f>
        <v/>
      </c>
      <c r="DK399" s="138">
        <f>DE399</f>
        <v/>
      </c>
      <c r="DL399" s="138">
        <f>DI399</f>
        <v/>
      </c>
      <c r="DM399" s="303">
        <f>IF(LEFT(BT399,1)=" ",RIGHT(BT399,LEN(BT399)-1),BT399)</f>
        <v/>
      </c>
      <c r="DN399" s="138">
        <f>_xlfn.CONCAT(BS399,DM399,BU399,BV399)</f>
        <v/>
      </c>
      <c r="DO399" s="307" t="inlineStr">
        <is>
          <t>https://images.evo.com/imgp/250/198429/817633/line-skis-pandora-110-skis-women-s-2022-.jpg</t>
        </is>
      </c>
    </row>
    <row r="400" ht="15.6" customHeight="1" s="184">
      <c r="B400" s="303">
        <f t="array" ref="B400">IF(OR(ISERROR(K400:P400)),FALSE,TRUE)</f>
        <v/>
      </c>
      <c r="C400" s="60">
        <f>OR(BR400=Driver!$G$50,Data!BR197=Driver!$H$50)</f>
        <v/>
      </c>
      <c r="D400" s="60">
        <f>OR(BV400=Driver!$G$51,BV400=Driver!$H$51)</f>
        <v/>
      </c>
      <c r="E400" s="60">
        <f>AND(BX400&gt;Driver!$F$54,BX400&lt;Driver!$G$54)</f>
        <v/>
      </c>
      <c r="F400" s="60">
        <f>CL400&gt;Driver!$F$56</f>
        <v/>
      </c>
      <c r="G400" s="60">
        <f>AND(CB400&gt;Driver!$F$55,CB400&lt;Driver!$G$55)</f>
        <v/>
      </c>
      <c r="H400" s="60">
        <f>AND(B400:G400)</f>
        <v/>
      </c>
      <c r="I400" s="60">
        <f>COUNTIFS($H$9:$H$1273,TRUE,$BT$9:$BT$1273,BT400)</f>
        <v/>
      </c>
      <c r="J400" s="60">
        <f t="array" ref="J400">NOT(OR(($H$9:$H$1273=TRUE)*($I$9:$I$1273&gt;0)*($BT$9:$BT$1273=BT400)*($K$9:$K$1273&gt;K400)))</f>
        <v/>
      </c>
      <c r="K400" s="108">
        <f>IFERROR(1-AVERAGE(X400:Y400),"")</f>
        <v/>
      </c>
      <c r="L400" s="108">
        <f>1-X400</f>
        <v/>
      </c>
      <c r="M400" s="108">
        <f>1-Y400</f>
        <v/>
      </c>
      <c r="N400" s="108">
        <f>1-Z400</f>
        <v/>
      </c>
      <c r="O400" s="108">
        <f>1-AA400</f>
        <v/>
      </c>
      <c r="P400" s="108">
        <f>1-AB400</f>
        <v/>
      </c>
      <c r="Q400" s="108" t="n"/>
      <c r="R400" s="108" t="n"/>
      <c r="S400" s="108">
        <f>1-AE400</f>
        <v/>
      </c>
      <c r="T400" s="108">
        <f>1-AF400</f>
        <v/>
      </c>
      <c r="U400" s="108">
        <f>1-AG400</f>
        <v/>
      </c>
      <c r="V400" s="108">
        <f>1-AH400</f>
        <v/>
      </c>
      <c r="W400" s="108">
        <f>1-AI400</f>
        <v/>
      </c>
      <c r="X400" s="108">
        <f>ABS(AJ400-AJ$1)</f>
        <v/>
      </c>
      <c r="Y400" s="108">
        <f>AVERAGE(Z400:AB400)</f>
        <v/>
      </c>
      <c r="Z400" s="108">
        <f>ABS(AL400-AL$1)</f>
        <v/>
      </c>
      <c r="AA400" s="108">
        <f>ABS(AM400-AM$1)</f>
        <v/>
      </c>
      <c r="AB400" s="108">
        <f>ABS(AN400-AN$1)</f>
        <v/>
      </c>
      <c r="AC400" s="108" t="n"/>
      <c r="AD400" s="108" t="n"/>
      <c r="AE400" s="108">
        <f>ABS(AQ$1-AQ400)</f>
        <v/>
      </c>
      <c r="AF400" s="108">
        <f>ABS(AR$1-AR400)</f>
        <v/>
      </c>
      <c r="AG400" s="108">
        <f>ABS(AS$1-AS400)</f>
        <v/>
      </c>
      <c r="AH400" s="108">
        <f>ABS(AT$1-AT400)</f>
        <v/>
      </c>
      <c r="AI400" s="108">
        <f>ABS(AU$1-AU400)</f>
        <v/>
      </c>
      <c r="AJ400" s="108">
        <f>(AV400-Driver!$K$179)/(Driver!$L$179-Driver!$K$179)</f>
        <v/>
      </c>
      <c r="AK400" s="108">
        <f>(AW400-Driver!$K$180)/(Driver!$L$180-Driver!$K$180)</f>
        <v/>
      </c>
      <c r="AL400" s="108">
        <f>(AX400-Driver!$K$181)/(Driver!$L$181-Driver!$K$181)</f>
        <v/>
      </c>
      <c r="AM400" s="108">
        <f>(AY400-Driver!$K$182)/(Driver!$L$182-Driver!$K$182)</f>
        <v/>
      </c>
      <c r="AN400" s="108">
        <f>(AZ400-Driver!$K$183)/(Driver!$L$183-Driver!$K$183)</f>
        <v/>
      </c>
      <c r="AO400" s="108" t="n"/>
      <c r="AP400" s="108" t="n"/>
      <c r="AQ400" s="108">
        <f>(BC400-Driver!$K$188)/(Driver!$L$188-Driver!$K$188)</f>
        <v/>
      </c>
      <c r="AR400" s="108">
        <f>MIN((BD400-Driver!$K$189)/(Driver!$L$189-Driver!$K$189),100%)</f>
        <v/>
      </c>
      <c r="AS400" s="108">
        <f>(BE400-Driver!$K$190)/(Driver!$L$190-Driver!$K$190)</f>
        <v/>
      </c>
      <c r="AT400" s="108">
        <f>(BF400-Driver!$K$191)/(Driver!$L$191-Driver!$K$191)</f>
        <v/>
      </c>
      <c r="AU400" s="108">
        <f>(BG400-Driver!$K$192)/(Driver!$L$192-Driver!$K$192)</f>
        <v/>
      </c>
      <c r="AV400" s="105">
        <f>IFERROR(BM400*BJ400^1/4,"")</f>
        <v/>
      </c>
      <c r="AW400" s="105">
        <f>IFERROR(SUM(AX400:AZ400),"")</f>
        <v/>
      </c>
      <c r="AX400" s="105">
        <f>IFERROR(BH400,"")</f>
        <v/>
      </c>
      <c r="AY400" s="105">
        <f>IFERROR(Driver!$K$19/Data!BH400/Data!BI400*Data!BK400*Data!BL400,"")</f>
        <v/>
      </c>
      <c r="AZ400" s="105">
        <f>IFERROR(BI400*BN400,"")</f>
        <v/>
      </c>
      <c r="BA400" s="105" t="n"/>
      <c r="BB400" s="105" t="n"/>
      <c r="BC400" s="105">
        <f>IFERROR(BI400*BN400*BK400/BJ400^(1/2),"")</f>
        <v/>
      </c>
      <c r="BD400" s="105">
        <f>IFERROR(BH400*BM400*BL400/BJ400/BK400,"")</f>
        <v/>
      </c>
      <c r="BE400" s="105">
        <f>IFERROR(MIN(BI400/BQ400/BP400/BO400/BH400,$BE$1),"")</f>
        <v/>
      </c>
      <c r="BF400" s="105">
        <f>IFERROR(BJ400*BO400*BP400/BK400,"")</f>
        <v/>
      </c>
      <c r="BG400" s="105">
        <f>IFERROR(1/BM400/BH400*BQ400,"")</f>
        <v/>
      </c>
      <c r="BH400" s="102">
        <f>MAX((CE400-Driver!$F$200)/(Driver!$G$200-Driver!$F$200)*$BI$1,1)</f>
        <v/>
      </c>
      <c r="BI400" s="102">
        <f>MAX($BI$1*(BY400-Driver!$F$201)/(Driver!$G$201-Driver!$F$201),1)</f>
        <v/>
      </c>
      <c r="BJ400" s="102">
        <f>(CB400-Driver!$F$206)/(Driver!$G$206-Driver!$F$206)*$BI$1</f>
        <v/>
      </c>
      <c r="BK400" s="102">
        <f>(CD400-Driver!$F$203)/(Driver!$G$203-Driver!$F$203)*$BI$1</f>
        <v/>
      </c>
      <c r="BL400" s="102">
        <f>MAX((CR400-Driver!$F$202)/(Driver!$G$202-Driver!$F$202)*$BI$1,1)</f>
        <v/>
      </c>
      <c r="BM400" s="102">
        <f>MAX((CH400-Driver!$F$204)/(Driver!$G$204-Driver!$F$204)*$BI$1,1)</f>
        <v/>
      </c>
      <c r="BN400" s="102">
        <f>(CI400-Driver!$F$205)/(Driver!$G$205-Driver!$F$205)*$BI$1</f>
        <v/>
      </c>
      <c r="BO400" s="102">
        <f>(CK400-Driver!$F$207)/(Driver!$G$207-Driver!$F$207)*$BI$1</f>
        <v/>
      </c>
      <c r="BP400" s="102">
        <f>(CM400-Driver!$F$208)/(Driver!$G$208-Driver!$F$208)*$BI$1</f>
        <v/>
      </c>
      <c r="BQ400" s="102">
        <f>(CL400-Driver!$F$209)/(Driver!$G$209-Driver!$F$209)*$BI$1</f>
        <v/>
      </c>
      <c r="BR400" s="40" t="inlineStr">
        <is>
          <t>21/22</t>
        </is>
      </c>
      <c r="BS400" s="10" t="inlineStr">
        <is>
          <t xml:space="preserve"> Black Crows</t>
        </is>
      </c>
      <c r="BT400" s="11" t="inlineStr">
        <is>
          <t xml:space="preserve"> Atris</t>
        </is>
      </c>
      <c r="BU400" s="13" t="n">
        <v>178.3</v>
      </c>
      <c r="BV400" s="11" t="inlineStr">
        <is>
          <t xml:space="preserve"> Unisex</t>
        </is>
      </c>
      <c r="BW400" s="13" t="n">
        <v>178.3</v>
      </c>
      <c r="BX400" s="13" t="n">
        <v>176.9</v>
      </c>
      <c r="BY400" s="13" t="n">
        <v>122</v>
      </c>
      <c r="BZ400" s="13" t="n">
        <v>145</v>
      </c>
      <c r="CA400" s="13" t="n">
        <v>138</v>
      </c>
      <c r="CB400" s="13" t="n">
        <v>108</v>
      </c>
      <c r="CC400" s="13" t="n">
        <v>125</v>
      </c>
      <c r="CD400" s="13" t="n">
        <v>20.4</v>
      </c>
      <c r="CE400" s="13" t="n">
        <v>1900</v>
      </c>
      <c r="CF400" s="13" t="n">
        <v>1.09</v>
      </c>
      <c r="CG400" s="13" t="n">
        <v>2078</v>
      </c>
      <c r="CH400" s="13" t="n">
        <v>197</v>
      </c>
      <c r="CI400" s="13" t="n">
        <v>85</v>
      </c>
      <c r="CJ400" s="13" t="n">
        <v>53</v>
      </c>
      <c r="CK400" s="13" t="n">
        <v>339</v>
      </c>
      <c r="CL400" s="13" t="n">
        <v>30</v>
      </c>
      <c r="CM400" s="13" t="n">
        <v>214</v>
      </c>
      <c r="CN400" s="13" t="n">
        <v>0.578</v>
      </c>
      <c r="CO400" s="13" t="n">
        <v>198</v>
      </c>
      <c r="CP400" s="13" t="n">
        <v>118</v>
      </c>
      <c r="CQ400" s="13" t="n">
        <v>140</v>
      </c>
      <c r="CR400" s="13" t="n">
        <v>5</v>
      </c>
      <c r="CS400" s="13" t="n">
        <v>8.1</v>
      </c>
      <c r="CT400" s="11" t="inlineStr">
        <is>
          <t xml:space="preserve"> Powder</t>
        </is>
      </c>
      <c r="CU400" s="11" t="inlineStr">
        <is>
          <t xml:space="preserve"> Touring</t>
        </is>
      </c>
      <c r="CV400" s="13" t="n"/>
      <c r="CW400" s="13" t="n"/>
      <c r="CX400">
        <f>INDEX('Data_Price '!AG$2:AG$1266,MATCH(Data!$DN400,'Data_Price '!$AT$2:$AT$1266,0))</f>
        <v/>
      </c>
      <c r="CY400">
        <f>INDEX('Data_Price '!AH$2:AH$1266,MATCH(Data!$DN400,'Data_Price '!$AT$2:$AT$1266,0))</f>
        <v/>
      </c>
      <c r="CZ400">
        <f>INDEX('Data_Price '!AI$2:AI$1266,MATCH(Data!$DN400,'Data_Price '!$AT$2:$AT$1266,0))</f>
        <v/>
      </c>
      <c r="DA400">
        <f>INDEX('Data_Price '!AJ$2:AJ$1266,MATCH(Data!$DN400,'Data_Price '!$AT$2:$AT$1266,0))</f>
        <v/>
      </c>
      <c r="DB400">
        <f>INDEX('Data_Price '!AK$2:AK$1266,MATCH(Data!$DN400,'Data_Price '!$AT$2:$AT$1266,0))</f>
        <v/>
      </c>
      <c r="DC400">
        <f>INDEX('Data_Price '!AL$2:AL$1266,MATCH(Data!$DN400,'Data_Price '!$AT$2:$AT$1266,0))</f>
        <v/>
      </c>
      <c r="DD400">
        <f>INDEX('Data_Price '!AM$2:AM$1266,MATCH(Data!$DN400,'Data_Price '!$AT$2:$AT$1266,0))</f>
        <v/>
      </c>
      <c r="DE400">
        <f>INDEX('Data_Price '!AN$2:AN$1266,MATCH(Data!$DN400,'Data_Price '!$AT$2:$AT$1266,0))</f>
        <v/>
      </c>
      <c r="DF400">
        <f>INDEX('Data_Price '!AO$2:AO$1266,MATCH(Data!$DN400,'Data_Price '!$AT$2:$AT$1266,0))</f>
        <v/>
      </c>
      <c r="DG400">
        <f>INDEX('Data_Price '!AP$2:AP$1266,MATCH(Data!$DN400,'Data_Price '!$AT$2:$AT$1266,0))</f>
        <v/>
      </c>
      <c r="DH400">
        <f>INDEX('Data_Price '!AQ$2:AQ$1266,MATCH(Data!$DN400,'Data_Price '!$AT$2:$AT$1266,0))</f>
        <v/>
      </c>
      <c r="DI400">
        <f>INDEX('Data_Price '!AR$2:AR$1266,MATCH(Data!$DN400,'Data_Price '!$AT$2:$AT$1266,0))</f>
        <v/>
      </c>
      <c r="DJ400" s="138">
        <f>DA400</f>
        <v/>
      </c>
      <c r="DK400" s="138">
        <f>DE400</f>
        <v/>
      </c>
      <c r="DL400" s="138">
        <f>DI400</f>
        <v/>
      </c>
      <c r="DM400" s="303">
        <f>IF(LEFT(BT400,1)=" ",RIGHT(BT400,LEN(BT400)-1),BT400)</f>
        <v/>
      </c>
      <c r="DN400" s="138">
        <f>_xlfn.CONCAT(BS400,DM400,BU400,BV400)</f>
        <v/>
      </c>
      <c r="DO400" s="307" t="inlineStr">
        <is>
          <t>https://images.evo.com/imgp/250/181603/727242/black-crows-atris-skis-2022-.jpg</t>
        </is>
      </c>
    </row>
    <row r="401" ht="15.6" customHeight="1" s="184">
      <c r="B401" s="303">
        <f t="array" ref="B401">IF(OR(ISERROR(K401:P401)),FALSE,TRUE)</f>
        <v/>
      </c>
      <c r="C401" s="60">
        <f>OR(BR401=Driver!$G$50,Data!BR221=Driver!$H$50)</f>
        <v/>
      </c>
      <c r="D401" s="60">
        <f>OR(BV401=Driver!$G$51,BV401=Driver!$H$51)</f>
        <v/>
      </c>
      <c r="E401" s="60">
        <f>AND(BX401&gt;Driver!$F$54,BX401&lt;Driver!$G$54)</f>
        <v/>
      </c>
      <c r="F401" s="60">
        <f>CL401&gt;Driver!$F$56</f>
        <v/>
      </c>
      <c r="G401" s="60">
        <f>AND(CB401&gt;Driver!$F$55,CB401&lt;Driver!$G$55)</f>
        <v/>
      </c>
      <c r="H401" s="60">
        <f>AND(B401:G401)</f>
        <v/>
      </c>
      <c r="I401" s="60">
        <f>COUNTIFS($H$9:$H$1273,TRUE,$BT$9:$BT$1273,BT401)</f>
        <v/>
      </c>
      <c r="J401" s="60">
        <f t="array" ref="J401">NOT(OR(($H$9:$H$1273=TRUE)*($I$9:$I$1273&gt;0)*($BT$9:$BT$1273=BT401)*($K$9:$K$1273&gt;K401)))</f>
        <v/>
      </c>
      <c r="K401" s="108">
        <f>IFERROR(1-AVERAGE(X401:Y401),"")</f>
        <v/>
      </c>
      <c r="L401" s="108">
        <f>1-X401</f>
        <v/>
      </c>
      <c r="M401" s="108">
        <f>1-Y401</f>
        <v/>
      </c>
      <c r="N401" s="108">
        <f>1-Z401</f>
        <v/>
      </c>
      <c r="O401" s="108">
        <f>1-AA401</f>
        <v/>
      </c>
      <c r="P401" s="108">
        <f>1-AB401</f>
        <v/>
      </c>
      <c r="Q401" s="108" t="n"/>
      <c r="R401" s="108" t="n"/>
      <c r="S401" s="108">
        <f>1-AE401</f>
        <v/>
      </c>
      <c r="T401" s="108">
        <f>1-AF401</f>
        <v/>
      </c>
      <c r="U401" s="108">
        <f>1-AG401</f>
        <v/>
      </c>
      <c r="V401" s="108">
        <f>1-AH401</f>
        <v/>
      </c>
      <c r="W401" s="108">
        <f>1-AI401</f>
        <v/>
      </c>
      <c r="X401" s="108">
        <f>ABS(AJ401-AJ$1)</f>
        <v/>
      </c>
      <c r="Y401" s="108">
        <f>AVERAGE(Z401:AB401)</f>
        <v/>
      </c>
      <c r="Z401" s="108">
        <f>ABS(AL401-AL$1)</f>
        <v/>
      </c>
      <c r="AA401" s="108">
        <f>ABS(AM401-AM$1)</f>
        <v/>
      </c>
      <c r="AB401" s="108">
        <f>ABS(AN401-AN$1)</f>
        <v/>
      </c>
      <c r="AC401" s="108" t="n"/>
      <c r="AD401" s="108" t="n"/>
      <c r="AE401" s="108">
        <f>ABS(AQ$1-AQ401)</f>
        <v/>
      </c>
      <c r="AF401" s="108">
        <f>ABS(AR$1-AR401)</f>
        <v/>
      </c>
      <c r="AG401" s="108">
        <f>ABS(AS$1-AS401)</f>
        <v/>
      </c>
      <c r="AH401" s="108">
        <f>ABS(AT$1-AT401)</f>
        <v/>
      </c>
      <c r="AI401" s="108">
        <f>ABS(AU$1-AU401)</f>
        <v/>
      </c>
      <c r="AJ401" s="108">
        <f>(AV401-Driver!$K$179)/(Driver!$L$179-Driver!$K$179)</f>
        <v/>
      </c>
      <c r="AK401" s="108">
        <f>(AW401-Driver!$K$180)/(Driver!$L$180-Driver!$K$180)</f>
        <v/>
      </c>
      <c r="AL401" s="108">
        <f>(AX401-Driver!$K$181)/(Driver!$L$181-Driver!$K$181)</f>
        <v/>
      </c>
      <c r="AM401" s="108">
        <f>(AY401-Driver!$K$182)/(Driver!$L$182-Driver!$K$182)</f>
        <v/>
      </c>
      <c r="AN401" s="108">
        <f>(AZ401-Driver!$K$183)/(Driver!$L$183-Driver!$K$183)</f>
        <v/>
      </c>
      <c r="AO401" s="108" t="n"/>
      <c r="AP401" s="108" t="n"/>
      <c r="AQ401" s="108">
        <f>(BC401-Driver!$K$188)/(Driver!$L$188-Driver!$K$188)</f>
        <v/>
      </c>
      <c r="AR401" s="108">
        <f>MIN((BD401-Driver!$K$189)/(Driver!$L$189-Driver!$K$189),100%)</f>
        <v/>
      </c>
      <c r="AS401" s="108">
        <f>(BE401-Driver!$K$190)/(Driver!$L$190-Driver!$K$190)</f>
        <v/>
      </c>
      <c r="AT401" s="108">
        <f>(BF401-Driver!$K$191)/(Driver!$L$191-Driver!$K$191)</f>
        <v/>
      </c>
      <c r="AU401" s="108">
        <f>(BG401-Driver!$K$192)/(Driver!$L$192-Driver!$K$192)</f>
        <v/>
      </c>
      <c r="AV401" s="105">
        <f>IFERROR(BM401*BJ401^1/4,"")</f>
        <v/>
      </c>
      <c r="AW401" s="105">
        <f>IFERROR(SUM(AX401:AZ401),"")</f>
        <v/>
      </c>
      <c r="AX401" s="105">
        <f>IFERROR(BH401,"")</f>
        <v/>
      </c>
      <c r="AY401" s="105">
        <f>IFERROR(Driver!$K$19/Data!BH401/Data!BI401*Data!BK401*Data!BL401,"")</f>
        <v/>
      </c>
      <c r="AZ401" s="105">
        <f>IFERROR(BI401*BN401,"")</f>
        <v/>
      </c>
      <c r="BA401" s="105" t="n"/>
      <c r="BB401" s="105" t="n"/>
      <c r="BC401" s="105">
        <f>IFERROR(BI401*BN401*BK401/BJ401^(1/2),"")</f>
        <v/>
      </c>
      <c r="BD401" s="105">
        <f>IFERROR(BH401*BM401*BL401/BJ401/BK401,"")</f>
        <v/>
      </c>
      <c r="BE401" s="105">
        <f>IFERROR(MIN(BI401/BQ401/BP401/BO401/BH401,$BE$1),"")</f>
        <v/>
      </c>
      <c r="BF401" s="105">
        <f>IFERROR(BJ401*BO401*BP401/BK401,"")</f>
        <v/>
      </c>
      <c r="BG401" s="105">
        <f>IFERROR(1/BM401/BH401*BQ401,"")</f>
        <v/>
      </c>
      <c r="BH401" s="102">
        <f>MAX((CE401-Driver!$F$200)/(Driver!$G$200-Driver!$F$200)*$BI$1,1)</f>
        <v/>
      </c>
      <c r="BI401" s="102">
        <f>MAX($BI$1*(BY401-Driver!$F$201)/(Driver!$G$201-Driver!$F$201),1)</f>
        <v/>
      </c>
      <c r="BJ401" s="102">
        <f>(CB401-Driver!$F$206)/(Driver!$G$206-Driver!$F$206)*$BI$1</f>
        <v/>
      </c>
      <c r="BK401" s="102">
        <f>(CD401-Driver!$F$203)/(Driver!$G$203-Driver!$F$203)*$BI$1</f>
        <v/>
      </c>
      <c r="BL401" s="102">
        <f>MAX((CR401-Driver!$F$202)/(Driver!$G$202-Driver!$F$202)*$BI$1,1)</f>
        <v/>
      </c>
      <c r="BM401" s="102">
        <f>MAX((CH401-Driver!$F$204)/(Driver!$G$204-Driver!$F$204)*$BI$1,1)</f>
        <v/>
      </c>
      <c r="BN401" s="102">
        <f>(CI401-Driver!$F$205)/(Driver!$G$205-Driver!$F$205)*$BI$1</f>
        <v/>
      </c>
      <c r="BO401" s="102">
        <f>(CK401-Driver!$F$207)/(Driver!$G$207-Driver!$F$207)*$BI$1</f>
        <v/>
      </c>
      <c r="BP401" s="102">
        <f>(CM401-Driver!$F$208)/(Driver!$G$208-Driver!$F$208)*$BI$1</f>
        <v/>
      </c>
      <c r="BQ401" s="102">
        <f>(CL401-Driver!$F$209)/(Driver!$G$209-Driver!$F$209)*$BI$1</f>
        <v/>
      </c>
      <c r="BR401" s="40" t="inlineStr">
        <is>
          <t>21/22</t>
        </is>
      </c>
      <c r="BS401" s="10" t="inlineStr">
        <is>
          <t xml:space="preserve"> Black Crows</t>
        </is>
      </c>
      <c r="BT401" s="11" t="inlineStr">
        <is>
          <t xml:space="preserve"> Divus</t>
        </is>
      </c>
      <c r="BU401" s="13" t="n">
        <v>167.2</v>
      </c>
      <c r="BV401" s="11" t="inlineStr">
        <is>
          <t xml:space="preserve"> Unisex</t>
        </is>
      </c>
      <c r="BW401" s="13" t="n">
        <v>167.2</v>
      </c>
      <c r="BX401" s="13" t="n">
        <v>166.5</v>
      </c>
      <c r="BY401" s="13" t="n">
        <v>115</v>
      </c>
      <c r="BZ401" s="13" t="n">
        <v>147</v>
      </c>
      <c r="CA401" s="13" t="n">
        <v>121</v>
      </c>
      <c r="CB401" s="13" t="n">
        <v>81</v>
      </c>
      <c r="CC401" s="13" t="n">
        <v>105</v>
      </c>
      <c r="CD401" s="13" t="n">
        <v>16.1</v>
      </c>
      <c r="CE401" s="13" t="n">
        <v>1519</v>
      </c>
      <c r="CF401" s="13" t="n">
        <v>1.02</v>
      </c>
      <c r="CG401" s="13" t="n">
        <v>1554</v>
      </c>
      <c r="CH401" s="13" t="n">
        <v>165</v>
      </c>
      <c r="CI401" s="13" t="n">
        <v>98</v>
      </c>
      <c r="CJ401" s="13" t="n">
        <v>35</v>
      </c>
      <c r="CK401" s="13" t="n">
        <v>319</v>
      </c>
      <c r="CL401" s="13" t="n">
        <v>19</v>
      </c>
      <c r="CM401" s="13" t="n">
        <v>192</v>
      </c>
      <c r="CN401" s="13" t="n">
        <v>0.537</v>
      </c>
      <c r="CO401" s="13" t="n">
        <v>110</v>
      </c>
      <c r="CP401" s="13" t="n">
        <v>88</v>
      </c>
      <c r="CQ401" s="13" t="n">
        <v>209</v>
      </c>
      <c r="CR401" s="13" t="n">
        <v>4</v>
      </c>
      <c r="CS401" s="13" t="n">
        <v>10.5</v>
      </c>
      <c r="CT401" s="11" t="inlineStr">
        <is>
          <t xml:space="preserve"> Resort Freeride</t>
        </is>
      </c>
      <c r="CU401" s="13" t="n"/>
      <c r="CV401" s="13" t="n"/>
      <c r="CW401" s="13" t="n"/>
      <c r="CX401">
        <f>INDEX('Data_Price '!AG$2:AG$1266,MATCH(Data!$DN401,'Data_Price '!$AT$2:$AT$1266,0))</f>
        <v/>
      </c>
      <c r="CY401">
        <f>INDEX('Data_Price '!AH$2:AH$1266,MATCH(Data!$DN401,'Data_Price '!$AT$2:$AT$1266,0))</f>
        <v/>
      </c>
      <c r="CZ401">
        <f>INDEX('Data_Price '!AI$2:AI$1266,MATCH(Data!$DN401,'Data_Price '!$AT$2:$AT$1266,0))</f>
        <v/>
      </c>
      <c r="DA401">
        <f>INDEX('Data_Price '!AJ$2:AJ$1266,MATCH(Data!$DN401,'Data_Price '!$AT$2:$AT$1266,0))</f>
        <v/>
      </c>
      <c r="DB401">
        <f>INDEX('Data_Price '!AK$2:AK$1266,MATCH(Data!$DN401,'Data_Price '!$AT$2:$AT$1266,0))</f>
        <v/>
      </c>
      <c r="DC401">
        <f>INDEX('Data_Price '!AL$2:AL$1266,MATCH(Data!$DN401,'Data_Price '!$AT$2:$AT$1266,0))</f>
        <v/>
      </c>
      <c r="DD401">
        <f>INDEX('Data_Price '!AM$2:AM$1266,MATCH(Data!$DN401,'Data_Price '!$AT$2:$AT$1266,0))</f>
        <v/>
      </c>
      <c r="DE401">
        <f>INDEX('Data_Price '!AN$2:AN$1266,MATCH(Data!$DN401,'Data_Price '!$AT$2:$AT$1266,0))</f>
        <v/>
      </c>
      <c r="DF401">
        <f>INDEX('Data_Price '!AO$2:AO$1266,MATCH(Data!$DN401,'Data_Price '!$AT$2:$AT$1266,0))</f>
        <v/>
      </c>
      <c r="DG401">
        <f>INDEX('Data_Price '!AP$2:AP$1266,MATCH(Data!$DN401,'Data_Price '!$AT$2:$AT$1266,0))</f>
        <v/>
      </c>
      <c r="DH401">
        <f>INDEX('Data_Price '!AQ$2:AQ$1266,MATCH(Data!$DN401,'Data_Price '!$AT$2:$AT$1266,0))</f>
        <v/>
      </c>
      <c r="DI401">
        <f>INDEX('Data_Price '!AR$2:AR$1266,MATCH(Data!$DN401,'Data_Price '!$AT$2:$AT$1266,0))</f>
        <v/>
      </c>
      <c r="DJ401" s="138">
        <f>DA401</f>
        <v/>
      </c>
      <c r="DK401" s="138">
        <f>DE401</f>
        <v/>
      </c>
      <c r="DL401" s="138">
        <f>DI401</f>
        <v/>
      </c>
      <c r="DM401" s="303">
        <f>IF(LEFT(BT401,1)=" ",RIGHT(BT401,LEN(BT401)-1),BT401)</f>
        <v/>
      </c>
      <c r="DN401" s="138">
        <f>_xlfn.CONCAT(BS401,DM401,BU401,BV401)</f>
        <v/>
      </c>
      <c r="DO401" s="307" t="inlineStr">
        <is>
          <t>https://images.evo.com/imgp/250/164647/709941/clone.jpg</t>
        </is>
      </c>
    </row>
    <row r="402" ht="15.6" customHeight="1" s="184">
      <c r="B402" s="303">
        <f t="array" ref="B402">IF(OR(ISERROR(K402:P402)),FALSE,TRUE)</f>
        <v/>
      </c>
      <c r="C402" s="60">
        <f>OR(BR402=Driver!$G$50,Data!BR127=Driver!$H$50)</f>
        <v/>
      </c>
      <c r="D402" s="60">
        <f>OR(BV402=Driver!$G$51,BV402=Driver!$H$51)</f>
        <v/>
      </c>
      <c r="E402" s="60">
        <f>AND(BX402&gt;Driver!$F$54,BX402&lt;Driver!$G$54)</f>
        <v/>
      </c>
      <c r="F402" s="60">
        <f>CL402&gt;Driver!$F$56</f>
        <v/>
      </c>
      <c r="G402" s="60">
        <f>AND(CB402&gt;Driver!$F$55,CB402&lt;Driver!$G$55)</f>
        <v/>
      </c>
      <c r="H402" s="60">
        <f>AND(B402:G402)</f>
        <v/>
      </c>
      <c r="I402" s="60">
        <f>COUNTIFS($H$9:$H$1273,TRUE,$BT$9:$BT$1273,BT402)</f>
        <v/>
      </c>
      <c r="J402" s="60">
        <f t="array" ref="J402">NOT(OR(($H$9:$H$1273=TRUE)*($I$9:$I$1273&gt;0)*($BT$9:$BT$1273=BT402)*($K$9:$K$1273&gt;K402)))</f>
        <v/>
      </c>
      <c r="K402" s="108">
        <f>IFERROR(1-AVERAGE(X402:Y402),"")</f>
        <v/>
      </c>
      <c r="L402" s="108">
        <f>1-X402</f>
        <v/>
      </c>
      <c r="M402" s="108">
        <f>1-Y402</f>
        <v/>
      </c>
      <c r="N402" s="108">
        <f>1-Z402</f>
        <v/>
      </c>
      <c r="O402" s="108">
        <f>1-AA402</f>
        <v/>
      </c>
      <c r="P402" s="108">
        <f>1-AB402</f>
        <v/>
      </c>
      <c r="Q402" s="108" t="n"/>
      <c r="R402" s="108" t="n"/>
      <c r="S402" s="108">
        <f>1-AE402</f>
        <v/>
      </c>
      <c r="T402" s="108">
        <f>1-AF402</f>
        <v/>
      </c>
      <c r="U402" s="108">
        <f>1-AG402</f>
        <v/>
      </c>
      <c r="V402" s="108">
        <f>1-AH402</f>
        <v/>
      </c>
      <c r="W402" s="108">
        <f>1-AI402</f>
        <v/>
      </c>
      <c r="X402" s="108">
        <f>ABS(AJ402-AJ$1)</f>
        <v/>
      </c>
      <c r="Y402" s="108">
        <f>AVERAGE(Z402:AB402)</f>
        <v/>
      </c>
      <c r="Z402" s="108">
        <f>ABS(AL402-AL$1)</f>
        <v/>
      </c>
      <c r="AA402" s="108">
        <f>ABS(AM402-AM$1)</f>
        <v/>
      </c>
      <c r="AB402" s="108">
        <f>ABS(AN402-AN$1)</f>
        <v/>
      </c>
      <c r="AC402" s="108" t="n"/>
      <c r="AD402" s="108" t="n"/>
      <c r="AE402" s="108">
        <f>ABS(AQ$1-AQ402)</f>
        <v/>
      </c>
      <c r="AF402" s="108">
        <f>ABS(AR$1-AR402)</f>
        <v/>
      </c>
      <c r="AG402" s="108">
        <f>ABS(AS$1-AS402)</f>
        <v/>
      </c>
      <c r="AH402" s="108">
        <f>ABS(AT$1-AT402)</f>
        <v/>
      </c>
      <c r="AI402" s="108">
        <f>ABS(AU$1-AU402)</f>
        <v/>
      </c>
      <c r="AJ402" s="108">
        <f>(AV402-Driver!$K$179)/(Driver!$L$179-Driver!$K$179)</f>
        <v/>
      </c>
      <c r="AK402" s="108">
        <f>(AW402-Driver!$K$180)/(Driver!$L$180-Driver!$K$180)</f>
        <v/>
      </c>
      <c r="AL402" s="108">
        <f>(AX402-Driver!$K$181)/(Driver!$L$181-Driver!$K$181)</f>
        <v/>
      </c>
      <c r="AM402" s="108">
        <f>(AY402-Driver!$K$182)/(Driver!$L$182-Driver!$K$182)</f>
        <v/>
      </c>
      <c r="AN402" s="108">
        <f>(AZ402-Driver!$K$183)/(Driver!$L$183-Driver!$K$183)</f>
        <v/>
      </c>
      <c r="AO402" s="108" t="n"/>
      <c r="AP402" s="108" t="n"/>
      <c r="AQ402" s="108">
        <f>(BC402-Driver!$K$188)/(Driver!$L$188-Driver!$K$188)</f>
        <v/>
      </c>
      <c r="AR402" s="108">
        <f>MIN((BD402-Driver!$K$189)/(Driver!$L$189-Driver!$K$189),100%)</f>
        <v/>
      </c>
      <c r="AS402" s="108">
        <f>(BE402-Driver!$K$190)/(Driver!$L$190-Driver!$K$190)</f>
        <v/>
      </c>
      <c r="AT402" s="108">
        <f>(BF402-Driver!$K$191)/(Driver!$L$191-Driver!$K$191)</f>
        <v/>
      </c>
      <c r="AU402" s="108">
        <f>(BG402-Driver!$K$192)/(Driver!$L$192-Driver!$K$192)</f>
        <v/>
      </c>
      <c r="AV402" s="105">
        <f>IFERROR(BM402*BJ402^1/4,"")</f>
        <v/>
      </c>
      <c r="AW402" s="105">
        <f>IFERROR(SUM(AX402:AZ402),"")</f>
        <v/>
      </c>
      <c r="AX402" s="105">
        <f>IFERROR(BH402,"")</f>
        <v/>
      </c>
      <c r="AY402" s="105">
        <f>IFERROR(Driver!$K$19/Data!BH402/Data!BI402*Data!BK402*Data!BL402,"")</f>
        <v/>
      </c>
      <c r="AZ402" s="105">
        <f>IFERROR(BI402*BN402,"")</f>
        <v/>
      </c>
      <c r="BA402" s="105" t="n"/>
      <c r="BB402" s="105" t="n"/>
      <c r="BC402" s="105">
        <f>IFERROR(BI402*BN402*BK402/BJ402^(1/2),"")</f>
        <v/>
      </c>
      <c r="BD402" s="105">
        <f>IFERROR(BH402*BM402*BL402/BJ402/BK402,"")</f>
        <v/>
      </c>
      <c r="BE402" s="105">
        <f>IFERROR(MIN(BI402/BQ402/BP402/BO402/BH402,$BE$1),"")</f>
        <v/>
      </c>
      <c r="BF402" s="105">
        <f>IFERROR(BJ402*BO402*BP402/BK402,"")</f>
        <v/>
      </c>
      <c r="BG402" s="105">
        <f>IFERROR(1/BM402/BH402*BQ402,"")</f>
        <v/>
      </c>
      <c r="BH402" s="102">
        <f>MAX((CE402-Driver!$F$200)/(Driver!$G$200-Driver!$F$200)*$BI$1,1)</f>
        <v/>
      </c>
      <c r="BI402" s="102">
        <f>MAX($BI$1*(BY402-Driver!$F$201)/(Driver!$G$201-Driver!$F$201),1)</f>
        <v/>
      </c>
      <c r="BJ402" s="102">
        <f>(CB402-Driver!$F$206)/(Driver!$G$206-Driver!$F$206)*$BI$1</f>
        <v/>
      </c>
      <c r="BK402" s="102">
        <f>(CD402-Driver!$F$203)/(Driver!$G$203-Driver!$F$203)*$BI$1</f>
        <v/>
      </c>
      <c r="BL402" s="102">
        <f>MAX((CR402-Driver!$F$202)/(Driver!$G$202-Driver!$F$202)*$BI$1,1)</f>
        <v/>
      </c>
      <c r="BM402" s="102">
        <f>MAX((CH402-Driver!$F$204)/(Driver!$G$204-Driver!$F$204)*$BI$1,1)</f>
        <v/>
      </c>
      <c r="BN402" s="102">
        <f>(CI402-Driver!$F$205)/(Driver!$G$205-Driver!$F$205)*$BI$1</f>
        <v/>
      </c>
      <c r="BO402" s="102">
        <f>(CK402-Driver!$F$207)/(Driver!$G$207-Driver!$F$207)*$BI$1</f>
        <v/>
      </c>
      <c r="BP402" s="102">
        <f>(CM402-Driver!$F$208)/(Driver!$G$208-Driver!$F$208)*$BI$1</f>
        <v/>
      </c>
      <c r="BQ402" s="102">
        <f>(CL402-Driver!$F$209)/(Driver!$G$209-Driver!$F$209)*$BI$1</f>
        <v/>
      </c>
      <c r="BR402" s="40" t="inlineStr">
        <is>
          <t>21/22</t>
        </is>
      </c>
      <c r="BS402" s="10" t="inlineStr">
        <is>
          <t xml:space="preserve"> Atomic</t>
        </is>
      </c>
      <c r="BT402" s="11" t="inlineStr">
        <is>
          <t>Backland 95</t>
        </is>
      </c>
      <c r="BU402" s="13" t="n">
        <v>169</v>
      </c>
      <c r="BV402" s="11" t="inlineStr">
        <is>
          <t xml:space="preserve"> Unisex</t>
        </is>
      </c>
      <c r="BW402" s="13" t="n">
        <v>169</v>
      </c>
      <c r="BX402" s="13" t="n">
        <v>167.5</v>
      </c>
      <c r="BY402" s="13" t="n">
        <v>127</v>
      </c>
      <c r="BZ402" s="13" t="n">
        <v>138</v>
      </c>
      <c r="CA402" s="13" t="n">
        <v>125</v>
      </c>
      <c r="CB402" s="13" t="n">
        <v>93</v>
      </c>
      <c r="CC402" s="13" t="n">
        <v>113</v>
      </c>
      <c r="CD402" s="13" t="n">
        <v>17.3</v>
      </c>
      <c r="CE402" s="13" t="n">
        <v>1331</v>
      </c>
      <c r="CF402" s="13" t="n">
        <v>1.3</v>
      </c>
      <c r="CG402" s="13" t="n">
        <v>1725</v>
      </c>
      <c r="CH402" s="13" t="n">
        <v>187</v>
      </c>
      <c r="CI402" s="13" t="n">
        <v>85</v>
      </c>
      <c r="CJ402" s="13" t="n">
        <v>49</v>
      </c>
      <c r="CK402" s="13" t="n">
        <v>243</v>
      </c>
      <c r="CL402" s="13" t="n">
        <v>10</v>
      </c>
      <c r="CM402" s="13" t="n">
        <v>159</v>
      </c>
      <c r="CN402" s="13" t="n">
        <v>0.196</v>
      </c>
      <c r="CO402" s="13" t="n">
        <v>175</v>
      </c>
      <c r="CP402" s="13" t="n">
        <v>117</v>
      </c>
      <c r="CQ402" s="13" t="n">
        <v>68</v>
      </c>
      <c r="CR402" s="13" t="n">
        <v>4</v>
      </c>
      <c r="CS402" s="13" t="n">
        <v>11.6</v>
      </c>
      <c r="CT402" s="11" t="inlineStr">
        <is>
          <t xml:space="preserve"> Touring</t>
        </is>
      </c>
      <c r="CU402" s="11" t="inlineStr">
        <is>
          <t xml:space="preserve"> Ultralight Touring</t>
        </is>
      </c>
      <c r="CV402" s="13" t="n"/>
      <c r="CW402" s="13" t="n"/>
      <c r="CX402">
        <f>INDEX('Data_Price '!AG$2:AG$1266,MATCH(Data!$DN402,'Data_Price '!$AT$2:$AT$1266,0))</f>
        <v/>
      </c>
      <c r="CY402">
        <f>INDEX('Data_Price '!AH$2:AH$1266,MATCH(Data!$DN402,'Data_Price '!$AT$2:$AT$1266,0))</f>
        <v/>
      </c>
      <c r="CZ402">
        <f>INDEX('Data_Price '!AI$2:AI$1266,MATCH(Data!$DN402,'Data_Price '!$AT$2:$AT$1266,0))</f>
        <v/>
      </c>
      <c r="DA402">
        <f>INDEX('Data_Price '!AJ$2:AJ$1266,MATCH(Data!$DN402,'Data_Price '!$AT$2:$AT$1266,0))</f>
        <v/>
      </c>
      <c r="DB402">
        <f>INDEX('Data_Price '!AK$2:AK$1266,MATCH(Data!$DN402,'Data_Price '!$AT$2:$AT$1266,0))</f>
        <v/>
      </c>
      <c r="DC402">
        <f>INDEX('Data_Price '!AL$2:AL$1266,MATCH(Data!$DN402,'Data_Price '!$AT$2:$AT$1266,0))</f>
        <v/>
      </c>
      <c r="DD402">
        <f>INDEX('Data_Price '!AM$2:AM$1266,MATCH(Data!$DN402,'Data_Price '!$AT$2:$AT$1266,0))</f>
        <v/>
      </c>
      <c r="DE402">
        <f>INDEX('Data_Price '!AN$2:AN$1266,MATCH(Data!$DN402,'Data_Price '!$AT$2:$AT$1266,0))</f>
        <v/>
      </c>
      <c r="DF402">
        <f>INDEX('Data_Price '!AO$2:AO$1266,MATCH(Data!$DN402,'Data_Price '!$AT$2:$AT$1266,0))</f>
        <v/>
      </c>
      <c r="DG402">
        <f>INDEX('Data_Price '!AP$2:AP$1266,MATCH(Data!$DN402,'Data_Price '!$AT$2:$AT$1266,0))</f>
        <v/>
      </c>
      <c r="DH402">
        <f>INDEX('Data_Price '!AQ$2:AQ$1266,MATCH(Data!$DN402,'Data_Price '!$AT$2:$AT$1266,0))</f>
        <v/>
      </c>
      <c r="DI402">
        <f>INDEX('Data_Price '!AR$2:AR$1266,MATCH(Data!$DN402,'Data_Price '!$AT$2:$AT$1266,0))</f>
        <v/>
      </c>
      <c r="DJ402" s="138">
        <f>DA402</f>
        <v/>
      </c>
      <c r="DK402" s="138">
        <f>DE402</f>
        <v/>
      </c>
      <c r="DL402" s="138">
        <f>DI402</f>
        <v/>
      </c>
      <c r="DM402" s="303">
        <f>IF(LEFT(BT402,1)=" ",RIGHT(BT402,LEN(BT402)-1),BT402)</f>
        <v/>
      </c>
      <c r="DN402" s="138">
        <f>_xlfn.CONCAT(BS402,DM402,BU402,BV402)</f>
        <v/>
      </c>
      <c r="DO402" s="307" t="inlineStr">
        <is>
          <t>https://images.evo.com/imgp/250/197752/826838/atomic-backland-95-skis-2023-.jpg</t>
        </is>
      </c>
    </row>
    <row r="403" ht="15.6" customHeight="1" s="184">
      <c r="B403" s="303">
        <f t="array" ref="B403">IF(OR(ISERROR(K403:P403)),FALSE,TRUE)</f>
        <v/>
      </c>
      <c r="C403" s="60">
        <f>OR(BR403=Driver!$G$50,Data!BR774=Driver!$H$50)</f>
        <v/>
      </c>
      <c r="D403" s="60">
        <f>OR(BV403=Driver!$G$51,BV403=Driver!$H$51)</f>
        <v/>
      </c>
      <c r="E403" s="60">
        <f>AND(BX403&gt;Driver!$F$54,BX403&lt;Driver!$G$54)</f>
        <v/>
      </c>
      <c r="F403" s="60">
        <f>CL403&gt;Driver!$F$56</f>
        <v/>
      </c>
      <c r="G403" s="60">
        <f>AND(CB403&gt;Driver!$F$55,CB403&lt;Driver!$G$55)</f>
        <v/>
      </c>
      <c r="H403" s="60">
        <f>AND(B403:G403)</f>
        <v/>
      </c>
      <c r="I403" s="60">
        <f>COUNTIFS($H$9:$H$1273,TRUE,$BT$9:$BT$1273,BT403)</f>
        <v/>
      </c>
      <c r="J403" s="60">
        <f t="array" ref="J403">NOT(OR(($H$9:$H$1273=TRUE)*($I$9:$I$1273&gt;0)*($BT$9:$BT$1273=BT403)*($K$9:$K$1273&gt;K403)))</f>
        <v/>
      </c>
      <c r="K403" s="108">
        <f>IFERROR(1-AVERAGE(X403:Y403),"")</f>
        <v/>
      </c>
      <c r="L403" s="108">
        <f>1-X403</f>
        <v/>
      </c>
      <c r="M403" s="108">
        <f>1-Y403</f>
        <v/>
      </c>
      <c r="N403" s="108">
        <f>1-Z403</f>
        <v/>
      </c>
      <c r="O403" s="108">
        <f>1-AA403</f>
        <v/>
      </c>
      <c r="P403" s="108">
        <f>1-AB403</f>
        <v/>
      </c>
      <c r="Q403" s="108" t="n"/>
      <c r="R403" s="108" t="n"/>
      <c r="S403" s="108">
        <f>1-AE403</f>
        <v/>
      </c>
      <c r="T403" s="108">
        <f>1-AF403</f>
        <v/>
      </c>
      <c r="U403" s="108">
        <f>1-AG403</f>
        <v/>
      </c>
      <c r="V403" s="108">
        <f>1-AH403</f>
        <v/>
      </c>
      <c r="W403" s="108">
        <f>1-AI403</f>
        <v/>
      </c>
      <c r="X403" s="108">
        <f>ABS(AJ403-AJ$1)</f>
        <v/>
      </c>
      <c r="Y403" s="108">
        <f>AVERAGE(Z403:AB403)</f>
        <v/>
      </c>
      <c r="Z403" s="108">
        <f>ABS(AL403-AL$1)</f>
        <v/>
      </c>
      <c r="AA403" s="108">
        <f>ABS(AM403-AM$1)</f>
        <v/>
      </c>
      <c r="AB403" s="108">
        <f>ABS(AN403-AN$1)</f>
        <v/>
      </c>
      <c r="AC403" s="108" t="n"/>
      <c r="AD403" s="108" t="n"/>
      <c r="AE403" s="108">
        <f>ABS(AQ$1-AQ403)</f>
        <v/>
      </c>
      <c r="AF403" s="108">
        <f>ABS(AR$1-AR403)</f>
        <v/>
      </c>
      <c r="AG403" s="108">
        <f>ABS(AS$1-AS403)</f>
        <v/>
      </c>
      <c r="AH403" s="108">
        <f>ABS(AT$1-AT403)</f>
        <v/>
      </c>
      <c r="AI403" s="108">
        <f>ABS(AU$1-AU403)</f>
        <v/>
      </c>
      <c r="AJ403" s="108">
        <f>(AV403-Driver!$K$179)/(Driver!$L$179-Driver!$K$179)</f>
        <v/>
      </c>
      <c r="AK403" s="108">
        <f>(AW403-Driver!$K$180)/(Driver!$L$180-Driver!$K$180)</f>
        <v/>
      </c>
      <c r="AL403" s="108">
        <f>(AX403-Driver!$K$181)/(Driver!$L$181-Driver!$K$181)</f>
        <v/>
      </c>
      <c r="AM403" s="108">
        <f>(AY403-Driver!$K$182)/(Driver!$L$182-Driver!$K$182)</f>
        <v/>
      </c>
      <c r="AN403" s="108">
        <f>(AZ403-Driver!$K$183)/(Driver!$L$183-Driver!$K$183)</f>
        <v/>
      </c>
      <c r="AO403" s="108" t="n"/>
      <c r="AP403" s="108" t="n"/>
      <c r="AQ403" s="108">
        <f>(BC403-Driver!$K$188)/(Driver!$L$188-Driver!$K$188)</f>
        <v/>
      </c>
      <c r="AR403" s="108">
        <f>MIN((BD403-Driver!$K$189)/(Driver!$L$189-Driver!$K$189),100%)</f>
        <v/>
      </c>
      <c r="AS403" s="108">
        <f>(BE403-Driver!$K$190)/(Driver!$L$190-Driver!$K$190)</f>
        <v/>
      </c>
      <c r="AT403" s="108">
        <f>(BF403-Driver!$K$191)/(Driver!$L$191-Driver!$K$191)</f>
        <v/>
      </c>
      <c r="AU403" s="108">
        <f>(BG403-Driver!$K$192)/(Driver!$L$192-Driver!$K$192)</f>
        <v/>
      </c>
      <c r="AV403" s="105">
        <f>IFERROR(BM403*BJ403^1/4,"")</f>
        <v/>
      </c>
      <c r="AW403" s="105">
        <f>IFERROR(SUM(AX403:AZ403),"")</f>
        <v/>
      </c>
      <c r="AX403" s="105">
        <f>IFERROR(BH403,"")</f>
        <v/>
      </c>
      <c r="AY403" s="105">
        <f>IFERROR(Driver!$K$19/Data!BH403/Data!BI403*Data!BK403*Data!BL403,"")</f>
        <v/>
      </c>
      <c r="AZ403" s="105">
        <f>IFERROR(BI403*BN403,"")</f>
        <v/>
      </c>
      <c r="BA403" s="105" t="n"/>
      <c r="BB403" s="105" t="n"/>
      <c r="BC403" s="105">
        <f>IFERROR(BI403*BN403*BK403/BJ403^(1/2),"")</f>
        <v/>
      </c>
      <c r="BD403" s="105">
        <f>IFERROR(BH403*BM403*BL403/BJ403/BK403,"")</f>
        <v/>
      </c>
      <c r="BE403" s="105">
        <f>IFERROR(MIN(BI403/BQ403/BP403/BO403/BH403,$BE$1),"")</f>
        <v/>
      </c>
      <c r="BF403" s="105">
        <f>IFERROR(BJ403*BO403*BP403/BK403,"")</f>
        <v/>
      </c>
      <c r="BG403" s="105">
        <f>IFERROR(1/BM403/BH403*BQ403,"")</f>
        <v/>
      </c>
      <c r="BH403" s="102">
        <f>MAX((CE403-Driver!$F$200)/(Driver!$G$200-Driver!$F$200)*$BI$1,1)</f>
        <v/>
      </c>
      <c r="BI403" s="102">
        <f>MAX($BI$1*(BY403-Driver!$F$201)/(Driver!$G$201-Driver!$F$201),1)</f>
        <v/>
      </c>
      <c r="BJ403" s="102">
        <f>(CB403-Driver!$F$206)/(Driver!$G$206-Driver!$F$206)*$BI$1</f>
        <v/>
      </c>
      <c r="BK403" s="102">
        <f>(CD403-Driver!$F$203)/(Driver!$G$203-Driver!$F$203)*$BI$1</f>
        <v/>
      </c>
      <c r="BL403" s="102">
        <f>MAX((CR403-Driver!$F$202)/(Driver!$G$202-Driver!$F$202)*$BI$1,1)</f>
        <v/>
      </c>
      <c r="BM403" s="102">
        <f>MAX((CH403-Driver!$F$204)/(Driver!$G$204-Driver!$F$204)*$BI$1,1)</f>
        <v/>
      </c>
      <c r="BN403" s="102">
        <f>(CI403-Driver!$F$205)/(Driver!$G$205-Driver!$F$205)*$BI$1</f>
        <v/>
      </c>
      <c r="BO403" s="102">
        <f>(CK403-Driver!$F$207)/(Driver!$G$207-Driver!$F$207)*$BI$1</f>
        <v/>
      </c>
      <c r="BP403" s="102">
        <f>(CM403-Driver!$F$208)/(Driver!$G$208-Driver!$F$208)*$BI$1</f>
        <v/>
      </c>
      <c r="BQ403" s="102">
        <f>(CL403-Driver!$F$209)/(Driver!$G$209-Driver!$F$209)*$BI$1</f>
        <v/>
      </c>
      <c r="BR403" s="40" t="inlineStr">
        <is>
          <t>21/22</t>
        </is>
      </c>
      <c r="BS403" s="10" t="inlineStr">
        <is>
          <t xml:space="preserve"> K2</t>
        </is>
      </c>
      <c r="BT403" s="11" t="inlineStr">
        <is>
          <t>Reckoner 92</t>
        </is>
      </c>
      <c r="BU403" s="13" t="n">
        <v>179</v>
      </c>
      <c r="BV403" s="11" t="inlineStr">
        <is>
          <t xml:space="preserve"> Unisex</t>
        </is>
      </c>
      <c r="BW403" s="13" t="n">
        <v>179</v>
      </c>
      <c r="BX403" s="13" t="n">
        <v>178.8</v>
      </c>
      <c r="BY403" s="13" t="n">
        <v>121</v>
      </c>
      <c r="BZ403" s="13" t="n">
        <v>153</v>
      </c>
      <c r="CA403" s="13" t="n">
        <v>123</v>
      </c>
      <c r="CB403" s="13" t="n">
        <v>90</v>
      </c>
      <c r="CC403" s="13" t="n">
        <v>113</v>
      </c>
      <c r="CD403" s="13" t="n">
        <v>19.8</v>
      </c>
      <c r="CE403" s="13" t="n">
        <v>1790</v>
      </c>
      <c r="CF403" s="13" t="n">
        <v>1.01</v>
      </c>
      <c r="CG403" s="13" t="n">
        <v>1806</v>
      </c>
      <c r="CH403" s="13" t="n">
        <v>185</v>
      </c>
      <c r="CI403" s="13" t="n">
        <v>84</v>
      </c>
      <c r="CJ403" s="13" t="n">
        <v>47</v>
      </c>
      <c r="CK403" s="13" t="n">
        <v>303</v>
      </c>
      <c r="CL403" s="13" t="n">
        <v>44</v>
      </c>
      <c r="CM403" s="13" t="n">
        <v>280</v>
      </c>
      <c r="CN403" s="13" t="n">
        <v>0.921</v>
      </c>
      <c r="CO403" s="13" t="n">
        <v>115</v>
      </c>
      <c r="CP403" s="13" t="n">
        <v>146</v>
      </c>
      <c r="CQ403" s="13" t="n">
        <v>187</v>
      </c>
      <c r="CR403" s="13" t="n">
        <v>8</v>
      </c>
      <c r="CS403" s="13" t="n">
        <v>5.5</v>
      </c>
      <c r="CT403" s="11" t="inlineStr">
        <is>
          <t xml:space="preserve"> Freeski</t>
        </is>
      </c>
      <c r="CU403" s="13" t="n"/>
      <c r="CV403" s="13" t="n"/>
      <c r="CW403" s="13" t="n"/>
      <c r="CX403">
        <f>INDEX('Data_Price '!AG$2:AG$1266,MATCH(Data!$DN403,'Data_Price '!$AT$2:$AT$1266,0))</f>
        <v/>
      </c>
      <c r="CY403">
        <f>INDEX('Data_Price '!AH$2:AH$1266,MATCH(Data!$DN403,'Data_Price '!$AT$2:$AT$1266,0))</f>
        <v/>
      </c>
      <c r="CZ403">
        <f>INDEX('Data_Price '!AI$2:AI$1266,MATCH(Data!$DN403,'Data_Price '!$AT$2:$AT$1266,0))</f>
        <v/>
      </c>
      <c r="DA403">
        <f>INDEX('Data_Price '!AJ$2:AJ$1266,MATCH(Data!$DN403,'Data_Price '!$AT$2:$AT$1266,0))</f>
        <v/>
      </c>
      <c r="DB403">
        <f>INDEX('Data_Price '!AK$2:AK$1266,MATCH(Data!$DN403,'Data_Price '!$AT$2:$AT$1266,0))</f>
        <v/>
      </c>
      <c r="DC403">
        <f>INDEX('Data_Price '!AL$2:AL$1266,MATCH(Data!$DN403,'Data_Price '!$AT$2:$AT$1266,0))</f>
        <v/>
      </c>
      <c r="DD403">
        <f>INDEX('Data_Price '!AM$2:AM$1266,MATCH(Data!$DN403,'Data_Price '!$AT$2:$AT$1266,0))</f>
        <v/>
      </c>
      <c r="DE403">
        <f>INDEX('Data_Price '!AN$2:AN$1266,MATCH(Data!$DN403,'Data_Price '!$AT$2:$AT$1266,0))</f>
        <v/>
      </c>
      <c r="DF403">
        <f>INDEX('Data_Price '!AO$2:AO$1266,MATCH(Data!$DN403,'Data_Price '!$AT$2:$AT$1266,0))</f>
        <v/>
      </c>
      <c r="DG403">
        <f>INDEX('Data_Price '!AP$2:AP$1266,MATCH(Data!$DN403,'Data_Price '!$AT$2:$AT$1266,0))</f>
        <v/>
      </c>
      <c r="DH403">
        <f>INDEX('Data_Price '!AQ$2:AQ$1266,MATCH(Data!$DN403,'Data_Price '!$AT$2:$AT$1266,0))</f>
        <v/>
      </c>
      <c r="DI403">
        <f>INDEX('Data_Price '!AR$2:AR$1266,MATCH(Data!$DN403,'Data_Price '!$AT$2:$AT$1266,0))</f>
        <v/>
      </c>
      <c r="DJ403" s="138">
        <f>DA403</f>
        <v/>
      </c>
      <c r="DK403" s="138">
        <f>DE403</f>
        <v/>
      </c>
      <c r="DL403" s="138">
        <f>DI403</f>
        <v/>
      </c>
      <c r="DM403" s="303">
        <f>IF(LEFT(BT403,1)=" ",RIGHT(BT403,LEN(BT403)-1),BT403)</f>
        <v/>
      </c>
      <c r="DN403" s="138">
        <f>_xlfn.CONCAT(BS403,DM403,BU403,BV403)</f>
        <v/>
      </c>
      <c r="DO403" s="307" t="inlineStr">
        <is>
          <t>https://images.evo.com/imgp/250/201067/825046/k2-reckoner-92-skis-2022-.jpg</t>
        </is>
      </c>
    </row>
    <row r="404" ht="15.6" customHeight="1" s="184">
      <c r="B404" s="303">
        <f t="array" ref="B404">IF(OR(ISERROR(K404:P404)),FALSE,TRUE)</f>
        <v/>
      </c>
      <c r="C404" s="60">
        <f>OR(BR404=Driver!$G$50,Data!BR267=Driver!$H$50)</f>
        <v/>
      </c>
      <c r="D404" s="60">
        <f>OR(BV404=Driver!$G$51,BV404=Driver!$H$51)</f>
        <v/>
      </c>
      <c r="E404" s="60">
        <f>AND(BX404&gt;Driver!$F$54,BX404&lt;Driver!$G$54)</f>
        <v/>
      </c>
      <c r="F404" s="60">
        <f>CL404&gt;Driver!$F$56</f>
        <v/>
      </c>
      <c r="G404" s="60">
        <f>AND(CB404&gt;Driver!$F$55,CB404&lt;Driver!$G$55)</f>
        <v/>
      </c>
      <c r="H404" s="60">
        <f>AND(B404:G404)</f>
        <v/>
      </c>
      <c r="I404" s="60">
        <f>COUNTIFS($H$9:$H$1273,TRUE,$BT$9:$BT$1273,BT404)</f>
        <v/>
      </c>
      <c r="J404" s="60">
        <f t="array" ref="J404">NOT(OR(($H$9:$H$1273=TRUE)*($I$9:$I$1273&gt;0)*($BT$9:$BT$1273=BT404)*($K$9:$K$1273&gt;K404)))</f>
        <v/>
      </c>
      <c r="K404" s="108">
        <f>IFERROR(1-AVERAGE(X404:Y404),"")</f>
        <v/>
      </c>
      <c r="L404" s="108">
        <f>1-X404</f>
        <v/>
      </c>
      <c r="M404" s="108">
        <f>1-Y404</f>
        <v/>
      </c>
      <c r="N404" s="108">
        <f>1-Z404</f>
        <v/>
      </c>
      <c r="O404" s="108">
        <f>1-AA404</f>
        <v/>
      </c>
      <c r="P404" s="108">
        <f>1-AB404</f>
        <v/>
      </c>
      <c r="Q404" s="108" t="n"/>
      <c r="R404" s="108" t="n"/>
      <c r="S404" s="108">
        <f>1-AE404</f>
        <v/>
      </c>
      <c r="T404" s="108">
        <f>1-AF404</f>
        <v/>
      </c>
      <c r="U404" s="108">
        <f>1-AG404</f>
        <v/>
      </c>
      <c r="V404" s="108">
        <f>1-AH404</f>
        <v/>
      </c>
      <c r="W404" s="108">
        <f>1-AI404</f>
        <v/>
      </c>
      <c r="X404" s="108">
        <f>ABS(AJ404-AJ$1)</f>
        <v/>
      </c>
      <c r="Y404" s="108">
        <f>AVERAGE(Z404:AB404)</f>
        <v/>
      </c>
      <c r="Z404" s="108">
        <f>ABS(AL404-AL$1)</f>
        <v/>
      </c>
      <c r="AA404" s="108">
        <f>ABS(AM404-AM$1)</f>
        <v/>
      </c>
      <c r="AB404" s="108">
        <f>ABS(AN404-AN$1)</f>
        <v/>
      </c>
      <c r="AC404" s="108" t="n"/>
      <c r="AD404" s="108" t="n"/>
      <c r="AE404" s="108">
        <f>ABS(AQ$1-AQ404)</f>
        <v/>
      </c>
      <c r="AF404" s="108">
        <f>ABS(AR$1-AR404)</f>
        <v/>
      </c>
      <c r="AG404" s="108">
        <f>ABS(AS$1-AS404)</f>
        <v/>
      </c>
      <c r="AH404" s="108">
        <f>ABS(AT$1-AT404)</f>
        <v/>
      </c>
      <c r="AI404" s="108">
        <f>ABS(AU$1-AU404)</f>
        <v/>
      </c>
      <c r="AJ404" s="108">
        <f>(AV404-Driver!$K$179)/(Driver!$L$179-Driver!$K$179)</f>
        <v/>
      </c>
      <c r="AK404" s="108">
        <f>(AW404-Driver!$K$180)/(Driver!$L$180-Driver!$K$180)</f>
        <v/>
      </c>
      <c r="AL404" s="108">
        <f>(AX404-Driver!$K$181)/(Driver!$L$181-Driver!$K$181)</f>
        <v/>
      </c>
      <c r="AM404" s="108">
        <f>(AY404-Driver!$K$182)/(Driver!$L$182-Driver!$K$182)</f>
        <v/>
      </c>
      <c r="AN404" s="108">
        <f>(AZ404-Driver!$K$183)/(Driver!$L$183-Driver!$K$183)</f>
        <v/>
      </c>
      <c r="AO404" s="108" t="n"/>
      <c r="AP404" s="108" t="n"/>
      <c r="AQ404" s="108">
        <f>(BC404-Driver!$K$188)/(Driver!$L$188-Driver!$K$188)</f>
        <v/>
      </c>
      <c r="AR404" s="108">
        <f>MIN((BD404-Driver!$K$189)/(Driver!$L$189-Driver!$K$189),100%)</f>
        <v/>
      </c>
      <c r="AS404" s="108">
        <f>(BE404-Driver!$K$190)/(Driver!$L$190-Driver!$K$190)</f>
        <v/>
      </c>
      <c r="AT404" s="108">
        <f>(BF404-Driver!$K$191)/(Driver!$L$191-Driver!$K$191)</f>
        <v/>
      </c>
      <c r="AU404" s="108">
        <f>(BG404-Driver!$K$192)/(Driver!$L$192-Driver!$K$192)</f>
        <v/>
      </c>
      <c r="AV404" s="105">
        <f>IFERROR(BM404*BJ404^1/4,"")</f>
        <v/>
      </c>
      <c r="AW404" s="105">
        <f>IFERROR(SUM(AX404:AZ404),"")</f>
        <v/>
      </c>
      <c r="AX404" s="105">
        <f>IFERROR(BH404,"")</f>
        <v/>
      </c>
      <c r="AY404" s="105">
        <f>IFERROR(Driver!$K$19/Data!BH404/Data!BI404*Data!BK404*Data!BL404,"")</f>
        <v/>
      </c>
      <c r="AZ404" s="105">
        <f>IFERROR(BI404*BN404,"")</f>
        <v/>
      </c>
      <c r="BA404" s="105" t="n"/>
      <c r="BB404" s="105" t="n"/>
      <c r="BC404" s="105">
        <f>IFERROR(BI404*BN404*BK404/BJ404^(1/2),"")</f>
        <v/>
      </c>
      <c r="BD404" s="105">
        <f>IFERROR(BH404*BM404*BL404/BJ404/BK404,"")</f>
        <v/>
      </c>
      <c r="BE404" s="105">
        <f>IFERROR(MIN(BI404/BQ404/BP404/BO404/BH404,$BE$1),"")</f>
        <v/>
      </c>
      <c r="BF404" s="105">
        <f>IFERROR(BJ404*BO404*BP404/BK404,"")</f>
        <v/>
      </c>
      <c r="BG404" s="105">
        <f>IFERROR(1/BM404/BH404*BQ404,"")</f>
        <v/>
      </c>
      <c r="BH404" s="102">
        <f>MAX((CE404-Driver!$F$200)/(Driver!$G$200-Driver!$F$200)*$BI$1,1)</f>
        <v/>
      </c>
      <c r="BI404" s="102">
        <f>MAX($BI$1*(BY404-Driver!$F$201)/(Driver!$G$201-Driver!$F$201),1)</f>
        <v/>
      </c>
      <c r="BJ404" s="102">
        <f>(CB404-Driver!$F$206)/(Driver!$G$206-Driver!$F$206)*$BI$1</f>
        <v/>
      </c>
      <c r="BK404" s="102">
        <f>(CD404-Driver!$F$203)/(Driver!$G$203-Driver!$F$203)*$BI$1</f>
        <v/>
      </c>
      <c r="BL404" s="102">
        <f>MAX((CR404-Driver!$F$202)/(Driver!$G$202-Driver!$F$202)*$BI$1,1)</f>
        <v/>
      </c>
      <c r="BM404" s="102">
        <f>MAX((CH404-Driver!$F$204)/(Driver!$G$204-Driver!$F$204)*$BI$1,1)</f>
        <v/>
      </c>
      <c r="BN404" s="102">
        <f>(CI404-Driver!$F$205)/(Driver!$G$205-Driver!$F$205)*$BI$1</f>
        <v/>
      </c>
      <c r="BO404" s="102">
        <f>(CK404-Driver!$F$207)/(Driver!$G$207-Driver!$F$207)*$BI$1</f>
        <v/>
      </c>
      <c r="BP404" s="102">
        <f>(CM404-Driver!$F$208)/(Driver!$G$208-Driver!$F$208)*$BI$1</f>
        <v/>
      </c>
      <c r="BQ404" s="102">
        <f>(CL404-Driver!$F$209)/(Driver!$G$209-Driver!$F$209)*$BI$1</f>
        <v/>
      </c>
      <c r="BR404" s="40" t="inlineStr">
        <is>
          <t>21/22</t>
        </is>
      </c>
      <c r="BS404" s="10" t="inlineStr">
        <is>
          <t xml:space="preserve"> Blizzard</t>
        </is>
      </c>
      <c r="BT404" s="11" t="inlineStr">
        <is>
          <t>Black Pearl 97</t>
        </is>
      </c>
      <c r="BU404" s="13" t="n">
        <v>171</v>
      </c>
      <c r="BV404" s="11" t="inlineStr">
        <is>
          <t xml:space="preserve"> Women's</t>
        </is>
      </c>
      <c r="BW404" s="13" t="n">
        <v>171</v>
      </c>
      <c r="BX404" s="13" t="n">
        <v>169.8</v>
      </c>
      <c r="BY404" s="13" t="n">
        <v>134</v>
      </c>
      <c r="BZ404" s="13" t="n">
        <v>146</v>
      </c>
      <c r="CA404" s="13" t="n">
        <v>136</v>
      </c>
      <c r="CB404" s="13" t="n">
        <v>96</v>
      </c>
      <c r="CC404" s="13" t="n">
        <v>118</v>
      </c>
      <c r="CD404" s="13" t="n">
        <v>16.8</v>
      </c>
      <c r="CE404" s="13" t="n">
        <v>1926</v>
      </c>
      <c r="CF404" s="13" t="n">
        <v>0.95</v>
      </c>
      <c r="CG404" s="13" t="n">
        <v>1836</v>
      </c>
      <c r="CH404" s="13" t="n">
        <v>190</v>
      </c>
      <c r="CI404" s="13" t="n">
        <v>105</v>
      </c>
      <c r="CJ404" s="13" t="n">
        <v>57</v>
      </c>
      <c r="CK404" s="13" t="n">
        <v>244</v>
      </c>
      <c r="CL404" s="13" t="n">
        <v>8</v>
      </c>
      <c r="CM404" s="13" t="n">
        <v>116</v>
      </c>
      <c r="CN404" s="13" t="n">
        <v>0.14</v>
      </c>
      <c r="CO404" s="13" t="n">
        <v>128</v>
      </c>
      <c r="CP404" s="13" t="n">
        <v>112</v>
      </c>
      <c r="CQ404" s="13" t="n">
        <v>116</v>
      </c>
      <c r="CR404" s="13" t="n">
        <v>4</v>
      </c>
      <c r="CS404" s="13" t="n">
        <v>11.4</v>
      </c>
      <c r="CT404" s="11" t="inlineStr">
        <is>
          <t xml:space="preserve"> Resort Freeride</t>
        </is>
      </c>
      <c r="CU404" s="13" t="n"/>
      <c r="CV404" s="13" t="n"/>
      <c r="CW404" s="13" t="n"/>
      <c r="CX404">
        <f>INDEX('Data_Price '!AG$2:AG$1266,MATCH(Data!$DN404,'Data_Price '!$AT$2:$AT$1266,0))</f>
        <v/>
      </c>
      <c r="CY404">
        <f>INDEX('Data_Price '!AH$2:AH$1266,MATCH(Data!$DN404,'Data_Price '!$AT$2:$AT$1266,0))</f>
        <v/>
      </c>
      <c r="CZ404">
        <f>INDEX('Data_Price '!AI$2:AI$1266,MATCH(Data!$DN404,'Data_Price '!$AT$2:$AT$1266,0))</f>
        <v/>
      </c>
      <c r="DA404">
        <f>INDEX('Data_Price '!AJ$2:AJ$1266,MATCH(Data!$DN404,'Data_Price '!$AT$2:$AT$1266,0))</f>
        <v/>
      </c>
      <c r="DB404">
        <f>INDEX('Data_Price '!AK$2:AK$1266,MATCH(Data!$DN404,'Data_Price '!$AT$2:$AT$1266,0))</f>
        <v/>
      </c>
      <c r="DC404">
        <f>INDEX('Data_Price '!AL$2:AL$1266,MATCH(Data!$DN404,'Data_Price '!$AT$2:$AT$1266,0))</f>
        <v/>
      </c>
      <c r="DD404">
        <f>INDEX('Data_Price '!AM$2:AM$1266,MATCH(Data!$DN404,'Data_Price '!$AT$2:$AT$1266,0))</f>
        <v/>
      </c>
      <c r="DE404">
        <f>INDEX('Data_Price '!AN$2:AN$1266,MATCH(Data!$DN404,'Data_Price '!$AT$2:$AT$1266,0))</f>
        <v/>
      </c>
      <c r="DF404">
        <f>INDEX('Data_Price '!AO$2:AO$1266,MATCH(Data!$DN404,'Data_Price '!$AT$2:$AT$1266,0))</f>
        <v/>
      </c>
      <c r="DG404">
        <f>INDEX('Data_Price '!AP$2:AP$1266,MATCH(Data!$DN404,'Data_Price '!$AT$2:$AT$1266,0))</f>
        <v/>
      </c>
      <c r="DH404">
        <f>INDEX('Data_Price '!AQ$2:AQ$1266,MATCH(Data!$DN404,'Data_Price '!$AT$2:$AT$1266,0))</f>
        <v/>
      </c>
      <c r="DI404">
        <f>INDEX('Data_Price '!AR$2:AR$1266,MATCH(Data!$DN404,'Data_Price '!$AT$2:$AT$1266,0))</f>
        <v/>
      </c>
      <c r="DJ404" s="138">
        <f>DA404</f>
        <v/>
      </c>
      <c r="DK404" s="138">
        <f>DE404</f>
        <v/>
      </c>
      <c r="DL404" s="138">
        <f>DI404</f>
        <v/>
      </c>
      <c r="DM404" s="303">
        <f>IF(LEFT(BT404,1)=" ",RIGHT(BT404,LEN(BT404)-1),BT404)</f>
        <v/>
      </c>
      <c r="DN404" s="138">
        <f>_xlfn.CONCAT(BS404,DM404,BU404,BV404)</f>
        <v/>
      </c>
      <c r="DO404" s="307" t="inlineStr">
        <is>
          <t>https://images.evo.com/imgp/250/176882/722692/blizzard-black-pearl-97-skis-women-s-2022-.jpg</t>
        </is>
      </c>
    </row>
    <row r="405" ht="15.6" customHeight="1" s="184">
      <c r="B405" s="303">
        <f t="array" ref="B405">IF(OR(ISERROR(K405:P405)),FALSE,TRUE)</f>
        <v/>
      </c>
      <c r="C405" s="60">
        <f>OR(BR405=Driver!$G$50,Data!BR287=Driver!$H$50)</f>
        <v/>
      </c>
      <c r="D405" s="60">
        <f>OR(BV405=Driver!$G$51,BV405=Driver!$H$51)</f>
        <v/>
      </c>
      <c r="E405" s="60">
        <f>AND(BX405&gt;Driver!$F$54,BX405&lt;Driver!$G$54)</f>
        <v/>
      </c>
      <c r="F405" s="60">
        <f>CL405&gt;Driver!$F$56</f>
        <v/>
      </c>
      <c r="G405" s="60">
        <f>AND(CB405&gt;Driver!$F$55,CB405&lt;Driver!$G$55)</f>
        <v/>
      </c>
      <c r="H405" s="60">
        <f>AND(B405:G405)</f>
        <v/>
      </c>
      <c r="I405" s="60">
        <f>COUNTIFS($H$9:$H$1273,TRUE,$BT$9:$BT$1273,BT405)</f>
        <v/>
      </c>
      <c r="J405" s="60">
        <f t="array" ref="J405">NOT(OR(($H$9:$H$1273=TRUE)*($I$9:$I$1273&gt;0)*($BT$9:$BT$1273=BT405)*($K$9:$K$1273&gt;K405)))</f>
        <v/>
      </c>
      <c r="K405" s="108">
        <f>IFERROR(1-AVERAGE(X405:Y405),"")</f>
        <v/>
      </c>
      <c r="L405" s="108">
        <f>1-X405</f>
        <v/>
      </c>
      <c r="M405" s="108">
        <f>1-Y405</f>
        <v/>
      </c>
      <c r="N405" s="108">
        <f>1-Z405</f>
        <v/>
      </c>
      <c r="O405" s="108">
        <f>1-AA405</f>
        <v/>
      </c>
      <c r="P405" s="108">
        <f>1-AB405</f>
        <v/>
      </c>
      <c r="Q405" s="108" t="n"/>
      <c r="R405" s="108" t="n"/>
      <c r="S405" s="108">
        <f>1-AE405</f>
        <v/>
      </c>
      <c r="T405" s="108">
        <f>1-AF405</f>
        <v/>
      </c>
      <c r="U405" s="108">
        <f>1-AG405</f>
        <v/>
      </c>
      <c r="V405" s="108">
        <f>1-AH405</f>
        <v/>
      </c>
      <c r="W405" s="108">
        <f>1-AI405</f>
        <v/>
      </c>
      <c r="X405" s="108">
        <f>ABS(AJ405-AJ$1)</f>
        <v/>
      </c>
      <c r="Y405" s="108">
        <f>AVERAGE(Z405:AB405)</f>
        <v/>
      </c>
      <c r="Z405" s="108">
        <f>ABS(AL405-AL$1)</f>
        <v/>
      </c>
      <c r="AA405" s="108">
        <f>ABS(AM405-AM$1)</f>
        <v/>
      </c>
      <c r="AB405" s="108">
        <f>ABS(AN405-AN$1)</f>
        <v/>
      </c>
      <c r="AC405" s="108" t="n"/>
      <c r="AD405" s="108" t="n"/>
      <c r="AE405" s="108">
        <f>ABS(AQ$1-AQ405)</f>
        <v/>
      </c>
      <c r="AF405" s="108">
        <f>ABS(AR$1-AR405)</f>
        <v/>
      </c>
      <c r="AG405" s="108">
        <f>ABS(AS$1-AS405)</f>
        <v/>
      </c>
      <c r="AH405" s="108">
        <f>ABS(AT$1-AT405)</f>
        <v/>
      </c>
      <c r="AI405" s="108">
        <f>ABS(AU$1-AU405)</f>
        <v/>
      </c>
      <c r="AJ405" s="108">
        <f>(AV405-Driver!$K$179)/(Driver!$L$179-Driver!$K$179)</f>
        <v/>
      </c>
      <c r="AK405" s="108">
        <f>(AW405-Driver!$K$180)/(Driver!$L$180-Driver!$K$180)</f>
        <v/>
      </c>
      <c r="AL405" s="108">
        <f>(AX405-Driver!$K$181)/(Driver!$L$181-Driver!$K$181)</f>
        <v/>
      </c>
      <c r="AM405" s="108">
        <f>(AY405-Driver!$K$182)/(Driver!$L$182-Driver!$K$182)</f>
        <v/>
      </c>
      <c r="AN405" s="108">
        <f>(AZ405-Driver!$K$183)/(Driver!$L$183-Driver!$K$183)</f>
        <v/>
      </c>
      <c r="AO405" s="108" t="n"/>
      <c r="AP405" s="108" t="n"/>
      <c r="AQ405" s="108">
        <f>(BC405-Driver!$K$188)/(Driver!$L$188-Driver!$K$188)</f>
        <v/>
      </c>
      <c r="AR405" s="108">
        <f>MIN((BD405-Driver!$K$189)/(Driver!$L$189-Driver!$K$189),100%)</f>
        <v/>
      </c>
      <c r="AS405" s="108">
        <f>(BE405-Driver!$K$190)/(Driver!$L$190-Driver!$K$190)</f>
        <v/>
      </c>
      <c r="AT405" s="108">
        <f>(BF405-Driver!$K$191)/(Driver!$L$191-Driver!$K$191)</f>
        <v/>
      </c>
      <c r="AU405" s="108">
        <f>(BG405-Driver!$K$192)/(Driver!$L$192-Driver!$K$192)</f>
        <v/>
      </c>
      <c r="AV405" s="105">
        <f>IFERROR(BM405*BJ405^1/4,"")</f>
        <v/>
      </c>
      <c r="AW405" s="105">
        <f>IFERROR(SUM(AX405:AZ405),"")</f>
        <v/>
      </c>
      <c r="AX405" s="105">
        <f>IFERROR(BH405,"")</f>
        <v/>
      </c>
      <c r="AY405" s="105">
        <f>IFERROR(Driver!$K$19/Data!BH405/Data!BI405*Data!BK405*Data!BL405,"")</f>
        <v/>
      </c>
      <c r="AZ405" s="105">
        <f>IFERROR(BI405*BN405,"")</f>
        <v/>
      </c>
      <c r="BA405" s="105" t="n"/>
      <c r="BB405" s="105" t="n"/>
      <c r="BC405" s="105">
        <f>IFERROR(BI405*BN405*BK405/BJ405^(1/2),"")</f>
        <v/>
      </c>
      <c r="BD405" s="105">
        <f>IFERROR(BH405*BM405*BL405/BJ405/BK405,"")</f>
        <v/>
      </c>
      <c r="BE405" s="105">
        <f>IFERROR(MIN(BI405/BQ405/BP405/BO405/BH405,$BE$1),"")</f>
        <v/>
      </c>
      <c r="BF405" s="105">
        <f>IFERROR(BJ405*BO405*BP405/BK405,"")</f>
        <v/>
      </c>
      <c r="BG405" s="105">
        <f>IFERROR(1/BM405/BH405*BQ405,"")</f>
        <v/>
      </c>
      <c r="BH405" s="102">
        <f>MAX((CE405-Driver!$F$200)/(Driver!$G$200-Driver!$F$200)*$BI$1,1)</f>
        <v/>
      </c>
      <c r="BI405" s="102">
        <f>MAX($BI$1*(BY405-Driver!$F$201)/(Driver!$G$201-Driver!$F$201),1)</f>
        <v/>
      </c>
      <c r="BJ405" s="102">
        <f>(CB405-Driver!$F$206)/(Driver!$G$206-Driver!$F$206)*$BI$1</f>
        <v/>
      </c>
      <c r="BK405" s="102">
        <f>(CD405-Driver!$F$203)/(Driver!$G$203-Driver!$F$203)*$BI$1</f>
        <v/>
      </c>
      <c r="BL405" s="102">
        <f>MAX((CR405-Driver!$F$202)/(Driver!$G$202-Driver!$F$202)*$BI$1,1)</f>
        <v/>
      </c>
      <c r="BM405" s="102">
        <f>MAX((CH405-Driver!$F$204)/(Driver!$G$204-Driver!$F$204)*$BI$1,1)</f>
        <v/>
      </c>
      <c r="BN405" s="102">
        <f>(CI405-Driver!$F$205)/(Driver!$G$205-Driver!$F$205)*$BI$1</f>
        <v/>
      </c>
      <c r="BO405" s="102">
        <f>(CK405-Driver!$F$207)/(Driver!$G$207-Driver!$F$207)*$BI$1</f>
        <v/>
      </c>
      <c r="BP405" s="102">
        <f>(CM405-Driver!$F$208)/(Driver!$G$208-Driver!$F$208)*$BI$1</f>
        <v/>
      </c>
      <c r="BQ405" s="102">
        <f>(CL405-Driver!$F$209)/(Driver!$G$209-Driver!$F$209)*$BI$1</f>
        <v/>
      </c>
      <c r="BR405" s="40" t="inlineStr">
        <is>
          <t>21/22</t>
        </is>
      </c>
      <c r="BS405" s="10" t="inlineStr">
        <is>
          <t xml:space="preserve"> Blizzard</t>
        </is>
      </c>
      <c r="BT405" s="11" t="inlineStr">
        <is>
          <t>Rustler 10</t>
        </is>
      </c>
      <c r="BU405" s="13" t="n">
        <v>172</v>
      </c>
      <c r="BV405" s="11" t="inlineStr">
        <is>
          <t xml:space="preserve"> Unisex</t>
        </is>
      </c>
      <c r="BW405" s="13" t="n">
        <v>172</v>
      </c>
      <c r="BX405" s="13" t="n">
        <v>170.5</v>
      </c>
      <c r="BY405" s="13" t="n">
        <v>103</v>
      </c>
      <c r="BZ405" s="13" t="n">
        <v>141</v>
      </c>
      <c r="CA405" s="13" t="n">
        <v>132</v>
      </c>
      <c r="CB405" s="13" t="n">
        <v>101</v>
      </c>
      <c r="CC405" s="13" t="n">
        <v>121</v>
      </c>
      <c r="CD405" s="13" t="n">
        <v>17.1</v>
      </c>
      <c r="CE405" s="13" t="n">
        <v>1908</v>
      </c>
      <c r="CF405" s="13" t="n">
        <v>1</v>
      </c>
      <c r="CG405" s="13" t="n">
        <v>1903</v>
      </c>
      <c r="CH405" s="13" t="n">
        <v>181</v>
      </c>
      <c r="CI405" s="13" t="n">
        <v>99</v>
      </c>
      <c r="CJ405" s="13" t="n">
        <v>65</v>
      </c>
      <c r="CK405" s="13" t="n">
        <v>375</v>
      </c>
      <c r="CL405" s="13" t="n">
        <v>36</v>
      </c>
      <c r="CM405" s="13" t="n">
        <v>300</v>
      </c>
      <c r="CN405" s="13" t="n">
        <v>0.552</v>
      </c>
      <c r="CO405" s="13" t="n">
        <v>155</v>
      </c>
      <c r="CP405" s="13" t="n">
        <v>139</v>
      </c>
      <c r="CQ405" s="13" t="n">
        <v>220</v>
      </c>
      <c r="CR405" s="13" t="n">
        <v>4</v>
      </c>
      <c r="CS405" s="13" t="n">
        <v>7.6</v>
      </c>
      <c r="CT405" s="11" t="inlineStr">
        <is>
          <t xml:space="preserve"> Resort Freeride</t>
        </is>
      </c>
      <c r="CU405" s="11" t="inlineStr">
        <is>
          <t xml:space="preserve"> Powder</t>
        </is>
      </c>
      <c r="CV405" s="13" t="n"/>
      <c r="CW405" s="13" t="n"/>
      <c r="CX405">
        <f>INDEX('Data_Price '!AG$2:AG$1266,MATCH(Data!$DN405,'Data_Price '!$AT$2:$AT$1266,0))</f>
        <v/>
      </c>
      <c r="CY405">
        <f>INDEX('Data_Price '!AH$2:AH$1266,MATCH(Data!$DN405,'Data_Price '!$AT$2:$AT$1266,0))</f>
        <v/>
      </c>
      <c r="CZ405">
        <f>INDEX('Data_Price '!AI$2:AI$1266,MATCH(Data!$DN405,'Data_Price '!$AT$2:$AT$1266,0))</f>
        <v/>
      </c>
      <c r="DA405">
        <f>INDEX('Data_Price '!AJ$2:AJ$1266,MATCH(Data!$DN405,'Data_Price '!$AT$2:$AT$1266,0))</f>
        <v/>
      </c>
      <c r="DB405">
        <f>INDEX('Data_Price '!AK$2:AK$1266,MATCH(Data!$DN405,'Data_Price '!$AT$2:$AT$1266,0))</f>
        <v/>
      </c>
      <c r="DC405">
        <f>INDEX('Data_Price '!AL$2:AL$1266,MATCH(Data!$DN405,'Data_Price '!$AT$2:$AT$1266,0))</f>
        <v/>
      </c>
      <c r="DD405">
        <f>INDEX('Data_Price '!AM$2:AM$1266,MATCH(Data!$DN405,'Data_Price '!$AT$2:$AT$1266,0))</f>
        <v/>
      </c>
      <c r="DE405">
        <f>INDEX('Data_Price '!AN$2:AN$1266,MATCH(Data!$DN405,'Data_Price '!$AT$2:$AT$1266,0))</f>
        <v/>
      </c>
      <c r="DF405">
        <f>INDEX('Data_Price '!AO$2:AO$1266,MATCH(Data!$DN405,'Data_Price '!$AT$2:$AT$1266,0))</f>
        <v/>
      </c>
      <c r="DG405">
        <f>INDEX('Data_Price '!AP$2:AP$1266,MATCH(Data!$DN405,'Data_Price '!$AT$2:$AT$1266,0))</f>
        <v/>
      </c>
      <c r="DH405">
        <f>INDEX('Data_Price '!AQ$2:AQ$1266,MATCH(Data!$DN405,'Data_Price '!$AT$2:$AT$1266,0))</f>
        <v/>
      </c>
      <c r="DI405">
        <f>INDEX('Data_Price '!AR$2:AR$1266,MATCH(Data!$DN405,'Data_Price '!$AT$2:$AT$1266,0))</f>
        <v/>
      </c>
      <c r="DJ405" s="138">
        <f>DA405</f>
        <v/>
      </c>
      <c r="DK405" s="138">
        <f>DE405</f>
        <v/>
      </c>
      <c r="DL405" s="138">
        <f>DI405</f>
        <v/>
      </c>
      <c r="DM405" s="303">
        <f>IF(LEFT(BT405,1)=" ",RIGHT(BT405,LEN(BT405)-1),BT405)</f>
        <v/>
      </c>
      <c r="DN405" s="138">
        <f>_xlfn.CONCAT(BS405,DM405,BU405,BV405)</f>
        <v/>
      </c>
      <c r="DO405" s="307" t="inlineStr">
        <is>
          <t>https://images.evo.com/imgp/250/216620/902901/blizzard-rustler-10-skis-2023-.jpg</t>
        </is>
      </c>
    </row>
    <row r="406" ht="15.6" customHeight="1" s="184">
      <c r="B406" s="303">
        <f t="array" ref="B406">IF(OR(ISERROR(K406:P406)),FALSE,TRUE)</f>
        <v/>
      </c>
      <c r="C406" s="60">
        <f>OR(BR406=Driver!$G$50,Data!BR787=Driver!$H$50)</f>
        <v/>
      </c>
      <c r="D406" s="60">
        <f>OR(BV406=Driver!$G$51,BV406=Driver!$H$51)</f>
        <v/>
      </c>
      <c r="E406" s="60">
        <f>AND(BX406&gt;Driver!$F$54,BX406&lt;Driver!$G$54)</f>
        <v/>
      </c>
      <c r="F406" s="60">
        <f>CL406&gt;Driver!$F$56</f>
        <v/>
      </c>
      <c r="G406" s="60">
        <f>AND(CB406&gt;Driver!$F$55,CB406&lt;Driver!$G$55)</f>
        <v/>
      </c>
      <c r="H406" s="60">
        <f>AND(B406:G406)</f>
        <v/>
      </c>
      <c r="I406" s="60">
        <f>COUNTIFS($H$9:$H$1273,TRUE,$BT$9:$BT$1273,BT406)</f>
        <v/>
      </c>
      <c r="J406" s="60">
        <f t="array" ref="J406">NOT(OR(($H$9:$H$1273=TRUE)*($I$9:$I$1273&gt;0)*($BT$9:$BT$1273=BT406)*($K$9:$K$1273&gt;K406)))</f>
        <v/>
      </c>
      <c r="K406" s="108">
        <f>IFERROR(1-AVERAGE(X406:Y406),"")</f>
        <v/>
      </c>
      <c r="L406" s="108">
        <f>1-X406</f>
        <v/>
      </c>
      <c r="M406" s="108">
        <f>1-Y406</f>
        <v/>
      </c>
      <c r="N406" s="108">
        <f>1-Z406</f>
        <v/>
      </c>
      <c r="O406" s="108">
        <f>1-AA406</f>
        <v/>
      </c>
      <c r="P406" s="108">
        <f>1-AB406</f>
        <v/>
      </c>
      <c r="Q406" s="108" t="n"/>
      <c r="R406" s="108" t="n"/>
      <c r="S406" s="108">
        <f>1-AE406</f>
        <v/>
      </c>
      <c r="T406" s="108">
        <f>1-AF406</f>
        <v/>
      </c>
      <c r="U406" s="108">
        <f>1-AG406</f>
        <v/>
      </c>
      <c r="V406" s="108">
        <f>1-AH406</f>
        <v/>
      </c>
      <c r="W406" s="108">
        <f>1-AI406</f>
        <v/>
      </c>
      <c r="X406" s="108">
        <f>ABS(AJ406-AJ$1)</f>
        <v/>
      </c>
      <c r="Y406" s="108">
        <f>AVERAGE(Z406:AB406)</f>
        <v/>
      </c>
      <c r="Z406" s="108">
        <f>ABS(AL406-AL$1)</f>
        <v/>
      </c>
      <c r="AA406" s="108">
        <f>ABS(AM406-AM$1)</f>
        <v/>
      </c>
      <c r="AB406" s="108">
        <f>ABS(AN406-AN$1)</f>
        <v/>
      </c>
      <c r="AC406" s="108" t="n"/>
      <c r="AD406" s="108" t="n"/>
      <c r="AE406" s="108">
        <f>ABS(AQ$1-AQ406)</f>
        <v/>
      </c>
      <c r="AF406" s="108">
        <f>ABS(AR$1-AR406)</f>
        <v/>
      </c>
      <c r="AG406" s="108">
        <f>ABS(AS$1-AS406)</f>
        <v/>
      </c>
      <c r="AH406" s="108">
        <f>ABS(AT$1-AT406)</f>
        <v/>
      </c>
      <c r="AI406" s="108">
        <f>ABS(AU$1-AU406)</f>
        <v/>
      </c>
      <c r="AJ406" s="108">
        <f>(AV406-Driver!$K$179)/(Driver!$L$179-Driver!$K$179)</f>
        <v/>
      </c>
      <c r="AK406" s="108">
        <f>(AW406-Driver!$K$180)/(Driver!$L$180-Driver!$K$180)</f>
        <v/>
      </c>
      <c r="AL406" s="108">
        <f>(AX406-Driver!$K$181)/(Driver!$L$181-Driver!$K$181)</f>
        <v/>
      </c>
      <c r="AM406" s="108">
        <f>(AY406-Driver!$K$182)/(Driver!$L$182-Driver!$K$182)</f>
        <v/>
      </c>
      <c r="AN406" s="108">
        <f>(AZ406-Driver!$K$183)/(Driver!$L$183-Driver!$K$183)</f>
        <v/>
      </c>
      <c r="AO406" s="108" t="n"/>
      <c r="AP406" s="108" t="n"/>
      <c r="AQ406" s="108">
        <f>(BC406-Driver!$K$188)/(Driver!$L$188-Driver!$K$188)</f>
        <v/>
      </c>
      <c r="AR406" s="108">
        <f>MIN((BD406-Driver!$K$189)/(Driver!$L$189-Driver!$K$189),100%)</f>
        <v/>
      </c>
      <c r="AS406" s="108">
        <f>(BE406-Driver!$K$190)/(Driver!$L$190-Driver!$K$190)</f>
        <v/>
      </c>
      <c r="AT406" s="108">
        <f>(BF406-Driver!$K$191)/(Driver!$L$191-Driver!$K$191)</f>
        <v/>
      </c>
      <c r="AU406" s="108">
        <f>(BG406-Driver!$K$192)/(Driver!$L$192-Driver!$K$192)</f>
        <v/>
      </c>
      <c r="AV406" s="105">
        <f>IFERROR(BM406*BJ406^1/4,"")</f>
        <v/>
      </c>
      <c r="AW406" s="105">
        <f>IFERROR(SUM(AX406:AZ406),"")</f>
        <v/>
      </c>
      <c r="AX406" s="105">
        <f>IFERROR(BH406,"")</f>
        <v/>
      </c>
      <c r="AY406" s="105">
        <f>IFERROR(Driver!$K$19/Data!BH406/Data!BI406*Data!BK406*Data!BL406,"")</f>
        <v/>
      </c>
      <c r="AZ406" s="105">
        <f>IFERROR(BI406*BN406,"")</f>
        <v/>
      </c>
      <c r="BA406" s="105" t="n"/>
      <c r="BB406" s="105" t="n"/>
      <c r="BC406" s="105">
        <f>IFERROR(BI406*BN406*BK406/BJ406^(1/2),"")</f>
        <v/>
      </c>
      <c r="BD406" s="105">
        <f>IFERROR(BH406*BM406*BL406/BJ406/BK406,"")</f>
        <v/>
      </c>
      <c r="BE406" s="105">
        <f>IFERROR(MIN(BI406/BQ406/BP406/BO406/BH406,$BE$1),"")</f>
        <v/>
      </c>
      <c r="BF406" s="105">
        <f>IFERROR(BJ406*BO406*BP406/BK406,"")</f>
        <v/>
      </c>
      <c r="BG406" s="105">
        <f>IFERROR(1/BM406/BH406*BQ406,"")</f>
        <v/>
      </c>
      <c r="BH406" s="102">
        <f>MAX((CE406-Driver!$F$200)/(Driver!$G$200-Driver!$F$200)*$BI$1,1)</f>
        <v/>
      </c>
      <c r="BI406" s="102">
        <f>MAX($BI$1*(BY406-Driver!$F$201)/(Driver!$G$201-Driver!$F$201),1)</f>
        <v/>
      </c>
      <c r="BJ406" s="102">
        <f>(CB406-Driver!$F$206)/(Driver!$G$206-Driver!$F$206)*$BI$1</f>
        <v/>
      </c>
      <c r="BK406" s="102">
        <f>(CD406-Driver!$F$203)/(Driver!$G$203-Driver!$F$203)*$BI$1</f>
        <v/>
      </c>
      <c r="BL406" s="102">
        <f>MAX((CR406-Driver!$F$202)/(Driver!$G$202-Driver!$F$202)*$BI$1,1)</f>
        <v/>
      </c>
      <c r="BM406" s="102">
        <f>MAX((CH406-Driver!$F$204)/(Driver!$G$204-Driver!$F$204)*$BI$1,1)</f>
        <v/>
      </c>
      <c r="BN406" s="102">
        <f>(CI406-Driver!$F$205)/(Driver!$G$205-Driver!$F$205)*$BI$1</f>
        <v/>
      </c>
      <c r="BO406" s="102">
        <f>(CK406-Driver!$F$207)/(Driver!$G$207-Driver!$F$207)*$BI$1</f>
        <v/>
      </c>
      <c r="BP406" s="102">
        <f>(CM406-Driver!$F$208)/(Driver!$G$208-Driver!$F$208)*$BI$1</f>
        <v/>
      </c>
      <c r="BQ406" s="102">
        <f>(CL406-Driver!$F$209)/(Driver!$G$209-Driver!$F$209)*$BI$1</f>
        <v/>
      </c>
      <c r="BR406" s="40" t="inlineStr">
        <is>
          <t>21/22</t>
        </is>
      </c>
      <c r="BS406" s="10" t="inlineStr">
        <is>
          <t xml:space="preserve"> K2</t>
        </is>
      </c>
      <c r="BT406" s="11" t="inlineStr">
        <is>
          <t>Wayback 106</t>
        </is>
      </c>
      <c r="BU406" s="13" t="n">
        <v>172</v>
      </c>
      <c r="BV406" s="11" t="inlineStr">
        <is>
          <t xml:space="preserve"> Unisex</t>
        </is>
      </c>
      <c r="BW406" s="13" t="n">
        <v>172</v>
      </c>
      <c r="BX406" s="13" t="n">
        <v>171.9</v>
      </c>
      <c r="BY406" s="13" t="n">
        <v>114</v>
      </c>
      <c r="BZ406" s="13" t="n">
        <v>141</v>
      </c>
      <c r="CA406" s="13" t="n">
        <v>135</v>
      </c>
      <c r="CB406" s="13" t="n">
        <v>105</v>
      </c>
      <c r="CC406" s="13" t="n">
        <v>123</v>
      </c>
      <c r="CD406" s="13" t="n">
        <v>19.9</v>
      </c>
      <c r="CE406" s="13" t="n">
        <v>1456</v>
      </c>
      <c r="CF406" s="13" t="n">
        <v>1.34</v>
      </c>
      <c r="CG406" s="13" t="n">
        <v>1957</v>
      </c>
      <c r="CH406" s="13" t="n">
        <v>169</v>
      </c>
      <c r="CI406" s="13" t="n">
        <v>88</v>
      </c>
      <c r="CJ406" s="13" t="n">
        <v>45</v>
      </c>
      <c r="CK406" s="13" t="n">
        <v>351</v>
      </c>
      <c r="CL406" s="13" t="n">
        <v>11</v>
      </c>
      <c r="CM406" s="13" t="n">
        <v>233</v>
      </c>
      <c r="CN406" s="13" t="n">
        <v>0.247</v>
      </c>
      <c r="CO406" s="13" t="n">
        <v>175</v>
      </c>
      <c r="CP406" s="13" t="n">
        <v>130</v>
      </c>
      <c r="CQ406" s="13" t="n">
        <v>176</v>
      </c>
      <c r="CR406" s="13" t="n">
        <v>6</v>
      </c>
      <c r="CS406" s="13" t="n">
        <v>13.5</v>
      </c>
      <c r="CT406" s="11" t="inlineStr">
        <is>
          <t xml:space="preserve"> Big Mountain</t>
        </is>
      </c>
      <c r="CU406" s="11" t="inlineStr">
        <is>
          <t xml:space="preserve"> Touring</t>
        </is>
      </c>
      <c r="CV406" s="11" t="inlineStr">
        <is>
          <t xml:space="preserve"> Ultralight Touring</t>
        </is>
      </c>
      <c r="CW406" s="13" t="n"/>
      <c r="CX406">
        <f>INDEX('Data_Price '!AG$2:AG$1266,MATCH(Data!$DN406,'Data_Price '!$AT$2:$AT$1266,0))</f>
        <v/>
      </c>
      <c r="CY406">
        <f>INDEX('Data_Price '!AH$2:AH$1266,MATCH(Data!$DN406,'Data_Price '!$AT$2:$AT$1266,0))</f>
        <v/>
      </c>
      <c r="CZ406">
        <f>INDEX('Data_Price '!AI$2:AI$1266,MATCH(Data!$DN406,'Data_Price '!$AT$2:$AT$1266,0))</f>
        <v/>
      </c>
      <c r="DA406">
        <f>INDEX('Data_Price '!AJ$2:AJ$1266,MATCH(Data!$DN406,'Data_Price '!$AT$2:$AT$1266,0))</f>
        <v/>
      </c>
      <c r="DB406">
        <f>INDEX('Data_Price '!AK$2:AK$1266,MATCH(Data!$DN406,'Data_Price '!$AT$2:$AT$1266,0))</f>
        <v/>
      </c>
      <c r="DC406">
        <f>INDEX('Data_Price '!AL$2:AL$1266,MATCH(Data!$DN406,'Data_Price '!$AT$2:$AT$1266,0))</f>
        <v/>
      </c>
      <c r="DD406">
        <f>INDEX('Data_Price '!AM$2:AM$1266,MATCH(Data!$DN406,'Data_Price '!$AT$2:$AT$1266,0))</f>
        <v/>
      </c>
      <c r="DE406">
        <f>INDEX('Data_Price '!AN$2:AN$1266,MATCH(Data!$DN406,'Data_Price '!$AT$2:$AT$1266,0))</f>
        <v/>
      </c>
      <c r="DF406">
        <f>INDEX('Data_Price '!AO$2:AO$1266,MATCH(Data!$DN406,'Data_Price '!$AT$2:$AT$1266,0))</f>
        <v/>
      </c>
      <c r="DG406">
        <f>INDEX('Data_Price '!AP$2:AP$1266,MATCH(Data!$DN406,'Data_Price '!$AT$2:$AT$1266,0))</f>
        <v/>
      </c>
      <c r="DH406">
        <f>INDEX('Data_Price '!AQ$2:AQ$1266,MATCH(Data!$DN406,'Data_Price '!$AT$2:$AT$1266,0))</f>
        <v/>
      </c>
      <c r="DI406">
        <f>INDEX('Data_Price '!AR$2:AR$1266,MATCH(Data!$DN406,'Data_Price '!$AT$2:$AT$1266,0))</f>
        <v/>
      </c>
      <c r="DJ406" s="138">
        <f>DA406</f>
        <v/>
      </c>
      <c r="DK406" s="138">
        <f>DE406</f>
        <v/>
      </c>
      <c r="DL406" s="138">
        <f>DI406</f>
        <v/>
      </c>
      <c r="DM406" s="303">
        <f>IF(LEFT(BT406,1)=" ",RIGHT(BT406,LEN(BT406)-1),BT406)</f>
        <v/>
      </c>
      <c r="DN406" s="138">
        <f>_xlfn.CONCAT(BS406,DM406,BU406,BV406)</f>
        <v/>
      </c>
      <c r="DO406" s="307" t="inlineStr">
        <is>
          <t>https://images.evo.com/imgp/250/182121/886394/k2-wayback-106-skis-2021-.jpg</t>
        </is>
      </c>
    </row>
    <row r="407" ht="15.6" customHeight="1" s="184">
      <c r="B407" s="303">
        <f t="array" ref="B407">IF(OR(ISERROR(K407:P407)),FALSE,TRUE)</f>
        <v/>
      </c>
      <c r="C407" s="60">
        <f>OR(BR407=Driver!$G$50,Data!BR731=Driver!$H$50)</f>
        <v/>
      </c>
      <c r="D407" s="60">
        <f>OR(BV407=Driver!$G$51,BV407=Driver!$H$51)</f>
        <v/>
      </c>
      <c r="E407" s="60">
        <f>AND(BX407&gt;Driver!$F$54,BX407&lt;Driver!$G$54)</f>
        <v/>
      </c>
      <c r="F407" s="60">
        <f>CL407&gt;Driver!$F$56</f>
        <v/>
      </c>
      <c r="G407" s="60">
        <f>AND(CB407&gt;Driver!$F$55,CB407&lt;Driver!$G$55)</f>
        <v/>
      </c>
      <c r="H407" s="60">
        <f>AND(B407:G407)</f>
        <v/>
      </c>
      <c r="I407" s="60">
        <f>COUNTIFS($H$9:$H$1273,TRUE,$BT$9:$BT$1273,BT407)</f>
        <v/>
      </c>
      <c r="J407" s="60">
        <f t="array" ref="J407">NOT(OR(($H$9:$H$1273=TRUE)*($I$9:$I$1273&gt;0)*($BT$9:$BT$1273=BT407)*($K$9:$K$1273&gt;K407)))</f>
        <v/>
      </c>
      <c r="K407" s="108">
        <f>IFERROR(1-AVERAGE(X407:Y407),"")</f>
        <v/>
      </c>
      <c r="L407" s="108">
        <f>1-X407</f>
        <v/>
      </c>
      <c r="M407" s="108">
        <f>1-Y407</f>
        <v/>
      </c>
      <c r="N407" s="108">
        <f>1-Z407</f>
        <v/>
      </c>
      <c r="O407" s="108">
        <f>1-AA407</f>
        <v/>
      </c>
      <c r="P407" s="108">
        <f>1-AB407</f>
        <v/>
      </c>
      <c r="Q407" s="108" t="n"/>
      <c r="R407" s="108" t="n"/>
      <c r="S407" s="108">
        <f>1-AE407</f>
        <v/>
      </c>
      <c r="T407" s="108">
        <f>1-AF407</f>
        <v/>
      </c>
      <c r="U407" s="108">
        <f>1-AG407</f>
        <v/>
      </c>
      <c r="V407" s="108">
        <f>1-AH407</f>
        <v/>
      </c>
      <c r="W407" s="108">
        <f>1-AI407</f>
        <v/>
      </c>
      <c r="X407" s="108">
        <f>ABS(AJ407-AJ$1)</f>
        <v/>
      </c>
      <c r="Y407" s="108">
        <f>AVERAGE(Z407:AB407)</f>
        <v/>
      </c>
      <c r="Z407" s="108">
        <f>ABS(AL407-AL$1)</f>
        <v/>
      </c>
      <c r="AA407" s="108">
        <f>ABS(AM407-AM$1)</f>
        <v/>
      </c>
      <c r="AB407" s="108">
        <f>ABS(AN407-AN$1)</f>
        <v/>
      </c>
      <c r="AC407" s="108" t="n"/>
      <c r="AD407" s="108" t="n"/>
      <c r="AE407" s="108">
        <f>ABS(AQ$1-AQ407)</f>
        <v/>
      </c>
      <c r="AF407" s="108">
        <f>ABS(AR$1-AR407)</f>
        <v/>
      </c>
      <c r="AG407" s="108">
        <f>ABS(AS$1-AS407)</f>
        <v/>
      </c>
      <c r="AH407" s="108">
        <f>ABS(AT$1-AT407)</f>
        <v/>
      </c>
      <c r="AI407" s="108">
        <f>ABS(AU$1-AU407)</f>
        <v/>
      </c>
      <c r="AJ407" s="108">
        <f>(AV407-Driver!$K$179)/(Driver!$L$179-Driver!$K$179)</f>
        <v/>
      </c>
      <c r="AK407" s="108">
        <f>(AW407-Driver!$K$180)/(Driver!$L$180-Driver!$K$180)</f>
        <v/>
      </c>
      <c r="AL407" s="108">
        <f>(AX407-Driver!$K$181)/(Driver!$L$181-Driver!$K$181)</f>
        <v/>
      </c>
      <c r="AM407" s="108">
        <f>(AY407-Driver!$K$182)/(Driver!$L$182-Driver!$K$182)</f>
        <v/>
      </c>
      <c r="AN407" s="108">
        <f>(AZ407-Driver!$K$183)/(Driver!$L$183-Driver!$K$183)</f>
        <v/>
      </c>
      <c r="AO407" s="108" t="n"/>
      <c r="AP407" s="108" t="n"/>
      <c r="AQ407" s="108">
        <f>(BC407-Driver!$K$188)/(Driver!$L$188-Driver!$K$188)</f>
        <v/>
      </c>
      <c r="AR407" s="108">
        <f>MIN((BD407-Driver!$K$189)/(Driver!$L$189-Driver!$K$189),100%)</f>
        <v/>
      </c>
      <c r="AS407" s="108">
        <f>(BE407-Driver!$K$190)/(Driver!$L$190-Driver!$K$190)</f>
        <v/>
      </c>
      <c r="AT407" s="108">
        <f>(BF407-Driver!$K$191)/(Driver!$L$191-Driver!$K$191)</f>
        <v/>
      </c>
      <c r="AU407" s="108">
        <f>(BG407-Driver!$K$192)/(Driver!$L$192-Driver!$K$192)</f>
        <v/>
      </c>
      <c r="AV407" s="105">
        <f>IFERROR(BM407*BJ407^1/4,"")</f>
        <v/>
      </c>
      <c r="AW407" s="105">
        <f>IFERROR(SUM(AX407:AZ407),"")</f>
        <v/>
      </c>
      <c r="AX407" s="105">
        <f>IFERROR(BH407,"")</f>
        <v/>
      </c>
      <c r="AY407" s="105">
        <f>IFERROR(Driver!$K$19/Data!BH407/Data!BI407*Data!BK407*Data!BL407,"")</f>
        <v/>
      </c>
      <c r="AZ407" s="105">
        <f>IFERROR(BI407*BN407,"")</f>
        <v/>
      </c>
      <c r="BA407" s="105" t="n"/>
      <c r="BB407" s="105" t="n"/>
      <c r="BC407" s="105">
        <f>IFERROR(BI407*BN407*BK407/BJ407^(1/2),"")</f>
        <v/>
      </c>
      <c r="BD407" s="105">
        <f>IFERROR(BH407*BM407*BL407/BJ407/BK407,"")</f>
        <v/>
      </c>
      <c r="BE407" s="105">
        <f>IFERROR(MIN(BI407/BQ407/BP407/BO407/BH407,$BE$1),"")</f>
        <v/>
      </c>
      <c r="BF407" s="105">
        <f>IFERROR(BJ407*BO407*BP407/BK407,"")</f>
        <v/>
      </c>
      <c r="BG407" s="105">
        <f>IFERROR(1/BM407/BH407*BQ407,"")</f>
        <v/>
      </c>
      <c r="BH407" s="102">
        <f>MAX((CE407-Driver!$F$200)/(Driver!$G$200-Driver!$F$200)*$BI$1,1)</f>
        <v/>
      </c>
      <c r="BI407" s="102">
        <f>MAX($BI$1*(BY407-Driver!$F$201)/(Driver!$G$201-Driver!$F$201),1)</f>
        <v/>
      </c>
      <c r="BJ407" s="102">
        <f>(CB407-Driver!$F$206)/(Driver!$G$206-Driver!$F$206)*$BI$1</f>
        <v/>
      </c>
      <c r="BK407" s="102">
        <f>(CD407-Driver!$F$203)/(Driver!$G$203-Driver!$F$203)*$BI$1</f>
        <v/>
      </c>
      <c r="BL407" s="102">
        <f>MAX((CR407-Driver!$F$202)/(Driver!$G$202-Driver!$F$202)*$BI$1,1)</f>
        <v/>
      </c>
      <c r="BM407" s="102">
        <f>MAX((CH407-Driver!$F$204)/(Driver!$G$204-Driver!$F$204)*$BI$1,1)</f>
        <v/>
      </c>
      <c r="BN407" s="102">
        <f>(CI407-Driver!$F$205)/(Driver!$G$205-Driver!$F$205)*$BI$1</f>
        <v/>
      </c>
      <c r="BO407" s="102">
        <f>(CK407-Driver!$F$207)/(Driver!$G$207-Driver!$F$207)*$BI$1</f>
        <v/>
      </c>
      <c r="BP407" s="102">
        <f>(CM407-Driver!$F$208)/(Driver!$G$208-Driver!$F$208)*$BI$1</f>
        <v/>
      </c>
      <c r="BQ407" s="102">
        <f>(CL407-Driver!$F$209)/(Driver!$G$209-Driver!$F$209)*$BI$1</f>
        <v/>
      </c>
      <c r="BR407" s="40" t="inlineStr">
        <is>
          <t>21/22</t>
        </is>
      </c>
      <c r="BS407" s="10" t="inlineStr">
        <is>
          <t xml:space="preserve"> K2</t>
        </is>
      </c>
      <c r="BT407" s="11" t="inlineStr">
        <is>
          <t>Mindbender 85 Alliance</t>
        </is>
      </c>
      <c r="BU407" s="13" t="n">
        <v>163</v>
      </c>
      <c r="BV407" s="11" t="inlineStr">
        <is>
          <t xml:space="preserve"> Women's</t>
        </is>
      </c>
      <c r="BW407" s="13" t="n">
        <v>163</v>
      </c>
      <c r="BX407" s="13" t="n">
        <v>163.6</v>
      </c>
      <c r="BY407" s="13" t="n">
        <v>116</v>
      </c>
      <c r="BZ407" s="13" t="n">
        <v>134</v>
      </c>
      <c r="CA407" s="13" t="n">
        <v>129</v>
      </c>
      <c r="CB407" s="13" t="n">
        <v>84</v>
      </c>
      <c r="CC407" s="13" t="n">
        <v>112</v>
      </c>
      <c r="CD407" s="13" t="n">
        <v>11.8</v>
      </c>
      <c r="CE407" s="13" t="n">
        <v>1627</v>
      </c>
      <c r="CF407" s="13" t="n">
        <v>1</v>
      </c>
      <c r="CG407" s="13" t="n">
        <v>1623</v>
      </c>
      <c r="CH407" s="13" t="n">
        <v>165</v>
      </c>
      <c r="CI407" s="13" t="n">
        <v>89</v>
      </c>
      <c r="CJ407" s="13" t="n">
        <v>49</v>
      </c>
      <c r="CK407" s="13" t="n">
        <v>274</v>
      </c>
      <c r="CL407" s="13" t="n">
        <v>13</v>
      </c>
      <c r="CM407" s="13" t="n">
        <v>198</v>
      </c>
      <c r="CN407" s="13" t="n">
        <v>0.267</v>
      </c>
      <c r="CO407" s="13" t="n">
        <v>182</v>
      </c>
      <c r="CP407" s="13" t="n">
        <v>113</v>
      </c>
      <c r="CQ407" s="13" t="n">
        <v>92</v>
      </c>
      <c r="CR407" s="13" t="n">
        <v>7</v>
      </c>
      <c r="CS407" s="13" t="n">
        <v>10.9</v>
      </c>
      <c r="CT407" s="11" t="inlineStr">
        <is>
          <t xml:space="preserve"> On-Piste All-Mountain</t>
        </is>
      </c>
      <c r="CU407" s="11" t="inlineStr">
        <is>
          <t xml:space="preserve"> Resort Freeride</t>
        </is>
      </c>
      <c r="CV407" s="13" t="n"/>
      <c r="CW407" s="13" t="n"/>
      <c r="CX407">
        <f>INDEX('Data_Price '!AG$2:AG$1266,MATCH(Data!$DN407,'Data_Price '!$AT$2:$AT$1266,0))</f>
        <v/>
      </c>
      <c r="CY407">
        <f>INDEX('Data_Price '!AH$2:AH$1266,MATCH(Data!$DN407,'Data_Price '!$AT$2:$AT$1266,0))</f>
        <v/>
      </c>
      <c r="CZ407">
        <f>INDEX('Data_Price '!AI$2:AI$1266,MATCH(Data!$DN407,'Data_Price '!$AT$2:$AT$1266,0))</f>
        <v/>
      </c>
      <c r="DA407">
        <f>INDEX('Data_Price '!AJ$2:AJ$1266,MATCH(Data!$DN407,'Data_Price '!$AT$2:$AT$1266,0))</f>
        <v/>
      </c>
      <c r="DB407">
        <f>INDEX('Data_Price '!AK$2:AK$1266,MATCH(Data!$DN407,'Data_Price '!$AT$2:$AT$1266,0))</f>
        <v/>
      </c>
      <c r="DC407">
        <f>INDEX('Data_Price '!AL$2:AL$1266,MATCH(Data!$DN407,'Data_Price '!$AT$2:$AT$1266,0))</f>
        <v/>
      </c>
      <c r="DD407">
        <f>INDEX('Data_Price '!AM$2:AM$1266,MATCH(Data!$DN407,'Data_Price '!$AT$2:$AT$1266,0))</f>
        <v/>
      </c>
      <c r="DE407">
        <f>INDEX('Data_Price '!AN$2:AN$1266,MATCH(Data!$DN407,'Data_Price '!$AT$2:$AT$1266,0))</f>
        <v/>
      </c>
      <c r="DF407">
        <f>INDEX('Data_Price '!AO$2:AO$1266,MATCH(Data!$DN407,'Data_Price '!$AT$2:$AT$1266,0))</f>
        <v/>
      </c>
      <c r="DG407">
        <f>INDEX('Data_Price '!AP$2:AP$1266,MATCH(Data!$DN407,'Data_Price '!$AT$2:$AT$1266,0))</f>
        <v/>
      </c>
      <c r="DH407">
        <f>INDEX('Data_Price '!AQ$2:AQ$1266,MATCH(Data!$DN407,'Data_Price '!$AT$2:$AT$1266,0))</f>
        <v/>
      </c>
      <c r="DI407">
        <f>INDEX('Data_Price '!AR$2:AR$1266,MATCH(Data!$DN407,'Data_Price '!$AT$2:$AT$1266,0))</f>
        <v/>
      </c>
      <c r="DJ407" s="138">
        <f>DA407</f>
        <v/>
      </c>
      <c r="DK407" s="138">
        <f>DE407</f>
        <v/>
      </c>
      <c r="DL407" s="138">
        <f>DI407</f>
        <v/>
      </c>
      <c r="DM407" s="303">
        <f>IF(LEFT(BT407,1)=" ",RIGHT(BT407,LEN(BT407)-1),BT407)</f>
        <v/>
      </c>
      <c r="DN407" s="138">
        <f>_xlfn.CONCAT(BS407,DM407,BU407,BV407)</f>
        <v/>
      </c>
      <c r="DO407" s="307" t="inlineStr">
        <is>
          <t>https://images.evo.com/imgp/250/201051/825019/k2-mindbender-85-alliance-skis-women-s-2022-.jpg</t>
        </is>
      </c>
    </row>
    <row r="408" ht="15.6" customHeight="1" s="184">
      <c r="B408" s="303">
        <f t="array" ref="B408">IF(OR(ISERROR(K408:P408)),FALSE,TRUE)</f>
        <v/>
      </c>
      <c r="C408" s="60">
        <f>OR(BR408=Driver!$G$50,Data!BR705=Driver!$H$50)</f>
        <v/>
      </c>
      <c r="D408" s="60">
        <f>OR(BV408=Driver!$G$51,BV408=Driver!$H$51)</f>
        <v/>
      </c>
      <c r="E408" s="60">
        <f>AND(BX408&gt;Driver!$F$54,BX408&lt;Driver!$G$54)</f>
        <v/>
      </c>
      <c r="F408" s="60">
        <f>CL408&gt;Driver!$F$56</f>
        <v/>
      </c>
      <c r="G408" s="60">
        <f>AND(CB408&gt;Driver!$F$55,CB408&lt;Driver!$G$55)</f>
        <v/>
      </c>
      <c r="H408" s="60">
        <f>AND(B408:G408)</f>
        <v/>
      </c>
      <c r="I408" s="60">
        <f>COUNTIFS($H$9:$H$1273,TRUE,$BT$9:$BT$1273,BT408)</f>
        <v/>
      </c>
      <c r="J408" s="60">
        <f t="array" ref="J408">NOT(OR(($H$9:$H$1273=TRUE)*($I$9:$I$1273&gt;0)*($BT$9:$BT$1273=BT408)*($K$9:$K$1273&gt;K408)))</f>
        <v/>
      </c>
      <c r="K408" s="108">
        <f>IFERROR(1-AVERAGE(X408:Y408),"")</f>
        <v/>
      </c>
      <c r="L408" s="108">
        <f>1-X408</f>
        <v/>
      </c>
      <c r="M408" s="108">
        <f>1-Y408</f>
        <v/>
      </c>
      <c r="N408" s="108">
        <f>1-Z408</f>
        <v/>
      </c>
      <c r="O408" s="108">
        <f>1-AA408</f>
        <v/>
      </c>
      <c r="P408" s="108">
        <f>1-AB408</f>
        <v/>
      </c>
      <c r="Q408" s="108" t="n"/>
      <c r="R408" s="108" t="n"/>
      <c r="S408" s="108">
        <f>1-AE408</f>
        <v/>
      </c>
      <c r="T408" s="108">
        <f>1-AF408</f>
        <v/>
      </c>
      <c r="U408" s="108">
        <f>1-AG408</f>
        <v/>
      </c>
      <c r="V408" s="108">
        <f>1-AH408</f>
        <v/>
      </c>
      <c r="W408" s="108">
        <f>1-AI408</f>
        <v/>
      </c>
      <c r="X408" s="108">
        <f>ABS(AJ408-AJ$1)</f>
        <v/>
      </c>
      <c r="Y408" s="108">
        <f>AVERAGE(Z408:AB408)</f>
        <v/>
      </c>
      <c r="Z408" s="108">
        <f>ABS(AL408-AL$1)</f>
        <v/>
      </c>
      <c r="AA408" s="108">
        <f>ABS(AM408-AM$1)</f>
        <v/>
      </c>
      <c r="AB408" s="108">
        <f>ABS(AN408-AN$1)</f>
        <v/>
      </c>
      <c r="AC408" s="108" t="n"/>
      <c r="AD408" s="108" t="n"/>
      <c r="AE408" s="108">
        <f>ABS(AQ$1-AQ408)</f>
        <v/>
      </c>
      <c r="AF408" s="108">
        <f>ABS(AR$1-AR408)</f>
        <v/>
      </c>
      <c r="AG408" s="108">
        <f>ABS(AS$1-AS408)</f>
        <v/>
      </c>
      <c r="AH408" s="108">
        <f>ABS(AT$1-AT408)</f>
        <v/>
      </c>
      <c r="AI408" s="108">
        <f>ABS(AU$1-AU408)</f>
        <v/>
      </c>
      <c r="AJ408" s="108">
        <f>(AV408-Driver!$K$179)/(Driver!$L$179-Driver!$K$179)</f>
        <v/>
      </c>
      <c r="AK408" s="108">
        <f>(AW408-Driver!$K$180)/(Driver!$L$180-Driver!$K$180)</f>
        <v/>
      </c>
      <c r="AL408" s="108">
        <f>(AX408-Driver!$K$181)/(Driver!$L$181-Driver!$K$181)</f>
        <v/>
      </c>
      <c r="AM408" s="108">
        <f>(AY408-Driver!$K$182)/(Driver!$L$182-Driver!$K$182)</f>
        <v/>
      </c>
      <c r="AN408" s="108">
        <f>(AZ408-Driver!$K$183)/(Driver!$L$183-Driver!$K$183)</f>
        <v/>
      </c>
      <c r="AO408" s="108" t="n"/>
      <c r="AP408" s="108" t="n"/>
      <c r="AQ408" s="108">
        <f>(BC408-Driver!$K$188)/(Driver!$L$188-Driver!$K$188)</f>
        <v/>
      </c>
      <c r="AR408" s="108">
        <f>MIN((BD408-Driver!$K$189)/(Driver!$L$189-Driver!$K$189),100%)</f>
        <v/>
      </c>
      <c r="AS408" s="108">
        <f>(BE408-Driver!$K$190)/(Driver!$L$190-Driver!$K$190)</f>
        <v/>
      </c>
      <c r="AT408" s="108">
        <f>(BF408-Driver!$K$191)/(Driver!$L$191-Driver!$K$191)</f>
        <v/>
      </c>
      <c r="AU408" s="108">
        <f>(BG408-Driver!$K$192)/(Driver!$L$192-Driver!$K$192)</f>
        <v/>
      </c>
      <c r="AV408" s="105">
        <f>IFERROR(BM408*BJ408^1/4,"")</f>
        <v/>
      </c>
      <c r="AW408" s="105">
        <f>IFERROR(SUM(AX408:AZ408),"")</f>
        <v/>
      </c>
      <c r="AX408" s="105">
        <f>IFERROR(BH408,"")</f>
        <v/>
      </c>
      <c r="AY408" s="105">
        <f>IFERROR(Driver!$K$19/Data!BH408/Data!BI408*Data!BK408*Data!BL408,"")</f>
        <v/>
      </c>
      <c r="AZ408" s="105">
        <f>IFERROR(BI408*BN408,"")</f>
        <v/>
      </c>
      <c r="BA408" s="105" t="n"/>
      <c r="BB408" s="105" t="n"/>
      <c r="BC408" s="105">
        <f>IFERROR(BI408*BN408*BK408/BJ408^(1/2),"")</f>
        <v/>
      </c>
      <c r="BD408" s="105">
        <f>IFERROR(BH408*BM408*BL408/BJ408/BK408,"")</f>
        <v/>
      </c>
      <c r="BE408" s="105">
        <f>IFERROR(MIN(BI408/BQ408/BP408/BO408/BH408,$BE$1),"")</f>
        <v/>
      </c>
      <c r="BF408" s="105">
        <f>IFERROR(BJ408*BO408*BP408/BK408,"")</f>
        <v/>
      </c>
      <c r="BG408" s="105">
        <f>IFERROR(1/BM408/BH408*BQ408,"")</f>
        <v/>
      </c>
      <c r="BH408" s="102">
        <f>MAX((CE408-Driver!$F$200)/(Driver!$G$200-Driver!$F$200)*$BI$1,1)</f>
        <v/>
      </c>
      <c r="BI408" s="102">
        <f>MAX($BI$1*(BY408-Driver!$F$201)/(Driver!$G$201-Driver!$F$201),1)</f>
        <v/>
      </c>
      <c r="BJ408" s="102">
        <f>(CB408-Driver!$F$206)/(Driver!$G$206-Driver!$F$206)*$BI$1</f>
        <v/>
      </c>
      <c r="BK408" s="102">
        <f>(CD408-Driver!$F$203)/(Driver!$G$203-Driver!$F$203)*$BI$1</f>
        <v/>
      </c>
      <c r="BL408" s="102">
        <f>MAX((CR408-Driver!$F$202)/(Driver!$G$202-Driver!$F$202)*$BI$1,1)</f>
        <v/>
      </c>
      <c r="BM408" s="102">
        <f>MAX((CH408-Driver!$F$204)/(Driver!$G$204-Driver!$F$204)*$BI$1,1)</f>
        <v/>
      </c>
      <c r="BN408" s="102">
        <f>(CI408-Driver!$F$205)/(Driver!$G$205-Driver!$F$205)*$BI$1</f>
        <v/>
      </c>
      <c r="BO408" s="102">
        <f>(CK408-Driver!$F$207)/(Driver!$G$207-Driver!$F$207)*$BI$1</f>
        <v/>
      </c>
      <c r="BP408" s="102">
        <f>(CM408-Driver!$F$208)/(Driver!$G$208-Driver!$F$208)*$BI$1</f>
        <v/>
      </c>
      <c r="BQ408" s="102">
        <f>(CL408-Driver!$F$209)/(Driver!$G$209-Driver!$F$209)*$BI$1</f>
        <v/>
      </c>
      <c r="BR408" s="40" t="inlineStr">
        <is>
          <t>21/22</t>
        </is>
      </c>
      <c r="BS408" s="10" t="inlineStr">
        <is>
          <t xml:space="preserve"> K2</t>
        </is>
      </c>
      <c r="BT408" s="11" t="inlineStr">
        <is>
          <t>Disruption 78C</t>
        </is>
      </c>
      <c r="BU408" s="13" t="n">
        <v>163</v>
      </c>
      <c r="BV408" s="11" t="inlineStr">
        <is>
          <t xml:space="preserve"> Unisex</t>
        </is>
      </c>
      <c r="BW408" s="13" t="n">
        <v>163</v>
      </c>
      <c r="BX408" s="13" t="n">
        <v>163.6</v>
      </c>
      <c r="BY408" s="13" t="n">
        <v>144</v>
      </c>
      <c r="BZ408" s="13" t="n">
        <v>151</v>
      </c>
      <c r="CA408" s="13" t="n">
        <v>124</v>
      </c>
      <c r="CB408" s="13" t="n">
        <v>77</v>
      </c>
      <c r="CC408" s="13" t="n">
        <v>110</v>
      </c>
      <c r="CD408" s="13" t="n">
        <v>14.1</v>
      </c>
      <c r="CE408" s="13" t="n">
        <v>1784</v>
      </c>
      <c r="CF408" s="13" t="n">
        <v>0.85</v>
      </c>
      <c r="CG408" s="13" t="n">
        <v>1508</v>
      </c>
      <c r="CH408" s="13" t="n">
        <v>183</v>
      </c>
      <c r="CI408" s="13" t="n">
        <v>90</v>
      </c>
      <c r="CJ408" s="13" t="n">
        <v>33</v>
      </c>
      <c r="CK408" s="13" t="n">
        <v>129</v>
      </c>
      <c r="CL408" s="13" t="n">
        <v>7</v>
      </c>
      <c r="CM408" s="13" t="n">
        <v>63</v>
      </c>
      <c r="CN408" s="13" t="n">
        <v>0.2</v>
      </c>
      <c r="CO408" s="13" t="n">
        <v>80</v>
      </c>
      <c r="CP408" s="13" t="n">
        <v>41</v>
      </c>
      <c r="CQ408" s="13" t="n">
        <v>48</v>
      </c>
      <c r="CR408" s="13" t="n">
        <v>10</v>
      </c>
      <c r="CS408" s="13" t="n">
        <v>10.4</v>
      </c>
      <c r="CT408" s="11" t="inlineStr">
        <is>
          <t xml:space="preserve"> On-Piste Carving</t>
        </is>
      </c>
      <c r="CU408" s="13" t="n"/>
      <c r="CV408" s="13" t="n"/>
      <c r="CW408" s="13" t="n"/>
      <c r="CX408">
        <f>INDEX('Data_Price '!AG$2:AG$1266,MATCH(Data!$DN408,'Data_Price '!$AT$2:$AT$1266,0))</f>
        <v/>
      </c>
      <c r="CY408">
        <f>INDEX('Data_Price '!AH$2:AH$1266,MATCH(Data!$DN408,'Data_Price '!$AT$2:$AT$1266,0))</f>
        <v/>
      </c>
      <c r="CZ408">
        <f>INDEX('Data_Price '!AI$2:AI$1266,MATCH(Data!$DN408,'Data_Price '!$AT$2:$AT$1266,0))</f>
        <v/>
      </c>
      <c r="DA408">
        <f>INDEX('Data_Price '!AJ$2:AJ$1266,MATCH(Data!$DN408,'Data_Price '!$AT$2:$AT$1266,0))</f>
        <v/>
      </c>
      <c r="DB408">
        <f>INDEX('Data_Price '!AK$2:AK$1266,MATCH(Data!$DN408,'Data_Price '!$AT$2:$AT$1266,0))</f>
        <v/>
      </c>
      <c r="DC408">
        <f>INDEX('Data_Price '!AL$2:AL$1266,MATCH(Data!$DN408,'Data_Price '!$AT$2:$AT$1266,0))</f>
        <v/>
      </c>
      <c r="DD408">
        <f>INDEX('Data_Price '!AM$2:AM$1266,MATCH(Data!$DN408,'Data_Price '!$AT$2:$AT$1266,0))</f>
        <v/>
      </c>
      <c r="DE408">
        <f>INDEX('Data_Price '!AN$2:AN$1266,MATCH(Data!$DN408,'Data_Price '!$AT$2:$AT$1266,0))</f>
        <v/>
      </c>
      <c r="DF408">
        <f>INDEX('Data_Price '!AO$2:AO$1266,MATCH(Data!$DN408,'Data_Price '!$AT$2:$AT$1266,0))</f>
        <v/>
      </c>
      <c r="DG408">
        <f>INDEX('Data_Price '!AP$2:AP$1266,MATCH(Data!$DN408,'Data_Price '!$AT$2:$AT$1266,0))</f>
        <v/>
      </c>
      <c r="DH408">
        <f>INDEX('Data_Price '!AQ$2:AQ$1266,MATCH(Data!$DN408,'Data_Price '!$AT$2:$AT$1266,0))</f>
        <v/>
      </c>
      <c r="DI408">
        <f>INDEX('Data_Price '!AR$2:AR$1266,MATCH(Data!$DN408,'Data_Price '!$AT$2:$AT$1266,0))</f>
        <v/>
      </c>
      <c r="DJ408" s="138">
        <f>DA408</f>
        <v/>
      </c>
      <c r="DK408" s="138">
        <f>DE408</f>
        <v/>
      </c>
      <c r="DL408" s="138">
        <f>DI408</f>
        <v/>
      </c>
      <c r="DM408" s="303">
        <f>IF(LEFT(BT408,1)=" ",RIGHT(BT408,LEN(BT408)-1),BT408)</f>
        <v/>
      </c>
      <c r="DN408" s="138">
        <f>_xlfn.CONCAT(BS408,DM408,BU408,BV408)</f>
        <v/>
      </c>
      <c r="DO408" s="307" t="inlineStr">
        <is>
          <t>https://images.evo.com/imgp/250/201028/826361/clone.jpg</t>
        </is>
      </c>
    </row>
    <row r="409" ht="15.6" customHeight="1" s="184">
      <c r="B409" s="303">
        <f t="array" ref="B409">IF(OR(ISERROR(K409:P409)),FALSE,TRUE)</f>
        <v/>
      </c>
      <c r="C409" s="60">
        <f>OR(BR409=Driver!$G$50,Data!BR249=Driver!$H$50)</f>
        <v/>
      </c>
      <c r="D409" s="60">
        <f>OR(BV409=Driver!$G$51,BV409=Driver!$H$51)</f>
        <v/>
      </c>
      <c r="E409" s="60">
        <f>AND(BX409&gt;Driver!$F$54,BX409&lt;Driver!$G$54)</f>
        <v/>
      </c>
      <c r="F409" s="60">
        <f>CL409&gt;Driver!$F$56</f>
        <v/>
      </c>
      <c r="G409" s="60">
        <f>AND(CB409&gt;Driver!$F$55,CB409&lt;Driver!$G$55)</f>
        <v/>
      </c>
      <c r="H409" s="60">
        <f>AND(B409:G409)</f>
        <v/>
      </c>
      <c r="I409" s="60">
        <f>COUNTIFS($H$9:$H$1273,TRUE,$BT$9:$BT$1273,BT409)</f>
        <v/>
      </c>
      <c r="J409" s="60">
        <f t="array" ref="J409">NOT(OR(($H$9:$H$1273=TRUE)*($I$9:$I$1273&gt;0)*($BT$9:$BT$1273=BT409)*($K$9:$K$1273&gt;K409)))</f>
        <v/>
      </c>
      <c r="K409" s="108">
        <f>IFERROR(1-AVERAGE(X409:Y409),"")</f>
        <v/>
      </c>
      <c r="L409" s="108">
        <f>1-X409</f>
        <v/>
      </c>
      <c r="M409" s="108">
        <f>1-Y409</f>
        <v/>
      </c>
      <c r="N409" s="108">
        <f>1-Z409</f>
        <v/>
      </c>
      <c r="O409" s="108">
        <f>1-AA409</f>
        <v/>
      </c>
      <c r="P409" s="108">
        <f>1-AB409</f>
        <v/>
      </c>
      <c r="Q409" s="108" t="n"/>
      <c r="R409" s="108" t="n"/>
      <c r="S409" s="108">
        <f>1-AE409</f>
        <v/>
      </c>
      <c r="T409" s="108">
        <f>1-AF409</f>
        <v/>
      </c>
      <c r="U409" s="108">
        <f>1-AG409</f>
        <v/>
      </c>
      <c r="V409" s="108">
        <f>1-AH409</f>
        <v/>
      </c>
      <c r="W409" s="108">
        <f>1-AI409</f>
        <v/>
      </c>
      <c r="X409" s="108">
        <f>ABS(AJ409-AJ$1)</f>
        <v/>
      </c>
      <c r="Y409" s="108">
        <f>AVERAGE(Z409:AB409)</f>
        <v/>
      </c>
      <c r="Z409" s="108">
        <f>ABS(AL409-AL$1)</f>
        <v/>
      </c>
      <c r="AA409" s="108">
        <f>ABS(AM409-AM$1)</f>
        <v/>
      </c>
      <c r="AB409" s="108">
        <f>ABS(AN409-AN$1)</f>
        <v/>
      </c>
      <c r="AC409" s="108" t="n"/>
      <c r="AD409" s="108" t="n"/>
      <c r="AE409" s="108">
        <f>ABS(AQ$1-AQ409)</f>
        <v/>
      </c>
      <c r="AF409" s="108">
        <f>ABS(AR$1-AR409)</f>
        <v/>
      </c>
      <c r="AG409" s="108">
        <f>ABS(AS$1-AS409)</f>
        <v/>
      </c>
      <c r="AH409" s="108">
        <f>ABS(AT$1-AT409)</f>
        <v/>
      </c>
      <c r="AI409" s="108">
        <f>ABS(AU$1-AU409)</f>
        <v/>
      </c>
      <c r="AJ409" s="108">
        <f>(AV409-Driver!$K$179)/(Driver!$L$179-Driver!$K$179)</f>
        <v/>
      </c>
      <c r="AK409" s="108">
        <f>(AW409-Driver!$K$180)/(Driver!$L$180-Driver!$K$180)</f>
        <v/>
      </c>
      <c r="AL409" s="108">
        <f>(AX409-Driver!$K$181)/(Driver!$L$181-Driver!$K$181)</f>
        <v/>
      </c>
      <c r="AM409" s="108">
        <f>(AY409-Driver!$K$182)/(Driver!$L$182-Driver!$K$182)</f>
        <v/>
      </c>
      <c r="AN409" s="108">
        <f>(AZ409-Driver!$K$183)/(Driver!$L$183-Driver!$K$183)</f>
        <v/>
      </c>
      <c r="AO409" s="108" t="n"/>
      <c r="AP409" s="108" t="n"/>
      <c r="AQ409" s="108">
        <f>(BC409-Driver!$K$188)/(Driver!$L$188-Driver!$K$188)</f>
        <v/>
      </c>
      <c r="AR409" s="108">
        <f>MIN((BD409-Driver!$K$189)/(Driver!$L$189-Driver!$K$189),100%)</f>
        <v/>
      </c>
      <c r="AS409" s="108">
        <f>(BE409-Driver!$K$190)/(Driver!$L$190-Driver!$K$190)</f>
        <v/>
      </c>
      <c r="AT409" s="108">
        <f>(BF409-Driver!$K$191)/(Driver!$L$191-Driver!$K$191)</f>
        <v/>
      </c>
      <c r="AU409" s="108">
        <f>(BG409-Driver!$K$192)/(Driver!$L$192-Driver!$K$192)</f>
        <v/>
      </c>
      <c r="AV409" s="105">
        <f>IFERROR(BM409*BJ409^1/4,"")</f>
        <v/>
      </c>
      <c r="AW409" s="105">
        <f>IFERROR(SUM(AX409:AZ409),"")</f>
        <v/>
      </c>
      <c r="AX409" s="105">
        <f>IFERROR(BH409,"")</f>
        <v/>
      </c>
      <c r="AY409" s="105">
        <f>IFERROR(Driver!$K$19/Data!BH409/Data!BI409*Data!BK409*Data!BL409,"")</f>
        <v/>
      </c>
      <c r="AZ409" s="105">
        <f>IFERROR(BI409*BN409,"")</f>
        <v/>
      </c>
      <c r="BA409" s="105" t="n"/>
      <c r="BB409" s="105" t="n"/>
      <c r="BC409" s="105">
        <f>IFERROR(BI409*BN409*BK409/BJ409^(1/2),"")</f>
        <v/>
      </c>
      <c r="BD409" s="105">
        <f>IFERROR(BH409*BM409*BL409/BJ409/BK409,"")</f>
        <v/>
      </c>
      <c r="BE409" s="105">
        <f>IFERROR(MIN(BI409/BQ409/BP409/BO409/BH409,$BE$1),"")</f>
        <v/>
      </c>
      <c r="BF409" s="105">
        <f>IFERROR(BJ409*BO409*BP409/BK409,"")</f>
        <v/>
      </c>
      <c r="BG409" s="105">
        <f>IFERROR(1/BM409/BH409*BQ409,"")</f>
        <v/>
      </c>
      <c r="BH409" s="102">
        <f>MAX((CE409-Driver!$F$200)/(Driver!$G$200-Driver!$F$200)*$BI$1,1)</f>
        <v/>
      </c>
      <c r="BI409" s="102">
        <f>MAX($BI$1*(BY409-Driver!$F$201)/(Driver!$G$201-Driver!$F$201),1)</f>
        <v/>
      </c>
      <c r="BJ409" s="102">
        <f>(CB409-Driver!$F$206)/(Driver!$G$206-Driver!$F$206)*$BI$1</f>
        <v/>
      </c>
      <c r="BK409" s="102">
        <f>(CD409-Driver!$F$203)/(Driver!$G$203-Driver!$F$203)*$BI$1</f>
        <v/>
      </c>
      <c r="BL409" s="102">
        <f>MAX((CR409-Driver!$F$202)/(Driver!$G$202-Driver!$F$202)*$BI$1,1)</f>
        <v/>
      </c>
      <c r="BM409" s="102">
        <f>MAX((CH409-Driver!$F$204)/(Driver!$G$204-Driver!$F$204)*$BI$1,1)</f>
        <v/>
      </c>
      <c r="BN409" s="102">
        <f>(CI409-Driver!$F$205)/(Driver!$G$205-Driver!$F$205)*$BI$1</f>
        <v/>
      </c>
      <c r="BO409" s="102">
        <f>(CK409-Driver!$F$207)/(Driver!$G$207-Driver!$F$207)*$BI$1</f>
        <v/>
      </c>
      <c r="BP409" s="102">
        <f>(CM409-Driver!$F$208)/(Driver!$G$208-Driver!$F$208)*$BI$1</f>
        <v/>
      </c>
      <c r="BQ409" s="102">
        <f>(CL409-Driver!$F$209)/(Driver!$G$209-Driver!$F$209)*$BI$1</f>
        <v/>
      </c>
      <c r="BR409" s="40" t="inlineStr">
        <is>
          <t>21/22</t>
        </is>
      </c>
      <c r="BS409" s="10" t="inlineStr">
        <is>
          <t xml:space="preserve"> Black Diamond</t>
        </is>
      </c>
      <c r="BT409" s="11" t="inlineStr">
        <is>
          <t>Impulse 104</t>
        </is>
      </c>
      <c r="BU409" s="13" t="n">
        <v>186</v>
      </c>
      <c r="BV409" s="11" t="inlineStr">
        <is>
          <t xml:space="preserve"> Unisex</t>
        </is>
      </c>
      <c r="BW409" s="13" t="n">
        <v>186</v>
      </c>
      <c r="BX409" s="13" t="n">
        <v>186.6</v>
      </c>
      <c r="BY409" s="13" t="n">
        <v>136</v>
      </c>
      <c r="BZ409" s="13" t="n">
        <v>147</v>
      </c>
      <c r="CA409" s="13" t="n">
        <v>136</v>
      </c>
      <c r="CB409" s="13" t="n">
        <v>103</v>
      </c>
      <c r="CC409" s="13" t="n">
        <v>123</v>
      </c>
      <c r="CD409" s="13" t="n">
        <v>19</v>
      </c>
      <c r="CE409" s="13" t="n">
        <v>2084</v>
      </c>
      <c r="CF409" s="13" t="n">
        <v>1.02</v>
      </c>
      <c r="CG409" s="13" t="n">
        <v>2118</v>
      </c>
      <c r="CH409" s="13" t="n">
        <v>225</v>
      </c>
      <c r="CI409" s="13" t="n">
        <v>95</v>
      </c>
      <c r="CJ409" s="13" t="n">
        <v>46</v>
      </c>
      <c r="CK409" s="13" t="n">
        <v>300</v>
      </c>
      <c r="CL409" s="13" t="n">
        <v>22</v>
      </c>
      <c r="CM409" s="13" t="n">
        <v>207</v>
      </c>
      <c r="CN409" s="13" t="n">
        <v>0.491</v>
      </c>
      <c r="CO409" s="13" t="n">
        <v>240</v>
      </c>
      <c r="CP409" s="13" t="n">
        <v>160</v>
      </c>
      <c r="CQ409" s="13" t="n">
        <v>60</v>
      </c>
      <c r="CR409" s="13" t="n">
        <v>9</v>
      </c>
      <c r="CS409" s="13" t="n">
        <v>9.199999999999999</v>
      </c>
      <c r="CT409" s="11" t="inlineStr">
        <is>
          <t xml:space="preserve"> Resort Freeride</t>
        </is>
      </c>
      <c r="CU409" s="11" t="inlineStr">
        <is>
          <t xml:space="preserve"> Powder</t>
        </is>
      </c>
      <c r="CV409" s="13" t="n"/>
      <c r="CW409" s="13" t="n"/>
      <c r="CX409">
        <f>INDEX('Data_Price '!AG$2:AG$1266,MATCH(Data!$DN409,'Data_Price '!$AT$2:$AT$1266,0))</f>
        <v/>
      </c>
      <c r="CY409">
        <f>INDEX('Data_Price '!AH$2:AH$1266,MATCH(Data!$DN409,'Data_Price '!$AT$2:$AT$1266,0))</f>
        <v/>
      </c>
      <c r="CZ409">
        <f>INDEX('Data_Price '!AI$2:AI$1266,MATCH(Data!$DN409,'Data_Price '!$AT$2:$AT$1266,0))</f>
        <v/>
      </c>
      <c r="DA409">
        <f>INDEX('Data_Price '!AJ$2:AJ$1266,MATCH(Data!$DN409,'Data_Price '!$AT$2:$AT$1266,0))</f>
        <v/>
      </c>
      <c r="DB409">
        <f>INDEX('Data_Price '!AK$2:AK$1266,MATCH(Data!$DN409,'Data_Price '!$AT$2:$AT$1266,0))</f>
        <v/>
      </c>
      <c r="DC409">
        <f>INDEX('Data_Price '!AL$2:AL$1266,MATCH(Data!$DN409,'Data_Price '!$AT$2:$AT$1266,0))</f>
        <v/>
      </c>
      <c r="DD409">
        <f>INDEX('Data_Price '!AM$2:AM$1266,MATCH(Data!$DN409,'Data_Price '!$AT$2:$AT$1266,0))</f>
        <v/>
      </c>
      <c r="DE409">
        <f>INDEX('Data_Price '!AN$2:AN$1266,MATCH(Data!$DN409,'Data_Price '!$AT$2:$AT$1266,0))</f>
        <v/>
      </c>
      <c r="DF409">
        <f>INDEX('Data_Price '!AO$2:AO$1266,MATCH(Data!$DN409,'Data_Price '!$AT$2:$AT$1266,0))</f>
        <v/>
      </c>
      <c r="DG409">
        <f>INDEX('Data_Price '!AP$2:AP$1266,MATCH(Data!$DN409,'Data_Price '!$AT$2:$AT$1266,0))</f>
        <v/>
      </c>
      <c r="DH409">
        <f>INDEX('Data_Price '!AQ$2:AQ$1266,MATCH(Data!$DN409,'Data_Price '!$AT$2:$AT$1266,0))</f>
        <v/>
      </c>
      <c r="DI409">
        <f>INDEX('Data_Price '!AR$2:AR$1266,MATCH(Data!$DN409,'Data_Price '!$AT$2:$AT$1266,0))</f>
        <v/>
      </c>
      <c r="DJ409" s="138">
        <f>DA409</f>
        <v/>
      </c>
      <c r="DK409" s="138">
        <f>DE409</f>
        <v/>
      </c>
      <c r="DL409" s="138">
        <f>DI409</f>
        <v/>
      </c>
      <c r="DM409" s="303">
        <f>IF(LEFT(BT409,1)=" ",RIGHT(BT409,LEN(BT409)-1),BT409)</f>
        <v/>
      </c>
      <c r="DN409" s="138">
        <f>_xlfn.CONCAT(BS409,DM409,BU409,BV409)</f>
        <v/>
      </c>
      <c r="DO409" s="307" t="inlineStr">
        <is>
          <t>https://images.evo.com/imgp/250/200507/836805/black-diamond-impulse-104-skis-2022-.jpg</t>
        </is>
      </c>
    </row>
    <row r="410" ht="15.6" customHeight="1" s="184">
      <c r="B410" s="303">
        <f t="array" ref="B410">IF(OR(ISERROR(K410:P410)),FALSE,TRUE)</f>
        <v/>
      </c>
      <c r="C410" s="60">
        <f>OR(BR410=Driver!$G$50,Data!BR402=Driver!$H$50)</f>
        <v/>
      </c>
      <c r="D410" s="60">
        <f>OR(BV410=Driver!$G$51,BV410=Driver!$H$51)</f>
        <v/>
      </c>
      <c r="E410" s="60">
        <f>AND(BX410&gt;Driver!$F$54,BX410&lt;Driver!$G$54)</f>
        <v/>
      </c>
      <c r="F410" s="60">
        <f>CL410&gt;Driver!$F$56</f>
        <v/>
      </c>
      <c r="G410" s="60">
        <f>AND(CB410&gt;Driver!$F$55,CB410&lt;Driver!$G$55)</f>
        <v/>
      </c>
      <c r="H410" s="60">
        <f>AND(B410:G410)</f>
        <v/>
      </c>
      <c r="I410" s="60">
        <f>COUNTIFS($H$9:$H$1273,TRUE,$BT$9:$BT$1273,BT410)</f>
        <v/>
      </c>
      <c r="J410" s="60">
        <f t="array" ref="J410">NOT(OR(($H$9:$H$1273=TRUE)*($I$9:$I$1273&gt;0)*($BT$9:$BT$1273=BT410)*($K$9:$K$1273&gt;K410)))</f>
        <v/>
      </c>
      <c r="K410" s="108">
        <f>IFERROR(1-AVERAGE(X410:Y410),"")</f>
        <v/>
      </c>
      <c r="L410" s="108">
        <f>1-X410</f>
        <v/>
      </c>
      <c r="M410" s="108">
        <f>1-Y410</f>
        <v/>
      </c>
      <c r="N410" s="108">
        <f>1-Z410</f>
        <v/>
      </c>
      <c r="O410" s="108">
        <f>1-AA410</f>
        <v/>
      </c>
      <c r="P410" s="108">
        <f>1-AB410</f>
        <v/>
      </c>
      <c r="Q410" s="108" t="n"/>
      <c r="R410" s="108" t="n"/>
      <c r="S410" s="108">
        <f>1-AE410</f>
        <v/>
      </c>
      <c r="T410" s="108">
        <f>1-AF410</f>
        <v/>
      </c>
      <c r="U410" s="108">
        <f>1-AG410</f>
        <v/>
      </c>
      <c r="V410" s="108">
        <f>1-AH410</f>
        <v/>
      </c>
      <c r="W410" s="108">
        <f>1-AI410</f>
        <v/>
      </c>
      <c r="X410" s="108">
        <f>ABS(AJ410-AJ$1)</f>
        <v/>
      </c>
      <c r="Y410" s="108">
        <f>AVERAGE(Z410:AB410)</f>
        <v/>
      </c>
      <c r="Z410" s="108">
        <f>ABS(AL410-AL$1)</f>
        <v/>
      </c>
      <c r="AA410" s="108">
        <f>ABS(AM410-AM$1)</f>
        <v/>
      </c>
      <c r="AB410" s="108">
        <f>ABS(AN410-AN$1)</f>
        <v/>
      </c>
      <c r="AC410" s="108" t="n"/>
      <c r="AD410" s="108" t="n"/>
      <c r="AE410" s="108">
        <f>ABS(AQ$1-AQ410)</f>
        <v/>
      </c>
      <c r="AF410" s="108">
        <f>ABS(AR$1-AR410)</f>
        <v/>
      </c>
      <c r="AG410" s="108">
        <f>ABS(AS$1-AS410)</f>
        <v/>
      </c>
      <c r="AH410" s="108">
        <f>ABS(AT$1-AT410)</f>
        <v/>
      </c>
      <c r="AI410" s="108">
        <f>ABS(AU$1-AU410)</f>
        <v/>
      </c>
      <c r="AJ410" s="108">
        <f>(AV410-Driver!$K$179)/(Driver!$L$179-Driver!$K$179)</f>
        <v/>
      </c>
      <c r="AK410" s="108">
        <f>(AW410-Driver!$K$180)/(Driver!$L$180-Driver!$K$180)</f>
        <v/>
      </c>
      <c r="AL410" s="108">
        <f>(AX410-Driver!$K$181)/(Driver!$L$181-Driver!$K$181)</f>
        <v/>
      </c>
      <c r="AM410" s="108">
        <f>(AY410-Driver!$K$182)/(Driver!$L$182-Driver!$K$182)</f>
        <v/>
      </c>
      <c r="AN410" s="108">
        <f>(AZ410-Driver!$K$183)/(Driver!$L$183-Driver!$K$183)</f>
        <v/>
      </c>
      <c r="AO410" s="108" t="n"/>
      <c r="AP410" s="108" t="n"/>
      <c r="AQ410" s="108">
        <f>(BC410-Driver!$K$188)/(Driver!$L$188-Driver!$K$188)</f>
        <v/>
      </c>
      <c r="AR410" s="108">
        <f>MIN((BD410-Driver!$K$189)/(Driver!$L$189-Driver!$K$189),100%)</f>
        <v/>
      </c>
      <c r="AS410" s="108">
        <f>(BE410-Driver!$K$190)/(Driver!$L$190-Driver!$K$190)</f>
        <v/>
      </c>
      <c r="AT410" s="108">
        <f>(BF410-Driver!$K$191)/(Driver!$L$191-Driver!$K$191)</f>
        <v/>
      </c>
      <c r="AU410" s="108">
        <f>(BG410-Driver!$K$192)/(Driver!$L$192-Driver!$K$192)</f>
        <v/>
      </c>
      <c r="AV410" s="105">
        <f>IFERROR(BM410*BJ410^1/4,"")</f>
        <v/>
      </c>
      <c r="AW410" s="105">
        <f>IFERROR(SUM(AX410:AZ410),"")</f>
        <v/>
      </c>
      <c r="AX410" s="105">
        <f>IFERROR(BH410,"")</f>
        <v/>
      </c>
      <c r="AY410" s="105">
        <f>IFERROR(Driver!$K$19/Data!BH410/Data!BI410*Data!BK410*Data!BL410,"")</f>
        <v/>
      </c>
      <c r="AZ410" s="105">
        <f>IFERROR(BI410*BN410,"")</f>
        <v/>
      </c>
      <c r="BA410" s="105" t="n"/>
      <c r="BB410" s="105" t="n"/>
      <c r="BC410" s="105">
        <f>IFERROR(BI410*BN410*BK410/BJ410^(1/2),"")</f>
        <v/>
      </c>
      <c r="BD410" s="105">
        <f>IFERROR(BH410*BM410*BL410/BJ410/BK410,"")</f>
        <v/>
      </c>
      <c r="BE410" s="105">
        <f>IFERROR(MIN(BI410/BQ410/BP410/BO410/BH410,$BE$1),"")</f>
        <v/>
      </c>
      <c r="BF410" s="105">
        <f>IFERROR(BJ410*BO410*BP410/BK410,"")</f>
        <v/>
      </c>
      <c r="BG410" s="105">
        <f>IFERROR(1/BM410/BH410*BQ410,"")</f>
        <v/>
      </c>
      <c r="BH410" s="102">
        <f>MAX((CE410-Driver!$F$200)/(Driver!$G$200-Driver!$F$200)*$BI$1,1)</f>
        <v/>
      </c>
      <c r="BI410" s="102">
        <f>MAX($BI$1*(BY410-Driver!$F$201)/(Driver!$G$201-Driver!$F$201),1)</f>
        <v/>
      </c>
      <c r="BJ410" s="102">
        <f>(CB410-Driver!$F$206)/(Driver!$G$206-Driver!$F$206)*$BI$1</f>
        <v/>
      </c>
      <c r="BK410" s="102">
        <f>(CD410-Driver!$F$203)/(Driver!$G$203-Driver!$F$203)*$BI$1</f>
        <v/>
      </c>
      <c r="BL410" s="102">
        <f>MAX((CR410-Driver!$F$202)/(Driver!$G$202-Driver!$F$202)*$BI$1,1)</f>
        <v/>
      </c>
      <c r="BM410" s="102">
        <f>MAX((CH410-Driver!$F$204)/(Driver!$G$204-Driver!$F$204)*$BI$1,1)</f>
        <v/>
      </c>
      <c r="BN410" s="102">
        <f>(CI410-Driver!$F$205)/(Driver!$G$205-Driver!$F$205)*$BI$1</f>
        <v/>
      </c>
      <c r="BO410" s="102">
        <f>(CK410-Driver!$F$207)/(Driver!$G$207-Driver!$F$207)*$BI$1</f>
        <v/>
      </c>
      <c r="BP410" s="102">
        <f>(CM410-Driver!$F$208)/(Driver!$G$208-Driver!$F$208)*$BI$1</f>
        <v/>
      </c>
      <c r="BQ410" s="102">
        <f>(CL410-Driver!$F$209)/(Driver!$G$209-Driver!$F$209)*$BI$1</f>
        <v/>
      </c>
      <c r="BR410" s="40" t="inlineStr">
        <is>
          <t>21/22</t>
        </is>
      </c>
      <c r="BS410" s="10" t="inlineStr">
        <is>
          <t xml:space="preserve"> Dynastar</t>
        </is>
      </c>
      <c r="BT410" s="11" t="inlineStr">
        <is>
          <t>M-Pro 90 W</t>
        </is>
      </c>
      <c r="BU410" s="13" t="n">
        <v>154</v>
      </c>
      <c r="BV410" s="11" t="inlineStr">
        <is>
          <t xml:space="preserve"> Women's</t>
        </is>
      </c>
      <c r="BW410" s="13" t="n">
        <v>154</v>
      </c>
      <c r="BX410" s="13" t="n">
        <v>153.5</v>
      </c>
      <c r="BY410" s="13" t="n">
        <v>104</v>
      </c>
      <c r="BZ410" s="13" t="n">
        <v>123</v>
      </c>
      <c r="CA410" s="13" t="n">
        <v>117</v>
      </c>
      <c r="CB410" s="13" t="n">
        <v>86</v>
      </c>
      <c r="CC410" s="13" t="n">
        <v>107</v>
      </c>
      <c r="CD410" s="13" t="n">
        <v>12.5</v>
      </c>
      <c r="CE410" s="13" t="n">
        <v>1460</v>
      </c>
      <c r="CF410" s="13" t="n">
        <v>1.03</v>
      </c>
      <c r="CG410" s="13" t="n">
        <v>1499</v>
      </c>
      <c r="CH410" s="13" t="n">
        <v>229</v>
      </c>
      <c r="CI410" s="13" t="n">
        <v>85</v>
      </c>
      <c r="CJ410" s="13" t="n">
        <v>64</v>
      </c>
      <c r="CK410" s="13" t="n">
        <v>334</v>
      </c>
      <c r="CL410" s="13" t="n">
        <v>15</v>
      </c>
      <c r="CM410" s="13" t="n">
        <v>160</v>
      </c>
      <c r="CN410" s="13" t="n">
        <v>0.233</v>
      </c>
      <c r="CO410" s="13" t="n">
        <v>210</v>
      </c>
      <c r="CP410" s="13" t="n">
        <v>99</v>
      </c>
      <c r="CQ410" s="13" t="n">
        <v>125</v>
      </c>
      <c r="CR410" s="13" t="n">
        <v>4</v>
      </c>
      <c r="CS410" s="13" t="n">
        <v>11.6</v>
      </c>
      <c r="CT410" s="11" t="inlineStr">
        <is>
          <t xml:space="preserve"> Resort Freeride</t>
        </is>
      </c>
      <c r="CU410" s="13" t="n"/>
      <c r="CV410" s="13" t="n"/>
      <c r="CW410" s="13" t="n"/>
      <c r="CX410">
        <f>INDEX('Data_Price '!AG$2:AG$1266,MATCH(Data!$DN410,'Data_Price '!$AT$2:$AT$1266,0))</f>
        <v/>
      </c>
      <c r="CY410">
        <f>INDEX('Data_Price '!AH$2:AH$1266,MATCH(Data!$DN410,'Data_Price '!$AT$2:$AT$1266,0))</f>
        <v/>
      </c>
      <c r="CZ410">
        <f>INDEX('Data_Price '!AI$2:AI$1266,MATCH(Data!$DN410,'Data_Price '!$AT$2:$AT$1266,0))</f>
        <v/>
      </c>
      <c r="DA410">
        <f>INDEX('Data_Price '!AJ$2:AJ$1266,MATCH(Data!$DN410,'Data_Price '!$AT$2:$AT$1266,0))</f>
        <v/>
      </c>
      <c r="DB410">
        <f>INDEX('Data_Price '!AK$2:AK$1266,MATCH(Data!$DN410,'Data_Price '!$AT$2:$AT$1266,0))</f>
        <v/>
      </c>
      <c r="DC410">
        <f>INDEX('Data_Price '!AL$2:AL$1266,MATCH(Data!$DN410,'Data_Price '!$AT$2:$AT$1266,0))</f>
        <v/>
      </c>
      <c r="DD410">
        <f>INDEX('Data_Price '!AM$2:AM$1266,MATCH(Data!$DN410,'Data_Price '!$AT$2:$AT$1266,0))</f>
        <v/>
      </c>
      <c r="DE410">
        <f>INDEX('Data_Price '!AN$2:AN$1266,MATCH(Data!$DN410,'Data_Price '!$AT$2:$AT$1266,0))</f>
        <v/>
      </c>
      <c r="DF410">
        <f>INDEX('Data_Price '!AO$2:AO$1266,MATCH(Data!$DN410,'Data_Price '!$AT$2:$AT$1266,0))</f>
        <v/>
      </c>
      <c r="DG410">
        <f>INDEX('Data_Price '!AP$2:AP$1266,MATCH(Data!$DN410,'Data_Price '!$AT$2:$AT$1266,0))</f>
        <v/>
      </c>
      <c r="DH410">
        <f>INDEX('Data_Price '!AQ$2:AQ$1266,MATCH(Data!$DN410,'Data_Price '!$AT$2:$AT$1266,0))</f>
        <v/>
      </c>
      <c r="DI410">
        <f>INDEX('Data_Price '!AR$2:AR$1266,MATCH(Data!$DN410,'Data_Price '!$AT$2:$AT$1266,0))</f>
        <v/>
      </c>
      <c r="DJ410" s="138">
        <f>DA410</f>
        <v/>
      </c>
      <c r="DK410" s="138">
        <f>DE410</f>
        <v/>
      </c>
      <c r="DL410" s="138">
        <f>DI410</f>
        <v/>
      </c>
      <c r="DM410" s="303">
        <f>IF(LEFT(BT410,1)=" ",RIGHT(BT410,LEN(BT410)-1),BT410)</f>
        <v/>
      </c>
      <c r="DN410" s="138">
        <f>_xlfn.CONCAT(BS410,DM410,BU410,BV410)</f>
        <v/>
      </c>
      <c r="DO410" s="307" t="inlineStr">
        <is>
          <t>https://images.evo.com/imgp/250/185156/736338/dynastar-m-pro-90-w-skis-women-s-2022-.jpg</t>
        </is>
      </c>
    </row>
    <row r="411" ht="15.6" customHeight="1" s="184">
      <c r="B411" s="303">
        <f t="array" ref="B411">IF(OR(ISERROR(K411:P411)),FALSE,TRUE)</f>
        <v/>
      </c>
      <c r="C411" s="60">
        <f>OR(BR411=Driver!$G$50,Data!BR541=Driver!$H$50)</f>
        <v/>
      </c>
      <c r="D411" s="60">
        <f>OR(BV411=Driver!$G$51,BV411=Driver!$H$51)</f>
        <v/>
      </c>
      <c r="E411" s="60">
        <f>AND(BX411&gt;Driver!$F$54,BX411&lt;Driver!$G$54)</f>
        <v/>
      </c>
      <c r="F411" s="60">
        <f>CL411&gt;Driver!$F$56</f>
        <v/>
      </c>
      <c r="G411" s="60">
        <f>AND(CB411&gt;Driver!$F$55,CB411&lt;Driver!$G$55)</f>
        <v/>
      </c>
      <c r="H411" s="60">
        <f>AND(B411:G411)</f>
        <v/>
      </c>
      <c r="I411" s="60">
        <f>COUNTIFS($H$9:$H$1273,TRUE,$BT$9:$BT$1273,BT411)</f>
        <v/>
      </c>
      <c r="J411" s="60">
        <f t="array" ref="J411">NOT(OR(($H$9:$H$1273=TRUE)*($I$9:$I$1273&gt;0)*($BT$9:$BT$1273=BT411)*($K$9:$K$1273&gt;K411)))</f>
        <v/>
      </c>
      <c r="K411" s="108">
        <f>IFERROR(1-AVERAGE(X411:Y411),"")</f>
        <v/>
      </c>
      <c r="L411" s="108">
        <f>1-X411</f>
        <v/>
      </c>
      <c r="M411" s="108">
        <f>1-Y411</f>
        <v/>
      </c>
      <c r="N411" s="108">
        <f>1-Z411</f>
        <v/>
      </c>
      <c r="O411" s="108">
        <f>1-AA411</f>
        <v/>
      </c>
      <c r="P411" s="108">
        <f>1-AB411</f>
        <v/>
      </c>
      <c r="Q411" s="108" t="n"/>
      <c r="R411" s="108" t="n"/>
      <c r="S411" s="108">
        <f>1-AE411</f>
        <v/>
      </c>
      <c r="T411" s="108">
        <f>1-AF411</f>
        <v/>
      </c>
      <c r="U411" s="108">
        <f>1-AG411</f>
        <v/>
      </c>
      <c r="V411" s="108">
        <f>1-AH411</f>
        <v/>
      </c>
      <c r="W411" s="108">
        <f>1-AI411</f>
        <v/>
      </c>
      <c r="X411" s="108">
        <f>ABS(AJ411-AJ$1)</f>
        <v/>
      </c>
      <c r="Y411" s="108">
        <f>AVERAGE(Z411:AB411)</f>
        <v/>
      </c>
      <c r="Z411" s="108">
        <f>ABS(AL411-AL$1)</f>
        <v/>
      </c>
      <c r="AA411" s="108">
        <f>ABS(AM411-AM$1)</f>
        <v/>
      </c>
      <c r="AB411" s="108">
        <f>ABS(AN411-AN$1)</f>
        <v/>
      </c>
      <c r="AC411" s="108" t="n"/>
      <c r="AD411" s="108" t="n"/>
      <c r="AE411" s="108">
        <f>ABS(AQ$1-AQ411)</f>
        <v/>
      </c>
      <c r="AF411" s="108">
        <f>ABS(AR$1-AR411)</f>
        <v/>
      </c>
      <c r="AG411" s="108">
        <f>ABS(AS$1-AS411)</f>
        <v/>
      </c>
      <c r="AH411" s="108">
        <f>ABS(AT$1-AT411)</f>
        <v/>
      </c>
      <c r="AI411" s="108">
        <f>ABS(AU$1-AU411)</f>
        <v/>
      </c>
      <c r="AJ411" s="108">
        <f>(AV411-Driver!$K$179)/(Driver!$L$179-Driver!$K$179)</f>
        <v/>
      </c>
      <c r="AK411" s="108">
        <f>(AW411-Driver!$K$180)/(Driver!$L$180-Driver!$K$180)</f>
        <v/>
      </c>
      <c r="AL411" s="108">
        <f>(AX411-Driver!$K$181)/(Driver!$L$181-Driver!$K$181)</f>
        <v/>
      </c>
      <c r="AM411" s="108">
        <f>(AY411-Driver!$K$182)/(Driver!$L$182-Driver!$K$182)</f>
        <v/>
      </c>
      <c r="AN411" s="108">
        <f>(AZ411-Driver!$K$183)/(Driver!$L$183-Driver!$K$183)</f>
        <v/>
      </c>
      <c r="AO411" s="108" t="n"/>
      <c r="AP411" s="108" t="n"/>
      <c r="AQ411" s="108">
        <f>(BC411-Driver!$K$188)/(Driver!$L$188-Driver!$K$188)</f>
        <v/>
      </c>
      <c r="AR411" s="108">
        <f>MIN((BD411-Driver!$K$189)/(Driver!$L$189-Driver!$K$189),100%)</f>
        <v/>
      </c>
      <c r="AS411" s="108">
        <f>(BE411-Driver!$K$190)/(Driver!$L$190-Driver!$K$190)</f>
        <v/>
      </c>
      <c r="AT411" s="108">
        <f>(BF411-Driver!$K$191)/(Driver!$L$191-Driver!$K$191)</f>
        <v/>
      </c>
      <c r="AU411" s="108">
        <f>(BG411-Driver!$K$192)/(Driver!$L$192-Driver!$K$192)</f>
        <v/>
      </c>
      <c r="AV411" s="105">
        <f>IFERROR(BM411*BJ411^1/4,"")</f>
        <v/>
      </c>
      <c r="AW411" s="105">
        <f>IFERROR(SUM(AX411:AZ411),"")</f>
        <v/>
      </c>
      <c r="AX411" s="105">
        <f>IFERROR(BH411,"")</f>
        <v/>
      </c>
      <c r="AY411" s="105">
        <f>IFERROR(Driver!$K$19/Data!BH411/Data!BI411*Data!BK411*Data!BL411,"")</f>
        <v/>
      </c>
      <c r="AZ411" s="105">
        <f>IFERROR(BI411*BN411,"")</f>
        <v/>
      </c>
      <c r="BA411" s="105" t="n"/>
      <c r="BB411" s="105" t="n"/>
      <c r="BC411" s="105">
        <f>IFERROR(BI411*BN411*BK411/BJ411^(1/2),"")</f>
        <v/>
      </c>
      <c r="BD411" s="105">
        <f>IFERROR(BH411*BM411*BL411/BJ411/BK411,"")</f>
        <v/>
      </c>
      <c r="BE411" s="105">
        <f>IFERROR(MIN(BI411/BQ411/BP411/BO411/BH411,$BE$1),"")</f>
        <v/>
      </c>
      <c r="BF411" s="105">
        <f>IFERROR(BJ411*BO411*BP411/BK411,"")</f>
        <v/>
      </c>
      <c r="BG411" s="105">
        <f>IFERROR(1/BM411/BH411*BQ411,"")</f>
        <v/>
      </c>
      <c r="BH411" s="102">
        <f>MAX((CE411-Driver!$F$200)/(Driver!$G$200-Driver!$F$200)*$BI$1,1)</f>
        <v/>
      </c>
      <c r="BI411" s="102">
        <f>MAX($BI$1*(BY411-Driver!$F$201)/(Driver!$G$201-Driver!$F$201),1)</f>
        <v/>
      </c>
      <c r="BJ411" s="102">
        <f>(CB411-Driver!$F$206)/(Driver!$G$206-Driver!$F$206)*$BI$1</f>
        <v/>
      </c>
      <c r="BK411" s="102">
        <f>(CD411-Driver!$F$203)/(Driver!$G$203-Driver!$F$203)*$BI$1</f>
        <v/>
      </c>
      <c r="BL411" s="102">
        <f>MAX((CR411-Driver!$F$202)/(Driver!$G$202-Driver!$F$202)*$BI$1,1)</f>
        <v/>
      </c>
      <c r="BM411" s="102">
        <f>MAX((CH411-Driver!$F$204)/(Driver!$G$204-Driver!$F$204)*$BI$1,1)</f>
        <v/>
      </c>
      <c r="BN411" s="102">
        <f>(CI411-Driver!$F$205)/(Driver!$G$205-Driver!$F$205)*$BI$1</f>
        <v/>
      </c>
      <c r="BO411" s="102">
        <f>(CK411-Driver!$F$207)/(Driver!$G$207-Driver!$F$207)*$BI$1</f>
        <v/>
      </c>
      <c r="BP411" s="102">
        <f>(CM411-Driver!$F$208)/(Driver!$G$208-Driver!$F$208)*$BI$1</f>
        <v/>
      </c>
      <c r="BQ411" s="102">
        <f>(CL411-Driver!$F$209)/(Driver!$G$209-Driver!$F$209)*$BI$1</f>
        <v/>
      </c>
      <c r="BR411" s="40" t="inlineStr">
        <is>
          <t>21/22</t>
        </is>
      </c>
      <c r="BS411" s="10" t="inlineStr">
        <is>
          <t xml:space="preserve"> Faction</t>
        </is>
      </c>
      <c r="BT411" s="11" t="inlineStr">
        <is>
          <t>Prodigy 3.0</t>
        </is>
      </c>
      <c r="BU411" s="13" t="n">
        <v>178</v>
      </c>
      <c r="BV411" s="11" t="inlineStr">
        <is>
          <t xml:space="preserve"> Unisex</t>
        </is>
      </c>
      <c r="BW411" s="13" t="n">
        <v>178</v>
      </c>
      <c r="BX411" s="13" t="n">
        <v>176.5</v>
      </c>
      <c r="BY411" s="13" t="n">
        <v>122</v>
      </c>
      <c r="BZ411" s="13" t="n">
        <v>142</v>
      </c>
      <c r="CA411" s="13" t="n">
        <v>132</v>
      </c>
      <c r="CB411" s="13" t="n">
        <v>105</v>
      </c>
      <c r="CC411" s="13" t="n">
        <v>125</v>
      </c>
      <c r="CD411" s="13" t="n">
        <v>19.4</v>
      </c>
      <c r="CE411" s="13" t="n">
        <v>2049</v>
      </c>
      <c r="CF411" s="13" t="n">
        <v>0.99</v>
      </c>
      <c r="CG411" s="13" t="n">
        <v>2028</v>
      </c>
      <c r="CH411" s="13" t="n">
        <v>211</v>
      </c>
      <c r="CI411" s="13" t="n">
        <v>99</v>
      </c>
      <c r="CJ411" s="13" t="n">
        <v>52</v>
      </c>
      <c r="CK411" s="13" t="n">
        <v>290</v>
      </c>
      <c r="CL411" s="13" t="n">
        <v>43</v>
      </c>
      <c r="CM411" s="13" t="n">
        <v>252</v>
      </c>
      <c r="CN411" s="13" t="n">
        <v>0.833</v>
      </c>
      <c r="CO411" s="13" t="n">
        <v>180</v>
      </c>
      <c r="CP411" s="13" t="n">
        <v>165</v>
      </c>
      <c r="CQ411" s="13" t="n">
        <v>111</v>
      </c>
      <c r="CR411" s="13" t="n">
        <v>9</v>
      </c>
      <c r="CS411" s="13" t="n">
        <v>9</v>
      </c>
      <c r="CT411" s="11" t="inlineStr">
        <is>
          <t xml:space="preserve"> Freeski</t>
        </is>
      </c>
      <c r="CU411" s="11" t="inlineStr">
        <is>
          <t xml:space="preserve"> Powder</t>
        </is>
      </c>
      <c r="CV411" s="13" t="n"/>
      <c r="CW411" s="13" t="n"/>
      <c r="CX411">
        <f>INDEX('Data_Price '!AG$2:AG$1266,MATCH(Data!$DN411,'Data_Price '!$AT$2:$AT$1266,0))</f>
        <v/>
      </c>
      <c r="CY411">
        <f>INDEX('Data_Price '!AH$2:AH$1266,MATCH(Data!$DN411,'Data_Price '!$AT$2:$AT$1266,0))</f>
        <v/>
      </c>
      <c r="CZ411">
        <f>INDEX('Data_Price '!AI$2:AI$1266,MATCH(Data!$DN411,'Data_Price '!$AT$2:$AT$1266,0))</f>
        <v/>
      </c>
      <c r="DA411">
        <f>INDEX('Data_Price '!AJ$2:AJ$1266,MATCH(Data!$DN411,'Data_Price '!$AT$2:$AT$1266,0))</f>
        <v/>
      </c>
      <c r="DB411">
        <f>INDEX('Data_Price '!AK$2:AK$1266,MATCH(Data!$DN411,'Data_Price '!$AT$2:$AT$1266,0))</f>
        <v/>
      </c>
      <c r="DC411">
        <f>INDEX('Data_Price '!AL$2:AL$1266,MATCH(Data!$DN411,'Data_Price '!$AT$2:$AT$1266,0))</f>
        <v/>
      </c>
      <c r="DD411">
        <f>INDEX('Data_Price '!AM$2:AM$1266,MATCH(Data!$DN411,'Data_Price '!$AT$2:$AT$1266,0))</f>
        <v/>
      </c>
      <c r="DE411">
        <f>INDEX('Data_Price '!AN$2:AN$1266,MATCH(Data!$DN411,'Data_Price '!$AT$2:$AT$1266,0))</f>
        <v/>
      </c>
      <c r="DF411">
        <f>INDEX('Data_Price '!AO$2:AO$1266,MATCH(Data!$DN411,'Data_Price '!$AT$2:$AT$1266,0))</f>
        <v/>
      </c>
      <c r="DG411">
        <f>INDEX('Data_Price '!AP$2:AP$1266,MATCH(Data!$DN411,'Data_Price '!$AT$2:$AT$1266,0))</f>
        <v/>
      </c>
      <c r="DH411">
        <f>INDEX('Data_Price '!AQ$2:AQ$1266,MATCH(Data!$DN411,'Data_Price '!$AT$2:$AT$1266,0))</f>
        <v/>
      </c>
      <c r="DI411">
        <f>INDEX('Data_Price '!AR$2:AR$1266,MATCH(Data!$DN411,'Data_Price '!$AT$2:$AT$1266,0))</f>
        <v/>
      </c>
      <c r="DJ411" s="138">
        <f>DA411</f>
        <v/>
      </c>
      <c r="DK411" s="138">
        <f>DE411</f>
        <v/>
      </c>
      <c r="DL411" s="138">
        <f>DI411</f>
        <v/>
      </c>
      <c r="DM411" s="303">
        <f>IF(LEFT(BT411,1)=" ",RIGHT(BT411,LEN(BT411)-1),BT411)</f>
        <v/>
      </c>
      <c r="DN411" s="138">
        <f>_xlfn.CONCAT(BS411,DM411,BU411,BV411)</f>
        <v/>
      </c>
      <c r="DO411" s="307" t="inlineStr">
        <is>
          <t>https://images.evo.com/imgp/250/208634/839526/faction-prodigy-3-0-skis-2022-.jpg</t>
        </is>
      </c>
    </row>
    <row r="412" ht="15.6" customHeight="1" s="184">
      <c r="B412" s="303">
        <f t="array" ref="B412">IF(OR(ISERROR(K412:P412)),FALSE,TRUE)</f>
        <v/>
      </c>
      <c r="C412" s="60">
        <f>OR(BR412=Driver!$G$50,Data!BR726=Driver!$H$50)</f>
        <v/>
      </c>
      <c r="D412" s="60">
        <f>OR(BV412=Driver!$G$51,BV412=Driver!$H$51)</f>
        <v/>
      </c>
      <c r="E412" s="60">
        <f>AND(BX412&gt;Driver!$F$54,BX412&lt;Driver!$G$54)</f>
        <v/>
      </c>
      <c r="F412" s="60">
        <f>CL412&gt;Driver!$F$56</f>
        <v/>
      </c>
      <c r="G412" s="60">
        <f>AND(CB412&gt;Driver!$F$55,CB412&lt;Driver!$G$55)</f>
        <v/>
      </c>
      <c r="H412" s="60">
        <f>AND(B412:G412)</f>
        <v/>
      </c>
      <c r="I412" s="60">
        <f>COUNTIFS($H$9:$H$1273,TRUE,$BT$9:$BT$1273,BT412)</f>
        <v/>
      </c>
      <c r="J412" s="60">
        <f t="array" ref="J412">NOT(OR(($H$9:$H$1273=TRUE)*($I$9:$I$1273&gt;0)*($BT$9:$BT$1273=BT412)*($K$9:$K$1273&gt;K412)))</f>
        <v/>
      </c>
      <c r="K412" s="108">
        <f>IFERROR(1-AVERAGE(X412:Y412),"")</f>
        <v/>
      </c>
      <c r="L412" s="108">
        <f>1-X412</f>
        <v/>
      </c>
      <c r="M412" s="108">
        <f>1-Y412</f>
        <v/>
      </c>
      <c r="N412" s="108">
        <f>1-Z412</f>
        <v/>
      </c>
      <c r="O412" s="108">
        <f>1-AA412</f>
        <v/>
      </c>
      <c r="P412" s="108">
        <f>1-AB412</f>
        <v/>
      </c>
      <c r="Q412" s="108" t="n"/>
      <c r="R412" s="108" t="n"/>
      <c r="S412" s="108">
        <f>1-AE412</f>
        <v/>
      </c>
      <c r="T412" s="108">
        <f>1-AF412</f>
        <v/>
      </c>
      <c r="U412" s="108">
        <f>1-AG412</f>
        <v/>
      </c>
      <c r="V412" s="108">
        <f>1-AH412</f>
        <v/>
      </c>
      <c r="W412" s="108">
        <f>1-AI412</f>
        <v/>
      </c>
      <c r="X412" s="108">
        <f>ABS(AJ412-AJ$1)</f>
        <v/>
      </c>
      <c r="Y412" s="108">
        <f>AVERAGE(Z412:AB412)</f>
        <v/>
      </c>
      <c r="Z412" s="108">
        <f>ABS(AL412-AL$1)</f>
        <v/>
      </c>
      <c r="AA412" s="108">
        <f>ABS(AM412-AM$1)</f>
        <v/>
      </c>
      <c r="AB412" s="108">
        <f>ABS(AN412-AN$1)</f>
        <v/>
      </c>
      <c r="AC412" s="108" t="n"/>
      <c r="AD412" s="108" t="n"/>
      <c r="AE412" s="108">
        <f>ABS(AQ$1-AQ412)</f>
        <v/>
      </c>
      <c r="AF412" s="108">
        <f>ABS(AR$1-AR412)</f>
        <v/>
      </c>
      <c r="AG412" s="108">
        <f>ABS(AS$1-AS412)</f>
        <v/>
      </c>
      <c r="AH412" s="108">
        <f>ABS(AT$1-AT412)</f>
        <v/>
      </c>
      <c r="AI412" s="108">
        <f>ABS(AU$1-AU412)</f>
        <v/>
      </c>
      <c r="AJ412" s="108">
        <f>(AV412-Driver!$K$179)/(Driver!$L$179-Driver!$K$179)</f>
        <v/>
      </c>
      <c r="AK412" s="108">
        <f>(AW412-Driver!$K$180)/(Driver!$L$180-Driver!$K$180)</f>
        <v/>
      </c>
      <c r="AL412" s="108">
        <f>(AX412-Driver!$K$181)/(Driver!$L$181-Driver!$K$181)</f>
        <v/>
      </c>
      <c r="AM412" s="108">
        <f>(AY412-Driver!$K$182)/(Driver!$L$182-Driver!$K$182)</f>
        <v/>
      </c>
      <c r="AN412" s="108">
        <f>(AZ412-Driver!$K$183)/(Driver!$L$183-Driver!$K$183)</f>
        <v/>
      </c>
      <c r="AO412" s="108" t="n"/>
      <c r="AP412" s="108" t="n"/>
      <c r="AQ412" s="108">
        <f>(BC412-Driver!$K$188)/(Driver!$L$188-Driver!$K$188)</f>
        <v/>
      </c>
      <c r="AR412" s="108">
        <f>MIN((BD412-Driver!$K$189)/(Driver!$L$189-Driver!$K$189),100%)</f>
        <v/>
      </c>
      <c r="AS412" s="108">
        <f>(BE412-Driver!$K$190)/(Driver!$L$190-Driver!$K$190)</f>
        <v/>
      </c>
      <c r="AT412" s="108">
        <f>(BF412-Driver!$K$191)/(Driver!$L$191-Driver!$K$191)</f>
        <v/>
      </c>
      <c r="AU412" s="108">
        <f>(BG412-Driver!$K$192)/(Driver!$L$192-Driver!$K$192)</f>
        <v/>
      </c>
      <c r="AV412" s="105">
        <f>IFERROR(BM412*BJ412^1/4,"")</f>
        <v/>
      </c>
      <c r="AW412" s="105">
        <f>IFERROR(SUM(AX412:AZ412),"")</f>
        <v/>
      </c>
      <c r="AX412" s="105">
        <f>IFERROR(BH412,"")</f>
        <v/>
      </c>
      <c r="AY412" s="105">
        <f>IFERROR(Driver!$K$19/Data!BH412/Data!BI412*Data!BK412*Data!BL412,"")</f>
        <v/>
      </c>
      <c r="AZ412" s="105">
        <f>IFERROR(BI412*BN412,"")</f>
        <v/>
      </c>
      <c r="BA412" s="105" t="n"/>
      <c r="BB412" s="105" t="n"/>
      <c r="BC412" s="105">
        <f>IFERROR(BI412*BN412*BK412/BJ412^(1/2),"")</f>
        <v/>
      </c>
      <c r="BD412" s="105">
        <f>IFERROR(BH412*BM412*BL412/BJ412/BK412,"")</f>
        <v/>
      </c>
      <c r="BE412" s="105">
        <f>IFERROR(MIN(BI412/BQ412/BP412/BO412/BH412,$BE$1),"")</f>
        <v/>
      </c>
      <c r="BF412" s="105">
        <f>IFERROR(BJ412*BO412*BP412/BK412,"")</f>
        <v/>
      </c>
      <c r="BG412" s="105">
        <f>IFERROR(1/BM412/BH412*BQ412,"")</f>
        <v/>
      </c>
      <c r="BH412" s="102">
        <f>MAX((CE412-Driver!$F$200)/(Driver!$G$200-Driver!$F$200)*$BI$1,1)</f>
        <v/>
      </c>
      <c r="BI412" s="102">
        <f>MAX($BI$1*(BY412-Driver!$F$201)/(Driver!$G$201-Driver!$F$201),1)</f>
        <v/>
      </c>
      <c r="BJ412" s="102">
        <f>(CB412-Driver!$F$206)/(Driver!$G$206-Driver!$F$206)*$BI$1</f>
        <v/>
      </c>
      <c r="BK412" s="102">
        <f>(CD412-Driver!$F$203)/(Driver!$G$203-Driver!$F$203)*$BI$1</f>
        <v/>
      </c>
      <c r="BL412" s="102">
        <f>MAX((CR412-Driver!$F$202)/(Driver!$G$202-Driver!$F$202)*$BI$1,1)</f>
        <v/>
      </c>
      <c r="BM412" s="102">
        <f>MAX((CH412-Driver!$F$204)/(Driver!$G$204-Driver!$F$204)*$BI$1,1)</f>
        <v/>
      </c>
      <c r="BN412" s="102">
        <f>(CI412-Driver!$F$205)/(Driver!$G$205-Driver!$F$205)*$BI$1</f>
        <v/>
      </c>
      <c r="BO412" s="102">
        <f>(CK412-Driver!$F$207)/(Driver!$G$207-Driver!$F$207)*$BI$1</f>
        <v/>
      </c>
      <c r="BP412" s="102">
        <f>(CM412-Driver!$F$208)/(Driver!$G$208-Driver!$F$208)*$BI$1</f>
        <v/>
      </c>
      <c r="BQ412" s="102">
        <f>(CL412-Driver!$F$209)/(Driver!$G$209-Driver!$F$209)*$BI$1</f>
        <v/>
      </c>
      <c r="BR412" s="40" t="inlineStr">
        <is>
          <t>21/22</t>
        </is>
      </c>
      <c r="BS412" s="10" t="inlineStr">
        <is>
          <t xml:space="preserve"> K2</t>
        </is>
      </c>
      <c r="BT412" s="11" t="inlineStr">
        <is>
          <t>Mindbender 85</t>
        </is>
      </c>
      <c r="BU412" s="13" t="n">
        <v>163</v>
      </c>
      <c r="BV412" s="11" t="inlineStr">
        <is>
          <t xml:space="preserve"> Unisex</t>
        </is>
      </c>
      <c r="BW412" s="13" t="n">
        <v>163</v>
      </c>
      <c r="BX412" s="13" t="n">
        <v>163.7</v>
      </c>
      <c r="BY412" s="13" t="n">
        <v>120</v>
      </c>
      <c r="BZ412" s="13" t="n">
        <v>136</v>
      </c>
      <c r="CA412" s="13" t="n">
        <v>129</v>
      </c>
      <c r="CB412" s="13" t="n">
        <v>84</v>
      </c>
      <c r="CC412" s="13" t="n">
        <v>112</v>
      </c>
      <c r="CD412" s="13" t="n">
        <v>12</v>
      </c>
      <c r="CE412" s="13" t="n">
        <v>1580</v>
      </c>
      <c r="CF412" s="13" t="n">
        <v>1.03</v>
      </c>
      <c r="CG412" s="13" t="n">
        <v>1627</v>
      </c>
      <c r="CH412" s="13" t="n">
        <v>151</v>
      </c>
      <c r="CI412" s="13" t="n">
        <v>84</v>
      </c>
      <c r="CJ412" s="13" t="n">
        <v>46</v>
      </c>
      <c r="CK412" s="13" t="n">
        <v>270</v>
      </c>
      <c r="CL412" s="13" t="n">
        <v>12</v>
      </c>
      <c r="CM412" s="13" t="n">
        <v>171</v>
      </c>
      <c r="CN412" s="13" t="n">
        <v>0.268</v>
      </c>
      <c r="CO412" s="13" t="n">
        <v>170</v>
      </c>
      <c r="CP412" s="13" t="n">
        <v>110</v>
      </c>
      <c r="CQ412" s="13" t="n">
        <v>100</v>
      </c>
      <c r="CR412" s="13" t="n">
        <v>9</v>
      </c>
      <c r="CS412" s="13" t="n">
        <v>10.5</v>
      </c>
      <c r="CT412" s="11" t="inlineStr">
        <is>
          <t xml:space="preserve"> On-Piste All-Mountain</t>
        </is>
      </c>
      <c r="CU412" s="11" t="inlineStr">
        <is>
          <t xml:space="preserve"> Resort Freeride</t>
        </is>
      </c>
      <c r="CV412" s="13" t="n"/>
      <c r="CW412" s="13" t="n"/>
      <c r="CX412">
        <f>INDEX('Data_Price '!AG$2:AG$1266,MATCH(Data!$DN412,'Data_Price '!$AT$2:$AT$1266,0))</f>
        <v/>
      </c>
      <c r="CY412">
        <f>INDEX('Data_Price '!AH$2:AH$1266,MATCH(Data!$DN412,'Data_Price '!$AT$2:$AT$1266,0))</f>
        <v/>
      </c>
      <c r="CZ412">
        <f>INDEX('Data_Price '!AI$2:AI$1266,MATCH(Data!$DN412,'Data_Price '!$AT$2:$AT$1266,0))</f>
        <v/>
      </c>
      <c r="DA412">
        <f>INDEX('Data_Price '!AJ$2:AJ$1266,MATCH(Data!$DN412,'Data_Price '!$AT$2:$AT$1266,0))</f>
        <v/>
      </c>
      <c r="DB412">
        <f>INDEX('Data_Price '!AK$2:AK$1266,MATCH(Data!$DN412,'Data_Price '!$AT$2:$AT$1266,0))</f>
        <v/>
      </c>
      <c r="DC412">
        <f>INDEX('Data_Price '!AL$2:AL$1266,MATCH(Data!$DN412,'Data_Price '!$AT$2:$AT$1266,0))</f>
        <v/>
      </c>
      <c r="DD412">
        <f>INDEX('Data_Price '!AM$2:AM$1266,MATCH(Data!$DN412,'Data_Price '!$AT$2:$AT$1266,0))</f>
        <v/>
      </c>
      <c r="DE412">
        <f>INDEX('Data_Price '!AN$2:AN$1266,MATCH(Data!$DN412,'Data_Price '!$AT$2:$AT$1266,0))</f>
        <v/>
      </c>
      <c r="DF412">
        <f>INDEX('Data_Price '!AO$2:AO$1266,MATCH(Data!$DN412,'Data_Price '!$AT$2:$AT$1266,0))</f>
        <v/>
      </c>
      <c r="DG412">
        <f>INDEX('Data_Price '!AP$2:AP$1266,MATCH(Data!$DN412,'Data_Price '!$AT$2:$AT$1266,0))</f>
        <v/>
      </c>
      <c r="DH412">
        <f>INDEX('Data_Price '!AQ$2:AQ$1266,MATCH(Data!$DN412,'Data_Price '!$AT$2:$AT$1266,0))</f>
        <v/>
      </c>
      <c r="DI412">
        <f>INDEX('Data_Price '!AR$2:AR$1266,MATCH(Data!$DN412,'Data_Price '!$AT$2:$AT$1266,0))</f>
        <v/>
      </c>
      <c r="DJ412" s="138">
        <f>DA412</f>
        <v/>
      </c>
      <c r="DK412" s="138">
        <f>DE412</f>
        <v/>
      </c>
      <c r="DL412" s="138">
        <f>DI412</f>
        <v/>
      </c>
      <c r="DM412" s="303">
        <f>IF(LEFT(BT412,1)=" ",RIGHT(BT412,LEN(BT412)-1),BT412)</f>
        <v/>
      </c>
      <c r="DN412" s="138">
        <f>_xlfn.CONCAT(BS412,DM412,BU412,BV412)</f>
        <v/>
      </c>
      <c r="DO412" s="307" t="inlineStr">
        <is>
          <t>https://images.evo.com/imgp/250/201044/824992/clone.jpg</t>
        </is>
      </c>
    </row>
    <row r="413" ht="15.6" customHeight="1" s="184">
      <c r="B413" s="303">
        <f t="array" ref="B413">IF(OR(ISERROR(K413:P413)),FALSE,TRUE)</f>
        <v/>
      </c>
      <c r="C413" s="60">
        <f>OR(BR413=Driver!$G$50,Data!BR57=Driver!$H$50)</f>
        <v/>
      </c>
      <c r="D413" s="60">
        <f>OR(BV413=Driver!$G$51,BV413=Driver!$H$51)</f>
        <v/>
      </c>
      <c r="E413" s="60">
        <f>AND(BX413&gt;Driver!$F$54,BX413&lt;Driver!$G$54)</f>
        <v/>
      </c>
      <c r="F413" s="60">
        <f>CL413&gt;Driver!$F$56</f>
        <v/>
      </c>
      <c r="G413" s="60">
        <f>AND(CB413&gt;Driver!$F$55,CB413&lt;Driver!$G$55)</f>
        <v/>
      </c>
      <c r="H413" s="60">
        <f>AND(B413:G413)</f>
        <v/>
      </c>
      <c r="I413" s="60">
        <f>COUNTIFS($H$9:$H$1273,TRUE,$BT$9:$BT$1273,BT413)</f>
        <v/>
      </c>
      <c r="J413" s="60">
        <f t="array" ref="J413">NOT(OR(($H$9:$H$1273=TRUE)*($I$9:$I$1273&gt;0)*($BT$9:$BT$1273=BT413)*($K$9:$K$1273&gt;K413)))</f>
        <v/>
      </c>
      <c r="K413" s="108">
        <f>IFERROR(1-AVERAGE(X413:Y413),"")</f>
        <v/>
      </c>
      <c r="L413" s="108">
        <f>1-X413</f>
        <v/>
      </c>
      <c r="M413" s="108">
        <f>1-Y413</f>
        <v/>
      </c>
      <c r="N413" s="108">
        <f>1-Z413</f>
        <v/>
      </c>
      <c r="O413" s="108">
        <f>1-AA413</f>
        <v/>
      </c>
      <c r="P413" s="108">
        <f>1-AB413</f>
        <v/>
      </c>
      <c r="Q413" s="108" t="n"/>
      <c r="R413" s="108" t="n"/>
      <c r="S413" s="108">
        <f>1-AE413</f>
        <v/>
      </c>
      <c r="T413" s="108">
        <f>1-AF413</f>
        <v/>
      </c>
      <c r="U413" s="108">
        <f>1-AG413</f>
        <v/>
      </c>
      <c r="V413" s="108">
        <f>1-AH413</f>
        <v/>
      </c>
      <c r="W413" s="108">
        <f>1-AI413</f>
        <v/>
      </c>
      <c r="X413" s="108">
        <f>ABS(AJ413-AJ$1)</f>
        <v/>
      </c>
      <c r="Y413" s="108">
        <f>AVERAGE(Z413:AB413)</f>
        <v/>
      </c>
      <c r="Z413" s="108">
        <f>ABS(AL413-AL$1)</f>
        <v/>
      </c>
      <c r="AA413" s="108">
        <f>ABS(AM413-AM$1)</f>
        <v/>
      </c>
      <c r="AB413" s="108">
        <f>ABS(AN413-AN$1)</f>
        <v/>
      </c>
      <c r="AC413" s="108" t="n"/>
      <c r="AD413" s="108" t="n"/>
      <c r="AE413" s="108">
        <f>ABS(AQ$1-AQ413)</f>
        <v/>
      </c>
      <c r="AF413" s="108">
        <f>ABS(AR$1-AR413)</f>
        <v/>
      </c>
      <c r="AG413" s="108">
        <f>ABS(AS$1-AS413)</f>
        <v/>
      </c>
      <c r="AH413" s="108">
        <f>ABS(AT$1-AT413)</f>
        <v/>
      </c>
      <c r="AI413" s="108">
        <f>ABS(AU$1-AU413)</f>
        <v/>
      </c>
      <c r="AJ413" s="108">
        <f>(AV413-Driver!$K$179)/(Driver!$L$179-Driver!$K$179)</f>
        <v/>
      </c>
      <c r="AK413" s="108">
        <f>(AW413-Driver!$K$180)/(Driver!$L$180-Driver!$K$180)</f>
        <v/>
      </c>
      <c r="AL413" s="108">
        <f>(AX413-Driver!$K$181)/(Driver!$L$181-Driver!$K$181)</f>
        <v/>
      </c>
      <c r="AM413" s="108">
        <f>(AY413-Driver!$K$182)/(Driver!$L$182-Driver!$K$182)</f>
        <v/>
      </c>
      <c r="AN413" s="108">
        <f>(AZ413-Driver!$K$183)/(Driver!$L$183-Driver!$K$183)</f>
        <v/>
      </c>
      <c r="AO413" s="108" t="n"/>
      <c r="AP413" s="108" t="n"/>
      <c r="AQ413" s="108">
        <f>(BC413-Driver!$K$188)/(Driver!$L$188-Driver!$K$188)</f>
        <v/>
      </c>
      <c r="AR413" s="108">
        <f>MIN((BD413-Driver!$K$189)/(Driver!$L$189-Driver!$K$189),100%)</f>
        <v/>
      </c>
      <c r="AS413" s="108">
        <f>(BE413-Driver!$K$190)/(Driver!$L$190-Driver!$K$190)</f>
        <v/>
      </c>
      <c r="AT413" s="108">
        <f>(BF413-Driver!$K$191)/(Driver!$L$191-Driver!$K$191)</f>
        <v/>
      </c>
      <c r="AU413" s="108">
        <f>(BG413-Driver!$K$192)/(Driver!$L$192-Driver!$K$192)</f>
        <v/>
      </c>
      <c r="AV413" s="105">
        <f>IFERROR(BM413*BJ413^1/4,"")</f>
        <v/>
      </c>
      <c r="AW413" s="105">
        <f>IFERROR(SUM(AX413:AZ413),"")</f>
        <v/>
      </c>
      <c r="AX413" s="105">
        <f>IFERROR(BH413,"")</f>
        <v/>
      </c>
      <c r="AY413" s="105">
        <f>IFERROR(Driver!$K$19/Data!BH413/Data!BI413*Data!BK413*Data!BL413,"")</f>
        <v/>
      </c>
      <c r="AZ413" s="105">
        <f>IFERROR(BI413*BN413,"")</f>
        <v/>
      </c>
      <c r="BA413" s="105" t="n"/>
      <c r="BB413" s="105" t="n"/>
      <c r="BC413" s="105">
        <f>IFERROR(BI413*BN413*BK413/BJ413^(1/2),"")</f>
        <v/>
      </c>
      <c r="BD413" s="105">
        <f>IFERROR(BH413*BM413*BL413/BJ413/BK413,"")</f>
        <v/>
      </c>
      <c r="BE413" s="105">
        <f>IFERROR(MIN(BI413/BQ413/BP413/BO413/BH413,$BE$1),"")</f>
        <v/>
      </c>
      <c r="BF413" s="105">
        <f>IFERROR(BJ413*BO413*BP413/BK413,"")</f>
        <v/>
      </c>
      <c r="BG413" s="105">
        <f>IFERROR(1/BM413/BH413*BQ413,"")</f>
        <v/>
      </c>
      <c r="BH413" s="102">
        <f>MAX((CE413-Driver!$F$200)/(Driver!$G$200-Driver!$F$200)*$BI$1,1)</f>
        <v/>
      </c>
      <c r="BI413" s="102">
        <f>MAX($BI$1*(BY413-Driver!$F$201)/(Driver!$G$201-Driver!$F$201),1)</f>
        <v/>
      </c>
      <c r="BJ413" s="102">
        <f>(CB413-Driver!$F$206)/(Driver!$G$206-Driver!$F$206)*$BI$1</f>
        <v/>
      </c>
      <c r="BK413" s="102">
        <f>(CD413-Driver!$F$203)/(Driver!$G$203-Driver!$F$203)*$BI$1</f>
        <v/>
      </c>
      <c r="BL413" s="102">
        <f>MAX((CR413-Driver!$F$202)/(Driver!$G$202-Driver!$F$202)*$BI$1,1)</f>
        <v/>
      </c>
      <c r="BM413" s="102">
        <f>MAX((CH413-Driver!$F$204)/(Driver!$G$204-Driver!$F$204)*$BI$1,1)</f>
        <v/>
      </c>
      <c r="BN413" s="102">
        <f>(CI413-Driver!$F$205)/(Driver!$G$205-Driver!$F$205)*$BI$1</f>
        <v/>
      </c>
      <c r="BO413" s="102">
        <f>(CK413-Driver!$F$207)/(Driver!$G$207-Driver!$F$207)*$BI$1</f>
        <v/>
      </c>
      <c r="BP413" s="102">
        <f>(CM413-Driver!$F$208)/(Driver!$G$208-Driver!$F$208)*$BI$1</f>
        <v/>
      </c>
      <c r="BQ413" s="102">
        <f>(CL413-Driver!$F$209)/(Driver!$G$209-Driver!$F$209)*$BI$1</f>
        <v/>
      </c>
      <c r="BR413" s="40" t="inlineStr">
        <is>
          <t>21/22</t>
        </is>
      </c>
      <c r="BS413" s="10" t="inlineStr">
        <is>
          <t xml:space="preserve"> Armada</t>
        </is>
      </c>
      <c r="BT413" s="11" t="inlineStr">
        <is>
          <t>ARW 96</t>
        </is>
      </c>
      <c r="BU413" s="13" t="n">
        <v>163</v>
      </c>
      <c r="BV413" s="11" t="inlineStr">
        <is>
          <t xml:space="preserve"> Women's</t>
        </is>
      </c>
      <c r="BW413" s="13" t="n">
        <v>163</v>
      </c>
      <c r="BX413" s="13" t="n">
        <v>161.2</v>
      </c>
      <c r="BY413" s="13" t="n">
        <v>116</v>
      </c>
      <c r="BZ413" s="13" t="n">
        <v>135</v>
      </c>
      <c r="CA413" s="13" t="n">
        <v>123</v>
      </c>
      <c r="CB413" s="13" t="n">
        <v>95</v>
      </c>
      <c r="CC413" s="13" t="n">
        <v>115</v>
      </c>
      <c r="CD413" s="13" t="n">
        <v>17.4</v>
      </c>
      <c r="CE413" s="13" t="n">
        <v>1678</v>
      </c>
      <c r="CF413" s="13" t="n">
        <v>1</v>
      </c>
      <c r="CG413" s="13" t="n">
        <v>1683</v>
      </c>
      <c r="CH413" s="13" t="n">
        <v>155</v>
      </c>
      <c r="CI413" s="13" t="n">
        <v>88</v>
      </c>
      <c r="CJ413" s="13" t="n">
        <v>45</v>
      </c>
      <c r="CK413" s="13" t="n">
        <v>236</v>
      </c>
      <c r="CL413" s="13" t="n">
        <v>38</v>
      </c>
      <c r="CM413" s="13" t="n">
        <v>214</v>
      </c>
      <c r="CN413" s="13" t="n">
        <v>0.853</v>
      </c>
      <c r="CO413" s="13" t="n">
        <v>118</v>
      </c>
      <c r="CP413" s="13" t="n">
        <v>147</v>
      </c>
      <c r="CQ413" s="13" t="n">
        <v>118</v>
      </c>
      <c r="CR413" s="13" t="n">
        <v>10</v>
      </c>
      <c r="CS413" s="13" t="n">
        <v>5.3</v>
      </c>
      <c r="CT413" s="11" t="inlineStr">
        <is>
          <t xml:space="preserve"> Resort Freeride</t>
        </is>
      </c>
      <c r="CU413" s="11" t="inlineStr">
        <is>
          <t xml:space="preserve"> Freeski</t>
        </is>
      </c>
      <c r="CV413" s="13" t="n"/>
      <c r="CW413" s="13" t="n"/>
      <c r="CX413">
        <f>INDEX('Data_Price '!AG$2:AG$1266,MATCH(Data!$DN413,'Data_Price '!$AT$2:$AT$1266,0))</f>
        <v/>
      </c>
      <c r="CY413">
        <f>INDEX('Data_Price '!AH$2:AH$1266,MATCH(Data!$DN413,'Data_Price '!$AT$2:$AT$1266,0))</f>
        <v/>
      </c>
      <c r="CZ413">
        <f>INDEX('Data_Price '!AI$2:AI$1266,MATCH(Data!$DN413,'Data_Price '!$AT$2:$AT$1266,0))</f>
        <v/>
      </c>
      <c r="DA413">
        <f>INDEX('Data_Price '!AJ$2:AJ$1266,MATCH(Data!$DN413,'Data_Price '!$AT$2:$AT$1266,0))</f>
        <v/>
      </c>
      <c r="DB413">
        <f>INDEX('Data_Price '!AK$2:AK$1266,MATCH(Data!$DN413,'Data_Price '!$AT$2:$AT$1266,0))</f>
        <v/>
      </c>
      <c r="DC413">
        <f>INDEX('Data_Price '!AL$2:AL$1266,MATCH(Data!$DN413,'Data_Price '!$AT$2:$AT$1266,0))</f>
        <v/>
      </c>
      <c r="DD413">
        <f>INDEX('Data_Price '!AM$2:AM$1266,MATCH(Data!$DN413,'Data_Price '!$AT$2:$AT$1266,0))</f>
        <v/>
      </c>
      <c r="DE413">
        <f>INDEX('Data_Price '!AN$2:AN$1266,MATCH(Data!$DN413,'Data_Price '!$AT$2:$AT$1266,0))</f>
        <v/>
      </c>
      <c r="DF413">
        <f>INDEX('Data_Price '!AO$2:AO$1266,MATCH(Data!$DN413,'Data_Price '!$AT$2:$AT$1266,0))</f>
        <v/>
      </c>
      <c r="DG413">
        <f>INDEX('Data_Price '!AP$2:AP$1266,MATCH(Data!$DN413,'Data_Price '!$AT$2:$AT$1266,0))</f>
        <v/>
      </c>
      <c r="DH413">
        <f>INDEX('Data_Price '!AQ$2:AQ$1266,MATCH(Data!$DN413,'Data_Price '!$AT$2:$AT$1266,0))</f>
        <v/>
      </c>
      <c r="DI413">
        <f>INDEX('Data_Price '!AR$2:AR$1266,MATCH(Data!$DN413,'Data_Price '!$AT$2:$AT$1266,0))</f>
        <v/>
      </c>
      <c r="DJ413" s="138">
        <f>DA413</f>
        <v/>
      </c>
      <c r="DK413" s="138">
        <f>DE413</f>
        <v/>
      </c>
      <c r="DL413" s="138">
        <f>DI413</f>
        <v/>
      </c>
      <c r="DM413" s="303">
        <f>IF(LEFT(BT413,1)=" ",RIGHT(BT413,LEN(BT413)-1),BT413)</f>
        <v/>
      </c>
      <c r="DN413" s="138">
        <f>_xlfn.CONCAT(BS413,DM413,BU413,BV413)</f>
        <v/>
      </c>
      <c r="DO413" s="307" t="inlineStr">
        <is>
          <t>https://images.evo.com/imgp/250/198714/839686/armada-arw-96-skis-women-s-2022-.jpg</t>
        </is>
      </c>
    </row>
    <row r="414" ht="15.6" customHeight="1" s="184">
      <c r="B414" s="303">
        <f t="array" ref="B414">IF(OR(ISERROR(K414:P414)),FALSE,TRUE)</f>
        <v/>
      </c>
      <c r="C414" s="60">
        <f>OR(BR414=Driver!$G$50,Data!BR376=Driver!$H$50)</f>
        <v/>
      </c>
      <c r="D414" s="60">
        <f>OR(BV414=Driver!$G$51,BV414=Driver!$H$51)</f>
        <v/>
      </c>
      <c r="E414" s="60">
        <f>AND(BX414&gt;Driver!$F$54,BX414&lt;Driver!$G$54)</f>
        <v/>
      </c>
      <c r="F414" s="60">
        <f>CL414&gt;Driver!$F$56</f>
        <v/>
      </c>
      <c r="G414" s="60">
        <f>AND(CB414&gt;Driver!$F$55,CB414&lt;Driver!$G$55)</f>
        <v/>
      </c>
      <c r="H414" s="60">
        <f>AND(B414:G414)</f>
        <v/>
      </c>
      <c r="I414" s="60">
        <f>COUNTIFS($H$9:$H$1273,TRUE,$BT$9:$BT$1273,BT414)</f>
        <v/>
      </c>
      <c r="J414" s="60">
        <f t="array" ref="J414">NOT(OR(($H$9:$H$1273=TRUE)*($I$9:$I$1273&gt;0)*($BT$9:$BT$1273=BT414)*($K$9:$K$1273&gt;K414)))</f>
        <v/>
      </c>
      <c r="K414" s="108">
        <f>IFERROR(1-AVERAGE(X414:Y414),"")</f>
        <v/>
      </c>
      <c r="L414" s="108">
        <f>1-X414</f>
        <v/>
      </c>
      <c r="M414" s="108">
        <f>1-Y414</f>
        <v/>
      </c>
      <c r="N414" s="108">
        <f>1-Z414</f>
        <v/>
      </c>
      <c r="O414" s="108">
        <f>1-AA414</f>
        <v/>
      </c>
      <c r="P414" s="108">
        <f>1-AB414</f>
        <v/>
      </c>
      <c r="Q414" s="108" t="n"/>
      <c r="R414" s="108" t="n"/>
      <c r="S414" s="108">
        <f>1-AE414</f>
        <v/>
      </c>
      <c r="T414" s="108">
        <f>1-AF414</f>
        <v/>
      </c>
      <c r="U414" s="108">
        <f>1-AG414</f>
        <v/>
      </c>
      <c r="V414" s="108">
        <f>1-AH414</f>
        <v/>
      </c>
      <c r="W414" s="108">
        <f>1-AI414</f>
        <v/>
      </c>
      <c r="X414" s="108">
        <f>ABS(AJ414-AJ$1)</f>
        <v/>
      </c>
      <c r="Y414" s="108">
        <f>AVERAGE(Z414:AB414)</f>
        <v/>
      </c>
      <c r="Z414" s="108">
        <f>ABS(AL414-AL$1)</f>
        <v/>
      </c>
      <c r="AA414" s="108">
        <f>ABS(AM414-AM$1)</f>
        <v/>
      </c>
      <c r="AB414" s="108">
        <f>ABS(AN414-AN$1)</f>
        <v/>
      </c>
      <c r="AC414" s="108" t="n"/>
      <c r="AD414" s="108" t="n"/>
      <c r="AE414" s="108">
        <f>ABS(AQ$1-AQ414)</f>
        <v/>
      </c>
      <c r="AF414" s="108">
        <f>ABS(AR$1-AR414)</f>
        <v/>
      </c>
      <c r="AG414" s="108">
        <f>ABS(AS$1-AS414)</f>
        <v/>
      </c>
      <c r="AH414" s="108">
        <f>ABS(AT$1-AT414)</f>
        <v/>
      </c>
      <c r="AI414" s="108">
        <f>ABS(AU$1-AU414)</f>
        <v/>
      </c>
      <c r="AJ414" s="108">
        <f>(AV414-Driver!$K$179)/(Driver!$L$179-Driver!$K$179)</f>
        <v/>
      </c>
      <c r="AK414" s="108">
        <f>(AW414-Driver!$K$180)/(Driver!$L$180-Driver!$K$180)</f>
        <v/>
      </c>
      <c r="AL414" s="108">
        <f>(AX414-Driver!$K$181)/(Driver!$L$181-Driver!$K$181)</f>
        <v/>
      </c>
      <c r="AM414" s="108">
        <f>(AY414-Driver!$K$182)/(Driver!$L$182-Driver!$K$182)</f>
        <v/>
      </c>
      <c r="AN414" s="108">
        <f>(AZ414-Driver!$K$183)/(Driver!$L$183-Driver!$K$183)</f>
        <v/>
      </c>
      <c r="AO414" s="108" t="n"/>
      <c r="AP414" s="108" t="n"/>
      <c r="AQ414" s="108">
        <f>(BC414-Driver!$K$188)/(Driver!$L$188-Driver!$K$188)</f>
        <v/>
      </c>
      <c r="AR414" s="108">
        <f>MIN((BD414-Driver!$K$189)/(Driver!$L$189-Driver!$K$189),100%)</f>
        <v/>
      </c>
      <c r="AS414" s="108">
        <f>(BE414-Driver!$K$190)/(Driver!$L$190-Driver!$K$190)</f>
        <v/>
      </c>
      <c r="AT414" s="108">
        <f>(BF414-Driver!$K$191)/(Driver!$L$191-Driver!$K$191)</f>
        <v/>
      </c>
      <c r="AU414" s="108">
        <f>(BG414-Driver!$K$192)/(Driver!$L$192-Driver!$K$192)</f>
        <v/>
      </c>
      <c r="AV414" s="105">
        <f>IFERROR(BM414*BJ414^1/4,"")</f>
        <v/>
      </c>
      <c r="AW414" s="105">
        <f>IFERROR(SUM(AX414:AZ414),"")</f>
        <v/>
      </c>
      <c r="AX414" s="105">
        <f>IFERROR(BH414,"")</f>
        <v/>
      </c>
      <c r="AY414" s="105">
        <f>IFERROR(Driver!$K$19/Data!BH414/Data!BI414*Data!BK414*Data!BL414,"")</f>
        <v/>
      </c>
      <c r="AZ414" s="105">
        <f>IFERROR(BI414*BN414,"")</f>
        <v/>
      </c>
      <c r="BA414" s="105" t="n"/>
      <c r="BB414" s="105" t="n"/>
      <c r="BC414" s="105">
        <f>IFERROR(BI414*BN414*BK414/BJ414^(1/2),"")</f>
        <v/>
      </c>
      <c r="BD414" s="105">
        <f>IFERROR(BH414*BM414*BL414/BJ414/BK414,"")</f>
        <v/>
      </c>
      <c r="BE414" s="105">
        <f>IFERROR(MIN(BI414/BQ414/BP414/BO414/BH414,$BE$1),"")</f>
        <v/>
      </c>
      <c r="BF414" s="105">
        <f>IFERROR(BJ414*BO414*BP414/BK414,"")</f>
        <v/>
      </c>
      <c r="BG414" s="105">
        <f>IFERROR(1/BM414/BH414*BQ414,"")</f>
        <v/>
      </c>
      <c r="BH414" s="102">
        <f>MAX((CE414-Driver!$F$200)/(Driver!$G$200-Driver!$F$200)*$BI$1,1)</f>
        <v/>
      </c>
      <c r="BI414" s="102">
        <f>MAX($BI$1*(BY414-Driver!$F$201)/(Driver!$G$201-Driver!$F$201),1)</f>
        <v/>
      </c>
      <c r="BJ414" s="102">
        <f>(CB414-Driver!$F$206)/(Driver!$G$206-Driver!$F$206)*$BI$1</f>
        <v/>
      </c>
      <c r="BK414" s="102">
        <f>(CD414-Driver!$F$203)/(Driver!$G$203-Driver!$F$203)*$BI$1</f>
        <v/>
      </c>
      <c r="BL414" s="102">
        <f>MAX((CR414-Driver!$F$202)/(Driver!$G$202-Driver!$F$202)*$BI$1,1)</f>
        <v/>
      </c>
      <c r="BM414" s="102">
        <f>MAX((CH414-Driver!$F$204)/(Driver!$G$204-Driver!$F$204)*$BI$1,1)</f>
        <v/>
      </c>
      <c r="BN414" s="102">
        <f>(CI414-Driver!$F$205)/(Driver!$G$205-Driver!$F$205)*$BI$1</f>
        <v/>
      </c>
      <c r="BO414" s="102">
        <f>(CK414-Driver!$F$207)/(Driver!$G$207-Driver!$F$207)*$BI$1</f>
        <v/>
      </c>
      <c r="BP414" s="102">
        <f>(CM414-Driver!$F$208)/(Driver!$G$208-Driver!$F$208)*$BI$1</f>
        <v/>
      </c>
      <c r="BQ414" s="102">
        <f>(CL414-Driver!$F$209)/(Driver!$G$209-Driver!$F$209)*$BI$1</f>
        <v/>
      </c>
      <c r="BR414" s="40" t="inlineStr">
        <is>
          <t>21/22</t>
        </is>
      </c>
      <c r="BS414" s="10" t="inlineStr">
        <is>
          <t xml:space="preserve"> Dynafit</t>
        </is>
      </c>
      <c r="BT414" s="11" t="inlineStr">
        <is>
          <t>Blacklight 95</t>
        </is>
      </c>
      <c r="BU414" s="13" t="n">
        <v>178</v>
      </c>
      <c r="BV414" s="11" t="inlineStr">
        <is>
          <t xml:space="preserve"> Unisex</t>
        </is>
      </c>
      <c r="BW414" s="13" t="n">
        <v>178</v>
      </c>
      <c r="BX414" s="13" t="n">
        <v>175.9</v>
      </c>
      <c r="BY414" s="13" t="n">
        <v>125</v>
      </c>
      <c r="BZ414" s="13" t="n">
        <v>152</v>
      </c>
      <c r="CA414" s="13" t="n">
        <v>127</v>
      </c>
      <c r="CB414" s="13" t="n">
        <v>95</v>
      </c>
      <c r="CC414" s="13" t="n">
        <v>115</v>
      </c>
      <c r="CD414" s="13" t="n">
        <v>22.1</v>
      </c>
      <c r="CE414" s="13" t="n">
        <v>1278</v>
      </c>
      <c r="CF414" s="13" t="n">
        <v>1.43</v>
      </c>
      <c r="CG414" s="13" t="n">
        <v>1825</v>
      </c>
      <c r="CH414" s="13" t="n">
        <v>276</v>
      </c>
      <c r="CI414" s="13" t="n">
        <v>94</v>
      </c>
      <c r="CJ414" s="13" t="n">
        <v>50</v>
      </c>
      <c r="CK414" s="13" t="n">
        <v>326</v>
      </c>
      <c r="CL414" s="13" t="n">
        <v>12</v>
      </c>
      <c r="CM414" s="13" t="n">
        <v>179</v>
      </c>
      <c r="CN414" s="13" t="n">
        <v>0.235</v>
      </c>
      <c r="CO414" s="13" t="n">
        <v>143</v>
      </c>
      <c r="CP414" s="13" t="n">
        <v>95</v>
      </c>
      <c r="CQ414" s="13" t="n">
        <v>183</v>
      </c>
      <c r="CR414" s="13" t="n">
        <v>4</v>
      </c>
      <c r="CS414" s="13" t="n">
        <v>12.3</v>
      </c>
      <c r="CT414" s="11" t="inlineStr">
        <is>
          <t xml:space="preserve"> Touring</t>
        </is>
      </c>
      <c r="CU414" s="11" t="inlineStr">
        <is>
          <t xml:space="preserve"> Ultralight Touring</t>
        </is>
      </c>
      <c r="CV414" s="13" t="n"/>
      <c r="CW414" s="13" t="n"/>
      <c r="CX414">
        <f>INDEX('Data_Price '!AG$2:AG$1266,MATCH(Data!$DN414,'Data_Price '!$AT$2:$AT$1266,0))</f>
        <v/>
      </c>
      <c r="CY414">
        <f>INDEX('Data_Price '!AH$2:AH$1266,MATCH(Data!$DN414,'Data_Price '!$AT$2:$AT$1266,0))</f>
        <v/>
      </c>
      <c r="CZ414">
        <f>INDEX('Data_Price '!AI$2:AI$1266,MATCH(Data!$DN414,'Data_Price '!$AT$2:$AT$1266,0))</f>
        <v/>
      </c>
      <c r="DA414">
        <f>INDEX('Data_Price '!AJ$2:AJ$1266,MATCH(Data!$DN414,'Data_Price '!$AT$2:$AT$1266,0))</f>
        <v/>
      </c>
      <c r="DB414">
        <f>INDEX('Data_Price '!AK$2:AK$1266,MATCH(Data!$DN414,'Data_Price '!$AT$2:$AT$1266,0))</f>
        <v/>
      </c>
      <c r="DC414">
        <f>INDEX('Data_Price '!AL$2:AL$1266,MATCH(Data!$DN414,'Data_Price '!$AT$2:$AT$1266,0))</f>
        <v/>
      </c>
      <c r="DD414">
        <f>INDEX('Data_Price '!AM$2:AM$1266,MATCH(Data!$DN414,'Data_Price '!$AT$2:$AT$1266,0))</f>
        <v/>
      </c>
      <c r="DE414">
        <f>INDEX('Data_Price '!AN$2:AN$1266,MATCH(Data!$DN414,'Data_Price '!$AT$2:$AT$1266,0))</f>
        <v/>
      </c>
      <c r="DF414">
        <f>INDEX('Data_Price '!AO$2:AO$1266,MATCH(Data!$DN414,'Data_Price '!$AT$2:$AT$1266,0))</f>
        <v/>
      </c>
      <c r="DG414">
        <f>INDEX('Data_Price '!AP$2:AP$1266,MATCH(Data!$DN414,'Data_Price '!$AT$2:$AT$1266,0))</f>
        <v/>
      </c>
      <c r="DH414">
        <f>INDEX('Data_Price '!AQ$2:AQ$1266,MATCH(Data!$DN414,'Data_Price '!$AT$2:$AT$1266,0))</f>
        <v/>
      </c>
      <c r="DI414">
        <f>INDEX('Data_Price '!AR$2:AR$1266,MATCH(Data!$DN414,'Data_Price '!$AT$2:$AT$1266,0))</f>
        <v/>
      </c>
      <c r="DJ414" s="138">
        <f>DA414</f>
        <v/>
      </c>
      <c r="DK414" s="138">
        <f>DE414</f>
        <v/>
      </c>
      <c r="DL414" s="138">
        <f>DI414</f>
        <v/>
      </c>
      <c r="DM414" s="303">
        <f>IF(LEFT(BT414,1)=" ",RIGHT(BT414,LEN(BT414)-1),BT414)</f>
        <v/>
      </c>
      <c r="DN414" s="138">
        <f>_xlfn.CONCAT(BS414,DM414,BU414,BV414)</f>
        <v/>
      </c>
      <c r="DO414" s="307" t="inlineStr">
        <is>
          <t>https://images.evo.com/imgp/250/208965/851019/dynafit-blacklight-95-skis-2022-.jpg</t>
        </is>
      </c>
    </row>
    <row r="415" ht="15.6" customHeight="1" s="184">
      <c r="B415" s="303">
        <f t="array" ref="B415">IF(OR(ISERROR(K415:P415)),FALSE,TRUE)</f>
        <v/>
      </c>
      <c r="C415" s="60">
        <f>OR(BR415=Driver!$G$50,Data!BR147=Driver!$H$50)</f>
        <v/>
      </c>
      <c r="D415" s="60">
        <f>OR(BV415=Driver!$G$51,BV415=Driver!$H$51)</f>
        <v/>
      </c>
      <c r="E415" s="60">
        <f>AND(BX415&gt;Driver!$F$54,BX415&lt;Driver!$G$54)</f>
        <v/>
      </c>
      <c r="F415" s="60">
        <f>CL415&gt;Driver!$F$56</f>
        <v/>
      </c>
      <c r="G415" s="60">
        <f>AND(CB415&gt;Driver!$F$55,CB415&lt;Driver!$G$55)</f>
        <v/>
      </c>
      <c r="H415" s="60">
        <f>AND(B415:G415)</f>
        <v/>
      </c>
      <c r="I415" s="60">
        <f>COUNTIFS($H$9:$H$1273,TRUE,$BT$9:$BT$1273,BT415)</f>
        <v/>
      </c>
      <c r="J415" s="60">
        <f t="array" ref="J415">NOT(OR(($H$9:$H$1273=TRUE)*($I$9:$I$1273&gt;0)*($BT$9:$BT$1273=BT415)*($K$9:$K$1273&gt;K415)))</f>
        <v/>
      </c>
      <c r="K415" s="108">
        <f>IFERROR(1-AVERAGE(X415:Y415),"")</f>
        <v/>
      </c>
      <c r="L415" s="108">
        <f>1-X415</f>
        <v/>
      </c>
      <c r="M415" s="108">
        <f>1-Y415</f>
        <v/>
      </c>
      <c r="N415" s="108">
        <f>1-Z415</f>
        <v/>
      </c>
      <c r="O415" s="108">
        <f>1-AA415</f>
        <v/>
      </c>
      <c r="P415" s="108">
        <f>1-AB415</f>
        <v/>
      </c>
      <c r="Q415" s="108" t="n"/>
      <c r="R415" s="108" t="n"/>
      <c r="S415" s="108">
        <f>1-AE415</f>
        <v/>
      </c>
      <c r="T415" s="108">
        <f>1-AF415</f>
        <v/>
      </c>
      <c r="U415" s="108">
        <f>1-AG415</f>
        <v/>
      </c>
      <c r="V415" s="108">
        <f>1-AH415</f>
        <v/>
      </c>
      <c r="W415" s="108">
        <f>1-AI415</f>
        <v/>
      </c>
      <c r="X415" s="108">
        <f>ABS(AJ415-AJ$1)</f>
        <v/>
      </c>
      <c r="Y415" s="108">
        <f>AVERAGE(Z415:AB415)</f>
        <v/>
      </c>
      <c r="Z415" s="108">
        <f>ABS(AL415-AL$1)</f>
        <v/>
      </c>
      <c r="AA415" s="108">
        <f>ABS(AM415-AM$1)</f>
        <v/>
      </c>
      <c r="AB415" s="108">
        <f>ABS(AN415-AN$1)</f>
        <v/>
      </c>
      <c r="AC415" s="108" t="n"/>
      <c r="AD415" s="108" t="n"/>
      <c r="AE415" s="108">
        <f>ABS(AQ$1-AQ415)</f>
        <v/>
      </c>
      <c r="AF415" s="108">
        <f>ABS(AR$1-AR415)</f>
        <v/>
      </c>
      <c r="AG415" s="108">
        <f>ABS(AS$1-AS415)</f>
        <v/>
      </c>
      <c r="AH415" s="108">
        <f>ABS(AT$1-AT415)</f>
        <v/>
      </c>
      <c r="AI415" s="108">
        <f>ABS(AU$1-AU415)</f>
        <v/>
      </c>
      <c r="AJ415" s="108">
        <f>(AV415-Driver!$K$179)/(Driver!$L$179-Driver!$K$179)</f>
        <v/>
      </c>
      <c r="AK415" s="108">
        <f>(AW415-Driver!$K$180)/(Driver!$L$180-Driver!$K$180)</f>
        <v/>
      </c>
      <c r="AL415" s="108">
        <f>(AX415-Driver!$K$181)/(Driver!$L$181-Driver!$K$181)</f>
        <v/>
      </c>
      <c r="AM415" s="108">
        <f>(AY415-Driver!$K$182)/(Driver!$L$182-Driver!$K$182)</f>
        <v/>
      </c>
      <c r="AN415" s="108">
        <f>(AZ415-Driver!$K$183)/(Driver!$L$183-Driver!$K$183)</f>
        <v/>
      </c>
      <c r="AO415" s="108" t="n"/>
      <c r="AP415" s="108" t="n"/>
      <c r="AQ415" s="108">
        <f>(BC415-Driver!$K$188)/(Driver!$L$188-Driver!$K$188)</f>
        <v/>
      </c>
      <c r="AR415" s="108">
        <f>MIN((BD415-Driver!$K$189)/(Driver!$L$189-Driver!$K$189),100%)</f>
        <v/>
      </c>
      <c r="AS415" s="108">
        <f>(BE415-Driver!$K$190)/(Driver!$L$190-Driver!$K$190)</f>
        <v/>
      </c>
      <c r="AT415" s="108">
        <f>(BF415-Driver!$K$191)/(Driver!$L$191-Driver!$K$191)</f>
        <v/>
      </c>
      <c r="AU415" s="108">
        <f>(BG415-Driver!$K$192)/(Driver!$L$192-Driver!$K$192)</f>
        <v/>
      </c>
      <c r="AV415" s="105">
        <f>IFERROR(BM415*BJ415^1/4,"")</f>
        <v/>
      </c>
      <c r="AW415" s="105">
        <f>IFERROR(SUM(AX415:AZ415),"")</f>
        <v/>
      </c>
      <c r="AX415" s="105">
        <f>IFERROR(BH415,"")</f>
        <v/>
      </c>
      <c r="AY415" s="105">
        <f>IFERROR(Driver!$K$19/Data!BH415/Data!BI415*Data!BK415*Data!BL415,"")</f>
        <v/>
      </c>
      <c r="AZ415" s="105">
        <f>IFERROR(BI415*BN415,"")</f>
        <v/>
      </c>
      <c r="BA415" s="105" t="n"/>
      <c r="BB415" s="105" t="n"/>
      <c r="BC415" s="105">
        <f>IFERROR(BI415*BN415*BK415/BJ415^(1/2),"")</f>
        <v/>
      </c>
      <c r="BD415" s="105">
        <f>IFERROR(BH415*BM415*BL415/BJ415/BK415,"")</f>
        <v/>
      </c>
      <c r="BE415" s="105">
        <f>IFERROR(MIN(BI415/BQ415/BP415/BO415/BH415,$BE$1),"")</f>
        <v/>
      </c>
      <c r="BF415" s="105">
        <f>IFERROR(BJ415*BO415*BP415/BK415,"")</f>
        <v/>
      </c>
      <c r="BG415" s="105">
        <f>IFERROR(1/BM415/BH415*BQ415,"")</f>
        <v/>
      </c>
      <c r="BH415" s="102">
        <f>MAX((CE415-Driver!$F$200)/(Driver!$G$200-Driver!$F$200)*$BI$1,1)</f>
        <v/>
      </c>
      <c r="BI415" s="102">
        <f>MAX($BI$1*(BY415-Driver!$F$201)/(Driver!$G$201-Driver!$F$201),1)</f>
        <v/>
      </c>
      <c r="BJ415" s="102">
        <f>(CB415-Driver!$F$206)/(Driver!$G$206-Driver!$F$206)*$BI$1</f>
        <v/>
      </c>
      <c r="BK415" s="102">
        <f>(CD415-Driver!$F$203)/(Driver!$G$203-Driver!$F$203)*$BI$1</f>
        <v/>
      </c>
      <c r="BL415" s="102">
        <f>MAX((CR415-Driver!$F$202)/(Driver!$G$202-Driver!$F$202)*$BI$1,1)</f>
        <v/>
      </c>
      <c r="BM415" s="102">
        <f>MAX((CH415-Driver!$F$204)/(Driver!$G$204-Driver!$F$204)*$BI$1,1)</f>
        <v/>
      </c>
      <c r="BN415" s="102">
        <f>(CI415-Driver!$F$205)/(Driver!$G$205-Driver!$F$205)*$BI$1</f>
        <v/>
      </c>
      <c r="BO415" s="102">
        <f>(CK415-Driver!$F$207)/(Driver!$G$207-Driver!$F$207)*$BI$1</f>
        <v/>
      </c>
      <c r="BP415" s="102">
        <f>(CM415-Driver!$F$208)/(Driver!$G$208-Driver!$F$208)*$BI$1</f>
        <v/>
      </c>
      <c r="BQ415" s="102">
        <f>(CL415-Driver!$F$209)/(Driver!$G$209-Driver!$F$209)*$BI$1</f>
        <v/>
      </c>
      <c r="BR415" s="40" t="inlineStr">
        <is>
          <t>21/22</t>
        </is>
      </c>
      <c r="BS415" s="10" t="inlineStr">
        <is>
          <t xml:space="preserve"> Atomic</t>
        </is>
      </c>
      <c r="BT415" s="11" t="inlineStr">
        <is>
          <t>Cloud C9</t>
        </is>
      </c>
      <c r="BU415" s="13" t="n">
        <v>164</v>
      </c>
      <c r="BV415" s="11" t="inlineStr">
        <is>
          <t xml:space="preserve"> Women's</t>
        </is>
      </c>
      <c r="BW415" s="13" t="n">
        <v>164</v>
      </c>
      <c r="BX415" s="13" t="n">
        <v>163.5</v>
      </c>
      <c r="BY415" s="13" t="n">
        <v>146</v>
      </c>
      <c r="BZ415" s="13" t="n">
        <v>148</v>
      </c>
      <c r="CA415" s="13" t="n">
        <v>114</v>
      </c>
      <c r="CB415" s="13" t="n">
        <v>72</v>
      </c>
      <c r="CC415" s="13" t="n">
        <v>101</v>
      </c>
      <c r="CD415" s="13" t="n">
        <v>15.4</v>
      </c>
      <c r="CE415" s="13" t="n">
        <v>1747</v>
      </c>
      <c r="CF415" s="13" t="n">
        <v>0.8</v>
      </c>
      <c r="CG415" s="13" t="n">
        <v>1399</v>
      </c>
      <c r="CH415" s="13" t="n">
        <v>163</v>
      </c>
      <c r="CI415" s="13" t="n">
        <v>79</v>
      </c>
      <c r="CJ415" s="13" t="n">
        <v>30</v>
      </c>
      <c r="CK415" s="13" t="n">
        <v>132</v>
      </c>
      <c r="CL415" s="13" t="n">
        <v>3</v>
      </c>
      <c r="CM415" s="13" t="n">
        <v>47</v>
      </c>
      <c r="CN415" s="13" t="n">
        <v>0.111</v>
      </c>
      <c r="CO415" s="13" t="n">
        <v>93</v>
      </c>
      <c r="CP415" s="13" t="n">
        <v>57</v>
      </c>
      <c r="CQ415" s="13" t="n">
        <v>39</v>
      </c>
      <c r="CR415" s="13" t="n">
        <v>15</v>
      </c>
      <c r="CS415" s="13" t="n">
        <v>12.5</v>
      </c>
      <c r="CT415" s="11" t="inlineStr">
        <is>
          <t xml:space="preserve"> On-Piste Carving</t>
        </is>
      </c>
      <c r="CU415" s="13" t="n"/>
      <c r="CV415" s="13" t="n"/>
      <c r="CW415" s="13" t="n"/>
      <c r="CX415">
        <f>INDEX('Data_Price '!AG$2:AG$1266,MATCH(Data!$DN415,'Data_Price '!$AT$2:$AT$1266,0))</f>
        <v/>
      </c>
      <c r="CY415">
        <f>INDEX('Data_Price '!AH$2:AH$1266,MATCH(Data!$DN415,'Data_Price '!$AT$2:$AT$1266,0))</f>
        <v/>
      </c>
      <c r="CZ415">
        <f>INDEX('Data_Price '!AI$2:AI$1266,MATCH(Data!$DN415,'Data_Price '!$AT$2:$AT$1266,0))</f>
        <v/>
      </c>
      <c r="DA415">
        <f>INDEX('Data_Price '!AJ$2:AJ$1266,MATCH(Data!$DN415,'Data_Price '!$AT$2:$AT$1266,0))</f>
        <v/>
      </c>
      <c r="DB415">
        <f>INDEX('Data_Price '!AK$2:AK$1266,MATCH(Data!$DN415,'Data_Price '!$AT$2:$AT$1266,0))</f>
        <v/>
      </c>
      <c r="DC415">
        <f>INDEX('Data_Price '!AL$2:AL$1266,MATCH(Data!$DN415,'Data_Price '!$AT$2:$AT$1266,0))</f>
        <v/>
      </c>
      <c r="DD415">
        <f>INDEX('Data_Price '!AM$2:AM$1266,MATCH(Data!$DN415,'Data_Price '!$AT$2:$AT$1266,0))</f>
        <v/>
      </c>
      <c r="DE415">
        <f>INDEX('Data_Price '!AN$2:AN$1266,MATCH(Data!$DN415,'Data_Price '!$AT$2:$AT$1266,0))</f>
        <v/>
      </c>
      <c r="DF415">
        <f>INDEX('Data_Price '!AO$2:AO$1266,MATCH(Data!$DN415,'Data_Price '!$AT$2:$AT$1266,0))</f>
        <v/>
      </c>
      <c r="DG415">
        <f>INDEX('Data_Price '!AP$2:AP$1266,MATCH(Data!$DN415,'Data_Price '!$AT$2:$AT$1266,0))</f>
        <v/>
      </c>
      <c r="DH415">
        <f>INDEX('Data_Price '!AQ$2:AQ$1266,MATCH(Data!$DN415,'Data_Price '!$AT$2:$AT$1266,0))</f>
        <v/>
      </c>
      <c r="DI415">
        <f>INDEX('Data_Price '!AR$2:AR$1266,MATCH(Data!$DN415,'Data_Price '!$AT$2:$AT$1266,0))</f>
        <v/>
      </c>
      <c r="DJ415" s="138">
        <f>DA415</f>
        <v/>
      </c>
      <c r="DK415" s="138">
        <f>DE415</f>
        <v/>
      </c>
      <c r="DL415" s="138">
        <f>DI415</f>
        <v/>
      </c>
      <c r="DM415" s="303">
        <f>IF(LEFT(BT415,1)=" ",RIGHT(BT415,LEN(BT415)-1),BT415)</f>
        <v/>
      </c>
      <c r="DN415" s="138">
        <f>_xlfn.CONCAT(BS415,DM415,BU415,BV415)</f>
        <v/>
      </c>
      <c r="DO415" s="307" t="inlineStr">
        <is>
          <t>https://images.evo.com/imgp/250/183368/826768/clone.jpg</t>
        </is>
      </c>
    </row>
    <row r="416" ht="15.6" customHeight="1" s="184">
      <c r="B416" s="303">
        <f t="array" ref="B416">IF(OR(ISERROR(K416:P416)),FALSE,TRUE)</f>
        <v/>
      </c>
      <c r="C416" s="60">
        <f>OR(BR416=Driver!$G$50,Data!BR579=Driver!$H$50)</f>
        <v/>
      </c>
      <c r="D416" s="60">
        <f>OR(BV416=Driver!$G$51,BV416=Driver!$H$51)</f>
        <v/>
      </c>
      <c r="E416" s="60">
        <f>AND(BX416&gt;Driver!$F$54,BX416&lt;Driver!$G$54)</f>
        <v/>
      </c>
      <c r="F416" s="60">
        <f>CL416&gt;Driver!$F$56</f>
        <v/>
      </c>
      <c r="G416" s="60">
        <f>AND(CB416&gt;Driver!$F$55,CB416&lt;Driver!$G$55)</f>
        <v/>
      </c>
      <c r="H416" s="60">
        <f>AND(B416:G416)</f>
        <v/>
      </c>
      <c r="I416" s="60">
        <f>COUNTIFS($H$9:$H$1273,TRUE,$BT$9:$BT$1273,BT416)</f>
        <v/>
      </c>
      <c r="J416" s="60">
        <f t="array" ref="J416">NOT(OR(($H$9:$H$1273=TRUE)*($I$9:$I$1273&gt;0)*($BT$9:$BT$1273=BT416)*($K$9:$K$1273&gt;K416)))</f>
        <v/>
      </c>
      <c r="K416" s="108">
        <f>IFERROR(1-AVERAGE(X416:Y416),"")</f>
        <v/>
      </c>
      <c r="L416" s="108">
        <f>1-X416</f>
        <v/>
      </c>
      <c r="M416" s="108">
        <f>1-Y416</f>
        <v/>
      </c>
      <c r="N416" s="108">
        <f>1-Z416</f>
        <v/>
      </c>
      <c r="O416" s="108">
        <f>1-AA416</f>
        <v/>
      </c>
      <c r="P416" s="108">
        <f>1-AB416</f>
        <v/>
      </c>
      <c r="Q416" s="108" t="n"/>
      <c r="R416" s="108" t="n"/>
      <c r="S416" s="108">
        <f>1-AE416</f>
        <v/>
      </c>
      <c r="T416" s="108">
        <f>1-AF416</f>
        <v/>
      </c>
      <c r="U416" s="108">
        <f>1-AG416</f>
        <v/>
      </c>
      <c r="V416" s="108">
        <f>1-AH416</f>
        <v/>
      </c>
      <c r="W416" s="108">
        <f>1-AI416</f>
        <v/>
      </c>
      <c r="X416" s="108">
        <f>ABS(AJ416-AJ$1)</f>
        <v/>
      </c>
      <c r="Y416" s="108">
        <f>AVERAGE(Z416:AB416)</f>
        <v/>
      </c>
      <c r="Z416" s="108">
        <f>ABS(AL416-AL$1)</f>
        <v/>
      </c>
      <c r="AA416" s="108">
        <f>ABS(AM416-AM$1)</f>
        <v/>
      </c>
      <c r="AB416" s="108">
        <f>ABS(AN416-AN$1)</f>
        <v/>
      </c>
      <c r="AC416" s="108" t="n"/>
      <c r="AD416" s="108" t="n"/>
      <c r="AE416" s="108">
        <f>ABS(AQ$1-AQ416)</f>
        <v/>
      </c>
      <c r="AF416" s="108">
        <f>ABS(AR$1-AR416)</f>
        <v/>
      </c>
      <c r="AG416" s="108">
        <f>ABS(AS$1-AS416)</f>
        <v/>
      </c>
      <c r="AH416" s="108">
        <f>ABS(AT$1-AT416)</f>
        <v/>
      </c>
      <c r="AI416" s="108">
        <f>ABS(AU$1-AU416)</f>
        <v/>
      </c>
      <c r="AJ416" s="108">
        <f>(AV416-Driver!$K$179)/(Driver!$L$179-Driver!$K$179)</f>
        <v/>
      </c>
      <c r="AK416" s="108">
        <f>(AW416-Driver!$K$180)/(Driver!$L$180-Driver!$K$180)</f>
        <v/>
      </c>
      <c r="AL416" s="108">
        <f>(AX416-Driver!$K$181)/(Driver!$L$181-Driver!$K$181)</f>
        <v/>
      </c>
      <c r="AM416" s="108">
        <f>(AY416-Driver!$K$182)/(Driver!$L$182-Driver!$K$182)</f>
        <v/>
      </c>
      <c r="AN416" s="108">
        <f>(AZ416-Driver!$K$183)/(Driver!$L$183-Driver!$K$183)</f>
        <v/>
      </c>
      <c r="AO416" s="108" t="n"/>
      <c r="AP416" s="108" t="n"/>
      <c r="AQ416" s="108">
        <f>(BC416-Driver!$K$188)/(Driver!$L$188-Driver!$K$188)</f>
        <v/>
      </c>
      <c r="AR416" s="108">
        <f>MIN((BD416-Driver!$K$189)/(Driver!$L$189-Driver!$K$189),100%)</f>
        <v/>
      </c>
      <c r="AS416" s="108">
        <f>(BE416-Driver!$K$190)/(Driver!$L$190-Driver!$K$190)</f>
        <v/>
      </c>
      <c r="AT416" s="108">
        <f>(BF416-Driver!$K$191)/(Driver!$L$191-Driver!$K$191)</f>
        <v/>
      </c>
      <c r="AU416" s="108">
        <f>(BG416-Driver!$K$192)/(Driver!$L$192-Driver!$K$192)</f>
        <v/>
      </c>
      <c r="AV416" s="105">
        <f>IFERROR(BM416*BJ416^1/4,"")</f>
        <v/>
      </c>
      <c r="AW416" s="105">
        <f>IFERROR(SUM(AX416:AZ416),"")</f>
        <v/>
      </c>
      <c r="AX416" s="105">
        <f>IFERROR(BH416,"")</f>
        <v/>
      </c>
      <c r="AY416" s="105">
        <f>IFERROR(Driver!$K$19/Data!BH416/Data!BI416*Data!BK416*Data!BL416,"")</f>
        <v/>
      </c>
      <c r="AZ416" s="105">
        <f>IFERROR(BI416*BN416,"")</f>
        <v/>
      </c>
      <c r="BA416" s="105" t="n"/>
      <c r="BB416" s="105" t="n"/>
      <c r="BC416" s="105">
        <f>IFERROR(BI416*BN416*BK416/BJ416^(1/2),"")</f>
        <v/>
      </c>
      <c r="BD416" s="105">
        <f>IFERROR(BH416*BM416*BL416/BJ416/BK416,"")</f>
        <v/>
      </c>
      <c r="BE416" s="105">
        <f>IFERROR(MIN(BI416/BQ416/BP416/BO416/BH416,$BE$1),"")</f>
        <v/>
      </c>
      <c r="BF416" s="105">
        <f>IFERROR(BJ416*BO416*BP416/BK416,"")</f>
        <v/>
      </c>
      <c r="BG416" s="105">
        <f>IFERROR(1/BM416/BH416*BQ416,"")</f>
        <v/>
      </c>
      <c r="BH416" s="102">
        <f>MAX((CE416-Driver!$F$200)/(Driver!$G$200-Driver!$F$200)*$BI$1,1)</f>
        <v/>
      </c>
      <c r="BI416" s="102">
        <f>MAX($BI$1*(BY416-Driver!$F$201)/(Driver!$G$201-Driver!$F$201),1)</f>
        <v/>
      </c>
      <c r="BJ416" s="102">
        <f>(CB416-Driver!$F$206)/(Driver!$G$206-Driver!$F$206)*$BI$1</f>
        <v/>
      </c>
      <c r="BK416" s="102">
        <f>(CD416-Driver!$F$203)/(Driver!$G$203-Driver!$F$203)*$BI$1</f>
        <v/>
      </c>
      <c r="BL416" s="102">
        <f>MAX((CR416-Driver!$F$202)/(Driver!$G$202-Driver!$F$202)*$BI$1,1)</f>
        <v/>
      </c>
      <c r="BM416" s="102">
        <f>MAX((CH416-Driver!$F$204)/(Driver!$G$204-Driver!$F$204)*$BI$1,1)</f>
        <v/>
      </c>
      <c r="BN416" s="102">
        <f>(CI416-Driver!$F$205)/(Driver!$G$205-Driver!$F$205)*$BI$1</f>
        <v/>
      </c>
      <c r="BO416" s="102">
        <f>(CK416-Driver!$F$207)/(Driver!$G$207-Driver!$F$207)*$BI$1</f>
        <v/>
      </c>
      <c r="BP416" s="102">
        <f>(CM416-Driver!$F$208)/(Driver!$G$208-Driver!$F$208)*$BI$1</f>
        <v/>
      </c>
      <c r="BQ416" s="102">
        <f>(CL416-Driver!$F$209)/(Driver!$G$209-Driver!$F$209)*$BI$1</f>
        <v/>
      </c>
      <c r="BR416" s="40" t="inlineStr">
        <is>
          <t>21/22</t>
        </is>
      </c>
      <c r="BS416" s="10" t="inlineStr">
        <is>
          <t xml:space="preserve"> Fischer</t>
        </is>
      </c>
      <c r="BT416" s="11" t="inlineStr">
        <is>
          <t>Ranger 92 Ti W</t>
        </is>
      </c>
      <c r="BU416" s="13" t="n">
        <v>171</v>
      </c>
      <c r="BV416" s="11" t="inlineStr">
        <is>
          <t xml:space="preserve"> Women's</t>
        </is>
      </c>
      <c r="BW416" s="13" t="n">
        <v>171</v>
      </c>
      <c r="BX416" s="13" t="n">
        <v>170.6</v>
      </c>
      <c r="BY416" s="13" t="n">
        <v>119</v>
      </c>
      <c r="BZ416" s="13" t="n">
        <v>145</v>
      </c>
      <c r="CA416" s="13" t="n">
        <v>124</v>
      </c>
      <c r="CB416" s="13" t="n">
        <v>89</v>
      </c>
      <c r="CC416" s="13" t="n">
        <v>115</v>
      </c>
      <c r="CD416" s="13" t="n">
        <v>14.5</v>
      </c>
      <c r="CE416" s="13" t="n">
        <v>1752</v>
      </c>
      <c r="CF416" s="13" t="n">
        <v>1</v>
      </c>
      <c r="CG416" s="13" t="n">
        <v>1748</v>
      </c>
      <c r="CH416" s="13" t="n">
        <v>185</v>
      </c>
      <c r="CI416" s="13" t="n">
        <v>117</v>
      </c>
      <c r="CJ416" s="13" t="n">
        <v>47</v>
      </c>
      <c r="CK416" s="13" t="n">
        <v>310</v>
      </c>
      <c r="CL416" s="13" t="n">
        <v>16</v>
      </c>
      <c r="CM416" s="13" t="n">
        <v>207</v>
      </c>
      <c r="CN416" s="13" t="n">
        <v>0.339</v>
      </c>
      <c r="CO416" s="13" t="n">
        <v>130</v>
      </c>
      <c r="CP416" s="13" t="n">
        <v>129</v>
      </c>
      <c r="CQ416" s="13" t="n">
        <v>180</v>
      </c>
      <c r="CR416" s="13" t="n">
        <v>5</v>
      </c>
      <c r="CS416" s="13" t="n">
        <v>9.800000000000001</v>
      </c>
      <c r="CT416" s="11" t="inlineStr">
        <is>
          <t xml:space="preserve"> Resort Freeride</t>
        </is>
      </c>
      <c r="CU416" s="13" t="n"/>
      <c r="CV416" s="13" t="n"/>
      <c r="CW416" s="13" t="n"/>
      <c r="CX416">
        <f>INDEX('Data_Price '!AG$2:AG$1266,MATCH(Data!$DN416,'Data_Price '!$AT$2:$AT$1266,0))</f>
        <v/>
      </c>
      <c r="CY416">
        <f>INDEX('Data_Price '!AH$2:AH$1266,MATCH(Data!$DN416,'Data_Price '!$AT$2:$AT$1266,0))</f>
        <v/>
      </c>
      <c r="CZ416">
        <f>INDEX('Data_Price '!AI$2:AI$1266,MATCH(Data!$DN416,'Data_Price '!$AT$2:$AT$1266,0))</f>
        <v/>
      </c>
      <c r="DA416">
        <f>INDEX('Data_Price '!AJ$2:AJ$1266,MATCH(Data!$DN416,'Data_Price '!$AT$2:$AT$1266,0))</f>
        <v/>
      </c>
      <c r="DB416">
        <f>INDEX('Data_Price '!AK$2:AK$1266,MATCH(Data!$DN416,'Data_Price '!$AT$2:$AT$1266,0))</f>
        <v/>
      </c>
      <c r="DC416">
        <f>INDEX('Data_Price '!AL$2:AL$1266,MATCH(Data!$DN416,'Data_Price '!$AT$2:$AT$1266,0))</f>
        <v/>
      </c>
      <c r="DD416">
        <f>INDEX('Data_Price '!AM$2:AM$1266,MATCH(Data!$DN416,'Data_Price '!$AT$2:$AT$1266,0))</f>
        <v/>
      </c>
      <c r="DE416">
        <f>INDEX('Data_Price '!AN$2:AN$1266,MATCH(Data!$DN416,'Data_Price '!$AT$2:$AT$1266,0))</f>
        <v/>
      </c>
      <c r="DF416">
        <f>INDEX('Data_Price '!AO$2:AO$1266,MATCH(Data!$DN416,'Data_Price '!$AT$2:$AT$1266,0))</f>
        <v/>
      </c>
      <c r="DG416">
        <f>INDEX('Data_Price '!AP$2:AP$1266,MATCH(Data!$DN416,'Data_Price '!$AT$2:$AT$1266,0))</f>
        <v/>
      </c>
      <c r="DH416">
        <f>INDEX('Data_Price '!AQ$2:AQ$1266,MATCH(Data!$DN416,'Data_Price '!$AT$2:$AT$1266,0))</f>
        <v/>
      </c>
      <c r="DI416">
        <f>INDEX('Data_Price '!AR$2:AR$1266,MATCH(Data!$DN416,'Data_Price '!$AT$2:$AT$1266,0))</f>
        <v/>
      </c>
      <c r="DJ416" s="138">
        <f>DA416</f>
        <v/>
      </c>
      <c r="DK416" s="138">
        <f>DE416</f>
        <v/>
      </c>
      <c r="DL416" s="138">
        <f>DI416</f>
        <v/>
      </c>
      <c r="DM416" s="303">
        <f>IF(LEFT(BT416,1)=" ",RIGHT(BT416,LEN(BT416)-1),BT416)</f>
        <v/>
      </c>
      <c r="DN416" s="138">
        <f>_xlfn.CONCAT(BS416,DM416,BU416,BV416)</f>
        <v/>
      </c>
      <c r="DO416" s="307" t="n"/>
    </row>
    <row r="417" ht="15.6" customHeight="1" s="184">
      <c r="B417" s="303">
        <f t="array" ref="B417">IF(OR(ISERROR(K417:P417)),FALSE,TRUE)</f>
        <v/>
      </c>
      <c r="C417" s="60">
        <f>OR(BR417=Driver!$G$50,Data!BR1156=Driver!$H$50)</f>
        <v/>
      </c>
      <c r="D417" s="60">
        <f>OR(BV417=Driver!$G$51,BV417=Driver!$H$51)</f>
        <v/>
      </c>
      <c r="E417" s="60">
        <f>AND(BX417&gt;Driver!$F$54,BX417&lt;Driver!$G$54)</f>
        <v/>
      </c>
      <c r="F417" s="60">
        <f>CL417&gt;Driver!$F$56</f>
        <v/>
      </c>
      <c r="G417" s="60">
        <f>AND(CB417&gt;Driver!$F$55,CB417&lt;Driver!$G$55)</f>
        <v/>
      </c>
      <c r="H417" s="60">
        <f>AND(B417:G417)</f>
        <v/>
      </c>
      <c r="I417" s="60">
        <f>COUNTIFS($H$9:$H$1273,TRUE,$BT$9:$BT$1273,BT417)</f>
        <v/>
      </c>
      <c r="J417" s="60">
        <f t="array" ref="J417">NOT(OR(($H$9:$H$1273=TRUE)*($I$9:$I$1273&gt;0)*($BT$9:$BT$1273=BT417)*($K$9:$K$1273&gt;K417)))</f>
        <v/>
      </c>
      <c r="K417" s="108">
        <f>IFERROR(1-AVERAGE(X417:Y417),"")</f>
        <v/>
      </c>
      <c r="L417" s="108">
        <f>1-X417</f>
        <v/>
      </c>
      <c r="M417" s="108">
        <f>1-Y417</f>
        <v/>
      </c>
      <c r="N417" s="108">
        <f>1-Z417</f>
        <v/>
      </c>
      <c r="O417" s="108">
        <f>1-AA417</f>
        <v/>
      </c>
      <c r="P417" s="108">
        <f>1-AB417</f>
        <v/>
      </c>
      <c r="Q417" s="108" t="n"/>
      <c r="R417" s="108" t="n"/>
      <c r="S417" s="108">
        <f>1-AE417</f>
        <v/>
      </c>
      <c r="T417" s="108">
        <f>1-AF417</f>
        <v/>
      </c>
      <c r="U417" s="108">
        <f>1-AG417</f>
        <v/>
      </c>
      <c r="V417" s="108">
        <f>1-AH417</f>
        <v/>
      </c>
      <c r="W417" s="108">
        <f>1-AI417</f>
        <v/>
      </c>
      <c r="X417" s="108">
        <f>ABS(AJ417-AJ$1)</f>
        <v/>
      </c>
      <c r="Y417" s="108">
        <f>AVERAGE(Z417:AB417)</f>
        <v/>
      </c>
      <c r="Z417" s="108">
        <f>ABS(AL417-AL$1)</f>
        <v/>
      </c>
      <c r="AA417" s="108">
        <f>ABS(AM417-AM$1)</f>
        <v/>
      </c>
      <c r="AB417" s="108">
        <f>ABS(AN417-AN$1)</f>
        <v/>
      </c>
      <c r="AC417" s="108" t="n"/>
      <c r="AD417" s="108" t="n"/>
      <c r="AE417" s="108">
        <f>ABS(AQ$1-AQ417)</f>
        <v/>
      </c>
      <c r="AF417" s="108">
        <f>ABS(AR$1-AR417)</f>
        <v/>
      </c>
      <c r="AG417" s="108">
        <f>ABS(AS$1-AS417)</f>
        <v/>
      </c>
      <c r="AH417" s="108">
        <f>ABS(AT$1-AT417)</f>
        <v/>
      </c>
      <c r="AI417" s="108">
        <f>ABS(AU$1-AU417)</f>
        <v/>
      </c>
      <c r="AJ417" s="108">
        <f>(AV417-Driver!$K$179)/(Driver!$L$179-Driver!$K$179)</f>
        <v/>
      </c>
      <c r="AK417" s="108">
        <f>(AW417-Driver!$K$180)/(Driver!$L$180-Driver!$K$180)</f>
        <v/>
      </c>
      <c r="AL417" s="108">
        <f>(AX417-Driver!$K$181)/(Driver!$L$181-Driver!$K$181)</f>
        <v/>
      </c>
      <c r="AM417" s="108">
        <f>(AY417-Driver!$K$182)/(Driver!$L$182-Driver!$K$182)</f>
        <v/>
      </c>
      <c r="AN417" s="108">
        <f>(AZ417-Driver!$K$183)/(Driver!$L$183-Driver!$K$183)</f>
        <v/>
      </c>
      <c r="AO417" s="108" t="n"/>
      <c r="AP417" s="108" t="n"/>
      <c r="AQ417" s="108">
        <f>(BC417-Driver!$K$188)/(Driver!$L$188-Driver!$K$188)</f>
        <v/>
      </c>
      <c r="AR417" s="108">
        <f>MIN((BD417-Driver!$K$189)/(Driver!$L$189-Driver!$K$189),100%)</f>
        <v/>
      </c>
      <c r="AS417" s="108">
        <f>(BE417-Driver!$K$190)/(Driver!$L$190-Driver!$K$190)</f>
        <v/>
      </c>
      <c r="AT417" s="108">
        <f>(BF417-Driver!$K$191)/(Driver!$L$191-Driver!$K$191)</f>
        <v/>
      </c>
      <c r="AU417" s="108">
        <f>(BG417-Driver!$K$192)/(Driver!$L$192-Driver!$K$192)</f>
        <v/>
      </c>
      <c r="AV417" s="105">
        <f>IFERROR(BM417*BJ417^1/4,"")</f>
        <v/>
      </c>
      <c r="AW417" s="105">
        <f>IFERROR(SUM(AX417:AZ417),"")</f>
        <v/>
      </c>
      <c r="AX417" s="105">
        <f>IFERROR(BH417,"")</f>
        <v/>
      </c>
      <c r="AY417" s="105">
        <f>IFERROR(Driver!$K$19/Data!BH417/Data!BI417*Data!BK417*Data!BL417,"")</f>
        <v/>
      </c>
      <c r="AZ417" s="105">
        <f>IFERROR(BI417*BN417,"")</f>
        <v/>
      </c>
      <c r="BA417" s="105" t="n"/>
      <c r="BB417" s="105" t="n"/>
      <c r="BC417" s="105">
        <f>IFERROR(BI417*BN417*BK417/BJ417^(1/2),"")</f>
        <v/>
      </c>
      <c r="BD417" s="105">
        <f>IFERROR(BH417*BM417*BL417/BJ417/BK417,"")</f>
        <v/>
      </c>
      <c r="BE417" s="105">
        <f>IFERROR(MIN(BI417/BQ417/BP417/BO417/BH417,$BE$1),"")</f>
        <v/>
      </c>
      <c r="BF417" s="105">
        <f>IFERROR(BJ417*BO417*BP417/BK417,"")</f>
        <v/>
      </c>
      <c r="BG417" s="105">
        <f>IFERROR(1/BM417/BH417*BQ417,"")</f>
        <v/>
      </c>
      <c r="BH417" s="102">
        <f>MAX((CE417-Driver!$F$200)/(Driver!$G$200-Driver!$F$200)*$BI$1,1)</f>
        <v/>
      </c>
      <c r="BI417" s="102">
        <f>MAX($BI$1*(BY417-Driver!$F$201)/(Driver!$G$201-Driver!$F$201),1)</f>
        <v/>
      </c>
      <c r="BJ417" s="102">
        <f>(CB417-Driver!$F$206)/(Driver!$G$206-Driver!$F$206)*$BI$1</f>
        <v/>
      </c>
      <c r="BK417" s="102">
        <f>(CD417-Driver!$F$203)/(Driver!$G$203-Driver!$F$203)*$BI$1</f>
        <v/>
      </c>
      <c r="BL417" s="102">
        <f>MAX((CR417-Driver!$F$202)/(Driver!$G$202-Driver!$F$202)*$BI$1,1)</f>
        <v/>
      </c>
      <c r="BM417" s="102">
        <f>MAX((CH417-Driver!$F$204)/(Driver!$G$204-Driver!$F$204)*$BI$1,1)</f>
        <v/>
      </c>
      <c r="BN417" s="102">
        <f>(CI417-Driver!$F$205)/(Driver!$G$205-Driver!$F$205)*$BI$1</f>
        <v/>
      </c>
      <c r="BO417" s="102">
        <f>(CK417-Driver!$F$207)/(Driver!$G$207-Driver!$F$207)*$BI$1</f>
        <v/>
      </c>
      <c r="BP417" s="102">
        <f>(CM417-Driver!$F$208)/(Driver!$G$208-Driver!$F$208)*$BI$1</f>
        <v/>
      </c>
      <c r="BQ417" s="102">
        <f>(CL417-Driver!$F$209)/(Driver!$G$209-Driver!$F$209)*$BI$1</f>
        <v/>
      </c>
      <c r="BR417" s="40" t="inlineStr">
        <is>
          <t>21/22</t>
        </is>
      </c>
      <c r="BS417" s="10" t="inlineStr">
        <is>
          <t xml:space="preserve"> Völkl</t>
        </is>
      </c>
      <c r="BT417" s="11" t="inlineStr">
        <is>
          <t>Blaze 106</t>
        </is>
      </c>
      <c r="BU417" s="13" t="n">
        <v>165</v>
      </c>
      <c r="BV417" s="11" t="inlineStr">
        <is>
          <t xml:space="preserve"> Unisex</t>
        </is>
      </c>
      <c r="BW417" s="13" t="n">
        <v>165</v>
      </c>
      <c r="BX417" s="13" t="n">
        <v>164.5</v>
      </c>
      <c r="BY417" s="13" t="n">
        <v>94</v>
      </c>
      <c r="BZ417" s="13" t="n">
        <v>141</v>
      </c>
      <c r="CA417" s="13" t="n">
        <v>144</v>
      </c>
      <c r="CB417" s="13" t="n">
        <v>105</v>
      </c>
      <c r="CC417" s="13" t="n">
        <v>127</v>
      </c>
      <c r="CD417" s="13" t="n">
        <v>15.2</v>
      </c>
      <c r="CE417" s="13" t="n">
        <v>1606</v>
      </c>
      <c r="CF417" s="13" t="n">
        <v>1.2</v>
      </c>
      <c r="CG417" s="13" t="n">
        <v>1927</v>
      </c>
      <c r="CH417" s="13" t="n">
        <v>176</v>
      </c>
      <c r="CI417" s="13" t="n">
        <v>90</v>
      </c>
      <c r="CJ417" s="13" t="n">
        <v>54</v>
      </c>
      <c r="CK417" s="13" t="n">
        <v>444</v>
      </c>
      <c r="CL417" s="13" t="n">
        <v>23</v>
      </c>
      <c r="CM417" s="13" t="n">
        <v>263</v>
      </c>
      <c r="CN417" s="13" t="n">
        <v>0.434</v>
      </c>
      <c r="CO417" s="13" t="n">
        <v>139</v>
      </c>
      <c r="CP417" s="13" t="n">
        <v>99</v>
      </c>
      <c r="CQ417" s="13" t="n">
        <v>304</v>
      </c>
      <c r="CR417" s="13" t="n">
        <v>2</v>
      </c>
      <c r="CS417" s="13" t="n">
        <v>11.5</v>
      </c>
      <c r="CT417" s="11" t="inlineStr">
        <is>
          <t xml:space="preserve"> Powder</t>
        </is>
      </c>
      <c r="CU417" s="11" t="inlineStr">
        <is>
          <t xml:space="preserve"> Touring</t>
        </is>
      </c>
      <c r="CV417" s="13" t="n"/>
      <c r="CW417" s="13" t="n"/>
      <c r="CX417">
        <f>INDEX('Data_Price '!AG$2:AG$1266,MATCH(Data!$DN417,'Data_Price '!$AT$2:$AT$1266,0))</f>
        <v/>
      </c>
      <c r="CY417">
        <f>INDEX('Data_Price '!AH$2:AH$1266,MATCH(Data!$DN417,'Data_Price '!$AT$2:$AT$1266,0))</f>
        <v/>
      </c>
      <c r="CZ417">
        <f>INDEX('Data_Price '!AI$2:AI$1266,MATCH(Data!$DN417,'Data_Price '!$AT$2:$AT$1266,0))</f>
        <v/>
      </c>
      <c r="DA417">
        <f>INDEX('Data_Price '!AJ$2:AJ$1266,MATCH(Data!$DN417,'Data_Price '!$AT$2:$AT$1266,0))</f>
        <v/>
      </c>
      <c r="DB417">
        <f>INDEX('Data_Price '!AK$2:AK$1266,MATCH(Data!$DN417,'Data_Price '!$AT$2:$AT$1266,0))</f>
        <v/>
      </c>
      <c r="DC417">
        <f>INDEX('Data_Price '!AL$2:AL$1266,MATCH(Data!$DN417,'Data_Price '!$AT$2:$AT$1266,0))</f>
        <v/>
      </c>
      <c r="DD417">
        <f>INDEX('Data_Price '!AM$2:AM$1266,MATCH(Data!$DN417,'Data_Price '!$AT$2:$AT$1266,0))</f>
        <v/>
      </c>
      <c r="DE417">
        <f>INDEX('Data_Price '!AN$2:AN$1266,MATCH(Data!$DN417,'Data_Price '!$AT$2:$AT$1266,0))</f>
        <v/>
      </c>
      <c r="DF417">
        <f>INDEX('Data_Price '!AO$2:AO$1266,MATCH(Data!$DN417,'Data_Price '!$AT$2:$AT$1266,0))</f>
        <v/>
      </c>
      <c r="DG417">
        <f>INDEX('Data_Price '!AP$2:AP$1266,MATCH(Data!$DN417,'Data_Price '!$AT$2:$AT$1266,0))</f>
        <v/>
      </c>
      <c r="DH417">
        <f>INDEX('Data_Price '!AQ$2:AQ$1266,MATCH(Data!$DN417,'Data_Price '!$AT$2:$AT$1266,0))</f>
        <v/>
      </c>
      <c r="DI417">
        <f>INDEX('Data_Price '!AR$2:AR$1266,MATCH(Data!$DN417,'Data_Price '!$AT$2:$AT$1266,0))</f>
        <v/>
      </c>
      <c r="DJ417" s="138">
        <f>DA417</f>
        <v/>
      </c>
      <c r="DK417" s="138">
        <f>DE417</f>
        <v/>
      </c>
      <c r="DL417" s="138">
        <f>DI417</f>
        <v/>
      </c>
      <c r="DM417" s="303">
        <f>IF(LEFT(BT417,1)=" ",RIGHT(BT417,LEN(BT417)-1),BT417)</f>
        <v/>
      </c>
      <c r="DN417" s="138">
        <f>_xlfn.CONCAT(BS417,DM417,BU417,BV417)</f>
        <v/>
      </c>
      <c r="DO417" s="307" t="inlineStr">
        <is>
          <t>https://images.evo.com/imgp/250/208350/837599/clone.jpg</t>
        </is>
      </c>
    </row>
    <row r="418" ht="15.6" customHeight="1" s="184">
      <c r="B418" s="303">
        <f t="array" ref="B418">IF(OR(ISERROR(K418:P418)),FALSE,TRUE)</f>
        <v/>
      </c>
      <c r="C418" s="60">
        <f>OR(BR418=Driver!$G$50,Data!BR780=Driver!$H$50)</f>
        <v/>
      </c>
      <c r="D418" s="60">
        <f>OR(BV418=Driver!$G$51,BV418=Driver!$H$51)</f>
        <v/>
      </c>
      <c r="E418" s="60">
        <f>AND(BX418&gt;Driver!$F$54,BX418&lt;Driver!$G$54)</f>
        <v/>
      </c>
      <c r="F418" s="60">
        <f>CL418&gt;Driver!$F$56</f>
        <v/>
      </c>
      <c r="G418" s="60">
        <f>AND(CB418&gt;Driver!$F$55,CB418&lt;Driver!$G$55)</f>
        <v/>
      </c>
      <c r="H418" s="60">
        <f>AND(B418:G418)</f>
        <v/>
      </c>
      <c r="I418" s="60">
        <f>COUNTIFS($H$9:$H$1273,TRUE,$BT$9:$BT$1273,BT418)</f>
        <v/>
      </c>
      <c r="J418" s="60">
        <f t="array" ref="J418">NOT(OR(($H$9:$H$1273=TRUE)*($I$9:$I$1273&gt;0)*($BT$9:$BT$1273=BT418)*($K$9:$K$1273&gt;K418)))</f>
        <v/>
      </c>
      <c r="K418" s="108">
        <f>IFERROR(1-AVERAGE(X418:Y418),"")</f>
        <v/>
      </c>
      <c r="L418" s="108">
        <f>1-X418</f>
        <v/>
      </c>
      <c r="M418" s="108">
        <f>1-Y418</f>
        <v/>
      </c>
      <c r="N418" s="108">
        <f>1-Z418</f>
        <v/>
      </c>
      <c r="O418" s="108">
        <f>1-AA418</f>
        <v/>
      </c>
      <c r="P418" s="108">
        <f>1-AB418</f>
        <v/>
      </c>
      <c r="Q418" s="108" t="n"/>
      <c r="R418" s="108" t="n"/>
      <c r="S418" s="108">
        <f>1-AE418</f>
        <v/>
      </c>
      <c r="T418" s="108">
        <f>1-AF418</f>
        <v/>
      </c>
      <c r="U418" s="108">
        <f>1-AG418</f>
        <v/>
      </c>
      <c r="V418" s="108">
        <f>1-AH418</f>
        <v/>
      </c>
      <c r="W418" s="108">
        <f>1-AI418</f>
        <v/>
      </c>
      <c r="X418" s="108">
        <f>ABS(AJ418-AJ$1)</f>
        <v/>
      </c>
      <c r="Y418" s="108">
        <f>AVERAGE(Z418:AB418)</f>
        <v/>
      </c>
      <c r="Z418" s="108">
        <f>ABS(AL418-AL$1)</f>
        <v/>
      </c>
      <c r="AA418" s="108">
        <f>ABS(AM418-AM$1)</f>
        <v/>
      </c>
      <c r="AB418" s="108">
        <f>ABS(AN418-AN$1)</f>
        <v/>
      </c>
      <c r="AC418" s="108" t="n"/>
      <c r="AD418" s="108" t="n"/>
      <c r="AE418" s="108">
        <f>ABS(AQ$1-AQ418)</f>
        <v/>
      </c>
      <c r="AF418" s="108">
        <f>ABS(AR$1-AR418)</f>
        <v/>
      </c>
      <c r="AG418" s="108">
        <f>ABS(AS$1-AS418)</f>
        <v/>
      </c>
      <c r="AH418" s="108">
        <f>ABS(AT$1-AT418)</f>
        <v/>
      </c>
      <c r="AI418" s="108">
        <f>ABS(AU$1-AU418)</f>
        <v/>
      </c>
      <c r="AJ418" s="108">
        <f>(AV418-Driver!$K$179)/(Driver!$L$179-Driver!$K$179)</f>
        <v/>
      </c>
      <c r="AK418" s="108">
        <f>(AW418-Driver!$K$180)/(Driver!$L$180-Driver!$K$180)</f>
        <v/>
      </c>
      <c r="AL418" s="108">
        <f>(AX418-Driver!$K$181)/(Driver!$L$181-Driver!$K$181)</f>
        <v/>
      </c>
      <c r="AM418" s="108">
        <f>(AY418-Driver!$K$182)/(Driver!$L$182-Driver!$K$182)</f>
        <v/>
      </c>
      <c r="AN418" s="108">
        <f>(AZ418-Driver!$K$183)/(Driver!$L$183-Driver!$K$183)</f>
        <v/>
      </c>
      <c r="AO418" s="108" t="n"/>
      <c r="AP418" s="108" t="n"/>
      <c r="AQ418" s="108">
        <f>(BC418-Driver!$K$188)/(Driver!$L$188-Driver!$K$188)</f>
        <v/>
      </c>
      <c r="AR418" s="108">
        <f>MIN((BD418-Driver!$K$189)/(Driver!$L$189-Driver!$K$189),100%)</f>
        <v/>
      </c>
      <c r="AS418" s="108">
        <f>(BE418-Driver!$K$190)/(Driver!$L$190-Driver!$K$190)</f>
        <v/>
      </c>
      <c r="AT418" s="108">
        <f>(BF418-Driver!$K$191)/(Driver!$L$191-Driver!$K$191)</f>
        <v/>
      </c>
      <c r="AU418" s="108">
        <f>(BG418-Driver!$K$192)/(Driver!$L$192-Driver!$K$192)</f>
        <v/>
      </c>
      <c r="AV418" s="105">
        <f>IFERROR(BM418*BJ418^1/4,"")</f>
        <v/>
      </c>
      <c r="AW418" s="105">
        <f>IFERROR(SUM(AX418:AZ418),"")</f>
        <v/>
      </c>
      <c r="AX418" s="105">
        <f>IFERROR(BH418,"")</f>
        <v/>
      </c>
      <c r="AY418" s="105">
        <f>IFERROR(Driver!$K$19/Data!BH418/Data!BI418*Data!BK418*Data!BL418,"")</f>
        <v/>
      </c>
      <c r="AZ418" s="105">
        <f>IFERROR(BI418*BN418,"")</f>
        <v/>
      </c>
      <c r="BA418" s="105" t="n"/>
      <c r="BB418" s="105" t="n"/>
      <c r="BC418" s="105">
        <f>IFERROR(BI418*BN418*BK418/BJ418^(1/2),"")</f>
        <v/>
      </c>
      <c r="BD418" s="105">
        <f>IFERROR(BH418*BM418*BL418/BJ418/BK418,"")</f>
        <v/>
      </c>
      <c r="BE418" s="105">
        <f>IFERROR(MIN(BI418/BQ418/BP418/BO418/BH418,$BE$1),"")</f>
        <v/>
      </c>
      <c r="BF418" s="105">
        <f>IFERROR(BJ418*BO418*BP418/BK418,"")</f>
        <v/>
      </c>
      <c r="BG418" s="105">
        <f>IFERROR(1/BM418/BH418*BQ418,"")</f>
        <v/>
      </c>
      <c r="BH418" s="102">
        <f>MAX((CE418-Driver!$F$200)/(Driver!$G$200-Driver!$F$200)*$BI$1,1)</f>
        <v/>
      </c>
      <c r="BI418" s="102">
        <f>MAX($BI$1*(BY418-Driver!$F$201)/(Driver!$G$201-Driver!$F$201),1)</f>
        <v/>
      </c>
      <c r="BJ418" s="102">
        <f>(CB418-Driver!$F$206)/(Driver!$G$206-Driver!$F$206)*$BI$1</f>
        <v/>
      </c>
      <c r="BK418" s="102">
        <f>(CD418-Driver!$F$203)/(Driver!$G$203-Driver!$F$203)*$BI$1</f>
        <v/>
      </c>
      <c r="BL418" s="102">
        <f>MAX((CR418-Driver!$F$202)/(Driver!$G$202-Driver!$F$202)*$BI$1,1)</f>
        <v/>
      </c>
      <c r="BM418" s="102">
        <f>MAX((CH418-Driver!$F$204)/(Driver!$G$204-Driver!$F$204)*$BI$1,1)</f>
        <v/>
      </c>
      <c r="BN418" s="102">
        <f>(CI418-Driver!$F$205)/(Driver!$G$205-Driver!$F$205)*$BI$1</f>
        <v/>
      </c>
      <c r="BO418" s="102">
        <f>(CK418-Driver!$F$207)/(Driver!$G$207-Driver!$F$207)*$BI$1</f>
        <v/>
      </c>
      <c r="BP418" s="102">
        <f>(CM418-Driver!$F$208)/(Driver!$G$208-Driver!$F$208)*$BI$1</f>
        <v/>
      </c>
      <c r="BQ418" s="102">
        <f>(CL418-Driver!$F$209)/(Driver!$G$209-Driver!$F$209)*$BI$1</f>
        <v/>
      </c>
      <c r="BR418" s="40" t="inlineStr">
        <is>
          <t>21/22</t>
        </is>
      </c>
      <c r="BS418" s="10" t="inlineStr">
        <is>
          <t xml:space="preserve"> K2</t>
        </is>
      </c>
      <c r="BT418" s="11" t="inlineStr">
        <is>
          <t xml:space="preserve"> Sight</t>
        </is>
      </c>
      <c r="BU418" s="13" t="n">
        <v>179</v>
      </c>
      <c r="BV418" s="11" t="inlineStr">
        <is>
          <t xml:space="preserve"> Unisex</t>
        </is>
      </c>
      <c r="BW418" s="13" t="n">
        <v>179</v>
      </c>
      <c r="BX418" s="13" t="n">
        <v>180.1</v>
      </c>
      <c r="BY418" s="13" t="n">
        <v>143</v>
      </c>
      <c r="BZ418" s="13" t="n">
        <v>148</v>
      </c>
      <c r="CA418" s="13" t="n">
        <v>116</v>
      </c>
      <c r="CB418" s="13" t="n">
        <v>87</v>
      </c>
      <c r="CC418" s="13" t="n">
        <v>110</v>
      </c>
      <c r="CD418" s="13" t="n">
        <v>19.4</v>
      </c>
      <c r="CE418" s="13" t="n">
        <v>1948</v>
      </c>
      <c r="CF418" s="13" t="n">
        <v>0.9</v>
      </c>
      <c r="CG418" s="13" t="n">
        <v>1759</v>
      </c>
      <c r="CH418" s="13" t="n">
        <v>190</v>
      </c>
      <c r="CI418" s="13" t="n">
        <v>90</v>
      </c>
      <c r="CJ418" s="13" t="n">
        <v>46</v>
      </c>
      <c r="CK418" s="13" t="n">
        <v>176</v>
      </c>
      <c r="CL418" s="13" t="n">
        <v>43</v>
      </c>
      <c r="CM418" s="13" t="n">
        <v>198</v>
      </c>
      <c r="CN418" s="13" t="n">
        <v>0.945</v>
      </c>
      <c r="CO418" s="13" t="n">
        <v>157</v>
      </c>
      <c r="CP418" s="13" t="n">
        <v>160</v>
      </c>
      <c r="CQ418" s="13" t="n">
        <v>19</v>
      </c>
      <c r="CR418" s="13" t="n">
        <v>10</v>
      </c>
      <c r="CS418" s="13" t="n">
        <v>4.6</v>
      </c>
      <c r="CT418" s="11" t="inlineStr">
        <is>
          <t xml:space="preserve"> Freeski</t>
        </is>
      </c>
      <c r="CU418" s="13" t="n"/>
      <c r="CV418" s="13" t="n"/>
      <c r="CW418" s="13" t="n"/>
      <c r="CX418">
        <f>INDEX('Data_Price '!AG$2:AG$1266,MATCH(Data!$DN418,'Data_Price '!$AT$2:$AT$1266,0))</f>
        <v/>
      </c>
      <c r="CY418">
        <f>INDEX('Data_Price '!AH$2:AH$1266,MATCH(Data!$DN418,'Data_Price '!$AT$2:$AT$1266,0))</f>
        <v/>
      </c>
      <c r="CZ418">
        <f>INDEX('Data_Price '!AI$2:AI$1266,MATCH(Data!$DN418,'Data_Price '!$AT$2:$AT$1266,0))</f>
        <v/>
      </c>
      <c r="DA418">
        <f>INDEX('Data_Price '!AJ$2:AJ$1266,MATCH(Data!$DN418,'Data_Price '!$AT$2:$AT$1266,0))</f>
        <v/>
      </c>
      <c r="DB418">
        <f>INDEX('Data_Price '!AK$2:AK$1266,MATCH(Data!$DN418,'Data_Price '!$AT$2:$AT$1266,0))</f>
        <v/>
      </c>
      <c r="DC418">
        <f>INDEX('Data_Price '!AL$2:AL$1266,MATCH(Data!$DN418,'Data_Price '!$AT$2:$AT$1266,0))</f>
        <v/>
      </c>
      <c r="DD418">
        <f>INDEX('Data_Price '!AM$2:AM$1266,MATCH(Data!$DN418,'Data_Price '!$AT$2:$AT$1266,0))</f>
        <v/>
      </c>
      <c r="DE418">
        <f>INDEX('Data_Price '!AN$2:AN$1266,MATCH(Data!$DN418,'Data_Price '!$AT$2:$AT$1266,0))</f>
        <v/>
      </c>
      <c r="DF418">
        <f>INDEX('Data_Price '!AO$2:AO$1266,MATCH(Data!$DN418,'Data_Price '!$AT$2:$AT$1266,0))</f>
        <v/>
      </c>
      <c r="DG418">
        <f>INDEX('Data_Price '!AP$2:AP$1266,MATCH(Data!$DN418,'Data_Price '!$AT$2:$AT$1266,0))</f>
        <v/>
      </c>
      <c r="DH418">
        <f>INDEX('Data_Price '!AQ$2:AQ$1266,MATCH(Data!$DN418,'Data_Price '!$AT$2:$AT$1266,0))</f>
        <v/>
      </c>
      <c r="DI418">
        <f>INDEX('Data_Price '!AR$2:AR$1266,MATCH(Data!$DN418,'Data_Price '!$AT$2:$AT$1266,0))</f>
        <v/>
      </c>
      <c r="DJ418" s="138">
        <f>DA418</f>
        <v/>
      </c>
      <c r="DK418" s="138">
        <f>DE418</f>
        <v/>
      </c>
      <c r="DL418" s="138">
        <f>DI418</f>
        <v/>
      </c>
      <c r="DM418" s="303">
        <f>IF(LEFT(BT418,1)=" ",RIGHT(BT418,LEN(BT418)-1),BT418)</f>
        <v/>
      </c>
      <c r="DN418" s="138">
        <f>_xlfn.CONCAT(BS418,DM418,BU418,BV418)</f>
        <v/>
      </c>
      <c r="DO418" s="307" t="inlineStr">
        <is>
          <t>https://images.evo.com/imgp/250/201071/825172/k2-sight-skis-2022-.jpg</t>
        </is>
      </c>
    </row>
    <row r="419" ht="15.6" customHeight="1" s="184">
      <c r="B419" s="303">
        <f t="array" ref="B419">IF(OR(ISERROR(K419:P419)),FALSE,TRUE)</f>
        <v/>
      </c>
      <c r="C419" s="60">
        <f>OR(BR419=Driver!$G$50,Data!BR185=Driver!$H$50)</f>
        <v/>
      </c>
      <c r="D419" s="60">
        <f>OR(BV419=Driver!$G$51,BV419=Driver!$H$51)</f>
        <v/>
      </c>
      <c r="E419" s="60">
        <f>AND(BX419&gt;Driver!$F$54,BX419&lt;Driver!$G$54)</f>
        <v/>
      </c>
      <c r="F419" s="60">
        <f>CL419&gt;Driver!$F$56</f>
        <v/>
      </c>
      <c r="G419" s="60">
        <f>AND(CB419&gt;Driver!$F$55,CB419&lt;Driver!$G$55)</f>
        <v/>
      </c>
      <c r="H419" s="60">
        <f>AND(B419:G419)</f>
        <v/>
      </c>
      <c r="I419" s="60">
        <f>COUNTIFS($H$9:$H$1273,TRUE,$BT$9:$BT$1273,BT419)</f>
        <v/>
      </c>
      <c r="J419" s="60">
        <f t="array" ref="J419">NOT(OR(($H$9:$H$1273=TRUE)*($I$9:$I$1273&gt;0)*($BT$9:$BT$1273=BT419)*($K$9:$K$1273&gt;K419)))</f>
        <v/>
      </c>
      <c r="K419" s="108">
        <f>IFERROR(1-AVERAGE(X419:Y419),"")</f>
        <v/>
      </c>
      <c r="L419" s="108">
        <f>1-X419</f>
        <v/>
      </c>
      <c r="M419" s="108">
        <f>1-Y419</f>
        <v/>
      </c>
      <c r="N419" s="108">
        <f>1-Z419</f>
        <v/>
      </c>
      <c r="O419" s="108">
        <f>1-AA419</f>
        <v/>
      </c>
      <c r="P419" s="108">
        <f>1-AB419</f>
        <v/>
      </c>
      <c r="Q419" s="108" t="n"/>
      <c r="R419" s="108" t="n"/>
      <c r="S419" s="108">
        <f>1-AE419</f>
        <v/>
      </c>
      <c r="T419" s="108">
        <f>1-AF419</f>
        <v/>
      </c>
      <c r="U419" s="108">
        <f>1-AG419</f>
        <v/>
      </c>
      <c r="V419" s="108">
        <f>1-AH419</f>
        <v/>
      </c>
      <c r="W419" s="108">
        <f>1-AI419</f>
        <v/>
      </c>
      <c r="X419" s="108">
        <f>ABS(AJ419-AJ$1)</f>
        <v/>
      </c>
      <c r="Y419" s="108">
        <f>AVERAGE(Z419:AB419)</f>
        <v/>
      </c>
      <c r="Z419" s="108">
        <f>ABS(AL419-AL$1)</f>
        <v/>
      </c>
      <c r="AA419" s="108">
        <f>ABS(AM419-AM$1)</f>
        <v/>
      </c>
      <c r="AB419" s="108">
        <f>ABS(AN419-AN$1)</f>
        <v/>
      </c>
      <c r="AC419" s="108" t="n"/>
      <c r="AD419" s="108" t="n"/>
      <c r="AE419" s="108">
        <f>ABS(AQ$1-AQ419)</f>
        <v/>
      </c>
      <c r="AF419" s="108">
        <f>ABS(AR$1-AR419)</f>
        <v/>
      </c>
      <c r="AG419" s="108">
        <f>ABS(AS$1-AS419)</f>
        <v/>
      </c>
      <c r="AH419" s="108">
        <f>ABS(AT$1-AT419)</f>
        <v/>
      </c>
      <c r="AI419" s="108">
        <f>ABS(AU$1-AU419)</f>
        <v/>
      </c>
      <c r="AJ419" s="108">
        <f>(AV419-Driver!$K$179)/(Driver!$L$179-Driver!$K$179)</f>
        <v/>
      </c>
      <c r="AK419" s="108">
        <f>(AW419-Driver!$K$180)/(Driver!$L$180-Driver!$K$180)</f>
        <v/>
      </c>
      <c r="AL419" s="108">
        <f>(AX419-Driver!$K$181)/(Driver!$L$181-Driver!$K$181)</f>
        <v/>
      </c>
      <c r="AM419" s="108">
        <f>(AY419-Driver!$K$182)/(Driver!$L$182-Driver!$K$182)</f>
        <v/>
      </c>
      <c r="AN419" s="108">
        <f>(AZ419-Driver!$K$183)/(Driver!$L$183-Driver!$K$183)</f>
        <v/>
      </c>
      <c r="AO419" s="108" t="n"/>
      <c r="AP419" s="108" t="n"/>
      <c r="AQ419" s="108">
        <f>(BC419-Driver!$K$188)/(Driver!$L$188-Driver!$K$188)</f>
        <v/>
      </c>
      <c r="AR419" s="108">
        <f>MIN((BD419-Driver!$K$189)/(Driver!$L$189-Driver!$K$189),100%)</f>
        <v/>
      </c>
      <c r="AS419" s="108">
        <f>(BE419-Driver!$K$190)/(Driver!$L$190-Driver!$K$190)</f>
        <v/>
      </c>
      <c r="AT419" s="108">
        <f>(BF419-Driver!$K$191)/(Driver!$L$191-Driver!$K$191)</f>
        <v/>
      </c>
      <c r="AU419" s="108">
        <f>(BG419-Driver!$K$192)/(Driver!$L$192-Driver!$K$192)</f>
        <v/>
      </c>
      <c r="AV419" s="105">
        <f>IFERROR(BM419*BJ419^1/4,"")</f>
        <v/>
      </c>
      <c r="AW419" s="105">
        <f>IFERROR(SUM(AX419:AZ419),"")</f>
        <v/>
      </c>
      <c r="AX419" s="105">
        <f>IFERROR(BH419,"")</f>
        <v/>
      </c>
      <c r="AY419" s="105">
        <f>IFERROR(Driver!$K$19/Data!BH419/Data!BI419*Data!BK419*Data!BL419,"")</f>
        <v/>
      </c>
      <c r="AZ419" s="105">
        <f>IFERROR(BI419*BN419,"")</f>
        <v/>
      </c>
      <c r="BA419" s="105" t="n"/>
      <c r="BB419" s="105" t="n"/>
      <c r="BC419" s="105">
        <f>IFERROR(BI419*BN419*BK419/BJ419^(1/2),"")</f>
        <v/>
      </c>
      <c r="BD419" s="105">
        <f>IFERROR(BH419*BM419*BL419/BJ419/BK419,"")</f>
        <v/>
      </c>
      <c r="BE419" s="105">
        <f>IFERROR(MIN(BI419/BQ419/BP419/BO419/BH419,$BE$1),"")</f>
        <v/>
      </c>
      <c r="BF419" s="105">
        <f>IFERROR(BJ419*BO419*BP419/BK419,"")</f>
        <v/>
      </c>
      <c r="BG419" s="105">
        <f>IFERROR(1/BM419/BH419*BQ419,"")</f>
        <v/>
      </c>
      <c r="BH419" s="102">
        <f>MAX((CE419-Driver!$F$200)/(Driver!$G$200-Driver!$F$200)*$BI$1,1)</f>
        <v/>
      </c>
      <c r="BI419" s="102">
        <f>MAX($BI$1*(BY419-Driver!$F$201)/(Driver!$G$201-Driver!$F$201),1)</f>
        <v/>
      </c>
      <c r="BJ419" s="102">
        <f>(CB419-Driver!$F$206)/(Driver!$G$206-Driver!$F$206)*$BI$1</f>
        <v/>
      </c>
      <c r="BK419" s="102">
        <f>(CD419-Driver!$F$203)/(Driver!$G$203-Driver!$F$203)*$BI$1</f>
        <v/>
      </c>
      <c r="BL419" s="102">
        <f>MAX((CR419-Driver!$F$202)/(Driver!$G$202-Driver!$F$202)*$BI$1,1)</f>
        <v/>
      </c>
      <c r="BM419" s="102">
        <f>MAX((CH419-Driver!$F$204)/(Driver!$G$204-Driver!$F$204)*$BI$1,1)</f>
        <v/>
      </c>
      <c r="BN419" s="102">
        <f>(CI419-Driver!$F$205)/(Driver!$G$205-Driver!$F$205)*$BI$1</f>
        <v/>
      </c>
      <c r="BO419" s="102">
        <f>(CK419-Driver!$F$207)/(Driver!$G$207-Driver!$F$207)*$BI$1</f>
        <v/>
      </c>
      <c r="BP419" s="102">
        <f>(CM419-Driver!$F$208)/(Driver!$G$208-Driver!$F$208)*$BI$1</f>
        <v/>
      </c>
      <c r="BQ419" s="102">
        <f>(CL419-Driver!$F$209)/(Driver!$G$209-Driver!$F$209)*$BI$1</f>
        <v/>
      </c>
      <c r="BR419" s="40" t="inlineStr">
        <is>
          <t>21/22</t>
        </is>
      </c>
      <c r="BS419" s="10" t="inlineStr">
        <is>
          <t xml:space="preserve"> Atomic</t>
        </is>
      </c>
      <c r="BT419" s="11" t="inlineStr">
        <is>
          <t>Redster X7 WB</t>
        </is>
      </c>
      <c r="BU419" s="13" t="n">
        <v>168</v>
      </c>
      <c r="BV419" s="11" t="inlineStr">
        <is>
          <t xml:space="preserve"> Unisex</t>
        </is>
      </c>
      <c r="BW419" s="13" t="n">
        <v>168</v>
      </c>
      <c r="BX419" s="13" t="n">
        <v>167.4</v>
      </c>
      <c r="BY419" s="13" t="n">
        <v>148</v>
      </c>
      <c r="BZ419" s="13" t="n">
        <v>153</v>
      </c>
      <c r="CA419" s="13" t="n">
        <v>125</v>
      </c>
      <c r="CB419" s="13" t="n">
        <v>75</v>
      </c>
      <c r="CC419" s="13" t="n">
        <v>109</v>
      </c>
      <c r="CD419" s="13" t="n">
        <v>13.7</v>
      </c>
      <c r="CE419" s="13" t="n">
        <v>1748</v>
      </c>
      <c r="CF419" s="13" t="n">
        <v>0.87</v>
      </c>
      <c r="CG419" s="13" t="n">
        <v>1512</v>
      </c>
      <c r="CH419" s="13" t="n">
        <v>192</v>
      </c>
      <c r="CI419" s="13" t="n">
        <v>83</v>
      </c>
      <c r="CJ419" s="13" t="n">
        <v>38</v>
      </c>
      <c r="CK419" s="13" t="n">
        <v>146</v>
      </c>
      <c r="CL419" s="13" t="n">
        <v>5</v>
      </c>
      <c r="CM419" s="13" t="n">
        <v>51</v>
      </c>
      <c r="CN419" s="13" t="n">
        <v>0.118</v>
      </c>
      <c r="CO419" s="13" t="n">
        <v>90</v>
      </c>
      <c r="CP419" s="13" t="n">
        <v>53</v>
      </c>
      <c r="CQ419" s="13" t="n">
        <v>56</v>
      </c>
      <c r="CR419" s="13" t="n">
        <v>7</v>
      </c>
      <c r="CS419" s="13" t="n">
        <v>12.9</v>
      </c>
      <c r="CT419" s="11" t="inlineStr">
        <is>
          <t xml:space="preserve"> On-Piste Carving</t>
        </is>
      </c>
      <c r="CU419" s="13" t="n"/>
      <c r="CV419" s="13" t="n"/>
      <c r="CW419" s="13" t="n"/>
      <c r="CX419">
        <f>INDEX('Data_Price '!AG$2:AG$1266,MATCH(Data!$DN419,'Data_Price '!$AT$2:$AT$1266,0))</f>
        <v/>
      </c>
      <c r="CY419">
        <f>INDEX('Data_Price '!AH$2:AH$1266,MATCH(Data!$DN419,'Data_Price '!$AT$2:$AT$1266,0))</f>
        <v/>
      </c>
      <c r="CZ419">
        <f>INDEX('Data_Price '!AI$2:AI$1266,MATCH(Data!$DN419,'Data_Price '!$AT$2:$AT$1266,0))</f>
        <v/>
      </c>
      <c r="DA419">
        <f>INDEX('Data_Price '!AJ$2:AJ$1266,MATCH(Data!$DN419,'Data_Price '!$AT$2:$AT$1266,0))</f>
        <v/>
      </c>
      <c r="DB419">
        <f>INDEX('Data_Price '!AK$2:AK$1266,MATCH(Data!$DN419,'Data_Price '!$AT$2:$AT$1266,0))</f>
        <v/>
      </c>
      <c r="DC419">
        <f>INDEX('Data_Price '!AL$2:AL$1266,MATCH(Data!$DN419,'Data_Price '!$AT$2:$AT$1266,0))</f>
        <v/>
      </c>
      <c r="DD419">
        <f>INDEX('Data_Price '!AM$2:AM$1266,MATCH(Data!$DN419,'Data_Price '!$AT$2:$AT$1266,0))</f>
        <v/>
      </c>
      <c r="DE419">
        <f>INDEX('Data_Price '!AN$2:AN$1266,MATCH(Data!$DN419,'Data_Price '!$AT$2:$AT$1266,0))</f>
        <v/>
      </c>
      <c r="DF419">
        <f>INDEX('Data_Price '!AO$2:AO$1266,MATCH(Data!$DN419,'Data_Price '!$AT$2:$AT$1266,0))</f>
        <v/>
      </c>
      <c r="DG419">
        <f>INDEX('Data_Price '!AP$2:AP$1266,MATCH(Data!$DN419,'Data_Price '!$AT$2:$AT$1266,0))</f>
        <v/>
      </c>
      <c r="DH419">
        <f>INDEX('Data_Price '!AQ$2:AQ$1266,MATCH(Data!$DN419,'Data_Price '!$AT$2:$AT$1266,0))</f>
        <v/>
      </c>
      <c r="DI419">
        <f>INDEX('Data_Price '!AR$2:AR$1266,MATCH(Data!$DN419,'Data_Price '!$AT$2:$AT$1266,0))</f>
        <v/>
      </c>
      <c r="DJ419" s="138">
        <f>DA419</f>
        <v/>
      </c>
      <c r="DK419" s="138">
        <f>DE419</f>
        <v/>
      </c>
      <c r="DL419" s="138">
        <f>DI419</f>
        <v/>
      </c>
      <c r="DM419" s="303">
        <f>IF(LEFT(BT419,1)=" ",RIGHT(BT419,LEN(BT419)-1),BT419)</f>
        <v/>
      </c>
      <c r="DN419" s="138">
        <f>_xlfn.CONCAT(BS419,DM419,BU419,BV419)</f>
        <v/>
      </c>
      <c r="DO419" s="307" t="n"/>
    </row>
    <row r="420" ht="15.6" customHeight="1" s="184">
      <c r="B420" s="303">
        <f t="array" ref="B420">IF(OR(ISERROR(K420:P420)),FALSE,TRUE)</f>
        <v/>
      </c>
      <c r="C420" s="60">
        <f>OR(BR420=Driver!$G$50,Data!BR814=Driver!$H$50)</f>
        <v/>
      </c>
      <c r="D420" s="60">
        <f>OR(BV420=Driver!$G$51,BV420=Driver!$H$51)</f>
        <v/>
      </c>
      <c r="E420" s="60">
        <f>AND(BX420&gt;Driver!$F$54,BX420&lt;Driver!$G$54)</f>
        <v/>
      </c>
      <c r="F420" s="60">
        <f>CL420&gt;Driver!$F$56</f>
        <v/>
      </c>
      <c r="G420" s="60">
        <f>AND(CB420&gt;Driver!$F$55,CB420&lt;Driver!$G$55)</f>
        <v/>
      </c>
      <c r="H420" s="60">
        <f>AND(B420:G420)</f>
        <v/>
      </c>
      <c r="I420" s="60">
        <f>COUNTIFS($H$9:$H$1273,TRUE,$BT$9:$BT$1273,BT420)</f>
        <v/>
      </c>
      <c r="J420" s="60">
        <f t="array" ref="J420">NOT(OR(($H$9:$H$1273=TRUE)*($I$9:$I$1273&gt;0)*($BT$9:$BT$1273=BT420)*($K$9:$K$1273&gt;K420)))</f>
        <v/>
      </c>
      <c r="K420" s="108">
        <f>IFERROR(1-AVERAGE(X420:Y420),"")</f>
        <v/>
      </c>
      <c r="L420" s="108">
        <f>1-X420</f>
        <v/>
      </c>
      <c r="M420" s="108">
        <f>1-Y420</f>
        <v/>
      </c>
      <c r="N420" s="108">
        <f>1-Z420</f>
        <v/>
      </c>
      <c r="O420" s="108">
        <f>1-AA420</f>
        <v/>
      </c>
      <c r="P420" s="108">
        <f>1-AB420</f>
        <v/>
      </c>
      <c r="Q420" s="108" t="n"/>
      <c r="R420" s="108" t="n"/>
      <c r="S420" s="108">
        <f>1-AE420</f>
        <v/>
      </c>
      <c r="T420" s="108">
        <f>1-AF420</f>
        <v/>
      </c>
      <c r="U420" s="108">
        <f>1-AG420</f>
        <v/>
      </c>
      <c r="V420" s="108">
        <f>1-AH420</f>
        <v/>
      </c>
      <c r="W420" s="108">
        <f>1-AI420</f>
        <v/>
      </c>
      <c r="X420" s="108">
        <f>ABS(AJ420-AJ$1)</f>
        <v/>
      </c>
      <c r="Y420" s="108">
        <f>AVERAGE(Z420:AB420)</f>
        <v/>
      </c>
      <c r="Z420" s="108">
        <f>ABS(AL420-AL$1)</f>
        <v/>
      </c>
      <c r="AA420" s="108">
        <f>ABS(AM420-AM$1)</f>
        <v/>
      </c>
      <c r="AB420" s="108">
        <f>ABS(AN420-AN$1)</f>
        <v/>
      </c>
      <c r="AC420" s="108" t="n"/>
      <c r="AD420" s="108" t="n"/>
      <c r="AE420" s="108">
        <f>ABS(AQ$1-AQ420)</f>
        <v/>
      </c>
      <c r="AF420" s="108">
        <f>ABS(AR$1-AR420)</f>
        <v/>
      </c>
      <c r="AG420" s="108">
        <f>ABS(AS$1-AS420)</f>
        <v/>
      </c>
      <c r="AH420" s="108">
        <f>ABS(AT$1-AT420)</f>
        <v/>
      </c>
      <c r="AI420" s="108">
        <f>ABS(AU$1-AU420)</f>
        <v/>
      </c>
      <c r="AJ420" s="108">
        <f>(AV420-Driver!$K$179)/(Driver!$L$179-Driver!$K$179)</f>
        <v/>
      </c>
      <c r="AK420" s="108">
        <f>(AW420-Driver!$K$180)/(Driver!$L$180-Driver!$K$180)</f>
        <v/>
      </c>
      <c r="AL420" s="108">
        <f>(AX420-Driver!$K$181)/(Driver!$L$181-Driver!$K$181)</f>
        <v/>
      </c>
      <c r="AM420" s="108">
        <f>(AY420-Driver!$K$182)/(Driver!$L$182-Driver!$K$182)</f>
        <v/>
      </c>
      <c r="AN420" s="108">
        <f>(AZ420-Driver!$K$183)/(Driver!$L$183-Driver!$K$183)</f>
        <v/>
      </c>
      <c r="AO420" s="108" t="n"/>
      <c r="AP420" s="108" t="n"/>
      <c r="AQ420" s="108">
        <f>(BC420-Driver!$K$188)/(Driver!$L$188-Driver!$K$188)</f>
        <v/>
      </c>
      <c r="AR420" s="108">
        <f>MIN((BD420-Driver!$K$189)/(Driver!$L$189-Driver!$K$189),100%)</f>
        <v/>
      </c>
      <c r="AS420" s="108">
        <f>(BE420-Driver!$K$190)/(Driver!$L$190-Driver!$K$190)</f>
        <v/>
      </c>
      <c r="AT420" s="108">
        <f>(BF420-Driver!$K$191)/(Driver!$L$191-Driver!$K$191)</f>
        <v/>
      </c>
      <c r="AU420" s="108">
        <f>(BG420-Driver!$K$192)/(Driver!$L$192-Driver!$K$192)</f>
        <v/>
      </c>
      <c r="AV420" s="105">
        <f>IFERROR(BM420*BJ420^1/4,"")</f>
        <v/>
      </c>
      <c r="AW420" s="105">
        <f>IFERROR(SUM(AX420:AZ420),"")</f>
        <v/>
      </c>
      <c r="AX420" s="105">
        <f>IFERROR(BH420,"")</f>
        <v/>
      </c>
      <c r="AY420" s="105">
        <f>IFERROR(Driver!$K$19/Data!BH420/Data!BI420*Data!BK420*Data!BL420,"")</f>
        <v/>
      </c>
      <c r="AZ420" s="105">
        <f>IFERROR(BI420*BN420,"")</f>
        <v/>
      </c>
      <c r="BA420" s="105" t="n"/>
      <c r="BB420" s="105" t="n"/>
      <c r="BC420" s="105">
        <f>IFERROR(BI420*BN420*BK420/BJ420^(1/2),"")</f>
        <v/>
      </c>
      <c r="BD420" s="105">
        <f>IFERROR(BH420*BM420*BL420/BJ420/BK420,"")</f>
        <v/>
      </c>
      <c r="BE420" s="105">
        <f>IFERROR(MIN(BI420/BQ420/BP420/BO420/BH420,$BE$1),"")</f>
        <v/>
      </c>
      <c r="BF420" s="105">
        <f>IFERROR(BJ420*BO420*BP420/BK420,"")</f>
        <v/>
      </c>
      <c r="BG420" s="105">
        <f>IFERROR(1/BM420/BH420*BQ420,"")</f>
        <v/>
      </c>
      <c r="BH420" s="102">
        <f>MAX((CE420-Driver!$F$200)/(Driver!$G$200-Driver!$F$200)*$BI$1,1)</f>
        <v/>
      </c>
      <c r="BI420" s="102">
        <f>MAX($BI$1*(BY420-Driver!$F$201)/(Driver!$G$201-Driver!$F$201),1)</f>
        <v/>
      </c>
      <c r="BJ420" s="102">
        <f>(CB420-Driver!$F$206)/(Driver!$G$206-Driver!$F$206)*$BI$1</f>
        <v/>
      </c>
      <c r="BK420" s="102">
        <f>(CD420-Driver!$F$203)/(Driver!$G$203-Driver!$F$203)*$BI$1</f>
        <v/>
      </c>
      <c r="BL420" s="102">
        <f>MAX((CR420-Driver!$F$202)/(Driver!$G$202-Driver!$F$202)*$BI$1,1)</f>
        <v/>
      </c>
      <c r="BM420" s="102">
        <f>MAX((CH420-Driver!$F$204)/(Driver!$G$204-Driver!$F$204)*$BI$1,1)</f>
        <v/>
      </c>
      <c r="BN420" s="102">
        <f>(CI420-Driver!$F$205)/(Driver!$G$205-Driver!$F$205)*$BI$1</f>
        <v/>
      </c>
      <c r="BO420" s="102">
        <f>(CK420-Driver!$F$207)/(Driver!$G$207-Driver!$F$207)*$BI$1</f>
        <v/>
      </c>
      <c r="BP420" s="102">
        <f>(CM420-Driver!$F$208)/(Driver!$G$208-Driver!$F$208)*$BI$1</f>
        <v/>
      </c>
      <c r="BQ420" s="102">
        <f>(CL420-Driver!$F$209)/(Driver!$G$209-Driver!$F$209)*$BI$1</f>
        <v/>
      </c>
      <c r="BR420" s="40" t="inlineStr">
        <is>
          <t>21/22</t>
        </is>
      </c>
      <c r="BS420" s="10" t="inlineStr">
        <is>
          <t xml:space="preserve"> Liberty</t>
        </is>
      </c>
      <c r="BT420" s="11" t="inlineStr">
        <is>
          <t>Origin 106</t>
        </is>
      </c>
      <c r="BU420" s="13" t="n">
        <v>176</v>
      </c>
      <c r="BV420" s="11" t="inlineStr">
        <is>
          <t xml:space="preserve"> Unisex</t>
        </is>
      </c>
      <c r="BW420" s="13" t="n">
        <v>176</v>
      </c>
      <c r="BX420" s="13" t="n">
        <v>175.2</v>
      </c>
      <c r="BY420" s="13" t="n">
        <v>98</v>
      </c>
      <c r="BZ420" s="13" t="n">
        <v>145</v>
      </c>
      <c r="CA420" s="13" t="n">
        <v>137</v>
      </c>
      <c r="CB420" s="13" t="n">
        <v>106</v>
      </c>
      <c r="CC420" s="13" t="n">
        <v>127</v>
      </c>
      <c r="CD420" s="13" t="n">
        <v>18.3</v>
      </c>
      <c r="CE420" s="13" t="n">
        <v>1983</v>
      </c>
      <c r="CF420" s="13" t="n">
        <v>1.02</v>
      </c>
      <c r="CG420" s="13" t="n">
        <v>2014</v>
      </c>
      <c r="CH420" s="13" t="n">
        <v>211</v>
      </c>
      <c r="CI420" s="13" t="n">
        <v>102</v>
      </c>
      <c r="CJ420" s="13" t="n">
        <v>54</v>
      </c>
      <c r="CK420" s="13" t="n">
        <v>459</v>
      </c>
      <c r="CL420" s="13" t="n">
        <v>39</v>
      </c>
      <c r="CM420" s="13" t="n">
        <v>311</v>
      </c>
      <c r="CN420" s="13" t="n">
        <v>0.72</v>
      </c>
      <c r="CO420" s="13" t="n">
        <v>139</v>
      </c>
      <c r="CP420" s="13" t="n">
        <v>165</v>
      </c>
      <c r="CQ420" s="13" t="n">
        <v>320</v>
      </c>
      <c r="CR420" s="13" t="n">
        <v>4</v>
      </c>
      <c r="CS420" s="13" t="n">
        <v>8.1</v>
      </c>
      <c r="CT420" s="11" t="inlineStr">
        <is>
          <t xml:space="preserve"> Powder</t>
        </is>
      </c>
      <c r="CU420" s="13" t="n"/>
      <c r="CV420" s="13" t="n"/>
      <c r="CW420" s="13" t="n"/>
      <c r="CX420">
        <f>INDEX('Data_Price '!AG$2:AG$1266,MATCH(Data!$DN420,'Data_Price '!$AT$2:$AT$1266,0))</f>
        <v/>
      </c>
      <c r="CY420">
        <f>INDEX('Data_Price '!AH$2:AH$1266,MATCH(Data!$DN420,'Data_Price '!$AT$2:$AT$1266,0))</f>
        <v/>
      </c>
      <c r="CZ420">
        <f>INDEX('Data_Price '!AI$2:AI$1266,MATCH(Data!$DN420,'Data_Price '!$AT$2:$AT$1266,0))</f>
        <v/>
      </c>
      <c r="DA420">
        <f>INDEX('Data_Price '!AJ$2:AJ$1266,MATCH(Data!$DN420,'Data_Price '!$AT$2:$AT$1266,0))</f>
        <v/>
      </c>
      <c r="DB420">
        <f>INDEX('Data_Price '!AK$2:AK$1266,MATCH(Data!$DN420,'Data_Price '!$AT$2:$AT$1266,0))</f>
        <v/>
      </c>
      <c r="DC420">
        <f>INDEX('Data_Price '!AL$2:AL$1266,MATCH(Data!$DN420,'Data_Price '!$AT$2:$AT$1266,0))</f>
        <v/>
      </c>
      <c r="DD420">
        <f>INDEX('Data_Price '!AM$2:AM$1266,MATCH(Data!$DN420,'Data_Price '!$AT$2:$AT$1266,0))</f>
        <v/>
      </c>
      <c r="DE420">
        <f>INDEX('Data_Price '!AN$2:AN$1266,MATCH(Data!$DN420,'Data_Price '!$AT$2:$AT$1266,0))</f>
        <v/>
      </c>
      <c r="DF420">
        <f>INDEX('Data_Price '!AO$2:AO$1266,MATCH(Data!$DN420,'Data_Price '!$AT$2:$AT$1266,0))</f>
        <v/>
      </c>
      <c r="DG420">
        <f>INDEX('Data_Price '!AP$2:AP$1266,MATCH(Data!$DN420,'Data_Price '!$AT$2:$AT$1266,0))</f>
        <v/>
      </c>
      <c r="DH420">
        <f>INDEX('Data_Price '!AQ$2:AQ$1266,MATCH(Data!$DN420,'Data_Price '!$AT$2:$AT$1266,0))</f>
        <v/>
      </c>
      <c r="DI420">
        <f>INDEX('Data_Price '!AR$2:AR$1266,MATCH(Data!$DN420,'Data_Price '!$AT$2:$AT$1266,0))</f>
        <v/>
      </c>
      <c r="DJ420" s="138">
        <f>DA420</f>
        <v/>
      </c>
      <c r="DK420" s="138">
        <f>DE420</f>
        <v/>
      </c>
      <c r="DL420" s="138">
        <f>DI420</f>
        <v/>
      </c>
      <c r="DM420" s="303">
        <f>IF(LEFT(BT420,1)=" ",RIGHT(BT420,LEN(BT420)-1),BT420)</f>
        <v/>
      </c>
      <c r="DN420" s="138">
        <f>_xlfn.CONCAT(BS420,DM420,BU420,BV420)</f>
        <v/>
      </c>
      <c r="DO420" s="307" t="inlineStr">
        <is>
          <t>https://images.evo.com/imgp/250/208526/851446/liberty-origin-106-skis-2022-.jpg</t>
        </is>
      </c>
    </row>
    <row r="421" ht="15.6" customHeight="1" s="184">
      <c r="B421" s="303">
        <f t="array" ref="B421">IF(OR(ISERROR(K421:P421)),FALSE,TRUE)</f>
        <v/>
      </c>
      <c r="C421" s="60">
        <f>OR(BR421=Driver!$G$50,Data!BR203=Driver!$H$50)</f>
        <v/>
      </c>
      <c r="D421" s="60">
        <f>OR(BV421=Driver!$G$51,BV421=Driver!$H$51)</f>
        <v/>
      </c>
      <c r="E421" s="60">
        <f>AND(BX421&gt;Driver!$F$54,BX421&lt;Driver!$G$54)</f>
        <v/>
      </c>
      <c r="F421" s="60">
        <f>CL421&gt;Driver!$F$56</f>
        <v/>
      </c>
      <c r="G421" s="60">
        <f>AND(CB421&gt;Driver!$F$55,CB421&lt;Driver!$G$55)</f>
        <v/>
      </c>
      <c r="H421" s="60">
        <f>AND(B421:G421)</f>
        <v/>
      </c>
      <c r="I421" s="60">
        <f>COUNTIFS($H$9:$H$1273,TRUE,$BT$9:$BT$1273,BT421)</f>
        <v/>
      </c>
      <c r="J421" s="60">
        <f t="array" ref="J421">NOT(OR(($H$9:$H$1273=TRUE)*($I$9:$I$1273&gt;0)*($BT$9:$BT$1273=BT421)*($K$9:$K$1273&gt;K421)))</f>
        <v/>
      </c>
      <c r="K421" s="108">
        <f>IFERROR(1-AVERAGE(X421:Y421),"")</f>
        <v/>
      </c>
      <c r="L421" s="108">
        <f>1-X421</f>
        <v/>
      </c>
      <c r="M421" s="108">
        <f>1-Y421</f>
        <v/>
      </c>
      <c r="N421" s="108">
        <f>1-Z421</f>
        <v/>
      </c>
      <c r="O421" s="108">
        <f>1-AA421</f>
        <v/>
      </c>
      <c r="P421" s="108">
        <f>1-AB421</f>
        <v/>
      </c>
      <c r="Q421" s="108" t="n"/>
      <c r="R421" s="108" t="n"/>
      <c r="S421" s="108">
        <f>1-AE421</f>
        <v/>
      </c>
      <c r="T421" s="108">
        <f>1-AF421</f>
        <v/>
      </c>
      <c r="U421" s="108">
        <f>1-AG421</f>
        <v/>
      </c>
      <c r="V421" s="108">
        <f>1-AH421</f>
        <v/>
      </c>
      <c r="W421" s="108">
        <f>1-AI421</f>
        <v/>
      </c>
      <c r="X421" s="108">
        <f>ABS(AJ421-AJ$1)</f>
        <v/>
      </c>
      <c r="Y421" s="108">
        <f>AVERAGE(Z421:AB421)</f>
        <v/>
      </c>
      <c r="Z421" s="108">
        <f>ABS(AL421-AL$1)</f>
        <v/>
      </c>
      <c r="AA421" s="108">
        <f>ABS(AM421-AM$1)</f>
        <v/>
      </c>
      <c r="AB421" s="108">
        <f>ABS(AN421-AN$1)</f>
        <v/>
      </c>
      <c r="AC421" s="108" t="n"/>
      <c r="AD421" s="108" t="n"/>
      <c r="AE421" s="108">
        <f>ABS(AQ$1-AQ421)</f>
        <v/>
      </c>
      <c r="AF421" s="108">
        <f>ABS(AR$1-AR421)</f>
        <v/>
      </c>
      <c r="AG421" s="108">
        <f>ABS(AS$1-AS421)</f>
        <v/>
      </c>
      <c r="AH421" s="108">
        <f>ABS(AT$1-AT421)</f>
        <v/>
      </c>
      <c r="AI421" s="108">
        <f>ABS(AU$1-AU421)</f>
        <v/>
      </c>
      <c r="AJ421" s="108">
        <f>(AV421-Driver!$K$179)/(Driver!$L$179-Driver!$K$179)</f>
        <v/>
      </c>
      <c r="AK421" s="108">
        <f>(AW421-Driver!$K$180)/(Driver!$L$180-Driver!$K$180)</f>
        <v/>
      </c>
      <c r="AL421" s="108">
        <f>(AX421-Driver!$K$181)/(Driver!$L$181-Driver!$K$181)</f>
        <v/>
      </c>
      <c r="AM421" s="108">
        <f>(AY421-Driver!$K$182)/(Driver!$L$182-Driver!$K$182)</f>
        <v/>
      </c>
      <c r="AN421" s="108">
        <f>(AZ421-Driver!$K$183)/(Driver!$L$183-Driver!$K$183)</f>
        <v/>
      </c>
      <c r="AO421" s="108" t="n"/>
      <c r="AP421" s="108" t="n"/>
      <c r="AQ421" s="108">
        <f>(BC421-Driver!$K$188)/(Driver!$L$188-Driver!$K$188)</f>
        <v/>
      </c>
      <c r="AR421" s="108">
        <f>MIN((BD421-Driver!$K$189)/(Driver!$L$189-Driver!$K$189),100%)</f>
        <v/>
      </c>
      <c r="AS421" s="108">
        <f>(BE421-Driver!$K$190)/(Driver!$L$190-Driver!$K$190)</f>
        <v/>
      </c>
      <c r="AT421" s="108">
        <f>(BF421-Driver!$K$191)/(Driver!$L$191-Driver!$K$191)</f>
        <v/>
      </c>
      <c r="AU421" s="108">
        <f>(BG421-Driver!$K$192)/(Driver!$L$192-Driver!$K$192)</f>
        <v/>
      </c>
      <c r="AV421" s="105">
        <f>IFERROR(BM421*BJ421^1/4,"")</f>
        <v/>
      </c>
      <c r="AW421" s="105">
        <f>IFERROR(SUM(AX421:AZ421),"")</f>
        <v/>
      </c>
      <c r="AX421" s="105">
        <f>IFERROR(BH421,"")</f>
        <v/>
      </c>
      <c r="AY421" s="105">
        <f>IFERROR(Driver!$K$19/Data!BH421/Data!BI421*Data!BK421*Data!BL421,"")</f>
        <v/>
      </c>
      <c r="AZ421" s="105">
        <f>IFERROR(BI421*BN421,"")</f>
        <v/>
      </c>
      <c r="BA421" s="105" t="n"/>
      <c r="BB421" s="105" t="n"/>
      <c r="BC421" s="105">
        <f>IFERROR(BI421*BN421*BK421/BJ421^(1/2),"")</f>
        <v/>
      </c>
      <c r="BD421" s="105">
        <f>IFERROR(BH421*BM421*BL421/BJ421/BK421,"")</f>
        <v/>
      </c>
      <c r="BE421" s="105">
        <f>IFERROR(MIN(BI421/BQ421/BP421/BO421/BH421,$BE$1),"")</f>
        <v/>
      </c>
      <c r="BF421" s="105">
        <f>IFERROR(BJ421*BO421*BP421/BK421,"")</f>
        <v/>
      </c>
      <c r="BG421" s="105">
        <f>IFERROR(1/BM421/BH421*BQ421,"")</f>
        <v/>
      </c>
      <c r="BH421" s="102">
        <f>MAX((CE421-Driver!$F$200)/(Driver!$G$200-Driver!$F$200)*$BI$1,1)</f>
        <v/>
      </c>
      <c r="BI421" s="102">
        <f>MAX($BI$1*(BY421-Driver!$F$201)/(Driver!$G$201-Driver!$F$201),1)</f>
        <v/>
      </c>
      <c r="BJ421" s="102">
        <f>(CB421-Driver!$F$206)/(Driver!$G$206-Driver!$F$206)*$BI$1</f>
        <v/>
      </c>
      <c r="BK421" s="102">
        <f>(CD421-Driver!$F$203)/(Driver!$G$203-Driver!$F$203)*$BI$1</f>
        <v/>
      </c>
      <c r="BL421" s="102">
        <f>MAX((CR421-Driver!$F$202)/(Driver!$G$202-Driver!$F$202)*$BI$1,1)</f>
        <v/>
      </c>
      <c r="BM421" s="102">
        <f>MAX((CH421-Driver!$F$204)/(Driver!$G$204-Driver!$F$204)*$BI$1,1)</f>
        <v/>
      </c>
      <c r="BN421" s="102">
        <f>(CI421-Driver!$F$205)/(Driver!$G$205-Driver!$F$205)*$BI$1</f>
        <v/>
      </c>
      <c r="BO421" s="102">
        <f>(CK421-Driver!$F$207)/(Driver!$G$207-Driver!$F$207)*$BI$1</f>
        <v/>
      </c>
      <c r="BP421" s="102">
        <f>(CM421-Driver!$F$208)/(Driver!$G$208-Driver!$F$208)*$BI$1</f>
        <v/>
      </c>
      <c r="BQ421" s="102">
        <f>(CL421-Driver!$F$209)/(Driver!$G$209-Driver!$F$209)*$BI$1</f>
        <v/>
      </c>
      <c r="BR421" s="40" t="inlineStr">
        <is>
          <t>21/22</t>
        </is>
      </c>
      <c r="BS421" s="10" t="inlineStr">
        <is>
          <t xml:space="preserve"> Black Crows</t>
        </is>
      </c>
      <c r="BT421" s="11" t="inlineStr">
        <is>
          <t xml:space="preserve"> Camox</t>
        </is>
      </c>
      <c r="BU421" s="13" t="n">
        <v>174.2</v>
      </c>
      <c r="BV421" s="11" t="inlineStr">
        <is>
          <t xml:space="preserve"> Unisex</t>
        </is>
      </c>
      <c r="BW421" s="13" t="n">
        <v>174.2</v>
      </c>
      <c r="BX421" s="13" t="n">
        <v>173.3</v>
      </c>
      <c r="BY421" s="13" t="n">
        <v>135</v>
      </c>
      <c r="BZ421" s="13" t="n">
        <v>150</v>
      </c>
      <c r="CA421" s="13" t="n">
        <v>128</v>
      </c>
      <c r="CB421" s="13" t="n">
        <v>96</v>
      </c>
      <c r="CC421" s="13" t="n">
        <v>116</v>
      </c>
      <c r="CD421" s="13" t="n">
        <v>20.6</v>
      </c>
      <c r="CE421" s="13" t="n">
        <v>1773</v>
      </c>
      <c r="CF421" s="13" t="n">
        <v>1.03</v>
      </c>
      <c r="CG421" s="13" t="n">
        <v>1830</v>
      </c>
      <c r="CH421" s="13" t="n">
        <v>168</v>
      </c>
      <c r="CI421" s="13" t="n">
        <v>86</v>
      </c>
      <c r="CJ421" s="13" t="n">
        <v>44</v>
      </c>
      <c r="CK421" s="13" t="n">
        <v>227</v>
      </c>
      <c r="CL421" s="13" t="n">
        <v>30</v>
      </c>
      <c r="CM421" s="13" t="n">
        <v>153</v>
      </c>
      <c r="CN421" s="13" t="n">
        <v>0.671</v>
      </c>
      <c r="CO421" s="13" t="n">
        <v>118</v>
      </c>
      <c r="CP421" s="13" t="n">
        <v>111</v>
      </c>
      <c r="CQ421" s="13" t="n">
        <v>109</v>
      </c>
      <c r="CR421" s="13" t="n">
        <v>12</v>
      </c>
      <c r="CS421" s="13" t="n">
        <v>6.4</v>
      </c>
      <c r="CT421" s="11" t="inlineStr">
        <is>
          <t xml:space="preserve"> Resort Freeride</t>
        </is>
      </c>
      <c r="CU421" s="13" t="n"/>
      <c r="CV421" s="13" t="n"/>
      <c r="CW421" s="13" t="n"/>
      <c r="CX421">
        <f>INDEX('Data_Price '!AG$2:AG$1266,MATCH(Data!$DN421,'Data_Price '!$AT$2:$AT$1266,0))</f>
        <v/>
      </c>
      <c r="CY421">
        <f>INDEX('Data_Price '!AH$2:AH$1266,MATCH(Data!$DN421,'Data_Price '!$AT$2:$AT$1266,0))</f>
        <v/>
      </c>
      <c r="CZ421">
        <f>INDEX('Data_Price '!AI$2:AI$1266,MATCH(Data!$DN421,'Data_Price '!$AT$2:$AT$1266,0))</f>
        <v/>
      </c>
      <c r="DA421">
        <f>INDEX('Data_Price '!AJ$2:AJ$1266,MATCH(Data!$DN421,'Data_Price '!$AT$2:$AT$1266,0))</f>
        <v/>
      </c>
      <c r="DB421">
        <f>INDEX('Data_Price '!AK$2:AK$1266,MATCH(Data!$DN421,'Data_Price '!$AT$2:$AT$1266,0))</f>
        <v/>
      </c>
      <c r="DC421">
        <f>INDEX('Data_Price '!AL$2:AL$1266,MATCH(Data!$DN421,'Data_Price '!$AT$2:$AT$1266,0))</f>
        <v/>
      </c>
      <c r="DD421">
        <f>INDEX('Data_Price '!AM$2:AM$1266,MATCH(Data!$DN421,'Data_Price '!$AT$2:$AT$1266,0))</f>
        <v/>
      </c>
      <c r="DE421">
        <f>INDEX('Data_Price '!AN$2:AN$1266,MATCH(Data!$DN421,'Data_Price '!$AT$2:$AT$1266,0))</f>
        <v/>
      </c>
      <c r="DF421">
        <f>INDEX('Data_Price '!AO$2:AO$1266,MATCH(Data!$DN421,'Data_Price '!$AT$2:$AT$1266,0))</f>
        <v/>
      </c>
      <c r="DG421">
        <f>INDEX('Data_Price '!AP$2:AP$1266,MATCH(Data!$DN421,'Data_Price '!$AT$2:$AT$1266,0))</f>
        <v/>
      </c>
      <c r="DH421">
        <f>INDEX('Data_Price '!AQ$2:AQ$1266,MATCH(Data!$DN421,'Data_Price '!$AT$2:$AT$1266,0))</f>
        <v/>
      </c>
      <c r="DI421">
        <f>INDEX('Data_Price '!AR$2:AR$1266,MATCH(Data!$DN421,'Data_Price '!$AT$2:$AT$1266,0))</f>
        <v/>
      </c>
      <c r="DJ421" s="138">
        <f>DA421</f>
        <v/>
      </c>
      <c r="DK421" s="138">
        <f>DE421</f>
        <v/>
      </c>
      <c r="DL421" s="138">
        <f>DI421</f>
        <v/>
      </c>
      <c r="DM421" s="303">
        <f>IF(LEFT(BT421,1)=" ",RIGHT(BT421,LEN(BT421)-1),BT421)</f>
        <v/>
      </c>
      <c r="DN421" s="138">
        <f>_xlfn.CONCAT(BS421,DM421,BU421,BV421)</f>
        <v/>
      </c>
      <c r="DO421" s="307" t="inlineStr">
        <is>
          <t>https://images.evo.com/imgp/250/181599/727231/black-crows-camox-skis-2022-.jpg</t>
        </is>
      </c>
    </row>
    <row r="422" ht="15.6" customHeight="1" s="184">
      <c r="B422" s="303">
        <f t="array" ref="B422">IF(OR(ISERROR(K422:P422)),FALSE,TRUE)</f>
        <v/>
      </c>
      <c r="C422" s="60">
        <f>OR(BR422=Driver!$G$50,Data!BR812=Driver!$H$50)</f>
        <v/>
      </c>
      <c r="D422" s="60">
        <f>OR(BV422=Driver!$G$51,BV422=Driver!$H$51)</f>
        <v/>
      </c>
      <c r="E422" s="60">
        <f>AND(BX422&gt;Driver!$F$54,BX422&lt;Driver!$G$54)</f>
        <v/>
      </c>
      <c r="F422" s="60">
        <f>CL422&gt;Driver!$F$56</f>
        <v/>
      </c>
      <c r="G422" s="60">
        <f>AND(CB422&gt;Driver!$F$55,CB422&lt;Driver!$G$55)</f>
        <v/>
      </c>
      <c r="H422" s="60">
        <f>AND(B422:G422)</f>
        <v/>
      </c>
      <c r="I422" s="60">
        <f>COUNTIFS($H$9:$H$1273,TRUE,$BT$9:$BT$1273,BT422)</f>
        <v/>
      </c>
      <c r="J422" s="60">
        <f t="array" ref="J422">NOT(OR(($H$9:$H$1273=TRUE)*($I$9:$I$1273&gt;0)*($BT$9:$BT$1273=BT422)*($K$9:$K$1273&gt;K422)))</f>
        <v/>
      </c>
      <c r="K422" s="108">
        <f>IFERROR(1-AVERAGE(X422:Y422),"")</f>
        <v/>
      </c>
      <c r="L422" s="108">
        <f>1-X422</f>
        <v/>
      </c>
      <c r="M422" s="108">
        <f>1-Y422</f>
        <v/>
      </c>
      <c r="N422" s="108">
        <f>1-Z422</f>
        <v/>
      </c>
      <c r="O422" s="108">
        <f>1-AA422</f>
        <v/>
      </c>
      <c r="P422" s="108">
        <f>1-AB422</f>
        <v/>
      </c>
      <c r="Q422" s="108" t="n"/>
      <c r="R422" s="108" t="n"/>
      <c r="S422" s="108">
        <f>1-AE422</f>
        <v/>
      </c>
      <c r="T422" s="108">
        <f>1-AF422</f>
        <v/>
      </c>
      <c r="U422" s="108">
        <f>1-AG422</f>
        <v/>
      </c>
      <c r="V422" s="108">
        <f>1-AH422</f>
        <v/>
      </c>
      <c r="W422" s="108">
        <f>1-AI422</f>
        <v/>
      </c>
      <c r="X422" s="108">
        <f>ABS(AJ422-AJ$1)</f>
        <v/>
      </c>
      <c r="Y422" s="108">
        <f>AVERAGE(Z422:AB422)</f>
        <v/>
      </c>
      <c r="Z422" s="108">
        <f>ABS(AL422-AL$1)</f>
        <v/>
      </c>
      <c r="AA422" s="108">
        <f>ABS(AM422-AM$1)</f>
        <v/>
      </c>
      <c r="AB422" s="108">
        <f>ABS(AN422-AN$1)</f>
        <v/>
      </c>
      <c r="AC422" s="108" t="n"/>
      <c r="AD422" s="108" t="n"/>
      <c r="AE422" s="108">
        <f>ABS(AQ$1-AQ422)</f>
        <v/>
      </c>
      <c r="AF422" s="108">
        <f>ABS(AR$1-AR422)</f>
        <v/>
      </c>
      <c r="AG422" s="108">
        <f>ABS(AS$1-AS422)</f>
        <v/>
      </c>
      <c r="AH422" s="108">
        <f>ABS(AT$1-AT422)</f>
        <v/>
      </c>
      <c r="AI422" s="108">
        <f>ABS(AU$1-AU422)</f>
        <v/>
      </c>
      <c r="AJ422" s="108">
        <f>(AV422-Driver!$K$179)/(Driver!$L$179-Driver!$K$179)</f>
        <v/>
      </c>
      <c r="AK422" s="108">
        <f>(AW422-Driver!$K$180)/(Driver!$L$180-Driver!$K$180)</f>
        <v/>
      </c>
      <c r="AL422" s="108">
        <f>(AX422-Driver!$K$181)/(Driver!$L$181-Driver!$K$181)</f>
        <v/>
      </c>
      <c r="AM422" s="108">
        <f>(AY422-Driver!$K$182)/(Driver!$L$182-Driver!$K$182)</f>
        <v/>
      </c>
      <c r="AN422" s="108">
        <f>(AZ422-Driver!$K$183)/(Driver!$L$183-Driver!$K$183)</f>
        <v/>
      </c>
      <c r="AO422" s="108" t="n"/>
      <c r="AP422" s="108" t="n"/>
      <c r="AQ422" s="108">
        <f>(BC422-Driver!$K$188)/(Driver!$L$188-Driver!$K$188)</f>
        <v/>
      </c>
      <c r="AR422" s="108">
        <f>MIN((BD422-Driver!$K$189)/(Driver!$L$189-Driver!$K$189),100%)</f>
        <v/>
      </c>
      <c r="AS422" s="108">
        <f>(BE422-Driver!$K$190)/(Driver!$L$190-Driver!$K$190)</f>
        <v/>
      </c>
      <c r="AT422" s="108">
        <f>(BF422-Driver!$K$191)/(Driver!$L$191-Driver!$K$191)</f>
        <v/>
      </c>
      <c r="AU422" s="108">
        <f>(BG422-Driver!$K$192)/(Driver!$L$192-Driver!$K$192)</f>
        <v/>
      </c>
      <c r="AV422" s="105">
        <f>IFERROR(BM422*BJ422^1/4,"")</f>
        <v/>
      </c>
      <c r="AW422" s="105">
        <f>IFERROR(SUM(AX422:AZ422),"")</f>
        <v/>
      </c>
      <c r="AX422" s="105">
        <f>IFERROR(BH422,"")</f>
        <v/>
      </c>
      <c r="AY422" s="105">
        <f>IFERROR(Driver!$K$19/Data!BH422/Data!BI422*Data!BK422*Data!BL422,"")</f>
        <v/>
      </c>
      <c r="AZ422" s="105">
        <f>IFERROR(BI422*BN422,"")</f>
        <v/>
      </c>
      <c r="BA422" s="105" t="n"/>
      <c r="BB422" s="105" t="n"/>
      <c r="BC422" s="105">
        <f>IFERROR(BI422*BN422*BK422/BJ422^(1/2),"")</f>
        <v/>
      </c>
      <c r="BD422" s="105">
        <f>IFERROR(BH422*BM422*BL422/BJ422/BK422,"")</f>
        <v/>
      </c>
      <c r="BE422" s="105">
        <f>IFERROR(MIN(BI422/BQ422/BP422/BO422/BH422,$BE$1),"")</f>
        <v/>
      </c>
      <c r="BF422" s="105">
        <f>IFERROR(BJ422*BO422*BP422/BK422,"")</f>
        <v/>
      </c>
      <c r="BG422" s="105">
        <f>IFERROR(1/BM422/BH422*BQ422,"")</f>
        <v/>
      </c>
      <c r="BH422" s="102">
        <f>MAX((CE422-Driver!$F$200)/(Driver!$G$200-Driver!$F$200)*$BI$1,1)</f>
        <v/>
      </c>
      <c r="BI422" s="102">
        <f>MAX($BI$1*(BY422-Driver!$F$201)/(Driver!$G$201-Driver!$F$201),1)</f>
        <v/>
      </c>
      <c r="BJ422" s="102">
        <f>(CB422-Driver!$F$206)/(Driver!$G$206-Driver!$F$206)*$BI$1</f>
        <v/>
      </c>
      <c r="BK422" s="102">
        <f>(CD422-Driver!$F$203)/(Driver!$G$203-Driver!$F$203)*$BI$1</f>
        <v/>
      </c>
      <c r="BL422" s="102">
        <f>MAX((CR422-Driver!$F$202)/(Driver!$G$202-Driver!$F$202)*$BI$1,1)</f>
        <v/>
      </c>
      <c r="BM422" s="102">
        <f>MAX((CH422-Driver!$F$204)/(Driver!$G$204-Driver!$F$204)*$BI$1,1)</f>
        <v/>
      </c>
      <c r="BN422" s="102">
        <f>(CI422-Driver!$F$205)/(Driver!$G$205-Driver!$F$205)*$BI$1</f>
        <v/>
      </c>
      <c r="BO422" s="102">
        <f>(CK422-Driver!$F$207)/(Driver!$G$207-Driver!$F$207)*$BI$1</f>
        <v/>
      </c>
      <c r="BP422" s="102">
        <f>(CM422-Driver!$F$208)/(Driver!$G$208-Driver!$F$208)*$BI$1</f>
        <v/>
      </c>
      <c r="BQ422" s="102">
        <f>(CL422-Driver!$F$209)/(Driver!$G$209-Driver!$F$209)*$BI$1</f>
        <v/>
      </c>
      <c r="BR422" s="40" t="inlineStr">
        <is>
          <t>21/22</t>
        </is>
      </c>
      <c r="BS422" s="10" t="inlineStr">
        <is>
          <t xml:space="preserve"> Liberty</t>
        </is>
      </c>
      <c r="BT422" s="11" t="inlineStr">
        <is>
          <t>Origin 101</t>
        </is>
      </c>
      <c r="BU422" s="13" t="n">
        <v>171</v>
      </c>
      <c r="BV422" s="11" t="inlineStr">
        <is>
          <t xml:space="preserve"> Unisex</t>
        </is>
      </c>
      <c r="BW422" s="13" t="n">
        <v>171</v>
      </c>
      <c r="BX422" s="13" t="n">
        <v>169.9</v>
      </c>
      <c r="BY422" s="13" t="n">
        <v>110</v>
      </c>
      <c r="BZ422" s="13" t="n">
        <v>141</v>
      </c>
      <c r="CA422" s="13" t="n">
        <v>134</v>
      </c>
      <c r="CB422" s="13" t="n">
        <v>101</v>
      </c>
      <c r="CC422" s="13" t="n">
        <v>121</v>
      </c>
      <c r="CD422" s="13" t="n">
        <v>16.4</v>
      </c>
      <c r="CE422" s="13" t="n">
        <v>1707</v>
      </c>
      <c r="CF422" s="13" t="n">
        <v>1.11</v>
      </c>
      <c r="CG422" s="13" t="n">
        <v>1889</v>
      </c>
      <c r="CH422" s="13" t="n">
        <v>172</v>
      </c>
      <c r="CI422" s="13" t="n">
        <v>84</v>
      </c>
      <c r="CJ422" s="13" t="n">
        <v>52</v>
      </c>
      <c r="CK422" s="13" t="n">
        <v>340</v>
      </c>
      <c r="CL422" s="13" t="n">
        <v>30</v>
      </c>
      <c r="CM422" s="13" t="n">
        <v>257</v>
      </c>
      <c r="CN422" s="13" t="n">
        <v>0.5679999999999999</v>
      </c>
      <c r="CO422" s="13" t="n">
        <v>136</v>
      </c>
      <c r="CP422" s="13" t="n">
        <v>158</v>
      </c>
      <c r="CQ422" s="13" t="n">
        <v>204</v>
      </c>
      <c r="CR422" s="13" t="n">
        <v>5</v>
      </c>
      <c r="CS422" s="13" t="n">
        <v>8.300000000000001</v>
      </c>
      <c r="CT422" s="11" t="inlineStr">
        <is>
          <t xml:space="preserve"> Resort Freeride</t>
        </is>
      </c>
      <c r="CU422" s="11" t="inlineStr">
        <is>
          <t xml:space="preserve"> Powder</t>
        </is>
      </c>
      <c r="CV422" s="11" t="inlineStr">
        <is>
          <t xml:space="preserve"> Touring</t>
        </is>
      </c>
      <c r="CW422" s="13" t="n"/>
      <c r="CX422">
        <f>INDEX('Data_Price '!AG$2:AG$1266,MATCH(Data!$DN422,'Data_Price '!$AT$2:$AT$1266,0))</f>
        <v/>
      </c>
      <c r="CY422">
        <f>INDEX('Data_Price '!AH$2:AH$1266,MATCH(Data!$DN422,'Data_Price '!$AT$2:$AT$1266,0))</f>
        <v/>
      </c>
      <c r="CZ422">
        <f>INDEX('Data_Price '!AI$2:AI$1266,MATCH(Data!$DN422,'Data_Price '!$AT$2:$AT$1266,0))</f>
        <v/>
      </c>
      <c r="DA422">
        <f>INDEX('Data_Price '!AJ$2:AJ$1266,MATCH(Data!$DN422,'Data_Price '!$AT$2:$AT$1266,0))</f>
        <v/>
      </c>
      <c r="DB422">
        <f>INDEX('Data_Price '!AK$2:AK$1266,MATCH(Data!$DN422,'Data_Price '!$AT$2:$AT$1266,0))</f>
        <v/>
      </c>
      <c r="DC422">
        <f>INDEX('Data_Price '!AL$2:AL$1266,MATCH(Data!$DN422,'Data_Price '!$AT$2:$AT$1266,0))</f>
        <v/>
      </c>
      <c r="DD422">
        <f>INDEX('Data_Price '!AM$2:AM$1266,MATCH(Data!$DN422,'Data_Price '!$AT$2:$AT$1266,0))</f>
        <v/>
      </c>
      <c r="DE422">
        <f>INDEX('Data_Price '!AN$2:AN$1266,MATCH(Data!$DN422,'Data_Price '!$AT$2:$AT$1266,0))</f>
        <v/>
      </c>
      <c r="DF422">
        <f>INDEX('Data_Price '!AO$2:AO$1266,MATCH(Data!$DN422,'Data_Price '!$AT$2:$AT$1266,0))</f>
        <v/>
      </c>
      <c r="DG422">
        <f>INDEX('Data_Price '!AP$2:AP$1266,MATCH(Data!$DN422,'Data_Price '!$AT$2:$AT$1266,0))</f>
        <v/>
      </c>
      <c r="DH422">
        <f>INDEX('Data_Price '!AQ$2:AQ$1266,MATCH(Data!$DN422,'Data_Price '!$AT$2:$AT$1266,0))</f>
        <v/>
      </c>
      <c r="DI422">
        <f>INDEX('Data_Price '!AR$2:AR$1266,MATCH(Data!$DN422,'Data_Price '!$AT$2:$AT$1266,0))</f>
        <v/>
      </c>
      <c r="DJ422" s="138">
        <f>DA422</f>
        <v/>
      </c>
      <c r="DK422" s="138">
        <f>DE422</f>
        <v/>
      </c>
      <c r="DL422" s="138">
        <f>DI422</f>
        <v/>
      </c>
      <c r="DM422" s="303">
        <f>IF(LEFT(BT422,1)=" ",RIGHT(BT422,LEN(BT422)-1),BT422)</f>
        <v/>
      </c>
      <c r="DN422" s="138">
        <f>_xlfn.CONCAT(BS422,DM422,BU422,BV422)</f>
        <v/>
      </c>
      <c r="DO422" s="307" t="inlineStr">
        <is>
          <t>https://images.evo.com/imgp/250/208525/851439/clone.jpg</t>
        </is>
      </c>
    </row>
    <row r="423" ht="15.6" customHeight="1" s="184">
      <c r="B423" s="303">
        <f t="array" ref="B423">IF(OR(ISERROR(K423:P423)),FALSE,TRUE)</f>
        <v/>
      </c>
      <c r="C423" s="60">
        <f>OR(BR423=Driver!$G$50,Data!BR226=Driver!$H$50)</f>
        <v/>
      </c>
      <c r="D423" s="60">
        <f>OR(BV423=Driver!$G$51,BV423=Driver!$H$51)</f>
        <v/>
      </c>
      <c r="E423" s="60">
        <f>AND(BX423&gt;Driver!$F$54,BX423&lt;Driver!$G$54)</f>
        <v/>
      </c>
      <c r="F423" s="60">
        <f>CL423&gt;Driver!$F$56</f>
        <v/>
      </c>
      <c r="G423" s="60">
        <f>AND(CB423&gt;Driver!$F$55,CB423&lt;Driver!$G$55)</f>
        <v/>
      </c>
      <c r="H423" s="60">
        <f>AND(B423:G423)</f>
        <v/>
      </c>
      <c r="I423" s="60">
        <f>COUNTIFS($H$9:$H$1273,TRUE,$BT$9:$BT$1273,BT423)</f>
        <v/>
      </c>
      <c r="J423" s="60">
        <f t="array" ref="J423">NOT(OR(($H$9:$H$1273=TRUE)*($I$9:$I$1273&gt;0)*($BT$9:$BT$1273=BT423)*($K$9:$K$1273&gt;K423)))</f>
        <v/>
      </c>
      <c r="K423" s="108">
        <f>IFERROR(1-AVERAGE(X423:Y423),"")</f>
        <v/>
      </c>
      <c r="L423" s="108">
        <f>1-X423</f>
        <v/>
      </c>
      <c r="M423" s="108">
        <f>1-Y423</f>
        <v/>
      </c>
      <c r="N423" s="108">
        <f>1-Z423</f>
        <v/>
      </c>
      <c r="O423" s="108">
        <f>1-AA423</f>
        <v/>
      </c>
      <c r="P423" s="108">
        <f>1-AB423</f>
        <v/>
      </c>
      <c r="Q423" s="108" t="n"/>
      <c r="R423" s="108" t="n"/>
      <c r="S423" s="108">
        <f>1-AE423</f>
        <v/>
      </c>
      <c r="T423" s="108">
        <f>1-AF423</f>
        <v/>
      </c>
      <c r="U423" s="108">
        <f>1-AG423</f>
        <v/>
      </c>
      <c r="V423" s="108">
        <f>1-AH423</f>
        <v/>
      </c>
      <c r="W423" s="108">
        <f>1-AI423</f>
        <v/>
      </c>
      <c r="X423" s="108">
        <f>ABS(AJ423-AJ$1)</f>
        <v/>
      </c>
      <c r="Y423" s="108">
        <f>AVERAGE(Z423:AB423)</f>
        <v/>
      </c>
      <c r="Z423" s="108">
        <f>ABS(AL423-AL$1)</f>
        <v/>
      </c>
      <c r="AA423" s="108">
        <f>ABS(AM423-AM$1)</f>
        <v/>
      </c>
      <c r="AB423" s="108">
        <f>ABS(AN423-AN$1)</f>
        <v/>
      </c>
      <c r="AC423" s="108" t="n"/>
      <c r="AD423" s="108" t="n"/>
      <c r="AE423" s="108">
        <f>ABS(AQ$1-AQ423)</f>
        <v/>
      </c>
      <c r="AF423" s="108">
        <f>ABS(AR$1-AR423)</f>
        <v/>
      </c>
      <c r="AG423" s="108">
        <f>ABS(AS$1-AS423)</f>
        <v/>
      </c>
      <c r="AH423" s="108">
        <f>ABS(AT$1-AT423)</f>
        <v/>
      </c>
      <c r="AI423" s="108">
        <f>ABS(AU$1-AU423)</f>
        <v/>
      </c>
      <c r="AJ423" s="108">
        <f>(AV423-Driver!$K$179)/(Driver!$L$179-Driver!$K$179)</f>
        <v/>
      </c>
      <c r="AK423" s="108">
        <f>(AW423-Driver!$K$180)/(Driver!$L$180-Driver!$K$180)</f>
        <v/>
      </c>
      <c r="AL423" s="108">
        <f>(AX423-Driver!$K$181)/(Driver!$L$181-Driver!$K$181)</f>
        <v/>
      </c>
      <c r="AM423" s="108">
        <f>(AY423-Driver!$K$182)/(Driver!$L$182-Driver!$K$182)</f>
        <v/>
      </c>
      <c r="AN423" s="108">
        <f>(AZ423-Driver!$K$183)/(Driver!$L$183-Driver!$K$183)</f>
        <v/>
      </c>
      <c r="AO423" s="108" t="n"/>
      <c r="AP423" s="108" t="n"/>
      <c r="AQ423" s="108">
        <f>(BC423-Driver!$K$188)/(Driver!$L$188-Driver!$K$188)</f>
        <v/>
      </c>
      <c r="AR423" s="108">
        <f>MIN((BD423-Driver!$K$189)/(Driver!$L$189-Driver!$K$189),100%)</f>
        <v/>
      </c>
      <c r="AS423" s="108">
        <f>(BE423-Driver!$K$190)/(Driver!$L$190-Driver!$K$190)</f>
        <v/>
      </c>
      <c r="AT423" s="108">
        <f>(BF423-Driver!$K$191)/(Driver!$L$191-Driver!$K$191)</f>
        <v/>
      </c>
      <c r="AU423" s="108">
        <f>(BG423-Driver!$K$192)/(Driver!$L$192-Driver!$K$192)</f>
        <v/>
      </c>
      <c r="AV423" s="105">
        <f>IFERROR(BM423*BJ423^1/4,"")</f>
        <v/>
      </c>
      <c r="AW423" s="105">
        <f>IFERROR(SUM(AX423:AZ423),"")</f>
        <v/>
      </c>
      <c r="AX423" s="105">
        <f>IFERROR(BH423,"")</f>
        <v/>
      </c>
      <c r="AY423" s="105">
        <f>IFERROR(Driver!$K$19/Data!BH423/Data!BI423*Data!BK423*Data!BL423,"")</f>
        <v/>
      </c>
      <c r="AZ423" s="105">
        <f>IFERROR(BI423*BN423,"")</f>
        <v/>
      </c>
      <c r="BA423" s="105" t="n"/>
      <c r="BB423" s="105" t="n"/>
      <c r="BC423" s="105">
        <f>IFERROR(BI423*BN423*BK423/BJ423^(1/2),"")</f>
        <v/>
      </c>
      <c r="BD423" s="105">
        <f>IFERROR(BH423*BM423*BL423/BJ423/BK423,"")</f>
        <v/>
      </c>
      <c r="BE423" s="105">
        <f>IFERROR(MIN(BI423/BQ423/BP423/BO423/BH423,$BE$1),"")</f>
        <v/>
      </c>
      <c r="BF423" s="105">
        <f>IFERROR(BJ423*BO423*BP423/BK423,"")</f>
        <v/>
      </c>
      <c r="BG423" s="105">
        <f>IFERROR(1/BM423/BH423*BQ423,"")</f>
        <v/>
      </c>
      <c r="BH423" s="102">
        <f>MAX((CE423-Driver!$F$200)/(Driver!$G$200-Driver!$F$200)*$BI$1,1)</f>
        <v/>
      </c>
      <c r="BI423" s="102">
        <f>MAX($BI$1*(BY423-Driver!$F$201)/(Driver!$G$201-Driver!$F$201),1)</f>
        <v/>
      </c>
      <c r="BJ423" s="102">
        <f>(CB423-Driver!$F$206)/(Driver!$G$206-Driver!$F$206)*$BI$1</f>
        <v/>
      </c>
      <c r="BK423" s="102">
        <f>(CD423-Driver!$F$203)/(Driver!$G$203-Driver!$F$203)*$BI$1</f>
        <v/>
      </c>
      <c r="BL423" s="102">
        <f>MAX((CR423-Driver!$F$202)/(Driver!$G$202-Driver!$F$202)*$BI$1,1)</f>
        <v/>
      </c>
      <c r="BM423" s="102">
        <f>MAX((CH423-Driver!$F$204)/(Driver!$G$204-Driver!$F$204)*$BI$1,1)</f>
        <v/>
      </c>
      <c r="BN423" s="102">
        <f>(CI423-Driver!$F$205)/(Driver!$G$205-Driver!$F$205)*$BI$1</f>
        <v/>
      </c>
      <c r="BO423" s="102">
        <f>(CK423-Driver!$F$207)/(Driver!$G$207-Driver!$F$207)*$BI$1</f>
        <v/>
      </c>
      <c r="BP423" s="102">
        <f>(CM423-Driver!$F$208)/(Driver!$G$208-Driver!$F$208)*$BI$1</f>
        <v/>
      </c>
      <c r="BQ423" s="102">
        <f>(CL423-Driver!$F$209)/(Driver!$G$209-Driver!$F$209)*$BI$1</f>
        <v/>
      </c>
      <c r="BR423" s="40" t="inlineStr">
        <is>
          <t>21/22</t>
        </is>
      </c>
      <c r="BS423" s="10" t="inlineStr">
        <is>
          <t xml:space="preserve"> Black Crows</t>
        </is>
      </c>
      <c r="BT423" s="11" t="inlineStr">
        <is>
          <t xml:space="preserve"> Ferox Freebird</t>
        </is>
      </c>
      <c r="BU423" s="13" t="n">
        <v>181.4</v>
      </c>
      <c r="BV423" s="11" t="inlineStr">
        <is>
          <t xml:space="preserve"> Unisex</t>
        </is>
      </c>
      <c r="BW423" s="13" t="n">
        <v>181.4</v>
      </c>
      <c r="BX423" s="13" t="n">
        <v>179.6</v>
      </c>
      <c r="BY423" s="13" t="n">
        <v>106</v>
      </c>
      <c r="BZ423" s="13" t="n">
        <v>142</v>
      </c>
      <c r="CA423" s="13" t="n">
        <v>137</v>
      </c>
      <c r="CB423" s="13" t="n">
        <v>108</v>
      </c>
      <c r="CC423" s="13" t="n">
        <v>126</v>
      </c>
      <c r="CD423" s="13" t="n">
        <v>21.2</v>
      </c>
      <c r="CE423" s="13" t="n">
        <v>1915</v>
      </c>
      <c r="CF423" s="13" t="n">
        <v>1.1</v>
      </c>
      <c r="CG423" s="13" t="n">
        <v>2104</v>
      </c>
      <c r="CH423" s="13" t="n">
        <v>210</v>
      </c>
      <c r="CI423" s="13" t="n">
        <v>89</v>
      </c>
      <c r="CJ423" s="13" t="n">
        <v>44</v>
      </c>
      <c r="CK423" s="13" t="n">
        <v>514</v>
      </c>
      <c r="CL423" s="13" t="n">
        <v>33</v>
      </c>
      <c r="CM423" s="13" t="n">
        <v>220</v>
      </c>
      <c r="CN423" s="13" t="n">
        <v>0.751</v>
      </c>
      <c r="CO423" s="13" t="n">
        <v>210</v>
      </c>
      <c r="CP423" s="13" t="n">
        <v>163</v>
      </c>
      <c r="CQ423" s="13" t="n">
        <v>305</v>
      </c>
      <c r="CR423" s="13" t="n">
        <v>2</v>
      </c>
      <c r="CS423" s="13" t="n">
        <v>8.300000000000001</v>
      </c>
      <c r="CT423" s="11" t="inlineStr">
        <is>
          <t xml:space="preserve"> Powder</t>
        </is>
      </c>
      <c r="CU423" s="11" t="inlineStr">
        <is>
          <t xml:space="preserve"> Touring</t>
        </is>
      </c>
      <c r="CV423" s="13" t="n"/>
      <c r="CW423" s="13" t="n"/>
      <c r="CX423">
        <f>INDEX('Data_Price '!AG$2:AG$1266,MATCH(Data!$DN423,'Data_Price '!$AT$2:$AT$1266,0))</f>
        <v/>
      </c>
      <c r="CY423">
        <f>INDEX('Data_Price '!AH$2:AH$1266,MATCH(Data!$DN423,'Data_Price '!$AT$2:$AT$1266,0))</f>
        <v/>
      </c>
      <c r="CZ423">
        <f>INDEX('Data_Price '!AI$2:AI$1266,MATCH(Data!$DN423,'Data_Price '!$AT$2:$AT$1266,0))</f>
        <v/>
      </c>
      <c r="DA423">
        <f>INDEX('Data_Price '!AJ$2:AJ$1266,MATCH(Data!$DN423,'Data_Price '!$AT$2:$AT$1266,0))</f>
        <v/>
      </c>
      <c r="DB423">
        <f>INDEX('Data_Price '!AK$2:AK$1266,MATCH(Data!$DN423,'Data_Price '!$AT$2:$AT$1266,0))</f>
        <v/>
      </c>
      <c r="DC423">
        <f>INDEX('Data_Price '!AL$2:AL$1266,MATCH(Data!$DN423,'Data_Price '!$AT$2:$AT$1266,0))</f>
        <v/>
      </c>
      <c r="DD423">
        <f>INDEX('Data_Price '!AM$2:AM$1266,MATCH(Data!$DN423,'Data_Price '!$AT$2:$AT$1266,0))</f>
        <v/>
      </c>
      <c r="DE423">
        <f>INDEX('Data_Price '!AN$2:AN$1266,MATCH(Data!$DN423,'Data_Price '!$AT$2:$AT$1266,0))</f>
        <v/>
      </c>
      <c r="DF423">
        <f>INDEX('Data_Price '!AO$2:AO$1266,MATCH(Data!$DN423,'Data_Price '!$AT$2:$AT$1266,0))</f>
        <v/>
      </c>
      <c r="DG423">
        <f>INDEX('Data_Price '!AP$2:AP$1266,MATCH(Data!$DN423,'Data_Price '!$AT$2:$AT$1266,0))</f>
        <v/>
      </c>
      <c r="DH423">
        <f>INDEX('Data_Price '!AQ$2:AQ$1266,MATCH(Data!$DN423,'Data_Price '!$AT$2:$AT$1266,0))</f>
        <v/>
      </c>
      <c r="DI423">
        <f>INDEX('Data_Price '!AR$2:AR$1266,MATCH(Data!$DN423,'Data_Price '!$AT$2:$AT$1266,0))</f>
        <v/>
      </c>
      <c r="DJ423" s="138">
        <f>DA423</f>
        <v/>
      </c>
      <c r="DK423" s="138">
        <f>DE423</f>
        <v/>
      </c>
      <c r="DL423" s="138">
        <f>DI423</f>
        <v/>
      </c>
      <c r="DM423" s="303">
        <f>IF(LEFT(BT423,1)=" ",RIGHT(BT423,LEN(BT423)-1),BT423)</f>
        <v/>
      </c>
      <c r="DN423" s="138">
        <f>_xlfn.CONCAT(BS423,DM423,BU423,BV423)</f>
        <v/>
      </c>
      <c r="DO423" s="307" t="inlineStr">
        <is>
          <t>https://images.evo.com/imgp/250/164660/659377/black-crows-ferox-freebird-skis-2022-.jpg</t>
        </is>
      </c>
    </row>
    <row r="424" ht="15.6" customHeight="1" s="184">
      <c r="B424" s="303">
        <f t="array" ref="B424">IF(OR(ISERROR(K424:P424)),FALSE,TRUE)</f>
        <v/>
      </c>
      <c r="C424" s="60">
        <f>OR(BR424=Driver!$G$50,Data!BR1145=Driver!$H$50)</f>
        <v/>
      </c>
      <c r="D424" s="60">
        <f>OR(BV424=Driver!$G$51,BV424=Driver!$H$51)</f>
        <v/>
      </c>
      <c r="E424" s="60">
        <f>AND(BX424&gt;Driver!$F$54,BX424&lt;Driver!$G$54)</f>
        <v/>
      </c>
      <c r="F424" s="60">
        <f>CL424&gt;Driver!$F$56</f>
        <v/>
      </c>
      <c r="G424" s="60">
        <f>AND(CB424&gt;Driver!$F$55,CB424&lt;Driver!$G$55)</f>
        <v/>
      </c>
      <c r="H424" s="60">
        <f>AND(B424:G424)</f>
        <v/>
      </c>
      <c r="I424" s="60">
        <f>COUNTIFS($H$9:$H$1273,TRUE,$BT$9:$BT$1273,BT424)</f>
        <v/>
      </c>
      <c r="J424" s="60">
        <f t="array" ref="J424">NOT(OR(($H$9:$H$1273=TRUE)*($I$9:$I$1273&gt;0)*($BT$9:$BT$1273=BT424)*($K$9:$K$1273&gt;K424)))</f>
        <v/>
      </c>
      <c r="K424" s="108">
        <f>IFERROR(1-AVERAGE(X424:Y424),"")</f>
        <v/>
      </c>
      <c r="L424" s="108">
        <f>1-X424</f>
        <v/>
      </c>
      <c r="M424" s="108">
        <f>1-Y424</f>
        <v/>
      </c>
      <c r="N424" s="108">
        <f>1-Z424</f>
        <v/>
      </c>
      <c r="O424" s="108">
        <f>1-AA424</f>
        <v/>
      </c>
      <c r="P424" s="108">
        <f>1-AB424</f>
        <v/>
      </c>
      <c r="Q424" s="108" t="n"/>
      <c r="R424" s="108" t="n"/>
      <c r="S424" s="108">
        <f>1-AE424</f>
        <v/>
      </c>
      <c r="T424" s="108">
        <f>1-AF424</f>
        <v/>
      </c>
      <c r="U424" s="108">
        <f>1-AG424</f>
        <v/>
      </c>
      <c r="V424" s="108">
        <f>1-AH424</f>
        <v/>
      </c>
      <c r="W424" s="108">
        <f>1-AI424</f>
        <v/>
      </c>
      <c r="X424" s="108">
        <f>ABS(AJ424-AJ$1)</f>
        <v/>
      </c>
      <c r="Y424" s="108">
        <f>AVERAGE(Z424:AB424)</f>
        <v/>
      </c>
      <c r="Z424" s="108">
        <f>ABS(AL424-AL$1)</f>
        <v/>
      </c>
      <c r="AA424" s="108">
        <f>ABS(AM424-AM$1)</f>
        <v/>
      </c>
      <c r="AB424" s="108">
        <f>ABS(AN424-AN$1)</f>
        <v/>
      </c>
      <c r="AC424" s="108" t="n"/>
      <c r="AD424" s="108" t="n"/>
      <c r="AE424" s="108">
        <f>ABS(AQ$1-AQ424)</f>
        <v/>
      </c>
      <c r="AF424" s="108">
        <f>ABS(AR$1-AR424)</f>
        <v/>
      </c>
      <c r="AG424" s="108">
        <f>ABS(AS$1-AS424)</f>
        <v/>
      </c>
      <c r="AH424" s="108">
        <f>ABS(AT$1-AT424)</f>
        <v/>
      </c>
      <c r="AI424" s="108">
        <f>ABS(AU$1-AU424)</f>
        <v/>
      </c>
      <c r="AJ424" s="108">
        <f>(AV424-Driver!$K$179)/(Driver!$L$179-Driver!$K$179)</f>
        <v/>
      </c>
      <c r="AK424" s="108">
        <f>(AW424-Driver!$K$180)/(Driver!$L$180-Driver!$K$180)</f>
        <v/>
      </c>
      <c r="AL424" s="108">
        <f>(AX424-Driver!$K$181)/(Driver!$L$181-Driver!$K$181)</f>
        <v/>
      </c>
      <c r="AM424" s="108">
        <f>(AY424-Driver!$K$182)/(Driver!$L$182-Driver!$K$182)</f>
        <v/>
      </c>
      <c r="AN424" s="108">
        <f>(AZ424-Driver!$K$183)/(Driver!$L$183-Driver!$K$183)</f>
        <v/>
      </c>
      <c r="AO424" s="108" t="n"/>
      <c r="AP424" s="108" t="n"/>
      <c r="AQ424" s="108">
        <f>(BC424-Driver!$K$188)/(Driver!$L$188-Driver!$K$188)</f>
        <v/>
      </c>
      <c r="AR424" s="108">
        <f>MIN((BD424-Driver!$K$189)/(Driver!$L$189-Driver!$K$189),100%)</f>
        <v/>
      </c>
      <c r="AS424" s="108">
        <f>(BE424-Driver!$K$190)/(Driver!$L$190-Driver!$K$190)</f>
        <v/>
      </c>
      <c r="AT424" s="108">
        <f>(BF424-Driver!$K$191)/(Driver!$L$191-Driver!$K$191)</f>
        <v/>
      </c>
      <c r="AU424" s="108">
        <f>(BG424-Driver!$K$192)/(Driver!$L$192-Driver!$K$192)</f>
        <v/>
      </c>
      <c r="AV424" s="105">
        <f>IFERROR(BM424*BJ424^1/4,"")</f>
        <v/>
      </c>
      <c r="AW424" s="105">
        <f>IFERROR(SUM(AX424:AZ424),"")</f>
        <v/>
      </c>
      <c r="AX424" s="105">
        <f>IFERROR(BH424,"")</f>
        <v/>
      </c>
      <c r="AY424" s="105">
        <f>IFERROR(Driver!$K$19/Data!BH424/Data!BI424*Data!BK424*Data!BL424,"")</f>
        <v/>
      </c>
      <c r="AZ424" s="105">
        <f>IFERROR(BI424*BN424,"")</f>
        <v/>
      </c>
      <c r="BA424" s="105" t="n"/>
      <c r="BB424" s="105" t="n"/>
      <c r="BC424" s="105">
        <f>IFERROR(BI424*BN424*BK424/BJ424^(1/2),"")</f>
        <v/>
      </c>
      <c r="BD424" s="105">
        <f>IFERROR(BH424*BM424*BL424/BJ424/BK424,"")</f>
        <v/>
      </c>
      <c r="BE424" s="105">
        <f>IFERROR(MIN(BI424/BQ424/BP424/BO424/BH424,$BE$1),"")</f>
        <v/>
      </c>
      <c r="BF424" s="105">
        <f>IFERROR(BJ424*BO424*BP424/BK424,"")</f>
        <v/>
      </c>
      <c r="BG424" s="105">
        <f>IFERROR(1/BM424/BH424*BQ424,"")</f>
        <v/>
      </c>
      <c r="BH424" s="102">
        <f>MAX((CE424-Driver!$F$200)/(Driver!$G$200-Driver!$F$200)*$BI$1,1)</f>
        <v/>
      </c>
      <c r="BI424" s="102">
        <f>MAX($BI$1*(BY424-Driver!$F$201)/(Driver!$G$201-Driver!$F$201),1)</f>
        <v/>
      </c>
      <c r="BJ424" s="102">
        <f>(CB424-Driver!$F$206)/(Driver!$G$206-Driver!$F$206)*$BI$1</f>
        <v/>
      </c>
      <c r="BK424" s="102">
        <f>(CD424-Driver!$F$203)/(Driver!$G$203-Driver!$F$203)*$BI$1</f>
        <v/>
      </c>
      <c r="BL424" s="102">
        <f>MAX((CR424-Driver!$F$202)/(Driver!$G$202-Driver!$F$202)*$BI$1,1)</f>
        <v/>
      </c>
      <c r="BM424" s="102">
        <f>MAX((CH424-Driver!$F$204)/(Driver!$G$204-Driver!$F$204)*$BI$1,1)</f>
        <v/>
      </c>
      <c r="BN424" s="102">
        <f>(CI424-Driver!$F$205)/(Driver!$G$205-Driver!$F$205)*$BI$1</f>
        <v/>
      </c>
      <c r="BO424" s="102">
        <f>(CK424-Driver!$F$207)/(Driver!$G$207-Driver!$F$207)*$BI$1</f>
        <v/>
      </c>
      <c r="BP424" s="102">
        <f>(CM424-Driver!$F$208)/(Driver!$G$208-Driver!$F$208)*$BI$1</f>
        <v/>
      </c>
      <c r="BQ424" s="102">
        <f>(CL424-Driver!$F$209)/(Driver!$G$209-Driver!$F$209)*$BI$1</f>
        <v/>
      </c>
      <c r="BR424" s="40" t="inlineStr">
        <is>
          <t>21/22</t>
        </is>
      </c>
      <c r="BS424" s="10" t="inlineStr">
        <is>
          <t xml:space="preserve"> Völkl</t>
        </is>
      </c>
      <c r="BT424" s="11" t="inlineStr">
        <is>
          <t>Bash 81</t>
        </is>
      </c>
      <c r="BU424" s="13" t="n">
        <v>158</v>
      </c>
      <c r="BV424" s="11" t="inlineStr">
        <is>
          <t xml:space="preserve"> Unisex</t>
        </is>
      </c>
      <c r="BW424" s="13" t="n">
        <v>158</v>
      </c>
      <c r="BX424" s="13" t="n">
        <v>157.1</v>
      </c>
      <c r="BY424" s="13" t="n">
        <v>128</v>
      </c>
      <c r="BZ424" s="13" t="n">
        <v>134</v>
      </c>
      <c r="CA424" s="13" t="n">
        <v>111</v>
      </c>
      <c r="CB424" s="13" t="n">
        <v>80</v>
      </c>
      <c r="CC424" s="13" t="n">
        <v>104</v>
      </c>
      <c r="CD424" s="13" t="n">
        <v>16.3</v>
      </c>
      <c r="CE424" s="13" t="n">
        <v>1564</v>
      </c>
      <c r="CF424" s="13" t="n">
        <v>0.91</v>
      </c>
      <c r="CG424" s="13" t="n">
        <v>1423</v>
      </c>
      <c r="CH424" s="13" t="n">
        <v>173</v>
      </c>
      <c r="CI424" s="13" t="n">
        <v>87</v>
      </c>
      <c r="CJ424" s="13" t="n">
        <v>43</v>
      </c>
      <c r="CK424" s="13" t="n">
        <v>152</v>
      </c>
      <c r="CL424" s="13" t="n">
        <v>36</v>
      </c>
      <c r="CM424" s="13" t="n">
        <v>138</v>
      </c>
      <c r="CN424" s="13" t="n">
        <v>0.838</v>
      </c>
      <c r="CO424" s="13" t="n">
        <v>91</v>
      </c>
      <c r="CP424" s="13" t="n">
        <v>137</v>
      </c>
      <c r="CQ424" s="13" t="n">
        <v>61</v>
      </c>
      <c r="CR424" s="13" t="n">
        <v>8</v>
      </c>
      <c r="CS424" s="13" t="n">
        <v>2.5</v>
      </c>
      <c r="CT424" s="11" t="inlineStr">
        <is>
          <t xml:space="preserve"> Resort Freeride</t>
        </is>
      </c>
      <c r="CU424" s="11" t="inlineStr">
        <is>
          <t xml:space="preserve"> Freeski</t>
        </is>
      </c>
      <c r="CV424" s="13" t="n"/>
      <c r="CW424" s="13" t="n"/>
      <c r="CX424">
        <f>INDEX('Data_Price '!AG$2:AG$1266,MATCH(Data!$DN424,'Data_Price '!$AT$2:$AT$1266,0))</f>
        <v/>
      </c>
      <c r="CY424">
        <f>INDEX('Data_Price '!AH$2:AH$1266,MATCH(Data!$DN424,'Data_Price '!$AT$2:$AT$1266,0))</f>
        <v/>
      </c>
      <c r="CZ424">
        <f>INDEX('Data_Price '!AI$2:AI$1266,MATCH(Data!$DN424,'Data_Price '!$AT$2:$AT$1266,0))</f>
        <v/>
      </c>
      <c r="DA424">
        <f>INDEX('Data_Price '!AJ$2:AJ$1266,MATCH(Data!$DN424,'Data_Price '!$AT$2:$AT$1266,0))</f>
        <v/>
      </c>
      <c r="DB424">
        <f>INDEX('Data_Price '!AK$2:AK$1266,MATCH(Data!$DN424,'Data_Price '!$AT$2:$AT$1266,0))</f>
        <v/>
      </c>
      <c r="DC424">
        <f>INDEX('Data_Price '!AL$2:AL$1266,MATCH(Data!$DN424,'Data_Price '!$AT$2:$AT$1266,0))</f>
        <v/>
      </c>
      <c r="DD424">
        <f>INDEX('Data_Price '!AM$2:AM$1266,MATCH(Data!$DN424,'Data_Price '!$AT$2:$AT$1266,0))</f>
        <v/>
      </c>
      <c r="DE424">
        <f>INDEX('Data_Price '!AN$2:AN$1266,MATCH(Data!$DN424,'Data_Price '!$AT$2:$AT$1266,0))</f>
        <v/>
      </c>
      <c r="DF424">
        <f>INDEX('Data_Price '!AO$2:AO$1266,MATCH(Data!$DN424,'Data_Price '!$AT$2:$AT$1266,0))</f>
        <v/>
      </c>
      <c r="DG424">
        <f>INDEX('Data_Price '!AP$2:AP$1266,MATCH(Data!$DN424,'Data_Price '!$AT$2:$AT$1266,0))</f>
        <v/>
      </c>
      <c r="DH424">
        <f>INDEX('Data_Price '!AQ$2:AQ$1266,MATCH(Data!$DN424,'Data_Price '!$AT$2:$AT$1266,0))</f>
        <v/>
      </c>
      <c r="DI424">
        <f>INDEX('Data_Price '!AR$2:AR$1266,MATCH(Data!$DN424,'Data_Price '!$AT$2:$AT$1266,0))</f>
        <v/>
      </c>
      <c r="DJ424" s="138">
        <f>DA424</f>
        <v/>
      </c>
      <c r="DK424" s="138">
        <f>DE424</f>
        <v/>
      </c>
      <c r="DL424" s="138">
        <f>DI424</f>
        <v/>
      </c>
      <c r="DM424" s="303">
        <f>IF(LEFT(BT424,1)=" ",RIGHT(BT424,LEN(BT424)-1),BT424)</f>
        <v/>
      </c>
      <c r="DN424" s="138">
        <f>_xlfn.CONCAT(BS424,DM424,BU424,BV424)</f>
        <v/>
      </c>
      <c r="DO424" s="307" t="inlineStr">
        <is>
          <t>https://images.evo.com/imgp/250/183432/726762/clone.jpg</t>
        </is>
      </c>
    </row>
    <row r="425" ht="15.6" customHeight="1" s="184">
      <c r="B425" s="303">
        <f t="array" ref="B425">IF(OR(ISERROR(K425:P425)),FALSE,TRUE)</f>
        <v/>
      </c>
      <c r="C425" s="60">
        <f>OR(BR425=Driver!$G$50,Data!BR820=Driver!$H$50)</f>
        <v/>
      </c>
      <c r="D425" s="60">
        <f>OR(BV425=Driver!$G$51,BV425=Driver!$H$51)</f>
        <v/>
      </c>
      <c r="E425" s="60">
        <f>AND(BX425&gt;Driver!$F$54,BX425&lt;Driver!$G$54)</f>
        <v/>
      </c>
      <c r="F425" s="60">
        <f>CL425&gt;Driver!$F$56</f>
        <v/>
      </c>
      <c r="G425" s="60">
        <f>AND(CB425&gt;Driver!$F$55,CB425&lt;Driver!$G$55)</f>
        <v/>
      </c>
      <c r="H425" s="60">
        <f>AND(B425:G425)</f>
        <v/>
      </c>
      <c r="I425" s="60">
        <f>COUNTIFS($H$9:$H$1273,TRUE,$BT$9:$BT$1273,BT425)</f>
        <v/>
      </c>
      <c r="J425" s="60">
        <f t="array" ref="J425">NOT(OR(($H$9:$H$1273=TRUE)*($I$9:$I$1273&gt;0)*($BT$9:$BT$1273=BT425)*($K$9:$K$1273&gt;K425)))</f>
        <v/>
      </c>
      <c r="K425" s="108">
        <f>IFERROR(1-AVERAGE(X425:Y425),"")</f>
        <v/>
      </c>
      <c r="L425" s="108">
        <f>1-X425</f>
        <v/>
      </c>
      <c r="M425" s="108">
        <f>1-Y425</f>
        <v/>
      </c>
      <c r="N425" s="108">
        <f>1-Z425</f>
        <v/>
      </c>
      <c r="O425" s="108">
        <f>1-AA425</f>
        <v/>
      </c>
      <c r="P425" s="108">
        <f>1-AB425</f>
        <v/>
      </c>
      <c r="Q425" s="108" t="n"/>
      <c r="R425" s="108" t="n"/>
      <c r="S425" s="108">
        <f>1-AE425</f>
        <v/>
      </c>
      <c r="T425" s="108">
        <f>1-AF425</f>
        <v/>
      </c>
      <c r="U425" s="108">
        <f>1-AG425</f>
        <v/>
      </c>
      <c r="V425" s="108">
        <f>1-AH425</f>
        <v/>
      </c>
      <c r="W425" s="108">
        <f>1-AI425</f>
        <v/>
      </c>
      <c r="X425" s="108">
        <f>ABS(AJ425-AJ$1)</f>
        <v/>
      </c>
      <c r="Y425" s="108">
        <f>AVERAGE(Z425:AB425)</f>
        <v/>
      </c>
      <c r="Z425" s="108">
        <f>ABS(AL425-AL$1)</f>
        <v/>
      </c>
      <c r="AA425" s="108">
        <f>ABS(AM425-AM$1)</f>
        <v/>
      </c>
      <c r="AB425" s="108">
        <f>ABS(AN425-AN$1)</f>
        <v/>
      </c>
      <c r="AC425" s="108" t="n"/>
      <c r="AD425" s="108" t="n"/>
      <c r="AE425" s="108">
        <f>ABS(AQ$1-AQ425)</f>
        <v/>
      </c>
      <c r="AF425" s="108">
        <f>ABS(AR$1-AR425)</f>
        <v/>
      </c>
      <c r="AG425" s="108">
        <f>ABS(AS$1-AS425)</f>
        <v/>
      </c>
      <c r="AH425" s="108">
        <f>ABS(AT$1-AT425)</f>
        <v/>
      </c>
      <c r="AI425" s="108">
        <f>ABS(AU$1-AU425)</f>
        <v/>
      </c>
      <c r="AJ425" s="108">
        <f>(AV425-Driver!$K$179)/(Driver!$L$179-Driver!$K$179)</f>
        <v/>
      </c>
      <c r="AK425" s="108">
        <f>(AW425-Driver!$K$180)/(Driver!$L$180-Driver!$K$180)</f>
        <v/>
      </c>
      <c r="AL425" s="108">
        <f>(AX425-Driver!$K$181)/(Driver!$L$181-Driver!$K$181)</f>
        <v/>
      </c>
      <c r="AM425" s="108">
        <f>(AY425-Driver!$K$182)/(Driver!$L$182-Driver!$K$182)</f>
        <v/>
      </c>
      <c r="AN425" s="108">
        <f>(AZ425-Driver!$K$183)/(Driver!$L$183-Driver!$K$183)</f>
        <v/>
      </c>
      <c r="AO425" s="108" t="n"/>
      <c r="AP425" s="108" t="n"/>
      <c r="AQ425" s="108">
        <f>(BC425-Driver!$K$188)/(Driver!$L$188-Driver!$K$188)</f>
        <v/>
      </c>
      <c r="AR425" s="108">
        <f>MIN((BD425-Driver!$K$189)/(Driver!$L$189-Driver!$K$189),100%)</f>
        <v/>
      </c>
      <c r="AS425" s="108">
        <f>(BE425-Driver!$K$190)/(Driver!$L$190-Driver!$K$190)</f>
        <v/>
      </c>
      <c r="AT425" s="108">
        <f>(BF425-Driver!$K$191)/(Driver!$L$191-Driver!$K$191)</f>
        <v/>
      </c>
      <c r="AU425" s="108">
        <f>(BG425-Driver!$K$192)/(Driver!$L$192-Driver!$K$192)</f>
        <v/>
      </c>
      <c r="AV425" s="105">
        <f>IFERROR(BM425*BJ425^1/4,"")</f>
        <v/>
      </c>
      <c r="AW425" s="105">
        <f>IFERROR(SUM(AX425:AZ425),"")</f>
        <v/>
      </c>
      <c r="AX425" s="105">
        <f>IFERROR(BH425,"")</f>
        <v/>
      </c>
      <c r="AY425" s="105">
        <f>IFERROR(Driver!$K$19/Data!BH425/Data!BI425*Data!BK425*Data!BL425,"")</f>
        <v/>
      </c>
      <c r="AZ425" s="105">
        <f>IFERROR(BI425*BN425,"")</f>
        <v/>
      </c>
      <c r="BA425" s="105" t="n"/>
      <c r="BB425" s="105" t="n"/>
      <c r="BC425" s="105">
        <f>IFERROR(BI425*BN425*BK425/BJ425^(1/2),"")</f>
        <v/>
      </c>
      <c r="BD425" s="105">
        <f>IFERROR(BH425*BM425*BL425/BJ425/BK425,"")</f>
        <v/>
      </c>
      <c r="BE425" s="105">
        <f>IFERROR(MIN(BI425/BQ425/BP425/BO425/BH425,$BE$1),"")</f>
        <v/>
      </c>
      <c r="BF425" s="105">
        <f>IFERROR(BJ425*BO425*BP425/BK425,"")</f>
        <v/>
      </c>
      <c r="BG425" s="105">
        <f>IFERROR(1/BM425/BH425*BQ425,"")</f>
        <v/>
      </c>
      <c r="BH425" s="102">
        <f>MAX((CE425-Driver!$F$200)/(Driver!$G$200-Driver!$F$200)*$BI$1,1)</f>
        <v/>
      </c>
      <c r="BI425" s="102">
        <f>MAX($BI$1*(BY425-Driver!$F$201)/(Driver!$G$201-Driver!$F$201),1)</f>
        <v/>
      </c>
      <c r="BJ425" s="102">
        <f>(CB425-Driver!$F$206)/(Driver!$G$206-Driver!$F$206)*$BI$1</f>
        <v/>
      </c>
      <c r="BK425" s="102">
        <f>(CD425-Driver!$F$203)/(Driver!$G$203-Driver!$F$203)*$BI$1</f>
        <v/>
      </c>
      <c r="BL425" s="102">
        <f>MAX((CR425-Driver!$F$202)/(Driver!$G$202-Driver!$F$202)*$BI$1,1)</f>
        <v/>
      </c>
      <c r="BM425" s="102">
        <f>MAX((CH425-Driver!$F$204)/(Driver!$G$204-Driver!$F$204)*$BI$1,1)</f>
        <v/>
      </c>
      <c r="BN425" s="102">
        <f>(CI425-Driver!$F$205)/(Driver!$G$205-Driver!$F$205)*$BI$1</f>
        <v/>
      </c>
      <c r="BO425" s="102">
        <f>(CK425-Driver!$F$207)/(Driver!$G$207-Driver!$F$207)*$BI$1</f>
        <v/>
      </c>
      <c r="BP425" s="102">
        <f>(CM425-Driver!$F$208)/(Driver!$G$208-Driver!$F$208)*$BI$1</f>
        <v/>
      </c>
      <c r="BQ425" s="102">
        <f>(CL425-Driver!$F$209)/(Driver!$G$209-Driver!$F$209)*$BI$1</f>
        <v/>
      </c>
      <c r="BR425" s="40" t="inlineStr">
        <is>
          <t>21/22</t>
        </is>
      </c>
      <c r="BS425" s="10" t="inlineStr">
        <is>
          <t xml:space="preserve"> Liberty</t>
        </is>
      </c>
      <c r="BT425" s="11" t="inlineStr">
        <is>
          <t>Origin 96</t>
        </is>
      </c>
      <c r="BU425" s="13" t="n">
        <v>187</v>
      </c>
      <c r="BV425" s="11" t="inlineStr">
        <is>
          <t xml:space="preserve"> Unisex</t>
        </is>
      </c>
      <c r="BW425" s="13" t="n">
        <v>187</v>
      </c>
      <c r="BX425" s="13" t="n">
        <v>185.8</v>
      </c>
      <c r="BY425" s="13" t="n">
        <v>126</v>
      </c>
      <c r="BZ425" s="13" t="n">
        <v>156</v>
      </c>
      <c r="CA425" s="13" t="n">
        <v>129</v>
      </c>
      <c r="CB425" s="13" t="n">
        <v>96</v>
      </c>
      <c r="CC425" s="13" t="n">
        <v>117</v>
      </c>
      <c r="CD425" s="13" t="n">
        <v>19.9</v>
      </c>
      <c r="CE425" s="13" t="n">
        <v>1972</v>
      </c>
      <c r="CF425" s="13" t="n">
        <v>1</v>
      </c>
      <c r="CG425" s="13" t="n">
        <v>1972</v>
      </c>
      <c r="CH425" s="13" t="n">
        <v>247</v>
      </c>
      <c r="CI425" s="13" t="n">
        <v>108</v>
      </c>
      <c r="CJ425" s="13" t="n">
        <v>44</v>
      </c>
      <c r="CK425" s="13" t="n">
        <v>327</v>
      </c>
      <c r="CL425" s="13" t="n">
        <v>31</v>
      </c>
      <c r="CM425" s="13" t="n">
        <v>272</v>
      </c>
      <c r="CN425" s="13" t="n">
        <v>0.71</v>
      </c>
      <c r="CO425" s="13" t="n">
        <v>136</v>
      </c>
      <c r="CP425" s="13" t="n">
        <v>167</v>
      </c>
      <c r="CQ425" s="13" t="n">
        <v>191</v>
      </c>
      <c r="CR425" s="13" t="n">
        <v>7</v>
      </c>
      <c r="CS425" s="13" t="n">
        <v>8.300000000000001</v>
      </c>
      <c r="CT425" s="11" t="inlineStr">
        <is>
          <t xml:space="preserve"> Resort Freeride</t>
        </is>
      </c>
      <c r="CU425" s="13" t="n"/>
      <c r="CV425" s="13" t="n"/>
      <c r="CW425" s="13" t="n"/>
      <c r="CX425">
        <f>INDEX('Data_Price '!AG$2:AG$1266,MATCH(Data!$DN425,'Data_Price '!$AT$2:$AT$1266,0))</f>
        <v/>
      </c>
      <c r="CY425">
        <f>INDEX('Data_Price '!AH$2:AH$1266,MATCH(Data!$DN425,'Data_Price '!$AT$2:$AT$1266,0))</f>
        <v/>
      </c>
      <c r="CZ425">
        <f>INDEX('Data_Price '!AI$2:AI$1266,MATCH(Data!$DN425,'Data_Price '!$AT$2:$AT$1266,0))</f>
        <v/>
      </c>
      <c r="DA425">
        <f>INDEX('Data_Price '!AJ$2:AJ$1266,MATCH(Data!$DN425,'Data_Price '!$AT$2:$AT$1266,0))</f>
        <v/>
      </c>
      <c r="DB425">
        <f>INDEX('Data_Price '!AK$2:AK$1266,MATCH(Data!$DN425,'Data_Price '!$AT$2:$AT$1266,0))</f>
        <v/>
      </c>
      <c r="DC425">
        <f>INDEX('Data_Price '!AL$2:AL$1266,MATCH(Data!$DN425,'Data_Price '!$AT$2:$AT$1266,0))</f>
        <v/>
      </c>
      <c r="DD425">
        <f>INDEX('Data_Price '!AM$2:AM$1266,MATCH(Data!$DN425,'Data_Price '!$AT$2:$AT$1266,0))</f>
        <v/>
      </c>
      <c r="DE425">
        <f>INDEX('Data_Price '!AN$2:AN$1266,MATCH(Data!$DN425,'Data_Price '!$AT$2:$AT$1266,0))</f>
        <v/>
      </c>
      <c r="DF425">
        <f>INDEX('Data_Price '!AO$2:AO$1266,MATCH(Data!$DN425,'Data_Price '!$AT$2:$AT$1266,0))</f>
        <v/>
      </c>
      <c r="DG425">
        <f>INDEX('Data_Price '!AP$2:AP$1266,MATCH(Data!$DN425,'Data_Price '!$AT$2:$AT$1266,0))</f>
        <v/>
      </c>
      <c r="DH425">
        <f>INDEX('Data_Price '!AQ$2:AQ$1266,MATCH(Data!$DN425,'Data_Price '!$AT$2:$AT$1266,0))</f>
        <v/>
      </c>
      <c r="DI425">
        <f>INDEX('Data_Price '!AR$2:AR$1266,MATCH(Data!$DN425,'Data_Price '!$AT$2:$AT$1266,0))</f>
        <v/>
      </c>
      <c r="DJ425" s="138">
        <f>DA425</f>
        <v/>
      </c>
      <c r="DK425" s="138">
        <f>DE425</f>
        <v/>
      </c>
      <c r="DL425" s="138">
        <f>DI425</f>
        <v/>
      </c>
      <c r="DM425" s="303">
        <f>IF(LEFT(BT425,1)=" ",RIGHT(BT425,LEN(BT425)-1),BT425)</f>
        <v/>
      </c>
      <c r="DN425" s="138">
        <f>_xlfn.CONCAT(BS425,DM425,BU425,BV425)</f>
        <v/>
      </c>
      <c r="DO425" s="307" t="inlineStr">
        <is>
          <t>https://images.evo.com/imgp/250/208524/851432/clone.jpg</t>
        </is>
      </c>
    </row>
    <row r="426" ht="15.6" customHeight="1" s="184">
      <c r="B426" s="303">
        <f t="array" ref="B426">IF(OR(ISERROR(K426:P426)),FALSE,TRUE)</f>
        <v/>
      </c>
      <c r="C426" s="60">
        <f>OR(BR426=Driver!$G$50,Data!BR443=Driver!$H$50)</f>
        <v/>
      </c>
      <c r="D426" s="60">
        <f>OR(BV426=Driver!$G$51,BV426=Driver!$H$51)</f>
        <v/>
      </c>
      <c r="E426" s="60">
        <f>AND(BX426&gt;Driver!$F$54,BX426&lt;Driver!$G$54)</f>
        <v/>
      </c>
      <c r="F426" s="60">
        <f>CL426&gt;Driver!$F$56</f>
        <v/>
      </c>
      <c r="G426" s="60">
        <f>AND(CB426&gt;Driver!$F$55,CB426&lt;Driver!$G$55)</f>
        <v/>
      </c>
      <c r="H426" s="60">
        <f>AND(B426:G426)</f>
        <v/>
      </c>
      <c r="I426" s="60">
        <f>COUNTIFS($H$9:$H$1273,TRUE,$BT$9:$BT$1273,BT426)</f>
        <v/>
      </c>
      <c r="J426" s="60">
        <f t="array" ref="J426">NOT(OR(($H$9:$H$1273=TRUE)*($I$9:$I$1273&gt;0)*($BT$9:$BT$1273=BT426)*($K$9:$K$1273&gt;K426)))</f>
        <v/>
      </c>
      <c r="K426" s="108">
        <f>IFERROR(1-AVERAGE(X426:Y426),"")</f>
        <v/>
      </c>
      <c r="L426" s="108">
        <f>1-X426</f>
        <v/>
      </c>
      <c r="M426" s="108">
        <f>1-Y426</f>
        <v/>
      </c>
      <c r="N426" s="108">
        <f>1-Z426</f>
        <v/>
      </c>
      <c r="O426" s="108">
        <f>1-AA426</f>
        <v/>
      </c>
      <c r="P426" s="108">
        <f>1-AB426</f>
        <v/>
      </c>
      <c r="Q426" s="108" t="n"/>
      <c r="R426" s="108" t="n"/>
      <c r="S426" s="108">
        <f>1-AE426</f>
        <v/>
      </c>
      <c r="T426" s="108">
        <f>1-AF426</f>
        <v/>
      </c>
      <c r="U426" s="108">
        <f>1-AG426</f>
        <v/>
      </c>
      <c r="V426" s="108">
        <f>1-AH426</f>
        <v/>
      </c>
      <c r="W426" s="108">
        <f>1-AI426</f>
        <v/>
      </c>
      <c r="X426" s="108">
        <f>ABS(AJ426-AJ$1)</f>
        <v/>
      </c>
      <c r="Y426" s="108">
        <f>AVERAGE(Z426:AB426)</f>
        <v/>
      </c>
      <c r="Z426" s="108">
        <f>ABS(AL426-AL$1)</f>
        <v/>
      </c>
      <c r="AA426" s="108">
        <f>ABS(AM426-AM$1)</f>
        <v/>
      </c>
      <c r="AB426" s="108">
        <f>ABS(AN426-AN$1)</f>
        <v/>
      </c>
      <c r="AC426" s="108" t="n"/>
      <c r="AD426" s="108" t="n"/>
      <c r="AE426" s="108">
        <f>ABS(AQ$1-AQ426)</f>
        <v/>
      </c>
      <c r="AF426" s="108">
        <f>ABS(AR$1-AR426)</f>
        <v/>
      </c>
      <c r="AG426" s="108">
        <f>ABS(AS$1-AS426)</f>
        <v/>
      </c>
      <c r="AH426" s="108">
        <f>ABS(AT$1-AT426)</f>
        <v/>
      </c>
      <c r="AI426" s="108">
        <f>ABS(AU$1-AU426)</f>
        <v/>
      </c>
      <c r="AJ426" s="108">
        <f>(AV426-Driver!$K$179)/(Driver!$L$179-Driver!$K$179)</f>
        <v/>
      </c>
      <c r="AK426" s="108">
        <f>(AW426-Driver!$K$180)/(Driver!$L$180-Driver!$K$180)</f>
        <v/>
      </c>
      <c r="AL426" s="108">
        <f>(AX426-Driver!$K$181)/(Driver!$L$181-Driver!$K$181)</f>
        <v/>
      </c>
      <c r="AM426" s="108">
        <f>(AY426-Driver!$K$182)/(Driver!$L$182-Driver!$K$182)</f>
        <v/>
      </c>
      <c r="AN426" s="108">
        <f>(AZ426-Driver!$K$183)/(Driver!$L$183-Driver!$K$183)</f>
        <v/>
      </c>
      <c r="AO426" s="108" t="n"/>
      <c r="AP426" s="108" t="n"/>
      <c r="AQ426" s="108">
        <f>(BC426-Driver!$K$188)/(Driver!$L$188-Driver!$K$188)</f>
        <v/>
      </c>
      <c r="AR426" s="108">
        <f>MIN((BD426-Driver!$K$189)/(Driver!$L$189-Driver!$K$189),100%)</f>
        <v/>
      </c>
      <c r="AS426" s="108">
        <f>(BE426-Driver!$K$190)/(Driver!$L$190-Driver!$K$190)</f>
        <v/>
      </c>
      <c r="AT426" s="108">
        <f>(BF426-Driver!$K$191)/(Driver!$L$191-Driver!$K$191)</f>
        <v/>
      </c>
      <c r="AU426" s="108">
        <f>(BG426-Driver!$K$192)/(Driver!$L$192-Driver!$K$192)</f>
        <v/>
      </c>
      <c r="AV426" s="105">
        <f>IFERROR(BM426*BJ426^1/4,"")</f>
        <v/>
      </c>
      <c r="AW426" s="105">
        <f>IFERROR(SUM(AX426:AZ426),"")</f>
        <v/>
      </c>
      <c r="AX426" s="105">
        <f>IFERROR(BH426,"")</f>
        <v/>
      </c>
      <c r="AY426" s="105">
        <f>IFERROR(Driver!$K$19/Data!BH426/Data!BI426*Data!BK426*Data!BL426,"")</f>
        <v/>
      </c>
      <c r="AZ426" s="105">
        <f>IFERROR(BI426*BN426,"")</f>
        <v/>
      </c>
      <c r="BA426" s="105" t="n"/>
      <c r="BB426" s="105" t="n"/>
      <c r="BC426" s="105">
        <f>IFERROR(BI426*BN426*BK426/BJ426^(1/2),"")</f>
        <v/>
      </c>
      <c r="BD426" s="105">
        <f>IFERROR(BH426*BM426*BL426/BJ426/BK426,"")</f>
        <v/>
      </c>
      <c r="BE426" s="105">
        <f>IFERROR(MIN(BI426/BQ426/BP426/BO426/BH426,$BE$1),"")</f>
        <v/>
      </c>
      <c r="BF426" s="105">
        <f>IFERROR(BJ426*BO426*BP426/BK426,"")</f>
        <v/>
      </c>
      <c r="BG426" s="105">
        <f>IFERROR(1/BM426/BH426*BQ426,"")</f>
        <v/>
      </c>
      <c r="BH426" s="102">
        <f>MAX((CE426-Driver!$F$200)/(Driver!$G$200-Driver!$F$200)*$BI$1,1)</f>
        <v/>
      </c>
      <c r="BI426" s="102">
        <f>MAX($BI$1*(BY426-Driver!$F$201)/(Driver!$G$201-Driver!$F$201),1)</f>
        <v/>
      </c>
      <c r="BJ426" s="102">
        <f>(CB426-Driver!$F$206)/(Driver!$G$206-Driver!$F$206)*$BI$1</f>
        <v/>
      </c>
      <c r="BK426" s="102">
        <f>(CD426-Driver!$F$203)/(Driver!$G$203-Driver!$F$203)*$BI$1</f>
        <v/>
      </c>
      <c r="BL426" s="102">
        <f>MAX((CR426-Driver!$F$202)/(Driver!$G$202-Driver!$F$202)*$BI$1,1)</f>
        <v/>
      </c>
      <c r="BM426" s="102">
        <f>MAX((CH426-Driver!$F$204)/(Driver!$G$204-Driver!$F$204)*$BI$1,1)</f>
        <v/>
      </c>
      <c r="BN426" s="102">
        <f>(CI426-Driver!$F$205)/(Driver!$G$205-Driver!$F$205)*$BI$1</f>
        <v/>
      </c>
      <c r="BO426" s="102">
        <f>(CK426-Driver!$F$207)/(Driver!$G$207-Driver!$F$207)*$BI$1</f>
        <v/>
      </c>
      <c r="BP426" s="102">
        <f>(CM426-Driver!$F$208)/(Driver!$G$208-Driver!$F$208)*$BI$1</f>
        <v/>
      </c>
      <c r="BQ426" s="102">
        <f>(CL426-Driver!$F$209)/(Driver!$G$209-Driver!$F$209)*$BI$1</f>
        <v/>
      </c>
      <c r="BR426" s="40" t="inlineStr">
        <is>
          <t>21/22</t>
        </is>
      </c>
      <c r="BS426" s="10" t="inlineStr">
        <is>
          <t xml:space="preserve"> Elan</t>
        </is>
      </c>
      <c r="BT426" s="11" t="inlineStr">
        <is>
          <t>Ripstick 102 W</t>
        </is>
      </c>
      <c r="BU426" s="13" t="n">
        <v>162</v>
      </c>
      <c r="BV426" s="11" t="inlineStr">
        <is>
          <t xml:space="preserve"> Women's</t>
        </is>
      </c>
      <c r="BW426" s="13" t="n">
        <v>162</v>
      </c>
      <c r="BX426" s="13" t="n">
        <v>161.8</v>
      </c>
      <c r="BY426" s="13" t="n">
        <v>106</v>
      </c>
      <c r="BZ426" s="13" t="n">
        <v>129</v>
      </c>
      <c r="CA426" s="13" t="n">
        <v>140</v>
      </c>
      <c r="CB426" s="13" t="n">
        <v>103</v>
      </c>
      <c r="CC426" s="13" t="n">
        <v>118</v>
      </c>
      <c r="CD426" s="13" t="n">
        <v>15.6</v>
      </c>
      <c r="CE426" s="13" t="n">
        <v>1581</v>
      </c>
      <c r="CF426" s="13" t="n">
        <v>1.17</v>
      </c>
      <c r="CG426" s="13" t="n">
        <v>1847</v>
      </c>
      <c r="CH426" s="13" t="n">
        <v>181</v>
      </c>
      <c r="CI426" s="13" t="n">
        <v>78</v>
      </c>
      <c r="CJ426" s="13" t="n">
        <v>54</v>
      </c>
      <c r="CK426" s="13" t="n">
        <v>320</v>
      </c>
      <c r="CL426" s="13" t="n">
        <v>22</v>
      </c>
      <c r="CM426" s="13" t="n">
        <v>241</v>
      </c>
      <c r="CN426" s="13" t="n">
        <v>0.402</v>
      </c>
      <c r="CO426" s="13" t="n">
        <v>166</v>
      </c>
      <c r="CP426" s="13" t="n">
        <v>164</v>
      </c>
      <c r="CQ426" s="13" t="n">
        <v>154</v>
      </c>
      <c r="CR426" s="13" t="n">
        <v>2</v>
      </c>
      <c r="CS426" s="13" t="n">
        <v>6.1</v>
      </c>
      <c r="CT426" s="11" t="inlineStr">
        <is>
          <t xml:space="preserve"> Resort Freeride</t>
        </is>
      </c>
      <c r="CU426" s="11" t="inlineStr">
        <is>
          <t xml:space="preserve"> Powder</t>
        </is>
      </c>
      <c r="CV426" s="11" t="inlineStr">
        <is>
          <t xml:space="preserve"> Touring</t>
        </is>
      </c>
      <c r="CW426" s="13" t="n"/>
      <c r="CX426">
        <f>INDEX('Data_Price '!AG$2:AG$1266,MATCH(Data!$DN426,'Data_Price '!$AT$2:$AT$1266,0))</f>
        <v/>
      </c>
      <c r="CY426">
        <f>INDEX('Data_Price '!AH$2:AH$1266,MATCH(Data!$DN426,'Data_Price '!$AT$2:$AT$1266,0))</f>
        <v/>
      </c>
      <c r="CZ426">
        <f>INDEX('Data_Price '!AI$2:AI$1266,MATCH(Data!$DN426,'Data_Price '!$AT$2:$AT$1266,0))</f>
        <v/>
      </c>
      <c r="DA426">
        <f>INDEX('Data_Price '!AJ$2:AJ$1266,MATCH(Data!$DN426,'Data_Price '!$AT$2:$AT$1266,0))</f>
        <v/>
      </c>
      <c r="DB426">
        <f>INDEX('Data_Price '!AK$2:AK$1266,MATCH(Data!$DN426,'Data_Price '!$AT$2:$AT$1266,0))</f>
        <v/>
      </c>
      <c r="DC426">
        <f>INDEX('Data_Price '!AL$2:AL$1266,MATCH(Data!$DN426,'Data_Price '!$AT$2:$AT$1266,0))</f>
        <v/>
      </c>
      <c r="DD426">
        <f>INDEX('Data_Price '!AM$2:AM$1266,MATCH(Data!$DN426,'Data_Price '!$AT$2:$AT$1266,0))</f>
        <v/>
      </c>
      <c r="DE426">
        <f>INDEX('Data_Price '!AN$2:AN$1266,MATCH(Data!$DN426,'Data_Price '!$AT$2:$AT$1266,0))</f>
        <v/>
      </c>
      <c r="DF426">
        <f>INDEX('Data_Price '!AO$2:AO$1266,MATCH(Data!$DN426,'Data_Price '!$AT$2:$AT$1266,0))</f>
        <v/>
      </c>
      <c r="DG426">
        <f>INDEX('Data_Price '!AP$2:AP$1266,MATCH(Data!$DN426,'Data_Price '!$AT$2:$AT$1266,0))</f>
        <v/>
      </c>
      <c r="DH426">
        <f>INDEX('Data_Price '!AQ$2:AQ$1266,MATCH(Data!$DN426,'Data_Price '!$AT$2:$AT$1266,0))</f>
        <v/>
      </c>
      <c r="DI426">
        <f>INDEX('Data_Price '!AR$2:AR$1266,MATCH(Data!$DN426,'Data_Price '!$AT$2:$AT$1266,0))</f>
        <v/>
      </c>
      <c r="DJ426" s="138">
        <f>DA426</f>
        <v/>
      </c>
      <c r="DK426" s="138">
        <f>DE426</f>
        <v/>
      </c>
      <c r="DL426" s="138">
        <f>DI426</f>
        <v/>
      </c>
      <c r="DM426" s="303">
        <f>IF(LEFT(BT426,1)=" ",RIGHT(BT426,LEN(BT426)-1),BT426)</f>
        <v/>
      </c>
      <c r="DN426" s="138">
        <f>_xlfn.CONCAT(BS426,DM426,BU426,BV426)</f>
        <v/>
      </c>
      <c r="DO426" s="307" t="n"/>
    </row>
    <row r="427" ht="15.6" customHeight="1" s="184">
      <c r="B427" s="303">
        <f t="array" ref="B427">IF(OR(ISERROR(K427:P427)),FALSE,TRUE)</f>
        <v/>
      </c>
      <c r="C427" s="60">
        <f>OR(BR427=Driver!$G$50,Data!BR869=Driver!$H$50)</f>
        <v/>
      </c>
      <c r="D427" s="60">
        <f>OR(BV427=Driver!$G$51,BV427=Driver!$H$51)</f>
        <v/>
      </c>
      <c r="E427" s="60">
        <f>AND(BX427&gt;Driver!$F$54,BX427&lt;Driver!$G$54)</f>
        <v/>
      </c>
      <c r="F427" s="60">
        <f>CL427&gt;Driver!$F$56</f>
        <v/>
      </c>
      <c r="G427" s="60">
        <f>AND(CB427&gt;Driver!$F$55,CB427&lt;Driver!$G$55)</f>
        <v/>
      </c>
      <c r="H427" s="60">
        <f>AND(B427:G427)</f>
        <v/>
      </c>
      <c r="I427" s="60">
        <f>COUNTIFS($H$9:$H$1273,TRUE,$BT$9:$BT$1273,BT427)</f>
        <v/>
      </c>
      <c r="J427" s="60">
        <f t="array" ref="J427">NOT(OR(($H$9:$H$1273=TRUE)*($I$9:$I$1273&gt;0)*($BT$9:$BT$1273=BT427)*($K$9:$K$1273&gt;K427)))</f>
        <v/>
      </c>
      <c r="K427" s="108">
        <f>IFERROR(1-AVERAGE(X427:Y427),"")</f>
        <v/>
      </c>
      <c r="L427" s="108">
        <f>1-X427</f>
        <v/>
      </c>
      <c r="M427" s="108">
        <f>1-Y427</f>
        <v/>
      </c>
      <c r="N427" s="108">
        <f>1-Z427</f>
        <v/>
      </c>
      <c r="O427" s="108">
        <f>1-AA427</f>
        <v/>
      </c>
      <c r="P427" s="108">
        <f>1-AB427</f>
        <v/>
      </c>
      <c r="Q427" s="108" t="n"/>
      <c r="R427" s="108" t="n"/>
      <c r="S427" s="108">
        <f>1-AE427</f>
        <v/>
      </c>
      <c r="T427" s="108">
        <f>1-AF427</f>
        <v/>
      </c>
      <c r="U427" s="108">
        <f>1-AG427</f>
        <v/>
      </c>
      <c r="V427" s="108">
        <f>1-AH427</f>
        <v/>
      </c>
      <c r="W427" s="108">
        <f>1-AI427</f>
        <v/>
      </c>
      <c r="X427" s="108">
        <f>ABS(AJ427-AJ$1)</f>
        <v/>
      </c>
      <c r="Y427" s="108">
        <f>AVERAGE(Z427:AB427)</f>
        <v/>
      </c>
      <c r="Z427" s="108">
        <f>ABS(AL427-AL$1)</f>
        <v/>
      </c>
      <c r="AA427" s="108">
        <f>ABS(AM427-AM$1)</f>
        <v/>
      </c>
      <c r="AB427" s="108">
        <f>ABS(AN427-AN$1)</f>
        <v/>
      </c>
      <c r="AC427" s="108" t="n"/>
      <c r="AD427" s="108" t="n"/>
      <c r="AE427" s="108">
        <f>ABS(AQ$1-AQ427)</f>
        <v/>
      </c>
      <c r="AF427" s="108">
        <f>ABS(AR$1-AR427)</f>
        <v/>
      </c>
      <c r="AG427" s="108">
        <f>ABS(AS$1-AS427)</f>
        <v/>
      </c>
      <c r="AH427" s="108">
        <f>ABS(AT$1-AT427)</f>
        <v/>
      </c>
      <c r="AI427" s="108">
        <f>ABS(AU$1-AU427)</f>
        <v/>
      </c>
      <c r="AJ427" s="108">
        <f>(AV427-Driver!$K$179)/(Driver!$L$179-Driver!$K$179)</f>
        <v/>
      </c>
      <c r="AK427" s="108">
        <f>(AW427-Driver!$K$180)/(Driver!$L$180-Driver!$K$180)</f>
        <v/>
      </c>
      <c r="AL427" s="108">
        <f>(AX427-Driver!$K$181)/(Driver!$L$181-Driver!$K$181)</f>
        <v/>
      </c>
      <c r="AM427" s="108">
        <f>(AY427-Driver!$K$182)/(Driver!$L$182-Driver!$K$182)</f>
        <v/>
      </c>
      <c r="AN427" s="108">
        <f>(AZ427-Driver!$K$183)/(Driver!$L$183-Driver!$K$183)</f>
        <v/>
      </c>
      <c r="AO427" s="108" t="n"/>
      <c r="AP427" s="108" t="n"/>
      <c r="AQ427" s="108">
        <f>(BC427-Driver!$K$188)/(Driver!$L$188-Driver!$K$188)</f>
        <v/>
      </c>
      <c r="AR427" s="108">
        <f>MIN((BD427-Driver!$K$189)/(Driver!$L$189-Driver!$K$189),100%)</f>
        <v/>
      </c>
      <c r="AS427" s="108">
        <f>(BE427-Driver!$K$190)/(Driver!$L$190-Driver!$K$190)</f>
        <v/>
      </c>
      <c r="AT427" s="108">
        <f>(BF427-Driver!$K$191)/(Driver!$L$191-Driver!$K$191)</f>
        <v/>
      </c>
      <c r="AU427" s="108">
        <f>(BG427-Driver!$K$192)/(Driver!$L$192-Driver!$K$192)</f>
        <v/>
      </c>
      <c r="AV427" s="105">
        <f>IFERROR(BM427*BJ427^1/4,"")</f>
        <v/>
      </c>
      <c r="AW427" s="105">
        <f>IFERROR(SUM(AX427:AZ427),"")</f>
        <v/>
      </c>
      <c r="AX427" s="105">
        <f>IFERROR(BH427,"")</f>
        <v/>
      </c>
      <c r="AY427" s="105">
        <f>IFERROR(Driver!$K$19/Data!BH427/Data!BI427*Data!BK427*Data!BL427,"")</f>
        <v/>
      </c>
      <c r="AZ427" s="105">
        <f>IFERROR(BI427*BN427,"")</f>
        <v/>
      </c>
      <c r="BA427" s="105" t="n"/>
      <c r="BB427" s="105" t="n"/>
      <c r="BC427" s="105">
        <f>IFERROR(BI427*BN427*BK427/BJ427^(1/2),"")</f>
        <v/>
      </c>
      <c r="BD427" s="105">
        <f>IFERROR(BH427*BM427*BL427/BJ427/BK427,"")</f>
        <v/>
      </c>
      <c r="BE427" s="105">
        <f>IFERROR(MIN(BI427/BQ427/BP427/BO427/BH427,$BE$1),"")</f>
        <v/>
      </c>
      <c r="BF427" s="105">
        <f>IFERROR(BJ427*BO427*BP427/BK427,"")</f>
        <v/>
      </c>
      <c r="BG427" s="105">
        <f>IFERROR(1/BM427/BH427*BQ427,"")</f>
        <v/>
      </c>
      <c r="BH427" s="102">
        <f>MAX((CE427-Driver!$F$200)/(Driver!$G$200-Driver!$F$200)*$BI$1,1)</f>
        <v/>
      </c>
      <c r="BI427" s="102">
        <f>MAX($BI$1*(BY427-Driver!$F$201)/(Driver!$G$201-Driver!$F$201),1)</f>
        <v/>
      </c>
      <c r="BJ427" s="102">
        <f>(CB427-Driver!$F$206)/(Driver!$G$206-Driver!$F$206)*$BI$1</f>
        <v/>
      </c>
      <c r="BK427" s="102">
        <f>(CD427-Driver!$F$203)/(Driver!$G$203-Driver!$F$203)*$BI$1</f>
        <v/>
      </c>
      <c r="BL427" s="102">
        <f>MAX((CR427-Driver!$F$202)/(Driver!$G$202-Driver!$F$202)*$BI$1,1)</f>
        <v/>
      </c>
      <c r="BM427" s="102">
        <f>MAX((CH427-Driver!$F$204)/(Driver!$G$204-Driver!$F$204)*$BI$1,1)</f>
        <v/>
      </c>
      <c r="BN427" s="102">
        <f>(CI427-Driver!$F$205)/(Driver!$G$205-Driver!$F$205)*$BI$1</f>
        <v/>
      </c>
      <c r="BO427" s="102">
        <f>(CK427-Driver!$F$207)/(Driver!$G$207-Driver!$F$207)*$BI$1</f>
        <v/>
      </c>
      <c r="BP427" s="102">
        <f>(CM427-Driver!$F$208)/(Driver!$G$208-Driver!$F$208)*$BI$1</f>
        <v/>
      </c>
      <c r="BQ427" s="102">
        <f>(CL427-Driver!$F$209)/(Driver!$G$209-Driver!$F$209)*$BI$1</f>
        <v/>
      </c>
      <c r="BR427" s="40" t="inlineStr">
        <is>
          <t>21/22</t>
        </is>
      </c>
      <c r="BS427" s="10" t="inlineStr">
        <is>
          <t xml:space="preserve"> Line</t>
        </is>
      </c>
      <c r="BT427" s="11" t="inlineStr">
        <is>
          <t xml:space="preserve"> Sir Francis Bacon</t>
        </is>
      </c>
      <c r="BU427" s="13" t="n">
        <v>184</v>
      </c>
      <c r="BV427" s="11" t="inlineStr">
        <is>
          <t xml:space="preserve"> Unisex</t>
        </is>
      </c>
      <c r="BW427" s="13" t="n">
        <v>184</v>
      </c>
      <c r="BX427" s="13" t="n">
        <v>183.2</v>
      </c>
      <c r="BY427" s="13" t="n">
        <v>134</v>
      </c>
      <c r="BZ427" s="13" t="n">
        <v>150</v>
      </c>
      <c r="CA427" s="13" t="n">
        <v>142</v>
      </c>
      <c r="CB427" s="13" t="n">
        <v>106</v>
      </c>
      <c r="CC427" s="13" t="n">
        <v>138</v>
      </c>
      <c r="CD427" s="13" t="n">
        <v>16.6</v>
      </c>
      <c r="CE427" s="13" t="n">
        <v>1801</v>
      </c>
      <c r="CF427" s="13" t="n">
        <v>1.17</v>
      </c>
      <c r="CG427" s="13" t="n">
        <v>2110</v>
      </c>
      <c r="CH427" s="13" t="n">
        <v>155</v>
      </c>
      <c r="CI427" s="13" t="n">
        <v>85</v>
      </c>
      <c r="CJ427" s="13" t="n">
        <v>40</v>
      </c>
      <c r="CK427" s="13" t="n">
        <v>303</v>
      </c>
      <c r="CL427" s="13" t="n">
        <v>41</v>
      </c>
      <c r="CM427" s="13" t="n">
        <v>191</v>
      </c>
      <c r="CN427" s="13" t="n">
        <v>1.025</v>
      </c>
      <c r="CO427" s="13" t="n">
        <v>160</v>
      </c>
      <c r="CP427" s="13" t="n">
        <v>176</v>
      </c>
      <c r="CQ427" s="13" t="n">
        <v>143</v>
      </c>
      <c r="CR427" s="13" t="n">
        <v>7</v>
      </c>
      <c r="CS427" s="13" t="n">
        <v>2.4</v>
      </c>
      <c r="CT427" s="11" t="inlineStr">
        <is>
          <t xml:space="preserve"> Freeski</t>
        </is>
      </c>
      <c r="CU427" s="11" t="inlineStr">
        <is>
          <t xml:space="preserve"> Powder</t>
        </is>
      </c>
      <c r="CV427" s="11" t="inlineStr">
        <is>
          <t xml:space="preserve"> Touring</t>
        </is>
      </c>
      <c r="CW427" s="13" t="n"/>
      <c r="CX427">
        <f>INDEX('Data_Price '!AG$2:AG$1266,MATCH(Data!$DN427,'Data_Price '!$AT$2:$AT$1266,0))</f>
        <v/>
      </c>
      <c r="CY427">
        <f>INDEX('Data_Price '!AH$2:AH$1266,MATCH(Data!$DN427,'Data_Price '!$AT$2:$AT$1266,0))</f>
        <v/>
      </c>
      <c r="CZ427">
        <f>INDEX('Data_Price '!AI$2:AI$1266,MATCH(Data!$DN427,'Data_Price '!$AT$2:$AT$1266,0))</f>
        <v/>
      </c>
      <c r="DA427">
        <f>INDEX('Data_Price '!AJ$2:AJ$1266,MATCH(Data!$DN427,'Data_Price '!$AT$2:$AT$1266,0))</f>
        <v/>
      </c>
      <c r="DB427">
        <f>INDEX('Data_Price '!AK$2:AK$1266,MATCH(Data!$DN427,'Data_Price '!$AT$2:$AT$1266,0))</f>
        <v/>
      </c>
      <c r="DC427">
        <f>INDEX('Data_Price '!AL$2:AL$1266,MATCH(Data!$DN427,'Data_Price '!$AT$2:$AT$1266,0))</f>
        <v/>
      </c>
      <c r="DD427">
        <f>INDEX('Data_Price '!AM$2:AM$1266,MATCH(Data!$DN427,'Data_Price '!$AT$2:$AT$1266,0))</f>
        <v/>
      </c>
      <c r="DE427">
        <f>INDEX('Data_Price '!AN$2:AN$1266,MATCH(Data!$DN427,'Data_Price '!$AT$2:$AT$1266,0))</f>
        <v/>
      </c>
      <c r="DF427">
        <f>INDEX('Data_Price '!AO$2:AO$1266,MATCH(Data!$DN427,'Data_Price '!$AT$2:$AT$1266,0))</f>
        <v/>
      </c>
      <c r="DG427">
        <f>INDEX('Data_Price '!AP$2:AP$1266,MATCH(Data!$DN427,'Data_Price '!$AT$2:$AT$1266,0))</f>
        <v/>
      </c>
      <c r="DH427">
        <f>INDEX('Data_Price '!AQ$2:AQ$1266,MATCH(Data!$DN427,'Data_Price '!$AT$2:$AT$1266,0))</f>
        <v/>
      </c>
      <c r="DI427">
        <f>INDEX('Data_Price '!AR$2:AR$1266,MATCH(Data!$DN427,'Data_Price '!$AT$2:$AT$1266,0))</f>
        <v/>
      </c>
      <c r="DJ427" s="138">
        <f>DA427</f>
        <v/>
      </c>
      <c r="DK427" s="138">
        <f>DE427</f>
        <v/>
      </c>
      <c r="DL427" s="138">
        <f>DI427</f>
        <v/>
      </c>
      <c r="DM427" s="303">
        <f>IF(LEFT(BT427,1)=" ",RIGHT(BT427,LEN(BT427)-1),BT427)</f>
        <v/>
      </c>
      <c r="DN427" s="138">
        <f>_xlfn.CONCAT(BS427,DM427,BU427,BV427)</f>
        <v/>
      </c>
      <c r="DO427" s="307" t="inlineStr">
        <is>
          <t>https://images.evo.com/imgp/250/197208/792879/line-skis-sir-francis-bacon-skis-2022-.jpg</t>
        </is>
      </c>
    </row>
    <row r="428" ht="15.6" customHeight="1" s="184">
      <c r="B428" s="303">
        <f t="array" ref="B428">IF(OR(ISERROR(K428:P428)),FALSE,TRUE)</f>
        <v/>
      </c>
      <c r="C428" s="60">
        <f>OR(BR428=Driver!$G$50,Data!BR724=Driver!$H$50)</f>
        <v/>
      </c>
      <c r="D428" s="60">
        <f>OR(BV428=Driver!$G$51,BV428=Driver!$H$51)</f>
        <v/>
      </c>
      <c r="E428" s="60">
        <f>AND(BX428&gt;Driver!$F$54,BX428&lt;Driver!$G$54)</f>
        <v/>
      </c>
      <c r="F428" s="60">
        <f>CL428&gt;Driver!$F$56</f>
        <v/>
      </c>
      <c r="G428" s="60">
        <f>AND(CB428&gt;Driver!$F$55,CB428&lt;Driver!$G$55)</f>
        <v/>
      </c>
      <c r="H428" s="60">
        <f>AND(B428:G428)</f>
        <v/>
      </c>
      <c r="I428" s="60">
        <f>COUNTIFS($H$9:$H$1273,TRUE,$BT$9:$BT$1273,BT428)</f>
        <v/>
      </c>
      <c r="J428" s="60">
        <f t="array" ref="J428">NOT(OR(($H$9:$H$1273=TRUE)*($I$9:$I$1273&gt;0)*($BT$9:$BT$1273=BT428)*($K$9:$K$1273&gt;K428)))</f>
        <v/>
      </c>
      <c r="K428" s="108">
        <f>IFERROR(1-AVERAGE(X428:Y428),"")</f>
        <v/>
      </c>
      <c r="L428" s="108">
        <f>1-X428</f>
        <v/>
      </c>
      <c r="M428" s="108">
        <f>1-Y428</f>
        <v/>
      </c>
      <c r="N428" s="108">
        <f>1-Z428</f>
        <v/>
      </c>
      <c r="O428" s="108">
        <f>1-AA428</f>
        <v/>
      </c>
      <c r="P428" s="108">
        <f>1-AB428</f>
        <v/>
      </c>
      <c r="Q428" s="108" t="n"/>
      <c r="R428" s="108" t="n"/>
      <c r="S428" s="108">
        <f>1-AE428</f>
        <v/>
      </c>
      <c r="T428" s="108">
        <f>1-AF428</f>
        <v/>
      </c>
      <c r="U428" s="108">
        <f>1-AG428</f>
        <v/>
      </c>
      <c r="V428" s="108">
        <f>1-AH428</f>
        <v/>
      </c>
      <c r="W428" s="108">
        <f>1-AI428</f>
        <v/>
      </c>
      <c r="X428" s="108">
        <f>ABS(AJ428-AJ$1)</f>
        <v/>
      </c>
      <c r="Y428" s="108">
        <f>AVERAGE(Z428:AB428)</f>
        <v/>
      </c>
      <c r="Z428" s="108">
        <f>ABS(AL428-AL$1)</f>
        <v/>
      </c>
      <c r="AA428" s="108">
        <f>ABS(AM428-AM$1)</f>
        <v/>
      </c>
      <c r="AB428" s="108">
        <f>ABS(AN428-AN$1)</f>
        <v/>
      </c>
      <c r="AC428" s="108" t="n"/>
      <c r="AD428" s="108" t="n"/>
      <c r="AE428" s="108">
        <f>ABS(AQ$1-AQ428)</f>
        <v/>
      </c>
      <c r="AF428" s="108">
        <f>ABS(AR$1-AR428)</f>
        <v/>
      </c>
      <c r="AG428" s="108">
        <f>ABS(AS$1-AS428)</f>
        <v/>
      </c>
      <c r="AH428" s="108">
        <f>ABS(AT$1-AT428)</f>
        <v/>
      </c>
      <c r="AI428" s="108">
        <f>ABS(AU$1-AU428)</f>
        <v/>
      </c>
      <c r="AJ428" s="108">
        <f>(AV428-Driver!$K$179)/(Driver!$L$179-Driver!$K$179)</f>
        <v/>
      </c>
      <c r="AK428" s="108">
        <f>(AW428-Driver!$K$180)/(Driver!$L$180-Driver!$K$180)</f>
        <v/>
      </c>
      <c r="AL428" s="108">
        <f>(AX428-Driver!$K$181)/(Driver!$L$181-Driver!$K$181)</f>
        <v/>
      </c>
      <c r="AM428" s="108">
        <f>(AY428-Driver!$K$182)/(Driver!$L$182-Driver!$K$182)</f>
        <v/>
      </c>
      <c r="AN428" s="108">
        <f>(AZ428-Driver!$K$183)/(Driver!$L$183-Driver!$K$183)</f>
        <v/>
      </c>
      <c r="AO428" s="108" t="n"/>
      <c r="AP428" s="108" t="n"/>
      <c r="AQ428" s="108">
        <f>(BC428-Driver!$K$188)/(Driver!$L$188-Driver!$K$188)</f>
        <v/>
      </c>
      <c r="AR428" s="108">
        <f>MIN((BD428-Driver!$K$189)/(Driver!$L$189-Driver!$K$189),100%)</f>
        <v/>
      </c>
      <c r="AS428" s="108">
        <f>(BE428-Driver!$K$190)/(Driver!$L$190-Driver!$K$190)</f>
        <v/>
      </c>
      <c r="AT428" s="108">
        <f>(BF428-Driver!$K$191)/(Driver!$L$191-Driver!$K$191)</f>
        <v/>
      </c>
      <c r="AU428" s="108">
        <f>(BG428-Driver!$K$192)/(Driver!$L$192-Driver!$K$192)</f>
        <v/>
      </c>
      <c r="AV428" s="105">
        <f>IFERROR(BM428*BJ428^1/4,"")</f>
        <v/>
      </c>
      <c r="AW428" s="105">
        <f>IFERROR(SUM(AX428:AZ428),"")</f>
        <v/>
      </c>
      <c r="AX428" s="105">
        <f>IFERROR(BH428,"")</f>
        <v/>
      </c>
      <c r="AY428" s="105">
        <f>IFERROR(Driver!$K$19/Data!BH428/Data!BI428*Data!BK428*Data!BL428,"")</f>
        <v/>
      </c>
      <c r="AZ428" s="105">
        <f>IFERROR(BI428*BN428,"")</f>
        <v/>
      </c>
      <c r="BA428" s="105" t="n"/>
      <c r="BB428" s="105" t="n"/>
      <c r="BC428" s="105">
        <f>IFERROR(BI428*BN428*BK428/BJ428^(1/2),"")</f>
        <v/>
      </c>
      <c r="BD428" s="105">
        <f>IFERROR(BH428*BM428*BL428/BJ428/BK428,"")</f>
        <v/>
      </c>
      <c r="BE428" s="105">
        <f>IFERROR(MIN(BI428/BQ428/BP428/BO428/BH428,$BE$1),"")</f>
        <v/>
      </c>
      <c r="BF428" s="105">
        <f>IFERROR(BJ428*BO428*BP428/BK428,"")</f>
        <v/>
      </c>
      <c r="BG428" s="105">
        <f>IFERROR(1/BM428/BH428*BQ428,"")</f>
        <v/>
      </c>
      <c r="BH428" s="102">
        <f>MAX((CE428-Driver!$F$200)/(Driver!$G$200-Driver!$F$200)*$BI$1,1)</f>
        <v/>
      </c>
      <c r="BI428" s="102">
        <f>MAX($BI$1*(BY428-Driver!$F$201)/(Driver!$G$201-Driver!$F$201),1)</f>
        <v/>
      </c>
      <c r="BJ428" s="102">
        <f>(CB428-Driver!$F$206)/(Driver!$G$206-Driver!$F$206)*$BI$1</f>
        <v/>
      </c>
      <c r="BK428" s="102">
        <f>(CD428-Driver!$F$203)/(Driver!$G$203-Driver!$F$203)*$BI$1</f>
        <v/>
      </c>
      <c r="BL428" s="102">
        <f>MAX((CR428-Driver!$F$202)/(Driver!$G$202-Driver!$F$202)*$BI$1,1)</f>
        <v/>
      </c>
      <c r="BM428" s="102">
        <f>MAX((CH428-Driver!$F$204)/(Driver!$G$204-Driver!$F$204)*$BI$1,1)</f>
        <v/>
      </c>
      <c r="BN428" s="102">
        <f>(CI428-Driver!$F$205)/(Driver!$G$205-Driver!$F$205)*$BI$1</f>
        <v/>
      </c>
      <c r="BO428" s="102">
        <f>(CK428-Driver!$F$207)/(Driver!$G$207-Driver!$F$207)*$BI$1</f>
        <v/>
      </c>
      <c r="BP428" s="102">
        <f>(CM428-Driver!$F$208)/(Driver!$G$208-Driver!$F$208)*$BI$1</f>
        <v/>
      </c>
      <c r="BQ428" s="102">
        <f>(CL428-Driver!$F$209)/(Driver!$G$209-Driver!$F$209)*$BI$1</f>
        <v/>
      </c>
      <c r="BR428" s="40" t="inlineStr">
        <is>
          <t>21/22</t>
        </is>
      </c>
      <c r="BS428" s="10" t="inlineStr">
        <is>
          <t xml:space="preserve"> K2</t>
        </is>
      </c>
      <c r="BT428" s="11" t="inlineStr">
        <is>
          <t>Mindbender 116 C</t>
        </is>
      </c>
      <c r="BU428" s="13" t="n">
        <v>186</v>
      </c>
      <c r="BV428" s="11" t="inlineStr">
        <is>
          <t xml:space="preserve"> Unisex</t>
        </is>
      </c>
      <c r="BW428" s="13" t="n">
        <v>186</v>
      </c>
      <c r="BX428" s="13" t="n">
        <v>186</v>
      </c>
      <c r="BY428" s="13" t="n">
        <v>113</v>
      </c>
      <c r="BZ428" s="13" t="n">
        <v>146</v>
      </c>
      <c r="CA428" s="13" t="n">
        <v>143</v>
      </c>
      <c r="CB428" s="13" t="n">
        <v>115</v>
      </c>
      <c r="CC428" s="13" t="n">
        <v>132</v>
      </c>
      <c r="CD428" s="13" t="n">
        <v>23.4</v>
      </c>
      <c r="CE428" s="13" t="n">
        <v>1995</v>
      </c>
      <c r="CF428" s="13" t="n">
        <v>1.15</v>
      </c>
      <c r="CG428" s="13" t="n">
        <v>2298</v>
      </c>
      <c r="CH428" s="13" t="n">
        <v>211</v>
      </c>
      <c r="CI428" s="13" t="n">
        <v>132</v>
      </c>
      <c r="CJ428" s="13" t="n">
        <v>58</v>
      </c>
      <c r="CK428" s="13" t="n">
        <v>476</v>
      </c>
      <c r="CL428" s="13" t="n">
        <v>25</v>
      </c>
      <c r="CM428" s="13" t="n">
        <v>254</v>
      </c>
      <c r="CN428" s="13" t="n">
        <v>0.431</v>
      </c>
      <c r="CO428" s="13" t="n">
        <v>213</v>
      </c>
      <c r="CP428" s="13" t="n">
        <v>185</v>
      </c>
      <c r="CQ428" s="13" t="n">
        <v>264</v>
      </c>
      <c r="CR428" s="13" t="n">
        <v>4</v>
      </c>
      <c r="CS428" s="13" t="n">
        <v>10.1</v>
      </c>
      <c r="CT428" s="11" t="inlineStr">
        <is>
          <t xml:space="preserve"> Powder</t>
        </is>
      </c>
      <c r="CU428" s="11" t="inlineStr">
        <is>
          <t xml:space="preserve"> Touring</t>
        </is>
      </c>
      <c r="CV428" s="13" t="n"/>
      <c r="CW428" s="13" t="n"/>
      <c r="CX428">
        <f>INDEX('Data_Price '!AG$2:AG$1266,MATCH(Data!$DN428,'Data_Price '!$AT$2:$AT$1266,0))</f>
        <v/>
      </c>
      <c r="CY428">
        <f>INDEX('Data_Price '!AH$2:AH$1266,MATCH(Data!$DN428,'Data_Price '!$AT$2:$AT$1266,0))</f>
        <v/>
      </c>
      <c r="CZ428">
        <f>INDEX('Data_Price '!AI$2:AI$1266,MATCH(Data!$DN428,'Data_Price '!$AT$2:$AT$1266,0))</f>
        <v/>
      </c>
      <c r="DA428">
        <f>INDEX('Data_Price '!AJ$2:AJ$1266,MATCH(Data!$DN428,'Data_Price '!$AT$2:$AT$1266,0))</f>
        <v/>
      </c>
      <c r="DB428">
        <f>INDEX('Data_Price '!AK$2:AK$1266,MATCH(Data!$DN428,'Data_Price '!$AT$2:$AT$1266,0))</f>
        <v/>
      </c>
      <c r="DC428">
        <f>INDEX('Data_Price '!AL$2:AL$1266,MATCH(Data!$DN428,'Data_Price '!$AT$2:$AT$1266,0))</f>
        <v/>
      </c>
      <c r="DD428">
        <f>INDEX('Data_Price '!AM$2:AM$1266,MATCH(Data!$DN428,'Data_Price '!$AT$2:$AT$1266,0))</f>
        <v/>
      </c>
      <c r="DE428">
        <f>INDEX('Data_Price '!AN$2:AN$1266,MATCH(Data!$DN428,'Data_Price '!$AT$2:$AT$1266,0))</f>
        <v/>
      </c>
      <c r="DF428">
        <f>INDEX('Data_Price '!AO$2:AO$1266,MATCH(Data!$DN428,'Data_Price '!$AT$2:$AT$1266,0))</f>
        <v/>
      </c>
      <c r="DG428">
        <f>INDEX('Data_Price '!AP$2:AP$1266,MATCH(Data!$DN428,'Data_Price '!$AT$2:$AT$1266,0))</f>
        <v/>
      </c>
      <c r="DH428">
        <f>INDEX('Data_Price '!AQ$2:AQ$1266,MATCH(Data!$DN428,'Data_Price '!$AT$2:$AT$1266,0))</f>
        <v/>
      </c>
      <c r="DI428">
        <f>INDEX('Data_Price '!AR$2:AR$1266,MATCH(Data!$DN428,'Data_Price '!$AT$2:$AT$1266,0))</f>
        <v/>
      </c>
      <c r="DJ428" s="138">
        <f>DA428</f>
        <v/>
      </c>
      <c r="DK428" s="138">
        <f>DE428</f>
        <v/>
      </c>
      <c r="DL428" s="138">
        <f>DI428</f>
        <v/>
      </c>
      <c r="DM428" s="303">
        <f>IF(LEFT(BT428,1)=" ",RIGHT(BT428,LEN(BT428)-1),BT428)</f>
        <v/>
      </c>
      <c r="DN428" s="138">
        <f>_xlfn.CONCAT(BS428,DM428,BU428,BV428)</f>
        <v/>
      </c>
      <c r="DO428" s="307" t="inlineStr">
        <is>
          <t>https://images.evo.com/imgp/250/201036/824959/k2-mindbender-116-c-skis-2022-.jpg</t>
        </is>
      </c>
    </row>
    <row r="429" ht="15.6" customHeight="1" s="184">
      <c r="B429" s="303">
        <f t="array" ref="B429">IF(OR(ISERROR(K429:P429)),FALSE,TRUE)</f>
        <v/>
      </c>
      <c r="C429" s="60">
        <f>OR(BR429=Driver!$G$50,Data!BR1141=Driver!$H$50)</f>
        <v/>
      </c>
      <c r="D429" s="60">
        <f>OR(BV429=Driver!$G$51,BV429=Driver!$H$51)</f>
        <v/>
      </c>
      <c r="E429" s="60">
        <f>AND(BX429&gt;Driver!$F$54,BX429&lt;Driver!$G$54)</f>
        <v/>
      </c>
      <c r="F429" s="60">
        <f>CL429&gt;Driver!$F$56</f>
        <v/>
      </c>
      <c r="G429" s="60">
        <f>AND(CB429&gt;Driver!$F$55,CB429&lt;Driver!$G$55)</f>
        <v/>
      </c>
      <c r="H429" s="60">
        <f>AND(B429:G429)</f>
        <v/>
      </c>
      <c r="I429" s="60">
        <f>COUNTIFS($H$9:$H$1273,TRUE,$BT$9:$BT$1273,BT429)</f>
        <v/>
      </c>
      <c r="J429" s="60">
        <f t="array" ref="J429">NOT(OR(($H$9:$H$1273=TRUE)*($I$9:$I$1273&gt;0)*($BT$9:$BT$1273=BT429)*($K$9:$K$1273&gt;K429)))</f>
        <v/>
      </c>
      <c r="K429" s="108">
        <f>IFERROR(1-AVERAGE(X429:Y429),"")</f>
        <v/>
      </c>
      <c r="L429" s="108">
        <f>1-X429</f>
        <v/>
      </c>
      <c r="M429" s="108">
        <f>1-Y429</f>
        <v/>
      </c>
      <c r="N429" s="108">
        <f>1-Z429</f>
        <v/>
      </c>
      <c r="O429" s="108">
        <f>1-AA429</f>
        <v/>
      </c>
      <c r="P429" s="108">
        <f>1-AB429</f>
        <v/>
      </c>
      <c r="Q429" s="108" t="n"/>
      <c r="R429" s="108" t="n"/>
      <c r="S429" s="108">
        <f>1-AE429</f>
        <v/>
      </c>
      <c r="T429" s="108">
        <f>1-AF429</f>
        <v/>
      </c>
      <c r="U429" s="108">
        <f>1-AG429</f>
        <v/>
      </c>
      <c r="V429" s="108">
        <f>1-AH429</f>
        <v/>
      </c>
      <c r="W429" s="108">
        <f>1-AI429</f>
        <v/>
      </c>
      <c r="X429" s="108">
        <f>ABS(AJ429-AJ$1)</f>
        <v/>
      </c>
      <c r="Y429" s="108">
        <f>AVERAGE(Z429:AB429)</f>
        <v/>
      </c>
      <c r="Z429" s="108">
        <f>ABS(AL429-AL$1)</f>
        <v/>
      </c>
      <c r="AA429" s="108">
        <f>ABS(AM429-AM$1)</f>
        <v/>
      </c>
      <c r="AB429" s="108">
        <f>ABS(AN429-AN$1)</f>
        <v/>
      </c>
      <c r="AC429" s="108" t="n"/>
      <c r="AD429" s="108" t="n"/>
      <c r="AE429" s="108">
        <f>ABS(AQ$1-AQ429)</f>
        <v/>
      </c>
      <c r="AF429" s="108">
        <f>ABS(AR$1-AR429)</f>
        <v/>
      </c>
      <c r="AG429" s="108">
        <f>ABS(AS$1-AS429)</f>
        <v/>
      </c>
      <c r="AH429" s="108">
        <f>ABS(AT$1-AT429)</f>
        <v/>
      </c>
      <c r="AI429" s="108">
        <f>ABS(AU$1-AU429)</f>
        <v/>
      </c>
      <c r="AJ429" s="108">
        <f>(AV429-Driver!$K$179)/(Driver!$L$179-Driver!$K$179)</f>
        <v/>
      </c>
      <c r="AK429" s="108">
        <f>(AW429-Driver!$K$180)/(Driver!$L$180-Driver!$K$180)</f>
        <v/>
      </c>
      <c r="AL429" s="108">
        <f>(AX429-Driver!$K$181)/(Driver!$L$181-Driver!$K$181)</f>
        <v/>
      </c>
      <c r="AM429" s="108">
        <f>(AY429-Driver!$K$182)/(Driver!$L$182-Driver!$K$182)</f>
        <v/>
      </c>
      <c r="AN429" s="108">
        <f>(AZ429-Driver!$K$183)/(Driver!$L$183-Driver!$K$183)</f>
        <v/>
      </c>
      <c r="AO429" s="108" t="n"/>
      <c r="AP429" s="108" t="n"/>
      <c r="AQ429" s="108">
        <f>(BC429-Driver!$K$188)/(Driver!$L$188-Driver!$K$188)</f>
        <v/>
      </c>
      <c r="AR429" s="108">
        <f>MIN((BD429-Driver!$K$189)/(Driver!$L$189-Driver!$K$189),100%)</f>
        <v/>
      </c>
      <c r="AS429" s="108">
        <f>(BE429-Driver!$K$190)/(Driver!$L$190-Driver!$K$190)</f>
        <v/>
      </c>
      <c r="AT429" s="108">
        <f>(BF429-Driver!$K$191)/(Driver!$L$191-Driver!$K$191)</f>
        <v/>
      </c>
      <c r="AU429" s="108">
        <f>(BG429-Driver!$K$192)/(Driver!$L$192-Driver!$K$192)</f>
        <v/>
      </c>
      <c r="AV429" s="105">
        <f>IFERROR(BM429*BJ429^1/4,"")</f>
        <v/>
      </c>
      <c r="AW429" s="105">
        <f>IFERROR(SUM(AX429:AZ429),"")</f>
        <v/>
      </c>
      <c r="AX429" s="105">
        <f>IFERROR(BH429,"")</f>
        <v/>
      </c>
      <c r="AY429" s="105">
        <f>IFERROR(Driver!$K$19/Data!BH429/Data!BI429*Data!BK429*Data!BL429,"")</f>
        <v/>
      </c>
      <c r="AZ429" s="105">
        <f>IFERROR(BI429*BN429,"")</f>
        <v/>
      </c>
      <c r="BA429" s="105" t="n"/>
      <c r="BB429" s="105" t="n"/>
      <c r="BC429" s="105">
        <f>IFERROR(BI429*BN429*BK429/BJ429^(1/2),"")</f>
        <v/>
      </c>
      <c r="BD429" s="105">
        <f>IFERROR(BH429*BM429*BL429/BJ429/BK429,"")</f>
        <v/>
      </c>
      <c r="BE429" s="105">
        <f>IFERROR(MIN(BI429/BQ429/BP429/BO429/BH429,$BE$1),"")</f>
        <v/>
      </c>
      <c r="BF429" s="105">
        <f>IFERROR(BJ429*BO429*BP429/BK429,"")</f>
        <v/>
      </c>
      <c r="BG429" s="105">
        <f>IFERROR(1/BM429/BH429*BQ429,"")</f>
        <v/>
      </c>
      <c r="BH429" s="102">
        <f>MAX((CE429-Driver!$F$200)/(Driver!$G$200-Driver!$F$200)*$BI$1,1)</f>
        <v/>
      </c>
      <c r="BI429" s="102">
        <f>MAX($BI$1*(BY429-Driver!$F$201)/(Driver!$G$201-Driver!$F$201),1)</f>
        <v/>
      </c>
      <c r="BJ429" s="102">
        <f>(CB429-Driver!$F$206)/(Driver!$G$206-Driver!$F$206)*$BI$1</f>
        <v/>
      </c>
      <c r="BK429" s="102">
        <f>(CD429-Driver!$F$203)/(Driver!$G$203-Driver!$F$203)*$BI$1</f>
        <v/>
      </c>
      <c r="BL429" s="102">
        <f>MAX((CR429-Driver!$F$202)/(Driver!$G$202-Driver!$F$202)*$BI$1,1)</f>
        <v/>
      </c>
      <c r="BM429" s="102">
        <f>MAX((CH429-Driver!$F$204)/(Driver!$G$204-Driver!$F$204)*$BI$1,1)</f>
        <v/>
      </c>
      <c r="BN429" s="102">
        <f>(CI429-Driver!$F$205)/(Driver!$G$205-Driver!$F$205)*$BI$1</f>
        <v/>
      </c>
      <c r="BO429" s="102">
        <f>(CK429-Driver!$F$207)/(Driver!$G$207-Driver!$F$207)*$BI$1</f>
        <v/>
      </c>
      <c r="BP429" s="102">
        <f>(CM429-Driver!$F$208)/(Driver!$G$208-Driver!$F$208)*$BI$1</f>
        <v/>
      </c>
      <c r="BQ429" s="102">
        <f>(CL429-Driver!$F$209)/(Driver!$G$209-Driver!$F$209)*$BI$1</f>
        <v/>
      </c>
      <c r="BR429" s="40" t="inlineStr">
        <is>
          <t>21/22</t>
        </is>
      </c>
      <c r="BS429" s="10" t="inlineStr">
        <is>
          <t xml:space="preserve"> Stöckli</t>
        </is>
      </c>
      <c r="BT429" s="11" t="inlineStr">
        <is>
          <t>Stormrider 88</t>
        </is>
      </c>
      <c r="BU429" s="13" t="n">
        <v>175</v>
      </c>
      <c r="BV429" s="11" t="inlineStr">
        <is>
          <t xml:space="preserve"> Unisex</t>
        </is>
      </c>
      <c r="BW429" s="13" t="n">
        <v>175</v>
      </c>
      <c r="BX429" s="13" t="n">
        <v>174.2</v>
      </c>
      <c r="BY429" s="13" t="n">
        <v>148</v>
      </c>
      <c r="BZ429" s="13" t="n">
        <v>155</v>
      </c>
      <c r="CA429" s="13" t="n">
        <v>128</v>
      </c>
      <c r="CB429" s="13" t="n">
        <v>88</v>
      </c>
      <c r="CC429" s="13" t="n">
        <v>113</v>
      </c>
      <c r="CD429" s="13" t="n">
        <v>18.1</v>
      </c>
      <c r="CE429" s="13" t="n">
        <v>1741</v>
      </c>
      <c r="CF429" s="13" t="n">
        <v>1</v>
      </c>
      <c r="CG429" s="13" t="n">
        <v>1743</v>
      </c>
      <c r="CH429" s="13" t="n">
        <v>188</v>
      </c>
      <c r="CI429" s="13" t="n">
        <v>104</v>
      </c>
      <c r="CJ429" s="13" t="n">
        <v>42</v>
      </c>
      <c r="CK429" s="13" t="n">
        <v>183</v>
      </c>
      <c r="CL429" s="13" t="n">
        <v>9</v>
      </c>
      <c r="CM429" s="13" t="n">
        <v>76</v>
      </c>
      <c r="CN429" s="13" t="n">
        <v>0.213</v>
      </c>
      <c r="CO429" s="13" t="n">
        <v>132</v>
      </c>
      <c r="CP429" s="13" t="n">
        <v>56</v>
      </c>
      <c r="CQ429" s="13" t="n">
        <v>51</v>
      </c>
      <c r="CR429" s="13" t="n">
        <v>9</v>
      </c>
      <c r="CS429" s="13" t="n">
        <v>13.1</v>
      </c>
      <c r="CT429" s="11" t="inlineStr">
        <is>
          <t xml:space="preserve"> Resort Freeride</t>
        </is>
      </c>
      <c r="CU429" s="13" t="n"/>
      <c r="CV429" s="13" t="n"/>
      <c r="CW429" s="13" t="n"/>
      <c r="CX429">
        <f>INDEX('Data_Price '!AG$2:AG$1266,MATCH(Data!$DN429,'Data_Price '!$AT$2:$AT$1266,0))</f>
        <v/>
      </c>
      <c r="CY429">
        <f>INDEX('Data_Price '!AH$2:AH$1266,MATCH(Data!$DN429,'Data_Price '!$AT$2:$AT$1266,0))</f>
        <v/>
      </c>
      <c r="CZ429">
        <f>INDEX('Data_Price '!AI$2:AI$1266,MATCH(Data!$DN429,'Data_Price '!$AT$2:$AT$1266,0))</f>
        <v/>
      </c>
      <c r="DA429">
        <f>INDEX('Data_Price '!AJ$2:AJ$1266,MATCH(Data!$DN429,'Data_Price '!$AT$2:$AT$1266,0))</f>
        <v/>
      </c>
      <c r="DB429">
        <f>INDEX('Data_Price '!AK$2:AK$1266,MATCH(Data!$DN429,'Data_Price '!$AT$2:$AT$1266,0))</f>
        <v/>
      </c>
      <c r="DC429">
        <f>INDEX('Data_Price '!AL$2:AL$1266,MATCH(Data!$DN429,'Data_Price '!$AT$2:$AT$1266,0))</f>
        <v/>
      </c>
      <c r="DD429">
        <f>INDEX('Data_Price '!AM$2:AM$1266,MATCH(Data!$DN429,'Data_Price '!$AT$2:$AT$1266,0))</f>
        <v/>
      </c>
      <c r="DE429">
        <f>INDEX('Data_Price '!AN$2:AN$1266,MATCH(Data!$DN429,'Data_Price '!$AT$2:$AT$1266,0))</f>
        <v/>
      </c>
      <c r="DF429">
        <f>INDEX('Data_Price '!AO$2:AO$1266,MATCH(Data!$DN429,'Data_Price '!$AT$2:$AT$1266,0))</f>
        <v/>
      </c>
      <c r="DG429">
        <f>INDEX('Data_Price '!AP$2:AP$1266,MATCH(Data!$DN429,'Data_Price '!$AT$2:$AT$1266,0))</f>
        <v/>
      </c>
      <c r="DH429">
        <f>INDEX('Data_Price '!AQ$2:AQ$1266,MATCH(Data!$DN429,'Data_Price '!$AT$2:$AT$1266,0))</f>
        <v/>
      </c>
      <c r="DI429">
        <f>INDEX('Data_Price '!AR$2:AR$1266,MATCH(Data!$DN429,'Data_Price '!$AT$2:$AT$1266,0))</f>
        <v/>
      </c>
      <c r="DJ429" s="138">
        <f>DA429</f>
        <v/>
      </c>
      <c r="DK429" s="138">
        <f>DE429</f>
        <v/>
      </c>
      <c r="DL429" s="138">
        <f>DI429</f>
        <v/>
      </c>
      <c r="DM429" s="303">
        <f>IF(LEFT(BT429,1)=" ",RIGHT(BT429,LEN(BT429)-1),BT429)</f>
        <v/>
      </c>
      <c r="DN429" s="138">
        <f>_xlfn.CONCAT(BS429,DM429,BU429,BV429)</f>
        <v/>
      </c>
      <c r="DO429" s="307" t="inlineStr">
        <is>
          <t>https://images.evo.com/imgp/250/208925/874464/stockli-stormrider-88-skis-2022-.jpg</t>
        </is>
      </c>
    </row>
    <row r="430" ht="15.6" customHeight="1" s="184">
      <c r="B430" s="303">
        <f t="array" ref="B430">IF(OR(ISERROR(K430:P430)),FALSE,TRUE)</f>
        <v/>
      </c>
      <c r="C430" s="60">
        <f>OR(BR430=Driver!$G$50,Data!BR56=Driver!$H$50)</f>
        <v/>
      </c>
      <c r="D430" s="60">
        <f>OR(BV430=Driver!$G$51,BV430=Driver!$H$51)</f>
        <v/>
      </c>
      <c r="E430" s="60">
        <f>AND(BX430&gt;Driver!$F$54,BX430&lt;Driver!$G$54)</f>
        <v/>
      </c>
      <c r="F430" s="60">
        <f>CL430&gt;Driver!$F$56</f>
        <v/>
      </c>
      <c r="G430" s="60">
        <f>AND(CB430&gt;Driver!$F$55,CB430&lt;Driver!$G$55)</f>
        <v/>
      </c>
      <c r="H430" s="60">
        <f>AND(B430:G430)</f>
        <v/>
      </c>
      <c r="I430" s="60">
        <f>COUNTIFS($H$9:$H$1273,TRUE,$BT$9:$BT$1273,BT430)</f>
        <v/>
      </c>
      <c r="J430" s="60">
        <f t="array" ref="J430">NOT(OR(($H$9:$H$1273=TRUE)*($I$9:$I$1273&gt;0)*($BT$9:$BT$1273=BT430)*($K$9:$K$1273&gt;K430)))</f>
        <v/>
      </c>
      <c r="K430" s="108">
        <f>IFERROR(1-AVERAGE(X430:Y430),"")</f>
        <v/>
      </c>
      <c r="L430" s="108">
        <f>1-X430</f>
        <v/>
      </c>
      <c r="M430" s="108">
        <f>1-Y430</f>
        <v/>
      </c>
      <c r="N430" s="108">
        <f>1-Z430</f>
        <v/>
      </c>
      <c r="O430" s="108">
        <f>1-AA430</f>
        <v/>
      </c>
      <c r="P430" s="108">
        <f>1-AB430</f>
        <v/>
      </c>
      <c r="Q430" s="108" t="n"/>
      <c r="R430" s="108" t="n"/>
      <c r="S430" s="108">
        <f>1-AE430</f>
        <v/>
      </c>
      <c r="T430" s="108">
        <f>1-AF430</f>
        <v/>
      </c>
      <c r="U430" s="108">
        <f>1-AG430</f>
        <v/>
      </c>
      <c r="V430" s="108">
        <f>1-AH430</f>
        <v/>
      </c>
      <c r="W430" s="108">
        <f>1-AI430</f>
        <v/>
      </c>
      <c r="X430" s="108">
        <f>ABS(AJ430-AJ$1)</f>
        <v/>
      </c>
      <c r="Y430" s="108">
        <f>AVERAGE(Z430:AB430)</f>
        <v/>
      </c>
      <c r="Z430" s="108">
        <f>ABS(AL430-AL$1)</f>
        <v/>
      </c>
      <c r="AA430" s="108">
        <f>ABS(AM430-AM$1)</f>
        <v/>
      </c>
      <c r="AB430" s="108">
        <f>ABS(AN430-AN$1)</f>
        <v/>
      </c>
      <c r="AC430" s="108" t="n"/>
      <c r="AD430" s="108" t="n"/>
      <c r="AE430" s="108">
        <f>ABS(AQ$1-AQ430)</f>
        <v/>
      </c>
      <c r="AF430" s="108">
        <f>ABS(AR$1-AR430)</f>
        <v/>
      </c>
      <c r="AG430" s="108">
        <f>ABS(AS$1-AS430)</f>
        <v/>
      </c>
      <c r="AH430" s="108">
        <f>ABS(AT$1-AT430)</f>
        <v/>
      </c>
      <c r="AI430" s="108">
        <f>ABS(AU$1-AU430)</f>
        <v/>
      </c>
      <c r="AJ430" s="108">
        <f>(AV430-Driver!$K$179)/(Driver!$L$179-Driver!$K$179)</f>
        <v/>
      </c>
      <c r="AK430" s="108">
        <f>(AW430-Driver!$K$180)/(Driver!$L$180-Driver!$K$180)</f>
        <v/>
      </c>
      <c r="AL430" s="108">
        <f>(AX430-Driver!$K$181)/(Driver!$L$181-Driver!$K$181)</f>
        <v/>
      </c>
      <c r="AM430" s="108">
        <f>(AY430-Driver!$K$182)/(Driver!$L$182-Driver!$K$182)</f>
        <v/>
      </c>
      <c r="AN430" s="108">
        <f>(AZ430-Driver!$K$183)/(Driver!$L$183-Driver!$K$183)</f>
        <v/>
      </c>
      <c r="AO430" s="108" t="n"/>
      <c r="AP430" s="108" t="n"/>
      <c r="AQ430" s="108">
        <f>(BC430-Driver!$K$188)/(Driver!$L$188-Driver!$K$188)</f>
        <v/>
      </c>
      <c r="AR430" s="108">
        <f>MIN((BD430-Driver!$K$189)/(Driver!$L$189-Driver!$K$189),100%)</f>
        <v/>
      </c>
      <c r="AS430" s="108">
        <f>(BE430-Driver!$K$190)/(Driver!$L$190-Driver!$K$190)</f>
        <v/>
      </c>
      <c r="AT430" s="108">
        <f>(BF430-Driver!$K$191)/(Driver!$L$191-Driver!$K$191)</f>
        <v/>
      </c>
      <c r="AU430" s="108">
        <f>(BG430-Driver!$K$192)/(Driver!$L$192-Driver!$K$192)</f>
        <v/>
      </c>
      <c r="AV430" s="105">
        <f>IFERROR(BM430*BJ430^1/4,"")</f>
        <v/>
      </c>
      <c r="AW430" s="105">
        <f>IFERROR(SUM(AX430:AZ430),"")</f>
        <v/>
      </c>
      <c r="AX430" s="105">
        <f>IFERROR(BH430,"")</f>
        <v/>
      </c>
      <c r="AY430" s="105">
        <f>IFERROR(Driver!$K$19/Data!BH430/Data!BI430*Data!BK430*Data!BL430,"")</f>
        <v/>
      </c>
      <c r="AZ430" s="105">
        <f>IFERROR(BI430*BN430,"")</f>
        <v/>
      </c>
      <c r="BA430" s="105" t="n"/>
      <c r="BB430" s="105" t="n"/>
      <c r="BC430" s="105">
        <f>IFERROR(BI430*BN430*BK430/BJ430^(1/2),"")</f>
        <v/>
      </c>
      <c r="BD430" s="105">
        <f>IFERROR(BH430*BM430*BL430/BJ430/BK430,"")</f>
        <v/>
      </c>
      <c r="BE430" s="105">
        <f>IFERROR(MIN(BI430/BQ430/BP430/BO430/BH430,$BE$1),"")</f>
        <v/>
      </c>
      <c r="BF430" s="105">
        <f>IFERROR(BJ430*BO430*BP430/BK430,"")</f>
        <v/>
      </c>
      <c r="BG430" s="105">
        <f>IFERROR(1/BM430/BH430*BQ430,"")</f>
        <v/>
      </c>
      <c r="BH430" s="102">
        <f>MAX((CE430-Driver!$F$200)/(Driver!$G$200-Driver!$F$200)*$BI$1,1)</f>
        <v/>
      </c>
      <c r="BI430" s="102">
        <f>MAX($BI$1*(BY430-Driver!$F$201)/(Driver!$G$201-Driver!$F$201),1)</f>
        <v/>
      </c>
      <c r="BJ430" s="102">
        <f>(CB430-Driver!$F$206)/(Driver!$G$206-Driver!$F$206)*$BI$1</f>
        <v/>
      </c>
      <c r="BK430" s="102">
        <f>(CD430-Driver!$F$203)/(Driver!$G$203-Driver!$F$203)*$BI$1</f>
        <v/>
      </c>
      <c r="BL430" s="102">
        <f>MAX((CR430-Driver!$F$202)/(Driver!$G$202-Driver!$F$202)*$BI$1,1)</f>
        <v/>
      </c>
      <c r="BM430" s="102">
        <f>MAX((CH430-Driver!$F$204)/(Driver!$G$204-Driver!$F$204)*$BI$1,1)</f>
        <v/>
      </c>
      <c r="BN430" s="102">
        <f>(CI430-Driver!$F$205)/(Driver!$G$205-Driver!$F$205)*$BI$1</f>
        <v/>
      </c>
      <c r="BO430" s="102">
        <f>(CK430-Driver!$F$207)/(Driver!$G$207-Driver!$F$207)*$BI$1</f>
        <v/>
      </c>
      <c r="BP430" s="102">
        <f>(CM430-Driver!$F$208)/(Driver!$G$208-Driver!$F$208)*$BI$1</f>
        <v/>
      </c>
      <c r="BQ430" s="102">
        <f>(CL430-Driver!$F$209)/(Driver!$G$209-Driver!$F$209)*$BI$1</f>
        <v/>
      </c>
      <c r="BR430" s="40" t="inlineStr">
        <is>
          <t>21/22</t>
        </is>
      </c>
      <c r="BS430" s="10" t="inlineStr">
        <is>
          <t xml:space="preserve"> Armada</t>
        </is>
      </c>
      <c r="BT430" s="11" t="inlineStr">
        <is>
          <t>ARW 96</t>
        </is>
      </c>
      <c r="BU430" s="13" t="n">
        <v>156</v>
      </c>
      <c r="BV430" s="11" t="inlineStr">
        <is>
          <t xml:space="preserve"> Women's</t>
        </is>
      </c>
      <c r="BW430" s="13" t="n">
        <v>156</v>
      </c>
      <c r="BX430" s="13" t="n">
        <v>154</v>
      </c>
      <c r="BY430" s="13" t="n">
        <v>106</v>
      </c>
      <c r="BZ430" s="13" t="n">
        <v>129</v>
      </c>
      <c r="CA430" s="13" t="n">
        <v>120</v>
      </c>
      <c r="CB430" s="13" t="n">
        <v>95</v>
      </c>
      <c r="CC430" s="13" t="n">
        <v>113</v>
      </c>
      <c r="CD430" s="13" t="n">
        <v>16.9</v>
      </c>
      <c r="CE430" s="13" t="n">
        <v>1615</v>
      </c>
      <c r="CF430" s="13" t="n">
        <v>0.98</v>
      </c>
      <c r="CG430" s="13" t="n">
        <v>1588</v>
      </c>
      <c r="CH430" s="13" t="n">
        <v>155</v>
      </c>
      <c r="CI430" s="13" t="n">
        <v>88</v>
      </c>
      <c r="CJ430" s="13" t="n">
        <v>48</v>
      </c>
      <c r="CK430" s="13" t="n">
        <v>247</v>
      </c>
      <c r="CL430" s="13" t="n">
        <v>42</v>
      </c>
      <c r="CM430" s="13" t="n">
        <v>230</v>
      </c>
      <c r="CN430" s="13" t="n">
        <v>0.873</v>
      </c>
      <c r="CO430" s="13" t="n">
        <v>118</v>
      </c>
      <c r="CP430" s="13" t="n">
        <v>134</v>
      </c>
      <c r="CQ430" s="13" t="n">
        <v>128</v>
      </c>
      <c r="CR430" s="13" t="n">
        <v>6</v>
      </c>
      <c r="CS430" s="13" t="n">
        <v>5.3</v>
      </c>
      <c r="CT430" s="11" t="inlineStr">
        <is>
          <t xml:space="preserve"> Freeski</t>
        </is>
      </c>
      <c r="CU430" s="13" t="n"/>
      <c r="CV430" s="13" t="n"/>
      <c r="CW430" s="13" t="n"/>
      <c r="CX430">
        <f>INDEX('Data_Price '!AG$2:AG$1266,MATCH(Data!$DN430,'Data_Price '!$AT$2:$AT$1266,0))</f>
        <v/>
      </c>
      <c r="CY430">
        <f>INDEX('Data_Price '!AH$2:AH$1266,MATCH(Data!$DN430,'Data_Price '!$AT$2:$AT$1266,0))</f>
        <v/>
      </c>
      <c r="CZ430">
        <f>INDEX('Data_Price '!AI$2:AI$1266,MATCH(Data!$DN430,'Data_Price '!$AT$2:$AT$1266,0))</f>
        <v/>
      </c>
      <c r="DA430">
        <f>INDEX('Data_Price '!AJ$2:AJ$1266,MATCH(Data!$DN430,'Data_Price '!$AT$2:$AT$1266,0))</f>
        <v/>
      </c>
      <c r="DB430">
        <f>INDEX('Data_Price '!AK$2:AK$1266,MATCH(Data!$DN430,'Data_Price '!$AT$2:$AT$1266,0))</f>
        <v/>
      </c>
      <c r="DC430">
        <f>INDEX('Data_Price '!AL$2:AL$1266,MATCH(Data!$DN430,'Data_Price '!$AT$2:$AT$1266,0))</f>
        <v/>
      </c>
      <c r="DD430">
        <f>INDEX('Data_Price '!AM$2:AM$1266,MATCH(Data!$DN430,'Data_Price '!$AT$2:$AT$1266,0))</f>
        <v/>
      </c>
      <c r="DE430">
        <f>INDEX('Data_Price '!AN$2:AN$1266,MATCH(Data!$DN430,'Data_Price '!$AT$2:$AT$1266,0))</f>
        <v/>
      </c>
      <c r="DF430">
        <f>INDEX('Data_Price '!AO$2:AO$1266,MATCH(Data!$DN430,'Data_Price '!$AT$2:$AT$1266,0))</f>
        <v/>
      </c>
      <c r="DG430">
        <f>INDEX('Data_Price '!AP$2:AP$1266,MATCH(Data!$DN430,'Data_Price '!$AT$2:$AT$1266,0))</f>
        <v/>
      </c>
      <c r="DH430">
        <f>INDEX('Data_Price '!AQ$2:AQ$1266,MATCH(Data!$DN430,'Data_Price '!$AT$2:$AT$1266,0))</f>
        <v/>
      </c>
      <c r="DI430">
        <f>INDEX('Data_Price '!AR$2:AR$1266,MATCH(Data!$DN430,'Data_Price '!$AT$2:$AT$1266,0))</f>
        <v/>
      </c>
      <c r="DJ430" s="138">
        <f>DA430</f>
        <v/>
      </c>
      <c r="DK430" s="138">
        <f>DE430</f>
        <v/>
      </c>
      <c r="DL430" s="138">
        <f>DI430</f>
        <v/>
      </c>
      <c r="DM430" s="303">
        <f>IF(LEFT(BT430,1)=" ",RIGHT(BT430,LEN(BT430)-1),BT430)</f>
        <v/>
      </c>
      <c r="DN430" s="138">
        <f>_xlfn.CONCAT(BS430,DM430,BU430,BV430)</f>
        <v/>
      </c>
      <c r="DO430" s="307" t="inlineStr">
        <is>
          <t>https://images.evo.com/imgp/250/198714/839686/armada-arw-96-skis-women-s-2022-.jpg</t>
        </is>
      </c>
    </row>
    <row r="431" ht="15.6" customHeight="1" s="184">
      <c r="B431" s="303">
        <f t="array" ref="B431">IF(OR(ISERROR(K431:P431)),FALSE,TRUE)</f>
        <v/>
      </c>
      <c r="C431" s="60">
        <f>OR(BR431=Driver!$G$50,Data!BR1242=Driver!$H$50)</f>
        <v/>
      </c>
      <c r="D431" s="60">
        <f>OR(BV431=Driver!$G$51,BV431=Driver!$H$51)</f>
        <v/>
      </c>
      <c r="E431" s="60">
        <f>AND(BX431&gt;Driver!$F$54,BX431&lt;Driver!$G$54)</f>
        <v/>
      </c>
      <c r="F431" s="60">
        <f>CL431&gt;Driver!$F$56</f>
        <v/>
      </c>
      <c r="G431" s="60">
        <f>AND(CB431&gt;Driver!$F$55,CB431&lt;Driver!$G$55)</f>
        <v/>
      </c>
      <c r="H431" s="60">
        <f>AND(B431:G431)</f>
        <v/>
      </c>
      <c r="I431" s="60">
        <f>COUNTIFS($H$9:$H$1273,TRUE,$BT$9:$BT$1273,BT431)</f>
        <v/>
      </c>
      <c r="J431" s="60">
        <f t="array" ref="J431">NOT(OR(($H$9:$H$1273=TRUE)*($I$9:$I$1273&gt;0)*($BT$9:$BT$1273=BT431)*($K$9:$K$1273&gt;K431)))</f>
        <v/>
      </c>
      <c r="K431" s="108">
        <f>IFERROR(1-AVERAGE(X431:Y431),"")</f>
        <v/>
      </c>
      <c r="L431" s="108">
        <f>1-X431</f>
        <v/>
      </c>
      <c r="M431" s="108">
        <f>1-Y431</f>
        <v/>
      </c>
      <c r="N431" s="108">
        <f>1-Z431</f>
        <v/>
      </c>
      <c r="O431" s="108">
        <f>1-AA431</f>
        <v/>
      </c>
      <c r="P431" s="108">
        <f>1-AB431</f>
        <v/>
      </c>
      <c r="Q431" s="108" t="n"/>
      <c r="R431" s="108" t="n"/>
      <c r="S431" s="108">
        <f>1-AE431</f>
        <v/>
      </c>
      <c r="T431" s="108">
        <f>1-AF431</f>
        <v/>
      </c>
      <c r="U431" s="108">
        <f>1-AG431</f>
        <v/>
      </c>
      <c r="V431" s="108">
        <f>1-AH431</f>
        <v/>
      </c>
      <c r="W431" s="108">
        <f>1-AI431</f>
        <v/>
      </c>
      <c r="X431" s="108">
        <f>ABS(AJ431-AJ$1)</f>
        <v/>
      </c>
      <c r="Y431" s="108">
        <f>AVERAGE(Z431:AB431)</f>
        <v/>
      </c>
      <c r="Z431" s="108">
        <f>ABS(AL431-AL$1)</f>
        <v/>
      </c>
      <c r="AA431" s="108">
        <f>ABS(AM431-AM$1)</f>
        <v/>
      </c>
      <c r="AB431" s="108">
        <f>ABS(AN431-AN$1)</f>
        <v/>
      </c>
      <c r="AC431" s="108" t="n"/>
      <c r="AD431" s="108" t="n"/>
      <c r="AE431" s="108">
        <f>ABS(AQ$1-AQ431)</f>
        <v/>
      </c>
      <c r="AF431" s="108">
        <f>ABS(AR$1-AR431)</f>
        <v/>
      </c>
      <c r="AG431" s="108">
        <f>ABS(AS$1-AS431)</f>
        <v/>
      </c>
      <c r="AH431" s="108">
        <f>ABS(AT$1-AT431)</f>
        <v/>
      </c>
      <c r="AI431" s="108">
        <f>ABS(AU$1-AU431)</f>
        <v/>
      </c>
      <c r="AJ431" s="108">
        <f>(AV431-Driver!$K$179)/(Driver!$L$179-Driver!$K$179)</f>
        <v/>
      </c>
      <c r="AK431" s="108">
        <f>(AW431-Driver!$K$180)/(Driver!$L$180-Driver!$K$180)</f>
        <v/>
      </c>
      <c r="AL431" s="108">
        <f>(AX431-Driver!$K$181)/(Driver!$L$181-Driver!$K$181)</f>
        <v/>
      </c>
      <c r="AM431" s="108">
        <f>(AY431-Driver!$K$182)/(Driver!$L$182-Driver!$K$182)</f>
        <v/>
      </c>
      <c r="AN431" s="108">
        <f>(AZ431-Driver!$K$183)/(Driver!$L$183-Driver!$K$183)</f>
        <v/>
      </c>
      <c r="AO431" s="108" t="n"/>
      <c r="AP431" s="108" t="n"/>
      <c r="AQ431" s="108">
        <f>(BC431-Driver!$K$188)/(Driver!$L$188-Driver!$K$188)</f>
        <v/>
      </c>
      <c r="AR431" s="108">
        <f>MIN((BD431-Driver!$K$189)/(Driver!$L$189-Driver!$K$189),100%)</f>
        <v/>
      </c>
      <c r="AS431" s="108">
        <f>(BE431-Driver!$K$190)/(Driver!$L$190-Driver!$K$190)</f>
        <v/>
      </c>
      <c r="AT431" s="108">
        <f>(BF431-Driver!$K$191)/(Driver!$L$191-Driver!$K$191)</f>
        <v/>
      </c>
      <c r="AU431" s="108">
        <f>(BG431-Driver!$K$192)/(Driver!$L$192-Driver!$K$192)</f>
        <v/>
      </c>
      <c r="AV431" s="105">
        <f>IFERROR(BM431*BJ431^1/4,"")</f>
        <v/>
      </c>
      <c r="AW431" s="105">
        <f>IFERROR(SUM(AX431:AZ431),"")</f>
        <v/>
      </c>
      <c r="AX431" s="105">
        <f>IFERROR(BH431,"")</f>
        <v/>
      </c>
      <c r="AY431" s="105">
        <f>IFERROR(Driver!$K$19/Data!BH431/Data!BI431*Data!BK431*Data!BL431,"")</f>
        <v/>
      </c>
      <c r="AZ431" s="105">
        <f>IFERROR(BI431*BN431,"")</f>
        <v/>
      </c>
      <c r="BA431" s="105" t="n"/>
      <c r="BB431" s="105" t="n"/>
      <c r="BC431" s="105">
        <f>IFERROR(BI431*BN431*BK431/BJ431^(1/2),"")</f>
        <v/>
      </c>
      <c r="BD431" s="105">
        <f>IFERROR(BH431*BM431*BL431/BJ431/BK431,"")</f>
        <v/>
      </c>
      <c r="BE431" s="105">
        <f>IFERROR(MIN(BI431/BQ431/BP431/BO431/BH431,$BE$1),"")</f>
        <v/>
      </c>
      <c r="BF431" s="105">
        <f>IFERROR(BJ431*BO431*BP431/BK431,"")</f>
        <v/>
      </c>
      <c r="BG431" s="105">
        <f>IFERROR(1/BM431/BH431*BQ431,"")</f>
        <v/>
      </c>
      <c r="BH431" s="102">
        <f>MAX((CE431-Driver!$F$200)/(Driver!$G$200-Driver!$F$200)*$BI$1,1)</f>
        <v/>
      </c>
      <c r="BI431" s="102">
        <f>MAX($BI$1*(BY431-Driver!$F$201)/(Driver!$G$201-Driver!$F$201),1)</f>
        <v/>
      </c>
      <c r="BJ431" s="102">
        <f>(CB431-Driver!$F$206)/(Driver!$G$206-Driver!$F$206)*$BI$1</f>
        <v/>
      </c>
      <c r="BK431" s="102">
        <f>(CD431-Driver!$F$203)/(Driver!$G$203-Driver!$F$203)*$BI$1</f>
        <v/>
      </c>
      <c r="BL431" s="102">
        <f>MAX((CR431-Driver!$F$202)/(Driver!$G$202-Driver!$F$202)*$BI$1,1)</f>
        <v/>
      </c>
      <c r="BM431" s="102">
        <f>MAX((CH431-Driver!$F$204)/(Driver!$G$204-Driver!$F$204)*$BI$1,1)</f>
        <v/>
      </c>
      <c r="BN431" s="102">
        <f>(CI431-Driver!$F$205)/(Driver!$G$205-Driver!$F$205)*$BI$1</f>
        <v/>
      </c>
      <c r="BO431" s="102">
        <f>(CK431-Driver!$F$207)/(Driver!$G$207-Driver!$F$207)*$BI$1</f>
        <v/>
      </c>
      <c r="BP431" s="102">
        <f>(CM431-Driver!$F$208)/(Driver!$G$208-Driver!$F$208)*$BI$1</f>
        <v/>
      </c>
      <c r="BQ431" s="102">
        <f>(CL431-Driver!$F$209)/(Driver!$G$209-Driver!$F$209)*$BI$1</f>
        <v/>
      </c>
      <c r="BR431" s="40" t="inlineStr">
        <is>
          <t>21/22</t>
        </is>
      </c>
      <c r="BS431" s="10" t="inlineStr">
        <is>
          <t xml:space="preserve"> Völkl</t>
        </is>
      </c>
      <c r="BT431" s="11" t="inlineStr">
        <is>
          <t>Revolt 95</t>
        </is>
      </c>
      <c r="BU431" s="13" t="n">
        <v>165</v>
      </c>
      <c r="BV431" s="11" t="inlineStr">
        <is>
          <t xml:space="preserve"> Unisex</t>
        </is>
      </c>
      <c r="BW431" s="13" t="n">
        <v>165</v>
      </c>
      <c r="BX431" s="13" t="n">
        <v>163.6</v>
      </c>
      <c r="BY431" s="13" t="n">
        <v>132</v>
      </c>
      <c r="BZ431" s="13" t="n">
        <v>149</v>
      </c>
      <c r="CA431" s="13" t="n">
        <v>128</v>
      </c>
      <c r="CB431" s="13" t="n">
        <v>94</v>
      </c>
      <c r="CC431" s="13" t="n">
        <v>118</v>
      </c>
      <c r="CD431" s="13" t="n">
        <v>19</v>
      </c>
      <c r="CE431" s="13" t="n">
        <v>1806</v>
      </c>
      <c r="CF431" s="13" t="n">
        <v>0.9399999999999999</v>
      </c>
      <c r="CG431" s="13" t="n">
        <v>1702</v>
      </c>
      <c r="CH431" s="13" t="n">
        <v>170</v>
      </c>
      <c r="CI431" s="13" t="n">
        <v>85</v>
      </c>
      <c r="CJ431" s="13" t="n">
        <v>40</v>
      </c>
      <c r="CK431" s="13" t="n">
        <v>163</v>
      </c>
      <c r="CL431" s="13" t="n">
        <v>36</v>
      </c>
      <c r="CM431" s="13" t="n">
        <v>149</v>
      </c>
      <c r="CN431" s="13" t="n">
        <v>0.894</v>
      </c>
      <c r="CO431" s="13" t="n">
        <v>80</v>
      </c>
      <c r="CP431" s="13" t="n">
        <v>70</v>
      </c>
      <c r="CQ431" s="13" t="n">
        <v>83</v>
      </c>
      <c r="CR431" s="13" t="n">
        <v>5</v>
      </c>
      <c r="CS431" s="13" t="n">
        <v>0.6</v>
      </c>
      <c r="CT431" s="11" t="inlineStr">
        <is>
          <t xml:space="preserve"> Freeski</t>
        </is>
      </c>
      <c r="CU431" s="13" t="n"/>
      <c r="CV431" s="13" t="n"/>
      <c r="CW431" s="13" t="n"/>
      <c r="CX431">
        <f>INDEX('Data_Price '!AG$2:AG$1266,MATCH(Data!$DN431,'Data_Price '!$AT$2:$AT$1266,0))</f>
        <v/>
      </c>
      <c r="CY431">
        <f>INDEX('Data_Price '!AH$2:AH$1266,MATCH(Data!$DN431,'Data_Price '!$AT$2:$AT$1266,0))</f>
        <v/>
      </c>
      <c r="CZ431">
        <f>INDEX('Data_Price '!AI$2:AI$1266,MATCH(Data!$DN431,'Data_Price '!$AT$2:$AT$1266,0))</f>
        <v/>
      </c>
      <c r="DA431">
        <f>INDEX('Data_Price '!AJ$2:AJ$1266,MATCH(Data!$DN431,'Data_Price '!$AT$2:$AT$1266,0))</f>
        <v/>
      </c>
      <c r="DB431">
        <f>INDEX('Data_Price '!AK$2:AK$1266,MATCH(Data!$DN431,'Data_Price '!$AT$2:$AT$1266,0))</f>
        <v/>
      </c>
      <c r="DC431">
        <f>INDEX('Data_Price '!AL$2:AL$1266,MATCH(Data!$DN431,'Data_Price '!$AT$2:$AT$1266,0))</f>
        <v/>
      </c>
      <c r="DD431">
        <f>INDEX('Data_Price '!AM$2:AM$1266,MATCH(Data!$DN431,'Data_Price '!$AT$2:$AT$1266,0))</f>
        <v/>
      </c>
      <c r="DE431">
        <f>INDEX('Data_Price '!AN$2:AN$1266,MATCH(Data!$DN431,'Data_Price '!$AT$2:$AT$1266,0))</f>
        <v/>
      </c>
      <c r="DF431">
        <f>INDEX('Data_Price '!AO$2:AO$1266,MATCH(Data!$DN431,'Data_Price '!$AT$2:$AT$1266,0))</f>
        <v/>
      </c>
      <c r="DG431">
        <f>INDEX('Data_Price '!AP$2:AP$1266,MATCH(Data!$DN431,'Data_Price '!$AT$2:$AT$1266,0))</f>
        <v/>
      </c>
      <c r="DH431">
        <f>INDEX('Data_Price '!AQ$2:AQ$1266,MATCH(Data!$DN431,'Data_Price '!$AT$2:$AT$1266,0))</f>
        <v/>
      </c>
      <c r="DI431">
        <f>INDEX('Data_Price '!AR$2:AR$1266,MATCH(Data!$DN431,'Data_Price '!$AT$2:$AT$1266,0))</f>
        <v/>
      </c>
      <c r="DJ431" s="138">
        <f>DA431</f>
        <v/>
      </c>
      <c r="DK431" s="138">
        <f>DE431</f>
        <v/>
      </c>
      <c r="DL431" s="138">
        <f>DI431</f>
        <v/>
      </c>
      <c r="DM431" s="303">
        <f>IF(LEFT(BT431,1)=" ",RIGHT(BT431,LEN(BT431)-1),BT431)</f>
        <v/>
      </c>
      <c r="DN431" s="138">
        <f>_xlfn.CONCAT(BS431,DM431,BU431,BV431)</f>
        <v/>
      </c>
      <c r="DO431" s="307" t="inlineStr">
        <is>
          <t>https://images.evo.com/imgp/250/183426/726978/clone.jpg</t>
        </is>
      </c>
    </row>
    <row r="432" ht="15.6" customHeight="1" s="184">
      <c r="B432" s="303">
        <f t="array" ref="B432">IF(OR(ISERROR(K432:P432)),FALSE,TRUE)</f>
        <v/>
      </c>
      <c r="C432" s="60">
        <f>OR(BR432=Driver!$G$50,Data!BR1126=Driver!$H$50)</f>
        <v/>
      </c>
      <c r="D432" s="60">
        <f>OR(BV432=Driver!$G$51,BV432=Driver!$H$51)</f>
        <v/>
      </c>
      <c r="E432" s="60">
        <f>AND(BX432&gt;Driver!$F$54,BX432&lt;Driver!$G$54)</f>
        <v/>
      </c>
      <c r="F432" s="60">
        <f>CL432&gt;Driver!$F$56</f>
        <v/>
      </c>
      <c r="G432" s="60">
        <f>AND(CB432&gt;Driver!$F$55,CB432&lt;Driver!$G$55)</f>
        <v/>
      </c>
      <c r="H432" s="60">
        <f>AND(B432:G432)</f>
        <v/>
      </c>
      <c r="I432" s="60">
        <f>COUNTIFS($H$9:$H$1273,TRUE,$BT$9:$BT$1273,BT432)</f>
        <v/>
      </c>
      <c r="J432" s="60">
        <f t="array" ref="J432">NOT(OR(($H$9:$H$1273=TRUE)*($I$9:$I$1273&gt;0)*($BT$9:$BT$1273=BT432)*($K$9:$K$1273&gt;K432)))</f>
        <v/>
      </c>
      <c r="K432" s="108">
        <f>IFERROR(1-AVERAGE(X432:Y432),"")</f>
        <v/>
      </c>
      <c r="L432" s="108">
        <f>1-X432</f>
        <v/>
      </c>
      <c r="M432" s="108">
        <f>1-Y432</f>
        <v/>
      </c>
      <c r="N432" s="108">
        <f>1-Z432</f>
        <v/>
      </c>
      <c r="O432" s="108">
        <f>1-AA432</f>
        <v/>
      </c>
      <c r="P432" s="108">
        <f>1-AB432</f>
        <v/>
      </c>
      <c r="Q432" s="108" t="n"/>
      <c r="R432" s="108" t="n"/>
      <c r="S432" s="108">
        <f>1-AE432</f>
        <v/>
      </c>
      <c r="T432" s="108">
        <f>1-AF432</f>
        <v/>
      </c>
      <c r="U432" s="108">
        <f>1-AG432</f>
        <v/>
      </c>
      <c r="V432" s="108">
        <f>1-AH432</f>
        <v/>
      </c>
      <c r="W432" s="108">
        <f>1-AI432</f>
        <v/>
      </c>
      <c r="X432" s="108">
        <f>ABS(AJ432-AJ$1)</f>
        <v/>
      </c>
      <c r="Y432" s="108">
        <f>AVERAGE(Z432:AB432)</f>
        <v/>
      </c>
      <c r="Z432" s="108">
        <f>ABS(AL432-AL$1)</f>
        <v/>
      </c>
      <c r="AA432" s="108">
        <f>ABS(AM432-AM$1)</f>
        <v/>
      </c>
      <c r="AB432" s="108">
        <f>ABS(AN432-AN$1)</f>
        <v/>
      </c>
      <c r="AC432" s="108" t="n"/>
      <c r="AD432" s="108" t="n"/>
      <c r="AE432" s="108">
        <f>ABS(AQ$1-AQ432)</f>
        <v/>
      </c>
      <c r="AF432" s="108">
        <f>ABS(AR$1-AR432)</f>
        <v/>
      </c>
      <c r="AG432" s="108">
        <f>ABS(AS$1-AS432)</f>
        <v/>
      </c>
      <c r="AH432" s="108">
        <f>ABS(AT$1-AT432)</f>
        <v/>
      </c>
      <c r="AI432" s="108">
        <f>ABS(AU$1-AU432)</f>
        <v/>
      </c>
      <c r="AJ432" s="108">
        <f>(AV432-Driver!$K$179)/(Driver!$L$179-Driver!$K$179)</f>
        <v/>
      </c>
      <c r="AK432" s="108">
        <f>(AW432-Driver!$K$180)/(Driver!$L$180-Driver!$K$180)</f>
        <v/>
      </c>
      <c r="AL432" s="108">
        <f>(AX432-Driver!$K$181)/(Driver!$L$181-Driver!$K$181)</f>
        <v/>
      </c>
      <c r="AM432" s="108">
        <f>(AY432-Driver!$K$182)/(Driver!$L$182-Driver!$K$182)</f>
        <v/>
      </c>
      <c r="AN432" s="108">
        <f>(AZ432-Driver!$K$183)/(Driver!$L$183-Driver!$K$183)</f>
        <v/>
      </c>
      <c r="AO432" s="108" t="n"/>
      <c r="AP432" s="108" t="n"/>
      <c r="AQ432" s="108">
        <f>(BC432-Driver!$K$188)/(Driver!$L$188-Driver!$K$188)</f>
        <v/>
      </c>
      <c r="AR432" s="108">
        <f>MIN((BD432-Driver!$K$189)/(Driver!$L$189-Driver!$K$189),100%)</f>
        <v/>
      </c>
      <c r="AS432" s="108">
        <f>(BE432-Driver!$K$190)/(Driver!$L$190-Driver!$K$190)</f>
        <v/>
      </c>
      <c r="AT432" s="108">
        <f>(BF432-Driver!$K$191)/(Driver!$L$191-Driver!$K$191)</f>
        <v/>
      </c>
      <c r="AU432" s="108">
        <f>(BG432-Driver!$K$192)/(Driver!$L$192-Driver!$K$192)</f>
        <v/>
      </c>
      <c r="AV432" s="105">
        <f>IFERROR(BM432*BJ432^1/4,"")</f>
        <v/>
      </c>
      <c r="AW432" s="105">
        <f>IFERROR(SUM(AX432:AZ432),"")</f>
        <v/>
      </c>
      <c r="AX432" s="105">
        <f>IFERROR(BH432,"")</f>
        <v/>
      </c>
      <c r="AY432" s="105">
        <f>IFERROR(Driver!$K$19/Data!BH432/Data!BI432*Data!BK432*Data!BL432,"")</f>
        <v/>
      </c>
      <c r="AZ432" s="105">
        <f>IFERROR(BI432*BN432,"")</f>
        <v/>
      </c>
      <c r="BA432" s="105" t="n"/>
      <c r="BB432" s="105" t="n"/>
      <c r="BC432" s="105">
        <f>IFERROR(BI432*BN432*BK432/BJ432^(1/2),"")</f>
        <v/>
      </c>
      <c r="BD432" s="105">
        <f>IFERROR(BH432*BM432*BL432/BJ432/BK432,"")</f>
        <v/>
      </c>
      <c r="BE432" s="105">
        <f>IFERROR(MIN(BI432/BQ432/BP432/BO432/BH432,$BE$1),"")</f>
        <v/>
      </c>
      <c r="BF432" s="105">
        <f>IFERROR(BJ432*BO432*BP432/BK432,"")</f>
        <v/>
      </c>
      <c r="BG432" s="105">
        <f>IFERROR(1/BM432/BH432*BQ432,"")</f>
        <v/>
      </c>
      <c r="BH432" s="102">
        <f>MAX((CE432-Driver!$F$200)/(Driver!$G$200-Driver!$F$200)*$BI$1,1)</f>
        <v/>
      </c>
      <c r="BI432" s="102">
        <f>MAX($BI$1*(BY432-Driver!$F$201)/(Driver!$G$201-Driver!$F$201),1)</f>
        <v/>
      </c>
      <c r="BJ432" s="102">
        <f>(CB432-Driver!$F$206)/(Driver!$G$206-Driver!$F$206)*$BI$1</f>
        <v/>
      </c>
      <c r="BK432" s="102">
        <f>(CD432-Driver!$F$203)/(Driver!$G$203-Driver!$F$203)*$BI$1</f>
        <v/>
      </c>
      <c r="BL432" s="102">
        <f>MAX((CR432-Driver!$F$202)/(Driver!$G$202-Driver!$F$202)*$BI$1,1)</f>
        <v/>
      </c>
      <c r="BM432" s="102">
        <f>MAX((CH432-Driver!$F$204)/(Driver!$G$204-Driver!$F$204)*$BI$1,1)</f>
        <v/>
      </c>
      <c r="BN432" s="102">
        <f>(CI432-Driver!$F$205)/(Driver!$G$205-Driver!$F$205)*$BI$1</f>
        <v/>
      </c>
      <c r="BO432" s="102">
        <f>(CK432-Driver!$F$207)/(Driver!$G$207-Driver!$F$207)*$BI$1</f>
        <v/>
      </c>
      <c r="BP432" s="102">
        <f>(CM432-Driver!$F$208)/(Driver!$G$208-Driver!$F$208)*$BI$1</f>
        <v/>
      </c>
      <c r="BQ432" s="102">
        <f>(CL432-Driver!$F$209)/(Driver!$G$209-Driver!$F$209)*$BI$1</f>
        <v/>
      </c>
      <c r="BR432" s="40" t="inlineStr">
        <is>
          <t>21/22</t>
        </is>
      </c>
      <c r="BS432" s="10" t="inlineStr">
        <is>
          <t xml:space="preserve"> Scott</t>
        </is>
      </c>
      <c r="BT432" s="11" t="inlineStr">
        <is>
          <t>Superguide 95 W</t>
        </is>
      </c>
      <c r="BU432" s="13" t="n">
        <v>160</v>
      </c>
      <c r="BV432" s="11" t="inlineStr">
        <is>
          <t xml:space="preserve"> Women's</t>
        </is>
      </c>
      <c r="BW432" s="13" t="n">
        <v>160</v>
      </c>
      <c r="BX432" s="13" t="n">
        <v>160.8</v>
      </c>
      <c r="BY432" s="13" t="n">
        <v>120</v>
      </c>
      <c r="BZ432" s="13" t="n">
        <v>142</v>
      </c>
      <c r="CA432" s="13" t="n">
        <v>128</v>
      </c>
      <c r="CB432" s="13" t="n">
        <v>92</v>
      </c>
      <c r="CC432" s="13" t="n">
        <v>112</v>
      </c>
      <c r="CD432" s="13" t="n">
        <v>17.7</v>
      </c>
      <c r="CE432" s="13" t="n">
        <v>1301</v>
      </c>
      <c r="CF432" s="13" t="n">
        <v>1.27</v>
      </c>
      <c r="CG432" s="13" t="n">
        <v>1656</v>
      </c>
      <c r="CH432" s="13" t="n">
        <v>231</v>
      </c>
      <c r="CI432" s="13" t="n">
        <v>91</v>
      </c>
      <c r="CJ432" s="13" t="n">
        <v>59</v>
      </c>
      <c r="CK432" s="13" t="n">
        <v>288</v>
      </c>
      <c r="CL432" s="13" t="n">
        <v>18</v>
      </c>
      <c r="CM432" s="13" t="n">
        <v>121</v>
      </c>
      <c r="CN432" s="13" t="n">
        <v>0.312</v>
      </c>
      <c r="CO432" s="13" t="n">
        <v>109</v>
      </c>
      <c r="CP432" s="13" t="n">
        <v>81</v>
      </c>
      <c r="CQ432" s="13" t="n">
        <v>179</v>
      </c>
      <c r="CR432" s="13" t="n">
        <v>4</v>
      </c>
      <c r="CS432" s="13" t="n">
        <v>12.7</v>
      </c>
      <c r="CT432" s="11" t="inlineStr">
        <is>
          <t xml:space="preserve"> Resort Freeride</t>
        </is>
      </c>
      <c r="CU432" s="11" t="inlineStr">
        <is>
          <t xml:space="preserve"> Touring</t>
        </is>
      </c>
      <c r="CV432" s="11" t="inlineStr">
        <is>
          <t xml:space="preserve"> Ultralight Touring</t>
        </is>
      </c>
      <c r="CW432" s="13" t="n"/>
      <c r="CX432">
        <f>INDEX('Data_Price '!AG$2:AG$1266,MATCH(Data!$DN432,'Data_Price '!$AT$2:$AT$1266,0))</f>
        <v/>
      </c>
      <c r="CY432">
        <f>INDEX('Data_Price '!AH$2:AH$1266,MATCH(Data!$DN432,'Data_Price '!$AT$2:$AT$1266,0))</f>
        <v/>
      </c>
      <c r="CZ432">
        <f>INDEX('Data_Price '!AI$2:AI$1266,MATCH(Data!$DN432,'Data_Price '!$AT$2:$AT$1266,0))</f>
        <v/>
      </c>
      <c r="DA432">
        <f>INDEX('Data_Price '!AJ$2:AJ$1266,MATCH(Data!$DN432,'Data_Price '!$AT$2:$AT$1266,0))</f>
        <v/>
      </c>
      <c r="DB432">
        <f>INDEX('Data_Price '!AK$2:AK$1266,MATCH(Data!$DN432,'Data_Price '!$AT$2:$AT$1266,0))</f>
        <v/>
      </c>
      <c r="DC432">
        <f>INDEX('Data_Price '!AL$2:AL$1266,MATCH(Data!$DN432,'Data_Price '!$AT$2:$AT$1266,0))</f>
        <v/>
      </c>
      <c r="DD432">
        <f>INDEX('Data_Price '!AM$2:AM$1266,MATCH(Data!$DN432,'Data_Price '!$AT$2:$AT$1266,0))</f>
        <v/>
      </c>
      <c r="DE432">
        <f>INDEX('Data_Price '!AN$2:AN$1266,MATCH(Data!$DN432,'Data_Price '!$AT$2:$AT$1266,0))</f>
        <v/>
      </c>
      <c r="DF432">
        <f>INDEX('Data_Price '!AO$2:AO$1266,MATCH(Data!$DN432,'Data_Price '!$AT$2:$AT$1266,0))</f>
        <v/>
      </c>
      <c r="DG432">
        <f>INDEX('Data_Price '!AP$2:AP$1266,MATCH(Data!$DN432,'Data_Price '!$AT$2:$AT$1266,0))</f>
        <v/>
      </c>
      <c r="DH432">
        <f>INDEX('Data_Price '!AQ$2:AQ$1266,MATCH(Data!$DN432,'Data_Price '!$AT$2:$AT$1266,0))</f>
        <v/>
      </c>
      <c r="DI432">
        <f>INDEX('Data_Price '!AR$2:AR$1266,MATCH(Data!$DN432,'Data_Price '!$AT$2:$AT$1266,0))</f>
        <v/>
      </c>
      <c r="DJ432" s="138">
        <f>DA432</f>
        <v/>
      </c>
      <c r="DK432" s="138">
        <f>DE432</f>
        <v/>
      </c>
      <c r="DL432" s="138">
        <f>DI432</f>
        <v/>
      </c>
      <c r="DM432" s="303">
        <f>IF(LEFT(BT432,1)=" ",RIGHT(BT432,LEN(BT432)-1),BT432)</f>
        <v/>
      </c>
      <c r="DN432" s="138">
        <f>_xlfn.CONCAT(BS432,DM432,BU432,BV432)</f>
        <v/>
      </c>
      <c r="DO432" s="307" t="n"/>
    </row>
    <row r="433" ht="15.6" customHeight="1" s="184">
      <c r="B433" s="303">
        <f t="array" ref="B433">IF(OR(ISERROR(K433:P433)),FALSE,TRUE)</f>
        <v/>
      </c>
      <c r="C433" s="60">
        <f>OR(BR433=Driver!$G$50,Data!BR815=Driver!$H$50)</f>
        <v/>
      </c>
      <c r="D433" s="60">
        <f>OR(BV433=Driver!$G$51,BV433=Driver!$H$51)</f>
        <v/>
      </c>
      <c r="E433" s="60">
        <f>AND(BX433&gt;Driver!$F$54,BX433&lt;Driver!$G$54)</f>
        <v/>
      </c>
      <c r="F433" s="60">
        <f>CL433&gt;Driver!$F$56</f>
        <v/>
      </c>
      <c r="G433" s="60">
        <f>AND(CB433&gt;Driver!$F$55,CB433&lt;Driver!$G$55)</f>
        <v/>
      </c>
      <c r="H433" s="60">
        <f>AND(B433:G433)</f>
        <v/>
      </c>
      <c r="I433" s="60">
        <f>COUNTIFS($H$9:$H$1273,TRUE,$BT$9:$BT$1273,BT433)</f>
        <v/>
      </c>
      <c r="J433" s="60">
        <f t="array" ref="J433">NOT(OR(($H$9:$H$1273=TRUE)*($I$9:$I$1273&gt;0)*($BT$9:$BT$1273=BT433)*($K$9:$K$1273&gt;K433)))</f>
        <v/>
      </c>
      <c r="K433" s="108">
        <f>IFERROR(1-AVERAGE(X433:Y433),"")</f>
        <v/>
      </c>
      <c r="L433" s="108">
        <f>1-X433</f>
        <v/>
      </c>
      <c r="M433" s="108">
        <f>1-Y433</f>
        <v/>
      </c>
      <c r="N433" s="108">
        <f>1-Z433</f>
        <v/>
      </c>
      <c r="O433" s="108">
        <f>1-AA433</f>
        <v/>
      </c>
      <c r="P433" s="108">
        <f>1-AB433</f>
        <v/>
      </c>
      <c r="Q433" s="108" t="n"/>
      <c r="R433" s="108" t="n"/>
      <c r="S433" s="108">
        <f>1-AE433</f>
        <v/>
      </c>
      <c r="T433" s="108">
        <f>1-AF433</f>
        <v/>
      </c>
      <c r="U433" s="108">
        <f>1-AG433</f>
        <v/>
      </c>
      <c r="V433" s="108">
        <f>1-AH433</f>
        <v/>
      </c>
      <c r="W433" s="108">
        <f>1-AI433</f>
        <v/>
      </c>
      <c r="X433" s="108">
        <f>ABS(AJ433-AJ$1)</f>
        <v/>
      </c>
      <c r="Y433" s="108">
        <f>AVERAGE(Z433:AB433)</f>
        <v/>
      </c>
      <c r="Z433" s="108">
        <f>ABS(AL433-AL$1)</f>
        <v/>
      </c>
      <c r="AA433" s="108">
        <f>ABS(AM433-AM$1)</f>
        <v/>
      </c>
      <c r="AB433" s="108">
        <f>ABS(AN433-AN$1)</f>
        <v/>
      </c>
      <c r="AC433" s="108" t="n"/>
      <c r="AD433" s="108" t="n"/>
      <c r="AE433" s="108">
        <f>ABS(AQ$1-AQ433)</f>
        <v/>
      </c>
      <c r="AF433" s="108">
        <f>ABS(AR$1-AR433)</f>
        <v/>
      </c>
      <c r="AG433" s="108">
        <f>ABS(AS$1-AS433)</f>
        <v/>
      </c>
      <c r="AH433" s="108">
        <f>ABS(AT$1-AT433)</f>
        <v/>
      </c>
      <c r="AI433" s="108">
        <f>ABS(AU$1-AU433)</f>
        <v/>
      </c>
      <c r="AJ433" s="108">
        <f>(AV433-Driver!$K$179)/(Driver!$L$179-Driver!$K$179)</f>
        <v/>
      </c>
      <c r="AK433" s="108">
        <f>(AW433-Driver!$K$180)/(Driver!$L$180-Driver!$K$180)</f>
        <v/>
      </c>
      <c r="AL433" s="108">
        <f>(AX433-Driver!$K$181)/(Driver!$L$181-Driver!$K$181)</f>
        <v/>
      </c>
      <c r="AM433" s="108">
        <f>(AY433-Driver!$K$182)/(Driver!$L$182-Driver!$K$182)</f>
        <v/>
      </c>
      <c r="AN433" s="108">
        <f>(AZ433-Driver!$K$183)/(Driver!$L$183-Driver!$K$183)</f>
        <v/>
      </c>
      <c r="AO433" s="108" t="n"/>
      <c r="AP433" s="108" t="n"/>
      <c r="AQ433" s="108">
        <f>(BC433-Driver!$K$188)/(Driver!$L$188-Driver!$K$188)</f>
        <v/>
      </c>
      <c r="AR433" s="108">
        <f>MIN((BD433-Driver!$K$189)/(Driver!$L$189-Driver!$K$189),100%)</f>
        <v/>
      </c>
      <c r="AS433" s="108">
        <f>(BE433-Driver!$K$190)/(Driver!$L$190-Driver!$K$190)</f>
        <v/>
      </c>
      <c r="AT433" s="108">
        <f>(BF433-Driver!$K$191)/(Driver!$L$191-Driver!$K$191)</f>
        <v/>
      </c>
      <c r="AU433" s="108">
        <f>(BG433-Driver!$K$192)/(Driver!$L$192-Driver!$K$192)</f>
        <v/>
      </c>
      <c r="AV433" s="105">
        <f>IFERROR(BM433*BJ433^1/4,"")</f>
        <v/>
      </c>
      <c r="AW433" s="105">
        <f>IFERROR(SUM(AX433:AZ433),"")</f>
        <v/>
      </c>
      <c r="AX433" s="105">
        <f>IFERROR(BH433,"")</f>
        <v/>
      </c>
      <c r="AY433" s="105">
        <f>IFERROR(Driver!$K$19/Data!BH433/Data!BI433*Data!BK433*Data!BL433,"")</f>
        <v/>
      </c>
      <c r="AZ433" s="105">
        <f>IFERROR(BI433*BN433,"")</f>
        <v/>
      </c>
      <c r="BA433" s="105" t="n"/>
      <c r="BB433" s="105" t="n"/>
      <c r="BC433" s="105">
        <f>IFERROR(BI433*BN433*BK433/BJ433^(1/2),"")</f>
        <v/>
      </c>
      <c r="BD433" s="105">
        <f>IFERROR(BH433*BM433*BL433/BJ433/BK433,"")</f>
        <v/>
      </c>
      <c r="BE433" s="105">
        <f>IFERROR(MIN(BI433/BQ433/BP433/BO433/BH433,$BE$1),"")</f>
        <v/>
      </c>
      <c r="BF433" s="105">
        <f>IFERROR(BJ433*BO433*BP433/BK433,"")</f>
        <v/>
      </c>
      <c r="BG433" s="105">
        <f>IFERROR(1/BM433/BH433*BQ433,"")</f>
        <v/>
      </c>
      <c r="BH433" s="102">
        <f>MAX((CE433-Driver!$F$200)/(Driver!$G$200-Driver!$F$200)*$BI$1,1)</f>
        <v/>
      </c>
      <c r="BI433" s="102">
        <f>MAX($BI$1*(BY433-Driver!$F$201)/(Driver!$G$201-Driver!$F$201),1)</f>
        <v/>
      </c>
      <c r="BJ433" s="102">
        <f>(CB433-Driver!$F$206)/(Driver!$G$206-Driver!$F$206)*$BI$1</f>
        <v/>
      </c>
      <c r="BK433" s="102">
        <f>(CD433-Driver!$F$203)/(Driver!$G$203-Driver!$F$203)*$BI$1</f>
        <v/>
      </c>
      <c r="BL433" s="102">
        <f>MAX((CR433-Driver!$F$202)/(Driver!$G$202-Driver!$F$202)*$BI$1,1)</f>
        <v/>
      </c>
      <c r="BM433" s="102">
        <f>MAX((CH433-Driver!$F$204)/(Driver!$G$204-Driver!$F$204)*$BI$1,1)</f>
        <v/>
      </c>
      <c r="BN433" s="102">
        <f>(CI433-Driver!$F$205)/(Driver!$G$205-Driver!$F$205)*$BI$1</f>
        <v/>
      </c>
      <c r="BO433" s="102">
        <f>(CK433-Driver!$F$207)/(Driver!$G$207-Driver!$F$207)*$BI$1</f>
        <v/>
      </c>
      <c r="BP433" s="102">
        <f>(CM433-Driver!$F$208)/(Driver!$G$208-Driver!$F$208)*$BI$1</f>
        <v/>
      </c>
      <c r="BQ433" s="102">
        <f>(CL433-Driver!$F$209)/(Driver!$G$209-Driver!$F$209)*$BI$1</f>
        <v/>
      </c>
      <c r="BR433" s="40" t="inlineStr">
        <is>
          <t>21/22</t>
        </is>
      </c>
      <c r="BS433" s="10" t="inlineStr">
        <is>
          <t xml:space="preserve"> Liberty</t>
        </is>
      </c>
      <c r="BT433" s="11" t="inlineStr">
        <is>
          <t>Origin 106</t>
        </is>
      </c>
      <c r="BU433" s="13" t="n">
        <v>182</v>
      </c>
      <c r="BV433" s="11" t="inlineStr">
        <is>
          <t xml:space="preserve"> Unisex</t>
        </is>
      </c>
      <c r="BW433" s="13" t="n">
        <v>182</v>
      </c>
      <c r="BX433" s="13" t="n">
        <v>180.9</v>
      </c>
      <c r="BY433" s="13" t="n">
        <v>103</v>
      </c>
      <c r="BZ433" s="13" t="n">
        <v>152</v>
      </c>
      <c r="CA433" s="13" t="n">
        <v>137</v>
      </c>
      <c r="CB433" s="13" t="n">
        <v>106</v>
      </c>
      <c r="CC433" s="13" t="n">
        <v>127</v>
      </c>
      <c r="CD433" s="13" t="n">
        <v>20.4</v>
      </c>
      <c r="CE433" s="13" t="n">
        <v>2023</v>
      </c>
      <c r="CF433" s="13" t="n">
        <v>1.03</v>
      </c>
      <c r="CG433" s="13" t="n">
        <v>2084</v>
      </c>
      <c r="CH433" s="13" t="n">
        <v>226</v>
      </c>
      <c r="CI433" s="13" t="n">
        <v>107</v>
      </c>
      <c r="CJ433" s="13" t="n">
        <v>57</v>
      </c>
      <c r="CK433" s="13" t="n">
        <v>462</v>
      </c>
      <c r="CL433" s="13" t="n">
        <v>42</v>
      </c>
      <c r="CM433" s="13" t="n">
        <v>321</v>
      </c>
      <c r="CN433" s="13" t="n">
        <v>0.747</v>
      </c>
      <c r="CO433" s="13" t="n">
        <v>141</v>
      </c>
      <c r="CP433" s="13" t="n">
        <v>153</v>
      </c>
      <c r="CQ433" s="13" t="n">
        <v>321</v>
      </c>
      <c r="CR433" s="13" t="n">
        <v>4</v>
      </c>
      <c r="CS433" s="13" t="n">
        <v>7.9</v>
      </c>
      <c r="CT433" s="11" t="inlineStr">
        <is>
          <t xml:space="preserve"> Powder</t>
        </is>
      </c>
      <c r="CU433" s="13" t="n"/>
      <c r="CV433" s="13" t="n"/>
      <c r="CW433" s="13" t="n"/>
      <c r="CX433">
        <f>INDEX('Data_Price '!AG$2:AG$1266,MATCH(Data!$DN433,'Data_Price '!$AT$2:$AT$1266,0))</f>
        <v/>
      </c>
      <c r="CY433">
        <f>INDEX('Data_Price '!AH$2:AH$1266,MATCH(Data!$DN433,'Data_Price '!$AT$2:$AT$1266,0))</f>
        <v/>
      </c>
      <c r="CZ433">
        <f>INDEX('Data_Price '!AI$2:AI$1266,MATCH(Data!$DN433,'Data_Price '!$AT$2:$AT$1266,0))</f>
        <v/>
      </c>
      <c r="DA433">
        <f>INDEX('Data_Price '!AJ$2:AJ$1266,MATCH(Data!$DN433,'Data_Price '!$AT$2:$AT$1266,0))</f>
        <v/>
      </c>
      <c r="DB433">
        <f>INDEX('Data_Price '!AK$2:AK$1266,MATCH(Data!$DN433,'Data_Price '!$AT$2:$AT$1266,0))</f>
        <v/>
      </c>
      <c r="DC433">
        <f>INDEX('Data_Price '!AL$2:AL$1266,MATCH(Data!$DN433,'Data_Price '!$AT$2:$AT$1266,0))</f>
        <v/>
      </c>
      <c r="DD433">
        <f>INDEX('Data_Price '!AM$2:AM$1266,MATCH(Data!$DN433,'Data_Price '!$AT$2:$AT$1266,0))</f>
        <v/>
      </c>
      <c r="DE433">
        <f>INDEX('Data_Price '!AN$2:AN$1266,MATCH(Data!$DN433,'Data_Price '!$AT$2:$AT$1266,0))</f>
        <v/>
      </c>
      <c r="DF433">
        <f>INDEX('Data_Price '!AO$2:AO$1266,MATCH(Data!$DN433,'Data_Price '!$AT$2:$AT$1266,0))</f>
        <v/>
      </c>
      <c r="DG433">
        <f>INDEX('Data_Price '!AP$2:AP$1266,MATCH(Data!$DN433,'Data_Price '!$AT$2:$AT$1266,0))</f>
        <v/>
      </c>
      <c r="DH433">
        <f>INDEX('Data_Price '!AQ$2:AQ$1266,MATCH(Data!$DN433,'Data_Price '!$AT$2:$AT$1266,0))</f>
        <v/>
      </c>
      <c r="DI433">
        <f>INDEX('Data_Price '!AR$2:AR$1266,MATCH(Data!$DN433,'Data_Price '!$AT$2:$AT$1266,0))</f>
        <v/>
      </c>
      <c r="DJ433" s="138">
        <f>DA433</f>
        <v/>
      </c>
      <c r="DK433" s="138">
        <f>DE433</f>
        <v/>
      </c>
      <c r="DL433" s="138">
        <f>DI433</f>
        <v/>
      </c>
      <c r="DM433" s="303">
        <f>IF(LEFT(BT433,1)=" ",RIGHT(BT433,LEN(BT433)-1),BT433)</f>
        <v/>
      </c>
      <c r="DN433" s="138">
        <f>_xlfn.CONCAT(BS433,DM433,BU433,BV433)</f>
        <v/>
      </c>
      <c r="DO433" s="307" t="inlineStr">
        <is>
          <t>https://images.evo.com/imgp/250/208526/851446/liberty-origin-106-skis-2022-.jpg</t>
        </is>
      </c>
    </row>
    <row r="434" ht="15.6" customHeight="1" s="184">
      <c r="B434" s="303">
        <f t="array" ref="B434">IF(OR(ISERROR(K434:P434)),FALSE,TRUE)</f>
        <v/>
      </c>
      <c r="C434" s="60">
        <f>OR(BR434=Driver!$G$50,Data!BR874=Driver!$H$50)</f>
        <v/>
      </c>
      <c r="D434" s="60">
        <f>OR(BV434=Driver!$G$51,BV434=Driver!$H$51)</f>
        <v/>
      </c>
      <c r="E434" s="60">
        <f>AND(BX434&gt;Driver!$F$54,BX434&lt;Driver!$G$54)</f>
        <v/>
      </c>
      <c r="F434" s="60">
        <f>CL434&gt;Driver!$F$56</f>
        <v/>
      </c>
      <c r="G434" s="60">
        <f>AND(CB434&gt;Driver!$F$55,CB434&lt;Driver!$G$55)</f>
        <v/>
      </c>
      <c r="H434" s="60">
        <f>AND(B434:G434)</f>
        <v/>
      </c>
      <c r="I434" s="60">
        <f>COUNTIFS($H$9:$H$1273,TRUE,$BT$9:$BT$1273,BT434)</f>
        <v/>
      </c>
      <c r="J434" s="60">
        <f t="array" ref="J434">NOT(OR(($H$9:$H$1273=TRUE)*($I$9:$I$1273&gt;0)*($BT$9:$BT$1273=BT434)*($K$9:$K$1273&gt;K434)))</f>
        <v/>
      </c>
      <c r="K434" s="108">
        <f>IFERROR(1-AVERAGE(X434:Y434),"")</f>
        <v/>
      </c>
      <c r="L434" s="108">
        <f>1-X434</f>
        <v/>
      </c>
      <c r="M434" s="108">
        <f>1-Y434</f>
        <v/>
      </c>
      <c r="N434" s="108">
        <f>1-Z434</f>
        <v/>
      </c>
      <c r="O434" s="108">
        <f>1-AA434</f>
        <v/>
      </c>
      <c r="P434" s="108">
        <f>1-AB434</f>
        <v/>
      </c>
      <c r="Q434" s="108" t="n"/>
      <c r="R434" s="108" t="n"/>
      <c r="S434" s="108">
        <f>1-AE434</f>
        <v/>
      </c>
      <c r="T434" s="108">
        <f>1-AF434</f>
        <v/>
      </c>
      <c r="U434" s="108">
        <f>1-AG434</f>
        <v/>
      </c>
      <c r="V434" s="108">
        <f>1-AH434</f>
        <v/>
      </c>
      <c r="W434" s="108">
        <f>1-AI434</f>
        <v/>
      </c>
      <c r="X434" s="108">
        <f>ABS(AJ434-AJ$1)</f>
        <v/>
      </c>
      <c r="Y434" s="108">
        <f>AVERAGE(Z434:AB434)</f>
        <v/>
      </c>
      <c r="Z434" s="108">
        <f>ABS(AL434-AL$1)</f>
        <v/>
      </c>
      <c r="AA434" s="108">
        <f>ABS(AM434-AM$1)</f>
        <v/>
      </c>
      <c r="AB434" s="108">
        <f>ABS(AN434-AN$1)</f>
        <v/>
      </c>
      <c r="AC434" s="108" t="n"/>
      <c r="AD434" s="108" t="n"/>
      <c r="AE434" s="108">
        <f>ABS(AQ$1-AQ434)</f>
        <v/>
      </c>
      <c r="AF434" s="108">
        <f>ABS(AR$1-AR434)</f>
        <v/>
      </c>
      <c r="AG434" s="108">
        <f>ABS(AS$1-AS434)</f>
        <v/>
      </c>
      <c r="AH434" s="108">
        <f>ABS(AT$1-AT434)</f>
        <v/>
      </c>
      <c r="AI434" s="108">
        <f>ABS(AU$1-AU434)</f>
        <v/>
      </c>
      <c r="AJ434" s="108">
        <f>(AV434-Driver!$K$179)/(Driver!$L$179-Driver!$K$179)</f>
        <v/>
      </c>
      <c r="AK434" s="108">
        <f>(AW434-Driver!$K$180)/(Driver!$L$180-Driver!$K$180)</f>
        <v/>
      </c>
      <c r="AL434" s="108">
        <f>(AX434-Driver!$K$181)/(Driver!$L$181-Driver!$K$181)</f>
        <v/>
      </c>
      <c r="AM434" s="108">
        <f>(AY434-Driver!$K$182)/(Driver!$L$182-Driver!$K$182)</f>
        <v/>
      </c>
      <c r="AN434" s="108">
        <f>(AZ434-Driver!$K$183)/(Driver!$L$183-Driver!$K$183)</f>
        <v/>
      </c>
      <c r="AO434" s="108" t="n"/>
      <c r="AP434" s="108" t="n"/>
      <c r="AQ434" s="108">
        <f>(BC434-Driver!$K$188)/(Driver!$L$188-Driver!$K$188)</f>
        <v/>
      </c>
      <c r="AR434" s="108">
        <f>MIN((BD434-Driver!$K$189)/(Driver!$L$189-Driver!$K$189),100%)</f>
        <v/>
      </c>
      <c r="AS434" s="108">
        <f>(BE434-Driver!$K$190)/(Driver!$L$190-Driver!$K$190)</f>
        <v/>
      </c>
      <c r="AT434" s="108">
        <f>(BF434-Driver!$K$191)/(Driver!$L$191-Driver!$K$191)</f>
        <v/>
      </c>
      <c r="AU434" s="108">
        <f>(BG434-Driver!$K$192)/(Driver!$L$192-Driver!$K$192)</f>
        <v/>
      </c>
      <c r="AV434" s="105">
        <f>IFERROR(BM434*BJ434^1/4,"")</f>
        <v/>
      </c>
      <c r="AW434" s="105">
        <f>IFERROR(SUM(AX434:AZ434),"")</f>
        <v/>
      </c>
      <c r="AX434" s="105">
        <f>IFERROR(BH434,"")</f>
        <v/>
      </c>
      <c r="AY434" s="105">
        <f>IFERROR(Driver!$K$19/Data!BH434/Data!BI434*Data!BK434*Data!BL434,"")</f>
        <v/>
      </c>
      <c r="AZ434" s="105">
        <f>IFERROR(BI434*BN434,"")</f>
        <v/>
      </c>
      <c r="BA434" s="105" t="n"/>
      <c r="BB434" s="105" t="n"/>
      <c r="BC434" s="105">
        <f>IFERROR(BI434*BN434*BK434/BJ434^(1/2),"")</f>
        <v/>
      </c>
      <c r="BD434" s="105">
        <f>IFERROR(BH434*BM434*BL434/BJ434/BK434,"")</f>
        <v/>
      </c>
      <c r="BE434" s="105">
        <f>IFERROR(MIN(BI434/BQ434/BP434/BO434/BH434,$BE$1),"")</f>
        <v/>
      </c>
      <c r="BF434" s="105">
        <f>IFERROR(BJ434*BO434*BP434/BK434,"")</f>
        <v/>
      </c>
      <c r="BG434" s="105">
        <f>IFERROR(1/BM434/BH434*BQ434,"")</f>
        <v/>
      </c>
      <c r="BH434" s="102">
        <f>MAX((CE434-Driver!$F$200)/(Driver!$G$200-Driver!$F$200)*$BI$1,1)</f>
        <v/>
      </c>
      <c r="BI434" s="102">
        <f>MAX($BI$1*(BY434-Driver!$F$201)/(Driver!$G$201-Driver!$F$201),1)</f>
        <v/>
      </c>
      <c r="BJ434" s="102">
        <f>(CB434-Driver!$F$206)/(Driver!$G$206-Driver!$F$206)*$BI$1</f>
        <v/>
      </c>
      <c r="BK434" s="102">
        <f>(CD434-Driver!$F$203)/(Driver!$G$203-Driver!$F$203)*$BI$1</f>
        <v/>
      </c>
      <c r="BL434" s="102">
        <f>MAX((CR434-Driver!$F$202)/(Driver!$G$202-Driver!$F$202)*$BI$1,1)</f>
        <v/>
      </c>
      <c r="BM434" s="102">
        <f>MAX((CH434-Driver!$F$204)/(Driver!$G$204-Driver!$F$204)*$BI$1,1)</f>
        <v/>
      </c>
      <c r="BN434" s="102">
        <f>(CI434-Driver!$F$205)/(Driver!$G$205-Driver!$F$205)*$BI$1</f>
        <v/>
      </c>
      <c r="BO434" s="102">
        <f>(CK434-Driver!$F$207)/(Driver!$G$207-Driver!$F$207)*$BI$1</f>
        <v/>
      </c>
      <c r="BP434" s="102">
        <f>(CM434-Driver!$F$208)/(Driver!$G$208-Driver!$F$208)*$BI$1</f>
        <v/>
      </c>
      <c r="BQ434" s="102">
        <f>(CL434-Driver!$F$209)/(Driver!$G$209-Driver!$F$209)*$BI$1</f>
        <v/>
      </c>
      <c r="BR434" s="40" t="inlineStr">
        <is>
          <t>21/22</t>
        </is>
      </c>
      <c r="BS434" s="10" t="inlineStr">
        <is>
          <t xml:space="preserve"> Line</t>
        </is>
      </c>
      <c r="BT434" s="11" t="inlineStr">
        <is>
          <t xml:space="preserve"> Tom Wallisch Pro</t>
        </is>
      </c>
      <c r="BU434" s="13" t="n">
        <v>171</v>
      </c>
      <c r="BV434" s="11" t="inlineStr">
        <is>
          <t xml:space="preserve"> Unisex</t>
        </is>
      </c>
      <c r="BW434" s="13" t="n">
        <v>171</v>
      </c>
      <c r="BX434" s="13" t="n">
        <v>171.1</v>
      </c>
      <c r="BY434" s="13" t="n">
        <v>126</v>
      </c>
      <c r="BZ434" s="13" t="n">
        <v>144</v>
      </c>
      <c r="CA434" s="13" t="n">
        <v>116</v>
      </c>
      <c r="CB434" s="13" t="n">
        <v>89</v>
      </c>
      <c r="CC434" s="13" t="n">
        <v>116</v>
      </c>
      <c r="CD434" s="13" t="n">
        <v>18.4</v>
      </c>
      <c r="CE434" s="13" t="n">
        <v>1633</v>
      </c>
      <c r="CF434" s="13" t="n">
        <v>1.04</v>
      </c>
      <c r="CG434" s="13" t="n">
        <v>1696</v>
      </c>
      <c r="CH434" s="13" t="n">
        <v>153</v>
      </c>
      <c r="CI434" s="13" t="n">
        <v>81</v>
      </c>
      <c r="CJ434" s="13" t="n">
        <v>46</v>
      </c>
      <c r="CK434" s="13" t="n">
        <v>225</v>
      </c>
      <c r="CL434" s="13" t="n">
        <v>41</v>
      </c>
      <c r="CM434" s="13" t="n">
        <v>222</v>
      </c>
      <c r="CN434" s="13" t="n">
        <v>0.895</v>
      </c>
      <c r="CO434" s="13" t="n">
        <v>130</v>
      </c>
      <c r="CP434" s="13" t="n">
        <v>145</v>
      </c>
      <c r="CQ434" s="13" t="n">
        <v>95</v>
      </c>
      <c r="CR434" s="13" t="n">
        <v>7</v>
      </c>
      <c r="CS434" s="13" t="n">
        <v>1.8</v>
      </c>
      <c r="CT434" s="11" t="inlineStr">
        <is>
          <t xml:space="preserve"> Freeski</t>
        </is>
      </c>
      <c r="CU434" s="13" t="n"/>
      <c r="CV434" s="13" t="n"/>
      <c r="CW434" s="13" t="n"/>
      <c r="CX434">
        <f>INDEX('Data_Price '!AG$2:AG$1266,MATCH(Data!$DN434,'Data_Price '!$AT$2:$AT$1266,0))</f>
        <v/>
      </c>
      <c r="CY434">
        <f>INDEX('Data_Price '!AH$2:AH$1266,MATCH(Data!$DN434,'Data_Price '!$AT$2:$AT$1266,0))</f>
        <v/>
      </c>
      <c r="CZ434">
        <f>INDEX('Data_Price '!AI$2:AI$1266,MATCH(Data!$DN434,'Data_Price '!$AT$2:$AT$1266,0))</f>
        <v/>
      </c>
      <c r="DA434">
        <f>INDEX('Data_Price '!AJ$2:AJ$1266,MATCH(Data!$DN434,'Data_Price '!$AT$2:$AT$1266,0))</f>
        <v/>
      </c>
      <c r="DB434">
        <f>INDEX('Data_Price '!AK$2:AK$1266,MATCH(Data!$DN434,'Data_Price '!$AT$2:$AT$1266,0))</f>
        <v/>
      </c>
      <c r="DC434">
        <f>INDEX('Data_Price '!AL$2:AL$1266,MATCH(Data!$DN434,'Data_Price '!$AT$2:$AT$1266,0))</f>
        <v/>
      </c>
      <c r="DD434">
        <f>INDEX('Data_Price '!AM$2:AM$1266,MATCH(Data!$DN434,'Data_Price '!$AT$2:$AT$1266,0))</f>
        <v/>
      </c>
      <c r="DE434">
        <f>INDEX('Data_Price '!AN$2:AN$1266,MATCH(Data!$DN434,'Data_Price '!$AT$2:$AT$1266,0))</f>
        <v/>
      </c>
      <c r="DF434">
        <f>INDEX('Data_Price '!AO$2:AO$1266,MATCH(Data!$DN434,'Data_Price '!$AT$2:$AT$1266,0))</f>
        <v/>
      </c>
      <c r="DG434">
        <f>INDEX('Data_Price '!AP$2:AP$1266,MATCH(Data!$DN434,'Data_Price '!$AT$2:$AT$1266,0))</f>
        <v/>
      </c>
      <c r="DH434">
        <f>INDEX('Data_Price '!AQ$2:AQ$1266,MATCH(Data!$DN434,'Data_Price '!$AT$2:$AT$1266,0))</f>
        <v/>
      </c>
      <c r="DI434">
        <f>INDEX('Data_Price '!AR$2:AR$1266,MATCH(Data!$DN434,'Data_Price '!$AT$2:$AT$1266,0))</f>
        <v/>
      </c>
      <c r="DJ434" s="138">
        <f>DA434</f>
        <v/>
      </c>
      <c r="DK434" s="138">
        <f>DE434</f>
        <v/>
      </c>
      <c r="DL434" s="138">
        <f>DI434</f>
        <v/>
      </c>
      <c r="DM434" s="303">
        <f>IF(LEFT(BT434,1)=" ",RIGHT(BT434,LEN(BT434)-1),BT434)</f>
        <v/>
      </c>
      <c r="DN434" s="138">
        <f>_xlfn.CONCAT(BS434,DM434,BU434,BV434)</f>
        <v/>
      </c>
      <c r="DO434" s="307" t="n"/>
    </row>
    <row r="435" ht="15.6" customHeight="1" s="184">
      <c r="B435" s="303">
        <f t="array" ref="B435">IF(OR(ISERROR(K435:P435)),FALSE,TRUE)</f>
        <v/>
      </c>
      <c r="C435" s="60">
        <f>OR(BR435=Driver!$G$50,Data!BR342=Driver!$H$50)</f>
        <v/>
      </c>
      <c r="D435" s="60">
        <f>OR(BV435=Driver!$G$51,BV435=Driver!$H$51)</f>
        <v/>
      </c>
      <c r="E435" s="60">
        <f>AND(BX435&gt;Driver!$F$54,BX435&lt;Driver!$G$54)</f>
        <v/>
      </c>
      <c r="F435" s="60">
        <f>CL435&gt;Driver!$F$56</f>
        <v/>
      </c>
      <c r="G435" s="60">
        <f>AND(CB435&gt;Driver!$F$55,CB435&lt;Driver!$G$55)</f>
        <v/>
      </c>
      <c r="H435" s="60">
        <f>AND(B435:G435)</f>
        <v/>
      </c>
      <c r="I435" s="60">
        <f>COUNTIFS($H$9:$H$1273,TRUE,$BT$9:$BT$1273,BT435)</f>
        <v/>
      </c>
      <c r="J435" s="60">
        <f t="array" ref="J435">NOT(OR(($H$9:$H$1273=TRUE)*($I$9:$I$1273&gt;0)*($BT$9:$BT$1273=BT435)*($K$9:$K$1273&gt;K435)))</f>
        <v/>
      </c>
      <c r="K435" s="108">
        <f>IFERROR(1-AVERAGE(X435:Y435),"")</f>
        <v/>
      </c>
      <c r="L435" s="108">
        <f>1-X435</f>
        <v/>
      </c>
      <c r="M435" s="108">
        <f>1-Y435</f>
        <v/>
      </c>
      <c r="N435" s="108">
        <f>1-Z435</f>
        <v/>
      </c>
      <c r="O435" s="108">
        <f>1-AA435</f>
        <v/>
      </c>
      <c r="P435" s="108">
        <f>1-AB435</f>
        <v/>
      </c>
      <c r="Q435" s="108" t="n"/>
      <c r="R435" s="108" t="n"/>
      <c r="S435" s="108">
        <f>1-AE435</f>
        <v/>
      </c>
      <c r="T435" s="108">
        <f>1-AF435</f>
        <v/>
      </c>
      <c r="U435" s="108">
        <f>1-AG435</f>
        <v/>
      </c>
      <c r="V435" s="108">
        <f>1-AH435</f>
        <v/>
      </c>
      <c r="W435" s="108">
        <f>1-AI435</f>
        <v/>
      </c>
      <c r="X435" s="108">
        <f>ABS(AJ435-AJ$1)</f>
        <v/>
      </c>
      <c r="Y435" s="108">
        <f>AVERAGE(Z435:AB435)</f>
        <v/>
      </c>
      <c r="Z435" s="108">
        <f>ABS(AL435-AL$1)</f>
        <v/>
      </c>
      <c r="AA435" s="108">
        <f>ABS(AM435-AM$1)</f>
        <v/>
      </c>
      <c r="AB435" s="108">
        <f>ABS(AN435-AN$1)</f>
        <v/>
      </c>
      <c r="AC435" s="108" t="n"/>
      <c r="AD435" s="108" t="n"/>
      <c r="AE435" s="108">
        <f>ABS(AQ$1-AQ435)</f>
        <v/>
      </c>
      <c r="AF435" s="108">
        <f>ABS(AR$1-AR435)</f>
        <v/>
      </c>
      <c r="AG435" s="108">
        <f>ABS(AS$1-AS435)</f>
        <v/>
      </c>
      <c r="AH435" s="108">
        <f>ABS(AT$1-AT435)</f>
        <v/>
      </c>
      <c r="AI435" s="108">
        <f>ABS(AU$1-AU435)</f>
        <v/>
      </c>
      <c r="AJ435" s="108">
        <f>(AV435-Driver!$K$179)/(Driver!$L$179-Driver!$K$179)</f>
        <v/>
      </c>
      <c r="AK435" s="108">
        <f>(AW435-Driver!$K$180)/(Driver!$L$180-Driver!$K$180)</f>
        <v/>
      </c>
      <c r="AL435" s="108">
        <f>(AX435-Driver!$K$181)/(Driver!$L$181-Driver!$K$181)</f>
        <v/>
      </c>
      <c r="AM435" s="108">
        <f>(AY435-Driver!$K$182)/(Driver!$L$182-Driver!$K$182)</f>
        <v/>
      </c>
      <c r="AN435" s="108">
        <f>(AZ435-Driver!$K$183)/(Driver!$L$183-Driver!$K$183)</f>
        <v/>
      </c>
      <c r="AO435" s="108" t="n"/>
      <c r="AP435" s="108" t="n"/>
      <c r="AQ435" s="108">
        <f>(BC435-Driver!$K$188)/(Driver!$L$188-Driver!$K$188)</f>
        <v/>
      </c>
      <c r="AR435" s="108">
        <f>MIN((BD435-Driver!$K$189)/(Driver!$L$189-Driver!$K$189),100%)</f>
        <v/>
      </c>
      <c r="AS435" s="108">
        <f>(BE435-Driver!$K$190)/(Driver!$L$190-Driver!$K$190)</f>
        <v/>
      </c>
      <c r="AT435" s="108">
        <f>(BF435-Driver!$K$191)/(Driver!$L$191-Driver!$K$191)</f>
        <v/>
      </c>
      <c r="AU435" s="108">
        <f>(BG435-Driver!$K$192)/(Driver!$L$192-Driver!$K$192)</f>
        <v/>
      </c>
      <c r="AV435" s="105">
        <f>IFERROR(BM435*BJ435^1/4,"")</f>
        <v/>
      </c>
      <c r="AW435" s="105">
        <f>IFERROR(SUM(AX435:AZ435),"")</f>
        <v/>
      </c>
      <c r="AX435" s="105">
        <f>IFERROR(BH435,"")</f>
        <v/>
      </c>
      <c r="AY435" s="105">
        <f>IFERROR(Driver!$K$19/Data!BH435/Data!BI435*Data!BK435*Data!BL435,"")</f>
        <v/>
      </c>
      <c r="AZ435" s="105">
        <f>IFERROR(BI435*BN435,"")</f>
        <v/>
      </c>
      <c r="BA435" s="105" t="n"/>
      <c r="BB435" s="105" t="n"/>
      <c r="BC435" s="105">
        <f>IFERROR(BI435*BN435*BK435/BJ435^(1/2),"")</f>
        <v/>
      </c>
      <c r="BD435" s="105">
        <f>IFERROR(BH435*BM435*BL435/BJ435/BK435,"")</f>
        <v/>
      </c>
      <c r="BE435" s="105">
        <f>IFERROR(MIN(BI435/BQ435/BP435/BO435/BH435,$BE$1),"")</f>
        <v/>
      </c>
      <c r="BF435" s="105">
        <f>IFERROR(BJ435*BO435*BP435/BK435,"")</f>
        <v/>
      </c>
      <c r="BG435" s="105">
        <f>IFERROR(1/BM435/BH435*BQ435,"")</f>
        <v/>
      </c>
      <c r="BH435" s="102">
        <f>MAX((CE435-Driver!$F$200)/(Driver!$G$200-Driver!$F$200)*$BI$1,1)</f>
        <v/>
      </c>
      <c r="BI435" s="102">
        <f>MAX($BI$1*(BY435-Driver!$F$201)/(Driver!$G$201-Driver!$F$201),1)</f>
        <v/>
      </c>
      <c r="BJ435" s="102">
        <f>(CB435-Driver!$F$206)/(Driver!$G$206-Driver!$F$206)*$BI$1</f>
        <v/>
      </c>
      <c r="BK435" s="102">
        <f>(CD435-Driver!$F$203)/(Driver!$G$203-Driver!$F$203)*$BI$1</f>
        <v/>
      </c>
      <c r="BL435" s="102">
        <f>MAX((CR435-Driver!$F$202)/(Driver!$G$202-Driver!$F$202)*$BI$1,1)</f>
        <v/>
      </c>
      <c r="BM435" s="102">
        <f>MAX((CH435-Driver!$F$204)/(Driver!$G$204-Driver!$F$204)*$BI$1,1)</f>
        <v/>
      </c>
      <c r="BN435" s="102">
        <f>(CI435-Driver!$F$205)/(Driver!$G$205-Driver!$F$205)*$BI$1</f>
        <v/>
      </c>
      <c r="BO435" s="102">
        <f>(CK435-Driver!$F$207)/(Driver!$G$207-Driver!$F$207)*$BI$1</f>
        <v/>
      </c>
      <c r="BP435" s="102">
        <f>(CM435-Driver!$F$208)/(Driver!$G$208-Driver!$F$208)*$BI$1</f>
        <v/>
      </c>
      <c r="BQ435" s="102">
        <f>(CL435-Driver!$F$209)/(Driver!$G$209-Driver!$F$209)*$BI$1</f>
        <v/>
      </c>
      <c r="BR435" s="40" t="inlineStr">
        <is>
          <t>21/22</t>
        </is>
      </c>
      <c r="BS435" s="10" t="inlineStr">
        <is>
          <t xml:space="preserve"> DPS</t>
        </is>
      </c>
      <c r="BT435" s="11" t="inlineStr">
        <is>
          <t>Pagoda 112 RP</t>
        </is>
      </c>
      <c r="BU435" s="13" t="n">
        <v>168</v>
      </c>
      <c r="BV435" s="11" t="inlineStr">
        <is>
          <t xml:space="preserve"> Unisex</t>
        </is>
      </c>
      <c r="BW435" s="13" t="n">
        <v>168</v>
      </c>
      <c r="BX435" s="13" t="n">
        <v>166.6</v>
      </c>
      <c r="BY435" s="13" t="n">
        <v>98</v>
      </c>
      <c r="BZ435" s="13" t="n">
        <v>112</v>
      </c>
      <c r="CA435" s="13" t="n">
        <v>136</v>
      </c>
      <c r="CB435" s="13" t="n">
        <v>112</v>
      </c>
      <c r="CC435" s="13" t="n">
        <v>124</v>
      </c>
      <c r="CD435" s="13" t="n">
        <v>15.2</v>
      </c>
      <c r="CE435" s="13" t="n">
        <v>1732</v>
      </c>
      <c r="CF435" s="13" t="n">
        <v>1.15</v>
      </c>
      <c r="CG435" s="13" t="n">
        <v>1985</v>
      </c>
      <c r="CH435" s="13" t="n">
        <v>154</v>
      </c>
      <c r="CI435" s="13" t="n">
        <v>96</v>
      </c>
      <c r="CJ435" s="13" t="n">
        <v>59</v>
      </c>
      <c r="CK435" s="13" t="n">
        <v>395</v>
      </c>
      <c r="CL435" s="13" t="n">
        <v>32</v>
      </c>
      <c r="CM435" s="13" t="n">
        <v>287</v>
      </c>
      <c r="CN435" s="13" t="n">
        <v>0.543</v>
      </c>
      <c r="CO435" s="13" t="n">
        <v>306</v>
      </c>
      <c r="CP435" s="13" t="n">
        <v>243</v>
      </c>
      <c r="CQ435" s="13" t="n">
        <v>89</v>
      </c>
      <c r="CR435" s="13" t="n">
        <v>6</v>
      </c>
      <c r="CS435" s="13" t="n">
        <v>14</v>
      </c>
      <c r="CT435" s="11" t="inlineStr">
        <is>
          <t xml:space="preserve"> Powder</t>
        </is>
      </c>
      <c r="CU435" s="11" t="inlineStr">
        <is>
          <t xml:space="preserve"> Touring</t>
        </is>
      </c>
      <c r="CV435" s="13" t="n"/>
      <c r="CW435" s="13" t="n"/>
      <c r="CX435">
        <f>INDEX('Data_Price '!AG$2:AG$1266,MATCH(Data!$DN435,'Data_Price '!$AT$2:$AT$1266,0))</f>
        <v/>
      </c>
      <c r="CY435">
        <f>INDEX('Data_Price '!AH$2:AH$1266,MATCH(Data!$DN435,'Data_Price '!$AT$2:$AT$1266,0))</f>
        <v/>
      </c>
      <c r="CZ435">
        <f>INDEX('Data_Price '!AI$2:AI$1266,MATCH(Data!$DN435,'Data_Price '!$AT$2:$AT$1266,0))</f>
        <v/>
      </c>
      <c r="DA435">
        <f>INDEX('Data_Price '!AJ$2:AJ$1266,MATCH(Data!$DN435,'Data_Price '!$AT$2:$AT$1266,0))</f>
        <v/>
      </c>
      <c r="DB435">
        <f>INDEX('Data_Price '!AK$2:AK$1266,MATCH(Data!$DN435,'Data_Price '!$AT$2:$AT$1266,0))</f>
        <v/>
      </c>
      <c r="DC435">
        <f>INDEX('Data_Price '!AL$2:AL$1266,MATCH(Data!$DN435,'Data_Price '!$AT$2:$AT$1266,0))</f>
        <v/>
      </c>
      <c r="DD435">
        <f>INDEX('Data_Price '!AM$2:AM$1266,MATCH(Data!$DN435,'Data_Price '!$AT$2:$AT$1266,0))</f>
        <v/>
      </c>
      <c r="DE435">
        <f>INDEX('Data_Price '!AN$2:AN$1266,MATCH(Data!$DN435,'Data_Price '!$AT$2:$AT$1266,0))</f>
        <v/>
      </c>
      <c r="DF435">
        <f>INDEX('Data_Price '!AO$2:AO$1266,MATCH(Data!$DN435,'Data_Price '!$AT$2:$AT$1266,0))</f>
        <v/>
      </c>
      <c r="DG435">
        <f>INDEX('Data_Price '!AP$2:AP$1266,MATCH(Data!$DN435,'Data_Price '!$AT$2:$AT$1266,0))</f>
        <v/>
      </c>
      <c r="DH435">
        <f>INDEX('Data_Price '!AQ$2:AQ$1266,MATCH(Data!$DN435,'Data_Price '!$AT$2:$AT$1266,0))</f>
        <v/>
      </c>
      <c r="DI435">
        <f>INDEX('Data_Price '!AR$2:AR$1266,MATCH(Data!$DN435,'Data_Price '!$AT$2:$AT$1266,0))</f>
        <v/>
      </c>
      <c r="DJ435" s="138">
        <f>DA435</f>
        <v/>
      </c>
      <c r="DK435" s="138">
        <f>DE435</f>
        <v/>
      </c>
      <c r="DL435" s="138">
        <f>DI435</f>
        <v/>
      </c>
      <c r="DM435" s="303">
        <f>IF(LEFT(BT435,1)=" ",RIGHT(BT435,LEN(BT435)-1),BT435)</f>
        <v/>
      </c>
      <c r="DN435" s="138">
        <f>_xlfn.CONCAT(BS435,DM435,BU435,BV435)</f>
        <v/>
      </c>
      <c r="DO435" s="307" t="inlineStr">
        <is>
          <t>https://images.evo.com/imgp/250/183639/728542/dps-pagoda-tour-112-rp-skis-2022-.jpg</t>
        </is>
      </c>
    </row>
    <row r="436" ht="15.6" customHeight="1" s="184">
      <c r="B436" s="303">
        <f t="array" ref="B436">IF(OR(ISERROR(K436:P436)),FALSE,TRUE)</f>
        <v/>
      </c>
      <c r="C436" s="60">
        <f>OR(BR436=Driver!$G$50,Data!BR748=Driver!$H$50)</f>
        <v/>
      </c>
      <c r="D436" s="60">
        <f>OR(BV436=Driver!$G$51,BV436=Driver!$H$51)</f>
        <v/>
      </c>
      <c r="E436" s="60">
        <f>AND(BX436&gt;Driver!$F$54,BX436&lt;Driver!$G$54)</f>
        <v/>
      </c>
      <c r="F436" s="60">
        <f>CL436&gt;Driver!$F$56</f>
        <v/>
      </c>
      <c r="G436" s="60">
        <f>AND(CB436&gt;Driver!$F$55,CB436&lt;Driver!$G$55)</f>
        <v/>
      </c>
      <c r="H436" s="60">
        <f>AND(B436:G436)</f>
        <v/>
      </c>
      <c r="I436" s="60">
        <f>COUNTIFS($H$9:$H$1273,TRUE,$BT$9:$BT$1273,BT436)</f>
        <v/>
      </c>
      <c r="J436" s="60">
        <f t="array" ref="J436">NOT(OR(($H$9:$H$1273=TRUE)*($I$9:$I$1273&gt;0)*($BT$9:$BT$1273=BT436)*($K$9:$K$1273&gt;K436)))</f>
        <v/>
      </c>
      <c r="K436" s="108">
        <f>IFERROR(1-AVERAGE(X436:Y436),"")</f>
        <v/>
      </c>
      <c r="L436" s="108">
        <f>1-X436</f>
        <v/>
      </c>
      <c r="M436" s="108">
        <f>1-Y436</f>
        <v/>
      </c>
      <c r="N436" s="108">
        <f>1-Z436</f>
        <v/>
      </c>
      <c r="O436" s="108">
        <f>1-AA436</f>
        <v/>
      </c>
      <c r="P436" s="108">
        <f>1-AB436</f>
        <v/>
      </c>
      <c r="Q436" s="108" t="n"/>
      <c r="R436" s="108" t="n"/>
      <c r="S436" s="108">
        <f>1-AE436</f>
        <v/>
      </c>
      <c r="T436" s="108">
        <f>1-AF436</f>
        <v/>
      </c>
      <c r="U436" s="108">
        <f>1-AG436</f>
        <v/>
      </c>
      <c r="V436" s="108">
        <f>1-AH436</f>
        <v/>
      </c>
      <c r="W436" s="108">
        <f>1-AI436</f>
        <v/>
      </c>
      <c r="X436" s="108">
        <f>ABS(AJ436-AJ$1)</f>
        <v/>
      </c>
      <c r="Y436" s="108">
        <f>AVERAGE(Z436:AB436)</f>
        <v/>
      </c>
      <c r="Z436" s="108">
        <f>ABS(AL436-AL$1)</f>
        <v/>
      </c>
      <c r="AA436" s="108">
        <f>ABS(AM436-AM$1)</f>
        <v/>
      </c>
      <c r="AB436" s="108">
        <f>ABS(AN436-AN$1)</f>
        <v/>
      </c>
      <c r="AC436" s="108" t="n"/>
      <c r="AD436" s="108" t="n"/>
      <c r="AE436" s="108">
        <f>ABS(AQ$1-AQ436)</f>
        <v/>
      </c>
      <c r="AF436" s="108">
        <f>ABS(AR$1-AR436)</f>
        <v/>
      </c>
      <c r="AG436" s="108">
        <f>ABS(AS$1-AS436)</f>
        <v/>
      </c>
      <c r="AH436" s="108">
        <f>ABS(AT$1-AT436)</f>
        <v/>
      </c>
      <c r="AI436" s="108">
        <f>ABS(AU$1-AU436)</f>
        <v/>
      </c>
      <c r="AJ436" s="108">
        <f>(AV436-Driver!$K$179)/(Driver!$L$179-Driver!$K$179)</f>
        <v/>
      </c>
      <c r="AK436" s="108">
        <f>(AW436-Driver!$K$180)/(Driver!$L$180-Driver!$K$180)</f>
        <v/>
      </c>
      <c r="AL436" s="108">
        <f>(AX436-Driver!$K$181)/(Driver!$L$181-Driver!$K$181)</f>
        <v/>
      </c>
      <c r="AM436" s="108">
        <f>(AY436-Driver!$K$182)/(Driver!$L$182-Driver!$K$182)</f>
        <v/>
      </c>
      <c r="AN436" s="108">
        <f>(AZ436-Driver!$K$183)/(Driver!$L$183-Driver!$K$183)</f>
        <v/>
      </c>
      <c r="AO436" s="108" t="n"/>
      <c r="AP436" s="108" t="n"/>
      <c r="AQ436" s="108">
        <f>(BC436-Driver!$K$188)/(Driver!$L$188-Driver!$K$188)</f>
        <v/>
      </c>
      <c r="AR436" s="108">
        <f>MIN((BD436-Driver!$K$189)/(Driver!$L$189-Driver!$K$189),100%)</f>
        <v/>
      </c>
      <c r="AS436" s="108">
        <f>(BE436-Driver!$K$190)/(Driver!$L$190-Driver!$K$190)</f>
        <v/>
      </c>
      <c r="AT436" s="108">
        <f>(BF436-Driver!$K$191)/(Driver!$L$191-Driver!$K$191)</f>
        <v/>
      </c>
      <c r="AU436" s="108">
        <f>(BG436-Driver!$K$192)/(Driver!$L$192-Driver!$K$192)</f>
        <v/>
      </c>
      <c r="AV436" s="105">
        <f>IFERROR(BM436*BJ436^1/4,"")</f>
        <v/>
      </c>
      <c r="AW436" s="105">
        <f>IFERROR(SUM(AX436:AZ436),"")</f>
        <v/>
      </c>
      <c r="AX436" s="105">
        <f>IFERROR(BH436,"")</f>
        <v/>
      </c>
      <c r="AY436" s="105">
        <f>IFERROR(Driver!$K$19/Data!BH436/Data!BI436*Data!BK436*Data!BL436,"")</f>
        <v/>
      </c>
      <c r="AZ436" s="105">
        <f>IFERROR(BI436*BN436,"")</f>
        <v/>
      </c>
      <c r="BA436" s="105" t="n"/>
      <c r="BB436" s="105" t="n"/>
      <c r="BC436" s="105">
        <f>IFERROR(BI436*BN436*BK436/BJ436^(1/2),"")</f>
        <v/>
      </c>
      <c r="BD436" s="105">
        <f>IFERROR(BH436*BM436*BL436/BJ436/BK436,"")</f>
        <v/>
      </c>
      <c r="BE436" s="105">
        <f>IFERROR(MIN(BI436/BQ436/BP436/BO436/BH436,$BE$1),"")</f>
        <v/>
      </c>
      <c r="BF436" s="105">
        <f>IFERROR(BJ436*BO436*BP436/BK436,"")</f>
        <v/>
      </c>
      <c r="BG436" s="105">
        <f>IFERROR(1/BM436/BH436*BQ436,"")</f>
        <v/>
      </c>
      <c r="BH436" s="102">
        <f>MAX((CE436-Driver!$F$200)/(Driver!$G$200-Driver!$F$200)*$BI$1,1)</f>
        <v/>
      </c>
      <c r="BI436" s="102">
        <f>MAX($BI$1*(BY436-Driver!$F$201)/(Driver!$G$201-Driver!$F$201),1)</f>
        <v/>
      </c>
      <c r="BJ436" s="102">
        <f>(CB436-Driver!$F$206)/(Driver!$G$206-Driver!$F$206)*$BI$1</f>
        <v/>
      </c>
      <c r="BK436" s="102">
        <f>(CD436-Driver!$F$203)/(Driver!$G$203-Driver!$F$203)*$BI$1</f>
        <v/>
      </c>
      <c r="BL436" s="102">
        <f>MAX((CR436-Driver!$F$202)/(Driver!$G$202-Driver!$F$202)*$BI$1,1)</f>
        <v/>
      </c>
      <c r="BM436" s="102">
        <f>MAX((CH436-Driver!$F$204)/(Driver!$G$204-Driver!$F$204)*$BI$1,1)</f>
        <v/>
      </c>
      <c r="BN436" s="102">
        <f>(CI436-Driver!$F$205)/(Driver!$G$205-Driver!$F$205)*$BI$1</f>
        <v/>
      </c>
      <c r="BO436" s="102">
        <f>(CK436-Driver!$F$207)/(Driver!$G$207-Driver!$F$207)*$BI$1</f>
        <v/>
      </c>
      <c r="BP436" s="102">
        <f>(CM436-Driver!$F$208)/(Driver!$G$208-Driver!$F$208)*$BI$1</f>
        <v/>
      </c>
      <c r="BQ436" s="102">
        <f>(CL436-Driver!$F$209)/(Driver!$G$209-Driver!$F$209)*$BI$1</f>
        <v/>
      </c>
      <c r="BR436" s="40" t="inlineStr">
        <is>
          <t>21/22</t>
        </is>
      </c>
      <c r="BS436" s="10" t="inlineStr">
        <is>
          <t xml:space="preserve"> K2</t>
        </is>
      </c>
      <c r="BT436" s="11" t="inlineStr">
        <is>
          <t>Mindbender 98 Ti Alliance</t>
        </is>
      </c>
      <c r="BU436" s="13" t="n">
        <v>161</v>
      </c>
      <c r="BV436" s="11" t="inlineStr">
        <is>
          <t xml:space="preserve"> Women's</t>
        </is>
      </c>
      <c r="BW436" s="13" t="n">
        <v>161</v>
      </c>
      <c r="BX436" s="13" t="n">
        <v>161.1</v>
      </c>
      <c r="BY436" s="13" t="n">
        <v>114</v>
      </c>
      <c r="BZ436" s="13" t="n">
        <v>133</v>
      </c>
      <c r="CA436" s="13" t="n">
        <v>133</v>
      </c>
      <c r="CB436" s="13" t="n">
        <v>97</v>
      </c>
      <c r="CC436" s="13" t="n">
        <v>119</v>
      </c>
      <c r="CD436" s="13" t="n">
        <v>14.6</v>
      </c>
      <c r="CE436" s="13" t="n">
        <v>1700</v>
      </c>
      <c r="CF436" s="13" t="n">
        <v>1.03</v>
      </c>
      <c r="CG436" s="13" t="n">
        <v>1752</v>
      </c>
      <c r="CH436" s="13" t="n">
        <v>144</v>
      </c>
      <c r="CI436" s="13" t="n">
        <v>91</v>
      </c>
      <c r="CJ436" s="13" t="n">
        <v>48</v>
      </c>
      <c r="CK436" s="13" t="n">
        <v>287</v>
      </c>
      <c r="CL436" s="13" t="n">
        <v>15</v>
      </c>
      <c r="CM436" s="13" t="n">
        <v>180</v>
      </c>
      <c r="CN436" s="13" t="n">
        <v>0.309</v>
      </c>
      <c r="CO436" s="13" t="n">
        <v>157</v>
      </c>
      <c r="CP436" s="13" t="n">
        <v>120</v>
      </c>
      <c r="CQ436" s="13" t="n">
        <v>130</v>
      </c>
      <c r="CR436" s="13" t="n">
        <v>7</v>
      </c>
      <c r="CS436" s="13" t="n">
        <v>10.7</v>
      </c>
      <c r="CT436" s="11" t="inlineStr">
        <is>
          <t xml:space="preserve"> Resort Freeride</t>
        </is>
      </c>
      <c r="CU436" s="13" t="n"/>
      <c r="CV436" s="13" t="n"/>
      <c r="CW436" s="13" t="n"/>
      <c r="CX436">
        <f>INDEX('Data_Price '!AG$2:AG$1266,MATCH(Data!$DN436,'Data_Price '!$AT$2:$AT$1266,0))</f>
        <v/>
      </c>
      <c r="CY436">
        <f>INDEX('Data_Price '!AH$2:AH$1266,MATCH(Data!$DN436,'Data_Price '!$AT$2:$AT$1266,0))</f>
        <v/>
      </c>
      <c r="CZ436">
        <f>INDEX('Data_Price '!AI$2:AI$1266,MATCH(Data!$DN436,'Data_Price '!$AT$2:$AT$1266,0))</f>
        <v/>
      </c>
      <c r="DA436">
        <f>INDEX('Data_Price '!AJ$2:AJ$1266,MATCH(Data!$DN436,'Data_Price '!$AT$2:$AT$1266,0))</f>
        <v/>
      </c>
      <c r="DB436">
        <f>INDEX('Data_Price '!AK$2:AK$1266,MATCH(Data!$DN436,'Data_Price '!$AT$2:$AT$1266,0))</f>
        <v/>
      </c>
      <c r="DC436">
        <f>INDEX('Data_Price '!AL$2:AL$1266,MATCH(Data!$DN436,'Data_Price '!$AT$2:$AT$1266,0))</f>
        <v/>
      </c>
      <c r="DD436">
        <f>INDEX('Data_Price '!AM$2:AM$1266,MATCH(Data!$DN436,'Data_Price '!$AT$2:$AT$1266,0))</f>
        <v/>
      </c>
      <c r="DE436">
        <f>INDEX('Data_Price '!AN$2:AN$1266,MATCH(Data!$DN436,'Data_Price '!$AT$2:$AT$1266,0))</f>
        <v/>
      </c>
      <c r="DF436">
        <f>INDEX('Data_Price '!AO$2:AO$1266,MATCH(Data!$DN436,'Data_Price '!$AT$2:$AT$1266,0))</f>
        <v/>
      </c>
      <c r="DG436">
        <f>INDEX('Data_Price '!AP$2:AP$1266,MATCH(Data!$DN436,'Data_Price '!$AT$2:$AT$1266,0))</f>
        <v/>
      </c>
      <c r="DH436">
        <f>INDEX('Data_Price '!AQ$2:AQ$1266,MATCH(Data!$DN436,'Data_Price '!$AT$2:$AT$1266,0))</f>
        <v/>
      </c>
      <c r="DI436">
        <f>INDEX('Data_Price '!AR$2:AR$1266,MATCH(Data!$DN436,'Data_Price '!$AT$2:$AT$1266,0))</f>
        <v/>
      </c>
      <c r="DJ436" s="138">
        <f>DA436</f>
        <v/>
      </c>
      <c r="DK436" s="138">
        <f>DE436</f>
        <v/>
      </c>
      <c r="DL436" s="138">
        <f>DI436</f>
        <v/>
      </c>
      <c r="DM436" s="303">
        <f>IF(LEFT(BT436,1)=" ",RIGHT(BT436,LEN(BT436)-1),BT436)</f>
        <v/>
      </c>
      <c r="DN436" s="138">
        <f>_xlfn.CONCAT(BS436,DM436,BU436,BV436)</f>
        <v/>
      </c>
      <c r="DO436" s="307" t="n"/>
    </row>
    <row r="437" ht="15.6" customHeight="1" s="184">
      <c r="B437" s="303">
        <f t="array" ref="B437">IF(OR(ISERROR(K437:P437)),FALSE,TRUE)</f>
        <v/>
      </c>
      <c r="C437" s="60">
        <f>OR(BR437=Driver!$G$50,Data!BR973=Driver!$H$50)</f>
        <v/>
      </c>
      <c r="D437" s="60">
        <f>OR(BV437=Driver!$G$51,BV437=Driver!$H$51)</f>
        <v/>
      </c>
      <c r="E437" s="60">
        <f>AND(BX437&gt;Driver!$F$54,BX437&lt;Driver!$G$54)</f>
        <v/>
      </c>
      <c r="F437" s="60">
        <f>CL437&gt;Driver!$F$56</f>
        <v/>
      </c>
      <c r="G437" s="60">
        <f>AND(CB437&gt;Driver!$F$55,CB437&lt;Driver!$G$55)</f>
        <v/>
      </c>
      <c r="H437" s="60">
        <f>AND(B437:G437)</f>
        <v/>
      </c>
      <c r="I437" s="60">
        <f>COUNTIFS($H$9:$H$1273,TRUE,$BT$9:$BT$1273,BT437)</f>
        <v/>
      </c>
      <c r="J437" s="60">
        <f t="array" ref="J437">NOT(OR(($H$9:$H$1273=TRUE)*($I$9:$I$1273&gt;0)*($BT$9:$BT$1273=BT437)*($K$9:$K$1273&gt;K437)))</f>
        <v/>
      </c>
      <c r="K437" s="108">
        <f>IFERROR(1-AVERAGE(X437:Y437),"")</f>
        <v/>
      </c>
      <c r="L437" s="108">
        <f>1-X437</f>
        <v/>
      </c>
      <c r="M437" s="108">
        <f>1-Y437</f>
        <v/>
      </c>
      <c r="N437" s="108">
        <f>1-Z437</f>
        <v/>
      </c>
      <c r="O437" s="108">
        <f>1-AA437</f>
        <v/>
      </c>
      <c r="P437" s="108">
        <f>1-AB437</f>
        <v/>
      </c>
      <c r="Q437" s="108" t="n"/>
      <c r="R437" s="108" t="n"/>
      <c r="S437" s="108">
        <f>1-AE437</f>
        <v/>
      </c>
      <c r="T437" s="108">
        <f>1-AF437</f>
        <v/>
      </c>
      <c r="U437" s="108">
        <f>1-AG437</f>
        <v/>
      </c>
      <c r="V437" s="108">
        <f>1-AH437</f>
        <v/>
      </c>
      <c r="W437" s="108">
        <f>1-AI437</f>
        <v/>
      </c>
      <c r="X437" s="108">
        <f>ABS(AJ437-AJ$1)</f>
        <v/>
      </c>
      <c r="Y437" s="108">
        <f>AVERAGE(Z437:AB437)</f>
        <v/>
      </c>
      <c r="Z437" s="108">
        <f>ABS(AL437-AL$1)</f>
        <v/>
      </c>
      <c r="AA437" s="108">
        <f>ABS(AM437-AM$1)</f>
        <v/>
      </c>
      <c r="AB437" s="108">
        <f>ABS(AN437-AN$1)</f>
        <v/>
      </c>
      <c r="AC437" s="108" t="n"/>
      <c r="AD437" s="108" t="n"/>
      <c r="AE437" s="108">
        <f>ABS(AQ$1-AQ437)</f>
        <v/>
      </c>
      <c r="AF437" s="108">
        <f>ABS(AR$1-AR437)</f>
        <v/>
      </c>
      <c r="AG437" s="108">
        <f>ABS(AS$1-AS437)</f>
        <v/>
      </c>
      <c r="AH437" s="108">
        <f>ABS(AT$1-AT437)</f>
        <v/>
      </c>
      <c r="AI437" s="108">
        <f>ABS(AU$1-AU437)</f>
        <v/>
      </c>
      <c r="AJ437" s="108">
        <f>(AV437-Driver!$K$179)/(Driver!$L$179-Driver!$K$179)</f>
        <v/>
      </c>
      <c r="AK437" s="108">
        <f>(AW437-Driver!$K$180)/(Driver!$L$180-Driver!$K$180)</f>
        <v/>
      </c>
      <c r="AL437" s="108">
        <f>(AX437-Driver!$K$181)/(Driver!$L$181-Driver!$K$181)</f>
        <v/>
      </c>
      <c r="AM437" s="108">
        <f>(AY437-Driver!$K$182)/(Driver!$L$182-Driver!$K$182)</f>
        <v/>
      </c>
      <c r="AN437" s="108">
        <f>(AZ437-Driver!$K$183)/(Driver!$L$183-Driver!$K$183)</f>
        <v/>
      </c>
      <c r="AO437" s="108" t="n"/>
      <c r="AP437" s="108" t="n"/>
      <c r="AQ437" s="108">
        <f>(BC437-Driver!$K$188)/(Driver!$L$188-Driver!$K$188)</f>
        <v/>
      </c>
      <c r="AR437" s="108">
        <f>MIN((BD437-Driver!$K$189)/(Driver!$L$189-Driver!$K$189),100%)</f>
        <v/>
      </c>
      <c r="AS437" s="108">
        <f>(BE437-Driver!$K$190)/(Driver!$L$190-Driver!$K$190)</f>
        <v/>
      </c>
      <c r="AT437" s="108">
        <f>(BF437-Driver!$K$191)/(Driver!$L$191-Driver!$K$191)</f>
        <v/>
      </c>
      <c r="AU437" s="108">
        <f>(BG437-Driver!$K$192)/(Driver!$L$192-Driver!$K$192)</f>
        <v/>
      </c>
      <c r="AV437" s="105">
        <f>IFERROR(BM437*BJ437^1/4,"")</f>
        <v/>
      </c>
      <c r="AW437" s="105">
        <f>IFERROR(SUM(AX437:AZ437),"")</f>
        <v/>
      </c>
      <c r="AX437" s="105">
        <f>IFERROR(BH437,"")</f>
        <v/>
      </c>
      <c r="AY437" s="105">
        <f>IFERROR(Driver!$K$19/Data!BH437/Data!BI437*Data!BK437*Data!BL437,"")</f>
        <v/>
      </c>
      <c r="AZ437" s="105">
        <f>IFERROR(BI437*BN437,"")</f>
        <v/>
      </c>
      <c r="BA437" s="105" t="n"/>
      <c r="BB437" s="105" t="n"/>
      <c r="BC437" s="105">
        <f>IFERROR(BI437*BN437*BK437/BJ437^(1/2),"")</f>
        <v/>
      </c>
      <c r="BD437" s="105">
        <f>IFERROR(BH437*BM437*BL437/BJ437/BK437,"")</f>
        <v/>
      </c>
      <c r="BE437" s="105">
        <f>IFERROR(MIN(BI437/BQ437/BP437/BO437/BH437,$BE$1),"")</f>
        <v/>
      </c>
      <c r="BF437" s="105">
        <f>IFERROR(BJ437*BO437*BP437/BK437,"")</f>
        <v/>
      </c>
      <c r="BG437" s="105">
        <f>IFERROR(1/BM437/BH437*BQ437,"")</f>
        <v/>
      </c>
      <c r="BH437" s="102">
        <f>MAX((CE437-Driver!$F$200)/(Driver!$G$200-Driver!$F$200)*$BI$1,1)</f>
        <v/>
      </c>
      <c r="BI437" s="102">
        <f>MAX($BI$1*(BY437-Driver!$F$201)/(Driver!$G$201-Driver!$F$201),1)</f>
        <v/>
      </c>
      <c r="BJ437" s="102">
        <f>(CB437-Driver!$F$206)/(Driver!$G$206-Driver!$F$206)*$BI$1</f>
        <v/>
      </c>
      <c r="BK437" s="102">
        <f>(CD437-Driver!$F$203)/(Driver!$G$203-Driver!$F$203)*$BI$1</f>
        <v/>
      </c>
      <c r="BL437" s="102">
        <f>MAX((CR437-Driver!$F$202)/(Driver!$G$202-Driver!$F$202)*$BI$1,1)</f>
        <v/>
      </c>
      <c r="BM437" s="102">
        <f>MAX((CH437-Driver!$F$204)/(Driver!$G$204-Driver!$F$204)*$BI$1,1)</f>
        <v/>
      </c>
      <c r="BN437" s="102">
        <f>(CI437-Driver!$F$205)/(Driver!$G$205-Driver!$F$205)*$BI$1</f>
        <v/>
      </c>
      <c r="BO437" s="102">
        <f>(CK437-Driver!$F$207)/(Driver!$G$207-Driver!$F$207)*$BI$1</f>
        <v/>
      </c>
      <c r="BP437" s="102">
        <f>(CM437-Driver!$F$208)/(Driver!$G$208-Driver!$F$208)*$BI$1</f>
        <v/>
      </c>
      <c r="BQ437" s="102">
        <f>(CL437-Driver!$F$209)/(Driver!$G$209-Driver!$F$209)*$BI$1</f>
        <v/>
      </c>
      <c r="BR437" s="40" t="inlineStr">
        <is>
          <t>21/22</t>
        </is>
      </c>
      <c r="BS437" s="10" t="inlineStr">
        <is>
          <t xml:space="preserve"> Rossignol</t>
        </is>
      </c>
      <c r="BT437" s="11" t="inlineStr">
        <is>
          <t xml:space="preserve"> Blackops Escaper</t>
        </is>
      </c>
      <c r="BU437" s="13" t="n">
        <v>178</v>
      </c>
      <c r="BV437" s="11" t="inlineStr">
        <is>
          <t xml:space="preserve"> Unisex</t>
        </is>
      </c>
      <c r="BW437" s="13" t="n">
        <v>178</v>
      </c>
      <c r="BX437" s="13" t="n">
        <v>178.4</v>
      </c>
      <c r="BY437" s="13" t="n">
        <v>131</v>
      </c>
      <c r="BZ437" s="13" t="n">
        <v>154</v>
      </c>
      <c r="CA437" s="13" t="n">
        <v>126</v>
      </c>
      <c r="CB437" s="13" t="n">
        <v>93</v>
      </c>
      <c r="CC437" s="13" t="n">
        <v>116</v>
      </c>
      <c r="CD437" s="13" t="n">
        <v>18.6</v>
      </c>
      <c r="CE437" s="13" t="n">
        <v>1801</v>
      </c>
      <c r="CF437" s="13" t="n">
        <v>1.03</v>
      </c>
      <c r="CG437" s="13" t="n">
        <v>1857</v>
      </c>
      <c r="CH437" s="13" t="n">
        <v>251</v>
      </c>
      <c r="CI437" s="13" t="n">
        <v>125</v>
      </c>
      <c r="CJ437" s="13" t="n">
        <v>49</v>
      </c>
      <c r="CK437" s="13" t="n">
        <v>307</v>
      </c>
      <c r="CL437" s="13" t="n">
        <v>11</v>
      </c>
      <c r="CM437" s="13" t="n">
        <v>171</v>
      </c>
      <c r="CN437" s="13" t="n">
        <v>0.22</v>
      </c>
      <c r="CO437" s="13" t="n">
        <v>142</v>
      </c>
      <c r="CP437" s="13" t="n">
        <v>104</v>
      </c>
      <c r="CQ437" s="13" t="n">
        <v>165</v>
      </c>
      <c r="CR437" s="13" t="n">
        <v>8</v>
      </c>
      <c r="CS437" s="13" t="n">
        <v>7.6</v>
      </c>
      <c r="CT437" s="11" t="inlineStr">
        <is>
          <t xml:space="preserve"> Resort Freeride</t>
        </is>
      </c>
      <c r="CU437" s="13" t="n"/>
      <c r="CV437" s="13" t="n"/>
      <c r="CW437" s="13" t="n"/>
      <c r="CX437">
        <f>INDEX('Data_Price '!AG$2:AG$1266,MATCH(Data!$DN437,'Data_Price '!$AT$2:$AT$1266,0))</f>
        <v/>
      </c>
      <c r="CY437">
        <f>INDEX('Data_Price '!AH$2:AH$1266,MATCH(Data!$DN437,'Data_Price '!$AT$2:$AT$1266,0))</f>
        <v/>
      </c>
      <c r="CZ437">
        <f>INDEX('Data_Price '!AI$2:AI$1266,MATCH(Data!$DN437,'Data_Price '!$AT$2:$AT$1266,0))</f>
        <v/>
      </c>
      <c r="DA437">
        <f>INDEX('Data_Price '!AJ$2:AJ$1266,MATCH(Data!$DN437,'Data_Price '!$AT$2:$AT$1266,0))</f>
        <v/>
      </c>
      <c r="DB437">
        <f>INDEX('Data_Price '!AK$2:AK$1266,MATCH(Data!$DN437,'Data_Price '!$AT$2:$AT$1266,0))</f>
        <v/>
      </c>
      <c r="DC437">
        <f>INDEX('Data_Price '!AL$2:AL$1266,MATCH(Data!$DN437,'Data_Price '!$AT$2:$AT$1266,0))</f>
        <v/>
      </c>
      <c r="DD437">
        <f>INDEX('Data_Price '!AM$2:AM$1266,MATCH(Data!$DN437,'Data_Price '!$AT$2:$AT$1266,0))</f>
        <v/>
      </c>
      <c r="DE437">
        <f>INDEX('Data_Price '!AN$2:AN$1266,MATCH(Data!$DN437,'Data_Price '!$AT$2:$AT$1266,0))</f>
        <v/>
      </c>
      <c r="DF437">
        <f>INDEX('Data_Price '!AO$2:AO$1266,MATCH(Data!$DN437,'Data_Price '!$AT$2:$AT$1266,0))</f>
        <v/>
      </c>
      <c r="DG437">
        <f>INDEX('Data_Price '!AP$2:AP$1266,MATCH(Data!$DN437,'Data_Price '!$AT$2:$AT$1266,0))</f>
        <v/>
      </c>
      <c r="DH437">
        <f>INDEX('Data_Price '!AQ$2:AQ$1266,MATCH(Data!$DN437,'Data_Price '!$AT$2:$AT$1266,0))</f>
        <v/>
      </c>
      <c r="DI437">
        <f>INDEX('Data_Price '!AR$2:AR$1266,MATCH(Data!$DN437,'Data_Price '!$AT$2:$AT$1266,0))</f>
        <v/>
      </c>
      <c r="DJ437" s="138">
        <f>DA437</f>
        <v/>
      </c>
      <c r="DK437" s="138">
        <f>DE437</f>
        <v/>
      </c>
      <c r="DL437" s="138">
        <f>DI437</f>
        <v/>
      </c>
      <c r="DM437" s="303">
        <f>IF(LEFT(BT437,1)=" ",RIGHT(BT437,LEN(BT437)-1),BT437)</f>
        <v/>
      </c>
      <c r="DN437" s="138">
        <f>_xlfn.CONCAT(BS437,DM437,BU437,BV437)</f>
        <v/>
      </c>
      <c r="DO437" s="307" t="n"/>
    </row>
    <row r="438" ht="15.6" customHeight="1" s="184">
      <c r="B438" s="303">
        <f t="array" ref="B438">IF(OR(ISERROR(K438:P438)),FALSE,TRUE)</f>
        <v/>
      </c>
      <c r="C438" s="60">
        <f>OR(BR438=Driver!$G$50,Data!BR462=Driver!$H$50)</f>
        <v/>
      </c>
      <c r="D438" s="60">
        <f>OR(BV438=Driver!$G$51,BV438=Driver!$H$51)</f>
        <v/>
      </c>
      <c r="E438" s="60">
        <f>AND(BX438&gt;Driver!$F$54,BX438&lt;Driver!$G$54)</f>
        <v/>
      </c>
      <c r="F438" s="60">
        <f>CL438&gt;Driver!$F$56</f>
        <v/>
      </c>
      <c r="G438" s="60">
        <f>AND(CB438&gt;Driver!$F$55,CB438&lt;Driver!$G$55)</f>
        <v/>
      </c>
      <c r="H438" s="60">
        <f>AND(B438:G438)</f>
        <v/>
      </c>
      <c r="I438" s="60">
        <f>COUNTIFS($H$9:$H$1273,TRUE,$BT$9:$BT$1273,BT438)</f>
        <v/>
      </c>
      <c r="J438" s="60">
        <f t="array" ref="J438">NOT(OR(($H$9:$H$1273=TRUE)*($I$9:$I$1273&gt;0)*($BT$9:$BT$1273=BT438)*($K$9:$K$1273&gt;K438)))</f>
        <v/>
      </c>
      <c r="K438" s="108">
        <f>IFERROR(1-AVERAGE(X438:Y438),"")</f>
        <v/>
      </c>
      <c r="L438" s="108">
        <f>1-X438</f>
        <v/>
      </c>
      <c r="M438" s="108">
        <f>1-Y438</f>
        <v/>
      </c>
      <c r="N438" s="108">
        <f>1-Z438</f>
        <v/>
      </c>
      <c r="O438" s="108">
        <f>1-AA438</f>
        <v/>
      </c>
      <c r="P438" s="108">
        <f>1-AB438</f>
        <v/>
      </c>
      <c r="Q438" s="108" t="n"/>
      <c r="R438" s="108" t="n"/>
      <c r="S438" s="108">
        <f>1-AE438</f>
        <v/>
      </c>
      <c r="T438" s="108">
        <f>1-AF438</f>
        <v/>
      </c>
      <c r="U438" s="108">
        <f>1-AG438</f>
        <v/>
      </c>
      <c r="V438" s="108">
        <f>1-AH438</f>
        <v/>
      </c>
      <c r="W438" s="108">
        <f>1-AI438</f>
        <v/>
      </c>
      <c r="X438" s="108">
        <f>ABS(AJ438-AJ$1)</f>
        <v/>
      </c>
      <c r="Y438" s="108">
        <f>AVERAGE(Z438:AB438)</f>
        <v/>
      </c>
      <c r="Z438" s="108">
        <f>ABS(AL438-AL$1)</f>
        <v/>
      </c>
      <c r="AA438" s="108">
        <f>ABS(AM438-AM$1)</f>
        <v/>
      </c>
      <c r="AB438" s="108">
        <f>ABS(AN438-AN$1)</f>
        <v/>
      </c>
      <c r="AC438" s="108" t="n"/>
      <c r="AD438" s="108" t="n"/>
      <c r="AE438" s="108">
        <f>ABS(AQ$1-AQ438)</f>
        <v/>
      </c>
      <c r="AF438" s="108">
        <f>ABS(AR$1-AR438)</f>
        <v/>
      </c>
      <c r="AG438" s="108">
        <f>ABS(AS$1-AS438)</f>
        <v/>
      </c>
      <c r="AH438" s="108">
        <f>ABS(AT$1-AT438)</f>
        <v/>
      </c>
      <c r="AI438" s="108">
        <f>ABS(AU$1-AU438)</f>
        <v/>
      </c>
      <c r="AJ438" s="108">
        <f>(AV438-Driver!$K$179)/(Driver!$L$179-Driver!$K$179)</f>
        <v/>
      </c>
      <c r="AK438" s="108">
        <f>(AW438-Driver!$K$180)/(Driver!$L$180-Driver!$K$180)</f>
        <v/>
      </c>
      <c r="AL438" s="108">
        <f>(AX438-Driver!$K$181)/(Driver!$L$181-Driver!$K$181)</f>
        <v/>
      </c>
      <c r="AM438" s="108">
        <f>(AY438-Driver!$K$182)/(Driver!$L$182-Driver!$K$182)</f>
        <v/>
      </c>
      <c r="AN438" s="108">
        <f>(AZ438-Driver!$K$183)/(Driver!$L$183-Driver!$K$183)</f>
        <v/>
      </c>
      <c r="AO438" s="108" t="n"/>
      <c r="AP438" s="108" t="n"/>
      <c r="AQ438" s="108">
        <f>(BC438-Driver!$K$188)/(Driver!$L$188-Driver!$K$188)</f>
        <v/>
      </c>
      <c r="AR438" s="108">
        <f>MIN((BD438-Driver!$K$189)/(Driver!$L$189-Driver!$K$189),100%)</f>
        <v/>
      </c>
      <c r="AS438" s="108">
        <f>(BE438-Driver!$K$190)/(Driver!$L$190-Driver!$K$190)</f>
        <v/>
      </c>
      <c r="AT438" s="108">
        <f>(BF438-Driver!$K$191)/(Driver!$L$191-Driver!$K$191)</f>
        <v/>
      </c>
      <c r="AU438" s="108">
        <f>(BG438-Driver!$K$192)/(Driver!$L$192-Driver!$K$192)</f>
        <v/>
      </c>
      <c r="AV438" s="105">
        <f>IFERROR(BM438*BJ438^1/4,"")</f>
        <v/>
      </c>
      <c r="AW438" s="105">
        <f>IFERROR(SUM(AX438:AZ438),"")</f>
        <v/>
      </c>
      <c r="AX438" s="105">
        <f>IFERROR(BH438,"")</f>
        <v/>
      </c>
      <c r="AY438" s="105">
        <f>IFERROR(Driver!$K$19/Data!BH438/Data!BI438*Data!BK438*Data!BL438,"")</f>
        <v/>
      </c>
      <c r="AZ438" s="105">
        <f>IFERROR(BI438*BN438,"")</f>
        <v/>
      </c>
      <c r="BA438" s="105" t="n"/>
      <c r="BB438" s="105" t="n"/>
      <c r="BC438" s="105">
        <f>IFERROR(BI438*BN438*BK438/BJ438^(1/2),"")</f>
        <v/>
      </c>
      <c r="BD438" s="105">
        <f>IFERROR(BH438*BM438*BL438/BJ438/BK438,"")</f>
        <v/>
      </c>
      <c r="BE438" s="105">
        <f>IFERROR(MIN(BI438/BQ438/BP438/BO438/BH438,$BE$1),"")</f>
        <v/>
      </c>
      <c r="BF438" s="105">
        <f>IFERROR(BJ438*BO438*BP438/BK438,"")</f>
        <v/>
      </c>
      <c r="BG438" s="105">
        <f>IFERROR(1/BM438/BH438*BQ438,"")</f>
        <v/>
      </c>
      <c r="BH438" s="102">
        <f>MAX((CE438-Driver!$F$200)/(Driver!$G$200-Driver!$F$200)*$BI$1,1)</f>
        <v/>
      </c>
      <c r="BI438" s="102">
        <f>MAX($BI$1*(BY438-Driver!$F$201)/(Driver!$G$201-Driver!$F$201),1)</f>
        <v/>
      </c>
      <c r="BJ438" s="102">
        <f>(CB438-Driver!$F$206)/(Driver!$G$206-Driver!$F$206)*$BI$1</f>
        <v/>
      </c>
      <c r="BK438" s="102">
        <f>(CD438-Driver!$F$203)/(Driver!$G$203-Driver!$F$203)*$BI$1</f>
        <v/>
      </c>
      <c r="BL438" s="102">
        <f>MAX((CR438-Driver!$F$202)/(Driver!$G$202-Driver!$F$202)*$BI$1,1)</f>
        <v/>
      </c>
      <c r="BM438" s="102">
        <f>MAX((CH438-Driver!$F$204)/(Driver!$G$204-Driver!$F$204)*$BI$1,1)</f>
        <v/>
      </c>
      <c r="BN438" s="102">
        <f>(CI438-Driver!$F$205)/(Driver!$G$205-Driver!$F$205)*$BI$1</f>
        <v/>
      </c>
      <c r="BO438" s="102">
        <f>(CK438-Driver!$F$207)/(Driver!$G$207-Driver!$F$207)*$BI$1</f>
        <v/>
      </c>
      <c r="BP438" s="102">
        <f>(CM438-Driver!$F$208)/(Driver!$G$208-Driver!$F$208)*$BI$1</f>
        <v/>
      </c>
      <c r="BQ438" s="102">
        <f>(CL438-Driver!$F$209)/(Driver!$G$209-Driver!$F$209)*$BI$1</f>
        <v/>
      </c>
      <c r="BR438" s="40" t="inlineStr">
        <is>
          <t>21/22</t>
        </is>
      </c>
      <c r="BS438" s="10" t="inlineStr">
        <is>
          <t xml:space="preserve"> Elan</t>
        </is>
      </c>
      <c r="BT438" s="11" t="inlineStr">
        <is>
          <t>Ripstick 96</t>
        </is>
      </c>
      <c r="BU438" s="13" t="n">
        <v>172</v>
      </c>
      <c r="BV438" s="11" t="inlineStr">
        <is>
          <t xml:space="preserve"> Unisex</t>
        </is>
      </c>
      <c r="BW438" s="13" t="n">
        <v>172</v>
      </c>
      <c r="BX438" s="13" t="n">
        <v>170.3</v>
      </c>
      <c r="BY438" s="13" t="n">
        <v>127</v>
      </c>
      <c r="BZ438" s="13" t="n">
        <v>136</v>
      </c>
      <c r="CA438" s="13" t="n">
        <v>136</v>
      </c>
      <c r="CB438" s="13" t="n">
        <v>94</v>
      </c>
      <c r="CC438" s="13" t="n">
        <v>110</v>
      </c>
      <c r="CD438" s="13" t="n">
        <v>15.6</v>
      </c>
      <c r="CE438" s="13" t="n">
        <v>1577</v>
      </c>
      <c r="CF438" s="13" t="n">
        <v>1.16</v>
      </c>
      <c r="CG438" s="13" t="n">
        <v>1823</v>
      </c>
      <c r="CH438" s="13" t="n">
        <v>190</v>
      </c>
      <c r="CI438" s="13" t="n">
        <v>74</v>
      </c>
      <c r="CJ438" s="13" t="n">
        <v>51</v>
      </c>
      <c r="CK438" s="13" t="n">
        <v>274</v>
      </c>
      <c r="CL438" s="13" t="n">
        <v>15</v>
      </c>
      <c r="CM438" s="13" t="n">
        <v>159</v>
      </c>
      <c r="CN438" s="13" t="n">
        <v>0.3</v>
      </c>
      <c r="CO438" s="13" t="n">
        <v>178</v>
      </c>
      <c r="CP438" s="13" t="n">
        <v>166</v>
      </c>
      <c r="CQ438" s="13" t="n">
        <v>96</v>
      </c>
      <c r="CR438" s="13" t="n">
        <v>4</v>
      </c>
      <c r="CS438" s="13" t="n">
        <v>7.7</v>
      </c>
      <c r="CT438" s="11" t="inlineStr">
        <is>
          <t xml:space="preserve"> Resort Freeride</t>
        </is>
      </c>
      <c r="CU438" s="11" t="inlineStr">
        <is>
          <t xml:space="preserve"> Touring</t>
        </is>
      </c>
      <c r="CV438" s="13" t="n"/>
      <c r="CW438" s="13" t="n"/>
      <c r="CX438">
        <f>INDEX('Data_Price '!AG$2:AG$1266,MATCH(Data!$DN438,'Data_Price '!$AT$2:$AT$1266,0))</f>
        <v/>
      </c>
      <c r="CY438">
        <f>INDEX('Data_Price '!AH$2:AH$1266,MATCH(Data!$DN438,'Data_Price '!$AT$2:$AT$1266,0))</f>
        <v/>
      </c>
      <c r="CZ438">
        <f>INDEX('Data_Price '!AI$2:AI$1266,MATCH(Data!$DN438,'Data_Price '!$AT$2:$AT$1266,0))</f>
        <v/>
      </c>
      <c r="DA438">
        <f>INDEX('Data_Price '!AJ$2:AJ$1266,MATCH(Data!$DN438,'Data_Price '!$AT$2:$AT$1266,0))</f>
        <v/>
      </c>
      <c r="DB438">
        <f>INDEX('Data_Price '!AK$2:AK$1266,MATCH(Data!$DN438,'Data_Price '!$AT$2:$AT$1266,0))</f>
        <v/>
      </c>
      <c r="DC438">
        <f>INDEX('Data_Price '!AL$2:AL$1266,MATCH(Data!$DN438,'Data_Price '!$AT$2:$AT$1266,0))</f>
        <v/>
      </c>
      <c r="DD438">
        <f>INDEX('Data_Price '!AM$2:AM$1266,MATCH(Data!$DN438,'Data_Price '!$AT$2:$AT$1266,0))</f>
        <v/>
      </c>
      <c r="DE438">
        <f>INDEX('Data_Price '!AN$2:AN$1266,MATCH(Data!$DN438,'Data_Price '!$AT$2:$AT$1266,0))</f>
        <v/>
      </c>
      <c r="DF438">
        <f>INDEX('Data_Price '!AO$2:AO$1266,MATCH(Data!$DN438,'Data_Price '!$AT$2:$AT$1266,0))</f>
        <v/>
      </c>
      <c r="DG438">
        <f>INDEX('Data_Price '!AP$2:AP$1266,MATCH(Data!$DN438,'Data_Price '!$AT$2:$AT$1266,0))</f>
        <v/>
      </c>
      <c r="DH438">
        <f>INDEX('Data_Price '!AQ$2:AQ$1266,MATCH(Data!$DN438,'Data_Price '!$AT$2:$AT$1266,0))</f>
        <v/>
      </c>
      <c r="DI438">
        <f>INDEX('Data_Price '!AR$2:AR$1266,MATCH(Data!$DN438,'Data_Price '!$AT$2:$AT$1266,0))</f>
        <v/>
      </c>
      <c r="DJ438" s="138">
        <f>DA438</f>
        <v/>
      </c>
      <c r="DK438" s="138">
        <f>DE438</f>
        <v/>
      </c>
      <c r="DL438" s="138">
        <f>DI438</f>
        <v/>
      </c>
      <c r="DM438" s="303">
        <f>IF(LEFT(BT438,1)=" ",RIGHT(BT438,LEN(BT438)-1),BT438)</f>
        <v/>
      </c>
      <c r="DN438" s="138">
        <f>_xlfn.CONCAT(BS438,DM438,BU438,BV438)</f>
        <v/>
      </c>
      <c r="DO438" s="307" t="inlineStr">
        <is>
          <t>https://images.evo.com/imgp/250/181075/715233/clone.jpg</t>
        </is>
      </c>
    </row>
    <row r="439" ht="15.6" customHeight="1" s="184">
      <c r="B439" s="303">
        <f t="array" ref="B439">IF(OR(ISERROR(K439:P439)),FALSE,TRUE)</f>
        <v/>
      </c>
      <c r="C439" s="60">
        <f>OR(BR439=Driver!$G$50,Data!BR471=Driver!$H$50)</f>
        <v/>
      </c>
      <c r="D439" s="60">
        <f>OR(BV439=Driver!$G$51,BV439=Driver!$H$51)</f>
        <v/>
      </c>
      <c r="E439" s="60">
        <f>AND(BX439&gt;Driver!$F$54,BX439&lt;Driver!$G$54)</f>
        <v/>
      </c>
      <c r="F439" s="60">
        <f>CL439&gt;Driver!$F$56</f>
        <v/>
      </c>
      <c r="G439" s="60">
        <f>AND(CB439&gt;Driver!$F$55,CB439&lt;Driver!$G$55)</f>
        <v/>
      </c>
      <c r="H439" s="60">
        <f>AND(B439:G439)</f>
        <v/>
      </c>
      <c r="I439" s="60">
        <f>COUNTIFS($H$9:$H$1273,TRUE,$BT$9:$BT$1273,BT439)</f>
        <v/>
      </c>
      <c r="J439" s="60">
        <f t="array" ref="J439">NOT(OR(($H$9:$H$1273=TRUE)*($I$9:$I$1273&gt;0)*($BT$9:$BT$1273=BT439)*($K$9:$K$1273&gt;K439)))</f>
        <v/>
      </c>
      <c r="K439" s="108">
        <f>IFERROR(1-AVERAGE(X439:Y439),"")</f>
        <v/>
      </c>
      <c r="L439" s="108">
        <f>1-X439</f>
        <v/>
      </c>
      <c r="M439" s="108">
        <f>1-Y439</f>
        <v/>
      </c>
      <c r="N439" s="108">
        <f>1-Z439</f>
        <v/>
      </c>
      <c r="O439" s="108">
        <f>1-AA439</f>
        <v/>
      </c>
      <c r="P439" s="108">
        <f>1-AB439</f>
        <v/>
      </c>
      <c r="Q439" s="108" t="n"/>
      <c r="R439" s="108" t="n"/>
      <c r="S439" s="108">
        <f>1-AE439</f>
        <v/>
      </c>
      <c r="T439" s="108">
        <f>1-AF439</f>
        <v/>
      </c>
      <c r="U439" s="108">
        <f>1-AG439</f>
        <v/>
      </c>
      <c r="V439" s="108">
        <f>1-AH439</f>
        <v/>
      </c>
      <c r="W439" s="108">
        <f>1-AI439</f>
        <v/>
      </c>
      <c r="X439" s="108">
        <f>ABS(AJ439-AJ$1)</f>
        <v/>
      </c>
      <c r="Y439" s="108">
        <f>AVERAGE(Z439:AB439)</f>
        <v/>
      </c>
      <c r="Z439" s="108">
        <f>ABS(AL439-AL$1)</f>
        <v/>
      </c>
      <c r="AA439" s="108">
        <f>ABS(AM439-AM$1)</f>
        <v/>
      </c>
      <c r="AB439" s="108">
        <f>ABS(AN439-AN$1)</f>
        <v/>
      </c>
      <c r="AC439" s="108" t="n"/>
      <c r="AD439" s="108" t="n"/>
      <c r="AE439" s="108">
        <f>ABS(AQ$1-AQ439)</f>
        <v/>
      </c>
      <c r="AF439" s="108">
        <f>ABS(AR$1-AR439)</f>
        <v/>
      </c>
      <c r="AG439" s="108">
        <f>ABS(AS$1-AS439)</f>
        <v/>
      </c>
      <c r="AH439" s="108">
        <f>ABS(AT$1-AT439)</f>
        <v/>
      </c>
      <c r="AI439" s="108">
        <f>ABS(AU$1-AU439)</f>
        <v/>
      </c>
      <c r="AJ439" s="108">
        <f>(AV439-Driver!$K$179)/(Driver!$L$179-Driver!$K$179)</f>
        <v/>
      </c>
      <c r="AK439" s="108">
        <f>(AW439-Driver!$K$180)/(Driver!$L$180-Driver!$K$180)</f>
        <v/>
      </c>
      <c r="AL439" s="108">
        <f>(AX439-Driver!$K$181)/(Driver!$L$181-Driver!$K$181)</f>
        <v/>
      </c>
      <c r="AM439" s="108">
        <f>(AY439-Driver!$K$182)/(Driver!$L$182-Driver!$K$182)</f>
        <v/>
      </c>
      <c r="AN439" s="108">
        <f>(AZ439-Driver!$K$183)/(Driver!$L$183-Driver!$K$183)</f>
        <v/>
      </c>
      <c r="AO439" s="108" t="n"/>
      <c r="AP439" s="108" t="n"/>
      <c r="AQ439" s="108">
        <f>(BC439-Driver!$K$188)/(Driver!$L$188-Driver!$K$188)</f>
        <v/>
      </c>
      <c r="AR439" s="108">
        <f>MIN((BD439-Driver!$K$189)/(Driver!$L$189-Driver!$K$189),100%)</f>
        <v/>
      </c>
      <c r="AS439" s="108">
        <f>(BE439-Driver!$K$190)/(Driver!$L$190-Driver!$K$190)</f>
        <v/>
      </c>
      <c r="AT439" s="108">
        <f>(BF439-Driver!$K$191)/(Driver!$L$191-Driver!$K$191)</f>
        <v/>
      </c>
      <c r="AU439" s="108">
        <f>(BG439-Driver!$K$192)/(Driver!$L$192-Driver!$K$192)</f>
        <v/>
      </c>
      <c r="AV439" s="105">
        <f>IFERROR(BM439*BJ439^1/4,"")</f>
        <v/>
      </c>
      <c r="AW439" s="105">
        <f>IFERROR(SUM(AX439:AZ439),"")</f>
        <v/>
      </c>
      <c r="AX439" s="105">
        <f>IFERROR(BH439,"")</f>
        <v/>
      </c>
      <c r="AY439" s="105">
        <f>IFERROR(Driver!$K$19/Data!BH439/Data!BI439*Data!BK439*Data!BL439,"")</f>
        <v/>
      </c>
      <c r="AZ439" s="105">
        <f>IFERROR(BI439*BN439,"")</f>
        <v/>
      </c>
      <c r="BA439" s="105" t="n"/>
      <c r="BB439" s="105" t="n"/>
      <c r="BC439" s="105">
        <f>IFERROR(BI439*BN439*BK439/BJ439^(1/2),"")</f>
        <v/>
      </c>
      <c r="BD439" s="105">
        <f>IFERROR(BH439*BM439*BL439/BJ439/BK439,"")</f>
        <v/>
      </c>
      <c r="BE439" s="105">
        <f>IFERROR(MIN(BI439/BQ439/BP439/BO439/BH439,$BE$1),"")</f>
        <v/>
      </c>
      <c r="BF439" s="105">
        <f>IFERROR(BJ439*BO439*BP439/BK439,"")</f>
        <v/>
      </c>
      <c r="BG439" s="105">
        <f>IFERROR(1/BM439/BH439*BQ439,"")</f>
        <v/>
      </c>
      <c r="BH439" s="102">
        <f>MAX((CE439-Driver!$F$200)/(Driver!$G$200-Driver!$F$200)*$BI$1,1)</f>
        <v/>
      </c>
      <c r="BI439" s="102">
        <f>MAX($BI$1*(BY439-Driver!$F$201)/(Driver!$G$201-Driver!$F$201),1)</f>
        <v/>
      </c>
      <c r="BJ439" s="102">
        <f>(CB439-Driver!$F$206)/(Driver!$G$206-Driver!$F$206)*$BI$1</f>
        <v/>
      </c>
      <c r="BK439" s="102">
        <f>(CD439-Driver!$F$203)/(Driver!$G$203-Driver!$F$203)*$BI$1</f>
        <v/>
      </c>
      <c r="BL439" s="102">
        <f>MAX((CR439-Driver!$F$202)/(Driver!$G$202-Driver!$F$202)*$BI$1,1)</f>
        <v/>
      </c>
      <c r="BM439" s="102">
        <f>MAX((CH439-Driver!$F$204)/(Driver!$G$204-Driver!$F$204)*$BI$1,1)</f>
        <v/>
      </c>
      <c r="BN439" s="102">
        <f>(CI439-Driver!$F$205)/(Driver!$G$205-Driver!$F$205)*$BI$1</f>
        <v/>
      </c>
      <c r="BO439" s="102">
        <f>(CK439-Driver!$F$207)/(Driver!$G$207-Driver!$F$207)*$BI$1</f>
        <v/>
      </c>
      <c r="BP439" s="102">
        <f>(CM439-Driver!$F$208)/(Driver!$G$208-Driver!$F$208)*$BI$1</f>
        <v/>
      </c>
      <c r="BQ439" s="102">
        <f>(CL439-Driver!$F$209)/(Driver!$G$209-Driver!$F$209)*$BI$1</f>
        <v/>
      </c>
      <c r="BR439" s="40" t="inlineStr">
        <is>
          <t>21/22</t>
        </is>
      </c>
      <c r="BS439" s="10" t="inlineStr">
        <is>
          <t xml:space="preserve"> Elan</t>
        </is>
      </c>
      <c r="BT439" s="11" t="inlineStr">
        <is>
          <t>Wildcat 82 C</t>
        </is>
      </c>
      <c r="BU439" s="13" t="n">
        <v>152</v>
      </c>
      <c r="BV439" s="11" t="inlineStr">
        <is>
          <t xml:space="preserve"> Women's</t>
        </is>
      </c>
      <c r="BW439" s="13" t="n">
        <v>152</v>
      </c>
      <c r="BX439" s="13" t="n">
        <v>153.1</v>
      </c>
      <c r="BY439" s="13" t="n">
        <v>122</v>
      </c>
      <c r="BZ439" s="13" t="n">
        <v>133</v>
      </c>
      <c r="CA439" s="13" t="n">
        <v>129</v>
      </c>
      <c r="CB439" s="13" t="n">
        <v>81</v>
      </c>
      <c r="CC439" s="13" t="n">
        <v>112</v>
      </c>
      <c r="CD439" s="13" t="n">
        <v>10.9</v>
      </c>
      <c r="CE439" s="13" t="n">
        <v>1695</v>
      </c>
      <c r="CF439" s="13" t="n">
        <v>0.87</v>
      </c>
      <c r="CG439" s="13" t="n">
        <v>1483</v>
      </c>
      <c r="CH439" s="13" t="n">
        <v>210</v>
      </c>
      <c r="CI439" s="13" t="n">
        <v>81</v>
      </c>
      <c r="CJ439" s="13" t="n">
        <v>40</v>
      </c>
      <c r="CK439" s="13" t="n">
        <v>190</v>
      </c>
      <c r="CL439" s="13" t="n">
        <v>9</v>
      </c>
      <c r="CM439" s="13" t="n">
        <v>121</v>
      </c>
      <c r="CN439" s="13" t="n">
        <v>0.235</v>
      </c>
      <c r="CO439" s="13" t="n">
        <v>110</v>
      </c>
      <c r="CP439" s="13" t="n">
        <v>92</v>
      </c>
      <c r="CQ439" s="13" t="n">
        <v>80</v>
      </c>
      <c r="CR439" s="13" t="n">
        <v>6</v>
      </c>
      <c r="CS439" s="13" t="n">
        <v>8.5</v>
      </c>
      <c r="CT439" s="11" t="inlineStr">
        <is>
          <t xml:space="preserve"> On-Piste All-Mountain</t>
        </is>
      </c>
      <c r="CU439" s="11" t="inlineStr">
        <is>
          <t xml:space="preserve"> Resort Freeride</t>
        </is>
      </c>
      <c r="CV439" s="13" t="n"/>
      <c r="CW439" s="13" t="n"/>
      <c r="CX439">
        <f>INDEX('Data_Price '!AG$2:AG$1266,MATCH(Data!$DN439,'Data_Price '!$AT$2:$AT$1266,0))</f>
        <v/>
      </c>
      <c r="CY439">
        <f>INDEX('Data_Price '!AH$2:AH$1266,MATCH(Data!$DN439,'Data_Price '!$AT$2:$AT$1266,0))</f>
        <v/>
      </c>
      <c r="CZ439">
        <f>INDEX('Data_Price '!AI$2:AI$1266,MATCH(Data!$DN439,'Data_Price '!$AT$2:$AT$1266,0))</f>
        <v/>
      </c>
      <c r="DA439">
        <f>INDEX('Data_Price '!AJ$2:AJ$1266,MATCH(Data!$DN439,'Data_Price '!$AT$2:$AT$1266,0))</f>
        <v/>
      </c>
      <c r="DB439">
        <f>INDEX('Data_Price '!AK$2:AK$1266,MATCH(Data!$DN439,'Data_Price '!$AT$2:$AT$1266,0))</f>
        <v/>
      </c>
      <c r="DC439">
        <f>INDEX('Data_Price '!AL$2:AL$1266,MATCH(Data!$DN439,'Data_Price '!$AT$2:$AT$1266,0))</f>
        <v/>
      </c>
      <c r="DD439">
        <f>INDEX('Data_Price '!AM$2:AM$1266,MATCH(Data!$DN439,'Data_Price '!$AT$2:$AT$1266,0))</f>
        <v/>
      </c>
      <c r="DE439">
        <f>INDEX('Data_Price '!AN$2:AN$1266,MATCH(Data!$DN439,'Data_Price '!$AT$2:$AT$1266,0))</f>
        <v/>
      </c>
      <c r="DF439">
        <f>INDEX('Data_Price '!AO$2:AO$1266,MATCH(Data!$DN439,'Data_Price '!$AT$2:$AT$1266,0))</f>
        <v/>
      </c>
      <c r="DG439">
        <f>INDEX('Data_Price '!AP$2:AP$1266,MATCH(Data!$DN439,'Data_Price '!$AT$2:$AT$1266,0))</f>
        <v/>
      </c>
      <c r="DH439">
        <f>INDEX('Data_Price '!AQ$2:AQ$1266,MATCH(Data!$DN439,'Data_Price '!$AT$2:$AT$1266,0))</f>
        <v/>
      </c>
      <c r="DI439">
        <f>INDEX('Data_Price '!AR$2:AR$1266,MATCH(Data!$DN439,'Data_Price '!$AT$2:$AT$1266,0))</f>
        <v/>
      </c>
      <c r="DJ439" s="138">
        <f>DA439</f>
        <v/>
      </c>
      <c r="DK439" s="138">
        <f>DE439</f>
        <v/>
      </c>
      <c r="DL439" s="138">
        <f>DI439</f>
        <v/>
      </c>
      <c r="DM439" s="303">
        <f>IF(LEFT(BT439,1)=" ",RIGHT(BT439,LEN(BT439)-1),BT439)</f>
        <v/>
      </c>
      <c r="DN439" s="138">
        <f>_xlfn.CONCAT(BS439,DM439,BU439,BV439)</f>
        <v/>
      </c>
      <c r="DO439" s="307" t="n"/>
    </row>
    <row r="440" ht="15.6" customHeight="1" s="184">
      <c r="B440" s="303">
        <f t="array" ref="B440">IF(OR(ISERROR(K440:P440)),FALSE,TRUE)</f>
        <v/>
      </c>
      <c r="C440" s="60">
        <f>OR(BR440=Driver!$G$50,Data!BR404=Driver!$H$50)</f>
        <v/>
      </c>
      <c r="D440" s="60">
        <f>OR(BV440=Driver!$G$51,BV440=Driver!$H$51)</f>
        <v/>
      </c>
      <c r="E440" s="60">
        <f>AND(BX440&gt;Driver!$F$54,BX440&lt;Driver!$G$54)</f>
        <v/>
      </c>
      <c r="F440" s="60">
        <f>CL440&gt;Driver!$F$56</f>
        <v/>
      </c>
      <c r="G440" s="60">
        <f>AND(CB440&gt;Driver!$F$55,CB440&lt;Driver!$G$55)</f>
        <v/>
      </c>
      <c r="H440" s="60">
        <f>AND(B440:G440)</f>
        <v/>
      </c>
      <c r="I440" s="60">
        <f>COUNTIFS($H$9:$H$1273,TRUE,$BT$9:$BT$1273,BT440)</f>
        <v/>
      </c>
      <c r="J440" s="60">
        <f t="array" ref="J440">NOT(OR(($H$9:$H$1273=TRUE)*($I$9:$I$1273&gt;0)*($BT$9:$BT$1273=BT440)*($K$9:$K$1273&gt;K440)))</f>
        <v/>
      </c>
      <c r="K440" s="108">
        <f>IFERROR(1-AVERAGE(X440:Y440),"")</f>
        <v/>
      </c>
      <c r="L440" s="108">
        <f>1-X440</f>
        <v/>
      </c>
      <c r="M440" s="108">
        <f>1-Y440</f>
        <v/>
      </c>
      <c r="N440" s="108">
        <f>1-Z440</f>
        <v/>
      </c>
      <c r="O440" s="108">
        <f>1-AA440</f>
        <v/>
      </c>
      <c r="P440" s="108">
        <f>1-AB440</f>
        <v/>
      </c>
      <c r="Q440" s="108" t="n"/>
      <c r="R440" s="108" t="n"/>
      <c r="S440" s="108">
        <f>1-AE440</f>
        <v/>
      </c>
      <c r="T440" s="108">
        <f>1-AF440</f>
        <v/>
      </c>
      <c r="U440" s="108">
        <f>1-AG440</f>
        <v/>
      </c>
      <c r="V440" s="108">
        <f>1-AH440</f>
        <v/>
      </c>
      <c r="W440" s="108">
        <f>1-AI440</f>
        <v/>
      </c>
      <c r="X440" s="108">
        <f>ABS(AJ440-AJ$1)</f>
        <v/>
      </c>
      <c r="Y440" s="108">
        <f>AVERAGE(Z440:AB440)</f>
        <v/>
      </c>
      <c r="Z440" s="108">
        <f>ABS(AL440-AL$1)</f>
        <v/>
      </c>
      <c r="AA440" s="108">
        <f>ABS(AM440-AM$1)</f>
        <v/>
      </c>
      <c r="AB440" s="108">
        <f>ABS(AN440-AN$1)</f>
        <v/>
      </c>
      <c r="AC440" s="108" t="n"/>
      <c r="AD440" s="108" t="n"/>
      <c r="AE440" s="108">
        <f>ABS(AQ$1-AQ440)</f>
        <v/>
      </c>
      <c r="AF440" s="108">
        <f>ABS(AR$1-AR440)</f>
        <v/>
      </c>
      <c r="AG440" s="108">
        <f>ABS(AS$1-AS440)</f>
        <v/>
      </c>
      <c r="AH440" s="108">
        <f>ABS(AT$1-AT440)</f>
        <v/>
      </c>
      <c r="AI440" s="108">
        <f>ABS(AU$1-AU440)</f>
        <v/>
      </c>
      <c r="AJ440" s="108">
        <f>(AV440-Driver!$K$179)/(Driver!$L$179-Driver!$K$179)</f>
        <v/>
      </c>
      <c r="AK440" s="108">
        <f>(AW440-Driver!$K$180)/(Driver!$L$180-Driver!$K$180)</f>
        <v/>
      </c>
      <c r="AL440" s="108">
        <f>(AX440-Driver!$K$181)/(Driver!$L$181-Driver!$K$181)</f>
        <v/>
      </c>
      <c r="AM440" s="108">
        <f>(AY440-Driver!$K$182)/(Driver!$L$182-Driver!$K$182)</f>
        <v/>
      </c>
      <c r="AN440" s="108">
        <f>(AZ440-Driver!$K$183)/(Driver!$L$183-Driver!$K$183)</f>
        <v/>
      </c>
      <c r="AO440" s="108" t="n"/>
      <c r="AP440" s="108" t="n"/>
      <c r="AQ440" s="108">
        <f>(BC440-Driver!$K$188)/(Driver!$L$188-Driver!$K$188)</f>
        <v/>
      </c>
      <c r="AR440" s="108">
        <f>MIN((BD440-Driver!$K$189)/(Driver!$L$189-Driver!$K$189),100%)</f>
        <v/>
      </c>
      <c r="AS440" s="108">
        <f>(BE440-Driver!$K$190)/(Driver!$L$190-Driver!$K$190)</f>
        <v/>
      </c>
      <c r="AT440" s="108">
        <f>(BF440-Driver!$K$191)/(Driver!$L$191-Driver!$K$191)</f>
        <v/>
      </c>
      <c r="AU440" s="108">
        <f>(BG440-Driver!$K$192)/(Driver!$L$192-Driver!$K$192)</f>
        <v/>
      </c>
      <c r="AV440" s="105">
        <f>IFERROR(BM440*BJ440^1/4,"")</f>
        <v/>
      </c>
      <c r="AW440" s="105">
        <f>IFERROR(SUM(AX440:AZ440),"")</f>
        <v/>
      </c>
      <c r="AX440" s="105">
        <f>IFERROR(BH440,"")</f>
        <v/>
      </c>
      <c r="AY440" s="105">
        <f>IFERROR(Driver!$K$19/Data!BH440/Data!BI440*Data!BK440*Data!BL440,"")</f>
        <v/>
      </c>
      <c r="AZ440" s="105">
        <f>IFERROR(BI440*BN440,"")</f>
        <v/>
      </c>
      <c r="BA440" s="105" t="n"/>
      <c r="BB440" s="105" t="n"/>
      <c r="BC440" s="105">
        <f>IFERROR(BI440*BN440*BK440/BJ440^(1/2),"")</f>
        <v/>
      </c>
      <c r="BD440" s="105">
        <f>IFERROR(BH440*BM440*BL440/BJ440/BK440,"")</f>
        <v/>
      </c>
      <c r="BE440" s="105">
        <f>IFERROR(MIN(BI440/BQ440/BP440/BO440/BH440,$BE$1),"")</f>
        <v/>
      </c>
      <c r="BF440" s="105">
        <f>IFERROR(BJ440*BO440*BP440/BK440,"")</f>
        <v/>
      </c>
      <c r="BG440" s="105">
        <f>IFERROR(1/BM440/BH440*BQ440,"")</f>
        <v/>
      </c>
      <c r="BH440" s="102">
        <f>MAX((CE440-Driver!$F$200)/(Driver!$G$200-Driver!$F$200)*$BI$1,1)</f>
        <v/>
      </c>
      <c r="BI440" s="102">
        <f>MAX($BI$1*(BY440-Driver!$F$201)/(Driver!$G$201-Driver!$F$201),1)</f>
        <v/>
      </c>
      <c r="BJ440" s="102">
        <f>(CB440-Driver!$F$206)/(Driver!$G$206-Driver!$F$206)*$BI$1</f>
        <v/>
      </c>
      <c r="BK440" s="102">
        <f>(CD440-Driver!$F$203)/(Driver!$G$203-Driver!$F$203)*$BI$1</f>
        <v/>
      </c>
      <c r="BL440" s="102">
        <f>MAX((CR440-Driver!$F$202)/(Driver!$G$202-Driver!$F$202)*$BI$1,1)</f>
        <v/>
      </c>
      <c r="BM440" s="102">
        <f>MAX((CH440-Driver!$F$204)/(Driver!$G$204-Driver!$F$204)*$BI$1,1)</f>
        <v/>
      </c>
      <c r="BN440" s="102">
        <f>(CI440-Driver!$F$205)/(Driver!$G$205-Driver!$F$205)*$BI$1</f>
        <v/>
      </c>
      <c r="BO440" s="102">
        <f>(CK440-Driver!$F$207)/(Driver!$G$207-Driver!$F$207)*$BI$1</f>
        <v/>
      </c>
      <c r="BP440" s="102">
        <f>(CM440-Driver!$F$208)/(Driver!$G$208-Driver!$F$208)*$BI$1</f>
        <v/>
      </c>
      <c r="BQ440" s="102">
        <f>(CL440-Driver!$F$209)/(Driver!$G$209-Driver!$F$209)*$BI$1</f>
        <v/>
      </c>
      <c r="BR440" s="40" t="inlineStr">
        <is>
          <t>21/22</t>
        </is>
      </c>
      <c r="BS440" s="10" t="inlineStr">
        <is>
          <t xml:space="preserve"> Dynastar</t>
        </is>
      </c>
      <c r="BT440" s="11" t="inlineStr">
        <is>
          <t>M-Pro 99</t>
        </is>
      </c>
      <c r="BU440" s="13" t="n">
        <v>178</v>
      </c>
      <c r="BV440" s="11" t="inlineStr">
        <is>
          <t xml:space="preserve"> Unisex</t>
        </is>
      </c>
      <c r="BW440" s="13" t="n">
        <v>178</v>
      </c>
      <c r="BX440" s="13" t="n">
        <v>177.3</v>
      </c>
      <c r="BY440" s="13" t="n">
        <v>129</v>
      </c>
      <c r="BZ440" s="13" t="n">
        <v>146</v>
      </c>
      <c r="CA440" s="13" t="n">
        <v>126</v>
      </c>
      <c r="CB440" s="13" t="n">
        <v>97</v>
      </c>
      <c r="CC440" s="13" t="n">
        <v>116</v>
      </c>
      <c r="CD440" s="13" t="n">
        <v>19.7</v>
      </c>
      <c r="CE440" s="13" t="n">
        <v>1920</v>
      </c>
      <c r="CF440" s="13" t="n">
        <v>0.99</v>
      </c>
      <c r="CG440" s="13" t="n">
        <v>1893</v>
      </c>
      <c r="CH440" s="13" t="n">
        <v>267</v>
      </c>
      <c r="CI440" s="13" t="n">
        <v>109</v>
      </c>
      <c r="CJ440" s="13" t="n">
        <v>62</v>
      </c>
      <c r="CK440" s="13" t="n">
        <v>327</v>
      </c>
      <c r="CL440" s="13" t="n">
        <v>14</v>
      </c>
      <c r="CM440" s="13" t="n">
        <v>151</v>
      </c>
      <c r="CN440" s="13" t="n">
        <v>0.229</v>
      </c>
      <c r="CO440" s="13" t="n">
        <v>189</v>
      </c>
      <c r="CP440" s="13" t="n">
        <v>125</v>
      </c>
      <c r="CQ440" s="13" t="n">
        <v>138</v>
      </c>
      <c r="CR440" s="13" t="n">
        <v>6</v>
      </c>
      <c r="CS440" s="13" t="n">
        <v>12.2</v>
      </c>
      <c r="CT440" s="11" t="inlineStr">
        <is>
          <t xml:space="preserve"> Resort Freeride</t>
        </is>
      </c>
      <c r="CU440" s="13" t="n"/>
      <c r="CV440" s="13" t="n"/>
      <c r="CW440" s="13" t="n"/>
      <c r="CX440">
        <f>INDEX('Data_Price '!AG$2:AG$1266,MATCH(Data!$DN440,'Data_Price '!$AT$2:$AT$1266,0))</f>
        <v/>
      </c>
      <c r="CY440">
        <f>INDEX('Data_Price '!AH$2:AH$1266,MATCH(Data!$DN440,'Data_Price '!$AT$2:$AT$1266,0))</f>
        <v/>
      </c>
      <c r="CZ440">
        <f>INDEX('Data_Price '!AI$2:AI$1266,MATCH(Data!$DN440,'Data_Price '!$AT$2:$AT$1266,0))</f>
        <v/>
      </c>
      <c r="DA440">
        <f>INDEX('Data_Price '!AJ$2:AJ$1266,MATCH(Data!$DN440,'Data_Price '!$AT$2:$AT$1266,0))</f>
        <v/>
      </c>
      <c r="DB440">
        <f>INDEX('Data_Price '!AK$2:AK$1266,MATCH(Data!$DN440,'Data_Price '!$AT$2:$AT$1266,0))</f>
        <v/>
      </c>
      <c r="DC440">
        <f>INDEX('Data_Price '!AL$2:AL$1266,MATCH(Data!$DN440,'Data_Price '!$AT$2:$AT$1266,0))</f>
        <v/>
      </c>
      <c r="DD440">
        <f>INDEX('Data_Price '!AM$2:AM$1266,MATCH(Data!$DN440,'Data_Price '!$AT$2:$AT$1266,0))</f>
        <v/>
      </c>
      <c r="DE440">
        <f>INDEX('Data_Price '!AN$2:AN$1266,MATCH(Data!$DN440,'Data_Price '!$AT$2:$AT$1266,0))</f>
        <v/>
      </c>
      <c r="DF440">
        <f>INDEX('Data_Price '!AO$2:AO$1266,MATCH(Data!$DN440,'Data_Price '!$AT$2:$AT$1266,0))</f>
        <v/>
      </c>
      <c r="DG440">
        <f>INDEX('Data_Price '!AP$2:AP$1266,MATCH(Data!$DN440,'Data_Price '!$AT$2:$AT$1266,0))</f>
        <v/>
      </c>
      <c r="DH440">
        <f>INDEX('Data_Price '!AQ$2:AQ$1266,MATCH(Data!$DN440,'Data_Price '!$AT$2:$AT$1266,0))</f>
        <v/>
      </c>
      <c r="DI440">
        <f>INDEX('Data_Price '!AR$2:AR$1266,MATCH(Data!$DN440,'Data_Price '!$AT$2:$AT$1266,0))</f>
        <v/>
      </c>
      <c r="DJ440" s="138">
        <f>DA440</f>
        <v/>
      </c>
      <c r="DK440" s="138">
        <f>DE440</f>
        <v/>
      </c>
      <c r="DL440" s="138">
        <f>DI440</f>
        <v/>
      </c>
      <c r="DM440" s="303">
        <f>IF(LEFT(BT440,1)=" ",RIGHT(BT440,LEN(BT440)-1),BT440)</f>
        <v/>
      </c>
      <c r="DN440" s="138">
        <f>_xlfn.CONCAT(BS440,DM440,BU440,BV440)</f>
        <v/>
      </c>
      <c r="DO440" s="307" t="inlineStr">
        <is>
          <t>https://images.evo.com/imgp/250/185150/736349/dynastar-m-pro-99-skis-2022-.jpg</t>
        </is>
      </c>
    </row>
    <row r="441" ht="15.6" customHeight="1" s="184">
      <c r="B441" s="303">
        <f t="array" ref="B441">IF(OR(ISERROR(K441:P441)),FALSE,TRUE)</f>
        <v/>
      </c>
      <c r="C441" s="60">
        <f>OR(BR441=Driver!$G$50,Data!BR1241=Driver!$H$50)</f>
        <v/>
      </c>
      <c r="D441" s="60">
        <f>OR(BV441=Driver!$G$51,BV441=Driver!$H$51)</f>
        <v/>
      </c>
      <c r="E441" s="60">
        <f>AND(BX441&gt;Driver!$F$54,BX441&lt;Driver!$G$54)</f>
        <v/>
      </c>
      <c r="F441" s="60">
        <f>CL441&gt;Driver!$F$56</f>
        <v/>
      </c>
      <c r="G441" s="60">
        <f>AND(CB441&gt;Driver!$F$55,CB441&lt;Driver!$G$55)</f>
        <v/>
      </c>
      <c r="H441" s="60">
        <f>AND(B441:G441)</f>
        <v/>
      </c>
      <c r="I441" s="60">
        <f>COUNTIFS($H$9:$H$1273,TRUE,$BT$9:$BT$1273,BT441)</f>
        <v/>
      </c>
      <c r="J441" s="60">
        <f t="array" ref="J441">NOT(OR(($H$9:$H$1273=TRUE)*($I$9:$I$1273&gt;0)*($BT$9:$BT$1273=BT441)*($K$9:$K$1273&gt;K441)))</f>
        <v/>
      </c>
      <c r="K441" s="108">
        <f>IFERROR(1-AVERAGE(X441:Y441),"")</f>
        <v/>
      </c>
      <c r="L441" s="108">
        <f>1-X441</f>
        <v/>
      </c>
      <c r="M441" s="108">
        <f>1-Y441</f>
        <v/>
      </c>
      <c r="N441" s="108">
        <f>1-Z441</f>
        <v/>
      </c>
      <c r="O441" s="108">
        <f>1-AA441</f>
        <v/>
      </c>
      <c r="P441" s="108">
        <f>1-AB441</f>
        <v/>
      </c>
      <c r="Q441" s="108" t="n"/>
      <c r="R441" s="108" t="n"/>
      <c r="S441" s="108">
        <f>1-AE441</f>
        <v/>
      </c>
      <c r="T441" s="108">
        <f>1-AF441</f>
        <v/>
      </c>
      <c r="U441" s="108">
        <f>1-AG441</f>
        <v/>
      </c>
      <c r="V441" s="108">
        <f>1-AH441</f>
        <v/>
      </c>
      <c r="W441" s="108">
        <f>1-AI441</f>
        <v/>
      </c>
      <c r="X441" s="108">
        <f>ABS(AJ441-AJ$1)</f>
        <v/>
      </c>
      <c r="Y441" s="108">
        <f>AVERAGE(Z441:AB441)</f>
        <v/>
      </c>
      <c r="Z441" s="108">
        <f>ABS(AL441-AL$1)</f>
        <v/>
      </c>
      <c r="AA441" s="108">
        <f>ABS(AM441-AM$1)</f>
        <v/>
      </c>
      <c r="AB441" s="108">
        <f>ABS(AN441-AN$1)</f>
        <v/>
      </c>
      <c r="AC441" s="108" t="n"/>
      <c r="AD441" s="108" t="n"/>
      <c r="AE441" s="108">
        <f>ABS(AQ$1-AQ441)</f>
        <v/>
      </c>
      <c r="AF441" s="108">
        <f>ABS(AR$1-AR441)</f>
        <v/>
      </c>
      <c r="AG441" s="108">
        <f>ABS(AS$1-AS441)</f>
        <v/>
      </c>
      <c r="AH441" s="108">
        <f>ABS(AT$1-AT441)</f>
        <v/>
      </c>
      <c r="AI441" s="108">
        <f>ABS(AU$1-AU441)</f>
        <v/>
      </c>
      <c r="AJ441" s="108">
        <f>(AV441-Driver!$K$179)/(Driver!$L$179-Driver!$K$179)</f>
        <v/>
      </c>
      <c r="AK441" s="108">
        <f>(AW441-Driver!$K$180)/(Driver!$L$180-Driver!$K$180)</f>
        <v/>
      </c>
      <c r="AL441" s="108">
        <f>(AX441-Driver!$K$181)/(Driver!$L$181-Driver!$K$181)</f>
        <v/>
      </c>
      <c r="AM441" s="108">
        <f>(AY441-Driver!$K$182)/(Driver!$L$182-Driver!$K$182)</f>
        <v/>
      </c>
      <c r="AN441" s="108">
        <f>(AZ441-Driver!$K$183)/(Driver!$L$183-Driver!$K$183)</f>
        <v/>
      </c>
      <c r="AO441" s="108" t="n"/>
      <c r="AP441" s="108" t="n"/>
      <c r="AQ441" s="108">
        <f>(BC441-Driver!$K$188)/(Driver!$L$188-Driver!$K$188)</f>
        <v/>
      </c>
      <c r="AR441" s="108">
        <f>MIN((BD441-Driver!$K$189)/(Driver!$L$189-Driver!$K$189),100%)</f>
        <v/>
      </c>
      <c r="AS441" s="108">
        <f>(BE441-Driver!$K$190)/(Driver!$L$190-Driver!$K$190)</f>
        <v/>
      </c>
      <c r="AT441" s="108">
        <f>(BF441-Driver!$K$191)/(Driver!$L$191-Driver!$K$191)</f>
        <v/>
      </c>
      <c r="AU441" s="108">
        <f>(BG441-Driver!$K$192)/(Driver!$L$192-Driver!$K$192)</f>
        <v/>
      </c>
      <c r="AV441" s="105">
        <f>IFERROR(BM441*BJ441^1/4,"")</f>
        <v/>
      </c>
      <c r="AW441" s="105">
        <f>IFERROR(SUM(AX441:AZ441),"")</f>
        <v/>
      </c>
      <c r="AX441" s="105">
        <f>IFERROR(BH441,"")</f>
        <v/>
      </c>
      <c r="AY441" s="105">
        <f>IFERROR(Driver!$K$19/Data!BH441/Data!BI441*Data!BK441*Data!BL441,"")</f>
        <v/>
      </c>
      <c r="AZ441" s="105">
        <f>IFERROR(BI441*BN441,"")</f>
        <v/>
      </c>
      <c r="BA441" s="105" t="n"/>
      <c r="BB441" s="105" t="n"/>
      <c r="BC441" s="105">
        <f>IFERROR(BI441*BN441*BK441/BJ441^(1/2),"")</f>
        <v/>
      </c>
      <c r="BD441" s="105">
        <f>IFERROR(BH441*BM441*BL441/BJ441/BK441,"")</f>
        <v/>
      </c>
      <c r="BE441" s="105">
        <f>IFERROR(MIN(BI441/BQ441/BP441/BO441/BH441,$BE$1),"")</f>
        <v/>
      </c>
      <c r="BF441" s="105">
        <f>IFERROR(BJ441*BO441*BP441/BK441,"")</f>
        <v/>
      </c>
      <c r="BG441" s="105">
        <f>IFERROR(1/BM441/BH441*BQ441,"")</f>
        <v/>
      </c>
      <c r="BH441" s="102">
        <f>MAX((CE441-Driver!$F$200)/(Driver!$G$200-Driver!$F$200)*$BI$1,1)</f>
        <v/>
      </c>
      <c r="BI441" s="102">
        <f>MAX($BI$1*(BY441-Driver!$F$201)/(Driver!$G$201-Driver!$F$201),1)</f>
        <v/>
      </c>
      <c r="BJ441" s="102">
        <f>(CB441-Driver!$F$206)/(Driver!$G$206-Driver!$F$206)*$BI$1</f>
        <v/>
      </c>
      <c r="BK441" s="102">
        <f>(CD441-Driver!$F$203)/(Driver!$G$203-Driver!$F$203)*$BI$1</f>
        <v/>
      </c>
      <c r="BL441" s="102">
        <f>MAX((CR441-Driver!$F$202)/(Driver!$G$202-Driver!$F$202)*$BI$1,1)</f>
        <v/>
      </c>
      <c r="BM441" s="102">
        <f>MAX((CH441-Driver!$F$204)/(Driver!$G$204-Driver!$F$204)*$BI$1,1)</f>
        <v/>
      </c>
      <c r="BN441" s="102">
        <f>(CI441-Driver!$F$205)/(Driver!$G$205-Driver!$F$205)*$BI$1</f>
        <v/>
      </c>
      <c r="BO441" s="102">
        <f>(CK441-Driver!$F$207)/(Driver!$G$207-Driver!$F$207)*$BI$1</f>
        <v/>
      </c>
      <c r="BP441" s="102">
        <f>(CM441-Driver!$F$208)/(Driver!$G$208-Driver!$F$208)*$BI$1</f>
        <v/>
      </c>
      <c r="BQ441" s="102">
        <f>(CL441-Driver!$F$209)/(Driver!$G$209-Driver!$F$209)*$BI$1</f>
        <v/>
      </c>
      <c r="BR441" s="40" t="inlineStr">
        <is>
          <t>21/22</t>
        </is>
      </c>
      <c r="BS441" s="10" t="inlineStr">
        <is>
          <t xml:space="preserve"> Völkl</t>
        </is>
      </c>
      <c r="BT441" s="11" t="inlineStr">
        <is>
          <t>Revolt 95</t>
        </is>
      </c>
      <c r="BU441" s="13" t="n">
        <v>157</v>
      </c>
      <c r="BV441" s="11" t="inlineStr">
        <is>
          <t xml:space="preserve"> Unisex</t>
        </is>
      </c>
      <c r="BW441" s="13" t="n">
        <v>157</v>
      </c>
      <c r="BX441" s="13" t="n">
        <v>156.1</v>
      </c>
      <c r="BY441" s="13" t="n">
        <v>120</v>
      </c>
      <c r="BZ441" s="13" t="n">
        <v>141</v>
      </c>
      <c r="CA441" s="13" t="n">
        <v>128</v>
      </c>
      <c r="CB441" s="13" t="n">
        <v>94</v>
      </c>
      <c r="CC441" s="13" t="n">
        <v>118</v>
      </c>
      <c r="CD441" s="13" t="n">
        <v>16.9</v>
      </c>
      <c r="CE441" s="13" t="n">
        <v>1681</v>
      </c>
      <c r="CF441" s="13" t="n">
        <v>0.97</v>
      </c>
      <c r="CG441" s="13" t="n">
        <v>1624</v>
      </c>
      <c r="CH441" s="13" t="n">
        <v>156</v>
      </c>
      <c r="CI441" s="13" t="n">
        <v>82</v>
      </c>
      <c r="CJ441" s="13" t="n">
        <v>39</v>
      </c>
      <c r="CK441" s="13" t="n">
        <v>218</v>
      </c>
      <c r="CL441" s="13" t="n">
        <v>36</v>
      </c>
      <c r="CM441" s="13" t="n">
        <v>147</v>
      </c>
      <c r="CN441" s="13" t="n">
        <v>0.946</v>
      </c>
      <c r="CO441" s="13" t="n">
        <v>81</v>
      </c>
      <c r="CP441" s="13" t="n">
        <v>69</v>
      </c>
      <c r="CQ441" s="13" t="n">
        <v>137</v>
      </c>
      <c r="CR441" s="13" t="n">
        <v>6</v>
      </c>
      <c r="CS441" s="13" t="n">
        <v>0.1</v>
      </c>
      <c r="CT441" s="11" t="inlineStr">
        <is>
          <t xml:space="preserve"> Freeski</t>
        </is>
      </c>
      <c r="CU441" s="13" t="n"/>
      <c r="CV441" s="13" t="n"/>
      <c r="CW441" s="13" t="n"/>
      <c r="CX441">
        <f>INDEX('Data_Price '!AG$2:AG$1266,MATCH(Data!$DN441,'Data_Price '!$AT$2:$AT$1266,0))</f>
        <v/>
      </c>
      <c r="CY441">
        <f>INDEX('Data_Price '!AH$2:AH$1266,MATCH(Data!$DN441,'Data_Price '!$AT$2:$AT$1266,0))</f>
        <v/>
      </c>
      <c r="CZ441">
        <f>INDEX('Data_Price '!AI$2:AI$1266,MATCH(Data!$DN441,'Data_Price '!$AT$2:$AT$1266,0))</f>
        <v/>
      </c>
      <c r="DA441">
        <f>INDEX('Data_Price '!AJ$2:AJ$1266,MATCH(Data!$DN441,'Data_Price '!$AT$2:$AT$1266,0))</f>
        <v/>
      </c>
      <c r="DB441">
        <f>INDEX('Data_Price '!AK$2:AK$1266,MATCH(Data!$DN441,'Data_Price '!$AT$2:$AT$1266,0))</f>
        <v/>
      </c>
      <c r="DC441">
        <f>INDEX('Data_Price '!AL$2:AL$1266,MATCH(Data!$DN441,'Data_Price '!$AT$2:$AT$1266,0))</f>
        <v/>
      </c>
      <c r="DD441">
        <f>INDEX('Data_Price '!AM$2:AM$1266,MATCH(Data!$DN441,'Data_Price '!$AT$2:$AT$1266,0))</f>
        <v/>
      </c>
      <c r="DE441">
        <f>INDEX('Data_Price '!AN$2:AN$1266,MATCH(Data!$DN441,'Data_Price '!$AT$2:$AT$1266,0))</f>
        <v/>
      </c>
      <c r="DF441">
        <f>INDEX('Data_Price '!AO$2:AO$1266,MATCH(Data!$DN441,'Data_Price '!$AT$2:$AT$1266,0))</f>
        <v/>
      </c>
      <c r="DG441">
        <f>INDEX('Data_Price '!AP$2:AP$1266,MATCH(Data!$DN441,'Data_Price '!$AT$2:$AT$1266,0))</f>
        <v/>
      </c>
      <c r="DH441">
        <f>INDEX('Data_Price '!AQ$2:AQ$1266,MATCH(Data!$DN441,'Data_Price '!$AT$2:$AT$1266,0))</f>
        <v/>
      </c>
      <c r="DI441">
        <f>INDEX('Data_Price '!AR$2:AR$1266,MATCH(Data!$DN441,'Data_Price '!$AT$2:$AT$1266,0))</f>
        <v/>
      </c>
      <c r="DJ441" s="138">
        <f>DA441</f>
        <v/>
      </c>
      <c r="DK441" s="138">
        <f>DE441</f>
        <v/>
      </c>
      <c r="DL441" s="138">
        <f>DI441</f>
        <v/>
      </c>
      <c r="DM441" s="303">
        <f>IF(LEFT(BT441,1)=" ",RIGHT(BT441,LEN(BT441)-1),BT441)</f>
        <v/>
      </c>
      <c r="DN441" s="138">
        <f>_xlfn.CONCAT(BS441,DM441,BU441,BV441)</f>
        <v/>
      </c>
      <c r="DO441" s="307" t="inlineStr">
        <is>
          <t>https://images.evo.com/imgp/250/183426/726978/clone.jpg</t>
        </is>
      </c>
    </row>
    <row r="442" ht="15.6" customHeight="1" s="184">
      <c r="B442" s="303">
        <f t="array" ref="B442">IF(OR(ISERROR(K442:P442)),FALSE,TRUE)</f>
        <v/>
      </c>
      <c r="C442" s="60">
        <f>OR(BR442=Driver!$G$50,Data!BR367=Driver!$H$50)</f>
        <v/>
      </c>
      <c r="D442" s="60">
        <f>OR(BV442=Driver!$G$51,BV442=Driver!$H$51)</f>
        <v/>
      </c>
      <c r="E442" s="60">
        <f>AND(BX442&gt;Driver!$F$54,BX442&lt;Driver!$G$54)</f>
        <v/>
      </c>
      <c r="F442" s="60">
        <f>CL442&gt;Driver!$F$56</f>
        <v/>
      </c>
      <c r="G442" s="60">
        <f>AND(CB442&gt;Driver!$F$55,CB442&lt;Driver!$G$55)</f>
        <v/>
      </c>
      <c r="H442" s="60">
        <f>AND(B442:G442)</f>
        <v/>
      </c>
      <c r="I442" s="60">
        <f>COUNTIFS($H$9:$H$1273,TRUE,$BT$9:$BT$1273,BT442)</f>
        <v/>
      </c>
      <c r="J442" s="60">
        <f t="array" ref="J442">NOT(OR(($H$9:$H$1273=TRUE)*($I$9:$I$1273&gt;0)*($BT$9:$BT$1273=BT442)*($K$9:$K$1273&gt;K442)))</f>
        <v/>
      </c>
      <c r="K442" s="108">
        <f>IFERROR(1-AVERAGE(X442:Y442),"")</f>
        <v/>
      </c>
      <c r="L442" s="108">
        <f>1-X442</f>
        <v/>
      </c>
      <c r="M442" s="108">
        <f>1-Y442</f>
        <v/>
      </c>
      <c r="N442" s="108">
        <f>1-Z442</f>
        <v/>
      </c>
      <c r="O442" s="108">
        <f>1-AA442</f>
        <v/>
      </c>
      <c r="P442" s="108">
        <f>1-AB442</f>
        <v/>
      </c>
      <c r="Q442" s="108" t="n"/>
      <c r="R442" s="108" t="n"/>
      <c r="S442" s="108">
        <f>1-AE442</f>
        <v/>
      </c>
      <c r="T442" s="108">
        <f>1-AF442</f>
        <v/>
      </c>
      <c r="U442" s="108">
        <f>1-AG442</f>
        <v/>
      </c>
      <c r="V442" s="108">
        <f>1-AH442</f>
        <v/>
      </c>
      <c r="W442" s="108">
        <f>1-AI442</f>
        <v/>
      </c>
      <c r="X442" s="108">
        <f>ABS(AJ442-AJ$1)</f>
        <v/>
      </c>
      <c r="Y442" s="108">
        <f>AVERAGE(Z442:AB442)</f>
        <v/>
      </c>
      <c r="Z442" s="108">
        <f>ABS(AL442-AL$1)</f>
        <v/>
      </c>
      <c r="AA442" s="108">
        <f>ABS(AM442-AM$1)</f>
        <v/>
      </c>
      <c r="AB442" s="108">
        <f>ABS(AN442-AN$1)</f>
        <v/>
      </c>
      <c r="AC442" s="108" t="n"/>
      <c r="AD442" s="108" t="n"/>
      <c r="AE442" s="108">
        <f>ABS(AQ$1-AQ442)</f>
        <v/>
      </c>
      <c r="AF442" s="108">
        <f>ABS(AR$1-AR442)</f>
        <v/>
      </c>
      <c r="AG442" s="108">
        <f>ABS(AS$1-AS442)</f>
        <v/>
      </c>
      <c r="AH442" s="108">
        <f>ABS(AT$1-AT442)</f>
        <v/>
      </c>
      <c r="AI442" s="108">
        <f>ABS(AU$1-AU442)</f>
        <v/>
      </c>
      <c r="AJ442" s="108">
        <f>(AV442-Driver!$K$179)/(Driver!$L$179-Driver!$K$179)</f>
        <v/>
      </c>
      <c r="AK442" s="108">
        <f>(AW442-Driver!$K$180)/(Driver!$L$180-Driver!$K$180)</f>
        <v/>
      </c>
      <c r="AL442" s="108">
        <f>(AX442-Driver!$K$181)/(Driver!$L$181-Driver!$K$181)</f>
        <v/>
      </c>
      <c r="AM442" s="108">
        <f>(AY442-Driver!$K$182)/(Driver!$L$182-Driver!$K$182)</f>
        <v/>
      </c>
      <c r="AN442" s="108">
        <f>(AZ442-Driver!$K$183)/(Driver!$L$183-Driver!$K$183)</f>
        <v/>
      </c>
      <c r="AO442" s="108" t="n"/>
      <c r="AP442" s="108" t="n"/>
      <c r="AQ442" s="108">
        <f>(BC442-Driver!$K$188)/(Driver!$L$188-Driver!$K$188)</f>
        <v/>
      </c>
      <c r="AR442" s="108">
        <f>MIN((BD442-Driver!$K$189)/(Driver!$L$189-Driver!$K$189),100%)</f>
        <v/>
      </c>
      <c r="AS442" s="108">
        <f>(BE442-Driver!$K$190)/(Driver!$L$190-Driver!$K$190)</f>
        <v/>
      </c>
      <c r="AT442" s="108">
        <f>(BF442-Driver!$K$191)/(Driver!$L$191-Driver!$K$191)</f>
        <v/>
      </c>
      <c r="AU442" s="108">
        <f>(BG442-Driver!$K$192)/(Driver!$L$192-Driver!$K$192)</f>
        <v/>
      </c>
      <c r="AV442" s="105">
        <f>IFERROR(BM442*BJ442^1/4,"")</f>
        <v/>
      </c>
      <c r="AW442" s="105">
        <f>IFERROR(SUM(AX442:AZ442),"")</f>
        <v/>
      </c>
      <c r="AX442" s="105">
        <f>IFERROR(BH442,"")</f>
        <v/>
      </c>
      <c r="AY442" s="105">
        <f>IFERROR(Driver!$K$19/Data!BH442/Data!BI442*Data!BK442*Data!BL442,"")</f>
        <v/>
      </c>
      <c r="AZ442" s="105">
        <f>IFERROR(BI442*BN442,"")</f>
        <v/>
      </c>
      <c r="BA442" s="105" t="n"/>
      <c r="BB442" s="105" t="n"/>
      <c r="BC442" s="105">
        <f>IFERROR(BI442*BN442*BK442/BJ442^(1/2),"")</f>
        <v/>
      </c>
      <c r="BD442" s="105">
        <f>IFERROR(BH442*BM442*BL442/BJ442/BK442,"")</f>
        <v/>
      </c>
      <c r="BE442" s="105">
        <f>IFERROR(MIN(BI442/BQ442/BP442/BO442/BH442,$BE$1),"")</f>
        <v/>
      </c>
      <c r="BF442" s="105">
        <f>IFERROR(BJ442*BO442*BP442/BK442,"")</f>
        <v/>
      </c>
      <c r="BG442" s="105">
        <f>IFERROR(1/BM442/BH442*BQ442,"")</f>
        <v/>
      </c>
      <c r="BH442" s="102">
        <f>MAX((CE442-Driver!$F$200)/(Driver!$G$200-Driver!$F$200)*$BI$1,1)</f>
        <v/>
      </c>
      <c r="BI442" s="102">
        <f>MAX($BI$1*(BY442-Driver!$F$201)/(Driver!$G$201-Driver!$F$201),1)</f>
        <v/>
      </c>
      <c r="BJ442" s="102">
        <f>(CB442-Driver!$F$206)/(Driver!$G$206-Driver!$F$206)*$BI$1</f>
        <v/>
      </c>
      <c r="BK442" s="102">
        <f>(CD442-Driver!$F$203)/(Driver!$G$203-Driver!$F$203)*$BI$1</f>
        <v/>
      </c>
      <c r="BL442" s="102">
        <f>MAX((CR442-Driver!$F$202)/(Driver!$G$202-Driver!$F$202)*$BI$1,1)</f>
        <v/>
      </c>
      <c r="BM442" s="102">
        <f>MAX((CH442-Driver!$F$204)/(Driver!$G$204-Driver!$F$204)*$BI$1,1)</f>
        <v/>
      </c>
      <c r="BN442" s="102">
        <f>(CI442-Driver!$F$205)/(Driver!$G$205-Driver!$F$205)*$BI$1</f>
        <v/>
      </c>
      <c r="BO442" s="102">
        <f>(CK442-Driver!$F$207)/(Driver!$G$207-Driver!$F$207)*$BI$1</f>
        <v/>
      </c>
      <c r="BP442" s="102">
        <f>(CM442-Driver!$F$208)/(Driver!$G$208-Driver!$F$208)*$BI$1</f>
        <v/>
      </c>
      <c r="BQ442" s="102">
        <f>(CL442-Driver!$F$209)/(Driver!$G$209-Driver!$F$209)*$BI$1</f>
        <v/>
      </c>
      <c r="BR442" s="40" t="inlineStr">
        <is>
          <t>21/22</t>
        </is>
      </c>
      <c r="BS442" s="10" t="inlineStr">
        <is>
          <t xml:space="preserve"> Dynafit</t>
        </is>
      </c>
      <c r="BT442" s="11" t="inlineStr">
        <is>
          <t>Blacklight 80</t>
        </is>
      </c>
      <c r="BU442" s="13" t="n">
        <v>172</v>
      </c>
      <c r="BV442" s="11" t="inlineStr">
        <is>
          <t xml:space="preserve"> Unisex</t>
        </is>
      </c>
      <c r="BW442" s="13" t="n">
        <v>172</v>
      </c>
      <c r="BX442" s="13" t="n">
        <v>169.8</v>
      </c>
      <c r="BY442" s="13" t="n">
        <v>132</v>
      </c>
      <c r="BZ442" s="13" t="n">
        <v>148</v>
      </c>
      <c r="CA442" s="13" t="n">
        <v>115</v>
      </c>
      <c r="CB442" s="13" t="n">
        <v>79</v>
      </c>
      <c r="CC442" s="13" t="n">
        <v>99</v>
      </c>
      <c r="CD442" s="13" t="n">
        <v>19.2</v>
      </c>
      <c r="CE442" s="13" t="n">
        <v>1127</v>
      </c>
      <c r="CF442" s="13" t="n">
        <v>1.35</v>
      </c>
      <c r="CG442" s="13" t="n">
        <v>1520</v>
      </c>
      <c r="CH442" s="13" t="n">
        <v>261</v>
      </c>
      <c r="CI442" s="13" t="n">
        <v>91</v>
      </c>
      <c r="CJ442" s="13" t="n">
        <v>53</v>
      </c>
      <c r="CK442" s="13" t="n">
        <v>278</v>
      </c>
      <c r="CL442" s="13" t="n">
        <v>9</v>
      </c>
      <c r="CM442" s="13" t="n">
        <v>103</v>
      </c>
      <c r="CN442" s="13" t="n">
        <v>0.166</v>
      </c>
      <c r="CO442" s="13" t="n">
        <v>134</v>
      </c>
      <c r="CP442" s="13" t="n">
        <v>86</v>
      </c>
      <c r="CQ442" s="13" t="n">
        <v>144</v>
      </c>
      <c r="CR442" s="13" t="n">
        <v>5</v>
      </c>
      <c r="CS442" s="13" t="n">
        <v>12.6</v>
      </c>
      <c r="CT442" s="11" t="inlineStr">
        <is>
          <t xml:space="preserve"> Touring</t>
        </is>
      </c>
      <c r="CU442" s="11" t="inlineStr">
        <is>
          <t xml:space="preserve"> Ultralight Touring</t>
        </is>
      </c>
      <c r="CV442" s="13" t="n"/>
      <c r="CW442" s="13" t="n"/>
      <c r="CX442">
        <f>INDEX('Data_Price '!AG$2:AG$1266,MATCH(Data!$DN442,'Data_Price '!$AT$2:$AT$1266,0))</f>
        <v/>
      </c>
      <c r="CY442">
        <f>INDEX('Data_Price '!AH$2:AH$1266,MATCH(Data!$DN442,'Data_Price '!$AT$2:$AT$1266,0))</f>
        <v/>
      </c>
      <c r="CZ442">
        <f>INDEX('Data_Price '!AI$2:AI$1266,MATCH(Data!$DN442,'Data_Price '!$AT$2:$AT$1266,0))</f>
        <v/>
      </c>
      <c r="DA442">
        <f>INDEX('Data_Price '!AJ$2:AJ$1266,MATCH(Data!$DN442,'Data_Price '!$AT$2:$AT$1266,0))</f>
        <v/>
      </c>
      <c r="DB442">
        <f>INDEX('Data_Price '!AK$2:AK$1266,MATCH(Data!$DN442,'Data_Price '!$AT$2:$AT$1266,0))</f>
        <v/>
      </c>
      <c r="DC442">
        <f>INDEX('Data_Price '!AL$2:AL$1266,MATCH(Data!$DN442,'Data_Price '!$AT$2:$AT$1266,0))</f>
        <v/>
      </c>
      <c r="DD442">
        <f>INDEX('Data_Price '!AM$2:AM$1266,MATCH(Data!$DN442,'Data_Price '!$AT$2:$AT$1266,0))</f>
        <v/>
      </c>
      <c r="DE442">
        <f>INDEX('Data_Price '!AN$2:AN$1266,MATCH(Data!$DN442,'Data_Price '!$AT$2:$AT$1266,0))</f>
        <v/>
      </c>
      <c r="DF442">
        <f>INDEX('Data_Price '!AO$2:AO$1266,MATCH(Data!$DN442,'Data_Price '!$AT$2:$AT$1266,0))</f>
        <v/>
      </c>
      <c r="DG442">
        <f>INDEX('Data_Price '!AP$2:AP$1266,MATCH(Data!$DN442,'Data_Price '!$AT$2:$AT$1266,0))</f>
        <v/>
      </c>
      <c r="DH442">
        <f>INDEX('Data_Price '!AQ$2:AQ$1266,MATCH(Data!$DN442,'Data_Price '!$AT$2:$AT$1266,0))</f>
        <v/>
      </c>
      <c r="DI442">
        <f>INDEX('Data_Price '!AR$2:AR$1266,MATCH(Data!$DN442,'Data_Price '!$AT$2:$AT$1266,0))</f>
        <v/>
      </c>
      <c r="DJ442" s="138">
        <f>DA442</f>
        <v/>
      </c>
      <c r="DK442" s="138">
        <f>DE442</f>
        <v/>
      </c>
      <c r="DL442" s="138">
        <f>DI442</f>
        <v/>
      </c>
      <c r="DM442" s="303">
        <f>IF(LEFT(BT442,1)=" ",RIGHT(BT442,LEN(BT442)-1),BT442)</f>
        <v/>
      </c>
      <c r="DN442" s="138">
        <f>_xlfn.CONCAT(BS442,DM442,BU442,BV442)</f>
        <v/>
      </c>
      <c r="DO442" s="307" t="n"/>
    </row>
    <row r="443" ht="15.6" customHeight="1" s="184">
      <c r="B443" s="303">
        <f t="array" ref="B443">IF(OR(ISERROR(K443:P443)),FALSE,TRUE)</f>
        <v/>
      </c>
      <c r="C443" s="60">
        <f>OR(BR443=Driver!$G$50,Data!BR43=Driver!$H$50)</f>
        <v/>
      </c>
      <c r="D443" s="60">
        <f>OR(BV443=Driver!$G$51,BV443=Driver!$H$51)</f>
        <v/>
      </c>
      <c r="E443" s="60">
        <f>AND(BX443&gt;Driver!$F$54,BX443&lt;Driver!$G$54)</f>
        <v/>
      </c>
      <c r="F443" s="60">
        <f>CL443&gt;Driver!$F$56</f>
        <v/>
      </c>
      <c r="G443" s="60">
        <f>AND(CB443&gt;Driver!$F$55,CB443&lt;Driver!$G$55)</f>
        <v/>
      </c>
      <c r="H443" s="60">
        <f>AND(B443:G443)</f>
        <v/>
      </c>
      <c r="I443" s="60">
        <f>COUNTIFS($H$9:$H$1273,TRUE,$BT$9:$BT$1273,BT443)</f>
        <v/>
      </c>
      <c r="J443" s="60">
        <f t="array" ref="J443">NOT(OR(($H$9:$H$1273=TRUE)*($I$9:$I$1273&gt;0)*($BT$9:$BT$1273=BT443)*($K$9:$K$1273&gt;K443)))</f>
        <v/>
      </c>
      <c r="K443" s="108">
        <f>IFERROR(1-AVERAGE(X443:Y443),"")</f>
        <v/>
      </c>
      <c r="L443" s="108">
        <f>1-X443</f>
        <v/>
      </c>
      <c r="M443" s="108">
        <f>1-Y443</f>
        <v/>
      </c>
      <c r="N443" s="108">
        <f>1-Z443</f>
        <v/>
      </c>
      <c r="O443" s="108">
        <f>1-AA443</f>
        <v/>
      </c>
      <c r="P443" s="108">
        <f>1-AB443</f>
        <v/>
      </c>
      <c r="Q443" s="108" t="n"/>
      <c r="R443" s="108" t="n"/>
      <c r="S443" s="108">
        <f>1-AE443</f>
        <v/>
      </c>
      <c r="T443" s="108">
        <f>1-AF443</f>
        <v/>
      </c>
      <c r="U443" s="108">
        <f>1-AG443</f>
        <v/>
      </c>
      <c r="V443" s="108">
        <f>1-AH443</f>
        <v/>
      </c>
      <c r="W443" s="108">
        <f>1-AI443</f>
        <v/>
      </c>
      <c r="X443" s="108">
        <f>ABS(AJ443-AJ$1)</f>
        <v/>
      </c>
      <c r="Y443" s="108">
        <f>AVERAGE(Z443:AB443)</f>
        <v/>
      </c>
      <c r="Z443" s="108">
        <f>ABS(AL443-AL$1)</f>
        <v/>
      </c>
      <c r="AA443" s="108">
        <f>ABS(AM443-AM$1)</f>
        <v/>
      </c>
      <c r="AB443" s="108">
        <f>ABS(AN443-AN$1)</f>
        <v/>
      </c>
      <c r="AC443" s="108" t="n"/>
      <c r="AD443" s="108" t="n"/>
      <c r="AE443" s="108">
        <f>ABS(AQ$1-AQ443)</f>
        <v/>
      </c>
      <c r="AF443" s="108">
        <f>ABS(AR$1-AR443)</f>
        <v/>
      </c>
      <c r="AG443" s="108">
        <f>ABS(AS$1-AS443)</f>
        <v/>
      </c>
      <c r="AH443" s="108">
        <f>ABS(AT$1-AT443)</f>
        <v/>
      </c>
      <c r="AI443" s="108">
        <f>ABS(AU$1-AU443)</f>
        <v/>
      </c>
      <c r="AJ443" s="108">
        <f>(AV443-Driver!$K$179)/(Driver!$L$179-Driver!$K$179)</f>
        <v/>
      </c>
      <c r="AK443" s="108">
        <f>(AW443-Driver!$K$180)/(Driver!$L$180-Driver!$K$180)</f>
        <v/>
      </c>
      <c r="AL443" s="108">
        <f>(AX443-Driver!$K$181)/(Driver!$L$181-Driver!$K$181)</f>
        <v/>
      </c>
      <c r="AM443" s="108">
        <f>(AY443-Driver!$K$182)/(Driver!$L$182-Driver!$K$182)</f>
        <v/>
      </c>
      <c r="AN443" s="108">
        <f>(AZ443-Driver!$K$183)/(Driver!$L$183-Driver!$K$183)</f>
        <v/>
      </c>
      <c r="AO443" s="108" t="n"/>
      <c r="AP443" s="108" t="n"/>
      <c r="AQ443" s="108">
        <f>(BC443-Driver!$K$188)/(Driver!$L$188-Driver!$K$188)</f>
        <v/>
      </c>
      <c r="AR443" s="108">
        <f>MIN((BD443-Driver!$K$189)/(Driver!$L$189-Driver!$K$189),100%)</f>
        <v/>
      </c>
      <c r="AS443" s="108">
        <f>(BE443-Driver!$K$190)/(Driver!$L$190-Driver!$K$190)</f>
        <v/>
      </c>
      <c r="AT443" s="108">
        <f>(BF443-Driver!$K$191)/(Driver!$L$191-Driver!$K$191)</f>
        <v/>
      </c>
      <c r="AU443" s="108">
        <f>(BG443-Driver!$K$192)/(Driver!$L$192-Driver!$K$192)</f>
        <v/>
      </c>
      <c r="AV443" s="105">
        <f>IFERROR(BM443*BJ443^1/4,"")</f>
        <v/>
      </c>
      <c r="AW443" s="105">
        <f>IFERROR(SUM(AX443:AZ443),"")</f>
        <v/>
      </c>
      <c r="AX443" s="105">
        <f>IFERROR(BH443,"")</f>
        <v/>
      </c>
      <c r="AY443" s="105">
        <f>IFERROR(Driver!$K$19/Data!BH443/Data!BI443*Data!BK443*Data!BL443,"")</f>
        <v/>
      </c>
      <c r="AZ443" s="105">
        <f>IFERROR(BI443*BN443,"")</f>
        <v/>
      </c>
      <c r="BA443" s="105" t="n"/>
      <c r="BB443" s="105" t="n"/>
      <c r="BC443" s="105">
        <f>IFERROR(BI443*BN443*BK443/BJ443^(1/2),"")</f>
        <v/>
      </c>
      <c r="BD443" s="105">
        <f>IFERROR(BH443*BM443*BL443/BJ443/BK443,"")</f>
        <v/>
      </c>
      <c r="BE443" s="105">
        <f>IFERROR(MIN(BI443/BQ443/BP443/BO443/BH443,$BE$1),"")</f>
        <v/>
      </c>
      <c r="BF443" s="105">
        <f>IFERROR(BJ443*BO443*BP443/BK443,"")</f>
        <v/>
      </c>
      <c r="BG443" s="105">
        <f>IFERROR(1/BM443/BH443*BQ443,"")</f>
        <v/>
      </c>
      <c r="BH443" s="102">
        <f>MAX((CE443-Driver!$F$200)/(Driver!$G$200-Driver!$F$200)*$BI$1,1)</f>
        <v/>
      </c>
      <c r="BI443" s="102">
        <f>MAX($BI$1*(BY443-Driver!$F$201)/(Driver!$G$201-Driver!$F$201),1)</f>
        <v/>
      </c>
      <c r="BJ443" s="102">
        <f>(CB443-Driver!$F$206)/(Driver!$G$206-Driver!$F$206)*$BI$1</f>
        <v/>
      </c>
      <c r="BK443" s="102">
        <f>(CD443-Driver!$F$203)/(Driver!$G$203-Driver!$F$203)*$BI$1</f>
        <v/>
      </c>
      <c r="BL443" s="102">
        <f>MAX((CR443-Driver!$F$202)/(Driver!$G$202-Driver!$F$202)*$BI$1,1)</f>
        <v/>
      </c>
      <c r="BM443" s="102">
        <f>MAX((CH443-Driver!$F$204)/(Driver!$G$204-Driver!$F$204)*$BI$1,1)</f>
        <v/>
      </c>
      <c r="BN443" s="102">
        <f>(CI443-Driver!$F$205)/(Driver!$G$205-Driver!$F$205)*$BI$1</f>
        <v/>
      </c>
      <c r="BO443" s="102">
        <f>(CK443-Driver!$F$207)/(Driver!$G$207-Driver!$F$207)*$BI$1</f>
        <v/>
      </c>
      <c r="BP443" s="102">
        <f>(CM443-Driver!$F$208)/(Driver!$G$208-Driver!$F$208)*$BI$1</f>
        <v/>
      </c>
      <c r="BQ443" s="102">
        <f>(CL443-Driver!$F$209)/(Driver!$G$209-Driver!$F$209)*$BI$1</f>
        <v/>
      </c>
      <c r="BR443" s="40" t="inlineStr">
        <is>
          <t>21/22</t>
        </is>
      </c>
      <c r="BS443" s="10" t="inlineStr">
        <is>
          <t xml:space="preserve"> Armada</t>
        </is>
      </c>
      <c r="BT443" s="11" t="inlineStr">
        <is>
          <t>ARV 96</t>
        </is>
      </c>
      <c r="BU443" s="13" t="n">
        <v>177</v>
      </c>
      <c r="BV443" s="11" t="inlineStr">
        <is>
          <t xml:space="preserve"> Unisex</t>
        </is>
      </c>
      <c r="BW443" s="13" t="n">
        <v>177</v>
      </c>
      <c r="BX443" s="13" t="n">
        <v>175.2</v>
      </c>
      <c r="BY443" s="13" t="n">
        <v>130</v>
      </c>
      <c r="BZ443" s="13" t="n">
        <v>146</v>
      </c>
      <c r="CA443" s="13" t="n">
        <v>125</v>
      </c>
      <c r="CB443" s="13" t="n">
        <v>95</v>
      </c>
      <c r="CC443" s="13" t="n">
        <v>116</v>
      </c>
      <c r="CD443" s="13" t="n">
        <v>18.9</v>
      </c>
      <c r="CE443" s="13" t="n">
        <v>1938</v>
      </c>
      <c r="CF443" s="13" t="n">
        <v>0.95</v>
      </c>
      <c r="CG443" s="13" t="n">
        <v>1845</v>
      </c>
      <c r="CH443" s="13" t="n">
        <v>215</v>
      </c>
      <c r="CI443" s="13" t="n">
        <v>115</v>
      </c>
      <c r="CJ443" s="13" t="n">
        <v>45</v>
      </c>
      <c r="CK443" s="13" t="n">
        <v>233</v>
      </c>
      <c r="CL443" s="13" t="n">
        <v>38</v>
      </c>
      <c r="CM443" s="13" t="n">
        <v>217</v>
      </c>
      <c r="CN443" s="13" t="n">
        <v>0.852</v>
      </c>
      <c r="CO443" s="13" t="n">
        <v>155</v>
      </c>
      <c r="CP443" s="13" t="n">
        <v>138</v>
      </c>
      <c r="CQ443" s="13" t="n">
        <v>78</v>
      </c>
      <c r="CR443" s="13" t="n">
        <v>9</v>
      </c>
      <c r="CS443" s="13" t="n">
        <v>5.2</v>
      </c>
      <c r="CT443" s="11" t="inlineStr">
        <is>
          <t xml:space="preserve"> Resort Freeride</t>
        </is>
      </c>
      <c r="CU443" s="11" t="inlineStr">
        <is>
          <t xml:space="preserve"> Freeski</t>
        </is>
      </c>
      <c r="CV443" s="13" t="n"/>
      <c r="CW443" s="13" t="n"/>
      <c r="CX443">
        <f>INDEX('Data_Price '!AG$2:AG$1266,MATCH(Data!$DN443,'Data_Price '!$AT$2:$AT$1266,0))</f>
        <v/>
      </c>
      <c r="CY443">
        <f>INDEX('Data_Price '!AH$2:AH$1266,MATCH(Data!$DN443,'Data_Price '!$AT$2:$AT$1266,0))</f>
        <v/>
      </c>
      <c r="CZ443">
        <f>INDEX('Data_Price '!AI$2:AI$1266,MATCH(Data!$DN443,'Data_Price '!$AT$2:$AT$1266,0))</f>
        <v/>
      </c>
      <c r="DA443">
        <f>INDEX('Data_Price '!AJ$2:AJ$1266,MATCH(Data!$DN443,'Data_Price '!$AT$2:$AT$1266,0))</f>
        <v/>
      </c>
      <c r="DB443">
        <f>INDEX('Data_Price '!AK$2:AK$1266,MATCH(Data!$DN443,'Data_Price '!$AT$2:$AT$1266,0))</f>
        <v/>
      </c>
      <c r="DC443">
        <f>INDEX('Data_Price '!AL$2:AL$1266,MATCH(Data!$DN443,'Data_Price '!$AT$2:$AT$1266,0))</f>
        <v/>
      </c>
      <c r="DD443">
        <f>INDEX('Data_Price '!AM$2:AM$1266,MATCH(Data!$DN443,'Data_Price '!$AT$2:$AT$1266,0))</f>
        <v/>
      </c>
      <c r="DE443">
        <f>INDEX('Data_Price '!AN$2:AN$1266,MATCH(Data!$DN443,'Data_Price '!$AT$2:$AT$1266,0))</f>
        <v/>
      </c>
      <c r="DF443">
        <f>INDEX('Data_Price '!AO$2:AO$1266,MATCH(Data!$DN443,'Data_Price '!$AT$2:$AT$1266,0))</f>
        <v/>
      </c>
      <c r="DG443">
        <f>INDEX('Data_Price '!AP$2:AP$1266,MATCH(Data!$DN443,'Data_Price '!$AT$2:$AT$1266,0))</f>
        <v/>
      </c>
      <c r="DH443">
        <f>INDEX('Data_Price '!AQ$2:AQ$1266,MATCH(Data!$DN443,'Data_Price '!$AT$2:$AT$1266,0))</f>
        <v/>
      </c>
      <c r="DI443">
        <f>INDEX('Data_Price '!AR$2:AR$1266,MATCH(Data!$DN443,'Data_Price '!$AT$2:$AT$1266,0))</f>
        <v/>
      </c>
      <c r="DJ443" s="138">
        <f>DA443</f>
        <v/>
      </c>
      <c r="DK443" s="138">
        <f>DE443</f>
        <v/>
      </c>
      <c r="DL443" s="138">
        <f>DI443</f>
        <v/>
      </c>
      <c r="DM443" s="303">
        <f>IF(LEFT(BT443,1)=" ",RIGHT(BT443,LEN(BT443)-1),BT443)</f>
        <v/>
      </c>
      <c r="DN443" s="138">
        <f>_xlfn.CONCAT(BS443,DM443,BU443,BV443)</f>
        <v/>
      </c>
      <c r="DO443" s="307" t="inlineStr">
        <is>
          <t>https://images.evo.com/imgp/250/198700/839667/clone.jpg</t>
        </is>
      </c>
    </row>
    <row r="444" ht="15.6" customHeight="1" s="184">
      <c r="B444" s="303">
        <f t="array" ref="B444">IF(OR(ISERROR(K444:P444)),FALSE,TRUE)</f>
        <v/>
      </c>
      <c r="C444" s="60">
        <f>OR(BR444=Driver!$G$50,Data!BR529=Driver!$H$50)</f>
        <v/>
      </c>
      <c r="D444" s="60">
        <f>OR(BV444=Driver!$G$51,BV444=Driver!$H$51)</f>
        <v/>
      </c>
      <c r="E444" s="60">
        <f>AND(BX444&gt;Driver!$F$54,BX444&lt;Driver!$G$54)</f>
        <v/>
      </c>
      <c r="F444" s="60">
        <f>CL444&gt;Driver!$F$56</f>
        <v/>
      </c>
      <c r="G444" s="60">
        <f>AND(CB444&gt;Driver!$F$55,CB444&lt;Driver!$G$55)</f>
        <v/>
      </c>
      <c r="H444" s="60">
        <f>AND(B444:G444)</f>
        <v/>
      </c>
      <c r="I444" s="60">
        <f>COUNTIFS($H$9:$H$1273,TRUE,$BT$9:$BT$1273,BT444)</f>
        <v/>
      </c>
      <c r="J444" s="60">
        <f t="array" ref="J444">NOT(OR(($H$9:$H$1273=TRUE)*($I$9:$I$1273&gt;0)*($BT$9:$BT$1273=BT444)*($K$9:$K$1273&gt;K444)))</f>
        <v/>
      </c>
      <c r="K444" s="108">
        <f>IFERROR(1-AVERAGE(X444:Y444),"")</f>
        <v/>
      </c>
      <c r="L444" s="108">
        <f>1-X444</f>
        <v/>
      </c>
      <c r="M444" s="108">
        <f>1-Y444</f>
        <v/>
      </c>
      <c r="N444" s="108">
        <f>1-Z444</f>
        <v/>
      </c>
      <c r="O444" s="108">
        <f>1-AA444</f>
        <v/>
      </c>
      <c r="P444" s="108">
        <f>1-AB444</f>
        <v/>
      </c>
      <c r="Q444" s="108" t="n"/>
      <c r="R444" s="108" t="n"/>
      <c r="S444" s="108">
        <f>1-AE444</f>
        <v/>
      </c>
      <c r="T444" s="108">
        <f>1-AF444</f>
        <v/>
      </c>
      <c r="U444" s="108">
        <f>1-AG444</f>
        <v/>
      </c>
      <c r="V444" s="108">
        <f>1-AH444</f>
        <v/>
      </c>
      <c r="W444" s="108">
        <f>1-AI444</f>
        <v/>
      </c>
      <c r="X444" s="108">
        <f>ABS(AJ444-AJ$1)</f>
        <v/>
      </c>
      <c r="Y444" s="108">
        <f>AVERAGE(Z444:AB444)</f>
        <v/>
      </c>
      <c r="Z444" s="108">
        <f>ABS(AL444-AL$1)</f>
        <v/>
      </c>
      <c r="AA444" s="108">
        <f>ABS(AM444-AM$1)</f>
        <v/>
      </c>
      <c r="AB444" s="108">
        <f>ABS(AN444-AN$1)</f>
        <v/>
      </c>
      <c r="AC444" s="108" t="n"/>
      <c r="AD444" s="108" t="n"/>
      <c r="AE444" s="108">
        <f>ABS(AQ$1-AQ444)</f>
        <v/>
      </c>
      <c r="AF444" s="108">
        <f>ABS(AR$1-AR444)</f>
        <v/>
      </c>
      <c r="AG444" s="108">
        <f>ABS(AS$1-AS444)</f>
        <v/>
      </c>
      <c r="AH444" s="108">
        <f>ABS(AT$1-AT444)</f>
        <v/>
      </c>
      <c r="AI444" s="108">
        <f>ABS(AU$1-AU444)</f>
        <v/>
      </c>
      <c r="AJ444" s="108">
        <f>(AV444-Driver!$K$179)/(Driver!$L$179-Driver!$K$179)</f>
        <v/>
      </c>
      <c r="AK444" s="108">
        <f>(AW444-Driver!$K$180)/(Driver!$L$180-Driver!$K$180)</f>
        <v/>
      </c>
      <c r="AL444" s="108">
        <f>(AX444-Driver!$K$181)/(Driver!$L$181-Driver!$K$181)</f>
        <v/>
      </c>
      <c r="AM444" s="108">
        <f>(AY444-Driver!$K$182)/(Driver!$L$182-Driver!$K$182)</f>
        <v/>
      </c>
      <c r="AN444" s="108">
        <f>(AZ444-Driver!$K$183)/(Driver!$L$183-Driver!$K$183)</f>
        <v/>
      </c>
      <c r="AO444" s="108" t="n"/>
      <c r="AP444" s="108" t="n"/>
      <c r="AQ444" s="108">
        <f>(BC444-Driver!$K$188)/(Driver!$L$188-Driver!$K$188)</f>
        <v/>
      </c>
      <c r="AR444" s="108">
        <f>MIN((BD444-Driver!$K$189)/(Driver!$L$189-Driver!$K$189),100%)</f>
        <v/>
      </c>
      <c r="AS444" s="108">
        <f>(BE444-Driver!$K$190)/(Driver!$L$190-Driver!$K$190)</f>
        <v/>
      </c>
      <c r="AT444" s="108">
        <f>(BF444-Driver!$K$191)/(Driver!$L$191-Driver!$K$191)</f>
        <v/>
      </c>
      <c r="AU444" s="108">
        <f>(BG444-Driver!$K$192)/(Driver!$L$192-Driver!$K$192)</f>
        <v/>
      </c>
      <c r="AV444" s="105">
        <f>IFERROR(BM444*BJ444^1/4,"")</f>
        <v/>
      </c>
      <c r="AW444" s="105">
        <f>IFERROR(SUM(AX444:AZ444),"")</f>
        <v/>
      </c>
      <c r="AX444" s="105">
        <f>IFERROR(BH444,"")</f>
        <v/>
      </c>
      <c r="AY444" s="105">
        <f>IFERROR(Driver!$K$19/Data!BH444/Data!BI444*Data!BK444*Data!BL444,"")</f>
        <v/>
      </c>
      <c r="AZ444" s="105">
        <f>IFERROR(BI444*BN444,"")</f>
        <v/>
      </c>
      <c r="BA444" s="105" t="n"/>
      <c r="BB444" s="105" t="n"/>
      <c r="BC444" s="105">
        <f>IFERROR(BI444*BN444*BK444/BJ444^(1/2),"")</f>
        <v/>
      </c>
      <c r="BD444" s="105">
        <f>IFERROR(BH444*BM444*BL444/BJ444/BK444,"")</f>
        <v/>
      </c>
      <c r="BE444" s="105">
        <f>IFERROR(MIN(BI444/BQ444/BP444/BO444/BH444,$BE$1),"")</f>
        <v/>
      </c>
      <c r="BF444" s="105">
        <f>IFERROR(BJ444*BO444*BP444/BK444,"")</f>
        <v/>
      </c>
      <c r="BG444" s="105">
        <f>IFERROR(1/BM444/BH444*BQ444,"")</f>
        <v/>
      </c>
      <c r="BH444" s="102">
        <f>MAX((CE444-Driver!$F$200)/(Driver!$G$200-Driver!$F$200)*$BI$1,1)</f>
        <v/>
      </c>
      <c r="BI444" s="102">
        <f>MAX($BI$1*(BY444-Driver!$F$201)/(Driver!$G$201-Driver!$F$201),1)</f>
        <v/>
      </c>
      <c r="BJ444" s="102">
        <f>(CB444-Driver!$F$206)/(Driver!$G$206-Driver!$F$206)*$BI$1</f>
        <v/>
      </c>
      <c r="BK444" s="102">
        <f>(CD444-Driver!$F$203)/(Driver!$G$203-Driver!$F$203)*$BI$1</f>
        <v/>
      </c>
      <c r="BL444" s="102">
        <f>MAX((CR444-Driver!$F$202)/(Driver!$G$202-Driver!$F$202)*$BI$1,1)</f>
        <v/>
      </c>
      <c r="BM444" s="102">
        <f>MAX((CH444-Driver!$F$204)/(Driver!$G$204-Driver!$F$204)*$BI$1,1)</f>
        <v/>
      </c>
      <c r="BN444" s="102">
        <f>(CI444-Driver!$F$205)/(Driver!$G$205-Driver!$F$205)*$BI$1</f>
        <v/>
      </c>
      <c r="BO444" s="102">
        <f>(CK444-Driver!$F$207)/(Driver!$G$207-Driver!$F$207)*$BI$1</f>
        <v/>
      </c>
      <c r="BP444" s="102">
        <f>(CM444-Driver!$F$208)/(Driver!$G$208-Driver!$F$208)*$BI$1</f>
        <v/>
      </c>
      <c r="BQ444" s="102">
        <f>(CL444-Driver!$F$209)/(Driver!$G$209-Driver!$F$209)*$BI$1</f>
        <v/>
      </c>
      <c r="BR444" s="40" t="inlineStr">
        <is>
          <t>21/22</t>
        </is>
      </c>
      <c r="BS444" s="10" t="inlineStr">
        <is>
          <t xml:space="preserve"> Faction</t>
        </is>
      </c>
      <c r="BT444" s="11" t="inlineStr">
        <is>
          <t>Prodigy 1.0</t>
        </is>
      </c>
      <c r="BU444" s="13" t="n">
        <v>171</v>
      </c>
      <c r="BV444" s="11" t="inlineStr">
        <is>
          <t xml:space="preserve"> Unisex</t>
        </is>
      </c>
      <c r="BW444" s="13" t="n">
        <v>171</v>
      </c>
      <c r="BX444" s="13" t="n">
        <v>169.3</v>
      </c>
      <c r="BY444" s="13" t="n">
        <v>121</v>
      </c>
      <c r="BZ444" s="13" t="n">
        <v>142</v>
      </c>
      <c r="CA444" s="13" t="n">
        <v>120</v>
      </c>
      <c r="CB444" s="13" t="n">
        <v>87</v>
      </c>
      <c r="CC444" s="13" t="n">
        <v>112</v>
      </c>
      <c r="CD444" s="13" t="n">
        <v>16.3</v>
      </c>
      <c r="CE444" s="13" t="n">
        <v>1794</v>
      </c>
      <c r="CF444" s="13" t="n">
        <v>0.93</v>
      </c>
      <c r="CG444" s="13" t="n">
        <v>1674</v>
      </c>
      <c r="CH444" s="13" t="n">
        <v>185</v>
      </c>
      <c r="CI444" s="13" t="n">
        <v>87</v>
      </c>
      <c r="CJ444" s="13" t="n">
        <v>53</v>
      </c>
      <c r="CK444" s="13" t="n">
        <v>277</v>
      </c>
      <c r="CL444" s="13" t="n">
        <v>38</v>
      </c>
      <c r="CM444" s="13" t="n">
        <v>203</v>
      </c>
      <c r="CN444" s="13" t="n">
        <v>0.726</v>
      </c>
      <c r="CO444" s="13" t="n">
        <v>147</v>
      </c>
      <c r="CP444" s="13" t="n">
        <v>122</v>
      </c>
      <c r="CQ444" s="13" t="n">
        <v>129</v>
      </c>
      <c r="CR444" s="13" t="n">
        <v>7</v>
      </c>
      <c r="CS444" s="13" t="n">
        <v>7.1</v>
      </c>
      <c r="CT444" s="11" t="inlineStr">
        <is>
          <t xml:space="preserve"> Resort Freeride</t>
        </is>
      </c>
      <c r="CU444" s="13" t="n"/>
      <c r="CV444" s="13" t="n"/>
      <c r="CW444" s="13" t="n"/>
      <c r="CX444">
        <f>INDEX('Data_Price '!AG$2:AG$1266,MATCH(Data!$DN444,'Data_Price '!$AT$2:$AT$1266,0))</f>
        <v/>
      </c>
      <c r="CY444">
        <f>INDEX('Data_Price '!AH$2:AH$1266,MATCH(Data!$DN444,'Data_Price '!$AT$2:$AT$1266,0))</f>
        <v/>
      </c>
      <c r="CZ444">
        <f>INDEX('Data_Price '!AI$2:AI$1266,MATCH(Data!$DN444,'Data_Price '!$AT$2:$AT$1266,0))</f>
        <v/>
      </c>
      <c r="DA444">
        <f>INDEX('Data_Price '!AJ$2:AJ$1266,MATCH(Data!$DN444,'Data_Price '!$AT$2:$AT$1266,0))</f>
        <v/>
      </c>
      <c r="DB444">
        <f>INDEX('Data_Price '!AK$2:AK$1266,MATCH(Data!$DN444,'Data_Price '!$AT$2:$AT$1266,0))</f>
        <v/>
      </c>
      <c r="DC444">
        <f>INDEX('Data_Price '!AL$2:AL$1266,MATCH(Data!$DN444,'Data_Price '!$AT$2:$AT$1266,0))</f>
        <v/>
      </c>
      <c r="DD444">
        <f>INDEX('Data_Price '!AM$2:AM$1266,MATCH(Data!$DN444,'Data_Price '!$AT$2:$AT$1266,0))</f>
        <v/>
      </c>
      <c r="DE444">
        <f>INDEX('Data_Price '!AN$2:AN$1266,MATCH(Data!$DN444,'Data_Price '!$AT$2:$AT$1266,0))</f>
        <v/>
      </c>
      <c r="DF444">
        <f>INDEX('Data_Price '!AO$2:AO$1266,MATCH(Data!$DN444,'Data_Price '!$AT$2:$AT$1266,0))</f>
        <v/>
      </c>
      <c r="DG444">
        <f>INDEX('Data_Price '!AP$2:AP$1266,MATCH(Data!$DN444,'Data_Price '!$AT$2:$AT$1266,0))</f>
        <v/>
      </c>
      <c r="DH444">
        <f>INDEX('Data_Price '!AQ$2:AQ$1266,MATCH(Data!$DN444,'Data_Price '!$AT$2:$AT$1266,0))</f>
        <v/>
      </c>
      <c r="DI444">
        <f>INDEX('Data_Price '!AR$2:AR$1266,MATCH(Data!$DN444,'Data_Price '!$AT$2:$AT$1266,0))</f>
        <v/>
      </c>
      <c r="DJ444" s="138">
        <f>DA444</f>
        <v/>
      </c>
      <c r="DK444" s="138">
        <f>DE444</f>
        <v/>
      </c>
      <c r="DL444" s="138">
        <f>DI444</f>
        <v/>
      </c>
      <c r="DM444" s="303">
        <f>IF(LEFT(BT444,1)=" ",RIGHT(BT444,LEN(BT444)-1),BT444)</f>
        <v/>
      </c>
      <c r="DN444" s="138">
        <f>_xlfn.CONCAT(BS444,DM444,BU444,BV444)</f>
        <v/>
      </c>
      <c r="DO444" s="307" t="n"/>
    </row>
    <row r="445" ht="15.6" customHeight="1" s="184">
      <c r="B445" s="303">
        <f t="array" ref="B445">IF(OR(ISERROR(K445:P445)),FALSE,TRUE)</f>
        <v/>
      </c>
      <c r="C445" s="60">
        <f>OR(BR445=Driver!$G$50,Data!BR1057=Driver!$H$50)</f>
        <v/>
      </c>
      <c r="D445" s="60">
        <f>OR(BV445=Driver!$G$51,BV445=Driver!$H$51)</f>
        <v/>
      </c>
      <c r="E445" s="60">
        <f>AND(BX445&gt;Driver!$F$54,BX445&lt;Driver!$G$54)</f>
        <v/>
      </c>
      <c r="F445" s="60">
        <f>CL445&gt;Driver!$F$56</f>
        <v/>
      </c>
      <c r="G445" s="60">
        <f>AND(CB445&gt;Driver!$F$55,CB445&lt;Driver!$G$55)</f>
        <v/>
      </c>
      <c r="H445" s="60">
        <f>AND(B445:G445)</f>
        <v/>
      </c>
      <c r="I445" s="60">
        <f>COUNTIFS($H$9:$H$1273,TRUE,$BT$9:$BT$1273,BT445)</f>
        <v/>
      </c>
      <c r="J445" s="60">
        <f t="array" ref="J445">NOT(OR(($H$9:$H$1273=TRUE)*($I$9:$I$1273&gt;0)*($BT$9:$BT$1273=BT445)*($K$9:$K$1273&gt;K445)))</f>
        <v/>
      </c>
      <c r="K445" s="108">
        <f>IFERROR(1-AVERAGE(X445:Y445),"")</f>
        <v/>
      </c>
      <c r="L445" s="108">
        <f>1-X445</f>
        <v/>
      </c>
      <c r="M445" s="108">
        <f>1-Y445</f>
        <v/>
      </c>
      <c r="N445" s="108">
        <f>1-Z445</f>
        <v/>
      </c>
      <c r="O445" s="108">
        <f>1-AA445</f>
        <v/>
      </c>
      <c r="P445" s="108">
        <f>1-AB445</f>
        <v/>
      </c>
      <c r="Q445" s="108" t="n"/>
      <c r="R445" s="108" t="n"/>
      <c r="S445" s="108">
        <f>1-AE445</f>
        <v/>
      </c>
      <c r="T445" s="108">
        <f>1-AF445</f>
        <v/>
      </c>
      <c r="U445" s="108">
        <f>1-AG445</f>
        <v/>
      </c>
      <c r="V445" s="108">
        <f>1-AH445</f>
        <v/>
      </c>
      <c r="W445" s="108">
        <f>1-AI445</f>
        <v/>
      </c>
      <c r="X445" s="108">
        <f>ABS(AJ445-AJ$1)</f>
        <v/>
      </c>
      <c r="Y445" s="108">
        <f>AVERAGE(Z445:AB445)</f>
        <v/>
      </c>
      <c r="Z445" s="108">
        <f>ABS(AL445-AL$1)</f>
        <v/>
      </c>
      <c r="AA445" s="108">
        <f>ABS(AM445-AM$1)</f>
        <v/>
      </c>
      <c r="AB445" s="108">
        <f>ABS(AN445-AN$1)</f>
        <v/>
      </c>
      <c r="AC445" s="108" t="n"/>
      <c r="AD445" s="108" t="n"/>
      <c r="AE445" s="108">
        <f>ABS(AQ$1-AQ445)</f>
        <v/>
      </c>
      <c r="AF445" s="108">
        <f>ABS(AR$1-AR445)</f>
        <v/>
      </c>
      <c r="AG445" s="108">
        <f>ABS(AS$1-AS445)</f>
        <v/>
      </c>
      <c r="AH445" s="108">
        <f>ABS(AT$1-AT445)</f>
        <v/>
      </c>
      <c r="AI445" s="108">
        <f>ABS(AU$1-AU445)</f>
        <v/>
      </c>
      <c r="AJ445" s="108">
        <f>(AV445-Driver!$K$179)/(Driver!$L$179-Driver!$K$179)</f>
        <v/>
      </c>
      <c r="AK445" s="108">
        <f>(AW445-Driver!$K$180)/(Driver!$L$180-Driver!$K$180)</f>
        <v/>
      </c>
      <c r="AL445" s="108">
        <f>(AX445-Driver!$K$181)/(Driver!$L$181-Driver!$K$181)</f>
        <v/>
      </c>
      <c r="AM445" s="108">
        <f>(AY445-Driver!$K$182)/(Driver!$L$182-Driver!$K$182)</f>
        <v/>
      </c>
      <c r="AN445" s="108">
        <f>(AZ445-Driver!$K$183)/(Driver!$L$183-Driver!$K$183)</f>
        <v/>
      </c>
      <c r="AO445" s="108" t="n"/>
      <c r="AP445" s="108" t="n"/>
      <c r="AQ445" s="108">
        <f>(BC445-Driver!$K$188)/(Driver!$L$188-Driver!$K$188)</f>
        <v/>
      </c>
      <c r="AR445" s="108">
        <f>MIN((BD445-Driver!$K$189)/(Driver!$L$189-Driver!$K$189),100%)</f>
        <v/>
      </c>
      <c r="AS445" s="108">
        <f>(BE445-Driver!$K$190)/(Driver!$L$190-Driver!$K$190)</f>
        <v/>
      </c>
      <c r="AT445" s="108">
        <f>(BF445-Driver!$K$191)/(Driver!$L$191-Driver!$K$191)</f>
        <v/>
      </c>
      <c r="AU445" s="108">
        <f>(BG445-Driver!$K$192)/(Driver!$L$192-Driver!$K$192)</f>
        <v/>
      </c>
      <c r="AV445" s="105">
        <f>IFERROR(BM445*BJ445^1/4,"")</f>
        <v/>
      </c>
      <c r="AW445" s="105">
        <f>IFERROR(SUM(AX445:AZ445),"")</f>
        <v/>
      </c>
      <c r="AX445" s="105">
        <f>IFERROR(BH445,"")</f>
        <v/>
      </c>
      <c r="AY445" s="105">
        <f>IFERROR(Driver!$K$19/Data!BH445/Data!BI445*Data!BK445*Data!BL445,"")</f>
        <v/>
      </c>
      <c r="AZ445" s="105">
        <f>IFERROR(BI445*BN445,"")</f>
        <v/>
      </c>
      <c r="BA445" s="105" t="n"/>
      <c r="BB445" s="105" t="n"/>
      <c r="BC445" s="105">
        <f>IFERROR(BI445*BN445*BK445/BJ445^(1/2),"")</f>
        <v/>
      </c>
      <c r="BD445" s="105">
        <f>IFERROR(BH445*BM445*BL445/BJ445/BK445,"")</f>
        <v/>
      </c>
      <c r="BE445" s="105">
        <f>IFERROR(MIN(BI445/BQ445/BP445/BO445/BH445,$BE$1),"")</f>
        <v/>
      </c>
      <c r="BF445" s="105">
        <f>IFERROR(BJ445*BO445*BP445/BK445,"")</f>
        <v/>
      </c>
      <c r="BG445" s="105">
        <f>IFERROR(1/BM445/BH445*BQ445,"")</f>
        <v/>
      </c>
      <c r="BH445" s="102">
        <f>MAX((CE445-Driver!$F$200)/(Driver!$G$200-Driver!$F$200)*$BI$1,1)</f>
        <v/>
      </c>
      <c r="BI445" s="102">
        <f>MAX($BI$1*(BY445-Driver!$F$201)/(Driver!$G$201-Driver!$F$201),1)</f>
        <v/>
      </c>
      <c r="BJ445" s="102">
        <f>(CB445-Driver!$F$206)/(Driver!$G$206-Driver!$F$206)*$BI$1</f>
        <v/>
      </c>
      <c r="BK445" s="102">
        <f>(CD445-Driver!$F$203)/(Driver!$G$203-Driver!$F$203)*$BI$1</f>
        <v/>
      </c>
      <c r="BL445" s="102">
        <f>MAX((CR445-Driver!$F$202)/(Driver!$G$202-Driver!$F$202)*$BI$1,1)</f>
        <v/>
      </c>
      <c r="BM445" s="102">
        <f>MAX((CH445-Driver!$F$204)/(Driver!$G$204-Driver!$F$204)*$BI$1,1)</f>
        <v/>
      </c>
      <c r="BN445" s="102">
        <f>(CI445-Driver!$F$205)/(Driver!$G$205-Driver!$F$205)*$BI$1</f>
        <v/>
      </c>
      <c r="BO445" s="102">
        <f>(CK445-Driver!$F$207)/(Driver!$G$207-Driver!$F$207)*$BI$1</f>
        <v/>
      </c>
      <c r="BP445" s="102">
        <f>(CM445-Driver!$F$208)/(Driver!$G$208-Driver!$F$208)*$BI$1</f>
        <v/>
      </c>
      <c r="BQ445" s="102">
        <f>(CL445-Driver!$F$209)/(Driver!$G$209-Driver!$F$209)*$BI$1</f>
        <v/>
      </c>
      <c r="BR445" s="40" t="inlineStr">
        <is>
          <t>21/22</t>
        </is>
      </c>
      <c r="BS445" s="10" t="inlineStr">
        <is>
          <t xml:space="preserve"> Rossignol</t>
        </is>
      </c>
      <c r="BT445" s="11" t="inlineStr">
        <is>
          <t>React 6 Compact</t>
        </is>
      </c>
      <c r="BU445" s="13" t="n">
        <v>170</v>
      </c>
      <c r="BV445" s="11" t="inlineStr">
        <is>
          <t xml:space="preserve"> Unisex</t>
        </is>
      </c>
      <c r="BW445" s="13" t="n">
        <v>170</v>
      </c>
      <c r="BX445" s="13" t="n">
        <v>169.6</v>
      </c>
      <c r="BY445" s="13" t="n">
        <v>150</v>
      </c>
      <c r="BZ445" s="13" t="n">
        <v>157</v>
      </c>
      <c r="CA445" s="13" t="n">
        <v>122</v>
      </c>
      <c r="CB445" s="13" t="n">
        <v>73</v>
      </c>
      <c r="CC445" s="13" t="n">
        <v>108</v>
      </c>
      <c r="CD445" s="13" t="n">
        <v>14.5</v>
      </c>
      <c r="CE445" s="13" t="n">
        <v>1710</v>
      </c>
      <c r="CF445" s="13" t="n">
        <v>0.88</v>
      </c>
      <c r="CG445" s="13" t="n">
        <v>1499</v>
      </c>
      <c r="CH445" s="13" t="n">
        <v>185</v>
      </c>
      <c r="CI445" s="13" t="n">
        <v>73</v>
      </c>
      <c r="CJ445" s="13" t="n">
        <v>35</v>
      </c>
      <c r="CK445" s="13" t="n">
        <v>144</v>
      </c>
      <c r="CL445" s="13" t="n">
        <v>4</v>
      </c>
      <c r="CM445" s="13" t="n">
        <v>50</v>
      </c>
      <c r="CN445" s="13" t="n">
        <v>0.123</v>
      </c>
      <c r="CO445" s="13" t="n">
        <v>71</v>
      </c>
      <c r="CP445" s="13" t="n">
        <v>60</v>
      </c>
      <c r="CQ445" s="13" t="n">
        <v>74</v>
      </c>
      <c r="CR445" s="13" t="n">
        <v>13</v>
      </c>
      <c r="CS445" s="13" t="n">
        <v>9.9</v>
      </c>
      <c r="CT445" s="11" t="inlineStr">
        <is>
          <t xml:space="preserve"> On-Piste Carving</t>
        </is>
      </c>
      <c r="CU445" s="13" t="n"/>
      <c r="CV445" s="13" t="n"/>
      <c r="CW445" s="13" t="n"/>
      <c r="CX445">
        <f>INDEX('Data_Price '!AG$2:AG$1266,MATCH(Data!$DN445,'Data_Price '!$AT$2:$AT$1266,0))</f>
        <v/>
      </c>
      <c r="CY445">
        <f>INDEX('Data_Price '!AH$2:AH$1266,MATCH(Data!$DN445,'Data_Price '!$AT$2:$AT$1266,0))</f>
        <v/>
      </c>
      <c r="CZ445">
        <f>INDEX('Data_Price '!AI$2:AI$1266,MATCH(Data!$DN445,'Data_Price '!$AT$2:$AT$1266,0))</f>
        <v/>
      </c>
      <c r="DA445">
        <f>INDEX('Data_Price '!AJ$2:AJ$1266,MATCH(Data!$DN445,'Data_Price '!$AT$2:$AT$1266,0))</f>
        <v/>
      </c>
      <c r="DB445">
        <f>INDEX('Data_Price '!AK$2:AK$1266,MATCH(Data!$DN445,'Data_Price '!$AT$2:$AT$1266,0))</f>
        <v/>
      </c>
      <c r="DC445">
        <f>INDEX('Data_Price '!AL$2:AL$1266,MATCH(Data!$DN445,'Data_Price '!$AT$2:$AT$1266,0))</f>
        <v/>
      </c>
      <c r="DD445">
        <f>INDEX('Data_Price '!AM$2:AM$1266,MATCH(Data!$DN445,'Data_Price '!$AT$2:$AT$1266,0))</f>
        <v/>
      </c>
      <c r="DE445">
        <f>INDEX('Data_Price '!AN$2:AN$1266,MATCH(Data!$DN445,'Data_Price '!$AT$2:$AT$1266,0))</f>
        <v/>
      </c>
      <c r="DF445">
        <f>INDEX('Data_Price '!AO$2:AO$1266,MATCH(Data!$DN445,'Data_Price '!$AT$2:$AT$1266,0))</f>
        <v/>
      </c>
      <c r="DG445">
        <f>INDEX('Data_Price '!AP$2:AP$1266,MATCH(Data!$DN445,'Data_Price '!$AT$2:$AT$1266,0))</f>
        <v/>
      </c>
      <c r="DH445">
        <f>INDEX('Data_Price '!AQ$2:AQ$1266,MATCH(Data!$DN445,'Data_Price '!$AT$2:$AT$1266,0))</f>
        <v/>
      </c>
      <c r="DI445">
        <f>INDEX('Data_Price '!AR$2:AR$1266,MATCH(Data!$DN445,'Data_Price '!$AT$2:$AT$1266,0))</f>
        <v/>
      </c>
      <c r="DJ445" s="138">
        <f>DA445</f>
        <v/>
      </c>
      <c r="DK445" s="138">
        <f>DE445</f>
        <v/>
      </c>
      <c r="DL445" s="138">
        <f>DI445</f>
        <v/>
      </c>
      <c r="DM445" s="303">
        <f>IF(LEFT(BT445,1)=" ",RIGHT(BT445,LEN(BT445)-1),BT445)</f>
        <v/>
      </c>
      <c r="DN445" s="138">
        <f>_xlfn.CONCAT(BS445,DM445,BU445,BV445)</f>
        <v/>
      </c>
      <c r="DO445" s="307" t="n"/>
    </row>
    <row r="446" ht="15.6" customHeight="1" s="184">
      <c r="B446" s="303">
        <f t="array" ref="B446">IF(OR(ISERROR(K446:P446)),FALSE,TRUE)</f>
        <v/>
      </c>
      <c r="C446" s="60">
        <f>OR(BR446=Driver!$G$50,Data!BR1189=Driver!$H$50)</f>
        <v/>
      </c>
      <c r="D446" s="60">
        <f>OR(BV446=Driver!$G$51,BV446=Driver!$H$51)</f>
        <v/>
      </c>
      <c r="E446" s="60">
        <f>AND(BX446&gt;Driver!$F$54,BX446&lt;Driver!$G$54)</f>
        <v/>
      </c>
      <c r="F446" s="60">
        <f>CL446&gt;Driver!$F$56</f>
        <v/>
      </c>
      <c r="G446" s="60">
        <f>AND(CB446&gt;Driver!$F$55,CB446&lt;Driver!$G$55)</f>
        <v/>
      </c>
      <c r="H446" s="60">
        <f>AND(B446:G446)</f>
        <v/>
      </c>
      <c r="I446" s="60">
        <f>COUNTIFS($H$9:$H$1273,TRUE,$BT$9:$BT$1273,BT446)</f>
        <v/>
      </c>
      <c r="J446" s="60">
        <f t="array" ref="J446">NOT(OR(($H$9:$H$1273=TRUE)*($I$9:$I$1273&gt;0)*($BT$9:$BT$1273=BT446)*($K$9:$K$1273&gt;K446)))</f>
        <v/>
      </c>
      <c r="K446" s="108">
        <f>IFERROR(1-AVERAGE(X446:Y446),"")</f>
        <v/>
      </c>
      <c r="L446" s="108">
        <f>1-X446</f>
        <v/>
      </c>
      <c r="M446" s="108">
        <f>1-Y446</f>
        <v/>
      </c>
      <c r="N446" s="108">
        <f>1-Z446</f>
        <v/>
      </c>
      <c r="O446" s="108">
        <f>1-AA446</f>
        <v/>
      </c>
      <c r="P446" s="108">
        <f>1-AB446</f>
        <v/>
      </c>
      <c r="Q446" s="108" t="n"/>
      <c r="R446" s="108" t="n"/>
      <c r="S446" s="108">
        <f>1-AE446</f>
        <v/>
      </c>
      <c r="T446" s="108">
        <f>1-AF446</f>
        <v/>
      </c>
      <c r="U446" s="108">
        <f>1-AG446</f>
        <v/>
      </c>
      <c r="V446" s="108">
        <f>1-AH446</f>
        <v/>
      </c>
      <c r="W446" s="108">
        <f>1-AI446</f>
        <v/>
      </c>
      <c r="X446" s="108">
        <f>ABS(AJ446-AJ$1)</f>
        <v/>
      </c>
      <c r="Y446" s="108">
        <f>AVERAGE(Z446:AB446)</f>
        <v/>
      </c>
      <c r="Z446" s="108">
        <f>ABS(AL446-AL$1)</f>
        <v/>
      </c>
      <c r="AA446" s="108">
        <f>ABS(AM446-AM$1)</f>
        <v/>
      </c>
      <c r="AB446" s="108">
        <f>ABS(AN446-AN$1)</f>
        <v/>
      </c>
      <c r="AC446" s="108" t="n"/>
      <c r="AD446" s="108" t="n"/>
      <c r="AE446" s="108">
        <f>ABS(AQ$1-AQ446)</f>
        <v/>
      </c>
      <c r="AF446" s="108">
        <f>ABS(AR$1-AR446)</f>
        <v/>
      </c>
      <c r="AG446" s="108">
        <f>ABS(AS$1-AS446)</f>
        <v/>
      </c>
      <c r="AH446" s="108">
        <f>ABS(AT$1-AT446)</f>
        <v/>
      </c>
      <c r="AI446" s="108">
        <f>ABS(AU$1-AU446)</f>
        <v/>
      </c>
      <c r="AJ446" s="108">
        <f>(AV446-Driver!$K$179)/(Driver!$L$179-Driver!$K$179)</f>
        <v/>
      </c>
      <c r="AK446" s="108">
        <f>(AW446-Driver!$K$180)/(Driver!$L$180-Driver!$K$180)</f>
        <v/>
      </c>
      <c r="AL446" s="108">
        <f>(AX446-Driver!$K$181)/(Driver!$L$181-Driver!$K$181)</f>
        <v/>
      </c>
      <c r="AM446" s="108">
        <f>(AY446-Driver!$K$182)/(Driver!$L$182-Driver!$K$182)</f>
        <v/>
      </c>
      <c r="AN446" s="108">
        <f>(AZ446-Driver!$K$183)/(Driver!$L$183-Driver!$K$183)</f>
        <v/>
      </c>
      <c r="AO446" s="108" t="n"/>
      <c r="AP446" s="108" t="n"/>
      <c r="AQ446" s="108">
        <f>(BC446-Driver!$K$188)/(Driver!$L$188-Driver!$K$188)</f>
        <v/>
      </c>
      <c r="AR446" s="108">
        <f>MIN((BD446-Driver!$K$189)/(Driver!$L$189-Driver!$K$189),100%)</f>
        <v/>
      </c>
      <c r="AS446" s="108">
        <f>(BE446-Driver!$K$190)/(Driver!$L$190-Driver!$K$190)</f>
        <v/>
      </c>
      <c r="AT446" s="108">
        <f>(BF446-Driver!$K$191)/(Driver!$L$191-Driver!$K$191)</f>
        <v/>
      </c>
      <c r="AU446" s="108">
        <f>(BG446-Driver!$K$192)/(Driver!$L$192-Driver!$K$192)</f>
        <v/>
      </c>
      <c r="AV446" s="105">
        <f>IFERROR(BM446*BJ446^1/4,"")</f>
        <v/>
      </c>
      <c r="AW446" s="105">
        <f>IFERROR(SUM(AX446:AZ446),"")</f>
        <v/>
      </c>
      <c r="AX446" s="105">
        <f>IFERROR(BH446,"")</f>
        <v/>
      </c>
      <c r="AY446" s="105">
        <f>IFERROR(Driver!$K$19/Data!BH446/Data!BI446*Data!BK446*Data!BL446,"")</f>
        <v/>
      </c>
      <c r="AZ446" s="105">
        <f>IFERROR(BI446*BN446,"")</f>
        <v/>
      </c>
      <c r="BA446" s="105" t="n"/>
      <c r="BB446" s="105" t="n"/>
      <c r="BC446" s="105">
        <f>IFERROR(BI446*BN446*BK446/BJ446^(1/2),"")</f>
        <v/>
      </c>
      <c r="BD446" s="105">
        <f>IFERROR(BH446*BM446*BL446/BJ446/BK446,"")</f>
        <v/>
      </c>
      <c r="BE446" s="105">
        <f>IFERROR(MIN(BI446/BQ446/BP446/BO446/BH446,$BE$1),"")</f>
        <v/>
      </c>
      <c r="BF446" s="105">
        <f>IFERROR(BJ446*BO446*BP446/BK446,"")</f>
        <v/>
      </c>
      <c r="BG446" s="105">
        <f>IFERROR(1/BM446/BH446*BQ446,"")</f>
        <v/>
      </c>
      <c r="BH446" s="102">
        <f>MAX((CE446-Driver!$F$200)/(Driver!$G$200-Driver!$F$200)*$BI$1,1)</f>
        <v/>
      </c>
      <c r="BI446" s="102">
        <f>MAX($BI$1*(BY446-Driver!$F$201)/(Driver!$G$201-Driver!$F$201),1)</f>
        <v/>
      </c>
      <c r="BJ446" s="102">
        <f>(CB446-Driver!$F$206)/(Driver!$G$206-Driver!$F$206)*$BI$1</f>
        <v/>
      </c>
      <c r="BK446" s="102">
        <f>(CD446-Driver!$F$203)/(Driver!$G$203-Driver!$F$203)*$BI$1</f>
        <v/>
      </c>
      <c r="BL446" s="102">
        <f>MAX((CR446-Driver!$F$202)/(Driver!$G$202-Driver!$F$202)*$BI$1,1)</f>
        <v/>
      </c>
      <c r="BM446" s="102">
        <f>MAX((CH446-Driver!$F$204)/(Driver!$G$204-Driver!$F$204)*$BI$1,1)</f>
        <v/>
      </c>
      <c r="BN446" s="102">
        <f>(CI446-Driver!$F$205)/(Driver!$G$205-Driver!$F$205)*$BI$1</f>
        <v/>
      </c>
      <c r="BO446" s="102">
        <f>(CK446-Driver!$F$207)/(Driver!$G$207-Driver!$F$207)*$BI$1</f>
        <v/>
      </c>
      <c r="BP446" s="102">
        <f>(CM446-Driver!$F$208)/(Driver!$G$208-Driver!$F$208)*$BI$1</f>
        <v/>
      </c>
      <c r="BQ446" s="102">
        <f>(CL446-Driver!$F$209)/(Driver!$G$209-Driver!$F$209)*$BI$1</f>
        <v/>
      </c>
      <c r="BR446" s="40" t="inlineStr">
        <is>
          <t>21/22</t>
        </is>
      </c>
      <c r="BS446" s="10" t="inlineStr">
        <is>
          <t xml:space="preserve"> Völkl</t>
        </is>
      </c>
      <c r="BT446" s="11" t="inlineStr">
        <is>
          <t xml:space="preserve"> Deacon XTD</t>
        </is>
      </c>
      <c r="BU446" s="13" t="n">
        <v>175</v>
      </c>
      <c r="BV446" s="11" t="inlineStr">
        <is>
          <t xml:space="preserve"> Unisex</t>
        </is>
      </c>
      <c r="BW446" s="13" t="n">
        <v>175</v>
      </c>
      <c r="BX446" s="13" t="n">
        <v>175.5</v>
      </c>
      <c r="BY446" s="13" t="n">
        <v>156</v>
      </c>
      <c r="BZ446" s="13" t="n">
        <v>163</v>
      </c>
      <c r="CA446" s="13" t="n">
        <v>123</v>
      </c>
      <c r="CB446" s="13" t="n">
        <v>75</v>
      </c>
      <c r="CC446" s="13" t="n">
        <v>104</v>
      </c>
      <c r="CD446" s="13" t="n">
        <v>17</v>
      </c>
      <c r="CE446" s="13" t="n">
        <v>1931</v>
      </c>
      <c r="CF446" s="13" t="n">
        <v>0.8100000000000001</v>
      </c>
      <c r="CG446" s="13" t="n">
        <v>1565</v>
      </c>
      <c r="CH446" s="13" t="n">
        <v>204</v>
      </c>
      <c r="CI446" s="13" t="n">
        <v>87</v>
      </c>
      <c r="CJ446" s="13" t="n">
        <v>35</v>
      </c>
      <c r="CK446" s="13" t="n">
        <v>141</v>
      </c>
      <c r="CL446" s="13" t="n">
        <v>5</v>
      </c>
      <c r="CM446" s="13" t="n">
        <v>52</v>
      </c>
      <c r="CN446" s="13" t="n">
        <v>0.127</v>
      </c>
      <c r="CO446" s="13" t="n">
        <v>73</v>
      </c>
      <c r="CP446" s="13" t="n">
        <v>49</v>
      </c>
      <c r="CQ446" s="13" t="n">
        <v>67</v>
      </c>
      <c r="CR446" s="13" t="n">
        <v>9</v>
      </c>
      <c r="CS446" s="13" t="n">
        <v>12.7</v>
      </c>
      <c r="CT446" s="11" t="inlineStr">
        <is>
          <t xml:space="preserve"> On-Piste Carving</t>
        </is>
      </c>
      <c r="CU446" s="13" t="n"/>
      <c r="CV446" s="13" t="n"/>
      <c r="CW446" s="13" t="n"/>
      <c r="CX446">
        <f>INDEX('Data_Price '!AG$2:AG$1266,MATCH(Data!$DN446,'Data_Price '!$AT$2:$AT$1266,0))</f>
        <v/>
      </c>
      <c r="CY446">
        <f>INDEX('Data_Price '!AH$2:AH$1266,MATCH(Data!$DN446,'Data_Price '!$AT$2:$AT$1266,0))</f>
        <v/>
      </c>
      <c r="CZ446">
        <f>INDEX('Data_Price '!AI$2:AI$1266,MATCH(Data!$DN446,'Data_Price '!$AT$2:$AT$1266,0))</f>
        <v/>
      </c>
      <c r="DA446">
        <f>INDEX('Data_Price '!AJ$2:AJ$1266,MATCH(Data!$DN446,'Data_Price '!$AT$2:$AT$1266,0))</f>
        <v/>
      </c>
      <c r="DB446">
        <f>INDEX('Data_Price '!AK$2:AK$1266,MATCH(Data!$DN446,'Data_Price '!$AT$2:$AT$1266,0))</f>
        <v/>
      </c>
      <c r="DC446">
        <f>INDEX('Data_Price '!AL$2:AL$1266,MATCH(Data!$DN446,'Data_Price '!$AT$2:$AT$1266,0))</f>
        <v/>
      </c>
      <c r="DD446">
        <f>INDEX('Data_Price '!AM$2:AM$1266,MATCH(Data!$DN446,'Data_Price '!$AT$2:$AT$1266,0))</f>
        <v/>
      </c>
      <c r="DE446">
        <f>INDEX('Data_Price '!AN$2:AN$1266,MATCH(Data!$DN446,'Data_Price '!$AT$2:$AT$1266,0))</f>
        <v/>
      </c>
      <c r="DF446">
        <f>INDEX('Data_Price '!AO$2:AO$1266,MATCH(Data!$DN446,'Data_Price '!$AT$2:$AT$1266,0))</f>
        <v/>
      </c>
      <c r="DG446">
        <f>INDEX('Data_Price '!AP$2:AP$1266,MATCH(Data!$DN446,'Data_Price '!$AT$2:$AT$1266,0))</f>
        <v/>
      </c>
      <c r="DH446">
        <f>INDEX('Data_Price '!AQ$2:AQ$1266,MATCH(Data!$DN446,'Data_Price '!$AT$2:$AT$1266,0))</f>
        <v/>
      </c>
      <c r="DI446">
        <f>INDEX('Data_Price '!AR$2:AR$1266,MATCH(Data!$DN446,'Data_Price '!$AT$2:$AT$1266,0))</f>
        <v/>
      </c>
      <c r="DJ446" s="138">
        <f>DA446</f>
        <v/>
      </c>
      <c r="DK446" s="138">
        <f>DE446</f>
        <v/>
      </c>
      <c r="DL446" s="138">
        <f>DI446</f>
        <v/>
      </c>
      <c r="DM446" s="303">
        <f>IF(LEFT(BT446,1)=" ",RIGHT(BT446,LEN(BT446)-1),BT446)</f>
        <v/>
      </c>
      <c r="DN446" s="138">
        <f>_xlfn.CONCAT(BS446,DM446,BU446,BV446)</f>
        <v/>
      </c>
      <c r="DO446" s="307" t="n"/>
    </row>
    <row r="447" ht="15.6" customHeight="1" s="184">
      <c r="B447" s="303">
        <f t="array" ref="B447">IF(OR(ISERROR(K447:P447)),FALSE,TRUE)</f>
        <v/>
      </c>
      <c r="C447" s="60">
        <f>OR(BR447=Driver!$G$50,Data!BR470=Driver!$H$50)</f>
        <v/>
      </c>
      <c r="D447" s="60">
        <f>OR(BV447=Driver!$G$51,BV447=Driver!$H$51)</f>
        <v/>
      </c>
      <c r="E447" s="60">
        <f>AND(BX447&gt;Driver!$F$54,BX447&lt;Driver!$G$54)</f>
        <v/>
      </c>
      <c r="F447" s="60">
        <f>CL447&gt;Driver!$F$56</f>
        <v/>
      </c>
      <c r="G447" s="60">
        <f>AND(CB447&gt;Driver!$F$55,CB447&lt;Driver!$G$55)</f>
        <v/>
      </c>
      <c r="H447" s="60">
        <f>AND(B447:G447)</f>
        <v/>
      </c>
      <c r="I447" s="60">
        <f>COUNTIFS($H$9:$H$1273,TRUE,$BT$9:$BT$1273,BT447)</f>
        <v/>
      </c>
      <c r="J447" s="60">
        <f t="array" ref="J447">NOT(OR(($H$9:$H$1273=TRUE)*($I$9:$I$1273&gt;0)*($BT$9:$BT$1273=BT447)*($K$9:$K$1273&gt;K447)))</f>
        <v/>
      </c>
      <c r="K447" s="108">
        <f>IFERROR(1-AVERAGE(X447:Y447),"")</f>
        <v/>
      </c>
      <c r="L447" s="108">
        <f>1-X447</f>
        <v/>
      </c>
      <c r="M447" s="108">
        <f>1-Y447</f>
        <v/>
      </c>
      <c r="N447" s="108">
        <f>1-Z447</f>
        <v/>
      </c>
      <c r="O447" s="108">
        <f>1-AA447</f>
        <v/>
      </c>
      <c r="P447" s="108">
        <f>1-AB447</f>
        <v/>
      </c>
      <c r="Q447" s="108" t="n"/>
      <c r="R447" s="108" t="n"/>
      <c r="S447" s="108">
        <f>1-AE447</f>
        <v/>
      </c>
      <c r="T447" s="108">
        <f>1-AF447</f>
        <v/>
      </c>
      <c r="U447" s="108">
        <f>1-AG447</f>
        <v/>
      </c>
      <c r="V447" s="108">
        <f>1-AH447</f>
        <v/>
      </c>
      <c r="W447" s="108">
        <f>1-AI447</f>
        <v/>
      </c>
      <c r="X447" s="108">
        <f>ABS(AJ447-AJ$1)</f>
        <v/>
      </c>
      <c r="Y447" s="108">
        <f>AVERAGE(Z447:AB447)</f>
        <v/>
      </c>
      <c r="Z447" s="108">
        <f>ABS(AL447-AL$1)</f>
        <v/>
      </c>
      <c r="AA447" s="108">
        <f>ABS(AM447-AM$1)</f>
        <v/>
      </c>
      <c r="AB447" s="108">
        <f>ABS(AN447-AN$1)</f>
        <v/>
      </c>
      <c r="AC447" s="108" t="n"/>
      <c r="AD447" s="108" t="n"/>
      <c r="AE447" s="108">
        <f>ABS(AQ$1-AQ447)</f>
        <v/>
      </c>
      <c r="AF447" s="108">
        <f>ABS(AR$1-AR447)</f>
        <v/>
      </c>
      <c r="AG447" s="108">
        <f>ABS(AS$1-AS447)</f>
        <v/>
      </c>
      <c r="AH447" s="108">
        <f>ABS(AT$1-AT447)</f>
        <v/>
      </c>
      <c r="AI447" s="108">
        <f>ABS(AU$1-AU447)</f>
        <v/>
      </c>
      <c r="AJ447" s="108">
        <f>(AV447-Driver!$K$179)/(Driver!$L$179-Driver!$K$179)</f>
        <v/>
      </c>
      <c r="AK447" s="108">
        <f>(AW447-Driver!$K$180)/(Driver!$L$180-Driver!$K$180)</f>
        <v/>
      </c>
      <c r="AL447" s="108">
        <f>(AX447-Driver!$K$181)/(Driver!$L$181-Driver!$K$181)</f>
        <v/>
      </c>
      <c r="AM447" s="108">
        <f>(AY447-Driver!$K$182)/(Driver!$L$182-Driver!$K$182)</f>
        <v/>
      </c>
      <c r="AN447" s="108">
        <f>(AZ447-Driver!$K$183)/(Driver!$L$183-Driver!$K$183)</f>
        <v/>
      </c>
      <c r="AO447" s="108" t="n"/>
      <c r="AP447" s="108" t="n"/>
      <c r="AQ447" s="108">
        <f>(BC447-Driver!$K$188)/(Driver!$L$188-Driver!$K$188)</f>
        <v/>
      </c>
      <c r="AR447" s="108">
        <f>MIN((BD447-Driver!$K$189)/(Driver!$L$189-Driver!$K$189),100%)</f>
        <v/>
      </c>
      <c r="AS447" s="108">
        <f>(BE447-Driver!$K$190)/(Driver!$L$190-Driver!$K$190)</f>
        <v/>
      </c>
      <c r="AT447" s="108">
        <f>(BF447-Driver!$K$191)/(Driver!$L$191-Driver!$K$191)</f>
        <v/>
      </c>
      <c r="AU447" s="108">
        <f>(BG447-Driver!$K$192)/(Driver!$L$192-Driver!$K$192)</f>
        <v/>
      </c>
      <c r="AV447" s="105">
        <f>IFERROR(BM447*BJ447^1/4,"")</f>
        <v/>
      </c>
      <c r="AW447" s="105">
        <f>IFERROR(SUM(AX447:AZ447),"")</f>
        <v/>
      </c>
      <c r="AX447" s="105">
        <f>IFERROR(BH447,"")</f>
        <v/>
      </c>
      <c r="AY447" s="105">
        <f>IFERROR(Driver!$K$19/Data!BH447/Data!BI447*Data!BK447*Data!BL447,"")</f>
        <v/>
      </c>
      <c r="AZ447" s="105">
        <f>IFERROR(BI447*BN447,"")</f>
        <v/>
      </c>
      <c r="BA447" s="105" t="n"/>
      <c r="BB447" s="105" t="n"/>
      <c r="BC447" s="105">
        <f>IFERROR(BI447*BN447*BK447/BJ447^(1/2),"")</f>
        <v/>
      </c>
      <c r="BD447" s="105">
        <f>IFERROR(BH447*BM447*BL447/BJ447/BK447,"")</f>
        <v/>
      </c>
      <c r="BE447" s="105">
        <f>IFERROR(MIN(BI447/BQ447/BP447/BO447/BH447,$BE$1),"")</f>
        <v/>
      </c>
      <c r="BF447" s="105">
        <f>IFERROR(BJ447*BO447*BP447/BK447,"")</f>
        <v/>
      </c>
      <c r="BG447" s="105">
        <f>IFERROR(1/BM447/BH447*BQ447,"")</f>
        <v/>
      </c>
      <c r="BH447" s="102">
        <f>MAX((CE447-Driver!$F$200)/(Driver!$G$200-Driver!$F$200)*$BI$1,1)</f>
        <v/>
      </c>
      <c r="BI447" s="102">
        <f>MAX($BI$1*(BY447-Driver!$F$201)/(Driver!$G$201-Driver!$F$201),1)</f>
        <v/>
      </c>
      <c r="BJ447" s="102">
        <f>(CB447-Driver!$F$206)/(Driver!$G$206-Driver!$F$206)*$BI$1</f>
        <v/>
      </c>
      <c r="BK447" s="102">
        <f>(CD447-Driver!$F$203)/(Driver!$G$203-Driver!$F$203)*$BI$1</f>
        <v/>
      </c>
      <c r="BL447" s="102">
        <f>MAX((CR447-Driver!$F$202)/(Driver!$G$202-Driver!$F$202)*$BI$1,1)</f>
        <v/>
      </c>
      <c r="BM447" s="102">
        <f>MAX((CH447-Driver!$F$204)/(Driver!$G$204-Driver!$F$204)*$BI$1,1)</f>
        <v/>
      </c>
      <c r="BN447" s="102">
        <f>(CI447-Driver!$F$205)/(Driver!$G$205-Driver!$F$205)*$BI$1</f>
        <v/>
      </c>
      <c r="BO447" s="102">
        <f>(CK447-Driver!$F$207)/(Driver!$G$207-Driver!$F$207)*$BI$1</f>
        <v/>
      </c>
      <c r="BP447" s="102">
        <f>(CM447-Driver!$F$208)/(Driver!$G$208-Driver!$F$208)*$BI$1</f>
        <v/>
      </c>
      <c r="BQ447" s="102">
        <f>(CL447-Driver!$F$209)/(Driver!$G$209-Driver!$F$209)*$BI$1</f>
        <v/>
      </c>
      <c r="BR447" s="40" t="inlineStr">
        <is>
          <t>21/22</t>
        </is>
      </c>
      <c r="BS447" s="10" t="inlineStr">
        <is>
          <t xml:space="preserve"> Elan</t>
        </is>
      </c>
      <c r="BT447" s="11" t="inlineStr">
        <is>
          <t>Wildcat 76</t>
        </is>
      </c>
      <c r="BU447" s="13" t="n">
        <v>158</v>
      </c>
      <c r="BV447" s="11" t="inlineStr">
        <is>
          <t xml:space="preserve"> Women's</t>
        </is>
      </c>
      <c r="BW447" s="13" t="n">
        <v>158</v>
      </c>
      <c r="BX447" s="13" t="n">
        <v>158.4</v>
      </c>
      <c r="BY447" s="13" t="n">
        <v>138</v>
      </c>
      <c r="BZ447" s="13" t="n">
        <v>145</v>
      </c>
      <c r="CA447" s="13" t="n">
        <v>127</v>
      </c>
      <c r="CB447" s="13" t="n">
        <v>75</v>
      </c>
      <c r="CC447" s="13" t="n">
        <v>104</v>
      </c>
      <c r="CD447" s="13" t="n">
        <v>13</v>
      </c>
      <c r="CE447" s="13" t="n">
        <v>1515</v>
      </c>
      <c r="CF447" s="13" t="n">
        <v>0.95</v>
      </c>
      <c r="CG447" s="13" t="n">
        <v>1438</v>
      </c>
      <c r="CH447" s="13" t="n">
        <v>163</v>
      </c>
      <c r="CI447" s="13" t="n">
        <v>69</v>
      </c>
      <c r="CJ447" s="13" t="n">
        <v>37</v>
      </c>
      <c r="CK447" s="13" t="n">
        <v>141</v>
      </c>
      <c r="CL447" s="13" t="n">
        <v>7</v>
      </c>
      <c r="CM447" s="13" t="n">
        <v>68</v>
      </c>
      <c r="CN447" s="13" t="n">
        <v>0.187</v>
      </c>
      <c r="CO447" s="13" t="n">
        <v>88</v>
      </c>
      <c r="CP447" s="13" t="n">
        <v>49</v>
      </c>
      <c r="CQ447" s="13" t="n">
        <v>53</v>
      </c>
      <c r="CR447" s="13" t="n">
        <v>9</v>
      </c>
      <c r="CS447" s="13" t="n">
        <v>9.199999999999999</v>
      </c>
      <c r="CT447" s="11" t="inlineStr">
        <is>
          <t xml:space="preserve"> On-Piste Carving</t>
        </is>
      </c>
      <c r="CU447" s="13" t="n"/>
      <c r="CV447" s="13" t="n"/>
      <c r="CW447" s="13" t="n"/>
      <c r="CX447">
        <f>INDEX('Data_Price '!AG$2:AG$1266,MATCH(Data!$DN447,'Data_Price '!$AT$2:$AT$1266,0))</f>
        <v/>
      </c>
      <c r="CY447">
        <f>INDEX('Data_Price '!AH$2:AH$1266,MATCH(Data!$DN447,'Data_Price '!$AT$2:$AT$1266,0))</f>
        <v/>
      </c>
      <c r="CZ447">
        <f>INDEX('Data_Price '!AI$2:AI$1266,MATCH(Data!$DN447,'Data_Price '!$AT$2:$AT$1266,0))</f>
        <v/>
      </c>
      <c r="DA447">
        <f>INDEX('Data_Price '!AJ$2:AJ$1266,MATCH(Data!$DN447,'Data_Price '!$AT$2:$AT$1266,0))</f>
        <v/>
      </c>
      <c r="DB447">
        <f>INDEX('Data_Price '!AK$2:AK$1266,MATCH(Data!$DN447,'Data_Price '!$AT$2:$AT$1266,0))</f>
        <v/>
      </c>
      <c r="DC447">
        <f>INDEX('Data_Price '!AL$2:AL$1266,MATCH(Data!$DN447,'Data_Price '!$AT$2:$AT$1266,0))</f>
        <v/>
      </c>
      <c r="DD447">
        <f>INDEX('Data_Price '!AM$2:AM$1266,MATCH(Data!$DN447,'Data_Price '!$AT$2:$AT$1266,0))</f>
        <v/>
      </c>
      <c r="DE447">
        <f>INDEX('Data_Price '!AN$2:AN$1266,MATCH(Data!$DN447,'Data_Price '!$AT$2:$AT$1266,0))</f>
        <v/>
      </c>
      <c r="DF447">
        <f>INDEX('Data_Price '!AO$2:AO$1266,MATCH(Data!$DN447,'Data_Price '!$AT$2:$AT$1266,0))</f>
        <v/>
      </c>
      <c r="DG447">
        <f>INDEX('Data_Price '!AP$2:AP$1266,MATCH(Data!$DN447,'Data_Price '!$AT$2:$AT$1266,0))</f>
        <v/>
      </c>
      <c r="DH447">
        <f>INDEX('Data_Price '!AQ$2:AQ$1266,MATCH(Data!$DN447,'Data_Price '!$AT$2:$AT$1266,0))</f>
        <v/>
      </c>
      <c r="DI447">
        <f>INDEX('Data_Price '!AR$2:AR$1266,MATCH(Data!$DN447,'Data_Price '!$AT$2:$AT$1266,0))</f>
        <v/>
      </c>
      <c r="DJ447" s="138">
        <f>DA447</f>
        <v/>
      </c>
      <c r="DK447" s="138">
        <f>DE447</f>
        <v/>
      </c>
      <c r="DL447" s="138">
        <f>DI447</f>
        <v/>
      </c>
      <c r="DM447" s="303">
        <f>IF(LEFT(BT447,1)=" ",RIGHT(BT447,LEN(BT447)-1),BT447)</f>
        <v/>
      </c>
      <c r="DN447" s="138">
        <f>_xlfn.CONCAT(BS447,DM447,BU447,BV447)</f>
        <v/>
      </c>
      <c r="DO447" s="307" t="n"/>
    </row>
    <row r="448" ht="15.6" customHeight="1" s="184">
      <c r="B448" s="303">
        <f t="array" ref="B448">IF(OR(ISERROR(K448:P448)),FALSE,TRUE)</f>
        <v/>
      </c>
      <c r="C448" s="60">
        <f>OR(BR448=Driver!$G$50,Data!BR813=Driver!$H$50)</f>
        <v/>
      </c>
      <c r="D448" s="60">
        <f>OR(BV448=Driver!$G$51,BV448=Driver!$H$51)</f>
        <v/>
      </c>
      <c r="E448" s="60">
        <f>AND(BX448&gt;Driver!$F$54,BX448&lt;Driver!$G$54)</f>
        <v/>
      </c>
      <c r="F448" s="60">
        <f>CL448&gt;Driver!$F$56</f>
        <v/>
      </c>
      <c r="G448" s="60">
        <f>AND(CB448&gt;Driver!$F$55,CB448&lt;Driver!$G$55)</f>
        <v/>
      </c>
      <c r="H448" s="60">
        <f>AND(B448:G448)</f>
        <v/>
      </c>
      <c r="I448" s="60">
        <f>COUNTIFS($H$9:$H$1273,TRUE,$BT$9:$BT$1273,BT448)</f>
        <v/>
      </c>
      <c r="J448" s="60">
        <f t="array" ref="J448">NOT(OR(($H$9:$H$1273=TRUE)*($I$9:$I$1273&gt;0)*($BT$9:$BT$1273=BT448)*($K$9:$K$1273&gt;K448)))</f>
        <v/>
      </c>
      <c r="K448" s="108">
        <f>IFERROR(1-AVERAGE(X448:Y448),"")</f>
        <v/>
      </c>
      <c r="L448" s="108">
        <f>1-X448</f>
        <v/>
      </c>
      <c r="M448" s="108">
        <f>1-Y448</f>
        <v/>
      </c>
      <c r="N448" s="108">
        <f>1-Z448</f>
        <v/>
      </c>
      <c r="O448" s="108">
        <f>1-AA448</f>
        <v/>
      </c>
      <c r="P448" s="108">
        <f>1-AB448</f>
        <v/>
      </c>
      <c r="Q448" s="108" t="n"/>
      <c r="R448" s="108" t="n"/>
      <c r="S448" s="108">
        <f>1-AE448</f>
        <v/>
      </c>
      <c r="T448" s="108">
        <f>1-AF448</f>
        <v/>
      </c>
      <c r="U448" s="108">
        <f>1-AG448</f>
        <v/>
      </c>
      <c r="V448" s="108">
        <f>1-AH448</f>
        <v/>
      </c>
      <c r="W448" s="108">
        <f>1-AI448</f>
        <v/>
      </c>
      <c r="X448" s="108">
        <f>ABS(AJ448-AJ$1)</f>
        <v/>
      </c>
      <c r="Y448" s="108">
        <f>AVERAGE(Z448:AB448)</f>
        <v/>
      </c>
      <c r="Z448" s="108">
        <f>ABS(AL448-AL$1)</f>
        <v/>
      </c>
      <c r="AA448" s="108">
        <f>ABS(AM448-AM$1)</f>
        <v/>
      </c>
      <c r="AB448" s="108">
        <f>ABS(AN448-AN$1)</f>
        <v/>
      </c>
      <c r="AC448" s="108" t="n"/>
      <c r="AD448" s="108" t="n"/>
      <c r="AE448" s="108">
        <f>ABS(AQ$1-AQ448)</f>
        <v/>
      </c>
      <c r="AF448" s="108">
        <f>ABS(AR$1-AR448)</f>
        <v/>
      </c>
      <c r="AG448" s="108">
        <f>ABS(AS$1-AS448)</f>
        <v/>
      </c>
      <c r="AH448" s="108">
        <f>ABS(AT$1-AT448)</f>
        <v/>
      </c>
      <c r="AI448" s="108">
        <f>ABS(AU$1-AU448)</f>
        <v/>
      </c>
      <c r="AJ448" s="108">
        <f>(AV448-Driver!$K$179)/(Driver!$L$179-Driver!$K$179)</f>
        <v/>
      </c>
      <c r="AK448" s="108">
        <f>(AW448-Driver!$K$180)/(Driver!$L$180-Driver!$K$180)</f>
        <v/>
      </c>
      <c r="AL448" s="108">
        <f>(AX448-Driver!$K$181)/(Driver!$L$181-Driver!$K$181)</f>
        <v/>
      </c>
      <c r="AM448" s="108">
        <f>(AY448-Driver!$K$182)/(Driver!$L$182-Driver!$K$182)</f>
        <v/>
      </c>
      <c r="AN448" s="108">
        <f>(AZ448-Driver!$K$183)/(Driver!$L$183-Driver!$K$183)</f>
        <v/>
      </c>
      <c r="AO448" s="108" t="n"/>
      <c r="AP448" s="108" t="n"/>
      <c r="AQ448" s="108">
        <f>(BC448-Driver!$K$188)/(Driver!$L$188-Driver!$K$188)</f>
        <v/>
      </c>
      <c r="AR448" s="108">
        <f>MIN((BD448-Driver!$K$189)/(Driver!$L$189-Driver!$K$189),100%)</f>
        <v/>
      </c>
      <c r="AS448" s="108">
        <f>(BE448-Driver!$K$190)/(Driver!$L$190-Driver!$K$190)</f>
        <v/>
      </c>
      <c r="AT448" s="108">
        <f>(BF448-Driver!$K$191)/(Driver!$L$191-Driver!$K$191)</f>
        <v/>
      </c>
      <c r="AU448" s="108">
        <f>(BG448-Driver!$K$192)/(Driver!$L$192-Driver!$K$192)</f>
        <v/>
      </c>
      <c r="AV448" s="105">
        <f>IFERROR(BM448*BJ448^1/4,"")</f>
        <v/>
      </c>
      <c r="AW448" s="105">
        <f>IFERROR(SUM(AX448:AZ448),"")</f>
        <v/>
      </c>
      <c r="AX448" s="105">
        <f>IFERROR(BH448,"")</f>
        <v/>
      </c>
      <c r="AY448" s="105">
        <f>IFERROR(Driver!$K$19/Data!BH448/Data!BI448*Data!BK448*Data!BL448,"")</f>
        <v/>
      </c>
      <c r="AZ448" s="105">
        <f>IFERROR(BI448*BN448,"")</f>
        <v/>
      </c>
      <c r="BA448" s="105" t="n"/>
      <c r="BB448" s="105" t="n"/>
      <c r="BC448" s="105">
        <f>IFERROR(BI448*BN448*BK448/BJ448^(1/2),"")</f>
        <v/>
      </c>
      <c r="BD448" s="105">
        <f>IFERROR(BH448*BM448*BL448/BJ448/BK448,"")</f>
        <v/>
      </c>
      <c r="BE448" s="105">
        <f>IFERROR(MIN(BI448/BQ448/BP448/BO448/BH448,$BE$1),"")</f>
        <v/>
      </c>
      <c r="BF448" s="105">
        <f>IFERROR(BJ448*BO448*BP448/BK448,"")</f>
        <v/>
      </c>
      <c r="BG448" s="105">
        <f>IFERROR(1/BM448/BH448*BQ448,"")</f>
        <v/>
      </c>
      <c r="BH448" s="102">
        <f>MAX((CE448-Driver!$F$200)/(Driver!$G$200-Driver!$F$200)*$BI$1,1)</f>
        <v/>
      </c>
      <c r="BI448" s="102">
        <f>MAX($BI$1*(BY448-Driver!$F$201)/(Driver!$G$201-Driver!$F$201),1)</f>
        <v/>
      </c>
      <c r="BJ448" s="102">
        <f>(CB448-Driver!$F$206)/(Driver!$G$206-Driver!$F$206)*$BI$1</f>
        <v/>
      </c>
      <c r="BK448" s="102">
        <f>(CD448-Driver!$F$203)/(Driver!$G$203-Driver!$F$203)*$BI$1</f>
        <v/>
      </c>
      <c r="BL448" s="102">
        <f>MAX((CR448-Driver!$F$202)/(Driver!$G$202-Driver!$F$202)*$BI$1,1)</f>
        <v/>
      </c>
      <c r="BM448" s="102">
        <f>MAX((CH448-Driver!$F$204)/(Driver!$G$204-Driver!$F$204)*$BI$1,1)</f>
        <v/>
      </c>
      <c r="BN448" s="102">
        <f>(CI448-Driver!$F$205)/(Driver!$G$205-Driver!$F$205)*$BI$1</f>
        <v/>
      </c>
      <c r="BO448" s="102">
        <f>(CK448-Driver!$F$207)/(Driver!$G$207-Driver!$F$207)*$BI$1</f>
        <v/>
      </c>
      <c r="BP448" s="102">
        <f>(CM448-Driver!$F$208)/(Driver!$G$208-Driver!$F$208)*$BI$1</f>
        <v/>
      </c>
      <c r="BQ448" s="102">
        <f>(CL448-Driver!$F$209)/(Driver!$G$209-Driver!$F$209)*$BI$1</f>
        <v/>
      </c>
      <c r="BR448" s="40" t="inlineStr">
        <is>
          <t>21/22</t>
        </is>
      </c>
      <c r="BS448" s="10" t="inlineStr">
        <is>
          <t xml:space="preserve"> Liberty</t>
        </is>
      </c>
      <c r="BT448" s="11" t="inlineStr">
        <is>
          <t>Origin 101</t>
        </is>
      </c>
      <c r="BU448" s="13" t="n">
        <v>176</v>
      </c>
      <c r="BV448" s="11" t="inlineStr">
        <is>
          <t xml:space="preserve"> Unisex</t>
        </is>
      </c>
      <c r="BW448" s="13" t="n">
        <v>176</v>
      </c>
      <c r="BX448" s="13" t="n">
        <v>174.8</v>
      </c>
      <c r="BY448" s="13" t="n">
        <v>108</v>
      </c>
      <c r="BZ448" s="13" t="n">
        <v>145</v>
      </c>
      <c r="CA448" s="13" t="n">
        <v>134</v>
      </c>
      <c r="CB448" s="13" t="n">
        <v>101</v>
      </c>
      <c r="CC448" s="13" t="n">
        <v>122</v>
      </c>
      <c r="CD448" s="13" t="n">
        <v>17.4</v>
      </c>
      <c r="CE448" s="13" t="n">
        <v>1821</v>
      </c>
      <c r="CF448" s="13" t="n">
        <v>1.07</v>
      </c>
      <c r="CG448" s="13" t="n">
        <v>1944</v>
      </c>
      <c r="CH448" s="13" t="n">
        <v>183</v>
      </c>
      <c r="CI448" s="13" t="n">
        <v>92</v>
      </c>
      <c r="CJ448" s="13" t="n">
        <v>52</v>
      </c>
      <c r="CK448" s="13" t="n">
        <v>385</v>
      </c>
      <c r="CL448" s="13" t="n">
        <v>32</v>
      </c>
      <c r="CM448" s="13" t="n">
        <v>288</v>
      </c>
      <c r="CN448" s="13" t="n">
        <v>0.621</v>
      </c>
      <c r="CO448" s="13" t="n">
        <v>142</v>
      </c>
      <c r="CP448" s="13" t="n">
        <v>156</v>
      </c>
      <c r="CQ448" s="13" t="n">
        <v>243</v>
      </c>
      <c r="CR448" s="13" t="n">
        <v>4</v>
      </c>
      <c r="CS448" s="13" t="n">
        <v>7.8</v>
      </c>
      <c r="CT448" s="11" t="inlineStr">
        <is>
          <t xml:space="preserve"> Resort Freeride</t>
        </is>
      </c>
      <c r="CU448" s="11" t="inlineStr">
        <is>
          <t xml:space="preserve"> Powder</t>
        </is>
      </c>
      <c r="CV448" s="11" t="inlineStr">
        <is>
          <t xml:space="preserve"> Touring</t>
        </is>
      </c>
      <c r="CW448" s="13" t="n"/>
      <c r="CX448">
        <f>INDEX('Data_Price '!AG$2:AG$1266,MATCH(Data!$DN448,'Data_Price '!$AT$2:$AT$1266,0))</f>
        <v/>
      </c>
      <c r="CY448">
        <f>INDEX('Data_Price '!AH$2:AH$1266,MATCH(Data!$DN448,'Data_Price '!$AT$2:$AT$1266,0))</f>
        <v/>
      </c>
      <c r="CZ448">
        <f>INDEX('Data_Price '!AI$2:AI$1266,MATCH(Data!$DN448,'Data_Price '!$AT$2:$AT$1266,0))</f>
        <v/>
      </c>
      <c r="DA448">
        <f>INDEX('Data_Price '!AJ$2:AJ$1266,MATCH(Data!$DN448,'Data_Price '!$AT$2:$AT$1266,0))</f>
        <v/>
      </c>
      <c r="DB448">
        <f>INDEX('Data_Price '!AK$2:AK$1266,MATCH(Data!$DN448,'Data_Price '!$AT$2:$AT$1266,0))</f>
        <v/>
      </c>
      <c r="DC448">
        <f>INDEX('Data_Price '!AL$2:AL$1266,MATCH(Data!$DN448,'Data_Price '!$AT$2:$AT$1266,0))</f>
        <v/>
      </c>
      <c r="DD448">
        <f>INDEX('Data_Price '!AM$2:AM$1266,MATCH(Data!$DN448,'Data_Price '!$AT$2:$AT$1266,0))</f>
        <v/>
      </c>
      <c r="DE448">
        <f>INDEX('Data_Price '!AN$2:AN$1266,MATCH(Data!$DN448,'Data_Price '!$AT$2:$AT$1266,0))</f>
        <v/>
      </c>
      <c r="DF448">
        <f>INDEX('Data_Price '!AO$2:AO$1266,MATCH(Data!$DN448,'Data_Price '!$AT$2:$AT$1266,0))</f>
        <v/>
      </c>
      <c r="DG448">
        <f>INDEX('Data_Price '!AP$2:AP$1266,MATCH(Data!$DN448,'Data_Price '!$AT$2:$AT$1266,0))</f>
        <v/>
      </c>
      <c r="DH448">
        <f>INDEX('Data_Price '!AQ$2:AQ$1266,MATCH(Data!$DN448,'Data_Price '!$AT$2:$AT$1266,0))</f>
        <v/>
      </c>
      <c r="DI448">
        <f>INDEX('Data_Price '!AR$2:AR$1266,MATCH(Data!$DN448,'Data_Price '!$AT$2:$AT$1266,0))</f>
        <v/>
      </c>
      <c r="DJ448" s="138">
        <f>DA448</f>
        <v/>
      </c>
      <c r="DK448" s="138">
        <f>DE448</f>
        <v/>
      </c>
      <c r="DL448" s="138">
        <f>DI448</f>
        <v/>
      </c>
      <c r="DM448" s="303">
        <f>IF(LEFT(BT448,1)=" ",RIGHT(BT448,LEN(BT448)-1),BT448)</f>
        <v/>
      </c>
      <c r="DN448" s="138">
        <f>_xlfn.CONCAT(BS448,DM448,BU448,BV448)</f>
        <v/>
      </c>
      <c r="DO448" s="307" t="inlineStr">
        <is>
          <t>https://images.evo.com/imgp/250/208525/851439/clone.jpg</t>
        </is>
      </c>
    </row>
    <row r="449" ht="15.6" customHeight="1" s="184">
      <c r="B449" s="303">
        <f t="array" ref="B449">IF(OR(ISERROR(K449:P449)),FALSE,TRUE)</f>
        <v/>
      </c>
      <c r="C449" s="60">
        <f>OR(BR449=Driver!$G$50,Data!BR392=Driver!$H$50)</f>
        <v/>
      </c>
      <c r="D449" s="60">
        <f>OR(BV449=Driver!$G$51,BV449=Driver!$H$51)</f>
        <v/>
      </c>
      <c r="E449" s="60">
        <f>AND(BX449&gt;Driver!$F$54,BX449&lt;Driver!$G$54)</f>
        <v/>
      </c>
      <c r="F449" s="60">
        <f>CL449&gt;Driver!$F$56</f>
        <v/>
      </c>
      <c r="G449" s="60">
        <f>AND(CB449&gt;Driver!$F$55,CB449&lt;Driver!$G$55)</f>
        <v/>
      </c>
      <c r="H449" s="60">
        <f>AND(B449:G449)</f>
        <v/>
      </c>
      <c r="I449" s="60">
        <f>COUNTIFS($H$9:$H$1273,TRUE,$BT$9:$BT$1273,BT449)</f>
        <v/>
      </c>
      <c r="J449" s="60">
        <f t="array" ref="J449">NOT(OR(($H$9:$H$1273=TRUE)*($I$9:$I$1273&gt;0)*($BT$9:$BT$1273=BT449)*($K$9:$K$1273&gt;K449)))</f>
        <v/>
      </c>
      <c r="K449" s="108">
        <f>IFERROR(1-AVERAGE(X449:Y449),"")</f>
        <v/>
      </c>
      <c r="L449" s="108">
        <f>1-X449</f>
        <v/>
      </c>
      <c r="M449" s="108">
        <f>1-Y449</f>
        <v/>
      </c>
      <c r="N449" s="108">
        <f>1-Z449</f>
        <v/>
      </c>
      <c r="O449" s="108">
        <f>1-AA449</f>
        <v/>
      </c>
      <c r="P449" s="108">
        <f>1-AB449</f>
        <v/>
      </c>
      <c r="Q449" s="108" t="n"/>
      <c r="R449" s="108" t="n"/>
      <c r="S449" s="108">
        <f>1-AE449</f>
        <v/>
      </c>
      <c r="T449" s="108">
        <f>1-AF449</f>
        <v/>
      </c>
      <c r="U449" s="108">
        <f>1-AG449</f>
        <v/>
      </c>
      <c r="V449" s="108">
        <f>1-AH449</f>
        <v/>
      </c>
      <c r="W449" s="108">
        <f>1-AI449</f>
        <v/>
      </c>
      <c r="X449" s="108">
        <f>ABS(AJ449-AJ$1)</f>
        <v/>
      </c>
      <c r="Y449" s="108">
        <f>AVERAGE(Z449:AB449)</f>
        <v/>
      </c>
      <c r="Z449" s="108">
        <f>ABS(AL449-AL$1)</f>
        <v/>
      </c>
      <c r="AA449" s="108">
        <f>ABS(AM449-AM$1)</f>
        <v/>
      </c>
      <c r="AB449" s="108">
        <f>ABS(AN449-AN$1)</f>
        <v/>
      </c>
      <c r="AC449" s="108" t="n"/>
      <c r="AD449" s="108" t="n"/>
      <c r="AE449" s="108">
        <f>ABS(AQ$1-AQ449)</f>
        <v/>
      </c>
      <c r="AF449" s="108">
        <f>ABS(AR$1-AR449)</f>
        <v/>
      </c>
      <c r="AG449" s="108">
        <f>ABS(AS$1-AS449)</f>
        <v/>
      </c>
      <c r="AH449" s="108">
        <f>ABS(AT$1-AT449)</f>
        <v/>
      </c>
      <c r="AI449" s="108">
        <f>ABS(AU$1-AU449)</f>
        <v/>
      </c>
      <c r="AJ449" s="108">
        <f>(AV449-Driver!$K$179)/(Driver!$L$179-Driver!$K$179)</f>
        <v/>
      </c>
      <c r="AK449" s="108">
        <f>(AW449-Driver!$K$180)/(Driver!$L$180-Driver!$K$180)</f>
        <v/>
      </c>
      <c r="AL449" s="108">
        <f>(AX449-Driver!$K$181)/(Driver!$L$181-Driver!$K$181)</f>
        <v/>
      </c>
      <c r="AM449" s="108">
        <f>(AY449-Driver!$K$182)/(Driver!$L$182-Driver!$K$182)</f>
        <v/>
      </c>
      <c r="AN449" s="108">
        <f>(AZ449-Driver!$K$183)/(Driver!$L$183-Driver!$K$183)</f>
        <v/>
      </c>
      <c r="AO449" s="108" t="n"/>
      <c r="AP449" s="108" t="n"/>
      <c r="AQ449" s="108">
        <f>(BC449-Driver!$K$188)/(Driver!$L$188-Driver!$K$188)</f>
        <v/>
      </c>
      <c r="AR449" s="108">
        <f>MIN((BD449-Driver!$K$189)/(Driver!$L$189-Driver!$K$189),100%)</f>
        <v/>
      </c>
      <c r="AS449" s="108">
        <f>(BE449-Driver!$K$190)/(Driver!$L$190-Driver!$K$190)</f>
        <v/>
      </c>
      <c r="AT449" s="108">
        <f>(BF449-Driver!$K$191)/(Driver!$L$191-Driver!$K$191)</f>
        <v/>
      </c>
      <c r="AU449" s="108">
        <f>(BG449-Driver!$K$192)/(Driver!$L$192-Driver!$K$192)</f>
        <v/>
      </c>
      <c r="AV449" s="105">
        <f>IFERROR(BM449*BJ449^1/4,"")</f>
        <v/>
      </c>
      <c r="AW449" s="105">
        <f>IFERROR(SUM(AX449:AZ449),"")</f>
        <v/>
      </c>
      <c r="AX449" s="105">
        <f>IFERROR(BH449,"")</f>
        <v/>
      </c>
      <c r="AY449" s="105">
        <f>IFERROR(Driver!$K$19/Data!BH449/Data!BI449*Data!BK449*Data!BL449,"")</f>
        <v/>
      </c>
      <c r="AZ449" s="105">
        <f>IFERROR(BI449*BN449,"")</f>
        <v/>
      </c>
      <c r="BA449" s="105" t="n"/>
      <c r="BB449" s="105" t="n"/>
      <c r="BC449" s="105">
        <f>IFERROR(BI449*BN449*BK449/BJ449^(1/2),"")</f>
        <v/>
      </c>
      <c r="BD449" s="105">
        <f>IFERROR(BH449*BM449*BL449/BJ449/BK449,"")</f>
        <v/>
      </c>
      <c r="BE449" s="105">
        <f>IFERROR(MIN(BI449/BQ449/BP449/BO449/BH449,$BE$1),"")</f>
        <v/>
      </c>
      <c r="BF449" s="105">
        <f>IFERROR(BJ449*BO449*BP449/BK449,"")</f>
        <v/>
      </c>
      <c r="BG449" s="105">
        <f>IFERROR(1/BM449/BH449*BQ449,"")</f>
        <v/>
      </c>
      <c r="BH449" s="102">
        <f>MAX((CE449-Driver!$F$200)/(Driver!$G$200-Driver!$F$200)*$BI$1,1)</f>
        <v/>
      </c>
      <c r="BI449" s="102">
        <f>MAX($BI$1*(BY449-Driver!$F$201)/(Driver!$G$201-Driver!$F$201),1)</f>
        <v/>
      </c>
      <c r="BJ449" s="102">
        <f>(CB449-Driver!$F$206)/(Driver!$G$206-Driver!$F$206)*$BI$1</f>
        <v/>
      </c>
      <c r="BK449" s="102">
        <f>(CD449-Driver!$F$203)/(Driver!$G$203-Driver!$F$203)*$BI$1</f>
        <v/>
      </c>
      <c r="BL449" s="102">
        <f>MAX((CR449-Driver!$F$202)/(Driver!$G$202-Driver!$F$202)*$BI$1,1)</f>
        <v/>
      </c>
      <c r="BM449" s="102">
        <f>MAX((CH449-Driver!$F$204)/(Driver!$G$204-Driver!$F$204)*$BI$1,1)</f>
        <v/>
      </c>
      <c r="BN449" s="102">
        <f>(CI449-Driver!$F$205)/(Driver!$G$205-Driver!$F$205)*$BI$1</f>
        <v/>
      </c>
      <c r="BO449" s="102">
        <f>(CK449-Driver!$F$207)/(Driver!$G$207-Driver!$F$207)*$BI$1</f>
        <v/>
      </c>
      <c r="BP449" s="102">
        <f>(CM449-Driver!$F$208)/(Driver!$G$208-Driver!$F$208)*$BI$1</f>
        <v/>
      </c>
      <c r="BQ449" s="102">
        <f>(CL449-Driver!$F$209)/(Driver!$G$209-Driver!$F$209)*$BI$1</f>
        <v/>
      </c>
      <c r="BR449" s="40" t="inlineStr">
        <is>
          <t>21/22</t>
        </is>
      </c>
      <c r="BS449" s="10" t="inlineStr">
        <is>
          <t xml:space="preserve"> Dynastar</t>
        </is>
      </c>
      <c r="BT449" s="11" t="inlineStr">
        <is>
          <t>M-Menace 90</t>
        </is>
      </c>
      <c r="BU449" s="13" t="n">
        <v>170</v>
      </c>
      <c r="BV449" s="11" t="inlineStr">
        <is>
          <t xml:space="preserve"> Unisex</t>
        </is>
      </c>
      <c r="BW449" s="13" t="n">
        <v>170</v>
      </c>
      <c r="BX449" s="13" t="n">
        <v>168.5</v>
      </c>
      <c r="BY449" s="13" t="n">
        <v>121</v>
      </c>
      <c r="BZ449" s="13" t="n">
        <v>142</v>
      </c>
      <c r="CA449" s="13" t="n">
        <v>118</v>
      </c>
      <c r="CB449" s="13" t="n">
        <v>91</v>
      </c>
      <c r="CC449" s="13" t="n">
        <v>108</v>
      </c>
      <c r="CD449" s="13" t="n">
        <v>22.3</v>
      </c>
      <c r="CE449" s="13" t="n">
        <v>1662</v>
      </c>
      <c r="CF449" s="13" t="n">
        <v>1.01</v>
      </c>
      <c r="CG449" s="13" t="n">
        <v>1679</v>
      </c>
      <c r="CH449" s="13" t="n">
        <v>187</v>
      </c>
      <c r="CI449" s="13" t="n">
        <v>74</v>
      </c>
      <c r="CJ449" s="13" t="n">
        <v>50</v>
      </c>
      <c r="CK449" s="13" t="n">
        <v>249</v>
      </c>
      <c r="CL449" s="13" t="n">
        <v>32</v>
      </c>
      <c r="CM449" s="13" t="n">
        <v>223</v>
      </c>
      <c r="CN449" s="13" t="n">
        <v>0.638</v>
      </c>
      <c r="CO449" s="13" t="n">
        <v>132</v>
      </c>
      <c r="CP449" s="13" t="n">
        <v>134</v>
      </c>
      <c r="CQ449" s="13" t="n">
        <v>118</v>
      </c>
      <c r="CR449" s="13" t="n">
        <v>8</v>
      </c>
      <c r="CS449" s="13" t="n">
        <v>7.4</v>
      </c>
      <c r="CT449" s="11" t="inlineStr">
        <is>
          <t xml:space="preserve"> Resort Freeride</t>
        </is>
      </c>
      <c r="CU449" s="13" t="n"/>
      <c r="CV449" s="13" t="n"/>
      <c r="CW449" s="13" t="n"/>
      <c r="CX449">
        <f>INDEX('Data_Price '!AG$2:AG$1266,MATCH(Data!$DN449,'Data_Price '!$AT$2:$AT$1266,0))</f>
        <v/>
      </c>
      <c r="CY449">
        <f>INDEX('Data_Price '!AH$2:AH$1266,MATCH(Data!$DN449,'Data_Price '!$AT$2:$AT$1266,0))</f>
        <v/>
      </c>
      <c r="CZ449">
        <f>INDEX('Data_Price '!AI$2:AI$1266,MATCH(Data!$DN449,'Data_Price '!$AT$2:$AT$1266,0))</f>
        <v/>
      </c>
      <c r="DA449">
        <f>INDEX('Data_Price '!AJ$2:AJ$1266,MATCH(Data!$DN449,'Data_Price '!$AT$2:$AT$1266,0))</f>
        <v/>
      </c>
      <c r="DB449">
        <f>INDEX('Data_Price '!AK$2:AK$1266,MATCH(Data!$DN449,'Data_Price '!$AT$2:$AT$1266,0))</f>
        <v/>
      </c>
      <c r="DC449">
        <f>INDEX('Data_Price '!AL$2:AL$1266,MATCH(Data!$DN449,'Data_Price '!$AT$2:$AT$1266,0))</f>
        <v/>
      </c>
      <c r="DD449">
        <f>INDEX('Data_Price '!AM$2:AM$1266,MATCH(Data!$DN449,'Data_Price '!$AT$2:$AT$1266,0))</f>
        <v/>
      </c>
      <c r="DE449">
        <f>INDEX('Data_Price '!AN$2:AN$1266,MATCH(Data!$DN449,'Data_Price '!$AT$2:$AT$1266,0))</f>
        <v/>
      </c>
      <c r="DF449">
        <f>INDEX('Data_Price '!AO$2:AO$1266,MATCH(Data!$DN449,'Data_Price '!$AT$2:$AT$1266,0))</f>
        <v/>
      </c>
      <c r="DG449">
        <f>INDEX('Data_Price '!AP$2:AP$1266,MATCH(Data!$DN449,'Data_Price '!$AT$2:$AT$1266,0))</f>
        <v/>
      </c>
      <c r="DH449">
        <f>INDEX('Data_Price '!AQ$2:AQ$1266,MATCH(Data!$DN449,'Data_Price '!$AT$2:$AT$1266,0))</f>
        <v/>
      </c>
      <c r="DI449">
        <f>INDEX('Data_Price '!AR$2:AR$1266,MATCH(Data!$DN449,'Data_Price '!$AT$2:$AT$1266,0))</f>
        <v/>
      </c>
      <c r="DJ449" s="138">
        <f>DA449</f>
        <v/>
      </c>
      <c r="DK449" s="138">
        <f>DE449</f>
        <v/>
      </c>
      <c r="DL449" s="138">
        <f>DI449</f>
        <v/>
      </c>
      <c r="DM449" s="303">
        <f>IF(LEFT(BT449,1)=" ",RIGHT(BT449,LEN(BT449)-1),BT449)</f>
        <v/>
      </c>
      <c r="DN449" s="138">
        <f>_xlfn.CONCAT(BS449,DM449,BU449,BV449)</f>
        <v/>
      </c>
      <c r="DO449" s="307" t="n"/>
    </row>
    <row r="450" ht="15.6" customHeight="1" s="184">
      <c r="B450" s="303">
        <f t="array" ref="B450">IF(OR(ISERROR(K450:P450)),FALSE,TRUE)</f>
        <v/>
      </c>
      <c r="C450" s="60">
        <f>OR(BR450=Driver!$G$50,Data!BR463=Driver!$H$50)</f>
        <v/>
      </c>
      <c r="D450" s="60">
        <f>OR(BV450=Driver!$G$51,BV450=Driver!$H$51)</f>
        <v/>
      </c>
      <c r="E450" s="60">
        <f>AND(BX450&gt;Driver!$F$54,BX450&lt;Driver!$G$54)</f>
        <v/>
      </c>
      <c r="F450" s="60">
        <f>CL450&gt;Driver!$F$56</f>
        <v/>
      </c>
      <c r="G450" s="60">
        <f>AND(CB450&gt;Driver!$F$55,CB450&lt;Driver!$G$55)</f>
        <v/>
      </c>
      <c r="H450" s="60">
        <f>AND(B450:G450)</f>
        <v/>
      </c>
      <c r="I450" s="60">
        <f>COUNTIFS($H$9:$H$1273,TRUE,$BT$9:$BT$1273,BT450)</f>
        <v/>
      </c>
      <c r="J450" s="60">
        <f t="array" ref="J450">NOT(OR(($H$9:$H$1273=TRUE)*($I$9:$I$1273&gt;0)*($BT$9:$BT$1273=BT450)*($K$9:$K$1273&gt;K450)))</f>
        <v/>
      </c>
      <c r="K450" s="108">
        <f>IFERROR(1-AVERAGE(X450:Y450),"")</f>
        <v/>
      </c>
      <c r="L450" s="108">
        <f>1-X450</f>
        <v/>
      </c>
      <c r="M450" s="108">
        <f>1-Y450</f>
        <v/>
      </c>
      <c r="N450" s="108">
        <f>1-Z450</f>
        <v/>
      </c>
      <c r="O450" s="108">
        <f>1-AA450</f>
        <v/>
      </c>
      <c r="P450" s="108">
        <f>1-AB450</f>
        <v/>
      </c>
      <c r="Q450" s="108" t="n"/>
      <c r="R450" s="108" t="n"/>
      <c r="S450" s="108">
        <f>1-AE450</f>
        <v/>
      </c>
      <c r="T450" s="108">
        <f>1-AF450</f>
        <v/>
      </c>
      <c r="U450" s="108">
        <f>1-AG450</f>
        <v/>
      </c>
      <c r="V450" s="108">
        <f>1-AH450</f>
        <v/>
      </c>
      <c r="W450" s="108">
        <f>1-AI450</f>
        <v/>
      </c>
      <c r="X450" s="108">
        <f>ABS(AJ450-AJ$1)</f>
        <v/>
      </c>
      <c r="Y450" s="108">
        <f>AVERAGE(Z450:AB450)</f>
        <v/>
      </c>
      <c r="Z450" s="108">
        <f>ABS(AL450-AL$1)</f>
        <v/>
      </c>
      <c r="AA450" s="108">
        <f>ABS(AM450-AM$1)</f>
        <v/>
      </c>
      <c r="AB450" s="108">
        <f>ABS(AN450-AN$1)</f>
        <v/>
      </c>
      <c r="AC450" s="108" t="n"/>
      <c r="AD450" s="108" t="n"/>
      <c r="AE450" s="108">
        <f>ABS(AQ$1-AQ450)</f>
        <v/>
      </c>
      <c r="AF450" s="108">
        <f>ABS(AR$1-AR450)</f>
        <v/>
      </c>
      <c r="AG450" s="108">
        <f>ABS(AS$1-AS450)</f>
        <v/>
      </c>
      <c r="AH450" s="108">
        <f>ABS(AT$1-AT450)</f>
        <v/>
      </c>
      <c r="AI450" s="108">
        <f>ABS(AU$1-AU450)</f>
        <v/>
      </c>
      <c r="AJ450" s="108">
        <f>(AV450-Driver!$K$179)/(Driver!$L$179-Driver!$K$179)</f>
        <v/>
      </c>
      <c r="AK450" s="108">
        <f>(AW450-Driver!$K$180)/(Driver!$L$180-Driver!$K$180)</f>
        <v/>
      </c>
      <c r="AL450" s="108">
        <f>(AX450-Driver!$K$181)/(Driver!$L$181-Driver!$K$181)</f>
        <v/>
      </c>
      <c r="AM450" s="108">
        <f>(AY450-Driver!$K$182)/(Driver!$L$182-Driver!$K$182)</f>
        <v/>
      </c>
      <c r="AN450" s="108">
        <f>(AZ450-Driver!$K$183)/(Driver!$L$183-Driver!$K$183)</f>
        <v/>
      </c>
      <c r="AO450" s="108" t="n"/>
      <c r="AP450" s="108" t="n"/>
      <c r="AQ450" s="108">
        <f>(BC450-Driver!$K$188)/(Driver!$L$188-Driver!$K$188)</f>
        <v/>
      </c>
      <c r="AR450" s="108">
        <f>MIN((BD450-Driver!$K$189)/(Driver!$L$189-Driver!$K$189),100%)</f>
        <v/>
      </c>
      <c r="AS450" s="108">
        <f>(BE450-Driver!$K$190)/(Driver!$L$190-Driver!$K$190)</f>
        <v/>
      </c>
      <c r="AT450" s="108">
        <f>(BF450-Driver!$K$191)/(Driver!$L$191-Driver!$K$191)</f>
        <v/>
      </c>
      <c r="AU450" s="108">
        <f>(BG450-Driver!$K$192)/(Driver!$L$192-Driver!$K$192)</f>
        <v/>
      </c>
      <c r="AV450" s="105">
        <f>IFERROR(BM450*BJ450^1/4,"")</f>
        <v/>
      </c>
      <c r="AW450" s="105">
        <f>IFERROR(SUM(AX450:AZ450),"")</f>
        <v/>
      </c>
      <c r="AX450" s="105">
        <f>IFERROR(BH450,"")</f>
        <v/>
      </c>
      <c r="AY450" s="105">
        <f>IFERROR(Driver!$K$19/Data!BH450/Data!BI450*Data!BK450*Data!BL450,"")</f>
        <v/>
      </c>
      <c r="AZ450" s="105">
        <f>IFERROR(BI450*BN450,"")</f>
        <v/>
      </c>
      <c r="BA450" s="105" t="n"/>
      <c r="BB450" s="105" t="n"/>
      <c r="BC450" s="105">
        <f>IFERROR(BI450*BN450*BK450/BJ450^(1/2),"")</f>
        <v/>
      </c>
      <c r="BD450" s="105">
        <f>IFERROR(BH450*BM450*BL450/BJ450/BK450,"")</f>
        <v/>
      </c>
      <c r="BE450" s="105">
        <f>IFERROR(MIN(BI450/BQ450/BP450/BO450/BH450,$BE$1),"")</f>
        <v/>
      </c>
      <c r="BF450" s="105">
        <f>IFERROR(BJ450*BO450*BP450/BK450,"")</f>
        <v/>
      </c>
      <c r="BG450" s="105">
        <f>IFERROR(1/BM450/BH450*BQ450,"")</f>
        <v/>
      </c>
      <c r="BH450" s="102">
        <f>MAX((CE450-Driver!$F$200)/(Driver!$G$200-Driver!$F$200)*$BI$1,1)</f>
        <v/>
      </c>
      <c r="BI450" s="102">
        <f>MAX($BI$1*(BY450-Driver!$F$201)/(Driver!$G$201-Driver!$F$201),1)</f>
        <v/>
      </c>
      <c r="BJ450" s="102">
        <f>(CB450-Driver!$F$206)/(Driver!$G$206-Driver!$F$206)*$BI$1</f>
        <v/>
      </c>
      <c r="BK450" s="102">
        <f>(CD450-Driver!$F$203)/(Driver!$G$203-Driver!$F$203)*$BI$1</f>
        <v/>
      </c>
      <c r="BL450" s="102">
        <f>MAX((CR450-Driver!$F$202)/(Driver!$G$202-Driver!$F$202)*$BI$1,1)</f>
        <v/>
      </c>
      <c r="BM450" s="102">
        <f>MAX((CH450-Driver!$F$204)/(Driver!$G$204-Driver!$F$204)*$BI$1,1)</f>
        <v/>
      </c>
      <c r="BN450" s="102">
        <f>(CI450-Driver!$F$205)/(Driver!$G$205-Driver!$F$205)*$BI$1</f>
        <v/>
      </c>
      <c r="BO450" s="102">
        <f>(CK450-Driver!$F$207)/(Driver!$G$207-Driver!$F$207)*$BI$1</f>
        <v/>
      </c>
      <c r="BP450" s="102">
        <f>(CM450-Driver!$F$208)/(Driver!$G$208-Driver!$F$208)*$BI$1</f>
        <v/>
      </c>
      <c r="BQ450" s="102">
        <f>(CL450-Driver!$F$209)/(Driver!$G$209-Driver!$F$209)*$BI$1</f>
        <v/>
      </c>
      <c r="BR450" s="40" t="inlineStr">
        <is>
          <t>21/22</t>
        </is>
      </c>
      <c r="BS450" s="10" t="inlineStr">
        <is>
          <t xml:space="preserve"> Elan</t>
        </is>
      </c>
      <c r="BT450" s="11" t="inlineStr">
        <is>
          <t>Ripstick 96</t>
        </is>
      </c>
      <c r="BU450" s="13" t="n">
        <v>180</v>
      </c>
      <c r="BV450" s="11" t="inlineStr">
        <is>
          <t xml:space="preserve"> Unisex</t>
        </is>
      </c>
      <c r="BW450" s="13" t="n">
        <v>180</v>
      </c>
      <c r="BX450" s="13" t="n">
        <v>177.1</v>
      </c>
      <c r="BY450" s="13" t="n">
        <v>139</v>
      </c>
      <c r="BZ450" s="13" t="n">
        <v>144</v>
      </c>
      <c r="CA450" s="13" t="n">
        <v>136</v>
      </c>
      <c r="CB450" s="13" t="n">
        <v>94</v>
      </c>
      <c r="CC450" s="13" t="n">
        <v>110</v>
      </c>
      <c r="CD450" s="13" t="n">
        <v>17.5</v>
      </c>
      <c r="CE450" s="13" t="n">
        <v>1720</v>
      </c>
      <c r="CF450" s="13" t="n">
        <v>1.1</v>
      </c>
      <c r="CG450" s="13" t="n">
        <v>1895</v>
      </c>
      <c r="CH450" s="13" t="n">
        <v>187</v>
      </c>
      <c r="CI450" s="13" t="n">
        <v>73</v>
      </c>
      <c r="CJ450" s="13" t="n">
        <v>44</v>
      </c>
      <c r="CK450" s="13" t="n">
        <v>219</v>
      </c>
      <c r="CL450" s="13" t="n">
        <v>16</v>
      </c>
      <c r="CM450" s="13" t="n">
        <v>166</v>
      </c>
      <c r="CN450" s="13" t="n">
        <v>0.352</v>
      </c>
      <c r="CO450" s="13" t="n">
        <v>172</v>
      </c>
      <c r="CP450" s="13" t="n">
        <v>158</v>
      </c>
      <c r="CQ450" s="13" t="n">
        <v>47</v>
      </c>
      <c r="CR450" s="13" t="n">
        <v>9</v>
      </c>
      <c r="CS450" s="13" t="n">
        <v>8.300000000000001</v>
      </c>
      <c r="CT450" s="11" t="inlineStr">
        <is>
          <t xml:space="preserve"> Resort Freeride</t>
        </is>
      </c>
      <c r="CU450" s="11" t="inlineStr">
        <is>
          <t xml:space="preserve"> Touring</t>
        </is>
      </c>
      <c r="CV450" s="13" t="n"/>
      <c r="CW450" s="13" t="n"/>
      <c r="CX450">
        <f>INDEX('Data_Price '!AG$2:AG$1266,MATCH(Data!$DN450,'Data_Price '!$AT$2:$AT$1266,0))</f>
        <v/>
      </c>
      <c r="CY450">
        <f>INDEX('Data_Price '!AH$2:AH$1266,MATCH(Data!$DN450,'Data_Price '!$AT$2:$AT$1266,0))</f>
        <v/>
      </c>
      <c r="CZ450">
        <f>INDEX('Data_Price '!AI$2:AI$1266,MATCH(Data!$DN450,'Data_Price '!$AT$2:$AT$1266,0))</f>
        <v/>
      </c>
      <c r="DA450">
        <f>INDEX('Data_Price '!AJ$2:AJ$1266,MATCH(Data!$DN450,'Data_Price '!$AT$2:$AT$1266,0))</f>
        <v/>
      </c>
      <c r="DB450">
        <f>INDEX('Data_Price '!AK$2:AK$1266,MATCH(Data!$DN450,'Data_Price '!$AT$2:$AT$1266,0))</f>
        <v/>
      </c>
      <c r="DC450">
        <f>INDEX('Data_Price '!AL$2:AL$1266,MATCH(Data!$DN450,'Data_Price '!$AT$2:$AT$1266,0))</f>
        <v/>
      </c>
      <c r="DD450">
        <f>INDEX('Data_Price '!AM$2:AM$1266,MATCH(Data!$DN450,'Data_Price '!$AT$2:$AT$1266,0))</f>
        <v/>
      </c>
      <c r="DE450">
        <f>INDEX('Data_Price '!AN$2:AN$1266,MATCH(Data!$DN450,'Data_Price '!$AT$2:$AT$1266,0))</f>
        <v/>
      </c>
      <c r="DF450">
        <f>INDEX('Data_Price '!AO$2:AO$1266,MATCH(Data!$DN450,'Data_Price '!$AT$2:$AT$1266,0))</f>
        <v/>
      </c>
      <c r="DG450">
        <f>INDEX('Data_Price '!AP$2:AP$1266,MATCH(Data!$DN450,'Data_Price '!$AT$2:$AT$1266,0))</f>
        <v/>
      </c>
      <c r="DH450">
        <f>INDEX('Data_Price '!AQ$2:AQ$1266,MATCH(Data!$DN450,'Data_Price '!$AT$2:$AT$1266,0))</f>
        <v/>
      </c>
      <c r="DI450">
        <f>INDEX('Data_Price '!AR$2:AR$1266,MATCH(Data!$DN450,'Data_Price '!$AT$2:$AT$1266,0))</f>
        <v/>
      </c>
      <c r="DJ450" s="138">
        <f>DA450</f>
        <v/>
      </c>
      <c r="DK450" s="138">
        <f>DE450</f>
        <v/>
      </c>
      <c r="DL450" s="138">
        <f>DI450</f>
        <v/>
      </c>
      <c r="DM450" s="303">
        <f>IF(LEFT(BT450,1)=" ",RIGHT(BT450,LEN(BT450)-1),BT450)</f>
        <v/>
      </c>
      <c r="DN450" s="138">
        <f>_xlfn.CONCAT(BS450,DM450,BU450,BV450)</f>
        <v/>
      </c>
      <c r="DO450" s="307" t="inlineStr">
        <is>
          <t>https://images.evo.com/imgp/250/181075/715233/clone.jpg</t>
        </is>
      </c>
    </row>
    <row r="451" ht="15.6" customHeight="1" s="184">
      <c r="B451" s="303">
        <f t="array" ref="B451">IF(OR(ISERROR(K451:P451)),FALSE,TRUE)</f>
        <v/>
      </c>
      <c r="C451" s="60">
        <f>OR(BR451=Driver!$G$50,Data!BR760=Driver!$H$50)</f>
        <v/>
      </c>
      <c r="D451" s="60">
        <f>OR(BV451=Driver!$G$51,BV451=Driver!$H$51)</f>
        <v/>
      </c>
      <c r="E451" s="60">
        <f>AND(BX451&gt;Driver!$F$54,BX451&lt;Driver!$G$54)</f>
        <v/>
      </c>
      <c r="F451" s="60">
        <f>CL451&gt;Driver!$F$56</f>
        <v/>
      </c>
      <c r="G451" s="60">
        <f>AND(CB451&gt;Driver!$F$55,CB451&lt;Driver!$G$55)</f>
        <v/>
      </c>
      <c r="H451" s="60">
        <f>AND(B451:G451)</f>
        <v/>
      </c>
      <c r="I451" s="60">
        <f>COUNTIFS($H$9:$H$1273,TRUE,$BT$9:$BT$1273,BT451)</f>
        <v/>
      </c>
      <c r="J451" s="60">
        <f t="array" ref="J451">NOT(OR(($H$9:$H$1273=TRUE)*($I$9:$I$1273&gt;0)*($BT$9:$BT$1273=BT451)*($K$9:$K$1273&gt;K451)))</f>
        <v/>
      </c>
      <c r="K451" s="108">
        <f>IFERROR(1-AVERAGE(X451:Y451),"")</f>
        <v/>
      </c>
      <c r="L451" s="108">
        <f>1-X451</f>
        <v/>
      </c>
      <c r="M451" s="108">
        <f>1-Y451</f>
        <v/>
      </c>
      <c r="N451" s="108">
        <f>1-Z451</f>
        <v/>
      </c>
      <c r="O451" s="108">
        <f>1-AA451</f>
        <v/>
      </c>
      <c r="P451" s="108">
        <f>1-AB451</f>
        <v/>
      </c>
      <c r="Q451" s="108" t="n"/>
      <c r="R451" s="108" t="n"/>
      <c r="S451" s="108">
        <f>1-AE451</f>
        <v/>
      </c>
      <c r="T451" s="108">
        <f>1-AF451</f>
        <v/>
      </c>
      <c r="U451" s="108">
        <f>1-AG451</f>
        <v/>
      </c>
      <c r="V451" s="108">
        <f>1-AH451</f>
        <v/>
      </c>
      <c r="W451" s="108">
        <f>1-AI451</f>
        <v/>
      </c>
      <c r="X451" s="108">
        <f>ABS(AJ451-AJ$1)</f>
        <v/>
      </c>
      <c r="Y451" s="108">
        <f>AVERAGE(Z451:AB451)</f>
        <v/>
      </c>
      <c r="Z451" s="108">
        <f>ABS(AL451-AL$1)</f>
        <v/>
      </c>
      <c r="AA451" s="108">
        <f>ABS(AM451-AM$1)</f>
        <v/>
      </c>
      <c r="AB451" s="108">
        <f>ABS(AN451-AN$1)</f>
        <v/>
      </c>
      <c r="AC451" s="108" t="n"/>
      <c r="AD451" s="108" t="n"/>
      <c r="AE451" s="108">
        <f>ABS(AQ$1-AQ451)</f>
        <v/>
      </c>
      <c r="AF451" s="108">
        <f>ABS(AR$1-AR451)</f>
        <v/>
      </c>
      <c r="AG451" s="108">
        <f>ABS(AS$1-AS451)</f>
        <v/>
      </c>
      <c r="AH451" s="108">
        <f>ABS(AT$1-AT451)</f>
        <v/>
      </c>
      <c r="AI451" s="108">
        <f>ABS(AU$1-AU451)</f>
        <v/>
      </c>
      <c r="AJ451" s="108">
        <f>(AV451-Driver!$K$179)/(Driver!$L$179-Driver!$K$179)</f>
        <v/>
      </c>
      <c r="AK451" s="108">
        <f>(AW451-Driver!$K$180)/(Driver!$L$180-Driver!$K$180)</f>
        <v/>
      </c>
      <c r="AL451" s="108">
        <f>(AX451-Driver!$K$181)/(Driver!$L$181-Driver!$K$181)</f>
        <v/>
      </c>
      <c r="AM451" s="108">
        <f>(AY451-Driver!$K$182)/(Driver!$L$182-Driver!$K$182)</f>
        <v/>
      </c>
      <c r="AN451" s="108">
        <f>(AZ451-Driver!$K$183)/(Driver!$L$183-Driver!$K$183)</f>
        <v/>
      </c>
      <c r="AO451" s="108" t="n"/>
      <c r="AP451" s="108" t="n"/>
      <c r="AQ451" s="108">
        <f>(BC451-Driver!$K$188)/(Driver!$L$188-Driver!$K$188)</f>
        <v/>
      </c>
      <c r="AR451" s="108">
        <f>MIN((BD451-Driver!$K$189)/(Driver!$L$189-Driver!$K$189),100%)</f>
        <v/>
      </c>
      <c r="AS451" s="108">
        <f>(BE451-Driver!$K$190)/(Driver!$L$190-Driver!$K$190)</f>
        <v/>
      </c>
      <c r="AT451" s="108">
        <f>(BF451-Driver!$K$191)/(Driver!$L$191-Driver!$K$191)</f>
        <v/>
      </c>
      <c r="AU451" s="108">
        <f>(BG451-Driver!$K$192)/(Driver!$L$192-Driver!$K$192)</f>
        <v/>
      </c>
      <c r="AV451" s="105">
        <f>IFERROR(BM451*BJ451^1/4,"")</f>
        <v/>
      </c>
      <c r="AW451" s="105">
        <f>IFERROR(SUM(AX451:AZ451),"")</f>
        <v/>
      </c>
      <c r="AX451" s="105">
        <f>IFERROR(BH451,"")</f>
        <v/>
      </c>
      <c r="AY451" s="105">
        <f>IFERROR(Driver!$K$19/Data!BH451/Data!BI451*Data!BK451*Data!BL451,"")</f>
        <v/>
      </c>
      <c r="AZ451" s="105">
        <f>IFERROR(BI451*BN451,"")</f>
        <v/>
      </c>
      <c r="BA451" s="105" t="n"/>
      <c r="BB451" s="105" t="n"/>
      <c r="BC451" s="105">
        <f>IFERROR(BI451*BN451*BK451/BJ451^(1/2),"")</f>
        <v/>
      </c>
      <c r="BD451" s="105">
        <f>IFERROR(BH451*BM451*BL451/BJ451/BK451,"")</f>
        <v/>
      </c>
      <c r="BE451" s="105">
        <f>IFERROR(MIN(BI451/BQ451/BP451/BO451/BH451,$BE$1),"")</f>
        <v/>
      </c>
      <c r="BF451" s="105">
        <f>IFERROR(BJ451*BO451*BP451/BK451,"")</f>
        <v/>
      </c>
      <c r="BG451" s="105">
        <f>IFERROR(1/BM451/BH451*BQ451,"")</f>
        <v/>
      </c>
      <c r="BH451" s="102">
        <f>MAX((CE451-Driver!$F$200)/(Driver!$G$200-Driver!$F$200)*$BI$1,1)</f>
        <v/>
      </c>
      <c r="BI451" s="102">
        <f>MAX($BI$1*(BY451-Driver!$F$201)/(Driver!$G$201-Driver!$F$201),1)</f>
        <v/>
      </c>
      <c r="BJ451" s="102">
        <f>(CB451-Driver!$F$206)/(Driver!$G$206-Driver!$F$206)*$BI$1</f>
        <v/>
      </c>
      <c r="BK451" s="102">
        <f>(CD451-Driver!$F$203)/(Driver!$G$203-Driver!$F$203)*$BI$1</f>
        <v/>
      </c>
      <c r="BL451" s="102">
        <f>MAX((CR451-Driver!$F$202)/(Driver!$G$202-Driver!$F$202)*$BI$1,1)</f>
        <v/>
      </c>
      <c r="BM451" s="102">
        <f>MAX((CH451-Driver!$F$204)/(Driver!$G$204-Driver!$F$204)*$BI$1,1)</f>
        <v/>
      </c>
      <c r="BN451" s="102">
        <f>(CI451-Driver!$F$205)/(Driver!$G$205-Driver!$F$205)*$BI$1</f>
        <v/>
      </c>
      <c r="BO451" s="102">
        <f>(CK451-Driver!$F$207)/(Driver!$G$207-Driver!$F$207)*$BI$1</f>
        <v/>
      </c>
      <c r="BP451" s="102">
        <f>(CM451-Driver!$F$208)/(Driver!$G$208-Driver!$F$208)*$BI$1</f>
        <v/>
      </c>
      <c r="BQ451" s="102">
        <f>(CL451-Driver!$F$209)/(Driver!$G$209-Driver!$F$209)*$BI$1</f>
        <v/>
      </c>
      <c r="BR451" s="40" t="inlineStr">
        <is>
          <t>21/22</t>
        </is>
      </c>
      <c r="BS451" s="10" t="inlineStr">
        <is>
          <t xml:space="preserve"> K2</t>
        </is>
      </c>
      <c r="BT451" s="11" t="inlineStr">
        <is>
          <t xml:space="preserve"> Press</t>
        </is>
      </c>
      <c r="BU451" s="13" t="n">
        <v>169</v>
      </c>
      <c r="BV451" s="11" t="inlineStr">
        <is>
          <t xml:space="preserve"> Unisex</t>
        </is>
      </c>
      <c r="BW451" s="13" t="n">
        <v>169</v>
      </c>
      <c r="BX451" s="13" t="n">
        <v>169.1</v>
      </c>
      <c r="BY451" s="13" t="n">
        <v>123</v>
      </c>
      <c r="BZ451" s="13" t="n">
        <v>135</v>
      </c>
      <c r="CA451" s="13" t="n">
        <v>111</v>
      </c>
      <c r="CB451" s="13" t="n">
        <v>85</v>
      </c>
      <c r="CC451" s="13" t="n">
        <v>106</v>
      </c>
      <c r="CD451" s="13" t="n">
        <v>18.4</v>
      </c>
      <c r="CE451" s="13" t="n">
        <v>1677</v>
      </c>
      <c r="CF451" s="13" t="n">
        <v>0.95</v>
      </c>
      <c r="CG451" s="13" t="n">
        <v>1600</v>
      </c>
      <c r="CH451" s="13" t="n">
        <v>157</v>
      </c>
      <c r="CI451" s="13" t="n">
        <v>87</v>
      </c>
      <c r="CJ451" s="13" t="n">
        <v>48</v>
      </c>
      <c r="CK451" s="13" t="n">
        <v>220</v>
      </c>
      <c r="CL451" s="13" t="n">
        <v>44</v>
      </c>
      <c r="CM451" s="13" t="n">
        <v>237</v>
      </c>
      <c r="CN451" s="13" t="n">
        <v>0.928</v>
      </c>
      <c r="CO451" s="13" t="n">
        <v>161</v>
      </c>
      <c r="CP451" s="13" t="n">
        <v>183</v>
      </c>
      <c r="CQ451" s="13" t="n">
        <v>59</v>
      </c>
      <c r="CR451" s="13" t="n">
        <v>5</v>
      </c>
      <c r="CS451" s="13" t="n">
        <v>4.7</v>
      </c>
      <c r="CT451" s="11" t="inlineStr">
        <is>
          <t xml:space="preserve"> Freeski</t>
        </is>
      </c>
      <c r="CU451" s="13" t="n"/>
      <c r="CV451" s="13" t="n"/>
      <c r="CW451" s="13" t="n"/>
      <c r="CX451">
        <f>INDEX('Data_Price '!AG$2:AG$1266,MATCH(Data!$DN451,'Data_Price '!$AT$2:$AT$1266,0))</f>
        <v/>
      </c>
      <c r="CY451">
        <f>INDEX('Data_Price '!AH$2:AH$1266,MATCH(Data!$DN451,'Data_Price '!$AT$2:$AT$1266,0))</f>
        <v/>
      </c>
      <c r="CZ451">
        <f>INDEX('Data_Price '!AI$2:AI$1266,MATCH(Data!$DN451,'Data_Price '!$AT$2:$AT$1266,0))</f>
        <v/>
      </c>
      <c r="DA451">
        <f>INDEX('Data_Price '!AJ$2:AJ$1266,MATCH(Data!$DN451,'Data_Price '!$AT$2:$AT$1266,0))</f>
        <v/>
      </c>
      <c r="DB451">
        <f>INDEX('Data_Price '!AK$2:AK$1266,MATCH(Data!$DN451,'Data_Price '!$AT$2:$AT$1266,0))</f>
        <v/>
      </c>
      <c r="DC451">
        <f>INDEX('Data_Price '!AL$2:AL$1266,MATCH(Data!$DN451,'Data_Price '!$AT$2:$AT$1266,0))</f>
        <v/>
      </c>
      <c r="DD451">
        <f>INDEX('Data_Price '!AM$2:AM$1266,MATCH(Data!$DN451,'Data_Price '!$AT$2:$AT$1266,0))</f>
        <v/>
      </c>
      <c r="DE451">
        <f>INDEX('Data_Price '!AN$2:AN$1266,MATCH(Data!$DN451,'Data_Price '!$AT$2:$AT$1266,0))</f>
        <v/>
      </c>
      <c r="DF451">
        <f>INDEX('Data_Price '!AO$2:AO$1266,MATCH(Data!$DN451,'Data_Price '!$AT$2:$AT$1266,0))</f>
        <v/>
      </c>
      <c r="DG451">
        <f>INDEX('Data_Price '!AP$2:AP$1266,MATCH(Data!$DN451,'Data_Price '!$AT$2:$AT$1266,0))</f>
        <v/>
      </c>
      <c r="DH451">
        <f>INDEX('Data_Price '!AQ$2:AQ$1266,MATCH(Data!$DN451,'Data_Price '!$AT$2:$AT$1266,0))</f>
        <v/>
      </c>
      <c r="DI451">
        <f>INDEX('Data_Price '!AR$2:AR$1266,MATCH(Data!$DN451,'Data_Price '!$AT$2:$AT$1266,0))</f>
        <v/>
      </c>
      <c r="DJ451" s="138">
        <f>DA451</f>
        <v/>
      </c>
      <c r="DK451" s="138">
        <f>DE451</f>
        <v/>
      </c>
      <c r="DL451" s="138">
        <f>DI451</f>
        <v/>
      </c>
      <c r="DM451" s="303">
        <f>IF(LEFT(BT451,1)=" ",RIGHT(BT451,LEN(BT451)-1),BT451)</f>
        <v/>
      </c>
      <c r="DN451" s="138">
        <f>_xlfn.CONCAT(BS451,DM451,BU451,BV451)</f>
        <v/>
      </c>
      <c r="DO451" s="307" t="n"/>
    </row>
    <row r="452" ht="15.6" customHeight="1" s="184">
      <c r="B452" s="303">
        <f t="array" ref="B452">IF(OR(ISERROR(K452:P452)),FALSE,TRUE)</f>
        <v/>
      </c>
      <c r="C452" s="60">
        <f>OR(BR452=Driver!$G$50,Data!BR216=Driver!$H$50)</f>
        <v/>
      </c>
      <c r="D452" s="60">
        <f>OR(BV452=Driver!$G$51,BV452=Driver!$H$51)</f>
        <v/>
      </c>
      <c r="E452" s="60">
        <f>AND(BX452&gt;Driver!$F$54,BX452&lt;Driver!$G$54)</f>
        <v/>
      </c>
      <c r="F452" s="60">
        <f>CL452&gt;Driver!$F$56</f>
        <v/>
      </c>
      <c r="G452" s="60">
        <f>AND(CB452&gt;Driver!$F$55,CB452&lt;Driver!$G$55)</f>
        <v/>
      </c>
      <c r="H452" s="60">
        <f>AND(B452:G452)</f>
        <v/>
      </c>
      <c r="I452" s="60">
        <f>COUNTIFS($H$9:$H$1273,TRUE,$BT$9:$BT$1273,BT452)</f>
        <v/>
      </c>
      <c r="J452" s="60">
        <f t="array" ref="J452">NOT(OR(($H$9:$H$1273=TRUE)*($I$9:$I$1273&gt;0)*($BT$9:$BT$1273=BT452)*($K$9:$K$1273&gt;K452)))</f>
        <v/>
      </c>
      <c r="K452" s="108">
        <f>IFERROR(1-AVERAGE(X452:Y452),"")</f>
        <v/>
      </c>
      <c r="L452" s="108">
        <f>1-X452</f>
        <v/>
      </c>
      <c r="M452" s="108">
        <f>1-Y452</f>
        <v/>
      </c>
      <c r="N452" s="108">
        <f>1-Z452</f>
        <v/>
      </c>
      <c r="O452" s="108">
        <f>1-AA452</f>
        <v/>
      </c>
      <c r="P452" s="108">
        <f>1-AB452</f>
        <v/>
      </c>
      <c r="Q452" s="108" t="n"/>
      <c r="R452" s="108" t="n"/>
      <c r="S452" s="108">
        <f>1-AE452</f>
        <v/>
      </c>
      <c r="T452" s="108">
        <f>1-AF452</f>
        <v/>
      </c>
      <c r="U452" s="108">
        <f>1-AG452</f>
        <v/>
      </c>
      <c r="V452" s="108">
        <f>1-AH452</f>
        <v/>
      </c>
      <c r="W452" s="108">
        <f>1-AI452</f>
        <v/>
      </c>
      <c r="X452" s="108">
        <f>ABS(AJ452-AJ$1)</f>
        <v/>
      </c>
      <c r="Y452" s="108">
        <f>AVERAGE(Z452:AB452)</f>
        <v/>
      </c>
      <c r="Z452" s="108">
        <f>ABS(AL452-AL$1)</f>
        <v/>
      </c>
      <c r="AA452" s="108">
        <f>ABS(AM452-AM$1)</f>
        <v/>
      </c>
      <c r="AB452" s="108">
        <f>ABS(AN452-AN$1)</f>
        <v/>
      </c>
      <c r="AC452" s="108" t="n"/>
      <c r="AD452" s="108" t="n"/>
      <c r="AE452" s="108">
        <f>ABS(AQ$1-AQ452)</f>
        <v/>
      </c>
      <c r="AF452" s="108">
        <f>ABS(AR$1-AR452)</f>
        <v/>
      </c>
      <c r="AG452" s="108">
        <f>ABS(AS$1-AS452)</f>
        <v/>
      </c>
      <c r="AH452" s="108">
        <f>ABS(AT$1-AT452)</f>
        <v/>
      </c>
      <c r="AI452" s="108">
        <f>ABS(AU$1-AU452)</f>
        <v/>
      </c>
      <c r="AJ452" s="108">
        <f>(AV452-Driver!$K$179)/(Driver!$L$179-Driver!$K$179)</f>
        <v/>
      </c>
      <c r="AK452" s="108">
        <f>(AW452-Driver!$K$180)/(Driver!$L$180-Driver!$K$180)</f>
        <v/>
      </c>
      <c r="AL452" s="108">
        <f>(AX452-Driver!$K$181)/(Driver!$L$181-Driver!$K$181)</f>
        <v/>
      </c>
      <c r="AM452" s="108">
        <f>(AY452-Driver!$K$182)/(Driver!$L$182-Driver!$K$182)</f>
        <v/>
      </c>
      <c r="AN452" s="108">
        <f>(AZ452-Driver!$K$183)/(Driver!$L$183-Driver!$K$183)</f>
        <v/>
      </c>
      <c r="AO452" s="108" t="n"/>
      <c r="AP452" s="108" t="n"/>
      <c r="AQ452" s="108">
        <f>(BC452-Driver!$K$188)/(Driver!$L$188-Driver!$K$188)</f>
        <v/>
      </c>
      <c r="AR452" s="108">
        <f>MIN((BD452-Driver!$K$189)/(Driver!$L$189-Driver!$K$189),100%)</f>
        <v/>
      </c>
      <c r="AS452" s="108">
        <f>(BE452-Driver!$K$190)/(Driver!$L$190-Driver!$K$190)</f>
        <v/>
      </c>
      <c r="AT452" s="108">
        <f>(BF452-Driver!$K$191)/(Driver!$L$191-Driver!$K$191)</f>
        <v/>
      </c>
      <c r="AU452" s="108">
        <f>(BG452-Driver!$K$192)/(Driver!$L$192-Driver!$K$192)</f>
        <v/>
      </c>
      <c r="AV452" s="105">
        <f>IFERROR(BM452*BJ452^1/4,"")</f>
        <v/>
      </c>
      <c r="AW452" s="105">
        <f>IFERROR(SUM(AX452:AZ452),"")</f>
        <v/>
      </c>
      <c r="AX452" s="105">
        <f>IFERROR(BH452,"")</f>
        <v/>
      </c>
      <c r="AY452" s="105">
        <f>IFERROR(Driver!$K$19/Data!BH452/Data!BI452*Data!BK452*Data!BL452,"")</f>
        <v/>
      </c>
      <c r="AZ452" s="105">
        <f>IFERROR(BI452*BN452,"")</f>
        <v/>
      </c>
      <c r="BA452" s="105" t="n"/>
      <c r="BB452" s="105" t="n"/>
      <c r="BC452" s="105">
        <f>IFERROR(BI452*BN452*BK452/BJ452^(1/2),"")</f>
        <v/>
      </c>
      <c r="BD452" s="105">
        <f>IFERROR(BH452*BM452*BL452/BJ452/BK452,"")</f>
        <v/>
      </c>
      <c r="BE452" s="105">
        <f>IFERROR(MIN(BI452/BQ452/BP452/BO452/BH452,$BE$1),"")</f>
        <v/>
      </c>
      <c r="BF452" s="105">
        <f>IFERROR(BJ452*BO452*BP452/BK452,"")</f>
        <v/>
      </c>
      <c r="BG452" s="105">
        <f>IFERROR(1/BM452/BH452*BQ452,"")</f>
        <v/>
      </c>
      <c r="BH452" s="102">
        <f>MAX((CE452-Driver!$F$200)/(Driver!$G$200-Driver!$F$200)*$BI$1,1)</f>
        <v/>
      </c>
      <c r="BI452" s="102">
        <f>MAX($BI$1*(BY452-Driver!$F$201)/(Driver!$G$201-Driver!$F$201),1)</f>
        <v/>
      </c>
      <c r="BJ452" s="102">
        <f>(CB452-Driver!$F$206)/(Driver!$G$206-Driver!$F$206)*$BI$1</f>
        <v/>
      </c>
      <c r="BK452" s="102">
        <f>(CD452-Driver!$F$203)/(Driver!$G$203-Driver!$F$203)*$BI$1</f>
        <v/>
      </c>
      <c r="BL452" s="102">
        <f>MAX((CR452-Driver!$F$202)/(Driver!$G$202-Driver!$F$202)*$BI$1,1)</f>
        <v/>
      </c>
      <c r="BM452" s="102">
        <f>MAX((CH452-Driver!$F$204)/(Driver!$G$204-Driver!$F$204)*$BI$1,1)</f>
        <v/>
      </c>
      <c r="BN452" s="102">
        <f>(CI452-Driver!$F$205)/(Driver!$G$205-Driver!$F$205)*$BI$1</f>
        <v/>
      </c>
      <c r="BO452" s="102">
        <f>(CK452-Driver!$F$207)/(Driver!$G$207-Driver!$F$207)*$BI$1</f>
        <v/>
      </c>
      <c r="BP452" s="102">
        <f>(CM452-Driver!$F$208)/(Driver!$G$208-Driver!$F$208)*$BI$1</f>
        <v/>
      </c>
      <c r="BQ452" s="102">
        <f>(CL452-Driver!$F$209)/(Driver!$G$209-Driver!$F$209)*$BI$1</f>
        <v/>
      </c>
      <c r="BR452" s="40" t="inlineStr">
        <is>
          <t>21/22</t>
        </is>
      </c>
      <c r="BS452" s="10" t="inlineStr">
        <is>
          <t xml:space="preserve"> Black Crows</t>
        </is>
      </c>
      <c r="BT452" s="11" t="inlineStr">
        <is>
          <t xml:space="preserve"> Captis</t>
        </is>
      </c>
      <c r="BU452" s="13" t="n">
        <v>178.3</v>
      </c>
      <c r="BV452" s="11" t="inlineStr">
        <is>
          <t xml:space="preserve"> Unisex</t>
        </is>
      </c>
      <c r="BW452" s="13" t="n">
        <v>178.3</v>
      </c>
      <c r="BX452" s="13" t="n">
        <v>176.7</v>
      </c>
      <c r="BY452" s="13" t="n">
        <v>132</v>
      </c>
      <c r="BZ452" s="13" t="n">
        <v>143</v>
      </c>
      <c r="CA452" s="13" t="n">
        <v>120</v>
      </c>
      <c r="CB452" s="13" t="n">
        <v>89</v>
      </c>
      <c r="CC452" s="13" t="n">
        <v>111</v>
      </c>
      <c r="CD452" s="13" t="n">
        <v>17.5</v>
      </c>
      <c r="CE452" s="13" t="n">
        <v>1708</v>
      </c>
      <c r="CF452" s="13" t="n">
        <v>1.04</v>
      </c>
      <c r="CG452" s="13" t="n">
        <v>1782</v>
      </c>
      <c r="CH452" s="13" t="n">
        <v>175</v>
      </c>
      <c r="CI452" s="13" t="n">
        <v>80</v>
      </c>
      <c r="CJ452" s="13" t="n">
        <v>39</v>
      </c>
      <c r="CK452" s="13" t="n">
        <v>242</v>
      </c>
      <c r="CL452" s="13" t="n">
        <v>34</v>
      </c>
      <c r="CM452" s="13" t="n">
        <v>201</v>
      </c>
      <c r="CN452" s="13" t="n">
        <v>0.885</v>
      </c>
      <c r="CO452" s="13" t="n">
        <v>204</v>
      </c>
      <c r="CP452" s="13" t="n">
        <v>136</v>
      </c>
      <c r="CQ452" s="13" t="n">
        <v>38</v>
      </c>
      <c r="CR452" s="13" t="n">
        <v>4</v>
      </c>
      <c r="CS452" s="13" t="n">
        <v>6.3</v>
      </c>
      <c r="CT452" s="11" t="inlineStr">
        <is>
          <t xml:space="preserve"> Freeski</t>
        </is>
      </c>
      <c r="CU452" s="13" t="n"/>
      <c r="CV452" s="13" t="n"/>
      <c r="CW452" s="13" t="n"/>
      <c r="CX452">
        <f>INDEX('Data_Price '!AG$2:AG$1266,MATCH(Data!$DN452,'Data_Price '!$AT$2:$AT$1266,0))</f>
        <v/>
      </c>
      <c r="CY452">
        <f>INDEX('Data_Price '!AH$2:AH$1266,MATCH(Data!$DN452,'Data_Price '!$AT$2:$AT$1266,0))</f>
        <v/>
      </c>
      <c r="CZ452">
        <f>INDEX('Data_Price '!AI$2:AI$1266,MATCH(Data!$DN452,'Data_Price '!$AT$2:$AT$1266,0))</f>
        <v/>
      </c>
      <c r="DA452">
        <f>INDEX('Data_Price '!AJ$2:AJ$1266,MATCH(Data!$DN452,'Data_Price '!$AT$2:$AT$1266,0))</f>
        <v/>
      </c>
      <c r="DB452">
        <f>INDEX('Data_Price '!AK$2:AK$1266,MATCH(Data!$DN452,'Data_Price '!$AT$2:$AT$1266,0))</f>
        <v/>
      </c>
      <c r="DC452">
        <f>INDEX('Data_Price '!AL$2:AL$1266,MATCH(Data!$DN452,'Data_Price '!$AT$2:$AT$1266,0))</f>
        <v/>
      </c>
      <c r="DD452">
        <f>INDEX('Data_Price '!AM$2:AM$1266,MATCH(Data!$DN452,'Data_Price '!$AT$2:$AT$1266,0))</f>
        <v/>
      </c>
      <c r="DE452">
        <f>INDEX('Data_Price '!AN$2:AN$1266,MATCH(Data!$DN452,'Data_Price '!$AT$2:$AT$1266,0))</f>
        <v/>
      </c>
      <c r="DF452">
        <f>INDEX('Data_Price '!AO$2:AO$1266,MATCH(Data!$DN452,'Data_Price '!$AT$2:$AT$1266,0))</f>
        <v/>
      </c>
      <c r="DG452">
        <f>INDEX('Data_Price '!AP$2:AP$1266,MATCH(Data!$DN452,'Data_Price '!$AT$2:$AT$1266,0))</f>
        <v/>
      </c>
      <c r="DH452">
        <f>INDEX('Data_Price '!AQ$2:AQ$1266,MATCH(Data!$DN452,'Data_Price '!$AT$2:$AT$1266,0))</f>
        <v/>
      </c>
      <c r="DI452">
        <f>INDEX('Data_Price '!AR$2:AR$1266,MATCH(Data!$DN452,'Data_Price '!$AT$2:$AT$1266,0))</f>
        <v/>
      </c>
      <c r="DJ452" s="138">
        <f>DA452</f>
        <v/>
      </c>
      <c r="DK452" s="138">
        <f>DE452</f>
        <v/>
      </c>
      <c r="DL452" s="138">
        <f>DI452</f>
        <v/>
      </c>
      <c r="DM452" s="303">
        <f>IF(LEFT(BT452,1)=" ",RIGHT(BT452,LEN(BT452)-1),BT452)</f>
        <v/>
      </c>
      <c r="DN452" s="138">
        <f>_xlfn.CONCAT(BS452,DM452,BU452,BV452)</f>
        <v/>
      </c>
      <c r="DO452" s="307" t="inlineStr">
        <is>
          <t>https://images.evo.com/imgp/250/181600/727234/clone.jpg</t>
        </is>
      </c>
    </row>
    <row r="453" ht="15.6" customHeight="1" s="184">
      <c r="B453" s="303">
        <f t="array" ref="B453">IF(OR(ISERROR(K453:P453)),FALSE,TRUE)</f>
        <v/>
      </c>
      <c r="C453" s="60">
        <f>OR(BR453=Driver!$G$50,Data!BR755=Driver!$H$50)</f>
        <v/>
      </c>
      <c r="D453" s="60">
        <f>OR(BV453=Driver!$G$51,BV453=Driver!$H$51)</f>
        <v/>
      </c>
      <c r="E453" s="60">
        <f>AND(BX453&gt;Driver!$F$54,BX453&lt;Driver!$G$54)</f>
        <v/>
      </c>
      <c r="F453" s="60">
        <f>CL453&gt;Driver!$F$56</f>
        <v/>
      </c>
      <c r="G453" s="60">
        <f>AND(CB453&gt;Driver!$F$55,CB453&lt;Driver!$G$55)</f>
        <v/>
      </c>
      <c r="H453" s="60">
        <f>AND(B453:G453)</f>
        <v/>
      </c>
      <c r="I453" s="60">
        <f>COUNTIFS($H$9:$H$1273,TRUE,$BT$9:$BT$1273,BT453)</f>
        <v/>
      </c>
      <c r="J453" s="60">
        <f t="array" ref="J453">NOT(OR(($H$9:$H$1273=TRUE)*($I$9:$I$1273&gt;0)*($BT$9:$BT$1273=BT453)*($K$9:$K$1273&gt;K453)))</f>
        <v/>
      </c>
      <c r="K453" s="108">
        <f>IFERROR(1-AVERAGE(X453:Y453),"")</f>
        <v/>
      </c>
      <c r="L453" s="108">
        <f>1-X453</f>
        <v/>
      </c>
      <c r="M453" s="108">
        <f>1-Y453</f>
        <v/>
      </c>
      <c r="N453" s="108">
        <f>1-Z453</f>
        <v/>
      </c>
      <c r="O453" s="108">
        <f>1-AA453</f>
        <v/>
      </c>
      <c r="P453" s="108">
        <f>1-AB453</f>
        <v/>
      </c>
      <c r="Q453" s="108" t="n"/>
      <c r="R453" s="108" t="n"/>
      <c r="S453" s="108">
        <f>1-AE453</f>
        <v/>
      </c>
      <c r="T453" s="108">
        <f>1-AF453</f>
        <v/>
      </c>
      <c r="U453" s="108">
        <f>1-AG453</f>
        <v/>
      </c>
      <c r="V453" s="108">
        <f>1-AH453</f>
        <v/>
      </c>
      <c r="W453" s="108">
        <f>1-AI453</f>
        <v/>
      </c>
      <c r="X453" s="108">
        <f>ABS(AJ453-AJ$1)</f>
        <v/>
      </c>
      <c r="Y453" s="108">
        <f>AVERAGE(Z453:AB453)</f>
        <v/>
      </c>
      <c r="Z453" s="108">
        <f>ABS(AL453-AL$1)</f>
        <v/>
      </c>
      <c r="AA453" s="108">
        <f>ABS(AM453-AM$1)</f>
        <v/>
      </c>
      <c r="AB453" s="108">
        <f>ABS(AN453-AN$1)</f>
        <v/>
      </c>
      <c r="AC453" s="108" t="n"/>
      <c r="AD453" s="108" t="n"/>
      <c r="AE453" s="108">
        <f>ABS(AQ$1-AQ453)</f>
        <v/>
      </c>
      <c r="AF453" s="108">
        <f>ABS(AR$1-AR453)</f>
        <v/>
      </c>
      <c r="AG453" s="108">
        <f>ABS(AS$1-AS453)</f>
        <v/>
      </c>
      <c r="AH453" s="108">
        <f>ABS(AT$1-AT453)</f>
        <v/>
      </c>
      <c r="AI453" s="108">
        <f>ABS(AU$1-AU453)</f>
        <v/>
      </c>
      <c r="AJ453" s="108">
        <f>(AV453-Driver!$K$179)/(Driver!$L$179-Driver!$K$179)</f>
        <v/>
      </c>
      <c r="AK453" s="108">
        <f>(AW453-Driver!$K$180)/(Driver!$L$180-Driver!$K$180)</f>
        <v/>
      </c>
      <c r="AL453" s="108">
        <f>(AX453-Driver!$K$181)/(Driver!$L$181-Driver!$K$181)</f>
        <v/>
      </c>
      <c r="AM453" s="108">
        <f>(AY453-Driver!$K$182)/(Driver!$L$182-Driver!$K$182)</f>
        <v/>
      </c>
      <c r="AN453" s="108">
        <f>(AZ453-Driver!$K$183)/(Driver!$L$183-Driver!$K$183)</f>
        <v/>
      </c>
      <c r="AO453" s="108" t="n"/>
      <c r="AP453" s="108" t="n"/>
      <c r="AQ453" s="108">
        <f>(BC453-Driver!$K$188)/(Driver!$L$188-Driver!$K$188)</f>
        <v/>
      </c>
      <c r="AR453" s="108">
        <f>MIN((BD453-Driver!$K$189)/(Driver!$L$189-Driver!$K$189),100%)</f>
        <v/>
      </c>
      <c r="AS453" s="108">
        <f>(BE453-Driver!$K$190)/(Driver!$L$190-Driver!$K$190)</f>
        <v/>
      </c>
      <c r="AT453" s="108">
        <f>(BF453-Driver!$K$191)/(Driver!$L$191-Driver!$K$191)</f>
        <v/>
      </c>
      <c r="AU453" s="108">
        <f>(BG453-Driver!$K$192)/(Driver!$L$192-Driver!$K$192)</f>
        <v/>
      </c>
      <c r="AV453" s="105">
        <f>IFERROR(BM453*BJ453^1/4,"")</f>
        <v/>
      </c>
      <c r="AW453" s="105">
        <f>IFERROR(SUM(AX453:AZ453),"")</f>
        <v/>
      </c>
      <c r="AX453" s="105">
        <f>IFERROR(BH453,"")</f>
        <v/>
      </c>
      <c r="AY453" s="105">
        <f>IFERROR(Driver!$K$19/Data!BH453/Data!BI453*Data!BK453*Data!BL453,"")</f>
        <v/>
      </c>
      <c r="AZ453" s="105">
        <f>IFERROR(BI453*BN453,"")</f>
        <v/>
      </c>
      <c r="BA453" s="105" t="n"/>
      <c r="BB453" s="105" t="n"/>
      <c r="BC453" s="105">
        <f>IFERROR(BI453*BN453*BK453/BJ453^(1/2),"")</f>
        <v/>
      </c>
      <c r="BD453" s="105">
        <f>IFERROR(BH453*BM453*BL453/BJ453/BK453,"")</f>
        <v/>
      </c>
      <c r="BE453" s="105">
        <f>IFERROR(MIN(BI453/BQ453/BP453/BO453/BH453,$BE$1),"")</f>
        <v/>
      </c>
      <c r="BF453" s="105">
        <f>IFERROR(BJ453*BO453*BP453/BK453,"")</f>
        <v/>
      </c>
      <c r="BG453" s="105">
        <f>IFERROR(1/BM453/BH453*BQ453,"")</f>
        <v/>
      </c>
      <c r="BH453" s="102">
        <f>MAX((CE453-Driver!$F$200)/(Driver!$G$200-Driver!$F$200)*$BI$1,1)</f>
        <v/>
      </c>
      <c r="BI453" s="102">
        <f>MAX($BI$1*(BY453-Driver!$F$201)/(Driver!$G$201-Driver!$F$201),1)</f>
        <v/>
      </c>
      <c r="BJ453" s="102">
        <f>(CB453-Driver!$F$206)/(Driver!$G$206-Driver!$F$206)*$BI$1</f>
        <v/>
      </c>
      <c r="BK453" s="102">
        <f>(CD453-Driver!$F$203)/(Driver!$G$203-Driver!$F$203)*$BI$1</f>
        <v/>
      </c>
      <c r="BL453" s="102">
        <f>MAX((CR453-Driver!$F$202)/(Driver!$G$202-Driver!$F$202)*$BI$1,1)</f>
        <v/>
      </c>
      <c r="BM453" s="102">
        <f>MAX((CH453-Driver!$F$204)/(Driver!$G$204-Driver!$F$204)*$BI$1,1)</f>
        <v/>
      </c>
      <c r="BN453" s="102">
        <f>(CI453-Driver!$F$205)/(Driver!$G$205-Driver!$F$205)*$BI$1</f>
        <v/>
      </c>
      <c r="BO453" s="102">
        <f>(CK453-Driver!$F$207)/(Driver!$G$207-Driver!$F$207)*$BI$1</f>
        <v/>
      </c>
      <c r="BP453" s="102">
        <f>(CM453-Driver!$F$208)/(Driver!$G$208-Driver!$F$208)*$BI$1</f>
        <v/>
      </c>
      <c r="BQ453" s="102">
        <f>(CL453-Driver!$F$209)/(Driver!$G$209-Driver!$F$209)*$BI$1</f>
        <v/>
      </c>
      <c r="BR453" s="40" t="inlineStr">
        <is>
          <t>21/22</t>
        </is>
      </c>
      <c r="BS453" s="10" t="inlineStr">
        <is>
          <t xml:space="preserve"> K2</t>
        </is>
      </c>
      <c r="BT453" s="11" t="inlineStr">
        <is>
          <t xml:space="preserve"> Mindbender Team</t>
        </is>
      </c>
      <c r="BU453" s="13" t="n">
        <v>165</v>
      </c>
      <c r="BV453" s="11" t="inlineStr">
        <is>
          <t xml:space="preserve"> Junior</t>
        </is>
      </c>
      <c r="BW453" s="13" t="n">
        <v>165</v>
      </c>
      <c r="BX453" s="13" t="n">
        <v>165.4</v>
      </c>
      <c r="BY453" s="13" t="n">
        <v>109</v>
      </c>
      <c r="BZ453" s="13" t="n">
        <v>129</v>
      </c>
      <c r="CA453" s="13" t="n">
        <v>126</v>
      </c>
      <c r="CB453" s="13" t="n">
        <v>97</v>
      </c>
      <c r="CC453" s="13" t="n">
        <v>115</v>
      </c>
      <c r="CD453" s="13" t="n">
        <v>16.7</v>
      </c>
      <c r="CE453" s="13" t="n">
        <v>1603</v>
      </c>
      <c r="CF453" s="13" t="n">
        <v>1.1</v>
      </c>
      <c r="CG453" s="13" t="n">
        <v>1765</v>
      </c>
      <c r="CH453" s="13" t="n">
        <v>167</v>
      </c>
      <c r="CI453" s="13" t="n">
        <v>86</v>
      </c>
      <c r="CJ453" s="13" t="n">
        <v>45</v>
      </c>
      <c r="CK453" s="13" t="n">
        <v>351</v>
      </c>
      <c r="CL453" s="13" t="n">
        <v>19</v>
      </c>
      <c r="CM453" s="13" t="n">
        <v>214</v>
      </c>
      <c r="CN453" s="13" t="n">
        <v>0.434</v>
      </c>
      <c r="CO453" s="13" t="n">
        <v>197</v>
      </c>
      <c r="CP453" s="13" t="n">
        <v>169</v>
      </c>
      <c r="CQ453" s="13" t="n">
        <v>154</v>
      </c>
      <c r="CR453" s="13" t="n">
        <v>5</v>
      </c>
      <c r="CS453" s="13" t="n">
        <v>9.6</v>
      </c>
      <c r="CT453" s="11" t="inlineStr">
        <is>
          <t xml:space="preserve"> Resort Freeride</t>
        </is>
      </c>
      <c r="CU453" s="11" t="inlineStr">
        <is>
          <t xml:space="preserve"> Touring</t>
        </is>
      </c>
      <c r="CV453" s="13" t="n"/>
      <c r="CW453" s="13" t="n"/>
      <c r="CX453">
        <f>INDEX('Data_Price '!AG$2:AG$1266,MATCH(Data!$DN453,'Data_Price '!$AT$2:$AT$1266,0))</f>
        <v/>
      </c>
      <c r="CY453">
        <f>INDEX('Data_Price '!AH$2:AH$1266,MATCH(Data!$DN453,'Data_Price '!$AT$2:$AT$1266,0))</f>
        <v/>
      </c>
      <c r="CZ453">
        <f>INDEX('Data_Price '!AI$2:AI$1266,MATCH(Data!$DN453,'Data_Price '!$AT$2:$AT$1266,0))</f>
        <v/>
      </c>
      <c r="DA453">
        <f>INDEX('Data_Price '!AJ$2:AJ$1266,MATCH(Data!$DN453,'Data_Price '!$AT$2:$AT$1266,0))</f>
        <v/>
      </c>
      <c r="DB453">
        <f>INDEX('Data_Price '!AK$2:AK$1266,MATCH(Data!$DN453,'Data_Price '!$AT$2:$AT$1266,0))</f>
        <v/>
      </c>
      <c r="DC453">
        <f>INDEX('Data_Price '!AL$2:AL$1266,MATCH(Data!$DN453,'Data_Price '!$AT$2:$AT$1266,0))</f>
        <v/>
      </c>
      <c r="DD453">
        <f>INDEX('Data_Price '!AM$2:AM$1266,MATCH(Data!$DN453,'Data_Price '!$AT$2:$AT$1266,0))</f>
        <v/>
      </c>
      <c r="DE453">
        <f>INDEX('Data_Price '!AN$2:AN$1266,MATCH(Data!$DN453,'Data_Price '!$AT$2:$AT$1266,0))</f>
        <v/>
      </c>
      <c r="DF453">
        <f>INDEX('Data_Price '!AO$2:AO$1266,MATCH(Data!$DN453,'Data_Price '!$AT$2:$AT$1266,0))</f>
        <v/>
      </c>
      <c r="DG453">
        <f>INDEX('Data_Price '!AP$2:AP$1266,MATCH(Data!$DN453,'Data_Price '!$AT$2:$AT$1266,0))</f>
        <v/>
      </c>
      <c r="DH453">
        <f>INDEX('Data_Price '!AQ$2:AQ$1266,MATCH(Data!$DN453,'Data_Price '!$AT$2:$AT$1266,0))</f>
        <v/>
      </c>
      <c r="DI453">
        <f>INDEX('Data_Price '!AR$2:AR$1266,MATCH(Data!$DN453,'Data_Price '!$AT$2:$AT$1266,0))</f>
        <v/>
      </c>
      <c r="DJ453" s="138">
        <f>DA453</f>
        <v/>
      </c>
      <c r="DK453" s="138">
        <f>DE453</f>
        <v/>
      </c>
      <c r="DL453" s="138">
        <f>DI453</f>
        <v/>
      </c>
      <c r="DM453" s="303">
        <f>IF(LEFT(BT453,1)=" ",RIGHT(BT453,LEN(BT453)-1),BT453)</f>
        <v/>
      </c>
      <c r="DN453" s="138">
        <f>_xlfn.CONCAT(BS453,DM453,BU453,BV453)</f>
        <v/>
      </c>
      <c r="DO453" s="307" t="inlineStr">
        <is>
          <t>https://images.evo.com/imgp/250/182194/722426/k2-mindbender-team-jr-alpine-touring-ski-boots-2022-.jpg</t>
        </is>
      </c>
    </row>
    <row r="454" ht="15.6" customHeight="1" s="184">
      <c r="B454" s="303">
        <f t="array" ref="B454">IF(OR(ISERROR(K454:P454)),FALSE,TRUE)</f>
        <v/>
      </c>
      <c r="C454" s="60">
        <f>OR(BR454=Driver!$G$50,Data!BR491=Driver!$H$50)</f>
        <v/>
      </c>
      <c r="D454" s="60">
        <f>OR(BV454=Driver!$G$51,BV454=Driver!$H$51)</f>
        <v/>
      </c>
      <c r="E454" s="60">
        <f>AND(BX454&gt;Driver!$F$54,BX454&lt;Driver!$G$54)</f>
        <v/>
      </c>
      <c r="F454" s="60">
        <f>CL454&gt;Driver!$F$56</f>
        <v/>
      </c>
      <c r="G454" s="60">
        <f>AND(CB454&gt;Driver!$F$55,CB454&lt;Driver!$G$55)</f>
        <v/>
      </c>
      <c r="H454" s="60">
        <f>AND(B454:G454)</f>
        <v/>
      </c>
      <c r="I454" s="60">
        <f>COUNTIFS($H$9:$H$1273,TRUE,$BT$9:$BT$1273,BT454)</f>
        <v/>
      </c>
      <c r="J454" s="60">
        <f t="array" ref="J454">NOT(OR(($H$9:$H$1273=TRUE)*($I$9:$I$1273&gt;0)*($BT$9:$BT$1273=BT454)*($K$9:$K$1273&gt;K454)))</f>
        <v/>
      </c>
      <c r="K454" s="108">
        <f>IFERROR(1-AVERAGE(X454:Y454),"")</f>
        <v/>
      </c>
      <c r="L454" s="108">
        <f>1-X454</f>
        <v/>
      </c>
      <c r="M454" s="108">
        <f>1-Y454</f>
        <v/>
      </c>
      <c r="N454" s="108">
        <f>1-Z454</f>
        <v/>
      </c>
      <c r="O454" s="108">
        <f>1-AA454</f>
        <v/>
      </c>
      <c r="P454" s="108">
        <f>1-AB454</f>
        <v/>
      </c>
      <c r="Q454" s="108" t="n"/>
      <c r="R454" s="108" t="n"/>
      <c r="S454" s="108">
        <f>1-AE454</f>
        <v/>
      </c>
      <c r="T454" s="108">
        <f>1-AF454</f>
        <v/>
      </c>
      <c r="U454" s="108">
        <f>1-AG454</f>
        <v/>
      </c>
      <c r="V454" s="108">
        <f>1-AH454</f>
        <v/>
      </c>
      <c r="W454" s="108">
        <f>1-AI454</f>
        <v/>
      </c>
      <c r="X454" s="108">
        <f>ABS(AJ454-AJ$1)</f>
        <v/>
      </c>
      <c r="Y454" s="108">
        <f>AVERAGE(Z454:AB454)</f>
        <v/>
      </c>
      <c r="Z454" s="108">
        <f>ABS(AL454-AL$1)</f>
        <v/>
      </c>
      <c r="AA454" s="108">
        <f>ABS(AM454-AM$1)</f>
        <v/>
      </c>
      <c r="AB454" s="108">
        <f>ABS(AN454-AN$1)</f>
        <v/>
      </c>
      <c r="AC454" s="108" t="n"/>
      <c r="AD454" s="108" t="n"/>
      <c r="AE454" s="108">
        <f>ABS(AQ$1-AQ454)</f>
        <v/>
      </c>
      <c r="AF454" s="108">
        <f>ABS(AR$1-AR454)</f>
        <v/>
      </c>
      <c r="AG454" s="108">
        <f>ABS(AS$1-AS454)</f>
        <v/>
      </c>
      <c r="AH454" s="108">
        <f>ABS(AT$1-AT454)</f>
        <v/>
      </c>
      <c r="AI454" s="108">
        <f>ABS(AU$1-AU454)</f>
        <v/>
      </c>
      <c r="AJ454" s="108">
        <f>(AV454-Driver!$K$179)/(Driver!$L$179-Driver!$K$179)</f>
        <v/>
      </c>
      <c r="AK454" s="108">
        <f>(AW454-Driver!$K$180)/(Driver!$L$180-Driver!$K$180)</f>
        <v/>
      </c>
      <c r="AL454" s="108">
        <f>(AX454-Driver!$K$181)/(Driver!$L$181-Driver!$K$181)</f>
        <v/>
      </c>
      <c r="AM454" s="108">
        <f>(AY454-Driver!$K$182)/(Driver!$L$182-Driver!$K$182)</f>
        <v/>
      </c>
      <c r="AN454" s="108">
        <f>(AZ454-Driver!$K$183)/(Driver!$L$183-Driver!$K$183)</f>
        <v/>
      </c>
      <c r="AO454" s="108" t="n"/>
      <c r="AP454" s="108" t="n"/>
      <c r="AQ454" s="108">
        <f>(BC454-Driver!$K$188)/(Driver!$L$188-Driver!$K$188)</f>
        <v/>
      </c>
      <c r="AR454" s="108">
        <f>MIN((BD454-Driver!$K$189)/(Driver!$L$189-Driver!$K$189),100%)</f>
        <v/>
      </c>
      <c r="AS454" s="108">
        <f>(BE454-Driver!$K$190)/(Driver!$L$190-Driver!$K$190)</f>
        <v/>
      </c>
      <c r="AT454" s="108">
        <f>(BF454-Driver!$K$191)/(Driver!$L$191-Driver!$K$191)</f>
        <v/>
      </c>
      <c r="AU454" s="108">
        <f>(BG454-Driver!$K$192)/(Driver!$L$192-Driver!$K$192)</f>
        <v/>
      </c>
      <c r="AV454" s="105">
        <f>IFERROR(BM454*BJ454^1/4,"")</f>
        <v/>
      </c>
      <c r="AW454" s="105">
        <f>IFERROR(SUM(AX454:AZ454),"")</f>
        <v/>
      </c>
      <c r="AX454" s="105">
        <f>IFERROR(BH454,"")</f>
        <v/>
      </c>
      <c r="AY454" s="105">
        <f>IFERROR(Driver!$K$19/Data!BH454/Data!BI454*Data!BK454*Data!BL454,"")</f>
        <v/>
      </c>
      <c r="AZ454" s="105">
        <f>IFERROR(BI454*BN454,"")</f>
        <v/>
      </c>
      <c r="BA454" s="105" t="n"/>
      <c r="BB454" s="105" t="n"/>
      <c r="BC454" s="105">
        <f>IFERROR(BI454*BN454*BK454/BJ454^(1/2),"")</f>
        <v/>
      </c>
      <c r="BD454" s="105">
        <f>IFERROR(BH454*BM454*BL454/BJ454/BK454,"")</f>
        <v/>
      </c>
      <c r="BE454" s="105">
        <f>IFERROR(MIN(BI454/BQ454/BP454/BO454/BH454,$BE$1),"")</f>
        <v/>
      </c>
      <c r="BF454" s="105">
        <f>IFERROR(BJ454*BO454*BP454/BK454,"")</f>
        <v/>
      </c>
      <c r="BG454" s="105">
        <f>IFERROR(1/BM454/BH454*BQ454,"")</f>
        <v/>
      </c>
      <c r="BH454" s="102">
        <f>MAX((CE454-Driver!$F$200)/(Driver!$G$200-Driver!$F$200)*$BI$1,1)</f>
        <v/>
      </c>
      <c r="BI454" s="102">
        <f>MAX($BI$1*(BY454-Driver!$F$201)/(Driver!$G$201-Driver!$F$201),1)</f>
        <v/>
      </c>
      <c r="BJ454" s="102">
        <f>(CB454-Driver!$F$206)/(Driver!$G$206-Driver!$F$206)*$BI$1</f>
        <v/>
      </c>
      <c r="BK454" s="102">
        <f>(CD454-Driver!$F$203)/(Driver!$G$203-Driver!$F$203)*$BI$1</f>
        <v/>
      </c>
      <c r="BL454" s="102">
        <f>MAX((CR454-Driver!$F$202)/(Driver!$G$202-Driver!$F$202)*$BI$1,1)</f>
        <v/>
      </c>
      <c r="BM454" s="102">
        <f>MAX((CH454-Driver!$F$204)/(Driver!$G$204-Driver!$F$204)*$BI$1,1)</f>
        <v/>
      </c>
      <c r="BN454" s="102">
        <f>(CI454-Driver!$F$205)/(Driver!$G$205-Driver!$F$205)*$BI$1</f>
        <v/>
      </c>
      <c r="BO454" s="102">
        <f>(CK454-Driver!$F$207)/(Driver!$G$207-Driver!$F$207)*$BI$1</f>
        <v/>
      </c>
      <c r="BP454" s="102">
        <f>(CM454-Driver!$F$208)/(Driver!$G$208-Driver!$F$208)*$BI$1</f>
        <v/>
      </c>
      <c r="BQ454" s="102">
        <f>(CL454-Driver!$F$209)/(Driver!$G$209-Driver!$F$209)*$BI$1</f>
        <v/>
      </c>
      <c r="BR454" s="40" t="inlineStr">
        <is>
          <t>21/22</t>
        </is>
      </c>
      <c r="BS454" s="10" t="inlineStr">
        <is>
          <t xml:space="preserve"> Faction</t>
        </is>
      </c>
      <c r="BT454" s="11" t="inlineStr">
        <is>
          <t>Agent 2.0 X</t>
        </is>
      </c>
      <c r="BU454" s="13" t="n">
        <v>155</v>
      </c>
      <c r="BV454" s="11" t="inlineStr">
        <is>
          <t xml:space="preserve"> Women's</t>
        </is>
      </c>
      <c r="BW454" s="13" t="n">
        <v>155</v>
      </c>
      <c r="BX454" s="13" t="n">
        <v>153.3</v>
      </c>
      <c r="BY454" s="13" t="n">
        <v>115</v>
      </c>
      <c r="BZ454" s="13" t="n">
        <v>127</v>
      </c>
      <c r="CA454" s="13" t="n">
        <v>126</v>
      </c>
      <c r="CB454" s="13" t="n">
        <v>95</v>
      </c>
      <c r="CC454" s="13" t="n">
        <v>116</v>
      </c>
      <c r="CD454" s="13" t="n">
        <v>13.9</v>
      </c>
      <c r="CE454" s="13" t="n">
        <v>1418</v>
      </c>
      <c r="CF454" s="13" t="n">
        <v>1.14</v>
      </c>
      <c r="CG454" s="13" t="n">
        <v>1623</v>
      </c>
      <c r="CH454" s="13" t="n">
        <v>162</v>
      </c>
      <c r="CI454" s="13" t="n">
        <v>84</v>
      </c>
      <c r="CJ454" s="13" t="n">
        <v>52</v>
      </c>
      <c r="CK454" s="13" t="n">
        <v>229</v>
      </c>
      <c r="CL454" s="13" t="n">
        <v>21</v>
      </c>
      <c r="CM454" s="13" t="n">
        <v>155</v>
      </c>
      <c r="CN454" s="13" t="n">
        <v>0.392</v>
      </c>
      <c r="CO454" s="13" t="n">
        <v>172</v>
      </c>
      <c r="CP454" s="13" t="n">
        <v>92</v>
      </c>
      <c r="CQ454" s="13" t="n">
        <v>57</v>
      </c>
      <c r="CR454" s="13" t="n">
        <v>7</v>
      </c>
      <c r="CS454" s="13" t="n">
        <v>10.6</v>
      </c>
      <c r="CT454" s="11" t="inlineStr">
        <is>
          <t xml:space="preserve"> Resort Freeride</t>
        </is>
      </c>
      <c r="CU454" s="11" t="inlineStr">
        <is>
          <t xml:space="preserve"> Touring</t>
        </is>
      </c>
      <c r="CV454" s="13" t="n"/>
      <c r="CW454" s="13" t="n"/>
      <c r="CX454">
        <f>INDEX('Data_Price '!AG$2:AG$1266,MATCH(Data!$DN454,'Data_Price '!$AT$2:$AT$1266,0))</f>
        <v/>
      </c>
      <c r="CY454">
        <f>INDEX('Data_Price '!AH$2:AH$1266,MATCH(Data!$DN454,'Data_Price '!$AT$2:$AT$1266,0))</f>
        <v/>
      </c>
      <c r="CZ454">
        <f>INDEX('Data_Price '!AI$2:AI$1266,MATCH(Data!$DN454,'Data_Price '!$AT$2:$AT$1266,0))</f>
        <v/>
      </c>
      <c r="DA454">
        <f>INDEX('Data_Price '!AJ$2:AJ$1266,MATCH(Data!$DN454,'Data_Price '!$AT$2:$AT$1266,0))</f>
        <v/>
      </c>
      <c r="DB454">
        <f>INDEX('Data_Price '!AK$2:AK$1266,MATCH(Data!$DN454,'Data_Price '!$AT$2:$AT$1266,0))</f>
        <v/>
      </c>
      <c r="DC454">
        <f>INDEX('Data_Price '!AL$2:AL$1266,MATCH(Data!$DN454,'Data_Price '!$AT$2:$AT$1266,0))</f>
        <v/>
      </c>
      <c r="DD454">
        <f>INDEX('Data_Price '!AM$2:AM$1266,MATCH(Data!$DN454,'Data_Price '!$AT$2:$AT$1266,0))</f>
        <v/>
      </c>
      <c r="DE454">
        <f>INDEX('Data_Price '!AN$2:AN$1266,MATCH(Data!$DN454,'Data_Price '!$AT$2:$AT$1266,0))</f>
        <v/>
      </c>
      <c r="DF454">
        <f>INDEX('Data_Price '!AO$2:AO$1266,MATCH(Data!$DN454,'Data_Price '!$AT$2:$AT$1266,0))</f>
        <v/>
      </c>
      <c r="DG454">
        <f>INDEX('Data_Price '!AP$2:AP$1266,MATCH(Data!$DN454,'Data_Price '!$AT$2:$AT$1266,0))</f>
        <v/>
      </c>
      <c r="DH454">
        <f>INDEX('Data_Price '!AQ$2:AQ$1266,MATCH(Data!$DN454,'Data_Price '!$AT$2:$AT$1266,0))</f>
        <v/>
      </c>
      <c r="DI454">
        <f>INDEX('Data_Price '!AR$2:AR$1266,MATCH(Data!$DN454,'Data_Price '!$AT$2:$AT$1266,0))</f>
        <v/>
      </c>
      <c r="DJ454" s="138">
        <f>DA454</f>
        <v/>
      </c>
      <c r="DK454" s="138">
        <f>DE454</f>
        <v/>
      </c>
      <c r="DL454" s="138">
        <f>DI454</f>
        <v/>
      </c>
      <c r="DM454" s="303">
        <f>IF(LEFT(BT454,1)=" ",RIGHT(BT454,LEN(BT454)-1),BT454)</f>
        <v/>
      </c>
      <c r="DN454" s="138">
        <f>_xlfn.CONCAT(BS454,DM454,BU454,BV454)</f>
        <v/>
      </c>
      <c r="DO454" s="307" t="n"/>
    </row>
    <row r="455" ht="15.6" customHeight="1" s="184">
      <c r="B455" s="303">
        <f t="array" ref="B455">IF(OR(ISERROR(K455:P455)),FALSE,TRUE)</f>
        <v/>
      </c>
      <c r="C455" s="60">
        <f>OR(BR455=Driver!$G$50,Data!BR994=Driver!$H$50)</f>
        <v/>
      </c>
      <c r="D455" s="60">
        <f>OR(BV455=Driver!$G$51,BV455=Driver!$H$51)</f>
        <v/>
      </c>
      <c r="E455" s="60">
        <f>AND(BX455&gt;Driver!$F$54,BX455&lt;Driver!$G$54)</f>
        <v/>
      </c>
      <c r="F455" s="60">
        <f>CL455&gt;Driver!$F$56</f>
        <v/>
      </c>
      <c r="G455" s="60">
        <f>AND(CB455&gt;Driver!$F$55,CB455&lt;Driver!$G$55)</f>
        <v/>
      </c>
      <c r="H455" s="60">
        <f>AND(B455:G455)</f>
        <v/>
      </c>
      <c r="I455" s="60">
        <f>COUNTIFS($H$9:$H$1273,TRUE,$BT$9:$BT$1273,BT455)</f>
        <v/>
      </c>
      <c r="J455" s="60">
        <f t="array" ref="J455">NOT(OR(($H$9:$H$1273=TRUE)*($I$9:$I$1273&gt;0)*($BT$9:$BT$1273=BT455)*($K$9:$K$1273&gt;K455)))</f>
        <v/>
      </c>
      <c r="K455" s="108">
        <f>IFERROR(1-AVERAGE(X455:Y455),"")</f>
        <v/>
      </c>
      <c r="L455" s="108">
        <f>1-X455</f>
        <v/>
      </c>
      <c r="M455" s="108">
        <f>1-Y455</f>
        <v/>
      </c>
      <c r="N455" s="108">
        <f>1-Z455</f>
        <v/>
      </c>
      <c r="O455" s="108">
        <f>1-AA455</f>
        <v/>
      </c>
      <c r="P455" s="108">
        <f>1-AB455</f>
        <v/>
      </c>
      <c r="Q455" s="108" t="n"/>
      <c r="R455" s="108" t="n"/>
      <c r="S455" s="108">
        <f>1-AE455</f>
        <v/>
      </c>
      <c r="T455" s="108">
        <f>1-AF455</f>
        <v/>
      </c>
      <c r="U455" s="108">
        <f>1-AG455</f>
        <v/>
      </c>
      <c r="V455" s="108">
        <f>1-AH455</f>
        <v/>
      </c>
      <c r="W455" s="108">
        <f>1-AI455</f>
        <v/>
      </c>
      <c r="X455" s="108">
        <f>ABS(AJ455-AJ$1)</f>
        <v/>
      </c>
      <c r="Y455" s="108">
        <f>AVERAGE(Z455:AB455)</f>
        <v/>
      </c>
      <c r="Z455" s="108">
        <f>ABS(AL455-AL$1)</f>
        <v/>
      </c>
      <c r="AA455" s="108">
        <f>ABS(AM455-AM$1)</f>
        <v/>
      </c>
      <c r="AB455" s="108">
        <f>ABS(AN455-AN$1)</f>
        <v/>
      </c>
      <c r="AC455" s="108" t="n"/>
      <c r="AD455" s="108" t="n"/>
      <c r="AE455" s="108">
        <f>ABS(AQ$1-AQ455)</f>
        <v/>
      </c>
      <c r="AF455" s="108">
        <f>ABS(AR$1-AR455)</f>
        <v/>
      </c>
      <c r="AG455" s="108">
        <f>ABS(AS$1-AS455)</f>
        <v/>
      </c>
      <c r="AH455" s="108">
        <f>ABS(AT$1-AT455)</f>
        <v/>
      </c>
      <c r="AI455" s="108">
        <f>ABS(AU$1-AU455)</f>
        <v/>
      </c>
      <c r="AJ455" s="108">
        <f>(AV455-Driver!$K$179)/(Driver!$L$179-Driver!$K$179)</f>
        <v/>
      </c>
      <c r="AK455" s="108">
        <f>(AW455-Driver!$K$180)/(Driver!$L$180-Driver!$K$180)</f>
        <v/>
      </c>
      <c r="AL455" s="108">
        <f>(AX455-Driver!$K$181)/(Driver!$L$181-Driver!$K$181)</f>
        <v/>
      </c>
      <c r="AM455" s="108">
        <f>(AY455-Driver!$K$182)/(Driver!$L$182-Driver!$K$182)</f>
        <v/>
      </c>
      <c r="AN455" s="108">
        <f>(AZ455-Driver!$K$183)/(Driver!$L$183-Driver!$K$183)</f>
        <v/>
      </c>
      <c r="AO455" s="108" t="n"/>
      <c r="AP455" s="108" t="n"/>
      <c r="AQ455" s="108">
        <f>(BC455-Driver!$K$188)/(Driver!$L$188-Driver!$K$188)</f>
        <v/>
      </c>
      <c r="AR455" s="108">
        <f>MIN((BD455-Driver!$K$189)/(Driver!$L$189-Driver!$K$189),100%)</f>
        <v/>
      </c>
      <c r="AS455" s="108">
        <f>(BE455-Driver!$K$190)/(Driver!$L$190-Driver!$K$190)</f>
        <v/>
      </c>
      <c r="AT455" s="108">
        <f>(BF455-Driver!$K$191)/(Driver!$L$191-Driver!$K$191)</f>
        <v/>
      </c>
      <c r="AU455" s="108">
        <f>(BG455-Driver!$K$192)/(Driver!$L$192-Driver!$K$192)</f>
        <v/>
      </c>
      <c r="AV455" s="105">
        <f>IFERROR(BM455*BJ455^1/4,"")</f>
        <v/>
      </c>
      <c r="AW455" s="105">
        <f>IFERROR(SUM(AX455:AZ455),"")</f>
        <v/>
      </c>
      <c r="AX455" s="105">
        <f>IFERROR(BH455,"")</f>
        <v/>
      </c>
      <c r="AY455" s="105">
        <f>IFERROR(Driver!$K$19/Data!BH455/Data!BI455*Data!BK455*Data!BL455,"")</f>
        <v/>
      </c>
      <c r="AZ455" s="105">
        <f>IFERROR(BI455*BN455,"")</f>
        <v/>
      </c>
      <c r="BA455" s="105" t="n"/>
      <c r="BB455" s="105" t="n"/>
      <c r="BC455" s="105">
        <f>IFERROR(BI455*BN455*BK455/BJ455^(1/2),"")</f>
        <v/>
      </c>
      <c r="BD455" s="105">
        <f>IFERROR(BH455*BM455*BL455/BJ455/BK455,"")</f>
        <v/>
      </c>
      <c r="BE455" s="105">
        <f>IFERROR(MIN(BI455/BQ455/BP455/BO455/BH455,$BE$1),"")</f>
        <v/>
      </c>
      <c r="BF455" s="105">
        <f>IFERROR(BJ455*BO455*BP455/BK455,"")</f>
        <v/>
      </c>
      <c r="BG455" s="105">
        <f>IFERROR(1/BM455/BH455*BQ455,"")</f>
        <v/>
      </c>
      <c r="BH455" s="102">
        <f>MAX((CE455-Driver!$F$200)/(Driver!$G$200-Driver!$F$200)*$BI$1,1)</f>
        <v/>
      </c>
      <c r="BI455" s="102">
        <f>MAX($BI$1*(BY455-Driver!$F$201)/(Driver!$G$201-Driver!$F$201),1)</f>
        <v/>
      </c>
      <c r="BJ455" s="102">
        <f>(CB455-Driver!$F$206)/(Driver!$G$206-Driver!$F$206)*$BI$1</f>
        <v/>
      </c>
      <c r="BK455" s="102">
        <f>(CD455-Driver!$F$203)/(Driver!$G$203-Driver!$F$203)*$BI$1</f>
        <v/>
      </c>
      <c r="BL455" s="102">
        <f>MAX((CR455-Driver!$F$202)/(Driver!$G$202-Driver!$F$202)*$BI$1,1)</f>
        <v/>
      </c>
      <c r="BM455" s="102">
        <f>MAX((CH455-Driver!$F$204)/(Driver!$G$204-Driver!$F$204)*$BI$1,1)</f>
        <v/>
      </c>
      <c r="BN455" s="102">
        <f>(CI455-Driver!$F$205)/(Driver!$G$205-Driver!$F$205)*$BI$1</f>
        <v/>
      </c>
      <c r="BO455" s="102">
        <f>(CK455-Driver!$F$207)/(Driver!$G$207-Driver!$F$207)*$BI$1</f>
        <v/>
      </c>
      <c r="BP455" s="102">
        <f>(CM455-Driver!$F$208)/(Driver!$G$208-Driver!$F$208)*$BI$1</f>
        <v/>
      </c>
      <c r="BQ455" s="102">
        <f>(CL455-Driver!$F$209)/(Driver!$G$209-Driver!$F$209)*$BI$1</f>
        <v/>
      </c>
      <c r="BR455" s="40" t="inlineStr">
        <is>
          <t>21/22</t>
        </is>
      </c>
      <c r="BS455" s="10" t="inlineStr">
        <is>
          <t xml:space="preserve"> Rossignol</t>
        </is>
      </c>
      <c r="BT455" s="11" t="inlineStr">
        <is>
          <t xml:space="preserve"> Blackops Stargazer W</t>
        </is>
      </c>
      <c r="BU455" s="13" t="n">
        <v>162</v>
      </c>
      <c r="BV455" s="11" t="inlineStr">
        <is>
          <t xml:space="preserve"> Women's</t>
        </is>
      </c>
      <c r="BW455" s="13" t="n">
        <v>162</v>
      </c>
      <c r="BX455" s="13" t="n">
        <v>162.6</v>
      </c>
      <c r="BY455" s="13" t="n">
        <v>116</v>
      </c>
      <c r="BZ455" s="13" t="n">
        <v>138</v>
      </c>
      <c r="CA455" s="13" t="n">
        <v>126</v>
      </c>
      <c r="CB455" s="13" t="n">
        <v>91</v>
      </c>
      <c r="CC455" s="13" t="n">
        <v>117</v>
      </c>
      <c r="CD455" s="13" t="n">
        <v>13.6</v>
      </c>
      <c r="CE455" s="13" t="n">
        <v>1546</v>
      </c>
      <c r="CF455" s="13" t="n">
        <v>1.09</v>
      </c>
      <c r="CG455" s="13" t="n">
        <v>1690</v>
      </c>
      <c r="CH455" s="13" t="n">
        <v>170</v>
      </c>
      <c r="CI455" s="13" t="n">
        <v>85</v>
      </c>
      <c r="CJ455" s="13" t="n">
        <v>51</v>
      </c>
      <c r="CK455" s="13" t="n">
        <v>301</v>
      </c>
      <c r="CL455" s="13" t="n">
        <v>11</v>
      </c>
      <c r="CM455" s="13" t="n">
        <v>167</v>
      </c>
      <c r="CN455" s="13" t="n">
        <v>0.226</v>
      </c>
      <c r="CO455" s="13" t="n">
        <v>138</v>
      </c>
      <c r="CP455" s="13" t="n">
        <v>107</v>
      </c>
      <c r="CQ455" s="13" t="n">
        <v>163</v>
      </c>
      <c r="CR455" s="13" t="n">
        <v>7</v>
      </c>
      <c r="CS455" s="13" t="n">
        <v>8.4</v>
      </c>
      <c r="CT455" s="11" t="inlineStr">
        <is>
          <t xml:space="preserve"> Resort Freeride</t>
        </is>
      </c>
      <c r="CU455" s="11" t="inlineStr">
        <is>
          <t xml:space="preserve"> Touring</t>
        </is>
      </c>
      <c r="CV455" s="13" t="n"/>
      <c r="CW455" s="13" t="n"/>
      <c r="CX455">
        <f>INDEX('Data_Price '!AG$2:AG$1266,MATCH(Data!$DN455,'Data_Price '!$AT$2:$AT$1266,0))</f>
        <v/>
      </c>
      <c r="CY455">
        <f>INDEX('Data_Price '!AH$2:AH$1266,MATCH(Data!$DN455,'Data_Price '!$AT$2:$AT$1266,0))</f>
        <v/>
      </c>
      <c r="CZ455">
        <f>INDEX('Data_Price '!AI$2:AI$1266,MATCH(Data!$DN455,'Data_Price '!$AT$2:$AT$1266,0))</f>
        <v/>
      </c>
      <c r="DA455">
        <f>INDEX('Data_Price '!AJ$2:AJ$1266,MATCH(Data!$DN455,'Data_Price '!$AT$2:$AT$1266,0))</f>
        <v/>
      </c>
      <c r="DB455">
        <f>INDEX('Data_Price '!AK$2:AK$1266,MATCH(Data!$DN455,'Data_Price '!$AT$2:$AT$1266,0))</f>
        <v/>
      </c>
      <c r="DC455">
        <f>INDEX('Data_Price '!AL$2:AL$1266,MATCH(Data!$DN455,'Data_Price '!$AT$2:$AT$1266,0))</f>
        <v/>
      </c>
      <c r="DD455">
        <f>INDEX('Data_Price '!AM$2:AM$1266,MATCH(Data!$DN455,'Data_Price '!$AT$2:$AT$1266,0))</f>
        <v/>
      </c>
      <c r="DE455">
        <f>INDEX('Data_Price '!AN$2:AN$1266,MATCH(Data!$DN455,'Data_Price '!$AT$2:$AT$1266,0))</f>
        <v/>
      </c>
      <c r="DF455">
        <f>INDEX('Data_Price '!AO$2:AO$1266,MATCH(Data!$DN455,'Data_Price '!$AT$2:$AT$1266,0))</f>
        <v/>
      </c>
      <c r="DG455">
        <f>INDEX('Data_Price '!AP$2:AP$1266,MATCH(Data!$DN455,'Data_Price '!$AT$2:$AT$1266,0))</f>
        <v/>
      </c>
      <c r="DH455">
        <f>INDEX('Data_Price '!AQ$2:AQ$1266,MATCH(Data!$DN455,'Data_Price '!$AT$2:$AT$1266,0))</f>
        <v/>
      </c>
      <c r="DI455">
        <f>INDEX('Data_Price '!AR$2:AR$1266,MATCH(Data!$DN455,'Data_Price '!$AT$2:$AT$1266,0))</f>
        <v/>
      </c>
      <c r="DJ455" s="138">
        <f>DA455</f>
        <v/>
      </c>
      <c r="DK455" s="138">
        <f>DE455</f>
        <v/>
      </c>
      <c r="DL455" s="138">
        <f>DI455</f>
        <v/>
      </c>
      <c r="DM455" s="303">
        <f>IF(LEFT(BT455,1)=" ",RIGHT(BT455,LEN(BT455)-1),BT455)</f>
        <v/>
      </c>
      <c r="DN455" s="138">
        <f>_xlfn.CONCAT(BS455,DM455,BU455,BV455)</f>
        <v/>
      </c>
      <c r="DO455" s="307" t="n"/>
    </row>
    <row r="456" ht="15.6" customHeight="1" s="184">
      <c r="B456" s="303">
        <f t="array" ref="B456">IF(OR(ISERROR(K456:P456)),FALSE,TRUE)</f>
        <v/>
      </c>
      <c r="C456" s="60">
        <f>OR(BR456=Driver!$G$50,Data!BR734=Driver!$H$50)</f>
        <v/>
      </c>
      <c r="D456" s="60">
        <f>OR(BV456=Driver!$G$51,BV456=Driver!$H$51)</f>
        <v/>
      </c>
      <c r="E456" s="60">
        <f>AND(BX456&gt;Driver!$F$54,BX456&lt;Driver!$G$54)</f>
        <v/>
      </c>
      <c r="F456" s="60">
        <f>CL456&gt;Driver!$F$56</f>
        <v/>
      </c>
      <c r="G456" s="60">
        <f>AND(CB456&gt;Driver!$F$55,CB456&lt;Driver!$G$55)</f>
        <v/>
      </c>
      <c r="H456" s="60">
        <f>AND(B456:G456)</f>
        <v/>
      </c>
      <c r="I456" s="60">
        <f>COUNTIFS($H$9:$H$1273,TRUE,$BT$9:$BT$1273,BT456)</f>
        <v/>
      </c>
      <c r="J456" s="60">
        <f t="array" ref="J456">NOT(OR(($H$9:$H$1273=TRUE)*($I$9:$I$1273&gt;0)*($BT$9:$BT$1273=BT456)*($K$9:$K$1273&gt;K456)))</f>
        <v/>
      </c>
      <c r="K456" s="108">
        <f>IFERROR(1-AVERAGE(X456:Y456),"")</f>
        <v/>
      </c>
      <c r="L456" s="108">
        <f>1-X456</f>
        <v/>
      </c>
      <c r="M456" s="108">
        <f>1-Y456</f>
        <v/>
      </c>
      <c r="N456" s="108">
        <f>1-Z456</f>
        <v/>
      </c>
      <c r="O456" s="108">
        <f>1-AA456</f>
        <v/>
      </c>
      <c r="P456" s="108">
        <f>1-AB456</f>
        <v/>
      </c>
      <c r="Q456" s="108" t="n"/>
      <c r="R456" s="108" t="n"/>
      <c r="S456" s="108">
        <f>1-AE456</f>
        <v/>
      </c>
      <c r="T456" s="108">
        <f>1-AF456</f>
        <v/>
      </c>
      <c r="U456" s="108">
        <f>1-AG456</f>
        <v/>
      </c>
      <c r="V456" s="108">
        <f>1-AH456</f>
        <v/>
      </c>
      <c r="W456" s="108">
        <f>1-AI456</f>
        <v/>
      </c>
      <c r="X456" s="108">
        <f>ABS(AJ456-AJ$1)</f>
        <v/>
      </c>
      <c r="Y456" s="108">
        <f>AVERAGE(Z456:AB456)</f>
        <v/>
      </c>
      <c r="Z456" s="108">
        <f>ABS(AL456-AL$1)</f>
        <v/>
      </c>
      <c r="AA456" s="108">
        <f>ABS(AM456-AM$1)</f>
        <v/>
      </c>
      <c r="AB456" s="108">
        <f>ABS(AN456-AN$1)</f>
        <v/>
      </c>
      <c r="AC456" s="108" t="n"/>
      <c r="AD456" s="108" t="n"/>
      <c r="AE456" s="108">
        <f>ABS(AQ$1-AQ456)</f>
        <v/>
      </c>
      <c r="AF456" s="108">
        <f>ABS(AR$1-AR456)</f>
        <v/>
      </c>
      <c r="AG456" s="108">
        <f>ABS(AS$1-AS456)</f>
        <v/>
      </c>
      <c r="AH456" s="108">
        <f>ABS(AT$1-AT456)</f>
        <v/>
      </c>
      <c r="AI456" s="108">
        <f>ABS(AU$1-AU456)</f>
        <v/>
      </c>
      <c r="AJ456" s="108">
        <f>(AV456-Driver!$K$179)/(Driver!$L$179-Driver!$K$179)</f>
        <v/>
      </c>
      <c r="AK456" s="108">
        <f>(AW456-Driver!$K$180)/(Driver!$L$180-Driver!$K$180)</f>
        <v/>
      </c>
      <c r="AL456" s="108">
        <f>(AX456-Driver!$K$181)/(Driver!$L$181-Driver!$K$181)</f>
        <v/>
      </c>
      <c r="AM456" s="108">
        <f>(AY456-Driver!$K$182)/(Driver!$L$182-Driver!$K$182)</f>
        <v/>
      </c>
      <c r="AN456" s="108">
        <f>(AZ456-Driver!$K$183)/(Driver!$L$183-Driver!$K$183)</f>
        <v/>
      </c>
      <c r="AO456" s="108" t="n"/>
      <c r="AP456" s="108" t="n"/>
      <c r="AQ456" s="108">
        <f>(BC456-Driver!$K$188)/(Driver!$L$188-Driver!$K$188)</f>
        <v/>
      </c>
      <c r="AR456" s="108">
        <f>MIN((BD456-Driver!$K$189)/(Driver!$L$189-Driver!$K$189),100%)</f>
        <v/>
      </c>
      <c r="AS456" s="108">
        <f>(BE456-Driver!$K$190)/(Driver!$L$190-Driver!$K$190)</f>
        <v/>
      </c>
      <c r="AT456" s="108">
        <f>(BF456-Driver!$K$191)/(Driver!$L$191-Driver!$K$191)</f>
        <v/>
      </c>
      <c r="AU456" s="108">
        <f>(BG456-Driver!$K$192)/(Driver!$L$192-Driver!$K$192)</f>
        <v/>
      </c>
      <c r="AV456" s="105">
        <f>IFERROR(BM456*BJ456^1/4,"")</f>
        <v/>
      </c>
      <c r="AW456" s="105">
        <f>IFERROR(SUM(AX456:AZ456),"")</f>
        <v/>
      </c>
      <c r="AX456" s="105">
        <f>IFERROR(BH456,"")</f>
        <v/>
      </c>
      <c r="AY456" s="105">
        <f>IFERROR(Driver!$K$19/Data!BH456/Data!BI456*Data!BK456*Data!BL456,"")</f>
        <v/>
      </c>
      <c r="AZ456" s="105">
        <f>IFERROR(BI456*BN456,"")</f>
        <v/>
      </c>
      <c r="BA456" s="105" t="n"/>
      <c r="BB456" s="105" t="n"/>
      <c r="BC456" s="105">
        <f>IFERROR(BI456*BN456*BK456/BJ456^(1/2),"")</f>
        <v/>
      </c>
      <c r="BD456" s="105">
        <f>IFERROR(BH456*BM456*BL456/BJ456/BK456,"")</f>
        <v/>
      </c>
      <c r="BE456" s="105">
        <f>IFERROR(MIN(BI456/BQ456/BP456/BO456/BH456,$BE$1),"")</f>
        <v/>
      </c>
      <c r="BF456" s="105">
        <f>IFERROR(BJ456*BO456*BP456/BK456,"")</f>
        <v/>
      </c>
      <c r="BG456" s="105">
        <f>IFERROR(1/BM456/BH456*BQ456,"")</f>
        <v/>
      </c>
      <c r="BH456" s="102">
        <f>MAX((CE456-Driver!$F$200)/(Driver!$G$200-Driver!$F$200)*$BI$1,1)</f>
        <v/>
      </c>
      <c r="BI456" s="102">
        <f>MAX($BI$1*(BY456-Driver!$F$201)/(Driver!$G$201-Driver!$F$201),1)</f>
        <v/>
      </c>
      <c r="BJ456" s="102">
        <f>(CB456-Driver!$F$206)/(Driver!$G$206-Driver!$F$206)*$BI$1</f>
        <v/>
      </c>
      <c r="BK456" s="102">
        <f>(CD456-Driver!$F$203)/(Driver!$G$203-Driver!$F$203)*$BI$1</f>
        <v/>
      </c>
      <c r="BL456" s="102">
        <f>MAX((CR456-Driver!$F$202)/(Driver!$G$202-Driver!$F$202)*$BI$1,1)</f>
        <v/>
      </c>
      <c r="BM456" s="102">
        <f>MAX((CH456-Driver!$F$204)/(Driver!$G$204-Driver!$F$204)*$BI$1,1)</f>
        <v/>
      </c>
      <c r="BN456" s="102">
        <f>(CI456-Driver!$F$205)/(Driver!$G$205-Driver!$F$205)*$BI$1</f>
        <v/>
      </c>
      <c r="BO456" s="102">
        <f>(CK456-Driver!$F$207)/(Driver!$G$207-Driver!$F$207)*$BI$1</f>
        <v/>
      </c>
      <c r="BP456" s="102">
        <f>(CM456-Driver!$F$208)/(Driver!$G$208-Driver!$F$208)*$BI$1</f>
        <v/>
      </c>
      <c r="BQ456" s="102">
        <f>(CL456-Driver!$F$209)/(Driver!$G$209-Driver!$F$209)*$BI$1</f>
        <v/>
      </c>
      <c r="BR456" s="40" t="inlineStr">
        <is>
          <t>21/22</t>
        </is>
      </c>
      <c r="BS456" s="10" t="inlineStr">
        <is>
          <t xml:space="preserve"> K2</t>
        </is>
      </c>
      <c r="BT456" s="11" t="inlineStr">
        <is>
          <t>Mindbender 88 Ti Alliance</t>
        </is>
      </c>
      <c r="BU456" s="13" t="n">
        <v>163</v>
      </c>
      <c r="BV456" s="11" t="inlineStr">
        <is>
          <t xml:space="preserve"> Women's</t>
        </is>
      </c>
      <c r="BW456" s="13" t="n">
        <v>163</v>
      </c>
      <c r="BX456" s="13" t="n">
        <v>162.7</v>
      </c>
      <c r="BY456" s="13" t="n">
        <v>124</v>
      </c>
      <c r="BZ456" s="13" t="n">
        <v>139</v>
      </c>
      <c r="CA456" s="13" t="n">
        <v>124</v>
      </c>
      <c r="CB456" s="13" t="n">
        <v>87</v>
      </c>
      <c r="CC456" s="13" t="n">
        <v>111</v>
      </c>
      <c r="CD456" s="13" t="n">
        <v>15.1</v>
      </c>
      <c r="CE456" s="13" t="n">
        <v>1585</v>
      </c>
      <c r="CF456" s="13" t="n">
        <v>1.02</v>
      </c>
      <c r="CG456" s="13" t="n">
        <v>1620</v>
      </c>
      <c r="CH456" s="13" t="n">
        <v>154</v>
      </c>
      <c r="CI456" s="13" t="n">
        <v>82</v>
      </c>
      <c r="CJ456" s="13" t="n">
        <v>48</v>
      </c>
      <c r="CK456" s="13" t="n">
        <v>218</v>
      </c>
      <c r="CL456" s="13" t="n">
        <v>20</v>
      </c>
      <c r="CM456" s="13" t="n">
        <v>166</v>
      </c>
      <c r="CN456" s="13" t="n">
        <v>0.425</v>
      </c>
      <c r="CO456" s="13" t="n">
        <v>134</v>
      </c>
      <c r="CP456" s="13" t="n">
        <v>101</v>
      </c>
      <c r="CQ456" s="13" t="n">
        <v>83</v>
      </c>
      <c r="CR456" s="13" t="n">
        <v>9</v>
      </c>
      <c r="CS456" s="13" t="n">
        <v>11</v>
      </c>
      <c r="CT456" s="11" t="inlineStr">
        <is>
          <t xml:space="preserve"> Resort Freeride</t>
        </is>
      </c>
      <c r="CU456" s="13" t="n"/>
      <c r="CV456" s="13" t="n"/>
      <c r="CW456" s="13" t="n"/>
      <c r="CX456">
        <f>INDEX('Data_Price '!AG$2:AG$1266,MATCH(Data!$DN456,'Data_Price '!$AT$2:$AT$1266,0))</f>
        <v/>
      </c>
      <c r="CY456">
        <f>INDEX('Data_Price '!AH$2:AH$1266,MATCH(Data!$DN456,'Data_Price '!$AT$2:$AT$1266,0))</f>
        <v/>
      </c>
      <c r="CZ456">
        <f>INDEX('Data_Price '!AI$2:AI$1266,MATCH(Data!$DN456,'Data_Price '!$AT$2:$AT$1266,0))</f>
        <v/>
      </c>
      <c r="DA456">
        <f>INDEX('Data_Price '!AJ$2:AJ$1266,MATCH(Data!$DN456,'Data_Price '!$AT$2:$AT$1266,0))</f>
        <v/>
      </c>
      <c r="DB456">
        <f>INDEX('Data_Price '!AK$2:AK$1266,MATCH(Data!$DN456,'Data_Price '!$AT$2:$AT$1266,0))</f>
        <v/>
      </c>
      <c r="DC456">
        <f>INDEX('Data_Price '!AL$2:AL$1266,MATCH(Data!$DN456,'Data_Price '!$AT$2:$AT$1266,0))</f>
        <v/>
      </c>
      <c r="DD456">
        <f>INDEX('Data_Price '!AM$2:AM$1266,MATCH(Data!$DN456,'Data_Price '!$AT$2:$AT$1266,0))</f>
        <v/>
      </c>
      <c r="DE456">
        <f>INDEX('Data_Price '!AN$2:AN$1266,MATCH(Data!$DN456,'Data_Price '!$AT$2:$AT$1266,0))</f>
        <v/>
      </c>
      <c r="DF456">
        <f>INDEX('Data_Price '!AO$2:AO$1266,MATCH(Data!$DN456,'Data_Price '!$AT$2:$AT$1266,0))</f>
        <v/>
      </c>
      <c r="DG456">
        <f>INDEX('Data_Price '!AP$2:AP$1266,MATCH(Data!$DN456,'Data_Price '!$AT$2:$AT$1266,0))</f>
        <v/>
      </c>
      <c r="DH456">
        <f>INDEX('Data_Price '!AQ$2:AQ$1266,MATCH(Data!$DN456,'Data_Price '!$AT$2:$AT$1266,0))</f>
        <v/>
      </c>
      <c r="DI456">
        <f>INDEX('Data_Price '!AR$2:AR$1266,MATCH(Data!$DN456,'Data_Price '!$AT$2:$AT$1266,0))</f>
        <v/>
      </c>
      <c r="DJ456" s="138">
        <f>DA456</f>
        <v/>
      </c>
      <c r="DK456" s="138">
        <f>DE456</f>
        <v/>
      </c>
      <c r="DL456" s="138">
        <f>DI456</f>
        <v/>
      </c>
      <c r="DM456" s="303">
        <f>IF(LEFT(BT456,1)=" ",RIGHT(BT456,LEN(BT456)-1),BT456)</f>
        <v/>
      </c>
      <c r="DN456" s="138">
        <f>_xlfn.CONCAT(BS456,DM456,BU456,BV456)</f>
        <v/>
      </c>
      <c r="DO456" s="307" t="n"/>
    </row>
    <row r="457" ht="15.6" customHeight="1" s="184">
      <c r="B457" s="303">
        <f t="array" ref="B457">IF(OR(ISERROR(K457:P457)),FALSE,TRUE)</f>
        <v/>
      </c>
      <c r="C457" s="60">
        <f>OR(BR457=Driver!$G$50,Data!BR692=Driver!$H$50)</f>
        <v/>
      </c>
      <c r="D457" s="60">
        <f>OR(BV457=Driver!$G$51,BV457=Driver!$H$51)</f>
        <v/>
      </c>
      <c r="E457" s="60">
        <f>AND(BX457&gt;Driver!$F$54,BX457&lt;Driver!$G$54)</f>
        <v/>
      </c>
      <c r="F457" s="60">
        <f>CL457&gt;Driver!$F$56</f>
        <v/>
      </c>
      <c r="G457" s="60">
        <f>AND(CB457&gt;Driver!$F$55,CB457&lt;Driver!$G$55)</f>
        <v/>
      </c>
      <c r="H457" s="60">
        <f>AND(B457:G457)</f>
        <v/>
      </c>
      <c r="I457" s="60">
        <f>COUNTIFS($H$9:$H$1273,TRUE,$BT$9:$BT$1273,BT457)</f>
        <v/>
      </c>
      <c r="J457" s="60">
        <f t="array" ref="J457">NOT(OR(($H$9:$H$1273=TRUE)*($I$9:$I$1273&gt;0)*($BT$9:$BT$1273=BT457)*($K$9:$K$1273&gt;K457)))</f>
        <v/>
      </c>
      <c r="K457" s="108">
        <f>IFERROR(1-AVERAGE(X457:Y457),"")</f>
        <v/>
      </c>
      <c r="L457" s="108">
        <f>1-X457</f>
        <v/>
      </c>
      <c r="M457" s="108">
        <f>1-Y457</f>
        <v/>
      </c>
      <c r="N457" s="108">
        <f>1-Z457</f>
        <v/>
      </c>
      <c r="O457" s="108">
        <f>1-AA457</f>
        <v/>
      </c>
      <c r="P457" s="108">
        <f>1-AB457</f>
        <v/>
      </c>
      <c r="Q457" s="108" t="n"/>
      <c r="R457" s="108" t="n"/>
      <c r="S457" s="108">
        <f>1-AE457</f>
        <v/>
      </c>
      <c r="T457" s="108">
        <f>1-AF457</f>
        <v/>
      </c>
      <c r="U457" s="108">
        <f>1-AG457</f>
        <v/>
      </c>
      <c r="V457" s="108">
        <f>1-AH457</f>
        <v/>
      </c>
      <c r="W457" s="108">
        <f>1-AI457</f>
        <v/>
      </c>
      <c r="X457" s="108">
        <f>ABS(AJ457-AJ$1)</f>
        <v/>
      </c>
      <c r="Y457" s="108">
        <f>AVERAGE(Z457:AB457)</f>
        <v/>
      </c>
      <c r="Z457" s="108">
        <f>ABS(AL457-AL$1)</f>
        <v/>
      </c>
      <c r="AA457" s="108">
        <f>ABS(AM457-AM$1)</f>
        <v/>
      </c>
      <c r="AB457" s="108">
        <f>ABS(AN457-AN$1)</f>
        <v/>
      </c>
      <c r="AC457" s="108" t="n"/>
      <c r="AD457" s="108" t="n"/>
      <c r="AE457" s="108">
        <f>ABS(AQ$1-AQ457)</f>
        <v/>
      </c>
      <c r="AF457" s="108">
        <f>ABS(AR$1-AR457)</f>
        <v/>
      </c>
      <c r="AG457" s="108">
        <f>ABS(AS$1-AS457)</f>
        <v/>
      </c>
      <c r="AH457" s="108">
        <f>ABS(AT$1-AT457)</f>
        <v/>
      </c>
      <c r="AI457" s="108">
        <f>ABS(AU$1-AU457)</f>
        <v/>
      </c>
      <c r="AJ457" s="108">
        <f>(AV457-Driver!$K$179)/(Driver!$L$179-Driver!$K$179)</f>
        <v/>
      </c>
      <c r="AK457" s="108">
        <f>(AW457-Driver!$K$180)/(Driver!$L$180-Driver!$K$180)</f>
        <v/>
      </c>
      <c r="AL457" s="108">
        <f>(AX457-Driver!$K$181)/(Driver!$L$181-Driver!$K$181)</f>
        <v/>
      </c>
      <c r="AM457" s="108">
        <f>(AY457-Driver!$K$182)/(Driver!$L$182-Driver!$K$182)</f>
        <v/>
      </c>
      <c r="AN457" s="108">
        <f>(AZ457-Driver!$K$183)/(Driver!$L$183-Driver!$K$183)</f>
        <v/>
      </c>
      <c r="AO457" s="108" t="n"/>
      <c r="AP457" s="108" t="n"/>
      <c r="AQ457" s="108">
        <f>(BC457-Driver!$K$188)/(Driver!$L$188-Driver!$K$188)</f>
        <v/>
      </c>
      <c r="AR457" s="108">
        <f>MIN((BD457-Driver!$K$189)/(Driver!$L$189-Driver!$K$189),100%)</f>
        <v/>
      </c>
      <c r="AS457" s="108">
        <f>(BE457-Driver!$K$190)/(Driver!$L$190-Driver!$K$190)</f>
        <v/>
      </c>
      <c r="AT457" s="108">
        <f>(BF457-Driver!$K$191)/(Driver!$L$191-Driver!$K$191)</f>
        <v/>
      </c>
      <c r="AU457" s="108">
        <f>(BG457-Driver!$K$192)/(Driver!$L$192-Driver!$K$192)</f>
        <v/>
      </c>
      <c r="AV457" s="105">
        <f>IFERROR(BM457*BJ457^1/4,"")</f>
        <v/>
      </c>
      <c r="AW457" s="105">
        <f>IFERROR(SUM(AX457:AZ457),"")</f>
        <v/>
      </c>
      <c r="AX457" s="105">
        <f>IFERROR(BH457,"")</f>
        <v/>
      </c>
      <c r="AY457" s="105">
        <f>IFERROR(Driver!$K$19/Data!BH457/Data!BI457*Data!BK457*Data!BL457,"")</f>
        <v/>
      </c>
      <c r="AZ457" s="105">
        <f>IFERROR(BI457*BN457,"")</f>
        <v/>
      </c>
      <c r="BA457" s="105" t="n"/>
      <c r="BB457" s="105" t="n"/>
      <c r="BC457" s="105">
        <f>IFERROR(BI457*BN457*BK457/BJ457^(1/2),"")</f>
        <v/>
      </c>
      <c r="BD457" s="105">
        <f>IFERROR(BH457*BM457*BL457/BJ457/BK457,"")</f>
        <v/>
      </c>
      <c r="BE457" s="105">
        <f>IFERROR(MIN(BI457/BQ457/BP457/BO457/BH457,$BE$1),"")</f>
        <v/>
      </c>
      <c r="BF457" s="105">
        <f>IFERROR(BJ457*BO457*BP457/BK457,"")</f>
        <v/>
      </c>
      <c r="BG457" s="105">
        <f>IFERROR(1/BM457/BH457*BQ457,"")</f>
        <v/>
      </c>
      <c r="BH457" s="102">
        <f>MAX((CE457-Driver!$F$200)/(Driver!$G$200-Driver!$F$200)*$BI$1,1)</f>
        <v/>
      </c>
      <c r="BI457" s="102">
        <f>MAX($BI$1*(BY457-Driver!$F$201)/(Driver!$G$201-Driver!$F$201),1)</f>
        <v/>
      </c>
      <c r="BJ457" s="102">
        <f>(CB457-Driver!$F$206)/(Driver!$G$206-Driver!$F$206)*$BI$1</f>
        <v/>
      </c>
      <c r="BK457" s="102">
        <f>(CD457-Driver!$F$203)/(Driver!$G$203-Driver!$F$203)*$BI$1</f>
        <v/>
      </c>
      <c r="BL457" s="102">
        <f>MAX((CR457-Driver!$F$202)/(Driver!$G$202-Driver!$F$202)*$BI$1,1)</f>
        <v/>
      </c>
      <c r="BM457" s="102">
        <f>MAX((CH457-Driver!$F$204)/(Driver!$G$204-Driver!$F$204)*$BI$1,1)</f>
        <v/>
      </c>
      <c r="BN457" s="102">
        <f>(CI457-Driver!$F$205)/(Driver!$G$205-Driver!$F$205)*$BI$1</f>
        <v/>
      </c>
      <c r="BO457" s="102">
        <f>(CK457-Driver!$F$207)/(Driver!$G$207-Driver!$F$207)*$BI$1</f>
        <v/>
      </c>
      <c r="BP457" s="102">
        <f>(CM457-Driver!$F$208)/(Driver!$G$208-Driver!$F$208)*$BI$1</f>
        <v/>
      </c>
      <c r="BQ457" s="102">
        <f>(CL457-Driver!$F$209)/(Driver!$G$209-Driver!$F$209)*$BI$1</f>
        <v/>
      </c>
      <c r="BR457" s="40" t="inlineStr">
        <is>
          <t>21/22</t>
        </is>
      </c>
      <c r="BS457" s="10" t="inlineStr">
        <is>
          <t xml:space="preserve"> Icelantic</t>
        </is>
      </c>
      <c r="BT457" s="11" t="inlineStr">
        <is>
          <t>Riveter 95</t>
        </is>
      </c>
      <c r="BU457" s="13" t="n">
        <v>162</v>
      </c>
      <c r="BV457" s="11" t="inlineStr">
        <is>
          <t xml:space="preserve"> Women's</t>
        </is>
      </c>
      <c r="BW457" s="13" t="n">
        <v>162</v>
      </c>
      <c r="BX457" s="13" t="n">
        <v>161.4</v>
      </c>
      <c r="BY457" s="13" t="n">
        <v>109</v>
      </c>
      <c r="BZ457" s="13" t="n">
        <v>133</v>
      </c>
      <c r="CA457" s="13" t="n">
        <v>130</v>
      </c>
      <c r="CB457" s="13" t="n">
        <v>96</v>
      </c>
      <c r="CC457" s="13" t="n">
        <v>117</v>
      </c>
      <c r="CD457" s="13" t="n">
        <v>14.7</v>
      </c>
      <c r="CE457" s="13" t="n">
        <v>1694</v>
      </c>
      <c r="CF457" s="13" t="n">
        <v>1.01</v>
      </c>
      <c r="CG457" s="13" t="n">
        <v>1716</v>
      </c>
      <c r="CH457" s="13" t="n">
        <v>185</v>
      </c>
      <c r="CI457" s="13" t="n">
        <v>80</v>
      </c>
      <c r="CJ457" s="13" t="n">
        <v>51</v>
      </c>
      <c r="CK457" s="13" t="n">
        <v>304</v>
      </c>
      <c r="CL457" s="13" t="n">
        <v>15</v>
      </c>
      <c r="CM457" s="13" t="n">
        <v>223</v>
      </c>
      <c r="CN457" s="13" t="n">
        <v>0.295</v>
      </c>
      <c r="CO457" s="13" t="n">
        <v>178</v>
      </c>
      <c r="CP457" s="13" t="n">
        <v>110</v>
      </c>
      <c r="CQ457" s="13" t="n">
        <v>126</v>
      </c>
      <c r="CR457" s="13" t="n">
        <v>7</v>
      </c>
      <c r="CS457" s="13" t="n">
        <v>8.199999999999999</v>
      </c>
      <c r="CT457" s="11" t="inlineStr">
        <is>
          <t xml:space="preserve"> Resort Freeride</t>
        </is>
      </c>
      <c r="CU457" s="13" t="n"/>
      <c r="CV457" s="13" t="n"/>
      <c r="CW457" s="13" t="n"/>
      <c r="CX457">
        <f>INDEX('Data_Price '!AG$2:AG$1266,MATCH(Data!$DN457,'Data_Price '!$AT$2:$AT$1266,0))</f>
        <v/>
      </c>
      <c r="CY457">
        <f>INDEX('Data_Price '!AH$2:AH$1266,MATCH(Data!$DN457,'Data_Price '!$AT$2:$AT$1266,0))</f>
        <v/>
      </c>
      <c r="CZ457">
        <f>INDEX('Data_Price '!AI$2:AI$1266,MATCH(Data!$DN457,'Data_Price '!$AT$2:$AT$1266,0))</f>
        <v/>
      </c>
      <c r="DA457">
        <f>INDEX('Data_Price '!AJ$2:AJ$1266,MATCH(Data!$DN457,'Data_Price '!$AT$2:$AT$1266,0))</f>
        <v/>
      </c>
      <c r="DB457">
        <f>INDEX('Data_Price '!AK$2:AK$1266,MATCH(Data!$DN457,'Data_Price '!$AT$2:$AT$1266,0))</f>
        <v/>
      </c>
      <c r="DC457">
        <f>INDEX('Data_Price '!AL$2:AL$1266,MATCH(Data!$DN457,'Data_Price '!$AT$2:$AT$1266,0))</f>
        <v/>
      </c>
      <c r="DD457">
        <f>INDEX('Data_Price '!AM$2:AM$1266,MATCH(Data!$DN457,'Data_Price '!$AT$2:$AT$1266,0))</f>
        <v/>
      </c>
      <c r="DE457">
        <f>INDEX('Data_Price '!AN$2:AN$1266,MATCH(Data!$DN457,'Data_Price '!$AT$2:$AT$1266,0))</f>
        <v/>
      </c>
      <c r="DF457">
        <f>INDEX('Data_Price '!AO$2:AO$1266,MATCH(Data!$DN457,'Data_Price '!$AT$2:$AT$1266,0))</f>
        <v/>
      </c>
      <c r="DG457">
        <f>INDEX('Data_Price '!AP$2:AP$1266,MATCH(Data!$DN457,'Data_Price '!$AT$2:$AT$1266,0))</f>
        <v/>
      </c>
      <c r="DH457">
        <f>INDEX('Data_Price '!AQ$2:AQ$1266,MATCH(Data!$DN457,'Data_Price '!$AT$2:$AT$1266,0))</f>
        <v/>
      </c>
      <c r="DI457">
        <f>INDEX('Data_Price '!AR$2:AR$1266,MATCH(Data!$DN457,'Data_Price '!$AT$2:$AT$1266,0))</f>
        <v/>
      </c>
      <c r="DJ457" s="138">
        <f>DA457</f>
        <v/>
      </c>
      <c r="DK457" s="138">
        <f>DE457</f>
        <v/>
      </c>
      <c r="DL457" s="138">
        <f>DI457</f>
        <v/>
      </c>
      <c r="DM457" s="303">
        <f>IF(LEFT(BT457,1)=" ",RIGHT(BT457,LEN(BT457)-1),BT457)</f>
        <v/>
      </c>
      <c r="DN457" s="138">
        <f>_xlfn.CONCAT(BS457,DM457,BU457,BV457)</f>
        <v/>
      </c>
      <c r="DO457" s="307" t="inlineStr">
        <is>
          <t>https://images.evo.com/imgp/250/208407/833106/clone.jpg</t>
        </is>
      </c>
    </row>
    <row r="458" ht="15.6" customHeight="1" s="184">
      <c r="B458" s="303">
        <f t="array" ref="B458">IF(OR(ISERROR(K458:P458)),FALSE,TRUE)</f>
        <v/>
      </c>
      <c r="C458" s="60">
        <f>OR(BR458=Driver!$G$50,Data!BR83=Driver!$H$50)</f>
        <v/>
      </c>
      <c r="D458" s="60">
        <f>OR(BV458=Driver!$G$51,BV458=Driver!$H$51)</f>
        <v/>
      </c>
      <c r="E458" s="60">
        <f>AND(BX458&gt;Driver!$F$54,BX458&lt;Driver!$G$54)</f>
        <v/>
      </c>
      <c r="F458" s="60">
        <f>CL458&gt;Driver!$F$56</f>
        <v/>
      </c>
      <c r="G458" s="60">
        <f>AND(CB458&gt;Driver!$F$55,CB458&lt;Driver!$G$55)</f>
        <v/>
      </c>
      <c r="H458" s="60">
        <f>AND(B458:G458)</f>
        <v/>
      </c>
      <c r="I458" s="60">
        <f>COUNTIFS($H$9:$H$1273,TRUE,$BT$9:$BT$1273,BT458)</f>
        <v/>
      </c>
      <c r="J458" s="60">
        <f t="array" ref="J458">NOT(OR(($H$9:$H$1273=TRUE)*($I$9:$I$1273&gt;0)*($BT$9:$BT$1273=BT458)*($K$9:$K$1273&gt;K458)))</f>
        <v/>
      </c>
      <c r="K458" s="108">
        <f>IFERROR(1-AVERAGE(X458:Y458),"")</f>
        <v/>
      </c>
      <c r="L458" s="108">
        <f>1-X458</f>
        <v/>
      </c>
      <c r="M458" s="108">
        <f>1-Y458</f>
        <v/>
      </c>
      <c r="N458" s="108">
        <f>1-Z458</f>
        <v/>
      </c>
      <c r="O458" s="108">
        <f>1-AA458</f>
        <v/>
      </c>
      <c r="P458" s="108">
        <f>1-AB458</f>
        <v/>
      </c>
      <c r="Q458" s="108" t="n"/>
      <c r="R458" s="108" t="n"/>
      <c r="S458" s="108">
        <f>1-AE458</f>
        <v/>
      </c>
      <c r="T458" s="108">
        <f>1-AF458</f>
        <v/>
      </c>
      <c r="U458" s="108">
        <f>1-AG458</f>
        <v/>
      </c>
      <c r="V458" s="108">
        <f>1-AH458</f>
        <v/>
      </c>
      <c r="W458" s="108">
        <f>1-AI458</f>
        <v/>
      </c>
      <c r="X458" s="108">
        <f>ABS(AJ458-AJ$1)</f>
        <v/>
      </c>
      <c r="Y458" s="108">
        <f>AVERAGE(Z458:AB458)</f>
        <v/>
      </c>
      <c r="Z458" s="108">
        <f>ABS(AL458-AL$1)</f>
        <v/>
      </c>
      <c r="AA458" s="108">
        <f>ABS(AM458-AM$1)</f>
        <v/>
      </c>
      <c r="AB458" s="108">
        <f>ABS(AN458-AN$1)</f>
        <v/>
      </c>
      <c r="AC458" s="108" t="n"/>
      <c r="AD458" s="108" t="n"/>
      <c r="AE458" s="108">
        <f>ABS(AQ$1-AQ458)</f>
        <v/>
      </c>
      <c r="AF458" s="108">
        <f>ABS(AR$1-AR458)</f>
        <v/>
      </c>
      <c r="AG458" s="108">
        <f>ABS(AS$1-AS458)</f>
        <v/>
      </c>
      <c r="AH458" s="108">
        <f>ABS(AT$1-AT458)</f>
        <v/>
      </c>
      <c r="AI458" s="108">
        <f>ABS(AU$1-AU458)</f>
        <v/>
      </c>
      <c r="AJ458" s="108">
        <f>(AV458-Driver!$K$179)/(Driver!$L$179-Driver!$K$179)</f>
        <v/>
      </c>
      <c r="AK458" s="108">
        <f>(AW458-Driver!$K$180)/(Driver!$L$180-Driver!$K$180)</f>
        <v/>
      </c>
      <c r="AL458" s="108">
        <f>(AX458-Driver!$K$181)/(Driver!$L$181-Driver!$K$181)</f>
        <v/>
      </c>
      <c r="AM458" s="108">
        <f>(AY458-Driver!$K$182)/(Driver!$L$182-Driver!$K$182)</f>
        <v/>
      </c>
      <c r="AN458" s="108">
        <f>(AZ458-Driver!$K$183)/(Driver!$L$183-Driver!$K$183)</f>
        <v/>
      </c>
      <c r="AO458" s="108" t="n"/>
      <c r="AP458" s="108" t="n"/>
      <c r="AQ458" s="108">
        <f>(BC458-Driver!$K$188)/(Driver!$L$188-Driver!$K$188)</f>
        <v/>
      </c>
      <c r="AR458" s="108">
        <f>MIN((BD458-Driver!$K$189)/(Driver!$L$189-Driver!$K$189),100%)</f>
        <v/>
      </c>
      <c r="AS458" s="108">
        <f>(BE458-Driver!$K$190)/(Driver!$L$190-Driver!$K$190)</f>
        <v/>
      </c>
      <c r="AT458" s="108">
        <f>(BF458-Driver!$K$191)/(Driver!$L$191-Driver!$K$191)</f>
        <v/>
      </c>
      <c r="AU458" s="108">
        <f>(BG458-Driver!$K$192)/(Driver!$L$192-Driver!$K$192)</f>
        <v/>
      </c>
      <c r="AV458" s="105">
        <f>IFERROR(BM458*BJ458^1/4,"")</f>
        <v/>
      </c>
      <c r="AW458" s="105">
        <f>IFERROR(SUM(AX458:AZ458),"")</f>
        <v/>
      </c>
      <c r="AX458" s="105">
        <f>IFERROR(BH458,"")</f>
        <v/>
      </c>
      <c r="AY458" s="105">
        <f>IFERROR(Driver!$K$19/Data!BH458/Data!BI458*Data!BK458*Data!BL458,"")</f>
        <v/>
      </c>
      <c r="AZ458" s="105">
        <f>IFERROR(BI458*BN458,"")</f>
        <v/>
      </c>
      <c r="BA458" s="105" t="n"/>
      <c r="BB458" s="105" t="n"/>
      <c r="BC458" s="105">
        <f>IFERROR(BI458*BN458*BK458/BJ458^(1/2),"")</f>
        <v/>
      </c>
      <c r="BD458" s="105">
        <f>IFERROR(BH458*BM458*BL458/BJ458/BK458,"")</f>
        <v/>
      </c>
      <c r="BE458" s="105">
        <f>IFERROR(MIN(BI458/BQ458/BP458/BO458/BH458,$BE$1),"")</f>
        <v/>
      </c>
      <c r="BF458" s="105">
        <f>IFERROR(BJ458*BO458*BP458/BK458,"")</f>
        <v/>
      </c>
      <c r="BG458" s="105">
        <f>IFERROR(1/BM458/BH458*BQ458,"")</f>
        <v/>
      </c>
      <c r="BH458" s="102">
        <f>MAX((CE458-Driver!$F$200)/(Driver!$G$200-Driver!$F$200)*$BI$1,1)</f>
        <v/>
      </c>
      <c r="BI458" s="102">
        <f>MAX($BI$1*(BY458-Driver!$F$201)/(Driver!$G$201-Driver!$F$201),1)</f>
        <v/>
      </c>
      <c r="BJ458" s="102">
        <f>(CB458-Driver!$F$206)/(Driver!$G$206-Driver!$F$206)*$BI$1</f>
        <v/>
      </c>
      <c r="BK458" s="102">
        <f>(CD458-Driver!$F$203)/(Driver!$G$203-Driver!$F$203)*$BI$1</f>
        <v/>
      </c>
      <c r="BL458" s="102">
        <f>MAX((CR458-Driver!$F$202)/(Driver!$G$202-Driver!$F$202)*$BI$1,1)</f>
        <v/>
      </c>
      <c r="BM458" s="102">
        <f>MAX((CH458-Driver!$F$204)/(Driver!$G$204-Driver!$F$204)*$BI$1,1)</f>
        <v/>
      </c>
      <c r="BN458" s="102">
        <f>(CI458-Driver!$F$205)/(Driver!$G$205-Driver!$F$205)*$BI$1</f>
        <v/>
      </c>
      <c r="BO458" s="102">
        <f>(CK458-Driver!$F$207)/(Driver!$G$207-Driver!$F$207)*$BI$1</f>
        <v/>
      </c>
      <c r="BP458" s="102">
        <f>(CM458-Driver!$F$208)/(Driver!$G$208-Driver!$F$208)*$BI$1</f>
        <v/>
      </c>
      <c r="BQ458" s="102">
        <f>(CL458-Driver!$F$209)/(Driver!$G$209-Driver!$F$209)*$BI$1</f>
        <v/>
      </c>
      <c r="BR458" s="40" t="inlineStr">
        <is>
          <t>21/22</t>
        </is>
      </c>
      <c r="BS458" s="10" t="inlineStr">
        <is>
          <t xml:space="preserve"> Armada</t>
        </is>
      </c>
      <c r="BT458" s="11" t="inlineStr">
        <is>
          <t>Reliance 82 Ti</t>
        </is>
      </c>
      <c r="BU458" s="13" t="n">
        <v>150</v>
      </c>
      <c r="BV458" s="11" t="inlineStr">
        <is>
          <t xml:space="preserve"> Women's</t>
        </is>
      </c>
      <c r="BW458" s="13" t="n">
        <v>150</v>
      </c>
      <c r="BX458" s="13" t="n">
        <v>149.7</v>
      </c>
      <c r="BY458" s="13" t="n">
        <v>124</v>
      </c>
      <c r="BZ458" s="13" t="n">
        <v>135</v>
      </c>
      <c r="CA458" s="13" t="n">
        <v>121</v>
      </c>
      <c r="CB458" s="13" t="n">
        <v>81</v>
      </c>
      <c r="CC458" s="13" t="n">
        <v>107</v>
      </c>
      <c r="CD458" s="13" t="n">
        <v>14</v>
      </c>
      <c r="CE458" s="13" t="n">
        <v>1348</v>
      </c>
      <c r="CF458" s="13" t="n">
        <v>1.04</v>
      </c>
      <c r="CG458" s="13" t="n">
        <v>1398</v>
      </c>
      <c r="CH458" s="13" t="n">
        <v>161</v>
      </c>
      <c r="CI458" s="13" t="n">
        <v>97</v>
      </c>
      <c r="CJ458" s="13" t="n">
        <v>35</v>
      </c>
      <c r="CK458" s="13" t="n">
        <v>164</v>
      </c>
      <c r="CL458" s="13" t="n">
        <v>10</v>
      </c>
      <c r="CM458" s="13" t="n">
        <v>96</v>
      </c>
      <c r="CN458" s="13" t="n">
        <v>0.286</v>
      </c>
      <c r="CO458" s="13" t="n">
        <v>91</v>
      </c>
      <c r="CP458" s="13" t="n">
        <v>53</v>
      </c>
      <c r="CQ458" s="13" t="n">
        <v>73</v>
      </c>
      <c r="CR458" s="13" t="n">
        <v>7</v>
      </c>
      <c r="CS458" s="13" t="n">
        <v>8.199999999999999</v>
      </c>
      <c r="CT458" s="11" t="inlineStr">
        <is>
          <t xml:space="preserve"> Resort Freeride</t>
        </is>
      </c>
      <c r="CU458" s="13" t="n"/>
      <c r="CV458" s="13" t="n"/>
      <c r="CW458" s="13" t="n"/>
      <c r="CX458">
        <f>INDEX('Data_Price '!AG$2:AG$1266,MATCH(Data!$DN458,'Data_Price '!$AT$2:$AT$1266,0))</f>
        <v/>
      </c>
      <c r="CY458">
        <f>INDEX('Data_Price '!AH$2:AH$1266,MATCH(Data!$DN458,'Data_Price '!$AT$2:$AT$1266,0))</f>
        <v/>
      </c>
      <c r="CZ458">
        <f>INDEX('Data_Price '!AI$2:AI$1266,MATCH(Data!$DN458,'Data_Price '!$AT$2:$AT$1266,0))</f>
        <v/>
      </c>
      <c r="DA458">
        <f>INDEX('Data_Price '!AJ$2:AJ$1266,MATCH(Data!$DN458,'Data_Price '!$AT$2:$AT$1266,0))</f>
        <v/>
      </c>
      <c r="DB458">
        <f>INDEX('Data_Price '!AK$2:AK$1266,MATCH(Data!$DN458,'Data_Price '!$AT$2:$AT$1266,0))</f>
        <v/>
      </c>
      <c r="DC458">
        <f>INDEX('Data_Price '!AL$2:AL$1266,MATCH(Data!$DN458,'Data_Price '!$AT$2:$AT$1266,0))</f>
        <v/>
      </c>
      <c r="DD458">
        <f>INDEX('Data_Price '!AM$2:AM$1266,MATCH(Data!$DN458,'Data_Price '!$AT$2:$AT$1266,0))</f>
        <v/>
      </c>
      <c r="DE458">
        <f>INDEX('Data_Price '!AN$2:AN$1266,MATCH(Data!$DN458,'Data_Price '!$AT$2:$AT$1266,0))</f>
        <v/>
      </c>
      <c r="DF458">
        <f>INDEX('Data_Price '!AO$2:AO$1266,MATCH(Data!$DN458,'Data_Price '!$AT$2:$AT$1266,0))</f>
        <v/>
      </c>
      <c r="DG458">
        <f>INDEX('Data_Price '!AP$2:AP$1266,MATCH(Data!$DN458,'Data_Price '!$AT$2:$AT$1266,0))</f>
        <v/>
      </c>
      <c r="DH458">
        <f>INDEX('Data_Price '!AQ$2:AQ$1266,MATCH(Data!$DN458,'Data_Price '!$AT$2:$AT$1266,0))</f>
        <v/>
      </c>
      <c r="DI458">
        <f>INDEX('Data_Price '!AR$2:AR$1266,MATCH(Data!$DN458,'Data_Price '!$AT$2:$AT$1266,0))</f>
        <v/>
      </c>
      <c r="DJ458" s="138">
        <f>DA458</f>
        <v/>
      </c>
      <c r="DK458" s="138">
        <f>DE458</f>
        <v/>
      </c>
      <c r="DL458" s="138">
        <f>DI458</f>
        <v/>
      </c>
      <c r="DM458" s="303">
        <f>IF(LEFT(BT458,1)=" ",RIGHT(BT458,LEN(BT458)-1),BT458)</f>
        <v/>
      </c>
      <c r="DN458" s="138">
        <f>_xlfn.CONCAT(BS458,DM458,BU458,BV458)</f>
        <v/>
      </c>
      <c r="DO458" s="307" t="n"/>
    </row>
    <row r="459" ht="15.6" customHeight="1" s="184">
      <c r="B459" s="303">
        <f t="array" ref="B459">IF(OR(ISERROR(K459:P459)),FALSE,TRUE)</f>
        <v/>
      </c>
      <c r="C459" s="60">
        <f>OR(BR459=Driver!$G$50,Data!BR223=Driver!$H$50)</f>
        <v/>
      </c>
      <c r="D459" s="60">
        <f>OR(BV459=Driver!$G$51,BV459=Driver!$H$51)</f>
        <v/>
      </c>
      <c r="E459" s="60">
        <f>AND(BX459&gt;Driver!$F$54,BX459&lt;Driver!$G$54)</f>
        <v/>
      </c>
      <c r="F459" s="60">
        <f>CL459&gt;Driver!$F$56</f>
        <v/>
      </c>
      <c r="G459" s="60">
        <f>AND(CB459&gt;Driver!$F$55,CB459&lt;Driver!$G$55)</f>
        <v/>
      </c>
      <c r="H459" s="60">
        <f>AND(B459:G459)</f>
        <v/>
      </c>
      <c r="I459" s="60">
        <f>COUNTIFS($H$9:$H$1273,TRUE,$BT$9:$BT$1273,BT459)</f>
        <v/>
      </c>
      <c r="J459" s="60">
        <f t="array" ref="J459">NOT(OR(($H$9:$H$1273=TRUE)*($I$9:$I$1273&gt;0)*($BT$9:$BT$1273=BT459)*($K$9:$K$1273&gt;K459)))</f>
        <v/>
      </c>
      <c r="K459" s="108">
        <f>IFERROR(1-AVERAGE(X459:Y459),"")</f>
        <v/>
      </c>
      <c r="L459" s="108">
        <f>1-X459</f>
        <v/>
      </c>
      <c r="M459" s="108">
        <f>1-Y459</f>
        <v/>
      </c>
      <c r="N459" s="108">
        <f>1-Z459</f>
        <v/>
      </c>
      <c r="O459" s="108">
        <f>1-AA459</f>
        <v/>
      </c>
      <c r="P459" s="108">
        <f>1-AB459</f>
        <v/>
      </c>
      <c r="Q459" s="108" t="n"/>
      <c r="R459" s="108" t="n"/>
      <c r="S459" s="108">
        <f>1-AE459</f>
        <v/>
      </c>
      <c r="T459" s="108">
        <f>1-AF459</f>
        <v/>
      </c>
      <c r="U459" s="108">
        <f>1-AG459</f>
        <v/>
      </c>
      <c r="V459" s="108">
        <f>1-AH459</f>
        <v/>
      </c>
      <c r="W459" s="108">
        <f>1-AI459</f>
        <v/>
      </c>
      <c r="X459" s="108">
        <f>ABS(AJ459-AJ$1)</f>
        <v/>
      </c>
      <c r="Y459" s="108">
        <f>AVERAGE(Z459:AB459)</f>
        <v/>
      </c>
      <c r="Z459" s="108">
        <f>ABS(AL459-AL$1)</f>
        <v/>
      </c>
      <c r="AA459" s="108">
        <f>ABS(AM459-AM$1)</f>
        <v/>
      </c>
      <c r="AB459" s="108">
        <f>ABS(AN459-AN$1)</f>
        <v/>
      </c>
      <c r="AC459" s="108" t="n"/>
      <c r="AD459" s="108" t="n"/>
      <c r="AE459" s="108">
        <f>ABS(AQ$1-AQ459)</f>
        <v/>
      </c>
      <c r="AF459" s="108">
        <f>ABS(AR$1-AR459)</f>
        <v/>
      </c>
      <c r="AG459" s="108">
        <f>ABS(AS$1-AS459)</f>
        <v/>
      </c>
      <c r="AH459" s="108">
        <f>ABS(AT$1-AT459)</f>
        <v/>
      </c>
      <c r="AI459" s="108">
        <f>ABS(AU$1-AU459)</f>
        <v/>
      </c>
      <c r="AJ459" s="108">
        <f>(AV459-Driver!$K$179)/(Driver!$L$179-Driver!$K$179)</f>
        <v/>
      </c>
      <c r="AK459" s="108">
        <f>(AW459-Driver!$K$180)/(Driver!$L$180-Driver!$K$180)</f>
        <v/>
      </c>
      <c r="AL459" s="108">
        <f>(AX459-Driver!$K$181)/(Driver!$L$181-Driver!$K$181)</f>
        <v/>
      </c>
      <c r="AM459" s="108">
        <f>(AY459-Driver!$K$182)/(Driver!$L$182-Driver!$K$182)</f>
        <v/>
      </c>
      <c r="AN459" s="108">
        <f>(AZ459-Driver!$K$183)/(Driver!$L$183-Driver!$K$183)</f>
        <v/>
      </c>
      <c r="AO459" s="108" t="n"/>
      <c r="AP459" s="108" t="n"/>
      <c r="AQ459" s="108">
        <f>(BC459-Driver!$K$188)/(Driver!$L$188-Driver!$K$188)</f>
        <v/>
      </c>
      <c r="AR459" s="108">
        <f>MIN((BD459-Driver!$K$189)/(Driver!$L$189-Driver!$K$189),100%)</f>
        <v/>
      </c>
      <c r="AS459" s="108">
        <f>(BE459-Driver!$K$190)/(Driver!$L$190-Driver!$K$190)</f>
        <v/>
      </c>
      <c r="AT459" s="108">
        <f>(BF459-Driver!$K$191)/(Driver!$L$191-Driver!$K$191)</f>
        <v/>
      </c>
      <c r="AU459" s="108">
        <f>(BG459-Driver!$K$192)/(Driver!$L$192-Driver!$K$192)</f>
        <v/>
      </c>
      <c r="AV459" s="105">
        <f>IFERROR(BM459*BJ459^1/4,"")</f>
        <v/>
      </c>
      <c r="AW459" s="105">
        <f>IFERROR(SUM(AX459:AZ459),"")</f>
        <v/>
      </c>
      <c r="AX459" s="105">
        <f>IFERROR(BH459,"")</f>
        <v/>
      </c>
      <c r="AY459" s="105">
        <f>IFERROR(Driver!$K$19/Data!BH459/Data!BI459*Data!BK459*Data!BL459,"")</f>
        <v/>
      </c>
      <c r="AZ459" s="105">
        <f>IFERROR(BI459*BN459,"")</f>
        <v/>
      </c>
      <c r="BA459" s="105" t="n"/>
      <c r="BB459" s="105" t="n"/>
      <c r="BC459" s="105">
        <f>IFERROR(BI459*BN459*BK459/BJ459^(1/2),"")</f>
        <v/>
      </c>
      <c r="BD459" s="105">
        <f>IFERROR(BH459*BM459*BL459/BJ459/BK459,"")</f>
        <v/>
      </c>
      <c r="BE459" s="105">
        <f>IFERROR(MIN(BI459/BQ459/BP459/BO459/BH459,$BE$1),"")</f>
        <v/>
      </c>
      <c r="BF459" s="105">
        <f>IFERROR(BJ459*BO459*BP459/BK459,"")</f>
        <v/>
      </c>
      <c r="BG459" s="105">
        <f>IFERROR(1/BM459/BH459*BQ459,"")</f>
        <v/>
      </c>
      <c r="BH459" s="102">
        <f>MAX((CE459-Driver!$F$200)/(Driver!$G$200-Driver!$F$200)*$BI$1,1)</f>
        <v/>
      </c>
      <c r="BI459" s="102">
        <f>MAX($BI$1*(BY459-Driver!$F$201)/(Driver!$G$201-Driver!$F$201),1)</f>
        <v/>
      </c>
      <c r="BJ459" s="102">
        <f>(CB459-Driver!$F$206)/(Driver!$G$206-Driver!$F$206)*$BI$1</f>
        <v/>
      </c>
      <c r="BK459" s="102">
        <f>(CD459-Driver!$F$203)/(Driver!$G$203-Driver!$F$203)*$BI$1</f>
        <v/>
      </c>
      <c r="BL459" s="102">
        <f>MAX((CR459-Driver!$F$202)/(Driver!$G$202-Driver!$F$202)*$BI$1,1)</f>
        <v/>
      </c>
      <c r="BM459" s="102">
        <f>MAX((CH459-Driver!$F$204)/(Driver!$G$204-Driver!$F$204)*$BI$1,1)</f>
        <v/>
      </c>
      <c r="BN459" s="102">
        <f>(CI459-Driver!$F$205)/(Driver!$G$205-Driver!$F$205)*$BI$1</f>
        <v/>
      </c>
      <c r="BO459" s="102">
        <f>(CK459-Driver!$F$207)/(Driver!$G$207-Driver!$F$207)*$BI$1</f>
        <v/>
      </c>
      <c r="BP459" s="102">
        <f>(CM459-Driver!$F$208)/(Driver!$G$208-Driver!$F$208)*$BI$1</f>
        <v/>
      </c>
      <c r="BQ459" s="102">
        <f>(CL459-Driver!$F$209)/(Driver!$G$209-Driver!$F$209)*$BI$1</f>
        <v/>
      </c>
      <c r="BR459" s="40" t="inlineStr">
        <is>
          <t>21/22</t>
        </is>
      </c>
      <c r="BS459" s="10" t="inlineStr">
        <is>
          <t xml:space="preserve"> Black Crows</t>
        </is>
      </c>
      <c r="BT459" s="11" t="inlineStr">
        <is>
          <t xml:space="preserve"> Divus</t>
        </is>
      </c>
      <c r="BU459" s="13" t="n">
        <v>177.3</v>
      </c>
      <c r="BV459" s="11" t="inlineStr">
        <is>
          <t xml:space="preserve"> Unisex</t>
        </is>
      </c>
      <c r="BW459" s="13" t="n">
        <v>177.3</v>
      </c>
      <c r="BX459" s="13" t="n">
        <v>176.1</v>
      </c>
      <c r="BY459" s="13" t="n">
        <v>137</v>
      </c>
      <c r="BZ459" s="13" t="n">
        <v>156</v>
      </c>
      <c r="CA459" s="13" t="n">
        <v>123</v>
      </c>
      <c r="CB459" s="13" t="n">
        <v>81</v>
      </c>
      <c r="CC459" s="13" t="n">
        <v>109</v>
      </c>
      <c r="CD459" s="13" t="n">
        <v>17</v>
      </c>
      <c r="CE459" s="13" t="n">
        <v>1748</v>
      </c>
      <c r="CF459" s="13" t="n">
        <v>0.95</v>
      </c>
      <c r="CG459" s="13" t="n">
        <v>1660</v>
      </c>
      <c r="CH459" s="13" t="n">
        <v>203</v>
      </c>
      <c r="CI459" s="13" t="n">
        <v>106</v>
      </c>
      <c r="CJ459" s="13" t="n">
        <v>42</v>
      </c>
      <c r="CK459" s="13" t="n">
        <v>237</v>
      </c>
      <c r="CL459" s="13" t="n">
        <v>17</v>
      </c>
      <c r="CM459" s="13" t="n">
        <v>152</v>
      </c>
      <c r="CN459" s="13" t="n">
        <v>0.4</v>
      </c>
      <c r="CO459" s="13" t="n">
        <v>112</v>
      </c>
      <c r="CP459" s="13" t="n">
        <v>87</v>
      </c>
      <c r="CQ459" s="13" t="n">
        <v>125</v>
      </c>
      <c r="CR459" s="13" t="n">
        <v>7</v>
      </c>
      <c r="CS459" s="13" t="n">
        <v>10.2</v>
      </c>
      <c r="CT459" s="11" t="inlineStr">
        <is>
          <t xml:space="preserve"> On-Piste All-Mountain</t>
        </is>
      </c>
      <c r="CU459" s="11" t="inlineStr">
        <is>
          <t xml:space="preserve"> Resort Freeride</t>
        </is>
      </c>
      <c r="CV459" s="13" t="n"/>
      <c r="CW459" s="13" t="n"/>
      <c r="CX459">
        <f>INDEX('Data_Price '!AG$2:AG$1266,MATCH(Data!$DN459,'Data_Price '!$AT$2:$AT$1266,0))</f>
        <v/>
      </c>
      <c r="CY459">
        <f>INDEX('Data_Price '!AH$2:AH$1266,MATCH(Data!$DN459,'Data_Price '!$AT$2:$AT$1266,0))</f>
        <v/>
      </c>
      <c r="CZ459">
        <f>INDEX('Data_Price '!AI$2:AI$1266,MATCH(Data!$DN459,'Data_Price '!$AT$2:$AT$1266,0))</f>
        <v/>
      </c>
      <c r="DA459">
        <f>INDEX('Data_Price '!AJ$2:AJ$1266,MATCH(Data!$DN459,'Data_Price '!$AT$2:$AT$1266,0))</f>
        <v/>
      </c>
      <c r="DB459">
        <f>INDEX('Data_Price '!AK$2:AK$1266,MATCH(Data!$DN459,'Data_Price '!$AT$2:$AT$1266,0))</f>
        <v/>
      </c>
      <c r="DC459">
        <f>INDEX('Data_Price '!AL$2:AL$1266,MATCH(Data!$DN459,'Data_Price '!$AT$2:$AT$1266,0))</f>
        <v/>
      </c>
      <c r="DD459">
        <f>INDEX('Data_Price '!AM$2:AM$1266,MATCH(Data!$DN459,'Data_Price '!$AT$2:$AT$1266,0))</f>
        <v/>
      </c>
      <c r="DE459">
        <f>INDEX('Data_Price '!AN$2:AN$1266,MATCH(Data!$DN459,'Data_Price '!$AT$2:$AT$1266,0))</f>
        <v/>
      </c>
      <c r="DF459">
        <f>INDEX('Data_Price '!AO$2:AO$1266,MATCH(Data!$DN459,'Data_Price '!$AT$2:$AT$1266,0))</f>
        <v/>
      </c>
      <c r="DG459">
        <f>INDEX('Data_Price '!AP$2:AP$1266,MATCH(Data!$DN459,'Data_Price '!$AT$2:$AT$1266,0))</f>
        <v/>
      </c>
      <c r="DH459">
        <f>INDEX('Data_Price '!AQ$2:AQ$1266,MATCH(Data!$DN459,'Data_Price '!$AT$2:$AT$1266,0))</f>
        <v/>
      </c>
      <c r="DI459">
        <f>INDEX('Data_Price '!AR$2:AR$1266,MATCH(Data!$DN459,'Data_Price '!$AT$2:$AT$1266,0))</f>
        <v/>
      </c>
      <c r="DJ459" s="138">
        <f>DA459</f>
        <v/>
      </c>
      <c r="DK459" s="138">
        <f>DE459</f>
        <v/>
      </c>
      <c r="DL459" s="138">
        <f>DI459</f>
        <v/>
      </c>
      <c r="DM459" s="303">
        <f>IF(LEFT(BT459,1)=" ",RIGHT(BT459,LEN(BT459)-1),BT459)</f>
        <v/>
      </c>
      <c r="DN459" s="138">
        <f>_xlfn.CONCAT(BS459,DM459,BU459,BV459)</f>
        <v/>
      </c>
      <c r="DO459" s="307" t="inlineStr">
        <is>
          <t>https://images.evo.com/imgp/250/164647/709941/clone.jpg</t>
        </is>
      </c>
    </row>
    <row r="460" ht="15.6" customHeight="1" s="184">
      <c r="B460" s="303">
        <f t="array" ref="B460">IF(OR(ISERROR(K460:P460)),FALSE,TRUE)</f>
        <v/>
      </c>
      <c r="C460" s="60">
        <f>OR(BR460=Driver!$G$50,Data!BR169=Driver!$H$50)</f>
        <v/>
      </c>
      <c r="D460" s="60">
        <f>OR(BV460=Driver!$G$51,BV460=Driver!$H$51)</f>
        <v/>
      </c>
      <c r="E460" s="60">
        <f>AND(BX460&gt;Driver!$F$54,BX460&lt;Driver!$G$54)</f>
        <v/>
      </c>
      <c r="F460" s="60">
        <f>CL460&gt;Driver!$F$56</f>
        <v/>
      </c>
      <c r="G460" s="60">
        <f>AND(CB460&gt;Driver!$F$55,CB460&lt;Driver!$G$55)</f>
        <v/>
      </c>
      <c r="H460" s="60">
        <f>AND(B460:G460)</f>
        <v/>
      </c>
      <c r="I460" s="60">
        <f>COUNTIFS($H$9:$H$1273,TRUE,$BT$9:$BT$1273,BT460)</f>
        <v/>
      </c>
      <c r="J460" s="60">
        <f t="array" ref="J460">NOT(OR(($H$9:$H$1273=TRUE)*($I$9:$I$1273&gt;0)*($BT$9:$BT$1273=BT460)*($K$9:$K$1273&gt;K460)))</f>
        <v/>
      </c>
      <c r="K460" s="108">
        <f>IFERROR(1-AVERAGE(X460:Y460),"")</f>
        <v/>
      </c>
      <c r="L460" s="108">
        <f>1-X460</f>
        <v/>
      </c>
      <c r="M460" s="108">
        <f>1-Y460</f>
        <v/>
      </c>
      <c r="N460" s="108">
        <f>1-Z460</f>
        <v/>
      </c>
      <c r="O460" s="108">
        <f>1-AA460</f>
        <v/>
      </c>
      <c r="P460" s="108">
        <f>1-AB460</f>
        <v/>
      </c>
      <c r="Q460" s="108" t="n"/>
      <c r="R460" s="108" t="n"/>
      <c r="S460" s="108">
        <f>1-AE460</f>
        <v/>
      </c>
      <c r="T460" s="108">
        <f>1-AF460</f>
        <v/>
      </c>
      <c r="U460" s="108">
        <f>1-AG460</f>
        <v/>
      </c>
      <c r="V460" s="108">
        <f>1-AH460</f>
        <v/>
      </c>
      <c r="W460" s="108">
        <f>1-AI460</f>
        <v/>
      </c>
      <c r="X460" s="108">
        <f>ABS(AJ460-AJ$1)</f>
        <v/>
      </c>
      <c r="Y460" s="108">
        <f>AVERAGE(Z460:AB460)</f>
        <v/>
      </c>
      <c r="Z460" s="108">
        <f>ABS(AL460-AL$1)</f>
        <v/>
      </c>
      <c r="AA460" s="108">
        <f>ABS(AM460-AM$1)</f>
        <v/>
      </c>
      <c r="AB460" s="108">
        <f>ABS(AN460-AN$1)</f>
        <v/>
      </c>
      <c r="AC460" s="108" t="n"/>
      <c r="AD460" s="108" t="n"/>
      <c r="AE460" s="108">
        <f>ABS(AQ$1-AQ460)</f>
        <v/>
      </c>
      <c r="AF460" s="108">
        <f>ABS(AR$1-AR460)</f>
        <v/>
      </c>
      <c r="AG460" s="108">
        <f>ABS(AS$1-AS460)</f>
        <v/>
      </c>
      <c r="AH460" s="108">
        <f>ABS(AT$1-AT460)</f>
        <v/>
      </c>
      <c r="AI460" s="108">
        <f>ABS(AU$1-AU460)</f>
        <v/>
      </c>
      <c r="AJ460" s="108">
        <f>(AV460-Driver!$K$179)/(Driver!$L$179-Driver!$K$179)</f>
        <v/>
      </c>
      <c r="AK460" s="108">
        <f>(AW460-Driver!$K$180)/(Driver!$L$180-Driver!$K$180)</f>
        <v/>
      </c>
      <c r="AL460" s="108">
        <f>(AX460-Driver!$K$181)/(Driver!$L$181-Driver!$K$181)</f>
        <v/>
      </c>
      <c r="AM460" s="108">
        <f>(AY460-Driver!$K$182)/(Driver!$L$182-Driver!$K$182)</f>
        <v/>
      </c>
      <c r="AN460" s="108">
        <f>(AZ460-Driver!$K$183)/(Driver!$L$183-Driver!$K$183)</f>
        <v/>
      </c>
      <c r="AO460" s="108" t="n"/>
      <c r="AP460" s="108" t="n"/>
      <c r="AQ460" s="108">
        <f>(BC460-Driver!$K$188)/(Driver!$L$188-Driver!$K$188)</f>
        <v/>
      </c>
      <c r="AR460" s="108">
        <f>MIN((BD460-Driver!$K$189)/(Driver!$L$189-Driver!$K$189),100%)</f>
        <v/>
      </c>
      <c r="AS460" s="108">
        <f>(BE460-Driver!$K$190)/(Driver!$L$190-Driver!$K$190)</f>
        <v/>
      </c>
      <c r="AT460" s="108">
        <f>(BF460-Driver!$K$191)/(Driver!$L$191-Driver!$K$191)</f>
        <v/>
      </c>
      <c r="AU460" s="108">
        <f>(BG460-Driver!$K$192)/(Driver!$L$192-Driver!$K$192)</f>
        <v/>
      </c>
      <c r="AV460" s="105">
        <f>IFERROR(BM460*BJ460^1/4,"")</f>
        <v/>
      </c>
      <c r="AW460" s="105">
        <f>IFERROR(SUM(AX460:AZ460),"")</f>
        <v/>
      </c>
      <c r="AX460" s="105">
        <f>IFERROR(BH460,"")</f>
        <v/>
      </c>
      <c r="AY460" s="105">
        <f>IFERROR(Driver!$K$19/Data!BH460/Data!BI460*Data!BK460*Data!BL460,"")</f>
        <v/>
      </c>
      <c r="AZ460" s="105">
        <f>IFERROR(BI460*BN460,"")</f>
        <v/>
      </c>
      <c r="BA460" s="105" t="n"/>
      <c r="BB460" s="105" t="n"/>
      <c r="BC460" s="105">
        <f>IFERROR(BI460*BN460*BK460/BJ460^(1/2),"")</f>
        <v/>
      </c>
      <c r="BD460" s="105">
        <f>IFERROR(BH460*BM460*BL460/BJ460/BK460,"")</f>
        <v/>
      </c>
      <c r="BE460" s="105">
        <f>IFERROR(MIN(BI460/BQ460/BP460/BO460/BH460,$BE$1),"")</f>
        <v/>
      </c>
      <c r="BF460" s="105">
        <f>IFERROR(BJ460*BO460*BP460/BK460,"")</f>
        <v/>
      </c>
      <c r="BG460" s="105">
        <f>IFERROR(1/BM460/BH460*BQ460,"")</f>
        <v/>
      </c>
      <c r="BH460" s="102">
        <f>MAX((CE460-Driver!$F$200)/(Driver!$G$200-Driver!$F$200)*$BI$1,1)</f>
        <v/>
      </c>
      <c r="BI460" s="102">
        <f>MAX($BI$1*(BY460-Driver!$F$201)/(Driver!$G$201-Driver!$F$201),1)</f>
        <v/>
      </c>
      <c r="BJ460" s="102">
        <f>(CB460-Driver!$F$206)/(Driver!$G$206-Driver!$F$206)*$BI$1</f>
        <v/>
      </c>
      <c r="BK460" s="102">
        <f>(CD460-Driver!$F$203)/(Driver!$G$203-Driver!$F$203)*$BI$1</f>
        <v/>
      </c>
      <c r="BL460" s="102">
        <f>MAX((CR460-Driver!$F$202)/(Driver!$G$202-Driver!$F$202)*$BI$1,1)</f>
        <v/>
      </c>
      <c r="BM460" s="102">
        <f>MAX((CH460-Driver!$F$204)/(Driver!$G$204-Driver!$F$204)*$BI$1,1)</f>
        <v/>
      </c>
      <c r="BN460" s="102">
        <f>(CI460-Driver!$F$205)/(Driver!$G$205-Driver!$F$205)*$BI$1</f>
        <v/>
      </c>
      <c r="BO460" s="102">
        <f>(CK460-Driver!$F$207)/(Driver!$G$207-Driver!$F$207)*$BI$1</f>
        <v/>
      </c>
      <c r="BP460" s="102">
        <f>(CM460-Driver!$F$208)/(Driver!$G$208-Driver!$F$208)*$BI$1</f>
        <v/>
      </c>
      <c r="BQ460" s="102">
        <f>(CL460-Driver!$F$209)/(Driver!$G$209-Driver!$F$209)*$BI$1</f>
        <v/>
      </c>
      <c r="BR460" s="40" t="inlineStr">
        <is>
          <t>21/22</t>
        </is>
      </c>
      <c r="BS460" s="10" t="inlineStr">
        <is>
          <t xml:space="preserve"> Atomic</t>
        </is>
      </c>
      <c r="BT460" s="11" t="inlineStr">
        <is>
          <t>Maverick 95 Ti</t>
        </is>
      </c>
      <c r="BU460" s="13" t="n">
        <v>164</v>
      </c>
      <c r="BV460" s="11" t="inlineStr">
        <is>
          <t xml:space="preserve"> Unisex</t>
        </is>
      </c>
      <c r="BW460" s="13" t="n">
        <v>164</v>
      </c>
      <c r="BX460" s="13" t="n">
        <v>163.1</v>
      </c>
      <c r="BY460" s="13" t="n">
        <v>116</v>
      </c>
      <c r="BZ460" s="13" t="n">
        <v>132</v>
      </c>
      <c r="CA460" s="13" t="n">
        <v>125</v>
      </c>
      <c r="CB460" s="13" t="n">
        <v>92</v>
      </c>
      <c r="CC460" s="13" t="n">
        <v>109</v>
      </c>
      <c r="CD460" s="13" t="n">
        <v>16.4</v>
      </c>
      <c r="CE460" s="13" t="n">
        <v>1566</v>
      </c>
      <c r="CF460" s="13" t="n">
        <v>1.06</v>
      </c>
      <c r="CG460" s="13" t="n">
        <v>1663</v>
      </c>
      <c r="CH460" s="13" t="n">
        <v>169</v>
      </c>
      <c r="CI460" s="13" t="n">
        <v>131</v>
      </c>
      <c r="CJ460" s="13" t="n">
        <v>53</v>
      </c>
      <c r="CK460" s="13" t="n">
        <v>288</v>
      </c>
      <c r="CL460" s="13" t="n">
        <v>13</v>
      </c>
      <c r="CM460" s="13" t="n">
        <v>183</v>
      </c>
      <c r="CN460" s="13" t="n">
        <v>0.253</v>
      </c>
      <c r="CO460" s="13" t="n">
        <v>173</v>
      </c>
      <c r="CP460" s="13" t="n">
        <v>140</v>
      </c>
      <c r="CQ460" s="13" t="n">
        <v>115</v>
      </c>
      <c r="CR460" s="13" t="n">
        <v>6</v>
      </c>
      <c r="CS460" s="13" t="n">
        <v>9.300000000000001</v>
      </c>
      <c r="CT460" s="11" t="inlineStr">
        <is>
          <t xml:space="preserve"> Resort Freeride</t>
        </is>
      </c>
      <c r="CU460" s="11" t="inlineStr">
        <is>
          <t xml:space="preserve"> Touring</t>
        </is>
      </c>
      <c r="CV460" s="13" t="n"/>
      <c r="CW460" s="13" t="n"/>
      <c r="CX460">
        <f>INDEX('Data_Price '!AG$2:AG$1266,MATCH(Data!$DN460,'Data_Price '!$AT$2:$AT$1266,0))</f>
        <v/>
      </c>
      <c r="CY460">
        <f>INDEX('Data_Price '!AH$2:AH$1266,MATCH(Data!$DN460,'Data_Price '!$AT$2:$AT$1266,0))</f>
        <v/>
      </c>
      <c r="CZ460">
        <f>INDEX('Data_Price '!AI$2:AI$1266,MATCH(Data!$DN460,'Data_Price '!$AT$2:$AT$1266,0))</f>
        <v/>
      </c>
      <c r="DA460">
        <f>INDEX('Data_Price '!AJ$2:AJ$1266,MATCH(Data!$DN460,'Data_Price '!$AT$2:$AT$1266,0))</f>
        <v/>
      </c>
      <c r="DB460">
        <f>INDEX('Data_Price '!AK$2:AK$1266,MATCH(Data!$DN460,'Data_Price '!$AT$2:$AT$1266,0))</f>
        <v/>
      </c>
      <c r="DC460">
        <f>INDEX('Data_Price '!AL$2:AL$1266,MATCH(Data!$DN460,'Data_Price '!$AT$2:$AT$1266,0))</f>
        <v/>
      </c>
      <c r="DD460">
        <f>INDEX('Data_Price '!AM$2:AM$1266,MATCH(Data!$DN460,'Data_Price '!$AT$2:$AT$1266,0))</f>
        <v/>
      </c>
      <c r="DE460">
        <f>INDEX('Data_Price '!AN$2:AN$1266,MATCH(Data!$DN460,'Data_Price '!$AT$2:$AT$1266,0))</f>
        <v/>
      </c>
      <c r="DF460">
        <f>INDEX('Data_Price '!AO$2:AO$1266,MATCH(Data!$DN460,'Data_Price '!$AT$2:$AT$1266,0))</f>
        <v/>
      </c>
      <c r="DG460">
        <f>INDEX('Data_Price '!AP$2:AP$1266,MATCH(Data!$DN460,'Data_Price '!$AT$2:$AT$1266,0))</f>
        <v/>
      </c>
      <c r="DH460">
        <f>INDEX('Data_Price '!AQ$2:AQ$1266,MATCH(Data!$DN460,'Data_Price '!$AT$2:$AT$1266,0))</f>
        <v/>
      </c>
      <c r="DI460">
        <f>INDEX('Data_Price '!AR$2:AR$1266,MATCH(Data!$DN460,'Data_Price '!$AT$2:$AT$1266,0))</f>
        <v/>
      </c>
      <c r="DJ460" s="138">
        <f>DA460</f>
        <v/>
      </c>
      <c r="DK460" s="138">
        <f>DE460</f>
        <v/>
      </c>
      <c r="DL460" s="138">
        <f>DI460</f>
        <v/>
      </c>
      <c r="DM460" s="303">
        <f>IF(LEFT(BT460,1)=" ",RIGHT(BT460,LEN(BT460)-1),BT460)</f>
        <v/>
      </c>
      <c r="DN460" s="138">
        <f>_xlfn.CONCAT(BS460,DM460,BU460,BV460)</f>
        <v/>
      </c>
      <c r="DO460" s="307" t="inlineStr">
        <is>
          <t>https://images.evo.com/imgp/250/219394/902840/atomic-maverick-95-ti-skis-2023-.jpg</t>
        </is>
      </c>
    </row>
    <row r="461" ht="15.6" customHeight="1" s="184">
      <c r="B461" s="303">
        <f t="array" ref="B461">IF(OR(ISERROR(K461:P461)),FALSE,TRUE)</f>
        <v/>
      </c>
      <c r="C461" s="60">
        <f>OR(BR461=Driver!$G$50,Data!BR493=Driver!$H$50)</f>
        <v/>
      </c>
      <c r="D461" s="60">
        <f>OR(BV461=Driver!$G$51,BV461=Driver!$H$51)</f>
        <v/>
      </c>
      <c r="E461" s="60">
        <f>AND(BX461&gt;Driver!$F$54,BX461&lt;Driver!$G$54)</f>
        <v/>
      </c>
      <c r="F461" s="60">
        <f>CL461&gt;Driver!$F$56</f>
        <v/>
      </c>
      <c r="G461" s="60">
        <f>AND(CB461&gt;Driver!$F$55,CB461&lt;Driver!$G$55)</f>
        <v/>
      </c>
      <c r="H461" s="60">
        <f>AND(B461:G461)</f>
        <v/>
      </c>
      <c r="I461" s="60">
        <f>COUNTIFS($H$9:$H$1273,TRUE,$BT$9:$BT$1273,BT461)</f>
        <v/>
      </c>
      <c r="J461" s="60">
        <f t="array" ref="J461">NOT(OR(($H$9:$H$1273=TRUE)*($I$9:$I$1273&gt;0)*($BT$9:$BT$1273=BT461)*($K$9:$K$1273&gt;K461)))</f>
        <v/>
      </c>
      <c r="K461" s="108">
        <f>IFERROR(1-AVERAGE(X461:Y461),"")</f>
        <v/>
      </c>
      <c r="L461" s="108">
        <f>1-X461</f>
        <v/>
      </c>
      <c r="M461" s="108">
        <f>1-Y461</f>
        <v/>
      </c>
      <c r="N461" s="108">
        <f>1-Z461</f>
        <v/>
      </c>
      <c r="O461" s="108">
        <f>1-AA461</f>
        <v/>
      </c>
      <c r="P461" s="108">
        <f>1-AB461</f>
        <v/>
      </c>
      <c r="Q461" s="108" t="n"/>
      <c r="R461" s="108" t="n"/>
      <c r="S461" s="108">
        <f>1-AE461</f>
        <v/>
      </c>
      <c r="T461" s="108">
        <f>1-AF461</f>
        <v/>
      </c>
      <c r="U461" s="108">
        <f>1-AG461</f>
        <v/>
      </c>
      <c r="V461" s="108">
        <f>1-AH461</f>
        <v/>
      </c>
      <c r="W461" s="108">
        <f>1-AI461</f>
        <v/>
      </c>
      <c r="X461" s="108">
        <f>ABS(AJ461-AJ$1)</f>
        <v/>
      </c>
      <c r="Y461" s="108">
        <f>AVERAGE(Z461:AB461)</f>
        <v/>
      </c>
      <c r="Z461" s="108">
        <f>ABS(AL461-AL$1)</f>
        <v/>
      </c>
      <c r="AA461" s="108">
        <f>ABS(AM461-AM$1)</f>
        <v/>
      </c>
      <c r="AB461" s="108">
        <f>ABS(AN461-AN$1)</f>
        <v/>
      </c>
      <c r="AC461" s="108" t="n"/>
      <c r="AD461" s="108" t="n"/>
      <c r="AE461" s="108">
        <f>ABS(AQ$1-AQ461)</f>
        <v/>
      </c>
      <c r="AF461" s="108">
        <f>ABS(AR$1-AR461)</f>
        <v/>
      </c>
      <c r="AG461" s="108">
        <f>ABS(AS$1-AS461)</f>
        <v/>
      </c>
      <c r="AH461" s="108">
        <f>ABS(AT$1-AT461)</f>
        <v/>
      </c>
      <c r="AI461" s="108">
        <f>ABS(AU$1-AU461)</f>
        <v/>
      </c>
      <c r="AJ461" s="108">
        <f>(AV461-Driver!$K$179)/(Driver!$L$179-Driver!$K$179)</f>
        <v/>
      </c>
      <c r="AK461" s="108">
        <f>(AW461-Driver!$K$180)/(Driver!$L$180-Driver!$K$180)</f>
        <v/>
      </c>
      <c r="AL461" s="108">
        <f>(AX461-Driver!$K$181)/(Driver!$L$181-Driver!$K$181)</f>
        <v/>
      </c>
      <c r="AM461" s="108">
        <f>(AY461-Driver!$K$182)/(Driver!$L$182-Driver!$K$182)</f>
        <v/>
      </c>
      <c r="AN461" s="108">
        <f>(AZ461-Driver!$K$183)/(Driver!$L$183-Driver!$K$183)</f>
        <v/>
      </c>
      <c r="AO461" s="108" t="n"/>
      <c r="AP461" s="108" t="n"/>
      <c r="AQ461" s="108">
        <f>(BC461-Driver!$K$188)/(Driver!$L$188-Driver!$K$188)</f>
        <v/>
      </c>
      <c r="AR461" s="108">
        <f>MIN((BD461-Driver!$K$189)/(Driver!$L$189-Driver!$K$189),100%)</f>
        <v/>
      </c>
      <c r="AS461" s="108">
        <f>(BE461-Driver!$K$190)/(Driver!$L$190-Driver!$K$190)</f>
        <v/>
      </c>
      <c r="AT461" s="108">
        <f>(BF461-Driver!$K$191)/(Driver!$L$191-Driver!$K$191)</f>
        <v/>
      </c>
      <c r="AU461" s="108">
        <f>(BG461-Driver!$K$192)/(Driver!$L$192-Driver!$K$192)</f>
        <v/>
      </c>
      <c r="AV461" s="105">
        <f>IFERROR(BM461*BJ461^1/4,"")</f>
        <v/>
      </c>
      <c r="AW461" s="105">
        <f>IFERROR(SUM(AX461:AZ461),"")</f>
        <v/>
      </c>
      <c r="AX461" s="105">
        <f>IFERROR(BH461,"")</f>
        <v/>
      </c>
      <c r="AY461" s="105">
        <f>IFERROR(Driver!$K$19/Data!BH461/Data!BI461*Data!BK461*Data!BL461,"")</f>
        <v/>
      </c>
      <c r="AZ461" s="105">
        <f>IFERROR(BI461*BN461,"")</f>
        <v/>
      </c>
      <c r="BA461" s="105" t="n"/>
      <c r="BB461" s="105" t="n"/>
      <c r="BC461" s="105">
        <f>IFERROR(BI461*BN461*BK461/BJ461^(1/2),"")</f>
        <v/>
      </c>
      <c r="BD461" s="105">
        <f>IFERROR(BH461*BM461*BL461/BJ461/BK461,"")</f>
        <v/>
      </c>
      <c r="BE461" s="105">
        <f>IFERROR(MIN(BI461/BQ461/BP461/BO461/BH461,$BE$1),"")</f>
        <v/>
      </c>
      <c r="BF461" s="105">
        <f>IFERROR(BJ461*BO461*BP461/BK461,"")</f>
        <v/>
      </c>
      <c r="BG461" s="105">
        <f>IFERROR(1/BM461/BH461*BQ461,"")</f>
        <v/>
      </c>
      <c r="BH461" s="102">
        <f>MAX((CE461-Driver!$F$200)/(Driver!$G$200-Driver!$F$200)*$BI$1,1)</f>
        <v/>
      </c>
      <c r="BI461" s="102">
        <f>MAX($BI$1*(BY461-Driver!$F$201)/(Driver!$G$201-Driver!$F$201),1)</f>
        <v/>
      </c>
      <c r="BJ461" s="102">
        <f>(CB461-Driver!$F$206)/(Driver!$G$206-Driver!$F$206)*$BI$1</f>
        <v/>
      </c>
      <c r="BK461" s="102">
        <f>(CD461-Driver!$F$203)/(Driver!$G$203-Driver!$F$203)*$BI$1</f>
        <v/>
      </c>
      <c r="BL461" s="102">
        <f>MAX((CR461-Driver!$F$202)/(Driver!$G$202-Driver!$F$202)*$BI$1,1)</f>
        <v/>
      </c>
      <c r="BM461" s="102">
        <f>MAX((CH461-Driver!$F$204)/(Driver!$G$204-Driver!$F$204)*$BI$1,1)</f>
        <v/>
      </c>
      <c r="BN461" s="102">
        <f>(CI461-Driver!$F$205)/(Driver!$G$205-Driver!$F$205)*$BI$1</f>
        <v/>
      </c>
      <c r="BO461" s="102">
        <f>(CK461-Driver!$F$207)/(Driver!$G$207-Driver!$F$207)*$BI$1</f>
        <v/>
      </c>
      <c r="BP461" s="102">
        <f>(CM461-Driver!$F$208)/(Driver!$G$208-Driver!$F$208)*$BI$1</f>
        <v/>
      </c>
      <c r="BQ461" s="102">
        <f>(CL461-Driver!$F$209)/(Driver!$G$209-Driver!$F$209)*$BI$1</f>
        <v/>
      </c>
      <c r="BR461" s="40" t="inlineStr">
        <is>
          <t>21/22</t>
        </is>
      </c>
      <c r="BS461" s="10" t="inlineStr">
        <is>
          <t xml:space="preserve"> Faction</t>
        </is>
      </c>
      <c r="BT461" s="11" t="inlineStr">
        <is>
          <t>Agent 2.0 X</t>
        </is>
      </c>
      <c r="BU461" s="13" t="n">
        <v>171</v>
      </c>
      <c r="BV461" s="11" t="inlineStr">
        <is>
          <t xml:space="preserve"> Women's</t>
        </is>
      </c>
      <c r="BW461" s="13" t="n">
        <v>171</v>
      </c>
      <c r="BX461" s="13" t="n">
        <v>153.3</v>
      </c>
      <c r="BY461" s="13" t="n">
        <v>115</v>
      </c>
      <c r="BZ461" s="13" t="n">
        <v>127</v>
      </c>
      <c r="CA461" s="13" t="n">
        <v>126</v>
      </c>
      <c r="CB461" s="13" t="n">
        <v>95</v>
      </c>
      <c r="CC461" s="13" t="n">
        <v>116</v>
      </c>
      <c r="CD461" s="13" t="n">
        <v>13.9</v>
      </c>
      <c r="CE461" s="13" t="n">
        <v>1641</v>
      </c>
      <c r="CF461" s="13" t="n">
        <v>0.99</v>
      </c>
      <c r="CG461" s="13" t="n">
        <v>1623</v>
      </c>
      <c r="CH461" s="13" t="n">
        <v>162</v>
      </c>
      <c r="CI461" s="13" t="n">
        <v>84</v>
      </c>
      <c r="CJ461" s="13" t="n">
        <v>52</v>
      </c>
      <c r="CK461" s="13" t="n">
        <v>229</v>
      </c>
      <c r="CL461" s="13" t="n">
        <v>21</v>
      </c>
      <c r="CM461" s="13" t="n">
        <v>155</v>
      </c>
      <c r="CN461" s="13" t="n">
        <v>0.392</v>
      </c>
      <c r="CO461" s="13" t="n">
        <v>172</v>
      </c>
      <c r="CP461" s="13" t="n">
        <v>92</v>
      </c>
      <c r="CQ461" s="13" t="n">
        <v>57</v>
      </c>
      <c r="CR461" s="13" t="n">
        <v>7</v>
      </c>
      <c r="CS461" s="13" t="n">
        <v>10.6</v>
      </c>
      <c r="CT461" s="11" t="inlineStr">
        <is>
          <t xml:space="preserve"> Resort Freeride</t>
        </is>
      </c>
      <c r="CU461" s="13" t="n"/>
      <c r="CV461" s="13" t="n"/>
      <c r="CW461" s="13" t="n"/>
      <c r="CX461">
        <f>INDEX('Data_Price '!AG$2:AG$1266,MATCH(Data!$DN461,'Data_Price '!$AT$2:$AT$1266,0))</f>
        <v/>
      </c>
      <c r="CY461">
        <f>INDEX('Data_Price '!AH$2:AH$1266,MATCH(Data!$DN461,'Data_Price '!$AT$2:$AT$1266,0))</f>
        <v/>
      </c>
      <c r="CZ461">
        <f>INDEX('Data_Price '!AI$2:AI$1266,MATCH(Data!$DN461,'Data_Price '!$AT$2:$AT$1266,0))</f>
        <v/>
      </c>
      <c r="DA461">
        <f>INDEX('Data_Price '!AJ$2:AJ$1266,MATCH(Data!$DN461,'Data_Price '!$AT$2:$AT$1266,0))</f>
        <v/>
      </c>
      <c r="DB461">
        <f>INDEX('Data_Price '!AK$2:AK$1266,MATCH(Data!$DN461,'Data_Price '!$AT$2:$AT$1266,0))</f>
        <v/>
      </c>
      <c r="DC461">
        <f>INDEX('Data_Price '!AL$2:AL$1266,MATCH(Data!$DN461,'Data_Price '!$AT$2:$AT$1266,0))</f>
        <v/>
      </c>
      <c r="DD461">
        <f>INDEX('Data_Price '!AM$2:AM$1266,MATCH(Data!$DN461,'Data_Price '!$AT$2:$AT$1266,0))</f>
        <v/>
      </c>
      <c r="DE461">
        <f>INDEX('Data_Price '!AN$2:AN$1266,MATCH(Data!$DN461,'Data_Price '!$AT$2:$AT$1266,0))</f>
        <v/>
      </c>
      <c r="DF461">
        <f>INDEX('Data_Price '!AO$2:AO$1266,MATCH(Data!$DN461,'Data_Price '!$AT$2:$AT$1266,0))</f>
        <v/>
      </c>
      <c r="DG461">
        <f>INDEX('Data_Price '!AP$2:AP$1266,MATCH(Data!$DN461,'Data_Price '!$AT$2:$AT$1266,0))</f>
        <v/>
      </c>
      <c r="DH461">
        <f>INDEX('Data_Price '!AQ$2:AQ$1266,MATCH(Data!$DN461,'Data_Price '!$AT$2:$AT$1266,0))</f>
        <v/>
      </c>
      <c r="DI461">
        <f>INDEX('Data_Price '!AR$2:AR$1266,MATCH(Data!$DN461,'Data_Price '!$AT$2:$AT$1266,0))</f>
        <v/>
      </c>
      <c r="DJ461" s="138">
        <f>DA461</f>
        <v/>
      </c>
      <c r="DK461" s="138">
        <f>DE461</f>
        <v/>
      </c>
      <c r="DL461" s="138">
        <f>DI461</f>
        <v/>
      </c>
      <c r="DM461" s="303">
        <f>IF(LEFT(BT461,1)=" ",RIGHT(BT461,LEN(BT461)-1),BT461)</f>
        <v/>
      </c>
      <c r="DN461" s="138">
        <f>_xlfn.CONCAT(BS461,DM461,BU461,BV461)</f>
        <v/>
      </c>
      <c r="DO461" s="307" t="n"/>
    </row>
    <row r="462" ht="15.6" customHeight="1" s="184">
      <c r="B462" s="303">
        <f t="array" ref="B462">IF(OR(ISERROR(K462:P462)),FALSE,TRUE)</f>
        <v/>
      </c>
      <c r="C462" s="60">
        <f>OR(BR462=Driver!$G$50,Data!BR284=Driver!$H$50)</f>
        <v/>
      </c>
      <c r="D462" s="60">
        <f>OR(BV462=Driver!$G$51,BV462=Driver!$H$51)</f>
        <v/>
      </c>
      <c r="E462" s="60">
        <f>AND(BX462&gt;Driver!$F$54,BX462&lt;Driver!$G$54)</f>
        <v/>
      </c>
      <c r="F462" s="60">
        <f>CL462&gt;Driver!$F$56</f>
        <v/>
      </c>
      <c r="G462" s="60">
        <f>AND(CB462&gt;Driver!$F$55,CB462&lt;Driver!$G$55)</f>
        <v/>
      </c>
      <c r="H462" s="60">
        <f>AND(B462:G462)</f>
        <v/>
      </c>
      <c r="I462" s="60">
        <f>COUNTIFS($H$9:$H$1273,TRUE,$BT$9:$BT$1273,BT462)</f>
        <v/>
      </c>
      <c r="J462" s="60">
        <f t="array" ref="J462">NOT(OR(($H$9:$H$1273=TRUE)*($I$9:$I$1273&gt;0)*($BT$9:$BT$1273=BT462)*($K$9:$K$1273&gt;K462)))</f>
        <v/>
      </c>
      <c r="K462" s="108">
        <f>IFERROR(1-AVERAGE(X462:Y462),"")</f>
        <v/>
      </c>
      <c r="L462" s="108">
        <f>1-X462</f>
        <v/>
      </c>
      <c r="M462" s="108">
        <f>1-Y462</f>
        <v/>
      </c>
      <c r="N462" s="108">
        <f>1-Z462</f>
        <v/>
      </c>
      <c r="O462" s="108">
        <f>1-AA462</f>
        <v/>
      </c>
      <c r="P462" s="108">
        <f>1-AB462</f>
        <v/>
      </c>
      <c r="Q462" s="108" t="n"/>
      <c r="R462" s="108" t="n"/>
      <c r="S462" s="108">
        <f>1-AE462</f>
        <v/>
      </c>
      <c r="T462" s="108">
        <f>1-AF462</f>
        <v/>
      </c>
      <c r="U462" s="108">
        <f>1-AG462</f>
        <v/>
      </c>
      <c r="V462" s="108">
        <f>1-AH462</f>
        <v/>
      </c>
      <c r="W462" s="108">
        <f>1-AI462</f>
        <v/>
      </c>
      <c r="X462" s="108">
        <f>ABS(AJ462-AJ$1)</f>
        <v/>
      </c>
      <c r="Y462" s="108">
        <f>AVERAGE(Z462:AB462)</f>
        <v/>
      </c>
      <c r="Z462" s="108">
        <f>ABS(AL462-AL$1)</f>
        <v/>
      </c>
      <c r="AA462" s="108">
        <f>ABS(AM462-AM$1)</f>
        <v/>
      </c>
      <c r="AB462" s="108">
        <f>ABS(AN462-AN$1)</f>
        <v/>
      </c>
      <c r="AC462" s="108" t="n"/>
      <c r="AD462" s="108" t="n"/>
      <c r="AE462" s="108">
        <f>ABS(AQ$1-AQ462)</f>
        <v/>
      </c>
      <c r="AF462" s="108">
        <f>ABS(AR$1-AR462)</f>
        <v/>
      </c>
      <c r="AG462" s="108">
        <f>ABS(AS$1-AS462)</f>
        <v/>
      </c>
      <c r="AH462" s="108">
        <f>ABS(AT$1-AT462)</f>
        <v/>
      </c>
      <c r="AI462" s="108">
        <f>ABS(AU$1-AU462)</f>
        <v/>
      </c>
      <c r="AJ462" s="108">
        <f>(AV462-Driver!$K$179)/(Driver!$L$179-Driver!$K$179)</f>
        <v/>
      </c>
      <c r="AK462" s="108">
        <f>(AW462-Driver!$K$180)/(Driver!$L$180-Driver!$K$180)</f>
        <v/>
      </c>
      <c r="AL462" s="108">
        <f>(AX462-Driver!$K$181)/(Driver!$L$181-Driver!$K$181)</f>
        <v/>
      </c>
      <c r="AM462" s="108">
        <f>(AY462-Driver!$K$182)/(Driver!$L$182-Driver!$K$182)</f>
        <v/>
      </c>
      <c r="AN462" s="108">
        <f>(AZ462-Driver!$K$183)/(Driver!$L$183-Driver!$K$183)</f>
        <v/>
      </c>
      <c r="AO462" s="108" t="n"/>
      <c r="AP462" s="108" t="n"/>
      <c r="AQ462" s="108">
        <f>(BC462-Driver!$K$188)/(Driver!$L$188-Driver!$K$188)</f>
        <v/>
      </c>
      <c r="AR462" s="108">
        <f>MIN((BD462-Driver!$K$189)/(Driver!$L$189-Driver!$K$189),100%)</f>
        <v/>
      </c>
      <c r="AS462" s="108">
        <f>(BE462-Driver!$K$190)/(Driver!$L$190-Driver!$K$190)</f>
        <v/>
      </c>
      <c r="AT462" s="108">
        <f>(BF462-Driver!$K$191)/(Driver!$L$191-Driver!$K$191)</f>
        <v/>
      </c>
      <c r="AU462" s="108">
        <f>(BG462-Driver!$K$192)/(Driver!$L$192-Driver!$K$192)</f>
        <v/>
      </c>
      <c r="AV462" s="105">
        <f>IFERROR(BM462*BJ462^1/4,"")</f>
        <v/>
      </c>
      <c r="AW462" s="105">
        <f>IFERROR(SUM(AX462:AZ462),"")</f>
        <v/>
      </c>
      <c r="AX462" s="105">
        <f>IFERROR(BH462,"")</f>
        <v/>
      </c>
      <c r="AY462" s="105">
        <f>IFERROR(Driver!$K$19/Data!BH462/Data!BI462*Data!BK462*Data!BL462,"")</f>
        <v/>
      </c>
      <c r="AZ462" s="105">
        <f>IFERROR(BI462*BN462,"")</f>
        <v/>
      </c>
      <c r="BA462" s="105" t="n"/>
      <c r="BB462" s="105" t="n"/>
      <c r="BC462" s="105">
        <f>IFERROR(BI462*BN462*BK462/BJ462^(1/2),"")</f>
        <v/>
      </c>
      <c r="BD462" s="105">
        <f>IFERROR(BH462*BM462*BL462/BJ462/BK462,"")</f>
        <v/>
      </c>
      <c r="BE462" s="105">
        <f>IFERROR(MIN(BI462/BQ462/BP462/BO462/BH462,$BE$1),"")</f>
        <v/>
      </c>
      <c r="BF462" s="105">
        <f>IFERROR(BJ462*BO462*BP462/BK462,"")</f>
        <v/>
      </c>
      <c r="BG462" s="105">
        <f>IFERROR(1/BM462/BH462*BQ462,"")</f>
        <v/>
      </c>
      <c r="BH462" s="102">
        <f>MAX((CE462-Driver!$F$200)/(Driver!$G$200-Driver!$F$200)*$BI$1,1)</f>
        <v/>
      </c>
      <c r="BI462" s="102">
        <f>MAX($BI$1*(BY462-Driver!$F$201)/(Driver!$G$201-Driver!$F$201),1)</f>
        <v/>
      </c>
      <c r="BJ462" s="102">
        <f>(CB462-Driver!$F$206)/(Driver!$G$206-Driver!$F$206)*$BI$1</f>
        <v/>
      </c>
      <c r="BK462" s="102">
        <f>(CD462-Driver!$F$203)/(Driver!$G$203-Driver!$F$203)*$BI$1</f>
        <v/>
      </c>
      <c r="BL462" s="102">
        <f>MAX((CR462-Driver!$F$202)/(Driver!$G$202-Driver!$F$202)*$BI$1,1)</f>
        <v/>
      </c>
      <c r="BM462" s="102">
        <f>MAX((CH462-Driver!$F$204)/(Driver!$G$204-Driver!$F$204)*$BI$1,1)</f>
        <v/>
      </c>
      <c r="BN462" s="102">
        <f>(CI462-Driver!$F$205)/(Driver!$G$205-Driver!$F$205)*$BI$1</f>
        <v/>
      </c>
      <c r="BO462" s="102">
        <f>(CK462-Driver!$F$207)/(Driver!$G$207-Driver!$F$207)*$BI$1</f>
        <v/>
      </c>
      <c r="BP462" s="102">
        <f>(CM462-Driver!$F$208)/(Driver!$G$208-Driver!$F$208)*$BI$1</f>
        <v/>
      </c>
      <c r="BQ462" s="102">
        <f>(CL462-Driver!$F$209)/(Driver!$G$209-Driver!$F$209)*$BI$1</f>
        <v/>
      </c>
      <c r="BR462" s="40" t="inlineStr">
        <is>
          <t>21/22</t>
        </is>
      </c>
      <c r="BS462" s="10" t="inlineStr">
        <is>
          <t xml:space="preserve"> Blizzard</t>
        </is>
      </c>
      <c r="BT462" s="11" t="inlineStr">
        <is>
          <t>Phoenix 7.2</t>
        </is>
      </c>
      <c r="BU462" s="13" t="n">
        <v>160</v>
      </c>
      <c r="BV462" s="11" t="inlineStr">
        <is>
          <t xml:space="preserve"> Women's</t>
        </is>
      </c>
      <c r="BW462" s="13" t="n">
        <v>160</v>
      </c>
      <c r="BX462" s="13" t="n">
        <v>158.5</v>
      </c>
      <c r="BY462" s="13" t="n">
        <v>133</v>
      </c>
      <c r="BZ462" s="13" t="n">
        <v>146</v>
      </c>
      <c r="CA462" s="13" t="n">
        <v>118</v>
      </c>
      <c r="CB462" s="13" t="n">
        <v>71</v>
      </c>
      <c r="CC462" s="13" t="n">
        <v>101</v>
      </c>
      <c r="CD462" s="13" t="n">
        <v>13.8</v>
      </c>
      <c r="CE462" s="13" t="n">
        <v>1809</v>
      </c>
      <c r="CF462" s="13" t="n">
        <v>0.74</v>
      </c>
      <c r="CG462" s="13" t="n">
        <v>1346</v>
      </c>
      <c r="CH462" s="13" t="n">
        <v>227</v>
      </c>
      <c r="CI462" s="13" t="n">
        <v>89</v>
      </c>
      <c r="CJ462" s="13" t="n">
        <v>34</v>
      </c>
      <c r="CK462" s="13" t="n">
        <v>186</v>
      </c>
      <c r="CL462" s="13" t="n">
        <v>8</v>
      </c>
      <c r="CM462" s="13" t="n">
        <v>74</v>
      </c>
      <c r="CN462" s="13" t="n">
        <v>0.249</v>
      </c>
      <c r="CO462" s="13" t="n">
        <v>76</v>
      </c>
      <c r="CP462" s="13" t="n">
        <v>54</v>
      </c>
      <c r="CQ462" s="13" t="n">
        <v>111</v>
      </c>
      <c r="CR462" s="13" t="n">
        <v>7</v>
      </c>
      <c r="CS462" s="13" t="n">
        <v>10.2</v>
      </c>
      <c r="CT462" s="11" t="inlineStr">
        <is>
          <t xml:space="preserve"> On-Piste Carving</t>
        </is>
      </c>
      <c r="CU462" s="13" t="n"/>
      <c r="CV462" s="13" t="n"/>
      <c r="CW462" s="13" t="n"/>
      <c r="CX462">
        <f>INDEX('Data_Price '!AG$2:AG$1266,MATCH(Data!$DN462,'Data_Price '!$AT$2:$AT$1266,0))</f>
        <v/>
      </c>
      <c r="CY462">
        <f>INDEX('Data_Price '!AH$2:AH$1266,MATCH(Data!$DN462,'Data_Price '!$AT$2:$AT$1266,0))</f>
        <v/>
      </c>
      <c r="CZ462">
        <f>INDEX('Data_Price '!AI$2:AI$1266,MATCH(Data!$DN462,'Data_Price '!$AT$2:$AT$1266,0))</f>
        <v/>
      </c>
      <c r="DA462">
        <f>INDEX('Data_Price '!AJ$2:AJ$1266,MATCH(Data!$DN462,'Data_Price '!$AT$2:$AT$1266,0))</f>
        <v/>
      </c>
      <c r="DB462">
        <f>INDEX('Data_Price '!AK$2:AK$1266,MATCH(Data!$DN462,'Data_Price '!$AT$2:$AT$1266,0))</f>
        <v/>
      </c>
      <c r="DC462">
        <f>INDEX('Data_Price '!AL$2:AL$1266,MATCH(Data!$DN462,'Data_Price '!$AT$2:$AT$1266,0))</f>
        <v/>
      </c>
      <c r="DD462">
        <f>INDEX('Data_Price '!AM$2:AM$1266,MATCH(Data!$DN462,'Data_Price '!$AT$2:$AT$1266,0))</f>
        <v/>
      </c>
      <c r="DE462">
        <f>INDEX('Data_Price '!AN$2:AN$1266,MATCH(Data!$DN462,'Data_Price '!$AT$2:$AT$1266,0))</f>
        <v/>
      </c>
      <c r="DF462">
        <f>INDEX('Data_Price '!AO$2:AO$1266,MATCH(Data!$DN462,'Data_Price '!$AT$2:$AT$1266,0))</f>
        <v/>
      </c>
      <c r="DG462">
        <f>INDEX('Data_Price '!AP$2:AP$1266,MATCH(Data!$DN462,'Data_Price '!$AT$2:$AT$1266,0))</f>
        <v/>
      </c>
      <c r="DH462">
        <f>INDEX('Data_Price '!AQ$2:AQ$1266,MATCH(Data!$DN462,'Data_Price '!$AT$2:$AT$1266,0))</f>
        <v/>
      </c>
      <c r="DI462">
        <f>INDEX('Data_Price '!AR$2:AR$1266,MATCH(Data!$DN462,'Data_Price '!$AT$2:$AT$1266,0))</f>
        <v/>
      </c>
      <c r="DJ462" s="138">
        <f>DA462</f>
        <v/>
      </c>
      <c r="DK462" s="138">
        <f>DE462</f>
        <v/>
      </c>
      <c r="DL462" s="138">
        <f>DI462</f>
        <v/>
      </c>
      <c r="DM462" s="303">
        <f>IF(LEFT(BT462,1)=" ",RIGHT(BT462,LEN(BT462)-1),BT462)</f>
        <v/>
      </c>
      <c r="DN462" s="138">
        <f>_xlfn.CONCAT(BS462,DM462,BU462,BV462)</f>
        <v/>
      </c>
      <c r="DO462" s="307" t="n"/>
    </row>
    <row r="463" ht="15.6" customHeight="1" s="184">
      <c r="B463" s="303">
        <f t="array" ref="B463">IF(OR(ISERROR(K463:P463)),FALSE,TRUE)</f>
        <v/>
      </c>
      <c r="C463" s="60">
        <f>OR(BR463=Driver!$G$50,Data!BR817=Driver!$H$50)</f>
        <v/>
      </c>
      <c r="D463" s="60">
        <f>OR(BV463=Driver!$G$51,BV463=Driver!$H$51)</f>
        <v/>
      </c>
      <c r="E463" s="60">
        <f>AND(BX463&gt;Driver!$F$54,BX463&lt;Driver!$G$54)</f>
        <v/>
      </c>
      <c r="F463" s="60">
        <f>CL463&gt;Driver!$F$56</f>
        <v/>
      </c>
      <c r="G463" s="60">
        <f>AND(CB463&gt;Driver!$F$55,CB463&lt;Driver!$G$55)</f>
        <v/>
      </c>
      <c r="H463" s="60">
        <f>AND(B463:G463)</f>
        <v/>
      </c>
      <c r="I463" s="60">
        <f>COUNTIFS($H$9:$H$1273,TRUE,$BT$9:$BT$1273,BT463)</f>
        <v/>
      </c>
      <c r="J463" s="60">
        <f t="array" ref="J463">NOT(OR(($H$9:$H$1273=TRUE)*($I$9:$I$1273&gt;0)*($BT$9:$BT$1273=BT463)*($K$9:$K$1273&gt;K463)))</f>
        <v/>
      </c>
      <c r="K463" s="108">
        <f>IFERROR(1-AVERAGE(X463:Y463),"")</f>
        <v/>
      </c>
      <c r="L463" s="108">
        <f>1-X463</f>
        <v/>
      </c>
      <c r="M463" s="108">
        <f>1-Y463</f>
        <v/>
      </c>
      <c r="N463" s="108">
        <f>1-Z463</f>
        <v/>
      </c>
      <c r="O463" s="108">
        <f>1-AA463</f>
        <v/>
      </c>
      <c r="P463" s="108">
        <f>1-AB463</f>
        <v/>
      </c>
      <c r="Q463" s="108" t="n"/>
      <c r="R463" s="108" t="n"/>
      <c r="S463" s="108">
        <f>1-AE463</f>
        <v/>
      </c>
      <c r="T463" s="108">
        <f>1-AF463</f>
        <v/>
      </c>
      <c r="U463" s="108">
        <f>1-AG463</f>
        <v/>
      </c>
      <c r="V463" s="108">
        <f>1-AH463</f>
        <v/>
      </c>
      <c r="W463" s="108">
        <f>1-AI463</f>
        <v/>
      </c>
      <c r="X463" s="108">
        <f>ABS(AJ463-AJ$1)</f>
        <v/>
      </c>
      <c r="Y463" s="108">
        <f>AVERAGE(Z463:AB463)</f>
        <v/>
      </c>
      <c r="Z463" s="108">
        <f>ABS(AL463-AL$1)</f>
        <v/>
      </c>
      <c r="AA463" s="108">
        <f>ABS(AM463-AM$1)</f>
        <v/>
      </c>
      <c r="AB463" s="108">
        <f>ABS(AN463-AN$1)</f>
        <v/>
      </c>
      <c r="AC463" s="108" t="n"/>
      <c r="AD463" s="108" t="n"/>
      <c r="AE463" s="108">
        <f>ABS(AQ$1-AQ463)</f>
        <v/>
      </c>
      <c r="AF463" s="108">
        <f>ABS(AR$1-AR463)</f>
        <v/>
      </c>
      <c r="AG463" s="108">
        <f>ABS(AS$1-AS463)</f>
        <v/>
      </c>
      <c r="AH463" s="108">
        <f>ABS(AT$1-AT463)</f>
        <v/>
      </c>
      <c r="AI463" s="108">
        <f>ABS(AU$1-AU463)</f>
        <v/>
      </c>
      <c r="AJ463" s="108">
        <f>(AV463-Driver!$K$179)/(Driver!$L$179-Driver!$K$179)</f>
        <v/>
      </c>
      <c r="AK463" s="108">
        <f>(AW463-Driver!$K$180)/(Driver!$L$180-Driver!$K$180)</f>
        <v/>
      </c>
      <c r="AL463" s="108">
        <f>(AX463-Driver!$K$181)/(Driver!$L$181-Driver!$K$181)</f>
        <v/>
      </c>
      <c r="AM463" s="108">
        <f>(AY463-Driver!$K$182)/(Driver!$L$182-Driver!$K$182)</f>
        <v/>
      </c>
      <c r="AN463" s="108">
        <f>(AZ463-Driver!$K$183)/(Driver!$L$183-Driver!$K$183)</f>
        <v/>
      </c>
      <c r="AO463" s="108" t="n"/>
      <c r="AP463" s="108" t="n"/>
      <c r="AQ463" s="108">
        <f>(BC463-Driver!$K$188)/(Driver!$L$188-Driver!$K$188)</f>
        <v/>
      </c>
      <c r="AR463" s="108">
        <f>MIN((BD463-Driver!$K$189)/(Driver!$L$189-Driver!$K$189),100%)</f>
        <v/>
      </c>
      <c r="AS463" s="108">
        <f>(BE463-Driver!$K$190)/(Driver!$L$190-Driver!$K$190)</f>
        <v/>
      </c>
      <c r="AT463" s="108">
        <f>(BF463-Driver!$K$191)/(Driver!$L$191-Driver!$K$191)</f>
        <v/>
      </c>
      <c r="AU463" s="108">
        <f>(BG463-Driver!$K$192)/(Driver!$L$192-Driver!$K$192)</f>
        <v/>
      </c>
      <c r="AV463" s="105">
        <f>IFERROR(BM463*BJ463^1/4,"")</f>
        <v/>
      </c>
      <c r="AW463" s="105">
        <f>IFERROR(SUM(AX463:AZ463),"")</f>
        <v/>
      </c>
      <c r="AX463" s="105">
        <f>IFERROR(BH463,"")</f>
        <v/>
      </c>
      <c r="AY463" s="105">
        <f>IFERROR(Driver!$K$19/Data!BH463/Data!BI463*Data!BK463*Data!BL463,"")</f>
        <v/>
      </c>
      <c r="AZ463" s="105">
        <f>IFERROR(BI463*BN463,"")</f>
        <v/>
      </c>
      <c r="BA463" s="105" t="n"/>
      <c r="BB463" s="105" t="n"/>
      <c r="BC463" s="105">
        <f>IFERROR(BI463*BN463*BK463/BJ463^(1/2),"")</f>
        <v/>
      </c>
      <c r="BD463" s="105">
        <f>IFERROR(BH463*BM463*BL463/BJ463/BK463,"")</f>
        <v/>
      </c>
      <c r="BE463" s="105">
        <f>IFERROR(MIN(BI463/BQ463/BP463/BO463/BH463,$BE$1),"")</f>
        <v/>
      </c>
      <c r="BF463" s="105">
        <f>IFERROR(BJ463*BO463*BP463/BK463,"")</f>
        <v/>
      </c>
      <c r="BG463" s="105">
        <f>IFERROR(1/BM463/BH463*BQ463,"")</f>
        <v/>
      </c>
      <c r="BH463" s="102">
        <f>MAX((CE463-Driver!$F$200)/(Driver!$G$200-Driver!$F$200)*$BI$1,1)</f>
        <v/>
      </c>
      <c r="BI463" s="102">
        <f>MAX($BI$1*(BY463-Driver!$F$201)/(Driver!$G$201-Driver!$F$201),1)</f>
        <v/>
      </c>
      <c r="BJ463" s="102">
        <f>(CB463-Driver!$F$206)/(Driver!$G$206-Driver!$F$206)*$BI$1</f>
        <v/>
      </c>
      <c r="BK463" s="102">
        <f>(CD463-Driver!$F$203)/(Driver!$G$203-Driver!$F$203)*$BI$1</f>
        <v/>
      </c>
      <c r="BL463" s="102">
        <f>MAX((CR463-Driver!$F$202)/(Driver!$G$202-Driver!$F$202)*$BI$1,1)</f>
        <v/>
      </c>
      <c r="BM463" s="102">
        <f>MAX((CH463-Driver!$F$204)/(Driver!$G$204-Driver!$F$204)*$BI$1,1)</f>
        <v/>
      </c>
      <c r="BN463" s="102">
        <f>(CI463-Driver!$F$205)/(Driver!$G$205-Driver!$F$205)*$BI$1</f>
        <v/>
      </c>
      <c r="BO463" s="102">
        <f>(CK463-Driver!$F$207)/(Driver!$G$207-Driver!$F$207)*$BI$1</f>
        <v/>
      </c>
      <c r="BP463" s="102">
        <f>(CM463-Driver!$F$208)/(Driver!$G$208-Driver!$F$208)*$BI$1</f>
        <v/>
      </c>
      <c r="BQ463" s="102">
        <f>(CL463-Driver!$F$209)/(Driver!$G$209-Driver!$F$209)*$BI$1</f>
        <v/>
      </c>
      <c r="BR463" s="40" t="inlineStr">
        <is>
          <t>21/22</t>
        </is>
      </c>
      <c r="BS463" s="10" t="inlineStr">
        <is>
          <t xml:space="preserve"> Liberty</t>
        </is>
      </c>
      <c r="BT463" s="11" t="inlineStr">
        <is>
          <t>Origin 96</t>
        </is>
      </c>
      <c r="BU463" s="13" t="n">
        <v>171</v>
      </c>
      <c r="BV463" s="11" t="inlineStr">
        <is>
          <t xml:space="preserve"> Unisex</t>
        </is>
      </c>
      <c r="BW463" s="13" t="n">
        <v>171</v>
      </c>
      <c r="BX463" s="13" t="n">
        <v>170</v>
      </c>
      <c r="BY463" s="13" t="n">
        <v>109</v>
      </c>
      <c r="BZ463" s="13" t="n">
        <v>140</v>
      </c>
      <c r="CA463" s="13" t="n">
        <v>130</v>
      </c>
      <c r="CB463" s="13" t="n">
        <v>96</v>
      </c>
      <c r="CC463" s="13" t="n">
        <v>118</v>
      </c>
      <c r="CD463" s="13" t="n">
        <v>16.5</v>
      </c>
      <c r="CE463" s="13" t="n">
        <v>1732</v>
      </c>
      <c r="CF463" s="13" t="n">
        <v>1.05</v>
      </c>
      <c r="CG463" s="13" t="n">
        <v>1813</v>
      </c>
      <c r="CH463" s="13" t="n">
        <v>188</v>
      </c>
      <c r="CI463" s="13" t="n">
        <v>89</v>
      </c>
      <c r="CJ463" s="13" t="n">
        <v>50</v>
      </c>
      <c r="CK463" s="13" t="n">
        <v>344</v>
      </c>
      <c r="CL463" s="13" t="n">
        <v>30</v>
      </c>
      <c r="CM463" s="13" t="n">
        <v>261</v>
      </c>
      <c r="CN463" s="13" t="n">
        <v>0.611</v>
      </c>
      <c r="CO463" s="13" t="n">
        <v>136</v>
      </c>
      <c r="CP463" s="13" t="n">
        <v>165</v>
      </c>
      <c r="CQ463" s="13" t="n">
        <v>209</v>
      </c>
      <c r="CR463" s="13" t="n">
        <v>5</v>
      </c>
      <c r="CS463" s="13" t="n">
        <v>8.1</v>
      </c>
      <c r="CT463" s="11" t="inlineStr">
        <is>
          <t xml:space="preserve"> Resort Freeride</t>
        </is>
      </c>
      <c r="CU463" s="13" t="n"/>
      <c r="CV463" s="13" t="n"/>
      <c r="CW463" s="13" t="n"/>
      <c r="CX463">
        <f>INDEX('Data_Price '!AG$2:AG$1266,MATCH(Data!$DN463,'Data_Price '!$AT$2:$AT$1266,0))</f>
        <v/>
      </c>
      <c r="CY463">
        <f>INDEX('Data_Price '!AH$2:AH$1266,MATCH(Data!$DN463,'Data_Price '!$AT$2:$AT$1266,0))</f>
        <v/>
      </c>
      <c r="CZ463">
        <f>INDEX('Data_Price '!AI$2:AI$1266,MATCH(Data!$DN463,'Data_Price '!$AT$2:$AT$1266,0))</f>
        <v/>
      </c>
      <c r="DA463">
        <f>INDEX('Data_Price '!AJ$2:AJ$1266,MATCH(Data!$DN463,'Data_Price '!$AT$2:$AT$1266,0))</f>
        <v/>
      </c>
      <c r="DB463">
        <f>INDEX('Data_Price '!AK$2:AK$1266,MATCH(Data!$DN463,'Data_Price '!$AT$2:$AT$1266,0))</f>
        <v/>
      </c>
      <c r="DC463">
        <f>INDEX('Data_Price '!AL$2:AL$1266,MATCH(Data!$DN463,'Data_Price '!$AT$2:$AT$1266,0))</f>
        <v/>
      </c>
      <c r="DD463">
        <f>INDEX('Data_Price '!AM$2:AM$1266,MATCH(Data!$DN463,'Data_Price '!$AT$2:$AT$1266,0))</f>
        <v/>
      </c>
      <c r="DE463">
        <f>INDEX('Data_Price '!AN$2:AN$1266,MATCH(Data!$DN463,'Data_Price '!$AT$2:$AT$1266,0))</f>
        <v/>
      </c>
      <c r="DF463">
        <f>INDEX('Data_Price '!AO$2:AO$1266,MATCH(Data!$DN463,'Data_Price '!$AT$2:$AT$1266,0))</f>
        <v/>
      </c>
      <c r="DG463">
        <f>INDEX('Data_Price '!AP$2:AP$1266,MATCH(Data!$DN463,'Data_Price '!$AT$2:$AT$1266,0))</f>
        <v/>
      </c>
      <c r="DH463">
        <f>INDEX('Data_Price '!AQ$2:AQ$1266,MATCH(Data!$DN463,'Data_Price '!$AT$2:$AT$1266,0))</f>
        <v/>
      </c>
      <c r="DI463">
        <f>INDEX('Data_Price '!AR$2:AR$1266,MATCH(Data!$DN463,'Data_Price '!$AT$2:$AT$1266,0))</f>
        <v/>
      </c>
      <c r="DJ463" s="138">
        <f>DA463</f>
        <v/>
      </c>
      <c r="DK463" s="138">
        <f>DE463</f>
        <v/>
      </c>
      <c r="DL463" s="138">
        <f>DI463</f>
        <v/>
      </c>
      <c r="DM463" s="303">
        <f>IF(LEFT(BT463,1)=" ",RIGHT(BT463,LEN(BT463)-1),BT463)</f>
        <v/>
      </c>
      <c r="DN463" s="138">
        <f>_xlfn.CONCAT(BS463,DM463,BU463,BV463)</f>
        <v/>
      </c>
      <c r="DO463" s="307" t="inlineStr">
        <is>
          <t>https://images.evo.com/imgp/250/208524/851432/clone.jpg</t>
        </is>
      </c>
    </row>
    <row r="464" ht="15.6" customHeight="1" s="184">
      <c r="B464" s="303">
        <f t="array" ref="B464">IF(OR(ISERROR(K464:P464)),FALSE,TRUE)</f>
        <v/>
      </c>
      <c r="C464" s="60">
        <f>OR(BR464=Driver!$G$50,Data!BR876=Driver!$H$50)</f>
        <v/>
      </c>
      <c r="D464" s="60">
        <f>OR(BV464=Driver!$G$51,BV464=Driver!$H$51)</f>
        <v/>
      </c>
      <c r="E464" s="60">
        <f>AND(BX464&gt;Driver!$F$54,BX464&lt;Driver!$G$54)</f>
        <v/>
      </c>
      <c r="F464" s="60">
        <f>CL464&gt;Driver!$F$56</f>
        <v/>
      </c>
      <c r="G464" s="60">
        <f>AND(CB464&gt;Driver!$F$55,CB464&lt;Driver!$G$55)</f>
        <v/>
      </c>
      <c r="H464" s="60">
        <f>AND(B464:G464)</f>
        <v/>
      </c>
      <c r="I464" s="60">
        <f>COUNTIFS($H$9:$H$1273,TRUE,$BT$9:$BT$1273,BT464)</f>
        <v/>
      </c>
      <c r="J464" s="60">
        <f t="array" ref="J464">NOT(OR(($H$9:$H$1273=TRUE)*($I$9:$I$1273&gt;0)*($BT$9:$BT$1273=BT464)*($K$9:$K$1273&gt;K464)))</f>
        <v/>
      </c>
      <c r="K464" s="108">
        <f>IFERROR(1-AVERAGE(X464:Y464),"")</f>
        <v/>
      </c>
      <c r="L464" s="108">
        <f>1-X464</f>
        <v/>
      </c>
      <c r="M464" s="108">
        <f>1-Y464</f>
        <v/>
      </c>
      <c r="N464" s="108">
        <f>1-Z464</f>
        <v/>
      </c>
      <c r="O464" s="108">
        <f>1-AA464</f>
        <v/>
      </c>
      <c r="P464" s="108">
        <f>1-AB464</f>
        <v/>
      </c>
      <c r="Q464" s="108" t="n"/>
      <c r="R464" s="108" t="n"/>
      <c r="S464" s="108">
        <f>1-AE464</f>
        <v/>
      </c>
      <c r="T464" s="108">
        <f>1-AF464</f>
        <v/>
      </c>
      <c r="U464" s="108">
        <f>1-AG464</f>
        <v/>
      </c>
      <c r="V464" s="108">
        <f>1-AH464</f>
        <v/>
      </c>
      <c r="W464" s="108">
        <f>1-AI464</f>
        <v/>
      </c>
      <c r="X464" s="108">
        <f>ABS(AJ464-AJ$1)</f>
        <v/>
      </c>
      <c r="Y464" s="108">
        <f>AVERAGE(Z464:AB464)</f>
        <v/>
      </c>
      <c r="Z464" s="108">
        <f>ABS(AL464-AL$1)</f>
        <v/>
      </c>
      <c r="AA464" s="108">
        <f>ABS(AM464-AM$1)</f>
        <v/>
      </c>
      <c r="AB464" s="108">
        <f>ABS(AN464-AN$1)</f>
        <v/>
      </c>
      <c r="AC464" s="108" t="n"/>
      <c r="AD464" s="108" t="n"/>
      <c r="AE464" s="108">
        <f>ABS(AQ$1-AQ464)</f>
        <v/>
      </c>
      <c r="AF464" s="108">
        <f>ABS(AR$1-AR464)</f>
        <v/>
      </c>
      <c r="AG464" s="108">
        <f>ABS(AS$1-AS464)</f>
        <v/>
      </c>
      <c r="AH464" s="108">
        <f>ABS(AT$1-AT464)</f>
        <v/>
      </c>
      <c r="AI464" s="108">
        <f>ABS(AU$1-AU464)</f>
        <v/>
      </c>
      <c r="AJ464" s="108">
        <f>(AV464-Driver!$K$179)/(Driver!$L$179-Driver!$K$179)</f>
        <v/>
      </c>
      <c r="AK464" s="108">
        <f>(AW464-Driver!$K$180)/(Driver!$L$180-Driver!$K$180)</f>
        <v/>
      </c>
      <c r="AL464" s="108">
        <f>(AX464-Driver!$K$181)/(Driver!$L$181-Driver!$K$181)</f>
        <v/>
      </c>
      <c r="AM464" s="108">
        <f>(AY464-Driver!$K$182)/(Driver!$L$182-Driver!$K$182)</f>
        <v/>
      </c>
      <c r="AN464" s="108">
        <f>(AZ464-Driver!$K$183)/(Driver!$L$183-Driver!$K$183)</f>
        <v/>
      </c>
      <c r="AO464" s="108" t="n"/>
      <c r="AP464" s="108" t="n"/>
      <c r="AQ464" s="108">
        <f>(BC464-Driver!$K$188)/(Driver!$L$188-Driver!$K$188)</f>
        <v/>
      </c>
      <c r="AR464" s="108">
        <f>MIN((BD464-Driver!$K$189)/(Driver!$L$189-Driver!$K$189),100%)</f>
        <v/>
      </c>
      <c r="AS464" s="108">
        <f>(BE464-Driver!$K$190)/(Driver!$L$190-Driver!$K$190)</f>
        <v/>
      </c>
      <c r="AT464" s="108">
        <f>(BF464-Driver!$K$191)/(Driver!$L$191-Driver!$K$191)</f>
        <v/>
      </c>
      <c r="AU464" s="108">
        <f>(BG464-Driver!$K$192)/(Driver!$L$192-Driver!$K$192)</f>
        <v/>
      </c>
      <c r="AV464" s="105">
        <f>IFERROR(BM464*BJ464^1/4,"")</f>
        <v/>
      </c>
      <c r="AW464" s="105">
        <f>IFERROR(SUM(AX464:AZ464),"")</f>
        <v/>
      </c>
      <c r="AX464" s="105">
        <f>IFERROR(BH464,"")</f>
        <v/>
      </c>
      <c r="AY464" s="105">
        <f>IFERROR(Driver!$K$19/Data!BH464/Data!BI464*Data!BK464*Data!BL464,"")</f>
        <v/>
      </c>
      <c r="AZ464" s="105">
        <f>IFERROR(BI464*BN464,"")</f>
        <v/>
      </c>
      <c r="BA464" s="105" t="n"/>
      <c r="BB464" s="105" t="n"/>
      <c r="BC464" s="105">
        <f>IFERROR(BI464*BN464*BK464/BJ464^(1/2),"")</f>
        <v/>
      </c>
      <c r="BD464" s="105">
        <f>IFERROR(BH464*BM464*BL464/BJ464/BK464,"")</f>
        <v/>
      </c>
      <c r="BE464" s="105">
        <f>IFERROR(MIN(BI464/BQ464/BP464/BO464/BH464,$BE$1),"")</f>
        <v/>
      </c>
      <c r="BF464" s="105">
        <f>IFERROR(BJ464*BO464*BP464/BK464,"")</f>
        <v/>
      </c>
      <c r="BG464" s="105">
        <f>IFERROR(1/BM464/BH464*BQ464,"")</f>
        <v/>
      </c>
      <c r="BH464" s="102">
        <f>MAX((CE464-Driver!$F$200)/(Driver!$G$200-Driver!$F$200)*$BI$1,1)</f>
        <v/>
      </c>
      <c r="BI464" s="102">
        <f>MAX($BI$1*(BY464-Driver!$F$201)/(Driver!$G$201-Driver!$F$201),1)</f>
        <v/>
      </c>
      <c r="BJ464" s="102">
        <f>(CB464-Driver!$F$206)/(Driver!$G$206-Driver!$F$206)*$BI$1</f>
        <v/>
      </c>
      <c r="BK464" s="102">
        <f>(CD464-Driver!$F$203)/(Driver!$G$203-Driver!$F$203)*$BI$1</f>
        <v/>
      </c>
      <c r="BL464" s="102">
        <f>MAX((CR464-Driver!$F$202)/(Driver!$G$202-Driver!$F$202)*$BI$1,1)</f>
        <v/>
      </c>
      <c r="BM464" s="102">
        <f>MAX((CH464-Driver!$F$204)/(Driver!$G$204-Driver!$F$204)*$BI$1,1)</f>
        <v/>
      </c>
      <c r="BN464" s="102">
        <f>(CI464-Driver!$F$205)/(Driver!$G$205-Driver!$F$205)*$BI$1</f>
        <v/>
      </c>
      <c r="BO464" s="102">
        <f>(CK464-Driver!$F$207)/(Driver!$G$207-Driver!$F$207)*$BI$1</f>
        <v/>
      </c>
      <c r="BP464" s="102">
        <f>(CM464-Driver!$F$208)/(Driver!$G$208-Driver!$F$208)*$BI$1</f>
        <v/>
      </c>
      <c r="BQ464" s="102">
        <f>(CL464-Driver!$F$209)/(Driver!$G$209-Driver!$F$209)*$BI$1</f>
        <v/>
      </c>
      <c r="BR464" s="40" t="inlineStr">
        <is>
          <t>21/22</t>
        </is>
      </c>
      <c r="BS464" s="10" t="inlineStr">
        <is>
          <t xml:space="preserve"> Line</t>
        </is>
      </c>
      <c r="BT464" s="11" t="inlineStr">
        <is>
          <t>Vision 108</t>
        </is>
      </c>
      <c r="BU464" s="13" t="n">
        <v>175</v>
      </c>
      <c r="BV464" s="11" t="inlineStr">
        <is>
          <t xml:space="preserve"> Unisex</t>
        </is>
      </c>
      <c r="BW464" s="13" t="n">
        <v>175</v>
      </c>
      <c r="BX464" s="13" t="n">
        <v>174.6</v>
      </c>
      <c r="BY464" s="13" t="n">
        <v>91</v>
      </c>
      <c r="BZ464" s="13" t="n">
        <v>141</v>
      </c>
      <c r="CA464" s="13" t="n">
        <v>141</v>
      </c>
      <c r="CB464" s="13" t="n">
        <v>107</v>
      </c>
      <c r="CC464" s="13" t="n">
        <v>127</v>
      </c>
      <c r="CD464" s="13" t="n">
        <v>17.3</v>
      </c>
      <c r="CE464" s="13" t="n">
        <v>1517</v>
      </c>
      <c r="CF464" s="13" t="n">
        <v>1.35</v>
      </c>
      <c r="CG464" s="13" t="n">
        <v>2043</v>
      </c>
      <c r="CH464" s="13" t="n">
        <v>188</v>
      </c>
      <c r="CI464" s="13" t="n">
        <v>81</v>
      </c>
      <c r="CJ464" s="13" t="n">
        <v>52</v>
      </c>
      <c r="CK464" s="13" t="n">
        <v>460</v>
      </c>
      <c r="CL464" s="13" t="n">
        <v>34</v>
      </c>
      <c r="CM464" s="13" t="n">
        <v>378</v>
      </c>
      <c r="CN464" s="13" t="n">
        <v>0.654</v>
      </c>
      <c r="CO464" s="13" t="n">
        <v>173</v>
      </c>
      <c r="CP464" s="13" t="n">
        <v>168</v>
      </c>
      <c r="CQ464" s="13" t="n">
        <v>287</v>
      </c>
      <c r="CR464" s="13" t="n">
        <v>2</v>
      </c>
      <c r="CS464" s="13" t="n">
        <v>6.4</v>
      </c>
      <c r="CT464" s="11" t="inlineStr">
        <is>
          <t xml:space="preserve"> Powder</t>
        </is>
      </c>
      <c r="CU464" s="11" t="inlineStr">
        <is>
          <t xml:space="preserve"> Touring</t>
        </is>
      </c>
      <c r="CV464" s="11" t="inlineStr">
        <is>
          <t xml:space="preserve"> Ultralight Touring</t>
        </is>
      </c>
      <c r="CW464" s="13" t="n"/>
      <c r="CX464">
        <f>INDEX('Data_Price '!AG$2:AG$1266,MATCH(Data!$DN464,'Data_Price '!$AT$2:$AT$1266,0))</f>
        <v/>
      </c>
      <c r="CY464">
        <f>INDEX('Data_Price '!AH$2:AH$1266,MATCH(Data!$DN464,'Data_Price '!$AT$2:$AT$1266,0))</f>
        <v/>
      </c>
      <c r="CZ464">
        <f>INDEX('Data_Price '!AI$2:AI$1266,MATCH(Data!$DN464,'Data_Price '!$AT$2:$AT$1266,0))</f>
        <v/>
      </c>
      <c r="DA464">
        <f>INDEX('Data_Price '!AJ$2:AJ$1266,MATCH(Data!$DN464,'Data_Price '!$AT$2:$AT$1266,0))</f>
        <v/>
      </c>
      <c r="DB464">
        <f>INDEX('Data_Price '!AK$2:AK$1266,MATCH(Data!$DN464,'Data_Price '!$AT$2:$AT$1266,0))</f>
        <v/>
      </c>
      <c r="DC464">
        <f>INDEX('Data_Price '!AL$2:AL$1266,MATCH(Data!$DN464,'Data_Price '!$AT$2:$AT$1266,0))</f>
        <v/>
      </c>
      <c r="DD464">
        <f>INDEX('Data_Price '!AM$2:AM$1266,MATCH(Data!$DN464,'Data_Price '!$AT$2:$AT$1266,0))</f>
        <v/>
      </c>
      <c r="DE464">
        <f>INDEX('Data_Price '!AN$2:AN$1266,MATCH(Data!$DN464,'Data_Price '!$AT$2:$AT$1266,0))</f>
        <v/>
      </c>
      <c r="DF464">
        <f>INDEX('Data_Price '!AO$2:AO$1266,MATCH(Data!$DN464,'Data_Price '!$AT$2:$AT$1266,0))</f>
        <v/>
      </c>
      <c r="DG464">
        <f>INDEX('Data_Price '!AP$2:AP$1266,MATCH(Data!$DN464,'Data_Price '!$AT$2:$AT$1266,0))</f>
        <v/>
      </c>
      <c r="DH464">
        <f>INDEX('Data_Price '!AQ$2:AQ$1266,MATCH(Data!$DN464,'Data_Price '!$AT$2:$AT$1266,0))</f>
        <v/>
      </c>
      <c r="DI464">
        <f>INDEX('Data_Price '!AR$2:AR$1266,MATCH(Data!$DN464,'Data_Price '!$AT$2:$AT$1266,0))</f>
        <v/>
      </c>
      <c r="DJ464" s="138">
        <f>DA464</f>
        <v/>
      </c>
      <c r="DK464" s="138">
        <f>DE464</f>
        <v/>
      </c>
      <c r="DL464" s="138">
        <f>DI464</f>
        <v/>
      </c>
      <c r="DM464" s="303">
        <f>IF(LEFT(BT464,1)=" ",RIGHT(BT464,LEN(BT464)-1),BT464)</f>
        <v/>
      </c>
      <c r="DN464" s="138">
        <f>_xlfn.CONCAT(BS464,DM464,BU464,BV464)</f>
        <v/>
      </c>
      <c r="DO464" s="307" t="inlineStr">
        <is>
          <t>https://images.evo.com/imgp/250/197207/792883/line-skis-vision-108-skis-2022-.jpg</t>
        </is>
      </c>
    </row>
    <row r="465" ht="15.6" customHeight="1" s="184">
      <c r="B465" s="303">
        <f t="array" ref="B465">IF(OR(ISERROR(K465:P465)),FALSE,TRUE)</f>
        <v/>
      </c>
      <c r="C465" s="60">
        <f>OR(BR465=Driver!$G$50,Data!BR37=Driver!$H$50)</f>
        <v/>
      </c>
      <c r="D465" s="60">
        <f>OR(BV465=Driver!$G$51,BV465=Driver!$H$51)</f>
        <v/>
      </c>
      <c r="E465" s="60">
        <f>AND(BX465&gt;Driver!$F$54,BX465&lt;Driver!$G$54)</f>
        <v/>
      </c>
      <c r="F465" s="60">
        <f>CL465&gt;Driver!$F$56</f>
        <v/>
      </c>
      <c r="G465" s="60">
        <f>AND(CB465&gt;Driver!$F$55,CB465&lt;Driver!$G$55)</f>
        <v/>
      </c>
      <c r="H465" s="60">
        <f>AND(B465:G465)</f>
        <v/>
      </c>
      <c r="I465" s="60">
        <f>COUNTIFS($H$9:$H$1273,TRUE,$BT$9:$BT$1273,BT465)</f>
        <v/>
      </c>
      <c r="J465" s="60">
        <f t="array" ref="J465">NOT(OR(($H$9:$H$1273=TRUE)*($I$9:$I$1273&gt;0)*($BT$9:$BT$1273=BT465)*($K$9:$K$1273&gt;K465)))</f>
        <v/>
      </c>
      <c r="K465" s="108">
        <f>IFERROR(1-AVERAGE(X465:Y465),"")</f>
        <v/>
      </c>
      <c r="L465" s="108">
        <f>1-X465</f>
        <v/>
      </c>
      <c r="M465" s="108">
        <f>1-Y465</f>
        <v/>
      </c>
      <c r="N465" s="108">
        <f>1-Z465</f>
        <v/>
      </c>
      <c r="O465" s="108">
        <f>1-AA465</f>
        <v/>
      </c>
      <c r="P465" s="108">
        <f>1-AB465</f>
        <v/>
      </c>
      <c r="Q465" s="108" t="n"/>
      <c r="R465" s="108" t="n"/>
      <c r="S465" s="108">
        <f>1-AE465</f>
        <v/>
      </c>
      <c r="T465" s="108">
        <f>1-AF465</f>
        <v/>
      </c>
      <c r="U465" s="108">
        <f>1-AG465</f>
        <v/>
      </c>
      <c r="V465" s="108">
        <f>1-AH465</f>
        <v/>
      </c>
      <c r="W465" s="108">
        <f>1-AI465</f>
        <v/>
      </c>
      <c r="X465" s="108">
        <f>ABS(AJ465-AJ$1)</f>
        <v/>
      </c>
      <c r="Y465" s="108">
        <f>AVERAGE(Z465:AB465)</f>
        <v/>
      </c>
      <c r="Z465" s="108">
        <f>ABS(AL465-AL$1)</f>
        <v/>
      </c>
      <c r="AA465" s="108">
        <f>ABS(AM465-AM$1)</f>
        <v/>
      </c>
      <c r="AB465" s="108">
        <f>ABS(AN465-AN$1)</f>
        <v/>
      </c>
      <c r="AC465" s="108" t="n"/>
      <c r="AD465" s="108" t="n"/>
      <c r="AE465" s="108">
        <f>ABS(AQ$1-AQ465)</f>
        <v/>
      </c>
      <c r="AF465" s="108">
        <f>ABS(AR$1-AR465)</f>
        <v/>
      </c>
      <c r="AG465" s="108">
        <f>ABS(AS$1-AS465)</f>
        <v/>
      </c>
      <c r="AH465" s="108">
        <f>ABS(AT$1-AT465)</f>
        <v/>
      </c>
      <c r="AI465" s="108">
        <f>ABS(AU$1-AU465)</f>
        <v/>
      </c>
      <c r="AJ465" s="108">
        <f>(AV465-Driver!$K$179)/(Driver!$L$179-Driver!$K$179)</f>
        <v/>
      </c>
      <c r="AK465" s="108">
        <f>(AW465-Driver!$K$180)/(Driver!$L$180-Driver!$K$180)</f>
        <v/>
      </c>
      <c r="AL465" s="108">
        <f>(AX465-Driver!$K$181)/(Driver!$L$181-Driver!$K$181)</f>
        <v/>
      </c>
      <c r="AM465" s="108">
        <f>(AY465-Driver!$K$182)/(Driver!$L$182-Driver!$K$182)</f>
        <v/>
      </c>
      <c r="AN465" s="108">
        <f>(AZ465-Driver!$K$183)/(Driver!$L$183-Driver!$K$183)</f>
        <v/>
      </c>
      <c r="AO465" s="108" t="n"/>
      <c r="AP465" s="108" t="n"/>
      <c r="AQ465" s="108">
        <f>(BC465-Driver!$K$188)/(Driver!$L$188-Driver!$K$188)</f>
        <v/>
      </c>
      <c r="AR465" s="108">
        <f>MIN((BD465-Driver!$K$189)/(Driver!$L$189-Driver!$K$189),100%)</f>
        <v/>
      </c>
      <c r="AS465" s="108">
        <f>(BE465-Driver!$K$190)/(Driver!$L$190-Driver!$K$190)</f>
        <v/>
      </c>
      <c r="AT465" s="108">
        <f>(BF465-Driver!$K$191)/(Driver!$L$191-Driver!$K$191)</f>
        <v/>
      </c>
      <c r="AU465" s="108">
        <f>(BG465-Driver!$K$192)/(Driver!$L$192-Driver!$K$192)</f>
        <v/>
      </c>
      <c r="AV465" s="105">
        <f>IFERROR(BM465*BJ465^1/4,"")</f>
        <v/>
      </c>
      <c r="AW465" s="105">
        <f>IFERROR(SUM(AX465:AZ465),"")</f>
        <v/>
      </c>
      <c r="AX465" s="105">
        <f>IFERROR(BH465,"")</f>
        <v/>
      </c>
      <c r="AY465" s="105">
        <f>IFERROR(Driver!$K$19/Data!BH465/Data!BI465*Data!BK465*Data!BL465,"")</f>
        <v/>
      </c>
      <c r="AZ465" s="105">
        <f>IFERROR(BI465*BN465,"")</f>
        <v/>
      </c>
      <c r="BA465" s="105" t="n"/>
      <c r="BB465" s="105" t="n"/>
      <c r="BC465" s="105">
        <f>IFERROR(BI465*BN465*BK465/BJ465^(1/2),"")</f>
        <v/>
      </c>
      <c r="BD465" s="105">
        <f>IFERROR(BH465*BM465*BL465/BJ465/BK465,"")</f>
        <v/>
      </c>
      <c r="BE465" s="105">
        <f>IFERROR(MIN(BI465/BQ465/BP465/BO465/BH465,$BE$1),"")</f>
        <v/>
      </c>
      <c r="BF465" s="105">
        <f>IFERROR(BJ465*BO465*BP465/BK465,"")</f>
        <v/>
      </c>
      <c r="BG465" s="105">
        <f>IFERROR(1/BM465/BH465*BQ465,"")</f>
        <v/>
      </c>
      <c r="BH465" s="102">
        <f>MAX((CE465-Driver!$F$200)/(Driver!$G$200-Driver!$F$200)*$BI$1,1)</f>
        <v/>
      </c>
      <c r="BI465" s="102">
        <f>MAX($BI$1*(BY465-Driver!$F$201)/(Driver!$G$201-Driver!$F$201),1)</f>
        <v/>
      </c>
      <c r="BJ465" s="102">
        <f>(CB465-Driver!$F$206)/(Driver!$G$206-Driver!$F$206)*$BI$1</f>
        <v/>
      </c>
      <c r="BK465" s="102">
        <f>(CD465-Driver!$F$203)/(Driver!$G$203-Driver!$F$203)*$BI$1</f>
        <v/>
      </c>
      <c r="BL465" s="102">
        <f>MAX((CR465-Driver!$F$202)/(Driver!$G$202-Driver!$F$202)*$BI$1,1)</f>
        <v/>
      </c>
      <c r="BM465" s="102">
        <f>MAX((CH465-Driver!$F$204)/(Driver!$G$204-Driver!$F$204)*$BI$1,1)</f>
        <v/>
      </c>
      <c r="BN465" s="102">
        <f>(CI465-Driver!$F$205)/(Driver!$G$205-Driver!$F$205)*$BI$1</f>
        <v/>
      </c>
      <c r="BO465" s="102">
        <f>(CK465-Driver!$F$207)/(Driver!$G$207-Driver!$F$207)*$BI$1</f>
        <v/>
      </c>
      <c r="BP465" s="102">
        <f>(CM465-Driver!$F$208)/(Driver!$G$208-Driver!$F$208)*$BI$1</f>
        <v/>
      </c>
      <c r="BQ465" s="102">
        <f>(CL465-Driver!$F$209)/(Driver!$G$209-Driver!$F$209)*$BI$1</f>
        <v/>
      </c>
      <c r="BR465" s="40" t="inlineStr">
        <is>
          <t>21/22</t>
        </is>
      </c>
      <c r="BS465" s="10" t="inlineStr">
        <is>
          <t xml:space="preserve"> Armada</t>
        </is>
      </c>
      <c r="BT465" s="11" t="inlineStr">
        <is>
          <t>ARV 86</t>
        </is>
      </c>
      <c r="BU465" s="13" t="n">
        <v>163</v>
      </c>
      <c r="BV465" s="11" t="inlineStr">
        <is>
          <t xml:space="preserve"> Unisex</t>
        </is>
      </c>
      <c r="BW465" s="13" t="n">
        <v>163</v>
      </c>
      <c r="BX465" s="13" t="n">
        <v>161.2</v>
      </c>
      <c r="BY465" s="13" t="n">
        <v>126</v>
      </c>
      <c r="BZ465" s="13" t="n">
        <v>137</v>
      </c>
      <c r="CA465" s="13" t="n">
        <v>114</v>
      </c>
      <c r="CB465" s="13" t="n">
        <v>86</v>
      </c>
      <c r="CC465" s="13" t="n">
        <v>108</v>
      </c>
      <c r="CD465" s="13" t="n">
        <v>16.9</v>
      </c>
      <c r="CE465" s="13" t="n">
        <v>1525</v>
      </c>
      <c r="CF465" s="13" t="n">
        <v>1.01</v>
      </c>
      <c r="CG465" s="13" t="n">
        <v>1537</v>
      </c>
      <c r="CH465" s="13" t="n">
        <v>151</v>
      </c>
      <c r="CI465" s="13" t="n">
        <v>81</v>
      </c>
      <c r="CJ465" s="13" t="n">
        <v>44</v>
      </c>
      <c r="CK465" s="13" t="n">
        <v>182</v>
      </c>
      <c r="CL465" s="13" t="n">
        <v>41</v>
      </c>
      <c r="CM465" s="13" t="n">
        <v>173</v>
      </c>
      <c r="CN465" s="13" t="n">
        <v>0.919</v>
      </c>
      <c r="CO465" s="13" t="n">
        <v>104</v>
      </c>
      <c r="CP465" s="13" t="n">
        <v>138</v>
      </c>
      <c r="CQ465" s="13" t="n">
        <v>78</v>
      </c>
      <c r="CR465" s="13" t="n">
        <v>11</v>
      </c>
      <c r="CS465" s="13" t="n">
        <v>3.5</v>
      </c>
      <c r="CT465" s="11" t="inlineStr">
        <is>
          <t xml:space="preserve"> Freeski</t>
        </is>
      </c>
      <c r="CU465" s="13" t="n"/>
      <c r="CV465" s="13" t="n"/>
      <c r="CW465" s="13" t="n"/>
      <c r="CX465">
        <f>INDEX('Data_Price '!AG$2:AG$1266,MATCH(Data!$DN465,'Data_Price '!$AT$2:$AT$1266,0))</f>
        <v/>
      </c>
      <c r="CY465">
        <f>INDEX('Data_Price '!AH$2:AH$1266,MATCH(Data!$DN465,'Data_Price '!$AT$2:$AT$1266,0))</f>
        <v/>
      </c>
      <c r="CZ465">
        <f>INDEX('Data_Price '!AI$2:AI$1266,MATCH(Data!$DN465,'Data_Price '!$AT$2:$AT$1266,0))</f>
        <v/>
      </c>
      <c r="DA465">
        <f>INDEX('Data_Price '!AJ$2:AJ$1266,MATCH(Data!$DN465,'Data_Price '!$AT$2:$AT$1266,0))</f>
        <v/>
      </c>
      <c r="DB465">
        <f>INDEX('Data_Price '!AK$2:AK$1266,MATCH(Data!$DN465,'Data_Price '!$AT$2:$AT$1266,0))</f>
        <v/>
      </c>
      <c r="DC465">
        <f>INDEX('Data_Price '!AL$2:AL$1266,MATCH(Data!$DN465,'Data_Price '!$AT$2:$AT$1266,0))</f>
        <v/>
      </c>
      <c r="DD465">
        <f>INDEX('Data_Price '!AM$2:AM$1266,MATCH(Data!$DN465,'Data_Price '!$AT$2:$AT$1266,0))</f>
        <v/>
      </c>
      <c r="DE465">
        <f>INDEX('Data_Price '!AN$2:AN$1266,MATCH(Data!$DN465,'Data_Price '!$AT$2:$AT$1266,0))</f>
        <v/>
      </c>
      <c r="DF465">
        <f>INDEX('Data_Price '!AO$2:AO$1266,MATCH(Data!$DN465,'Data_Price '!$AT$2:$AT$1266,0))</f>
        <v/>
      </c>
      <c r="DG465">
        <f>INDEX('Data_Price '!AP$2:AP$1266,MATCH(Data!$DN465,'Data_Price '!$AT$2:$AT$1266,0))</f>
        <v/>
      </c>
      <c r="DH465">
        <f>INDEX('Data_Price '!AQ$2:AQ$1266,MATCH(Data!$DN465,'Data_Price '!$AT$2:$AT$1266,0))</f>
        <v/>
      </c>
      <c r="DI465">
        <f>INDEX('Data_Price '!AR$2:AR$1266,MATCH(Data!$DN465,'Data_Price '!$AT$2:$AT$1266,0))</f>
        <v/>
      </c>
      <c r="DJ465" s="138">
        <f>DA465</f>
        <v/>
      </c>
      <c r="DK465" s="138">
        <f>DE465</f>
        <v/>
      </c>
      <c r="DL465" s="138">
        <f>DI465</f>
        <v/>
      </c>
      <c r="DM465" s="303">
        <f>IF(LEFT(BT465,1)=" ",RIGHT(BT465,LEN(BT465)-1),BT465)</f>
        <v/>
      </c>
      <c r="DN465" s="138">
        <f>_xlfn.CONCAT(BS465,DM465,BU465,BV465)</f>
        <v/>
      </c>
      <c r="DO465" s="307" t="inlineStr">
        <is>
          <t>https://images.evo.com/imgp/250/198699/839665/armada-arv-86-skis-2022-.jpg</t>
        </is>
      </c>
    </row>
    <row r="466" ht="15.6" customHeight="1" s="184">
      <c r="B466" s="303">
        <f t="array" ref="B466">IF(OR(ISERROR(K466:P466)),FALSE,TRUE)</f>
        <v/>
      </c>
      <c r="C466" s="60">
        <f>OR(BR466=Driver!$G$50,Data!BR225=Driver!$H$50)</f>
        <v/>
      </c>
      <c r="D466" s="60">
        <f>OR(BV466=Driver!$G$51,BV466=Driver!$H$51)</f>
        <v/>
      </c>
      <c r="E466" s="60">
        <f>AND(BX466&gt;Driver!$F$54,BX466&lt;Driver!$G$54)</f>
        <v/>
      </c>
      <c r="F466" s="60">
        <f>CL466&gt;Driver!$F$56</f>
        <v/>
      </c>
      <c r="G466" s="60">
        <f>AND(CB466&gt;Driver!$F$55,CB466&lt;Driver!$G$55)</f>
        <v/>
      </c>
      <c r="H466" s="60">
        <f>AND(B466:G466)</f>
        <v/>
      </c>
      <c r="I466" s="60">
        <f>COUNTIFS($H$9:$H$1273,TRUE,$BT$9:$BT$1273,BT466)</f>
        <v/>
      </c>
      <c r="J466" s="60">
        <f t="array" ref="J466">NOT(OR(($H$9:$H$1273=TRUE)*($I$9:$I$1273&gt;0)*($BT$9:$BT$1273=BT466)*($K$9:$K$1273&gt;K466)))</f>
        <v/>
      </c>
      <c r="K466" s="108">
        <f>IFERROR(1-AVERAGE(X466:Y466),"")</f>
        <v/>
      </c>
      <c r="L466" s="108">
        <f>1-X466</f>
        <v/>
      </c>
      <c r="M466" s="108">
        <f>1-Y466</f>
        <v/>
      </c>
      <c r="N466" s="108">
        <f>1-Z466</f>
        <v/>
      </c>
      <c r="O466" s="108">
        <f>1-AA466</f>
        <v/>
      </c>
      <c r="P466" s="108">
        <f>1-AB466</f>
        <v/>
      </c>
      <c r="Q466" s="108" t="n"/>
      <c r="R466" s="108" t="n"/>
      <c r="S466" s="108">
        <f>1-AE466</f>
        <v/>
      </c>
      <c r="T466" s="108">
        <f>1-AF466</f>
        <v/>
      </c>
      <c r="U466" s="108">
        <f>1-AG466</f>
        <v/>
      </c>
      <c r="V466" s="108">
        <f>1-AH466</f>
        <v/>
      </c>
      <c r="W466" s="108">
        <f>1-AI466</f>
        <v/>
      </c>
      <c r="X466" s="108">
        <f>ABS(AJ466-AJ$1)</f>
        <v/>
      </c>
      <c r="Y466" s="108">
        <f>AVERAGE(Z466:AB466)</f>
        <v/>
      </c>
      <c r="Z466" s="108">
        <f>ABS(AL466-AL$1)</f>
        <v/>
      </c>
      <c r="AA466" s="108">
        <f>ABS(AM466-AM$1)</f>
        <v/>
      </c>
      <c r="AB466" s="108">
        <f>ABS(AN466-AN$1)</f>
        <v/>
      </c>
      <c r="AC466" s="108" t="n"/>
      <c r="AD466" s="108" t="n"/>
      <c r="AE466" s="108">
        <f>ABS(AQ$1-AQ466)</f>
        <v/>
      </c>
      <c r="AF466" s="108">
        <f>ABS(AR$1-AR466)</f>
        <v/>
      </c>
      <c r="AG466" s="108">
        <f>ABS(AS$1-AS466)</f>
        <v/>
      </c>
      <c r="AH466" s="108">
        <f>ABS(AT$1-AT466)</f>
        <v/>
      </c>
      <c r="AI466" s="108">
        <f>ABS(AU$1-AU466)</f>
        <v/>
      </c>
      <c r="AJ466" s="108">
        <f>(AV466-Driver!$K$179)/(Driver!$L$179-Driver!$K$179)</f>
        <v/>
      </c>
      <c r="AK466" s="108">
        <f>(AW466-Driver!$K$180)/(Driver!$L$180-Driver!$K$180)</f>
        <v/>
      </c>
      <c r="AL466" s="108">
        <f>(AX466-Driver!$K$181)/(Driver!$L$181-Driver!$K$181)</f>
        <v/>
      </c>
      <c r="AM466" s="108">
        <f>(AY466-Driver!$K$182)/(Driver!$L$182-Driver!$K$182)</f>
        <v/>
      </c>
      <c r="AN466" s="108">
        <f>(AZ466-Driver!$K$183)/(Driver!$L$183-Driver!$K$183)</f>
        <v/>
      </c>
      <c r="AO466" s="108" t="n"/>
      <c r="AP466" s="108" t="n"/>
      <c r="AQ466" s="108">
        <f>(BC466-Driver!$K$188)/(Driver!$L$188-Driver!$K$188)</f>
        <v/>
      </c>
      <c r="AR466" s="108">
        <f>MIN((BD466-Driver!$K$189)/(Driver!$L$189-Driver!$K$189),100%)</f>
        <v/>
      </c>
      <c r="AS466" s="108">
        <f>(BE466-Driver!$K$190)/(Driver!$L$190-Driver!$K$190)</f>
        <v/>
      </c>
      <c r="AT466" s="108">
        <f>(BF466-Driver!$K$191)/(Driver!$L$191-Driver!$K$191)</f>
        <v/>
      </c>
      <c r="AU466" s="108">
        <f>(BG466-Driver!$K$192)/(Driver!$L$192-Driver!$K$192)</f>
        <v/>
      </c>
      <c r="AV466" s="105">
        <f>IFERROR(BM466*BJ466^1/4,"")</f>
        <v/>
      </c>
      <c r="AW466" s="105">
        <f>IFERROR(SUM(AX466:AZ466),"")</f>
        <v/>
      </c>
      <c r="AX466" s="105">
        <f>IFERROR(BH466,"")</f>
        <v/>
      </c>
      <c r="AY466" s="105">
        <f>IFERROR(Driver!$K$19/Data!BH466/Data!BI466*Data!BK466*Data!BL466,"")</f>
        <v/>
      </c>
      <c r="AZ466" s="105">
        <f>IFERROR(BI466*BN466,"")</f>
        <v/>
      </c>
      <c r="BA466" s="105" t="n"/>
      <c r="BB466" s="105" t="n"/>
      <c r="BC466" s="105">
        <f>IFERROR(BI466*BN466*BK466/BJ466^(1/2),"")</f>
        <v/>
      </c>
      <c r="BD466" s="105">
        <f>IFERROR(BH466*BM466*BL466/BJ466/BK466,"")</f>
        <v/>
      </c>
      <c r="BE466" s="105">
        <f>IFERROR(MIN(BI466/BQ466/BP466/BO466/BH466,$BE$1),"")</f>
        <v/>
      </c>
      <c r="BF466" s="105">
        <f>IFERROR(BJ466*BO466*BP466/BK466,"")</f>
        <v/>
      </c>
      <c r="BG466" s="105">
        <f>IFERROR(1/BM466/BH466*BQ466,"")</f>
        <v/>
      </c>
      <c r="BH466" s="102">
        <f>MAX((CE466-Driver!$F$200)/(Driver!$G$200-Driver!$F$200)*$BI$1,1)</f>
        <v/>
      </c>
      <c r="BI466" s="102">
        <f>MAX($BI$1*(BY466-Driver!$F$201)/(Driver!$G$201-Driver!$F$201),1)</f>
        <v/>
      </c>
      <c r="BJ466" s="102">
        <f>(CB466-Driver!$F$206)/(Driver!$G$206-Driver!$F$206)*$BI$1</f>
        <v/>
      </c>
      <c r="BK466" s="102">
        <f>(CD466-Driver!$F$203)/(Driver!$G$203-Driver!$F$203)*$BI$1</f>
        <v/>
      </c>
      <c r="BL466" s="102">
        <f>MAX((CR466-Driver!$F$202)/(Driver!$G$202-Driver!$F$202)*$BI$1,1)</f>
        <v/>
      </c>
      <c r="BM466" s="102">
        <f>MAX((CH466-Driver!$F$204)/(Driver!$G$204-Driver!$F$204)*$BI$1,1)</f>
        <v/>
      </c>
      <c r="BN466" s="102">
        <f>(CI466-Driver!$F$205)/(Driver!$G$205-Driver!$F$205)*$BI$1</f>
        <v/>
      </c>
      <c r="BO466" s="102">
        <f>(CK466-Driver!$F$207)/(Driver!$G$207-Driver!$F$207)*$BI$1</f>
        <v/>
      </c>
      <c r="BP466" s="102">
        <f>(CM466-Driver!$F$208)/(Driver!$G$208-Driver!$F$208)*$BI$1</f>
        <v/>
      </c>
      <c r="BQ466" s="102">
        <f>(CL466-Driver!$F$209)/(Driver!$G$209-Driver!$F$209)*$BI$1</f>
        <v/>
      </c>
      <c r="BR466" s="40" t="inlineStr">
        <is>
          <t>21/22</t>
        </is>
      </c>
      <c r="BS466" s="10" t="inlineStr">
        <is>
          <t xml:space="preserve"> Black Crows</t>
        </is>
      </c>
      <c r="BT466" s="11" t="inlineStr">
        <is>
          <t xml:space="preserve"> Ferox Freebird</t>
        </is>
      </c>
      <c r="BU466" s="13" t="n">
        <v>176.7</v>
      </c>
      <c r="BV466" s="11" t="inlineStr">
        <is>
          <t xml:space="preserve"> Unisex</t>
        </is>
      </c>
      <c r="BW466" s="13" t="n">
        <v>176.7</v>
      </c>
      <c r="BX466" s="13" t="n">
        <v>174.7</v>
      </c>
      <c r="BY466" s="13" t="n">
        <v>130</v>
      </c>
      <c r="BZ466" s="13" t="n">
        <v>139</v>
      </c>
      <c r="CA466" s="13" t="n">
        <v>138</v>
      </c>
      <c r="CB466" s="13" t="n">
        <v>110</v>
      </c>
      <c r="CC466" s="13" t="n">
        <v>127</v>
      </c>
      <c r="CD466" s="13" t="n">
        <v>21.1</v>
      </c>
      <c r="CE466" s="13" t="n">
        <v>1878</v>
      </c>
      <c r="CF466" s="13" t="n">
        <v>1.1</v>
      </c>
      <c r="CG466" s="13" t="n">
        <v>2065</v>
      </c>
      <c r="CH466" s="13" t="n">
        <v>209</v>
      </c>
      <c r="CI466" s="13" t="n">
        <v>79</v>
      </c>
      <c r="CJ466" s="13" t="n">
        <v>44</v>
      </c>
      <c r="CK466" s="13" t="n">
        <v>219</v>
      </c>
      <c r="CL466" s="13" t="n">
        <v>34</v>
      </c>
      <c r="CM466" s="13" t="n">
        <v>230</v>
      </c>
      <c r="CN466" s="13" t="n">
        <v>0.78</v>
      </c>
      <c r="CO466" s="13" t="n">
        <v>196</v>
      </c>
      <c r="CP466" s="13" t="n">
        <v>159</v>
      </c>
      <c r="CQ466" s="13" t="n">
        <v>23</v>
      </c>
      <c r="CR466" s="13" t="n">
        <v>3</v>
      </c>
      <c r="CS466" s="13" t="n">
        <v>8.300000000000001</v>
      </c>
      <c r="CT466" s="11" t="inlineStr">
        <is>
          <t xml:space="preserve"> Powder</t>
        </is>
      </c>
      <c r="CU466" s="11" t="inlineStr">
        <is>
          <t xml:space="preserve"> Touring</t>
        </is>
      </c>
      <c r="CV466" s="13" t="n"/>
      <c r="CW466" s="13" t="n"/>
      <c r="CX466">
        <f>INDEX('Data_Price '!AG$2:AG$1266,MATCH(Data!$DN466,'Data_Price '!$AT$2:$AT$1266,0))</f>
        <v/>
      </c>
      <c r="CY466">
        <f>INDEX('Data_Price '!AH$2:AH$1266,MATCH(Data!$DN466,'Data_Price '!$AT$2:$AT$1266,0))</f>
        <v/>
      </c>
      <c r="CZ466">
        <f>INDEX('Data_Price '!AI$2:AI$1266,MATCH(Data!$DN466,'Data_Price '!$AT$2:$AT$1266,0))</f>
        <v/>
      </c>
      <c r="DA466">
        <f>INDEX('Data_Price '!AJ$2:AJ$1266,MATCH(Data!$DN466,'Data_Price '!$AT$2:$AT$1266,0))</f>
        <v/>
      </c>
      <c r="DB466">
        <f>INDEX('Data_Price '!AK$2:AK$1266,MATCH(Data!$DN466,'Data_Price '!$AT$2:$AT$1266,0))</f>
        <v/>
      </c>
      <c r="DC466">
        <f>INDEX('Data_Price '!AL$2:AL$1266,MATCH(Data!$DN466,'Data_Price '!$AT$2:$AT$1266,0))</f>
        <v/>
      </c>
      <c r="DD466">
        <f>INDEX('Data_Price '!AM$2:AM$1266,MATCH(Data!$DN466,'Data_Price '!$AT$2:$AT$1266,0))</f>
        <v/>
      </c>
      <c r="DE466">
        <f>INDEX('Data_Price '!AN$2:AN$1266,MATCH(Data!$DN466,'Data_Price '!$AT$2:$AT$1266,0))</f>
        <v/>
      </c>
      <c r="DF466">
        <f>INDEX('Data_Price '!AO$2:AO$1266,MATCH(Data!$DN466,'Data_Price '!$AT$2:$AT$1266,0))</f>
        <v/>
      </c>
      <c r="DG466">
        <f>INDEX('Data_Price '!AP$2:AP$1266,MATCH(Data!$DN466,'Data_Price '!$AT$2:$AT$1266,0))</f>
        <v/>
      </c>
      <c r="DH466">
        <f>INDEX('Data_Price '!AQ$2:AQ$1266,MATCH(Data!$DN466,'Data_Price '!$AT$2:$AT$1266,0))</f>
        <v/>
      </c>
      <c r="DI466">
        <f>INDEX('Data_Price '!AR$2:AR$1266,MATCH(Data!$DN466,'Data_Price '!$AT$2:$AT$1266,0))</f>
        <v/>
      </c>
      <c r="DJ466" s="138">
        <f>DA466</f>
        <v/>
      </c>
      <c r="DK466" s="138">
        <f>DE466</f>
        <v/>
      </c>
      <c r="DL466" s="138">
        <f>DI466</f>
        <v/>
      </c>
      <c r="DM466" s="303">
        <f>IF(LEFT(BT466,1)=" ",RIGHT(BT466,LEN(BT466)-1),BT466)</f>
        <v/>
      </c>
      <c r="DN466" s="138">
        <f>_xlfn.CONCAT(BS466,DM466,BU466,BV466)</f>
        <v/>
      </c>
      <c r="DO466" s="307" t="inlineStr">
        <is>
          <t>https://images.evo.com/imgp/250/164660/659377/black-crows-ferox-freebird-skis-2022-.jpg</t>
        </is>
      </c>
    </row>
    <row r="467" ht="15.6" customHeight="1" s="184">
      <c r="B467" s="303">
        <f t="array" ref="B467">IF(OR(ISERROR(K467:P467)),FALSE,TRUE)</f>
        <v/>
      </c>
      <c r="C467" s="60">
        <f>OR(BR467=Driver!$G$50,Data!BR845=Driver!$H$50)</f>
        <v/>
      </c>
      <c r="D467" s="60">
        <f>OR(BV467=Driver!$G$51,BV467=Driver!$H$51)</f>
        <v/>
      </c>
      <c r="E467" s="60">
        <f>AND(BX467&gt;Driver!$F$54,BX467&lt;Driver!$G$54)</f>
        <v/>
      </c>
      <c r="F467" s="60">
        <f>CL467&gt;Driver!$F$56</f>
        <v/>
      </c>
      <c r="G467" s="60">
        <f>AND(CB467&gt;Driver!$F$55,CB467&lt;Driver!$G$55)</f>
        <v/>
      </c>
      <c r="H467" s="60">
        <f>AND(B467:G467)</f>
        <v/>
      </c>
      <c r="I467" s="60">
        <f>COUNTIFS($H$9:$H$1273,TRUE,$BT$9:$BT$1273,BT467)</f>
        <v/>
      </c>
      <c r="J467" s="60">
        <f t="array" ref="J467">NOT(OR(($H$9:$H$1273=TRUE)*($I$9:$I$1273&gt;0)*($BT$9:$BT$1273=BT467)*($K$9:$K$1273&gt;K467)))</f>
        <v/>
      </c>
      <c r="K467" s="108">
        <f>IFERROR(1-AVERAGE(X467:Y467),"")</f>
        <v/>
      </c>
      <c r="L467" s="108">
        <f>1-X467</f>
        <v/>
      </c>
      <c r="M467" s="108">
        <f>1-Y467</f>
        <v/>
      </c>
      <c r="N467" s="108">
        <f>1-Z467</f>
        <v/>
      </c>
      <c r="O467" s="108">
        <f>1-AA467</f>
        <v/>
      </c>
      <c r="P467" s="108">
        <f>1-AB467</f>
        <v/>
      </c>
      <c r="Q467" s="108" t="n"/>
      <c r="R467" s="108" t="n"/>
      <c r="S467" s="108">
        <f>1-AE467</f>
        <v/>
      </c>
      <c r="T467" s="108">
        <f>1-AF467</f>
        <v/>
      </c>
      <c r="U467" s="108">
        <f>1-AG467</f>
        <v/>
      </c>
      <c r="V467" s="108">
        <f>1-AH467</f>
        <v/>
      </c>
      <c r="W467" s="108">
        <f>1-AI467</f>
        <v/>
      </c>
      <c r="X467" s="108">
        <f>ABS(AJ467-AJ$1)</f>
        <v/>
      </c>
      <c r="Y467" s="108">
        <f>AVERAGE(Z467:AB467)</f>
        <v/>
      </c>
      <c r="Z467" s="108">
        <f>ABS(AL467-AL$1)</f>
        <v/>
      </c>
      <c r="AA467" s="108">
        <f>ABS(AM467-AM$1)</f>
        <v/>
      </c>
      <c r="AB467" s="108">
        <f>ABS(AN467-AN$1)</f>
        <v/>
      </c>
      <c r="AC467" s="108" t="n"/>
      <c r="AD467" s="108" t="n"/>
      <c r="AE467" s="108">
        <f>ABS(AQ$1-AQ467)</f>
        <v/>
      </c>
      <c r="AF467" s="108">
        <f>ABS(AR$1-AR467)</f>
        <v/>
      </c>
      <c r="AG467" s="108">
        <f>ABS(AS$1-AS467)</f>
        <v/>
      </c>
      <c r="AH467" s="108">
        <f>ABS(AT$1-AT467)</f>
        <v/>
      </c>
      <c r="AI467" s="108">
        <f>ABS(AU$1-AU467)</f>
        <v/>
      </c>
      <c r="AJ467" s="108">
        <f>(AV467-Driver!$K$179)/(Driver!$L$179-Driver!$K$179)</f>
        <v/>
      </c>
      <c r="AK467" s="108">
        <f>(AW467-Driver!$K$180)/(Driver!$L$180-Driver!$K$180)</f>
        <v/>
      </c>
      <c r="AL467" s="108">
        <f>(AX467-Driver!$K$181)/(Driver!$L$181-Driver!$K$181)</f>
        <v/>
      </c>
      <c r="AM467" s="108">
        <f>(AY467-Driver!$K$182)/(Driver!$L$182-Driver!$K$182)</f>
        <v/>
      </c>
      <c r="AN467" s="108">
        <f>(AZ467-Driver!$K$183)/(Driver!$L$183-Driver!$K$183)</f>
        <v/>
      </c>
      <c r="AO467" s="108" t="n"/>
      <c r="AP467" s="108" t="n"/>
      <c r="AQ467" s="108">
        <f>(BC467-Driver!$K$188)/(Driver!$L$188-Driver!$K$188)</f>
        <v/>
      </c>
      <c r="AR467" s="108">
        <f>MIN((BD467-Driver!$K$189)/(Driver!$L$189-Driver!$K$189),100%)</f>
        <v/>
      </c>
      <c r="AS467" s="108">
        <f>(BE467-Driver!$K$190)/(Driver!$L$190-Driver!$K$190)</f>
        <v/>
      </c>
      <c r="AT467" s="108">
        <f>(BF467-Driver!$K$191)/(Driver!$L$191-Driver!$K$191)</f>
        <v/>
      </c>
      <c r="AU467" s="108">
        <f>(BG467-Driver!$K$192)/(Driver!$L$192-Driver!$K$192)</f>
        <v/>
      </c>
      <c r="AV467" s="105">
        <f>IFERROR(BM467*BJ467^1/4,"")</f>
        <v/>
      </c>
      <c r="AW467" s="105">
        <f>IFERROR(SUM(AX467:AZ467),"")</f>
        <v/>
      </c>
      <c r="AX467" s="105">
        <f>IFERROR(BH467,"")</f>
        <v/>
      </c>
      <c r="AY467" s="105">
        <f>IFERROR(Driver!$K$19/Data!BH467/Data!BI467*Data!BK467*Data!BL467,"")</f>
        <v/>
      </c>
      <c r="AZ467" s="105">
        <f>IFERROR(BI467*BN467,"")</f>
        <v/>
      </c>
      <c r="BA467" s="105" t="n"/>
      <c r="BB467" s="105" t="n"/>
      <c r="BC467" s="105">
        <f>IFERROR(BI467*BN467*BK467/BJ467^(1/2),"")</f>
        <v/>
      </c>
      <c r="BD467" s="105">
        <f>IFERROR(BH467*BM467*BL467/BJ467/BK467,"")</f>
        <v/>
      </c>
      <c r="BE467" s="105">
        <f>IFERROR(MIN(BI467/BQ467/BP467/BO467/BH467,$BE$1),"")</f>
        <v/>
      </c>
      <c r="BF467" s="105">
        <f>IFERROR(BJ467*BO467*BP467/BK467,"")</f>
        <v/>
      </c>
      <c r="BG467" s="105">
        <f>IFERROR(1/BM467/BH467*BQ467,"")</f>
        <v/>
      </c>
      <c r="BH467" s="102">
        <f>MAX((CE467-Driver!$F$200)/(Driver!$G$200-Driver!$F$200)*$BI$1,1)</f>
        <v/>
      </c>
      <c r="BI467" s="102">
        <f>MAX($BI$1*(BY467-Driver!$F$201)/(Driver!$G$201-Driver!$F$201),1)</f>
        <v/>
      </c>
      <c r="BJ467" s="102">
        <f>(CB467-Driver!$F$206)/(Driver!$G$206-Driver!$F$206)*$BI$1</f>
        <v/>
      </c>
      <c r="BK467" s="102">
        <f>(CD467-Driver!$F$203)/(Driver!$G$203-Driver!$F$203)*$BI$1</f>
        <v/>
      </c>
      <c r="BL467" s="102">
        <f>MAX((CR467-Driver!$F$202)/(Driver!$G$202-Driver!$F$202)*$BI$1,1)</f>
        <v/>
      </c>
      <c r="BM467" s="102">
        <f>MAX((CH467-Driver!$F$204)/(Driver!$G$204-Driver!$F$204)*$BI$1,1)</f>
        <v/>
      </c>
      <c r="BN467" s="102">
        <f>(CI467-Driver!$F$205)/(Driver!$G$205-Driver!$F$205)*$BI$1</f>
        <v/>
      </c>
      <c r="BO467" s="102">
        <f>(CK467-Driver!$F$207)/(Driver!$G$207-Driver!$F$207)*$BI$1</f>
        <v/>
      </c>
      <c r="BP467" s="102">
        <f>(CM467-Driver!$F$208)/(Driver!$G$208-Driver!$F$208)*$BI$1</f>
        <v/>
      </c>
      <c r="BQ467" s="102">
        <f>(CL467-Driver!$F$209)/(Driver!$G$209-Driver!$F$209)*$BI$1</f>
        <v/>
      </c>
      <c r="BR467" s="40" t="inlineStr">
        <is>
          <t>21/22</t>
        </is>
      </c>
      <c r="BS467" s="10" t="inlineStr">
        <is>
          <t xml:space="preserve"> Line</t>
        </is>
      </c>
      <c r="BT467" s="11" t="inlineStr">
        <is>
          <t>Pandora 104</t>
        </is>
      </c>
      <c r="BU467" s="13" t="n">
        <v>172</v>
      </c>
      <c r="BV467" s="11" t="inlineStr">
        <is>
          <t xml:space="preserve"> Women's</t>
        </is>
      </c>
      <c r="BW467" s="13" t="n">
        <v>172</v>
      </c>
      <c r="BX467" s="13" t="n">
        <v>171.7</v>
      </c>
      <c r="BY467" s="13" t="n">
        <v>117</v>
      </c>
      <c r="BZ467" s="13" t="n">
        <v>134</v>
      </c>
      <c r="CA467" s="13" t="n">
        <v>136</v>
      </c>
      <c r="CB467" s="13" t="n">
        <v>103</v>
      </c>
      <c r="CC467" s="13" t="n">
        <v>121</v>
      </c>
      <c r="CD467" s="13" t="n">
        <v>16.4</v>
      </c>
      <c r="CE467" s="13" t="n">
        <v>1624</v>
      </c>
      <c r="CF467" s="13" t="n">
        <v>1.2</v>
      </c>
      <c r="CG467" s="13" t="n">
        <v>1947</v>
      </c>
      <c r="CH467" s="13" t="n">
        <v>150</v>
      </c>
      <c r="CI467" s="13" t="n">
        <v>78</v>
      </c>
      <c r="CJ467" s="13" t="n">
        <v>53</v>
      </c>
      <c r="CK467" s="13" t="n">
        <v>342</v>
      </c>
      <c r="CL467" s="13" t="n">
        <v>21</v>
      </c>
      <c r="CM467" s="13" t="n">
        <v>208</v>
      </c>
      <c r="CN467" s="13" t="n">
        <v>0.385</v>
      </c>
      <c r="CO467" s="13" t="n">
        <v>184</v>
      </c>
      <c r="CP467" s="13" t="n">
        <v>195</v>
      </c>
      <c r="CQ467" s="13" t="n">
        <v>158</v>
      </c>
      <c r="CR467" s="13" t="n">
        <v>5</v>
      </c>
      <c r="CS467" s="13" t="n">
        <v>9.9</v>
      </c>
      <c r="CT467" s="11" t="inlineStr">
        <is>
          <t xml:space="preserve"> Resort Freeride</t>
        </is>
      </c>
      <c r="CU467" s="11" t="inlineStr">
        <is>
          <t xml:space="preserve"> Powder</t>
        </is>
      </c>
      <c r="CV467" s="11" t="inlineStr">
        <is>
          <t xml:space="preserve"> Big Mountain</t>
        </is>
      </c>
      <c r="CW467" s="11" t="inlineStr">
        <is>
          <t xml:space="preserve"> Touring</t>
        </is>
      </c>
      <c r="CX467">
        <f>INDEX('Data_Price '!AG$2:AG$1266,MATCH(Data!$DN467,'Data_Price '!$AT$2:$AT$1266,0))</f>
        <v/>
      </c>
      <c r="CY467">
        <f>INDEX('Data_Price '!AH$2:AH$1266,MATCH(Data!$DN467,'Data_Price '!$AT$2:$AT$1266,0))</f>
        <v/>
      </c>
      <c r="CZ467">
        <f>INDEX('Data_Price '!AI$2:AI$1266,MATCH(Data!$DN467,'Data_Price '!$AT$2:$AT$1266,0))</f>
        <v/>
      </c>
      <c r="DA467">
        <f>INDEX('Data_Price '!AJ$2:AJ$1266,MATCH(Data!$DN467,'Data_Price '!$AT$2:$AT$1266,0))</f>
        <v/>
      </c>
      <c r="DB467">
        <f>INDEX('Data_Price '!AK$2:AK$1266,MATCH(Data!$DN467,'Data_Price '!$AT$2:$AT$1266,0))</f>
        <v/>
      </c>
      <c r="DC467">
        <f>INDEX('Data_Price '!AL$2:AL$1266,MATCH(Data!$DN467,'Data_Price '!$AT$2:$AT$1266,0))</f>
        <v/>
      </c>
      <c r="DD467">
        <f>INDEX('Data_Price '!AM$2:AM$1266,MATCH(Data!$DN467,'Data_Price '!$AT$2:$AT$1266,0))</f>
        <v/>
      </c>
      <c r="DE467">
        <f>INDEX('Data_Price '!AN$2:AN$1266,MATCH(Data!$DN467,'Data_Price '!$AT$2:$AT$1266,0))</f>
        <v/>
      </c>
      <c r="DF467">
        <f>INDEX('Data_Price '!AO$2:AO$1266,MATCH(Data!$DN467,'Data_Price '!$AT$2:$AT$1266,0))</f>
        <v/>
      </c>
      <c r="DG467">
        <f>INDEX('Data_Price '!AP$2:AP$1266,MATCH(Data!$DN467,'Data_Price '!$AT$2:$AT$1266,0))</f>
        <v/>
      </c>
      <c r="DH467">
        <f>INDEX('Data_Price '!AQ$2:AQ$1266,MATCH(Data!$DN467,'Data_Price '!$AT$2:$AT$1266,0))</f>
        <v/>
      </c>
      <c r="DI467">
        <f>INDEX('Data_Price '!AR$2:AR$1266,MATCH(Data!$DN467,'Data_Price '!$AT$2:$AT$1266,0))</f>
        <v/>
      </c>
      <c r="DJ467" s="138">
        <f>DA467</f>
        <v/>
      </c>
      <c r="DK467" s="138">
        <f>DE467</f>
        <v/>
      </c>
      <c r="DL467" s="138">
        <f>DI467</f>
        <v/>
      </c>
      <c r="DM467" s="303">
        <f>IF(LEFT(BT467,1)=" ",RIGHT(BT467,LEN(BT467)-1),BT467)</f>
        <v/>
      </c>
      <c r="DN467" s="138">
        <f>_xlfn.CONCAT(BS467,DM467,BU467,BV467)</f>
        <v/>
      </c>
      <c r="DO467" s="307" t="inlineStr">
        <is>
          <t>https://images.evo.com/imgp/250/198430/817631/line-skis-pandora-104-skis-women-s-2022-.jpg</t>
        </is>
      </c>
    </row>
    <row r="468" ht="15.6" customHeight="1" s="184">
      <c r="B468" s="303">
        <f t="array" ref="B468">IF(OR(ISERROR(K468:P468)),FALSE,TRUE)</f>
        <v/>
      </c>
      <c r="C468" s="60">
        <f>OR(BR468=Driver!$G$50,Data!BR557=Driver!$H$50)</f>
        <v/>
      </c>
      <c r="D468" s="60">
        <f>OR(BV468=Driver!$G$51,BV468=Driver!$H$51)</f>
        <v/>
      </c>
      <c r="E468" s="60">
        <f>AND(BX468&gt;Driver!$F$54,BX468&lt;Driver!$G$54)</f>
        <v/>
      </c>
      <c r="F468" s="60">
        <f>CL468&gt;Driver!$F$56</f>
        <v/>
      </c>
      <c r="G468" s="60">
        <f>AND(CB468&gt;Driver!$F$55,CB468&lt;Driver!$G$55)</f>
        <v/>
      </c>
      <c r="H468" s="60">
        <f>AND(B468:G468)</f>
        <v/>
      </c>
      <c r="I468" s="60">
        <f>COUNTIFS($H$9:$H$1273,TRUE,$BT$9:$BT$1273,BT468)</f>
        <v/>
      </c>
      <c r="J468" s="60">
        <f t="array" ref="J468">NOT(OR(($H$9:$H$1273=TRUE)*($I$9:$I$1273&gt;0)*($BT$9:$BT$1273=BT468)*($K$9:$K$1273&gt;K468)))</f>
        <v/>
      </c>
      <c r="K468" s="108">
        <f>IFERROR(1-AVERAGE(X468:Y468),"")</f>
        <v/>
      </c>
      <c r="L468" s="108">
        <f>1-X468</f>
        <v/>
      </c>
      <c r="M468" s="108">
        <f>1-Y468</f>
        <v/>
      </c>
      <c r="N468" s="108">
        <f>1-Z468</f>
        <v/>
      </c>
      <c r="O468" s="108">
        <f>1-AA468</f>
        <v/>
      </c>
      <c r="P468" s="108">
        <f>1-AB468</f>
        <v/>
      </c>
      <c r="Q468" s="108" t="n"/>
      <c r="R468" s="108" t="n"/>
      <c r="S468" s="108">
        <f>1-AE468</f>
        <v/>
      </c>
      <c r="T468" s="108">
        <f>1-AF468</f>
        <v/>
      </c>
      <c r="U468" s="108">
        <f>1-AG468</f>
        <v/>
      </c>
      <c r="V468" s="108">
        <f>1-AH468</f>
        <v/>
      </c>
      <c r="W468" s="108">
        <f>1-AI468</f>
        <v/>
      </c>
      <c r="X468" s="108">
        <f>ABS(AJ468-AJ$1)</f>
        <v/>
      </c>
      <c r="Y468" s="108">
        <f>AVERAGE(Z468:AB468)</f>
        <v/>
      </c>
      <c r="Z468" s="108">
        <f>ABS(AL468-AL$1)</f>
        <v/>
      </c>
      <c r="AA468" s="108">
        <f>ABS(AM468-AM$1)</f>
        <v/>
      </c>
      <c r="AB468" s="108">
        <f>ABS(AN468-AN$1)</f>
        <v/>
      </c>
      <c r="AC468" s="108" t="n"/>
      <c r="AD468" s="108" t="n"/>
      <c r="AE468" s="108">
        <f>ABS(AQ$1-AQ468)</f>
        <v/>
      </c>
      <c r="AF468" s="108">
        <f>ABS(AR$1-AR468)</f>
        <v/>
      </c>
      <c r="AG468" s="108">
        <f>ABS(AS$1-AS468)</f>
        <v/>
      </c>
      <c r="AH468" s="108">
        <f>ABS(AT$1-AT468)</f>
        <v/>
      </c>
      <c r="AI468" s="108">
        <f>ABS(AU$1-AU468)</f>
        <v/>
      </c>
      <c r="AJ468" s="108">
        <f>(AV468-Driver!$K$179)/(Driver!$L$179-Driver!$K$179)</f>
        <v/>
      </c>
      <c r="AK468" s="108">
        <f>(AW468-Driver!$K$180)/(Driver!$L$180-Driver!$K$180)</f>
        <v/>
      </c>
      <c r="AL468" s="108">
        <f>(AX468-Driver!$K$181)/(Driver!$L$181-Driver!$K$181)</f>
        <v/>
      </c>
      <c r="AM468" s="108">
        <f>(AY468-Driver!$K$182)/(Driver!$L$182-Driver!$K$182)</f>
        <v/>
      </c>
      <c r="AN468" s="108">
        <f>(AZ468-Driver!$K$183)/(Driver!$L$183-Driver!$K$183)</f>
        <v/>
      </c>
      <c r="AO468" s="108" t="n"/>
      <c r="AP468" s="108" t="n"/>
      <c r="AQ468" s="108">
        <f>(BC468-Driver!$K$188)/(Driver!$L$188-Driver!$K$188)</f>
        <v/>
      </c>
      <c r="AR468" s="108">
        <f>MIN((BD468-Driver!$K$189)/(Driver!$L$189-Driver!$K$189),100%)</f>
        <v/>
      </c>
      <c r="AS468" s="108">
        <f>(BE468-Driver!$K$190)/(Driver!$L$190-Driver!$K$190)</f>
        <v/>
      </c>
      <c r="AT468" s="108">
        <f>(BF468-Driver!$K$191)/(Driver!$L$191-Driver!$K$191)</f>
        <v/>
      </c>
      <c r="AU468" s="108">
        <f>(BG468-Driver!$K$192)/(Driver!$L$192-Driver!$K$192)</f>
        <v/>
      </c>
      <c r="AV468" s="105">
        <f>IFERROR(BM468*BJ468^1/4,"")</f>
        <v/>
      </c>
      <c r="AW468" s="105">
        <f>IFERROR(SUM(AX468:AZ468),"")</f>
        <v/>
      </c>
      <c r="AX468" s="105">
        <f>IFERROR(BH468,"")</f>
        <v/>
      </c>
      <c r="AY468" s="105">
        <f>IFERROR(Driver!$K$19/Data!BH468/Data!BI468*Data!BK468*Data!BL468,"")</f>
        <v/>
      </c>
      <c r="AZ468" s="105">
        <f>IFERROR(BI468*BN468,"")</f>
        <v/>
      </c>
      <c r="BA468" s="105" t="n"/>
      <c r="BB468" s="105" t="n"/>
      <c r="BC468" s="105">
        <f>IFERROR(BI468*BN468*BK468/BJ468^(1/2),"")</f>
        <v/>
      </c>
      <c r="BD468" s="105">
        <f>IFERROR(BH468*BM468*BL468/BJ468/BK468,"")</f>
        <v/>
      </c>
      <c r="BE468" s="105">
        <f>IFERROR(MIN(BI468/BQ468/BP468/BO468/BH468,$BE$1),"")</f>
        <v/>
      </c>
      <c r="BF468" s="105">
        <f>IFERROR(BJ468*BO468*BP468/BK468,"")</f>
        <v/>
      </c>
      <c r="BG468" s="105">
        <f>IFERROR(1/BM468/BH468*BQ468,"")</f>
        <v/>
      </c>
      <c r="BH468" s="102">
        <f>MAX((CE468-Driver!$F$200)/(Driver!$G$200-Driver!$F$200)*$BI$1,1)</f>
        <v/>
      </c>
      <c r="BI468" s="102">
        <f>MAX($BI$1*(BY468-Driver!$F$201)/(Driver!$G$201-Driver!$F$201),1)</f>
        <v/>
      </c>
      <c r="BJ468" s="102">
        <f>(CB468-Driver!$F$206)/(Driver!$G$206-Driver!$F$206)*$BI$1</f>
        <v/>
      </c>
      <c r="BK468" s="102">
        <f>(CD468-Driver!$F$203)/(Driver!$G$203-Driver!$F$203)*$BI$1</f>
        <v/>
      </c>
      <c r="BL468" s="102">
        <f>MAX((CR468-Driver!$F$202)/(Driver!$G$202-Driver!$F$202)*$BI$1,1)</f>
        <v/>
      </c>
      <c r="BM468" s="102">
        <f>MAX((CH468-Driver!$F$204)/(Driver!$G$204-Driver!$F$204)*$BI$1,1)</f>
        <v/>
      </c>
      <c r="BN468" s="102">
        <f>(CI468-Driver!$F$205)/(Driver!$G$205-Driver!$F$205)*$BI$1</f>
        <v/>
      </c>
      <c r="BO468" s="102">
        <f>(CK468-Driver!$F$207)/(Driver!$G$207-Driver!$F$207)*$BI$1</f>
        <v/>
      </c>
      <c r="BP468" s="102">
        <f>(CM468-Driver!$F$208)/(Driver!$G$208-Driver!$F$208)*$BI$1</f>
        <v/>
      </c>
      <c r="BQ468" s="102">
        <f>(CL468-Driver!$F$209)/(Driver!$G$209-Driver!$F$209)*$BI$1</f>
        <v/>
      </c>
      <c r="BR468" s="40" t="inlineStr">
        <is>
          <t>21/22</t>
        </is>
      </c>
      <c r="BS468" s="10" t="inlineStr">
        <is>
          <t xml:space="preserve"> Fischer</t>
        </is>
      </c>
      <c r="BT468" s="11" t="inlineStr">
        <is>
          <t>Hannibal 96</t>
        </is>
      </c>
      <c r="BU468" s="13" t="n">
        <v>183</v>
      </c>
      <c r="BV468" s="11" t="inlineStr">
        <is>
          <t xml:space="preserve"> Unisex</t>
        </is>
      </c>
      <c r="BW468" s="13" t="n">
        <v>183</v>
      </c>
      <c r="BX468" s="13" t="n">
        <v>181.9</v>
      </c>
      <c r="BY468" s="13" t="n">
        <v>139</v>
      </c>
      <c r="BZ468" s="13" t="n">
        <v>156</v>
      </c>
      <c r="CA468" s="13" t="n">
        <v>127</v>
      </c>
      <c r="CB468" s="13" t="n">
        <v>96</v>
      </c>
      <c r="CC468" s="13" t="n">
        <v>114</v>
      </c>
      <c r="CD468" s="13" t="n">
        <v>22.3</v>
      </c>
      <c r="CE468" s="13" t="n">
        <v>1367</v>
      </c>
      <c r="CF468" s="13" t="n">
        <v>1.4</v>
      </c>
      <c r="CG468" s="13" t="n">
        <v>1919</v>
      </c>
      <c r="CH468" s="13" t="n">
        <v>179</v>
      </c>
      <c r="CI468" s="13" t="n">
        <v>78</v>
      </c>
      <c r="CJ468" s="13" t="n">
        <v>60</v>
      </c>
      <c r="CK468" s="13" t="n">
        <v>308</v>
      </c>
      <c r="CL468" s="13" t="n">
        <v>3</v>
      </c>
      <c r="CM468" s="13" t="n">
        <v>125</v>
      </c>
      <c r="CN468" s="13" t="n">
        <v>0.058</v>
      </c>
      <c r="CO468" s="13" t="n">
        <v>172</v>
      </c>
      <c r="CP468" s="13" t="n">
        <v>91</v>
      </c>
      <c r="CQ468" s="13" t="n">
        <v>136</v>
      </c>
      <c r="CR468" s="13" t="n">
        <v>6</v>
      </c>
      <c r="CS468" s="13" t="n">
        <v>9.6</v>
      </c>
      <c r="CT468" s="11" t="inlineStr">
        <is>
          <t xml:space="preserve"> Touring</t>
        </is>
      </c>
      <c r="CU468" s="11" t="inlineStr">
        <is>
          <t xml:space="preserve"> Ultralight Touring</t>
        </is>
      </c>
      <c r="CV468" s="13" t="n"/>
      <c r="CW468" s="13" t="n"/>
      <c r="CX468">
        <f>INDEX('Data_Price '!AG$2:AG$1266,MATCH(Data!$DN468,'Data_Price '!$AT$2:$AT$1266,0))</f>
        <v/>
      </c>
      <c r="CY468">
        <f>INDEX('Data_Price '!AH$2:AH$1266,MATCH(Data!$DN468,'Data_Price '!$AT$2:$AT$1266,0))</f>
        <v/>
      </c>
      <c r="CZ468">
        <f>INDEX('Data_Price '!AI$2:AI$1266,MATCH(Data!$DN468,'Data_Price '!$AT$2:$AT$1266,0))</f>
        <v/>
      </c>
      <c r="DA468">
        <f>INDEX('Data_Price '!AJ$2:AJ$1266,MATCH(Data!$DN468,'Data_Price '!$AT$2:$AT$1266,0))</f>
        <v/>
      </c>
      <c r="DB468">
        <f>INDEX('Data_Price '!AK$2:AK$1266,MATCH(Data!$DN468,'Data_Price '!$AT$2:$AT$1266,0))</f>
        <v/>
      </c>
      <c r="DC468">
        <f>INDEX('Data_Price '!AL$2:AL$1266,MATCH(Data!$DN468,'Data_Price '!$AT$2:$AT$1266,0))</f>
        <v/>
      </c>
      <c r="DD468">
        <f>INDEX('Data_Price '!AM$2:AM$1266,MATCH(Data!$DN468,'Data_Price '!$AT$2:$AT$1266,0))</f>
        <v/>
      </c>
      <c r="DE468">
        <f>INDEX('Data_Price '!AN$2:AN$1266,MATCH(Data!$DN468,'Data_Price '!$AT$2:$AT$1266,0))</f>
        <v/>
      </c>
      <c r="DF468">
        <f>INDEX('Data_Price '!AO$2:AO$1266,MATCH(Data!$DN468,'Data_Price '!$AT$2:$AT$1266,0))</f>
        <v/>
      </c>
      <c r="DG468">
        <f>INDEX('Data_Price '!AP$2:AP$1266,MATCH(Data!$DN468,'Data_Price '!$AT$2:$AT$1266,0))</f>
        <v/>
      </c>
      <c r="DH468">
        <f>INDEX('Data_Price '!AQ$2:AQ$1266,MATCH(Data!$DN468,'Data_Price '!$AT$2:$AT$1266,0))</f>
        <v/>
      </c>
      <c r="DI468">
        <f>INDEX('Data_Price '!AR$2:AR$1266,MATCH(Data!$DN468,'Data_Price '!$AT$2:$AT$1266,0))</f>
        <v/>
      </c>
      <c r="DJ468" s="138">
        <f>DA468</f>
        <v/>
      </c>
      <c r="DK468" s="138">
        <f>DE468</f>
        <v/>
      </c>
      <c r="DL468" s="138">
        <f>DI468</f>
        <v/>
      </c>
      <c r="DM468" s="303">
        <f>IF(LEFT(BT468,1)=" ",RIGHT(BT468,LEN(BT468)-1),BT468)</f>
        <v/>
      </c>
      <c r="DN468" s="138">
        <f>_xlfn.CONCAT(BS468,DM468,BU468,BV468)</f>
        <v/>
      </c>
      <c r="DO468" s="307" t="inlineStr">
        <is>
          <t>https://images.evo.com/imgp/250/209040/846563/fischer-hannibal-96-carbon-skis-2022-.jpg</t>
        </is>
      </c>
    </row>
    <row r="469" ht="15.6" customHeight="1" s="184">
      <c r="B469" s="303">
        <f t="array" ref="B469">IF(OR(ISERROR(K469:P469)),FALSE,TRUE)</f>
        <v/>
      </c>
      <c r="C469" s="60">
        <f>OR(BR469=Driver!$G$50,Data!BR1230=Driver!$H$50)</f>
        <v/>
      </c>
      <c r="D469" s="60">
        <f>OR(BV469=Driver!$G$51,BV469=Driver!$H$51)</f>
        <v/>
      </c>
      <c r="E469" s="60">
        <f>AND(BX469&gt;Driver!$F$54,BX469&lt;Driver!$G$54)</f>
        <v/>
      </c>
      <c r="F469" s="60">
        <f>CL469&gt;Driver!$F$56</f>
        <v/>
      </c>
      <c r="G469" s="60">
        <f>AND(CB469&gt;Driver!$F$55,CB469&lt;Driver!$G$55)</f>
        <v/>
      </c>
      <c r="H469" s="60">
        <f>AND(B469:G469)</f>
        <v/>
      </c>
      <c r="I469" s="60">
        <f>COUNTIFS($H$9:$H$1273,TRUE,$BT$9:$BT$1273,BT469)</f>
        <v/>
      </c>
      <c r="J469" s="60">
        <f t="array" ref="J469">NOT(OR(($H$9:$H$1273=TRUE)*($I$9:$I$1273&gt;0)*($BT$9:$BT$1273=BT469)*($K$9:$K$1273&gt;K469)))</f>
        <v/>
      </c>
      <c r="K469" s="108">
        <f>IFERROR(1-AVERAGE(X469:Y469),"")</f>
        <v/>
      </c>
      <c r="L469" s="108">
        <f>1-X469</f>
        <v/>
      </c>
      <c r="M469" s="108">
        <f>1-Y469</f>
        <v/>
      </c>
      <c r="N469" s="108">
        <f>1-Z469</f>
        <v/>
      </c>
      <c r="O469" s="108">
        <f>1-AA469</f>
        <v/>
      </c>
      <c r="P469" s="108">
        <f>1-AB469</f>
        <v/>
      </c>
      <c r="Q469" s="108" t="n"/>
      <c r="R469" s="108" t="n"/>
      <c r="S469" s="108">
        <f>1-AE469</f>
        <v/>
      </c>
      <c r="T469" s="108">
        <f>1-AF469</f>
        <v/>
      </c>
      <c r="U469" s="108">
        <f>1-AG469</f>
        <v/>
      </c>
      <c r="V469" s="108">
        <f>1-AH469</f>
        <v/>
      </c>
      <c r="W469" s="108">
        <f>1-AI469</f>
        <v/>
      </c>
      <c r="X469" s="108">
        <f>ABS(AJ469-AJ$1)</f>
        <v/>
      </c>
      <c r="Y469" s="108">
        <f>AVERAGE(Z469:AB469)</f>
        <v/>
      </c>
      <c r="Z469" s="108">
        <f>ABS(AL469-AL$1)</f>
        <v/>
      </c>
      <c r="AA469" s="108">
        <f>ABS(AM469-AM$1)</f>
        <v/>
      </c>
      <c r="AB469" s="108">
        <f>ABS(AN469-AN$1)</f>
        <v/>
      </c>
      <c r="AC469" s="108" t="n"/>
      <c r="AD469" s="108" t="n"/>
      <c r="AE469" s="108">
        <f>ABS(AQ$1-AQ469)</f>
        <v/>
      </c>
      <c r="AF469" s="108">
        <f>ABS(AR$1-AR469)</f>
        <v/>
      </c>
      <c r="AG469" s="108">
        <f>ABS(AS$1-AS469)</f>
        <v/>
      </c>
      <c r="AH469" s="108">
        <f>ABS(AT$1-AT469)</f>
        <v/>
      </c>
      <c r="AI469" s="108">
        <f>ABS(AU$1-AU469)</f>
        <v/>
      </c>
      <c r="AJ469" s="108">
        <f>(AV469-Driver!$K$179)/(Driver!$L$179-Driver!$K$179)</f>
        <v/>
      </c>
      <c r="AK469" s="108">
        <f>(AW469-Driver!$K$180)/(Driver!$L$180-Driver!$K$180)</f>
        <v/>
      </c>
      <c r="AL469" s="108">
        <f>(AX469-Driver!$K$181)/(Driver!$L$181-Driver!$K$181)</f>
        <v/>
      </c>
      <c r="AM469" s="108">
        <f>(AY469-Driver!$K$182)/(Driver!$L$182-Driver!$K$182)</f>
        <v/>
      </c>
      <c r="AN469" s="108">
        <f>(AZ469-Driver!$K$183)/(Driver!$L$183-Driver!$K$183)</f>
        <v/>
      </c>
      <c r="AO469" s="108" t="n"/>
      <c r="AP469" s="108" t="n"/>
      <c r="AQ469" s="108">
        <f>(BC469-Driver!$K$188)/(Driver!$L$188-Driver!$K$188)</f>
        <v/>
      </c>
      <c r="AR469" s="108">
        <f>MIN((BD469-Driver!$K$189)/(Driver!$L$189-Driver!$K$189),100%)</f>
        <v/>
      </c>
      <c r="AS469" s="108">
        <f>(BE469-Driver!$K$190)/(Driver!$L$190-Driver!$K$190)</f>
        <v/>
      </c>
      <c r="AT469" s="108">
        <f>(BF469-Driver!$K$191)/(Driver!$L$191-Driver!$K$191)</f>
        <v/>
      </c>
      <c r="AU469" s="108">
        <f>(BG469-Driver!$K$192)/(Driver!$L$192-Driver!$K$192)</f>
        <v/>
      </c>
      <c r="AV469" s="105">
        <f>IFERROR(BM469*BJ469^1/4,"")</f>
        <v/>
      </c>
      <c r="AW469" s="105">
        <f>IFERROR(SUM(AX469:AZ469),"")</f>
        <v/>
      </c>
      <c r="AX469" s="105">
        <f>IFERROR(BH469,"")</f>
        <v/>
      </c>
      <c r="AY469" s="105">
        <f>IFERROR(Driver!$K$19/Data!BH469/Data!BI469*Data!BK469*Data!BL469,"")</f>
        <v/>
      </c>
      <c r="AZ469" s="105">
        <f>IFERROR(BI469*BN469,"")</f>
        <v/>
      </c>
      <c r="BA469" s="105" t="n"/>
      <c r="BB469" s="105" t="n"/>
      <c r="BC469" s="105">
        <f>IFERROR(BI469*BN469*BK469/BJ469^(1/2),"")</f>
        <v/>
      </c>
      <c r="BD469" s="105">
        <f>IFERROR(BH469*BM469*BL469/BJ469/BK469,"")</f>
        <v/>
      </c>
      <c r="BE469" s="105">
        <f>IFERROR(MIN(BI469/BQ469/BP469/BO469/BH469,$BE$1),"")</f>
        <v/>
      </c>
      <c r="BF469" s="105">
        <f>IFERROR(BJ469*BO469*BP469/BK469,"")</f>
        <v/>
      </c>
      <c r="BG469" s="105">
        <f>IFERROR(1/BM469/BH469*BQ469,"")</f>
        <v/>
      </c>
      <c r="BH469" s="102">
        <f>MAX((CE469-Driver!$F$200)/(Driver!$G$200-Driver!$F$200)*$BI$1,1)</f>
        <v/>
      </c>
      <c r="BI469" s="102">
        <f>MAX($BI$1*(BY469-Driver!$F$201)/(Driver!$G$201-Driver!$F$201),1)</f>
        <v/>
      </c>
      <c r="BJ469" s="102">
        <f>(CB469-Driver!$F$206)/(Driver!$G$206-Driver!$F$206)*$BI$1</f>
        <v/>
      </c>
      <c r="BK469" s="102">
        <f>(CD469-Driver!$F$203)/(Driver!$G$203-Driver!$F$203)*$BI$1</f>
        <v/>
      </c>
      <c r="BL469" s="102">
        <f>MAX((CR469-Driver!$F$202)/(Driver!$G$202-Driver!$F$202)*$BI$1,1)</f>
        <v/>
      </c>
      <c r="BM469" s="102">
        <f>MAX((CH469-Driver!$F$204)/(Driver!$G$204-Driver!$F$204)*$BI$1,1)</f>
        <v/>
      </c>
      <c r="BN469" s="102">
        <f>(CI469-Driver!$F$205)/(Driver!$G$205-Driver!$F$205)*$BI$1</f>
        <v/>
      </c>
      <c r="BO469" s="102">
        <f>(CK469-Driver!$F$207)/(Driver!$G$207-Driver!$F$207)*$BI$1</f>
        <v/>
      </c>
      <c r="BP469" s="102">
        <f>(CM469-Driver!$F$208)/(Driver!$G$208-Driver!$F$208)*$BI$1</f>
        <v/>
      </c>
      <c r="BQ469" s="102">
        <f>(CL469-Driver!$F$209)/(Driver!$G$209-Driver!$F$209)*$BI$1</f>
        <v/>
      </c>
      <c r="BR469" s="40" t="inlineStr">
        <is>
          <t>21/22</t>
        </is>
      </c>
      <c r="BS469" s="10" t="inlineStr">
        <is>
          <t xml:space="preserve"> Völkl</t>
        </is>
      </c>
      <c r="BT469" s="11" t="inlineStr">
        <is>
          <t xml:space="preserve"> Mantra V.Werks</t>
        </is>
      </c>
      <c r="BU469" s="13" t="n">
        <v>178</v>
      </c>
      <c r="BV469" s="11" t="inlineStr">
        <is>
          <t xml:space="preserve"> Unisex</t>
        </is>
      </c>
      <c r="BW469" s="13" t="n">
        <v>178</v>
      </c>
      <c r="BX469" s="13" t="n">
        <v>179.8</v>
      </c>
      <c r="BY469" s="13" t="n">
        <v>130</v>
      </c>
      <c r="BZ469" s="13" t="n">
        <v>151</v>
      </c>
      <c r="CA469" s="13" t="n">
        <v>134</v>
      </c>
      <c r="CB469" s="13" t="n">
        <v>98</v>
      </c>
      <c r="CC469" s="13" t="n">
        <v>116</v>
      </c>
      <c r="CD469" s="13" t="n">
        <v>21.2</v>
      </c>
      <c r="CE469" s="13" t="n">
        <v>1653</v>
      </c>
      <c r="CF469" s="13" t="n">
        <v>1.18</v>
      </c>
      <c r="CG469" s="13" t="n">
        <v>1955</v>
      </c>
      <c r="CH469" s="13" t="n">
        <v>190</v>
      </c>
      <c r="CI469" s="13" t="n">
        <v>150</v>
      </c>
      <c r="CJ469" s="13" t="n">
        <v>49</v>
      </c>
      <c r="CK469" s="13" t="n">
        <v>294</v>
      </c>
      <c r="CL469" s="13" t="n">
        <v>17</v>
      </c>
      <c r="CM469" s="13" t="n">
        <v>208</v>
      </c>
      <c r="CN469" s="13" t="n">
        <v>0.354</v>
      </c>
      <c r="CO469" s="13" t="n">
        <v>155</v>
      </c>
      <c r="CP469" s="13" t="n">
        <v>129</v>
      </c>
      <c r="CQ469" s="13" t="n">
        <v>139</v>
      </c>
      <c r="CR469" s="13" t="n">
        <v>2</v>
      </c>
      <c r="CS469" s="13" t="n">
        <v>10.5</v>
      </c>
      <c r="CT469" s="11" t="inlineStr">
        <is>
          <t xml:space="preserve"> Resort Freeride</t>
        </is>
      </c>
      <c r="CU469" s="11" t="inlineStr">
        <is>
          <t xml:space="preserve"> Touring</t>
        </is>
      </c>
      <c r="CV469" s="13" t="n"/>
      <c r="CW469" s="13" t="n"/>
      <c r="CX469">
        <f>INDEX('Data_Price '!AG$2:AG$1266,MATCH(Data!$DN469,'Data_Price '!$AT$2:$AT$1266,0))</f>
        <v/>
      </c>
      <c r="CY469">
        <f>INDEX('Data_Price '!AH$2:AH$1266,MATCH(Data!$DN469,'Data_Price '!$AT$2:$AT$1266,0))</f>
        <v/>
      </c>
      <c r="CZ469">
        <f>INDEX('Data_Price '!AI$2:AI$1266,MATCH(Data!$DN469,'Data_Price '!$AT$2:$AT$1266,0))</f>
        <v/>
      </c>
      <c r="DA469">
        <f>INDEX('Data_Price '!AJ$2:AJ$1266,MATCH(Data!$DN469,'Data_Price '!$AT$2:$AT$1266,0))</f>
        <v/>
      </c>
      <c r="DB469">
        <f>INDEX('Data_Price '!AK$2:AK$1266,MATCH(Data!$DN469,'Data_Price '!$AT$2:$AT$1266,0))</f>
        <v/>
      </c>
      <c r="DC469">
        <f>INDEX('Data_Price '!AL$2:AL$1266,MATCH(Data!$DN469,'Data_Price '!$AT$2:$AT$1266,0))</f>
        <v/>
      </c>
      <c r="DD469">
        <f>INDEX('Data_Price '!AM$2:AM$1266,MATCH(Data!$DN469,'Data_Price '!$AT$2:$AT$1266,0))</f>
        <v/>
      </c>
      <c r="DE469">
        <f>INDEX('Data_Price '!AN$2:AN$1266,MATCH(Data!$DN469,'Data_Price '!$AT$2:$AT$1266,0))</f>
        <v/>
      </c>
      <c r="DF469">
        <f>INDEX('Data_Price '!AO$2:AO$1266,MATCH(Data!$DN469,'Data_Price '!$AT$2:$AT$1266,0))</f>
        <v/>
      </c>
      <c r="DG469">
        <f>INDEX('Data_Price '!AP$2:AP$1266,MATCH(Data!$DN469,'Data_Price '!$AT$2:$AT$1266,0))</f>
        <v/>
      </c>
      <c r="DH469">
        <f>INDEX('Data_Price '!AQ$2:AQ$1266,MATCH(Data!$DN469,'Data_Price '!$AT$2:$AT$1266,0))</f>
        <v/>
      </c>
      <c r="DI469">
        <f>INDEX('Data_Price '!AR$2:AR$1266,MATCH(Data!$DN469,'Data_Price '!$AT$2:$AT$1266,0))</f>
        <v/>
      </c>
      <c r="DJ469" s="138">
        <f>DA469</f>
        <v/>
      </c>
      <c r="DK469" s="138">
        <f>DE469</f>
        <v/>
      </c>
      <c r="DL469" s="138">
        <f>DI469</f>
        <v/>
      </c>
      <c r="DM469" s="303">
        <f>IF(LEFT(BT469,1)=" ",RIGHT(BT469,LEN(BT469)-1),BT469)</f>
        <v/>
      </c>
      <c r="DN469" s="138">
        <f>_xlfn.CONCAT(BS469,DM469,BU469,BV469)</f>
        <v/>
      </c>
      <c r="DO469" s="307" t="n"/>
    </row>
    <row r="470" ht="15.6" customHeight="1" s="184">
      <c r="B470" s="303">
        <f t="array" ref="B470">IF(OR(ISERROR(K470:P470)),FALSE,TRUE)</f>
        <v/>
      </c>
      <c r="C470" s="60">
        <f>OR(BR470=Driver!$G$50,Data!BR256=Driver!$H$50)</f>
        <v/>
      </c>
      <c r="D470" s="60">
        <f>OR(BV470=Driver!$G$51,BV470=Driver!$H$51)</f>
        <v/>
      </c>
      <c r="E470" s="60">
        <f>AND(BX470&gt;Driver!$F$54,BX470&lt;Driver!$G$54)</f>
        <v/>
      </c>
      <c r="F470" s="60">
        <f>CL470&gt;Driver!$F$56</f>
        <v/>
      </c>
      <c r="G470" s="60">
        <f>AND(CB470&gt;Driver!$F$55,CB470&lt;Driver!$G$55)</f>
        <v/>
      </c>
      <c r="H470" s="60">
        <f>AND(B470:G470)</f>
        <v/>
      </c>
      <c r="I470" s="60">
        <f>COUNTIFS($H$9:$H$1273,TRUE,$BT$9:$BT$1273,BT470)</f>
        <v/>
      </c>
      <c r="J470" s="60">
        <f t="array" ref="J470">NOT(OR(($H$9:$H$1273=TRUE)*($I$9:$I$1273&gt;0)*($BT$9:$BT$1273=BT470)*($K$9:$K$1273&gt;K470)))</f>
        <v/>
      </c>
      <c r="K470" s="108">
        <f>IFERROR(1-AVERAGE(X470:Y470),"")</f>
        <v/>
      </c>
      <c r="L470" s="108">
        <f>1-X470</f>
        <v/>
      </c>
      <c r="M470" s="108">
        <f>1-Y470</f>
        <v/>
      </c>
      <c r="N470" s="108">
        <f>1-Z470</f>
        <v/>
      </c>
      <c r="O470" s="108">
        <f>1-AA470</f>
        <v/>
      </c>
      <c r="P470" s="108">
        <f>1-AB470</f>
        <v/>
      </c>
      <c r="Q470" s="108" t="n"/>
      <c r="R470" s="108" t="n"/>
      <c r="S470" s="108">
        <f>1-AE470</f>
        <v/>
      </c>
      <c r="T470" s="108">
        <f>1-AF470</f>
        <v/>
      </c>
      <c r="U470" s="108">
        <f>1-AG470</f>
        <v/>
      </c>
      <c r="V470" s="108">
        <f>1-AH470</f>
        <v/>
      </c>
      <c r="W470" s="108">
        <f>1-AI470</f>
        <v/>
      </c>
      <c r="X470" s="108">
        <f>ABS(AJ470-AJ$1)</f>
        <v/>
      </c>
      <c r="Y470" s="108">
        <f>AVERAGE(Z470:AB470)</f>
        <v/>
      </c>
      <c r="Z470" s="108">
        <f>ABS(AL470-AL$1)</f>
        <v/>
      </c>
      <c r="AA470" s="108">
        <f>ABS(AM470-AM$1)</f>
        <v/>
      </c>
      <c r="AB470" s="108">
        <f>ABS(AN470-AN$1)</f>
        <v/>
      </c>
      <c r="AC470" s="108" t="n"/>
      <c r="AD470" s="108" t="n"/>
      <c r="AE470" s="108">
        <f>ABS(AQ$1-AQ470)</f>
        <v/>
      </c>
      <c r="AF470" s="108">
        <f>ABS(AR$1-AR470)</f>
        <v/>
      </c>
      <c r="AG470" s="108">
        <f>ABS(AS$1-AS470)</f>
        <v/>
      </c>
      <c r="AH470" s="108">
        <f>ABS(AT$1-AT470)</f>
        <v/>
      </c>
      <c r="AI470" s="108">
        <f>ABS(AU$1-AU470)</f>
        <v/>
      </c>
      <c r="AJ470" s="108">
        <f>(AV470-Driver!$K$179)/(Driver!$L$179-Driver!$K$179)</f>
        <v/>
      </c>
      <c r="AK470" s="108">
        <f>(AW470-Driver!$K$180)/(Driver!$L$180-Driver!$K$180)</f>
        <v/>
      </c>
      <c r="AL470" s="108">
        <f>(AX470-Driver!$K$181)/(Driver!$L$181-Driver!$K$181)</f>
        <v/>
      </c>
      <c r="AM470" s="108">
        <f>(AY470-Driver!$K$182)/(Driver!$L$182-Driver!$K$182)</f>
        <v/>
      </c>
      <c r="AN470" s="108">
        <f>(AZ470-Driver!$K$183)/(Driver!$L$183-Driver!$K$183)</f>
        <v/>
      </c>
      <c r="AO470" s="108" t="n"/>
      <c r="AP470" s="108" t="n"/>
      <c r="AQ470" s="108">
        <f>(BC470-Driver!$K$188)/(Driver!$L$188-Driver!$K$188)</f>
        <v/>
      </c>
      <c r="AR470" s="108">
        <f>MIN((BD470-Driver!$K$189)/(Driver!$L$189-Driver!$K$189),100%)</f>
        <v/>
      </c>
      <c r="AS470" s="108">
        <f>(BE470-Driver!$K$190)/(Driver!$L$190-Driver!$K$190)</f>
        <v/>
      </c>
      <c r="AT470" s="108">
        <f>(BF470-Driver!$K$191)/(Driver!$L$191-Driver!$K$191)</f>
        <v/>
      </c>
      <c r="AU470" s="108">
        <f>(BG470-Driver!$K$192)/(Driver!$L$192-Driver!$K$192)</f>
        <v/>
      </c>
      <c r="AV470" s="105">
        <f>IFERROR(BM470*BJ470^1/4,"")</f>
        <v/>
      </c>
      <c r="AW470" s="105">
        <f>IFERROR(SUM(AX470:AZ470),"")</f>
        <v/>
      </c>
      <c r="AX470" s="105">
        <f>IFERROR(BH470,"")</f>
        <v/>
      </c>
      <c r="AY470" s="105">
        <f>IFERROR(Driver!$K$19/Data!BH470/Data!BI470*Data!BK470*Data!BL470,"")</f>
        <v/>
      </c>
      <c r="AZ470" s="105">
        <f>IFERROR(BI470*BN470,"")</f>
        <v/>
      </c>
      <c r="BA470" s="105" t="n"/>
      <c r="BB470" s="105" t="n"/>
      <c r="BC470" s="105">
        <f>IFERROR(BI470*BN470*BK470/BJ470^(1/2),"")</f>
        <v/>
      </c>
      <c r="BD470" s="105">
        <f>IFERROR(BH470*BM470*BL470/BJ470/BK470,"")</f>
        <v/>
      </c>
      <c r="BE470" s="105">
        <f>IFERROR(MIN(BI470/BQ470/BP470/BO470/BH470,$BE$1),"")</f>
        <v/>
      </c>
      <c r="BF470" s="105">
        <f>IFERROR(BJ470*BO470*BP470/BK470,"")</f>
        <v/>
      </c>
      <c r="BG470" s="105">
        <f>IFERROR(1/BM470/BH470*BQ470,"")</f>
        <v/>
      </c>
      <c r="BH470" s="102">
        <f>MAX((CE470-Driver!$F$200)/(Driver!$G$200-Driver!$F$200)*$BI$1,1)</f>
        <v/>
      </c>
      <c r="BI470" s="102">
        <f>MAX($BI$1*(BY470-Driver!$F$201)/(Driver!$G$201-Driver!$F$201),1)</f>
        <v/>
      </c>
      <c r="BJ470" s="102">
        <f>(CB470-Driver!$F$206)/(Driver!$G$206-Driver!$F$206)*$BI$1</f>
        <v/>
      </c>
      <c r="BK470" s="102">
        <f>(CD470-Driver!$F$203)/(Driver!$G$203-Driver!$F$203)*$BI$1</f>
        <v/>
      </c>
      <c r="BL470" s="102">
        <f>MAX((CR470-Driver!$F$202)/(Driver!$G$202-Driver!$F$202)*$BI$1,1)</f>
        <v/>
      </c>
      <c r="BM470" s="102">
        <f>MAX((CH470-Driver!$F$204)/(Driver!$G$204-Driver!$F$204)*$BI$1,1)</f>
        <v/>
      </c>
      <c r="BN470" s="102">
        <f>(CI470-Driver!$F$205)/(Driver!$G$205-Driver!$F$205)*$BI$1</f>
        <v/>
      </c>
      <c r="BO470" s="102">
        <f>(CK470-Driver!$F$207)/(Driver!$G$207-Driver!$F$207)*$BI$1</f>
        <v/>
      </c>
      <c r="BP470" s="102">
        <f>(CM470-Driver!$F$208)/(Driver!$G$208-Driver!$F$208)*$BI$1</f>
        <v/>
      </c>
      <c r="BQ470" s="102">
        <f>(CL470-Driver!$F$209)/(Driver!$G$209-Driver!$F$209)*$BI$1</f>
        <v/>
      </c>
      <c r="BR470" s="40" t="inlineStr">
        <is>
          <t>21/22</t>
        </is>
      </c>
      <c r="BS470" s="10" t="inlineStr">
        <is>
          <t xml:space="preserve"> Blizzard</t>
        </is>
      </c>
      <c r="BT470" s="11" t="inlineStr">
        <is>
          <t>Black Pearl 82</t>
        </is>
      </c>
      <c r="BU470" s="13" t="n">
        <v>166</v>
      </c>
      <c r="BV470" s="11" t="inlineStr">
        <is>
          <t xml:space="preserve"> Women's</t>
        </is>
      </c>
      <c r="BW470" s="13" t="n">
        <v>166</v>
      </c>
      <c r="BX470" s="13" t="n">
        <v>163.7</v>
      </c>
      <c r="BY470" s="13" t="n">
        <v>118</v>
      </c>
      <c r="BZ470" s="13" t="n">
        <v>142</v>
      </c>
      <c r="CA470" s="13" t="n">
        <v>121</v>
      </c>
      <c r="CB470" s="13" t="n">
        <v>82</v>
      </c>
      <c r="CC470" s="13" t="n">
        <v>104</v>
      </c>
      <c r="CD470" s="13" t="n">
        <v>15.4</v>
      </c>
      <c r="CE470" s="13" t="n">
        <v>1679</v>
      </c>
      <c r="CF470" s="13" t="n">
        <v>0.92</v>
      </c>
      <c r="CG470" s="13" t="n">
        <v>1539</v>
      </c>
      <c r="CH470" s="13" t="n">
        <v>181</v>
      </c>
      <c r="CI470" s="13" t="n">
        <v>88</v>
      </c>
      <c r="CJ470" s="13" t="n">
        <v>62</v>
      </c>
      <c r="CK470" s="13" t="n">
        <v>310</v>
      </c>
      <c r="CL470" s="13" t="n">
        <v>8</v>
      </c>
      <c r="CM470" s="13" t="n">
        <v>150</v>
      </c>
      <c r="CN470" s="13" t="n">
        <v>0.136</v>
      </c>
      <c r="CO470" s="13" t="n">
        <v>122</v>
      </c>
      <c r="CP470" s="13" t="n">
        <v>94</v>
      </c>
      <c r="CQ470" s="13" t="n">
        <v>189</v>
      </c>
      <c r="CR470" s="13" t="n">
        <v>3</v>
      </c>
      <c r="CS470" s="13" t="n">
        <v>10.5</v>
      </c>
      <c r="CT470" s="11" t="inlineStr">
        <is>
          <t xml:space="preserve"> On-Piste All-Mountain</t>
        </is>
      </c>
      <c r="CU470" s="11" t="inlineStr">
        <is>
          <t xml:space="preserve"> Resort Freeride</t>
        </is>
      </c>
      <c r="CV470" s="13" t="n"/>
      <c r="CW470" s="13" t="n"/>
      <c r="CX470">
        <f>INDEX('Data_Price '!AG$2:AG$1266,MATCH(Data!$DN470,'Data_Price '!$AT$2:$AT$1266,0))</f>
        <v/>
      </c>
      <c r="CY470">
        <f>INDEX('Data_Price '!AH$2:AH$1266,MATCH(Data!$DN470,'Data_Price '!$AT$2:$AT$1266,0))</f>
        <v/>
      </c>
      <c r="CZ470">
        <f>INDEX('Data_Price '!AI$2:AI$1266,MATCH(Data!$DN470,'Data_Price '!$AT$2:$AT$1266,0))</f>
        <v/>
      </c>
      <c r="DA470">
        <f>INDEX('Data_Price '!AJ$2:AJ$1266,MATCH(Data!$DN470,'Data_Price '!$AT$2:$AT$1266,0))</f>
        <v/>
      </c>
      <c r="DB470">
        <f>INDEX('Data_Price '!AK$2:AK$1266,MATCH(Data!$DN470,'Data_Price '!$AT$2:$AT$1266,0))</f>
        <v/>
      </c>
      <c r="DC470">
        <f>INDEX('Data_Price '!AL$2:AL$1266,MATCH(Data!$DN470,'Data_Price '!$AT$2:$AT$1266,0))</f>
        <v/>
      </c>
      <c r="DD470">
        <f>INDEX('Data_Price '!AM$2:AM$1266,MATCH(Data!$DN470,'Data_Price '!$AT$2:$AT$1266,0))</f>
        <v/>
      </c>
      <c r="DE470">
        <f>INDEX('Data_Price '!AN$2:AN$1266,MATCH(Data!$DN470,'Data_Price '!$AT$2:$AT$1266,0))</f>
        <v/>
      </c>
      <c r="DF470">
        <f>INDEX('Data_Price '!AO$2:AO$1266,MATCH(Data!$DN470,'Data_Price '!$AT$2:$AT$1266,0))</f>
        <v/>
      </c>
      <c r="DG470">
        <f>INDEX('Data_Price '!AP$2:AP$1266,MATCH(Data!$DN470,'Data_Price '!$AT$2:$AT$1266,0))</f>
        <v/>
      </c>
      <c r="DH470">
        <f>INDEX('Data_Price '!AQ$2:AQ$1266,MATCH(Data!$DN470,'Data_Price '!$AT$2:$AT$1266,0))</f>
        <v/>
      </c>
      <c r="DI470">
        <f>INDEX('Data_Price '!AR$2:AR$1266,MATCH(Data!$DN470,'Data_Price '!$AT$2:$AT$1266,0))</f>
        <v/>
      </c>
      <c r="DJ470" s="138">
        <f>DA470</f>
        <v/>
      </c>
      <c r="DK470" s="138">
        <f>DE470</f>
        <v/>
      </c>
      <c r="DL470" s="138">
        <f>DI470</f>
        <v/>
      </c>
      <c r="DM470" s="303">
        <f>IF(LEFT(BT470,1)=" ",RIGHT(BT470,LEN(BT470)-1),BT470)</f>
        <v/>
      </c>
      <c r="DN470" s="138">
        <f>_xlfn.CONCAT(BS470,DM470,BU470,BV470)</f>
        <v/>
      </c>
      <c r="DO470" s="307" t="inlineStr">
        <is>
          <t>https://images.evo.com/imgp/250/197473/825189/blizzard-black-pearl-82-skis-women-s-2022-.jpg</t>
        </is>
      </c>
    </row>
    <row r="471" ht="15.6" customHeight="1" s="184">
      <c r="B471" s="303">
        <f t="array" ref="B471">IF(OR(ISERROR(K471:P471)),FALSE,TRUE)</f>
        <v/>
      </c>
      <c r="C471" s="60">
        <f>OR(BR471=Driver!$G$50,Data!BR102=Driver!$H$50)</f>
        <v/>
      </c>
      <c r="D471" s="60">
        <f>OR(BV471=Driver!$G$51,BV471=Driver!$H$51)</f>
        <v/>
      </c>
      <c r="E471" s="60">
        <f>AND(BX471&gt;Driver!$F$54,BX471&lt;Driver!$G$54)</f>
        <v/>
      </c>
      <c r="F471" s="60">
        <f>CL471&gt;Driver!$F$56</f>
        <v/>
      </c>
      <c r="G471" s="60">
        <f>AND(CB471&gt;Driver!$F$55,CB471&lt;Driver!$G$55)</f>
        <v/>
      </c>
      <c r="H471" s="60">
        <f>AND(B471:G471)</f>
        <v/>
      </c>
      <c r="I471" s="60">
        <f>COUNTIFS($H$9:$H$1273,TRUE,$BT$9:$BT$1273,BT471)</f>
        <v/>
      </c>
      <c r="J471" s="60">
        <f t="array" ref="J471">NOT(OR(($H$9:$H$1273=TRUE)*($I$9:$I$1273&gt;0)*($BT$9:$BT$1273=BT471)*($K$9:$K$1273&gt;K471)))</f>
        <v/>
      </c>
      <c r="K471" s="108">
        <f>IFERROR(1-AVERAGE(X471:Y471),"")</f>
        <v/>
      </c>
      <c r="L471" s="108">
        <f>1-X471</f>
        <v/>
      </c>
      <c r="M471" s="108">
        <f>1-Y471</f>
        <v/>
      </c>
      <c r="N471" s="108">
        <f>1-Z471</f>
        <v/>
      </c>
      <c r="O471" s="108">
        <f>1-AA471</f>
        <v/>
      </c>
      <c r="P471" s="108">
        <f>1-AB471</f>
        <v/>
      </c>
      <c r="Q471" s="108" t="n"/>
      <c r="R471" s="108" t="n"/>
      <c r="S471" s="108">
        <f>1-AE471</f>
        <v/>
      </c>
      <c r="T471" s="108">
        <f>1-AF471</f>
        <v/>
      </c>
      <c r="U471" s="108">
        <f>1-AG471</f>
        <v/>
      </c>
      <c r="V471" s="108">
        <f>1-AH471</f>
        <v/>
      </c>
      <c r="W471" s="108">
        <f>1-AI471</f>
        <v/>
      </c>
      <c r="X471" s="108">
        <f>ABS(AJ471-AJ$1)</f>
        <v/>
      </c>
      <c r="Y471" s="108">
        <f>AVERAGE(Z471:AB471)</f>
        <v/>
      </c>
      <c r="Z471" s="108">
        <f>ABS(AL471-AL$1)</f>
        <v/>
      </c>
      <c r="AA471" s="108">
        <f>ABS(AM471-AM$1)</f>
        <v/>
      </c>
      <c r="AB471" s="108">
        <f>ABS(AN471-AN$1)</f>
        <v/>
      </c>
      <c r="AC471" s="108" t="n"/>
      <c r="AD471" s="108" t="n"/>
      <c r="AE471" s="108">
        <f>ABS(AQ$1-AQ471)</f>
        <v/>
      </c>
      <c r="AF471" s="108">
        <f>ABS(AR$1-AR471)</f>
        <v/>
      </c>
      <c r="AG471" s="108">
        <f>ABS(AS$1-AS471)</f>
        <v/>
      </c>
      <c r="AH471" s="108">
        <f>ABS(AT$1-AT471)</f>
        <v/>
      </c>
      <c r="AI471" s="108">
        <f>ABS(AU$1-AU471)</f>
        <v/>
      </c>
      <c r="AJ471" s="108">
        <f>(AV471-Driver!$K$179)/(Driver!$L$179-Driver!$K$179)</f>
        <v/>
      </c>
      <c r="AK471" s="108">
        <f>(AW471-Driver!$K$180)/(Driver!$L$180-Driver!$K$180)</f>
        <v/>
      </c>
      <c r="AL471" s="108">
        <f>(AX471-Driver!$K$181)/(Driver!$L$181-Driver!$K$181)</f>
        <v/>
      </c>
      <c r="AM471" s="108">
        <f>(AY471-Driver!$K$182)/(Driver!$L$182-Driver!$K$182)</f>
        <v/>
      </c>
      <c r="AN471" s="108">
        <f>(AZ471-Driver!$K$183)/(Driver!$L$183-Driver!$K$183)</f>
        <v/>
      </c>
      <c r="AO471" s="108" t="n"/>
      <c r="AP471" s="108" t="n"/>
      <c r="AQ471" s="108">
        <f>(BC471-Driver!$K$188)/(Driver!$L$188-Driver!$K$188)</f>
        <v/>
      </c>
      <c r="AR471" s="108">
        <f>MIN((BD471-Driver!$K$189)/(Driver!$L$189-Driver!$K$189),100%)</f>
        <v/>
      </c>
      <c r="AS471" s="108">
        <f>(BE471-Driver!$K$190)/(Driver!$L$190-Driver!$K$190)</f>
        <v/>
      </c>
      <c r="AT471" s="108">
        <f>(BF471-Driver!$K$191)/(Driver!$L$191-Driver!$K$191)</f>
        <v/>
      </c>
      <c r="AU471" s="108">
        <f>(BG471-Driver!$K$192)/(Driver!$L$192-Driver!$K$192)</f>
        <v/>
      </c>
      <c r="AV471" s="105">
        <f>IFERROR(BM471*BJ471^1/4,"")</f>
        <v/>
      </c>
      <c r="AW471" s="105">
        <f>IFERROR(SUM(AX471:AZ471),"")</f>
        <v/>
      </c>
      <c r="AX471" s="105">
        <f>IFERROR(BH471,"")</f>
        <v/>
      </c>
      <c r="AY471" s="105">
        <f>IFERROR(Driver!$K$19/Data!BH471/Data!BI471*Data!BK471*Data!BL471,"")</f>
        <v/>
      </c>
      <c r="AZ471" s="105">
        <f>IFERROR(BI471*BN471,"")</f>
        <v/>
      </c>
      <c r="BA471" s="105" t="n"/>
      <c r="BB471" s="105" t="n"/>
      <c r="BC471" s="105">
        <f>IFERROR(BI471*BN471*BK471/BJ471^(1/2),"")</f>
        <v/>
      </c>
      <c r="BD471" s="105">
        <f>IFERROR(BH471*BM471*BL471/BJ471/BK471,"")</f>
        <v/>
      </c>
      <c r="BE471" s="105">
        <f>IFERROR(MIN(BI471/BQ471/BP471/BO471/BH471,$BE$1),"")</f>
        <v/>
      </c>
      <c r="BF471" s="105">
        <f>IFERROR(BJ471*BO471*BP471/BK471,"")</f>
        <v/>
      </c>
      <c r="BG471" s="105">
        <f>IFERROR(1/BM471/BH471*BQ471,"")</f>
        <v/>
      </c>
      <c r="BH471" s="102">
        <f>MAX((CE471-Driver!$F$200)/(Driver!$G$200-Driver!$F$200)*$BI$1,1)</f>
        <v/>
      </c>
      <c r="BI471" s="102">
        <f>MAX($BI$1*(BY471-Driver!$F$201)/(Driver!$G$201-Driver!$F$201),1)</f>
        <v/>
      </c>
      <c r="BJ471" s="102">
        <f>(CB471-Driver!$F$206)/(Driver!$G$206-Driver!$F$206)*$BI$1</f>
        <v/>
      </c>
      <c r="BK471" s="102">
        <f>(CD471-Driver!$F$203)/(Driver!$G$203-Driver!$F$203)*$BI$1</f>
        <v/>
      </c>
      <c r="BL471" s="102">
        <f>MAX((CR471-Driver!$F$202)/(Driver!$G$202-Driver!$F$202)*$BI$1,1)</f>
        <v/>
      </c>
      <c r="BM471" s="102">
        <f>MAX((CH471-Driver!$F$204)/(Driver!$G$204-Driver!$F$204)*$BI$1,1)</f>
        <v/>
      </c>
      <c r="BN471" s="102">
        <f>(CI471-Driver!$F$205)/(Driver!$G$205-Driver!$F$205)*$BI$1</f>
        <v/>
      </c>
      <c r="BO471" s="102">
        <f>(CK471-Driver!$F$207)/(Driver!$G$207-Driver!$F$207)*$BI$1</f>
        <v/>
      </c>
      <c r="BP471" s="102">
        <f>(CM471-Driver!$F$208)/(Driver!$G$208-Driver!$F$208)*$BI$1</f>
        <v/>
      </c>
      <c r="BQ471" s="102">
        <f>(CL471-Driver!$F$209)/(Driver!$G$209-Driver!$F$209)*$BI$1</f>
        <v/>
      </c>
      <c r="BR471" s="40" t="inlineStr">
        <is>
          <t>21/22</t>
        </is>
      </c>
      <c r="BS471" s="10" t="inlineStr">
        <is>
          <t xml:space="preserve"> Armada</t>
        </is>
      </c>
      <c r="BT471" s="11" t="inlineStr">
        <is>
          <t>Trace 98</t>
        </is>
      </c>
      <c r="BU471" s="13" t="n">
        <v>164</v>
      </c>
      <c r="BV471" s="11" t="inlineStr">
        <is>
          <t xml:space="preserve"> Women's</t>
        </is>
      </c>
      <c r="BW471" s="13" t="n">
        <v>164</v>
      </c>
      <c r="BX471" s="13" t="n">
        <v>163.7</v>
      </c>
      <c r="BY471" s="13" t="n">
        <v>125</v>
      </c>
      <c r="BZ471" s="13" t="n">
        <v>136</v>
      </c>
      <c r="CA471" s="13" t="n">
        <v>126</v>
      </c>
      <c r="CB471" s="13" t="n">
        <v>97</v>
      </c>
      <c r="CC471" s="13" t="n">
        <v>119</v>
      </c>
      <c r="CD471" s="13" t="n">
        <v>16.7</v>
      </c>
      <c r="CE471" s="13" t="n">
        <v>1433</v>
      </c>
      <c r="CF471" s="13" t="n">
        <v>1.22</v>
      </c>
      <c r="CG471" s="13" t="n">
        <v>1745</v>
      </c>
      <c r="CH471" s="13" t="n">
        <v>143</v>
      </c>
      <c r="CI471" s="13" t="n">
        <v>88</v>
      </c>
      <c r="CJ471" s="13" t="n">
        <v>37</v>
      </c>
      <c r="CK471" s="13" t="n">
        <v>233</v>
      </c>
      <c r="CL471" s="13" t="n">
        <v>17</v>
      </c>
      <c r="CM471" s="13" t="n">
        <v>155</v>
      </c>
      <c r="CN471" s="13" t="n">
        <v>0.457</v>
      </c>
      <c r="CO471" s="13" t="n">
        <v>177</v>
      </c>
      <c r="CP471" s="13" t="n">
        <v>102</v>
      </c>
      <c r="CQ471" s="13" t="n">
        <v>57</v>
      </c>
      <c r="CR471" s="13" t="n">
        <v>7</v>
      </c>
      <c r="CS471" s="13" t="n">
        <v>9.5</v>
      </c>
      <c r="CT471" s="11" t="inlineStr">
        <is>
          <t xml:space="preserve"> Resort Freeride</t>
        </is>
      </c>
      <c r="CU471" s="11" t="inlineStr">
        <is>
          <t xml:space="preserve"> Touring</t>
        </is>
      </c>
      <c r="CV471" s="13" t="n"/>
      <c r="CW471" s="13" t="n"/>
      <c r="CX471">
        <f>INDEX('Data_Price '!AG$2:AG$1266,MATCH(Data!$DN471,'Data_Price '!$AT$2:$AT$1266,0))</f>
        <v/>
      </c>
      <c r="CY471">
        <f>INDEX('Data_Price '!AH$2:AH$1266,MATCH(Data!$DN471,'Data_Price '!$AT$2:$AT$1266,0))</f>
        <v/>
      </c>
      <c r="CZ471">
        <f>INDEX('Data_Price '!AI$2:AI$1266,MATCH(Data!$DN471,'Data_Price '!$AT$2:$AT$1266,0))</f>
        <v/>
      </c>
      <c r="DA471">
        <f>INDEX('Data_Price '!AJ$2:AJ$1266,MATCH(Data!$DN471,'Data_Price '!$AT$2:$AT$1266,0))</f>
        <v/>
      </c>
      <c r="DB471">
        <f>INDEX('Data_Price '!AK$2:AK$1266,MATCH(Data!$DN471,'Data_Price '!$AT$2:$AT$1266,0))</f>
        <v/>
      </c>
      <c r="DC471">
        <f>INDEX('Data_Price '!AL$2:AL$1266,MATCH(Data!$DN471,'Data_Price '!$AT$2:$AT$1266,0))</f>
        <v/>
      </c>
      <c r="DD471">
        <f>INDEX('Data_Price '!AM$2:AM$1266,MATCH(Data!$DN471,'Data_Price '!$AT$2:$AT$1266,0))</f>
        <v/>
      </c>
      <c r="DE471">
        <f>INDEX('Data_Price '!AN$2:AN$1266,MATCH(Data!$DN471,'Data_Price '!$AT$2:$AT$1266,0))</f>
        <v/>
      </c>
      <c r="DF471">
        <f>INDEX('Data_Price '!AO$2:AO$1266,MATCH(Data!$DN471,'Data_Price '!$AT$2:$AT$1266,0))</f>
        <v/>
      </c>
      <c r="DG471">
        <f>INDEX('Data_Price '!AP$2:AP$1266,MATCH(Data!$DN471,'Data_Price '!$AT$2:$AT$1266,0))</f>
        <v/>
      </c>
      <c r="DH471">
        <f>INDEX('Data_Price '!AQ$2:AQ$1266,MATCH(Data!$DN471,'Data_Price '!$AT$2:$AT$1266,0))</f>
        <v/>
      </c>
      <c r="DI471">
        <f>INDEX('Data_Price '!AR$2:AR$1266,MATCH(Data!$DN471,'Data_Price '!$AT$2:$AT$1266,0))</f>
        <v/>
      </c>
      <c r="DJ471" s="138">
        <f>DA471</f>
        <v/>
      </c>
      <c r="DK471" s="138">
        <f>DE471</f>
        <v/>
      </c>
      <c r="DL471" s="138">
        <f>DI471</f>
        <v/>
      </c>
      <c r="DM471" s="303">
        <f>IF(LEFT(BT471,1)=" ",RIGHT(BT471,LEN(BT471)-1),BT471)</f>
        <v/>
      </c>
      <c r="DN471" s="138">
        <f>_xlfn.CONCAT(BS471,DM471,BU471,BV471)</f>
        <v/>
      </c>
      <c r="DO471" s="307" t="inlineStr">
        <is>
          <t>https://images.evo.com/imgp/250/198708/839678/armada-trace-98-skis-women-s-2022-.jpg</t>
        </is>
      </c>
    </row>
    <row r="472" ht="15.6" customHeight="1" s="184">
      <c r="B472" s="303">
        <f t="array" ref="B472">IF(OR(ISERROR(K472:P472)),FALSE,TRUE)</f>
        <v/>
      </c>
      <c r="C472" s="60">
        <f>OR(BR472=Driver!$G$50,Data!BR164=Driver!$H$50)</f>
        <v/>
      </c>
      <c r="D472" s="60">
        <f>OR(BV472=Driver!$G$51,BV472=Driver!$H$51)</f>
        <v/>
      </c>
      <c r="E472" s="60">
        <f>AND(BX472&gt;Driver!$F$54,BX472&lt;Driver!$G$54)</f>
        <v/>
      </c>
      <c r="F472" s="60">
        <f>CL472&gt;Driver!$F$56</f>
        <v/>
      </c>
      <c r="G472" s="60">
        <f>AND(CB472&gt;Driver!$F$55,CB472&lt;Driver!$G$55)</f>
        <v/>
      </c>
      <c r="H472" s="60">
        <f>AND(B472:G472)</f>
        <v/>
      </c>
      <c r="I472" s="60">
        <f>COUNTIFS($H$9:$H$1273,TRUE,$BT$9:$BT$1273,BT472)</f>
        <v/>
      </c>
      <c r="J472" s="60">
        <f t="array" ref="J472">NOT(OR(($H$9:$H$1273=TRUE)*($I$9:$I$1273&gt;0)*($BT$9:$BT$1273=BT472)*($K$9:$K$1273&gt;K472)))</f>
        <v/>
      </c>
      <c r="K472" s="108">
        <f>IFERROR(1-AVERAGE(X472:Y472),"")</f>
        <v/>
      </c>
      <c r="L472" s="108">
        <f>1-X472</f>
        <v/>
      </c>
      <c r="M472" s="108">
        <f>1-Y472</f>
        <v/>
      </c>
      <c r="N472" s="108">
        <f>1-Z472</f>
        <v/>
      </c>
      <c r="O472" s="108">
        <f>1-AA472</f>
        <v/>
      </c>
      <c r="P472" s="108">
        <f>1-AB472</f>
        <v/>
      </c>
      <c r="Q472" s="108" t="n"/>
      <c r="R472" s="108" t="n"/>
      <c r="S472" s="108">
        <f>1-AE472</f>
        <v/>
      </c>
      <c r="T472" s="108">
        <f>1-AF472</f>
        <v/>
      </c>
      <c r="U472" s="108">
        <f>1-AG472</f>
        <v/>
      </c>
      <c r="V472" s="108">
        <f>1-AH472</f>
        <v/>
      </c>
      <c r="W472" s="108">
        <f>1-AI472</f>
        <v/>
      </c>
      <c r="X472" s="108">
        <f>ABS(AJ472-AJ$1)</f>
        <v/>
      </c>
      <c r="Y472" s="108">
        <f>AVERAGE(Z472:AB472)</f>
        <v/>
      </c>
      <c r="Z472" s="108">
        <f>ABS(AL472-AL$1)</f>
        <v/>
      </c>
      <c r="AA472" s="108">
        <f>ABS(AM472-AM$1)</f>
        <v/>
      </c>
      <c r="AB472" s="108">
        <f>ABS(AN472-AN$1)</f>
        <v/>
      </c>
      <c r="AC472" s="108" t="n"/>
      <c r="AD472" s="108" t="n"/>
      <c r="AE472" s="108">
        <f>ABS(AQ$1-AQ472)</f>
        <v/>
      </c>
      <c r="AF472" s="108">
        <f>ABS(AR$1-AR472)</f>
        <v/>
      </c>
      <c r="AG472" s="108">
        <f>ABS(AS$1-AS472)</f>
        <v/>
      </c>
      <c r="AH472" s="108">
        <f>ABS(AT$1-AT472)</f>
        <v/>
      </c>
      <c r="AI472" s="108">
        <f>ABS(AU$1-AU472)</f>
        <v/>
      </c>
      <c r="AJ472" s="108">
        <f>(AV472-Driver!$K$179)/(Driver!$L$179-Driver!$K$179)</f>
        <v/>
      </c>
      <c r="AK472" s="108">
        <f>(AW472-Driver!$K$180)/(Driver!$L$180-Driver!$K$180)</f>
        <v/>
      </c>
      <c r="AL472" s="108">
        <f>(AX472-Driver!$K$181)/(Driver!$L$181-Driver!$K$181)</f>
        <v/>
      </c>
      <c r="AM472" s="108">
        <f>(AY472-Driver!$K$182)/(Driver!$L$182-Driver!$K$182)</f>
        <v/>
      </c>
      <c r="AN472" s="108">
        <f>(AZ472-Driver!$K$183)/(Driver!$L$183-Driver!$K$183)</f>
        <v/>
      </c>
      <c r="AO472" s="108" t="n"/>
      <c r="AP472" s="108" t="n"/>
      <c r="AQ472" s="108">
        <f>(BC472-Driver!$K$188)/(Driver!$L$188-Driver!$K$188)</f>
        <v/>
      </c>
      <c r="AR472" s="108">
        <f>MIN((BD472-Driver!$K$189)/(Driver!$L$189-Driver!$K$189),100%)</f>
        <v/>
      </c>
      <c r="AS472" s="108">
        <f>(BE472-Driver!$K$190)/(Driver!$L$190-Driver!$K$190)</f>
        <v/>
      </c>
      <c r="AT472" s="108">
        <f>(BF472-Driver!$K$191)/(Driver!$L$191-Driver!$K$191)</f>
        <v/>
      </c>
      <c r="AU472" s="108">
        <f>(BG472-Driver!$K$192)/(Driver!$L$192-Driver!$K$192)</f>
        <v/>
      </c>
      <c r="AV472" s="105">
        <f>IFERROR(BM472*BJ472^1/4,"")</f>
        <v/>
      </c>
      <c r="AW472" s="105">
        <f>IFERROR(SUM(AX472:AZ472),"")</f>
        <v/>
      </c>
      <c r="AX472" s="105">
        <f>IFERROR(BH472,"")</f>
        <v/>
      </c>
      <c r="AY472" s="105">
        <f>IFERROR(Driver!$K$19/Data!BH472/Data!BI472*Data!BK472*Data!BL472,"")</f>
        <v/>
      </c>
      <c r="AZ472" s="105">
        <f>IFERROR(BI472*BN472,"")</f>
        <v/>
      </c>
      <c r="BA472" s="105" t="n"/>
      <c r="BB472" s="105" t="n"/>
      <c r="BC472" s="105">
        <f>IFERROR(BI472*BN472*BK472/BJ472^(1/2),"")</f>
        <v/>
      </c>
      <c r="BD472" s="105">
        <f>IFERROR(BH472*BM472*BL472/BJ472/BK472,"")</f>
        <v/>
      </c>
      <c r="BE472" s="105">
        <f>IFERROR(MIN(BI472/BQ472/BP472/BO472/BH472,$BE$1),"")</f>
        <v/>
      </c>
      <c r="BF472" s="105">
        <f>IFERROR(BJ472*BO472*BP472/BK472,"")</f>
        <v/>
      </c>
      <c r="BG472" s="105">
        <f>IFERROR(1/BM472/BH472*BQ472,"")</f>
        <v/>
      </c>
      <c r="BH472" s="102">
        <f>MAX((CE472-Driver!$F$200)/(Driver!$G$200-Driver!$F$200)*$BI$1,1)</f>
        <v/>
      </c>
      <c r="BI472" s="102">
        <f>MAX($BI$1*(BY472-Driver!$F$201)/(Driver!$G$201-Driver!$F$201),1)</f>
        <v/>
      </c>
      <c r="BJ472" s="102">
        <f>(CB472-Driver!$F$206)/(Driver!$G$206-Driver!$F$206)*$BI$1</f>
        <v/>
      </c>
      <c r="BK472" s="102">
        <f>(CD472-Driver!$F$203)/(Driver!$G$203-Driver!$F$203)*$BI$1</f>
        <v/>
      </c>
      <c r="BL472" s="102">
        <f>MAX((CR472-Driver!$F$202)/(Driver!$G$202-Driver!$F$202)*$BI$1,1)</f>
        <v/>
      </c>
      <c r="BM472" s="102">
        <f>MAX((CH472-Driver!$F$204)/(Driver!$G$204-Driver!$F$204)*$BI$1,1)</f>
        <v/>
      </c>
      <c r="BN472" s="102">
        <f>(CI472-Driver!$F$205)/(Driver!$G$205-Driver!$F$205)*$BI$1</f>
        <v/>
      </c>
      <c r="BO472" s="102">
        <f>(CK472-Driver!$F$207)/(Driver!$G$207-Driver!$F$207)*$BI$1</f>
        <v/>
      </c>
      <c r="BP472" s="102">
        <f>(CM472-Driver!$F$208)/(Driver!$G$208-Driver!$F$208)*$BI$1</f>
        <v/>
      </c>
      <c r="BQ472" s="102">
        <f>(CL472-Driver!$F$209)/(Driver!$G$209-Driver!$F$209)*$BI$1</f>
        <v/>
      </c>
      <c r="BR472" s="40" t="inlineStr">
        <is>
          <t>21/22</t>
        </is>
      </c>
      <c r="BS472" s="10" t="inlineStr">
        <is>
          <t xml:space="preserve"> Atomic</t>
        </is>
      </c>
      <c r="BT472" s="11" t="inlineStr">
        <is>
          <t>Maverick 86 C</t>
        </is>
      </c>
      <c r="BU472" s="13" t="n">
        <v>169</v>
      </c>
      <c r="BV472" s="11" t="inlineStr">
        <is>
          <t xml:space="preserve"> Unisex</t>
        </is>
      </c>
      <c r="BW472" s="13" t="n">
        <v>169</v>
      </c>
      <c r="BX472" s="13" t="n">
        <v>168.3</v>
      </c>
      <c r="BY472" s="13" t="n">
        <v>117</v>
      </c>
      <c r="BZ472" s="13" t="n">
        <v>142</v>
      </c>
      <c r="CA472" s="13" t="n">
        <v>122</v>
      </c>
      <c r="CB472" s="13" t="n">
        <v>86</v>
      </c>
      <c r="CC472" s="13" t="n">
        <v>106</v>
      </c>
      <c r="CD472" s="13" t="n">
        <v>17</v>
      </c>
      <c r="CE472" s="13" t="n">
        <v>1462</v>
      </c>
      <c r="CF472" s="13" t="n">
        <v>1.12</v>
      </c>
      <c r="CG472" s="13" t="n">
        <v>1634</v>
      </c>
      <c r="CH472" s="13" t="n">
        <v>188</v>
      </c>
      <c r="CI472" s="13" t="n">
        <v>87</v>
      </c>
      <c r="CJ472" s="13" t="n">
        <v>50</v>
      </c>
      <c r="CK472" s="13" t="n">
        <v>299</v>
      </c>
      <c r="CL472" s="13" t="n">
        <v>15</v>
      </c>
      <c r="CM472" s="13" t="n">
        <v>215</v>
      </c>
      <c r="CN472" s="13" t="n">
        <v>0.295</v>
      </c>
      <c r="CO472" s="13" t="n">
        <v>166</v>
      </c>
      <c r="CP472" s="13" t="n">
        <v>100</v>
      </c>
      <c r="CQ472" s="13" t="n">
        <v>133</v>
      </c>
      <c r="CR472" s="13" t="n">
        <v>2</v>
      </c>
      <c r="CS472" s="13" t="n">
        <v>8.9</v>
      </c>
      <c r="CT472" s="11" t="inlineStr">
        <is>
          <t xml:space="preserve"> Resort Freeride</t>
        </is>
      </c>
      <c r="CU472" s="11" t="inlineStr">
        <is>
          <t xml:space="preserve"> Touring</t>
        </is>
      </c>
      <c r="CV472" s="13" t="n"/>
      <c r="CW472" s="13" t="n"/>
      <c r="CX472">
        <f>INDEX('Data_Price '!AG$2:AG$1266,MATCH(Data!$DN472,'Data_Price '!$AT$2:$AT$1266,0))</f>
        <v/>
      </c>
      <c r="CY472">
        <f>INDEX('Data_Price '!AH$2:AH$1266,MATCH(Data!$DN472,'Data_Price '!$AT$2:$AT$1266,0))</f>
        <v/>
      </c>
      <c r="CZ472">
        <f>INDEX('Data_Price '!AI$2:AI$1266,MATCH(Data!$DN472,'Data_Price '!$AT$2:$AT$1266,0))</f>
        <v/>
      </c>
      <c r="DA472">
        <f>INDEX('Data_Price '!AJ$2:AJ$1266,MATCH(Data!$DN472,'Data_Price '!$AT$2:$AT$1266,0))</f>
        <v/>
      </c>
      <c r="DB472">
        <f>INDEX('Data_Price '!AK$2:AK$1266,MATCH(Data!$DN472,'Data_Price '!$AT$2:$AT$1266,0))</f>
        <v/>
      </c>
      <c r="DC472">
        <f>INDEX('Data_Price '!AL$2:AL$1266,MATCH(Data!$DN472,'Data_Price '!$AT$2:$AT$1266,0))</f>
        <v/>
      </c>
      <c r="DD472">
        <f>INDEX('Data_Price '!AM$2:AM$1266,MATCH(Data!$DN472,'Data_Price '!$AT$2:$AT$1266,0))</f>
        <v/>
      </c>
      <c r="DE472">
        <f>INDEX('Data_Price '!AN$2:AN$1266,MATCH(Data!$DN472,'Data_Price '!$AT$2:$AT$1266,0))</f>
        <v/>
      </c>
      <c r="DF472">
        <f>INDEX('Data_Price '!AO$2:AO$1266,MATCH(Data!$DN472,'Data_Price '!$AT$2:$AT$1266,0))</f>
        <v/>
      </c>
      <c r="DG472">
        <f>INDEX('Data_Price '!AP$2:AP$1266,MATCH(Data!$DN472,'Data_Price '!$AT$2:$AT$1266,0))</f>
        <v/>
      </c>
      <c r="DH472">
        <f>INDEX('Data_Price '!AQ$2:AQ$1266,MATCH(Data!$DN472,'Data_Price '!$AT$2:$AT$1266,0))</f>
        <v/>
      </c>
      <c r="DI472">
        <f>INDEX('Data_Price '!AR$2:AR$1266,MATCH(Data!$DN472,'Data_Price '!$AT$2:$AT$1266,0))</f>
        <v/>
      </c>
      <c r="DJ472" s="138">
        <f>DA472</f>
        <v/>
      </c>
      <c r="DK472" s="138">
        <f>DE472</f>
        <v/>
      </c>
      <c r="DL472" s="138">
        <f>DI472</f>
        <v/>
      </c>
      <c r="DM472" s="303">
        <f>IF(LEFT(BT472,1)=" ",RIGHT(BT472,LEN(BT472)-1),BT472)</f>
        <v/>
      </c>
      <c r="DN472" s="138">
        <f>_xlfn.CONCAT(BS472,DM472,BU472,BV472)</f>
        <v/>
      </c>
      <c r="DO472" s="307" t="inlineStr">
        <is>
          <t>https://images.evo.com/imgp/250/197733/826787/clone.jpg</t>
        </is>
      </c>
    </row>
    <row r="473" ht="15.6" customHeight="1" s="184">
      <c r="B473" s="303">
        <f t="array" ref="B473">IF(OR(ISERROR(K473:P473)),FALSE,TRUE)</f>
        <v/>
      </c>
      <c r="C473" s="60">
        <f>OR(BR473=Driver!$G$50,Data!BR808=Driver!$H$50)</f>
        <v/>
      </c>
      <c r="D473" s="60">
        <f>OR(BV473=Driver!$G$51,BV473=Driver!$H$51)</f>
        <v/>
      </c>
      <c r="E473" s="60">
        <f>AND(BX473&gt;Driver!$F$54,BX473&lt;Driver!$G$54)</f>
        <v/>
      </c>
      <c r="F473" s="60">
        <f>CL473&gt;Driver!$F$56</f>
        <v/>
      </c>
      <c r="G473" s="60">
        <f>AND(CB473&gt;Driver!$F$55,CB473&lt;Driver!$G$55)</f>
        <v/>
      </c>
      <c r="H473" s="60">
        <f>AND(B473:G473)</f>
        <v/>
      </c>
      <c r="I473" s="60">
        <f>COUNTIFS($H$9:$H$1273,TRUE,$BT$9:$BT$1273,BT473)</f>
        <v/>
      </c>
      <c r="J473" s="60">
        <f t="array" ref="J473">NOT(OR(($H$9:$H$1273=TRUE)*($I$9:$I$1273&gt;0)*($BT$9:$BT$1273=BT473)*($K$9:$K$1273&gt;K473)))</f>
        <v/>
      </c>
      <c r="K473" s="108">
        <f>IFERROR(1-AVERAGE(X473:Y473),"")</f>
        <v/>
      </c>
      <c r="L473" s="108">
        <f>1-X473</f>
        <v/>
      </c>
      <c r="M473" s="108">
        <f>1-Y473</f>
        <v/>
      </c>
      <c r="N473" s="108">
        <f>1-Z473</f>
        <v/>
      </c>
      <c r="O473" s="108">
        <f>1-AA473</f>
        <v/>
      </c>
      <c r="P473" s="108">
        <f>1-AB473</f>
        <v/>
      </c>
      <c r="Q473" s="108" t="n"/>
      <c r="R473" s="108" t="n"/>
      <c r="S473" s="108">
        <f>1-AE473</f>
        <v/>
      </c>
      <c r="T473" s="108">
        <f>1-AF473</f>
        <v/>
      </c>
      <c r="U473" s="108">
        <f>1-AG473</f>
        <v/>
      </c>
      <c r="V473" s="108">
        <f>1-AH473</f>
        <v/>
      </c>
      <c r="W473" s="108">
        <f>1-AI473</f>
        <v/>
      </c>
      <c r="X473" s="108">
        <f>ABS(AJ473-AJ$1)</f>
        <v/>
      </c>
      <c r="Y473" s="108">
        <f>AVERAGE(Z473:AB473)</f>
        <v/>
      </c>
      <c r="Z473" s="108">
        <f>ABS(AL473-AL$1)</f>
        <v/>
      </c>
      <c r="AA473" s="108">
        <f>ABS(AM473-AM$1)</f>
        <v/>
      </c>
      <c r="AB473" s="108">
        <f>ABS(AN473-AN$1)</f>
        <v/>
      </c>
      <c r="AC473" s="108" t="n"/>
      <c r="AD473" s="108" t="n"/>
      <c r="AE473" s="108">
        <f>ABS(AQ$1-AQ473)</f>
        <v/>
      </c>
      <c r="AF473" s="108">
        <f>ABS(AR$1-AR473)</f>
        <v/>
      </c>
      <c r="AG473" s="108">
        <f>ABS(AS$1-AS473)</f>
        <v/>
      </c>
      <c r="AH473" s="108">
        <f>ABS(AT$1-AT473)</f>
        <v/>
      </c>
      <c r="AI473" s="108">
        <f>ABS(AU$1-AU473)</f>
        <v/>
      </c>
      <c r="AJ473" s="108">
        <f>(AV473-Driver!$K$179)/(Driver!$L$179-Driver!$K$179)</f>
        <v/>
      </c>
      <c r="AK473" s="108">
        <f>(AW473-Driver!$K$180)/(Driver!$L$180-Driver!$K$180)</f>
        <v/>
      </c>
      <c r="AL473" s="108">
        <f>(AX473-Driver!$K$181)/(Driver!$L$181-Driver!$K$181)</f>
        <v/>
      </c>
      <c r="AM473" s="108">
        <f>(AY473-Driver!$K$182)/(Driver!$L$182-Driver!$K$182)</f>
        <v/>
      </c>
      <c r="AN473" s="108">
        <f>(AZ473-Driver!$K$183)/(Driver!$L$183-Driver!$K$183)</f>
        <v/>
      </c>
      <c r="AO473" s="108" t="n"/>
      <c r="AP473" s="108" t="n"/>
      <c r="AQ473" s="108">
        <f>(BC473-Driver!$K$188)/(Driver!$L$188-Driver!$K$188)</f>
        <v/>
      </c>
      <c r="AR473" s="108">
        <f>MIN((BD473-Driver!$K$189)/(Driver!$L$189-Driver!$K$189),100%)</f>
        <v/>
      </c>
      <c r="AS473" s="108">
        <f>(BE473-Driver!$K$190)/(Driver!$L$190-Driver!$K$190)</f>
        <v/>
      </c>
      <c r="AT473" s="108">
        <f>(BF473-Driver!$K$191)/(Driver!$L$191-Driver!$K$191)</f>
        <v/>
      </c>
      <c r="AU473" s="108">
        <f>(BG473-Driver!$K$192)/(Driver!$L$192-Driver!$K$192)</f>
        <v/>
      </c>
      <c r="AV473" s="105">
        <f>IFERROR(BM473*BJ473^1/4,"")</f>
        <v/>
      </c>
      <c r="AW473" s="105">
        <f>IFERROR(SUM(AX473:AZ473),"")</f>
        <v/>
      </c>
      <c r="AX473" s="105">
        <f>IFERROR(BH473,"")</f>
        <v/>
      </c>
      <c r="AY473" s="105">
        <f>IFERROR(Driver!$K$19/Data!BH473/Data!BI473*Data!BK473*Data!BL473,"")</f>
        <v/>
      </c>
      <c r="AZ473" s="105">
        <f>IFERROR(BI473*BN473,"")</f>
        <v/>
      </c>
      <c r="BA473" s="105" t="n"/>
      <c r="BB473" s="105" t="n"/>
      <c r="BC473" s="105">
        <f>IFERROR(BI473*BN473*BK473/BJ473^(1/2),"")</f>
        <v/>
      </c>
      <c r="BD473" s="105">
        <f>IFERROR(BH473*BM473*BL473/BJ473/BK473,"")</f>
        <v/>
      </c>
      <c r="BE473" s="105">
        <f>IFERROR(MIN(BI473/BQ473/BP473/BO473/BH473,$BE$1),"")</f>
        <v/>
      </c>
      <c r="BF473" s="105">
        <f>IFERROR(BJ473*BO473*BP473/BK473,"")</f>
        <v/>
      </c>
      <c r="BG473" s="105">
        <f>IFERROR(1/BM473/BH473*BQ473,"")</f>
        <v/>
      </c>
      <c r="BH473" s="102">
        <f>MAX((CE473-Driver!$F$200)/(Driver!$G$200-Driver!$F$200)*$BI$1,1)</f>
        <v/>
      </c>
      <c r="BI473" s="102">
        <f>MAX($BI$1*(BY473-Driver!$F$201)/(Driver!$G$201-Driver!$F$201),1)</f>
        <v/>
      </c>
      <c r="BJ473" s="102">
        <f>(CB473-Driver!$F$206)/(Driver!$G$206-Driver!$F$206)*$BI$1</f>
        <v/>
      </c>
      <c r="BK473" s="102">
        <f>(CD473-Driver!$F$203)/(Driver!$G$203-Driver!$F$203)*$BI$1</f>
        <v/>
      </c>
      <c r="BL473" s="102">
        <f>MAX((CR473-Driver!$F$202)/(Driver!$G$202-Driver!$F$202)*$BI$1,1)</f>
        <v/>
      </c>
      <c r="BM473" s="102">
        <f>MAX((CH473-Driver!$F$204)/(Driver!$G$204-Driver!$F$204)*$BI$1,1)</f>
        <v/>
      </c>
      <c r="BN473" s="102">
        <f>(CI473-Driver!$F$205)/(Driver!$G$205-Driver!$F$205)*$BI$1</f>
        <v/>
      </c>
      <c r="BO473" s="102">
        <f>(CK473-Driver!$F$207)/(Driver!$G$207-Driver!$F$207)*$BI$1</f>
        <v/>
      </c>
      <c r="BP473" s="102">
        <f>(CM473-Driver!$F$208)/(Driver!$G$208-Driver!$F$208)*$BI$1</f>
        <v/>
      </c>
      <c r="BQ473" s="102">
        <f>(CL473-Driver!$F$209)/(Driver!$G$209-Driver!$F$209)*$BI$1</f>
        <v/>
      </c>
      <c r="BR473" s="40" t="inlineStr">
        <is>
          <t>21/22</t>
        </is>
      </c>
      <c r="BS473" s="10" t="inlineStr">
        <is>
          <t xml:space="preserve"> Liberty</t>
        </is>
      </c>
      <c r="BT473" s="11" t="inlineStr">
        <is>
          <t>Genesis 101</t>
        </is>
      </c>
      <c r="BU473" s="13" t="n">
        <v>171</v>
      </c>
      <c r="BV473" s="11" t="inlineStr">
        <is>
          <t xml:space="preserve"> Women's</t>
        </is>
      </c>
      <c r="BW473" s="13" t="n">
        <v>171</v>
      </c>
      <c r="BX473" s="13" t="n">
        <v>170</v>
      </c>
      <c r="BY473" s="13" t="n">
        <v>111</v>
      </c>
      <c r="BZ473" s="13" t="n">
        <v>141</v>
      </c>
      <c r="CA473" s="13" t="n">
        <v>135</v>
      </c>
      <c r="CB473" s="13" t="n">
        <v>101</v>
      </c>
      <c r="CC473" s="13" t="n">
        <v>122</v>
      </c>
      <c r="CD473" s="13" t="n">
        <v>16.6</v>
      </c>
      <c r="CE473" s="13" t="n">
        <v>1723</v>
      </c>
      <c r="CF473" s="13" t="n">
        <v>1.1</v>
      </c>
      <c r="CG473" s="13" t="n">
        <v>1895</v>
      </c>
      <c r="CH473" s="13" t="n">
        <v>171</v>
      </c>
      <c r="CI473" s="13" t="n">
        <v>81</v>
      </c>
      <c r="CJ473" s="13" t="n">
        <v>51</v>
      </c>
      <c r="CK473" s="13" t="n">
        <v>339</v>
      </c>
      <c r="CL473" s="13" t="n">
        <v>28</v>
      </c>
      <c r="CM473" s="13" t="n">
        <v>248</v>
      </c>
      <c r="CN473" s="13" t="n">
        <v>0.55</v>
      </c>
      <c r="CO473" s="13" t="n">
        <v>142</v>
      </c>
      <c r="CP473" s="13" t="n">
        <v>148</v>
      </c>
      <c r="CQ473" s="13" t="n">
        <v>197</v>
      </c>
      <c r="CR473" s="13" t="n">
        <v>6</v>
      </c>
      <c r="CS473" s="13" t="n">
        <v>8.300000000000001</v>
      </c>
      <c r="CT473" s="11" t="inlineStr">
        <is>
          <t xml:space="preserve"> Resort Freeride</t>
        </is>
      </c>
      <c r="CU473" s="11" t="inlineStr">
        <is>
          <t xml:space="preserve"> Powder</t>
        </is>
      </c>
      <c r="CV473" s="11" t="inlineStr">
        <is>
          <t xml:space="preserve"> Touring</t>
        </is>
      </c>
      <c r="CW473" s="13" t="n"/>
      <c r="CX473">
        <f>INDEX('Data_Price '!AG$2:AG$1266,MATCH(Data!$DN473,'Data_Price '!$AT$2:$AT$1266,0))</f>
        <v/>
      </c>
      <c r="CY473">
        <f>INDEX('Data_Price '!AH$2:AH$1266,MATCH(Data!$DN473,'Data_Price '!$AT$2:$AT$1266,0))</f>
        <v/>
      </c>
      <c r="CZ473">
        <f>INDEX('Data_Price '!AI$2:AI$1266,MATCH(Data!$DN473,'Data_Price '!$AT$2:$AT$1266,0))</f>
        <v/>
      </c>
      <c r="DA473">
        <f>INDEX('Data_Price '!AJ$2:AJ$1266,MATCH(Data!$DN473,'Data_Price '!$AT$2:$AT$1266,0))</f>
        <v/>
      </c>
      <c r="DB473">
        <f>INDEX('Data_Price '!AK$2:AK$1266,MATCH(Data!$DN473,'Data_Price '!$AT$2:$AT$1266,0))</f>
        <v/>
      </c>
      <c r="DC473">
        <f>INDEX('Data_Price '!AL$2:AL$1266,MATCH(Data!$DN473,'Data_Price '!$AT$2:$AT$1266,0))</f>
        <v/>
      </c>
      <c r="DD473">
        <f>INDEX('Data_Price '!AM$2:AM$1266,MATCH(Data!$DN473,'Data_Price '!$AT$2:$AT$1266,0))</f>
        <v/>
      </c>
      <c r="DE473">
        <f>INDEX('Data_Price '!AN$2:AN$1266,MATCH(Data!$DN473,'Data_Price '!$AT$2:$AT$1266,0))</f>
        <v/>
      </c>
      <c r="DF473">
        <f>INDEX('Data_Price '!AO$2:AO$1266,MATCH(Data!$DN473,'Data_Price '!$AT$2:$AT$1266,0))</f>
        <v/>
      </c>
      <c r="DG473">
        <f>INDEX('Data_Price '!AP$2:AP$1266,MATCH(Data!$DN473,'Data_Price '!$AT$2:$AT$1266,0))</f>
        <v/>
      </c>
      <c r="DH473">
        <f>INDEX('Data_Price '!AQ$2:AQ$1266,MATCH(Data!$DN473,'Data_Price '!$AT$2:$AT$1266,0))</f>
        <v/>
      </c>
      <c r="DI473">
        <f>INDEX('Data_Price '!AR$2:AR$1266,MATCH(Data!$DN473,'Data_Price '!$AT$2:$AT$1266,0))</f>
        <v/>
      </c>
      <c r="DJ473" s="138">
        <f>DA473</f>
        <v/>
      </c>
      <c r="DK473" s="138">
        <f>DE473</f>
        <v/>
      </c>
      <c r="DL473" s="138">
        <f>DI473</f>
        <v/>
      </c>
      <c r="DM473" s="303">
        <f>IF(LEFT(BT473,1)=" ",RIGHT(BT473,LEN(BT473)-1),BT473)</f>
        <v/>
      </c>
      <c r="DN473" s="138">
        <f>_xlfn.CONCAT(BS473,DM473,BU473,BV473)</f>
        <v/>
      </c>
      <c r="DO473" s="307" t="inlineStr">
        <is>
          <t>https://images.evo.com/imgp/250/208557/851471/liberty-genesis-101-skis-women-s-2022-.jpg</t>
        </is>
      </c>
    </row>
    <row r="474" ht="15.6" customHeight="1" s="184">
      <c r="A474" s="303">
        <f>ROW()</f>
        <v/>
      </c>
      <c r="B474" s="303">
        <f t="array" ref="B474">IF(OR(ISERROR(K474:P474)),FALSE,TRUE)</f>
        <v/>
      </c>
      <c r="C474" s="60">
        <f>OR(BR474=Driver!$G$50,Data!BR965=Driver!$H$50)</f>
        <v/>
      </c>
      <c r="D474" s="60">
        <f>OR(BV474=Driver!$G$51,BV474=Driver!$H$51)</f>
        <v/>
      </c>
      <c r="E474" s="60">
        <f>AND(BX474&gt;Driver!$F$54,BX474&lt;Driver!$G$54)</f>
        <v/>
      </c>
      <c r="F474" s="60">
        <f>CL474&gt;Driver!$F$56</f>
        <v/>
      </c>
      <c r="G474" s="60">
        <f>AND(CB474&gt;Driver!$F$55,CB474&lt;Driver!$G$55)</f>
        <v/>
      </c>
      <c r="H474" s="60">
        <f>AND(B474:G474)</f>
        <v/>
      </c>
      <c r="I474" s="60">
        <f>COUNTIFS($H$9:$H$1273,TRUE,$BT$9:$BT$1273,BT474)</f>
        <v/>
      </c>
      <c r="J474" s="60">
        <f t="array" ref="J474">NOT(OR(($H$9:$H$1273=TRUE)*($I$9:$I$1273&gt;0)*($BT$9:$BT$1273=BT474)*($K$9:$K$1273&gt;K474)))</f>
        <v/>
      </c>
      <c r="K474" s="108">
        <f>IFERROR(1-AVERAGE(X474:Y474),"")</f>
        <v/>
      </c>
      <c r="L474" s="108">
        <f>1-X474</f>
        <v/>
      </c>
      <c r="M474" s="108">
        <f>1-Y474</f>
        <v/>
      </c>
      <c r="N474" s="108">
        <f>1-Z474</f>
        <v/>
      </c>
      <c r="O474" s="108">
        <f>1-AA474</f>
        <v/>
      </c>
      <c r="P474" s="108">
        <f>1-AB474</f>
        <v/>
      </c>
      <c r="Q474" s="108" t="n"/>
      <c r="R474" s="108" t="n"/>
      <c r="S474" s="108">
        <f>1-AE474</f>
        <v/>
      </c>
      <c r="T474" s="108">
        <f>1-AF474</f>
        <v/>
      </c>
      <c r="U474" s="108">
        <f>1-AG474</f>
        <v/>
      </c>
      <c r="V474" s="108">
        <f>1-AH474</f>
        <v/>
      </c>
      <c r="W474" s="108">
        <f>1-AI474</f>
        <v/>
      </c>
      <c r="X474" s="108">
        <f>ABS(AJ474-AJ$1)</f>
        <v/>
      </c>
      <c r="Y474" s="108">
        <f>AVERAGE(Z474:AB474)</f>
        <v/>
      </c>
      <c r="Z474" s="108">
        <f>ABS(AL474-AL$1)</f>
        <v/>
      </c>
      <c r="AA474" s="108">
        <f>ABS(AM474-AM$1)</f>
        <v/>
      </c>
      <c r="AB474" s="108">
        <f>ABS(AN474-AN$1)</f>
        <v/>
      </c>
      <c r="AC474" s="108" t="n"/>
      <c r="AD474" s="108" t="n"/>
      <c r="AE474" s="108">
        <f>ABS(AQ$1-AQ474)</f>
        <v/>
      </c>
      <c r="AF474" s="108">
        <f>ABS(AR$1-AR474)</f>
        <v/>
      </c>
      <c r="AG474" s="108">
        <f>ABS(AS$1-AS474)</f>
        <v/>
      </c>
      <c r="AH474" s="108">
        <f>ABS(AT$1-AT474)</f>
        <v/>
      </c>
      <c r="AI474" s="108">
        <f>ABS(AU$1-AU474)</f>
        <v/>
      </c>
      <c r="AJ474" s="108">
        <f>(AV474-Driver!$K$179)/(Driver!$L$179-Driver!$K$179)</f>
        <v/>
      </c>
      <c r="AK474" s="108">
        <f>(AW474-Driver!$K$180)/(Driver!$L$180-Driver!$K$180)</f>
        <v/>
      </c>
      <c r="AL474" s="108">
        <f>(AX474-Driver!$K$181)/(Driver!$L$181-Driver!$K$181)</f>
        <v/>
      </c>
      <c r="AM474" s="108">
        <f>(AY474-Driver!$K$182)/(Driver!$L$182-Driver!$K$182)</f>
        <v/>
      </c>
      <c r="AN474" s="108">
        <f>(AZ474-Driver!$K$183)/(Driver!$L$183-Driver!$K$183)</f>
        <v/>
      </c>
      <c r="AO474" s="108" t="n"/>
      <c r="AP474" s="108" t="n"/>
      <c r="AQ474" s="108">
        <f>(BC474-Driver!$K$188)/(Driver!$L$188-Driver!$K$188)</f>
        <v/>
      </c>
      <c r="AR474" s="108">
        <f>MIN((BD474-Driver!$K$189)/(Driver!$L$189-Driver!$K$189),100%)</f>
        <v/>
      </c>
      <c r="AS474" s="108">
        <f>(BE474-Driver!$K$190)/(Driver!$L$190-Driver!$K$190)</f>
        <v/>
      </c>
      <c r="AT474" s="108">
        <f>(BF474-Driver!$K$191)/(Driver!$L$191-Driver!$K$191)</f>
        <v/>
      </c>
      <c r="AU474" s="108">
        <f>(BG474-Driver!$K$192)/(Driver!$L$192-Driver!$K$192)</f>
        <v/>
      </c>
      <c r="AV474" s="105">
        <f>IFERROR(BM474*BJ474^1/4,"")</f>
        <v/>
      </c>
      <c r="AW474" s="105">
        <f>IFERROR(SUM(AX474:AZ474),"")</f>
        <v/>
      </c>
      <c r="AX474" s="105">
        <f>IFERROR(BH474,"")</f>
        <v/>
      </c>
      <c r="AY474" s="105">
        <f>IFERROR(Driver!$K$19/Data!BH68/Data!BI68*Data!BK68*Data!BL68,"")</f>
        <v/>
      </c>
      <c r="AZ474" s="105">
        <f>IFERROR(BI474*BN474,"")</f>
        <v/>
      </c>
      <c r="BA474" s="105" t="n"/>
      <c r="BB474" s="105" t="n"/>
      <c r="BC474" s="105">
        <f>IFERROR(BI474*BN474*BK474/BJ474^(1/2),"")</f>
        <v/>
      </c>
      <c r="BD474" s="105">
        <f>IFERROR(BH474*BM474*BL474/BJ474/BK474,"")</f>
        <v/>
      </c>
      <c r="BE474" s="105">
        <f>IFERROR(MIN(BI474/BQ474/BP474/BO474/BH474,$BE$1),"")</f>
        <v/>
      </c>
      <c r="BF474" s="105">
        <f>IFERROR(BJ474*BO474*BP474/BK474,"")</f>
        <v/>
      </c>
      <c r="BG474" s="105">
        <f>IFERROR(1/BM474/BH474*BQ474,"")</f>
        <v/>
      </c>
      <c r="BH474" s="102">
        <f>MAX((CE474-Driver!$F$200)/(Driver!$G$200-Driver!$F$200)*$BI$1,1)</f>
        <v/>
      </c>
      <c r="BI474" s="102">
        <f>MAX($BI$1*(BY474-Driver!$F$201)/(Driver!$G$201-Driver!$F$201),1)</f>
        <v/>
      </c>
      <c r="BJ474" s="102">
        <f>(CB474-Driver!$F$206)/(Driver!$G$206-Driver!$F$206)*$BI$1</f>
        <v/>
      </c>
      <c r="BK474" s="102">
        <f>(CD474-Driver!$F$203)/(Driver!$G$203-Driver!$F$203)*$BI$1</f>
        <v/>
      </c>
      <c r="BL474" s="102">
        <f>MAX((CR474-Driver!$F$202)/(Driver!$G$202-Driver!$F$202)*$BI$1,1)</f>
        <v/>
      </c>
      <c r="BM474" s="102">
        <f>MAX((CH474-Driver!$F$204)/(Driver!$G$204-Driver!$F$204)*$BI$1,1)</f>
        <v/>
      </c>
      <c r="BN474" s="102">
        <f>(CI474-Driver!$F$205)/(Driver!$G$205-Driver!$F$205)*$BI$1</f>
        <v/>
      </c>
      <c r="BO474" s="102">
        <f>(CK474-Driver!$F$207)/(Driver!$G$207-Driver!$F$207)*$BI$1</f>
        <v/>
      </c>
      <c r="BP474" s="102">
        <f>(CM474-Driver!$F$208)/(Driver!$G$208-Driver!$F$208)*$BI$1</f>
        <v/>
      </c>
      <c r="BQ474" s="102">
        <f>(CL474-Driver!$F$209)/(Driver!$G$209-Driver!$F$209)*$BI$1</f>
        <v/>
      </c>
      <c r="BR474" s="40" t="inlineStr">
        <is>
          <t>21/22</t>
        </is>
      </c>
      <c r="BS474" s="10" t="inlineStr">
        <is>
          <t xml:space="preserve"> Rossignol</t>
        </is>
      </c>
      <c r="BT474" s="11" t="inlineStr">
        <is>
          <t xml:space="preserve"> Blackops Blazer W</t>
        </is>
      </c>
      <c r="BU474" s="13" t="n">
        <v>160</v>
      </c>
      <c r="BV474" s="11" t="inlineStr">
        <is>
          <t xml:space="preserve"> Women's</t>
        </is>
      </c>
      <c r="BW474" s="13" t="n">
        <v>160</v>
      </c>
      <c r="BX474" s="13" t="n">
        <v>159.3</v>
      </c>
      <c r="BY474" s="13" t="n">
        <v>113</v>
      </c>
      <c r="BZ474" s="13" t="n">
        <v>136</v>
      </c>
      <c r="CA474" s="13" t="n">
        <v>130</v>
      </c>
      <c r="CB474" s="13" t="n">
        <v>97</v>
      </c>
      <c r="CC474" s="13" t="n">
        <v>120</v>
      </c>
      <c r="CD474" s="13" t="n">
        <v>14.1</v>
      </c>
      <c r="CE474" s="13" t="n">
        <v>1775</v>
      </c>
      <c r="CF474" s="13" t="n">
        <v>0.97</v>
      </c>
      <c r="CG474" s="13" t="n">
        <v>1726</v>
      </c>
      <c r="CH474" s="13" t="n">
        <v>200</v>
      </c>
      <c r="CI474" s="13" t="n">
        <v>108</v>
      </c>
      <c r="CJ474" s="13" t="n">
        <v>49</v>
      </c>
      <c r="CK474" s="13" t="n">
        <v>239</v>
      </c>
      <c r="CL474" s="13" t="n">
        <v>35</v>
      </c>
      <c r="CM474" s="13" t="n">
        <v>225</v>
      </c>
      <c r="CN474" s="13" t="n">
        <v>0.706</v>
      </c>
      <c r="CO474" s="13" t="n">
        <v>131</v>
      </c>
      <c r="CP474" s="13" t="n">
        <v>105</v>
      </c>
      <c r="CQ474" s="13" t="n">
        <v>108</v>
      </c>
      <c r="CR474" s="13" t="n">
        <v>8</v>
      </c>
      <c r="CS474" s="13" t="n">
        <v>4.2</v>
      </c>
      <c r="CT474" s="11" t="inlineStr">
        <is>
          <t xml:space="preserve"> Resort Freeride</t>
        </is>
      </c>
      <c r="CU474" s="13" t="n"/>
      <c r="CV474" s="13" t="n"/>
      <c r="CW474" s="13" t="n"/>
      <c r="CX474">
        <f>INDEX('Data_Price '!AG$2:AG$1266,MATCH(Data!$DN474,'Data_Price '!$AT$2:$AT$1266,0))</f>
        <v/>
      </c>
      <c r="CY474">
        <f>INDEX('Data_Price '!AH$2:AH$1266,MATCH(Data!$DN474,'Data_Price '!$AT$2:$AT$1266,0))</f>
        <v/>
      </c>
      <c r="CZ474">
        <f>INDEX('Data_Price '!AI$2:AI$1266,MATCH(Data!$DN474,'Data_Price '!$AT$2:$AT$1266,0))</f>
        <v/>
      </c>
      <c r="DA474">
        <f>INDEX('Data_Price '!AJ$2:AJ$1266,MATCH(Data!$DN474,'Data_Price '!$AT$2:$AT$1266,0))</f>
        <v/>
      </c>
      <c r="DB474">
        <f>INDEX('Data_Price '!AK$2:AK$1266,MATCH(Data!$DN474,'Data_Price '!$AT$2:$AT$1266,0))</f>
        <v/>
      </c>
      <c r="DC474">
        <f>INDEX('Data_Price '!AL$2:AL$1266,MATCH(Data!$DN474,'Data_Price '!$AT$2:$AT$1266,0))</f>
        <v/>
      </c>
      <c r="DD474">
        <f>INDEX('Data_Price '!AM$2:AM$1266,MATCH(Data!$DN474,'Data_Price '!$AT$2:$AT$1266,0))</f>
        <v/>
      </c>
      <c r="DE474">
        <f>INDEX('Data_Price '!AN$2:AN$1266,MATCH(Data!$DN474,'Data_Price '!$AT$2:$AT$1266,0))</f>
        <v/>
      </c>
      <c r="DF474">
        <f>INDEX('Data_Price '!AO$2:AO$1266,MATCH(Data!$DN474,'Data_Price '!$AT$2:$AT$1266,0))</f>
        <v/>
      </c>
      <c r="DG474">
        <f>INDEX('Data_Price '!AP$2:AP$1266,MATCH(Data!$DN474,'Data_Price '!$AT$2:$AT$1266,0))</f>
        <v/>
      </c>
      <c r="DH474">
        <f>INDEX('Data_Price '!AQ$2:AQ$1266,MATCH(Data!$DN474,'Data_Price '!$AT$2:$AT$1266,0))</f>
        <v/>
      </c>
      <c r="DI474">
        <f>INDEX('Data_Price '!AR$2:AR$1266,MATCH(Data!$DN474,'Data_Price '!$AT$2:$AT$1266,0))</f>
        <v/>
      </c>
      <c r="DJ474" s="138">
        <f>DA474</f>
        <v/>
      </c>
      <c r="DK474" s="138">
        <f>DE474</f>
        <v/>
      </c>
      <c r="DL474" s="138">
        <f>DI474</f>
        <v/>
      </c>
      <c r="DM474" s="303">
        <f>IF(LEFT(BT474,1)=" ",RIGHT(BT474,LEN(BT474)-1),BT474)</f>
        <v/>
      </c>
      <c r="DN474" s="138">
        <f>_xlfn.CONCAT(BS474,DM474,BU474,BV474)</f>
        <v/>
      </c>
      <c r="DO474" s="307" t="n"/>
    </row>
    <row r="475" ht="15.6" customHeight="1" s="184">
      <c r="B475" s="303">
        <f t="array" ref="B475">IF(OR(ISERROR(K475:P475)),FALSE,TRUE)</f>
        <v/>
      </c>
      <c r="C475" s="60">
        <f>OR(BR475=Driver!$G$50,Data!BR1027=Driver!$H$50)</f>
        <v/>
      </c>
      <c r="D475" s="60">
        <f>OR(BV475=Driver!$G$51,BV475=Driver!$H$51)</f>
        <v/>
      </c>
      <c r="E475" s="60">
        <f>AND(BX475&gt;Driver!$F$54,BX475&lt;Driver!$G$54)</f>
        <v/>
      </c>
      <c r="F475" s="60">
        <f>CL475&gt;Driver!$F$56</f>
        <v/>
      </c>
      <c r="G475" s="60">
        <f>AND(CB475&gt;Driver!$F$55,CB475&lt;Driver!$G$55)</f>
        <v/>
      </c>
      <c r="H475" s="60">
        <f>AND(B475:G475)</f>
        <v/>
      </c>
      <c r="I475" s="60">
        <f>COUNTIFS($H$9:$H$1273,TRUE,$BT$9:$BT$1273,BT475)</f>
        <v/>
      </c>
      <c r="J475" s="60">
        <f t="array" ref="J475">NOT(OR(($H$9:$H$1273=TRUE)*($I$9:$I$1273&gt;0)*($BT$9:$BT$1273=BT475)*($K$9:$K$1273&gt;K475)))</f>
        <v/>
      </c>
      <c r="K475" s="108">
        <f>IFERROR(1-AVERAGE(X475:Y475),"")</f>
        <v/>
      </c>
      <c r="L475" s="108">
        <f>1-X475</f>
        <v/>
      </c>
      <c r="M475" s="108">
        <f>1-Y475</f>
        <v/>
      </c>
      <c r="N475" s="108">
        <f>1-Z475</f>
        <v/>
      </c>
      <c r="O475" s="108">
        <f>1-AA475</f>
        <v/>
      </c>
      <c r="P475" s="108">
        <f>1-AB475</f>
        <v/>
      </c>
      <c r="Q475" s="108" t="n"/>
      <c r="R475" s="108" t="n"/>
      <c r="S475" s="108">
        <f>1-AE475</f>
        <v/>
      </c>
      <c r="T475" s="108">
        <f>1-AF475</f>
        <v/>
      </c>
      <c r="U475" s="108">
        <f>1-AG475</f>
        <v/>
      </c>
      <c r="V475" s="108">
        <f>1-AH475</f>
        <v/>
      </c>
      <c r="W475" s="108">
        <f>1-AI475</f>
        <v/>
      </c>
      <c r="X475" s="108">
        <f>ABS(AJ475-AJ$1)</f>
        <v/>
      </c>
      <c r="Y475" s="108">
        <f>AVERAGE(Z475:AB475)</f>
        <v/>
      </c>
      <c r="Z475" s="108">
        <f>ABS(AL475-AL$1)</f>
        <v/>
      </c>
      <c r="AA475" s="108">
        <f>ABS(AM475-AM$1)</f>
        <v/>
      </c>
      <c r="AB475" s="108">
        <f>ABS(AN475-AN$1)</f>
        <v/>
      </c>
      <c r="AC475" s="108" t="n"/>
      <c r="AD475" s="108" t="n"/>
      <c r="AE475" s="108">
        <f>ABS(AQ$1-AQ475)</f>
        <v/>
      </c>
      <c r="AF475" s="108">
        <f>ABS(AR$1-AR475)</f>
        <v/>
      </c>
      <c r="AG475" s="108">
        <f>ABS(AS$1-AS475)</f>
        <v/>
      </c>
      <c r="AH475" s="108">
        <f>ABS(AT$1-AT475)</f>
        <v/>
      </c>
      <c r="AI475" s="108">
        <f>ABS(AU$1-AU475)</f>
        <v/>
      </c>
      <c r="AJ475" s="108">
        <f>(AV475-Driver!$K$179)/(Driver!$L$179-Driver!$K$179)</f>
        <v/>
      </c>
      <c r="AK475" s="108">
        <f>(AW475-Driver!$K$180)/(Driver!$L$180-Driver!$K$180)</f>
        <v/>
      </c>
      <c r="AL475" s="108">
        <f>(AX475-Driver!$K$181)/(Driver!$L$181-Driver!$K$181)</f>
        <v/>
      </c>
      <c r="AM475" s="108">
        <f>(AY475-Driver!$K$182)/(Driver!$L$182-Driver!$K$182)</f>
        <v/>
      </c>
      <c r="AN475" s="108">
        <f>(AZ475-Driver!$K$183)/(Driver!$L$183-Driver!$K$183)</f>
        <v/>
      </c>
      <c r="AO475" s="108" t="n"/>
      <c r="AP475" s="108" t="n"/>
      <c r="AQ475" s="108">
        <f>(BC475-Driver!$K$188)/(Driver!$L$188-Driver!$K$188)</f>
        <v/>
      </c>
      <c r="AR475" s="108">
        <f>MIN((BD475-Driver!$K$189)/(Driver!$L$189-Driver!$K$189),100%)</f>
        <v/>
      </c>
      <c r="AS475" s="108">
        <f>(BE475-Driver!$K$190)/(Driver!$L$190-Driver!$K$190)</f>
        <v/>
      </c>
      <c r="AT475" s="108">
        <f>(BF475-Driver!$K$191)/(Driver!$L$191-Driver!$K$191)</f>
        <v/>
      </c>
      <c r="AU475" s="108">
        <f>(BG475-Driver!$K$192)/(Driver!$L$192-Driver!$K$192)</f>
        <v/>
      </c>
      <c r="AV475" s="105">
        <f>IFERROR(BM475*BJ475^1/4,"")</f>
        <v/>
      </c>
      <c r="AW475" s="105">
        <f>IFERROR(SUM(AX475:AZ475),"")</f>
        <v/>
      </c>
      <c r="AX475" s="105">
        <f>IFERROR(BH475,"")</f>
        <v/>
      </c>
      <c r="AY475" s="105">
        <f>IFERROR(Driver!$K$19/Data!BH475/Data!BI475*Data!BK475*Data!BL475,"")</f>
        <v/>
      </c>
      <c r="AZ475" s="105">
        <f>IFERROR(BI475*BN475,"")</f>
        <v/>
      </c>
      <c r="BA475" s="105" t="n"/>
      <c r="BB475" s="105" t="n"/>
      <c r="BC475" s="105">
        <f>IFERROR(BI475*BN475*BK475/BJ475^(1/2),"")</f>
        <v/>
      </c>
      <c r="BD475" s="105">
        <f>IFERROR(BH475*BM475*BL475/BJ475/BK475,"")</f>
        <v/>
      </c>
      <c r="BE475" s="105">
        <f>IFERROR(MIN(BI475/BQ475/BP475/BO475/BH475,$BE$1),"")</f>
        <v/>
      </c>
      <c r="BF475" s="105">
        <f>IFERROR(BJ475*BO475*BP475/BK475,"")</f>
        <v/>
      </c>
      <c r="BG475" s="105">
        <f>IFERROR(1/BM475/BH475*BQ475,"")</f>
        <v/>
      </c>
      <c r="BH475" s="102">
        <f>MAX((CE475-Driver!$F$200)/(Driver!$G$200-Driver!$F$200)*$BI$1,1)</f>
        <v/>
      </c>
      <c r="BI475" s="102">
        <f>MAX($BI$1*(BY475-Driver!$F$201)/(Driver!$G$201-Driver!$F$201),1)</f>
        <v/>
      </c>
      <c r="BJ475" s="102">
        <f>(CB475-Driver!$F$206)/(Driver!$G$206-Driver!$F$206)*$BI$1</f>
        <v/>
      </c>
      <c r="BK475" s="102">
        <f>(CD475-Driver!$F$203)/(Driver!$G$203-Driver!$F$203)*$BI$1</f>
        <v/>
      </c>
      <c r="BL475" s="102">
        <f>MAX((CR475-Driver!$F$202)/(Driver!$G$202-Driver!$F$202)*$BI$1,1)</f>
        <v/>
      </c>
      <c r="BM475" s="102">
        <f>MAX((CH475-Driver!$F$204)/(Driver!$G$204-Driver!$F$204)*$BI$1,1)</f>
        <v/>
      </c>
      <c r="BN475" s="102">
        <f>(CI475-Driver!$F$205)/(Driver!$G$205-Driver!$F$205)*$BI$1</f>
        <v/>
      </c>
      <c r="BO475" s="102">
        <f>(CK475-Driver!$F$207)/(Driver!$G$207-Driver!$F$207)*$BI$1</f>
        <v/>
      </c>
      <c r="BP475" s="102">
        <f>(CM475-Driver!$F$208)/(Driver!$G$208-Driver!$F$208)*$BI$1</f>
        <v/>
      </c>
      <c r="BQ475" s="102">
        <f>(CL475-Driver!$F$209)/(Driver!$G$209-Driver!$F$209)*$BI$1</f>
        <v/>
      </c>
      <c r="BR475" s="40" t="inlineStr">
        <is>
          <t>21/22</t>
        </is>
      </c>
      <c r="BS475" s="10" t="inlineStr">
        <is>
          <t xml:space="preserve"> Rossignol</t>
        </is>
      </c>
      <c r="BT475" s="11" t="inlineStr">
        <is>
          <t xml:space="preserve"> Hero Elite Multi Turn Ca</t>
        </is>
      </c>
      <c r="BU475" s="13" t="n">
        <v>175</v>
      </c>
      <c r="BV475" s="11" t="inlineStr">
        <is>
          <t xml:space="preserve"> Unisex</t>
        </is>
      </c>
      <c r="BW475" s="13" t="n">
        <v>175</v>
      </c>
      <c r="BX475" s="13" t="n">
        <v>174.4</v>
      </c>
      <c r="BY475" s="13" t="n">
        <v>148</v>
      </c>
      <c r="BZ475" s="13" t="n">
        <v>161</v>
      </c>
      <c r="CA475" s="13" t="n">
        <v>122</v>
      </c>
      <c r="CB475" s="13" t="n">
        <v>73</v>
      </c>
      <c r="CC475" s="13" t="n">
        <v>108</v>
      </c>
      <c r="CD475" s="13" t="n">
        <v>15.2</v>
      </c>
      <c r="CE475" s="13" t="n">
        <v>1895</v>
      </c>
      <c r="CF475" s="13" t="n">
        <v>0.82</v>
      </c>
      <c r="CG475" s="13" t="n">
        <v>1550</v>
      </c>
      <c r="CH475" s="13" t="n">
        <v>233</v>
      </c>
      <c r="CI475" s="13" t="n">
        <v>87</v>
      </c>
      <c r="CJ475" s="13" t="n">
        <v>40</v>
      </c>
      <c r="CK475" s="13" t="n">
        <v>196</v>
      </c>
      <c r="CL475" s="13" t="n">
        <v>4</v>
      </c>
      <c r="CM475" s="13" t="n">
        <v>66</v>
      </c>
      <c r="CN475" s="13" t="n">
        <v>0.109</v>
      </c>
      <c r="CO475" s="13" t="n">
        <v>73</v>
      </c>
      <c r="CP475" s="13" t="n">
        <v>60</v>
      </c>
      <c r="CQ475" s="13" t="n">
        <v>122</v>
      </c>
      <c r="CR475" s="13" t="n">
        <v>10</v>
      </c>
      <c r="CS475" s="13" t="n">
        <v>10.2</v>
      </c>
      <c r="CT475" s="11" t="inlineStr">
        <is>
          <t xml:space="preserve"> On-Piste Carving</t>
        </is>
      </c>
      <c r="CU475" s="13" t="n"/>
      <c r="CV475" s="13" t="n"/>
      <c r="CW475" s="13" t="n"/>
      <c r="CX475">
        <f>INDEX('Data_Price '!AG$2:AG$1266,MATCH(Data!$DN475,'Data_Price '!$AT$2:$AT$1266,0))</f>
        <v/>
      </c>
      <c r="CY475">
        <f>INDEX('Data_Price '!AH$2:AH$1266,MATCH(Data!$DN475,'Data_Price '!$AT$2:$AT$1266,0))</f>
        <v/>
      </c>
      <c r="CZ475">
        <f>INDEX('Data_Price '!AI$2:AI$1266,MATCH(Data!$DN475,'Data_Price '!$AT$2:$AT$1266,0))</f>
        <v/>
      </c>
      <c r="DA475">
        <f>INDEX('Data_Price '!AJ$2:AJ$1266,MATCH(Data!$DN475,'Data_Price '!$AT$2:$AT$1266,0))</f>
        <v/>
      </c>
      <c r="DB475">
        <f>INDEX('Data_Price '!AK$2:AK$1266,MATCH(Data!$DN475,'Data_Price '!$AT$2:$AT$1266,0))</f>
        <v/>
      </c>
      <c r="DC475">
        <f>INDEX('Data_Price '!AL$2:AL$1266,MATCH(Data!$DN475,'Data_Price '!$AT$2:$AT$1266,0))</f>
        <v/>
      </c>
      <c r="DD475">
        <f>INDEX('Data_Price '!AM$2:AM$1266,MATCH(Data!$DN475,'Data_Price '!$AT$2:$AT$1266,0))</f>
        <v/>
      </c>
      <c r="DE475">
        <f>INDEX('Data_Price '!AN$2:AN$1266,MATCH(Data!$DN475,'Data_Price '!$AT$2:$AT$1266,0))</f>
        <v/>
      </c>
      <c r="DF475">
        <f>INDEX('Data_Price '!AO$2:AO$1266,MATCH(Data!$DN475,'Data_Price '!$AT$2:$AT$1266,0))</f>
        <v/>
      </c>
      <c r="DG475">
        <f>INDEX('Data_Price '!AP$2:AP$1266,MATCH(Data!$DN475,'Data_Price '!$AT$2:$AT$1266,0))</f>
        <v/>
      </c>
      <c r="DH475">
        <f>INDEX('Data_Price '!AQ$2:AQ$1266,MATCH(Data!$DN475,'Data_Price '!$AT$2:$AT$1266,0))</f>
        <v/>
      </c>
      <c r="DI475">
        <f>INDEX('Data_Price '!AR$2:AR$1266,MATCH(Data!$DN475,'Data_Price '!$AT$2:$AT$1266,0))</f>
        <v/>
      </c>
      <c r="DJ475" s="138">
        <f>DA475</f>
        <v/>
      </c>
      <c r="DK475" s="138">
        <f>DE475</f>
        <v/>
      </c>
      <c r="DL475" s="138">
        <f>DI475</f>
        <v/>
      </c>
      <c r="DM475" s="303">
        <f>IF(LEFT(BT475,1)=" ",RIGHT(BT475,LEN(BT475)-1),BT475)</f>
        <v/>
      </c>
      <c r="DN475" s="138">
        <f>_xlfn.CONCAT(BS475,DM475,BU475,BV475)</f>
        <v/>
      </c>
      <c r="DO475" s="307" t="n"/>
    </row>
    <row r="476" ht="15.6" customHeight="1" s="184">
      <c r="B476" s="303">
        <f t="array" ref="B476">IF(OR(ISERROR(K476:P476)),FALSE,TRUE)</f>
        <v/>
      </c>
      <c r="C476" s="60">
        <f>OR(BR476=Driver!$G$50,Data!BR1086=Driver!$H$50)</f>
        <v/>
      </c>
      <c r="D476" s="60">
        <f>OR(BV476=Driver!$G$51,BV476=Driver!$H$51)</f>
        <v/>
      </c>
      <c r="E476" s="60">
        <f>AND(BX476&gt;Driver!$F$54,BX476&lt;Driver!$G$54)</f>
        <v/>
      </c>
      <c r="F476" s="60">
        <f>CL476&gt;Driver!$F$56</f>
        <v/>
      </c>
      <c r="G476" s="60">
        <f>AND(CB476&gt;Driver!$F$55,CB476&lt;Driver!$G$55)</f>
        <v/>
      </c>
      <c r="H476" s="60">
        <f>AND(B476:G476)</f>
        <v/>
      </c>
      <c r="I476" s="60">
        <f>COUNTIFS($H$9:$H$1273,TRUE,$BT$9:$BT$1273,BT476)</f>
        <v/>
      </c>
      <c r="J476" s="60">
        <f t="array" ref="J476">NOT(OR(($H$9:$H$1273=TRUE)*($I$9:$I$1273&gt;0)*($BT$9:$BT$1273=BT476)*($K$9:$K$1273&gt;K476)))</f>
        <v/>
      </c>
      <c r="K476" s="108">
        <f>IFERROR(1-AVERAGE(X476:Y476),"")</f>
        <v/>
      </c>
      <c r="L476" s="108">
        <f>1-X476</f>
        <v/>
      </c>
      <c r="M476" s="108">
        <f>1-Y476</f>
        <v/>
      </c>
      <c r="N476" s="108">
        <f>1-Z476</f>
        <v/>
      </c>
      <c r="O476" s="108">
        <f>1-AA476</f>
        <v/>
      </c>
      <c r="P476" s="108">
        <f>1-AB476</f>
        <v/>
      </c>
      <c r="Q476" s="108" t="n"/>
      <c r="R476" s="108" t="n"/>
      <c r="S476" s="108">
        <f>1-AE476</f>
        <v/>
      </c>
      <c r="T476" s="108">
        <f>1-AF476</f>
        <v/>
      </c>
      <c r="U476" s="108">
        <f>1-AG476</f>
        <v/>
      </c>
      <c r="V476" s="108">
        <f>1-AH476</f>
        <v/>
      </c>
      <c r="W476" s="108">
        <f>1-AI476</f>
        <v/>
      </c>
      <c r="X476" s="108">
        <f>ABS(AJ476-AJ$1)</f>
        <v/>
      </c>
      <c r="Y476" s="108">
        <f>AVERAGE(Z476:AB476)</f>
        <v/>
      </c>
      <c r="Z476" s="108">
        <f>ABS(AL476-AL$1)</f>
        <v/>
      </c>
      <c r="AA476" s="108">
        <f>ABS(AM476-AM$1)</f>
        <v/>
      </c>
      <c r="AB476" s="108">
        <f>ABS(AN476-AN$1)</f>
        <v/>
      </c>
      <c r="AC476" s="108" t="n"/>
      <c r="AD476" s="108" t="n"/>
      <c r="AE476" s="108">
        <f>ABS(AQ$1-AQ476)</f>
        <v/>
      </c>
      <c r="AF476" s="108">
        <f>ABS(AR$1-AR476)</f>
        <v/>
      </c>
      <c r="AG476" s="108">
        <f>ABS(AS$1-AS476)</f>
        <v/>
      </c>
      <c r="AH476" s="108">
        <f>ABS(AT$1-AT476)</f>
        <v/>
      </c>
      <c r="AI476" s="108">
        <f>ABS(AU$1-AU476)</f>
        <v/>
      </c>
      <c r="AJ476" s="108">
        <f>(AV476-Driver!$K$179)/(Driver!$L$179-Driver!$K$179)</f>
        <v/>
      </c>
      <c r="AK476" s="108">
        <f>(AW476-Driver!$K$180)/(Driver!$L$180-Driver!$K$180)</f>
        <v/>
      </c>
      <c r="AL476" s="108">
        <f>(AX476-Driver!$K$181)/(Driver!$L$181-Driver!$K$181)</f>
        <v/>
      </c>
      <c r="AM476" s="108">
        <f>(AY476-Driver!$K$182)/(Driver!$L$182-Driver!$K$182)</f>
        <v/>
      </c>
      <c r="AN476" s="108">
        <f>(AZ476-Driver!$K$183)/(Driver!$L$183-Driver!$K$183)</f>
        <v/>
      </c>
      <c r="AO476" s="108" t="n"/>
      <c r="AP476" s="108" t="n"/>
      <c r="AQ476" s="108">
        <f>(BC476-Driver!$K$188)/(Driver!$L$188-Driver!$K$188)</f>
        <v/>
      </c>
      <c r="AR476" s="108">
        <f>MIN((BD476-Driver!$K$189)/(Driver!$L$189-Driver!$K$189),100%)</f>
        <v/>
      </c>
      <c r="AS476" s="108">
        <f>(BE476-Driver!$K$190)/(Driver!$L$190-Driver!$K$190)</f>
        <v/>
      </c>
      <c r="AT476" s="108">
        <f>(BF476-Driver!$K$191)/(Driver!$L$191-Driver!$K$191)</f>
        <v/>
      </c>
      <c r="AU476" s="108">
        <f>(BG476-Driver!$K$192)/(Driver!$L$192-Driver!$K$192)</f>
        <v/>
      </c>
      <c r="AV476" s="105">
        <f>IFERROR(BM476*BJ476^1/4,"")</f>
        <v/>
      </c>
      <c r="AW476" s="105">
        <f>IFERROR(SUM(AX476:AZ476),"")</f>
        <v/>
      </c>
      <c r="AX476" s="105">
        <f>IFERROR(BH476,"")</f>
        <v/>
      </c>
      <c r="AY476" s="105">
        <f>IFERROR(Driver!$K$19/Data!BH476/Data!BI476*Data!BK476*Data!BL476,"")</f>
        <v/>
      </c>
      <c r="AZ476" s="105">
        <f>IFERROR(BI476*BN476,"")</f>
        <v/>
      </c>
      <c r="BA476" s="105" t="n"/>
      <c r="BB476" s="105" t="n"/>
      <c r="BC476" s="105">
        <f>IFERROR(BI476*BN476*BK476/BJ476^(1/2),"")</f>
        <v/>
      </c>
      <c r="BD476" s="105">
        <f>IFERROR(BH476*BM476*BL476/BJ476/BK476,"")</f>
        <v/>
      </c>
      <c r="BE476" s="105">
        <f>IFERROR(MIN(BI476/BQ476/BP476/BO476/BH476,$BE$1),"")</f>
        <v/>
      </c>
      <c r="BF476" s="105">
        <f>IFERROR(BJ476*BO476*BP476/BK476,"")</f>
        <v/>
      </c>
      <c r="BG476" s="105">
        <f>IFERROR(1/BM476/BH476*BQ476,"")</f>
        <v/>
      </c>
      <c r="BH476" s="102">
        <f>MAX((CE476-Driver!$F$200)/(Driver!$G$200-Driver!$F$200)*$BI$1,1)</f>
        <v/>
      </c>
      <c r="BI476" s="102">
        <f>MAX($BI$1*(BY476-Driver!$F$201)/(Driver!$G$201-Driver!$F$201),1)</f>
        <v/>
      </c>
      <c r="BJ476" s="102">
        <f>(CB476-Driver!$F$206)/(Driver!$G$206-Driver!$F$206)*$BI$1</f>
        <v/>
      </c>
      <c r="BK476" s="102">
        <f>(CD476-Driver!$F$203)/(Driver!$G$203-Driver!$F$203)*$BI$1</f>
        <v/>
      </c>
      <c r="BL476" s="102">
        <f>MAX((CR476-Driver!$F$202)/(Driver!$G$202-Driver!$F$202)*$BI$1,1)</f>
        <v/>
      </c>
      <c r="BM476" s="102">
        <f>MAX((CH476-Driver!$F$204)/(Driver!$G$204-Driver!$F$204)*$BI$1,1)</f>
        <v/>
      </c>
      <c r="BN476" s="102">
        <f>(CI476-Driver!$F$205)/(Driver!$G$205-Driver!$F$205)*$BI$1</f>
        <v/>
      </c>
      <c r="BO476" s="102">
        <f>(CK476-Driver!$F$207)/(Driver!$G$207-Driver!$F$207)*$BI$1</f>
        <v/>
      </c>
      <c r="BP476" s="102">
        <f>(CM476-Driver!$F$208)/(Driver!$G$208-Driver!$F$208)*$BI$1</f>
        <v/>
      </c>
      <c r="BQ476" s="102">
        <f>(CL476-Driver!$F$209)/(Driver!$G$209-Driver!$F$209)*$BI$1</f>
        <v/>
      </c>
      <c r="BR476" s="40" t="inlineStr">
        <is>
          <t>21/22</t>
        </is>
      </c>
      <c r="BS476" s="10" t="inlineStr">
        <is>
          <t xml:space="preserve"> Salomon</t>
        </is>
      </c>
      <c r="BT476" s="11" t="inlineStr">
        <is>
          <t>QST Lux 92</t>
        </is>
      </c>
      <c r="BU476" s="13" t="n">
        <v>169</v>
      </c>
      <c r="BV476" s="11" t="inlineStr">
        <is>
          <t xml:space="preserve"> Women's</t>
        </is>
      </c>
      <c r="BW476" s="13" t="n">
        <v>169</v>
      </c>
      <c r="BX476" s="13" t="n">
        <v>168.6</v>
      </c>
      <c r="BY476" s="13" t="n">
        <v>125</v>
      </c>
      <c r="BZ476" s="13" t="n">
        <v>140</v>
      </c>
      <c r="CA476" s="13" t="n">
        <v>129</v>
      </c>
      <c r="CB476" s="13" t="n">
        <v>92</v>
      </c>
      <c r="CC476" s="13" t="n">
        <v>112</v>
      </c>
      <c r="CD476" s="13" t="n">
        <v>15.5</v>
      </c>
      <c r="CE476" s="13" t="n">
        <v>1722</v>
      </c>
      <c r="CF476" s="13" t="n">
        <v>1.02</v>
      </c>
      <c r="CG476" s="13" t="n">
        <v>1752</v>
      </c>
      <c r="CH476" s="13" t="n">
        <v>183</v>
      </c>
      <c r="CI476" s="13" t="n">
        <v>82</v>
      </c>
      <c r="CJ476" s="13" t="n">
        <v>56</v>
      </c>
      <c r="CK476" s="13" t="n">
        <v>288</v>
      </c>
      <c r="CL476" s="13" t="n">
        <v>13</v>
      </c>
      <c r="CM476" s="13" t="n">
        <v>147</v>
      </c>
      <c r="CN476" s="13" t="n">
        <v>0.238</v>
      </c>
      <c r="CO476" s="13" t="n">
        <v>156</v>
      </c>
      <c r="CP476" s="13" t="n">
        <v>128</v>
      </c>
      <c r="CQ476" s="13" t="n">
        <v>132</v>
      </c>
      <c r="CR476" s="13" t="n">
        <v>8</v>
      </c>
      <c r="CS476" s="13" t="n">
        <v>9.1</v>
      </c>
      <c r="CT476" s="11" t="inlineStr">
        <is>
          <t xml:space="preserve"> Resort Freeride</t>
        </is>
      </c>
      <c r="CU476" s="13" t="n"/>
      <c r="CV476" s="13" t="n"/>
      <c r="CW476" s="13" t="n"/>
      <c r="CX476">
        <f>INDEX('Data_Price '!AG$2:AG$1266,MATCH(Data!$DN476,'Data_Price '!$AT$2:$AT$1266,0))</f>
        <v/>
      </c>
      <c r="CY476">
        <f>INDEX('Data_Price '!AH$2:AH$1266,MATCH(Data!$DN476,'Data_Price '!$AT$2:$AT$1266,0))</f>
        <v/>
      </c>
      <c r="CZ476">
        <f>INDEX('Data_Price '!AI$2:AI$1266,MATCH(Data!$DN476,'Data_Price '!$AT$2:$AT$1266,0))</f>
        <v/>
      </c>
      <c r="DA476">
        <f>INDEX('Data_Price '!AJ$2:AJ$1266,MATCH(Data!$DN476,'Data_Price '!$AT$2:$AT$1266,0))</f>
        <v/>
      </c>
      <c r="DB476">
        <f>INDEX('Data_Price '!AK$2:AK$1266,MATCH(Data!$DN476,'Data_Price '!$AT$2:$AT$1266,0))</f>
        <v/>
      </c>
      <c r="DC476">
        <f>INDEX('Data_Price '!AL$2:AL$1266,MATCH(Data!$DN476,'Data_Price '!$AT$2:$AT$1266,0))</f>
        <v/>
      </c>
      <c r="DD476">
        <f>INDEX('Data_Price '!AM$2:AM$1266,MATCH(Data!$DN476,'Data_Price '!$AT$2:$AT$1266,0))</f>
        <v/>
      </c>
      <c r="DE476">
        <f>INDEX('Data_Price '!AN$2:AN$1266,MATCH(Data!$DN476,'Data_Price '!$AT$2:$AT$1266,0))</f>
        <v/>
      </c>
      <c r="DF476">
        <f>INDEX('Data_Price '!AO$2:AO$1266,MATCH(Data!$DN476,'Data_Price '!$AT$2:$AT$1266,0))</f>
        <v/>
      </c>
      <c r="DG476">
        <f>INDEX('Data_Price '!AP$2:AP$1266,MATCH(Data!$DN476,'Data_Price '!$AT$2:$AT$1266,0))</f>
        <v/>
      </c>
      <c r="DH476">
        <f>INDEX('Data_Price '!AQ$2:AQ$1266,MATCH(Data!$DN476,'Data_Price '!$AT$2:$AT$1266,0))</f>
        <v/>
      </c>
      <c r="DI476">
        <f>INDEX('Data_Price '!AR$2:AR$1266,MATCH(Data!$DN476,'Data_Price '!$AT$2:$AT$1266,0))</f>
        <v/>
      </c>
      <c r="DJ476" s="138">
        <f>DA476</f>
        <v/>
      </c>
      <c r="DK476" s="138">
        <f>DE476</f>
        <v/>
      </c>
      <c r="DL476" s="138">
        <f>DI476</f>
        <v/>
      </c>
      <c r="DM476" s="303">
        <f>IF(LEFT(BT476,1)=" ",RIGHT(BT476,LEN(BT476)-1),BT476)</f>
        <v/>
      </c>
      <c r="DN476" s="138">
        <f>_xlfn.CONCAT(BS476,DM476,BU476,BV476)</f>
        <v/>
      </c>
      <c r="DO476" s="307" t="inlineStr">
        <is>
          <t>https://images.evo.com/imgp/250/197279/812039/salomon-qst-lux-92-skis-women-s-2022-.jpg</t>
        </is>
      </c>
    </row>
    <row r="477" ht="15.6" customHeight="1" s="184">
      <c r="B477" s="303">
        <f t="array" ref="B477">IF(OR(ISERROR(K477:P477)),FALSE,TRUE)</f>
        <v/>
      </c>
      <c r="C477" s="60">
        <f>OR(BR477=Driver!$G$50,Data!BR1166=Driver!$H$50)</f>
        <v/>
      </c>
      <c r="D477" s="60">
        <f>OR(BV477=Driver!$G$51,BV477=Driver!$H$51)</f>
        <v/>
      </c>
      <c r="E477" s="60">
        <f>AND(BX477&gt;Driver!$F$54,BX477&lt;Driver!$G$54)</f>
        <v/>
      </c>
      <c r="F477" s="60">
        <f>CL477&gt;Driver!$F$56</f>
        <v/>
      </c>
      <c r="G477" s="60">
        <f>AND(CB477&gt;Driver!$F$55,CB477&lt;Driver!$G$55)</f>
        <v/>
      </c>
      <c r="H477" s="60">
        <f>AND(B477:G477)</f>
        <v/>
      </c>
      <c r="I477" s="60">
        <f>COUNTIFS($H$9:$H$1273,TRUE,$BT$9:$BT$1273,BT477)</f>
        <v/>
      </c>
      <c r="J477" s="60">
        <f t="array" ref="J477">NOT(OR(($H$9:$H$1273=TRUE)*($I$9:$I$1273&gt;0)*($BT$9:$BT$1273=BT477)*($K$9:$K$1273&gt;K477)))</f>
        <v/>
      </c>
      <c r="K477" s="108">
        <f>IFERROR(1-AVERAGE(X477:Y477),"")</f>
        <v/>
      </c>
      <c r="L477" s="108">
        <f>1-X477</f>
        <v/>
      </c>
      <c r="M477" s="108">
        <f>1-Y477</f>
        <v/>
      </c>
      <c r="N477" s="108">
        <f>1-Z477</f>
        <v/>
      </c>
      <c r="O477" s="108">
        <f>1-AA477</f>
        <v/>
      </c>
      <c r="P477" s="108">
        <f>1-AB477</f>
        <v/>
      </c>
      <c r="Q477" s="108" t="n"/>
      <c r="R477" s="108" t="n"/>
      <c r="S477" s="108">
        <f>1-AE477</f>
        <v/>
      </c>
      <c r="T477" s="108">
        <f>1-AF477</f>
        <v/>
      </c>
      <c r="U477" s="108">
        <f>1-AG477</f>
        <v/>
      </c>
      <c r="V477" s="108">
        <f>1-AH477</f>
        <v/>
      </c>
      <c r="W477" s="108">
        <f>1-AI477</f>
        <v/>
      </c>
      <c r="X477" s="108">
        <f>ABS(AJ477-AJ$1)</f>
        <v/>
      </c>
      <c r="Y477" s="108">
        <f>AVERAGE(Z477:AB477)</f>
        <v/>
      </c>
      <c r="Z477" s="108">
        <f>ABS(AL477-AL$1)</f>
        <v/>
      </c>
      <c r="AA477" s="108">
        <f>ABS(AM477-AM$1)</f>
        <v/>
      </c>
      <c r="AB477" s="108">
        <f>ABS(AN477-AN$1)</f>
        <v/>
      </c>
      <c r="AC477" s="108" t="n"/>
      <c r="AD477" s="108" t="n"/>
      <c r="AE477" s="108">
        <f>ABS(AQ$1-AQ477)</f>
        <v/>
      </c>
      <c r="AF477" s="108">
        <f>ABS(AR$1-AR477)</f>
        <v/>
      </c>
      <c r="AG477" s="108">
        <f>ABS(AS$1-AS477)</f>
        <v/>
      </c>
      <c r="AH477" s="108">
        <f>ABS(AT$1-AT477)</f>
        <v/>
      </c>
      <c r="AI477" s="108">
        <f>ABS(AU$1-AU477)</f>
        <v/>
      </c>
      <c r="AJ477" s="108">
        <f>(AV477-Driver!$K$179)/(Driver!$L$179-Driver!$K$179)</f>
        <v/>
      </c>
      <c r="AK477" s="108">
        <f>(AW477-Driver!$K$180)/(Driver!$L$180-Driver!$K$180)</f>
        <v/>
      </c>
      <c r="AL477" s="108">
        <f>(AX477-Driver!$K$181)/(Driver!$L$181-Driver!$K$181)</f>
        <v/>
      </c>
      <c r="AM477" s="108">
        <f>(AY477-Driver!$K$182)/(Driver!$L$182-Driver!$K$182)</f>
        <v/>
      </c>
      <c r="AN477" s="108">
        <f>(AZ477-Driver!$K$183)/(Driver!$L$183-Driver!$K$183)</f>
        <v/>
      </c>
      <c r="AO477" s="108" t="n"/>
      <c r="AP477" s="108" t="n"/>
      <c r="AQ477" s="108">
        <f>(BC477-Driver!$K$188)/(Driver!$L$188-Driver!$K$188)</f>
        <v/>
      </c>
      <c r="AR477" s="108">
        <f>MIN((BD477-Driver!$K$189)/(Driver!$L$189-Driver!$K$189),100%)</f>
        <v/>
      </c>
      <c r="AS477" s="108">
        <f>(BE477-Driver!$K$190)/(Driver!$L$190-Driver!$K$190)</f>
        <v/>
      </c>
      <c r="AT477" s="108">
        <f>(BF477-Driver!$K$191)/(Driver!$L$191-Driver!$K$191)</f>
        <v/>
      </c>
      <c r="AU477" s="108">
        <f>(BG477-Driver!$K$192)/(Driver!$L$192-Driver!$K$192)</f>
        <v/>
      </c>
      <c r="AV477" s="105">
        <f>IFERROR(BM477*BJ477^1/4,"")</f>
        <v/>
      </c>
      <c r="AW477" s="105">
        <f>IFERROR(SUM(AX477:AZ477),"")</f>
        <v/>
      </c>
      <c r="AX477" s="105">
        <f>IFERROR(BH477,"")</f>
        <v/>
      </c>
      <c r="AY477" s="105">
        <f>IFERROR(Driver!$K$19/Data!BH477/Data!BI477*Data!BK477*Data!BL477,"")</f>
        <v/>
      </c>
      <c r="AZ477" s="105">
        <f>IFERROR(BI477*BN477,"")</f>
        <v/>
      </c>
      <c r="BA477" s="105" t="n"/>
      <c r="BB477" s="105" t="n"/>
      <c r="BC477" s="105">
        <f>IFERROR(BI477*BN477*BK477/BJ477^(1/2),"")</f>
        <v/>
      </c>
      <c r="BD477" s="105">
        <f>IFERROR(BH477*BM477*BL477/BJ477/BK477,"")</f>
        <v/>
      </c>
      <c r="BE477" s="105">
        <f>IFERROR(MIN(BI477/BQ477/BP477/BO477/BH477,$BE$1),"")</f>
        <v/>
      </c>
      <c r="BF477" s="105">
        <f>IFERROR(BJ477*BO477*BP477/BK477,"")</f>
        <v/>
      </c>
      <c r="BG477" s="105">
        <f>IFERROR(1/BM477/BH477*BQ477,"")</f>
        <v/>
      </c>
      <c r="BH477" s="102">
        <f>MAX((CE477-Driver!$F$200)/(Driver!$G$200-Driver!$F$200)*$BI$1,1)</f>
        <v/>
      </c>
      <c r="BI477" s="102">
        <f>MAX($BI$1*(BY477-Driver!$F$201)/(Driver!$G$201-Driver!$F$201),1)</f>
        <v/>
      </c>
      <c r="BJ477" s="102">
        <f>(CB477-Driver!$F$206)/(Driver!$G$206-Driver!$F$206)*$BI$1</f>
        <v/>
      </c>
      <c r="BK477" s="102">
        <f>(CD477-Driver!$F$203)/(Driver!$G$203-Driver!$F$203)*$BI$1</f>
        <v/>
      </c>
      <c r="BL477" s="102">
        <f>MAX((CR477-Driver!$F$202)/(Driver!$G$202-Driver!$F$202)*$BI$1,1)</f>
        <v/>
      </c>
      <c r="BM477" s="102">
        <f>MAX((CH477-Driver!$F$204)/(Driver!$G$204-Driver!$F$204)*$BI$1,1)</f>
        <v/>
      </c>
      <c r="BN477" s="102">
        <f>(CI477-Driver!$F$205)/(Driver!$G$205-Driver!$F$205)*$BI$1</f>
        <v/>
      </c>
      <c r="BO477" s="102">
        <f>(CK477-Driver!$F$207)/(Driver!$G$207-Driver!$F$207)*$BI$1</f>
        <v/>
      </c>
      <c r="BP477" s="102">
        <f>(CM477-Driver!$F$208)/(Driver!$G$208-Driver!$F$208)*$BI$1</f>
        <v/>
      </c>
      <c r="BQ477" s="102">
        <f>(CL477-Driver!$F$209)/(Driver!$G$209-Driver!$F$209)*$BI$1</f>
        <v/>
      </c>
      <c r="BR477" s="40" t="inlineStr">
        <is>
          <t>21/22</t>
        </is>
      </c>
      <c r="BS477" s="10" t="inlineStr">
        <is>
          <t xml:space="preserve"> Völkl</t>
        </is>
      </c>
      <c r="BT477" s="11" t="inlineStr">
        <is>
          <t>Blaze 86</t>
        </is>
      </c>
      <c r="BU477" s="13" t="n">
        <v>180</v>
      </c>
      <c r="BV477" s="11" t="inlineStr">
        <is>
          <t xml:space="preserve"> Unisex</t>
        </is>
      </c>
      <c r="BW477" s="13" t="n">
        <v>180</v>
      </c>
      <c r="BX477" s="13" t="n">
        <v>179.6</v>
      </c>
      <c r="BY477" s="13" t="n">
        <v>129</v>
      </c>
      <c r="BZ477" s="13" t="n">
        <v>155</v>
      </c>
      <c r="CA477" s="13" t="n">
        <v>128</v>
      </c>
      <c r="CB477" s="13" t="n">
        <v>85</v>
      </c>
      <c r="CC477" s="13" t="n">
        <v>110</v>
      </c>
      <c r="CD477" s="13" t="n">
        <v>16.9</v>
      </c>
      <c r="CE477" s="13" t="n">
        <v>1483</v>
      </c>
      <c r="CF477" s="13" t="n">
        <v>1.2</v>
      </c>
      <c r="CG477" s="13" t="n">
        <v>1780</v>
      </c>
      <c r="CH477" s="13" t="n">
        <v>189</v>
      </c>
      <c r="CI477" s="13" t="n">
        <v>84</v>
      </c>
      <c r="CJ477" s="13" t="n">
        <v>46</v>
      </c>
      <c r="CK477" s="13" t="n">
        <v>302</v>
      </c>
      <c r="CL477" s="13" t="n">
        <v>18</v>
      </c>
      <c r="CM477" s="13" t="n">
        <v>206</v>
      </c>
      <c r="CN477" s="13" t="n">
        <v>0.399</v>
      </c>
      <c r="CO477" s="13" t="n">
        <v>149</v>
      </c>
      <c r="CP477" s="13" t="n">
        <v>99</v>
      </c>
      <c r="CQ477" s="13" t="n">
        <v>154</v>
      </c>
      <c r="CR477" s="13" t="n">
        <v>2</v>
      </c>
      <c r="CS477" s="13" t="n">
        <v>11</v>
      </c>
      <c r="CT477" s="11" t="inlineStr">
        <is>
          <t xml:space="preserve"> Resort Freeride</t>
        </is>
      </c>
      <c r="CU477" s="11" t="inlineStr">
        <is>
          <t xml:space="preserve"> Touring</t>
        </is>
      </c>
      <c r="CV477" s="13" t="n"/>
      <c r="CW477" s="13" t="n"/>
      <c r="CX477">
        <f>INDEX('Data_Price '!AG$2:AG$1266,MATCH(Data!$DN477,'Data_Price '!$AT$2:$AT$1266,0))</f>
        <v/>
      </c>
      <c r="CY477">
        <f>INDEX('Data_Price '!AH$2:AH$1266,MATCH(Data!$DN477,'Data_Price '!$AT$2:$AT$1266,0))</f>
        <v/>
      </c>
      <c r="CZ477">
        <f>INDEX('Data_Price '!AI$2:AI$1266,MATCH(Data!$DN477,'Data_Price '!$AT$2:$AT$1266,0))</f>
        <v/>
      </c>
      <c r="DA477">
        <f>INDEX('Data_Price '!AJ$2:AJ$1266,MATCH(Data!$DN477,'Data_Price '!$AT$2:$AT$1266,0))</f>
        <v/>
      </c>
      <c r="DB477">
        <f>INDEX('Data_Price '!AK$2:AK$1266,MATCH(Data!$DN477,'Data_Price '!$AT$2:$AT$1266,0))</f>
        <v/>
      </c>
      <c r="DC477">
        <f>INDEX('Data_Price '!AL$2:AL$1266,MATCH(Data!$DN477,'Data_Price '!$AT$2:$AT$1266,0))</f>
        <v/>
      </c>
      <c r="DD477">
        <f>INDEX('Data_Price '!AM$2:AM$1266,MATCH(Data!$DN477,'Data_Price '!$AT$2:$AT$1266,0))</f>
        <v/>
      </c>
      <c r="DE477">
        <f>INDEX('Data_Price '!AN$2:AN$1266,MATCH(Data!$DN477,'Data_Price '!$AT$2:$AT$1266,0))</f>
        <v/>
      </c>
      <c r="DF477">
        <f>INDEX('Data_Price '!AO$2:AO$1266,MATCH(Data!$DN477,'Data_Price '!$AT$2:$AT$1266,0))</f>
        <v/>
      </c>
      <c r="DG477">
        <f>INDEX('Data_Price '!AP$2:AP$1266,MATCH(Data!$DN477,'Data_Price '!$AT$2:$AT$1266,0))</f>
        <v/>
      </c>
      <c r="DH477">
        <f>INDEX('Data_Price '!AQ$2:AQ$1266,MATCH(Data!$DN477,'Data_Price '!$AT$2:$AT$1266,0))</f>
        <v/>
      </c>
      <c r="DI477">
        <f>INDEX('Data_Price '!AR$2:AR$1266,MATCH(Data!$DN477,'Data_Price '!$AT$2:$AT$1266,0))</f>
        <v/>
      </c>
      <c r="DJ477" s="138">
        <f>DA477</f>
        <v/>
      </c>
      <c r="DK477" s="138">
        <f>DE477</f>
        <v/>
      </c>
      <c r="DL477" s="138">
        <f>DI477</f>
        <v/>
      </c>
      <c r="DM477" s="303">
        <f>IF(LEFT(BT477,1)=" ",RIGHT(BT477,LEN(BT477)-1),BT477)</f>
        <v/>
      </c>
      <c r="DN477" s="138">
        <f>_xlfn.CONCAT(BS477,DM477,BU477,BV477)</f>
        <v/>
      </c>
      <c r="DO477" s="307" t="inlineStr">
        <is>
          <t>https://images.evo.com/imgp/250/208358/837604/clone.jpg</t>
        </is>
      </c>
    </row>
    <row r="478" ht="15.6" customHeight="1" s="184">
      <c r="B478" s="303">
        <f t="array" ref="B478">IF(OR(ISERROR(K478:P478)),FALSE,TRUE)</f>
        <v/>
      </c>
      <c r="C478" s="60">
        <f>OR(BR478=Driver!$G$50,Data!BR189=Driver!$H$50)</f>
        <v/>
      </c>
      <c r="D478" s="60">
        <f>OR(BV478=Driver!$G$51,BV478=Driver!$H$51)</f>
        <v/>
      </c>
      <c r="E478" s="60">
        <f>AND(BX478&gt;Driver!$F$54,BX478&lt;Driver!$G$54)</f>
        <v/>
      </c>
      <c r="F478" s="60">
        <f>CL478&gt;Driver!$F$56</f>
        <v/>
      </c>
      <c r="G478" s="60">
        <f>AND(CB478&gt;Driver!$F$55,CB478&lt;Driver!$G$55)</f>
        <v/>
      </c>
      <c r="H478" s="60">
        <f>AND(B478:G478)</f>
        <v/>
      </c>
      <c r="I478" s="60">
        <f>COUNTIFS($H$9:$H$1273,TRUE,$BT$9:$BT$1273,BT478)</f>
        <v/>
      </c>
      <c r="J478" s="60">
        <f t="array" ref="J478">NOT(OR(($H$9:$H$1273=TRUE)*($I$9:$I$1273&gt;0)*($BT$9:$BT$1273=BT478)*($K$9:$K$1273&gt;K478)))</f>
        <v/>
      </c>
      <c r="K478" s="108">
        <f>IFERROR(1-AVERAGE(X478:Y478),"")</f>
        <v/>
      </c>
      <c r="L478" s="108">
        <f>1-X478</f>
        <v/>
      </c>
      <c r="M478" s="108">
        <f>1-Y478</f>
        <v/>
      </c>
      <c r="N478" s="108">
        <f>1-Z478</f>
        <v/>
      </c>
      <c r="O478" s="108">
        <f>1-AA478</f>
        <v/>
      </c>
      <c r="P478" s="108">
        <f>1-AB478</f>
        <v/>
      </c>
      <c r="Q478" s="108" t="n"/>
      <c r="R478" s="108" t="n"/>
      <c r="S478" s="108">
        <f>1-AE478</f>
        <v/>
      </c>
      <c r="T478" s="108">
        <f>1-AF478</f>
        <v/>
      </c>
      <c r="U478" s="108">
        <f>1-AG478</f>
        <v/>
      </c>
      <c r="V478" s="108">
        <f>1-AH478</f>
        <v/>
      </c>
      <c r="W478" s="108">
        <f>1-AI478</f>
        <v/>
      </c>
      <c r="X478" s="108">
        <f>ABS(AJ478-AJ$1)</f>
        <v/>
      </c>
      <c r="Y478" s="108">
        <f>AVERAGE(Z478:AB478)</f>
        <v/>
      </c>
      <c r="Z478" s="108">
        <f>ABS(AL478-AL$1)</f>
        <v/>
      </c>
      <c r="AA478" s="108">
        <f>ABS(AM478-AM$1)</f>
        <v/>
      </c>
      <c r="AB478" s="108">
        <f>ABS(AN478-AN$1)</f>
        <v/>
      </c>
      <c r="AC478" s="108" t="n"/>
      <c r="AD478" s="108" t="n"/>
      <c r="AE478" s="108">
        <f>ABS(AQ$1-AQ478)</f>
        <v/>
      </c>
      <c r="AF478" s="108">
        <f>ABS(AR$1-AR478)</f>
        <v/>
      </c>
      <c r="AG478" s="108">
        <f>ABS(AS$1-AS478)</f>
        <v/>
      </c>
      <c r="AH478" s="108">
        <f>ABS(AT$1-AT478)</f>
        <v/>
      </c>
      <c r="AI478" s="108">
        <f>ABS(AU$1-AU478)</f>
        <v/>
      </c>
      <c r="AJ478" s="108">
        <f>(AV478-Driver!$K$179)/(Driver!$L$179-Driver!$K$179)</f>
        <v/>
      </c>
      <c r="AK478" s="108">
        <f>(AW478-Driver!$K$180)/(Driver!$L$180-Driver!$K$180)</f>
        <v/>
      </c>
      <c r="AL478" s="108">
        <f>(AX478-Driver!$K$181)/(Driver!$L$181-Driver!$K$181)</f>
        <v/>
      </c>
      <c r="AM478" s="108">
        <f>(AY478-Driver!$K$182)/(Driver!$L$182-Driver!$K$182)</f>
        <v/>
      </c>
      <c r="AN478" s="108">
        <f>(AZ478-Driver!$K$183)/(Driver!$L$183-Driver!$K$183)</f>
        <v/>
      </c>
      <c r="AO478" s="108" t="n"/>
      <c r="AP478" s="108" t="n"/>
      <c r="AQ478" s="108">
        <f>(BC478-Driver!$K$188)/(Driver!$L$188-Driver!$K$188)</f>
        <v/>
      </c>
      <c r="AR478" s="108">
        <f>MIN((BD478-Driver!$K$189)/(Driver!$L$189-Driver!$K$189),100%)</f>
        <v/>
      </c>
      <c r="AS478" s="108">
        <f>(BE478-Driver!$K$190)/(Driver!$L$190-Driver!$K$190)</f>
        <v/>
      </c>
      <c r="AT478" s="108">
        <f>(BF478-Driver!$K$191)/(Driver!$L$191-Driver!$K$191)</f>
        <v/>
      </c>
      <c r="AU478" s="108">
        <f>(BG478-Driver!$K$192)/(Driver!$L$192-Driver!$K$192)</f>
        <v/>
      </c>
      <c r="AV478" s="105">
        <f>IFERROR(BM478*BJ478^1/4,"")</f>
        <v/>
      </c>
      <c r="AW478" s="105">
        <f>IFERROR(SUM(AX478:AZ478),"")</f>
        <v/>
      </c>
      <c r="AX478" s="105">
        <f>IFERROR(BH478,"")</f>
        <v/>
      </c>
      <c r="AY478" s="105">
        <f>IFERROR(Driver!$K$19/Data!BH478/Data!BI478*Data!BK478*Data!BL478,"")</f>
        <v/>
      </c>
      <c r="AZ478" s="105">
        <f>IFERROR(BI478*BN478,"")</f>
        <v/>
      </c>
      <c r="BA478" s="105" t="n"/>
      <c r="BB478" s="105" t="n"/>
      <c r="BC478" s="105">
        <f>IFERROR(BI478*BN478*BK478/BJ478^(1/2),"")</f>
        <v/>
      </c>
      <c r="BD478" s="105">
        <f>IFERROR(BH478*BM478*BL478/BJ478/BK478,"")</f>
        <v/>
      </c>
      <c r="BE478" s="105">
        <f>IFERROR(MIN(BI478/BQ478/BP478/BO478/BH478,$BE$1),"")</f>
        <v/>
      </c>
      <c r="BF478" s="105">
        <f>IFERROR(BJ478*BO478*BP478/BK478,"")</f>
        <v/>
      </c>
      <c r="BG478" s="105">
        <f>IFERROR(1/BM478/BH478*BQ478,"")</f>
        <v/>
      </c>
      <c r="BH478" s="102">
        <f>MAX((CE478-Driver!$F$200)/(Driver!$G$200-Driver!$F$200)*$BI$1,1)</f>
        <v/>
      </c>
      <c r="BI478" s="102">
        <f>MAX($BI$1*(BY478-Driver!$F$201)/(Driver!$G$201-Driver!$F$201),1)</f>
        <v/>
      </c>
      <c r="BJ478" s="102">
        <f>(CB478-Driver!$F$206)/(Driver!$G$206-Driver!$F$206)*$BI$1</f>
        <v/>
      </c>
      <c r="BK478" s="102">
        <f>(CD478-Driver!$F$203)/(Driver!$G$203-Driver!$F$203)*$BI$1</f>
        <v/>
      </c>
      <c r="BL478" s="102">
        <f>MAX((CR478-Driver!$F$202)/(Driver!$G$202-Driver!$F$202)*$BI$1,1)</f>
        <v/>
      </c>
      <c r="BM478" s="102">
        <f>MAX((CH478-Driver!$F$204)/(Driver!$G$204-Driver!$F$204)*$BI$1,1)</f>
        <v/>
      </c>
      <c r="BN478" s="102">
        <f>(CI478-Driver!$F$205)/(Driver!$G$205-Driver!$F$205)*$BI$1</f>
        <v/>
      </c>
      <c r="BO478" s="102">
        <f>(CK478-Driver!$F$207)/(Driver!$G$207-Driver!$F$207)*$BI$1</f>
        <v/>
      </c>
      <c r="BP478" s="102">
        <f>(CM478-Driver!$F$208)/(Driver!$G$208-Driver!$F$208)*$BI$1</f>
        <v/>
      </c>
      <c r="BQ478" s="102">
        <f>(CL478-Driver!$F$209)/(Driver!$G$209-Driver!$F$209)*$BI$1</f>
        <v/>
      </c>
      <c r="BR478" s="40" t="inlineStr">
        <is>
          <t>21/22</t>
        </is>
      </c>
      <c r="BS478" s="10" t="inlineStr">
        <is>
          <t xml:space="preserve"> Atomic</t>
        </is>
      </c>
      <c r="BT478" s="11" t="inlineStr">
        <is>
          <t>Vantage 75</t>
        </is>
      </c>
      <c r="BU478" s="13" t="n">
        <v>169</v>
      </c>
      <c r="BV478" s="11" t="inlineStr">
        <is>
          <t xml:space="preserve"> Unisex</t>
        </is>
      </c>
      <c r="BW478" s="13" t="n">
        <v>169</v>
      </c>
      <c r="BX478" s="13" t="n">
        <v>168.5</v>
      </c>
      <c r="BY478" s="13" t="n">
        <v>142</v>
      </c>
      <c r="BZ478" s="13" t="n">
        <v>152</v>
      </c>
      <c r="CA478" s="13" t="n">
        <v>115</v>
      </c>
      <c r="CB478" s="13" t="n">
        <v>74</v>
      </c>
      <c r="CC478" s="13" t="n">
        <v>100</v>
      </c>
      <c r="CD478" s="13" t="n">
        <v>16.2</v>
      </c>
      <c r="CE478" s="13" t="n">
        <v>1889</v>
      </c>
      <c r="CF478" s="13" t="n">
        <v>0.77</v>
      </c>
      <c r="CG478" s="13" t="n">
        <v>1464</v>
      </c>
      <c r="CH478" s="13" t="n">
        <v>188</v>
      </c>
      <c r="CI478" s="13" t="n">
        <v>91</v>
      </c>
      <c r="CJ478" s="13" t="n">
        <v>39</v>
      </c>
      <c r="CK478" s="13" t="n">
        <v>185</v>
      </c>
      <c r="CL478" s="13" t="n">
        <v>4</v>
      </c>
      <c r="CM478" s="13" t="n">
        <v>76</v>
      </c>
      <c r="CN478" s="13" t="n">
        <v>0.116</v>
      </c>
      <c r="CO478" s="13" t="n">
        <v>97</v>
      </c>
      <c r="CP478" s="13" t="n">
        <v>73</v>
      </c>
      <c r="CQ478" s="13" t="n">
        <v>87</v>
      </c>
      <c r="CR478" s="13" t="n">
        <v>10</v>
      </c>
      <c r="CS478" s="13" t="n">
        <v>10.4</v>
      </c>
      <c r="CT478" s="11" t="inlineStr">
        <is>
          <t xml:space="preserve"> On-Piste Carving</t>
        </is>
      </c>
      <c r="CU478" s="11" t="inlineStr">
        <is>
          <t xml:space="preserve"> On-Piste All-Mountain</t>
        </is>
      </c>
      <c r="CV478" s="13" t="n"/>
      <c r="CW478" s="13" t="n"/>
      <c r="CX478">
        <f>INDEX('Data_Price '!AG$2:AG$1266,MATCH(Data!$DN478,'Data_Price '!$AT$2:$AT$1266,0))</f>
        <v/>
      </c>
      <c r="CY478">
        <f>INDEX('Data_Price '!AH$2:AH$1266,MATCH(Data!$DN478,'Data_Price '!$AT$2:$AT$1266,0))</f>
        <v/>
      </c>
      <c r="CZ478">
        <f>INDEX('Data_Price '!AI$2:AI$1266,MATCH(Data!$DN478,'Data_Price '!$AT$2:$AT$1266,0))</f>
        <v/>
      </c>
      <c r="DA478">
        <f>INDEX('Data_Price '!AJ$2:AJ$1266,MATCH(Data!$DN478,'Data_Price '!$AT$2:$AT$1266,0))</f>
        <v/>
      </c>
      <c r="DB478">
        <f>INDEX('Data_Price '!AK$2:AK$1266,MATCH(Data!$DN478,'Data_Price '!$AT$2:$AT$1266,0))</f>
        <v/>
      </c>
      <c r="DC478">
        <f>INDEX('Data_Price '!AL$2:AL$1266,MATCH(Data!$DN478,'Data_Price '!$AT$2:$AT$1266,0))</f>
        <v/>
      </c>
      <c r="DD478">
        <f>INDEX('Data_Price '!AM$2:AM$1266,MATCH(Data!$DN478,'Data_Price '!$AT$2:$AT$1266,0))</f>
        <v/>
      </c>
      <c r="DE478">
        <f>INDEX('Data_Price '!AN$2:AN$1266,MATCH(Data!$DN478,'Data_Price '!$AT$2:$AT$1266,0))</f>
        <v/>
      </c>
      <c r="DF478">
        <f>INDEX('Data_Price '!AO$2:AO$1266,MATCH(Data!$DN478,'Data_Price '!$AT$2:$AT$1266,0))</f>
        <v/>
      </c>
      <c r="DG478">
        <f>INDEX('Data_Price '!AP$2:AP$1266,MATCH(Data!$DN478,'Data_Price '!$AT$2:$AT$1266,0))</f>
        <v/>
      </c>
      <c r="DH478">
        <f>INDEX('Data_Price '!AQ$2:AQ$1266,MATCH(Data!$DN478,'Data_Price '!$AT$2:$AT$1266,0))</f>
        <v/>
      </c>
      <c r="DI478">
        <f>INDEX('Data_Price '!AR$2:AR$1266,MATCH(Data!$DN478,'Data_Price '!$AT$2:$AT$1266,0))</f>
        <v/>
      </c>
      <c r="DJ478" s="138">
        <f>DA478</f>
        <v/>
      </c>
      <c r="DK478" s="138">
        <f>DE478</f>
        <v/>
      </c>
      <c r="DL478" s="138">
        <f>DI478</f>
        <v/>
      </c>
      <c r="DM478" s="303">
        <f>IF(LEFT(BT478,1)=" ",RIGHT(BT478,LEN(BT478)-1),BT478)</f>
        <v/>
      </c>
      <c r="DN478" s="138">
        <f>_xlfn.CONCAT(BS478,DM478,BU478,BV478)</f>
        <v/>
      </c>
      <c r="DO478" s="307" t="inlineStr">
        <is>
          <t>https://images.evo.com/imgp/250/183371/737590/clone.jpg</t>
        </is>
      </c>
    </row>
    <row r="479" ht="15.6" customHeight="1" s="184">
      <c r="B479" s="303">
        <f t="array" ref="B479">IF(OR(ISERROR(K479:P479)),FALSE,TRUE)</f>
        <v/>
      </c>
      <c r="C479" s="60">
        <f>OR(BR479=Driver!$G$50,Data!BR825=Driver!$H$50)</f>
        <v/>
      </c>
      <c r="D479" s="60">
        <f>OR(BV479=Driver!$G$51,BV479=Driver!$H$51)</f>
        <v/>
      </c>
      <c r="E479" s="60">
        <f>AND(BX479&gt;Driver!$F$54,BX479&lt;Driver!$G$54)</f>
        <v/>
      </c>
      <c r="F479" s="60">
        <f>CL479&gt;Driver!$F$56</f>
        <v/>
      </c>
      <c r="G479" s="60">
        <f>AND(CB479&gt;Driver!$F$55,CB479&lt;Driver!$G$55)</f>
        <v/>
      </c>
      <c r="H479" s="60">
        <f>AND(B479:G479)</f>
        <v/>
      </c>
      <c r="I479" s="60">
        <f>COUNTIFS($H$9:$H$1273,TRUE,$BT$9:$BT$1273,BT479)</f>
        <v/>
      </c>
      <c r="J479" s="60">
        <f t="array" ref="J479">NOT(OR(($H$9:$H$1273=TRUE)*($I$9:$I$1273&gt;0)*($BT$9:$BT$1273=BT479)*($K$9:$K$1273&gt;K479)))</f>
        <v/>
      </c>
      <c r="K479" s="108">
        <f>IFERROR(1-AVERAGE(X479:Y479),"")</f>
        <v/>
      </c>
      <c r="L479" s="108">
        <f>1-X479</f>
        <v/>
      </c>
      <c r="M479" s="108">
        <f>1-Y479</f>
        <v/>
      </c>
      <c r="N479" s="108">
        <f>1-Z479</f>
        <v/>
      </c>
      <c r="O479" s="108">
        <f>1-AA479</f>
        <v/>
      </c>
      <c r="P479" s="108">
        <f>1-AB479</f>
        <v/>
      </c>
      <c r="Q479" s="108" t="n"/>
      <c r="R479" s="108" t="n"/>
      <c r="S479" s="108">
        <f>1-AE479</f>
        <v/>
      </c>
      <c r="T479" s="108">
        <f>1-AF479</f>
        <v/>
      </c>
      <c r="U479" s="108">
        <f>1-AG479</f>
        <v/>
      </c>
      <c r="V479" s="108">
        <f>1-AH479</f>
        <v/>
      </c>
      <c r="W479" s="108">
        <f>1-AI479</f>
        <v/>
      </c>
      <c r="X479" s="108">
        <f>ABS(AJ479-AJ$1)</f>
        <v/>
      </c>
      <c r="Y479" s="108">
        <f>AVERAGE(Z479:AB479)</f>
        <v/>
      </c>
      <c r="Z479" s="108">
        <f>ABS(AL479-AL$1)</f>
        <v/>
      </c>
      <c r="AA479" s="108">
        <f>ABS(AM479-AM$1)</f>
        <v/>
      </c>
      <c r="AB479" s="108">
        <f>ABS(AN479-AN$1)</f>
        <v/>
      </c>
      <c r="AC479" s="108" t="n"/>
      <c r="AD479" s="108" t="n"/>
      <c r="AE479" s="108">
        <f>ABS(AQ$1-AQ479)</f>
        <v/>
      </c>
      <c r="AF479" s="108">
        <f>ABS(AR$1-AR479)</f>
        <v/>
      </c>
      <c r="AG479" s="108">
        <f>ABS(AS$1-AS479)</f>
        <v/>
      </c>
      <c r="AH479" s="108">
        <f>ABS(AT$1-AT479)</f>
        <v/>
      </c>
      <c r="AI479" s="108">
        <f>ABS(AU$1-AU479)</f>
        <v/>
      </c>
      <c r="AJ479" s="108">
        <f>(AV479-Driver!$K$179)/(Driver!$L$179-Driver!$K$179)</f>
        <v/>
      </c>
      <c r="AK479" s="108">
        <f>(AW479-Driver!$K$180)/(Driver!$L$180-Driver!$K$180)</f>
        <v/>
      </c>
      <c r="AL479" s="108">
        <f>(AX479-Driver!$K$181)/(Driver!$L$181-Driver!$K$181)</f>
        <v/>
      </c>
      <c r="AM479" s="108">
        <f>(AY479-Driver!$K$182)/(Driver!$L$182-Driver!$K$182)</f>
        <v/>
      </c>
      <c r="AN479" s="108">
        <f>(AZ479-Driver!$K$183)/(Driver!$L$183-Driver!$K$183)</f>
        <v/>
      </c>
      <c r="AO479" s="108" t="n"/>
      <c r="AP479" s="108" t="n"/>
      <c r="AQ479" s="108">
        <f>(BC479-Driver!$K$188)/(Driver!$L$188-Driver!$K$188)</f>
        <v/>
      </c>
      <c r="AR479" s="108">
        <f>MIN((BD479-Driver!$K$189)/(Driver!$L$189-Driver!$K$189),100%)</f>
        <v/>
      </c>
      <c r="AS479" s="108">
        <f>(BE479-Driver!$K$190)/(Driver!$L$190-Driver!$K$190)</f>
        <v/>
      </c>
      <c r="AT479" s="108">
        <f>(BF479-Driver!$K$191)/(Driver!$L$191-Driver!$K$191)</f>
        <v/>
      </c>
      <c r="AU479" s="108">
        <f>(BG479-Driver!$K$192)/(Driver!$L$192-Driver!$K$192)</f>
        <v/>
      </c>
      <c r="AV479" s="105">
        <f>IFERROR(BM479*BJ479^1/4,"")</f>
        <v/>
      </c>
      <c r="AW479" s="105">
        <f>IFERROR(SUM(AX479:AZ479),"")</f>
        <v/>
      </c>
      <c r="AX479" s="105">
        <f>IFERROR(BH479,"")</f>
        <v/>
      </c>
      <c r="AY479" s="105">
        <f>IFERROR(Driver!$K$19/Data!BH479/Data!BI479*Data!BK479*Data!BL479,"")</f>
        <v/>
      </c>
      <c r="AZ479" s="105">
        <f>IFERROR(BI479*BN479,"")</f>
        <v/>
      </c>
      <c r="BA479" s="105" t="n"/>
      <c r="BB479" s="105" t="n"/>
      <c r="BC479" s="105">
        <f>IFERROR(BI479*BN479*BK479/BJ479^(1/2),"")</f>
        <v/>
      </c>
      <c r="BD479" s="105">
        <f>IFERROR(BH479*BM479*BL479/BJ479/BK479,"")</f>
        <v/>
      </c>
      <c r="BE479" s="105">
        <f>IFERROR(MIN(BI479/BQ479/BP479/BO479/BH479,$BE$1),"")</f>
        <v/>
      </c>
      <c r="BF479" s="105">
        <f>IFERROR(BJ479*BO479*BP479/BK479,"")</f>
        <v/>
      </c>
      <c r="BG479" s="105">
        <f>IFERROR(1/BM479/BH479*BQ479,"")</f>
        <v/>
      </c>
      <c r="BH479" s="102">
        <f>MAX((CE479-Driver!$F$200)/(Driver!$G$200-Driver!$F$200)*$BI$1,1)</f>
        <v/>
      </c>
      <c r="BI479" s="102">
        <f>MAX($BI$1*(BY479-Driver!$F$201)/(Driver!$G$201-Driver!$F$201),1)</f>
        <v/>
      </c>
      <c r="BJ479" s="102">
        <f>(CB479-Driver!$F$206)/(Driver!$G$206-Driver!$F$206)*$BI$1</f>
        <v/>
      </c>
      <c r="BK479" s="102">
        <f>(CD479-Driver!$F$203)/(Driver!$G$203-Driver!$F$203)*$BI$1</f>
        <v/>
      </c>
      <c r="BL479" s="102">
        <f>MAX((CR479-Driver!$F$202)/(Driver!$G$202-Driver!$F$202)*$BI$1,1)</f>
        <v/>
      </c>
      <c r="BM479" s="102">
        <f>MAX((CH479-Driver!$F$204)/(Driver!$G$204-Driver!$F$204)*$BI$1,1)</f>
        <v/>
      </c>
      <c r="BN479" s="102">
        <f>(CI479-Driver!$F$205)/(Driver!$G$205-Driver!$F$205)*$BI$1</f>
        <v/>
      </c>
      <c r="BO479" s="102">
        <f>(CK479-Driver!$F$207)/(Driver!$G$207-Driver!$F$207)*$BI$1</f>
        <v/>
      </c>
      <c r="BP479" s="102">
        <f>(CM479-Driver!$F$208)/(Driver!$G$208-Driver!$F$208)*$BI$1</f>
        <v/>
      </c>
      <c r="BQ479" s="102">
        <f>(CL479-Driver!$F$209)/(Driver!$G$209-Driver!$F$209)*$BI$1</f>
        <v/>
      </c>
      <c r="BR479" s="40" t="inlineStr">
        <is>
          <t>21/22</t>
        </is>
      </c>
      <c r="BS479" s="10" t="inlineStr">
        <is>
          <t xml:space="preserve"> Line</t>
        </is>
      </c>
      <c r="BT479" s="11" t="inlineStr">
        <is>
          <t xml:space="preserve"> Blade W</t>
        </is>
      </c>
      <c r="BU479" s="13" t="n">
        <v>160</v>
      </c>
      <c r="BV479" s="11" t="inlineStr">
        <is>
          <t xml:space="preserve"> Women's</t>
        </is>
      </c>
      <c r="BW479" s="13" t="n">
        <v>160</v>
      </c>
      <c r="BX479" s="13" t="n">
        <v>159.5</v>
      </c>
      <c r="BY479" s="13" t="n">
        <v>126</v>
      </c>
      <c r="BZ479" s="13" t="n">
        <v>144</v>
      </c>
      <c r="CA479" s="13" t="n">
        <v>139</v>
      </c>
      <c r="CB479" s="13" t="n">
        <v>90</v>
      </c>
      <c r="CC479" s="13" t="n">
        <v>113</v>
      </c>
      <c r="CD479" s="13" t="n">
        <v>14.7</v>
      </c>
      <c r="CE479" s="13" t="n">
        <v>1624</v>
      </c>
      <c r="CF479" s="13" t="n">
        <v>1.02</v>
      </c>
      <c r="CG479" s="13" t="n">
        <v>1664</v>
      </c>
      <c r="CH479" s="13" t="n">
        <v>139</v>
      </c>
      <c r="CI479" s="13" t="n">
        <v>87</v>
      </c>
      <c r="CJ479" s="13" t="n">
        <v>32</v>
      </c>
      <c r="CK479" s="13" t="n">
        <v>208</v>
      </c>
      <c r="CL479" s="13" t="n">
        <v>15</v>
      </c>
      <c r="CM479" s="13" t="n">
        <v>132</v>
      </c>
      <c r="CN479" s="13" t="n">
        <v>0.465</v>
      </c>
      <c r="CO479" s="13" t="n">
        <v>129</v>
      </c>
      <c r="CP479" s="13" t="n">
        <v>22</v>
      </c>
      <c r="CQ479" s="13" t="n">
        <v>79</v>
      </c>
      <c r="CR479" s="13" t="n">
        <v>8</v>
      </c>
      <c r="CS479" s="13" t="n">
        <v>6.4</v>
      </c>
      <c r="CT479" s="11" t="inlineStr">
        <is>
          <t xml:space="preserve"> Resort Freeride</t>
        </is>
      </c>
      <c r="CU479" s="13" t="n"/>
      <c r="CV479" s="13" t="n"/>
      <c r="CW479" s="13" t="n"/>
      <c r="CX479">
        <f>INDEX('Data_Price '!AG$2:AG$1266,MATCH(Data!$DN479,'Data_Price '!$AT$2:$AT$1266,0))</f>
        <v/>
      </c>
      <c r="CY479">
        <f>INDEX('Data_Price '!AH$2:AH$1266,MATCH(Data!$DN479,'Data_Price '!$AT$2:$AT$1266,0))</f>
        <v/>
      </c>
      <c r="CZ479">
        <f>INDEX('Data_Price '!AI$2:AI$1266,MATCH(Data!$DN479,'Data_Price '!$AT$2:$AT$1266,0))</f>
        <v/>
      </c>
      <c r="DA479">
        <f>INDEX('Data_Price '!AJ$2:AJ$1266,MATCH(Data!$DN479,'Data_Price '!$AT$2:$AT$1266,0))</f>
        <v/>
      </c>
      <c r="DB479">
        <f>INDEX('Data_Price '!AK$2:AK$1266,MATCH(Data!$DN479,'Data_Price '!$AT$2:$AT$1266,0))</f>
        <v/>
      </c>
      <c r="DC479">
        <f>INDEX('Data_Price '!AL$2:AL$1266,MATCH(Data!$DN479,'Data_Price '!$AT$2:$AT$1266,0))</f>
        <v/>
      </c>
      <c r="DD479">
        <f>INDEX('Data_Price '!AM$2:AM$1266,MATCH(Data!$DN479,'Data_Price '!$AT$2:$AT$1266,0))</f>
        <v/>
      </c>
      <c r="DE479">
        <f>INDEX('Data_Price '!AN$2:AN$1266,MATCH(Data!$DN479,'Data_Price '!$AT$2:$AT$1266,0))</f>
        <v/>
      </c>
      <c r="DF479">
        <f>INDEX('Data_Price '!AO$2:AO$1266,MATCH(Data!$DN479,'Data_Price '!$AT$2:$AT$1266,0))</f>
        <v/>
      </c>
      <c r="DG479">
        <f>INDEX('Data_Price '!AP$2:AP$1266,MATCH(Data!$DN479,'Data_Price '!$AT$2:$AT$1266,0))</f>
        <v/>
      </c>
      <c r="DH479">
        <f>INDEX('Data_Price '!AQ$2:AQ$1266,MATCH(Data!$DN479,'Data_Price '!$AT$2:$AT$1266,0))</f>
        <v/>
      </c>
      <c r="DI479">
        <f>INDEX('Data_Price '!AR$2:AR$1266,MATCH(Data!$DN479,'Data_Price '!$AT$2:$AT$1266,0))</f>
        <v/>
      </c>
      <c r="DJ479" s="138">
        <f>DA479</f>
        <v/>
      </c>
      <c r="DK479" s="138">
        <f>DE479</f>
        <v/>
      </c>
      <c r="DL479" s="138">
        <f>DI479</f>
        <v/>
      </c>
      <c r="DM479" s="303">
        <f>IF(LEFT(BT479,1)=" ",RIGHT(BT479,LEN(BT479)-1),BT479)</f>
        <v/>
      </c>
      <c r="DN479" s="138">
        <f>_xlfn.CONCAT(BS479,DM479,BU479,BV479)</f>
        <v/>
      </c>
      <c r="DO479" s="307" t="inlineStr">
        <is>
          <t>https://images.evo.com/imgp/250/198424/817629/line-skis-blade-w-skis-women-s-2022-.jpg</t>
        </is>
      </c>
    </row>
    <row r="480" ht="15.6" customHeight="1" s="184">
      <c r="B480" s="303">
        <f t="array" ref="B480">IF(OR(ISERROR(K480:P480)),FALSE,TRUE)</f>
        <v/>
      </c>
      <c r="C480" s="60">
        <f>OR(BR480=Driver!$G$50,Data!BR1243=Driver!$H$50)</f>
        <v/>
      </c>
      <c r="D480" s="60">
        <f>OR(BV480=Driver!$G$51,BV480=Driver!$H$51)</f>
        <v/>
      </c>
      <c r="E480" s="60">
        <f>AND(BX480&gt;Driver!$F$54,BX480&lt;Driver!$G$54)</f>
        <v/>
      </c>
      <c r="F480" s="60">
        <f>CL480&gt;Driver!$F$56</f>
        <v/>
      </c>
      <c r="G480" s="60">
        <f>AND(CB480&gt;Driver!$F$55,CB480&lt;Driver!$G$55)</f>
        <v/>
      </c>
      <c r="H480" s="60">
        <f>AND(B480:G480)</f>
        <v/>
      </c>
      <c r="I480" s="60">
        <f>COUNTIFS($H$9:$H$1273,TRUE,$BT$9:$BT$1273,BT480)</f>
        <v/>
      </c>
      <c r="J480" s="60">
        <f t="array" ref="J480">NOT(OR(($H$9:$H$1273=TRUE)*($I$9:$I$1273&gt;0)*($BT$9:$BT$1273=BT480)*($K$9:$K$1273&gt;K480)))</f>
        <v/>
      </c>
      <c r="K480" s="108">
        <f>IFERROR(1-AVERAGE(X480:Y480),"")</f>
        <v/>
      </c>
      <c r="L480" s="108">
        <f>1-X480</f>
        <v/>
      </c>
      <c r="M480" s="108">
        <f>1-Y480</f>
        <v/>
      </c>
      <c r="N480" s="108">
        <f>1-Z480</f>
        <v/>
      </c>
      <c r="O480" s="108">
        <f>1-AA480</f>
        <v/>
      </c>
      <c r="P480" s="108">
        <f>1-AB480</f>
        <v/>
      </c>
      <c r="Q480" s="108" t="n"/>
      <c r="R480" s="108" t="n"/>
      <c r="S480" s="108">
        <f>1-AE480</f>
        <v/>
      </c>
      <c r="T480" s="108">
        <f>1-AF480</f>
        <v/>
      </c>
      <c r="U480" s="108">
        <f>1-AG480</f>
        <v/>
      </c>
      <c r="V480" s="108">
        <f>1-AH480</f>
        <v/>
      </c>
      <c r="W480" s="108">
        <f>1-AI480</f>
        <v/>
      </c>
      <c r="X480" s="108">
        <f>ABS(AJ480-AJ$1)</f>
        <v/>
      </c>
      <c r="Y480" s="108">
        <f>AVERAGE(Z480:AB480)</f>
        <v/>
      </c>
      <c r="Z480" s="108">
        <f>ABS(AL480-AL$1)</f>
        <v/>
      </c>
      <c r="AA480" s="108">
        <f>ABS(AM480-AM$1)</f>
        <v/>
      </c>
      <c r="AB480" s="108">
        <f>ABS(AN480-AN$1)</f>
        <v/>
      </c>
      <c r="AC480" s="108" t="n"/>
      <c r="AD480" s="108" t="n"/>
      <c r="AE480" s="108">
        <f>ABS(AQ$1-AQ480)</f>
        <v/>
      </c>
      <c r="AF480" s="108">
        <f>ABS(AR$1-AR480)</f>
        <v/>
      </c>
      <c r="AG480" s="108">
        <f>ABS(AS$1-AS480)</f>
        <v/>
      </c>
      <c r="AH480" s="108">
        <f>ABS(AT$1-AT480)</f>
        <v/>
      </c>
      <c r="AI480" s="108">
        <f>ABS(AU$1-AU480)</f>
        <v/>
      </c>
      <c r="AJ480" s="108">
        <f>(AV480-Driver!$K$179)/(Driver!$L$179-Driver!$K$179)</f>
        <v/>
      </c>
      <c r="AK480" s="108">
        <f>(AW480-Driver!$K$180)/(Driver!$L$180-Driver!$K$180)</f>
        <v/>
      </c>
      <c r="AL480" s="108">
        <f>(AX480-Driver!$K$181)/(Driver!$L$181-Driver!$K$181)</f>
        <v/>
      </c>
      <c r="AM480" s="108">
        <f>(AY480-Driver!$K$182)/(Driver!$L$182-Driver!$K$182)</f>
        <v/>
      </c>
      <c r="AN480" s="108">
        <f>(AZ480-Driver!$K$183)/(Driver!$L$183-Driver!$K$183)</f>
        <v/>
      </c>
      <c r="AO480" s="108" t="n"/>
      <c r="AP480" s="108" t="n"/>
      <c r="AQ480" s="108">
        <f>(BC480-Driver!$K$188)/(Driver!$L$188-Driver!$K$188)</f>
        <v/>
      </c>
      <c r="AR480" s="108">
        <f>MIN((BD480-Driver!$K$189)/(Driver!$L$189-Driver!$K$189),100%)</f>
        <v/>
      </c>
      <c r="AS480" s="108">
        <f>(BE480-Driver!$K$190)/(Driver!$L$190-Driver!$K$190)</f>
        <v/>
      </c>
      <c r="AT480" s="108">
        <f>(BF480-Driver!$K$191)/(Driver!$L$191-Driver!$K$191)</f>
        <v/>
      </c>
      <c r="AU480" s="108">
        <f>(BG480-Driver!$K$192)/(Driver!$L$192-Driver!$K$192)</f>
        <v/>
      </c>
      <c r="AV480" s="105">
        <f>IFERROR(BM480*BJ480^1/4,"")</f>
        <v/>
      </c>
      <c r="AW480" s="105">
        <f>IFERROR(SUM(AX480:AZ480),"")</f>
        <v/>
      </c>
      <c r="AX480" s="105">
        <f>IFERROR(BH480,"")</f>
        <v/>
      </c>
      <c r="AY480" s="105">
        <f>IFERROR(Driver!$K$19/Data!BH480/Data!BI480*Data!BK480*Data!BL480,"")</f>
        <v/>
      </c>
      <c r="AZ480" s="105">
        <f>IFERROR(BI480*BN480,"")</f>
        <v/>
      </c>
      <c r="BA480" s="105" t="n"/>
      <c r="BB480" s="105" t="n"/>
      <c r="BC480" s="105">
        <f>IFERROR(BI480*BN480*BK480/BJ480^(1/2),"")</f>
        <v/>
      </c>
      <c r="BD480" s="105">
        <f>IFERROR(BH480*BM480*BL480/BJ480/BK480,"")</f>
        <v/>
      </c>
      <c r="BE480" s="105">
        <f>IFERROR(MIN(BI480/BQ480/BP480/BO480/BH480,$BE$1),"")</f>
        <v/>
      </c>
      <c r="BF480" s="105">
        <f>IFERROR(BJ480*BO480*BP480/BK480,"")</f>
        <v/>
      </c>
      <c r="BG480" s="105">
        <f>IFERROR(1/BM480/BH480*BQ480,"")</f>
        <v/>
      </c>
      <c r="BH480" s="102">
        <f>MAX((CE480-Driver!$F$200)/(Driver!$G$200-Driver!$F$200)*$BI$1,1)</f>
        <v/>
      </c>
      <c r="BI480" s="102">
        <f>MAX($BI$1*(BY480-Driver!$F$201)/(Driver!$G$201-Driver!$F$201),1)</f>
        <v/>
      </c>
      <c r="BJ480" s="102">
        <f>(CB480-Driver!$F$206)/(Driver!$G$206-Driver!$F$206)*$BI$1</f>
        <v/>
      </c>
      <c r="BK480" s="102">
        <f>(CD480-Driver!$F$203)/(Driver!$G$203-Driver!$F$203)*$BI$1</f>
        <v/>
      </c>
      <c r="BL480" s="102">
        <f>MAX((CR480-Driver!$F$202)/(Driver!$G$202-Driver!$F$202)*$BI$1,1)</f>
        <v/>
      </c>
      <c r="BM480" s="102">
        <f>MAX((CH480-Driver!$F$204)/(Driver!$G$204-Driver!$F$204)*$BI$1,1)</f>
        <v/>
      </c>
      <c r="BN480" s="102">
        <f>(CI480-Driver!$F$205)/(Driver!$G$205-Driver!$F$205)*$BI$1</f>
        <v/>
      </c>
      <c r="BO480" s="102">
        <f>(CK480-Driver!$F$207)/(Driver!$G$207-Driver!$F$207)*$BI$1</f>
        <v/>
      </c>
      <c r="BP480" s="102">
        <f>(CM480-Driver!$F$208)/(Driver!$G$208-Driver!$F$208)*$BI$1</f>
        <v/>
      </c>
      <c r="BQ480" s="102">
        <f>(CL480-Driver!$F$209)/(Driver!$G$209-Driver!$F$209)*$BI$1</f>
        <v/>
      </c>
      <c r="BR480" s="40" t="inlineStr">
        <is>
          <t>21/22</t>
        </is>
      </c>
      <c r="BS480" s="10" t="inlineStr">
        <is>
          <t xml:space="preserve"> Völkl</t>
        </is>
      </c>
      <c r="BT480" s="11" t="inlineStr">
        <is>
          <t>Revolt 95</t>
        </is>
      </c>
      <c r="BU480" s="13" t="n">
        <v>173</v>
      </c>
      <c r="BV480" s="11" t="inlineStr">
        <is>
          <t xml:space="preserve"> Unisex</t>
        </is>
      </c>
      <c r="BW480" s="13" t="n">
        <v>173</v>
      </c>
      <c r="BX480" s="13" t="n">
        <v>173.4</v>
      </c>
      <c r="BY480" s="13" t="n">
        <v>130</v>
      </c>
      <c r="BZ480" s="13" t="n">
        <v>159</v>
      </c>
      <c r="CA480" s="13" t="n">
        <v>128</v>
      </c>
      <c r="CB480" s="13" t="n">
        <v>94</v>
      </c>
      <c r="CC480" s="13" t="n">
        <v>118</v>
      </c>
      <c r="CD480" s="13" t="n">
        <v>21.6</v>
      </c>
      <c r="CE480" s="13" t="n">
        <v>1979</v>
      </c>
      <c r="CF480" s="13" t="n">
        <v>0.91</v>
      </c>
      <c r="CG480" s="13" t="n">
        <v>1806</v>
      </c>
      <c r="CH480" s="13" t="n">
        <v>192</v>
      </c>
      <c r="CI480" s="13" t="n">
        <v>104</v>
      </c>
      <c r="CJ480" s="13" t="n">
        <v>41</v>
      </c>
      <c r="CK480" s="13" t="n">
        <v>222</v>
      </c>
      <c r="CL480" s="13" t="n">
        <v>37</v>
      </c>
      <c r="CM480" s="13" t="n">
        <v>209</v>
      </c>
      <c r="CN480" s="13" t="n">
        <v>0.912</v>
      </c>
      <c r="CO480" s="13" t="n">
        <v>81</v>
      </c>
      <c r="CP480" s="13" t="n">
        <v>62</v>
      </c>
      <c r="CQ480" s="13" t="n">
        <v>141</v>
      </c>
      <c r="CR480" s="13" t="n">
        <v>5</v>
      </c>
      <c r="CS480" s="13" t="n">
        <v>0.1</v>
      </c>
      <c r="CT480" s="11" t="inlineStr">
        <is>
          <t xml:space="preserve"> Freeski</t>
        </is>
      </c>
      <c r="CU480" s="13" t="n"/>
      <c r="CV480" s="13" t="n"/>
      <c r="CW480" s="13" t="n"/>
      <c r="CX480">
        <f>INDEX('Data_Price '!AG$2:AG$1266,MATCH(Data!$DN480,'Data_Price '!$AT$2:$AT$1266,0))</f>
        <v/>
      </c>
      <c r="CY480">
        <f>INDEX('Data_Price '!AH$2:AH$1266,MATCH(Data!$DN480,'Data_Price '!$AT$2:$AT$1266,0))</f>
        <v/>
      </c>
      <c r="CZ480">
        <f>INDEX('Data_Price '!AI$2:AI$1266,MATCH(Data!$DN480,'Data_Price '!$AT$2:$AT$1266,0))</f>
        <v/>
      </c>
      <c r="DA480">
        <f>INDEX('Data_Price '!AJ$2:AJ$1266,MATCH(Data!$DN480,'Data_Price '!$AT$2:$AT$1266,0))</f>
        <v/>
      </c>
      <c r="DB480">
        <f>INDEX('Data_Price '!AK$2:AK$1266,MATCH(Data!$DN480,'Data_Price '!$AT$2:$AT$1266,0))</f>
        <v/>
      </c>
      <c r="DC480">
        <f>INDEX('Data_Price '!AL$2:AL$1266,MATCH(Data!$DN480,'Data_Price '!$AT$2:$AT$1266,0))</f>
        <v/>
      </c>
      <c r="DD480">
        <f>INDEX('Data_Price '!AM$2:AM$1266,MATCH(Data!$DN480,'Data_Price '!$AT$2:$AT$1266,0))</f>
        <v/>
      </c>
      <c r="DE480">
        <f>INDEX('Data_Price '!AN$2:AN$1266,MATCH(Data!$DN480,'Data_Price '!$AT$2:$AT$1266,0))</f>
        <v/>
      </c>
      <c r="DF480">
        <f>INDEX('Data_Price '!AO$2:AO$1266,MATCH(Data!$DN480,'Data_Price '!$AT$2:$AT$1266,0))</f>
        <v/>
      </c>
      <c r="DG480">
        <f>INDEX('Data_Price '!AP$2:AP$1266,MATCH(Data!$DN480,'Data_Price '!$AT$2:$AT$1266,0))</f>
        <v/>
      </c>
      <c r="DH480">
        <f>INDEX('Data_Price '!AQ$2:AQ$1266,MATCH(Data!$DN480,'Data_Price '!$AT$2:$AT$1266,0))</f>
        <v/>
      </c>
      <c r="DI480">
        <f>INDEX('Data_Price '!AR$2:AR$1266,MATCH(Data!$DN480,'Data_Price '!$AT$2:$AT$1266,0))</f>
        <v/>
      </c>
      <c r="DJ480" s="138">
        <f>DA480</f>
        <v/>
      </c>
      <c r="DK480" s="138">
        <f>DE480</f>
        <v/>
      </c>
      <c r="DL480" s="138">
        <f>DI480</f>
        <v/>
      </c>
      <c r="DM480" s="303">
        <f>IF(LEFT(BT480,1)=" ",RIGHT(BT480,LEN(BT480)-1),BT480)</f>
        <v/>
      </c>
      <c r="DN480" s="138">
        <f>_xlfn.CONCAT(BS480,DM480,BU480,BV480)</f>
        <v/>
      </c>
      <c r="DO480" s="307" t="inlineStr">
        <is>
          <t>https://images.evo.com/imgp/250/183426/726978/clone.jpg</t>
        </is>
      </c>
    </row>
    <row r="481" ht="15.6" customHeight="1" s="184">
      <c r="B481" s="303">
        <f t="array" ref="B481">IF(OR(ISERROR(K481:P481)),FALSE,TRUE)</f>
        <v/>
      </c>
      <c r="C481" s="60">
        <f>OR(BR481=Driver!$G$50,Data!BR553=Driver!$H$50)</f>
        <v/>
      </c>
      <c r="D481" s="60">
        <f>OR(BV481=Driver!$G$51,BV481=Driver!$H$51)</f>
        <v/>
      </c>
      <c r="E481" s="60">
        <f>AND(BX481&gt;Driver!$F$54,BX481&lt;Driver!$G$54)</f>
        <v/>
      </c>
      <c r="F481" s="60">
        <f>CL481&gt;Driver!$F$56</f>
        <v/>
      </c>
      <c r="G481" s="60">
        <f>AND(CB481&gt;Driver!$F$55,CB481&lt;Driver!$G$55)</f>
        <v/>
      </c>
      <c r="H481" s="60">
        <f>AND(B481:G481)</f>
        <v/>
      </c>
      <c r="I481" s="60">
        <f>COUNTIFS($H$9:$H$1273,TRUE,$BT$9:$BT$1273,BT481)</f>
        <v/>
      </c>
      <c r="J481" s="60">
        <f t="array" ref="J481">NOT(OR(($H$9:$H$1273=TRUE)*($I$9:$I$1273&gt;0)*($BT$9:$BT$1273=BT481)*($K$9:$K$1273&gt;K481)))</f>
        <v/>
      </c>
      <c r="K481" s="108">
        <f>IFERROR(1-AVERAGE(X481:Y481),"")</f>
        <v/>
      </c>
      <c r="L481" s="108">
        <f>1-X481</f>
        <v/>
      </c>
      <c r="M481" s="108">
        <f>1-Y481</f>
        <v/>
      </c>
      <c r="N481" s="108">
        <f>1-Z481</f>
        <v/>
      </c>
      <c r="O481" s="108">
        <f>1-AA481</f>
        <v/>
      </c>
      <c r="P481" s="108">
        <f>1-AB481</f>
        <v/>
      </c>
      <c r="Q481" s="108" t="n"/>
      <c r="R481" s="108" t="n"/>
      <c r="S481" s="108">
        <f>1-AE481</f>
        <v/>
      </c>
      <c r="T481" s="108">
        <f>1-AF481</f>
        <v/>
      </c>
      <c r="U481" s="108">
        <f>1-AG481</f>
        <v/>
      </c>
      <c r="V481" s="108">
        <f>1-AH481</f>
        <v/>
      </c>
      <c r="W481" s="108">
        <f>1-AI481</f>
        <v/>
      </c>
      <c r="X481" s="108">
        <f>ABS(AJ481-AJ$1)</f>
        <v/>
      </c>
      <c r="Y481" s="108">
        <f>AVERAGE(Z481:AB481)</f>
        <v/>
      </c>
      <c r="Z481" s="108">
        <f>ABS(AL481-AL$1)</f>
        <v/>
      </c>
      <c r="AA481" s="108">
        <f>ABS(AM481-AM$1)</f>
        <v/>
      </c>
      <c r="AB481" s="108">
        <f>ABS(AN481-AN$1)</f>
        <v/>
      </c>
      <c r="AC481" s="108" t="n"/>
      <c r="AD481" s="108" t="n"/>
      <c r="AE481" s="108">
        <f>ABS(AQ$1-AQ481)</f>
        <v/>
      </c>
      <c r="AF481" s="108">
        <f>ABS(AR$1-AR481)</f>
        <v/>
      </c>
      <c r="AG481" s="108">
        <f>ABS(AS$1-AS481)</f>
        <v/>
      </c>
      <c r="AH481" s="108">
        <f>ABS(AT$1-AT481)</f>
        <v/>
      </c>
      <c r="AI481" s="108">
        <f>ABS(AU$1-AU481)</f>
        <v/>
      </c>
      <c r="AJ481" s="108">
        <f>(AV481-Driver!$K$179)/(Driver!$L$179-Driver!$K$179)</f>
        <v/>
      </c>
      <c r="AK481" s="108">
        <f>(AW481-Driver!$K$180)/(Driver!$L$180-Driver!$K$180)</f>
        <v/>
      </c>
      <c r="AL481" s="108">
        <f>(AX481-Driver!$K$181)/(Driver!$L$181-Driver!$K$181)</f>
        <v/>
      </c>
      <c r="AM481" s="108">
        <f>(AY481-Driver!$K$182)/(Driver!$L$182-Driver!$K$182)</f>
        <v/>
      </c>
      <c r="AN481" s="108">
        <f>(AZ481-Driver!$K$183)/(Driver!$L$183-Driver!$K$183)</f>
        <v/>
      </c>
      <c r="AO481" s="108" t="n"/>
      <c r="AP481" s="108" t="n"/>
      <c r="AQ481" s="108">
        <f>(BC481-Driver!$K$188)/(Driver!$L$188-Driver!$K$188)</f>
        <v/>
      </c>
      <c r="AR481" s="108">
        <f>MIN((BD481-Driver!$K$189)/(Driver!$L$189-Driver!$K$189),100%)</f>
        <v/>
      </c>
      <c r="AS481" s="108">
        <f>(BE481-Driver!$K$190)/(Driver!$L$190-Driver!$K$190)</f>
        <v/>
      </c>
      <c r="AT481" s="108">
        <f>(BF481-Driver!$K$191)/(Driver!$L$191-Driver!$K$191)</f>
        <v/>
      </c>
      <c r="AU481" s="108">
        <f>(BG481-Driver!$K$192)/(Driver!$L$192-Driver!$K$192)</f>
        <v/>
      </c>
      <c r="AV481" s="105">
        <f>IFERROR(BM481*BJ481^1/4,"")</f>
        <v/>
      </c>
      <c r="AW481" s="105">
        <f>IFERROR(SUM(AX481:AZ481),"")</f>
        <v/>
      </c>
      <c r="AX481" s="105">
        <f>IFERROR(BH481,"")</f>
        <v/>
      </c>
      <c r="AY481" s="105">
        <f>IFERROR(Driver!$K$19/Data!BH481/Data!BI481*Data!BK481*Data!BL481,"")</f>
        <v/>
      </c>
      <c r="AZ481" s="105">
        <f>IFERROR(BI481*BN481,"")</f>
        <v/>
      </c>
      <c r="BA481" s="105" t="n"/>
      <c r="BB481" s="105" t="n"/>
      <c r="BC481" s="105">
        <f>IFERROR(BI481*BN481*BK481/BJ481^(1/2),"")</f>
        <v/>
      </c>
      <c r="BD481" s="105">
        <f>IFERROR(BH481*BM481*BL481/BJ481/BK481,"")</f>
        <v/>
      </c>
      <c r="BE481" s="105">
        <f>IFERROR(MIN(BI481/BQ481/BP481/BO481/BH481,$BE$1),"")</f>
        <v/>
      </c>
      <c r="BF481" s="105">
        <f>IFERROR(BJ481*BO481*BP481/BK481,"")</f>
        <v/>
      </c>
      <c r="BG481" s="105">
        <f>IFERROR(1/BM481/BH481*BQ481,"")</f>
        <v/>
      </c>
      <c r="BH481" s="102">
        <f>MAX((CE481-Driver!$F$200)/(Driver!$G$200-Driver!$F$200)*$BI$1,1)</f>
        <v/>
      </c>
      <c r="BI481" s="102">
        <f>MAX($BI$1*(BY481-Driver!$F$201)/(Driver!$G$201-Driver!$F$201),1)</f>
        <v/>
      </c>
      <c r="BJ481" s="102">
        <f>(CB481-Driver!$F$206)/(Driver!$G$206-Driver!$F$206)*$BI$1</f>
        <v/>
      </c>
      <c r="BK481" s="102">
        <f>(CD481-Driver!$F$203)/(Driver!$G$203-Driver!$F$203)*$BI$1</f>
        <v/>
      </c>
      <c r="BL481" s="102">
        <f>MAX((CR481-Driver!$F$202)/(Driver!$G$202-Driver!$F$202)*$BI$1,1)</f>
        <v/>
      </c>
      <c r="BM481" s="102">
        <f>MAX((CH481-Driver!$F$204)/(Driver!$G$204-Driver!$F$204)*$BI$1,1)</f>
        <v/>
      </c>
      <c r="BN481" s="102">
        <f>(CI481-Driver!$F$205)/(Driver!$G$205-Driver!$F$205)*$BI$1</f>
        <v/>
      </c>
      <c r="BO481" s="102">
        <f>(CK481-Driver!$F$207)/(Driver!$G$207-Driver!$F$207)*$BI$1</f>
        <v/>
      </c>
      <c r="BP481" s="102">
        <f>(CM481-Driver!$F$208)/(Driver!$G$208-Driver!$F$208)*$BI$1</f>
        <v/>
      </c>
      <c r="BQ481" s="102">
        <f>(CL481-Driver!$F$209)/(Driver!$G$209-Driver!$F$209)*$BI$1</f>
        <v/>
      </c>
      <c r="BR481" s="40" t="inlineStr">
        <is>
          <t>21/22</t>
        </is>
      </c>
      <c r="BS481" s="10" t="inlineStr">
        <is>
          <t xml:space="preserve"> Fischer</t>
        </is>
      </c>
      <c r="BT481" s="11" t="inlineStr">
        <is>
          <t>Hannibal 106</t>
        </is>
      </c>
      <c r="BU481" s="13" t="n">
        <v>185</v>
      </c>
      <c r="BV481" s="11" t="inlineStr">
        <is>
          <t xml:space="preserve"> Unisex</t>
        </is>
      </c>
      <c r="BW481" s="13" t="n">
        <v>185</v>
      </c>
      <c r="BX481" s="13" t="n">
        <v>183.6</v>
      </c>
      <c r="BY481" s="13" t="n">
        <v>118</v>
      </c>
      <c r="BZ481" s="13" t="n">
        <v>152</v>
      </c>
      <c r="CA481" s="13" t="n">
        <v>139</v>
      </c>
      <c r="CB481" s="13" t="n">
        <v>107</v>
      </c>
      <c r="CC481" s="13" t="n">
        <v>123</v>
      </c>
      <c r="CD481" s="13" t="n">
        <v>22.7</v>
      </c>
      <c r="CE481" s="13" t="n">
        <v>1692</v>
      </c>
      <c r="CF481" s="13" t="n">
        <v>1.26</v>
      </c>
      <c r="CG481" s="13" t="n">
        <v>2133</v>
      </c>
      <c r="CH481" s="13" t="n">
        <v>264</v>
      </c>
      <c r="CI481" s="13" t="n">
        <v>124</v>
      </c>
      <c r="CJ481" s="13" t="n">
        <v>69</v>
      </c>
      <c r="CK481" s="13" t="n">
        <v>464</v>
      </c>
      <c r="CL481" s="13" t="n">
        <v>9</v>
      </c>
      <c r="CM481" s="13" t="n">
        <v>189</v>
      </c>
      <c r="CN481" s="13" t="n">
        <v>0.131</v>
      </c>
      <c r="CO481" s="13" t="n">
        <v>185</v>
      </c>
      <c r="CP481" s="13" t="n">
        <v>135</v>
      </c>
      <c r="CQ481" s="13" t="n">
        <v>280</v>
      </c>
      <c r="CR481" s="13" t="n">
        <v>4</v>
      </c>
      <c r="CS481" s="13" t="n">
        <v>11.8</v>
      </c>
      <c r="CT481" s="11" t="inlineStr">
        <is>
          <t xml:space="preserve"> Big Mountain</t>
        </is>
      </c>
      <c r="CU481" s="11" t="inlineStr">
        <is>
          <t xml:space="preserve"> Touring</t>
        </is>
      </c>
      <c r="CV481" s="11" t="inlineStr">
        <is>
          <t xml:space="preserve"> Ultralight Touring</t>
        </is>
      </c>
      <c r="CW481" s="13" t="n"/>
      <c r="CX481">
        <f>INDEX('Data_Price '!AG$2:AG$1266,MATCH(Data!$DN481,'Data_Price '!$AT$2:$AT$1266,0))</f>
        <v/>
      </c>
      <c r="CY481">
        <f>INDEX('Data_Price '!AH$2:AH$1266,MATCH(Data!$DN481,'Data_Price '!$AT$2:$AT$1266,0))</f>
        <v/>
      </c>
      <c r="CZ481">
        <f>INDEX('Data_Price '!AI$2:AI$1266,MATCH(Data!$DN481,'Data_Price '!$AT$2:$AT$1266,0))</f>
        <v/>
      </c>
      <c r="DA481">
        <f>INDEX('Data_Price '!AJ$2:AJ$1266,MATCH(Data!$DN481,'Data_Price '!$AT$2:$AT$1266,0))</f>
        <v/>
      </c>
      <c r="DB481">
        <f>INDEX('Data_Price '!AK$2:AK$1266,MATCH(Data!$DN481,'Data_Price '!$AT$2:$AT$1266,0))</f>
        <v/>
      </c>
      <c r="DC481">
        <f>INDEX('Data_Price '!AL$2:AL$1266,MATCH(Data!$DN481,'Data_Price '!$AT$2:$AT$1266,0))</f>
        <v/>
      </c>
      <c r="DD481">
        <f>INDEX('Data_Price '!AM$2:AM$1266,MATCH(Data!$DN481,'Data_Price '!$AT$2:$AT$1266,0))</f>
        <v/>
      </c>
      <c r="DE481">
        <f>INDEX('Data_Price '!AN$2:AN$1266,MATCH(Data!$DN481,'Data_Price '!$AT$2:$AT$1266,0))</f>
        <v/>
      </c>
      <c r="DF481">
        <f>INDEX('Data_Price '!AO$2:AO$1266,MATCH(Data!$DN481,'Data_Price '!$AT$2:$AT$1266,0))</f>
        <v/>
      </c>
      <c r="DG481">
        <f>INDEX('Data_Price '!AP$2:AP$1266,MATCH(Data!$DN481,'Data_Price '!$AT$2:$AT$1266,0))</f>
        <v/>
      </c>
      <c r="DH481">
        <f>INDEX('Data_Price '!AQ$2:AQ$1266,MATCH(Data!$DN481,'Data_Price '!$AT$2:$AT$1266,0))</f>
        <v/>
      </c>
      <c r="DI481">
        <f>INDEX('Data_Price '!AR$2:AR$1266,MATCH(Data!$DN481,'Data_Price '!$AT$2:$AT$1266,0))</f>
        <v/>
      </c>
      <c r="DJ481" s="138">
        <f>DA481</f>
        <v/>
      </c>
      <c r="DK481" s="138">
        <f>DE481</f>
        <v/>
      </c>
      <c r="DL481" s="138">
        <f>DI481</f>
        <v/>
      </c>
      <c r="DM481" s="303">
        <f>IF(LEFT(BT481,1)=" ",RIGHT(BT481,LEN(BT481)-1),BT481)</f>
        <v/>
      </c>
      <c r="DN481" s="138">
        <f>_xlfn.CONCAT(BS481,DM481,BU481,BV481)</f>
        <v/>
      </c>
      <c r="DO481" s="307" t="inlineStr">
        <is>
          <t>https://images.evo.com/imgp/250/209039/846564/fischer-hannibal-106-carbon-skis-2022-.jpg</t>
        </is>
      </c>
    </row>
    <row r="482" ht="15.6" customHeight="1" s="184">
      <c r="B482" s="303">
        <f t="array" ref="B482">IF(OR(ISERROR(K482:P482)),FALSE,TRUE)</f>
        <v/>
      </c>
      <c r="C482" s="60">
        <f>OR(BR482=Driver!$G$50,Data!BR483=Driver!$H$50)</f>
        <v/>
      </c>
      <c r="D482" s="60">
        <f>OR(BV482=Driver!$G$51,BV482=Driver!$H$51)</f>
        <v/>
      </c>
      <c r="E482" s="60">
        <f>AND(BX482&gt;Driver!$F$54,BX482&lt;Driver!$G$54)</f>
        <v/>
      </c>
      <c r="F482" s="60">
        <f>CL482&gt;Driver!$F$56</f>
        <v/>
      </c>
      <c r="G482" s="60">
        <f>AND(CB482&gt;Driver!$F$55,CB482&lt;Driver!$G$55)</f>
        <v/>
      </c>
      <c r="H482" s="60">
        <f>AND(B482:G482)</f>
        <v/>
      </c>
      <c r="I482" s="60">
        <f>COUNTIFS($H$9:$H$1273,TRUE,$BT$9:$BT$1273,BT482)</f>
        <v/>
      </c>
      <c r="J482" s="60">
        <f t="array" ref="J482">NOT(OR(($H$9:$H$1273=TRUE)*($I$9:$I$1273&gt;0)*($BT$9:$BT$1273=BT482)*($K$9:$K$1273&gt;K482)))</f>
        <v/>
      </c>
      <c r="K482" s="108">
        <f>IFERROR(1-AVERAGE(X482:Y482),"")</f>
        <v/>
      </c>
      <c r="L482" s="108">
        <f>1-X482</f>
        <v/>
      </c>
      <c r="M482" s="108">
        <f>1-Y482</f>
        <v/>
      </c>
      <c r="N482" s="108">
        <f>1-Z482</f>
        <v/>
      </c>
      <c r="O482" s="108">
        <f>1-AA482</f>
        <v/>
      </c>
      <c r="P482" s="108">
        <f>1-AB482</f>
        <v/>
      </c>
      <c r="Q482" s="108" t="n"/>
      <c r="R482" s="108" t="n"/>
      <c r="S482" s="108">
        <f>1-AE482</f>
        <v/>
      </c>
      <c r="T482" s="108">
        <f>1-AF482</f>
        <v/>
      </c>
      <c r="U482" s="108">
        <f>1-AG482</f>
        <v/>
      </c>
      <c r="V482" s="108">
        <f>1-AH482</f>
        <v/>
      </c>
      <c r="W482" s="108">
        <f>1-AI482</f>
        <v/>
      </c>
      <c r="X482" s="108">
        <f>ABS(AJ482-AJ$1)</f>
        <v/>
      </c>
      <c r="Y482" s="108">
        <f>AVERAGE(Z482:AB482)</f>
        <v/>
      </c>
      <c r="Z482" s="108">
        <f>ABS(AL482-AL$1)</f>
        <v/>
      </c>
      <c r="AA482" s="108">
        <f>ABS(AM482-AM$1)</f>
        <v/>
      </c>
      <c r="AB482" s="108">
        <f>ABS(AN482-AN$1)</f>
        <v/>
      </c>
      <c r="AC482" s="108" t="n"/>
      <c r="AD482" s="108" t="n"/>
      <c r="AE482" s="108">
        <f>ABS(AQ$1-AQ482)</f>
        <v/>
      </c>
      <c r="AF482" s="108">
        <f>ABS(AR$1-AR482)</f>
        <v/>
      </c>
      <c r="AG482" s="108">
        <f>ABS(AS$1-AS482)</f>
        <v/>
      </c>
      <c r="AH482" s="108">
        <f>ABS(AT$1-AT482)</f>
        <v/>
      </c>
      <c r="AI482" s="108">
        <f>ABS(AU$1-AU482)</f>
        <v/>
      </c>
      <c r="AJ482" s="108">
        <f>(AV482-Driver!$K$179)/(Driver!$L$179-Driver!$K$179)</f>
        <v/>
      </c>
      <c r="AK482" s="108">
        <f>(AW482-Driver!$K$180)/(Driver!$L$180-Driver!$K$180)</f>
        <v/>
      </c>
      <c r="AL482" s="108">
        <f>(AX482-Driver!$K$181)/(Driver!$L$181-Driver!$K$181)</f>
        <v/>
      </c>
      <c r="AM482" s="108">
        <f>(AY482-Driver!$K$182)/(Driver!$L$182-Driver!$K$182)</f>
        <v/>
      </c>
      <c r="AN482" s="108">
        <f>(AZ482-Driver!$K$183)/(Driver!$L$183-Driver!$K$183)</f>
        <v/>
      </c>
      <c r="AO482" s="108" t="n"/>
      <c r="AP482" s="108" t="n"/>
      <c r="AQ482" s="108">
        <f>(BC482-Driver!$K$188)/(Driver!$L$188-Driver!$K$188)</f>
        <v/>
      </c>
      <c r="AR482" s="108">
        <f>MIN((BD482-Driver!$K$189)/(Driver!$L$189-Driver!$K$189),100%)</f>
        <v/>
      </c>
      <c r="AS482" s="108">
        <f>(BE482-Driver!$K$190)/(Driver!$L$190-Driver!$K$190)</f>
        <v/>
      </c>
      <c r="AT482" s="108">
        <f>(BF482-Driver!$K$191)/(Driver!$L$191-Driver!$K$191)</f>
        <v/>
      </c>
      <c r="AU482" s="108">
        <f>(BG482-Driver!$K$192)/(Driver!$L$192-Driver!$K$192)</f>
        <v/>
      </c>
      <c r="AV482" s="105">
        <f>IFERROR(BM482*BJ482^1/4,"")</f>
        <v/>
      </c>
      <c r="AW482" s="105">
        <f>IFERROR(SUM(AX482:AZ482),"")</f>
        <v/>
      </c>
      <c r="AX482" s="105">
        <f>IFERROR(BH482,"")</f>
        <v/>
      </c>
      <c r="AY482" s="105">
        <f>IFERROR(Driver!$K$19/Data!BH482/Data!BI482*Data!BK482*Data!BL482,"")</f>
        <v/>
      </c>
      <c r="AZ482" s="105">
        <f>IFERROR(BI482*BN482,"")</f>
        <v/>
      </c>
      <c r="BA482" s="105" t="n"/>
      <c r="BB482" s="105" t="n"/>
      <c r="BC482" s="105">
        <f>IFERROR(BI482*BN482*BK482/BJ482^(1/2),"")</f>
        <v/>
      </c>
      <c r="BD482" s="105">
        <f>IFERROR(BH482*BM482*BL482/BJ482/BK482,"")</f>
        <v/>
      </c>
      <c r="BE482" s="105">
        <f>IFERROR(MIN(BI482/BQ482/BP482/BO482/BH482,$BE$1),"")</f>
        <v/>
      </c>
      <c r="BF482" s="105">
        <f>IFERROR(BJ482*BO482*BP482/BK482,"")</f>
        <v/>
      </c>
      <c r="BG482" s="105">
        <f>IFERROR(1/BM482/BH482*BQ482,"")</f>
        <v/>
      </c>
      <c r="BH482" s="102">
        <f>MAX((CE482-Driver!$F$200)/(Driver!$G$200-Driver!$F$200)*$BI$1,1)</f>
        <v/>
      </c>
      <c r="BI482" s="102">
        <f>MAX($BI$1*(BY482-Driver!$F$201)/(Driver!$G$201-Driver!$F$201),1)</f>
        <v/>
      </c>
      <c r="BJ482" s="102">
        <f>(CB482-Driver!$F$206)/(Driver!$G$206-Driver!$F$206)*$BI$1</f>
        <v/>
      </c>
      <c r="BK482" s="102">
        <f>(CD482-Driver!$F$203)/(Driver!$G$203-Driver!$F$203)*$BI$1</f>
        <v/>
      </c>
      <c r="BL482" s="102">
        <f>MAX((CR482-Driver!$F$202)/(Driver!$G$202-Driver!$F$202)*$BI$1,1)</f>
        <v/>
      </c>
      <c r="BM482" s="102">
        <f>MAX((CH482-Driver!$F$204)/(Driver!$G$204-Driver!$F$204)*$BI$1,1)</f>
        <v/>
      </c>
      <c r="BN482" s="102">
        <f>(CI482-Driver!$F$205)/(Driver!$G$205-Driver!$F$205)*$BI$1</f>
        <v/>
      </c>
      <c r="BO482" s="102">
        <f>(CK482-Driver!$F$207)/(Driver!$G$207-Driver!$F$207)*$BI$1</f>
        <v/>
      </c>
      <c r="BP482" s="102">
        <f>(CM482-Driver!$F$208)/(Driver!$G$208-Driver!$F$208)*$BI$1</f>
        <v/>
      </c>
      <c r="BQ482" s="102">
        <f>(CL482-Driver!$F$209)/(Driver!$G$209-Driver!$F$209)*$BI$1</f>
        <v/>
      </c>
      <c r="BR482" s="40" t="inlineStr">
        <is>
          <t>21/22</t>
        </is>
      </c>
      <c r="BS482" s="10" t="inlineStr">
        <is>
          <t xml:space="preserve"> Elan</t>
        </is>
      </c>
      <c r="BT482" s="11" t="inlineStr">
        <is>
          <t>Wingman 86 Ti</t>
        </is>
      </c>
      <c r="BU482" s="13" t="n">
        <v>166</v>
      </c>
      <c r="BV482" s="11" t="inlineStr">
        <is>
          <t xml:space="preserve"> Unisex</t>
        </is>
      </c>
      <c r="BW482" s="13" t="n">
        <v>166</v>
      </c>
      <c r="BX482" s="13" t="n">
        <v>165.2</v>
      </c>
      <c r="BY482" s="13" t="n">
        <v>134</v>
      </c>
      <c r="BZ482" s="13" t="n">
        <v>146</v>
      </c>
      <c r="CA482" s="13" t="n">
        <v>127</v>
      </c>
      <c r="CB482" s="13" t="n">
        <v>85</v>
      </c>
      <c r="CC482" s="13" t="n">
        <v>113</v>
      </c>
      <c r="CD482" s="13" t="n">
        <v>14.7</v>
      </c>
      <c r="CE482" s="13" t="n">
        <v>2004</v>
      </c>
      <c r="CF482" s="13" t="n">
        <v>0.82</v>
      </c>
      <c r="CG482" s="13" t="n">
        <v>1638</v>
      </c>
      <c r="CH482" s="13" t="n">
        <v>191</v>
      </c>
      <c r="CI482" s="13" t="n">
        <v>93</v>
      </c>
      <c r="CJ482" s="13" t="n">
        <v>41</v>
      </c>
      <c r="CK482" s="13" t="n">
        <v>206</v>
      </c>
      <c r="CL482" s="13" t="n">
        <v>7</v>
      </c>
      <c r="CM482" s="13" t="n">
        <v>106</v>
      </c>
      <c r="CN482" s="13" t="n">
        <v>0.166</v>
      </c>
      <c r="CO482" s="13" t="n">
        <v>98</v>
      </c>
      <c r="CP482" s="13" t="n">
        <v>95</v>
      </c>
      <c r="CQ482" s="13" t="n">
        <v>108</v>
      </c>
      <c r="CR482" s="13" t="n">
        <v>10</v>
      </c>
      <c r="CS482" s="13" t="n">
        <v>8.9</v>
      </c>
      <c r="CT482" s="11" t="inlineStr">
        <is>
          <t xml:space="preserve"> Resort Freeride</t>
        </is>
      </c>
      <c r="CU482" s="13" t="n"/>
      <c r="CV482" s="13" t="n"/>
      <c r="CW482" s="13" t="n"/>
      <c r="CX482">
        <f>INDEX('Data_Price '!AG$2:AG$1266,MATCH(Data!$DN482,'Data_Price '!$AT$2:$AT$1266,0))</f>
        <v/>
      </c>
      <c r="CY482">
        <f>INDEX('Data_Price '!AH$2:AH$1266,MATCH(Data!$DN482,'Data_Price '!$AT$2:$AT$1266,0))</f>
        <v/>
      </c>
      <c r="CZ482">
        <f>INDEX('Data_Price '!AI$2:AI$1266,MATCH(Data!$DN482,'Data_Price '!$AT$2:$AT$1266,0))</f>
        <v/>
      </c>
      <c r="DA482">
        <f>INDEX('Data_Price '!AJ$2:AJ$1266,MATCH(Data!$DN482,'Data_Price '!$AT$2:$AT$1266,0))</f>
        <v/>
      </c>
      <c r="DB482">
        <f>INDEX('Data_Price '!AK$2:AK$1266,MATCH(Data!$DN482,'Data_Price '!$AT$2:$AT$1266,0))</f>
        <v/>
      </c>
      <c r="DC482">
        <f>INDEX('Data_Price '!AL$2:AL$1266,MATCH(Data!$DN482,'Data_Price '!$AT$2:$AT$1266,0))</f>
        <v/>
      </c>
      <c r="DD482">
        <f>INDEX('Data_Price '!AM$2:AM$1266,MATCH(Data!$DN482,'Data_Price '!$AT$2:$AT$1266,0))</f>
        <v/>
      </c>
      <c r="DE482">
        <f>INDEX('Data_Price '!AN$2:AN$1266,MATCH(Data!$DN482,'Data_Price '!$AT$2:$AT$1266,0))</f>
        <v/>
      </c>
      <c r="DF482">
        <f>INDEX('Data_Price '!AO$2:AO$1266,MATCH(Data!$DN482,'Data_Price '!$AT$2:$AT$1266,0))</f>
        <v/>
      </c>
      <c r="DG482">
        <f>INDEX('Data_Price '!AP$2:AP$1266,MATCH(Data!$DN482,'Data_Price '!$AT$2:$AT$1266,0))</f>
        <v/>
      </c>
      <c r="DH482">
        <f>INDEX('Data_Price '!AQ$2:AQ$1266,MATCH(Data!$DN482,'Data_Price '!$AT$2:$AT$1266,0))</f>
        <v/>
      </c>
      <c r="DI482">
        <f>INDEX('Data_Price '!AR$2:AR$1266,MATCH(Data!$DN482,'Data_Price '!$AT$2:$AT$1266,0))</f>
        <v/>
      </c>
      <c r="DJ482" s="138">
        <f>DA482</f>
        <v/>
      </c>
      <c r="DK482" s="138">
        <f>DE482</f>
        <v/>
      </c>
      <c r="DL482" s="138">
        <f>DI482</f>
        <v/>
      </c>
      <c r="DM482" s="303">
        <f>IF(LEFT(BT482,1)=" ",RIGHT(BT482,LEN(BT482)-1),BT482)</f>
        <v/>
      </c>
      <c r="DN482" s="138">
        <f>_xlfn.CONCAT(BS482,DM482,BU482,BV482)</f>
        <v/>
      </c>
      <c r="DO482" s="307" t="n"/>
    </row>
    <row r="483" ht="15.6" customHeight="1" s="184">
      <c r="B483" s="303">
        <f t="array" ref="B483">IF(OR(ISERROR(K483:P483)),FALSE,TRUE)</f>
        <v/>
      </c>
      <c r="C483" s="60">
        <f>OR(BR483=Driver!$G$50,Data!BR828=Driver!$H$50)</f>
        <v/>
      </c>
      <c r="D483" s="60">
        <f>OR(BV483=Driver!$G$51,BV483=Driver!$H$51)</f>
        <v/>
      </c>
      <c r="E483" s="60">
        <f>AND(BX483&gt;Driver!$F$54,BX483&lt;Driver!$G$54)</f>
        <v/>
      </c>
      <c r="F483" s="60">
        <f>CL483&gt;Driver!$F$56</f>
        <v/>
      </c>
      <c r="G483" s="60">
        <f>AND(CB483&gt;Driver!$F$55,CB483&lt;Driver!$G$55)</f>
        <v/>
      </c>
      <c r="H483" s="60">
        <f>AND(B483:G483)</f>
        <v/>
      </c>
      <c r="I483" s="60">
        <f>COUNTIFS($H$9:$H$1273,TRUE,$BT$9:$BT$1273,BT483)</f>
        <v/>
      </c>
      <c r="J483" s="60">
        <f t="array" ref="J483">NOT(OR(($H$9:$H$1273=TRUE)*($I$9:$I$1273&gt;0)*($BT$9:$BT$1273=BT483)*($K$9:$K$1273&gt;K483)))</f>
        <v/>
      </c>
      <c r="K483" s="108">
        <f>IFERROR(1-AVERAGE(X483:Y483),"")</f>
        <v/>
      </c>
      <c r="L483" s="108">
        <f>1-X483</f>
        <v/>
      </c>
      <c r="M483" s="108">
        <f>1-Y483</f>
        <v/>
      </c>
      <c r="N483" s="108">
        <f>1-Z483</f>
        <v/>
      </c>
      <c r="O483" s="108">
        <f>1-AA483</f>
        <v/>
      </c>
      <c r="P483" s="108">
        <f>1-AB483</f>
        <v/>
      </c>
      <c r="Q483" s="108" t="n"/>
      <c r="R483" s="108" t="n"/>
      <c r="S483" s="108">
        <f>1-AE483</f>
        <v/>
      </c>
      <c r="T483" s="108">
        <f>1-AF483</f>
        <v/>
      </c>
      <c r="U483" s="108">
        <f>1-AG483</f>
        <v/>
      </c>
      <c r="V483" s="108">
        <f>1-AH483</f>
        <v/>
      </c>
      <c r="W483" s="108">
        <f>1-AI483</f>
        <v/>
      </c>
      <c r="X483" s="108">
        <f>ABS(AJ483-AJ$1)</f>
        <v/>
      </c>
      <c r="Y483" s="108">
        <f>AVERAGE(Z483:AB483)</f>
        <v/>
      </c>
      <c r="Z483" s="108">
        <f>ABS(AL483-AL$1)</f>
        <v/>
      </c>
      <c r="AA483" s="108">
        <f>ABS(AM483-AM$1)</f>
        <v/>
      </c>
      <c r="AB483" s="108">
        <f>ABS(AN483-AN$1)</f>
        <v/>
      </c>
      <c r="AC483" s="108" t="n"/>
      <c r="AD483" s="108" t="n"/>
      <c r="AE483" s="108">
        <f>ABS(AQ$1-AQ483)</f>
        <v/>
      </c>
      <c r="AF483" s="108">
        <f>ABS(AR$1-AR483)</f>
        <v/>
      </c>
      <c r="AG483" s="108">
        <f>ABS(AS$1-AS483)</f>
        <v/>
      </c>
      <c r="AH483" s="108">
        <f>ABS(AT$1-AT483)</f>
        <v/>
      </c>
      <c r="AI483" s="108">
        <f>ABS(AU$1-AU483)</f>
        <v/>
      </c>
      <c r="AJ483" s="108">
        <f>(AV483-Driver!$K$179)/(Driver!$L$179-Driver!$K$179)</f>
        <v/>
      </c>
      <c r="AK483" s="108">
        <f>(AW483-Driver!$K$180)/(Driver!$L$180-Driver!$K$180)</f>
        <v/>
      </c>
      <c r="AL483" s="108">
        <f>(AX483-Driver!$K$181)/(Driver!$L$181-Driver!$K$181)</f>
        <v/>
      </c>
      <c r="AM483" s="108">
        <f>(AY483-Driver!$K$182)/(Driver!$L$182-Driver!$K$182)</f>
        <v/>
      </c>
      <c r="AN483" s="108">
        <f>(AZ483-Driver!$K$183)/(Driver!$L$183-Driver!$K$183)</f>
        <v/>
      </c>
      <c r="AO483" s="108" t="n"/>
      <c r="AP483" s="108" t="n"/>
      <c r="AQ483" s="108">
        <f>(BC483-Driver!$K$188)/(Driver!$L$188-Driver!$K$188)</f>
        <v/>
      </c>
      <c r="AR483" s="108">
        <f>MIN((BD483-Driver!$K$189)/(Driver!$L$189-Driver!$K$189),100%)</f>
        <v/>
      </c>
      <c r="AS483" s="108">
        <f>(BE483-Driver!$K$190)/(Driver!$L$190-Driver!$K$190)</f>
        <v/>
      </c>
      <c r="AT483" s="108">
        <f>(BF483-Driver!$K$191)/(Driver!$L$191-Driver!$K$191)</f>
        <v/>
      </c>
      <c r="AU483" s="108">
        <f>(BG483-Driver!$K$192)/(Driver!$L$192-Driver!$K$192)</f>
        <v/>
      </c>
      <c r="AV483" s="105">
        <f>IFERROR(BM483*BJ483^1/4,"")</f>
        <v/>
      </c>
      <c r="AW483" s="105">
        <f>IFERROR(SUM(AX483:AZ483),"")</f>
        <v/>
      </c>
      <c r="AX483" s="105">
        <f>IFERROR(BH483,"")</f>
        <v/>
      </c>
      <c r="AY483" s="105">
        <f>IFERROR(Driver!$K$19/Data!BH483/Data!BI483*Data!BK483*Data!BL483,"")</f>
        <v/>
      </c>
      <c r="AZ483" s="105">
        <f>IFERROR(BI483*BN483,"")</f>
        <v/>
      </c>
      <c r="BA483" s="105" t="n"/>
      <c r="BB483" s="105" t="n"/>
      <c r="BC483" s="105">
        <f>IFERROR(BI483*BN483*BK483/BJ483^(1/2),"")</f>
        <v/>
      </c>
      <c r="BD483" s="105">
        <f>IFERROR(BH483*BM483*BL483/BJ483/BK483,"")</f>
        <v/>
      </c>
      <c r="BE483" s="105">
        <f>IFERROR(MIN(BI483/BQ483/BP483/BO483/BH483,$BE$1),"")</f>
        <v/>
      </c>
      <c r="BF483" s="105">
        <f>IFERROR(BJ483*BO483*BP483/BK483,"")</f>
        <v/>
      </c>
      <c r="BG483" s="105">
        <f>IFERROR(1/BM483/BH483*BQ483,"")</f>
        <v/>
      </c>
      <c r="BH483" s="102">
        <f>MAX((CE483-Driver!$F$200)/(Driver!$G$200-Driver!$F$200)*$BI$1,1)</f>
        <v/>
      </c>
      <c r="BI483" s="102">
        <f>MAX($BI$1*(BY483-Driver!$F$201)/(Driver!$G$201-Driver!$F$201),1)</f>
        <v/>
      </c>
      <c r="BJ483" s="102">
        <f>(CB483-Driver!$F$206)/(Driver!$G$206-Driver!$F$206)*$BI$1</f>
        <v/>
      </c>
      <c r="BK483" s="102">
        <f>(CD483-Driver!$F$203)/(Driver!$G$203-Driver!$F$203)*$BI$1</f>
        <v/>
      </c>
      <c r="BL483" s="102">
        <f>MAX((CR483-Driver!$F$202)/(Driver!$G$202-Driver!$F$202)*$BI$1,1)</f>
        <v/>
      </c>
      <c r="BM483" s="102">
        <f>MAX((CH483-Driver!$F$204)/(Driver!$G$204-Driver!$F$204)*$BI$1,1)</f>
        <v/>
      </c>
      <c r="BN483" s="102">
        <f>(CI483-Driver!$F$205)/(Driver!$G$205-Driver!$F$205)*$BI$1</f>
        <v/>
      </c>
      <c r="BO483" s="102">
        <f>(CK483-Driver!$F$207)/(Driver!$G$207-Driver!$F$207)*$BI$1</f>
        <v/>
      </c>
      <c r="BP483" s="102">
        <f>(CM483-Driver!$F$208)/(Driver!$G$208-Driver!$F$208)*$BI$1</f>
        <v/>
      </c>
      <c r="BQ483" s="102">
        <f>(CL483-Driver!$F$209)/(Driver!$G$209-Driver!$F$209)*$BI$1</f>
        <v/>
      </c>
      <c r="BR483" s="40" t="inlineStr">
        <is>
          <t>21/22</t>
        </is>
      </c>
      <c r="BS483" s="10" t="inlineStr">
        <is>
          <t xml:space="preserve"> Line</t>
        </is>
      </c>
      <c r="BT483" s="11" t="inlineStr">
        <is>
          <t xml:space="preserve"> Blend</t>
        </is>
      </c>
      <c r="BU483" s="13" t="n">
        <v>178</v>
      </c>
      <c r="BV483" s="11" t="inlineStr">
        <is>
          <t xml:space="preserve"> Unisex</t>
        </is>
      </c>
      <c r="BW483" s="13" t="n">
        <v>178</v>
      </c>
      <c r="BX483" s="13" t="n">
        <v>178</v>
      </c>
      <c r="BY483" s="13" t="n">
        <v>138</v>
      </c>
      <c r="BZ483" s="13" t="n">
        <v>155</v>
      </c>
      <c r="CA483" s="13" t="n">
        <v>132</v>
      </c>
      <c r="CB483" s="13" t="n">
        <v>99</v>
      </c>
      <c r="CC483" s="13" t="n">
        <v>121</v>
      </c>
      <c r="CD483" s="13" t="n">
        <v>20.6</v>
      </c>
      <c r="CE483" s="13" t="n">
        <v>1783</v>
      </c>
      <c r="CF483" s="13" t="n">
        <v>1.09</v>
      </c>
      <c r="CG483" s="13" t="n">
        <v>1948</v>
      </c>
      <c r="CH483" s="13" t="n">
        <v>162</v>
      </c>
      <c r="CI483" s="13" t="n">
        <v>75</v>
      </c>
      <c r="CJ483" s="13" t="n">
        <v>44</v>
      </c>
      <c r="CK483" s="13" t="n">
        <v>208</v>
      </c>
      <c r="CL483" s="13" t="n">
        <v>42</v>
      </c>
      <c r="CM483" s="13" t="n">
        <v>195</v>
      </c>
      <c r="CN483" s="13" t="n">
        <v>0.965</v>
      </c>
      <c r="CO483" s="13" t="n">
        <v>104</v>
      </c>
      <c r="CP483" s="13" t="n">
        <v>131</v>
      </c>
      <c r="CQ483" s="13" t="n">
        <v>104</v>
      </c>
      <c r="CR483" s="13" t="n">
        <v>9</v>
      </c>
      <c r="CS483" s="13" t="n">
        <v>4.3</v>
      </c>
      <c r="CT483" s="11" t="inlineStr">
        <is>
          <t xml:space="preserve"> Freeski</t>
        </is>
      </c>
      <c r="CU483" s="11" t="inlineStr">
        <is>
          <t xml:space="preserve"> Touring</t>
        </is>
      </c>
      <c r="CV483" s="13" t="n"/>
      <c r="CW483" s="13" t="n"/>
      <c r="CX483">
        <f>INDEX('Data_Price '!AG$2:AG$1266,MATCH(Data!$DN483,'Data_Price '!$AT$2:$AT$1266,0))</f>
        <v/>
      </c>
      <c r="CY483">
        <f>INDEX('Data_Price '!AH$2:AH$1266,MATCH(Data!$DN483,'Data_Price '!$AT$2:$AT$1266,0))</f>
        <v/>
      </c>
      <c r="CZ483">
        <f>INDEX('Data_Price '!AI$2:AI$1266,MATCH(Data!$DN483,'Data_Price '!$AT$2:$AT$1266,0))</f>
        <v/>
      </c>
      <c r="DA483">
        <f>INDEX('Data_Price '!AJ$2:AJ$1266,MATCH(Data!$DN483,'Data_Price '!$AT$2:$AT$1266,0))</f>
        <v/>
      </c>
      <c r="DB483">
        <f>INDEX('Data_Price '!AK$2:AK$1266,MATCH(Data!$DN483,'Data_Price '!$AT$2:$AT$1266,0))</f>
        <v/>
      </c>
      <c r="DC483">
        <f>INDEX('Data_Price '!AL$2:AL$1266,MATCH(Data!$DN483,'Data_Price '!$AT$2:$AT$1266,0))</f>
        <v/>
      </c>
      <c r="DD483">
        <f>INDEX('Data_Price '!AM$2:AM$1266,MATCH(Data!$DN483,'Data_Price '!$AT$2:$AT$1266,0))</f>
        <v/>
      </c>
      <c r="DE483">
        <f>INDEX('Data_Price '!AN$2:AN$1266,MATCH(Data!$DN483,'Data_Price '!$AT$2:$AT$1266,0))</f>
        <v/>
      </c>
      <c r="DF483">
        <f>INDEX('Data_Price '!AO$2:AO$1266,MATCH(Data!$DN483,'Data_Price '!$AT$2:$AT$1266,0))</f>
        <v/>
      </c>
      <c r="DG483">
        <f>INDEX('Data_Price '!AP$2:AP$1266,MATCH(Data!$DN483,'Data_Price '!$AT$2:$AT$1266,0))</f>
        <v/>
      </c>
      <c r="DH483">
        <f>INDEX('Data_Price '!AQ$2:AQ$1266,MATCH(Data!$DN483,'Data_Price '!$AT$2:$AT$1266,0))</f>
        <v/>
      </c>
      <c r="DI483">
        <f>INDEX('Data_Price '!AR$2:AR$1266,MATCH(Data!$DN483,'Data_Price '!$AT$2:$AT$1266,0))</f>
        <v/>
      </c>
      <c r="DJ483" s="138">
        <f>DA483</f>
        <v/>
      </c>
      <c r="DK483" s="138">
        <f>DE483</f>
        <v/>
      </c>
      <c r="DL483" s="138">
        <f>DI483</f>
        <v/>
      </c>
      <c r="DM483" s="303">
        <f>IF(LEFT(BT483,1)=" ",RIGHT(BT483,LEN(BT483)-1),BT483)</f>
        <v/>
      </c>
      <c r="DN483" s="138">
        <f>_xlfn.CONCAT(BS483,DM483,BU483,BV483)</f>
        <v/>
      </c>
      <c r="DO483" s="307" t="inlineStr">
        <is>
          <t>https://images.evo.com/imgp/250/197209/792880/line-skis-blend-skis-2022-.jpg</t>
        </is>
      </c>
    </row>
    <row r="484" ht="15.6" customHeight="1" s="184">
      <c r="B484" s="303">
        <f t="array" ref="B484">IF(OR(ISERROR(K484:P484)),FALSE,TRUE)</f>
        <v/>
      </c>
      <c r="C484" s="60">
        <f>OR(BR484=Driver!$G$50,Data!BR303=Driver!$H$50)</f>
        <v/>
      </c>
      <c r="D484" s="60">
        <f>OR(BV484=Driver!$G$51,BV484=Driver!$H$51)</f>
        <v/>
      </c>
      <c r="E484" s="60">
        <f>AND(BX484&gt;Driver!$F$54,BX484&lt;Driver!$G$54)</f>
        <v/>
      </c>
      <c r="F484" s="60">
        <f>CL484&gt;Driver!$F$56</f>
        <v/>
      </c>
      <c r="G484" s="60">
        <f>AND(CB484&gt;Driver!$F$55,CB484&lt;Driver!$G$55)</f>
        <v/>
      </c>
      <c r="H484" s="60">
        <f>AND(B484:G484)</f>
        <v/>
      </c>
      <c r="I484" s="60">
        <f>COUNTIFS($H$9:$H$1273,TRUE,$BT$9:$BT$1273,BT484)</f>
        <v/>
      </c>
      <c r="J484" s="60">
        <f t="array" ref="J484">NOT(OR(($H$9:$H$1273=TRUE)*($I$9:$I$1273&gt;0)*($BT$9:$BT$1273=BT484)*($K$9:$K$1273&gt;K484)))</f>
        <v/>
      </c>
      <c r="K484" s="108">
        <f>IFERROR(1-AVERAGE(X484:Y484),"")</f>
        <v/>
      </c>
      <c r="L484" s="108">
        <f>1-X484</f>
        <v/>
      </c>
      <c r="M484" s="108">
        <f>1-Y484</f>
        <v/>
      </c>
      <c r="N484" s="108">
        <f>1-Z484</f>
        <v/>
      </c>
      <c r="O484" s="108">
        <f>1-AA484</f>
        <v/>
      </c>
      <c r="P484" s="108">
        <f>1-AB484</f>
        <v/>
      </c>
      <c r="Q484" s="108" t="n"/>
      <c r="R484" s="108" t="n"/>
      <c r="S484" s="108">
        <f>1-AE484</f>
        <v/>
      </c>
      <c r="T484" s="108">
        <f>1-AF484</f>
        <v/>
      </c>
      <c r="U484" s="108">
        <f>1-AG484</f>
        <v/>
      </c>
      <c r="V484" s="108">
        <f>1-AH484</f>
        <v/>
      </c>
      <c r="W484" s="108">
        <f>1-AI484</f>
        <v/>
      </c>
      <c r="X484" s="108">
        <f>ABS(AJ484-AJ$1)</f>
        <v/>
      </c>
      <c r="Y484" s="108">
        <f>AVERAGE(Z484:AB484)</f>
        <v/>
      </c>
      <c r="Z484" s="108">
        <f>ABS(AL484-AL$1)</f>
        <v/>
      </c>
      <c r="AA484" s="108">
        <f>ABS(AM484-AM$1)</f>
        <v/>
      </c>
      <c r="AB484" s="108">
        <f>ABS(AN484-AN$1)</f>
        <v/>
      </c>
      <c r="AC484" s="108" t="n"/>
      <c r="AD484" s="108" t="n"/>
      <c r="AE484" s="108">
        <f>ABS(AQ$1-AQ484)</f>
        <v/>
      </c>
      <c r="AF484" s="108">
        <f>ABS(AR$1-AR484)</f>
        <v/>
      </c>
      <c r="AG484" s="108">
        <f>ABS(AS$1-AS484)</f>
        <v/>
      </c>
      <c r="AH484" s="108">
        <f>ABS(AT$1-AT484)</f>
        <v/>
      </c>
      <c r="AI484" s="108">
        <f>ABS(AU$1-AU484)</f>
        <v/>
      </c>
      <c r="AJ484" s="108">
        <f>(AV484-Driver!$K$179)/(Driver!$L$179-Driver!$K$179)</f>
        <v/>
      </c>
      <c r="AK484" s="108">
        <f>(AW484-Driver!$K$180)/(Driver!$L$180-Driver!$K$180)</f>
        <v/>
      </c>
      <c r="AL484" s="108">
        <f>(AX484-Driver!$K$181)/(Driver!$L$181-Driver!$K$181)</f>
        <v/>
      </c>
      <c r="AM484" s="108">
        <f>(AY484-Driver!$K$182)/(Driver!$L$182-Driver!$K$182)</f>
        <v/>
      </c>
      <c r="AN484" s="108">
        <f>(AZ484-Driver!$K$183)/(Driver!$L$183-Driver!$K$183)</f>
        <v/>
      </c>
      <c r="AO484" s="108" t="n"/>
      <c r="AP484" s="108" t="n"/>
      <c r="AQ484" s="108">
        <f>(BC484-Driver!$K$188)/(Driver!$L$188-Driver!$K$188)</f>
        <v/>
      </c>
      <c r="AR484" s="108">
        <f>MIN((BD484-Driver!$K$189)/(Driver!$L$189-Driver!$K$189),100%)</f>
        <v/>
      </c>
      <c r="AS484" s="108">
        <f>(BE484-Driver!$K$190)/(Driver!$L$190-Driver!$K$190)</f>
        <v/>
      </c>
      <c r="AT484" s="108">
        <f>(BF484-Driver!$K$191)/(Driver!$L$191-Driver!$K$191)</f>
        <v/>
      </c>
      <c r="AU484" s="108">
        <f>(BG484-Driver!$K$192)/(Driver!$L$192-Driver!$K$192)</f>
        <v/>
      </c>
      <c r="AV484" s="105">
        <f>IFERROR(BM484*BJ484^1/4,"")</f>
        <v/>
      </c>
      <c r="AW484" s="105">
        <f>IFERROR(SUM(AX484:AZ484),"")</f>
        <v/>
      </c>
      <c r="AX484" s="105">
        <f>IFERROR(BH484,"")</f>
        <v/>
      </c>
      <c r="AY484" s="105">
        <f>IFERROR(Driver!$K$19/Data!BH484/Data!BI484*Data!BK484*Data!BL484,"")</f>
        <v/>
      </c>
      <c r="AZ484" s="105">
        <f>IFERROR(BI484*BN484,"")</f>
        <v/>
      </c>
      <c r="BA484" s="105" t="n"/>
      <c r="BB484" s="105" t="n"/>
      <c r="BC484" s="105">
        <f>IFERROR(BI484*BN484*BK484/BJ484^(1/2),"")</f>
        <v/>
      </c>
      <c r="BD484" s="105">
        <f>IFERROR(BH484*BM484*BL484/BJ484/BK484,"")</f>
        <v/>
      </c>
      <c r="BE484" s="105">
        <f>IFERROR(MIN(BI484/BQ484/BP484/BO484/BH484,$BE$1),"")</f>
        <v/>
      </c>
      <c r="BF484" s="105">
        <f>IFERROR(BJ484*BO484*BP484/BK484,"")</f>
        <v/>
      </c>
      <c r="BG484" s="105">
        <f>IFERROR(1/BM484/BH484*BQ484,"")</f>
        <v/>
      </c>
      <c r="BH484" s="102">
        <f>MAX((CE484-Driver!$F$200)/(Driver!$G$200-Driver!$F$200)*$BI$1,1)</f>
        <v/>
      </c>
      <c r="BI484" s="102">
        <f>MAX($BI$1*(BY484-Driver!$F$201)/(Driver!$G$201-Driver!$F$201),1)</f>
        <v/>
      </c>
      <c r="BJ484" s="102">
        <f>(CB484-Driver!$F$206)/(Driver!$G$206-Driver!$F$206)*$BI$1</f>
        <v/>
      </c>
      <c r="BK484" s="102">
        <f>(CD484-Driver!$F$203)/(Driver!$G$203-Driver!$F$203)*$BI$1</f>
        <v/>
      </c>
      <c r="BL484" s="102">
        <f>MAX((CR484-Driver!$F$202)/(Driver!$G$202-Driver!$F$202)*$BI$1,1)</f>
        <v/>
      </c>
      <c r="BM484" s="102">
        <f>MAX((CH484-Driver!$F$204)/(Driver!$G$204-Driver!$F$204)*$BI$1,1)</f>
        <v/>
      </c>
      <c r="BN484" s="102">
        <f>(CI484-Driver!$F$205)/(Driver!$G$205-Driver!$F$205)*$BI$1</f>
        <v/>
      </c>
      <c r="BO484" s="102">
        <f>(CK484-Driver!$F$207)/(Driver!$G$207-Driver!$F$207)*$BI$1</f>
        <v/>
      </c>
      <c r="BP484" s="102">
        <f>(CM484-Driver!$F$208)/(Driver!$G$208-Driver!$F$208)*$BI$1</f>
        <v/>
      </c>
      <c r="BQ484" s="102">
        <f>(CL484-Driver!$F$209)/(Driver!$G$209-Driver!$F$209)*$BI$1</f>
        <v/>
      </c>
      <c r="BR484" s="40" t="inlineStr">
        <is>
          <t>21/22</t>
        </is>
      </c>
      <c r="BS484" s="10" t="inlineStr">
        <is>
          <t xml:space="preserve"> Blizzard</t>
        </is>
      </c>
      <c r="BT484" s="11" t="inlineStr">
        <is>
          <t>Sheeva 9</t>
        </is>
      </c>
      <c r="BU484" s="13" t="n">
        <v>164</v>
      </c>
      <c r="BV484" s="11" t="inlineStr">
        <is>
          <t xml:space="preserve"> Women's</t>
        </is>
      </c>
      <c r="BW484" s="13" t="n">
        <v>164</v>
      </c>
      <c r="BX484" s="13" t="n">
        <v>162.8</v>
      </c>
      <c r="BY484" s="13" t="n">
        <v>110</v>
      </c>
      <c r="BZ484" s="13" t="n">
        <v>135</v>
      </c>
      <c r="CA484" s="13" t="n">
        <v>124</v>
      </c>
      <c r="CB484" s="13" t="n">
        <v>91</v>
      </c>
      <c r="CC484" s="13" t="n">
        <v>113</v>
      </c>
      <c r="CD484" s="13" t="n">
        <v>14.4</v>
      </c>
      <c r="CE484" s="13" t="n">
        <v>1799</v>
      </c>
      <c r="CF484" s="13" t="n">
        <v>0.93</v>
      </c>
      <c r="CG484" s="13" t="n">
        <v>1673</v>
      </c>
      <c r="CH484" s="13" t="n">
        <v>185</v>
      </c>
      <c r="CI484" s="13" t="n">
        <v>88</v>
      </c>
      <c r="CJ484" s="13" t="n">
        <v>61</v>
      </c>
      <c r="CK484" s="13" t="n">
        <v>303</v>
      </c>
      <c r="CL484" s="13" t="n">
        <v>28</v>
      </c>
      <c r="CM484" s="13" t="n">
        <v>223</v>
      </c>
      <c r="CN484" s="13" t="n">
        <v>0.454</v>
      </c>
      <c r="CO484" s="13" t="n">
        <v>147</v>
      </c>
      <c r="CP484" s="13" t="n">
        <v>134</v>
      </c>
      <c r="CQ484" s="13" t="n">
        <v>156</v>
      </c>
      <c r="CR484" s="13" t="n">
        <v>4</v>
      </c>
      <c r="CS484" s="13" t="n">
        <v>7.2</v>
      </c>
      <c r="CT484" s="11" t="inlineStr">
        <is>
          <t xml:space="preserve"> Resort Freeride</t>
        </is>
      </c>
      <c r="CU484" s="13" t="n"/>
      <c r="CV484" s="13" t="n"/>
      <c r="CW484" s="13" t="n"/>
      <c r="CX484">
        <f>INDEX('Data_Price '!AG$2:AG$1266,MATCH(Data!$DN484,'Data_Price '!$AT$2:$AT$1266,0))</f>
        <v/>
      </c>
      <c r="CY484">
        <f>INDEX('Data_Price '!AH$2:AH$1266,MATCH(Data!$DN484,'Data_Price '!$AT$2:$AT$1266,0))</f>
        <v/>
      </c>
      <c r="CZ484">
        <f>INDEX('Data_Price '!AI$2:AI$1266,MATCH(Data!$DN484,'Data_Price '!$AT$2:$AT$1266,0))</f>
        <v/>
      </c>
      <c r="DA484">
        <f>INDEX('Data_Price '!AJ$2:AJ$1266,MATCH(Data!$DN484,'Data_Price '!$AT$2:$AT$1266,0))</f>
        <v/>
      </c>
      <c r="DB484">
        <f>INDEX('Data_Price '!AK$2:AK$1266,MATCH(Data!$DN484,'Data_Price '!$AT$2:$AT$1266,0))</f>
        <v/>
      </c>
      <c r="DC484">
        <f>INDEX('Data_Price '!AL$2:AL$1266,MATCH(Data!$DN484,'Data_Price '!$AT$2:$AT$1266,0))</f>
        <v/>
      </c>
      <c r="DD484">
        <f>INDEX('Data_Price '!AM$2:AM$1266,MATCH(Data!$DN484,'Data_Price '!$AT$2:$AT$1266,0))</f>
        <v/>
      </c>
      <c r="DE484">
        <f>INDEX('Data_Price '!AN$2:AN$1266,MATCH(Data!$DN484,'Data_Price '!$AT$2:$AT$1266,0))</f>
        <v/>
      </c>
      <c r="DF484">
        <f>INDEX('Data_Price '!AO$2:AO$1266,MATCH(Data!$DN484,'Data_Price '!$AT$2:$AT$1266,0))</f>
        <v/>
      </c>
      <c r="DG484">
        <f>INDEX('Data_Price '!AP$2:AP$1266,MATCH(Data!$DN484,'Data_Price '!$AT$2:$AT$1266,0))</f>
        <v/>
      </c>
      <c r="DH484">
        <f>INDEX('Data_Price '!AQ$2:AQ$1266,MATCH(Data!$DN484,'Data_Price '!$AT$2:$AT$1266,0))</f>
        <v/>
      </c>
      <c r="DI484">
        <f>INDEX('Data_Price '!AR$2:AR$1266,MATCH(Data!$DN484,'Data_Price '!$AT$2:$AT$1266,0))</f>
        <v/>
      </c>
      <c r="DJ484" s="138">
        <f>DA484</f>
        <v/>
      </c>
      <c r="DK484" s="138">
        <f>DE484</f>
        <v/>
      </c>
      <c r="DL484" s="138">
        <f>DI484</f>
        <v/>
      </c>
      <c r="DM484" s="303">
        <f>IF(LEFT(BT484,1)=" ",RIGHT(BT484,LEN(BT484)-1),BT484)</f>
        <v/>
      </c>
      <c r="DN484" s="138">
        <f>_xlfn.CONCAT(BS484,DM484,BU484,BV484)</f>
        <v/>
      </c>
      <c r="DO484" s="307" t="inlineStr">
        <is>
          <t>https://images.evo.com/imgp/250/176892/722700/blizzard-sheeva-9-skis-women-s-2022-.jpg</t>
        </is>
      </c>
    </row>
    <row r="485" ht="15.6" customHeight="1" s="184">
      <c r="B485" s="303">
        <f t="array" ref="B485">IF(OR(ISERROR(K485:P485)),FALSE,TRUE)</f>
        <v/>
      </c>
      <c r="C485" s="60">
        <f>OR(BR485=Driver!$G$50,Data!BR274=Driver!$H$50)</f>
        <v/>
      </c>
      <c r="D485" s="60">
        <f>OR(BV485=Driver!$G$51,BV485=Driver!$H$51)</f>
        <v/>
      </c>
      <c r="E485" s="60">
        <f>AND(BX485&gt;Driver!$F$54,BX485&lt;Driver!$G$54)</f>
        <v/>
      </c>
      <c r="F485" s="60">
        <f>CL485&gt;Driver!$F$56</f>
        <v/>
      </c>
      <c r="G485" s="60">
        <f>AND(CB485&gt;Driver!$F$55,CB485&lt;Driver!$G$55)</f>
        <v/>
      </c>
      <c r="H485" s="60">
        <f>AND(B485:G485)</f>
        <v/>
      </c>
      <c r="I485" s="60">
        <f>COUNTIFS($H$9:$H$1273,TRUE,$BT$9:$BT$1273,BT485)</f>
        <v/>
      </c>
      <c r="J485" s="60">
        <f t="array" ref="J485">NOT(OR(($H$9:$H$1273=TRUE)*($I$9:$I$1273&gt;0)*($BT$9:$BT$1273=BT485)*($K$9:$K$1273&gt;K485)))</f>
        <v/>
      </c>
      <c r="K485" s="108">
        <f>IFERROR(1-AVERAGE(X485:Y485),"")</f>
        <v/>
      </c>
      <c r="L485" s="108">
        <f>1-X485</f>
        <v/>
      </c>
      <c r="M485" s="108">
        <f>1-Y485</f>
        <v/>
      </c>
      <c r="N485" s="108">
        <f>1-Z485</f>
        <v/>
      </c>
      <c r="O485" s="108">
        <f>1-AA485</f>
        <v/>
      </c>
      <c r="P485" s="108">
        <f>1-AB485</f>
        <v/>
      </c>
      <c r="Q485" s="108" t="n"/>
      <c r="R485" s="108" t="n"/>
      <c r="S485" s="108">
        <f>1-AE485</f>
        <v/>
      </c>
      <c r="T485" s="108">
        <f>1-AF485</f>
        <v/>
      </c>
      <c r="U485" s="108">
        <f>1-AG485</f>
        <v/>
      </c>
      <c r="V485" s="108">
        <f>1-AH485</f>
        <v/>
      </c>
      <c r="W485" s="108">
        <f>1-AI485</f>
        <v/>
      </c>
      <c r="X485" s="108">
        <f>ABS(AJ485-AJ$1)</f>
        <v/>
      </c>
      <c r="Y485" s="108">
        <f>AVERAGE(Z485:AB485)</f>
        <v/>
      </c>
      <c r="Z485" s="108">
        <f>ABS(AL485-AL$1)</f>
        <v/>
      </c>
      <c r="AA485" s="108">
        <f>ABS(AM485-AM$1)</f>
        <v/>
      </c>
      <c r="AB485" s="108">
        <f>ABS(AN485-AN$1)</f>
        <v/>
      </c>
      <c r="AC485" s="108" t="n"/>
      <c r="AD485" s="108" t="n"/>
      <c r="AE485" s="108">
        <f>ABS(AQ$1-AQ485)</f>
        <v/>
      </c>
      <c r="AF485" s="108">
        <f>ABS(AR$1-AR485)</f>
        <v/>
      </c>
      <c r="AG485" s="108">
        <f>ABS(AS$1-AS485)</f>
        <v/>
      </c>
      <c r="AH485" s="108">
        <f>ABS(AT$1-AT485)</f>
        <v/>
      </c>
      <c r="AI485" s="108">
        <f>ABS(AU$1-AU485)</f>
        <v/>
      </c>
      <c r="AJ485" s="108">
        <f>(AV485-Driver!$K$179)/(Driver!$L$179-Driver!$K$179)</f>
        <v/>
      </c>
      <c r="AK485" s="108">
        <f>(AW485-Driver!$K$180)/(Driver!$L$180-Driver!$K$180)</f>
        <v/>
      </c>
      <c r="AL485" s="108">
        <f>(AX485-Driver!$K$181)/(Driver!$L$181-Driver!$K$181)</f>
        <v/>
      </c>
      <c r="AM485" s="108">
        <f>(AY485-Driver!$K$182)/(Driver!$L$182-Driver!$K$182)</f>
        <v/>
      </c>
      <c r="AN485" s="108">
        <f>(AZ485-Driver!$K$183)/(Driver!$L$183-Driver!$K$183)</f>
        <v/>
      </c>
      <c r="AO485" s="108" t="n"/>
      <c r="AP485" s="108" t="n"/>
      <c r="AQ485" s="108">
        <f>(BC485-Driver!$K$188)/(Driver!$L$188-Driver!$K$188)</f>
        <v/>
      </c>
      <c r="AR485" s="108">
        <f>MIN((BD485-Driver!$K$189)/(Driver!$L$189-Driver!$K$189),100%)</f>
        <v/>
      </c>
      <c r="AS485" s="108">
        <f>(BE485-Driver!$K$190)/(Driver!$L$190-Driver!$K$190)</f>
        <v/>
      </c>
      <c r="AT485" s="108">
        <f>(BF485-Driver!$K$191)/(Driver!$L$191-Driver!$K$191)</f>
        <v/>
      </c>
      <c r="AU485" s="108">
        <f>(BG485-Driver!$K$192)/(Driver!$L$192-Driver!$K$192)</f>
        <v/>
      </c>
      <c r="AV485" s="105">
        <f>IFERROR(BM485*BJ485^1/4,"")</f>
        <v/>
      </c>
      <c r="AW485" s="105">
        <f>IFERROR(SUM(AX485:AZ485),"")</f>
        <v/>
      </c>
      <c r="AX485" s="105">
        <f>IFERROR(BH485,"")</f>
        <v/>
      </c>
      <c r="AY485" s="105">
        <f>IFERROR(Driver!$K$19/Data!BH485/Data!BI485*Data!BK485*Data!BL485,"")</f>
        <v/>
      </c>
      <c r="AZ485" s="105">
        <f>IFERROR(BI485*BN485,"")</f>
        <v/>
      </c>
      <c r="BA485" s="105" t="n"/>
      <c r="BB485" s="105" t="n"/>
      <c r="BC485" s="105">
        <f>IFERROR(BI485*BN485*BK485/BJ485^(1/2),"")</f>
        <v/>
      </c>
      <c r="BD485" s="105">
        <f>IFERROR(BH485*BM485*BL485/BJ485/BK485,"")</f>
        <v/>
      </c>
      <c r="BE485" s="105">
        <f>IFERROR(MIN(BI485/BQ485/BP485/BO485/BH485,$BE$1),"")</f>
        <v/>
      </c>
      <c r="BF485" s="105">
        <f>IFERROR(BJ485*BO485*BP485/BK485,"")</f>
        <v/>
      </c>
      <c r="BG485" s="105">
        <f>IFERROR(1/BM485/BH485*BQ485,"")</f>
        <v/>
      </c>
      <c r="BH485" s="102">
        <f>MAX((CE485-Driver!$F$200)/(Driver!$G$200-Driver!$F$200)*$BI$1,1)</f>
        <v/>
      </c>
      <c r="BI485" s="102">
        <f>MAX($BI$1*(BY485-Driver!$F$201)/(Driver!$G$201-Driver!$F$201),1)</f>
        <v/>
      </c>
      <c r="BJ485" s="102">
        <f>(CB485-Driver!$F$206)/(Driver!$G$206-Driver!$F$206)*$BI$1</f>
        <v/>
      </c>
      <c r="BK485" s="102">
        <f>(CD485-Driver!$F$203)/(Driver!$G$203-Driver!$F$203)*$BI$1</f>
        <v/>
      </c>
      <c r="BL485" s="102">
        <f>MAX((CR485-Driver!$F$202)/(Driver!$G$202-Driver!$F$202)*$BI$1,1)</f>
        <v/>
      </c>
      <c r="BM485" s="102">
        <f>MAX((CH485-Driver!$F$204)/(Driver!$G$204-Driver!$F$204)*$BI$1,1)</f>
        <v/>
      </c>
      <c r="BN485" s="102">
        <f>(CI485-Driver!$F$205)/(Driver!$G$205-Driver!$F$205)*$BI$1</f>
        <v/>
      </c>
      <c r="BO485" s="102">
        <f>(CK485-Driver!$F$207)/(Driver!$G$207-Driver!$F$207)*$BI$1</f>
        <v/>
      </c>
      <c r="BP485" s="102">
        <f>(CM485-Driver!$F$208)/(Driver!$G$208-Driver!$F$208)*$BI$1</f>
        <v/>
      </c>
      <c r="BQ485" s="102">
        <f>(CL485-Driver!$F$209)/(Driver!$G$209-Driver!$F$209)*$BI$1</f>
        <v/>
      </c>
      <c r="BR485" s="40" t="inlineStr">
        <is>
          <t>21/22</t>
        </is>
      </c>
      <c r="BS485" s="10" t="inlineStr">
        <is>
          <t xml:space="preserve"> Blizzard</t>
        </is>
      </c>
      <c r="BT485" s="11" t="inlineStr">
        <is>
          <t>Brahma 88</t>
        </is>
      </c>
      <c r="BU485" s="13" t="n">
        <v>165</v>
      </c>
      <c r="BV485" s="11" t="inlineStr">
        <is>
          <t xml:space="preserve"> Unisex</t>
        </is>
      </c>
      <c r="BW485" s="13" t="n">
        <v>165</v>
      </c>
      <c r="BX485" s="13" t="n">
        <v>163.5</v>
      </c>
      <c r="BY485" s="13" t="n">
        <v>133</v>
      </c>
      <c r="BZ485" s="13" t="n">
        <v>141</v>
      </c>
      <c r="CA485" s="13" t="n">
        <v>128</v>
      </c>
      <c r="CB485" s="13" t="n">
        <v>86</v>
      </c>
      <c r="CC485" s="13" t="n">
        <v>109</v>
      </c>
      <c r="CD485" s="13" t="n">
        <v>14.6</v>
      </c>
      <c r="CE485" s="13" t="n">
        <v>1894</v>
      </c>
      <c r="CF485" s="13" t="n">
        <v>0.85</v>
      </c>
      <c r="CG485" s="13" t="n">
        <v>1618</v>
      </c>
      <c r="CH485" s="13" t="n">
        <v>178</v>
      </c>
      <c r="CI485" s="13" t="n">
        <v>89</v>
      </c>
      <c r="CJ485" s="13" t="n">
        <v>59</v>
      </c>
      <c r="CK485" s="13" t="n">
        <v>202</v>
      </c>
      <c r="CL485" s="13" t="n">
        <v>7</v>
      </c>
      <c r="CM485" s="13" t="n">
        <v>101</v>
      </c>
      <c r="CN485" s="13" t="n">
        <v>0.113</v>
      </c>
      <c r="CO485" s="13" t="n">
        <v>122</v>
      </c>
      <c r="CP485" s="13" t="n">
        <v>103</v>
      </c>
      <c r="CQ485" s="13" t="n">
        <v>80</v>
      </c>
      <c r="CR485" s="13" t="n">
        <v>8</v>
      </c>
      <c r="CS485" s="13" t="n">
        <v>11</v>
      </c>
      <c r="CT485" s="11" t="inlineStr">
        <is>
          <t xml:space="preserve"> Resort Freeride</t>
        </is>
      </c>
      <c r="CU485" s="13" t="n"/>
      <c r="CV485" s="13" t="n"/>
      <c r="CW485" s="13" t="n"/>
      <c r="CX485">
        <f>INDEX('Data_Price '!AG$2:AG$1266,MATCH(Data!$DN485,'Data_Price '!$AT$2:$AT$1266,0))</f>
        <v/>
      </c>
      <c r="CY485">
        <f>INDEX('Data_Price '!AH$2:AH$1266,MATCH(Data!$DN485,'Data_Price '!$AT$2:$AT$1266,0))</f>
        <v/>
      </c>
      <c r="CZ485">
        <f>INDEX('Data_Price '!AI$2:AI$1266,MATCH(Data!$DN485,'Data_Price '!$AT$2:$AT$1266,0))</f>
        <v/>
      </c>
      <c r="DA485">
        <f>INDEX('Data_Price '!AJ$2:AJ$1266,MATCH(Data!$DN485,'Data_Price '!$AT$2:$AT$1266,0))</f>
        <v/>
      </c>
      <c r="DB485">
        <f>INDEX('Data_Price '!AK$2:AK$1266,MATCH(Data!$DN485,'Data_Price '!$AT$2:$AT$1266,0))</f>
        <v/>
      </c>
      <c r="DC485">
        <f>INDEX('Data_Price '!AL$2:AL$1266,MATCH(Data!$DN485,'Data_Price '!$AT$2:$AT$1266,0))</f>
        <v/>
      </c>
      <c r="DD485">
        <f>INDEX('Data_Price '!AM$2:AM$1266,MATCH(Data!$DN485,'Data_Price '!$AT$2:$AT$1266,0))</f>
        <v/>
      </c>
      <c r="DE485">
        <f>INDEX('Data_Price '!AN$2:AN$1266,MATCH(Data!$DN485,'Data_Price '!$AT$2:$AT$1266,0))</f>
        <v/>
      </c>
      <c r="DF485">
        <f>INDEX('Data_Price '!AO$2:AO$1266,MATCH(Data!$DN485,'Data_Price '!$AT$2:$AT$1266,0))</f>
        <v/>
      </c>
      <c r="DG485">
        <f>INDEX('Data_Price '!AP$2:AP$1266,MATCH(Data!$DN485,'Data_Price '!$AT$2:$AT$1266,0))</f>
        <v/>
      </c>
      <c r="DH485">
        <f>INDEX('Data_Price '!AQ$2:AQ$1266,MATCH(Data!$DN485,'Data_Price '!$AT$2:$AT$1266,0))</f>
        <v/>
      </c>
      <c r="DI485">
        <f>INDEX('Data_Price '!AR$2:AR$1266,MATCH(Data!$DN485,'Data_Price '!$AT$2:$AT$1266,0))</f>
        <v/>
      </c>
      <c r="DJ485" s="138">
        <f>DA485</f>
        <v/>
      </c>
      <c r="DK485" s="138">
        <f>DE485</f>
        <v/>
      </c>
      <c r="DL485" s="138">
        <f>DI485</f>
        <v/>
      </c>
      <c r="DM485" s="303">
        <f>IF(LEFT(BT485,1)=" ",RIGHT(BT485,LEN(BT485)-1),BT485)</f>
        <v/>
      </c>
      <c r="DN485" s="138">
        <f>_xlfn.CONCAT(BS485,DM485,BU485,BV485)</f>
        <v/>
      </c>
      <c r="DO485" s="307" t="n"/>
    </row>
    <row r="486" ht="15.6" customHeight="1" s="184">
      <c r="B486" s="303">
        <f t="array" ref="B486">IF(OR(ISERROR(K486:P486)),FALSE,TRUE)</f>
        <v/>
      </c>
      <c r="C486" s="60">
        <f>OR(BR486=Driver!$G$50,Data!BR694=Driver!$H$50)</f>
        <v/>
      </c>
      <c r="D486" s="60">
        <f>OR(BV486=Driver!$G$51,BV486=Driver!$H$51)</f>
        <v/>
      </c>
      <c r="E486" s="60">
        <f>AND(BX486&gt;Driver!$F$54,BX486&lt;Driver!$G$54)</f>
        <v/>
      </c>
      <c r="F486" s="60">
        <f>CL486&gt;Driver!$F$56</f>
        <v/>
      </c>
      <c r="G486" s="60">
        <f>AND(CB486&gt;Driver!$F$55,CB486&lt;Driver!$G$55)</f>
        <v/>
      </c>
      <c r="H486" s="60">
        <f>AND(B486:G486)</f>
        <v/>
      </c>
      <c r="I486" s="60">
        <f>COUNTIFS($H$9:$H$1273,TRUE,$BT$9:$BT$1273,BT486)</f>
        <v/>
      </c>
      <c r="J486" s="60">
        <f t="array" ref="J486">NOT(OR(($H$9:$H$1273=TRUE)*($I$9:$I$1273&gt;0)*($BT$9:$BT$1273=BT486)*($K$9:$K$1273&gt;K486)))</f>
        <v/>
      </c>
      <c r="K486" s="108">
        <f>IFERROR(1-AVERAGE(X486:Y486),"")</f>
        <v/>
      </c>
      <c r="L486" s="108">
        <f>1-X486</f>
        <v/>
      </c>
      <c r="M486" s="108">
        <f>1-Y486</f>
        <v/>
      </c>
      <c r="N486" s="108">
        <f>1-Z486</f>
        <v/>
      </c>
      <c r="O486" s="108">
        <f>1-AA486</f>
        <v/>
      </c>
      <c r="P486" s="108">
        <f>1-AB486</f>
        <v/>
      </c>
      <c r="Q486" s="108" t="n"/>
      <c r="R486" s="108" t="n"/>
      <c r="S486" s="108">
        <f>1-AE486</f>
        <v/>
      </c>
      <c r="T486" s="108">
        <f>1-AF486</f>
        <v/>
      </c>
      <c r="U486" s="108">
        <f>1-AG486</f>
        <v/>
      </c>
      <c r="V486" s="108">
        <f>1-AH486</f>
        <v/>
      </c>
      <c r="W486" s="108">
        <f>1-AI486</f>
        <v/>
      </c>
      <c r="X486" s="108">
        <f>ABS(AJ486-AJ$1)</f>
        <v/>
      </c>
      <c r="Y486" s="108">
        <f>AVERAGE(Z486:AB486)</f>
        <v/>
      </c>
      <c r="Z486" s="108">
        <f>ABS(AL486-AL$1)</f>
        <v/>
      </c>
      <c r="AA486" s="108">
        <f>ABS(AM486-AM$1)</f>
        <v/>
      </c>
      <c r="AB486" s="108">
        <f>ABS(AN486-AN$1)</f>
        <v/>
      </c>
      <c r="AC486" s="108" t="n"/>
      <c r="AD486" s="108" t="n"/>
      <c r="AE486" s="108">
        <f>ABS(AQ$1-AQ486)</f>
        <v/>
      </c>
      <c r="AF486" s="108">
        <f>ABS(AR$1-AR486)</f>
        <v/>
      </c>
      <c r="AG486" s="108">
        <f>ABS(AS$1-AS486)</f>
        <v/>
      </c>
      <c r="AH486" s="108">
        <f>ABS(AT$1-AT486)</f>
        <v/>
      </c>
      <c r="AI486" s="108">
        <f>ABS(AU$1-AU486)</f>
        <v/>
      </c>
      <c r="AJ486" s="108">
        <f>(AV486-Driver!$K$179)/(Driver!$L$179-Driver!$K$179)</f>
        <v/>
      </c>
      <c r="AK486" s="108">
        <f>(AW486-Driver!$K$180)/(Driver!$L$180-Driver!$K$180)</f>
        <v/>
      </c>
      <c r="AL486" s="108">
        <f>(AX486-Driver!$K$181)/(Driver!$L$181-Driver!$K$181)</f>
        <v/>
      </c>
      <c r="AM486" s="108">
        <f>(AY486-Driver!$K$182)/(Driver!$L$182-Driver!$K$182)</f>
        <v/>
      </c>
      <c r="AN486" s="108">
        <f>(AZ486-Driver!$K$183)/(Driver!$L$183-Driver!$K$183)</f>
        <v/>
      </c>
      <c r="AO486" s="108" t="n"/>
      <c r="AP486" s="108" t="n"/>
      <c r="AQ486" s="108">
        <f>(BC486-Driver!$K$188)/(Driver!$L$188-Driver!$K$188)</f>
        <v/>
      </c>
      <c r="AR486" s="108">
        <f>MIN((BD486-Driver!$K$189)/(Driver!$L$189-Driver!$K$189),100%)</f>
        <v/>
      </c>
      <c r="AS486" s="108">
        <f>(BE486-Driver!$K$190)/(Driver!$L$190-Driver!$K$190)</f>
        <v/>
      </c>
      <c r="AT486" s="108">
        <f>(BF486-Driver!$K$191)/(Driver!$L$191-Driver!$K$191)</f>
        <v/>
      </c>
      <c r="AU486" s="108">
        <f>(BG486-Driver!$K$192)/(Driver!$L$192-Driver!$K$192)</f>
        <v/>
      </c>
      <c r="AV486" s="105">
        <f>IFERROR(BM486*BJ486^1/4,"")</f>
        <v/>
      </c>
      <c r="AW486" s="105">
        <f>IFERROR(SUM(AX486:AZ486),"")</f>
        <v/>
      </c>
      <c r="AX486" s="105">
        <f>IFERROR(BH486,"")</f>
        <v/>
      </c>
      <c r="AY486" s="105">
        <f>IFERROR(Driver!$K$19/Data!BH486/Data!BI486*Data!BK486*Data!BL486,"")</f>
        <v/>
      </c>
      <c r="AZ486" s="105">
        <f>IFERROR(BI486*BN486,"")</f>
        <v/>
      </c>
      <c r="BA486" s="105" t="n"/>
      <c r="BB486" s="105" t="n"/>
      <c r="BC486" s="105">
        <f>IFERROR(BI486*BN486*BK486/BJ486^(1/2),"")</f>
        <v/>
      </c>
      <c r="BD486" s="105">
        <f>IFERROR(BH486*BM486*BL486/BJ486/BK486,"")</f>
        <v/>
      </c>
      <c r="BE486" s="105">
        <f>IFERROR(MIN(BI486/BQ486/BP486/BO486/BH486,$BE$1),"")</f>
        <v/>
      </c>
      <c r="BF486" s="105">
        <f>IFERROR(BJ486*BO486*BP486/BK486,"")</f>
        <v/>
      </c>
      <c r="BG486" s="105">
        <f>IFERROR(1/BM486/BH486*BQ486,"")</f>
        <v/>
      </c>
      <c r="BH486" s="102">
        <f>MAX((CE486-Driver!$F$200)/(Driver!$G$200-Driver!$F$200)*$BI$1,1)</f>
        <v/>
      </c>
      <c r="BI486" s="102">
        <f>MAX($BI$1*(BY486-Driver!$F$201)/(Driver!$G$201-Driver!$F$201),1)</f>
        <v/>
      </c>
      <c r="BJ486" s="102">
        <f>(CB486-Driver!$F$206)/(Driver!$G$206-Driver!$F$206)*$BI$1</f>
        <v/>
      </c>
      <c r="BK486" s="102">
        <f>(CD486-Driver!$F$203)/(Driver!$G$203-Driver!$F$203)*$BI$1</f>
        <v/>
      </c>
      <c r="BL486" s="102">
        <f>MAX((CR486-Driver!$F$202)/(Driver!$G$202-Driver!$F$202)*$BI$1,1)</f>
        <v/>
      </c>
      <c r="BM486" s="102">
        <f>MAX((CH486-Driver!$F$204)/(Driver!$G$204-Driver!$F$204)*$BI$1,1)</f>
        <v/>
      </c>
      <c r="BN486" s="102">
        <f>(CI486-Driver!$F$205)/(Driver!$G$205-Driver!$F$205)*$BI$1</f>
        <v/>
      </c>
      <c r="BO486" s="102">
        <f>(CK486-Driver!$F$207)/(Driver!$G$207-Driver!$F$207)*$BI$1</f>
        <v/>
      </c>
      <c r="BP486" s="102">
        <f>(CM486-Driver!$F$208)/(Driver!$G$208-Driver!$F$208)*$BI$1</f>
        <v/>
      </c>
      <c r="BQ486" s="102">
        <f>(CL486-Driver!$F$209)/(Driver!$G$209-Driver!$F$209)*$BI$1</f>
        <v/>
      </c>
      <c r="BR486" s="40" t="inlineStr">
        <is>
          <t>21/22</t>
        </is>
      </c>
      <c r="BS486" s="10" t="inlineStr">
        <is>
          <t xml:space="preserve"> J Skis</t>
        </is>
      </c>
      <c r="BT486" s="11" t="inlineStr">
        <is>
          <t xml:space="preserve"> The Allplay</t>
        </is>
      </c>
      <c r="BU486" s="13" t="n">
        <v>184</v>
      </c>
      <c r="BV486" s="11" t="inlineStr">
        <is>
          <t xml:space="preserve"> Unisex</t>
        </is>
      </c>
      <c r="BW486" s="13" t="n">
        <v>184</v>
      </c>
      <c r="BX486" s="13" t="n">
        <v>181.8</v>
      </c>
      <c r="BY486" s="13" t="n">
        <v>134</v>
      </c>
      <c r="BZ486" s="13" t="n">
        <v>147</v>
      </c>
      <c r="CA486" s="13" t="n">
        <v>119</v>
      </c>
      <c r="CB486" s="13" t="n">
        <v>97</v>
      </c>
      <c r="CC486" s="13" t="n">
        <v>117</v>
      </c>
      <c r="CD486" s="13" t="n">
        <v>22.9</v>
      </c>
      <c r="CE486" s="13" t="n">
        <v>2079</v>
      </c>
      <c r="CF486" s="13" t="n">
        <v>0.92</v>
      </c>
      <c r="CG486" s="13" t="n">
        <v>1918</v>
      </c>
      <c r="CH486" s="13" t="n">
        <v>232</v>
      </c>
      <c r="CI486" s="13" t="n">
        <v>80</v>
      </c>
      <c r="CJ486" s="13" t="n">
        <v>46</v>
      </c>
      <c r="CK486" s="13" t="n">
        <v>240</v>
      </c>
      <c r="CL486" s="13" t="n">
        <v>44</v>
      </c>
      <c r="CM486" s="13" t="n">
        <v>240</v>
      </c>
      <c r="CN486" s="13" t="n">
        <v>0.976</v>
      </c>
      <c r="CO486" s="13" t="n">
        <v>188</v>
      </c>
      <c r="CP486" s="13" t="n">
        <v>165</v>
      </c>
      <c r="CQ486" s="13" t="n">
        <v>52</v>
      </c>
      <c r="CR486" s="13" t="n">
        <v>6</v>
      </c>
      <c r="CS486" s="13" t="n">
        <v>3.3</v>
      </c>
      <c r="CT486" s="11" t="inlineStr">
        <is>
          <t xml:space="preserve"> Freeski</t>
        </is>
      </c>
      <c r="CU486" s="13" t="n"/>
      <c r="CV486" s="13" t="n"/>
      <c r="CW486" s="13" t="n"/>
      <c r="CX486">
        <f>INDEX('Data_Price '!AG$2:AG$1266,MATCH(Data!$DN486,'Data_Price '!$AT$2:$AT$1266,0))</f>
        <v/>
      </c>
      <c r="CY486">
        <f>INDEX('Data_Price '!AH$2:AH$1266,MATCH(Data!$DN486,'Data_Price '!$AT$2:$AT$1266,0))</f>
        <v/>
      </c>
      <c r="CZ486">
        <f>INDEX('Data_Price '!AI$2:AI$1266,MATCH(Data!$DN486,'Data_Price '!$AT$2:$AT$1266,0))</f>
        <v/>
      </c>
      <c r="DA486">
        <f>INDEX('Data_Price '!AJ$2:AJ$1266,MATCH(Data!$DN486,'Data_Price '!$AT$2:$AT$1266,0))</f>
        <v/>
      </c>
      <c r="DB486">
        <f>INDEX('Data_Price '!AK$2:AK$1266,MATCH(Data!$DN486,'Data_Price '!$AT$2:$AT$1266,0))</f>
        <v/>
      </c>
      <c r="DC486">
        <f>INDEX('Data_Price '!AL$2:AL$1266,MATCH(Data!$DN486,'Data_Price '!$AT$2:$AT$1266,0))</f>
        <v/>
      </c>
      <c r="DD486">
        <f>INDEX('Data_Price '!AM$2:AM$1266,MATCH(Data!$DN486,'Data_Price '!$AT$2:$AT$1266,0))</f>
        <v/>
      </c>
      <c r="DE486">
        <f>INDEX('Data_Price '!AN$2:AN$1266,MATCH(Data!$DN486,'Data_Price '!$AT$2:$AT$1266,0))</f>
        <v/>
      </c>
      <c r="DF486">
        <f>INDEX('Data_Price '!AO$2:AO$1266,MATCH(Data!$DN486,'Data_Price '!$AT$2:$AT$1266,0))</f>
        <v/>
      </c>
      <c r="DG486">
        <f>INDEX('Data_Price '!AP$2:AP$1266,MATCH(Data!$DN486,'Data_Price '!$AT$2:$AT$1266,0))</f>
        <v/>
      </c>
      <c r="DH486">
        <f>INDEX('Data_Price '!AQ$2:AQ$1266,MATCH(Data!$DN486,'Data_Price '!$AT$2:$AT$1266,0))</f>
        <v/>
      </c>
      <c r="DI486">
        <f>INDEX('Data_Price '!AR$2:AR$1266,MATCH(Data!$DN486,'Data_Price '!$AT$2:$AT$1266,0))</f>
        <v/>
      </c>
      <c r="DJ486" s="138">
        <f>DA486</f>
        <v/>
      </c>
      <c r="DK486" s="138">
        <f>DE486</f>
        <v/>
      </c>
      <c r="DL486" s="138">
        <f>DI486</f>
        <v/>
      </c>
      <c r="DM486" s="303">
        <f>IF(LEFT(BT486,1)=" ",RIGHT(BT486,LEN(BT486)-1),BT486)</f>
        <v/>
      </c>
      <c r="DN486" s="138">
        <f>_xlfn.CONCAT(BS486,DM486,BU486,BV486)</f>
        <v/>
      </c>
      <c r="DO486" s="307" t="n"/>
    </row>
    <row r="487" ht="15.6" customHeight="1" s="184">
      <c r="B487" s="303">
        <f t="array" ref="B487">IF(OR(ISERROR(K487:P487)),FALSE,TRUE)</f>
        <v/>
      </c>
      <c r="C487" s="60">
        <f>OR(BR487=Driver!$G$50,Data!BR928=Driver!$H$50)</f>
        <v/>
      </c>
      <c r="D487" s="60">
        <f>OR(BV487=Driver!$G$51,BV487=Driver!$H$51)</f>
        <v/>
      </c>
      <c r="E487" s="60">
        <f>AND(BX487&gt;Driver!$F$54,BX487&lt;Driver!$G$54)</f>
        <v/>
      </c>
      <c r="F487" s="60">
        <f>CL487&gt;Driver!$F$56</f>
        <v/>
      </c>
      <c r="G487" s="60">
        <f>AND(CB487&gt;Driver!$F$55,CB487&lt;Driver!$G$55)</f>
        <v/>
      </c>
      <c r="H487" s="60">
        <f>AND(B487:G487)</f>
        <v/>
      </c>
      <c r="I487" s="60">
        <f>COUNTIFS($H$9:$H$1273,TRUE,$BT$9:$BT$1273,BT487)</f>
        <v/>
      </c>
      <c r="J487" s="60">
        <f t="array" ref="J487">NOT(OR(($H$9:$H$1273=TRUE)*($I$9:$I$1273&gt;0)*($BT$9:$BT$1273=BT487)*($K$9:$K$1273&gt;K487)))</f>
        <v/>
      </c>
      <c r="K487" s="108">
        <f>IFERROR(1-AVERAGE(X487:Y487),"")</f>
        <v/>
      </c>
      <c r="L487" s="108">
        <f>1-X487</f>
        <v/>
      </c>
      <c r="M487" s="108">
        <f>1-Y487</f>
        <v/>
      </c>
      <c r="N487" s="108">
        <f>1-Z487</f>
        <v/>
      </c>
      <c r="O487" s="108">
        <f>1-AA487</f>
        <v/>
      </c>
      <c r="P487" s="108">
        <f>1-AB487</f>
        <v/>
      </c>
      <c r="Q487" s="108" t="n"/>
      <c r="R487" s="108" t="n"/>
      <c r="S487" s="108">
        <f>1-AE487</f>
        <v/>
      </c>
      <c r="T487" s="108">
        <f>1-AF487</f>
        <v/>
      </c>
      <c r="U487" s="108">
        <f>1-AG487</f>
        <v/>
      </c>
      <c r="V487" s="108">
        <f>1-AH487</f>
        <v/>
      </c>
      <c r="W487" s="108">
        <f>1-AI487</f>
        <v/>
      </c>
      <c r="X487" s="108">
        <f>ABS(AJ487-AJ$1)</f>
        <v/>
      </c>
      <c r="Y487" s="108">
        <f>AVERAGE(Z487:AB487)</f>
        <v/>
      </c>
      <c r="Z487" s="108">
        <f>ABS(AL487-AL$1)</f>
        <v/>
      </c>
      <c r="AA487" s="108">
        <f>ABS(AM487-AM$1)</f>
        <v/>
      </c>
      <c r="AB487" s="108">
        <f>ABS(AN487-AN$1)</f>
        <v/>
      </c>
      <c r="AC487" s="108" t="n"/>
      <c r="AD487" s="108" t="n"/>
      <c r="AE487" s="108">
        <f>ABS(AQ$1-AQ487)</f>
        <v/>
      </c>
      <c r="AF487" s="108">
        <f>ABS(AR$1-AR487)</f>
        <v/>
      </c>
      <c r="AG487" s="108">
        <f>ABS(AS$1-AS487)</f>
        <v/>
      </c>
      <c r="AH487" s="108">
        <f>ABS(AT$1-AT487)</f>
        <v/>
      </c>
      <c r="AI487" s="108">
        <f>ABS(AU$1-AU487)</f>
        <v/>
      </c>
      <c r="AJ487" s="108">
        <f>(AV487-Driver!$K$179)/(Driver!$L$179-Driver!$K$179)</f>
        <v/>
      </c>
      <c r="AK487" s="108">
        <f>(AW487-Driver!$K$180)/(Driver!$L$180-Driver!$K$180)</f>
        <v/>
      </c>
      <c r="AL487" s="108">
        <f>(AX487-Driver!$K$181)/(Driver!$L$181-Driver!$K$181)</f>
        <v/>
      </c>
      <c r="AM487" s="108">
        <f>(AY487-Driver!$K$182)/(Driver!$L$182-Driver!$K$182)</f>
        <v/>
      </c>
      <c r="AN487" s="108">
        <f>(AZ487-Driver!$K$183)/(Driver!$L$183-Driver!$K$183)</f>
        <v/>
      </c>
      <c r="AO487" s="108" t="n"/>
      <c r="AP487" s="108" t="n"/>
      <c r="AQ487" s="108">
        <f>(BC487-Driver!$K$188)/(Driver!$L$188-Driver!$K$188)</f>
        <v/>
      </c>
      <c r="AR487" s="108">
        <f>MIN((BD487-Driver!$K$189)/(Driver!$L$189-Driver!$K$189),100%)</f>
        <v/>
      </c>
      <c r="AS487" s="108">
        <f>(BE487-Driver!$K$190)/(Driver!$L$190-Driver!$K$190)</f>
        <v/>
      </c>
      <c r="AT487" s="108">
        <f>(BF487-Driver!$K$191)/(Driver!$L$191-Driver!$K$191)</f>
        <v/>
      </c>
      <c r="AU487" s="108">
        <f>(BG487-Driver!$K$192)/(Driver!$L$192-Driver!$K$192)</f>
        <v/>
      </c>
      <c r="AV487" s="105">
        <f>IFERROR(BM487*BJ487^1/4,"")</f>
        <v/>
      </c>
      <c r="AW487" s="105">
        <f>IFERROR(SUM(AX487:AZ487),"")</f>
        <v/>
      </c>
      <c r="AX487" s="105">
        <f>IFERROR(BH487,"")</f>
        <v/>
      </c>
      <c r="AY487" s="105">
        <f>IFERROR(Driver!$K$19/Data!BH487/Data!BI487*Data!BK487*Data!BL487,"")</f>
        <v/>
      </c>
      <c r="AZ487" s="105">
        <f>IFERROR(BI487*BN487,"")</f>
        <v/>
      </c>
      <c r="BA487" s="105" t="n"/>
      <c r="BB487" s="105" t="n"/>
      <c r="BC487" s="105">
        <f>IFERROR(BI487*BN487*BK487/BJ487^(1/2),"")</f>
        <v/>
      </c>
      <c r="BD487" s="105">
        <f>IFERROR(BH487*BM487*BL487/BJ487/BK487,"")</f>
        <v/>
      </c>
      <c r="BE487" s="105">
        <f>IFERROR(MIN(BI487/BQ487/BP487/BO487/BH487,$BE$1),"")</f>
        <v/>
      </c>
      <c r="BF487" s="105">
        <f>IFERROR(BJ487*BO487*BP487/BK487,"")</f>
        <v/>
      </c>
      <c r="BG487" s="105">
        <f>IFERROR(1/BM487/BH487*BQ487,"")</f>
        <v/>
      </c>
      <c r="BH487" s="102">
        <f>MAX((CE487-Driver!$F$200)/(Driver!$G$200-Driver!$F$200)*$BI$1,1)</f>
        <v/>
      </c>
      <c r="BI487" s="102">
        <f>MAX($BI$1*(BY487-Driver!$F$201)/(Driver!$G$201-Driver!$F$201),1)</f>
        <v/>
      </c>
      <c r="BJ487" s="102">
        <f>(CB487-Driver!$F$206)/(Driver!$G$206-Driver!$F$206)*$BI$1</f>
        <v/>
      </c>
      <c r="BK487" s="102">
        <f>(CD487-Driver!$F$203)/(Driver!$G$203-Driver!$F$203)*$BI$1</f>
        <v/>
      </c>
      <c r="BL487" s="102">
        <f>MAX((CR487-Driver!$F$202)/(Driver!$G$202-Driver!$F$202)*$BI$1,1)</f>
        <v/>
      </c>
      <c r="BM487" s="102">
        <f>MAX((CH487-Driver!$F$204)/(Driver!$G$204-Driver!$F$204)*$BI$1,1)</f>
        <v/>
      </c>
      <c r="BN487" s="102">
        <f>(CI487-Driver!$F$205)/(Driver!$G$205-Driver!$F$205)*$BI$1</f>
        <v/>
      </c>
      <c r="BO487" s="102">
        <f>(CK487-Driver!$F$207)/(Driver!$G$207-Driver!$F$207)*$BI$1</f>
        <v/>
      </c>
      <c r="BP487" s="102">
        <f>(CM487-Driver!$F$208)/(Driver!$G$208-Driver!$F$208)*$BI$1</f>
        <v/>
      </c>
      <c r="BQ487" s="102">
        <f>(CL487-Driver!$F$209)/(Driver!$G$209-Driver!$F$209)*$BI$1</f>
        <v/>
      </c>
      <c r="BR487" s="40" t="inlineStr">
        <is>
          <t>21/22</t>
        </is>
      </c>
      <c r="BS487" s="10" t="inlineStr">
        <is>
          <t xml:space="preserve"> Nordica</t>
        </is>
      </c>
      <c r="BT487" s="11" t="inlineStr">
        <is>
          <t>Santa Ana 93</t>
        </is>
      </c>
      <c r="BU487" s="13" t="n">
        <v>172</v>
      </c>
      <c r="BV487" s="11" t="inlineStr">
        <is>
          <t xml:space="preserve"> Women's</t>
        </is>
      </c>
      <c r="BW487" s="13" t="n">
        <v>172</v>
      </c>
      <c r="BX487" s="13" t="n">
        <v>171.2</v>
      </c>
      <c r="BY487" s="13" t="n">
        <v>123</v>
      </c>
      <c r="BZ487" s="13" t="n">
        <v>142</v>
      </c>
      <c r="CA487" s="13" t="n">
        <v>127</v>
      </c>
      <c r="CB487" s="13" t="n">
        <v>92</v>
      </c>
      <c r="CC487" s="13" t="n">
        <v>113</v>
      </c>
      <c r="CD487" s="13" t="n">
        <v>15.9</v>
      </c>
      <c r="CE487" s="13" t="n">
        <v>2016</v>
      </c>
      <c r="CF487" s="13" t="n">
        <v>0.88</v>
      </c>
      <c r="CG487" s="13" t="n">
        <v>1775</v>
      </c>
      <c r="CH487" s="13" t="n">
        <v>250</v>
      </c>
      <c r="CI487" s="13" t="n">
        <v>118</v>
      </c>
      <c r="CJ487" s="13" t="n">
        <v>61</v>
      </c>
      <c r="CK487" s="13" t="n">
        <v>287</v>
      </c>
      <c r="CL487" s="13" t="n">
        <v>16</v>
      </c>
      <c r="CM487" s="13" t="n">
        <v>197</v>
      </c>
      <c r="CN487" s="13" t="n">
        <v>0.256</v>
      </c>
      <c r="CO487" s="13" t="n">
        <v>137</v>
      </c>
      <c r="CP487" s="13" t="n">
        <v>155</v>
      </c>
      <c r="CQ487" s="13" t="n">
        <v>150</v>
      </c>
      <c r="CR487" s="13" t="n">
        <v>5</v>
      </c>
      <c r="CS487" s="13" t="n">
        <v>8.5</v>
      </c>
      <c r="CT487" s="11" t="inlineStr">
        <is>
          <t xml:space="preserve"> Resort Freeride</t>
        </is>
      </c>
      <c r="CU487" s="13" t="n"/>
      <c r="CV487" s="13" t="n"/>
      <c r="CW487" s="13" t="n"/>
      <c r="CX487">
        <f>INDEX('Data_Price '!AG$2:AG$1266,MATCH(Data!$DN487,'Data_Price '!$AT$2:$AT$1266,0))</f>
        <v/>
      </c>
      <c r="CY487">
        <f>INDEX('Data_Price '!AH$2:AH$1266,MATCH(Data!$DN487,'Data_Price '!$AT$2:$AT$1266,0))</f>
        <v/>
      </c>
      <c r="CZ487">
        <f>INDEX('Data_Price '!AI$2:AI$1266,MATCH(Data!$DN487,'Data_Price '!$AT$2:$AT$1266,0))</f>
        <v/>
      </c>
      <c r="DA487">
        <f>INDEX('Data_Price '!AJ$2:AJ$1266,MATCH(Data!$DN487,'Data_Price '!$AT$2:$AT$1266,0))</f>
        <v/>
      </c>
      <c r="DB487">
        <f>INDEX('Data_Price '!AK$2:AK$1266,MATCH(Data!$DN487,'Data_Price '!$AT$2:$AT$1266,0))</f>
        <v/>
      </c>
      <c r="DC487">
        <f>INDEX('Data_Price '!AL$2:AL$1266,MATCH(Data!$DN487,'Data_Price '!$AT$2:$AT$1266,0))</f>
        <v/>
      </c>
      <c r="DD487">
        <f>INDEX('Data_Price '!AM$2:AM$1266,MATCH(Data!$DN487,'Data_Price '!$AT$2:$AT$1266,0))</f>
        <v/>
      </c>
      <c r="DE487">
        <f>INDEX('Data_Price '!AN$2:AN$1266,MATCH(Data!$DN487,'Data_Price '!$AT$2:$AT$1266,0))</f>
        <v/>
      </c>
      <c r="DF487">
        <f>INDEX('Data_Price '!AO$2:AO$1266,MATCH(Data!$DN487,'Data_Price '!$AT$2:$AT$1266,0))</f>
        <v/>
      </c>
      <c r="DG487">
        <f>INDEX('Data_Price '!AP$2:AP$1266,MATCH(Data!$DN487,'Data_Price '!$AT$2:$AT$1266,0))</f>
        <v/>
      </c>
      <c r="DH487">
        <f>INDEX('Data_Price '!AQ$2:AQ$1266,MATCH(Data!$DN487,'Data_Price '!$AT$2:$AT$1266,0))</f>
        <v/>
      </c>
      <c r="DI487">
        <f>INDEX('Data_Price '!AR$2:AR$1266,MATCH(Data!$DN487,'Data_Price '!$AT$2:$AT$1266,0))</f>
        <v/>
      </c>
      <c r="DJ487" s="138">
        <f>DA487</f>
        <v/>
      </c>
      <c r="DK487" s="138">
        <f>DE487</f>
        <v/>
      </c>
      <c r="DL487" s="138">
        <f>DI487</f>
        <v/>
      </c>
      <c r="DM487" s="303">
        <f>IF(LEFT(BT487,1)=" ",RIGHT(BT487,LEN(BT487)-1),BT487)</f>
        <v/>
      </c>
      <c r="DN487" s="138">
        <f>_xlfn.CONCAT(BS487,DM487,BU487,BV487)</f>
        <v/>
      </c>
      <c r="DO487" s="307" t="inlineStr">
        <is>
          <t>https://images.evo.com/imgp/250/198265/792325/nordica-santa-ana-93-skis-women-s-2022-.jpg</t>
        </is>
      </c>
    </row>
    <row r="488" ht="15.6" customHeight="1" s="184">
      <c r="B488" s="303">
        <f t="array" ref="B488">IF(OR(ISERROR(K488:P488)),FALSE,TRUE)</f>
        <v/>
      </c>
      <c r="C488" s="60">
        <f>OR(BR488=Driver!$G$50,Data!BR255=Driver!$H$50)</f>
        <v/>
      </c>
      <c r="D488" s="60">
        <f>OR(BV488=Driver!$G$51,BV488=Driver!$H$51)</f>
        <v/>
      </c>
      <c r="E488" s="60">
        <f>AND(BX488&gt;Driver!$F$54,BX488&lt;Driver!$G$54)</f>
        <v/>
      </c>
      <c r="F488" s="60">
        <f>CL488&gt;Driver!$F$56</f>
        <v/>
      </c>
      <c r="G488" s="60">
        <f>AND(CB488&gt;Driver!$F$55,CB488&lt;Driver!$G$55)</f>
        <v/>
      </c>
      <c r="H488" s="60">
        <f>AND(B488:G488)</f>
        <v/>
      </c>
      <c r="I488" s="60">
        <f>COUNTIFS($H$9:$H$1273,TRUE,$BT$9:$BT$1273,BT488)</f>
        <v/>
      </c>
      <c r="J488" s="60">
        <f t="array" ref="J488">NOT(OR(($H$9:$H$1273=TRUE)*($I$9:$I$1273&gt;0)*($BT$9:$BT$1273=BT488)*($K$9:$K$1273&gt;K488)))</f>
        <v/>
      </c>
      <c r="K488" s="108">
        <f>IFERROR(1-AVERAGE(X488:Y488),"")</f>
        <v/>
      </c>
      <c r="L488" s="108">
        <f>1-X488</f>
        <v/>
      </c>
      <c r="M488" s="108">
        <f>1-Y488</f>
        <v/>
      </c>
      <c r="N488" s="108">
        <f>1-Z488</f>
        <v/>
      </c>
      <c r="O488" s="108">
        <f>1-AA488</f>
        <v/>
      </c>
      <c r="P488" s="108">
        <f>1-AB488</f>
        <v/>
      </c>
      <c r="Q488" s="108" t="n"/>
      <c r="R488" s="108" t="n"/>
      <c r="S488" s="108">
        <f>1-AE488</f>
        <v/>
      </c>
      <c r="T488" s="108">
        <f>1-AF488</f>
        <v/>
      </c>
      <c r="U488" s="108">
        <f>1-AG488</f>
        <v/>
      </c>
      <c r="V488" s="108">
        <f>1-AH488</f>
        <v/>
      </c>
      <c r="W488" s="108">
        <f>1-AI488</f>
        <v/>
      </c>
      <c r="X488" s="108">
        <f>ABS(AJ488-AJ$1)</f>
        <v/>
      </c>
      <c r="Y488" s="108">
        <f>AVERAGE(Z488:AB488)</f>
        <v/>
      </c>
      <c r="Z488" s="108">
        <f>ABS(AL488-AL$1)</f>
        <v/>
      </c>
      <c r="AA488" s="108">
        <f>ABS(AM488-AM$1)</f>
        <v/>
      </c>
      <c r="AB488" s="108">
        <f>ABS(AN488-AN$1)</f>
        <v/>
      </c>
      <c r="AC488" s="108" t="n"/>
      <c r="AD488" s="108" t="n"/>
      <c r="AE488" s="108">
        <f>ABS(AQ$1-AQ488)</f>
        <v/>
      </c>
      <c r="AF488" s="108">
        <f>ABS(AR$1-AR488)</f>
        <v/>
      </c>
      <c r="AG488" s="108">
        <f>ABS(AS$1-AS488)</f>
        <v/>
      </c>
      <c r="AH488" s="108">
        <f>ABS(AT$1-AT488)</f>
        <v/>
      </c>
      <c r="AI488" s="108">
        <f>ABS(AU$1-AU488)</f>
        <v/>
      </c>
      <c r="AJ488" s="108">
        <f>(AV488-Driver!$K$179)/(Driver!$L$179-Driver!$K$179)</f>
        <v/>
      </c>
      <c r="AK488" s="108">
        <f>(AW488-Driver!$K$180)/(Driver!$L$180-Driver!$K$180)</f>
        <v/>
      </c>
      <c r="AL488" s="108">
        <f>(AX488-Driver!$K$181)/(Driver!$L$181-Driver!$K$181)</f>
        <v/>
      </c>
      <c r="AM488" s="108">
        <f>(AY488-Driver!$K$182)/(Driver!$L$182-Driver!$K$182)</f>
        <v/>
      </c>
      <c r="AN488" s="108">
        <f>(AZ488-Driver!$K$183)/(Driver!$L$183-Driver!$K$183)</f>
        <v/>
      </c>
      <c r="AO488" s="108" t="n"/>
      <c r="AP488" s="108" t="n"/>
      <c r="AQ488" s="108">
        <f>(BC488-Driver!$K$188)/(Driver!$L$188-Driver!$K$188)</f>
        <v/>
      </c>
      <c r="AR488" s="108">
        <f>MIN((BD488-Driver!$K$189)/(Driver!$L$189-Driver!$K$189),100%)</f>
        <v/>
      </c>
      <c r="AS488" s="108">
        <f>(BE488-Driver!$K$190)/(Driver!$L$190-Driver!$K$190)</f>
        <v/>
      </c>
      <c r="AT488" s="108">
        <f>(BF488-Driver!$K$191)/(Driver!$L$191-Driver!$K$191)</f>
        <v/>
      </c>
      <c r="AU488" s="108">
        <f>(BG488-Driver!$K$192)/(Driver!$L$192-Driver!$K$192)</f>
        <v/>
      </c>
      <c r="AV488" s="105">
        <f>IFERROR(BM488*BJ488^1/4,"")</f>
        <v/>
      </c>
      <c r="AW488" s="105">
        <f>IFERROR(SUM(AX488:AZ488),"")</f>
        <v/>
      </c>
      <c r="AX488" s="105">
        <f>IFERROR(BH488,"")</f>
        <v/>
      </c>
      <c r="AY488" s="105">
        <f>IFERROR(Driver!$K$19/Data!BH488/Data!BI488*Data!BK488*Data!BL488,"")</f>
        <v/>
      </c>
      <c r="AZ488" s="105">
        <f>IFERROR(BI488*BN488,"")</f>
        <v/>
      </c>
      <c r="BA488" s="105" t="n"/>
      <c r="BB488" s="105" t="n"/>
      <c r="BC488" s="105">
        <f>IFERROR(BI488*BN488*BK488/BJ488^(1/2),"")</f>
        <v/>
      </c>
      <c r="BD488" s="105">
        <f>IFERROR(BH488*BM488*BL488/BJ488/BK488,"")</f>
        <v/>
      </c>
      <c r="BE488" s="105">
        <f>IFERROR(MIN(BI488/BQ488/BP488/BO488/BH488,$BE$1),"")</f>
        <v/>
      </c>
      <c r="BF488" s="105">
        <f>IFERROR(BJ488*BO488*BP488/BK488,"")</f>
        <v/>
      </c>
      <c r="BG488" s="105">
        <f>IFERROR(1/BM488/BH488*BQ488,"")</f>
        <v/>
      </c>
      <c r="BH488" s="102">
        <f>MAX((CE488-Driver!$F$200)/(Driver!$G$200-Driver!$F$200)*$BI$1,1)</f>
        <v/>
      </c>
      <c r="BI488" s="102">
        <f>MAX($BI$1*(BY488-Driver!$F$201)/(Driver!$G$201-Driver!$F$201),1)</f>
        <v/>
      </c>
      <c r="BJ488" s="102">
        <f>(CB488-Driver!$F$206)/(Driver!$G$206-Driver!$F$206)*$BI$1</f>
        <v/>
      </c>
      <c r="BK488" s="102">
        <f>(CD488-Driver!$F$203)/(Driver!$G$203-Driver!$F$203)*$BI$1</f>
        <v/>
      </c>
      <c r="BL488" s="102">
        <f>MAX((CR488-Driver!$F$202)/(Driver!$G$202-Driver!$F$202)*$BI$1,1)</f>
        <v/>
      </c>
      <c r="BM488" s="102">
        <f>MAX((CH488-Driver!$F$204)/(Driver!$G$204-Driver!$F$204)*$BI$1,1)</f>
        <v/>
      </c>
      <c r="BN488" s="102">
        <f>(CI488-Driver!$F$205)/(Driver!$G$205-Driver!$F$205)*$BI$1</f>
        <v/>
      </c>
      <c r="BO488" s="102">
        <f>(CK488-Driver!$F$207)/(Driver!$G$207-Driver!$F$207)*$BI$1</f>
        <v/>
      </c>
      <c r="BP488" s="102">
        <f>(CM488-Driver!$F$208)/(Driver!$G$208-Driver!$F$208)*$BI$1</f>
        <v/>
      </c>
      <c r="BQ488" s="102">
        <f>(CL488-Driver!$F$209)/(Driver!$G$209-Driver!$F$209)*$BI$1</f>
        <v/>
      </c>
      <c r="BR488" s="40" t="inlineStr">
        <is>
          <t>21/22</t>
        </is>
      </c>
      <c r="BS488" s="10" t="inlineStr">
        <is>
          <t xml:space="preserve"> Blizzard</t>
        </is>
      </c>
      <c r="BT488" s="11" t="inlineStr">
        <is>
          <t>Black Pearl 82</t>
        </is>
      </c>
      <c r="BU488" s="13" t="n">
        <v>159</v>
      </c>
      <c r="BV488" s="11" t="inlineStr">
        <is>
          <t xml:space="preserve"> Women's</t>
        </is>
      </c>
      <c r="BW488" s="13" t="n">
        <v>159</v>
      </c>
      <c r="BX488" s="13" t="n">
        <v>157</v>
      </c>
      <c r="BY488" s="13" t="n">
        <v>103</v>
      </c>
      <c r="BZ488" s="13" t="n">
        <v>135</v>
      </c>
      <c r="CA488" s="13" t="n">
        <v>120</v>
      </c>
      <c r="CB488" s="13" t="n">
        <v>82</v>
      </c>
      <c r="CC488" s="13" t="n">
        <v>103</v>
      </c>
      <c r="CD488" s="13" t="n">
        <v>14.3</v>
      </c>
      <c r="CE488" s="13" t="n">
        <v>1551</v>
      </c>
      <c r="CF488" s="13" t="n">
        <v>0.95</v>
      </c>
      <c r="CG488" s="13" t="n">
        <v>1472</v>
      </c>
      <c r="CH488" s="13" t="n">
        <v>189</v>
      </c>
      <c r="CI488" s="13" t="n">
        <v>91</v>
      </c>
      <c r="CJ488" s="13" t="n">
        <v>59</v>
      </c>
      <c r="CK488" s="13" t="n">
        <v>301</v>
      </c>
      <c r="CL488" s="13" t="n">
        <v>9</v>
      </c>
      <c r="CM488" s="13" t="n">
        <v>240</v>
      </c>
      <c r="CN488" s="13" t="n">
        <v>0.158</v>
      </c>
      <c r="CO488" s="13" t="n">
        <v>114</v>
      </c>
      <c r="CP488" s="13" t="n">
        <v>102</v>
      </c>
      <c r="CQ488" s="13" t="n">
        <v>187</v>
      </c>
      <c r="CR488" s="13" t="n">
        <v>2</v>
      </c>
      <c r="CS488" s="13" t="n">
        <v>10.5</v>
      </c>
      <c r="CT488" s="11" t="inlineStr">
        <is>
          <t xml:space="preserve"> On-Piste All-Mountain</t>
        </is>
      </c>
      <c r="CU488" s="11" t="inlineStr">
        <is>
          <t xml:space="preserve"> Resort Freeride</t>
        </is>
      </c>
      <c r="CV488" s="13" t="n"/>
      <c r="CW488" s="13" t="n"/>
      <c r="CX488">
        <f>INDEX('Data_Price '!AG$2:AG$1266,MATCH(Data!$DN488,'Data_Price '!$AT$2:$AT$1266,0))</f>
        <v/>
      </c>
      <c r="CY488">
        <f>INDEX('Data_Price '!AH$2:AH$1266,MATCH(Data!$DN488,'Data_Price '!$AT$2:$AT$1266,0))</f>
        <v/>
      </c>
      <c r="CZ488">
        <f>INDEX('Data_Price '!AI$2:AI$1266,MATCH(Data!$DN488,'Data_Price '!$AT$2:$AT$1266,0))</f>
        <v/>
      </c>
      <c r="DA488">
        <f>INDEX('Data_Price '!AJ$2:AJ$1266,MATCH(Data!$DN488,'Data_Price '!$AT$2:$AT$1266,0))</f>
        <v/>
      </c>
      <c r="DB488">
        <f>INDEX('Data_Price '!AK$2:AK$1266,MATCH(Data!$DN488,'Data_Price '!$AT$2:$AT$1266,0))</f>
        <v/>
      </c>
      <c r="DC488">
        <f>INDEX('Data_Price '!AL$2:AL$1266,MATCH(Data!$DN488,'Data_Price '!$AT$2:$AT$1266,0))</f>
        <v/>
      </c>
      <c r="DD488">
        <f>INDEX('Data_Price '!AM$2:AM$1266,MATCH(Data!$DN488,'Data_Price '!$AT$2:$AT$1266,0))</f>
        <v/>
      </c>
      <c r="DE488">
        <f>INDEX('Data_Price '!AN$2:AN$1266,MATCH(Data!$DN488,'Data_Price '!$AT$2:$AT$1266,0))</f>
        <v/>
      </c>
      <c r="DF488">
        <f>INDEX('Data_Price '!AO$2:AO$1266,MATCH(Data!$DN488,'Data_Price '!$AT$2:$AT$1266,0))</f>
        <v/>
      </c>
      <c r="DG488">
        <f>INDEX('Data_Price '!AP$2:AP$1266,MATCH(Data!$DN488,'Data_Price '!$AT$2:$AT$1266,0))</f>
        <v/>
      </c>
      <c r="DH488">
        <f>INDEX('Data_Price '!AQ$2:AQ$1266,MATCH(Data!$DN488,'Data_Price '!$AT$2:$AT$1266,0))</f>
        <v/>
      </c>
      <c r="DI488">
        <f>INDEX('Data_Price '!AR$2:AR$1266,MATCH(Data!$DN488,'Data_Price '!$AT$2:$AT$1266,0))</f>
        <v/>
      </c>
      <c r="DJ488" s="138">
        <f>DA488</f>
        <v/>
      </c>
      <c r="DK488" s="138">
        <f>DE488</f>
        <v/>
      </c>
      <c r="DL488" s="138">
        <f>DI488</f>
        <v/>
      </c>
      <c r="DM488" s="303">
        <f>IF(LEFT(BT488,1)=" ",RIGHT(BT488,LEN(BT488)-1),BT488)</f>
        <v/>
      </c>
      <c r="DN488" s="138">
        <f>_xlfn.CONCAT(BS488,DM488,BU488,BV488)</f>
        <v/>
      </c>
      <c r="DO488" s="307" t="inlineStr">
        <is>
          <t>https://images.evo.com/imgp/250/197473/825189/blizzard-black-pearl-82-skis-women-s-2022-.jpg</t>
        </is>
      </c>
    </row>
    <row r="489" ht="15.6" customHeight="1" s="184">
      <c r="B489" s="303">
        <f t="array" ref="B489">IF(OR(ISERROR(K489:P489)),FALSE,TRUE)</f>
        <v/>
      </c>
      <c r="C489" s="60">
        <f>OR(BR489=Driver!$G$50,Data!BR1259=Driver!$H$50)</f>
        <v/>
      </c>
      <c r="D489" s="60">
        <f>OR(BV489=Driver!$G$51,BV489=Driver!$H$51)</f>
        <v/>
      </c>
      <c r="E489" s="60">
        <f>AND(BX489&gt;Driver!$F$54,BX489&lt;Driver!$G$54)</f>
        <v/>
      </c>
      <c r="F489" s="60">
        <f>CL489&gt;Driver!$F$56</f>
        <v/>
      </c>
      <c r="G489" s="60">
        <f>AND(CB489&gt;Driver!$F$55,CB489&lt;Driver!$G$55)</f>
        <v/>
      </c>
      <c r="H489" s="60">
        <f>AND(B489:G489)</f>
        <v/>
      </c>
      <c r="I489" s="60">
        <f>COUNTIFS($H$9:$H$1273,TRUE,$BT$9:$BT$1273,BT489)</f>
        <v/>
      </c>
      <c r="J489" s="60">
        <f t="array" ref="J489">NOT(OR(($H$9:$H$1273=TRUE)*($I$9:$I$1273&gt;0)*($BT$9:$BT$1273=BT489)*($K$9:$K$1273&gt;K489)))</f>
        <v/>
      </c>
      <c r="K489" s="108">
        <f>IFERROR(1-AVERAGE(X489:Y489),"")</f>
        <v/>
      </c>
      <c r="L489" s="108">
        <f>1-X489</f>
        <v/>
      </c>
      <c r="M489" s="108">
        <f>1-Y489</f>
        <v/>
      </c>
      <c r="N489" s="108">
        <f>1-Z489</f>
        <v/>
      </c>
      <c r="O489" s="108">
        <f>1-AA489</f>
        <v/>
      </c>
      <c r="P489" s="108">
        <f>1-AB489</f>
        <v/>
      </c>
      <c r="Q489" s="108" t="n"/>
      <c r="R489" s="108" t="n"/>
      <c r="S489" s="108">
        <f>1-AE489</f>
        <v/>
      </c>
      <c r="T489" s="108">
        <f>1-AF489</f>
        <v/>
      </c>
      <c r="U489" s="108">
        <f>1-AG489</f>
        <v/>
      </c>
      <c r="V489" s="108">
        <f>1-AH489</f>
        <v/>
      </c>
      <c r="W489" s="108">
        <f>1-AI489</f>
        <v/>
      </c>
      <c r="X489" s="108">
        <f>ABS(AJ489-AJ$1)</f>
        <v/>
      </c>
      <c r="Y489" s="108">
        <f>AVERAGE(Z489:AB489)</f>
        <v/>
      </c>
      <c r="Z489" s="108">
        <f>ABS(AL489-AL$1)</f>
        <v/>
      </c>
      <c r="AA489" s="108">
        <f>ABS(AM489-AM$1)</f>
        <v/>
      </c>
      <c r="AB489" s="108">
        <f>ABS(AN489-AN$1)</f>
        <v/>
      </c>
      <c r="AC489" s="108" t="n"/>
      <c r="AD489" s="108" t="n"/>
      <c r="AE489" s="108">
        <f>ABS(AQ$1-AQ489)</f>
        <v/>
      </c>
      <c r="AF489" s="108">
        <f>ABS(AR$1-AR489)</f>
        <v/>
      </c>
      <c r="AG489" s="108">
        <f>ABS(AS$1-AS489)</f>
        <v/>
      </c>
      <c r="AH489" s="108">
        <f>ABS(AT$1-AT489)</f>
        <v/>
      </c>
      <c r="AI489" s="108">
        <f>ABS(AU$1-AU489)</f>
        <v/>
      </c>
      <c r="AJ489" s="108">
        <f>(AV489-Driver!$K$179)/(Driver!$L$179-Driver!$K$179)</f>
        <v/>
      </c>
      <c r="AK489" s="108">
        <f>(AW489-Driver!$K$180)/(Driver!$L$180-Driver!$K$180)</f>
        <v/>
      </c>
      <c r="AL489" s="108">
        <f>(AX489-Driver!$K$181)/(Driver!$L$181-Driver!$K$181)</f>
        <v/>
      </c>
      <c r="AM489" s="108">
        <f>(AY489-Driver!$K$182)/(Driver!$L$182-Driver!$K$182)</f>
        <v/>
      </c>
      <c r="AN489" s="108">
        <f>(AZ489-Driver!$K$183)/(Driver!$L$183-Driver!$K$183)</f>
        <v/>
      </c>
      <c r="AO489" s="108" t="n"/>
      <c r="AP489" s="108" t="n"/>
      <c r="AQ489" s="108">
        <f>(BC489-Driver!$K$188)/(Driver!$L$188-Driver!$K$188)</f>
        <v/>
      </c>
      <c r="AR489" s="108">
        <f>MIN((BD489-Driver!$K$189)/(Driver!$L$189-Driver!$K$189),100%)</f>
        <v/>
      </c>
      <c r="AS489" s="108">
        <f>(BE489-Driver!$K$190)/(Driver!$L$190-Driver!$K$190)</f>
        <v/>
      </c>
      <c r="AT489" s="108">
        <f>(BF489-Driver!$K$191)/(Driver!$L$191-Driver!$K$191)</f>
        <v/>
      </c>
      <c r="AU489" s="108">
        <f>(BG489-Driver!$K$192)/(Driver!$L$192-Driver!$K$192)</f>
        <v/>
      </c>
      <c r="AV489" s="105">
        <f>IFERROR(BM489*BJ489^1/4,"")</f>
        <v/>
      </c>
      <c r="AW489" s="105">
        <f>IFERROR(SUM(AX489:AZ489),"")</f>
        <v/>
      </c>
      <c r="AX489" s="105">
        <f>IFERROR(BH489,"")</f>
        <v/>
      </c>
      <c r="AY489" s="105">
        <f>IFERROR(Driver!$K$19/Data!BH489/Data!BI489*Data!BK489*Data!BL489,"")</f>
        <v/>
      </c>
      <c r="AZ489" s="105">
        <f>IFERROR(BI489*BN489,"")</f>
        <v/>
      </c>
      <c r="BA489" s="105" t="n"/>
      <c r="BB489" s="105" t="n"/>
      <c r="BC489" s="105">
        <f>IFERROR(BI489*BN489*BK489/BJ489^(1/2),"")</f>
        <v/>
      </c>
      <c r="BD489" s="105">
        <f>IFERROR(BH489*BM489*BL489/BJ489/BK489,"")</f>
        <v/>
      </c>
      <c r="BE489" s="105">
        <f>IFERROR(MIN(BI489/BQ489/BP489/BO489/BH489,$BE$1),"")</f>
        <v/>
      </c>
      <c r="BF489" s="105">
        <f>IFERROR(BJ489*BO489*BP489/BK489,"")</f>
        <v/>
      </c>
      <c r="BG489" s="105">
        <f>IFERROR(1/BM489/BH489*BQ489,"")</f>
        <v/>
      </c>
      <c r="BH489" s="102">
        <f>MAX((CE489-Driver!$F$200)/(Driver!$G$200-Driver!$F$200)*$BI$1,1)</f>
        <v/>
      </c>
      <c r="BI489" s="102">
        <f>MAX($BI$1*(BY489-Driver!$F$201)/(Driver!$G$201-Driver!$F$201),1)</f>
        <v/>
      </c>
      <c r="BJ489" s="102">
        <f>(CB489-Driver!$F$206)/(Driver!$G$206-Driver!$F$206)*$BI$1</f>
        <v/>
      </c>
      <c r="BK489" s="102">
        <f>(CD489-Driver!$F$203)/(Driver!$G$203-Driver!$F$203)*$BI$1</f>
        <v/>
      </c>
      <c r="BL489" s="102">
        <f>MAX((CR489-Driver!$F$202)/(Driver!$G$202-Driver!$F$202)*$BI$1,1)</f>
        <v/>
      </c>
      <c r="BM489" s="102">
        <f>MAX((CH489-Driver!$F$204)/(Driver!$G$204-Driver!$F$204)*$BI$1,1)</f>
        <v/>
      </c>
      <c r="BN489" s="102">
        <f>(CI489-Driver!$F$205)/(Driver!$G$205-Driver!$F$205)*$BI$1</f>
        <v/>
      </c>
      <c r="BO489" s="102">
        <f>(CK489-Driver!$F$207)/(Driver!$G$207-Driver!$F$207)*$BI$1</f>
        <v/>
      </c>
      <c r="BP489" s="102">
        <f>(CM489-Driver!$F$208)/(Driver!$G$208-Driver!$F$208)*$BI$1</f>
        <v/>
      </c>
      <c r="BQ489" s="102">
        <f>(CL489-Driver!$F$209)/(Driver!$G$209-Driver!$F$209)*$BI$1</f>
        <v/>
      </c>
      <c r="BR489" s="40" t="inlineStr">
        <is>
          <t>21/22</t>
        </is>
      </c>
      <c r="BS489" s="10" t="inlineStr">
        <is>
          <t xml:space="preserve"> Völkl</t>
        </is>
      </c>
      <c r="BT489" s="11" t="inlineStr">
        <is>
          <t>Secret 102</t>
        </is>
      </c>
      <c r="BU489" s="13" t="n">
        <v>163</v>
      </c>
      <c r="BV489" s="11" t="inlineStr">
        <is>
          <t xml:space="preserve"> Women's</t>
        </is>
      </c>
      <c r="BW489" s="13" t="n">
        <v>163</v>
      </c>
      <c r="BX489" s="13" t="n">
        <v>163.5</v>
      </c>
      <c r="BY489" s="13" t="n">
        <v>104</v>
      </c>
      <c r="BZ489" s="13" t="n">
        <v>140</v>
      </c>
      <c r="CA489" s="13" t="n">
        <v>139</v>
      </c>
      <c r="CB489" s="13" t="n">
        <v>101</v>
      </c>
      <c r="CC489" s="13" t="n">
        <v>123</v>
      </c>
      <c r="CD489" s="13" t="n">
        <v>15.8</v>
      </c>
      <c r="CE489" s="13" t="n">
        <v>1941</v>
      </c>
      <c r="CF489" s="13" t="n">
        <v>0.95</v>
      </c>
      <c r="CG489" s="13" t="n">
        <v>1848</v>
      </c>
      <c r="CH489" s="13" t="n">
        <v>216</v>
      </c>
      <c r="CI489" s="13" t="n">
        <v>144</v>
      </c>
      <c r="CJ489" s="13" t="n">
        <v>50</v>
      </c>
      <c r="CK489" s="13" t="n">
        <v>342</v>
      </c>
      <c r="CL489" s="13" t="n">
        <v>21</v>
      </c>
      <c r="CM489" s="13" t="n">
        <v>253</v>
      </c>
      <c r="CN489" s="13" t="n">
        <v>0.412</v>
      </c>
      <c r="CO489" s="13" t="n">
        <v>131</v>
      </c>
      <c r="CP489" s="13" t="n">
        <v>101</v>
      </c>
      <c r="CQ489" s="13" t="n">
        <v>211</v>
      </c>
      <c r="CR489" s="13" t="n">
        <v>3</v>
      </c>
      <c r="CS489" s="13" t="n">
        <v>11.4</v>
      </c>
      <c r="CT489" s="11" t="inlineStr">
        <is>
          <t xml:space="preserve"> Resort Freeride</t>
        </is>
      </c>
      <c r="CU489" s="11" t="inlineStr">
        <is>
          <t xml:space="preserve"> Powder</t>
        </is>
      </c>
      <c r="CV489" s="13" t="n"/>
      <c r="CW489" s="13" t="n"/>
      <c r="CX489">
        <f>INDEX('Data_Price '!AG$2:AG$1266,MATCH(Data!$DN489,'Data_Price '!$AT$2:$AT$1266,0))</f>
        <v/>
      </c>
      <c r="CY489">
        <f>INDEX('Data_Price '!AH$2:AH$1266,MATCH(Data!$DN489,'Data_Price '!$AT$2:$AT$1266,0))</f>
        <v/>
      </c>
      <c r="CZ489">
        <f>INDEX('Data_Price '!AI$2:AI$1266,MATCH(Data!$DN489,'Data_Price '!$AT$2:$AT$1266,0))</f>
        <v/>
      </c>
      <c r="DA489">
        <f>INDEX('Data_Price '!AJ$2:AJ$1266,MATCH(Data!$DN489,'Data_Price '!$AT$2:$AT$1266,0))</f>
        <v/>
      </c>
      <c r="DB489">
        <f>INDEX('Data_Price '!AK$2:AK$1266,MATCH(Data!$DN489,'Data_Price '!$AT$2:$AT$1266,0))</f>
        <v/>
      </c>
      <c r="DC489">
        <f>INDEX('Data_Price '!AL$2:AL$1266,MATCH(Data!$DN489,'Data_Price '!$AT$2:$AT$1266,0))</f>
        <v/>
      </c>
      <c r="DD489">
        <f>INDEX('Data_Price '!AM$2:AM$1266,MATCH(Data!$DN489,'Data_Price '!$AT$2:$AT$1266,0))</f>
        <v/>
      </c>
      <c r="DE489">
        <f>INDEX('Data_Price '!AN$2:AN$1266,MATCH(Data!$DN489,'Data_Price '!$AT$2:$AT$1266,0))</f>
        <v/>
      </c>
      <c r="DF489">
        <f>INDEX('Data_Price '!AO$2:AO$1266,MATCH(Data!$DN489,'Data_Price '!$AT$2:$AT$1266,0))</f>
        <v/>
      </c>
      <c r="DG489">
        <f>INDEX('Data_Price '!AP$2:AP$1266,MATCH(Data!$DN489,'Data_Price '!$AT$2:$AT$1266,0))</f>
        <v/>
      </c>
      <c r="DH489">
        <f>INDEX('Data_Price '!AQ$2:AQ$1266,MATCH(Data!$DN489,'Data_Price '!$AT$2:$AT$1266,0))</f>
        <v/>
      </c>
      <c r="DI489">
        <f>INDEX('Data_Price '!AR$2:AR$1266,MATCH(Data!$DN489,'Data_Price '!$AT$2:$AT$1266,0))</f>
        <v/>
      </c>
      <c r="DJ489" s="138">
        <f>DA489</f>
        <v/>
      </c>
      <c r="DK489" s="138">
        <f>DE489</f>
        <v/>
      </c>
      <c r="DL489" s="138">
        <f>DI489</f>
        <v/>
      </c>
      <c r="DM489" s="303">
        <f>IF(LEFT(BT489,1)=" ",RIGHT(BT489,LEN(BT489)-1),BT489)</f>
        <v/>
      </c>
      <c r="DN489" s="138">
        <f>_xlfn.CONCAT(BS489,DM489,BU489,BV489)</f>
        <v/>
      </c>
      <c r="DO489" s="307" t="inlineStr">
        <is>
          <t>https://images.evo.com/imgp/250/183416/726698/volkl-secret-102-skis-women-s-2021-.jpg</t>
        </is>
      </c>
    </row>
    <row r="490" ht="15.6" customHeight="1" s="184">
      <c r="B490" s="303">
        <f t="array" ref="B490">IF(OR(ISERROR(K490:P490)),FALSE,TRUE)</f>
        <v/>
      </c>
      <c r="C490" s="60">
        <f>OR(BR490=Driver!$G$50,Data!BR19=Driver!$H$50)</f>
        <v/>
      </c>
      <c r="D490" s="60">
        <f>OR(BV490=Driver!$G$51,BV490=Driver!$H$51)</f>
        <v/>
      </c>
      <c r="E490" s="60">
        <f>AND(BX490&gt;Driver!$F$54,BX490&lt;Driver!$G$54)</f>
        <v/>
      </c>
      <c r="F490" s="60">
        <f>CL490&gt;Driver!$F$56</f>
        <v/>
      </c>
      <c r="G490" s="60">
        <f>AND(CB490&gt;Driver!$F$55,CB490&lt;Driver!$G$55)</f>
        <v/>
      </c>
      <c r="H490" s="60">
        <f>AND(B490:G490)</f>
        <v/>
      </c>
      <c r="I490" s="60">
        <f>COUNTIFS($H$9:$H$1273,TRUE,$BT$9:$BT$1273,BT490)</f>
        <v/>
      </c>
      <c r="J490" s="60">
        <f t="array" ref="J490">NOT(OR(($H$9:$H$1273=TRUE)*($I$9:$I$1273&gt;0)*($BT$9:$BT$1273=BT490)*($K$9:$K$1273&gt;K490)))</f>
        <v/>
      </c>
      <c r="K490" s="108">
        <f>IFERROR(1-AVERAGE(X490:Y490),"")</f>
        <v/>
      </c>
      <c r="L490" s="108">
        <f>1-X490</f>
        <v/>
      </c>
      <c r="M490" s="108">
        <f>1-Y490</f>
        <v/>
      </c>
      <c r="N490" s="108">
        <f>1-Z490</f>
        <v/>
      </c>
      <c r="O490" s="108">
        <f>1-AA490</f>
        <v/>
      </c>
      <c r="P490" s="108">
        <f>1-AB490</f>
        <v/>
      </c>
      <c r="Q490" s="108" t="n"/>
      <c r="R490" s="108" t="n"/>
      <c r="S490" s="108">
        <f>1-AE490</f>
        <v/>
      </c>
      <c r="T490" s="108">
        <f>1-AF490</f>
        <v/>
      </c>
      <c r="U490" s="108">
        <f>1-AG490</f>
        <v/>
      </c>
      <c r="V490" s="108">
        <f>1-AH490</f>
        <v/>
      </c>
      <c r="W490" s="108">
        <f>1-AI490</f>
        <v/>
      </c>
      <c r="X490" s="108">
        <f>ABS(AJ490-AJ$1)</f>
        <v/>
      </c>
      <c r="Y490" s="108">
        <f>AVERAGE(Z490:AB490)</f>
        <v/>
      </c>
      <c r="Z490" s="108">
        <f>ABS(AL490-AL$1)</f>
        <v/>
      </c>
      <c r="AA490" s="108">
        <f>ABS(AM490-AM$1)</f>
        <v/>
      </c>
      <c r="AB490" s="108">
        <f>ABS(AN490-AN$1)</f>
        <v/>
      </c>
      <c r="AC490" s="108" t="n"/>
      <c r="AD490" s="108" t="n"/>
      <c r="AE490" s="108">
        <f>ABS(AQ$1-AQ490)</f>
        <v/>
      </c>
      <c r="AF490" s="108">
        <f>ABS(AR$1-AR490)</f>
        <v/>
      </c>
      <c r="AG490" s="108">
        <f>ABS(AS$1-AS490)</f>
        <v/>
      </c>
      <c r="AH490" s="108">
        <f>ABS(AT$1-AT490)</f>
        <v/>
      </c>
      <c r="AI490" s="108">
        <f>ABS(AU$1-AU490)</f>
        <v/>
      </c>
      <c r="AJ490" s="108">
        <f>(AV490-Driver!$K$179)/(Driver!$L$179-Driver!$K$179)</f>
        <v/>
      </c>
      <c r="AK490" s="108">
        <f>(AW490-Driver!$K$180)/(Driver!$L$180-Driver!$K$180)</f>
        <v/>
      </c>
      <c r="AL490" s="108">
        <f>(AX490-Driver!$K$181)/(Driver!$L$181-Driver!$K$181)</f>
        <v/>
      </c>
      <c r="AM490" s="108">
        <f>(AY490-Driver!$K$182)/(Driver!$L$182-Driver!$K$182)</f>
        <v/>
      </c>
      <c r="AN490" s="108">
        <f>(AZ490-Driver!$K$183)/(Driver!$L$183-Driver!$K$183)</f>
        <v/>
      </c>
      <c r="AO490" s="108" t="n"/>
      <c r="AP490" s="108" t="n"/>
      <c r="AQ490" s="108">
        <f>(BC490-Driver!$K$188)/(Driver!$L$188-Driver!$K$188)</f>
        <v/>
      </c>
      <c r="AR490" s="108">
        <f>MIN((BD490-Driver!$K$189)/(Driver!$L$189-Driver!$K$189),100%)</f>
        <v/>
      </c>
      <c r="AS490" s="108">
        <f>(BE490-Driver!$K$190)/(Driver!$L$190-Driver!$K$190)</f>
        <v/>
      </c>
      <c r="AT490" s="108">
        <f>(BF490-Driver!$K$191)/(Driver!$L$191-Driver!$K$191)</f>
        <v/>
      </c>
      <c r="AU490" s="108">
        <f>(BG490-Driver!$K$192)/(Driver!$L$192-Driver!$K$192)</f>
        <v/>
      </c>
      <c r="AV490" s="105">
        <f>IFERROR(BM490*BJ490^1/4,"")</f>
        <v/>
      </c>
      <c r="AW490" s="105">
        <f>IFERROR(SUM(AX490:AZ490),"")</f>
        <v/>
      </c>
      <c r="AX490" s="105">
        <f>IFERROR(BH490,"")</f>
        <v/>
      </c>
      <c r="AY490" s="105">
        <f>IFERROR(Driver!$K$19/Data!BH490/Data!BI490*Data!BK490*Data!BL490,"")</f>
        <v/>
      </c>
      <c r="AZ490" s="105">
        <f>IFERROR(BI490*BN490,"")</f>
        <v/>
      </c>
      <c r="BA490" s="105" t="n"/>
      <c r="BB490" s="105" t="n"/>
      <c r="BC490" s="105">
        <f>IFERROR(BI490*BN490*BK490/BJ490^(1/2),"")</f>
        <v/>
      </c>
      <c r="BD490" s="105">
        <f>IFERROR(BH490*BM490*BL490/BJ490/BK490,"")</f>
        <v/>
      </c>
      <c r="BE490" s="105">
        <f>IFERROR(MIN(BI490/BQ490/BP490/BO490/BH490,$BE$1),"")</f>
        <v/>
      </c>
      <c r="BF490" s="105">
        <f>IFERROR(BJ490*BO490*BP490/BK490,"")</f>
        <v/>
      </c>
      <c r="BG490" s="105">
        <f>IFERROR(1/BM490/BH490*BQ490,"")</f>
        <v/>
      </c>
      <c r="BH490" s="102">
        <f>MAX((CE490-Driver!$F$200)/(Driver!$G$200-Driver!$F$200)*$BI$1,1)</f>
        <v/>
      </c>
      <c r="BI490" s="102">
        <f>MAX($BI$1*(BY490-Driver!$F$201)/(Driver!$G$201-Driver!$F$201),1)</f>
        <v/>
      </c>
      <c r="BJ490" s="102">
        <f>(CB490-Driver!$F$206)/(Driver!$G$206-Driver!$F$206)*$BI$1</f>
        <v/>
      </c>
      <c r="BK490" s="102">
        <f>(CD490-Driver!$F$203)/(Driver!$G$203-Driver!$F$203)*$BI$1</f>
        <v/>
      </c>
      <c r="BL490" s="102">
        <f>MAX((CR490-Driver!$F$202)/(Driver!$G$202-Driver!$F$202)*$BI$1,1)</f>
        <v/>
      </c>
      <c r="BM490" s="102">
        <f>MAX((CH490-Driver!$F$204)/(Driver!$G$204-Driver!$F$204)*$BI$1,1)</f>
        <v/>
      </c>
      <c r="BN490" s="102">
        <f>(CI490-Driver!$F$205)/(Driver!$G$205-Driver!$F$205)*$BI$1</f>
        <v/>
      </c>
      <c r="BO490" s="102">
        <f>(CK490-Driver!$F$207)/(Driver!$G$207-Driver!$F$207)*$BI$1</f>
        <v/>
      </c>
      <c r="BP490" s="102">
        <f>(CM490-Driver!$F$208)/(Driver!$G$208-Driver!$F$208)*$BI$1</f>
        <v/>
      </c>
      <c r="BQ490" s="102">
        <f>(CL490-Driver!$F$209)/(Driver!$G$209-Driver!$F$209)*$BI$1</f>
        <v/>
      </c>
      <c r="BR490" s="40" t="inlineStr">
        <is>
          <t>21/22</t>
        </is>
      </c>
      <c r="BS490" s="10" t="inlineStr">
        <is>
          <t xml:space="preserve"> 4FRNT</t>
        </is>
      </c>
      <c r="BT490" s="11" t="inlineStr">
        <is>
          <t>MSP 107</t>
        </is>
      </c>
      <c r="BU490" s="13" t="n">
        <v>181</v>
      </c>
      <c r="BV490" s="11" t="inlineStr">
        <is>
          <t xml:space="preserve"> Unisex</t>
        </is>
      </c>
      <c r="BW490" s="13" t="n">
        <v>181</v>
      </c>
      <c r="BX490" s="13" t="n">
        <v>179.9</v>
      </c>
      <c r="BY490" s="13" t="n">
        <v>126</v>
      </c>
      <c r="BZ490" s="13" t="n">
        <v>149</v>
      </c>
      <c r="CA490" s="13" t="n">
        <v>138</v>
      </c>
      <c r="CB490" s="13" t="n">
        <v>106</v>
      </c>
      <c r="CC490" s="13" t="n">
        <v>128</v>
      </c>
      <c r="CD490" s="13" t="n">
        <v>19.9</v>
      </c>
      <c r="CE490" s="13" t="n">
        <v>2090</v>
      </c>
      <c r="CF490" s="13" t="n">
        <v>1</v>
      </c>
      <c r="CG490" s="13" t="n">
        <v>2091</v>
      </c>
      <c r="CH490" s="13" t="n">
        <v>221</v>
      </c>
      <c r="CI490" s="13" t="n">
        <v>113</v>
      </c>
      <c r="CJ490" s="13" t="n">
        <v>58</v>
      </c>
      <c r="CK490" s="13" t="n">
        <v>316</v>
      </c>
      <c r="CL490" s="13" t="n">
        <v>19</v>
      </c>
      <c r="CM490" s="13" t="n">
        <v>221</v>
      </c>
      <c r="CN490" s="13" t="n">
        <v>0.322</v>
      </c>
      <c r="CO490" s="13" t="n">
        <v>169</v>
      </c>
      <c r="CP490" s="13" t="n">
        <v>141</v>
      </c>
      <c r="CQ490" s="13" t="n">
        <v>147</v>
      </c>
      <c r="CR490" s="13" t="n">
        <v>5</v>
      </c>
      <c r="CS490" s="13" t="n">
        <v>8.800000000000001</v>
      </c>
      <c r="CT490" s="11" t="inlineStr">
        <is>
          <t xml:space="preserve"> Big Mountain</t>
        </is>
      </c>
      <c r="CU490" s="13" t="n"/>
      <c r="CV490" s="13" t="n"/>
      <c r="CW490" s="13" t="n"/>
      <c r="CX490">
        <f>INDEX('Data_Price '!AG$2:AG$1266,MATCH(Data!$DN490,'Data_Price '!$AT$2:$AT$1266,0))</f>
        <v/>
      </c>
      <c r="CY490">
        <f>INDEX('Data_Price '!AH$2:AH$1266,MATCH(Data!$DN490,'Data_Price '!$AT$2:$AT$1266,0))</f>
        <v/>
      </c>
      <c r="CZ490">
        <f>INDEX('Data_Price '!AI$2:AI$1266,MATCH(Data!$DN490,'Data_Price '!$AT$2:$AT$1266,0))</f>
        <v/>
      </c>
      <c r="DA490">
        <f>INDEX('Data_Price '!AJ$2:AJ$1266,MATCH(Data!$DN490,'Data_Price '!$AT$2:$AT$1266,0))</f>
        <v/>
      </c>
      <c r="DB490">
        <f>INDEX('Data_Price '!AK$2:AK$1266,MATCH(Data!$DN490,'Data_Price '!$AT$2:$AT$1266,0))</f>
        <v/>
      </c>
      <c r="DC490">
        <f>INDEX('Data_Price '!AL$2:AL$1266,MATCH(Data!$DN490,'Data_Price '!$AT$2:$AT$1266,0))</f>
        <v/>
      </c>
      <c r="DD490">
        <f>INDEX('Data_Price '!AM$2:AM$1266,MATCH(Data!$DN490,'Data_Price '!$AT$2:$AT$1266,0))</f>
        <v/>
      </c>
      <c r="DE490">
        <f>INDEX('Data_Price '!AN$2:AN$1266,MATCH(Data!$DN490,'Data_Price '!$AT$2:$AT$1266,0))</f>
        <v/>
      </c>
      <c r="DF490">
        <f>INDEX('Data_Price '!AO$2:AO$1266,MATCH(Data!$DN490,'Data_Price '!$AT$2:$AT$1266,0))</f>
        <v/>
      </c>
      <c r="DG490">
        <f>INDEX('Data_Price '!AP$2:AP$1266,MATCH(Data!$DN490,'Data_Price '!$AT$2:$AT$1266,0))</f>
        <v/>
      </c>
      <c r="DH490">
        <f>INDEX('Data_Price '!AQ$2:AQ$1266,MATCH(Data!$DN490,'Data_Price '!$AT$2:$AT$1266,0))</f>
        <v/>
      </c>
      <c r="DI490">
        <f>INDEX('Data_Price '!AR$2:AR$1266,MATCH(Data!$DN490,'Data_Price '!$AT$2:$AT$1266,0))</f>
        <v/>
      </c>
      <c r="DJ490" s="138">
        <f>DA490</f>
        <v/>
      </c>
      <c r="DK490" s="138">
        <f>DE490</f>
        <v/>
      </c>
      <c r="DL490" s="138">
        <f>DI490</f>
        <v/>
      </c>
      <c r="DM490" s="303">
        <f>IF(LEFT(BT490,1)=" ",RIGHT(BT490,LEN(BT490)-1),BT490)</f>
        <v/>
      </c>
      <c r="DN490" s="138">
        <f>_xlfn.CONCAT(BS490,DM490,BU490,BV490)</f>
        <v/>
      </c>
      <c r="DO490" s="307" t="n"/>
    </row>
    <row r="491" ht="15.6" customHeight="1" s="184">
      <c r="B491" s="303">
        <f t="array" ref="B491">IF(OR(ISERROR(K491:P491)),FALSE,TRUE)</f>
        <v/>
      </c>
      <c r="C491" s="60">
        <f>OR(BR491=Driver!$G$50,Data!BR484=Driver!$H$50)</f>
        <v/>
      </c>
      <c r="D491" s="60">
        <f>OR(BV491=Driver!$G$51,BV491=Driver!$H$51)</f>
        <v/>
      </c>
      <c r="E491" s="60">
        <f>AND(BX491&gt;Driver!$F$54,BX491&lt;Driver!$G$54)</f>
        <v/>
      </c>
      <c r="F491" s="60">
        <f>CL491&gt;Driver!$F$56</f>
        <v/>
      </c>
      <c r="G491" s="60">
        <f>AND(CB491&gt;Driver!$F$55,CB491&lt;Driver!$G$55)</f>
        <v/>
      </c>
      <c r="H491" s="60">
        <f>AND(B491:G491)</f>
        <v/>
      </c>
      <c r="I491" s="60">
        <f>COUNTIFS($H$9:$H$1273,TRUE,$BT$9:$BT$1273,BT491)</f>
        <v/>
      </c>
      <c r="J491" s="60">
        <f t="array" ref="J491">NOT(OR(($H$9:$H$1273=TRUE)*($I$9:$I$1273&gt;0)*($BT$9:$BT$1273=BT491)*($K$9:$K$1273&gt;K491)))</f>
        <v/>
      </c>
      <c r="K491" s="108">
        <f>IFERROR(1-AVERAGE(X491:Y491),"")</f>
        <v/>
      </c>
      <c r="L491" s="108">
        <f>1-X491</f>
        <v/>
      </c>
      <c r="M491" s="108">
        <f>1-Y491</f>
        <v/>
      </c>
      <c r="N491" s="108">
        <f>1-Z491</f>
        <v/>
      </c>
      <c r="O491" s="108">
        <f>1-AA491</f>
        <v/>
      </c>
      <c r="P491" s="108">
        <f>1-AB491</f>
        <v/>
      </c>
      <c r="Q491" s="108" t="n"/>
      <c r="R491" s="108" t="n"/>
      <c r="S491" s="108">
        <f>1-AE491</f>
        <v/>
      </c>
      <c r="T491" s="108">
        <f>1-AF491</f>
        <v/>
      </c>
      <c r="U491" s="108">
        <f>1-AG491</f>
        <v/>
      </c>
      <c r="V491" s="108">
        <f>1-AH491</f>
        <v/>
      </c>
      <c r="W491" s="108">
        <f>1-AI491</f>
        <v/>
      </c>
      <c r="X491" s="108">
        <f>ABS(AJ491-AJ$1)</f>
        <v/>
      </c>
      <c r="Y491" s="108">
        <f>AVERAGE(Z491:AB491)</f>
        <v/>
      </c>
      <c r="Z491" s="108">
        <f>ABS(AL491-AL$1)</f>
        <v/>
      </c>
      <c r="AA491" s="108">
        <f>ABS(AM491-AM$1)</f>
        <v/>
      </c>
      <c r="AB491" s="108">
        <f>ABS(AN491-AN$1)</f>
        <v/>
      </c>
      <c r="AC491" s="108" t="n"/>
      <c r="AD491" s="108" t="n"/>
      <c r="AE491" s="108">
        <f>ABS(AQ$1-AQ491)</f>
        <v/>
      </c>
      <c r="AF491" s="108">
        <f>ABS(AR$1-AR491)</f>
        <v/>
      </c>
      <c r="AG491" s="108">
        <f>ABS(AS$1-AS491)</f>
        <v/>
      </c>
      <c r="AH491" s="108">
        <f>ABS(AT$1-AT491)</f>
        <v/>
      </c>
      <c r="AI491" s="108">
        <f>ABS(AU$1-AU491)</f>
        <v/>
      </c>
      <c r="AJ491" s="108">
        <f>(AV491-Driver!$K$179)/(Driver!$L$179-Driver!$K$179)</f>
        <v/>
      </c>
      <c r="AK491" s="108">
        <f>(AW491-Driver!$K$180)/(Driver!$L$180-Driver!$K$180)</f>
        <v/>
      </c>
      <c r="AL491" s="108">
        <f>(AX491-Driver!$K$181)/(Driver!$L$181-Driver!$K$181)</f>
        <v/>
      </c>
      <c r="AM491" s="108">
        <f>(AY491-Driver!$K$182)/(Driver!$L$182-Driver!$K$182)</f>
        <v/>
      </c>
      <c r="AN491" s="108">
        <f>(AZ491-Driver!$K$183)/(Driver!$L$183-Driver!$K$183)</f>
        <v/>
      </c>
      <c r="AO491" s="108" t="n"/>
      <c r="AP491" s="108" t="n"/>
      <c r="AQ491" s="108">
        <f>(BC491-Driver!$K$188)/(Driver!$L$188-Driver!$K$188)</f>
        <v/>
      </c>
      <c r="AR491" s="108">
        <f>MIN((BD491-Driver!$K$189)/(Driver!$L$189-Driver!$K$189),100%)</f>
        <v/>
      </c>
      <c r="AS491" s="108">
        <f>(BE491-Driver!$K$190)/(Driver!$L$190-Driver!$K$190)</f>
        <v/>
      </c>
      <c r="AT491" s="108">
        <f>(BF491-Driver!$K$191)/(Driver!$L$191-Driver!$K$191)</f>
        <v/>
      </c>
      <c r="AU491" s="108">
        <f>(BG491-Driver!$K$192)/(Driver!$L$192-Driver!$K$192)</f>
        <v/>
      </c>
      <c r="AV491" s="105">
        <f>IFERROR(BM491*BJ491^1/4,"")</f>
        <v/>
      </c>
      <c r="AW491" s="105">
        <f>IFERROR(SUM(AX491:AZ491),"")</f>
        <v/>
      </c>
      <c r="AX491" s="105">
        <f>IFERROR(BH491,"")</f>
        <v/>
      </c>
      <c r="AY491" s="105">
        <f>IFERROR(Driver!$K$19/Data!BH491/Data!BI491*Data!BK491*Data!BL491,"")</f>
        <v/>
      </c>
      <c r="AZ491" s="105">
        <f>IFERROR(BI491*BN491,"")</f>
        <v/>
      </c>
      <c r="BA491" s="105" t="n"/>
      <c r="BB491" s="105" t="n"/>
      <c r="BC491" s="105">
        <f>IFERROR(BI491*BN491*BK491/BJ491^(1/2),"")</f>
        <v/>
      </c>
      <c r="BD491" s="105">
        <f>IFERROR(BH491*BM491*BL491/BJ491/BK491,"")</f>
        <v/>
      </c>
      <c r="BE491" s="105">
        <f>IFERROR(MIN(BI491/BQ491/BP491/BO491/BH491,$BE$1),"")</f>
        <v/>
      </c>
      <c r="BF491" s="105">
        <f>IFERROR(BJ491*BO491*BP491/BK491,"")</f>
        <v/>
      </c>
      <c r="BG491" s="105">
        <f>IFERROR(1/BM491/BH491*BQ491,"")</f>
        <v/>
      </c>
      <c r="BH491" s="102">
        <f>MAX((CE491-Driver!$F$200)/(Driver!$G$200-Driver!$F$200)*$BI$1,1)</f>
        <v/>
      </c>
      <c r="BI491" s="102">
        <f>MAX($BI$1*(BY491-Driver!$F$201)/(Driver!$G$201-Driver!$F$201),1)</f>
        <v/>
      </c>
      <c r="BJ491" s="102">
        <f>(CB491-Driver!$F$206)/(Driver!$G$206-Driver!$F$206)*$BI$1</f>
        <v/>
      </c>
      <c r="BK491" s="102">
        <f>(CD491-Driver!$F$203)/(Driver!$G$203-Driver!$F$203)*$BI$1</f>
        <v/>
      </c>
      <c r="BL491" s="102">
        <f>MAX((CR491-Driver!$F$202)/(Driver!$G$202-Driver!$F$202)*$BI$1,1)</f>
        <v/>
      </c>
      <c r="BM491" s="102">
        <f>MAX((CH491-Driver!$F$204)/(Driver!$G$204-Driver!$F$204)*$BI$1,1)</f>
        <v/>
      </c>
      <c r="BN491" s="102">
        <f>(CI491-Driver!$F$205)/(Driver!$G$205-Driver!$F$205)*$BI$1</f>
        <v/>
      </c>
      <c r="BO491" s="102">
        <f>(CK491-Driver!$F$207)/(Driver!$G$207-Driver!$F$207)*$BI$1</f>
        <v/>
      </c>
      <c r="BP491" s="102">
        <f>(CM491-Driver!$F$208)/(Driver!$G$208-Driver!$F$208)*$BI$1</f>
        <v/>
      </c>
      <c r="BQ491" s="102">
        <f>(CL491-Driver!$F$209)/(Driver!$G$209-Driver!$F$209)*$BI$1</f>
        <v/>
      </c>
      <c r="BR491" s="40" t="inlineStr">
        <is>
          <t>21/22</t>
        </is>
      </c>
      <c r="BS491" s="10" t="inlineStr">
        <is>
          <t xml:space="preserve"> Elan</t>
        </is>
      </c>
      <c r="BT491" s="11" t="inlineStr">
        <is>
          <t>Wingman 86 Ti</t>
        </is>
      </c>
      <c r="BU491" s="13" t="n">
        <v>172</v>
      </c>
      <c r="BV491" s="11" t="inlineStr">
        <is>
          <t xml:space="preserve"> Unisex</t>
        </is>
      </c>
      <c r="BW491" s="13" t="n">
        <v>172</v>
      </c>
      <c r="BX491" s="13" t="n">
        <v>171.3</v>
      </c>
      <c r="BY491" s="13" t="n">
        <v>135</v>
      </c>
      <c r="BZ491" s="13" t="n">
        <v>152</v>
      </c>
      <c r="CA491" s="13" t="n">
        <v>128</v>
      </c>
      <c r="CB491" s="13" t="n">
        <v>85</v>
      </c>
      <c r="CC491" s="13" t="n">
        <v>114</v>
      </c>
      <c r="CD491" s="13" t="n">
        <v>15.5</v>
      </c>
      <c r="CE491" s="13" t="n">
        <v>2093</v>
      </c>
      <c r="CF491" s="13" t="n">
        <v>0.8100000000000001</v>
      </c>
      <c r="CG491" s="13" t="n">
        <v>1700</v>
      </c>
      <c r="CH491" s="13" t="n">
        <v>205</v>
      </c>
      <c r="CI491" s="13" t="n">
        <v>97</v>
      </c>
      <c r="CJ491" s="13" t="n">
        <v>41</v>
      </c>
      <c r="CK491" s="13" t="n">
        <v>224</v>
      </c>
      <c r="CL491" s="13" t="n">
        <v>8</v>
      </c>
      <c r="CM491" s="13" t="n">
        <v>135</v>
      </c>
      <c r="CN491" s="13" t="n">
        <v>0.204</v>
      </c>
      <c r="CO491" s="13" t="n">
        <v>97</v>
      </c>
      <c r="CP491" s="13" t="n">
        <v>96</v>
      </c>
      <c r="CQ491" s="13" t="n">
        <v>126</v>
      </c>
      <c r="CR491" s="13" t="n">
        <v>6</v>
      </c>
      <c r="CS491" s="13" t="n">
        <v>9.199999999999999</v>
      </c>
      <c r="CT491" s="11" t="inlineStr">
        <is>
          <t xml:space="preserve"> Resort Freeride</t>
        </is>
      </c>
      <c r="CU491" s="13" t="n"/>
      <c r="CV491" s="13" t="n"/>
      <c r="CW491" s="13" t="n"/>
      <c r="CX491">
        <f>INDEX('Data_Price '!AG$2:AG$1266,MATCH(Data!$DN491,'Data_Price '!$AT$2:$AT$1266,0))</f>
        <v/>
      </c>
      <c r="CY491">
        <f>INDEX('Data_Price '!AH$2:AH$1266,MATCH(Data!$DN491,'Data_Price '!$AT$2:$AT$1266,0))</f>
        <v/>
      </c>
      <c r="CZ491">
        <f>INDEX('Data_Price '!AI$2:AI$1266,MATCH(Data!$DN491,'Data_Price '!$AT$2:$AT$1266,0))</f>
        <v/>
      </c>
      <c r="DA491">
        <f>INDEX('Data_Price '!AJ$2:AJ$1266,MATCH(Data!$DN491,'Data_Price '!$AT$2:$AT$1266,0))</f>
        <v/>
      </c>
      <c r="DB491">
        <f>INDEX('Data_Price '!AK$2:AK$1266,MATCH(Data!$DN491,'Data_Price '!$AT$2:$AT$1266,0))</f>
        <v/>
      </c>
      <c r="DC491">
        <f>INDEX('Data_Price '!AL$2:AL$1266,MATCH(Data!$DN491,'Data_Price '!$AT$2:$AT$1266,0))</f>
        <v/>
      </c>
      <c r="DD491">
        <f>INDEX('Data_Price '!AM$2:AM$1266,MATCH(Data!$DN491,'Data_Price '!$AT$2:$AT$1266,0))</f>
        <v/>
      </c>
      <c r="DE491">
        <f>INDEX('Data_Price '!AN$2:AN$1266,MATCH(Data!$DN491,'Data_Price '!$AT$2:$AT$1266,0))</f>
        <v/>
      </c>
      <c r="DF491">
        <f>INDEX('Data_Price '!AO$2:AO$1266,MATCH(Data!$DN491,'Data_Price '!$AT$2:$AT$1266,0))</f>
        <v/>
      </c>
      <c r="DG491">
        <f>INDEX('Data_Price '!AP$2:AP$1266,MATCH(Data!$DN491,'Data_Price '!$AT$2:$AT$1266,0))</f>
        <v/>
      </c>
      <c r="DH491">
        <f>INDEX('Data_Price '!AQ$2:AQ$1266,MATCH(Data!$DN491,'Data_Price '!$AT$2:$AT$1266,0))</f>
        <v/>
      </c>
      <c r="DI491">
        <f>INDEX('Data_Price '!AR$2:AR$1266,MATCH(Data!$DN491,'Data_Price '!$AT$2:$AT$1266,0))</f>
        <v/>
      </c>
      <c r="DJ491" s="138">
        <f>DA491</f>
        <v/>
      </c>
      <c r="DK491" s="138">
        <f>DE491</f>
        <v/>
      </c>
      <c r="DL491" s="138">
        <f>DI491</f>
        <v/>
      </c>
      <c r="DM491" s="303">
        <f>IF(LEFT(BT491,1)=" ",RIGHT(BT491,LEN(BT491)-1),BT491)</f>
        <v/>
      </c>
      <c r="DN491" s="138">
        <f>_xlfn.CONCAT(BS491,DM491,BU491,BV491)</f>
        <v/>
      </c>
      <c r="DO491" s="307" t="n"/>
    </row>
    <row r="492" ht="15.6" customHeight="1" s="184">
      <c r="B492" s="303">
        <f t="array" ref="B492">IF(OR(ISERROR(K492:P492)),FALSE,TRUE)</f>
        <v/>
      </c>
      <c r="C492" s="60">
        <f>OR(BR492=Driver!$G$50,Data!BR174=Driver!$H$50)</f>
        <v/>
      </c>
      <c r="D492" s="60">
        <f>OR(BV492=Driver!$G$51,BV492=Driver!$H$51)</f>
        <v/>
      </c>
      <c r="E492" s="60">
        <f>AND(BX492&gt;Driver!$F$54,BX492&lt;Driver!$G$54)</f>
        <v/>
      </c>
      <c r="F492" s="60">
        <f>CL492&gt;Driver!$F$56</f>
        <v/>
      </c>
      <c r="G492" s="60">
        <f>AND(CB492&gt;Driver!$F$55,CB492&lt;Driver!$G$55)</f>
        <v/>
      </c>
      <c r="H492" s="60">
        <f>AND(B492:G492)</f>
        <v/>
      </c>
      <c r="I492" s="60">
        <f>COUNTIFS($H$9:$H$1273,TRUE,$BT$9:$BT$1273,BT492)</f>
        <v/>
      </c>
      <c r="J492" s="60">
        <f t="array" ref="J492">NOT(OR(($H$9:$H$1273=TRUE)*($I$9:$I$1273&gt;0)*($BT$9:$BT$1273=BT492)*($K$9:$K$1273&gt;K492)))</f>
        <v/>
      </c>
      <c r="K492" s="108">
        <f>IFERROR(1-AVERAGE(X492:Y492),"")</f>
        <v/>
      </c>
      <c r="L492" s="108">
        <f>1-X492</f>
        <v/>
      </c>
      <c r="M492" s="108">
        <f>1-Y492</f>
        <v/>
      </c>
      <c r="N492" s="108">
        <f>1-Z492</f>
        <v/>
      </c>
      <c r="O492" s="108">
        <f>1-AA492</f>
        <v/>
      </c>
      <c r="P492" s="108">
        <f>1-AB492</f>
        <v/>
      </c>
      <c r="Q492" s="108" t="n"/>
      <c r="R492" s="108" t="n"/>
      <c r="S492" s="108">
        <f>1-AE492</f>
        <v/>
      </c>
      <c r="T492" s="108">
        <f>1-AF492</f>
        <v/>
      </c>
      <c r="U492" s="108">
        <f>1-AG492</f>
        <v/>
      </c>
      <c r="V492" s="108">
        <f>1-AH492</f>
        <v/>
      </c>
      <c r="W492" s="108">
        <f>1-AI492</f>
        <v/>
      </c>
      <c r="X492" s="108">
        <f>ABS(AJ492-AJ$1)</f>
        <v/>
      </c>
      <c r="Y492" s="108">
        <f>AVERAGE(Z492:AB492)</f>
        <v/>
      </c>
      <c r="Z492" s="108">
        <f>ABS(AL492-AL$1)</f>
        <v/>
      </c>
      <c r="AA492" s="108">
        <f>ABS(AM492-AM$1)</f>
        <v/>
      </c>
      <c r="AB492" s="108">
        <f>ABS(AN492-AN$1)</f>
        <v/>
      </c>
      <c r="AC492" s="108" t="n"/>
      <c r="AD492" s="108" t="n"/>
      <c r="AE492" s="108">
        <f>ABS(AQ$1-AQ492)</f>
        <v/>
      </c>
      <c r="AF492" s="108">
        <f>ABS(AR$1-AR492)</f>
        <v/>
      </c>
      <c r="AG492" s="108">
        <f>ABS(AS$1-AS492)</f>
        <v/>
      </c>
      <c r="AH492" s="108">
        <f>ABS(AT$1-AT492)</f>
        <v/>
      </c>
      <c r="AI492" s="108">
        <f>ABS(AU$1-AU492)</f>
        <v/>
      </c>
      <c r="AJ492" s="108">
        <f>(AV492-Driver!$K$179)/(Driver!$L$179-Driver!$K$179)</f>
        <v/>
      </c>
      <c r="AK492" s="108">
        <f>(AW492-Driver!$K$180)/(Driver!$L$180-Driver!$K$180)</f>
        <v/>
      </c>
      <c r="AL492" s="108">
        <f>(AX492-Driver!$K$181)/(Driver!$L$181-Driver!$K$181)</f>
        <v/>
      </c>
      <c r="AM492" s="108">
        <f>(AY492-Driver!$K$182)/(Driver!$L$182-Driver!$K$182)</f>
        <v/>
      </c>
      <c r="AN492" s="108">
        <f>(AZ492-Driver!$K$183)/(Driver!$L$183-Driver!$K$183)</f>
        <v/>
      </c>
      <c r="AO492" s="108" t="n"/>
      <c r="AP492" s="108" t="n"/>
      <c r="AQ492" s="108">
        <f>(BC492-Driver!$K$188)/(Driver!$L$188-Driver!$K$188)</f>
        <v/>
      </c>
      <c r="AR492" s="108">
        <f>MIN((BD492-Driver!$K$189)/(Driver!$L$189-Driver!$K$189),100%)</f>
        <v/>
      </c>
      <c r="AS492" s="108">
        <f>(BE492-Driver!$K$190)/(Driver!$L$190-Driver!$K$190)</f>
        <v/>
      </c>
      <c r="AT492" s="108">
        <f>(BF492-Driver!$K$191)/(Driver!$L$191-Driver!$K$191)</f>
        <v/>
      </c>
      <c r="AU492" s="108">
        <f>(BG492-Driver!$K$192)/(Driver!$L$192-Driver!$K$192)</f>
        <v/>
      </c>
      <c r="AV492" s="105">
        <f>IFERROR(BM492*BJ492^1/4,"")</f>
        <v/>
      </c>
      <c r="AW492" s="105">
        <f>IFERROR(SUM(AX492:AZ492),"")</f>
        <v/>
      </c>
      <c r="AX492" s="105">
        <f>IFERROR(BH492,"")</f>
        <v/>
      </c>
      <c r="AY492" s="105">
        <f>IFERROR(Driver!$K$19/Data!BH492/Data!BI492*Data!BK492*Data!BL492,"")</f>
        <v/>
      </c>
      <c r="AZ492" s="105">
        <f>IFERROR(BI492*BN492,"")</f>
        <v/>
      </c>
      <c r="BA492" s="105" t="n"/>
      <c r="BB492" s="105" t="n"/>
      <c r="BC492" s="105">
        <f>IFERROR(BI492*BN492*BK492/BJ492^(1/2),"")</f>
        <v/>
      </c>
      <c r="BD492" s="105">
        <f>IFERROR(BH492*BM492*BL492/BJ492/BK492,"")</f>
        <v/>
      </c>
      <c r="BE492" s="105">
        <f>IFERROR(MIN(BI492/BQ492/BP492/BO492/BH492,$BE$1),"")</f>
        <v/>
      </c>
      <c r="BF492" s="105">
        <f>IFERROR(BJ492*BO492*BP492/BK492,"")</f>
        <v/>
      </c>
      <c r="BG492" s="105">
        <f>IFERROR(1/BM492/BH492*BQ492,"")</f>
        <v/>
      </c>
      <c r="BH492" s="102">
        <f>MAX((CE492-Driver!$F$200)/(Driver!$G$200-Driver!$F$200)*$BI$1,1)</f>
        <v/>
      </c>
      <c r="BI492" s="102">
        <f>MAX($BI$1*(BY492-Driver!$F$201)/(Driver!$G$201-Driver!$F$201),1)</f>
        <v/>
      </c>
      <c r="BJ492" s="102">
        <f>(CB492-Driver!$F$206)/(Driver!$G$206-Driver!$F$206)*$BI$1</f>
        <v/>
      </c>
      <c r="BK492" s="102">
        <f>(CD492-Driver!$F$203)/(Driver!$G$203-Driver!$F$203)*$BI$1</f>
        <v/>
      </c>
      <c r="BL492" s="102">
        <f>MAX((CR492-Driver!$F$202)/(Driver!$G$202-Driver!$F$202)*$BI$1,1)</f>
        <v/>
      </c>
      <c r="BM492" s="102">
        <f>MAX((CH492-Driver!$F$204)/(Driver!$G$204-Driver!$F$204)*$BI$1,1)</f>
        <v/>
      </c>
      <c r="BN492" s="102">
        <f>(CI492-Driver!$F$205)/(Driver!$G$205-Driver!$F$205)*$BI$1</f>
        <v/>
      </c>
      <c r="BO492" s="102">
        <f>(CK492-Driver!$F$207)/(Driver!$G$207-Driver!$F$207)*$BI$1</f>
        <v/>
      </c>
      <c r="BP492" s="102">
        <f>(CM492-Driver!$F$208)/(Driver!$G$208-Driver!$F$208)*$BI$1</f>
        <v/>
      </c>
      <c r="BQ492" s="102">
        <f>(CL492-Driver!$F$209)/(Driver!$G$209-Driver!$F$209)*$BI$1</f>
        <v/>
      </c>
      <c r="BR492" s="40" t="inlineStr">
        <is>
          <t>21/22</t>
        </is>
      </c>
      <c r="BS492" s="10" t="inlineStr">
        <is>
          <t xml:space="preserve"> Atomic</t>
        </is>
      </c>
      <c r="BT492" s="11" t="inlineStr">
        <is>
          <t>Redster S7</t>
        </is>
      </c>
      <c r="BU492" s="13" t="n">
        <v>156</v>
      </c>
      <c r="BV492" s="11" t="inlineStr">
        <is>
          <t xml:space="preserve"> Unisex</t>
        </is>
      </c>
      <c r="BW492" s="13" t="n">
        <v>156</v>
      </c>
      <c r="BX492" s="13" t="n">
        <v>153.4</v>
      </c>
      <c r="BY492" s="13" t="n">
        <v>133</v>
      </c>
      <c r="BZ492" s="13" t="n">
        <v>140</v>
      </c>
      <c r="CA492" s="13" t="n">
        <v>109</v>
      </c>
      <c r="CB492" s="13" t="n">
        <v>70</v>
      </c>
      <c r="CC492" s="13" t="n">
        <v>97</v>
      </c>
      <c r="CD492" s="13" t="n">
        <v>13.8</v>
      </c>
      <c r="CE492" s="13" t="n">
        <v>1573</v>
      </c>
      <c r="CF492" s="13" t="n">
        <v>0.8</v>
      </c>
      <c r="CG492" s="13" t="n">
        <v>1265</v>
      </c>
      <c r="CH492" s="13" t="n">
        <v>175</v>
      </c>
      <c r="CI492" s="13" t="n">
        <v>83</v>
      </c>
      <c r="CJ492" s="13" t="n">
        <v>39</v>
      </c>
      <c r="CK492" s="13" t="n">
        <v>146</v>
      </c>
      <c r="CL492" s="13" t="n">
        <v>5</v>
      </c>
      <c r="CM492" s="13" t="n">
        <v>62</v>
      </c>
      <c r="CN492" s="13" t="n">
        <v>0.131</v>
      </c>
      <c r="CO492" s="13" t="n">
        <v>84</v>
      </c>
      <c r="CP492" s="13" t="n">
        <v>53</v>
      </c>
      <c r="CQ492" s="13" t="n">
        <v>62</v>
      </c>
      <c r="CR492" s="13" t="n">
        <v>6</v>
      </c>
      <c r="CS492" s="13" t="n">
        <v>12.4</v>
      </c>
      <c r="CT492" s="11" t="inlineStr">
        <is>
          <t xml:space="preserve"> On-Piste Carving</t>
        </is>
      </c>
      <c r="CU492" s="13" t="n"/>
      <c r="CV492" s="13" t="n"/>
      <c r="CW492" s="13" t="n"/>
      <c r="CX492">
        <f>INDEX('Data_Price '!AG$2:AG$1266,MATCH(Data!$DN492,'Data_Price '!$AT$2:$AT$1266,0))</f>
        <v/>
      </c>
      <c r="CY492">
        <f>INDEX('Data_Price '!AH$2:AH$1266,MATCH(Data!$DN492,'Data_Price '!$AT$2:$AT$1266,0))</f>
        <v/>
      </c>
      <c r="CZ492">
        <f>INDEX('Data_Price '!AI$2:AI$1266,MATCH(Data!$DN492,'Data_Price '!$AT$2:$AT$1266,0))</f>
        <v/>
      </c>
      <c r="DA492">
        <f>INDEX('Data_Price '!AJ$2:AJ$1266,MATCH(Data!$DN492,'Data_Price '!$AT$2:$AT$1266,0))</f>
        <v/>
      </c>
      <c r="DB492">
        <f>INDEX('Data_Price '!AK$2:AK$1266,MATCH(Data!$DN492,'Data_Price '!$AT$2:$AT$1266,0))</f>
        <v/>
      </c>
      <c r="DC492">
        <f>INDEX('Data_Price '!AL$2:AL$1266,MATCH(Data!$DN492,'Data_Price '!$AT$2:$AT$1266,0))</f>
        <v/>
      </c>
      <c r="DD492">
        <f>INDEX('Data_Price '!AM$2:AM$1266,MATCH(Data!$DN492,'Data_Price '!$AT$2:$AT$1266,0))</f>
        <v/>
      </c>
      <c r="DE492">
        <f>INDEX('Data_Price '!AN$2:AN$1266,MATCH(Data!$DN492,'Data_Price '!$AT$2:$AT$1266,0))</f>
        <v/>
      </c>
      <c r="DF492">
        <f>INDEX('Data_Price '!AO$2:AO$1266,MATCH(Data!$DN492,'Data_Price '!$AT$2:$AT$1266,0))</f>
        <v/>
      </c>
      <c r="DG492">
        <f>INDEX('Data_Price '!AP$2:AP$1266,MATCH(Data!$DN492,'Data_Price '!$AT$2:$AT$1266,0))</f>
        <v/>
      </c>
      <c r="DH492">
        <f>INDEX('Data_Price '!AQ$2:AQ$1266,MATCH(Data!$DN492,'Data_Price '!$AT$2:$AT$1266,0))</f>
        <v/>
      </c>
      <c r="DI492">
        <f>INDEX('Data_Price '!AR$2:AR$1266,MATCH(Data!$DN492,'Data_Price '!$AT$2:$AT$1266,0))</f>
        <v/>
      </c>
      <c r="DJ492" s="138">
        <f>DA492</f>
        <v/>
      </c>
      <c r="DK492" s="138">
        <f>DE492</f>
        <v/>
      </c>
      <c r="DL492" s="138">
        <f>DI492</f>
        <v/>
      </c>
      <c r="DM492" s="303">
        <f>IF(LEFT(BT492,1)=" ",RIGHT(BT492,LEN(BT492)-1),BT492)</f>
        <v/>
      </c>
      <c r="DN492" s="138">
        <f>_xlfn.CONCAT(BS492,DM492,BU492,BV492)</f>
        <v/>
      </c>
      <c r="DO492" s="307" t="n"/>
    </row>
    <row r="493" ht="15.6" customHeight="1" s="184">
      <c r="B493" s="303">
        <f t="array" ref="B493">IF(OR(ISERROR(K493:P493)),FALSE,TRUE)</f>
        <v/>
      </c>
      <c r="C493" s="60">
        <f>OR(BR493=Driver!$G$50,Data!BR413=Driver!$H$50)</f>
        <v/>
      </c>
      <c r="D493" s="60">
        <f>OR(BV493=Driver!$G$51,BV493=Driver!$H$51)</f>
        <v/>
      </c>
      <c r="E493" s="60">
        <f>AND(BX493&gt;Driver!$F$54,BX493&lt;Driver!$G$54)</f>
        <v/>
      </c>
      <c r="F493" s="60">
        <f>CL493&gt;Driver!$F$56</f>
        <v/>
      </c>
      <c r="G493" s="60">
        <f>AND(CB493&gt;Driver!$F$55,CB493&lt;Driver!$G$55)</f>
        <v/>
      </c>
      <c r="H493" s="60">
        <f>AND(B493:G493)</f>
        <v/>
      </c>
      <c r="I493" s="60">
        <f>COUNTIFS($H$9:$H$1273,TRUE,$BT$9:$BT$1273,BT493)</f>
        <v/>
      </c>
      <c r="J493" s="60">
        <f t="array" ref="J493">NOT(OR(($H$9:$H$1273=TRUE)*($I$9:$I$1273&gt;0)*($BT$9:$BT$1273=BT493)*($K$9:$K$1273&gt;K493)))</f>
        <v/>
      </c>
      <c r="K493" s="108">
        <f>IFERROR(1-AVERAGE(X493:Y493),"")</f>
        <v/>
      </c>
      <c r="L493" s="108">
        <f>1-X493</f>
        <v/>
      </c>
      <c r="M493" s="108">
        <f>1-Y493</f>
        <v/>
      </c>
      <c r="N493" s="108">
        <f>1-Z493</f>
        <v/>
      </c>
      <c r="O493" s="108">
        <f>1-AA493</f>
        <v/>
      </c>
      <c r="P493" s="108">
        <f>1-AB493</f>
        <v/>
      </c>
      <c r="Q493" s="108" t="n"/>
      <c r="R493" s="108" t="n"/>
      <c r="S493" s="108">
        <f>1-AE493</f>
        <v/>
      </c>
      <c r="T493" s="108">
        <f>1-AF493</f>
        <v/>
      </c>
      <c r="U493" s="108">
        <f>1-AG493</f>
        <v/>
      </c>
      <c r="V493" s="108">
        <f>1-AH493</f>
        <v/>
      </c>
      <c r="W493" s="108">
        <f>1-AI493</f>
        <v/>
      </c>
      <c r="X493" s="108">
        <f>ABS(AJ493-AJ$1)</f>
        <v/>
      </c>
      <c r="Y493" s="108">
        <f>AVERAGE(Z493:AB493)</f>
        <v/>
      </c>
      <c r="Z493" s="108">
        <f>ABS(AL493-AL$1)</f>
        <v/>
      </c>
      <c r="AA493" s="108">
        <f>ABS(AM493-AM$1)</f>
        <v/>
      </c>
      <c r="AB493" s="108">
        <f>ABS(AN493-AN$1)</f>
        <v/>
      </c>
      <c r="AC493" s="108" t="n"/>
      <c r="AD493" s="108" t="n"/>
      <c r="AE493" s="108">
        <f>ABS(AQ$1-AQ493)</f>
        <v/>
      </c>
      <c r="AF493" s="108">
        <f>ABS(AR$1-AR493)</f>
        <v/>
      </c>
      <c r="AG493" s="108">
        <f>ABS(AS$1-AS493)</f>
        <v/>
      </c>
      <c r="AH493" s="108">
        <f>ABS(AT$1-AT493)</f>
        <v/>
      </c>
      <c r="AI493" s="108">
        <f>ABS(AU$1-AU493)</f>
        <v/>
      </c>
      <c r="AJ493" s="108">
        <f>(AV493-Driver!$K$179)/(Driver!$L$179-Driver!$K$179)</f>
        <v/>
      </c>
      <c r="AK493" s="108">
        <f>(AW493-Driver!$K$180)/(Driver!$L$180-Driver!$K$180)</f>
        <v/>
      </c>
      <c r="AL493" s="108">
        <f>(AX493-Driver!$K$181)/(Driver!$L$181-Driver!$K$181)</f>
        <v/>
      </c>
      <c r="AM493" s="108">
        <f>(AY493-Driver!$K$182)/(Driver!$L$182-Driver!$K$182)</f>
        <v/>
      </c>
      <c r="AN493" s="108">
        <f>(AZ493-Driver!$K$183)/(Driver!$L$183-Driver!$K$183)</f>
        <v/>
      </c>
      <c r="AO493" s="108" t="n"/>
      <c r="AP493" s="108" t="n"/>
      <c r="AQ493" s="108">
        <f>(BC493-Driver!$K$188)/(Driver!$L$188-Driver!$K$188)</f>
        <v/>
      </c>
      <c r="AR493" s="108">
        <f>MIN((BD493-Driver!$K$189)/(Driver!$L$189-Driver!$K$189),100%)</f>
        <v/>
      </c>
      <c r="AS493" s="108">
        <f>(BE493-Driver!$K$190)/(Driver!$L$190-Driver!$K$190)</f>
        <v/>
      </c>
      <c r="AT493" s="108">
        <f>(BF493-Driver!$K$191)/(Driver!$L$191-Driver!$K$191)</f>
        <v/>
      </c>
      <c r="AU493" s="108">
        <f>(BG493-Driver!$K$192)/(Driver!$L$192-Driver!$K$192)</f>
        <v/>
      </c>
      <c r="AV493" s="105">
        <f>IFERROR(BM493*BJ493^1/4,"")</f>
        <v/>
      </c>
      <c r="AW493" s="105">
        <f>IFERROR(SUM(AX493:AZ493),"")</f>
        <v/>
      </c>
      <c r="AX493" s="105">
        <f>IFERROR(BH493,"")</f>
        <v/>
      </c>
      <c r="AY493" s="105">
        <f>IFERROR(Driver!$K$19/Data!BH493/Data!BI493*Data!BK493*Data!BL493,"")</f>
        <v/>
      </c>
      <c r="AZ493" s="105">
        <f>IFERROR(BI493*BN493,"")</f>
        <v/>
      </c>
      <c r="BA493" s="105" t="n"/>
      <c r="BB493" s="105" t="n"/>
      <c r="BC493" s="105">
        <f>IFERROR(BI493*BN493*BK493/BJ493^(1/2),"")</f>
        <v/>
      </c>
      <c r="BD493" s="105">
        <f>IFERROR(BH493*BM493*BL493/BJ493/BK493,"")</f>
        <v/>
      </c>
      <c r="BE493" s="105">
        <f>IFERROR(MIN(BI493/BQ493/BP493/BO493/BH493,$BE$1),"")</f>
        <v/>
      </c>
      <c r="BF493" s="105">
        <f>IFERROR(BJ493*BO493*BP493/BK493,"")</f>
        <v/>
      </c>
      <c r="BG493" s="105">
        <f>IFERROR(1/BM493/BH493*BQ493,"")</f>
        <v/>
      </c>
      <c r="BH493" s="102">
        <f>MAX((CE493-Driver!$F$200)/(Driver!$G$200-Driver!$F$200)*$BI$1,1)</f>
        <v/>
      </c>
      <c r="BI493" s="102">
        <f>MAX($BI$1*(BY493-Driver!$F$201)/(Driver!$G$201-Driver!$F$201),1)</f>
        <v/>
      </c>
      <c r="BJ493" s="102">
        <f>(CB493-Driver!$F$206)/(Driver!$G$206-Driver!$F$206)*$BI$1</f>
        <v/>
      </c>
      <c r="BK493" s="102">
        <f>(CD493-Driver!$F$203)/(Driver!$G$203-Driver!$F$203)*$BI$1</f>
        <v/>
      </c>
      <c r="BL493" s="102">
        <f>MAX((CR493-Driver!$F$202)/(Driver!$G$202-Driver!$F$202)*$BI$1,1)</f>
        <v/>
      </c>
      <c r="BM493" s="102">
        <f>MAX((CH493-Driver!$F$204)/(Driver!$G$204-Driver!$F$204)*$BI$1,1)</f>
        <v/>
      </c>
      <c r="BN493" s="102">
        <f>(CI493-Driver!$F$205)/(Driver!$G$205-Driver!$F$205)*$BI$1</f>
        <v/>
      </c>
      <c r="BO493" s="102">
        <f>(CK493-Driver!$F$207)/(Driver!$G$207-Driver!$F$207)*$BI$1</f>
        <v/>
      </c>
      <c r="BP493" s="102">
        <f>(CM493-Driver!$F$208)/(Driver!$G$208-Driver!$F$208)*$BI$1</f>
        <v/>
      </c>
      <c r="BQ493" s="102">
        <f>(CL493-Driver!$F$209)/(Driver!$G$209-Driver!$F$209)*$BI$1</f>
        <v/>
      </c>
      <c r="BR493" s="40" t="inlineStr">
        <is>
          <t>21/22</t>
        </is>
      </c>
      <c r="BS493" s="10" t="inlineStr">
        <is>
          <t xml:space="preserve"> Dynastar</t>
        </is>
      </c>
      <c r="BT493" s="11" t="inlineStr">
        <is>
          <t>M-Tour 99</t>
        </is>
      </c>
      <c r="BU493" s="13" t="n">
        <v>178</v>
      </c>
      <c r="BV493" s="11" t="inlineStr">
        <is>
          <t xml:space="preserve"> Unisex</t>
        </is>
      </c>
      <c r="BW493" s="13" t="n">
        <v>178</v>
      </c>
      <c r="BX493" s="13" t="n">
        <v>177.2</v>
      </c>
      <c r="BY493" s="13" t="n">
        <v>131</v>
      </c>
      <c r="BZ493" s="13" t="n">
        <v>145</v>
      </c>
      <c r="CA493" s="13" t="n">
        <v>126</v>
      </c>
      <c r="CB493" s="13" t="n">
        <v>97</v>
      </c>
      <c r="CC493" s="13" t="n">
        <v>116</v>
      </c>
      <c r="CD493" s="13" t="n">
        <v>19.8</v>
      </c>
      <c r="CE493" s="13" t="n">
        <v>1334</v>
      </c>
      <c r="CF493" s="13" t="n">
        <v>1.42</v>
      </c>
      <c r="CG493" s="13" t="n">
        <v>1897</v>
      </c>
      <c r="CH493" s="13" t="n">
        <v>243</v>
      </c>
      <c r="CI493" s="13" t="n">
        <v>77</v>
      </c>
      <c r="CJ493" s="13" t="n">
        <v>59</v>
      </c>
      <c r="CK493" s="13" t="n">
        <v>324</v>
      </c>
      <c r="CL493" s="13" t="n">
        <v>11</v>
      </c>
      <c r="CM493" s="13" t="n">
        <v>140</v>
      </c>
      <c r="CN493" s="13" t="n">
        <v>0.181</v>
      </c>
      <c r="CO493" s="13" t="n">
        <v>196</v>
      </c>
      <c r="CP493" s="13" t="n">
        <v>126</v>
      </c>
      <c r="CQ493" s="13" t="n">
        <v>128</v>
      </c>
      <c r="CR493" s="13" t="n">
        <v>7</v>
      </c>
      <c r="CS493" s="13" t="n">
        <v>12.2</v>
      </c>
      <c r="CT493" s="11" t="inlineStr">
        <is>
          <t xml:space="preserve"> Touring</t>
        </is>
      </c>
      <c r="CU493" s="11" t="inlineStr">
        <is>
          <t xml:space="preserve"> Ultralight Touring</t>
        </is>
      </c>
      <c r="CV493" s="13" t="n"/>
      <c r="CW493" s="13" t="n"/>
      <c r="CX493">
        <f>INDEX('Data_Price '!AG$2:AG$1266,MATCH(Data!$DN493,'Data_Price '!$AT$2:$AT$1266,0))</f>
        <v/>
      </c>
      <c r="CY493">
        <f>INDEX('Data_Price '!AH$2:AH$1266,MATCH(Data!$DN493,'Data_Price '!$AT$2:$AT$1266,0))</f>
        <v/>
      </c>
      <c r="CZ493">
        <f>INDEX('Data_Price '!AI$2:AI$1266,MATCH(Data!$DN493,'Data_Price '!$AT$2:$AT$1266,0))</f>
        <v/>
      </c>
      <c r="DA493">
        <f>INDEX('Data_Price '!AJ$2:AJ$1266,MATCH(Data!$DN493,'Data_Price '!$AT$2:$AT$1266,0))</f>
        <v/>
      </c>
      <c r="DB493">
        <f>INDEX('Data_Price '!AK$2:AK$1266,MATCH(Data!$DN493,'Data_Price '!$AT$2:$AT$1266,0))</f>
        <v/>
      </c>
      <c r="DC493">
        <f>INDEX('Data_Price '!AL$2:AL$1266,MATCH(Data!$DN493,'Data_Price '!$AT$2:$AT$1266,0))</f>
        <v/>
      </c>
      <c r="DD493">
        <f>INDEX('Data_Price '!AM$2:AM$1266,MATCH(Data!$DN493,'Data_Price '!$AT$2:$AT$1266,0))</f>
        <v/>
      </c>
      <c r="DE493">
        <f>INDEX('Data_Price '!AN$2:AN$1266,MATCH(Data!$DN493,'Data_Price '!$AT$2:$AT$1266,0))</f>
        <v/>
      </c>
      <c r="DF493">
        <f>INDEX('Data_Price '!AO$2:AO$1266,MATCH(Data!$DN493,'Data_Price '!$AT$2:$AT$1266,0))</f>
        <v/>
      </c>
      <c r="DG493">
        <f>INDEX('Data_Price '!AP$2:AP$1266,MATCH(Data!$DN493,'Data_Price '!$AT$2:$AT$1266,0))</f>
        <v/>
      </c>
      <c r="DH493">
        <f>INDEX('Data_Price '!AQ$2:AQ$1266,MATCH(Data!$DN493,'Data_Price '!$AT$2:$AT$1266,0))</f>
        <v/>
      </c>
      <c r="DI493">
        <f>INDEX('Data_Price '!AR$2:AR$1266,MATCH(Data!$DN493,'Data_Price '!$AT$2:$AT$1266,0))</f>
        <v/>
      </c>
      <c r="DJ493" s="138">
        <f>DA493</f>
        <v/>
      </c>
      <c r="DK493" s="138">
        <f>DE493</f>
        <v/>
      </c>
      <c r="DL493" s="138">
        <f>DI493</f>
        <v/>
      </c>
      <c r="DM493" s="303">
        <f>IF(LEFT(BT493,1)=" ",RIGHT(BT493,LEN(BT493)-1),BT493)</f>
        <v/>
      </c>
      <c r="DN493" s="138">
        <f>_xlfn.CONCAT(BS493,DM493,BU493,BV493)</f>
        <v/>
      </c>
      <c r="DO493" s="307" t="inlineStr">
        <is>
          <t>https://images.evo.com/imgp/250/185154/738410/clone.jpg</t>
        </is>
      </c>
    </row>
    <row r="494" ht="15.6" customHeight="1" s="184">
      <c r="B494" s="303">
        <f t="array" ref="B494">IF(OR(ISERROR(K494:P494)),FALSE,TRUE)</f>
        <v/>
      </c>
      <c r="C494" s="60">
        <f>OR(BR494=Driver!$G$50,Data!BR265=Driver!$H$50)</f>
        <v/>
      </c>
      <c r="D494" s="60">
        <f>OR(BV494=Driver!$G$51,BV494=Driver!$H$51)</f>
        <v/>
      </c>
      <c r="E494" s="60">
        <f>AND(BX494&gt;Driver!$F$54,BX494&lt;Driver!$G$54)</f>
        <v/>
      </c>
      <c r="F494" s="60">
        <f>CL494&gt;Driver!$F$56</f>
        <v/>
      </c>
      <c r="G494" s="60">
        <f>AND(CB494&gt;Driver!$F$55,CB494&lt;Driver!$G$55)</f>
        <v/>
      </c>
      <c r="H494" s="60">
        <f>AND(B494:G494)</f>
        <v/>
      </c>
      <c r="I494" s="60">
        <f>COUNTIFS($H$9:$H$1273,TRUE,$BT$9:$BT$1273,BT494)</f>
        <v/>
      </c>
      <c r="J494" s="60">
        <f t="array" ref="J494">NOT(OR(($H$9:$H$1273=TRUE)*($I$9:$I$1273&gt;0)*($BT$9:$BT$1273=BT494)*($K$9:$K$1273&gt;K494)))</f>
        <v/>
      </c>
      <c r="K494" s="108">
        <f>IFERROR(1-AVERAGE(X494:Y494),"")</f>
        <v/>
      </c>
      <c r="L494" s="108">
        <f>1-X494</f>
        <v/>
      </c>
      <c r="M494" s="108">
        <f>1-Y494</f>
        <v/>
      </c>
      <c r="N494" s="108">
        <f>1-Z494</f>
        <v/>
      </c>
      <c r="O494" s="108">
        <f>1-AA494</f>
        <v/>
      </c>
      <c r="P494" s="108">
        <f>1-AB494</f>
        <v/>
      </c>
      <c r="Q494" s="108" t="n"/>
      <c r="R494" s="108" t="n"/>
      <c r="S494" s="108">
        <f>1-AE494</f>
        <v/>
      </c>
      <c r="T494" s="108">
        <f>1-AF494</f>
        <v/>
      </c>
      <c r="U494" s="108">
        <f>1-AG494</f>
        <v/>
      </c>
      <c r="V494" s="108">
        <f>1-AH494</f>
        <v/>
      </c>
      <c r="W494" s="108">
        <f>1-AI494</f>
        <v/>
      </c>
      <c r="X494" s="108">
        <f>ABS(AJ494-AJ$1)</f>
        <v/>
      </c>
      <c r="Y494" s="108">
        <f>AVERAGE(Z494:AB494)</f>
        <v/>
      </c>
      <c r="Z494" s="108">
        <f>ABS(AL494-AL$1)</f>
        <v/>
      </c>
      <c r="AA494" s="108">
        <f>ABS(AM494-AM$1)</f>
        <v/>
      </c>
      <c r="AB494" s="108">
        <f>ABS(AN494-AN$1)</f>
        <v/>
      </c>
      <c r="AC494" s="108" t="n"/>
      <c r="AD494" s="108" t="n"/>
      <c r="AE494" s="108">
        <f>ABS(AQ$1-AQ494)</f>
        <v/>
      </c>
      <c r="AF494" s="108">
        <f>ABS(AR$1-AR494)</f>
        <v/>
      </c>
      <c r="AG494" s="108">
        <f>ABS(AS$1-AS494)</f>
        <v/>
      </c>
      <c r="AH494" s="108">
        <f>ABS(AT$1-AT494)</f>
        <v/>
      </c>
      <c r="AI494" s="108">
        <f>ABS(AU$1-AU494)</f>
        <v/>
      </c>
      <c r="AJ494" s="108">
        <f>(AV494-Driver!$K$179)/(Driver!$L$179-Driver!$K$179)</f>
        <v/>
      </c>
      <c r="AK494" s="108">
        <f>(AW494-Driver!$K$180)/(Driver!$L$180-Driver!$K$180)</f>
        <v/>
      </c>
      <c r="AL494" s="108">
        <f>(AX494-Driver!$K$181)/(Driver!$L$181-Driver!$K$181)</f>
        <v/>
      </c>
      <c r="AM494" s="108">
        <f>(AY494-Driver!$K$182)/(Driver!$L$182-Driver!$K$182)</f>
        <v/>
      </c>
      <c r="AN494" s="108">
        <f>(AZ494-Driver!$K$183)/(Driver!$L$183-Driver!$K$183)</f>
        <v/>
      </c>
      <c r="AO494" s="108" t="n"/>
      <c r="AP494" s="108" t="n"/>
      <c r="AQ494" s="108">
        <f>(BC494-Driver!$K$188)/(Driver!$L$188-Driver!$K$188)</f>
        <v/>
      </c>
      <c r="AR494" s="108">
        <f>MIN((BD494-Driver!$K$189)/(Driver!$L$189-Driver!$K$189),100%)</f>
        <v/>
      </c>
      <c r="AS494" s="108">
        <f>(BE494-Driver!$K$190)/(Driver!$L$190-Driver!$K$190)</f>
        <v/>
      </c>
      <c r="AT494" s="108">
        <f>(BF494-Driver!$K$191)/(Driver!$L$191-Driver!$K$191)</f>
        <v/>
      </c>
      <c r="AU494" s="108">
        <f>(BG494-Driver!$K$192)/(Driver!$L$192-Driver!$K$192)</f>
        <v/>
      </c>
      <c r="AV494" s="105">
        <f>IFERROR(BM494*BJ494^1/4,"")</f>
        <v/>
      </c>
      <c r="AW494" s="105">
        <f>IFERROR(SUM(AX494:AZ494),"")</f>
        <v/>
      </c>
      <c r="AX494" s="105">
        <f>IFERROR(BH494,"")</f>
        <v/>
      </c>
      <c r="AY494" s="105">
        <f>IFERROR(Driver!$K$19/Data!BH494/Data!BI494*Data!BK494*Data!BL494,"")</f>
        <v/>
      </c>
      <c r="AZ494" s="105">
        <f>IFERROR(BI494*BN494,"")</f>
        <v/>
      </c>
      <c r="BA494" s="105" t="n"/>
      <c r="BB494" s="105" t="n"/>
      <c r="BC494" s="105">
        <f>IFERROR(BI494*BN494*BK494/BJ494^(1/2),"")</f>
        <v/>
      </c>
      <c r="BD494" s="105">
        <f>IFERROR(BH494*BM494*BL494/BJ494/BK494,"")</f>
        <v/>
      </c>
      <c r="BE494" s="105">
        <f>IFERROR(MIN(BI494/BQ494/BP494/BO494/BH494,$BE$1),"")</f>
        <v/>
      </c>
      <c r="BF494" s="105">
        <f>IFERROR(BJ494*BO494*BP494/BK494,"")</f>
        <v/>
      </c>
      <c r="BG494" s="105">
        <f>IFERROR(1/BM494/BH494*BQ494,"")</f>
        <v/>
      </c>
      <c r="BH494" s="102">
        <f>MAX((CE494-Driver!$F$200)/(Driver!$G$200-Driver!$F$200)*$BI$1,1)</f>
        <v/>
      </c>
      <c r="BI494" s="102">
        <f>MAX($BI$1*(BY494-Driver!$F$201)/(Driver!$G$201-Driver!$F$201),1)</f>
        <v/>
      </c>
      <c r="BJ494" s="102">
        <f>(CB494-Driver!$F$206)/(Driver!$G$206-Driver!$F$206)*$BI$1</f>
        <v/>
      </c>
      <c r="BK494" s="102">
        <f>(CD494-Driver!$F$203)/(Driver!$G$203-Driver!$F$203)*$BI$1</f>
        <v/>
      </c>
      <c r="BL494" s="102">
        <f>MAX((CR494-Driver!$F$202)/(Driver!$G$202-Driver!$F$202)*$BI$1,1)</f>
        <v/>
      </c>
      <c r="BM494" s="102">
        <f>MAX((CH494-Driver!$F$204)/(Driver!$G$204-Driver!$F$204)*$BI$1,1)</f>
        <v/>
      </c>
      <c r="BN494" s="102">
        <f>(CI494-Driver!$F$205)/(Driver!$G$205-Driver!$F$205)*$BI$1</f>
        <v/>
      </c>
      <c r="BO494" s="102">
        <f>(CK494-Driver!$F$207)/(Driver!$G$207-Driver!$F$207)*$BI$1</f>
        <v/>
      </c>
      <c r="BP494" s="102">
        <f>(CM494-Driver!$F$208)/(Driver!$G$208-Driver!$F$208)*$BI$1</f>
        <v/>
      </c>
      <c r="BQ494" s="102">
        <f>(CL494-Driver!$F$209)/(Driver!$G$209-Driver!$F$209)*$BI$1</f>
        <v/>
      </c>
      <c r="BR494" s="40" t="inlineStr">
        <is>
          <t>21/22</t>
        </is>
      </c>
      <c r="BS494" s="10" t="inlineStr">
        <is>
          <t xml:space="preserve"> Blizzard</t>
        </is>
      </c>
      <c r="BT494" s="11" t="inlineStr">
        <is>
          <t>Black Pearl 97</t>
        </is>
      </c>
      <c r="BU494" s="13" t="n">
        <v>159</v>
      </c>
      <c r="BV494" s="11" t="inlineStr">
        <is>
          <t xml:space="preserve"> Women's</t>
        </is>
      </c>
      <c r="BW494" s="13" t="n">
        <v>159</v>
      </c>
      <c r="BX494" s="13" t="n">
        <v>157.7</v>
      </c>
      <c r="BY494" s="13" t="n">
        <v>124</v>
      </c>
      <c r="BZ494" s="13" t="n">
        <v>134</v>
      </c>
      <c r="CA494" s="13" t="n">
        <v>135</v>
      </c>
      <c r="CB494" s="13" t="n">
        <v>96</v>
      </c>
      <c r="CC494" s="13" t="n">
        <v>117</v>
      </c>
      <c r="CD494" s="13" t="n">
        <v>14.4</v>
      </c>
      <c r="CE494" s="13" t="n">
        <v>1753</v>
      </c>
      <c r="CF494" s="13" t="n">
        <v>0.97</v>
      </c>
      <c r="CG494" s="13" t="n">
        <v>1700</v>
      </c>
      <c r="CH494" s="13" t="n">
        <v>155</v>
      </c>
      <c r="CI494" s="13" t="n">
        <v>83</v>
      </c>
      <c r="CJ494" s="13" t="n">
        <v>59</v>
      </c>
      <c r="CK494" s="13" t="n">
        <v>230</v>
      </c>
      <c r="CL494" s="13" t="n">
        <v>7</v>
      </c>
      <c r="CM494" s="13" t="n">
        <v>112</v>
      </c>
      <c r="CN494" s="13" t="n">
        <v>0.126</v>
      </c>
      <c r="CO494" s="13" t="n">
        <v>130</v>
      </c>
      <c r="CP494" s="13" t="n">
        <v>109</v>
      </c>
      <c r="CQ494" s="13" t="n">
        <v>99</v>
      </c>
      <c r="CR494" s="13" t="n">
        <v>5</v>
      </c>
      <c r="CS494" s="13" t="n">
        <v>11.3</v>
      </c>
      <c r="CT494" s="11" t="inlineStr">
        <is>
          <t xml:space="preserve"> Resort Freeride</t>
        </is>
      </c>
      <c r="CU494" s="13" t="n"/>
      <c r="CV494" s="13" t="n"/>
      <c r="CW494" s="13" t="n"/>
      <c r="CX494">
        <f>INDEX('Data_Price '!AG$2:AG$1266,MATCH(Data!$DN494,'Data_Price '!$AT$2:$AT$1266,0))</f>
        <v/>
      </c>
      <c r="CY494">
        <f>INDEX('Data_Price '!AH$2:AH$1266,MATCH(Data!$DN494,'Data_Price '!$AT$2:$AT$1266,0))</f>
        <v/>
      </c>
      <c r="CZ494">
        <f>INDEX('Data_Price '!AI$2:AI$1266,MATCH(Data!$DN494,'Data_Price '!$AT$2:$AT$1266,0))</f>
        <v/>
      </c>
      <c r="DA494">
        <f>INDEX('Data_Price '!AJ$2:AJ$1266,MATCH(Data!$DN494,'Data_Price '!$AT$2:$AT$1266,0))</f>
        <v/>
      </c>
      <c r="DB494">
        <f>INDEX('Data_Price '!AK$2:AK$1266,MATCH(Data!$DN494,'Data_Price '!$AT$2:$AT$1266,0))</f>
        <v/>
      </c>
      <c r="DC494">
        <f>INDEX('Data_Price '!AL$2:AL$1266,MATCH(Data!$DN494,'Data_Price '!$AT$2:$AT$1266,0))</f>
        <v/>
      </c>
      <c r="DD494">
        <f>INDEX('Data_Price '!AM$2:AM$1266,MATCH(Data!$DN494,'Data_Price '!$AT$2:$AT$1266,0))</f>
        <v/>
      </c>
      <c r="DE494">
        <f>INDEX('Data_Price '!AN$2:AN$1266,MATCH(Data!$DN494,'Data_Price '!$AT$2:$AT$1266,0))</f>
        <v/>
      </c>
      <c r="DF494">
        <f>INDEX('Data_Price '!AO$2:AO$1266,MATCH(Data!$DN494,'Data_Price '!$AT$2:$AT$1266,0))</f>
        <v/>
      </c>
      <c r="DG494">
        <f>INDEX('Data_Price '!AP$2:AP$1266,MATCH(Data!$DN494,'Data_Price '!$AT$2:$AT$1266,0))</f>
        <v/>
      </c>
      <c r="DH494">
        <f>INDEX('Data_Price '!AQ$2:AQ$1266,MATCH(Data!$DN494,'Data_Price '!$AT$2:$AT$1266,0))</f>
        <v/>
      </c>
      <c r="DI494">
        <f>INDEX('Data_Price '!AR$2:AR$1266,MATCH(Data!$DN494,'Data_Price '!$AT$2:$AT$1266,0))</f>
        <v/>
      </c>
      <c r="DJ494" s="138">
        <f>DA494</f>
        <v/>
      </c>
      <c r="DK494" s="138">
        <f>DE494</f>
        <v/>
      </c>
      <c r="DL494" s="138">
        <f>DI494</f>
        <v/>
      </c>
      <c r="DM494" s="303">
        <f>IF(LEFT(BT494,1)=" ",RIGHT(BT494,LEN(BT494)-1),BT494)</f>
        <v/>
      </c>
      <c r="DN494" s="138">
        <f>_xlfn.CONCAT(BS494,DM494,BU494,BV494)</f>
        <v/>
      </c>
      <c r="DO494" s="307" t="inlineStr">
        <is>
          <t>https://images.evo.com/imgp/250/176882/722692/blizzard-black-pearl-97-skis-women-s-2022-.jpg</t>
        </is>
      </c>
    </row>
    <row r="495" ht="15.6" customHeight="1" s="184">
      <c r="B495" s="303">
        <f t="array" ref="B495">IF(OR(ISERROR(K495:P495)),FALSE,TRUE)</f>
        <v/>
      </c>
      <c r="C495" s="60">
        <f>OR(BR495=Driver!$G$50,Data!BR242=Driver!$H$50)</f>
        <v/>
      </c>
      <c r="D495" s="60">
        <f>OR(BV495=Driver!$G$51,BV495=Driver!$H$51)</f>
        <v/>
      </c>
      <c r="E495" s="60">
        <f>AND(BX495&gt;Driver!$F$54,BX495&lt;Driver!$G$54)</f>
        <v/>
      </c>
      <c r="F495" s="60">
        <f>CL495&gt;Driver!$F$56</f>
        <v/>
      </c>
      <c r="G495" s="60">
        <f>AND(CB495&gt;Driver!$F$55,CB495&lt;Driver!$G$55)</f>
        <v/>
      </c>
      <c r="H495" s="60">
        <f>AND(B495:G495)</f>
        <v/>
      </c>
      <c r="I495" s="60">
        <f>COUNTIFS($H$9:$H$1273,TRUE,$BT$9:$BT$1273,BT495)</f>
        <v/>
      </c>
      <c r="J495" s="60">
        <f t="array" ref="J495">NOT(OR(($H$9:$H$1273=TRUE)*($I$9:$I$1273&gt;0)*($BT$9:$BT$1273=BT495)*($K$9:$K$1273&gt;K495)))</f>
        <v/>
      </c>
      <c r="K495" s="108">
        <f>IFERROR(1-AVERAGE(X495:Y495),"")</f>
        <v/>
      </c>
      <c r="L495" s="108">
        <f>1-X495</f>
        <v/>
      </c>
      <c r="M495" s="108">
        <f>1-Y495</f>
        <v/>
      </c>
      <c r="N495" s="108">
        <f>1-Z495</f>
        <v/>
      </c>
      <c r="O495" s="108">
        <f>1-AA495</f>
        <v/>
      </c>
      <c r="P495" s="108">
        <f>1-AB495</f>
        <v/>
      </c>
      <c r="Q495" s="108" t="n"/>
      <c r="R495" s="108" t="n"/>
      <c r="S495" s="108">
        <f>1-AE495</f>
        <v/>
      </c>
      <c r="T495" s="108">
        <f>1-AF495</f>
        <v/>
      </c>
      <c r="U495" s="108">
        <f>1-AG495</f>
        <v/>
      </c>
      <c r="V495" s="108">
        <f>1-AH495</f>
        <v/>
      </c>
      <c r="W495" s="108">
        <f>1-AI495</f>
        <v/>
      </c>
      <c r="X495" s="108">
        <f>ABS(AJ495-AJ$1)</f>
        <v/>
      </c>
      <c r="Y495" s="108">
        <f>AVERAGE(Z495:AB495)</f>
        <v/>
      </c>
      <c r="Z495" s="108">
        <f>ABS(AL495-AL$1)</f>
        <v/>
      </c>
      <c r="AA495" s="108">
        <f>ABS(AM495-AM$1)</f>
        <v/>
      </c>
      <c r="AB495" s="108">
        <f>ABS(AN495-AN$1)</f>
        <v/>
      </c>
      <c r="AC495" s="108" t="n"/>
      <c r="AD495" s="108" t="n"/>
      <c r="AE495" s="108">
        <f>ABS(AQ$1-AQ495)</f>
        <v/>
      </c>
      <c r="AF495" s="108">
        <f>ABS(AR$1-AR495)</f>
        <v/>
      </c>
      <c r="AG495" s="108">
        <f>ABS(AS$1-AS495)</f>
        <v/>
      </c>
      <c r="AH495" s="108">
        <f>ABS(AT$1-AT495)</f>
        <v/>
      </c>
      <c r="AI495" s="108">
        <f>ABS(AU$1-AU495)</f>
        <v/>
      </c>
      <c r="AJ495" s="108">
        <f>(AV495-Driver!$K$179)/(Driver!$L$179-Driver!$K$179)</f>
        <v/>
      </c>
      <c r="AK495" s="108">
        <f>(AW495-Driver!$K$180)/(Driver!$L$180-Driver!$K$180)</f>
        <v/>
      </c>
      <c r="AL495" s="108">
        <f>(AX495-Driver!$K$181)/(Driver!$L$181-Driver!$K$181)</f>
        <v/>
      </c>
      <c r="AM495" s="108">
        <f>(AY495-Driver!$K$182)/(Driver!$L$182-Driver!$K$182)</f>
        <v/>
      </c>
      <c r="AN495" s="108">
        <f>(AZ495-Driver!$K$183)/(Driver!$L$183-Driver!$K$183)</f>
        <v/>
      </c>
      <c r="AO495" s="108" t="n"/>
      <c r="AP495" s="108" t="n"/>
      <c r="AQ495" s="108">
        <f>(BC495-Driver!$K$188)/(Driver!$L$188-Driver!$K$188)</f>
        <v/>
      </c>
      <c r="AR495" s="108">
        <f>MIN((BD495-Driver!$K$189)/(Driver!$L$189-Driver!$K$189),100%)</f>
        <v/>
      </c>
      <c r="AS495" s="108">
        <f>(BE495-Driver!$K$190)/(Driver!$L$190-Driver!$K$190)</f>
        <v/>
      </c>
      <c r="AT495" s="108">
        <f>(BF495-Driver!$K$191)/(Driver!$L$191-Driver!$K$191)</f>
        <v/>
      </c>
      <c r="AU495" s="108">
        <f>(BG495-Driver!$K$192)/(Driver!$L$192-Driver!$K$192)</f>
        <v/>
      </c>
      <c r="AV495" s="105">
        <f>IFERROR(BM495*BJ495^1/4,"")</f>
        <v/>
      </c>
      <c r="AW495" s="105">
        <f>IFERROR(SUM(AX495:AZ495),"")</f>
        <v/>
      </c>
      <c r="AX495" s="105">
        <f>IFERROR(BH495,"")</f>
        <v/>
      </c>
      <c r="AY495" s="105">
        <f>IFERROR(Driver!$K$19/Data!BH495/Data!BI495*Data!BK495*Data!BL495,"")</f>
        <v/>
      </c>
      <c r="AZ495" s="105">
        <f>IFERROR(BI495*BN495,"")</f>
        <v/>
      </c>
      <c r="BA495" s="105" t="n"/>
      <c r="BB495" s="105" t="n"/>
      <c r="BC495" s="105">
        <f>IFERROR(BI495*BN495*BK495/BJ495^(1/2),"")</f>
        <v/>
      </c>
      <c r="BD495" s="105">
        <f>IFERROR(BH495*BM495*BL495/BJ495/BK495,"")</f>
        <v/>
      </c>
      <c r="BE495" s="105">
        <f>IFERROR(MIN(BI495/BQ495/BP495/BO495/BH495,$BE$1),"")</f>
        <v/>
      </c>
      <c r="BF495" s="105">
        <f>IFERROR(BJ495*BO495*BP495/BK495,"")</f>
        <v/>
      </c>
      <c r="BG495" s="105">
        <f>IFERROR(1/BM495/BH495*BQ495,"")</f>
        <v/>
      </c>
      <c r="BH495" s="102">
        <f>MAX((CE495-Driver!$F$200)/(Driver!$G$200-Driver!$F$200)*$BI$1,1)</f>
        <v/>
      </c>
      <c r="BI495" s="102">
        <f>MAX($BI$1*(BY495-Driver!$F$201)/(Driver!$G$201-Driver!$F$201),1)</f>
        <v/>
      </c>
      <c r="BJ495" s="102">
        <f>(CB495-Driver!$F$206)/(Driver!$G$206-Driver!$F$206)*$BI$1</f>
        <v/>
      </c>
      <c r="BK495" s="102">
        <f>(CD495-Driver!$F$203)/(Driver!$G$203-Driver!$F$203)*$BI$1</f>
        <v/>
      </c>
      <c r="BL495" s="102">
        <f>MAX((CR495-Driver!$F$202)/(Driver!$G$202-Driver!$F$202)*$BI$1,1)</f>
        <v/>
      </c>
      <c r="BM495" s="102">
        <f>MAX((CH495-Driver!$F$204)/(Driver!$G$204-Driver!$F$204)*$BI$1,1)</f>
        <v/>
      </c>
      <c r="BN495" s="102">
        <f>(CI495-Driver!$F$205)/(Driver!$G$205-Driver!$F$205)*$BI$1</f>
        <v/>
      </c>
      <c r="BO495" s="102">
        <f>(CK495-Driver!$F$207)/(Driver!$G$207-Driver!$F$207)*$BI$1</f>
        <v/>
      </c>
      <c r="BP495" s="102">
        <f>(CM495-Driver!$F$208)/(Driver!$G$208-Driver!$F$208)*$BI$1</f>
        <v/>
      </c>
      <c r="BQ495" s="102">
        <f>(CL495-Driver!$F$209)/(Driver!$G$209-Driver!$F$209)*$BI$1</f>
        <v/>
      </c>
      <c r="BR495" s="40" t="inlineStr">
        <is>
          <t>21/22</t>
        </is>
      </c>
      <c r="BS495" s="10" t="inlineStr">
        <is>
          <t xml:space="preserve"> Black Crows</t>
        </is>
      </c>
      <c r="BT495" s="11" t="inlineStr">
        <is>
          <t xml:space="preserve"> Serpo</t>
        </is>
      </c>
      <c r="BU495" s="13" t="n">
        <v>168.2</v>
      </c>
      <c r="BV495" s="11" t="inlineStr">
        <is>
          <t xml:space="preserve"> Unisex</t>
        </is>
      </c>
      <c r="BW495" s="13" t="n">
        <v>168.2</v>
      </c>
      <c r="BX495" s="13" t="n">
        <v>167.8</v>
      </c>
      <c r="BY495" s="13" t="n">
        <v>112</v>
      </c>
      <c r="BZ495" s="13" t="n">
        <v>149</v>
      </c>
      <c r="CA495" s="13" t="n">
        <v>128</v>
      </c>
      <c r="CB495" s="13" t="n">
        <v>92</v>
      </c>
      <c r="CC495" s="13" t="n">
        <v>111</v>
      </c>
      <c r="CD495" s="13" t="n">
        <v>19.7</v>
      </c>
      <c r="CE495" s="13" t="n">
        <v>1721</v>
      </c>
      <c r="CF495" s="13" t="n">
        <v>1</v>
      </c>
      <c r="CG495" s="13" t="n">
        <v>1713</v>
      </c>
      <c r="CH495" s="13" t="n">
        <v>167</v>
      </c>
      <c r="CI495" s="13" t="n">
        <v>89</v>
      </c>
      <c r="CJ495" s="13" t="n">
        <v>46</v>
      </c>
      <c r="CK495" s="13" t="n">
        <v>309</v>
      </c>
      <c r="CL495" s="13" t="n">
        <v>13</v>
      </c>
      <c r="CM495" s="13" t="n">
        <v>246</v>
      </c>
      <c r="CN495" s="13" t="n">
        <v>0.28</v>
      </c>
      <c r="CO495" s="13" t="n">
        <v>100</v>
      </c>
      <c r="CP495" s="13" t="n">
        <v>89</v>
      </c>
      <c r="CQ495" s="13" t="n">
        <v>209</v>
      </c>
      <c r="CR495" s="13" t="n">
        <v>4</v>
      </c>
      <c r="CS495" s="13" t="n">
        <v>7.9</v>
      </c>
      <c r="CT495" s="11" t="inlineStr">
        <is>
          <t xml:space="preserve"> Resort Freeride</t>
        </is>
      </c>
      <c r="CU495" s="13" t="n"/>
      <c r="CV495" s="13" t="n"/>
      <c r="CW495" s="13" t="n"/>
      <c r="CX495">
        <f>INDEX('Data_Price '!AG$2:AG$1266,MATCH(Data!$DN495,'Data_Price '!$AT$2:$AT$1266,0))</f>
        <v/>
      </c>
      <c r="CY495">
        <f>INDEX('Data_Price '!AH$2:AH$1266,MATCH(Data!$DN495,'Data_Price '!$AT$2:$AT$1266,0))</f>
        <v/>
      </c>
      <c r="CZ495">
        <f>INDEX('Data_Price '!AI$2:AI$1266,MATCH(Data!$DN495,'Data_Price '!$AT$2:$AT$1266,0))</f>
        <v/>
      </c>
      <c r="DA495">
        <f>INDEX('Data_Price '!AJ$2:AJ$1266,MATCH(Data!$DN495,'Data_Price '!$AT$2:$AT$1266,0))</f>
        <v/>
      </c>
      <c r="DB495">
        <f>INDEX('Data_Price '!AK$2:AK$1266,MATCH(Data!$DN495,'Data_Price '!$AT$2:$AT$1266,0))</f>
        <v/>
      </c>
      <c r="DC495">
        <f>INDEX('Data_Price '!AL$2:AL$1266,MATCH(Data!$DN495,'Data_Price '!$AT$2:$AT$1266,0))</f>
        <v/>
      </c>
      <c r="DD495">
        <f>INDEX('Data_Price '!AM$2:AM$1266,MATCH(Data!$DN495,'Data_Price '!$AT$2:$AT$1266,0))</f>
        <v/>
      </c>
      <c r="DE495">
        <f>INDEX('Data_Price '!AN$2:AN$1266,MATCH(Data!$DN495,'Data_Price '!$AT$2:$AT$1266,0))</f>
        <v/>
      </c>
      <c r="DF495">
        <f>INDEX('Data_Price '!AO$2:AO$1266,MATCH(Data!$DN495,'Data_Price '!$AT$2:$AT$1266,0))</f>
        <v/>
      </c>
      <c r="DG495">
        <f>INDEX('Data_Price '!AP$2:AP$1266,MATCH(Data!$DN495,'Data_Price '!$AT$2:$AT$1266,0))</f>
        <v/>
      </c>
      <c r="DH495">
        <f>INDEX('Data_Price '!AQ$2:AQ$1266,MATCH(Data!$DN495,'Data_Price '!$AT$2:$AT$1266,0))</f>
        <v/>
      </c>
      <c r="DI495">
        <f>INDEX('Data_Price '!AR$2:AR$1266,MATCH(Data!$DN495,'Data_Price '!$AT$2:$AT$1266,0))</f>
        <v/>
      </c>
      <c r="DJ495" s="138">
        <f>DA495</f>
        <v/>
      </c>
      <c r="DK495" s="138">
        <f>DE495</f>
        <v/>
      </c>
      <c r="DL495" s="138">
        <f>DI495</f>
        <v/>
      </c>
      <c r="DM495" s="303">
        <f>IF(LEFT(BT495,1)=" ",RIGHT(BT495,LEN(BT495)-1),BT495)</f>
        <v/>
      </c>
      <c r="DN495" s="138">
        <f>_xlfn.CONCAT(BS495,DM495,BU495,BV495)</f>
        <v/>
      </c>
      <c r="DO495" s="307" t="inlineStr">
        <is>
          <t>https://images.evo.com/imgp/250/202411/868118/clone.jpg</t>
        </is>
      </c>
    </row>
    <row r="496" ht="15.6" customHeight="1" s="184">
      <c r="B496" s="303">
        <f t="array" ref="B496">IF(OR(ISERROR(K496:P496)),FALSE,TRUE)</f>
        <v/>
      </c>
      <c r="C496" s="60">
        <f>OR(BR496=Driver!$G$50,Data!BR1026=Driver!$H$50)</f>
        <v/>
      </c>
      <c r="D496" s="60">
        <f>OR(BV496=Driver!$G$51,BV496=Driver!$H$51)</f>
        <v/>
      </c>
      <c r="E496" s="60">
        <f>AND(BX496&gt;Driver!$F$54,BX496&lt;Driver!$G$54)</f>
        <v/>
      </c>
      <c r="F496" s="60">
        <f>CL496&gt;Driver!$F$56</f>
        <v/>
      </c>
      <c r="G496" s="60">
        <f>AND(CB496&gt;Driver!$F$55,CB496&lt;Driver!$G$55)</f>
        <v/>
      </c>
      <c r="H496" s="60">
        <f>AND(B496:G496)</f>
        <v/>
      </c>
      <c r="I496" s="60">
        <f>COUNTIFS($H$9:$H$1273,TRUE,$BT$9:$BT$1273,BT496)</f>
        <v/>
      </c>
      <c r="J496" s="60">
        <f t="array" ref="J496">NOT(OR(($H$9:$H$1273=TRUE)*($I$9:$I$1273&gt;0)*($BT$9:$BT$1273=BT496)*($K$9:$K$1273&gt;K496)))</f>
        <v/>
      </c>
      <c r="K496" s="108">
        <f>IFERROR(1-AVERAGE(X496:Y496),"")</f>
        <v/>
      </c>
      <c r="L496" s="108">
        <f>1-X496</f>
        <v/>
      </c>
      <c r="M496" s="108">
        <f>1-Y496</f>
        <v/>
      </c>
      <c r="N496" s="108">
        <f>1-Z496</f>
        <v/>
      </c>
      <c r="O496" s="108">
        <f>1-AA496</f>
        <v/>
      </c>
      <c r="P496" s="108">
        <f>1-AB496</f>
        <v/>
      </c>
      <c r="Q496" s="108" t="n"/>
      <c r="R496" s="108" t="n"/>
      <c r="S496" s="108">
        <f>1-AE496</f>
        <v/>
      </c>
      <c r="T496" s="108">
        <f>1-AF496</f>
        <v/>
      </c>
      <c r="U496" s="108">
        <f>1-AG496</f>
        <v/>
      </c>
      <c r="V496" s="108">
        <f>1-AH496</f>
        <v/>
      </c>
      <c r="W496" s="108">
        <f>1-AI496</f>
        <v/>
      </c>
      <c r="X496" s="108">
        <f>ABS(AJ496-AJ$1)</f>
        <v/>
      </c>
      <c r="Y496" s="108">
        <f>AVERAGE(Z496:AB496)</f>
        <v/>
      </c>
      <c r="Z496" s="108">
        <f>ABS(AL496-AL$1)</f>
        <v/>
      </c>
      <c r="AA496" s="108">
        <f>ABS(AM496-AM$1)</f>
        <v/>
      </c>
      <c r="AB496" s="108">
        <f>ABS(AN496-AN$1)</f>
        <v/>
      </c>
      <c r="AC496" s="108" t="n"/>
      <c r="AD496" s="108" t="n"/>
      <c r="AE496" s="108">
        <f>ABS(AQ$1-AQ496)</f>
        <v/>
      </c>
      <c r="AF496" s="108">
        <f>ABS(AR$1-AR496)</f>
        <v/>
      </c>
      <c r="AG496" s="108">
        <f>ABS(AS$1-AS496)</f>
        <v/>
      </c>
      <c r="AH496" s="108">
        <f>ABS(AT$1-AT496)</f>
        <v/>
      </c>
      <c r="AI496" s="108">
        <f>ABS(AU$1-AU496)</f>
        <v/>
      </c>
      <c r="AJ496" s="108">
        <f>(AV496-Driver!$K$179)/(Driver!$L$179-Driver!$K$179)</f>
        <v/>
      </c>
      <c r="AK496" s="108">
        <f>(AW496-Driver!$K$180)/(Driver!$L$180-Driver!$K$180)</f>
        <v/>
      </c>
      <c r="AL496" s="108">
        <f>(AX496-Driver!$K$181)/(Driver!$L$181-Driver!$K$181)</f>
        <v/>
      </c>
      <c r="AM496" s="108">
        <f>(AY496-Driver!$K$182)/(Driver!$L$182-Driver!$K$182)</f>
        <v/>
      </c>
      <c r="AN496" s="108">
        <f>(AZ496-Driver!$K$183)/(Driver!$L$183-Driver!$K$183)</f>
        <v/>
      </c>
      <c r="AO496" s="108" t="n"/>
      <c r="AP496" s="108" t="n"/>
      <c r="AQ496" s="108">
        <f>(BC496-Driver!$K$188)/(Driver!$L$188-Driver!$K$188)</f>
        <v/>
      </c>
      <c r="AR496" s="108">
        <f>MIN((BD496-Driver!$K$189)/(Driver!$L$189-Driver!$K$189),100%)</f>
        <v/>
      </c>
      <c r="AS496" s="108">
        <f>(BE496-Driver!$K$190)/(Driver!$L$190-Driver!$K$190)</f>
        <v/>
      </c>
      <c r="AT496" s="108">
        <f>(BF496-Driver!$K$191)/(Driver!$L$191-Driver!$K$191)</f>
        <v/>
      </c>
      <c r="AU496" s="108">
        <f>(BG496-Driver!$K$192)/(Driver!$L$192-Driver!$K$192)</f>
        <v/>
      </c>
      <c r="AV496" s="105">
        <f>IFERROR(BM496*BJ496^1/4,"")</f>
        <v/>
      </c>
      <c r="AW496" s="105">
        <f>IFERROR(SUM(AX496:AZ496),"")</f>
        <v/>
      </c>
      <c r="AX496" s="105">
        <f>IFERROR(BH496,"")</f>
        <v/>
      </c>
      <c r="AY496" s="105">
        <f>IFERROR(Driver!$K$19/Data!BH496/Data!BI496*Data!BK496*Data!BL496,"")</f>
        <v/>
      </c>
      <c r="AZ496" s="105">
        <f>IFERROR(BI496*BN496,"")</f>
        <v/>
      </c>
      <c r="BA496" s="105" t="n"/>
      <c r="BB496" s="105" t="n"/>
      <c r="BC496" s="105">
        <f>IFERROR(BI496*BN496*BK496/BJ496^(1/2),"")</f>
        <v/>
      </c>
      <c r="BD496" s="105">
        <f>IFERROR(BH496*BM496*BL496/BJ496/BK496,"")</f>
        <v/>
      </c>
      <c r="BE496" s="105">
        <f>IFERROR(MIN(BI496/BQ496/BP496/BO496/BH496,$BE$1),"")</f>
        <v/>
      </c>
      <c r="BF496" s="105">
        <f>IFERROR(BJ496*BO496*BP496/BK496,"")</f>
        <v/>
      </c>
      <c r="BG496" s="105">
        <f>IFERROR(1/BM496/BH496*BQ496,"")</f>
        <v/>
      </c>
      <c r="BH496" s="102">
        <f>MAX((CE496-Driver!$F$200)/(Driver!$G$200-Driver!$F$200)*$BI$1,1)</f>
        <v/>
      </c>
      <c r="BI496" s="102">
        <f>MAX($BI$1*(BY496-Driver!$F$201)/(Driver!$G$201-Driver!$F$201),1)</f>
        <v/>
      </c>
      <c r="BJ496" s="102">
        <f>(CB496-Driver!$F$206)/(Driver!$G$206-Driver!$F$206)*$BI$1</f>
        <v/>
      </c>
      <c r="BK496" s="102">
        <f>(CD496-Driver!$F$203)/(Driver!$G$203-Driver!$F$203)*$BI$1</f>
        <v/>
      </c>
      <c r="BL496" s="102">
        <f>MAX((CR496-Driver!$F$202)/(Driver!$G$202-Driver!$F$202)*$BI$1,1)</f>
        <v/>
      </c>
      <c r="BM496" s="102">
        <f>MAX((CH496-Driver!$F$204)/(Driver!$G$204-Driver!$F$204)*$BI$1,1)</f>
        <v/>
      </c>
      <c r="BN496" s="102">
        <f>(CI496-Driver!$F$205)/(Driver!$G$205-Driver!$F$205)*$BI$1</f>
        <v/>
      </c>
      <c r="BO496" s="102">
        <f>(CK496-Driver!$F$207)/(Driver!$G$207-Driver!$F$207)*$BI$1</f>
        <v/>
      </c>
      <c r="BP496" s="102">
        <f>(CM496-Driver!$F$208)/(Driver!$G$208-Driver!$F$208)*$BI$1</f>
        <v/>
      </c>
      <c r="BQ496" s="102">
        <f>(CL496-Driver!$F$209)/(Driver!$G$209-Driver!$F$209)*$BI$1</f>
        <v/>
      </c>
      <c r="BR496" s="40" t="inlineStr">
        <is>
          <t>21/22</t>
        </is>
      </c>
      <c r="BS496" s="10" t="inlineStr">
        <is>
          <t xml:space="preserve"> Rossignol</t>
        </is>
      </c>
      <c r="BT496" s="11" t="inlineStr">
        <is>
          <t xml:space="preserve"> Hero Elite Multi Turn Ca</t>
        </is>
      </c>
      <c r="BU496" s="13" t="n">
        <v>167</v>
      </c>
      <c r="BV496" s="11" t="inlineStr">
        <is>
          <t xml:space="preserve"> Unisex</t>
        </is>
      </c>
      <c r="BW496" s="13" t="n">
        <v>167</v>
      </c>
      <c r="BX496" s="13" t="n">
        <v>167.5</v>
      </c>
      <c r="BY496" s="13" t="n">
        <v>147</v>
      </c>
      <c r="BZ496" s="13" t="n">
        <v>154</v>
      </c>
      <c r="CA496" s="13" t="n">
        <v>122</v>
      </c>
      <c r="CB496" s="13" t="n">
        <v>73</v>
      </c>
      <c r="CC496" s="13" t="n">
        <v>108</v>
      </c>
      <c r="CD496" s="13" t="n">
        <v>13.9</v>
      </c>
      <c r="CE496" s="13" t="n">
        <v>1803</v>
      </c>
      <c r="CF496" s="13" t="n">
        <v>0.83</v>
      </c>
      <c r="CG496" s="13" t="n">
        <v>1491</v>
      </c>
      <c r="CH496" s="13" t="n">
        <v>209</v>
      </c>
      <c r="CI496" s="13" t="n">
        <v>85</v>
      </c>
      <c r="CJ496" s="13" t="n">
        <v>39</v>
      </c>
      <c r="CK496" s="13" t="n">
        <v>141</v>
      </c>
      <c r="CL496" s="13" t="n">
        <v>4</v>
      </c>
      <c r="CM496" s="13" t="n">
        <v>66</v>
      </c>
      <c r="CN496" s="13" t="n">
        <v>0.111</v>
      </c>
      <c r="CO496" s="13" t="n">
        <v>79</v>
      </c>
      <c r="CP496" s="13" t="n">
        <v>59</v>
      </c>
      <c r="CQ496" s="13" t="n">
        <v>63</v>
      </c>
      <c r="CR496" s="13" t="n">
        <v>11</v>
      </c>
      <c r="CS496" s="13" t="n">
        <v>10.5</v>
      </c>
      <c r="CT496" s="11" t="inlineStr">
        <is>
          <t xml:space="preserve"> On-Piste Carving</t>
        </is>
      </c>
      <c r="CU496" s="13" t="n"/>
      <c r="CV496" s="13" t="n"/>
      <c r="CW496" s="13" t="n"/>
      <c r="CX496">
        <f>INDEX('Data_Price '!AG$2:AG$1266,MATCH(Data!$DN496,'Data_Price '!$AT$2:$AT$1266,0))</f>
        <v/>
      </c>
      <c r="CY496">
        <f>INDEX('Data_Price '!AH$2:AH$1266,MATCH(Data!$DN496,'Data_Price '!$AT$2:$AT$1266,0))</f>
        <v/>
      </c>
      <c r="CZ496">
        <f>INDEX('Data_Price '!AI$2:AI$1266,MATCH(Data!$DN496,'Data_Price '!$AT$2:$AT$1266,0))</f>
        <v/>
      </c>
      <c r="DA496">
        <f>INDEX('Data_Price '!AJ$2:AJ$1266,MATCH(Data!$DN496,'Data_Price '!$AT$2:$AT$1266,0))</f>
        <v/>
      </c>
      <c r="DB496">
        <f>INDEX('Data_Price '!AK$2:AK$1266,MATCH(Data!$DN496,'Data_Price '!$AT$2:$AT$1266,0))</f>
        <v/>
      </c>
      <c r="DC496">
        <f>INDEX('Data_Price '!AL$2:AL$1266,MATCH(Data!$DN496,'Data_Price '!$AT$2:$AT$1266,0))</f>
        <v/>
      </c>
      <c r="DD496">
        <f>INDEX('Data_Price '!AM$2:AM$1266,MATCH(Data!$DN496,'Data_Price '!$AT$2:$AT$1266,0))</f>
        <v/>
      </c>
      <c r="DE496">
        <f>INDEX('Data_Price '!AN$2:AN$1266,MATCH(Data!$DN496,'Data_Price '!$AT$2:$AT$1266,0))</f>
        <v/>
      </c>
      <c r="DF496">
        <f>INDEX('Data_Price '!AO$2:AO$1266,MATCH(Data!$DN496,'Data_Price '!$AT$2:$AT$1266,0))</f>
        <v/>
      </c>
      <c r="DG496">
        <f>INDEX('Data_Price '!AP$2:AP$1266,MATCH(Data!$DN496,'Data_Price '!$AT$2:$AT$1266,0))</f>
        <v/>
      </c>
      <c r="DH496">
        <f>INDEX('Data_Price '!AQ$2:AQ$1266,MATCH(Data!$DN496,'Data_Price '!$AT$2:$AT$1266,0))</f>
        <v/>
      </c>
      <c r="DI496">
        <f>INDEX('Data_Price '!AR$2:AR$1266,MATCH(Data!$DN496,'Data_Price '!$AT$2:$AT$1266,0))</f>
        <v/>
      </c>
      <c r="DJ496" s="138">
        <f>DA496</f>
        <v/>
      </c>
      <c r="DK496" s="138">
        <f>DE496</f>
        <v/>
      </c>
      <c r="DL496" s="138">
        <f>DI496</f>
        <v/>
      </c>
      <c r="DM496" s="303">
        <f>IF(LEFT(BT496,1)=" ",RIGHT(BT496,LEN(BT496)-1),BT496)</f>
        <v/>
      </c>
      <c r="DN496" s="138">
        <f>_xlfn.CONCAT(BS496,DM496,BU496,BV496)</f>
        <v/>
      </c>
      <c r="DO496" s="307" t="n"/>
    </row>
    <row r="497" ht="15.6" customHeight="1" s="184">
      <c r="B497" s="303">
        <f t="array" ref="B497">IF(OR(ISERROR(K497:P497)),FALSE,TRUE)</f>
        <v/>
      </c>
      <c r="C497" s="60">
        <f>OR(BR497=Driver!$G$50,Data!BR821=Driver!$H$50)</f>
        <v/>
      </c>
      <c r="D497" s="60">
        <f>OR(BV497=Driver!$G$51,BV497=Driver!$H$51)</f>
        <v/>
      </c>
      <c r="E497" s="60">
        <f>AND(BX497&gt;Driver!$F$54,BX497&lt;Driver!$G$54)</f>
        <v/>
      </c>
      <c r="F497" s="60">
        <f>CL497&gt;Driver!$F$56</f>
        <v/>
      </c>
      <c r="G497" s="60">
        <f>AND(CB497&gt;Driver!$F$55,CB497&lt;Driver!$G$55)</f>
        <v/>
      </c>
      <c r="H497" s="60">
        <f>AND(B497:G497)</f>
        <v/>
      </c>
      <c r="I497" s="60">
        <f>COUNTIFS($H$9:$H$1273,TRUE,$BT$9:$BT$1273,BT497)</f>
        <v/>
      </c>
      <c r="J497" s="60">
        <f t="array" ref="J497">NOT(OR(($H$9:$H$1273=TRUE)*($I$9:$I$1273&gt;0)*($BT$9:$BT$1273=BT497)*($K$9:$K$1273&gt;K497)))</f>
        <v/>
      </c>
      <c r="K497" s="108">
        <f>IFERROR(1-AVERAGE(X497:Y497),"")</f>
        <v/>
      </c>
      <c r="L497" s="108">
        <f>1-X497</f>
        <v/>
      </c>
      <c r="M497" s="108">
        <f>1-Y497</f>
        <v/>
      </c>
      <c r="N497" s="108">
        <f>1-Z497</f>
        <v/>
      </c>
      <c r="O497" s="108">
        <f>1-AA497</f>
        <v/>
      </c>
      <c r="P497" s="108">
        <f>1-AB497</f>
        <v/>
      </c>
      <c r="Q497" s="108" t="n"/>
      <c r="R497" s="108" t="n"/>
      <c r="S497" s="108">
        <f>1-AE497</f>
        <v/>
      </c>
      <c r="T497" s="108">
        <f>1-AF497</f>
        <v/>
      </c>
      <c r="U497" s="108">
        <f>1-AG497</f>
        <v/>
      </c>
      <c r="V497" s="108">
        <f>1-AH497</f>
        <v/>
      </c>
      <c r="W497" s="108">
        <f>1-AI497</f>
        <v/>
      </c>
      <c r="X497" s="108">
        <f>ABS(AJ497-AJ$1)</f>
        <v/>
      </c>
      <c r="Y497" s="108">
        <f>AVERAGE(Z497:AB497)</f>
        <v/>
      </c>
      <c r="Z497" s="108">
        <f>ABS(AL497-AL$1)</f>
        <v/>
      </c>
      <c r="AA497" s="108">
        <f>ABS(AM497-AM$1)</f>
        <v/>
      </c>
      <c r="AB497" s="108">
        <f>ABS(AN497-AN$1)</f>
        <v/>
      </c>
      <c r="AC497" s="108" t="n"/>
      <c r="AD497" s="108" t="n"/>
      <c r="AE497" s="108">
        <f>ABS(AQ$1-AQ497)</f>
        <v/>
      </c>
      <c r="AF497" s="108">
        <f>ABS(AR$1-AR497)</f>
        <v/>
      </c>
      <c r="AG497" s="108">
        <f>ABS(AS$1-AS497)</f>
        <v/>
      </c>
      <c r="AH497" s="108">
        <f>ABS(AT$1-AT497)</f>
        <v/>
      </c>
      <c r="AI497" s="108">
        <f>ABS(AU$1-AU497)</f>
        <v/>
      </c>
      <c r="AJ497" s="108">
        <f>(AV497-Driver!$K$179)/(Driver!$L$179-Driver!$K$179)</f>
        <v/>
      </c>
      <c r="AK497" s="108">
        <f>(AW497-Driver!$K$180)/(Driver!$L$180-Driver!$K$180)</f>
        <v/>
      </c>
      <c r="AL497" s="108">
        <f>(AX497-Driver!$K$181)/(Driver!$L$181-Driver!$K$181)</f>
        <v/>
      </c>
      <c r="AM497" s="108">
        <f>(AY497-Driver!$K$182)/(Driver!$L$182-Driver!$K$182)</f>
        <v/>
      </c>
      <c r="AN497" s="108">
        <f>(AZ497-Driver!$K$183)/(Driver!$L$183-Driver!$K$183)</f>
        <v/>
      </c>
      <c r="AO497" s="108" t="n"/>
      <c r="AP497" s="108" t="n"/>
      <c r="AQ497" s="108">
        <f>(BC497-Driver!$K$188)/(Driver!$L$188-Driver!$K$188)</f>
        <v/>
      </c>
      <c r="AR497" s="108">
        <f>MIN((BD497-Driver!$K$189)/(Driver!$L$189-Driver!$K$189),100%)</f>
        <v/>
      </c>
      <c r="AS497" s="108">
        <f>(BE497-Driver!$K$190)/(Driver!$L$190-Driver!$K$190)</f>
        <v/>
      </c>
      <c r="AT497" s="108">
        <f>(BF497-Driver!$K$191)/(Driver!$L$191-Driver!$K$191)</f>
        <v/>
      </c>
      <c r="AU497" s="108">
        <f>(BG497-Driver!$K$192)/(Driver!$L$192-Driver!$K$192)</f>
        <v/>
      </c>
      <c r="AV497" s="105">
        <f>IFERROR(BM497*BJ497^1/4,"")</f>
        <v/>
      </c>
      <c r="AW497" s="105">
        <f>IFERROR(SUM(AX497:AZ497),"")</f>
        <v/>
      </c>
      <c r="AX497" s="105">
        <f>IFERROR(BH497,"")</f>
        <v/>
      </c>
      <c r="AY497" s="105">
        <f>IFERROR(Driver!$K$19/Data!BH497/Data!BI497*Data!BK497*Data!BL497,"")</f>
        <v/>
      </c>
      <c r="AZ497" s="105">
        <f>IFERROR(BI497*BN497,"")</f>
        <v/>
      </c>
      <c r="BA497" s="105" t="n"/>
      <c r="BB497" s="105" t="n"/>
      <c r="BC497" s="105">
        <f>IFERROR(BI497*BN497*BK497/BJ497^(1/2),"")</f>
        <v/>
      </c>
      <c r="BD497" s="105">
        <f>IFERROR(BH497*BM497*BL497/BJ497/BK497,"")</f>
        <v/>
      </c>
      <c r="BE497" s="105">
        <f>IFERROR(MIN(BI497/BQ497/BP497/BO497/BH497,$BE$1),"")</f>
        <v/>
      </c>
      <c r="BF497" s="105">
        <f>IFERROR(BJ497*BO497*BP497/BK497,"")</f>
        <v/>
      </c>
      <c r="BG497" s="105">
        <f>IFERROR(1/BM497/BH497*BQ497,"")</f>
        <v/>
      </c>
      <c r="BH497" s="102">
        <f>MAX((CE497-Driver!$F$200)/(Driver!$G$200-Driver!$F$200)*$BI$1,1)</f>
        <v/>
      </c>
      <c r="BI497" s="102">
        <f>MAX($BI$1*(BY497-Driver!$F$201)/(Driver!$G$201-Driver!$F$201),1)</f>
        <v/>
      </c>
      <c r="BJ497" s="102">
        <f>(CB497-Driver!$F$206)/(Driver!$G$206-Driver!$F$206)*$BI$1</f>
        <v/>
      </c>
      <c r="BK497" s="102">
        <f>(CD497-Driver!$F$203)/(Driver!$G$203-Driver!$F$203)*$BI$1</f>
        <v/>
      </c>
      <c r="BL497" s="102">
        <f>MAX((CR497-Driver!$F$202)/(Driver!$G$202-Driver!$F$202)*$BI$1,1)</f>
        <v/>
      </c>
      <c r="BM497" s="102">
        <f>MAX((CH497-Driver!$F$204)/(Driver!$G$204-Driver!$F$204)*$BI$1,1)</f>
        <v/>
      </c>
      <c r="BN497" s="102">
        <f>(CI497-Driver!$F$205)/(Driver!$G$205-Driver!$F$205)*$BI$1</f>
        <v/>
      </c>
      <c r="BO497" s="102">
        <f>(CK497-Driver!$F$207)/(Driver!$G$207-Driver!$F$207)*$BI$1</f>
        <v/>
      </c>
      <c r="BP497" s="102">
        <f>(CM497-Driver!$F$208)/(Driver!$G$208-Driver!$F$208)*$BI$1</f>
        <v/>
      </c>
      <c r="BQ497" s="102">
        <f>(CL497-Driver!$F$209)/(Driver!$G$209-Driver!$F$209)*$BI$1</f>
        <v/>
      </c>
      <c r="BR497" s="40" t="inlineStr">
        <is>
          <t>21/22</t>
        </is>
      </c>
      <c r="BS497" s="10" t="inlineStr">
        <is>
          <t xml:space="preserve"> Line</t>
        </is>
      </c>
      <c r="BT497" s="11" t="inlineStr">
        <is>
          <t xml:space="preserve"> Blade</t>
        </is>
      </c>
      <c r="BU497" s="13" t="n">
        <v>169</v>
      </c>
      <c r="BV497" s="11" t="inlineStr">
        <is>
          <t xml:space="preserve"> Unisex</t>
        </is>
      </c>
      <c r="BW497" s="13" t="n">
        <v>169</v>
      </c>
      <c r="BX497" s="13" t="n">
        <v>168.2</v>
      </c>
      <c r="BY497" s="13" t="n">
        <v>133</v>
      </c>
      <c r="BZ497" s="13" t="n">
        <v>153</v>
      </c>
      <c r="CA497" s="13" t="n">
        <v>153</v>
      </c>
      <c r="CB497" s="13" t="n">
        <v>94</v>
      </c>
      <c r="CC497" s="13" t="n">
        <v>123</v>
      </c>
      <c r="CD497" s="13" t="n">
        <v>12.6</v>
      </c>
      <c r="CE497" s="13" t="n">
        <v>1833</v>
      </c>
      <c r="CF497" s="13" t="n">
        <v>1.03</v>
      </c>
      <c r="CG497" s="13" t="n">
        <v>1892</v>
      </c>
      <c r="CH497" s="13" t="n">
        <v>155</v>
      </c>
      <c r="CI497" s="13" t="n">
        <v>104</v>
      </c>
      <c r="CJ497" s="13" t="n">
        <v>43</v>
      </c>
      <c r="CK497" s="13" t="n">
        <v>207</v>
      </c>
      <c r="CL497" s="13" t="n">
        <v>26</v>
      </c>
      <c r="CM497" s="13" t="n">
        <v>150</v>
      </c>
      <c r="CN497" s="13" t="n">
        <v>0.614</v>
      </c>
      <c r="CO497" s="13" t="n">
        <v>130</v>
      </c>
      <c r="CP497" s="13" t="n">
        <v>23</v>
      </c>
      <c r="CQ497" s="13" t="n">
        <v>76</v>
      </c>
      <c r="CR497" s="13" t="n">
        <v>9</v>
      </c>
      <c r="CS497" s="13" t="n">
        <v>5.6</v>
      </c>
      <c r="CT497" s="11" t="inlineStr">
        <is>
          <t xml:space="preserve"> Resort Freeride</t>
        </is>
      </c>
      <c r="CU497" s="13" t="n"/>
      <c r="CV497" s="13" t="n"/>
      <c r="CW497" s="13" t="n"/>
      <c r="CX497">
        <f>INDEX('Data_Price '!AG$2:AG$1266,MATCH(Data!$DN497,'Data_Price '!$AT$2:$AT$1266,0))</f>
        <v/>
      </c>
      <c r="CY497">
        <f>INDEX('Data_Price '!AH$2:AH$1266,MATCH(Data!$DN497,'Data_Price '!$AT$2:$AT$1266,0))</f>
        <v/>
      </c>
      <c r="CZ497">
        <f>INDEX('Data_Price '!AI$2:AI$1266,MATCH(Data!$DN497,'Data_Price '!$AT$2:$AT$1266,0))</f>
        <v/>
      </c>
      <c r="DA497">
        <f>INDEX('Data_Price '!AJ$2:AJ$1266,MATCH(Data!$DN497,'Data_Price '!$AT$2:$AT$1266,0))</f>
        <v/>
      </c>
      <c r="DB497">
        <f>INDEX('Data_Price '!AK$2:AK$1266,MATCH(Data!$DN497,'Data_Price '!$AT$2:$AT$1266,0))</f>
        <v/>
      </c>
      <c r="DC497">
        <f>INDEX('Data_Price '!AL$2:AL$1266,MATCH(Data!$DN497,'Data_Price '!$AT$2:$AT$1266,0))</f>
        <v/>
      </c>
      <c r="DD497">
        <f>INDEX('Data_Price '!AM$2:AM$1266,MATCH(Data!$DN497,'Data_Price '!$AT$2:$AT$1266,0))</f>
        <v/>
      </c>
      <c r="DE497">
        <f>INDEX('Data_Price '!AN$2:AN$1266,MATCH(Data!$DN497,'Data_Price '!$AT$2:$AT$1266,0))</f>
        <v/>
      </c>
      <c r="DF497">
        <f>INDEX('Data_Price '!AO$2:AO$1266,MATCH(Data!$DN497,'Data_Price '!$AT$2:$AT$1266,0))</f>
        <v/>
      </c>
      <c r="DG497">
        <f>INDEX('Data_Price '!AP$2:AP$1266,MATCH(Data!$DN497,'Data_Price '!$AT$2:$AT$1266,0))</f>
        <v/>
      </c>
      <c r="DH497">
        <f>INDEX('Data_Price '!AQ$2:AQ$1266,MATCH(Data!$DN497,'Data_Price '!$AT$2:$AT$1266,0))</f>
        <v/>
      </c>
      <c r="DI497">
        <f>INDEX('Data_Price '!AR$2:AR$1266,MATCH(Data!$DN497,'Data_Price '!$AT$2:$AT$1266,0))</f>
        <v/>
      </c>
      <c r="DJ497" s="138">
        <f>DA497</f>
        <v/>
      </c>
      <c r="DK497" s="138">
        <f>DE497</f>
        <v/>
      </c>
      <c r="DL497" s="138">
        <f>DI497</f>
        <v/>
      </c>
      <c r="DM497" s="303">
        <f>IF(LEFT(BT497,1)=" ",RIGHT(BT497,LEN(BT497)-1),BT497)</f>
        <v/>
      </c>
      <c r="DN497" s="138">
        <f>_xlfn.CONCAT(BS497,DM497,BU497,BV497)</f>
        <v/>
      </c>
      <c r="DO497" s="307" t="inlineStr">
        <is>
          <t>https://images.evo.com/imgp/250/198423/817632/clone.jpg</t>
        </is>
      </c>
    </row>
    <row r="498" ht="15.6" customHeight="1" s="184">
      <c r="B498" s="303">
        <f t="array" ref="B498">IF(OR(ISERROR(K498:P498)),FALSE,TRUE)</f>
        <v/>
      </c>
      <c r="C498" s="60">
        <f>OR(BR498=Driver!$G$50,Data!BR453=Driver!$H$50)</f>
        <v/>
      </c>
      <c r="D498" s="60">
        <f>OR(BV498=Driver!$G$51,BV498=Driver!$H$51)</f>
        <v/>
      </c>
      <c r="E498" s="60">
        <f>AND(BX498&gt;Driver!$F$54,BX498&lt;Driver!$G$54)</f>
        <v/>
      </c>
      <c r="F498" s="60">
        <f>CL498&gt;Driver!$F$56</f>
        <v/>
      </c>
      <c r="G498" s="60">
        <f>AND(CB498&gt;Driver!$F$55,CB498&lt;Driver!$G$55)</f>
        <v/>
      </c>
      <c r="H498" s="60">
        <f>AND(B498:G498)</f>
        <v/>
      </c>
      <c r="I498" s="60">
        <f>COUNTIFS($H$9:$H$1273,TRUE,$BT$9:$BT$1273,BT498)</f>
        <v/>
      </c>
      <c r="J498" s="60">
        <f t="array" ref="J498">NOT(OR(($H$9:$H$1273=TRUE)*($I$9:$I$1273&gt;0)*($BT$9:$BT$1273=BT498)*($K$9:$K$1273&gt;K498)))</f>
        <v/>
      </c>
      <c r="K498" s="108">
        <f>IFERROR(1-AVERAGE(X498:Y498),"")</f>
        <v/>
      </c>
      <c r="L498" s="108">
        <f>1-X498</f>
        <v/>
      </c>
      <c r="M498" s="108">
        <f>1-Y498</f>
        <v/>
      </c>
      <c r="N498" s="108">
        <f>1-Z498</f>
        <v/>
      </c>
      <c r="O498" s="108">
        <f>1-AA498</f>
        <v/>
      </c>
      <c r="P498" s="108">
        <f>1-AB498</f>
        <v/>
      </c>
      <c r="Q498" s="108" t="n"/>
      <c r="R498" s="108" t="n"/>
      <c r="S498" s="108">
        <f>1-AE498</f>
        <v/>
      </c>
      <c r="T498" s="108">
        <f>1-AF498</f>
        <v/>
      </c>
      <c r="U498" s="108">
        <f>1-AG498</f>
        <v/>
      </c>
      <c r="V498" s="108">
        <f>1-AH498</f>
        <v/>
      </c>
      <c r="W498" s="108">
        <f>1-AI498</f>
        <v/>
      </c>
      <c r="X498" s="108">
        <f>ABS(AJ498-AJ$1)</f>
        <v/>
      </c>
      <c r="Y498" s="108">
        <f>AVERAGE(Z498:AB498)</f>
        <v/>
      </c>
      <c r="Z498" s="108">
        <f>ABS(AL498-AL$1)</f>
        <v/>
      </c>
      <c r="AA498" s="108">
        <f>ABS(AM498-AM$1)</f>
        <v/>
      </c>
      <c r="AB498" s="108">
        <f>ABS(AN498-AN$1)</f>
        <v/>
      </c>
      <c r="AC498" s="108" t="n"/>
      <c r="AD498" s="108" t="n"/>
      <c r="AE498" s="108">
        <f>ABS(AQ$1-AQ498)</f>
        <v/>
      </c>
      <c r="AF498" s="108">
        <f>ABS(AR$1-AR498)</f>
        <v/>
      </c>
      <c r="AG498" s="108">
        <f>ABS(AS$1-AS498)</f>
        <v/>
      </c>
      <c r="AH498" s="108">
        <f>ABS(AT$1-AT498)</f>
        <v/>
      </c>
      <c r="AI498" s="108">
        <f>ABS(AU$1-AU498)</f>
        <v/>
      </c>
      <c r="AJ498" s="108">
        <f>(AV498-Driver!$K$179)/(Driver!$L$179-Driver!$K$179)</f>
        <v/>
      </c>
      <c r="AK498" s="108">
        <f>(AW498-Driver!$K$180)/(Driver!$L$180-Driver!$K$180)</f>
        <v/>
      </c>
      <c r="AL498" s="108">
        <f>(AX498-Driver!$K$181)/(Driver!$L$181-Driver!$K$181)</f>
        <v/>
      </c>
      <c r="AM498" s="108">
        <f>(AY498-Driver!$K$182)/(Driver!$L$182-Driver!$K$182)</f>
        <v/>
      </c>
      <c r="AN498" s="108">
        <f>(AZ498-Driver!$K$183)/(Driver!$L$183-Driver!$K$183)</f>
        <v/>
      </c>
      <c r="AO498" s="108" t="n"/>
      <c r="AP498" s="108" t="n"/>
      <c r="AQ498" s="108">
        <f>(BC498-Driver!$K$188)/(Driver!$L$188-Driver!$K$188)</f>
        <v/>
      </c>
      <c r="AR498" s="108">
        <f>MIN((BD498-Driver!$K$189)/(Driver!$L$189-Driver!$K$189),100%)</f>
        <v/>
      </c>
      <c r="AS498" s="108">
        <f>(BE498-Driver!$K$190)/(Driver!$L$190-Driver!$K$190)</f>
        <v/>
      </c>
      <c r="AT498" s="108">
        <f>(BF498-Driver!$K$191)/(Driver!$L$191-Driver!$K$191)</f>
        <v/>
      </c>
      <c r="AU498" s="108">
        <f>(BG498-Driver!$K$192)/(Driver!$L$192-Driver!$K$192)</f>
        <v/>
      </c>
      <c r="AV498" s="105">
        <f>IFERROR(BM498*BJ498^1/4,"")</f>
        <v/>
      </c>
      <c r="AW498" s="105">
        <f>IFERROR(SUM(AX498:AZ498),"")</f>
        <v/>
      </c>
      <c r="AX498" s="105">
        <f>IFERROR(BH498,"")</f>
        <v/>
      </c>
      <c r="AY498" s="105">
        <f>IFERROR(Driver!$K$19/Data!BH498/Data!BI498*Data!BK498*Data!BL498,"")</f>
        <v/>
      </c>
      <c r="AZ498" s="105">
        <f>IFERROR(BI498*BN498,"")</f>
        <v/>
      </c>
      <c r="BA498" s="105" t="n"/>
      <c r="BB498" s="105" t="n"/>
      <c r="BC498" s="105">
        <f>IFERROR(BI498*BN498*BK498/BJ498^(1/2),"")</f>
        <v/>
      </c>
      <c r="BD498" s="105">
        <f>IFERROR(BH498*BM498*BL498/BJ498/BK498,"")</f>
        <v/>
      </c>
      <c r="BE498" s="105">
        <f>IFERROR(MIN(BI498/BQ498/BP498/BO498/BH498,$BE$1),"")</f>
        <v/>
      </c>
      <c r="BF498" s="105">
        <f>IFERROR(BJ498*BO498*BP498/BK498,"")</f>
        <v/>
      </c>
      <c r="BG498" s="105">
        <f>IFERROR(1/BM498/BH498*BQ498,"")</f>
        <v/>
      </c>
      <c r="BH498" s="102">
        <f>MAX((CE498-Driver!$F$200)/(Driver!$G$200-Driver!$F$200)*$BI$1,1)</f>
        <v/>
      </c>
      <c r="BI498" s="102">
        <f>MAX($BI$1*(BY498-Driver!$F$201)/(Driver!$G$201-Driver!$F$201),1)</f>
        <v/>
      </c>
      <c r="BJ498" s="102">
        <f>(CB498-Driver!$F$206)/(Driver!$G$206-Driver!$F$206)*$BI$1</f>
        <v/>
      </c>
      <c r="BK498" s="102">
        <f>(CD498-Driver!$F$203)/(Driver!$G$203-Driver!$F$203)*$BI$1</f>
        <v/>
      </c>
      <c r="BL498" s="102">
        <f>MAX((CR498-Driver!$F$202)/(Driver!$G$202-Driver!$F$202)*$BI$1,1)</f>
        <v/>
      </c>
      <c r="BM498" s="102">
        <f>MAX((CH498-Driver!$F$204)/(Driver!$G$204-Driver!$F$204)*$BI$1,1)</f>
        <v/>
      </c>
      <c r="BN498" s="102">
        <f>(CI498-Driver!$F$205)/(Driver!$G$205-Driver!$F$205)*$BI$1</f>
        <v/>
      </c>
      <c r="BO498" s="102">
        <f>(CK498-Driver!$F$207)/(Driver!$G$207-Driver!$F$207)*$BI$1</f>
        <v/>
      </c>
      <c r="BP498" s="102">
        <f>(CM498-Driver!$F$208)/(Driver!$G$208-Driver!$F$208)*$BI$1</f>
        <v/>
      </c>
      <c r="BQ498" s="102">
        <f>(CL498-Driver!$F$209)/(Driver!$G$209-Driver!$F$209)*$BI$1</f>
        <v/>
      </c>
      <c r="BR498" s="40" t="inlineStr">
        <is>
          <t>21/22</t>
        </is>
      </c>
      <c r="BS498" s="10" t="inlineStr">
        <is>
          <t xml:space="preserve"> Elan</t>
        </is>
      </c>
      <c r="BT498" s="11" t="inlineStr">
        <is>
          <t>Ripstick 88</t>
        </is>
      </c>
      <c r="BU498" s="13" t="n">
        <v>180</v>
      </c>
      <c r="BV498" s="11" t="inlineStr">
        <is>
          <t xml:space="preserve"> Unisex</t>
        </is>
      </c>
      <c r="BW498" s="13" t="n">
        <v>180</v>
      </c>
      <c r="BX498" s="13" t="n">
        <v>177</v>
      </c>
      <c r="BY498" s="13" t="n">
        <v>139</v>
      </c>
      <c r="BZ498" s="13" t="n">
        <v>144</v>
      </c>
      <c r="CA498" s="13" t="n">
        <v>129</v>
      </c>
      <c r="CB498" s="13" t="n">
        <v>87</v>
      </c>
      <c r="CC498" s="13" t="n">
        <v>104</v>
      </c>
      <c r="CD498" s="13" t="n">
        <v>17.1</v>
      </c>
      <c r="CE498" s="13" t="n">
        <v>1569</v>
      </c>
      <c r="CF498" s="13" t="n">
        <v>1.13</v>
      </c>
      <c r="CG498" s="13" t="n">
        <v>1777</v>
      </c>
      <c r="CH498" s="13" t="n">
        <v>193</v>
      </c>
      <c r="CI498" s="13" t="n">
        <v>71</v>
      </c>
      <c r="CJ498" s="13" t="n">
        <v>50</v>
      </c>
      <c r="CK498" s="13" t="n">
        <v>230</v>
      </c>
      <c r="CL498" s="13" t="n">
        <v>14</v>
      </c>
      <c r="CM498" s="13" t="n">
        <v>154</v>
      </c>
      <c r="CN498" s="13" t="n">
        <v>0.284</v>
      </c>
      <c r="CO498" s="13" t="n">
        <v>161</v>
      </c>
      <c r="CP498" s="13" t="n">
        <v>174</v>
      </c>
      <c r="CQ498" s="13" t="n">
        <v>69</v>
      </c>
      <c r="CR498" s="13" t="n">
        <v>5</v>
      </c>
      <c r="CS498" s="13" t="n">
        <v>9.1</v>
      </c>
      <c r="CT498" s="11" t="inlineStr">
        <is>
          <t xml:space="preserve"> Resort Freeride</t>
        </is>
      </c>
      <c r="CU498" s="11" t="inlineStr">
        <is>
          <t xml:space="preserve"> Touring</t>
        </is>
      </c>
      <c r="CV498" s="13" t="n"/>
      <c r="CW498" s="13" t="n"/>
      <c r="CX498">
        <f>INDEX('Data_Price '!AG$2:AG$1266,MATCH(Data!$DN498,'Data_Price '!$AT$2:$AT$1266,0))</f>
        <v/>
      </c>
      <c r="CY498">
        <f>INDEX('Data_Price '!AH$2:AH$1266,MATCH(Data!$DN498,'Data_Price '!$AT$2:$AT$1266,0))</f>
        <v/>
      </c>
      <c r="CZ498">
        <f>INDEX('Data_Price '!AI$2:AI$1266,MATCH(Data!$DN498,'Data_Price '!$AT$2:$AT$1266,0))</f>
        <v/>
      </c>
      <c r="DA498">
        <f>INDEX('Data_Price '!AJ$2:AJ$1266,MATCH(Data!$DN498,'Data_Price '!$AT$2:$AT$1266,0))</f>
        <v/>
      </c>
      <c r="DB498">
        <f>INDEX('Data_Price '!AK$2:AK$1266,MATCH(Data!$DN498,'Data_Price '!$AT$2:$AT$1266,0))</f>
        <v/>
      </c>
      <c r="DC498">
        <f>INDEX('Data_Price '!AL$2:AL$1266,MATCH(Data!$DN498,'Data_Price '!$AT$2:$AT$1266,0))</f>
        <v/>
      </c>
      <c r="DD498">
        <f>INDEX('Data_Price '!AM$2:AM$1266,MATCH(Data!$DN498,'Data_Price '!$AT$2:$AT$1266,0))</f>
        <v/>
      </c>
      <c r="DE498">
        <f>INDEX('Data_Price '!AN$2:AN$1266,MATCH(Data!$DN498,'Data_Price '!$AT$2:$AT$1266,0))</f>
        <v/>
      </c>
      <c r="DF498">
        <f>INDEX('Data_Price '!AO$2:AO$1266,MATCH(Data!$DN498,'Data_Price '!$AT$2:$AT$1266,0))</f>
        <v/>
      </c>
      <c r="DG498">
        <f>INDEX('Data_Price '!AP$2:AP$1266,MATCH(Data!$DN498,'Data_Price '!$AT$2:$AT$1266,0))</f>
        <v/>
      </c>
      <c r="DH498">
        <f>INDEX('Data_Price '!AQ$2:AQ$1266,MATCH(Data!$DN498,'Data_Price '!$AT$2:$AT$1266,0))</f>
        <v/>
      </c>
      <c r="DI498">
        <f>INDEX('Data_Price '!AR$2:AR$1266,MATCH(Data!$DN498,'Data_Price '!$AT$2:$AT$1266,0))</f>
        <v/>
      </c>
      <c r="DJ498" s="138">
        <f>DA498</f>
        <v/>
      </c>
      <c r="DK498" s="138">
        <f>DE498</f>
        <v/>
      </c>
      <c r="DL498" s="138">
        <f>DI498</f>
        <v/>
      </c>
      <c r="DM498" s="303">
        <f>IF(LEFT(BT498,1)=" ",RIGHT(BT498,LEN(BT498)-1),BT498)</f>
        <v/>
      </c>
      <c r="DN498" s="138">
        <f>_xlfn.CONCAT(BS498,DM498,BU498,BV498)</f>
        <v/>
      </c>
      <c r="DO498" s="307" t="inlineStr">
        <is>
          <t>https://images.evo.com/imgp/250/185141/744749/elan-ripstick-88-w-skis-women-s-2022-.jpg</t>
        </is>
      </c>
    </row>
    <row r="499" ht="15.6" customHeight="1" s="184">
      <c r="B499" s="303">
        <f t="array" ref="B499">IF(OR(ISERROR(K499:P499)),FALSE,TRUE)</f>
        <v/>
      </c>
      <c r="C499" s="60">
        <f>OR(BR499=Driver!$G$50,Data!BR921=Driver!$H$50)</f>
        <v/>
      </c>
      <c r="D499" s="60">
        <f>OR(BV499=Driver!$G$51,BV499=Driver!$H$51)</f>
        <v/>
      </c>
      <c r="E499" s="60">
        <f>AND(BX499&gt;Driver!$F$54,BX499&lt;Driver!$G$54)</f>
        <v/>
      </c>
      <c r="F499" s="60">
        <f>CL499&gt;Driver!$F$56</f>
        <v/>
      </c>
      <c r="G499" s="60">
        <f>AND(CB499&gt;Driver!$F$55,CB499&lt;Driver!$G$55)</f>
        <v/>
      </c>
      <c r="H499" s="60">
        <f>AND(B499:G499)</f>
        <v/>
      </c>
      <c r="I499" s="60">
        <f>COUNTIFS($H$9:$H$1273,TRUE,$BT$9:$BT$1273,BT499)</f>
        <v/>
      </c>
      <c r="J499" s="60">
        <f t="array" ref="J499">NOT(OR(($H$9:$H$1273=TRUE)*($I$9:$I$1273&gt;0)*($BT$9:$BT$1273=BT499)*($K$9:$K$1273&gt;K499)))</f>
        <v/>
      </c>
      <c r="K499" s="108">
        <f>IFERROR(1-AVERAGE(X499:Y499),"")</f>
        <v/>
      </c>
      <c r="L499" s="108">
        <f>1-X499</f>
        <v/>
      </c>
      <c r="M499" s="108">
        <f>1-Y499</f>
        <v/>
      </c>
      <c r="N499" s="108">
        <f>1-Z499</f>
        <v/>
      </c>
      <c r="O499" s="108">
        <f>1-AA499</f>
        <v/>
      </c>
      <c r="P499" s="108">
        <f>1-AB499</f>
        <v/>
      </c>
      <c r="Q499" s="108" t="n"/>
      <c r="R499" s="108" t="n"/>
      <c r="S499" s="108">
        <f>1-AE499</f>
        <v/>
      </c>
      <c r="T499" s="108">
        <f>1-AF499</f>
        <v/>
      </c>
      <c r="U499" s="108">
        <f>1-AG499</f>
        <v/>
      </c>
      <c r="V499" s="108">
        <f>1-AH499</f>
        <v/>
      </c>
      <c r="W499" s="108">
        <f>1-AI499</f>
        <v/>
      </c>
      <c r="X499" s="108">
        <f>ABS(AJ499-AJ$1)</f>
        <v/>
      </c>
      <c r="Y499" s="108">
        <f>AVERAGE(Z499:AB499)</f>
        <v/>
      </c>
      <c r="Z499" s="108">
        <f>ABS(AL499-AL$1)</f>
        <v/>
      </c>
      <c r="AA499" s="108">
        <f>ABS(AM499-AM$1)</f>
        <v/>
      </c>
      <c r="AB499" s="108">
        <f>ABS(AN499-AN$1)</f>
        <v/>
      </c>
      <c r="AC499" s="108" t="n"/>
      <c r="AD499" s="108" t="n"/>
      <c r="AE499" s="108">
        <f>ABS(AQ$1-AQ499)</f>
        <v/>
      </c>
      <c r="AF499" s="108">
        <f>ABS(AR$1-AR499)</f>
        <v/>
      </c>
      <c r="AG499" s="108">
        <f>ABS(AS$1-AS499)</f>
        <v/>
      </c>
      <c r="AH499" s="108">
        <f>ABS(AT$1-AT499)</f>
        <v/>
      </c>
      <c r="AI499" s="108">
        <f>ABS(AU$1-AU499)</f>
        <v/>
      </c>
      <c r="AJ499" s="108">
        <f>(AV499-Driver!$K$179)/(Driver!$L$179-Driver!$K$179)</f>
        <v/>
      </c>
      <c r="AK499" s="108">
        <f>(AW499-Driver!$K$180)/(Driver!$L$180-Driver!$K$180)</f>
        <v/>
      </c>
      <c r="AL499" s="108">
        <f>(AX499-Driver!$K$181)/(Driver!$L$181-Driver!$K$181)</f>
        <v/>
      </c>
      <c r="AM499" s="108">
        <f>(AY499-Driver!$K$182)/(Driver!$L$182-Driver!$K$182)</f>
        <v/>
      </c>
      <c r="AN499" s="108">
        <f>(AZ499-Driver!$K$183)/(Driver!$L$183-Driver!$K$183)</f>
        <v/>
      </c>
      <c r="AO499" s="108" t="n"/>
      <c r="AP499" s="108" t="n"/>
      <c r="AQ499" s="108">
        <f>(BC499-Driver!$K$188)/(Driver!$L$188-Driver!$K$188)</f>
        <v/>
      </c>
      <c r="AR499" s="108">
        <f>MIN((BD499-Driver!$K$189)/(Driver!$L$189-Driver!$K$189),100%)</f>
        <v/>
      </c>
      <c r="AS499" s="108">
        <f>(BE499-Driver!$K$190)/(Driver!$L$190-Driver!$K$190)</f>
        <v/>
      </c>
      <c r="AT499" s="108">
        <f>(BF499-Driver!$K$191)/(Driver!$L$191-Driver!$K$191)</f>
        <v/>
      </c>
      <c r="AU499" s="108">
        <f>(BG499-Driver!$K$192)/(Driver!$L$192-Driver!$K$192)</f>
        <v/>
      </c>
      <c r="AV499" s="105">
        <f>IFERROR(BM499*BJ499^1/4,"")</f>
        <v/>
      </c>
      <c r="AW499" s="105">
        <f>IFERROR(SUM(AX499:AZ499),"")</f>
        <v/>
      </c>
      <c r="AX499" s="105">
        <f>IFERROR(BH499,"")</f>
        <v/>
      </c>
      <c r="AY499" s="105">
        <f>IFERROR(Driver!$K$19/Data!BH499/Data!BI499*Data!BK499*Data!BL499,"")</f>
        <v/>
      </c>
      <c r="AZ499" s="105">
        <f>IFERROR(BI499*BN499,"")</f>
        <v/>
      </c>
      <c r="BA499" s="105" t="n"/>
      <c r="BB499" s="105" t="n"/>
      <c r="BC499" s="105">
        <f>IFERROR(BI499*BN499*BK499/BJ499^(1/2),"")</f>
        <v/>
      </c>
      <c r="BD499" s="105">
        <f>IFERROR(BH499*BM499*BL499/BJ499/BK499,"")</f>
        <v/>
      </c>
      <c r="BE499" s="105">
        <f>IFERROR(MIN(BI499/BQ499/BP499/BO499/BH499,$BE$1),"")</f>
        <v/>
      </c>
      <c r="BF499" s="105">
        <f>IFERROR(BJ499*BO499*BP499/BK499,"")</f>
        <v/>
      </c>
      <c r="BG499" s="105">
        <f>IFERROR(1/BM499/BH499*BQ499,"")</f>
        <v/>
      </c>
      <c r="BH499" s="102">
        <f>MAX((CE499-Driver!$F$200)/(Driver!$G$200-Driver!$F$200)*$BI$1,1)</f>
        <v/>
      </c>
      <c r="BI499" s="102">
        <f>MAX($BI$1*(BY499-Driver!$F$201)/(Driver!$G$201-Driver!$F$201),1)</f>
        <v/>
      </c>
      <c r="BJ499" s="102">
        <f>(CB499-Driver!$F$206)/(Driver!$G$206-Driver!$F$206)*$BI$1</f>
        <v/>
      </c>
      <c r="BK499" s="102">
        <f>(CD499-Driver!$F$203)/(Driver!$G$203-Driver!$F$203)*$BI$1</f>
        <v/>
      </c>
      <c r="BL499" s="102">
        <f>MAX((CR499-Driver!$F$202)/(Driver!$G$202-Driver!$F$202)*$BI$1,1)</f>
        <v/>
      </c>
      <c r="BM499" s="102">
        <f>MAX((CH499-Driver!$F$204)/(Driver!$G$204-Driver!$F$204)*$BI$1,1)</f>
        <v/>
      </c>
      <c r="BN499" s="102">
        <f>(CI499-Driver!$F$205)/(Driver!$G$205-Driver!$F$205)*$BI$1</f>
        <v/>
      </c>
      <c r="BO499" s="102">
        <f>(CK499-Driver!$F$207)/(Driver!$G$207-Driver!$F$207)*$BI$1</f>
        <v/>
      </c>
      <c r="BP499" s="102">
        <f>(CM499-Driver!$F$208)/(Driver!$G$208-Driver!$F$208)*$BI$1</f>
        <v/>
      </c>
      <c r="BQ499" s="102">
        <f>(CL499-Driver!$F$209)/(Driver!$G$209-Driver!$F$209)*$BI$1</f>
        <v/>
      </c>
      <c r="BR499" s="40" t="inlineStr">
        <is>
          <t>21/22</t>
        </is>
      </c>
      <c r="BS499" s="10" t="inlineStr">
        <is>
          <t xml:space="preserve"> Nordica</t>
        </is>
      </c>
      <c r="BT499" s="11" t="inlineStr">
        <is>
          <t>Santa Ana 88</t>
        </is>
      </c>
      <c r="BU499" s="13" t="n">
        <v>151</v>
      </c>
      <c r="BV499" s="11" t="inlineStr">
        <is>
          <t xml:space="preserve"> Women's</t>
        </is>
      </c>
      <c r="BW499" s="13" t="n">
        <v>151</v>
      </c>
      <c r="BX499" s="13" t="n">
        <v>150.6</v>
      </c>
      <c r="BY499" s="13" t="n">
        <v>108</v>
      </c>
      <c r="BZ499" s="13" t="n">
        <v>126</v>
      </c>
      <c r="CA499" s="13" t="n">
        <v>119</v>
      </c>
      <c r="CB499" s="13" t="n">
        <v>87</v>
      </c>
      <c r="CC499" s="13" t="n">
        <v>105</v>
      </c>
      <c r="CD499" s="13" t="n">
        <v>13.5</v>
      </c>
      <c r="CE499" s="13" t="n">
        <v>1585</v>
      </c>
      <c r="CF499" s="13" t="n">
        <v>0.93</v>
      </c>
      <c r="CG499" s="13" t="n">
        <v>1469</v>
      </c>
      <c r="CH499" s="13" t="n">
        <v>158</v>
      </c>
      <c r="CI499" s="13" t="n">
        <v>85</v>
      </c>
      <c r="CJ499" s="13" t="n">
        <v>51</v>
      </c>
      <c r="CK499" s="13" t="n">
        <v>245</v>
      </c>
      <c r="CL499" s="13" t="n">
        <v>13</v>
      </c>
      <c r="CM499" s="13" t="n">
        <v>178</v>
      </c>
      <c r="CN499" s="13" t="n">
        <v>0.26</v>
      </c>
      <c r="CO499" s="13" t="n">
        <v>122</v>
      </c>
      <c r="CP499" s="13" t="n">
        <v>125</v>
      </c>
      <c r="CQ499" s="13" t="n">
        <v>123</v>
      </c>
      <c r="CR499" s="13" t="n">
        <v>6</v>
      </c>
      <c r="CS499" s="13" t="n">
        <v>7.9</v>
      </c>
      <c r="CT499" s="11" t="inlineStr">
        <is>
          <t xml:space="preserve"> Resort Freeride</t>
        </is>
      </c>
      <c r="CU499" s="13" t="n"/>
      <c r="CV499" s="13" t="n"/>
      <c r="CW499" s="13" t="n"/>
      <c r="CX499">
        <f>INDEX('Data_Price '!AG$2:AG$1266,MATCH(Data!$DN499,'Data_Price '!$AT$2:$AT$1266,0))</f>
        <v/>
      </c>
      <c r="CY499">
        <f>INDEX('Data_Price '!AH$2:AH$1266,MATCH(Data!$DN499,'Data_Price '!$AT$2:$AT$1266,0))</f>
        <v/>
      </c>
      <c r="CZ499">
        <f>INDEX('Data_Price '!AI$2:AI$1266,MATCH(Data!$DN499,'Data_Price '!$AT$2:$AT$1266,0))</f>
        <v/>
      </c>
      <c r="DA499">
        <f>INDEX('Data_Price '!AJ$2:AJ$1266,MATCH(Data!$DN499,'Data_Price '!$AT$2:$AT$1266,0))</f>
        <v/>
      </c>
      <c r="DB499">
        <f>INDEX('Data_Price '!AK$2:AK$1266,MATCH(Data!$DN499,'Data_Price '!$AT$2:$AT$1266,0))</f>
        <v/>
      </c>
      <c r="DC499">
        <f>INDEX('Data_Price '!AL$2:AL$1266,MATCH(Data!$DN499,'Data_Price '!$AT$2:$AT$1266,0))</f>
        <v/>
      </c>
      <c r="DD499">
        <f>INDEX('Data_Price '!AM$2:AM$1266,MATCH(Data!$DN499,'Data_Price '!$AT$2:$AT$1266,0))</f>
        <v/>
      </c>
      <c r="DE499">
        <f>INDEX('Data_Price '!AN$2:AN$1266,MATCH(Data!$DN499,'Data_Price '!$AT$2:$AT$1266,0))</f>
        <v/>
      </c>
      <c r="DF499">
        <f>INDEX('Data_Price '!AO$2:AO$1266,MATCH(Data!$DN499,'Data_Price '!$AT$2:$AT$1266,0))</f>
        <v/>
      </c>
      <c r="DG499">
        <f>INDEX('Data_Price '!AP$2:AP$1266,MATCH(Data!$DN499,'Data_Price '!$AT$2:$AT$1266,0))</f>
        <v/>
      </c>
      <c r="DH499">
        <f>INDEX('Data_Price '!AQ$2:AQ$1266,MATCH(Data!$DN499,'Data_Price '!$AT$2:$AT$1266,0))</f>
        <v/>
      </c>
      <c r="DI499">
        <f>INDEX('Data_Price '!AR$2:AR$1266,MATCH(Data!$DN499,'Data_Price '!$AT$2:$AT$1266,0))</f>
        <v/>
      </c>
      <c r="DJ499" s="138">
        <f>DA499</f>
        <v/>
      </c>
      <c r="DK499" s="138">
        <f>DE499</f>
        <v/>
      </c>
      <c r="DL499" s="138">
        <f>DI499</f>
        <v/>
      </c>
      <c r="DM499" s="303">
        <f>IF(LEFT(BT499,1)=" ",RIGHT(BT499,LEN(BT499)-1),BT499)</f>
        <v/>
      </c>
      <c r="DN499" s="138">
        <f>_xlfn.CONCAT(BS499,DM499,BU499,BV499)</f>
        <v/>
      </c>
      <c r="DO499" s="307" t="inlineStr">
        <is>
          <t>https://images.evo.com/imgp/250/217385/882111/nordica-santa-ana-88-unlimited-skis-women-s-2023-.jpg</t>
        </is>
      </c>
    </row>
    <row r="500" ht="15.6" customHeight="1" s="184">
      <c r="B500" s="303">
        <f t="array" ref="B500">IF(OR(ISERROR(K500:P500)),FALSE,TRUE)</f>
        <v/>
      </c>
      <c r="C500" s="60">
        <f>OR(BR500=Driver!$G$50,Data!BR1147=Driver!$H$50)</f>
        <v/>
      </c>
      <c r="D500" s="60">
        <f>OR(BV500=Driver!$G$51,BV500=Driver!$H$51)</f>
        <v/>
      </c>
      <c r="E500" s="60">
        <f>AND(BX500&gt;Driver!$F$54,BX500&lt;Driver!$G$54)</f>
        <v/>
      </c>
      <c r="F500" s="60">
        <f>CL500&gt;Driver!$F$56</f>
        <v/>
      </c>
      <c r="G500" s="60">
        <f>AND(CB500&gt;Driver!$F$55,CB500&lt;Driver!$G$55)</f>
        <v/>
      </c>
      <c r="H500" s="60">
        <f>AND(B500:G500)</f>
        <v/>
      </c>
      <c r="I500" s="60">
        <f>COUNTIFS($H$9:$H$1273,TRUE,$BT$9:$BT$1273,BT500)</f>
        <v/>
      </c>
      <c r="J500" s="60">
        <f t="array" ref="J500">NOT(OR(($H$9:$H$1273=TRUE)*($I$9:$I$1273&gt;0)*($BT$9:$BT$1273=BT500)*($K$9:$K$1273&gt;K500)))</f>
        <v/>
      </c>
      <c r="K500" s="108">
        <f>IFERROR(1-AVERAGE(X500:Y500),"")</f>
        <v/>
      </c>
      <c r="L500" s="108">
        <f>1-X500</f>
        <v/>
      </c>
      <c r="M500" s="108">
        <f>1-Y500</f>
        <v/>
      </c>
      <c r="N500" s="108">
        <f>1-Z500</f>
        <v/>
      </c>
      <c r="O500" s="108">
        <f>1-AA500</f>
        <v/>
      </c>
      <c r="P500" s="108">
        <f>1-AB500</f>
        <v/>
      </c>
      <c r="Q500" s="108" t="n"/>
      <c r="R500" s="108" t="n"/>
      <c r="S500" s="108">
        <f>1-AE500</f>
        <v/>
      </c>
      <c r="T500" s="108">
        <f>1-AF500</f>
        <v/>
      </c>
      <c r="U500" s="108">
        <f>1-AG500</f>
        <v/>
      </c>
      <c r="V500" s="108">
        <f>1-AH500</f>
        <v/>
      </c>
      <c r="W500" s="108">
        <f>1-AI500</f>
        <v/>
      </c>
      <c r="X500" s="108">
        <f>ABS(AJ500-AJ$1)</f>
        <v/>
      </c>
      <c r="Y500" s="108">
        <f>AVERAGE(Z500:AB500)</f>
        <v/>
      </c>
      <c r="Z500" s="108">
        <f>ABS(AL500-AL$1)</f>
        <v/>
      </c>
      <c r="AA500" s="108">
        <f>ABS(AM500-AM$1)</f>
        <v/>
      </c>
      <c r="AB500" s="108">
        <f>ABS(AN500-AN$1)</f>
        <v/>
      </c>
      <c r="AC500" s="108" t="n"/>
      <c r="AD500" s="108" t="n"/>
      <c r="AE500" s="108">
        <f>ABS(AQ$1-AQ500)</f>
        <v/>
      </c>
      <c r="AF500" s="108">
        <f>ABS(AR$1-AR500)</f>
        <v/>
      </c>
      <c r="AG500" s="108">
        <f>ABS(AS$1-AS500)</f>
        <v/>
      </c>
      <c r="AH500" s="108">
        <f>ABS(AT$1-AT500)</f>
        <v/>
      </c>
      <c r="AI500" s="108">
        <f>ABS(AU$1-AU500)</f>
        <v/>
      </c>
      <c r="AJ500" s="108">
        <f>(AV500-Driver!$K$179)/(Driver!$L$179-Driver!$K$179)</f>
        <v/>
      </c>
      <c r="AK500" s="108">
        <f>(AW500-Driver!$K$180)/(Driver!$L$180-Driver!$K$180)</f>
        <v/>
      </c>
      <c r="AL500" s="108">
        <f>(AX500-Driver!$K$181)/(Driver!$L$181-Driver!$K$181)</f>
        <v/>
      </c>
      <c r="AM500" s="108">
        <f>(AY500-Driver!$K$182)/(Driver!$L$182-Driver!$K$182)</f>
        <v/>
      </c>
      <c r="AN500" s="108">
        <f>(AZ500-Driver!$K$183)/(Driver!$L$183-Driver!$K$183)</f>
        <v/>
      </c>
      <c r="AO500" s="108" t="n"/>
      <c r="AP500" s="108" t="n"/>
      <c r="AQ500" s="108">
        <f>(BC500-Driver!$K$188)/(Driver!$L$188-Driver!$K$188)</f>
        <v/>
      </c>
      <c r="AR500" s="108">
        <f>MIN((BD500-Driver!$K$189)/(Driver!$L$189-Driver!$K$189),100%)</f>
        <v/>
      </c>
      <c r="AS500" s="108">
        <f>(BE500-Driver!$K$190)/(Driver!$L$190-Driver!$K$190)</f>
        <v/>
      </c>
      <c r="AT500" s="108">
        <f>(BF500-Driver!$K$191)/(Driver!$L$191-Driver!$K$191)</f>
        <v/>
      </c>
      <c r="AU500" s="108">
        <f>(BG500-Driver!$K$192)/(Driver!$L$192-Driver!$K$192)</f>
        <v/>
      </c>
      <c r="AV500" s="105">
        <f>IFERROR(BM500*BJ500^1/4,"")</f>
        <v/>
      </c>
      <c r="AW500" s="105">
        <f>IFERROR(SUM(AX500:AZ500),"")</f>
        <v/>
      </c>
      <c r="AX500" s="105">
        <f>IFERROR(BH500,"")</f>
        <v/>
      </c>
      <c r="AY500" s="105">
        <f>IFERROR(Driver!$K$19/Data!BH500/Data!BI500*Data!BK500*Data!BL500,"")</f>
        <v/>
      </c>
      <c r="AZ500" s="105">
        <f>IFERROR(BI500*BN500,"")</f>
        <v/>
      </c>
      <c r="BA500" s="105" t="n"/>
      <c r="BB500" s="105" t="n"/>
      <c r="BC500" s="105">
        <f>IFERROR(BI500*BN500*BK500/BJ500^(1/2),"")</f>
        <v/>
      </c>
      <c r="BD500" s="105">
        <f>IFERROR(BH500*BM500*BL500/BJ500/BK500,"")</f>
        <v/>
      </c>
      <c r="BE500" s="105">
        <f>IFERROR(MIN(BI500/BQ500/BP500/BO500/BH500,$BE$1),"")</f>
        <v/>
      </c>
      <c r="BF500" s="105">
        <f>IFERROR(BJ500*BO500*BP500/BK500,"")</f>
        <v/>
      </c>
      <c r="BG500" s="105">
        <f>IFERROR(1/BM500/BH500*BQ500,"")</f>
        <v/>
      </c>
      <c r="BH500" s="102">
        <f>MAX((CE500-Driver!$F$200)/(Driver!$G$200-Driver!$F$200)*$BI$1,1)</f>
        <v/>
      </c>
      <c r="BI500" s="102">
        <f>MAX($BI$1*(BY500-Driver!$F$201)/(Driver!$G$201-Driver!$F$201),1)</f>
        <v/>
      </c>
      <c r="BJ500" s="102">
        <f>(CB500-Driver!$F$206)/(Driver!$G$206-Driver!$F$206)*$BI$1</f>
        <v/>
      </c>
      <c r="BK500" s="102">
        <f>(CD500-Driver!$F$203)/(Driver!$G$203-Driver!$F$203)*$BI$1</f>
        <v/>
      </c>
      <c r="BL500" s="102">
        <f>MAX((CR500-Driver!$F$202)/(Driver!$G$202-Driver!$F$202)*$BI$1,1)</f>
        <v/>
      </c>
      <c r="BM500" s="102">
        <f>MAX((CH500-Driver!$F$204)/(Driver!$G$204-Driver!$F$204)*$BI$1,1)</f>
        <v/>
      </c>
      <c r="BN500" s="102">
        <f>(CI500-Driver!$F$205)/(Driver!$G$205-Driver!$F$205)*$BI$1</f>
        <v/>
      </c>
      <c r="BO500" s="102">
        <f>(CK500-Driver!$F$207)/(Driver!$G$207-Driver!$F$207)*$BI$1</f>
        <v/>
      </c>
      <c r="BP500" s="102">
        <f>(CM500-Driver!$F$208)/(Driver!$G$208-Driver!$F$208)*$BI$1</f>
        <v/>
      </c>
      <c r="BQ500" s="102">
        <f>(CL500-Driver!$F$209)/(Driver!$G$209-Driver!$F$209)*$BI$1</f>
        <v/>
      </c>
      <c r="BR500" s="40" t="inlineStr">
        <is>
          <t>21/22</t>
        </is>
      </c>
      <c r="BS500" s="10" t="inlineStr">
        <is>
          <t xml:space="preserve"> Völkl</t>
        </is>
      </c>
      <c r="BT500" s="11" t="inlineStr">
        <is>
          <t>Bash 86</t>
        </is>
      </c>
      <c r="BU500" s="13" t="n">
        <v>148</v>
      </c>
      <c r="BV500" s="11" t="inlineStr">
        <is>
          <t xml:space="preserve"> Unisex</t>
        </is>
      </c>
      <c r="BW500" s="13" t="n">
        <v>148</v>
      </c>
      <c r="BX500" s="13" t="n">
        <v>148.2</v>
      </c>
      <c r="BY500" s="13" t="n">
        <v>111</v>
      </c>
      <c r="BZ500" s="13" t="n">
        <v>133</v>
      </c>
      <c r="CA500" s="13" t="n">
        <v>119</v>
      </c>
      <c r="CB500" s="13" t="n">
        <v>85</v>
      </c>
      <c r="CC500" s="13" t="n">
        <v>109</v>
      </c>
      <c r="CD500" s="13" t="n">
        <v>14.9</v>
      </c>
      <c r="CE500" s="13" t="n">
        <v>1462</v>
      </c>
      <c r="CF500" s="13" t="n">
        <v>0.97</v>
      </c>
      <c r="CG500" s="13" t="n">
        <v>1418</v>
      </c>
      <c r="CH500" s="13" t="n">
        <v>145</v>
      </c>
      <c r="CI500" s="13" t="n">
        <v>72</v>
      </c>
      <c r="CJ500" s="13" t="n">
        <v>41</v>
      </c>
      <c r="CK500" s="13" t="n">
        <v>188</v>
      </c>
      <c r="CL500" s="13" t="n">
        <v>40</v>
      </c>
      <c r="CM500" s="13" t="n">
        <v>184</v>
      </c>
      <c r="CN500" s="13" t="n">
        <v>0.987</v>
      </c>
      <c r="CO500" s="13" t="n">
        <v>82</v>
      </c>
      <c r="CP500" s="13" t="n">
        <v>70</v>
      </c>
      <c r="CQ500" s="13" t="n">
        <v>106</v>
      </c>
      <c r="CR500" s="13" t="n">
        <v>3</v>
      </c>
      <c r="CS500" s="13" t="n">
        <v>1.6</v>
      </c>
      <c r="CT500" s="11" t="inlineStr">
        <is>
          <t xml:space="preserve"> Freeski</t>
        </is>
      </c>
      <c r="CU500" s="13" t="n"/>
      <c r="CV500" s="13" t="n"/>
      <c r="CW500" s="13" t="n"/>
      <c r="CX500">
        <f>INDEX('Data_Price '!AG$2:AG$1266,MATCH(Data!$DN500,'Data_Price '!$AT$2:$AT$1266,0))</f>
        <v/>
      </c>
      <c r="CY500">
        <f>INDEX('Data_Price '!AH$2:AH$1266,MATCH(Data!$DN500,'Data_Price '!$AT$2:$AT$1266,0))</f>
        <v/>
      </c>
      <c r="CZ500">
        <f>INDEX('Data_Price '!AI$2:AI$1266,MATCH(Data!$DN500,'Data_Price '!$AT$2:$AT$1266,0))</f>
        <v/>
      </c>
      <c r="DA500">
        <f>INDEX('Data_Price '!AJ$2:AJ$1266,MATCH(Data!$DN500,'Data_Price '!$AT$2:$AT$1266,0))</f>
        <v/>
      </c>
      <c r="DB500">
        <f>INDEX('Data_Price '!AK$2:AK$1266,MATCH(Data!$DN500,'Data_Price '!$AT$2:$AT$1266,0))</f>
        <v/>
      </c>
      <c r="DC500">
        <f>INDEX('Data_Price '!AL$2:AL$1266,MATCH(Data!$DN500,'Data_Price '!$AT$2:$AT$1266,0))</f>
        <v/>
      </c>
      <c r="DD500">
        <f>INDEX('Data_Price '!AM$2:AM$1266,MATCH(Data!$DN500,'Data_Price '!$AT$2:$AT$1266,0))</f>
        <v/>
      </c>
      <c r="DE500">
        <f>INDEX('Data_Price '!AN$2:AN$1266,MATCH(Data!$DN500,'Data_Price '!$AT$2:$AT$1266,0))</f>
        <v/>
      </c>
      <c r="DF500">
        <f>INDEX('Data_Price '!AO$2:AO$1266,MATCH(Data!$DN500,'Data_Price '!$AT$2:$AT$1266,0))</f>
        <v/>
      </c>
      <c r="DG500">
        <f>INDEX('Data_Price '!AP$2:AP$1266,MATCH(Data!$DN500,'Data_Price '!$AT$2:$AT$1266,0))</f>
        <v/>
      </c>
      <c r="DH500">
        <f>INDEX('Data_Price '!AQ$2:AQ$1266,MATCH(Data!$DN500,'Data_Price '!$AT$2:$AT$1266,0))</f>
        <v/>
      </c>
      <c r="DI500">
        <f>INDEX('Data_Price '!AR$2:AR$1266,MATCH(Data!$DN500,'Data_Price '!$AT$2:$AT$1266,0))</f>
        <v/>
      </c>
      <c r="DJ500" s="138">
        <f>DA500</f>
        <v/>
      </c>
      <c r="DK500" s="138">
        <f>DE500</f>
        <v/>
      </c>
      <c r="DL500" s="138">
        <f>DI500</f>
        <v/>
      </c>
      <c r="DM500" s="303">
        <f>IF(LEFT(BT500,1)=" ",RIGHT(BT500,LEN(BT500)-1),BT500)</f>
        <v/>
      </c>
      <c r="DN500" s="138">
        <f>_xlfn.CONCAT(BS500,DM500,BU500,BV500)</f>
        <v/>
      </c>
      <c r="DO500" s="307" t="inlineStr">
        <is>
          <t>https://images.evo.com/imgp/250/183430/726763/clone.jpg</t>
        </is>
      </c>
    </row>
    <row r="501" ht="15.6" customHeight="1" s="184">
      <c r="B501" s="303">
        <f t="array" ref="B501">IF(OR(ISERROR(K501:P501)),FALSE,TRUE)</f>
        <v/>
      </c>
      <c r="C501" s="60">
        <f>OR(BR501=Driver!$G$50,Data!BR832=Driver!$H$50)</f>
        <v/>
      </c>
      <c r="D501" s="60">
        <f>OR(BV501=Driver!$G$51,BV501=Driver!$H$51)</f>
        <v/>
      </c>
      <c r="E501" s="60">
        <f>AND(BX501&gt;Driver!$F$54,BX501&lt;Driver!$G$54)</f>
        <v/>
      </c>
      <c r="F501" s="60">
        <f>CL501&gt;Driver!$F$56</f>
        <v/>
      </c>
      <c r="G501" s="60">
        <f>AND(CB501&gt;Driver!$F$55,CB501&lt;Driver!$G$55)</f>
        <v/>
      </c>
      <c r="H501" s="60">
        <f>AND(B501:G501)</f>
        <v/>
      </c>
      <c r="I501" s="60">
        <f>COUNTIFS($H$9:$H$1273,TRUE,$BT$9:$BT$1273,BT501)</f>
        <v/>
      </c>
      <c r="J501" s="60">
        <f t="array" ref="J501">NOT(OR(($H$9:$H$1273=TRUE)*($I$9:$I$1273&gt;0)*($BT$9:$BT$1273=BT501)*($K$9:$K$1273&gt;K501)))</f>
        <v/>
      </c>
      <c r="K501" s="108">
        <f>IFERROR(1-AVERAGE(X501:Y501),"")</f>
        <v/>
      </c>
      <c r="L501" s="108">
        <f>1-X501</f>
        <v/>
      </c>
      <c r="M501" s="108">
        <f>1-Y501</f>
        <v/>
      </c>
      <c r="N501" s="108">
        <f>1-Z501</f>
        <v/>
      </c>
      <c r="O501" s="108">
        <f>1-AA501</f>
        <v/>
      </c>
      <c r="P501" s="108">
        <f>1-AB501</f>
        <v/>
      </c>
      <c r="Q501" s="108" t="n"/>
      <c r="R501" s="108" t="n"/>
      <c r="S501" s="108">
        <f>1-AE501</f>
        <v/>
      </c>
      <c r="T501" s="108">
        <f>1-AF501</f>
        <v/>
      </c>
      <c r="U501" s="108">
        <f>1-AG501</f>
        <v/>
      </c>
      <c r="V501" s="108">
        <f>1-AH501</f>
        <v/>
      </c>
      <c r="W501" s="108">
        <f>1-AI501</f>
        <v/>
      </c>
      <c r="X501" s="108">
        <f>ABS(AJ501-AJ$1)</f>
        <v/>
      </c>
      <c r="Y501" s="108">
        <f>AVERAGE(Z501:AB501)</f>
        <v/>
      </c>
      <c r="Z501" s="108">
        <f>ABS(AL501-AL$1)</f>
        <v/>
      </c>
      <c r="AA501" s="108">
        <f>ABS(AM501-AM$1)</f>
        <v/>
      </c>
      <c r="AB501" s="108">
        <f>ABS(AN501-AN$1)</f>
        <v/>
      </c>
      <c r="AC501" s="108" t="n"/>
      <c r="AD501" s="108" t="n"/>
      <c r="AE501" s="108">
        <f>ABS(AQ$1-AQ501)</f>
        <v/>
      </c>
      <c r="AF501" s="108">
        <f>ABS(AR$1-AR501)</f>
        <v/>
      </c>
      <c r="AG501" s="108">
        <f>ABS(AS$1-AS501)</f>
        <v/>
      </c>
      <c r="AH501" s="108">
        <f>ABS(AT$1-AT501)</f>
        <v/>
      </c>
      <c r="AI501" s="108">
        <f>ABS(AU$1-AU501)</f>
        <v/>
      </c>
      <c r="AJ501" s="108">
        <f>(AV501-Driver!$K$179)/(Driver!$L$179-Driver!$K$179)</f>
        <v/>
      </c>
      <c r="AK501" s="108">
        <f>(AW501-Driver!$K$180)/(Driver!$L$180-Driver!$K$180)</f>
        <v/>
      </c>
      <c r="AL501" s="108">
        <f>(AX501-Driver!$K$181)/(Driver!$L$181-Driver!$K$181)</f>
        <v/>
      </c>
      <c r="AM501" s="108">
        <f>(AY501-Driver!$K$182)/(Driver!$L$182-Driver!$K$182)</f>
        <v/>
      </c>
      <c r="AN501" s="108">
        <f>(AZ501-Driver!$K$183)/(Driver!$L$183-Driver!$K$183)</f>
        <v/>
      </c>
      <c r="AO501" s="108" t="n"/>
      <c r="AP501" s="108" t="n"/>
      <c r="AQ501" s="108">
        <f>(BC501-Driver!$K$188)/(Driver!$L$188-Driver!$K$188)</f>
        <v/>
      </c>
      <c r="AR501" s="108">
        <f>MIN((BD501-Driver!$K$189)/(Driver!$L$189-Driver!$K$189),100%)</f>
        <v/>
      </c>
      <c r="AS501" s="108">
        <f>(BE501-Driver!$K$190)/(Driver!$L$190-Driver!$K$190)</f>
        <v/>
      </c>
      <c r="AT501" s="108">
        <f>(BF501-Driver!$K$191)/(Driver!$L$191-Driver!$K$191)</f>
        <v/>
      </c>
      <c r="AU501" s="108">
        <f>(BG501-Driver!$K$192)/(Driver!$L$192-Driver!$K$192)</f>
        <v/>
      </c>
      <c r="AV501" s="105">
        <f>IFERROR(BM501*BJ501^1/4,"")</f>
        <v/>
      </c>
      <c r="AW501" s="105">
        <f>IFERROR(SUM(AX501:AZ501),"")</f>
        <v/>
      </c>
      <c r="AX501" s="105">
        <f>IFERROR(BH501,"")</f>
        <v/>
      </c>
      <c r="AY501" s="105">
        <f>IFERROR(Driver!$K$19/Data!BH501/Data!BI501*Data!BK501*Data!BL501,"")</f>
        <v/>
      </c>
      <c r="AZ501" s="105">
        <f>IFERROR(BI501*BN501,"")</f>
        <v/>
      </c>
      <c r="BA501" s="105" t="n"/>
      <c r="BB501" s="105" t="n"/>
      <c r="BC501" s="105">
        <f>IFERROR(BI501*BN501*BK501/BJ501^(1/2),"")</f>
        <v/>
      </c>
      <c r="BD501" s="105">
        <f>IFERROR(BH501*BM501*BL501/BJ501/BK501,"")</f>
        <v/>
      </c>
      <c r="BE501" s="105">
        <f>IFERROR(MIN(BI501/BQ501/BP501/BO501/BH501,$BE$1),"")</f>
        <v/>
      </c>
      <c r="BF501" s="105">
        <f>IFERROR(BJ501*BO501*BP501/BK501,"")</f>
        <v/>
      </c>
      <c r="BG501" s="105">
        <f>IFERROR(1/BM501/BH501*BQ501,"")</f>
        <v/>
      </c>
      <c r="BH501" s="102">
        <f>MAX((CE501-Driver!$F$200)/(Driver!$G$200-Driver!$F$200)*$BI$1,1)</f>
        <v/>
      </c>
      <c r="BI501" s="102">
        <f>MAX($BI$1*(BY501-Driver!$F$201)/(Driver!$G$201-Driver!$F$201),1)</f>
        <v/>
      </c>
      <c r="BJ501" s="102">
        <f>(CB501-Driver!$F$206)/(Driver!$G$206-Driver!$F$206)*$BI$1</f>
        <v/>
      </c>
      <c r="BK501" s="102">
        <f>(CD501-Driver!$F$203)/(Driver!$G$203-Driver!$F$203)*$BI$1</f>
        <v/>
      </c>
      <c r="BL501" s="102">
        <f>MAX((CR501-Driver!$F$202)/(Driver!$G$202-Driver!$F$202)*$BI$1,1)</f>
        <v/>
      </c>
      <c r="BM501" s="102">
        <f>MAX((CH501-Driver!$F$204)/(Driver!$G$204-Driver!$F$204)*$BI$1,1)</f>
        <v/>
      </c>
      <c r="BN501" s="102">
        <f>(CI501-Driver!$F$205)/(Driver!$G$205-Driver!$F$205)*$BI$1</f>
        <v/>
      </c>
      <c r="BO501" s="102">
        <f>(CK501-Driver!$F$207)/(Driver!$G$207-Driver!$F$207)*$BI$1</f>
        <v/>
      </c>
      <c r="BP501" s="102">
        <f>(CM501-Driver!$F$208)/(Driver!$G$208-Driver!$F$208)*$BI$1</f>
        <v/>
      </c>
      <c r="BQ501" s="102">
        <f>(CL501-Driver!$F$209)/(Driver!$G$209-Driver!$F$209)*$BI$1</f>
        <v/>
      </c>
      <c r="BR501" s="40" t="inlineStr">
        <is>
          <t>21/22</t>
        </is>
      </c>
      <c r="BS501" s="10" t="inlineStr">
        <is>
          <t xml:space="preserve"> Line</t>
        </is>
      </c>
      <c r="BT501" s="11" t="inlineStr">
        <is>
          <t xml:space="preserve"> Chronic</t>
        </is>
      </c>
      <c r="BU501" s="13" t="n">
        <v>178</v>
      </c>
      <c r="BV501" s="11" t="inlineStr">
        <is>
          <t xml:space="preserve"> Unisex</t>
        </is>
      </c>
      <c r="BW501" s="13" t="n">
        <v>178</v>
      </c>
      <c r="BX501" s="13" t="n">
        <v>178.7</v>
      </c>
      <c r="BY501" s="13" t="n">
        <v>143</v>
      </c>
      <c r="BZ501" s="13" t="n">
        <v>145</v>
      </c>
      <c r="CA501" s="13" t="n">
        <v>128</v>
      </c>
      <c r="CB501" s="13" t="n">
        <v>94</v>
      </c>
      <c r="CC501" s="13" t="n">
        <v>119</v>
      </c>
      <c r="CD501" s="13" t="n">
        <v>16.9</v>
      </c>
      <c r="CE501" s="13" t="n">
        <v>1852</v>
      </c>
      <c r="CF501" s="13" t="n">
        <v>1.02</v>
      </c>
      <c r="CG501" s="13" t="n">
        <v>1884</v>
      </c>
      <c r="CH501" s="13" t="n">
        <v>156</v>
      </c>
      <c r="CI501" s="13" t="n">
        <v>85</v>
      </c>
      <c r="CJ501" s="13" t="n">
        <v>38</v>
      </c>
      <c r="CK501" s="13" t="n">
        <v>179</v>
      </c>
      <c r="CL501" s="13" t="n">
        <v>37</v>
      </c>
      <c r="CM501" s="13" t="n">
        <v>179</v>
      </c>
      <c r="CN501" s="13" t="n">
        <v>0.981</v>
      </c>
      <c r="CO501" s="13" t="n">
        <v>167</v>
      </c>
      <c r="CP501" s="13" t="n">
        <v>170</v>
      </c>
      <c r="CQ501" s="13" t="n">
        <v>12</v>
      </c>
      <c r="CR501" s="13" t="n">
        <v>10</v>
      </c>
      <c r="CS501" s="13" t="n">
        <v>4.8</v>
      </c>
      <c r="CT501" s="11" t="inlineStr">
        <is>
          <t xml:space="preserve"> Freeski</t>
        </is>
      </c>
      <c r="CU501" s="13" t="n"/>
      <c r="CV501" s="13" t="n"/>
      <c r="CW501" s="13" t="n"/>
      <c r="CX501">
        <f>INDEX('Data_Price '!AG$2:AG$1266,MATCH(Data!$DN501,'Data_Price '!$AT$2:$AT$1266,0))</f>
        <v/>
      </c>
      <c r="CY501">
        <f>INDEX('Data_Price '!AH$2:AH$1266,MATCH(Data!$DN501,'Data_Price '!$AT$2:$AT$1266,0))</f>
        <v/>
      </c>
      <c r="CZ501">
        <f>INDEX('Data_Price '!AI$2:AI$1266,MATCH(Data!$DN501,'Data_Price '!$AT$2:$AT$1266,0))</f>
        <v/>
      </c>
      <c r="DA501">
        <f>INDEX('Data_Price '!AJ$2:AJ$1266,MATCH(Data!$DN501,'Data_Price '!$AT$2:$AT$1266,0))</f>
        <v/>
      </c>
      <c r="DB501">
        <f>INDEX('Data_Price '!AK$2:AK$1266,MATCH(Data!$DN501,'Data_Price '!$AT$2:$AT$1266,0))</f>
        <v/>
      </c>
      <c r="DC501">
        <f>INDEX('Data_Price '!AL$2:AL$1266,MATCH(Data!$DN501,'Data_Price '!$AT$2:$AT$1266,0))</f>
        <v/>
      </c>
      <c r="DD501">
        <f>INDEX('Data_Price '!AM$2:AM$1266,MATCH(Data!$DN501,'Data_Price '!$AT$2:$AT$1266,0))</f>
        <v/>
      </c>
      <c r="DE501">
        <f>INDEX('Data_Price '!AN$2:AN$1266,MATCH(Data!$DN501,'Data_Price '!$AT$2:$AT$1266,0))</f>
        <v/>
      </c>
      <c r="DF501">
        <f>INDEX('Data_Price '!AO$2:AO$1266,MATCH(Data!$DN501,'Data_Price '!$AT$2:$AT$1266,0))</f>
        <v/>
      </c>
      <c r="DG501">
        <f>INDEX('Data_Price '!AP$2:AP$1266,MATCH(Data!$DN501,'Data_Price '!$AT$2:$AT$1266,0))</f>
        <v/>
      </c>
      <c r="DH501">
        <f>INDEX('Data_Price '!AQ$2:AQ$1266,MATCH(Data!$DN501,'Data_Price '!$AT$2:$AT$1266,0))</f>
        <v/>
      </c>
      <c r="DI501">
        <f>INDEX('Data_Price '!AR$2:AR$1266,MATCH(Data!$DN501,'Data_Price '!$AT$2:$AT$1266,0))</f>
        <v/>
      </c>
      <c r="DJ501" s="138">
        <f>DA501</f>
        <v/>
      </c>
      <c r="DK501" s="138">
        <f>DE501</f>
        <v/>
      </c>
      <c r="DL501" s="138">
        <f>DI501</f>
        <v/>
      </c>
      <c r="DM501" s="303">
        <f>IF(LEFT(BT501,1)=" ",RIGHT(BT501,LEN(BT501)-1),BT501)</f>
        <v/>
      </c>
      <c r="DN501" s="138">
        <f>_xlfn.CONCAT(BS501,DM501,BU501,BV501)</f>
        <v/>
      </c>
      <c r="DO501" s="307" t="inlineStr">
        <is>
          <t>https://images.evo.com/imgp/250/198439/824792/clone.jpg</t>
        </is>
      </c>
    </row>
    <row r="502" ht="15.6" customHeight="1" s="184">
      <c r="B502" s="303">
        <f t="array" ref="B502">IF(OR(ISERROR(K502:P502)),FALSE,TRUE)</f>
        <v/>
      </c>
      <c r="C502" s="60">
        <f>OR(BR502=Driver!$G$50,Data!BR315=Driver!$H$50)</f>
        <v/>
      </c>
      <c r="D502" s="60">
        <f>OR(BV502=Driver!$G$51,BV502=Driver!$H$51)</f>
        <v/>
      </c>
      <c r="E502" s="60">
        <f>AND(BX502&gt;Driver!$F$54,BX502&lt;Driver!$G$54)</f>
        <v/>
      </c>
      <c r="F502" s="60">
        <f>CL502&gt;Driver!$F$56</f>
        <v/>
      </c>
      <c r="G502" s="60">
        <f>AND(CB502&gt;Driver!$F$55,CB502&lt;Driver!$G$55)</f>
        <v/>
      </c>
      <c r="H502" s="60">
        <f>AND(B502:G502)</f>
        <v/>
      </c>
      <c r="I502" s="60">
        <f>COUNTIFS($H$9:$H$1273,TRUE,$BT$9:$BT$1273,BT502)</f>
        <v/>
      </c>
      <c r="J502" s="60">
        <f t="array" ref="J502">NOT(OR(($H$9:$H$1273=TRUE)*($I$9:$I$1273&gt;0)*($BT$9:$BT$1273=BT502)*($K$9:$K$1273&gt;K502)))</f>
        <v/>
      </c>
      <c r="K502" s="108">
        <f>IFERROR(1-AVERAGE(X502:Y502),"")</f>
        <v/>
      </c>
      <c r="L502" s="108">
        <f>1-X502</f>
        <v/>
      </c>
      <c r="M502" s="108">
        <f>1-Y502</f>
        <v/>
      </c>
      <c r="N502" s="108">
        <f>1-Z502</f>
        <v/>
      </c>
      <c r="O502" s="108">
        <f>1-AA502</f>
        <v/>
      </c>
      <c r="P502" s="108">
        <f>1-AB502</f>
        <v/>
      </c>
      <c r="Q502" s="108" t="n"/>
      <c r="R502" s="108" t="n"/>
      <c r="S502" s="108">
        <f>1-AE502</f>
        <v/>
      </c>
      <c r="T502" s="108">
        <f>1-AF502</f>
        <v/>
      </c>
      <c r="U502" s="108">
        <f>1-AG502</f>
        <v/>
      </c>
      <c r="V502" s="108">
        <f>1-AH502</f>
        <v/>
      </c>
      <c r="W502" s="108">
        <f>1-AI502</f>
        <v/>
      </c>
      <c r="X502" s="108">
        <f>ABS(AJ502-AJ$1)</f>
        <v/>
      </c>
      <c r="Y502" s="108">
        <f>AVERAGE(Z502:AB502)</f>
        <v/>
      </c>
      <c r="Z502" s="108">
        <f>ABS(AL502-AL$1)</f>
        <v/>
      </c>
      <c r="AA502" s="108">
        <f>ABS(AM502-AM$1)</f>
        <v/>
      </c>
      <c r="AB502" s="108">
        <f>ABS(AN502-AN$1)</f>
        <v/>
      </c>
      <c r="AC502" s="108" t="n"/>
      <c r="AD502" s="108" t="n"/>
      <c r="AE502" s="108">
        <f>ABS(AQ$1-AQ502)</f>
        <v/>
      </c>
      <c r="AF502" s="108">
        <f>ABS(AR$1-AR502)</f>
        <v/>
      </c>
      <c r="AG502" s="108">
        <f>ABS(AS$1-AS502)</f>
        <v/>
      </c>
      <c r="AH502" s="108">
        <f>ABS(AT$1-AT502)</f>
        <v/>
      </c>
      <c r="AI502" s="108">
        <f>ABS(AU$1-AU502)</f>
        <v/>
      </c>
      <c r="AJ502" s="108">
        <f>(AV502-Driver!$K$179)/(Driver!$L$179-Driver!$K$179)</f>
        <v/>
      </c>
      <c r="AK502" s="108">
        <f>(AW502-Driver!$K$180)/(Driver!$L$180-Driver!$K$180)</f>
        <v/>
      </c>
      <c r="AL502" s="108">
        <f>(AX502-Driver!$K$181)/(Driver!$L$181-Driver!$K$181)</f>
        <v/>
      </c>
      <c r="AM502" s="108">
        <f>(AY502-Driver!$K$182)/(Driver!$L$182-Driver!$K$182)</f>
        <v/>
      </c>
      <c r="AN502" s="108">
        <f>(AZ502-Driver!$K$183)/(Driver!$L$183-Driver!$K$183)</f>
        <v/>
      </c>
      <c r="AO502" s="108" t="n"/>
      <c r="AP502" s="108" t="n"/>
      <c r="AQ502" s="108">
        <f>(BC502-Driver!$K$188)/(Driver!$L$188-Driver!$K$188)</f>
        <v/>
      </c>
      <c r="AR502" s="108">
        <f>MIN((BD502-Driver!$K$189)/(Driver!$L$189-Driver!$K$189),100%)</f>
        <v/>
      </c>
      <c r="AS502" s="108">
        <f>(BE502-Driver!$K$190)/(Driver!$L$190-Driver!$K$190)</f>
        <v/>
      </c>
      <c r="AT502" s="108">
        <f>(BF502-Driver!$K$191)/(Driver!$L$191-Driver!$K$191)</f>
        <v/>
      </c>
      <c r="AU502" s="108">
        <f>(BG502-Driver!$K$192)/(Driver!$L$192-Driver!$K$192)</f>
        <v/>
      </c>
      <c r="AV502" s="105">
        <f>IFERROR(BM502*BJ502^1/4,"")</f>
        <v/>
      </c>
      <c r="AW502" s="105">
        <f>IFERROR(SUM(AX502:AZ502),"")</f>
        <v/>
      </c>
      <c r="AX502" s="105">
        <f>IFERROR(BH502,"")</f>
        <v/>
      </c>
      <c r="AY502" s="105">
        <f>IFERROR(Driver!$K$19/Data!BH502/Data!BI502*Data!BK502*Data!BL502,"")</f>
        <v/>
      </c>
      <c r="AZ502" s="105">
        <f>IFERROR(BI502*BN502,"")</f>
        <v/>
      </c>
      <c r="BA502" s="105" t="n"/>
      <c r="BB502" s="105" t="n"/>
      <c r="BC502" s="105">
        <f>IFERROR(BI502*BN502*BK502/BJ502^(1/2),"")</f>
        <v/>
      </c>
      <c r="BD502" s="105">
        <f>IFERROR(BH502*BM502*BL502/BJ502/BK502,"")</f>
        <v/>
      </c>
      <c r="BE502" s="105">
        <f>IFERROR(MIN(BI502/BQ502/BP502/BO502/BH502,$BE$1),"")</f>
        <v/>
      </c>
      <c r="BF502" s="105">
        <f>IFERROR(BJ502*BO502*BP502/BK502,"")</f>
        <v/>
      </c>
      <c r="BG502" s="105">
        <f>IFERROR(1/BM502/BH502*BQ502,"")</f>
        <v/>
      </c>
      <c r="BH502" s="102">
        <f>MAX((CE502-Driver!$F$200)/(Driver!$G$200-Driver!$F$200)*$BI$1,1)</f>
        <v/>
      </c>
      <c r="BI502" s="102">
        <f>MAX($BI$1*(BY502-Driver!$F$201)/(Driver!$G$201-Driver!$F$201),1)</f>
        <v/>
      </c>
      <c r="BJ502" s="102">
        <f>(CB502-Driver!$F$206)/(Driver!$G$206-Driver!$F$206)*$BI$1</f>
        <v/>
      </c>
      <c r="BK502" s="102">
        <f>(CD502-Driver!$F$203)/(Driver!$G$203-Driver!$F$203)*$BI$1</f>
        <v/>
      </c>
      <c r="BL502" s="102">
        <f>MAX((CR502-Driver!$F$202)/(Driver!$G$202-Driver!$F$202)*$BI$1,1)</f>
        <v/>
      </c>
      <c r="BM502" s="102">
        <f>MAX((CH502-Driver!$F$204)/(Driver!$G$204-Driver!$F$204)*$BI$1,1)</f>
        <v/>
      </c>
      <c r="BN502" s="102">
        <f>(CI502-Driver!$F$205)/(Driver!$G$205-Driver!$F$205)*$BI$1</f>
        <v/>
      </c>
      <c r="BO502" s="102">
        <f>(CK502-Driver!$F$207)/(Driver!$G$207-Driver!$F$207)*$BI$1</f>
        <v/>
      </c>
      <c r="BP502" s="102">
        <f>(CM502-Driver!$F$208)/(Driver!$G$208-Driver!$F$208)*$BI$1</f>
        <v/>
      </c>
      <c r="BQ502" s="102">
        <f>(CL502-Driver!$F$209)/(Driver!$G$209-Driver!$F$209)*$BI$1</f>
        <v/>
      </c>
      <c r="BR502" s="40" t="inlineStr">
        <is>
          <t>21/22</t>
        </is>
      </c>
      <c r="BS502" s="10" t="inlineStr">
        <is>
          <t xml:space="preserve"> Blizzard</t>
        </is>
      </c>
      <c r="BT502" s="11" t="inlineStr">
        <is>
          <t xml:space="preserve"> Thunderbird Sport Ti</t>
        </is>
      </c>
      <c r="BU502" s="13" t="n">
        <v>160</v>
      </c>
      <c r="BV502" s="11" t="inlineStr">
        <is>
          <t xml:space="preserve"> Unisex</t>
        </is>
      </c>
      <c r="BW502" s="13" t="n">
        <v>160</v>
      </c>
      <c r="BX502" s="13" t="n">
        <v>159.6</v>
      </c>
      <c r="BY502" s="13" t="n">
        <v>141</v>
      </c>
      <c r="BZ502" s="13" t="n">
        <v>147</v>
      </c>
      <c r="CA502" s="13" t="n">
        <v>125</v>
      </c>
      <c r="CB502" s="13" t="n">
        <v>76</v>
      </c>
      <c r="CC502" s="13" t="n">
        <v>105</v>
      </c>
      <c r="CD502" s="13" t="n">
        <v>13.7</v>
      </c>
      <c r="CE502" s="13" t="n">
        <v>1818</v>
      </c>
      <c r="CF502" s="13" t="n">
        <v>0.8</v>
      </c>
      <c r="CG502" s="13" t="n">
        <v>1448</v>
      </c>
      <c r="CH502" s="13" t="n">
        <v>192</v>
      </c>
      <c r="CI502" s="13" t="n">
        <v>95</v>
      </c>
      <c r="CJ502" s="13" t="n">
        <v>37</v>
      </c>
      <c r="CK502" s="13" t="n">
        <v>137</v>
      </c>
      <c r="CL502" s="13" t="n">
        <v>6</v>
      </c>
      <c r="CM502" s="13" t="n">
        <v>51</v>
      </c>
      <c r="CN502" s="13" t="n">
        <v>0.168</v>
      </c>
      <c r="CO502" s="13" t="n">
        <v>76</v>
      </c>
      <c r="CP502" s="13" t="n">
        <v>52</v>
      </c>
      <c r="CQ502" s="13" t="n">
        <v>61</v>
      </c>
      <c r="CR502" s="13" t="n">
        <v>7</v>
      </c>
      <c r="CS502" s="13" t="n">
        <v>12.1</v>
      </c>
      <c r="CT502" s="11" t="inlineStr">
        <is>
          <t xml:space="preserve"> On-Piste Carving</t>
        </is>
      </c>
      <c r="CU502" s="13" t="n"/>
      <c r="CV502" s="13" t="n"/>
      <c r="CW502" s="13" t="n"/>
      <c r="CX502">
        <f>INDEX('Data_Price '!AG$2:AG$1266,MATCH(Data!$DN502,'Data_Price '!$AT$2:$AT$1266,0))</f>
        <v/>
      </c>
      <c r="CY502">
        <f>INDEX('Data_Price '!AH$2:AH$1266,MATCH(Data!$DN502,'Data_Price '!$AT$2:$AT$1266,0))</f>
        <v/>
      </c>
      <c r="CZ502">
        <f>INDEX('Data_Price '!AI$2:AI$1266,MATCH(Data!$DN502,'Data_Price '!$AT$2:$AT$1266,0))</f>
        <v/>
      </c>
      <c r="DA502">
        <f>INDEX('Data_Price '!AJ$2:AJ$1266,MATCH(Data!$DN502,'Data_Price '!$AT$2:$AT$1266,0))</f>
        <v/>
      </c>
      <c r="DB502">
        <f>INDEX('Data_Price '!AK$2:AK$1266,MATCH(Data!$DN502,'Data_Price '!$AT$2:$AT$1266,0))</f>
        <v/>
      </c>
      <c r="DC502">
        <f>INDEX('Data_Price '!AL$2:AL$1266,MATCH(Data!$DN502,'Data_Price '!$AT$2:$AT$1266,0))</f>
        <v/>
      </c>
      <c r="DD502">
        <f>INDEX('Data_Price '!AM$2:AM$1266,MATCH(Data!$DN502,'Data_Price '!$AT$2:$AT$1266,0))</f>
        <v/>
      </c>
      <c r="DE502">
        <f>INDEX('Data_Price '!AN$2:AN$1266,MATCH(Data!$DN502,'Data_Price '!$AT$2:$AT$1266,0))</f>
        <v/>
      </c>
      <c r="DF502">
        <f>INDEX('Data_Price '!AO$2:AO$1266,MATCH(Data!$DN502,'Data_Price '!$AT$2:$AT$1266,0))</f>
        <v/>
      </c>
      <c r="DG502">
        <f>INDEX('Data_Price '!AP$2:AP$1266,MATCH(Data!$DN502,'Data_Price '!$AT$2:$AT$1266,0))</f>
        <v/>
      </c>
      <c r="DH502">
        <f>INDEX('Data_Price '!AQ$2:AQ$1266,MATCH(Data!$DN502,'Data_Price '!$AT$2:$AT$1266,0))</f>
        <v/>
      </c>
      <c r="DI502">
        <f>INDEX('Data_Price '!AR$2:AR$1266,MATCH(Data!$DN502,'Data_Price '!$AT$2:$AT$1266,0))</f>
        <v/>
      </c>
      <c r="DJ502" s="138">
        <f>DA502</f>
        <v/>
      </c>
      <c r="DK502" s="138">
        <f>DE502</f>
        <v/>
      </c>
      <c r="DL502" s="138">
        <f>DI502</f>
        <v/>
      </c>
      <c r="DM502" s="303">
        <f>IF(LEFT(BT502,1)=" ",RIGHT(BT502,LEN(BT502)-1),BT502)</f>
        <v/>
      </c>
      <c r="DN502" s="138">
        <f>_xlfn.CONCAT(BS502,DM502,BU502,BV502)</f>
        <v/>
      </c>
      <c r="DO502" s="307" t="inlineStr">
        <is>
          <t>https://images.evo.com/imgp/250/197468/825183/clone.jpg</t>
        </is>
      </c>
    </row>
    <row r="503" ht="15.6" customHeight="1" s="184">
      <c r="B503" s="303">
        <f t="array" ref="B503">IF(OR(ISERROR(K503:P503)),FALSE,TRUE)</f>
        <v/>
      </c>
      <c r="C503" s="60">
        <f>OR(BR503=Driver!$G$50,Data!BR248=Driver!$H$50)</f>
        <v/>
      </c>
      <c r="D503" s="60">
        <f>OR(BV503=Driver!$G$51,BV503=Driver!$H$51)</f>
        <v/>
      </c>
      <c r="E503" s="60">
        <f>AND(BX503&gt;Driver!$F$54,BX503&lt;Driver!$G$54)</f>
        <v/>
      </c>
      <c r="F503" s="60">
        <f>CL503&gt;Driver!$F$56</f>
        <v/>
      </c>
      <c r="G503" s="60">
        <f>AND(CB503&gt;Driver!$F$55,CB503&lt;Driver!$G$55)</f>
        <v/>
      </c>
      <c r="H503" s="60">
        <f>AND(B503:G503)</f>
        <v/>
      </c>
      <c r="I503" s="60">
        <f>COUNTIFS($H$9:$H$1273,TRUE,$BT$9:$BT$1273,BT503)</f>
        <v/>
      </c>
      <c r="J503" s="60">
        <f t="array" ref="J503">NOT(OR(($H$9:$H$1273=TRUE)*($I$9:$I$1273&gt;0)*($BT$9:$BT$1273=BT503)*($K$9:$K$1273&gt;K503)))</f>
        <v/>
      </c>
      <c r="K503" s="108">
        <f>IFERROR(1-AVERAGE(X503:Y503),"")</f>
        <v/>
      </c>
      <c r="L503" s="108">
        <f>1-X503</f>
        <v/>
      </c>
      <c r="M503" s="108">
        <f>1-Y503</f>
        <v/>
      </c>
      <c r="N503" s="108">
        <f>1-Z503</f>
        <v/>
      </c>
      <c r="O503" s="108">
        <f>1-AA503</f>
        <v/>
      </c>
      <c r="P503" s="108">
        <f>1-AB503</f>
        <v/>
      </c>
      <c r="Q503" s="108" t="n"/>
      <c r="R503" s="108" t="n"/>
      <c r="S503" s="108">
        <f>1-AE503</f>
        <v/>
      </c>
      <c r="T503" s="108">
        <f>1-AF503</f>
        <v/>
      </c>
      <c r="U503" s="108">
        <f>1-AG503</f>
        <v/>
      </c>
      <c r="V503" s="108">
        <f>1-AH503</f>
        <v/>
      </c>
      <c r="W503" s="108">
        <f>1-AI503</f>
        <v/>
      </c>
      <c r="X503" s="108">
        <f>ABS(AJ503-AJ$1)</f>
        <v/>
      </c>
      <c r="Y503" s="108">
        <f>AVERAGE(Z503:AB503)</f>
        <v/>
      </c>
      <c r="Z503" s="108">
        <f>ABS(AL503-AL$1)</f>
        <v/>
      </c>
      <c r="AA503" s="108">
        <f>ABS(AM503-AM$1)</f>
        <v/>
      </c>
      <c r="AB503" s="108">
        <f>ABS(AN503-AN$1)</f>
        <v/>
      </c>
      <c r="AC503" s="108" t="n"/>
      <c r="AD503" s="108" t="n"/>
      <c r="AE503" s="108">
        <f>ABS(AQ$1-AQ503)</f>
        <v/>
      </c>
      <c r="AF503" s="108">
        <f>ABS(AR$1-AR503)</f>
        <v/>
      </c>
      <c r="AG503" s="108">
        <f>ABS(AS$1-AS503)</f>
        <v/>
      </c>
      <c r="AH503" s="108">
        <f>ABS(AT$1-AT503)</f>
        <v/>
      </c>
      <c r="AI503" s="108">
        <f>ABS(AU$1-AU503)</f>
        <v/>
      </c>
      <c r="AJ503" s="108">
        <f>(AV503-Driver!$K$179)/(Driver!$L$179-Driver!$K$179)</f>
        <v/>
      </c>
      <c r="AK503" s="108">
        <f>(AW503-Driver!$K$180)/(Driver!$L$180-Driver!$K$180)</f>
        <v/>
      </c>
      <c r="AL503" s="108">
        <f>(AX503-Driver!$K$181)/(Driver!$L$181-Driver!$K$181)</f>
        <v/>
      </c>
      <c r="AM503" s="108">
        <f>(AY503-Driver!$K$182)/(Driver!$L$182-Driver!$K$182)</f>
        <v/>
      </c>
      <c r="AN503" s="108">
        <f>(AZ503-Driver!$K$183)/(Driver!$L$183-Driver!$K$183)</f>
        <v/>
      </c>
      <c r="AO503" s="108" t="n"/>
      <c r="AP503" s="108" t="n"/>
      <c r="AQ503" s="108">
        <f>(BC503-Driver!$K$188)/(Driver!$L$188-Driver!$K$188)</f>
        <v/>
      </c>
      <c r="AR503" s="108">
        <f>MIN((BD503-Driver!$K$189)/(Driver!$L$189-Driver!$K$189),100%)</f>
        <v/>
      </c>
      <c r="AS503" s="108">
        <f>(BE503-Driver!$K$190)/(Driver!$L$190-Driver!$K$190)</f>
        <v/>
      </c>
      <c r="AT503" s="108">
        <f>(BF503-Driver!$K$191)/(Driver!$L$191-Driver!$K$191)</f>
        <v/>
      </c>
      <c r="AU503" s="108">
        <f>(BG503-Driver!$K$192)/(Driver!$L$192-Driver!$K$192)</f>
        <v/>
      </c>
      <c r="AV503" s="105">
        <f>IFERROR(BM503*BJ503^1/4,"")</f>
        <v/>
      </c>
      <c r="AW503" s="105">
        <f>IFERROR(SUM(AX503:AZ503),"")</f>
        <v/>
      </c>
      <c r="AX503" s="105">
        <f>IFERROR(BH503,"")</f>
        <v/>
      </c>
      <c r="AY503" s="105">
        <f>IFERROR(Driver!$K$19/Data!BH503/Data!BI503*Data!BK503*Data!BL503,"")</f>
        <v/>
      </c>
      <c r="AZ503" s="105">
        <f>IFERROR(BI503*BN503,"")</f>
        <v/>
      </c>
      <c r="BA503" s="105" t="n"/>
      <c r="BB503" s="105" t="n"/>
      <c r="BC503" s="105">
        <f>IFERROR(BI503*BN503*BK503/BJ503^(1/2),"")</f>
        <v/>
      </c>
      <c r="BD503" s="105">
        <f>IFERROR(BH503*BM503*BL503/BJ503/BK503,"")</f>
        <v/>
      </c>
      <c r="BE503" s="105">
        <f>IFERROR(MIN(BI503/BQ503/BP503/BO503/BH503,$BE$1),"")</f>
        <v/>
      </c>
      <c r="BF503" s="105">
        <f>IFERROR(BJ503*BO503*BP503/BK503,"")</f>
        <v/>
      </c>
      <c r="BG503" s="105">
        <f>IFERROR(1/BM503/BH503*BQ503,"")</f>
        <v/>
      </c>
      <c r="BH503" s="102">
        <f>MAX((CE503-Driver!$F$200)/(Driver!$G$200-Driver!$F$200)*$BI$1,1)</f>
        <v/>
      </c>
      <c r="BI503" s="102">
        <f>MAX($BI$1*(BY503-Driver!$F$201)/(Driver!$G$201-Driver!$F$201),1)</f>
        <v/>
      </c>
      <c r="BJ503" s="102">
        <f>(CB503-Driver!$F$206)/(Driver!$G$206-Driver!$F$206)*$BI$1</f>
        <v/>
      </c>
      <c r="BK503" s="102">
        <f>(CD503-Driver!$F$203)/(Driver!$G$203-Driver!$F$203)*$BI$1</f>
        <v/>
      </c>
      <c r="BL503" s="102">
        <f>MAX((CR503-Driver!$F$202)/(Driver!$G$202-Driver!$F$202)*$BI$1,1)</f>
        <v/>
      </c>
      <c r="BM503" s="102">
        <f>MAX((CH503-Driver!$F$204)/(Driver!$G$204-Driver!$F$204)*$BI$1,1)</f>
        <v/>
      </c>
      <c r="BN503" s="102">
        <f>(CI503-Driver!$F$205)/(Driver!$G$205-Driver!$F$205)*$BI$1</f>
        <v/>
      </c>
      <c r="BO503" s="102">
        <f>(CK503-Driver!$F$207)/(Driver!$G$207-Driver!$F$207)*$BI$1</f>
        <v/>
      </c>
      <c r="BP503" s="102">
        <f>(CM503-Driver!$F$208)/(Driver!$G$208-Driver!$F$208)*$BI$1</f>
        <v/>
      </c>
      <c r="BQ503" s="102">
        <f>(CL503-Driver!$F$209)/(Driver!$G$209-Driver!$F$209)*$BI$1</f>
        <v/>
      </c>
      <c r="BR503" s="40" t="inlineStr">
        <is>
          <t>21/22</t>
        </is>
      </c>
      <c r="BS503" s="10" t="inlineStr">
        <is>
          <t xml:space="preserve"> Black Diamond</t>
        </is>
      </c>
      <c r="BT503" s="11" t="inlineStr">
        <is>
          <t>Impulse 104</t>
        </is>
      </c>
      <c r="BU503" s="13" t="n">
        <v>179</v>
      </c>
      <c r="BV503" s="11" t="inlineStr">
        <is>
          <t xml:space="preserve"> Unisex</t>
        </is>
      </c>
      <c r="BW503" s="13" t="n">
        <v>179</v>
      </c>
      <c r="BX503" s="13" t="n">
        <v>179.6</v>
      </c>
      <c r="BY503" s="13" t="n">
        <v>129</v>
      </c>
      <c r="BZ503" s="13" t="n">
        <v>141</v>
      </c>
      <c r="CA503" s="13" t="n">
        <v>135</v>
      </c>
      <c r="CB503" s="13" t="n">
        <v>103</v>
      </c>
      <c r="CC503" s="13" t="n">
        <v>122</v>
      </c>
      <c r="CD503" s="13" t="n">
        <v>18.1</v>
      </c>
      <c r="CE503" s="13" t="n">
        <v>1929</v>
      </c>
      <c r="CF503" s="13" t="n">
        <v>1.05</v>
      </c>
      <c r="CG503" s="13" t="n">
        <v>2028</v>
      </c>
      <c r="CH503" s="13" t="n">
        <v>201</v>
      </c>
      <c r="CI503" s="13" t="n">
        <v>80</v>
      </c>
      <c r="CJ503" s="13" t="n">
        <v>46</v>
      </c>
      <c r="CK503" s="13" t="n">
        <v>293</v>
      </c>
      <c r="CL503" s="13" t="n">
        <v>24</v>
      </c>
      <c r="CM503" s="13" t="n">
        <v>212</v>
      </c>
      <c r="CN503" s="13" t="n">
        <v>0.519</v>
      </c>
      <c r="CO503" s="13" t="n">
        <v>233</v>
      </c>
      <c r="CP503" s="13" t="n">
        <v>151</v>
      </c>
      <c r="CQ503" s="13" t="n">
        <v>60</v>
      </c>
      <c r="CR503" s="13" t="n">
        <v>8</v>
      </c>
      <c r="CS503" s="13" t="n">
        <v>9.199999999999999</v>
      </c>
      <c r="CT503" s="11" t="inlineStr">
        <is>
          <t xml:space="preserve"> Resort Freeride</t>
        </is>
      </c>
      <c r="CU503" s="11" t="inlineStr">
        <is>
          <t xml:space="preserve"> Powder</t>
        </is>
      </c>
      <c r="CV503" s="11" t="inlineStr">
        <is>
          <t xml:space="preserve"> Touring</t>
        </is>
      </c>
      <c r="CW503" s="13" t="n"/>
      <c r="CX503">
        <f>INDEX('Data_Price '!AG$2:AG$1266,MATCH(Data!$DN503,'Data_Price '!$AT$2:$AT$1266,0))</f>
        <v/>
      </c>
      <c r="CY503">
        <f>INDEX('Data_Price '!AH$2:AH$1266,MATCH(Data!$DN503,'Data_Price '!$AT$2:$AT$1266,0))</f>
        <v/>
      </c>
      <c r="CZ503">
        <f>INDEX('Data_Price '!AI$2:AI$1266,MATCH(Data!$DN503,'Data_Price '!$AT$2:$AT$1266,0))</f>
        <v/>
      </c>
      <c r="DA503">
        <f>INDEX('Data_Price '!AJ$2:AJ$1266,MATCH(Data!$DN503,'Data_Price '!$AT$2:$AT$1266,0))</f>
        <v/>
      </c>
      <c r="DB503">
        <f>INDEX('Data_Price '!AK$2:AK$1266,MATCH(Data!$DN503,'Data_Price '!$AT$2:$AT$1266,0))</f>
        <v/>
      </c>
      <c r="DC503">
        <f>INDEX('Data_Price '!AL$2:AL$1266,MATCH(Data!$DN503,'Data_Price '!$AT$2:$AT$1266,0))</f>
        <v/>
      </c>
      <c r="DD503">
        <f>INDEX('Data_Price '!AM$2:AM$1266,MATCH(Data!$DN503,'Data_Price '!$AT$2:$AT$1266,0))</f>
        <v/>
      </c>
      <c r="DE503">
        <f>INDEX('Data_Price '!AN$2:AN$1266,MATCH(Data!$DN503,'Data_Price '!$AT$2:$AT$1266,0))</f>
        <v/>
      </c>
      <c r="DF503">
        <f>INDEX('Data_Price '!AO$2:AO$1266,MATCH(Data!$DN503,'Data_Price '!$AT$2:$AT$1266,0))</f>
        <v/>
      </c>
      <c r="DG503">
        <f>INDEX('Data_Price '!AP$2:AP$1266,MATCH(Data!$DN503,'Data_Price '!$AT$2:$AT$1266,0))</f>
        <v/>
      </c>
      <c r="DH503">
        <f>INDEX('Data_Price '!AQ$2:AQ$1266,MATCH(Data!$DN503,'Data_Price '!$AT$2:$AT$1266,0))</f>
        <v/>
      </c>
      <c r="DI503">
        <f>INDEX('Data_Price '!AR$2:AR$1266,MATCH(Data!$DN503,'Data_Price '!$AT$2:$AT$1266,0))</f>
        <v/>
      </c>
      <c r="DJ503" s="138">
        <f>DA503</f>
        <v/>
      </c>
      <c r="DK503" s="138">
        <f>DE503</f>
        <v/>
      </c>
      <c r="DL503" s="138">
        <f>DI503</f>
        <v/>
      </c>
      <c r="DM503" s="303">
        <f>IF(LEFT(BT503,1)=" ",RIGHT(BT503,LEN(BT503)-1),BT503)</f>
        <v/>
      </c>
      <c r="DN503" s="138">
        <f>_xlfn.CONCAT(BS503,DM503,BU503,BV503)</f>
        <v/>
      </c>
      <c r="DO503" s="307" t="inlineStr">
        <is>
          <t>https://images.evo.com/imgp/250/200507/836805/black-diamond-impulse-104-skis-2022-.jpg</t>
        </is>
      </c>
    </row>
    <row r="504" ht="15.6" customHeight="1" s="184">
      <c r="B504" s="303">
        <f t="array" ref="B504">IF(OR(ISERROR(K504:P504)),FALSE,TRUE)</f>
        <v/>
      </c>
      <c r="C504" s="60">
        <f>OR(BR504=Driver!$G$50,Data!BR54=Driver!$H$50)</f>
        <v/>
      </c>
      <c r="D504" s="60">
        <f>OR(BV504=Driver!$G$51,BV504=Driver!$H$51)</f>
        <v/>
      </c>
      <c r="E504" s="60">
        <f>AND(BX504&gt;Driver!$F$54,BX504&lt;Driver!$G$54)</f>
        <v/>
      </c>
      <c r="F504" s="60">
        <f>CL504&gt;Driver!$F$56</f>
        <v/>
      </c>
      <c r="G504" s="60">
        <f>AND(CB504&gt;Driver!$F$55,CB504&lt;Driver!$G$55)</f>
        <v/>
      </c>
      <c r="H504" s="60">
        <f>AND(B504:G504)</f>
        <v/>
      </c>
      <c r="I504" s="60">
        <f>COUNTIFS($H$9:$H$1273,TRUE,$BT$9:$BT$1273,BT504)</f>
        <v/>
      </c>
      <c r="J504" s="60">
        <f t="array" ref="J504">NOT(OR(($H$9:$H$1273=TRUE)*($I$9:$I$1273&gt;0)*($BT$9:$BT$1273=BT504)*($K$9:$K$1273&gt;K504)))</f>
        <v/>
      </c>
      <c r="K504" s="108">
        <f>IFERROR(1-AVERAGE(X504:Y504),"")</f>
        <v/>
      </c>
      <c r="L504" s="108">
        <f>1-X504</f>
        <v/>
      </c>
      <c r="M504" s="108">
        <f>1-Y504</f>
        <v/>
      </c>
      <c r="N504" s="108">
        <f>1-Z504</f>
        <v/>
      </c>
      <c r="O504" s="108">
        <f>1-AA504</f>
        <v/>
      </c>
      <c r="P504" s="108">
        <f>1-AB504</f>
        <v/>
      </c>
      <c r="Q504" s="108" t="n"/>
      <c r="R504" s="108" t="n"/>
      <c r="S504" s="108">
        <f>1-AE504</f>
        <v/>
      </c>
      <c r="T504" s="108">
        <f>1-AF504</f>
        <v/>
      </c>
      <c r="U504" s="108">
        <f>1-AG504</f>
        <v/>
      </c>
      <c r="V504" s="108">
        <f>1-AH504</f>
        <v/>
      </c>
      <c r="W504" s="108">
        <f>1-AI504</f>
        <v/>
      </c>
      <c r="X504" s="108">
        <f>ABS(AJ504-AJ$1)</f>
        <v/>
      </c>
      <c r="Y504" s="108">
        <f>AVERAGE(Z504:AB504)</f>
        <v/>
      </c>
      <c r="Z504" s="108">
        <f>ABS(AL504-AL$1)</f>
        <v/>
      </c>
      <c r="AA504" s="108">
        <f>ABS(AM504-AM$1)</f>
        <v/>
      </c>
      <c r="AB504" s="108">
        <f>ABS(AN504-AN$1)</f>
        <v/>
      </c>
      <c r="AC504" s="108" t="n"/>
      <c r="AD504" s="108" t="n"/>
      <c r="AE504" s="108">
        <f>ABS(AQ$1-AQ504)</f>
        <v/>
      </c>
      <c r="AF504" s="108">
        <f>ABS(AR$1-AR504)</f>
        <v/>
      </c>
      <c r="AG504" s="108">
        <f>ABS(AS$1-AS504)</f>
        <v/>
      </c>
      <c r="AH504" s="108">
        <f>ABS(AT$1-AT504)</f>
        <v/>
      </c>
      <c r="AI504" s="108">
        <f>ABS(AU$1-AU504)</f>
        <v/>
      </c>
      <c r="AJ504" s="108">
        <f>(AV504-Driver!$K$179)/(Driver!$L$179-Driver!$K$179)</f>
        <v/>
      </c>
      <c r="AK504" s="108">
        <f>(AW504-Driver!$K$180)/(Driver!$L$180-Driver!$K$180)</f>
        <v/>
      </c>
      <c r="AL504" s="108">
        <f>(AX504-Driver!$K$181)/(Driver!$L$181-Driver!$K$181)</f>
        <v/>
      </c>
      <c r="AM504" s="108">
        <f>(AY504-Driver!$K$182)/(Driver!$L$182-Driver!$K$182)</f>
        <v/>
      </c>
      <c r="AN504" s="108">
        <f>(AZ504-Driver!$K$183)/(Driver!$L$183-Driver!$K$183)</f>
        <v/>
      </c>
      <c r="AO504" s="108" t="n"/>
      <c r="AP504" s="108" t="n"/>
      <c r="AQ504" s="108">
        <f>(BC504-Driver!$K$188)/(Driver!$L$188-Driver!$K$188)</f>
        <v/>
      </c>
      <c r="AR504" s="108">
        <f>MIN((BD504-Driver!$K$189)/(Driver!$L$189-Driver!$K$189),100%)</f>
        <v/>
      </c>
      <c r="AS504" s="108">
        <f>(BE504-Driver!$K$190)/(Driver!$L$190-Driver!$K$190)</f>
        <v/>
      </c>
      <c r="AT504" s="108">
        <f>(BF504-Driver!$K$191)/(Driver!$L$191-Driver!$K$191)</f>
        <v/>
      </c>
      <c r="AU504" s="108">
        <f>(BG504-Driver!$K$192)/(Driver!$L$192-Driver!$K$192)</f>
        <v/>
      </c>
      <c r="AV504" s="105">
        <f>IFERROR(BM504*BJ504^1/4,"")</f>
        <v/>
      </c>
      <c r="AW504" s="105">
        <f>IFERROR(SUM(AX504:AZ504),"")</f>
        <v/>
      </c>
      <c r="AX504" s="105">
        <f>IFERROR(BH504,"")</f>
        <v/>
      </c>
      <c r="AY504" s="105">
        <f>IFERROR(Driver!$K$19/Data!BH504/Data!BI504*Data!BK504*Data!BL504,"")</f>
        <v/>
      </c>
      <c r="AZ504" s="105">
        <f>IFERROR(BI504*BN504,"")</f>
        <v/>
      </c>
      <c r="BA504" s="105" t="n"/>
      <c r="BB504" s="105" t="n"/>
      <c r="BC504" s="105">
        <f>IFERROR(BI504*BN504*BK504/BJ504^(1/2),"")</f>
        <v/>
      </c>
      <c r="BD504" s="105">
        <f>IFERROR(BH504*BM504*BL504/BJ504/BK504,"")</f>
        <v/>
      </c>
      <c r="BE504" s="105">
        <f>IFERROR(MIN(BI504/BQ504/BP504/BO504/BH504,$BE$1),"")</f>
        <v/>
      </c>
      <c r="BF504" s="105">
        <f>IFERROR(BJ504*BO504*BP504/BK504,"")</f>
        <v/>
      </c>
      <c r="BG504" s="105">
        <f>IFERROR(1/BM504/BH504*BQ504,"")</f>
        <v/>
      </c>
      <c r="BH504" s="102">
        <f>MAX((CE504-Driver!$F$200)/(Driver!$G$200-Driver!$F$200)*$BI$1,1)</f>
        <v/>
      </c>
      <c r="BI504" s="102">
        <f>MAX($BI$1*(BY504-Driver!$F$201)/(Driver!$G$201-Driver!$F$201),1)</f>
        <v/>
      </c>
      <c r="BJ504" s="102">
        <f>(CB504-Driver!$F$206)/(Driver!$G$206-Driver!$F$206)*$BI$1</f>
        <v/>
      </c>
      <c r="BK504" s="102">
        <f>(CD504-Driver!$F$203)/(Driver!$G$203-Driver!$F$203)*$BI$1</f>
        <v/>
      </c>
      <c r="BL504" s="102">
        <f>MAX((CR504-Driver!$F$202)/(Driver!$G$202-Driver!$F$202)*$BI$1,1)</f>
        <v/>
      </c>
      <c r="BM504" s="102">
        <f>MAX((CH504-Driver!$F$204)/(Driver!$G$204-Driver!$F$204)*$BI$1,1)</f>
        <v/>
      </c>
      <c r="BN504" s="102">
        <f>(CI504-Driver!$F$205)/(Driver!$G$205-Driver!$F$205)*$BI$1</f>
        <v/>
      </c>
      <c r="BO504" s="102">
        <f>(CK504-Driver!$F$207)/(Driver!$G$207-Driver!$F$207)*$BI$1</f>
        <v/>
      </c>
      <c r="BP504" s="102">
        <f>(CM504-Driver!$F$208)/(Driver!$G$208-Driver!$F$208)*$BI$1</f>
        <v/>
      </c>
      <c r="BQ504" s="102">
        <f>(CL504-Driver!$F$209)/(Driver!$G$209-Driver!$F$209)*$BI$1</f>
        <v/>
      </c>
      <c r="BR504" s="40" t="inlineStr">
        <is>
          <t>21/22</t>
        </is>
      </c>
      <c r="BS504" s="10" t="inlineStr">
        <is>
          <t xml:space="preserve"> Armada</t>
        </is>
      </c>
      <c r="BT504" s="11" t="inlineStr">
        <is>
          <t>ARW 86</t>
        </is>
      </c>
      <c r="BU504" s="13" t="n">
        <v>163</v>
      </c>
      <c r="BV504" s="11" t="inlineStr">
        <is>
          <t xml:space="preserve"> Women's</t>
        </is>
      </c>
      <c r="BW504" s="13" t="n">
        <v>163</v>
      </c>
      <c r="BX504" s="13" t="n">
        <v>160.9</v>
      </c>
      <c r="BY504" s="13" t="n">
        <v>127</v>
      </c>
      <c r="BZ504" s="13" t="n">
        <v>137</v>
      </c>
      <c r="CA504" s="13" t="n">
        <v>113</v>
      </c>
      <c r="CB504" s="13" t="n">
        <v>85</v>
      </c>
      <c r="CC504" s="13" t="n">
        <v>107</v>
      </c>
      <c r="CD504" s="13" t="n">
        <v>17.3</v>
      </c>
      <c r="CE504" s="13" t="n">
        <v>1552</v>
      </c>
      <c r="CF504" s="13" t="n">
        <v>0.98</v>
      </c>
      <c r="CG504" s="13" t="n">
        <v>1524</v>
      </c>
      <c r="CH504" s="13" t="n">
        <v>140</v>
      </c>
      <c r="CI504" s="13" t="n">
        <v>83</v>
      </c>
      <c r="CJ504" s="13" t="n">
        <v>43</v>
      </c>
      <c r="CK504" s="13" t="n">
        <v>178</v>
      </c>
      <c r="CL504" s="13" t="n">
        <v>38</v>
      </c>
      <c r="CM504" s="13" t="n">
        <v>160</v>
      </c>
      <c r="CN504" s="13" t="n">
        <v>0.866</v>
      </c>
      <c r="CO504" s="13" t="n">
        <v>107</v>
      </c>
      <c r="CP504" s="13" t="n">
        <v>127</v>
      </c>
      <c r="CQ504" s="13" t="n">
        <v>71</v>
      </c>
      <c r="CR504" s="13" t="n">
        <v>12</v>
      </c>
      <c r="CS504" s="13" t="n">
        <v>3.8</v>
      </c>
      <c r="CT504" s="11" t="inlineStr">
        <is>
          <t xml:space="preserve"> Freeski</t>
        </is>
      </c>
      <c r="CU504" s="13" t="n"/>
      <c r="CV504" s="13" t="n"/>
      <c r="CW504" s="13" t="n"/>
      <c r="CX504">
        <f>INDEX('Data_Price '!AG$2:AG$1266,MATCH(Data!$DN504,'Data_Price '!$AT$2:$AT$1266,0))</f>
        <v/>
      </c>
      <c r="CY504">
        <f>INDEX('Data_Price '!AH$2:AH$1266,MATCH(Data!$DN504,'Data_Price '!$AT$2:$AT$1266,0))</f>
        <v/>
      </c>
      <c r="CZ504">
        <f>INDEX('Data_Price '!AI$2:AI$1266,MATCH(Data!$DN504,'Data_Price '!$AT$2:$AT$1266,0))</f>
        <v/>
      </c>
      <c r="DA504">
        <f>INDEX('Data_Price '!AJ$2:AJ$1266,MATCH(Data!$DN504,'Data_Price '!$AT$2:$AT$1266,0))</f>
        <v/>
      </c>
      <c r="DB504">
        <f>INDEX('Data_Price '!AK$2:AK$1266,MATCH(Data!$DN504,'Data_Price '!$AT$2:$AT$1266,0))</f>
        <v/>
      </c>
      <c r="DC504">
        <f>INDEX('Data_Price '!AL$2:AL$1266,MATCH(Data!$DN504,'Data_Price '!$AT$2:$AT$1266,0))</f>
        <v/>
      </c>
      <c r="DD504">
        <f>INDEX('Data_Price '!AM$2:AM$1266,MATCH(Data!$DN504,'Data_Price '!$AT$2:$AT$1266,0))</f>
        <v/>
      </c>
      <c r="DE504">
        <f>INDEX('Data_Price '!AN$2:AN$1266,MATCH(Data!$DN504,'Data_Price '!$AT$2:$AT$1266,0))</f>
        <v/>
      </c>
      <c r="DF504">
        <f>INDEX('Data_Price '!AO$2:AO$1266,MATCH(Data!$DN504,'Data_Price '!$AT$2:$AT$1266,0))</f>
        <v/>
      </c>
      <c r="DG504">
        <f>INDEX('Data_Price '!AP$2:AP$1266,MATCH(Data!$DN504,'Data_Price '!$AT$2:$AT$1266,0))</f>
        <v/>
      </c>
      <c r="DH504">
        <f>INDEX('Data_Price '!AQ$2:AQ$1266,MATCH(Data!$DN504,'Data_Price '!$AT$2:$AT$1266,0))</f>
        <v/>
      </c>
      <c r="DI504">
        <f>INDEX('Data_Price '!AR$2:AR$1266,MATCH(Data!$DN504,'Data_Price '!$AT$2:$AT$1266,0))</f>
        <v/>
      </c>
      <c r="DJ504" s="138">
        <f>DA504</f>
        <v/>
      </c>
      <c r="DK504" s="138">
        <f>DE504</f>
        <v/>
      </c>
      <c r="DL504" s="138">
        <f>DI504</f>
        <v/>
      </c>
      <c r="DM504" s="303">
        <f>IF(LEFT(BT504,1)=" ",RIGHT(BT504,LEN(BT504)-1),BT504)</f>
        <v/>
      </c>
      <c r="DN504" s="138">
        <f>_xlfn.CONCAT(BS504,DM504,BU504,BV504)</f>
        <v/>
      </c>
      <c r="DO504" s="307" t="inlineStr">
        <is>
          <t>https://images.evo.com/imgp/250/198713/839685/armada-arw-86-skis-women-s-2022-.jpg</t>
        </is>
      </c>
    </row>
    <row r="505" ht="15.6" customHeight="1" s="184">
      <c r="B505" s="303">
        <f t="array" ref="B505">IF(OR(ISERROR(K505:P505)),FALSE,TRUE)</f>
        <v/>
      </c>
      <c r="C505" s="60">
        <f>OR(BR505=Driver!$G$50,Data!BR428=Driver!$H$50)</f>
        <v/>
      </c>
      <c r="D505" s="60">
        <f>OR(BV505=Driver!$G$51,BV505=Driver!$H$51)</f>
        <v/>
      </c>
      <c r="E505" s="60">
        <f>AND(BX505&gt;Driver!$F$54,BX505&lt;Driver!$G$54)</f>
        <v/>
      </c>
      <c r="F505" s="60">
        <f>CL505&gt;Driver!$F$56</f>
        <v/>
      </c>
      <c r="G505" s="60">
        <f>AND(CB505&gt;Driver!$F$55,CB505&lt;Driver!$G$55)</f>
        <v/>
      </c>
      <c r="H505" s="60">
        <f>AND(B505:G505)</f>
        <v/>
      </c>
      <c r="I505" s="60">
        <f>COUNTIFS($H$9:$H$1273,TRUE,$BT$9:$BT$1273,BT505)</f>
        <v/>
      </c>
      <c r="J505" s="60">
        <f t="array" ref="J505">NOT(OR(($H$9:$H$1273=TRUE)*($I$9:$I$1273&gt;0)*($BT$9:$BT$1273=BT505)*($K$9:$K$1273&gt;K505)))</f>
        <v/>
      </c>
      <c r="K505" s="108">
        <f>IFERROR(1-AVERAGE(X505:Y505),"")</f>
        <v/>
      </c>
      <c r="L505" s="108">
        <f>1-X505</f>
        <v/>
      </c>
      <c r="M505" s="108">
        <f>1-Y505</f>
        <v/>
      </c>
      <c r="N505" s="108">
        <f>1-Z505</f>
        <v/>
      </c>
      <c r="O505" s="108">
        <f>1-AA505</f>
        <v/>
      </c>
      <c r="P505" s="108">
        <f>1-AB505</f>
        <v/>
      </c>
      <c r="Q505" s="108" t="n"/>
      <c r="R505" s="108" t="n"/>
      <c r="S505" s="108">
        <f>1-AE505</f>
        <v/>
      </c>
      <c r="T505" s="108">
        <f>1-AF505</f>
        <v/>
      </c>
      <c r="U505" s="108">
        <f>1-AG505</f>
        <v/>
      </c>
      <c r="V505" s="108">
        <f>1-AH505</f>
        <v/>
      </c>
      <c r="W505" s="108">
        <f>1-AI505</f>
        <v/>
      </c>
      <c r="X505" s="108">
        <f>ABS(AJ505-AJ$1)</f>
        <v/>
      </c>
      <c r="Y505" s="108">
        <f>AVERAGE(Z505:AB505)</f>
        <v/>
      </c>
      <c r="Z505" s="108">
        <f>ABS(AL505-AL$1)</f>
        <v/>
      </c>
      <c r="AA505" s="108">
        <f>ABS(AM505-AM$1)</f>
        <v/>
      </c>
      <c r="AB505" s="108">
        <f>ABS(AN505-AN$1)</f>
        <v/>
      </c>
      <c r="AC505" s="108" t="n"/>
      <c r="AD505" s="108" t="n"/>
      <c r="AE505" s="108">
        <f>ABS(AQ$1-AQ505)</f>
        <v/>
      </c>
      <c r="AF505" s="108">
        <f>ABS(AR$1-AR505)</f>
        <v/>
      </c>
      <c r="AG505" s="108">
        <f>ABS(AS$1-AS505)</f>
        <v/>
      </c>
      <c r="AH505" s="108">
        <f>ABS(AT$1-AT505)</f>
        <v/>
      </c>
      <c r="AI505" s="108">
        <f>ABS(AU$1-AU505)</f>
        <v/>
      </c>
      <c r="AJ505" s="108">
        <f>(AV505-Driver!$K$179)/(Driver!$L$179-Driver!$K$179)</f>
        <v/>
      </c>
      <c r="AK505" s="108">
        <f>(AW505-Driver!$K$180)/(Driver!$L$180-Driver!$K$180)</f>
        <v/>
      </c>
      <c r="AL505" s="108">
        <f>(AX505-Driver!$K$181)/(Driver!$L$181-Driver!$K$181)</f>
        <v/>
      </c>
      <c r="AM505" s="108">
        <f>(AY505-Driver!$K$182)/(Driver!$L$182-Driver!$K$182)</f>
        <v/>
      </c>
      <c r="AN505" s="108">
        <f>(AZ505-Driver!$K$183)/(Driver!$L$183-Driver!$K$183)</f>
        <v/>
      </c>
      <c r="AO505" s="108" t="n"/>
      <c r="AP505" s="108" t="n"/>
      <c r="AQ505" s="108">
        <f>(BC505-Driver!$K$188)/(Driver!$L$188-Driver!$K$188)</f>
        <v/>
      </c>
      <c r="AR505" s="108">
        <f>MIN((BD505-Driver!$K$189)/(Driver!$L$189-Driver!$K$189),100%)</f>
        <v/>
      </c>
      <c r="AS505" s="108">
        <f>(BE505-Driver!$K$190)/(Driver!$L$190-Driver!$K$190)</f>
        <v/>
      </c>
      <c r="AT505" s="108">
        <f>(BF505-Driver!$K$191)/(Driver!$L$191-Driver!$K$191)</f>
        <v/>
      </c>
      <c r="AU505" s="108">
        <f>(BG505-Driver!$K$192)/(Driver!$L$192-Driver!$K$192)</f>
        <v/>
      </c>
      <c r="AV505" s="105">
        <f>IFERROR(BM505*BJ505^1/4,"")</f>
        <v/>
      </c>
      <c r="AW505" s="105">
        <f>IFERROR(SUM(AX505:AZ505),"")</f>
        <v/>
      </c>
      <c r="AX505" s="105">
        <f>IFERROR(BH505,"")</f>
        <v/>
      </c>
      <c r="AY505" s="105">
        <f>IFERROR(Driver!$K$19/Data!BH505/Data!BI505*Data!BK505*Data!BL505,"")</f>
        <v/>
      </c>
      <c r="AZ505" s="105">
        <f>IFERROR(BI505*BN505,"")</f>
        <v/>
      </c>
      <c r="BA505" s="105" t="n"/>
      <c r="BB505" s="105" t="n"/>
      <c r="BC505" s="105">
        <f>IFERROR(BI505*BN505*BK505/BJ505^(1/2),"")</f>
        <v/>
      </c>
      <c r="BD505" s="105">
        <f>IFERROR(BH505*BM505*BL505/BJ505/BK505,"")</f>
        <v/>
      </c>
      <c r="BE505" s="105">
        <f>IFERROR(MIN(BI505/BQ505/BP505/BO505/BH505,$BE$1),"")</f>
        <v/>
      </c>
      <c r="BF505" s="105">
        <f>IFERROR(BJ505*BO505*BP505/BK505,"")</f>
        <v/>
      </c>
      <c r="BG505" s="105">
        <f>IFERROR(1/BM505/BH505*BQ505,"")</f>
        <v/>
      </c>
      <c r="BH505" s="102">
        <f>MAX((CE505-Driver!$F$200)/(Driver!$G$200-Driver!$F$200)*$BI$1,1)</f>
        <v/>
      </c>
      <c r="BI505" s="102">
        <f>MAX($BI$1*(BY505-Driver!$F$201)/(Driver!$G$201-Driver!$F$201),1)</f>
        <v/>
      </c>
      <c r="BJ505" s="102">
        <f>(CB505-Driver!$F$206)/(Driver!$G$206-Driver!$F$206)*$BI$1</f>
        <v/>
      </c>
      <c r="BK505" s="102">
        <f>(CD505-Driver!$F$203)/(Driver!$G$203-Driver!$F$203)*$BI$1</f>
        <v/>
      </c>
      <c r="BL505" s="102">
        <f>MAX((CR505-Driver!$F$202)/(Driver!$G$202-Driver!$F$202)*$BI$1,1)</f>
        <v/>
      </c>
      <c r="BM505" s="102">
        <f>MAX((CH505-Driver!$F$204)/(Driver!$G$204-Driver!$F$204)*$BI$1,1)</f>
        <v/>
      </c>
      <c r="BN505" s="102">
        <f>(CI505-Driver!$F$205)/(Driver!$G$205-Driver!$F$205)*$BI$1</f>
        <v/>
      </c>
      <c r="BO505" s="102">
        <f>(CK505-Driver!$F$207)/(Driver!$G$207-Driver!$F$207)*$BI$1</f>
        <v/>
      </c>
      <c r="BP505" s="102">
        <f>(CM505-Driver!$F$208)/(Driver!$G$208-Driver!$F$208)*$BI$1</f>
        <v/>
      </c>
      <c r="BQ505" s="102">
        <f>(CL505-Driver!$F$209)/(Driver!$G$209-Driver!$F$209)*$BI$1</f>
        <v/>
      </c>
      <c r="BR505" s="40" t="inlineStr">
        <is>
          <t>21/22</t>
        </is>
      </c>
      <c r="BS505" s="10" t="inlineStr">
        <is>
          <t xml:space="preserve"> Elan</t>
        </is>
      </c>
      <c r="BT505" s="11" t="inlineStr">
        <is>
          <t xml:space="preserve"> Amphibio STI</t>
        </is>
      </c>
      <c r="BU505" s="13" t="n">
        <v>176</v>
      </c>
      <c r="BV505" s="11" t="inlineStr">
        <is>
          <t xml:space="preserve"> Unisex</t>
        </is>
      </c>
      <c r="BW505" s="13" t="n">
        <v>176</v>
      </c>
      <c r="BX505" s="13" t="n">
        <v>174.8</v>
      </c>
      <c r="BY505" s="13" t="n">
        <v>154</v>
      </c>
      <c r="BZ505" s="13" t="n">
        <v>161</v>
      </c>
      <c r="CA505" s="13" t="n">
        <v>126</v>
      </c>
      <c r="CB505" s="13" t="n">
        <v>75</v>
      </c>
      <c r="CC505" s="13" t="n">
        <v>104</v>
      </c>
      <c r="CD505" s="13" t="n">
        <v>16.2</v>
      </c>
      <c r="CE505" s="13" t="n">
        <v>1827</v>
      </c>
      <c r="CF505" s="13" t="n">
        <v>0.86</v>
      </c>
      <c r="CG505" s="13" t="n">
        <v>1572</v>
      </c>
      <c r="CH505" s="13" t="n">
        <v>232</v>
      </c>
      <c r="CI505" s="13" t="n">
        <v>93</v>
      </c>
      <c r="CJ505" s="13" t="n">
        <v>39</v>
      </c>
      <c r="CK505" s="13" t="n">
        <v>140</v>
      </c>
      <c r="CL505" s="13" t="n">
        <v>7</v>
      </c>
      <c r="CM505" s="13" t="n">
        <v>68</v>
      </c>
      <c r="CN505" s="13" t="n">
        <v>0.176</v>
      </c>
      <c r="CO505" s="13" t="n">
        <v>87</v>
      </c>
      <c r="CP505" s="13" t="n">
        <v>52</v>
      </c>
      <c r="CQ505" s="13" t="n">
        <v>53</v>
      </c>
      <c r="CR505" s="13" t="n">
        <v>9</v>
      </c>
      <c r="CS505" s="13" t="n">
        <v>10.5</v>
      </c>
      <c r="CT505" s="11" t="inlineStr">
        <is>
          <t xml:space="preserve"> On-Piste Carving</t>
        </is>
      </c>
      <c r="CU505" s="13" t="n"/>
      <c r="CV505" s="13" t="n"/>
      <c r="CW505" s="13" t="n"/>
      <c r="CX505">
        <f>INDEX('Data_Price '!AG$2:AG$1266,MATCH(Data!$DN505,'Data_Price '!$AT$2:$AT$1266,0))</f>
        <v/>
      </c>
      <c r="CY505">
        <f>INDEX('Data_Price '!AH$2:AH$1266,MATCH(Data!$DN505,'Data_Price '!$AT$2:$AT$1266,0))</f>
        <v/>
      </c>
      <c r="CZ505">
        <f>INDEX('Data_Price '!AI$2:AI$1266,MATCH(Data!$DN505,'Data_Price '!$AT$2:$AT$1266,0))</f>
        <v/>
      </c>
      <c r="DA505">
        <f>INDEX('Data_Price '!AJ$2:AJ$1266,MATCH(Data!$DN505,'Data_Price '!$AT$2:$AT$1266,0))</f>
        <v/>
      </c>
      <c r="DB505">
        <f>INDEX('Data_Price '!AK$2:AK$1266,MATCH(Data!$DN505,'Data_Price '!$AT$2:$AT$1266,0))</f>
        <v/>
      </c>
      <c r="DC505">
        <f>INDEX('Data_Price '!AL$2:AL$1266,MATCH(Data!$DN505,'Data_Price '!$AT$2:$AT$1266,0))</f>
        <v/>
      </c>
      <c r="DD505">
        <f>INDEX('Data_Price '!AM$2:AM$1266,MATCH(Data!$DN505,'Data_Price '!$AT$2:$AT$1266,0))</f>
        <v/>
      </c>
      <c r="DE505">
        <f>INDEX('Data_Price '!AN$2:AN$1266,MATCH(Data!$DN505,'Data_Price '!$AT$2:$AT$1266,0))</f>
        <v/>
      </c>
      <c r="DF505">
        <f>INDEX('Data_Price '!AO$2:AO$1266,MATCH(Data!$DN505,'Data_Price '!$AT$2:$AT$1266,0))</f>
        <v/>
      </c>
      <c r="DG505">
        <f>INDEX('Data_Price '!AP$2:AP$1266,MATCH(Data!$DN505,'Data_Price '!$AT$2:$AT$1266,0))</f>
        <v/>
      </c>
      <c r="DH505">
        <f>INDEX('Data_Price '!AQ$2:AQ$1266,MATCH(Data!$DN505,'Data_Price '!$AT$2:$AT$1266,0))</f>
        <v/>
      </c>
      <c r="DI505">
        <f>INDEX('Data_Price '!AR$2:AR$1266,MATCH(Data!$DN505,'Data_Price '!$AT$2:$AT$1266,0))</f>
        <v/>
      </c>
      <c r="DJ505" s="138">
        <f>DA505</f>
        <v/>
      </c>
      <c r="DK505" s="138">
        <f>DE505</f>
        <v/>
      </c>
      <c r="DL505" s="138">
        <f>DI505</f>
        <v/>
      </c>
      <c r="DM505" s="303">
        <f>IF(LEFT(BT505,1)=" ",RIGHT(BT505,LEN(BT505)-1),BT505)</f>
        <v/>
      </c>
      <c r="DN505" s="138">
        <f>_xlfn.CONCAT(BS505,DM505,BU505,BV505)</f>
        <v/>
      </c>
      <c r="DO505" s="307" t="n"/>
    </row>
    <row r="506" ht="15.6" customHeight="1" s="184">
      <c r="B506" s="303">
        <f t="array" ref="B506">IF(OR(ISERROR(K506:P506)),FALSE,TRUE)</f>
        <v/>
      </c>
      <c r="C506" s="60">
        <f>OR(BR506=Driver!$G$50,Data!BR208=Driver!$H$50)</f>
        <v/>
      </c>
      <c r="D506" s="60">
        <f>OR(BV506=Driver!$G$51,BV506=Driver!$H$51)</f>
        <v/>
      </c>
      <c r="E506" s="60">
        <f>AND(BX506&gt;Driver!$F$54,BX506&lt;Driver!$G$54)</f>
        <v/>
      </c>
      <c r="F506" s="60">
        <f>CL506&gt;Driver!$F$56</f>
        <v/>
      </c>
      <c r="G506" s="60">
        <f>AND(CB506&gt;Driver!$F$55,CB506&lt;Driver!$G$55)</f>
        <v/>
      </c>
      <c r="H506" s="60">
        <f>AND(B506:G506)</f>
        <v/>
      </c>
      <c r="I506" s="60">
        <f>COUNTIFS($H$9:$H$1273,TRUE,$BT$9:$BT$1273,BT506)</f>
        <v/>
      </c>
      <c r="J506" s="60">
        <f t="array" ref="J506">NOT(OR(($H$9:$H$1273=TRUE)*($I$9:$I$1273&gt;0)*($BT$9:$BT$1273=BT506)*($K$9:$K$1273&gt;K506)))</f>
        <v/>
      </c>
      <c r="K506" s="108">
        <f>IFERROR(1-AVERAGE(X506:Y506),"")</f>
        <v/>
      </c>
      <c r="L506" s="108">
        <f>1-X506</f>
        <v/>
      </c>
      <c r="M506" s="108">
        <f>1-Y506</f>
        <v/>
      </c>
      <c r="N506" s="108">
        <f>1-Z506</f>
        <v/>
      </c>
      <c r="O506" s="108">
        <f>1-AA506</f>
        <v/>
      </c>
      <c r="P506" s="108">
        <f>1-AB506</f>
        <v/>
      </c>
      <c r="Q506" s="108" t="n"/>
      <c r="R506" s="108" t="n"/>
      <c r="S506" s="108">
        <f>1-AE506</f>
        <v/>
      </c>
      <c r="T506" s="108">
        <f>1-AF506</f>
        <v/>
      </c>
      <c r="U506" s="108">
        <f>1-AG506</f>
        <v/>
      </c>
      <c r="V506" s="108">
        <f>1-AH506</f>
        <v/>
      </c>
      <c r="W506" s="108">
        <f>1-AI506</f>
        <v/>
      </c>
      <c r="X506" s="108">
        <f>ABS(AJ506-AJ$1)</f>
        <v/>
      </c>
      <c r="Y506" s="108">
        <f>AVERAGE(Z506:AB506)</f>
        <v/>
      </c>
      <c r="Z506" s="108">
        <f>ABS(AL506-AL$1)</f>
        <v/>
      </c>
      <c r="AA506" s="108">
        <f>ABS(AM506-AM$1)</f>
        <v/>
      </c>
      <c r="AB506" s="108">
        <f>ABS(AN506-AN$1)</f>
        <v/>
      </c>
      <c r="AC506" s="108" t="n"/>
      <c r="AD506" s="108" t="n"/>
      <c r="AE506" s="108">
        <f>ABS(AQ$1-AQ506)</f>
        <v/>
      </c>
      <c r="AF506" s="108">
        <f>ABS(AR$1-AR506)</f>
        <v/>
      </c>
      <c r="AG506" s="108">
        <f>ABS(AS$1-AS506)</f>
        <v/>
      </c>
      <c r="AH506" s="108">
        <f>ABS(AT$1-AT506)</f>
        <v/>
      </c>
      <c r="AI506" s="108">
        <f>ABS(AU$1-AU506)</f>
        <v/>
      </c>
      <c r="AJ506" s="108">
        <f>(AV506-Driver!$K$179)/(Driver!$L$179-Driver!$K$179)</f>
        <v/>
      </c>
      <c r="AK506" s="108">
        <f>(AW506-Driver!$K$180)/(Driver!$L$180-Driver!$K$180)</f>
        <v/>
      </c>
      <c r="AL506" s="108">
        <f>(AX506-Driver!$K$181)/(Driver!$L$181-Driver!$K$181)</f>
        <v/>
      </c>
      <c r="AM506" s="108">
        <f>(AY506-Driver!$K$182)/(Driver!$L$182-Driver!$K$182)</f>
        <v/>
      </c>
      <c r="AN506" s="108">
        <f>(AZ506-Driver!$K$183)/(Driver!$L$183-Driver!$K$183)</f>
        <v/>
      </c>
      <c r="AO506" s="108" t="n"/>
      <c r="AP506" s="108" t="n"/>
      <c r="AQ506" s="108">
        <f>(BC506-Driver!$K$188)/(Driver!$L$188-Driver!$K$188)</f>
        <v/>
      </c>
      <c r="AR506" s="108">
        <f>MIN((BD506-Driver!$K$189)/(Driver!$L$189-Driver!$K$189),100%)</f>
        <v/>
      </c>
      <c r="AS506" s="108">
        <f>(BE506-Driver!$K$190)/(Driver!$L$190-Driver!$K$190)</f>
        <v/>
      </c>
      <c r="AT506" s="108">
        <f>(BF506-Driver!$K$191)/(Driver!$L$191-Driver!$K$191)</f>
        <v/>
      </c>
      <c r="AU506" s="108">
        <f>(BG506-Driver!$K$192)/(Driver!$L$192-Driver!$K$192)</f>
        <v/>
      </c>
      <c r="AV506" s="105">
        <f>IFERROR(BM506*BJ506^1/4,"")</f>
        <v/>
      </c>
      <c r="AW506" s="105">
        <f>IFERROR(SUM(AX506:AZ506),"")</f>
        <v/>
      </c>
      <c r="AX506" s="105">
        <f>IFERROR(BH506,"")</f>
        <v/>
      </c>
      <c r="AY506" s="105">
        <f>IFERROR(Driver!$K$19/Data!BH506/Data!BI506*Data!BK506*Data!BL506,"")</f>
        <v/>
      </c>
      <c r="AZ506" s="105">
        <f>IFERROR(BI506*BN506,"")</f>
        <v/>
      </c>
      <c r="BA506" s="105" t="n"/>
      <c r="BB506" s="105" t="n"/>
      <c r="BC506" s="105">
        <f>IFERROR(BI506*BN506*BK506/BJ506^(1/2),"")</f>
        <v/>
      </c>
      <c r="BD506" s="105">
        <f>IFERROR(BH506*BM506*BL506/BJ506/BK506,"")</f>
        <v/>
      </c>
      <c r="BE506" s="105">
        <f>IFERROR(MIN(BI506/BQ506/BP506/BO506/BH506,$BE$1),"")</f>
        <v/>
      </c>
      <c r="BF506" s="105">
        <f>IFERROR(BJ506*BO506*BP506/BK506,"")</f>
        <v/>
      </c>
      <c r="BG506" s="105">
        <f>IFERROR(1/BM506/BH506*BQ506,"")</f>
        <v/>
      </c>
      <c r="BH506" s="102">
        <f>MAX((CE506-Driver!$F$200)/(Driver!$G$200-Driver!$F$200)*$BI$1,1)</f>
        <v/>
      </c>
      <c r="BI506" s="102">
        <f>MAX($BI$1*(BY506-Driver!$F$201)/(Driver!$G$201-Driver!$F$201),1)</f>
        <v/>
      </c>
      <c r="BJ506" s="102">
        <f>(CB506-Driver!$F$206)/(Driver!$G$206-Driver!$F$206)*$BI$1</f>
        <v/>
      </c>
      <c r="BK506" s="102">
        <f>(CD506-Driver!$F$203)/(Driver!$G$203-Driver!$F$203)*$BI$1</f>
        <v/>
      </c>
      <c r="BL506" s="102">
        <f>MAX((CR506-Driver!$F$202)/(Driver!$G$202-Driver!$F$202)*$BI$1,1)</f>
        <v/>
      </c>
      <c r="BM506" s="102">
        <f>MAX((CH506-Driver!$F$204)/(Driver!$G$204-Driver!$F$204)*$BI$1,1)</f>
        <v/>
      </c>
      <c r="BN506" s="102">
        <f>(CI506-Driver!$F$205)/(Driver!$G$205-Driver!$F$205)*$BI$1</f>
        <v/>
      </c>
      <c r="BO506" s="102">
        <f>(CK506-Driver!$F$207)/(Driver!$G$207-Driver!$F$207)*$BI$1</f>
        <v/>
      </c>
      <c r="BP506" s="102">
        <f>(CM506-Driver!$F$208)/(Driver!$G$208-Driver!$F$208)*$BI$1</f>
        <v/>
      </c>
      <c r="BQ506" s="102">
        <f>(CL506-Driver!$F$209)/(Driver!$G$209-Driver!$F$209)*$BI$1</f>
        <v/>
      </c>
      <c r="BR506" s="40" t="inlineStr">
        <is>
          <t>21/22</t>
        </is>
      </c>
      <c r="BS506" s="10" t="inlineStr">
        <is>
          <t xml:space="preserve"> Black Crows</t>
        </is>
      </c>
      <c r="BT506" s="11" t="inlineStr">
        <is>
          <t xml:space="preserve"> Camox Birdie</t>
        </is>
      </c>
      <c r="BU506" s="13" t="n">
        <v>168.1</v>
      </c>
      <c r="BV506" s="11" t="inlineStr">
        <is>
          <t xml:space="preserve"> Women's</t>
        </is>
      </c>
      <c r="BW506" s="13" t="n">
        <v>168.1</v>
      </c>
      <c r="BX506" s="13" t="n">
        <v>166.9</v>
      </c>
      <c r="BY506" s="13" t="n">
        <v>121</v>
      </c>
      <c r="BZ506" s="13" t="n">
        <v>144</v>
      </c>
      <c r="CA506" s="13" t="n">
        <v>130</v>
      </c>
      <c r="CB506" s="13" t="n">
        <v>97</v>
      </c>
      <c r="CC506" s="13" t="n">
        <v>119</v>
      </c>
      <c r="CD506" s="13" t="n">
        <v>18.5</v>
      </c>
      <c r="CE506" s="13" t="n">
        <v>1719</v>
      </c>
      <c r="CF506" s="13" t="n">
        <v>1.05</v>
      </c>
      <c r="CG506" s="13" t="n">
        <v>1798</v>
      </c>
      <c r="CH506" s="13" t="n">
        <v>172</v>
      </c>
      <c r="CI506" s="13" t="n">
        <v>75</v>
      </c>
      <c r="CJ506" s="13" t="n">
        <v>49</v>
      </c>
      <c r="CK506" s="13" t="n">
        <v>260</v>
      </c>
      <c r="CL506" s="13" t="n">
        <v>35</v>
      </c>
      <c r="CM506" s="13" t="n">
        <v>198</v>
      </c>
      <c r="CN506" s="13" t="n">
        <v>0.709</v>
      </c>
      <c r="CO506" s="13" t="n">
        <v>122</v>
      </c>
      <c r="CP506" s="13" t="n">
        <v>109</v>
      </c>
      <c r="CQ506" s="13" t="n">
        <v>139</v>
      </c>
      <c r="CR506" s="13" t="n">
        <v>6</v>
      </c>
      <c r="CS506" s="13" t="n">
        <v>6.6</v>
      </c>
      <c r="CT506" s="11" t="inlineStr">
        <is>
          <t xml:space="preserve"> Resort Freeride</t>
        </is>
      </c>
      <c r="CU506" s="13" t="n"/>
      <c r="CV506" s="13" t="n"/>
      <c r="CW506" s="13" t="n"/>
      <c r="CX506">
        <f>INDEX('Data_Price '!AG$2:AG$1266,MATCH(Data!$DN506,'Data_Price '!$AT$2:$AT$1266,0))</f>
        <v/>
      </c>
      <c r="CY506">
        <f>INDEX('Data_Price '!AH$2:AH$1266,MATCH(Data!$DN506,'Data_Price '!$AT$2:$AT$1266,0))</f>
        <v/>
      </c>
      <c r="CZ506">
        <f>INDEX('Data_Price '!AI$2:AI$1266,MATCH(Data!$DN506,'Data_Price '!$AT$2:$AT$1266,0))</f>
        <v/>
      </c>
      <c r="DA506">
        <f>INDEX('Data_Price '!AJ$2:AJ$1266,MATCH(Data!$DN506,'Data_Price '!$AT$2:$AT$1266,0))</f>
        <v/>
      </c>
      <c r="DB506">
        <f>INDEX('Data_Price '!AK$2:AK$1266,MATCH(Data!$DN506,'Data_Price '!$AT$2:$AT$1266,0))</f>
        <v/>
      </c>
      <c r="DC506">
        <f>INDEX('Data_Price '!AL$2:AL$1266,MATCH(Data!$DN506,'Data_Price '!$AT$2:$AT$1266,0))</f>
        <v/>
      </c>
      <c r="DD506">
        <f>INDEX('Data_Price '!AM$2:AM$1266,MATCH(Data!$DN506,'Data_Price '!$AT$2:$AT$1266,0))</f>
        <v/>
      </c>
      <c r="DE506">
        <f>INDEX('Data_Price '!AN$2:AN$1266,MATCH(Data!$DN506,'Data_Price '!$AT$2:$AT$1266,0))</f>
        <v/>
      </c>
      <c r="DF506">
        <f>INDEX('Data_Price '!AO$2:AO$1266,MATCH(Data!$DN506,'Data_Price '!$AT$2:$AT$1266,0))</f>
        <v/>
      </c>
      <c r="DG506">
        <f>INDEX('Data_Price '!AP$2:AP$1266,MATCH(Data!$DN506,'Data_Price '!$AT$2:$AT$1266,0))</f>
        <v/>
      </c>
      <c r="DH506">
        <f>INDEX('Data_Price '!AQ$2:AQ$1266,MATCH(Data!$DN506,'Data_Price '!$AT$2:$AT$1266,0))</f>
        <v/>
      </c>
      <c r="DI506">
        <f>INDEX('Data_Price '!AR$2:AR$1266,MATCH(Data!$DN506,'Data_Price '!$AT$2:$AT$1266,0))</f>
        <v/>
      </c>
      <c r="DJ506" s="138">
        <f>DA506</f>
        <v/>
      </c>
      <c r="DK506" s="138">
        <f>DE506</f>
        <v/>
      </c>
      <c r="DL506" s="138">
        <f>DI506</f>
        <v/>
      </c>
      <c r="DM506" s="303">
        <f>IF(LEFT(BT506,1)=" ",RIGHT(BT506,LEN(BT506)-1),BT506)</f>
        <v/>
      </c>
      <c r="DN506" s="138">
        <f>_xlfn.CONCAT(BS506,DM506,BU506,BV506)</f>
        <v/>
      </c>
      <c r="DO506" s="307" t="inlineStr">
        <is>
          <t>https://images.evo.com/imgp/250/181607/727257/black-crows-camox-birdie-skis-women-s-2022-.jpg</t>
        </is>
      </c>
    </row>
    <row r="507" ht="15.6" customHeight="1" s="184">
      <c r="B507" s="303">
        <f t="array" ref="B507">IF(OR(ISERROR(K507:P507)),FALSE,TRUE)</f>
        <v/>
      </c>
      <c r="C507" s="60">
        <f>OR(BR507=Driver!$G$50,Data!BR816=Driver!$H$50)</f>
        <v/>
      </c>
      <c r="D507" s="60">
        <f>OR(BV507=Driver!$G$51,BV507=Driver!$H$51)</f>
        <v/>
      </c>
      <c r="E507" s="60">
        <f>AND(BX507&gt;Driver!$F$54,BX507&lt;Driver!$G$54)</f>
        <v/>
      </c>
      <c r="F507" s="60">
        <f>CL507&gt;Driver!$F$56</f>
        <v/>
      </c>
      <c r="G507" s="60">
        <f>AND(CB507&gt;Driver!$F$55,CB507&lt;Driver!$G$55)</f>
        <v/>
      </c>
      <c r="H507" s="60">
        <f>AND(B507:G507)</f>
        <v/>
      </c>
      <c r="I507" s="60">
        <f>COUNTIFS($H$9:$H$1273,TRUE,$BT$9:$BT$1273,BT507)</f>
        <v/>
      </c>
      <c r="J507" s="60">
        <f t="array" ref="J507">NOT(OR(($H$9:$H$1273=TRUE)*($I$9:$I$1273&gt;0)*($BT$9:$BT$1273=BT507)*($K$9:$K$1273&gt;K507)))</f>
        <v/>
      </c>
      <c r="K507" s="108">
        <f>IFERROR(1-AVERAGE(X507:Y507),"")</f>
        <v/>
      </c>
      <c r="L507" s="108">
        <f>1-X507</f>
        <v/>
      </c>
      <c r="M507" s="108">
        <f>1-Y507</f>
        <v/>
      </c>
      <c r="N507" s="108">
        <f>1-Z507</f>
        <v/>
      </c>
      <c r="O507" s="108">
        <f>1-AA507</f>
        <v/>
      </c>
      <c r="P507" s="108">
        <f>1-AB507</f>
        <v/>
      </c>
      <c r="Q507" s="108" t="n"/>
      <c r="R507" s="108" t="n"/>
      <c r="S507" s="108">
        <f>1-AE507</f>
        <v/>
      </c>
      <c r="T507" s="108">
        <f>1-AF507</f>
        <v/>
      </c>
      <c r="U507" s="108">
        <f>1-AG507</f>
        <v/>
      </c>
      <c r="V507" s="108">
        <f>1-AH507</f>
        <v/>
      </c>
      <c r="W507" s="108">
        <f>1-AI507</f>
        <v/>
      </c>
      <c r="X507" s="108">
        <f>ABS(AJ507-AJ$1)</f>
        <v/>
      </c>
      <c r="Y507" s="108">
        <f>AVERAGE(Z507:AB507)</f>
        <v/>
      </c>
      <c r="Z507" s="108">
        <f>ABS(AL507-AL$1)</f>
        <v/>
      </c>
      <c r="AA507" s="108">
        <f>ABS(AM507-AM$1)</f>
        <v/>
      </c>
      <c r="AB507" s="108">
        <f>ABS(AN507-AN$1)</f>
        <v/>
      </c>
      <c r="AC507" s="108" t="n"/>
      <c r="AD507" s="108" t="n"/>
      <c r="AE507" s="108">
        <f>ABS(AQ$1-AQ507)</f>
        <v/>
      </c>
      <c r="AF507" s="108">
        <f>ABS(AR$1-AR507)</f>
        <v/>
      </c>
      <c r="AG507" s="108">
        <f>ABS(AS$1-AS507)</f>
        <v/>
      </c>
      <c r="AH507" s="108">
        <f>ABS(AT$1-AT507)</f>
        <v/>
      </c>
      <c r="AI507" s="108">
        <f>ABS(AU$1-AU507)</f>
        <v/>
      </c>
      <c r="AJ507" s="108">
        <f>(AV507-Driver!$K$179)/(Driver!$L$179-Driver!$K$179)</f>
        <v/>
      </c>
      <c r="AK507" s="108">
        <f>(AW507-Driver!$K$180)/(Driver!$L$180-Driver!$K$180)</f>
        <v/>
      </c>
      <c r="AL507" s="108">
        <f>(AX507-Driver!$K$181)/(Driver!$L$181-Driver!$K$181)</f>
        <v/>
      </c>
      <c r="AM507" s="108">
        <f>(AY507-Driver!$K$182)/(Driver!$L$182-Driver!$K$182)</f>
        <v/>
      </c>
      <c r="AN507" s="108">
        <f>(AZ507-Driver!$K$183)/(Driver!$L$183-Driver!$K$183)</f>
        <v/>
      </c>
      <c r="AO507" s="108" t="n"/>
      <c r="AP507" s="108" t="n"/>
      <c r="AQ507" s="108">
        <f>(BC507-Driver!$K$188)/(Driver!$L$188-Driver!$K$188)</f>
        <v/>
      </c>
      <c r="AR507" s="108">
        <f>MIN((BD507-Driver!$K$189)/(Driver!$L$189-Driver!$K$189),100%)</f>
        <v/>
      </c>
      <c r="AS507" s="108">
        <f>(BE507-Driver!$K$190)/(Driver!$L$190-Driver!$K$190)</f>
        <v/>
      </c>
      <c r="AT507" s="108">
        <f>(BF507-Driver!$K$191)/(Driver!$L$191-Driver!$K$191)</f>
        <v/>
      </c>
      <c r="AU507" s="108">
        <f>(BG507-Driver!$K$192)/(Driver!$L$192-Driver!$K$192)</f>
        <v/>
      </c>
      <c r="AV507" s="105">
        <f>IFERROR(BM507*BJ507^1/4,"")</f>
        <v/>
      </c>
      <c r="AW507" s="105">
        <f>IFERROR(SUM(AX507:AZ507),"")</f>
        <v/>
      </c>
      <c r="AX507" s="105">
        <f>IFERROR(BH507,"")</f>
        <v/>
      </c>
      <c r="AY507" s="105">
        <f>IFERROR(Driver!$K$19/Data!BH507/Data!BI507*Data!BK507*Data!BL507,"")</f>
        <v/>
      </c>
      <c r="AZ507" s="105">
        <f>IFERROR(BI507*BN507,"")</f>
        <v/>
      </c>
      <c r="BA507" s="105" t="n"/>
      <c r="BB507" s="105" t="n"/>
      <c r="BC507" s="105">
        <f>IFERROR(BI507*BN507*BK507/BJ507^(1/2),"")</f>
        <v/>
      </c>
      <c r="BD507" s="105">
        <f>IFERROR(BH507*BM507*BL507/BJ507/BK507,"")</f>
        <v/>
      </c>
      <c r="BE507" s="105">
        <f>IFERROR(MIN(BI507/BQ507/BP507/BO507/BH507,$BE$1),"")</f>
        <v/>
      </c>
      <c r="BF507" s="105">
        <f>IFERROR(BJ507*BO507*BP507/BK507,"")</f>
        <v/>
      </c>
      <c r="BG507" s="105">
        <f>IFERROR(1/BM507/BH507*BQ507,"")</f>
        <v/>
      </c>
      <c r="BH507" s="102">
        <f>MAX((CE507-Driver!$F$200)/(Driver!$G$200-Driver!$F$200)*$BI$1,1)</f>
        <v/>
      </c>
      <c r="BI507" s="102">
        <f>MAX($BI$1*(BY507-Driver!$F$201)/(Driver!$G$201-Driver!$F$201),1)</f>
        <v/>
      </c>
      <c r="BJ507" s="102">
        <f>(CB507-Driver!$F$206)/(Driver!$G$206-Driver!$F$206)*$BI$1</f>
        <v/>
      </c>
      <c r="BK507" s="102">
        <f>(CD507-Driver!$F$203)/(Driver!$G$203-Driver!$F$203)*$BI$1</f>
        <v/>
      </c>
      <c r="BL507" s="102">
        <f>MAX((CR507-Driver!$F$202)/(Driver!$G$202-Driver!$F$202)*$BI$1,1)</f>
        <v/>
      </c>
      <c r="BM507" s="102">
        <f>MAX((CH507-Driver!$F$204)/(Driver!$G$204-Driver!$F$204)*$BI$1,1)</f>
        <v/>
      </c>
      <c r="BN507" s="102">
        <f>(CI507-Driver!$F$205)/(Driver!$G$205-Driver!$F$205)*$BI$1</f>
        <v/>
      </c>
      <c r="BO507" s="102">
        <f>(CK507-Driver!$F$207)/(Driver!$G$207-Driver!$F$207)*$BI$1</f>
        <v/>
      </c>
      <c r="BP507" s="102">
        <f>(CM507-Driver!$F$208)/(Driver!$G$208-Driver!$F$208)*$BI$1</f>
        <v/>
      </c>
      <c r="BQ507" s="102">
        <f>(CL507-Driver!$F$209)/(Driver!$G$209-Driver!$F$209)*$BI$1</f>
        <v/>
      </c>
      <c r="BR507" s="40" t="inlineStr">
        <is>
          <t>21/22</t>
        </is>
      </c>
      <c r="BS507" s="10" t="inlineStr">
        <is>
          <t xml:space="preserve"> Liberty</t>
        </is>
      </c>
      <c r="BT507" s="11" t="inlineStr">
        <is>
          <t>Origin 106</t>
        </is>
      </c>
      <c r="BU507" s="13" t="n">
        <v>187</v>
      </c>
      <c r="BV507" s="11" t="inlineStr">
        <is>
          <t xml:space="preserve"> Unisex</t>
        </is>
      </c>
      <c r="BW507" s="13" t="n">
        <v>187</v>
      </c>
      <c r="BX507" s="13" t="n">
        <v>186.2</v>
      </c>
      <c r="BY507" s="13" t="n">
        <v>108</v>
      </c>
      <c r="BZ507" s="13" t="n">
        <v>156</v>
      </c>
      <c r="CA507" s="13" t="n">
        <v>137</v>
      </c>
      <c r="CB507" s="13" t="n">
        <v>106</v>
      </c>
      <c r="CC507" s="13" t="n">
        <v>127</v>
      </c>
      <c r="CD507" s="13" t="n">
        <v>21.8</v>
      </c>
      <c r="CE507" s="13" t="n">
        <v>2108</v>
      </c>
      <c r="CF507" s="13" t="n">
        <v>1.02</v>
      </c>
      <c r="CG507" s="13" t="n">
        <v>2140</v>
      </c>
      <c r="CH507" s="13" t="n">
        <v>217</v>
      </c>
      <c r="CI507" s="13" t="n">
        <v>109</v>
      </c>
      <c r="CJ507" s="13" t="n">
        <v>56</v>
      </c>
      <c r="CK507" s="13" t="n">
        <v>471</v>
      </c>
      <c r="CL507" s="13" t="n">
        <v>40</v>
      </c>
      <c r="CM507" s="13" t="n">
        <v>311</v>
      </c>
      <c r="CN507" s="13" t="n">
        <v>0.721</v>
      </c>
      <c r="CO507" s="13" t="n">
        <v>142</v>
      </c>
      <c r="CP507" s="13" t="n">
        <v>161</v>
      </c>
      <c r="CQ507" s="13" t="n">
        <v>328</v>
      </c>
      <c r="CR507" s="13" t="n">
        <v>4</v>
      </c>
      <c r="CS507" s="13" t="n">
        <v>8.199999999999999</v>
      </c>
      <c r="CT507" s="11" t="inlineStr">
        <is>
          <t xml:space="preserve"> Powder</t>
        </is>
      </c>
      <c r="CU507" s="13" t="n"/>
      <c r="CV507" s="13" t="n"/>
      <c r="CW507" s="13" t="n"/>
      <c r="CX507">
        <f>INDEX('Data_Price '!AG$2:AG$1266,MATCH(Data!$DN507,'Data_Price '!$AT$2:$AT$1266,0))</f>
        <v/>
      </c>
      <c r="CY507">
        <f>INDEX('Data_Price '!AH$2:AH$1266,MATCH(Data!$DN507,'Data_Price '!$AT$2:$AT$1266,0))</f>
        <v/>
      </c>
      <c r="CZ507">
        <f>INDEX('Data_Price '!AI$2:AI$1266,MATCH(Data!$DN507,'Data_Price '!$AT$2:$AT$1266,0))</f>
        <v/>
      </c>
      <c r="DA507">
        <f>INDEX('Data_Price '!AJ$2:AJ$1266,MATCH(Data!$DN507,'Data_Price '!$AT$2:$AT$1266,0))</f>
        <v/>
      </c>
      <c r="DB507">
        <f>INDEX('Data_Price '!AK$2:AK$1266,MATCH(Data!$DN507,'Data_Price '!$AT$2:$AT$1266,0))</f>
        <v/>
      </c>
      <c r="DC507">
        <f>INDEX('Data_Price '!AL$2:AL$1266,MATCH(Data!$DN507,'Data_Price '!$AT$2:$AT$1266,0))</f>
        <v/>
      </c>
      <c r="DD507">
        <f>INDEX('Data_Price '!AM$2:AM$1266,MATCH(Data!$DN507,'Data_Price '!$AT$2:$AT$1266,0))</f>
        <v/>
      </c>
      <c r="DE507">
        <f>INDEX('Data_Price '!AN$2:AN$1266,MATCH(Data!$DN507,'Data_Price '!$AT$2:$AT$1266,0))</f>
        <v/>
      </c>
      <c r="DF507">
        <f>INDEX('Data_Price '!AO$2:AO$1266,MATCH(Data!$DN507,'Data_Price '!$AT$2:$AT$1266,0))</f>
        <v/>
      </c>
      <c r="DG507">
        <f>INDEX('Data_Price '!AP$2:AP$1266,MATCH(Data!$DN507,'Data_Price '!$AT$2:$AT$1266,0))</f>
        <v/>
      </c>
      <c r="DH507">
        <f>INDEX('Data_Price '!AQ$2:AQ$1266,MATCH(Data!$DN507,'Data_Price '!$AT$2:$AT$1266,0))</f>
        <v/>
      </c>
      <c r="DI507">
        <f>INDEX('Data_Price '!AR$2:AR$1266,MATCH(Data!$DN507,'Data_Price '!$AT$2:$AT$1266,0))</f>
        <v/>
      </c>
      <c r="DJ507" s="138">
        <f>DA507</f>
        <v/>
      </c>
      <c r="DK507" s="138">
        <f>DE507</f>
        <v/>
      </c>
      <c r="DL507" s="138">
        <f>DI507</f>
        <v/>
      </c>
      <c r="DM507" s="303">
        <f>IF(LEFT(BT507,1)=" ",RIGHT(BT507,LEN(BT507)-1),BT507)</f>
        <v/>
      </c>
      <c r="DN507" s="138">
        <f>_xlfn.CONCAT(BS507,DM507,BU507,BV507)</f>
        <v/>
      </c>
      <c r="DO507" s="307" t="inlineStr">
        <is>
          <t>https://images.evo.com/imgp/250/208526/851446/liberty-origin-106-skis-2022-.jpg</t>
        </is>
      </c>
    </row>
    <row r="508" ht="15.6" customHeight="1" s="184">
      <c r="B508" s="303">
        <f t="array" ref="B508">IF(OR(ISERROR(K508:P508)),FALSE,TRUE)</f>
        <v/>
      </c>
      <c r="C508" s="60">
        <f>OR(BR508=Driver!$G$50,Data!BR424=Driver!$H$50)</f>
        <v/>
      </c>
      <c r="D508" s="60">
        <f>OR(BV508=Driver!$G$51,BV508=Driver!$H$51)</f>
        <v/>
      </c>
      <c r="E508" s="60">
        <f>AND(BX508&gt;Driver!$F$54,BX508&lt;Driver!$G$54)</f>
        <v/>
      </c>
      <c r="F508" s="60">
        <f>CL508&gt;Driver!$F$56</f>
        <v/>
      </c>
      <c r="G508" s="60">
        <f>AND(CB508&gt;Driver!$F$55,CB508&lt;Driver!$G$55)</f>
        <v/>
      </c>
      <c r="H508" s="60">
        <f>AND(B508:G508)</f>
        <v/>
      </c>
      <c r="I508" s="60">
        <f>COUNTIFS($H$9:$H$1273,TRUE,$BT$9:$BT$1273,BT508)</f>
        <v/>
      </c>
      <c r="J508" s="60">
        <f t="array" ref="J508">NOT(OR(($H$9:$H$1273=TRUE)*($I$9:$I$1273&gt;0)*($BT$9:$BT$1273=BT508)*($K$9:$K$1273&gt;K508)))</f>
        <v/>
      </c>
      <c r="K508" s="108">
        <f>IFERROR(1-AVERAGE(X508:Y508),"")</f>
        <v/>
      </c>
      <c r="L508" s="108">
        <f>1-X508</f>
        <v/>
      </c>
      <c r="M508" s="108">
        <f>1-Y508</f>
        <v/>
      </c>
      <c r="N508" s="108">
        <f>1-Z508</f>
        <v/>
      </c>
      <c r="O508" s="108">
        <f>1-AA508</f>
        <v/>
      </c>
      <c r="P508" s="108">
        <f>1-AB508</f>
        <v/>
      </c>
      <c r="Q508" s="108" t="n"/>
      <c r="R508" s="108" t="n"/>
      <c r="S508" s="108">
        <f>1-AE508</f>
        <v/>
      </c>
      <c r="T508" s="108">
        <f>1-AF508</f>
        <v/>
      </c>
      <c r="U508" s="108">
        <f>1-AG508</f>
        <v/>
      </c>
      <c r="V508" s="108">
        <f>1-AH508</f>
        <v/>
      </c>
      <c r="W508" s="108">
        <f>1-AI508</f>
        <v/>
      </c>
      <c r="X508" s="108">
        <f>ABS(AJ508-AJ$1)</f>
        <v/>
      </c>
      <c r="Y508" s="108">
        <f>AVERAGE(Z508:AB508)</f>
        <v/>
      </c>
      <c r="Z508" s="108">
        <f>ABS(AL508-AL$1)</f>
        <v/>
      </c>
      <c r="AA508" s="108">
        <f>ABS(AM508-AM$1)</f>
        <v/>
      </c>
      <c r="AB508" s="108">
        <f>ABS(AN508-AN$1)</f>
        <v/>
      </c>
      <c r="AC508" s="108" t="n"/>
      <c r="AD508" s="108" t="n"/>
      <c r="AE508" s="108">
        <f>ABS(AQ$1-AQ508)</f>
        <v/>
      </c>
      <c r="AF508" s="108">
        <f>ABS(AR$1-AR508)</f>
        <v/>
      </c>
      <c r="AG508" s="108">
        <f>ABS(AS$1-AS508)</f>
        <v/>
      </c>
      <c r="AH508" s="108">
        <f>ABS(AT$1-AT508)</f>
        <v/>
      </c>
      <c r="AI508" s="108">
        <f>ABS(AU$1-AU508)</f>
        <v/>
      </c>
      <c r="AJ508" s="108">
        <f>(AV508-Driver!$K$179)/(Driver!$L$179-Driver!$K$179)</f>
        <v/>
      </c>
      <c r="AK508" s="108">
        <f>(AW508-Driver!$K$180)/(Driver!$L$180-Driver!$K$180)</f>
        <v/>
      </c>
      <c r="AL508" s="108">
        <f>(AX508-Driver!$K$181)/(Driver!$L$181-Driver!$K$181)</f>
        <v/>
      </c>
      <c r="AM508" s="108">
        <f>(AY508-Driver!$K$182)/(Driver!$L$182-Driver!$K$182)</f>
        <v/>
      </c>
      <c r="AN508" s="108">
        <f>(AZ508-Driver!$K$183)/(Driver!$L$183-Driver!$K$183)</f>
        <v/>
      </c>
      <c r="AO508" s="108" t="n"/>
      <c r="AP508" s="108" t="n"/>
      <c r="AQ508" s="108">
        <f>(BC508-Driver!$K$188)/(Driver!$L$188-Driver!$K$188)</f>
        <v/>
      </c>
      <c r="AR508" s="108">
        <f>MIN((BD508-Driver!$K$189)/(Driver!$L$189-Driver!$K$189),100%)</f>
        <v/>
      </c>
      <c r="AS508" s="108">
        <f>(BE508-Driver!$K$190)/(Driver!$L$190-Driver!$K$190)</f>
        <v/>
      </c>
      <c r="AT508" s="108">
        <f>(BF508-Driver!$K$191)/(Driver!$L$191-Driver!$K$191)</f>
        <v/>
      </c>
      <c r="AU508" s="108">
        <f>(BG508-Driver!$K$192)/(Driver!$L$192-Driver!$K$192)</f>
        <v/>
      </c>
      <c r="AV508" s="105">
        <f>IFERROR(BM508*BJ508^1/4,"")</f>
        <v/>
      </c>
      <c r="AW508" s="105">
        <f>IFERROR(SUM(AX508:AZ508),"")</f>
        <v/>
      </c>
      <c r="AX508" s="105">
        <f>IFERROR(BH508,"")</f>
        <v/>
      </c>
      <c r="AY508" s="105">
        <f>IFERROR(Driver!$K$19/Data!BH508/Data!BI508*Data!BK508*Data!BL508,"")</f>
        <v/>
      </c>
      <c r="AZ508" s="105">
        <f>IFERROR(BI508*BN508,"")</f>
        <v/>
      </c>
      <c r="BA508" s="105" t="n"/>
      <c r="BB508" s="105" t="n"/>
      <c r="BC508" s="105">
        <f>IFERROR(BI508*BN508*BK508/BJ508^(1/2),"")</f>
        <v/>
      </c>
      <c r="BD508" s="105">
        <f>IFERROR(BH508*BM508*BL508/BJ508/BK508,"")</f>
        <v/>
      </c>
      <c r="BE508" s="105">
        <f>IFERROR(MIN(BI508/BQ508/BP508/BO508/BH508,$BE$1),"")</f>
        <v/>
      </c>
      <c r="BF508" s="105">
        <f>IFERROR(BJ508*BO508*BP508/BK508,"")</f>
        <v/>
      </c>
      <c r="BG508" s="105">
        <f>IFERROR(1/BM508/BH508*BQ508,"")</f>
        <v/>
      </c>
      <c r="BH508" s="102">
        <f>MAX((CE508-Driver!$F$200)/(Driver!$G$200-Driver!$F$200)*$BI$1,1)</f>
        <v/>
      </c>
      <c r="BI508" s="102">
        <f>MAX($BI$1*(BY508-Driver!$F$201)/(Driver!$G$201-Driver!$F$201),1)</f>
        <v/>
      </c>
      <c r="BJ508" s="102">
        <f>(CB508-Driver!$F$206)/(Driver!$G$206-Driver!$F$206)*$BI$1</f>
        <v/>
      </c>
      <c r="BK508" s="102">
        <f>(CD508-Driver!$F$203)/(Driver!$G$203-Driver!$F$203)*$BI$1</f>
        <v/>
      </c>
      <c r="BL508" s="102">
        <f>MAX((CR508-Driver!$F$202)/(Driver!$G$202-Driver!$F$202)*$BI$1,1)</f>
        <v/>
      </c>
      <c r="BM508" s="102">
        <f>MAX((CH508-Driver!$F$204)/(Driver!$G$204-Driver!$F$204)*$BI$1,1)</f>
        <v/>
      </c>
      <c r="BN508" s="102">
        <f>(CI508-Driver!$F$205)/(Driver!$G$205-Driver!$F$205)*$BI$1</f>
        <v/>
      </c>
      <c r="BO508" s="102">
        <f>(CK508-Driver!$F$207)/(Driver!$G$207-Driver!$F$207)*$BI$1</f>
        <v/>
      </c>
      <c r="BP508" s="102">
        <f>(CM508-Driver!$F$208)/(Driver!$G$208-Driver!$F$208)*$BI$1</f>
        <v/>
      </c>
      <c r="BQ508" s="102">
        <f>(CL508-Driver!$F$209)/(Driver!$G$209-Driver!$F$209)*$BI$1</f>
        <v/>
      </c>
      <c r="BR508" s="40" t="inlineStr">
        <is>
          <t>21/22</t>
        </is>
      </c>
      <c r="BS508" s="10" t="inlineStr">
        <is>
          <t xml:space="preserve"> Elan</t>
        </is>
      </c>
      <c r="BT508" s="11" t="inlineStr">
        <is>
          <t xml:space="preserve"> Ace Speed Magic</t>
        </is>
      </c>
      <c r="BU508" s="13" t="n">
        <v>155</v>
      </c>
      <c r="BV508" s="11" t="inlineStr">
        <is>
          <t xml:space="preserve"> Women's</t>
        </is>
      </c>
      <c r="BW508" s="13" t="n">
        <v>155</v>
      </c>
      <c r="BX508" s="13" t="n">
        <v>153.6</v>
      </c>
      <c r="BY508" s="13" t="n">
        <v>137</v>
      </c>
      <c r="BZ508" s="13" t="n">
        <v>143</v>
      </c>
      <c r="CA508" s="13" t="n">
        <v>110</v>
      </c>
      <c r="CB508" s="13" t="n">
        <v>66</v>
      </c>
      <c r="CC508" s="13" t="n">
        <v>96</v>
      </c>
      <c r="CD508" s="13" t="n">
        <v>13.5</v>
      </c>
      <c r="CE508" s="13" t="n">
        <v>1676</v>
      </c>
      <c r="CF508" s="13" t="n">
        <v>0.74</v>
      </c>
      <c r="CG508" s="13" t="n">
        <v>1233</v>
      </c>
      <c r="CH508" s="13" t="n">
        <v>223</v>
      </c>
      <c r="CI508" s="13" t="n">
        <v>107</v>
      </c>
      <c r="CJ508" s="13" t="n">
        <v>36</v>
      </c>
      <c r="CK508" s="13" t="n">
        <v>126</v>
      </c>
      <c r="CL508" s="13" t="n">
        <v>3</v>
      </c>
      <c r="CM508" s="13" t="n">
        <v>40</v>
      </c>
      <c r="CN508" s="13" t="n">
        <v>0.074</v>
      </c>
      <c r="CO508" s="13" t="n">
        <v>64</v>
      </c>
      <c r="CP508" s="13" t="n">
        <v>40</v>
      </c>
      <c r="CQ508" s="13" t="n">
        <v>62</v>
      </c>
      <c r="CR508" s="13" t="n">
        <v>8</v>
      </c>
      <c r="CS508" s="13" t="n">
        <v>10.4</v>
      </c>
      <c r="CT508" s="11" t="inlineStr">
        <is>
          <t xml:space="preserve"> On-Piste Carving</t>
        </is>
      </c>
      <c r="CU508" s="13" t="n"/>
      <c r="CV508" s="13" t="n"/>
      <c r="CW508" s="13" t="n"/>
      <c r="CX508">
        <f>INDEX('Data_Price '!AG$2:AG$1266,MATCH(Data!$DN508,'Data_Price '!$AT$2:$AT$1266,0))</f>
        <v/>
      </c>
      <c r="CY508">
        <f>INDEX('Data_Price '!AH$2:AH$1266,MATCH(Data!$DN508,'Data_Price '!$AT$2:$AT$1266,0))</f>
        <v/>
      </c>
      <c r="CZ508">
        <f>INDEX('Data_Price '!AI$2:AI$1266,MATCH(Data!$DN508,'Data_Price '!$AT$2:$AT$1266,0))</f>
        <v/>
      </c>
      <c r="DA508">
        <f>INDEX('Data_Price '!AJ$2:AJ$1266,MATCH(Data!$DN508,'Data_Price '!$AT$2:$AT$1266,0))</f>
        <v/>
      </c>
      <c r="DB508">
        <f>INDEX('Data_Price '!AK$2:AK$1266,MATCH(Data!$DN508,'Data_Price '!$AT$2:$AT$1266,0))</f>
        <v/>
      </c>
      <c r="DC508">
        <f>INDEX('Data_Price '!AL$2:AL$1266,MATCH(Data!$DN508,'Data_Price '!$AT$2:$AT$1266,0))</f>
        <v/>
      </c>
      <c r="DD508">
        <f>INDEX('Data_Price '!AM$2:AM$1266,MATCH(Data!$DN508,'Data_Price '!$AT$2:$AT$1266,0))</f>
        <v/>
      </c>
      <c r="DE508">
        <f>INDEX('Data_Price '!AN$2:AN$1266,MATCH(Data!$DN508,'Data_Price '!$AT$2:$AT$1266,0))</f>
        <v/>
      </c>
      <c r="DF508">
        <f>INDEX('Data_Price '!AO$2:AO$1266,MATCH(Data!$DN508,'Data_Price '!$AT$2:$AT$1266,0))</f>
        <v/>
      </c>
      <c r="DG508">
        <f>INDEX('Data_Price '!AP$2:AP$1266,MATCH(Data!$DN508,'Data_Price '!$AT$2:$AT$1266,0))</f>
        <v/>
      </c>
      <c r="DH508">
        <f>INDEX('Data_Price '!AQ$2:AQ$1266,MATCH(Data!$DN508,'Data_Price '!$AT$2:$AT$1266,0))</f>
        <v/>
      </c>
      <c r="DI508">
        <f>INDEX('Data_Price '!AR$2:AR$1266,MATCH(Data!$DN508,'Data_Price '!$AT$2:$AT$1266,0))</f>
        <v/>
      </c>
      <c r="DJ508" s="138">
        <f>DA508</f>
        <v/>
      </c>
      <c r="DK508" s="138">
        <f>DE508</f>
        <v/>
      </c>
      <c r="DL508" s="138">
        <f>DI508</f>
        <v/>
      </c>
      <c r="DM508" s="303">
        <f>IF(LEFT(BT508,1)=" ",RIGHT(BT508,LEN(BT508)-1),BT508)</f>
        <v/>
      </c>
      <c r="DN508" s="138">
        <f>_xlfn.CONCAT(BS508,DM508,BU508,BV508)</f>
        <v/>
      </c>
      <c r="DO508" s="307" t="n"/>
    </row>
    <row r="509" ht="15.6" customHeight="1" s="184">
      <c r="B509" s="303">
        <f t="array" ref="B509">IF(OR(ISERROR(K509:P509)),FALSE,TRUE)</f>
        <v/>
      </c>
      <c r="C509" s="60">
        <f>OR(BR509=Driver!$G$50,Data!BR1143=Driver!$H$50)</f>
        <v/>
      </c>
      <c r="D509" s="60">
        <f>OR(BV509=Driver!$G$51,BV509=Driver!$H$51)</f>
        <v/>
      </c>
      <c r="E509" s="60">
        <f>AND(BX509&gt;Driver!$F$54,BX509&lt;Driver!$G$54)</f>
        <v/>
      </c>
      <c r="F509" s="60">
        <f>CL509&gt;Driver!$F$56</f>
        <v/>
      </c>
      <c r="G509" s="60">
        <f>AND(CB509&gt;Driver!$F$55,CB509&lt;Driver!$G$55)</f>
        <v/>
      </c>
      <c r="H509" s="60">
        <f>AND(B509:G509)</f>
        <v/>
      </c>
      <c r="I509" s="60">
        <f>COUNTIFS($H$9:$H$1273,TRUE,$BT$9:$BT$1273,BT509)</f>
        <v/>
      </c>
      <c r="J509" s="60">
        <f t="array" ref="J509">NOT(OR(($H$9:$H$1273=TRUE)*($I$9:$I$1273&gt;0)*($BT$9:$BT$1273=BT509)*($K$9:$K$1273&gt;K509)))</f>
        <v/>
      </c>
      <c r="K509" s="108">
        <f>IFERROR(1-AVERAGE(X509:Y509),"")</f>
        <v/>
      </c>
      <c r="L509" s="108">
        <f>1-X509</f>
        <v/>
      </c>
      <c r="M509" s="108">
        <f>1-Y509</f>
        <v/>
      </c>
      <c r="N509" s="108">
        <f>1-Z509</f>
        <v/>
      </c>
      <c r="O509" s="108">
        <f>1-AA509</f>
        <v/>
      </c>
      <c r="P509" s="108">
        <f>1-AB509</f>
        <v/>
      </c>
      <c r="Q509" s="108" t="n"/>
      <c r="R509" s="108" t="n"/>
      <c r="S509" s="108">
        <f>1-AE509</f>
        <v/>
      </c>
      <c r="T509" s="108">
        <f>1-AF509</f>
        <v/>
      </c>
      <c r="U509" s="108">
        <f>1-AG509</f>
        <v/>
      </c>
      <c r="V509" s="108">
        <f>1-AH509</f>
        <v/>
      </c>
      <c r="W509" s="108">
        <f>1-AI509</f>
        <v/>
      </c>
      <c r="X509" s="108">
        <f>ABS(AJ509-AJ$1)</f>
        <v/>
      </c>
      <c r="Y509" s="108">
        <f>AVERAGE(Z509:AB509)</f>
        <v/>
      </c>
      <c r="Z509" s="108">
        <f>ABS(AL509-AL$1)</f>
        <v/>
      </c>
      <c r="AA509" s="108">
        <f>ABS(AM509-AM$1)</f>
        <v/>
      </c>
      <c r="AB509" s="108">
        <f>ABS(AN509-AN$1)</f>
        <v/>
      </c>
      <c r="AC509" s="108" t="n"/>
      <c r="AD509" s="108" t="n"/>
      <c r="AE509" s="108">
        <f>ABS(AQ$1-AQ509)</f>
        <v/>
      </c>
      <c r="AF509" s="108">
        <f>ABS(AR$1-AR509)</f>
        <v/>
      </c>
      <c r="AG509" s="108">
        <f>ABS(AS$1-AS509)</f>
        <v/>
      </c>
      <c r="AH509" s="108">
        <f>ABS(AT$1-AT509)</f>
        <v/>
      </c>
      <c r="AI509" s="108">
        <f>ABS(AU$1-AU509)</f>
        <v/>
      </c>
      <c r="AJ509" s="108">
        <f>(AV509-Driver!$K$179)/(Driver!$L$179-Driver!$K$179)</f>
        <v/>
      </c>
      <c r="AK509" s="108">
        <f>(AW509-Driver!$K$180)/(Driver!$L$180-Driver!$K$180)</f>
        <v/>
      </c>
      <c r="AL509" s="108">
        <f>(AX509-Driver!$K$181)/(Driver!$L$181-Driver!$K$181)</f>
        <v/>
      </c>
      <c r="AM509" s="108">
        <f>(AY509-Driver!$K$182)/(Driver!$L$182-Driver!$K$182)</f>
        <v/>
      </c>
      <c r="AN509" s="108">
        <f>(AZ509-Driver!$K$183)/(Driver!$L$183-Driver!$K$183)</f>
        <v/>
      </c>
      <c r="AO509" s="108" t="n"/>
      <c r="AP509" s="108" t="n"/>
      <c r="AQ509" s="108">
        <f>(BC509-Driver!$K$188)/(Driver!$L$188-Driver!$K$188)</f>
        <v/>
      </c>
      <c r="AR509" s="108">
        <f>MIN((BD509-Driver!$K$189)/(Driver!$L$189-Driver!$K$189),100%)</f>
        <v/>
      </c>
      <c r="AS509" s="108">
        <f>(BE509-Driver!$K$190)/(Driver!$L$190-Driver!$K$190)</f>
        <v/>
      </c>
      <c r="AT509" s="108">
        <f>(BF509-Driver!$K$191)/(Driver!$L$191-Driver!$K$191)</f>
        <v/>
      </c>
      <c r="AU509" s="108">
        <f>(BG509-Driver!$K$192)/(Driver!$L$192-Driver!$K$192)</f>
        <v/>
      </c>
      <c r="AV509" s="105">
        <f>IFERROR(BM509*BJ509^1/4,"")</f>
        <v/>
      </c>
      <c r="AW509" s="105">
        <f>IFERROR(SUM(AX509:AZ509),"")</f>
        <v/>
      </c>
      <c r="AX509" s="105">
        <f>IFERROR(BH509,"")</f>
        <v/>
      </c>
      <c r="AY509" s="105">
        <f>IFERROR(Driver!$K$19/Data!BH509/Data!BI509*Data!BK509*Data!BL509,"")</f>
        <v/>
      </c>
      <c r="AZ509" s="105">
        <f>IFERROR(BI509*BN509,"")</f>
        <v/>
      </c>
      <c r="BA509" s="105" t="n"/>
      <c r="BB509" s="105" t="n"/>
      <c r="BC509" s="105">
        <f>IFERROR(BI509*BN509*BK509/BJ509^(1/2),"")</f>
        <v/>
      </c>
      <c r="BD509" s="105">
        <f>IFERROR(BH509*BM509*BL509/BJ509/BK509,"")</f>
        <v/>
      </c>
      <c r="BE509" s="105">
        <f>IFERROR(MIN(BI509/BQ509/BP509/BO509/BH509,$BE$1),"")</f>
        <v/>
      </c>
      <c r="BF509" s="105">
        <f>IFERROR(BJ509*BO509*BP509/BK509,"")</f>
        <v/>
      </c>
      <c r="BG509" s="105">
        <f>IFERROR(1/BM509/BH509*BQ509,"")</f>
        <v/>
      </c>
      <c r="BH509" s="102">
        <f>MAX((CE509-Driver!$F$200)/(Driver!$G$200-Driver!$F$200)*$BI$1,1)</f>
        <v/>
      </c>
      <c r="BI509" s="102">
        <f>MAX($BI$1*(BY509-Driver!$F$201)/(Driver!$G$201-Driver!$F$201),1)</f>
        <v/>
      </c>
      <c r="BJ509" s="102">
        <f>(CB509-Driver!$F$206)/(Driver!$G$206-Driver!$F$206)*$BI$1</f>
        <v/>
      </c>
      <c r="BK509" s="102">
        <f>(CD509-Driver!$F$203)/(Driver!$G$203-Driver!$F$203)*$BI$1</f>
        <v/>
      </c>
      <c r="BL509" s="102">
        <f>MAX((CR509-Driver!$F$202)/(Driver!$G$202-Driver!$F$202)*$BI$1,1)</f>
        <v/>
      </c>
      <c r="BM509" s="102">
        <f>MAX((CH509-Driver!$F$204)/(Driver!$G$204-Driver!$F$204)*$BI$1,1)</f>
        <v/>
      </c>
      <c r="BN509" s="102">
        <f>(CI509-Driver!$F$205)/(Driver!$G$205-Driver!$F$205)*$BI$1</f>
        <v/>
      </c>
      <c r="BO509" s="102">
        <f>(CK509-Driver!$F$207)/(Driver!$G$207-Driver!$F$207)*$BI$1</f>
        <v/>
      </c>
      <c r="BP509" s="102">
        <f>(CM509-Driver!$F$208)/(Driver!$G$208-Driver!$F$208)*$BI$1</f>
        <v/>
      </c>
      <c r="BQ509" s="102">
        <f>(CL509-Driver!$F$209)/(Driver!$G$209-Driver!$F$209)*$BI$1</f>
        <v/>
      </c>
      <c r="BR509" s="40" t="inlineStr">
        <is>
          <t>21/22</t>
        </is>
      </c>
      <c r="BS509" s="10" t="inlineStr">
        <is>
          <t xml:space="preserve"> Stöckli</t>
        </is>
      </c>
      <c r="BT509" s="11" t="inlineStr">
        <is>
          <t>Stormrider 95</t>
        </is>
      </c>
      <c r="BU509" s="13" t="n">
        <v>175</v>
      </c>
      <c r="BV509" s="11" t="inlineStr">
        <is>
          <t xml:space="preserve"> Unisex</t>
        </is>
      </c>
      <c r="BW509" s="13" t="n">
        <v>175</v>
      </c>
      <c r="BX509" s="13" t="n">
        <v>174</v>
      </c>
      <c r="BY509" s="13" t="n">
        <v>145</v>
      </c>
      <c r="BZ509" s="13" t="n">
        <v>151</v>
      </c>
      <c r="CA509" s="13" t="n">
        <v>131</v>
      </c>
      <c r="CB509" s="13" t="n">
        <v>95</v>
      </c>
      <c r="CC509" s="13" t="n">
        <v>122</v>
      </c>
      <c r="CD509" s="13" t="n">
        <v>16.8</v>
      </c>
      <c r="CE509" s="13" t="n">
        <v>1793</v>
      </c>
      <c r="CF509" s="13" t="n">
        <v>1.04</v>
      </c>
      <c r="CG509" s="13" t="n">
        <v>1857</v>
      </c>
      <c r="CH509" s="13" t="n">
        <v>188</v>
      </c>
      <c r="CI509" s="13" t="n">
        <v>110</v>
      </c>
      <c r="CJ509" s="13" t="n">
        <v>44</v>
      </c>
      <c r="CK509" s="13" t="n">
        <v>204</v>
      </c>
      <c r="CL509" s="13" t="n">
        <v>9</v>
      </c>
      <c r="CM509" s="13" t="n">
        <v>87</v>
      </c>
      <c r="CN509" s="13" t="n">
        <v>0.209</v>
      </c>
      <c r="CO509" s="13" t="n">
        <v>168</v>
      </c>
      <c r="CP509" s="13" t="n">
        <v>60</v>
      </c>
      <c r="CQ509" s="13" t="n">
        <v>36</v>
      </c>
      <c r="CR509" s="13" t="n">
        <v>5</v>
      </c>
      <c r="CS509" s="13" t="n">
        <v>13.4</v>
      </c>
      <c r="CT509" s="11" t="inlineStr">
        <is>
          <t xml:space="preserve"> Resort Freeride</t>
        </is>
      </c>
      <c r="CU509" s="13" t="n"/>
      <c r="CV509" s="13" t="n"/>
      <c r="CW509" s="13" t="n"/>
      <c r="CX509">
        <f>INDEX('Data_Price '!AG$2:AG$1266,MATCH(Data!$DN509,'Data_Price '!$AT$2:$AT$1266,0))</f>
        <v/>
      </c>
      <c r="CY509">
        <f>INDEX('Data_Price '!AH$2:AH$1266,MATCH(Data!$DN509,'Data_Price '!$AT$2:$AT$1266,0))</f>
        <v/>
      </c>
      <c r="CZ509">
        <f>INDEX('Data_Price '!AI$2:AI$1266,MATCH(Data!$DN509,'Data_Price '!$AT$2:$AT$1266,0))</f>
        <v/>
      </c>
      <c r="DA509">
        <f>INDEX('Data_Price '!AJ$2:AJ$1266,MATCH(Data!$DN509,'Data_Price '!$AT$2:$AT$1266,0))</f>
        <v/>
      </c>
      <c r="DB509">
        <f>INDEX('Data_Price '!AK$2:AK$1266,MATCH(Data!$DN509,'Data_Price '!$AT$2:$AT$1266,0))</f>
        <v/>
      </c>
      <c r="DC509">
        <f>INDEX('Data_Price '!AL$2:AL$1266,MATCH(Data!$DN509,'Data_Price '!$AT$2:$AT$1266,0))</f>
        <v/>
      </c>
      <c r="DD509">
        <f>INDEX('Data_Price '!AM$2:AM$1266,MATCH(Data!$DN509,'Data_Price '!$AT$2:$AT$1266,0))</f>
        <v/>
      </c>
      <c r="DE509">
        <f>INDEX('Data_Price '!AN$2:AN$1266,MATCH(Data!$DN509,'Data_Price '!$AT$2:$AT$1266,0))</f>
        <v/>
      </c>
      <c r="DF509">
        <f>INDEX('Data_Price '!AO$2:AO$1266,MATCH(Data!$DN509,'Data_Price '!$AT$2:$AT$1266,0))</f>
        <v/>
      </c>
      <c r="DG509">
        <f>INDEX('Data_Price '!AP$2:AP$1266,MATCH(Data!$DN509,'Data_Price '!$AT$2:$AT$1266,0))</f>
        <v/>
      </c>
      <c r="DH509">
        <f>INDEX('Data_Price '!AQ$2:AQ$1266,MATCH(Data!$DN509,'Data_Price '!$AT$2:$AT$1266,0))</f>
        <v/>
      </c>
      <c r="DI509">
        <f>INDEX('Data_Price '!AR$2:AR$1266,MATCH(Data!$DN509,'Data_Price '!$AT$2:$AT$1266,0))</f>
        <v/>
      </c>
      <c r="DJ509" s="138">
        <f>DA509</f>
        <v/>
      </c>
      <c r="DK509" s="138">
        <f>DE509</f>
        <v/>
      </c>
      <c r="DL509" s="138">
        <f>DI509</f>
        <v/>
      </c>
      <c r="DM509" s="303">
        <f>IF(LEFT(BT509,1)=" ",RIGHT(BT509,LEN(BT509)-1),BT509)</f>
        <v/>
      </c>
      <c r="DN509" s="138">
        <f>_xlfn.CONCAT(BS509,DM509,BU509,BV509)</f>
        <v/>
      </c>
      <c r="DO509" s="307" t="n"/>
    </row>
    <row r="510" ht="15.6" customHeight="1" s="184">
      <c r="B510" s="303">
        <f t="array" ref="B510">IF(OR(ISERROR(K510:P510)),FALSE,TRUE)</f>
        <v/>
      </c>
      <c r="C510" s="60">
        <f>OR(BR510=Driver!$G$50,Data!BR759=Driver!$H$50)</f>
        <v/>
      </c>
      <c r="D510" s="60">
        <f>OR(BV510=Driver!$G$51,BV510=Driver!$H$51)</f>
        <v/>
      </c>
      <c r="E510" s="60">
        <f>AND(BX510&gt;Driver!$F$54,BX510&lt;Driver!$G$54)</f>
        <v/>
      </c>
      <c r="F510" s="60">
        <f>CL510&gt;Driver!$F$56</f>
        <v/>
      </c>
      <c r="G510" s="60">
        <f>AND(CB510&gt;Driver!$F$55,CB510&lt;Driver!$G$55)</f>
        <v/>
      </c>
      <c r="H510" s="60">
        <f>AND(B510:G510)</f>
        <v/>
      </c>
      <c r="I510" s="60">
        <f>COUNTIFS($H$9:$H$1273,TRUE,$BT$9:$BT$1273,BT510)</f>
        <v/>
      </c>
      <c r="J510" s="60">
        <f t="array" ref="J510">NOT(OR(($H$9:$H$1273=TRUE)*($I$9:$I$1273&gt;0)*($BT$9:$BT$1273=BT510)*($K$9:$K$1273&gt;K510)))</f>
        <v/>
      </c>
      <c r="K510" s="108">
        <f>IFERROR(1-AVERAGE(X510:Y510),"")</f>
        <v/>
      </c>
      <c r="L510" s="108">
        <f>1-X510</f>
        <v/>
      </c>
      <c r="M510" s="108">
        <f>1-Y510</f>
        <v/>
      </c>
      <c r="N510" s="108">
        <f>1-Z510</f>
        <v/>
      </c>
      <c r="O510" s="108">
        <f>1-AA510</f>
        <v/>
      </c>
      <c r="P510" s="108">
        <f>1-AB510</f>
        <v/>
      </c>
      <c r="Q510" s="108" t="n"/>
      <c r="R510" s="108" t="n"/>
      <c r="S510" s="108">
        <f>1-AE510</f>
        <v/>
      </c>
      <c r="T510" s="108">
        <f>1-AF510</f>
        <v/>
      </c>
      <c r="U510" s="108">
        <f>1-AG510</f>
        <v/>
      </c>
      <c r="V510" s="108">
        <f>1-AH510</f>
        <v/>
      </c>
      <c r="W510" s="108">
        <f>1-AI510</f>
        <v/>
      </c>
      <c r="X510" s="108">
        <f>ABS(AJ510-AJ$1)</f>
        <v/>
      </c>
      <c r="Y510" s="108">
        <f>AVERAGE(Z510:AB510)</f>
        <v/>
      </c>
      <c r="Z510" s="108">
        <f>ABS(AL510-AL$1)</f>
        <v/>
      </c>
      <c r="AA510" s="108">
        <f>ABS(AM510-AM$1)</f>
        <v/>
      </c>
      <c r="AB510" s="108">
        <f>ABS(AN510-AN$1)</f>
        <v/>
      </c>
      <c r="AC510" s="108" t="n"/>
      <c r="AD510" s="108" t="n"/>
      <c r="AE510" s="108">
        <f>ABS(AQ$1-AQ510)</f>
        <v/>
      </c>
      <c r="AF510" s="108">
        <f>ABS(AR$1-AR510)</f>
        <v/>
      </c>
      <c r="AG510" s="108">
        <f>ABS(AS$1-AS510)</f>
        <v/>
      </c>
      <c r="AH510" s="108">
        <f>ABS(AT$1-AT510)</f>
        <v/>
      </c>
      <c r="AI510" s="108">
        <f>ABS(AU$1-AU510)</f>
        <v/>
      </c>
      <c r="AJ510" s="108">
        <f>(AV510-Driver!$K$179)/(Driver!$L$179-Driver!$K$179)</f>
        <v/>
      </c>
      <c r="AK510" s="108">
        <f>(AW510-Driver!$K$180)/(Driver!$L$180-Driver!$K$180)</f>
        <v/>
      </c>
      <c r="AL510" s="108">
        <f>(AX510-Driver!$K$181)/(Driver!$L$181-Driver!$K$181)</f>
        <v/>
      </c>
      <c r="AM510" s="108">
        <f>(AY510-Driver!$K$182)/(Driver!$L$182-Driver!$K$182)</f>
        <v/>
      </c>
      <c r="AN510" s="108">
        <f>(AZ510-Driver!$K$183)/(Driver!$L$183-Driver!$K$183)</f>
        <v/>
      </c>
      <c r="AO510" s="108" t="n"/>
      <c r="AP510" s="108" t="n"/>
      <c r="AQ510" s="108">
        <f>(BC510-Driver!$K$188)/(Driver!$L$188-Driver!$K$188)</f>
        <v/>
      </c>
      <c r="AR510" s="108">
        <f>MIN((BD510-Driver!$K$189)/(Driver!$L$189-Driver!$K$189),100%)</f>
        <v/>
      </c>
      <c r="AS510" s="108">
        <f>(BE510-Driver!$K$190)/(Driver!$L$190-Driver!$K$190)</f>
        <v/>
      </c>
      <c r="AT510" s="108">
        <f>(BF510-Driver!$K$191)/(Driver!$L$191-Driver!$K$191)</f>
        <v/>
      </c>
      <c r="AU510" s="108">
        <f>(BG510-Driver!$K$192)/(Driver!$L$192-Driver!$K$192)</f>
        <v/>
      </c>
      <c r="AV510" s="105">
        <f>IFERROR(BM510*BJ510^1/4,"")</f>
        <v/>
      </c>
      <c r="AW510" s="105">
        <f>IFERROR(SUM(AX510:AZ510),"")</f>
        <v/>
      </c>
      <c r="AX510" s="105">
        <f>IFERROR(BH510,"")</f>
        <v/>
      </c>
      <c r="AY510" s="105">
        <f>IFERROR(Driver!$K$19/Data!BH510/Data!BI510*Data!BK510*Data!BL510,"")</f>
        <v/>
      </c>
      <c r="AZ510" s="105">
        <f>IFERROR(BI510*BN510,"")</f>
        <v/>
      </c>
      <c r="BA510" s="105" t="n"/>
      <c r="BB510" s="105" t="n"/>
      <c r="BC510" s="105">
        <f>IFERROR(BI510*BN510*BK510/BJ510^(1/2),"")</f>
        <v/>
      </c>
      <c r="BD510" s="105">
        <f>IFERROR(BH510*BM510*BL510/BJ510/BK510,"")</f>
        <v/>
      </c>
      <c r="BE510" s="105">
        <f>IFERROR(MIN(BI510/BQ510/BP510/BO510/BH510,$BE$1),"")</f>
        <v/>
      </c>
      <c r="BF510" s="105">
        <f>IFERROR(BJ510*BO510*BP510/BK510,"")</f>
        <v/>
      </c>
      <c r="BG510" s="105">
        <f>IFERROR(1/BM510/BH510*BQ510,"")</f>
        <v/>
      </c>
      <c r="BH510" s="102">
        <f>MAX((CE510-Driver!$F$200)/(Driver!$G$200-Driver!$F$200)*$BI$1,1)</f>
        <v/>
      </c>
      <c r="BI510" s="102">
        <f>MAX($BI$1*(BY510-Driver!$F$201)/(Driver!$G$201-Driver!$F$201),1)</f>
        <v/>
      </c>
      <c r="BJ510" s="102">
        <f>(CB510-Driver!$F$206)/(Driver!$G$206-Driver!$F$206)*$BI$1</f>
        <v/>
      </c>
      <c r="BK510" s="102">
        <f>(CD510-Driver!$F$203)/(Driver!$G$203-Driver!$F$203)*$BI$1</f>
        <v/>
      </c>
      <c r="BL510" s="102">
        <f>MAX((CR510-Driver!$F$202)/(Driver!$G$202-Driver!$F$202)*$BI$1,1)</f>
        <v/>
      </c>
      <c r="BM510" s="102">
        <f>MAX((CH510-Driver!$F$204)/(Driver!$G$204-Driver!$F$204)*$BI$1,1)</f>
        <v/>
      </c>
      <c r="BN510" s="102">
        <f>(CI510-Driver!$F$205)/(Driver!$G$205-Driver!$F$205)*$BI$1</f>
        <v/>
      </c>
      <c r="BO510" s="102">
        <f>(CK510-Driver!$F$207)/(Driver!$G$207-Driver!$F$207)*$BI$1</f>
        <v/>
      </c>
      <c r="BP510" s="102">
        <f>(CM510-Driver!$F$208)/(Driver!$G$208-Driver!$F$208)*$BI$1</f>
        <v/>
      </c>
      <c r="BQ510" s="102">
        <f>(CL510-Driver!$F$209)/(Driver!$G$209-Driver!$F$209)*$BI$1</f>
        <v/>
      </c>
      <c r="BR510" s="40" t="inlineStr">
        <is>
          <t>21/22</t>
        </is>
      </c>
      <c r="BS510" s="10" t="inlineStr">
        <is>
          <t xml:space="preserve"> K2</t>
        </is>
      </c>
      <c r="BT510" s="11" t="inlineStr">
        <is>
          <t xml:space="preserve"> Poacher</t>
        </is>
      </c>
      <c r="BU510" s="13" t="n">
        <v>184</v>
      </c>
      <c r="BV510" s="11" t="inlineStr">
        <is>
          <t xml:space="preserve"> Unisex</t>
        </is>
      </c>
      <c r="BW510" s="13" t="n">
        <v>184</v>
      </c>
      <c r="BX510" s="13" t="n">
        <v>182.9</v>
      </c>
      <c r="BY510" s="13" t="n">
        <v>110</v>
      </c>
      <c r="BZ510" s="13" t="n">
        <v>145</v>
      </c>
      <c r="CA510" s="13" t="n">
        <v>124</v>
      </c>
      <c r="CB510" s="13" t="n">
        <v>95</v>
      </c>
      <c r="CC510" s="13" t="n">
        <v>117</v>
      </c>
      <c r="CD510" s="13" t="n">
        <v>18.9</v>
      </c>
      <c r="CE510" s="13" t="n">
        <v>2094</v>
      </c>
      <c r="CF510" s="13" t="n">
        <v>0.92</v>
      </c>
      <c r="CG510" s="13" t="n">
        <v>1922</v>
      </c>
      <c r="CH510" s="13" t="n">
        <v>212</v>
      </c>
      <c r="CI510" s="13" t="n">
        <v>95</v>
      </c>
      <c r="CJ510" s="13" t="n">
        <v>42</v>
      </c>
      <c r="CK510" s="13" t="n">
        <v>358</v>
      </c>
      <c r="CL510" s="13" t="n">
        <v>39</v>
      </c>
      <c r="CM510" s="13" t="n">
        <v>374</v>
      </c>
      <c r="CN510" s="13" t="n">
        <v>0.925</v>
      </c>
      <c r="CO510" s="13" t="n">
        <v>186</v>
      </c>
      <c r="CP510" s="13" t="n">
        <v>190</v>
      </c>
      <c r="CQ510" s="13" t="n">
        <v>172</v>
      </c>
      <c r="CR510" s="13" t="n">
        <v>6</v>
      </c>
      <c r="CS510" s="13" t="n">
        <v>5.9</v>
      </c>
      <c r="CT510" s="11" t="inlineStr">
        <is>
          <t xml:space="preserve"> Freeski</t>
        </is>
      </c>
      <c r="CU510" s="13" t="n"/>
      <c r="CV510" s="13" t="n"/>
      <c r="CW510" s="13" t="n"/>
      <c r="CX510">
        <f>INDEX('Data_Price '!AG$2:AG$1266,MATCH(Data!$DN510,'Data_Price '!$AT$2:$AT$1266,0))</f>
        <v/>
      </c>
      <c r="CY510">
        <f>INDEX('Data_Price '!AH$2:AH$1266,MATCH(Data!$DN510,'Data_Price '!$AT$2:$AT$1266,0))</f>
        <v/>
      </c>
      <c r="CZ510">
        <f>INDEX('Data_Price '!AI$2:AI$1266,MATCH(Data!$DN510,'Data_Price '!$AT$2:$AT$1266,0))</f>
        <v/>
      </c>
      <c r="DA510">
        <f>INDEX('Data_Price '!AJ$2:AJ$1266,MATCH(Data!$DN510,'Data_Price '!$AT$2:$AT$1266,0))</f>
        <v/>
      </c>
      <c r="DB510">
        <f>INDEX('Data_Price '!AK$2:AK$1266,MATCH(Data!$DN510,'Data_Price '!$AT$2:$AT$1266,0))</f>
        <v/>
      </c>
      <c r="DC510">
        <f>INDEX('Data_Price '!AL$2:AL$1266,MATCH(Data!$DN510,'Data_Price '!$AT$2:$AT$1266,0))</f>
        <v/>
      </c>
      <c r="DD510">
        <f>INDEX('Data_Price '!AM$2:AM$1266,MATCH(Data!$DN510,'Data_Price '!$AT$2:$AT$1266,0))</f>
        <v/>
      </c>
      <c r="DE510">
        <f>INDEX('Data_Price '!AN$2:AN$1266,MATCH(Data!$DN510,'Data_Price '!$AT$2:$AT$1266,0))</f>
        <v/>
      </c>
      <c r="DF510">
        <f>INDEX('Data_Price '!AO$2:AO$1266,MATCH(Data!$DN510,'Data_Price '!$AT$2:$AT$1266,0))</f>
        <v/>
      </c>
      <c r="DG510">
        <f>INDEX('Data_Price '!AP$2:AP$1266,MATCH(Data!$DN510,'Data_Price '!$AT$2:$AT$1266,0))</f>
        <v/>
      </c>
      <c r="DH510">
        <f>INDEX('Data_Price '!AQ$2:AQ$1266,MATCH(Data!$DN510,'Data_Price '!$AT$2:$AT$1266,0))</f>
        <v/>
      </c>
      <c r="DI510">
        <f>INDEX('Data_Price '!AR$2:AR$1266,MATCH(Data!$DN510,'Data_Price '!$AT$2:$AT$1266,0))</f>
        <v/>
      </c>
      <c r="DJ510" s="138">
        <f>DA510</f>
        <v/>
      </c>
      <c r="DK510" s="138">
        <f>DE510</f>
        <v/>
      </c>
      <c r="DL510" s="138">
        <f>DI510</f>
        <v/>
      </c>
      <c r="DM510" s="303">
        <f>IF(LEFT(BT510,1)=" ",RIGHT(BT510,LEN(BT510)-1),BT510)</f>
        <v/>
      </c>
      <c r="DN510" s="138">
        <f>_xlfn.CONCAT(BS510,DM510,BU510,BV510)</f>
        <v/>
      </c>
      <c r="DO510" s="307" t="inlineStr">
        <is>
          <t>https://images.evo.com/imgp/250/201070/825034/k2-poacher-skis-2022-.jpg</t>
        </is>
      </c>
    </row>
    <row r="511" ht="15.6" customHeight="1" s="184">
      <c r="B511" s="303">
        <f t="array" ref="B511">IF(OR(ISERROR(K511:P511)),FALSE,TRUE)</f>
        <v/>
      </c>
      <c r="C511" s="60">
        <f>OR(BR511=Driver!$G$50,Data!BR1137=Driver!$H$50)</f>
        <v/>
      </c>
      <c r="D511" s="60">
        <f>OR(BV511=Driver!$G$51,BV511=Driver!$H$51)</f>
        <v/>
      </c>
      <c r="E511" s="60">
        <f>AND(BX511&gt;Driver!$F$54,BX511&lt;Driver!$G$54)</f>
        <v/>
      </c>
      <c r="F511" s="60">
        <f>CL511&gt;Driver!$F$56</f>
        <v/>
      </c>
      <c r="G511" s="60">
        <f>AND(CB511&gt;Driver!$F$55,CB511&lt;Driver!$G$55)</f>
        <v/>
      </c>
      <c r="H511" s="60">
        <f>AND(B511:G511)</f>
        <v/>
      </c>
      <c r="I511" s="60">
        <f>COUNTIFS($H$9:$H$1273,TRUE,$BT$9:$BT$1273,BT511)</f>
        <v/>
      </c>
      <c r="J511" s="60">
        <f t="array" ref="J511">NOT(OR(($H$9:$H$1273=TRUE)*($I$9:$I$1273&gt;0)*($BT$9:$BT$1273=BT511)*($K$9:$K$1273&gt;K511)))</f>
        <v/>
      </c>
      <c r="K511" s="108">
        <f>IFERROR(1-AVERAGE(X511:Y511),"")</f>
        <v/>
      </c>
      <c r="L511" s="108">
        <f>1-X511</f>
        <v/>
      </c>
      <c r="M511" s="108">
        <f>1-Y511</f>
        <v/>
      </c>
      <c r="N511" s="108">
        <f>1-Z511</f>
        <v/>
      </c>
      <c r="O511" s="108">
        <f>1-AA511</f>
        <v/>
      </c>
      <c r="P511" s="108">
        <f>1-AB511</f>
        <v/>
      </c>
      <c r="Q511" s="108" t="n"/>
      <c r="R511" s="108" t="n"/>
      <c r="S511" s="108">
        <f>1-AE511</f>
        <v/>
      </c>
      <c r="T511" s="108">
        <f>1-AF511</f>
        <v/>
      </c>
      <c r="U511" s="108">
        <f>1-AG511</f>
        <v/>
      </c>
      <c r="V511" s="108">
        <f>1-AH511</f>
        <v/>
      </c>
      <c r="W511" s="108">
        <f>1-AI511</f>
        <v/>
      </c>
      <c r="X511" s="108">
        <f>ABS(AJ511-AJ$1)</f>
        <v/>
      </c>
      <c r="Y511" s="108">
        <f>AVERAGE(Z511:AB511)</f>
        <v/>
      </c>
      <c r="Z511" s="108">
        <f>ABS(AL511-AL$1)</f>
        <v/>
      </c>
      <c r="AA511" s="108">
        <f>ABS(AM511-AM$1)</f>
        <v/>
      </c>
      <c r="AB511" s="108">
        <f>ABS(AN511-AN$1)</f>
        <v/>
      </c>
      <c r="AC511" s="108" t="n"/>
      <c r="AD511" s="108" t="n"/>
      <c r="AE511" s="108">
        <f>ABS(AQ$1-AQ511)</f>
        <v/>
      </c>
      <c r="AF511" s="108">
        <f>ABS(AR$1-AR511)</f>
        <v/>
      </c>
      <c r="AG511" s="108">
        <f>ABS(AS$1-AS511)</f>
        <v/>
      </c>
      <c r="AH511" s="108">
        <f>ABS(AT$1-AT511)</f>
        <v/>
      </c>
      <c r="AI511" s="108">
        <f>ABS(AU$1-AU511)</f>
        <v/>
      </c>
      <c r="AJ511" s="108">
        <f>(AV511-Driver!$K$179)/(Driver!$L$179-Driver!$K$179)</f>
        <v/>
      </c>
      <c r="AK511" s="108">
        <f>(AW511-Driver!$K$180)/(Driver!$L$180-Driver!$K$180)</f>
        <v/>
      </c>
      <c r="AL511" s="108">
        <f>(AX511-Driver!$K$181)/(Driver!$L$181-Driver!$K$181)</f>
        <v/>
      </c>
      <c r="AM511" s="108">
        <f>(AY511-Driver!$K$182)/(Driver!$L$182-Driver!$K$182)</f>
        <v/>
      </c>
      <c r="AN511" s="108">
        <f>(AZ511-Driver!$K$183)/(Driver!$L$183-Driver!$K$183)</f>
        <v/>
      </c>
      <c r="AO511" s="108" t="n"/>
      <c r="AP511" s="108" t="n"/>
      <c r="AQ511" s="108">
        <f>(BC511-Driver!$K$188)/(Driver!$L$188-Driver!$K$188)</f>
        <v/>
      </c>
      <c r="AR511" s="108">
        <f>MIN((BD511-Driver!$K$189)/(Driver!$L$189-Driver!$K$189),100%)</f>
        <v/>
      </c>
      <c r="AS511" s="108">
        <f>(BE511-Driver!$K$190)/(Driver!$L$190-Driver!$K$190)</f>
        <v/>
      </c>
      <c r="AT511" s="108">
        <f>(BF511-Driver!$K$191)/(Driver!$L$191-Driver!$K$191)</f>
        <v/>
      </c>
      <c r="AU511" s="108">
        <f>(BG511-Driver!$K$192)/(Driver!$L$192-Driver!$K$192)</f>
        <v/>
      </c>
      <c r="AV511" s="105">
        <f>IFERROR(BM511*BJ511^1/4,"")</f>
        <v/>
      </c>
      <c r="AW511" s="105">
        <f>IFERROR(SUM(AX511:AZ511),"")</f>
        <v/>
      </c>
      <c r="AX511" s="105">
        <f>IFERROR(BH511,"")</f>
        <v/>
      </c>
      <c r="AY511" s="105">
        <f>IFERROR(Driver!$K$19/Data!BH511/Data!BI511*Data!BK511*Data!BL511,"")</f>
        <v/>
      </c>
      <c r="AZ511" s="105">
        <f>IFERROR(BI511*BN511,"")</f>
        <v/>
      </c>
      <c r="BA511" s="105" t="n"/>
      <c r="BB511" s="105" t="n"/>
      <c r="BC511" s="105">
        <f>IFERROR(BI511*BN511*BK511/BJ511^(1/2),"")</f>
        <v/>
      </c>
      <c r="BD511" s="105">
        <f>IFERROR(BH511*BM511*BL511/BJ511/BK511,"")</f>
        <v/>
      </c>
      <c r="BE511" s="105">
        <f>IFERROR(MIN(BI511/BQ511/BP511/BO511/BH511,$BE$1),"")</f>
        <v/>
      </c>
      <c r="BF511" s="105">
        <f>IFERROR(BJ511*BO511*BP511/BK511,"")</f>
        <v/>
      </c>
      <c r="BG511" s="105">
        <f>IFERROR(1/BM511/BH511*BQ511,"")</f>
        <v/>
      </c>
      <c r="BH511" s="102">
        <f>MAX((CE511-Driver!$F$200)/(Driver!$G$200-Driver!$F$200)*$BI$1,1)</f>
        <v/>
      </c>
      <c r="BI511" s="102">
        <f>MAX($BI$1*(BY511-Driver!$F$201)/(Driver!$G$201-Driver!$F$201),1)</f>
        <v/>
      </c>
      <c r="BJ511" s="102">
        <f>(CB511-Driver!$F$206)/(Driver!$G$206-Driver!$F$206)*$BI$1</f>
        <v/>
      </c>
      <c r="BK511" s="102">
        <f>(CD511-Driver!$F$203)/(Driver!$G$203-Driver!$F$203)*$BI$1</f>
        <v/>
      </c>
      <c r="BL511" s="102">
        <f>MAX((CR511-Driver!$F$202)/(Driver!$G$202-Driver!$F$202)*$BI$1,1)</f>
        <v/>
      </c>
      <c r="BM511" s="102">
        <f>MAX((CH511-Driver!$F$204)/(Driver!$G$204-Driver!$F$204)*$BI$1,1)</f>
        <v/>
      </c>
      <c r="BN511" s="102">
        <f>(CI511-Driver!$F$205)/(Driver!$G$205-Driver!$F$205)*$BI$1</f>
        <v/>
      </c>
      <c r="BO511" s="102">
        <f>(CK511-Driver!$F$207)/(Driver!$G$207-Driver!$F$207)*$BI$1</f>
        <v/>
      </c>
      <c r="BP511" s="102">
        <f>(CM511-Driver!$F$208)/(Driver!$G$208-Driver!$F$208)*$BI$1</f>
        <v/>
      </c>
      <c r="BQ511" s="102">
        <f>(CL511-Driver!$F$209)/(Driver!$G$209-Driver!$F$209)*$BI$1</f>
        <v/>
      </c>
      <c r="BR511" s="40" t="inlineStr">
        <is>
          <t>21/22</t>
        </is>
      </c>
      <c r="BS511" s="10" t="inlineStr">
        <is>
          <t xml:space="preserve"> Stöckli</t>
        </is>
      </c>
      <c r="BT511" s="11" t="inlineStr">
        <is>
          <t>Nela 88</t>
        </is>
      </c>
      <c r="BU511" s="13" t="n">
        <v>160</v>
      </c>
      <c r="BV511" s="11" t="inlineStr">
        <is>
          <t xml:space="preserve"> Women's</t>
        </is>
      </c>
      <c r="BW511" s="13" t="n">
        <v>160</v>
      </c>
      <c r="BX511" s="13" t="n">
        <v>159.4</v>
      </c>
      <c r="BY511" s="13" t="n">
        <v>132</v>
      </c>
      <c r="BZ511" s="13" t="n">
        <v>140</v>
      </c>
      <c r="CA511" s="13" t="n">
        <v>127</v>
      </c>
      <c r="CB511" s="13" t="n">
        <v>88</v>
      </c>
      <c r="CC511" s="13" t="n">
        <v>113</v>
      </c>
      <c r="CD511" s="13" t="n">
        <v>14.9</v>
      </c>
      <c r="CE511" s="13" t="n">
        <v>1532</v>
      </c>
      <c r="CF511" s="13" t="n">
        <v>1.04</v>
      </c>
      <c r="CG511" s="13" t="n">
        <v>1591</v>
      </c>
      <c r="CH511" s="13" t="n">
        <v>159</v>
      </c>
      <c r="CI511" s="13" t="n">
        <v>81</v>
      </c>
      <c r="CJ511" s="13" t="n">
        <v>43</v>
      </c>
      <c r="CK511" s="13" t="n">
        <v>197</v>
      </c>
      <c r="CL511" s="13" t="n">
        <v>9</v>
      </c>
      <c r="CM511" s="13" t="n">
        <v>80</v>
      </c>
      <c r="CN511" s="13" t="n">
        <v>0.202</v>
      </c>
      <c r="CO511" s="13" t="n">
        <v>134</v>
      </c>
      <c r="CP511" s="13" t="n">
        <v>56</v>
      </c>
      <c r="CQ511" s="13" t="n">
        <v>62</v>
      </c>
      <c r="CR511" s="13" t="n">
        <v>5</v>
      </c>
      <c r="CS511" s="13" t="n">
        <v>13.2</v>
      </c>
      <c r="CT511" s="11" t="inlineStr">
        <is>
          <t xml:space="preserve"> Resort Freeride</t>
        </is>
      </c>
      <c r="CU511" s="13" t="n"/>
      <c r="CV511" s="13" t="n"/>
      <c r="CW511" s="13" t="n"/>
      <c r="CX511">
        <f>INDEX('Data_Price '!AG$2:AG$1266,MATCH(Data!$DN511,'Data_Price '!$AT$2:$AT$1266,0))</f>
        <v/>
      </c>
      <c r="CY511">
        <f>INDEX('Data_Price '!AH$2:AH$1266,MATCH(Data!$DN511,'Data_Price '!$AT$2:$AT$1266,0))</f>
        <v/>
      </c>
      <c r="CZ511">
        <f>INDEX('Data_Price '!AI$2:AI$1266,MATCH(Data!$DN511,'Data_Price '!$AT$2:$AT$1266,0))</f>
        <v/>
      </c>
      <c r="DA511">
        <f>INDEX('Data_Price '!AJ$2:AJ$1266,MATCH(Data!$DN511,'Data_Price '!$AT$2:$AT$1266,0))</f>
        <v/>
      </c>
      <c r="DB511">
        <f>INDEX('Data_Price '!AK$2:AK$1266,MATCH(Data!$DN511,'Data_Price '!$AT$2:$AT$1266,0))</f>
        <v/>
      </c>
      <c r="DC511">
        <f>INDEX('Data_Price '!AL$2:AL$1266,MATCH(Data!$DN511,'Data_Price '!$AT$2:$AT$1266,0))</f>
        <v/>
      </c>
      <c r="DD511">
        <f>INDEX('Data_Price '!AM$2:AM$1266,MATCH(Data!$DN511,'Data_Price '!$AT$2:$AT$1266,0))</f>
        <v/>
      </c>
      <c r="DE511">
        <f>INDEX('Data_Price '!AN$2:AN$1266,MATCH(Data!$DN511,'Data_Price '!$AT$2:$AT$1266,0))</f>
        <v/>
      </c>
      <c r="DF511">
        <f>INDEX('Data_Price '!AO$2:AO$1266,MATCH(Data!$DN511,'Data_Price '!$AT$2:$AT$1266,0))</f>
        <v/>
      </c>
      <c r="DG511">
        <f>INDEX('Data_Price '!AP$2:AP$1266,MATCH(Data!$DN511,'Data_Price '!$AT$2:$AT$1266,0))</f>
        <v/>
      </c>
      <c r="DH511">
        <f>INDEX('Data_Price '!AQ$2:AQ$1266,MATCH(Data!$DN511,'Data_Price '!$AT$2:$AT$1266,0))</f>
        <v/>
      </c>
      <c r="DI511">
        <f>INDEX('Data_Price '!AR$2:AR$1266,MATCH(Data!$DN511,'Data_Price '!$AT$2:$AT$1266,0))</f>
        <v/>
      </c>
      <c r="DJ511" s="138">
        <f>DA511</f>
        <v/>
      </c>
      <c r="DK511" s="138">
        <f>DE511</f>
        <v/>
      </c>
      <c r="DL511" s="138">
        <f>DI511</f>
        <v/>
      </c>
      <c r="DM511" s="303">
        <f>IF(LEFT(BT511,1)=" ",RIGHT(BT511,LEN(BT511)-1),BT511)</f>
        <v/>
      </c>
      <c r="DN511" s="138">
        <f>_xlfn.CONCAT(BS511,DM511,BU511,BV511)</f>
        <v/>
      </c>
      <c r="DO511" s="307" t="inlineStr">
        <is>
          <t>https://images.evo.com/imgp/250/208926/858180/clone.jpg</t>
        </is>
      </c>
    </row>
    <row r="512" ht="15.6" customHeight="1" s="184">
      <c r="B512" s="303">
        <f t="array" ref="B512">IF(OR(ISERROR(K512:P512)),FALSE,TRUE)</f>
        <v/>
      </c>
      <c r="C512" s="60">
        <f>OR(BR512=Driver!$G$50,Data!BR807=Driver!$H$50)</f>
        <v/>
      </c>
      <c r="D512" s="60">
        <f>OR(BV512=Driver!$G$51,BV512=Driver!$H$51)</f>
        <v/>
      </c>
      <c r="E512" s="60">
        <f>AND(BX512&gt;Driver!$F$54,BX512&lt;Driver!$G$54)</f>
        <v/>
      </c>
      <c r="F512" s="60">
        <f>CL512&gt;Driver!$F$56</f>
        <v/>
      </c>
      <c r="G512" s="60">
        <f>AND(CB512&gt;Driver!$F$55,CB512&lt;Driver!$G$55)</f>
        <v/>
      </c>
      <c r="H512" s="60">
        <f>AND(B512:G512)</f>
        <v/>
      </c>
      <c r="I512" s="60">
        <f>COUNTIFS($H$9:$H$1273,TRUE,$BT$9:$BT$1273,BT512)</f>
        <v/>
      </c>
      <c r="J512" s="60">
        <f t="array" ref="J512">NOT(OR(($H$9:$H$1273=TRUE)*($I$9:$I$1273&gt;0)*($BT$9:$BT$1273=BT512)*($K$9:$K$1273&gt;K512)))</f>
        <v/>
      </c>
      <c r="K512" s="108">
        <f>IFERROR(1-AVERAGE(X512:Y512),"")</f>
        <v/>
      </c>
      <c r="L512" s="108">
        <f>1-X512</f>
        <v/>
      </c>
      <c r="M512" s="108">
        <f>1-Y512</f>
        <v/>
      </c>
      <c r="N512" s="108">
        <f>1-Z512</f>
        <v/>
      </c>
      <c r="O512" s="108">
        <f>1-AA512</f>
        <v/>
      </c>
      <c r="P512" s="108">
        <f>1-AB512</f>
        <v/>
      </c>
      <c r="Q512" s="108" t="n"/>
      <c r="R512" s="108" t="n"/>
      <c r="S512" s="108">
        <f>1-AE512</f>
        <v/>
      </c>
      <c r="T512" s="108">
        <f>1-AF512</f>
        <v/>
      </c>
      <c r="U512" s="108">
        <f>1-AG512</f>
        <v/>
      </c>
      <c r="V512" s="108">
        <f>1-AH512</f>
        <v/>
      </c>
      <c r="W512" s="108">
        <f>1-AI512</f>
        <v/>
      </c>
      <c r="X512" s="108">
        <f>ABS(AJ512-AJ$1)</f>
        <v/>
      </c>
      <c r="Y512" s="108">
        <f>AVERAGE(Z512:AB512)</f>
        <v/>
      </c>
      <c r="Z512" s="108">
        <f>ABS(AL512-AL$1)</f>
        <v/>
      </c>
      <c r="AA512" s="108">
        <f>ABS(AM512-AM$1)</f>
        <v/>
      </c>
      <c r="AB512" s="108">
        <f>ABS(AN512-AN$1)</f>
        <v/>
      </c>
      <c r="AC512" s="108" t="n"/>
      <c r="AD512" s="108" t="n"/>
      <c r="AE512" s="108">
        <f>ABS(AQ$1-AQ512)</f>
        <v/>
      </c>
      <c r="AF512" s="108">
        <f>ABS(AR$1-AR512)</f>
        <v/>
      </c>
      <c r="AG512" s="108">
        <f>ABS(AS$1-AS512)</f>
        <v/>
      </c>
      <c r="AH512" s="108">
        <f>ABS(AT$1-AT512)</f>
        <v/>
      </c>
      <c r="AI512" s="108">
        <f>ABS(AU$1-AU512)</f>
        <v/>
      </c>
      <c r="AJ512" s="108">
        <f>(AV512-Driver!$K$179)/(Driver!$L$179-Driver!$K$179)</f>
        <v/>
      </c>
      <c r="AK512" s="108">
        <f>(AW512-Driver!$K$180)/(Driver!$L$180-Driver!$K$180)</f>
        <v/>
      </c>
      <c r="AL512" s="108">
        <f>(AX512-Driver!$K$181)/(Driver!$L$181-Driver!$K$181)</f>
        <v/>
      </c>
      <c r="AM512" s="108">
        <f>(AY512-Driver!$K$182)/(Driver!$L$182-Driver!$K$182)</f>
        <v/>
      </c>
      <c r="AN512" s="108">
        <f>(AZ512-Driver!$K$183)/(Driver!$L$183-Driver!$K$183)</f>
        <v/>
      </c>
      <c r="AO512" s="108" t="n"/>
      <c r="AP512" s="108" t="n"/>
      <c r="AQ512" s="108">
        <f>(BC512-Driver!$K$188)/(Driver!$L$188-Driver!$K$188)</f>
        <v/>
      </c>
      <c r="AR512" s="108">
        <f>MIN((BD512-Driver!$K$189)/(Driver!$L$189-Driver!$K$189),100%)</f>
        <v/>
      </c>
      <c r="AS512" s="108">
        <f>(BE512-Driver!$K$190)/(Driver!$L$190-Driver!$K$190)</f>
        <v/>
      </c>
      <c r="AT512" s="108">
        <f>(BF512-Driver!$K$191)/(Driver!$L$191-Driver!$K$191)</f>
        <v/>
      </c>
      <c r="AU512" s="108">
        <f>(BG512-Driver!$K$192)/(Driver!$L$192-Driver!$K$192)</f>
        <v/>
      </c>
      <c r="AV512" s="105">
        <f>IFERROR(BM512*BJ512^1/4,"")</f>
        <v/>
      </c>
      <c r="AW512" s="105">
        <f>IFERROR(SUM(AX512:AZ512),"")</f>
        <v/>
      </c>
      <c r="AX512" s="105">
        <f>IFERROR(BH512,"")</f>
        <v/>
      </c>
      <c r="AY512" s="105">
        <f>IFERROR(Driver!$K$19/Data!BH512/Data!BI512*Data!BK512*Data!BL512,"")</f>
        <v/>
      </c>
      <c r="AZ512" s="105">
        <f>IFERROR(BI512*BN512,"")</f>
        <v/>
      </c>
      <c r="BA512" s="105" t="n"/>
      <c r="BB512" s="105" t="n"/>
      <c r="BC512" s="105">
        <f>IFERROR(BI512*BN512*BK512/BJ512^(1/2),"")</f>
        <v/>
      </c>
      <c r="BD512" s="105">
        <f>IFERROR(BH512*BM512*BL512/BJ512/BK512,"")</f>
        <v/>
      </c>
      <c r="BE512" s="105">
        <f>IFERROR(MIN(BI512/BQ512/BP512/BO512/BH512,$BE$1),"")</f>
        <v/>
      </c>
      <c r="BF512" s="105">
        <f>IFERROR(BJ512*BO512*BP512/BK512,"")</f>
        <v/>
      </c>
      <c r="BG512" s="105">
        <f>IFERROR(1/BM512/BH512*BQ512,"")</f>
        <v/>
      </c>
      <c r="BH512" s="102">
        <f>MAX((CE512-Driver!$F$200)/(Driver!$G$200-Driver!$F$200)*$BI$1,1)</f>
        <v/>
      </c>
      <c r="BI512" s="102">
        <f>MAX($BI$1*(BY512-Driver!$F$201)/(Driver!$G$201-Driver!$F$201),1)</f>
        <v/>
      </c>
      <c r="BJ512" s="102">
        <f>(CB512-Driver!$F$206)/(Driver!$G$206-Driver!$F$206)*$BI$1</f>
        <v/>
      </c>
      <c r="BK512" s="102">
        <f>(CD512-Driver!$F$203)/(Driver!$G$203-Driver!$F$203)*$BI$1</f>
        <v/>
      </c>
      <c r="BL512" s="102">
        <f>MAX((CR512-Driver!$F$202)/(Driver!$G$202-Driver!$F$202)*$BI$1,1)</f>
        <v/>
      </c>
      <c r="BM512" s="102">
        <f>MAX((CH512-Driver!$F$204)/(Driver!$G$204-Driver!$F$204)*$BI$1,1)</f>
        <v/>
      </c>
      <c r="BN512" s="102">
        <f>(CI512-Driver!$F$205)/(Driver!$G$205-Driver!$F$205)*$BI$1</f>
        <v/>
      </c>
      <c r="BO512" s="102">
        <f>(CK512-Driver!$F$207)/(Driver!$G$207-Driver!$F$207)*$BI$1</f>
        <v/>
      </c>
      <c r="BP512" s="102">
        <f>(CM512-Driver!$F$208)/(Driver!$G$208-Driver!$F$208)*$BI$1</f>
        <v/>
      </c>
      <c r="BQ512" s="102">
        <f>(CL512-Driver!$F$209)/(Driver!$G$209-Driver!$F$209)*$BI$1</f>
        <v/>
      </c>
      <c r="BR512" s="40" t="inlineStr">
        <is>
          <t>21/22</t>
        </is>
      </c>
      <c r="BS512" s="10" t="inlineStr">
        <is>
          <t xml:space="preserve"> Liberty</t>
        </is>
      </c>
      <c r="BT512" s="11" t="inlineStr">
        <is>
          <t>Genesis 101</t>
        </is>
      </c>
      <c r="BU512" s="13" t="n">
        <v>165</v>
      </c>
      <c r="BV512" s="11" t="inlineStr">
        <is>
          <t xml:space="preserve"> Women's</t>
        </is>
      </c>
      <c r="BW512" s="13" t="n">
        <v>165</v>
      </c>
      <c r="BX512" s="13" t="n">
        <v>164.4</v>
      </c>
      <c r="BY512" s="13" t="n">
        <v>104</v>
      </c>
      <c r="BZ512" s="13" t="n">
        <v>135</v>
      </c>
      <c r="CA512" s="13" t="n">
        <v>134</v>
      </c>
      <c r="CB512" s="13" t="n">
        <v>100</v>
      </c>
      <c r="CC512" s="13" t="n">
        <v>121</v>
      </c>
      <c r="CD512" s="13" t="n">
        <v>15</v>
      </c>
      <c r="CE512" s="13" t="n">
        <v>1740</v>
      </c>
      <c r="CF512" s="13" t="n">
        <v>1.05</v>
      </c>
      <c r="CG512" s="13" t="n">
        <v>1822</v>
      </c>
      <c r="CH512" s="13" t="n">
        <v>166</v>
      </c>
      <c r="CI512" s="13" t="n">
        <v>86</v>
      </c>
      <c r="CJ512" s="13" t="n">
        <v>53</v>
      </c>
      <c r="CK512" s="13" t="n">
        <v>367</v>
      </c>
      <c r="CL512" s="13" t="n">
        <v>27</v>
      </c>
      <c r="CM512" s="13" t="n">
        <v>240</v>
      </c>
      <c r="CN512" s="13" t="n">
        <v>0.519</v>
      </c>
      <c r="CO512" s="13" t="n">
        <v>140</v>
      </c>
      <c r="CP512" s="13" t="n">
        <v>155</v>
      </c>
      <c r="CQ512" s="13" t="n">
        <v>228</v>
      </c>
      <c r="CR512" s="13" t="n">
        <v>4</v>
      </c>
      <c r="CS512" s="13" t="n">
        <v>7.5</v>
      </c>
      <c r="CT512" s="11" t="inlineStr">
        <is>
          <t xml:space="preserve"> Resort Freeride</t>
        </is>
      </c>
      <c r="CU512" s="11" t="inlineStr">
        <is>
          <t xml:space="preserve"> Powder</t>
        </is>
      </c>
      <c r="CV512" s="13" t="n"/>
      <c r="CW512" s="13" t="n"/>
      <c r="CX512">
        <f>INDEX('Data_Price '!AG$2:AG$1266,MATCH(Data!$DN512,'Data_Price '!$AT$2:$AT$1266,0))</f>
        <v/>
      </c>
      <c r="CY512">
        <f>INDEX('Data_Price '!AH$2:AH$1266,MATCH(Data!$DN512,'Data_Price '!$AT$2:$AT$1266,0))</f>
        <v/>
      </c>
      <c r="CZ512">
        <f>INDEX('Data_Price '!AI$2:AI$1266,MATCH(Data!$DN512,'Data_Price '!$AT$2:$AT$1266,0))</f>
        <v/>
      </c>
      <c r="DA512">
        <f>INDEX('Data_Price '!AJ$2:AJ$1266,MATCH(Data!$DN512,'Data_Price '!$AT$2:$AT$1266,0))</f>
        <v/>
      </c>
      <c r="DB512">
        <f>INDEX('Data_Price '!AK$2:AK$1266,MATCH(Data!$DN512,'Data_Price '!$AT$2:$AT$1266,0))</f>
        <v/>
      </c>
      <c r="DC512">
        <f>INDEX('Data_Price '!AL$2:AL$1266,MATCH(Data!$DN512,'Data_Price '!$AT$2:$AT$1266,0))</f>
        <v/>
      </c>
      <c r="DD512">
        <f>INDEX('Data_Price '!AM$2:AM$1266,MATCH(Data!$DN512,'Data_Price '!$AT$2:$AT$1266,0))</f>
        <v/>
      </c>
      <c r="DE512">
        <f>INDEX('Data_Price '!AN$2:AN$1266,MATCH(Data!$DN512,'Data_Price '!$AT$2:$AT$1266,0))</f>
        <v/>
      </c>
      <c r="DF512">
        <f>INDEX('Data_Price '!AO$2:AO$1266,MATCH(Data!$DN512,'Data_Price '!$AT$2:$AT$1266,0))</f>
        <v/>
      </c>
      <c r="DG512">
        <f>INDEX('Data_Price '!AP$2:AP$1266,MATCH(Data!$DN512,'Data_Price '!$AT$2:$AT$1266,0))</f>
        <v/>
      </c>
      <c r="DH512">
        <f>INDEX('Data_Price '!AQ$2:AQ$1266,MATCH(Data!$DN512,'Data_Price '!$AT$2:$AT$1266,0))</f>
        <v/>
      </c>
      <c r="DI512">
        <f>INDEX('Data_Price '!AR$2:AR$1266,MATCH(Data!$DN512,'Data_Price '!$AT$2:$AT$1266,0))</f>
        <v/>
      </c>
      <c r="DJ512" s="138">
        <f>DA512</f>
        <v/>
      </c>
      <c r="DK512" s="138">
        <f>DE512</f>
        <v/>
      </c>
      <c r="DL512" s="138">
        <f>DI512</f>
        <v/>
      </c>
      <c r="DM512" s="303">
        <f>IF(LEFT(BT512,1)=" ",RIGHT(BT512,LEN(BT512)-1),BT512)</f>
        <v/>
      </c>
      <c r="DN512" s="138">
        <f>_xlfn.CONCAT(BS512,DM512,BU512,BV512)</f>
        <v/>
      </c>
      <c r="DO512" s="307" t="inlineStr">
        <is>
          <t>https://images.evo.com/imgp/250/208557/851471/liberty-genesis-101-skis-women-s-2022-.jpg</t>
        </is>
      </c>
    </row>
    <row r="513" ht="15.6" customHeight="1" s="184">
      <c r="B513" s="303">
        <f t="array" ref="B513">IF(OR(ISERROR(K513:P513)),FALSE,TRUE)</f>
        <v/>
      </c>
      <c r="C513" s="60">
        <f>OR(BR513=Driver!$G$50,Data!BR195=Driver!$H$50)</f>
        <v/>
      </c>
      <c r="D513" s="60">
        <f>OR(BV513=Driver!$G$51,BV513=Driver!$H$51)</f>
        <v/>
      </c>
      <c r="E513" s="60">
        <f>AND(BX513&gt;Driver!$F$54,BX513&lt;Driver!$G$54)</f>
        <v/>
      </c>
      <c r="F513" s="60">
        <f>CL513&gt;Driver!$F$56</f>
        <v/>
      </c>
      <c r="G513" s="60">
        <f>AND(CB513&gt;Driver!$F$55,CB513&lt;Driver!$G$55)</f>
        <v/>
      </c>
      <c r="H513" s="60">
        <f>AND(B513:G513)</f>
        <v/>
      </c>
      <c r="I513" s="60">
        <f>COUNTIFS($H$9:$H$1273,TRUE,$BT$9:$BT$1273,BT513)</f>
        <v/>
      </c>
      <c r="J513" s="60">
        <f t="array" ref="J513">NOT(OR(($H$9:$H$1273=TRUE)*($I$9:$I$1273&gt;0)*($BT$9:$BT$1273=BT513)*($K$9:$K$1273&gt;K513)))</f>
        <v/>
      </c>
      <c r="K513" s="108">
        <f>IFERROR(1-AVERAGE(X513:Y513),"")</f>
        <v/>
      </c>
      <c r="L513" s="108">
        <f>1-X513</f>
        <v/>
      </c>
      <c r="M513" s="108">
        <f>1-Y513</f>
        <v/>
      </c>
      <c r="N513" s="108">
        <f>1-Z513</f>
        <v/>
      </c>
      <c r="O513" s="108">
        <f>1-AA513</f>
        <v/>
      </c>
      <c r="P513" s="108">
        <f>1-AB513</f>
        <v/>
      </c>
      <c r="Q513" s="108" t="n"/>
      <c r="R513" s="108" t="n"/>
      <c r="S513" s="108">
        <f>1-AE513</f>
        <v/>
      </c>
      <c r="T513" s="108">
        <f>1-AF513</f>
        <v/>
      </c>
      <c r="U513" s="108">
        <f>1-AG513</f>
        <v/>
      </c>
      <c r="V513" s="108">
        <f>1-AH513</f>
        <v/>
      </c>
      <c r="W513" s="108">
        <f>1-AI513</f>
        <v/>
      </c>
      <c r="X513" s="108">
        <f>ABS(AJ513-AJ$1)</f>
        <v/>
      </c>
      <c r="Y513" s="108">
        <f>AVERAGE(Z513:AB513)</f>
        <v/>
      </c>
      <c r="Z513" s="108">
        <f>ABS(AL513-AL$1)</f>
        <v/>
      </c>
      <c r="AA513" s="108">
        <f>ABS(AM513-AM$1)</f>
        <v/>
      </c>
      <c r="AB513" s="108">
        <f>ABS(AN513-AN$1)</f>
        <v/>
      </c>
      <c r="AC513" s="108" t="n"/>
      <c r="AD513" s="108" t="n"/>
      <c r="AE513" s="108">
        <f>ABS(AQ$1-AQ513)</f>
        <v/>
      </c>
      <c r="AF513" s="108">
        <f>ABS(AR$1-AR513)</f>
        <v/>
      </c>
      <c r="AG513" s="108">
        <f>ABS(AS$1-AS513)</f>
        <v/>
      </c>
      <c r="AH513" s="108">
        <f>ABS(AT$1-AT513)</f>
        <v/>
      </c>
      <c r="AI513" s="108">
        <f>ABS(AU$1-AU513)</f>
        <v/>
      </c>
      <c r="AJ513" s="108">
        <f>(AV513-Driver!$K$179)/(Driver!$L$179-Driver!$K$179)</f>
        <v/>
      </c>
      <c r="AK513" s="108">
        <f>(AW513-Driver!$K$180)/(Driver!$L$180-Driver!$K$180)</f>
        <v/>
      </c>
      <c r="AL513" s="108">
        <f>(AX513-Driver!$K$181)/(Driver!$L$181-Driver!$K$181)</f>
        <v/>
      </c>
      <c r="AM513" s="108">
        <f>(AY513-Driver!$K$182)/(Driver!$L$182-Driver!$K$182)</f>
        <v/>
      </c>
      <c r="AN513" s="108">
        <f>(AZ513-Driver!$K$183)/(Driver!$L$183-Driver!$K$183)</f>
        <v/>
      </c>
      <c r="AO513" s="108" t="n"/>
      <c r="AP513" s="108" t="n"/>
      <c r="AQ513" s="108">
        <f>(BC513-Driver!$K$188)/(Driver!$L$188-Driver!$K$188)</f>
        <v/>
      </c>
      <c r="AR513" s="108">
        <f>MIN((BD513-Driver!$K$189)/(Driver!$L$189-Driver!$K$189),100%)</f>
        <v/>
      </c>
      <c r="AS513" s="108">
        <f>(BE513-Driver!$K$190)/(Driver!$L$190-Driver!$K$190)</f>
        <v/>
      </c>
      <c r="AT513" s="108">
        <f>(BF513-Driver!$K$191)/(Driver!$L$191-Driver!$K$191)</f>
        <v/>
      </c>
      <c r="AU513" s="108">
        <f>(BG513-Driver!$K$192)/(Driver!$L$192-Driver!$K$192)</f>
        <v/>
      </c>
      <c r="AV513" s="105">
        <f>IFERROR(BM513*BJ513^1/4,"")</f>
        <v/>
      </c>
      <c r="AW513" s="105">
        <f>IFERROR(SUM(AX513:AZ513),"")</f>
        <v/>
      </c>
      <c r="AX513" s="105">
        <f>IFERROR(BH513,"")</f>
        <v/>
      </c>
      <c r="AY513" s="105">
        <f>IFERROR(Driver!$K$19/Data!BH513/Data!BI513*Data!BK513*Data!BL513,"")</f>
        <v/>
      </c>
      <c r="AZ513" s="105">
        <f>IFERROR(BI513*BN513,"")</f>
        <v/>
      </c>
      <c r="BA513" s="105" t="n"/>
      <c r="BB513" s="105" t="n"/>
      <c r="BC513" s="105">
        <f>IFERROR(BI513*BN513*BK513/BJ513^(1/2),"")</f>
        <v/>
      </c>
      <c r="BD513" s="105">
        <f>IFERROR(BH513*BM513*BL513/BJ513/BK513,"")</f>
        <v/>
      </c>
      <c r="BE513" s="105">
        <f>IFERROR(MIN(BI513/BQ513/BP513/BO513/BH513,$BE$1),"")</f>
        <v/>
      </c>
      <c r="BF513" s="105">
        <f>IFERROR(BJ513*BO513*BP513/BK513,"")</f>
        <v/>
      </c>
      <c r="BG513" s="105">
        <f>IFERROR(1/BM513/BH513*BQ513,"")</f>
        <v/>
      </c>
      <c r="BH513" s="102">
        <f>MAX((CE513-Driver!$F$200)/(Driver!$G$200-Driver!$F$200)*$BI$1,1)</f>
        <v/>
      </c>
      <c r="BI513" s="102">
        <f>MAX($BI$1*(BY513-Driver!$F$201)/(Driver!$G$201-Driver!$F$201),1)</f>
        <v/>
      </c>
      <c r="BJ513" s="102">
        <f>(CB513-Driver!$F$206)/(Driver!$G$206-Driver!$F$206)*$BI$1</f>
        <v/>
      </c>
      <c r="BK513" s="102">
        <f>(CD513-Driver!$F$203)/(Driver!$G$203-Driver!$F$203)*$BI$1</f>
        <v/>
      </c>
      <c r="BL513" s="102">
        <f>MAX((CR513-Driver!$F$202)/(Driver!$G$202-Driver!$F$202)*$BI$1,1)</f>
        <v/>
      </c>
      <c r="BM513" s="102">
        <f>MAX((CH513-Driver!$F$204)/(Driver!$G$204-Driver!$F$204)*$BI$1,1)</f>
        <v/>
      </c>
      <c r="BN513" s="102">
        <f>(CI513-Driver!$F$205)/(Driver!$G$205-Driver!$F$205)*$BI$1</f>
        <v/>
      </c>
      <c r="BO513" s="102">
        <f>(CK513-Driver!$F$207)/(Driver!$G$207-Driver!$F$207)*$BI$1</f>
        <v/>
      </c>
      <c r="BP513" s="102">
        <f>(CM513-Driver!$F$208)/(Driver!$G$208-Driver!$F$208)*$BI$1</f>
        <v/>
      </c>
      <c r="BQ513" s="102">
        <f>(CL513-Driver!$F$209)/(Driver!$G$209-Driver!$F$209)*$BI$1</f>
        <v/>
      </c>
      <c r="BR513" s="40" t="inlineStr">
        <is>
          <t>21/22</t>
        </is>
      </c>
      <c r="BS513" s="10" t="inlineStr">
        <is>
          <t xml:space="preserve"> Atomic</t>
        </is>
      </c>
      <c r="BT513" s="11" t="inlineStr">
        <is>
          <t>Vantage 82 Ti</t>
        </is>
      </c>
      <c r="BU513" s="13" t="n">
        <v>174</v>
      </c>
      <c r="BV513" s="11" t="inlineStr">
        <is>
          <t xml:space="preserve"> Unisex</t>
        </is>
      </c>
      <c r="BW513" s="13" t="n">
        <v>174</v>
      </c>
      <c r="BX513" s="13" t="n">
        <v>173.3</v>
      </c>
      <c r="BY513" s="13" t="n">
        <v>146</v>
      </c>
      <c r="BZ513" s="13" t="n">
        <v>156</v>
      </c>
      <c r="CA513" s="13" t="n">
        <v>122</v>
      </c>
      <c r="CB513" s="13" t="n">
        <v>82</v>
      </c>
      <c r="CC513" s="13" t="n">
        <v>108</v>
      </c>
      <c r="CD513" s="13" t="n">
        <v>17.3</v>
      </c>
      <c r="CE513" s="13" t="n">
        <v>1882</v>
      </c>
      <c r="CF513" s="13" t="n">
        <v>0.87</v>
      </c>
      <c r="CG513" s="13" t="n">
        <v>1639</v>
      </c>
      <c r="CH513" s="13" t="n">
        <v>244</v>
      </c>
      <c r="CI513" s="13" t="n">
        <v>104</v>
      </c>
      <c r="CJ513" s="13" t="n">
        <v>41</v>
      </c>
      <c r="CK513" s="13" t="n">
        <v>183</v>
      </c>
      <c r="CL513" s="13" t="n">
        <v>5</v>
      </c>
      <c r="CM513" s="13" t="n">
        <v>86</v>
      </c>
      <c r="CN513" s="13" t="n">
        <v>0.12</v>
      </c>
      <c r="CO513" s="13" t="n">
        <v>101</v>
      </c>
      <c r="CP513" s="13" t="n">
        <v>72</v>
      </c>
      <c r="CQ513" s="13" t="n">
        <v>82</v>
      </c>
      <c r="CR513" s="13" t="n">
        <v>7</v>
      </c>
      <c r="CS513" s="13" t="n">
        <v>11.1</v>
      </c>
      <c r="CT513" s="11" t="inlineStr">
        <is>
          <t xml:space="preserve"> On-Piste Carving</t>
        </is>
      </c>
      <c r="CU513" s="11" t="inlineStr">
        <is>
          <t xml:space="preserve"> Resort Freeride</t>
        </is>
      </c>
      <c r="CV513" s="13" t="n"/>
      <c r="CW513" s="13" t="n"/>
      <c r="CX513">
        <f>INDEX('Data_Price '!AG$2:AG$1266,MATCH(Data!$DN513,'Data_Price '!$AT$2:$AT$1266,0))</f>
        <v/>
      </c>
      <c r="CY513">
        <f>INDEX('Data_Price '!AH$2:AH$1266,MATCH(Data!$DN513,'Data_Price '!$AT$2:$AT$1266,0))</f>
        <v/>
      </c>
      <c r="CZ513">
        <f>INDEX('Data_Price '!AI$2:AI$1266,MATCH(Data!$DN513,'Data_Price '!$AT$2:$AT$1266,0))</f>
        <v/>
      </c>
      <c r="DA513">
        <f>INDEX('Data_Price '!AJ$2:AJ$1266,MATCH(Data!$DN513,'Data_Price '!$AT$2:$AT$1266,0))</f>
        <v/>
      </c>
      <c r="DB513">
        <f>INDEX('Data_Price '!AK$2:AK$1266,MATCH(Data!$DN513,'Data_Price '!$AT$2:$AT$1266,0))</f>
        <v/>
      </c>
      <c r="DC513">
        <f>INDEX('Data_Price '!AL$2:AL$1266,MATCH(Data!$DN513,'Data_Price '!$AT$2:$AT$1266,0))</f>
        <v/>
      </c>
      <c r="DD513">
        <f>INDEX('Data_Price '!AM$2:AM$1266,MATCH(Data!$DN513,'Data_Price '!$AT$2:$AT$1266,0))</f>
        <v/>
      </c>
      <c r="DE513">
        <f>INDEX('Data_Price '!AN$2:AN$1266,MATCH(Data!$DN513,'Data_Price '!$AT$2:$AT$1266,0))</f>
        <v/>
      </c>
      <c r="DF513">
        <f>INDEX('Data_Price '!AO$2:AO$1266,MATCH(Data!$DN513,'Data_Price '!$AT$2:$AT$1266,0))</f>
        <v/>
      </c>
      <c r="DG513">
        <f>INDEX('Data_Price '!AP$2:AP$1266,MATCH(Data!$DN513,'Data_Price '!$AT$2:$AT$1266,0))</f>
        <v/>
      </c>
      <c r="DH513">
        <f>INDEX('Data_Price '!AQ$2:AQ$1266,MATCH(Data!$DN513,'Data_Price '!$AT$2:$AT$1266,0))</f>
        <v/>
      </c>
      <c r="DI513">
        <f>INDEX('Data_Price '!AR$2:AR$1266,MATCH(Data!$DN513,'Data_Price '!$AT$2:$AT$1266,0))</f>
        <v/>
      </c>
      <c r="DJ513" s="138">
        <f>DA513</f>
        <v/>
      </c>
      <c r="DK513" s="138">
        <f>DE513</f>
        <v/>
      </c>
      <c r="DL513" s="138">
        <f>DI513</f>
        <v/>
      </c>
      <c r="DM513" s="303">
        <f>IF(LEFT(BT513,1)=" ",RIGHT(BT513,LEN(BT513)-1),BT513)</f>
        <v/>
      </c>
      <c r="DN513" s="138">
        <f>_xlfn.CONCAT(BS513,DM513,BU513,BV513)</f>
        <v/>
      </c>
      <c r="DO513" s="307" t="n"/>
    </row>
    <row r="514" ht="15.6" customHeight="1" s="184">
      <c r="B514" s="303">
        <f t="array" ref="B514">IF(OR(ISERROR(K514:P514)),FALSE,TRUE)</f>
        <v/>
      </c>
      <c r="C514" s="60">
        <f>OR(BR514=Driver!$G$50,Data!BR152=Driver!$H$50)</f>
        <v/>
      </c>
      <c r="D514" s="60">
        <f>OR(BV514=Driver!$G$51,BV514=Driver!$H$51)</f>
        <v/>
      </c>
      <c r="E514" s="60">
        <f>AND(BX514&gt;Driver!$F$54,BX514&lt;Driver!$G$54)</f>
        <v/>
      </c>
      <c r="F514" s="60">
        <f>CL514&gt;Driver!$F$56</f>
        <v/>
      </c>
      <c r="G514" s="60">
        <f>AND(CB514&gt;Driver!$F$55,CB514&lt;Driver!$G$55)</f>
        <v/>
      </c>
      <c r="H514" s="60">
        <f>AND(B514:G514)</f>
        <v/>
      </c>
      <c r="I514" s="60">
        <f>COUNTIFS($H$9:$H$1273,TRUE,$BT$9:$BT$1273,BT514)</f>
        <v/>
      </c>
      <c r="J514" s="60">
        <f t="array" ref="J514">NOT(OR(($H$9:$H$1273=TRUE)*($I$9:$I$1273&gt;0)*($BT$9:$BT$1273=BT514)*($K$9:$K$1273&gt;K514)))</f>
        <v/>
      </c>
      <c r="K514" s="108">
        <f>IFERROR(1-AVERAGE(X514:Y514),"")</f>
        <v/>
      </c>
      <c r="L514" s="108">
        <f>1-X514</f>
        <v/>
      </c>
      <c r="M514" s="108">
        <f>1-Y514</f>
        <v/>
      </c>
      <c r="N514" s="108">
        <f>1-Z514</f>
        <v/>
      </c>
      <c r="O514" s="108">
        <f>1-AA514</f>
        <v/>
      </c>
      <c r="P514" s="108">
        <f>1-AB514</f>
        <v/>
      </c>
      <c r="Q514" s="108" t="n"/>
      <c r="R514" s="108" t="n"/>
      <c r="S514" s="108">
        <f>1-AE514</f>
        <v/>
      </c>
      <c r="T514" s="108">
        <f>1-AF514</f>
        <v/>
      </c>
      <c r="U514" s="108">
        <f>1-AG514</f>
        <v/>
      </c>
      <c r="V514" s="108">
        <f>1-AH514</f>
        <v/>
      </c>
      <c r="W514" s="108">
        <f>1-AI514</f>
        <v/>
      </c>
      <c r="X514" s="108">
        <f>ABS(AJ514-AJ$1)</f>
        <v/>
      </c>
      <c r="Y514" s="108">
        <f>AVERAGE(Z514:AB514)</f>
        <v/>
      </c>
      <c r="Z514" s="108">
        <f>ABS(AL514-AL$1)</f>
        <v/>
      </c>
      <c r="AA514" s="108">
        <f>ABS(AM514-AM$1)</f>
        <v/>
      </c>
      <c r="AB514" s="108">
        <f>ABS(AN514-AN$1)</f>
        <v/>
      </c>
      <c r="AC514" s="108" t="n"/>
      <c r="AD514" s="108" t="n"/>
      <c r="AE514" s="108">
        <f>ABS(AQ$1-AQ514)</f>
        <v/>
      </c>
      <c r="AF514" s="108">
        <f>ABS(AR$1-AR514)</f>
        <v/>
      </c>
      <c r="AG514" s="108">
        <f>ABS(AS$1-AS514)</f>
        <v/>
      </c>
      <c r="AH514" s="108">
        <f>ABS(AT$1-AT514)</f>
        <v/>
      </c>
      <c r="AI514" s="108">
        <f>ABS(AU$1-AU514)</f>
        <v/>
      </c>
      <c r="AJ514" s="108">
        <f>(AV514-Driver!$K$179)/(Driver!$L$179-Driver!$K$179)</f>
        <v/>
      </c>
      <c r="AK514" s="108">
        <f>(AW514-Driver!$K$180)/(Driver!$L$180-Driver!$K$180)</f>
        <v/>
      </c>
      <c r="AL514" s="108">
        <f>(AX514-Driver!$K$181)/(Driver!$L$181-Driver!$K$181)</f>
        <v/>
      </c>
      <c r="AM514" s="108">
        <f>(AY514-Driver!$K$182)/(Driver!$L$182-Driver!$K$182)</f>
        <v/>
      </c>
      <c r="AN514" s="108">
        <f>(AZ514-Driver!$K$183)/(Driver!$L$183-Driver!$K$183)</f>
        <v/>
      </c>
      <c r="AO514" s="108" t="n"/>
      <c r="AP514" s="108" t="n"/>
      <c r="AQ514" s="108">
        <f>(BC514-Driver!$K$188)/(Driver!$L$188-Driver!$K$188)</f>
        <v/>
      </c>
      <c r="AR514" s="108">
        <f>MIN((BD514-Driver!$K$189)/(Driver!$L$189-Driver!$K$189),100%)</f>
        <v/>
      </c>
      <c r="AS514" s="108">
        <f>(BE514-Driver!$K$190)/(Driver!$L$190-Driver!$K$190)</f>
        <v/>
      </c>
      <c r="AT514" s="108">
        <f>(BF514-Driver!$K$191)/(Driver!$L$191-Driver!$K$191)</f>
        <v/>
      </c>
      <c r="AU514" s="108">
        <f>(BG514-Driver!$K$192)/(Driver!$L$192-Driver!$K$192)</f>
        <v/>
      </c>
      <c r="AV514" s="105">
        <f>IFERROR(BM514*BJ514^1/4,"")</f>
        <v/>
      </c>
      <c r="AW514" s="105">
        <f>IFERROR(SUM(AX514:AZ514),"")</f>
        <v/>
      </c>
      <c r="AX514" s="105">
        <f>IFERROR(BH514,"")</f>
        <v/>
      </c>
      <c r="AY514" s="105">
        <f>IFERROR(Driver!$K$19/Data!BH514/Data!BI514*Data!BK514*Data!BL514,"")</f>
        <v/>
      </c>
      <c r="AZ514" s="105">
        <f>IFERROR(BI514*BN514,"")</f>
        <v/>
      </c>
      <c r="BA514" s="105" t="n"/>
      <c r="BB514" s="105" t="n"/>
      <c r="BC514" s="105">
        <f>IFERROR(BI514*BN514*BK514/BJ514^(1/2),"")</f>
        <v/>
      </c>
      <c r="BD514" s="105">
        <f>IFERROR(BH514*BM514*BL514/BJ514/BK514,"")</f>
        <v/>
      </c>
      <c r="BE514" s="105">
        <f>IFERROR(MIN(BI514/BQ514/BP514/BO514/BH514,$BE$1),"")</f>
        <v/>
      </c>
      <c r="BF514" s="105">
        <f>IFERROR(BJ514*BO514*BP514/BK514,"")</f>
        <v/>
      </c>
      <c r="BG514" s="105">
        <f>IFERROR(1/BM514/BH514*BQ514,"")</f>
        <v/>
      </c>
      <c r="BH514" s="102">
        <f>MAX((CE514-Driver!$F$200)/(Driver!$G$200-Driver!$F$200)*$BI$1,1)</f>
        <v/>
      </c>
      <c r="BI514" s="102">
        <f>MAX($BI$1*(BY514-Driver!$F$201)/(Driver!$G$201-Driver!$F$201),1)</f>
        <v/>
      </c>
      <c r="BJ514" s="102">
        <f>(CB514-Driver!$F$206)/(Driver!$G$206-Driver!$F$206)*$BI$1</f>
        <v/>
      </c>
      <c r="BK514" s="102">
        <f>(CD514-Driver!$F$203)/(Driver!$G$203-Driver!$F$203)*$BI$1</f>
        <v/>
      </c>
      <c r="BL514" s="102">
        <f>MAX((CR514-Driver!$F$202)/(Driver!$G$202-Driver!$F$202)*$BI$1,1)</f>
        <v/>
      </c>
      <c r="BM514" s="102">
        <f>MAX((CH514-Driver!$F$204)/(Driver!$G$204-Driver!$F$204)*$BI$1,1)</f>
        <v/>
      </c>
      <c r="BN514" s="102">
        <f>(CI514-Driver!$F$205)/(Driver!$G$205-Driver!$F$205)*$BI$1</f>
        <v/>
      </c>
      <c r="BO514" s="102">
        <f>(CK514-Driver!$F$207)/(Driver!$G$207-Driver!$F$207)*$BI$1</f>
        <v/>
      </c>
      <c r="BP514" s="102">
        <f>(CM514-Driver!$F$208)/(Driver!$G$208-Driver!$F$208)*$BI$1</f>
        <v/>
      </c>
      <c r="BQ514" s="102">
        <f>(CL514-Driver!$F$209)/(Driver!$G$209-Driver!$F$209)*$BI$1</f>
        <v/>
      </c>
      <c r="BR514" s="40" t="inlineStr">
        <is>
          <t>21/22</t>
        </is>
      </c>
      <c r="BS514" s="10" t="inlineStr">
        <is>
          <t xml:space="preserve"> Atomic</t>
        </is>
      </c>
      <c r="BT514" s="11" t="inlineStr">
        <is>
          <t>Maven 86 C</t>
        </is>
      </c>
      <c r="BU514" s="13" t="n">
        <v>161</v>
      </c>
      <c r="BV514" s="11" t="inlineStr">
        <is>
          <t xml:space="preserve"> Women's</t>
        </is>
      </c>
      <c r="BW514" s="13" t="n">
        <v>161</v>
      </c>
      <c r="BX514" s="13" t="n">
        <v>160.3</v>
      </c>
      <c r="BY514" s="13" t="n">
        <v>112</v>
      </c>
      <c r="BZ514" s="13" t="n">
        <v>133</v>
      </c>
      <c r="CA514" s="13" t="n">
        <v>122</v>
      </c>
      <c r="CB514" s="13" t="n">
        <v>86</v>
      </c>
      <c r="CC514" s="13" t="n">
        <v>104</v>
      </c>
      <c r="CD514" s="13" t="n">
        <v>15.6</v>
      </c>
      <c r="CE514" s="13" t="n">
        <v>1424</v>
      </c>
      <c r="CF514" s="13" t="n">
        <v>1.09</v>
      </c>
      <c r="CG514" s="13" t="n">
        <v>1557</v>
      </c>
      <c r="CH514" s="13" t="n">
        <v>202</v>
      </c>
      <c r="CI514" s="13" t="n">
        <v>85</v>
      </c>
      <c r="CJ514" s="13" t="n">
        <v>45</v>
      </c>
      <c r="CK514" s="13" t="n">
        <v>280</v>
      </c>
      <c r="CL514" s="13" t="n">
        <v>13</v>
      </c>
      <c r="CM514" s="13" t="n">
        <v>208</v>
      </c>
      <c r="CN514" s="13" t="n">
        <v>0.288</v>
      </c>
      <c r="CO514" s="13" t="n">
        <v>166</v>
      </c>
      <c r="CP514" s="13" t="n">
        <v>108</v>
      </c>
      <c r="CQ514" s="13" t="n">
        <v>114</v>
      </c>
      <c r="CR514" s="13" t="n">
        <v>2</v>
      </c>
      <c r="CS514" s="13" t="n">
        <v>8.9</v>
      </c>
      <c r="CT514" s="11" t="inlineStr">
        <is>
          <t xml:space="preserve"> Resort Freeride</t>
        </is>
      </c>
      <c r="CU514" s="11" t="inlineStr">
        <is>
          <t xml:space="preserve"> Touring</t>
        </is>
      </c>
      <c r="CV514" s="13" t="n"/>
      <c r="CW514" s="13" t="n"/>
      <c r="CX514">
        <f>INDEX('Data_Price '!AG$2:AG$1266,MATCH(Data!$DN514,'Data_Price '!$AT$2:$AT$1266,0))</f>
        <v/>
      </c>
      <c r="CY514">
        <f>INDEX('Data_Price '!AH$2:AH$1266,MATCH(Data!$DN514,'Data_Price '!$AT$2:$AT$1266,0))</f>
        <v/>
      </c>
      <c r="CZ514">
        <f>INDEX('Data_Price '!AI$2:AI$1266,MATCH(Data!$DN514,'Data_Price '!$AT$2:$AT$1266,0))</f>
        <v/>
      </c>
      <c r="DA514">
        <f>INDEX('Data_Price '!AJ$2:AJ$1266,MATCH(Data!$DN514,'Data_Price '!$AT$2:$AT$1266,0))</f>
        <v/>
      </c>
      <c r="DB514">
        <f>INDEX('Data_Price '!AK$2:AK$1266,MATCH(Data!$DN514,'Data_Price '!$AT$2:$AT$1266,0))</f>
        <v/>
      </c>
      <c r="DC514">
        <f>INDEX('Data_Price '!AL$2:AL$1266,MATCH(Data!$DN514,'Data_Price '!$AT$2:$AT$1266,0))</f>
        <v/>
      </c>
      <c r="DD514">
        <f>INDEX('Data_Price '!AM$2:AM$1266,MATCH(Data!$DN514,'Data_Price '!$AT$2:$AT$1266,0))</f>
        <v/>
      </c>
      <c r="DE514">
        <f>INDEX('Data_Price '!AN$2:AN$1266,MATCH(Data!$DN514,'Data_Price '!$AT$2:$AT$1266,0))</f>
        <v/>
      </c>
      <c r="DF514">
        <f>INDEX('Data_Price '!AO$2:AO$1266,MATCH(Data!$DN514,'Data_Price '!$AT$2:$AT$1266,0))</f>
        <v/>
      </c>
      <c r="DG514">
        <f>INDEX('Data_Price '!AP$2:AP$1266,MATCH(Data!$DN514,'Data_Price '!$AT$2:$AT$1266,0))</f>
        <v/>
      </c>
      <c r="DH514">
        <f>INDEX('Data_Price '!AQ$2:AQ$1266,MATCH(Data!$DN514,'Data_Price '!$AT$2:$AT$1266,0))</f>
        <v/>
      </c>
      <c r="DI514">
        <f>INDEX('Data_Price '!AR$2:AR$1266,MATCH(Data!$DN514,'Data_Price '!$AT$2:$AT$1266,0))</f>
        <v/>
      </c>
      <c r="DJ514" s="138">
        <f>DA514</f>
        <v/>
      </c>
      <c r="DK514" s="138">
        <f>DE514</f>
        <v/>
      </c>
      <c r="DL514" s="138">
        <f>DI514</f>
        <v/>
      </c>
      <c r="DM514" s="303">
        <f>IF(LEFT(BT514,1)=" ",RIGHT(BT514,LEN(BT514)-1),BT514)</f>
        <v/>
      </c>
      <c r="DN514" s="138">
        <f>_xlfn.CONCAT(BS514,DM514,BU514,BV514)</f>
        <v/>
      </c>
      <c r="DO514" s="307" t="inlineStr">
        <is>
          <t>https://images.evo.com/imgp/250/197734/826797/clone.jpg</t>
        </is>
      </c>
    </row>
    <row r="515" ht="15.6" customHeight="1" s="184">
      <c r="B515" s="303">
        <f t="array" ref="B515">IF(OR(ISERROR(K515:P515)),FALSE,TRUE)</f>
        <v/>
      </c>
      <c r="C515" s="60">
        <f>OR(BR515=Driver!$G$50,Data!BR1018=Driver!$H$50)</f>
        <v/>
      </c>
      <c r="D515" s="60">
        <f>OR(BV515=Driver!$G$51,BV515=Driver!$H$51)</f>
        <v/>
      </c>
      <c r="E515" s="60">
        <f>AND(BX515&gt;Driver!$F$54,BX515&lt;Driver!$G$54)</f>
        <v/>
      </c>
      <c r="F515" s="60">
        <f>CL515&gt;Driver!$F$56</f>
        <v/>
      </c>
      <c r="G515" s="60">
        <f>AND(CB515&gt;Driver!$F$55,CB515&lt;Driver!$G$55)</f>
        <v/>
      </c>
      <c r="H515" s="60">
        <f>AND(B515:G515)</f>
        <v/>
      </c>
      <c r="I515" s="60">
        <f>COUNTIFS($H$9:$H$1273,TRUE,$BT$9:$BT$1273,BT515)</f>
        <v/>
      </c>
      <c r="J515" s="60">
        <f t="array" ref="J515">NOT(OR(($H$9:$H$1273=TRUE)*($I$9:$I$1273&gt;0)*($BT$9:$BT$1273=BT515)*($K$9:$K$1273&gt;K515)))</f>
        <v/>
      </c>
      <c r="K515" s="108">
        <f>IFERROR(1-AVERAGE(X515:Y515),"")</f>
        <v/>
      </c>
      <c r="L515" s="108">
        <f>1-X515</f>
        <v/>
      </c>
      <c r="M515" s="108">
        <f>1-Y515</f>
        <v/>
      </c>
      <c r="N515" s="108">
        <f>1-Z515</f>
        <v/>
      </c>
      <c r="O515" s="108">
        <f>1-AA515</f>
        <v/>
      </c>
      <c r="P515" s="108">
        <f>1-AB515</f>
        <v/>
      </c>
      <c r="Q515" s="108" t="n"/>
      <c r="R515" s="108" t="n"/>
      <c r="S515" s="108">
        <f>1-AE515</f>
        <v/>
      </c>
      <c r="T515" s="108">
        <f>1-AF515</f>
        <v/>
      </c>
      <c r="U515" s="108">
        <f>1-AG515</f>
        <v/>
      </c>
      <c r="V515" s="108">
        <f>1-AH515</f>
        <v/>
      </c>
      <c r="W515" s="108">
        <f>1-AI515</f>
        <v/>
      </c>
      <c r="X515" s="108">
        <f>ABS(AJ515-AJ$1)</f>
        <v/>
      </c>
      <c r="Y515" s="108">
        <f>AVERAGE(Z515:AB515)</f>
        <v/>
      </c>
      <c r="Z515" s="108">
        <f>ABS(AL515-AL$1)</f>
        <v/>
      </c>
      <c r="AA515" s="108">
        <f>ABS(AM515-AM$1)</f>
        <v/>
      </c>
      <c r="AB515" s="108">
        <f>ABS(AN515-AN$1)</f>
        <v/>
      </c>
      <c r="AC515" s="108" t="n"/>
      <c r="AD515" s="108" t="n"/>
      <c r="AE515" s="108">
        <f>ABS(AQ$1-AQ515)</f>
        <v/>
      </c>
      <c r="AF515" s="108">
        <f>ABS(AR$1-AR515)</f>
        <v/>
      </c>
      <c r="AG515" s="108">
        <f>ABS(AS$1-AS515)</f>
        <v/>
      </c>
      <c r="AH515" s="108">
        <f>ABS(AT$1-AT515)</f>
        <v/>
      </c>
      <c r="AI515" s="108">
        <f>ABS(AU$1-AU515)</f>
        <v/>
      </c>
      <c r="AJ515" s="108">
        <f>(AV515-Driver!$K$179)/(Driver!$L$179-Driver!$K$179)</f>
        <v/>
      </c>
      <c r="AK515" s="108">
        <f>(AW515-Driver!$K$180)/(Driver!$L$180-Driver!$K$180)</f>
        <v/>
      </c>
      <c r="AL515" s="108">
        <f>(AX515-Driver!$K$181)/(Driver!$L$181-Driver!$K$181)</f>
        <v/>
      </c>
      <c r="AM515" s="108">
        <f>(AY515-Driver!$K$182)/(Driver!$L$182-Driver!$K$182)</f>
        <v/>
      </c>
      <c r="AN515" s="108">
        <f>(AZ515-Driver!$K$183)/(Driver!$L$183-Driver!$K$183)</f>
        <v/>
      </c>
      <c r="AO515" s="108" t="n"/>
      <c r="AP515" s="108" t="n"/>
      <c r="AQ515" s="108">
        <f>(BC515-Driver!$K$188)/(Driver!$L$188-Driver!$K$188)</f>
        <v/>
      </c>
      <c r="AR515" s="108">
        <f>MIN((BD515-Driver!$K$189)/(Driver!$L$189-Driver!$K$189),100%)</f>
        <v/>
      </c>
      <c r="AS515" s="108">
        <f>(BE515-Driver!$K$190)/(Driver!$L$190-Driver!$K$190)</f>
        <v/>
      </c>
      <c r="AT515" s="108">
        <f>(BF515-Driver!$K$191)/(Driver!$L$191-Driver!$K$191)</f>
        <v/>
      </c>
      <c r="AU515" s="108">
        <f>(BG515-Driver!$K$192)/(Driver!$L$192-Driver!$K$192)</f>
        <v/>
      </c>
      <c r="AV515" s="105">
        <f>IFERROR(BM515*BJ515^1/4,"")</f>
        <v/>
      </c>
      <c r="AW515" s="105">
        <f>IFERROR(SUM(AX515:AZ515),"")</f>
        <v/>
      </c>
      <c r="AX515" s="105">
        <f>IFERROR(BH515,"")</f>
        <v/>
      </c>
      <c r="AY515" s="105">
        <f>IFERROR(Driver!$K$19/Data!BH515/Data!BI515*Data!BK515*Data!BL515,"")</f>
        <v/>
      </c>
      <c r="AZ515" s="105">
        <f>IFERROR(BI515*BN515,"")</f>
        <v/>
      </c>
      <c r="BA515" s="105" t="n"/>
      <c r="BB515" s="105" t="n"/>
      <c r="BC515" s="105">
        <f>IFERROR(BI515*BN515*BK515/BJ515^(1/2),"")</f>
        <v/>
      </c>
      <c r="BD515" s="105">
        <f>IFERROR(BH515*BM515*BL515/BJ515/BK515,"")</f>
        <v/>
      </c>
      <c r="BE515" s="105">
        <f>IFERROR(MIN(BI515/BQ515/BP515/BO515/BH515,$BE$1),"")</f>
        <v/>
      </c>
      <c r="BF515" s="105">
        <f>IFERROR(BJ515*BO515*BP515/BK515,"")</f>
        <v/>
      </c>
      <c r="BG515" s="105">
        <f>IFERROR(1/BM515/BH515*BQ515,"")</f>
        <v/>
      </c>
      <c r="BH515" s="102">
        <f>MAX((CE515-Driver!$F$200)/(Driver!$G$200-Driver!$F$200)*$BI$1,1)</f>
        <v/>
      </c>
      <c r="BI515" s="102">
        <f>MAX($BI$1*(BY515-Driver!$F$201)/(Driver!$G$201-Driver!$F$201),1)</f>
        <v/>
      </c>
      <c r="BJ515" s="102">
        <f>(CB515-Driver!$F$206)/(Driver!$G$206-Driver!$F$206)*$BI$1</f>
        <v/>
      </c>
      <c r="BK515" s="102">
        <f>(CD515-Driver!$F$203)/(Driver!$G$203-Driver!$F$203)*$BI$1</f>
        <v/>
      </c>
      <c r="BL515" s="102">
        <f>MAX((CR515-Driver!$F$202)/(Driver!$G$202-Driver!$F$202)*$BI$1,1)</f>
        <v/>
      </c>
      <c r="BM515" s="102">
        <f>MAX((CH515-Driver!$F$204)/(Driver!$G$204-Driver!$F$204)*$BI$1,1)</f>
        <v/>
      </c>
      <c r="BN515" s="102">
        <f>(CI515-Driver!$F$205)/(Driver!$G$205-Driver!$F$205)*$BI$1</f>
        <v/>
      </c>
      <c r="BO515" s="102">
        <f>(CK515-Driver!$F$207)/(Driver!$G$207-Driver!$F$207)*$BI$1</f>
        <v/>
      </c>
      <c r="BP515" s="102">
        <f>(CM515-Driver!$F$208)/(Driver!$G$208-Driver!$F$208)*$BI$1</f>
        <v/>
      </c>
      <c r="BQ515" s="102">
        <f>(CL515-Driver!$F$209)/(Driver!$G$209-Driver!$F$209)*$BI$1</f>
        <v/>
      </c>
      <c r="BR515" s="40" t="inlineStr">
        <is>
          <t>21/22</t>
        </is>
      </c>
      <c r="BS515" s="10" t="inlineStr">
        <is>
          <t xml:space="preserve"> Rossignol</t>
        </is>
      </c>
      <c r="BT515" s="11" t="inlineStr">
        <is>
          <t>Experience 86 Basalt</t>
        </is>
      </c>
      <c r="BU515" s="13" t="n">
        <v>167</v>
      </c>
      <c r="BV515" s="11" t="inlineStr">
        <is>
          <t xml:space="preserve"> Unisex</t>
        </is>
      </c>
      <c r="BW515" s="13" t="n">
        <v>167</v>
      </c>
      <c r="BX515" s="13" t="n">
        <v>166.4</v>
      </c>
      <c r="BY515" s="13" t="n">
        <v>127</v>
      </c>
      <c r="BZ515" s="13" t="n">
        <v>152</v>
      </c>
      <c r="CA515" s="13" t="n">
        <v>131</v>
      </c>
      <c r="CB515" s="13" t="n">
        <v>83</v>
      </c>
      <c r="CC515" s="13" t="n">
        <v>119</v>
      </c>
      <c r="CD515" s="13" t="n">
        <v>13.4</v>
      </c>
      <c r="CE515" s="13" t="n">
        <v>1799</v>
      </c>
      <c r="CF515" s="13" t="n">
        <v>0.91</v>
      </c>
      <c r="CG515" s="13" t="n">
        <v>1643</v>
      </c>
      <c r="CH515" s="13" t="n">
        <v>198</v>
      </c>
      <c r="CI515" s="13" t="n">
        <v>80</v>
      </c>
      <c r="CJ515" s="13" t="n">
        <v>46</v>
      </c>
      <c r="CK515" s="13" t="n">
        <v>261</v>
      </c>
      <c r="CL515" s="13" t="n">
        <v>13</v>
      </c>
      <c r="CM515" s="13" t="n">
        <v>129</v>
      </c>
      <c r="CN515" s="13" t="n">
        <v>0.278</v>
      </c>
      <c r="CO515" s="13" t="n">
        <v>74</v>
      </c>
      <c r="CP515" s="13" t="n">
        <v>67</v>
      </c>
      <c r="CQ515" s="13" t="n">
        <v>186</v>
      </c>
      <c r="CR515" s="13" t="n">
        <v>8</v>
      </c>
      <c r="CS515" s="13" t="n">
        <v>6.7</v>
      </c>
      <c r="CT515" s="11" t="inlineStr">
        <is>
          <t xml:space="preserve"> Resort Freeride</t>
        </is>
      </c>
      <c r="CU515" s="13" t="n"/>
      <c r="CV515" s="13" t="n"/>
      <c r="CW515" s="13" t="n"/>
      <c r="CX515">
        <f>INDEX('Data_Price '!AG$2:AG$1266,MATCH(Data!$DN515,'Data_Price '!$AT$2:$AT$1266,0))</f>
        <v/>
      </c>
      <c r="CY515">
        <f>INDEX('Data_Price '!AH$2:AH$1266,MATCH(Data!$DN515,'Data_Price '!$AT$2:$AT$1266,0))</f>
        <v/>
      </c>
      <c r="CZ515">
        <f>INDEX('Data_Price '!AI$2:AI$1266,MATCH(Data!$DN515,'Data_Price '!$AT$2:$AT$1266,0))</f>
        <v/>
      </c>
      <c r="DA515">
        <f>INDEX('Data_Price '!AJ$2:AJ$1266,MATCH(Data!$DN515,'Data_Price '!$AT$2:$AT$1266,0))</f>
        <v/>
      </c>
      <c r="DB515">
        <f>INDEX('Data_Price '!AK$2:AK$1266,MATCH(Data!$DN515,'Data_Price '!$AT$2:$AT$1266,0))</f>
        <v/>
      </c>
      <c r="DC515">
        <f>INDEX('Data_Price '!AL$2:AL$1266,MATCH(Data!$DN515,'Data_Price '!$AT$2:$AT$1266,0))</f>
        <v/>
      </c>
      <c r="DD515">
        <f>INDEX('Data_Price '!AM$2:AM$1266,MATCH(Data!$DN515,'Data_Price '!$AT$2:$AT$1266,0))</f>
        <v/>
      </c>
      <c r="DE515">
        <f>INDEX('Data_Price '!AN$2:AN$1266,MATCH(Data!$DN515,'Data_Price '!$AT$2:$AT$1266,0))</f>
        <v/>
      </c>
      <c r="DF515">
        <f>INDEX('Data_Price '!AO$2:AO$1266,MATCH(Data!$DN515,'Data_Price '!$AT$2:$AT$1266,0))</f>
        <v/>
      </c>
      <c r="DG515">
        <f>INDEX('Data_Price '!AP$2:AP$1266,MATCH(Data!$DN515,'Data_Price '!$AT$2:$AT$1266,0))</f>
        <v/>
      </c>
      <c r="DH515">
        <f>INDEX('Data_Price '!AQ$2:AQ$1266,MATCH(Data!$DN515,'Data_Price '!$AT$2:$AT$1266,0))</f>
        <v/>
      </c>
      <c r="DI515">
        <f>INDEX('Data_Price '!AR$2:AR$1266,MATCH(Data!$DN515,'Data_Price '!$AT$2:$AT$1266,0))</f>
        <v/>
      </c>
      <c r="DJ515" s="138">
        <f>DA515</f>
        <v/>
      </c>
      <c r="DK515" s="138">
        <f>DE515</f>
        <v/>
      </c>
      <c r="DL515" s="138">
        <f>DI515</f>
        <v/>
      </c>
      <c r="DM515" s="303">
        <f>IF(LEFT(BT515,1)=" ",RIGHT(BT515,LEN(BT515)-1),BT515)</f>
        <v/>
      </c>
      <c r="DN515" s="138">
        <f>_xlfn.CONCAT(BS515,DM515,BU515,BV515)</f>
        <v/>
      </c>
      <c r="DO515" s="307" t="inlineStr">
        <is>
          <t>https://images.evo.com/imgp/250/201401/832750/clone.jpg</t>
        </is>
      </c>
    </row>
    <row r="516" ht="15.6" customHeight="1" s="184">
      <c r="B516" s="303">
        <f t="array" ref="B516">IF(OR(ISERROR(K516:P516)),FALSE,TRUE)</f>
        <v/>
      </c>
      <c r="C516" s="60">
        <f>OR(BR516=Driver!$G$50,Data!BR575=Driver!$H$50)</f>
        <v/>
      </c>
      <c r="D516" s="60">
        <f>OR(BV516=Driver!$G$51,BV516=Driver!$H$51)</f>
        <v/>
      </c>
      <c r="E516" s="60">
        <f>AND(BX516&gt;Driver!$F$54,BX516&lt;Driver!$G$54)</f>
        <v/>
      </c>
      <c r="F516" s="60">
        <f>CL516&gt;Driver!$F$56</f>
        <v/>
      </c>
      <c r="G516" s="60">
        <f>AND(CB516&gt;Driver!$F$55,CB516&lt;Driver!$G$55)</f>
        <v/>
      </c>
      <c r="H516" s="60">
        <f>AND(B516:G516)</f>
        <v/>
      </c>
      <c r="I516" s="60">
        <f>COUNTIFS($H$9:$H$1273,TRUE,$BT$9:$BT$1273,BT516)</f>
        <v/>
      </c>
      <c r="J516" s="60">
        <f t="array" ref="J516">NOT(OR(($H$9:$H$1273=TRUE)*($I$9:$I$1273&gt;0)*($BT$9:$BT$1273=BT516)*($K$9:$K$1273&gt;K516)))</f>
        <v/>
      </c>
      <c r="K516" s="108">
        <f>IFERROR(1-AVERAGE(X516:Y516),"")</f>
        <v/>
      </c>
      <c r="L516" s="108">
        <f>1-X516</f>
        <v/>
      </c>
      <c r="M516" s="108">
        <f>1-Y516</f>
        <v/>
      </c>
      <c r="N516" s="108">
        <f>1-Z516</f>
        <v/>
      </c>
      <c r="O516" s="108">
        <f>1-AA516</f>
        <v/>
      </c>
      <c r="P516" s="108">
        <f>1-AB516</f>
        <v/>
      </c>
      <c r="Q516" s="108" t="n"/>
      <c r="R516" s="108" t="n"/>
      <c r="S516" s="108">
        <f>1-AE516</f>
        <v/>
      </c>
      <c r="T516" s="108">
        <f>1-AF516</f>
        <v/>
      </c>
      <c r="U516" s="108">
        <f>1-AG516</f>
        <v/>
      </c>
      <c r="V516" s="108">
        <f>1-AH516</f>
        <v/>
      </c>
      <c r="W516" s="108">
        <f>1-AI516</f>
        <v/>
      </c>
      <c r="X516" s="108">
        <f>ABS(AJ516-AJ$1)</f>
        <v/>
      </c>
      <c r="Y516" s="108">
        <f>AVERAGE(Z516:AB516)</f>
        <v/>
      </c>
      <c r="Z516" s="108">
        <f>ABS(AL516-AL$1)</f>
        <v/>
      </c>
      <c r="AA516" s="108">
        <f>ABS(AM516-AM$1)</f>
        <v/>
      </c>
      <c r="AB516" s="108">
        <f>ABS(AN516-AN$1)</f>
        <v/>
      </c>
      <c r="AC516" s="108" t="n"/>
      <c r="AD516" s="108" t="n"/>
      <c r="AE516" s="108">
        <f>ABS(AQ$1-AQ516)</f>
        <v/>
      </c>
      <c r="AF516" s="108">
        <f>ABS(AR$1-AR516)</f>
        <v/>
      </c>
      <c r="AG516" s="108">
        <f>ABS(AS$1-AS516)</f>
        <v/>
      </c>
      <c r="AH516" s="108">
        <f>ABS(AT$1-AT516)</f>
        <v/>
      </c>
      <c r="AI516" s="108">
        <f>ABS(AU$1-AU516)</f>
        <v/>
      </c>
      <c r="AJ516" s="108">
        <f>(AV516-Driver!$K$179)/(Driver!$L$179-Driver!$K$179)</f>
        <v/>
      </c>
      <c r="AK516" s="108">
        <f>(AW516-Driver!$K$180)/(Driver!$L$180-Driver!$K$180)</f>
        <v/>
      </c>
      <c r="AL516" s="108">
        <f>(AX516-Driver!$K$181)/(Driver!$L$181-Driver!$K$181)</f>
        <v/>
      </c>
      <c r="AM516" s="108">
        <f>(AY516-Driver!$K$182)/(Driver!$L$182-Driver!$K$182)</f>
        <v/>
      </c>
      <c r="AN516" s="108">
        <f>(AZ516-Driver!$K$183)/(Driver!$L$183-Driver!$K$183)</f>
        <v/>
      </c>
      <c r="AO516" s="108" t="n"/>
      <c r="AP516" s="108" t="n"/>
      <c r="AQ516" s="108">
        <f>(BC516-Driver!$K$188)/(Driver!$L$188-Driver!$K$188)</f>
        <v/>
      </c>
      <c r="AR516" s="108">
        <f>MIN((BD516-Driver!$K$189)/(Driver!$L$189-Driver!$K$189),100%)</f>
        <v/>
      </c>
      <c r="AS516" s="108">
        <f>(BE516-Driver!$K$190)/(Driver!$L$190-Driver!$K$190)</f>
        <v/>
      </c>
      <c r="AT516" s="108">
        <f>(BF516-Driver!$K$191)/(Driver!$L$191-Driver!$K$191)</f>
        <v/>
      </c>
      <c r="AU516" s="108">
        <f>(BG516-Driver!$K$192)/(Driver!$L$192-Driver!$K$192)</f>
        <v/>
      </c>
      <c r="AV516" s="105">
        <f>IFERROR(BM516*BJ516^1/4,"")</f>
        <v/>
      </c>
      <c r="AW516" s="105">
        <f>IFERROR(SUM(AX516:AZ516),"")</f>
        <v/>
      </c>
      <c r="AX516" s="105">
        <f>IFERROR(BH516,"")</f>
        <v/>
      </c>
      <c r="AY516" s="105">
        <f>IFERROR(Driver!$K$19/Data!BH516/Data!BI516*Data!BK516*Data!BL516,"")</f>
        <v/>
      </c>
      <c r="AZ516" s="105">
        <f>IFERROR(BI516*BN516,"")</f>
        <v/>
      </c>
      <c r="BA516" s="105" t="n"/>
      <c r="BB516" s="105" t="n"/>
      <c r="BC516" s="105">
        <f>IFERROR(BI516*BN516*BK516/BJ516^(1/2),"")</f>
        <v/>
      </c>
      <c r="BD516" s="105">
        <f>IFERROR(BH516*BM516*BL516/BJ516/BK516,"")</f>
        <v/>
      </c>
      <c r="BE516" s="105">
        <f>IFERROR(MIN(BI516/BQ516/BP516/BO516/BH516,$BE$1),"")</f>
        <v/>
      </c>
      <c r="BF516" s="105">
        <f>IFERROR(BJ516*BO516*BP516/BK516,"")</f>
        <v/>
      </c>
      <c r="BG516" s="105">
        <f>IFERROR(1/BM516/BH516*BQ516,"")</f>
        <v/>
      </c>
      <c r="BH516" s="102">
        <f>MAX((CE516-Driver!$F$200)/(Driver!$G$200-Driver!$F$200)*$BI$1,1)</f>
        <v/>
      </c>
      <c r="BI516" s="102">
        <f>MAX($BI$1*(BY516-Driver!$F$201)/(Driver!$G$201-Driver!$F$201),1)</f>
        <v/>
      </c>
      <c r="BJ516" s="102">
        <f>(CB516-Driver!$F$206)/(Driver!$G$206-Driver!$F$206)*$BI$1</f>
        <v/>
      </c>
      <c r="BK516" s="102">
        <f>(CD516-Driver!$F$203)/(Driver!$G$203-Driver!$F$203)*$BI$1</f>
        <v/>
      </c>
      <c r="BL516" s="102">
        <f>MAX((CR516-Driver!$F$202)/(Driver!$G$202-Driver!$F$202)*$BI$1,1)</f>
        <v/>
      </c>
      <c r="BM516" s="102">
        <f>MAX((CH516-Driver!$F$204)/(Driver!$G$204-Driver!$F$204)*$BI$1,1)</f>
        <v/>
      </c>
      <c r="BN516" s="102">
        <f>(CI516-Driver!$F$205)/(Driver!$G$205-Driver!$F$205)*$BI$1</f>
        <v/>
      </c>
      <c r="BO516" s="102">
        <f>(CK516-Driver!$F$207)/(Driver!$G$207-Driver!$F$207)*$BI$1</f>
        <v/>
      </c>
      <c r="BP516" s="102">
        <f>(CM516-Driver!$F$208)/(Driver!$G$208-Driver!$F$208)*$BI$1</f>
        <v/>
      </c>
      <c r="BQ516" s="102">
        <f>(CL516-Driver!$F$209)/(Driver!$G$209-Driver!$F$209)*$BI$1</f>
        <v/>
      </c>
      <c r="BR516" s="40" t="inlineStr">
        <is>
          <t>21/22</t>
        </is>
      </c>
      <c r="BS516" s="10" t="inlineStr">
        <is>
          <t xml:space="preserve"> Fischer</t>
        </is>
      </c>
      <c r="BT516" s="11" t="inlineStr">
        <is>
          <t>Ranger 92 Ti</t>
        </is>
      </c>
      <c r="BU516" s="13" t="n">
        <v>178</v>
      </c>
      <c r="BV516" s="11" t="inlineStr">
        <is>
          <t xml:space="preserve"> Unisex</t>
        </is>
      </c>
      <c r="BW516" s="13" t="n">
        <v>178</v>
      </c>
      <c r="BX516" s="13" t="n">
        <v>177.5</v>
      </c>
      <c r="BY516" s="13" t="n">
        <v>125</v>
      </c>
      <c r="BZ516" s="13" t="n">
        <v>151</v>
      </c>
      <c r="CA516" s="13" t="n">
        <v>125</v>
      </c>
      <c r="CB516" s="13" t="n">
        <v>90</v>
      </c>
      <c r="CC516" s="13" t="n">
        <v>116</v>
      </c>
      <c r="CD516" s="13" t="n">
        <v>15.5</v>
      </c>
      <c r="CE516" s="13" t="n">
        <v>1775</v>
      </c>
      <c r="CF516" s="13" t="n">
        <v>1.04</v>
      </c>
      <c r="CG516" s="13" t="n">
        <v>1839</v>
      </c>
      <c r="CH516" s="13" t="n">
        <v>228</v>
      </c>
      <c r="CI516" s="13" t="n">
        <v>127</v>
      </c>
      <c r="CJ516" s="13" t="n">
        <v>48</v>
      </c>
      <c r="CK516" s="13" t="n">
        <v>304</v>
      </c>
      <c r="CL516" s="13" t="n">
        <v>15</v>
      </c>
      <c r="CM516" s="13" t="n">
        <v>220</v>
      </c>
      <c r="CN516" s="13" t="n">
        <v>0.317</v>
      </c>
      <c r="CO516" s="13" t="n">
        <v>135</v>
      </c>
      <c r="CP516" s="13" t="n">
        <v>133</v>
      </c>
      <c r="CQ516" s="13" t="n">
        <v>170</v>
      </c>
      <c r="CR516" s="13" t="n">
        <v>4</v>
      </c>
      <c r="CS516" s="13" t="n">
        <v>8.4</v>
      </c>
      <c r="CT516" s="11" t="inlineStr">
        <is>
          <t xml:space="preserve"> Resort Freeride</t>
        </is>
      </c>
      <c r="CU516" s="13" t="n"/>
      <c r="CV516" s="13" t="n"/>
      <c r="CW516" s="13" t="n"/>
      <c r="CX516">
        <f>INDEX('Data_Price '!AG$2:AG$1266,MATCH(Data!$DN516,'Data_Price '!$AT$2:$AT$1266,0))</f>
        <v/>
      </c>
      <c r="CY516">
        <f>INDEX('Data_Price '!AH$2:AH$1266,MATCH(Data!$DN516,'Data_Price '!$AT$2:$AT$1266,0))</f>
        <v/>
      </c>
      <c r="CZ516">
        <f>INDEX('Data_Price '!AI$2:AI$1266,MATCH(Data!$DN516,'Data_Price '!$AT$2:$AT$1266,0))</f>
        <v/>
      </c>
      <c r="DA516">
        <f>INDEX('Data_Price '!AJ$2:AJ$1266,MATCH(Data!$DN516,'Data_Price '!$AT$2:$AT$1266,0))</f>
        <v/>
      </c>
      <c r="DB516">
        <f>INDEX('Data_Price '!AK$2:AK$1266,MATCH(Data!$DN516,'Data_Price '!$AT$2:$AT$1266,0))</f>
        <v/>
      </c>
      <c r="DC516">
        <f>INDEX('Data_Price '!AL$2:AL$1266,MATCH(Data!$DN516,'Data_Price '!$AT$2:$AT$1266,0))</f>
        <v/>
      </c>
      <c r="DD516">
        <f>INDEX('Data_Price '!AM$2:AM$1266,MATCH(Data!$DN516,'Data_Price '!$AT$2:$AT$1266,0))</f>
        <v/>
      </c>
      <c r="DE516">
        <f>INDEX('Data_Price '!AN$2:AN$1266,MATCH(Data!$DN516,'Data_Price '!$AT$2:$AT$1266,0))</f>
        <v/>
      </c>
      <c r="DF516">
        <f>INDEX('Data_Price '!AO$2:AO$1266,MATCH(Data!$DN516,'Data_Price '!$AT$2:$AT$1266,0))</f>
        <v/>
      </c>
      <c r="DG516">
        <f>INDEX('Data_Price '!AP$2:AP$1266,MATCH(Data!$DN516,'Data_Price '!$AT$2:$AT$1266,0))</f>
        <v/>
      </c>
      <c r="DH516">
        <f>INDEX('Data_Price '!AQ$2:AQ$1266,MATCH(Data!$DN516,'Data_Price '!$AT$2:$AT$1266,0))</f>
        <v/>
      </c>
      <c r="DI516">
        <f>INDEX('Data_Price '!AR$2:AR$1266,MATCH(Data!$DN516,'Data_Price '!$AT$2:$AT$1266,0))</f>
        <v/>
      </c>
      <c r="DJ516" s="138">
        <f>DA516</f>
        <v/>
      </c>
      <c r="DK516" s="138">
        <f>DE516</f>
        <v/>
      </c>
      <c r="DL516" s="138">
        <f>DI516</f>
        <v/>
      </c>
      <c r="DM516" s="303">
        <f>IF(LEFT(BT516,1)=" ",RIGHT(BT516,LEN(BT516)-1),BT516)</f>
        <v/>
      </c>
      <c r="DN516" s="138">
        <f>_xlfn.CONCAT(BS516,DM516,BU516,BV516)</f>
        <v/>
      </c>
      <c r="DO516" s="307" t="n"/>
    </row>
    <row r="517" ht="15.6" customHeight="1" s="184">
      <c r="B517" s="303">
        <f t="array" ref="B517">IF(OR(ISERROR(K517:P517)),FALSE,TRUE)</f>
        <v/>
      </c>
      <c r="C517" s="60">
        <f>OR(BR517=Driver!$G$50,Data!BR676=Driver!$H$50)</f>
        <v/>
      </c>
      <c r="D517" s="60">
        <f>OR(BV517=Driver!$G$51,BV517=Driver!$H$51)</f>
        <v/>
      </c>
      <c r="E517" s="60">
        <f>AND(BX517&gt;Driver!$F$54,BX517&lt;Driver!$G$54)</f>
        <v/>
      </c>
      <c r="F517" s="60">
        <f>CL517&gt;Driver!$F$56</f>
        <v/>
      </c>
      <c r="G517" s="60">
        <f>AND(CB517&gt;Driver!$F$55,CB517&lt;Driver!$G$55)</f>
        <v/>
      </c>
      <c r="H517" s="60">
        <f>AND(B517:G517)</f>
        <v/>
      </c>
      <c r="I517" s="60">
        <f>COUNTIFS($H$9:$H$1273,TRUE,$BT$9:$BT$1273,BT517)</f>
        <v/>
      </c>
      <c r="J517" s="60">
        <f t="array" ref="J517">NOT(OR(($H$9:$H$1273=TRUE)*($I$9:$I$1273&gt;0)*($BT$9:$BT$1273=BT517)*($K$9:$K$1273&gt;K517)))</f>
        <v/>
      </c>
      <c r="K517" s="108">
        <f>IFERROR(1-AVERAGE(X517:Y517),"")</f>
        <v/>
      </c>
      <c r="L517" s="108">
        <f>1-X517</f>
        <v/>
      </c>
      <c r="M517" s="108">
        <f>1-Y517</f>
        <v/>
      </c>
      <c r="N517" s="108">
        <f>1-Z517</f>
        <v/>
      </c>
      <c r="O517" s="108">
        <f>1-AA517</f>
        <v/>
      </c>
      <c r="P517" s="108">
        <f>1-AB517</f>
        <v/>
      </c>
      <c r="Q517" s="108" t="n"/>
      <c r="R517" s="108" t="n"/>
      <c r="S517" s="108">
        <f>1-AE517</f>
        <v/>
      </c>
      <c r="T517" s="108">
        <f>1-AF517</f>
        <v/>
      </c>
      <c r="U517" s="108">
        <f>1-AG517</f>
        <v/>
      </c>
      <c r="V517" s="108">
        <f>1-AH517</f>
        <v/>
      </c>
      <c r="W517" s="108">
        <f>1-AI517</f>
        <v/>
      </c>
      <c r="X517" s="108">
        <f>ABS(AJ517-AJ$1)</f>
        <v/>
      </c>
      <c r="Y517" s="108">
        <f>AVERAGE(Z517:AB517)</f>
        <v/>
      </c>
      <c r="Z517" s="108">
        <f>ABS(AL517-AL$1)</f>
        <v/>
      </c>
      <c r="AA517" s="108">
        <f>ABS(AM517-AM$1)</f>
        <v/>
      </c>
      <c r="AB517" s="108">
        <f>ABS(AN517-AN$1)</f>
        <v/>
      </c>
      <c r="AC517" s="108" t="n"/>
      <c r="AD517" s="108" t="n"/>
      <c r="AE517" s="108">
        <f>ABS(AQ$1-AQ517)</f>
        <v/>
      </c>
      <c r="AF517" s="108">
        <f>ABS(AR$1-AR517)</f>
        <v/>
      </c>
      <c r="AG517" s="108">
        <f>ABS(AS$1-AS517)</f>
        <v/>
      </c>
      <c r="AH517" s="108">
        <f>ABS(AT$1-AT517)</f>
        <v/>
      </c>
      <c r="AI517" s="108">
        <f>ABS(AU$1-AU517)</f>
        <v/>
      </c>
      <c r="AJ517" s="108">
        <f>(AV517-Driver!$K$179)/(Driver!$L$179-Driver!$K$179)</f>
        <v/>
      </c>
      <c r="AK517" s="108">
        <f>(AW517-Driver!$K$180)/(Driver!$L$180-Driver!$K$180)</f>
        <v/>
      </c>
      <c r="AL517" s="108">
        <f>(AX517-Driver!$K$181)/(Driver!$L$181-Driver!$K$181)</f>
        <v/>
      </c>
      <c r="AM517" s="108">
        <f>(AY517-Driver!$K$182)/(Driver!$L$182-Driver!$K$182)</f>
        <v/>
      </c>
      <c r="AN517" s="108">
        <f>(AZ517-Driver!$K$183)/(Driver!$L$183-Driver!$K$183)</f>
        <v/>
      </c>
      <c r="AO517" s="108" t="n"/>
      <c r="AP517" s="108" t="n"/>
      <c r="AQ517" s="108">
        <f>(BC517-Driver!$K$188)/(Driver!$L$188-Driver!$K$188)</f>
        <v/>
      </c>
      <c r="AR517" s="108">
        <f>MIN((BD517-Driver!$K$189)/(Driver!$L$189-Driver!$K$189),100%)</f>
        <v/>
      </c>
      <c r="AS517" s="108">
        <f>(BE517-Driver!$K$190)/(Driver!$L$190-Driver!$K$190)</f>
        <v/>
      </c>
      <c r="AT517" s="108">
        <f>(BF517-Driver!$K$191)/(Driver!$L$191-Driver!$K$191)</f>
        <v/>
      </c>
      <c r="AU517" s="108">
        <f>(BG517-Driver!$K$192)/(Driver!$L$192-Driver!$K$192)</f>
        <v/>
      </c>
      <c r="AV517" s="105">
        <f>IFERROR(BM517*BJ517^1/4,"")</f>
        <v/>
      </c>
      <c r="AW517" s="105">
        <f>IFERROR(SUM(AX517:AZ517),"")</f>
        <v/>
      </c>
      <c r="AX517" s="105">
        <f>IFERROR(BH517,"")</f>
        <v/>
      </c>
      <c r="AY517" s="105">
        <f>IFERROR(Driver!$K$19/Data!BH517/Data!BI517*Data!BK517*Data!BL517,"")</f>
        <v/>
      </c>
      <c r="AZ517" s="105">
        <f>IFERROR(BI517*BN517,"")</f>
        <v/>
      </c>
      <c r="BA517" s="105" t="n"/>
      <c r="BB517" s="105" t="n"/>
      <c r="BC517" s="105">
        <f>IFERROR(BI517*BN517*BK517/BJ517^(1/2),"")</f>
        <v/>
      </c>
      <c r="BD517" s="105">
        <f>IFERROR(BH517*BM517*BL517/BJ517/BK517,"")</f>
        <v/>
      </c>
      <c r="BE517" s="105">
        <f>IFERROR(MIN(BI517/BQ517/BP517/BO517/BH517,$BE$1),"")</f>
        <v/>
      </c>
      <c r="BF517" s="105">
        <f>IFERROR(BJ517*BO517*BP517/BK517,"")</f>
        <v/>
      </c>
      <c r="BG517" s="105">
        <f>IFERROR(1/BM517/BH517*BQ517,"")</f>
        <v/>
      </c>
      <c r="BH517" s="102">
        <f>MAX((CE517-Driver!$F$200)/(Driver!$G$200-Driver!$F$200)*$BI$1,1)</f>
        <v/>
      </c>
      <c r="BI517" s="102">
        <f>MAX($BI$1*(BY517-Driver!$F$201)/(Driver!$G$201-Driver!$F$201),1)</f>
        <v/>
      </c>
      <c r="BJ517" s="102">
        <f>(CB517-Driver!$F$206)/(Driver!$G$206-Driver!$F$206)*$BI$1</f>
        <v/>
      </c>
      <c r="BK517" s="102">
        <f>(CD517-Driver!$F$203)/(Driver!$G$203-Driver!$F$203)*$BI$1</f>
        <v/>
      </c>
      <c r="BL517" s="102">
        <f>MAX((CR517-Driver!$F$202)/(Driver!$G$202-Driver!$F$202)*$BI$1,1)</f>
        <v/>
      </c>
      <c r="BM517" s="102">
        <f>MAX((CH517-Driver!$F$204)/(Driver!$G$204-Driver!$F$204)*$BI$1,1)</f>
        <v/>
      </c>
      <c r="BN517" s="102">
        <f>(CI517-Driver!$F$205)/(Driver!$G$205-Driver!$F$205)*$BI$1</f>
        <v/>
      </c>
      <c r="BO517" s="102">
        <f>(CK517-Driver!$F$207)/(Driver!$G$207-Driver!$F$207)*$BI$1</f>
        <v/>
      </c>
      <c r="BP517" s="102">
        <f>(CM517-Driver!$F$208)/(Driver!$G$208-Driver!$F$208)*$BI$1</f>
        <v/>
      </c>
      <c r="BQ517" s="102">
        <f>(CL517-Driver!$F$209)/(Driver!$G$209-Driver!$F$209)*$BI$1</f>
        <v/>
      </c>
      <c r="BR517" s="40" t="inlineStr">
        <is>
          <t>21/22</t>
        </is>
      </c>
      <c r="BS517" s="10" t="inlineStr">
        <is>
          <t xml:space="preserve"> Icelantic</t>
        </is>
      </c>
      <c r="BT517" s="11" t="inlineStr">
        <is>
          <t>Natural 101</t>
        </is>
      </c>
      <c r="BU517" s="13" t="n">
        <v>178</v>
      </c>
      <c r="BV517" s="11" t="inlineStr">
        <is>
          <t xml:space="preserve"> Unisex</t>
        </is>
      </c>
      <c r="BW517" s="13" t="n">
        <v>178</v>
      </c>
      <c r="BX517" s="13" t="n">
        <v>176.2</v>
      </c>
      <c r="BY517" s="13" t="n">
        <v>128</v>
      </c>
      <c r="BZ517" s="13" t="n">
        <v>142</v>
      </c>
      <c r="CA517" s="13" t="n">
        <v>132</v>
      </c>
      <c r="CB517" s="13" t="n">
        <v>100</v>
      </c>
      <c r="CC517" s="13" t="n">
        <v>117</v>
      </c>
      <c r="CD517" s="13" t="n">
        <v>20.6</v>
      </c>
      <c r="CE517" s="13" t="n">
        <v>1873</v>
      </c>
      <c r="CF517" s="13" t="n">
        <v>1.03</v>
      </c>
      <c r="CG517" s="13" t="n">
        <v>1937</v>
      </c>
      <c r="CH517" s="13" t="n">
        <v>262</v>
      </c>
      <c r="CI517" s="13" t="n">
        <v>113</v>
      </c>
      <c r="CJ517" s="13" t="n">
        <v>58</v>
      </c>
      <c r="CK517" s="13" t="n">
        <v>319</v>
      </c>
      <c r="CL517" s="13" t="n">
        <v>24</v>
      </c>
      <c r="CM517" s="13" t="n">
        <v>168</v>
      </c>
      <c r="CN517" s="13" t="n">
        <v>0.414</v>
      </c>
      <c r="CO517" s="13" t="n">
        <v>240</v>
      </c>
      <c r="CP517" s="13" t="n">
        <v>101</v>
      </c>
      <c r="CQ517" s="13" t="n">
        <v>79</v>
      </c>
      <c r="CR517" s="13" t="n">
        <v>6</v>
      </c>
      <c r="CS517" s="13" t="n">
        <v>8.800000000000001</v>
      </c>
      <c r="CT517" s="11" t="inlineStr">
        <is>
          <t xml:space="preserve"> Resort Freeride</t>
        </is>
      </c>
      <c r="CU517" s="11" t="inlineStr">
        <is>
          <t xml:space="preserve"> Powder</t>
        </is>
      </c>
      <c r="CV517" s="13" t="n"/>
      <c r="CW517" s="13" t="n"/>
      <c r="CX517">
        <f>INDEX('Data_Price '!AG$2:AG$1266,MATCH(Data!$DN517,'Data_Price '!$AT$2:$AT$1266,0))</f>
        <v/>
      </c>
      <c r="CY517">
        <f>INDEX('Data_Price '!AH$2:AH$1266,MATCH(Data!$DN517,'Data_Price '!$AT$2:$AT$1266,0))</f>
        <v/>
      </c>
      <c r="CZ517">
        <f>INDEX('Data_Price '!AI$2:AI$1266,MATCH(Data!$DN517,'Data_Price '!$AT$2:$AT$1266,0))</f>
        <v/>
      </c>
      <c r="DA517">
        <f>INDEX('Data_Price '!AJ$2:AJ$1266,MATCH(Data!$DN517,'Data_Price '!$AT$2:$AT$1266,0))</f>
        <v/>
      </c>
      <c r="DB517">
        <f>INDEX('Data_Price '!AK$2:AK$1266,MATCH(Data!$DN517,'Data_Price '!$AT$2:$AT$1266,0))</f>
        <v/>
      </c>
      <c r="DC517">
        <f>INDEX('Data_Price '!AL$2:AL$1266,MATCH(Data!$DN517,'Data_Price '!$AT$2:$AT$1266,0))</f>
        <v/>
      </c>
      <c r="DD517">
        <f>INDEX('Data_Price '!AM$2:AM$1266,MATCH(Data!$DN517,'Data_Price '!$AT$2:$AT$1266,0))</f>
        <v/>
      </c>
      <c r="DE517">
        <f>INDEX('Data_Price '!AN$2:AN$1266,MATCH(Data!$DN517,'Data_Price '!$AT$2:$AT$1266,0))</f>
        <v/>
      </c>
      <c r="DF517">
        <f>INDEX('Data_Price '!AO$2:AO$1266,MATCH(Data!$DN517,'Data_Price '!$AT$2:$AT$1266,0))</f>
        <v/>
      </c>
      <c r="DG517">
        <f>INDEX('Data_Price '!AP$2:AP$1266,MATCH(Data!$DN517,'Data_Price '!$AT$2:$AT$1266,0))</f>
        <v/>
      </c>
      <c r="DH517">
        <f>INDEX('Data_Price '!AQ$2:AQ$1266,MATCH(Data!$DN517,'Data_Price '!$AT$2:$AT$1266,0))</f>
        <v/>
      </c>
      <c r="DI517">
        <f>INDEX('Data_Price '!AR$2:AR$1266,MATCH(Data!$DN517,'Data_Price '!$AT$2:$AT$1266,0))</f>
        <v/>
      </c>
      <c r="DJ517" s="138">
        <f>DA517</f>
        <v/>
      </c>
      <c r="DK517" s="138">
        <f>DE517</f>
        <v/>
      </c>
      <c r="DL517" s="138">
        <f>DI517</f>
        <v/>
      </c>
      <c r="DM517" s="303">
        <f>IF(LEFT(BT517,1)=" ",RIGHT(BT517,LEN(BT517)-1),BT517)</f>
        <v/>
      </c>
      <c r="DN517" s="138">
        <f>_xlfn.CONCAT(BS517,DM517,BU517,BV517)</f>
        <v/>
      </c>
      <c r="DO517" s="307" t="inlineStr">
        <is>
          <t>https://images.evo.com/imgp/250/208408/833108/icelantic-natural-101-skis-2022-.jpg</t>
        </is>
      </c>
    </row>
    <row r="518" ht="15.6" customHeight="1" s="184">
      <c r="B518" s="303">
        <f t="array" ref="B518">IF(OR(ISERROR(K518:P518)),FALSE,TRUE)</f>
        <v/>
      </c>
      <c r="C518" s="60">
        <f>OR(BR518=Driver!$G$50,Data!BR386=Driver!$H$50)</f>
        <v/>
      </c>
      <c r="D518" s="60">
        <f>OR(BV518=Driver!$G$51,BV518=Driver!$H$51)</f>
        <v/>
      </c>
      <c r="E518" s="60">
        <f>AND(BX518&gt;Driver!$F$54,BX518&lt;Driver!$G$54)</f>
        <v/>
      </c>
      <c r="F518" s="60">
        <f>CL518&gt;Driver!$F$56</f>
        <v/>
      </c>
      <c r="G518" s="60">
        <f>AND(CB518&gt;Driver!$F$55,CB518&lt;Driver!$G$55)</f>
        <v/>
      </c>
      <c r="H518" s="60">
        <f>AND(B518:G518)</f>
        <v/>
      </c>
      <c r="I518" s="60">
        <f>COUNTIFS($H$9:$H$1273,TRUE,$BT$9:$BT$1273,BT518)</f>
        <v/>
      </c>
      <c r="J518" s="60">
        <f t="array" ref="J518">NOT(OR(($H$9:$H$1273=TRUE)*($I$9:$I$1273&gt;0)*($BT$9:$BT$1273=BT518)*($K$9:$K$1273&gt;K518)))</f>
        <v/>
      </c>
      <c r="K518" s="108">
        <f>IFERROR(1-AVERAGE(X518:Y518),"")</f>
        <v/>
      </c>
      <c r="L518" s="108">
        <f>1-X518</f>
        <v/>
      </c>
      <c r="M518" s="108">
        <f>1-Y518</f>
        <v/>
      </c>
      <c r="N518" s="108">
        <f>1-Z518</f>
        <v/>
      </c>
      <c r="O518" s="108">
        <f>1-AA518</f>
        <v/>
      </c>
      <c r="P518" s="108">
        <f>1-AB518</f>
        <v/>
      </c>
      <c r="Q518" s="108" t="n"/>
      <c r="R518" s="108" t="n"/>
      <c r="S518" s="108">
        <f>1-AE518</f>
        <v/>
      </c>
      <c r="T518" s="108">
        <f>1-AF518</f>
        <v/>
      </c>
      <c r="U518" s="108">
        <f>1-AG518</f>
        <v/>
      </c>
      <c r="V518" s="108">
        <f>1-AH518</f>
        <v/>
      </c>
      <c r="W518" s="108">
        <f>1-AI518</f>
        <v/>
      </c>
      <c r="X518" s="108">
        <f>ABS(AJ518-AJ$1)</f>
        <v/>
      </c>
      <c r="Y518" s="108">
        <f>AVERAGE(Z518:AB518)</f>
        <v/>
      </c>
      <c r="Z518" s="108">
        <f>ABS(AL518-AL$1)</f>
        <v/>
      </c>
      <c r="AA518" s="108">
        <f>ABS(AM518-AM$1)</f>
        <v/>
      </c>
      <c r="AB518" s="108">
        <f>ABS(AN518-AN$1)</f>
        <v/>
      </c>
      <c r="AC518" s="108" t="n"/>
      <c r="AD518" s="108" t="n"/>
      <c r="AE518" s="108">
        <f>ABS(AQ$1-AQ518)</f>
        <v/>
      </c>
      <c r="AF518" s="108">
        <f>ABS(AR$1-AR518)</f>
        <v/>
      </c>
      <c r="AG518" s="108">
        <f>ABS(AS$1-AS518)</f>
        <v/>
      </c>
      <c r="AH518" s="108">
        <f>ABS(AT$1-AT518)</f>
        <v/>
      </c>
      <c r="AI518" s="108">
        <f>ABS(AU$1-AU518)</f>
        <v/>
      </c>
      <c r="AJ518" s="108">
        <f>(AV518-Driver!$K$179)/(Driver!$L$179-Driver!$K$179)</f>
        <v/>
      </c>
      <c r="AK518" s="108">
        <f>(AW518-Driver!$K$180)/(Driver!$L$180-Driver!$K$180)</f>
        <v/>
      </c>
      <c r="AL518" s="108">
        <f>(AX518-Driver!$K$181)/(Driver!$L$181-Driver!$K$181)</f>
        <v/>
      </c>
      <c r="AM518" s="108">
        <f>(AY518-Driver!$K$182)/(Driver!$L$182-Driver!$K$182)</f>
        <v/>
      </c>
      <c r="AN518" s="108">
        <f>(AZ518-Driver!$K$183)/(Driver!$L$183-Driver!$K$183)</f>
        <v/>
      </c>
      <c r="AO518" s="108" t="n"/>
      <c r="AP518" s="108" t="n"/>
      <c r="AQ518" s="108">
        <f>(BC518-Driver!$K$188)/(Driver!$L$188-Driver!$K$188)</f>
        <v/>
      </c>
      <c r="AR518" s="108">
        <f>MIN((BD518-Driver!$K$189)/(Driver!$L$189-Driver!$K$189),100%)</f>
        <v/>
      </c>
      <c r="AS518" s="108">
        <f>(BE518-Driver!$K$190)/(Driver!$L$190-Driver!$K$190)</f>
        <v/>
      </c>
      <c r="AT518" s="108">
        <f>(BF518-Driver!$K$191)/(Driver!$L$191-Driver!$K$191)</f>
        <v/>
      </c>
      <c r="AU518" s="108">
        <f>(BG518-Driver!$K$192)/(Driver!$L$192-Driver!$K$192)</f>
        <v/>
      </c>
      <c r="AV518" s="105">
        <f>IFERROR(BM518*BJ518^1/4,"")</f>
        <v/>
      </c>
      <c r="AW518" s="105">
        <f>IFERROR(SUM(AX518:AZ518),"")</f>
        <v/>
      </c>
      <c r="AX518" s="105">
        <f>IFERROR(BH518,"")</f>
        <v/>
      </c>
      <c r="AY518" s="105">
        <f>IFERROR(Driver!$K$19/Data!BH518/Data!BI518*Data!BK518*Data!BL518,"")</f>
        <v/>
      </c>
      <c r="AZ518" s="105">
        <f>IFERROR(BI518*BN518,"")</f>
        <v/>
      </c>
      <c r="BA518" s="105" t="n"/>
      <c r="BB518" s="105" t="n"/>
      <c r="BC518" s="105">
        <f>IFERROR(BI518*BN518*BK518/BJ518^(1/2),"")</f>
        <v/>
      </c>
      <c r="BD518" s="105">
        <f>IFERROR(BH518*BM518*BL518/BJ518/BK518,"")</f>
        <v/>
      </c>
      <c r="BE518" s="105">
        <f>IFERROR(MIN(BI518/BQ518/BP518/BO518/BH518,$BE$1),"")</f>
        <v/>
      </c>
      <c r="BF518" s="105">
        <f>IFERROR(BJ518*BO518*BP518/BK518,"")</f>
        <v/>
      </c>
      <c r="BG518" s="105">
        <f>IFERROR(1/BM518/BH518*BQ518,"")</f>
        <v/>
      </c>
      <c r="BH518" s="102">
        <f>MAX((CE518-Driver!$F$200)/(Driver!$G$200-Driver!$F$200)*$BI$1,1)</f>
        <v/>
      </c>
      <c r="BI518" s="102">
        <f>MAX($BI$1*(BY518-Driver!$F$201)/(Driver!$G$201-Driver!$F$201),1)</f>
        <v/>
      </c>
      <c r="BJ518" s="102">
        <f>(CB518-Driver!$F$206)/(Driver!$G$206-Driver!$F$206)*$BI$1</f>
        <v/>
      </c>
      <c r="BK518" s="102">
        <f>(CD518-Driver!$F$203)/(Driver!$G$203-Driver!$F$203)*$BI$1</f>
        <v/>
      </c>
      <c r="BL518" s="102">
        <f>MAX((CR518-Driver!$F$202)/(Driver!$G$202-Driver!$F$202)*$BI$1,1)</f>
        <v/>
      </c>
      <c r="BM518" s="102">
        <f>MAX((CH518-Driver!$F$204)/(Driver!$G$204-Driver!$F$204)*$BI$1,1)</f>
        <v/>
      </c>
      <c r="BN518" s="102">
        <f>(CI518-Driver!$F$205)/(Driver!$G$205-Driver!$F$205)*$BI$1</f>
        <v/>
      </c>
      <c r="BO518" s="102">
        <f>(CK518-Driver!$F$207)/(Driver!$G$207-Driver!$F$207)*$BI$1</f>
        <v/>
      </c>
      <c r="BP518" s="102">
        <f>(CM518-Driver!$F$208)/(Driver!$G$208-Driver!$F$208)*$BI$1</f>
        <v/>
      </c>
      <c r="BQ518" s="102">
        <f>(CL518-Driver!$F$209)/(Driver!$G$209-Driver!$F$209)*$BI$1</f>
        <v/>
      </c>
      <c r="BR518" s="40" t="inlineStr">
        <is>
          <t>21/22</t>
        </is>
      </c>
      <c r="BS518" s="10" t="inlineStr">
        <is>
          <t xml:space="preserve"> Dynastar</t>
        </is>
      </c>
      <c r="BT518" s="11" t="inlineStr">
        <is>
          <t>M-Free 99</t>
        </is>
      </c>
      <c r="BU518" s="13" t="n">
        <v>171</v>
      </c>
      <c r="BV518" s="11" t="inlineStr">
        <is>
          <t xml:space="preserve"> Unisex</t>
        </is>
      </c>
      <c r="BW518" s="13" t="n">
        <v>171</v>
      </c>
      <c r="BX518" s="13" t="n">
        <v>170</v>
      </c>
      <c r="BY518" s="13" t="n">
        <v>102</v>
      </c>
      <c r="BZ518" s="13" t="n">
        <v>136</v>
      </c>
      <c r="CA518" s="13" t="n">
        <v>127</v>
      </c>
      <c r="CB518" s="13" t="n">
        <v>96</v>
      </c>
      <c r="CC518" s="13" t="n">
        <v>119</v>
      </c>
      <c r="CD518" s="13" t="n">
        <v>14.8</v>
      </c>
      <c r="CE518" s="13" t="n">
        <v>1768</v>
      </c>
      <c r="CF518" s="13" t="n">
        <v>1.03</v>
      </c>
      <c r="CG518" s="13" t="n">
        <v>1829</v>
      </c>
      <c r="CH518" s="13" t="n">
        <v>181</v>
      </c>
      <c r="CI518" s="13" t="n">
        <v>91</v>
      </c>
      <c r="CJ518" s="13" t="n">
        <v>57</v>
      </c>
      <c r="CK518" s="13" t="n">
        <v>342</v>
      </c>
      <c r="CL518" s="13" t="n">
        <v>44</v>
      </c>
      <c r="CM518" s="13" t="n">
        <v>339</v>
      </c>
      <c r="CN518" s="13" t="n">
        <v>0.764</v>
      </c>
      <c r="CO518" s="13" t="n">
        <v>199</v>
      </c>
      <c r="CP518" s="13" t="n">
        <v>144</v>
      </c>
      <c r="CQ518" s="13" t="n">
        <v>143</v>
      </c>
      <c r="CR518" s="13" t="n">
        <v>6</v>
      </c>
      <c r="CS518" s="13" t="n">
        <v>7.3</v>
      </c>
      <c r="CT518" s="11" t="inlineStr">
        <is>
          <t xml:space="preserve"> Resort Freeride</t>
        </is>
      </c>
      <c r="CU518" s="13" t="n"/>
      <c r="CV518" s="13" t="n"/>
      <c r="CW518" s="13" t="n"/>
      <c r="CX518">
        <f>INDEX('Data_Price '!AG$2:AG$1266,MATCH(Data!$DN518,'Data_Price '!$AT$2:$AT$1266,0))</f>
        <v/>
      </c>
      <c r="CY518">
        <f>INDEX('Data_Price '!AH$2:AH$1266,MATCH(Data!$DN518,'Data_Price '!$AT$2:$AT$1266,0))</f>
        <v/>
      </c>
      <c r="CZ518">
        <f>INDEX('Data_Price '!AI$2:AI$1266,MATCH(Data!$DN518,'Data_Price '!$AT$2:$AT$1266,0))</f>
        <v/>
      </c>
      <c r="DA518">
        <f>INDEX('Data_Price '!AJ$2:AJ$1266,MATCH(Data!$DN518,'Data_Price '!$AT$2:$AT$1266,0))</f>
        <v/>
      </c>
      <c r="DB518">
        <f>INDEX('Data_Price '!AK$2:AK$1266,MATCH(Data!$DN518,'Data_Price '!$AT$2:$AT$1266,0))</f>
        <v/>
      </c>
      <c r="DC518">
        <f>INDEX('Data_Price '!AL$2:AL$1266,MATCH(Data!$DN518,'Data_Price '!$AT$2:$AT$1266,0))</f>
        <v/>
      </c>
      <c r="DD518">
        <f>INDEX('Data_Price '!AM$2:AM$1266,MATCH(Data!$DN518,'Data_Price '!$AT$2:$AT$1266,0))</f>
        <v/>
      </c>
      <c r="DE518">
        <f>INDEX('Data_Price '!AN$2:AN$1266,MATCH(Data!$DN518,'Data_Price '!$AT$2:$AT$1266,0))</f>
        <v/>
      </c>
      <c r="DF518">
        <f>INDEX('Data_Price '!AO$2:AO$1266,MATCH(Data!$DN518,'Data_Price '!$AT$2:$AT$1266,0))</f>
        <v/>
      </c>
      <c r="DG518">
        <f>INDEX('Data_Price '!AP$2:AP$1266,MATCH(Data!$DN518,'Data_Price '!$AT$2:$AT$1266,0))</f>
        <v/>
      </c>
      <c r="DH518">
        <f>INDEX('Data_Price '!AQ$2:AQ$1266,MATCH(Data!$DN518,'Data_Price '!$AT$2:$AT$1266,0))</f>
        <v/>
      </c>
      <c r="DI518">
        <f>INDEX('Data_Price '!AR$2:AR$1266,MATCH(Data!$DN518,'Data_Price '!$AT$2:$AT$1266,0))</f>
        <v/>
      </c>
      <c r="DJ518" s="138">
        <f>DA518</f>
        <v/>
      </c>
      <c r="DK518" s="138">
        <f>DE518</f>
        <v/>
      </c>
      <c r="DL518" s="138">
        <f>DI518</f>
        <v/>
      </c>
      <c r="DM518" s="303">
        <f>IF(LEFT(BT518,1)=" ",RIGHT(BT518,LEN(BT518)-1),BT518)</f>
        <v/>
      </c>
      <c r="DN518" s="138">
        <f>_xlfn.CONCAT(BS518,DM518,BU518,BV518)</f>
        <v/>
      </c>
      <c r="DO518" s="307" t="inlineStr">
        <is>
          <t>https://images.evo.com/imgp/250/198834/826148/dynastar-m-free-99-skis-2022-.jpg</t>
        </is>
      </c>
    </row>
    <row r="519" ht="15.6" customHeight="1" s="184">
      <c r="B519" s="303">
        <f t="array" ref="B519">IF(OR(ISERROR(K519:P519)),FALSE,TRUE)</f>
        <v/>
      </c>
      <c r="C519" s="60">
        <f>OR(BR519=Driver!$G$50,Data!BR979=Driver!$H$50)</f>
        <v/>
      </c>
      <c r="D519" s="60">
        <f>OR(BV519=Driver!$G$51,BV519=Driver!$H$51)</f>
        <v/>
      </c>
      <c r="E519" s="60">
        <f>AND(BX519&gt;Driver!$F$54,BX519&lt;Driver!$G$54)</f>
        <v/>
      </c>
      <c r="F519" s="60">
        <f>CL519&gt;Driver!$F$56</f>
        <v/>
      </c>
      <c r="G519" s="60">
        <f>AND(CB519&gt;Driver!$F$55,CB519&lt;Driver!$G$55)</f>
        <v/>
      </c>
      <c r="H519" s="60">
        <f>AND(B519:G519)</f>
        <v/>
      </c>
      <c r="I519" s="60">
        <f>COUNTIFS($H$9:$H$1273,TRUE,$BT$9:$BT$1273,BT519)</f>
        <v/>
      </c>
      <c r="J519" s="60">
        <f t="array" ref="J519">NOT(OR(($H$9:$H$1273=TRUE)*($I$9:$I$1273&gt;0)*($BT$9:$BT$1273=BT519)*($K$9:$K$1273&gt;K519)))</f>
        <v/>
      </c>
      <c r="K519" s="108">
        <f>IFERROR(1-AVERAGE(X519:Y519),"")</f>
        <v/>
      </c>
      <c r="L519" s="108">
        <f>1-X519</f>
        <v/>
      </c>
      <c r="M519" s="108">
        <f>1-Y519</f>
        <v/>
      </c>
      <c r="N519" s="108">
        <f>1-Z519</f>
        <v/>
      </c>
      <c r="O519" s="108">
        <f>1-AA519</f>
        <v/>
      </c>
      <c r="P519" s="108">
        <f>1-AB519</f>
        <v/>
      </c>
      <c r="Q519" s="108" t="n"/>
      <c r="R519" s="108" t="n"/>
      <c r="S519" s="108">
        <f>1-AE519</f>
        <v/>
      </c>
      <c r="T519" s="108">
        <f>1-AF519</f>
        <v/>
      </c>
      <c r="U519" s="108">
        <f>1-AG519</f>
        <v/>
      </c>
      <c r="V519" s="108">
        <f>1-AH519</f>
        <v/>
      </c>
      <c r="W519" s="108">
        <f>1-AI519</f>
        <v/>
      </c>
      <c r="X519" s="108">
        <f>ABS(AJ519-AJ$1)</f>
        <v/>
      </c>
      <c r="Y519" s="108">
        <f>AVERAGE(Z519:AB519)</f>
        <v/>
      </c>
      <c r="Z519" s="108">
        <f>ABS(AL519-AL$1)</f>
        <v/>
      </c>
      <c r="AA519" s="108">
        <f>ABS(AM519-AM$1)</f>
        <v/>
      </c>
      <c r="AB519" s="108">
        <f>ABS(AN519-AN$1)</f>
        <v/>
      </c>
      <c r="AC519" s="108" t="n"/>
      <c r="AD519" s="108" t="n"/>
      <c r="AE519" s="108">
        <f>ABS(AQ$1-AQ519)</f>
        <v/>
      </c>
      <c r="AF519" s="108">
        <f>ABS(AR$1-AR519)</f>
        <v/>
      </c>
      <c r="AG519" s="108">
        <f>ABS(AS$1-AS519)</f>
        <v/>
      </c>
      <c r="AH519" s="108">
        <f>ABS(AT$1-AT519)</f>
        <v/>
      </c>
      <c r="AI519" s="108">
        <f>ABS(AU$1-AU519)</f>
        <v/>
      </c>
      <c r="AJ519" s="108">
        <f>(AV519-Driver!$K$179)/(Driver!$L$179-Driver!$K$179)</f>
        <v/>
      </c>
      <c r="AK519" s="108">
        <f>(AW519-Driver!$K$180)/(Driver!$L$180-Driver!$K$180)</f>
        <v/>
      </c>
      <c r="AL519" s="108">
        <f>(AX519-Driver!$K$181)/(Driver!$L$181-Driver!$K$181)</f>
        <v/>
      </c>
      <c r="AM519" s="108">
        <f>(AY519-Driver!$K$182)/(Driver!$L$182-Driver!$K$182)</f>
        <v/>
      </c>
      <c r="AN519" s="108">
        <f>(AZ519-Driver!$K$183)/(Driver!$L$183-Driver!$K$183)</f>
        <v/>
      </c>
      <c r="AO519" s="108" t="n"/>
      <c r="AP519" s="108" t="n"/>
      <c r="AQ519" s="108">
        <f>(BC519-Driver!$K$188)/(Driver!$L$188-Driver!$K$188)</f>
        <v/>
      </c>
      <c r="AR519" s="108">
        <f>MIN((BD519-Driver!$K$189)/(Driver!$L$189-Driver!$K$189),100%)</f>
        <v/>
      </c>
      <c r="AS519" s="108">
        <f>(BE519-Driver!$K$190)/(Driver!$L$190-Driver!$K$190)</f>
        <v/>
      </c>
      <c r="AT519" s="108">
        <f>(BF519-Driver!$K$191)/(Driver!$L$191-Driver!$K$191)</f>
        <v/>
      </c>
      <c r="AU519" s="108">
        <f>(BG519-Driver!$K$192)/(Driver!$L$192-Driver!$K$192)</f>
        <v/>
      </c>
      <c r="AV519" s="105">
        <f>IFERROR(BM519*BJ519^1/4,"")</f>
        <v/>
      </c>
      <c r="AW519" s="105">
        <f>IFERROR(SUM(AX519:AZ519),"")</f>
        <v/>
      </c>
      <c r="AX519" s="105">
        <f>IFERROR(BH519,"")</f>
        <v/>
      </c>
      <c r="AY519" s="105">
        <f>IFERROR(Driver!$K$19/Data!BH519/Data!BI519*Data!BK519*Data!BL519,"")</f>
        <v/>
      </c>
      <c r="AZ519" s="105">
        <f>IFERROR(BI519*BN519,"")</f>
        <v/>
      </c>
      <c r="BA519" s="105" t="n"/>
      <c r="BB519" s="105" t="n"/>
      <c r="BC519" s="105">
        <f>IFERROR(BI519*BN519*BK519/BJ519^(1/2),"")</f>
        <v/>
      </c>
      <c r="BD519" s="105">
        <f>IFERROR(BH519*BM519*BL519/BJ519/BK519,"")</f>
        <v/>
      </c>
      <c r="BE519" s="105">
        <f>IFERROR(MIN(BI519/BQ519/BP519/BO519/BH519,$BE$1),"")</f>
        <v/>
      </c>
      <c r="BF519" s="105">
        <f>IFERROR(BJ519*BO519*BP519/BK519,"")</f>
        <v/>
      </c>
      <c r="BG519" s="105">
        <f>IFERROR(1/BM519/BH519*BQ519,"")</f>
        <v/>
      </c>
      <c r="BH519" s="102">
        <f>MAX((CE519-Driver!$F$200)/(Driver!$G$200-Driver!$F$200)*$BI$1,1)</f>
        <v/>
      </c>
      <c r="BI519" s="102">
        <f>MAX($BI$1*(BY519-Driver!$F$201)/(Driver!$G$201-Driver!$F$201),1)</f>
        <v/>
      </c>
      <c r="BJ519" s="102">
        <f>(CB519-Driver!$F$206)/(Driver!$G$206-Driver!$F$206)*$BI$1</f>
        <v/>
      </c>
      <c r="BK519" s="102">
        <f>(CD519-Driver!$F$203)/(Driver!$G$203-Driver!$F$203)*$BI$1</f>
        <v/>
      </c>
      <c r="BL519" s="102">
        <f>MAX((CR519-Driver!$F$202)/(Driver!$G$202-Driver!$F$202)*$BI$1,1)</f>
        <v/>
      </c>
      <c r="BM519" s="102">
        <f>MAX((CH519-Driver!$F$204)/(Driver!$G$204-Driver!$F$204)*$BI$1,1)</f>
        <v/>
      </c>
      <c r="BN519" s="102">
        <f>(CI519-Driver!$F$205)/(Driver!$G$205-Driver!$F$205)*$BI$1</f>
        <v/>
      </c>
      <c r="BO519" s="102">
        <f>(CK519-Driver!$F$207)/(Driver!$G$207-Driver!$F$207)*$BI$1</f>
        <v/>
      </c>
      <c r="BP519" s="102">
        <f>(CM519-Driver!$F$208)/(Driver!$G$208-Driver!$F$208)*$BI$1</f>
        <v/>
      </c>
      <c r="BQ519" s="102">
        <f>(CL519-Driver!$F$209)/(Driver!$G$209-Driver!$F$209)*$BI$1</f>
        <v/>
      </c>
      <c r="BR519" s="40" t="inlineStr">
        <is>
          <t>21/22</t>
        </is>
      </c>
      <c r="BS519" s="10" t="inlineStr">
        <is>
          <t xml:space="preserve"> Rossignol</t>
        </is>
      </c>
      <c r="BT519" s="11" t="inlineStr">
        <is>
          <t xml:space="preserve"> Blackops Holyshred</t>
        </is>
      </c>
      <c r="BU519" s="13" t="n">
        <v>182</v>
      </c>
      <c r="BV519" s="11" t="inlineStr">
        <is>
          <t xml:space="preserve"> Unisex</t>
        </is>
      </c>
      <c r="BW519" s="13" t="n">
        <v>182</v>
      </c>
      <c r="BX519" s="13" t="n">
        <v>179.6</v>
      </c>
      <c r="BY519" s="13" t="n">
        <v>132</v>
      </c>
      <c r="BZ519" s="13" t="n">
        <v>156</v>
      </c>
      <c r="CA519" s="13" t="n">
        <v>129</v>
      </c>
      <c r="CB519" s="13" t="n">
        <v>97</v>
      </c>
      <c r="CC519" s="13" t="n">
        <v>120</v>
      </c>
      <c r="CD519" s="13" t="n">
        <v>19.7</v>
      </c>
      <c r="CE519" s="13" t="n">
        <v>2021</v>
      </c>
      <c r="CF519" s="13" t="n">
        <v>0.96</v>
      </c>
      <c r="CG519" s="13" t="n">
        <v>1938</v>
      </c>
      <c r="CH519" s="13" t="n">
        <v>238</v>
      </c>
      <c r="CI519" s="13" t="n">
        <v>123</v>
      </c>
      <c r="CJ519" s="13" t="n">
        <v>52</v>
      </c>
      <c r="CK519" s="13" t="n">
        <v>255</v>
      </c>
      <c r="CL519" s="13" t="n">
        <v>35</v>
      </c>
      <c r="CM519" s="13" t="n">
        <v>222</v>
      </c>
      <c r="CN519" s="13" t="n">
        <v>0.667</v>
      </c>
      <c r="CO519" s="13" t="n">
        <v>137</v>
      </c>
      <c r="CP519" s="13" t="n">
        <v>99</v>
      </c>
      <c r="CQ519" s="13" t="n">
        <v>118</v>
      </c>
      <c r="CR519" s="13" t="n">
        <v>9</v>
      </c>
      <c r="CS519" s="13" t="n">
        <v>4.4</v>
      </c>
      <c r="CT519" s="11" t="inlineStr">
        <is>
          <t xml:space="preserve"> Resort Freeride</t>
        </is>
      </c>
      <c r="CU519" s="13" t="n"/>
      <c r="CV519" s="13" t="n"/>
      <c r="CW519" s="13" t="n"/>
      <c r="CX519">
        <f>INDEX('Data_Price '!AG$2:AG$1266,MATCH(Data!$DN519,'Data_Price '!$AT$2:$AT$1266,0))</f>
        <v/>
      </c>
      <c r="CY519">
        <f>INDEX('Data_Price '!AH$2:AH$1266,MATCH(Data!$DN519,'Data_Price '!$AT$2:$AT$1266,0))</f>
        <v/>
      </c>
      <c r="CZ519">
        <f>INDEX('Data_Price '!AI$2:AI$1266,MATCH(Data!$DN519,'Data_Price '!$AT$2:$AT$1266,0))</f>
        <v/>
      </c>
      <c r="DA519">
        <f>INDEX('Data_Price '!AJ$2:AJ$1266,MATCH(Data!$DN519,'Data_Price '!$AT$2:$AT$1266,0))</f>
        <v/>
      </c>
      <c r="DB519">
        <f>INDEX('Data_Price '!AK$2:AK$1266,MATCH(Data!$DN519,'Data_Price '!$AT$2:$AT$1266,0))</f>
        <v/>
      </c>
      <c r="DC519">
        <f>INDEX('Data_Price '!AL$2:AL$1266,MATCH(Data!$DN519,'Data_Price '!$AT$2:$AT$1266,0))</f>
        <v/>
      </c>
      <c r="DD519">
        <f>INDEX('Data_Price '!AM$2:AM$1266,MATCH(Data!$DN519,'Data_Price '!$AT$2:$AT$1266,0))</f>
        <v/>
      </c>
      <c r="DE519">
        <f>INDEX('Data_Price '!AN$2:AN$1266,MATCH(Data!$DN519,'Data_Price '!$AT$2:$AT$1266,0))</f>
        <v/>
      </c>
      <c r="DF519">
        <f>INDEX('Data_Price '!AO$2:AO$1266,MATCH(Data!$DN519,'Data_Price '!$AT$2:$AT$1266,0))</f>
        <v/>
      </c>
      <c r="DG519">
        <f>INDEX('Data_Price '!AP$2:AP$1266,MATCH(Data!$DN519,'Data_Price '!$AT$2:$AT$1266,0))</f>
        <v/>
      </c>
      <c r="DH519">
        <f>INDEX('Data_Price '!AQ$2:AQ$1266,MATCH(Data!$DN519,'Data_Price '!$AT$2:$AT$1266,0))</f>
        <v/>
      </c>
      <c r="DI519">
        <f>INDEX('Data_Price '!AR$2:AR$1266,MATCH(Data!$DN519,'Data_Price '!$AT$2:$AT$1266,0))</f>
        <v/>
      </c>
      <c r="DJ519" s="138">
        <f>DA519</f>
        <v/>
      </c>
      <c r="DK519" s="138">
        <f>DE519</f>
        <v/>
      </c>
      <c r="DL519" s="138">
        <f>DI519</f>
        <v/>
      </c>
      <c r="DM519" s="303">
        <f>IF(LEFT(BT519,1)=" ",RIGHT(BT519,LEN(BT519)-1),BT519)</f>
        <v/>
      </c>
      <c r="DN519" s="138">
        <f>_xlfn.CONCAT(BS519,DM519,BU519,BV519)</f>
        <v/>
      </c>
      <c r="DO519" s="307" t="n"/>
    </row>
    <row r="520" ht="15.6" customHeight="1" s="184">
      <c r="B520" s="303">
        <f t="array" ref="B520">IF(OR(ISERROR(K520:P520)),FALSE,TRUE)</f>
        <v/>
      </c>
      <c r="C520" s="60">
        <f>OR(BR520=Driver!$G$50,Data!BR1105=Driver!$H$50)</f>
        <v/>
      </c>
      <c r="D520" s="60">
        <f>OR(BV520=Driver!$G$51,BV520=Driver!$H$51)</f>
        <v/>
      </c>
      <c r="E520" s="60">
        <f>AND(BX520&gt;Driver!$F$54,BX520&lt;Driver!$G$54)</f>
        <v/>
      </c>
      <c r="F520" s="60">
        <f>CL520&gt;Driver!$F$56</f>
        <v/>
      </c>
      <c r="G520" s="60">
        <f>AND(CB520&gt;Driver!$F$55,CB520&lt;Driver!$G$55)</f>
        <v/>
      </c>
      <c r="H520" s="60">
        <f>AND(B520:G520)</f>
        <v/>
      </c>
      <c r="I520" s="60">
        <f>COUNTIFS($H$9:$H$1273,TRUE,$BT$9:$BT$1273,BT520)</f>
        <v/>
      </c>
      <c r="J520" s="60">
        <f t="array" ref="J520">NOT(OR(($H$9:$H$1273=TRUE)*($I$9:$I$1273&gt;0)*($BT$9:$BT$1273=BT520)*($K$9:$K$1273&gt;K520)))</f>
        <v/>
      </c>
      <c r="K520" s="108">
        <f>IFERROR(1-AVERAGE(X520:Y520),"")</f>
        <v/>
      </c>
      <c r="L520" s="108">
        <f>1-X520</f>
        <v/>
      </c>
      <c r="M520" s="108">
        <f>1-Y520</f>
        <v/>
      </c>
      <c r="N520" s="108">
        <f>1-Z520</f>
        <v/>
      </c>
      <c r="O520" s="108">
        <f>1-AA520</f>
        <v/>
      </c>
      <c r="P520" s="108">
        <f>1-AB520</f>
        <v/>
      </c>
      <c r="Q520" s="108" t="n"/>
      <c r="R520" s="108" t="n"/>
      <c r="S520" s="108">
        <f>1-AE520</f>
        <v/>
      </c>
      <c r="T520" s="108">
        <f>1-AF520</f>
        <v/>
      </c>
      <c r="U520" s="108">
        <f>1-AG520</f>
        <v/>
      </c>
      <c r="V520" s="108">
        <f>1-AH520</f>
        <v/>
      </c>
      <c r="W520" s="108">
        <f>1-AI520</f>
        <v/>
      </c>
      <c r="X520" s="108">
        <f>ABS(AJ520-AJ$1)</f>
        <v/>
      </c>
      <c r="Y520" s="108">
        <f>AVERAGE(Z520:AB520)</f>
        <v/>
      </c>
      <c r="Z520" s="108">
        <f>ABS(AL520-AL$1)</f>
        <v/>
      </c>
      <c r="AA520" s="108">
        <f>ABS(AM520-AM$1)</f>
        <v/>
      </c>
      <c r="AB520" s="108">
        <f>ABS(AN520-AN$1)</f>
        <v/>
      </c>
      <c r="AC520" s="108" t="n"/>
      <c r="AD520" s="108" t="n"/>
      <c r="AE520" s="108">
        <f>ABS(AQ$1-AQ520)</f>
        <v/>
      </c>
      <c r="AF520" s="108">
        <f>ABS(AR$1-AR520)</f>
        <v/>
      </c>
      <c r="AG520" s="108">
        <f>ABS(AS$1-AS520)</f>
        <v/>
      </c>
      <c r="AH520" s="108">
        <f>ABS(AT$1-AT520)</f>
        <v/>
      </c>
      <c r="AI520" s="108">
        <f>ABS(AU$1-AU520)</f>
        <v/>
      </c>
      <c r="AJ520" s="108">
        <f>(AV520-Driver!$K$179)/(Driver!$L$179-Driver!$K$179)</f>
        <v/>
      </c>
      <c r="AK520" s="108">
        <f>(AW520-Driver!$K$180)/(Driver!$L$180-Driver!$K$180)</f>
        <v/>
      </c>
      <c r="AL520" s="108">
        <f>(AX520-Driver!$K$181)/(Driver!$L$181-Driver!$K$181)</f>
        <v/>
      </c>
      <c r="AM520" s="108">
        <f>(AY520-Driver!$K$182)/(Driver!$L$182-Driver!$K$182)</f>
        <v/>
      </c>
      <c r="AN520" s="108">
        <f>(AZ520-Driver!$K$183)/(Driver!$L$183-Driver!$K$183)</f>
        <v/>
      </c>
      <c r="AO520" s="108" t="n"/>
      <c r="AP520" s="108" t="n"/>
      <c r="AQ520" s="108">
        <f>(BC520-Driver!$K$188)/(Driver!$L$188-Driver!$K$188)</f>
        <v/>
      </c>
      <c r="AR520" s="108">
        <f>MIN((BD520-Driver!$K$189)/(Driver!$L$189-Driver!$K$189),100%)</f>
        <v/>
      </c>
      <c r="AS520" s="108">
        <f>(BE520-Driver!$K$190)/(Driver!$L$190-Driver!$K$190)</f>
        <v/>
      </c>
      <c r="AT520" s="108">
        <f>(BF520-Driver!$K$191)/(Driver!$L$191-Driver!$K$191)</f>
        <v/>
      </c>
      <c r="AU520" s="108">
        <f>(BG520-Driver!$K$192)/(Driver!$L$192-Driver!$K$192)</f>
        <v/>
      </c>
      <c r="AV520" s="105">
        <f>IFERROR(BM520*BJ520^1/4,"")</f>
        <v/>
      </c>
      <c r="AW520" s="105">
        <f>IFERROR(SUM(AX520:AZ520),"")</f>
        <v/>
      </c>
      <c r="AX520" s="105">
        <f>IFERROR(BH520,"")</f>
        <v/>
      </c>
      <c r="AY520" s="105">
        <f>IFERROR(Driver!$K$19/Data!BH520/Data!BI520*Data!BK520*Data!BL520,"")</f>
        <v/>
      </c>
      <c r="AZ520" s="105">
        <f>IFERROR(BI520*BN520,"")</f>
        <v/>
      </c>
      <c r="BA520" s="105" t="n"/>
      <c r="BB520" s="105" t="n"/>
      <c r="BC520" s="105">
        <f>IFERROR(BI520*BN520*BK520/BJ520^(1/2),"")</f>
        <v/>
      </c>
      <c r="BD520" s="105">
        <f>IFERROR(BH520*BM520*BL520/BJ520/BK520,"")</f>
        <v/>
      </c>
      <c r="BE520" s="105">
        <f>IFERROR(MIN(BI520/BQ520/BP520/BO520/BH520,$BE$1),"")</f>
        <v/>
      </c>
      <c r="BF520" s="105">
        <f>IFERROR(BJ520*BO520*BP520/BK520,"")</f>
        <v/>
      </c>
      <c r="BG520" s="105">
        <f>IFERROR(1/BM520/BH520*BQ520,"")</f>
        <v/>
      </c>
      <c r="BH520" s="102">
        <f>MAX((CE520-Driver!$F$200)/(Driver!$G$200-Driver!$F$200)*$BI$1,1)</f>
        <v/>
      </c>
      <c r="BI520" s="102">
        <f>MAX($BI$1*(BY520-Driver!$F$201)/(Driver!$G$201-Driver!$F$201),1)</f>
        <v/>
      </c>
      <c r="BJ520" s="102">
        <f>(CB520-Driver!$F$206)/(Driver!$G$206-Driver!$F$206)*$BI$1</f>
        <v/>
      </c>
      <c r="BK520" s="102">
        <f>(CD520-Driver!$F$203)/(Driver!$G$203-Driver!$F$203)*$BI$1</f>
        <v/>
      </c>
      <c r="BL520" s="102">
        <f>MAX((CR520-Driver!$F$202)/(Driver!$G$202-Driver!$F$202)*$BI$1,1)</f>
        <v/>
      </c>
      <c r="BM520" s="102">
        <f>MAX((CH520-Driver!$F$204)/(Driver!$G$204-Driver!$F$204)*$BI$1,1)</f>
        <v/>
      </c>
      <c r="BN520" s="102">
        <f>(CI520-Driver!$F$205)/(Driver!$G$205-Driver!$F$205)*$BI$1</f>
        <v/>
      </c>
      <c r="BO520" s="102">
        <f>(CK520-Driver!$F$207)/(Driver!$G$207-Driver!$F$207)*$BI$1</f>
        <v/>
      </c>
      <c r="BP520" s="102">
        <f>(CM520-Driver!$F$208)/(Driver!$G$208-Driver!$F$208)*$BI$1</f>
        <v/>
      </c>
      <c r="BQ520" s="102">
        <f>(CL520-Driver!$F$209)/(Driver!$G$209-Driver!$F$209)*$BI$1</f>
        <v/>
      </c>
      <c r="BR520" s="40" t="inlineStr">
        <is>
          <t>21/22</t>
        </is>
      </c>
      <c r="BS520" s="10" t="inlineStr">
        <is>
          <t xml:space="preserve"> Salomon</t>
        </is>
      </c>
      <c r="BT520" s="11" t="inlineStr">
        <is>
          <t>Stance 88 W</t>
        </is>
      </c>
      <c r="BU520" s="13" t="n">
        <v>154</v>
      </c>
      <c r="BV520" s="11" t="inlineStr">
        <is>
          <t xml:space="preserve"> Women's</t>
        </is>
      </c>
      <c r="BW520" s="13" t="n">
        <v>154</v>
      </c>
      <c r="BX520" s="13" t="n">
        <v>153.2</v>
      </c>
      <c r="BY520" s="13" t="n">
        <v>116</v>
      </c>
      <c r="BZ520" s="13" t="n">
        <v>130</v>
      </c>
      <c r="CA520" s="13" t="n">
        <v>117</v>
      </c>
      <c r="CB520" s="13" t="n">
        <v>88</v>
      </c>
      <c r="CC520" s="13" t="n">
        <v>100</v>
      </c>
      <c r="CD520" s="13" t="n">
        <v>16.5</v>
      </c>
      <c r="CE520" s="13" t="n">
        <v>1463</v>
      </c>
      <c r="CF520" s="13" t="n">
        <v>1.02</v>
      </c>
      <c r="CG520" s="13" t="n">
        <v>1488</v>
      </c>
      <c r="CH520" s="13" t="n">
        <v>134</v>
      </c>
      <c r="CI520" s="13" t="n">
        <v>73</v>
      </c>
      <c r="CJ520" s="13" t="n">
        <v>55</v>
      </c>
      <c r="CK520" s="13" t="n">
        <v>216</v>
      </c>
      <c r="CL520" s="13" t="n">
        <v>11</v>
      </c>
      <c r="CM520" s="13" t="n">
        <v>154</v>
      </c>
      <c r="CN520" s="13" t="n">
        <v>0.204</v>
      </c>
      <c r="CO520" s="13" t="n">
        <v>150</v>
      </c>
      <c r="CP520" s="13" t="n">
        <v>83</v>
      </c>
      <c r="CQ520" s="13" t="n">
        <v>66</v>
      </c>
      <c r="CR520" s="13" t="n">
        <v>6</v>
      </c>
      <c r="CS520" s="13" t="n">
        <v>7.9</v>
      </c>
      <c r="CT520" s="11" t="inlineStr">
        <is>
          <t xml:space="preserve"> Resort Freeride</t>
        </is>
      </c>
      <c r="CU520" s="13" t="n"/>
      <c r="CV520" s="13" t="n"/>
      <c r="CW520" s="13" t="n"/>
      <c r="CX520">
        <f>INDEX('Data_Price '!AG$2:AG$1266,MATCH(Data!$DN520,'Data_Price '!$AT$2:$AT$1266,0))</f>
        <v/>
      </c>
      <c r="CY520">
        <f>INDEX('Data_Price '!AH$2:AH$1266,MATCH(Data!$DN520,'Data_Price '!$AT$2:$AT$1266,0))</f>
        <v/>
      </c>
      <c r="CZ520">
        <f>INDEX('Data_Price '!AI$2:AI$1266,MATCH(Data!$DN520,'Data_Price '!$AT$2:$AT$1266,0))</f>
        <v/>
      </c>
      <c r="DA520">
        <f>INDEX('Data_Price '!AJ$2:AJ$1266,MATCH(Data!$DN520,'Data_Price '!$AT$2:$AT$1266,0))</f>
        <v/>
      </c>
      <c r="DB520">
        <f>INDEX('Data_Price '!AK$2:AK$1266,MATCH(Data!$DN520,'Data_Price '!$AT$2:$AT$1266,0))</f>
        <v/>
      </c>
      <c r="DC520">
        <f>INDEX('Data_Price '!AL$2:AL$1266,MATCH(Data!$DN520,'Data_Price '!$AT$2:$AT$1266,0))</f>
        <v/>
      </c>
      <c r="DD520">
        <f>INDEX('Data_Price '!AM$2:AM$1266,MATCH(Data!$DN520,'Data_Price '!$AT$2:$AT$1266,0))</f>
        <v/>
      </c>
      <c r="DE520">
        <f>INDEX('Data_Price '!AN$2:AN$1266,MATCH(Data!$DN520,'Data_Price '!$AT$2:$AT$1266,0))</f>
        <v/>
      </c>
      <c r="DF520">
        <f>INDEX('Data_Price '!AO$2:AO$1266,MATCH(Data!$DN520,'Data_Price '!$AT$2:$AT$1266,0))</f>
        <v/>
      </c>
      <c r="DG520">
        <f>INDEX('Data_Price '!AP$2:AP$1266,MATCH(Data!$DN520,'Data_Price '!$AT$2:$AT$1266,0))</f>
        <v/>
      </c>
      <c r="DH520">
        <f>INDEX('Data_Price '!AQ$2:AQ$1266,MATCH(Data!$DN520,'Data_Price '!$AT$2:$AT$1266,0))</f>
        <v/>
      </c>
      <c r="DI520">
        <f>INDEX('Data_Price '!AR$2:AR$1266,MATCH(Data!$DN520,'Data_Price '!$AT$2:$AT$1266,0))</f>
        <v/>
      </c>
      <c r="DJ520" s="138">
        <f>DA520</f>
        <v/>
      </c>
      <c r="DK520" s="138">
        <f>DE520</f>
        <v/>
      </c>
      <c r="DL520" s="138">
        <f>DI520</f>
        <v/>
      </c>
      <c r="DM520" s="303">
        <f>IF(LEFT(BT520,1)=" ",RIGHT(BT520,LEN(BT520)-1),BT520)</f>
        <v/>
      </c>
      <c r="DN520" s="138">
        <f>_xlfn.CONCAT(BS520,DM520,BU520,BV520)</f>
        <v/>
      </c>
      <c r="DO520" s="307" t="inlineStr">
        <is>
          <t>https://images.evo.com/imgp/250/183475/737708/salomon-stance-w-88-skis-women-s-2022-.jpg</t>
        </is>
      </c>
    </row>
    <row r="521" ht="15.6" customHeight="1" s="184">
      <c r="B521" s="303">
        <f t="array" ref="B521">IF(OR(ISERROR(K521:P521)),FALSE,TRUE)</f>
        <v/>
      </c>
      <c r="C521" s="60">
        <f>OR(BR521=Driver!$G$50,Data!BR398=Driver!$H$50)</f>
        <v/>
      </c>
      <c r="D521" s="60">
        <f>OR(BV521=Driver!$G$51,BV521=Driver!$H$51)</f>
        <v/>
      </c>
      <c r="E521" s="60">
        <f>AND(BX521&gt;Driver!$F$54,BX521&lt;Driver!$G$54)</f>
        <v/>
      </c>
      <c r="F521" s="60">
        <f>CL521&gt;Driver!$F$56</f>
        <v/>
      </c>
      <c r="G521" s="60">
        <f>AND(CB521&gt;Driver!$F$55,CB521&lt;Driver!$G$55)</f>
        <v/>
      </c>
      <c r="H521" s="60">
        <f>AND(B521:G521)</f>
        <v/>
      </c>
      <c r="I521" s="60">
        <f>COUNTIFS($H$9:$H$1273,TRUE,$BT$9:$BT$1273,BT521)</f>
        <v/>
      </c>
      <c r="J521" s="60">
        <f t="array" ref="J521">NOT(OR(($H$9:$H$1273=TRUE)*($I$9:$I$1273&gt;0)*($BT$9:$BT$1273=BT521)*($K$9:$K$1273&gt;K521)))</f>
        <v/>
      </c>
      <c r="K521" s="108">
        <f>IFERROR(1-AVERAGE(X521:Y521),"")</f>
        <v/>
      </c>
      <c r="L521" s="108">
        <f>1-X521</f>
        <v/>
      </c>
      <c r="M521" s="108">
        <f>1-Y521</f>
        <v/>
      </c>
      <c r="N521" s="108">
        <f>1-Z521</f>
        <v/>
      </c>
      <c r="O521" s="108">
        <f>1-AA521</f>
        <v/>
      </c>
      <c r="P521" s="108">
        <f>1-AB521</f>
        <v/>
      </c>
      <c r="Q521" s="108" t="n"/>
      <c r="R521" s="108" t="n"/>
      <c r="S521" s="108">
        <f>1-AE521</f>
        <v/>
      </c>
      <c r="T521" s="108">
        <f>1-AF521</f>
        <v/>
      </c>
      <c r="U521" s="108">
        <f>1-AG521</f>
        <v/>
      </c>
      <c r="V521" s="108">
        <f>1-AH521</f>
        <v/>
      </c>
      <c r="W521" s="108">
        <f>1-AI521</f>
        <v/>
      </c>
      <c r="X521" s="108">
        <f>ABS(AJ521-AJ$1)</f>
        <v/>
      </c>
      <c r="Y521" s="108">
        <f>AVERAGE(Z521:AB521)</f>
        <v/>
      </c>
      <c r="Z521" s="108">
        <f>ABS(AL521-AL$1)</f>
        <v/>
      </c>
      <c r="AA521" s="108">
        <f>ABS(AM521-AM$1)</f>
        <v/>
      </c>
      <c r="AB521" s="108">
        <f>ABS(AN521-AN$1)</f>
        <v/>
      </c>
      <c r="AC521" s="108" t="n"/>
      <c r="AD521" s="108" t="n"/>
      <c r="AE521" s="108">
        <f>ABS(AQ$1-AQ521)</f>
        <v/>
      </c>
      <c r="AF521" s="108">
        <f>ABS(AR$1-AR521)</f>
        <v/>
      </c>
      <c r="AG521" s="108">
        <f>ABS(AS$1-AS521)</f>
        <v/>
      </c>
      <c r="AH521" s="108">
        <f>ABS(AT$1-AT521)</f>
        <v/>
      </c>
      <c r="AI521" s="108">
        <f>ABS(AU$1-AU521)</f>
        <v/>
      </c>
      <c r="AJ521" s="108">
        <f>(AV521-Driver!$K$179)/(Driver!$L$179-Driver!$K$179)</f>
        <v/>
      </c>
      <c r="AK521" s="108">
        <f>(AW521-Driver!$K$180)/(Driver!$L$180-Driver!$K$180)</f>
        <v/>
      </c>
      <c r="AL521" s="108">
        <f>(AX521-Driver!$K$181)/(Driver!$L$181-Driver!$K$181)</f>
        <v/>
      </c>
      <c r="AM521" s="108">
        <f>(AY521-Driver!$K$182)/(Driver!$L$182-Driver!$K$182)</f>
        <v/>
      </c>
      <c r="AN521" s="108">
        <f>(AZ521-Driver!$K$183)/(Driver!$L$183-Driver!$K$183)</f>
        <v/>
      </c>
      <c r="AO521" s="108" t="n"/>
      <c r="AP521" s="108" t="n"/>
      <c r="AQ521" s="108">
        <f>(BC521-Driver!$K$188)/(Driver!$L$188-Driver!$K$188)</f>
        <v/>
      </c>
      <c r="AR521" s="108">
        <f>MIN((BD521-Driver!$K$189)/(Driver!$L$189-Driver!$K$189),100%)</f>
        <v/>
      </c>
      <c r="AS521" s="108">
        <f>(BE521-Driver!$K$190)/(Driver!$L$190-Driver!$K$190)</f>
        <v/>
      </c>
      <c r="AT521" s="108">
        <f>(BF521-Driver!$K$191)/(Driver!$L$191-Driver!$K$191)</f>
        <v/>
      </c>
      <c r="AU521" s="108">
        <f>(BG521-Driver!$K$192)/(Driver!$L$192-Driver!$K$192)</f>
        <v/>
      </c>
      <c r="AV521" s="105">
        <f>IFERROR(BM521*BJ521^1/4,"")</f>
        <v/>
      </c>
      <c r="AW521" s="105">
        <f>IFERROR(SUM(AX521:AZ521),"")</f>
        <v/>
      </c>
      <c r="AX521" s="105">
        <f>IFERROR(BH521,"")</f>
        <v/>
      </c>
      <c r="AY521" s="105">
        <f>IFERROR(Driver!$K$19/Data!BH521/Data!BI521*Data!BK521*Data!BL521,"")</f>
        <v/>
      </c>
      <c r="AZ521" s="105">
        <f>IFERROR(BI521*BN521,"")</f>
        <v/>
      </c>
      <c r="BA521" s="105" t="n"/>
      <c r="BB521" s="105" t="n"/>
      <c r="BC521" s="105">
        <f>IFERROR(BI521*BN521*BK521/BJ521^(1/2),"")</f>
        <v/>
      </c>
      <c r="BD521" s="105">
        <f>IFERROR(BH521*BM521*BL521/BJ521/BK521,"")</f>
        <v/>
      </c>
      <c r="BE521" s="105">
        <f>IFERROR(MIN(BI521/BQ521/BP521/BO521/BH521,$BE$1),"")</f>
        <v/>
      </c>
      <c r="BF521" s="105">
        <f>IFERROR(BJ521*BO521*BP521/BK521,"")</f>
        <v/>
      </c>
      <c r="BG521" s="105">
        <f>IFERROR(1/BM521/BH521*BQ521,"")</f>
        <v/>
      </c>
      <c r="BH521" s="102">
        <f>MAX((CE521-Driver!$F$200)/(Driver!$G$200-Driver!$F$200)*$BI$1,1)</f>
        <v/>
      </c>
      <c r="BI521" s="102">
        <f>MAX($BI$1*(BY521-Driver!$F$201)/(Driver!$G$201-Driver!$F$201),1)</f>
        <v/>
      </c>
      <c r="BJ521" s="102">
        <f>(CB521-Driver!$F$206)/(Driver!$G$206-Driver!$F$206)*$BI$1</f>
        <v/>
      </c>
      <c r="BK521" s="102">
        <f>(CD521-Driver!$F$203)/(Driver!$G$203-Driver!$F$203)*$BI$1</f>
        <v/>
      </c>
      <c r="BL521" s="102">
        <f>MAX((CR521-Driver!$F$202)/(Driver!$G$202-Driver!$F$202)*$BI$1,1)</f>
        <v/>
      </c>
      <c r="BM521" s="102">
        <f>MAX((CH521-Driver!$F$204)/(Driver!$G$204-Driver!$F$204)*$BI$1,1)</f>
        <v/>
      </c>
      <c r="BN521" s="102">
        <f>(CI521-Driver!$F$205)/(Driver!$G$205-Driver!$F$205)*$BI$1</f>
        <v/>
      </c>
      <c r="BO521" s="102">
        <f>(CK521-Driver!$F$207)/(Driver!$G$207-Driver!$F$207)*$BI$1</f>
        <v/>
      </c>
      <c r="BP521" s="102">
        <f>(CM521-Driver!$F$208)/(Driver!$G$208-Driver!$F$208)*$BI$1</f>
        <v/>
      </c>
      <c r="BQ521" s="102">
        <f>(CL521-Driver!$F$209)/(Driver!$G$209-Driver!$F$209)*$BI$1</f>
        <v/>
      </c>
      <c r="BR521" s="40" t="inlineStr">
        <is>
          <t>21/22</t>
        </is>
      </c>
      <c r="BS521" s="10" t="inlineStr">
        <is>
          <t xml:space="preserve"> Dynastar</t>
        </is>
      </c>
      <c r="BT521" s="11" t="inlineStr">
        <is>
          <t>M-Pro 84 W</t>
        </is>
      </c>
      <c r="BU521" s="13" t="n">
        <v>163</v>
      </c>
      <c r="BV521" s="11" t="inlineStr">
        <is>
          <t xml:space="preserve"> Women's</t>
        </is>
      </c>
      <c r="BW521" s="13" t="n">
        <v>163</v>
      </c>
      <c r="BX521" s="13" t="n">
        <v>163.9</v>
      </c>
      <c r="BY521" s="13" t="n">
        <v>133</v>
      </c>
      <c r="BZ521" s="13" t="n">
        <v>133</v>
      </c>
      <c r="CA521" s="13" t="n">
        <v>121</v>
      </c>
      <c r="CB521" s="13" t="n">
        <v>82</v>
      </c>
      <c r="CC521" s="13" t="n">
        <v>104</v>
      </c>
      <c r="CD521" s="13" t="n">
        <v>13.8</v>
      </c>
      <c r="CE521" s="13" t="n">
        <v>1543</v>
      </c>
      <c r="CF521" s="13" t="n">
        <v>1</v>
      </c>
      <c r="CG521" s="13" t="n">
        <v>1551</v>
      </c>
      <c r="CH521" s="13" t="n">
        <v>184</v>
      </c>
      <c r="CI521" s="13" t="n">
        <v>74</v>
      </c>
      <c r="CJ521" s="13" t="n">
        <v>38</v>
      </c>
      <c r="CK521" s="13" t="n">
        <v>248</v>
      </c>
      <c r="CL521" s="13" t="n">
        <v>5</v>
      </c>
      <c r="CM521" s="13" t="n">
        <v>64</v>
      </c>
      <c r="CN521" s="13" t="n">
        <v>0.141</v>
      </c>
      <c r="CO521" s="13" t="n">
        <v>159</v>
      </c>
      <c r="CP521" s="13" t="n">
        <v>147</v>
      </c>
      <c r="CQ521" s="13" t="n">
        <v>90</v>
      </c>
      <c r="CR521" s="13" t="n">
        <v>8</v>
      </c>
      <c r="CS521" s="13" t="n">
        <v>6.6</v>
      </c>
      <c r="CT521" s="11" t="inlineStr">
        <is>
          <t xml:space="preserve"> On-Piste All-Mountain</t>
        </is>
      </c>
      <c r="CU521" s="11" t="inlineStr">
        <is>
          <t xml:space="preserve"> Resort Freeride</t>
        </is>
      </c>
      <c r="CV521" s="13" t="n"/>
      <c r="CW521" s="13" t="n"/>
      <c r="CX521">
        <f>INDEX('Data_Price '!AG$2:AG$1266,MATCH(Data!$DN521,'Data_Price '!$AT$2:$AT$1266,0))</f>
        <v/>
      </c>
      <c r="CY521">
        <f>INDEX('Data_Price '!AH$2:AH$1266,MATCH(Data!$DN521,'Data_Price '!$AT$2:$AT$1266,0))</f>
        <v/>
      </c>
      <c r="CZ521">
        <f>INDEX('Data_Price '!AI$2:AI$1266,MATCH(Data!$DN521,'Data_Price '!$AT$2:$AT$1266,0))</f>
        <v/>
      </c>
      <c r="DA521">
        <f>INDEX('Data_Price '!AJ$2:AJ$1266,MATCH(Data!$DN521,'Data_Price '!$AT$2:$AT$1266,0))</f>
        <v/>
      </c>
      <c r="DB521">
        <f>INDEX('Data_Price '!AK$2:AK$1266,MATCH(Data!$DN521,'Data_Price '!$AT$2:$AT$1266,0))</f>
        <v/>
      </c>
      <c r="DC521">
        <f>INDEX('Data_Price '!AL$2:AL$1266,MATCH(Data!$DN521,'Data_Price '!$AT$2:$AT$1266,0))</f>
        <v/>
      </c>
      <c r="DD521">
        <f>INDEX('Data_Price '!AM$2:AM$1266,MATCH(Data!$DN521,'Data_Price '!$AT$2:$AT$1266,0))</f>
        <v/>
      </c>
      <c r="DE521">
        <f>INDEX('Data_Price '!AN$2:AN$1266,MATCH(Data!$DN521,'Data_Price '!$AT$2:$AT$1266,0))</f>
        <v/>
      </c>
      <c r="DF521">
        <f>INDEX('Data_Price '!AO$2:AO$1266,MATCH(Data!$DN521,'Data_Price '!$AT$2:$AT$1266,0))</f>
        <v/>
      </c>
      <c r="DG521">
        <f>INDEX('Data_Price '!AP$2:AP$1266,MATCH(Data!$DN521,'Data_Price '!$AT$2:$AT$1266,0))</f>
        <v/>
      </c>
      <c r="DH521">
        <f>INDEX('Data_Price '!AQ$2:AQ$1266,MATCH(Data!$DN521,'Data_Price '!$AT$2:$AT$1266,0))</f>
        <v/>
      </c>
      <c r="DI521">
        <f>INDEX('Data_Price '!AR$2:AR$1266,MATCH(Data!$DN521,'Data_Price '!$AT$2:$AT$1266,0))</f>
        <v/>
      </c>
      <c r="DJ521" s="138">
        <f>DA521</f>
        <v/>
      </c>
      <c r="DK521" s="138">
        <f>DE521</f>
        <v/>
      </c>
      <c r="DL521" s="138">
        <f>DI521</f>
        <v/>
      </c>
      <c r="DM521" s="303">
        <f>IF(LEFT(BT521,1)=" ",RIGHT(BT521,LEN(BT521)-1),BT521)</f>
        <v/>
      </c>
      <c r="DN521" s="138">
        <f>_xlfn.CONCAT(BS521,DM521,BU521,BV521)</f>
        <v/>
      </c>
      <c r="DO521" s="307" t="inlineStr">
        <is>
          <t>https://images.evo.com/imgp/250/198836/826149/dynastar-m-pro-84-w-skis-women-s-2022-.jpg</t>
        </is>
      </c>
    </row>
    <row r="522" ht="15.6" customHeight="1" s="184">
      <c r="B522" s="303">
        <f t="array" ref="B522">IF(OR(ISERROR(K522:P522)),FALSE,TRUE)</f>
        <v/>
      </c>
      <c r="C522" s="60">
        <f>OR(BR522=Driver!$G$50,Data!BR971=Driver!$H$50)</f>
        <v/>
      </c>
      <c r="D522" s="60">
        <f>OR(BV522=Driver!$G$51,BV522=Driver!$H$51)</f>
        <v/>
      </c>
      <c r="E522" s="60">
        <f>AND(BX522&gt;Driver!$F$54,BX522&lt;Driver!$G$54)</f>
        <v/>
      </c>
      <c r="F522" s="60">
        <f>CL522&gt;Driver!$F$56</f>
        <v/>
      </c>
      <c r="G522" s="60">
        <f>AND(CB522&gt;Driver!$F$55,CB522&lt;Driver!$G$55)</f>
        <v/>
      </c>
      <c r="H522" s="60">
        <f>AND(B522:G522)</f>
        <v/>
      </c>
      <c r="I522" s="60">
        <f>COUNTIFS($H$9:$H$1273,TRUE,$BT$9:$BT$1273,BT522)</f>
        <v/>
      </c>
      <c r="J522" s="60">
        <f t="array" ref="J522">NOT(OR(($H$9:$H$1273=TRUE)*($I$9:$I$1273&gt;0)*($BT$9:$BT$1273=BT522)*($K$9:$K$1273&gt;K522)))</f>
        <v/>
      </c>
      <c r="K522" s="108">
        <f>IFERROR(1-AVERAGE(X522:Y522),"")</f>
        <v/>
      </c>
      <c r="L522" s="108">
        <f>1-X522</f>
        <v/>
      </c>
      <c r="M522" s="108">
        <f>1-Y522</f>
        <v/>
      </c>
      <c r="N522" s="108">
        <f>1-Z522</f>
        <v/>
      </c>
      <c r="O522" s="108">
        <f>1-AA522</f>
        <v/>
      </c>
      <c r="P522" s="108">
        <f>1-AB522</f>
        <v/>
      </c>
      <c r="Q522" s="108" t="n"/>
      <c r="R522" s="108" t="n"/>
      <c r="S522" s="108">
        <f>1-AE522</f>
        <v/>
      </c>
      <c r="T522" s="108">
        <f>1-AF522</f>
        <v/>
      </c>
      <c r="U522" s="108">
        <f>1-AG522</f>
        <v/>
      </c>
      <c r="V522" s="108">
        <f>1-AH522</f>
        <v/>
      </c>
      <c r="W522" s="108">
        <f>1-AI522</f>
        <v/>
      </c>
      <c r="X522" s="108">
        <f>ABS(AJ522-AJ$1)</f>
        <v/>
      </c>
      <c r="Y522" s="108">
        <f>AVERAGE(Z522:AB522)</f>
        <v/>
      </c>
      <c r="Z522" s="108">
        <f>ABS(AL522-AL$1)</f>
        <v/>
      </c>
      <c r="AA522" s="108">
        <f>ABS(AM522-AM$1)</f>
        <v/>
      </c>
      <c r="AB522" s="108">
        <f>ABS(AN522-AN$1)</f>
        <v/>
      </c>
      <c r="AC522" s="108" t="n"/>
      <c r="AD522" s="108" t="n"/>
      <c r="AE522" s="108">
        <f>ABS(AQ$1-AQ522)</f>
        <v/>
      </c>
      <c r="AF522" s="108">
        <f>ABS(AR$1-AR522)</f>
        <v/>
      </c>
      <c r="AG522" s="108">
        <f>ABS(AS$1-AS522)</f>
        <v/>
      </c>
      <c r="AH522" s="108">
        <f>ABS(AT$1-AT522)</f>
        <v/>
      </c>
      <c r="AI522" s="108">
        <f>ABS(AU$1-AU522)</f>
        <v/>
      </c>
      <c r="AJ522" s="108">
        <f>(AV522-Driver!$K$179)/(Driver!$L$179-Driver!$K$179)</f>
        <v/>
      </c>
      <c r="AK522" s="108">
        <f>(AW522-Driver!$K$180)/(Driver!$L$180-Driver!$K$180)</f>
        <v/>
      </c>
      <c r="AL522" s="108">
        <f>(AX522-Driver!$K$181)/(Driver!$L$181-Driver!$K$181)</f>
        <v/>
      </c>
      <c r="AM522" s="108">
        <f>(AY522-Driver!$K$182)/(Driver!$L$182-Driver!$K$182)</f>
        <v/>
      </c>
      <c r="AN522" s="108">
        <f>(AZ522-Driver!$K$183)/(Driver!$L$183-Driver!$K$183)</f>
        <v/>
      </c>
      <c r="AO522" s="108" t="n"/>
      <c r="AP522" s="108" t="n"/>
      <c r="AQ522" s="108">
        <f>(BC522-Driver!$K$188)/(Driver!$L$188-Driver!$K$188)</f>
        <v/>
      </c>
      <c r="AR522" s="108">
        <f>MIN((BD522-Driver!$K$189)/(Driver!$L$189-Driver!$K$189),100%)</f>
        <v/>
      </c>
      <c r="AS522" s="108">
        <f>(BE522-Driver!$K$190)/(Driver!$L$190-Driver!$K$190)</f>
        <v/>
      </c>
      <c r="AT522" s="108">
        <f>(BF522-Driver!$K$191)/(Driver!$L$191-Driver!$K$191)</f>
        <v/>
      </c>
      <c r="AU522" s="108">
        <f>(BG522-Driver!$K$192)/(Driver!$L$192-Driver!$K$192)</f>
        <v/>
      </c>
      <c r="AV522" s="105">
        <f>IFERROR(BM522*BJ522^1/4,"")</f>
        <v/>
      </c>
      <c r="AW522" s="105">
        <f>IFERROR(SUM(AX522:AZ522),"")</f>
        <v/>
      </c>
      <c r="AX522" s="105">
        <f>IFERROR(BH522,"")</f>
        <v/>
      </c>
      <c r="AY522" s="105">
        <f>IFERROR(Driver!$K$19/Data!BH522/Data!BI522*Data!BK522*Data!BL522,"")</f>
        <v/>
      </c>
      <c r="AZ522" s="105">
        <f>IFERROR(BI522*BN522,"")</f>
        <v/>
      </c>
      <c r="BA522" s="105" t="n"/>
      <c r="BB522" s="105" t="n"/>
      <c r="BC522" s="105">
        <f>IFERROR(BI522*BN522*BK522/BJ522^(1/2),"")</f>
        <v/>
      </c>
      <c r="BD522" s="105">
        <f>IFERROR(BH522*BM522*BL522/BJ522/BK522,"")</f>
        <v/>
      </c>
      <c r="BE522" s="105">
        <f>IFERROR(MIN(BI522/BQ522/BP522/BO522/BH522,$BE$1),"")</f>
        <v/>
      </c>
      <c r="BF522" s="105">
        <f>IFERROR(BJ522*BO522*BP522/BK522,"")</f>
        <v/>
      </c>
      <c r="BG522" s="105">
        <f>IFERROR(1/BM522/BH522*BQ522,"")</f>
        <v/>
      </c>
      <c r="BH522" s="102">
        <f>MAX((CE522-Driver!$F$200)/(Driver!$G$200-Driver!$F$200)*$BI$1,1)</f>
        <v/>
      </c>
      <c r="BI522" s="102">
        <f>MAX($BI$1*(BY522-Driver!$F$201)/(Driver!$G$201-Driver!$F$201),1)</f>
        <v/>
      </c>
      <c r="BJ522" s="102">
        <f>(CB522-Driver!$F$206)/(Driver!$G$206-Driver!$F$206)*$BI$1</f>
        <v/>
      </c>
      <c r="BK522" s="102">
        <f>(CD522-Driver!$F$203)/(Driver!$G$203-Driver!$F$203)*$BI$1</f>
        <v/>
      </c>
      <c r="BL522" s="102">
        <f>MAX((CR522-Driver!$F$202)/(Driver!$G$202-Driver!$F$202)*$BI$1,1)</f>
        <v/>
      </c>
      <c r="BM522" s="102">
        <f>MAX((CH522-Driver!$F$204)/(Driver!$G$204-Driver!$F$204)*$BI$1,1)</f>
        <v/>
      </c>
      <c r="BN522" s="102">
        <f>(CI522-Driver!$F$205)/(Driver!$G$205-Driver!$F$205)*$BI$1</f>
        <v/>
      </c>
      <c r="BO522" s="102">
        <f>(CK522-Driver!$F$207)/(Driver!$G$207-Driver!$F$207)*$BI$1</f>
        <v/>
      </c>
      <c r="BP522" s="102">
        <f>(CM522-Driver!$F$208)/(Driver!$G$208-Driver!$F$208)*$BI$1</f>
        <v/>
      </c>
      <c r="BQ522" s="102">
        <f>(CL522-Driver!$F$209)/(Driver!$G$209-Driver!$F$209)*$BI$1</f>
        <v/>
      </c>
      <c r="BR522" s="40" t="inlineStr">
        <is>
          <t>21/22</t>
        </is>
      </c>
      <c r="BS522" s="10" t="inlineStr">
        <is>
          <t xml:space="preserve"> Rossignol</t>
        </is>
      </c>
      <c r="BT522" s="11" t="inlineStr">
        <is>
          <t xml:space="preserve"> Blackops Escaper</t>
        </is>
      </c>
      <c r="BU522" s="13" t="n">
        <v>164</v>
      </c>
      <c r="BV522" s="11" t="inlineStr">
        <is>
          <t xml:space="preserve"> Unisex</t>
        </is>
      </c>
      <c r="BW522" s="13" t="n">
        <v>164</v>
      </c>
      <c r="BX522" s="13" t="n">
        <v>162.6</v>
      </c>
      <c r="BY522" s="13" t="n">
        <v>115</v>
      </c>
      <c r="BZ522" s="13" t="n">
        <v>137</v>
      </c>
      <c r="CA522" s="13" t="n">
        <v>126</v>
      </c>
      <c r="CB522" s="13" t="n">
        <v>91</v>
      </c>
      <c r="CC522" s="13" t="n">
        <v>116</v>
      </c>
      <c r="CD522" s="13" t="n">
        <v>13.8</v>
      </c>
      <c r="CE522" s="13" t="n">
        <v>1555</v>
      </c>
      <c r="CF522" s="13" t="n">
        <v>1.08</v>
      </c>
      <c r="CG522" s="13" t="n">
        <v>1680</v>
      </c>
      <c r="CH522" s="13" t="n">
        <v>183</v>
      </c>
      <c r="CI522" s="13" t="n">
        <v>80</v>
      </c>
      <c r="CJ522" s="13" t="n">
        <v>52</v>
      </c>
      <c r="CK522" s="13" t="n">
        <v>307</v>
      </c>
      <c r="CL522" s="13" t="n">
        <v>12</v>
      </c>
      <c r="CM522" s="13" t="n">
        <v>170</v>
      </c>
      <c r="CN522" s="13" t="n">
        <v>0.225</v>
      </c>
      <c r="CO522" s="13" t="n">
        <v>143</v>
      </c>
      <c r="CP522" s="13" t="n">
        <v>109</v>
      </c>
      <c r="CQ522" s="13" t="n">
        <v>164</v>
      </c>
      <c r="CR522" s="13" t="n">
        <v>6</v>
      </c>
      <c r="CS522" s="13" t="n">
        <v>6.2</v>
      </c>
      <c r="CT522" s="11" t="inlineStr">
        <is>
          <t xml:space="preserve"> Resort Freeride</t>
        </is>
      </c>
      <c r="CU522" s="11" t="inlineStr">
        <is>
          <t xml:space="preserve"> Touring</t>
        </is>
      </c>
      <c r="CV522" s="13" t="n"/>
      <c r="CW522" s="13" t="n"/>
      <c r="CX522">
        <f>INDEX('Data_Price '!AG$2:AG$1266,MATCH(Data!$DN522,'Data_Price '!$AT$2:$AT$1266,0))</f>
        <v/>
      </c>
      <c r="CY522">
        <f>INDEX('Data_Price '!AH$2:AH$1266,MATCH(Data!$DN522,'Data_Price '!$AT$2:$AT$1266,0))</f>
        <v/>
      </c>
      <c r="CZ522">
        <f>INDEX('Data_Price '!AI$2:AI$1266,MATCH(Data!$DN522,'Data_Price '!$AT$2:$AT$1266,0))</f>
        <v/>
      </c>
      <c r="DA522">
        <f>INDEX('Data_Price '!AJ$2:AJ$1266,MATCH(Data!$DN522,'Data_Price '!$AT$2:$AT$1266,0))</f>
        <v/>
      </c>
      <c r="DB522">
        <f>INDEX('Data_Price '!AK$2:AK$1266,MATCH(Data!$DN522,'Data_Price '!$AT$2:$AT$1266,0))</f>
        <v/>
      </c>
      <c r="DC522">
        <f>INDEX('Data_Price '!AL$2:AL$1266,MATCH(Data!$DN522,'Data_Price '!$AT$2:$AT$1266,0))</f>
        <v/>
      </c>
      <c r="DD522">
        <f>INDEX('Data_Price '!AM$2:AM$1266,MATCH(Data!$DN522,'Data_Price '!$AT$2:$AT$1266,0))</f>
        <v/>
      </c>
      <c r="DE522">
        <f>INDEX('Data_Price '!AN$2:AN$1266,MATCH(Data!$DN522,'Data_Price '!$AT$2:$AT$1266,0))</f>
        <v/>
      </c>
      <c r="DF522">
        <f>INDEX('Data_Price '!AO$2:AO$1266,MATCH(Data!$DN522,'Data_Price '!$AT$2:$AT$1266,0))</f>
        <v/>
      </c>
      <c r="DG522">
        <f>INDEX('Data_Price '!AP$2:AP$1266,MATCH(Data!$DN522,'Data_Price '!$AT$2:$AT$1266,0))</f>
        <v/>
      </c>
      <c r="DH522">
        <f>INDEX('Data_Price '!AQ$2:AQ$1266,MATCH(Data!$DN522,'Data_Price '!$AT$2:$AT$1266,0))</f>
        <v/>
      </c>
      <c r="DI522">
        <f>INDEX('Data_Price '!AR$2:AR$1266,MATCH(Data!$DN522,'Data_Price '!$AT$2:$AT$1266,0))</f>
        <v/>
      </c>
      <c r="DJ522" s="138">
        <f>DA522</f>
        <v/>
      </c>
      <c r="DK522" s="138">
        <f>DE522</f>
        <v/>
      </c>
      <c r="DL522" s="138">
        <f>DI522</f>
        <v/>
      </c>
      <c r="DM522" s="303">
        <f>IF(LEFT(BT522,1)=" ",RIGHT(BT522,LEN(BT522)-1),BT522)</f>
        <v/>
      </c>
      <c r="DN522" s="138">
        <f>_xlfn.CONCAT(BS522,DM522,BU522,BV522)</f>
        <v/>
      </c>
      <c r="DO522" s="307" t="n"/>
    </row>
    <row r="523" ht="15.6" customHeight="1" s="184">
      <c r="B523" s="303">
        <f t="array" ref="B523">IF(OR(ISERROR(K523:P523)),FALSE,TRUE)</f>
        <v/>
      </c>
      <c r="C523" s="60">
        <f>OR(BR523=Driver!$G$50,Data!BR1015=Driver!$H$50)</f>
        <v/>
      </c>
      <c r="D523" s="60">
        <f>OR(BV523=Driver!$G$51,BV523=Driver!$H$51)</f>
        <v/>
      </c>
      <c r="E523" s="60">
        <f>AND(BX523&gt;Driver!$F$54,BX523&lt;Driver!$G$54)</f>
        <v/>
      </c>
      <c r="F523" s="60">
        <f>CL523&gt;Driver!$F$56</f>
        <v/>
      </c>
      <c r="G523" s="60">
        <f>AND(CB523&gt;Driver!$F$55,CB523&lt;Driver!$G$55)</f>
        <v/>
      </c>
      <c r="H523" s="60">
        <f>AND(B523:G523)</f>
        <v/>
      </c>
      <c r="I523" s="60">
        <f>COUNTIFS($H$9:$H$1273,TRUE,$BT$9:$BT$1273,BT523)</f>
        <v/>
      </c>
      <c r="J523" s="60">
        <f t="array" ref="J523">NOT(OR(($H$9:$H$1273=TRUE)*($I$9:$I$1273&gt;0)*($BT$9:$BT$1273=BT523)*($K$9:$K$1273&gt;K523)))</f>
        <v/>
      </c>
      <c r="K523" s="108">
        <f>IFERROR(1-AVERAGE(X523:Y523),"")</f>
        <v/>
      </c>
      <c r="L523" s="108">
        <f>1-X523</f>
        <v/>
      </c>
      <c r="M523" s="108">
        <f>1-Y523</f>
        <v/>
      </c>
      <c r="N523" s="108">
        <f>1-Z523</f>
        <v/>
      </c>
      <c r="O523" s="108">
        <f>1-AA523</f>
        <v/>
      </c>
      <c r="P523" s="108">
        <f>1-AB523</f>
        <v/>
      </c>
      <c r="Q523" s="108" t="n"/>
      <c r="R523" s="108" t="n"/>
      <c r="S523" s="108">
        <f>1-AE523</f>
        <v/>
      </c>
      <c r="T523" s="108">
        <f>1-AF523</f>
        <v/>
      </c>
      <c r="U523" s="108">
        <f>1-AG523</f>
        <v/>
      </c>
      <c r="V523" s="108">
        <f>1-AH523</f>
        <v/>
      </c>
      <c r="W523" s="108">
        <f>1-AI523</f>
        <v/>
      </c>
      <c r="X523" s="108">
        <f>ABS(AJ523-AJ$1)</f>
        <v/>
      </c>
      <c r="Y523" s="108">
        <f>AVERAGE(Z523:AB523)</f>
        <v/>
      </c>
      <c r="Z523" s="108">
        <f>ABS(AL523-AL$1)</f>
        <v/>
      </c>
      <c r="AA523" s="108">
        <f>ABS(AM523-AM$1)</f>
        <v/>
      </c>
      <c r="AB523" s="108">
        <f>ABS(AN523-AN$1)</f>
        <v/>
      </c>
      <c r="AC523" s="108" t="n"/>
      <c r="AD523" s="108" t="n"/>
      <c r="AE523" s="108">
        <f>ABS(AQ$1-AQ523)</f>
        <v/>
      </c>
      <c r="AF523" s="108">
        <f>ABS(AR$1-AR523)</f>
        <v/>
      </c>
      <c r="AG523" s="108">
        <f>ABS(AS$1-AS523)</f>
        <v/>
      </c>
      <c r="AH523" s="108">
        <f>ABS(AT$1-AT523)</f>
        <v/>
      </c>
      <c r="AI523" s="108">
        <f>ABS(AU$1-AU523)</f>
        <v/>
      </c>
      <c r="AJ523" s="108">
        <f>(AV523-Driver!$K$179)/(Driver!$L$179-Driver!$K$179)</f>
        <v/>
      </c>
      <c r="AK523" s="108">
        <f>(AW523-Driver!$K$180)/(Driver!$L$180-Driver!$K$180)</f>
        <v/>
      </c>
      <c r="AL523" s="108">
        <f>(AX523-Driver!$K$181)/(Driver!$L$181-Driver!$K$181)</f>
        <v/>
      </c>
      <c r="AM523" s="108">
        <f>(AY523-Driver!$K$182)/(Driver!$L$182-Driver!$K$182)</f>
        <v/>
      </c>
      <c r="AN523" s="108">
        <f>(AZ523-Driver!$K$183)/(Driver!$L$183-Driver!$K$183)</f>
        <v/>
      </c>
      <c r="AO523" s="108" t="n"/>
      <c r="AP523" s="108" t="n"/>
      <c r="AQ523" s="108">
        <f>(BC523-Driver!$K$188)/(Driver!$L$188-Driver!$K$188)</f>
        <v/>
      </c>
      <c r="AR523" s="108">
        <f>MIN((BD523-Driver!$K$189)/(Driver!$L$189-Driver!$K$189),100%)</f>
        <v/>
      </c>
      <c r="AS523" s="108">
        <f>(BE523-Driver!$K$190)/(Driver!$L$190-Driver!$K$190)</f>
        <v/>
      </c>
      <c r="AT523" s="108">
        <f>(BF523-Driver!$K$191)/(Driver!$L$191-Driver!$K$191)</f>
        <v/>
      </c>
      <c r="AU523" s="108">
        <f>(BG523-Driver!$K$192)/(Driver!$L$192-Driver!$K$192)</f>
        <v/>
      </c>
      <c r="AV523" s="105">
        <f>IFERROR(BM523*BJ523^1/4,"")</f>
        <v/>
      </c>
      <c r="AW523" s="105">
        <f>IFERROR(SUM(AX523:AZ523),"")</f>
        <v/>
      </c>
      <c r="AX523" s="105">
        <f>IFERROR(BH523,"")</f>
        <v/>
      </c>
      <c r="AY523" s="105">
        <f>IFERROR(Driver!$K$19/Data!BH523/Data!BI523*Data!BK523*Data!BL523,"")</f>
        <v/>
      </c>
      <c r="AZ523" s="105">
        <f>IFERROR(BI523*BN523,"")</f>
        <v/>
      </c>
      <c r="BA523" s="105" t="n"/>
      <c r="BB523" s="105" t="n"/>
      <c r="BC523" s="105">
        <f>IFERROR(BI523*BN523*BK523/BJ523^(1/2),"")</f>
        <v/>
      </c>
      <c r="BD523" s="105">
        <f>IFERROR(BH523*BM523*BL523/BJ523/BK523,"")</f>
        <v/>
      </c>
      <c r="BE523" s="105">
        <f>IFERROR(MIN(BI523/BQ523/BP523/BO523/BH523,$BE$1),"")</f>
        <v/>
      </c>
      <c r="BF523" s="105">
        <f>IFERROR(BJ523*BO523*BP523/BK523,"")</f>
        <v/>
      </c>
      <c r="BG523" s="105">
        <f>IFERROR(1/BM523/BH523*BQ523,"")</f>
        <v/>
      </c>
      <c r="BH523" s="102">
        <f>MAX((CE523-Driver!$F$200)/(Driver!$G$200-Driver!$F$200)*$BI$1,1)</f>
        <v/>
      </c>
      <c r="BI523" s="102">
        <f>MAX($BI$1*(BY523-Driver!$F$201)/(Driver!$G$201-Driver!$F$201),1)</f>
        <v/>
      </c>
      <c r="BJ523" s="102">
        <f>(CB523-Driver!$F$206)/(Driver!$G$206-Driver!$F$206)*$BI$1</f>
        <v/>
      </c>
      <c r="BK523" s="102">
        <f>(CD523-Driver!$F$203)/(Driver!$G$203-Driver!$F$203)*$BI$1</f>
        <v/>
      </c>
      <c r="BL523" s="102">
        <f>MAX((CR523-Driver!$F$202)/(Driver!$G$202-Driver!$F$202)*$BI$1,1)</f>
        <v/>
      </c>
      <c r="BM523" s="102">
        <f>MAX((CH523-Driver!$F$204)/(Driver!$G$204-Driver!$F$204)*$BI$1,1)</f>
        <v/>
      </c>
      <c r="BN523" s="102">
        <f>(CI523-Driver!$F$205)/(Driver!$G$205-Driver!$F$205)*$BI$1</f>
        <v/>
      </c>
      <c r="BO523" s="102">
        <f>(CK523-Driver!$F$207)/(Driver!$G$207-Driver!$F$207)*$BI$1</f>
        <v/>
      </c>
      <c r="BP523" s="102">
        <f>(CM523-Driver!$F$208)/(Driver!$G$208-Driver!$F$208)*$BI$1</f>
        <v/>
      </c>
      <c r="BQ523" s="102">
        <f>(CL523-Driver!$F$209)/(Driver!$G$209-Driver!$F$209)*$BI$1</f>
        <v/>
      </c>
      <c r="BR523" s="40" t="inlineStr">
        <is>
          <t>21/22</t>
        </is>
      </c>
      <c r="BS523" s="10" t="inlineStr">
        <is>
          <t xml:space="preserve"> Rossignol</t>
        </is>
      </c>
      <c r="BT523" s="11" t="inlineStr">
        <is>
          <t>Experience 82 Ti W</t>
        </is>
      </c>
      <c r="BU523" s="13" t="n">
        <v>151</v>
      </c>
      <c r="BV523" s="11" t="inlineStr">
        <is>
          <t xml:space="preserve"> Women's</t>
        </is>
      </c>
      <c r="BW523" s="13" t="n">
        <v>151</v>
      </c>
      <c r="BX523" s="13" t="n">
        <v>150.4</v>
      </c>
      <c r="BY523" s="13" t="n">
        <v>111</v>
      </c>
      <c r="BZ523" s="13" t="n">
        <v>136</v>
      </c>
      <c r="CA523" s="13" t="n">
        <v>125</v>
      </c>
      <c r="CB523" s="13" t="n">
        <v>80</v>
      </c>
      <c r="CC523" s="13" t="n">
        <v>113</v>
      </c>
      <c r="CD523" s="13" t="n">
        <v>11.3</v>
      </c>
      <c r="CE523" s="13" t="n">
        <v>1660</v>
      </c>
      <c r="CF523" s="13" t="n">
        <v>0.86</v>
      </c>
      <c r="CG523" s="13" t="n">
        <v>1425</v>
      </c>
      <c r="CH523" s="13" t="n">
        <v>162</v>
      </c>
      <c r="CI523" s="13" t="n">
        <v>88</v>
      </c>
      <c r="CJ523" s="13" t="n">
        <v>47</v>
      </c>
      <c r="CK523" s="13" t="n">
        <v>261</v>
      </c>
      <c r="CL523" s="13" t="n">
        <v>14</v>
      </c>
      <c r="CM523" s="13" t="n">
        <v>134</v>
      </c>
      <c r="CN523" s="13" t="n">
        <v>0.291</v>
      </c>
      <c r="CO523" s="13" t="n">
        <v>78</v>
      </c>
      <c r="CP523" s="13" t="n">
        <v>63</v>
      </c>
      <c r="CQ523" s="13" t="n">
        <v>183</v>
      </c>
      <c r="CR523" s="13" t="n">
        <v>8</v>
      </c>
      <c r="CS523" s="13" t="n">
        <v>6.6</v>
      </c>
      <c r="CT523" s="11" t="inlineStr">
        <is>
          <t xml:space="preserve"> Other</t>
        </is>
      </c>
      <c r="CU523" s="13" t="n"/>
      <c r="CV523" s="13" t="n"/>
      <c r="CW523" s="13" t="n"/>
      <c r="CX523">
        <f>INDEX('Data_Price '!AG$2:AG$1266,MATCH(Data!$DN523,'Data_Price '!$AT$2:$AT$1266,0))</f>
        <v/>
      </c>
      <c r="CY523">
        <f>INDEX('Data_Price '!AH$2:AH$1266,MATCH(Data!$DN523,'Data_Price '!$AT$2:$AT$1266,0))</f>
        <v/>
      </c>
      <c r="CZ523">
        <f>INDEX('Data_Price '!AI$2:AI$1266,MATCH(Data!$DN523,'Data_Price '!$AT$2:$AT$1266,0))</f>
        <v/>
      </c>
      <c r="DA523">
        <f>INDEX('Data_Price '!AJ$2:AJ$1266,MATCH(Data!$DN523,'Data_Price '!$AT$2:$AT$1266,0))</f>
        <v/>
      </c>
      <c r="DB523">
        <f>INDEX('Data_Price '!AK$2:AK$1266,MATCH(Data!$DN523,'Data_Price '!$AT$2:$AT$1266,0))</f>
        <v/>
      </c>
      <c r="DC523">
        <f>INDEX('Data_Price '!AL$2:AL$1266,MATCH(Data!$DN523,'Data_Price '!$AT$2:$AT$1266,0))</f>
        <v/>
      </c>
      <c r="DD523">
        <f>INDEX('Data_Price '!AM$2:AM$1266,MATCH(Data!$DN523,'Data_Price '!$AT$2:$AT$1266,0))</f>
        <v/>
      </c>
      <c r="DE523">
        <f>INDEX('Data_Price '!AN$2:AN$1266,MATCH(Data!$DN523,'Data_Price '!$AT$2:$AT$1266,0))</f>
        <v/>
      </c>
      <c r="DF523">
        <f>INDEX('Data_Price '!AO$2:AO$1266,MATCH(Data!$DN523,'Data_Price '!$AT$2:$AT$1266,0))</f>
        <v/>
      </c>
      <c r="DG523">
        <f>INDEX('Data_Price '!AP$2:AP$1266,MATCH(Data!$DN523,'Data_Price '!$AT$2:$AT$1266,0))</f>
        <v/>
      </c>
      <c r="DH523">
        <f>INDEX('Data_Price '!AQ$2:AQ$1266,MATCH(Data!$DN523,'Data_Price '!$AT$2:$AT$1266,0))</f>
        <v/>
      </c>
      <c r="DI523">
        <f>INDEX('Data_Price '!AR$2:AR$1266,MATCH(Data!$DN523,'Data_Price '!$AT$2:$AT$1266,0))</f>
        <v/>
      </c>
      <c r="DJ523" s="138">
        <f>DA523</f>
        <v/>
      </c>
      <c r="DK523" s="138">
        <f>DE523</f>
        <v/>
      </c>
      <c r="DL523" s="138">
        <f>DI523</f>
        <v/>
      </c>
      <c r="DM523" s="303">
        <f>IF(LEFT(BT523,1)=" ",RIGHT(BT523,LEN(BT523)-1),BT523)</f>
        <v/>
      </c>
      <c r="DN523" s="138">
        <f>_xlfn.CONCAT(BS523,DM523,BU523,BV523)</f>
        <v/>
      </c>
      <c r="DO523" s="307" t="n"/>
    </row>
    <row r="524" ht="15.6" customHeight="1" s="184">
      <c r="B524" s="303">
        <f t="array" ref="B524">IF(OR(ISERROR(K524:P524)),FALSE,TRUE)</f>
        <v/>
      </c>
      <c r="C524" s="60">
        <f>OR(BR524=Driver!$G$50,Data!BR1067=Driver!$H$50)</f>
        <v/>
      </c>
      <c r="D524" s="60">
        <f>OR(BV524=Driver!$G$51,BV524=Driver!$H$51)</f>
        <v/>
      </c>
      <c r="E524" s="60">
        <f>AND(BX524&gt;Driver!$F$54,BX524&lt;Driver!$G$54)</f>
        <v/>
      </c>
      <c r="F524" s="60">
        <f>CL524&gt;Driver!$F$56</f>
        <v/>
      </c>
      <c r="G524" s="60">
        <f>AND(CB524&gt;Driver!$F$55,CB524&lt;Driver!$G$55)</f>
        <v/>
      </c>
      <c r="H524" s="60">
        <f>AND(B524:G524)</f>
        <v/>
      </c>
      <c r="I524" s="60">
        <f>COUNTIFS($H$9:$H$1273,TRUE,$BT$9:$BT$1273,BT524)</f>
        <v/>
      </c>
      <c r="J524" s="60">
        <f t="array" ref="J524">NOT(OR(($H$9:$H$1273=TRUE)*($I$9:$I$1273&gt;0)*($BT$9:$BT$1273=BT524)*($K$9:$K$1273&gt;K524)))</f>
        <v/>
      </c>
      <c r="K524" s="108">
        <f>IFERROR(1-AVERAGE(X524:Y524),"")</f>
        <v/>
      </c>
      <c r="L524" s="108">
        <f>1-X524</f>
        <v/>
      </c>
      <c r="M524" s="108">
        <f>1-Y524</f>
        <v/>
      </c>
      <c r="N524" s="108">
        <f>1-Z524</f>
        <v/>
      </c>
      <c r="O524" s="108">
        <f>1-AA524</f>
        <v/>
      </c>
      <c r="P524" s="108">
        <f>1-AB524</f>
        <v/>
      </c>
      <c r="Q524" s="108" t="n"/>
      <c r="R524" s="108" t="n"/>
      <c r="S524" s="108">
        <f>1-AE524</f>
        <v/>
      </c>
      <c r="T524" s="108">
        <f>1-AF524</f>
        <v/>
      </c>
      <c r="U524" s="108">
        <f>1-AG524</f>
        <v/>
      </c>
      <c r="V524" s="108">
        <f>1-AH524</f>
        <v/>
      </c>
      <c r="W524" s="108">
        <f>1-AI524</f>
        <v/>
      </c>
      <c r="X524" s="108">
        <f>ABS(AJ524-AJ$1)</f>
        <v/>
      </c>
      <c r="Y524" s="108">
        <f>AVERAGE(Z524:AB524)</f>
        <v/>
      </c>
      <c r="Z524" s="108">
        <f>ABS(AL524-AL$1)</f>
        <v/>
      </c>
      <c r="AA524" s="108">
        <f>ABS(AM524-AM$1)</f>
        <v/>
      </c>
      <c r="AB524" s="108">
        <f>ABS(AN524-AN$1)</f>
        <v/>
      </c>
      <c r="AC524" s="108" t="n"/>
      <c r="AD524" s="108" t="n"/>
      <c r="AE524" s="108">
        <f>ABS(AQ$1-AQ524)</f>
        <v/>
      </c>
      <c r="AF524" s="108">
        <f>ABS(AR$1-AR524)</f>
        <v/>
      </c>
      <c r="AG524" s="108">
        <f>ABS(AS$1-AS524)</f>
        <v/>
      </c>
      <c r="AH524" s="108">
        <f>ABS(AT$1-AT524)</f>
        <v/>
      </c>
      <c r="AI524" s="108">
        <f>ABS(AU$1-AU524)</f>
        <v/>
      </c>
      <c r="AJ524" s="108">
        <f>(AV524-Driver!$K$179)/(Driver!$L$179-Driver!$K$179)</f>
        <v/>
      </c>
      <c r="AK524" s="108">
        <f>(AW524-Driver!$K$180)/(Driver!$L$180-Driver!$K$180)</f>
        <v/>
      </c>
      <c r="AL524" s="108">
        <f>(AX524-Driver!$K$181)/(Driver!$L$181-Driver!$K$181)</f>
        <v/>
      </c>
      <c r="AM524" s="108">
        <f>(AY524-Driver!$K$182)/(Driver!$L$182-Driver!$K$182)</f>
        <v/>
      </c>
      <c r="AN524" s="108">
        <f>(AZ524-Driver!$K$183)/(Driver!$L$183-Driver!$K$183)</f>
        <v/>
      </c>
      <c r="AO524" s="108" t="n"/>
      <c r="AP524" s="108" t="n"/>
      <c r="AQ524" s="108">
        <f>(BC524-Driver!$K$188)/(Driver!$L$188-Driver!$K$188)</f>
        <v/>
      </c>
      <c r="AR524" s="108">
        <f>MIN((BD524-Driver!$K$189)/(Driver!$L$189-Driver!$K$189),100%)</f>
        <v/>
      </c>
      <c r="AS524" s="108">
        <f>(BE524-Driver!$K$190)/(Driver!$L$190-Driver!$K$190)</f>
        <v/>
      </c>
      <c r="AT524" s="108">
        <f>(BF524-Driver!$K$191)/(Driver!$L$191-Driver!$K$191)</f>
        <v/>
      </c>
      <c r="AU524" s="108">
        <f>(BG524-Driver!$K$192)/(Driver!$L$192-Driver!$K$192)</f>
        <v/>
      </c>
      <c r="AV524" s="105">
        <f>IFERROR(BM524*BJ524^1/4,"")</f>
        <v/>
      </c>
      <c r="AW524" s="105">
        <f>IFERROR(SUM(AX524:AZ524),"")</f>
        <v/>
      </c>
      <c r="AX524" s="105">
        <f>IFERROR(BH524,"")</f>
        <v/>
      </c>
      <c r="AY524" s="105">
        <f>IFERROR(Driver!$K$19/Data!BH524/Data!BI524*Data!BK524*Data!BL524,"")</f>
        <v/>
      </c>
      <c r="AZ524" s="105">
        <f>IFERROR(BI524*BN524,"")</f>
        <v/>
      </c>
      <c r="BA524" s="105" t="n"/>
      <c r="BB524" s="105" t="n"/>
      <c r="BC524" s="105">
        <f>IFERROR(BI524*BN524*BK524/BJ524^(1/2),"")</f>
        <v/>
      </c>
      <c r="BD524" s="105">
        <f>IFERROR(BH524*BM524*BL524/BJ524/BK524,"")</f>
        <v/>
      </c>
      <c r="BE524" s="105">
        <f>IFERROR(MIN(BI524/BQ524/BP524/BO524/BH524,$BE$1),"")</f>
        <v/>
      </c>
      <c r="BF524" s="105">
        <f>IFERROR(BJ524*BO524*BP524/BK524,"")</f>
        <v/>
      </c>
      <c r="BG524" s="105">
        <f>IFERROR(1/BM524/BH524*BQ524,"")</f>
        <v/>
      </c>
      <c r="BH524" s="102">
        <f>MAX((CE524-Driver!$F$200)/(Driver!$G$200-Driver!$F$200)*$BI$1,1)</f>
        <v/>
      </c>
      <c r="BI524" s="102">
        <f>MAX($BI$1*(BY524-Driver!$F$201)/(Driver!$G$201-Driver!$F$201),1)</f>
        <v/>
      </c>
      <c r="BJ524" s="102">
        <f>(CB524-Driver!$F$206)/(Driver!$G$206-Driver!$F$206)*$BI$1</f>
        <v/>
      </c>
      <c r="BK524" s="102">
        <f>(CD524-Driver!$F$203)/(Driver!$G$203-Driver!$F$203)*$BI$1</f>
        <v/>
      </c>
      <c r="BL524" s="102">
        <f>MAX((CR524-Driver!$F$202)/(Driver!$G$202-Driver!$F$202)*$BI$1,1)</f>
        <v/>
      </c>
      <c r="BM524" s="102">
        <f>MAX((CH524-Driver!$F$204)/(Driver!$G$204-Driver!$F$204)*$BI$1,1)</f>
        <v/>
      </c>
      <c r="BN524" s="102">
        <f>(CI524-Driver!$F$205)/(Driver!$G$205-Driver!$F$205)*$BI$1</f>
        <v/>
      </c>
      <c r="BO524" s="102">
        <f>(CK524-Driver!$F$207)/(Driver!$G$207-Driver!$F$207)*$BI$1</f>
        <v/>
      </c>
      <c r="BP524" s="102">
        <f>(CM524-Driver!$F$208)/(Driver!$G$208-Driver!$F$208)*$BI$1</f>
        <v/>
      </c>
      <c r="BQ524" s="102">
        <f>(CL524-Driver!$F$209)/(Driver!$G$209-Driver!$F$209)*$BI$1</f>
        <v/>
      </c>
      <c r="BR524" s="40" t="inlineStr">
        <is>
          <t>21/22</t>
        </is>
      </c>
      <c r="BS524" s="10" t="inlineStr">
        <is>
          <t xml:space="preserve"> Salomon</t>
        </is>
      </c>
      <c r="BT524" s="11" t="inlineStr">
        <is>
          <t>QST 106</t>
        </is>
      </c>
      <c r="BU524" s="13" t="n">
        <v>181</v>
      </c>
      <c r="BV524" s="11" t="inlineStr">
        <is>
          <t xml:space="preserve"> Unisex</t>
        </is>
      </c>
      <c r="BW524" s="13" t="n">
        <v>181</v>
      </c>
      <c r="BX524" s="13" t="n">
        <v>180.9</v>
      </c>
      <c r="BY524" s="13" t="n">
        <v>114</v>
      </c>
      <c r="BZ524" s="13" t="n">
        <v>151</v>
      </c>
      <c r="CA524" s="13" t="n">
        <v>138</v>
      </c>
      <c r="CB524" s="13" t="n">
        <v>105</v>
      </c>
      <c r="CC524" s="13" t="n">
        <v>124</v>
      </c>
      <c r="CD524" s="13" t="n">
        <v>19.9</v>
      </c>
      <c r="CE524" s="13" t="n">
        <v>2130</v>
      </c>
      <c r="CF524" s="13" t="n">
        <v>0.98</v>
      </c>
      <c r="CG524" s="13" t="n">
        <v>2088</v>
      </c>
      <c r="CH524" s="13" t="n">
        <v>231</v>
      </c>
      <c r="CI524" s="13" t="n">
        <v>105</v>
      </c>
      <c r="CJ524" s="13" t="n">
        <v>56</v>
      </c>
      <c r="CK524" s="13" t="n">
        <v>381</v>
      </c>
      <c r="CL524" s="13" t="n">
        <v>20</v>
      </c>
      <c r="CM524" s="13" t="n">
        <v>291</v>
      </c>
      <c r="CN524" s="13" t="n">
        <v>0.348</v>
      </c>
      <c r="CO524" s="13" t="n">
        <v>179</v>
      </c>
      <c r="CP524" s="13" t="n">
        <v>115</v>
      </c>
      <c r="CQ524" s="13" t="n">
        <v>201</v>
      </c>
      <c r="CR524" s="13" t="n">
        <v>8</v>
      </c>
      <c r="CS524" s="13" t="n">
        <v>8</v>
      </c>
      <c r="CT524" s="11" t="inlineStr">
        <is>
          <t xml:space="preserve"> Resort Freeride</t>
        </is>
      </c>
      <c r="CU524" s="11" t="inlineStr">
        <is>
          <t xml:space="preserve"> Big Mountain</t>
        </is>
      </c>
      <c r="CV524" s="13" t="n"/>
      <c r="CW524" s="13" t="n"/>
      <c r="CX524">
        <f>INDEX('Data_Price '!AG$2:AG$1266,MATCH(Data!$DN524,'Data_Price '!$AT$2:$AT$1266,0))</f>
        <v/>
      </c>
      <c r="CY524">
        <f>INDEX('Data_Price '!AH$2:AH$1266,MATCH(Data!$DN524,'Data_Price '!$AT$2:$AT$1266,0))</f>
        <v/>
      </c>
      <c r="CZ524">
        <f>INDEX('Data_Price '!AI$2:AI$1266,MATCH(Data!$DN524,'Data_Price '!$AT$2:$AT$1266,0))</f>
        <v/>
      </c>
      <c r="DA524">
        <f>INDEX('Data_Price '!AJ$2:AJ$1266,MATCH(Data!$DN524,'Data_Price '!$AT$2:$AT$1266,0))</f>
        <v/>
      </c>
      <c r="DB524">
        <f>INDEX('Data_Price '!AK$2:AK$1266,MATCH(Data!$DN524,'Data_Price '!$AT$2:$AT$1266,0))</f>
        <v/>
      </c>
      <c r="DC524">
        <f>INDEX('Data_Price '!AL$2:AL$1266,MATCH(Data!$DN524,'Data_Price '!$AT$2:$AT$1266,0))</f>
        <v/>
      </c>
      <c r="DD524">
        <f>INDEX('Data_Price '!AM$2:AM$1266,MATCH(Data!$DN524,'Data_Price '!$AT$2:$AT$1266,0))</f>
        <v/>
      </c>
      <c r="DE524">
        <f>INDEX('Data_Price '!AN$2:AN$1266,MATCH(Data!$DN524,'Data_Price '!$AT$2:$AT$1266,0))</f>
        <v/>
      </c>
      <c r="DF524">
        <f>INDEX('Data_Price '!AO$2:AO$1266,MATCH(Data!$DN524,'Data_Price '!$AT$2:$AT$1266,0))</f>
        <v/>
      </c>
      <c r="DG524">
        <f>INDEX('Data_Price '!AP$2:AP$1266,MATCH(Data!$DN524,'Data_Price '!$AT$2:$AT$1266,0))</f>
        <v/>
      </c>
      <c r="DH524">
        <f>INDEX('Data_Price '!AQ$2:AQ$1266,MATCH(Data!$DN524,'Data_Price '!$AT$2:$AT$1266,0))</f>
        <v/>
      </c>
      <c r="DI524">
        <f>INDEX('Data_Price '!AR$2:AR$1266,MATCH(Data!$DN524,'Data_Price '!$AT$2:$AT$1266,0))</f>
        <v/>
      </c>
      <c r="DJ524" s="138">
        <f>DA524</f>
        <v/>
      </c>
      <c r="DK524" s="138">
        <f>DE524</f>
        <v/>
      </c>
      <c r="DL524" s="138">
        <f>DI524</f>
        <v/>
      </c>
      <c r="DM524" s="303">
        <f>IF(LEFT(BT524,1)=" ",RIGHT(BT524,LEN(BT524)-1),BT524)</f>
        <v/>
      </c>
      <c r="DN524" s="138">
        <f>_xlfn.CONCAT(BS524,DM524,BU524,BV524)</f>
        <v/>
      </c>
      <c r="DO524" s="307" t="inlineStr">
        <is>
          <t>https://images.evo.com/imgp/250/197272/812054/salomon-qst-106-skis-2022-.jpg</t>
        </is>
      </c>
    </row>
    <row r="525" ht="15.6" customHeight="1" s="184">
      <c r="B525" s="303">
        <f t="array" ref="B525">IF(OR(ISERROR(K525:P525)),FALSE,TRUE)</f>
        <v/>
      </c>
      <c r="C525" s="60">
        <f>OR(BR525=Driver!$G$50,Data!BR1196=Driver!$H$50)</f>
        <v/>
      </c>
      <c r="D525" s="60">
        <f>OR(BV525=Driver!$G$51,BV525=Driver!$H$51)</f>
        <v/>
      </c>
      <c r="E525" s="60">
        <f>AND(BX525&gt;Driver!$F$54,BX525&lt;Driver!$G$54)</f>
        <v/>
      </c>
      <c r="F525" s="60">
        <f>CL525&gt;Driver!$F$56</f>
        <v/>
      </c>
      <c r="G525" s="60">
        <f>AND(CB525&gt;Driver!$F$55,CB525&lt;Driver!$G$55)</f>
        <v/>
      </c>
      <c r="H525" s="60">
        <f>AND(B525:G525)</f>
        <v/>
      </c>
      <c r="I525" s="60">
        <f>COUNTIFS($H$9:$H$1273,TRUE,$BT$9:$BT$1273,BT525)</f>
        <v/>
      </c>
      <c r="J525" s="60">
        <f t="array" ref="J525">NOT(OR(($H$9:$H$1273=TRUE)*($I$9:$I$1273&gt;0)*($BT$9:$BT$1273=BT525)*($K$9:$K$1273&gt;K525)))</f>
        <v/>
      </c>
      <c r="K525" s="108">
        <f>IFERROR(1-AVERAGE(X525:Y525),"")</f>
        <v/>
      </c>
      <c r="L525" s="108">
        <f>1-X525</f>
        <v/>
      </c>
      <c r="M525" s="108">
        <f>1-Y525</f>
        <v/>
      </c>
      <c r="N525" s="108">
        <f>1-Z525</f>
        <v/>
      </c>
      <c r="O525" s="108">
        <f>1-AA525</f>
        <v/>
      </c>
      <c r="P525" s="108">
        <f>1-AB525</f>
        <v/>
      </c>
      <c r="Q525" s="108" t="n"/>
      <c r="R525" s="108" t="n"/>
      <c r="S525" s="108">
        <f>1-AE525</f>
        <v/>
      </c>
      <c r="T525" s="108">
        <f>1-AF525</f>
        <v/>
      </c>
      <c r="U525" s="108">
        <f>1-AG525</f>
        <v/>
      </c>
      <c r="V525" s="108">
        <f>1-AH525</f>
        <v/>
      </c>
      <c r="W525" s="108">
        <f>1-AI525</f>
        <v/>
      </c>
      <c r="X525" s="108">
        <f>ABS(AJ525-AJ$1)</f>
        <v/>
      </c>
      <c r="Y525" s="108">
        <f>AVERAGE(Z525:AB525)</f>
        <v/>
      </c>
      <c r="Z525" s="108">
        <f>ABS(AL525-AL$1)</f>
        <v/>
      </c>
      <c r="AA525" s="108">
        <f>ABS(AM525-AM$1)</f>
        <v/>
      </c>
      <c r="AB525" s="108">
        <f>ABS(AN525-AN$1)</f>
        <v/>
      </c>
      <c r="AC525" s="108" t="n"/>
      <c r="AD525" s="108" t="n"/>
      <c r="AE525" s="108">
        <f>ABS(AQ$1-AQ525)</f>
        <v/>
      </c>
      <c r="AF525" s="108">
        <f>ABS(AR$1-AR525)</f>
        <v/>
      </c>
      <c r="AG525" s="108">
        <f>ABS(AS$1-AS525)</f>
        <v/>
      </c>
      <c r="AH525" s="108">
        <f>ABS(AT$1-AT525)</f>
        <v/>
      </c>
      <c r="AI525" s="108">
        <f>ABS(AU$1-AU525)</f>
        <v/>
      </c>
      <c r="AJ525" s="108">
        <f>(AV525-Driver!$K$179)/(Driver!$L$179-Driver!$K$179)</f>
        <v/>
      </c>
      <c r="AK525" s="108">
        <f>(AW525-Driver!$K$180)/(Driver!$L$180-Driver!$K$180)</f>
        <v/>
      </c>
      <c r="AL525" s="108">
        <f>(AX525-Driver!$K$181)/(Driver!$L$181-Driver!$K$181)</f>
        <v/>
      </c>
      <c r="AM525" s="108">
        <f>(AY525-Driver!$K$182)/(Driver!$L$182-Driver!$K$182)</f>
        <v/>
      </c>
      <c r="AN525" s="108">
        <f>(AZ525-Driver!$K$183)/(Driver!$L$183-Driver!$K$183)</f>
        <v/>
      </c>
      <c r="AO525" s="108" t="n"/>
      <c r="AP525" s="108" t="n"/>
      <c r="AQ525" s="108">
        <f>(BC525-Driver!$K$188)/(Driver!$L$188-Driver!$K$188)</f>
        <v/>
      </c>
      <c r="AR525" s="108">
        <f>MIN((BD525-Driver!$K$189)/(Driver!$L$189-Driver!$K$189),100%)</f>
        <v/>
      </c>
      <c r="AS525" s="108">
        <f>(BE525-Driver!$K$190)/(Driver!$L$190-Driver!$K$190)</f>
        <v/>
      </c>
      <c r="AT525" s="108">
        <f>(BF525-Driver!$K$191)/(Driver!$L$191-Driver!$K$191)</f>
        <v/>
      </c>
      <c r="AU525" s="108">
        <f>(BG525-Driver!$K$192)/(Driver!$L$192-Driver!$K$192)</f>
        <v/>
      </c>
      <c r="AV525" s="105">
        <f>IFERROR(BM525*BJ525^1/4,"")</f>
        <v/>
      </c>
      <c r="AW525" s="105">
        <f>IFERROR(SUM(AX525:AZ525),"")</f>
        <v/>
      </c>
      <c r="AX525" s="105">
        <f>IFERROR(BH525,"")</f>
        <v/>
      </c>
      <c r="AY525" s="105">
        <f>IFERROR(Driver!$K$19/Data!BH525/Data!BI525*Data!BK525*Data!BL525,"")</f>
        <v/>
      </c>
      <c r="AZ525" s="105">
        <f>IFERROR(BI525*BN525,"")</f>
        <v/>
      </c>
      <c r="BA525" s="105" t="n"/>
      <c r="BB525" s="105" t="n"/>
      <c r="BC525" s="105">
        <f>IFERROR(BI525*BN525*BK525/BJ525^(1/2),"")</f>
        <v/>
      </c>
      <c r="BD525" s="105">
        <f>IFERROR(BH525*BM525*BL525/BJ525/BK525,"")</f>
        <v/>
      </c>
      <c r="BE525" s="105">
        <f>IFERROR(MIN(BI525/BQ525/BP525/BO525/BH525,$BE$1),"")</f>
        <v/>
      </c>
      <c r="BF525" s="105">
        <f>IFERROR(BJ525*BO525*BP525/BK525,"")</f>
        <v/>
      </c>
      <c r="BG525" s="105">
        <f>IFERROR(1/BM525/BH525*BQ525,"")</f>
        <v/>
      </c>
      <c r="BH525" s="102">
        <f>MAX((CE525-Driver!$F$200)/(Driver!$G$200-Driver!$F$200)*$BI$1,1)</f>
        <v/>
      </c>
      <c r="BI525" s="102">
        <f>MAX($BI$1*(BY525-Driver!$F$201)/(Driver!$G$201-Driver!$F$201),1)</f>
        <v/>
      </c>
      <c r="BJ525" s="102">
        <f>(CB525-Driver!$F$206)/(Driver!$G$206-Driver!$F$206)*$BI$1</f>
        <v/>
      </c>
      <c r="BK525" s="102">
        <f>(CD525-Driver!$F$203)/(Driver!$G$203-Driver!$F$203)*$BI$1</f>
        <v/>
      </c>
      <c r="BL525" s="102">
        <f>MAX((CR525-Driver!$F$202)/(Driver!$G$202-Driver!$F$202)*$BI$1,1)</f>
        <v/>
      </c>
      <c r="BM525" s="102">
        <f>MAX((CH525-Driver!$F$204)/(Driver!$G$204-Driver!$F$204)*$BI$1,1)</f>
        <v/>
      </c>
      <c r="BN525" s="102">
        <f>(CI525-Driver!$F$205)/(Driver!$G$205-Driver!$F$205)*$BI$1</f>
        <v/>
      </c>
      <c r="BO525" s="102">
        <f>(CK525-Driver!$F$207)/(Driver!$G$207-Driver!$F$207)*$BI$1</f>
        <v/>
      </c>
      <c r="BP525" s="102">
        <f>(CM525-Driver!$F$208)/(Driver!$G$208-Driver!$F$208)*$BI$1</f>
        <v/>
      </c>
      <c r="BQ525" s="102">
        <f>(CL525-Driver!$F$209)/(Driver!$G$209-Driver!$F$209)*$BI$1</f>
        <v/>
      </c>
      <c r="BR525" s="40" t="inlineStr">
        <is>
          <t>21/22</t>
        </is>
      </c>
      <c r="BS525" s="10" t="inlineStr">
        <is>
          <t xml:space="preserve"> Völkl</t>
        </is>
      </c>
      <c r="BT525" s="11" t="inlineStr">
        <is>
          <t xml:space="preserve"> Flair SC Carbon</t>
        </is>
      </c>
      <c r="BU525" s="13" t="n">
        <v>150</v>
      </c>
      <c r="BV525" s="11" t="inlineStr">
        <is>
          <t xml:space="preserve"> Women's</t>
        </is>
      </c>
      <c r="BW525" s="13" t="n">
        <v>150</v>
      </c>
      <c r="BX525" s="13" t="n">
        <v>149.3</v>
      </c>
      <c r="BY525" s="13" t="n">
        <v>128</v>
      </c>
      <c r="BZ525" s="13" t="n">
        <v>135</v>
      </c>
      <c r="CA525" s="13" t="n">
        <v>122</v>
      </c>
      <c r="CB525" s="13" t="n">
        <v>70</v>
      </c>
      <c r="CC525" s="13" t="n">
        <v>103</v>
      </c>
      <c r="CD525" s="13" t="n">
        <v>10.4</v>
      </c>
      <c r="CE525" s="13" t="n">
        <v>1572</v>
      </c>
      <c r="CF525" s="13" t="n">
        <v>0.82</v>
      </c>
      <c r="CG525" s="13" t="n">
        <v>1282</v>
      </c>
      <c r="CH525" s="13" t="n">
        <v>199</v>
      </c>
      <c r="CI525" s="13" t="n">
        <v>69</v>
      </c>
      <c r="CJ525" s="13" t="n">
        <v>41</v>
      </c>
      <c r="CK525" s="13" t="n">
        <v>163</v>
      </c>
      <c r="CL525" s="13" t="n">
        <v>6</v>
      </c>
      <c r="CM525" s="13" t="n">
        <v>55</v>
      </c>
      <c r="CN525" s="13" t="n">
        <v>0.146</v>
      </c>
      <c r="CO525" s="13" t="n">
        <v>70</v>
      </c>
      <c r="CP525" s="13" t="n">
        <v>75</v>
      </c>
      <c r="CQ525" s="13" t="n">
        <v>93</v>
      </c>
      <c r="CR525" s="13" t="n">
        <v>4</v>
      </c>
      <c r="CS525" s="13" t="n">
        <v>12.4</v>
      </c>
      <c r="CT525" s="11" t="inlineStr">
        <is>
          <t xml:space="preserve"> On-Piste Carving</t>
        </is>
      </c>
      <c r="CU525" s="13" t="n"/>
      <c r="CV525" s="13" t="n"/>
      <c r="CW525" s="13" t="n"/>
      <c r="CX525">
        <f>INDEX('Data_Price '!AG$2:AG$1266,MATCH(Data!$DN525,'Data_Price '!$AT$2:$AT$1266,0))</f>
        <v/>
      </c>
      <c r="CY525">
        <f>INDEX('Data_Price '!AH$2:AH$1266,MATCH(Data!$DN525,'Data_Price '!$AT$2:$AT$1266,0))</f>
        <v/>
      </c>
      <c r="CZ525">
        <f>INDEX('Data_Price '!AI$2:AI$1266,MATCH(Data!$DN525,'Data_Price '!$AT$2:$AT$1266,0))</f>
        <v/>
      </c>
      <c r="DA525">
        <f>INDEX('Data_Price '!AJ$2:AJ$1266,MATCH(Data!$DN525,'Data_Price '!$AT$2:$AT$1266,0))</f>
        <v/>
      </c>
      <c r="DB525">
        <f>INDEX('Data_Price '!AK$2:AK$1266,MATCH(Data!$DN525,'Data_Price '!$AT$2:$AT$1266,0))</f>
        <v/>
      </c>
      <c r="DC525">
        <f>INDEX('Data_Price '!AL$2:AL$1266,MATCH(Data!$DN525,'Data_Price '!$AT$2:$AT$1266,0))</f>
        <v/>
      </c>
      <c r="DD525">
        <f>INDEX('Data_Price '!AM$2:AM$1266,MATCH(Data!$DN525,'Data_Price '!$AT$2:$AT$1266,0))</f>
        <v/>
      </c>
      <c r="DE525">
        <f>INDEX('Data_Price '!AN$2:AN$1266,MATCH(Data!$DN525,'Data_Price '!$AT$2:$AT$1266,0))</f>
        <v/>
      </c>
      <c r="DF525">
        <f>INDEX('Data_Price '!AO$2:AO$1266,MATCH(Data!$DN525,'Data_Price '!$AT$2:$AT$1266,0))</f>
        <v/>
      </c>
      <c r="DG525">
        <f>INDEX('Data_Price '!AP$2:AP$1266,MATCH(Data!$DN525,'Data_Price '!$AT$2:$AT$1266,0))</f>
        <v/>
      </c>
      <c r="DH525">
        <f>INDEX('Data_Price '!AQ$2:AQ$1266,MATCH(Data!$DN525,'Data_Price '!$AT$2:$AT$1266,0))</f>
        <v/>
      </c>
      <c r="DI525">
        <f>INDEX('Data_Price '!AR$2:AR$1266,MATCH(Data!$DN525,'Data_Price '!$AT$2:$AT$1266,0))</f>
        <v/>
      </c>
      <c r="DJ525" s="138">
        <f>DA525</f>
        <v/>
      </c>
      <c r="DK525" s="138">
        <f>DE525</f>
        <v/>
      </c>
      <c r="DL525" s="138">
        <f>DI525</f>
        <v/>
      </c>
      <c r="DM525" s="303">
        <f>IF(LEFT(BT525,1)=" ",RIGHT(BT525,LEN(BT525)-1),BT525)</f>
        <v/>
      </c>
      <c r="DN525" s="138">
        <f>_xlfn.CONCAT(BS525,DM525,BU525,BV525)</f>
        <v/>
      </c>
      <c r="DO525" s="307" t="n"/>
    </row>
    <row r="526" ht="15.6" customHeight="1" s="184">
      <c r="B526" s="303">
        <f t="array" ref="B526">IF(OR(ISERROR(K526:P526)),FALSE,TRUE)</f>
        <v/>
      </c>
      <c r="C526" s="60">
        <f>OR(BR526=Driver!$G$50,Data!BR988=Driver!$H$50)</f>
        <v/>
      </c>
      <c r="D526" s="60">
        <f>OR(BV526=Driver!$G$51,BV526=Driver!$H$51)</f>
        <v/>
      </c>
      <c r="E526" s="60">
        <f>AND(BX526&gt;Driver!$F$54,BX526&lt;Driver!$G$54)</f>
        <v/>
      </c>
      <c r="F526" s="60">
        <f>CL526&gt;Driver!$F$56</f>
        <v/>
      </c>
      <c r="G526" s="60">
        <f>AND(CB526&gt;Driver!$F$55,CB526&lt;Driver!$G$55)</f>
        <v/>
      </c>
      <c r="H526" s="60">
        <f>AND(B526:G526)</f>
        <v/>
      </c>
      <c r="I526" s="60">
        <f>COUNTIFS($H$9:$H$1273,TRUE,$BT$9:$BT$1273,BT526)</f>
        <v/>
      </c>
      <c r="J526" s="60">
        <f t="array" ref="J526">NOT(OR(($H$9:$H$1273=TRUE)*($I$9:$I$1273&gt;0)*($BT$9:$BT$1273=BT526)*($K$9:$K$1273&gt;K526)))</f>
        <v/>
      </c>
      <c r="K526" s="108">
        <f>IFERROR(1-AVERAGE(X526:Y526),"")</f>
        <v/>
      </c>
      <c r="L526" s="108">
        <f>1-X526</f>
        <v/>
      </c>
      <c r="M526" s="108">
        <f>1-Y526</f>
        <v/>
      </c>
      <c r="N526" s="108">
        <f>1-Z526</f>
        <v/>
      </c>
      <c r="O526" s="108">
        <f>1-AA526</f>
        <v/>
      </c>
      <c r="P526" s="108">
        <f>1-AB526</f>
        <v/>
      </c>
      <c r="Q526" s="108" t="n"/>
      <c r="R526" s="108" t="n"/>
      <c r="S526" s="108">
        <f>1-AE526</f>
        <v/>
      </c>
      <c r="T526" s="108">
        <f>1-AF526</f>
        <v/>
      </c>
      <c r="U526" s="108">
        <f>1-AG526</f>
        <v/>
      </c>
      <c r="V526" s="108">
        <f>1-AH526</f>
        <v/>
      </c>
      <c r="W526" s="108">
        <f>1-AI526</f>
        <v/>
      </c>
      <c r="X526" s="108">
        <f>ABS(AJ526-AJ$1)</f>
        <v/>
      </c>
      <c r="Y526" s="108">
        <f>AVERAGE(Z526:AB526)</f>
        <v/>
      </c>
      <c r="Z526" s="108">
        <f>ABS(AL526-AL$1)</f>
        <v/>
      </c>
      <c r="AA526" s="108">
        <f>ABS(AM526-AM$1)</f>
        <v/>
      </c>
      <c r="AB526" s="108">
        <f>ABS(AN526-AN$1)</f>
        <v/>
      </c>
      <c r="AC526" s="108" t="n"/>
      <c r="AD526" s="108" t="n"/>
      <c r="AE526" s="108">
        <f>ABS(AQ$1-AQ526)</f>
        <v/>
      </c>
      <c r="AF526" s="108">
        <f>ABS(AR$1-AR526)</f>
        <v/>
      </c>
      <c r="AG526" s="108">
        <f>ABS(AS$1-AS526)</f>
        <v/>
      </c>
      <c r="AH526" s="108">
        <f>ABS(AT$1-AT526)</f>
        <v/>
      </c>
      <c r="AI526" s="108">
        <f>ABS(AU$1-AU526)</f>
        <v/>
      </c>
      <c r="AJ526" s="108">
        <f>(AV526-Driver!$K$179)/(Driver!$L$179-Driver!$K$179)</f>
        <v/>
      </c>
      <c r="AK526" s="108">
        <f>(AW526-Driver!$K$180)/(Driver!$L$180-Driver!$K$180)</f>
        <v/>
      </c>
      <c r="AL526" s="108">
        <f>(AX526-Driver!$K$181)/(Driver!$L$181-Driver!$K$181)</f>
        <v/>
      </c>
      <c r="AM526" s="108">
        <f>(AY526-Driver!$K$182)/(Driver!$L$182-Driver!$K$182)</f>
        <v/>
      </c>
      <c r="AN526" s="108">
        <f>(AZ526-Driver!$K$183)/(Driver!$L$183-Driver!$K$183)</f>
        <v/>
      </c>
      <c r="AO526" s="108" t="n"/>
      <c r="AP526" s="108" t="n"/>
      <c r="AQ526" s="108">
        <f>(BC526-Driver!$K$188)/(Driver!$L$188-Driver!$K$188)</f>
        <v/>
      </c>
      <c r="AR526" s="108">
        <f>MIN((BD526-Driver!$K$189)/(Driver!$L$189-Driver!$K$189),100%)</f>
        <v/>
      </c>
      <c r="AS526" s="108">
        <f>(BE526-Driver!$K$190)/(Driver!$L$190-Driver!$K$190)</f>
        <v/>
      </c>
      <c r="AT526" s="108">
        <f>(BF526-Driver!$K$191)/(Driver!$L$191-Driver!$K$191)</f>
        <v/>
      </c>
      <c r="AU526" s="108">
        <f>(BG526-Driver!$K$192)/(Driver!$L$192-Driver!$K$192)</f>
        <v/>
      </c>
      <c r="AV526" s="105">
        <f>IFERROR(BM526*BJ526^1/4,"")</f>
        <v/>
      </c>
      <c r="AW526" s="105">
        <f>IFERROR(SUM(AX526:AZ526),"")</f>
        <v/>
      </c>
      <c r="AX526" s="105">
        <f>IFERROR(BH526,"")</f>
        <v/>
      </c>
      <c r="AY526" s="105">
        <f>IFERROR(Driver!$K$19/Data!BH526/Data!BI526*Data!BK526*Data!BL526,"")</f>
        <v/>
      </c>
      <c r="AZ526" s="105">
        <f>IFERROR(BI526*BN526,"")</f>
        <v/>
      </c>
      <c r="BA526" s="105" t="n"/>
      <c r="BB526" s="105" t="n"/>
      <c r="BC526" s="105">
        <f>IFERROR(BI526*BN526*BK526/BJ526^(1/2),"")</f>
        <v/>
      </c>
      <c r="BD526" s="105">
        <f>IFERROR(BH526*BM526*BL526/BJ526/BK526,"")</f>
        <v/>
      </c>
      <c r="BE526" s="105">
        <f>IFERROR(MIN(BI526/BQ526/BP526/BO526/BH526,$BE$1),"")</f>
        <v/>
      </c>
      <c r="BF526" s="105">
        <f>IFERROR(BJ526*BO526*BP526/BK526,"")</f>
        <v/>
      </c>
      <c r="BG526" s="105">
        <f>IFERROR(1/BM526/BH526*BQ526,"")</f>
        <v/>
      </c>
      <c r="BH526" s="102">
        <f>MAX((CE526-Driver!$F$200)/(Driver!$G$200-Driver!$F$200)*$BI$1,1)</f>
        <v/>
      </c>
      <c r="BI526" s="102">
        <f>MAX($BI$1*(BY526-Driver!$F$201)/(Driver!$G$201-Driver!$F$201),1)</f>
        <v/>
      </c>
      <c r="BJ526" s="102">
        <f>(CB526-Driver!$F$206)/(Driver!$G$206-Driver!$F$206)*$BI$1</f>
        <v/>
      </c>
      <c r="BK526" s="102">
        <f>(CD526-Driver!$F$203)/(Driver!$G$203-Driver!$F$203)*$BI$1</f>
        <v/>
      </c>
      <c r="BL526" s="102">
        <f>MAX((CR526-Driver!$F$202)/(Driver!$G$202-Driver!$F$202)*$BI$1,1)</f>
        <v/>
      </c>
      <c r="BM526" s="102">
        <f>MAX((CH526-Driver!$F$204)/(Driver!$G$204-Driver!$F$204)*$BI$1,1)</f>
        <v/>
      </c>
      <c r="BN526" s="102">
        <f>(CI526-Driver!$F$205)/(Driver!$G$205-Driver!$F$205)*$BI$1</f>
        <v/>
      </c>
      <c r="BO526" s="102">
        <f>(CK526-Driver!$F$207)/(Driver!$G$207-Driver!$F$207)*$BI$1</f>
        <v/>
      </c>
      <c r="BP526" s="102">
        <f>(CM526-Driver!$F$208)/(Driver!$G$208-Driver!$F$208)*$BI$1</f>
        <v/>
      </c>
      <c r="BQ526" s="102">
        <f>(CL526-Driver!$F$209)/(Driver!$G$209-Driver!$F$209)*$BI$1</f>
        <v/>
      </c>
      <c r="BR526" s="40" t="inlineStr">
        <is>
          <t>21/22</t>
        </is>
      </c>
      <c r="BS526" s="10" t="inlineStr">
        <is>
          <t xml:space="preserve"> Rossignol</t>
        </is>
      </c>
      <c r="BT526" s="11" t="inlineStr">
        <is>
          <t xml:space="preserve"> Blackops Sender Ti</t>
        </is>
      </c>
      <c r="BU526" s="13" t="n">
        <v>180</v>
      </c>
      <c r="BV526" s="11" t="inlineStr">
        <is>
          <t xml:space="preserve"> Unisex</t>
        </is>
      </c>
      <c r="BW526" s="13" t="n">
        <v>180</v>
      </c>
      <c r="BX526" s="13" t="n">
        <v>178.2</v>
      </c>
      <c r="BY526" s="13" t="n">
        <v>136</v>
      </c>
      <c r="BZ526" s="13" t="n">
        <v>153</v>
      </c>
      <c r="CA526" s="13" t="n">
        <v>137</v>
      </c>
      <c r="CB526" s="13" t="n">
        <v>103</v>
      </c>
      <c r="CC526" s="13" t="n">
        <v>127</v>
      </c>
      <c r="CD526" s="13" t="n">
        <v>18.1</v>
      </c>
      <c r="CE526" s="13" t="n">
        <v>2054</v>
      </c>
      <c r="CF526" s="13" t="n">
        <v>0.99</v>
      </c>
      <c r="CG526" s="13" t="n">
        <v>2039</v>
      </c>
      <c r="CH526" s="13" t="n">
        <v>227</v>
      </c>
      <c r="CI526" s="13" t="n">
        <v>101</v>
      </c>
      <c r="CJ526" s="13" t="n">
        <v>49</v>
      </c>
      <c r="CK526" s="13" t="n">
        <v>298</v>
      </c>
      <c r="CL526" s="13" t="n">
        <v>10</v>
      </c>
      <c r="CM526" s="13" t="n">
        <v>129</v>
      </c>
      <c r="CN526" s="13" t="n">
        <v>0.207</v>
      </c>
      <c r="CO526" s="13" t="n">
        <v>144</v>
      </c>
      <c r="CP526" s="13" t="n">
        <v>110</v>
      </c>
      <c r="CQ526" s="13" t="n">
        <v>154</v>
      </c>
      <c r="CR526" s="13" t="n">
        <v>7</v>
      </c>
      <c r="CS526" s="13" t="n">
        <v>7.1</v>
      </c>
      <c r="CT526" s="11" t="inlineStr">
        <is>
          <t xml:space="preserve"> Resort Freeride</t>
        </is>
      </c>
      <c r="CU526" s="11" t="inlineStr">
        <is>
          <t xml:space="preserve"> Big Mountain</t>
        </is>
      </c>
      <c r="CV526" s="13" t="n"/>
      <c r="CW526" s="13" t="n"/>
      <c r="CX526">
        <f>INDEX('Data_Price '!AG$2:AG$1266,MATCH(Data!$DN526,'Data_Price '!$AT$2:$AT$1266,0))</f>
        <v/>
      </c>
      <c r="CY526">
        <f>INDEX('Data_Price '!AH$2:AH$1266,MATCH(Data!$DN526,'Data_Price '!$AT$2:$AT$1266,0))</f>
        <v/>
      </c>
      <c r="CZ526">
        <f>INDEX('Data_Price '!AI$2:AI$1266,MATCH(Data!$DN526,'Data_Price '!$AT$2:$AT$1266,0))</f>
        <v/>
      </c>
      <c r="DA526">
        <f>INDEX('Data_Price '!AJ$2:AJ$1266,MATCH(Data!$DN526,'Data_Price '!$AT$2:$AT$1266,0))</f>
        <v/>
      </c>
      <c r="DB526">
        <f>INDEX('Data_Price '!AK$2:AK$1266,MATCH(Data!$DN526,'Data_Price '!$AT$2:$AT$1266,0))</f>
        <v/>
      </c>
      <c r="DC526">
        <f>INDEX('Data_Price '!AL$2:AL$1266,MATCH(Data!$DN526,'Data_Price '!$AT$2:$AT$1266,0))</f>
        <v/>
      </c>
      <c r="DD526">
        <f>INDEX('Data_Price '!AM$2:AM$1266,MATCH(Data!$DN526,'Data_Price '!$AT$2:$AT$1266,0))</f>
        <v/>
      </c>
      <c r="DE526">
        <f>INDEX('Data_Price '!AN$2:AN$1266,MATCH(Data!$DN526,'Data_Price '!$AT$2:$AT$1266,0))</f>
        <v/>
      </c>
      <c r="DF526">
        <f>INDEX('Data_Price '!AO$2:AO$1266,MATCH(Data!$DN526,'Data_Price '!$AT$2:$AT$1266,0))</f>
        <v/>
      </c>
      <c r="DG526">
        <f>INDEX('Data_Price '!AP$2:AP$1266,MATCH(Data!$DN526,'Data_Price '!$AT$2:$AT$1266,0))</f>
        <v/>
      </c>
      <c r="DH526">
        <f>INDEX('Data_Price '!AQ$2:AQ$1266,MATCH(Data!$DN526,'Data_Price '!$AT$2:$AT$1266,0))</f>
        <v/>
      </c>
      <c r="DI526">
        <f>INDEX('Data_Price '!AR$2:AR$1266,MATCH(Data!$DN526,'Data_Price '!$AT$2:$AT$1266,0))</f>
        <v/>
      </c>
      <c r="DJ526" s="138">
        <f>DA526</f>
        <v/>
      </c>
      <c r="DK526" s="138">
        <f>DE526</f>
        <v/>
      </c>
      <c r="DL526" s="138">
        <f>DI526</f>
        <v/>
      </c>
      <c r="DM526" s="303">
        <f>IF(LEFT(BT526,1)=" ",RIGHT(BT526,LEN(BT526)-1),BT526)</f>
        <v/>
      </c>
      <c r="DN526" s="138">
        <f>_xlfn.CONCAT(BS526,DM526,BU526,BV526)</f>
        <v/>
      </c>
      <c r="DO526" s="307" t="n"/>
    </row>
    <row r="527" ht="15.6" customHeight="1" s="184">
      <c r="B527" s="303">
        <f t="array" ref="B527">IF(OR(ISERROR(K527:P527)),FALSE,TRUE)</f>
        <v/>
      </c>
      <c r="C527" s="60">
        <f>OR(BR527=Driver!$G$50,Data!BR1031=Driver!$H$50)</f>
        <v/>
      </c>
      <c r="D527" s="60">
        <f>OR(BV527=Driver!$G$51,BV527=Driver!$H$51)</f>
        <v/>
      </c>
      <c r="E527" s="60">
        <f>AND(BX527&gt;Driver!$F$54,BX527&lt;Driver!$G$54)</f>
        <v/>
      </c>
      <c r="F527" s="60">
        <f>CL527&gt;Driver!$F$56</f>
        <v/>
      </c>
      <c r="G527" s="60">
        <f>AND(CB527&gt;Driver!$F$55,CB527&lt;Driver!$G$55)</f>
        <v/>
      </c>
      <c r="H527" s="60">
        <f>AND(B527:G527)</f>
        <v/>
      </c>
      <c r="I527" s="60">
        <f>COUNTIFS($H$9:$H$1273,TRUE,$BT$9:$BT$1273,BT527)</f>
        <v/>
      </c>
      <c r="J527" s="60">
        <f t="array" ref="J527">NOT(OR(($H$9:$H$1273=TRUE)*($I$9:$I$1273&gt;0)*($BT$9:$BT$1273=BT527)*($K$9:$K$1273&gt;K527)))</f>
        <v/>
      </c>
      <c r="K527" s="108">
        <f>IFERROR(1-AVERAGE(X527:Y527),"")</f>
        <v/>
      </c>
      <c r="L527" s="108">
        <f>1-X527</f>
        <v/>
      </c>
      <c r="M527" s="108">
        <f>1-Y527</f>
        <v/>
      </c>
      <c r="N527" s="108">
        <f>1-Z527</f>
        <v/>
      </c>
      <c r="O527" s="108">
        <f>1-AA527</f>
        <v/>
      </c>
      <c r="P527" s="108">
        <f>1-AB527</f>
        <v/>
      </c>
      <c r="Q527" s="108" t="n"/>
      <c r="R527" s="108" t="n"/>
      <c r="S527" s="108">
        <f>1-AE527</f>
        <v/>
      </c>
      <c r="T527" s="108">
        <f>1-AF527</f>
        <v/>
      </c>
      <c r="U527" s="108">
        <f>1-AG527</f>
        <v/>
      </c>
      <c r="V527" s="108">
        <f>1-AH527</f>
        <v/>
      </c>
      <c r="W527" s="108">
        <f>1-AI527</f>
        <v/>
      </c>
      <c r="X527" s="108">
        <f>ABS(AJ527-AJ$1)</f>
        <v/>
      </c>
      <c r="Y527" s="108">
        <f>AVERAGE(Z527:AB527)</f>
        <v/>
      </c>
      <c r="Z527" s="108">
        <f>ABS(AL527-AL$1)</f>
        <v/>
      </c>
      <c r="AA527" s="108">
        <f>ABS(AM527-AM$1)</f>
        <v/>
      </c>
      <c r="AB527" s="108">
        <f>ABS(AN527-AN$1)</f>
        <v/>
      </c>
      <c r="AC527" s="108" t="n"/>
      <c r="AD527" s="108" t="n"/>
      <c r="AE527" s="108">
        <f>ABS(AQ$1-AQ527)</f>
        <v/>
      </c>
      <c r="AF527" s="108">
        <f>ABS(AR$1-AR527)</f>
        <v/>
      </c>
      <c r="AG527" s="108">
        <f>ABS(AS$1-AS527)</f>
        <v/>
      </c>
      <c r="AH527" s="108">
        <f>ABS(AT$1-AT527)</f>
        <v/>
      </c>
      <c r="AI527" s="108">
        <f>ABS(AU$1-AU527)</f>
        <v/>
      </c>
      <c r="AJ527" s="108">
        <f>(AV527-Driver!$K$179)/(Driver!$L$179-Driver!$K$179)</f>
        <v/>
      </c>
      <c r="AK527" s="108">
        <f>(AW527-Driver!$K$180)/(Driver!$L$180-Driver!$K$180)</f>
        <v/>
      </c>
      <c r="AL527" s="108">
        <f>(AX527-Driver!$K$181)/(Driver!$L$181-Driver!$K$181)</f>
        <v/>
      </c>
      <c r="AM527" s="108">
        <f>(AY527-Driver!$K$182)/(Driver!$L$182-Driver!$K$182)</f>
        <v/>
      </c>
      <c r="AN527" s="108">
        <f>(AZ527-Driver!$K$183)/(Driver!$L$183-Driver!$K$183)</f>
        <v/>
      </c>
      <c r="AO527" s="108" t="n"/>
      <c r="AP527" s="108" t="n"/>
      <c r="AQ527" s="108">
        <f>(BC527-Driver!$K$188)/(Driver!$L$188-Driver!$K$188)</f>
        <v/>
      </c>
      <c r="AR527" s="108">
        <f>MIN((BD527-Driver!$K$189)/(Driver!$L$189-Driver!$K$189),100%)</f>
        <v/>
      </c>
      <c r="AS527" s="108">
        <f>(BE527-Driver!$K$190)/(Driver!$L$190-Driver!$K$190)</f>
        <v/>
      </c>
      <c r="AT527" s="108">
        <f>(BF527-Driver!$K$191)/(Driver!$L$191-Driver!$K$191)</f>
        <v/>
      </c>
      <c r="AU527" s="108">
        <f>(BG527-Driver!$K$192)/(Driver!$L$192-Driver!$K$192)</f>
        <v/>
      </c>
      <c r="AV527" s="105">
        <f>IFERROR(BM527*BJ527^1/4,"")</f>
        <v/>
      </c>
      <c r="AW527" s="105">
        <f>IFERROR(SUM(AX527:AZ527),"")</f>
        <v/>
      </c>
      <c r="AX527" s="105">
        <f>IFERROR(BH527,"")</f>
        <v/>
      </c>
      <c r="AY527" s="105">
        <f>IFERROR(Driver!$K$19/Data!BH527/Data!BI527*Data!BK527*Data!BL527,"")</f>
        <v/>
      </c>
      <c r="AZ527" s="105">
        <f>IFERROR(BI527*BN527,"")</f>
        <v/>
      </c>
      <c r="BA527" s="105" t="n"/>
      <c r="BB527" s="105" t="n"/>
      <c r="BC527" s="105">
        <f>IFERROR(BI527*BN527*BK527/BJ527^(1/2),"")</f>
        <v/>
      </c>
      <c r="BD527" s="105">
        <f>IFERROR(BH527*BM527*BL527/BJ527/BK527,"")</f>
        <v/>
      </c>
      <c r="BE527" s="105">
        <f>IFERROR(MIN(BI527/BQ527/BP527/BO527/BH527,$BE$1),"")</f>
        <v/>
      </c>
      <c r="BF527" s="105">
        <f>IFERROR(BJ527*BO527*BP527/BK527,"")</f>
        <v/>
      </c>
      <c r="BG527" s="105">
        <f>IFERROR(1/BM527/BH527*BQ527,"")</f>
        <v/>
      </c>
      <c r="BH527" s="102">
        <f>MAX((CE527-Driver!$F$200)/(Driver!$G$200-Driver!$F$200)*$BI$1,1)</f>
        <v/>
      </c>
      <c r="BI527" s="102">
        <f>MAX($BI$1*(BY527-Driver!$F$201)/(Driver!$G$201-Driver!$F$201),1)</f>
        <v/>
      </c>
      <c r="BJ527" s="102">
        <f>(CB527-Driver!$F$206)/(Driver!$G$206-Driver!$F$206)*$BI$1</f>
        <v/>
      </c>
      <c r="BK527" s="102">
        <f>(CD527-Driver!$F$203)/(Driver!$G$203-Driver!$F$203)*$BI$1</f>
        <v/>
      </c>
      <c r="BL527" s="102">
        <f>MAX((CR527-Driver!$F$202)/(Driver!$G$202-Driver!$F$202)*$BI$1,1)</f>
        <v/>
      </c>
      <c r="BM527" s="102">
        <f>MAX((CH527-Driver!$F$204)/(Driver!$G$204-Driver!$F$204)*$BI$1,1)</f>
        <v/>
      </c>
      <c r="BN527" s="102">
        <f>(CI527-Driver!$F$205)/(Driver!$G$205-Driver!$F$205)*$BI$1</f>
        <v/>
      </c>
      <c r="BO527" s="102">
        <f>(CK527-Driver!$F$207)/(Driver!$G$207-Driver!$F$207)*$BI$1</f>
        <v/>
      </c>
      <c r="BP527" s="102">
        <f>(CM527-Driver!$F$208)/(Driver!$G$208-Driver!$F$208)*$BI$1</f>
        <v/>
      </c>
      <c r="BQ527" s="102">
        <f>(CL527-Driver!$F$209)/(Driver!$G$209-Driver!$F$209)*$BI$1</f>
        <v/>
      </c>
      <c r="BR527" s="40" t="inlineStr">
        <is>
          <t>21/22</t>
        </is>
      </c>
      <c r="BS527" s="10" t="inlineStr">
        <is>
          <t xml:space="preserve"> Rossignol</t>
        </is>
      </c>
      <c r="BT527" s="11" t="inlineStr">
        <is>
          <t xml:space="preserve"> Hero Elite Plus Ti</t>
        </is>
      </c>
      <c r="BU527" s="13" t="n">
        <v>160</v>
      </c>
      <c r="BV527" s="11" t="inlineStr">
        <is>
          <t xml:space="preserve"> Unisex</t>
        </is>
      </c>
      <c r="BW527" s="13" t="n">
        <v>160</v>
      </c>
      <c r="BX527" s="13" t="n">
        <v>159.7</v>
      </c>
      <c r="BY527" s="13" t="n">
        <v>140</v>
      </c>
      <c r="BZ527" s="13" t="n">
        <v>144</v>
      </c>
      <c r="CA527" s="13" t="n">
        <v>128</v>
      </c>
      <c r="CB527" s="13" t="n">
        <v>76</v>
      </c>
      <c r="CC527" s="13" t="n">
        <v>108</v>
      </c>
      <c r="CD527" s="13" t="n">
        <v>12.1</v>
      </c>
      <c r="CE527" s="13" t="n">
        <v>1969</v>
      </c>
      <c r="CF527" s="13" t="n">
        <v>0.75</v>
      </c>
      <c r="CG527" s="13" t="n">
        <v>1471</v>
      </c>
      <c r="CH527" s="13" t="n">
        <v>187</v>
      </c>
      <c r="CI527" s="13" t="n">
        <v>91</v>
      </c>
      <c r="CJ527" s="13" t="n">
        <v>39</v>
      </c>
      <c r="CK527" s="13" t="n">
        <v>137</v>
      </c>
      <c r="CL527" s="13" t="n">
        <v>5</v>
      </c>
      <c r="CM527" s="13" t="n">
        <v>65</v>
      </c>
      <c r="CN527" s="13" t="n">
        <v>0.119</v>
      </c>
      <c r="CO527" s="13" t="n">
        <v>91</v>
      </c>
      <c r="CP527" s="13" t="n">
        <v>63</v>
      </c>
      <c r="CQ527" s="13" t="n">
        <v>46</v>
      </c>
      <c r="CR527" s="13" t="n">
        <v>12</v>
      </c>
      <c r="CS527" s="13" t="n">
        <v>10</v>
      </c>
      <c r="CT527" s="11" t="inlineStr">
        <is>
          <t xml:space="preserve"> On-Piste Carving</t>
        </is>
      </c>
      <c r="CU527" s="13" t="n"/>
      <c r="CV527" s="13" t="n"/>
      <c r="CW527" s="13" t="n"/>
      <c r="CX527">
        <f>INDEX('Data_Price '!AG$2:AG$1266,MATCH(Data!$DN527,'Data_Price '!$AT$2:$AT$1266,0))</f>
        <v/>
      </c>
      <c r="CY527">
        <f>INDEX('Data_Price '!AH$2:AH$1266,MATCH(Data!$DN527,'Data_Price '!$AT$2:$AT$1266,0))</f>
        <v/>
      </c>
      <c r="CZ527">
        <f>INDEX('Data_Price '!AI$2:AI$1266,MATCH(Data!$DN527,'Data_Price '!$AT$2:$AT$1266,0))</f>
        <v/>
      </c>
      <c r="DA527">
        <f>INDEX('Data_Price '!AJ$2:AJ$1266,MATCH(Data!$DN527,'Data_Price '!$AT$2:$AT$1266,0))</f>
        <v/>
      </c>
      <c r="DB527">
        <f>INDEX('Data_Price '!AK$2:AK$1266,MATCH(Data!$DN527,'Data_Price '!$AT$2:$AT$1266,0))</f>
        <v/>
      </c>
      <c r="DC527">
        <f>INDEX('Data_Price '!AL$2:AL$1266,MATCH(Data!$DN527,'Data_Price '!$AT$2:$AT$1266,0))</f>
        <v/>
      </c>
      <c r="DD527">
        <f>INDEX('Data_Price '!AM$2:AM$1266,MATCH(Data!$DN527,'Data_Price '!$AT$2:$AT$1266,0))</f>
        <v/>
      </c>
      <c r="DE527">
        <f>INDEX('Data_Price '!AN$2:AN$1266,MATCH(Data!$DN527,'Data_Price '!$AT$2:$AT$1266,0))</f>
        <v/>
      </c>
      <c r="DF527">
        <f>INDEX('Data_Price '!AO$2:AO$1266,MATCH(Data!$DN527,'Data_Price '!$AT$2:$AT$1266,0))</f>
        <v/>
      </c>
      <c r="DG527">
        <f>INDEX('Data_Price '!AP$2:AP$1266,MATCH(Data!$DN527,'Data_Price '!$AT$2:$AT$1266,0))</f>
        <v/>
      </c>
      <c r="DH527">
        <f>INDEX('Data_Price '!AQ$2:AQ$1266,MATCH(Data!$DN527,'Data_Price '!$AT$2:$AT$1266,0))</f>
        <v/>
      </c>
      <c r="DI527">
        <f>INDEX('Data_Price '!AR$2:AR$1266,MATCH(Data!$DN527,'Data_Price '!$AT$2:$AT$1266,0))</f>
        <v/>
      </c>
      <c r="DJ527" s="138">
        <f>DA527</f>
        <v/>
      </c>
      <c r="DK527" s="138">
        <f>DE527</f>
        <v/>
      </c>
      <c r="DL527" s="138">
        <f>DI527</f>
        <v/>
      </c>
      <c r="DM527" s="303">
        <f>IF(LEFT(BT527,1)=" ",RIGHT(BT527,LEN(BT527)-1),BT527)</f>
        <v/>
      </c>
      <c r="DN527" s="138">
        <f>_xlfn.CONCAT(BS527,DM527,BU527,BV527)</f>
        <v/>
      </c>
      <c r="DO527" s="307" t="n"/>
    </row>
    <row r="528" ht="15.6" customHeight="1" s="184">
      <c r="B528" s="303">
        <f t="array" ref="B528">IF(OR(ISERROR(K528:P528)),FALSE,TRUE)</f>
        <v/>
      </c>
      <c r="C528" s="60">
        <f>OR(BR528=Driver!$G$50,Data!BR681=Driver!$H$50)</f>
        <v/>
      </c>
      <c r="D528" s="60">
        <f>OR(BV528=Driver!$G$51,BV528=Driver!$H$51)</f>
        <v/>
      </c>
      <c r="E528" s="60">
        <f>AND(BX528&gt;Driver!$F$54,BX528&lt;Driver!$G$54)</f>
        <v/>
      </c>
      <c r="F528" s="60">
        <f>CL528&gt;Driver!$F$56</f>
        <v/>
      </c>
      <c r="G528" s="60">
        <f>AND(CB528&gt;Driver!$F$55,CB528&lt;Driver!$G$55)</f>
        <v/>
      </c>
      <c r="H528" s="60">
        <f>AND(B528:G528)</f>
        <v/>
      </c>
      <c r="I528" s="60">
        <f>COUNTIFS($H$9:$H$1273,TRUE,$BT$9:$BT$1273,BT528)</f>
        <v/>
      </c>
      <c r="J528" s="60">
        <f t="array" ref="J528">NOT(OR(($H$9:$H$1273=TRUE)*($I$9:$I$1273&gt;0)*($BT$9:$BT$1273=BT528)*($K$9:$K$1273&gt;K528)))</f>
        <v/>
      </c>
      <c r="K528" s="108">
        <f>IFERROR(1-AVERAGE(X528:Y528),"")</f>
        <v/>
      </c>
      <c r="L528" s="108">
        <f>1-X528</f>
        <v/>
      </c>
      <c r="M528" s="108">
        <f>1-Y528</f>
        <v/>
      </c>
      <c r="N528" s="108">
        <f>1-Z528</f>
        <v/>
      </c>
      <c r="O528" s="108">
        <f>1-AA528</f>
        <v/>
      </c>
      <c r="P528" s="108">
        <f>1-AB528</f>
        <v/>
      </c>
      <c r="Q528" s="108" t="n"/>
      <c r="R528" s="108" t="n"/>
      <c r="S528" s="108">
        <f>1-AE528</f>
        <v/>
      </c>
      <c r="T528" s="108">
        <f>1-AF528</f>
        <v/>
      </c>
      <c r="U528" s="108">
        <f>1-AG528</f>
        <v/>
      </c>
      <c r="V528" s="108">
        <f>1-AH528</f>
        <v/>
      </c>
      <c r="W528" s="108">
        <f>1-AI528</f>
        <v/>
      </c>
      <c r="X528" s="108">
        <f>ABS(AJ528-AJ$1)</f>
        <v/>
      </c>
      <c r="Y528" s="108">
        <f>AVERAGE(Z528:AB528)</f>
        <v/>
      </c>
      <c r="Z528" s="108">
        <f>ABS(AL528-AL$1)</f>
        <v/>
      </c>
      <c r="AA528" s="108">
        <f>ABS(AM528-AM$1)</f>
        <v/>
      </c>
      <c r="AB528" s="108">
        <f>ABS(AN528-AN$1)</f>
        <v/>
      </c>
      <c r="AC528" s="108" t="n"/>
      <c r="AD528" s="108" t="n"/>
      <c r="AE528" s="108">
        <f>ABS(AQ$1-AQ528)</f>
        <v/>
      </c>
      <c r="AF528" s="108">
        <f>ABS(AR$1-AR528)</f>
        <v/>
      </c>
      <c r="AG528" s="108">
        <f>ABS(AS$1-AS528)</f>
        <v/>
      </c>
      <c r="AH528" s="108">
        <f>ABS(AT$1-AT528)</f>
        <v/>
      </c>
      <c r="AI528" s="108">
        <f>ABS(AU$1-AU528)</f>
        <v/>
      </c>
      <c r="AJ528" s="108">
        <f>(AV528-Driver!$K$179)/(Driver!$L$179-Driver!$K$179)</f>
        <v/>
      </c>
      <c r="AK528" s="108">
        <f>(AW528-Driver!$K$180)/(Driver!$L$180-Driver!$K$180)</f>
        <v/>
      </c>
      <c r="AL528" s="108">
        <f>(AX528-Driver!$K$181)/(Driver!$L$181-Driver!$K$181)</f>
        <v/>
      </c>
      <c r="AM528" s="108">
        <f>(AY528-Driver!$K$182)/(Driver!$L$182-Driver!$K$182)</f>
        <v/>
      </c>
      <c r="AN528" s="108">
        <f>(AZ528-Driver!$K$183)/(Driver!$L$183-Driver!$K$183)</f>
        <v/>
      </c>
      <c r="AO528" s="108" t="n"/>
      <c r="AP528" s="108" t="n"/>
      <c r="AQ528" s="108">
        <f>(BC528-Driver!$K$188)/(Driver!$L$188-Driver!$K$188)</f>
        <v/>
      </c>
      <c r="AR528" s="108">
        <f>MIN((BD528-Driver!$K$189)/(Driver!$L$189-Driver!$K$189),100%)</f>
        <v/>
      </c>
      <c r="AS528" s="108">
        <f>(BE528-Driver!$K$190)/(Driver!$L$190-Driver!$K$190)</f>
        <v/>
      </c>
      <c r="AT528" s="108">
        <f>(BF528-Driver!$K$191)/(Driver!$L$191-Driver!$K$191)</f>
        <v/>
      </c>
      <c r="AU528" s="108">
        <f>(BG528-Driver!$K$192)/(Driver!$L$192-Driver!$K$192)</f>
        <v/>
      </c>
      <c r="AV528" s="105">
        <f>IFERROR(BM528*BJ528^1/4,"")</f>
        <v/>
      </c>
      <c r="AW528" s="105">
        <f>IFERROR(SUM(AX528:AZ528),"")</f>
        <v/>
      </c>
      <c r="AX528" s="105">
        <f>IFERROR(BH528,"")</f>
        <v/>
      </c>
      <c r="AY528" s="105">
        <f>IFERROR(Driver!$K$19/Data!BH528/Data!BI528*Data!BK528*Data!BL528,"")</f>
        <v/>
      </c>
      <c r="AZ528" s="105">
        <f>IFERROR(BI528*BN528,"")</f>
        <v/>
      </c>
      <c r="BA528" s="105" t="n"/>
      <c r="BB528" s="105" t="n"/>
      <c r="BC528" s="105">
        <f>IFERROR(BI528*BN528*BK528/BJ528^(1/2),"")</f>
        <v/>
      </c>
      <c r="BD528" s="105">
        <f>IFERROR(BH528*BM528*BL528/BJ528/BK528,"")</f>
        <v/>
      </c>
      <c r="BE528" s="105">
        <f>IFERROR(MIN(BI528/BQ528/BP528/BO528/BH528,$BE$1),"")</f>
        <v/>
      </c>
      <c r="BF528" s="105">
        <f>IFERROR(BJ528*BO528*BP528/BK528,"")</f>
        <v/>
      </c>
      <c r="BG528" s="105">
        <f>IFERROR(1/BM528/BH528*BQ528,"")</f>
        <v/>
      </c>
      <c r="BH528" s="102">
        <f>MAX((CE528-Driver!$F$200)/(Driver!$G$200-Driver!$F$200)*$BI$1,1)</f>
        <v/>
      </c>
      <c r="BI528" s="102">
        <f>MAX($BI$1*(BY528-Driver!$F$201)/(Driver!$G$201-Driver!$F$201),1)</f>
        <v/>
      </c>
      <c r="BJ528" s="102">
        <f>(CB528-Driver!$F$206)/(Driver!$G$206-Driver!$F$206)*$BI$1</f>
        <v/>
      </c>
      <c r="BK528" s="102">
        <f>(CD528-Driver!$F$203)/(Driver!$G$203-Driver!$F$203)*$BI$1</f>
        <v/>
      </c>
      <c r="BL528" s="102">
        <f>MAX((CR528-Driver!$F$202)/(Driver!$G$202-Driver!$F$202)*$BI$1,1)</f>
        <v/>
      </c>
      <c r="BM528" s="102">
        <f>MAX((CH528-Driver!$F$204)/(Driver!$G$204-Driver!$F$204)*$BI$1,1)</f>
        <v/>
      </c>
      <c r="BN528" s="102">
        <f>(CI528-Driver!$F$205)/(Driver!$G$205-Driver!$F$205)*$BI$1</f>
        <v/>
      </c>
      <c r="BO528" s="102">
        <f>(CK528-Driver!$F$207)/(Driver!$G$207-Driver!$F$207)*$BI$1</f>
        <v/>
      </c>
      <c r="BP528" s="102">
        <f>(CM528-Driver!$F$208)/(Driver!$G$208-Driver!$F$208)*$BI$1</f>
        <v/>
      </c>
      <c r="BQ528" s="102">
        <f>(CL528-Driver!$F$209)/(Driver!$G$209-Driver!$F$209)*$BI$1</f>
        <v/>
      </c>
      <c r="BR528" s="40" t="inlineStr">
        <is>
          <t>21/22</t>
        </is>
      </c>
      <c r="BS528" s="10" t="inlineStr">
        <is>
          <t xml:space="preserve"> Icelantic</t>
        </is>
      </c>
      <c r="BT528" s="11" t="inlineStr">
        <is>
          <t>Nomad 95</t>
        </is>
      </c>
      <c r="BU528" s="13" t="n">
        <v>176</v>
      </c>
      <c r="BV528" s="11" t="inlineStr">
        <is>
          <t xml:space="preserve"> Unisex</t>
        </is>
      </c>
      <c r="BW528" s="13" t="n">
        <v>176</v>
      </c>
      <c r="BX528" s="13" t="n">
        <v>173.6</v>
      </c>
      <c r="BY528" s="13" t="n">
        <v>107</v>
      </c>
      <c r="BZ528" s="13" t="n">
        <v>149</v>
      </c>
      <c r="CA528" s="13" t="n">
        <v>129</v>
      </c>
      <c r="CB528" s="13" t="n">
        <v>93</v>
      </c>
      <c r="CC528" s="13" t="n">
        <v>119</v>
      </c>
      <c r="CD528" s="13" t="n">
        <v>17.5</v>
      </c>
      <c r="CE528" s="13" t="n">
        <v>1715</v>
      </c>
      <c r="CF528" s="13" t="n">
        <v>1.06</v>
      </c>
      <c r="CG528" s="13" t="n">
        <v>1816</v>
      </c>
      <c r="CH528" s="13" t="n">
        <v>175</v>
      </c>
      <c r="CI528" s="13" t="n">
        <v>73</v>
      </c>
      <c r="CJ528" s="13" t="n">
        <v>58</v>
      </c>
      <c r="CK528" s="13" t="n">
        <v>353</v>
      </c>
      <c r="CL528" s="13" t="n">
        <v>56</v>
      </c>
      <c r="CM528" s="13" t="n">
        <v>315</v>
      </c>
      <c r="CN528" s="13" t="n">
        <v>0.969</v>
      </c>
      <c r="CO528" s="13" t="n">
        <v>121</v>
      </c>
      <c r="CP528" s="13" t="n">
        <v>122</v>
      </c>
      <c r="CQ528" s="13" t="n">
        <v>233</v>
      </c>
      <c r="CR528" s="13" t="n">
        <v>2</v>
      </c>
      <c r="CS528" s="13" t="n">
        <v>8.199999999999999</v>
      </c>
      <c r="CT528" s="11" t="inlineStr">
        <is>
          <t xml:space="preserve"> Freeski</t>
        </is>
      </c>
      <c r="CU528" s="11" t="inlineStr">
        <is>
          <t xml:space="preserve"> Touring</t>
        </is>
      </c>
      <c r="CV528" s="13" t="n"/>
      <c r="CW528" s="13" t="n"/>
      <c r="CX528">
        <f>INDEX('Data_Price '!AG$2:AG$1266,MATCH(Data!$DN528,'Data_Price '!$AT$2:$AT$1266,0))</f>
        <v/>
      </c>
      <c r="CY528">
        <f>INDEX('Data_Price '!AH$2:AH$1266,MATCH(Data!$DN528,'Data_Price '!$AT$2:$AT$1266,0))</f>
        <v/>
      </c>
      <c r="CZ528">
        <f>INDEX('Data_Price '!AI$2:AI$1266,MATCH(Data!$DN528,'Data_Price '!$AT$2:$AT$1266,0))</f>
        <v/>
      </c>
      <c r="DA528">
        <f>INDEX('Data_Price '!AJ$2:AJ$1266,MATCH(Data!$DN528,'Data_Price '!$AT$2:$AT$1266,0))</f>
        <v/>
      </c>
      <c r="DB528">
        <f>INDEX('Data_Price '!AK$2:AK$1266,MATCH(Data!$DN528,'Data_Price '!$AT$2:$AT$1266,0))</f>
        <v/>
      </c>
      <c r="DC528">
        <f>INDEX('Data_Price '!AL$2:AL$1266,MATCH(Data!$DN528,'Data_Price '!$AT$2:$AT$1266,0))</f>
        <v/>
      </c>
      <c r="DD528">
        <f>INDEX('Data_Price '!AM$2:AM$1266,MATCH(Data!$DN528,'Data_Price '!$AT$2:$AT$1266,0))</f>
        <v/>
      </c>
      <c r="DE528">
        <f>INDEX('Data_Price '!AN$2:AN$1266,MATCH(Data!$DN528,'Data_Price '!$AT$2:$AT$1266,0))</f>
        <v/>
      </c>
      <c r="DF528">
        <f>INDEX('Data_Price '!AO$2:AO$1266,MATCH(Data!$DN528,'Data_Price '!$AT$2:$AT$1266,0))</f>
        <v/>
      </c>
      <c r="DG528">
        <f>INDEX('Data_Price '!AP$2:AP$1266,MATCH(Data!$DN528,'Data_Price '!$AT$2:$AT$1266,0))</f>
        <v/>
      </c>
      <c r="DH528">
        <f>INDEX('Data_Price '!AQ$2:AQ$1266,MATCH(Data!$DN528,'Data_Price '!$AT$2:$AT$1266,0))</f>
        <v/>
      </c>
      <c r="DI528">
        <f>INDEX('Data_Price '!AR$2:AR$1266,MATCH(Data!$DN528,'Data_Price '!$AT$2:$AT$1266,0))</f>
        <v/>
      </c>
      <c r="DJ528" s="138">
        <f>DA528</f>
        <v/>
      </c>
      <c r="DK528" s="138">
        <f>DE528</f>
        <v/>
      </c>
      <c r="DL528" s="138">
        <f>DI528</f>
        <v/>
      </c>
      <c r="DM528" s="303">
        <f>IF(LEFT(BT528,1)=" ",RIGHT(BT528,LEN(BT528)-1),BT528)</f>
        <v/>
      </c>
      <c r="DN528" s="138">
        <f>_xlfn.CONCAT(BS528,DM528,BU528,BV528)</f>
        <v/>
      </c>
      <c r="DO528" s="307" t="inlineStr">
        <is>
          <t>https://images.evo.com/imgp/250/208393/833073/clone.jpg</t>
        </is>
      </c>
    </row>
    <row r="529" ht="15.6" customHeight="1" s="184">
      <c r="B529" s="303">
        <f t="array" ref="B529">IF(OR(ISERROR(K529:P529)),FALSE,TRUE)</f>
        <v/>
      </c>
      <c r="C529" s="60">
        <f>OR(BR529=Driver!$G$50,Data!BR765=Driver!$H$50)</f>
        <v/>
      </c>
      <c r="D529" s="60">
        <f>OR(BV529=Driver!$G$51,BV529=Driver!$H$51)</f>
        <v/>
      </c>
      <c r="E529" s="60">
        <f>AND(BX529&gt;Driver!$F$54,BX529&lt;Driver!$G$54)</f>
        <v/>
      </c>
      <c r="F529" s="60">
        <f>CL529&gt;Driver!$F$56</f>
        <v/>
      </c>
      <c r="G529" s="60">
        <f>AND(CB529&gt;Driver!$F$55,CB529&lt;Driver!$G$55)</f>
        <v/>
      </c>
      <c r="H529" s="60">
        <f>AND(B529:G529)</f>
        <v/>
      </c>
      <c r="I529" s="60">
        <f>COUNTIFS($H$9:$H$1273,TRUE,$BT$9:$BT$1273,BT529)</f>
        <v/>
      </c>
      <c r="J529" s="60">
        <f t="array" ref="J529">NOT(OR(($H$9:$H$1273=TRUE)*($I$9:$I$1273&gt;0)*($BT$9:$BT$1273=BT529)*($K$9:$K$1273&gt;K529)))</f>
        <v/>
      </c>
      <c r="K529" s="108">
        <f>IFERROR(1-AVERAGE(X529:Y529),"")</f>
        <v/>
      </c>
      <c r="L529" s="108">
        <f>1-X529</f>
        <v/>
      </c>
      <c r="M529" s="108">
        <f>1-Y529</f>
        <v/>
      </c>
      <c r="N529" s="108">
        <f>1-Z529</f>
        <v/>
      </c>
      <c r="O529" s="108">
        <f>1-AA529</f>
        <v/>
      </c>
      <c r="P529" s="108">
        <f>1-AB529</f>
        <v/>
      </c>
      <c r="Q529" s="108" t="n"/>
      <c r="R529" s="108" t="n"/>
      <c r="S529" s="108">
        <f>1-AE529</f>
        <v/>
      </c>
      <c r="T529" s="108">
        <f>1-AF529</f>
        <v/>
      </c>
      <c r="U529" s="108">
        <f>1-AG529</f>
        <v/>
      </c>
      <c r="V529" s="108">
        <f>1-AH529</f>
        <v/>
      </c>
      <c r="W529" s="108">
        <f>1-AI529</f>
        <v/>
      </c>
      <c r="X529" s="108">
        <f>ABS(AJ529-AJ$1)</f>
        <v/>
      </c>
      <c r="Y529" s="108">
        <f>AVERAGE(Z529:AB529)</f>
        <v/>
      </c>
      <c r="Z529" s="108">
        <f>ABS(AL529-AL$1)</f>
        <v/>
      </c>
      <c r="AA529" s="108">
        <f>ABS(AM529-AM$1)</f>
        <v/>
      </c>
      <c r="AB529" s="108">
        <f>ABS(AN529-AN$1)</f>
        <v/>
      </c>
      <c r="AC529" s="108" t="n"/>
      <c r="AD529" s="108" t="n"/>
      <c r="AE529" s="108">
        <f>ABS(AQ$1-AQ529)</f>
        <v/>
      </c>
      <c r="AF529" s="108">
        <f>ABS(AR$1-AR529)</f>
        <v/>
      </c>
      <c r="AG529" s="108">
        <f>ABS(AS$1-AS529)</f>
        <v/>
      </c>
      <c r="AH529" s="108">
        <f>ABS(AT$1-AT529)</f>
        <v/>
      </c>
      <c r="AI529" s="108">
        <f>ABS(AU$1-AU529)</f>
        <v/>
      </c>
      <c r="AJ529" s="108">
        <f>(AV529-Driver!$K$179)/(Driver!$L$179-Driver!$K$179)</f>
        <v/>
      </c>
      <c r="AK529" s="108">
        <f>(AW529-Driver!$K$180)/(Driver!$L$180-Driver!$K$180)</f>
        <v/>
      </c>
      <c r="AL529" s="108">
        <f>(AX529-Driver!$K$181)/(Driver!$L$181-Driver!$K$181)</f>
        <v/>
      </c>
      <c r="AM529" s="108">
        <f>(AY529-Driver!$K$182)/(Driver!$L$182-Driver!$K$182)</f>
        <v/>
      </c>
      <c r="AN529" s="108">
        <f>(AZ529-Driver!$K$183)/(Driver!$L$183-Driver!$K$183)</f>
        <v/>
      </c>
      <c r="AO529" s="108" t="n"/>
      <c r="AP529" s="108" t="n"/>
      <c r="AQ529" s="108">
        <f>(BC529-Driver!$K$188)/(Driver!$L$188-Driver!$K$188)</f>
        <v/>
      </c>
      <c r="AR529" s="108">
        <f>MIN((BD529-Driver!$K$189)/(Driver!$L$189-Driver!$K$189),100%)</f>
        <v/>
      </c>
      <c r="AS529" s="108">
        <f>(BE529-Driver!$K$190)/(Driver!$L$190-Driver!$K$190)</f>
        <v/>
      </c>
      <c r="AT529" s="108">
        <f>(BF529-Driver!$K$191)/(Driver!$L$191-Driver!$K$191)</f>
        <v/>
      </c>
      <c r="AU529" s="108">
        <f>(BG529-Driver!$K$192)/(Driver!$L$192-Driver!$K$192)</f>
        <v/>
      </c>
      <c r="AV529" s="105">
        <f>IFERROR(BM529*BJ529^1/4,"")</f>
        <v/>
      </c>
      <c r="AW529" s="105">
        <f>IFERROR(SUM(AX529:AZ529),"")</f>
        <v/>
      </c>
      <c r="AX529" s="105">
        <f>IFERROR(BH529,"")</f>
        <v/>
      </c>
      <c r="AY529" s="105">
        <f>IFERROR(Driver!$K$19/Data!BH529/Data!BI529*Data!BK529*Data!BL529,"")</f>
        <v/>
      </c>
      <c r="AZ529" s="105">
        <f>IFERROR(BI529*BN529,"")</f>
        <v/>
      </c>
      <c r="BA529" s="105" t="n"/>
      <c r="BB529" s="105" t="n"/>
      <c r="BC529" s="105">
        <f>IFERROR(BI529*BN529*BK529/BJ529^(1/2),"")</f>
        <v/>
      </c>
      <c r="BD529" s="105">
        <f>IFERROR(BH529*BM529*BL529/BJ529/BK529,"")</f>
        <v/>
      </c>
      <c r="BE529" s="105">
        <f>IFERROR(MIN(BI529/BQ529/BP529/BO529/BH529,$BE$1),"")</f>
        <v/>
      </c>
      <c r="BF529" s="105">
        <f>IFERROR(BJ529*BO529*BP529/BK529,"")</f>
        <v/>
      </c>
      <c r="BG529" s="105">
        <f>IFERROR(1/BM529/BH529*BQ529,"")</f>
        <v/>
      </c>
      <c r="BH529" s="102">
        <f>MAX((CE529-Driver!$F$200)/(Driver!$G$200-Driver!$F$200)*$BI$1,1)</f>
        <v/>
      </c>
      <c r="BI529" s="102">
        <f>MAX($BI$1*(BY529-Driver!$F$201)/(Driver!$G$201-Driver!$F$201),1)</f>
        <v/>
      </c>
      <c r="BJ529" s="102">
        <f>(CB529-Driver!$F$206)/(Driver!$G$206-Driver!$F$206)*$BI$1</f>
        <v/>
      </c>
      <c r="BK529" s="102">
        <f>(CD529-Driver!$F$203)/(Driver!$G$203-Driver!$F$203)*$BI$1</f>
        <v/>
      </c>
      <c r="BL529" s="102">
        <f>MAX((CR529-Driver!$F$202)/(Driver!$G$202-Driver!$F$202)*$BI$1,1)</f>
        <v/>
      </c>
      <c r="BM529" s="102">
        <f>MAX((CH529-Driver!$F$204)/(Driver!$G$204-Driver!$F$204)*$BI$1,1)</f>
        <v/>
      </c>
      <c r="BN529" s="102">
        <f>(CI529-Driver!$F$205)/(Driver!$G$205-Driver!$F$205)*$BI$1</f>
        <v/>
      </c>
      <c r="BO529" s="102">
        <f>(CK529-Driver!$F$207)/(Driver!$G$207-Driver!$F$207)*$BI$1</f>
        <v/>
      </c>
      <c r="BP529" s="102">
        <f>(CM529-Driver!$F$208)/(Driver!$G$208-Driver!$F$208)*$BI$1</f>
        <v/>
      </c>
      <c r="BQ529" s="102">
        <f>(CL529-Driver!$F$209)/(Driver!$G$209-Driver!$F$209)*$BI$1</f>
        <v/>
      </c>
      <c r="BR529" s="40" t="inlineStr">
        <is>
          <t>21/22</t>
        </is>
      </c>
      <c r="BS529" s="10" t="inlineStr">
        <is>
          <t xml:space="preserve"> K2</t>
        </is>
      </c>
      <c r="BT529" s="11" t="inlineStr">
        <is>
          <t>Reckoner 112</t>
        </is>
      </c>
      <c r="BU529" s="13" t="n">
        <v>177</v>
      </c>
      <c r="BV529" s="11" t="inlineStr">
        <is>
          <t xml:space="preserve"> Unisex</t>
        </is>
      </c>
      <c r="BW529" s="13" t="n">
        <v>177</v>
      </c>
      <c r="BX529" s="13" t="n">
        <v>177.5</v>
      </c>
      <c r="BY529" s="13" t="n">
        <v>106</v>
      </c>
      <c r="BZ529" s="13" t="n">
        <v>133</v>
      </c>
      <c r="CA529" s="13" t="n">
        <v>136</v>
      </c>
      <c r="CB529" s="13" t="n">
        <v>111</v>
      </c>
      <c r="CC529" s="13" t="n">
        <v>126</v>
      </c>
      <c r="CD529" s="13" t="n">
        <v>20.9</v>
      </c>
      <c r="CE529" s="13" t="n">
        <v>1827</v>
      </c>
      <c r="CF529" s="13" t="n">
        <v>1.15</v>
      </c>
      <c r="CG529" s="13" t="n">
        <v>2109</v>
      </c>
      <c r="CH529" s="13" t="n">
        <v>189</v>
      </c>
      <c r="CI529" s="13" t="n">
        <v>81</v>
      </c>
      <c r="CJ529" s="13" t="n">
        <v>50</v>
      </c>
      <c r="CK529" s="13" t="n">
        <v>380</v>
      </c>
      <c r="CL529" s="13" t="n">
        <v>36</v>
      </c>
      <c r="CM529" s="13" t="n">
        <v>340</v>
      </c>
      <c r="CN529" s="13" t="n">
        <v>0.707</v>
      </c>
      <c r="CO529" s="13" t="n">
        <v>218</v>
      </c>
      <c r="CP529" s="13" t="n">
        <v>226</v>
      </c>
      <c r="CQ529" s="13" t="n">
        <v>162</v>
      </c>
      <c r="CR529" s="13" t="n">
        <v>5</v>
      </c>
      <c r="CS529" s="13" t="n">
        <v>5.7</v>
      </c>
      <c r="CT529" s="11" t="inlineStr">
        <is>
          <t xml:space="preserve"> Powder</t>
        </is>
      </c>
      <c r="CU529" s="11" t="inlineStr">
        <is>
          <t xml:space="preserve"> Touring</t>
        </is>
      </c>
      <c r="CV529" s="13" t="n"/>
      <c r="CW529" s="13" t="n"/>
      <c r="CX529">
        <f>INDEX('Data_Price '!AG$2:AG$1266,MATCH(Data!$DN529,'Data_Price '!$AT$2:$AT$1266,0))</f>
        <v/>
      </c>
      <c r="CY529">
        <f>INDEX('Data_Price '!AH$2:AH$1266,MATCH(Data!$DN529,'Data_Price '!$AT$2:$AT$1266,0))</f>
        <v/>
      </c>
      <c r="CZ529">
        <f>INDEX('Data_Price '!AI$2:AI$1266,MATCH(Data!$DN529,'Data_Price '!$AT$2:$AT$1266,0))</f>
        <v/>
      </c>
      <c r="DA529">
        <f>INDEX('Data_Price '!AJ$2:AJ$1266,MATCH(Data!$DN529,'Data_Price '!$AT$2:$AT$1266,0))</f>
        <v/>
      </c>
      <c r="DB529">
        <f>INDEX('Data_Price '!AK$2:AK$1266,MATCH(Data!$DN529,'Data_Price '!$AT$2:$AT$1266,0))</f>
        <v/>
      </c>
      <c r="DC529">
        <f>INDEX('Data_Price '!AL$2:AL$1266,MATCH(Data!$DN529,'Data_Price '!$AT$2:$AT$1266,0))</f>
        <v/>
      </c>
      <c r="DD529">
        <f>INDEX('Data_Price '!AM$2:AM$1266,MATCH(Data!$DN529,'Data_Price '!$AT$2:$AT$1266,0))</f>
        <v/>
      </c>
      <c r="DE529">
        <f>INDEX('Data_Price '!AN$2:AN$1266,MATCH(Data!$DN529,'Data_Price '!$AT$2:$AT$1266,0))</f>
        <v/>
      </c>
      <c r="DF529">
        <f>INDEX('Data_Price '!AO$2:AO$1266,MATCH(Data!$DN529,'Data_Price '!$AT$2:$AT$1266,0))</f>
        <v/>
      </c>
      <c r="DG529">
        <f>INDEX('Data_Price '!AP$2:AP$1266,MATCH(Data!$DN529,'Data_Price '!$AT$2:$AT$1266,0))</f>
        <v/>
      </c>
      <c r="DH529">
        <f>INDEX('Data_Price '!AQ$2:AQ$1266,MATCH(Data!$DN529,'Data_Price '!$AT$2:$AT$1266,0))</f>
        <v/>
      </c>
      <c r="DI529">
        <f>INDEX('Data_Price '!AR$2:AR$1266,MATCH(Data!$DN529,'Data_Price '!$AT$2:$AT$1266,0))</f>
        <v/>
      </c>
      <c r="DJ529" s="138">
        <f>DA529</f>
        <v/>
      </c>
      <c r="DK529" s="138">
        <f>DE529</f>
        <v/>
      </c>
      <c r="DL529" s="138">
        <f>DI529</f>
        <v/>
      </c>
      <c r="DM529" s="303">
        <f>IF(LEFT(BT529,1)=" ",RIGHT(BT529,LEN(BT529)-1),BT529)</f>
        <v/>
      </c>
      <c r="DN529" s="138">
        <f>_xlfn.CONCAT(BS529,DM529,BU529,BV529)</f>
        <v/>
      </c>
      <c r="DO529" s="307" t="inlineStr">
        <is>
          <t>https://images.evo.com/imgp/250/182107/723844/clone.jpg</t>
        </is>
      </c>
    </row>
    <row r="530" ht="15.6" customHeight="1" s="184">
      <c r="B530" s="303">
        <f t="array" ref="B530">IF(OR(ISERROR(K530:P530)),FALSE,TRUE)</f>
        <v/>
      </c>
      <c r="C530" s="60">
        <f>OR(BR530=Driver!$G$50,Data!BR1106=Driver!$H$50)</f>
        <v/>
      </c>
      <c r="D530" s="60">
        <f>OR(BV530=Driver!$G$51,BV530=Driver!$H$51)</f>
        <v/>
      </c>
      <c r="E530" s="60">
        <f>AND(BX530&gt;Driver!$F$54,BX530&lt;Driver!$G$54)</f>
        <v/>
      </c>
      <c r="F530" s="60">
        <f>CL530&gt;Driver!$F$56</f>
        <v/>
      </c>
      <c r="G530" s="60">
        <f>AND(CB530&gt;Driver!$F$55,CB530&lt;Driver!$G$55)</f>
        <v/>
      </c>
      <c r="H530" s="60">
        <f>AND(B530:G530)</f>
        <v/>
      </c>
      <c r="I530" s="60">
        <f>COUNTIFS($H$9:$H$1273,TRUE,$BT$9:$BT$1273,BT530)</f>
        <v/>
      </c>
      <c r="J530" s="60">
        <f t="array" ref="J530">NOT(OR(($H$9:$H$1273=TRUE)*($I$9:$I$1273&gt;0)*($BT$9:$BT$1273=BT530)*($K$9:$K$1273&gt;K530)))</f>
        <v/>
      </c>
      <c r="K530" s="108">
        <f>IFERROR(1-AVERAGE(X530:Y530),"")</f>
        <v/>
      </c>
      <c r="L530" s="108">
        <f>1-X530</f>
        <v/>
      </c>
      <c r="M530" s="108">
        <f>1-Y530</f>
        <v/>
      </c>
      <c r="N530" s="108">
        <f>1-Z530</f>
        <v/>
      </c>
      <c r="O530" s="108">
        <f>1-AA530</f>
        <v/>
      </c>
      <c r="P530" s="108">
        <f>1-AB530</f>
        <v/>
      </c>
      <c r="Q530" s="108" t="n"/>
      <c r="R530" s="108" t="n"/>
      <c r="S530" s="108">
        <f>1-AE530</f>
        <v/>
      </c>
      <c r="T530" s="108">
        <f>1-AF530</f>
        <v/>
      </c>
      <c r="U530" s="108">
        <f>1-AG530</f>
        <v/>
      </c>
      <c r="V530" s="108">
        <f>1-AH530</f>
        <v/>
      </c>
      <c r="W530" s="108">
        <f>1-AI530</f>
        <v/>
      </c>
      <c r="X530" s="108">
        <f>ABS(AJ530-AJ$1)</f>
        <v/>
      </c>
      <c r="Y530" s="108">
        <f>AVERAGE(Z530:AB530)</f>
        <v/>
      </c>
      <c r="Z530" s="108">
        <f>ABS(AL530-AL$1)</f>
        <v/>
      </c>
      <c r="AA530" s="108">
        <f>ABS(AM530-AM$1)</f>
        <v/>
      </c>
      <c r="AB530" s="108">
        <f>ABS(AN530-AN$1)</f>
        <v/>
      </c>
      <c r="AC530" s="108" t="n"/>
      <c r="AD530" s="108" t="n"/>
      <c r="AE530" s="108">
        <f>ABS(AQ$1-AQ530)</f>
        <v/>
      </c>
      <c r="AF530" s="108">
        <f>ABS(AR$1-AR530)</f>
        <v/>
      </c>
      <c r="AG530" s="108">
        <f>ABS(AS$1-AS530)</f>
        <v/>
      </c>
      <c r="AH530" s="108">
        <f>ABS(AT$1-AT530)</f>
        <v/>
      </c>
      <c r="AI530" s="108">
        <f>ABS(AU$1-AU530)</f>
        <v/>
      </c>
      <c r="AJ530" s="108">
        <f>(AV530-Driver!$K$179)/(Driver!$L$179-Driver!$K$179)</f>
        <v/>
      </c>
      <c r="AK530" s="108">
        <f>(AW530-Driver!$K$180)/(Driver!$L$180-Driver!$K$180)</f>
        <v/>
      </c>
      <c r="AL530" s="108">
        <f>(AX530-Driver!$K$181)/(Driver!$L$181-Driver!$K$181)</f>
        <v/>
      </c>
      <c r="AM530" s="108">
        <f>(AY530-Driver!$K$182)/(Driver!$L$182-Driver!$K$182)</f>
        <v/>
      </c>
      <c r="AN530" s="108">
        <f>(AZ530-Driver!$K$183)/(Driver!$L$183-Driver!$K$183)</f>
        <v/>
      </c>
      <c r="AO530" s="108" t="n"/>
      <c r="AP530" s="108" t="n"/>
      <c r="AQ530" s="108">
        <f>(BC530-Driver!$K$188)/(Driver!$L$188-Driver!$K$188)</f>
        <v/>
      </c>
      <c r="AR530" s="108">
        <f>MIN((BD530-Driver!$K$189)/(Driver!$L$189-Driver!$K$189),100%)</f>
        <v/>
      </c>
      <c r="AS530" s="108">
        <f>(BE530-Driver!$K$190)/(Driver!$L$190-Driver!$K$190)</f>
        <v/>
      </c>
      <c r="AT530" s="108">
        <f>(BF530-Driver!$K$191)/(Driver!$L$191-Driver!$K$191)</f>
        <v/>
      </c>
      <c r="AU530" s="108">
        <f>(BG530-Driver!$K$192)/(Driver!$L$192-Driver!$K$192)</f>
        <v/>
      </c>
      <c r="AV530" s="105">
        <f>IFERROR(BM530*BJ530^1/4,"")</f>
        <v/>
      </c>
      <c r="AW530" s="105">
        <f>IFERROR(SUM(AX530:AZ530),"")</f>
        <v/>
      </c>
      <c r="AX530" s="105">
        <f>IFERROR(BH530,"")</f>
        <v/>
      </c>
      <c r="AY530" s="105">
        <f>IFERROR(Driver!$K$19/Data!BH530/Data!BI530*Data!BK530*Data!BL530,"")</f>
        <v/>
      </c>
      <c r="AZ530" s="105">
        <f>IFERROR(BI530*BN530,"")</f>
        <v/>
      </c>
      <c r="BA530" s="105" t="n"/>
      <c r="BB530" s="105" t="n"/>
      <c r="BC530" s="105">
        <f>IFERROR(BI530*BN530*BK530/BJ530^(1/2),"")</f>
        <v/>
      </c>
      <c r="BD530" s="105">
        <f>IFERROR(BH530*BM530*BL530/BJ530/BK530,"")</f>
        <v/>
      </c>
      <c r="BE530" s="105">
        <f>IFERROR(MIN(BI530/BQ530/BP530/BO530/BH530,$BE$1),"")</f>
        <v/>
      </c>
      <c r="BF530" s="105">
        <f>IFERROR(BJ530*BO530*BP530/BK530,"")</f>
        <v/>
      </c>
      <c r="BG530" s="105">
        <f>IFERROR(1/BM530/BH530*BQ530,"")</f>
        <v/>
      </c>
      <c r="BH530" s="102">
        <f>MAX((CE530-Driver!$F$200)/(Driver!$G$200-Driver!$F$200)*$BI$1,1)</f>
        <v/>
      </c>
      <c r="BI530" s="102">
        <f>MAX($BI$1*(BY530-Driver!$F$201)/(Driver!$G$201-Driver!$F$201),1)</f>
        <v/>
      </c>
      <c r="BJ530" s="102">
        <f>(CB530-Driver!$F$206)/(Driver!$G$206-Driver!$F$206)*$BI$1</f>
        <v/>
      </c>
      <c r="BK530" s="102">
        <f>(CD530-Driver!$F$203)/(Driver!$G$203-Driver!$F$203)*$BI$1</f>
        <v/>
      </c>
      <c r="BL530" s="102">
        <f>MAX((CR530-Driver!$F$202)/(Driver!$G$202-Driver!$F$202)*$BI$1,1)</f>
        <v/>
      </c>
      <c r="BM530" s="102">
        <f>MAX((CH530-Driver!$F$204)/(Driver!$G$204-Driver!$F$204)*$BI$1,1)</f>
        <v/>
      </c>
      <c r="BN530" s="102">
        <f>(CI530-Driver!$F$205)/(Driver!$G$205-Driver!$F$205)*$BI$1</f>
        <v/>
      </c>
      <c r="BO530" s="102">
        <f>(CK530-Driver!$F$207)/(Driver!$G$207-Driver!$F$207)*$BI$1</f>
        <v/>
      </c>
      <c r="BP530" s="102">
        <f>(CM530-Driver!$F$208)/(Driver!$G$208-Driver!$F$208)*$BI$1</f>
        <v/>
      </c>
      <c r="BQ530" s="102">
        <f>(CL530-Driver!$F$209)/(Driver!$G$209-Driver!$F$209)*$BI$1</f>
        <v/>
      </c>
      <c r="BR530" s="40" t="inlineStr">
        <is>
          <t>21/22</t>
        </is>
      </c>
      <c r="BS530" s="10" t="inlineStr">
        <is>
          <t xml:space="preserve"> Salomon</t>
        </is>
      </c>
      <c r="BT530" s="11" t="inlineStr">
        <is>
          <t>Stance 88 W</t>
        </is>
      </c>
      <c r="BU530" s="13" t="n">
        <v>161</v>
      </c>
      <c r="BV530" s="11" t="inlineStr">
        <is>
          <t xml:space="preserve"> Women's</t>
        </is>
      </c>
      <c r="BW530" s="13" t="n">
        <v>161</v>
      </c>
      <c r="BX530" s="13" t="n">
        <v>160.1</v>
      </c>
      <c r="BY530" s="13" t="n">
        <v>123</v>
      </c>
      <c r="BZ530" s="13" t="n">
        <v>136</v>
      </c>
      <c r="CA530" s="13" t="n">
        <v>119</v>
      </c>
      <c r="CB530" s="13" t="n">
        <v>88</v>
      </c>
      <c r="CC530" s="13" t="n">
        <v>101</v>
      </c>
      <c r="CD530" s="13" t="n">
        <v>17.2</v>
      </c>
      <c r="CE530" s="13" t="n">
        <v>1530</v>
      </c>
      <c r="CF530" s="13" t="n">
        <v>1.02</v>
      </c>
      <c r="CG530" s="13" t="n">
        <v>1563</v>
      </c>
      <c r="CH530" s="13" t="n">
        <v>140</v>
      </c>
      <c r="CI530" s="13" t="n">
        <v>86</v>
      </c>
      <c r="CJ530" s="13" t="n">
        <v>55</v>
      </c>
      <c r="CK530" s="13" t="n">
        <v>223</v>
      </c>
      <c r="CL530" s="13" t="n">
        <v>8</v>
      </c>
      <c r="CM530" s="13" t="n">
        <v>151</v>
      </c>
      <c r="CN530" s="13" t="n">
        <v>0.147</v>
      </c>
      <c r="CO530" s="13" t="n">
        <v>153</v>
      </c>
      <c r="CP530" s="13" t="n">
        <v>87</v>
      </c>
      <c r="CQ530" s="13" t="n">
        <v>70</v>
      </c>
      <c r="CR530" s="13" t="n">
        <v>9</v>
      </c>
      <c r="CS530" s="13" t="n">
        <v>9.300000000000001</v>
      </c>
      <c r="CT530" s="11" t="inlineStr">
        <is>
          <t xml:space="preserve"> Resort Freeride</t>
        </is>
      </c>
      <c r="CU530" s="13" t="n"/>
      <c r="CV530" s="13" t="n"/>
      <c r="CW530" s="13" t="n"/>
      <c r="CX530">
        <f>INDEX('Data_Price '!AG$2:AG$1266,MATCH(Data!$DN530,'Data_Price '!$AT$2:$AT$1266,0))</f>
        <v/>
      </c>
      <c r="CY530">
        <f>INDEX('Data_Price '!AH$2:AH$1266,MATCH(Data!$DN530,'Data_Price '!$AT$2:$AT$1266,0))</f>
        <v/>
      </c>
      <c r="CZ530">
        <f>INDEX('Data_Price '!AI$2:AI$1266,MATCH(Data!$DN530,'Data_Price '!$AT$2:$AT$1266,0))</f>
        <v/>
      </c>
      <c r="DA530">
        <f>INDEX('Data_Price '!AJ$2:AJ$1266,MATCH(Data!$DN530,'Data_Price '!$AT$2:$AT$1266,0))</f>
        <v/>
      </c>
      <c r="DB530">
        <f>INDEX('Data_Price '!AK$2:AK$1266,MATCH(Data!$DN530,'Data_Price '!$AT$2:$AT$1266,0))</f>
        <v/>
      </c>
      <c r="DC530">
        <f>INDEX('Data_Price '!AL$2:AL$1266,MATCH(Data!$DN530,'Data_Price '!$AT$2:$AT$1266,0))</f>
        <v/>
      </c>
      <c r="DD530">
        <f>INDEX('Data_Price '!AM$2:AM$1266,MATCH(Data!$DN530,'Data_Price '!$AT$2:$AT$1266,0))</f>
        <v/>
      </c>
      <c r="DE530">
        <f>INDEX('Data_Price '!AN$2:AN$1266,MATCH(Data!$DN530,'Data_Price '!$AT$2:$AT$1266,0))</f>
        <v/>
      </c>
      <c r="DF530">
        <f>INDEX('Data_Price '!AO$2:AO$1266,MATCH(Data!$DN530,'Data_Price '!$AT$2:$AT$1266,0))</f>
        <v/>
      </c>
      <c r="DG530">
        <f>INDEX('Data_Price '!AP$2:AP$1266,MATCH(Data!$DN530,'Data_Price '!$AT$2:$AT$1266,0))</f>
        <v/>
      </c>
      <c r="DH530">
        <f>INDEX('Data_Price '!AQ$2:AQ$1266,MATCH(Data!$DN530,'Data_Price '!$AT$2:$AT$1266,0))</f>
        <v/>
      </c>
      <c r="DI530">
        <f>INDEX('Data_Price '!AR$2:AR$1266,MATCH(Data!$DN530,'Data_Price '!$AT$2:$AT$1266,0))</f>
        <v/>
      </c>
      <c r="DJ530" s="138">
        <f>DA530</f>
        <v/>
      </c>
      <c r="DK530" s="138">
        <f>DE530</f>
        <v/>
      </c>
      <c r="DL530" s="138">
        <f>DI530</f>
        <v/>
      </c>
      <c r="DM530" s="303">
        <f>IF(LEFT(BT530,1)=" ",RIGHT(BT530,LEN(BT530)-1),BT530)</f>
        <v/>
      </c>
      <c r="DN530" s="138">
        <f>_xlfn.CONCAT(BS530,DM530,BU530,BV530)</f>
        <v/>
      </c>
      <c r="DO530" s="307" t="inlineStr">
        <is>
          <t>https://images.evo.com/imgp/250/183475/737708/salomon-stance-w-88-skis-women-s-2022-.jpg</t>
        </is>
      </c>
    </row>
    <row r="531" ht="15.6" customHeight="1" s="184">
      <c r="B531" s="303">
        <f t="array" ref="B531">IF(OR(ISERROR(K531:P531)),FALSE,TRUE)</f>
        <v/>
      </c>
      <c r="C531" s="60">
        <f>OR(BR531=Driver!$G$50,Data!BR1165=Driver!$H$50)</f>
        <v/>
      </c>
      <c r="D531" s="60">
        <f>OR(BV531=Driver!$G$51,BV531=Driver!$H$51)</f>
        <v/>
      </c>
      <c r="E531" s="60">
        <f>AND(BX531&gt;Driver!$F$54,BX531&lt;Driver!$G$54)</f>
        <v/>
      </c>
      <c r="F531" s="60">
        <f>CL531&gt;Driver!$F$56</f>
        <v/>
      </c>
      <c r="G531" s="60">
        <f>AND(CB531&gt;Driver!$F$55,CB531&lt;Driver!$G$55)</f>
        <v/>
      </c>
      <c r="H531" s="60">
        <f>AND(B531:G531)</f>
        <v/>
      </c>
      <c r="I531" s="60">
        <f>COUNTIFS($H$9:$H$1273,TRUE,$BT$9:$BT$1273,BT531)</f>
        <v/>
      </c>
      <c r="J531" s="60">
        <f t="array" ref="J531">NOT(OR(($H$9:$H$1273=TRUE)*($I$9:$I$1273&gt;0)*($BT$9:$BT$1273=BT531)*($K$9:$K$1273&gt;K531)))</f>
        <v/>
      </c>
      <c r="K531" s="108">
        <f>IFERROR(1-AVERAGE(X531:Y531),"")</f>
        <v/>
      </c>
      <c r="L531" s="108">
        <f>1-X531</f>
        <v/>
      </c>
      <c r="M531" s="108">
        <f>1-Y531</f>
        <v/>
      </c>
      <c r="N531" s="108">
        <f>1-Z531</f>
        <v/>
      </c>
      <c r="O531" s="108">
        <f>1-AA531</f>
        <v/>
      </c>
      <c r="P531" s="108">
        <f>1-AB531</f>
        <v/>
      </c>
      <c r="Q531" s="108" t="n"/>
      <c r="R531" s="108" t="n"/>
      <c r="S531" s="108">
        <f>1-AE531</f>
        <v/>
      </c>
      <c r="T531" s="108">
        <f>1-AF531</f>
        <v/>
      </c>
      <c r="U531" s="108">
        <f>1-AG531</f>
        <v/>
      </c>
      <c r="V531" s="108">
        <f>1-AH531</f>
        <v/>
      </c>
      <c r="W531" s="108">
        <f>1-AI531</f>
        <v/>
      </c>
      <c r="X531" s="108">
        <f>ABS(AJ531-AJ$1)</f>
        <v/>
      </c>
      <c r="Y531" s="108">
        <f>AVERAGE(Z531:AB531)</f>
        <v/>
      </c>
      <c r="Z531" s="108">
        <f>ABS(AL531-AL$1)</f>
        <v/>
      </c>
      <c r="AA531" s="108">
        <f>ABS(AM531-AM$1)</f>
        <v/>
      </c>
      <c r="AB531" s="108">
        <f>ABS(AN531-AN$1)</f>
        <v/>
      </c>
      <c r="AC531" s="108" t="n"/>
      <c r="AD531" s="108" t="n"/>
      <c r="AE531" s="108">
        <f>ABS(AQ$1-AQ531)</f>
        <v/>
      </c>
      <c r="AF531" s="108">
        <f>ABS(AR$1-AR531)</f>
        <v/>
      </c>
      <c r="AG531" s="108">
        <f>ABS(AS$1-AS531)</f>
        <v/>
      </c>
      <c r="AH531" s="108">
        <f>ABS(AT$1-AT531)</f>
        <v/>
      </c>
      <c r="AI531" s="108">
        <f>ABS(AU$1-AU531)</f>
        <v/>
      </c>
      <c r="AJ531" s="108">
        <f>(AV531-Driver!$K$179)/(Driver!$L$179-Driver!$K$179)</f>
        <v/>
      </c>
      <c r="AK531" s="108">
        <f>(AW531-Driver!$K$180)/(Driver!$L$180-Driver!$K$180)</f>
        <v/>
      </c>
      <c r="AL531" s="108">
        <f>(AX531-Driver!$K$181)/(Driver!$L$181-Driver!$K$181)</f>
        <v/>
      </c>
      <c r="AM531" s="108">
        <f>(AY531-Driver!$K$182)/(Driver!$L$182-Driver!$K$182)</f>
        <v/>
      </c>
      <c r="AN531" s="108">
        <f>(AZ531-Driver!$K$183)/(Driver!$L$183-Driver!$K$183)</f>
        <v/>
      </c>
      <c r="AO531" s="108" t="n"/>
      <c r="AP531" s="108" t="n"/>
      <c r="AQ531" s="108">
        <f>(BC531-Driver!$K$188)/(Driver!$L$188-Driver!$K$188)</f>
        <v/>
      </c>
      <c r="AR531" s="108">
        <f>MIN((BD531-Driver!$K$189)/(Driver!$L$189-Driver!$K$189),100%)</f>
        <v/>
      </c>
      <c r="AS531" s="108">
        <f>(BE531-Driver!$K$190)/(Driver!$L$190-Driver!$K$190)</f>
        <v/>
      </c>
      <c r="AT531" s="108">
        <f>(BF531-Driver!$K$191)/(Driver!$L$191-Driver!$K$191)</f>
        <v/>
      </c>
      <c r="AU531" s="108">
        <f>(BG531-Driver!$K$192)/(Driver!$L$192-Driver!$K$192)</f>
        <v/>
      </c>
      <c r="AV531" s="105">
        <f>IFERROR(BM531*BJ531^1/4,"")</f>
        <v/>
      </c>
      <c r="AW531" s="105">
        <f>IFERROR(SUM(AX531:AZ531),"")</f>
        <v/>
      </c>
      <c r="AX531" s="105">
        <f>IFERROR(BH531,"")</f>
        <v/>
      </c>
      <c r="AY531" s="105">
        <f>IFERROR(Driver!$K$19/Data!BH531/Data!BI531*Data!BK531*Data!BL531,"")</f>
        <v/>
      </c>
      <c r="AZ531" s="105">
        <f>IFERROR(BI531*BN531,"")</f>
        <v/>
      </c>
      <c r="BA531" s="105" t="n"/>
      <c r="BB531" s="105" t="n"/>
      <c r="BC531" s="105">
        <f>IFERROR(BI531*BN531*BK531/BJ531^(1/2),"")</f>
        <v/>
      </c>
      <c r="BD531" s="105">
        <f>IFERROR(BH531*BM531*BL531/BJ531/BK531,"")</f>
        <v/>
      </c>
      <c r="BE531" s="105">
        <f>IFERROR(MIN(BI531/BQ531/BP531/BO531/BH531,$BE$1),"")</f>
        <v/>
      </c>
      <c r="BF531" s="105">
        <f>IFERROR(BJ531*BO531*BP531/BK531,"")</f>
        <v/>
      </c>
      <c r="BG531" s="105">
        <f>IFERROR(1/BM531/BH531*BQ531,"")</f>
        <v/>
      </c>
      <c r="BH531" s="102">
        <f>MAX((CE531-Driver!$F$200)/(Driver!$G$200-Driver!$F$200)*$BI$1,1)</f>
        <v/>
      </c>
      <c r="BI531" s="102">
        <f>MAX($BI$1*(BY531-Driver!$F$201)/(Driver!$G$201-Driver!$F$201),1)</f>
        <v/>
      </c>
      <c r="BJ531" s="102">
        <f>(CB531-Driver!$F$206)/(Driver!$G$206-Driver!$F$206)*$BI$1</f>
        <v/>
      </c>
      <c r="BK531" s="102">
        <f>(CD531-Driver!$F$203)/(Driver!$G$203-Driver!$F$203)*$BI$1</f>
        <v/>
      </c>
      <c r="BL531" s="102">
        <f>MAX((CR531-Driver!$F$202)/(Driver!$G$202-Driver!$F$202)*$BI$1,1)</f>
        <v/>
      </c>
      <c r="BM531" s="102">
        <f>MAX((CH531-Driver!$F$204)/(Driver!$G$204-Driver!$F$204)*$BI$1,1)</f>
        <v/>
      </c>
      <c r="BN531" s="102">
        <f>(CI531-Driver!$F$205)/(Driver!$G$205-Driver!$F$205)*$BI$1</f>
        <v/>
      </c>
      <c r="BO531" s="102">
        <f>(CK531-Driver!$F$207)/(Driver!$G$207-Driver!$F$207)*$BI$1</f>
        <v/>
      </c>
      <c r="BP531" s="102">
        <f>(CM531-Driver!$F$208)/(Driver!$G$208-Driver!$F$208)*$BI$1</f>
        <v/>
      </c>
      <c r="BQ531" s="102">
        <f>(CL531-Driver!$F$209)/(Driver!$G$209-Driver!$F$209)*$BI$1</f>
        <v/>
      </c>
      <c r="BR531" s="40" t="inlineStr">
        <is>
          <t>21/22</t>
        </is>
      </c>
      <c r="BS531" s="10" t="inlineStr">
        <is>
          <t xml:space="preserve"> Völkl</t>
        </is>
      </c>
      <c r="BT531" s="11" t="inlineStr">
        <is>
          <t>Blaze 86</t>
        </is>
      </c>
      <c r="BU531" s="13" t="n">
        <v>173</v>
      </c>
      <c r="BV531" s="11" t="inlineStr">
        <is>
          <t xml:space="preserve"> Unisex</t>
        </is>
      </c>
      <c r="BW531" s="13" t="n">
        <v>173</v>
      </c>
      <c r="BX531" s="13" t="n">
        <v>174.7</v>
      </c>
      <c r="BY531" s="13" t="n">
        <v>129</v>
      </c>
      <c r="BZ531" s="13" t="n">
        <v>150</v>
      </c>
      <c r="CA531" s="13" t="n">
        <v>128</v>
      </c>
      <c r="CB531" s="13" t="n">
        <v>85</v>
      </c>
      <c r="CC531" s="13" t="n">
        <v>110</v>
      </c>
      <c r="CD531" s="13" t="n">
        <v>15.9</v>
      </c>
      <c r="CE531" s="13" t="n">
        <v>1451</v>
      </c>
      <c r="CF531" s="13" t="n">
        <v>1.19</v>
      </c>
      <c r="CG531" s="13" t="n">
        <v>1732</v>
      </c>
      <c r="CH531" s="13" t="n">
        <v>186</v>
      </c>
      <c r="CI531" s="13" t="n">
        <v>81</v>
      </c>
      <c r="CJ531" s="13" t="n">
        <v>46</v>
      </c>
      <c r="CK531" s="13" t="n">
        <v>268</v>
      </c>
      <c r="CL531" s="13" t="n">
        <v>17</v>
      </c>
      <c r="CM531" s="13" t="n">
        <v>191</v>
      </c>
      <c r="CN531" s="13" t="n">
        <v>0.38</v>
      </c>
      <c r="CO531" s="13" t="n">
        <v>144</v>
      </c>
      <c r="CP531" s="13" t="n">
        <v>102</v>
      </c>
      <c r="CQ531" s="13" t="n">
        <v>124</v>
      </c>
      <c r="CR531" s="13" t="n">
        <v>3</v>
      </c>
      <c r="CS531" s="13" t="n">
        <v>11.9</v>
      </c>
      <c r="CT531" s="11" t="inlineStr">
        <is>
          <t xml:space="preserve"> Resort Freeride</t>
        </is>
      </c>
      <c r="CU531" s="11" t="inlineStr">
        <is>
          <t xml:space="preserve"> Touring</t>
        </is>
      </c>
      <c r="CV531" s="13" t="n"/>
      <c r="CW531" s="13" t="n"/>
      <c r="CX531">
        <f>INDEX('Data_Price '!AG$2:AG$1266,MATCH(Data!$DN531,'Data_Price '!$AT$2:$AT$1266,0))</f>
        <v/>
      </c>
      <c r="CY531">
        <f>INDEX('Data_Price '!AH$2:AH$1266,MATCH(Data!$DN531,'Data_Price '!$AT$2:$AT$1266,0))</f>
        <v/>
      </c>
      <c r="CZ531">
        <f>INDEX('Data_Price '!AI$2:AI$1266,MATCH(Data!$DN531,'Data_Price '!$AT$2:$AT$1266,0))</f>
        <v/>
      </c>
      <c r="DA531">
        <f>INDEX('Data_Price '!AJ$2:AJ$1266,MATCH(Data!$DN531,'Data_Price '!$AT$2:$AT$1266,0))</f>
        <v/>
      </c>
      <c r="DB531">
        <f>INDEX('Data_Price '!AK$2:AK$1266,MATCH(Data!$DN531,'Data_Price '!$AT$2:$AT$1266,0))</f>
        <v/>
      </c>
      <c r="DC531">
        <f>INDEX('Data_Price '!AL$2:AL$1266,MATCH(Data!$DN531,'Data_Price '!$AT$2:$AT$1266,0))</f>
        <v/>
      </c>
      <c r="DD531">
        <f>INDEX('Data_Price '!AM$2:AM$1266,MATCH(Data!$DN531,'Data_Price '!$AT$2:$AT$1266,0))</f>
        <v/>
      </c>
      <c r="DE531">
        <f>INDEX('Data_Price '!AN$2:AN$1266,MATCH(Data!$DN531,'Data_Price '!$AT$2:$AT$1266,0))</f>
        <v/>
      </c>
      <c r="DF531">
        <f>INDEX('Data_Price '!AO$2:AO$1266,MATCH(Data!$DN531,'Data_Price '!$AT$2:$AT$1266,0))</f>
        <v/>
      </c>
      <c r="DG531">
        <f>INDEX('Data_Price '!AP$2:AP$1266,MATCH(Data!$DN531,'Data_Price '!$AT$2:$AT$1266,0))</f>
        <v/>
      </c>
      <c r="DH531">
        <f>INDEX('Data_Price '!AQ$2:AQ$1266,MATCH(Data!$DN531,'Data_Price '!$AT$2:$AT$1266,0))</f>
        <v/>
      </c>
      <c r="DI531">
        <f>INDEX('Data_Price '!AR$2:AR$1266,MATCH(Data!$DN531,'Data_Price '!$AT$2:$AT$1266,0))</f>
        <v/>
      </c>
      <c r="DJ531" s="138">
        <f>DA531</f>
        <v/>
      </c>
      <c r="DK531" s="138">
        <f>DE531</f>
        <v/>
      </c>
      <c r="DL531" s="138">
        <f>DI531</f>
        <v/>
      </c>
      <c r="DM531" s="303">
        <f>IF(LEFT(BT531,1)=" ",RIGHT(BT531,LEN(BT531)-1),BT531)</f>
        <v/>
      </c>
      <c r="DN531" s="138">
        <f>_xlfn.CONCAT(BS531,DM531,BU531,BV531)</f>
        <v/>
      </c>
      <c r="DO531" s="307" t="inlineStr">
        <is>
          <t>https://images.evo.com/imgp/250/208358/837604/clone.jpg</t>
        </is>
      </c>
    </row>
    <row r="532" ht="15.6" customHeight="1" s="184">
      <c r="B532" s="303">
        <f t="array" ref="B532">IF(OR(ISERROR(K532:P532)),FALSE,TRUE)</f>
        <v/>
      </c>
      <c r="C532" s="60">
        <f>OR(BR532=Driver!$G$50,Data!BR1247=Driver!$H$50)</f>
        <v/>
      </c>
      <c r="D532" s="60">
        <f>OR(BV532=Driver!$G$51,BV532=Driver!$H$51)</f>
        <v/>
      </c>
      <c r="E532" s="60">
        <f>AND(BX532&gt;Driver!$F$54,BX532&lt;Driver!$G$54)</f>
        <v/>
      </c>
      <c r="F532" s="60">
        <f>CL532&gt;Driver!$F$56</f>
        <v/>
      </c>
      <c r="G532" s="60">
        <f>AND(CB532&gt;Driver!$F$55,CB532&lt;Driver!$G$55)</f>
        <v/>
      </c>
      <c r="H532" s="60">
        <f>AND(B532:G532)</f>
        <v/>
      </c>
      <c r="I532" s="60">
        <f>COUNTIFS($H$9:$H$1273,TRUE,$BT$9:$BT$1273,BT532)</f>
        <v/>
      </c>
      <c r="J532" s="60">
        <f t="array" ref="J532">NOT(OR(($H$9:$H$1273=TRUE)*($I$9:$I$1273&gt;0)*($BT$9:$BT$1273=BT532)*($K$9:$K$1273&gt;K532)))</f>
        <v/>
      </c>
      <c r="K532" s="108">
        <f>IFERROR(1-AVERAGE(X532:Y532),"")</f>
        <v/>
      </c>
      <c r="L532" s="108">
        <f>1-X532</f>
        <v/>
      </c>
      <c r="M532" s="108">
        <f>1-Y532</f>
        <v/>
      </c>
      <c r="N532" s="108">
        <f>1-Z532</f>
        <v/>
      </c>
      <c r="O532" s="108">
        <f>1-AA532</f>
        <v/>
      </c>
      <c r="P532" s="108">
        <f>1-AB532</f>
        <v/>
      </c>
      <c r="Q532" s="108" t="n"/>
      <c r="R532" s="108" t="n"/>
      <c r="S532" s="108">
        <f>1-AE532</f>
        <v/>
      </c>
      <c r="T532" s="108">
        <f>1-AF532</f>
        <v/>
      </c>
      <c r="U532" s="108">
        <f>1-AG532</f>
        <v/>
      </c>
      <c r="V532" s="108">
        <f>1-AH532</f>
        <v/>
      </c>
      <c r="W532" s="108">
        <f>1-AI532</f>
        <v/>
      </c>
      <c r="X532" s="108">
        <f>ABS(AJ532-AJ$1)</f>
        <v/>
      </c>
      <c r="Y532" s="108">
        <f>AVERAGE(Z532:AB532)</f>
        <v/>
      </c>
      <c r="Z532" s="108">
        <f>ABS(AL532-AL$1)</f>
        <v/>
      </c>
      <c r="AA532" s="108">
        <f>ABS(AM532-AM$1)</f>
        <v/>
      </c>
      <c r="AB532" s="108">
        <f>ABS(AN532-AN$1)</f>
        <v/>
      </c>
      <c r="AC532" s="108" t="n"/>
      <c r="AD532" s="108" t="n"/>
      <c r="AE532" s="108">
        <f>ABS(AQ$1-AQ532)</f>
        <v/>
      </c>
      <c r="AF532" s="108">
        <f>ABS(AR$1-AR532)</f>
        <v/>
      </c>
      <c r="AG532" s="108">
        <f>ABS(AS$1-AS532)</f>
        <v/>
      </c>
      <c r="AH532" s="108">
        <f>ABS(AT$1-AT532)</f>
        <v/>
      </c>
      <c r="AI532" s="108">
        <f>ABS(AU$1-AU532)</f>
        <v/>
      </c>
      <c r="AJ532" s="108">
        <f>(AV532-Driver!$K$179)/(Driver!$L$179-Driver!$K$179)</f>
        <v/>
      </c>
      <c r="AK532" s="108">
        <f>(AW532-Driver!$K$180)/(Driver!$L$180-Driver!$K$180)</f>
        <v/>
      </c>
      <c r="AL532" s="108">
        <f>(AX532-Driver!$K$181)/(Driver!$L$181-Driver!$K$181)</f>
        <v/>
      </c>
      <c r="AM532" s="108">
        <f>(AY532-Driver!$K$182)/(Driver!$L$182-Driver!$K$182)</f>
        <v/>
      </c>
      <c r="AN532" s="108">
        <f>(AZ532-Driver!$K$183)/(Driver!$L$183-Driver!$K$183)</f>
        <v/>
      </c>
      <c r="AO532" s="108" t="n"/>
      <c r="AP532" s="108" t="n"/>
      <c r="AQ532" s="108">
        <f>(BC532-Driver!$K$188)/(Driver!$L$188-Driver!$K$188)</f>
        <v/>
      </c>
      <c r="AR532" s="108">
        <f>MIN((BD532-Driver!$K$189)/(Driver!$L$189-Driver!$K$189),100%)</f>
        <v/>
      </c>
      <c r="AS532" s="108">
        <f>(BE532-Driver!$K$190)/(Driver!$L$190-Driver!$K$190)</f>
        <v/>
      </c>
      <c r="AT532" s="108">
        <f>(BF532-Driver!$K$191)/(Driver!$L$191-Driver!$K$191)</f>
        <v/>
      </c>
      <c r="AU532" s="108">
        <f>(BG532-Driver!$K$192)/(Driver!$L$192-Driver!$K$192)</f>
        <v/>
      </c>
      <c r="AV532" s="105">
        <f>IFERROR(BM532*BJ532^1/4,"")</f>
        <v/>
      </c>
      <c r="AW532" s="105">
        <f>IFERROR(SUM(AX532:AZ532),"")</f>
        <v/>
      </c>
      <c r="AX532" s="105">
        <f>IFERROR(BH532,"")</f>
        <v/>
      </c>
      <c r="AY532" s="105">
        <f>IFERROR(Driver!$K$19/Data!BH532/Data!BI532*Data!BK532*Data!BL532,"")</f>
        <v/>
      </c>
      <c r="AZ532" s="105">
        <f>IFERROR(BI532*BN532,"")</f>
        <v/>
      </c>
      <c r="BA532" s="105" t="n"/>
      <c r="BB532" s="105" t="n"/>
      <c r="BC532" s="105">
        <f>IFERROR(BI532*BN532*BK532/BJ532^(1/2),"")</f>
        <v/>
      </c>
      <c r="BD532" s="105">
        <f>IFERROR(BH532*BM532*BL532/BJ532/BK532,"")</f>
        <v/>
      </c>
      <c r="BE532" s="105">
        <f>IFERROR(MIN(BI532/BQ532/BP532/BO532/BH532,$BE$1),"")</f>
        <v/>
      </c>
      <c r="BF532" s="105">
        <f>IFERROR(BJ532*BO532*BP532/BK532,"")</f>
        <v/>
      </c>
      <c r="BG532" s="105">
        <f>IFERROR(1/BM532/BH532*BQ532,"")</f>
        <v/>
      </c>
      <c r="BH532" s="102">
        <f>MAX((CE532-Driver!$F$200)/(Driver!$G$200-Driver!$F$200)*$BI$1,1)</f>
        <v/>
      </c>
      <c r="BI532" s="102">
        <f>MAX($BI$1*(BY532-Driver!$F$201)/(Driver!$G$201-Driver!$F$201),1)</f>
        <v/>
      </c>
      <c r="BJ532" s="102">
        <f>(CB532-Driver!$F$206)/(Driver!$G$206-Driver!$F$206)*$BI$1</f>
        <v/>
      </c>
      <c r="BK532" s="102">
        <f>(CD532-Driver!$F$203)/(Driver!$G$203-Driver!$F$203)*$BI$1</f>
        <v/>
      </c>
      <c r="BL532" s="102">
        <f>MAX((CR532-Driver!$F$202)/(Driver!$G$202-Driver!$F$202)*$BI$1,1)</f>
        <v/>
      </c>
      <c r="BM532" s="102">
        <f>MAX((CH532-Driver!$F$204)/(Driver!$G$204-Driver!$F$204)*$BI$1,1)</f>
        <v/>
      </c>
      <c r="BN532" s="102">
        <f>(CI532-Driver!$F$205)/(Driver!$G$205-Driver!$F$205)*$BI$1</f>
        <v/>
      </c>
      <c r="BO532" s="102">
        <f>(CK532-Driver!$F$207)/(Driver!$G$207-Driver!$F$207)*$BI$1</f>
        <v/>
      </c>
      <c r="BP532" s="102">
        <f>(CM532-Driver!$F$208)/(Driver!$G$208-Driver!$F$208)*$BI$1</f>
        <v/>
      </c>
      <c r="BQ532" s="102">
        <f>(CL532-Driver!$F$209)/(Driver!$G$209-Driver!$F$209)*$BI$1</f>
        <v/>
      </c>
      <c r="BR532" s="40" t="inlineStr">
        <is>
          <t>21/22</t>
        </is>
      </c>
      <c r="BS532" s="10" t="inlineStr">
        <is>
          <t xml:space="preserve"> Völkl</t>
        </is>
      </c>
      <c r="BT532" s="11" t="inlineStr">
        <is>
          <t>Rise Above 88</t>
        </is>
      </c>
      <c r="BU532" s="13" t="n">
        <v>184</v>
      </c>
      <c r="BV532" s="11" t="inlineStr">
        <is>
          <t xml:space="preserve"> Unisex</t>
        </is>
      </c>
      <c r="BW532" s="13" t="n">
        <v>184</v>
      </c>
      <c r="BX532" s="13" t="n">
        <v>184</v>
      </c>
      <c r="BY532" s="13" t="n">
        <v>149</v>
      </c>
      <c r="BZ532" s="13" t="n">
        <v>163</v>
      </c>
      <c r="CA532" s="13" t="n">
        <v>130</v>
      </c>
      <c r="CB532" s="13" t="n">
        <v>87</v>
      </c>
      <c r="CC532" s="13" t="n">
        <v>111</v>
      </c>
      <c r="CD532" s="13" t="n">
        <v>19.2</v>
      </c>
      <c r="CE532" s="13" t="n">
        <v>1357</v>
      </c>
      <c r="CF532" s="13" t="n">
        <v>1.36</v>
      </c>
      <c r="CG532" s="13" t="n">
        <v>1847</v>
      </c>
      <c r="CH532" s="13" t="n">
        <v>195</v>
      </c>
      <c r="CI532" s="13" t="n">
        <v>76</v>
      </c>
      <c r="CJ532" s="13" t="n">
        <v>47</v>
      </c>
      <c r="CK532" s="13" t="n">
        <v>285</v>
      </c>
      <c r="CL532" s="13" t="n">
        <v>4</v>
      </c>
      <c r="CM532" s="13" t="n">
        <v>64</v>
      </c>
      <c r="CN532" s="13" t="n">
        <v>0.08699999999999999</v>
      </c>
      <c r="CO532" s="13" t="n">
        <v>122</v>
      </c>
      <c r="CP532" s="13" t="n">
        <v>90</v>
      </c>
      <c r="CQ532" s="13" t="n">
        <v>164</v>
      </c>
      <c r="CR532" s="13" t="n">
        <v>6</v>
      </c>
      <c r="CS532" s="13" t="n">
        <v>12.5</v>
      </c>
      <c r="CT532" s="11" t="inlineStr">
        <is>
          <t xml:space="preserve"> Touring</t>
        </is>
      </c>
      <c r="CU532" s="11" t="inlineStr">
        <is>
          <t xml:space="preserve"> Ultralight Touring</t>
        </is>
      </c>
      <c r="CV532" s="13" t="n"/>
      <c r="CW532" s="13" t="n"/>
      <c r="CX532">
        <f>INDEX('Data_Price '!AG$2:AG$1266,MATCH(Data!$DN532,'Data_Price '!$AT$2:$AT$1266,0))</f>
        <v/>
      </c>
      <c r="CY532">
        <f>INDEX('Data_Price '!AH$2:AH$1266,MATCH(Data!$DN532,'Data_Price '!$AT$2:$AT$1266,0))</f>
        <v/>
      </c>
      <c r="CZ532">
        <f>INDEX('Data_Price '!AI$2:AI$1266,MATCH(Data!$DN532,'Data_Price '!$AT$2:$AT$1266,0))</f>
        <v/>
      </c>
      <c r="DA532">
        <f>INDEX('Data_Price '!AJ$2:AJ$1266,MATCH(Data!$DN532,'Data_Price '!$AT$2:$AT$1266,0))</f>
        <v/>
      </c>
      <c r="DB532">
        <f>INDEX('Data_Price '!AK$2:AK$1266,MATCH(Data!$DN532,'Data_Price '!$AT$2:$AT$1266,0))</f>
        <v/>
      </c>
      <c r="DC532">
        <f>INDEX('Data_Price '!AL$2:AL$1266,MATCH(Data!$DN532,'Data_Price '!$AT$2:$AT$1266,0))</f>
        <v/>
      </c>
      <c r="DD532">
        <f>INDEX('Data_Price '!AM$2:AM$1266,MATCH(Data!$DN532,'Data_Price '!$AT$2:$AT$1266,0))</f>
        <v/>
      </c>
      <c r="DE532">
        <f>INDEX('Data_Price '!AN$2:AN$1266,MATCH(Data!$DN532,'Data_Price '!$AT$2:$AT$1266,0))</f>
        <v/>
      </c>
      <c r="DF532">
        <f>INDEX('Data_Price '!AO$2:AO$1266,MATCH(Data!$DN532,'Data_Price '!$AT$2:$AT$1266,0))</f>
        <v/>
      </c>
      <c r="DG532">
        <f>INDEX('Data_Price '!AP$2:AP$1266,MATCH(Data!$DN532,'Data_Price '!$AT$2:$AT$1266,0))</f>
        <v/>
      </c>
      <c r="DH532">
        <f>INDEX('Data_Price '!AQ$2:AQ$1266,MATCH(Data!$DN532,'Data_Price '!$AT$2:$AT$1266,0))</f>
        <v/>
      </c>
      <c r="DI532">
        <f>INDEX('Data_Price '!AR$2:AR$1266,MATCH(Data!$DN532,'Data_Price '!$AT$2:$AT$1266,0))</f>
        <v/>
      </c>
      <c r="DJ532" s="138">
        <f>DA532</f>
        <v/>
      </c>
      <c r="DK532" s="138">
        <f>DE532</f>
        <v/>
      </c>
      <c r="DL532" s="138">
        <f>DI532</f>
        <v/>
      </c>
      <c r="DM532" s="303">
        <f>IF(LEFT(BT532,1)=" ",RIGHT(BT532,LEN(BT532)-1),BT532)</f>
        <v/>
      </c>
      <c r="DN532" s="138">
        <f>_xlfn.CONCAT(BS532,DM532,BU532,BV532)</f>
        <v/>
      </c>
      <c r="DO532" s="307" t="n"/>
    </row>
    <row r="533" ht="15.6" customHeight="1" s="184">
      <c r="B533" s="303">
        <f t="array" ref="B533">IF(OR(ISERROR(K533:P533)),FALSE,TRUE)</f>
        <v/>
      </c>
      <c r="C533" s="60">
        <f>OR(BR533=Driver!$G$50,Data!BR1149=Driver!$H$50)</f>
        <v/>
      </c>
      <c r="D533" s="60">
        <f>OR(BV533=Driver!$G$51,BV533=Driver!$H$51)</f>
        <v/>
      </c>
      <c r="E533" s="60">
        <f>AND(BX533&gt;Driver!$F$54,BX533&lt;Driver!$G$54)</f>
        <v/>
      </c>
      <c r="F533" s="60">
        <f>CL533&gt;Driver!$F$56</f>
        <v/>
      </c>
      <c r="G533" s="60">
        <f>AND(CB533&gt;Driver!$F$55,CB533&lt;Driver!$G$55)</f>
        <v/>
      </c>
      <c r="H533" s="60">
        <f>AND(B533:G533)</f>
        <v/>
      </c>
      <c r="I533" s="60">
        <f>COUNTIFS($H$9:$H$1273,TRUE,$BT$9:$BT$1273,BT533)</f>
        <v/>
      </c>
      <c r="J533" s="60">
        <f t="array" ref="J533">NOT(OR(($H$9:$H$1273=TRUE)*($I$9:$I$1273&gt;0)*($BT$9:$BT$1273=BT533)*($K$9:$K$1273&gt;K533)))</f>
        <v/>
      </c>
      <c r="K533" s="108">
        <f>IFERROR(1-AVERAGE(X533:Y533),"")</f>
        <v/>
      </c>
      <c r="L533" s="108">
        <f>1-X533</f>
        <v/>
      </c>
      <c r="M533" s="108">
        <f>1-Y533</f>
        <v/>
      </c>
      <c r="N533" s="108">
        <f>1-Z533</f>
        <v/>
      </c>
      <c r="O533" s="108">
        <f>1-AA533</f>
        <v/>
      </c>
      <c r="P533" s="108">
        <f>1-AB533</f>
        <v/>
      </c>
      <c r="Q533" s="108" t="n"/>
      <c r="R533" s="108" t="n"/>
      <c r="S533" s="108">
        <f>1-AE533</f>
        <v/>
      </c>
      <c r="T533" s="108">
        <f>1-AF533</f>
        <v/>
      </c>
      <c r="U533" s="108">
        <f>1-AG533</f>
        <v/>
      </c>
      <c r="V533" s="108">
        <f>1-AH533</f>
        <v/>
      </c>
      <c r="W533" s="108">
        <f>1-AI533</f>
        <v/>
      </c>
      <c r="X533" s="108">
        <f>ABS(AJ533-AJ$1)</f>
        <v/>
      </c>
      <c r="Y533" s="108">
        <f>AVERAGE(Z533:AB533)</f>
        <v/>
      </c>
      <c r="Z533" s="108">
        <f>ABS(AL533-AL$1)</f>
        <v/>
      </c>
      <c r="AA533" s="108">
        <f>ABS(AM533-AM$1)</f>
        <v/>
      </c>
      <c r="AB533" s="108">
        <f>ABS(AN533-AN$1)</f>
        <v/>
      </c>
      <c r="AC533" s="108" t="n"/>
      <c r="AD533" s="108" t="n"/>
      <c r="AE533" s="108">
        <f>ABS(AQ$1-AQ533)</f>
        <v/>
      </c>
      <c r="AF533" s="108">
        <f>ABS(AR$1-AR533)</f>
        <v/>
      </c>
      <c r="AG533" s="108">
        <f>ABS(AS$1-AS533)</f>
        <v/>
      </c>
      <c r="AH533" s="108">
        <f>ABS(AT$1-AT533)</f>
        <v/>
      </c>
      <c r="AI533" s="108">
        <f>ABS(AU$1-AU533)</f>
        <v/>
      </c>
      <c r="AJ533" s="108">
        <f>(AV533-Driver!$K$179)/(Driver!$L$179-Driver!$K$179)</f>
        <v/>
      </c>
      <c r="AK533" s="108">
        <f>(AW533-Driver!$K$180)/(Driver!$L$180-Driver!$K$180)</f>
        <v/>
      </c>
      <c r="AL533" s="108">
        <f>(AX533-Driver!$K$181)/(Driver!$L$181-Driver!$K$181)</f>
        <v/>
      </c>
      <c r="AM533" s="108">
        <f>(AY533-Driver!$K$182)/(Driver!$L$182-Driver!$K$182)</f>
        <v/>
      </c>
      <c r="AN533" s="108">
        <f>(AZ533-Driver!$K$183)/(Driver!$L$183-Driver!$K$183)</f>
        <v/>
      </c>
      <c r="AO533" s="108" t="n"/>
      <c r="AP533" s="108" t="n"/>
      <c r="AQ533" s="108">
        <f>(BC533-Driver!$K$188)/(Driver!$L$188-Driver!$K$188)</f>
        <v/>
      </c>
      <c r="AR533" s="108">
        <f>MIN((BD533-Driver!$K$189)/(Driver!$L$189-Driver!$K$189),100%)</f>
        <v/>
      </c>
      <c r="AS533" s="108">
        <f>(BE533-Driver!$K$190)/(Driver!$L$190-Driver!$K$190)</f>
        <v/>
      </c>
      <c r="AT533" s="108">
        <f>(BF533-Driver!$K$191)/(Driver!$L$191-Driver!$K$191)</f>
        <v/>
      </c>
      <c r="AU533" s="108">
        <f>(BG533-Driver!$K$192)/(Driver!$L$192-Driver!$K$192)</f>
        <v/>
      </c>
      <c r="AV533" s="105">
        <f>IFERROR(BM533*BJ533^1/4,"")</f>
        <v/>
      </c>
      <c r="AW533" s="105">
        <f>IFERROR(SUM(AX533:AZ533),"")</f>
        <v/>
      </c>
      <c r="AX533" s="105">
        <f>IFERROR(BH533,"")</f>
        <v/>
      </c>
      <c r="AY533" s="105">
        <f>IFERROR(Driver!$K$19/Data!BH533/Data!BI533*Data!BK533*Data!BL533,"")</f>
        <v/>
      </c>
      <c r="AZ533" s="105">
        <f>IFERROR(BI533*BN533,"")</f>
        <v/>
      </c>
      <c r="BA533" s="105" t="n"/>
      <c r="BB533" s="105" t="n"/>
      <c r="BC533" s="105">
        <f>IFERROR(BI533*BN533*BK533/BJ533^(1/2),"")</f>
        <v/>
      </c>
      <c r="BD533" s="105">
        <f>IFERROR(BH533*BM533*BL533/BJ533/BK533,"")</f>
        <v/>
      </c>
      <c r="BE533" s="105">
        <f>IFERROR(MIN(BI533/BQ533/BP533/BO533/BH533,$BE$1),"")</f>
        <v/>
      </c>
      <c r="BF533" s="105">
        <f>IFERROR(BJ533*BO533*BP533/BK533,"")</f>
        <v/>
      </c>
      <c r="BG533" s="105">
        <f>IFERROR(1/BM533/BH533*BQ533,"")</f>
        <v/>
      </c>
      <c r="BH533" s="102">
        <f>MAX((CE533-Driver!$F$200)/(Driver!$G$200-Driver!$F$200)*$BI$1,1)</f>
        <v/>
      </c>
      <c r="BI533" s="102">
        <f>MAX($BI$1*(BY533-Driver!$F$201)/(Driver!$G$201-Driver!$F$201),1)</f>
        <v/>
      </c>
      <c r="BJ533" s="102">
        <f>(CB533-Driver!$F$206)/(Driver!$G$206-Driver!$F$206)*$BI$1</f>
        <v/>
      </c>
      <c r="BK533" s="102">
        <f>(CD533-Driver!$F$203)/(Driver!$G$203-Driver!$F$203)*$BI$1</f>
        <v/>
      </c>
      <c r="BL533" s="102">
        <f>MAX((CR533-Driver!$F$202)/(Driver!$G$202-Driver!$F$202)*$BI$1,1)</f>
        <v/>
      </c>
      <c r="BM533" s="102">
        <f>MAX((CH533-Driver!$F$204)/(Driver!$G$204-Driver!$F$204)*$BI$1,1)</f>
        <v/>
      </c>
      <c r="BN533" s="102">
        <f>(CI533-Driver!$F$205)/(Driver!$G$205-Driver!$F$205)*$BI$1</f>
        <v/>
      </c>
      <c r="BO533" s="102">
        <f>(CK533-Driver!$F$207)/(Driver!$G$207-Driver!$F$207)*$BI$1</f>
        <v/>
      </c>
      <c r="BP533" s="102">
        <f>(CM533-Driver!$F$208)/(Driver!$G$208-Driver!$F$208)*$BI$1</f>
        <v/>
      </c>
      <c r="BQ533" s="102">
        <f>(CL533-Driver!$F$209)/(Driver!$G$209-Driver!$F$209)*$BI$1</f>
        <v/>
      </c>
      <c r="BR533" s="40" t="inlineStr">
        <is>
          <t>21/22</t>
        </is>
      </c>
      <c r="BS533" s="10" t="inlineStr">
        <is>
          <t xml:space="preserve"> Völkl</t>
        </is>
      </c>
      <c r="BT533" s="11" t="inlineStr">
        <is>
          <t>Bash 86</t>
        </is>
      </c>
      <c r="BU533" s="13" t="n">
        <v>164</v>
      </c>
      <c r="BV533" s="11" t="inlineStr">
        <is>
          <t xml:space="preserve"> Unisex</t>
        </is>
      </c>
      <c r="BW533" s="13" t="n">
        <v>164</v>
      </c>
      <c r="BX533" s="13" t="n">
        <v>163</v>
      </c>
      <c r="BY533" s="13" t="n">
        <v>118</v>
      </c>
      <c r="BZ533" s="13" t="n">
        <v>148</v>
      </c>
      <c r="CA533" s="13" t="n">
        <v>119</v>
      </c>
      <c r="CB533" s="13" t="n">
        <v>85</v>
      </c>
      <c r="CC533" s="13" t="n">
        <v>109</v>
      </c>
      <c r="CD533" s="13" t="n">
        <v>18</v>
      </c>
      <c r="CE533" s="13" t="n">
        <v>1603</v>
      </c>
      <c r="CF533" s="13" t="n">
        <v>0.97</v>
      </c>
      <c r="CG533" s="13" t="n">
        <v>1560</v>
      </c>
      <c r="CH533" s="13" t="n">
        <v>159</v>
      </c>
      <c r="CI533" s="13" t="n">
        <v>79</v>
      </c>
      <c r="CJ533" s="13" t="n">
        <v>42</v>
      </c>
      <c r="CK533" s="13" t="n">
        <v>239</v>
      </c>
      <c r="CL533" s="13" t="n">
        <v>40</v>
      </c>
      <c r="CM533" s="13" t="n">
        <v>216</v>
      </c>
      <c r="CN533" s="13" t="n">
        <v>0.96</v>
      </c>
      <c r="CO533" s="13" t="n">
        <v>82</v>
      </c>
      <c r="CP533" s="13" t="n">
        <v>68</v>
      </c>
      <c r="CQ533" s="13" t="n">
        <v>157</v>
      </c>
      <c r="CR533" s="13" t="n">
        <v>3</v>
      </c>
      <c r="CS533" s="13" t="n">
        <v>1.6</v>
      </c>
      <c r="CT533" s="11" t="inlineStr">
        <is>
          <t xml:space="preserve"> Freeski</t>
        </is>
      </c>
      <c r="CU533" s="13" t="n"/>
      <c r="CV533" s="13" t="n"/>
      <c r="CW533" s="13" t="n"/>
      <c r="CX533">
        <f>INDEX('Data_Price '!AG$2:AG$1266,MATCH(Data!$DN533,'Data_Price '!$AT$2:$AT$1266,0))</f>
        <v/>
      </c>
      <c r="CY533">
        <f>INDEX('Data_Price '!AH$2:AH$1266,MATCH(Data!$DN533,'Data_Price '!$AT$2:$AT$1266,0))</f>
        <v/>
      </c>
      <c r="CZ533">
        <f>INDEX('Data_Price '!AI$2:AI$1266,MATCH(Data!$DN533,'Data_Price '!$AT$2:$AT$1266,0))</f>
        <v/>
      </c>
      <c r="DA533">
        <f>INDEX('Data_Price '!AJ$2:AJ$1266,MATCH(Data!$DN533,'Data_Price '!$AT$2:$AT$1266,0))</f>
        <v/>
      </c>
      <c r="DB533">
        <f>INDEX('Data_Price '!AK$2:AK$1266,MATCH(Data!$DN533,'Data_Price '!$AT$2:$AT$1266,0))</f>
        <v/>
      </c>
      <c r="DC533">
        <f>INDEX('Data_Price '!AL$2:AL$1266,MATCH(Data!$DN533,'Data_Price '!$AT$2:$AT$1266,0))</f>
        <v/>
      </c>
      <c r="DD533">
        <f>INDEX('Data_Price '!AM$2:AM$1266,MATCH(Data!$DN533,'Data_Price '!$AT$2:$AT$1266,0))</f>
        <v/>
      </c>
      <c r="DE533">
        <f>INDEX('Data_Price '!AN$2:AN$1266,MATCH(Data!$DN533,'Data_Price '!$AT$2:$AT$1266,0))</f>
        <v/>
      </c>
      <c r="DF533">
        <f>INDEX('Data_Price '!AO$2:AO$1266,MATCH(Data!$DN533,'Data_Price '!$AT$2:$AT$1266,0))</f>
        <v/>
      </c>
      <c r="DG533">
        <f>INDEX('Data_Price '!AP$2:AP$1266,MATCH(Data!$DN533,'Data_Price '!$AT$2:$AT$1266,0))</f>
        <v/>
      </c>
      <c r="DH533">
        <f>INDEX('Data_Price '!AQ$2:AQ$1266,MATCH(Data!$DN533,'Data_Price '!$AT$2:$AT$1266,0))</f>
        <v/>
      </c>
      <c r="DI533">
        <f>INDEX('Data_Price '!AR$2:AR$1266,MATCH(Data!$DN533,'Data_Price '!$AT$2:$AT$1266,0))</f>
        <v/>
      </c>
      <c r="DJ533" s="138">
        <f>DA533</f>
        <v/>
      </c>
      <c r="DK533" s="138">
        <f>DE533</f>
        <v/>
      </c>
      <c r="DL533" s="138">
        <f>DI533</f>
        <v/>
      </c>
      <c r="DM533" s="303">
        <f>IF(LEFT(BT533,1)=" ",RIGHT(BT533,LEN(BT533)-1),BT533)</f>
        <v/>
      </c>
      <c r="DN533" s="138">
        <f>_xlfn.CONCAT(BS533,DM533,BU533,BV533)</f>
        <v/>
      </c>
      <c r="DO533" s="307" t="inlineStr">
        <is>
          <t>https://images.evo.com/imgp/250/183430/726763/clone.jpg</t>
        </is>
      </c>
    </row>
    <row r="534" ht="15.6" customHeight="1" s="184">
      <c r="B534" s="303">
        <f t="array" ref="B534">IF(OR(ISERROR(K534:P534)),FALSE,TRUE)</f>
        <v/>
      </c>
      <c r="C534" s="60">
        <f>OR(BR534=Driver!$G$50,Data!BR842=Driver!$H$50)</f>
        <v/>
      </c>
      <c r="D534" s="60">
        <f>OR(BV534=Driver!$G$51,BV534=Driver!$H$51)</f>
        <v/>
      </c>
      <c r="E534" s="60">
        <f>AND(BX534&gt;Driver!$F$54,BX534&lt;Driver!$G$54)</f>
        <v/>
      </c>
      <c r="F534" s="60">
        <f>CL534&gt;Driver!$F$56</f>
        <v/>
      </c>
      <c r="G534" s="60">
        <f>AND(CB534&gt;Driver!$F$55,CB534&lt;Driver!$G$55)</f>
        <v/>
      </c>
      <c r="H534" s="60">
        <f>AND(B534:G534)</f>
        <v/>
      </c>
      <c r="I534" s="60">
        <f>COUNTIFS($H$9:$H$1273,TRUE,$BT$9:$BT$1273,BT534)</f>
        <v/>
      </c>
      <c r="J534" s="60">
        <f t="array" ref="J534">NOT(OR(($H$9:$H$1273=TRUE)*($I$9:$I$1273&gt;0)*($BT$9:$BT$1273=BT534)*($K$9:$K$1273&gt;K534)))</f>
        <v/>
      </c>
      <c r="K534" s="108">
        <f>IFERROR(1-AVERAGE(X534:Y534),"")</f>
        <v/>
      </c>
      <c r="L534" s="108">
        <f>1-X534</f>
        <v/>
      </c>
      <c r="M534" s="108">
        <f>1-Y534</f>
        <v/>
      </c>
      <c r="N534" s="108">
        <f>1-Z534</f>
        <v/>
      </c>
      <c r="O534" s="108">
        <f>1-AA534</f>
        <v/>
      </c>
      <c r="P534" s="108">
        <f>1-AB534</f>
        <v/>
      </c>
      <c r="Q534" s="108" t="n"/>
      <c r="R534" s="108" t="n"/>
      <c r="S534" s="108">
        <f>1-AE534</f>
        <v/>
      </c>
      <c r="T534" s="108">
        <f>1-AF534</f>
        <v/>
      </c>
      <c r="U534" s="108">
        <f>1-AG534</f>
        <v/>
      </c>
      <c r="V534" s="108">
        <f>1-AH534</f>
        <v/>
      </c>
      <c r="W534" s="108">
        <f>1-AI534</f>
        <v/>
      </c>
      <c r="X534" s="108">
        <f>ABS(AJ534-AJ$1)</f>
        <v/>
      </c>
      <c r="Y534" s="108">
        <f>AVERAGE(Z534:AB534)</f>
        <v/>
      </c>
      <c r="Z534" s="108">
        <f>ABS(AL534-AL$1)</f>
        <v/>
      </c>
      <c r="AA534" s="108">
        <f>ABS(AM534-AM$1)</f>
        <v/>
      </c>
      <c r="AB534" s="108">
        <f>ABS(AN534-AN$1)</f>
        <v/>
      </c>
      <c r="AC534" s="108" t="n"/>
      <c r="AD534" s="108" t="n"/>
      <c r="AE534" s="108">
        <f>ABS(AQ$1-AQ534)</f>
        <v/>
      </c>
      <c r="AF534" s="108">
        <f>ABS(AR$1-AR534)</f>
        <v/>
      </c>
      <c r="AG534" s="108">
        <f>ABS(AS$1-AS534)</f>
        <v/>
      </c>
      <c r="AH534" s="108">
        <f>ABS(AT$1-AT534)</f>
        <v/>
      </c>
      <c r="AI534" s="108">
        <f>ABS(AU$1-AU534)</f>
        <v/>
      </c>
      <c r="AJ534" s="108">
        <f>(AV534-Driver!$K$179)/(Driver!$L$179-Driver!$K$179)</f>
        <v/>
      </c>
      <c r="AK534" s="108">
        <f>(AW534-Driver!$K$180)/(Driver!$L$180-Driver!$K$180)</f>
        <v/>
      </c>
      <c r="AL534" s="108">
        <f>(AX534-Driver!$K$181)/(Driver!$L$181-Driver!$K$181)</f>
        <v/>
      </c>
      <c r="AM534" s="108">
        <f>(AY534-Driver!$K$182)/(Driver!$L$182-Driver!$K$182)</f>
        <v/>
      </c>
      <c r="AN534" s="108">
        <f>(AZ534-Driver!$K$183)/(Driver!$L$183-Driver!$K$183)</f>
        <v/>
      </c>
      <c r="AO534" s="108" t="n"/>
      <c r="AP534" s="108" t="n"/>
      <c r="AQ534" s="108">
        <f>(BC534-Driver!$K$188)/(Driver!$L$188-Driver!$K$188)</f>
        <v/>
      </c>
      <c r="AR534" s="108">
        <f>MIN((BD534-Driver!$K$189)/(Driver!$L$189-Driver!$K$189),100%)</f>
        <v/>
      </c>
      <c r="AS534" s="108">
        <f>(BE534-Driver!$K$190)/(Driver!$L$190-Driver!$K$190)</f>
        <v/>
      </c>
      <c r="AT534" s="108">
        <f>(BF534-Driver!$K$191)/(Driver!$L$191-Driver!$K$191)</f>
        <v/>
      </c>
      <c r="AU534" s="108">
        <f>(BG534-Driver!$K$192)/(Driver!$L$192-Driver!$K$192)</f>
        <v/>
      </c>
      <c r="AV534" s="105">
        <f>IFERROR(BM534*BJ534^1/4,"")</f>
        <v/>
      </c>
      <c r="AW534" s="105">
        <f>IFERROR(SUM(AX534:AZ534),"")</f>
        <v/>
      </c>
      <c r="AX534" s="105">
        <f>IFERROR(BH534,"")</f>
        <v/>
      </c>
      <c r="AY534" s="105">
        <f>IFERROR(Driver!$K$19/Data!BH534/Data!BI534*Data!BK534*Data!BL534,"")</f>
        <v/>
      </c>
      <c r="AZ534" s="105">
        <f>IFERROR(BI534*BN534,"")</f>
        <v/>
      </c>
      <c r="BA534" s="105" t="n"/>
      <c r="BB534" s="105" t="n"/>
      <c r="BC534" s="105">
        <f>IFERROR(BI534*BN534*BK534/BJ534^(1/2),"")</f>
        <v/>
      </c>
      <c r="BD534" s="105">
        <f>IFERROR(BH534*BM534*BL534/BJ534/BK534,"")</f>
        <v/>
      </c>
      <c r="BE534" s="105">
        <f>IFERROR(MIN(BI534/BQ534/BP534/BO534/BH534,$BE$1),"")</f>
        <v/>
      </c>
      <c r="BF534" s="105">
        <f>IFERROR(BJ534*BO534*BP534/BK534,"")</f>
        <v/>
      </c>
      <c r="BG534" s="105">
        <f>IFERROR(1/BM534/BH534*BQ534,"")</f>
        <v/>
      </c>
      <c r="BH534" s="102">
        <f>MAX((CE534-Driver!$F$200)/(Driver!$G$200-Driver!$F$200)*$BI$1,1)</f>
        <v/>
      </c>
      <c r="BI534" s="102">
        <f>MAX($BI$1*(BY534-Driver!$F$201)/(Driver!$G$201-Driver!$F$201),1)</f>
        <v/>
      </c>
      <c r="BJ534" s="102">
        <f>(CB534-Driver!$F$206)/(Driver!$G$206-Driver!$F$206)*$BI$1</f>
        <v/>
      </c>
      <c r="BK534" s="102">
        <f>(CD534-Driver!$F$203)/(Driver!$G$203-Driver!$F$203)*$BI$1</f>
        <v/>
      </c>
      <c r="BL534" s="102">
        <f>MAX((CR534-Driver!$F$202)/(Driver!$G$202-Driver!$F$202)*$BI$1,1)</f>
        <v/>
      </c>
      <c r="BM534" s="102">
        <f>MAX((CH534-Driver!$F$204)/(Driver!$G$204-Driver!$F$204)*$BI$1,1)</f>
        <v/>
      </c>
      <c r="BN534" s="102">
        <f>(CI534-Driver!$F$205)/(Driver!$G$205-Driver!$F$205)*$BI$1</f>
        <v/>
      </c>
      <c r="BO534" s="102">
        <f>(CK534-Driver!$F$207)/(Driver!$G$207-Driver!$F$207)*$BI$1</f>
        <v/>
      </c>
      <c r="BP534" s="102">
        <f>(CM534-Driver!$F$208)/(Driver!$G$208-Driver!$F$208)*$BI$1</f>
        <v/>
      </c>
      <c r="BQ534" s="102">
        <f>(CL534-Driver!$F$209)/(Driver!$G$209-Driver!$F$209)*$BI$1</f>
        <v/>
      </c>
      <c r="BR534" s="40" t="inlineStr">
        <is>
          <t>21/22</t>
        </is>
      </c>
      <c r="BS534" s="10" t="inlineStr">
        <is>
          <t xml:space="preserve"> Line</t>
        </is>
      </c>
      <c r="BT534" s="11" t="inlineStr">
        <is>
          <t xml:space="preserve"> Outline</t>
        </is>
      </c>
      <c r="BU534" s="13" t="n">
        <v>186</v>
      </c>
      <c r="BV534" s="11" t="inlineStr">
        <is>
          <t xml:space="preserve"> Unisex</t>
        </is>
      </c>
      <c r="BW534" s="13" t="n">
        <v>186</v>
      </c>
      <c r="BX534" s="13" t="n">
        <v>184.1</v>
      </c>
      <c r="BY534" s="13" t="n">
        <v>104</v>
      </c>
      <c r="BZ534" s="13" t="n">
        <v>152</v>
      </c>
      <c r="CA534" s="13" t="n">
        <v>151</v>
      </c>
      <c r="CB534" s="13" t="n">
        <v>116</v>
      </c>
      <c r="CC534" s="13" t="n">
        <v>140</v>
      </c>
      <c r="CD534" s="13" t="n">
        <v>19.4</v>
      </c>
      <c r="CE534" s="13" t="n">
        <v>2017</v>
      </c>
      <c r="CF534" s="13" t="n">
        <v>1.14</v>
      </c>
      <c r="CG534" s="13" t="n">
        <v>2292</v>
      </c>
      <c r="CH534" s="13" t="n">
        <v>182</v>
      </c>
      <c r="CI534" s="13" t="n">
        <v>82</v>
      </c>
      <c r="CJ534" s="13" t="n">
        <v>57</v>
      </c>
      <c r="CK534" s="13" t="n">
        <v>400</v>
      </c>
      <c r="CL534" s="13" t="n">
        <v>55</v>
      </c>
      <c r="CM534" s="13" t="n">
        <v>400</v>
      </c>
      <c r="CN534" s="13" t="n">
        <v>0.967</v>
      </c>
      <c r="CO534" s="13" t="n">
        <v>170</v>
      </c>
      <c r="CP534" s="13" t="n">
        <v>152</v>
      </c>
      <c r="CQ534" s="13" t="n">
        <v>229</v>
      </c>
      <c r="CR534" s="13" t="n">
        <v>5</v>
      </c>
      <c r="CS534" s="13" t="n">
        <v>4.6</v>
      </c>
      <c r="CT534" s="11" t="inlineStr">
        <is>
          <t xml:space="preserve"> Freeski</t>
        </is>
      </c>
      <c r="CU534" s="11" t="inlineStr">
        <is>
          <t xml:space="preserve"> Powder</t>
        </is>
      </c>
      <c r="CV534" s="11" t="inlineStr">
        <is>
          <t xml:space="preserve"> Touring</t>
        </is>
      </c>
      <c r="CW534" s="13" t="n"/>
      <c r="CX534">
        <f>INDEX('Data_Price '!AG$2:AG$1266,MATCH(Data!$DN534,'Data_Price '!$AT$2:$AT$1266,0))</f>
        <v/>
      </c>
      <c r="CY534">
        <f>INDEX('Data_Price '!AH$2:AH$1266,MATCH(Data!$DN534,'Data_Price '!$AT$2:$AT$1266,0))</f>
        <v/>
      </c>
      <c r="CZ534">
        <f>INDEX('Data_Price '!AI$2:AI$1266,MATCH(Data!$DN534,'Data_Price '!$AT$2:$AT$1266,0))</f>
        <v/>
      </c>
      <c r="DA534">
        <f>INDEX('Data_Price '!AJ$2:AJ$1266,MATCH(Data!$DN534,'Data_Price '!$AT$2:$AT$1266,0))</f>
        <v/>
      </c>
      <c r="DB534">
        <f>INDEX('Data_Price '!AK$2:AK$1266,MATCH(Data!$DN534,'Data_Price '!$AT$2:$AT$1266,0))</f>
        <v/>
      </c>
      <c r="DC534">
        <f>INDEX('Data_Price '!AL$2:AL$1266,MATCH(Data!$DN534,'Data_Price '!$AT$2:$AT$1266,0))</f>
        <v/>
      </c>
      <c r="DD534">
        <f>INDEX('Data_Price '!AM$2:AM$1266,MATCH(Data!$DN534,'Data_Price '!$AT$2:$AT$1266,0))</f>
        <v/>
      </c>
      <c r="DE534">
        <f>INDEX('Data_Price '!AN$2:AN$1266,MATCH(Data!$DN534,'Data_Price '!$AT$2:$AT$1266,0))</f>
        <v/>
      </c>
      <c r="DF534">
        <f>INDEX('Data_Price '!AO$2:AO$1266,MATCH(Data!$DN534,'Data_Price '!$AT$2:$AT$1266,0))</f>
        <v/>
      </c>
      <c r="DG534">
        <f>INDEX('Data_Price '!AP$2:AP$1266,MATCH(Data!$DN534,'Data_Price '!$AT$2:$AT$1266,0))</f>
        <v/>
      </c>
      <c r="DH534">
        <f>INDEX('Data_Price '!AQ$2:AQ$1266,MATCH(Data!$DN534,'Data_Price '!$AT$2:$AT$1266,0))</f>
        <v/>
      </c>
      <c r="DI534">
        <f>INDEX('Data_Price '!AR$2:AR$1266,MATCH(Data!$DN534,'Data_Price '!$AT$2:$AT$1266,0))</f>
        <v/>
      </c>
      <c r="DJ534" s="138">
        <f>DA534</f>
        <v/>
      </c>
      <c r="DK534" s="138">
        <f>DE534</f>
        <v/>
      </c>
      <c r="DL534" s="138">
        <f>DI534</f>
        <v/>
      </c>
      <c r="DM534" s="303">
        <f>IF(LEFT(BT534,1)=" ",RIGHT(BT534,LEN(BT534)-1),BT534)</f>
        <v/>
      </c>
      <c r="DN534" s="138">
        <f>_xlfn.CONCAT(BS534,DM534,BU534,BV534)</f>
        <v/>
      </c>
      <c r="DO534" s="307" t="n"/>
    </row>
    <row r="535" ht="15.6" customHeight="1" s="184">
      <c r="B535" s="303">
        <f t="array" ref="B535">IF(OR(ISERROR(K535:P535)),FALSE,TRUE)</f>
        <v/>
      </c>
      <c r="C535" s="60">
        <f>OR(BR535=Driver!$G$50,Data!BR104=Driver!$H$50)</f>
        <v/>
      </c>
      <c r="D535" s="60">
        <f>OR(BV535=Driver!$G$51,BV535=Driver!$H$51)</f>
        <v/>
      </c>
      <c r="E535" s="60">
        <f>AND(BX535&gt;Driver!$F$54,BX535&lt;Driver!$G$54)</f>
        <v/>
      </c>
      <c r="F535" s="60">
        <f>CL535&gt;Driver!$F$56</f>
        <v/>
      </c>
      <c r="G535" s="60">
        <f>AND(CB535&gt;Driver!$F$55,CB535&lt;Driver!$G$55)</f>
        <v/>
      </c>
      <c r="H535" s="60">
        <f>AND(B535:G535)</f>
        <v/>
      </c>
      <c r="I535" s="60">
        <f>COUNTIFS($H$9:$H$1273,TRUE,$BT$9:$BT$1273,BT535)</f>
        <v/>
      </c>
      <c r="J535" s="60">
        <f t="array" ref="J535">NOT(OR(($H$9:$H$1273=TRUE)*($I$9:$I$1273&gt;0)*($BT$9:$BT$1273=BT535)*($K$9:$K$1273&gt;K535)))</f>
        <v/>
      </c>
      <c r="K535" s="108">
        <f>IFERROR(1-AVERAGE(X535:Y535),"")</f>
        <v/>
      </c>
      <c r="L535" s="108">
        <f>1-X535</f>
        <v/>
      </c>
      <c r="M535" s="108">
        <f>1-Y535</f>
        <v/>
      </c>
      <c r="N535" s="108">
        <f>1-Z535</f>
        <v/>
      </c>
      <c r="O535" s="108">
        <f>1-AA535</f>
        <v/>
      </c>
      <c r="P535" s="108">
        <f>1-AB535</f>
        <v/>
      </c>
      <c r="Q535" s="108" t="n"/>
      <c r="R535" s="108" t="n"/>
      <c r="S535" s="108">
        <f>1-AE535</f>
        <v/>
      </c>
      <c r="T535" s="108">
        <f>1-AF535</f>
        <v/>
      </c>
      <c r="U535" s="108">
        <f>1-AG535</f>
        <v/>
      </c>
      <c r="V535" s="108">
        <f>1-AH535</f>
        <v/>
      </c>
      <c r="W535" s="108">
        <f>1-AI535</f>
        <v/>
      </c>
      <c r="X535" s="108">
        <f>ABS(AJ535-AJ$1)</f>
        <v/>
      </c>
      <c r="Y535" s="108">
        <f>AVERAGE(Z535:AB535)</f>
        <v/>
      </c>
      <c r="Z535" s="108">
        <f>ABS(AL535-AL$1)</f>
        <v/>
      </c>
      <c r="AA535" s="108">
        <f>ABS(AM535-AM$1)</f>
        <v/>
      </c>
      <c r="AB535" s="108">
        <f>ABS(AN535-AN$1)</f>
        <v/>
      </c>
      <c r="AC535" s="108" t="n"/>
      <c r="AD535" s="108" t="n"/>
      <c r="AE535" s="108">
        <f>ABS(AQ$1-AQ535)</f>
        <v/>
      </c>
      <c r="AF535" s="108">
        <f>ABS(AR$1-AR535)</f>
        <v/>
      </c>
      <c r="AG535" s="108">
        <f>ABS(AS$1-AS535)</f>
        <v/>
      </c>
      <c r="AH535" s="108">
        <f>ABS(AT$1-AT535)</f>
        <v/>
      </c>
      <c r="AI535" s="108">
        <f>ABS(AU$1-AU535)</f>
        <v/>
      </c>
      <c r="AJ535" s="108">
        <f>(AV535-Driver!$K$179)/(Driver!$L$179-Driver!$K$179)</f>
        <v/>
      </c>
      <c r="AK535" s="108">
        <f>(AW535-Driver!$K$180)/(Driver!$L$180-Driver!$K$180)</f>
        <v/>
      </c>
      <c r="AL535" s="108">
        <f>(AX535-Driver!$K$181)/(Driver!$L$181-Driver!$K$181)</f>
        <v/>
      </c>
      <c r="AM535" s="108">
        <f>(AY535-Driver!$K$182)/(Driver!$L$182-Driver!$K$182)</f>
        <v/>
      </c>
      <c r="AN535" s="108">
        <f>(AZ535-Driver!$K$183)/(Driver!$L$183-Driver!$K$183)</f>
        <v/>
      </c>
      <c r="AO535" s="108" t="n"/>
      <c r="AP535" s="108" t="n"/>
      <c r="AQ535" s="108">
        <f>(BC535-Driver!$K$188)/(Driver!$L$188-Driver!$K$188)</f>
        <v/>
      </c>
      <c r="AR535" s="108">
        <f>MIN((BD535-Driver!$K$189)/(Driver!$L$189-Driver!$K$189),100%)</f>
        <v/>
      </c>
      <c r="AS535" s="108">
        <f>(BE535-Driver!$K$190)/(Driver!$L$190-Driver!$K$190)</f>
        <v/>
      </c>
      <c r="AT535" s="108">
        <f>(BF535-Driver!$K$191)/(Driver!$L$191-Driver!$K$191)</f>
        <v/>
      </c>
      <c r="AU535" s="108">
        <f>(BG535-Driver!$K$192)/(Driver!$L$192-Driver!$K$192)</f>
        <v/>
      </c>
      <c r="AV535" s="105">
        <f>IFERROR(BM535*BJ535^1/4,"")</f>
        <v/>
      </c>
      <c r="AW535" s="105">
        <f>IFERROR(SUM(AX535:AZ535),"")</f>
        <v/>
      </c>
      <c r="AX535" s="105">
        <f>IFERROR(BH535,"")</f>
        <v/>
      </c>
      <c r="AY535" s="105">
        <f>IFERROR(Driver!$K$19/Data!BH535/Data!BI535*Data!BK535*Data!BL535,"")</f>
        <v/>
      </c>
      <c r="AZ535" s="105">
        <f>IFERROR(BI535*BN535,"")</f>
        <v/>
      </c>
      <c r="BA535" s="105" t="n"/>
      <c r="BB535" s="105" t="n"/>
      <c r="BC535" s="105">
        <f>IFERROR(BI535*BN535*BK535/BJ535^(1/2),"")</f>
        <v/>
      </c>
      <c r="BD535" s="105">
        <f>IFERROR(BH535*BM535*BL535/BJ535/BK535,"")</f>
        <v/>
      </c>
      <c r="BE535" s="105">
        <f>IFERROR(MIN(BI535/BQ535/BP535/BO535/BH535,$BE$1),"")</f>
        <v/>
      </c>
      <c r="BF535" s="105">
        <f>IFERROR(BJ535*BO535*BP535/BK535,"")</f>
        <v/>
      </c>
      <c r="BG535" s="105">
        <f>IFERROR(1/BM535/BH535*BQ535,"")</f>
        <v/>
      </c>
      <c r="BH535" s="102">
        <f>MAX((CE535-Driver!$F$200)/(Driver!$G$200-Driver!$F$200)*$BI$1,1)</f>
        <v/>
      </c>
      <c r="BI535" s="102">
        <f>MAX($BI$1*(BY535-Driver!$F$201)/(Driver!$G$201-Driver!$F$201),1)</f>
        <v/>
      </c>
      <c r="BJ535" s="102">
        <f>(CB535-Driver!$F$206)/(Driver!$G$206-Driver!$F$206)*$BI$1</f>
        <v/>
      </c>
      <c r="BK535" s="102">
        <f>(CD535-Driver!$F$203)/(Driver!$G$203-Driver!$F$203)*$BI$1</f>
        <v/>
      </c>
      <c r="BL535" s="102">
        <f>MAX((CR535-Driver!$F$202)/(Driver!$G$202-Driver!$F$202)*$BI$1,1)</f>
        <v/>
      </c>
      <c r="BM535" s="102">
        <f>MAX((CH535-Driver!$F$204)/(Driver!$G$204-Driver!$F$204)*$BI$1,1)</f>
        <v/>
      </c>
      <c r="BN535" s="102">
        <f>(CI535-Driver!$F$205)/(Driver!$G$205-Driver!$F$205)*$BI$1</f>
        <v/>
      </c>
      <c r="BO535" s="102">
        <f>(CK535-Driver!$F$207)/(Driver!$G$207-Driver!$F$207)*$BI$1</f>
        <v/>
      </c>
      <c r="BP535" s="102">
        <f>(CM535-Driver!$F$208)/(Driver!$G$208-Driver!$F$208)*$BI$1</f>
        <v/>
      </c>
      <c r="BQ535" s="102">
        <f>(CL535-Driver!$F$209)/(Driver!$G$209-Driver!$F$209)*$BI$1</f>
        <v/>
      </c>
      <c r="BR535" s="40" t="inlineStr">
        <is>
          <t>21/22</t>
        </is>
      </c>
      <c r="BS535" s="10" t="inlineStr">
        <is>
          <t xml:space="preserve"> Armada</t>
        </is>
      </c>
      <c r="BT535" s="11" t="inlineStr">
        <is>
          <t>Tracer 108</t>
        </is>
      </c>
      <c r="BU535" s="13" t="n">
        <v>164</v>
      </c>
      <c r="BV535" s="11" t="inlineStr">
        <is>
          <t xml:space="preserve"> Unisex</t>
        </is>
      </c>
      <c r="BW535" s="13" t="n">
        <v>164</v>
      </c>
      <c r="BX535" s="13" t="n">
        <v>163.2</v>
      </c>
      <c r="BY535" s="13" t="n">
        <v>112</v>
      </c>
      <c r="BZ535" s="13" t="n">
        <v>132</v>
      </c>
      <c r="CA535" s="13" t="n">
        <v>130</v>
      </c>
      <c r="CB535" s="13" t="n">
        <v>107</v>
      </c>
      <c r="CC535" s="13" t="n">
        <v>124</v>
      </c>
      <c r="CD535" s="13" t="n">
        <v>17.6</v>
      </c>
      <c r="CE535" s="13" t="n">
        <v>1465</v>
      </c>
      <c r="CF535" s="13" t="n">
        <v>1.28</v>
      </c>
      <c r="CG535" s="13" t="n">
        <v>1880</v>
      </c>
      <c r="CH535" s="13" t="n">
        <v>133</v>
      </c>
      <c r="CI535" s="13" t="n">
        <v>90</v>
      </c>
      <c r="CJ535" s="13" t="n">
        <v>49</v>
      </c>
      <c r="CK535" s="13" t="n">
        <v>348</v>
      </c>
      <c r="CL535" s="13" t="n">
        <v>29</v>
      </c>
      <c r="CM535" s="13" t="n">
        <v>165</v>
      </c>
      <c r="CN535" s="13" t="n">
        <v>0.581</v>
      </c>
      <c r="CO535" s="13" t="n">
        <v>167</v>
      </c>
      <c r="CP535" s="13" t="n">
        <v>147</v>
      </c>
      <c r="CQ535" s="13" t="n">
        <v>181</v>
      </c>
      <c r="CR535" s="13" t="n">
        <v>5</v>
      </c>
      <c r="CS535" s="13" t="n">
        <v>9.6</v>
      </c>
      <c r="CT535" s="11" t="inlineStr">
        <is>
          <t xml:space="preserve"> Powder</t>
        </is>
      </c>
      <c r="CU535" s="11" t="inlineStr">
        <is>
          <t xml:space="preserve"> Touring</t>
        </is>
      </c>
      <c r="CV535" s="11" t="inlineStr">
        <is>
          <t xml:space="preserve"> Ultralight Touring</t>
        </is>
      </c>
      <c r="CW535" s="13" t="n"/>
      <c r="CX535">
        <f>INDEX('Data_Price '!AG$2:AG$1266,MATCH(Data!$DN535,'Data_Price '!$AT$2:$AT$1266,0))</f>
        <v/>
      </c>
      <c r="CY535">
        <f>INDEX('Data_Price '!AH$2:AH$1266,MATCH(Data!$DN535,'Data_Price '!$AT$2:$AT$1266,0))</f>
        <v/>
      </c>
      <c r="CZ535">
        <f>INDEX('Data_Price '!AI$2:AI$1266,MATCH(Data!$DN535,'Data_Price '!$AT$2:$AT$1266,0))</f>
        <v/>
      </c>
      <c r="DA535">
        <f>INDEX('Data_Price '!AJ$2:AJ$1266,MATCH(Data!$DN535,'Data_Price '!$AT$2:$AT$1266,0))</f>
        <v/>
      </c>
      <c r="DB535">
        <f>INDEX('Data_Price '!AK$2:AK$1266,MATCH(Data!$DN535,'Data_Price '!$AT$2:$AT$1266,0))</f>
        <v/>
      </c>
      <c r="DC535">
        <f>INDEX('Data_Price '!AL$2:AL$1266,MATCH(Data!$DN535,'Data_Price '!$AT$2:$AT$1266,0))</f>
        <v/>
      </c>
      <c r="DD535">
        <f>INDEX('Data_Price '!AM$2:AM$1266,MATCH(Data!$DN535,'Data_Price '!$AT$2:$AT$1266,0))</f>
        <v/>
      </c>
      <c r="DE535">
        <f>INDEX('Data_Price '!AN$2:AN$1266,MATCH(Data!$DN535,'Data_Price '!$AT$2:$AT$1266,0))</f>
        <v/>
      </c>
      <c r="DF535">
        <f>INDEX('Data_Price '!AO$2:AO$1266,MATCH(Data!$DN535,'Data_Price '!$AT$2:$AT$1266,0))</f>
        <v/>
      </c>
      <c r="DG535">
        <f>INDEX('Data_Price '!AP$2:AP$1266,MATCH(Data!$DN535,'Data_Price '!$AT$2:$AT$1266,0))</f>
        <v/>
      </c>
      <c r="DH535">
        <f>INDEX('Data_Price '!AQ$2:AQ$1266,MATCH(Data!$DN535,'Data_Price '!$AT$2:$AT$1266,0))</f>
        <v/>
      </c>
      <c r="DI535">
        <f>INDEX('Data_Price '!AR$2:AR$1266,MATCH(Data!$DN535,'Data_Price '!$AT$2:$AT$1266,0))</f>
        <v/>
      </c>
      <c r="DJ535" s="138">
        <f>DA535</f>
        <v/>
      </c>
      <c r="DK535" s="138">
        <f>DE535</f>
        <v/>
      </c>
      <c r="DL535" s="138">
        <f>DI535</f>
        <v/>
      </c>
      <c r="DM535" s="303">
        <f>IF(LEFT(BT535,1)=" ",RIGHT(BT535,LEN(BT535)-1),BT535)</f>
        <v/>
      </c>
      <c r="DN535" s="138">
        <f>_xlfn.CONCAT(BS535,DM535,BU535,BV535)</f>
        <v/>
      </c>
      <c r="DO535" s="307" t="inlineStr">
        <is>
          <t>https://images.evo.com/imgp/250/198695/839662/clone.jpg</t>
        </is>
      </c>
    </row>
    <row r="536" ht="15.6" customHeight="1" s="184">
      <c r="B536" s="303">
        <f t="array" ref="B536">IF(OR(ISERROR(K536:P536)),FALSE,TRUE)</f>
        <v/>
      </c>
      <c r="C536" s="60">
        <f>OR(BR536=Driver!$G$50,Data!BR923=Driver!$H$50)</f>
        <v/>
      </c>
      <c r="D536" s="60">
        <f>OR(BV536=Driver!$G$51,BV536=Driver!$H$51)</f>
        <v/>
      </c>
      <c r="E536" s="60">
        <f>AND(BX536&gt;Driver!$F$54,BX536&lt;Driver!$G$54)</f>
        <v/>
      </c>
      <c r="F536" s="60">
        <f>CL536&gt;Driver!$F$56</f>
        <v/>
      </c>
      <c r="G536" s="60">
        <f>AND(CB536&gt;Driver!$F$55,CB536&lt;Driver!$G$55)</f>
        <v/>
      </c>
      <c r="H536" s="60">
        <f>AND(B536:G536)</f>
        <v/>
      </c>
      <c r="I536" s="60">
        <f>COUNTIFS($H$9:$H$1273,TRUE,$BT$9:$BT$1273,BT536)</f>
        <v/>
      </c>
      <c r="J536" s="60">
        <f t="array" ref="J536">NOT(OR(($H$9:$H$1273=TRUE)*($I$9:$I$1273&gt;0)*($BT$9:$BT$1273=BT536)*($K$9:$K$1273&gt;K536)))</f>
        <v/>
      </c>
      <c r="K536" s="108">
        <f>IFERROR(1-AVERAGE(X536:Y536),"")</f>
        <v/>
      </c>
      <c r="L536" s="108">
        <f>1-X536</f>
        <v/>
      </c>
      <c r="M536" s="108">
        <f>1-Y536</f>
        <v/>
      </c>
      <c r="N536" s="108">
        <f>1-Z536</f>
        <v/>
      </c>
      <c r="O536" s="108">
        <f>1-AA536</f>
        <v/>
      </c>
      <c r="P536" s="108">
        <f>1-AB536</f>
        <v/>
      </c>
      <c r="Q536" s="108" t="n"/>
      <c r="R536" s="108" t="n"/>
      <c r="S536" s="108">
        <f>1-AE536</f>
        <v/>
      </c>
      <c r="T536" s="108">
        <f>1-AF536</f>
        <v/>
      </c>
      <c r="U536" s="108">
        <f>1-AG536</f>
        <v/>
      </c>
      <c r="V536" s="108">
        <f>1-AH536</f>
        <v/>
      </c>
      <c r="W536" s="108">
        <f>1-AI536</f>
        <v/>
      </c>
      <c r="X536" s="108">
        <f>ABS(AJ536-AJ$1)</f>
        <v/>
      </c>
      <c r="Y536" s="108">
        <f>AVERAGE(Z536:AB536)</f>
        <v/>
      </c>
      <c r="Z536" s="108">
        <f>ABS(AL536-AL$1)</f>
        <v/>
      </c>
      <c r="AA536" s="108">
        <f>ABS(AM536-AM$1)</f>
        <v/>
      </c>
      <c r="AB536" s="108">
        <f>ABS(AN536-AN$1)</f>
        <v/>
      </c>
      <c r="AC536" s="108" t="n"/>
      <c r="AD536" s="108" t="n"/>
      <c r="AE536" s="108">
        <f>ABS(AQ$1-AQ536)</f>
        <v/>
      </c>
      <c r="AF536" s="108">
        <f>ABS(AR$1-AR536)</f>
        <v/>
      </c>
      <c r="AG536" s="108">
        <f>ABS(AS$1-AS536)</f>
        <v/>
      </c>
      <c r="AH536" s="108">
        <f>ABS(AT$1-AT536)</f>
        <v/>
      </c>
      <c r="AI536" s="108">
        <f>ABS(AU$1-AU536)</f>
        <v/>
      </c>
      <c r="AJ536" s="108">
        <f>(AV536-Driver!$K$179)/(Driver!$L$179-Driver!$K$179)</f>
        <v/>
      </c>
      <c r="AK536" s="108">
        <f>(AW536-Driver!$K$180)/(Driver!$L$180-Driver!$K$180)</f>
        <v/>
      </c>
      <c r="AL536" s="108">
        <f>(AX536-Driver!$K$181)/(Driver!$L$181-Driver!$K$181)</f>
        <v/>
      </c>
      <c r="AM536" s="108">
        <f>(AY536-Driver!$K$182)/(Driver!$L$182-Driver!$K$182)</f>
        <v/>
      </c>
      <c r="AN536" s="108">
        <f>(AZ536-Driver!$K$183)/(Driver!$L$183-Driver!$K$183)</f>
        <v/>
      </c>
      <c r="AO536" s="108" t="n"/>
      <c r="AP536" s="108" t="n"/>
      <c r="AQ536" s="108">
        <f>(BC536-Driver!$K$188)/(Driver!$L$188-Driver!$K$188)</f>
        <v/>
      </c>
      <c r="AR536" s="108">
        <f>MIN((BD536-Driver!$K$189)/(Driver!$L$189-Driver!$K$189),100%)</f>
        <v/>
      </c>
      <c r="AS536" s="108">
        <f>(BE536-Driver!$K$190)/(Driver!$L$190-Driver!$K$190)</f>
        <v/>
      </c>
      <c r="AT536" s="108">
        <f>(BF536-Driver!$K$191)/(Driver!$L$191-Driver!$K$191)</f>
        <v/>
      </c>
      <c r="AU536" s="108">
        <f>(BG536-Driver!$K$192)/(Driver!$L$192-Driver!$K$192)</f>
        <v/>
      </c>
      <c r="AV536" s="105">
        <f>IFERROR(BM536*BJ536^1/4,"")</f>
        <v/>
      </c>
      <c r="AW536" s="105">
        <f>IFERROR(SUM(AX536:AZ536),"")</f>
        <v/>
      </c>
      <c r="AX536" s="105">
        <f>IFERROR(BH536,"")</f>
        <v/>
      </c>
      <c r="AY536" s="105">
        <f>IFERROR(Driver!$K$19/Data!BH536/Data!BI536*Data!BK536*Data!BL536,"")</f>
        <v/>
      </c>
      <c r="AZ536" s="105">
        <f>IFERROR(BI536*BN536,"")</f>
        <v/>
      </c>
      <c r="BA536" s="105" t="n"/>
      <c r="BB536" s="105" t="n"/>
      <c r="BC536" s="105">
        <f>IFERROR(BI536*BN536*BK536/BJ536^(1/2),"")</f>
        <v/>
      </c>
      <c r="BD536" s="105">
        <f>IFERROR(BH536*BM536*BL536/BJ536/BK536,"")</f>
        <v/>
      </c>
      <c r="BE536" s="105">
        <f>IFERROR(MIN(BI536/BQ536/BP536/BO536/BH536,$BE$1),"")</f>
        <v/>
      </c>
      <c r="BF536" s="105">
        <f>IFERROR(BJ536*BO536*BP536/BK536,"")</f>
        <v/>
      </c>
      <c r="BG536" s="105">
        <f>IFERROR(1/BM536/BH536*BQ536,"")</f>
        <v/>
      </c>
      <c r="BH536" s="102">
        <f>MAX((CE536-Driver!$F$200)/(Driver!$G$200-Driver!$F$200)*$BI$1,1)</f>
        <v/>
      </c>
      <c r="BI536" s="102">
        <f>MAX($BI$1*(BY536-Driver!$F$201)/(Driver!$G$201-Driver!$F$201),1)</f>
        <v/>
      </c>
      <c r="BJ536" s="102">
        <f>(CB536-Driver!$F$206)/(Driver!$G$206-Driver!$F$206)*$BI$1</f>
        <v/>
      </c>
      <c r="BK536" s="102">
        <f>(CD536-Driver!$F$203)/(Driver!$G$203-Driver!$F$203)*$BI$1</f>
        <v/>
      </c>
      <c r="BL536" s="102">
        <f>MAX((CR536-Driver!$F$202)/(Driver!$G$202-Driver!$F$202)*$BI$1,1)</f>
        <v/>
      </c>
      <c r="BM536" s="102">
        <f>MAX((CH536-Driver!$F$204)/(Driver!$G$204-Driver!$F$204)*$BI$1,1)</f>
        <v/>
      </c>
      <c r="BN536" s="102">
        <f>(CI536-Driver!$F$205)/(Driver!$G$205-Driver!$F$205)*$BI$1</f>
        <v/>
      </c>
      <c r="BO536" s="102">
        <f>(CK536-Driver!$F$207)/(Driver!$G$207-Driver!$F$207)*$BI$1</f>
        <v/>
      </c>
      <c r="BP536" s="102">
        <f>(CM536-Driver!$F$208)/(Driver!$G$208-Driver!$F$208)*$BI$1</f>
        <v/>
      </c>
      <c r="BQ536" s="102">
        <f>(CL536-Driver!$F$209)/(Driver!$G$209-Driver!$F$209)*$BI$1</f>
        <v/>
      </c>
      <c r="BR536" s="40" t="inlineStr">
        <is>
          <t>21/22</t>
        </is>
      </c>
      <c r="BS536" s="10" t="inlineStr">
        <is>
          <t xml:space="preserve"> Nordica</t>
        </is>
      </c>
      <c r="BT536" s="11" t="inlineStr">
        <is>
          <t>Santa Ana 88</t>
        </is>
      </c>
      <c r="BU536" s="13" t="n">
        <v>165</v>
      </c>
      <c r="BV536" s="11" t="inlineStr">
        <is>
          <t xml:space="preserve"> Women's</t>
        </is>
      </c>
      <c r="BW536" s="13" t="n">
        <v>165</v>
      </c>
      <c r="BX536" s="13" t="n">
        <v>164.5</v>
      </c>
      <c r="BY536" s="13" t="n">
        <v>122</v>
      </c>
      <c r="BZ536" s="13" t="n">
        <v>138</v>
      </c>
      <c r="CA536" s="13" t="n">
        <v>120</v>
      </c>
      <c r="CB536" s="13" t="n">
        <v>87</v>
      </c>
      <c r="CC536" s="13" t="n">
        <v>106</v>
      </c>
      <c r="CD536" s="13" t="n">
        <v>15.7</v>
      </c>
      <c r="CE536" s="13" t="n">
        <v>1783</v>
      </c>
      <c r="CF536" s="13" t="n">
        <v>0.9</v>
      </c>
      <c r="CG536" s="13" t="n">
        <v>1614</v>
      </c>
      <c r="CH536" s="13" t="n">
        <v>177</v>
      </c>
      <c r="CI536" s="13" t="n">
        <v>89</v>
      </c>
      <c r="CJ536" s="13" t="n">
        <v>52</v>
      </c>
      <c r="CK536" s="13" t="n">
        <v>253</v>
      </c>
      <c r="CL536" s="13" t="n">
        <v>12</v>
      </c>
      <c r="CM536" s="13" t="n">
        <v>168</v>
      </c>
      <c r="CN536" s="13" t="n">
        <v>0.229</v>
      </c>
      <c r="CO536" s="13" t="n">
        <v>128</v>
      </c>
      <c r="CP536" s="13" t="n">
        <v>141</v>
      </c>
      <c r="CQ536" s="13" t="n">
        <v>125</v>
      </c>
      <c r="CR536" s="13" t="n">
        <v>9</v>
      </c>
      <c r="CS536" s="13" t="n">
        <v>8.300000000000001</v>
      </c>
      <c r="CT536" s="11" t="inlineStr">
        <is>
          <t xml:space="preserve"> Resort Freeride</t>
        </is>
      </c>
      <c r="CU536" s="13" t="n"/>
      <c r="CV536" s="13" t="n"/>
      <c r="CW536" s="13" t="n"/>
      <c r="CX536">
        <f>INDEX('Data_Price '!AG$2:AG$1266,MATCH(Data!$DN536,'Data_Price '!$AT$2:$AT$1266,0))</f>
        <v/>
      </c>
      <c r="CY536">
        <f>INDEX('Data_Price '!AH$2:AH$1266,MATCH(Data!$DN536,'Data_Price '!$AT$2:$AT$1266,0))</f>
        <v/>
      </c>
      <c r="CZ536">
        <f>INDEX('Data_Price '!AI$2:AI$1266,MATCH(Data!$DN536,'Data_Price '!$AT$2:$AT$1266,0))</f>
        <v/>
      </c>
      <c r="DA536">
        <f>INDEX('Data_Price '!AJ$2:AJ$1266,MATCH(Data!$DN536,'Data_Price '!$AT$2:$AT$1266,0))</f>
        <v/>
      </c>
      <c r="DB536">
        <f>INDEX('Data_Price '!AK$2:AK$1266,MATCH(Data!$DN536,'Data_Price '!$AT$2:$AT$1266,0))</f>
        <v/>
      </c>
      <c r="DC536">
        <f>INDEX('Data_Price '!AL$2:AL$1266,MATCH(Data!$DN536,'Data_Price '!$AT$2:$AT$1266,0))</f>
        <v/>
      </c>
      <c r="DD536">
        <f>INDEX('Data_Price '!AM$2:AM$1266,MATCH(Data!$DN536,'Data_Price '!$AT$2:$AT$1266,0))</f>
        <v/>
      </c>
      <c r="DE536">
        <f>INDEX('Data_Price '!AN$2:AN$1266,MATCH(Data!$DN536,'Data_Price '!$AT$2:$AT$1266,0))</f>
        <v/>
      </c>
      <c r="DF536">
        <f>INDEX('Data_Price '!AO$2:AO$1266,MATCH(Data!$DN536,'Data_Price '!$AT$2:$AT$1266,0))</f>
        <v/>
      </c>
      <c r="DG536">
        <f>INDEX('Data_Price '!AP$2:AP$1266,MATCH(Data!$DN536,'Data_Price '!$AT$2:$AT$1266,0))</f>
        <v/>
      </c>
      <c r="DH536">
        <f>INDEX('Data_Price '!AQ$2:AQ$1266,MATCH(Data!$DN536,'Data_Price '!$AT$2:$AT$1266,0))</f>
        <v/>
      </c>
      <c r="DI536">
        <f>INDEX('Data_Price '!AR$2:AR$1266,MATCH(Data!$DN536,'Data_Price '!$AT$2:$AT$1266,0))</f>
        <v/>
      </c>
      <c r="DJ536" s="138">
        <f>DA536</f>
        <v/>
      </c>
      <c r="DK536" s="138">
        <f>DE536</f>
        <v/>
      </c>
      <c r="DL536" s="138">
        <f>DI536</f>
        <v/>
      </c>
      <c r="DM536" s="303">
        <f>IF(LEFT(BT536,1)=" ",RIGHT(BT536,LEN(BT536)-1),BT536)</f>
        <v/>
      </c>
      <c r="DN536" s="138">
        <f>_xlfn.CONCAT(BS536,DM536,BU536,BV536)</f>
        <v/>
      </c>
      <c r="DO536" s="307" t="inlineStr">
        <is>
          <t>https://images.evo.com/imgp/250/217385/882111/nordica-santa-ana-88-unlimited-skis-women-s-2023-.jpg</t>
        </is>
      </c>
    </row>
    <row r="537" ht="15.6" customHeight="1" s="184">
      <c r="B537" s="303">
        <f t="array" ref="B537">IF(OR(ISERROR(K537:P537)),FALSE,TRUE)</f>
        <v/>
      </c>
      <c r="C537" s="60">
        <f>OR(BR537=Driver!$G$50,Data!BR293=Driver!$H$50)</f>
        <v/>
      </c>
      <c r="D537" s="60">
        <f>OR(BV537=Driver!$G$51,BV537=Driver!$H$51)</f>
        <v/>
      </c>
      <c r="E537" s="60">
        <f>AND(BX537&gt;Driver!$F$54,BX537&lt;Driver!$G$54)</f>
        <v/>
      </c>
      <c r="F537" s="60">
        <f>CL537&gt;Driver!$F$56</f>
        <v/>
      </c>
      <c r="G537" s="60">
        <f>AND(CB537&gt;Driver!$F$55,CB537&lt;Driver!$G$55)</f>
        <v/>
      </c>
      <c r="H537" s="60">
        <f>AND(B537:G537)</f>
        <v/>
      </c>
      <c r="I537" s="60">
        <f>COUNTIFS($H$9:$H$1273,TRUE,$BT$9:$BT$1273,BT537)</f>
        <v/>
      </c>
      <c r="J537" s="60">
        <f t="array" ref="J537">NOT(OR(($H$9:$H$1273=TRUE)*($I$9:$I$1273&gt;0)*($BT$9:$BT$1273=BT537)*($K$9:$K$1273&gt;K537)))</f>
        <v/>
      </c>
      <c r="K537" s="108">
        <f>IFERROR(1-AVERAGE(X537:Y537),"")</f>
        <v/>
      </c>
      <c r="L537" s="108">
        <f>1-X537</f>
        <v/>
      </c>
      <c r="M537" s="108">
        <f>1-Y537</f>
        <v/>
      </c>
      <c r="N537" s="108">
        <f>1-Z537</f>
        <v/>
      </c>
      <c r="O537" s="108">
        <f>1-AA537</f>
        <v/>
      </c>
      <c r="P537" s="108">
        <f>1-AB537</f>
        <v/>
      </c>
      <c r="Q537" s="108" t="n"/>
      <c r="R537" s="108" t="n"/>
      <c r="S537" s="108">
        <f>1-AE537</f>
        <v/>
      </c>
      <c r="T537" s="108">
        <f>1-AF537</f>
        <v/>
      </c>
      <c r="U537" s="108">
        <f>1-AG537</f>
        <v/>
      </c>
      <c r="V537" s="108">
        <f>1-AH537</f>
        <v/>
      </c>
      <c r="W537" s="108">
        <f>1-AI537</f>
        <v/>
      </c>
      <c r="X537" s="108">
        <f>ABS(AJ537-AJ$1)</f>
        <v/>
      </c>
      <c r="Y537" s="108">
        <f>AVERAGE(Z537:AB537)</f>
        <v/>
      </c>
      <c r="Z537" s="108">
        <f>ABS(AL537-AL$1)</f>
        <v/>
      </c>
      <c r="AA537" s="108">
        <f>ABS(AM537-AM$1)</f>
        <v/>
      </c>
      <c r="AB537" s="108">
        <f>ABS(AN537-AN$1)</f>
        <v/>
      </c>
      <c r="AC537" s="108" t="n"/>
      <c r="AD537" s="108" t="n"/>
      <c r="AE537" s="108">
        <f>ABS(AQ$1-AQ537)</f>
        <v/>
      </c>
      <c r="AF537" s="108">
        <f>ABS(AR$1-AR537)</f>
        <v/>
      </c>
      <c r="AG537" s="108">
        <f>ABS(AS$1-AS537)</f>
        <v/>
      </c>
      <c r="AH537" s="108">
        <f>ABS(AT$1-AT537)</f>
        <v/>
      </c>
      <c r="AI537" s="108">
        <f>ABS(AU$1-AU537)</f>
        <v/>
      </c>
      <c r="AJ537" s="108">
        <f>(AV537-Driver!$K$179)/(Driver!$L$179-Driver!$K$179)</f>
        <v/>
      </c>
      <c r="AK537" s="108">
        <f>(AW537-Driver!$K$180)/(Driver!$L$180-Driver!$K$180)</f>
        <v/>
      </c>
      <c r="AL537" s="108">
        <f>(AX537-Driver!$K$181)/(Driver!$L$181-Driver!$K$181)</f>
        <v/>
      </c>
      <c r="AM537" s="108">
        <f>(AY537-Driver!$K$182)/(Driver!$L$182-Driver!$K$182)</f>
        <v/>
      </c>
      <c r="AN537" s="108">
        <f>(AZ537-Driver!$K$183)/(Driver!$L$183-Driver!$K$183)</f>
        <v/>
      </c>
      <c r="AO537" s="108" t="n"/>
      <c r="AP537" s="108" t="n"/>
      <c r="AQ537" s="108">
        <f>(BC537-Driver!$K$188)/(Driver!$L$188-Driver!$K$188)</f>
        <v/>
      </c>
      <c r="AR537" s="108">
        <f>MIN((BD537-Driver!$K$189)/(Driver!$L$189-Driver!$K$189),100%)</f>
        <v/>
      </c>
      <c r="AS537" s="108">
        <f>(BE537-Driver!$K$190)/(Driver!$L$190-Driver!$K$190)</f>
        <v/>
      </c>
      <c r="AT537" s="108">
        <f>(BF537-Driver!$K$191)/(Driver!$L$191-Driver!$K$191)</f>
        <v/>
      </c>
      <c r="AU537" s="108">
        <f>(BG537-Driver!$K$192)/(Driver!$L$192-Driver!$K$192)</f>
        <v/>
      </c>
      <c r="AV537" s="105">
        <f>IFERROR(BM537*BJ537^1/4,"")</f>
        <v/>
      </c>
      <c r="AW537" s="105">
        <f>IFERROR(SUM(AX537:AZ537),"")</f>
        <v/>
      </c>
      <c r="AX537" s="105">
        <f>IFERROR(BH537,"")</f>
        <v/>
      </c>
      <c r="AY537" s="105">
        <f>IFERROR(Driver!$K$19/Data!BH537/Data!BI537*Data!BK537*Data!BL537,"")</f>
        <v/>
      </c>
      <c r="AZ537" s="105">
        <f>IFERROR(BI537*BN537,"")</f>
        <v/>
      </c>
      <c r="BA537" s="105" t="n"/>
      <c r="BB537" s="105" t="n"/>
      <c r="BC537" s="105">
        <f>IFERROR(BI537*BN537*BK537/BJ537^(1/2),"")</f>
        <v/>
      </c>
      <c r="BD537" s="105">
        <f>IFERROR(BH537*BM537*BL537/BJ537/BK537,"")</f>
        <v/>
      </c>
      <c r="BE537" s="105">
        <f>IFERROR(MIN(BI537/BQ537/BP537/BO537/BH537,$BE$1),"")</f>
        <v/>
      </c>
      <c r="BF537" s="105">
        <f>IFERROR(BJ537*BO537*BP537/BK537,"")</f>
        <v/>
      </c>
      <c r="BG537" s="105">
        <f>IFERROR(1/BM537/BH537*BQ537,"")</f>
        <v/>
      </c>
      <c r="BH537" s="102">
        <f>MAX((CE537-Driver!$F$200)/(Driver!$G$200-Driver!$F$200)*$BI$1,1)</f>
        <v/>
      </c>
      <c r="BI537" s="102">
        <f>MAX($BI$1*(BY537-Driver!$F$201)/(Driver!$G$201-Driver!$F$201),1)</f>
        <v/>
      </c>
      <c r="BJ537" s="102">
        <f>(CB537-Driver!$F$206)/(Driver!$G$206-Driver!$F$206)*$BI$1</f>
        <v/>
      </c>
      <c r="BK537" s="102">
        <f>(CD537-Driver!$F$203)/(Driver!$G$203-Driver!$F$203)*$BI$1</f>
        <v/>
      </c>
      <c r="BL537" s="102">
        <f>MAX((CR537-Driver!$F$202)/(Driver!$G$202-Driver!$F$202)*$BI$1,1)</f>
        <v/>
      </c>
      <c r="BM537" s="102">
        <f>MAX((CH537-Driver!$F$204)/(Driver!$G$204-Driver!$F$204)*$BI$1,1)</f>
        <v/>
      </c>
      <c r="BN537" s="102">
        <f>(CI537-Driver!$F$205)/(Driver!$G$205-Driver!$F$205)*$BI$1</f>
        <v/>
      </c>
      <c r="BO537" s="102">
        <f>(CK537-Driver!$F$207)/(Driver!$G$207-Driver!$F$207)*$BI$1</f>
        <v/>
      </c>
      <c r="BP537" s="102">
        <f>(CM537-Driver!$F$208)/(Driver!$G$208-Driver!$F$208)*$BI$1</f>
        <v/>
      </c>
      <c r="BQ537" s="102">
        <f>(CL537-Driver!$F$209)/(Driver!$G$209-Driver!$F$209)*$BI$1</f>
        <v/>
      </c>
      <c r="BR537" s="40" t="inlineStr">
        <is>
          <t>21/22</t>
        </is>
      </c>
      <c r="BS537" s="10" t="inlineStr">
        <is>
          <t xml:space="preserve"> Blizzard</t>
        </is>
      </c>
      <c r="BT537" s="11" t="inlineStr">
        <is>
          <t>Rustler 9</t>
        </is>
      </c>
      <c r="BU537" s="13" t="n">
        <v>164</v>
      </c>
      <c r="BV537" s="11" t="inlineStr">
        <is>
          <t xml:space="preserve"> Unisex</t>
        </is>
      </c>
      <c r="BW537" s="13" t="n">
        <v>164</v>
      </c>
      <c r="BX537" s="13" t="n">
        <v>162.8</v>
      </c>
      <c r="BY537" s="13" t="n">
        <v>109</v>
      </c>
      <c r="BZ537" s="13" t="n">
        <v>135</v>
      </c>
      <c r="CA537" s="13" t="n">
        <v>123</v>
      </c>
      <c r="CB537" s="13" t="n">
        <v>91</v>
      </c>
      <c r="CC537" s="13" t="n">
        <v>113</v>
      </c>
      <c r="CD537" s="13" t="n">
        <v>14.6</v>
      </c>
      <c r="CE537" s="13" t="n">
        <v>1794</v>
      </c>
      <c r="CF537" s="13" t="n">
        <v>0.93</v>
      </c>
      <c r="CG537" s="13" t="n">
        <v>1671</v>
      </c>
      <c r="CH537" s="13" t="n">
        <v>185</v>
      </c>
      <c r="CI537" s="13" t="n">
        <v>89</v>
      </c>
      <c r="CJ537" s="13" t="n">
        <v>62</v>
      </c>
      <c r="CK537" s="13" t="n">
        <v>307</v>
      </c>
      <c r="CL537" s="13" t="n">
        <v>31</v>
      </c>
      <c r="CM537" s="13" t="n">
        <v>229</v>
      </c>
      <c r="CN537" s="13" t="n">
        <v>0.498</v>
      </c>
      <c r="CO537" s="13" t="n">
        <v>149</v>
      </c>
      <c r="CP537" s="13" t="n">
        <v>134</v>
      </c>
      <c r="CQ537" s="13" t="n">
        <v>158</v>
      </c>
      <c r="CR537" s="13" t="n">
        <v>3</v>
      </c>
      <c r="CS537" s="13" t="n">
        <v>7.2</v>
      </c>
      <c r="CT537" s="11" t="inlineStr">
        <is>
          <t xml:space="preserve"> Resort Freeride</t>
        </is>
      </c>
      <c r="CU537" s="13" t="n"/>
      <c r="CV537" s="13" t="n"/>
      <c r="CW537" s="13" t="n"/>
      <c r="CX537">
        <f>INDEX('Data_Price '!AG$2:AG$1266,MATCH(Data!$DN537,'Data_Price '!$AT$2:$AT$1266,0))</f>
        <v/>
      </c>
      <c r="CY537">
        <f>INDEX('Data_Price '!AH$2:AH$1266,MATCH(Data!$DN537,'Data_Price '!$AT$2:$AT$1266,0))</f>
        <v/>
      </c>
      <c r="CZ537">
        <f>INDEX('Data_Price '!AI$2:AI$1266,MATCH(Data!$DN537,'Data_Price '!$AT$2:$AT$1266,0))</f>
        <v/>
      </c>
      <c r="DA537">
        <f>INDEX('Data_Price '!AJ$2:AJ$1266,MATCH(Data!$DN537,'Data_Price '!$AT$2:$AT$1266,0))</f>
        <v/>
      </c>
      <c r="DB537">
        <f>INDEX('Data_Price '!AK$2:AK$1266,MATCH(Data!$DN537,'Data_Price '!$AT$2:$AT$1266,0))</f>
        <v/>
      </c>
      <c r="DC537">
        <f>INDEX('Data_Price '!AL$2:AL$1266,MATCH(Data!$DN537,'Data_Price '!$AT$2:$AT$1266,0))</f>
        <v/>
      </c>
      <c r="DD537">
        <f>INDEX('Data_Price '!AM$2:AM$1266,MATCH(Data!$DN537,'Data_Price '!$AT$2:$AT$1266,0))</f>
        <v/>
      </c>
      <c r="DE537">
        <f>INDEX('Data_Price '!AN$2:AN$1266,MATCH(Data!$DN537,'Data_Price '!$AT$2:$AT$1266,0))</f>
        <v/>
      </c>
      <c r="DF537">
        <f>INDEX('Data_Price '!AO$2:AO$1266,MATCH(Data!$DN537,'Data_Price '!$AT$2:$AT$1266,0))</f>
        <v/>
      </c>
      <c r="DG537">
        <f>INDEX('Data_Price '!AP$2:AP$1266,MATCH(Data!$DN537,'Data_Price '!$AT$2:$AT$1266,0))</f>
        <v/>
      </c>
      <c r="DH537">
        <f>INDEX('Data_Price '!AQ$2:AQ$1266,MATCH(Data!$DN537,'Data_Price '!$AT$2:$AT$1266,0))</f>
        <v/>
      </c>
      <c r="DI537">
        <f>INDEX('Data_Price '!AR$2:AR$1266,MATCH(Data!$DN537,'Data_Price '!$AT$2:$AT$1266,0))</f>
        <v/>
      </c>
      <c r="DJ537" s="138">
        <f>DA537</f>
        <v/>
      </c>
      <c r="DK537" s="138">
        <f>DE537</f>
        <v/>
      </c>
      <c r="DL537" s="138">
        <f>DI537</f>
        <v/>
      </c>
      <c r="DM537" s="303">
        <f>IF(LEFT(BT537,1)=" ",RIGHT(BT537,LEN(BT537)-1),BT537)</f>
        <v/>
      </c>
      <c r="DN537" s="138">
        <f>_xlfn.CONCAT(BS537,DM537,BU537,BV537)</f>
        <v/>
      </c>
      <c r="DO537" s="307" t="inlineStr">
        <is>
          <t>https://images.evo.com/imgp/250/176889/722697/blizzard-rustler-9-skis-2022-.jpg</t>
        </is>
      </c>
    </row>
    <row r="538" ht="15.6" customHeight="1" s="184">
      <c r="B538" s="303">
        <f t="array" ref="B538">IF(OR(ISERROR(K538:P538)),FALSE,TRUE)</f>
        <v/>
      </c>
      <c r="C538" s="60">
        <f>OR(BR538=Driver!$G$50,Data!BR181=Driver!$H$50)</f>
        <v/>
      </c>
      <c r="D538" s="60">
        <f>OR(BV538=Driver!$G$51,BV538=Driver!$H$51)</f>
        <v/>
      </c>
      <c r="E538" s="60">
        <f>AND(BX538&gt;Driver!$F$54,BX538&lt;Driver!$G$54)</f>
        <v/>
      </c>
      <c r="F538" s="60">
        <f>CL538&gt;Driver!$F$56</f>
        <v/>
      </c>
      <c r="G538" s="60">
        <f>AND(CB538&gt;Driver!$F$55,CB538&lt;Driver!$G$55)</f>
        <v/>
      </c>
      <c r="H538" s="60">
        <f>AND(B538:G538)</f>
        <v/>
      </c>
      <c r="I538" s="60">
        <f>COUNTIFS($H$9:$H$1273,TRUE,$BT$9:$BT$1273,BT538)</f>
        <v/>
      </c>
      <c r="J538" s="60">
        <f t="array" ref="J538">NOT(OR(($H$9:$H$1273=TRUE)*($I$9:$I$1273&gt;0)*($BT$9:$BT$1273=BT538)*($K$9:$K$1273&gt;K538)))</f>
        <v/>
      </c>
      <c r="K538" s="108">
        <f>IFERROR(1-AVERAGE(X538:Y538),"")</f>
        <v/>
      </c>
      <c r="L538" s="108">
        <f>1-X538</f>
        <v/>
      </c>
      <c r="M538" s="108">
        <f>1-Y538</f>
        <v/>
      </c>
      <c r="N538" s="108">
        <f>1-Z538</f>
        <v/>
      </c>
      <c r="O538" s="108">
        <f>1-AA538</f>
        <v/>
      </c>
      <c r="P538" s="108">
        <f>1-AB538</f>
        <v/>
      </c>
      <c r="Q538" s="108" t="n"/>
      <c r="R538" s="108" t="n"/>
      <c r="S538" s="108">
        <f>1-AE538</f>
        <v/>
      </c>
      <c r="T538" s="108">
        <f>1-AF538</f>
        <v/>
      </c>
      <c r="U538" s="108">
        <f>1-AG538</f>
        <v/>
      </c>
      <c r="V538" s="108">
        <f>1-AH538</f>
        <v/>
      </c>
      <c r="W538" s="108">
        <f>1-AI538</f>
        <v/>
      </c>
      <c r="X538" s="108">
        <f>ABS(AJ538-AJ$1)</f>
        <v/>
      </c>
      <c r="Y538" s="108">
        <f>AVERAGE(Z538:AB538)</f>
        <v/>
      </c>
      <c r="Z538" s="108">
        <f>ABS(AL538-AL$1)</f>
        <v/>
      </c>
      <c r="AA538" s="108">
        <f>ABS(AM538-AM$1)</f>
        <v/>
      </c>
      <c r="AB538" s="108">
        <f>ABS(AN538-AN$1)</f>
        <v/>
      </c>
      <c r="AC538" s="108" t="n"/>
      <c r="AD538" s="108" t="n"/>
      <c r="AE538" s="108">
        <f>ABS(AQ$1-AQ538)</f>
        <v/>
      </c>
      <c r="AF538" s="108">
        <f>ABS(AR$1-AR538)</f>
        <v/>
      </c>
      <c r="AG538" s="108">
        <f>ABS(AS$1-AS538)</f>
        <v/>
      </c>
      <c r="AH538" s="108">
        <f>ABS(AT$1-AT538)</f>
        <v/>
      </c>
      <c r="AI538" s="108">
        <f>ABS(AU$1-AU538)</f>
        <v/>
      </c>
      <c r="AJ538" s="108">
        <f>(AV538-Driver!$K$179)/(Driver!$L$179-Driver!$K$179)</f>
        <v/>
      </c>
      <c r="AK538" s="108">
        <f>(AW538-Driver!$K$180)/(Driver!$L$180-Driver!$K$180)</f>
        <v/>
      </c>
      <c r="AL538" s="108">
        <f>(AX538-Driver!$K$181)/(Driver!$L$181-Driver!$K$181)</f>
        <v/>
      </c>
      <c r="AM538" s="108">
        <f>(AY538-Driver!$K$182)/(Driver!$L$182-Driver!$K$182)</f>
        <v/>
      </c>
      <c r="AN538" s="108">
        <f>(AZ538-Driver!$K$183)/(Driver!$L$183-Driver!$K$183)</f>
        <v/>
      </c>
      <c r="AO538" s="108" t="n"/>
      <c r="AP538" s="108" t="n"/>
      <c r="AQ538" s="108">
        <f>(BC538-Driver!$K$188)/(Driver!$L$188-Driver!$K$188)</f>
        <v/>
      </c>
      <c r="AR538" s="108">
        <f>MIN((BD538-Driver!$K$189)/(Driver!$L$189-Driver!$K$189),100%)</f>
        <v/>
      </c>
      <c r="AS538" s="108">
        <f>(BE538-Driver!$K$190)/(Driver!$L$190-Driver!$K$190)</f>
        <v/>
      </c>
      <c r="AT538" s="108">
        <f>(BF538-Driver!$K$191)/(Driver!$L$191-Driver!$K$191)</f>
        <v/>
      </c>
      <c r="AU538" s="108">
        <f>(BG538-Driver!$K$192)/(Driver!$L$192-Driver!$K$192)</f>
        <v/>
      </c>
      <c r="AV538" s="105">
        <f>IFERROR(BM538*BJ538^1/4,"")</f>
        <v/>
      </c>
      <c r="AW538" s="105">
        <f>IFERROR(SUM(AX538:AZ538),"")</f>
        <v/>
      </c>
      <c r="AX538" s="105">
        <f>IFERROR(BH538,"")</f>
        <v/>
      </c>
      <c r="AY538" s="105">
        <f>IFERROR(Driver!$K$19/Data!BH538/Data!BI538*Data!BK538*Data!BL538,"")</f>
        <v/>
      </c>
      <c r="AZ538" s="105">
        <f>IFERROR(BI538*BN538,"")</f>
        <v/>
      </c>
      <c r="BA538" s="105" t="n"/>
      <c r="BB538" s="105" t="n"/>
      <c r="BC538" s="105">
        <f>IFERROR(BI538*BN538*BK538/BJ538^(1/2),"")</f>
        <v/>
      </c>
      <c r="BD538" s="105">
        <f>IFERROR(BH538*BM538*BL538/BJ538/BK538,"")</f>
        <v/>
      </c>
      <c r="BE538" s="105">
        <f>IFERROR(MIN(BI538/BQ538/BP538/BO538/BH538,$BE$1),"")</f>
        <v/>
      </c>
      <c r="BF538" s="105">
        <f>IFERROR(BJ538*BO538*BP538/BK538,"")</f>
        <v/>
      </c>
      <c r="BG538" s="105">
        <f>IFERROR(1/BM538/BH538*BQ538,"")</f>
        <v/>
      </c>
      <c r="BH538" s="102">
        <f>MAX((CE538-Driver!$F$200)/(Driver!$G$200-Driver!$F$200)*$BI$1,1)</f>
        <v/>
      </c>
      <c r="BI538" s="102">
        <f>MAX($BI$1*(BY538-Driver!$F$201)/(Driver!$G$201-Driver!$F$201),1)</f>
        <v/>
      </c>
      <c r="BJ538" s="102">
        <f>(CB538-Driver!$F$206)/(Driver!$G$206-Driver!$F$206)*$BI$1</f>
        <v/>
      </c>
      <c r="BK538" s="102">
        <f>(CD538-Driver!$F$203)/(Driver!$G$203-Driver!$F$203)*$BI$1</f>
        <v/>
      </c>
      <c r="BL538" s="102">
        <f>MAX((CR538-Driver!$F$202)/(Driver!$G$202-Driver!$F$202)*$BI$1,1)</f>
        <v/>
      </c>
      <c r="BM538" s="102">
        <f>MAX((CH538-Driver!$F$204)/(Driver!$G$204-Driver!$F$204)*$BI$1,1)</f>
        <v/>
      </c>
      <c r="BN538" s="102">
        <f>(CI538-Driver!$F$205)/(Driver!$G$205-Driver!$F$205)*$BI$1</f>
        <v/>
      </c>
      <c r="BO538" s="102">
        <f>(CK538-Driver!$F$207)/(Driver!$G$207-Driver!$F$207)*$BI$1</f>
        <v/>
      </c>
      <c r="BP538" s="102">
        <f>(CM538-Driver!$F$208)/(Driver!$G$208-Driver!$F$208)*$BI$1</f>
        <v/>
      </c>
      <c r="BQ538" s="102">
        <f>(CL538-Driver!$F$209)/(Driver!$G$209-Driver!$F$209)*$BI$1</f>
        <v/>
      </c>
      <c r="BR538" s="40" t="inlineStr">
        <is>
          <t>21/22</t>
        </is>
      </c>
      <c r="BS538" s="10" t="inlineStr">
        <is>
          <t xml:space="preserve"> Atomic</t>
        </is>
      </c>
      <c r="BT538" s="11" t="inlineStr">
        <is>
          <t>Redster X5</t>
        </is>
      </c>
      <c r="BU538" s="13" t="n">
        <v>154</v>
      </c>
      <c r="BV538" s="11" t="inlineStr">
        <is>
          <t xml:space="preserve"> Unisex</t>
        </is>
      </c>
      <c r="BW538" s="13" t="n">
        <v>154</v>
      </c>
      <c r="BX538" s="13" t="n">
        <v>153.4</v>
      </c>
      <c r="BY538" s="13" t="n">
        <v>133</v>
      </c>
      <c r="BZ538" s="13" t="n">
        <v>139</v>
      </c>
      <c r="CA538" s="13" t="n">
        <v>117</v>
      </c>
      <c r="CB538" s="13" t="n">
        <v>69</v>
      </c>
      <c r="CC538" s="13" t="n">
        <v>100</v>
      </c>
      <c r="CD538" s="13" t="n">
        <v>11.8</v>
      </c>
      <c r="CE538" s="13" t="n">
        <v>1659</v>
      </c>
      <c r="CF538" s="13" t="n">
        <v>0.78</v>
      </c>
      <c r="CG538" s="13" t="n">
        <v>1290</v>
      </c>
      <c r="CH538" s="13" t="n">
        <v>165</v>
      </c>
      <c r="CI538" s="13" t="n">
        <v>88</v>
      </c>
      <c r="CJ538" s="13" t="n">
        <v>36</v>
      </c>
      <c r="CK538" s="13" t="n">
        <v>150</v>
      </c>
      <c r="CL538" s="13" t="n">
        <v>3</v>
      </c>
      <c r="CM538" s="13" t="n">
        <v>52</v>
      </c>
      <c r="CN538" s="13" t="n">
        <v>0.092</v>
      </c>
      <c r="CO538" s="13" t="n">
        <v>88</v>
      </c>
      <c r="CP538" s="13" t="n">
        <v>59</v>
      </c>
      <c r="CQ538" s="13" t="n">
        <v>62</v>
      </c>
      <c r="CR538" s="13" t="n">
        <v>7</v>
      </c>
      <c r="CS538" s="13" t="n">
        <v>12.8</v>
      </c>
      <c r="CT538" s="11" t="inlineStr">
        <is>
          <t xml:space="preserve"> On-Piste Carving</t>
        </is>
      </c>
      <c r="CU538" s="13" t="n"/>
      <c r="CV538" s="13" t="n"/>
      <c r="CW538" s="13" t="n"/>
      <c r="CX538">
        <f>INDEX('Data_Price '!AG$2:AG$1266,MATCH(Data!$DN538,'Data_Price '!$AT$2:$AT$1266,0))</f>
        <v/>
      </c>
      <c r="CY538">
        <f>INDEX('Data_Price '!AH$2:AH$1266,MATCH(Data!$DN538,'Data_Price '!$AT$2:$AT$1266,0))</f>
        <v/>
      </c>
      <c r="CZ538">
        <f>INDEX('Data_Price '!AI$2:AI$1266,MATCH(Data!$DN538,'Data_Price '!$AT$2:$AT$1266,0))</f>
        <v/>
      </c>
      <c r="DA538">
        <f>INDEX('Data_Price '!AJ$2:AJ$1266,MATCH(Data!$DN538,'Data_Price '!$AT$2:$AT$1266,0))</f>
        <v/>
      </c>
      <c r="DB538">
        <f>INDEX('Data_Price '!AK$2:AK$1266,MATCH(Data!$DN538,'Data_Price '!$AT$2:$AT$1266,0))</f>
        <v/>
      </c>
      <c r="DC538">
        <f>INDEX('Data_Price '!AL$2:AL$1266,MATCH(Data!$DN538,'Data_Price '!$AT$2:$AT$1266,0))</f>
        <v/>
      </c>
      <c r="DD538">
        <f>INDEX('Data_Price '!AM$2:AM$1266,MATCH(Data!$DN538,'Data_Price '!$AT$2:$AT$1266,0))</f>
        <v/>
      </c>
      <c r="DE538">
        <f>INDEX('Data_Price '!AN$2:AN$1266,MATCH(Data!$DN538,'Data_Price '!$AT$2:$AT$1266,0))</f>
        <v/>
      </c>
      <c r="DF538">
        <f>INDEX('Data_Price '!AO$2:AO$1266,MATCH(Data!$DN538,'Data_Price '!$AT$2:$AT$1266,0))</f>
        <v/>
      </c>
      <c r="DG538">
        <f>INDEX('Data_Price '!AP$2:AP$1266,MATCH(Data!$DN538,'Data_Price '!$AT$2:$AT$1266,0))</f>
        <v/>
      </c>
      <c r="DH538">
        <f>INDEX('Data_Price '!AQ$2:AQ$1266,MATCH(Data!$DN538,'Data_Price '!$AT$2:$AT$1266,0))</f>
        <v/>
      </c>
      <c r="DI538">
        <f>INDEX('Data_Price '!AR$2:AR$1266,MATCH(Data!$DN538,'Data_Price '!$AT$2:$AT$1266,0))</f>
        <v/>
      </c>
      <c r="DJ538" s="138">
        <f>DA538</f>
        <v/>
      </c>
      <c r="DK538" s="138">
        <f>DE538</f>
        <v/>
      </c>
      <c r="DL538" s="138">
        <f>DI538</f>
        <v/>
      </c>
      <c r="DM538" s="303">
        <f>IF(LEFT(BT538,1)=" ",RIGHT(BT538,LEN(BT538)-1),BT538)</f>
        <v/>
      </c>
      <c r="DN538" s="138">
        <f>_xlfn.CONCAT(BS538,DM538,BU538,BV538)</f>
        <v/>
      </c>
      <c r="DO538" s="307" t="n"/>
    </row>
    <row r="539" ht="15.6" customHeight="1" s="184">
      <c r="B539" s="303">
        <f t="array" ref="B539">IF(OR(ISERROR(K539:P539)),FALSE,TRUE)</f>
        <v/>
      </c>
      <c r="C539" s="60">
        <f>OR(BR539=Driver!$G$50,Data!BR426=Driver!$H$50)</f>
        <v/>
      </c>
      <c r="D539" s="60">
        <f>OR(BV539=Driver!$G$51,BV539=Driver!$H$51)</f>
        <v/>
      </c>
      <c r="E539" s="60">
        <f>AND(BX539&gt;Driver!$F$54,BX539&lt;Driver!$G$54)</f>
        <v/>
      </c>
      <c r="F539" s="60">
        <f>CL539&gt;Driver!$F$56</f>
        <v/>
      </c>
      <c r="G539" s="60">
        <f>AND(CB539&gt;Driver!$F$55,CB539&lt;Driver!$G$55)</f>
        <v/>
      </c>
      <c r="H539" s="60">
        <f>AND(B539:G539)</f>
        <v/>
      </c>
      <c r="I539" s="60">
        <f>COUNTIFS($H$9:$H$1273,TRUE,$BT$9:$BT$1273,BT539)</f>
        <v/>
      </c>
      <c r="J539" s="60">
        <f t="array" ref="J539">NOT(OR(($H$9:$H$1273=TRUE)*($I$9:$I$1273&gt;0)*($BT$9:$BT$1273=BT539)*($K$9:$K$1273&gt;K539)))</f>
        <v/>
      </c>
      <c r="K539" s="108">
        <f>IFERROR(1-AVERAGE(X539:Y539),"")</f>
        <v/>
      </c>
      <c r="L539" s="108">
        <f>1-X539</f>
        <v/>
      </c>
      <c r="M539" s="108">
        <f>1-Y539</f>
        <v/>
      </c>
      <c r="N539" s="108">
        <f>1-Z539</f>
        <v/>
      </c>
      <c r="O539" s="108">
        <f>1-AA539</f>
        <v/>
      </c>
      <c r="P539" s="108">
        <f>1-AB539</f>
        <v/>
      </c>
      <c r="Q539" s="108" t="n"/>
      <c r="R539" s="108" t="n"/>
      <c r="S539" s="108">
        <f>1-AE539</f>
        <v/>
      </c>
      <c r="T539" s="108">
        <f>1-AF539</f>
        <v/>
      </c>
      <c r="U539" s="108">
        <f>1-AG539</f>
        <v/>
      </c>
      <c r="V539" s="108">
        <f>1-AH539</f>
        <v/>
      </c>
      <c r="W539" s="108">
        <f>1-AI539</f>
        <v/>
      </c>
      <c r="X539" s="108">
        <f>ABS(AJ539-AJ$1)</f>
        <v/>
      </c>
      <c r="Y539" s="108">
        <f>AVERAGE(Z539:AB539)</f>
        <v/>
      </c>
      <c r="Z539" s="108">
        <f>ABS(AL539-AL$1)</f>
        <v/>
      </c>
      <c r="AA539" s="108">
        <f>ABS(AM539-AM$1)</f>
        <v/>
      </c>
      <c r="AB539" s="108">
        <f>ABS(AN539-AN$1)</f>
        <v/>
      </c>
      <c r="AC539" s="108" t="n"/>
      <c r="AD539" s="108" t="n"/>
      <c r="AE539" s="108">
        <f>ABS(AQ$1-AQ539)</f>
        <v/>
      </c>
      <c r="AF539" s="108">
        <f>ABS(AR$1-AR539)</f>
        <v/>
      </c>
      <c r="AG539" s="108">
        <f>ABS(AS$1-AS539)</f>
        <v/>
      </c>
      <c r="AH539" s="108">
        <f>ABS(AT$1-AT539)</f>
        <v/>
      </c>
      <c r="AI539" s="108">
        <f>ABS(AU$1-AU539)</f>
        <v/>
      </c>
      <c r="AJ539" s="108">
        <f>(AV539-Driver!$K$179)/(Driver!$L$179-Driver!$K$179)</f>
        <v/>
      </c>
      <c r="AK539" s="108">
        <f>(AW539-Driver!$K$180)/(Driver!$L$180-Driver!$K$180)</f>
        <v/>
      </c>
      <c r="AL539" s="108">
        <f>(AX539-Driver!$K$181)/(Driver!$L$181-Driver!$K$181)</f>
        <v/>
      </c>
      <c r="AM539" s="108">
        <f>(AY539-Driver!$K$182)/(Driver!$L$182-Driver!$K$182)</f>
        <v/>
      </c>
      <c r="AN539" s="108">
        <f>(AZ539-Driver!$K$183)/(Driver!$L$183-Driver!$K$183)</f>
        <v/>
      </c>
      <c r="AO539" s="108" t="n"/>
      <c r="AP539" s="108" t="n"/>
      <c r="AQ539" s="108">
        <f>(BC539-Driver!$K$188)/(Driver!$L$188-Driver!$K$188)</f>
        <v/>
      </c>
      <c r="AR539" s="108">
        <f>MIN((BD539-Driver!$K$189)/(Driver!$L$189-Driver!$K$189),100%)</f>
        <v/>
      </c>
      <c r="AS539" s="108">
        <f>(BE539-Driver!$K$190)/(Driver!$L$190-Driver!$K$190)</f>
        <v/>
      </c>
      <c r="AT539" s="108">
        <f>(BF539-Driver!$K$191)/(Driver!$L$191-Driver!$K$191)</f>
        <v/>
      </c>
      <c r="AU539" s="108">
        <f>(BG539-Driver!$K$192)/(Driver!$L$192-Driver!$K$192)</f>
        <v/>
      </c>
      <c r="AV539" s="105">
        <f>IFERROR(BM539*BJ539^1/4,"")</f>
        <v/>
      </c>
      <c r="AW539" s="105">
        <f>IFERROR(SUM(AX539:AZ539),"")</f>
        <v/>
      </c>
      <c r="AX539" s="105">
        <f>IFERROR(BH539,"")</f>
        <v/>
      </c>
      <c r="AY539" s="105">
        <f>IFERROR(Driver!$K$19/Data!BH539/Data!BI539*Data!BK539*Data!BL539,"")</f>
        <v/>
      </c>
      <c r="AZ539" s="105">
        <f>IFERROR(BI539*BN539,"")</f>
        <v/>
      </c>
      <c r="BA539" s="105" t="n"/>
      <c r="BB539" s="105" t="n"/>
      <c r="BC539" s="105">
        <f>IFERROR(BI539*BN539*BK539/BJ539^(1/2),"")</f>
        <v/>
      </c>
      <c r="BD539" s="105">
        <f>IFERROR(BH539*BM539*BL539/BJ539/BK539,"")</f>
        <v/>
      </c>
      <c r="BE539" s="105">
        <f>IFERROR(MIN(BI539/BQ539/BP539/BO539/BH539,$BE$1),"")</f>
        <v/>
      </c>
      <c r="BF539" s="105">
        <f>IFERROR(BJ539*BO539*BP539/BK539,"")</f>
        <v/>
      </c>
      <c r="BG539" s="105">
        <f>IFERROR(1/BM539/BH539*BQ539,"")</f>
        <v/>
      </c>
      <c r="BH539" s="102">
        <f>MAX((CE539-Driver!$F$200)/(Driver!$G$200-Driver!$F$200)*$BI$1,1)</f>
        <v/>
      </c>
      <c r="BI539" s="102">
        <f>MAX($BI$1*(BY539-Driver!$F$201)/(Driver!$G$201-Driver!$F$201),1)</f>
        <v/>
      </c>
      <c r="BJ539" s="102">
        <f>(CB539-Driver!$F$206)/(Driver!$G$206-Driver!$F$206)*$BI$1</f>
        <v/>
      </c>
      <c r="BK539" s="102">
        <f>(CD539-Driver!$F$203)/(Driver!$G$203-Driver!$F$203)*$BI$1</f>
        <v/>
      </c>
      <c r="BL539" s="102">
        <f>MAX((CR539-Driver!$F$202)/(Driver!$G$202-Driver!$F$202)*$BI$1,1)</f>
        <v/>
      </c>
      <c r="BM539" s="102">
        <f>MAX((CH539-Driver!$F$204)/(Driver!$G$204-Driver!$F$204)*$BI$1,1)</f>
        <v/>
      </c>
      <c r="BN539" s="102">
        <f>(CI539-Driver!$F$205)/(Driver!$G$205-Driver!$F$205)*$BI$1</f>
        <v/>
      </c>
      <c r="BO539" s="102">
        <f>(CK539-Driver!$F$207)/(Driver!$G$207-Driver!$F$207)*$BI$1</f>
        <v/>
      </c>
      <c r="BP539" s="102">
        <f>(CM539-Driver!$F$208)/(Driver!$G$208-Driver!$F$208)*$BI$1</f>
        <v/>
      </c>
      <c r="BQ539" s="102">
        <f>(CL539-Driver!$F$209)/(Driver!$G$209-Driver!$F$209)*$BI$1</f>
        <v/>
      </c>
      <c r="BR539" s="40" t="inlineStr">
        <is>
          <t>21/22</t>
        </is>
      </c>
      <c r="BS539" s="10" t="inlineStr">
        <is>
          <t xml:space="preserve"> Elan</t>
        </is>
      </c>
      <c r="BT539" s="11" t="inlineStr">
        <is>
          <t>Amphibio 14 Ti</t>
        </is>
      </c>
      <c r="BU539" s="13" t="n">
        <v>168</v>
      </c>
      <c r="BV539" s="11" t="inlineStr">
        <is>
          <t xml:space="preserve"> Unisex</t>
        </is>
      </c>
      <c r="BW539" s="13" t="n">
        <v>168</v>
      </c>
      <c r="BX539" s="13" t="n">
        <v>167.3</v>
      </c>
      <c r="BY539" s="13" t="n">
        <v>146</v>
      </c>
      <c r="BZ539" s="13" t="n">
        <v>153</v>
      </c>
      <c r="CA539" s="13" t="n">
        <v>124</v>
      </c>
      <c r="CB539" s="13" t="n">
        <v>75</v>
      </c>
      <c r="CC539" s="13" t="n">
        <v>103</v>
      </c>
      <c r="CD539" s="13" t="n">
        <v>14.8</v>
      </c>
      <c r="CE539" s="13" t="n">
        <v>2032</v>
      </c>
      <c r="CF539" s="13" t="n">
        <v>0.74</v>
      </c>
      <c r="CG539" s="13" t="n">
        <v>1498</v>
      </c>
      <c r="CH539" s="13" t="n">
        <v>208</v>
      </c>
      <c r="CI539" s="13" t="n">
        <v>93</v>
      </c>
      <c r="CJ539" s="13" t="n">
        <v>31</v>
      </c>
      <c r="CK539" s="13" t="n">
        <v>144</v>
      </c>
      <c r="CL539" s="13" t="n">
        <v>10</v>
      </c>
      <c r="CM539" s="13" t="n">
        <v>72</v>
      </c>
      <c r="CN539" s="13" t="n">
        <v>0.322</v>
      </c>
      <c r="CO539" s="13" t="n">
        <v>85</v>
      </c>
      <c r="CP539" s="13" t="n">
        <v>60</v>
      </c>
      <c r="CQ539" s="13" t="n">
        <v>59</v>
      </c>
      <c r="CR539" s="13" t="n">
        <v>11</v>
      </c>
      <c r="CS539" s="13" t="n">
        <v>9.4</v>
      </c>
      <c r="CT539" s="11" t="inlineStr">
        <is>
          <t xml:space="preserve"> On-Piste Carving</t>
        </is>
      </c>
      <c r="CU539" s="13" t="n"/>
      <c r="CV539" s="13" t="n"/>
      <c r="CW539" s="13" t="n"/>
      <c r="CX539">
        <f>INDEX('Data_Price '!AG$2:AG$1266,MATCH(Data!$DN539,'Data_Price '!$AT$2:$AT$1266,0))</f>
        <v/>
      </c>
      <c r="CY539">
        <f>INDEX('Data_Price '!AH$2:AH$1266,MATCH(Data!$DN539,'Data_Price '!$AT$2:$AT$1266,0))</f>
        <v/>
      </c>
      <c r="CZ539">
        <f>INDEX('Data_Price '!AI$2:AI$1266,MATCH(Data!$DN539,'Data_Price '!$AT$2:$AT$1266,0))</f>
        <v/>
      </c>
      <c r="DA539">
        <f>INDEX('Data_Price '!AJ$2:AJ$1266,MATCH(Data!$DN539,'Data_Price '!$AT$2:$AT$1266,0))</f>
        <v/>
      </c>
      <c r="DB539">
        <f>INDEX('Data_Price '!AK$2:AK$1266,MATCH(Data!$DN539,'Data_Price '!$AT$2:$AT$1266,0))</f>
        <v/>
      </c>
      <c r="DC539">
        <f>INDEX('Data_Price '!AL$2:AL$1266,MATCH(Data!$DN539,'Data_Price '!$AT$2:$AT$1266,0))</f>
        <v/>
      </c>
      <c r="DD539">
        <f>INDEX('Data_Price '!AM$2:AM$1266,MATCH(Data!$DN539,'Data_Price '!$AT$2:$AT$1266,0))</f>
        <v/>
      </c>
      <c r="DE539">
        <f>INDEX('Data_Price '!AN$2:AN$1266,MATCH(Data!$DN539,'Data_Price '!$AT$2:$AT$1266,0))</f>
        <v/>
      </c>
      <c r="DF539">
        <f>INDEX('Data_Price '!AO$2:AO$1266,MATCH(Data!$DN539,'Data_Price '!$AT$2:$AT$1266,0))</f>
        <v/>
      </c>
      <c r="DG539">
        <f>INDEX('Data_Price '!AP$2:AP$1266,MATCH(Data!$DN539,'Data_Price '!$AT$2:$AT$1266,0))</f>
        <v/>
      </c>
      <c r="DH539">
        <f>INDEX('Data_Price '!AQ$2:AQ$1266,MATCH(Data!$DN539,'Data_Price '!$AT$2:$AT$1266,0))</f>
        <v/>
      </c>
      <c r="DI539">
        <f>INDEX('Data_Price '!AR$2:AR$1266,MATCH(Data!$DN539,'Data_Price '!$AT$2:$AT$1266,0))</f>
        <v/>
      </c>
      <c r="DJ539" s="138">
        <f>DA539</f>
        <v/>
      </c>
      <c r="DK539" s="138">
        <f>DE539</f>
        <v/>
      </c>
      <c r="DL539" s="138">
        <f>DI539</f>
        <v/>
      </c>
      <c r="DM539" s="303">
        <f>IF(LEFT(BT539,1)=" ",RIGHT(BT539,LEN(BT539)-1),BT539)</f>
        <v/>
      </c>
      <c r="DN539" s="138">
        <f>_xlfn.CONCAT(BS539,DM539,BU539,BV539)</f>
        <v/>
      </c>
      <c r="DO539" s="307" t="n"/>
    </row>
    <row r="540" ht="15.6" customHeight="1" s="184">
      <c r="B540" s="303">
        <f t="array" ref="B540">IF(OR(ISERROR(K540:P540)),FALSE,TRUE)</f>
        <v/>
      </c>
      <c r="C540" s="60">
        <f>OR(BR540=Driver!$G$50,Data!BR679=Driver!$H$50)</f>
        <v/>
      </c>
      <c r="D540" s="60">
        <f>OR(BV540=Driver!$G$51,BV540=Driver!$H$51)</f>
        <v/>
      </c>
      <c r="E540" s="60">
        <f>AND(BX540&gt;Driver!$F$54,BX540&lt;Driver!$G$54)</f>
        <v/>
      </c>
      <c r="F540" s="60">
        <f>CL540&gt;Driver!$F$56</f>
        <v/>
      </c>
      <c r="G540" s="60">
        <f>AND(CB540&gt;Driver!$F$55,CB540&lt;Driver!$G$55)</f>
        <v/>
      </c>
      <c r="H540" s="60">
        <f>AND(B540:G540)</f>
        <v/>
      </c>
      <c r="I540" s="60">
        <f>COUNTIFS($H$9:$H$1273,TRUE,$BT$9:$BT$1273,BT540)</f>
        <v/>
      </c>
      <c r="J540" s="60">
        <f t="array" ref="J540">NOT(OR(($H$9:$H$1273=TRUE)*($I$9:$I$1273&gt;0)*($BT$9:$BT$1273=BT540)*($K$9:$K$1273&gt;K540)))</f>
        <v/>
      </c>
      <c r="K540" s="108">
        <f>IFERROR(1-AVERAGE(X540:Y540),"")</f>
        <v/>
      </c>
      <c r="L540" s="108">
        <f>1-X540</f>
        <v/>
      </c>
      <c r="M540" s="108">
        <f>1-Y540</f>
        <v/>
      </c>
      <c r="N540" s="108">
        <f>1-Z540</f>
        <v/>
      </c>
      <c r="O540" s="108">
        <f>1-AA540</f>
        <v/>
      </c>
      <c r="P540" s="108">
        <f>1-AB540</f>
        <v/>
      </c>
      <c r="Q540" s="108" t="n"/>
      <c r="R540" s="108" t="n"/>
      <c r="S540" s="108">
        <f>1-AE540</f>
        <v/>
      </c>
      <c r="T540" s="108">
        <f>1-AF540</f>
        <v/>
      </c>
      <c r="U540" s="108">
        <f>1-AG540</f>
        <v/>
      </c>
      <c r="V540" s="108">
        <f>1-AH540</f>
        <v/>
      </c>
      <c r="W540" s="108">
        <f>1-AI540</f>
        <v/>
      </c>
      <c r="X540" s="108">
        <f>ABS(AJ540-AJ$1)</f>
        <v/>
      </c>
      <c r="Y540" s="108">
        <f>AVERAGE(Z540:AB540)</f>
        <v/>
      </c>
      <c r="Z540" s="108">
        <f>ABS(AL540-AL$1)</f>
        <v/>
      </c>
      <c r="AA540" s="108">
        <f>ABS(AM540-AM$1)</f>
        <v/>
      </c>
      <c r="AB540" s="108">
        <f>ABS(AN540-AN$1)</f>
        <v/>
      </c>
      <c r="AC540" s="108" t="n"/>
      <c r="AD540" s="108" t="n"/>
      <c r="AE540" s="108">
        <f>ABS(AQ$1-AQ540)</f>
        <v/>
      </c>
      <c r="AF540" s="108">
        <f>ABS(AR$1-AR540)</f>
        <v/>
      </c>
      <c r="AG540" s="108">
        <f>ABS(AS$1-AS540)</f>
        <v/>
      </c>
      <c r="AH540" s="108">
        <f>ABS(AT$1-AT540)</f>
        <v/>
      </c>
      <c r="AI540" s="108">
        <f>ABS(AU$1-AU540)</f>
        <v/>
      </c>
      <c r="AJ540" s="108">
        <f>(AV540-Driver!$K$179)/(Driver!$L$179-Driver!$K$179)</f>
        <v/>
      </c>
      <c r="AK540" s="108">
        <f>(AW540-Driver!$K$180)/(Driver!$L$180-Driver!$K$180)</f>
        <v/>
      </c>
      <c r="AL540" s="108">
        <f>(AX540-Driver!$K$181)/(Driver!$L$181-Driver!$K$181)</f>
        <v/>
      </c>
      <c r="AM540" s="108">
        <f>(AY540-Driver!$K$182)/(Driver!$L$182-Driver!$K$182)</f>
        <v/>
      </c>
      <c r="AN540" s="108">
        <f>(AZ540-Driver!$K$183)/(Driver!$L$183-Driver!$K$183)</f>
        <v/>
      </c>
      <c r="AO540" s="108" t="n"/>
      <c r="AP540" s="108" t="n"/>
      <c r="AQ540" s="108">
        <f>(BC540-Driver!$K$188)/(Driver!$L$188-Driver!$K$188)</f>
        <v/>
      </c>
      <c r="AR540" s="108">
        <f>MIN((BD540-Driver!$K$189)/(Driver!$L$189-Driver!$K$189),100%)</f>
        <v/>
      </c>
      <c r="AS540" s="108">
        <f>(BE540-Driver!$K$190)/(Driver!$L$190-Driver!$K$190)</f>
        <v/>
      </c>
      <c r="AT540" s="108">
        <f>(BF540-Driver!$K$191)/(Driver!$L$191-Driver!$K$191)</f>
        <v/>
      </c>
      <c r="AU540" s="108">
        <f>(BG540-Driver!$K$192)/(Driver!$L$192-Driver!$K$192)</f>
        <v/>
      </c>
      <c r="AV540" s="105">
        <f>IFERROR(BM540*BJ540^1/4,"")</f>
        <v/>
      </c>
      <c r="AW540" s="105">
        <f>IFERROR(SUM(AX540:AZ540),"")</f>
        <v/>
      </c>
      <c r="AX540" s="105">
        <f>IFERROR(BH540,"")</f>
        <v/>
      </c>
      <c r="AY540" s="105">
        <f>IFERROR(Driver!$K$19/Data!BH540/Data!BI540*Data!BK540*Data!BL540,"")</f>
        <v/>
      </c>
      <c r="AZ540" s="105">
        <f>IFERROR(BI540*BN540,"")</f>
        <v/>
      </c>
      <c r="BA540" s="105" t="n"/>
      <c r="BB540" s="105" t="n"/>
      <c r="BC540" s="105">
        <f>IFERROR(BI540*BN540*BK540/BJ540^(1/2),"")</f>
        <v/>
      </c>
      <c r="BD540" s="105">
        <f>IFERROR(BH540*BM540*BL540/BJ540/BK540,"")</f>
        <v/>
      </c>
      <c r="BE540" s="105">
        <f>IFERROR(MIN(BI540/BQ540/BP540/BO540/BH540,$BE$1),"")</f>
        <v/>
      </c>
      <c r="BF540" s="105">
        <f>IFERROR(BJ540*BO540*BP540/BK540,"")</f>
        <v/>
      </c>
      <c r="BG540" s="105">
        <f>IFERROR(1/BM540/BH540*BQ540,"")</f>
        <v/>
      </c>
      <c r="BH540" s="102">
        <f>MAX((CE540-Driver!$F$200)/(Driver!$G$200-Driver!$F$200)*$BI$1,1)</f>
        <v/>
      </c>
      <c r="BI540" s="102">
        <f>MAX($BI$1*(BY540-Driver!$F$201)/(Driver!$G$201-Driver!$F$201),1)</f>
        <v/>
      </c>
      <c r="BJ540" s="102">
        <f>(CB540-Driver!$F$206)/(Driver!$G$206-Driver!$F$206)*$BI$1</f>
        <v/>
      </c>
      <c r="BK540" s="102">
        <f>(CD540-Driver!$F$203)/(Driver!$G$203-Driver!$F$203)*$BI$1</f>
        <v/>
      </c>
      <c r="BL540" s="102">
        <f>MAX((CR540-Driver!$F$202)/(Driver!$G$202-Driver!$F$202)*$BI$1,1)</f>
        <v/>
      </c>
      <c r="BM540" s="102">
        <f>MAX((CH540-Driver!$F$204)/(Driver!$G$204-Driver!$F$204)*$BI$1,1)</f>
        <v/>
      </c>
      <c r="BN540" s="102">
        <f>(CI540-Driver!$F$205)/(Driver!$G$205-Driver!$F$205)*$BI$1</f>
        <v/>
      </c>
      <c r="BO540" s="102">
        <f>(CK540-Driver!$F$207)/(Driver!$G$207-Driver!$F$207)*$BI$1</f>
        <v/>
      </c>
      <c r="BP540" s="102">
        <f>(CM540-Driver!$F$208)/(Driver!$G$208-Driver!$F$208)*$BI$1</f>
        <v/>
      </c>
      <c r="BQ540" s="102">
        <f>(CL540-Driver!$F$209)/(Driver!$G$209-Driver!$F$209)*$BI$1</f>
        <v/>
      </c>
      <c r="BR540" s="40" t="inlineStr">
        <is>
          <t>21/22</t>
        </is>
      </c>
      <c r="BS540" s="10" t="inlineStr">
        <is>
          <t xml:space="preserve"> Icelantic</t>
        </is>
      </c>
      <c r="BT540" s="11" t="inlineStr">
        <is>
          <t>Nomad 105</t>
        </is>
      </c>
      <c r="BU540" s="13" t="n">
        <v>181</v>
      </c>
      <c r="BV540" s="11" t="inlineStr">
        <is>
          <t xml:space="preserve"> Unisex</t>
        </is>
      </c>
      <c r="BW540" s="13" t="n">
        <v>181</v>
      </c>
      <c r="BX540" s="13" t="n">
        <v>178.5</v>
      </c>
      <c r="BY540" s="13" t="n">
        <v>109</v>
      </c>
      <c r="BZ540" s="13" t="n">
        <v>153</v>
      </c>
      <c r="CA540" s="13" t="n">
        <v>145</v>
      </c>
      <c r="CB540" s="13" t="n">
        <v>111</v>
      </c>
      <c r="CC540" s="13" t="n">
        <v>135</v>
      </c>
      <c r="CD540" s="13" t="n">
        <v>19.1</v>
      </c>
      <c r="CE540" s="13" t="n">
        <v>2022</v>
      </c>
      <c r="CF540" s="13" t="n">
        <v>1.08</v>
      </c>
      <c r="CG540" s="13" t="n">
        <v>2176</v>
      </c>
      <c r="CH540" s="13" t="n">
        <v>229</v>
      </c>
      <c r="CI540" s="13" t="n">
        <v>113</v>
      </c>
      <c r="CJ540" s="13" t="n">
        <v>60</v>
      </c>
      <c r="CK540" s="13" t="n">
        <v>375</v>
      </c>
      <c r="CL540" s="13" t="n">
        <v>56</v>
      </c>
      <c r="CM540" s="13" t="n">
        <v>323</v>
      </c>
      <c r="CN540" s="13" t="n">
        <v>0.9419999999999999</v>
      </c>
      <c r="CO540" s="13" t="n">
        <v>128</v>
      </c>
      <c r="CP540" s="13" t="n">
        <v>128</v>
      </c>
      <c r="CQ540" s="13" t="n">
        <v>248</v>
      </c>
      <c r="CR540" s="13" t="n">
        <v>1</v>
      </c>
      <c r="CS540" s="13" t="n">
        <v>9.699999999999999</v>
      </c>
      <c r="CT540" s="11" t="inlineStr">
        <is>
          <t xml:space="preserve"> Freeski</t>
        </is>
      </c>
      <c r="CU540" s="11" t="inlineStr">
        <is>
          <t xml:space="preserve"> Powder</t>
        </is>
      </c>
      <c r="CV540" s="11" t="inlineStr">
        <is>
          <t xml:space="preserve"> Touring</t>
        </is>
      </c>
      <c r="CW540" s="13" t="n"/>
      <c r="CX540">
        <f>INDEX('Data_Price '!AG$2:AG$1266,MATCH(Data!$DN540,'Data_Price '!$AT$2:$AT$1266,0))</f>
        <v/>
      </c>
      <c r="CY540">
        <f>INDEX('Data_Price '!AH$2:AH$1266,MATCH(Data!$DN540,'Data_Price '!$AT$2:$AT$1266,0))</f>
        <v/>
      </c>
      <c r="CZ540">
        <f>INDEX('Data_Price '!AI$2:AI$1266,MATCH(Data!$DN540,'Data_Price '!$AT$2:$AT$1266,0))</f>
        <v/>
      </c>
      <c r="DA540">
        <f>INDEX('Data_Price '!AJ$2:AJ$1266,MATCH(Data!$DN540,'Data_Price '!$AT$2:$AT$1266,0))</f>
        <v/>
      </c>
      <c r="DB540">
        <f>INDEX('Data_Price '!AK$2:AK$1266,MATCH(Data!$DN540,'Data_Price '!$AT$2:$AT$1266,0))</f>
        <v/>
      </c>
      <c r="DC540">
        <f>INDEX('Data_Price '!AL$2:AL$1266,MATCH(Data!$DN540,'Data_Price '!$AT$2:$AT$1266,0))</f>
        <v/>
      </c>
      <c r="DD540">
        <f>INDEX('Data_Price '!AM$2:AM$1266,MATCH(Data!$DN540,'Data_Price '!$AT$2:$AT$1266,0))</f>
        <v/>
      </c>
      <c r="DE540">
        <f>INDEX('Data_Price '!AN$2:AN$1266,MATCH(Data!$DN540,'Data_Price '!$AT$2:$AT$1266,0))</f>
        <v/>
      </c>
      <c r="DF540">
        <f>INDEX('Data_Price '!AO$2:AO$1266,MATCH(Data!$DN540,'Data_Price '!$AT$2:$AT$1266,0))</f>
        <v/>
      </c>
      <c r="DG540">
        <f>INDEX('Data_Price '!AP$2:AP$1266,MATCH(Data!$DN540,'Data_Price '!$AT$2:$AT$1266,0))</f>
        <v/>
      </c>
      <c r="DH540">
        <f>INDEX('Data_Price '!AQ$2:AQ$1266,MATCH(Data!$DN540,'Data_Price '!$AT$2:$AT$1266,0))</f>
        <v/>
      </c>
      <c r="DI540">
        <f>INDEX('Data_Price '!AR$2:AR$1266,MATCH(Data!$DN540,'Data_Price '!$AT$2:$AT$1266,0))</f>
        <v/>
      </c>
      <c r="DJ540" s="138">
        <f>DA540</f>
        <v/>
      </c>
      <c r="DK540" s="138">
        <f>DE540</f>
        <v/>
      </c>
      <c r="DL540" s="138">
        <f>DI540</f>
        <v/>
      </c>
      <c r="DM540" s="303">
        <f>IF(LEFT(BT540,1)=" ",RIGHT(BT540,LEN(BT540)-1),BT540)</f>
        <v/>
      </c>
      <c r="DN540" s="138">
        <f>_xlfn.CONCAT(BS540,DM540,BU540,BV540)</f>
        <v/>
      </c>
      <c r="DO540" s="307" t="inlineStr">
        <is>
          <t>https://images.evo.com/imgp/250/208395/833069/icelantic-nomad-105-skis-2022-.jpg</t>
        </is>
      </c>
    </row>
    <row r="541" ht="15.6" customHeight="1" s="184">
      <c r="B541" s="303">
        <f t="array" ref="B541">IF(OR(ISERROR(K541:P541)),FALSE,TRUE)</f>
        <v/>
      </c>
      <c r="C541" s="60">
        <f>OR(BR541=Driver!$G$50,Data!BR682=Driver!$H$50)</f>
        <v/>
      </c>
      <c r="D541" s="60">
        <f>OR(BV541=Driver!$G$51,BV541=Driver!$H$51)</f>
        <v/>
      </c>
      <c r="E541" s="60">
        <f>AND(BX541&gt;Driver!$F$54,BX541&lt;Driver!$G$54)</f>
        <v/>
      </c>
      <c r="F541" s="60">
        <f>CL541&gt;Driver!$F$56</f>
        <v/>
      </c>
      <c r="G541" s="60">
        <f>AND(CB541&gt;Driver!$F$55,CB541&lt;Driver!$G$55)</f>
        <v/>
      </c>
      <c r="H541" s="60">
        <f>AND(B541:G541)</f>
        <v/>
      </c>
      <c r="I541" s="60">
        <f>COUNTIFS($H$9:$H$1273,TRUE,$BT$9:$BT$1273,BT541)</f>
        <v/>
      </c>
      <c r="J541" s="60">
        <f t="array" ref="J541">NOT(OR(($H$9:$H$1273=TRUE)*($I$9:$I$1273&gt;0)*($BT$9:$BT$1273=BT541)*($K$9:$K$1273&gt;K541)))</f>
        <v/>
      </c>
      <c r="K541" s="108">
        <f>IFERROR(1-AVERAGE(X541:Y541),"")</f>
        <v/>
      </c>
      <c r="L541" s="108">
        <f>1-X541</f>
        <v/>
      </c>
      <c r="M541" s="108">
        <f>1-Y541</f>
        <v/>
      </c>
      <c r="N541" s="108">
        <f>1-Z541</f>
        <v/>
      </c>
      <c r="O541" s="108">
        <f>1-AA541</f>
        <v/>
      </c>
      <c r="P541" s="108">
        <f>1-AB541</f>
        <v/>
      </c>
      <c r="Q541" s="108" t="n"/>
      <c r="R541" s="108" t="n"/>
      <c r="S541" s="108">
        <f>1-AE541</f>
        <v/>
      </c>
      <c r="T541" s="108">
        <f>1-AF541</f>
        <v/>
      </c>
      <c r="U541" s="108">
        <f>1-AG541</f>
        <v/>
      </c>
      <c r="V541" s="108">
        <f>1-AH541</f>
        <v/>
      </c>
      <c r="W541" s="108">
        <f>1-AI541</f>
        <v/>
      </c>
      <c r="X541" s="108">
        <f>ABS(AJ541-AJ$1)</f>
        <v/>
      </c>
      <c r="Y541" s="108">
        <f>AVERAGE(Z541:AB541)</f>
        <v/>
      </c>
      <c r="Z541" s="108">
        <f>ABS(AL541-AL$1)</f>
        <v/>
      </c>
      <c r="AA541" s="108">
        <f>ABS(AM541-AM$1)</f>
        <v/>
      </c>
      <c r="AB541" s="108">
        <f>ABS(AN541-AN$1)</f>
        <v/>
      </c>
      <c r="AC541" s="108" t="n"/>
      <c r="AD541" s="108" t="n"/>
      <c r="AE541" s="108">
        <f>ABS(AQ$1-AQ541)</f>
        <v/>
      </c>
      <c r="AF541" s="108">
        <f>ABS(AR$1-AR541)</f>
        <v/>
      </c>
      <c r="AG541" s="108">
        <f>ABS(AS$1-AS541)</f>
        <v/>
      </c>
      <c r="AH541" s="108">
        <f>ABS(AT$1-AT541)</f>
        <v/>
      </c>
      <c r="AI541" s="108">
        <f>ABS(AU$1-AU541)</f>
        <v/>
      </c>
      <c r="AJ541" s="108">
        <f>(AV541-Driver!$K$179)/(Driver!$L$179-Driver!$K$179)</f>
        <v/>
      </c>
      <c r="AK541" s="108">
        <f>(AW541-Driver!$K$180)/(Driver!$L$180-Driver!$K$180)</f>
        <v/>
      </c>
      <c r="AL541" s="108">
        <f>(AX541-Driver!$K$181)/(Driver!$L$181-Driver!$K$181)</f>
        <v/>
      </c>
      <c r="AM541" s="108">
        <f>(AY541-Driver!$K$182)/(Driver!$L$182-Driver!$K$182)</f>
        <v/>
      </c>
      <c r="AN541" s="108">
        <f>(AZ541-Driver!$K$183)/(Driver!$L$183-Driver!$K$183)</f>
        <v/>
      </c>
      <c r="AO541" s="108" t="n"/>
      <c r="AP541" s="108" t="n"/>
      <c r="AQ541" s="108">
        <f>(BC541-Driver!$K$188)/(Driver!$L$188-Driver!$K$188)</f>
        <v/>
      </c>
      <c r="AR541" s="108">
        <f>MIN((BD541-Driver!$K$189)/(Driver!$L$189-Driver!$K$189),100%)</f>
        <v/>
      </c>
      <c r="AS541" s="108">
        <f>(BE541-Driver!$K$190)/(Driver!$L$190-Driver!$K$190)</f>
        <v/>
      </c>
      <c r="AT541" s="108">
        <f>(BF541-Driver!$K$191)/(Driver!$L$191-Driver!$K$191)</f>
        <v/>
      </c>
      <c r="AU541" s="108">
        <f>(BG541-Driver!$K$192)/(Driver!$L$192-Driver!$K$192)</f>
        <v/>
      </c>
      <c r="AV541" s="105">
        <f>IFERROR(BM541*BJ541^1/4,"")</f>
        <v/>
      </c>
      <c r="AW541" s="105">
        <f>IFERROR(SUM(AX541:AZ541),"")</f>
        <v/>
      </c>
      <c r="AX541" s="105">
        <f>IFERROR(BH541,"")</f>
        <v/>
      </c>
      <c r="AY541" s="105">
        <f>IFERROR(Driver!$K$19/Data!BH541/Data!BI541*Data!BK541*Data!BL541,"")</f>
        <v/>
      </c>
      <c r="AZ541" s="105">
        <f>IFERROR(BI541*BN541,"")</f>
        <v/>
      </c>
      <c r="BA541" s="105" t="n"/>
      <c r="BB541" s="105" t="n"/>
      <c r="BC541" s="105">
        <f>IFERROR(BI541*BN541*BK541/BJ541^(1/2),"")</f>
        <v/>
      </c>
      <c r="BD541" s="105">
        <f>IFERROR(BH541*BM541*BL541/BJ541/BK541,"")</f>
        <v/>
      </c>
      <c r="BE541" s="105">
        <f>IFERROR(MIN(BI541/BQ541/BP541/BO541/BH541,$BE$1),"")</f>
        <v/>
      </c>
      <c r="BF541" s="105">
        <f>IFERROR(BJ541*BO541*BP541/BK541,"")</f>
        <v/>
      </c>
      <c r="BG541" s="105">
        <f>IFERROR(1/BM541/BH541*BQ541,"")</f>
        <v/>
      </c>
      <c r="BH541" s="102">
        <f>MAX((CE541-Driver!$F$200)/(Driver!$G$200-Driver!$F$200)*$BI$1,1)</f>
        <v/>
      </c>
      <c r="BI541" s="102">
        <f>MAX($BI$1*(BY541-Driver!$F$201)/(Driver!$G$201-Driver!$F$201),1)</f>
        <v/>
      </c>
      <c r="BJ541" s="102">
        <f>(CB541-Driver!$F$206)/(Driver!$G$206-Driver!$F$206)*$BI$1</f>
        <v/>
      </c>
      <c r="BK541" s="102">
        <f>(CD541-Driver!$F$203)/(Driver!$G$203-Driver!$F$203)*$BI$1</f>
        <v/>
      </c>
      <c r="BL541" s="102">
        <f>MAX((CR541-Driver!$F$202)/(Driver!$G$202-Driver!$F$202)*$BI$1,1)</f>
        <v/>
      </c>
      <c r="BM541" s="102">
        <f>MAX((CH541-Driver!$F$204)/(Driver!$G$204-Driver!$F$204)*$BI$1,1)</f>
        <v/>
      </c>
      <c r="BN541" s="102">
        <f>(CI541-Driver!$F$205)/(Driver!$G$205-Driver!$F$205)*$BI$1</f>
        <v/>
      </c>
      <c r="BO541" s="102">
        <f>(CK541-Driver!$F$207)/(Driver!$G$207-Driver!$F$207)*$BI$1</f>
        <v/>
      </c>
      <c r="BP541" s="102">
        <f>(CM541-Driver!$F$208)/(Driver!$G$208-Driver!$F$208)*$BI$1</f>
        <v/>
      </c>
      <c r="BQ541" s="102">
        <f>(CL541-Driver!$F$209)/(Driver!$G$209-Driver!$F$209)*$BI$1</f>
        <v/>
      </c>
      <c r="BR541" s="40" t="inlineStr">
        <is>
          <t>21/22</t>
        </is>
      </c>
      <c r="BS541" s="10" t="inlineStr">
        <is>
          <t xml:space="preserve"> Icelantic</t>
        </is>
      </c>
      <c r="BT541" s="11" t="inlineStr">
        <is>
          <t>Nomad 95</t>
        </is>
      </c>
      <c r="BU541" s="13" t="n">
        <v>181</v>
      </c>
      <c r="BV541" s="11" t="inlineStr">
        <is>
          <t xml:space="preserve"> Unisex</t>
        </is>
      </c>
      <c r="BW541" s="13" t="n">
        <v>181</v>
      </c>
      <c r="BX541" s="13" t="n">
        <v>178.6</v>
      </c>
      <c r="BY541" s="13" t="n">
        <v>116</v>
      </c>
      <c r="BZ541" s="13" t="n">
        <v>155</v>
      </c>
      <c r="CA541" s="13" t="n">
        <v>130</v>
      </c>
      <c r="CB541" s="13" t="n">
        <v>95</v>
      </c>
      <c r="CC541" s="13" t="n">
        <v>120</v>
      </c>
      <c r="CD541" s="13" t="n">
        <v>19</v>
      </c>
      <c r="CE541" s="13" t="n">
        <v>1662</v>
      </c>
      <c r="CF541" s="13" t="n">
        <v>1.14</v>
      </c>
      <c r="CG541" s="13" t="n">
        <v>1889</v>
      </c>
      <c r="CH541" s="13" t="n">
        <v>191</v>
      </c>
      <c r="CI541" s="13" t="n">
        <v>75</v>
      </c>
      <c r="CJ541" s="13" t="n">
        <v>55</v>
      </c>
      <c r="CK541" s="13" t="n">
        <v>338</v>
      </c>
      <c r="CL541" s="13" t="n">
        <v>51</v>
      </c>
      <c r="CM541" s="13" t="n">
        <v>290</v>
      </c>
      <c r="CN541" s="13" t="n">
        <v>0.914</v>
      </c>
      <c r="CO541" s="13" t="n">
        <v>112</v>
      </c>
      <c r="CP541" s="13" t="n">
        <v>128</v>
      </c>
      <c r="CQ541" s="13" t="n">
        <v>226</v>
      </c>
      <c r="CR541" s="13" t="n">
        <v>4</v>
      </c>
      <c r="CS541" s="13" t="n">
        <v>9</v>
      </c>
      <c r="CT541" s="11" t="inlineStr">
        <is>
          <t xml:space="preserve"> Freeski</t>
        </is>
      </c>
      <c r="CU541" s="11" t="inlineStr">
        <is>
          <t xml:space="preserve"> Touring</t>
        </is>
      </c>
      <c r="CV541" s="13" t="n"/>
      <c r="CW541" s="13" t="n"/>
      <c r="CX541">
        <f>INDEX('Data_Price '!AG$2:AG$1266,MATCH(Data!$DN541,'Data_Price '!$AT$2:$AT$1266,0))</f>
        <v/>
      </c>
      <c r="CY541">
        <f>INDEX('Data_Price '!AH$2:AH$1266,MATCH(Data!$DN541,'Data_Price '!$AT$2:$AT$1266,0))</f>
        <v/>
      </c>
      <c r="CZ541">
        <f>INDEX('Data_Price '!AI$2:AI$1266,MATCH(Data!$DN541,'Data_Price '!$AT$2:$AT$1266,0))</f>
        <v/>
      </c>
      <c r="DA541">
        <f>INDEX('Data_Price '!AJ$2:AJ$1266,MATCH(Data!$DN541,'Data_Price '!$AT$2:$AT$1266,0))</f>
        <v/>
      </c>
      <c r="DB541">
        <f>INDEX('Data_Price '!AK$2:AK$1266,MATCH(Data!$DN541,'Data_Price '!$AT$2:$AT$1266,0))</f>
        <v/>
      </c>
      <c r="DC541">
        <f>INDEX('Data_Price '!AL$2:AL$1266,MATCH(Data!$DN541,'Data_Price '!$AT$2:$AT$1266,0))</f>
        <v/>
      </c>
      <c r="DD541">
        <f>INDEX('Data_Price '!AM$2:AM$1266,MATCH(Data!$DN541,'Data_Price '!$AT$2:$AT$1266,0))</f>
        <v/>
      </c>
      <c r="DE541">
        <f>INDEX('Data_Price '!AN$2:AN$1266,MATCH(Data!$DN541,'Data_Price '!$AT$2:$AT$1266,0))</f>
        <v/>
      </c>
      <c r="DF541">
        <f>INDEX('Data_Price '!AO$2:AO$1266,MATCH(Data!$DN541,'Data_Price '!$AT$2:$AT$1266,0))</f>
        <v/>
      </c>
      <c r="DG541">
        <f>INDEX('Data_Price '!AP$2:AP$1266,MATCH(Data!$DN541,'Data_Price '!$AT$2:$AT$1266,0))</f>
        <v/>
      </c>
      <c r="DH541">
        <f>INDEX('Data_Price '!AQ$2:AQ$1266,MATCH(Data!$DN541,'Data_Price '!$AT$2:$AT$1266,0))</f>
        <v/>
      </c>
      <c r="DI541">
        <f>INDEX('Data_Price '!AR$2:AR$1266,MATCH(Data!$DN541,'Data_Price '!$AT$2:$AT$1266,0))</f>
        <v/>
      </c>
      <c r="DJ541" s="138">
        <f>DA541</f>
        <v/>
      </c>
      <c r="DK541" s="138">
        <f>DE541</f>
        <v/>
      </c>
      <c r="DL541" s="138">
        <f>DI541</f>
        <v/>
      </c>
      <c r="DM541" s="303">
        <f>IF(LEFT(BT541,1)=" ",RIGHT(BT541,LEN(BT541)-1),BT541)</f>
        <v/>
      </c>
      <c r="DN541" s="138">
        <f>_xlfn.CONCAT(BS541,DM541,BU541,BV541)</f>
        <v/>
      </c>
      <c r="DO541" s="307" t="inlineStr">
        <is>
          <t>https://images.evo.com/imgp/250/208393/833073/clone.jpg</t>
        </is>
      </c>
    </row>
    <row r="542" ht="15.6" customHeight="1" s="184">
      <c r="B542" s="303">
        <f t="array" ref="B542">IF(OR(ISERROR(K542:P542)),FALSE,TRUE)</f>
        <v/>
      </c>
      <c r="C542" s="60">
        <f>OR(BR542=Driver!$G$50,Data!BR194=Driver!$H$50)</f>
        <v/>
      </c>
      <c r="D542" s="60">
        <f>OR(BV542=Driver!$G$51,BV542=Driver!$H$51)</f>
        <v/>
      </c>
      <c r="E542" s="60">
        <f>AND(BX542&gt;Driver!$F$54,BX542&lt;Driver!$G$54)</f>
        <v/>
      </c>
      <c r="F542" s="60">
        <f>CL542&gt;Driver!$F$56</f>
        <v/>
      </c>
      <c r="G542" s="60">
        <f>AND(CB542&gt;Driver!$F$55,CB542&lt;Driver!$G$55)</f>
        <v/>
      </c>
      <c r="H542" s="60">
        <f>AND(B542:G542)</f>
        <v/>
      </c>
      <c r="I542" s="60">
        <f>COUNTIFS($H$9:$H$1273,TRUE,$BT$9:$BT$1273,BT542)</f>
        <v/>
      </c>
      <c r="J542" s="60">
        <f t="array" ref="J542">NOT(OR(($H$9:$H$1273=TRUE)*($I$9:$I$1273&gt;0)*($BT$9:$BT$1273=BT542)*($K$9:$K$1273&gt;K542)))</f>
        <v/>
      </c>
      <c r="K542" s="108">
        <f>IFERROR(1-AVERAGE(X542:Y542),"")</f>
        <v/>
      </c>
      <c r="L542" s="108">
        <f>1-X542</f>
        <v/>
      </c>
      <c r="M542" s="108">
        <f>1-Y542</f>
        <v/>
      </c>
      <c r="N542" s="108">
        <f>1-Z542</f>
        <v/>
      </c>
      <c r="O542" s="108">
        <f>1-AA542</f>
        <v/>
      </c>
      <c r="P542" s="108">
        <f>1-AB542</f>
        <v/>
      </c>
      <c r="Q542" s="108" t="n"/>
      <c r="R542" s="108" t="n"/>
      <c r="S542" s="108">
        <f>1-AE542</f>
        <v/>
      </c>
      <c r="T542" s="108">
        <f>1-AF542</f>
        <v/>
      </c>
      <c r="U542" s="108">
        <f>1-AG542</f>
        <v/>
      </c>
      <c r="V542" s="108">
        <f>1-AH542</f>
        <v/>
      </c>
      <c r="W542" s="108">
        <f>1-AI542</f>
        <v/>
      </c>
      <c r="X542" s="108">
        <f>ABS(AJ542-AJ$1)</f>
        <v/>
      </c>
      <c r="Y542" s="108">
        <f>AVERAGE(Z542:AB542)</f>
        <v/>
      </c>
      <c r="Z542" s="108">
        <f>ABS(AL542-AL$1)</f>
        <v/>
      </c>
      <c r="AA542" s="108">
        <f>ABS(AM542-AM$1)</f>
        <v/>
      </c>
      <c r="AB542" s="108">
        <f>ABS(AN542-AN$1)</f>
        <v/>
      </c>
      <c r="AC542" s="108" t="n"/>
      <c r="AD542" s="108" t="n"/>
      <c r="AE542" s="108">
        <f>ABS(AQ$1-AQ542)</f>
        <v/>
      </c>
      <c r="AF542" s="108">
        <f>ABS(AR$1-AR542)</f>
        <v/>
      </c>
      <c r="AG542" s="108">
        <f>ABS(AS$1-AS542)</f>
        <v/>
      </c>
      <c r="AH542" s="108">
        <f>ABS(AT$1-AT542)</f>
        <v/>
      </c>
      <c r="AI542" s="108">
        <f>ABS(AU$1-AU542)</f>
        <v/>
      </c>
      <c r="AJ542" s="108">
        <f>(AV542-Driver!$K$179)/(Driver!$L$179-Driver!$K$179)</f>
        <v/>
      </c>
      <c r="AK542" s="108">
        <f>(AW542-Driver!$K$180)/(Driver!$L$180-Driver!$K$180)</f>
        <v/>
      </c>
      <c r="AL542" s="108">
        <f>(AX542-Driver!$K$181)/(Driver!$L$181-Driver!$K$181)</f>
        <v/>
      </c>
      <c r="AM542" s="108">
        <f>(AY542-Driver!$K$182)/(Driver!$L$182-Driver!$K$182)</f>
        <v/>
      </c>
      <c r="AN542" s="108">
        <f>(AZ542-Driver!$K$183)/(Driver!$L$183-Driver!$K$183)</f>
        <v/>
      </c>
      <c r="AO542" s="108" t="n"/>
      <c r="AP542" s="108" t="n"/>
      <c r="AQ542" s="108">
        <f>(BC542-Driver!$K$188)/(Driver!$L$188-Driver!$K$188)</f>
        <v/>
      </c>
      <c r="AR542" s="108">
        <f>MIN((BD542-Driver!$K$189)/(Driver!$L$189-Driver!$K$189),100%)</f>
        <v/>
      </c>
      <c r="AS542" s="108">
        <f>(BE542-Driver!$K$190)/(Driver!$L$190-Driver!$K$190)</f>
        <v/>
      </c>
      <c r="AT542" s="108">
        <f>(BF542-Driver!$K$191)/(Driver!$L$191-Driver!$K$191)</f>
        <v/>
      </c>
      <c r="AU542" s="108">
        <f>(BG542-Driver!$K$192)/(Driver!$L$192-Driver!$K$192)</f>
        <v/>
      </c>
      <c r="AV542" s="105">
        <f>IFERROR(BM542*BJ542^1/4,"")</f>
        <v/>
      </c>
      <c r="AW542" s="105">
        <f>IFERROR(SUM(AX542:AZ542),"")</f>
        <v/>
      </c>
      <c r="AX542" s="105">
        <f>IFERROR(BH542,"")</f>
        <v/>
      </c>
      <c r="AY542" s="105">
        <f>IFERROR(Driver!$K$19/Data!BH542/Data!BI542*Data!BK542*Data!BL542,"")</f>
        <v/>
      </c>
      <c r="AZ542" s="105">
        <f>IFERROR(BI542*BN542,"")</f>
        <v/>
      </c>
      <c r="BA542" s="105" t="n"/>
      <c r="BB542" s="105" t="n"/>
      <c r="BC542" s="105">
        <f>IFERROR(BI542*BN542*BK542/BJ542^(1/2),"")</f>
        <v/>
      </c>
      <c r="BD542" s="105">
        <f>IFERROR(BH542*BM542*BL542/BJ542/BK542,"")</f>
        <v/>
      </c>
      <c r="BE542" s="105">
        <f>IFERROR(MIN(BI542/BQ542/BP542/BO542/BH542,$BE$1),"")</f>
        <v/>
      </c>
      <c r="BF542" s="105">
        <f>IFERROR(BJ542*BO542*BP542/BK542,"")</f>
        <v/>
      </c>
      <c r="BG542" s="105">
        <f>IFERROR(1/BM542/BH542*BQ542,"")</f>
        <v/>
      </c>
      <c r="BH542" s="102">
        <f>MAX((CE542-Driver!$F$200)/(Driver!$G$200-Driver!$F$200)*$BI$1,1)</f>
        <v/>
      </c>
      <c r="BI542" s="102">
        <f>MAX($BI$1*(BY542-Driver!$F$201)/(Driver!$G$201-Driver!$F$201),1)</f>
        <v/>
      </c>
      <c r="BJ542" s="102">
        <f>(CB542-Driver!$F$206)/(Driver!$G$206-Driver!$F$206)*$BI$1</f>
        <v/>
      </c>
      <c r="BK542" s="102">
        <f>(CD542-Driver!$F$203)/(Driver!$G$203-Driver!$F$203)*$BI$1</f>
        <v/>
      </c>
      <c r="BL542" s="102">
        <f>MAX((CR542-Driver!$F$202)/(Driver!$G$202-Driver!$F$202)*$BI$1,1)</f>
        <v/>
      </c>
      <c r="BM542" s="102">
        <f>MAX((CH542-Driver!$F$204)/(Driver!$G$204-Driver!$F$204)*$BI$1,1)</f>
        <v/>
      </c>
      <c r="BN542" s="102">
        <f>(CI542-Driver!$F$205)/(Driver!$G$205-Driver!$F$205)*$BI$1</f>
        <v/>
      </c>
      <c r="BO542" s="102">
        <f>(CK542-Driver!$F$207)/(Driver!$G$207-Driver!$F$207)*$BI$1</f>
        <v/>
      </c>
      <c r="BP542" s="102">
        <f>(CM542-Driver!$F$208)/(Driver!$G$208-Driver!$F$208)*$BI$1</f>
        <v/>
      </c>
      <c r="BQ542" s="102">
        <f>(CL542-Driver!$F$209)/(Driver!$G$209-Driver!$F$209)*$BI$1</f>
        <v/>
      </c>
      <c r="BR542" s="40" t="inlineStr">
        <is>
          <t>21/22</t>
        </is>
      </c>
      <c r="BS542" s="10" t="inlineStr">
        <is>
          <t xml:space="preserve"> Atomic</t>
        </is>
      </c>
      <c r="BT542" s="11" t="inlineStr">
        <is>
          <t>Vantage 82 Ti</t>
        </is>
      </c>
      <c r="BU542" s="13" t="n">
        <v>159</v>
      </c>
      <c r="BV542" s="11" t="inlineStr">
        <is>
          <t xml:space="preserve"> Unisex</t>
        </is>
      </c>
      <c r="BW542" s="13" t="n">
        <v>159</v>
      </c>
      <c r="BX542" s="13" t="n">
        <v>158.4</v>
      </c>
      <c r="BY542" s="13" t="n">
        <v>130</v>
      </c>
      <c r="BZ542" s="13" t="n">
        <v>143</v>
      </c>
      <c r="CA542" s="13" t="n">
        <v>118</v>
      </c>
      <c r="CB542" s="13" t="n">
        <v>79</v>
      </c>
      <c r="CC542" s="13" t="n">
        <v>104</v>
      </c>
      <c r="CD542" s="13" t="n">
        <v>14.8</v>
      </c>
      <c r="CE542" s="13" t="n">
        <v>1506</v>
      </c>
      <c r="CF542" s="13" t="n">
        <v>0.97</v>
      </c>
      <c r="CG542" s="13" t="n">
        <v>1456</v>
      </c>
      <c r="CH542" s="13" t="n">
        <v>184</v>
      </c>
      <c r="CI542" s="13" t="n">
        <v>75</v>
      </c>
      <c r="CJ542" s="13" t="n">
        <v>45</v>
      </c>
      <c r="CK542" s="13" t="n">
        <v>199</v>
      </c>
      <c r="CL542" s="13" t="n">
        <v>6</v>
      </c>
      <c r="CM542" s="13" t="n">
        <v>89</v>
      </c>
      <c r="CN542" s="13" t="n">
        <v>0.132</v>
      </c>
      <c r="CO542" s="13" t="n">
        <v>86</v>
      </c>
      <c r="CP542" s="13" t="n">
        <v>69</v>
      </c>
      <c r="CQ542" s="13" t="n">
        <v>113</v>
      </c>
      <c r="CR542" s="13" t="n">
        <v>5</v>
      </c>
      <c r="CS542" s="13" t="n">
        <v>11</v>
      </c>
      <c r="CT542" s="11" t="inlineStr">
        <is>
          <t xml:space="preserve"> On-Piste Carving</t>
        </is>
      </c>
      <c r="CU542" s="13" t="n"/>
      <c r="CV542" s="13" t="n"/>
      <c r="CW542" s="13" t="n"/>
      <c r="CX542">
        <f>INDEX('Data_Price '!AG$2:AG$1266,MATCH(Data!$DN542,'Data_Price '!$AT$2:$AT$1266,0))</f>
        <v/>
      </c>
      <c r="CY542">
        <f>INDEX('Data_Price '!AH$2:AH$1266,MATCH(Data!$DN542,'Data_Price '!$AT$2:$AT$1266,0))</f>
        <v/>
      </c>
      <c r="CZ542">
        <f>INDEX('Data_Price '!AI$2:AI$1266,MATCH(Data!$DN542,'Data_Price '!$AT$2:$AT$1266,0))</f>
        <v/>
      </c>
      <c r="DA542">
        <f>INDEX('Data_Price '!AJ$2:AJ$1266,MATCH(Data!$DN542,'Data_Price '!$AT$2:$AT$1266,0))</f>
        <v/>
      </c>
      <c r="DB542">
        <f>INDEX('Data_Price '!AK$2:AK$1266,MATCH(Data!$DN542,'Data_Price '!$AT$2:$AT$1266,0))</f>
        <v/>
      </c>
      <c r="DC542">
        <f>INDEX('Data_Price '!AL$2:AL$1266,MATCH(Data!$DN542,'Data_Price '!$AT$2:$AT$1266,0))</f>
        <v/>
      </c>
      <c r="DD542">
        <f>INDEX('Data_Price '!AM$2:AM$1266,MATCH(Data!$DN542,'Data_Price '!$AT$2:$AT$1266,0))</f>
        <v/>
      </c>
      <c r="DE542">
        <f>INDEX('Data_Price '!AN$2:AN$1266,MATCH(Data!$DN542,'Data_Price '!$AT$2:$AT$1266,0))</f>
        <v/>
      </c>
      <c r="DF542">
        <f>INDEX('Data_Price '!AO$2:AO$1266,MATCH(Data!$DN542,'Data_Price '!$AT$2:$AT$1266,0))</f>
        <v/>
      </c>
      <c r="DG542">
        <f>INDEX('Data_Price '!AP$2:AP$1266,MATCH(Data!$DN542,'Data_Price '!$AT$2:$AT$1266,0))</f>
        <v/>
      </c>
      <c r="DH542">
        <f>INDEX('Data_Price '!AQ$2:AQ$1266,MATCH(Data!$DN542,'Data_Price '!$AT$2:$AT$1266,0))</f>
        <v/>
      </c>
      <c r="DI542">
        <f>INDEX('Data_Price '!AR$2:AR$1266,MATCH(Data!$DN542,'Data_Price '!$AT$2:$AT$1266,0))</f>
        <v/>
      </c>
      <c r="DJ542" s="138">
        <f>DA542</f>
        <v/>
      </c>
      <c r="DK542" s="138">
        <f>DE542</f>
        <v/>
      </c>
      <c r="DL542" s="138">
        <f>DI542</f>
        <v/>
      </c>
      <c r="DM542" s="303">
        <f>IF(LEFT(BT542,1)=" ",RIGHT(BT542,LEN(BT542)-1),BT542)</f>
        <v/>
      </c>
      <c r="DN542" s="138">
        <f>_xlfn.CONCAT(BS542,DM542,BU542,BV542)</f>
        <v/>
      </c>
      <c r="DO542" s="307" t="n"/>
    </row>
    <row r="543" ht="15.6" customHeight="1" s="184">
      <c r="B543" s="303">
        <f t="array" ref="B543">IF(OR(ISERROR(K543:P543)),FALSE,TRUE)</f>
        <v/>
      </c>
      <c r="C543" s="60">
        <f>OR(BR543=Driver!$G$50,Data!BR411=Driver!$H$50)</f>
        <v/>
      </c>
      <c r="D543" s="60">
        <f>OR(BV543=Driver!$G$51,BV543=Driver!$H$51)</f>
        <v/>
      </c>
      <c r="E543" s="60">
        <f>AND(BX543&gt;Driver!$F$54,BX543&lt;Driver!$G$54)</f>
        <v/>
      </c>
      <c r="F543" s="60">
        <f>CL543&gt;Driver!$F$56</f>
        <v/>
      </c>
      <c r="G543" s="60">
        <f>AND(CB543&gt;Driver!$F$55,CB543&lt;Driver!$G$55)</f>
        <v/>
      </c>
      <c r="H543" s="60">
        <f>AND(B543:G543)</f>
        <v/>
      </c>
      <c r="I543" s="60">
        <f>COUNTIFS($H$9:$H$1273,TRUE,$BT$9:$BT$1273,BT543)</f>
        <v/>
      </c>
      <c r="J543" s="60">
        <f t="array" ref="J543">NOT(OR(($H$9:$H$1273=TRUE)*($I$9:$I$1273&gt;0)*($BT$9:$BT$1273=BT543)*($K$9:$K$1273&gt;K543)))</f>
        <v/>
      </c>
      <c r="K543" s="108">
        <f>IFERROR(1-AVERAGE(X543:Y543),"")</f>
        <v/>
      </c>
      <c r="L543" s="108">
        <f>1-X543</f>
        <v/>
      </c>
      <c r="M543" s="108">
        <f>1-Y543</f>
        <v/>
      </c>
      <c r="N543" s="108">
        <f>1-Z543</f>
        <v/>
      </c>
      <c r="O543" s="108">
        <f>1-AA543</f>
        <v/>
      </c>
      <c r="P543" s="108">
        <f>1-AB543</f>
        <v/>
      </c>
      <c r="Q543" s="108" t="n"/>
      <c r="R543" s="108" t="n"/>
      <c r="S543" s="108">
        <f>1-AE543</f>
        <v/>
      </c>
      <c r="T543" s="108">
        <f>1-AF543</f>
        <v/>
      </c>
      <c r="U543" s="108">
        <f>1-AG543</f>
        <v/>
      </c>
      <c r="V543" s="108">
        <f>1-AH543</f>
        <v/>
      </c>
      <c r="W543" s="108">
        <f>1-AI543</f>
        <v/>
      </c>
      <c r="X543" s="108">
        <f>ABS(AJ543-AJ$1)</f>
        <v/>
      </c>
      <c r="Y543" s="108">
        <f>AVERAGE(Z543:AB543)</f>
        <v/>
      </c>
      <c r="Z543" s="108">
        <f>ABS(AL543-AL$1)</f>
        <v/>
      </c>
      <c r="AA543" s="108">
        <f>ABS(AM543-AM$1)</f>
        <v/>
      </c>
      <c r="AB543" s="108">
        <f>ABS(AN543-AN$1)</f>
        <v/>
      </c>
      <c r="AC543" s="108" t="n"/>
      <c r="AD543" s="108" t="n"/>
      <c r="AE543" s="108">
        <f>ABS(AQ$1-AQ543)</f>
        <v/>
      </c>
      <c r="AF543" s="108">
        <f>ABS(AR$1-AR543)</f>
        <v/>
      </c>
      <c r="AG543" s="108">
        <f>ABS(AS$1-AS543)</f>
        <v/>
      </c>
      <c r="AH543" s="108">
        <f>ABS(AT$1-AT543)</f>
        <v/>
      </c>
      <c r="AI543" s="108">
        <f>ABS(AU$1-AU543)</f>
        <v/>
      </c>
      <c r="AJ543" s="108">
        <f>(AV543-Driver!$K$179)/(Driver!$L$179-Driver!$K$179)</f>
        <v/>
      </c>
      <c r="AK543" s="108">
        <f>(AW543-Driver!$K$180)/(Driver!$L$180-Driver!$K$180)</f>
        <v/>
      </c>
      <c r="AL543" s="108">
        <f>(AX543-Driver!$K$181)/(Driver!$L$181-Driver!$K$181)</f>
        <v/>
      </c>
      <c r="AM543" s="108">
        <f>(AY543-Driver!$K$182)/(Driver!$L$182-Driver!$K$182)</f>
        <v/>
      </c>
      <c r="AN543" s="108">
        <f>(AZ543-Driver!$K$183)/(Driver!$L$183-Driver!$K$183)</f>
        <v/>
      </c>
      <c r="AO543" s="108" t="n"/>
      <c r="AP543" s="108" t="n"/>
      <c r="AQ543" s="108">
        <f>(BC543-Driver!$K$188)/(Driver!$L$188-Driver!$K$188)</f>
        <v/>
      </c>
      <c r="AR543" s="108">
        <f>MIN((BD543-Driver!$K$189)/(Driver!$L$189-Driver!$K$189),100%)</f>
        <v/>
      </c>
      <c r="AS543" s="108">
        <f>(BE543-Driver!$K$190)/(Driver!$L$190-Driver!$K$190)</f>
        <v/>
      </c>
      <c r="AT543" s="108">
        <f>(BF543-Driver!$K$191)/(Driver!$L$191-Driver!$K$191)</f>
        <v/>
      </c>
      <c r="AU543" s="108">
        <f>(BG543-Driver!$K$192)/(Driver!$L$192-Driver!$K$192)</f>
        <v/>
      </c>
      <c r="AV543" s="105">
        <f>IFERROR(BM543*BJ543^1/4,"")</f>
        <v/>
      </c>
      <c r="AW543" s="105">
        <f>IFERROR(SUM(AX543:AZ543),"")</f>
        <v/>
      </c>
      <c r="AX543" s="105">
        <f>IFERROR(BH543,"")</f>
        <v/>
      </c>
      <c r="AY543" s="105">
        <f>IFERROR(Driver!$K$19/Data!BH543/Data!BI543*Data!BK543*Data!BL543,"")</f>
        <v/>
      </c>
      <c r="AZ543" s="105">
        <f>IFERROR(BI543*BN543,"")</f>
        <v/>
      </c>
      <c r="BA543" s="105" t="n"/>
      <c r="BB543" s="105" t="n"/>
      <c r="BC543" s="105">
        <f>IFERROR(BI543*BN543*BK543/BJ543^(1/2),"")</f>
        <v/>
      </c>
      <c r="BD543" s="105">
        <f>IFERROR(BH543*BM543*BL543/BJ543/BK543,"")</f>
        <v/>
      </c>
      <c r="BE543" s="105">
        <f>IFERROR(MIN(BI543/BQ543/BP543/BO543/BH543,$BE$1),"")</f>
        <v/>
      </c>
      <c r="BF543" s="105">
        <f>IFERROR(BJ543*BO543*BP543/BK543,"")</f>
        <v/>
      </c>
      <c r="BG543" s="105">
        <f>IFERROR(1/BM543/BH543*BQ543,"")</f>
        <v/>
      </c>
      <c r="BH543" s="102">
        <f>MAX((CE543-Driver!$F$200)/(Driver!$G$200-Driver!$F$200)*$BI$1,1)</f>
        <v/>
      </c>
      <c r="BI543" s="102">
        <f>MAX($BI$1*(BY543-Driver!$F$201)/(Driver!$G$201-Driver!$F$201),1)</f>
        <v/>
      </c>
      <c r="BJ543" s="102">
        <f>(CB543-Driver!$F$206)/(Driver!$G$206-Driver!$F$206)*$BI$1</f>
        <v/>
      </c>
      <c r="BK543" s="102">
        <f>(CD543-Driver!$F$203)/(Driver!$G$203-Driver!$F$203)*$BI$1</f>
        <v/>
      </c>
      <c r="BL543" s="102">
        <f>MAX((CR543-Driver!$F$202)/(Driver!$G$202-Driver!$F$202)*$BI$1,1)</f>
        <v/>
      </c>
      <c r="BM543" s="102">
        <f>MAX((CH543-Driver!$F$204)/(Driver!$G$204-Driver!$F$204)*$BI$1,1)</f>
        <v/>
      </c>
      <c r="BN543" s="102">
        <f>(CI543-Driver!$F$205)/(Driver!$G$205-Driver!$F$205)*$BI$1</f>
        <v/>
      </c>
      <c r="BO543" s="102">
        <f>(CK543-Driver!$F$207)/(Driver!$G$207-Driver!$F$207)*$BI$1</f>
        <v/>
      </c>
      <c r="BP543" s="102">
        <f>(CM543-Driver!$F$208)/(Driver!$G$208-Driver!$F$208)*$BI$1</f>
        <v/>
      </c>
      <c r="BQ543" s="102">
        <f>(CL543-Driver!$F$209)/(Driver!$G$209-Driver!$F$209)*$BI$1</f>
        <v/>
      </c>
      <c r="BR543" s="40" t="inlineStr">
        <is>
          <t>21/22</t>
        </is>
      </c>
      <c r="BS543" s="10" t="inlineStr">
        <is>
          <t xml:space="preserve"> Dynastar</t>
        </is>
      </c>
      <c r="BT543" s="11" t="inlineStr">
        <is>
          <t>M-Tour 87 Ca</t>
        </is>
      </c>
      <c r="BU543" s="13" t="n">
        <v>179</v>
      </c>
      <c r="BV543" s="11" t="inlineStr">
        <is>
          <t xml:space="preserve"> Unisex</t>
        </is>
      </c>
      <c r="BW543" s="13" t="n">
        <v>179</v>
      </c>
      <c r="BX543" s="13" t="n">
        <v>176.4</v>
      </c>
      <c r="BY543" s="13" t="n">
        <v>138</v>
      </c>
      <c r="BZ543" s="13" t="n">
        <v>132</v>
      </c>
      <c r="CA543" s="13" t="n">
        <v>127</v>
      </c>
      <c r="CB543" s="13" t="n">
        <v>86</v>
      </c>
      <c r="CC543" s="13" t="n">
        <v>102</v>
      </c>
      <c r="CD543" s="13" t="n">
        <v>15.4</v>
      </c>
      <c r="CE543" s="13" t="n">
        <v>1272</v>
      </c>
      <c r="CF543" s="13" t="n">
        <v>1.36</v>
      </c>
      <c r="CG543" s="13" t="n">
        <v>1734</v>
      </c>
      <c r="CH543" s="13" t="n">
        <v>236</v>
      </c>
      <c r="CI543" s="13" t="n">
        <v>74</v>
      </c>
      <c r="CJ543" s="13" t="n">
        <v>72</v>
      </c>
      <c r="CK543" s="13" t="n">
        <v>339</v>
      </c>
      <c r="CL543" s="13" t="n">
        <v>5</v>
      </c>
      <c r="CM543" s="13" t="n">
        <v>49</v>
      </c>
      <c r="CN543" s="13" t="n">
        <v>0.068</v>
      </c>
      <c r="CO543" s="13" t="n">
        <v>208</v>
      </c>
      <c r="CP543" s="13" t="n">
        <v>232</v>
      </c>
      <c r="CQ543" s="13" t="n">
        <v>131</v>
      </c>
      <c r="CR543" s="13" t="n">
        <v>6</v>
      </c>
      <c r="CS543" s="13" t="n">
        <v>12.9</v>
      </c>
      <c r="CT543" s="11" t="inlineStr">
        <is>
          <t xml:space="preserve"> Touring</t>
        </is>
      </c>
      <c r="CU543" s="11" t="inlineStr">
        <is>
          <t xml:space="preserve"> Ultralight Touring</t>
        </is>
      </c>
      <c r="CV543" s="13" t="n"/>
      <c r="CW543" s="13" t="n"/>
      <c r="CX543">
        <f>INDEX('Data_Price '!AG$2:AG$1266,MATCH(Data!$DN543,'Data_Price '!$AT$2:$AT$1266,0))</f>
        <v/>
      </c>
      <c r="CY543">
        <f>INDEX('Data_Price '!AH$2:AH$1266,MATCH(Data!$DN543,'Data_Price '!$AT$2:$AT$1266,0))</f>
        <v/>
      </c>
      <c r="CZ543">
        <f>INDEX('Data_Price '!AI$2:AI$1266,MATCH(Data!$DN543,'Data_Price '!$AT$2:$AT$1266,0))</f>
        <v/>
      </c>
      <c r="DA543">
        <f>INDEX('Data_Price '!AJ$2:AJ$1266,MATCH(Data!$DN543,'Data_Price '!$AT$2:$AT$1266,0))</f>
        <v/>
      </c>
      <c r="DB543">
        <f>INDEX('Data_Price '!AK$2:AK$1266,MATCH(Data!$DN543,'Data_Price '!$AT$2:$AT$1266,0))</f>
        <v/>
      </c>
      <c r="DC543">
        <f>INDEX('Data_Price '!AL$2:AL$1266,MATCH(Data!$DN543,'Data_Price '!$AT$2:$AT$1266,0))</f>
        <v/>
      </c>
      <c r="DD543">
        <f>INDEX('Data_Price '!AM$2:AM$1266,MATCH(Data!$DN543,'Data_Price '!$AT$2:$AT$1266,0))</f>
        <v/>
      </c>
      <c r="DE543">
        <f>INDEX('Data_Price '!AN$2:AN$1266,MATCH(Data!$DN543,'Data_Price '!$AT$2:$AT$1266,0))</f>
        <v/>
      </c>
      <c r="DF543">
        <f>INDEX('Data_Price '!AO$2:AO$1266,MATCH(Data!$DN543,'Data_Price '!$AT$2:$AT$1266,0))</f>
        <v/>
      </c>
      <c r="DG543">
        <f>INDEX('Data_Price '!AP$2:AP$1266,MATCH(Data!$DN543,'Data_Price '!$AT$2:$AT$1266,0))</f>
        <v/>
      </c>
      <c r="DH543">
        <f>INDEX('Data_Price '!AQ$2:AQ$1266,MATCH(Data!$DN543,'Data_Price '!$AT$2:$AT$1266,0))</f>
        <v/>
      </c>
      <c r="DI543">
        <f>INDEX('Data_Price '!AR$2:AR$1266,MATCH(Data!$DN543,'Data_Price '!$AT$2:$AT$1266,0))</f>
        <v/>
      </c>
      <c r="DJ543" s="138">
        <f>DA543</f>
        <v/>
      </c>
      <c r="DK543" s="138">
        <f>DE543</f>
        <v/>
      </c>
      <c r="DL543" s="138">
        <f>DI543</f>
        <v/>
      </c>
      <c r="DM543" s="303">
        <f>IF(LEFT(BT543,1)=" ",RIGHT(BT543,LEN(BT543)-1),BT543)</f>
        <v/>
      </c>
      <c r="DN543" s="138">
        <f>_xlfn.CONCAT(BS543,DM543,BU543,BV543)</f>
        <v/>
      </c>
      <c r="DO543" s="307" t="n"/>
    </row>
    <row r="544" ht="15.6" customHeight="1" s="184">
      <c r="B544" s="303">
        <f t="array" ref="B544">IF(OR(ISERROR(K544:P544)),FALSE,TRUE)</f>
        <v/>
      </c>
      <c r="C544" s="60">
        <f>OR(BR544=Driver!$G$50,Data!BR925=Driver!$H$50)</f>
        <v/>
      </c>
      <c r="D544" s="60">
        <f>OR(BV544=Driver!$G$51,BV544=Driver!$H$51)</f>
        <v/>
      </c>
      <c r="E544" s="60">
        <f>AND(BX544&gt;Driver!$F$54,BX544&lt;Driver!$G$54)</f>
        <v/>
      </c>
      <c r="F544" s="60">
        <f>CL544&gt;Driver!$F$56</f>
        <v/>
      </c>
      <c r="G544" s="60">
        <f>AND(CB544&gt;Driver!$F$55,CB544&lt;Driver!$G$55)</f>
        <v/>
      </c>
      <c r="H544" s="60">
        <f>AND(B544:G544)</f>
        <v/>
      </c>
      <c r="I544" s="60">
        <f>COUNTIFS($H$9:$H$1273,TRUE,$BT$9:$BT$1273,BT544)</f>
        <v/>
      </c>
      <c r="J544" s="60">
        <f t="array" ref="J544">NOT(OR(($H$9:$H$1273=TRUE)*($I$9:$I$1273&gt;0)*($BT$9:$BT$1273=BT544)*($K$9:$K$1273&gt;K544)))</f>
        <v/>
      </c>
      <c r="K544" s="108">
        <f>IFERROR(1-AVERAGE(X544:Y544),"")</f>
        <v/>
      </c>
      <c r="L544" s="108">
        <f>1-X544</f>
        <v/>
      </c>
      <c r="M544" s="108">
        <f>1-Y544</f>
        <v/>
      </c>
      <c r="N544" s="108">
        <f>1-Z544</f>
        <v/>
      </c>
      <c r="O544" s="108">
        <f>1-AA544</f>
        <v/>
      </c>
      <c r="P544" s="108">
        <f>1-AB544</f>
        <v/>
      </c>
      <c r="Q544" s="108" t="n"/>
      <c r="R544" s="108" t="n"/>
      <c r="S544" s="108">
        <f>1-AE544</f>
        <v/>
      </c>
      <c r="T544" s="108">
        <f>1-AF544</f>
        <v/>
      </c>
      <c r="U544" s="108">
        <f>1-AG544</f>
        <v/>
      </c>
      <c r="V544" s="108">
        <f>1-AH544</f>
        <v/>
      </c>
      <c r="W544" s="108">
        <f>1-AI544</f>
        <v/>
      </c>
      <c r="X544" s="108">
        <f>ABS(AJ544-AJ$1)</f>
        <v/>
      </c>
      <c r="Y544" s="108">
        <f>AVERAGE(Z544:AB544)</f>
        <v/>
      </c>
      <c r="Z544" s="108">
        <f>ABS(AL544-AL$1)</f>
        <v/>
      </c>
      <c r="AA544" s="108">
        <f>ABS(AM544-AM$1)</f>
        <v/>
      </c>
      <c r="AB544" s="108">
        <f>ABS(AN544-AN$1)</f>
        <v/>
      </c>
      <c r="AC544" s="108" t="n"/>
      <c r="AD544" s="108" t="n"/>
      <c r="AE544" s="108">
        <f>ABS(AQ$1-AQ544)</f>
        <v/>
      </c>
      <c r="AF544" s="108">
        <f>ABS(AR$1-AR544)</f>
        <v/>
      </c>
      <c r="AG544" s="108">
        <f>ABS(AS$1-AS544)</f>
        <v/>
      </c>
      <c r="AH544" s="108">
        <f>ABS(AT$1-AT544)</f>
        <v/>
      </c>
      <c r="AI544" s="108">
        <f>ABS(AU$1-AU544)</f>
        <v/>
      </c>
      <c r="AJ544" s="108">
        <f>(AV544-Driver!$K$179)/(Driver!$L$179-Driver!$K$179)</f>
        <v/>
      </c>
      <c r="AK544" s="108">
        <f>(AW544-Driver!$K$180)/(Driver!$L$180-Driver!$K$180)</f>
        <v/>
      </c>
      <c r="AL544" s="108">
        <f>(AX544-Driver!$K$181)/(Driver!$L$181-Driver!$K$181)</f>
        <v/>
      </c>
      <c r="AM544" s="108">
        <f>(AY544-Driver!$K$182)/(Driver!$L$182-Driver!$K$182)</f>
        <v/>
      </c>
      <c r="AN544" s="108">
        <f>(AZ544-Driver!$K$183)/(Driver!$L$183-Driver!$K$183)</f>
        <v/>
      </c>
      <c r="AO544" s="108" t="n"/>
      <c r="AP544" s="108" t="n"/>
      <c r="AQ544" s="108">
        <f>(BC544-Driver!$K$188)/(Driver!$L$188-Driver!$K$188)</f>
        <v/>
      </c>
      <c r="AR544" s="108">
        <f>MIN((BD544-Driver!$K$189)/(Driver!$L$189-Driver!$K$189),100%)</f>
        <v/>
      </c>
      <c r="AS544" s="108">
        <f>(BE544-Driver!$K$190)/(Driver!$L$190-Driver!$K$190)</f>
        <v/>
      </c>
      <c r="AT544" s="108">
        <f>(BF544-Driver!$K$191)/(Driver!$L$191-Driver!$K$191)</f>
        <v/>
      </c>
      <c r="AU544" s="108">
        <f>(BG544-Driver!$K$192)/(Driver!$L$192-Driver!$K$192)</f>
        <v/>
      </c>
      <c r="AV544" s="105">
        <f>IFERROR(BM544*BJ544^1/4,"")</f>
        <v/>
      </c>
      <c r="AW544" s="105">
        <f>IFERROR(SUM(AX544:AZ544),"")</f>
        <v/>
      </c>
      <c r="AX544" s="105">
        <f>IFERROR(BH544,"")</f>
        <v/>
      </c>
      <c r="AY544" s="105">
        <f>IFERROR(Driver!$K$19/Data!BH544/Data!BI544*Data!BK544*Data!BL544,"")</f>
        <v/>
      </c>
      <c r="AZ544" s="105">
        <f>IFERROR(BI544*BN544,"")</f>
        <v/>
      </c>
      <c r="BA544" s="105" t="n"/>
      <c r="BB544" s="105" t="n"/>
      <c r="BC544" s="105">
        <f>IFERROR(BI544*BN544*BK544/BJ544^(1/2),"")</f>
        <v/>
      </c>
      <c r="BD544" s="105">
        <f>IFERROR(BH544*BM544*BL544/BJ544/BK544,"")</f>
        <v/>
      </c>
      <c r="BE544" s="105">
        <f>IFERROR(MIN(BI544/BQ544/BP544/BO544/BH544,$BE$1),"")</f>
        <v/>
      </c>
      <c r="BF544" s="105">
        <f>IFERROR(BJ544*BO544*BP544/BK544,"")</f>
        <v/>
      </c>
      <c r="BG544" s="105">
        <f>IFERROR(1/BM544/BH544*BQ544,"")</f>
        <v/>
      </c>
      <c r="BH544" s="102">
        <f>MAX((CE544-Driver!$F$200)/(Driver!$G$200-Driver!$F$200)*$BI$1,1)</f>
        <v/>
      </c>
      <c r="BI544" s="102">
        <f>MAX($BI$1*(BY544-Driver!$F$201)/(Driver!$G$201-Driver!$F$201),1)</f>
        <v/>
      </c>
      <c r="BJ544" s="102">
        <f>(CB544-Driver!$F$206)/(Driver!$G$206-Driver!$F$206)*$BI$1</f>
        <v/>
      </c>
      <c r="BK544" s="102">
        <f>(CD544-Driver!$F$203)/(Driver!$G$203-Driver!$F$203)*$BI$1</f>
        <v/>
      </c>
      <c r="BL544" s="102">
        <f>MAX((CR544-Driver!$F$202)/(Driver!$G$202-Driver!$F$202)*$BI$1,1)</f>
        <v/>
      </c>
      <c r="BM544" s="102">
        <f>MAX((CH544-Driver!$F$204)/(Driver!$G$204-Driver!$F$204)*$BI$1,1)</f>
        <v/>
      </c>
      <c r="BN544" s="102">
        <f>(CI544-Driver!$F$205)/(Driver!$G$205-Driver!$F$205)*$BI$1</f>
        <v/>
      </c>
      <c r="BO544" s="102">
        <f>(CK544-Driver!$F$207)/(Driver!$G$207-Driver!$F$207)*$BI$1</f>
        <v/>
      </c>
      <c r="BP544" s="102">
        <f>(CM544-Driver!$F$208)/(Driver!$G$208-Driver!$F$208)*$BI$1</f>
        <v/>
      </c>
      <c r="BQ544" s="102">
        <f>(CL544-Driver!$F$209)/(Driver!$G$209-Driver!$F$209)*$BI$1</f>
        <v/>
      </c>
      <c r="BR544" s="40" t="inlineStr">
        <is>
          <t>21/22</t>
        </is>
      </c>
      <c r="BS544" s="10" t="inlineStr">
        <is>
          <t xml:space="preserve"> Nordica</t>
        </is>
      </c>
      <c r="BT544" s="11" t="inlineStr">
        <is>
          <t>Santa Ana 93</t>
        </is>
      </c>
      <c r="BU544" s="13" t="n">
        <v>151</v>
      </c>
      <c r="BV544" s="11" t="inlineStr">
        <is>
          <t xml:space="preserve"> Women's</t>
        </is>
      </c>
      <c r="BW544" s="13" t="n">
        <v>151</v>
      </c>
      <c r="BX544" s="13" t="n">
        <v>150.3</v>
      </c>
      <c r="BY544" s="13" t="n">
        <v>106</v>
      </c>
      <c r="BZ544" s="13" t="n">
        <v>123</v>
      </c>
      <c r="CA544" s="13" t="n">
        <v>125</v>
      </c>
      <c r="CB544" s="13" t="n">
        <v>92</v>
      </c>
      <c r="CC544" s="13" t="n">
        <v>110</v>
      </c>
      <c r="CD544" s="13" t="n">
        <v>13.1</v>
      </c>
      <c r="CE544" s="13" t="n">
        <v>1607</v>
      </c>
      <c r="CF544" s="13" t="n">
        <v>0.96</v>
      </c>
      <c r="CG544" s="13" t="n">
        <v>1547</v>
      </c>
      <c r="CH544" s="13" t="n">
        <v>148</v>
      </c>
      <c r="CI544" s="13" t="n">
        <v>84</v>
      </c>
      <c r="CJ544" s="13" t="n">
        <v>53</v>
      </c>
      <c r="CK544" s="13" t="n">
        <v>253</v>
      </c>
      <c r="CL544" s="13" t="n">
        <v>15</v>
      </c>
      <c r="CM544" s="13" t="n">
        <v>190</v>
      </c>
      <c r="CN544" s="13" t="n">
        <v>0.284</v>
      </c>
      <c r="CO544" s="13" t="n">
        <v>127</v>
      </c>
      <c r="CP544" s="13" t="n">
        <v>145</v>
      </c>
      <c r="CQ544" s="13" t="n">
        <v>127</v>
      </c>
      <c r="CR544" s="13" t="n">
        <v>6</v>
      </c>
      <c r="CS544" s="13" t="n">
        <v>8.6</v>
      </c>
      <c r="CT544" s="11" t="inlineStr">
        <is>
          <t xml:space="preserve"> Resort Freeride</t>
        </is>
      </c>
      <c r="CU544" s="13" t="n"/>
      <c r="CV544" s="13" t="n"/>
      <c r="CW544" s="13" t="n"/>
      <c r="CX544">
        <f>INDEX('Data_Price '!AG$2:AG$1266,MATCH(Data!$DN544,'Data_Price '!$AT$2:$AT$1266,0))</f>
        <v/>
      </c>
      <c r="CY544">
        <f>INDEX('Data_Price '!AH$2:AH$1266,MATCH(Data!$DN544,'Data_Price '!$AT$2:$AT$1266,0))</f>
        <v/>
      </c>
      <c r="CZ544">
        <f>INDEX('Data_Price '!AI$2:AI$1266,MATCH(Data!$DN544,'Data_Price '!$AT$2:$AT$1266,0))</f>
        <v/>
      </c>
      <c r="DA544">
        <f>INDEX('Data_Price '!AJ$2:AJ$1266,MATCH(Data!$DN544,'Data_Price '!$AT$2:$AT$1266,0))</f>
        <v/>
      </c>
      <c r="DB544">
        <f>INDEX('Data_Price '!AK$2:AK$1266,MATCH(Data!$DN544,'Data_Price '!$AT$2:$AT$1266,0))</f>
        <v/>
      </c>
      <c r="DC544">
        <f>INDEX('Data_Price '!AL$2:AL$1266,MATCH(Data!$DN544,'Data_Price '!$AT$2:$AT$1266,0))</f>
        <v/>
      </c>
      <c r="DD544">
        <f>INDEX('Data_Price '!AM$2:AM$1266,MATCH(Data!$DN544,'Data_Price '!$AT$2:$AT$1266,0))</f>
        <v/>
      </c>
      <c r="DE544">
        <f>INDEX('Data_Price '!AN$2:AN$1266,MATCH(Data!$DN544,'Data_Price '!$AT$2:$AT$1266,0))</f>
        <v/>
      </c>
      <c r="DF544">
        <f>INDEX('Data_Price '!AO$2:AO$1266,MATCH(Data!$DN544,'Data_Price '!$AT$2:$AT$1266,0))</f>
        <v/>
      </c>
      <c r="DG544">
        <f>INDEX('Data_Price '!AP$2:AP$1266,MATCH(Data!$DN544,'Data_Price '!$AT$2:$AT$1266,0))</f>
        <v/>
      </c>
      <c r="DH544">
        <f>INDEX('Data_Price '!AQ$2:AQ$1266,MATCH(Data!$DN544,'Data_Price '!$AT$2:$AT$1266,0))</f>
        <v/>
      </c>
      <c r="DI544">
        <f>INDEX('Data_Price '!AR$2:AR$1266,MATCH(Data!$DN544,'Data_Price '!$AT$2:$AT$1266,0))</f>
        <v/>
      </c>
      <c r="DJ544" s="138">
        <f>DA544</f>
        <v/>
      </c>
      <c r="DK544" s="138">
        <f>DE544</f>
        <v/>
      </c>
      <c r="DL544" s="138">
        <f>DI544</f>
        <v/>
      </c>
      <c r="DM544" s="303">
        <f>IF(LEFT(BT544,1)=" ",RIGHT(BT544,LEN(BT544)-1),BT544)</f>
        <v/>
      </c>
      <c r="DN544" s="138">
        <f>_xlfn.CONCAT(BS544,DM544,BU544,BV544)</f>
        <v/>
      </c>
      <c r="DO544" s="307" t="inlineStr">
        <is>
          <t>https://images.evo.com/imgp/250/198265/792325/nordica-santa-ana-93-skis-women-s-2022-.jpg</t>
        </is>
      </c>
    </row>
    <row r="545" ht="15.6" customHeight="1" s="184">
      <c r="B545" s="303">
        <f t="array" ref="B545">IF(OR(ISERROR(K545:P545)),FALSE,TRUE)</f>
        <v/>
      </c>
      <c r="C545" s="60">
        <f>OR(BR545=Driver!$G$50,Data!BR41=Driver!$H$50)</f>
        <v/>
      </c>
      <c r="D545" s="60">
        <f>OR(BV545=Driver!$G$51,BV545=Driver!$H$51)</f>
        <v/>
      </c>
      <c r="E545" s="60">
        <f>AND(BX545&gt;Driver!$F$54,BX545&lt;Driver!$G$54)</f>
        <v/>
      </c>
      <c r="F545" s="60">
        <f>CL545&gt;Driver!$F$56</f>
        <v/>
      </c>
      <c r="G545" s="60">
        <f>AND(CB545&gt;Driver!$F$55,CB545&lt;Driver!$G$55)</f>
        <v/>
      </c>
      <c r="H545" s="60">
        <f>AND(B545:G545)</f>
        <v/>
      </c>
      <c r="I545" s="60">
        <f>COUNTIFS($H$9:$H$1273,TRUE,$BT$9:$BT$1273,BT545)</f>
        <v/>
      </c>
      <c r="J545" s="60">
        <f t="array" ref="J545">NOT(OR(($H$9:$H$1273=TRUE)*($I$9:$I$1273&gt;0)*($BT$9:$BT$1273=BT545)*($K$9:$K$1273&gt;K545)))</f>
        <v/>
      </c>
      <c r="K545" s="108">
        <f>IFERROR(1-AVERAGE(X545:Y545),"")</f>
        <v/>
      </c>
      <c r="L545" s="108">
        <f>1-X545</f>
        <v/>
      </c>
      <c r="M545" s="108">
        <f>1-Y545</f>
        <v/>
      </c>
      <c r="N545" s="108">
        <f>1-Z545</f>
        <v/>
      </c>
      <c r="O545" s="108">
        <f>1-AA545</f>
        <v/>
      </c>
      <c r="P545" s="108">
        <f>1-AB545</f>
        <v/>
      </c>
      <c r="Q545" s="108" t="n"/>
      <c r="R545" s="108" t="n"/>
      <c r="S545" s="108">
        <f>1-AE545</f>
        <v/>
      </c>
      <c r="T545" s="108">
        <f>1-AF545</f>
        <v/>
      </c>
      <c r="U545" s="108">
        <f>1-AG545</f>
        <v/>
      </c>
      <c r="V545" s="108">
        <f>1-AH545</f>
        <v/>
      </c>
      <c r="W545" s="108">
        <f>1-AI545</f>
        <v/>
      </c>
      <c r="X545" s="108">
        <f>ABS(AJ545-AJ$1)</f>
        <v/>
      </c>
      <c r="Y545" s="108">
        <f>AVERAGE(Z545:AB545)</f>
        <v/>
      </c>
      <c r="Z545" s="108">
        <f>ABS(AL545-AL$1)</f>
        <v/>
      </c>
      <c r="AA545" s="108">
        <f>ABS(AM545-AM$1)</f>
        <v/>
      </c>
      <c r="AB545" s="108">
        <f>ABS(AN545-AN$1)</f>
        <v/>
      </c>
      <c r="AC545" s="108" t="n"/>
      <c r="AD545" s="108" t="n"/>
      <c r="AE545" s="108">
        <f>ABS(AQ$1-AQ545)</f>
        <v/>
      </c>
      <c r="AF545" s="108">
        <f>ABS(AR$1-AR545)</f>
        <v/>
      </c>
      <c r="AG545" s="108">
        <f>ABS(AS$1-AS545)</f>
        <v/>
      </c>
      <c r="AH545" s="108">
        <f>ABS(AT$1-AT545)</f>
        <v/>
      </c>
      <c r="AI545" s="108">
        <f>ABS(AU$1-AU545)</f>
        <v/>
      </c>
      <c r="AJ545" s="108">
        <f>(AV545-Driver!$K$179)/(Driver!$L$179-Driver!$K$179)</f>
        <v/>
      </c>
      <c r="AK545" s="108">
        <f>(AW545-Driver!$K$180)/(Driver!$L$180-Driver!$K$180)</f>
        <v/>
      </c>
      <c r="AL545" s="108">
        <f>(AX545-Driver!$K$181)/(Driver!$L$181-Driver!$K$181)</f>
        <v/>
      </c>
      <c r="AM545" s="108">
        <f>(AY545-Driver!$K$182)/(Driver!$L$182-Driver!$K$182)</f>
        <v/>
      </c>
      <c r="AN545" s="108">
        <f>(AZ545-Driver!$K$183)/(Driver!$L$183-Driver!$K$183)</f>
        <v/>
      </c>
      <c r="AO545" s="108" t="n"/>
      <c r="AP545" s="108" t="n"/>
      <c r="AQ545" s="108">
        <f>(BC545-Driver!$K$188)/(Driver!$L$188-Driver!$K$188)</f>
        <v/>
      </c>
      <c r="AR545" s="108">
        <f>MIN((BD545-Driver!$K$189)/(Driver!$L$189-Driver!$K$189),100%)</f>
        <v/>
      </c>
      <c r="AS545" s="108">
        <f>(BE545-Driver!$K$190)/(Driver!$L$190-Driver!$K$190)</f>
        <v/>
      </c>
      <c r="AT545" s="108">
        <f>(BF545-Driver!$K$191)/(Driver!$L$191-Driver!$K$191)</f>
        <v/>
      </c>
      <c r="AU545" s="108">
        <f>(BG545-Driver!$K$192)/(Driver!$L$192-Driver!$K$192)</f>
        <v/>
      </c>
      <c r="AV545" s="105">
        <f>IFERROR(BM545*BJ545^1/4,"")</f>
        <v/>
      </c>
      <c r="AW545" s="105">
        <f>IFERROR(SUM(AX545:AZ545),"")</f>
        <v/>
      </c>
      <c r="AX545" s="105">
        <f>IFERROR(BH545,"")</f>
        <v/>
      </c>
      <c r="AY545" s="105">
        <f>IFERROR(Driver!$K$19/Data!BH545/Data!BI545*Data!BK545*Data!BL545,"")</f>
        <v/>
      </c>
      <c r="AZ545" s="105">
        <f>IFERROR(BI545*BN545,"")</f>
        <v/>
      </c>
      <c r="BA545" s="105" t="n"/>
      <c r="BB545" s="105" t="n"/>
      <c r="BC545" s="105">
        <f>IFERROR(BI545*BN545*BK545/BJ545^(1/2),"")</f>
        <v/>
      </c>
      <c r="BD545" s="105">
        <f>IFERROR(BH545*BM545*BL545/BJ545/BK545,"")</f>
        <v/>
      </c>
      <c r="BE545" s="105">
        <f>IFERROR(MIN(BI545/BQ545/BP545/BO545/BH545,$BE$1),"")</f>
        <v/>
      </c>
      <c r="BF545" s="105">
        <f>IFERROR(BJ545*BO545*BP545/BK545,"")</f>
        <v/>
      </c>
      <c r="BG545" s="105">
        <f>IFERROR(1/BM545/BH545*BQ545,"")</f>
        <v/>
      </c>
      <c r="BH545" s="102">
        <f>MAX((CE545-Driver!$F$200)/(Driver!$G$200-Driver!$F$200)*$BI$1,1)</f>
        <v/>
      </c>
      <c r="BI545" s="102">
        <f>MAX($BI$1*(BY545-Driver!$F$201)/(Driver!$G$201-Driver!$F$201),1)</f>
        <v/>
      </c>
      <c r="BJ545" s="102">
        <f>(CB545-Driver!$F$206)/(Driver!$G$206-Driver!$F$206)*$BI$1</f>
        <v/>
      </c>
      <c r="BK545" s="102">
        <f>(CD545-Driver!$F$203)/(Driver!$G$203-Driver!$F$203)*$BI$1</f>
        <v/>
      </c>
      <c r="BL545" s="102">
        <f>MAX((CR545-Driver!$F$202)/(Driver!$G$202-Driver!$F$202)*$BI$1,1)</f>
        <v/>
      </c>
      <c r="BM545" s="102">
        <f>MAX((CH545-Driver!$F$204)/(Driver!$G$204-Driver!$F$204)*$BI$1,1)</f>
        <v/>
      </c>
      <c r="BN545" s="102">
        <f>(CI545-Driver!$F$205)/(Driver!$G$205-Driver!$F$205)*$BI$1</f>
        <v/>
      </c>
      <c r="BO545" s="102">
        <f>(CK545-Driver!$F$207)/(Driver!$G$207-Driver!$F$207)*$BI$1</f>
        <v/>
      </c>
      <c r="BP545" s="102">
        <f>(CM545-Driver!$F$208)/(Driver!$G$208-Driver!$F$208)*$BI$1</f>
        <v/>
      </c>
      <c r="BQ545" s="102">
        <f>(CL545-Driver!$F$209)/(Driver!$G$209-Driver!$F$209)*$BI$1</f>
        <v/>
      </c>
      <c r="BR545" s="40" t="inlineStr">
        <is>
          <t>21/22</t>
        </is>
      </c>
      <c r="BS545" s="10" t="inlineStr">
        <is>
          <t xml:space="preserve"> Armada</t>
        </is>
      </c>
      <c r="BT545" s="11" t="inlineStr">
        <is>
          <t>ARV 96</t>
        </is>
      </c>
      <c r="BU545" s="13" t="n">
        <v>163</v>
      </c>
      <c r="BV545" s="11" t="inlineStr">
        <is>
          <t xml:space="preserve"> Unisex</t>
        </is>
      </c>
      <c r="BW545" s="13" t="n">
        <v>163</v>
      </c>
      <c r="BX545" s="13" t="n">
        <v>161.6</v>
      </c>
      <c r="BY545" s="13" t="n">
        <v>117</v>
      </c>
      <c r="BZ545" s="13" t="n">
        <v>133</v>
      </c>
      <c r="CA545" s="13" t="n">
        <v>122</v>
      </c>
      <c r="CB545" s="13" t="n">
        <v>95</v>
      </c>
      <c r="CC545" s="13" t="n">
        <v>114</v>
      </c>
      <c r="CD545" s="13" t="n">
        <v>17.7</v>
      </c>
      <c r="CE545" s="13" t="n">
        <v>1627</v>
      </c>
      <c r="CF545" s="13" t="n">
        <v>1.03</v>
      </c>
      <c r="CG545" s="13" t="n">
        <v>1675</v>
      </c>
      <c r="CH545" s="13" t="n">
        <v>141</v>
      </c>
      <c r="CI545" s="13" t="n">
        <v>86</v>
      </c>
      <c r="CJ545" s="13" t="n">
        <v>48</v>
      </c>
      <c r="CK545" s="13" t="n">
        <v>237</v>
      </c>
      <c r="CL545" s="13" t="n">
        <v>39</v>
      </c>
      <c r="CM545" s="13" t="n">
        <v>213</v>
      </c>
      <c r="CN545" s="13" t="n">
        <v>0.8129999999999999</v>
      </c>
      <c r="CO545" s="13" t="n">
        <v>133</v>
      </c>
      <c r="CP545" s="13" t="n">
        <v>155</v>
      </c>
      <c r="CQ545" s="13" t="n">
        <v>104</v>
      </c>
      <c r="CR545" s="13" t="n">
        <v>9</v>
      </c>
      <c r="CS545" s="13" t="n">
        <v>4.7</v>
      </c>
      <c r="CT545" s="11" t="inlineStr">
        <is>
          <t xml:space="preserve"> Resort Freeride</t>
        </is>
      </c>
      <c r="CU545" s="11" t="inlineStr">
        <is>
          <t xml:space="preserve"> Freeski</t>
        </is>
      </c>
      <c r="CV545" s="13" t="n"/>
      <c r="CW545" s="13" t="n"/>
      <c r="CX545">
        <f>INDEX('Data_Price '!AG$2:AG$1266,MATCH(Data!$DN545,'Data_Price '!$AT$2:$AT$1266,0))</f>
        <v/>
      </c>
      <c r="CY545">
        <f>INDEX('Data_Price '!AH$2:AH$1266,MATCH(Data!$DN545,'Data_Price '!$AT$2:$AT$1266,0))</f>
        <v/>
      </c>
      <c r="CZ545">
        <f>INDEX('Data_Price '!AI$2:AI$1266,MATCH(Data!$DN545,'Data_Price '!$AT$2:$AT$1266,0))</f>
        <v/>
      </c>
      <c r="DA545">
        <f>INDEX('Data_Price '!AJ$2:AJ$1266,MATCH(Data!$DN545,'Data_Price '!$AT$2:$AT$1266,0))</f>
        <v/>
      </c>
      <c r="DB545">
        <f>INDEX('Data_Price '!AK$2:AK$1266,MATCH(Data!$DN545,'Data_Price '!$AT$2:$AT$1266,0))</f>
        <v/>
      </c>
      <c r="DC545">
        <f>INDEX('Data_Price '!AL$2:AL$1266,MATCH(Data!$DN545,'Data_Price '!$AT$2:$AT$1266,0))</f>
        <v/>
      </c>
      <c r="DD545">
        <f>INDEX('Data_Price '!AM$2:AM$1266,MATCH(Data!$DN545,'Data_Price '!$AT$2:$AT$1266,0))</f>
        <v/>
      </c>
      <c r="DE545">
        <f>INDEX('Data_Price '!AN$2:AN$1266,MATCH(Data!$DN545,'Data_Price '!$AT$2:$AT$1266,0))</f>
        <v/>
      </c>
      <c r="DF545">
        <f>INDEX('Data_Price '!AO$2:AO$1266,MATCH(Data!$DN545,'Data_Price '!$AT$2:$AT$1266,0))</f>
        <v/>
      </c>
      <c r="DG545">
        <f>INDEX('Data_Price '!AP$2:AP$1266,MATCH(Data!$DN545,'Data_Price '!$AT$2:$AT$1266,0))</f>
        <v/>
      </c>
      <c r="DH545">
        <f>INDEX('Data_Price '!AQ$2:AQ$1266,MATCH(Data!$DN545,'Data_Price '!$AT$2:$AT$1266,0))</f>
        <v/>
      </c>
      <c r="DI545">
        <f>INDEX('Data_Price '!AR$2:AR$1266,MATCH(Data!$DN545,'Data_Price '!$AT$2:$AT$1266,0))</f>
        <v/>
      </c>
      <c r="DJ545" s="138">
        <f>DA545</f>
        <v/>
      </c>
      <c r="DK545" s="138">
        <f>DE545</f>
        <v/>
      </c>
      <c r="DL545" s="138">
        <f>DI545</f>
        <v/>
      </c>
      <c r="DM545" s="303">
        <f>IF(LEFT(BT545,1)=" ",RIGHT(BT545,LEN(BT545)-1),BT545)</f>
        <v/>
      </c>
      <c r="DN545" s="138">
        <f>_xlfn.CONCAT(BS545,DM545,BU545,BV545)</f>
        <v/>
      </c>
      <c r="DO545" s="307" t="inlineStr">
        <is>
          <t>https://images.evo.com/imgp/250/198700/839667/clone.jpg</t>
        </is>
      </c>
    </row>
    <row r="546" ht="15.6" customHeight="1" s="184">
      <c r="B546" s="303">
        <f t="array" ref="B546">IF(OR(ISERROR(K546:P546)),FALSE,TRUE)</f>
        <v/>
      </c>
      <c r="C546" s="60">
        <f>OR(BR546=Driver!$G$50,Data!BR210=Driver!$H$50)</f>
        <v/>
      </c>
      <c r="D546" s="60">
        <f>OR(BV546=Driver!$G$51,BV546=Driver!$H$51)</f>
        <v/>
      </c>
      <c r="E546" s="60">
        <f>AND(BX546&gt;Driver!$F$54,BX546&lt;Driver!$G$54)</f>
        <v/>
      </c>
      <c r="F546" s="60">
        <f>CL546&gt;Driver!$F$56</f>
        <v/>
      </c>
      <c r="G546" s="60">
        <f>AND(CB546&gt;Driver!$F$55,CB546&lt;Driver!$G$55)</f>
        <v/>
      </c>
      <c r="H546" s="60">
        <f>AND(B546:G546)</f>
        <v/>
      </c>
      <c r="I546" s="60">
        <f>COUNTIFS($H$9:$H$1273,TRUE,$BT$9:$BT$1273,BT546)</f>
        <v/>
      </c>
      <c r="J546" s="60">
        <f t="array" ref="J546">NOT(OR(($H$9:$H$1273=TRUE)*($I$9:$I$1273&gt;0)*($BT$9:$BT$1273=BT546)*($K$9:$K$1273&gt;K546)))</f>
        <v/>
      </c>
      <c r="K546" s="108">
        <f>IFERROR(1-AVERAGE(X546:Y546),"")</f>
        <v/>
      </c>
      <c r="L546" s="108">
        <f>1-X546</f>
        <v/>
      </c>
      <c r="M546" s="108">
        <f>1-Y546</f>
        <v/>
      </c>
      <c r="N546" s="108">
        <f>1-Z546</f>
        <v/>
      </c>
      <c r="O546" s="108">
        <f>1-AA546</f>
        <v/>
      </c>
      <c r="P546" s="108">
        <f>1-AB546</f>
        <v/>
      </c>
      <c r="Q546" s="108" t="n"/>
      <c r="R546" s="108" t="n"/>
      <c r="S546" s="108">
        <f>1-AE546</f>
        <v/>
      </c>
      <c r="T546" s="108">
        <f>1-AF546</f>
        <v/>
      </c>
      <c r="U546" s="108">
        <f>1-AG546</f>
        <v/>
      </c>
      <c r="V546" s="108">
        <f>1-AH546</f>
        <v/>
      </c>
      <c r="W546" s="108">
        <f>1-AI546</f>
        <v/>
      </c>
      <c r="X546" s="108">
        <f>ABS(AJ546-AJ$1)</f>
        <v/>
      </c>
      <c r="Y546" s="108">
        <f>AVERAGE(Z546:AB546)</f>
        <v/>
      </c>
      <c r="Z546" s="108">
        <f>ABS(AL546-AL$1)</f>
        <v/>
      </c>
      <c r="AA546" s="108">
        <f>ABS(AM546-AM$1)</f>
        <v/>
      </c>
      <c r="AB546" s="108">
        <f>ABS(AN546-AN$1)</f>
        <v/>
      </c>
      <c r="AC546" s="108" t="n"/>
      <c r="AD546" s="108" t="n"/>
      <c r="AE546" s="108">
        <f>ABS(AQ$1-AQ546)</f>
        <v/>
      </c>
      <c r="AF546" s="108">
        <f>ABS(AR$1-AR546)</f>
        <v/>
      </c>
      <c r="AG546" s="108">
        <f>ABS(AS$1-AS546)</f>
        <v/>
      </c>
      <c r="AH546" s="108">
        <f>ABS(AT$1-AT546)</f>
        <v/>
      </c>
      <c r="AI546" s="108">
        <f>ABS(AU$1-AU546)</f>
        <v/>
      </c>
      <c r="AJ546" s="108">
        <f>(AV546-Driver!$K$179)/(Driver!$L$179-Driver!$K$179)</f>
        <v/>
      </c>
      <c r="AK546" s="108">
        <f>(AW546-Driver!$K$180)/(Driver!$L$180-Driver!$K$180)</f>
        <v/>
      </c>
      <c r="AL546" s="108">
        <f>(AX546-Driver!$K$181)/(Driver!$L$181-Driver!$K$181)</f>
        <v/>
      </c>
      <c r="AM546" s="108">
        <f>(AY546-Driver!$K$182)/(Driver!$L$182-Driver!$K$182)</f>
        <v/>
      </c>
      <c r="AN546" s="108">
        <f>(AZ546-Driver!$K$183)/(Driver!$L$183-Driver!$K$183)</f>
        <v/>
      </c>
      <c r="AO546" s="108" t="n"/>
      <c r="AP546" s="108" t="n"/>
      <c r="AQ546" s="108">
        <f>(BC546-Driver!$K$188)/(Driver!$L$188-Driver!$K$188)</f>
        <v/>
      </c>
      <c r="AR546" s="108">
        <f>MIN((BD546-Driver!$K$189)/(Driver!$L$189-Driver!$K$189),100%)</f>
        <v/>
      </c>
      <c r="AS546" s="108">
        <f>(BE546-Driver!$K$190)/(Driver!$L$190-Driver!$K$190)</f>
        <v/>
      </c>
      <c r="AT546" s="108">
        <f>(BF546-Driver!$K$191)/(Driver!$L$191-Driver!$K$191)</f>
        <v/>
      </c>
      <c r="AU546" s="108">
        <f>(BG546-Driver!$K$192)/(Driver!$L$192-Driver!$K$192)</f>
        <v/>
      </c>
      <c r="AV546" s="105">
        <f>IFERROR(BM546*BJ546^1/4,"")</f>
        <v/>
      </c>
      <c r="AW546" s="105">
        <f>IFERROR(SUM(AX546:AZ546),"")</f>
        <v/>
      </c>
      <c r="AX546" s="105">
        <f>IFERROR(BH546,"")</f>
        <v/>
      </c>
      <c r="AY546" s="105">
        <f>IFERROR(Driver!$K$19/Data!BH546/Data!BI546*Data!BK546*Data!BL546,"")</f>
        <v/>
      </c>
      <c r="AZ546" s="105">
        <f>IFERROR(BI546*BN546,"")</f>
        <v/>
      </c>
      <c r="BA546" s="105" t="n"/>
      <c r="BB546" s="105" t="n"/>
      <c r="BC546" s="105">
        <f>IFERROR(BI546*BN546*BK546/BJ546^(1/2),"")</f>
        <v/>
      </c>
      <c r="BD546" s="105">
        <f>IFERROR(BH546*BM546*BL546/BJ546/BK546,"")</f>
        <v/>
      </c>
      <c r="BE546" s="105">
        <f>IFERROR(MIN(BI546/BQ546/BP546/BO546/BH546,$BE$1),"")</f>
        <v/>
      </c>
      <c r="BF546" s="105">
        <f>IFERROR(BJ546*BO546*BP546/BK546,"")</f>
        <v/>
      </c>
      <c r="BG546" s="105">
        <f>IFERROR(1/BM546/BH546*BQ546,"")</f>
        <v/>
      </c>
      <c r="BH546" s="102">
        <f>MAX((CE546-Driver!$F$200)/(Driver!$G$200-Driver!$F$200)*$BI$1,1)</f>
        <v/>
      </c>
      <c r="BI546" s="102">
        <f>MAX($BI$1*(BY546-Driver!$F$201)/(Driver!$G$201-Driver!$F$201),1)</f>
        <v/>
      </c>
      <c r="BJ546" s="102">
        <f>(CB546-Driver!$F$206)/(Driver!$G$206-Driver!$F$206)*$BI$1</f>
        <v/>
      </c>
      <c r="BK546" s="102">
        <f>(CD546-Driver!$F$203)/(Driver!$G$203-Driver!$F$203)*$BI$1</f>
        <v/>
      </c>
      <c r="BL546" s="102">
        <f>MAX((CR546-Driver!$F$202)/(Driver!$G$202-Driver!$F$202)*$BI$1,1)</f>
        <v/>
      </c>
      <c r="BM546" s="102">
        <f>MAX((CH546-Driver!$F$204)/(Driver!$G$204-Driver!$F$204)*$BI$1,1)</f>
        <v/>
      </c>
      <c r="BN546" s="102">
        <f>(CI546-Driver!$F$205)/(Driver!$G$205-Driver!$F$205)*$BI$1</f>
        <v/>
      </c>
      <c r="BO546" s="102">
        <f>(CK546-Driver!$F$207)/(Driver!$G$207-Driver!$F$207)*$BI$1</f>
        <v/>
      </c>
      <c r="BP546" s="102">
        <f>(CM546-Driver!$F$208)/(Driver!$G$208-Driver!$F$208)*$BI$1</f>
        <v/>
      </c>
      <c r="BQ546" s="102">
        <f>(CL546-Driver!$F$209)/(Driver!$G$209-Driver!$F$209)*$BI$1</f>
        <v/>
      </c>
      <c r="BR546" s="40" t="inlineStr">
        <is>
          <t>21/22</t>
        </is>
      </c>
      <c r="BS546" s="10" t="inlineStr">
        <is>
          <t xml:space="preserve"> Black Crows</t>
        </is>
      </c>
      <c r="BT546" s="11" t="inlineStr">
        <is>
          <t xml:space="preserve"> Camox Freebird</t>
        </is>
      </c>
      <c r="BU546" s="13" t="n">
        <v>166.2</v>
      </c>
      <c r="BV546" s="11" t="inlineStr">
        <is>
          <t xml:space="preserve"> Unisex</t>
        </is>
      </c>
      <c r="BW546" s="13" t="n">
        <v>166.2</v>
      </c>
      <c r="BX546" s="13" t="n">
        <v>165.4</v>
      </c>
      <c r="BY546" s="13" t="n">
        <v>127</v>
      </c>
      <c r="BZ546" s="13" t="n">
        <v>139</v>
      </c>
      <c r="CA546" s="13" t="n">
        <v>132</v>
      </c>
      <c r="CB546" s="13" t="n">
        <v>95</v>
      </c>
      <c r="CC546" s="13" t="n">
        <v>114</v>
      </c>
      <c r="CD546" s="13" t="n">
        <v>16.7</v>
      </c>
      <c r="CE546" s="13" t="n">
        <v>1393</v>
      </c>
      <c r="CF546" s="13" t="n">
        <v>1.26</v>
      </c>
      <c r="CG546" s="13" t="n">
        <v>1758</v>
      </c>
      <c r="CH546" s="13" t="n">
        <v>167</v>
      </c>
      <c r="CI546" s="13" t="n">
        <v>84</v>
      </c>
      <c r="CJ546" s="13" t="n">
        <v>44</v>
      </c>
      <c r="CK546" s="13" t="n">
        <v>247</v>
      </c>
      <c r="CL546" s="13" t="n">
        <v>12</v>
      </c>
      <c r="CM546" s="13" t="n">
        <v>139</v>
      </c>
      <c r="CN546" s="13" t="n">
        <v>0.277</v>
      </c>
      <c r="CO546" s="13" t="n">
        <v>149</v>
      </c>
      <c r="CP546" s="13" t="n">
        <v>119</v>
      </c>
      <c r="CQ546" s="13" t="n">
        <v>98</v>
      </c>
      <c r="CR546" s="13" t="n">
        <v>10</v>
      </c>
      <c r="CS546" s="13" t="n">
        <v>9.1</v>
      </c>
      <c r="CT546" s="11" t="inlineStr">
        <is>
          <t xml:space="preserve"> Resort Freeride</t>
        </is>
      </c>
      <c r="CU546" s="11" t="inlineStr">
        <is>
          <t xml:space="preserve"> Touring</t>
        </is>
      </c>
      <c r="CV546" s="11" t="inlineStr">
        <is>
          <t xml:space="preserve"> Ultralight Touring</t>
        </is>
      </c>
      <c r="CW546" s="13" t="n"/>
      <c r="CX546">
        <f>INDEX('Data_Price '!AG$2:AG$1266,MATCH(Data!$DN546,'Data_Price '!$AT$2:$AT$1266,0))</f>
        <v/>
      </c>
      <c r="CY546">
        <f>INDEX('Data_Price '!AH$2:AH$1266,MATCH(Data!$DN546,'Data_Price '!$AT$2:$AT$1266,0))</f>
        <v/>
      </c>
      <c r="CZ546">
        <f>INDEX('Data_Price '!AI$2:AI$1266,MATCH(Data!$DN546,'Data_Price '!$AT$2:$AT$1266,0))</f>
        <v/>
      </c>
      <c r="DA546">
        <f>INDEX('Data_Price '!AJ$2:AJ$1266,MATCH(Data!$DN546,'Data_Price '!$AT$2:$AT$1266,0))</f>
        <v/>
      </c>
      <c r="DB546">
        <f>INDEX('Data_Price '!AK$2:AK$1266,MATCH(Data!$DN546,'Data_Price '!$AT$2:$AT$1266,0))</f>
        <v/>
      </c>
      <c r="DC546">
        <f>INDEX('Data_Price '!AL$2:AL$1266,MATCH(Data!$DN546,'Data_Price '!$AT$2:$AT$1266,0))</f>
        <v/>
      </c>
      <c r="DD546">
        <f>INDEX('Data_Price '!AM$2:AM$1266,MATCH(Data!$DN546,'Data_Price '!$AT$2:$AT$1266,0))</f>
        <v/>
      </c>
      <c r="DE546">
        <f>INDEX('Data_Price '!AN$2:AN$1266,MATCH(Data!$DN546,'Data_Price '!$AT$2:$AT$1266,0))</f>
        <v/>
      </c>
      <c r="DF546">
        <f>INDEX('Data_Price '!AO$2:AO$1266,MATCH(Data!$DN546,'Data_Price '!$AT$2:$AT$1266,0))</f>
        <v/>
      </c>
      <c r="DG546">
        <f>INDEX('Data_Price '!AP$2:AP$1266,MATCH(Data!$DN546,'Data_Price '!$AT$2:$AT$1266,0))</f>
        <v/>
      </c>
      <c r="DH546">
        <f>INDEX('Data_Price '!AQ$2:AQ$1266,MATCH(Data!$DN546,'Data_Price '!$AT$2:$AT$1266,0))</f>
        <v/>
      </c>
      <c r="DI546">
        <f>INDEX('Data_Price '!AR$2:AR$1266,MATCH(Data!$DN546,'Data_Price '!$AT$2:$AT$1266,0))</f>
        <v/>
      </c>
      <c r="DJ546" s="138">
        <f>DA546</f>
        <v/>
      </c>
      <c r="DK546" s="138">
        <f>DE546</f>
        <v/>
      </c>
      <c r="DL546" s="138">
        <f>DI546</f>
        <v/>
      </c>
      <c r="DM546" s="303">
        <f>IF(LEFT(BT546,1)=" ",RIGHT(BT546,LEN(BT546)-1),BT546)</f>
        <v/>
      </c>
      <c r="DN546" s="138">
        <f>_xlfn.CONCAT(BS546,DM546,BU546,BV546)</f>
        <v/>
      </c>
      <c r="DO546" s="307" t="inlineStr">
        <is>
          <t>https://images.evo.com/imgp/250/164658/659367/black-crows-camox-freebird-skis-2022-.jpg</t>
        </is>
      </c>
    </row>
    <row r="547" ht="15.6" customHeight="1" s="184">
      <c r="B547" s="303">
        <f t="array" ref="B547">IF(OR(ISERROR(K547:P547)),FALSE,TRUE)</f>
        <v/>
      </c>
      <c r="C547" s="60">
        <f>OR(BR547=Driver!$G$50,Data!BR1017=Driver!$H$50)</f>
        <v/>
      </c>
      <c r="D547" s="60">
        <f>OR(BV547=Driver!$G$51,BV547=Driver!$H$51)</f>
        <v/>
      </c>
      <c r="E547" s="60">
        <f>AND(BX547&gt;Driver!$F$54,BX547&lt;Driver!$G$54)</f>
        <v/>
      </c>
      <c r="F547" s="60">
        <f>CL547&gt;Driver!$F$56</f>
        <v/>
      </c>
      <c r="G547" s="60">
        <f>AND(CB547&gt;Driver!$F$55,CB547&lt;Driver!$G$55)</f>
        <v/>
      </c>
      <c r="H547" s="60">
        <f>AND(B547:G547)</f>
        <v/>
      </c>
      <c r="I547" s="60">
        <f>COUNTIFS($H$9:$H$1273,TRUE,$BT$9:$BT$1273,BT547)</f>
        <v/>
      </c>
      <c r="J547" s="60">
        <f t="array" ref="J547">NOT(OR(($H$9:$H$1273=TRUE)*($I$9:$I$1273&gt;0)*($BT$9:$BT$1273=BT547)*($K$9:$K$1273&gt;K547)))</f>
        <v/>
      </c>
      <c r="K547" s="108">
        <f>IFERROR(1-AVERAGE(X547:Y547),"")</f>
        <v/>
      </c>
      <c r="L547" s="108">
        <f>1-X547</f>
        <v/>
      </c>
      <c r="M547" s="108">
        <f>1-Y547</f>
        <v/>
      </c>
      <c r="N547" s="108">
        <f>1-Z547</f>
        <v/>
      </c>
      <c r="O547" s="108">
        <f>1-AA547</f>
        <v/>
      </c>
      <c r="P547" s="108">
        <f>1-AB547</f>
        <v/>
      </c>
      <c r="Q547" s="108" t="n"/>
      <c r="R547" s="108" t="n"/>
      <c r="S547" s="108">
        <f>1-AE547</f>
        <v/>
      </c>
      <c r="T547" s="108">
        <f>1-AF547</f>
        <v/>
      </c>
      <c r="U547" s="108">
        <f>1-AG547</f>
        <v/>
      </c>
      <c r="V547" s="108">
        <f>1-AH547</f>
        <v/>
      </c>
      <c r="W547" s="108">
        <f>1-AI547</f>
        <v/>
      </c>
      <c r="X547" s="108">
        <f>ABS(AJ547-AJ$1)</f>
        <v/>
      </c>
      <c r="Y547" s="108">
        <f>AVERAGE(Z547:AB547)</f>
        <v/>
      </c>
      <c r="Z547" s="108">
        <f>ABS(AL547-AL$1)</f>
        <v/>
      </c>
      <c r="AA547" s="108">
        <f>ABS(AM547-AM$1)</f>
        <v/>
      </c>
      <c r="AB547" s="108">
        <f>ABS(AN547-AN$1)</f>
        <v/>
      </c>
      <c r="AC547" s="108" t="n"/>
      <c r="AD547" s="108" t="n"/>
      <c r="AE547" s="108">
        <f>ABS(AQ$1-AQ547)</f>
        <v/>
      </c>
      <c r="AF547" s="108">
        <f>ABS(AR$1-AR547)</f>
        <v/>
      </c>
      <c r="AG547" s="108">
        <f>ABS(AS$1-AS547)</f>
        <v/>
      </c>
      <c r="AH547" s="108">
        <f>ABS(AT$1-AT547)</f>
        <v/>
      </c>
      <c r="AI547" s="108">
        <f>ABS(AU$1-AU547)</f>
        <v/>
      </c>
      <c r="AJ547" s="108">
        <f>(AV547-Driver!$K$179)/(Driver!$L$179-Driver!$K$179)</f>
        <v/>
      </c>
      <c r="AK547" s="108">
        <f>(AW547-Driver!$K$180)/(Driver!$L$180-Driver!$K$180)</f>
        <v/>
      </c>
      <c r="AL547" s="108">
        <f>(AX547-Driver!$K$181)/(Driver!$L$181-Driver!$K$181)</f>
        <v/>
      </c>
      <c r="AM547" s="108">
        <f>(AY547-Driver!$K$182)/(Driver!$L$182-Driver!$K$182)</f>
        <v/>
      </c>
      <c r="AN547" s="108">
        <f>(AZ547-Driver!$K$183)/(Driver!$L$183-Driver!$K$183)</f>
        <v/>
      </c>
      <c r="AO547" s="108" t="n"/>
      <c r="AP547" s="108" t="n"/>
      <c r="AQ547" s="108">
        <f>(BC547-Driver!$K$188)/(Driver!$L$188-Driver!$K$188)</f>
        <v/>
      </c>
      <c r="AR547" s="108">
        <f>MIN((BD547-Driver!$K$189)/(Driver!$L$189-Driver!$K$189),100%)</f>
        <v/>
      </c>
      <c r="AS547" s="108">
        <f>(BE547-Driver!$K$190)/(Driver!$L$190-Driver!$K$190)</f>
        <v/>
      </c>
      <c r="AT547" s="108">
        <f>(BF547-Driver!$K$191)/(Driver!$L$191-Driver!$K$191)</f>
        <v/>
      </c>
      <c r="AU547" s="108">
        <f>(BG547-Driver!$K$192)/(Driver!$L$192-Driver!$K$192)</f>
        <v/>
      </c>
      <c r="AV547" s="105">
        <f>IFERROR(BM547*BJ547^1/4,"")</f>
        <v/>
      </c>
      <c r="AW547" s="105">
        <f>IFERROR(SUM(AX547:AZ547),"")</f>
        <v/>
      </c>
      <c r="AX547" s="105">
        <f>IFERROR(BH547,"")</f>
        <v/>
      </c>
      <c r="AY547" s="105">
        <f>IFERROR(Driver!$K$19/Data!BH547/Data!BI547*Data!BK547*Data!BL547,"")</f>
        <v/>
      </c>
      <c r="AZ547" s="105">
        <f>IFERROR(BI547*BN547,"")</f>
        <v/>
      </c>
      <c r="BA547" s="105" t="n"/>
      <c r="BB547" s="105" t="n"/>
      <c r="BC547" s="105">
        <f>IFERROR(BI547*BN547*BK547/BJ547^(1/2),"")</f>
        <v/>
      </c>
      <c r="BD547" s="105">
        <f>IFERROR(BH547*BM547*BL547/BJ547/BK547,"")</f>
        <v/>
      </c>
      <c r="BE547" s="105">
        <f>IFERROR(MIN(BI547/BQ547/BP547/BO547/BH547,$BE$1),"")</f>
        <v/>
      </c>
      <c r="BF547" s="105">
        <f>IFERROR(BJ547*BO547*BP547/BK547,"")</f>
        <v/>
      </c>
      <c r="BG547" s="105">
        <f>IFERROR(1/BM547/BH547*BQ547,"")</f>
        <v/>
      </c>
      <c r="BH547" s="102">
        <f>MAX((CE547-Driver!$F$200)/(Driver!$G$200-Driver!$F$200)*$BI$1,1)</f>
        <v/>
      </c>
      <c r="BI547" s="102">
        <f>MAX($BI$1*(BY547-Driver!$F$201)/(Driver!$G$201-Driver!$F$201),1)</f>
        <v/>
      </c>
      <c r="BJ547" s="102">
        <f>(CB547-Driver!$F$206)/(Driver!$G$206-Driver!$F$206)*$BI$1</f>
        <v/>
      </c>
      <c r="BK547" s="102">
        <f>(CD547-Driver!$F$203)/(Driver!$G$203-Driver!$F$203)*$BI$1</f>
        <v/>
      </c>
      <c r="BL547" s="102">
        <f>MAX((CR547-Driver!$F$202)/(Driver!$G$202-Driver!$F$202)*$BI$1,1)</f>
        <v/>
      </c>
      <c r="BM547" s="102">
        <f>MAX((CH547-Driver!$F$204)/(Driver!$G$204-Driver!$F$204)*$BI$1,1)</f>
        <v/>
      </c>
      <c r="BN547" s="102">
        <f>(CI547-Driver!$F$205)/(Driver!$G$205-Driver!$F$205)*$BI$1</f>
        <v/>
      </c>
      <c r="BO547" s="102">
        <f>(CK547-Driver!$F$207)/(Driver!$G$207-Driver!$F$207)*$BI$1</f>
        <v/>
      </c>
      <c r="BP547" s="102">
        <f>(CM547-Driver!$F$208)/(Driver!$G$208-Driver!$F$208)*$BI$1</f>
        <v/>
      </c>
      <c r="BQ547" s="102">
        <f>(CL547-Driver!$F$209)/(Driver!$G$209-Driver!$F$209)*$BI$1</f>
        <v/>
      </c>
      <c r="BR547" s="40" t="inlineStr">
        <is>
          <t>21/22</t>
        </is>
      </c>
      <c r="BS547" s="10" t="inlineStr">
        <is>
          <t xml:space="preserve"> Rossignol</t>
        </is>
      </c>
      <c r="BT547" s="11" t="inlineStr">
        <is>
          <t>Experience 86 Basalt</t>
        </is>
      </c>
      <c r="BU547" s="13" t="n">
        <v>158</v>
      </c>
      <c r="BV547" s="11" t="inlineStr">
        <is>
          <t xml:space="preserve"> Unisex</t>
        </is>
      </c>
      <c r="BW547" s="13" t="n">
        <v>158</v>
      </c>
      <c r="BX547" s="13" t="n">
        <v>157.5</v>
      </c>
      <c r="BY547" s="13" t="n">
        <v>118</v>
      </c>
      <c r="BZ547" s="13" t="n">
        <v>143</v>
      </c>
      <c r="CA547" s="13" t="n">
        <v>131</v>
      </c>
      <c r="CB547" s="13" t="n">
        <v>83</v>
      </c>
      <c r="CC547" s="13" t="n">
        <v>118</v>
      </c>
      <c r="CD547" s="13" t="n">
        <v>12</v>
      </c>
      <c r="CE547" s="13" t="n">
        <v>1662</v>
      </c>
      <c r="CF547" s="13" t="n">
        <v>0.9399999999999999</v>
      </c>
      <c r="CG547" s="13" t="n">
        <v>1556</v>
      </c>
      <c r="CH547" s="13" t="n">
        <v>179</v>
      </c>
      <c r="CI547" s="13" t="n">
        <v>71</v>
      </c>
      <c r="CJ547" s="13" t="n">
        <v>48</v>
      </c>
      <c r="CK547" s="13" t="n">
        <v>264</v>
      </c>
      <c r="CL547" s="13" t="n">
        <v>13</v>
      </c>
      <c r="CM547" s="13" t="n">
        <v>132</v>
      </c>
      <c r="CN547" s="13" t="n">
        <v>0.283</v>
      </c>
      <c r="CO547" s="13" t="n">
        <v>79</v>
      </c>
      <c r="CP547" s="13" t="n">
        <v>67</v>
      </c>
      <c r="CQ547" s="13" t="n">
        <v>185</v>
      </c>
      <c r="CR547" s="13" t="n">
        <v>7</v>
      </c>
      <c r="CS547" s="13" t="n">
        <v>6.8</v>
      </c>
      <c r="CT547" s="11" t="inlineStr">
        <is>
          <t xml:space="preserve"> Resort Freeride</t>
        </is>
      </c>
      <c r="CU547" s="13" t="n"/>
      <c r="CV547" s="13" t="n"/>
      <c r="CW547" s="13" t="n"/>
      <c r="CX547">
        <f>INDEX('Data_Price '!AG$2:AG$1266,MATCH(Data!$DN547,'Data_Price '!$AT$2:$AT$1266,0))</f>
        <v/>
      </c>
      <c r="CY547">
        <f>INDEX('Data_Price '!AH$2:AH$1266,MATCH(Data!$DN547,'Data_Price '!$AT$2:$AT$1266,0))</f>
        <v/>
      </c>
      <c r="CZ547">
        <f>INDEX('Data_Price '!AI$2:AI$1266,MATCH(Data!$DN547,'Data_Price '!$AT$2:$AT$1266,0))</f>
        <v/>
      </c>
      <c r="DA547">
        <f>INDEX('Data_Price '!AJ$2:AJ$1266,MATCH(Data!$DN547,'Data_Price '!$AT$2:$AT$1266,0))</f>
        <v/>
      </c>
      <c r="DB547">
        <f>INDEX('Data_Price '!AK$2:AK$1266,MATCH(Data!$DN547,'Data_Price '!$AT$2:$AT$1266,0))</f>
        <v/>
      </c>
      <c r="DC547">
        <f>INDEX('Data_Price '!AL$2:AL$1266,MATCH(Data!$DN547,'Data_Price '!$AT$2:$AT$1266,0))</f>
        <v/>
      </c>
      <c r="DD547">
        <f>INDEX('Data_Price '!AM$2:AM$1266,MATCH(Data!$DN547,'Data_Price '!$AT$2:$AT$1266,0))</f>
        <v/>
      </c>
      <c r="DE547">
        <f>INDEX('Data_Price '!AN$2:AN$1266,MATCH(Data!$DN547,'Data_Price '!$AT$2:$AT$1266,0))</f>
        <v/>
      </c>
      <c r="DF547">
        <f>INDEX('Data_Price '!AO$2:AO$1266,MATCH(Data!$DN547,'Data_Price '!$AT$2:$AT$1266,0))</f>
        <v/>
      </c>
      <c r="DG547">
        <f>INDEX('Data_Price '!AP$2:AP$1266,MATCH(Data!$DN547,'Data_Price '!$AT$2:$AT$1266,0))</f>
        <v/>
      </c>
      <c r="DH547">
        <f>INDEX('Data_Price '!AQ$2:AQ$1266,MATCH(Data!$DN547,'Data_Price '!$AT$2:$AT$1266,0))</f>
        <v/>
      </c>
      <c r="DI547">
        <f>INDEX('Data_Price '!AR$2:AR$1266,MATCH(Data!$DN547,'Data_Price '!$AT$2:$AT$1266,0))</f>
        <v/>
      </c>
      <c r="DJ547" s="138">
        <f>DA547</f>
        <v/>
      </c>
      <c r="DK547" s="138">
        <f>DE547</f>
        <v/>
      </c>
      <c r="DL547" s="138">
        <f>DI547</f>
        <v/>
      </c>
      <c r="DM547" s="303">
        <f>IF(LEFT(BT547,1)=" ",RIGHT(BT547,LEN(BT547)-1),BT547)</f>
        <v/>
      </c>
      <c r="DN547" s="138">
        <f>_xlfn.CONCAT(BS547,DM547,BU547,BV547)</f>
        <v/>
      </c>
      <c r="DO547" s="307" t="inlineStr">
        <is>
          <t>https://images.evo.com/imgp/250/201401/832750/clone.jpg</t>
        </is>
      </c>
    </row>
    <row r="548" ht="15.6" customHeight="1" s="184">
      <c r="A548" s="303">
        <f>ROW()</f>
        <v/>
      </c>
      <c r="B548" s="303">
        <f t="array" ref="B548">IF(OR(ISERROR(K548:P548)),FALSE,TRUE)</f>
        <v/>
      </c>
      <c r="C548" s="60">
        <f>OR(BR548=Driver!$G$50,Data!BR564=Driver!$H$50)</f>
        <v/>
      </c>
      <c r="D548" s="60">
        <f>OR(BV548=Driver!$G$51,BV548=Driver!$H$51)</f>
        <v/>
      </c>
      <c r="E548" s="60">
        <f>AND(BX548&gt;Driver!$F$54,BX548&lt;Driver!$G$54)</f>
        <v/>
      </c>
      <c r="F548" s="60">
        <f>CL548&gt;Driver!$F$56</f>
        <v/>
      </c>
      <c r="G548" s="60">
        <f>AND(CB548&gt;Driver!$F$55,CB548&lt;Driver!$G$55)</f>
        <v/>
      </c>
      <c r="H548" s="60">
        <f>AND(B548:G548)</f>
        <v/>
      </c>
      <c r="I548" s="60">
        <f>COUNTIFS($H$9:$H$1273,TRUE,$BT$9:$BT$1273,BT548)</f>
        <v/>
      </c>
      <c r="J548" s="60">
        <f t="array" ref="J548">NOT(OR(($H$9:$H$1273=TRUE)*($I$9:$I$1273&gt;0)*($BT$9:$BT$1273=BT548)*($K$9:$K$1273&gt;K548)))</f>
        <v/>
      </c>
      <c r="K548" s="108">
        <f>IFERROR(1-AVERAGE(X548:Y548),"")</f>
        <v/>
      </c>
      <c r="L548" s="108">
        <f>1-X548</f>
        <v/>
      </c>
      <c r="M548" s="108">
        <f>1-Y548</f>
        <v/>
      </c>
      <c r="N548" s="108">
        <f>1-Z548</f>
        <v/>
      </c>
      <c r="O548" s="108">
        <f>1-AA548</f>
        <v/>
      </c>
      <c r="P548" s="108">
        <f>1-AB548</f>
        <v/>
      </c>
      <c r="Q548" s="108" t="n"/>
      <c r="R548" s="108" t="n"/>
      <c r="S548" s="108">
        <f>1-AE548</f>
        <v/>
      </c>
      <c r="T548" s="108">
        <f>1-AF548</f>
        <v/>
      </c>
      <c r="U548" s="108">
        <f>1-AG548</f>
        <v/>
      </c>
      <c r="V548" s="108">
        <f>1-AH548</f>
        <v/>
      </c>
      <c r="W548" s="108">
        <f>1-AI548</f>
        <v/>
      </c>
      <c r="X548" s="108">
        <f>ABS(AJ548-AJ$1)</f>
        <v/>
      </c>
      <c r="Y548" s="108">
        <f>AVERAGE(Z548:AB548)</f>
        <v/>
      </c>
      <c r="Z548" s="108">
        <f>ABS(AL548-AL$1)</f>
        <v/>
      </c>
      <c r="AA548" s="108">
        <f>ABS(AM548-AM$1)</f>
        <v/>
      </c>
      <c r="AB548" s="108">
        <f>ABS(AN548-AN$1)</f>
        <v/>
      </c>
      <c r="AC548" s="108" t="n"/>
      <c r="AD548" s="108" t="n"/>
      <c r="AE548" s="108">
        <f>ABS(AQ$1-AQ548)</f>
        <v/>
      </c>
      <c r="AF548" s="108">
        <f>ABS(AR$1-AR548)</f>
        <v/>
      </c>
      <c r="AG548" s="108">
        <f>ABS(AS$1-AS548)</f>
        <v/>
      </c>
      <c r="AH548" s="108">
        <f>ABS(AT$1-AT548)</f>
        <v/>
      </c>
      <c r="AI548" s="108">
        <f>ABS(AU$1-AU548)</f>
        <v/>
      </c>
      <c r="AJ548" s="108">
        <f>(AV548-Driver!$K$179)/(Driver!$L$179-Driver!$K$179)</f>
        <v/>
      </c>
      <c r="AK548" s="108">
        <f>(AW548-Driver!$K$180)/(Driver!$L$180-Driver!$K$180)</f>
        <v/>
      </c>
      <c r="AL548" s="108">
        <f>(AX548-Driver!$K$181)/(Driver!$L$181-Driver!$K$181)</f>
        <v/>
      </c>
      <c r="AM548" s="108">
        <f>(AY548-Driver!$K$182)/(Driver!$L$182-Driver!$K$182)</f>
        <v/>
      </c>
      <c r="AN548" s="108">
        <f>(AZ548-Driver!$K$183)/(Driver!$L$183-Driver!$K$183)</f>
        <v/>
      </c>
      <c r="AO548" s="108" t="n"/>
      <c r="AP548" s="108" t="n"/>
      <c r="AQ548" s="108">
        <f>(BC548-Driver!$K$188)/(Driver!$L$188-Driver!$K$188)</f>
        <v/>
      </c>
      <c r="AR548" s="108">
        <f>MIN((BD548-Driver!$K$189)/(Driver!$L$189-Driver!$K$189),100%)</f>
        <v/>
      </c>
      <c r="AS548" s="108">
        <f>(BE548-Driver!$K$190)/(Driver!$L$190-Driver!$K$190)</f>
        <v/>
      </c>
      <c r="AT548" s="108">
        <f>(BF548-Driver!$K$191)/(Driver!$L$191-Driver!$K$191)</f>
        <v/>
      </c>
      <c r="AU548" s="108">
        <f>(BG548-Driver!$K$192)/(Driver!$L$192-Driver!$K$192)</f>
        <v/>
      </c>
      <c r="AV548" s="105">
        <f>IFERROR(BM548*BJ548^1/4,"")</f>
        <v/>
      </c>
      <c r="AW548" s="105">
        <f>IFERROR(SUM(AX548:AZ548),"")</f>
        <v/>
      </c>
      <c r="AX548" s="105">
        <f>IFERROR(BH548,"")</f>
        <v/>
      </c>
      <c r="AY548" s="105">
        <f>IFERROR(Driver!$K$19/Data!BH474/Data!BI474*Data!BK474*Data!BL474,"")</f>
        <v/>
      </c>
      <c r="AZ548" s="105">
        <f>IFERROR(BI548*BN548,"")</f>
        <v/>
      </c>
      <c r="BA548" s="105" t="n"/>
      <c r="BB548" s="105" t="n"/>
      <c r="BC548" s="105">
        <f>IFERROR(BI548*BN548*BK548/BJ548^(1/2),"")</f>
        <v/>
      </c>
      <c r="BD548" s="105">
        <f>IFERROR(BH548*BM548*BL548/BJ548/BK548,"")</f>
        <v/>
      </c>
      <c r="BE548" s="105">
        <f>IFERROR(MIN(BI548/BQ548/BP548/BO548/BH548,$BE$1),"")</f>
        <v/>
      </c>
      <c r="BF548" s="105">
        <f>IFERROR(BJ548*BO548*BP548/BK548,"")</f>
        <v/>
      </c>
      <c r="BG548" s="105">
        <f>IFERROR(1/BM548/BH548*BQ548,"")</f>
        <v/>
      </c>
      <c r="BH548" s="102">
        <f>MAX((CE548-Driver!$F$200)/(Driver!$G$200-Driver!$F$200)*$BI$1,1)</f>
        <v/>
      </c>
      <c r="BI548" s="102">
        <f>MAX($BI$1*(BY548-Driver!$F$201)/(Driver!$G$201-Driver!$F$201),1)</f>
        <v/>
      </c>
      <c r="BJ548" s="102">
        <f>(CB548-Driver!$F$206)/(Driver!$G$206-Driver!$F$206)*$BI$1</f>
        <v/>
      </c>
      <c r="BK548" s="102">
        <f>(CD548-Driver!$F$203)/(Driver!$G$203-Driver!$F$203)*$BI$1</f>
        <v/>
      </c>
      <c r="BL548" s="102">
        <f>MAX((CR548-Driver!$F$202)/(Driver!$G$202-Driver!$F$202)*$BI$1,1)</f>
        <v/>
      </c>
      <c r="BM548" s="102">
        <f>MAX((CH548-Driver!$F$204)/(Driver!$G$204-Driver!$F$204)*$BI$1,1)</f>
        <v/>
      </c>
      <c r="BN548" s="102">
        <f>(CI548-Driver!$F$205)/(Driver!$G$205-Driver!$F$205)*$BI$1</f>
        <v/>
      </c>
      <c r="BO548" s="102">
        <f>(CK548-Driver!$F$207)/(Driver!$G$207-Driver!$F$207)*$BI$1</f>
        <v/>
      </c>
      <c r="BP548" s="102">
        <f>(CM548-Driver!$F$208)/(Driver!$G$208-Driver!$F$208)*$BI$1</f>
        <v/>
      </c>
      <c r="BQ548" s="102">
        <f>(CL548-Driver!$F$209)/(Driver!$G$209-Driver!$F$209)*$BI$1</f>
        <v/>
      </c>
      <c r="BR548" s="40" t="inlineStr">
        <is>
          <t>21/22</t>
        </is>
      </c>
      <c r="BS548" s="10" t="inlineStr">
        <is>
          <t xml:space="preserve"> Fischer</t>
        </is>
      </c>
      <c r="BT548" s="11" t="inlineStr">
        <is>
          <t>Ranger 102 FR W</t>
        </is>
      </c>
      <c r="BU548" s="13" t="n">
        <v>163</v>
      </c>
      <c r="BV548" s="11" t="inlineStr">
        <is>
          <t xml:space="preserve"> Women's</t>
        </is>
      </c>
      <c r="BW548" s="13" t="n">
        <v>163</v>
      </c>
      <c r="BX548" s="13" t="n">
        <v>162.4</v>
      </c>
      <c r="BY548" s="13" t="n">
        <v>106</v>
      </c>
      <c r="BZ548" s="13" t="n">
        <v>134</v>
      </c>
      <c r="CA548" s="13" t="n">
        <v>134</v>
      </c>
      <c r="CB548" s="13" t="n">
        <v>99</v>
      </c>
      <c r="CC548" s="13" t="n">
        <v>124</v>
      </c>
      <c r="CD548" s="13" t="n">
        <v>12.7</v>
      </c>
      <c r="CE548" s="13" t="n">
        <v>1609</v>
      </c>
      <c r="CF548" s="13" t="n">
        <v>1.13</v>
      </c>
      <c r="CG548" s="13" t="n">
        <v>1821</v>
      </c>
      <c r="CH548" s="13" t="n">
        <v>170</v>
      </c>
      <c r="CI548" s="13" t="n">
        <v>82</v>
      </c>
      <c r="CJ548" s="13" t="n">
        <v>51</v>
      </c>
      <c r="CK548" s="13" t="n">
        <v>345</v>
      </c>
      <c r="CL548" s="13" t="n">
        <v>32</v>
      </c>
      <c r="CM548" s="13" t="n">
        <v>218</v>
      </c>
      <c r="CN548" s="13" t="n">
        <v>0.623</v>
      </c>
      <c r="CO548" s="13" t="n">
        <v>143</v>
      </c>
      <c r="CP548" s="13" t="n">
        <v>145</v>
      </c>
      <c r="CQ548" s="13" t="n">
        <v>202</v>
      </c>
      <c r="CR548" s="13" t="n">
        <v>5</v>
      </c>
      <c r="CS548" s="13" t="n">
        <v>9.9</v>
      </c>
      <c r="CT548" s="11" t="inlineStr">
        <is>
          <t xml:space="preserve"> Resort Freeride</t>
        </is>
      </c>
      <c r="CU548" s="11" t="inlineStr">
        <is>
          <t xml:space="preserve"> Touring</t>
        </is>
      </c>
      <c r="CV548" s="13" t="n"/>
      <c r="CW548" s="13" t="n"/>
      <c r="CX548">
        <f>INDEX('Data_Price '!AG$2:AG$1266,MATCH(Data!$DN548,'Data_Price '!$AT$2:$AT$1266,0))</f>
        <v/>
      </c>
      <c r="CY548">
        <f>INDEX('Data_Price '!AH$2:AH$1266,MATCH(Data!$DN548,'Data_Price '!$AT$2:$AT$1266,0))</f>
        <v/>
      </c>
      <c r="CZ548">
        <f>INDEX('Data_Price '!AI$2:AI$1266,MATCH(Data!$DN548,'Data_Price '!$AT$2:$AT$1266,0))</f>
        <v/>
      </c>
      <c r="DA548">
        <f>INDEX('Data_Price '!AJ$2:AJ$1266,MATCH(Data!$DN548,'Data_Price '!$AT$2:$AT$1266,0))</f>
        <v/>
      </c>
      <c r="DB548">
        <f>INDEX('Data_Price '!AK$2:AK$1266,MATCH(Data!$DN548,'Data_Price '!$AT$2:$AT$1266,0))</f>
        <v/>
      </c>
      <c r="DC548">
        <f>INDEX('Data_Price '!AL$2:AL$1266,MATCH(Data!$DN548,'Data_Price '!$AT$2:$AT$1266,0))</f>
        <v/>
      </c>
      <c r="DD548">
        <f>INDEX('Data_Price '!AM$2:AM$1266,MATCH(Data!$DN548,'Data_Price '!$AT$2:$AT$1266,0))</f>
        <v/>
      </c>
      <c r="DE548">
        <f>INDEX('Data_Price '!AN$2:AN$1266,MATCH(Data!$DN548,'Data_Price '!$AT$2:$AT$1266,0))</f>
        <v/>
      </c>
      <c r="DF548">
        <f>INDEX('Data_Price '!AO$2:AO$1266,MATCH(Data!$DN548,'Data_Price '!$AT$2:$AT$1266,0))</f>
        <v/>
      </c>
      <c r="DG548">
        <f>INDEX('Data_Price '!AP$2:AP$1266,MATCH(Data!$DN548,'Data_Price '!$AT$2:$AT$1266,0))</f>
        <v/>
      </c>
      <c r="DH548">
        <f>INDEX('Data_Price '!AQ$2:AQ$1266,MATCH(Data!$DN548,'Data_Price '!$AT$2:$AT$1266,0))</f>
        <v/>
      </c>
      <c r="DI548">
        <f>INDEX('Data_Price '!AR$2:AR$1266,MATCH(Data!$DN548,'Data_Price '!$AT$2:$AT$1266,0))</f>
        <v/>
      </c>
      <c r="DJ548" s="138">
        <f>DA548</f>
        <v/>
      </c>
      <c r="DK548" s="138">
        <f>DE548</f>
        <v/>
      </c>
      <c r="DL548" s="138">
        <f>DI548</f>
        <v/>
      </c>
      <c r="DM548" s="303">
        <f>IF(LEFT(BT548,1)=" ",RIGHT(BT548,LEN(BT548)-1),BT548)</f>
        <v/>
      </c>
      <c r="DN548" s="138">
        <f>_xlfn.CONCAT(BS548,DM548,BU548,BV548)</f>
        <v/>
      </c>
      <c r="DO548" s="307" t="n"/>
    </row>
    <row r="549" ht="15.6" customHeight="1" s="184">
      <c r="B549" s="303">
        <f t="array" ref="B549">IF(OR(ISERROR(K549:P549)),FALSE,TRUE)</f>
        <v/>
      </c>
      <c r="C549" s="60">
        <f>OR(BR549=Driver!$G$50,Data!BR163=Driver!$H$50)</f>
        <v/>
      </c>
      <c r="D549" s="60">
        <f>OR(BV549=Driver!$G$51,BV549=Driver!$H$51)</f>
        <v/>
      </c>
      <c r="E549" s="60">
        <f>AND(BX549&gt;Driver!$F$54,BX549&lt;Driver!$G$54)</f>
        <v/>
      </c>
      <c r="F549" s="60">
        <f>CL549&gt;Driver!$F$56</f>
        <v/>
      </c>
      <c r="G549" s="60">
        <f>AND(CB549&gt;Driver!$F$55,CB549&lt;Driver!$G$55)</f>
        <v/>
      </c>
      <c r="H549" s="60">
        <f>AND(B549:G549)</f>
        <v/>
      </c>
      <c r="I549" s="60">
        <f>COUNTIFS($H$9:$H$1273,TRUE,$BT$9:$BT$1273,BT549)</f>
        <v/>
      </c>
      <c r="J549" s="60">
        <f t="array" ref="J549">NOT(OR(($H$9:$H$1273=TRUE)*($I$9:$I$1273&gt;0)*($BT$9:$BT$1273=BT549)*($K$9:$K$1273&gt;K549)))</f>
        <v/>
      </c>
      <c r="K549" s="108">
        <f>IFERROR(1-AVERAGE(X549:Y549),"")</f>
        <v/>
      </c>
      <c r="L549" s="108">
        <f>1-X549</f>
        <v/>
      </c>
      <c r="M549" s="108">
        <f>1-Y549</f>
        <v/>
      </c>
      <c r="N549" s="108">
        <f>1-Z549</f>
        <v/>
      </c>
      <c r="O549" s="108">
        <f>1-AA549</f>
        <v/>
      </c>
      <c r="P549" s="108">
        <f>1-AB549</f>
        <v/>
      </c>
      <c r="Q549" s="108" t="n"/>
      <c r="R549" s="108" t="n"/>
      <c r="S549" s="108">
        <f>1-AE549</f>
        <v/>
      </c>
      <c r="T549" s="108">
        <f>1-AF549</f>
        <v/>
      </c>
      <c r="U549" s="108">
        <f>1-AG549</f>
        <v/>
      </c>
      <c r="V549" s="108">
        <f>1-AH549</f>
        <v/>
      </c>
      <c r="W549" s="108">
        <f>1-AI549</f>
        <v/>
      </c>
      <c r="X549" s="108">
        <f>ABS(AJ549-AJ$1)</f>
        <v/>
      </c>
      <c r="Y549" s="108">
        <f>AVERAGE(Z549:AB549)</f>
        <v/>
      </c>
      <c r="Z549" s="108">
        <f>ABS(AL549-AL$1)</f>
        <v/>
      </c>
      <c r="AA549" s="108">
        <f>ABS(AM549-AM$1)</f>
        <v/>
      </c>
      <c r="AB549" s="108">
        <f>ABS(AN549-AN$1)</f>
        <v/>
      </c>
      <c r="AC549" s="108" t="n"/>
      <c r="AD549" s="108" t="n"/>
      <c r="AE549" s="108">
        <f>ABS(AQ$1-AQ549)</f>
        <v/>
      </c>
      <c r="AF549" s="108">
        <f>ABS(AR$1-AR549)</f>
        <v/>
      </c>
      <c r="AG549" s="108">
        <f>ABS(AS$1-AS549)</f>
        <v/>
      </c>
      <c r="AH549" s="108">
        <f>ABS(AT$1-AT549)</f>
        <v/>
      </c>
      <c r="AI549" s="108">
        <f>ABS(AU$1-AU549)</f>
        <v/>
      </c>
      <c r="AJ549" s="108">
        <f>(AV549-Driver!$K$179)/(Driver!$L$179-Driver!$K$179)</f>
        <v/>
      </c>
      <c r="AK549" s="108">
        <f>(AW549-Driver!$K$180)/(Driver!$L$180-Driver!$K$180)</f>
        <v/>
      </c>
      <c r="AL549" s="108">
        <f>(AX549-Driver!$K$181)/(Driver!$L$181-Driver!$K$181)</f>
        <v/>
      </c>
      <c r="AM549" s="108">
        <f>(AY549-Driver!$K$182)/(Driver!$L$182-Driver!$K$182)</f>
        <v/>
      </c>
      <c r="AN549" s="108">
        <f>(AZ549-Driver!$K$183)/(Driver!$L$183-Driver!$K$183)</f>
        <v/>
      </c>
      <c r="AO549" s="108" t="n"/>
      <c r="AP549" s="108" t="n"/>
      <c r="AQ549" s="108">
        <f>(BC549-Driver!$K$188)/(Driver!$L$188-Driver!$K$188)</f>
        <v/>
      </c>
      <c r="AR549" s="108">
        <f>MIN((BD549-Driver!$K$189)/(Driver!$L$189-Driver!$K$189),100%)</f>
        <v/>
      </c>
      <c r="AS549" s="108">
        <f>(BE549-Driver!$K$190)/(Driver!$L$190-Driver!$K$190)</f>
        <v/>
      </c>
      <c r="AT549" s="108">
        <f>(BF549-Driver!$K$191)/(Driver!$L$191-Driver!$K$191)</f>
        <v/>
      </c>
      <c r="AU549" s="108">
        <f>(BG549-Driver!$K$192)/(Driver!$L$192-Driver!$K$192)</f>
        <v/>
      </c>
      <c r="AV549" s="105">
        <f>IFERROR(BM549*BJ549^1/4,"")</f>
        <v/>
      </c>
      <c r="AW549" s="105">
        <f>IFERROR(SUM(AX549:AZ549),"")</f>
        <v/>
      </c>
      <c r="AX549" s="105">
        <f>IFERROR(BH549,"")</f>
        <v/>
      </c>
      <c r="AY549" s="105">
        <f>IFERROR(Driver!$K$19/Data!BH549/Data!BI549*Data!BK549*Data!BL549,"")</f>
        <v/>
      </c>
      <c r="AZ549" s="105">
        <f>IFERROR(BI549*BN549,"")</f>
        <v/>
      </c>
      <c r="BA549" s="105" t="n"/>
      <c r="BB549" s="105" t="n"/>
      <c r="BC549" s="105">
        <f>IFERROR(BI549*BN549*BK549/BJ549^(1/2),"")</f>
        <v/>
      </c>
      <c r="BD549" s="105">
        <f>IFERROR(BH549*BM549*BL549/BJ549/BK549,"")</f>
        <v/>
      </c>
      <c r="BE549" s="105">
        <f>IFERROR(MIN(BI549/BQ549/BP549/BO549/BH549,$BE$1),"")</f>
        <v/>
      </c>
      <c r="BF549" s="105">
        <f>IFERROR(BJ549*BO549*BP549/BK549,"")</f>
        <v/>
      </c>
      <c r="BG549" s="105">
        <f>IFERROR(1/BM549/BH549*BQ549,"")</f>
        <v/>
      </c>
      <c r="BH549" s="102">
        <f>MAX((CE549-Driver!$F$200)/(Driver!$G$200-Driver!$F$200)*$BI$1,1)</f>
        <v/>
      </c>
      <c r="BI549" s="102">
        <f>MAX($BI$1*(BY549-Driver!$F$201)/(Driver!$G$201-Driver!$F$201),1)</f>
        <v/>
      </c>
      <c r="BJ549" s="102">
        <f>(CB549-Driver!$F$206)/(Driver!$G$206-Driver!$F$206)*$BI$1</f>
        <v/>
      </c>
      <c r="BK549" s="102">
        <f>(CD549-Driver!$F$203)/(Driver!$G$203-Driver!$F$203)*$BI$1</f>
        <v/>
      </c>
      <c r="BL549" s="102">
        <f>MAX((CR549-Driver!$F$202)/(Driver!$G$202-Driver!$F$202)*$BI$1,1)</f>
        <v/>
      </c>
      <c r="BM549" s="102">
        <f>MAX((CH549-Driver!$F$204)/(Driver!$G$204-Driver!$F$204)*$BI$1,1)</f>
        <v/>
      </c>
      <c r="BN549" s="102">
        <f>(CI549-Driver!$F$205)/(Driver!$G$205-Driver!$F$205)*$BI$1</f>
        <v/>
      </c>
      <c r="BO549" s="102">
        <f>(CK549-Driver!$F$207)/(Driver!$G$207-Driver!$F$207)*$BI$1</f>
        <v/>
      </c>
      <c r="BP549" s="102">
        <f>(CM549-Driver!$F$208)/(Driver!$G$208-Driver!$F$208)*$BI$1</f>
        <v/>
      </c>
      <c r="BQ549" s="102">
        <f>(CL549-Driver!$F$209)/(Driver!$G$209-Driver!$F$209)*$BI$1</f>
        <v/>
      </c>
      <c r="BR549" s="40" t="inlineStr">
        <is>
          <t>21/22</t>
        </is>
      </c>
      <c r="BS549" s="10" t="inlineStr">
        <is>
          <t xml:space="preserve"> Atomic</t>
        </is>
      </c>
      <c r="BT549" s="11" t="inlineStr">
        <is>
          <t>Maverick 86 C</t>
        </is>
      </c>
      <c r="BU549" s="13" t="n">
        <v>161</v>
      </c>
      <c r="BV549" s="11" t="inlineStr">
        <is>
          <t xml:space="preserve"> Unisex</t>
        </is>
      </c>
      <c r="BW549" s="13" t="n">
        <v>161</v>
      </c>
      <c r="BX549" s="13" t="n">
        <v>160.1</v>
      </c>
      <c r="BY549" s="13" t="n">
        <v>114</v>
      </c>
      <c r="BZ549" s="13" t="n">
        <v>135</v>
      </c>
      <c r="CA549" s="13" t="n">
        <v>121</v>
      </c>
      <c r="CB549" s="13" t="n">
        <v>86</v>
      </c>
      <c r="CC549" s="13" t="n">
        <v>104</v>
      </c>
      <c r="CD549" s="13" t="n">
        <v>15.6</v>
      </c>
      <c r="CE549" s="13" t="n">
        <v>1400</v>
      </c>
      <c r="CF549" s="13" t="n">
        <v>1.11</v>
      </c>
      <c r="CG549" s="13" t="n">
        <v>1548</v>
      </c>
      <c r="CH549" s="13" t="n">
        <v>180</v>
      </c>
      <c r="CI549" s="13" t="n">
        <v>86</v>
      </c>
      <c r="CJ549" s="13" t="n">
        <v>48</v>
      </c>
      <c r="CK549" s="13" t="n">
        <v>282</v>
      </c>
      <c r="CL549" s="13" t="n">
        <v>11</v>
      </c>
      <c r="CM549" s="13" t="n">
        <v>183</v>
      </c>
      <c r="CN549" s="13" t="n">
        <v>0.225</v>
      </c>
      <c r="CO549" s="13" t="n">
        <v>153</v>
      </c>
      <c r="CP549" s="13" t="n">
        <v>103</v>
      </c>
      <c r="CQ549" s="13" t="n">
        <v>128</v>
      </c>
      <c r="CR549" s="13" t="n">
        <v>5</v>
      </c>
      <c r="CS549" s="13" t="n">
        <v>8.800000000000001</v>
      </c>
      <c r="CT549" s="11" t="inlineStr">
        <is>
          <t xml:space="preserve"> Resort Freeride</t>
        </is>
      </c>
      <c r="CU549" s="11" t="inlineStr">
        <is>
          <t xml:space="preserve"> Touring</t>
        </is>
      </c>
      <c r="CV549" s="13" t="n"/>
      <c r="CW549" s="13" t="n"/>
      <c r="CX549">
        <f>INDEX('Data_Price '!AG$2:AG$1266,MATCH(Data!$DN549,'Data_Price '!$AT$2:$AT$1266,0))</f>
        <v/>
      </c>
      <c r="CY549">
        <f>INDEX('Data_Price '!AH$2:AH$1266,MATCH(Data!$DN549,'Data_Price '!$AT$2:$AT$1266,0))</f>
        <v/>
      </c>
      <c r="CZ549">
        <f>INDEX('Data_Price '!AI$2:AI$1266,MATCH(Data!$DN549,'Data_Price '!$AT$2:$AT$1266,0))</f>
        <v/>
      </c>
      <c r="DA549">
        <f>INDEX('Data_Price '!AJ$2:AJ$1266,MATCH(Data!$DN549,'Data_Price '!$AT$2:$AT$1266,0))</f>
        <v/>
      </c>
      <c r="DB549">
        <f>INDEX('Data_Price '!AK$2:AK$1266,MATCH(Data!$DN549,'Data_Price '!$AT$2:$AT$1266,0))</f>
        <v/>
      </c>
      <c r="DC549">
        <f>INDEX('Data_Price '!AL$2:AL$1266,MATCH(Data!$DN549,'Data_Price '!$AT$2:$AT$1266,0))</f>
        <v/>
      </c>
      <c r="DD549">
        <f>INDEX('Data_Price '!AM$2:AM$1266,MATCH(Data!$DN549,'Data_Price '!$AT$2:$AT$1266,0))</f>
        <v/>
      </c>
      <c r="DE549">
        <f>INDEX('Data_Price '!AN$2:AN$1266,MATCH(Data!$DN549,'Data_Price '!$AT$2:$AT$1266,0))</f>
        <v/>
      </c>
      <c r="DF549">
        <f>INDEX('Data_Price '!AO$2:AO$1266,MATCH(Data!$DN549,'Data_Price '!$AT$2:$AT$1266,0))</f>
        <v/>
      </c>
      <c r="DG549">
        <f>INDEX('Data_Price '!AP$2:AP$1266,MATCH(Data!$DN549,'Data_Price '!$AT$2:$AT$1266,0))</f>
        <v/>
      </c>
      <c r="DH549">
        <f>INDEX('Data_Price '!AQ$2:AQ$1266,MATCH(Data!$DN549,'Data_Price '!$AT$2:$AT$1266,0))</f>
        <v/>
      </c>
      <c r="DI549">
        <f>INDEX('Data_Price '!AR$2:AR$1266,MATCH(Data!$DN549,'Data_Price '!$AT$2:$AT$1266,0))</f>
        <v/>
      </c>
      <c r="DJ549" s="138">
        <f>DA549</f>
        <v/>
      </c>
      <c r="DK549" s="138">
        <f>DE549</f>
        <v/>
      </c>
      <c r="DL549" s="138">
        <f>DI549</f>
        <v/>
      </c>
      <c r="DM549" s="303">
        <f>IF(LEFT(BT549,1)=" ",RIGHT(BT549,LEN(BT549)-1),BT549)</f>
        <v/>
      </c>
      <c r="DN549" s="138">
        <f>_xlfn.CONCAT(BS549,DM549,BU549,BV549)</f>
        <v/>
      </c>
      <c r="DO549" s="307" t="inlineStr">
        <is>
          <t>https://images.evo.com/imgp/250/197733/826787/clone.jpg</t>
        </is>
      </c>
    </row>
    <row r="550" ht="15.6" customHeight="1" s="184">
      <c r="B550" s="303">
        <f t="array" ref="B550">IF(OR(ISERROR(K550:P550)),FALSE,TRUE)</f>
        <v/>
      </c>
      <c r="C550" s="60">
        <f>OR(BR550=Driver!$G$50,Data!BR1021=Driver!$H$50)</f>
        <v/>
      </c>
      <c r="D550" s="60">
        <f>OR(BV550=Driver!$G$51,BV550=Driver!$H$51)</f>
        <v/>
      </c>
      <c r="E550" s="60">
        <f>AND(BX550&gt;Driver!$F$54,BX550&lt;Driver!$G$54)</f>
        <v/>
      </c>
      <c r="F550" s="60">
        <f>CL550&gt;Driver!$F$56</f>
        <v/>
      </c>
      <c r="G550" s="60">
        <f>AND(CB550&gt;Driver!$F$55,CB550&lt;Driver!$G$55)</f>
        <v/>
      </c>
      <c r="H550" s="60">
        <f>AND(B550:G550)</f>
        <v/>
      </c>
      <c r="I550" s="60">
        <f>COUNTIFS($H$9:$H$1273,TRUE,$BT$9:$BT$1273,BT550)</f>
        <v/>
      </c>
      <c r="J550" s="60">
        <f t="array" ref="J550">NOT(OR(($H$9:$H$1273=TRUE)*($I$9:$I$1273&gt;0)*($BT$9:$BT$1273=BT550)*($K$9:$K$1273&gt;K550)))</f>
        <v/>
      </c>
      <c r="K550" s="108">
        <f>IFERROR(1-AVERAGE(X550:Y550),"")</f>
        <v/>
      </c>
      <c r="L550" s="108">
        <f>1-X550</f>
        <v/>
      </c>
      <c r="M550" s="108">
        <f>1-Y550</f>
        <v/>
      </c>
      <c r="N550" s="108">
        <f>1-Z550</f>
        <v/>
      </c>
      <c r="O550" s="108">
        <f>1-AA550</f>
        <v/>
      </c>
      <c r="P550" s="108">
        <f>1-AB550</f>
        <v/>
      </c>
      <c r="Q550" s="108" t="n"/>
      <c r="R550" s="108" t="n"/>
      <c r="S550" s="108">
        <f>1-AE550</f>
        <v/>
      </c>
      <c r="T550" s="108">
        <f>1-AF550</f>
        <v/>
      </c>
      <c r="U550" s="108">
        <f>1-AG550</f>
        <v/>
      </c>
      <c r="V550" s="108">
        <f>1-AH550</f>
        <v/>
      </c>
      <c r="W550" s="108">
        <f>1-AI550</f>
        <v/>
      </c>
      <c r="X550" s="108">
        <f>ABS(AJ550-AJ$1)</f>
        <v/>
      </c>
      <c r="Y550" s="108">
        <f>AVERAGE(Z550:AB550)</f>
        <v/>
      </c>
      <c r="Z550" s="108">
        <f>ABS(AL550-AL$1)</f>
        <v/>
      </c>
      <c r="AA550" s="108">
        <f>ABS(AM550-AM$1)</f>
        <v/>
      </c>
      <c r="AB550" s="108">
        <f>ABS(AN550-AN$1)</f>
        <v/>
      </c>
      <c r="AC550" s="108" t="n"/>
      <c r="AD550" s="108" t="n"/>
      <c r="AE550" s="108">
        <f>ABS(AQ$1-AQ550)</f>
        <v/>
      </c>
      <c r="AF550" s="108">
        <f>ABS(AR$1-AR550)</f>
        <v/>
      </c>
      <c r="AG550" s="108">
        <f>ABS(AS$1-AS550)</f>
        <v/>
      </c>
      <c r="AH550" s="108">
        <f>ABS(AT$1-AT550)</f>
        <v/>
      </c>
      <c r="AI550" s="108">
        <f>ABS(AU$1-AU550)</f>
        <v/>
      </c>
      <c r="AJ550" s="108">
        <f>(AV550-Driver!$K$179)/(Driver!$L$179-Driver!$K$179)</f>
        <v/>
      </c>
      <c r="AK550" s="108">
        <f>(AW550-Driver!$K$180)/(Driver!$L$180-Driver!$K$180)</f>
        <v/>
      </c>
      <c r="AL550" s="108">
        <f>(AX550-Driver!$K$181)/(Driver!$L$181-Driver!$K$181)</f>
        <v/>
      </c>
      <c r="AM550" s="108">
        <f>(AY550-Driver!$K$182)/(Driver!$L$182-Driver!$K$182)</f>
        <v/>
      </c>
      <c r="AN550" s="108">
        <f>(AZ550-Driver!$K$183)/(Driver!$L$183-Driver!$K$183)</f>
        <v/>
      </c>
      <c r="AO550" s="108" t="n"/>
      <c r="AP550" s="108" t="n"/>
      <c r="AQ550" s="108">
        <f>(BC550-Driver!$K$188)/(Driver!$L$188-Driver!$K$188)</f>
        <v/>
      </c>
      <c r="AR550" s="108">
        <f>MIN((BD550-Driver!$K$189)/(Driver!$L$189-Driver!$K$189),100%)</f>
        <v/>
      </c>
      <c r="AS550" s="108">
        <f>(BE550-Driver!$K$190)/(Driver!$L$190-Driver!$K$190)</f>
        <v/>
      </c>
      <c r="AT550" s="108">
        <f>(BF550-Driver!$K$191)/(Driver!$L$191-Driver!$K$191)</f>
        <v/>
      </c>
      <c r="AU550" s="108">
        <f>(BG550-Driver!$K$192)/(Driver!$L$192-Driver!$K$192)</f>
        <v/>
      </c>
      <c r="AV550" s="105">
        <f>IFERROR(BM550*BJ550^1/4,"")</f>
        <v/>
      </c>
      <c r="AW550" s="105">
        <f>IFERROR(SUM(AX550:AZ550),"")</f>
        <v/>
      </c>
      <c r="AX550" s="105">
        <f>IFERROR(BH550,"")</f>
        <v/>
      </c>
      <c r="AY550" s="105">
        <f>IFERROR(Driver!$K$19/Data!BH550/Data!BI550*Data!BK550*Data!BL550,"")</f>
        <v/>
      </c>
      <c r="AZ550" s="105">
        <f>IFERROR(BI550*BN550,"")</f>
        <v/>
      </c>
      <c r="BA550" s="105" t="n"/>
      <c r="BB550" s="105" t="n"/>
      <c r="BC550" s="105">
        <f>IFERROR(BI550*BN550*BK550/BJ550^(1/2),"")</f>
        <v/>
      </c>
      <c r="BD550" s="105">
        <f>IFERROR(BH550*BM550*BL550/BJ550/BK550,"")</f>
        <v/>
      </c>
      <c r="BE550" s="105">
        <f>IFERROR(MIN(BI550/BQ550/BP550/BO550/BH550,$BE$1),"")</f>
        <v/>
      </c>
      <c r="BF550" s="105">
        <f>IFERROR(BJ550*BO550*BP550/BK550,"")</f>
        <v/>
      </c>
      <c r="BG550" s="105">
        <f>IFERROR(1/BM550/BH550*BQ550,"")</f>
        <v/>
      </c>
      <c r="BH550" s="102">
        <f>MAX((CE550-Driver!$F$200)/(Driver!$G$200-Driver!$F$200)*$BI$1,1)</f>
        <v/>
      </c>
      <c r="BI550" s="102">
        <f>MAX($BI$1*(BY550-Driver!$F$201)/(Driver!$G$201-Driver!$F$201),1)</f>
        <v/>
      </c>
      <c r="BJ550" s="102">
        <f>(CB550-Driver!$F$206)/(Driver!$G$206-Driver!$F$206)*$BI$1</f>
        <v/>
      </c>
      <c r="BK550" s="102">
        <f>(CD550-Driver!$F$203)/(Driver!$G$203-Driver!$F$203)*$BI$1</f>
        <v/>
      </c>
      <c r="BL550" s="102">
        <f>MAX((CR550-Driver!$F$202)/(Driver!$G$202-Driver!$F$202)*$BI$1,1)</f>
        <v/>
      </c>
      <c r="BM550" s="102">
        <f>MAX((CH550-Driver!$F$204)/(Driver!$G$204-Driver!$F$204)*$BI$1,1)</f>
        <v/>
      </c>
      <c r="BN550" s="102">
        <f>(CI550-Driver!$F$205)/(Driver!$G$205-Driver!$F$205)*$BI$1</f>
        <v/>
      </c>
      <c r="BO550" s="102">
        <f>(CK550-Driver!$F$207)/(Driver!$G$207-Driver!$F$207)*$BI$1</f>
        <v/>
      </c>
      <c r="BP550" s="102">
        <f>(CM550-Driver!$F$208)/(Driver!$G$208-Driver!$F$208)*$BI$1</f>
        <v/>
      </c>
      <c r="BQ550" s="102">
        <f>(CL550-Driver!$F$209)/(Driver!$G$209-Driver!$F$209)*$BI$1</f>
        <v/>
      </c>
      <c r="BR550" s="40" t="inlineStr">
        <is>
          <t>21/22</t>
        </is>
      </c>
      <c r="BS550" s="10" t="inlineStr">
        <is>
          <t xml:space="preserve"> Rossignol</t>
        </is>
      </c>
      <c r="BT550" s="11" t="inlineStr">
        <is>
          <t>Experience 86 Basalt W</t>
        </is>
      </c>
      <c r="BU550" s="13" t="n">
        <v>166</v>
      </c>
      <c r="BV550" s="11" t="inlineStr">
        <is>
          <t xml:space="preserve"> Women's</t>
        </is>
      </c>
      <c r="BW550" s="13" t="n">
        <v>166</v>
      </c>
      <c r="BX550" s="13" t="n">
        <v>166.5</v>
      </c>
      <c r="BY550" s="13" t="n">
        <v>128</v>
      </c>
      <c r="BZ550" s="13" t="n">
        <v>153</v>
      </c>
      <c r="CA550" s="13" t="n">
        <v>131</v>
      </c>
      <c r="CB550" s="13" t="n">
        <v>84</v>
      </c>
      <c r="CC550" s="13" t="n">
        <v>120</v>
      </c>
      <c r="CD550" s="13" t="n">
        <v>13.6</v>
      </c>
      <c r="CE550" s="13" t="n">
        <v>1821</v>
      </c>
      <c r="CF550" s="13" t="n">
        <v>0.91</v>
      </c>
      <c r="CG550" s="13" t="n">
        <v>1657</v>
      </c>
      <c r="CH550" s="13" t="n">
        <v>202</v>
      </c>
      <c r="CI550" s="13" t="n">
        <v>87</v>
      </c>
      <c r="CJ550" s="13" t="n">
        <v>46</v>
      </c>
      <c r="CK550" s="13" t="n">
        <v>259</v>
      </c>
      <c r="CL550" s="13" t="n">
        <v>13</v>
      </c>
      <c r="CM550" s="13" t="n">
        <v>129</v>
      </c>
      <c r="CN550" s="13" t="n">
        <v>0.273</v>
      </c>
      <c r="CO550" s="13" t="n">
        <v>73</v>
      </c>
      <c r="CP550" s="13" t="n">
        <v>64</v>
      </c>
      <c r="CQ550" s="13" t="n">
        <v>186</v>
      </c>
      <c r="CR550" s="13" t="n">
        <v>9</v>
      </c>
      <c r="CS550" s="13" t="n">
        <v>6.8</v>
      </c>
      <c r="CT550" s="11" t="inlineStr">
        <is>
          <t xml:space="preserve"> Resort Freeride</t>
        </is>
      </c>
      <c r="CU550" s="13" t="n"/>
      <c r="CV550" s="13" t="n"/>
      <c r="CW550" s="13" t="n"/>
      <c r="CX550">
        <f>INDEX('Data_Price '!AG$2:AG$1266,MATCH(Data!$DN550,'Data_Price '!$AT$2:$AT$1266,0))</f>
        <v/>
      </c>
      <c r="CY550">
        <f>INDEX('Data_Price '!AH$2:AH$1266,MATCH(Data!$DN550,'Data_Price '!$AT$2:$AT$1266,0))</f>
        <v/>
      </c>
      <c r="CZ550">
        <f>INDEX('Data_Price '!AI$2:AI$1266,MATCH(Data!$DN550,'Data_Price '!$AT$2:$AT$1266,0))</f>
        <v/>
      </c>
      <c r="DA550">
        <f>INDEX('Data_Price '!AJ$2:AJ$1266,MATCH(Data!$DN550,'Data_Price '!$AT$2:$AT$1266,0))</f>
        <v/>
      </c>
      <c r="DB550">
        <f>INDEX('Data_Price '!AK$2:AK$1266,MATCH(Data!$DN550,'Data_Price '!$AT$2:$AT$1266,0))</f>
        <v/>
      </c>
      <c r="DC550">
        <f>INDEX('Data_Price '!AL$2:AL$1266,MATCH(Data!$DN550,'Data_Price '!$AT$2:$AT$1266,0))</f>
        <v/>
      </c>
      <c r="DD550">
        <f>INDEX('Data_Price '!AM$2:AM$1266,MATCH(Data!$DN550,'Data_Price '!$AT$2:$AT$1266,0))</f>
        <v/>
      </c>
      <c r="DE550">
        <f>INDEX('Data_Price '!AN$2:AN$1266,MATCH(Data!$DN550,'Data_Price '!$AT$2:$AT$1266,0))</f>
        <v/>
      </c>
      <c r="DF550">
        <f>INDEX('Data_Price '!AO$2:AO$1266,MATCH(Data!$DN550,'Data_Price '!$AT$2:$AT$1266,0))</f>
        <v/>
      </c>
      <c r="DG550">
        <f>INDEX('Data_Price '!AP$2:AP$1266,MATCH(Data!$DN550,'Data_Price '!$AT$2:$AT$1266,0))</f>
        <v/>
      </c>
      <c r="DH550">
        <f>INDEX('Data_Price '!AQ$2:AQ$1266,MATCH(Data!$DN550,'Data_Price '!$AT$2:$AT$1266,0))</f>
        <v/>
      </c>
      <c r="DI550">
        <f>INDEX('Data_Price '!AR$2:AR$1266,MATCH(Data!$DN550,'Data_Price '!$AT$2:$AT$1266,0))</f>
        <v/>
      </c>
      <c r="DJ550" s="138">
        <f>DA550</f>
        <v/>
      </c>
      <c r="DK550" s="138">
        <f>DE550</f>
        <v/>
      </c>
      <c r="DL550" s="138">
        <f>DI550</f>
        <v/>
      </c>
      <c r="DM550" s="303">
        <f>IF(LEFT(BT550,1)=" ",RIGHT(BT550,LEN(BT550)-1),BT550)</f>
        <v/>
      </c>
      <c r="DN550" s="138">
        <f>_xlfn.CONCAT(BS550,DM550,BU550,BV550)</f>
        <v/>
      </c>
      <c r="DO550" s="307" t="inlineStr">
        <is>
          <t>https://images.evo.com/imgp/250/201421/837472/clone.jpg</t>
        </is>
      </c>
    </row>
    <row r="551" ht="15.6" customHeight="1" s="184">
      <c r="B551" s="303">
        <f t="array" ref="B551">IF(OR(ISERROR(K551:P551)),FALSE,TRUE)</f>
        <v/>
      </c>
      <c r="C551" s="60">
        <f>OR(BR551=Driver!$G$50,Data!BR938=Driver!$H$50)</f>
        <v/>
      </c>
      <c r="D551" s="60">
        <f>OR(BV551=Driver!$G$51,BV551=Driver!$H$51)</f>
        <v/>
      </c>
      <c r="E551" s="60">
        <f>AND(BX551&gt;Driver!$F$54,BX551&lt;Driver!$G$54)</f>
        <v/>
      </c>
      <c r="F551" s="60">
        <f>CL551&gt;Driver!$F$56</f>
        <v/>
      </c>
      <c r="G551" s="60">
        <f>AND(CB551&gt;Driver!$F$55,CB551&lt;Driver!$G$55)</f>
        <v/>
      </c>
      <c r="H551" s="60">
        <f>AND(B551:G551)</f>
        <v/>
      </c>
      <c r="I551" s="60">
        <f>COUNTIFS($H$9:$H$1273,TRUE,$BT$9:$BT$1273,BT551)</f>
        <v/>
      </c>
      <c r="J551" s="60">
        <f t="array" ref="J551">NOT(OR(($H$9:$H$1273=TRUE)*($I$9:$I$1273&gt;0)*($BT$9:$BT$1273=BT551)*($K$9:$K$1273&gt;K551)))</f>
        <v/>
      </c>
      <c r="K551" s="108">
        <f>IFERROR(1-AVERAGE(X551:Y551),"")</f>
        <v/>
      </c>
      <c r="L551" s="108">
        <f>1-X551</f>
        <v/>
      </c>
      <c r="M551" s="108">
        <f>1-Y551</f>
        <v/>
      </c>
      <c r="N551" s="108">
        <f>1-Z551</f>
        <v/>
      </c>
      <c r="O551" s="108">
        <f>1-AA551</f>
        <v/>
      </c>
      <c r="P551" s="108">
        <f>1-AB551</f>
        <v/>
      </c>
      <c r="Q551" s="108" t="n"/>
      <c r="R551" s="108" t="n"/>
      <c r="S551" s="108">
        <f>1-AE551</f>
        <v/>
      </c>
      <c r="T551" s="108">
        <f>1-AF551</f>
        <v/>
      </c>
      <c r="U551" s="108">
        <f>1-AG551</f>
        <v/>
      </c>
      <c r="V551" s="108">
        <f>1-AH551</f>
        <v/>
      </c>
      <c r="W551" s="108">
        <f>1-AI551</f>
        <v/>
      </c>
      <c r="X551" s="108">
        <f>ABS(AJ551-AJ$1)</f>
        <v/>
      </c>
      <c r="Y551" s="108">
        <f>AVERAGE(Z551:AB551)</f>
        <v/>
      </c>
      <c r="Z551" s="108">
        <f>ABS(AL551-AL$1)</f>
        <v/>
      </c>
      <c r="AA551" s="108">
        <f>ABS(AM551-AM$1)</f>
        <v/>
      </c>
      <c r="AB551" s="108">
        <f>ABS(AN551-AN$1)</f>
        <v/>
      </c>
      <c r="AC551" s="108" t="n"/>
      <c r="AD551" s="108" t="n"/>
      <c r="AE551" s="108">
        <f>ABS(AQ$1-AQ551)</f>
        <v/>
      </c>
      <c r="AF551" s="108">
        <f>ABS(AR$1-AR551)</f>
        <v/>
      </c>
      <c r="AG551" s="108">
        <f>ABS(AS$1-AS551)</f>
        <v/>
      </c>
      <c r="AH551" s="108">
        <f>ABS(AT$1-AT551)</f>
        <v/>
      </c>
      <c r="AI551" s="108">
        <f>ABS(AU$1-AU551)</f>
        <v/>
      </c>
      <c r="AJ551" s="108">
        <f>(AV551-Driver!$K$179)/(Driver!$L$179-Driver!$K$179)</f>
        <v/>
      </c>
      <c r="AK551" s="108">
        <f>(AW551-Driver!$K$180)/(Driver!$L$180-Driver!$K$180)</f>
        <v/>
      </c>
      <c r="AL551" s="108">
        <f>(AX551-Driver!$K$181)/(Driver!$L$181-Driver!$K$181)</f>
        <v/>
      </c>
      <c r="AM551" s="108">
        <f>(AY551-Driver!$K$182)/(Driver!$L$182-Driver!$K$182)</f>
        <v/>
      </c>
      <c r="AN551" s="108">
        <f>(AZ551-Driver!$K$183)/(Driver!$L$183-Driver!$K$183)</f>
        <v/>
      </c>
      <c r="AO551" s="108" t="n"/>
      <c r="AP551" s="108" t="n"/>
      <c r="AQ551" s="108">
        <f>(BC551-Driver!$K$188)/(Driver!$L$188-Driver!$K$188)</f>
        <v/>
      </c>
      <c r="AR551" s="108">
        <f>MIN((BD551-Driver!$K$189)/(Driver!$L$189-Driver!$K$189),100%)</f>
        <v/>
      </c>
      <c r="AS551" s="108">
        <f>(BE551-Driver!$K$190)/(Driver!$L$190-Driver!$K$190)</f>
        <v/>
      </c>
      <c r="AT551" s="108">
        <f>(BF551-Driver!$K$191)/(Driver!$L$191-Driver!$K$191)</f>
        <v/>
      </c>
      <c r="AU551" s="108">
        <f>(BG551-Driver!$K$192)/(Driver!$L$192-Driver!$K$192)</f>
        <v/>
      </c>
      <c r="AV551" s="105">
        <f>IFERROR(BM551*BJ551^1/4,"")</f>
        <v/>
      </c>
      <c r="AW551" s="105">
        <f>IFERROR(SUM(AX551:AZ551),"")</f>
        <v/>
      </c>
      <c r="AX551" s="105">
        <f>IFERROR(BH551,"")</f>
        <v/>
      </c>
      <c r="AY551" s="105">
        <f>IFERROR(Driver!$K$19/Data!BH551/Data!BI551*Data!BK551*Data!BL551,"")</f>
        <v/>
      </c>
      <c r="AZ551" s="105">
        <f>IFERROR(BI551*BN551,"")</f>
        <v/>
      </c>
      <c r="BA551" s="105" t="n"/>
      <c r="BB551" s="105" t="n"/>
      <c r="BC551" s="105">
        <f>IFERROR(BI551*BN551*BK551/BJ551^(1/2),"")</f>
        <v/>
      </c>
      <c r="BD551" s="105">
        <f>IFERROR(BH551*BM551*BL551/BJ551/BK551,"")</f>
        <v/>
      </c>
      <c r="BE551" s="105">
        <f>IFERROR(MIN(BI551/BQ551/BP551/BO551/BH551,$BE$1),"")</f>
        <v/>
      </c>
      <c r="BF551" s="105">
        <f>IFERROR(BJ551*BO551*BP551/BK551,"")</f>
        <v/>
      </c>
      <c r="BG551" s="105">
        <f>IFERROR(1/BM551/BH551*BQ551,"")</f>
        <v/>
      </c>
      <c r="BH551" s="102">
        <f>MAX((CE551-Driver!$F$200)/(Driver!$G$200-Driver!$F$200)*$BI$1,1)</f>
        <v/>
      </c>
      <c r="BI551" s="102">
        <f>MAX($BI$1*(BY551-Driver!$F$201)/(Driver!$G$201-Driver!$F$201),1)</f>
        <v/>
      </c>
      <c r="BJ551" s="102">
        <f>(CB551-Driver!$F$206)/(Driver!$G$206-Driver!$F$206)*$BI$1</f>
        <v/>
      </c>
      <c r="BK551" s="102">
        <f>(CD551-Driver!$F$203)/(Driver!$G$203-Driver!$F$203)*$BI$1</f>
        <v/>
      </c>
      <c r="BL551" s="102">
        <f>MAX((CR551-Driver!$F$202)/(Driver!$G$202-Driver!$F$202)*$BI$1,1)</f>
        <v/>
      </c>
      <c r="BM551" s="102">
        <f>MAX((CH551-Driver!$F$204)/(Driver!$G$204-Driver!$F$204)*$BI$1,1)</f>
        <v/>
      </c>
      <c r="BN551" s="102">
        <f>(CI551-Driver!$F$205)/(Driver!$G$205-Driver!$F$205)*$BI$1</f>
        <v/>
      </c>
      <c r="BO551" s="102">
        <f>(CK551-Driver!$F$207)/(Driver!$G$207-Driver!$F$207)*$BI$1</f>
        <v/>
      </c>
      <c r="BP551" s="102">
        <f>(CM551-Driver!$F$208)/(Driver!$G$208-Driver!$F$208)*$BI$1</f>
        <v/>
      </c>
      <c r="BQ551" s="102">
        <f>(CL551-Driver!$F$209)/(Driver!$G$209-Driver!$F$209)*$BI$1</f>
        <v/>
      </c>
      <c r="BR551" s="40" t="inlineStr">
        <is>
          <t>21/22</t>
        </is>
      </c>
      <c r="BS551" s="10" t="inlineStr">
        <is>
          <t xml:space="preserve"> Nordica</t>
        </is>
      </c>
      <c r="BT551" s="11" t="inlineStr">
        <is>
          <t>Soul Rider 97</t>
        </is>
      </c>
      <c r="BU551" s="13" t="n">
        <v>169</v>
      </c>
      <c r="BV551" s="11" t="inlineStr">
        <is>
          <t xml:space="preserve"> Unisex</t>
        </is>
      </c>
      <c r="BW551" s="13" t="n">
        <v>169</v>
      </c>
      <c r="BX551" s="13" t="n">
        <v>167.4</v>
      </c>
      <c r="BY551" s="13" t="n">
        <v>132</v>
      </c>
      <c r="BZ551" s="13" t="n">
        <v>143</v>
      </c>
      <c r="CA551" s="13" t="n">
        <v>134</v>
      </c>
      <c r="CB551" s="13" t="n">
        <v>96</v>
      </c>
      <c r="CC551" s="13" t="n">
        <v>124</v>
      </c>
      <c r="CD551" s="13" t="n">
        <v>14.8</v>
      </c>
      <c r="CE551" s="13" t="n">
        <v>1913</v>
      </c>
      <c r="CF551" s="13" t="n">
        <v>0.95</v>
      </c>
      <c r="CG551" s="13" t="n">
        <v>1821</v>
      </c>
      <c r="CH551" s="13" t="n">
        <v>168</v>
      </c>
      <c r="CI551" s="13" t="n">
        <v>81</v>
      </c>
      <c r="CJ551" s="13" t="n">
        <v>45</v>
      </c>
      <c r="CK551" s="13" t="n">
        <v>175</v>
      </c>
      <c r="CL551" s="13" t="n">
        <v>47</v>
      </c>
      <c r="CM551" s="13" t="n">
        <v>177</v>
      </c>
      <c r="CN551" s="13" t="n">
        <v>1.047</v>
      </c>
      <c r="CO551" s="13" t="n">
        <v>105</v>
      </c>
      <c r="CP551" s="13" t="n">
        <v>135</v>
      </c>
      <c r="CQ551" s="13" t="n">
        <v>70</v>
      </c>
      <c r="CR551" s="13" t="n">
        <v>11</v>
      </c>
      <c r="CS551" s="13" t="n">
        <v>6</v>
      </c>
      <c r="CT551" s="11" t="inlineStr">
        <is>
          <t xml:space="preserve"> Freeski</t>
        </is>
      </c>
      <c r="CU551" s="13" t="n"/>
      <c r="CV551" s="13" t="n"/>
      <c r="CW551" s="13" t="n"/>
      <c r="CX551">
        <f>INDEX('Data_Price '!AG$2:AG$1266,MATCH(Data!$DN551,'Data_Price '!$AT$2:$AT$1266,0))</f>
        <v/>
      </c>
      <c r="CY551">
        <f>INDEX('Data_Price '!AH$2:AH$1266,MATCH(Data!$DN551,'Data_Price '!$AT$2:$AT$1266,0))</f>
        <v/>
      </c>
      <c r="CZ551">
        <f>INDEX('Data_Price '!AI$2:AI$1266,MATCH(Data!$DN551,'Data_Price '!$AT$2:$AT$1266,0))</f>
        <v/>
      </c>
      <c r="DA551">
        <f>INDEX('Data_Price '!AJ$2:AJ$1266,MATCH(Data!$DN551,'Data_Price '!$AT$2:$AT$1266,0))</f>
        <v/>
      </c>
      <c r="DB551">
        <f>INDEX('Data_Price '!AK$2:AK$1266,MATCH(Data!$DN551,'Data_Price '!$AT$2:$AT$1266,0))</f>
        <v/>
      </c>
      <c r="DC551">
        <f>INDEX('Data_Price '!AL$2:AL$1266,MATCH(Data!$DN551,'Data_Price '!$AT$2:$AT$1266,0))</f>
        <v/>
      </c>
      <c r="DD551">
        <f>INDEX('Data_Price '!AM$2:AM$1266,MATCH(Data!$DN551,'Data_Price '!$AT$2:$AT$1266,0))</f>
        <v/>
      </c>
      <c r="DE551">
        <f>INDEX('Data_Price '!AN$2:AN$1266,MATCH(Data!$DN551,'Data_Price '!$AT$2:$AT$1266,0))</f>
        <v/>
      </c>
      <c r="DF551">
        <f>INDEX('Data_Price '!AO$2:AO$1266,MATCH(Data!$DN551,'Data_Price '!$AT$2:$AT$1266,0))</f>
        <v/>
      </c>
      <c r="DG551">
        <f>INDEX('Data_Price '!AP$2:AP$1266,MATCH(Data!$DN551,'Data_Price '!$AT$2:$AT$1266,0))</f>
        <v/>
      </c>
      <c r="DH551">
        <f>INDEX('Data_Price '!AQ$2:AQ$1266,MATCH(Data!$DN551,'Data_Price '!$AT$2:$AT$1266,0))</f>
        <v/>
      </c>
      <c r="DI551">
        <f>INDEX('Data_Price '!AR$2:AR$1266,MATCH(Data!$DN551,'Data_Price '!$AT$2:$AT$1266,0))</f>
        <v/>
      </c>
      <c r="DJ551" s="138">
        <f>DA551</f>
        <v/>
      </c>
      <c r="DK551" s="138">
        <f>DE551</f>
        <v/>
      </c>
      <c r="DL551" s="138">
        <f>DI551</f>
        <v/>
      </c>
      <c r="DM551" s="303">
        <f>IF(LEFT(BT551,1)=" ",RIGHT(BT551,LEN(BT551)-1),BT551)</f>
        <v/>
      </c>
      <c r="DN551" s="138">
        <f>_xlfn.CONCAT(BS551,DM551,BU551,BV551)</f>
        <v/>
      </c>
      <c r="DO551" s="307" t="n"/>
    </row>
    <row r="552" ht="15.6" customHeight="1" s="184">
      <c r="B552" s="303">
        <f t="array" ref="B552">IF(OR(ISERROR(K552:P552)),FALSE,TRUE)</f>
        <v/>
      </c>
      <c r="C552" s="60">
        <f>OR(BR552=Driver!$G$50,Data!BR1201=Driver!$H$50)</f>
        <v/>
      </c>
      <c r="D552" s="60">
        <f>OR(BV552=Driver!$G$51,BV552=Driver!$H$51)</f>
        <v/>
      </c>
      <c r="E552" s="60">
        <f>AND(BX552&gt;Driver!$F$54,BX552&lt;Driver!$G$54)</f>
        <v/>
      </c>
      <c r="F552" s="60">
        <f>CL552&gt;Driver!$F$56</f>
        <v/>
      </c>
      <c r="G552" s="60">
        <f>AND(CB552&gt;Driver!$F$55,CB552&lt;Driver!$G$55)</f>
        <v/>
      </c>
      <c r="H552" s="60">
        <f>AND(B552:G552)</f>
        <v/>
      </c>
      <c r="I552" s="60">
        <f>COUNTIFS($H$9:$H$1273,TRUE,$BT$9:$BT$1273,BT552)</f>
        <v/>
      </c>
      <c r="J552" s="60">
        <f t="array" ref="J552">NOT(OR(($H$9:$H$1273=TRUE)*($I$9:$I$1273&gt;0)*($BT$9:$BT$1273=BT552)*($K$9:$K$1273&gt;K552)))</f>
        <v/>
      </c>
      <c r="K552" s="108">
        <f>IFERROR(1-AVERAGE(X552:Y552),"")</f>
        <v/>
      </c>
      <c r="L552" s="108">
        <f>1-X552</f>
        <v/>
      </c>
      <c r="M552" s="108">
        <f>1-Y552</f>
        <v/>
      </c>
      <c r="N552" s="108">
        <f>1-Z552</f>
        <v/>
      </c>
      <c r="O552" s="108">
        <f>1-AA552</f>
        <v/>
      </c>
      <c r="P552" s="108">
        <f>1-AB552</f>
        <v/>
      </c>
      <c r="Q552" s="108" t="n"/>
      <c r="R552" s="108" t="n"/>
      <c r="S552" s="108">
        <f>1-AE552</f>
        <v/>
      </c>
      <c r="T552" s="108">
        <f>1-AF552</f>
        <v/>
      </c>
      <c r="U552" s="108">
        <f>1-AG552</f>
        <v/>
      </c>
      <c r="V552" s="108">
        <f>1-AH552</f>
        <v/>
      </c>
      <c r="W552" s="108">
        <f>1-AI552</f>
        <v/>
      </c>
      <c r="X552" s="108">
        <f>ABS(AJ552-AJ$1)</f>
        <v/>
      </c>
      <c r="Y552" s="108">
        <f>AVERAGE(Z552:AB552)</f>
        <v/>
      </c>
      <c r="Z552" s="108">
        <f>ABS(AL552-AL$1)</f>
        <v/>
      </c>
      <c r="AA552" s="108">
        <f>ABS(AM552-AM$1)</f>
        <v/>
      </c>
      <c r="AB552" s="108">
        <f>ABS(AN552-AN$1)</f>
        <v/>
      </c>
      <c r="AC552" s="108" t="n"/>
      <c r="AD552" s="108" t="n"/>
      <c r="AE552" s="108">
        <f>ABS(AQ$1-AQ552)</f>
        <v/>
      </c>
      <c r="AF552" s="108">
        <f>ABS(AR$1-AR552)</f>
        <v/>
      </c>
      <c r="AG552" s="108">
        <f>ABS(AS$1-AS552)</f>
        <v/>
      </c>
      <c r="AH552" s="108">
        <f>ABS(AT$1-AT552)</f>
        <v/>
      </c>
      <c r="AI552" s="108">
        <f>ABS(AU$1-AU552)</f>
        <v/>
      </c>
      <c r="AJ552" s="108">
        <f>(AV552-Driver!$K$179)/(Driver!$L$179-Driver!$K$179)</f>
        <v/>
      </c>
      <c r="AK552" s="108">
        <f>(AW552-Driver!$K$180)/(Driver!$L$180-Driver!$K$180)</f>
        <v/>
      </c>
      <c r="AL552" s="108">
        <f>(AX552-Driver!$K$181)/(Driver!$L$181-Driver!$K$181)</f>
        <v/>
      </c>
      <c r="AM552" s="108">
        <f>(AY552-Driver!$K$182)/(Driver!$L$182-Driver!$K$182)</f>
        <v/>
      </c>
      <c r="AN552" s="108">
        <f>(AZ552-Driver!$K$183)/(Driver!$L$183-Driver!$K$183)</f>
        <v/>
      </c>
      <c r="AO552" s="108" t="n"/>
      <c r="AP552" s="108" t="n"/>
      <c r="AQ552" s="108">
        <f>(BC552-Driver!$K$188)/(Driver!$L$188-Driver!$K$188)</f>
        <v/>
      </c>
      <c r="AR552" s="108">
        <f>MIN((BD552-Driver!$K$189)/(Driver!$L$189-Driver!$K$189),100%)</f>
        <v/>
      </c>
      <c r="AS552" s="108">
        <f>(BE552-Driver!$K$190)/(Driver!$L$190-Driver!$K$190)</f>
        <v/>
      </c>
      <c r="AT552" s="108">
        <f>(BF552-Driver!$K$191)/(Driver!$L$191-Driver!$K$191)</f>
        <v/>
      </c>
      <c r="AU552" s="108">
        <f>(BG552-Driver!$K$192)/(Driver!$L$192-Driver!$K$192)</f>
        <v/>
      </c>
      <c r="AV552" s="105">
        <f>IFERROR(BM552*BJ552^1/4,"")</f>
        <v/>
      </c>
      <c r="AW552" s="105">
        <f>IFERROR(SUM(AX552:AZ552),"")</f>
        <v/>
      </c>
      <c r="AX552" s="105">
        <f>IFERROR(BH552,"")</f>
        <v/>
      </c>
      <c r="AY552" s="105">
        <f>IFERROR(Driver!$K$19/Data!BH552/Data!BI552*Data!BK552*Data!BL552,"")</f>
        <v/>
      </c>
      <c r="AZ552" s="105">
        <f>IFERROR(BI552*BN552,"")</f>
        <v/>
      </c>
      <c r="BA552" s="105" t="n"/>
      <c r="BB552" s="105" t="n"/>
      <c r="BC552" s="105">
        <f>IFERROR(BI552*BN552*BK552/BJ552^(1/2),"")</f>
        <v/>
      </c>
      <c r="BD552" s="105">
        <f>IFERROR(BH552*BM552*BL552/BJ552/BK552,"")</f>
        <v/>
      </c>
      <c r="BE552" s="105">
        <f>IFERROR(MIN(BI552/BQ552/BP552/BO552/BH552,$BE$1),"")</f>
        <v/>
      </c>
      <c r="BF552" s="105">
        <f>IFERROR(BJ552*BO552*BP552/BK552,"")</f>
        <v/>
      </c>
      <c r="BG552" s="105">
        <f>IFERROR(1/BM552/BH552*BQ552,"")</f>
        <v/>
      </c>
      <c r="BH552" s="102">
        <f>MAX((CE552-Driver!$F$200)/(Driver!$G$200-Driver!$F$200)*$BI$1,1)</f>
        <v/>
      </c>
      <c r="BI552" s="102">
        <f>MAX($BI$1*(BY552-Driver!$F$201)/(Driver!$G$201-Driver!$F$201),1)</f>
        <v/>
      </c>
      <c r="BJ552" s="102">
        <f>(CB552-Driver!$F$206)/(Driver!$G$206-Driver!$F$206)*$BI$1</f>
        <v/>
      </c>
      <c r="BK552" s="102">
        <f>(CD552-Driver!$F$203)/(Driver!$G$203-Driver!$F$203)*$BI$1</f>
        <v/>
      </c>
      <c r="BL552" s="102">
        <f>MAX((CR552-Driver!$F$202)/(Driver!$G$202-Driver!$F$202)*$BI$1,1)</f>
        <v/>
      </c>
      <c r="BM552" s="102">
        <f>MAX((CH552-Driver!$F$204)/(Driver!$G$204-Driver!$F$204)*$BI$1,1)</f>
        <v/>
      </c>
      <c r="BN552" s="102">
        <f>(CI552-Driver!$F$205)/(Driver!$G$205-Driver!$F$205)*$BI$1</f>
        <v/>
      </c>
      <c r="BO552" s="102">
        <f>(CK552-Driver!$F$207)/(Driver!$G$207-Driver!$F$207)*$BI$1</f>
        <v/>
      </c>
      <c r="BP552" s="102">
        <f>(CM552-Driver!$F$208)/(Driver!$G$208-Driver!$F$208)*$BI$1</f>
        <v/>
      </c>
      <c r="BQ552" s="102">
        <f>(CL552-Driver!$F$209)/(Driver!$G$209-Driver!$F$209)*$BI$1</f>
        <v/>
      </c>
      <c r="BR552" s="40" t="inlineStr">
        <is>
          <t>21/22</t>
        </is>
      </c>
      <c r="BS552" s="10" t="inlineStr">
        <is>
          <t xml:space="preserve"> Völkl</t>
        </is>
      </c>
      <c r="BT552" s="11" t="inlineStr">
        <is>
          <t>Kanjo 84</t>
        </is>
      </c>
      <c r="BU552" s="13" t="n">
        <v>175</v>
      </c>
      <c r="BV552" s="11" t="inlineStr">
        <is>
          <t xml:space="preserve"> Unisex</t>
        </is>
      </c>
      <c r="BW552" s="13" t="n">
        <v>175</v>
      </c>
      <c r="BX552" s="13" t="n">
        <v>176.1</v>
      </c>
      <c r="BY552" s="13" t="n">
        <v>131</v>
      </c>
      <c r="BZ552" s="13" t="n">
        <v>152</v>
      </c>
      <c r="CA552" s="13" t="n">
        <v>124</v>
      </c>
      <c r="CB552" s="13" t="n">
        <v>83</v>
      </c>
      <c r="CC552" s="13" t="n">
        <v>106</v>
      </c>
      <c r="CD552" s="13" t="n">
        <v>17.5</v>
      </c>
      <c r="CE552" s="13" t="n">
        <v>1609</v>
      </c>
      <c r="CF552" s="13" t="n">
        <v>1.05</v>
      </c>
      <c r="CG552" s="13" t="n">
        <v>1691</v>
      </c>
      <c r="CH552" s="13" t="n">
        <v>194</v>
      </c>
      <c r="CI552" s="13" t="n">
        <v>75</v>
      </c>
      <c r="CJ552" s="13" t="n">
        <v>38</v>
      </c>
      <c r="CK552" s="13" t="n">
        <v>290</v>
      </c>
      <c r="CL552" s="13" t="n">
        <v>12</v>
      </c>
      <c r="CM552" s="13" t="n">
        <v>161</v>
      </c>
      <c r="CN552" s="13" t="n">
        <v>0.319</v>
      </c>
      <c r="CO552" s="13" t="n">
        <v>135</v>
      </c>
      <c r="CP552" s="13" t="n">
        <v>106</v>
      </c>
      <c r="CQ552" s="13" t="n">
        <v>155</v>
      </c>
      <c r="CR552" s="13" t="n">
        <v>2</v>
      </c>
      <c r="CS552" s="13" t="n">
        <v>11.7</v>
      </c>
      <c r="CT552" s="11" t="inlineStr">
        <is>
          <t xml:space="preserve"> On-Piste All-Mountain</t>
        </is>
      </c>
      <c r="CU552" s="11" t="inlineStr">
        <is>
          <t xml:space="preserve"> Resort Freeride</t>
        </is>
      </c>
      <c r="CV552" s="11" t="inlineStr">
        <is>
          <t xml:space="preserve"> Touring</t>
        </is>
      </c>
      <c r="CW552" s="13" t="n"/>
      <c r="CX552">
        <f>INDEX('Data_Price '!AG$2:AG$1266,MATCH(Data!$DN552,'Data_Price '!$AT$2:$AT$1266,0))</f>
        <v/>
      </c>
      <c r="CY552">
        <f>INDEX('Data_Price '!AH$2:AH$1266,MATCH(Data!$DN552,'Data_Price '!$AT$2:$AT$1266,0))</f>
        <v/>
      </c>
      <c r="CZ552">
        <f>INDEX('Data_Price '!AI$2:AI$1266,MATCH(Data!$DN552,'Data_Price '!$AT$2:$AT$1266,0))</f>
        <v/>
      </c>
      <c r="DA552">
        <f>INDEX('Data_Price '!AJ$2:AJ$1266,MATCH(Data!$DN552,'Data_Price '!$AT$2:$AT$1266,0))</f>
        <v/>
      </c>
      <c r="DB552">
        <f>INDEX('Data_Price '!AK$2:AK$1266,MATCH(Data!$DN552,'Data_Price '!$AT$2:$AT$1266,0))</f>
        <v/>
      </c>
      <c r="DC552">
        <f>INDEX('Data_Price '!AL$2:AL$1266,MATCH(Data!$DN552,'Data_Price '!$AT$2:$AT$1266,0))</f>
        <v/>
      </c>
      <c r="DD552">
        <f>INDEX('Data_Price '!AM$2:AM$1266,MATCH(Data!$DN552,'Data_Price '!$AT$2:$AT$1266,0))</f>
        <v/>
      </c>
      <c r="DE552">
        <f>INDEX('Data_Price '!AN$2:AN$1266,MATCH(Data!$DN552,'Data_Price '!$AT$2:$AT$1266,0))</f>
        <v/>
      </c>
      <c r="DF552">
        <f>INDEX('Data_Price '!AO$2:AO$1266,MATCH(Data!$DN552,'Data_Price '!$AT$2:$AT$1266,0))</f>
        <v/>
      </c>
      <c r="DG552">
        <f>INDEX('Data_Price '!AP$2:AP$1266,MATCH(Data!$DN552,'Data_Price '!$AT$2:$AT$1266,0))</f>
        <v/>
      </c>
      <c r="DH552">
        <f>INDEX('Data_Price '!AQ$2:AQ$1266,MATCH(Data!$DN552,'Data_Price '!$AT$2:$AT$1266,0))</f>
        <v/>
      </c>
      <c r="DI552">
        <f>INDEX('Data_Price '!AR$2:AR$1266,MATCH(Data!$DN552,'Data_Price '!$AT$2:$AT$1266,0))</f>
        <v/>
      </c>
      <c r="DJ552" s="138">
        <f>DA552</f>
        <v/>
      </c>
      <c r="DK552" s="138">
        <f>DE552</f>
        <v/>
      </c>
      <c r="DL552" s="138">
        <f>DI552</f>
        <v/>
      </c>
      <c r="DM552" s="303">
        <f>IF(LEFT(BT552,1)=" ",RIGHT(BT552,LEN(BT552)-1),BT552)</f>
        <v/>
      </c>
      <c r="DN552" s="138">
        <f>_xlfn.CONCAT(BS552,DM552,BU552,BV552)</f>
        <v/>
      </c>
      <c r="DO552" s="307" t="n"/>
    </row>
    <row r="553" ht="15.6" customHeight="1" s="184">
      <c r="B553" s="303">
        <f t="array" ref="B553">IF(OR(ISERROR(K553:P553)),FALSE,TRUE)</f>
        <v/>
      </c>
      <c r="C553" s="60">
        <f>OR(BR553=Driver!$G$50,Data!BR508=Driver!$H$50)</f>
        <v/>
      </c>
      <c r="D553" s="60">
        <f>OR(BV553=Driver!$G$51,BV553=Driver!$H$51)</f>
        <v/>
      </c>
      <c r="E553" s="60">
        <f>AND(BX553&gt;Driver!$F$54,BX553&lt;Driver!$G$54)</f>
        <v/>
      </c>
      <c r="F553" s="60">
        <f>CL553&gt;Driver!$F$56</f>
        <v/>
      </c>
      <c r="G553" s="60">
        <f>AND(CB553&gt;Driver!$F$55,CB553&lt;Driver!$G$55)</f>
        <v/>
      </c>
      <c r="H553" s="60">
        <f>AND(B553:G553)</f>
        <v/>
      </c>
      <c r="I553" s="60">
        <f>COUNTIFS($H$9:$H$1273,TRUE,$BT$9:$BT$1273,BT553)</f>
        <v/>
      </c>
      <c r="J553" s="60">
        <f t="array" ref="J553">NOT(OR(($H$9:$H$1273=TRUE)*($I$9:$I$1273&gt;0)*($BT$9:$BT$1273=BT553)*($K$9:$K$1273&gt;K553)))</f>
        <v/>
      </c>
      <c r="K553" s="108">
        <f>IFERROR(1-AVERAGE(X553:Y553),"")</f>
        <v/>
      </c>
      <c r="L553" s="108">
        <f>1-X553</f>
        <v/>
      </c>
      <c r="M553" s="108">
        <f>1-Y553</f>
        <v/>
      </c>
      <c r="N553" s="108">
        <f>1-Z553</f>
        <v/>
      </c>
      <c r="O553" s="108">
        <f>1-AA553</f>
        <v/>
      </c>
      <c r="P553" s="108">
        <f>1-AB553</f>
        <v/>
      </c>
      <c r="Q553" s="108" t="n"/>
      <c r="R553" s="108" t="n"/>
      <c r="S553" s="108">
        <f>1-AE553</f>
        <v/>
      </c>
      <c r="T553" s="108">
        <f>1-AF553</f>
        <v/>
      </c>
      <c r="U553" s="108">
        <f>1-AG553</f>
        <v/>
      </c>
      <c r="V553" s="108">
        <f>1-AH553</f>
        <v/>
      </c>
      <c r="W553" s="108">
        <f>1-AI553</f>
        <v/>
      </c>
      <c r="X553" s="108">
        <f>ABS(AJ553-AJ$1)</f>
        <v/>
      </c>
      <c r="Y553" s="108">
        <f>AVERAGE(Z553:AB553)</f>
        <v/>
      </c>
      <c r="Z553" s="108">
        <f>ABS(AL553-AL$1)</f>
        <v/>
      </c>
      <c r="AA553" s="108">
        <f>ABS(AM553-AM$1)</f>
        <v/>
      </c>
      <c r="AB553" s="108">
        <f>ABS(AN553-AN$1)</f>
        <v/>
      </c>
      <c r="AC553" s="108" t="n"/>
      <c r="AD553" s="108" t="n"/>
      <c r="AE553" s="108">
        <f>ABS(AQ$1-AQ553)</f>
        <v/>
      </c>
      <c r="AF553" s="108">
        <f>ABS(AR$1-AR553)</f>
        <v/>
      </c>
      <c r="AG553" s="108">
        <f>ABS(AS$1-AS553)</f>
        <v/>
      </c>
      <c r="AH553" s="108">
        <f>ABS(AT$1-AT553)</f>
        <v/>
      </c>
      <c r="AI553" s="108">
        <f>ABS(AU$1-AU553)</f>
        <v/>
      </c>
      <c r="AJ553" s="108">
        <f>(AV553-Driver!$K$179)/(Driver!$L$179-Driver!$K$179)</f>
        <v/>
      </c>
      <c r="AK553" s="108">
        <f>(AW553-Driver!$K$180)/(Driver!$L$180-Driver!$K$180)</f>
        <v/>
      </c>
      <c r="AL553" s="108">
        <f>(AX553-Driver!$K$181)/(Driver!$L$181-Driver!$K$181)</f>
        <v/>
      </c>
      <c r="AM553" s="108">
        <f>(AY553-Driver!$K$182)/(Driver!$L$182-Driver!$K$182)</f>
        <v/>
      </c>
      <c r="AN553" s="108">
        <f>(AZ553-Driver!$K$183)/(Driver!$L$183-Driver!$K$183)</f>
        <v/>
      </c>
      <c r="AO553" s="108" t="n"/>
      <c r="AP553" s="108" t="n"/>
      <c r="AQ553" s="108">
        <f>(BC553-Driver!$K$188)/(Driver!$L$188-Driver!$K$188)</f>
        <v/>
      </c>
      <c r="AR553" s="108">
        <f>MIN((BD553-Driver!$K$189)/(Driver!$L$189-Driver!$K$189),100%)</f>
        <v/>
      </c>
      <c r="AS553" s="108">
        <f>(BE553-Driver!$K$190)/(Driver!$L$190-Driver!$K$190)</f>
        <v/>
      </c>
      <c r="AT553" s="108">
        <f>(BF553-Driver!$K$191)/(Driver!$L$191-Driver!$K$191)</f>
        <v/>
      </c>
      <c r="AU553" s="108">
        <f>(BG553-Driver!$K$192)/(Driver!$L$192-Driver!$K$192)</f>
        <v/>
      </c>
      <c r="AV553" s="105">
        <f>IFERROR(BM553*BJ553^1/4,"")</f>
        <v/>
      </c>
      <c r="AW553" s="105">
        <f>IFERROR(SUM(AX553:AZ553),"")</f>
        <v/>
      </c>
      <c r="AX553" s="105">
        <f>IFERROR(BH553,"")</f>
        <v/>
      </c>
      <c r="AY553" s="105">
        <f>IFERROR(Driver!$K$19/Data!BH553/Data!BI553*Data!BK553*Data!BL553,"")</f>
        <v/>
      </c>
      <c r="AZ553" s="105">
        <f>IFERROR(BI553*BN553,"")</f>
        <v/>
      </c>
      <c r="BA553" s="105" t="n"/>
      <c r="BB553" s="105" t="n"/>
      <c r="BC553" s="105">
        <f>IFERROR(BI553*BN553*BK553/BJ553^(1/2),"")</f>
        <v/>
      </c>
      <c r="BD553" s="105">
        <f>IFERROR(BH553*BM553*BL553/BJ553/BK553,"")</f>
        <v/>
      </c>
      <c r="BE553" s="105">
        <f>IFERROR(MIN(BI553/BQ553/BP553/BO553/BH553,$BE$1),"")</f>
        <v/>
      </c>
      <c r="BF553" s="105">
        <f>IFERROR(BJ553*BO553*BP553/BK553,"")</f>
        <v/>
      </c>
      <c r="BG553" s="105">
        <f>IFERROR(1/BM553/BH553*BQ553,"")</f>
        <v/>
      </c>
      <c r="BH553" s="102">
        <f>MAX((CE553-Driver!$F$200)/(Driver!$G$200-Driver!$F$200)*$BI$1,1)</f>
        <v/>
      </c>
      <c r="BI553" s="102">
        <f>MAX($BI$1*(BY553-Driver!$F$201)/(Driver!$G$201-Driver!$F$201),1)</f>
        <v/>
      </c>
      <c r="BJ553" s="102">
        <f>(CB553-Driver!$F$206)/(Driver!$G$206-Driver!$F$206)*$BI$1</f>
        <v/>
      </c>
      <c r="BK553" s="102">
        <f>(CD553-Driver!$F$203)/(Driver!$G$203-Driver!$F$203)*$BI$1</f>
        <v/>
      </c>
      <c r="BL553" s="102">
        <f>MAX((CR553-Driver!$F$202)/(Driver!$G$202-Driver!$F$202)*$BI$1,1)</f>
        <v/>
      </c>
      <c r="BM553" s="102">
        <f>MAX((CH553-Driver!$F$204)/(Driver!$G$204-Driver!$F$204)*$BI$1,1)</f>
        <v/>
      </c>
      <c r="BN553" s="102">
        <f>(CI553-Driver!$F$205)/(Driver!$G$205-Driver!$F$205)*$BI$1</f>
        <v/>
      </c>
      <c r="BO553" s="102">
        <f>(CK553-Driver!$F$207)/(Driver!$G$207-Driver!$F$207)*$BI$1</f>
        <v/>
      </c>
      <c r="BP553" s="102">
        <f>(CM553-Driver!$F$208)/(Driver!$G$208-Driver!$F$208)*$BI$1</f>
        <v/>
      </c>
      <c r="BQ553" s="102">
        <f>(CL553-Driver!$F$209)/(Driver!$G$209-Driver!$F$209)*$BI$1</f>
        <v/>
      </c>
      <c r="BR553" s="40" t="inlineStr">
        <is>
          <t>21/22</t>
        </is>
      </c>
      <c r="BS553" s="10" t="inlineStr">
        <is>
          <t xml:space="preserve"> Faction</t>
        </is>
      </c>
      <c r="BT553" s="11" t="inlineStr">
        <is>
          <t>Dictator 1.0</t>
        </is>
      </c>
      <c r="BU553" s="13" t="n">
        <v>170</v>
      </c>
      <c r="BV553" s="11" t="inlineStr">
        <is>
          <t xml:space="preserve"> Unisex</t>
        </is>
      </c>
      <c r="BW553" s="13" t="n">
        <v>170</v>
      </c>
      <c r="BX553" s="13" t="n">
        <v>168.5</v>
      </c>
      <c r="BY553" s="13" t="n">
        <v>130</v>
      </c>
      <c r="BZ553" s="13" t="n">
        <v>144</v>
      </c>
      <c r="CA553" s="13" t="n">
        <v>119</v>
      </c>
      <c r="CB553" s="13" t="n">
        <v>85</v>
      </c>
      <c r="CC553" s="13" t="n">
        <v>109</v>
      </c>
      <c r="CD553" s="13" t="n">
        <v>16.6</v>
      </c>
      <c r="CE553" s="13" t="n">
        <v>1686</v>
      </c>
      <c r="CF553" s="13" t="n">
        <v>0.97</v>
      </c>
      <c r="CG553" s="13" t="n">
        <v>1628</v>
      </c>
      <c r="CH553" s="13" t="n">
        <v>208</v>
      </c>
      <c r="CI553" s="13" t="n">
        <v>127</v>
      </c>
      <c r="CJ553" s="13" t="n">
        <v>49</v>
      </c>
      <c r="CK553" s="13" t="n">
        <v>223</v>
      </c>
      <c r="CL553" s="13" t="n">
        <v>20</v>
      </c>
      <c r="CM553" s="13" t="n">
        <v>158</v>
      </c>
      <c r="CN553" s="13" t="n">
        <v>0.412</v>
      </c>
      <c r="CO553" s="13" t="n">
        <v>154</v>
      </c>
      <c r="CP553" s="13" t="n">
        <v>90</v>
      </c>
      <c r="CQ553" s="13" t="n">
        <v>69</v>
      </c>
      <c r="CR553" s="13" t="n">
        <v>7</v>
      </c>
      <c r="CS553" s="13" t="n">
        <v>10.1</v>
      </c>
      <c r="CT553" s="11" t="inlineStr">
        <is>
          <t xml:space="preserve"> On-Piste All-Mountain</t>
        </is>
      </c>
      <c r="CU553" s="11" t="inlineStr">
        <is>
          <t xml:space="preserve"> Resort Freeride</t>
        </is>
      </c>
      <c r="CV553" s="13" t="n"/>
      <c r="CW553" s="13" t="n"/>
      <c r="CX553">
        <f>INDEX('Data_Price '!AG$2:AG$1266,MATCH(Data!$DN553,'Data_Price '!$AT$2:$AT$1266,0))</f>
        <v/>
      </c>
      <c r="CY553">
        <f>INDEX('Data_Price '!AH$2:AH$1266,MATCH(Data!$DN553,'Data_Price '!$AT$2:$AT$1266,0))</f>
        <v/>
      </c>
      <c r="CZ553">
        <f>INDEX('Data_Price '!AI$2:AI$1266,MATCH(Data!$DN553,'Data_Price '!$AT$2:$AT$1266,0))</f>
        <v/>
      </c>
      <c r="DA553">
        <f>INDEX('Data_Price '!AJ$2:AJ$1266,MATCH(Data!$DN553,'Data_Price '!$AT$2:$AT$1266,0))</f>
        <v/>
      </c>
      <c r="DB553">
        <f>INDEX('Data_Price '!AK$2:AK$1266,MATCH(Data!$DN553,'Data_Price '!$AT$2:$AT$1266,0))</f>
        <v/>
      </c>
      <c r="DC553">
        <f>INDEX('Data_Price '!AL$2:AL$1266,MATCH(Data!$DN553,'Data_Price '!$AT$2:$AT$1266,0))</f>
        <v/>
      </c>
      <c r="DD553">
        <f>INDEX('Data_Price '!AM$2:AM$1266,MATCH(Data!$DN553,'Data_Price '!$AT$2:$AT$1266,0))</f>
        <v/>
      </c>
      <c r="DE553">
        <f>INDEX('Data_Price '!AN$2:AN$1266,MATCH(Data!$DN553,'Data_Price '!$AT$2:$AT$1266,0))</f>
        <v/>
      </c>
      <c r="DF553">
        <f>INDEX('Data_Price '!AO$2:AO$1266,MATCH(Data!$DN553,'Data_Price '!$AT$2:$AT$1266,0))</f>
        <v/>
      </c>
      <c r="DG553">
        <f>INDEX('Data_Price '!AP$2:AP$1266,MATCH(Data!$DN553,'Data_Price '!$AT$2:$AT$1266,0))</f>
        <v/>
      </c>
      <c r="DH553">
        <f>INDEX('Data_Price '!AQ$2:AQ$1266,MATCH(Data!$DN553,'Data_Price '!$AT$2:$AT$1266,0))</f>
        <v/>
      </c>
      <c r="DI553">
        <f>INDEX('Data_Price '!AR$2:AR$1266,MATCH(Data!$DN553,'Data_Price '!$AT$2:$AT$1266,0))</f>
        <v/>
      </c>
      <c r="DJ553" s="138">
        <f>DA553</f>
        <v/>
      </c>
      <c r="DK553" s="138">
        <f>DE553</f>
        <v/>
      </c>
      <c r="DL553" s="138">
        <f>DI553</f>
        <v/>
      </c>
      <c r="DM553" s="303">
        <f>IF(LEFT(BT553,1)=" ",RIGHT(BT553,LEN(BT553)-1),BT553)</f>
        <v/>
      </c>
      <c r="DN553" s="138">
        <f>_xlfn.CONCAT(BS553,DM553,BU553,BV553)</f>
        <v/>
      </c>
      <c r="DO553" s="307" t="n"/>
    </row>
    <row r="554" ht="15.6" customHeight="1" s="184">
      <c r="B554" s="303">
        <f t="array" ref="B554">IF(OR(ISERROR(K554:P554)),FALSE,TRUE)</f>
        <v/>
      </c>
      <c r="C554" s="60">
        <f>OR(BR554=Driver!$G$50,Data!BR533=Driver!$H$50)</f>
        <v/>
      </c>
      <c r="D554" s="60">
        <f>OR(BV554=Driver!$G$51,BV554=Driver!$H$51)</f>
        <v/>
      </c>
      <c r="E554" s="60">
        <f>AND(BX554&gt;Driver!$F$54,BX554&lt;Driver!$G$54)</f>
        <v/>
      </c>
      <c r="F554" s="60">
        <f>CL554&gt;Driver!$F$56</f>
        <v/>
      </c>
      <c r="G554" s="60">
        <f>AND(CB554&gt;Driver!$F$55,CB554&lt;Driver!$G$55)</f>
        <v/>
      </c>
      <c r="H554" s="60">
        <f>AND(B554:G554)</f>
        <v/>
      </c>
      <c r="I554" s="60">
        <f>COUNTIFS($H$9:$H$1273,TRUE,$BT$9:$BT$1273,BT554)</f>
        <v/>
      </c>
      <c r="J554" s="60">
        <f t="array" ref="J554">NOT(OR(($H$9:$H$1273=TRUE)*($I$9:$I$1273&gt;0)*($BT$9:$BT$1273=BT554)*($K$9:$K$1273&gt;K554)))</f>
        <v/>
      </c>
      <c r="K554" s="108">
        <f>IFERROR(1-AVERAGE(X554:Y554),"")</f>
        <v/>
      </c>
      <c r="L554" s="108">
        <f>1-X554</f>
        <v/>
      </c>
      <c r="M554" s="108">
        <f>1-Y554</f>
        <v/>
      </c>
      <c r="N554" s="108">
        <f>1-Z554</f>
        <v/>
      </c>
      <c r="O554" s="108">
        <f>1-AA554</f>
        <v/>
      </c>
      <c r="P554" s="108">
        <f>1-AB554</f>
        <v/>
      </c>
      <c r="Q554" s="108" t="n"/>
      <c r="R554" s="108" t="n"/>
      <c r="S554" s="108">
        <f>1-AE554</f>
        <v/>
      </c>
      <c r="T554" s="108">
        <f>1-AF554</f>
        <v/>
      </c>
      <c r="U554" s="108">
        <f>1-AG554</f>
        <v/>
      </c>
      <c r="V554" s="108">
        <f>1-AH554</f>
        <v/>
      </c>
      <c r="W554" s="108">
        <f>1-AI554</f>
        <v/>
      </c>
      <c r="X554" s="108">
        <f>ABS(AJ554-AJ$1)</f>
        <v/>
      </c>
      <c r="Y554" s="108">
        <f>AVERAGE(Z554:AB554)</f>
        <v/>
      </c>
      <c r="Z554" s="108">
        <f>ABS(AL554-AL$1)</f>
        <v/>
      </c>
      <c r="AA554" s="108">
        <f>ABS(AM554-AM$1)</f>
        <v/>
      </c>
      <c r="AB554" s="108">
        <f>ABS(AN554-AN$1)</f>
        <v/>
      </c>
      <c r="AC554" s="108" t="n"/>
      <c r="AD554" s="108" t="n"/>
      <c r="AE554" s="108">
        <f>ABS(AQ$1-AQ554)</f>
        <v/>
      </c>
      <c r="AF554" s="108">
        <f>ABS(AR$1-AR554)</f>
        <v/>
      </c>
      <c r="AG554" s="108">
        <f>ABS(AS$1-AS554)</f>
        <v/>
      </c>
      <c r="AH554" s="108">
        <f>ABS(AT$1-AT554)</f>
        <v/>
      </c>
      <c r="AI554" s="108">
        <f>ABS(AU$1-AU554)</f>
        <v/>
      </c>
      <c r="AJ554" s="108">
        <f>(AV554-Driver!$K$179)/(Driver!$L$179-Driver!$K$179)</f>
        <v/>
      </c>
      <c r="AK554" s="108">
        <f>(AW554-Driver!$K$180)/(Driver!$L$180-Driver!$K$180)</f>
        <v/>
      </c>
      <c r="AL554" s="108">
        <f>(AX554-Driver!$K$181)/(Driver!$L$181-Driver!$K$181)</f>
        <v/>
      </c>
      <c r="AM554" s="108">
        <f>(AY554-Driver!$K$182)/(Driver!$L$182-Driver!$K$182)</f>
        <v/>
      </c>
      <c r="AN554" s="108">
        <f>(AZ554-Driver!$K$183)/(Driver!$L$183-Driver!$K$183)</f>
        <v/>
      </c>
      <c r="AO554" s="108" t="n"/>
      <c r="AP554" s="108" t="n"/>
      <c r="AQ554" s="108">
        <f>(BC554-Driver!$K$188)/(Driver!$L$188-Driver!$K$188)</f>
        <v/>
      </c>
      <c r="AR554" s="108">
        <f>MIN((BD554-Driver!$K$189)/(Driver!$L$189-Driver!$K$189),100%)</f>
        <v/>
      </c>
      <c r="AS554" s="108">
        <f>(BE554-Driver!$K$190)/(Driver!$L$190-Driver!$K$190)</f>
        <v/>
      </c>
      <c r="AT554" s="108">
        <f>(BF554-Driver!$K$191)/(Driver!$L$191-Driver!$K$191)</f>
        <v/>
      </c>
      <c r="AU554" s="108">
        <f>(BG554-Driver!$K$192)/(Driver!$L$192-Driver!$K$192)</f>
        <v/>
      </c>
      <c r="AV554" s="105">
        <f>IFERROR(BM554*BJ554^1/4,"")</f>
        <v/>
      </c>
      <c r="AW554" s="105">
        <f>IFERROR(SUM(AX554:AZ554),"")</f>
        <v/>
      </c>
      <c r="AX554" s="105">
        <f>IFERROR(BH554,"")</f>
        <v/>
      </c>
      <c r="AY554" s="105">
        <f>IFERROR(Driver!$K$19/Data!BH554/Data!BI554*Data!BK554*Data!BL554,"")</f>
        <v/>
      </c>
      <c r="AZ554" s="105">
        <f>IFERROR(BI554*BN554,"")</f>
        <v/>
      </c>
      <c r="BA554" s="105" t="n"/>
      <c r="BB554" s="105" t="n"/>
      <c r="BC554" s="105">
        <f>IFERROR(BI554*BN554*BK554/BJ554^(1/2),"")</f>
        <v/>
      </c>
      <c r="BD554" s="105">
        <f>IFERROR(BH554*BM554*BL554/BJ554/BK554,"")</f>
        <v/>
      </c>
      <c r="BE554" s="105">
        <f>IFERROR(MIN(BI554/BQ554/BP554/BO554/BH554,$BE$1),"")</f>
        <v/>
      </c>
      <c r="BF554" s="105">
        <f>IFERROR(BJ554*BO554*BP554/BK554,"")</f>
        <v/>
      </c>
      <c r="BG554" s="105">
        <f>IFERROR(1/BM554/BH554*BQ554,"")</f>
        <v/>
      </c>
      <c r="BH554" s="102">
        <f>MAX((CE554-Driver!$F$200)/(Driver!$G$200-Driver!$F$200)*$BI$1,1)</f>
        <v/>
      </c>
      <c r="BI554" s="102">
        <f>MAX($BI$1*(BY554-Driver!$F$201)/(Driver!$G$201-Driver!$F$201),1)</f>
        <v/>
      </c>
      <c r="BJ554" s="102">
        <f>(CB554-Driver!$F$206)/(Driver!$G$206-Driver!$F$206)*$BI$1</f>
        <v/>
      </c>
      <c r="BK554" s="102">
        <f>(CD554-Driver!$F$203)/(Driver!$G$203-Driver!$F$203)*$BI$1</f>
        <v/>
      </c>
      <c r="BL554" s="102">
        <f>MAX((CR554-Driver!$F$202)/(Driver!$G$202-Driver!$F$202)*$BI$1,1)</f>
        <v/>
      </c>
      <c r="BM554" s="102">
        <f>MAX((CH554-Driver!$F$204)/(Driver!$G$204-Driver!$F$204)*$BI$1,1)</f>
        <v/>
      </c>
      <c r="BN554" s="102">
        <f>(CI554-Driver!$F$205)/(Driver!$G$205-Driver!$F$205)*$BI$1</f>
        <v/>
      </c>
      <c r="BO554" s="102">
        <f>(CK554-Driver!$F$207)/(Driver!$G$207-Driver!$F$207)*$BI$1</f>
        <v/>
      </c>
      <c r="BP554" s="102">
        <f>(CM554-Driver!$F$208)/(Driver!$G$208-Driver!$F$208)*$BI$1</f>
        <v/>
      </c>
      <c r="BQ554" s="102">
        <f>(CL554-Driver!$F$209)/(Driver!$G$209-Driver!$F$209)*$BI$1</f>
        <v/>
      </c>
      <c r="BR554" s="40" t="inlineStr">
        <is>
          <t>21/22</t>
        </is>
      </c>
      <c r="BS554" s="10" t="inlineStr">
        <is>
          <t xml:space="preserve"> Faction</t>
        </is>
      </c>
      <c r="BT554" s="11" t="inlineStr">
        <is>
          <t>Prodigy 1.0 X</t>
        </is>
      </c>
      <c r="BU554" s="13" t="n">
        <v>158</v>
      </c>
      <c r="BV554" s="11" t="inlineStr">
        <is>
          <t xml:space="preserve"> Women's</t>
        </is>
      </c>
      <c r="BW554" s="13" t="n">
        <v>158</v>
      </c>
      <c r="BX554" s="13" t="n">
        <v>155.9</v>
      </c>
      <c r="BY554" s="13" t="n">
        <v>111</v>
      </c>
      <c r="BZ554" s="13" t="n">
        <v>129</v>
      </c>
      <c r="CA554" s="13" t="n">
        <v>119</v>
      </c>
      <c r="CB554" s="13" t="n">
        <v>87</v>
      </c>
      <c r="CC554" s="13" t="n">
        <v>112</v>
      </c>
      <c r="CD554" s="13" t="n">
        <v>13</v>
      </c>
      <c r="CE554" s="13" t="n">
        <v>1577</v>
      </c>
      <c r="CF554" s="13" t="n">
        <v>0.98</v>
      </c>
      <c r="CG554" s="13" t="n">
        <v>1544</v>
      </c>
      <c r="CH554" s="13" t="n">
        <v>159</v>
      </c>
      <c r="CI554" s="13" t="n">
        <v>79</v>
      </c>
      <c r="CJ554" s="13" t="n">
        <v>53</v>
      </c>
      <c r="CK554" s="13" t="n">
        <v>259</v>
      </c>
      <c r="CL554" s="13" t="n">
        <v>39</v>
      </c>
      <c r="CM554" s="13" t="n">
        <v>195</v>
      </c>
      <c r="CN554" s="13" t="n">
        <v>0.734</v>
      </c>
      <c r="CO554" s="13" t="n">
        <v>145</v>
      </c>
      <c r="CP554" s="13" t="n">
        <v>121</v>
      </c>
      <c r="CQ554" s="13" t="n">
        <v>113</v>
      </c>
      <c r="CR554" s="13" t="n">
        <v>6</v>
      </c>
      <c r="CS554" s="13" t="n">
        <v>6.8</v>
      </c>
      <c r="CT554" s="11" t="inlineStr">
        <is>
          <t xml:space="preserve"> Resort Freeride</t>
        </is>
      </c>
      <c r="CU554" s="13" t="n"/>
      <c r="CV554" s="13" t="n"/>
      <c r="CW554" s="13" t="n"/>
      <c r="CX554">
        <f>INDEX('Data_Price '!AG$2:AG$1266,MATCH(Data!$DN554,'Data_Price '!$AT$2:$AT$1266,0))</f>
        <v/>
      </c>
      <c r="CY554">
        <f>INDEX('Data_Price '!AH$2:AH$1266,MATCH(Data!$DN554,'Data_Price '!$AT$2:$AT$1266,0))</f>
        <v/>
      </c>
      <c r="CZ554">
        <f>INDEX('Data_Price '!AI$2:AI$1266,MATCH(Data!$DN554,'Data_Price '!$AT$2:$AT$1266,0))</f>
        <v/>
      </c>
      <c r="DA554">
        <f>INDEX('Data_Price '!AJ$2:AJ$1266,MATCH(Data!$DN554,'Data_Price '!$AT$2:$AT$1266,0))</f>
        <v/>
      </c>
      <c r="DB554">
        <f>INDEX('Data_Price '!AK$2:AK$1266,MATCH(Data!$DN554,'Data_Price '!$AT$2:$AT$1266,0))</f>
        <v/>
      </c>
      <c r="DC554">
        <f>INDEX('Data_Price '!AL$2:AL$1266,MATCH(Data!$DN554,'Data_Price '!$AT$2:$AT$1266,0))</f>
        <v/>
      </c>
      <c r="DD554">
        <f>INDEX('Data_Price '!AM$2:AM$1266,MATCH(Data!$DN554,'Data_Price '!$AT$2:$AT$1266,0))</f>
        <v/>
      </c>
      <c r="DE554">
        <f>INDEX('Data_Price '!AN$2:AN$1266,MATCH(Data!$DN554,'Data_Price '!$AT$2:$AT$1266,0))</f>
        <v/>
      </c>
      <c r="DF554">
        <f>INDEX('Data_Price '!AO$2:AO$1266,MATCH(Data!$DN554,'Data_Price '!$AT$2:$AT$1266,0))</f>
        <v/>
      </c>
      <c r="DG554">
        <f>INDEX('Data_Price '!AP$2:AP$1266,MATCH(Data!$DN554,'Data_Price '!$AT$2:$AT$1266,0))</f>
        <v/>
      </c>
      <c r="DH554">
        <f>INDEX('Data_Price '!AQ$2:AQ$1266,MATCH(Data!$DN554,'Data_Price '!$AT$2:$AT$1266,0))</f>
        <v/>
      </c>
      <c r="DI554">
        <f>INDEX('Data_Price '!AR$2:AR$1266,MATCH(Data!$DN554,'Data_Price '!$AT$2:$AT$1266,0))</f>
        <v/>
      </c>
      <c r="DJ554" s="138">
        <f>DA554</f>
        <v/>
      </c>
      <c r="DK554" s="138">
        <f>DE554</f>
        <v/>
      </c>
      <c r="DL554" s="138">
        <f>DI554</f>
        <v/>
      </c>
      <c r="DM554" s="303">
        <f>IF(LEFT(BT554,1)=" ",RIGHT(BT554,LEN(BT554)-1),BT554)</f>
        <v/>
      </c>
      <c r="DN554" s="138">
        <f>_xlfn.CONCAT(BS554,DM554,BU554,BV554)</f>
        <v/>
      </c>
      <c r="DO554" s="307" t="n"/>
    </row>
    <row r="555" ht="15.6" customHeight="1" s="184">
      <c r="B555" s="303">
        <f t="array" ref="B555">IF(OR(ISERROR(K555:P555)),FALSE,TRUE)</f>
        <v/>
      </c>
      <c r="C555" s="60">
        <f>OR(BR555=Driver!$G$50,Data!BR257=Driver!$H$50)</f>
        <v/>
      </c>
      <c r="D555" s="60">
        <f>OR(BV555=Driver!$G$51,BV555=Driver!$H$51)</f>
        <v/>
      </c>
      <c r="E555" s="60">
        <f>AND(BX555&gt;Driver!$F$54,BX555&lt;Driver!$G$54)</f>
        <v/>
      </c>
      <c r="F555" s="60">
        <f>CL555&gt;Driver!$F$56</f>
        <v/>
      </c>
      <c r="G555" s="60">
        <f>AND(CB555&gt;Driver!$F$55,CB555&lt;Driver!$G$55)</f>
        <v/>
      </c>
      <c r="H555" s="60">
        <f>AND(B555:G555)</f>
        <v/>
      </c>
      <c r="I555" s="60">
        <f>COUNTIFS($H$9:$H$1273,TRUE,$BT$9:$BT$1273,BT555)</f>
        <v/>
      </c>
      <c r="J555" s="60">
        <f t="array" ref="J555">NOT(OR(($H$9:$H$1273=TRUE)*($I$9:$I$1273&gt;0)*($BT$9:$BT$1273=BT555)*($K$9:$K$1273&gt;K555)))</f>
        <v/>
      </c>
      <c r="K555" s="108">
        <f>IFERROR(1-AVERAGE(X555:Y555),"")</f>
        <v/>
      </c>
      <c r="L555" s="108">
        <f>1-X555</f>
        <v/>
      </c>
      <c r="M555" s="108">
        <f>1-Y555</f>
        <v/>
      </c>
      <c r="N555" s="108">
        <f>1-Z555</f>
        <v/>
      </c>
      <c r="O555" s="108">
        <f>1-AA555</f>
        <v/>
      </c>
      <c r="P555" s="108">
        <f>1-AB555</f>
        <v/>
      </c>
      <c r="Q555" s="108" t="n"/>
      <c r="R555" s="108" t="n"/>
      <c r="S555" s="108">
        <f>1-AE555</f>
        <v/>
      </c>
      <c r="T555" s="108">
        <f>1-AF555</f>
        <v/>
      </c>
      <c r="U555" s="108">
        <f>1-AG555</f>
        <v/>
      </c>
      <c r="V555" s="108">
        <f>1-AH555</f>
        <v/>
      </c>
      <c r="W555" s="108">
        <f>1-AI555</f>
        <v/>
      </c>
      <c r="X555" s="108">
        <f>ABS(AJ555-AJ$1)</f>
        <v/>
      </c>
      <c r="Y555" s="108">
        <f>AVERAGE(Z555:AB555)</f>
        <v/>
      </c>
      <c r="Z555" s="108">
        <f>ABS(AL555-AL$1)</f>
        <v/>
      </c>
      <c r="AA555" s="108">
        <f>ABS(AM555-AM$1)</f>
        <v/>
      </c>
      <c r="AB555" s="108">
        <f>ABS(AN555-AN$1)</f>
        <v/>
      </c>
      <c r="AC555" s="108" t="n"/>
      <c r="AD555" s="108" t="n"/>
      <c r="AE555" s="108">
        <f>ABS(AQ$1-AQ555)</f>
        <v/>
      </c>
      <c r="AF555" s="108">
        <f>ABS(AR$1-AR555)</f>
        <v/>
      </c>
      <c r="AG555" s="108">
        <f>ABS(AS$1-AS555)</f>
        <v/>
      </c>
      <c r="AH555" s="108">
        <f>ABS(AT$1-AT555)</f>
        <v/>
      </c>
      <c r="AI555" s="108">
        <f>ABS(AU$1-AU555)</f>
        <v/>
      </c>
      <c r="AJ555" s="108">
        <f>(AV555-Driver!$K$179)/(Driver!$L$179-Driver!$K$179)</f>
        <v/>
      </c>
      <c r="AK555" s="108">
        <f>(AW555-Driver!$K$180)/(Driver!$L$180-Driver!$K$180)</f>
        <v/>
      </c>
      <c r="AL555" s="108">
        <f>(AX555-Driver!$K$181)/(Driver!$L$181-Driver!$K$181)</f>
        <v/>
      </c>
      <c r="AM555" s="108">
        <f>(AY555-Driver!$K$182)/(Driver!$L$182-Driver!$K$182)</f>
        <v/>
      </c>
      <c r="AN555" s="108">
        <f>(AZ555-Driver!$K$183)/(Driver!$L$183-Driver!$K$183)</f>
        <v/>
      </c>
      <c r="AO555" s="108" t="n"/>
      <c r="AP555" s="108" t="n"/>
      <c r="AQ555" s="108">
        <f>(BC555-Driver!$K$188)/(Driver!$L$188-Driver!$K$188)</f>
        <v/>
      </c>
      <c r="AR555" s="108">
        <f>MIN((BD555-Driver!$K$189)/(Driver!$L$189-Driver!$K$189),100%)</f>
        <v/>
      </c>
      <c r="AS555" s="108">
        <f>(BE555-Driver!$K$190)/(Driver!$L$190-Driver!$K$190)</f>
        <v/>
      </c>
      <c r="AT555" s="108">
        <f>(BF555-Driver!$K$191)/(Driver!$L$191-Driver!$K$191)</f>
        <v/>
      </c>
      <c r="AU555" s="108">
        <f>(BG555-Driver!$K$192)/(Driver!$L$192-Driver!$K$192)</f>
        <v/>
      </c>
      <c r="AV555" s="105">
        <f>IFERROR(BM555*BJ555^1/4,"")</f>
        <v/>
      </c>
      <c r="AW555" s="105">
        <f>IFERROR(SUM(AX555:AZ555),"")</f>
        <v/>
      </c>
      <c r="AX555" s="105">
        <f>IFERROR(BH555,"")</f>
        <v/>
      </c>
      <c r="AY555" s="105">
        <f>IFERROR(Driver!$K$19/Data!BH555/Data!BI555*Data!BK555*Data!BL555,"")</f>
        <v/>
      </c>
      <c r="AZ555" s="105">
        <f>IFERROR(BI555*BN555,"")</f>
        <v/>
      </c>
      <c r="BA555" s="105" t="n"/>
      <c r="BB555" s="105" t="n"/>
      <c r="BC555" s="105">
        <f>IFERROR(BI555*BN555*BK555/BJ555^(1/2),"")</f>
        <v/>
      </c>
      <c r="BD555" s="105">
        <f>IFERROR(BH555*BM555*BL555/BJ555/BK555,"")</f>
        <v/>
      </c>
      <c r="BE555" s="105">
        <f>IFERROR(MIN(BI555/BQ555/BP555/BO555/BH555,$BE$1),"")</f>
        <v/>
      </c>
      <c r="BF555" s="105">
        <f>IFERROR(BJ555*BO555*BP555/BK555,"")</f>
        <v/>
      </c>
      <c r="BG555" s="105">
        <f>IFERROR(1/BM555/BH555*BQ555,"")</f>
        <v/>
      </c>
      <c r="BH555" s="102">
        <f>MAX((CE555-Driver!$F$200)/(Driver!$G$200-Driver!$F$200)*$BI$1,1)</f>
        <v/>
      </c>
      <c r="BI555" s="102">
        <f>MAX($BI$1*(BY555-Driver!$F$201)/(Driver!$G$201-Driver!$F$201),1)</f>
        <v/>
      </c>
      <c r="BJ555" s="102">
        <f>(CB555-Driver!$F$206)/(Driver!$G$206-Driver!$F$206)*$BI$1</f>
        <v/>
      </c>
      <c r="BK555" s="102">
        <f>(CD555-Driver!$F$203)/(Driver!$G$203-Driver!$F$203)*$BI$1</f>
        <v/>
      </c>
      <c r="BL555" s="102">
        <f>MAX((CR555-Driver!$F$202)/(Driver!$G$202-Driver!$F$202)*$BI$1,1)</f>
        <v/>
      </c>
      <c r="BM555" s="102">
        <f>MAX((CH555-Driver!$F$204)/(Driver!$G$204-Driver!$F$204)*$BI$1,1)</f>
        <v/>
      </c>
      <c r="BN555" s="102">
        <f>(CI555-Driver!$F$205)/(Driver!$G$205-Driver!$F$205)*$BI$1</f>
        <v/>
      </c>
      <c r="BO555" s="102">
        <f>(CK555-Driver!$F$207)/(Driver!$G$207-Driver!$F$207)*$BI$1</f>
        <v/>
      </c>
      <c r="BP555" s="102">
        <f>(CM555-Driver!$F$208)/(Driver!$G$208-Driver!$F$208)*$BI$1</f>
        <v/>
      </c>
      <c r="BQ555" s="102">
        <f>(CL555-Driver!$F$209)/(Driver!$G$209-Driver!$F$209)*$BI$1</f>
        <v/>
      </c>
      <c r="BR555" s="40" t="inlineStr">
        <is>
          <t>21/22</t>
        </is>
      </c>
      <c r="BS555" s="10" t="inlineStr">
        <is>
          <t xml:space="preserve"> Blizzard</t>
        </is>
      </c>
      <c r="BT555" s="11" t="inlineStr">
        <is>
          <t>Black Pearl 82</t>
        </is>
      </c>
      <c r="BU555" s="13" t="n">
        <v>173</v>
      </c>
      <c r="BV555" s="11" t="inlineStr">
        <is>
          <t xml:space="preserve"> Women's</t>
        </is>
      </c>
      <c r="BW555" s="13" t="n">
        <v>173</v>
      </c>
      <c r="BX555" s="13" t="n">
        <v>171.3</v>
      </c>
      <c r="BY555" s="13" t="n">
        <v>138</v>
      </c>
      <c r="BZ555" s="13" t="n">
        <v>148</v>
      </c>
      <c r="CA555" s="13" t="n">
        <v>121</v>
      </c>
      <c r="CB555" s="13" t="n">
        <v>81</v>
      </c>
      <c r="CC555" s="13" t="n">
        <v>104</v>
      </c>
      <c r="CD555" s="13" t="n">
        <v>17</v>
      </c>
      <c r="CE555" s="13" t="n">
        <v>1783</v>
      </c>
      <c r="CF555" s="13" t="n">
        <v>0.9</v>
      </c>
      <c r="CG555" s="13" t="n">
        <v>1600</v>
      </c>
      <c r="CH555" s="13" t="n">
        <v>215</v>
      </c>
      <c r="CI555" s="13" t="n">
        <v>109</v>
      </c>
      <c r="CJ555" s="13" t="n">
        <v>50</v>
      </c>
      <c r="CK555" s="13" t="n">
        <v>231</v>
      </c>
      <c r="CL555" s="13" t="n">
        <v>7</v>
      </c>
      <c r="CM555" s="13" t="n">
        <v>107</v>
      </c>
      <c r="CN555" s="13" t="n">
        <v>0.135</v>
      </c>
      <c r="CO555" s="13" t="n">
        <v>120</v>
      </c>
      <c r="CP555" s="13" t="n">
        <v>109</v>
      </c>
      <c r="CQ555" s="13" t="n">
        <v>111</v>
      </c>
      <c r="CR555" s="13" t="n">
        <v>6</v>
      </c>
      <c r="CS555" s="13" t="n">
        <v>11.4</v>
      </c>
      <c r="CT555" s="11" t="inlineStr">
        <is>
          <t xml:space="preserve"> On-Piste All-Mountain</t>
        </is>
      </c>
      <c r="CU555" s="11" t="inlineStr">
        <is>
          <t xml:space="preserve"> Resort Freeride</t>
        </is>
      </c>
      <c r="CV555" s="13" t="n"/>
      <c r="CW555" s="13" t="n"/>
      <c r="CX555">
        <f>INDEX('Data_Price '!AG$2:AG$1266,MATCH(Data!$DN555,'Data_Price '!$AT$2:$AT$1266,0))</f>
        <v/>
      </c>
      <c r="CY555">
        <f>INDEX('Data_Price '!AH$2:AH$1266,MATCH(Data!$DN555,'Data_Price '!$AT$2:$AT$1266,0))</f>
        <v/>
      </c>
      <c r="CZ555">
        <f>INDEX('Data_Price '!AI$2:AI$1266,MATCH(Data!$DN555,'Data_Price '!$AT$2:$AT$1266,0))</f>
        <v/>
      </c>
      <c r="DA555">
        <f>INDEX('Data_Price '!AJ$2:AJ$1266,MATCH(Data!$DN555,'Data_Price '!$AT$2:$AT$1266,0))</f>
        <v/>
      </c>
      <c r="DB555">
        <f>INDEX('Data_Price '!AK$2:AK$1266,MATCH(Data!$DN555,'Data_Price '!$AT$2:$AT$1266,0))</f>
        <v/>
      </c>
      <c r="DC555">
        <f>INDEX('Data_Price '!AL$2:AL$1266,MATCH(Data!$DN555,'Data_Price '!$AT$2:$AT$1266,0))</f>
        <v/>
      </c>
      <c r="DD555">
        <f>INDEX('Data_Price '!AM$2:AM$1266,MATCH(Data!$DN555,'Data_Price '!$AT$2:$AT$1266,0))</f>
        <v/>
      </c>
      <c r="DE555">
        <f>INDEX('Data_Price '!AN$2:AN$1266,MATCH(Data!$DN555,'Data_Price '!$AT$2:$AT$1266,0))</f>
        <v/>
      </c>
      <c r="DF555">
        <f>INDEX('Data_Price '!AO$2:AO$1266,MATCH(Data!$DN555,'Data_Price '!$AT$2:$AT$1266,0))</f>
        <v/>
      </c>
      <c r="DG555">
        <f>INDEX('Data_Price '!AP$2:AP$1266,MATCH(Data!$DN555,'Data_Price '!$AT$2:$AT$1266,0))</f>
        <v/>
      </c>
      <c r="DH555">
        <f>INDEX('Data_Price '!AQ$2:AQ$1266,MATCH(Data!$DN555,'Data_Price '!$AT$2:$AT$1266,0))</f>
        <v/>
      </c>
      <c r="DI555">
        <f>INDEX('Data_Price '!AR$2:AR$1266,MATCH(Data!$DN555,'Data_Price '!$AT$2:$AT$1266,0))</f>
        <v/>
      </c>
      <c r="DJ555" s="138">
        <f>DA555</f>
        <v/>
      </c>
      <c r="DK555" s="138">
        <f>DE555</f>
        <v/>
      </c>
      <c r="DL555" s="138">
        <f>DI555</f>
        <v/>
      </c>
      <c r="DM555" s="303">
        <f>IF(LEFT(BT555,1)=" ",RIGHT(BT555,LEN(BT555)-1),BT555)</f>
        <v/>
      </c>
      <c r="DN555" s="138">
        <f>_xlfn.CONCAT(BS555,DM555,BU555,BV555)</f>
        <v/>
      </c>
      <c r="DO555" s="307" t="inlineStr">
        <is>
          <t>https://images.evo.com/imgp/250/197473/825189/blizzard-black-pearl-82-skis-women-s-2022-.jpg</t>
        </is>
      </c>
    </row>
    <row r="556" ht="15.6" customHeight="1" s="184">
      <c r="B556" s="303">
        <f t="array" ref="B556">IF(OR(ISERROR(K556:P556)),FALSE,TRUE)</f>
        <v/>
      </c>
      <c r="C556" s="60">
        <f>OR(BR556=Driver!$G$50,Data!BR117=Driver!$H$50)</f>
        <v/>
      </c>
      <c r="D556" s="60">
        <f>OR(BV556=Driver!$G$51,BV556=Driver!$H$51)</f>
        <v/>
      </c>
      <c r="E556" s="60">
        <f>AND(BX556&gt;Driver!$F$54,BX556&lt;Driver!$G$54)</f>
        <v/>
      </c>
      <c r="F556" s="60">
        <f>CL556&gt;Driver!$F$56</f>
        <v/>
      </c>
      <c r="G556" s="60">
        <f>AND(CB556&gt;Driver!$F$55,CB556&lt;Driver!$G$55)</f>
        <v/>
      </c>
      <c r="H556" s="60">
        <f>AND(B556:G556)</f>
        <v/>
      </c>
      <c r="I556" s="60">
        <f>COUNTIFS($H$9:$H$1273,TRUE,$BT$9:$BT$1273,BT556)</f>
        <v/>
      </c>
      <c r="J556" s="60">
        <f t="array" ref="J556">NOT(OR(($H$9:$H$1273=TRUE)*($I$9:$I$1273&gt;0)*($BT$9:$BT$1273=BT556)*($K$9:$K$1273&gt;K556)))</f>
        <v/>
      </c>
      <c r="K556" s="108">
        <f>IFERROR(1-AVERAGE(X556:Y556),"")</f>
        <v/>
      </c>
      <c r="L556" s="108">
        <f>1-X556</f>
        <v/>
      </c>
      <c r="M556" s="108">
        <f>1-Y556</f>
        <v/>
      </c>
      <c r="N556" s="108">
        <f>1-Z556</f>
        <v/>
      </c>
      <c r="O556" s="108">
        <f>1-AA556</f>
        <v/>
      </c>
      <c r="P556" s="108">
        <f>1-AB556</f>
        <v/>
      </c>
      <c r="Q556" s="108" t="n"/>
      <c r="R556" s="108" t="n"/>
      <c r="S556" s="108">
        <f>1-AE556</f>
        <v/>
      </c>
      <c r="T556" s="108">
        <f>1-AF556</f>
        <v/>
      </c>
      <c r="U556" s="108">
        <f>1-AG556</f>
        <v/>
      </c>
      <c r="V556" s="108">
        <f>1-AH556</f>
        <v/>
      </c>
      <c r="W556" s="108">
        <f>1-AI556</f>
        <v/>
      </c>
      <c r="X556" s="108">
        <f>ABS(AJ556-AJ$1)</f>
        <v/>
      </c>
      <c r="Y556" s="108">
        <f>AVERAGE(Z556:AB556)</f>
        <v/>
      </c>
      <c r="Z556" s="108">
        <f>ABS(AL556-AL$1)</f>
        <v/>
      </c>
      <c r="AA556" s="108">
        <f>ABS(AM556-AM$1)</f>
        <v/>
      </c>
      <c r="AB556" s="108">
        <f>ABS(AN556-AN$1)</f>
        <v/>
      </c>
      <c r="AC556" s="108" t="n"/>
      <c r="AD556" s="108" t="n"/>
      <c r="AE556" s="108">
        <f>ABS(AQ$1-AQ556)</f>
        <v/>
      </c>
      <c r="AF556" s="108">
        <f>ABS(AR$1-AR556)</f>
        <v/>
      </c>
      <c r="AG556" s="108">
        <f>ABS(AS$1-AS556)</f>
        <v/>
      </c>
      <c r="AH556" s="108">
        <f>ABS(AT$1-AT556)</f>
        <v/>
      </c>
      <c r="AI556" s="108">
        <f>ABS(AU$1-AU556)</f>
        <v/>
      </c>
      <c r="AJ556" s="108">
        <f>(AV556-Driver!$K$179)/(Driver!$L$179-Driver!$K$179)</f>
        <v/>
      </c>
      <c r="AK556" s="108">
        <f>(AW556-Driver!$K$180)/(Driver!$L$180-Driver!$K$180)</f>
        <v/>
      </c>
      <c r="AL556" s="108">
        <f>(AX556-Driver!$K$181)/(Driver!$L$181-Driver!$K$181)</f>
        <v/>
      </c>
      <c r="AM556" s="108">
        <f>(AY556-Driver!$K$182)/(Driver!$L$182-Driver!$K$182)</f>
        <v/>
      </c>
      <c r="AN556" s="108">
        <f>(AZ556-Driver!$K$183)/(Driver!$L$183-Driver!$K$183)</f>
        <v/>
      </c>
      <c r="AO556" s="108" t="n"/>
      <c r="AP556" s="108" t="n"/>
      <c r="AQ556" s="108">
        <f>(BC556-Driver!$K$188)/(Driver!$L$188-Driver!$K$188)</f>
        <v/>
      </c>
      <c r="AR556" s="108">
        <f>MIN((BD556-Driver!$K$189)/(Driver!$L$189-Driver!$K$189),100%)</f>
        <v/>
      </c>
      <c r="AS556" s="108">
        <f>(BE556-Driver!$K$190)/(Driver!$L$190-Driver!$K$190)</f>
        <v/>
      </c>
      <c r="AT556" s="108">
        <f>(BF556-Driver!$K$191)/(Driver!$L$191-Driver!$K$191)</f>
        <v/>
      </c>
      <c r="AU556" s="108">
        <f>(BG556-Driver!$K$192)/(Driver!$L$192-Driver!$K$192)</f>
        <v/>
      </c>
      <c r="AV556" s="105">
        <f>IFERROR(BM556*BJ556^1/4,"")</f>
        <v/>
      </c>
      <c r="AW556" s="105">
        <f>IFERROR(SUM(AX556:AZ556),"")</f>
        <v/>
      </c>
      <c r="AX556" s="105">
        <f>IFERROR(BH556,"")</f>
        <v/>
      </c>
      <c r="AY556" s="105">
        <f>IFERROR(Driver!$K$19/Data!BH556/Data!BI556*Data!BK556*Data!BL556,"")</f>
        <v/>
      </c>
      <c r="AZ556" s="105">
        <f>IFERROR(BI556*BN556,"")</f>
        <v/>
      </c>
      <c r="BA556" s="105" t="n"/>
      <c r="BB556" s="105" t="n"/>
      <c r="BC556" s="105">
        <f>IFERROR(BI556*BN556*BK556/BJ556^(1/2),"")</f>
        <v/>
      </c>
      <c r="BD556" s="105">
        <f>IFERROR(BH556*BM556*BL556/BJ556/BK556,"")</f>
        <v/>
      </c>
      <c r="BE556" s="105">
        <f>IFERROR(MIN(BI556/BQ556/BP556/BO556/BH556,$BE$1),"")</f>
        <v/>
      </c>
      <c r="BF556" s="105">
        <f>IFERROR(BJ556*BO556*BP556/BK556,"")</f>
        <v/>
      </c>
      <c r="BG556" s="105">
        <f>IFERROR(1/BM556/BH556*BQ556,"")</f>
        <v/>
      </c>
      <c r="BH556" s="102">
        <f>MAX((CE556-Driver!$F$200)/(Driver!$G$200-Driver!$F$200)*$BI$1,1)</f>
        <v/>
      </c>
      <c r="BI556" s="102">
        <f>MAX($BI$1*(BY556-Driver!$F$201)/(Driver!$G$201-Driver!$F$201),1)</f>
        <v/>
      </c>
      <c r="BJ556" s="102">
        <f>(CB556-Driver!$F$206)/(Driver!$G$206-Driver!$F$206)*$BI$1</f>
        <v/>
      </c>
      <c r="BK556" s="102">
        <f>(CD556-Driver!$F$203)/(Driver!$G$203-Driver!$F$203)*$BI$1</f>
        <v/>
      </c>
      <c r="BL556" s="102">
        <f>MAX((CR556-Driver!$F$202)/(Driver!$G$202-Driver!$F$202)*$BI$1,1)</f>
        <v/>
      </c>
      <c r="BM556" s="102">
        <f>MAX((CH556-Driver!$F$204)/(Driver!$G$204-Driver!$F$204)*$BI$1,1)</f>
        <v/>
      </c>
      <c r="BN556" s="102">
        <f>(CI556-Driver!$F$205)/(Driver!$G$205-Driver!$F$205)*$BI$1</f>
        <v/>
      </c>
      <c r="BO556" s="102">
        <f>(CK556-Driver!$F$207)/(Driver!$G$207-Driver!$F$207)*$BI$1</f>
        <v/>
      </c>
      <c r="BP556" s="102">
        <f>(CM556-Driver!$F$208)/(Driver!$G$208-Driver!$F$208)*$BI$1</f>
        <v/>
      </c>
      <c r="BQ556" s="102">
        <f>(CL556-Driver!$F$209)/(Driver!$G$209-Driver!$F$209)*$BI$1</f>
        <v/>
      </c>
      <c r="BR556" s="40" t="inlineStr">
        <is>
          <t>21/22</t>
        </is>
      </c>
      <c r="BS556" s="10" t="inlineStr">
        <is>
          <t xml:space="preserve"> Atomic</t>
        </is>
      </c>
      <c r="BT556" s="11" t="inlineStr">
        <is>
          <t>Backland 100</t>
        </is>
      </c>
      <c r="BU556" s="13" t="n">
        <v>172</v>
      </c>
      <c r="BV556" s="11" t="inlineStr">
        <is>
          <t xml:space="preserve"> Unisex</t>
        </is>
      </c>
      <c r="BW556" s="13" t="n">
        <v>172</v>
      </c>
      <c r="BX556" s="13" t="n">
        <v>171.1</v>
      </c>
      <c r="BY556" s="13" t="n">
        <v>123</v>
      </c>
      <c r="BZ556" s="13" t="n">
        <v>138</v>
      </c>
      <c r="CA556" s="13" t="n">
        <v>127</v>
      </c>
      <c r="CB556" s="13" t="n">
        <v>98</v>
      </c>
      <c r="CC556" s="13" t="n">
        <v>117</v>
      </c>
      <c r="CD556" s="13" t="n">
        <v>17.5</v>
      </c>
      <c r="CE556" s="13" t="n">
        <v>1227</v>
      </c>
      <c r="CF556" s="13" t="n">
        <v>1.49</v>
      </c>
      <c r="CG556" s="13" t="n">
        <v>1825</v>
      </c>
      <c r="CH556" s="13" t="n">
        <v>161</v>
      </c>
      <c r="CI556" s="13" t="n">
        <v>88</v>
      </c>
      <c r="CJ556" s="13" t="n">
        <v>53</v>
      </c>
      <c r="CK556" s="13" t="n">
        <v>291</v>
      </c>
      <c r="CL556" s="13" t="n">
        <v>14</v>
      </c>
      <c r="CM556" s="13" t="n">
        <v>191</v>
      </c>
      <c r="CN556" s="13" t="n">
        <v>0.272</v>
      </c>
      <c r="CO556" s="13" t="n">
        <v>172</v>
      </c>
      <c r="CP556" s="13" t="n">
        <v>163</v>
      </c>
      <c r="CQ556" s="13" t="n">
        <v>120</v>
      </c>
      <c r="CR556" s="13" t="n">
        <v>5</v>
      </c>
      <c r="CS556" s="13" t="n">
        <v>7.9</v>
      </c>
      <c r="CT556" s="11" t="inlineStr">
        <is>
          <t xml:space="preserve"> Touring</t>
        </is>
      </c>
      <c r="CU556" s="11" t="inlineStr">
        <is>
          <t xml:space="preserve"> Ultralight Touring</t>
        </is>
      </c>
      <c r="CV556" s="13" t="n"/>
      <c r="CW556" s="13" t="n"/>
      <c r="CX556">
        <f>INDEX('Data_Price '!AG$2:AG$1266,MATCH(Data!$DN556,'Data_Price '!$AT$2:$AT$1266,0))</f>
        <v/>
      </c>
      <c r="CY556">
        <f>INDEX('Data_Price '!AH$2:AH$1266,MATCH(Data!$DN556,'Data_Price '!$AT$2:$AT$1266,0))</f>
        <v/>
      </c>
      <c r="CZ556">
        <f>INDEX('Data_Price '!AI$2:AI$1266,MATCH(Data!$DN556,'Data_Price '!$AT$2:$AT$1266,0))</f>
        <v/>
      </c>
      <c r="DA556">
        <f>INDEX('Data_Price '!AJ$2:AJ$1266,MATCH(Data!$DN556,'Data_Price '!$AT$2:$AT$1266,0))</f>
        <v/>
      </c>
      <c r="DB556">
        <f>INDEX('Data_Price '!AK$2:AK$1266,MATCH(Data!$DN556,'Data_Price '!$AT$2:$AT$1266,0))</f>
        <v/>
      </c>
      <c r="DC556">
        <f>INDEX('Data_Price '!AL$2:AL$1266,MATCH(Data!$DN556,'Data_Price '!$AT$2:$AT$1266,0))</f>
        <v/>
      </c>
      <c r="DD556">
        <f>INDEX('Data_Price '!AM$2:AM$1266,MATCH(Data!$DN556,'Data_Price '!$AT$2:$AT$1266,0))</f>
        <v/>
      </c>
      <c r="DE556">
        <f>INDEX('Data_Price '!AN$2:AN$1266,MATCH(Data!$DN556,'Data_Price '!$AT$2:$AT$1266,0))</f>
        <v/>
      </c>
      <c r="DF556">
        <f>INDEX('Data_Price '!AO$2:AO$1266,MATCH(Data!$DN556,'Data_Price '!$AT$2:$AT$1266,0))</f>
        <v/>
      </c>
      <c r="DG556">
        <f>INDEX('Data_Price '!AP$2:AP$1266,MATCH(Data!$DN556,'Data_Price '!$AT$2:$AT$1266,0))</f>
        <v/>
      </c>
      <c r="DH556">
        <f>INDEX('Data_Price '!AQ$2:AQ$1266,MATCH(Data!$DN556,'Data_Price '!$AT$2:$AT$1266,0))</f>
        <v/>
      </c>
      <c r="DI556">
        <f>INDEX('Data_Price '!AR$2:AR$1266,MATCH(Data!$DN556,'Data_Price '!$AT$2:$AT$1266,0))</f>
        <v/>
      </c>
      <c r="DJ556" s="138">
        <f>DA556</f>
        <v/>
      </c>
      <c r="DK556" s="138">
        <f>DE556</f>
        <v/>
      </c>
      <c r="DL556" s="138">
        <f>DI556</f>
        <v/>
      </c>
      <c r="DM556" s="303">
        <f>IF(LEFT(BT556,1)=" ",RIGHT(BT556,LEN(BT556)-1),BT556)</f>
        <v/>
      </c>
      <c r="DN556" s="138">
        <f>_xlfn.CONCAT(BS556,DM556,BU556,BV556)</f>
        <v/>
      </c>
      <c r="DO556" s="307" t="inlineStr">
        <is>
          <t>https://images.evo.com/imgp/250/197751/826836/atomic-backland-100-skis-2022-.jpg</t>
        </is>
      </c>
    </row>
    <row r="557" ht="15.6" customHeight="1" s="184">
      <c r="B557" s="303">
        <f t="array" ref="B557">IF(OR(ISERROR(K557:P557)),FALSE,TRUE)</f>
        <v/>
      </c>
      <c r="C557" s="60">
        <f>OR(BR557=Driver!$G$50,Data!BR706=Driver!$H$50)</f>
        <v/>
      </c>
      <c r="D557" s="60">
        <f>OR(BV557=Driver!$G$51,BV557=Driver!$H$51)</f>
        <v/>
      </c>
      <c r="E557" s="60">
        <f>AND(BX557&gt;Driver!$F$54,BX557&lt;Driver!$G$54)</f>
        <v/>
      </c>
      <c r="F557" s="60">
        <f>CL557&gt;Driver!$F$56</f>
        <v/>
      </c>
      <c r="G557" s="60">
        <f>AND(CB557&gt;Driver!$F$55,CB557&lt;Driver!$G$55)</f>
        <v/>
      </c>
      <c r="H557" s="60">
        <f>AND(B557:G557)</f>
        <v/>
      </c>
      <c r="I557" s="60">
        <f>COUNTIFS($H$9:$H$1273,TRUE,$BT$9:$BT$1273,BT557)</f>
        <v/>
      </c>
      <c r="J557" s="60">
        <f t="array" ref="J557">NOT(OR(($H$9:$H$1273=TRUE)*($I$9:$I$1273&gt;0)*($BT$9:$BT$1273=BT557)*($K$9:$K$1273&gt;K557)))</f>
        <v/>
      </c>
      <c r="K557" s="108">
        <f>IFERROR(1-AVERAGE(X557:Y557),"")</f>
        <v/>
      </c>
      <c r="L557" s="108">
        <f>1-X557</f>
        <v/>
      </c>
      <c r="M557" s="108">
        <f>1-Y557</f>
        <v/>
      </c>
      <c r="N557" s="108">
        <f>1-Z557</f>
        <v/>
      </c>
      <c r="O557" s="108">
        <f>1-AA557</f>
        <v/>
      </c>
      <c r="P557" s="108">
        <f>1-AB557</f>
        <v/>
      </c>
      <c r="Q557" s="108" t="n"/>
      <c r="R557" s="108" t="n"/>
      <c r="S557" s="108">
        <f>1-AE557</f>
        <v/>
      </c>
      <c r="T557" s="108">
        <f>1-AF557</f>
        <v/>
      </c>
      <c r="U557" s="108">
        <f>1-AG557</f>
        <v/>
      </c>
      <c r="V557" s="108">
        <f>1-AH557</f>
        <v/>
      </c>
      <c r="W557" s="108">
        <f>1-AI557</f>
        <v/>
      </c>
      <c r="X557" s="108">
        <f>ABS(AJ557-AJ$1)</f>
        <v/>
      </c>
      <c r="Y557" s="108">
        <f>AVERAGE(Z557:AB557)</f>
        <v/>
      </c>
      <c r="Z557" s="108">
        <f>ABS(AL557-AL$1)</f>
        <v/>
      </c>
      <c r="AA557" s="108">
        <f>ABS(AM557-AM$1)</f>
        <v/>
      </c>
      <c r="AB557" s="108">
        <f>ABS(AN557-AN$1)</f>
        <v/>
      </c>
      <c r="AC557" s="108" t="n"/>
      <c r="AD557" s="108" t="n"/>
      <c r="AE557" s="108">
        <f>ABS(AQ$1-AQ557)</f>
        <v/>
      </c>
      <c r="AF557" s="108">
        <f>ABS(AR$1-AR557)</f>
        <v/>
      </c>
      <c r="AG557" s="108">
        <f>ABS(AS$1-AS557)</f>
        <v/>
      </c>
      <c r="AH557" s="108">
        <f>ABS(AT$1-AT557)</f>
        <v/>
      </c>
      <c r="AI557" s="108">
        <f>ABS(AU$1-AU557)</f>
        <v/>
      </c>
      <c r="AJ557" s="108">
        <f>(AV557-Driver!$K$179)/(Driver!$L$179-Driver!$K$179)</f>
        <v/>
      </c>
      <c r="AK557" s="108">
        <f>(AW557-Driver!$K$180)/(Driver!$L$180-Driver!$K$180)</f>
        <v/>
      </c>
      <c r="AL557" s="108">
        <f>(AX557-Driver!$K$181)/(Driver!$L$181-Driver!$K$181)</f>
        <v/>
      </c>
      <c r="AM557" s="108">
        <f>(AY557-Driver!$K$182)/(Driver!$L$182-Driver!$K$182)</f>
        <v/>
      </c>
      <c r="AN557" s="108">
        <f>(AZ557-Driver!$K$183)/(Driver!$L$183-Driver!$K$183)</f>
        <v/>
      </c>
      <c r="AO557" s="108" t="n"/>
      <c r="AP557" s="108" t="n"/>
      <c r="AQ557" s="108">
        <f>(BC557-Driver!$K$188)/(Driver!$L$188-Driver!$K$188)</f>
        <v/>
      </c>
      <c r="AR557" s="108">
        <f>MIN((BD557-Driver!$K$189)/(Driver!$L$189-Driver!$K$189),100%)</f>
        <v/>
      </c>
      <c r="AS557" s="108">
        <f>(BE557-Driver!$K$190)/(Driver!$L$190-Driver!$K$190)</f>
        <v/>
      </c>
      <c r="AT557" s="108">
        <f>(BF557-Driver!$K$191)/(Driver!$L$191-Driver!$K$191)</f>
        <v/>
      </c>
      <c r="AU557" s="108">
        <f>(BG557-Driver!$K$192)/(Driver!$L$192-Driver!$K$192)</f>
        <v/>
      </c>
      <c r="AV557" s="105">
        <f>IFERROR(BM557*BJ557^1/4,"")</f>
        <v/>
      </c>
      <c r="AW557" s="105">
        <f>IFERROR(SUM(AX557:AZ557),"")</f>
        <v/>
      </c>
      <c r="AX557" s="105">
        <f>IFERROR(BH557,"")</f>
        <v/>
      </c>
      <c r="AY557" s="105">
        <f>IFERROR(Driver!$K$19/Data!BH557/Data!BI557*Data!BK557*Data!BL557,"")</f>
        <v/>
      </c>
      <c r="AZ557" s="105">
        <f>IFERROR(BI557*BN557,"")</f>
        <v/>
      </c>
      <c r="BA557" s="105" t="n"/>
      <c r="BB557" s="105" t="n"/>
      <c r="BC557" s="105">
        <f>IFERROR(BI557*BN557*BK557/BJ557^(1/2),"")</f>
        <v/>
      </c>
      <c r="BD557" s="105">
        <f>IFERROR(BH557*BM557*BL557/BJ557/BK557,"")</f>
        <v/>
      </c>
      <c r="BE557" s="105">
        <f>IFERROR(MIN(BI557/BQ557/BP557/BO557/BH557,$BE$1),"")</f>
        <v/>
      </c>
      <c r="BF557" s="105">
        <f>IFERROR(BJ557*BO557*BP557/BK557,"")</f>
        <v/>
      </c>
      <c r="BG557" s="105">
        <f>IFERROR(1/BM557/BH557*BQ557,"")</f>
        <v/>
      </c>
      <c r="BH557" s="102">
        <f>MAX((CE557-Driver!$F$200)/(Driver!$G$200-Driver!$F$200)*$BI$1,1)</f>
        <v/>
      </c>
      <c r="BI557" s="102">
        <f>MAX($BI$1*(BY557-Driver!$F$201)/(Driver!$G$201-Driver!$F$201),1)</f>
        <v/>
      </c>
      <c r="BJ557" s="102">
        <f>(CB557-Driver!$F$206)/(Driver!$G$206-Driver!$F$206)*$BI$1</f>
        <v/>
      </c>
      <c r="BK557" s="102">
        <f>(CD557-Driver!$F$203)/(Driver!$G$203-Driver!$F$203)*$BI$1</f>
        <v/>
      </c>
      <c r="BL557" s="102">
        <f>MAX((CR557-Driver!$F$202)/(Driver!$G$202-Driver!$F$202)*$BI$1,1)</f>
        <v/>
      </c>
      <c r="BM557" s="102">
        <f>MAX((CH557-Driver!$F$204)/(Driver!$G$204-Driver!$F$204)*$BI$1,1)</f>
        <v/>
      </c>
      <c r="BN557" s="102">
        <f>(CI557-Driver!$F$205)/(Driver!$G$205-Driver!$F$205)*$BI$1</f>
        <v/>
      </c>
      <c r="BO557" s="102">
        <f>(CK557-Driver!$F$207)/(Driver!$G$207-Driver!$F$207)*$BI$1</f>
        <v/>
      </c>
      <c r="BP557" s="102">
        <f>(CM557-Driver!$F$208)/(Driver!$G$208-Driver!$F$208)*$BI$1</f>
        <v/>
      </c>
      <c r="BQ557" s="102">
        <f>(CL557-Driver!$F$209)/(Driver!$G$209-Driver!$F$209)*$BI$1</f>
        <v/>
      </c>
      <c r="BR557" s="40" t="inlineStr">
        <is>
          <t>21/22</t>
        </is>
      </c>
      <c r="BS557" s="10" t="inlineStr">
        <is>
          <t xml:space="preserve"> K2</t>
        </is>
      </c>
      <c r="BT557" s="11" t="inlineStr">
        <is>
          <t>Disruption 78C</t>
        </is>
      </c>
      <c r="BU557" s="13" t="n">
        <v>170</v>
      </c>
      <c r="BV557" s="11" t="inlineStr">
        <is>
          <t xml:space="preserve"> Unisex</t>
        </is>
      </c>
      <c r="BW557" s="13" t="n">
        <v>170</v>
      </c>
      <c r="BX557" s="13" t="n">
        <v>170.7</v>
      </c>
      <c r="BY557" s="13" t="n">
        <v>150</v>
      </c>
      <c r="BZ557" s="13" t="n">
        <v>159</v>
      </c>
      <c r="CA557" s="13" t="n">
        <v>124</v>
      </c>
      <c r="CB557" s="13" t="n">
        <v>77</v>
      </c>
      <c r="CC557" s="13" t="n">
        <v>110</v>
      </c>
      <c r="CD557" s="13" t="n">
        <v>15.4</v>
      </c>
      <c r="CE557" s="13" t="n">
        <v>1835</v>
      </c>
      <c r="CF557" s="13" t="n">
        <v>0.86</v>
      </c>
      <c r="CG557" s="13" t="n">
        <v>1572</v>
      </c>
      <c r="CH557" s="13" t="n">
        <v>205</v>
      </c>
      <c r="CI557" s="13" t="n">
        <v>93</v>
      </c>
      <c r="CJ557" s="13" t="n">
        <v>33</v>
      </c>
      <c r="CK557" s="13" t="n">
        <v>144</v>
      </c>
      <c r="CL557" s="13" t="n">
        <v>7</v>
      </c>
      <c r="CM557" s="13" t="n">
        <v>65</v>
      </c>
      <c r="CN557" s="13" t="n">
        <v>0.217</v>
      </c>
      <c r="CO557" s="13" t="n">
        <v>76</v>
      </c>
      <c r="CP557" s="13" t="n">
        <v>44</v>
      </c>
      <c r="CQ557" s="13" t="n">
        <v>68</v>
      </c>
      <c r="CR557" s="13" t="n">
        <v>11</v>
      </c>
      <c r="CS557" s="13" t="n">
        <v>10.7</v>
      </c>
      <c r="CT557" s="11" t="inlineStr">
        <is>
          <t xml:space="preserve"> On-Piste Carving</t>
        </is>
      </c>
      <c r="CU557" s="13" t="n"/>
      <c r="CV557" s="13" t="n"/>
      <c r="CW557" s="13" t="n"/>
      <c r="CX557">
        <f>INDEX('Data_Price '!AG$2:AG$1266,MATCH(Data!$DN557,'Data_Price '!$AT$2:$AT$1266,0))</f>
        <v/>
      </c>
      <c r="CY557">
        <f>INDEX('Data_Price '!AH$2:AH$1266,MATCH(Data!$DN557,'Data_Price '!$AT$2:$AT$1266,0))</f>
        <v/>
      </c>
      <c r="CZ557">
        <f>INDEX('Data_Price '!AI$2:AI$1266,MATCH(Data!$DN557,'Data_Price '!$AT$2:$AT$1266,0))</f>
        <v/>
      </c>
      <c r="DA557">
        <f>INDEX('Data_Price '!AJ$2:AJ$1266,MATCH(Data!$DN557,'Data_Price '!$AT$2:$AT$1266,0))</f>
        <v/>
      </c>
      <c r="DB557">
        <f>INDEX('Data_Price '!AK$2:AK$1266,MATCH(Data!$DN557,'Data_Price '!$AT$2:$AT$1266,0))</f>
        <v/>
      </c>
      <c r="DC557">
        <f>INDEX('Data_Price '!AL$2:AL$1266,MATCH(Data!$DN557,'Data_Price '!$AT$2:$AT$1266,0))</f>
        <v/>
      </c>
      <c r="DD557">
        <f>INDEX('Data_Price '!AM$2:AM$1266,MATCH(Data!$DN557,'Data_Price '!$AT$2:$AT$1266,0))</f>
        <v/>
      </c>
      <c r="DE557">
        <f>INDEX('Data_Price '!AN$2:AN$1266,MATCH(Data!$DN557,'Data_Price '!$AT$2:$AT$1266,0))</f>
        <v/>
      </c>
      <c r="DF557">
        <f>INDEX('Data_Price '!AO$2:AO$1266,MATCH(Data!$DN557,'Data_Price '!$AT$2:$AT$1266,0))</f>
        <v/>
      </c>
      <c r="DG557">
        <f>INDEX('Data_Price '!AP$2:AP$1266,MATCH(Data!$DN557,'Data_Price '!$AT$2:$AT$1266,0))</f>
        <v/>
      </c>
      <c r="DH557">
        <f>INDEX('Data_Price '!AQ$2:AQ$1266,MATCH(Data!$DN557,'Data_Price '!$AT$2:$AT$1266,0))</f>
        <v/>
      </c>
      <c r="DI557">
        <f>INDEX('Data_Price '!AR$2:AR$1266,MATCH(Data!$DN557,'Data_Price '!$AT$2:$AT$1266,0))</f>
        <v/>
      </c>
      <c r="DJ557" s="138">
        <f>DA557</f>
        <v/>
      </c>
      <c r="DK557" s="138">
        <f>DE557</f>
        <v/>
      </c>
      <c r="DL557" s="138">
        <f>DI557</f>
        <v/>
      </c>
      <c r="DM557" s="303">
        <f>IF(LEFT(BT557,1)=" ",RIGHT(BT557,LEN(BT557)-1),BT557)</f>
        <v/>
      </c>
      <c r="DN557" s="138">
        <f>_xlfn.CONCAT(BS557,DM557,BU557,BV557)</f>
        <v/>
      </c>
      <c r="DO557" s="307" t="inlineStr">
        <is>
          <t>https://images.evo.com/imgp/250/201028/826361/clone.jpg</t>
        </is>
      </c>
    </row>
    <row r="558" ht="15.6" customHeight="1" s="184">
      <c r="B558" s="303">
        <f t="array" ref="B558">IF(OR(ISERROR(K558:P558)),FALSE,TRUE)</f>
        <v/>
      </c>
      <c r="C558" s="60">
        <f>OR(BR558=Driver!$G$50,Data!BR201=Driver!$H$50)</f>
        <v/>
      </c>
      <c r="D558" s="60">
        <f>OR(BV558=Driver!$G$51,BV558=Driver!$H$51)</f>
        <v/>
      </c>
      <c r="E558" s="60">
        <f>AND(BX558&gt;Driver!$F$54,BX558&lt;Driver!$G$54)</f>
        <v/>
      </c>
      <c r="F558" s="60">
        <f>CL558&gt;Driver!$F$56</f>
        <v/>
      </c>
      <c r="G558" s="60">
        <f>AND(CB558&gt;Driver!$F$55,CB558&lt;Driver!$G$55)</f>
        <v/>
      </c>
      <c r="H558" s="60">
        <f>AND(B558:G558)</f>
        <v/>
      </c>
      <c r="I558" s="60">
        <f>COUNTIFS($H$9:$H$1273,TRUE,$BT$9:$BT$1273,BT558)</f>
        <v/>
      </c>
      <c r="J558" s="60">
        <f t="array" ref="J558">NOT(OR(($H$9:$H$1273=TRUE)*($I$9:$I$1273&gt;0)*($BT$9:$BT$1273=BT558)*($K$9:$K$1273&gt;K558)))</f>
        <v/>
      </c>
      <c r="K558" s="108">
        <f>IFERROR(1-AVERAGE(X558:Y558),"")</f>
        <v/>
      </c>
      <c r="L558" s="108">
        <f>1-X558</f>
        <v/>
      </c>
      <c r="M558" s="108">
        <f>1-Y558</f>
        <v/>
      </c>
      <c r="N558" s="108">
        <f>1-Z558</f>
        <v/>
      </c>
      <c r="O558" s="108">
        <f>1-AA558</f>
        <v/>
      </c>
      <c r="P558" s="108">
        <f>1-AB558</f>
        <v/>
      </c>
      <c r="Q558" s="108" t="n"/>
      <c r="R558" s="108" t="n"/>
      <c r="S558" s="108">
        <f>1-AE558</f>
        <v/>
      </c>
      <c r="T558" s="108">
        <f>1-AF558</f>
        <v/>
      </c>
      <c r="U558" s="108">
        <f>1-AG558</f>
        <v/>
      </c>
      <c r="V558" s="108">
        <f>1-AH558</f>
        <v/>
      </c>
      <c r="W558" s="108">
        <f>1-AI558</f>
        <v/>
      </c>
      <c r="X558" s="108">
        <f>ABS(AJ558-AJ$1)</f>
        <v/>
      </c>
      <c r="Y558" s="108">
        <f>AVERAGE(Z558:AB558)</f>
        <v/>
      </c>
      <c r="Z558" s="108">
        <f>ABS(AL558-AL$1)</f>
        <v/>
      </c>
      <c r="AA558" s="108">
        <f>ABS(AM558-AM$1)</f>
        <v/>
      </c>
      <c r="AB558" s="108">
        <f>ABS(AN558-AN$1)</f>
        <v/>
      </c>
      <c r="AC558" s="108" t="n"/>
      <c r="AD558" s="108" t="n"/>
      <c r="AE558" s="108">
        <f>ABS(AQ$1-AQ558)</f>
        <v/>
      </c>
      <c r="AF558" s="108">
        <f>ABS(AR$1-AR558)</f>
        <v/>
      </c>
      <c r="AG558" s="108">
        <f>ABS(AS$1-AS558)</f>
        <v/>
      </c>
      <c r="AH558" s="108">
        <f>ABS(AT$1-AT558)</f>
        <v/>
      </c>
      <c r="AI558" s="108">
        <f>ABS(AU$1-AU558)</f>
        <v/>
      </c>
      <c r="AJ558" s="108">
        <f>(AV558-Driver!$K$179)/(Driver!$L$179-Driver!$K$179)</f>
        <v/>
      </c>
      <c r="AK558" s="108">
        <f>(AW558-Driver!$K$180)/(Driver!$L$180-Driver!$K$180)</f>
        <v/>
      </c>
      <c r="AL558" s="108">
        <f>(AX558-Driver!$K$181)/(Driver!$L$181-Driver!$K$181)</f>
        <v/>
      </c>
      <c r="AM558" s="108">
        <f>(AY558-Driver!$K$182)/(Driver!$L$182-Driver!$K$182)</f>
        <v/>
      </c>
      <c r="AN558" s="108">
        <f>(AZ558-Driver!$K$183)/(Driver!$L$183-Driver!$K$183)</f>
        <v/>
      </c>
      <c r="AO558" s="108" t="n"/>
      <c r="AP558" s="108" t="n"/>
      <c r="AQ558" s="108">
        <f>(BC558-Driver!$K$188)/(Driver!$L$188-Driver!$K$188)</f>
        <v/>
      </c>
      <c r="AR558" s="108">
        <f>MIN((BD558-Driver!$K$189)/(Driver!$L$189-Driver!$K$189),100%)</f>
        <v/>
      </c>
      <c r="AS558" s="108">
        <f>(BE558-Driver!$K$190)/(Driver!$L$190-Driver!$K$190)</f>
        <v/>
      </c>
      <c r="AT558" s="108">
        <f>(BF558-Driver!$K$191)/(Driver!$L$191-Driver!$K$191)</f>
        <v/>
      </c>
      <c r="AU558" s="108">
        <f>(BG558-Driver!$K$192)/(Driver!$L$192-Driver!$K$192)</f>
        <v/>
      </c>
      <c r="AV558" s="105">
        <f>IFERROR(BM558*BJ558^1/4,"")</f>
        <v/>
      </c>
      <c r="AW558" s="105">
        <f>IFERROR(SUM(AX558:AZ558),"")</f>
        <v/>
      </c>
      <c r="AX558" s="105">
        <f>IFERROR(BH558,"")</f>
        <v/>
      </c>
      <c r="AY558" s="105">
        <f>IFERROR(Driver!$K$19/Data!BH558/Data!BI558*Data!BK558*Data!BL558,"")</f>
        <v/>
      </c>
      <c r="AZ558" s="105">
        <f>IFERROR(BI558*BN558,"")</f>
        <v/>
      </c>
      <c r="BA558" s="105" t="n"/>
      <c r="BB558" s="105" t="n"/>
      <c r="BC558" s="105">
        <f>IFERROR(BI558*BN558*BK558/BJ558^(1/2),"")</f>
        <v/>
      </c>
      <c r="BD558" s="105">
        <f>IFERROR(BH558*BM558*BL558/BJ558/BK558,"")</f>
        <v/>
      </c>
      <c r="BE558" s="105">
        <f>IFERROR(MIN(BI558/BQ558/BP558/BO558/BH558,$BE$1),"")</f>
        <v/>
      </c>
      <c r="BF558" s="105">
        <f>IFERROR(BJ558*BO558*BP558/BK558,"")</f>
        <v/>
      </c>
      <c r="BG558" s="105">
        <f>IFERROR(1/BM558/BH558*BQ558,"")</f>
        <v/>
      </c>
      <c r="BH558" s="102">
        <f>MAX((CE558-Driver!$F$200)/(Driver!$G$200-Driver!$F$200)*$BI$1,1)</f>
        <v/>
      </c>
      <c r="BI558" s="102">
        <f>MAX($BI$1*(BY558-Driver!$F$201)/(Driver!$G$201-Driver!$F$201),1)</f>
        <v/>
      </c>
      <c r="BJ558" s="102">
        <f>(CB558-Driver!$F$206)/(Driver!$G$206-Driver!$F$206)*$BI$1</f>
        <v/>
      </c>
      <c r="BK558" s="102">
        <f>(CD558-Driver!$F$203)/(Driver!$G$203-Driver!$F$203)*$BI$1</f>
        <v/>
      </c>
      <c r="BL558" s="102">
        <f>MAX((CR558-Driver!$F$202)/(Driver!$G$202-Driver!$F$202)*$BI$1,1)</f>
        <v/>
      </c>
      <c r="BM558" s="102">
        <f>MAX((CH558-Driver!$F$204)/(Driver!$G$204-Driver!$F$204)*$BI$1,1)</f>
        <v/>
      </c>
      <c r="BN558" s="102">
        <f>(CI558-Driver!$F$205)/(Driver!$G$205-Driver!$F$205)*$BI$1</f>
        <v/>
      </c>
      <c r="BO558" s="102">
        <f>(CK558-Driver!$F$207)/(Driver!$G$207-Driver!$F$207)*$BI$1</f>
        <v/>
      </c>
      <c r="BP558" s="102">
        <f>(CM558-Driver!$F$208)/(Driver!$G$208-Driver!$F$208)*$BI$1</f>
        <v/>
      </c>
      <c r="BQ558" s="102">
        <f>(CL558-Driver!$F$209)/(Driver!$G$209-Driver!$F$209)*$BI$1</f>
        <v/>
      </c>
      <c r="BR558" s="40" t="inlineStr">
        <is>
          <t>21/22</t>
        </is>
      </c>
      <c r="BS558" s="10" t="inlineStr">
        <is>
          <t xml:space="preserve"> Black Crows</t>
        </is>
      </c>
      <c r="BT558" s="11" t="inlineStr">
        <is>
          <t xml:space="preserve"> Atris Birdie</t>
        </is>
      </c>
      <c r="BU558" s="13" t="n">
        <v>169.1</v>
      </c>
      <c r="BV558" s="11" t="inlineStr">
        <is>
          <t xml:space="preserve"> Women's</t>
        </is>
      </c>
      <c r="BW558" s="13" t="n">
        <v>169.1</v>
      </c>
      <c r="BX558" s="13" t="n">
        <v>167.9</v>
      </c>
      <c r="BY558" s="13" t="n">
        <v>120</v>
      </c>
      <c r="BZ558" s="13" t="n">
        <v>139</v>
      </c>
      <c r="CA558" s="13" t="n">
        <v>136</v>
      </c>
      <c r="CB558" s="13" t="n">
        <v>107</v>
      </c>
      <c r="CC558" s="13" t="n">
        <v>122</v>
      </c>
      <c r="CD558" s="13" t="n">
        <v>20.3</v>
      </c>
      <c r="CE558" s="13" t="n">
        <v>1780</v>
      </c>
      <c r="CF558" s="13" t="n">
        <v>1.09</v>
      </c>
      <c r="CG558" s="13" t="n">
        <v>1946</v>
      </c>
      <c r="CH558" s="13" t="n">
        <v>167</v>
      </c>
      <c r="CI558" s="13" t="n">
        <v>70</v>
      </c>
      <c r="CJ558" s="13" t="n">
        <v>46</v>
      </c>
      <c r="CK558" s="13" t="n">
        <v>268</v>
      </c>
      <c r="CL558" s="13" t="n">
        <v>32</v>
      </c>
      <c r="CM558" s="13" t="n">
        <v>212</v>
      </c>
      <c r="CN558" s="13" t="n">
        <v>0.6870000000000001</v>
      </c>
      <c r="CO558" s="13" t="n">
        <v>173</v>
      </c>
      <c r="CP558" s="13" t="n">
        <v>117</v>
      </c>
      <c r="CQ558" s="13" t="n">
        <v>95</v>
      </c>
      <c r="CR558" s="13" t="n">
        <v>5</v>
      </c>
      <c r="CS558" s="13" t="n">
        <v>8.4</v>
      </c>
      <c r="CT558" s="11" t="inlineStr">
        <is>
          <t xml:space="preserve"> Powder</t>
        </is>
      </c>
      <c r="CU558" s="11" t="inlineStr">
        <is>
          <t xml:space="preserve"> Touring</t>
        </is>
      </c>
      <c r="CV558" s="13" t="n"/>
      <c r="CW558" s="13" t="n"/>
      <c r="CX558">
        <f>INDEX('Data_Price '!AG$2:AG$1266,MATCH(Data!$DN558,'Data_Price '!$AT$2:$AT$1266,0))</f>
        <v/>
      </c>
      <c r="CY558">
        <f>INDEX('Data_Price '!AH$2:AH$1266,MATCH(Data!$DN558,'Data_Price '!$AT$2:$AT$1266,0))</f>
        <v/>
      </c>
      <c r="CZ558">
        <f>INDEX('Data_Price '!AI$2:AI$1266,MATCH(Data!$DN558,'Data_Price '!$AT$2:$AT$1266,0))</f>
        <v/>
      </c>
      <c r="DA558">
        <f>INDEX('Data_Price '!AJ$2:AJ$1266,MATCH(Data!$DN558,'Data_Price '!$AT$2:$AT$1266,0))</f>
        <v/>
      </c>
      <c r="DB558">
        <f>INDEX('Data_Price '!AK$2:AK$1266,MATCH(Data!$DN558,'Data_Price '!$AT$2:$AT$1266,0))</f>
        <v/>
      </c>
      <c r="DC558">
        <f>INDEX('Data_Price '!AL$2:AL$1266,MATCH(Data!$DN558,'Data_Price '!$AT$2:$AT$1266,0))</f>
        <v/>
      </c>
      <c r="DD558">
        <f>INDEX('Data_Price '!AM$2:AM$1266,MATCH(Data!$DN558,'Data_Price '!$AT$2:$AT$1266,0))</f>
        <v/>
      </c>
      <c r="DE558">
        <f>INDEX('Data_Price '!AN$2:AN$1266,MATCH(Data!$DN558,'Data_Price '!$AT$2:$AT$1266,0))</f>
        <v/>
      </c>
      <c r="DF558">
        <f>INDEX('Data_Price '!AO$2:AO$1266,MATCH(Data!$DN558,'Data_Price '!$AT$2:$AT$1266,0))</f>
        <v/>
      </c>
      <c r="DG558">
        <f>INDEX('Data_Price '!AP$2:AP$1266,MATCH(Data!$DN558,'Data_Price '!$AT$2:$AT$1266,0))</f>
        <v/>
      </c>
      <c r="DH558">
        <f>INDEX('Data_Price '!AQ$2:AQ$1266,MATCH(Data!$DN558,'Data_Price '!$AT$2:$AT$1266,0))</f>
        <v/>
      </c>
      <c r="DI558">
        <f>INDEX('Data_Price '!AR$2:AR$1266,MATCH(Data!$DN558,'Data_Price '!$AT$2:$AT$1266,0))</f>
        <v/>
      </c>
      <c r="DJ558" s="138">
        <f>DA558</f>
        <v/>
      </c>
      <c r="DK558" s="138">
        <f>DE558</f>
        <v/>
      </c>
      <c r="DL558" s="138">
        <f>DI558</f>
        <v/>
      </c>
      <c r="DM558" s="303">
        <f>IF(LEFT(BT558,1)=" ",RIGHT(BT558,LEN(BT558)-1),BT558)</f>
        <v/>
      </c>
      <c r="DN558" s="138">
        <f>_xlfn.CONCAT(BS558,DM558,BU558,BV558)</f>
        <v/>
      </c>
      <c r="DO558" s="307" t="inlineStr">
        <is>
          <t>https://images.evo.com/imgp/250/181605/727261/black-crows-atris-birdie-skis-women-s-2022-.jpg</t>
        </is>
      </c>
    </row>
    <row r="559" ht="15.6" customHeight="1" s="184">
      <c r="B559" s="303">
        <f t="array" ref="B559">IF(OR(ISERROR(K559:P559)),FALSE,TRUE)</f>
        <v/>
      </c>
      <c r="C559" s="60">
        <f>OR(BR559=Driver!$G$50,Data!BR283=Driver!$H$50)</f>
        <v/>
      </c>
      <c r="D559" s="60">
        <f>OR(BV559=Driver!$G$51,BV559=Driver!$H$51)</f>
        <v/>
      </c>
      <c r="E559" s="60">
        <f>AND(BX559&gt;Driver!$F$54,BX559&lt;Driver!$G$54)</f>
        <v/>
      </c>
      <c r="F559" s="60">
        <f>CL559&gt;Driver!$F$56</f>
        <v/>
      </c>
      <c r="G559" s="60">
        <f>AND(CB559&gt;Driver!$F$55,CB559&lt;Driver!$G$55)</f>
        <v/>
      </c>
      <c r="H559" s="60">
        <f>AND(B559:G559)</f>
        <v/>
      </c>
      <c r="I559" s="60">
        <f>COUNTIFS($H$9:$H$1273,TRUE,$BT$9:$BT$1273,BT559)</f>
        <v/>
      </c>
      <c r="J559" s="60">
        <f t="array" ref="J559">NOT(OR(($H$9:$H$1273=TRUE)*($I$9:$I$1273&gt;0)*($BT$9:$BT$1273=BT559)*($K$9:$K$1273&gt;K559)))</f>
        <v/>
      </c>
      <c r="K559" s="108">
        <f>IFERROR(1-AVERAGE(X559:Y559),"")</f>
        <v/>
      </c>
      <c r="L559" s="108">
        <f>1-X559</f>
        <v/>
      </c>
      <c r="M559" s="108">
        <f>1-Y559</f>
        <v/>
      </c>
      <c r="N559" s="108">
        <f>1-Z559</f>
        <v/>
      </c>
      <c r="O559" s="108">
        <f>1-AA559</f>
        <v/>
      </c>
      <c r="P559" s="108">
        <f>1-AB559</f>
        <v/>
      </c>
      <c r="Q559" s="108" t="n"/>
      <c r="R559" s="108" t="n"/>
      <c r="S559" s="108">
        <f>1-AE559</f>
        <v/>
      </c>
      <c r="T559" s="108">
        <f>1-AF559</f>
        <v/>
      </c>
      <c r="U559" s="108">
        <f>1-AG559</f>
        <v/>
      </c>
      <c r="V559" s="108">
        <f>1-AH559</f>
        <v/>
      </c>
      <c r="W559" s="108">
        <f>1-AI559</f>
        <v/>
      </c>
      <c r="X559" s="108">
        <f>ABS(AJ559-AJ$1)</f>
        <v/>
      </c>
      <c r="Y559" s="108">
        <f>AVERAGE(Z559:AB559)</f>
        <v/>
      </c>
      <c r="Z559" s="108">
        <f>ABS(AL559-AL$1)</f>
        <v/>
      </c>
      <c r="AA559" s="108">
        <f>ABS(AM559-AM$1)</f>
        <v/>
      </c>
      <c r="AB559" s="108">
        <f>ABS(AN559-AN$1)</f>
        <v/>
      </c>
      <c r="AC559" s="108" t="n"/>
      <c r="AD559" s="108" t="n"/>
      <c r="AE559" s="108">
        <f>ABS(AQ$1-AQ559)</f>
        <v/>
      </c>
      <c r="AF559" s="108">
        <f>ABS(AR$1-AR559)</f>
        <v/>
      </c>
      <c r="AG559" s="108">
        <f>ABS(AS$1-AS559)</f>
        <v/>
      </c>
      <c r="AH559" s="108">
        <f>ABS(AT$1-AT559)</f>
        <v/>
      </c>
      <c r="AI559" s="108">
        <f>ABS(AU$1-AU559)</f>
        <v/>
      </c>
      <c r="AJ559" s="108">
        <f>(AV559-Driver!$K$179)/(Driver!$L$179-Driver!$K$179)</f>
        <v/>
      </c>
      <c r="AK559" s="108">
        <f>(AW559-Driver!$K$180)/(Driver!$L$180-Driver!$K$180)</f>
        <v/>
      </c>
      <c r="AL559" s="108">
        <f>(AX559-Driver!$K$181)/(Driver!$L$181-Driver!$K$181)</f>
        <v/>
      </c>
      <c r="AM559" s="108">
        <f>(AY559-Driver!$K$182)/(Driver!$L$182-Driver!$K$182)</f>
        <v/>
      </c>
      <c r="AN559" s="108">
        <f>(AZ559-Driver!$K$183)/(Driver!$L$183-Driver!$K$183)</f>
        <v/>
      </c>
      <c r="AO559" s="108" t="n"/>
      <c r="AP559" s="108" t="n"/>
      <c r="AQ559" s="108">
        <f>(BC559-Driver!$K$188)/(Driver!$L$188-Driver!$K$188)</f>
        <v/>
      </c>
      <c r="AR559" s="108">
        <f>MIN((BD559-Driver!$K$189)/(Driver!$L$189-Driver!$K$189),100%)</f>
        <v/>
      </c>
      <c r="AS559" s="108">
        <f>(BE559-Driver!$K$190)/(Driver!$L$190-Driver!$K$190)</f>
        <v/>
      </c>
      <c r="AT559" s="108">
        <f>(BF559-Driver!$K$191)/(Driver!$L$191-Driver!$K$191)</f>
        <v/>
      </c>
      <c r="AU559" s="108">
        <f>(BG559-Driver!$K$192)/(Driver!$L$192-Driver!$K$192)</f>
        <v/>
      </c>
      <c r="AV559" s="105">
        <f>IFERROR(BM559*BJ559^1/4,"")</f>
        <v/>
      </c>
      <c r="AW559" s="105">
        <f>IFERROR(SUM(AX559:AZ559),"")</f>
        <v/>
      </c>
      <c r="AX559" s="105">
        <f>IFERROR(BH559,"")</f>
        <v/>
      </c>
      <c r="AY559" s="105">
        <f>IFERROR(Driver!$K$19/Data!BH559/Data!BI559*Data!BK559*Data!BL559,"")</f>
        <v/>
      </c>
      <c r="AZ559" s="105">
        <f>IFERROR(BI559*BN559,"")</f>
        <v/>
      </c>
      <c r="BA559" s="105" t="n"/>
      <c r="BB559" s="105" t="n"/>
      <c r="BC559" s="105">
        <f>IFERROR(BI559*BN559*BK559/BJ559^(1/2),"")</f>
        <v/>
      </c>
      <c r="BD559" s="105">
        <f>IFERROR(BH559*BM559*BL559/BJ559/BK559,"")</f>
        <v/>
      </c>
      <c r="BE559" s="105">
        <f>IFERROR(MIN(BI559/BQ559/BP559/BO559/BH559,$BE$1),"")</f>
        <v/>
      </c>
      <c r="BF559" s="105">
        <f>IFERROR(BJ559*BO559*BP559/BK559,"")</f>
        <v/>
      </c>
      <c r="BG559" s="105">
        <f>IFERROR(1/BM559/BH559*BQ559,"")</f>
        <v/>
      </c>
      <c r="BH559" s="102">
        <f>MAX((CE559-Driver!$F$200)/(Driver!$G$200-Driver!$F$200)*$BI$1,1)</f>
        <v/>
      </c>
      <c r="BI559" s="102">
        <f>MAX($BI$1*(BY559-Driver!$F$201)/(Driver!$G$201-Driver!$F$201),1)</f>
        <v/>
      </c>
      <c r="BJ559" s="102">
        <f>(CB559-Driver!$F$206)/(Driver!$G$206-Driver!$F$206)*$BI$1</f>
        <v/>
      </c>
      <c r="BK559" s="102">
        <f>(CD559-Driver!$F$203)/(Driver!$G$203-Driver!$F$203)*$BI$1</f>
        <v/>
      </c>
      <c r="BL559" s="102">
        <f>MAX((CR559-Driver!$F$202)/(Driver!$G$202-Driver!$F$202)*$BI$1,1)</f>
        <v/>
      </c>
      <c r="BM559" s="102">
        <f>MAX((CH559-Driver!$F$204)/(Driver!$G$204-Driver!$F$204)*$BI$1,1)</f>
        <v/>
      </c>
      <c r="BN559" s="102">
        <f>(CI559-Driver!$F$205)/(Driver!$G$205-Driver!$F$205)*$BI$1</f>
        <v/>
      </c>
      <c r="BO559" s="102">
        <f>(CK559-Driver!$F$207)/(Driver!$G$207-Driver!$F$207)*$BI$1</f>
        <v/>
      </c>
      <c r="BP559" s="102">
        <f>(CM559-Driver!$F$208)/(Driver!$G$208-Driver!$F$208)*$BI$1</f>
        <v/>
      </c>
      <c r="BQ559" s="102">
        <f>(CL559-Driver!$F$209)/(Driver!$G$209-Driver!$F$209)*$BI$1</f>
        <v/>
      </c>
      <c r="BR559" s="40" t="inlineStr">
        <is>
          <t>21/22</t>
        </is>
      </c>
      <c r="BS559" s="10" t="inlineStr">
        <is>
          <t xml:space="preserve"> Blizzard</t>
        </is>
      </c>
      <c r="BT559" s="11" t="inlineStr">
        <is>
          <t>Phoenix 7.2</t>
        </is>
      </c>
      <c r="BU559" s="13" t="n">
        <v>153</v>
      </c>
      <c r="BV559" s="11" t="inlineStr">
        <is>
          <t xml:space="preserve"> Women's</t>
        </is>
      </c>
      <c r="BW559" s="13" t="n">
        <v>153</v>
      </c>
      <c r="BX559" s="13" t="n">
        <v>151.4</v>
      </c>
      <c r="BY559" s="13" t="n">
        <v>132</v>
      </c>
      <c r="BZ559" s="13" t="n">
        <v>139</v>
      </c>
      <c r="CA559" s="13" t="n">
        <v>119</v>
      </c>
      <c r="CB559" s="13" t="n">
        <v>71</v>
      </c>
      <c r="CC559" s="13" t="n">
        <v>101</v>
      </c>
      <c r="CD559" s="13" t="n">
        <v>12.5</v>
      </c>
      <c r="CE559" s="13" t="n">
        <v>1608</v>
      </c>
      <c r="CF559" s="13" t="n">
        <v>0.8</v>
      </c>
      <c r="CG559" s="13" t="n">
        <v>1292</v>
      </c>
      <c r="CH559" s="13" t="n">
        <v>202</v>
      </c>
      <c r="CI559" s="13" t="n">
        <v>74</v>
      </c>
      <c r="CJ559" s="13" t="n">
        <v>31</v>
      </c>
      <c r="CK559" s="13" t="n">
        <v>133</v>
      </c>
      <c r="CL559" s="13" t="n">
        <v>8</v>
      </c>
      <c r="CM559" s="13" t="n">
        <v>64</v>
      </c>
      <c r="CN559" s="13" t="n">
        <v>0.259</v>
      </c>
      <c r="CO559" s="13" t="n">
        <v>73</v>
      </c>
      <c r="CP559" s="13" t="n">
        <v>51</v>
      </c>
      <c r="CQ559" s="13" t="n">
        <v>59</v>
      </c>
      <c r="CR559" s="13" t="n">
        <v>7</v>
      </c>
      <c r="CS559" s="13" t="n">
        <v>10.2</v>
      </c>
      <c r="CT559" s="11" t="inlineStr">
        <is>
          <t xml:space="preserve"> On-Piste Carving</t>
        </is>
      </c>
      <c r="CU559" s="13" t="n"/>
      <c r="CV559" s="13" t="n"/>
      <c r="CW559" s="13" t="n"/>
      <c r="CX559">
        <f>INDEX('Data_Price '!AG$2:AG$1266,MATCH(Data!$DN559,'Data_Price '!$AT$2:$AT$1266,0))</f>
        <v/>
      </c>
      <c r="CY559">
        <f>INDEX('Data_Price '!AH$2:AH$1266,MATCH(Data!$DN559,'Data_Price '!$AT$2:$AT$1266,0))</f>
        <v/>
      </c>
      <c r="CZ559">
        <f>INDEX('Data_Price '!AI$2:AI$1266,MATCH(Data!$DN559,'Data_Price '!$AT$2:$AT$1266,0))</f>
        <v/>
      </c>
      <c r="DA559">
        <f>INDEX('Data_Price '!AJ$2:AJ$1266,MATCH(Data!$DN559,'Data_Price '!$AT$2:$AT$1266,0))</f>
        <v/>
      </c>
      <c r="DB559">
        <f>INDEX('Data_Price '!AK$2:AK$1266,MATCH(Data!$DN559,'Data_Price '!$AT$2:$AT$1266,0))</f>
        <v/>
      </c>
      <c r="DC559">
        <f>INDEX('Data_Price '!AL$2:AL$1266,MATCH(Data!$DN559,'Data_Price '!$AT$2:$AT$1266,0))</f>
        <v/>
      </c>
      <c r="DD559">
        <f>INDEX('Data_Price '!AM$2:AM$1266,MATCH(Data!$DN559,'Data_Price '!$AT$2:$AT$1266,0))</f>
        <v/>
      </c>
      <c r="DE559">
        <f>INDEX('Data_Price '!AN$2:AN$1266,MATCH(Data!$DN559,'Data_Price '!$AT$2:$AT$1266,0))</f>
        <v/>
      </c>
      <c r="DF559">
        <f>INDEX('Data_Price '!AO$2:AO$1266,MATCH(Data!$DN559,'Data_Price '!$AT$2:$AT$1266,0))</f>
        <v/>
      </c>
      <c r="DG559">
        <f>INDEX('Data_Price '!AP$2:AP$1266,MATCH(Data!$DN559,'Data_Price '!$AT$2:$AT$1266,0))</f>
        <v/>
      </c>
      <c r="DH559">
        <f>INDEX('Data_Price '!AQ$2:AQ$1266,MATCH(Data!$DN559,'Data_Price '!$AT$2:$AT$1266,0))</f>
        <v/>
      </c>
      <c r="DI559">
        <f>INDEX('Data_Price '!AR$2:AR$1266,MATCH(Data!$DN559,'Data_Price '!$AT$2:$AT$1266,0))</f>
        <v/>
      </c>
      <c r="DJ559" s="138">
        <f>DA559</f>
        <v/>
      </c>
      <c r="DK559" s="138">
        <f>DE559</f>
        <v/>
      </c>
      <c r="DL559" s="138">
        <f>DI559</f>
        <v/>
      </c>
      <c r="DM559" s="303">
        <f>IF(LEFT(BT559,1)=" ",RIGHT(BT559,LEN(BT559)-1),BT559)</f>
        <v/>
      </c>
      <c r="DN559" s="138">
        <f>_xlfn.CONCAT(BS559,DM559,BU559,BV559)</f>
        <v/>
      </c>
      <c r="DO559" s="307" t="n"/>
    </row>
    <row r="560" ht="15.6" customHeight="1" s="184">
      <c r="B560" s="303">
        <f t="array" ref="B560">IF(OR(ISERROR(K560:P560)),FALSE,TRUE)</f>
        <v/>
      </c>
      <c r="C560" s="60">
        <f>OR(BR560=Driver!$G$50,Data!BR1210=Driver!$H$50)</f>
        <v/>
      </c>
      <c r="D560" s="60">
        <f>OR(BV560=Driver!$G$51,BV560=Driver!$H$51)</f>
        <v/>
      </c>
      <c r="E560" s="60">
        <f>AND(BX560&gt;Driver!$F$54,BX560&lt;Driver!$G$54)</f>
        <v/>
      </c>
      <c r="F560" s="60">
        <f>CL560&gt;Driver!$F$56</f>
        <v/>
      </c>
      <c r="G560" s="60">
        <f>AND(CB560&gt;Driver!$F$55,CB560&lt;Driver!$G$55)</f>
        <v/>
      </c>
      <c r="H560" s="60">
        <f>AND(B560:G560)</f>
        <v/>
      </c>
      <c r="I560" s="60">
        <f>COUNTIFS($H$9:$H$1273,TRUE,$BT$9:$BT$1273,BT560)</f>
        <v/>
      </c>
      <c r="J560" s="60">
        <f t="array" ref="J560">NOT(OR(($H$9:$H$1273=TRUE)*($I$9:$I$1273&gt;0)*($BT$9:$BT$1273=BT560)*($K$9:$K$1273&gt;K560)))</f>
        <v/>
      </c>
      <c r="K560" s="108">
        <f>IFERROR(1-AVERAGE(X560:Y560),"")</f>
        <v/>
      </c>
      <c r="L560" s="108">
        <f>1-X560</f>
        <v/>
      </c>
      <c r="M560" s="108">
        <f>1-Y560</f>
        <v/>
      </c>
      <c r="N560" s="108">
        <f>1-Z560</f>
        <v/>
      </c>
      <c r="O560" s="108">
        <f>1-AA560</f>
        <v/>
      </c>
      <c r="P560" s="108">
        <f>1-AB560</f>
        <v/>
      </c>
      <c r="Q560" s="108" t="n"/>
      <c r="R560" s="108" t="n"/>
      <c r="S560" s="108">
        <f>1-AE560</f>
        <v/>
      </c>
      <c r="T560" s="108">
        <f>1-AF560</f>
        <v/>
      </c>
      <c r="U560" s="108">
        <f>1-AG560</f>
        <v/>
      </c>
      <c r="V560" s="108">
        <f>1-AH560</f>
        <v/>
      </c>
      <c r="W560" s="108">
        <f>1-AI560</f>
        <v/>
      </c>
      <c r="X560" s="108">
        <f>ABS(AJ560-AJ$1)</f>
        <v/>
      </c>
      <c r="Y560" s="108">
        <f>AVERAGE(Z560:AB560)</f>
        <v/>
      </c>
      <c r="Z560" s="108">
        <f>ABS(AL560-AL$1)</f>
        <v/>
      </c>
      <c r="AA560" s="108">
        <f>ABS(AM560-AM$1)</f>
        <v/>
      </c>
      <c r="AB560" s="108">
        <f>ABS(AN560-AN$1)</f>
        <v/>
      </c>
      <c r="AC560" s="108" t="n"/>
      <c r="AD560" s="108" t="n"/>
      <c r="AE560" s="108">
        <f>ABS(AQ$1-AQ560)</f>
        <v/>
      </c>
      <c r="AF560" s="108">
        <f>ABS(AR$1-AR560)</f>
        <v/>
      </c>
      <c r="AG560" s="108">
        <f>ABS(AS$1-AS560)</f>
        <v/>
      </c>
      <c r="AH560" s="108">
        <f>ABS(AT$1-AT560)</f>
        <v/>
      </c>
      <c r="AI560" s="108">
        <f>ABS(AU$1-AU560)</f>
        <v/>
      </c>
      <c r="AJ560" s="108">
        <f>(AV560-Driver!$K$179)/(Driver!$L$179-Driver!$K$179)</f>
        <v/>
      </c>
      <c r="AK560" s="108">
        <f>(AW560-Driver!$K$180)/(Driver!$L$180-Driver!$K$180)</f>
        <v/>
      </c>
      <c r="AL560" s="108">
        <f>(AX560-Driver!$K$181)/(Driver!$L$181-Driver!$K$181)</f>
        <v/>
      </c>
      <c r="AM560" s="108">
        <f>(AY560-Driver!$K$182)/(Driver!$L$182-Driver!$K$182)</f>
        <v/>
      </c>
      <c r="AN560" s="108">
        <f>(AZ560-Driver!$K$183)/(Driver!$L$183-Driver!$K$183)</f>
        <v/>
      </c>
      <c r="AO560" s="108" t="n"/>
      <c r="AP560" s="108" t="n"/>
      <c r="AQ560" s="108">
        <f>(BC560-Driver!$K$188)/(Driver!$L$188-Driver!$K$188)</f>
        <v/>
      </c>
      <c r="AR560" s="108">
        <f>MIN((BD560-Driver!$K$189)/(Driver!$L$189-Driver!$K$189),100%)</f>
        <v/>
      </c>
      <c r="AS560" s="108">
        <f>(BE560-Driver!$K$190)/(Driver!$L$190-Driver!$K$190)</f>
        <v/>
      </c>
      <c r="AT560" s="108">
        <f>(BF560-Driver!$K$191)/(Driver!$L$191-Driver!$K$191)</f>
        <v/>
      </c>
      <c r="AU560" s="108">
        <f>(BG560-Driver!$K$192)/(Driver!$L$192-Driver!$K$192)</f>
        <v/>
      </c>
      <c r="AV560" s="105">
        <f>IFERROR(BM560*BJ560^1/4,"")</f>
        <v/>
      </c>
      <c r="AW560" s="105">
        <f>IFERROR(SUM(AX560:AZ560),"")</f>
        <v/>
      </c>
      <c r="AX560" s="105">
        <f>IFERROR(BH560,"")</f>
        <v/>
      </c>
      <c r="AY560" s="105">
        <f>IFERROR(Driver!$K$19/Data!BH560/Data!BI560*Data!BK560*Data!BL560,"")</f>
        <v/>
      </c>
      <c r="AZ560" s="105">
        <f>IFERROR(BI560*BN560,"")</f>
        <v/>
      </c>
      <c r="BA560" s="105" t="n"/>
      <c r="BB560" s="105" t="n"/>
      <c r="BC560" s="105">
        <f>IFERROR(BI560*BN560*BK560/BJ560^(1/2),"")</f>
        <v/>
      </c>
      <c r="BD560" s="105">
        <f>IFERROR(BH560*BM560*BL560/BJ560/BK560,"")</f>
        <v/>
      </c>
      <c r="BE560" s="105">
        <f>IFERROR(MIN(BI560/BQ560/BP560/BO560/BH560,$BE$1),"")</f>
        <v/>
      </c>
      <c r="BF560" s="105">
        <f>IFERROR(BJ560*BO560*BP560/BK560,"")</f>
        <v/>
      </c>
      <c r="BG560" s="105">
        <f>IFERROR(1/BM560/BH560*BQ560,"")</f>
        <v/>
      </c>
      <c r="BH560" s="102">
        <f>MAX((CE560-Driver!$F$200)/(Driver!$G$200-Driver!$F$200)*$BI$1,1)</f>
        <v/>
      </c>
      <c r="BI560" s="102">
        <f>MAX($BI$1*(BY560-Driver!$F$201)/(Driver!$G$201-Driver!$F$201),1)</f>
        <v/>
      </c>
      <c r="BJ560" s="102">
        <f>(CB560-Driver!$F$206)/(Driver!$G$206-Driver!$F$206)*$BI$1</f>
        <v/>
      </c>
      <c r="BK560" s="102">
        <f>(CD560-Driver!$F$203)/(Driver!$G$203-Driver!$F$203)*$BI$1</f>
        <v/>
      </c>
      <c r="BL560" s="102">
        <f>MAX((CR560-Driver!$F$202)/(Driver!$G$202-Driver!$F$202)*$BI$1,1)</f>
        <v/>
      </c>
      <c r="BM560" s="102">
        <f>MAX((CH560-Driver!$F$204)/(Driver!$G$204-Driver!$F$204)*$BI$1,1)</f>
        <v/>
      </c>
      <c r="BN560" s="102">
        <f>(CI560-Driver!$F$205)/(Driver!$G$205-Driver!$F$205)*$BI$1</f>
        <v/>
      </c>
      <c r="BO560" s="102">
        <f>(CK560-Driver!$F$207)/(Driver!$G$207-Driver!$F$207)*$BI$1</f>
        <v/>
      </c>
      <c r="BP560" s="102">
        <f>(CM560-Driver!$F$208)/(Driver!$G$208-Driver!$F$208)*$BI$1</f>
        <v/>
      </c>
      <c r="BQ560" s="102">
        <f>(CL560-Driver!$F$209)/(Driver!$G$209-Driver!$F$209)*$BI$1</f>
        <v/>
      </c>
      <c r="BR560" s="40" t="inlineStr">
        <is>
          <t>21/22</t>
        </is>
      </c>
      <c r="BS560" s="10" t="inlineStr">
        <is>
          <t xml:space="preserve"> Völkl</t>
        </is>
      </c>
      <c r="BT560" s="11" t="inlineStr">
        <is>
          <t>Kendo 88</t>
        </is>
      </c>
      <c r="BU560" s="13" t="n">
        <v>177</v>
      </c>
      <c r="BV560" s="11" t="inlineStr">
        <is>
          <t xml:space="preserve"> Unisex</t>
        </is>
      </c>
      <c r="BW560" s="13" t="n">
        <v>177</v>
      </c>
      <c r="BX560" s="13" t="n">
        <v>178.3</v>
      </c>
      <c r="BY560" s="13" t="n">
        <v>101</v>
      </c>
      <c r="BZ560" s="13" t="n">
        <v>154</v>
      </c>
      <c r="CA560" s="13" t="n">
        <v>128</v>
      </c>
      <c r="CB560" s="13" t="n">
        <v>88</v>
      </c>
      <c r="CC560" s="13" t="n">
        <v>111</v>
      </c>
      <c r="CD560" s="13" t="n">
        <v>17.8</v>
      </c>
      <c r="CE560" s="13" t="n">
        <v>1957</v>
      </c>
      <c r="CF560" s="13" t="n">
        <v>0.91</v>
      </c>
      <c r="CG560" s="13" t="n">
        <v>1790</v>
      </c>
      <c r="CH560" s="13" t="n">
        <v>227</v>
      </c>
      <c r="CI560" s="13" t="n">
        <v>145</v>
      </c>
      <c r="CJ560" s="13" t="n">
        <v>44</v>
      </c>
      <c r="CK560" s="13" t="n">
        <v>418</v>
      </c>
      <c r="CL560" s="13" t="n">
        <v>16</v>
      </c>
      <c r="CM560" s="13" t="n">
        <v>355</v>
      </c>
      <c r="CN560" s="13" t="n">
        <v>0.363</v>
      </c>
      <c r="CO560" s="13" t="n">
        <v>133</v>
      </c>
      <c r="CP560" s="13" t="n">
        <v>106</v>
      </c>
      <c r="CQ560" s="13" t="n">
        <v>285</v>
      </c>
      <c r="CR560" s="13" t="n">
        <v>2</v>
      </c>
      <c r="CS560" s="13" t="n">
        <v>11.9</v>
      </c>
      <c r="CT560" s="11" t="inlineStr">
        <is>
          <t xml:space="preserve"> Resort Freeride</t>
        </is>
      </c>
      <c r="CU560" s="13" t="n"/>
      <c r="CV560" s="13" t="n"/>
      <c r="CW560" s="13" t="n"/>
      <c r="CX560">
        <f>INDEX('Data_Price '!AG$2:AG$1266,MATCH(Data!$DN560,'Data_Price '!$AT$2:$AT$1266,0))</f>
        <v/>
      </c>
      <c r="CY560">
        <f>INDEX('Data_Price '!AH$2:AH$1266,MATCH(Data!$DN560,'Data_Price '!$AT$2:$AT$1266,0))</f>
        <v/>
      </c>
      <c r="CZ560">
        <f>INDEX('Data_Price '!AI$2:AI$1266,MATCH(Data!$DN560,'Data_Price '!$AT$2:$AT$1266,0))</f>
        <v/>
      </c>
      <c r="DA560">
        <f>INDEX('Data_Price '!AJ$2:AJ$1266,MATCH(Data!$DN560,'Data_Price '!$AT$2:$AT$1266,0))</f>
        <v/>
      </c>
      <c r="DB560">
        <f>INDEX('Data_Price '!AK$2:AK$1266,MATCH(Data!$DN560,'Data_Price '!$AT$2:$AT$1266,0))</f>
        <v/>
      </c>
      <c r="DC560">
        <f>INDEX('Data_Price '!AL$2:AL$1266,MATCH(Data!$DN560,'Data_Price '!$AT$2:$AT$1266,0))</f>
        <v/>
      </c>
      <c r="DD560">
        <f>INDEX('Data_Price '!AM$2:AM$1266,MATCH(Data!$DN560,'Data_Price '!$AT$2:$AT$1266,0))</f>
        <v/>
      </c>
      <c r="DE560">
        <f>INDEX('Data_Price '!AN$2:AN$1266,MATCH(Data!$DN560,'Data_Price '!$AT$2:$AT$1266,0))</f>
        <v/>
      </c>
      <c r="DF560">
        <f>INDEX('Data_Price '!AO$2:AO$1266,MATCH(Data!$DN560,'Data_Price '!$AT$2:$AT$1266,0))</f>
        <v/>
      </c>
      <c r="DG560">
        <f>INDEX('Data_Price '!AP$2:AP$1266,MATCH(Data!$DN560,'Data_Price '!$AT$2:$AT$1266,0))</f>
        <v/>
      </c>
      <c r="DH560">
        <f>INDEX('Data_Price '!AQ$2:AQ$1266,MATCH(Data!$DN560,'Data_Price '!$AT$2:$AT$1266,0))</f>
        <v/>
      </c>
      <c r="DI560">
        <f>INDEX('Data_Price '!AR$2:AR$1266,MATCH(Data!$DN560,'Data_Price '!$AT$2:$AT$1266,0))</f>
        <v/>
      </c>
      <c r="DJ560" s="138">
        <f>DA560</f>
        <v/>
      </c>
      <c r="DK560" s="138">
        <f>DE560</f>
        <v/>
      </c>
      <c r="DL560" s="138">
        <f>DI560</f>
        <v/>
      </c>
      <c r="DM560" s="303">
        <f>IF(LEFT(BT560,1)=" ",RIGHT(BT560,LEN(BT560)-1),BT560)</f>
        <v/>
      </c>
      <c r="DN560" s="138">
        <f>_xlfn.CONCAT(BS560,DM560,BU560,BV560)</f>
        <v/>
      </c>
      <c r="DO560" s="307" t="n"/>
    </row>
    <row r="561" ht="15.6" customHeight="1" s="184">
      <c r="B561" s="303">
        <f t="array" ref="B561">IF(OR(ISERROR(K561:P561)),FALSE,TRUE)</f>
        <v/>
      </c>
      <c r="C561" s="60">
        <f>OR(BR561=Driver!$G$50,Data!BR745=Driver!$H$50)</f>
        <v/>
      </c>
      <c r="D561" s="60">
        <f>OR(BV561=Driver!$G$51,BV561=Driver!$H$51)</f>
        <v/>
      </c>
      <c r="E561" s="60">
        <f>AND(BX561&gt;Driver!$F$54,BX561&lt;Driver!$G$54)</f>
        <v/>
      </c>
      <c r="F561" s="60">
        <f>CL561&gt;Driver!$F$56</f>
        <v/>
      </c>
      <c r="G561" s="60">
        <f>AND(CB561&gt;Driver!$F$55,CB561&lt;Driver!$G$55)</f>
        <v/>
      </c>
      <c r="H561" s="60">
        <f>AND(B561:G561)</f>
        <v/>
      </c>
      <c r="I561" s="60">
        <f>COUNTIFS($H$9:$H$1273,TRUE,$BT$9:$BT$1273,BT561)</f>
        <v/>
      </c>
      <c r="J561" s="60">
        <f t="array" ref="J561">NOT(OR(($H$9:$H$1273=TRUE)*($I$9:$I$1273&gt;0)*($BT$9:$BT$1273=BT561)*($K$9:$K$1273&gt;K561)))</f>
        <v/>
      </c>
      <c r="K561" s="108">
        <f>IFERROR(1-AVERAGE(X561:Y561),"")</f>
        <v/>
      </c>
      <c r="L561" s="108">
        <f>1-X561</f>
        <v/>
      </c>
      <c r="M561" s="108">
        <f>1-Y561</f>
        <v/>
      </c>
      <c r="N561" s="108">
        <f>1-Z561</f>
        <v/>
      </c>
      <c r="O561" s="108">
        <f>1-AA561</f>
        <v/>
      </c>
      <c r="P561" s="108">
        <f>1-AB561</f>
        <v/>
      </c>
      <c r="Q561" s="108" t="n"/>
      <c r="R561" s="108" t="n"/>
      <c r="S561" s="108">
        <f>1-AE561</f>
        <v/>
      </c>
      <c r="T561" s="108">
        <f>1-AF561</f>
        <v/>
      </c>
      <c r="U561" s="108">
        <f>1-AG561</f>
        <v/>
      </c>
      <c r="V561" s="108">
        <f>1-AH561</f>
        <v/>
      </c>
      <c r="W561" s="108">
        <f>1-AI561</f>
        <v/>
      </c>
      <c r="X561" s="108">
        <f>ABS(AJ561-AJ$1)</f>
        <v/>
      </c>
      <c r="Y561" s="108">
        <f>AVERAGE(Z561:AB561)</f>
        <v/>
      </c>
      <c r="Z561" s="108">
        <f>ABS(AL561-AL$1)</f>
        <v/>
      </c>
      <c r="AA561" s="108">
        <f>ABS(AM561-AM$1)</f>
        <v/>
      </c>
      <c r="AB561" s="108">
        <f>ABS(AN561-AN$1)</f>
        <v/>
      </c>
      <c r="AC561" s="108" t="n"/>
      <c r="AD561" s="108" t="n"/>
      <c r="AE561" s="108">
        <f>ABS(AQ$1-AQ561)</f>
        <v/>
      </c>
      <c r="AF561" s="108">
        <f>ABS(AR$1-AR561)</f>
        <v/>
      </c>
      <c r="AG561" s="108">
        <f>ABS(AS$1-AS561)</f>
        <v/>
      </c>
      <c r="AH561" s="108">
        <f>ABS(AT$1-AT561)</f>
        <v/>
      </c>
      <c r="AI561" s="108">
        <f>ABS(AU$1-AU561)</f>
        <v/>
      </c>
      <c r="AJ561" s="108">
        <f>(AV561-Driver!$K$179)/(Driver!$L$179-Driver!$K$179)</f>
        <v/>
      </c>
      <c r="AK561" s="108">
        <f>(AW561-Driver!$K$180)/(Driver!$L$180-Driver!$K$180)</f>
        <v/>
      </c>
      <c r="AL561" s="108">
        <f>(AX561-Driver!$K$181)/(Driver!$L$181-Driver!$K$181)</f>
        <v/>
      </c>
      <c r="AM561" s="108">
        <f>(AY561-Driver!$K$182)/(Driver!$L$182-Driver!$K$182)</f>
        <v/>
      </c>
      <c r="AN561" s="108">
        <f>(AZ561-Driver!$K$183)/(Driver!$L$183-Driver!$K$183)</f>
        <v/>
      </c>
      <c r="AO561" s="108" t="n"/>
      <c r="AP561" s="108" t="n"/>
      <c r="AQ561" s="108">
        <f>(BC561-Driver!$K$188)/(Driver!$L$188-Driver!$K$188)</f>
        <v/>
      </c>
      <c r="AR561" s="108">
        <f>MIN((BD561-Driver!$K$189)/(Driver!$L$189-Driver!$K$189),100%)</f>
        <v/>
      </c>
      <c r="AS561" s="108">
        <f>(BE561-Driver!$K$190)/(Driver!$L$190-Driver!$K$190)</f>
        <v/>
      </c>
      <c r="AT561" s="108">
        <f>(BF561-Driver!$K$191)/(Driver!$L$191-Driver!$K$191)</f>
        <v/>
      </c>
      <c r="AU561" s="108">
        <f>(BG561-Driver!$K$192)/(Driver!$L$192-Driver!$K$192)</f>
        <v/>
      </c>
      <c r="AV561" s="105">
        <f>IFERROR(BM561*BJ561^1/4,"")</f>
        <v/>
      </c>
      <c r="AW561" s="105">
        <f>IFERROR(SUM(AX561:AZ561),"")</f>
        <v/>
      </c>
      <c r="AX561" s="105">
        <f>IFERROR(BH561,"")</f>
        <v/>
      </c>
      <c r="AY561" s="105">
        <f>IFERROR(Driver!$K$19/Data!BH561/Data!BI561*Data!BK561*Data!BL561,"")</f>
        <v/>
      </c>
      <c r="AZ561" s="105">
        <f>IFERROR(BI561*BN561,"")</f>
        <v/>
      </c>
      <c r="BA561" s="105" t="n"/>
      <c r="BB561" s="105" t="n"/>
      <c r="BC561" s="105">
        <f>IFERROR(BI561*BN561*BK561/BJ561^(1/2),"")</f>
        <v/>
      </c>
      <c r="BD561" s="105">
        <f>IFERROR(BH561*BM561*BL561/BJ561/BK561,"")</f>
        <v/>
      </c>
      <c r="BE561" s="105">
        <f>IFERROR(MIN(BI561/BQ561/BP561/BO561/BH561,$BE$1),"")</f>
        <v/>
      </c>
      <c r="BF561" s="105">
        <f>IFERROR(BJ561*BO561*BP561/BK561,"")</f>
        <v/>
      </c>
      <c r="BG561" s="105">
        <f>IFERROR(1/BM561/BH561*BQ561,"")</f>
        <v/>
      </c>
      <c r="BH561" s="102">
        <f>MAX((CE561-Driver!$F$200)/(Driver!$G$200-Driver!$F$200)*$BI$1,1)</f>
        <v/>
      </c>
      <c r="BI561" s="102">
        <f>MAX($BI$1*(BY561-Driver!$F$201)/(Driver!$G$201-Driver!$F$201),1)</f>
        <v/>
      </c>
      <c r="BJ561" s="102">
        <f>(CB561-Driver!$F$206)/(Driver!$G$206-Driver!$F$206)*$BI$1</f>
        <v/>
      </c>
      <c r="BK561" s="102">
        <f>(CD561-Driver!$F$203)/(Driver!$G$203-Driver!$F$203)*$BI$1</f>
        <v/>
      </c>
      <c r="BL561" s="102">
        <f>MAX((CR561-Driver!$F$202)/(Driver!$G$202-Driver!$F$202)*$BI$1,1)</f>
        <v/>
      </c>
      <c r="BM561" s="102">
        <f>MAX((CH561-Driver!$F$204)/(Driver!$G$204-Driver!$F$204)*$BI$1,1)</f>
        <v/>
      </c>
      <c r="BN561" s="102">
        <f>(CI561-Driver!$F$205)/(Driver!$G$205-Driver!$F$205)*$BI$1</f>
        <v/>
      </c>
      <c r="BO561" s="102">
        <f>(CK561-Driver!$F$207)/(Driver!$G$207-Driver!$F$207)*$BI$1</f>
        <v/>
      </c>
      <c r="BP561" s="102">
        <f>(CM561-Driver!$F$208)/(Driver!$G$208-Driver!$F$208)*$BI$1</f>
        <v/>
      </c>
      <c r="BQ561" s="102">
        <f>(CL561-Driver!$F$209)/(Driver!$G$209-Driver!$F$209)*$BI$1</f>
        <v/>
      </c>
      <c r="BR561" s="40" t="inlineStr">
        <is>
          <t>21/22</t>
        </is>
      </c>
      <c r="BS561" s="10" t="inlineStr">
        <is>
          <t xml:space="preserve"> K2</t>
        </is>
      </c>
      <c r="BT561" s="11" t="inlineStr">
        <is>
          <t>Mindbender 90C</t>
        </is>
      </c>
      <c r="BU561" s="13" t="n">
        <v>170</v>
      </c>
      <c r="BV561" s="11" t="inlineStr">
        <is>
          <t xml:space="preserve"> Unisex</t>
        </is>
      </c>
      <c r="BW561" s="13" t="n">
        <v>170</v>
      </c>
      <c r="BX561" s="13" t="n">
        <v>170.2</v>
      </c>
      <c r="BY561" s="13" t="n">
        <v>130</v>
      </c>
      <c r="BZ561" s="13" t="n">
        <v>142</v>
      </c>
      <c r="CA561" s="13" t="n">
        <v>126</v>
      </c>
      <c r="CB561" s="13" t="n">
        <v>89</v>
      </c>
      <c r="CC561" s="13" t="n">
        <v>112</v>
      </c>
      <c r="CD561" s="13" t="n">
        <v>16</v>
      </c>
      <c r="CE561" s="13" t="n">
        <v>1562</v>
      </c>
      <c r="CF561" s="13" t="n">
        <v>1.1</v>
      </c>
      <c r="CG561" s="13" t="n">
        <v>1724</v>
      </c>
      <c r="CH561" s="13" t="n">
        <v>156</v>
      </c>
      <c r="CI561" s="13" t="n">
        <v>80</v>
      </c>
      <c r="CJ561" s="13" t="n">
        <v>49</v>
      </c>
      <c r="CK561" s="13" t="n">
        <v>236</v>
      </c>
      <c r="CL561" s="13" t="n">
        <v>16</v>
      </c>
      <c r="CM561" s="13" t="n">
        <v>171</v>
      </c>
      <c r="CN561" s="13" t="n">
        <v>0.325</v>
      </c>
      <c r="CO561" s="13" t="n">
        <v>155</v>
      </c>
      <c r="CP561" s="13" t="n">
        <v>126</v>
      </c>
      <c r="CQ561" s="13" t="n">
        <v>81</v>
      </c>
      <c r="CR561" s="13" t="n">
        <v>7</v>
      </c>
      <c r="CS561" s="13" t="n">
        <v>10.6</v>
      </c>
      <c r="CT561" s="11" t="inlineStr">
        <is>
          <t xml:space="preserve"> Resort Freeride</t>
        </is>
      </c>
      <c r="CU561" s="11" t="inlineStr">
        <is>
          <t xml:space="preserve"> Touring</t>
        </is>
      </c>
      <c r="CV561" s="13" t="n"/>
      <c r="CW561" s="13" t="n"/>
      <c r="CX561">
        <f>INDEX('Data_Price '!AG$2:AG$1266,MATCH(Data!$DN561,'Data_Price '!$AT$2:$AT$1266,0))</f>
        <v/>
      </c>
      <c r="CY561">
        <f>INDEX('Data_Price '!AH$2:AH$1266,MATCH(Data!$DN561,'Data_Price '!$AT$2:$AT$1266,0))</f>
        <v/>
      </c>
      <c r="CZ561">
        <f>INDEX('Data_Price '!AI$2:AI$1266,MATCH(Data!$DN561,'Data_Price '!$AT$2:$AT$1266,0))</f>
        <v/>
      </c>
      <c r="DA561">
        <f>INDEX('Data_Price '!AJ$2:AJ$1266,MATCH(Data!$DN561,'Data_Price '!$AT$2:$AT$1266,0))</f>
        <v/>
      </c>
      <c r="DB561">
        <f>INDEX('Data_Price '!AK$2:AK$1266,MATCH(Data!$DN561,'Data_Price '!$AT$2:$AT$1266,0))</f>
        <v/>
      </c>
      <c r="DC561">
        <f>INDEX('Data_Price '!AL$2:AL$1266,MATCH(Data!$DN561,'Data_Price '!$AT$2:$AT$1266,0))</f>
        <v/>
      </c>
      <c r="DD561">
        <f>INDEX('Data_Price '!AM$2:AM$1266,MATCH(Data!$DN561,'Data_Price '!$AT$2:$AT$1266,0))</f>
        <v/>
      </c>
      <c r="DE561">
        <f>INDEX('Data_Price '!AN$2:AN$1266,MATCH(Data!$DN561,'Data_Price '!$AT$2:$AT$1266,0))</f>
        <v/>
      </c>
      <c r="DF561">
        <f>INDEX('Data_Price '!AO$2:AO$1266,MATCH(Data!$DN561,'Data_Price '!$AT$2:$AT$1266,0))</f>
        <v/>
      </c>
      <c r="DG561">
        <f>INDEX('Data_Price '!AP$2:AP$1266,MATCH(Data!$DN561,'Data_Price '!$AT$2:$AT$1266,0))</f>
        <v/>
      </c>
      <c r="DH561">
        <f>INDEX('Data_Price '!AQ$2:AQ$1266,MATCH(Data!$DN561,'Data_Price '!$AT$2:$AT$1266,0))</f>
        <v/>
      </c>
      <c r="DI561">
        <f>INDEX('Data_Price '!AR$2:AR$1266,MATCH(Data!$DN561,'Data_Price '!$AT$2:$AT$1266,0))</f>
        <v/>
      </c>
      <c r="DJ561" s="138">
        <f>DA561</f>
        <v/>
      </c>
      <c r="DK561" s="138">
        <f>DE561</f>
        <v/>
      </c>
      <c r="DL561" s="138">
        <f>DI561</f>
        <v/>
      </c>
      <c r="DM561" s="303">
        <f>IF(LEFT(BT561,1)=" ",RIGHT(BT561,LEN(BT561)-1),BT561)</f>
        <v/>
      </c>
      <c r="DN561" s="138">
        <f>_xlfn.CONCAT(BS561,DM561,BU561,BV561)</f>
        <v/>
      </c>
      <c r="DO561" s="307" t="inlineStr">
        <is>
          <t>https://images.evo.com/imgp/250/162811/645698/k2-mindbender-90c-skis-2020-.jpg</t>
        </is>
      </c>
    </row>
    <row r="562" ht="15.6" customHeight="1" s="184">
      <c r="B562" s="303">
        <f t="array" ref="B562">IF(OR(ISERROR(K562:P562)),FALSE,TRUE)</f>
        <v/>
      </c>
      <c r="C562" s="60">
        <f>OR(BR562=Driver!$G$50,Data!BR1007=Driver!$H$50)</f>
        <v/>
      </c>
      <c r="D562" s="60">
        <f>OR(BV562=Driver!$G$51,BV562=Driver!$H$51)</f>
        <v/>
      </c>
      <c r="E562" s="60">
        <f>AND(BX562&gt;Driver!$F$54,BX562&lt;Driver!$G$54)</f>
        <v/>
      </c>
      <c r="F562" s="60">
        <f>CL562&gt;Driver!$F$56</f>
        <v/>
      </c>
      <c r="G562" s="60">
        <f>AND(CB562&gt;Driver!$F$55,CB562&lt;Driver!$G$55)</f>
        <v/>
      </c>
      <c r="H562" s="60">
        <f>AND(B562:G562)</f>
        <v/>
      </c>
      <c r="I562" s="60">
        <f>COUNTIFS($H$9:$H$1273,TRUE,$BT$9:$BT$1273,BT562)</f>
        <v/>
      </c>
      <c r="J562" s="60">
        <f t="array" ref="J562">NOT(OR(($H$9:$H$1273=TRUE)*($I$9:$I$1273&gt;0)*($BT$9:$BT$1273=BT562)*($K$9:$K$1273&gt;K562)))</f>
        <v/>
      </c>
      <c r="K562" s="108">
        <f>IFERROR(1-AVERAGE(X562:Y562),"")</f>
        <v/>
      </c>
      <c r="L562" s="108">
        <f>1-X562</f>
        <v/>
      </c>
      <c r="M562" s="108">
        <f>1-Y562</f>
        <v/>
      </c>
      <c r="N562" s="108">
        <f>1-Z562</f>
        <v/>
      </c>
      <c r="O562" s="108">
        <f>1-AA562</f>
        <v/>
      </c>
      <c r="P562" s="108">
        <f>1-AB562</f>
        <v/>
      </c>
      <c r="Q562" s="108" t="n"/>
      <c r="R562" s="108" t="n"/>
      <c r="S562" s="108">
        <f>1-AE562</f>
        <v/>
      </c>
      <c r="T562" s="108">
        <f>1-AF562</f>
        <v/>
      </c>
      <c r="U562" s="108">
        <f>1-AG562</f>
        <v/>
      </c>
      <c r="V562" s="108">
        <f>1-AH562</f>
        <v/>
      </c>
      <c r="W562" s="108">
        <f>1-AI562</f>
        <v/>
      </c>
      <c r="X562" s="108">
        <f>ABS(AJ562-AJ$1)</f>
        <v/>
      </c>
      <c r="Y562" s="108">
        <f>AVERAGE(Z562:AB562)</f>
        <v/>
      </c>
      <c r="Z562" s="108">
        <f>ABS(AL562-AL$1)</f>
        <v/>
      </c>
      <c r="AA562" s="108">
        <f>ABS(AM562-AM$1)</f>
        <v/>
      </c>
      <c r="AB562" s="108">
        <f>ABS(AN562-AN$1)</f>
        <v/>
      </c>
      <c r="AC562" s="108" t="n"/>
      <c r="AD562" s="108" t="n"/>
      <c r="AE562" s="108">
        <f>ABS(AQ$1-AQ562)</f>
        <v/>
      </c>
      <c r="AF562" s="108">
        <f>ABS(AR$1-AR562)</f>
        <v/>
      </c>
      <c r="AG562" s="108">
        <f>ABS(AS$1-AS562)</f>
        <v/>
      </c>
      <c r="AH562" s="108">
        <f>ABS(AT$1-AT562)</f>
        <v/>
      </c>
      <c r="AI562" s="108">
        <f>ABS(AU$1-AU562)</f>
        <v/>
      </c>
      <c r="AJ562" s="108">
        <f>(AV562-Driver!$K$179)/(Driver!$L$179-Driver!$K$179)</f>
        <v/>
      </c>
      <c r="AK562" s="108">
        <f>(AW562-Driver!$K$180)/(Driver!$L$180-Driver!$K$180)</f>
        <v/>
      </c>
      <c r="AL562" s="108">
        <f>(AX562-Driver!$K$181)/(Driver!$L$181-Driver!$K$181)</f>
        <v/>
      </c>
      <c r="AM562" s="108">
        <f>(AY562-Driver!$K$182)/(Driver!$L$182-Driver!$K$182)</f>
        <v/>
      </c>
      <c r="AN562" s="108">
        <f>(AZ562-Driver!$K$183)/(Driver!$L$183-Driver!$K$183)</f>
        <v/>
      </c>
      <c r="AO562" s="108" t="n"/>
      <c r="AP562" s="108" t="n"/>
      <c r="AQ562" s="108">
        <f>(BC562-Driver!$K$188)/(Driver!$L$188-Driver!$K$188)</f>
        <v/>
      </c>
      <c r="AR562" s="108">
        <f>MIN((BD562-Driver!$K$189)/(Driver!$L$189-Driver!$K$189),100%)</f>
        <v/>
      </c>
      <c r="AS562" s="108">
        <f>(BE562-Driver!$K$190)/(Driver!$L$190-Driver!$K$190)</f>
        <v/>
      </c>
      <c r="AT562" s="108">
        <f>(BF562-Driver!$K$191)/(Driver!$L$191-Driver!$K$191)</f>
        <v/>
      </c>
      <c r="AU562" s="108">
        <f>(BG562-Driver!$K$192)/(Driver!$L$192-Driver!$K$192)</f>
        <v/>
      </c>
      <c r="AV562" s="105">
        <f>IFERROR(BM562*BJ562^1/4,"")</f>
        <v/>
      </c>
      <c r="AW562" s="105">
        <f>IFERROR(SUM(AX562:AZ562),"")</f>
        <v/>
      </c>
      <c r="AX562" s="105">
        <f>IFERROR(BH562,"")</f>
        <v/>
      </c>
      <c r="AY562" s="105">
        <f>IFERROR(Driver!$K$19/Data!BH562/Data!BI562*Data!BK562*Data!BL562,"")</f>
        <v/>
      </c>
      <c r="AZ562" s="105">
        <f>IFERROR(BI562*BN562,"")</f>
        <v/>
      </c>
      <c r="BA562" s="105" t="n"/>
      <c r="BB562" s="105" t="n"/>
      <c r="BC562" s="105">
        <f>IFERROR(BI562*BN562*BK562/BJ562^(1/2),"")</f>
        <v/>
      </c>
      <c r="BD562" s="105">
        <f>IFERROR(BH562*BM562*BL562/BJ562/BK562,"")</f>
        <v/>
      </c>
      <c r="BE562" s="105">
        <f>IFERROR(MIN(BI562/BQ562/BP562/BO562/BH562,$BE$1),"")</f>
        <v/>
      </c>
      <c r="BF562" s="105">
        <f>IFERROR(BJ562*BO562*BP562/BK562,"")</f>
        <v/>
      </c>
      <c r="BG562" s="105">
        <f>IFERROR(1/BM562/BH562*BQ562,"")</f>
        <v/>
      </c>
      <c r="BH562" s="102">
        <f>MAX((CE562-Driver!$F$200)/(Driver!$G$200-Driver!$F$200)*$BI$1,1)</f>
        <v/>
      </c>
      <c r="BI562" s="102">
        <f>MAX($BI$1*(BY562-Driver!$F$201)/(Driver!$G$201-Driver!$F$201),1)</f>
        <v/>
      </c>
      <c r="BJ562" s="102">
        <f>(CB562-Driver!$F$206)/(Driver!$G$206-Driver!$F$206)*$BI$1</f>
        <v/>
      </c>
      <c r="BK562" s="102">
        <f>(CD562-Driver!$F$203)/(Driver!$G$203-Driver!$F$203)*$BI$1</f>
        <v/>
      </c>
      <c r="BL562" s="102">
        <f>MAX((CR562-Driver!$F$202)/(Driver!$G$202-Driver!$F$202)*$BI$1,1)</f>
        <v/>
      </c>
      <c r="BM562" s="102">
        <f>MAX((CH562-Driver!$F$204)/(Driver!$G$204-Driver!$F$204)*$BI$1,1)</f>
        <v/>
      </c>
      <c r="BN562" s="102">
        <f>(CI562-Driver!$F$205)/(Driver!$G$205-Driver!$F$205)*$BI$1</f>
        <v/>
      </c>
      <c r="BO562" s="102">
        <f>(CK562-Driver!$F$207)/(Driver!$G$207-Driver!$F$207)*$BI$1</f>
        <v/>
      </c>
      <c r="BP562" s="102">
        <f>(CM562-Driver!$F$208)/(Driver!$G$208-Driver!$F$208)*$BI$1</f>
        <v/>
      </c>
      <c r="BQ562" s="102">
        <f>(CL562-Driver!$F$209)/(Driver!$G$209-Driver!$F$209)*$BI$1</f>
        <v/>
      </c>
      <c r="BR562" s="40" t="inlineStr">
        <is>
          <t>21/22</t>
        </is>
      </c>
      <c r="BS562" s="10" t="inlineStr">
        <is>
          <t xml:space="preserve"> Rossignol</t>
        </is>
      </c>
      <c r="BT562" s="11" t="inlineStr">
        <is>
          <t>Experience 80 Carbon W</t>
        </is>
      </c>
      <c r="BU562" s="13" t="n">
        <v>158</v>
      </c>
      <c r="BV562" s="11" t="inlineStr">
        <is>
          <t xml:space="preserve"> Women's</t>
        </is>
      </c>
      <c r="BW562" s="13" t="n">
        <v>158</v>
      </c>
      <c r="BX562" s="13" t="n">
        <v>158.2</v>
      </c>
      <c r="BY562" s="13" t="n">
        <v>120</v>
      </c>
      <c r="BZ562" s="13" t="n">
        <v>144</v>
      </c>
      <c r="CA562" s="13" t="n">
        <v>125</v>
      </c>
      <c r="CB562" s="13" t="n">
        <v>80</v>
      </c>
      <c r="CC562" s="13" t="n">
        <v>114</v>
      </c>
      <c r="CD562" s="13" t="n">
        <v>12.7</v>
      </c>
      <c r="CE562" s="13" t="n">
        <v>1684</v>
      </c>
      <c r="CF562" s="13" t="n">
        <v>0.89</v>
      </c>
      <c r="CG562" s="13" t="n">
        <v>1503</v>
      </c>
      <c r="CH562" s="13" t="n">
        <v>198</v>
      </c>
      <c r="CI562" s="13" t="n">
        <v>76</v>
      </c>
      <c r="CJ562" s="13" t="n">
        <v>48</v>
      </c>
      <c r="CK562" s="13" t="n">
        <v>261</v>
      </c>
      <c r="CL562" s="13" t="n">
        <v>13</v>
      </c>
      <c r="CM562" s="13" t="n">
        <v>126</v>
      </c>
      <c r="CN562" s="13" t="n">
        <v>0.266</v>
      </c>
      <c r="CO562" s="13" t="n">
        <v>79</v>
      </c>
      <c r="CP562" s="13" t="n">
        <v>63</v>
      </c>
      <c r="CQ562" s="13" t="n">
        <v>182</v>
      </c>
      <c r="CR562" s="13" t="n">
        <v>8</v>
      </c>
      <c r="CS562" s="13" t="n">
        <v>7.1</v>
      </c>
      <c r="CT562" s="11" t="inlineStr">
        <is>
          <t xml:space="preserve"> Resort Freeride</t>
        </is>
      </c>
      <c r="CU562" s="13" t="n"/>
      <c r="CV562" s="13" t="n"/>
      <c r="CW562" s="13" t="n"/>
      <c r="CX562">
        <f>INDEX('Data_Price '!AG$2:AG$1266,MATCH(Data!$DN562,'Data_Price '!$AT$2:$AT$1266,0))</f>
        <v/>
      </c>
      <c r="CY562">
        <f>INDEX('Data_Price '!AH$2:AH$1266,MATCH(Data!$DN562,'Data_Price '!$AT$2:$AT$1266,0))</f>
        <v/>
      </c>
      <c r="CZ562">
        <f>INDEX('Data_Price '!AI$2:AI$1266,MATCH(Data!$DN562,'Data_Price '!$AT$2:$AT$1266,0))</f>
        <v/>
      </c>
      <c r="DA562">
        <f>INDEX('Data_Price '!AJ$2:AJ$1266,MATCH(Data!$DN562,'Data_Price '!$AT$2:$AT$1266,0))</f>
        <v/>
      </c>
      <c r="DB562">
        <f>INDEX('Data_Price '!AK$2:AK$1266,MATCH(Data!$DN562,'Data_Price '!$AT$2:$AT$1266,0))</f>
        <v/>
      </c>
      <c r="DC562">
        <f>INDEX('Data_Price '!AL$2:AL$1266,MATCH(Data!$DN562,'Data_Price '!$AT$2:$AT$1266,0))</f>
        <v/>
      </c>
      <c r="DD562">
        <f>INDEX('Data_Price '!AM$2:AM$1266,MATCH(Data!$DN562,'Data_Price '!$AT$2:$AT$1266,0))</f>
        <v/>
      </c>
      <c r="DE562">
        <f>INDEX('Data_Price '!AN$2:AN$1266,MATCH(Data!$DN562,'Data_Price '!$AT$2:$AT$1266,0))</f>
        <v/>
      </c>
      <c r="DF562">
        <f>INDEX('Data_Price '!AO$2:AO$1266,MATCH(Data!$DN562,'Data_Price '!$AT$2:$AT$1266,0))</f>
        <v/>
      </c>
      <c r="DG562">
        <f>INDEX('Data_Price '!AP$2:AP$1266,MATCH(Data!$DN562,'Data_Price '!$AT$2:$AT$1266,0))</f>
        <v/>
      </c>
      <c r="DH562">
        <f>INDEX('Data_Price '!AQ$2:AQ$1266,MATCH(Data!$DN562,'Data_Price '!$AT$2:$AT$1266,0))</f>
        <v/>
      </c>
      <c r="DI562">
        <f>INDEX('Data_Price '!AR$2:AR$1266,MATCH(Data!$DN562,'Data_Price '!$AT$2:$AT$1266,0))</f>
        <v/>
      </c>
      <c r="DJ562" s="138">
        <f>DA562</f>
        <v/>
      </c>
      <c r="DK562" s="138">
        <f>DE562</f>
        <v/>
      </c>
      <c r="DL562" s="138">
        <f>DI562</f>
        <v/>
      </c>
      <c r="DM562" s="303">
        <f>IF(LEFT(BT562,1)=" ",RIGHT(BT562,LEN(BT562)-1),BT562)</f>
        <v/>
      </c>
      <c r="DN562" s="138">
        <f>_xlfn.CONCAT(BS562,DM562,BU562,BV562)</f>
        <v/>
      </c>
      <c r="DO562" s="307" t="n"/>
    </row>
    <row r="563" ht="15.6" customHeight="1" s="184">
      <c r="B563" s="303">
        <f t="array" ref="B563">IF(OR(ISERROR(K563:P563)),FALSE,TRUE)</f>
        <v/>
      </c>
      <c r="C563" s="60">
        <f>OR(BR563=Driver!$G$50,Data!BR67=Driver!$H$50)</f>
        <v/>
      </c>
      <c r="D563" s="60">
        <f>OR(BV563=Driver!$G$51,BV563=Driver!$H$51)</f>
        <v/>
      </c>
      <c r="E563" s="60">
        <f>AND(BX563&gt;Driver!$F$54,BX563&lt;Driver!$G$54)</f>
        <v/>
      </c>
      <c r="F563" s="60">
        <f>CL563&gt;Driver!$F$56</f>
        <v/>
      </c>
      <c r="G563" s="60">
        <f>AND(CB563&gt;Driver!$F$55,CB563&lt;Driver!$G$55)</f>
        <v/>
      </c>
      <c r="H563" s="60">
        <f>AND(B563:G563)</f>
        <v/>
      </c>
      <c r="I563" s="60">
        <f>COUNTIFS($H$9:$H$1273,TRUE,$BT$9:$BT$1273,BT563)</f>
        <v/>
      </c>
      <c r="J563" s="60">
        <f t="array" ref="J563">NOT(OR(($H$9:$H$1273=TRUE)*($I$9:$I$1273&gt;0)*($BT$9:$BT$1273=BT563)*($K$9:$K$1273&gt;K563)))</f>
        <v/>
      </c>
      <c r="K563" s="108">
        <f>IFERROR(1-AVERAGE(X563:Y563),"")</f>
        <v/>
      </c>
      <c r="L563" s="108">
        <f>1-X563</f>
        <v/>
      </c>
      <c r="M563" s="108">
        <f>1-Y563</f>
        <v/>
      </c>
      <c r="N563" s="108">
        <f>1-Z563</f>
        <v/>
      </c>
      <c r="O563" s="108">
        <f>1-AA563</f>
        <v/>
      </c>
      <c r="P563" s="108">
        <f>1-AB563</f>
        <v/>
      </c>
      <c r="Q563" s="108" t="n"/>
      <c r="R563" s="108" t="n"/>
      <c r="S563" s="108">
        <f>1-AE563</f>
        <v/>
      </c>
      <c r="T563" s="108">
        <f>1-AF563</f>
        <v/>
      </c>
      <c r="U563" s="108">
        <f>1-AG563</f>
        <v/>
      </c>
      <c r="V563" s="108">
        <f>1-AH563</f>
        <v/>
      </c>
      <c r="W563" s="108">
        <f>1-AI563</f>
        <v/>
      </c>
      <c r="X563" s="108">
        <f>ABS(AJ563-AJ$1)</f>
        <v/>
      </c>
      <c r="Y563" s="108">
        <f>AVERAGE(Z563:AB563)</f>
        <v/>
      </c>
      <c r="Z563" s="108">
        <f>ABS(AL563-AL$1)</f>
        <v/>
      </c>
      <c r="AA563" s="108">
        <f>ABS(AM563-AM$1)</f>
        <v/>
      </c>
      <c r="AB563" s="108">
        <f>ABS(AN563-AN$1)</f>
        <v/>
      </c>
      <c r="AC563" s="108" t="n"/>
      <c r="AD563" s="108" t="n"/>
      <c r="AE563" s="108">
        <f>ABS(AQ$1-AQ563)</f>
        <v/>
      </c>
      <c r="AF563" s="108">
        <f>ABS(AR$1-AR563)</f>
        <v/>
      </c>
      <c r="AG563" s="108">
        <f>ABS(AS$1-AS563)</f>
        <v/>
      </c>
      <c r="AH563" s="108">
        <f>ABS(AT$1-AT563)</f>
        <v/>
      </c>
      <c r="AI563" s="108">
        <f>ABS(AU$1-AU563)</f>
        <v/>
      </c>
      <c r="AJ563" s="108">
        <f>(AV563-Driver!$K$179)/(Driver!$L$179-Driver!$K$179)</f>
        <v/>
      </c>
      <c r="AK563" s="108">
        <f>(AW563-Driver!$K$180)/(Driver!$L$180-Driver!$K$180)</f>
        <v/>
      </c>
      <c r="AL563" s="108">
        <f>(AX563-Driver!$K$181)/(Driver!$L$181-Driver!$K$181)</f>
        <v/>
      </c>
      <c r="AM563" s="108">
        <f>(AY563-Driver!$K$182)/(Driver!$L$182-Driver!$K$182)</f>
        <v/>
      </c>
      <c r="AN563" s="108">
        <f>(AZ563-Driver!$K$183)/(Driver!$L$183-Driver!$K$183)</f>
        <v/>
      </c>
      <c r="AO563" s="108" t="n"/>
      <c r="AP563" s="108" t="n"/>
      <c r="AQ563" s="108">
        <f>(BC563-Driver!$K$188)/(Driver!$L$188-Driver!$K$188)</f>
        <v/>
      </c>
      <c r="AR563" s="108">
        <f>MIN((BD563-Driver!$K$189)/(Driver!$L$189-Driver!$K$189),100%)</f>
        <v/>
      </c>
      <c r="AS563" s="108">
        <f>(BE563-Driver!$K$190)/(Driver!$L$190-Driver!$K$190)</f>
        <v/>
      </c>
      <c r="AT563" s="108">
        <f>(BF563-Driver!$K$191)/(Driver!$L$191-Driver!$K$191)</f>
        <v/>
      </c>
      <c r="AU563" s="108">
        <f>(BG563-Driver!$K$192)/(Driver!$L$192-Driver!$K$192)</f>
        <v/>
      </c>
      <c r="AV563" s="105">
        <f>IFERROR(BM563*BJ563^1/4,"")</f>
        <v/>
      </c>
      <c r="AW563" s="105">
        <f>IFERROR(SUM(AX563:AZ563),"")</f>
        <v/>
      </c>
      <c r="AX563" s="105">
        <f>IFERROR(BH563,"")</f>
        <v/>
      </c>
      <c r="AY563" s="105">
        <f>IFERROR(Driver!$K$19/Data!BH563/Data!BI563*Data!BK563*Data!BL563,"")</f>
        <v/>
      </c>
      <c r="AZ563" s="105">
        <f>IFERROR(BI563*BN563,"")</f>
        <v/>
      </c>
      <c r="BA563" s="105" t="n"/>
      <c r="BB563" s="105" t="n"/>
      <c r="BC563" s="105">
        <f>IFERROR(BI563*BN563*BK563/BJ563^(1/2),"")</f>
        <v/>
      </c>
      <c r="BD563" s="105">
        <f>IFERROR(BH563*BM563*BL563/BJ563/BK563,"")</f>
        <v/>
      </c>
      <c r="BE563" s="105">
        <f>IFERROR(MIN(BI563/BQ563/BP563/BO563/BH563,$BE$1),"")</f>
        <v/>
      </c>
      <c r="BF563" s="105">
        <f>IFERROR(BJ563*BO563*BP563/BK563,"")</f>
        <v/>
      </c>
      <c r="BG563" s="105">
        <f>IFERROR(1/BM563/BH563*BQ563,"")</f>
        <v/>
      </c>
      <c r="BH563" s="102">
        <f>MAX((CE563-Driver!$F$200)/(Driver!$G$200-Driver!$F$200)*$BI$1,1)</f>
        <v/>
      </c>
      <c r="BI563" s="102">
        <f>MAX($BI$1*(BY563-Driver!$F$201)/(Driver!$G$201-Driver!$F$201),1)</f>
        <v/>
      </c>
      <c r="BJ563" s="102">
        <f>(CB563-Driver!$F$206)/(Driver!$G$206-Driver!$F$206)*$BI$1</f>
        <v/>
      </c>
      <c r="BK563" s="102">
        <f>(CD563-Driver!$F$203)/(Driver!$G$203-Driver!$F$203)*$BI$1</f>
        <v/>
      </c>
      <c r="BL563" s="102">
        <f>MAX((CR563-Driver!$F$202)/(Driver!$G$202-Driver!$F$202)*$BI$1,1)</f>
        <v/>
      </c>
      <c r="BM563" s="102">
        <f>MAX((CH563-Driver!$F$204)/(Driver!$G$204-Driver!$F$204)*$BI$1,1)</f>
        <v/>
      </c>
      <c r="BN563" s="102">
        <f>(CI563-Driver!$F$205)/(Driver!$G$205-Driver!$F$205)*$BI$1</f>
        <v/>
      </c>
      <c r="BO563" s="102">
        <f>(CK563-Driver!$F$207)/(Driver!$G$207-Driver!$F$207)*$BI$1</f>
        <v/>
      </c>
      <c r="BP563" s="102">
        <f>(CM563-Driver!$F$208)/(Driver!$G$208-Driver!$F$208)*$BI$1</f>
        <v/>
      </c>
      <c r="BQ563" s="102">
        <f>(CL563-Driver!$F$209)/(Driver!$G$209-Driver!$F$209)*$BI$1</f>
        <v/>
      </c>
      <c r="BR563" s="40" t="inlineStr">
        <is>
          <t>21/22</t>
        </is>
      </c>
      <c r="BS563" s="10" t="inlineStr">
        <is>
          <t xml:space="preserve"> Armada</t>
        </is>
      </c>
      <c r="BT563" s="11" t="inlineStr">
        <is>
          <t>Declivity 82 Ti</t>
        </is>
      </c>
      <c r="BU563" s="13" t="n">
        <v>166</v>
      </c>
      <c r="BV563" s="11" t="inlineStr">
        <is>
          <t xml:space="preserve"> Unisex</t>
        </is>
      </c>
      <c r="BW563" s="13" t="n">
        <v>166</v>
      </c>
      <c r="BX563" s="13" t="n">
        <v>165.6</v>
      </c>
      <c r="BY563" s="13" t="n">
        <v>139</v>
      </c>
      <c r="BZ563" s="13" t="n">
        <v>148</v>
      </c>
      <c r="CA563" s="13" t="n">
        <v>125</v>
      </c>
      <c r="CB563" s="13" t="n">
        <v>81</v>
      </c>
      <c r="CC563" s="13" t="n">
        <v>108</v>
      </c>
      <c r="CD563" s="13" t="n">
        <v>15.4</v>
      </c>
      <c r="CE563" s="13" t="n">
        <v>1536</v>
      </c>
      <c r="CF563" s="13" t="n">
        <v>1.02</v>
      </c>
      <c r="CG563" s="13" t="n">
        <v>1569</v>
      </c>
      <c r="CH563" s="13" t="n">
        <v>211</v>
      </c>
      <c r="CI563" s="13" t="n">
        <v>119</v>
      </c>
      <c r="CJ563" s="13" t="n">
        <v>35</v>
      </c>
      <c r="CK563" s="13" t="n">
        <v>172</v>
      </c>
      <c r="CL563" s="13" t="n">
        <v>10</v>
      </c>
      <c r="CM563" s="13" t="n">
        <v>98</v>
      </c>
      <c r="CN563" s="13" t="n">
        <v>0.282</v>
      </c>
      <c r="CO563" s="13" t="n">
        <v>114</v>
      </c>
      <c r="CP563" s="13" t="n">
        <v>58</v>
      </c>
      <c r="CQ563" s="13" t="n">
        <v>58</v>
      </c>
      <c r="CR563" s="13" t="n">
        <v>10</v>
      </c>
      <c r="CS563" s="13" t="n">
        <v>10.2</v>
      </c>
      <c r="CT563" s="11" t="inlineStr">
        <is>
          <t xml:space="preserve"> On-Piste All-Mountain</t>
        </is>
      </c>
      <c r="CU563" s="11" t="inlineStr">
        <is>
          <t xml:space="preserve"> Resort Freeride</t>
        </is>
      </c>
      <c r="CV563" s="13" t="n"/>
      <c r="CW563" s="13" t="n"/>
      <c r="CX563">
        <f>INDEX('Data_Price '!AG$2:AG$1266,MATCH(Data!$DN563,'Data_Price '!$AT$2:$AT$1266,0))</f>
        <v/>
      </c>
      <c r="CY563">
        <f>INDEX('Data_Price '!AH$2:AH$1266,MATCH(Data!$DN563,'Data_Price '!$AT$2:$AT$1266,0))</f>
        <v/>
      </c>
      <c r="CZ563">
        <f>INDEX('Data_Price '!AI$2:AI$1266,MATCH(Data!$DN563,'Data_Price '!$AT$2:$AT$1266,0))</f>
        <v/>
      </c>
      <c r="DA563">
        <f>INDEX('Data_Price '!AJ$2:AJ$1266,MATCH(Data!$DN563,'Data_Price '!$AT$2:$AT$1266,0))</f>
        <v/>
      </c>
      <c r="DB563">
        <f>INDEX('Data_Price '!AK$2:AK$1266,MATCH(Data!$DN563,'Data_Price '!$AT$2:$AT$1266,0))</f>
        <v/>
      </c>
      <c r="DC563">
        <f>INDEX('Data_Price '!AL$2:AL$1266,MATCH(Data!$DN563,'Data_Price '!$AT$2:$AT$1266,0))</f>
        <v/>
      </c>
      <c r="DD563">
        <f>INDEX('Data_Price '!AM$2:AM$1266,MATCH(Data!$DN563,'Data_Price '!$AT$2:$AT$1266,0))</f>
        <v/>
      </c>
      <c r="DE563">
        <f>INDEX('Data_Price '!AN$2:AN$1266,MATCH(Data!$DN563,'Data_Price '!$AT$2:$AT$1266,0))</f>
        <v/>
      </c>
      <c r="DF563">
        <f>INDEX('Data_Price '!AO$2:AO$1266,MATCH(Data!$DN563,'Data_Price '!$AT$2:$AT$1266,0))</f>
        <v/>
      </c>
      <c r="DG563">
        <f>INDEX('Data_Price '!AP$2:AP$1266,MATCH(Data!$DN563,'Data_Price '!$AT$2:$AT$1266,0))</f>
        <v/>
      </c>
      <c r="DH563">
        <f>INDEX('Data_Price '!AQ$2:AQ$1266,MATCH(Data!$DN563,'Data_Price '!$AT$2:$AT$1266,0))</f>
        <v/>
      </c>
      <c r="DI563">
        <f>INDEX('Data_Price '!AR$2:AR$1266,MATCH(Data!$DN563,'Data_Price '!$AT$2:$AT$1266,0))</f>
        <v/>
      </c>
      <c r="DJ563" s="138">
        <f>DA563</f>
        <v/>
      </c>
      <c r="DK563" s="138">
        <f>DE563</f>
        <v/>
      </c>
      <c r="DL563" s="138">
        <f>DI563</f>
        <v/>
      </c>
      <c r="DM563" s="303">
        <f>IF(LEFT(BT563,1)=" ",RIGHT(BT563,LEN(BT563)-1),BT563)</f>
        <v/>
      </c>
      <c r="DN563" s="138">
        <f>_xlfn.CONCAT(BS563,DM563,BU563,BV563)</f>
        <v/>
      </c>
      <c r="DO563" s="307" t="n"/>
    </row>
    <row r="564" ht="15.6" customHeight="1" s="184">
      <c r="B564" s="303">
        <f t="array" ref="B564">IF(OR(ISERROR(K564:P564)),FALSE,TRUE)</f>
        <v/>
      </c>
      <c r="C564" s="60">
        <f>OR(BR564=Driver!$G$50,Data!BR1009=Driver!$H$50)</f>
        <v/>
      </c>
      <c r="D564" s="60">
        <f>OR(BV564=Driver!$G$51,BV564=Driver!$H$51)</f>
        <v/>
      </c>
      <c r="E564" s="60">
        <f>AND(BX564&gt;Driver!$F$54,BX564&lt;Driver!$G$54)</f>
        <v/>
      </c>
      <c r="F564" s="60">
        <f>CL564&gt;Driver!$F$56</f>
        <v/>
      </c>
      <c r="G564" s="60">
        <f>AND(CB564&gt;Driver!$F$55,CB564&lt;Driver!$G$55)</f>
        <v/>
      </c>
      <c r="H564" s="60">
        <f>AND(B564:G564)</f>
        <v/>
      </c>
      <c r="I564" s="60">
        <f>COUNTIFS($H$9:$H$1273,TRUE,$BT$9:$BT$1273,BT564)</f>
        <v/>
      </c>
      <c r="J564" s="60">
        <f t="array" ref="J564">NOT(OR(($H$9:$H$1273=TRUE)*($I$9:$I$1273&gt;0)*($BT$9:$BT$1273=BT564)*($K$9:$K$1273&gt;K564)))</f>
        <v/>
      </c>
      <c r="K564" s="108">
        <f>IFERROR(1-AVERAGE(X564:Y564),"")</f>
        <v/>
      </c>
      <c r="L564" s="108">
        <f>1-X564</f>
        <v/>
      </c>
      <c r="M564" s="108">
        <f>1-Y564</f>
        <v/>
      </c>
      <c r="N564" s="108">
        <f>1-Z564</f>
        <v/>
      </c>
      <c r="O564" s="108">
        <f>1-AA564</f>
        <v/>
      </c>
      <c r="P564" s="108">
        <f>1-AB564</f>
        <v/>
      </c>
      <c r="Q564" s="108" t="n"/>
      <c r="R564" s="108" t="n"/>
      <c r="S564" s="108">
        <f>1-AE564</f>
        <v/>
      </c>
      <c r="T564" s="108">
        <f>1-AF564</f>
        <v/>
      </c>
      <c r="U564" s="108">
        <f>1-AG564</f>
        <v/>
      </c>
      <c r="V564" s="108">
        <f>1-AH564</f>
        <v/>
      </c>
      <c r="W564" s="108">
        <f>1-AI564</f>
        <v/>
      </c>
      <c r="X564" s="108">
        <f>ABS(AJ564-AJ$1)</f>
        <v/>
      </c>
      <c r="Y564" s="108">
        <f>AVERAGE(Z564:AB564)</f>
        <v/>
      </c>
      <c r="Z564" s="108">
        <f>ABS(AL564-AL$1)</f>
        <v/>
      </c>
      <c r="AA564" s="108">
        <f>ABS(AM564-AM$1)</f>
        <v/>
      </c>
      <c r="AB564" s="108">
        <f>ABS(AN564-AN$1)</f>
        <v/>
      </c>
      <c r="AC564" s="108" t="n"/>
      <c r="AD564" s="108" t="n"/>
      <c r="AE564" s="108">
        <f>ABS(AQ$1-AQ564)</f>
        <v/>
      </c>
      <c r="AF564" s="108">
        <f>ABS(AR$1-AR564)</f>
        <v/>
      </c>
      <c r="AG564" s="108">
        <f>ABS(AS$1-AS564)</f>
        <v/>
      </c>
      <c r="AH564" s="108">
        <f>ABS(AT$1-AT564)</f>
        <v/>
      </c>
      <c r="AI564" s="108">
        <f>ABS(AU$1-AU564)</f>
        <v/>
      </c>
      <c r="AJ564" s="108">
        <f>(AV564-Driver!$K$179)/(Driver!$L$179-Driver!$K$179)</f>
        <v/>
      </c>
      <c r="AK564" s="108">
        <f>(AW564-Driver!$K$180)/(Driver!$L$180-Driver!$K$180)</f>
        <v/>
      </c>
      <c r="AL564" s="108">
        <f>(AX564-Driver!$K$181)/(Driver!$L$181-Driver!$K$181)</f>
        <v/>
      </c>
      <c r="AM564" s="108">
        <f>(AY564-Driver!$K$182)/(Driver!$L$182-Driver!$K$182)</f>
        <v/>
      </c>
      <c r="AN564" s="108">
        <f>(AZ564-Driver!$K$183)/(Driver!$L$183-Driver!$K$183)</f>
        <v/>
      </c>
      <c r="AO564" s="108" t="n"/>
      <c r="AP564" s="108" t="n"/>
      <c r="AQ564" s="108">
        <f>(BC564-Driver!$K$188)/(Driver!$L$188-Driver!$K$188)</f>
        <v/>
      </c>
      <c r="AR564" s="108">
        <f>MIN((BD564-Driver!$K$189)/(Driver!$L$189-Driver!$K$189),100%)</f>
        <v/>
      </c>
      <c r="AS564" s="108">
        <f>(BE564-Driver!$K$190)/(Driver!$L$190-Driver!$K$190)</f>
        <v/>
      </c>
      <c r="AT564" s="108">
        <f>(BF564-Driver!$K$191)/(Driver!$L$191-Driver!$K$191)</f>
        <v/>
      </c>
      <c r="AU564" s="108">
        <f>(BG564-Driver!$K$192)/(Driver!$L$192-Driver!$K$192)</f>
        <v/>
      </c>
      <c r="AV564" s="105">
        <f>IFERROR(BM564*BJ564^1/4,"")</f>
        <v/>
      </c>
      <c r="AW564" s="105">
        <f>IFERROR(SUM(AX564:AZ564),"")</f>
        <v/>
      </c>
      <c r="AX564" s="105">
        <f>IFERROR(BH564,"")</f>
        <v/>
      </c>
      <c r="AY564" s="105">
        <f>IFERROR(Driver!$K$19/Data!BH564/Data!BI564*Data!BK564*Data!BL564,"")</f>
        <v/>
      </c>
      <c r="AZ564" s="105">
        <f>IFERROR(BI564*BN564,"")</f>
        <v/>
      </c>
      <c r="BA564" s="105" t="n"/>
      <c r="BB564" s="105" t="n"/>
      <c r="BC564" s="105">
        <f>IFERROR(BI564*BN564*BK564/BJ564^(1/2),"")</f>
        <v/>
      </c>
      <c r="BD564" s="105">
        <f>IFERROR(BH564*BM564*BL564/BJ564/BK564,"")</f>
        <v/>
      </c>
      <c r="BE564" s="105">
        <f>IFERROR(MIN(BI564/BQ564/BP564/BO564/BH564,$BE$1),"")</f>
        <v/>
      </c>
      <c r="BF564" s="105">
        <f>IFERROR(BJ564*BO564*BP564/BK564,"")</f>
        <v/>
      </c>
      <c r="BG564" s="105">
        <f>IFERROR(1/BM564/BH564*BQ564,"")</f>
        <v/>
      </c>
      <c r="BH564" s="102">
        <f>MAX((CE564-Driver!$F$200)/(Driver!$G$200-Driver!$F$200)*$BI$1,1)</f>
        <v/>
      </c>
      <c r="BI564" s="102">
        <f>MAX($BI$1*(BY564-Driver!$F$201)/(Driver!$G$201-Driver!$F$201),1)</f>
        <v/>
      </c>
      <c r="BJ564" s="102">
        <f>(CB564-Driver!$F$206)/(Driver!$G$206-Driver!$F$206)*$BI$1</f>
        <v/>
      </c>
      <c r="BK564" s="102">
        <f>(CD564-Driver!$F$203)/(Driver!$G$203-Driver!$F$203)*$BI$1</f>
        <v/>
      </c>
      <c r="BL564" s="102">
        <f>MAX((CR564-Driver!$F$202)/(Driver!$G$202-Driver!$F$202)*$BI$1,1)</f>
        <v/>
      </c>
      <c r="BM564" s="102">
        <f>MAX((CH564-Driver!$F$204)/(Driver!$G$204-Driver!$F$204)*$BI$1,1)</f>
        <v/>
      </c>
      <c r="BN564" s="102">
        <f>(CI564-Driver!$F$205)/(Driver!$G$205-Driver!$F$205)*$BI$1</f>
        <v/>
      </c>
      <c r="BO564" s="102">
        <f>(CK564-Driver!$F$207)/(Driver!$G$207-Driver!$F$207)*$BI$1</f>
        <v/>
      </c>
      <c r="BP564" s="102">
        <f>(CM564-Driver!$F$208)/(Driver!$G$208-Driver!$F$208)*$BI$1</f>
        <v/>
      </c>
      <c r="BQ564" s="102">
        <f>(CL564-Driver!$F$209)/(Driver!$G$209-Driver!$F$209)*$BI$1</f>
        <v/>
      </c>
      <c r="BR564" s="40" t="inlineStr">
        <is>
          <t>21/22</t>
        </is>
      </c>
      <c r="BS564" s="10" t="inlineStr">
        <is>
          <t xml:space="preserve"> Rossignol</t>
        </is>
      </c>
      <c r="BT564" s="11" t="inlineStr">
        <is>
          <t>Experience 82 Basalt</t>
        </is>
      </c>
      <c r="BU564" s="13" t="n">
        <v>160</v>
      </c>
      <c r="BV564" s="11" t="inlineStr">
        <is>
          <t xml:space="preserve"> Unisex</t>
        </is>
      </c>
      <c r="BW564" s="13" t="n">
        <v>160</v>
      </c>
      <c r="BX564" s="13" t="n">
        <v>158.5</v>
      </c>
      <c r="BY564" s="13" t="n">
        <v>120</v>
      </c>
      <c r="BZ564" s="13" t="n">
        <v>143</v>
      </c>
      <c r="CA564" s="13" t="n">
        <v>124</v>
      </c>
      <c r="CB564" s="13" t="n">
        <v>80</v>
      </c>
      <c r="CC564" s="13" t="n">
        <v>113</v>
      </c>
      <c r="CD564" s="13" t="n">
        <v>12.8</v>
      </c>
      <c r="CE564" s="13" t="n">
        <v>1651</v>
      </c>
      <c r="CF564" s="13" t="n">
        <v>0.9</v>
      </c>
      <c r="CG564" s="13" t="n">
        <v>1493</v>
      </c>
      <c r="CH564" s="13" t="n">
        <v>179</v>
      </c>
      <c r="CI564" s="13" t="n">
        <v>72</v>
      </c>
      <c r="CJ564" s="13" t="n">
        <v>47</v>
      </c>
      <c r="CK564" s="13" t="n">
        <v>258</v>
      </c>
      <c r="CL564" s="13" t="n">
        <v>12</v>
      </c>
      <c r="CM564" s="13" t="n">
        <v>123</v>
      </c>
      <c r="CN564" s="13" t="n">
        <v>0.26</v>
      </c>
      <c r="CO564" s="13" t="n">
        <v>88</v>
      </c>
      <c r="CP564" s="13" t="n">
        <v>63</v>
      </c>
      <c r="CQ564" s="13" t="n">
        <v>170</v>
      </c>
      <c r="CR564" s="13" t="n">
        <v>10</v>
      </c>
      <c r="CS564" s="13" t="n">
        <v>7.1</v>
      </c>
      <c r="CT564" s="11" t="inlineStr">
        <is>
          <t xml:space="preserve"> Other</t>
        </is>
      </c>
      <c r="CU564" s="13" t="n"/>
      <c r="CV564" s="13" t="n"/>
      <c r="CW564" s="13" t="n"/>
      <c r="CX564">
        <f>INDEX('Data_Price '!AG$2:AG$1266,MATCH(Data!$DN564,'Data_Price '!$AT$2:$AT$1266,0))</f>
        <v/>
      </c>
      <c r="CY564">
        <f>INDEX('Data_Price '!AH$2:AH$1266,MATCH(Data!$DN564,'Data_Price '!$AT$2:$AT$1266,0))</f>
        <v/>
      </c>
      <c r="CZ564">
        <f>INDEX('Data_Price '!AI$2:AI$1266,MATCH(Data!$DN564,'Data_Price '!$AT$2:$AT$1266,0))</f>
        <v/>
      </c>
      <c r="DA564">
        <f>INDEX('Data_Price '!AJ$2:AJ$1266,MATCH(Data!$DN564,'Data_Price '!$AT$2:$AT$1266,0))</f>
        <v/>
      </c>
      <c r="DB564">
        <f>INDEX('Data_Price '!AK$2:AK$1266,MATCH(Data!$DN564,'Data_Price '!$AT$2:$AT$1266,0))</f>
        <v/>
      </c>
      <c r="DC564">
        <f>INDEX('Data_Price '!AL$2:AL$1266,MATCH(Data!$DN564,'Data_Price '!$AT$2:$AT$1266,0))</f>
        <v/>
      </c>
      <c r="DD564">
        <f>INDEX('Data_Price '!AM$2:AM$1266,MATCH(Data!$DN564,'Data_Price '!$AT$2:$AT$1266,0))</f>
        <v/>
      </c>
      <c r="DE564">
        <f>INDEX('Data_Price '!AN$2:AN$1266,MATCH(Data!$DN564,'Data_Price '!$AT$2:$AT$1266,0))</f>
        <v/>
      </c>
      <c r="DF564">
        <f>INDEX('Data_Price '!AO$2:AO$1266,MATCH(Data!$DN564,'Data_Price '!$AT$2:$AT$1266,0))</f>
        <v/>
      </c>
      <c r="DG564">
        <f>INDEX('Data_Price '!AP$2:AP$1266,MATCH(Data!$DN564,'Data_Price '!$AT$2:$AT$1266,0))</f>
        <v/>
      </c>
      <c r="DH564">
        <f>INDEX('Data_Price '!AQ$2:AQ$1266,MATCH(Data!$DN564,'Data_Price '!$AT$2:$AT$1266,0))</f>
        <v/>
      </c>
      <c r="DI564">
        <f>INDEX('Data_Price '!AR$2:AR$1266,MATCH(Data!$DN564,'Data_Price '!$AT$2:$AT$1266,0))</f>
        <v/>
      </c>
      <c r="DJ564" s="138">
        <f>DA564</f>
        <v/>
      </c>
      <c r="DK564" s="138">
        <f>DE564</f>
        <v/>
      </c>
      <c r="DL564" s="138">
        <f>DI564</f>
        <v/>
      </c>
      <c r="DM564" s="303">
        <f>IF(LEFT(BT564,1)=" ",RIGHT(BT564,LEN(BT564)-1),BT564)</f>
        <v/>
      </c>
      <c r="DN564" s="138">
        <f>_xlfn.CONCAT(BS564,DM564,BU564,BV564)</f>
        <v/>
      </c>
      <c r="DO564" s="307" t="n"/>
    </row>
    <row r="565" ht="15.6" customHeight="1" s="184">
      <c r="B565" s="303">
        <f t="array" ref="B565">IF(OR(ISERROR(K565:P565)),FALSE,TRUE)</f>
        <v/>
      </c>
      <c r="C565" s="60">
        <f>OR(BR565=Driver!$G$50,Data!BR100=Driver!$H$50)</f>
        <v/>
      </c>
      <c r="D565" s="60">
        <f>OR(BV565=Driver!$G$51,BV565=Driver!$H$51)</f>
        <v/>
      </c>
      <c r="E565" s="60">
        <f>AND(BX565&gt;Driver!$F$54,BX565&lt;Driver!$G$54)</f>
        <v/>
      </c>
      <c r="F565" s="60">
        <f>CL565&gt;Driver!$F$56</f>
        <v/>
      </c>
      <c r="G565" s="60">
        <f>AND(CB565&gt;Driver!$F$55,CB565&lt;Driver!$G$55)</f>
        <v/>
      </c>
      <c r="H565" s="60">
        <f>AND(B565:G565)</f>
        <v/>
      </c>
      <c r="I565" s="60">
        <f>COUNTIFS($H$9:$H$1273,TRUE,$BT$9:$BT$1273,BT565)</f>
        <v/>
      </c>
      <c r="J565" s="60">
        <f t="array" ref="J565">NOT(OR(($H$9:$H$1273=TRUE)*($I$9:$I$1273&gt;0)*($BT$9:$BT$1273=BT565)*($K$9:$K$1273&gt;K565)))</f>
        <v/>
      </c>
      <c r="K565" s="108">
        <f>IFERROR(1-AVERAGE(X565:Y565),"")</f>
        <v/>
      </c>
      <c r="L565" s="108">
        <f>1-X565</f>
        <v/>
      </c>
      <c r="M565" s="108">
        <f>1-Y565</f>
        <v/>
      </c>
      <c r="N565" s="108">
        <f>1-Z565</f>
        <v/>
      </c>
      <c r="O565" s="108">
        <f>1-AA565</f>
        <v/>
      </c>
      <c r="P565" s="108">
        <f>1-AB565</f>
        <v/>
      </c>
      <c r="Q565" s="108" t="n"/>
      <c r="R565" s="108" t="n"/>
      <c r="S565" s="108">
        <f>1-AE565</f>
        <v/>
      </c>
      <c r="T565" s="108">
        <f>1-AF565</f>
        <v/>
      </c>
      <c r="U565" s="108">
        <f>1-AG565</f>
        <v/>
      </c>
      <c r="V565" s="108">
        <f>1-AH565</f>
        <v/>
      </c>
      <c r="W565" s="108">
        <f>1-AI565</f>
        <v/>
      </c>
      <c r="X565" s="108">
        <f>ABS(AJ565-AJ$1)</f>
        <v/>
      </c>
      <c r="Y565" s="108">
        <f>AVERAGE(Z565:AB565)</f>
        <v/>
      </c>
      <c r="Z565" s="108">
        <f>ABS(AL565-AL$1)</f>
        <v/>
      </c>
      <c r="AA565" s="108">
        <f>ABS(AM565-AM$1)</f>
        <v/>
      </c>
      <c r="AB565" s="108">
        <f>ABS(AN565-AN$1)</f>
        <v/>
      </c>
      <c r="AC565" s="108" t="n"/>
      <c r="AD565" s="108" t="n"/>
      <c r="AE565" s="108">
        <f>ABS(AQ$1-AQ565)</f>
        <v/>
      </c>
      <c r="AF565" s="108">
        <f>ABS(AR$1-AR565)</f>
        <v/>
      </c>
      <c r="AG565" s="108">
        <f>ABS(AS$1-AS565)</f>
        <v/>
      </c>
      <c r="AH565" s="108">
        <f>ABS(AT$1-AT565)</f>
        <v/>
      </c>
      <c r="AI565" s="108">
        <f>ABS(AU$1-AU565)</f>
        <v/>
      </c>
      <c r="AJ565" s="108">
        <f>(AV565-Driver!$K$179)/(Driver!$L$179-Driver!$K$179)</f>
        <v/>
      </c>
      <c r="AK565" s="108">
        <f>(AW565-Driver!$K$180)/(Driver!$L$180-Driver!$K$180)</f>
        <v/>
      </c>
      <c r="AL565" s="108">
        <f>(AX565-Driver!$K$181)/(Driver!$L$181-Driver!$K$181)</f>
        <v/>
      </c>
      <c r="AM565" s="108">
        <f>(AY565-Driver!$K$182)/(Driver!$L$182-Driver!$K$182)</f>
        <v/>
      </c>
      <c r="AN565" s="108">
        <f>(AZ565-Driver!$K$183)/(Driver!$L$183-Driver!$K$183)</f>
        <v/>
      </c>
      <c r="AO565" s="108" t="n"/>
      <c r="AP565" s="108" t="n"/>
      <c r="AQ565" s="108">
        <f>(BC565-Driver!$K$188)/(Driver!$L$188-Driver!$K$188)</f>
        <v/>
      </c>
      <c r="AR565" s="108">
        <f>MIN((BD565-Driver!$K$189)/(Driver!$L$189-Driver!$K$189),100%)</f>
        <v/>
      </c>
      <c r="AS565" s="108">
        <f>(BE565-Driver!$K$190)/(Driver!$L$190-Driver!$K$190)</f>
        <v/>
      </c>
      <c r="AT565" s="108">
        <f>(BF565-Driver!$K$191)/(Driver!$L$191-Driver!$K$191)</f>
        <v/>
      </c>
      <c r="AU565" s="108">
        <f>(BG565-Driver!$K$192)/(Driver!$L$192-Driver!$K$192)</f>
        <v/>
      </c>
      <c r="AV565" s="105">
        <f>IFERROR(BM565*BJ565^1/4,"")</f>
        <v/>
      </c>
      <c r="AW565" s="105">
        <f>IFERROR(SUM(AX565:AZ565),"")</f>
        <v/>
      </c>
      <c r="AX565" s="105">
        <f>IFERROR(BH565,"")</f>
        <v/>
      </c>
      <c r="AY565" s="105">
        <f>IFERROR(Driver!$K$19/Data!BH565/Data!BI565*Data!BK565*Data!BL565,"")</f>
        <v/>
      </c>
      <c r="AZ565" s="105">
        <f>IFERROR(BI565*BN565,"")</f>
        <v/>
      </c>
      <c r="BA565" s="105" t="n"/>
      <c r="BB565" s="105" t="n"/>
      <c r="BC565" s="105">
        <f>IFERROR(BI565*BN565*BK565/BJ565^(1/2),"")</f>
        <v/>
      </c>
      <c r="BD565" s="105">
        <f>IFERROR(BH565*BM565*BL565/BJ565/BK565,"")</f>
        <v/>
      </c>
      <c r="BE565" s="105">
        <f>IFERROR(MIN(BI565/BQ565/BP565/BO565/BH565,$BE$1),"")</f>
        <v/>
      </c>
      <c r="BF565" s="105">
        <f>IFERROR(BJ565*BO565*BP565/BK565,"")</f>
        <v/>
      </c>
      <c r="BG565" s="105">
        <f>IFERROR(1/BM565/BH565*BQ565,"")</f>
        <v/>
      </c>
      <c r="BH565" s="102">
        <f>MAX((CE565-Driver!$F$200)/(Driver!$G$200-Driver!$F$200)*$BI$1,1)</f>
        <v/>
      </c>
      <c r="BI565" s="102">
        <f>MAX($BI$1*(BY565-Driver!$F$201)/(Driver!$G$201-Driver!$F$201),1)</f>
        <v/>
      </c>
      <c r="BJ565" s="102">
        <f>(CB565-Driver!$F$206)/(Driver!$G$206-Driver!$F$206)*$BI$1</f>
        <v/>
      </c>
      <c r="BK565" s="102">
        <f>(CD565-Driver!$F$203)/(Driver!$G$203-Driver!$F$203)*$BI$1</f>
        <v/>
      </c>
      <c r="BL565" s="102">
        <f>MAX((CR565-Driver!$F$202)/(Driver!$G$202-Driver!$F$202)*$BI$1,1)</f>
        <v/>
      </c>
      <c r="BM565" s="102">
        <f>MAX((CH565-Driver!$F$204)/(Driver!$G$204-Driver!$F$204)*$BI$1,1)</f>
        <v/>
      </c>
      <c r="BN565" s="102">
        <f>(CI565-Driver!$F$205)/(Driver!$G$205-Driver!$F$205)*$BI$1</f>
        <v/>
      </c>
      <c r="BO565" s="102">
        <f>(CK565-Driver!$F$207)/(Driver!$G$207-Driver!$F$207)*$BI$1</f>
        <v/>
      </c>
      <c r="BP565" s="102">
        <f>(CM565-Driver!$F$208)/(Driver!$G$208-Driver!$F$208)*$BI$1</f>
        <v/>
      </c>
      <c r="BQ565" s="102">
        <f>(CL565-Driver!$F$209)/(Driver!$G$209-Driver!$F$209)*$BI$1</f>
        <v/>
      </c>
      <c r="BR565" s="40" t="inlineStr">
        <is>
          <t>21/22</t>
        </is>
      </c>
      <c r="BS565" s="10" t="inlineStr">
        <is>
          <t xml:space="preserve"> Armada</t>
        </is>
      </c>
      <c r="BT565" s="11" t="inlineStr">
        <is>
          <t>Trace 88</t>
        </is>
      </c>
      <c r="BU565" s="13" t="n">
        <v>172</v>
      </c>
      <c r="BV565" s="11" t="inlineStr">
        <is>
          <t xml:space="preserve"> Women's</t>
        </is>
      </c>
      <c r="BW565" s="13" t="n">
        <v>172</v>
      </c>
      <c r="BX565" s="13" t="n">
        <v>171.2</v>
      </c>
      <c r="BY565" s="13" t="n">
        <v>139</v>
      </c>
      <c r="BZ565" s="13" t="n">
        <v>144</v>
      </c>
      <c r="CA565" s="13" t="n">
        <v>115</v>
      </c>
      <c r="CB565" s="13" t="n">
        <v>87</v>
      </c>
      <c r="CC565" s="13" t="n">
        <v>107</v>
      </c>
      <c r="CD565" s="13" t="n">
        <v>20.4</v>
      </c>
      <c r="CE565" s="13" t="n">
        <v>1246</v>
      </c>
      <c r="CF565" s="13" t="n">
        <v>1.32</v>
      </c>
      <c r="CG565" s="13" t="n">
        <v>1643</v>
      </c>
      <c r="CH565" s="13" t="n">
        <v>190</v>
      </c>
      <c r="CI565" s="13" t="n">
        <v>84</v>
      </c>
      <c r="CJ565" s="13" t="n">
        <v>42</v>
      </c>
      <c r="CK565" s="13" t="n">
        <v>205</v>
      </c>
      <c r="CL565" s="13" t="n">
        <v>11</v>
      </c>
      <c r="CM565" s="13" t="n">
        <v>121</v>
      </c>
      <c r="CN565" s="13" t="n">
        <v>0.253</v>
      </c>
      <c r="CO565" s="13" t="n">
        <v>166</v>
      </c>
      <c r="CP565" s="13" t="n">
        <v>106</v>
      </c>
      <c r="CQ565" s="13" t="n">
        <v>39</v>
      </c>
      <c r="CR565" s="13" t="n">
        <v>4</v>
      </c>
      <c r="CS565" s="13" t="n">
        <v>7</v>
      </c>
      <c r="CT565" s="11" t="inlineStr">
        <is>
          <t xml:space="preserve"> Touring</t>
        </is>
      </c>
      <c r="CU565" s="11" t="inlineStr">
        <is>
          <t xml:space="preserve"> Ultralight Touring</t>
        </is>
      </c>
      <c r="CV565" s="13" t="n"/>
      <c r="CW565" s="13" t="n"/>
      <c r="CX565">
        <f>INDEX('Data_Price '!AG$2:AG$1266,MATCH(Data!$DN565,'Data_Price '!$AT$2:$AT$1266,0))</f>
        <v/>
      </c>
      <c r="CY565">
        <f>INDEX('Data_Price '!AH$2:AH$1266,MATCH(Data!$DN565,'Data_Price '!$AT$2:$AT$1266,0))</f>
        <v/>
      </c>
      <c r="CZ565">
        <f>INDEX('Data_Price '!AI$2:AI$1266,MATCH(Data!$DN565,'Data_Price '!$AT$2:$AT$1266,0))</f>
        <v/>
      </c>
      <c r="DA565">
        <f>INDEX('Data_Price '!AJ$2:AJ$1266,MATCH(Data!$DN565,'Data_Price '!$AT$2:$AT$1266,0))</f>
        <v/>
      </c>
      <c r="DB565">
        <f>INDEX('Data_Price '!AK$2:AK$1266,MATCH(Data!$DN565,'Data_Price '!$AT$2:$AT$1266,0))</f>
        <v/>
      </c>
      <c r="DC565">
        <f>INDEX('Data_Price '!AL$2:AL$1266,MATCH(Data!$DN565,'Data_Price '!$AT$2:$AT$1266,0))</f>
        <v/>
      </c>
      <c r="DD565">
        <f>INDEX('Data_Price '!AM$2:AM$1266,MATCH(Data!$DN565,'Data_Price '!$AT$2:$AT$1266,0))</f>
        <v/>
      </c>
      <c r="DE565">
        <f>INDEX('Data_Price '!AN$2:AN$1266,MATCH(Data!$DN565,'Data_Price '!$AT$2:$AT$1266,0))</f>
        <v/>
      </c>
      <c r="DF565">
        <f>INDEX('Data_Price '!AO$2:AO$1266,MATCH(Data!$DN565,'Data_Price '!$AT$2:$AT$1266,0))</f>
        <v/>
      </c>
      <c r="DG565">
        <f>INDEX('Data_Price '!AP$2:AP$1266,MATCH(Data!$DN565,'Data_Price '!$AT$2:$AT$1266,0))</f>
        <v/>
      </c>
      <c r="DH565">
        <f>INDEX('Data_Price '!AQ$2:AQ$1266,MATCH(Data!$DN565,'Data_Price '!$AT$2:$AT$1266,0))</f>
        <v/>
      </c>
      <c r="DI565">
        <f>INDEX('Data_Price '!AR$2:AR$1266,MATCH(Data!$DN565,'Data_Price '!$AT$2:$AT$1266,0))</f>
        <v/>
      </c>
      <c r="DJ565" s="138">
        <f>DA565</f>
        <v/>
      </c>
      <c r="DK565" s="138">
        <f>DE565</f>
        <v/>
      </c>
      <c r="DL565" s="138">
        <f>DI565</f>
        <v/>
      </c>
      <c r="DM565" s="303">
        <f>IF(LEFT(BT565,1)=" ",RIGHT(BT565,LEN(BT565)-1),BT565)</f>
        <v/>
      </c>
      <c r="DN565" s="138">
        <f>_xlfn.CONCAT(BS565,DM565,BU565,BV565)</f>
        <v/>
      </c>
      <c r="DO565" s="307" t="n"/>
    </row>
    <row r="566" ht="15.6" customHeight="1" s="184">
      <c r="B566" s="303">
        <f t="array" ref="B566">IF(OR(ISERROR(K566:P566)),FALSE,TRUE)</f>
        <v/>
      </c>
      <c r="C566" s="60">
        <f>OR(BR566=Driver!$G$50,Data!BR82=Driver!$H$50)</f>
        <v/>
      </c>
      <c r="D566" s="60">
        <f>OR(BV566=Driver!$G$51,BV566=Driver!$H$51)</f>
        <v/>
      </c>
      <c r="E566" s="60">
        <f>AND(BX566&gt;Driver!$F$54,BX566&lt;Driver!$G$54)</f>
        <v/>
      </c>
      <c r="F566" s="60">
        <f>CL566&gt;Driver!$F$56</f>
        <v/>
      </c>
      <c r="G566" s="60">
        <f>AND(CB566&gt;Driver!$F$55,CB566&lt;Driver!$G$55)</f>
        <v/>
      </c>
      <c r="H566" s="60">
        <f>AND(B566:G566)</f>
        <v/>
      </c>
      <c r="I566" s="60">
        <f>COUNTIFS($H$9:$H$1273,TRUE,$BT$9:$BT$1273,BT566)</f>
        <v/>
      </c>
      <c r="J566" s="60">
        <f t="array" ref="J566">NOT(OR(($H$9:$H$1273=TRUE)*($I$9:$I$1273&gt;0)*($BT$9:$BT$1273=BT566)*($K$9:$K$1273&gt;K566)))</f>
        <v/>
      </c>
      <c r="K566" s="108">
        <f>IFERROR(1-AVERAGE(X566:Y566),"")</f>
        <v/>
      </c>
      <c r="L566" s="108">
        <f>1-X566</f>
        <v/>
      </c>
      <c r="M566" s="108">
        <f>1-Y566</f>
        <v/>
      </c>
      <c r="N566" s="108">
        <f>1-Z566</f>
        <v/>
      </c>
      <c r="O566" s="108">
        <f>1-AA566</f>
        <v/>
      </c>
      <c r="P566" s="108">
        <f>1-AB566</f>
        <v/>
      </c>
      <c r="Q566" s="108" t="n"/>
      <c r="R566" s="108" t="n"/>
      <c r="S566" s="108">
        <f>1-AE566</f>
        <v/>
      </c>
      <c r="T566" s="108">
        <f>1-AF566</f>
        <v/>
      </c>
      <c r="U566" s="108">
        <f>1-AG566</f>
        <v/>
      </c>
      <c r="V566" s="108">
        <f>1-AH566</f>
        <v/>
      </c>
      <c r="W566" s="108">
        <f>1-AI566</f>
        <v/>
      </c>
      <c r="X566" s="108">
        <f>ABS(AJ566-AJ$1)</f>
        <v/>
      </c>
      <c r="Y566" s="108">
        <f>AVERAGE(Z566:AB566)</f>
        <v/>
      </c>
      <c r="Z566" s="108">
        <f>ABS(AL566-AL$1)</f>
        <v/>
      </c>
      <c r="AA566" s="108">
        <f>ABS(AM566-AM$1)</f>
        <v/>
      </c>
      <c r="AB566" s="108">
        <f>ABS(AN566-AN$1)</f>
        <v/>
      </c>
      <c r="AC566" s="108" t="n"/>
      <c r="AD566" s="108" t="n"/>
      <c r="AE566" s="108">
        <f>ABS(AQ$1-AQ566)</f>
        <v/>
      </c>
      <c r="AF566" s="108">
        <f>ABS(AR$1-AR566)</f>
        <v/>
      </c>
      <c r="AG566" s="108">
        <f>ABS(AS$1-AS566)</f>
        <v/>
      </c>
      <c r="AH566" s="108">
        <f>ABS(AT$1-AT566)</f>
        <v/>
      </c>
      <c r="AI566" s="108">
        <f>ABS(AU$1-AU566)</f>
        <v/>
      </c>
      <c r="AJ566" s="108">
        <f>(AV566-Driver!$K$179)/(Driver!$L$179-Driver!$K$179)</f>
        <v/>
      </c>
      <c r="AK566" s="108">
        <f>(AW566-Driver!$K$180)/(Driver!$L$180-Driver!$K$180)</f>
        <v/>
      </c>
      <c r="AL566" s="108">
        <f>(AX566-Driver!$K$181)/(Driver!$L$181-Driver!$K$181)</f>
        <v/>
      </c>
      <c r="AM566" s="108">
        <f>(AY566-Driver!$K$182)/(Driver!$L$182-Driver!$K$182)</f>
        <v/>
      </c>
      <c r="AN566" s="108">
        <f>(AZ566-Driver!$K$183)/(Driver!$L$183-Driver!$K$183)</f>
        <v/>
      </c>
      <c r="AO566" s="108" t="n"/>
      <c r="AP566" s="108" t="n"/>
      <c r="AQ566" s="108">
        <f>(BC566-Driver!$K$188)/(Driver!$L$188-Driver!$K$188)</f>
        <v/>
      </c>
      <c r="AR566" s="108">
        <f>MIN((BD566-Driver!$K$189)/(Driver!$L$189-Driver!$K$189),100%)</f>
        <v/>
      </c>
      <c r="AS566" s="108">
        <f>(BE566-Driver!$K$190)/(Driver!$L$190-Driver!$K$190)</f>
        <v/>
      </c>
      <c r="AT566" s="108">
        <f>(BF566-Driver!$K$191)/(Driver!$L$191-Driver!$K$191)</f>
        <v/>
      </c>
      <c r="AU566" s="108">
        <f>(BG566-Driver!$K$192)/(Driver!$L$192-Driver!$K$192)</f>
        <v/>
      </c>
      <c r="AV566" s="105">
        <f>IFERROR(BM566*BJ566^1/4,"")</f>
        <v/>
      </c>
      <c r="AW566" s="105">
        <f>IFERROR(SUM(AX566:AZ566),"")</f>
        <v/>
      </c>
      <c r="AX566" s="105">
        <f>IFERROR(BH566,"")</f>
        <v/>
      </c>
      <c r="AY566" s="105">
        <f>IFERROR(Driver!$K$19/Data!BH566/Data!BI566*Data!BK566*Data!BL566,"")</f>
        <v/>
      </c>
      <c r="AZ566" s="105">
        <f>IFERROR(BI566*BN566,"")</f>
        <v/>
      </c>
      <c r="BA566" s="105" t="n"/>
      <c r="BB566" s="105" t="n"/>
      <c r="BC566" s="105">
        <f>IFERROR(BI566*BN566*BK566/BJ566^(1/2),"")</f>
        <v/>
      </c>
      <c r="BD566" s="105">
        <f>IFERROR(BH566*BM566*BL566/BJ566/BK566,"")</f>
        <v/>
      </c>
      <c r="BE566" s="105">
        <f>IFERROR(MIN(BI566/BQ566/BP566/BO566/BH566,$BE$1),"")</f>
        <v/>
      </c>
      <c r="BF566" s="105">
        <f>IFERROR(BJ566*BO566*BP566/BK566,"")</f>
        <v/>
      </c>
      <c r="BG566" s="105">
        <f>IFERROR(1/BM566/BH566*BQ566,"")</f>
        <v/>
      </c>
      <c r="BH566" s="102">
        <f>MAX((CE566-Driver!$F$200)/(Driver!$G$200-Driver!$F$200)*$BI$1,1)</f>
        <v/>
      </c>
      <c r="BI566" s="102">
        <f>MAX($BI$1*(BY566-Driver!$F$201)/(Driver!$G$201-Driver!$F$201),1)</f>
        <v/>
      </c>
      <c r="BJ566" s="102">
        <f>(CB566-Driver!$F$206)/(Driver!$G$206-Driver!$F$206)*$BI$1</f>
        <v/>
      </c>
      <c r="BK566" s="102">
        <f>(CD566-Driver!$F$203)/(Driver!$G$203-Driver!$F$203)*$BI$1</f>
        <v/>
      </c>
      <c r="BL566" s="102">
        <f>MAX((CR566-Driver!$F$202)/(Driver!$G$202-Driver!$F$202)*$BI$1,1)</f>
        <v/>
      </c>
      <c r="BM566" s="102">
        <f>MAX((CH566-Driver!$F$204)/(Driver!$G$204-Driver!$F$204)*$BI$1,1)</f>
        <v/>
      </c>
      <c r="BN566" s="102">
        <f>(CI566-Driver!$F$205)/(Driver!$G$205-Driver!$F$205)*$BI$1</f>
        <v/>
      </c>
      <c r="BO566" s="102">
        <f>(CK566-Driver!$F$207)/(Driver!$G$207-Driver!$F$207)*$BI$1</f>
        <v/>
      </c>
      <c r="BP566" s="102">
        <f>(CM566-Driver!$F$208)/(Driver!$G$208-Driver!$F$208)*$BI$1</f>
        <v/>
      </c>
      <c r="BQ566" s="102">
        <f>(CL566-Driver!$F$209)/(Driver!$G$209-Driver!$F$209)*$BI$1</f>
        <v/>
      </c>
      <c r="BR566" s="40" t="inlineStr">
        <is>
          <t>21/22</t>
        </is>
      </c>
      <c r="BS566" s="10" t="inlineStr">
        <is>
          <t xml:space="preserve"> Armada</t>
        </is>
      </c>
      <c r="BT566" s="11" t="inlineStr">
        <is>
          <t>Reliance 102 Ti</t>
        </is>
      </c>
      <c r="BU566" s="13" t="n">
        <v>172</v>
      </c>
      <c r="BV566" s="11" t="inlineStr">
        <is>
          <t xml:space="preserve"> Women's</t>
        </is>
      </c>
      <c r="BW566" s="13" t="n">
        <v>172</v>
      </c>
      <c r="BX566" s="13" t="n">
        <v>171.4</v>
      </c>
      <c r="BY566" s="13" t="n">
        <v>127</v>
      </c>
      <c r="BZ566" s="13" t="n">
        <v>141</v>
      </c>
      <c r="CA566" s="13" t="n">
        <v>133</v>
      </c>
      <c r="CB566" s="13" t="n">
        <v>101</v>
      </c>
      <c r="CC566" s="13" t="n">
        <v>123</v>
      </c>
      <c r="CD566" s="13" t="n">
        <v>17.4</v>
      </c>
      <c r="CE566" s="13" t="n">
        <v>1873</v>
      </c>
      <c r="CF566" s="13" t="n">
        <v>1.02</v>
      </c>
      <c r="CG566" s="13" t="n">
        <v>1917</v>
      </c>
      <c r="CH566" s="13" t="n">
        <v>213</v>
      </c>
      <c r="CI566" s="13" t="n">
        <v>131</v>
      </c>
      <c r="CJ566" s="13" t="n">
        <v>52</v>
      </c>
      <c r="CK566" s="13" t="n">
        <v>285</v>
      </c>
      <c r="CL566" s="13" t="n">
        <v>17</v>
      </c>
      <c r="CM566" s="13" t="n">
        <v>161</v>
      </c>
      <c r="CN566" s="13" t="n">
        <v>0.336</v>
      </c>
      <c r="CO566" s="13" t="n">
        <v>181</v>
      </c>
      <c r="CP566" s="13" t="n">
        <v>127</v>
      </c>
      <c r="CQ566" s="13" t="n">
        <v>105</v>
      </c>
      <c r="CR566" s="13" t="n">
        <v>8</v>
      </c>
      <c r="CS566" s="13" t="n">
        <v>8.4</v>
      </c>
      <c r="CT566" s="11" t="inlineStr">
        <is>
          <t xml:space="preserve"> Resort Freeride</t>
        </is>
      </c>
      <c r="CU566" s="11" t="inlineStr">
        <is>
          <t xml:space="preserve"> Big Mountain</t>
        </is>
      </c>
      <c r="CV566" s="13" t="n"/>
      <c r="CW566" s="13" t="n"/>
      <c r="CX566">
        <f>INDEX('Data_Price '!AG$2:AG$1266,MATCH(Data!$DN566,'Data_Price '!$AT$2:$AT$1266,0))</f>
        <v/>
      </c>
      <c r="CY566">
        <f>INDEX('Data_Price '!AH$2:AH$1266,MATCH(Data!$DN566,'Data_Price '!$AT$2:$AT$1266,0))</f>
        <v/>
      </c>
      <c r="CZ566">
        <f>INDEX('Data_Price '!AI$2:AI$1266,MATCH(Data!$DN566,'Data_Price '!$AT$2:$AT$1266,0))</f>
        <v/>
      </c>
      <c r="DA566">
        <f>INDEX('Data_Price '!AJ$2:AJ$1266,MATCH(Data!$DN566,'Data_Price '!$AT$2:$AT$1266,0))</f>
        <v/>
      </c>
      <c r="DB566">
        <f>INDEX('Data_Price '!AK$2:AK$1266,MATCH(Data!$DN566,'Data_Price '!$AT$2:$AT$1266,0))</f>
        <v/>
      </c>
      <c r="DC566">
        <f>INDEX('Data_Price '!AL$2:AL$1266,MATCH(Data!$DN566,'Data_Price '!$AT$2:$AT$1266,0))</f>
        <v/>
      </c>
      <c r="DD566">
        <f>INDEX('Data_Price '!AM$2:AM$1266,MATCH(Data!$DN566,'Data_Price '!$AT$2:$AT$1266,0))</f>
        <v/>
      </c>
      <c r="DE566">
        <f>INDEX('Data_Price '!AN$2:AN$1266,MATCH(Data!$DN566,'Data_Price '!$AT$2:$AT$1266,0))</f>
        <v/>
      </c>
      <c r="DF566">
        <f>INDEX('Data_Price '!AO$2:AO$1266,MATCH(Data!$DN566,'Data_Price '!$AT$2:$AT$1266,0))</f>
        <v/>
      </c>
      <c r="DG566">
        <f>INDEX('Data_Price '!AP$2:AP$1266,MATCH(Data!$DN566,'Data_Price '!$AT$2:$AT$1266,0))</f>
        <v/>
      </c>
      <c r="DH566">
        <f>INDEX('Data_Price '!AQ$2:AQ$1266,MATCH(Data!$DN566,'Data_Price '!$AT$2:$AT$1266,0))</f>
        <v/>
      </c>
      <c r="DI566">
        <f>INDEX('Data_Price '!AR$2:AR$1266,MATCH(Data!$DN566,'Data_Price '!$AT$2:$AT$1266,0))</f>
        <v/>
      </c>
      <c r="DJ566" s="138">
        <f>DA566</f>
        <v/>
      </c>
      <c r="DK566" s="138">
        <f>DE566</f>
        <v/>
      </c>
      <c r="DL566" s="138">
        <f>DI566</f>
        <v/>
      </c>
      <c r="DM566" s="303">
        <f>IF(LEFT(BT566,1)=" ",RIGHT(BT566,LEN(BT566)-1),BT566)</f>
        <v/>
      </c>
      <c r="DN566" s="138">
        <f>_xlfn.CONCAT(BS566,DM566,BU566,BV566)</f>
        <v/>
      </c>
      <c r="DO566" s="307" t="inlineStr">
        <is>
          <t>https://images.evo.com/imgp/250/198723/839692/armada-reliance-102-ti-skis-women-s-2023-.jpg</t>
        </is>
      </c>
    </row>
    <row r="567" ht="15.6" customHeight="1" s="184">
      <c r="B567" s="303">
        <f t="array" ref="B567">IF(OR(ISERROR(K567:P567)),FALSE,TRUE)</f>
        <v/>
      </c>
      <c r="C567" s="60">
        <f>OR(BR567=Driver!$G$50,Data!BR747=Driver!$H$50)</f>
        <v/>
      </c>
      <c r="D567" s="60">
        <f>OR(BV567=Driver!$G$51,BV567=Driver!$H$51)</f>
        <v/>
      </c>
      <c r="E567" s="60">
        <f>AND(BX567&gt;Driver!$F$54,BX567&lt;Driver!$G$54)</f>
        <v/>
      </c>
      <c r="F567" s="60">
        <f>CL567&gt;Driver!$F$56</f>
        <v/>
      </c>
      <c r="G567" s="60">
        <f>AND(CB567&gt;Driver!$F$55,CB567&lt;Driver!$G$55)</f>
        <v/>
      </c>
      <c r="H567" s="60">
        <f>AND(B567:G567)</f>
        <v/>
      </c>
      <c r="I567" s="60">
        <f>COUNTIFS($H$9:$H$1273,TRUE,$BT$9:$BT$1273,BT567)</f>
        <v/>
      </c>
      <c r="J567" s="60">
        <f t="array" ref="J567">NOT(OR(($H$9:$H$1273=TRUE)*($I$9:$I$1273&gt;0)*($BT$9:$BT$1273=BT567)*($K$9:$K$1273&gt;K567)))</f>
        <v/>
      </c>
      <c r="K567" s="108">
        <f>IFERROR(1-AVERAGE(X567:Y567),"")</f>
        <v/>
      </c>
      <c r="L567" s="108">
        <f>1-X567</f>
        <v/>
      </c>
      <c r="M567" s="108">
        <f>1-Y567</f>
        <v/>
      </c>
      <c r="N567" s="108">
        <f>1-Z567</f>
        <v/>
      </c>
      <c r="O567" s="108">
        <f>1-AA567</f>
        <v/>
      </c>
      <c r="P567" s="108">
        <f>1-AB567</f>
        <v/>
      </c>
      <c r="Q567" s="108" t="n"/>
      <c r="R567" s="108" t="n"/>
      <c r="S567" s="108">
        <f>1-AE567</f>
        <v/>
      </c>
      <c r="T567" s="108">
        <f>1-AF567</f>
        <v/>
      </c>
      <c r="U567" s="108">
        <f>1-AG567</f>
        <v/>
      </c>
      <c r="V567" s="108">
        <f>1-AH567</f>
        <v/>
      </c>
      <c r="W567" s="108">
        <f>1-AI567</f>
        <v/>
      </c>
      <c r="X567" s="108">
        <f>ABS(AJ567-AJ$1)</f>
        <v/>
      </c>
      <c r="Y567" s="108">
        <f>AVERAGE(Z567:AB567)</f>
        <v/>
      </c>
      <c r="Z567" s="108">
        <f>ABS(AL567-AL$1)</f>
        <v/>
      </c>
      <c r="AA567" s="108">
        <f>ABS(AM567-AM$1)</f>
        <v/>
      </c>
      <c r="AB567" s="108">
        <f>ABS(AN567-AN$1)</f>
        <v/>
      </c>
      <c r="AC567" s="108" t="n"/>
      <c r="AD567" s="108" t="n"/>
      <c r="AE567" s="108">
        <f>ABS(AQ$1-AQ567)</f>
        <v/>
      </c>
      <c r="AF567" s="108">
        <f>ABS(AR$1-AR567)</f>
        <v/>
      </c>
      <c r="AG567" s="108">
        <f>ABS(AS$1-AS567)</f>
        <v/>
      </c>
      <c r="AH567" s="108">
        <f>ABS(AT$1-AT567)</f>
        <v/>
      </c>
      <c r="AI567" s="108">
        <f>ABS(AU$1-AU567)</f>
        <v/>
      </c>
      <c r="AJ567" s="108">
        <f>(AV567-Driver!$K$179)/(Driver!$L$179-Driver!$K$179)</f>
        <v/>
      </c>
      <c r="AK567" s="108">
        <f>(AW567-Driver!$K$180)/(Driver!$L$180-Driver!$K$180)</f>
        <v/>
      </c>
      <c r="AL567" s="108">
        <f>(AX567-Driver!$K$181)/(Driver!$L$181-Driver!$K$181)</f>
        <v/>
      </c>
      <c r="AM567" s="108">
        <f>(AY567-Driver!$K$182)/(Driver!$L$182-Driver!$K$182)</f>
        <v/>
      </c>
      <c r="AN567" s="108">
        <f>(AZ567-Driver!$K$183)/(Driver!$L$183-Driver!$K$183)</f>
        <v/>
      </c>
      <c r="AO567" s="108" t="n"/>
      <c r="AP567" s="108" t="n"/>
      <c r="AQ567" s="108">
        <f>(BC567-Driver!$K$188)/(Driver!$L$188-Driver!$K$188)</f>
        <v/>
      </c>
      <c r="AR567" s="108">
        <f>MIN((BD567-Driver!$K$189)/(Driver!$L$189-Driver!$K$189),100%)</f>
        <v/>
      </c>
      <c r="AS567" s="108">
        <f>(BE567-Driver!$K$190)/(Driver!$L$190-Driver!$K$190)</f>
        <v/>
      </c>
      <c r="AT567" s="108">
        <f>(BF567-Driver!$K$191)/(Driver!$L$191-Driver!$K$191)</f>
        <v/>
      </c>
      <c r="AU567" s="108">
        <f>(BG567-Driver!$K$192)/(Driver!$L$192-Driver!$K$192)</f>
        <v/>
      </c>
      <c r="AV567" s="105">
        <f>IFERROR(BM567*BJ567^1/4,"")</f>
        <v/>
      </c>
      <c r="AW567" s="105">
        <f>IFERROR(SUM(AX567:AZ567),"")</f>
        <v/>
      </c>
      <c r="AX567" s="105">
        <f>IFERROR(BH567,"")</f>
        <v/>
      </c>
      <c r="AY567" s="105">
        <f>IFERROR(Driver!$K$19/Data!BH567/Data!BI567*Data!BK567*Data!BL567,"")</f>
        <v/>
      </c>
      <c r="AZ567" s="105">
        <f>IFERROR(BI567*BN567,"")</f>
        <v/>
      </c>
      <c r="BA567" s="105" t="n"/>
      <c r="BB567" s="105" t="n"/>
      <c r="BC567" s="105">
        <f>IFERROR(BI567*BN567*BK567/BJ567^(1/2),"")</f>
        <v/>
      </c>
      <c r="BD567" s="105">
        <f>IFERROR(BH567*BM567*BL567/BJ567/BK567,"")</f>
        <v/>
      </c>
      <c r="BE567" s="105">
        <f>IFERROR(MIN(BI567/BQ567/BP567/BO567/BH567,$BE$1),"")</f>
        <v/>
      </c>
      <c r="BF567" s="105">
        <f>IFERROR(BJ567*BO567*BP567/BK567,"")</f>
        <v/>
      </c>
      <c r="BG567" s="105">
        <f>IFERROR(1/BM567/BH567*BQ567,"")</f>
        <v/>
      </c>
      <c r="BH567" s="102">
        <f>MAX((CE567-Driver!$F$200)/(Driver!$G$200-Driver!$F$200)*$BI$1,1)</f>
        <v/>
      </c>
      <c r="BI567" s="102">
        <f>MAX($BI$1*(BY567-Driver!$F$201)/(Driver!$G$201-Driver!$F$201),1)</f>
        <v/>
      </c>
      <c r="BJ567" s="102">
        <f>(CB567-Driver!$F$206)/(Driver!$G$206-Driver!$F$206)*$BI$1</f>
        <v/>
      </c>
      <c r="BK567" s="102">
        <f>(CD567-Driver!$F$203)/(Driver!$G$203-Driver!$F$203)*$BI$1</f>
        <v/>
      </c>
      <c r="BL567" s="102">
        <f>MAX((CR567-Driver!$F$202)/(Driver!$G$202-Driver!$F$202)*$BI$1,1)</f>
        <v/>
      </c>
      <c r="BM567" s="102">
        <f>MAX((CH567-Driver!$F$204)/(Driver!$G$204-Driver!$F$204)*$BI$1,1)</f>
        <v/>
      </c>
      <c r="BN567" s="102">
        <f>(CI567-Driver!$F$205)/(Driver!$G$205-Driver!$F$205)*$BI$1</f>
        <v/>
      </c>
      <c r="BO567" s="102">
        <f>(CK567-Driver!$F$207)/(Driver!$G$207-Driver!$F$207)*$BI$1</f>
        <v/>
      </c>
      <c r="BP567" s="102">
        <f>(CM567-Driver!$F$208)/(Driver!$G$208-Driver!$F$208)*$BI$1</f>
        <v/>
      </c>
      <c r="BQ567" s="102">
        <f>(CL567-Driver!$F$209)/(Driver!$G$209-Driver!$F$209)*$BI$1</f>
        <v/>
      </c>
      <c r="BR567" s="40" t="inlineStr">
        <is>
          <t>21/22</t>
        </is>
      </c>
      <c r="BS567" s="10" t="inlineStr">
        <is>
          <t xml:space="preserve"> K2</t>
        </is>
      </c>
      <c r="BT567" s="11" t="inlineStr">
        <is>
          <t>Mindbender 98 Ti Alliance</t>
        </is>
      </c>
      <c r="BU567" s="13" t="n">
        <v>154</v>
      </c>
      <c r="BV567" s="11" t="inlineStr">
        <is>
          <t xml:space="preserve"> Women's</t>
        </is>
      </c>
      <c r="BW567" s="13" t="n">
        <v>154</v>
      </c>
      <c r="BX567" s="13" t="n">
        <v>154.1</v>
      </c>
      <c r="BY567" s="13" t="n">
        <v>108</v>
      </c>
      <c r="BZ567" s="13" t="n">
        <v>126</v>
      </c>
      <c r="CA567" s="13" t="n">
        <v>133</v>
      </c>
      <c r="CB567" s="13" t="n">
        <v>98</v>
      </c>
      <c r="CC567" s="13" t="n">
        <v>119</v>
      </c>
      <c r="CD567" s="13" t="n">
        <v>13.1</v>
      </c>
      <c r="CE567" s="13" t="n">
        <v>1594</v>
      </c>
      <c r="CF567" s="13" t="n">
        <v>1.06</v>
      </c>
      <c r="CG567" s="13" t="n">
        <v>1683</v>
      </c>
      <c r="CH567" s="13" t="n">
        <v>117</v>
      </c>
      <c r="CI567" s="13" t="n">
        <v>84</v>
      </c>
      <c r="CJ567" s="13" t="n">
        <v>44</v>
      </c>
      <c r="CK567" s="13" t="n">
        <v>296</v>
      </c>
      <c r="CL567" s="13" t="n">
        <v>14</v>
      </c>
      <c r="CM567" s="13" t="n">
        <v>168</v>
      </c>
      <c r="CN567" s="13" t="n">
        <v>0.324</v>
      </c>
      <c r="CO567" s="13" t="n">
        <v>157</v>
      </c>
      <c r="CP567" s="13" t="n">
        <v>122</v>
      </c>
      <c r="CQ567" s="13" t="n">
        <v>138</v>
      </c>
      <c r="CR567" s="13" t="n">
        <v>7</v>
      </c>
      <c r="CS567" s="13" t="n">
        <v>9.800000000000001</v>
      </c>
      <c r="CT567" s="11" t="inlineStr">
        <is>
          <t xml:space="preserve"> Resort Freeride</t>
        </is>
      </c>
      <c r="CU567" s="11" t="inlineStr">
        <is>
          <t xml:space="preserve"> Touring</t>
        </is>
      </c>
      <c r="CV567" s="13" t="n"/>
      <c r="CW567" s="13" t="n"/>
      <c r="CX567">
        <f>INDEX('Data_Price '!AG$2:AG$1266,MATCH(Data!$DN567,'Data_Price '!$AT$2:$AT$1266,0))</f>
        <v/>
      </c>
      <c r="CY567">
        <f>INDEX('Data_Price '!AH$2:AH$1266,MATCH(Data!$DN567,'Data_Price '!$AT$2:$AT$1266,0))</f>
        <v/>
      </c>
      <c r="CZ567">
        <f>INDEX('Data_Price '!AI$2:AI$1266,MATCH(Data!$DN567,'Data_Price '!$AT$2:$AT$1266,0))</f>
        <v/>
      </c>
      <c r="DA567">
        <f>INDEX('Data_Price '!AJ$2:AJ$1266,MATCH(Data!$DN567,'Data_Price '!$AT$2:$AT$1266,0))</f>
        <v/>
      </c>
      <c r="DB567">
        <f>INDEX('Data_Price '!AK$2:AK$1266,MATCH(Data!$DN567,'Data_Price '!$AT$2:$AT$1266,0))</f>
        <v/>
      </c>
      <c r="DC567">
        <f>INDEX('Data_Price '!AL$2:AL$1266,MATCH(Data!$DN567,'Data_Price '!$AT$2:$AT$1266,0))</f>
        <v/>
      </c>
      <c r="DD567">
        <f>INDEX('Data_Price '!AM$2:AM$1266,MATCH(Data!$DN567,'Data_Price '!$AT$2:$AT$1266,0))</f>
        <v/>
      </c>
      <c r="DE567">
        <f>INDEX('Data_Price '!AN$2:AN$1266,MATCH(Data!$DN567,'Data_Price '!$AT$2:$AT$1266,0))</f>
        <v/>
      </c>
      <c r="DF567">
        <f>INDEX('Data_Price '!AO$2:AO$1266,MATCH(Data!$DN567,'Data_Price '!$AT$2:$AT$1266,0))</f>
        <v/>
      </c>
      <c r="DG567">
        <f>INDEX('Data_Price '!AP$2:AP$1266,MATCH(Data!$DN567,'Data_Price '!$AT$2:$AT$1266,0))</f>
        <v/>
      </c>
      <c r="DH567">
        <f>INDEX('Data_Price '!AQ$2:AQ$1266,MATCH(Data!$DN567,'Data_Price '!$AT$2:$AT$1266,0))</f>
        <v/>
      </c>
      <c r="DI567">
        <f>INDEX('Data_Price '!AR$2:AR$1266,MATCH(Data!$DN567,'Data_Price '!$AT$2:$AT$1266,0))</f>
        <v/>
      </c>
      <c r="DJ567" s="138">
        <f>DA567</f>
        <v/>
      </c>
      <c r="DK567" s="138">
        <f>DE567</f>
        <v/>
      </c>
      <c r="DL567" s="138">
        <f>DI567</f>
        <v/>
      </c>
      <c r="DM567" s="303">
        <f>IF(LEFT(BT567,1)=" ",RIGHT(BT567,LEN(BT567)-1),BT567)</f>
        <v/>
      </c>
      <c r="DN567" s="138">
        <f>_xlfn.CONCAT(BS567,DM567,BU567,BV567)</f>
        <v/>
      </c>
      <c r="DO567" s="307" t="n"/>
    </row>
    <row r="568" ht="15.6" customHeight="1" s="184">
      <c r="B568" s="303">
        <f t="array" ref="B568">IF(OR(ISERROR(K568:P568)),FALSE,TRUE)</f>
        <v/>
      </c>
      <c r="C568" s="60">
        <f>OR(BR568=Driver!$G$50,Data!BR285=Driver!$H$50)</f>
        <v/>
      </c>
      <c r="D568" s="60">
        <f>OR(BV568=Driver!$G$51,BV568=Driver!$H$51)</f>
        <v/>
      </c>
      <c r="E568" s="60">
        <f>AND(BX568&gt;Driver!$F$54,BX568&lt;Driver!$G$54)</f>
        <v/>
      </c>
      <c r="F568" s="60">
        <f>CL568&gt;Driver!$F$56</f>
        <v/>
      </c>
      <c r="G568" s="60">
        <f>AND(CB568&gt;Driver!$F$55,CB568&lt;Driver!$G$55)</f>
        <v/>
      </c>
      <c r="H568" s="60">
        <f>AND(B568:G568)</f>
        <v/>
      </c>
      <c r="I568" s="60">
        <f>COUNTIFS($H$9:$H$1273,TRUE,$BT$9:$BT$1273,BT568)</f>
        <v/>
      </c>
      <c r="J568" s="60">
        <f t="array" ref="J568">NOT(OR(($H$9:$H$1273=TRUE)*($I$9:$I$1273&gt;0)*($BT$9:$BT$1273=BT568)*($K$9:$K$1273&gt;K568)))</f>
        <v/>
      </c>
      <c r="K568" s="108">
        <f>IFERROR(1-AVERAGE(X568:Y568),"")</f>
        <v/>
      </c>
      <c r="L568" s="108">
        <f>1-X568</f>
        <v/>
      </c>
      <c r="M568" s="108">
        <f>1-Y568</f>
        <v/>
      </c>
      <c r="N568" s="108">
        <f>1-Z568</f>
        <v/>
      </c>
      <c r="O568" s="108">
        <f>1-AA568</f>
        <v/>
      </c>
      <c r="P568" s="108">
        <f>1-AB568</f>
        <v/>
      </c>
      <c r="Q568" s="108" t="n"/>
      <c r="R568" s="108" t="n"/>
      <c r="S568" s="108">
        <f>1-AE568</f>
        <v/>
      </c>
      <c r="T568" s="108">
        <f>1-AF568</f>
        <v/>
      </c>
      <c r="U568" s="108">
        <f>1-AG568</f>
        <v/>
      </c>
      <c r="V568" s="108">
        <f>1-AH568</f>
        <v/>
      </c>
      <c r="W568" s="108">
        <f>1-AI568</f>
        <v/>
      </c>
      <c r="X568" s="108">
        <f>ABS(AJ568-AJ$1)</f>
        <v/>
      </c>
      <c r="Y568" s="108">
        <f>AVERAGE(Z568:AB568)</f>
        <v/>
      </c>
      <c r="Z568" s="108">
        <f>ABS(AL568-AL$1)</f>
        <v/>
      </c>
      <c r="AA568" s="108">
        <f>ABS(AM568-AM$1)</f>
        <v/>
      </c>
      <c r="AB568" s="108">
        <f>ABS(AN568-AN$1)</f>
        <v/>
      </c>
      <c r="AC568" s="108" t="n"/>
      <c r="AD568" s="108" t="n"/>
      <c r="AE568" s="108">
        <f>ABS(AQ$1-AQ568)</f>
        <v/>
      </c>
      <c r="AF568" s="108">
        <f>ABS(AR$1-AR568)</f>
        <v/>
      </c>
      <c r="AG568" s="108">
        <f>ABS(AS$1-AS568)</f>
        <v/>
      </c>
      <c r="AH568" s="108">
        <f>ABS(AT$1-AT568)</f>
        <v/>
      </c>
      <c r="AI568" s="108">
        <f>ABS(AU$1-AU568)</f>
        <v/>
      </c>
      <c r="AJ568" s="108">
        <f>(AV568-Driver!$K$179)/(Driver!$L$179-Driver!$K$179)</f>
        <v/>
      </c>
      <c r="AK568" s="108">
        <f>(AW568-Driver!$K$180)/(Driver!$L$180-Driver!$K$180)</f>
        <v/>
      </c>
      <c r="AL568" s="108">
        <f>(AX568-Driver!$K$181)/(Driver!$L$181-Driver!$K$181)</f>
        <v/>
      </c>
      <c r="AM568" s="108">
        <f>(AY568-Driver!$K$182)/(Driver!$L$182-Driver!$K$182)</f>
        <v/>
      </c>
      <c r="AN568" s="108">
        <f>(AZ568-Driver!$K$183)/(Driver!$L$183-Driver!$K$183)</f>
        <v/>
      </c>
      <c r="AO568" s="108" t="n"/>
      <c r="AP568" s="108" t="n"/>
      <c r="AQ568" s="108">
        <f>(BC568-Driver!$K$188)/(Driver!$L$188-Driver!$K$188)</f>
        <v/>
      </c>
      <c r="AR568" s="108">
        <f>MIN((BD568-Driver!$K$189)/(Driver!$L$189-Driver!$K$189),100%)</f>
        <v/>
      </c>
      <c r="AS568" s="108">
        <f>(BE568-Driver!$K$190)/(Driver!$L$190-Driver!$K$190)</f>
        <v/>
      </c>
      <c r="AT568" s="108">
        <f>(BF568-Driver!$K$191)/(Driver!$L$191-Driver!$K$191)</f>
        <v/>
      </c>
      <c r="AU568" s="108">
        <f>(BG568-Driver!$K$192)/(Driver!$L$192-Driver!$K$192)</f>
        <v/>
      </c>
      <c r="AV568" s="105">
        <f>IFERROR(BM568*BJ568^1/4,"")</f>
        <v/>
      </c>
      <c r="AW568" s="105">
        <f>IFERROR(SUM(AX568:AZ568),"")</f>
        <v/>
      </c>
      <c r="AX568" s="105">
        <f>IFERROR(BH568,"")</f>
        <v/>
      </c>
      <c r="AY568" s="105">
        <f>IFERROR(Driver!$K$19/Data!BH568/Data!BI568*Data!BK568*Data!BL568,"")</f>
        <v/>
      </c>
      <c r="AZ568" s="105">
        <f>IFERROR(BI568*BN568,"")</f>
        <v/>
      </c>
      <c r="BA568" s="105" t="n"/>
      <c r="BB568" s="105" t="n"/>
      <c r="BC568" s="105">
        <f>IFERROR(BI568*BN568*BK568/BJ568^(1/2),"")</f>
        <v/>
      </c>
      <c r="BD568" s="105">
        <f>IFERROR(BH568*BM568*BL568/BJ568/BK568,"")</f>
        <v/>
      </c>
      <c r="BE568" s="105">
        <f>IFERROR(MIN(BI568/BQ568/BP568/BO568/BH568,$BE$1),"")</f>
        <v/>
      </c>
      <c r="BF568" s="105">
        <f>IFERROR(BJ568*BO568*BP568/BK568,"")</f>
        <v/>
      </c>
      <c r="BG568" s="105">
        <f>IFERROR(1/BM568/BH568*BQ568,"")</f>
        <v/>
      </c>
      <c r="BH568" s="102">
        <f>MAX((CE568-Driver!$F$200)/(Driver!$G$200-Driver!$F$200)*$BI$1,1)</f>
        <v/>
      </c>
      <c r="BI568" s="102">
        <f>MAX($BI$1*(BY568-Driver!$F$201)/(Driver!$G$201-Driver!$F$201),1)</f>
        <v/>
      </c>
      <c r="BJ568" s="102">
        <f>(CB568-Driver!$F$206)/(Driver!$G$206-Driver!$F$206)*$BI$1</f>
        <v/>
      </c>
      <c r="BK568" s="102">
        <f>(CD568-Driver!$F$203)/(Driver!$G$203-Driver!$F$203)*$BI$1</f>
        <v/>
      </c>
      <c r="BL568" s="102">
        <f>MAX((CR568-Driver!$F$202)/(Driver!$G$202-Driver!$F$202)*$BI$1,1)</f>
        <v/>
      </c>
      <c r="BM568" s="102">
        <f>MAX((CH568-Driver!$F$204)/(Driver!$G$204-Driver!$F$204)*$BI$1,1)</f>
        <v/>
      </c>
      <c r="BN568" s="102">
        <f>(CI568-Driver!$F$205)/(Driver!$G$205-Driver!$F$205)*$BI$1</f>
        <v/>
      </c>
      <c r="BO568" s="102">
        <f>(CK568-Driver!$F$207)/(Driver!$G$207-Driver!$F$207)*$BI$1</f>
        <v/>
      </c>
      <c r="BP568" s="102">
        <f>(CM568-Driver!$F$208)/(Driver!$G$208-Driver!$F$208)*$BI$1</f>
        <v/>
      </c>
      <c r="BQ568" s="102">
        <f>(CL568-Driver!$F$209)/(Driver!$G$209-Driver!$F$209)*$BI$1</f>
        <v/>
      </c>
      <c r="BR568" s="40" t="inlineStr">
        <is>
          <t>21/22</t>
        </is>
      </c>
      <c r="BS568" s="10" t="inlineStr">
        <is>
          <t xml:space="preserve"> Blizzard</t>
        </is>
      </c>
      <c r="BT568" s="11" t="inlineStr">
        <is>
          <t>Phoenix S R13 Ti</t>
        </is>
      </c>
      <c r="BU568" s="13" t="n">
        <v>156</v>
      </c>
      <c r="BV568" s="11" t="inlineStr">
        <is>
          <t xml:space="preserve"> Women's</t>
        </is>
      </c>
      <c r="BW568" s="13" t="n">
        <v>156</v>
      </c>
      <c r="BX568" s="13" t="n">
        <v>154.2</v>
      </c>
      <c r="BY568" s="13" t="n">
        <v>130</v>
      </c>
      <c r="BZ568" s="13" t="n">
        <v>142</v>
      </c>
      <c r="CA568" s="13" t="n">
        <v>116</v>
      </c>
      <c r="CB568" s="13" t="n">
        <v>71</v>
      </c>
      <c r="CC568" s="13" t="n">
        <v>99</v>
      </c>
      <c r="CD568" s="13" t="n">
        <v>13.8</v>
      </c>
      <c r="CE568" s="13" t="n">
        <v>1682</v>
      </c>
      <c r="CF568" s="13" t="n">
        <v>0.78</v>
      </c>
      <c r="CG568" s="13" t="n">
        <v>1304</v>
      </c>
      <c r="CH568" s="13" t="n">
        <v>180</v>
      </c>
      <c r="CI568" s="13" t="n">
        <v>78</v>
      </c>
      <c r="CJ568" s="13" t="n">
        <v>42</v>
      </c>
      <c r="CK568" s="13" t="n">
        <v>168</v>
      </c>
      <c r="CL568" s="13" t="n">
        <v>8</v>
      </c>
      <c r="CM568" s="13" t="n">
        <v>70</v>
      </c>
      <c r="CN568" s="13" t="n">
        <v>0.197</v>
      </c>
      <c r="CO568" s="13" t="n">
        <v>67</v>
      </c>
      <c r="CP568" s="13" t="n">
        <v>52</v>
      </c>
      <c r="CQ568" s="13" t="n">
        <v>101</v>
      </c>
      <c r="CR568" s="13" t="n">
        <v>5</v>
      </c>
      <c r="CS568" s="13" t="n">
        <v>10.1</v>
      </c>
      <c r="CT568" s="11" t="inlineStr">
        <is>
          <t xml:space="preserve"> On-Piste Carving</t>
        </is>
      </c>
      <c r="CU568" s="13" t="n"/>
      <c r="CV568" s="13" t="n"/>
      <c r="CW568" s="13" t="n"/>
      <c r="CX568">
        <f>INDEX('Data_Price '!AG$2:AG$1266,MATCH(Data!$DN568,'Data_Price '!$AT$2:$AT$1266,0))</f>
        <v/>
      </c>
      <c r="CY568">
        <f>INDEX('Data_Price '!AH$2:AH$1266,MATCH(Data!$DN568,'Data_Price '!$AT$2:$AT$1266,0))</f>
        <v/>
      </c>
      <c r="CZ568">
        <f>INDEX('Data_Price '!AI$2:AI$1266,MATCH(Data!$DN568,'Data_Price '!$AT$2:$AT$1266,0))</f>
        <v/>
      </c>
      <c r="DA568">
        <f>INDEX('Data_Price '!AJ$2:AJ$1266,MATCH(Data!$DN568,'Data_Price '!$AT$2:$AT$1266,0))</f>
        <v/>
      </c>
      <c r="DB568">
        <f>INDEX('Data_Price '!AK$2:AK$1266,MATCH(Data!$DN568,'Data_Price '!$AT$2:$AT$1266,0))</f>
        <v/>
      </c>
      <c r="DC568">
        <f>INDEX('Data_Price '!AL$2:AL$1266,MATCH(Data!$DN568,'Data_Price '!$AT$2:$AT$1266,0))</f>
        <v/>
      </c>
      <c r="DD568">
        <f>INDEX('Data_Price '!AM$2:AM$1266,MATCH(Data!$DN568,'Data_Price '!$AT$2:$AT$1266,0))</f>
        <v/>
      </c>
      <c r="DE568">
        <f>INDEX('Data_Price '!AN$2:AN$1266,MATCH(Data!$DN568,'Data_Price '!$AT$2:$AT$1266,0))</f>
        <v/>
      </c>
      <c r="DF568">
        <f>INDEX('Data_Price '!AO$2:AO$1266,MATCH(Data!$DN568,'Data_Price '!$AT$2:$AT$1266,0))</f>
        <v/>
      </c>
      <c r="DG568">
        <f>INDEX('Data_Price '!AP$2:AP$1266,MATCH(Data!$DN568,'Data_Price '!$AT$2:$AT$1266,0))</f>
        <v/>
      </c>
      <c r="DH568">
        <f>INDEX('Data_Price '!AQ$2:AQ$1266,MATCH(Data!$DN568,'Data_Price '!$AT$2:$AT$1266,0))</f>
        <v/>
      </c>
      <c r="DI568">
        <f>INDEX('Data_Price '!AR$2:AR$1266,MATCH(Data!$DN568,'Data_Price '!$AT$2:$AT$1266,0))</f>
        <v/>
      </c>
      <c r="DJ568" s="138">
        <f>DA568</f>
        <v/>
      </c>
      <c r="DK568" s="138">
        <f>DE568</f>
        <v/>
      </c>
      <c r="DL568" s="138">
        <f>DI568</f>
        <v/>
      </c>
      <c r="DM568" s="303">
        <f>IF(LEFT(BT568,1)=" ",RIGHT(BT568,LEN(BT568)-1),BT568)</f>
        <v/>
      </c>
      <c r="DN568" s="138">
        <f>_xlfn.CONCAT(BS568,DM568,BU568,BV568)</f>
        <v/>
      </c>
      <c r="DO568" s="307" t="n"/>
    </row>
    <row r="569" ht="15.6" customHeight="1" s="184">
      <c r="B569" s="303">
        <f t="array" ref="B569">IF(OR(ISERROR(K569:P569)),FALSE,TRUE)</f>
        <v/>
      </c>
      <c r="C569" s="60">
        <f>OR(BR569=Driver!$G$50,Data!BR857=Driver!$H$50)</f>
        <v/>
      </c>
      <c r="D569" s="60">
        <f>OR(BV569=Driver!$G$51,BV569=Driver!$H$51)</f>
        <v/>
      </c>
      <c r="E569" s="60">
        <f>AND(BX569&gt;Driver!$F$54,BX569&lt;Driver!$G$54)</f>
        <v/>
      </c>
      <c r="F569" s="60">
        <f>CL569&gt;Driver!$F$56</f>
        <v/>
      </c>
      <c r="G569" s="60">
        <f>AND(CB569&gt;Driver!$F$55,CB569&lt;Driver!$G$55)</f>
        <v/>
      </c>
      <c r="H569" s="60">
        <f>AND(B569:G569)</f>
        <v/>
      </c>
      <c r="I569" s="60">
        <f>COUNTIFS($H$9:$H$1273,TRUE,$BT$9:$BT$1273,BT569)</f>
        <v/>
      </c>
      <c r="J569" s="60">
        <f t="array" ref="J569">NOT(OR(($H$9:$H$1273=TRUE)*($I$9:$I$1273&gt;0)*($BT$9:$BT$1273=BT569)*($K$9:$K$1273&gt;K569)))</f>
        <v/>
      </c>
      <c r="K569" s="108">
        <f>IFERROR(1-AVERAGE(X569:Y569),"")</f>
        <v/>
      </c>
      <c r="L569" s="108">
        <f>1-X569</f>
        <v/>
      </c>
      <c r="M569" s="108">
        <f>1-Y569</f>
        <v/>
      </c>
      <c r="N569" s="108">
        <f>1-Z569</f>
        <v/>
      </c>
      <c r="O569" s="108">
        <f>1-AA569</f>
        <v/>
      </c>
      <c r="P569" s="108">
        <f>1-AB569</f>
        <v/>
      </c>
      <c r="Q569" s="108" t="n"/>
      <c r="R569" s="108" t="n"/>
      <c r="S569" s="108">
        <f>1-AE569</f>
        <v/>
      </c>
      <c r="T569" s="108">
        <f>1-AF569</f>
        <v/>
      </c>
      <c r="U569" s="108">
        <f>1-AG569</f>
        <v/>
      </c>
      <c r="V569" s="108">
        <f>1-AH569</f>
        <v/>
      </c>
      <c r="W569" s="108">
        <f>1-AI569</f>
        <v/>
      </c>
      <c r="X569" s="108">
        <f>ABS(AJ569-AJ$1)</f>
        <v/>
      </c>
      <c r="Y569" s="108">
        <f>AVERAGE(Z569:AB569)</f>
        <v/>
      </c>
      <c r="Z569" s="108">
        <f>ABS(AL569-AL$1)</f>
        <v/>
      </c>
      <c r="AA569" s="108">
        <f>ABS(AM569-AM$1)</f>
        <v/>
      </c>
      <c r="AB569" s="108">
        <f>ABS(AN569-AN$1)</f>
        <v/>
      </c>
      <c r="AC569" s="108" t="n"/>
      <c r="AD569" s="108" t="n"/>
      <c r="AE569" s="108">
        <f>ABS(AQ$1-AQ569)</f>
        <v/>
      </c>
      <c r="AF569" s="108">
        <f>ABS(AR$1-AR569)</f>
        <v/>
      </c>
      <c r="AG569" s="108">
        <f>ABS(AS$1-AS569)</f>
        <v/>
      </c>
      <c r="AH569" s="108">
        <f>ABS(AT$1-AT569)</f>
        <v/>
      </c>
      <c r="AI569" s="108">
        <f>ABS(AU$1-AU569)</f>
        <v/>
      </c>
      <c r="AJ569" s="108">
        <f>(AV569-Driver!$K$179)/(Driver!$L$179-Driver!$K$179)</f>
        <v/>
      </c>
      <c r="AK569" s="108">
        <f>(AW569-Driver!$K$180)/(Driver!$L$180-Driver!$K$180)</f>
        <v/>
      </c>
      <c r="AL569" s="108">
        <f>(AX569-Driver!$K$181)/(Driver!$L$181-Driver!$K$181)</f>
        <v/>
      </c>
      <c r="AM569" s="108">
        <f>(AY569-Driver!$K$182)/(Driver!$L$182-Driver!$K$182)</f>
        <v/>
      </c>
      <c r="AN569" s="108">
        <f>(AZ569-Driver!$K$183)/(Driver!$L$183-Driver!$K$183)</f>
        <v/>
      </c>
      <c r="AO569" s="108" t="n"/>
      <c r="AP569" s="108" t="n"/>
      <c r="AQ569" s="108">
        <f>(BC569-Driver!$K$188)/(Driver!$L$188-Driver!$K$188)</f>
        <v/>
      </c>
      <c r="AR569" s="108">
        <f>MIN((BD569-Driver!$K$189)/(Driver!$L$189-Driver!$K$189),100%)</f>
        <v/>
      </c>
      <c r="AS569" s="108">
        <f>(BE569-Driver!$K$190)/(Driver!$L$190-Driver!$K$190)</f>
        <v/>
      </c>
      <c r="AT569" s="108">
        <f>(BF569-Driver!$K$191)/(Driver!$L$191-Driver!$K$191)</f>
        <v/>
      </c>
      <c r="AU569" s="108">
        <f>(BG569-Driver!$K$192)/(Driver!$L$192-Driver!$K$192)</f>
        <v/>
      </c>
      <c r="AV569" s="105">
        <f>IFERROR(BM569*BJ569^1/4,"")</f>
        <v/>
      </c>
      <c r="AW569" s="105">
        <f>IFERROR(SUM(AX569:AZ569),"")</f>
        <v/>
      </c>
      <c r="AX569" s="105">
        <f>IFERROR(BH569,"")</f>
        <v/>
      </c>
      <c r="AY569" s="105">
        <f>IFERROR(Driver!$K$19/Data!BH569/Data!BI569*Data!BK569*Data!BL569,"")</f>
        <v/>
      </c>
      <c r="AZ569" s="105">
        <f>IFERROR(BI569*BN569,"")</f>
        <v/>
      </c>
      <c r="BA569" s="105" t="n"/>
      <c r="BB569" s="105" t="n"/>
      <c r="BC569" s="105">
        <f>IFERROR(BI569*BN569*BK569/BJ569^(1/2),"")</f>
        <v/>
      </c>
      <c r="BD569" s="105">
        <f>IFERROR(BH569*BM569*BL569/BJ569/BK569,"")</f>
        <v/>
      </c>
      <c r="BE569" s="105">
        <f>IFERROR(MIN(BI569/BQ569/BP569/BO569/BH569,$BE$1),"")</f>
        <v/>
      </c>
      <c r="BF569" s="105">
        <f>IFERROR(BJ569*BO569*BP569/BK569,"")</f>
        <v/>
      </c>
      <c r="BG569" s="105">
        <f>IFERROR(1/BM569/BH569*BQ569,"")</f>
        <v/>
      </c>
      <c r="BH569" s="102">
        <f>MAX((CE569-Driver!$F$200)/(Driver!$G$200-Driver!$F$200)*$BI$1,1)</f>
        <v/>
      </c>
      <c r="BI569" s="102">
        <f>MAX($BI$1*(BY569-Driver!$F$201)/(Driver!$G$201-Driver!$F$201),1)</f>
        <v/>
      </c>
      <c r="BJ569" s="102">
        <f>(CB569-Driver!$F$206)/(Driver!$G$206-Driver!$F$206)*$BI$1</f>
        <v/>
      </c>
      <c r="BK569" s="102">
        <f>(CD569-Driver!$F$203)/(Driver!$G$203-Driver!$F$203)*$BI$1</f>
        <v/>
      </c>
      <c r="BL569" s="102">
        <f>MAX((CR569-Driver!$F$202)/(Driver!$G$202-Driver!$F$202)*$BI$1,1)</f>
        <v/>
      </c>
      <c r="BM569" s="102">
        <f>MAX((CH569-Driver!$F$204)/(Driver!$G$204-Driver!$F$204)*$BI$1,1)</f>
        <v/>
      </c>
      <c r="BN569" s="102">
        <f>(CI569-Driver!$F$205)/(Driver!$G$205-Driver!$F$205)*$BI$1</f>
        <v/>
      </c>
      <c r="BO569" s="102">
        <f>(CK569-Driver!$F$207)/(Driver!$G$207-Driver!$F$207)*$BI$1</f>
        <v/>
      </c>
      <c r="BP569" s="102">
        <f>(CM569-Driver!$F$208)/(Driver!$G$208-Driver!$F$208)*$BI$1</f>
        <v/>
      </c>
      <c r="BQ569" s="102">
        <f>(CL569-Driver!$F$209)/(Driver!$G$209-Driver!$F$209)*$BI$1</f>
        <v/>
      </c>
      <c r="BR569" s="40" t="inlineStr">
        <is>
          <t>21/22</t>
        </is>
      </c>
      <c r="BS569" s="10" t="inlineStr">
        <is>
          <t xml:space="preserve"> Line</t>
        </is>
      </c>
      <c r="BT569" s="11" t="inlineStr">
        <is>
          <t xml:space="preserve"> Sakana</t>
        </is>
      </c>
      <c r="BU569" s="13" t="n">
        <v>166</v>
      </c>
      <c r="BV569" s="11" t="inlineStr">
        <is>
          <t xml:space="preserve"> Unisex</t>
        </is>
      </c>
      <c r="BW569" s="13" t="n">
        <v>166</v>
      </c>
      <c r="BX569" s="13" t="n">
        <v>166.2</v>
      </c>
      <c r="BY569" s="13" t="n">
        <v>114</v>
      </c>
      <c r="BZ569" s="13" t="n">
        <v>136</v>
      </c>
      <c r="CA569" s="13" t="n">
        <v>149</v>
      </c>
      <c r="CB569" s="13" t="n">
        <v>104</v>
      </c>
      <c r="CC569" s="13" t="n">
        <v>128</v>
      </c>
      <c r="CD569" s="13" t="n">
        <v>12.8</v>
      </c>
      <c r="CE569" s="13" t="n">
        <v>1650</v>
      </c>
      <c r="CF569" s="13" t="n">
        <v>1.17</v>
      </c>
      <c r="CG569" s="13" t="n">
        <v>1928</v>
      </c>
      <c r="CH569" s="13" t="n">
        <v>147</v>
      </c>
      <c r="CI569" s="13" t="n">
        <v>74</v>
      </c>
      <c r="CJ569" s="13" t="n">
        <v>48</v>
      </c>
      <c r="CK569" s="13" t="n">
        <v>383</v>
      </c>
      <c r="CL569" s="13" t="n">
        <v>0</v>
      </c>
      <c r="CM569" s="13" t="n">
        <v>139</v>
      </c>
      <c r="CN569" s="13" t="n">
        <v>0.008999999999999999</v>
      </c>
      <c r="CO569" s="13" t="n">
        <v>159</v>
      </c>
      <c r="CP569" s="13" t="n">
        <v>146</v>
      </c>
      <c r="CQ569" s="13" t="n">
        <v>223</v>
      </c>
      <c r="CR569" s="13" t="n">
        <v>6</v>
      </c>
      <c r="CS569" s="13" t="n">
        <v>10.4</v>
      </c>
      <c r="CT569" s="11" t="inlineStr">
        <is>
          <t xml:space="preserve"> Resort Freeride</t>
        </is>
      </c>
      <c r="CU569" s="11" t="inlineStr">
        <is>
          <t xml:space="preserve"> Big Mountain</t>
        </is>
      </c>
      <c r="CV569" s="11" t="inlineStr">
        <is>
          <t xml:space="preserve"> Touring</t>
        </is>
      </c>
      <c r="CW569" s="13" t="n"/>
      <c r="CX569">
        <f>INDEX('Data_Price '!AG$2:AG$1266,MATCH(Data!$DN569,'Data_Price '!$AT$2:$AT$1266,0))</f>
        <v/>
      </c>
      <c r="CY569">
        <f>INDEX('Data_Price '!AH$2:AH$1266,MATCH(Data!$DN569,'Data_Price '!$AT$2:$AT$1266,0))</f>
        <v/>
      </c>
      <c r="CZ569">
        <f>INDEX('Data_Price '!AI$2:AI$1266,MATCH(Data!$DN569,'Data_Price '!$AT$2:$AT$1266,0))</f>
        <v/>
      </c>
      <c r="DA569">
        <f>INDEX('Data_Price '!AJ$2:AJ$1266,MATCH(Data!$DN569,'Data_Price '!$AT$2:$AT$1266,0))</f>
        <v/>
      </c>
      <c r="DB569">
        <f>INDEX('Data_Price '!AK$2:AK$1266,MATCH(Data!$DN569,'Data_Price '!$AT$2:$AT$1266,0))</f>
        <v/>
      </c>
      <c r="DC569">
        <f>INDEX('Data_Price '!AL$2:AL$1266,MATCH(Data!$DN569,'Data_Price '!$AT$2:$AT$1266,0))</f>
        <v/>
      </c>
      <c r="DD569">
        <f>INDEX('Data_Price '!AM$2:AM$1266,MATCH(Data!$DN569,'Data_Price '!$AT$2:$AT$1266,0))</f>
        <v/>
      </c>
      <c r="DE569">
        <f>INDEX('Data_Price '!AN$2:AN$1266,MATCH(Data!$DN569,'Data_Price '!$AT$2:$AT$1266,0))</f>
        <v/>
      </c>
      <c r="DF569">
        <f>INDEX('Data_Price '!AO$2:AO$1266,MATCH(Data!$DN569,'Data_Price '!$AT$2:$AT$1266,0))</f>
        <v/>
      </c>
      <c r="DG569">
        <f>INDEX('Data_Price '!AP$2:AP$1266,MATCH(Data!$DN569,'Data_Price '!$AT$2:$AT$1266,0))</f>
        <v/>
      </c>
      <c r="DH569">
        <f>INDEX('Data_Price '!AQ$2:AQ$1266,MATCH(Data!$DN569,'Data_Price '!$AT$2:$AT$1266,0))</f>
        <v/>
      </c>
      <c r="DI569">
        <f>INDEX('Data_Price '!AR$2:AR$1266,MATCH(Data!$DN569,'Data_Price '!$AT$2:$AT$1266,0))</f>
        <v/>
      </c>
      <c r="DJ569" s="138">
        <f>DA569</f>
        <v/>
      </c>
      <c r="DK569" s="138">
        <f>DE569</f>
        <v/>
      </c>
      <c r="DL569" s="138">
        <f>DI569</f>
        <v/>
      </c>
      <c r="DM569" s="303">
        <f>IF(LEFT(BT569,1)=" ",RIGHT(BT569,LEN(BT569)-1),BT569)</f>
        <v/>
      </c>
      <c r="DN569" s="138">
        <f>_xlfn.CONCAT(BS569,DM569,BU569,BV569)</f>
        <v/>
      </c>
      <c r="DO569" s="307" t="inlineStr">
        <is>
          <t>https://images.evo.com/imgp/250/198434/817640/clone.jpg</t>
        </is>
      </c>
    </row>
    <row r="570" ht="15.6" customHeight="1" s="184">
      <c r="B570" s="303">
        <f t="array" ref="B570">IF(OR(ISERROR(K570:P570)),FALSE,TRUE)</f>
        <v/>
      </c>
      <c r="C570" s="60">
        <f>OR(BR570=Driver!$G$50,Data!BR146=Driver!$H$50)</f>
        <v/>
      </c>
      <c r="D570" s="60">
        <f>OR(BV570=Driver!$G$51,BV570=Driver!$H$51)</f>
        <v/>
      </c>
      <c r="E570" s="60">
        <f>AND(BX570&gt;Driver!$F$54,BX570&lt;Driver!$G$54)</f>
        <v/>
      </c>
      <c r="F570" s="60">
        <f>CL570&gt;Driver!$F$56</f>
        <v/>
      </c>
      <c r="G570" s="60">
        <f>AND(CB570&gt;Driver!$F$55,CB570&lt;Driver!$G$55)</f>
        <v/>
      </c>
      <c r="H570" s="60">
        <f>AND(B570:G570)</f>
        <v/>
      </c>
      <c r="I570" s="60">
        <f>COUNTIFS($H$9:$H$1273,TRUE,$BT$9:$BT$1273,BT570)</f>
        <v/>
      </c>
      <c r="J570" s="60">
        <f t="array" ref="J570">NOT(OR(($H$9:$H$1273=TRUE)*($I$9:$I$1273&gt;0)*($BT$9:$BT$1273=BT570)*($K$9:$K$1273&gt;K570)))</f>
        <v/>
      </c>
      <c r="K570" s="108">
        <f>IFERROR(1-AVERAGE(X570:Y570),"")</f>
        <v/>
      </c>
      <c r="L570" s="108">
        <f>1-X570</f>
        <v/>
      </c>
      <c r="M570" s="108">
        <f>1-Y570</f>
        <v/>
      </c>
      <c r="N570" s="108">
        <f>1-Z570</f>
        <v/>
      </c>
      <c r="O570" s="108">
        <f>1-AA570</f>
        <v/>
      </c>
      <c r="P570" s="108">
        <f>1-AB570</f>
        <v/>
      </c>
      <c r="Q570" s="108" t="n"/>
      <c r="R570" s="108" t="n"/>
      <c r="S570" s="108">
        <f>1-AE570</f>
        <v/>
      </c>
      <c r="T570" s="108">
        <f>1-AF570</f>
        <v/>
      </c>
      <c r="U570" s="108">
        <f>1-AG570</f>
        <v/>
      </c>
      <c r="V570" s="108">
        <f>1-AH570</f>
        <v/>
      </c>
      <c r="W570" s="108">
        <f>1-AI570</f>
        <v/>
      </c>
      <c r="X570" s="108">
        <f>ABS(AJ570-AJ$1)</f>
        <v/>
      </c>
      <c r="Y570" s="108">
        <f>AVERAGE(Z570:AB570)</f>
        <v/>
      </c>
      <c r="Z570" s="108">
        <f>ABS(AL570-AL$1)</f>
        <v/>
      </c>
      <c r="AA570" s="108">
        <f>ABS(AM570-AM$1)</f>
        <v/>
      </c>
      <c r="AB570" s="108">
        <f>ABS(AN570-AN$1)</f>
        <v/>
      </c>
      <c r="AC570" s="108" t="n"/>
      <c r="AD570" s="108" t="n"/>
      <c r="AE570" s="108">
        <f>ABS(AQ$1-AQ570)</f>
        <v/>
      </c>
      <c r="AF570" s="108">
        <f>ABS(AR$1-AR570)</f>
        <v/>
      </c>
      <c r="AG570" s="108">
        <f>ABS(AS$1-AS570)</f>
        <v/>
      </c>
      <c r="AH570" s="108">
        <f>ABS(AT$1-AT570)</f>
        <v/>
      </c>
      <c r="AI570" s="108">
        <f>ABS(AU$1-AU570)</f>
        <v/>
      </c>
      <c r="AJ570" s="108">
        <f>(AV570-Driver!$K$179)/(Driver!$L$179-Driver!$K$179)</f>
        <v/>
      </c>
      <c r="AK570" s="108">
        <f>(AW570-Driver!$K$180)/(Driver!$L$180-Driver!$K$180)</f>
        <v/>
      </c>
      <c r="AL570" s="108">
        <f>(AX570-Driver!$K$181)/(Driver!$L$181-Driver!$K$181)</f>
        <v/>
      </c>
      <c r="AM570" s="108">
        <f>(AY570-Driver!$K$182)/(Driver!$L$182-Driver!$K$182)</f>
        <v/>
      </c>
      <c r="AN570" s="108">
        <f>(AZ570-Driver!$K$183)/(Driver!$L$183-Driver!$K$183)</f>
        <v/>
      </c>
      <c r="AO570" s="108" t="n"/>
      <c r="AP570" s="108" t="n"/>
      <c r="AQ570" s="108">
        <f>(BC570-Driver!$K$188)/(Driver!$L$188-Driver!$K$188)</f>
        <v/>
      </c>
      <c r="AR570" s="108">
        <f>MIN((BD570-Driver!$K$189)/(Driver!$L$189-Driver!$K$189),100%)</f>
        <v/>
      </c>
      <c r="AS570" s="108">
        <f>(BE570-Driver!$K$190)/(Driver!$L$190-Driver!$K$190)</f>
        <v/>
      </c>
      <c r="AT570" s="108">
        <f>(BF570-Driver!$K$191)/(Driver!$L$191-Driver!$K$191)</f>
        <v/>
      </c>
      <c r="AU570" s="108">
        <f>(BG570-Driver!$K$192)/(Driver!$L$192-Driver!$K$192)</f>
        <v/>
      </c>
      <c r="AV570" s="105">
        <f>IFERROR(BM570*BJ570^1/4,"")</f>
        <v/>
      </c>
      <c r="AW570" s="105">
        <f>IFERROR(SUM(AX570:AZ570),"")</f>
        <v/>
      </c>
      <c r="AX570" s="105">
        <f>IFERROR(BH570,"")</f>
        <v/>
      </c>
      <c r="AY570" s="105">
        <f>IFERROR(Driver!$K$19/Data!BH570/Data!BI570*Data!BK570*Data!BL570,"")</f>
        <v/>
      </c>
      <c r="AZ570" s="105">
        <f>IFERROR(BI570*BN570,"")</f>
        <v/>
      </c>
      <c r="BA570" s="105" t="n"/>
      <c r="BB570" s="105" t="n"/>
      <c r="BC570" s="105">
        <f>IFERROR(BI570*BN570*BK570/BJ570^(1/2),"")</f>
        <v/>
      </c>
      <c r="BD570" s="105">
        <f>IFERROR(BH570*BM570*BL570/BJ570/BK570,"")</f>
        <v/>
      </c>
      <c r="BE570" s="105">
        <f>IFERROR(MIN(BI570/BQ570/BP570/BO570/BH570,$BE$1),"")</f>
        <v/>
      </c>
      <c r="BF570" s="105">
        <f>IFERROR(BJ570*BO570*BP570/BK570,"")</f>
        <v/>
      </c>
      <c r="BG570" s="105">
        <f>IFERROR(1/BM570/BH570*BQ570,"")</f>
        <v/>
      </c>
      <c r="BH570" s="102">
        <f>MAX((CE570-Driver!$F$200)/(Driver!$G$200-Driver!$F$200)*$BI$1,1)</f>
        <v/>
      </c>
      <c r="BI570" s="102">
        <f>MAX($BI$1*(BY570-Driver!$F$201)/(Driver!$G$201-Driver!$F$201),1)</f>
        <v/>
      </c>
      <c r="BJ570" s="102">
        <f>(CB570-Driver!$F$206)/(Driver!$G$206-Driver!$F$206)*$BI$1</f>
        <v/>
      </c>
      <c r="BK570" s="102">
        <f>(CD570-Driver!$F$203)/(Driver!$G$203-Driver!$F$203)*$BI$1</f>
        <v/>
      </c>
      <c r="BL570" s="102">
        <f>MAX((CR570-Driver!$F$202)/(Driver!$G$202-Driver!$F$202)*$BI$1,1)</f>
        <v/>
      </c>
      <c r="BM570" s="102">
        <f>MAX((CH570-Driver!$F$204)/(Driver!$G$204-Driver!$F$204)*$BI$1,1)</f>
        <v/>
      </c>
      <c r="BN570" s="102">
        <f>(CI570-Driver!$F$205)/(Driver!$G$205-Driver!$F$205)*$BI$1</f>
        <v/>
      </c>
      <c r="BO570" s="102">
        <f>(CK570-Driver!$F$207)/(Driver!$G$207-Driver!$F$207)*$BI$1</f>
        <v/>
      </c>
      <c r="BP570" s="102">
        <f>(CM570-Driver!$F$208)/(Driver!$G$208-Driver!$F$208)*$BI$1</f>
        <v/>
      </c>
      <c r="BQ570" s="102">
        <f>(CL570-Driver!$F$209)/(Driver!$G$209-Driver!$F$209)*$BI$1</f>
        <v/>
      </c>
      <c r="BR570" s="40" t="inlineStr">
        <is>
          <t>21/22</t>
        </is>
      </c>
      <c r="BS570" s="10" t="inlineStr">
        <is>
          <t xml:space="preserve"> Atomic</t>
        </is>
      </c>
      <c r="BT570" s="11" t="inlineStr">
        <is>
          <t>Cloud C9</t>
        </is>
      </c>
      <c r="BU570" s="13" t="n">
        <v>157</v>
      </c>
      <c r="BV570" s="11" t="inlineStr">
        <is>
          <t xml:space="preserve"> Women's</t>
        </is>
      </c>
      <c r="BW570" s="13" t="n">
        <v>157</v>
      </c>
      <c r="BX570" s="13" t="n">
        <v>156.9</v>
      </c>
      <c r="BY570" s="13" t="n">
        <v>138</v>
      </c>
      <c r="BZ570" s="13" t="n">
        <v>142</v>
      </c>
      <c r="CA570" s="13" t="n">
        <v>112</v>
      </c>
      <c r="CB570" s="13" t="n">
        <v>72</v>
      </c>
      <c r="CC570" s="13" t="n">
        <v>98</v>
      </c>
      <c r="CD570" s="13" t="n">
        <v>14.8</v>
      </c>
      <c r="CE570" s="13" t="n">
        <v>1646</v>
      </c>
      <c r="CF570" s="13" t="n">
        <v>0.8100000000000001</v>
      </c>
      <c r="CG570" s="13" t="n">
        <v>1328</v>
      </c>
      <c r="CH570" s="13" t="n">
        <v>150</v>
      </c>
      <c r="CI570" s="13" t="n">
        <v>75</v>
      </c>
      <c r="CJ570" s="13" t="n">
        <v>32</v>
      </c>
      <c r="CK570" s="13" t="n">
        <v>138</v>
      </c>
      <c r="CL570" s="13" t="n">
        <v>4</v>
      </c>
      <c r="CM570" s="13" t="n">
        <v>48</v>
      </c>
      <c r="CN570" s="13" t="n">
        <v>0.127</v>
      </c>
      <c r="CO570" s="13" t="n">
        <v>94</v>
      </c>
      <c r="CP570" s="13" t="n">
        <v>54</v>
      </c>
      <c r="CQ570" s="13" t="n">
        <v>44</v>
      </c>
      <c r="CR570" s="13" t="n">
        <v>11</v>
      </c>
      <c r="CS570" s="13" t="n">
        <v>12.4</v>
      </c>
      <c r="CT570" s="11" t="inlineStr">
        <is>
          <t xml:space="preserve"> On-Piste Carving</t>
        </is>
      </c>
      <c r="CU570" s="13" t="n"/>
      <c r="CV570" s="13" t="n"/>
      <c r="CW570" s="13" t="n"/>
      <c r="CX570">
        <f>INDEX('Data_Price '!AG$2:AG$1266,MATCH(Data!$DN570,'Data_Price '!$AT$2:$AT$1266,0))</f>
        <v/>
      </c>
      <c r="CY570">
        <f>INDEX('Data_Price '!AH$2:AH$1266,MATCH(Data!$DN570,'Data_Price '!$AT$2:$AT$1266,0))</f>
        <v/>
      </c>
      <c r="CZ570">
        <f>INDEX('Data_Price '!AI$2:AI$1266,MATCH(Data!$DN570,'Data_Price '!$AT$2:$AT$1266,0))</f>
        <v/>
      </c>
      <c r="DA570">
        <f>INDEX('Data_Price '!AJ$2:AJ$1266,MATCH(Data!$DN570,'Data_Price '!$AT$2:$AT$1266,0))</f>
        <v/>
      </c>
      <c r="DB570">
        <f>INDEX('Data_Price '!AK$2:AK$1266,MATCH(Data!$DN570,'Data_Price '!$AT$2:$AT$1266,0))</f>
        <v/>
      </c>
      <c r="DC570">
        <f>INDEX('Data_Price '!AL$2:AL$1266,MATCH(Data!$DN570,'Data_Price '!$AT$2:$AT$1266,0))</f>
        <v/>
      </c>
      <c r="DD570">
        <f>INDEX('Data_Price '!AM$2:AM$1266,MATCH(Data!$DN570,'Data_Price '!$AT$2:$AT$1266,0))</f>
        <v/>
      </c>
      <c r="DE570">
        <f>INDEX('Data_Price '!AN$2:AN$1266,MATCH(Data!$DN570,'Data_Price '!$AT$2:$AT$1266,0))</f>
        <v/>
      </c>
      <c r="DF570">
        <f>INDEX('Data_Price '!AO$2:AO$1266,MATCH(Data!$DN570,'Data_Price '!$AT$2:$AT$1266,0))</f>
        <v/>
      </c>
      <c r="DG570">
        <f>INDEX('Data_Price '!AP$2:AP$1266,MATCH(Data!$DN570,'Data_Price '!$AT$2:$AT$1266,0))</f>
        <v/>
      </c>
      <c r="DH570">
        <f>INDEX('Data_Price '!AQ$2:AQ$1266,MATCH(Data!$DN570,'Data_Price '!$AT$2:$AT$1266,0))</f>
        <v/>
      </c>
      <c r="DI570">
        <f>INDEX('Data_Price '!AR$2:AR$1266,MATCH(Data!$DN570,'Data_Price '!$AT$2:$AT$1266,0))</f>
        <v/>
      </c>
      <c r="DJ570" s="138">
        <f>DA570</f>
        <v/>
      </c>
      <c r="DK570" s="138">
        <f>DE570</f>
        <v/>
      </c>
      <c r="DL570" s="138">
        <f>DI570</f>
        <v/>
      </c>
      <c r="DM570" s="303">
        <f>IF(LEFT(BT570,1)=" ",RIGHT(BT570,LEN(BT570)-1),BT570)</f>
        <v/>
      </c>
      <c r="DN570" s="138">
        <f>_xlfn.CONCAT(BS570,DM570,BU570,BV570)</f>
        <v/>
      </c>
      <c r="DO570" s="307" t="inlineStr">
        <is>
          <t>https://images.evo.com/imgp/250/183368/826768/clone.jpg</t>
        </is>
      </c>
    </row>
    <row r="571" ht="15.6" customHeight="1" s="184">
      <c r="B571" s="303">
        <f t="array" ref="B571">IF(OR(ISERROR(K571:P571)),FALSE,TRUE)</f>
        <v/>
      </c>
      <c r="C571" s="60">
        <f>OR(BR571=Driver!$G$50,Data!BR472=Driver!$H$50)</f>
        <v/>
      </c>
      <c r="D571" s="60">
        <f>OR(BV571=Driver!$G$51,BV571=Driver!$H$51)</f>
        <v/>
      </c>
      <c r="E571" s="60">
        <f>AND(BX571&gt;Driver!$F$54,BX571&lt;Driver!$G$54)</f>
        <v/>
      </c>
      <c r="F571" s="60">
        <f>CL571&gt;Driver!$F$56</f>
        <v/>
      </c>
      <c r="G571" s="60">
        <f>AND(CB571&gt;Driver!$F$55,CB571&lt;Driver!$G$55)</f>
        <v/>
      </c>
      <c r="H571" s="60">
        <f>AND(B571:G571)</f>
        <v/>
      </c>
      <c r="I571" s="60">
        <f>COUNTIFS($H$9:$H$1273,TRUE,$BT$9:$BT$1273,BT571)</f>
        <v/>
      </c>
      <c r="J571" s="60">
        <f t="array" ref="J571">NOT(OR(($H$9:$H$1273=TRUE)*($I$9:$I$1273&gt;0)*($BT$9:$BT$1273=BT571)*($K$9:$K$1273&gt;K571)))</f>
        <v/>
      </c>
      <c r="K571" s="108">
        <f>IFERROR(1-AVERAGE(X571:Y571),"")</f>
        <v/>
      </c>
      <c r="L571" s="108">
        <f>1-X571</f>
        <v/>
      </c>
      <c r="M571" s="108">
        <f>1-Y571</f>
        <v/>
      </c>
      <c r="N571" s="108">
        <f>1-Z571</f>
        <v/>
      </c>
      <c r="O571" s="108">
        <f>1-AA571</f>
        <v/>
      </c>
      <c r="P571" s="108">
        <f>1-AB571</f>
        <v/>
      </c>
      <c r="Q571" s="108" t="n"/>
      <c r="R571" s="108" t="n"/>
      <c r="S571" s="108">
        <f>1-AE571</f>
        <v/>
      </c>
      <c r="T571" s="108">
        <f>1-AF571</f>
        <v/>
      </c>
      <c r="U571" s="108">
        <f>1-AG571</f>
        <v/>
      </c>
      <c r="V571" s="108">
        <f>1-AH571</f>
        <v/>
      </c>
      <c r="W571" s="108">
        <f>1-AI571</f>
        <v/>
      </c>
      <c r="X571" s="108">
        <f>ABS(AJ571-AJ$1)</f>
        <v/>
      </c>
      <c r="Y571" s="108">
        <f>AVERAGE(Z571:AB571)</f>
        <v/>
      </c>
      <c r="Z571" s="108">
        <f>ABS(AL571-AL$1)</f>
        <v/>
      </c>
      <c r="AA571" s="108">
        <f>ABS(AM571-AM$1)</f>
        <v/>
      </c>
      <c r="AB571" s="108">
        <f>ABS(AN571-AN$1)</f>
        <v/>
      </c>
      <c r="AC571" s="108" t="n"/>
      <c r="AD571" s="108" t="n"/>
      <c r="AE571" s="108">
        <f>ABS(AQ$1-AQ571)</f>
        <v/>
      </c>
      <c r="AF571" s="108">
        <f>ABS(AR$1-AR571)</f>
        <v/>
      </c>
      <c r="AG571" s="108">
        <f>ABS(AS$1-AS571)</f>
        <v/>
      </c>
      <c r="AH571" s="108">
        <f>ABS(AT$1-AT571)</f>
        <v/>
      </c>
      <c r="AI571" s="108">
        <f>ABS(AU$1-AU571)</f>
        <v/>
      </c>
      <c r="AJ571" s="108">
        <f>(AV571-Driver!$K$179)/(Driver!$L$179-Driver!$K$179)</f>
        <v/>
      </c>
      <c r="AK571" s="108">
        <f>(AW571-Driver!$K$180)/(Driver!$L$180-Driver!$K$180)</f>
        <v/>
      </c>
      <c r="AL571" s="108">
        <f>(AX571-Driver!$K$181)/(Driver!$L$181-Driver!$K$181)</f>
        <v/>
      </c>
      <c r="AM571" s="108">
        <f>(AY571-Driver!$K$182)/(Driver!$L$182-Driver!$K$182)</f>
        <v/>
      </c>
      <c r="AN571" s="108">
        <f>(AZ571-Driver!$K$183)/(Driver!$L$183-Driver!$K$183)</f>
        <v/>
      </c>
      <c r="AO571" s="108" t="n"/>
      <c r="AP571" s="108" t="n"/>
      <c r="AQ571" s="108">
        <f>(BC571-Driver!$K$188)/(Driver!$L$188-Driver!$K$188)</f>
        <v/>
      </c>
      <c r="AR571" s="108">
        <f>MIN((BD571-Driver!$K$189)/(Driver!$L$189-Driver!$K$189),100%)</f>
        <v/>
      </c>
      <c r="AS571" s="108">
        <f>(BE571-Driver!$K$190)/(Driver!$L$190-Driver!$K$190)</f>
        <v/>
      </c>
      <c r="AT571" s="108">
        <f>(BF571-Driver!$K$191)/(Driver!$L$191-Driver!$K$191)</f>
        <v/>
      </c>
      <c r="AU571" s="108">
        <f>(BG571-Driver!$K$192)/(Driver!$L$192-Driver!$K$192)</f>
        <v/>
      </c>
      <c r="AV571" s="105">
        <f>IFERROR(BM571*BJ571^1/4,"")</f>
        <v/>
      </c>
      <c r="AW571" s="105">
        <f>IFERROR(SUM(AX571:AZ571),"")</f>
        <v/>
      </c>
      <c r="AX571" s="105">
        <f>IFERROR(BH571,"")</f>
        <v/>
      </c>
      <c r="AY571" s="105">
        <f>IFERROR(Driver!$K$19/Data!BH571/Data!BI571*Data!BK571*Data!BL571,"")</f>
        <v/>
      </c>
      <c r="AZ571" s="105">
        <f>IFERROR(BI571*BN571,"")</f>
        <v/>
      </c>
      <c r="BA571" s="105" t="n"/>
      <c r="BB571" s="105" t="n"/>
      <c r="BC571" s="105">
        <f>IFERROR(BI571*BN571*BK571/BJ571^(1/2),"")</f>
        <v/>
      </c>
      <c r="BD571" s="105">
        <f>IFERROR(BH571*BM571*BL571/BJ571/BK571,"")</f>
        <v/>
      </c>
      <c r="BE571" s="105">
        <f>IFERROR(MIN(BI571/BQ571/BP571/BO571/BH571,$BE$1),"")</f>
        <v/>
      </c>
      <c r="BF571" s="105">
        <f>IFERROR(BJ571*BO571*BP571/BK571,"")</f>
        <v/>
      </c>
      <c r="BG571" s="105">
        <f>IFERROR(1/BM571/BH571*BQ571,"")</f>
        <v/>
      </c>
      <c r="BH571" s="102">
        <f>MAX((CE571-Driver!$F$200)/(Driver!$G$200-Driver!$F$200)*$BI$1,1)</f>
        <v/>
      </c>
      <c r="BI571" s="102">
        <f>MAX($BI$1*(BY571-Driver!$F$201)/(Driver!$G$201-Driver!$F$201),1)</f>
        <v/>
      </c>
      <c r="BJ571" s="102">
        <f>(CB571-Driver!$F$206)/(Driver!$G$206-Driver!$F$206)*$BI$1</f>
        <v/>
      </c>
      <c r="BK571" s="102">
        <f>(CD571-Driver!$F$203)/(Driver!$G$203-Driver!$F$203)*$BI$1</f>
        <v/>
      </c>
      <c r="BL571" s="102">
        <f>MAX((CR571-Driver!$F$202)/(Driver!$G$202-Driver!$F$202)*$BI$1,1)</f>
        <v/>
      </c>
      <c r="BM571" s="102">
        <f>MAX((CH571-Driver!$F$204)/(Driver!$G$204-Driver!$F$204)*$BI$1,1)</f>
        <v/>
      </c>
      <c r="BN571" s="102">
        <f>(CI571-Driver!$F$205)/(Driver!$G$205-Driver!$F$205)*$BI$1</f>
        <v/>
      </c>
      <c r="BO571" s="102">
        <f>(CK571-Driver!$F$207)/(Driver!$G$207-Driver!$F$207)*$BI$1</f>
        <v/>
      </c>
      <c r="BP571" s="102">
        <f>(CM571-Driver!$F$208)/(Driver!$G$208-Driver!$F$208)*$BI$1</f>
        <v/>
      </c>
      <c r="BQ571" s="102">
        <f>(CL571-Driver!$F$209)/(Driver!$G$209-Driver!$F$209)*$BI$1</f>
        <v/>
      </c>
      <c r="BR571" s="40" t="inlineStr">
        <is>
          <t>21/22</t>
        </is>
      </c>
      <c r="BS571" s="10" t="inlineStr">
        <is>
          <t xml:space="preserve"> Elan</t>
        </is>
      </c>
      <c r="BT571" s="11" t="inlineStr">
        <is>
          <t>Wildcat 82 C</t>
        </is>
      </c>
      <c r="BU571" s="13" t="n">
        <v>158</v>
      </c>
      <c r="BV571" s="11" t="inlineStr">
        <is>
          <t xml:space="preserve"> Women's</t>
        </is>
      </c>
      <c r="BW571" s="13" t="n">
        <v>158</v>
      </c>
      <c r="BX571" s="13" t="n">
        <v>161.7</v>
      </c>
      <c r="BY571" s="13" t="n">
        <v>128</v>
      </c>
      <c r="BZ571" s="13" t="n">
        <v>139</v>
      </c>
      <c r="CA571" s="13" t="n">
        <v>128</v>
      </c>
      <c r="CB571" s="13" t="n">
        <v>81</v>
      </c>
      <c r="CC571" s="13" t="n">
        <v>112</v>
      </c>
      <c r="CD571" s="13" t="n">
        <v>12</v>
      </c>
      <c r="CE571" s="13" t="n">
        <v>1726</v>
      </c>
      <c r="CF571" s="13" t="n">
        <v>0.9</v>
      </c>
      <c r="CG571" s="13" t="n">
        <v>1560</v>
      </c>
      <c r="CH571" s="13" t="n">
        <v>207</v>
      </c>
      <c r="CI571" s="13" t="n">
        <v>81</v>
      </c>
      <c r="CJ571" s="13" t="n">
        <v>42</v>
      </c>
      <c r="CK571" s="13" t="n">
        <v>188</v>
      </c>
      <c r="CL571" s="13" t="n">
        <v>12</v>
      </c>
      <c r="CM571" s="13" t="n">
        <v>145</v>
      </c>
      <c r="CN571" s="13" t="n">
        <v>0.281</v>
      </c>
      <c r="CO571" s="13" t="n">
        <v>110</v>
      </c>
      <c r="CP571" s="13" t="n">
        <v>115</v>
      </c>
      <c r="CQ571" s="13" t="n">
        <v>78</v>
      </c>
      <c r="CR571" s="13" t="n">
        <v>6</v>
      </c>
      <c r="CS571" s="13" t="n">
        <v>7.4</v>
      </c>
      <c r="CT571" s="11" t="inlineStr">
        <is>
          <t xml:space="preserve"> On-Piste All-Mountain</t>
        </is>
      </c>
      <c r="CU571" s="11" t="inlineStr">
        <is>
          <t xml:space="preserve"> Resort Freeride</t>
        </is>
      </c>
      <c r="CV571" s="13" t="n"/>
      <c r="CW571" s="13" t="n"/>
      <c r="CX571">
        <f>INDEX('Data_Price '!AG$2:AG$1266,MATCH(Data!$DN571,'Data_Price '!$AT$2:$AT$1266,0))</f>
        <v/>
      </c>
      <c r="CY571">
        <f>INDEX('Data_Price '!AH$2:AH$1266,MATCH(Data!$DN571,'Data_Price '!$AT$2:$AT$1266,0))</f>
        <v/>
      </c>
      <c r="CZ571">
        <f>INDEX('Data_Price '!AI$2:AI$1266,MATCH(Data!$DN571,'Data_Price '!$AT$2:$AT$1266,0))</f>
        <v/>
      </c>
      <c r="DA571">
        <f>INDEX('Data_Price '!AJ$2:AJ$1266,MATCH(Data!$DN571,'Data_Price '!$AT$2:$AT$1266,0))</f>
        <v/>
      </c>
      <c r="DB571">
        <f>INDEX('Data_Price '!AK$2:AK$1266,MATCH(Data!$DN571,'Data_Price '!$AT$2:$AT$1266,0))</f>
        <v/>
      </c>
      <c r="DC571">
        <f>INDEX('Data_Price '!AL$2:AL$1266,MATCH(Data!$DN571,'Data_Price '!$AT$2:$AT$1266,0))</f>
        <v/>
      </c>
      <c r="DD571">
        <f>INDEX('Data_Price '!AM$2:AM$1266,MATCH(Data!$DN571,'Data_Price '!$AT$2:$AT$1266,0))</f>
        <v/>
      </c>
      <c r="DE571">
        <f>INDEX('Data_Price '!AN$2:AN$1266,MATCH(Data!$DN571,'Data_Price '!$AT$2:$AT$1266,0))</f>
        <v/>
      </c>
      <c r="DF571">
        <f>INDEX('Data_Price '!AO$2:AO$1266,MATCH(Data!$DN571,'Data_Price '!$AT$2:$AT$1266,0))</f>
        <v/>
      </c>
      <c r="DG571">
        <f>INDEX('Data_Price '!AP$2:AP$1266,MATCH(Data!$DN571,'Data_Price '!$AT$2:$AT$1266,0))</f>
        <v/>
      </c>
      <c r="DH571">
        <f>INDEX('Data_Price '!AQ$2:AQ$1266,MATCH(Data!$DN571,'Data_Price '!$AT$2:$AT$1266,0))</f>
        <v/>
      </c>
      <c r="DI571">
        <f>INDEX('Data_Price '!AR$2:AR$1266,MATCH(Data!$DN571,'Data_Price '!$AT$2:$AT$1266,0))</f>
        <v/>
      </c>
      <c r="DJ571" s="138">
        <f>DA571</f>
        <v/>
      </c>
      <c r="DK571" s="138">
        <f>DE571</f>
        <v/>
      </c>
      <c r="DL571" s="138">
        <f>DI571</f>
        <v/>
      </c>
      <c r="DM571" s="303">
        <f>IF(LEFT(BT571,1)=" ",RIGHT(BT571,LEN(BT571)-1),BT571)</f>
        <v/>
      </c>
      <c r="DN571" s="138">
        <f>_xlfn.CONCAT(BS571,DM571,BU571,BV571)</f>
        <v/>
      </c>
      <c r="DO571" s="307" t="n"/>
    </row>
    <row r="572" ht="15.6" customHeight="1" s="184">
      <c r="B572" s="303">
        <f t="array" ref="B572">IF(OR(ISERROR(K572:P572)),FALSE,TRUE)</f>
        <v/>
      </c>
      <c r="C572" s="60">
        <f>OR(BR572=Driver!$G$50,Data!BR771=Driver!$H$50)</f>
        <v/>
      </c>
      <c r="D572" s="60">
        <f>OR(BV572=Driver!$G$51,BV572=Driver!$H$51)</f>
        <v/>
      </c>
      <c r="E572" s="60">
        <f>AND(BX572&gt;Driver!$F$54,BX572&lt;Driver!$G$54)</f>
        <v/>
      </c>
      <c r="F572" s="60">
        <f>CL572&gt;Driver!$F$56</f>
        <v/>
      </c>
      <c r="G572" s="60">
        <f>AND(CB572&gt;Driver!$F$55,CB572&lt;Driver!$G$55)</f>
        <v/>
      </c>
      <c r="H572" s="60">
        <f>AND(B572:G572)</f>
        <v/>
      </c>
      <c r="I572" s="60">
        <f>COUNTIFS($H$9:$H$1273,TRUE,$BT$9:$BT$1273,BT572)</f>
        <v/>
      </c>
      <c r="J572" s="60">
        <f t="array" ref="J572">NOT(OR(($H$9:$H$1273=TRUE)*($I$9:$I$1273&gt;0)*($BT$9:$BT$1273=BT572)*($K$9:$K$1273&gt;K572)))</f>
        <v/>
      </c>
      <c r="K572" s="108">
        <f>IFERROR(1-AVERAGE(X572:Y572),"")</f>
        <v/>
      </c>
      <c r="L572" s="108">
        <f>1-X572</f>
        <v/>
      </c>
      <c r="M572" s="108">
        <f>1-Y572</f>
        <v/>
      </c>
      <c r="N572" s="108">
        <f>1-Z572</f>
        <v/>
      </c>
      <c r="O572" s="108">
        <f>1-AA572</f>
        <v/>
      </c>
      <c r="P572" s="108">
        <f>1-AB572</f>
        <v/>
      </c>
      <c r="Q572" s="108" t="n"/>
      <c r="R572" s="108" t="n"/>
      <c r="S572" s="108">
        <f>1-AE572</f>
        <v/>
      </c>
      <c r="T572" s="108">
        <f>1-AF572</f>
        <v/>
      </c>
      <c r="U572" s="108">
        <f>1-AG572</f>
        <v/>
      </c>
      <c r="V572" s="108">
        <f>1-AH572</f>
        <v/>
      </c>
      <c r="W572" s="108">
        <f>1-AI572</f>
        <v/>
      </c>
      <c r="X572" s="108">
        <f>ABS(AJ572-AJ$1)</f>
        <v/>
      </c>
      <c r="Y572" s="108">
        <f>AVERAGE(Z572:AB572)</f>
        <v/>
      </c>
      <c r="Z572" s="108">
        <f>ABS(AL572-AL$1)</f>
        <v/>
      </c>
      <c r="AA572" s="108">
        <f>ABS(AM572-AM$1)</f>
        <v/>
      </c>
      <c r="AB572" s="108">
        <f>ABS(AN572-AN$1)</f>
        <v/>
      </c>
      <c r="AC572" s="108" t="n"/>
      <c r="AD572" s="108" t="n"/>
      <c r="AE572" s="108">
        <f>ABS(AQ$1-AQ572)</f>
        <v/>
      </c>
      <c r="AF572" s="108">
        <f>ABS(AR$1-AR572)</f>
        <v/>
      </c>
      <c r="AG572" s="108">
        <f>ABS(AS$1-AS572)</f>
        <v/>
      </c>
      <c r="AH572" s="108">
        <f>ABS(AT$1-AT572)</f>
        <v/>
      </c>
      <c r="AI572" s="108">
        <f>ABS(AU$1-AU572)</f>
        <v/>
      </c>
      <c r="AJ572" s="108">
        <f>(AV572-Driver!$K$179)/(Driver!$L$179-Driver!$K$179)</f>
        <v/>
      </c>
      <c r="AK572" s="108">
        <f>(AW572-Driver!$K$180)/(Driver!$L$180-Driver!$K$180)</f>
        <v/>
      </c>
      <c r="AL572" s="108">
        <f>(AX572-Driver!$K$181)/(Driver!$L$181-Driver!$K$181)</f>
        <v/>
      </c>
      <c r="AM572" s="108">
        <f>(AY572-Driver!$K$182)/(Driver!$L$182-Driver!$K$182)</f>
        <v/>
      </c>
      <c r="AN572" s="108">
        <f>(AZ572-Driver!$K$183)/(Driver!$L$183-Driver!$K$183)</f>
        <v/>
      </c>
      <c r="AO572" s="108" t="n"/>
      <c r="AP572" s="108" t="n"/>
      <c r="AQ572" s="108">
        <f>(BC572-Driver!$K$188)/(Driver!$L$188-Driver!$K$188)</f>
        <v/>
      </c>
      <c r="AR572" s="108">
        <f>MIN((BD572-Driver!$K$189)/(Driver!$L$189-Driver!$K$189),100%)</f>
        <v/>
      </c>
      <c r="AS572" s="108">
        <f>(BE572-Driver!$K$190)/(Driver!$L$190-Driver!$K$190)</f>
        <v/>
      </c>
      <c r="AT572" s="108">
        <f>(BF572-Driver!$K$191)/(Driver!$L$191-Driver!$K$191)</f>
        <v/>
      </c>
      <c r="AU572" s="108">
        <f>(BG572-Driver!$K$192)/(Driver!$L$192-Driver!$K$192)</f>
        <v/>
      </c>
      <c r="AV572" s="105">
        <f>IFERROR(BM572*BJ572^1/4,"")</f>
        <v/>
      </c>
      <c r="AW572" s="105">
        <f>IFERROR(SUM(AX572:AZ572),"")</f>
        <v/>
      </c>
      <c r="AX572" s="105">
        <f>IFERROR(BH572,"")</f>
        <v/>
      </c>
      <c r="AY572" s="105">
        <f>IFERROR(Driver!$K$19/Data!BH572/Data!BI572*Data!BK572*Data!BL572,"")</f>
        <v/>
      </c>
      <c r="AZ572" s="105">
        <f>IFERROR(BI572*BN572,"")</f>
        <v/>
      </c>
      <c r="BA572" s="105" t="n"/>
      <c r="BB572" s="105" t="n"/>
      <c r="BC572" s="105">
        <f>IFERROR(BI572*BN572*BK572/BJ572^(1/2),"")</f>
        <v/>
      </c>
      <c r="BD572" s="105">
        <f>IFERROR(BH572*BM572*BL572/BJ572/BK572,"")</f>
        <v/>
      </c>
      <c r="BE572" s="105">
        <f>IFERROR(MIN(BI572/BQ572/BP572/BO572/BH572,$BE$1),"")</f>
        <v/>
      </c>
      <c r="BF572" s="105">
        <f>IFERROR(BJ572*BO572*BP572/BK572,"")</f>
        <v/>
      </c>
      <c r="BG572" s="105">
        <f>IFERROR(1/BM572/BH572*BQ572,"")</f>
        <v/>
      </c>
      <c r="BH572" s="102">
        <f>MAX((CE572-Driver!$F$200)/(Driver!$G$200-Driver!$F$200)*$BI$1,1)</f>
        <v/>
      </c>
      <c r="BI572" s="102">
        <f>MAX($BI$1*(BY572-Driver!$F$201)/(Driver!$G$201-Driver!$F$201),1)</f>
        <v/>
      </c>
      <c r="BJ572" s="102">
        <f>(CB572-Driver!$F$206)/(Driver!$G$206-Driver!$F$206)*$BI$1</f>
        <v/>
      </c>
      <c r="BK572" s="102">
        <f>(CD572-Driver!$F$203)/(Driver!$G$203-Driver!$F$203)*$BI$1</f>
        <v/>
      </c>
      <c r="BL572" s="102">
        <f>MAX((CR572-Driver!$F$202)/(Driver!$G$202-Driver!$F$202)*$BI$1,1)</f>
        <v/>
      </c>
      <c r="BM572" s="102">
        <f>MAX((CH572-Driver!$F$204)/(Driver!$G$204-Driver!$F$204)*$BI$1,1)</f>
        <v/>
      </c>
      <c r="BN572" s="102">
        <f>(CI572-Driver!$F$205)/(Driver!$G$205-Driver!$F$205)*$BI$1</f>
        <v/>
      </c>
      <c r="BO572" s="102">
        <f>(CK572-Driver!$F$207)/(Driver!$G$207-Driver!$F$207)*$BI$1</f>
        <v/>
      </c>
      <c r="BP572" s="102">
        <f>(CM572-Driver!$F$208)/(Driver!$G$208-Driver!$F$208)*$BI$1</f>
        <v/>
      </c>
      <c r="BQ572" s="102">
        <f>(CL572-Driver!$F$209)/(Driver!$G$209-Driver!$F$209)*$BI$1</f>
        <v/>
      </c>
      <c r="BR572" s="40" t="inlineStr">
        <is>
          <t>21/22</t>
        </is>
      </c>
      <c r="BS572" s="10" t="inlineStr">
        <is>
          <t xml:space="preserve"> K2</t>
        </is>
      </c>
      <c r="BT572" s="11" t="inlineStr">
        <is>
          <t>Reckoner 92</t>
        </is>
      </c>
      <c r="BU572" s="13" t="n">
        <v>149</v>
      </c>
      <c r="BV572" s="11" t="inlineStr">
        <is>
          <t xml:space="preserve"> Unisex</t>
        </is>
      </c>
      <c r="BW572" s="13" t="n">
        <v>149</v>
      </c>
      <c r="BX572" s="13" t="n">
        <v>148.9</v>
      </c>
      <c r="BY572" s="13" t="n">
        <v>93</v>
      </c>
      <c r="BZ572" s="13" t="n">
        <v>124</v>
      </c>
      <c r="CA572" s="13" t="n">
        <v>124</v>
      </c>
      <c r="CB572" s="13" t="n">
        <v>91</v>
      </c>
      <c r="CC572" s="13" t="n">
        <v>113</v>
      </c>
      <c r="CD572" s="13" t="n">
        <v>12.6</v>
      </c>
      <c r="CE572" s="13" t="n">
        <v>1499</v>
      </c>
      <c r="CF572" s="13" t="n">
        <v>1.01</v>
      </c>
      <c r="CG572" s="13" t="n">
        <v>1518</v>
      </c>
      <c r="CH572" s="13" t="n">
        <v>171</v>
      </c>
      <c r="CI572" s="13" t="n">
        <v>84</v>
      </c>
      <c r="CJ572" s="13" t="n">
        <v>47</v>
      </c>
      <c r="CK572" s="13" t="n">
        <v>288</v>
      </c>
      <c r="CL572" s="13" t="n">
        <v>43</v>
      </c>
      <c r="CM572" s="13" t="n">
        <v>272</v>
      </c>
      <c r="CN572" s="13" t="n">
        <v>0.915</v>
      </c>
      <c r="CO572" s="13" t="n">
        <v>115</v>
      </c>
      <c r="CP572" s="13" t="n">
        <v>138</v>
      </c>
      <c r="CQ572" s="13" t="n">
        <v>173</v>
      </c>
      <c r="CR572" s="13" t="n">
        <v>3</v>
      </c>
      <c r="CS572" s="13" t="n">
        <v>4.1</v>
      </c>
      <c r="CT572" s="11" t="inlineStr">
        <is>
          <t xml:space="preserve"> Freeski</t>
        </is>
      </c>
      <c r="CU572" s="13" t="n"/>
      <c r="CV572" s="13" t="n"/>
      <c r="CW572" s="13" t="n"/>
      <c r="CX572">
        <f>INDEX('Data_Price '!AG$2:AG$1266,MATCH(Data!$DN572,'Data_Price '!$AT$2:$AT$1266,0))</f>
        <v/>
      </c>
      <c r="CY572">
        <f>INDEX('Data_Price '!AH$2:AH$1266,MATCH(Data!$DN572,'Data_Price '!$AT$2:$AT$1266,0))</f>
        <v/>
      </c>
      <c r="CZ572">
        <f>INDEX('Data_Price '!AI$2:AI$1266,MATCH(Data!$DN572,'Data_Price '!$AT$2:$AT$1266,0))</f>
        <v/>
      </c>
      <c r="DA572">
        <f>INDEX('Data_Price '!AJ$2:AJ$1266,MATCH(Data!$DN572,'Data_Price '!$AT$2:$AT$1266,0))</f>
        <v/>
      </c>
      <c r="DB572">
        <f>INDEX('Data_Price '!AK$2:AK$1266,MATCH(Data!$DN572,'Data_Price '!$AT$2:$AT$1266,0))</f>
        <v/>
      </c>
      <c r="DC572">
        <f>INDEX('Data_Price '!AL$2:AL$1266,MATCH(Data!$DN572,'Data_Price '!$AT$2:$AT$1266,0))</f>
        <v/>
      </c>
      <c r="DD572">
        <f>INDEX('Data_Price '!AM$2:AM$1266,MATCH(Data!$DN572,'Data_Price '!$AT$2:$AT$1266,0))</f>
        <v/>
      </c>
      <c r="DE572">
        <f>INDEX('Data_Price '!AN$2:AN$1266,MATCH(Data!$DN572,'Data_Price '!$AT$2:$AT$1266,0))</f>
        <v/>
      </c>
      <c r="DF572">
        <f>INDEX('Data_Price '!AO$2:AO$1266,MATCH(Data!$DN572,'Data_Price '!$AT$2:$AT$1266,0))</f>
        <v/>
      </c>
      <c r="DG572">
        <f>INDEX('Data_Price '!AP$2:AP$1266,MATCH(Data!$DN572,'Data_Price '!$AT$2:$AT$1266,0))</f>
        <v/>
      </c>
      <c r="DH572">
        <f>INDEX('Data_Price '!AQ$2:AQ$1266,MATCH(Data!$DN572,'Data_Price '!$AT$2:$AT$1266,0))</f>
        <v/>
      </c>
      <c r="DI572">
        <f>INDEX('Data_Price '!AR$2:AR$1266,MATCH(Data!$DN572,'Data_Price '!$AT$2:$AT$1266,0))</f>
        <v/>
      </c>
      <c r="DJ572" s="138">
        <f>DA572</f>
        <v/>
      </c>
      <c r="DK572" s="138">
        <f>DE572</f>
        <v/>
      </c>
      <c r="DL572" s="138">
        <f>DI572</f>
        <v/>
      </c>
      <c r="DM572" s="303">
        <f>IF(LEFT(BT572,1)=" ",RIGHT(BT572,LEN(BT572)-1),BT572)</f>
        <v/>
      </c>
      <c r="DN572" s="138">
        <f>_xlfn.CONCAT(BS572,DM572,BU572,BV572)</f>
        <v/>
      </c>
      <c r="DO572" s="307" t="inlineStr">
        <is>
          <t>https://images.evo.com/imgp/250/201067/825046/k2-reckoner-92-skis-2022-.jpg</t>
        </is>
      </c>
    </row>
    <row r="573" ht="15.6" customHeight="1" s="184">
      <c r="B573" s="303">
        <f t="array" ref="B573">IF(OR(ISERROR(K573:P573)),FALSE,TRUE)</f>
        <v/>
      </c>
      <c r="C573" s="60">
        <f>OR(BR573=Driver!$G$50,Data!BR776=Driver!$H$50)</f>
        <v/>
      </c>
      <c r="D573" s="60">
        <f>OR(BV573=Driver!$G$51,BV573=Driver!$H$51)</f>
        <v/>
      </c>
      <c r="E573" s="60">
        <f>AND(BX573&gt;Driver!$F$54,BX573&lt;Driver!$G$54)</f>
        <v/>
      </c>
      <c r="F573" s="60">
        <f>CL573&gt;Driver!$F$56</f>
        <v/>
      </c>
      <c r="G573" s="60">
        <f>AND(CB573&gt;Driver!$F$55,CB573&lt;Driver!$G$55)</f>
        <v/>
      </c>
      <c r="H573" s="60">
        <f>AND(B573:G573)</f>
        <v/>
      </c>
      <c r="I573" s="60">
        <f>COUNTIFS($H$9:$H$1273,TRUE,$BT$9:$BT$1273,BT573)</f>
        <v/>
      </c>
      <c r="J573" s="60">
        <f t="array" ref="J573">NOT(OR(($H$9:$H$1273=TRUE)*($I$9:$I$1273&gt;0)*($BT$9:$BT$1273=BT573)*($K$9:$K$1273&gt;K573)))</f>
        <v/>
      </c>
      <c r="K573" s="108">
        <f>IFERROR(1-AVERAGE(X573:Y573),"")</f>
        <v/>
      </c>
      <c r="L573" s="108">
        <f>1-X573</f>
        <v/>
      </c>
      <c r="M573" s="108">
        <f>1-Y573</f>
        <v/>
      </c>
      <c r="N573" s="108">
        <f>1-Z573</f>
        <v/>
      </c>
      <c r="O573" s="108">
        <f>1-AA573</f>
        <v/>
      </c>
      <c r="P573" s="108">
        <f>1-AB573</f>
        <v/>
      </c>
      <c r="Q573" s="108" t="n"/>
      <c r="R573" s="108" t="n"/>
      <c r="S573" s="108">
        <f>1-AE573</f>
        <v/>
      </c>
      <c r="T573" s="108">
        <f>1-AF573</f>
        <v/>
      </c>
      <c r="U573" s="108">
        <f>1-AG573</f>
        <v/>
      </c>
      <c r="V573" s="108">
        <f>1-AH573</f>
        <v/>
      </c>
      <c r="W573" s="108">
        <f>1-AI573</f>
        <v/>
      </c>
      <c r="X573" s="108">
        <f>ABS(AJ573-AJ$1)</f>
        <v/>
      </c>
      <c r="Y573" s="108">
        <f>AVERAGE(Z573:AB573)</f>
        <v/>
      </c>
      <c r="Z573" s="108">
        <f>ABS(AL573-AL$1)</f>
        <v/>
      </c>
      <c r="AA573" s="108">
        <f>ABS(AM573-AM$1)</f>
        <v/>
      </c>
      <c r="AB573" s="108">
        <f>ABS(AN573-AN$1)</f>
        <v/>
      </c>
      <c r="AC573" s="108" t="n"/>
      <c r="AD573" s="108" t="n"/>
      <c r="AE573" s="108">
        <f>ABS(AQ$1-AQ573)</f>
        <v/>
      </c>
      <c r="AF573" s="108">
        <f>ABS(AR$1-AR573)</f>
        <v/>
      </c>
      <c r="AG573" s="108">
        <f>ABS(AS$1-AS573)</f>
        <v/>
      </c>
      <c r="AH573" s="108">
        <f>ABS(AT$1-AT573)</f>
        <v/>
      </c>
      <c r="AI573" s="108">
        <f>ABS(AU$1-AU573)</f>
        <v/>
      </c>
      <c r="AJ573" s="108">
        <f>(AV573-Driver!$K$179)/(Driver!$L$179-Driver!$K$179)</f>
        <v/>
      </c>
      <c r="AK573" s="108">
        <f>(AW573-Driver!$K$180)/(Driver!$L$180-Driver!$K$180)</f>
        <v/>
      </c>
      <c r="AL573" s="108">
        <f>(AX573-Driver!$K$181)/(Driver!$L$181-Driver!$K$181)</f>
        <v/>
      </c>
      <c r="AM573" s="108">
        <f>(AY573-Driver!$K$182)/(Driver!$L$182-Driver!$K$182)</f>
        <v/>
      </c>
      <c r="AN573" s="108">
        <f>(AZ573-Driver!$K$183)/(Driver!$L$183-Driver!$K$183)</f>
        <v/>
      </c>
      <c r="AO573" s="108" t="n"/>
      <c r="AP573" s="108" t="n"/>
      <c r="AQ573" s="108">
        <f>(BC573-Driver!$K$188)/(Driver!$L$188-Driver!$K$188)</f>
        <v/>
      </c>
      <c r="AR573" s="108">
        <f>MIN((BD573-Driver!$K$189)/(Driver!$L$189-Driver!$K$189),100%)</f>
        <v/>
      </c>
      <c r="AS573" s="108">
        <f>(BE573-Driver!$K$190)/(Driver!$L$190-Driver!$K$190)</f>
        <v/>
      </c>
      <c r="AT573" s="108">
        <f>(BF573-Driver!$K$191)/(Driver!$L$191-Driver!$K$191)</f>
        <v/>
      </c>
      <c r="AU573" s="108">
        <f>(BG573-Driver!$K$192)/(Driver!$L$192-Driver!$K$192)</f>
        <v/>
      </c>
      <c r="AV573" s="105">
        <f>IFERROR(BM573*BJ573^1/4,"")</f>
        <v/>
      </c>
      <c r="AW573" s="105">
        <f>IFERROR(SUM(AX573:AZ573),"")</f>
        <v/>
      </c>
      <c r="AX573" s="105">
        <f>IFERROR(BH573,"")</f>
        <v/>
      </c>
      <c r="AY573" s="105">
        <f>IFERROR(Driver!$K$19/Data!BH573/Data!BI573*Data!BK573*Data!BL573,"")</f>
        <v/>
      </c>
      <c r="AZ573" s="105">
        <f>IFERROR(BI573*BN573,"")</f>
        <v/>
      </c>
      <c r="BA573" s="105" t="n"/>
      <c r="BB573" s="105" t="n"/>
      <c r="BC573" s="105">
        <f>IFERROR(BI573*BN573*BK573/BJ573^(1/2),"")</f>
        <v/>
      </c>
      <c r="BD573" s="105">
        <f>IFERROR(BH573*BM573*BL573/BJ573/BK573,"")</f>
        <v/>
      </c>
      <c r="BE573" s="105">
        <f>IFERROR(MIN(BI573/BQ573/BP573/BO573/BH573,$BE$1),"")</f>
        <v/>
      </c>
      <c r="BF573" s="105">
        <f>IFERROR(BJ573*BO573*BP573/BK573,"")</f>
        <v/>
      </c>
      <c r="BG573" s="105">
        <f>IFERROR(1/BM573/BH573*BQ573,"")</f>
        <v/>
      </c>
      <c r="BH573" s="102">
        <f>MAX((CE573-Driver!$F$200)/(Driver!$G$200-Driver!$F$200)*$BI$1,1)</f>
        <v/>
      </c>
      <c r="BI573" s="102">
        <f>MAX($BI$1*(BY573-Driver!$F$201)/(Driver!$G$201-Driver!$F$201),1)</f>
        <v/>
      </c>
      <c r="BJ573" s="102">
        <f>(CB573-Driver!$F$206)/(Driver!$G$206-Driver!$F$206)*$BI$1</f>
        <v/>
      </c>
      <c r="BK573" s="102">
        <f>(CD573-Driver!$F$203)/(Driver!$G$203-Driver!$F$203)*$BI$1</f>
        <v/>
      </c>
      <c r="BL573" s="102">
        <f>MAX((CR573-Driver!$F$202)/(Driver!$G$202-Driver!$F$202)*$BI$1,1)</f>
        <v/>
      </c>
      <c r="BM573" s="102">
        <f>MAX((CH573-Driver!$F$204)/(Driver!$G$204-Driver!$F$204)*$BI$1,1)</f>
        <v/>
      </c>
      <c r="BN573" s="102">
        <f>(CI573-Driver!$F$205)/(Driver!$G$205-Driver!$F$205)*$BI$1</f>
        <v/>
      </c>
      <c r="BO573" s="102">
        <f>(CK573-Driver!$F$207)/(Driver!$G$207-Driver!$F$207)*$BI$1</f>
        <v/>
      </c>
      <c r="BP573" s="102">
        <f>(CM573-Driver!$F$208)/(Driver!$G$208-Driver!$F$208)*$BI$1</f>
        <v/>
      </c>
      <c r="BQ573" s="102">
        <f>(CL573-Driver!$F$209)/(Driver!$G$209-Driver!$F$209)*$BI$1</f>
        <v/>
      </c>
      <c r="BR573" s="40" t="inlineStr">
        <is>
          <t>21/22</t>
        </is>
      </c>
      <c r="BS573" s="10" t="inlineStr">
        <is>
          <t xml:space="preserve"> K2</t>
        </is>
      </c>
      <c r="BT573" s="11" t="inlineStr">
        <is>
          <t>Reckoner 92 Alliance</t>
        </is>
      </c>
      <c r="BU573" s="13" t="n">
        <v>159</v>
      </c>
      <c r="BV573" s="11" t="inlineStr">
        <is>
          <t xml:space="preserve"> Women's</t>
        </is>
      </c>
      <c r="BW573" s="13" t="n">
        <v>159</v>
      </c>
      <c r="BX573" s="13" t="n">
        <v>158.9</v>
      </c>
      <c r="BY573" s="13" t="n">
        <v>106</v>
      </c>
      <c r="BZ573" s="13" t="n">
        <v>134</v>
      </c>
      <c r="CA573" s="13" t="n">
        <v>124</v>
      </c>
      <c r="CB573" s="13" t="n">
        <v>91</v>
      </c>
      <c r="CC573" s="13" t="n">
        <v>113</v>
      </c>
      <c r="CD573" s="13" t="n">
        <v>14.9</v>
      </c>
      <c r="CE573" s="13" t="n">
        <v>1562</v>
      </c>
      <c r="CF573" s="13" t="n">
        <v>1.04</v>
      </c>
      <c r="CG573" s="13" t="n">
        <v>1617</v>
      </c>
      <c r="CH573" s="13" t="n">
        <v>163</v>
      </c>
      <c r="CI573" s="13" t="n">
        <v>75</v>
      </c>
      <c r="CJ573" s="13" t="n">
        <v>48</v>
      </c>
      <c r="CK573" s="13" t="n">
        <v>270</v>
      </c>
      <c r="CL573" s="13" t="n">
        <v>43</v>
      </c>
      <c r="CM573" s="13" t="n">
        <v>262</v>
      </c>
      <c r="CN573" s="13" t="n">
        <v>0.894</v>
      </c>
      <c r="CO573" s="13" t="n">
        <v>116</v>
      </c>
      <c r="CP573" s="13" t="n">
        <v>131</v>
      </c>
      <c r="CQ573" s="13" t="n">
        <v>154</v>
      </c>
      <c r="CR573" s="13" t="n">
        <v>6</v>
      </c>
      <c r="CS573" s="13" t="n">
        <v>4.8</v>
      </c>
      <c r="CT573" s="11" t="inlineStr">
        <is>
          <t xml:space="preserve"> Freeski</t>
        </is>
      </c>
      <c r="CU573" s="13" t="n"/>
      <c r="CV573" s="13" t="n"/>
      <c r="CW573" s="13" t="n"/>
      <c r="CX573">
        <f>INDEX('Data_Price '!AG$2:AG$1266,MATCH(Data!$DN573,'Data_Price '!$AT$2:$AT$1266,0))</f>
        <v/>
      </c>
      <c r="CY573">
        <f>INDEX('Data_Price '!AH$2:AH$1266,MATCH(Data!$DN573,'Data_Price '!$AT$2:$AT$1266,0))</f>
        <v/>
      </c>
      <c r="CZ573">
        <f>INDEX('Data_Price '!AI$2:AI$1266,MATCH(Data!$DN573,'Data_Price '!$AT$2:$AT$1266,0))</f>
        <v/>
      </c>
      <c r="DA573">
        <f>INDEX('Data_Price '!AJ$2:AJ$1266,MATCH(Data!$DN573,'Data_Price '!$AT$2:$AT$1266,0))</f>
        <v/>
      </c>
      <c r="DB573">
        <f>INDEX('Data_Price '!AK$2:AK$1266,MATCH(Data!$DN573,'Data_Price '!$AT$2:$AT$1266,0))</f>
        <v/>
      </c>
      <c r="DC573">
        <f>INDEX('Data_Price '!AL$2:AL$1266,MATCH(Data!$DN573,'Data_Price '!$AT$2:$AT$1266,0))</f>
        <v/>
      </c>
      <c r="DD573">
        <f>INDEX('Data_Price '!AM$2:AM$1266,MATCH(Data!$DN573,'Data_Price '!$AT$2:$AT$1266,0))</f>
        <v/>
      </c>
      <c r="DE573">
        <f>INDEX('Data_Price '!AN$2:AN$1266,MATCH(Data!$DN573,'Data_Price '!$AT$2:$AT$1266,0))</f>
        <v/>
      </c>
      <c r="DF573">
        <f>INDEX('Data_Price '!AO$2:AO$1266,MATCH(Data!$DN573,'Data_Price '!$AT$2:$AT$1266,0))</f>
        <v/>
      </c>
      <c r="DG573">
        <f>INDEX('Data_Price '!AP$2:AP$1266,MATCH(Data!$DN573,'Data_Price '!$AT$2:$AT$1266,0))</f>
        <v/>
      </c>
      <c r="DH573">
        <f>INDEX('Data_Price '!AQ$2:AQ$1266,MATCH(Data!$DN573,'Data_Price '!$AT$2:$AT$1266,0))</f>
        <v/>
      </c>
      <c r="DI573">
        <f>INDEX('Data_Price '!AR$2:AR$1266,MATCH(Data!$DN573,'Data_Price '!$AT$2:$AT$1266,0))</f>
        <v/>
      </c>
      <c r="DJ573" s="138">
        <f>DA573</f>
        <v/>
      </c>
      <c r="DK573" s="138">
        <f>DE573</f>
        <v/>
      </c>
      <c r="DL573" s="138">
        <f>DI573</f>
        <v/>
      </c>
      <c r="DM573" s="303">
        <f>IF(LEFT(BT573,1)=" ",RIGHT(BT573,LEN(BT573)-1),BT573)</f>
        <v/>
      </c>
      <c r="DN573" s="138">
        <f>_xlfn.CONCAT(BS573,DM573,BU573,BV573)</f>
        <v/>
      </c>
      <c r="DO573" s="307" t="inlineStr">
        <is>
          <t>https://images.evo.com/imgp/250/201069/825042/k2-reckoner-92-alliance-skis-women-s-2022-.jpg</t>
        </is>
      </c>
    </row>
    <row r="574" ht="15.6" customHeight="1" s="184">
      <c r="B574" s="303">
        <f t="array" ref="B574">IF(OR(ISERROR(K574:P574)),FALSE,TRUE)</f>
        <v/>
      </c>
      <c r="C574" s="60">
        <f>OR(BR574=Driver!$G$50,Data!BR1095=Driver!$H$50)</f>
        <v/>
      </c>
      <c r="D574" s="60">
        <f>OR(BV574=Driver!$G$51,BV574=Driver!$H$51)</f>
        <v/>
      </c>
      <c r="E574" s="60">
        <f>AND(BX574&gt;Driver!$F$54,BX574&lt;Driver!$G$54)</f>
        <v/>
      </c>
      <c r="F574" s="60">
        <f>CL574&gt;Driver!$F$56</f>
        <v/>
      </c>
      <c r="G574" s="60">
        <f>AND(CB574&gt;Driver!$F$55,CB574&lt;Driver!$G$55)</f>
        <v/>
      </c>
      <c r="H574" s="60">
        <f>AND(B574:G574)</f>
        <v/>
      </c>
      <c r="I574" s="60">
        <f>COUNTIFS($H$9:$H$1273,TRUE,$BT$9:$BT$1273,BT574)</f>
        <v/>
      </c>
      <c r="J574" s="60">
        <f t="array" ref="J574">NOT(OR(($H$9:$H$1273=TRUE)*($I$9:$I$1273&gt;0)*($BT$9:$BT$1273=BT574)*($K$9:$K$1273&gt;K574)))</f>
        <v/>
      </c>
      <c r="K574" s="108">
        <f>IFERROR(1-AVERAGE(X574:Y574),"")</f>
        <v/>
      </c>
      <c r="L574" s="108">
        <f>1-X574</f>
        <v/>
      </c>
      <c r="M574" s="108">
        <f>1-Y574</f>
        <v/>
      </c>
      <c r="N574" s="108">
        <f>1-Z574</f>
        <v/>
      </c>
      <c r="O574" s="108">
        <f>1-AA574</f>
        <v/>
      </c>
      <c r="P574" s="108">
        <f>1-AB574</f>
        <v/>
      </c>
      <c r="Q574" s="108" t="n"/>
      <c r="R574" s="108" t="n"/>
      <c r="S574" s="108">
        <f>1-AE574</f>
        <v/>
      </c>
      <c r="T574" s="108">
        <f>1-AF574</f>
        <v/>
      </c>
      <c r="U574" s="108">
        <f>1-AG574</f>
        <v/>
      </c>
      <c r="V574" s="108">
        <f>1-AH574</f>
        <v/>
      </c>
      <c r="W574" s="108">
        <f>1-AI574</f>
        <v/>
      </c>
      <c r="X574" s="108">
        <f>ABS(AJ574-AJ$1)</f>
        <v/>
      </c>
      <c r="Y574" s="108">
        <f>AVERAGE(Z574:AB574)</f>
        <v/>
      </c>
      <c r="Z574" s="108">
        <f>ABS(AL574-AL$1)</f>
        <v/>
      </c>
      <c r="AA574" s="108">
        <f>ABS(AM574-AM$1)</f>
        <v/>
      </c>
      <c r="AB574" s="108">
        <f>ABS(AN574-AN$1)</f>
        <v/>
      </c>
      <c r="AC574" s="108" t="n"/>
      <c r="AD574" s="108" t="n"/>
      <c r="AE574" s="108">
        <f>ABS(AQ$1-AQ574)</f>
        <v/>
      </c>
      <c r="AF574" s="108">
        <f>ABS(AR$1-AR574)</f>
        <v/>
      </c>
      <c r="AG574" s="108">
        <f>ABS(AS$1-AS574)</f>
        <v/>
      </c>
      <c r="AH574" s="108">
        <f>ABS(AT$1-AT574)</f>
        <v/>
      </c>
      <c r="AI574" s="108">
        <f>ABS(AU$1-AU574)</f>
        <v/>
      </c>
      <c r="AJ574" s="108">
        <f>(AV574-Driver!$K$179)/(Driver!$L$179-Driver!$K$179)</f>
        <v/>
      </c>
      <c r="AK574" s="108">
        <f>(AW574-Driver!$K$180)/(Driver!$L$180-Driver!$K$180)</f>
        <v/>
      </c>
      <c r="AL574" s="108">
        <f>(AX574-Driver!$K$181)/(Driver!$L$181-Driver!$K$181)</f>
        <v/>
      </c>
      <c r="AM574" s="108">
        <f>(AY574-Driver!$K$182)/(Driver!$L$182-Driver!$K$182)</f>
        <v/>
      </c>
      <c r="AN574" s="108">
        <f>(AZ574-Driver!$K$183)/(Driver!$L$183-Driver!$K$183)</f>
        <v/>
      </c>
      <c r="AO574" s="108" t="n"/>
      <c r="AP574" s="108" t="n"/>
      <c r="AQ574" s="108">
        <f>(BC574-Driver!$K$188)/(Driver!$L$188-Driver!$K$188)</f>
        <v/>
      </c>
      <c r="AR574" s="108">
        <f>MIN((BD574-Driver!$K$189)/(Driver!$L$189-Driver!$K$189),100%)</f>
        <v/>
      </c>
      <c r="AS574" s="108">
        <f>(BE574-Driver!$K$190)/(Driver!$L$190-Driver!$K$190)</f>
        <v/>
      </c>
      <c r="AT574" s="108">
        <f>(BF574-Driver!$K$191)/(Driver!$L$191-Driver!$K$191)</f>
        <v/>
      </c>
      <c r="AU574" s="108">
        <f>(BG574-Driver!$K$192)/(Driver!$L$192-Driver!$K$192)</f>
        <v/>
      </c>
      <c r="AV574" s="105">
        <f>IFERROR(BM574*BJ574^1/4,"")</f>
        <v/>
      </c>
      <c r="AW574" s="105">
        <f>IFERROR(SUM(AX574:AZ574),"")</f>
        <v/>
      </c>
      <c r="AX574" s="105">
        <f>IFERROR(BH574,"")</f>
        <v/>
      </c>
      <c r="AY574" s="105">
        <f>IFERROR(Driver!$K$19/Data!BH574/Data!BI574*Data!BK574*Data!BL574,"")</f>
        <v/>
      </c>
      <c r="AZ574" s="105">
        <f>IFERROR(BI574*BN574,"")</f>
        <v/>
      </c>
      <c r="BA574" s="105" t="n"/>
      <c r="BB574" s="105" t="n"/>
      <c r="BC574" s="105">
        <f>IFERROR(BI574*BN574*BK574/BJ574^(1/2),"")</f>
        <v/>
      </c>
      <c r="BD574" s="105">
        <f>IFERROR(BH574*BM574*BL574/BJ574/BK574,"")</f>
        <v/>
      </c>
      <c r="BE574" s="105">
        <f>IFERROR(MIN(BI574/BQ574/BP574/BO574/BH574,$BE$1),"")</f>
        <v/>
      </c>
      <c r="BF574" s="105">
        <f>IFERROR(BJ574*BO574*BP574/BK574,"")</f>
        <v/>
      </c>
      <c r="BG574" s="105">
        <f>IFERROR(1/BM574/BH574*BQ574,"")</f>
        <v/>
      </c>
      <c r="BH574" s="102">
        <f>MAX((CE574-Driver!$F$200)/(Driver!$G$200-Driver!$F$200)*$BI$1,1)</f>
        <v/>
      </c>
      <c r="BI574" s="102">
        <f>MAX($BI$1*(BY574-Driver!$F$201)/(Driver!$G$201-Driver!$F$201),1)</f>
        <v/>
      </c>
      <c r="BJ574" s="102">
        <f>(CB574-Driver!$F$206)/(Driver!$G$206-Driver!$F$206)*$BI$1</f>
        <v/>
      </c>
      <c r="BK574" s="102">
        <f>(CD574-Driver!$F$203)/(Driver!$G$203-Driver!$F$203)*$BI$1</f>
        <v/>
      </c>
      <c r="BL574" s="102">
        <f>MAX((CR574-Driver!$F$202)/(Driver!$G$202-Driver!$F$202)*$BI$1,1)</f>
        <v/>
      </c>
      <c r="BM574" s="102">
        <f>MAX((CH574-Driver!$F$204)/(Driver!$G$204-Driver!$F$204)*$BI$1,1)</f>
        <v/>
      </c>
      <c r="BN574" s="102">
        <f>(CI574-Driver!$F$205)/(Driver!$G$205-Driver!$F$205)*$BI$1</f>
        <v/>
      </c>
      <c r="BO574" s="102">
        <f>(CK574-Driver!$F$207)/(Driver!$G$207-Driver!$F$207)*$BI$1</f>
        <v/>
      </c>
      <c r="BP574" s="102">
        <f>(CM574-Driver!$F$208)/(Driver!$G$208-Driver!$F$208)*$BI$1</f>
        <v/>
      </c>
      <c r="BQ574" s="102">
        <f>(CL574-Driver!$F$209)/(Driver!$G$209-Driver!$F$209)*$BI$1</f>
        <v/>
      </c>
      <c r="BR574" s="40" t="inlineStr">
        <is>
          <t>21/22</t>
        </is>
      </c>
      <c r="BS574" s="10" t="inlineStr">
        <is>
          <t xml:space="preserve"> Salomon</t>
        </is>
      </c>
      <c r="BT574" s="11" t="inlineStr">
        <is>
          <t>S/Max 8</t>
        </is>
      </c>
      <c r="BU574" s="13" t="n">
        <v>160</v>
      </c>
      <c r="BV574" s="11" t="inlineStr">
        <is>
          <t xml:space="preserve"> Unisex</t>
        </is>
      </c>
      <c r="BW574" s="13" t="n">
        <v>160</v>
      </c>
      <c r="BX574" s="13" t="n">
        <v>159.5</v>
      </c>
      <c r="BY574" s="13" t="n">
        <v>139</v>
      </c>
      <c r="BZ574" s="13" t="n">
        <v>148</v>
      </c>
      <c r="CA574" s="13" t="n">
        <v>119</v>
      </c>
      <c r="CB574" s="13" t="n">
        <v>73</v>
      </c>
      <c r="CC574" s="13" t="n">
        <v>102</v>
      </c>
      <c r="CD574" s="13" t="n">
        <v>13.8</v>
      </c>
      <c r="CE574" s="13" t="n">
        <v>1901</v>
      </c>
      <c r="CF574" s="13" t="n">
        <v>0.74</v>
      </c>
      <c r="CG574" s="13" t="n">
        <v>1404</v>
      </c>
      <c r="CH574" s="13" t="n">
        <v>207</v>
      </c>
      <c r="CI574" s="13" t="n">
        <v>91</v>
      </c>
      <c r="CJ574" s="13" t="n">
        <v>31</v>
      </c>
      <c r="CK574" s="13" t="n">
        <v>130</v>
      </c>
      <c r="CL574" s="13" t="n">
        <v>5</v>
      </c>
      <c r="CM574" s="13" t="n">
        <v>77</v>
      </c>
      <c r="CN574" s="13" t="n">
        <v>0.146</v>
      </c>
      <c r="CO574" s="13" t="n">
        <v>84</v>
      </c>
      <c r="CP574" s="13" t="n">
        <v>32</v>
      </c>
      <c r="CQ574" s="13" t="n">
        <v>45</v>
      </c>
      <c r="CR574" s="13" t="n">
        <v>9</v>
      </c>
      <c r="CS574" s="13" t="n">
        <v>11.1</v>
      </c>
      <c r="CT574" s="11" t="inlineStr">
        <is>
          <t xml:space="preserve"> On-Piste Carving</t>
        </is>
      </c>
      <c r="CU574" s="13" t="n"/>
      <c r="CV574" s="13" t="n"/>
      <c r="CW574" s="13" t="n"/>
      <c r="CX574">
        <f>INDEX('Data_Price '!AG$2:AG$1266,MATCH(Data!$DN574,'Data_Price '!$AT$2:$AT$1266,0))</f>
        <v/>
      </c>
      <c r="CY574">
        <f>INDEX('Data_Price '!AH$2:AH$1266,MATCH(Data!$DN574,'Data_Price '!$AT$2:$AT$1266,0))</f>
        <v/>
      </c>
      <c r="CZ574">
        <f>INDEX('Data_Price '!AI$2:AI$1266,MATCH(Data!$DN574,'Data_Price '!$AT$2:$AT$1266,0))</f>
        <v/>
      </c>
      <c r="DA574">
        <f>INDEX('Data_Price '!AJ$2:AJ$1266,MATCH(Data!$DN574,'Data_Price '!$AT$2:$AT$1266,0))</f>
        <v/>
      </c>
      <c r="DB574">
        <f>INDEX('Data_Price '!AK$2:AK$1266,MATCH(Data!$DN574,'Data_Price '!$AT$2:$AT$1266,0))</f>
        <v/>
      </c>
      <c r="DC574">
        <f>INDEX('Data_Price '!AL$2:AL$1266,MATCH(Data!$DN574,'Data_Price '!$AT$2:$AT$1266,0))</f>
        <v/>
      </c>
      <c r="DD574">
        <f>INDEX('Data_Price '!AM$2:AM$1266,MATCH(Data!$DN574,'Data_Price '!$AT$2:$AT$1266,0))</f>
        <v/>
      </c>
      <c r="DE574">
        <f>INDEX('Data_Price '!AN$2:AN$1266,MATCH(Data!$DN574,'Data_Price '!$AT$2:$AT$1266,0))</f>
        <v/>
      </c>
      <c r="DF574">
        <f>INDEX('Data_Price '!AO$2:AO$1266,MATCH(Data!$DN574,'Data_Price '!$AT$2:$AT$1266,0))</f>
        <v/>
      </c>
      <c r="DG574">
        <f>INDEX('Data_Price '!AP$2:AP$1266,MATCH(Data!$DN574,'Data_Price '!$AT$2:$AT$1266,0))</f>
        <v/>
      </c>
      <c r="DH574">
        <f>INDEX('Data_Price '!AQ$2:AQ$1266,MATCH(Data!$DN574,'Data_Price '!$AT$2:$AT$1266,0))</f>
        <v/>
      </c>
      <c r="DI574">
        <f>INDEX('Data_Price '!AR$2:AR$1266,MATCH(Data!$DN574,'Data_Price '!$AT$2:$AT$1266,0))</f>
        <v/>
      </c>
      <c r="DJ574" s="138">
        <f>DA574</f>
        <v/>
      </c>
      <c r="DK574" s="138">
        <f>DE574</f>
        <v/>
      </c>
      <c r="DL574" s="138">
        <f>DI574</f>
        <v/>
      </c>
      <c r="DM574" s="303">
        <f>IF(LEFT(BT574,1)=" ",RIGHT(BT574,LEN(BT574)-1),BT574)</f>
        <v/>
      </c>
      <c r="DN574" s="138">
        <f>_xlfn.CONCAT(BS574,DM574,BU574,BV574)</f>
        <v/>
      </c>
      <c r="DO574" s="307" t="n"/>
    </row>
    <row r="575" ht="15.6" customHeight="1" s="184">
      <c r="B575" s="303">
        <f t="array" ref="B575">IF(OR(ISERROR(K575:P575)),FALSE,TRUE)</f>
        <v/>
      </c>
      <c r="C575" s="60">
        <f>OR(BR575=Driver!$G$50,Data!BR1096=Driver!$H$50)</f>
        <v/>
      </c>
      <c r="D575" s="60">
        <f>OR(BV575=Driver!$G$51,BV575=Driver!$H$51)</f>
        <v/>
      </c>
      <c r="E575" s="60">
        <f>AND(BX575&gt;Driver!$F$54,BX575&lt;Driver!$G$54)</f>
        <v/>
      </c>
      <c r="F575" s="60">
        <f>CL575&gt;Driver!$F$56</f>
        <v/>
      </c>
      <c r="G575" s="60">
        <f>AND(CB575&gt;Driver!$F$55,CB575&lt;Driver!$G$55)</f>
        <v/>
      </c>
      <c r="H575" s="60">
        <f>AND(B575:G575)</f>
        <v/>
      </c>
      <c r="I575" s="60">
        <f>COUNTIFS($H$9:$H$1273,TRUE,$BT$9:$BT$1273,BT575)</f>
        <v/>
      </c>
      <c r="J575" s="60">
        <f t="array" ref="J575">NOT(OR(($H$9:$H$1273=TRUE)*($I$9:$I$1273&gt;0)*($BT$9:$BT$1273=BT575)*($K$9:$K$1273&gt;K575)))</f>
        <v/>
      </c>
      <c r="K575" s="108">
        <f>IFERROR(1-AVERAGE(X575:Y575),"")</f>
        <v/>
      </c>
      <c r="L575" s="108">
        <f>1-X575</f>
        <v/>
      </c>
      <c r="M575" s="108">
        <f>1-Y575</f>
        <v/>
      </c>
      <c r="N575" s="108">
        <f>1-Z575</f>
        <v/>
      </c>
      <c r="O575" s="108">
        <f>1-AA575</f>
        <v/>
      </c>
      <c r="P575" s="108">
        <f>1-AB575</f>
        <v/>
      </c>
      <c r="Q575" s="108" t="n"/>
      <c r="R575" s="108" t="n"/>
      <c r="S575" s="108">
        <f>1-AE575</f>
        <v/>
      </c>
      <c r="T575" s="108">
        <f>1-AF575</f>
        <v/>
      </c>
      <c r="U575" s="108">
        <f>1-AG575</f>
        <v/>
      </c>
      <c r="V575" s="108">
        <f>1-AH575</f>
        <v/>
      </c>
      <c r="W575" s="108">
        <f>1-AI575</f>
        <v/>
      </c>
      <c r="X575" s="108">
        <f>ABS(AJ575-AJ$1)</f>
        <v/>
      </c>
      <c r="Y575" s="108">
        <f>AVERAGE(Z575:AB575)</f>
        <v/>
      </c>
      <c r="Z575" s="108">
        <f>ABS(AL575-AL$1)</f>
        <v/>
      </c>
      <c r="AA575" s="108">
        <f>ABS(AM575-AM$1)</f>
        <v/>
      </c>
      <c r="AB575" s="108">
        <f>ABS(AN575-AN$1)</f>
        <v/>
      </c>
      <c r="AC575" s="108" t="n"/>
      <c r="AD575" s="108" t="n"/>
      <c r="AE575" s="108">
        <f>ABS(AQ$1-AQ575)</f>
        <v/>
      </c>
      <c r="AF575" s="108">
        <f>ABS(AR$1-AR575)</f>
        <v/>
      </c>
      <c r="AG575" s="108">
        <f>ABS(AS$1-AS575)</f>
        <v/>
      </c>
      <c r="AH575" s="108">
        <f>ABS(AT$1-AT575)</f>
        <v/>
      </c>
      <c r="AI575" s="108">
        <f>ABS(AU$1-AU575)</f>
        <v/>
      </c>
      <c r="AJ575" s="108">
        <f>(AV575-Driver!$K$179)/(Driver!$L$179-Driver!$K$179)</f>
        <v/>
      </c>
      <c r="AK575" s="108">
        <f>(AW575-Driver!$K$180)/(Driver!$L$180-Driver!$K$180)</f>
        <v/>
      </c>
      <c r="AL575" s="108">
        <f>(AX575-Driver!$K$181)/(Driver!$L$181-Driver!$K$181)</f>
        <v/>
      </c>
      <c r="AM575" s="108">
        <f>(AY575-Driver!$K$182)/(Driver!$L$182-Driver!$K$182)</f>
        <v/>
      </c>
      <c r="AN575" s="108">
        <f>(AZ575-Driver!$K$183)/(Driver!$L$183-Driver!$K$183)</f>
        <v/>
      </c>
      <c r="AO575" s="108" t="n"/>
      <c r="AP575" s="108" t="n"/>
      <c r="AQ575" s="108">
        <f>(BC575-Driver!$K$188)/(Driver!$L$188-Driver!$K$188)</f>
        <v/>
      </c>
      <c r="AR575" s="108">
        <f>MIN((BD575-Driver!$K$189)/(Driver!$L$189-Driver!$K$189),100%)</f>
        <v/>
      </c>
      <c r="AS575" s="108">
        <f>(BE575-Driver!$K$190)/(Driver!$L$190-Driver!$K$190)</f>
        <v/>
      </c>
      <c r="AT575" s="108">
        <f>(BF575-Driver!$K$191)/(Driver!$L$191-Driver!$K$191)</f>
        <v/>
      </c>
      <c r="AU575" s="108">
        <f>(BG575-Driver!$K$192)/(Driver!$L$192-Driver!$K$192)</f>
        <v/>
      </c>
      <c r="AV575" s="105">
        <f>IFERROR(BM575*BJ575^1/4,"")</f>
        <v/>
      </c>
      <c r="AW575" s="105">
        <f>IFERROR(SUM(AX575:AZ575),"")</f>
        <v/>
      </c>
      <c r="AX575" s="105">
        <f>IFERROR(BH575,"")</f>
        <v/>
      </c>
      <c r="AY575" s="105">
        <f>IFERROR(Driver!$K$19/Data!BH575/Data!BI575*Data!BK575*Data!BL575,"")</f>
        <v/>
      </c>
      <c r="AZ575" s="105">
        <f>IFERROR(BI575*BN575,"")</f>
        <v/>
      </c>
      <c r="BA575" s="105" t="n"/>
      <c r="BB575" s="105" t="n"/>
      <c r="BC575" s="105">
        <f>IFERROR(BI575*BN575*BK575/BJ575^(1/2),"")</f>
        <v/>
      </c>
      <c r="BD575" s="105">
        <f>IFERROR(BH575*BM575*BL575/BJ575/BK575,"")</f>
        <v/>
      </c>
      <c r="BE575" s="105">
        <f>IFERROR(MIN(BI575/BQ575/BP575/BO575/BH575,$BE$1),"")</f>
        <v/>
      </c>
      <c r="BF575" s="105">
        <f>IFERROR(BJ575*BO575*BP575/BK575,"")</f>
        <v/>
      </c>
      <c r="BG575" s="105">
        <f>IFERROR(1/BM575/BH575*BQ575,"")</f>
        <v/>
      </c>
      <c r="BH575" s="102">
        <f>MAX((CE575-Driver!$F$200)/(Driver!$G$200-Driver!$F$200)*$BI$1,1)</f>
        <v/>
      </c>
      <c r="BI575" s="102">
        <f>MAX($BI$1*(BY575-Driver!$F$201)/(Driver!$G$201-Driver!$F$201),1)</f>
        <v/>
      </c>
      <c r="BJ575" s="102">
        <f>(CB575-Driver!$F$206)/(Driver!$G$206-Driver!$F$206)*$BI$1</f>
        <v/>
      </c>
      <c r="BK575" s="102">
        <f>(CD575-Driver!$F$203)/(Driver!$G$203-Driver!$F$203)*$BI$1</f>
        <v/>
      </c>
      <c r="BL575" s="102">
        <f>MAX((CR575-Driver!$F$202)/(Driver!$G$202-Driver!$F$202)*$BI$1,1)</f>
        <v/>
      </c>
      <c r="BM575" s="102">
        <f>MAX((CH575-Driver!$F$204)/(Driver!$G$204-Driver!$F$204)*$BI$1,1)</f>
        <v/>
      </c>
      <c r="BN575" s="102">
        <f>(CI575-Driver!$F$205)/(Driver!$G$205-Driver!$F$205)*$BI$1</f>
        <v/>
      </c>
      <c r="BO575" s="102">
        <f>(CK575-Driver!$F$207)/(Driver!$G$207-Driver!$F$207)*$BI$1</f>
        <v/>
      </c>
      <c r="BP575" s="102">
        <f>(CM575-Driver!$F$208)/(Driver!$G$208-Driver!$F$208)*$BI$1</f>
        <v/>
      </c>
      <c r="BQ575" s="102">
        <f>(CL575-Driver!$F$209)/(Driver!$G$209-Driver!$F$209)*$BI$1</f>
        <v/>
      </c>
      <c r="BR575" s="40" t="inlineStr">
        <is>
          <t>21/22</t>
        </is>
      </c>
      <c r="BS575" s="10" t="inlineStr">
        <is>
          <t xml:space="preserve"> Salomon</t>
        </is>
      </c>
      <c r="BT575" s="11" t="inlineStr">
        <is>
          <t>S/Max 8</t>
        </is>
      </c>
      <c r="BU575" s="13" t="n">
        <v>165</v>
      </c>
      <c r="BV575" s="11" t="inlineStr">
        <is>
          <t xml:space="preserve"> Unisex</t>
        </is>
      </c>
      <c r="BW575" s="13" t="n">
        <v>165</v>
      </c>
      <c r="BX575" s="13" t="n">
        <v>164.4</v>
      </c>
      <c r="BY575" s="13" t="n">
        <v>145</v>
      </c>
      <c r="BZ575" s="13" t="n">
        <v>152</v>
      </c>
      <c r="CA575" s="13" t="n">
        <v>120</v>
      </c>
      <c r="CB575" s="13" t="n">
        <v>73</v>
      </c>
      <c r="CC575" s="13" t="n">
        <v>103</v>
      </c>
      <c r="CD575" s="13" t="n">
        <v>14.5</v>
      </c>
      <c r="CE575" s="13" t="n">
        <v>1962</v>
      </c>
      <c r="CF575" s="13" t="n">
        <v>0.74</v>
      </c>
      <c r="CG575" s="13" t="n">
        <v>1451</v>
      </c>
      <c r="CH575" s="13" t="n">
        <v>195</v>
      </c>
      <c r="CI575" s="13" t="n">
        <v>91</v>
      </c>
      <c r="CJ575" s="13" t="n">
        <v>32</v>
      </c>
      <c r="CK575" s="13" t="n">
        <v>130</v>
      </c>
      <c r="CL575" s="13" t="n">
        <v>4</v>
      </c>
      <c r="CM575" s="13" t="n">
        <v>68</v>
      </c>
      <c r="CN575" s="13" t="n">
        <v>0.138</v>
      </c>
      <c r="CO575" s="13" t="n">
        <v>86</v>
      </c>
      <c r="CP575" s="13" t="n">
        <v>35</v>
      </c>
      <c r="CQ575" s="13" t="n">
        <v>43</v>
      </c>
      <c r="CR575" s="13" t="n">
        <v>12</v>
      </c>
      <c r="CS575" s="13" t="n">
        <v>11.1</v>
      </c>
      <c r="CT575" s="11" t="inlineStr">
        <is>
          <t xml:space="preserve"> On-Piste Carving</t>
        </is>
      </c>
      <c r="CU575" s="13" t="n"/>
      <c r="CV575" s="13" t="n"/>
      <c r="CW575" s="13" t="n"/>
      <c r="CX575">
        <f>INDEX('Data_Price '!AG$2:AG$1266,MATCH(Data!$DN575,'Data_Price '!$AT$2:$AT$1266,0))</f>
        <v/>
      </c>
      <c r="CY575">
        <f>INDEX('Data_Price '!AH$2:AH$1266,MATCH(Data!$DN575,'Data_Price '!$AT$2:$AT$1266,0))</f>
        <v/>
      </c>
      <c r="CZ575">
        <f>INDEX('Data_Price '!AI$2:AI$1266,MATCH(Data!$DN575,'Data_Price '!$AT$2:$AT$1266,0))</f>
        <v/>
      </c>
      <c r="DA575">
        <f>INDEX('Data_Price '!AJ$2:AJ$1266,MATCH(Data!$DN575,'Data_Price '!$AT$2:$AT$1266,0))</f>
        <v/>
      </c>
      <c r="DB575">
        <f>INDEX('Data_Price '!AK$2:AK$1266,MATCH(Data!$DN575,'Data_Price '!$AT$2:$AT$1266,0))</f>
        <v/>
      </c>
      <c r="DC575">
        <f>INDEX('Data_Price '!AL$2:AL$1266,MATCH(Data!$DN575,'Data_Price '!$AT$2:$AT$1266,0))</f>
        <v/>
      </c>
      <c r="DD575">
        <f>INDEX('Data_Price '!AM$2:AM$1266,MATCH(Data!$DN575,'Data_Price '!$AT$2:$AT$1266,0))</f>
        <v/>
      </c>
      <c r="DE575">
        <f>INDEX('Data_Price '!AN$2:AN$1266,MATCH(Data!$DN575,'Data_Price '!$AT$2:$AT$1266,0))</f>
        <v/>
      </c>
      <c r="DF575">
        <f>INDEX('Data_Price '!AO$2:AO$1266,MATCH(Data!$DN575,'Data_Price '!$AT$2:$AT$1266,0))</f>
        <v/>
      </c>
      <c r="DG575">
        <f>INDEX('Data_Price '!AP$2:AP$1266,MATCH(Data!$DN575,'Data_Price '!$AT$2:$AT$1266,0))</f>
        <v/>
      </c>
      <c r="DH575">
        <f>INDEX('Data_Price '!AQ$2:AQ$1266,MATCH(Data!$DN575,'Data_Price '!$AT$2:$AT$1266,0))</f>
        <v/>
      </c>
      <c r="DI575">
        <f>INDEX('Data_Price '!AR$2:AR$1266,MATCH(Data!$DN575,'Data_Price '!$AT$2:$AT$1266,0))</f>
        <v/>
      </c>
      <c r="DJ575" s="138">
        <f>DA575</f>
        <v/>
      </c>
      <c r="DK575" s="138">
        <f>DE575</f>
        <v/>
      </c>
      <c r="DL575" s="138">
        <f>DI575</f>
        <v/>
      </c>
      <c r="DM575" s="303">
        <f>IF(LEFT(BT575,1)=" ",RIGHT(BT575,LEN(BT575)-1),BT575)</f>
        <v/>
      </c>
      <c r="DN575" s="138">
        <f>_xlfn.CONCAT(BS575,DM575,BU575,BV575)</f>
        <v/>
      </c>
      <c r="DO575" s="307" t="n"/>
    </row>
    <row r="576" ht="15.6" customHeight="1" s="184">
      <c r="B576" s="303">
        <f t="array" ref="B576">IF(OR(ISERROR(K576:P576)),FALSE,TRUE)</f>
        <v/>
      </c>
      <c r="C576" s="60">
        <f>OR(BR576=Driver!$G$50,Data!BR526=Driver!$H$50)</f>
        <v/>
      </c>
      <c r="D576" s="60">
        <f>OR(BV576=Driver!$G$51,BV576=Driver!$H$51)</f>
        <v/>
      </c>
      <c r="E576" s="60">
        <f>AND(BX576&gt;Driver!$F$54,BX576&lt;Driver!$G$54)</f>
        <v/>
      </c>
      <c r="F576" s="60">
        <f>CL576&gt;Driver!$F$56</f>
        <v/>
      </c>
      <c r="G576" s="60">
        <f>AND(CB576&gt;Driver!$F$55,CB576&lt;Driver!$G$55)</f>
        <v/>
      </c>
      <c r="H576" s="60">
        <f>AND(B576:G576)</f>
        <v/>
      </c>
      <c r="I576" s="60">
        <f>COUNTIFS($H$9:$H$1273,TRUE,$BT$9:$BT$1273,BT576)</f>
        <v/>
      </c>
      <c r="J576" s="60">
        <f t="array" ref="J576">NOT(OR(($H$9:$H$1273=TRUE)*($I$9:$I$1273&gt;0)*($BT$9:$BT$1273=BT576)*($K$9:$K$1273&gt;K576)))</f>
        <v/>
      </c>
      <c r="K576" s="108">
        <f>IFERROR(1-AVERAGE(X576:Y576),"")</f>
        <v/>
      </c>
      <c r="L576" s="108">
        <f>1-X576</f>
        <v/>
      </c>
      <c r="M576" s="108">
        <f>1-Y576</f>
        <v/>
      </c>
      <c r="N576" s="108">
        <f>1-Z576</f>
        <v/>
      </c>
      <c r="O576" s="108">
        <f>1-AA576</f>
        <v/>
      </c>
      <c r="P576" s="108">
        <f>1-AB576</f>
        <v/>
      </c>
      <c r="Q576" s="108" t="n"/>
      <c r="R576" s="108" t="n"/>
      <c r="S576" s="108">
        <f>1-AE576</f>
        <v/>
      </c>
      <c r="T576" s="108">
        <f>1-AF576</f>
        <v/>
      </c>
      <c r="U576" s="108">
        <f>1-AG576</f>
        <v/>
      </c>
      <c r="V576" s="108">
        <f>1-AH576</f>
        <v/>
      </c>
      <c r="W576" s="108">
        <f>1-AI576</f>
        <v/>
      </c>
      <c r="X576" s="108">
        <f>ABS(AJ576-AJ$1)</f>
        <v/>
      </c>
      <c r="Y576" s="108">
        <f>AVERAGE(Z576:AB576)</f>
        <v/>
      </c>
      <c r="Z576" s="108">
        <f>ABS(AL576-AL$1)</f>
        <v/>
      </c>
      <c r="AA576" s="108">
        <f>ABS(AM576-AM$1)</f>
        <v/>
      </c>
      <c r="AB576" s="108">
        <f>ABS(AN576-AN$1)</f>
        <v/>
      </c>
      <c r="AC576" s="108" t="n"/>
      <c r="AD576" s="108" t="n"/>
      <c r="AE576" s="108">
        <f>ABS(AQ$1-AQ576)</f>
        <v/>
      </c>
      <c r="AF576" s="108">
        <f>ABS(AR$1-AR576)</f>
        <v/>
      </c>
      <c r="AG576" s="108">
        <f>ABS(AS$1-AS576)</f>
        <v/>
      </c>
      <c r="AH576" s="108">
        <f>ABS(AT$1-AT576)</f>
        <v/>
      </c>
      <c r="AI576" s="108">
        <f>ABS(AU$1-AU576)</f>
        <v/>
      </c>
      <c r="AJ576" s="108">
        <f>(AV576-Driver!$K$179)/(Driver!$L$179-Driver!$K$179)</f>
        <v/>
      </c>
      <c r="AK576" s="108">
        <f>(AW576-Driver!$K$180)/(Driver!$L$180-Driver!$K$180)</f>
        <v/>
      </c>
      <c r="AL576" s="108">
        <f>(AX576-Driver!$K$181)/(Driver!$L$181-Driver!$K$181)</f>
        <v/>
      </c>
      <c r="AM576" s="108">
        <f>(AY576-Driver!$K$182)/(Driver!$L$182-Driver!$K$182)</f>
        <v/>
      </c>
      <c r="AN576" s="108">
        <f>(AZ576-Driver!$K$183)/(Driver!$L$183-Driver!$K$183)</f>
        <v/>
      </c>
      <c r="AO576" s="108" t="n"/>
      <c r="AP576" s="108" t="n"/>
      <c r="AQ576" s="108">
        <f>(BC576-Driver!$K$188)/(Driver!$L$188-Driver!$K$188)</f>
        <v/>
      </c>
      <c r="AR576" s="108">
        <f>MIN((BD576-Driver!$K$189)/(Driver!$L$189-Driver!$K$189),100%)</f>
        <v/>
      </c>
      <c r="AS576" s="108">
        <f>(BE576-Driver!$K$190)/(Driver!$L$190-Driver!$K$190)</f>
        <v/>
      </c>
      <c r="AT576" s="108">
        <f>(BF576-Driver!$K$191)/(Driver!$L$191-Driver!$K$191)</f>
        <v/>
      </c>
      <c r="AU576" s="108">
        <f>(BG576-Driver!$K$192)/(Driver!$L$192-Driver!$K$192)</f>
        <v/>
      </c>
      <c r="AV576" s="105">
        <f>IFERROR(BM576*BJ576^1/4,"")</f>
        <v/>
      </c>
      <c r="AW576" s="105">
        <f>IFERROR(SUM(AX576:AZ576),"")</f>
        <v/>
      </c>
      <c r="AX576" s="105">
        <f>IFERROR(BH576,"")</f>
        <v/>
      </c>
      <c r="AY576" s="105">
        <f>IFERROR(Driver!$K$19/Data!BH576/Data!BI576*Data!BK576*Data!BL576,"")</f>
        <v/>
      </c>
      <c r="AZ576" s="105">
        <f>IFERROR(BI576*BN576,"")</f>
        <v/>
      </c>
      <c r="BA576" s="105" t="n"/>
      <c r="BB576" s="105" t="n"/>
      <c r="BC576" s="105">
        <f>IFERROR(BI576*BN576*BK576/BJ576^(1/2),"")</f>
        <v/>
      </c>
      <c r="BD576" s="105">
        <f>IFERROR(BH576*BM576*BL576/BJ576/BK576,"")</f>
        <v/>
      </c>
      <c r="BE576" s="105">
        <f>IFERROR(MIN(BI576/BQ576/BP576/BO576/BH576,$BE$1),"")</f>
        <v/>
      </c>
      <c r="BF576" s="105">
        <f>IFERROR(BJ576*BO576*BP576/BK576,"")</f>
        <v/>
      </c>
      <c r="BG576" s="105">
        <f>IFERROR(1/BM576/BH576*BQ576,"")</f>
        <v/>
      </c>
      <c r="BH576" s="102">
        <f>MAX((CE576-Driver!$F$200)/(Driver!$G$200-Driver!$F$200)*$BI$1,1)</f>
        <v/>
      </c>
      <c r="BI576" s="102">
        <f>MAX($BI$1*(BY576-Driver!$F$201)/(Driver!$G$201-Driver!$F$201),1)</f>
        <v/>
      </c>
      <c r="BJ576" s="102">
        <f>(CB576-Driver!$F$206)/(Driver!$G$206-Driver!$F$206)*$BI$1</f>
        <v/>
      </c>
      <c r="BK576" s="102">
        <f>(CD576-Driver!$F$203)/(Driver!$G$203-Driver!$F$203)*$BI$1</f>
        <v/>
      </c>
      <c r="BL576" s="102">
        <f>MAX((CR576-Driver!$F$202)/(Driver!$G$202-Driver!$F$202)*$BI$1,1)</f>
        <v/>
      </c>
      <c r="BM576" s="102">
        <f>MAX((CH576-Driver!$F$204)/(Driver!$G$204-Driver!$F$204)*$BI$1,1)</f>
        <v/>
      </c>
      <c r="BN576" s="102">
        <f>(CI576-Driver!$F$205)/(Driver!$G$205-Driver!$F$205)*$BI$1</f>
        <v/>
      </c>
      <c r="BO576" s="102">
        <f>(CK576-Driver!$F$207)/(Driver!$G$207-Driver!$F$207)*$BI$1</f>
        <v/>
      </c>
      <c r="BP576" s="102">
        <f>(CM576-Driver!$F$208)/(Driver!$G$208-Driver!$F$208)*$BI$1</f>
        <v/>
      </c>
      <c r="BQ576" s="102">
        <f>(CL576-Driver!$F$209)/(Driver!$G$209-Driver!$F$209)*$BI$1</f>
        <v/>
      </c>
      <c r="BR576" s="40" t="inlineStr">
        <is>
          <t>21/22</t>
        </is>
      </c>
      <c r="BS576" s="10" t="inlineStr">
        <is>
          <t xml:space="preserve"> Faction</t>
        </is>
      </c>
      <c r="BT576" s="11" t="inlineStr">
        <is>
          <t>Prodigy 0.0</t>
        </is>
      </c>
      <c r="BU576" s="13" t="n">
        <v>171</v>
      </c>
      <c r="BV576" s="11" t="inlineStr">
        <is>
          <t xml:space="preserve"> Unisex</t>
        </is>
      </c>
      <c r="BW576" s="13" t="n">
        <v>171</v>
      </c>
      <c r="BX576" s="13" t="n">
        <v>169.5</v>
      </c>
      <c r="BY576" s="13" t="n">
        <v>120</v>
      </c>
      <c r="BZ576" s="13" t="n">
        <v>143</v>
      </c>
      <c r="CA576" s="13" t="n">
        <v>116</v>
      </c>
      <c r="CB576" s="13" t="n">
        <v>84</v>
      </c>
      <c r="CC576" s="13" t="n">
        <v>108</v>
      </c>
      <c r="CD576" s="13" t="n">
        <v>16.4</v>
      </c>
      <c r="CE576" s="13" t="n">
        <v>1766</v>
      </c>
      <c r="CF576" s="13" t="n">
        <v>0.91</v>
      </c>
      <c r="CG576" s="13" t="n">
        <v>1614</v>
      </c>
      <c r="CH576" s="13" t="n">
        <v>176</v>
      </c>
      <c r="CI576" s="13" t="n">
        <v>81</v>
      </c>
      <c r="CJ576" s="13" t="n">
        <v>47</v>
      </c>
      <c r="CK576" s="13" t="n">
        <v>281</v>
      </c>
      <c r="CL576" s="13" t="n">
        <v>35</v>
      </c>
      <c r="CM576" s="13" t="n">
        <v>209</v>
      </c>
      <c r="CN576" s="13" t="n">
        <v>0.745</v>
      </c>
      <c r="CO576" s="13" t="n">
        <v>145</v>
      </c>
      <c r="CP576" s="13" t="n">
        <v>118</v>
      </c>
      <c r="CQ576" s="13" t="n">
        <v>136</v>
      </c>
      <c r="CR576" s="13" t="n">
        <v>9</v>
      </c>
      <c r="CS576" s="13" t="n">
        <v>6.9</v>
      </c>
      <c r="CT576" s="11" t="inlineStr">
        <is>
          <t xml:space="preserve"> Resort Freeride</t>
        </is>
      </c>
      <c r="CU576" s="13" t="n"/>
      <c r="CV576" s="13" t="n"/>
      <c r="CW576" s="13" t="n"/>
      <c r="CX576">
        <f>INDEX('Data_Price '!AG$2:AG$1266,MATCH(Data!$DN576,'Data_Price '!$AT$2:$AT$1266,0))</f>
        <v/>
      </c>
      <c r="CY576">
        <f>INDEX('Data_Price '!AH$2:AH$1266,MATCH(Data!$DN576,'Data_Price '!$AT$2:$AT$1266,0))</f>
        <v/>
      </c>
      <c r="CZ576">
        <f>INDEX('Data_Price '!AI$2:AI$1266,MATCH(Data!$DN576,'Data_Price '!$AT$2:$AT$1266,0))</f>
        <v/>
      </c>
      <c r="DA576">
        <f>INDEX('Data_Price '!AJ$2:AJ$1266,MATCH(Data!$DN576,'Data_Price '!$AT$2:$AT$1266,0))</f>
        <v/>
      </c>
      <c r="DB576">
        <f>INDEX('Data_Price '!AK$2:AK$1266,MATCH(Data!$DN576,'Data_Price '!$AT$2:$AT$1266,0))</f>
        <v/>
      </c>
      <c r="DC576">
        <f>INDEX('Data_Price '!AL$2:AL$1266,MATCH(Data!$DN576,'Data_Price '!$AT$2:$AT$1266,0))</f>
        <v/>
      </c>
      <c r="DD576">
        <f>INDEX('Data_Price '!AM$2:AM$1266,MATCH(Data!$DN576,'Data_Price '!$AT$2:$AT$1266,0))</f>
        <v/>
      </c>
      <c r="DE576">
        <f>INDEX('Data_Price '!AN$2:AN$1266,MATCH(Data!$DN576,'Data_Price '!$AT$2:$AT$1266,0))</f>
        <v/>
      </c>
      <c r="DF576">
        <f>INDEX('Data_Price '!AO$2:AO$1266,MATCH(Data!$DN576,'Data_Price '!$AT$2:$AT$1266,0))</f>
        <v/>
      </c>
      <c r="DG576">
        <f>INDEX('Data_Price '!AP$2:AP$1266,MATCH(Data!$DN576,'Data_Price '!$AT$2:$AT$1266,0))</f>
        <v/>
      </c>
      <c r="DH576">
        <f>INDEX('Data_Price '!AQ$2:AQ$1266,MATCH(Data!$DN576,'Data_Price '!$AT$2:$AT$1266,0))</f>
        <v/>
      </c>
      <c r="DI576">
        <f>INDEX('Data_Price '!AR$2:AR$1266,MATCH(Data!$DN576,'Data_Price '!$AT$2:$AT$1266,0))</f>
        <v/>
      </c>
      <c r="DJ576" s="138">
        <f>DA576</f>
        <v/>
      </c>
      <c r="DK576" s="138">
        <f>DE576</f>
        <v/>
      </c>
      <c r="DL576" s="138">
        <f>DI576</f>
        <v/>
      </c>
      <c r="DM576" s="303">
        <f>IF(LEFT(BT576,1)=" ",RIGHT(BT576,LEN(BT576)-1),BT576)</f>
        <v/>
      </c>
      <c r="DN576" s="138">
        <f>_xlfn.CONCAT(BS576,DM576,BU576,BV576)</f>
        <v/>
      </c>
      <c r="DO576" s="307" t="n"/>
    </row>
    <row r="577" ht="15.6" customHeight="1" s="184">
      <c r="B577" s="303">
        <f t="array" ref="B577">IF(OR(ISERROR(K577:P577)),FALSE,TRUE)</f>
        <v/>
      </c>
      <c r="C577" s="60">
        <f>OR(BR577=Driver!$G$50,Data!BR1055=Driver!$H$50)</f>
        <v/>
      </c>
      <c r="D577" s="60">
        <f>OR(BV577=Driver!$G$51,BV577=Driver!$H$51)</f>
        <v/>
      </c>
      <c r="E577" s="60">
        <f>AND(BX577&gt;Driver!$F$54,BX577&lt;Driver!$G$54)</f>
        <v/>
      </c>
      <c r="F577" s="60">
        <f>CL577&gt;Driver!$F$56</f>
        <v/>
      </c>
      <c r="G577" s="60">
        <f>AND(CB577&gt;Driver!$F$55,CB577&lt;Driver!$G$55)</f>
        <v/>
      </c>
      <c r="H577" s="60">
        <f>AND(B577:G577)</f>
        <v/>
      </c>
      <c r="I577" s="60">
        <f>COUNTIFS($H$9:$H$1273,TRUE,$BT$9:$BT$1273,BT577)</f>
        <v/>
      </c>
      <c r="J577" s="60">
        <f t="array" ref="J577">NOT(OR(($H$9:$H$1273=TRUE)*($I$9:$I$1273&gt;0)*($BT$9:$BT$1273=BT577)*($K$9:$K$1273&gt;K577)))</f>
        <v/>
      </c>
      <c r="K577" s="108">
        <f>IFERROR(1-AVERAGE(X577:Y577),"")</f>
        <v/>
      </c>
      <c r="L577" s="108">
        <f>1-X577</f>
        <v/>
      </c>
      <c r="M577" s="108">
        <f>1-Y577</f>
        <v/>
      </c>
      <c r="N577" s="108">
        <f>1-Z577</f>
        <v/>
      </c>
      <c r="O577" s="108">
        <f>1-AA577</f>
        <v/>
      </c>
      <c r="P577" s="108">
        <f>1-AB577</f>
        <v/>
      </c>
      <c r="Q577" s="108" t="n"/>
      <c r="R577" s="108" t="n"/>
      <c r="S577" s="108">
        <f>1-AE577</f>
        <v/>
      </c>
      <c r="T577" s="108">
        <f>1-AF577</f>
        <v/>
      </c>
      <c r="U577" s="108">
        <f>1-AG577</f>
        <v/>
      </c>
      <c r="V577" s="108">
        <f>1-AH577</f>
        <v/>
      </c>
      <c r="W577" s="108">
        <f>1-AI577</f>
        <v/>
      </c>
      <c r="X577" s="108">
        <f>ABS(AJ577-AJ$1)</f>
        <v/>
      </c>
      <c r="Y577" s="108">
        <f>AVERAGE(Z577:AB577)</f>
        <v/>
      </c>
      <c r="Z577" s="108">
        <f>ABS(AL577-AL$1)</f>
        <v/>
      </c>
      <c r="AA577" s="108">
        <f>ABS(AM577-AM$1)</f>
        <v/>
      </c>
      <c r="AB577" s="108">
        <f>ABS(AN577-AN$1)</f>
        <v/>
      </c>
      <c r="AC577" s="108" t="n"/>
      <c r="AD577" s="108" t="n"/>
      <c r="AE577" s="108">
        <f>ABS(AQ$1-AQ577)</f>
        <v/>
      </c>
      <c r="AF577" s="108">
        <f>ABS(AR$1-AR577)</f>
        <v/>
      </c>
      <c r="AG577" s="108">
        <f>ABS(AS$1-AS577)</f>
        <v/>
      </c>
      <c r="AH577" s="108">
        <f>ABS(AT$1-AT577)</f>
        <v/>
      </c>
      <c r="AI577" s="108">
        <f>ABS(AU$1-AU577)</f>
        <v/>
      </c>
      <c r="AJ577" s="108">
        <f>(AV577-Driver!$K$179)/(Driver!$L$179-Driver!$K$179)</f>
        <v/>
      </c>
      <c r="AK577" s="108">
        <f>(AW577-Driver!$K$180)/(Driver!$L$180-Driver!$K$180)</f>
        <v/>
      </c>
      <c r="AL577" s="108">
        <f>(AX577-Driver!$K$181)/(Driver!$L$181-Driver!$K$181)</f>
        <v/>
      </c>
      <c r="AM577" s="108">
        <f>(AY577-Driver!$K$182)/(Driver!$L$182-Driver!$K$182)</f>
        <v/>
      </c>
      <c r="AN577" s="108">
        <f>(AZ577-Driver!$K$183)/(Driver!$L$183-Driver!$K$183)</f>
        <v/>
      </c>
      <c r="AO577" s="108" t="n"/>
      <c r="AP577" s="108" t="n"/>
      <c r="AQ577" s="108">
        <f>(BC577-Driver!$K$188)/(Driver!$L$188-Driver!$K$188)</f>
        <v/>
      </c>
      <c r="AR577" s="108">
        <f>MIN((BD577-Driver!$K$189)/(Driver!$L$189-Driver!$K$189),100%)</f>
        <v/>
      </c>
      <c r="AS577" s="108">
        <f>(BE577-Driver!$K$190)/(Driver!$L$190-Driver!$K$190)</f>
        <v/>
      </c>
      <c r="AT577" s="108">
        <f>(BF577-Driver!$K$191)/(Driver!$L$191-Driver!$K$191)</f>
        <v/>
      </c>
      <c r="AU577" s="108">
        <f>(BG577-Driver!$K$192)/(Driver!$L$192-Driver!$K$192)</f>
        <v/>
      </c>
      <c r="AV577" s="105">
        <f>IFERROR(BM577*BJ577^1/4,"")</f>
        <v/>
      </c>
      <c r="AW577" s="105">
        <f>IFERROR(SUM(AX577:AZ577),"")</f>
        <v/>
      </c>
      <c r="AX577" s="105">
        <f>IFERROR(BH577,"")</f>
        <v/>
      </c>
      <c r="AY577" s="105">
        <f>IFERROR(Driver!$K$19/Data!BH577/Data!BI577*Data!BK577*Data!BL577,"")</f>
        <v/>
      </c>
      <c r="AZ577" s="105">
        <f>IFERROR(BI577*BN577,"")</f>
        <v/>
      </c>
      <c r="BA577" s="105" t="n"/>
      <c r="BB577" s="105" t="n"/>
      <c r="BC577" s="105">
        <f>IFERROR(BI577*BN577*BK577/BJ577^(1/2),"")</f>
        <v/>
      </c>
      <c r="BD577" s="105">
        <f>IFERROR(BH577*BM577*BL577/BJ577/BK577,"")</f>
        <v/>
      </c>
      <c r="BE577" s="105">
        <f>IFERROR(MIN(BI577/BQ577/BP577/BO577/BH577,$BE$1),"")</f>
        <v/>
      </c>
      <c r="BF577" s="105">
        <f>IFERROR(BJ577*BO577*BP577/BK577,"")</f>
        <v/>
      </c>
      <c r="BG577" s="105">
        <f>IFERROR(1/BM577/BH577*BQ577,"")</f>
        <v/>
      </c>
      <c r="BH577" s="102">
        <f>MAX((CE577-Driver!$F$200)/(Driver!$G$200-Driver!$F$200)*$BI$1,1)</f>
        <v/>
      </c>
      <c r="BI577" s="102">
        <f>MAX($BI$1*(BY577-Driver!$F$201)/(Driver!$G$201-Driver!$F$201),1)</f>
        <v/>
      </c>
      <c r="BJ577" s="102">
        <f>(CB577-Driver!$F$206)/(Driver!$G$206-Driver!$F$206)*$BI$1</f>
        <v/>
      </c>
      <c r="BK577" s="102">
        <f>(CD577-Driver!$F$203)/(Driver!$G$203-Driver!$F$203)*$BI$1</f>
        <v/>
      </c>
      <c r="BL577" s="102">
        <f>MAX((CR577-Driver!$F$202)/(Driver!$G$202-Driver!$F$202)*$BI$1,1)</f>
        <v/>
      </c>
      <c r="BM577" s="102">
        <f>MAX((CH577-Driver!$F$204)/(Driver!$G$204-Driver!$F$204)*$BI$1,1)</f>
        <v/>
      </c>
      <c r="BN577" s="102">
        <f>(CI577-Driver!$F$205)/(Driver!$G$205-Driver!$F$205)*$BI$1</f>
        <v/>
      </c>
      <c r="BO577" s="102">
        <f>(CK577-Driver!$F$207)/(Driver!$G$207-Driver!$F$207)*$BI$1</f>
        <v/>
      </c>
      <c r="BP577" s="102">
        <f>(CM577-Driver!$F$208)/(Driver!$G$208-Driver!$F$208)*$BI$1</f>
        <v/>
      </c>
      <c r="BQ577" s="102">
        <f>(CL577-Driver!$F$209)/(Driver!$G$209-Driver!$F$209)*$BI$1</f>
        <v/>
      </c>
      <c r="BR577" s="40" t="inlineStr">
        <is>
          <t>21/22</t>
        </is>
      </c>
      <c r="BS577" s="10" t="inlineStr">
        <is>
          <t xml:space="preserve"> Rossignol</t>
        </is>
      </c>
      <c r="BT577" s="11" t="inlineStr">
        <is>
          <t>React 2</t>
        </is>
      </c>
      <c r="BU577" s="13" t="n">
        <v>176</v>
      </c>
      <c r="BV577" s="11" t="inlineStr">
        <is>
          <t xml:space="preserve"> Unisex</t>
        </is>
      </c>
      <c r="BW577" s="13" t="n">
        <v>176</v>
      </c>
      <c r="BX577" s="13" t="n">
        <v>176.3</v>
      </c>
      <c r="BY577" s="13" t="n">
        <v>156</v>
      </c>
      <c r="BZ577" s="13" t="n">
        <v>160</v>
      </c>
      <c r="CA577" s="13" t="n">
        <v>121</v>
      </c>
      <c r="CB577" s="13" t="n">
        <v>74</v>
      </c>
      <c r="CC577" s="13" t="n">
        <v>107</v>
      </c>
      <c r="CD577" s="13" t="n">
        <v>16.5</v>
      </c>
      <c r="CE577" s="13" t="n">
        <v>1646</v>
      </c>
      <c r="CF577" s="13" t="n">
        <v>0.95</v>
      </c>
      <c r="CG577" s="13" t="n">
        <v>1563</v>
      </c>
      <c r="CH577" s="13" t="n">
        <v>191</v>
      </c>
      <c r="CI577" s="13" t="n">
        <v>67</v>
      </c>
      <c r="CJ577" s="13" t="n">
        <v>35</v>
      </c>
      <c r="CK577" s="13" t="n">
        <v>141</v>
      </c>
      <c r="CL577" s="13" t="n">
        <v>5</v>
      </c>
      <c r="CM577" s="13" t="n">
        <v>66</v>
      </c>
      <c r="CN577" s="13" t="n">
        <v>0.142</v>
      </c>
      <c r="CO577" s="13" t="n">
        <v>81</v>
      </c>
      <c r="CP577" s="13" t="n">
        <v>83</v>
      </c>
      <c r="CQ577" s="13" t="n">
        <v>60</v>
      </c>
      <c r="CR577" s="13" t="n">
        <v>13</v>
      </c>
      <c r="CS577" s="13" t="n">
        <v>8.699999999999999</v>
      </c>
      <c r="CT577" s="11" t="inlineStr">
        <is>
          <t xml:space="preserve"> On-Piste Carving</t>
        </is>
      </c>
      <c r="CU577" s="13" t="n"/>
      <c r="CV577" s="13" t="n"/>
      <c r="CW577" s="13" t="n"/>
      <c r="CX577">
        <f>INDEX('Data_Price '!AG$2:AG$1266,MATCH(Data!$DN577,'Data_Price '!$AT$2:$AT$1266,0))</f>
        <v/>
      </c>
      <c r="CY577">
        <f>INDEX('Data_Price '!AH$2:AH$1266,MATCH(Data!$DN577,'Data_Price '!$AT$2:$AT$1266,0))</f>
        <v/>
      </c>
      <c r="CZ577">
        <f>INDEX('Data_Price '!AI$2:AI$1266,MATCH(Data!$DN577,'Data_Price '!$AT$2:$AT$1266,0))</f>
        <v/>
      </c>
      <c r="DA577">
        <f>INDEX('Data_Price '!AJ$2:AJ$1266,MATCH(Data!$DN577,'Data_Price '!$AT$2:$AT$1266,0))</f>
        <v/>
      </c>
      <c r="DB577">
        <f>INDEX('Data_Price '!AK$2:AK$1266,MATCH(Data!$DN577,'Data_Price '!$AT$2:$AT$1266,0))</f>
        <v/>
      </c>
      <c r="DC577">
        <f>INDEX('Data_Price '!AL$2:AL$1266,MATCH(Data!$DN577,'Data_Price '!$AT$2:$AT$1266,0))</f>
        <v/>
      </c>
      <c r="DD577">
        <f>INDEX('Data_Price '!AM$2:AM$1266,MATCH(Data!$DN577,'Data_Price '!$AT$2:$AT$1266,0))</f>
        <v/>
      </c>
      <c r="DE577">
        <f>INDEX('Data_Price '!AN$2:AN$1266,MATCH(Data!$DN577,'Data_Price '!$AT$2:$AT$1266,0))</f>
        <v/>
      </c>
      <c r="DF577">
        <f>INDEX('Data_Price '!AO$2:AO$1266,MATCH(Data!$DN577,'Data_Price '!$AT$2:$AT$1266,0))</f>
        <v/>
      </c>
      <c r="DG577">
        <f>INDEX('Data_Price '!AP$2:AP$1266,MATCH(Data!$DN577,'Data_Price '!$AT$2:$AT$1266,0))</f>
        <v/>
      </c>
      <c r="DH577">
        <f>INDEX('Data_Price '!AQ$2:AQ$1266,MATCH(Data!$DN577,'Data_Price '!$AT$2:$AT$1266,0))</f>
        <v/>
      </c>
      <c r="DI577">
        <f>INDEX('Data_Price '!AR$2:AR$1266,MATCH(Data!$DN577,'Data_Price '!$AT$2:$AT$1266,0))</f>
        <v/>
      </c>
      <c r="DJ577" s="138">
        <f>DA577</f>
        <v/>
      </c>
      <c r="DK577" s="138">
        <f>DE577</f>
        <v/>
      </c>
      <c r="DL577" s="138">
        <f>DI577</f>
        <v/>
      </c>
      <c r="DM577" s="303">
        <f>IF(LEFT(BT577,1)=" ",RIGHT(BT577,LEN(BT577)-1),BT577)</f>
        <v/>
      </c>
      <c r="DN577" s="138">
        <f>_xlfn.CONCAT(BS577,DM577,BU577,BV577)</f>
        <v/>
      </c>
      <c r="DO577" s="307" t="n"/>
    </row>
    <row r="578" ht="15.6" customHeight="1" s="184">
      <c r="B578" s="303">
        <f t="array" ref="B578">IF(OR(ISERROR(K578:P578)),FALSE,TRUE)</f>
        <v/>
      </c>
      <c r="C578" s="60">
        <f>OR(BR578=Driver!$G$50,Data!BR1136=Driver!$H$50)</f>
        <v/>
      </c>
      <c r="D578" s="60">
        <f>OR(BV578=Driver!$G$51,BV578=Driver!$H$51)</f>
        <v/>
      </c>
      <c r="E578" s="60">
        <f>AND(BX578&gt;Driver!$F$54,BX578&lt;Driver!$G$54)</f>
        <v/>
      </c>
      <c r="F578" s="60">
        <f>CL578&gt;Driver!$F$56</f>
        <v/>
      </c>
      <c r="G578" s="60">
        <f>AND(CB578&gt;Driver!$F$55,CB578&lt;Driver!$G$55)</f>
        <v/>
      </c>
      <c r="H578" s="60">
        <f>AND(B578:G578)</f>
        <v/>
      </c>
      <c r="I578" s="60">
        <f>COUNTIFS($H$9:$H$1273,TRUE,$BT$9:$BT$1273,BT578)</f>
        <v/>
      </c>
      <c r="J578" s="60">
        <f t="array" ref="J578">NOT(OR(($H$9:$H$1273=TRUE)*($I$9:$I$1273&gt;0)*($BT$9:$BT$1273=BT578)*($K$9:$K$1273&gt;K578)))</f>
        <v/>
      </c>
      <c r="K578" s="108">
        <f>IFERROR(1-AVERAGE(X578:Y578),"")</f>
        <v/>
      </c>
      <c r="L578" s="108">
        <f>1-X578</f>
        <v/>
      </c>
      <c r="M578" s="108">
        <f>1-Y578</f>
        <v/>
      </c>
      <c r="N578" s="108">
        <f>1-Z578</f>
        <v/>
      </c>
      <c r="O578" s="108">
        <f>1-AA578</f>
        <v/>
      </c>
      <c r="P578" s="108">
        <f>1-AB578</f>
        <v/>
      </c>
      <c r="Q578" s="108" t="n"/>
      <c r="R578" s="108" t="n"/>
      <c r="S578" s="108">
        <f>1-AE578</f>
        <v/>
      </c>
      <c r="T578" s="108">
        <f>1-AF578</f>
        <v/>
      </c>
      <c r="U578" s="108">
        <f>1-AG578</f>
        <v/>
      </c>
      <c r="V578" s="108">
        <f>1-AH578</f>
        <v/>
      </c>
      <c r="W578" s="108">
        <f>1-AI578</f>
        <v/>
      </c>
      <c r="X578" s="108">
        <f>ABS(AJ578-AJ$1)</f>
        <v/>
      </c>
      <c r="Y578" s="108">
        <f>AVERAGE(Z578:AB578)</f>
        <v/>
      </c>
      <c r="Z578" s="108">
        <f>ABS(AL578-AL$1)</f>
        <v/>
      </c>
      <c r="AA578" s="108">
        <f>ABS(AM578-AM$1)</f>
        <v/>
      </c>
      <c r="AB578" s="108">
        <f>ABS(AN578-AN$1)</f>
        <v/>
      </c>
      <c r="AC578" s="108" t="n"/>
      <c r="AD578" s="108" t="n"/>
      <c r="AE578" s="108">
        <f>ABS(AQ$1-AQ578)</f>
        <v/>
      </c>
      <c r="AF578" s="108">
        <f>ABS(AR$1-AR578)</f>
        <v/>
      </c>
      <c r="AG578" s="108">
        <f>ABS(AS$1-AS578)</f>
        <v/>
      </c>
      <c r="AH578" s="108">
        <f>ABS(AT$1-AT578)</f>
        <v/>
      </c>
      <c r="AI578" s="108">
        <f>ABS(AU$1-AU578)</f>
        <v/>
      </c>
      <c r="AJ578" s="108">
        <f>(AV578-Driver!$K$179)/(Driver!$L$179-Driver!$K$179)</f>
        <v/>
      </c>
      <c r="AK578" s="108">
        <f>(AW578-Driver!$K$180)/(Driver!$L$180-Driver!$K$180)</f>
        <v/>
      </c>
      <c r="AL578" s="108">
        <f>(AX578-Driver!$K$181)/(Driver!$L$181-Driver!$K$181)</f>
        <v/>
      </c>
      <c r="AM578" s="108">
        <f>(AY578-Driver!$K$182)/(Driver!$L$182-Driver!$K$182)</f>
        <v/>
      </c>
      <c r="AN578" s="108">
        <f>(AZ578-Driver!$K$183)/(Driver!$L$183-Driver!$K$183)</f>
        <v/>
      </c>
      <c r="AO578" s="108" t="n"/>
      <c r="AP578" s="108" t="n"/>
      <c r="AQ578" s="108">
        <f>(BC578-Driver!$K$188)/(Driver!$L$188-Driver!$K$188)</f>
        <v/>
      </c>
      <c r="AR578" s="108">
        <f>MIN((BD578-Driver!$K$189)/(Driver!$L$189-Driver!$K$189),100%)</f>
        <v/>
      </c>
      <c r="AS578" s="108">
        <f>(BE578-Driver!$K$190)/(Driver!$L$190-Driver!$K$190)</f>
        <v/>
      </c>
      <c r="AT578" s="108">
        <f>(BF578-Driver!$K$191)/(Driver!$L$191-Driver!$K$191)</f>
        <v/>
      </c>
      <c r="AU578" s="108">
        <f>(BG578-Driver!$K$192)/(Driver!$L$192-Driver!$K$192)</f>
        <v/>
      </c>
      <c r="AV578" s="105">
        <f>IFERROR(BM578*BJ578^1/4,"")</f>
        <v/>
      </c>
      <c r="AW578" s="105">
        <f>IFERROR(SUM(AX578:AZ578),"")</f>
        <v/>
      </c>
      <c r="AX578" s="105">
        <f>IFERROR(BH578,"")</f>
        <v/>
      </c>
      <c r="AY578" s="105">
        <f>IFERROR(Driver!$K$19/Data!BH578/Data!BI578*Data!BK578*Data!BL578,"")</f>
        <v/>
      </c>
      <c r="AZ578" s="105">
        <f>IFERROR(BI578*BN578,"")</f>
        <v/>
      </c>
      <c r="BA578" s="105" t="n"/>
      <c r="BB578" s="105" t="n"/>
      <c r="BC578" s="105">
        <f>IFERROR(BI578*BN578*BK578/BJ578^(1/2),"")</f>
        <v/>
      </c>
      <c r="BD578" s="105">
        <f>IFERROR(BH578*BM578*BL578/BJ578/BK578,"")</f>
        <v/>
      </c>
      <c r="BE578" s="105">
        <f>IFERROR(MIN(BI578/BQ578/BP578/BO578/BH578,$BE$1),"")</f>
        <v/>
      </c>
      <c r="BF578" s="105">
        <f>IFERROR(BJ578*BO578*BP578/BK578,"")</f>
        <v/>
      </c>
      <c r="BG578" s="105">
        <f>IFERROR(1/BM578/BH578*BQ578,"")</f>
        <v/>
      </c>
      <c r="BH578" s="102">
        <f>MAX((CE578-Driver!$F$200)/(Driver!$G$200-Driver!$F$200)*$BI$1,1)</f>
        <v/>
      </c>
      <c r="BI578" s="102">
        <f>MAX($BI$1*(BY578-Driver!$F$201)/(Driver!$G$201-Driver!$F$201),1)</f>
        <v/>
      </c>
      <c r="BJ578" s="102">
        <f>(CB578-Driver!$F$206)/(Driver!$G$206-Driver!$F$206)*$BI$1</f>
        <v/>
      </c>
      <c r="BK578" s="102">
        <f>(CD578-Driver!$F$203)/(Driver!$G$203-Driver!$F$203)*$BI$1</f>
        <v/>
      </c>
      <c r="BL578" s="102">
        <f>MAX((CR578-Driver!$F$202)/(Driver!$G$202-Driver!$F$202)*$BI$1,1)</f>
        <v/>
      </c>
      <c r="BM578" s="102">
        <f>MAX((CH578-Driver!$F$204)/(Driver!$G$204-Driver!$F$204)*$BI$1,1)</f>
        <v/>
      </c>
      <c r="BN578" s="102">
        <f>(CI578-Driver!$F$205)/(Driver!$G$205-Driver!$F$205)*$BI$1</f>
        <v/>
      </c>
      <c r="BO578" s="102">
        <f>(CK578-Driver!$F$207)/(Driver!$G$207-Driver!$F$207)*$BI$1</f>
        <v/>
      </c>
      <c r="BP578" s="102">
        <f>(CM578-Driver!$F$208)/(Driver!$G$208-Driver!$F$208)*$BI$1</f>
        <v/>
      </c>
      <c r="BQ578" s="102">
        <f>(CL578-Driver!$F$209)/(Driver!$G$209-Driver!$F$209)*$BI$1</f>
        <v/>
      </c>
      <c r="BR578" s="40" t="inlineStr">
        <is>
          <t>21/22</t>
        </is>
      </c>
      <c r="BS578" s="10" t="inlineStr">
        <is>
          <t xml:space="preserve"> Stöckli</t>
        </is>
      </c>
      <c r="BT578" s="11" t="inlineStr">
        <is>
          <t>Nela 88</t>
        </is>
      </c>
      <c r="BU578" s="13" t="n">
        <v>152</v>
      </c>
      <c r="BV578" s="11" t="inlineStr">
        <is>
          <t xml:space="preserve"> Women's</t>
        </is>
      </c>
      <c r="BW578" s="13" t="n">
        <v>152</v>
      </c>
      <c r="BX578" s="13" t="n">
        <v>151.3</v>
      </c>
      <c r="BY578" s="13" t="n">
        <v>124</v>
      </c>
      <c r="BZ578" s="13" t="n">
        <v>132</v>
      </c>
      <c r="CA578" s="13" t="n">
        <v>127</v>
      </c>
      <c r="CB578" s="13" t="n">
        <v>88</v>
      </c>
      <c r="CC578" s="13" t="n">
        <v>113</v>
      </c>
      <c r="CD578" s="13" t="n">
        <v>13.1</v>
      </c>
      <c r="CE578" s="13" t="n">
        <v>1419</v>
      </c>
      <c r="CF578" s="13" t="n">
        <v>1.06</v>
      </c>
      <c r="CG578" s="13" t="n">
        <v>1510</v>
      </c>
      <c r="CH578" s="13" t="n">
        <v>158</v>
      </c>
      <c r="CI578" s="13" t="n">
        <v>89</v>
      </c>
      <c r="CJ578" s="13" t="n">
        <v>43</v>
      </c>
      <c r="CK578" s="13" t="n">
        <v>199</v>
      </c>
      <c r="CL578" s="13" t="n">
        <v>9</v>
      </c>
      <c r="CM578" s="13" t="n">
        <v>78</v>
      </c>
      <c r="CN578" s="13" t="n">
        <v>0.206</v>
      </c>
      <c r="CO578" s="13" t="n">
        <v>135</v>
      </c>
      <c r="CP578" s="13" t="n">
        <v>56</v>
      </c>
      <c r="CQ578" s="13" t="n">
        <v>64</v>
      </c>
      <c r="CR578" s="13" t="n">
        <v>5</v>
      </c>
      <c r="CS578" s="13" t="n">
        <v>12.6</v>
      </c>
      <c r="CT578" s="11" t="inlineStr">
        <is>
          <t xml:space="preserve"> Resort Freeride</t>
        </is>
      </c>
      <c r="CU578" s="11" t="inlineStr">
        <is>
          <t xml:space="preserve"> Touring</t>
        </is>
      </c>
      <c r="CV578" s="13" t="n"/>
      <c r="CW578" s="13" t="n"/>
      <c r="CX578">
        <f>INDEX('Data_Price '!AG$2:AG$1266,MATCH(Data!$DN578,'Data_Price '!$AT$2:$AT$1266,0))</f>
        <v/>
      </c>
      <c r="CY578">
        <f>INDEX('Data_Price '!AH$2:AH$1266,MATCH(Data!$DN578,'Data_Price '!$AT$2:$AT$1266,0))</f>
        <v/>
      </c>
      <c r="CZ578">
        <f>INDEX('Data_Price '!AI$2:AI$1266,MATCH(Data!$DN578,'Data_Price '!$AT$2:$AT$1266,0))</f>
        <v/>
      </c>
      <c r="DA578">
        <f>INDEX('Data_Price '!AJ$2:AJ$1266,MATCH(Data!$DN578,'Data_Price '!$AT$2:$AT$1266,0))</f>
        <v/>
      </c>
      <c r="DB578">
        <f>INDEX('Data_Price '!AK$2:AK$1266,MATCH(Data!$DN578,'Data_Price '!$AT$2:$AT$1266,0))</f>
        <v/>
      </c>
      <c r="DC578">
        <f>INDEX('Data_Price '!AL$2:AL$1266,MATCH(Data!$DN578,'Data_Price '!$AT$2:$AT$1266,0))</f>
        <v/>
      </c>
      <c r="DD578">
        <f>INDEX('Data_Price '!AM$2:AM$1266,MATCH(Data!$DN578,'Data_Price '!$AT$2:$AT$1266,0))</f>
        <v/>
      </c>
      <c r="DE578">
        <f>INDEX('Data_Price '!AN$2:AN$1266,MATCH(Data!$DN578,'Data_Price '!$AT$2:$AT$1266,0))</f>
        <v/>
      </c>
      <c r="DF578">
        <f>INDEX('Data_Price '!AO$2:AO$1266,MATCH(Data!$DN578,'Data_Price '!$AT$2:$AT$1266,0))</f>
        <v/>
      </c>
      <c r="DG578">
        <f>INDEX('Data_Price '!AP$2:AP$1266,MATCH(Data!$DN578,'Data_Price '!$AT$2:$AT$1266,0))</f>
        <v/>
      </c>
      <c r="DH578">
        <f>INDEX('Data_Price '!AQ$2:AQ$1266,MATCH(Data!$DN578,'Data_Price '!$AT$2:$AT$1266,0))</f>
        <v/>
      </c>
      <c r="DI578">
        <f>INDEX('Data_Price '!AR$2:AR$1266,MATCH(Data!$DN578,'Data_Price '!$AT$2:$AT$1266,0))</f>
        <v/>
      </c>
      <c r="DJ578" s="138">
        <f>DA578</f>
        <v/>
      </c>
      <c r="DK578" s="138">
        <f>DE578</f>
        <v/>
      </c>
      <c r="DL578" s="138">
        <f>DI578</f>
        <v/>
      </c>
      <c r="DM578" s="303">
        <f>IF(LEFT(BT578,1)=" ",RIGHT(BT578,LEN(BT578)-1),BT578)</f>
        <v/>
      </c>
      <c r="DN578" s="138">
        <f>_xlfn.CONCAT(BS578,DM578,BU578,BV578)</f>
        <v/>
      </c>
      <c r="DO578" s="307" t="inlineStr">
        <is>
          <t>https://images.evo.com/imgp/250/208926/858180/clone.jpg</t>
        </is>
      </c>
    </row>
    <row r="579" ht="15.6" customHeight="1" s="184">
      <c r="B579" s="303">
        <f t="array" ref="B579">IF(OR(ISERROR(K579:P579)),FALSE,TRUE)</f>
        <v/>
      </c>
      <c r="C579" s="60">
        <f>OR(BR579=Driver!$G$50,Data!BR1085=Driver!$H$50)</f>
        <v/>
      </c>
      <c r="D579" s="60">
        <f>OR(BV579=Driver!$G$51,BV579=Driver!$H$51)</f>
        <v/>
      </c>
      <c r="E579" s="60">
        <f>AND(BX579&gt;Driver!$F$54,BX579&lt;Driver!$G$54)</f>
        <v/>
      </c>
      <c r="F579" s="60">
        <f>CL579&gt;Driver!$F$56</f>
        <v/>
      </c>
      <c r="G579" s="60">
        <f>AND(CB579&gt;Driver!$F$55,CB579&lt;Driver!$G$55)</f>
        <v/>
      </c>
      <c r="H579" s="60">
        <f>AND(B579:G579)</f>
        <v/>
      </c>
      <c r="I579" s="60">
        <f>COUNTIFS($H$9:$H$1273,TRUE,$BT$9:$BT$1273,BT579)</f>
        <v/>
      </c>
      <c r="J579" s="60">
        <f t="array" ref="J579">NOT(OR(($H$9:$H$1273=TRUE)*($I$9:$I$1273&gt;0)*($BT$9:$BT$1273=BT579)*($K$9:$K$1273&gt;K579)))</f>
        <v/>
      </c>
      <c r="K579" s="108">
        <f>IFERROR(1-AVERAGE(X579:Y579),"")</f>
        <v/>
      </c>
      <c r="L579" s="108">
        <f>1-X579</f>
        <v/>
      </c>
      <c r="M579" s="108">
        <f>1-Y579</f>
        <v/>
      </c>
      <c r="N579" s="108">
        <f>1-Z579</f>
        <v/>
      </c>
      <c r="O579" s="108">
        <f>1-AA579</f>
        <v/>
      </c>
      <c r="P579" s="108">
        <f>1-AB579</f>
        <v/>
      </c>
      <c r="Q579" s="108" t="n"/>
      <c r="R579" s="108" t="n"/>
      <c r="S579" s="108">
        <f>1-AE579</f>
        <v/>
      </c>
      <c r="T579" s="108">
        <f>1-AF579</f>
        <v/>
      </c>
      <c r="U579" s="108">
        <f>1-AG579</f>
        <v/>
      </c>
      <c r="V579" s="108">
        <f>1-AH579</f>
        <v/>
      </c>
      <c r="W579" s="108">
        <f>1-AI579</f>
        <v/>
      </c>
      <c r="X579" s="108">
        <f>ABS(AJ579-AJ$1)</f>
        <v/>
      </c>
      <c r="Y579" s="108">
        <f>AVERAGE(Z579:AB579)</f>
        <v/>
      </c>
      <c r="Z579" s="108">
        <f>ABS(AL579-AL$1)</f>
        <v/>
      </c>
      <c r="AA579" s="108">
        <f>ABS(AM579-AM$1)</f>
        <v/>
      </c>
      <c r="AB579" s="108">
        <f>ABS(AN579-AN$1)</f>
        <v/>
      </c>
      <c r="AC579" s="108" t="n"/>
      <c r="AD579" s="108" t="n"/>
      <c r="AE579" s="108">
        <f>ABS(AQ$1-AQ579)</f>
        <v/>
      </c>
      <c r="AF579" s="108">
        <f>ABS(AR$1-AR579)</f>
        <v/>
      </c>
      <c r="AG579" s="108">
        <f>ABS(AS$1-AS579)</f>
        <v/>
      </c>
      <c r="AH579" s="108">
        <f>ABS(AT$1-AT579)</f>
        <v/>
      </c>
      <c r="AI579" s="108">
        <f>ABS(AU$1-AU579)</f>
        <v/>
      </c>
      <c r="AJ579" s="108">
        <f>(AV579-Driver!$K$179)/(Driver!$L$179-Driver!$K$179)</f>
        <v/>
      </c>
      <c r="AK579" s="108">
        <f>(AW579-Driver!$K$180)/(Driver!$L$180-Driver!$K$180)</f>
        <v/>
      </c>
      <c r="AL579" s="108">
        <f>(AX579-Driver!$K$181)/(Driver!$L$181-Driver!$K$181)</f>
        <v/>
      </c>
      <c r="AM579" s="108">
        <f>(AY579-Driver!$K$182)/(Driver!$L$182-Driver!$K$182)</f>
        <v/>
      </c>
      <c r="AN579" s="108">
        <f>(AZ579-Driver!$K$183)/(Driver!$L$183-Driver!$K$183)</f>
        <v/>
      </c>
      <c r="AO579" s="108" t="n"/>
      <c r="AP579" s="108" t="n"/>
      <c r="AQ579" s="108">
        <f>(BC579-Driver!$K$188)/(Driver!$L$188-Driver!$K$188)</f>
        <v/>
      </c>
      <c r="AR579" s="108">
        <f>MIN((BD579-Driver!$K$189)/(Driver!$L$189-Driver!$K$189),100%)</f>
        <v/>
      </c>
      <c r="AS579" s="108">
        <f>(BE579-Driver!$K$190)/(Driver!$L$190-Driver!$K$190)</f>
        <v/>
      </c>
      <c r="AT579" s="108">
        <f>(BF579-Driver!$K$191)/(Driver!$L$191-Driver!$K$191)</f>
        <v/>
      </c>
      <c r="AU579" s="108">
        <f>(BG579-Driver!$K$192)/(Driver!$L$192-Driver!$K$192)</f>
        <v/>
      </c>
      <c r="AV579" s="105">
        <f>IFERROR(BM579*BJ579^1/4,"")</f>
        <v/>
      </c>
      <c r="AW579" s="105">
        <f>IFERROR(SUM(AX579:AZ579),"")</f>
        <v/>
      </c>
      <c r="AX579" s="105">
        <f>IFERROR(BH579,"")</f>
        <v/>
      </c>
      <c r="AY579" s="105">
        <f>IFERROR(Driver!$K$19/Data!BH579/Data!BI579*Data!BK579*Data!BL579,"")</f>
        <v/>
      </c>
      <c r="AZ579" s="105">
        <f>IFERROR(BI579*BN579,"")</f>
        <v/>
      </c>
      <c r="BA579" s="105" t="n"/>
      <c r="BB579" s="105" t="n"/>
      <c r="BC579" s="105">
        <f>IFERROR(BI579*BN579*BK579/BJ579^(1/2),"")</f>
        <v/>
      </c>
      <c r="BD579" s="105">
        <f>IFERROR(BH579*BM579*BL579/BJ579/BK579,"")</f>
        <v/>
      </c>
      <c r="BE579" s="105">
        <f>IFERROR(MIN(BI579/BQ579/BP579/BO579/BH579,$BE$1),"")</f>
        <v/>
      </c>
      <c r="BF579" s="105">
        <f>IFERROR(BJ579*BO579*BP579/BK579,"")</f>
        <v/>
      </c>
      <c r="BG579" s="105">
        <f>IFERROR(1/BM579/BH579*BQ579,"")</f>
        <v/>
      </c>
      <c r="BH579" s="102">
        <f>MAX((CE579-Driver!$F$200)/(Driver!$G$200-Driver!$F$200)*$BI$1,1)</f>
        <v/>
      </c>
      <c r="BI579" s="102">
        <f>MAX($BI$1*(BY579-Driver!$F$201)/(Driver!$G$201-Driver!$F$201),1)</f>
        <v/>
      </c>
      <c r="BJ579" s="102">
        <f>(CB579-Driver!$F$206)/(Driver!$G$206-Driver!$F$206)*$BI$1</f>
        <v/>
      </c>
      <c r="BK579" s="102">
        <f>(CD579-Driver!$F$203)/(Driver!$G$203-Driver!$F$203)*$BI$1</f>
        <v/>
      </c>
      <c r="BL579" s="102">
        <f>MAX((CR579-Driver!$F$202)/(Driver!$G$202-Driver!$F$202)*$BI$1,1)</f>
        <v/>
      </c>
      <c r="BM579" s="102">
        <f>MAX((CH579-Driver!$F$204)/(Driver!$G$204-Driver!$F$204)*$BI$1,1)</f>
        <v/>
      </c>
      <c r="BN579" s="102">
        <f>(CI579-Driver!$F$205)/(Driver!$G$205-Driver!$F$205)*$BI$1</f>
        <v/>
      </c>
      <c r="BO579" s="102">
        <f>(CK579-Driver!$F$207)/(Driver!$G$207-Driver!$F$207)*$BI$1</f>
        <v/>
      </c>
      <c r="BP579" s="102">
        <f>(CM579-Driver!$F$208)/(Driver!$G$208-Driver!$F$208)*$BI$1</f>
        <v/>
      </c>
      <c r="BQ579" s="102">
        <f>(CL579-Driver!$F$209)/(Driver!$G$209-Driver!$F$209)*$BI$1</f>
        <v/>
      </c>
      <c r="BR579" s="40" t="inlineStr">
        <is>
          <t>21/22</t>
        </is>
      </c>
      <c r="BS579" s="10" t="inlineStr">
        <is>
          <t xml:space="preserve"> Salomon</t>
        </is>
      </c>
      <c r="BT579" s="11" t="inlineStr">
        <is>
          <t>QST Lux 92</t>
        </is>
      </c>
      <c r="BU579" s="13" t="n">
        <v>161</v>
      </c>
      <c r="BV579" s="11" t="inlineStr">
        <is>
          <t xml:space="preserve"> Women's</t>
        </is>
      </c>
      <c r="BW579" s="13" t="n">
        <v>161</v>
      </c>
      <c r="BX579" s="13" t="n">
        <v>160.1</v>
      </c>
      <c r="BY579" s="13" t="n">
        <v>120</v>
      </c>
      <c r="BZ579" s="13" t="n">
        <v>134</v>
      </c>
      <c r="CA579" s="13" t="n">
        <v>128</v>
      </c>
      <c r="CB579" s="13" t="n">
        <v>92</v>
      </c>
      <c r="CC579" s="13" t="n">
        <v>111</v>
      </c>
      <c r="CD579" s="13" t="n">
        <v>14.4</v>
      </c>
      <c r="CE579" s="13" t="n">
        <v>1647</v>
      </c>
      <c r="CF579" s="13" t="n">
        <v>1.01</v>
      </c>
      <c r="CG579" s="13" t="n">
        <v>1660</v>
      </c>
      <c r="CH579" s="13" t="n">
        <v>170</v>
      </c>
      <c r="CI579" s="13" t="n">
        <v>77</v>
      </c>
      <c r="CJ579" s="13" t="n">
        <v>56</v>
      </c>
      <c r="CK579" s="13" t="n">
        <v>278</v>
      </c>
      <c r="CL579" s="13" t="n">
        <v>13</v>
      </c>
      <c r="CM579" s="13" t="n">
        <v>128</v>
      </c>
      <c r="CN579" s="13" t="n">
        <v>0.231</v>
      </c>
      <c r="CO579" s="13" t="n">
        <v>149</v>
      </c>
      <c r="CP579" s="13" t="n">
        <v>115</v>
      </c>
      <c r="CQ579" s="13" t="n">
        <v>129</v>
      </c>
      <c r="CR579" s="13" t="n">
        <v>9</v>
      </c>
      <c r="CS579" s="13" t="n">
        <v>8.9</v>
      </c>
      <c r="CT579" s="11" t="inlineStr">
        <is>
          <t xml:space="preserve"> Resort Freeride</t>
        </is>
      </c>
      <c r="CU579" s="13" t="n"/>
      <c r="CV579" s="13" t="n"/>
      <c r="CW579" s="13" t="n"/>
      <c r="CX579">
        <f>INDEX('Data_Price '!AG$2:AG$1266,MATCH(Data!$DN579,'Data_Price '!$AT$2:$AT$1266,0))</f>
        <v/>
      </c>
      <c r="CY579">
        <f>INDEX('Data_Price '!AH$2:AH$1266,MATCH(Data!$DN579,'Data_Price '!$AT$2:$AT$1266,0))</f>
        <v/>
      </c>
      <c r="CZ579">
        <f>INDEX('Data_Price '!AI$2:AI$1266,MATCH(Data!$DN579,'Data_Price '!$AT$2:$AT$1266,0))</f>
        <v/>
      </c>
      <c r="DA579">
        <f>INDEX('Data_Price '!AJ$2:AJ$1266,MATCH(Data!$DN579,'Data_Price '!$AT$2:$AT$1266,0))</f>
        <v/>
      </c>
      <c r="DB579">
        <f>INDEX('Data_Price '!AK$2:AK$1266,MATCH(Data!$DN579,'Data_Price '!$AT$2:$AT$1266,0))</f>
        <v/>
      </c>
      <c r="DC579">
        <f>INDEX('Data_Price '!AL$2:AL$1266,MATCH(Data!$DN579,'Data_Price '!$AT$2:$AT$1266,0))</f>
        <v/>
      </c>
      <c r="DD579">
        <f>INDEX('Data_Price '!AM$2:AM$1266,MATCH(Data!$DN579,'Data_Price '!$AT$2:$AT$1266,0))</f>
        <v/>
      </c>
      <c r="DE579">
        <f>INDEX('Data_Price '!AN$2:AN$1266,MATCH(Data!$DN579,'Data_Price '!$AT$2:$AT$1266,0))</f>
        <v/>
      </c>
      <c r="DF579">
        <f>INDEX('Data_Price '!AO$2:AO$1266,MATCH(Data!$DN579,'Data_Price '!$AT$2:$AT$1266,0))</f>
        <v/>
      </c>
      <c r="DG579">
        <f>INDEX('Data_Price '!AP$2:AP$1266,MATCH(Data!$DN579,'Data_Price '!$AT$2:$AT$1266,0))</f>
        <v/>
      </c>
      <c r="DH579">
        <f>INDEX('Data_Price '!AQ$2:AQ$1266,MATCH(Data!$DN579,'Data_Price '!$AT$2:$AT$1266,0))</f>
        <v/>
      </c>
      <c r="DI579">
        <f>INDEX('Data_Price '!AR$2:AR$1266,MATCH(Data!$DN579,'Data_Price '!$AT$2:$AT$1266,0))</f>
        <v/>
      </c>
      <c r="DJ579" s="138">
        <f>DA579</f>
        <v/>
      </c>
      <c r="DK579" s="138">
        <f>DE579</f>
        <v/>
      </c>
      <c r="DL579" s="138">
        <f>DI579</f>
        <v/>
      </c>
      <c r="DM579" s="303">
        <f>IF(LEFT(BT579,1)=" ",RIGHT(BT579,LEN(BT579)-1),BT579)</f>
        <v/>
      </c>
      <c r="DN579" s="138">
        <f>_xlfn.CONCAT(BS579,DM579,BU579,BV579)</f>
        <v/>
      </c>
      <c r="DO579" s="307" t="inlineStr">
        <is>
          <t>https://images.evo.com/imgp/250/197279/812039/salomon-qst-lux-92-skis-women-s-2022-.jpg</t>
        </is>
      </c>
    </row>
    <row r="580" ht="15.6" customHeight="1" s="184">
      <c r="B580" s="303">
        <f t="array" ref="B580">IF(OR(ISERROR(K580:P580)),FALSE,TRUE)</f>
        <v/>
      </c>
      <c r="C580" s="60">
        <f>OR(BR580=Driver!$G$50,Data!BR1185=Driver!$H$50)</f>
        <v/>
      </c>
      <c r="D580" s="60">
        <f>OR(BV580=Driver!$G$51,BV580=Driver!$H$51)</f>
        <v/>
      </c>
      <c r="E580" s="60">
        <f>AND(BX580&gt;Driver!$F$54,BX580&lt;Driver!$G$54)</f>
        <v/>
      </c>
      <c r="F580" s="60">
        <f>CL580&gt;Driver!$F$56</f>
        <v/>
      </c>
      <c r="G580" s="60">
        <f>AND(CB580&gt;Driver!$F$55,CB580&lt;Driver!$G$55)</f>
        <v/>
      </c>
      <c r="H580" s="60">
        <f>AND(B580:G580)</f>
        <v/>
      </c>
      <c r="I580" s="60">
        <f>COUNTIFS($H$9:$H$1273,TRUE,$BT$9:$BT$1273,BT580)</f>
        <v/>
      </c>
      <c r="J580" s="60">
        <f t="array" ref="J580">NOT(OR(($H$9:$H$1273=TRUE)*($I$9:$I$1273&gt;0)*($BT$9:$BT$1273=BT580)*($K$9:$K$1273&gt;K580)))</f>
        <v/>
      </c>
      <c r="K580" s="108">
        <f>IFERROR(1-AVERAGE(X580:Y580),"")</f>
        <v/>
      </c>
      <c r="L580" s="108">
        <f>1-X580</f>
        <v/>
      </c>
      <c r="M580" s="108">
        <f>1-Y580</f>
        <v/>
      </c>
      <c r="N580" s="108">
        <f>1-Z580</f>
        <v/>
      </c>
      <c r="O580" s="108">
        <f>1-AA580</f>
        <v/>
      </c>
      <c r="P580" s="108">
        <f>1-AB580</f>
        <v/>
      </c>
      <c r="Q580" s="108" t="n"/>
      <c r="R580" s="108" t="n"/>
      <c r="S580" s="108">
        <f>1-AE580</f>
        <v/>
      </c>
      <c r="T580" s="108">
        <f>1-AF580</f>
        <v/>
      </c>
      <c r="U580" s="108">
        <f>1-AG580</f>
        <v/>
      </c>
      <c r="V580" s="108">
        <f>1-AH580</f>
        <v/>
      </c>
      <c r="W580" s="108">
        <f>1-AI580</f>
        <v/>
      </c>
      <c r="X580" s="108">
        <f>ABS(AJ580-AJ$1)</f>
        <v/>
      </c>
      <c r="Y580" s="108">
        <f>AVERAGE(Z580:AB580)</f>
        <v/>
      </c>
      <c r="Z580" s="108">
        <f>ABS(AL580-AL$1)</f>
        <v/>
      </c>
      <c r="AA580" s="108">
        <f>ABS(AM580-AM$1)</f>
        <v/>
      </c>
      <c r="AB580" s="108">
        <f>ABS(AN580-AN$1)</f>
        <v/>
      </c>
      <c r="AC580" s="108" t="n"/>
      <c r="AD580" s="108" t="n"/>
      <c r="AE580" s="108">
        <f>ABS(AQ$1-AQ580)</f>
        <v/>
      </c>
      <c r="AF580" s="108">
        <f>ABS(AR$1-AR580)</f>
        <v/>
      </c>
      <c r="AG580" s="108">
        <f>ABS(AS$1-AS580)</f>
        <v/>
      </c>
      <c r="AH580" s="108">
        <f>ABS(AT$1-AT580)</f>
        <v/>
      </c>
      <c r="AI580" s="108">
        <f>ABS(AU$1-AU580)</f>
        <v/>
      </c>
      <c r="AJ580" s="108">
        <f>(AV580-Driver!$K$179)/(Driver!$L$179-Driver!$K$179)</f>
        <v/>
      </c>
      <c r="AK580" s="108">
        <f>(AW580-Driver!$K$180)/(Driver!$L$180-Driver!$K$180)</f>
        <v/>
      </c>
      <c r="AL580" s="108">
        <f>(AX580-Driver!$K$181)/(Driver!$L$181-Driver!$K$181)</f>
        <v/>
      </c>
      <c r="AM580" s="108">
        <f>(AY580-Driver!$K$182)/(Driver!$L$182-Driver!$K$182)</f>
        <v/>
      </c>
      <c r="AN580" s="108">
        <f>(AZ580-Driver!$K$183)/(Driver!$L$183-Driver!$K$183)</f>
        <v/>
      </c>
      <c r="AO580" s="108" t="n"/>
      <c r="AP580" s="108" t="n"/>
      <c r="AQ580" s="108">
        <f>(BC580-Driver!$K$188)/(Driver!$L$188-Driver!$K$188)</f>
        <v/>
      </c>
      <c r="AR580" s="108">
        <f>MIN((BD580-Driver!$K$189)/(Driver!$L$189-Driver!$K$189),100%)</f>
        <v/>
      </c>
      <c r="AS580" s="108">
        <f>(BE580-Driver!$K$190)/(Driver!$L$190-Driver!$K$190)</f>
        <v/>
      </c>
      <c r="AT580" s="108">
        <f>(BF580-Driver!$K$191)/(Driver!$L$191-Driver!$K$191)</f>
        <v/>
      </c>
      <c r="AU580" s="108">
        <f>(BG580-Driver!$K$192)/(Driver!$L$192-Driver!$K$192)</f>
        <v/>
      </c>
      <c r="AV580" s="105">
        <f>IFERROR(BM580*BJ580^1/4,"")</f>
        <v/>
      </c>
      <c r="AW580" s="105">
        <f>IFERROR(SUM(AX580:AZ580),"")</f>
        <v/>
      </c>
      <c r="AX580" s="105">
        <f>IFERROR(BH580,"")</f>
        <v/>
      </c>
      <c r="AY580" s="105">
        <f>IFERROR(Driver!$K$19/Data!BH580/Data!BI580*Data!BK580*Data!BL580,"")</f>
        <v/>
      </c>
      <c r="AZ580" s="105">
        <f>IFERROR(BI580*BN580,"")</f>
        <v/>
      </c>
      <c r="BA580" s="105" t="n"/>
      <c r="BB580" s="105" t="n"/>
      <c r="BC580" s="105">
        <f>IFERROR(BI580*BN580*BK580/BJ580^(1/2),"")</f>
        <v/>
      </c>
      <c r="BD580" s="105">
        <f>IFERROR(BH580*BM580*BL580/BJ580/BK580,"")</f>
        <v/>
      </c>
      <c r="BE580" s="105">
        <f>IFERROR(MIN(BI580/BQ580/BP580/BO580/BH580,$BE$1),"")</f>
        <v/>
      </c>
      <c r="BF580" s="105">
        <f>IFERROR(BJ580*BO580*BP580/BK580,"")</f>
        <v/>
      </c>
      <c r="BG580" s="105">
        <f>IFERROR(1/BM580/BH580*BQ580,"")</f>
        <v/>
      </c>
      <c r="BH580" s="102">
        <f>MAX((CE580-Driver!$F$200)/(Driver!$G$200-Driver!$F$200)*$BI$1,1)</f>
        <v/>
      </c>
      <c r="BI580" s="102">
        <f>MAX($BI$1*(BY580-Driver!$F$201)/(Driver!$G$201-Driver!$F$201),1)</f>
        <v/>
      </c>
      <c r="BJ580" s="102">
        <f>(CB580-Driver!$F$206)/(Driver!$G$206-Driver!$F$206)*$BI$1</f>
        <v/>
      </c>
      <c r="BK580" s="102">
        <f>(CD580-Driver!$F$203)/(Driver!$G$203-Driver!$F$203)*$BI$1</f>
        <v/>
      </c>
      <c r="BL580" s="102">
        <f>MAX((CR580-Driver!$F$202)/(Driver!$G$202-Driver!$F$202)*$BI$1,1)</f>
        <v/>
      </c>
      <c r="BM580" s="102">
        <f>MAX((CH580-Driver!$F$204)/(Driver!$G$204-Driver!$F$204)*$BI$1,1)</f>
        <v/>
      </c>
      <c r="BN580" s="102">
        <f>(CI580-Driver!$F$205)/(Driver!$G$205-Driver!$F$205)*$BI$1</f>
        <v/>
      </c>
      <c r="BO580" s="102">
        <f>(CK580-Driver!$F$207)/(Driver!$G$207-Driver!$F$207)*$BI$1</f>
        <v/>
      </c>
      <c r="BP580" s="102">
        <f>(CM580-Driver!$F$208)/(Driver!$G$208-Driver!$F$208)*$BI$1</f>
        <v/>
      </c>
      <c r="BQ580" s="102">
        <f>(CL580-Driver!$F$209)/(Driver!$G$209-Driver!$F$209)*$BI$1</f>
        <v/>
      </c>
      <c r="BR580" s="40" t="inlineStr">
        <is>
          <t>21/22</t>
        </is>
      </c>
      <c r="BS580" s="10" t="inlineStr">
        <is>
          <t xml:space="preserve"> Völkl</t>
        </is>
      </c>
      <c r="BT580" s="11" t="inlineStr">
        <is>
          <t>Deacon 80</t>
        </is>
      </c>
      <c r="BU580" s="13" t="n">
        <v>177</v>
      </c>
      <c r="BV580" s="11" t="inlineStr">
        <is>
          <t xml:space="preserve"> Unisex</t>
        </is>
      </c>
      <c r="BW580" s="13" t="n">
        <v>177</v>
      </c>
      <c r="BX580" s="13" t="n">
        <v>176.9</v>
      </c>
      <c r="BY580" s="13" t="n">
        <v>156</v>
      </c>
      <c r="BZ580" s="13" t="n">
        <v>163</v>
      </c>
      <c r="CA580" s="13" t="n">
        <v>127</v>
      </c>
      <c r="CB580" s="13" t="n">
        <v>79</v>
      </c>
      <c r="CC580" s="13" t="n">
        <v>110</v>
      </c>
      <c r="CD580" s="13" t="n">
        <v>16.3</v>
      </c>
      <c r="CE580" s="13" t="n">
        <v>2026</v>
      </c>
      <c r="CF580" s="13" t="n">
        <v>0.82</v>
      </c>
      <c r="CG580" s="13" t="n">
        <v>1671</v>
      </c>
      <c r="CH580" s="13" t="n">
        <v>252</v>
      </c>
      <c r="CI580" s="13" t="n">
        <v>76</v>
      </c>
      <c r="CJ580" s="13" t="n">
        <v>40</v>
      </c>
      <c r="CK580" s="13" t="n">
        <v>139</v>
      </c>
      <c r="CL580" s="13" t="n">
        <v>7</v>
      </c>
      <c r="CM580" s="13" t="n">
        <v>69</v>
      </c>
      <c r="CN580" s="13" t="n">
        <v>0.189</v>
      </c>
      <c r="CO580" s="13" t="n">
        <v>70</v>
      </c>
      <c r="CP580" s="13" t="n">
        <v>64</v>
      </c>
      <c r="CQ580" s="13" t="n">
        <v>69</v>
      </c>
      <c r="CR580" s="13" t="n">
        <v>5</v>
      </c>
      <c r="CS580" s="13" t="n">
        <v>10.5</v>
      </c>
      <c r="CT580" s="11" t="inlineStr">
        <is>
          <t xml:space="preserve"> On-Piste Carving</t>
        </is>
      </c>
      <c r="CU580" s="13" t="n"/>
      <c r="CV580" s="13" t="n"/>
      <c r="CW580" s="13" t="n"/>
      <c r="CX580">
        <f>INDEX('Data_Price '!AG$2:AG$1266,MATCH(Data!$DN580,'Data_Price '!$AT$2:$AT$1266,0))</f>
        <v/>
      </c>
      <c r="CY580">
        <f>INDEX('Data_Price '!AH$2:AH$1266,MATCH(Data!$DN580,'Data_Price '!$AT$2:$AT$1266,0))</f>
        <v/>
      </c>
      <c r="CZ580">
        <f>INDEX('Data_Price '!AI$2:AI$1266,MATCH(Data!$DN580,'Data_Price '!$AT$2:$AT$1266,0))</f>
        <v/>
      </c>
      <c r="DA580">
        <f>INDEX('Data_Price '!AJ$2:AJ$1266,MATCH(Data!$DN580,'Data_Price '!$AT$2:$AT$1266,0))</f>
        <v/>
      </c>
      <c r="DB580">
        <f>INDEX('Data_Price '!AK$2:AK$1266,MATCH(Data!$DN580,'Data_Price '!$AT$2:$AT$1266,0))</f>
        <v/>
      </c>
      <c r="DC580">
        <f>INDEX('Data_Price '!AL$2:AL$1266,MATCH(Data!$DN580,'Data_Price '!$AT$2:$AT$1266,0))</f>
        <v/>
      </c>
      <c r="DD580">
        <f>INDEX('Data_Price '!AM$2:AM$1266,MATCH(Data!$DN580,'Data_Price '!$AT$2:$AT$1266,0))</f>
        <v/>
      </c>
      <c r="DE580">
        <f>INDEX('Data_Price '!AN$2:AN$1266,MATCH(Data!$DN580,'Data_Price '!$AT$2:$AT$1266,0))</f>
        <v/>
      </c>
      <c r="DF580">
        <f>INDEX('Data_Price '!AO$2:AO$1266,MATCH(Data!$DN580,'Data_Price '!$AT$2:$AT$1266,0))</f>
        <v/>
      </c>
      <c r="DG580">
        <f>INDEX('Data_Price '!AP$2:AP$1266,MATCH(Data!$DN580,'Data_Price '!$AT$2:$AT$1266,0))</f>
        <v/>
      </c>
      <c r="DH580">
        <f>INDEX('Data_Price '!AQ$2:AQ$1266,MATCH(Data!$DN580,'Data_Price '!$AT$2:$AT$1266,0))</f>
        <v/>
      </c>
      <c r="DI580">
        <f>INDEX('Data_Price '!AR$2:AR$1266,MATCH(Data!$DN580,'Data_Price '!$AT$2:$AT$1266,0))</f>
        <v/>
      </c>
      <c r="DJ580" s="138">
        <f>DA580</f>
        <v/>
      </c>
      <c r="DK580" s="138">
        <f>DE580</f>
        <v/>
      </c>
      <c r="DL580" s="138">
        <f>DI580</f>
        <v/>
      </c>
      <c r="DM580" s="303">
        <f>IF(LEFT(BT580,1)=" ",RIGHT(BT580,LEN(BT580)-1),BT580)</f>
        <v/>
      </c>
      <c r="DN580" s="138">
        <f>_xlfn.CONCAT(BS580,DM580,BU580,BV580)</f>
        <v/>
      </c>
      <c r="DO580" s="307" t="n"/>
    </row>
    <row r="581" ht="15.6" customHeight="1" s="184">
      <c r="B581" s="303">
        <f t="array" ref="B581">IF(OR(ISERROR(K581:P581)),FALSE,TRUE)</f>
        <v/>
      </c>
      <c r="C581" s="60">
        <f>OR(BR581=Driver!$G$50,Data!BR316=Driver!$H$50)</f>
        <v/>
      </c>
      <c r="D581" s="60">
        <f>OR(BV581=Driver!$G$51,BV581=Driver!$H$51)</f>
        <v/>
      </c>
      <c r="E581" s="60">
        <f>AND(BX581&gt;Driver!$F$54,BX581&lt;Driver!$G$54)</f>
        <v/>
      </c>
      <c r="F581" s="60">
        <f>CL581&gt;Driver!$F$56</f>
        <v/>
      </c>
      <c r="G581" s="60">
        <f>AND(CB581&gt;Driver!$F$55,CB581&lt;Driver!$G$55)</f>
        <v/>
      </c>
      <c r="H581" s="60">
        <f>AND(B581:G581)</f>
        <v/>
      </c>
      <c r="I581" s="60">
        <f>COUNTIFS($H$9:$H$1273,TRUE,$BT$9:$BT$1273,BT581)</f>
        <v/>
      </c>
      <c r="J581" s="60">
        <f t="array" ref="J581">NOT(OR(($H$9:$H$1273=TRUE)*($I$9:$I$1273&gt;0)*($BT$9:$BT$1273=BT581)*($K$9:$K$1273&gt;K581)))</f>
        <v/>
      </c>
      <c r="K581" s="108">
        <f>IFERROR(1-AVERAGE(X581:Y581),"")</f>
        <v/>
      </c>
      <c r="L581" s="108">
        <f>1-X581</f>
        <v/>
      </c>
      <c r="M581" s="108">
        <f>1-Y581</f>
        <v/>
      </c>
      <c r="N581" s="108">
        <f>1-Z581</f>
        <v/>
      </c>
      <c r="O581" s="108">
        <f>1-AA581</f>
        <v/>
      </c>
      <c r="P581" s="108">
        <f>1-AB581</f>
        <v/>
      </c>
      <c r="Q581" s="108" t="n"/>
      <c r="R581" s="108" t="n"/>
      <c r="S581" s="108">
        <f>1-AE581</f>
        <v/>
      </c>
      <c r="T581" s="108">
        <f>1-AF581</f>
        <v/>
      </c>
      <c r="U581" s="108">
        <f>1-AG581</f>
        <v/>
      </c>
      <c r="V581" s="108">
        <f>1-AH581</f>
        <v/>
      </c>
      <c r="W581" s="108">
        <f>1-AI581</f>
        <v/>
      </c>
      <c r="X581" s="108">
        <f>ABS(AJ581-AJ$1)</f>
        <v/>
      </c>
      <c r="Y581" s="108">
        <f>AVERAGE(Z581:AB581)</f>
        <v/>
      </c>
      <c r="Z581" s="108">
        <f>ABS(AL581-AL$1)</f>
        <v/>
      </c>
      <c r="AA581" s="108">
        <f>ABS(AM581-AM$1)</f>
        <v/>
      </c>
      <c r="AB581" s="108">
        <f>ABS(AN581-AN$1)</f>
        <v/>
      </c>
      <c r="AC581" s="108" t="n"/>
      <c r="AD581" s="108" t="n"/>
      <c r="AE581" s="108">
        <f>ABS(AQ$1-AQ581)</f>
        <v/>
      </c>
      <c r="AF581" s="108">
        <f>ABS(AR$1-AR581)</f>
        <v/>
      </c>
      <c r="AG581" s="108">
        <f>ABS(AS$1-AS581)</f>
        <v/>
      </c>
      <c r="AH581" s="108">
        <f>ABS(AT$1-AT581)</f>
        <v/>
      </c>
      <c r="AI581" s="108">
        <f>ABS(AU$1-AU581)</f>
        <v/>
      </c>
      <c r="AJ581" s="108">
        <f>(AV581-Driver!$K$179)/(Driver!$L$179-Driver!$K$179)</f>
        <v/>
      </c>
      <c r="AK581" s="108">
        <f>(AW581-Driver!$K$180)/(Driver!$L$180-Driver!$K$180)</f>
        <v/>
      </c>
      <c r="AL581" s="108">
        <f>(AX581-Driver!$K$181)/(Driver!$L$181-Driver!$K$181)</f>
        <v/>
      </c>
      <c r="AM581" s="108">
        <f>(AY581-Driver!$K$182)/(Driver!$L$182-Driver!$K$182)</f>
        <v/>
      </c>
      <c r="AN581" s="108">
        <f>(AZ581-Driver!$K$183)/(Driver!$L$183-Driver!$K$183)</f>
        <v/>
      </c>
      <c r="AO581" s="108" t="n"/>
      <c r="AP581" s="108" t="n"/>
      <c r="AQ581" s="108">
        <f>(BC581-Driver!$K$188)/(Driver!$L$188-Driver!$K$188)</f>
        <v/>
      </c>
      <c r="AR581" s="108">
        <f>MIN((BD581-Driver!$K$189)/(Driver!$L$189-Driver!$K$189),100%)</f>
        <v/>
      </c>
      <c r="AS581" s="108">
        <f>(BE581-Driver!$K$190)/(Driver!$L$190-Driver!$K$190)</f>
        <v/>
      </c>
      <c r="AT581" s="108">
        <f>(BF581-Driver!$K$191)/(Driver!$L$191-Driver!$K$191)</f>
        <v/>
      </c>
      <c r="AU581" s="108">
        <f>(BG581-Driver!$K$192)/(Driver!$L$192-Driver!$K$192)</f>
        <v/>
      </c>
      <c r="AV581" s="105">
        <f>IFERROR(BM581*BJ581^1/4,"")</f>
        <v/>
      </c>
      <c r="AW581" s="105">
        <f>IFERROR(SUM(AX581:AZ581),"")</f>
        <v/>
      </c>
      <c r="AX581" s="105">
        <f>IFERROR(BH581,"")</f>
        <v/>
      </c>
      <c r="AY581" s="105">
        <f>IFERROR(Driver!$K$19/Data!BH581/Data!BI581*Data!BK581*Data!BL581,"")</f>
        <v/>
      </c>
      <c r="AZ581" s="105">
        <f>IFERROR(BI581*BN581,"")</f>
        <v/>
      </c>
      <c r="BA581" s="105" t="n"/>
      <c r="BB581" s="105" t="n"/>
      <c r="BC581" s="105">
        <f>IFERROR(BI581*BN581*BK581/BJ581^(1/2),"")</f>
        <v/>
      </c>
      <c r="BD581" s="105">
        <f>IFERROR(BH581*BM581*BL581/BJ581/BK581,"")</f>
        <v/>
      </c>
      <c r="BE581" s="105">
        <f>IFERROR(MIN(BI581/BQ581/BP581/BO581/BH581,$BE$1),"")</f>
        <v/>
      </c>
      <c r="BF581" s="105">
        <f>IFERROR(BJ581*BO581*BP581/BK581,"")</f>
        <v/>
      </c>
      <c r="BG581" s="105">
        <f>IFERROR(1/BM581/BH581*BQ581,"")</f>
        <v/>
      </c>
      <c r="BH581" s="102">
        <f>MAX((CE581-Driver!$F$200)/(Driver!$G$200-Driver!$F$200)*$BI$1,1)</f>
        <v/>
      </c>
      <c r="BI581" s="102">
        <f>MAX($BI$1*(BY581-Driver!$F$201)/(Driver!$G$201-Driver!$F$201),1)</f>
        <v/>
      </c>
      <c r="BJ581" s="102">
        <f>(CB581-Driver!$F$206)/(Driver!$G$206-Driver!$F$206)*$BI$1</f>
        <v/>
      </c>
      <c r="BK581" s="102">
        <f>(CD581-Driver!$F$203)/(Driver!$G$203-Driver!$F$203)*$BI$1</f>
        <v/>
      </c>
      <c r="BL581" s="102">
        <f>MAX((CR581-Driver!$F$202)/(Driver!$G$202-Driver!$F$202)*$BI$1,1)</f>
        <v/>
      </c>
      <c r="BM581" s="102">
        <f>MAX((CH581-Driver!$F$204)/(Driver!$G$204-Driver!$F$204)*$BI$1,1)</f>
        <v/>
      </c>
      <c r="BN581" s="102">
        <f>(CI581-Driver!$F$205)/(Driver!$G$205-Driver!$F$205)*$BI$1</f>
        <v/>
      </c>
      <c r="BO581" s="102">
        <f>(CK581-Driver!$F$207)/(Driver!$G$207-Driver!$F$207)*$BI$1</f>
        <v/>
      </c>
      <c r="BP581" s="102">
        <f>(CM581-Driver!$F$208)/(Driver!$G$208-Driver!$F$208)*$BI$1</f>
        <v/>
      </c>
      <c r="BQ581" s="102">
        <f>(CL581-Driver!$F$209)/(Driver!$G$209-Driver!$F$209)*$BI$1</f>
        <v/>
      </c>
      <c r="BR581" s="40" t="inlineStr">
        <is>
          <t>21/22</t>
        </is>
      </c>
      <c r="BS581" s="10" t="inlineStr">
        <is>
          <t xml:space="preserve"> Blizzard</t>
        </is>
      </c>
      <c r="BT581" s="11" t="inlineStr">
        <is>
          <t xml:space="preserve"> Thunderbird Sport Ti</t>
        </is>
      </c>
      <c r="BU581" s="13" t="n">
        <v>165</v>
      </c>
      <c r="BV581" s="11" t="inlineStr">
        <is>
          <t xml:space="preserve"> Unisex</t>
        </is>
      </c>
      <c r="BW581" s="13" t="n">
        <v>165</v>
      </c>
      <c r="BX581" s="13" t="n">
        <v>164.3</v>
      </c>
      <c r="BY581" s="13" t="n">
        <v>143</v>
      </c>
      <c r="BZ581" s="13" t="n">
        <v>152</v>
      </c>
      <c r="CA581" s="13" t="n">
        <v>124</v>
      </c>
      <c r="CB581" s="13" t="n">
        <v>75</v>
      </c>
      <c r="CC581" s="13" t="n">
        <v>104</v>
      </c>
      <c r="CD581" s="13" t="n">
        <v>14.5</v>
      </c>
      <c r="CE581" s="13" t="n">
        <v>1866</v>
      </c>
      <c r="CF581" s="13" t="n">
        <v>0.79</v>
      </c>
      <c r="CG581" s="13" t="n">
        <v>1470</v>
      </c>
      <c r="CH581" s="13" t="n">
        <v>205</v>
      </c>
      <c r="CI581" s="13" t="n">
        <v>100</v>
      </c>
      <c r="CJ581" s="13" t="n">
        <v>42</v>
      </c>
      <c r="CK581" s="13" t="n">
        <v>164</v>
      </c>
      <c r="CL581" s="13" t="n">
        <v>6</v>
      </c>
      <c r="CM581" s="13" t="n">
        <v>51</v>
      </c>
      <c r="CN581" s="13" t="n">
        <v>0.152</v>
      </c>
      <c r="CO581" s="13" t="n">
        <v>69</v>
      </c>
      <c r="CP581" s="13" t="n">
        <v>58</v>
      </c>
      <c r="CQ581" s="13" t="n">
        <v>95</v>
      </c>
      <c r="CR581" s="13" t="n">
        <v>6</v>
      </c>
      <c r="CS581" s="13" t="n">
        <v>11.7</v>
      </c>
      <c r="CT581" s="11" t="inlineStr">
        <is>
          <t xml:space="preserve"> On-Piste Carving</t>
        </is>
      </c>
      <c r="CU581" s="13" t="n"/>
      <c r="CV581" s="13" t="n"/>
      <c r="CW581" s="13" t="n"/>
      <c r="CX581">
        <f>INDEX('Data_Price '!AG$2:AG$1266,MATCH(Data!$DN581,'Data_Price '!$AT$2:$AT$1266,0))</f>
        <v/>
      </c>
      <c r="CY581">
        <f>INDEX('Data_Price '!AH$2:AH$1266,MATCH(Data!$DN581,'Data_Price '!$AT$2:$AT$1266,0))</f>
        <v/>
      </c>
      <c r="CZ581">
        <f>INDEX('Data_Price '!AI$2:AI$1266,MATCH(Data!$DN581,'Data_Price '!$AT$2:$AT$1266,0))</f>
        <v/>
      </c>
      <c r="DA581">
        <f>INDEX('Data_Price '!AJ$2:AJ$1266,MATCH(Data!$DN581,'Data_Price '!$AT$2:$AT$1266,0))</f>
        <v/>
      </c>
      <c r="DB581">
        <f>INDEX('Data_Price '!AK$2:AK$1266,MATCH(Data!$DN581,'Data_Price '!$AT$2:$AT$1266,0))</f>
        <v/>
      </c>
      <c r="DC581">
        <f>INDEX('Data_Price '!AL$2:AL$1266,MATCH(Data!$DN581,'Data_Price '!$AT$2:$AT$1266,0))</f>
        <v/>
      </c>
      <c r="DD581">
        <f>INDEX('Data_Price '!AM$2:AM$1266,MATCH(Data!$DN581,'Data_Price '!$AT$2:$AT$1266,0))</f>
        <v/>
      </c>
      <c r="DE581">
        <f>INDEX('Data_Price '!AN$2:AN$1266,MATCH(Data!$DN581,'Data_Price '!$AT$2:$AT$1266,0))</f>
        <v/>
      </c>
      <c r="DF581">
        <f>INDEX('Data_Price '!AO$2:AO$1266,MATCH(Data!$DN581,'Data_Price '!$AT$2:$AT$1266,0))</f>
        <v/>
      </c>
      <c r="DG581">
        <f>INDEX('Data_Price '!AP$2:AP$1266,MATCH(Data!$DN581,'Data_Price '!$AT$2:$AT$1266,0))</f>
        <v/>
      </c>
      <c r="DH581">
        <f>INDEX('Data_Price '!AQ$2:AQ$1266,MATCH(Data!$DN581,'Data_Price '!$AT$2:$AT$1266,0))</f>
        <v/>
      </c>
      <c r="DI581">
        <f>INDEX('Data_Price '!AR$2:AR$1266,MATCH(Data!$DN581,'Data_Price '!$AT$2:$AT$1266,0))</f>
        <v/>
      </c>
      <c r="DJ581" s="138">
        <f>DA581</f>
        <v/>
      </c>
      <c r="DK581" s="138">
        <f>DE581</f>
        <v/>
      </c>
      <c r="DL581" s="138">
        <f>DI581</f>
        <v/>
      </c>
      <c r="DM581" s="303">
        <f>IF(LEFT(BT581,1)=" ",RIGHT(BT581,LEN(BT581)-1),BT581)</f>
        <v/>
      </c>
      <c r="DN581" s="138">
        <f>_xlfn.CONCAT(BS581,DM581,BU581,BV581)</f>
        <v/>
      </c>
      <c r="DO581" s="307" t="inlineStr">
        <is>
          <t>https://images.evo.com/imgp/250/197468/825183/clone.jpg</t>
        </is>
      </c>
    </row>
    <row r="582" ht="15.6" customHeight="1" s="184">
      <c r="B582" s="303">
        <f t="array" ref="B582">IF(OR(ISERROR(K582:P582)),FALSE,TRUE)</f>
        <v/>
      </c>
      <c r="C582" s="60">
        <f>OR(BR582=Driver!$G$50,Data!BR1030=Driver!$H$50)</f>
        <v/>
      </c>
      <c r="D582" s="60">
        <f>OR(BV582=Driver!$G$51,BV582=Driver!$H$51)</f>
        <v/>
      </c>
      <c r="E582" s="60">
        <f>AND(BX582&gt;Driver!$F$54,BX582&lt;Driver!$G$54)</f>
        <v/>
      </c>
      <c r="F582" s="60">
        <f>CL582&gt;Driver!$F$56</f>
        <v/>
      </c>
      <c r="G582" s="60">
        <f>AND(CB582&gt;Driver!$F$55,CB582&lt;Driver!$G$55)</f>
        <v/>
      </c>
      <c r="H582" s="60">
        <f>AND(B582:G582)</f>
        <v/>
      </c>
      <c r="I582" s="60">
        <f>COUNTIFS($H$9:$H$1273,TRUE,$BT$9:$BT$1273,BT582)</f>
        <v/>
      </c>
      <c r="J582" s="60">
        <f t="array" ref="J582">NOT(OR(($H$9:$H$1273=TRUE)*($I$9:$I$1273&gt;0)*($BT$9:$BT$1273=BT582)*($K$9:$K$1273&gt;K582)))</f>
        <v/>
      </c>
      <c r="K582" s="108">
        <f>IFERROR(1-AVERAGE(X582:Y582),"")</f>
        <v/>
      </c>
      <c r="L582" s="108">
        <f>1-X582</f>
        <v/>
      </c>
      <c r="M582" s="108">
        <f>1-Y582</f>
        <v/>
      </c>
      <c r="N582" s="108">
        <f>1-Z582</f>
        <v/>
      </c>
      <c r="O582" s="108">
        <f>1-AA582</f>
        <v/>
      </c>
      <c r="P582" s="108">
        <f>1-AB582</f>
        <v/>
      </c>
      <c r="Q582" s="108" t="n"/>
      <c r="R582" s="108" t="n"/>
      <c r="S582" s="108">
        <f>1-AE582</f>
        <v/>
      </c>
      <c r="T582" s="108">
        <f>1-AF582</f>
        <v/>
      </c>
      <c r="U582" s="108">
        <f>1-AG582</f>
        <v/>
      </c>
      <c r="V582" s="108">
        <f>1-AH582</f>
        <v/>
      </c>
      <c r="W582" s="108">
        <f>1-AI582</f>
        <v/>
      </c>
      <c r="X582" s="108">
        <f>ABS(AJ582-AJ$1)</f>
        <v/>
      </c>
      <c r="Y582" s="108">
        <f>AVERAGE(Z582:AB582)</f>
        <v/>
      </c>
      <c r="Z582" s="108">
        <f>ABS(AL582-AL$1)</f>
        <v/>
      </c>
      <c r="AA582" s="108">
        <f>ABS(AM582-AM$1)</f>
        <v/>
      </c>
      <c r="AB582" s="108">
        <f>ABS(AN582-AN$1)</f>
        <v/>
      </c>
      <c r="AC582" s="108" t="n"/>
      <c r="AD582" s="108" t="n"/>
      <c r="AE582" s="108">
        <f>ABS(AQ$1-AQ582)</f>
        <v/>
      </c>
      <c r="AF582" s="108">
        <f>ABS(AR$1-AR582)</f>
        <v/>
      </c>
      <c r="AG582" s="108">
        <f>ABS(AS$1-AS582)</f>
        <v/>
      </c>
      <c r="AH582" s="108">
        <f>ABS(AT$1-AT582)</f>
        <v/>
      </c>
      <c r="AI582" s="108">
        <f>ABS(AU$1-AU582)</f>
        <v/>
      </c>
      <c r="AJ582" s="108">
        <f>(AV582-Driver!$K$179)/(Driver!$L$179-Driver!$K$179)</f>
        <v/>
      </c>
      <c r="AK582" s="108">
        <f>(AW582-Driver!$K$180)/(Driver!$L$180-Driver!$K$180)</f>
        <v/>
      </c>
      <c r="AL582" s="108">
        <f>(AX582-Driver!$K$181)/(Driver!$L$181-Driver!$K$181)</f>
        <v/>
      </c>
      <c r="AM582" s="108">
        <f>(AY582-Driver!$K$182)/(Driver!$L$182-Driver!$K$182)</f>
        <v/>
      </c>
      <c r="AN582" s="108">
        <f>(AZ582-Driver!$K$183)/(Driver!$L$183-Driver!$K$183)</f>
        <v/>
      </c>
      <c r="AO582" s="108" t="n"/>
      <c r="AP582" s="108" t="n"/>
      <c r="AQ582" s="108">
        <f>(BC582-Driver!$K$188)/(Driver!$L$188-Driver!$K$188)</f>
        <v/>
      </c>
      <c r="AR582" s="108">
        <f>MIN((BD582-Driver!$K$189)/(Driver!$L$189-Driver!$K$189),100%)</f>
        <v/>
      </c>
      <c r="AS582" s="108">
        <f>(BE582-Driver!$K$190)/(Driver!$L$190-Driver!$K$190)</f>
        <v/>
      </c>
      <c r="AT582" s="108">
        <f>(BF582-Driver!$K$191)/(Driver!$L$191-Driver!$K$191)</f>
        <v/>
      </c>
      <c r="AU582" s="108">
        <f>(BG582-Driver!$K$192)/(Driver!$L$192-Driver!$K$192)</f>
        <v/>
      </c>
      <c r="AV582" s="105">
        <f>IFERROR(BM582*BJ582^1/4,"")</f>
        <v/>
      </c>
      <c r="AW582" s="105">
        <f>IFERROR(SUM(AX582:AZ582),"")</f>
        <v/>
      </c>
      <c r="AX582" s="105">
        <f>IFERROR(BH582,"")</f>
        <v/>
      </c>
      <c r="AY582" s="105">
        <f>IFERROR(Driver!$K$19/Data!BH582/Data!BI582*Data!BK582*Data!BL582,"")</f>
        <v/>
      </c>
      <c r="AZ582" s="105">
        <f>IFERROR(BI582*BN582,"")</f>
        <v/>
      </c>
      <c r="BA582" s="105" t="n"/>
      <c r="BB582" s="105" t="n"/>
      <c r="BC582" s="105">
        <f>IFERROR(BI582*BN582*BK582/BJ582^(1/2),"")</f>
        <v/>
      </c>
      <c r="BD582" s="105">
        <f>IFERROR(BH582*BM582*BL582/BJ582/BK582,"")</f>
        <v/>
      </c>
      <c r="BE582" s="105">
        <f>IFERROR(MIN(BI582/BQ582/BP582/BO582/BH582,$BE$1),"")</f>
        <v/>
      </c>
      <c r="BF582" s="105">
        <f>IFERROR(BJ582*BO582*BP582/BK582,"")</f>
        <v/>
      </c>
      <c r="BG582" s="105">
        <f>IFERROR(1/BM582/BH582*BQ582,"")</f>
        <v/>
      </c>
      <c r="BH582" s="102">
        <f>MAX((CE582-Driver!$F$200)/(Driver!$G$200-Driver!$F$200)*$BI$1,1)</f>
        <v/>
      </c>
      <c r="BI582" s="102">
        <f>MAX($BI$1*(BY582-Driver!$F$201)/(Driver!$G$201-Driver!$F$201),1)</f>
        <v/>
      </c>
      <c r="BJ582" s="102">
        <f>(CB582-Driver!$F$206)/(Driver!$G$206-Driver!$F$206)*$BI$1</f>
        <v/>
      </c>
      <c r="BK582" s="102">
        <f>(CD582-Driver!$F$203)/(Driver!$G$203-Driver!$F$203)*$BI$1</f>
        <v/>
      </c>
      <c r="BL582" s="102">
        <f>MAX((CR582-Driver!$F$202)/(Driver!$G$202-Driver!$F$202)*$BI$1,1)</f>
        <v/>
      </c>
      <c r="BM582" s="102">
        <f>MAX((CH582-Driver!$F$204)/(Driver!$G$204-Driver!$F$204)*$BI$1,1)</f>
        <v/>
      </c>
      <c r="BN582" s="102">
        <f>(CI582-Driver!$F$205)/(Driver!$G$205-Driver!$F$205)*$BI$1</f>
        <v/>
      </c>
      <c r="BO582" s="102">
        <f>(CK582-Driver!$F$207)/(Driver!$G$207-Driver!$F$207)*$BI$1</f>
        <v/>
      </c>
      <c r="BP582" s="102">
        <f>(CM582-Driver!$F$208)/(Driver!$G$208-Driver!$F$208)*$BI$1</f>
        <v/>
      </c>
      <c r="BQ582" s="102">
        <f>(CL582-Driver!$F$209)/(Driver!$G$209-Driver!$F$209)*$BI$1</f>
        <v/>
      </c>
      <c r="BR582" s="40" t="inlineStr">
        <is>
          <t>21/22</t>
        </is>
      </c>
      <c r="BS582" s="10" t="inlineStr">
        <is>
          <t xml:space="preserve"> Rossignol</t>
        </is>
      </c>
      <c r="BT582" s="11" t="inlineStr">
        <is>
          <t xml:space="preserve"> Hero Elite Multi Turn Ti</t>
        </is>
      </c>
      <c r="BU582" s="13" t="n">
        <v>175</v>
      </c>
      <c r="BV582" s="11" t="inlineStr">
        <is>
          <t xml:space="preserve"> Unisex</t>
        </is>
      </c>
      <c r="BW582" s="13" t="n">
        <v>175</v>
      </c>
      <c r="BX582" s="13" t="n">
        <v>174.6</v>
      </c>
      <c r="BY582" s="13" t="n">
        <v>154</v>
      </c>
      <c r="BZ582" s="13" t="n">
        <v>161</v>
      </c>
      <c r="CA582" s="13" t="n">
        <v>122</v>
      </c>
      <c r="CB582" s="13" t="n">
        <v>73</v>
      </c>
      <c r="CC582" s="13" t="n">
        <v>108</v>
      </c>
      <c r="CD582" s="13" t="n">
        <v>15.3</v>
      </c>
      <c r="CE582" s="13" t="n">
        <v>1880</v>
      </c>
      <c r="CF582" s="13" t="n">
        <v>0.82</v>
      </c>
      <c r="CG582" s="13" t="n">
        <v>1542</v>
      </c>
      <c r="CH582" s="13" t="n">
        <v>222</v>
      </c>
      <c r="CI582" s="13" t="n">
        <v>93</v>
      </c>
      <c r="CJ582" s="13" t="n">
        <v>37</v>
      </c>
      <c r="CK582" s="13" t="n">
        <v>137</v>
      </c>
      <c r="CL582" s="13" t="n">
        <v>5</v>
      </c>
      <c r="CM582" s="13" t="n">
        <v>67</v>
      </c>
      <c r="CN582" s="13" t="n">
        <v>0.13</v>
      </c>
      <c r="CO582" s="13" t="n">
        <v>75</v>
      </c>
      <c r="CP582" s="13" t="n">
        <v>62</v>
      </c>
      <c r="CQ582" s="13" t="n">
        <v>62</v>
      </c>
      <c r="CR582" s="13" t="n">
        <v>11</v>
      </c>
      <c r="CS582" s="13" t="n">
        <v>10.3</v>
      </c>
      <c r="CT582" s="11" t="inlineStr">
        <is>
          <t xml:space="preserve"> On-Piste Carving</t>
        </is>
      </c>
      <c r="CU582" s="13" t="n"/>
      <c r="CV582" s="13" t="n"/>
      <c r="CW582" s="13" t="n"/>
      <c r="CX582">
        <f>INDEX('Data_Price '!AG$2:AG$1266,MATCH(Data!$DN582,'Data_Price '!$AT$2:$AT$1266,0))</f>
        <v/>
      </c>
      <c r="CY582">
        <f>INDEX('Data_Price '!AH$2:AH$1266,MATCH(Data!$DN582,'Data_Price '!$AT$2:$AT$1266,0))</f>
        <v/>
      </c>
      <c r="CZ582">
        <f>INDEX('Data_Price '!AI$2:AI$1266,MATCH(Data!$DN582,'Data_Price '!$AT$2:$AT$1266,0))</f>
        <v/>
      </c>
      <c r="DA582">
        <f>INDEX('Data_Price '!AJ$2:AJ$1266,MATCH(Data!$DN582,'Data_Price '!$AT$2:$AT$1266,0))</f>
        <v/>
      </c>
      <c r="DB582">
        <f>INDEX('Data_Price '!AK$2:AK$1266,MATCH(Data!$DN582,'Data_Price '!$AT$2:$AT$1266,0))</f>
        <v/>
      </c>
      <c r="DC582">
        <f>INDEX('Data_Price '!AL$2:AL$1266,MATCH(Data!$DN582,'Data_Price '!$AT$2:$AT$1266,0))</f>
        <v/>
      </c>
      <c r="DD582">
        <f>INDEX('Data_Price '!AM$2:AM$1266,MATCH(Data!$DN582,'Data_Price '!$AT$2:$AT$1266,0))</f>
        <v/>
      </c>
      <c r="DE582">
        <f>INDEX('Data_Price '!AN$2:AN$1266,MATCH(Data!$DN582,'Data_Price '!$AT$2:$AT$1266,0))</f>
        <v/>
      </c>
      <c r="DF582">
        <f>INDEX('Data_Price '!AO$2:AO$1266,MATCH(Data!$DN582,'Data_Price '!$AT$2:$AT$1266,0))</f>
        <v/>
      </c>
      <c r="DG582">
        <f>INDEX('Data_Price '!AP$2:AP$1266,MATCH(Data!$DN582,'Data_Price '!$AT$2:$AT$1266,0))</f>
        <v/>
      </c>
      <c r="DH582">
        <f>INDEX('Data_Price '!AQ$2:AQ$1266,MATCH(Data!$DN582,'Data_Price '!$AT$2:$AT$1266,0))</f>
        <v/>
      </c>
      <c r="DI582">
        <f>INDEX('Data_Price '!AR$2:AR$1266,MATCH(Data!$DN582,'Data_Price '!$AT$2:$AT$1266,0))</f>
        <v/>
      </c>
      <c r="DJ582" s="138">
        <f>DA582</f>
        <v/>
      </c>
      <c r="DK582" s="138">
        <f>DE582</f>
        <v/>
      </c>
      <c r="DL582" s="138">
        <f>DI582</f>
        <v/>
      </c>
      <c r="DM582" s="303">
        <f>IF(LEFT(BT582,1)=" ",RIGHT(BT582,LEN(BT582)-1),BT582)</f>
        <v/>
      </c>
      <c r="DN582" s="138">
        <f>_xlfn.CONCAT(BS582,DM582,BU582,BV582)</f>
        <v/>
      </c>
      <c r="DO582" s="307" t="n"/>
    </row>
    <row r="583" ht="15.6" customHeight="1" s="184">
      <c r="B583" s="303">
        <f t="array" ref="B583">IF(OR(ISERROR(K583:P583)),FALSE,TRUE)</f>
        <v/>
      </c>
      <c r="C583" s="60">
        <f>OR(BR583=Driver!$G$50,Data!BR657=Driver!$H$50)</f>
        <v/>
      </c>
      <c r="D583" s="60">
        <f>OR(BV583=Driver!$G$51,BV583=Driver!$H$51)</f>
        <v/>
      </c>
      <c r="E583" s="60">
        <f>AND(BX583&gt;Driver!$F$54,BX583&lt;Driver!$G$54)</f>
        <v/>
      </c>
      <c r="F583" s="60">
        <f>CL583&gt;Driver!$F$56</f>
        <v/>
      </c>
      <c r="G583" s="60">
        <f>AND(CB583&gt;Driver!$F$55,CB583&lt;Driver!$G$55)</f>
        <v/>
      </c>
      <c r="H583" s="60">
        <f>AND(B583:G583)</f>
        <v/>
      </c>
      <c r="I583" s="60">
        <f>COUNTIFS($H$9:$H$1273,TRUE,$BT$9:$BT$1273,BT583)</f>
        <v/>
      </c>
      <c r="J583" s="60">
        <f t="array" ref="J583">NOT(OR(($H$9:$H$1273=TRUE)*($I$9:$I$1273&gt;0)*($BT$9:$BT$1273=BT583)*($K$9:$K$1273&gt;K583)))</f>
        <v/>
      </c>
      <c r="K583" s="108">
        <f>IFERROR(1-AVERAGE(X583:Y583),"")</f>
        <v/>
      </c>
      <c r="L583" s="108">
        <f>1-X583</f>
        <v/>
      </c>
      <c r="M583" s="108">
        <f>1-Y583</f>
        <v/>
      </c>
      <c r="N583" s="108">
        <f>1-Z583</f>
        <v/>
      </c>
      <c r="O583" s="108">
        <f>1-AA583</f>
        <v/>
      </c>
      <c r="P583" s="108">
        <f>1-AB583</f>
        <v/>
      </c>
      <c r="Q583" s="108" t="n"/>
      <c r="R583" s="108" t="n"/>
      <c r="S583" s="108">
        <f>1-AE583</f>
        <v/>
      </c>
      <c r="T583" s="108">
        <f>1-AF583</f>
        <v/>
      </c>
      <c r="U583" s="108">
        <f>1-AG583</f>
        <v/>
      </c>
      <c r="V583" s="108">
        <f>1-AH583</f>
        <v/>
      </c>
      <c r="W583" s="108">
        <f>1-AI583</f>
        <v/>
      </c>
      <c r="X583" s="108">
        <f>ABS(AJ583-AJ$1)</f>
        <v/>
      </c>
      <c r="Y583" s="108">
        <f>AVERAGE(Z583:AB583)</f>
        <v/>
      </c>
      <c r="Z583" s="108">
        <f>ABS(AL583-AL$1)</f>
        <v/>
      </c>
      <c r="AA583" s="108">
        <f>ABS(AM583-AM$1)</f>
        <v/>
      </c>
      <c r="AB583" s="108">
        <f>ABS(AN583-AN$1)</f>
        <v/>
      </c>
      <c r="AC583" s="108" t="n"/>
      <c r="AD583" s="108" t="n"/>
      <c r="AE583" s="108">
        <f>ABS(AQ$1-AQ583)</f>
        <v/>
      </c>
      <c r="AF583" s="108">
        <f>ABS(AR$1-AR583)</f>
        <v/>
      </c>
      <c r="AG583" s="108">
        <f>ABS(AS$1-AS583)</f>
        <v/>
      </c>
      <c r="AH583" s="108">
        <f>ABS(AT$1-AT583)</f>
        <v/>
      </c>
      <c r="AI583" s="108">
        <f>ABS(AU$1-AU583)</f>
        <v/>
      </c>
      <c r="AJ583" s="108">
        <f>(AV583-Driver!$K$179)/(Driver!$L$179-Driver!$K$179)</f>
        <v/>
      </c>
      <c r="AK583" s="108">
        <f>(AW583-Driver!$K$180)/(Driver!$L$180-Driver!$K$180)</f>
        <v/>
      </c>
      <c r="AL583" s="108">
        <f>(AX583-Driver!$K$181)/(Driver!$L$181-Driver!$K$181)</f>
        <v/>
      </c>
      <c r="AM583" s="108">
        <f>(AY583-Driver!$K$182)/(Driver!$L$182-Driver!$K$182)</f>
        <v/>
      </c>
      <c r="AN583" s="108">
        <f>(AZ583-Driver!$K$183)/(Driver!$L$183-Driver!$K$183)</f>
        <v/>
      </c>
      <c r="AO583" s="108" t="n"/>
      <c r="AP583" s="108" t="n"/>
      <c r="AQ583" s="108">
        <f>(BC583-Driver!$K$188)/(Driver!$L$188-Driver!$K$188)</f>
        <v/>
      </c>
      <c r="AR583" s="108">
        <f>MIN((BD583-Driver!$K$189)/(Driver!$L$189-Driver!$K$189),100%)</f>
        <v/>
      </c>
      <c r="AS583" s="108">
        <f>(BE583-Driver!$K$190)/(Driver!$L$190-Driver!$K$190)</f>
        <v/>
      </c>
      <c r="AT583" s="108">
        <f>(BF583-Driver!$K$191)/(Driver!$L$191-Driver!$K$191)</f>
        <v/>
      </c>
      <c r="AU583" s="108">
        <f>(BG583-Driver!$K$192)/(Driver!$L$192-Driver!$K$192)</f>
        <v/>
      </c>
      <c r="AV583" s="105">
        <f>IFERROR(BM583*BJ583^1/4,"")</f>
        <v/>
      </c>
      <c r="AW583" s="105">
        <f>IFERROR(SUM(AX583:AZ583),"")</f>
        <v/>
      </c>
      <c r="AX583" s="105">
        <f>IFERROR(BH583,"")</f>
        <v/>
      </c>
      <c r="AY583" s="105">
        <f>IFERROR(Driver!$K$19/Data!BH583/Data!BI583*Data!BK583*Data!BL583,"")</f>
        <v/>
      </c>
      <c r="AZ583" s="105">
        <f>IFERROR(BI583*BN583,"")</f>
        <v/>
      </c>
      <c r="BA583" s="105" t="n"/>
      <c r="BB583" s="105" t="n"/>
      <c r="BC583" s="105">
        <f>IFERROR(BI583*BN583*BK583/BJ583^(1/2),"")</f>
        <v/>
      </c>
      <c r="BD583" s="105">
        <f>IFERROR(BH583*BM583*BL583/BJ583/BK583,"")</f>
        <v/>
      </c>
      <c r="BE583" s="105">
        <f>IFERROR(MIN(BI583/BQ583/BP583/BO583/BH583,$BE$1),"")</f>
        <v/>
      </c>
      <c r="BF583" s="105">
        <f>IFERROR(BJ583*BO583*BP583/BK583,"")</f>
        <v/>
      </c>
      <c r="BG583" s="105">
        <f>IFERROR(1/BM583/BH583*BQ583,"")</f>
        <v/>
      </c>
      <c r="BH583" s="102">
        <f>MAX((CE583-Driver!$F$200)/(Driver!$G$200-Driver!$F$200)*$BI$1,1)</f>
        <v/>
      </c>
      <c r="BI583" s="102">
        <f>MAX($BI$1*(BY583-Driver!$F$201)/(Driver!$G$201-Driver!$F$201),1)</f>
        <v/>
      </c>
      <c r="BJ583" s="102">
        <f>(CB583-Driver!$F$206)/(Driver!$G$206-Driver!$F$206)*$BI$1</f>
        <v/>
      </c>
      <c r="BK583" s="102">
        <f>(CD583-Driver!$F$203)/(Driver!$G$203-Driver!$F$203)*$BI$1</f>
        <v/>
      </c>
      <c r="BL583" s="102">
        <f>MAX((CR583-Driver!$F$202)/(Driver!$G$202-Driver!$F$202)*$BI$1,1)</f>
        <v/>
      </c>
      <c r="BM583" s="102">
        <f>MAX((CH583-Driver!$F$204)/(Driver!$G$204-Driver!$F$204)*$BI$1,1)</f>
        <v/>
      </c>
      <c r="BN583" s="102">
        <f>(CI583-Driver!$F$205)/(Driver!$G$205-Driver!$F$205)*$BI$1</f>
        <v/>
      </c>
      <c r="BO583" s="102">
        <f>(CK583-Driver!$F$207)/(Driver!$G$207-Driver!$F$207)*$BI$1</f>
        <v/>
      </c>
      <c r="BP583" s="102">
        <f>(CM583-Driver!$F$208)/(Driver!$G$208-Driver!$F$208)*$BI$1</f>
        <v/>
      </c>
      <c r="BQ583" s="102">
        <f>(CL583-Driver!$F$209)/(Driver!$G$209-Driver!$F$209)*$BI$1</f>
        <v/>
      </c>
      <c r="BR583" s="40" t="inlineStr">
        <is>
          <t>21/22</t>
        </is>
      </c>
      <c r="BS583" s="10" t="inlineStr">
        <is>
          <t xml:space="preserve"> Head</t>
        </is>
      </c>
      <c r="BT583" s="11" t="inlineStr">
        <is>
          <t>V-Shape V4</t>
        </is>
      </c>
      <c r="BU583" s="13" t="n">
        <v>170</v>
      </c>
      <c r="BV583" s="11" t="inlineStr">
        <is>
          <t xml:space="preserve"> Unisex</t>
        </is>
      </c>
      <c r="BW583" s="13" t="n">
        <v>170</v>
      </c>
      <c r="BX583" s="13" t="n">
        <v>169.4</v>
      </c>
      <c r="BY583" s="13" t="n">
        <v>150</v>
      </c>
      <c r="BZ583" s="13" t="n">
        <v>157</v>
      </c>
      <c r="CA583" s="13" t="n">
        <v>130</v>
      </c>
      <c r="CB583" s="13" t="n">
        <v>72</v>
      </c>
      <c r="CC583" s="13" t="n">
        <v>111</v>
      </c>
      <c r="CD583" s="13" t="n">
        <v>12.5</v>
      </c>
      <c r="CE583" s="13" t="n">
        <v>1868</v>
      </c>
      <c r="CF583" s="13" t="n">
        <v>0.8100000000000001</v>
      </c>
      <c r="CG583" s="13" t="n">
        <v>1522</v>
      </c>
      <c r="CH583" s="13" t="n">
        <v>175</v>
      </c>
      <c r="CI583" s="13" t="n">
        <v>88</v>
      </c>
      <c r="CJ583" s="13" t="n">
        <v>32</v>
      </c>
      <c r="CK583" s="13" t="n">
        <v>136</v>
      </c>
      <c r="CL583" s="13" t="n">
        <v>6</v>
      </c>
      <c r="CM583" s="13" t="n">
        <v>58</v>
      </c>
      <c r="CN583" s="13" t="n">
        <v>0.186</v>
      </c>
      <c r="CO583" s="13" t="n">
        <v>76</v>
      </c>
      <c r="CP583" s="13" t="n">
        <v>49</v>
      </c>
      <c r="CQ583" s="13" t="n">
        <v>60</v>
      </c>
      <c r="CR583" s="13" t="n">
        <v>13</v>
      </c>
      <c r="CS583" s="13" t="n">
        <v>13.4</v>
      </c>
      <c r="CT583" s="11" t="inlineStr">
        <is>
          <t xml:space="preserve"> On-Piste Carving</t>
        </is>
      </c>
      <c r="CU583" s="13" t="n"/>
      <c r="CV583" s="13" t="n"/>
      <c r="CW583" s="13" t="n"/>
      <c r="CX583">
        <f>INDEX('Data_Price '!AG$2:AG$1266,MATCH(Data!$DN583,'Data_Price '!$AT$2:$AT$1266,0))</f>
        <v/>
      </c>
      <c r="CY583">
        <f>INDEX('Data_Price '!AH$2:AH$1266,MATCH(Data!$DN583,'Data_Price '!$AT$2:$AT$1266,0))</f>
        <v/>
      </c>
      <c r="CZ583">
        <f>INDEX('Data_Price '!AI$2:AI$1266,MATCH(Data!$DN583,'Data_Price '!$AT$2:$AT$1266,0))</f>
        <v/>
      </c>
      <c r="DA583">
        <f>INDEX('Data_Price '!AJ$2:AJ$1266,MATCH(Data!$DN583,'Data_Price '!$AT$2:$AT$1266,0))</f>
        <v/>
      </c>
      <c r="DB583">
        <f>INDEX('Data_Price '!AK$2:AK$1266,MATCH(Data!$DN583,'Data_Price '!$AT$2:$AT$1266,0))</f>
        <v/>
      </c>
      <c r="DC583">
        <f>INDEX('Data_Price '!AL$2:AL$1266,MATCH(Data!$DN583,'Data_Price '!$AT$2:$AT$1266,0))</f>
        <v/>
      </c>
      <c r="DD583">
        <f>INDEX('Data_Price '!AM$2:AM$1266,MATCH(Data!$DN583,'Data_Price '!$AT$2:$AT$1266,0))</f>
        <v/>
      </c>
      <c r="DE583">
        <f>INDEX('Data_Price '!AN$2:AN$1266,MATCH(Data!$DN583,'Data_Price '!$AT$2:$AT$1266,0))</f>
        <v/>
      </c>
      <c r="DF583">
        <f>INDEX('Data_Price '!AO$2:AO$1266,MATCH(Data!$DN583,'Data_Price '!$AT$2:$AT$1266,0))</f>
        <v/>
      </c>
      <c r="DG583">
        <f>INDEX('Data_Price '!AP$2:AP$1266,MATCH(Data!$DN583,'Data_Price '!$AT$2:$AT$1266,0))</f>
        <v/>
      </c>
      <c r="DH583">
        <f>INDEX('Data_Price '!AQ$2:AQ$1266,MATCH(Data!$DN583,'Data_Price '!$AT$2:$AT$1266,0))</f>
        <v/>
      </c>
      <c r="DI583">
        <f>INDEX('Data_Price '!AR$2:AR$1266,MATCH(Data!$DN583,'Data_Price '!$AT$2:$AT$1266,0))</f>
        <v/>
      </c>
      <c r="DJ583" s="138">
        <f>DA583</f>
        <v/>
      </c>
      <c r="DK583" s="138">
        <f>DE583</f>
        <v/>
      </c>
      <c r="DL583" s="138">
        <f>DI583</f>
        <v/>
      </c>
      <c r="DM583" s="303">
        <f>IF(LEFT(BT583,1)=" ",RIGHT(BT583,LEN(BT583)-1),BT583)</f>
        <v/>
      </c>
      <c r="DN583" s="138">
        <f>_xlfn.CONCAT(BS583,DM583,BU583,BV583)</f>
        <v/>
      </c>
      <c r="DO583" s="307" t="n"/>
    </row>
    <row r="584" ht="15.6" customHeight="1" s="184">
      <c r="B584" s="303">
        <f t="array" ref="B584">IF(OR(ISERROR(K584:P584)),FALSE,TRUE)</f>
        <v/>
      </c>
      <c r="C584" s="60">
        <f>OR(BR584=Driver!$G$50,Data!BR728=Driver!$H$50)</f>
        <v/>
      </c>
      <c r="D584" s="60">
        <f>OR(BV584=Driver!$G$51,BV584=Driver!$H$51)</f>
        <v/>
      </c>
      <c r="E584" s="60">
        <f>AND(BX584&gt;Driver!$F$54,BX584&lt;Driver!$G$54)</f>
        <v/>
      </c>
      <c r="F584" s="60">
        <f>CL584&gt;Driver!$F$56</f>
        <v/>
      </c>
      <c r="G584" s="60">
        <f>AND(CB584&gt;Driver!$F$55,CB584&lt;Driver!$G$55)</f>
        <v/>
      </c>
      <c r="H584" s="60">
        <f>AND(B584:G584)</f>
        <v/>
      </c>
      <c r="I584" s="60">
        <f>COUNTIFS($H$9:$H$1273,TRUE,$BT$9:$BT$1273,BT584)</f>
        <v/>
      </c>
      <c r="J584" s="60">
        <f t="array" ref="J584">NOT(OR(($H$9:$H$1273=TRUE)*($I$9:$I$1273&gt;0)*($BT$9:$BT$1273=BT584)*($K$9:$K$1273&gt;K584)))</f>
        <v/>
      </c>
      <c r="K584" s="108">
        <f>IFERROR(1-AVERAGE(X584:Y584),"")</f>
        <v/>
      </c>
      <c r="L584" s="108">
        <f>1-X584</f>
        <v/>
      </c>
      <c r="M584" s="108">
        <f>1-Y584</f>
        <v/>
      </c>
      <c r="N584" s="108">
        <f>1-Z584</f>
        <v/>
      </c>
      <c r="O584" s="108">
        <f>1-AA584</f>
        <v/>
      </c>
      <c r="P584" s="108">
        <f>1-AB584</f>
        <v/>
      </c>
      <c r="Q584" s="108" t="n"/>
      <c r="R584" s="108" t="n"/>
      <c r="S584" s="108">
        <f>1-AE584</f>
        <v/>
      </c>
      <c r="T584" s="108">
        <f>1-AF584</f>
        <v/>
      </c>
      <c r="U584" s="108">
        <f>1-AG584</f>
        <v/>
      </c>
      <c r="V584" s="108">
        <f>1-AH584</f>
        <v/>
      </c>
      <c r="W584" s="108">
        <f>1-AI584</f>
        <v/>
      </c>
      <c r="X584" s="108">
        <f>ABS(AJ584-AJ$1)</f>
        <v/>
      </c>
      <c r="Y584" s="108">
        <f>AVERAGE(Z584:AB584)</f>
        <v/>
      </c>
      <c r="Z584" s="108">
        <f>ABS(AL584-AL$1)</f>
        <v/>
      </c>
      <c r="AA584" s="108">
        <f>ABS(AM584-AM$1)</f>
        <v/>
      </c>
      <c r="AB584" s="108">
        <f>ABS(AN584-AN$1)</f>
        <v/>
      </c>
      <c r="AC584" s="108" t="n"/>
      <c r="AD584" s="108" t="n"/>
      <c r="AE584" s="108">
        <f>ABS(AQ$1-AQ584)</f>
        <v/>
      </c>
      <c r="AF584" s="108">
        <f>ABS(AR$1-AR584)</f>
        <v/>
      </c>
      <c r="AG584" s="108">
        <f>ABS(AS$1-AS584)</f>
        <v/>
      </c>
      <c r="AH584" s="108">
        <f>ABS(AT$1-AT584)</f>
        <v/>
      </c>
      <c r="AI584" s="108">
        <f>ABS(AU$1-AU584)</f>
        <v/>
      </c>
      <c r="AJ584" s="108">
        <f>(AV584-Driver!$K$179)/(Driver!$L$179-Driver!$K$179)</f>
        <v/>
      </c>
      <c r="AK584" s="108">
        <f>(AW584-Driver!$K$180)/(Driver!$L$180-Driver!$K$180)</f>
        <v/>
      </c>
      <c r="AL584" s="108">
        <f>(AX584-Driver!$K$181)/(Driver!$L$181-Driver!$K$181)</f>
        <v/>
      </c>
      <c r="AM584" s="108">
        <f>(AY584-Driver!$K$182)/(Driver!$L$182-Driver!$K$182)</f>
        <v/>
      </c>
      <c r="AN584" s="108">
        <f>(AZ584-Driver!$K$183)/(Driver!$L$183-Driver!$K$183)</f>
        <v/>
      </c>
      <c r="AO584" s="108" t="n"/>
      <c r="AP584" s="108" t="n"/>
      <c r="AQ584" s="108">
        <f>(BC584-Driver!$K$188)/(Driver!$L$188-Driver!$K$188)</f>
        <v/>
      </c>
      <c r="AR584" s="108">
        <f>MIN((BD584-Driver!$K$189)/(Driver!$L$189-Driver!$K$189),100%)</f>
        <v/>
      </c>
      <c r="AS584" s="108">
        <f>(BE584-Driver!$K$190)/(Driver!$L$190-Driver!$K$190)</f>
        <v/>
      </c>
      <c r="AT584" s="108">
        <f>(BF584-Driver!$K$191)/(Driver!$L$191-Driver!$K$191)</f>
        <v/>
      </c>
      <c r="AU584" s="108">
        <f>(BG584-Driver!$K$192)/(Driver!$L$192-Driver!$K$192)</f>
        <v/>
      </c>
      <c r="AV584" s="105">
        <f>IFERROR(BM584*BJ584^1/4,"")</f>
        <v/>
      </c>
      <c r="AW584" s="105">
        <f>IFERROR(SUM(AX584:AZ584),"")</f>
        <v/>
      </c>
      <c r="AX584" s="105">
        <f>IFERROR(BH584,"")</f>
        <v/>
      </c>
      <c r="AY584" s="105">
        <f>IFERROR(Driver!$K$19/Data!BH584/Data!BI584*Data!BK584*Data!BL584,"")</f>
        <v/>
      </c>
      <c r="AZ584" s="105">
        <f>IFERROR(BI584*BN584,"")</f>
        <v/>
      </c>
      <c r="BA584" s="105" t="n"/>
      <c r="BB584" s="105" t="n"/>
      <c r="BC584" s="105">
        <f>IFERROR(BI584*BN584*BK584/BJ584^(1/2),"")</f>
        <v/>
      </c>
      <c r="BD584" s="105">
        <f>IFERROR(BH584*BM584*BL584/BJ584/BK584,"")</f>
        <v/>
      </c>
      <c r="BE584" s="105">
        <f>IFERROR(MIN(BI584/BQ584/BP584/BO584/BH584,$BE$1),"")</f>
        <v/>
      </c>
      <c r="BF584" s="105">
        <f>IFERROR(BJ584*BO584*BP584/BK584,"")</f>
        <v/>
      </c>
      <c r="BG584" s="105">
        <f>IFERROR(1/BM584/BH584*BQ584,"")</f>
        <v/>
      </c>
      <c r="BH584" s="102">
        <f>MAX((CE584-Driver!$F$200)/(Driver!$G$200-Driver!$F$200)*$BI$1,1)</f>
        <v/>
      </c>
      <c r="BI584" s="102">
        <f>MAX($BI$1*(BY584-Driver!$F$201)/(Driver!$G$201-Driver!$F$201),1)</f>
        <v/>
      </c>
      <c r="BJ584" s="102">
        <f>(CB584-Driver!$F$206)/(Driver!$G$206-Driver!$F$206)*$BI$1</f>
        <v/>
      </c>
      <c r="BK584" s="102">
        <f>(CD584-Driver!$F$203)/(Driver!$G$203-Driver!$F$203)*$BI$1</f>
        <v/>
      </c>
      <c r="BL584" s="102">
        <f>MAX((CR584-Driver!$F$202)/(Driver!$G$202-Driver!$F$202)*$BI$1,1)</f>
        <v/>
      </c>
      <c r="BM584" s="102">
        <f>MAX((CH584-Driver!$F$204)/(Driver!$G$204-Driver!$F$204)*$BI$1,1)</f>
        <v/>
      </c>
      <c r="BN584" s="102">
        <f>(CI584-Driver!$F$205)/(Driver!$G$205-Driver!$F$205)*$BI$1</f>
        <v/>
      </c>
      <c r="BO584" s="102">
        <f>(CK584-Driver!$F$207)/(Driver!$G$207-Driver!$F$207)*$BI$1</f>
        <v/>
      </c>
      <c r="BP584" s="102">
        <f>(CM584-Driver!$F$208)/(Driver!$G$208-Driver!$F$208)*$BI$1</f>
        <v/>
      </c>
      <c r="BQ584" s="102">
        <f>(CL584-Driver!$F$209)/(Driver!$G$209-Driver!$F$209)*$BI$1</f>
        <v/>
      </c>
      <c r="BR584" s="40" t="inlineStr">
        <is>
          <t>21/22</t>
        </is>
      </c>
      <c r="BS584" s="10" t="inlineStr">
        <is>
          <t xml:space="preserve"> K2</t>
        </is>
      </c>
      <c r="BT584" s="11" t="inlineStr">
        <is>
          <t>Mindbender 85</t>
        </is>
      </c>
      <c r="BU584" s="13" t="n">
        <v>177</v>
      </c>
      <c r="BV584" s="11" t="inlineStr">
        <is>
          <t xml:space="preserve"> Unisex</t>
        </is>
      </c>
      <c r="BW584" s="13" t="n">
        <v>177</v>
      </c>
      <c r="BX584" s="13" t="n">
        <v>177.4</v>
      </c>
      <c r="BY584" s="13" t="n">
        <v>135</v>
      </c>
      <c r="BZ584" s="13" t="n">
        <v>148</v>
      </c>
      <c r="CA584" s="13" t="n">
        <v>129</v>
      </c>
      <c r="CB584" s="13" t="n">
        <v>84</v>
      </c>
      <c r="CC584" s="13" t="n">
        <v>112</v>
      </c>
      <c r="CD584" s="13" t="n">
        <v>14.4</v>
      </c>
      <c r="CE584" s="13" t="n">
        <v>1863</v>
      </c>
      <c r="CF584" s="13" t="n">
        <v>0.9399999999999999</v>
      </c>
      <c r="CG584" s="13" t="n">
        <v>1759</v>
      </c>
      <c r="CH584" s="13" t="n">
        <v>205</v>
      </c>
      <c r="CI584" s="13" t="n">
        <v>108</v>
      </c>
      <c r="CJ584" s="13" t="n">
        <v>45</v>
      </c>
      <c r="CK584" s="13" t="n">
        <v>265</v>
      </c>
      <c r="CL584" s="13" t="n">
        <v>14</v>
      </c>
      <c r="CM584" s="13" t="n">
        <v>156</v>
      </c>
      <c r="CN584" s="13" t="n">
        <v>0.307</v>
      </c>
      <c r="CO584" s="13" t="n">
        <v>176</v>
      </c>
      <c r="CP584" s="13" t="n">
        <v>116</v>
      </c>
      <c r="CQ584" s="13" t="n">
        <v>89</v>
      </c>
      <c r="CR584" s="13" t="n">
        <v>10</v>
      </c>
      <c r="CS584" s="13" t="n">
        <v>11.2</v>
      </c>
      <c r="CT584" s="11" t="inlineStr">
        <is>
          <t xml:space="preserve"> On-Piste All-Mountain</t>
        </is>
      </c>
      <c r="CU584" s="11" t="inlineStr">
        <is>
          <t xml:space="preserve"> Resort Freeride</t>
        </is>
      </c>
      <c r="CV584" s="13" t="n"/>
      <c r="CW584" s="13" t="n"/>
      <c r="CX584">
        <f>INDEX('Data_Price '!AG$2:AG$1266,MATCH(Data!$DN584,'Data_Price '!$AT$2:$AT$1266,0))</f>
        <v/>
      </c>
      <c r="CY584">
        <f>INDEX('Data_Price '!AH$2:AH$1266,MATCH(Data!$DN584,'Data_Price '!$AT$2:$AT$1266,0))</f>
        <v/>
      </c>
      <c r="CZ584">
        <f>INDEX('Data_Price '!AI$2:AI$1266,MATCH(Data!$DN584,'Data_Price '!$AT$2:$AT$1266,0))</f>
        <v/>
      </c>
      <c r="DA584">
        <f>INDEX('Data_Price '!AJ$2:AJ$1266,MATCH(Data!$DN584,'Data_Price '!$AT$2:$AT$1266,0))</f>
        <v/>
      </c>
      <c r="DB584">
        <f>INDEX('Data_Price '!AK$2:AK$1266,MATCH(Data!$DN584,'Data_Price '!$AT$2:$AT$1266,0))</f>
        <v/>
      </c>
      <c r="DC584">
        <f>INDEX('Data_Price '!AL$2:AL$1266,MATCH(Data!$DN584,'Data_Price '!$AT$2:$AT$1266,0))</f>
        <v/>
      </c>
      <c r="DD584">
        <f>INDEX('Data_Price '!AM$2:AM$1266,MATCH(Data!$DN584,'Data_Price '!$AT$2:$AT$1266,0))</f>
        <v/>
      </c>
      <c r="DE584">
        <f>INDEX('Data_Price '!AN$2:AN$1266,MATCH(Data!$DN584,'Data_Price '!$AT$2:$AT$1266,0))</f>
        <v/>
      </c>
      <c r="DF584">
        <f>INDEX('Data_Price '!AO$2:AO$1266,MATCH(Data!$DN584,'Data_Price '!$AT$2:$AT$1266,0))</f>
        <v/>
      </c>
      <c r="DG584">
        <f>INDEX('Data_Price '!AP$2:AP$1266,MATCH(Data!$DN584,'Data_Price '!$AT$2:$AT$1266,0))</f>
        <v/>
      </c>
      <c r="DH584">
        <f>INDEX('Data_Price '!AQ$2:AQ$1266,MATCH(Data!$DN584,'Data_Price '!$AT$2:$AT$1266,0))</f>
        <v/>
      </c>
      <c r="DI584">
        <f>INDEX('Data_Price '!AR$2:AR$1266,MATCH(Data!$DN584,'Data_Price '!$AT$2:$AT$1266,0))</f>
        <v/>
      </c>
      <c r="DJ584" s="138">
        <f>DA584</f>
        <v/>
      </c>
      <c r="DK584" s="138">
        <f>DE584</f>
        <v/>
      </c>
      <c r="DL584" s="138">
        <f>DI584</f>
        <v/>
      </c>
      <c r="DM584" s="303">
        <f>IF(LEFT(BT584,1)=" ",RIGHT(BT584,LEN(BT584)-1),BT584)</f>
        <v/>
      </c>
      <c r="DN584" s="138">
        <f>_xlfn.CONCAT(BS584,DM584,BU584,BV584)</f>
        <v/>
      </c>
      <c r="DO584" s="307" t="inlineStr">
        <is>
          <t>https://images.evo.com/imgp/250/201044/824992/clone.jpg</t>
        </is>
      </c>
    </row>
    <row r="585" ht="15.6" customHeight="1" s="184">
      <c r="B585" s="303">
        <f t="array" ref="B585">IF(OR(ISERROR(K585:P585)),FALSE,TRUE)</f>
        <v/>
      </c>
      <c r="C585" s="60">
        <f>OR(BR585=Driver!$G$50,Data!BR512=Driver!$H$50)</f>
        <v/>
      </c>
      <c r="D585" s="60">
        <f>OR(BV585=Driver!$G$51,BV585=Driver!$H$51)</f>
        <v/>
      </c>
      <c r="E585" s="60">
        <f>AND(BX585&gt;Driver!$F$54,BX585&lt;Driver!$G$54)</f>
        <v/>
      </c>
      <c r="F585" s="60">
        <f>CL585&gt;Driver!$F$56</f>
        <v/>
      </c>
      <c r="G585" s="60">
        <f>AND(CB585&gt;Driver!$F$55,CB585&lt;Driver!$G$55)</f>
        <v/>
      </c>
      <c r="H585" s="60">
        <f>AND(B585:G585)</f>
        <v/>
      </c>
      <c r="I585" s="60">
        <f>COUNTIFS($H$9:$H$1273,TRUE,$BT$9:$BT$1273,BT585)</f>
        <v/>
      </c>
      <c r="J585" s="60">
        <f t="array" ref="J585">NOT(OR(($H$9:$H$1273=TRUE)*($I$9:$I$1273&gt;0)*($BT$9:$BT$1273=BT585)*($K$9:$K$1273&gt;K585)))</f>
        <v/>
      </c>
      <c r="K585" s="108">
        <f>IFERROR(1-AVERAGE(X585:Y585),"")</f>
        <v/>
      </c>
      <c r="L585" s="108">
        <f>1-X585</f>
        <v/>
      </c>
      <c r="M585" s="108">
        <f>1-Y585</f>
        <v/>
      </c>
      <c r="N585" s="108">
        <f>1-Z585</f>
        <v/>
      </c>
      <c r="O585" s="108">
        <f>1-AA585</f>
        <v/>
      </c>
      <c r="P585" s="108">
        <f>1-AB585</f>
        <v/>
      </c>
      <c r="Q585" s="108" t="n"/>
      <c r="R585" s="108" t="n"/>
      <c r="S585" s="108">
        <f>1-AE585</f>
        <v/>
      </c>
      <c r="T585" s="108">
        <f>1-AF585</f>
        <v/>
      </c>
      <c r="U585" s="108">
        <f>1-AG585</f>
        <v/>
      </c>
      <c r="V585" s="108">
        <f>1-AH585</f>
        <v/>
      </c>
      <c r="W585" s="108">
        <f>1-AI585</f>
        <v/>
      </c>
      <c r="X585" s="108">
        <f>ABS(AJ585-AJ$1)</f>
        <v/>
      </c>
      <c r="Y585" s="108">
        <f>AVERAGE(Z585:AB585)</f>
        <v/>
      </c>
      <c r="Z585" s="108">
        <f>ABS(AL585-AL$1)</f>
        <v/>
      </c>
      <c r="AA585" s="108">
        <f>ABS(AM585-AM$1)</f>
        <v/>
      </c>
      <c r="AB585" s="108">
        <f>ABS(AN585-AN$1)</f>
        <v/>
      </c>
      <c r="AC585" s="108" t="n"/>
      <c r="AD585" s="108" t="n"/>
      <c r="AE585" s="108">
        <f>ABS(AQ$1-AQ585)</f>
        <v/>
      </c>
      <c r="AF585" s="108">
        <f>ABS(AR$1-AR585)</f>
        <v/>
      </c>
      <c r="AG585" s="108">
        <f>ABS(AS$1-AS585)</f>
        <v/>
      </c>
      <c r="AH585" s="108">
        <f>ABS(AT$1-AT585)</f>
        <v/>
      </c>
      <c r="AI585" s="108">
        <f>ABS(AU$1-AU585)</f>
        <v/>
      </c>
      <c r="AJ585" s="108">
        <f>(AV585-Driver!$K$179)/(Driver!$L$179-Driver!$K$179)</f>
        <v/>
      </c>
      <c r="AK585" s="108">
        <f>(AW585-Driver!$K$180)/(Driver!$L$180-Driver!$K$180)</f>
        <v/>
      </c>
      <c r="AL585" s="108">
        <f>(AX585-Driver!$K$181)/(Driver!$L$181-Driver!$K$181)</f>
        <v/>
      </c>
      <c r="AM585" s="108">
        <f>(AY585-Driver!$K$182)/(Driver!$L$182-Driver!$K$182)</f>
        <v/>
      </c>
      <c r="AN585" s="108">
        <f>(AZ585-Driver!$K$183)/(Driver!$L$183-Driver!$K$183)</f>
        <v/>
      </c>
      <c r="AO585" s="108" t="n"/>
      <c r="AP585" s="108" t="n"/>
      <c r="AQ585" s="108">
        <f>(BC585-Driver!$K$188)/(Driver!$L$188-Driver!$K$188)</f>
        <v/>
      </c>
      <c r="AR585" s="108">
        <f>MIN((BD585-Driver!$K$189)/(Driver!$L$189-Driver!$K$189),100%)</f>
        <v/>
      </c>
      <c r="AS585" s="108">
        <f>(BE585-Driver!$K$190)/(Driver!$L$190-Driver!$K$190)</f>
        <v/>
      </c>
      <c r="AT585" s="108">
        <f>(BF585-Driver!$K$191)/(Driver!$L$191-Driver!$K$191)</f>
        <v/>
      </c>
      <c r="AU585" s="108">
        <f>(BG585-Driver!$K$192)/(Driver!$L$192-Driver!$K$192)</f>
        <v/>
      </c>
      <c r="AV585" s="105">
        <f>IFERROR(BM585*BJ585^1/4,"")</f>
        <v/>
      </c>
      <c r="AW585" s="105">
        <f>IFERROR(SUM(AX585:AZ585),"")</f>
        <v/>
      </c>
      <c r="AX585" s="105">
        <f>IFERROR(BH585,"")</f>
        <v/>
      </c>
      <c r="AY585" s="105">
        <f>IFERROR(Driver!$K$19/Data!BH585/Data!BI585*Data!BK585*Data!BL585,"")</f>
        <v/>
      </c>
      <c r="AZ585" s="105">
        <f>IFERROR(BI585*BN585,"")</f>
        <v/>
      </c>
      <c r="BA585" s="105" t="n"/>
      <c r="BB585" s="105" t="n"/>
      <c r="BC585" s="105">
        <f>IFERROR(BI585*BN585*BK585/BJ585^(1/2),"")</f>
        <v/>
      </c>
      <c r="BD585" s="105">
        <f>IFERROR(BH585*BM585*BL585/BJ585/BK585,"")</f>
        <v/>
      </c>
      <c r="BE585" s="105">
        <f>IFERROR(MIN(BI585/BQ585/BP585/BO585/BH585,$BE$1),"")</f>
        <v/>
      </c>
      <c r="BF585" s="105">
        <f>IFERROR(BJ585*BO585*BP585/BK585,"")</f>
        <v/>
      </c>
      <c r="BG585" s="105">
        <f>IFERROR(1/BM585/BH585*BQ585,"")</f>
        <v/>
      </c>
      <c r="BH585" s="102">
        <f>MAX((CE585-Driver!$F$200)/(Driver!$G$200-Driver!$F$200)*$BI$1,1)</f>
        <v/>
      </c>
      <c r="BI585" s="102">
        <f>MAX($BI$1*(BY585-Driver!$F$201)/(Driver!$G$201-Driver!$F$201),1)</f>
        <v/>
      </c>
      <c r="BJ585" s="102">
        <f>(CB585-Driver!$F$206)/(Driver!$G$206-Driver!$F$206)*$BI$1</f>
        <v/>
      </c>
      <c r="BK585" s="102">
        <f>(CD585-Driver!$F$203)/(Driver!$G$203-Driver!$F$203)*$BI$1</f>
        <v/>
      </c>
      <c r="BL585" s="102">
        <f>MAX((CR585-Driver!$F$202)/(Driver!$G$202-Driver!$F$202)*$BI$1,1)</f>
        <v/>
      </c>
      <c r="BM585" s="102">
        <f>MAX((CH585-Driver!$F$204)/(Driver!$G$204-Driver!$F$204)*$BI$1,1)</f>
        <v/>
      </c>
      <c r="BN585" s="102">
        <f>(CI585-Driver!$F$205)/(Driver!$G$205-Driver!$F$205)*$BI$1</f>
        <v/>
      </c>
      <c r="BO585" s="102">
        <f>(CK585-Driver!$F$207)/(Driver!$G$207-Driver!$F$207)*$BI$1</f>
        <v/>
      </c>
      <c r="BP585" s="102">
        <f>(CM585-Driver!$F$208)/(Driver!$G$208-Driver!$F$208)*$BI$1</f>
        <v/>
      </c>
      <c r="BQ585" s="102">
        <f>(CL585-Driver!$F$209)/(Driver!$G$209-Driver!$F$209)*$BI$1</f>
        <v/>
      </c>
      <c r="BR585" s="40" t="inlineStr">
        <is>
          <t>21/22</t>
        </is>
      </c>
      <c r="BS585" s="10" t="inlineStr">
        <is>
          <t xml:space="preserve"> Faction</t>
        </is>
      </c>
      <c r="BT585" s="11" t="inlineStr">
        <is>
          <t>Dictator 2.0</t>
        </is>
      </c>
      <c r="BU585" s="13" t="n">
        <v>171</v>
      </c>
      <c r="BV585" s="11" t="inlineStr">
        <is>
          <t xml:space="preserve"> Unisex</t>
        </is>
      </c>
      <c r="BW585" s="13" t="n">
        <v>171</v>
      </c>
      <c r="BX585" s="13" t="n">
        <v>169.5</v>
      </c>
      <c r="BY585" s="13" t="n">
        <v>128</v>
      </c>
      <c r="BZ585" s="13" t="n">
        <v>141</v>
      </c>
      <c r="CA585" s="13" t="n">
        <v>126</v>
      </c>
      <c r="CB585" s="13" t="n">
        <v>95</v>
      </c>
      <c r="CC585" s="13" t="n">
        <v>116</v>
      </c>
      <c r="CD585" s="13" t="n">
        <v>17.6</v>
      </c>
      <c r="CE585" s="13" t="n">
        <v>1848</v>
      </c>
      <c r="CF585" s="13" t="n">
        <v>0.97</v>
      </c>
      <c r="CG585" s="13" t="n">
        <v>1789</v>
      </c>
      <c r="CH585" s="13" t="n">
        <v>226</v>
      </c>
      <c r="CI585" s="13" t="n">
        <v>130</v>
      </c>
      <c r="CJ585" s="13" t="n">
        <v>52</v>
      </c>
      <c r="CK585" s="13" t="n">
        <v>240</v>
      </c>
      <c r="CL585" s="13" t="n">
        <v>22</v>
      </c>
      <c r="CM585" s="13" t="n">
        <v>177</v>
      </c>
      <c r="CN585" s="13" t="n">
        <v>0.42</v>
      </c>
      <c r="CO585" s="13" t="n">
        <v>176</v>
      </c>
      <c r="CP585" s="13" t="n">
        <v>105</v>
      </c>
      <c r="CQ585" s="13" t="n">
        <v>64</v>
      </c>
      <c r="CR585" s="13" t="n">
        <v>8</v>
      </c>
      <c r="CS585" s="13" t="n">
        <v>10.9</v>
      </c>
      <c r="CT585" s="11" t="inlineStr">
        <is>
          <t xml:space="preserve"> Resort Freeride</t>
        </is>
      </c>
      <c r="CU585" s="13" t="n"/>
      <c r="CV585" s="13" t="n"/>
      <c r="CW585" s="13" t="n"/>
      <c r="CX585">
        <f>INDEX('Data_Price '!AG$2:AG$1266,MATCH(Data!$DN585,'Data_Price '!$AT$2:$AT$1266,0))</f>
        <v/>
      </c>
      <c r="CY585">
        <f>INDEX('Data_Price '!AH$2:AH$1266,MATCH(Data!$DN585,'Data_Price '!$AT$2:$AT$1266,0))</f>
        <v/>
      </c>
      <c r="CZ585">
        <f>INDEX('Data_Price '!AI$2:AI$1266,MATCH(Data!$DN585,'Data_Price '!$AT$2:$AT$1266,0))</f>
        <v/>
      </c>
      <c r="DA585">
        <f>INDEX('Data_Price '!AJ$2:AJ$1266,MATCH(Data!$DN585,'Data_Price '!$AT$2:$AT$1266,0))</f>
        <v/>
      </c>
      <c r="DB585">
        <f>INDEX('Data_Price '!AK$2:AK$1266,MATCH(Data!$DN585,'Data_Price '!$AT$2:$AT$1266,0))</f>
        <v/>
      </c>
      <c r="DC585">
        <f>INDEX('Data_Price '!AL$2:AL$1266,MATCH(Data!$DN585,'Data_Price '!$AT$2:$AT$1266,0))</f>
        <v/>
      </c>
      <c r="DD585">
        <f>INDEX('Data_Price '!AM$2:AM$1266,MATCH(Data!$DN585,'Data_Price '!$AT$2:$AT$1266,0))</f>
        <v/>
      </c>
      <c r="DE585">
        <f>INDEX('Data_Price '!AN$2:AN$1266,MATCH(Data!$DN585,'Data_Price '!$AT$2:$AT$1266,0))</f>
        <v/>
      </c>
      <c r="DF585">
        <f>INDEX('Data_Price '!AO$2:AO$1266,MATCH(Data!$DN585,'Data_Price '!$AT$2:$AT$1266,0))</f>
        <v/>
      </c>
      <c r="DG585">
        <f>INDEX('Data_Price '!AP$2:AP$1266,MATCH(Data!$DN585,'Data_Price '!$AT$2:$AT$1266,0))</f>
        <v/>
      </c>
      <c r="DH585">
        <f>INDEX('Data_Price '!AQ$2:AQ$1266,MATCH(Data!$DN585,'Data_Price '!$AT$2:$AT$1266,0))</f>
        <v/>
      </c>
      <c r="DI585">
        <f>INDEX('Data_Price '!AR$2:AR$1266,MATCH(Data!$DN585,'Data_Price '!$AT$2:$AT$1266,0))</f>
        <v/>
      </c>
      <c r="DJ585" s="138">
        <f>DA585</f>
        <v/>
      </c>
      <c r="DK585" s="138">
        <f>DE585</f>
        <v/>
      </c>
      <c r="DL585" s="138">
        <f>DI585</f>
        <v/>
      </c>
      <c r="DM585" s="303">
        <f>IF(LEFT(BT585,1)=" ",RIGHT(BT585,LEN(BT585)-1),BT585)</f>
        <v/>
      </c>
      <c r="DN585" s="138">
        <f>_xlfn.CONCAT(BS585,DM585,BU585,BV585)</f>
        <v/>
      </c>
      <c r="DO585" s="307" t="inlineStr">
        <is>
          <t>https://images.evo.com/imgp/250/208645/839912/faction-dictator-2-0-skis-2022-.jpg</t>
        </is>
      </c>
    </row>
    <row r="586" ht="15.6" customHeight="1" s="184">
      <c r="B586" s="303">
        <f t="array" ref="B586">IF(OR(ISERROR(K586:P586)),FALSE,TRUE)</f>
        <v/>
      </c>
      <c r="C586" s="60">
        <f>OR(BR586=Driver!$G$50,Data!BR721=Driver!$H$50)</f>
        <v/>
      </c>
      <c r="D586" s="60">
        <f>OR(BV586=Driver!$G$51,BV586=Driver!$H$51)</f>
        <v/>
      </c>
      <c r="E586" s="60">
        <f>AND(BX586&gt;Driver!$F$54,BX586&lt;Driver!$G$54)</f>
        <v/>
      </c>
      <c r="F586" s="60">
        <f>CL586&gt;Driver!$F$56</f>
        <v/>
      </c>
      <c r="G586" s="60">
        <f>AND(CB586&gt;Driver!$F$55,CB586&lt;Driver!$G$55)</f>
        <v/>
      </c>
      <c r="H586" s="60">
        <f>AND(B586:G586)</f>
        <v/>
      </c>
      <c r="I586" s="60">
        <f>COUNTIFS($H$9:$H$1273,TRUE,$BT$9:$BT$1273,BT586)</f>
        <v/>
      </c>
      <c r="J586" s="60">
        <f t="array" ref="J586">NOT(OR(($H$9:$H$1273=TRUE)*($I$9:$I$1273&gt;0)*($BT$9:$BT$1273=BT586)*($K$9:$K$1273&gt;K586)))</f>
        <v/>
      </c>
      <c r="K586" s="108">
        <f>IFERROR(1-AVERAGE(X586:Y586),"")</f>
        <v/>
      </c>
      <c r="L586" s="108">
        <f>1-X586</f>
        <v/>
      </c>
      <c r="M586" s="108">
        <f>1-Y586</f>
        <v/>
      </c>
      <c r="N586" s="108">
        <f>1-Z586</f>
        <v/>
      </c>
      <c r="O586" s="108">
        <f>1-AA586</f>
        <v/>
      </c>
      <c r="P586" s="108">
        <f>1-AB586</f>
        <v/>
      </c>
      <c r="Q586" s="108" t="n"/>
      <c r="R586" s="108" t="n"/>
      <c r="S586" s="108">
        <f>1-AE586</f>
        <v/>
      </c>
      <c r="T586" s="108">
        <f>1-AF586</f>
        <v/>
      </c>
      <c r="U586" s="108">
        <f>1-AG586</f>
        <v/>
      </c>
      <c r="V586" s="108">
        <f>1-AH586</f>
        <v/>
      </c>
      <c r="W586" s="108">
        <f>1-AI586</f>
        <v/>
      </c>
      <c r="X586" s="108">
        <f>ABS(AJ586-AJ$1)</f>
        <v/>
      </c>
      <c r="Y586" s="108">
        <f>AVERAGE(Z586:AB586)</f>
        <v/>
      </c>
      <c r="Z586" s="108">
        <f>ABS(AL586-AL$1)</f>
        <v/>
      </c>
      <c r="AA586" s="108">
        <f>ABS(AM586-AM$1)</f>
        <v/>
      </c>
      <c r="AB586" s="108">
        <f>ABS(AN586-AN$1)</f>
        <v/>
      </c>
      <c r="AC586" s="108" t="n"/>
      <c r="AD586" s="108" t="n"/>
      <c r="AE586" s="108">
        <f>ABS(AQ$1-AQ586)</f>
        <v/>
      </c>
      <c r="AF586" s="108">
        <f>ABS(AR$1-AR586)</f>
        <v/>
      </c>
      <c r="AG586" s="108">
        <f>ABS(AS$1-AS586)</f>
        <v/>
      </c>
      <c r="AH586" s="108">
        <f>ABS(AT$1-AT586)</f>
        <v/>
      </c>
      <c r="AI586" s="108">
        <f>ABS(AU$1-AU586)</f>
        <v/>
      </c>
      <c r="AJ586" s="108">
        <f>(AV586-Driver!$K$179)/(Driver!$L$179-Driver!$K$179)</f>
        <v/>
      </c>
      <c r="AK586" s="108">
        <f>(AW586-Driver!$K$180)/(Driver!$L$180-Driver!$K$180)</f>
        <v/>
      </c>
      <c r="AL586" s="108">
        <f>(AX586-Driver!$K$181)/(Driver!$L$181-Driver!$K$181)</f>
        <v/>
      </c>
      <c r="AM586" s="108">
        <f>(AY586-Driver!$K$182)/(Driver!$L$182-Driver!$K$182)</f>
        <v/>
      </c>
      <c r="AN586" s="108">
        <f>(AZ586-Driver!$K$183)/(Driver!$L$183-Driver!$K$183)</f>
        <v/>
      </c>
      <c r="AO586" s="108" t="n"/>
      <c r="AP586" s="108" t="n"/>
      <c r="AQ586" s="108">
        <f>(BC586-Driver!$K$188)/(Driver!$L$188-Driver!$K$188)</f>
        <v/>
      </c>
      <c r="AR586" s="108">
        <f>MIN((BD586-Driver!$K$189)/(Driver!$L$189-Driver!$K$189),100%)</f>
        <v/>
      </c>
      <c r="AS586" s="108">
        <f>(BE586-Driver!$K$190)/(Driver!$L$190-Driver!$K$190)</f>
        <v/>
      </c>
      <c r="AT586" s="108">
        <f>(BF586-Driver!$K$191)/(Driver!$L$191-Driver!$K$191)</f>
        <v/>
      </c>
      <c r="AU586" s="108">
        <f>(BG586-Driver!$K$192)/(Driver!$L$192-Driver!$K$192)</f>
        <v/>
      </c>
      <c r="AV586" s="105">
        <f>IFERROR(BM586*BJ586^1/4,"")</f>
        <v/>
      </c>
      <c r="AW586" s="105">
        <f>IFERROR(SUM(AX586:AZ586),"")</f>
        <v/>
      </c>
      <c r="AX586" s="105">
        <f>IFERROR(BH586,"")</f>
        <v/>
      </c>
      <c r="AY586" s="105">
        <f>IFERROR(Driver!$K$19/Data!BH586/Data!BI586*Data!BK586*Data!BL586,"")</f>
        <v/>
      </c>
      <c r="AZ586" s="105">
        <f>IFERROR(BI586*BN586,"")</f>
        <v/>
      </c>
      <c r="BA586" s="105" t="n"/>
      <c r="BB586" s="105" t="n"/>
      <c r="BC586" s="105">
        <f>IFERROR(BI586*BN586*BK586/BJ586^(1/2),"")</f>
        <v/>
      </c>
      <c r="BD586" s="105">
        <f>IFERROR(BH586*BM586*BL586/BJ586/BK586,"")</f>
        <v/>
      </c>
      <c r="BE586" s="105">
        <f>IFERROR(MIN(BI586/BQ586/BP586/BO586/BH586,$BE$1),"")</f>
        <v/>
      </c>
      <c r="BF586" s="105">
        <f>IFERROR(BJ586*BO586*BP586/BK586,"")</f>
        <v/>
      </c>
      <c r="BG586" s="105">
        <f>IFERROR(1/BM586/BH586*BQ586,"")</f>
        <v/>
      </c>
      <c r="BH586" s="102">
        <f>MAX((CE586-Driver!$F$200)/(Driver!$G$200-Driver!$F$200)*$BI$1,1)</f>
        <v/>
      </c>
      <c r="BI586" s="102">
        <f>MAX($BI$1*(BY586-Driver!$F$201)/(Driver!$G$201-Driver!$F$201),1)</f>
        <v/>
      </c>
      <c r="BJ586" s="102">
        <f>(CB586-Driver!$F$206)/(Driver!$G$206-Driver!$F$206)*$BI$1</f>
        <v/>
      </c>
      <c r="BK586" s="102">
        <f>(CD586-Driver!$F$203)/(Driver!$G$203-Driver!$F$203)*$BI$1</f>
        <v/>
      </c>
      <c r="BL586" s="102">
        <f>MAX((CR586-Driver!$F$202)/(Driver!$G$202-Driver!$F$202)*$BI$1,1)</f>
        <v/>
      </c>
      <c r="BM586" s="102">
        <f>MAX((CH586-Driver!$F$204)/(Driver!$G$204-Driver!$F$204)*$BI$1,1)</f>
        <v/>
      </c>
      <c r="BN586" s="102">
        <f>(CI586-Driver!$F$205)/(Driver!$G$205-Driver!$F$205)*$BI$1</f>
        <v/>
      </c>
      <c r="BO586" s="102">
        <f>(CK586-Driver!$F$207)/(Driver!$G$207-Driver!$F$207)*$BI$1</f>
        <v/>
      </c>
      <c r="BP586" s="102">
        <f>(CM586-Driver!$F$208)/(Driver!$G$208-Driver!$F$208)*$BI$1</f>
        <v/>
      </c>
      <c r="BQ586" s="102">
        <f>(CL586-Driver!$F$209)/(Driver!$G$209-Driver!$F$209)*$BI$1</f>
        <v/>
      </c>
      <c r="BR586" s="40" t="inlineStr">
        <is>
          <t>21/22</t>
        </is>
      </c>
      <c r="BS586" s="10" t="inlineStr">
        <is>
          <t xml:space="preserve"> K2</t>
        </is>
      </c>
      <c r="BT586" s="11" t="inlineStr">
        <is>
          <t>Mindbender 115 C Alliance</t>
        </is>
      </c>
      <c r="BU586" s="13" t="n">
        <v>165</v>
      </c>
      <c r="BV586" s="11" t="inlineStr">
        <is>
          <t xml:space="preserve"> Women's</t>
        </is>
      </c>
      <c r="BW586" s="13" t="n">
        <v>165</v>
      </c>
      <c r="BX586" s="13" t="n">
        <v>165.3</v>
      </c>
      <c r="BY586" s="13" t="n">
        <v>97</v>
      </c>
      <c r="BZ586" s="13" t="n">
        <v>125</v>
      </c>
      <c r="CA586" s="13" t="n">
        <v>138</v>
      </c>
      <c r="CB586" s="13" t="n">
        <v>114</v>
      </c>
      <c r="CC586" s="13" t="n">
        <v>128</v>
      </c>
      <c r="CD586" s="13" t="n">
        <v>19</v>
      </c>
      <c r="CE586" s="13" t="n">
        <v>1640</v>
      </c>
      <c r="CF586" s="13" t="n">
        <v>1.22</v>
      </c>
      <c r="CG586" s="13" t="n">
        <v>1993</v>
      </c>
      <c r="CH586" s="13" t="n">
        <v>142</v>
      </c>
      <c r="CI586" s="13" t="n">
        <v>77</v>
      </c>
      <c r="CJ586" s="13" t="n">
        <v>52</v>
      </c>
      <c r="CK586" s="13" t="n">
        <v>431</v>
      </c>
      <c r="CL586" s="13" t="n">
        <v>23</v>
      </c>
      <c r="CM586" s="13" t="n">
        <v>253</v>
      </c>
      <c r="CN586" s="13" t="n">
        <v>0.435</v>
      </c>
      <c r="CO586" s="13" t="n">
        <v>203</v>
      </c>
      <c r="CP586" s="13" t="n">
        <v>196</v>
      </c>
      <c r="CQ586" s="13" t="n">
        <v>228</v>
      </c>
      <c r="CR586" s="13" t="n">
        <v>5</v>
      </c>
      <c r="CS586" s="13" t="n">
        <v>10.3</v>
      </c>
      <c r="CT586" s="11" t="inlineStr">
        <is>
          <t xml:space="preserve"> Powder</t>
        </is>
      </c>
      <c r="CU586" s="11" t="inlineStr">
        <is>
          <t xml:space="preserve"> Touring</t>
        </is>
      </c>
      <c r="CV586" s="13" t="n"/>
      <c r="CW586" s="13" t="n"/>
      <c r="CX586">
        <f>INDEX('Data_Price '!AG$2:AG$1266,MATCH(Data!$DN586,'Data_Price '!$AT$2:$AT$1266,0))</f>
        <v/>
      </c>
      <c r="CY586">
        <f>INDEX('Data_Price '!AH$2:AH$1266,MATCH(Data!$DN586,'Data_Price '!$AT$2:$AT$1266,0))</f>
        <v/>
      </c>
      <c r="CZ586">
        <f>INDEX('Data_Price '!AI$2:AI$1266,MATCH(Data!$DN586,'Data_Price '!$AT$2:$AT$1266,0))</f>
        <v/>
      </c>
      <c r="DA586">
        <f>INDEX('Data_Price '!AJ$2:AJ$1266,MATCH(Data!$DN586,'Data_Price '!$AT$2:$AT$1266,0))</f>
        <v/>
      </c>
      <c r="DB586">
        <f>INDEX('Data_Price '!AK$2:AK$1266,MATCH(Data!$DN586,'Data_Price '!$AT$2:$AT$1266,0))</f>
        <v/>
      </c>
      <c r="DC586">
        <f>INDEX('Data_Price '!AL$2:AL$1266,MATCH(Data!$DN586,'Data_Price '!$AT$2:$AT$1266,0))</f>
        <v/>
      </c>
      <c r="DD586">
        <f>INDEX('Data_Price '!AM$2:AM$1266,MATCH(Data!$DN586,'Data_Price '!$AT$2:$AT$1266,0))</f>
        <v/>
      </c>
      <c r="DE586">
        <f>INDEX('Data_Price '!AN$2:AN$1266,MATCH(Data!$DN586,'Data_Price '!$AT$2:$AT$1266,0))</f>
        <v/>
      </c>
      <c r="DF586">
        <f>INDEX('Data_Price '!AO$2:AO$1266,MATCH(Data!$DN586,'Data_Price '!$AT$2:$AT$1266,0))</f>
        <v/>
      </c>
      <c r="DG586">
        <f>INDEX('Data_Price '!AP$2:AP$1266,MATCH(Data!$DN586,'Data_Price '!$AT$2:$AT$1266,0))</f>
        <v/>
      </c>
      <c r="DH586">
        <f>INDEX('Data_Price '!AQ$2:AQ$1266,MATCH(Data!$DN586,'Data_Price '!$AT$2:$AT$1266,0))</f>
        <v/>
      </c>
      <c r="DI586">
        <f>INDEX('Data_Price '!AR$2:AR$1266,MATCH(Data!$DN586,'Data_Price '!$AT$2:$AT$1266,0))</f>
        <v/>
      </c>
      <c r="DJ586" s="138">
        <f>DA586</f>
        <v/>
      </c>
      <c r="DK586" s="138">
        <f>DE586</f>
        <v/>
      </c>
      <c r="DL586" s="138">
        <f>DI586</f>
        <v/>
      </c>
      <c r="DM586" s="303">
        <f>IF(LEFT(BT586,1)=" ",RIGHT(BT586,LEN(BT586)-1),BT586)</f>
        <v/>
      </c>
      <c r="DN586" s="138">
        <f>_xlfn.CONCAT(BS586,DM586,BU586,BV586)</f>
        <v/>
      </c>
      <c r="DO586" s="307" t="inlineStr">
        <is>
          <t>https://images.evo.com/imgp/250/182115/723839/k2-mindbender-115-c-alliance-skis-women-s-2021-.jpg</t>
        </is>
      </c>
    </row>
    <row r="587" ht="15.6" customHeight="1" s="184">
      <c r="B587" s="303">
        <f t="array" ref="B587">IF(OR(ISERROR(K587:P587)),FALSE,TRUE)</f>
        <v/>
      </c>
      <c r="C587" s="60">
        <f>OR(BR587=Driver!$G$50,Data!BR188=Driver!$H$50)</f>
        <v/>
      </c>
      <c r="D587" s="60">
        <f>OR(BV587=Driver!$G$51,BV587=Driver!$H$51)</f>
        <v/>
      </c>
      <c r="E587" s="60">
        <f>AND(BX587&gt;Driver!$F$54,BX587&lt;Driver!$G$54)</f>
        <v/>
      </c>
      <c r="F587" s="60">
        <f>CL587&gt;Driver!$F$56</f>
        <v/>
      </c>
      <c r="G587" s="60">
        <f>AND(CB587&gt;Driver!$F$55,CB587&lt;Driver!$G$55)</f>
        <v/>
      </c>
      <c r="H587" s="60">
        <f>AND(B587:G587)</f>
        <v/>
      </c>
      <c r="I587" s="60">
        <f>COUNTIFS($H$9:$H$1273,TRUE,$BT$9:$BT$1273,BT587)</f>
        <v/>
      </c>
      <c r="J587" s="60">
        <f t="array" ref="J587">NOT(OR(($H$9:$H$1273=TRUE)*($I$9:$I$1273&gt;0)*($BT$9:$BT$1273=BT587)*($K$9:$K$1273&gt;K587)))</f>
        <v/>
      </c>
      <c r="K587" s="108">
        <f>IFERROR(1-AVERAGE(X587:Y587),"")</f>
        <v/>
      </c>
      <c r="L587" s="108">
        <f>1-X587</f>
        <v/>
      </c>
      <c r="M587" s="108">
        <f>1-Y587</f>
        <v/>
      </c>
      <c r="N587" s="108">
        <f>1-Z587</f>
        <v/>
      </c>
      <c r="O587" s="108">
        <f>1-AA587</f>
        <v/>
      </c>
      <c r="P587" s="108">
        <f>1-AB587</f>
        <v/>
      </c>
      <c r="Q587" s="108" t="n"/>
      <c r="R587" s="108" t="n"/>
      <c r="S587" s="108">
        <f>1-AE587</f>
        <v/>
      </c>
      <c r="T587" s="108">
        <f>1-AF587</f>
        <v/>
      </c>
      <c r="U587" s="108">
        <f>1-AG587</f>
        <v/>
      </c>
      <c r="V587" s="108">
        <f>1-AH587</f>
        <v/>
      </c>
      <c r="W587" s="108">
        <f>1-AI587</f>
        <v/>
      </c>
      <c r="X587" s="108">
        <f>ABS(AJ587-AJ$1)</f>
        <v/>
      </c>
      <c r="Y587" s="108">
        <f>AVERAGE(Z587:AB587)</f>
        <v/>
      </c>
      <c r="Z587" s="108">
        <f>ABS(AL587-AL$1)</f>
        <v/>
      </c>
      <c r="AA587" s="108">
        <f>ABS(AM587-AM$1)</f>
        <v/>
      </c>
      <c r="AB587" s="108">
        <f>ABS(AN587-AN$1)</f>
        <v/>
      </c>
      <c r="AC587" s="108" t="n"/>
      <c r="AD587" s="108" t="n"/>
      <c r="AE587" s="108">
        <f>ABS(AQ$1-AQ587)</f>
        <v/>
      </c>
      <c r="AF587" s="108">
        <f>ABS(AR$1-AR587)</f>
        <v/>
      </c>
      <c r="AG587" s="108">
        <f>ABS(AS$1-AS587)</f>
        <v/>
      </c>
      <c r="AH587" s="108">
        <f>ABS(AT$1-AT587)</f>
        <v/>
      </c>
      <c r="AI587" s="108">
        <f>ABS(AU$1-AU587)</f>
        <v/>
      </c>
      <c r="AJ587" s="108">
        <f>(AV587-Driver!$K$179)/(Driver!$L$179-Driver!$K$179)</f>
        <v/>
      </c>
      <c r="AK587" s="108">
        <f>(AW587-Driver!$K$180)/(Driver!$L$180-Driver!$K$180)</f>
        <v/>
      </c>
      <c r="AL587" s="108">
        <f>(AX587-Driver!$K$181)/(Driver!$L$181-Driver!$K$181)</f>
        <v/>
      </c>
      <c r="AM587" s="108">
        <f>(AY587-Driver!$K$182)/(Driver!$L$182-Driver!$K$182)</f>
        <v/>
      </c>
      <c r="AN587" s="108">
        <f>(AZ587-Driver!$K$183)/(Driver!$L$183-Driver!$K$183)</f>
        <v/>
      </c>
      <c r="AO587" s="108" t="n"/>
      <c r="AP587" s="108" t="n"/>
      <c r="AQ587" s="108">
        <f>(BC587-Driver!$K$188)/(Driver!$L$188-Driver!$K$188)</f>
        <v/>
      </c>
      <c r="AR587" s="108">
        <f>MIN((BD587-Driver!$K$189)/(Driver!$L$189-Driver!$K$189),100%)</f>
        <v/>
      </c>
      <c r="AS587" s="108">
        <f>(BE587-Driver!$K$190)/(Driver!$L$190-Driver!$K$190)</f>
        <v/>
      </c>
      <c r="AT587" s="108">
        <f>(BF587-Driver!$K$191)/(Driver!$L$191-Driver!$K$191)</f>
        <v/>
      </c>
      <c r="AU587" s="108">
        <f>(BG587-Driver!$K$192)/(Driver!$L$192-Driver!$K$192)</f>
        <v/>
      </c>
      <c r="AV587" s="105">
        <f>IFERROR(BM587*BJ587^1/4,"")</f>
        <v/>
      </c>
      <c r="AW587" s="105">
        <f>IFERROR(SUM(AX587:AZ587),"")</f>
        <v/>
      </c>
      <c r="AX587" s="105">
        <f>IFERROR(BH587,"")</f>
        <v/>
      </c>
      <c r="AY587" s="105">
        <f>IFERROR(Driver!$K$19/Data!BH587/Data!BI587*Data!BK587*Data!BL587,"")</f>
        <v/>
      </c>
      <c r="AZ587" s="105">
        <f>IFERROR(BI587*BN587,"")</f>
        <v/>
      </c>
      <c r="BA587" s="105" t="n"/>
      <c r="BB587" s="105" t="n"/>
      <c r="BC587" s="105">
        <f>IFERROR(BI587*BN587*BK587/BJ587^(1/2),"")</f>
        <v/>
      </c>
      <c r="BD587" s="105">
        <f>IFERROR(BH587*BM587*BL587/BJ587/BK587,"")</f>
        <v/>
      </c>
      <c r="BE587" s="105">
        <f>IFERROR(MIN(BI587/BQ587/BP587/BO587/BH587,$BE$1),"")</f>
        <v/>
      </c>
      <c r="BF587" s="105">
        <f>IFERROR(BJ587*BO587*BP587/BK587,"")</f>
        <v/>
      </c>
      <c r="BG587" s="105">
        <f>IFERROR(1/BM587/BH587*BQ587,"")</f>
        <v/>
      </c>
      <c r="BH587" s="102">
        <f>MAX((CE587-Driver!$F$200)/(Driver!$G$200-Driver!$F$200)*$BI$1,1)</f>
        <v/>
      </c>
      <c r="BI587" s="102">
        <f>MAX($BI$1*(BY587-Driver!$F$201)/(Driver!$G$201-Driver!$F$201),1)</f>
        <v/>
      </c>
      <c r="BJ587" s="102">
        <f>(CB587-Driver!$F$206)/(Driver!$G$206-Driver!$F$206)*$BI$1</f>
        <v/>
      </c>
      <c r="BK587" s="102">
        <f>(CD587-Driver!$F$203)/(Driver!$G$203-Driver!$F$203)*$BI$1</f>
        <v/>
      </c>
      <c r="BL587" s="102">
        <f>MAX((CR587-Driver!$F$202)/(Driver!$G$202-Driver!$F$202)*$BI$1,1)</f>
        <v/>
      </c>
      <c r="BM587" s="102">
        <f>MAX((CH587-Driver!$F$204)/(Driver!$G$204-Driver!$F$204)*$BI$1,1)</f>
        <v/>
      </c>
      <c r="BN587" s="102">
        <f>(CI587-Driver!$F$205)/(Driver!$G$205-Driver!$F$205)*$BI$1</f>
        <v/>
      </c>
      <c r="BO587" s="102">
        <f>(CK587-Driver!$F$207)/(Driver!$G$207-Driver!$F$207)*$BI$1</f>
        <v/>
      </c>
      <c r="BP587" s="102">
        <f>(CM587-Driver!$F$208)/(Driver!$G$208-Driver!$F$208)*$BI$1</f>
        <v/>
      </c>
      <c r="BQ587" s="102">
        <f>(CL587-Driver!$F$209)/(Driver!$G$209-Driver!$F$209)*$BI$1</f>
        <v/>
      </c>
      <c r="BR587" s="40" t="inlineStr">
        <is>
          <t>21/22</t>
        </is>
      </c>
      <c r="BS587" s="10" t="inlineStr">
        <is>
          <t xml:space="preserve"> Atomic</t>
        </is>
      </c>
      <c r="BT587" s="11" t="inlineStr">
        <is>
          <t>Vantage 75</t>
        </is>
      </c>
      <c r="BU587" s="13" t="n">
        <v>161</v>
      </c>
      <c r="BV587" s="11" t="inlineStr">
        <is>
          <t xml:space="preserve"> Unisex</t>
        </is>
      </c>
      <c r="BW587" s="13" t="n">
        <v>161</v>
      </c>
      <c r="BX587" s="13" t="n">
        <v>160.5</v>
      </c>
      <c r="BY587" s="13" t="n">
        <v>135</v>
      </c>
      <c r="BZ587" s="13" t="n">
        <v>143</v>
      </c>
      <c r="CA587" s="13" t="n">
        <v>114</v>
      </c>
      <c r="CB587" s="13" t="n">
        <v>74</v>
      </c>
      <c r="CC587" s="13" t="n">
        <v>99</v>
      </c>
      <c r="CD587" s="13" t="n">
        <v>15.2</v>
      </c>
      <c r="CE587" s="13" t="n">
        <v>1774</v>
      </c>
      <c r="CF587" s="13" t="n">
        <v>0.78</v>
      </c>
      <c r="CG587" s="13" t="n">
        <v>1388</v>
      </c>
      <c r="CH587" s="13" t="n">
        <v>166</v>
      </c>
      <c r="CI587" s="13" t="n">
        <v>84</v>
      </c>
      <c r="CJ587" s="13" t="n">
        <v>39</v>
      </c>
      <c r="CK587" s="13" t="n">
        <v>176</v>
      </c>
      <c r="CL587" s="13" t="n">
        <v>4</v>
      </c>
      <c r="CM587" s="13" t="n">
        <v>78</v>
      </c>
      <c r="CN587" s="13" t="n">
        <v>0.112</v>
      </c>
      <c r="CO587" s="13" t="n">
        <v>100</v>
      </c>
      <c r="CP587" s="13" t="n">
        <v>76</v>
      </c>
      <c r="CQ587" s="13" t="n">
        <v>76</v>
      </c>
      <c r="CR587" s="13" t="n">
        <v>11</v>
      </c>
      <c r="CS587" s="13" t="n">
        <v>10.5</v>
      </c>
      <c r="CT587" s="11" t="inlineStr">
        <is>
          <t xml:space="preserve"> On-Piste Carving</t>
        </is>
      </c>
      <c r="CU587" s="11" t="inlineStr">
        <is>
          <t xml:space="preserve"> On-Piste All-Mountain</t>
        </is>
      </c>
      <c r="CV587" s="13" t="n"/>
      <c r="CW587" s="13" t="n"/>
      <c r="CX587">
        <f>INDEX('Data_Price '!AG$2:AG$1266,MATCH(Data!$DN587,'Data_Price '!$AT$2:$AT$1266,0))</f>
        <v/>
      </c>
      <c r="CY587">
        <f>INDEX('Data_Price '!AH$2:AH$1266,MATCH(Data!$DN587,'Data_Price '!$AT$2:$AT$1266,0))</f>
        <v/>
      </c>
      <c r="CZ587">
        <f>INDEX('Data_Price '!AI$2:AI$1266,MATCH(Data!$DN587,'Data_Price '!$AT$2:$AT$1266,0))</f>
        <v/>
      </c>
      <c r="DA587">
        <f>INDEX('Data_Price '!AJ$2:AJ$1266,MATCH(Data!$DN587,'Data_Price '!$AT$2:$AT$1266,0))</f>
        <v/>
      </c>
      <c r="DB587">
        <f>INDEX('Data_Price '!AK$2:AK$1266,MATCH(Data!$DN587,'Data_Price '!$AT$2:$AT$1266,0))</f>
        <v/>
      </c>
      <c r="DC587">
        <f>INDEX('Data_Price '!AL$2:AL$1266,MATCH(Data!$DN587,'Data_Price '!$AT$2:$AT$1266,0))</f>
        <v/>
      </c>
      <c r="DD587">
        <f>INDEX('Data_Price '!AM$2:AM$1266,MATCH(Data!$DN587,'Data_Price '!$AT$2:$AT$1266,0))</f>
        <v/>
      </c>
      <c r="DE587">
        <f>INDEX('Data_Price '!AN$2:AN$1266,MATCH(Data!$DN587,'Data_Price '!$AT$2:$AT$1266,0))</f>
        <v/>
      </c>
      <c r="DF587">
        <f>INDEX('Data_Price '!AO$2:AO$1266,MATCH(Data!$DN587,'Data_Price '!$AT$2:$AT$1266,0))</f>
        <v/>
      </c>
      <c r="DG587">
        <f>INDEX('Data_Price '!AP$2:AP$1266,MATCH(Data!$DN587,'Data_Price '!$AT$2:$AT$1266,0))</f>
        <v/>
      </c>
      <c r="DH587">
        <f>INDEX('Data_Price '!AQ$2:AQ$1266,MATCH(Data!$DN587,'Data_Price '!$AT$2:$AT$1266,0))</f>
        <v/>
      </c>
      <c r="DI587">
        <f>INDEX('Data_Price '!AR$2:AR$1266,MATCH(Data!$DN587,'Data_Price '!$AT$2:$AT$1266,0))</f>
        <v/>
      </c>
      <c r="DJ587" s="138">
        <f>DA587</f>
        <v/>
      </c>
      <c r="DK587" s="138">
        <f>DE587</f>
        <v/>
      </c>
      <c r="DL587" s="138">
        <f>DI587</f>
        <v/>
      </c>
      <c r="DM587" s="303">
        <f>IF(LEFT(BT587,1)=" ",RIGHT(BT587,LEN(BT587)-1),BT587)</f>
        <v/>
      </c>
      <c r="DN587" s="138">
        <f>_xlfn.CONCAT(BS587,DM587,BU587,BV587)</f>
        <v/>
      </c>
      <c r="DO587" s="307" t="inlineStr">
        <is>
          <t>https://images.evo.com/imgp/250/183371/737590/clone.jpg</t>
        </is>
      </c>
    </row>
    <row r="588" ht="15.6" customHeight="1" s="184">
      <c r="B588" s="303">
        <f t="array" ref="B588">IF(OR(ISERROR(K588:P588)),FALSE,TRUE)</f>
        <v/>
      </c>
      <c r="C588" s="60">
        <f>OR(BR588=Driver!$G$50,Data!BR123=Driver!$H$50)</f>
        <v/>
      </c>
      <c r="D588" s="60">
        <f>OR(BV588=Driver!$G$51,BV588=Driver!$H$51)</f>
        <v/>
      </c>
      <c r="E588" s="60">
        <f>AND(BX588&gt;Driver!$F$54,BX588&lt;Driver!$G$54)</f>
        <v/>
      </c>
      <c r="F588" s="60">
        <f>CL588&gt;Driver!$F$56</f>
        <v/>
      </c>
      <c r="G588" s="60">
        <f>AND(CB588&gt;Driver!$F$55,CB588&lt;Driver!$G$55)</f>
        <v/>
      </c>
      <c r="H588" s="60">
        <f>AND(B588:G588)</f>
        <v/>
      </c>
      <c r="I588" s="60">
        <f>COUNTIFS($H$9:$H$1273,TRUE,$BT$9:$BT$1273,BT588)</f>
        <v/>
      </c>
      <c r="J588" s="60">
        <f t="array" ref="J588">NOT(OR(($H$9:$H$1273=TRUE)*($I$9:$I$1273&gt;0)*($BT$9:$BT$1273=BT588)*($K$9:$K$1273&gt;K588)))</f>
        <v/>
      </c>
      <c r="K588" s="108">
        <f>IFERROR(1-AVERAGE(X588:Y588),"")</f>
        <v/>
      </c>
      <c r="L588" s="108">
        <f>1-X588</f>
        <v/>
      </c>
      <c r="M588" s="108">
        <f>1-Y588</f>
        <v/>
      </c>
      <c r="N588" s="108">
        <f>1-Z588</f>
        <v/>
      </c>
      <c r="O588" s="108">
        <f>1-AA588</f>
        <v/>
      </c>
      <c r="P588" s="108">
        <f>1-AB588</f>
        <v/>
      </c>
      <c r="Q588" s="108" t="n"/>
      <c r="R588" s="108" t="n"/>
      <c r="S588" s="108">
        <f>1-AE588</f>
        <v/>
      </c>
      <c r="T588" s="108">
        <f>1-AF588</f>
        <v/>
      </c>
      <c r="U588" s="108">
        <f>1-AG588</f>
        <v/>
      </c>
      <c r="V588" s="108">
        <f>1-AH588</f>
        <v/>
      </c>
      <c r="W588" s="108">
        <f>1-AI588</f>
        <v/>
      </c>
      <c r="X588" s="108">
        <f>ABS(AJ588-AJ$1)</f>
        <v/>
      </c>
      <c r="Y588" s="108">
        <f>AVERAGE(Z588:AB588)</f>
        <v/>
      </c>
      <c r="Z588" s="108">
        <f>ABS(AL588-AL$1)</f>
        <v/>
      </c>
      <c r="AA588" s="108">
        <f>ABS(AM588-AM$1)</f>
        <v/>
      </c>
      <c r="AB588" s="108">
        <f>ABS(AN588-AN$1)</f>
        <v/>
      </c>
      <c r="AC588" s="108" t="n"/>
      <c r="AD588" s="108" t="n"/>
      <c r="AE588" s="108">
        <f>ABS(AQ$1-AQ588)</f>
        <v/>
      </c>
      <c r="AF588" s="108">
        <f>ABS(AR$1-AR588)</f>
        <v/>
      </c>
      <c r="AG588" s="108">
        <f>ABS(AS$1-AS588)</f>
        <v/>
      </c>
      <c r="AH588" s="108">
        <f>ABS(AT$1-AT588)</f>
        <v/>
      </c>
      <c r="AI588" s="108">
        <f>ABS(AU$1-AU588)</f>
        <v/>
      </c>
      <c r="AJ588" s="108">
        <f>(AV588-Driver!$K$179)/(Driver!$L$179-Driver!$K$179)</f>
        <v/>
      </c>
      <c r="AK588" s="108">
        <f>(AW588-Driver!$K$180)/(Driver!$L$180-Driver!$K$180)</f>
        <v/>
      </c>
      <c r="AL588" s="108">
        <f>(AX588-Driver!$K$181)/(Driver!$L$181-Driver!$K$181)</f>
        <v/>
      </c>
      <c r="AM588" s="108">
        <f>(AY588-Driver!$K$182)/(Driver!$L$182-Driver!$K$182)</f>
        <v/>
      </c>
      <c r="AN588" s="108">
        <f>(AZ588-Driver!$K$183)/(Driver!$L$183-Driver!$K$183)</f>
        <v/>
      </c>
      <c r="AO588" s="108" t="n"/>
      <c r="AP588" s="108" t="n"/>
      <c r="AQ588" s="108">
        <f>(BC588-Driver!$K$188)/(Driver!$L$188-Driver!$K$188)</f>
        <v/>
      </c>
      <c r="AR588" s="108">
        <f>MIN((BD588-Driver!$K$189)/(Driver!$L$189-Driver!$K$189),100%)</f>
        <v/>
      </c>
      <c r="AS588" s="108">
        <f>(BE588-Driver!$K$190)/(Driver!$L$190-Driver!$K$190)</f>
        <v/>
      </c>
      <c r="AT588" s="108">
        <f>(BF588-Driver!$K$191)/(Driver!$L$191-Driver!$K$191)</f>
        <v/>
      </c>
      <c r="AU588" s="108">
        <f>(BG588-Driver!$K$192)/(Driver!$L$192-Driver!$K$192)</f>
        <v/>
      </c>
      <c r="AV588" s="105">
        <f>IFERROR(BM588*BJ588^1/4,"")</f>
        <v/>
      </c>
      <c r="AW588" s="105">
        <f>IFERROR(SUM(AX588:AZ588),"")</f>
        <v/>
      </c>
      <c r="AX588" s="105">
        <f>IFERROR(BH588,"")</f>
        <v/>
      </c>
      <c r="AY588" s="105">
        <f>IFERROR(Driver!$K$19/Data!BH588/Data!BI588*Data!BK588*Data!BL588,"")</f>
        <v/>
      </c>
      <c r="AZ588" s="105">
        <f>IFERROR(BI588*BN588,"")</f>
        <v/>
      </c>
      <c r="BA588" s="105" t="n"/>
      <c r="BB588" s="105" t="n"/>
      <c r="BC588" s="105">
        <f>IFERROR(BI588*BN588*BK588/BJ588^(1/2),"")</f>
        <v/>
      </c>
      <c r="BD588" s="105">
        <f>IFERROR(BH588*BM588*BL588/BJ588/BK588,"")</f>
        <v/>
      </c>
      <c r="BE588" s="105">
        <f>IFERROR(MIN(BI588/BQ588/BP588/BO588/BH588,$BE$1),"")</f>
        <v/>
      </c>
      <c r="BF588" s="105">
        <f>IFERROR(BJ588*BO588*BP588/BK588,"")</f>
        <v/>
      </c>
      <c r="BG588" s="105">
        <f>IFERROR(1/BM588/BH588*BQ588,"")</f>
        <v/>
      </c>
      <c r="BH588" s="102">
        <f>MAX((CE588-Driver!$F$200)/(Driver!$G$200-Driver!$F$200)*$BI$1,1)</f>
        <v/>
      </c>
      <c r="BI588" s="102">
        <f>MAX($BI$1*(BY588-Driver!$F$201)/(Driver!$G$201-Driver!$F$201),1)</f>
        <v/>
      </c>
      <c r="BJ588" s="102">
        <f>(CB588-Driver!$F$206)/(Driver!$G$206-Driver!$F$206)*$BI$1</f>
        <v/>
      </c>
      <c r="BK588" s="102">
        <f>(CD588-Driver!$F$203)/(Driver!$G$203-Driver!$F$203)*$BI$1</f>
        <v/>
      </c>
      <c r="BL588" s="102">
        <f>MAX((CR588-Driver!$F$202)/(Driver!$G$202-Driver!$F$202)*$BI$1,1)</f>
        <v/>
      </c>
      <c r="BM588" s="102">
        <f>MAX((CH588-Driver!$F$204)/(Driver!$G$204-Driver!$F$204)*$BI$1,1)</f>
        <v/>
      </c>
      <c r="BN588" s="102">
        <f>(CI588-Driver!$F$205)/(Driver!$G$205-Driver!$F$205)*$BI$1</f>
        <v/>
      </c>
      <c r="BO588" s="102">
        <f>(CK588-Driver!$F$207)/(Driver!$G$207-Driver!$F$207)*$BI$1</f>
        <v/>
      </c>
      <c r="BP588" s="102">
        <f>(CM588-Driver!$F$208)/(Driver!$G$208-Driver!$F$208)*$BI$1</f>
        <v/>
      </c>
      <c r="BQ588" s="102">
        <f>(CL588-Driver!$F$209)/(Driver!$G$209-Driver!$F$209)*$BI$1</f>
        <v/>
      </c>
      <c r="BR588" s="40" t="inlineStr">
        <is>
          <t>21/22</t>
        </is>
      </c>
      <c r="BS588" s="10" t="inlineStr">
        <is>
          <t xml:space="preserve"> Atomic</t>
        </is>
      </c>
      <c r="BT588" s="11" t="inlineStr">
        <is>
          <t>Backland 107 W</t>
        </is>
      </c>
      <c r="BU588" s="13" t="n">
        <v>167</v>
      </c>
      <c r="BV588" s="11" t="inlineStr">
        <is>
          <t xml:space="preserve"> Unisex</t>
        </is>
      </c>
      <c r="BW588" s="13" t="n">
        <v>167</v>
      </c>
      <c r="BX588" s="13" t="n">
        <v>166.7</v>
      </c>
      <c r="BY588" s="13" t="n">
        <v>106</v>
      </c>
      <c r="BZ588" s="13" t="n">
        <v>127</v>
      </c>
      <c r="CA588" s="13" t="n">
        <v>134</v>
      </c>
      <c r="CB588" s="13" t="n">
        <v>107</v>
      </c>
      <c r="CC588" s="13" t="n">
        <v>121</v>
      </c>
      <c r="CD588" s="13" t="n">
        <v>16.5</v>
      </c>
      <c r="CE588" s="13" t="n">
        <v>1470</v>
      </c>
      <c r="CF588" s="13" t="n">
        <v>1.31</v>
      </c>
      <c r="CG588" s="13" t="n">
        <v>1921</v>
      </c>
      <c r="CH588" s="13" t="n">
        <v>156</v>
      </c>
      <c r="CI588" s="13" t="n">
        <v>76</v>
      </c>
      <c r="CJ588" s="13" t="n">
        <v>46</v>
      </c>
      <c r="CK588" s="13" t="n">
        <v>380</v>
      </c>
      <c r="CL588" s="13" t="n">
        <v>14</v>
      </c>
      <c r="CM588" s="13" t="n">
        <v>225</v>
      </c>
      <c r="CN588" s="13" t="n">
        <v>0.306</v>
      </c>
      <c r="CO588" s="13" t="n">
        <v>228</v>
      </c>
      <c r="CP588" s="13" t="n">
        <v>166</v>
      </c>
      <c r="CQ588" s="13" t="n">
        <v>151</v>
      </c>
      <c r="CR588" s="13" t="n">
        <v>5</v>
      </c>
      <c r="CS588" s="13" t="n">
        <v>9.699999999999999</v>
      </c>
      <c r="CT588" s="11" t="inlineStr">
        <is>
          <t xml:space="preserve"> Big Mountain</t>
        </is>
      </c>
      <c r="CU588" s="11" t="inlineStr">
        <is>
          <t xml:space="preserve"> Touring</t>
        </is>
      </c>
      <c r="CV588" s="11" t="inlineStr">
        <is>
          <t xml:space="preserve"> Ultralight Touring</t>
        </is>
      </c>
      <c r="CW588" s="13" t="n"/>
      <c r="CX588">
        <f>INDEX('Data_Price '!AG$2:AG$1266,MATCH(Data!$DN588,'Data_Price '!$AT$2:$AT$1266,0))</f>
        <v/>
      </c>
      <c r="CY588">
        <f>INDEX('Data_Price '!AH$2:AH$1266,MATCH(Data!$DN588,'Data_Price '!$AT$2:$AT$1266,0))</f>
        <v/>
      </c>
      <c r="CZ588">
        <f>INDEX('Data_Price '!AI$2:AI$1266,MATCH(Data!$DN588,'Data_Price '!$AT$2:$AT$1266,0))</f>
        <v/>
      </c>
      <c r="DA588">
        <f>INDEX('Data_Price '!AJ$2:AJ$1266,MATCH(Data!$DN588,'Data_Price '!$AT$2:$AT$1266,0))</f>
        <v/>
      </c>
      <c r="DB588">
        <f>INDEX('Data_Price '!AK$2:AK$1266,MATCH(Data!$DN588,'Data_Price '!$AT$2:$AT$1266,0))</f>
        <v/>
      </c>
      <c r="DC588">
        <f>INDEX('Data_Price '!AL$2:AL$1266,MATCH(Data!$DN588,'Data_Price '!$AT$2:$AT$1266,0))</f>
        <v/>
      </c>
      <c r="DD588">
        <f>INDEX('Data_Price '!AM$2:AM$1266,MATCH(Data!$DN588,'Data_Price '!$AT$2:$AT$1266,0))</f>
        <v/>
      </c>
      <c r="DE588">
        <f>INDEX('Data_Price '!AN$2:AN$1266,MATCH(Data!$DN588,'Data_Price '!$AT$2:$AT$1266,0))</f>
        <v/>
      </c>
      <c r="DF588">
        <f>INDEX('Data_Price '!AO$2:AO$1266,MATCH(Data!$DN588,'Data_Price '!$AT$2:$AT$1266,0))</f>
        <v/>
      </c>
      <c r="DG588">
        <f>INDEX('Data_Price '!AP$2:AP$1266,MATCH(Data!$DN588,'Data_Price '!$AT$2:$AT$1266,0))</f>
        <v/>
      </c>
      <c r="DH588">
        <f>INDEX('Data_Price '!AQ$2:AQ$1266,MATCH(Data!$DN588,'Data_Price '!$AT$2:$AT$1266,0))</f>
        <v/>
      </c>
      <c r="DI588">
        <f>INDEX('Data_Price '!AR$2:AR$1266,MATCH(Data!$DN588,'Data_Price '!$AT$2:$AT$1266,0))</f>
        <v/>
      </c>
      <c r="DJ588" s="138">
        <f>DA588</f>
        <v/>
      </c>
      <c r="DK588" s="138">
        <f>DE588</f>
        <v/>
      </c>
      <c r="DL588" s="138">
        <f>DI588</f>
        <v/>
      </c>
      <c r="DM588" s="303">
        <f>IF(LEFT(BT588,1)=" ",RIGHT(BT588,LEN(BT588)-1),BT588)</f>
        <v/>
      </c>
      <c r="DN588" s="138">
        <f>_xlfn.CONCAT(BS588,DM588,BU588,BV588)</f>
        <v/>
      </c>
      <c r="DO588" s="307" t="inlineStr">
        <is>
          <t>https://images.evo.com/imgp/250/169213/703425/clone.jpg</t>
        </is>
      </c>
    </row>
    <row r="589" ht="15.6" customHeight="1" s="184">
      <c r="B589" s="303">
        <f t="array" ref="B589">IF(OR(ISERROR(K589:P589)),FALSE,TRUE)</f>
        <v/>
      </c>
      <c r="C589" s="60">
        <f>OR(BR589=Driver!$G$50,Data!BR1008=Driver!$H$50)</f>
        <v/>
      </c>
      <c r="D589" s="60">
        <f>OR(BV589=Driver!$G$51,BV589=Driver!$H$51)</f>
        <v/>
      </c>
      <c r="E589" s="60">
        <f>AND(BX589&gt;Driver!$F$54,BX589&lt;Driver!$G$54)</f>
        <v/>
      </c>
      <c r="F589" s="60">
        <f>CL589&gt;Driver!$F$56</f>
        <v/>
      </c>
      <c r="G589" s="60">
        <f>AND(CB589&gt;Driver!$F$55,CB589&lt;Driver!$G$55)</f>
        <v/>
      </c>
      <c r="H589" s="60">
        <f>AND(B589:G589)</f>
        <v/>
      </c>
      <c r="I589" s="60">
        <f>COUNTIFS($H$9:$H$1273,TRUE,$BT$9:$BT$1273,BT589)</f>
        <v/>
      </c>
      <c r="J589" s="60">
        <f t="array" ref="J589">NOT(OR(($H$9:$H$1273=TRUE)*($I$9:$I$1273&gt;0)*($BT$9:$BT$1273=BT589)*($K$9:$K$1273&gt;K589)))</f>
        <v/>
      </c>
      <c r="K589" s="108">
        <f>IFERROR(1-AVERAGE(X589:Y589),"")</f>
        <v/>
      </c>
      <c r="L589" s="108">
        <f>1-X589</f>
        <v/>
      </c>
      <c r="M589" s="108">
        <f>1-Y589</f>
        <v/>
      </c>
      <c r="N589" s="108">
        <f>1-Z589</f>
        <v/>
      </c>
      <c r="O589" s="108">
        <f>1-AA589</f>
        <v/>
      </c>
      <c r="P589" s="108">
        <f>1-AB589</f>
        <v/>
      </c>
      <c r="Q589" s="108" t="n"/>
      <c r="R589" s="108" t="n"/>
      <c r="S589" s="108">
        <f>1-AE589</f>
        <v/>
      </c>
      <c r="T589" s="108">
        <f>1-AF589</f>
        <v/>
      </c>
      <c r="U589" s="108">
        <f>1-AG589</f>
        <v/>
      </c>
      <c r="V589" s="108">
        <f>1-AH589</f>
        <v/>
      </c>
      <c r="W589" s="108">
        <f>1-AI589</f>
        <v/>
      </c>
      <c r="X589" s="108">
        <f>ABS(AJ589-AJ$1)</f>
        <v/>
      </c>
      <c r="Y589" s="108">
        <f>AVERAGE(Z589:AB589)</f>
        <v/>
      </c>
      <c r="Z589" s="108">
        <f>ABS(AL589-AL$1)</f>
        <v/>
      </c>
      <c r="AA589" s="108">
        <f>ABS(AM589-AM$1)</f>
        <v/>
      </c>
      <c r="AB589" s="108">
        <f>ABS(AN589-AN$1)</f>
        <v/>
      </c>
      <c r="AC589" s="108" t="n"/>
      <c r="AD589" s="108" t="n"/>
      <c r="AE589" s="108">
        <f>ABS(AQ$1-AQ589)</f>
        <v/>
      </c>
      <c r="AF589" s="108">
        <f>ABS(AR$1-AR589)</f>
        <v/>
      </c>
      <c r="AG589" s="108">
        <f>ABS(AS$1-AS589)</f>
        <v/>
      </c>
      <c r="AH589" s="108">
        <f>ABS(AT$1-AT589)</f>
        <v/>
      </c>
      <c r="AI589" s="108">
        <f>ABS(AU$1-AU589)</f>
        <v/>
      </c>
      <c r="AJ589" s="108">
        <f>(AV589-Driver!$K$179)/(Driver!$L$179-Driver!$K$179)</f>
        <v/>
      </c>
      <c r="AK589" s="108">
        <f>(AW589-Driver!$K$180)/(Driver!$L$180-Driver!$K$180)</f>
        <v/>
      </c>
      <c r="AL589" s="108">
        <f>(AX589-Driver!$K$181)/(Driver!$L$181-Driver!$K$181)</f>
        <v/>
      </c>
      <c r="AM589" s="108">
        <f>(AY589-Driver!$K$182)/(Driver!$L$182-Driver!$K$182)</f>
        <v/>
      </c>
      <c r="AN589" s="108">
        <f>(AZ589-Driver!$K$183)/(Driver!$L$183-Driver!$K$183)</f>
        <v/>
      </c>
      <c r="AO589" s="108" t="n"/>
      <c r="AP589" s="108" t="n"/>
      <c r="AQ589" s="108">
        <f>(BC589-Driver!$K$188)/(Driver!$L$188-Driver!$K$188)</f>
        <v/>
      </c>
      <c r="AR589" s="108">
        <f>MIN((BD589-Driver!$K$189)/(Driver!$L$189-Driver!$K$189),100%)</f>
        <v/>
      </c>
      <c r="AS589" s="108">
        <f>(BE589-Driver!$K$190)/(Driver!$L$190-Driver!$K$190)</f>
        <v/>
      </c>
      <c r="AT589" s="108">
        <f>(BF589-Driver!$K$191)/(Driver!$L$191-Driver!$K$191)</f>
        <v/>
      </c>
      <c r="AU589" s="108">
        <f>(BG589-Driver!$K$192)/(Driver!$L$192-Driver!$K$192)</f>
        <v/>
      </c>
      <c r="AV589" s="105">
        <f>IFERROR(BM589*BJ589^1/4,"")</f>
        <v/>
      </c>
      <c r="AW589" s="105">
        <f>IFERROR(SUM(AX589:AZ589),"")</f>
        <v/>
      </c>
      <c r="AX589" s="105">
        <f>IFERROR(BH589,"")</f>
        <v/>
      </c>
      <c r="AY589" s="105">
        <f>IFERROR(Driver!$K$19/Data!BH589/Data!BI589*Data!BK589*Data!BL589,"")</f>
        <v/>
      </c>
      <c r="AZ589" s="105">
        <f>IFERROR(BI589*BN589,"")</f>
        <v/>
      </c>
      <c r="BA589" s="105" t="n"/>
      <c r="BB589" s="105" t="n"/>
      <c r="BC589" s="105">
        <f>IFERROR(BI589*BN589*BK589/BJ589^(1/2),"")</f>
        <v/>
      </c>
      <c r="BD589" s="105">
        <f>IFERROR(BH589*BM589*BL589/BJ589/BK589,"")</f>
        <v/>
      </c>
      <c r="BE589" s="105">
        <f>IFERROR(MIN(BI589/BQ589/BP589/BO589/BH589,$BE$1),"")</f>
        <v/>
      </c>
      <c r="BF589" s="105">
        <f>IFERROR(BJ589*BO589*BP589/BK589,"")</f>
        <v/>
      </c>
      <c r="BG589" s="105">
        <f>IFERROR(1/BM589/BH589*BQ589,"")</f>
        <v/>
      </c>
      <c r="BH589" s="102">
        <f>MAX((CE589-Driver!$F$200)/(Driver!$G$200-Driver!$F$200)*$BI$1,1)</f>
        <v/>
      </c>
      <c r="BI589" s="102">
        <f>MAX($BI$1*(BY589-Driver!$F$201)/(Driver!$G$201-Driver!$F$201),1)</f>
        <v/>
      </c>
      <c r="BJ589" s="102">
        <f>(CB589-Driver!$F$206)/(Driver!$G$206-Driver!$F$206)*$BI$1</f>
        <v/>
      </c>
      <c r="BK589" s="102">
        <f>(CD589-Driver!$F$203)/(Driver!$G$203-Driver!$F$203)*$BI$1</f>
        <v/>
      </c>
      <c r="BL589" s="102">
        <f>MAX((CR589-Driver!$F$202)/(Driver!$G$202-Driver!$F$202)*$BI$1,1)</f>
        <v/>
      </c>
      <c r="BM589" s="102">
        <f>MAX((CH589-Driver!$F$204)/(Driver!$G$204-Driver!$F$204)*$BI$1,1)</f>
        <v/>
      </c>
      <c r="BN589" s="102">
        <f>(CI589-Driver!$F$205)/(Driver!$G$205-Driver!$F$205)*$BI$1</f>
        <v/>
      </c>
      <c r="BO589" s="102">
        <f>(CK589-Driver!$F$207)/(Driver!$G$207-Driver!$F$207)*$BI$1</f>
        <v/>
      </c>
      <c r="BP589" s="102">
        <f>(CM589-Driver!$F$208)/(Driver!$G$208-Driver!$F$208)*$BI$1</f>
        <v/>
      </c>
      <c r="BQ589" s="102">
        <f>(CL589-Driver!$F$209)/(Driver!$G$209-Driver!$F$209)*$BI$1</f>
        <v/>
      </c>
      <c r="BR589" s="40" t="inlineStr">
        <is>
          <t>21/22</t>
        </is>
      </c>
      <c r="BS589" s="10" t="inlineStr">
        <is>
          <t xml:space="preserve"> Rossignol</t>
        </is>
      </c>
      <c r="BT589" s="11" t="inlineStr">
        <is>
          <t>Experience 80 Carbon W</t>
        </is>
      </c>
      <c r="BU589" s="13" t="n">
        <v>166</v>
      </c>
      <c r="BV589" s="11" t="inlineStr">
        <is>
          <t xml:space="preserve"> Women's</t>
        </is>
      </c>
      <c r="BW589" s="13" t="n">
        <v>166</v>
      </c>
      <c r="BX589" s="13" t="n">
        <v>166.6</v>
      </c>
      <c r="BY589" s="13" t="n">
        <v>127</v>
      </c>
      <c r="BZ589" s="13" t="n">
        <v>152</v>
      </c>
      <c r="CA589" s="13" t="n">
        <v>125</v>
      </c>
      <c r="CB589" s="13" t="n">
        <v>80</v>
      </c>
      <c r="CC589" s="13" t="n">
        <v>113</v>
      </c>
      <c r="CD589" s="13" t="n">
        <v>14.3</v>
      </c>
      <c r="CE589" s="13" t="n">
        <v>1759</v>
      </c>
      <c r="CF589" s="13" t="n">
        <v>0.9</v>
      </c>
      <c r="CG589" s="13" t="n">
        <v>1579</v>
      </c>
      <c r="CH589" s="13" t="n">
        <v>214</v>
      </c>
      <c r="CI589" s="13" t="n">
        <v>78</v>
      </c>
      <c r="CJ589" s="13" t="n">
        <v>48</v>
      </c>
      <c r="CK589" s="13" t="n">
        <v>265</v>
      </c>
      <c r="CL589" s="13" t="n">
        <v>13</v>
      </c>
      <c r="CM589" s="13" t="n">
        <v>129</v>
      </c>
      <c r="CN589" s="13" t="n">
        <v>0.264</v>
      </c>
      <c r="CO589" s="13" t="n">
        <v>83</v>
      </c>
      <c r="CP589" s="13" t="n">
        <v>65</v>
      </c>
      <c r="CQ589" s="13" t="n">
        <v>182</v>
      </c>
      <c r="CR589" s="13" t="n">
        <v>11</v>
      </c>
      <c r="CS589" s="13" t="n">
        <v>7.5</v>
      </c>
      <c r="CT589" s="11" t="inlineStr">
        <is>
          <t xml:space="preserve"> Resort Freeride</t>
        </is>
      </c>
      <c r="CU589" s="13" t="n"/>
      <c r="CV589" s="13" t="n"/>
      <c r="CW589" s="13" t="n"/>
      <c r="CX589">
        <f>INDEX('Data_Price '!AG$2:AG$1266,MATCH(Data!$DN589,'Data_Price '!$AT$2:$AT$1266,0))</f>
        <v/>
      </c>
      <c r="CY589">
        <f>INDEX('Data_Price '!AH$2:AH$1266,MATCH(Data!$DN589,'Data_Price '!$AT$2:$AT$1266,0))</f>
        <v/>
      </c>
      <c r="CZ589">
        <f>INDEX('Data_Price '!AI$2:AI$1266,MATCH(Data!$DN589,'Data_Price '!$AT$2:$AT$1266,0))</f>
        <v/>
      </c>
      <c r="DA589">
        <f>INDEX('Data_Price '!AJ$2:AJ$1266,MATCH(Data!$DN589,'Data_Price '!$AT$2:$AT$1266,0))</f>
        <v/>
      </c>
      <c r="DB589">
        <f>INDEX('Data_Price '!AK$2:AK$1266,MATCH(Data!$DN589,'Data_Price '!$AT$2:$AT$1266,0))</f>
        <v/>
      </c>
      <c r="DC589">
        <f>INDEX('Data_Price '!AL$2:AL$1266,MATCH(Data!$DN589,'Data_Price '!$AT$2:$AT$1266,0))</f>
        <v/>
      </c>
      <c r="DD589">
        <f>INDEX('Data_Price '!AM$2:AM$1266,MATCH(Data!$DN589,'Data_Price '!$AT$2:$AT$1266,0))</f>
        <v/>
      </c>
      <c r="DE589">
        <f>INDEX('Data_Price '!AN$2:AN$1266,MATCH(Data!$DN589,'Data_Price '!$AT$2:$AT$1266,0))</f>
        <v/>
      </c>
      <c r="DF589">
        <f>INDEX('Data_Price '!AO$2:AO$1266,MATCH(Data!$DN589,'Data_Price '!$AT$2:$AT$1266,0))</f>
        <v/>
      </c>
      <c r="DG589">
        <f>INDEX('Data_Price '!AP$2:AP$1266,MATCH(Data!$DN589,'Data_Price '!$AT$2:$AT$1266,0))</f>
        <v/>
      </c>
      <c r="DH589">
        <f>INDEX('Data_Price '!AQ$2:AQ$1266,MATCH(Data!$DN589,'Data_Price '!$AT$2:$AT$1266,0))</f>
        <v/>
      </c>
      <c r="DI589">
        <f>INDEX('Data_Price '!AR$2:AR$1266,MATCH(Data!$DN589,'Data_Price '!$AT$2:$AT$1266,0))</f>
        <v/>
      </c>
      <c r="DJ589" s="138">
        <f>DA589</f>
        <v/>
      </c>
      <c r="DK589" s="138">
        <f>DE589</f>
        <v/>
      </c>
      <c r="DL589" s="138">
        <f>DI589</f>
        <v/>
      </c>
      <c r="DM589" s="303">
        <f>IF(LEFT(BT589,1)=" ",RIGHT(BT589,LEN(BT589)-1),BT589)</f>
        <v/>
      </c>
      <c r="DN589" s="138">
        <f>_xlfn.CONCAT(BS589,DM589,BU589,BV589)</f>
        <v/>
      </c>
      <c r="DO589" s="307" t="n"/>
    </row>
    <row r="590" ht="15.6" customHeight="1" s="184">
      <c r="B590" s="303">
        <f t="array" ref="B590">IF(OR(ISERROR(K590:P590)),FALSE,TRUE)</f>
        <v/>
      </c>
      <c r="C590" s="60">
        <f>OR(BR590=Driver!$G$50,Data!BR113=Driver!$H$50)</f>
        <v/>
      </c>
      <c r="D590" s="60">
        <f>OR(BV590=Driver!$G$51,BV590=Driver!$H$51)</f>
        <v/>
      </c>
      <c r="E590" s="60">
        <f>AND(BX590&gt;Driver!$F$54,BX590&lt;Driver!$G$54)</f>
        <v/>
      </c>
      <c r="F590" s="60">
        <f>CL590&gt;Driver!$F$56</f>
        <v/>
      </c>
      <c r="G590" s="60">
        <f>AND(CB590&gt;Driver!$F$55,CB590&lt;Driver!$G$55)</f>
        <v/>
      </c>
      <c r="H590" s="60">
        <f>AND(B590:G590)</f>
        <v/>
      </c>
      <c r="I590" s="60">
        <f>COUNTIFS($H$9:$H$1273,TRUE,$BT$9:$BT$1273,BT590)</f>
        <v/>
      </c>
      <c r="J590" s="60">
        <f t="array" ref="J590">NOT(OR(($H$9:$H$1273=TRUE)*($I$9:$I$1273&gt;0)*($BT$9:$BT$1273=BT590)*($K$9:$K$1273&gt;K590)))</f>
        <v/>
      </c>
      <c r="K590" s="108">
        <f>IFERROR(1-AVERAGE(X590:Y590),"")</f>
        <v/>
      </c>
      <c r="L590" s="108">
        <f>1-X590</f>
        <v/>
      </c>
      <c r="M590" s="108">
        <f>1-Y590</f>
        <v/>
      </c>
      <c r="N590" s="108">
        <f>1-Z590</f>
        <v/>
      </c>
      <c r="O590" s="108">
        <f>1-AA590</f>
        <v/>
      </c>
      <c r="P590" s="108">
        <f>1-AB590</f>
        <v/>
      </c>
      <c r="Q590" s="108" t="n"/>
      <c r="R590" s="108" t="n"/>
      <c r="S590" s="108">
        <f>1-AE590</f>
        <v/>
      </c>
      <c r="T590" s="108">
        <f>1-AF590</f>
        <v/>
      </c>
      <c r="U590" s="108">
        <f>1-AG590</f>
        <v/>
      </c>
      <c r="V590" s="108">
        <f>1-AH590</f>
        <v/>
      </c>
      <c r="W590" s="108">
        <f>1-AI590</f>
        <v/>
      </c>
      <c r="X590" s="108">
        <f>ABS(AJ590-AJ$1)</f>
        <v/>
      </c>
      <c r="Y590" s="108">
        <f>AVERAGE(Z590:AB590)</f>
        <v/>
      </c>
      <c r="Z590" s="108">
        <f>ABS(AL590-AL$1)</f>
        <v/>
      </c>
      <c r="AA590" s="108">
        <f>ABS(AM590-AM$1)</f>
        <v/>
      </c>
      <c r="AB590" s="108">
        <f>ABS(AN590-AN$1)</f>
        <v/>
      </c>
      <c r="AC590" s="108" t="n"/>
      <c r="AD590" s="108" t="n"/>
      <c r="AE590" s="108">
        <f>ABS(AQ$1-AQ590)</f>
        <v/>
      </c>
      <c r="AF590" s="108">
        <f>ABS(AR$1-AR590)</f>
        <v/>
      </c>
      <c r="AG590" s="108">
        <f>ABS(AS$1-AS590)</f>
        <v/>
      </c>
      <c r="AH590" s="108">
        <f>ABS(AT$1-AT590)</f>
        <v/>
      </c>
      <c r="AI590" s="108">
        <f>ABS(AU$1-AU590)</f>
        <v/>
      </c>
      <c r="AJ590" s="108">
        <f>(AV590-Driver!$K$179)/(Driver!$L$179-Driver!$K$179)</f>
        <v/>
      </c>
      <c r="AK590" s="108">
        <f>(AW590-Driver!$K$180)/(Driver!$L$180-Driver!$K$180)</f>
        <v/>
      </c>
      <c r="AL590" s="108">
        <f>(AX590-Driver!$K$181)/(Driver!$L$181-Driver!$K$181)</f>
        <v/>
      </c>
      <c r="AM590" s="108">
        <f>(AY590-Driver!$K$182)/(Driver!$L$182-Driver!$K$182)</f>
        <v/>
      </c>
      <c r="AN590" s="108">
        <f>(AZ590-Driver!$K$183)/(Driver!$L$183-Driver!$K$183)</f>
        <v/>
      </c>
      <c r="AO590" s="108" t="n"/>
      <c r="AP590" s="108" t="n"/>
      <c r="AQ590" s="108">
        <f>(BC590-Driver!$K$188)/(Driver!$L$188-Driver!$K$188)</f>
        <v/>
      </c>
      <c r="AR590" s="108">
        <f>MIN((BD590-Driver!$K$189)/(Driver!$L$189-Driver!$K$189),100%)</f>
        <v/>
      </c>
      <c r="AS590" s="108">
        <f>(BE590-Driver!$K$190)/(Driver!$L$190-Driver!$K$190)</f>
        <v/>
      </c>
      <c r="AT590" s="108">
        <f>(BF590-Driver!$K$191)/(Driver!$L$191-Driver!$K$191)</f>
        <v/>
      </c>
      <c r="AU590" s="108">
        <f>(BG590-Driver!$K$192)/(Driver!$L$192-Driver!$K$192)</f>
        <v/>
      </c>
      <c r="AV590" s="105">
        <f>IFERROR(BM590*BJ590^1/4,"")</f>
        <v/>
      </c>
      <c r="AW590" s="105">
        <f>IFERROR(SUM(AX590:AZ590),"")</f>
        <v/>
      </c>
      <c r="AX590" s="105">
        <f>IFERROR(BH590,"")</f>
        <v/>
      </c>
      <c r="AY590" s="105">
        <f>IFERROR(Driver!$K$19/Data!BH590/Data!BI590*Data!BK590*Data!BL590,"")</f>
        <v/>
      </c>
      <c r="AZ590" s="105">
        <f>IFERROR(BI590*BN590,"")</f>
        <v/>
      </c>
      <c r="BA590" s="105" t="n"/>
      <c r="BB590" s="105" t="n"/>
      <c r="BC590" s="105">
        <f>IFERROR(BI590*BN590*BK590/BJ590^(1/2),"")</f>
        <v/>
      </c>
      <c r="BD590" s="105">
        <f>IFERROR(BH590*BM590*BL590/BJ590/BK590,"")</f>
        <v/>
      </c>
      <c r="BE590" s="105">
        <f>IFERROR(MIN(BI590/BQ590/BP590/BO590/BH590,$BE$1),"")</f>
        <v/>
      </c>
      <c r="BF590" s="105">
        <f>IFERROR(BJ590*BO590*BP590/BK590,"")</f>
        <v/>
      </c>
      <c r="BG590" s="105">
        <f>IFERROR(1/BM590/BH590*BQ590,"")</f>
        <v/>
      </c>
      <c r="BH590" s="102">
        <f>MAX((CE590-Driver!$F$200)/(Driver!$G$200-Driver!$F$200)*$BI$1,1)</f>
        <v/>
      </c>
      <c r="BI590" s="102">
        <f>MAX($BI$1*(BY590-Driver!$F$201)/(Driver!$G$201-Driver!$F$201),1)</f>
        <v/>
      </c>
      <c r="BJ590" s="102">
        <f>(CB590-Driver!$F$206)/(Driver!$G$206-Driver!$F$206)*$BI$1</f>
        <v/>
      </c>
      <c r="BK590" s="102">
        <f>(CD590-Driver!$F$203)/(Driver!$G$203-Driver!$F$203)*$BI$1</f>
        <v/>
      </c>
      <c r="BL590" s="102">
        <f>MAX((CR590-Driver!$F$202)/(Driver!$G$202-Driver!$F$202)*$BI$1,1)</f>
        <v/>
      </c>
      <c r="BM590" s="102">
        <f>MAX((CH590-Driver!$F$204)/(Driver!$G$204-Driver!$F$204)*$BI$1,1)</f>
        <v/>
      </c>
      <c r="BN590" s="102">
        <f>(CI590-Driver!$F$205)/(Driver!$G$205-Driver!$F$205)*$BI$1</f>
        <v/>
      </c>
      <c r="BO590" s="102">
        <f>(CK590-Driver!$F$207)/(Driver!$G$207-Driver!$F$207)*$BI$1</f>
        <v/>
      </c>
      <c r="BP590" s="102">
        <f>(CM590-Driver!$F$208)/(Driver!$G$208-Driver!$F$208)*$BI$1</f>
        <v/>
      </c>
      <c r="BQ590" s="102">
        <f>(CL590-Driver!$F$209)/(Driver!$G$209-Driver!$F$209)*$BI$1</f>
        <v/>
      </c>
      <c r="BR590" s="40" t="inlineStr">
        <is>
          <t>21/22</t>
        </is>
      </c>
      <c r="BS590" s="10" t="inlineStr">
        <is>
          <t xml:space="preserve"> Armada</t>
        </is>
      </c>
      <c r="BT590" s="11" t="inlineStr">
        <is>
          <t>Tracer 98</t>
        </is>
      </c>
      <c r="BU590" s="13" t="n">
        <v>188</v>
      </c>
      <c r="BV590" s="11" t="inlineStr">
        <is>
          <t xml:space="preserve"> Unisex</t>
        </is>
      </c>
      <c r="BW590" s="13" t="n">
        <v>188</v>
      </c>
      <c r="BX590" s="13" t="n">
        <v>187.8</v>
      </c>
      <c r="BY590" s="13" t="n">
        <v>145</v>
      </c>
      <c r="BZ590" s="13" t="n">
        <v>159</v>
      </c>
      <c r="CA590" s="13" t="n">
        <v>131</v>
      </c>
      <c r="CB590" s="13" t="n">
        <v>97</v>
      </c>
      <c r="CC590" s="13" t="n">
        <v>122</v>
      </c>
      <c r="CD590" s="13" t="n">
        <v>18.9</v>
      </c>
      <c r="CE590" s="13" t="n">
        <v>1700</v>
      </c>
      <c r="CF590" s="13" t="n">
        <v>1.2</v>
      </c>
      <c r="CG590" s="13" t="n">
        <v>2046</v>
      </c>
      <c r="CH590" s="13" t="n">
        <v>193</v>
      </c>
      <c r="CI590" s="13" t="n">
        <v>127</v>
      </c>
      <c r="CJ590" s="13" t="n">
        <v>50</v>
      </c>
      <c r="CK590" s="13" t="n">
        <v>272</v>
      </c>
      <c r="CL590" s="13" t="n">
        <v>18</v>
      </c>
      <c r="CM590" s="13" t="n">
        <v>161</v>
      </c>
      <c r="CN590" s="13" t="n">
        <v>0.365</v>
      </c>
      <c r="CO590" s="13" t="n">
        <v>177</v>
      </c>
      <c r="CP590" s="13" t="n">
        <v>112</v>
      </c>
      <c r="CQ590" s="13" t="n">
        <v>95</v>
      </c>
      <c r="CR590" s="13" t="n">
        <v>8</v>
      </c>
      <c r="CS590" s="13" t="n">
        <v>9.800000000000001</v>
      </c>
      <c r="CT590" s="11" t="inlineStr">
        <is>
          <t xml:space="preserve"> Resort Freeride</t>
        </is>
      </c>
      <c r="CU590" s="11" t="inlineStr">
        <is>
          <t xml:space="preserve"> Touring</t>
        </is>
      </c>
      <c r="CV590" s="13" t="n"/>
      <c r="CW590" s="13" t="n"/>
      <c r="CX590">
        <f>INDEX('Data_Price '!AG$2:AG$1266,MATCH(Data!$DN590,'Data_Price '!$AT$2:$AT$1266,0))</f>
        <v/>
      </c>
      <c r="CY590">
        <f>INDEX('Data_Price '!AH$2:AH$1266,MATCH(Data!$DN590,'Data_Price '!$AT$2:$AT$1266,0))</f>
        <v/>
      </c>
      <c r="CZ590">
        <f>INDEX('Data_Price '!AI$2:AI$1266,MATCH(Data!$DN590,'Data_Price '!$AT$2:$AT$1266,0))</f>
        <v/>
      </c>
      <c r="DA590">
        <f>INDEX('Data_Price '!AJ$2:AJ$1266,MATCH(Data!$DN590,'Data_Price '!$AT$2:$AT$1266,0))</f>
        <v/>
      </c>
      <c r="DB590">
        <f>INDEX('Data_Price '!AK$2:AK$1266,MATCH(Data!$DN590,'Data_Price '!$AT$2:$AT$1266,0))</f>
        <v/>
      </c>
      <c r="DC590">
        <f>INDEX('Data_Price '!AL$2:AL$1266,MATCH(Data!$DN590,'Data_Price '!$AT$2:$AT$1266,0))</f>
        <v/>
      </c>
      <c r="DD590">
        <f>INDEX('Data_Price '!AM$2:AM$1266,MATCH(Data!$DN590,'Data_Price '!$AT$2:$AT$1266,0))</f>
        <v/>
      </c>
      <c r="DE590">
        <f>INDEX('Data_Price '!AN$2:AN$1266,MATCH(Data!$DN590,'Data_Price '!$AT$2:$AT$1266,0))</f>
        <v/>
      </c>
      <c r="DF590">
        <f>INDEX('Data_Price '!AO$2:AO$1266,MATCH(Data!$DN590,'Data_Price '!$AT$2:$AT$1266,0))</f>
        <v/>
      </c>
      <c r="DG590">
        <f>INDEX('Data_Price '!AP$2:AP$1266,MATCH(Data!$DN590,'Data_Price '!$AT$2:$AT$1266,0))</f>
        <v/>
      </c>
      <c r="DH590">
        <f>INDEX('Data_Price '!AQ$2:AQ$1266,MATCH(Data!$DN590,'Data_Price '!$AT$2:$AT$1266,0))</f>
        <v/>
      </c>
      <c r="DI590">
        <f>INDEX('Data_Price '!AR$2:AR$1266,MATCH(Data!$DN590,'Data_Price '!$AT$2:$AT$1266,0))</f>
        <v/>
      </c>
      <c r="DJ590" s="138">
        <f>DA590</f>
        <v/>
      </c>
      <c r="DK590" s="138">
        <f>DE590</f>
        <v/>
      </c>
      <c r="DL590" s="138">
        <f>DI590</f>
        <v/>
      </c>
      <c r="DM590" s="303">
        <f>IF(LEFT(BT590,1)=" ",RIGHT(BT590,LEN(BT590)-1),BT590)</f>
        <v/>
      </c>
      <c r="DN590" s="138">
        <f>_xlfn.CONCAT(BS590,DM590,BU590,BV590)</f>
        <v/>
      </c>
      <c r="DO590" s="307" t="inlineStr">
        <is>
          <t>https://images.evo.com/imgp/250/198694/839659/clone.jpg</t>
        </is>
      </c>
    </row>
    <row r="591" ht="15.6" customHeight="1" s="184">
      <c r="B591" s="303">
        <f t="array" ref="B591">IF(OR(ISERROR(K591:P591)),FALSE,TRUE)</f>
        <v/>
      </c>
      <c r="C591" s="60">
        <f>OR(BR591=Driver!$G$50,Data!BR1058=Driver!$H$50)</f>
        <v/>
      </c>
      <c r="D591" s="60">
        <f>OR(BV591=Driver!$G$51,BV591=Driver!$H$51)</f>
        <v/>
      </c>
      <c r="E591" s="60">
        <f>AND(BX591&gt;Driver!$F$54,BX591&lt;Driver!$G$54)</f>
        <v/>
      </c>
      <c r="F591" s="60">
        <f>CL591&gt;Driver!$F$56</f>
        <v/>
      </c>
      <c r="G591" s="60">
        <f>AND(CB591&gt;Driver!$F$55,CB591&lt;Driver!$G$55)</f>
        <v/>
      </c>
      <c r="H591" s="60">
        <f>AND(B591:G591)</f>
        <v/>
      </c>
      <c r="I591" s="60">
        <f>COUNTIFS($H$9:$H$1273,TRUE,$BT$9:$BT$1273,BT591)</f>
        <v/>
      </c>
      <c r="J591" s="60">
        <f t="array" ref="J591">NOT(OR(($H$9:$H$1273=TRUE)*($I$9:$I$1273&gt;0)*($BT$9:$BT$1273=BT591)*($K$9:$K$1273&gt;K591)))</f>
        <v/>
      </c>
      <c r="K591" s="108">
        <f>IFERROR(1-AVERAGE(X591:Y591),"")</f>
        <v/>
      </c>
      <c r="L591" s="108">
        <f>1-X591</f>
        <v/>
      </c>
      <c r="M591" s="108">
        <f>1-Y591</f>
        <v/>
      </c>
      <c r="N591" s="108">
        <f>1-Z591</f>
        <v/>
      </c>
      <c r="O591" s="108">
        <f>1-AA591</f>
        <v/>
      </c>
      <c r="P591" s="108">
        <f>1-AB591</f>
        <v/>
      </c>
      <c r="Q591" s="108" t="n"/>
      <c r="R591" s="108" t="n"/>
      <c r="S591" s="108">
        <f>1-AE591</f>
        <v/>
      </c>
      <c r="T591" s="108">
        <f>1-AF591</f>
        <v/>
      </c>
      <c r="U591" s="108">
        <f>1-AG591</f>
        <v/>
      </c>
      <c r="V591" s="108">
        <f>1-AH591</f>
        <v/>
      </c>
      <c r="W591" s="108">
        <f>1-AI591</f>
        <v/>
      </c>
      <c r="X591" s="108">
        <f>ABS(AJ591-AJ$1)</f>
        <v/>
      </c>
      <c r="Y591" s="108">
        <f>AVERAGE(Z591:AB591)</f>
        <v/>
      </c>
      <c r="Z591" s="108">
        <f>ABS(AL591-AL$1)</f>
        <v/>
      </c>
      <c r="AA591" s="108">
        <f>ABS(AM591-AM$1)</f>
        <v/>
      </c>
      <c r="AB591" s="108">
        <f>ABS(AN591-AN$1)</f>
        <v/>
      </c>
      <c r="AC591" s="108" t="n"/>
      <c r="AD591" s="108" t="n"/>
      <c r="AE591" s="108">
        <f>ABS(AQ$1-AQ591)</f>
        <v/>
      </c>
      <c r="AF591" s="108">
        <f>ABS(AR$1-AR591)</f>
        <v/>
      </c>
      <c r="AG591" s="108">
        <f>ABS(AS$1-AS591)</f>
        <v/>
      </c>
      <c r="AH591" s="108">
        <f>ABS(AT$1-AT591)</f>
        <v/>
      </c>
      <c r="AI591" s="108">
        <f>ABS(AU$1-AU591)</f>
        <v/>
      </c>
      <c r="AJ591" s="108">
        <f>(AV591-Driver!$K$179)/(Driver!$L$179-Driver!$K$179)</f>
        <v/>
      </c>
      <c r="AK591" s="108">
        <f>(AW591-Driver!$K$180)/(Driver!$L$180-Driver!$K$180)</f>
        <v/>
      </c>
      <c r="AL591" s="108">
        <f>(AX591-Driver!$K$181)/(Driver!$L$181-Driver!$K$181)</f>
        <v/>
      </c>
      <c r="AM591" s="108">
        <f>(AY591-Driver!$K$182)/(Driver!$L$182-Driver!$K$182)</f>
        <v/>
      </c>
      <c r="AN591" s="108">
        <f>(AZ591-Driver!$K$183)/(Driver!$L$183-Driver!$K$183)</f>
        <v/>
      </c>
      <c r="AO591" s="108" t="n"/>
      <c r="AP591" s="108" t="n"/>
      <c r="AQ591" s="108">
        <f>(BC591-Driver!$K$188)/(Driver!$L$188-Driver!$K$188)</f>
        <v/>
      </c>
      <c r="AR591" s="108">
        <f>MIN((BD591-Driver!$K$189)/(Driver!$L$189-Driver!$K$189),100%)</f>
        <v/>
      </c>
      <c r="AS591" s="108">
        <f>(BE591-Driver!$K$190)/(Driver!$L$190-Driver!$K$190)</f>
        <v/>
      </c>
      <c r="AT591" s="108">
        <f>(BF591-Driver!$K$191)/(Driver!$L$191-Driver!$K$191)</f>
        <v/>
      </c>
      <c r="AU591" s="108">
        <f>(BG591-Driver!$K$192)/(Driver!$L$192-Driver!$K$192)</f>
        <v/>
      </c>
      <c r="AV591" s="105">
        <f>IFERROR(BM591*BJ591^1/4,"")</f>
        <v/>
      </c>
      <c r="AW591" s="105">
        <f>IFERROR(SUM(AX591:AZ591),"")</f>
        <v/>
      </c>
      <c r="AX591" s="105">
        <f>IFERROR(BH591,"")</f>
        <v/>
      </c>
      <c r="AY591" s="105">
        <f>IFERROR(Driver!$K$19/Data!BH591/Data!BI591*Data!BK591*Data!BL591,"")</f>
        <v/>
      </c>
      <c r="AZ591" s="105">
        <f>IFERROR(BI591*BN591,"")</f>
        <v/>
      </c>
      <c r="BA591" s="105" t="n"/>
      <c r="BB591" s="105" t="n"/>
      <c r="BC591" s="105">
        <f>IFERROR(BI591*BN591*BK591/BJ591^(1/2),"")</f>
        <v/>
      </c>
      <c r="BD591" s="105">
        <f>IFERROR(BH591*BM591*BL591/BJ591/BK591,"")</f>
        <v/>
      </c>
      <c r="BE591" s="105">
        <f>IFERROR(MIN(BI591/BQ591/BP591/BO591/BH591,$BE$1),"")</f>
        <v/>
      </c>
      <c r="BF591" s="105">
        <f>IFERROR(BJ591*BO591*BP591/BK591,"")</f>
        <v/>
      </c>
      <c r="BG591" s="105">
        <f>IFERROR(1/BM591/BH591*BQ591,"")</f>
        <v/>
      </c>
      <c r="BH591" s="102">
        <f>MAX((CE591-Driver!$F$200)/(Driver!$G$200-Driver!$F$200)*$BI$1,1)</f>
        <v/>
      </c>
      <c r="BI591" s="102">
        <f>MAX($BI$1*(BY591-Driver!$F$201)/(Driver!$G$201-Driver!$F$201),1)</f>
        <v/>
      </c>
      <c r="BJ591" s="102">
        <f>(CB591-Driver!$F$206)/(Driver!$G$206-Driver!$F$206)*$BI$1</f>
        <v/>
      </c>
      <c r="BK591" s="102">
        <f>(CD591-Driver!$F$203)/(Driver!$G$203-Driver!$F$203)*$BI$1</f>
        <v/>
      </c>
      <c r="BL591" s="102">
        <f>MAX((CR591-Driver!$F$202)/(Driver!$G$202-Driver!$F$202)*$BI$1,1)</f>
        <v/>
      </c>
      <c r="BM591" s="102">
        <f>MAX((CH591-Driver!$F$204)/(Driver!$G$204-Driver!$F$204)*$BI$1,1)</f>
        <v/>
      </c>
      <c r="BN591" s="102">
        <f>(CI591-Driver!$F$205)/(Driver!$G$205-Driver!$F$205)*$BI$1</f>
        <v/>
      </c>
      <c r="BO591" s="102">
        <f>(CK591-Driver!$F$207)/(Driver!$G$207-Driver!$F$207)*$BI$1</f>
        <v/>
      </c>
      <c r="BP591" s="102">
        <f>(CM591-Driver!$F$208)/(Driver!$G$208-Driver!$F$208)*$BI$1</f>
        <v/>
      </c>
      <c r="BQ591" s="102">
        <f>(CL591-Driver!$F$209)/(Driver!$G$209-Driver!$F$209)*$BI$1</f>
        <v/>
      </c>
      <c r="BR591" s="40" t="inlineStr">
        <is>
          <t>21/22</t>
        </is>
      </c>
      <c r="BS591" s="10" t="inlineStr">
        <is>
          <t xml:space="preserve"> Rossignol</t>
        </is>
      </c>
      <c r="BT591" s="11" t="inlineStr">
        <is>
          <t>React 6 Compact</t>
        </is>
      </c>
      <c r="BU591" s="13" t="n">
        <v>177</v>
      </c>
      <c r="BV591" s="11" t="inlineStr">
        <is>
          <t xml:space="preserve"> Unisex</t>
        </is>
      </c>
      <c r="BW591" s="13" t="n">
        <v>177</v>
      </c>
      <c r="BX591" s="13" t="n">
        <v>176.5</v>
      </c>
      <c r="BY591" s="13" t="n">
        <v>157</v>
      </c>
      <c r="BZ591" s="13" t="n">
        <v>163</v>
      </c>
      <c r="CA591" s="13" t="n">
        <v>122</v>
      </c>
      <c r="CB591" s="13" t="n">
        <v>73</v>
      </c>
      <c r="CC591" s="13" t="n">
        <v>108</v>
      </c>
      <c r="CD591" s="13" t="n">
        <v>15.8</v>
      </c>
      <c r="CE591" s="13" t="n">
        <v>1737</v>
      </c>
      <c r="CF591" s="13" t="n">
        <v>0.9</v>
      </c>
      <c r="CG591" s="13" t="n">
        <v>1558</v>
      </c>
      <c r="CH591" s="13" t="n">
        <v>207</v>
      </c>
      <c r="CI591" s="13" t="n">
        <v>73</v>
      </c>
      <c r="CJ591" s="13" t="n">
        <v>36</v>
      </c>
      <c r="CK591" s="13" t="n">
        <v>148</v>
      </c>
      <c r="CL591" s="13" t="n">
        <v>5</v>
      </c>
      <c r="CM591" s="13" t="n">
        <v>52</v>
      </c>
      <c r="CN591" s="13" t="n">
        <v>0.14</v>
      </c>
      <c r="CO591" s="13" t="n">
        <v>72</v>
      </c>
      <c r="CP591" s="13" t="n">
        <v>61</v>
      </c>
      <c r="CQ591" s="13" t="n">
        <v>76</v>
      </c>
      <c r="CR591" s="13" t="n">
        <v>13</v>
      </c>
      <c r="CS591" s="13" t="n">
        <v>9.800000000000001</v>
      </c>
      <c r="CT591" s="11" t="inlineStr">
        <is>
          <t xml:space="preserve"> On-Piste Carving</t>
        </is>
      </c>
      <c r="CU591" s="13" t="n"/>
      <c r="CV591" s="13" t="n"/>
      <c r="CW591" s="13" t="n"/>
      <c r="CX591">
        <f>INDEX('Data_Price '!AG$2:AG$1266,MATCH(Data!$DN591,'Data_Price '!$AT$2:$AT$1266,0))</f>
        <v/>
      </c>
      <c r="CY591">
        <f>INDEX('Data_Price '!AH$2:AH$1266,MATCH(Data!$DN591,'Data_Price '!$AT$2:$AT$1266,0))</f>
        <v/>
      </c>
      <c r="CZ591">
        <f>INDEX('Data_Price '!AI$2:AI$1266,MATCH(Data!$DN591,'Data_Price '!$AT$2:$AT$1266,0))</f>
        <v/>
      </c>
      <c r="DA591">
        <f>INDEX('Data_Price '!AJ$2:AJ$1266,MATCH(Data!$DN591,'Data_Price '!$AT$2:$AT$1266,0))</f>
        <v/>
      </c>
      <c r="DB591">
        <f>INDEX('Data_Price '!AK$2:AK$1266,MATCH(Data!$DN591,'Data_Price '!$AT$2:$AT$1266,0))</f>
        <v/>
      </c>
      <c r="DC591">
        <f>INDEX('Data_Price '!AL$2:AL$1266,MATCH(Data!$DN591,'Data_Price '!$AT$2:$AT$1266,0))</f>
        <v/>
      </c>
      <c r="DD591">
        <f>INDEX('Data_Price '!AM$2:AM$1266,MATCH(Data!$DN591,'Data_Price '!$AT$2:$AT$1266,0))</f>
        <v/>
      </c>
      <c r="DE591">
        <f>INDEX('Data_Price '!AN$2:AN$1266,MATCH(Data!$DN591,'Data_Price '!$AT$2:$AT$1266,0))</f>
        <v/>
      </c>
      <c r="DF591">
        <f>INDEX('Data_Price '!AO$2:AO$1266,MATCH(Data!$DN591,'Data_Price '!$AT$2:$AT$1266,0))</f>
        <v/>
      </c>
      <c r="DG591">
        <f>INDEX('Data_Price '!AP$2:AP$1266,MATCH(Data!$DN591,'Data_Price '!$AT$2:$AT$1266,0))</f>
        <v/>
      </c>
      <c r="DH591">
        <f>INDEX('Data_Price '!AQ$2:AQ$1266,MATCH(Data!$DN591,'Data_Price '!$AT$2:$AT$1266,0))</f>
        <v/>
      </c>
      <c r="DI591">
        <f>INDEX('Data_Price '!AR$2:AR$1266,MATCH(Data!$DN591,'Data_Price '!$AT$2:$AT$1266,0))</f>
        <v/>
      </c>
      <c r="DJ591" s="138">
        <f>DA591</f>
        <v/>
      </c>
      <c r="DK591" s="138">
        <f>DE591</f>
        <v/>
      </c>
      <c r="DL591" s="138">
        <f>DI591</f>
        <v/>
      </c>
      <c r="DM591" s="303">
        <f>IF(LEFT(BT591,1)=" ",RIGHT(BT591,LEN(BT591)-1),BT591)</f>
        <v/>
      </c>
      <c r="DN591" s="138">
        <f>_xlfn.CONCAT(BS591,DM591,BU591,BV591)</f>
        <v/>
      </c>
      <c r="DO591" s="307" t="n"/>
    </row>
    <row r="592" ht="15.6" customHeight="1" s="184">
      <c r="B592" s="303">
        <f t="array" ref="B592">IF(OR(ISERROR(K592:P592)),FALSE,TRUE)</f>
        <v/>
      </c>
      <c r="C592" s="60">
        <f>OR(BR592=Driver!$G$50,Data!BR1174=Driver!$H$50)</f>
        <v/>
      </c>
      <c r="D592" s="60">
        <f>OR(BV592=Driver!$G$51,BV592=Driver!$H$51)</f>
        <v/>
      </c>
      <c r="E592" s="60">
        <f>AND(BX592&gt;Driver!$F$54,BX592&lt;Driver!$G$54)</f>
        <v/>
      </c>
      <c r="F592" s="60">
        <f>CL592&gt;Driver!$F$56</f>
        <v/>
      </c>
      <c r="G592" s="60">
        <f>AND(CB592&gt;Driver!$F$55,CB592&lt;Driver!$G$55)</f>
        <v/>
      </c>
      <c r="H592" s="60">
        <f>AND(B592:G592)</f>
        <v/>
      </c>
      <c r="I592" s="60">
        <f>COUNTIFS($H$9:$H$1273,TRUE,$BT$9:$BT$1273,BT592)</f>
        <v/>
      </c>
      <c r="J592" s="60">
        <f t="array" ref="J592">NOT(OR(($H$9:$H$1273=TRUE)*($I$9:$I$1273&gt;0)*($BT$9:$BT$1273=BT592)*($K$9:$K$1273&gt;K592)))</f>
        <v/>
      </c>
      <c r="K592" s="108">
        <f>IFERROR(1-AVERAGE(X592:Y592),"")</f>
        <v/>
      </c>
      <c r="L592" s="108">
        <f>1-X592</f>
        <v/>
      </c>
      <c r="M592" s="108">
        <f>1-Y592</f>
        <v/>
      </c>
      <c r="N592" s="108">
        <f>1-Z592</f>
        <v/>
      </c>
      <c r="O592" s="108">
        <f>1-AA592</f>
        <v/>
      </c>
      <c r="P592" s="108">
        <f>1-AB592</f>
        <v/>
      </c>
      <c r="Q592" s="108" t="n"/>
      <c r="R592" s="108" t="n"/>
      <c r="S592" s="108">
        <f>1-AE592</f>
        <v/>
      </c>
      <c r="T592" s="108">
        <f>1-AF592</f>
        <v/>
      </c>
      <c r="U592" s="108">
        <f>1-AG592</f>
        <v/>
      </c>
      <c r="V592" s="108">
        <f>1-AH592</f>
        <v/>
      </c>
      <c r="W592" s="108">
        <f>1-AI592</f>
        <v/>
      </c>
      <c r="X592" s="108">
        <f>ABS(AJ592-AJ$1)</f>
        <v/>
      </c>
      <c r="Y592" s="108">
        <f>AVERAGE(Z592:AB592)</f>
        <v/>
      </c>
      <c r="Z592" s="108">
        <f>ABS(AL592-AL$1)</f>
        <v/>
      </c>
      <c r="AA592" s="108">
        <f>ABS(AM592-AM$1)</f>
        <v/>
      </c>
      <c r="AB592" s="108">
        <f>ABS(AN592-AN$1)</f>
        <v/>
      </c>
      <c r="AC592" s="108" t="n"/>
      <c r="AD592" s="108" t="n"/>
      <c r="AE592" s="108">
        <f>ABS(AQ$1-AQ592)</f>
        <v/>
      </c>
      <c r="AF592" s="108">
        <f>ABS(AR$1-AR592)</f>
        <v/>
      </c>
      <c r="AG592" s="108">
        <f>ABS(AS$1-AS592)</f>
        <v/>
      </c>
      <c r="AH592" s="108">
        <f>ABS(AT$1-AT592)</f>
        <v/>
      </c>
      <c r="AI592" s="108">
        <f>ABS(AU$1-AU592)</f>
        <v/>
      </c>
      <c r="AJ592" s="108">
        <f>(AV592-Driver!$K$179)/(Driver!$L$179-Driver!$K$179)</f>
        <v/>
      </c>
      <c r="AK592" s="108">
        <f>(AW592-Driver!$K$180)/(Driver!$L$180-Driver!$K$180)</f>
        <v/>
      </c>
      <c r="AL592" s="108">
        <f>(AX592-Driver!$K$181)/(Driver!$L$181-Driver!$K$181)</f>
        <v/>
      </c>
      <c r="AM592" s="108">
        <f>(AY592-Driver!$K$182)/(Driver!$L$182-Driver!$K$182)</f>
        <v/>
      </c>
      <c r="AN592" s="108">
        <f>(AZ592-Driver!$K$183)/(Driver!$L$183-Driver!$K$183)</f>
        <v/>
      </c>
      <c r="AO592" s="108" t="n"/>
      <c r="AP592" s="108" t="n"/>
      <c r="AQ592" s="108">
        <f>(BC592-Driver!$K$188)/(Driver!$L$188-Driver!$K$188)</f>
        <v/>
      </c>
      <c r="AR592" s="108">
        <f>MIN((BD592-Driver!$K$189)/(Driver!$L$189-Driver!$K$189),100%)</f>
        <v/>
      </c>
      <c r="AS592" s="108">
        <f>(BE592-Driver!$K$190)/(Driver!$L$190-Driver!$K$190)</f>
        <v/>
      </c>
      <c r="AT592" s="108">
        <f>(BF592-Driver!$K$191)/(Driver!$L$191-Driver!$K$191)</f>
        <v/>
      </c>
      <c r="AU592" s="108">
        <f>(BG592-Driver!$K$192)/(Driver!$L$192-Driver!$K$192)</f>
        <v/>
      </c>
      <c r="AV592" s="105">
        <f>IFERROR(BM592*BJ592^1/4,"")</f>
        <v/>
      </c>
      <c r="AW592" s="105">
        <f>IFERROR(SUM(AX592:AZ592),"")</f>
        <v/>
      </c>
      <c r="AX592" s="105">
        <f>IFERROR(BH592,"")</f>
        <v/>
      </c>
      <c r="AY592" s="105">
        <f>IFERROR(Driver!$K$19/Data!BH592/Data!BI592*Data!BK592*Data!BL592,"")</f>
        <v/>
      </c>
      <c r="AZ592" s="105">
        <f>IFERROR(BI592*BN592,"")</f>
        <v/>
      </c>
      <c r="BA592" s="105" t="n"/>
      <c r="BB592" s="105" t="n"/>
      <c r="BC592" s="105">
        <f>IFERROR(BI592*BN592*BK592/BJ592^(1/2),"")</f>
        <v/>
      </c>
      <c r="BD592" s="105">
        <f>IFERROR(BH592*BM592*BL592/BJ592/BK592,"")</f>
        <v/>
      </c>
      <c r="BE592" s="105">
        <f>IFERROR(MIN(BI592/BQ592/BP592/BO592/BH592,$BE$1),"")</f>
        <v/>
      </c>
      <c r="BF592" s="105">
        <f>IFERROR(BJ592*BO592*BP592/BK592,"")</f>
        <v/>
      </c>
      <c r="BG592" s="105">
        <f>IFERROR(1/BM592/BH592*BQ592,"")</f>
        <v/>
      </c>
      <c r="BH592" s="102">
        <f>MAX((CE592-Driver!$F$200)/(Driver!$G$200-Driver!$F$200)*$BI$1,1)</f>
        <v/>
      </c>
      <c r="BI592" s="102">
        <f>MAX($BI$1*(BY592-Driver!$F$201)/(Driver!$G$201-Driver!$F$201),1)</f>
        <v/>
      </c>
      <c r="BJ592" s="102">
        <f>(CB592-Driver!$F$206)/(Driver!$G$206-Driver!$F$206)*$BI$1</f>
        <v/>
      </c>
      <c r="BK592" s="102">
        <f>(CD592-Driver!$F$203)/(Driver!$G$203-Driver!$F$203)*$BI$1</f>
        <v/>
      </c>
      <c r="BL592" s="102">
        <f>MAX((CR592-Driver!$F$202)/(Driver!$G$202-Driver!$F$202)*$BI$1,1)</f>
        <v/>
      </c>
      <c r="BM592" s="102">
        <f>MAX((CH592-Driver!$F$204)/(Driver!$G$204-Driver!$F$204)*$BI$1,1)</f>
        <v/>
      </c>
      <c r="BN592" s="102">
        <f>(CI592-Driver!$F$205)/(Driver!$G$205-Driver!$F$205)*$BI$1</f>
        <v/>
      </c>
      <c r="BO592" s="102">
        <f>(CK592-Driver!$F$207)/(Driver!$G$207-Driver!$F$207)*$BI$1</f>
        <v/>
      </c>
      <c r="BP592" s="102">
        <f>(CM592-Driver!$F$208)/(Driver!$G$208-Driver!$F$208)*$BI$1</f>
        <v/>
      </c>
      <c r="BQ592" s="102">
        <f>(CL592-Driver!$F$209)/(Driver!$G$209-Driver!$F$209)*$BI$1</f>
        <v/>
      </c>
      <c r="BR592" s="40" t="inlineStr">
        <is>
          <t>21/22</t>
        </is>
      </c>
      <c r="BS592" s="10" t="inlineStr">
        <is>
          <t xml:space="preserve"> Völkl</t>
        </is>
      </c>
      <c r="BT592" s="11" t="inlineStr">
        <is>
          <t>Blaze 94</t>
        </is>
      </c>
      <c r="BU592" s="13" t="n">
        <v>179</v>
      </c>
      <c r="BV592" s="11" t="inlineStr">
        <is>
          <t xml:space="preserve"> Unisex</t>
        </is>
      </c>
      <c r="BW592" s="13" t="n">
        <v>179</v>
      </c>
      <c r="BX592" s="13" t="n">
        <v>177.1</v>
      </c>
      <c r="BY592" s="13" t="n">
        <v>89</v>
      </c>
      <c r="BZ592" s="13" t="n">
        <v>155</v>
      </c>
      <c r="CA592" s="13" t="n">
        <v>133</v>
      </c>
      <c r="CB592" s="13" t="n">
        <v>93</v>
      </c>
      <c r="CC592" s="13" t="n">
        <v>115</v>
      </c>
      <c r="CD592" s="13" t="n">
        <v>18.2</v>
      </c>
      <c r="CE592" s="13" t="n">
        <v>1546</v>
      </c>
      <c r="CF592" s="13" t="n">
        <v>1.21</v>
      </c>
      <c r="CG592" s="13" t="n">
        <v>1878</v>
      </c>
      <c r="CH592" s="13" t="n">
        <v>168</v>
      </c>
      <c r="CI592" s="13" t="n">
        <v>92</v>
      </c>
      <c r="CJ592" s="13" t="n">
        <v>39</v>
      </c>
      <c r="CK592" s="13" t="n">
        <v>506</v>
      </c>
      <c r="CL592" s="13" t="n">
        <v>23</v>
      </c>
      <c r="CM592" s="13" t="n">
        <v>374</v>
      </c>
      <c r="CN592" s="13" t="n">
        <v>0.581</v>
      </c>
      <c r="CO592" s="13" t="n">
        <v>118</v>
      </c>
      <c r="CP592" s="13" t="n">
        <v>102</v>
      </c>
      <c r="CQ592" s="13" t="n">
        <v>388</v>
      </c>
      <c r="CR592" s="13" t="n">
        <v>1</v>
      </c>
      <c r="CS592" s="13" t="n">
        <v>12.5</v>
      </c>
      <c r="CT592" s="11" t="inlineStr">
        <is>
          <t xml:space="preserve"> Resort Freeride</t>
        </is>
      </c>
      <c r="CU592" s="11" t="inlineStr">
        <is>
          <t xml:space="preserve"> Touring</t>
        </is>
      </c>
      <c r="CV592" s="13" t="n"/>
      <c r="CW592" s="13" t="n"/>
      <c r="CX592">
        <f>INDEX('Data_Price '!AG$2:AG$1266,MATCH(Data!$DN592,'Data_Price '!$AT$2:$AT$1266,0))</f>
        <v/>
      </c>
      <c r="CY592">
        <f>INDEX('Data_Price '!AH$2:AH$1266,MATCH(Data!$DN592,'Data_Price '!$AT$2:$AT$1266,0))</f>
        <v/>
      </c>
      <c r="CZ592">
        <f>INDEX('Data_Price '!AI$2:AI$1266,MATCH(Data!$DN592,'Data_Price '!$AT$2:$AT$1266,0))</f>
        <v/>
      </c>
      <c r="DA592">
        <f>INDEX('Data_Price '!AJ$2:AJ$1266,MATCH(Data!$DN592,'Data_Price '!$AT$2:$AT$1266,0))</f>
        <v/>
      </c>
      <c r="DB592">
        <f>INDEX('Data_Price '!AK$2:AK$1266,MATCH(Data!$DN592,'Data_Price '!$AT$2:$AT$1266,0))</f>
        <v/>
      </c>
      <c r="DC592">
        <f>INDEX('Data_Price '!AL$2:AL$1266,MATCH(Data!$DN592,'Data_Price '!$AT$2:$AT$1266,0))</f>
        <v/>
      </c>
      <c r="DD592">
        <f>INDEX('Data_Price '!AM$2:AM$1266,MATCH(Data!$DN592,'Data_Price '!$AT$2:$AT$1266,0))</f>
        <v/>
      </c>
      <c r="DE592">
        <f>INDEX('Data_Price '!AN$2:AN$1266,MATCH(Data!$DN592,'Data_Price '!$AT$2:$AT$1266,0))</f>
        <v/>
      </c>
      <c r="DF592">
        <f>INDEX('Data_Price '!AO$2:AO$1266,MATCH(Data!$DN592,'Data_Price '!$AT$2:$AT$1266,0))</f>
        <v/>
      </c>
      <c r="DG592">
        <f>INDEX('Data_Price '!AP$2:AP$1266,MATCH(Data!$DN592,'Data_Price '!$AT$2:$AT$1266,0))</f>
        <v/>
      </c>
      <c r="DH592">
        <f>INDEX('Data_Price '!AQ$2:AQ$1266,MATCH(Data!$DN592,'Data_Price '!$AT$2:$AT$1266,0))</f>
        <v/>
      </c>
      <c r="DI592">
        <f>INDEX('Data_Price '!AR$2:AR$1266,MATCH(Data!$DN592,'Data_Price '!$AT$2:$AT$1266,0))</f>
        <v/>
      </c>
      <c r="DJ592" s="138">
        <f>DA592</f>
        <v/>
      </c>
      <c r="DK592" s="138">
        <f>DE592</f>
        <v/>
      </c>
      <c r="DL592" s="138">
        <f>DI592</f>
        <v/>
      </c>
      <c r="DM592" s="303">
        <f>IF(LEFT(BT592,1)=" ",RIGHT(BT592,LEN(BT592)-1),BT592)</f>
        <v/>
      </c>
      <c r="DN592" s="138">
        <f>_xlfn.CONCAT(BS592,DM592,BU592,BV592)</f>
        <v/>
      </c>
      <c r="DO592" s="307" t="inlineStr">
        <is>
          <t>https://images.evo.com/imgp/250/208354/837597/clone.jpg</t>
        </is>
      </c>
    </row>
    <row r="593" ht="15.6" customHeight="1" s="184">
      <c r="B593" s="303">
        <f t="array" ref="B593">IF(OR(ISERROR(K593:P593)),FALSE,TRUE)</f>
        <v/>
      </c>
      <c r="C593" s="60">
        <f>OR(BR593=Driver!$G$50,Data!BR214=Driver!$H$50)</f>
        <v/>
      </c>
      <c r="D593" s="60">
        <f>OR(BV593=Driver!$G$51,BV593=Driver!$H$51)</f>
        <v/>
      </c>
      <c r="E593" s="60">
        <f>AND(BX593&gt;Driver!$F$54,BX593&lt;Driver!$G$54)</f>
        <v/>
      </c>
      <c r="F593" s="60">
        <f>CL593&gt;Driver!$F$56</f>
        <v/>
      </c>
      <c r="G593" s="60">
        <f>AND(CB593&gt;Driver!$F$55,CB593&lt;Driver!$G$55)</f>
        <v/>
      </c>
      <c r="H593" s="60">
        <f>AND(B593:G593)</f>
        <v/>
      </c>
      <c r="I593" s="60">
        <f>COUNTIFS($H$9:$H$1273,TRUE,$BT$9:$BT$1273,BT593)</f>
        <v/>
      </c>
      <c r="J593" s="60">
        <f t="array" ref="J593">NOT(OR(($H$9:$H$1273=TRUE)*($I$9:$I$1273&gt;0)*($BT$9:$BT$1273=BT593)*($K$9:$K$1273&gt;K593)))</f>
        <v/>
      </c>
      <c r="K593" s="108">
        <f>IFERROR(1-AVERAGE(X593:Y593),"")</f>
        <v/>
      </c>
      <c r="L593" s="108">
        <f>1-X593</f>
        <v/>
      </c>
      <c r="M593" s="108">
        <f>1-Y593</f>
        <v/>
      </c>
      <c r="N593" s="108">
        <f>1-Z593</f>
        <v/>
      </c>
      <c r="O593" s="108">
        <f>1-AA593</f>
        <v/>
      </c>
      <c r="P593" s="108">
        <f>1-AB593</f>
        <v/>
      </c>
      <c r="Q593" s="108" t="n"/>
      <c r="R593" s="108" t="n"/>
      <c r="S593" s="108">
        <f>1-AE593</f>
        <v/>
      </c>
      <c r="T593" s="108">
        <f>1-AF593</f>
        <v/>
      </c>
      <c r="U593" s="108">
        <f>1-AG593</f>
        <v/>
      </c>
      <c r="V593" s="108">
        <f>1-AH593</f>
        <v/>
      </c>
      <c r="W593" s="108">
        <f>1-AI593</f>
        <v/>
      </c>
      <c r="X593" s="108">
        <f>ABS(AJ593-AJ$1)</f>
        <v/>
      </c>
      <c r="Y593" s="108">
        <f>AVERAGE(Z593:AB593)</f>
        <v/>
      </c>
      <c r="Z593" s="108">
        <f>ABS(AL593-AL$1)</f>
        <v/>
      </c>
      <c r="AA593" s="108">
        <f>ABS(AM593-AM$1)</f>
        <v/>
      </c>
      <c r="AB593" s="108">
        <f>ABS(AN593-AN$1)</f>
        <v/>
      </c>
      <c r="AC593" s="108" t="n"/>
      <c r="AD593" s="108" t="n"/>
      <c r="AE593" s="108">
        <f>ABS(AQ$1-AQ593)</f>
        <v/>
      </c>
      <c r="AF593" s="108">
        <f>ABS(AR$1-AR593)</f>
        <v/>
      </c>
      <c r="AG593" s="108">
        <f>ABS(AS$1-AS593)</f>
        <v/>
      </c>
      <c r="AH593" s="108">
        <f>ABS(AT$1-AT593)</f>
        <v/>
      </c>
      <c r="AI593" s="108">
        <f>ABS(AU$1-AU593)</f>
        <v/>
      </c>
      <c r="AJ593" s="108">
        <f>(AV593-Driver!$K$179)/(Driver!$L$179-Driver!$K$179)</f>
        <v/>
      </c>
      <c r="AK593" s="108">
        <f>(AW593-Driver!$K$180)/(Driver!$L$180-Driver!$K$180)</f>
        <v/>
      </c>
      <c r="AL593" s="108">
        <f>(AX593-Driver!$K$181)/(Driver!$L$181-Driver!$K$181)</f>
        <v/>
      </c>
      <c r="AM593" s="108">
        <f>(AY593-Driver!$K$182)/(Driver!$L$182-Driver!$K$182)</f>
        <v/>
      </c>
      <c r="AN593" s="108">
        <f>(AZ593-Driver!$K$183)/(Driver!$L$183-Driver!$K$183)</f>
        <v/>
      </c>
      <c r="AO593" s="108" t="n"/>
      <c r="AP593" s="108" t="n"/>
      <c r="AQ593" s="108">
        <f>(BC593-Driver!$K$188)/(Driver!$L$188-Driver!$K$188)</f>
        <v/>
      </c>
      <c r="AR593" s="108">
        <f>MIN((BD593-Driver!$K$189)/(Driver!$L$189-Driver!$K$189),100%)</f>
        <v/>
      </c>
      <c r="AS593" s="108">
        <f>(BE593-Driver!$K$190)/(Driver!$L$190-Driver!$K$190)</f>
        <v/>
      </c>
      <c r="AT593" s="108">
        <f>(BF593-Driver!$K$191)/(Driver!$L$191-Driver!$K$191)</f>
        <v/>
      </c>
      <c r="AU593" s="108">
        <f>(BG593-Driver!$K$192)/(Driver!$L$192-Driver!$K$192)</f>
        <v/>
      </c>
      <c r="AV593" s="105">
        <f>IFERROR(BM593*BJ593^1/4,"")</f>
        <v/>
      </c>
      <c r="AW593" s="105">
        <f>IFERROR(SUM(AX593:AZ593),"")</f>
        <v/>
      </c>
      <c r="AX593" s="105">
        <f>IFERROR(BH593,"")</f>
        <v/>
      </c>
      <c r="AY593" s="105">
        <f>IFERROR(Driver!$K$19/Data!BH593/Data!BI593*Data!BK593*Data!BL593,"")</f>
        <v/>
      </c>
      <c r="AZ593" s="105">
        <f>IFERROR(BI593*BN593,"")</f>
        <v/>
      </c>
      <c r="BA593" s="105" t="n"/>
      <c r="BB593" s="105" t="n"/>
      <c r="BC593" s="105">
        <f>IFERROR(BI593*BN593*BK593/BJ593^(1/2),"")</f>
        <v/>
      </c>
      <c r="BD593" s="105">
        <f>IFERROR(BH593*BM593*BL593/BJ593/BK593,"")</f>
        <v/>
      </c>
      <c r="BE593" s="105">
        <f>IFERROR(MIN(BI593/BQ593/BP593/BO593/BH593,$BE$1),"")</f>
        <v/>
      </c>
      <c r="BF593" s="105">
        <f>IFERROR(BJ593*BO593*BP593/BK593,"")</f>
        <v/>
      </c>
      <c r="BG593" s="105">
        <f>IFERROR(1/BM593/BH593*BQ593,"")</f>
        <v/>
      </c>
      <c r="BH593" s="102">
        <f>MAX((CE593-Driver!$F$200)/(Driver!$G$200-Driver!$F$200)*$BI$1,1)</f>
        <v/>
      </c>
      <c r="BI593" s="102">
        <f>MAX($BI$1*(BY593-Driver!$F$201)/(Driver!$G$201-Driver!$F$201),1)</f>
        <v/>
      </c>
      <c r="BJ593" s="102">
        <f>(CB593-Driver!$F$206)/(Driver!$G$206-Driver!$F$206)*$BI$1</f>
        <v/>
      </c>
      <c r="BK593" s="102">
        <f>(CD593-Driver!$F$203)/(Driver!$G$203-Driver!$F$203)*$BI$1</f>
        <v/>
      </c>
      <c r="BL593" s="102">
        <f>MAX((CR593-Driver!$F$202)/(Driver!$G$202-Driver!$F$202)*$BI$1,1)</f>
        <v/>
      </c>
      <c r="BM593" s="102">
        <f>MAX((CH593-Driver!$F$204)/(Driver!$G$204-Driver!$F$204)*$BI$1,1)</f>
        <v/>
      </c>
      <c r="BN593" s="102">
        <f>(CI593-Driver!$F$205)/(Driver!$G$205-Driver!$F$205)*$BI$1</f>
        <v/>
      </c>
      <c r="BO593" s="102">
        <f>(CK593-Driver!$F$207)/(Driver!$G$207-Driver!$F$207)*$BI$1</f>
        <v/>
      </c>
      <c r="BP593" s="102">
        <f>(CM593-Driver!$F$208)/(Driver!$G$208-Driver!$F$208)*$BI$1</f>
        <v/>
      </c>
      <c r="BQ593" s="102">
        <f>(CL593-Driver!$F$209)/(Driver!$G$209-Driver!$F$209)*$BI$1</f>
        <v/>
      </c>
      <c r="BR593" s="40" t="inlineStr">
        <is>
          <t>21/22</t>
        </is>
      </c>
      <c r="BS593" s="10" t="inlineStr">
        <is>
          <t xml:space="preserve"> Black Crows</t>
        </is>
      </c>
      <c r="BT593" s="11" t="inlineStr">
        <is>
          <t xml:space="preserve"> Camox Freebird</t>
        </is>
      </c>
      <c r="BU593" s="13" t="n">
        <v>188.3</v>
      </c>
      <c r="BV593" s="11" t="inlineStr">
        <is>
          <t xml:space="preserve"> Unisex</t>
        </is>
      </c>
      <c r="BW593" s="13" t="n">
        <v>188.3</v>
      </c>
      <c r="BX593" s="13" t="n">
        <v>187.7</v>
      </c>
      <c r="BY593" s="13" t="n">
        <v>142</v>
      </c>
      <c r="BZ593" s="13" t="n">
        <v>154</v>
      </c>
      <c r="CA593" s="13" t="n">
        <v>135</v>
      </c>
      <c r="CB593" s="13" t="n">
        <v>95</v>
      </c>
      <c r="CC593" s="13" t="n">
        <v>117</v>
      </c>
      <c r="CD593" s="13" t="n">
        <v>17.5</v>
      </c>
      <c r="CE593" s="13" t="n">
        <v>1704</v>
      </c>
      <c r="CF593" s="13" t="n">
        <v>1.19</v>
      </c>
      <c r="CG593" s="13" t="n">
        <v>2028</v>
      </c>
      <c r="CH593" s="13" t="n">
        <v>261</v>
      </c>
      <c r="CI593" s="13" t="n">
        <v>124</v>
      </c>
      <c r="CJ593" s="13" t="n">
        <v>48</v>
      </c>
      <c r="CK593" s="13" t="n">
        <v>290</v>
      </c>
      <c r="CL593" s="13" t="n">
        <v>13</v>
      </c>
      <c r="CM593" s="13" t="n">
        <v>168</v>
      </c>
      <c r="CN593" s="13" t="n">
        <v>0.264</v>
      </c>
      <c r="CO593" s="13" t="n">
        <v>205</v>
      </c>
      <c r="CP593" s="13" t="n">
        <v>131</v>
      </c>
      <c r="CQ593" s="13" t="n">
        <v>85</v>
      </c>
      <c r="CR593" s="13" t="n">
        <v>6</v>
      </c>
      <c r="CS593" s="13" t="n">
        <v>8.9</v>
      </c>
      <c r="CT593" s="11" t="inlineStr">
        <is>
          <t xml:space="preserve"> Resort Freeride</t>
        </is>
      </c>
      <c r="CU593" s="11" t="inlineStr">
        <is>
          <t xml:space="preserve"> Touring</t>
        </is>
      </c>
      <c r="CV593" s="13" t="n"/>
      <c r="CW593" s="13" t="n"/>
      <c r="CX593">
        <f>INDEX('Data_Price '!AG$2:AG$1266,MATCH(Data!$DN593,'Data_Price '!$AT$2:$AT$1266,0))</f>
        <v/>
      </c>
      <c r="CY593">
        <f>INDEX('Data_Price '!AH$2:AH$1266,MATCH(Data!$DN593,'Data_Price '!$AT$2:$AT$1266,0))</f>
        <v/>
      </c>
      <c r="CZ593">
        <f>INDEX('Data_Price '!AI$2:AI$1266,MATCH(Data!$DN593,'Data_Price '!$AT$2:$AT$1266,0))</f>
        <v/>
      </c>
      <c r="DA593">
        <f>INDEX('Data_Price '!AJ$2:AJ$1266,MATCH(Data!$DN593,'Data_Price '!$AT$2:$AT$1266,0))</f>
        <v/>
      </c>
      <c r="DB593">
        <f>INDEX('Data_Price '!AK$2:AK$1266,MATCH(Data!$DN593,'Data_Price '!$AT$2:$AT$1266,0))</f>
        <v/>
      </c>
      <c r="DC593">
        <f>INDEX('Data_Price '!AL$2:AL$1266,MATCH(Data!$DN593,'Data_Price '!$AT$2:$AT$1266,0))</f>
        <v/>
      </c>
      <c r="DD593">
        <f>INDEX('Data_Price '!AM$2:AM$1266,MATCH(Data!$DN593,'Data_Price '!$AT$2:$AT$1266,0))</f>
        <v/>
      </c>
      <c r="DE593">
        <f>INDEX('Data_Price '!AN$2:AN$1266,MATCH(Data!$DN593,'Data_Price '!$AT$2:$AT$1266,0))</f>
        <v/>
      </c>
      <c r="DF593">
        <f>INDEX('Data_Price '!AO$2:AO$1266,MATCH(Data!$DN593,'Data_Price '!$AT$2:$AT$1266,0))</f>
        <v/>
      </c>
      <c r="DG593">
        <f>INDEX('Data_Price '!AP$2:AP$1266,MATCH(Data!$DN593,'Data_Price '!$AT$2:$AT$1266,0))</f>
        <v/>
      </c>
      <c r="DH593">
        <f>INDEX('Data_Price '!AQ$2:AQ$1266,MATCH(Data!$DN593,'Data_Price '!$AT$2:$AT$1266,0))</f>
        <v/>
      </c>
      <c r="DI593">
        <f>INDEX('Data_Price '!AR$2:AR$1266,MATCH(Data!$DN593,'Data_Price '!$AT$2:$AT$1266,0))</f>
        <v/>
      </c>
      <c r="DJ593" s="138">
        <f>DA593</f>
        <v/>
      </c>
      <c r="DK593" s="138">
        <f>DE593</f>
        <v/>
      </c>
      <c r="DL593" s="138">
        <f>DI593</f>
        <v/>
      </c>
      <c r="DM593" s="303">
        <f>IF(LEFT(BT593,1)=" ",RIGHT(BT593,LEN(BT593)-1),BT593)</f>
        <v/>
      </c>
      <c r="DN593" s="138">
        <f>_xlfn.CONCAT(BS593,DM593,BU593,BV593)</f>
        <v/>
      </c>
      <c r="DO593" s="307" t="inlineStr">
        <is>
          <t>https://images.evo.com/imgp/250/164658/659367/black-crows-camox-freebird-skis-2022-.jpg</t>
        </is>
      </c>
    </row>
    <row r="594" ht="15.6" customHeight="1" s="184">
      <c r="B594" s="303">
        <f t="array" ref="B594">IF(OR(ISERROR(K594:P594)),FALSE,TRUE)</f>
        <v/>
      </c>
      <c r="C594" s="60">
        <f>OR(BR594=Driver!$G$50,Data!BR1187=Driver!$H$50)</f>
        <v/>
      </c>
      <c r="D594" s="60">
        <f>OR(BV594=Driver!$G$51,BV594=Driver!$H$51)</f>
        <v/>
      </c>
      <c r="E594" s="60">
        <f>AND(BX594&gt;Driver!$F$54,BX594&lt;Driver!$G$54)</f>
        <v/>
      </c>
      <c r="F594" s="60">
        <f>CL594&gt;Driver!$F$56</f>
        <v/>
      </c>
      <c r="G594" s="60">
        <f>AND(CB594&gt;Driver!$F$55,CB594&lt;Driver!$G$55)</f>
        <v/>
      </c>
      <c r="H594" s="60">
        <f>AND(B594:G594)</f>
        <v/>
      </c>
      <c r="I594" s="60">
        <f>COUNTIFS($H$9:$H$1273,TRUE,$BT$9:$BT$1273,BT594)</f>
        <v/>
      </c>
      <c r="J594" s="60">
        <f t="array" ref="J594">NOT(OR(($H$9:$H$1273=TRUE)*($I$9:$I$1273&gt;0)*($BT$9:$BT$1273=BT594)*($K$9:$K$1273&gt;K594)))</f>
        <v/>
      </c>
      <c r="K594" s="108">
        <f>IFERROR(1-AVERAGE(X594:Y594),"")</f>
        <v/>
      </c>
      <c r="L594" s="108">
        <f>1-X594</f>
        <v/>
      </c>
      <c r="M594" s="108">
        <f>1-Y594</f>
        <v/>
      </c>
      <c r="N594" s="108">
        <f>1-Z594</f>
        <v/>
      </c>
      <c r="O594" s="108">
        <f>1-AA594</f>
        <v/>
      </c>
      <c r="P594" s="108">
        <f>1-AB594</f>
        <v/>
      </c>
      <c r="Q594" s="108" t="n"/>
      <c r="R594" s="108" t="n"/>
      <c r="S594" s="108">
        <f>1-AE594</f>
        <v/>
      </c>
      <c r="T594" s="108">
        <f>1-AF594</f>
        <v/>
      </c>
      <c r="U594" s="108">
        <f>1-AG594</f>
        <v/>
      </c>
      <c r="V594" s="108">
        <f>1-AH594</f>
        <v/>
      </c>
      <c r="W594" s="108">
        <f>1-AI594</f>
        <v/>
      </c>
      <c r="X594" s="108">
        <f>ABS(AJ594-AJ$1)</f>
        <v/>
      </c>
      <c r="Y594" s="108">
        <f>AVERAGE(Z594:AB594)</f>
        <v/>
      </c>
      <c r="Z594" s="108">
        <f>ABS(AL594-AL$1)</f>
        <v/>
      </c>
      <c r="AA594" s="108">
        <f>ABS(AM594-AM$1)</f>
        <v/>
      </c>
      <c r="AB594" s="108">
        <f>ABS(AN594-AN$1)</f>
        <v/>
      </c>
      <c r="AC594" s="108" t="n"/>
      <c r="AD594" s="108" t="n"/>
      <c r="AE594" s="108">
        <f>ABS(AQ$1-AQ594)</f>
        <v/>
      </c>
      <c r="AF594" s="108">
        <f>ABS(AR$1-AR594)</f>
        <v/>
      </c>
      <c r="AG594" s="108">
        <f>ABS(AS$1-AS594)</f>
        <v/>
      </c>
      <c r="AH594" s="108">
        <f>ABS(AT$1-AT594)</f>
        <v/>
      </c>
      <c r="AI594" s="108">
        <f>ABS(AU$1-AU594)</f>
        <v/>
      </c>
      <c r="AJ594" s="108">
        <f>(AV594-Driver!$K$179)/(Driver!$L$179-Driver!$K$179)</f>
        <v/>
      </c>
      <c r="AK594" s="108">
        <f>(AW594-Driver!$K$180)/(Driver!$L$180-Driver!$K$180)</f>
        <v/>
      </c>
      <c r="AL594" s="108">
        <f>(AX594-Driver!$K$181)/(Driver!$L$181-Driver!$K$181)</f>
        <v/>
      </c>
      <c r="AM594" s="108">
        <f>(AY594-Driver!$K$182)/(Driver!$L$182-Driver!$K$182)</f>
        <v/>
      </c>
      <c r="AN594" s="108">
        <f>(AZ594-Driver!$K$183)/(Driver!$L$183-Driver!$K$183)</f>
        <v/>
      </c>
      <c r="AO594" s="108" t="n"/>
      <c r="AP594" s="108" t="n"/>
      <c r="AQ594" s="108">
        <f>(BC594-Driver!$K$188)/(Driver!$L$188-Driver!$K$188)</f>
        <v/>
      </c>
      <c r="AR594" s="108">
        <f>MIN((BD594-Driver!$K$189)/(Driver!$L$189-Driver!$K$189),100%)</f>
        <v/>
      </c>
      <c r="AS594" s="108">
        <f>(BE594-Driver!$K$190)/(Driver!$L$190-Driver!$K$190)</f>
        <v/>
      </c>
      <c r="AT594" s="108">
        <f>(BF594-Driver!$K$191)/(Driver!$L$191-Driver!$K$191)</f>
        <v/>
      </c>
      <c r="AU594" s="108">
        <f>(BG594-Driver!$K$192)/(Driver!$L$192-Driver!$K$192)</f>
        <v/>
      </c>
      <c r="AV594" s="105">
        <f>IFERROR(BM594*BJ594^1/4,"")</f>
        <v/>
      </c>
      <c r="AW594" s="105">
        <f>IFERROR(SUM(AX594:AZ594),"")</f>
        <v/>
      </c>
      <c r="AX594" s="105">
        <f>IFERROR(BH594,"")</f>
        <v/>
      </c>
      <c r="AY594" s="105">
        <f>IFERROR(Driver!$K$19/Data!BH594/Data!BI594*Data!BK594*Data!BL594,"")</f>
        <v/>
      </c>
      <c r="AZ594" s="105">
        <f>IFERROR(BI594*BN594,"")</f>
        <v/>
      </c>
      <c r="BA594" s="105" t="n"/>
      <c r="BB594" s="105" t="n"/>
      <c r="BC594" s="105">
        <f>IFERROR(BI594*BN594*BK594/BJ594^(1/2),"")</f>
        <v/>
      </c>
      <c r="BD594" s="105">
        <f>IFERROR(BH594*BM594*BL594/BJ594/BK594,"")</f>
        <v/>
      </c>
      <c r="BE594" s="105">
        <f>IFERROR(MIN(BI594/BQ594/BP594/BO594/BH594,$BE$1),"")</f>
        <v/>
      </c>
      <c r="BF594" s="105">
        <f>IFERROR(BJ594*BO594*BP594/BK594,"")</f>
        <v/>
      </c>
      <c r="BG594" s="105">
        <f>IFERROR(1/BM594/BH594*BQ594,"")</f>
        <v/>
      </c>
      <c r="BH594" s="102">
        <f>MAX((CE594-Driver!$F$200)/(Driver!$G$200-Driver!$F$200)*$BI$1,1)</f>
        <v/>
      </c>
      <c r="BI594" s="102">
        <f>MAX($BI$1*(BY594-Driver!$F$201)/(Driver!$G$201-Driver!$F$201),1)</f>
        <v/>
      </c>
      <c r="BJ594" s="102">
        <f>(CB594-Driver!$F$206)/(Driver!$G$206-Driver!$F$206)*$BI$1</f>
        <v/>
      </c>
      <c r="BK594" s="102">
        <f>(CD594-Driver!$F$203)/(Driver!$G$203-Driver!$F$203)*$BI$1</f>
        <v/>
      </c>
      <c r="BL594" s="102">
        <f>MAX((CR594-Driver!$F$202)/(Driver!$G$202-Driver!$F$202)*$BI$1,1)</f>
        <v/>
      </c>
      <c r="BM594" s="102">
        <f>MAX((CH594-Driver!$F$204)/(Driver!$G$204-Driver!$F$204)*$BI$1,1)</f>
        <v/>
      </c>
      <c r="BN594" s="102">
        <f>(CI594-Driver!$F$205)/(Driver!$G$205-Driver!$F$205)*$BI$1</f>
        <v/>
      </c>
      <c r="BO594" s="102">
        <f>(CK594-Driver!$F$207)/(Driver!$G$207-Driver!$F$207)*$BI$1</f>
        <v/>
      </c>
      <c r="BP594" s="102">
        <f>(CM594-Driver!$F$208)/(Driver!$G$208-Driver!$F$208)*$BI$1</f>
        <v/>
      </c>
      <c r="BQ594" s="102">
        <f>(CL594-Driver!$F$209)/(Driver!$G$209-Driver!$F$209)*$BI$1</f>
        <v/>
      </c>
      <c r="BR594" s="40" t="inlineStr">
        <is>
          <t>21/22</t>
        </is>
      </c>
      <c r="BS594" s="10" t="inlineStr">
        <is>
          <t xml:space="preserve"> Völkl</t>
        </is>
      </c>
      <c r="BT594" s="11" t="inlineStr">
        <is>
          <t xml:space="preserve"> Deacon XTD</t>
        </is>
      </c>
      <c r="BU594" s="13" t="n">
        <v>161</v>
      </c>
      <c r="BV594" s="11" t="inlineStr">
        <is>
          <t xml:space="preserve"> Unisex</t>
        </is>
      </c>
      <c r="BW594" s="13" t="n">
        <v>161</v>
      </c>
      <c r="BX594" s="13" t="n">
        <v>160.5</v>
      </c>
      <c r="BY594" s="13" t="n">
        <v>141</v>
      </c>
      <c r="BZ594" s="13" t="n">
        <v>148</v>
      </c>
      <c r="CA594" s="13" t="n">
        <v>123</v>
      </c>
      <c r="CB594" s="13" t="n">
        <v>75</v>
      </c>
      <c r="CC594" s="13" t="n">
        <v>104</v>
      </c>
      <c r="CD594" s="13" t="n">
        <v>14.1</v>
      </c>
      <c r="CE594" s="13" t="n">
        <v>1745</v>
      </c>
      <c r="CF594" s="13" t="n">
        <v>0.82</v>
      </c>
      <c r="CG594" s="13" t="n">
        <v>1428</v>
      </c>
      <c r="CH594" s="13" t="n">
        <v>159</v>
      </c>
      <c r="CI594" s="13" t="n">
        <v>76</v>
      </c>
      <c r="CJ594" s="13" t="n">
        <v>35</v>
      </c>
      <c r="CK594" s="13" t="n">
        <v>144</v>
      </c>
      <c r="CL594" s="13" t="n">
        <v>5</v>
      </c>
      <c r="CM594" s="13" t="n">
        <v>54</v>
      </c>
      <c r="CN594" s="13" t="n">
        <v>0.129</v>
      </c>
      <c r="CO594" s="13" t="n">
        <v>74</v>
      </c>
      <c r="CP594" s="13" t="n">
        <v>51</v>
      </c>
      <c r="CQ594" s="13" t="n">
        <v>71</v>
      </c>
      <c r="CR594" s="13" t="n">
        <v>8</v>
      </c>
      <c r="CS594" s="13" t="n">
        <v>12.7</v>
      </c>
      <c r="CT594" s="11" t="inlineStr">
        <is>
          <t xml:space="preserve"> On-Piste Carving</t>
        </is>
      </c>
      <c r="CU594" s="13" t="n"/>
      <c r="CV594" s="13" t="n"/>
      <c r="CW594" s="13" t="n"/>
      <c r="CX594">
        <f>INDEX('Data_Price '!AG$2:AG$1266,MATCH(Data!$DN594,'Data_Price '!$AT$2:$AT$1266,0))</f>
        <v/>
      </c>
      <c r="CY594">
        <f>INDEX('Data_Price '!AH$2:AH$1266,MATCH(Data!$DN594,'Data_Price '!$AT$2:$AT$1266,0))</f>
        <v/>
      </c>
      <c r="CZ594">
        <f>INDEX('Data_Price '!AI$2:AI$1266,MATCH(Data!$DN594,'Data_Price '!$AT$2:$AT$1266,0))</f>
        <v/>
      </c>
      <c r="DA594">
        <f>INDEX('Data_Price '!AJ$2:AJ$1266,MATCH(Data!$DN594,'Data_Price '!$AT$2:$AT$1266,0))</f>
        <v/>
      </c>
      <c r="DB594">
        <f>INDEX('Data_Price '!AK$2:AK$1266,MATCH(Data!$DN594,'Data_Price '!$AT$2:$AT$1266,0))</f>
        <v/>
      </c>
      <c r="DC594">
        <f>INDEX('Data_Price '!AL$2:AL$1266,MATCH(Data!$DN594,'Data_Price '!$AT$2:$AT$1266,0))</f>
        <v/>
      </c>
      <c r="DD594">
        <f>INDEX('Data_Price '!AM$2:AM$1266,MATCH(Data!$DN594,'Data_Price '!$AT$2:$AT$1266,0))</f>
        <v/>
      </c>
      <c r="DE594">
        <f>INDEX('Data_Price '!AN$2:AN$1266,MATCH(Data!$DN594,'Data_Price '!$AT$2:$AT$1266,0))</f>
        <v/>
      </c>
      <c r="DF594">
        <f>INDEX('Data_Price '!AO$2:AO$1266,MATCH(Data!$DN594,'Data_Price '!$AT$2:$AT$1266,0))</f>
        <v/>
      </c>
      <c r="DG594">
        <f>INDEX('Data_Price '!AP$2:AP$1266,MATCH(Data!$DN594,'Data_Price '!$AT$2:$AT$1266,0))</f>
        <v/>
      </c>
      <c r="DH594">
        <f>INDEX('Data_Price '!AQ$2:AQ$1266,MATCH(Data!$DN594,'Data_Price '!$AT$2:$AT$1266,0))</f>
        <v/>
      </c>
      <c r="DI594">
        <f>INDEX('Data_Price '!AR$2:AR$1266,MATCH(Data!$DN594,'Data_Price '!$AT$2:$AT$1266,0))</f>
        <v/>
      </c>
      <c r="DJ594" s="138">
        <f>DA594</f>
        <v/>
      </c>
      <c r="DK594" s="138">
        <f>DE594</f>
        <v/>
      </c>
      <c r="DL594" s="138">
        <f>DI594</f>
        <v/>
      </c>
      <c r="DM594" s="303">
        <f>IF(LEFT(BT594,1)=" ",RIGHT(BT594,LEN(BT594)-1),BT594)</f>
        <v/>
      </c>
      <c r="DN594" s="138">
        <f>_xlfn.CONCAT(BS594,DM594,BU594,BV594)</f>
        <v/>
      </c>
      <c r="DO594" s="307" t="n"/>
    </row>
    <row r="595" ht="15.6" customHeight="1" s="184">
      <c r="B595" s="303">
        <f t="array" ref="B595">IF(OR(ISERROR(K595:P595)),FALSE,TRUE)</f>
        <v/>
      </c>
      <c r="C595" s="60">
        <f>OR(BR595=Driver!$G$50,Data!BR1010=Driver!$H$50)</f>
        <v/>
      </c>
      <c r="D595" s="60">
        <f>OR(BV595=Driver!$G$51,BV595=Driver!$H$51)</f>
        <v/>
      </c>
      <c r="E595" s="60">
        <f>AND(BX595&gt;Driver!$F$54,BX595&lt;Driver!$G$54)</f>
        <v/>
      </c>
      <c r="F595" s="60">
        <f>CL595&gt;Driver!$F$56</f>
        <v/>
      </c>
      <c r="G595" s="60">
        <f>AND(CB595&gt;Driver!$F$55,CB595&lt;Driver!$G$55)</f>
        <v/>
      </c>
      <c r="H595" s="60">
        <f>AND(B595:G595)</f>
        <v/>
      </c>
      <c r="I595" s="60">
        <f>COUNTIFS($H$9:$H$1273,TRUE,$BT$9:$BT$1273,BT595)</f>
        <v/>
      </c>
      <c r="J595" s="60">
        <f t="array" ref="J595">NOT(OR(($H$9:$H$1273=TRUE)*($I$9:$I$1273&gt;0)*($BT$9:$BT$1273=BT595)*($K$9:$K$1273&gt;K595)))</f>
        <v/>
      </c>
      <c r="K595" s="108">
        <f>IFERROR(1-AVERAGE(X595:Y595),"")</f>
        <v/>
      </c>
      <c r="L595" s="108">
        <f>1-X595</f>
        <v/>
      </c>
      <c r="M595" s="108">
        <f>1-Y595</f>
        <v/>
      </c>
      <c r="N595" s="108">
        <f>1-Z595</f>
        <v/>
      </c>
      <c r="O595" s="108">
        <f>1-AA595</f>
        <v/>
      </c>
      <c r="P595" s="108">
        <f>1-AB595</f>
        <v/>
      </c>
      <c r="Q595" s="108" t="n"/>
      <c r="R595" s="108" t="n"/>
      <c r="S595" s="108">
        <f>1-AE595</f>
        <v/>
      </c>
      <c r="T595" s="108">
        <f>1-AF595</f>
        <v/>
      </c>
      <c r="U595" s="108">
        <f>1-AG595</f>
        <v/>
      </c>
      <c r="V595" s="108">
        <f>1-AH595</f>
        <v/>
      </c>
      <c r="W595" s="108">
        <f>1-AI595</f>
        <v/>
      </c>
      <c r="X595" s="108">
        <f>ABS(AJ595-AJ$1)</f>
        <v/>
      </c>
      <c r="Y595" s="108">
        <f>AVERAGE(Z595:AB595)</f>
        <v/>
      </c>
      <c r="Z595" s="108">
        <f>ABS(AL595-AL$1)</f>
        <v/>
      </c>
      <c r="AA595" s="108">
        <f>ABS(AM595-AM$1)</f>
        <v/>
      </c>
      <c r="AB595" s="108">
        <f>ABS(AN595-AN$1)</f>
        <v/>
      </c>
      <c r="AC595" s="108" t="n"/>
      <c r="AD595" s="108" t="n"/>
      <c r="AE595" s="108">
        <f>ABS(AQ$1-AQ595)</f>
        <v/>
      </c>
      <c r="AF595" s="108">
        <f>ABS(AR$1-AR595)</f>
        <v/>
      </c>
      <c r="AG595" s="108">
        <f>ABS(AS$1-AS595)</f>
        <v/>
      </c>
      <c r="AH595" s="108">
        <f>ABS(AT$1-AT595)</f>
        <v/>
      </c>
      <c r="AI595" s="108">
        <f>ABS(AU$1-AU595)</f>
        <v/>
      </c>
      <c r="AJ595" s="108">
        <f>(AV595-Driver!$K$179)/(Driver!$L$179-Driver!$K$179)</f>
        <v/>
      </c>
      <c r="AK595" s="108">
        <f>(AW595-Driver!$K$180)/(Driver!$L$180-Driver!$K$180)</f>
        <v/>
      </c>
      <c r="AL595" s="108">
        <f>(AX595-Driver!$K$181)/(Driver!$L$181-Driver!$K$181)</f>
        <v/>
      </c>
      <c r="AM595" s="108">
        <f>(AY595-Driver!$K$182)/(Driver!$L$182-Driver!$K$182)</f>
        <v/>
      </c>
      <c r="AN595" s="108">
        <f>(AZ595-Driver!$K$183)/(Driver!$L$183-Driver!$K$183)</f>
        <v/>
      </c>
      <c r="AO595" s="108" t="n"/>
      <c r="AP595" s="108" t="n"/>
      <c r="AQ595" s="108">
        <f>(BC595-Driver!$K$188)/(Driver!$L$188-Driver!$K$188)</f>
        <v/>
      </c>
      <c r="AR595" s="108">
        <f>MIN((BD595-Driver!$K$189)/(Driver!$L$189-Driver!$K$189),100%)</f>
        <v/>
      </c>
      <c r="AS595" s="108">
        <f>(BE595-Driver!$K$190)/(Driver!$L$190-Driver!$K$190)</f>
        <v/>
      </c>
      <c r="AT595" s="108">
        <f>(BF595-Driver!$K$191)/(Driver!$L$191-Driver!$K$191)</f>
        <v/>
      </c>
      <c r="AU595" s="108">
        <f>(BG595-Driver!$K$192)/(Driver!$L$192-Driver!$K$192)</f>
        <v/>
      </c>
      <c r="AV595" s="105">
        <f>IFERROR(BM595*BJ595^1/4,"")</f>
        <v/>
      </c>
      <c r="AW595" s="105">
        <f>IFERROR(SUM(AX595:AZ595),"")</f>
        <v/>
      </c>
      <c r="AX595" s="105">
        <f>IFERROR(BH595,"")</f>
        <v/>
      </c>
      <c r="AY595" s="105">
        <f>IFERROR(Driver!$K$19/Data!BH595/Data!BI595*Data!BK595*Data!BL595,"")</f>
        <v/>
      </c>
      <c r="AZ595" s="105">
        <f>IFERROR(BI595*BN595,"")</f>
        <v/>
      </c>
      <c r="BA595" s="105" t="n"/>
      <c r="BB595" s="105" t="n"/>
      <c r="BC595" s="105">
        <f>IFERROR(BI595*BN595*BK595/BJ595^(1/2),"")</f>
        <v/>
      </c>
      <c r="BD595" s="105">
        <f>IFERROR(BH595*BM595*BL595/BJ595/BK595,"")</f>
        <v/>
      </c>
      <c r="BE595" s="105">
        <f>IFERROR(MIN(BI595/BQ595/BP595/BO595/BH595,$BE$1),"")</f>
        <v/>
      </c>
      <c r="BF595" s="105">
        <f>IFERROR(BJ595*BO595*BP595/BK595,"")</f>
        <v/>
      </c>
      <c r="BG595" s="105">
        <f>IFERROR(1/BM595/BH595*BQ595,"")</f>
        <v/>
      </c>
      <c r="BH595" s="102">
        <f>MAX((CE595-Driver!$F$200)/(Driver!$G$200-Driver!$F$200)*$BI$1,1)</f>
        <v/>
      </c>
      <c r="BI595" s="102">
        <f>MAX($BI$1*(BY595-Driver!$F$201)/(Driver!$G$201-Driver!$F$201),1)</f>
        <v/>
      </c>
      <c r="BJ595" s="102">
        <f>(CB595-Driver!$F$206)/(Driver!$G$206-Driver!$F$206)*$BI$1</f>
        <v/>
      </c>
      <c r="BK595" s="102">
        <f>(CD595-Driver!$F$203)/(Driver!$G$203-Driver!$F$203)*$BI$1</f>
        <v/>
      </c>
      <c r="BL595" s="102">
        <f>MAX((CR595-Driver!$F$202)/(Driver!$G$202-Driver!$F$202)*$BI$1,1)</f>
        <v/>
      </c>
      <c r="BM595" s="102">
        <f>MAX((CH595-Driver!$F$204)/(Driver!$G$204-Driver!$F$204)*$BI$1,1)</f>
        <v/>
      </c>
      <c r="BN595" s="102">
        <f>(CI595-Driver!$F$205)/(Driver!$G$205-Driver!$F$205)*$BI$1</f>
        <v/>
      </c>
      <c r="BO595" s="102">
        <f>(CK595-Driver!$F$207)/(Driver!$G$207-Driver!$F$207)*$BI$1</f>
        <v/>
      </c>
      <c r="BP595" s="102">
        <f>(CM595-Driver!$F$208)/(Driver!$G$208-Driver!$F$208)*$BI$1</f>
        <v/>
      </c>
      <c r="BQ595" s="102">
        <f>(CL595-Driver!$F$209)/(Driver!$G$209-Driver!$F$209)*$BI$1</f>
        <v/>
      </c>
      <c r="BR595" s="40" t="inlineStr">
        <is>
          <t>21/22</t>
        </is>
      </c>
      <c r="BS595" s="10" t="inlineStr">
        <is>
          <t xml:space="preserve"> Rossignol</t>
        </is>
      </c>
      <c r="BT595" s="11" t="inlineStr">
        <is>
          <t>Experience 82 Basalt</t>
        </is>
      </c>
      <c r="BU595" s="13" t="n">
        <v>168</v>
      </c>
      <c r="BV595" s="11" t="inlineStr">
        <is>
          <t xml:space="preserve"> Unisex</t>
        </is>
      </c>
      <c r="BW595" s="13" t="n">
        <v>168</v>
      </c>
      <c r="BX595" s="13" t="n">
        <v>166.7</v>
      </c>
      <c r="BY595" s="13" t="n">
        <v>128</v>
      </c>
      <c r="BZ595" s="13" t="n">
        <v>152</v>
      </c>
      <c r="CA595" s="13" t="n">
        <v>125</v>
      </c>
      <c r="CB595" s="13" t="n">
        <v>80</v>
      </c>
      <c r="CC595" s="13" t="n">
        <v>113</v>
      </c>
      <c r="CD595" s="13" t="n">
        <v>14.4</v>
      </c>
      <c r="CE595" s="13" t="n">
        <v>1742</v>
      </c>
      <c r="CF595" s="13" t="n">
        <v>0.9</v>
      </c>
      <c r="CG595" s="13" t="n">
        <v>1572</v>
      </c>
      <c r="CH595" s="13" t="n">
        <v>202</v>
      </c>
      <c r="CI595" s="13" t="n">
        <v>82</v>
      </c>
      <c r="CJ595" s="13" t="n">
        <v>47</v>
      </c>
      <c r="CK595" s="13" t="n">
        <v>257</v>
      </c>
      <c r="CL595" s="13" t="n">
        <v>13</v>
      </c>
      <c r="CM595" s="13" t="n">
        <v>132</v>
      </c>
      <c r="CN595" s="13" t="n">
        <v>0.269</v>
      </c>
      <c r="CO595" s="13" t="n">
        <v>83</v>
      </c>
      <c r="CP595" s="13" t="n">
        <v>60</v>
      </c>
      <c r="CQ595" s="13" t="n">
        <v>175</v>
      </c>
      <c r="CR595" s="13" t="n">
        <v>10</v>
      </c>
      <c r="CS595" s="13" t="n">
        <v>7.5</v>
      </c>
      <c r="CT595" s="11" t="inlineStr">
        <is>
          <t xml:space="preserve"> Other</t>
        </is>
      </c>
      <c r="CU595" s="13" t="n"/>
      <c r="CV595" s="13" t="n"/>
      <c r="CW595" s="13" t="n"/>
      <c r="CX595">
        <f>INDEX('Data_Price '!AG$2:AG$1266,MATCH(Data!$DN595,'Data_Price '!$AT$2:$AT$1266,0))</f>
        <v/>
      </c>
      <c r="CY595">
        <f>INDEX('Data_Price '!AH$2:AH$1266,MATCH(Data!$DN595,'Data_Price '!$AT$2:$AT$1266,0))</f>
        <v/>
      </c>
      <c r="CZ595">
        <f>INDEX('Data_Price '!AI$2:AI$1266,MATCH(Data!$DN595,'Data_Price '!$AT$2:$AT$1266,0))</f>
        <v/>
      </c>
      <c r="DA595">
        <f>INDEX('Data_Price '!AJ$2:AJ$1266,MATCH(Data!$DN595,'Data_Price '!$AT$2:$AT$1266,0))</f>
        <v/>
      </c>
      <c r="DB595">
        <f>INDEX('Data_Price '!AK$2:AK$1266,MATCH(Data!$DN595,'Data_Price '!$AT$2:$AT$1266,0))</f>
        <v/>
      </c>
      <c r="DC595">
        <f>INDEX('Data_Price '!AL$2:AL$1266,MATCH(Data!$DN595,'Data_Price '!$AT$2:$AT$1266,0))</f>
        <v/>
      </c>
      <c r="DD595">
        <f>INDEX('Data_Price '!AM$2:AM$1266,MATCH(Data!$DN595,'Data_Price '!$AT$2:$AT$1266,0))</f>
        <v/>
      </c>
      <c r="DE595">
        <f>INDEX('Data_Price '!AN$2:AN$1266,MATCH(Data!$DN595,'Data_Price '!$AT$2:$AT$1266,0))</f>
        <v/>
      </c>
      <c r="DF595">
        <f>INDEX('Data_Price '!AO$2:AO$1266,MATCH(Data!$DN595,'Data_Price '!$AT$2:$AT$1266,0))</f>
        <v/>
      </c>
      <c r="DG595">
        <f>INDEX('Data_Price '!AP$2:AP$1266,MATCH(Data!$DN595,'Data_Price '!$AT$2:$AT$1266,0))</f>
        <v/>
      </c>
      <c r="DH595">
        <f>INDEX('Data_Price '!AQ$2:AQ$1266,MATCH(Data!$DN595,'Data_Price '!$AT$2:$AT$1266,0))</f>
        <v/>
      </c>
      <c r="DI595">
        <f>INDEX('Data_Price '!AR$2:AR$1266,MATCH(Data!$DN595,'Data_Price '!$AT$2:$AT$1266,0))</f>
        <v/>
      </c>
      <c r="DJ595" s="138">
        <f>DA595</f>
        <v/>
      </c>
      <c r="DK595" s="138">
        <f>DE595</f>
        <v/>
      </c>
      <c r="DL595" s="138">
        <f>DI595</f>
        <v/>
      </c>
      <c r="DM595" s="303">
        <f>IF(LEFT(BT595,1)=" ",RIGHT(BT595,LEN(BT595)-1),BT595)</f>
        <v/>
      </c>
      <c r="DN595" s="138">
        <f>_xlfn.CONCAT(BS595,DM595,BU595,BV595)</f>
        <v/>
      </c>
      <c r="DO595" s="307" t="n"/>
    </row>
    <row r="596" ht="15.6" customHeight="1" s="184">
      <c r="B596" s="303">
        <f t="array" ref="B596">IF(OR(ISERROR(K596:P596)),FALSE,TRUE)</f>
        <v/>
      </c>
      <c r="C596" s="60">
        <f>OR(BR596=Driver!$G$50,Data!BR571=Driver!$H$50)</f>
        <v/>
      </c>
      <c r="D596" s="60">
        <f>OR(BV596=Driver!$G$51,BV596=Driver!$H$51)</f>
        <v/>
      </c>
      <c r="E596" s="60">
        <f>AND(BX596&gt;Driver!$F$54,BX596&lt;Driver!$G$54)</f>
        <v/>
      </c>
      <c r="F596" s="60">
        <f>CL596&gt;Driver!$F$56</f>
        <v/>
      </c>
      <c r="G596" s="60">
        <f>AND(CB596&gt;Driver!$F$55,CB596&lt;Driver!$G$55)</f>
        <v/>
      </c>
      <c r="H596" s="60">
        <f>AND(B596:G596)</f>
        <v/>
      </c>
      <c r="I596" s="60">
        <f>COUNTIFS($H$9:$H$1273,TRUE,$BT$9:$BT$1273,BT596)</f>
        <v/>
      </c>
      <c r="J596" s="60">
        <f t="array" ref="J596">NOT(OR(($H$9:$H$1273=TRUE)*($I$9:$I$1273&gt;0)*($BT$9:$BT$1273=BT596)*($K$9:$K$1273&gt;K596)))</f>
        <v/>
      </c>
      <c r="K596" s="108">
        <f>IFERROR(1-AVERAGE(X596:Y596),"")</f>
        <v/>
      </c>
      <c r="L596" s="108">
        <f>1-X596</f>
        <v/>
      </c>
      <c r="M596" s="108">
        <f>1-Y596</f>
        <v/>
      </c>
      <c r="N596" s="108">
        <f>1-Z596</f>
        <v/>
      </c>
      <c r="O596" s="108">
        <f>1-AA596</f>
        <v/>
      </c>
      <c r="P596" s="108">
        <f>1-AB596</f>
        <v/>
      </c>
      <c r="Q596" s="108" t="n"/>
      <c r="R596" s="108" t="n"/>
      <c r="S596" s="108">
        <f>1-AE596</f>
        <v/>
      </c>
      <c r="T596" s="108">
        <f>1-AF596</f>
        <v/>
      </c>
      <c r="U596" s="108">
        <f>1-AG596</f>
        <v/>
      </c>
      <c r="V596" s="108">
        <f>1-AH596</f>
        <v/>
      </c>
      <c r="W596" s="108">
        <f>1-AI596</f>
        <v/>
      </c>
      <c r="X596" s="108">
        <f>ABS(AJ596-AJ$1)</f>
        <v/>
      </c>
      <c r="Y596" s="108">
        <f>AVERAGE(Z596:AB596)</f>
        <v/>
      </c>
      <c r="Z596" s="108">
        <f>ABS(AL596-AL$1)</f>
        <v/>
      </c>
      <c r="AA596" s="108">
        <f>ABS(AM596-AM$1)</f>
        <v/>
      </c>
      <c r="AB596" s="108">
        <f>ABS(AN596-AN$1)</f>
        <v/>
      </c>
      <c r="AC596" s="108" t="n"/>
      <c r="AD596" s="108" t="n"/>
      <c r="AE596" s="108">
        <f>ABS(AQ$1-AQ596)</f>
        <v/>
      </c>
      <c r="AF596" s="108">
        <f>ABS(AR$1-AR596)</f>
        <v/>
      </c>
      <c r="AG596" s="108">
        <f>ABS(AS$1-AS596)</f>
        <v/>
      </c>
      <c r="AH596" s="108">
        <f>ABS(AT$1-AT596)</f>
        <v/>
      </c>
      <c r="AI596" s="108">
        <f>ABS(AU$1-AU596)</f>
        <v/>
      </c>
      <c r="AJ596" s="108">
        <f>(AV596-Driver!$K$179)/(Driver!$L$179-Driver!$K$179)</f>
        <v/>
      </c>
      <c r="AK596" s="108">
        <f>(AW596-Driver!$K$180)/(Driver!$L$180-Driver!$K$180)</f>
        <v/>
      </c>
      <c r="AL596" s="108">
        <f>(AX596-Driver!$K$181)/(Driver!$L$181-Driver!$K$181)</f>
        <v/>
      </c>
      <c r="AM596" s="108">
        <f>(AY596-Driver!$K$182)/(Driver!$L$182-Driver!$K$182)</f>
        <v/>
      </c>
      <c r="AN596" s="108">
        <f>(AZ596-Driver!$K$183)/(Driver!$L$183-Driver!$K$183)</f>
        <v/>
      </c>
      <c r="AO596" s="108" t="n"/>
      <c r="AP596" s="108" t="n"/>
      <c r="AQ596" s="108">
        <f>(BC596-Driver!$K$188)/(Driver!$L$188-Driver!$K$188)</f>
        <v/>
      </c>
      <c r="AR596" s="108">
        <f>MIN((BD596-Driver!$K$189)/(Driver!$L$189-Driver!$K$189),100%)</f>
        <v/>
      </c>
      <c r="AS596" s="108">
        <f>(BE596-Driver!$K$190)/(Driver!$L$190-Driver!$K$190)</f>
        <v/>
      </c>
      <c r="AT596" s="108">
        <f>(BF596-Driver!$K$191)/(Driver!$L$191-Driver!$K$191)</f>
        <v/>
      </c>
      <c r="AU596" s="108">
        <f>(BG596-Driver!$K$192)/(Driver!$L$192-Driver!$K$192)</f>
        <v/>
      </c>
      <c r="AV596" s="105">
        <f>IFERROR(BM596*BJ596^1/4,"")</f>
        <v/>
      </c>
      <c r="AW596" s="105">
        <f>IFERROR(SUM(AX596:AZ596),"")</f>
        <v/>
      </c>
      <c r="AX596" s="105">
        <f>IFERROR(BH596,"")</f>
        <v/>
      </c>
      <c r="AY596" s="105">
        <f>IFERROR(Driver!$K$19/Data!BH596/Data!BI596*Data!BK596*Data!BL596,"")</f>
        <v/>
      </c>
      <c r="AZ596" s="105">
        <f>IFERROR(BI596*BN596,"")</f>
        <v/>
      </c>
      <c r="BA596" s="105" t="n"/>
      <c r="BB596" s="105" t="n"/>
      <c r="BC596" s="105">
        <f>IFERROR(BI596*BN596*BK596/BJ596^(1/2),"")</f>
        <v/>
      </c>
      <c r="BD596" s="105">
        <f>IFERROR(BH596*BM596*BL596/BJ596/BK596,"")</f>
        <v/>
      </c>
      <c r="BE596" s="105">
        <f>IFERROR(MIN(BI596/BQ596/BP596/BO596/BH596,$BE$1),"")</f>
        <v/>
      </c>
      <c r="BF596" s="105">
        <f>IFERROR(BJ596*BO596*BP596/BK596,"")</f>
        <v/>
      </c>
      <c r="BG596" s="105">
        <f>IFERROR(1/BM596/BH596*BQ596,"")</f>
        <v/>
      </c>
      <c r="BH596" s="102">
        <f>MAX((CE596-Driver!$F$200)/(Driver!$G$200-Driver!$F$200)*$BI$1,1)</f>
        <v/>
      </c>
      <c r="BI596" s="102">
        <f>MAX($BI$1*(BY596-Driver!$F$201)/(Driver!$G$201-Driver!$F$201),1)</f>
        <v/>
      </c>
      <c r="BJ596" s="102">
        <f>(CB596-Driver!$F$206)/(Driver!$G$206-Driver!$F$206)*$BI$1</f>
        <v/>
      </c>
      <c r="BK596" s="102">
        <f>(CD596-Driver!$F$203)/(Driver!$G$203-Driver!$F$203)*$BI$1</f>
        <v/>
      </c>
      <c r="BL596" s="102">
        <f>MAX((CR596-Driver!$F$202)/(Driver!$G$202-Driver!$F$202)*$BI$1,1)</f>
        <v/>
      </c>
      <c r="BM596" s="102">
        <f>MAX((CH596-Driver!$F$204)/(Driver!$G$204-Driver!$F$204)*$BI$1,1)</f>
        <v/>
      </c>
      <c r="BN596" s="102">
        <f>(CI596-Driver!$F$205)/(Driver!$G$205-Driver!$F$205)*$BI$1</f>
        <v/>
      </c>
      <c r="BO596" s="102">
        <f>(CK596-Driver!$F$207)/(Driver!$G$207-Driver!$F$207)*$BI$1</f>
        <v/>
      </c>
      <c r="BP596" s="102">
        <f>(CM596-Driver!$F$208)/(Driver!$G$208-Driver!$F$208)*$BI$1</f>
        <v/>
      </c>
      <c r="BQ596" s="102">
        <f>(CL596-Driver!$F$209)/(Driver!$G$209-Driver!$F$209)*$BI$1</f>
        <v/>
      </c>
      <c r="BR596" s="40" t="inlineStr">
        <is>
          <t>21/22</t>
        </is>
      </c>
      <c r="BS596" s="10" t="inlineStr">
        <is>
          <t xml:space="preserve"> Fischer</t>
        </is>
      </c>
      <c r="BT596" s="11" t="inlineStr">
        <is>
          <t>Ranger 115 FR Big Stix</t>
        </is>
      </c>
      <c r="BU596" s="13" t="n">
        <v>188</v>
      </c>
      <c r="BV596" s="11" t="inlineStr">
        <is>
          <t xml:space="preserve"> Unisex</t>
        </is>
      </c>
      <c r="BW596" s="13" t="n">
        <v>188</v>
      </c>
      <c r="BX596" s="13" t="n">
        <v>186.8</v>
      </c>
      <c r="BY596" s="13" t="n">
        <v>125</v>
      </c>
      <c r="BZ596" s="13" t="n">
        <v>152</v>
      </c>
      <c r="CA596" s="13" t="n">
        <v>144</v>
      </c>
      <c r="CB596" s="13" t="n">
        <v>114</v>
      </c>
      <c r="CC596" s="13" t="n">
        <v>134</v>
      </c>
      <c r="CD596" s="13" t="n">
        <v>20.2</v>
      </c>
      <c r="CE596" s="13" t="n">
        <v>2104</v>
      </c>
      <c r="CF596" s="13" t="n">
        <v>1.1</v>
      </c>
      <c r="CG596" s="13" t="n">
        <v>2309</v>
      </c>
      <c r="CH596" s="13" t="n">
        <v>245</v>
      </c>
      <c r="CI596" s="13" t="n">
        <v>101</v>
      </c>
      <c r="CJ596" s="13" t="n">
        <v>51</v>
      </c>
      <c r="CK596" s="13" t="n">
        <v>401</v>
      </c>
      <c r="CL596" s="13" t="n">
        <v>38</v>
      </c>
      <c r="CM596" s="13" t="n">
        <v>214</v>
      </c>
      <c r="CN596" s="13" t="n">
        <v>0.738</v>
      </c>
      <c r="CO596" s="13" t="n">
        <v>173</v>
      </c>
      <c r="CP596" s="13" t="n">
        <v>175</v>
      </c>
      <c r="CQ596" s="13" t="n">
        <v>228</v>
      </c>
      <c r="CR596" s="13" t="n">
        <v>7</v>
      </c>
      <c r="CS596" s="13" t="n">
        <v>9.300000000000001</v>
      </c>
      <c r="CT596" s="11" t="inlineStr">
        <is>
          <t xml:space="preserve"> Powder</t>
        </is>
      </c>
      <c r="CU596" s="11" t="inlineStr">
        <is>
          <t xml:space="preserve"> Touring</t>
        </is>
      </c>
      <c r="CV596" s="13" t="n"/>
      <c r="CW596" s="13" t="n"/>
      <c r="CX596">
        <f>INDEX('Data_Price '!AG$2:AG$1266,MATCH(Data!$DN596,'Data_Price '!$AT$2:$AT$1266,0))</f>
        <v/>
      </c>
      <c r="CY596">
        <f>INDEX('Data_Price '!AH$2:AH$1266,MATCH(Data!$DN596,'Data_Price '!$AT$2:$AT$1266,0))</f>
        <v/>
      </c>
      <c r="CZ596">
        <f>INDEX('Data_Price '!AI$2:AI$1266,MATCH(Data!$DN596,'Data_Price '!$AT$2:$AT$1266,0))</f>
        <v/>
      </c>
      <c r="DA596">
        <f>INDEX('Data_Price '!AJ$2:AJ$1266,MATCH(Data!$DN596,'Data_Price '!$AT$2:$AT$1266,0))</f>
        <v/>
      </c>
      <c r="DB596">
        <f>INDEX('Data_Price '!AK$2:AK$1266,MATCH(Data!$DN596,'Data_Price '!$AT$2:$AT$1266,0))</f>
        <v/>
      </c>
      <c r="DC596">
        <f>INDEX('Data_Price '!AL$2:AL$1266,MATCH(Data!$DN596,'Data_Price '!$AT$2:$AT$1266,0))</f>
        <v/>
      </c>
      <c r="DD596">
        <f>INDEX('Data_Price '!AM$2:AM$1266,MATCH(Data!$DN596,'Data_Price '!$AT$2:$AT$1266,0))</f>
        <v/>
      </c>
      <c r="DE596">
        <f>INDEX('Data_Price '!AN$2:AN$1266,MATCH(Data!$DN596,'Data_Price '!$AT$2:$AT$1266,0))</f>
        <v/>
      </c>
      <c r="DF596">
        <f>INDEX('Data_Price '!AO$2:AO$1266,MATCH(Data!$DN596,'Data_Price '!$AT$2:$AT$1266,0))</f>
        <v/>
      </c>
      <c r="DG596">
        <f>INDEX('Data_Price '!AP$2:AP$1266,MATCH(Data!$DN596,'Data_Price '!$AT$2:$AT$1266,0))</f>
        <v/>
      </c>
      <c r="DH596">
        <f>INDEX('Data_Price '!AQ$2:AQ$1266,MATCH(Data!$DN596,'Data_Price '!$AT$2:$AT$1266,0))</f>
        <v/>
      </c>
      <c r="DI596">
        <f>INDEX('Data_Price '!AR$2:AR$1266,MATCH(Data!$DN596,'Data_Price '!$AT$2:$AT$1266,0))</f>
        <v/>
      </c>
      <c r="DJ596" s="138">
        <f>DA596</f>
        <v/>
      </c>
      <c r="DK596" s="138">
        <f>DE596</f>
        <v/>
      </c>
      <c r="DL596" s="138">
        <f>DI596</f>
        <v/>
      </c>
      <c r="DM596" s="303">
        <f>IF(LEFT(BT596,1)=" ",RIGHT(BT596,LEN(BT596)-1),BT596)</f>
        <v/>
      </c>
      <c r="DN596" s="138">
        <f>_xlfn.CONCAT(BS596,DM596,BU596,BV596)</f>
        <v/>
      </c>
      <c r="DO596" s="307" t="n"/>
    </row>
    <row r="597" ht="15.6" customHeight="1" s="184">
      <c r="B597" s="303">
        <f t="array" ref="B597">IF(OR(ISERROR(K597:P597)),FALSE,TRUE)</f>
        <v/>
      </c>
      <c r="C597" s="60">
        <f>OR(BR597=Driver!$G$50,Data!BR170=Driver!$H$50)</f>
        <v/>
      </c>
      <c r="D597" s="60">
        <f>OR(BV597=Driver!$G$51,BV597=Driver!$H$51)</f>
        <v/>
      </c>
      <c r="E597" s="60">
        <f>AND(BX597&gt;Driver!$F$54,BX597&lt;Driver!$G$54)</f>
        <v/>
      </c>
      <c r="F597" s="60">
        <f>CL597&gt;Driver!$F$56</f>
        <v/>
      </c>
      <c r="G597" s="60">
        <f>AND(CB597&gt;Driver!$F$55,CB597&lt;Driver!$G$55)</f>
        <v/>
      </c>
      <c r="H597" s="60">
        <f>AND(B597:G597)</f>
        <v/>
      </c>
      <c r="I597" s="60">
        <f>COUNTIFS($H$9:$H$1273,TRUE,$BT$9:$BT$1273,BT597)</f>
        <v/>
      </c>
      <c r="J597" s="60">
        <f t="array" ref="J597">NOT(OR(($H$9:$H$1273=TRUE)*($I$9:$I$1273&gt;0)*($BT$9:$BT$1273=BT597)*($K$9:$K$1273&gt;K597)))</f>
        <v/>
      </c>
      <c r="K597" s="108">
        <f>IFERROR(1-AVERAGE(X597:Y597),"")</f>
        <v/>
      </c>
      <c r="L597" s="108">
        <f>1-X597</f>
        <v/>
      </c>
      <c r="M597" s="108">
        <f>1-Y597</f>
        <v/>
      </c>
      <c r="N597" s="108">
        <f>1-Z597</f>
        <v/>
      </c>
      <c r="O597" s="108">
        <f>1-AA597</f>
        <v/>
      </c>
      <c r="P597" s="108">
        <f>1-AB597</f>
        <v/>
      </c>
      <c r="Q597" s="108" t="n"/>
      <c r="R597" s="108" t="n"/>
      <c r="S597" s="108">
        <f>1-AE597</f>
        <v/>
      </c>
      <c r="T597" s="108">
        <f>1-AF597</f>
        <v/>
      </c>
      <c r="U597" s="108">
        <f>1-AG597</f>
        <v/>
      </c>
      <c r="V597" s="108">
        <f>1-AH597</f>
        <v/>
      </c>
      <c r="W597" s="108">
        <f>1-AI597</f>
        <v/>
      </c>
      <c r="X597" s="108">
        <f>ABS(AJ597-AJ$1)</f>
        <v/>
      </c>
      <c r="Y597" s="108">
        <f>AVERAGE(Z597:AB597)</f>
        <v/>
      </c>
      <c r="Z597" s="108">
        <f>ABS(AL597-AL$1)</f>
        <v/>
      </c>
      <c r="AA597" s="108">
        <f>ABS(AM597-AM$1)</f>
        <v/>
      </c>
      <c r="AB597" s="108">
        <f>ABS(AN597-AN$1)</f>
        <v/>
      </c>
      <c r="AC597" s="108" t="n"/>
      <c r="AD597" s="108" t="n"/>
      <c r="AE597" s="108">
        <f>ABS(AQ$1-AQ597)</f>
        <v/>
      </c>
      <c r="AF597" s="108">
        <f>ABS(AR$1-AR597)</f>
        <v/>
      </c>
      <c r="AG597" s="108">
        <f>ABS(AS$1-AS597)</f>
        <v/>
      </c>
      <c r="AH597" s="108">
        <f>ABS(AT$1-AT597)</f>
        <v/>
      </c>
      <c r="AI597" s="108">
        <f>ABS(AU$1-AU597)</f>
        <v/>
      </c>
      <c r="AJ597" s="108">
        <f>(AV597-Driver!$K$179)/(Driver!$L$179-Driver!$K$179)</f>
        <v/>
      </c>
      <c r="AK597" s="108">
        <f>(AW597-Driver!$K$180)/(Driver!$L$180-Driver!$K$180)</f>
        <v/>
      </c>
      <c r="AL597" s="108">
        <f>(AX597-Driver!$K$181)/(Driver!$L$181-Driver!$K$181)</f>
        <v/>
      </c>
      <c r="AM597" s="108">
        <f>(AY597-Driver!$K$182)/(Driver!$L$182-Driver!$K$182)</f>
        <v/>
      </c>
      <c r="AN597" s="108">
        <f>(AZ597-Driver!$K$183)/(Driver!$L$183-Driver!$K$183)</f>
        <v/>
      </c>
      <c r="AO597" s="108" t="n"/>
      <c r="AP597" s="108" t="n"/>
      <c r="AQ597" s="108">
        <f>(BC597-Driver!$K$188)/(Driver!$L$188-Driver!$K$188)</f>
        <v/>
      </c>
      <c r="AR597" s="108">
        <f>MIN((BD597-Driver!$K$189)/(Driver!$L$189-Driver!$K$189),100%)</f>
        <v/>
      </c>
      <c r="AS597" s="108">
        <f>(BE597-Driver!$K$190)/(Driver!$L$190-Driver!$K$190)</f>
        <v/>
      </c>
      <c r="AT597" s="108">
        <f>(BF597-Driver!$K$191)/(Driver!$L$191-Driver!$K$191)</f>
        <v/>
      </c>
      <c r="AU597" s="108">
        <f>(BG597-Driver!$K$192)/(Driver!$L$192-Driver!$K$192)</f>
        <v/>
      </c>
      <c r="AV597" s="105">
        <f>IFERROR(BM597*BJ597^1/4,"")</f>
        <v/>
      </c>
      <c r="AW597" s="105">
        <f>IFERROR(SUM(AX597:AZ597),"")</f>
        <v/>
      </c>
      <c r="AX597" s="105">
        <f>IFERROR(BH597,"")</f>
        <v/>
      </c>
      <c r="AY597" s="105">
        <f>IFERROR(Driver!$K$19/Data!BH597/Data!BI597*Data!BK597*Data!BL597,"")</f>
        <v/>
      </c>
      <c r="AZ597" s="105">
        <f>IFERROR(BI597*BN597,"")</f>
        <v/>
      </c>
      <c r="BA597" s="105" t="n"/>
      <c r="BB597" s="105" t="n"/>
      <c r="BC597" s="105">
        <f>IFERROR(BI597*BN597*BK597/BJ597^(1/2),"")</f>
        <v/>
      </c>
      <c r="BD597" s="105">
        <f>IFERROR(BH597*BM597*BL597/BJ597/BK597,"")</f>
        <v/>
      </c>
      <c r="BE597" s="105">
        <f>IFERROR(MIN(BI597/BQ597/BP597/BO597/BH597,$BE$1),"")</f>
        <v/>
      </c>
      <c r="BF597" s="105">
        <f>IFERROR(BJ597*BO597*BP597/BK597,"")</f>
        <v/>
      </c>
      <c r="BG597" s="105">
        <f>IFERROR(1/BM597/BH597*BQ597,"")</f>
        <v/>
      </c>
      <c r="BH597" s="102">
        <f>MAX((CE597-Driver!$F$200)/(Driver!$G$200-Driver!$F$200)*$BI$1,1)</f>
        <v/>
      </c>
      <c r="BI597" s="102">
        <f>MAX($BI$1*(BY597-Driver!$F$201)/(Driver!$G$201-Driver!$F$201),1)</f>
        <v/>
      </c>
      <c r="BJ597" s="102">
        <f>(CB597-Driver!$F$206)/(Driver!$G$206-Driver!$F$206)*$BI$1</f>
        <v/>
      </c>
      <c r="BK597" s="102">
        <f>(CD597-Driver!$F$203)/(Driver!$G$203-Driver!$F$203)*$BI$1</f>
        <v/>
      </c>
      <c r="BL597" s="102">
        <f>MAX((CR597-Driver!$F$202)/(Driver!$G$202-Driver!$F$202)*$BI$1,1)</f>
        <v/>
      </c>
      <c r="BM597" s="102">
        <f>MAX((CH597-Driver!$F$204)/(Driver!$G$204-Driver!$F$204)*$BI$1,1)</f>
        <v/>
      </c>
      <c r="BN597" s="102">
        <f>(CI597-Driver!$F$205)/(Driver!$G$205-Driver!$F$205)*$BI$1</f>
        <v/>
      </c>
      <c r="BO597" s="102">
        <f>(CK597-Driver!$F$207)/(Driver!$G$207-Driver!$F$207)*$BI$1</f>
        <v/>
      </c>
      <c r="BP597" s="102">
        <f>(CM597-Driver!$F$208)/(Driver!$G$208-Driver!$F$208)*$BI$1</f>
        <v/>
      </c>
      <c r="BQ597" s="102">
        <f>(CL597-Driver!$F$209)/(Driver!$G$209-Driver!$F$209)*$BI$1</f>
        <v/>
      </c>
      <c r="BR597" s="40" t="inlineStr">
        <is>
          <t>21/22</t>
        </is>
      </c>
      <c r="BS597" s="10" t="inlineStr">
        <is>
          <t xml:space="preserve"> Atomic</t>
        </is>
      </c>
      <c r="BT597" s="11" t="inlineStr">
        <is>
          <t>Maverick 95 Ti</t>
        </is>
      </c>
      <c r="BU597" s="13" t="n">
        <v>172</v>
      </c>
      <c r="BV597" s="11" t="inlineStr">
        <is>
          <t xml:space="preserve"> Unisex</t>
        </is>
      </c>
      <c r="BW597" s="13" t="n">
        <v>172</v>
      </c>
      <c r="BX597" s="13" t="n">
        <v>171.3</v>
      </c>
      <c r="BY597" s="13" t="n">
        <v>122</v>
      </c>
      <c r="BZ597" s="13" t="n">
        <v>141</v>
      </c>
      <c r="CA597" s="13" t="n">
        <v>126</v>
      </c>
      <c r="CB597" s="13" t="n">
        <v>93</v>
      </c>
      <c r="CC597" s="13" t="n">
        <v>111</v>
      </c>
      <c r="CD597" s="13" t="n">
        <v>17.7</v>
      </c>
      <c r="CE597" s="13" t="n">
        <v>1699</v>
      </c>
      <c r="CF597" s="13" t="n">
        <v>1.04</v>
      </c>
      <c r="CG597" s="13" t="n">
        <v>1768</v>
      </c>
      <c r="CH597" s="13" t="n">
        <v>203</v>
      </c>
      <c r="CI597" s="13" t="n">
        <v>144</v>
      </c>
      <c r="CJ597" s="13" t="n">
        <v>55</v>
      </c>
      <c r="CK597" s="13" t="n">
        <v>298</v>
      </c>
      <c r="CL597" s="13" t="n">
        <v>15</v>
      </c>
      <c r="CM597" s="13" t="n">
        <v>197</v>
      </c>
      <c r="CN597" s="13" t="n">
        <v>0.267</v>
      </c>
      <c r="CO597" s="13" t="n">
        <v>171</v>
      </c>
      <c r="CP597" s="13" t="n">
        <v>136</v>
      </c>
      <c r="CQ597" s="13" t="n">
        <v>127</v>
      </c>
      <c r="CR597" s="13" t="n">
        <v>7</v>
      </c>
      <c r="CS597" s="13" t="n">
        <v>8.9</v>
      </c>
      <c r="CT597" s="11" t="inlineStr">
        <is>
          <t xml:space="preserve"> Resort Freeride</t>
        </is>
      </c>
      <c r="CU597" s="13" t="n"/>
      <c r="CV597" s="13" t="n"/>
      <c r="CW597" s="13" t="n"/>
      <c r="CX597">
        <f>INDEX('Data_Price '!AG$2:AG$1266,MATCH(Data!$DN597,'Data_Price '!$AT$2:$AT$1266,0))</f>
        <v/>
      </c>
      <c r="CY597">
        <f>INDEX('Data_Price '!AH$2:AH$1266,MATCH(Data!$DN597,'Data_Price '!$AT$2:$AT$1266,0))</f>
        <v/>
      </c>
      <c r="CZ597">
        <f>INDEX('Data_Price '!AI$2:AI$1266,MATCH(Data!$DN597,'Data_Price '!$AT$2:$AT$1266,0))</f>
        <v/>
      </c>
      <c r="DA597">
        <f>INDEX('Data_Price '!AJ$2:AJ$1266,MATCH(Data!$DN597,'Data_Price '!$AT$2:$AT$1266,0))</f>
        <v/>
      </c>
      <c r="DB597">
        <f>INDEX('Data_Price '!AK$2:AK$1266,MATCH(Data!$DN597,'Data_Price '!$AT$2:$AT$1266,0))</f>
        <v/>
      </c>
      <c r="DC597">
        <f>INDEX('Data_Price '!AL$2:AL$1266,MATCH(Data!$DN597,'Data_Price '!$AT$2:$AT$1266,0))</f>
        <v/>
      </c>
      <c r="DD597">
        <f>INDEX('Data_Price '!AM$2:AM$1266,MATCH(Data!$DN597,'Data_Price '!$AT$2:$AT$1266,0))</f>
        <v/>
      </c>
      <c r="DE597">
        <f>INDEX('Data_Price '!AN$2:AN$1266,MATCH(Data!$DN597,'Data_Price '!$AT$2:$AT$1266,0))</f>
        <v/>
      </c>
      <c r="DF597">
        <f>INDEX('Data_Price '!AO$2:AO$1266,MATCH(Data!$DN597,'Data_Price '!$AT$2:$AT$1266,0))</f>
        <v/>
      </c>
      <c r="DG597">
        <f>INDEX('Data_Price '!AP$2:AP$1266,MATCH(Data!$DN597,'Data_Price '!$AT$2:$AT$1266,0))</f>
        <v/>
      </c>
      <c r="DH597">
        <f>INDEX('Data_Price '!AQ$2:AQ$1266,MATCH(Data!$DN597,'Data_Price '!$AT$2:$AT$1266,0))</f>
        <v/>
      </c>
      <c r="DI597">
        <f>INDEX('Data_Price '!AR$2:AR$1266,MATCH(Data!$DN597,'Data_Price '!$AT$2:$AT$1266,0))</f>
        <v/>
      </c>
      <c r="DJ597" s="138">
        <f>DA597</f>
        <v/>
      </c>
      <c r="DK597" s="138">
        <f>DE597</f>
        <v/>
      </c>
      <c r="DL597" s="138">
        <f>DI597</f>
        <v/>
      </c>
      <c r="DM597" s="303">
        <f>IF(LEFT(BT597,1)=" ",RIGHT(BT597,LEN(BT597)-1),BT597)</f>
        <v/>
      </c>
      <c r="DN597" s="138">
        <f>_xlfn.CONCAT(BS597,DM597,BU597,BV597)</f>
        <v/>
      </c>
      <c r="DO597" s="307" t="inlineStr">
        <is>
          <t>https://images.evo.com/imgp/250/219394/902840/atomic-maverick-95-ti-skis-2023-.jpg</t>
        </is>
      </c>
    </row>
    <row r="598" ht="15.6" customHeight="1" s="184">
      <c r="B598" s="303">
        <f t="array" ref="B598">IF(OR(ISERROR(K598:P598)),FALSE,TRUE)</f>
        <v/>
      </c>
      <c r="C598" s="60">
        <f>OR(BR598=Driver!$G$50,Data!BR326=Driver!$H$50)</f>
        <v/>
      </c>
      <c r="D598" s="60">
        <f>OR(BV598=Driver!$G$51,BV598=Driver!$H$51)</f>
        <v/>
      </c>
      <c r="E598" s="60">
        <f>AND(BX598&gt;Driver!$F$54,BX598&lt;Driver!$G$54)</f>
        <v/>
      </c>
      <c r="F598" s="60">
        <f>CL598&gt;Driver!$F$56</f>
        <v/>
      </c>
      <c r="G598" s="60">
        <f>AND(CB598&gt;Driver!$F$55,CB598&lt;Driver!$G$55)</f>
        <v/>
      </c>
      <c r="H598" s="60">
        <f>AND(B598:G598)</f>
        <v/>
      </c>
      <c r="I598" s="60">
        <f>COUNTIFS($H$9:$H$1273,TRUE,$BT$9:$BT$1273,BT598)</f>
        <v/>
      </c>
      <c r="J598" s="60">
        <f t="array" ref="J598">NOT(OR(($H$9:$H$1273=TRUE)*($I$9:$I$1273&gt;0)*($BT$9:$BT$1273=BT598)*($K$9:$K$1273&gt;K598)))</f>
        <v/>
      </c>
      <c r="K598" s="108">
        <f>IFERROR(1-AVERAGE(X598:Y598),"")</f>
        <v/>
      </c>
      <c r="L598" s="108">
        <f>1-X598</f>
        <v/>
      </c>
      <c r="M598" s="108">
        <f>1-Y598</f>
        <v/>
      </c>
      <c r="N598" s="108">
        <f>1-Z598</f>
        <v/>
      </c>
      <c r="O598" s="108">
        <f>1-AA598</f>
        <v/>
      </c>
      <c r="P598" s="108">
        <f>1-AB598</f>
        <v/>
      </c>
      <c r="Q598" s="108" t="n"/>
      <c r="R598" s="108" t="n"/>
      <c r="S598" s="108">
        <f>1-AE598</f>
        <v/>
      </c>
      <c r="T598" s="108">
        <f>1-AF598</f>
        <v/>
      </c>
      <c r="U598" s="108">
        <f>1-AG598</f>
        <v/>
      </c>
      <c r="V598" s="108">
        <f>1-AH598</f>
        <v/>
      </c>
      <c r="W598" s="108">
        <f>1-AI598</f>
        <v/>
      </c>
      <c r="X598" s="108">
        <f>ABS(AJ598-AJ$1)</f>
        <v/>
      </c>
      <c r="Y598" s="108">
        <f>AVERAGE(Z598:AB598)</f>
        <v/>
      </c>
      <c r="Z598" s="108">
        <f>ABS(AL598-AL$1)</f>
        <v/>
      </c>
      <c r="AA598" s="108">
        <f>ABS(AM598-AM$1)</f>
        <v/>
      </c>
      <c r="AB598" s="108">
        <f>ABS(AN598-AN$1)</f>
        <v/>
      </c>
      <c r="AC598" s="108" t="n"/>
      <c r="AD598" s="108" t="n"/>
      <c r="AE598" s="108">
        <f>ABS(AQ$1-AQ598)</f>
        <v/>
      </c>
      <c r="AF598" s="108">
        <f>ABS(AR$1-AR598)</f>
        <v/>
      </c>
      <c r="AG598" s="108">
        <f>ABS(AS$1-AS598)</f>
        <v/>
      </c>
      <c r="AH598" s="108">
        <f>ABS(AT$1-AT598)</f>
        <v/>
      </c>
      <c r="AI598" s="108">
        <f>ABS(AU$1-AU598)</f>
        <v/>
      </c>
      <c r="AJ598" s="108">
        <f>(AV598-Driver!$K$179)/(Driver!$L$179-Driver!$K$179)</f>
        <v/>
      </c>
      <c r="AK598" s="108">
        <f>(AW598-Driver!$K$180)/(Driver!$L$180-Driver!$K$180)</f>
        <v/>
      </c>
      <c r="AL598" s="108">
        <f>(AX598-Driver!$K$181)/(Driver!$L$181-Driver!$K$181)</f>
        <v/>
      </c>
      <c r="AM598" s="108">
        <f>(AY598-Driver!$K$182)/(Driver!$L$182-Driver!$K$182)</f>
        <v/>
      </c>
      <c r="AN598" s="108">
        <f>(AZ598-Driver!$K$183)/(Driver!$L$183-Driver!$K$183)</f>
        <v/>
      </c>
      <c r="AO598" s="108" t="n"/>
      <c r="AP598" s="108" t="n"/>
      <c r="AQ598" s="108">
        <f>(BC598-Driver!$K$188)/(Driver!$L$188-Driver!$K$188)</f>
        <v/>
      </c>
      <c r="AR598" s="108">
        <f>MIN((BD598-Driver!$K$189)/(Driver!$L$189-Driver!$K$189),100%)</f>
        <v/>
      </c>
      <c r="AS598" s="108">
        <f>(BE598-Driver!$K$190)/(Driver!$L$190-Driver!$K$190)</f>
        <v/>
      </c>
      <c r="AT598" s="108">
        <f>(BF598-Driver!$K$191)/(Driver!$L$191-Driver!$K$191)</f>
        <v/>
      </c>
      <c r="AU598" s="108">
        <f>(BG598-Driver!$K$192)/(Driver!$L$192-Driver!$K$192)</f>
        <v/>
      </c>
      <c r="AV598" s="105">
        <f>IFERROR(BM598*BJ598^1/4,"")</f>
        <v/>
      </c>
      <c r="AW598" s="105">
        <f>IFERROR(SUM(AX598:AZ598),"")</f>
        <v/>
      </c>
      <c r="AX598" s="105">
        <f>IFERROR(BH598,"")</f>
        <v/>
      </c>
      <c r="AY598" s="105">
        <f>IFERROR(Driver!$K$19/Data!BH598/Data!BI598*Data!BK598*Data!BL598,"")</f>
        <v/>
      </c>
      <c r="AZ598" s="105">
        <f>IFERROR(BI598*BN598,"")</f>
        <v/>
      </c>
      <c r="BA598" s="105" t="n"/>
      <c r="BB598" s="105" t="n"/>
      <c r="BC598" s="105">
        <f>IFERROR(BI598*BN598*BK598/BJ598^(1/2),"")</f>
        <v/>
      </c>
      <c r="BD598" s="105">
        <f>IFERROR(BH598*BM598*BL598/BJ598/BK598,"")</f>
        <v/>
      </c>
      <c r="BE598" s="105">
        <f>IFERROR(MIN(BI598/BQ598/BP598/BO598/BH598,$BE$1),"")</f>
        <v/>
      </c>
      <c r="BF598" s="105">
        <f>IFERROR(BJ598*BO598*BP598/BK598,"")</f>
        <v/>
      </c>
      <c r="BG598" s="105">
        <f>IFERROR(1/BM598/BH598*BQ598,"")</f>
        <v/>
      </c>
      <c r="BH598" s="102">
        <f>MAX((CE598-Driver!$F$200)/(Driver!$G$200-Driver!$F$200)*$BI$1,1)</f>
        <v/>
      </c>
      <c r="BI598" s="102">
        <f>MAX($BI$1*(BY598-Driver!$F$201)/(Driver!$G$201-Driver!$F$201),1)</f>
        <v/>
      </c>
      <c r="BJ598" s="102">
        <f>(CB598-Driver!$F$206)/(Driver!$G$206-Driver!$F$206)*$BI$1</f>
        <v/>
      </c>
      <c r="BK598" s="102">
        <f>(CD598-Driver!$F$203)/(Driver!$G$203-Driver!$F$203)*$BI$1</f>
        <v/>
      </c>
      <c r="BL598" s="102">
        <f>MAX((CR598-Driver!$F$202)/(Driver!$G$202-Driver!$F$202)*$BI$1,1)</f>
        <v/>
      </c>
      <c r="BM598" s="102">
        <f>MAX((CH598-Driver!$F$204)/(Driver!$G$204-Driver!$F$204)*$BI$1,1)</f>
        <v/>
      </c>
      <c r="BN598" s="102">
        <f>(CI598-Driver!$F$205)/(Driver!$G$205-Driver!$F$205)*$BI$1</f>
        <v/>
      </c>
      <c r="BO598" s="102">
        <f>(CK598-Driver!$F$207)/(Driver!$G$207-Driver!$F$207)*$BI$1</f>
        <v/>
      </c>
      <c r="BP598" s="102">
        <f>(CM598-Driver!$F$208)/(Driver!$G$208-Driver!$F$208)*$BI$1</f>
        <v/>
      </c>
      <c r="BQ598" s="102">
        <f>(CL598-Driver!$F$209)/(Driver!$G$209-Driver!$F$209)*$BI$1</f>
        <v/>
      </c>
      <c r="BR598" s="40" t="inlineStr">
        <is>
          <t>21/22</t>
        </is>
      </c>
      <c r="BS598" s="10" t="inlineStr">
        <is>
          <t xml:space="preserve"> Blizzard</t>
        </is>
      </c>
      <c r="BT598" s="11" t="inlineStr">
        <is>
          <t>Zero G 85</t>
        </is>
      </c>
      <c r="BU598" s="13" t="n">
        <v>178</v>
      </c>
      <c r="BV598" s="11" t="inlineStr">
        <is>
          <t xml:space="preserve"> Unisex</t>
        </is>
      </c>
      <c r="BW598" s="13" t="n">
        <v>178</v>
      </c>
      <c r="BX598" s="13" t="n">
        <v>176</v>
      </c>
      <c r="BY598" s="13" t="n">
        <v>132</v>
      </c>
      <c r="BZ598" s="13" t="n">
        <v>149</v>
      </c>
      <c r="CA598" s="13" t="n">
        <v>117</v>
      </c>
      <c r="CB598" s="13" t="n">
        <v>83</v>
      </c>
      <c r="CC598" s="13" t="n">
        <v>100</v>
      </c>
      <c r="CD598" s="13" t="n">
        <v>22</v>
      </c>
      <c r="CE598" s="13" t="n">
        <v>1151</v>
      </c>
      <c r="CF598" s="13" t="n">
        <v>1.42</v>
      </c>
      <c r="CG598" s="13" t="n">
        <v>1635</v>
      </c>
      <c r="CH598" s="13" t="n">
        <v>231</v>
      </c>
      <c r="CI598" s="13" t="n">
        <v>78</v>
      </c>
      <c r="CJ598" s="13" t="n">
        <v>54</v>
      </c>
      <c r="CK598" s="13" t="n">
        <v>252</v>
      </c>
      <c r="CL598" s="13" t="n">
        <v>10</v>
      </c>
      <c r="CM598" s="13" t="n">
        <v>184</v>
      </c>
      <c r="CN598" s="13" t="n">
        <v>0.176</v>
      </c>
      <c r="CO598" s="13" t="n">
        <v>133</v>
      </c>
      <c r="CP598" s="13" t="n">
        <v>132</v>
      </c>
      <c r="CQ598" s="13" t="n">
        <v>118</v>
      </c>
      <c r="CR598" s="13" t="n">
        <v>4</v>
      </c>
      <c r="CS598" s="13" t="n">
        <v>10.5</v>
      </c>
      <c r="CT598" s="11" t="inlineStr">
        <is>
          <t xml:space="preserve"> Touring</t>
        </is>
      </c>
      <c r="CU598" s="11" t="inlineStr">
        <is>
          <t xml:space="preserve"> Ultralight Touring</t>
        </is>
      </c>
      <c r="CV598" s="13" t="n"/>
      <c r="CW598" s="13" t="n"/>
      <c r="CX598">
        <f>INDEX('Data_Price '!AG$2:AG$1266,MATCH(Data!$DN598,'Data_Price '!$AT$2:$AT$1266,0))</f>
        <v/>
      </c>
      <c r="CY598">
        <f>INDEX('Data_Price '!AH$2:AH$1266,MATCH(Data!$DN598,'Data_Price '!$AT$2:$AT$1266,0))</f>
        <v/>
      </c>
      <c r="CZ598">
        <f>INDEX('Data_Price '!AI$2:AI$1266,MATCH(Data!$DN598,'Data_Price '!$AT$2:$AT$1266,0))</f>
        <v/>
      </c>
      <c r="DA598">
        <f>INDEX('Data_Price '!AJ$2:AJ$1266,MATCH(Data!$DN598,'Data_Price '!$AT$2:$AT$1266,0))</f>
        <v/>
      </c>
      <c r="DB598">
        <f>INDEX('Data_Price '!AK$2:AK$1266,MATCH(Data!$DN598,'Data_Price '!$AT$2:$AT$1266,0))</f>
        <v/>
      </c>
      <c r="DC598">
        <f>INDEX('Data_Price '!AL$2:AL$1266,MATCH(Data!$DN598,'Data_Price '!$AT$2:$AT$1266,0))</f>
        <v/>
      </c>
      <c r="DD598">
        <f>INDEX('Data_Price '!AM$2:AM$1266,MATCH(Data!$DN598,'Data_Price '!$AT$2:$AT$1266,0))</f>
        <v/>
      </c>
      <c r="DE598">
        <f>INDEX('Data_Price '!AN$2:AN$1266,MATCH(Data!$DN598,'Data_Price '!$AT$2:$AT$1266,0))</f>
        <v/>
      </c>
      <c r="DF598">
        <f>INDEX('Data_Price '!AO$2:AO$1266,MATCH(Data!$DN598,'Data_Price '!$AT$2:$AT$1266,0))</f>
        <v/>
      </c>
      <c r="DG598">
        <f>INDEX('Data_Price '!AP$2:AP$1266,MATCH(Data!$DN598,'Data_Price '!$AT$2:$AT$1266,0))</f>
        <v/>
      </c>
      <c r="DH598">
        <f>INDEX('Data_Price '!AQ$2:AQ$1266,MATCH(Data!$DN598,'Data_Price '!$AT$2:$AT$1266,0))</f>
        <v/>
      </c>
      <c r="DI598">
        <f>INDEX('Data_Price '!AR$2:AR$1266,MATCH(Data!$DN598,'Data_Price '!$AT$2:$AT$1266,0))</f>
        <v/>
      </c>
      <c r="DJ598" s="138">
        <f>DA598</f>
        <v/>
      </c>
      <c r="DK598" s="138">
        <f>DE598</f>
        <v/>
      </c>
      <c r="DL598" s="138">
        <f>DI598</f>
        <v/>
      </c>
      <c r="DM598" s="303">
        <f>IF(LEFT(BT598,1)=" ",RIGHT(BT598,LEN(BT598)-1),BT598)</f>
        <v/>
      </c>
      <c r="DN598" s="138">
        <f>_xlfn.CONCAT(BS598,DM598,BU598,BV598)</f>
        <v/>
      </c>
      <c r="DO598" s="307" t="n"/>
    </row>
    <row r="599" ht="15.6" customHeight="1" s="184">
      <c r="B599" s="303">
        <f t="array" ref="B599">IF(OR(ISERROR(K599:P599)),FALSE,TRUE)</f>
        <v/>
      </c>
      <c r="C599" s="60">
        <f>OR(BR599=Driver!$G$50,Data!BR954=Driver!$H$50)</f>
        <v/>
      </c>
      <c r="D599" s="60">
        <f>OR(BV599=Driver!$G$51,BV599=Driver!$H$51)</f>
        <v/>
      </c>
      <c r="E599" s="60">
        <f>AND(BX599&gt;Driver!$F$54,BX599&lt;Driver!$G$54)</f>
        <v/>
      </c>
      <c r="F599" s="60">
        <f>CL599&gt;Driver!$F$56</f>
        <v/>
      </c>
      <c r="G599" s="60">
        <f>AND(CB599&gt;Driver!$F$55,CB599&lt;Driver!$G$55)</f>
        <v/>
      </c>
      <c r="H599" s="60">
        <f>AND(B599:G599)</f>
        <v/>
      </c>
      <c r="I599" s="60">
        <f>COUNTIFS($H$9:$H$1273,TRUE,$BT$9:$BT$1273,BT599)</f>
        <v/>
      </c>
      <c r="J599" s="60">
        <f t="array" ref="J599">NOT(OR(($H$9:$H$1273=TRUE)*($I$9:$I$1273&gt;0)*($BT$9:$BT$1273=BT599)*($K$9:$K$1273&gt;K599)))</f>
        <v/>
      </c>
      <c r="K599" s="108">
        <f>IFERROR(1-AVERAGE(X599:Y599),"")</f>
        <v/>
      </c>
      <c r="L599" s="108">
        <f>1-X599</f>
        <v/>
      </c>
      <c r="M599" s="108">
        <f>1-Y599</f>
        <v/>
      </c>
      <c r="N599" s="108">
        <f>1-Z599</f>
        <v/>
      </c>
      <c r="O599" s="108">
        <f>1-AA599</f>
        <v/>
      </c>
      <c r="P599" s="108">
        <f>1-AB599</f>
        <v/>
      </c>
      <c r="Q599" s="108" t="n"/>
      <c r="R599" s="108" t="n"/>
      <c r="S599" s="108">
        <f>1-AE599</f>
        <v/>
      </c>
      <c r="T599" s="108">
        <f>1-AF599</f>
        <v/>
      </c>
      <c r="U599" s="108">
        <f>1-AG599</f>
        <v/>
      </c>
      <c r="V599" s="108">
        <f>1-AH599</f>
        <v/>
      </c>
      <c r="W599" s="108">
        <f>1-AI599</f>
        <v/>
      </c>
      <c r="X599" s="108">
        <f>ABS(AJ599-AJ$1)</f>
        <v/>
      </c>
      <c r="Y599" s="108">
        <f>AVERAGE(Z599:AB599)</f>
        <v/>
      </c>
      <c r="Z599" s="108">
        <f>ABS(AL599-AL$1)</f>
        <v/>
      </c>
      <c r="AA599" s="108">
        <f>ABS(AM599-AM$1)</f>
        <v/>
      </c>
      <c r="AB599" s="108">
        <f>ABS(AN599-AN$1)</f>
        <v/>
      </c>
      <c r="AC599" s="108" t="n"/>
      <c r="AD599" s="108" t="n"/>
      <c r="AE599" s="108">
        <f>ABS(AQ$1-AQ599)</f>
        <v/>
      </c>
      <c r="AF599" s="108">
        <f>ABS(AR$1-AR599)</f>
        <v/>
      </c>
      <c r="AG599" s="108">
        <f>ABS(AS$1-AS599)</f>
        <v/>
      </c>
      <c r="AH599" s="108">
        <f>ABS(AT$1-AT599)</f>
        <v/>
      </c>
      <c r="AI599" s="108">
        <f>ABS(AU$1-AU599)</f>
        <v/>
      </c>
      <c r="AJ599" s="108">
        <f>(AV599-Driver!$K$179)/(Driver!$L$179-Driver!$K$179)</f>
        <v/>
      </c>
      <c r="AK599" s="108">
        <f>(AW599-Driver!$K$180)/(Driver!$L$180-Driver!$K$180)</f>
        <v/>
      </c>
      <c r="AL599" s="108">
        <f>(AX599-Driver!$K$181)/(Driver!$L$181-Driver!$K$181)</f>
        <v/>
      </c>
      <c r="AM599" s="108">
        <f>(AY599-Driver!$K$182)/(Driver!$L$182-Driver!$K$182)</f>
        <v/>
      </c>
      <c r="AN599" s="108">
        <f>(AZ599-Driver!$K$183)/(Driver!$L$183-Driver!$K$183)</f>
        <v/>
      </c>
      <c r="AO599" s="108" t="n"/>
      <c r="AP599" s="108" t="n"/>
      <c r="AQ599" s="108">
        <f>(BC599-Driver!$K$188)/(Driver!$L$188-Driver!$K$188)</f>
        <v/>
      </c>
      <c r="AR599" s="108">
        <f>MIN((BD599-Driver!$K$189)/(Driver!$L$189-Driver!$K$189),100%)</f>
        <v/>
      </c>
      <c r="AS599" s="108">
        <f>(BE599-Driver!$K$190)/(Driver!$L$190-Driver!$K$190)</f>
        <v/>
      </c>
      <c r="AT599" s="108">
        <f>(BF599-Driver!$K$191)/(Driver!$L$191-Driver!$K$191)</f>
        <v/>
      </c>
      <c r="AU599" s="108">
        <f>(BG599-Driver!$K$192)/(Driver!$L$192-Driver!$K$192)</f>
        <v/>
      </c>
      <c r="AV599" s="105">
        <f>IFERROR(BM599*BJ599^1/4,"")</f>
        <v/>
      </c>
      <c r="AW599" s="105">
        <f>IFERROR(SUM(AX599:AZ599),"")</f>
        <v/>
      </c>
      <c r="AX599" s="105">
        <f>IFERROR(BH599,"")</f>
        <v/>
      </c>
      <c r="AY599" s="105">
        <f>IFERROR(Driver!$K$19/Data!BH599/Data!BI599*Data!BK599*Data!BL599,"")</f>
        <v/>
      </c>
      <c r="AZ599" s="105">
        <f>IFERROR(BI599*BN599,"")</f>
        <v/>
      </c>
      <c r="BA599" s="105" t="n"/>
      <c r="BB599" s="105" t="n"/>
      <c r="BC599" s="105">
        <f>IFERROR(BI599*BN599*BK599/BJ599^(1/2),"")</f>
        <v/>
      </c>
      <c r="BD599" s="105">
        <f>IFERROR(BH599*BM599*BL599/BJ599/BK599,"")</f>
        <v/>
      </c>
      <c r="BE599" s="105">
        <f>IFERROR(MIN(BI599/BQ599/BP599/BO599/BH599,$BE$1),"")</f>
        <v/>
      </c>
      <c r="BF599" s="105">
        <f>IFERROR(BJ599*BO599*BP599/BK599,"")</f>
        <v/>
      </c>
      <c r="BG599" s="105">
        <f>IFERROR(1/BM599/BH599*BQ599,"")</f>
        <v/>
      </c>
      <c r="BH599" s="102">
        <f>MAX((CE599-Driver!$F$200)/(Driver!$G$200-Driver!$F$200)*$BI$1,1)</f>
        <v/>
      </c>
      <c r="BI599" s="102">
        <f>MAX($BI$1*(BY599-Driver!$F$201)/(Driver!$G$201-Driver!$F$201),1)</f>
        <v/>
      </c>
      <c r="BJ599" s="102">
        <f>(CB599-Driver!$F$206)/(Driver!$G$206-Driver!$F$206)*$BI$1</f>
        <v/>
      </c>
      <c r="BK599" s="102">
        <f>(CD599-Driver!$F$203)/(Driver!$G$203-Driver!$F$203)*$BI$1</f>
        <v/>
      </c>
      <c r="BL599" s="102">
        <f>MAX((CR599-Driver!$F$202)/(Driver!$G$202-Driver!$F$202)*$BI$1,1)</f>
        <v/>
      </c>
      <c r="BM599" s="102">
        <f>MAX((CH599-Driver!$F$204)/(Driver!$G$204-Driver!$F$204)*$BI$1,1)</f>
        <v/>
      </c>
      <c r="BN599" s="102">
        <f>(CI599-Driver!$F$205)/(Driver!$G$205-Driver!$F$205)*$BI$1</f>
        <v/>
      </c>
      <c r="BO599" s="102">
        <f>(CK599-Driver!$F$207)/(Driver!$G$207-Driver!$F$207)*$BI$1</f>
        <v/>
      </c>
      <c r="BP599" s="102">
        <f>(CM599-Driver!$F$208)/(Driver!$G$208-Driver!$F$208)*$BI$1</f>
        <v/>
      </c>
      <c r="BQ599" s="102">
        <f>(CL599-Driver!$F$209)/(Driver!$G$209-Driver!$F$209)*$BI$1</f>
        <v/>
      </c>
      <c r="BR599" s="40" t="inlineStr">
        <is>
          <t>21/22</t>
        </is>
      </c>
      <c r="BS599" s="10" t="inlineStr">
        <is>
          <t xml:space="preserve"> Raccoon</t>
        </is>
      </c>
      <c r="BT599" s="11" t="inlineStr">
        <is>
          <t>Chinook 99</t>
        </is>
      </c>
      <c r="BU599" s="13" t="n">
        <v>188</v>
      </c>
      <c r="BV599" s="11" t="inlineStr">
        <is>
          <t xml:space="preserve"> Unisex</t>
        </is>
      </c>
      <c r="BW599" s="13" t="n">
        <v>188</v>
      </c>
      <c r="BX599" s="13" t="n">
        <v>186.1</v>
      </c>
      <c r="BY599" s="13" t="n">
        <v>127</v>
      </c>
      <c r="BZ599" s="13" t="n">
        <v>154</v>
      </c>
      <c r="CA599" s="13" t="n">
        <v>130</v>
      </c>
      <c r="CB599" s="13" t="n">
        <v>98</v>
      </c>
      <c r="CC599" s="13" t="n">
        <v>120</v>
      </c>
      <c r="CD599" s="13" t="n">
        <v>20.8</v>
      </c>
      <c r="CE599" s="13" t="n">
        <v>1601</v>
      </c>
      <c r="CF599" s="13" t="n">
        <v>1.27</v>
      </c>
      <c r="CG599" s="13" t="n">
        <v>2033</v>
      </c>
      <c r="CH599" s="13" t="n">
        <v>217</v>
      </c>
      <c r="CI599" s="13" t="n">
        <v>51</v>
      </c>
      <c r="CJ599" s="13" t="n">
        <v>69</v>
      </c>
      <c r="CK599" s="13" t="n">
        <v>370</v>
      </c>
      <c r="CL599" s="13" t="n">
        <v>29</v>
      </c>
      <c r="CM599" s="13" t="n">
        <v>217</v>
      </c>
      <c r="CN599" s="13" t="n">
        <v>0.413</v>
      </c>
      <c r="CO599" s="13" t="n">
        <v>185</v>
      </c>
      <c r="CP599" s="13" t="n">
        <v>137</v>
      </c>
      <c r="CQ599" s="13" t="n">
        <v>185</v>
      </c>
      <c r="CR599" s="13" t="n">
        <v>7</v>
      </c>
      <c r="CS599" s="13" t="n">
        <v>11.8</v>
      </c>
      <c r="CT599" s="11" t="inlineStr">
        <is>
          <t xml:space="preserve"> Resort Freeride</t>
        </is>
      </c>
      <c r="CU599" s="11" t="inlineStr">
        <is>
          <t xml:space="preserve"> Touring</t>
        </is>
      </c>
      <c r="CV599" s="11" t="inlineStr">
        <is>
          <t xml:space="preserve"> Ultralight Touring</t>
        </is>
      </c>
      <c r="CW599" s="13" t="n"/>
      <c r="CX599">
        <f>INDEX('Data_Price '!AG$2:AG$1266,MATCH(Data!$DN599,'Data_Price '!$AT$2:$AT$1266,0))</f>
        <v/>
      </c>
      <c r="CY599">
        <f>INDEX('Data_Price '!AH$2:AH$1266,MATCH(Data!$DN599,'Data_Price '!$AT$2:$AT$1266,0))</f>
        <v/>
      </c>
      <c r="CZ599">
        <f>INDEX('Data_Price '!AI$2:AI$1266,MATCH(Data!$DN599,'Data_Price '!$AT$2:$AT$1266,0))</f>
        <v/>
      </c>
      <c r="DA599">
        <f>INDEX('Data_Price '!AJ$2:AJ$1266,MATCH(Data!$DN599,'Data_Price '!$AT$2:$AT$1266,0))</f>
        <v/>
      </c>
      <c r="DB599">
        <f>INDEX('Data_Price '!AK$2:AK$1266,MATCH(Data!$DN599,'Data_Price '!$AT$2:$AT$1266,0))</f>
        <v/>
      </c>
      <c r="DC599">
        <f>INDEX('Data_Price '!AL$2:AL$1266,MATCH(Data!$DN599,'Data_Price '!$AT$2:$AT$1266,0))</f>
        <v/>
      </c>
      <c r="DD599">
        <f>INDEX('Data_Price '!AM$2:AM$1266,MATCH(Data!$DN599,'Data_Price '!$AT$2:$AT$1266,0))</f>
        <v/>
      </c>
      <c r="DE599">
        <f>INDEX('Data_Price '!AN$2:AN$1266,MATCH(Data!$DN599,'Data_Price '!$AT$2:$AT$1266,0))</f>
        <v/>
      </c>
      <c r="DF599">
        <f>INDEX('Data_Price '!AO$2:AO$1266,MATCH(Data!$DN599,'Data_Price '!$AT$2:$AT$1266,0))</f>
        <v/>
      </c>
      <c r="DG599">
        <f>INDEX('Data_Price '!AP$2:AP$1266,MATCH(Data!$DN599,'Data_Price '!$AT$2:$AT$1266,0))</f>
        <v/>
      </c>
      <c r="DH599">
        <f>INDEX('Data_Price '!AQ$2:AQ$1266,MATCH(Data!$DN599,'Data_Price '!$AT$2:$AT$1266,0))</f>
        <v/>
      </c>
      <c r="DI599">
        <f>INDEX('Data_Price '!AR$2:AR$1266,MATCH(Data!$DN599,'Data_Price '!$AT$2:$AT$1266,0))</f>
        <v/>
      </c>
      <c r="DJ599" s="138">
        <f>DA599</f>
        <v/>
      </c>
      <c r="DK599" s="138">
        <f>DE599</f>
        <v/>
      </c>
      <c r="DL599" s="138">
        <f>DI599</f>
        <v/>
      </c>
      <c r="DM599" s="303">
        <f>IF(LEFT(BT599,1)=" ",RIGHT(BT599,LEN(BT599)-1),BT599)</f>
        <v/>
      </c>
      <c r="DN599" s="138">
        <f>_xlfn.CONCAT(BS599,DM599,BU599,BV599)</f>
        <v/>
      </c>
      <c r="DO599" s="307" t="n"/>
    </row>
    <row r="600" ht="15.6" customHeight="1" s="184">
      <c r="B600" s="303">
        <f t="array" ref="B600">IF(OR(ISERROR(K600:P600)),FALSE,TRUE)</f>
        <v/>
      </c>
      <c r="C600" s="60">
        <f>OR(BR600=Driver!$G$50,Data!BR1264=Driver!$H$50)</f>
        <v/>
      </c>
      <c r="D600" s="60">
        <f>OR(BV600=Driver!$G$51,BV600=Driver!$H$51)</f>
        <v/>
      </c>
      <c r="E600" s="60">
        <f>AND(BX600&gt;Driver!$F$54,BX600&lt;Driver!$G$54)</f>
        <v/>
      </c>
      <c r="F600" s="60">
        <f>CL600&gt;Driver!$F$56</f>
        <v/>
      </c>
      <c r="G600" s="60">
        <f>AND(CB600&gt;Driver!$F$55,CB600&lt;Driver!$G$55)</f>
        <v/>
      </c>
      <c r="H600" s="60">
        <f>AND(B600:G600)</f>
        <v/>
      </c>
      <c r="I600" s="60">
        <f>COUNTIFS($H$9:$H$1273,TRUE,$BT$9:$BT$1273,BT600)</f>
        <v/>
      </c>
      <c r="J600" s="60">
        <f t="array" ref="J600">NOT(OR(($H$9:$H$1273=TRUE)*($I$9:$I$1273&gt;0)*($BT$9:$BT$1273=BT600)*($K$9:$K$1273&gt;K600)))</f>
        <v/>
      </c>
      <c r="K600" s="108">
        <f>IFERROR(1-AVERAGE(X600:Y600),"")</f>
        <v/>
      </c>
      <c r="L600" s="108">
        <f>1-X600</f>
        <v/>
      </c>
      <c r="M600" s="108">
        <f>1-Y600</f>
        <v/>
      </c>
      <c r="N600" s="108">
        <f>1-Z600</f>
        <v/>
      </c>
      <c r="O600" s="108">
        <f>1-AA600</f>
        <v/>
      </c>
      <c r="P600" s="108">
        <f>1-AB600</f>
        <v/>
      </c>
      <c r="Q600" s="108" t="n"/>
      <c r="R600" s="108" t="n"/>
      <c r="S600" s="108">
        <f>1-AE600</f>
        <v/>
      </c>
      <c r="T600" s="108">
        <f>1-AF600</f>
        <v/>
      </c>
      <c r="U600" s="108">
        <f>1-AG600</f>
        <v/>
      </c>
      <c r="V600" s="108">
        <f>1-AH600</f>
        <v/>
      </c>
      <c r="W600" s="108">
        <f>1-AI600</f>
        <v/>
      </c>
      <c r="X600" s="108">
        <f>ABS(AJ600-AJ$1)</f>
        <v/>
      </c>
      <c r="Y600" s="108">
        <f>AVERAGE(Z600:AB600)</f>
        <v/>
      </c>
      <c r="Z600" s="108">
        <f>ABS(AL600-AL$1)</f>
        <v/>
      </c>
      <c r="AA600" s="108">
        <f>ABS(AM600-AM$1)</f>
        <v/>
      </c>
      <c r="AB600" s="108">
        <f>ABS(AN600-AN$1)</f>
        <v/>
      </c>
      <c r="AC600" s="108" t="n"/>
      <c r="AD600" s="108" t="n"/>
      <c r="AE600" s="108">
        <f>ABS(AQ$1-AQ600)</f>
        <v/>
      </c>
      <c r="AF600" s="108">
        <f>ABS(AR$1-AR600)</f>
        <v/>
      </c>
      <c r="AG600" s="108">
        <f>ABS(AS$1-AS600)</f>
        <v/>
      </c>
      <c r="AH600" s="108">
        <f>ABS(AT$1-AT600)</f>
        <v/>
      </c>
      <c r="AI600" s="108">
        <f>ABS(AU$1-AU600)</f>
        <v/>
      </c>
      <c r="AJ600" s="108">
        <f>(AV600-Driver!$K$179)/(Driver!$L$179-Driver!$K$179)</f>
        <v/>
      </c>
      <c r="AK600" s="108">
        <f>(AW600-Driver!$K$180)/(Driver!$L$180-Driver!$K$180)</f>
        <v/>
      </c>
      <c r="AL600" s="108">
        <f>(AX600-Driver!$K$181)/(Driver!$L$181-Driver!$K$181)</f>
        <v/>
      </c>
      <c r="AM600" s="108">
        <f>(AY600-Driver!$K$182)/(Driver!$L$182-Driver!$K$182)</f>
        <v/>
      </c>
      <c r="AN600" s="108">
        <f>(AZ600-Driver!$K$183)/(Driver!$L$183-Driver!$K$183)</f>
        <v/>
      </c>
      <c r="AO600" s="108" t="n"/>
      <c r="AP600" s="108" t="n"/>
      <c r="AQ600" s="108">
        <f>(BC600-Driver!$K$188)/(Driver!$L$188-Driver!$K$188)</f>
        <v/>
      </c>
      <c r="AR600" s="108">
        <f>MIN((BD600-Driver!$K$189)/(Driver!$L$189-Driver!$K$189),100%)</f>
        <v/>
      </c>
      <c r="AS600" s="108">
        <f>(BE600-Driver!$K$190)/(Driver!$L$190-Driver!$K$190)</f>
        <v/>
      </c>
      <c r="AT600" s="108">
        <f>(BF600-Driver!$K$191)/(Driver!$L$191-Driver!$K$191)</f>
        <v/>
      </c>
      <c r="AU600" s="108">
        <f>(BG600-Driver!$K$192)/(Driver!$L$192-Driver!$K$192)</f>
        <v/>
      </c>
      <c r="AV600" s="105">
        <f>IFERROR(BM600*BJ600^1/4,"")</f>
        <v/>
      </c>
      <c r="AW600" s="105">
        <f>IFERROR(SUM(AX600:AZ600),"")</f>
        <v/>
      </c>
      <c r="AX600" s="105">
        <f>IFERROR(BH600,"")</f>
        <v/>
      </c>
      <c r="AY600" s="105">
        <f>IFERROR(Driver!$K$19/Data!BH600/Data!BI600*Data!BK600*Data!BL600,"")</f>
        <v/>
      </c>
      <c r="AZ600" s="105">
        <f>IFERROR(BI600*BN600,"")</f>
        <v/>
      </c>
      <c r="BA600" s="105" t="n"/>
      <c r="BB600" s="105" t="n"/>
      <c r="BC600" s="105">
        <f>IFERROR(BI600*BN600*BK600/BJ600^(1/2),"")</f>
        <v/>
      </c>
      <c r="BD600" s="105">
        <f>IFERROR(BH600*BM600*BL600/BJ600/BK600,"")</f>
        <v/>
      </c>
      <c r="BE600" s="105">
        <f>IFERROR(MIN(BI600/BQ600/BP600/BO600/BH600,$BE$1),"")</f>
        <v/>
      </c>
      <c r="BF600" s="105">
        <f>IFERROR(BJ600*BO600*BP600/BK600,"")</f>
        <v/>
      </c>
      <c r="BG600" s="105">
        <f>IFERROR(1/BM600/BH600*BQ600,"")</f>
        <v/>
      </c>
      <c r="BH600" s="102">
        <f>MAX((CE600-Driver!$F$200)/(Driver!$G$200-Driver!$F$200)*$BI$1,1)</f>
        <v/>
      </c>
      <c r="BI600" s="102">
        <f>MAX($BI$1*(BY600-Driver!$F$201)/(Driver!$G$201-Driver!$F$201),1)</f>
        <v/>
      </c>
      <c r="BJ600" s="102">
        <f>(CB600-Driver!$F$206)/(Driver!$G$206-Driver!$F$206)*$BI$1</f>
        <v/>
      </c>
      <c r="BK600" s="102">
        <f>(CD600-Driver!$F$203)/(Driver!$G$203-Driver!$F$203)*$BI$1</f>
        <v/>
      </c>
      <c r="BL600" s="102">
        <f>MAX((CR600-Driver!$F$202)/(Driver!$G$202-Driver!$F$202)*$BI$1,1)</f>
        <v/>
      </c>
      <c r="BM600" s="102">
        <f>MAX((CH600-Driver!$F$204)/(Driver!$G$204-Driver!$F$204)*$BI$1,1)</f>
        <v/>
      </c>
      <c r="BN600" s="102">
        <f>(CI600-Driver!$F$205)/(Driver!$G$205-Driver!$F$205)*$BI$1</f>
        <v/>
      </c>
      <c r="BO600" s="102">
        <f>(CK600-Driver!$F$207)/(Driver!$G$207-Driver!$F$207)*$BI$1</f>
        <v/>
      </c>
      <c r="BP600" s="102">
        <f>(CM600-Driver!$F$208)/(Driver!$G$208-Driver!$F$208)*$BI$1</f>
        <v/>
      </c>
      <c r="BQ600" s="102">
        <f>(CL600-Driver!$F$209)/(Driver!$G$209-Driver!$F$209)*$BI$1</f>
        <v/>
      </c>
      <c r="BR600" s="40" t="inlineStr">
        <is>
          <t>21/22</t>
        </is>
      </c>
      <c r="BS600" s="10" t="inlineStr">
        <is>
          <t xml:space="preserve"> Völkl</t>
        </is>
      </c>
      <c r="BT600" s="11" t="inlineStr">
        <is>
          <t>Secret 96</t>
        </is>
      </c>
      <c r="BU600" s="13" t="n">
        <v>163</v>
      </c>
      <c r="BV600" s="11" t="inlineStr">
        <is>
          <t xml:space="preserve"> Women's</t>
        </is>
      </c>
      <c r="BW600" s="13" t="n">
        <v>163</v>
      </c>
      <c r="BX600" s="13" t="n">
        <v>163.2</v>
      </c>
      <c r="BY600" s="13" t="n">
        <v>122</v>
      </c>
      <c r="BZ600" s="13" t="n">
        <v>140</v>
      </c>
      <c r="CA600" s="13" t="n">
        <v>135</v>
      </c>
      <c r="CB600" s="13" t="n">
        <v>95</v>
      </c>
      <c r="CC600" s="13" t="n">
        <v>118</v>
      </c>
      <c r="CD600" s="13" t="n">
        <v>14.8</v>
      </c>
      <c r="CE600" s="13" t="n">
        <v>1809</v>
      </c>
      <c r="CF600" s="13" t="n">
        <v>0.97</v>
      </c>
      <c r="CG600" s="13" t="n">
        <v>1757</v>
      </c>
      <c r="CH600" s="13" t="n">
        <v>180</v>
      </c>
      <c r="CI600" s="13" t="n">
        <v>125</v>
      </c>
      <c r="CJ600" s="13" t="n">
        <v>43</v>
      </c>
      <c r="CK600" s="13" t="n">
        <v>245</v>
      </c>
      <c r="CL600" s="13" t="n">
        <v>16</v>
      </c>
      <c r="CM600" s="13" t="n">
        <v>171</v>
      </c>
      <c r="CN600" s="13" t="n">
        <v>0.362</v>
      </c>
      <c r="CO600" s="13" t="n">
        <v>130</v>
      </c>
      <c r="CP600" s="13" t="n">
        <v>103</v>
      </c>
      <c r="CQ600" s="13" t="n">
        <v>115</v>
      </c>
      <c r="CR600" s="13" t="n">
        <v>4</v>
      </c>
      <c r="CS600" s="13" t="n">
        <v>11.6</v>
      </c>
      <c r="CT600" s="11" t="inlineStr">
        <is>
          <t xml:space="preserve"> Resort Freeride</t>
        </is>
      </c>
      <c r="CU600" s="13" t="n"/>
      <c r="CV600" s="13" t="n"/>
      <c r="CW600" s="13" t="n"/>
      <c r="CX600">
        <f>INDEX('Data_Price '!AG$2:AG$1266,MATCH(Data!$DN600,'Data_Price '!$AT$2:$AT$1266,0))</f>
        <v/>
      </c>
      <c r="CY600">
        <f>INDEX('Data_Price '!AH$2:AH$1266,MATCH(Data!$DN600,'Data_Price '!$AT$2:$AT$1266,0))</f>
        <v/>
      </c>
      <c r="CZ600">
        <f>INDEX('Data_Price '!AI$2:AI$1266,MATCH(Data!$DN600,'Data_Price '!$AT$2:$AT$1266,0))</f>
        <v/>
      </c>
      <c r="DA600">
        <f>INDEX('Data_Price '!AJ$2:AJ$1266,MATCH(Data!$DN600,'Data_Price '!$AT$2:$AT$1266,0))</f>
        <v/>
      </c>
      <c r="DB600">
        <f>INDEX('Data_Price '!AK$2:AK$1266,MATCH(Data!$DN600,'Data_Price '!$AT$2:$AT$1266,0))</f>
        <v/>
      </c>
      <c r="DC600">
        <f>INDEX('Data_Price '!AL$2:AL$1266,MATCH(Data!$DN600,'Data_Price '!$AT$2:$AT$1266,0))</f>
        <v/>
      </c>
      <c r="DD600">
        <f>INDEX('Data_Price '!AM$2:AM$1266,MATCH(Data!$DN600,'Data_Price '!$AT$2:$AT$1266,0))</f>
        <v/>
      </c>
      <c r="DE600">
        <f>INDEX('Data_Price '!AN$2:AN$1266,MATCH(Data!$DN600,'Data_Price '!$AT$2:$AT$1266,0))</f>
        <v/>
      </c>
      <c r="DF600">
        <f>INDEX('Data_Price '!AO$2:AO$1266,MATCH(Data!$DN600,'Data_Price '!$AT$2:$AT$1266,0))</f>
        <v/>
      </c>
      <c r="DG600">
        <f>INDEX('Data_Price '!AP$2:AP$1266,MATCH(Data!$DN600,'Data_Price '!$AT$2:$AT$1266,0))</f>
        <v/>
      </c>
      <c r="DH600">
        <f>INDEX('Data_Price '!AQ$2:AQ$1266,MATCH(Data!$DN600,'Data_Price '!$AT$2:$AT$1266,0))</f>
        <v/>
      </c>
      <c r="DI600">
        <f>INDEX('Data_Price '!AR$2:AR$1266,MATCH(Data!$DN600,'Data_Price '!$AT$2:$AT$1266,0))</f>
        <v/>
      </c>
      <c r="DJ600" s="138">
        <f>DA600</f>
        <v/>
      </c>
      <c r="DK600" s="138">
        <f>DE600</f>
        <v/>
      </c>
      <c r="DL600" s="138">
        <f>DI600</f>
        <v/>
      </c>
      <c r="DM600" s="303">
        <f>IF(LEFT(BT600,1)=" ",RIGHT(BT600,LEN(BT600)-1),BT600)</f>
        <v/>
      </c>
      <c r="DN600" s="138">
        <f>_xlfn.CONCAT(BS600,DM600,BU600,BV600)</f>
        <v/>
      </c>
      <c r="DO600" s="307" t="inlineStr">
        <is>
          <t>https://images.evo.com/imgp/250/201961/795907/volkl-secret-96-skis-women-s-2022-.jpg</t>
        </is>
      </c>
    </row>
    <row r="601" ht="15.6" customHeight="1" s="184">
      <c r="B601" s="303">
        <f t="array" ref="B601">IF(OR(ISERROR(K601:P601)),FALSE,TRUE)</f>
        <v/>
      </c>
      <c r="C601" s="60">
        <f>OR(BR601=Driver!$G$50,Data!BR1073=Driver!$H$50)</f>
        <v/>
      </c>
      <c r="D601" s="60">
        <f>OR(BV601=Driver!$G$51,BV601=Driver!$H$51)</f>
        <v/>
      </c>
      <c r="E601" s="60">
        <f>AND(BX601&gt;Driver!$F$54,BX601&lt;Driver!$G$54)</f>
        <v/>
      </c>
      <c r="F601" s="60">
        <f>CL601&gt;Driver!$F$56</f>
        <v/>
      </c>
      <c r="G601" s="60">
        <f>AND(CB601&gt;Driver!$F$55,CB601&lt;Driver!$G$55)</f>
        <v/>
      </c>
      <c r="H601" s="60">
        <f>AND(B601:G601)</f>
        <v/>
      </c>
      <c r="I601" s="60">
        <f>COUNTIFS($H$9:$H$1273,TRUE,$BT$9:$BT$1273,BT601)</f>
        <v/>
      </c>
      <c r="J601" s="60">
        <f t="array" ref="J601">NOT(OR(($H$9:$H$1273=TRUE)*($I$9:$I$1273&gt;0)*($BT$9:$BT$1273=BT601)*($K$9:$K$1273&gt;K601)))</f>
        <v/>
      </c>
      <c r="K601" s="108">
        <f>IFERROR(1-AVERAGE(X601:Y601),"")</f>
        <v/>
      </c>
      <c r="L601" s="108">
        <f>1-X601</f>
        <v/>
      </c>
      <c r="M601" s="108">
        <f>1-Y601</f>
        <v/>
      </c>
      <c r="N601" s="108">
        <f>1-Z601</f>
        <v/>
      </c>
      <c r="O601" s="108">
        <f>1-AA601</f>
        <v/>
      </c>
      <c r="P601" s="108">
        <f>1-AB601</f>
        <v/>
      </c>
      <c r="Q601" s="108" t="n"/>
      <c r="R601" s="108" t="n"/>
      <c r="S601" s="108">
        <f>1-AE601</f>
        <v/>
      </c>
      <c r="T601" s="108">
        <f>1-AF601</f>
        <v/>
      </c>
      <c r="U601" s="108">
        <f>1-AG601</f>
        <v/>
      </c>
      <c r="V601" s="108">
        <f>1-AH601</f>
        <v/>
      </c>
      <c r="W601" s="108">
        <f>1-AI601</f>
        <v/>
      </c>
      <c r="X601" s="108">
        <f>ABS(AJ601-AJ$1)</f>
        <v/>
      </c>
      <c r="Y601" s="108">
        <f>AVERAGE(Z601:AB601)</f>
        <v/>
      </c>
      <c r="Z601" s="108">
        <f>ABS(AL601-AL$1)</f>
        <v/>
      </c>
      <c r="AA601" s="108">
        <f>ABS(AM601-AM$1)</f>
        <v/>
      </c>
      <c r="AB601" s="108">
        <f>ABS(AN601-AN$1)</f>
        <v/>
      </c>
      <c r="AC601" s="108" t="n"/>
      <c r="AD601" s="108" t="n"/>
      <c r="AE601" s="108">
        <f>ABS(AQ$1-AQ601)</f>
        <v/>
      </c>
      <c r="AF601" s="108">
        <f>ABS(AR$1-AR601)</f>
        <v/>
      </c>
      <c r="AG601" s="108">
        <f>ABS(AS$1-AS601)</f>
        <v/>
      </c>
      <c r="AH601" s="108">
        <f>ABS(AT$1-AT601)</f>
        <v/>
      </c>
      <c r="AI601" s="108">
        <f>ABS(AU$1-AU601)</f>
        <v/>
      </c>
      <c r="AJ601" s="108">
        <f>(AV601-Driver!$K$179)/(Driver!$L$179-Driver!$K$179)</f>
        <v/>
      </c>
      <c r="AK601" s="108">
        <f>(AW601-Driver!$K$180)/(Driver!$L$180-Driver!$K$180)</f>
        <v/>
      </c>
      <c r="AL601" s="108">
        <f>(AX601-Driver!$K$181)/(Driver!$L$181-Driver!$K$181)</f>
        <v/>
      </c>
      <c r="AM601" s="108">
        <f>(AY601-Driver!$K$182)/(Driver!$L$182-Driver!$K$182)</f>
        <v/>
      </c>
      <c r="AN601" s="108">
        <f>(AZ601-Driver!$K$183)/(Driver!$L$183-Driver!$K$183)</f>
        <v/>
      </c>
      <c r="AO601" s="108" t="n"/>
      <c r="AP601" s="108" t="n"/>
      <c r="AQ601" s="108">
        <f>(BC601-Driver!$K$188)/(Driver!$L$188-Driver!$K$188)</f>
        <v/>
      </c>
      <c r="AR601" s="108">
        <f>MIN((BD601-Driver!$K$189)/(Driver!$L$189-Driver!$K$189),100%)</f>
        <v/>
      </c>
      <c r="AS601" s="108">
        <f>(BE601-Driver!$K$190)/(Driver!$L$190-Driver!$K$190)</f>
        <v/>
      </c>
      <c r="AT601" s="108">
        <f>(BF601-Driver!$K$191)/(Driver!$L$191-Driver!$K$191)</f>
        <v/>
      </c>
      <c r="AU601" s="108">
        <f>(BG601-Driver!$K$192)/(Driver!$L$192-Driver!$K$192)</f>
        <v/>
      </c>
      <c r="AV601" s="105">
        <f>IFERROR(BM601*BJ601^1/4,"")</f>
        <v/>
      </c>
      <c r="AW601" s="105">
        <f>IFERROR(SUM(AX601:AZ601),"")</f>
        <v/>
      </c>
      <c r="AX601" s="105">
        <f>IFERROR(BH601,"")</f>
        <v/>
      </c>
      <c r="AY601" s="105">
        <f>IFERROR(Driver!$K$19/Data!BH601/Data!BI601*Data!BK601*Data!BL601,"")</f>
        <v/>
      </c>
      <c r="AZ601" s="105">
        <f>IFERROR(BI601*BN601,"")</f>
        <v/>
      </c>
      <c r="BA601" s="105" t="n"/>
      <c r="BB601" s="105" t="n"/>
      <c r="BC601" s="105">
        <f>IFERROR(BI601*BN601*BK601/BJ601^(1/2),"")</f>
        <v/>
      </c>
      <c r="BD601" s="105">
        <f>IFERROR(BH601*BM601*BL601/BJ601/BK601,"")</f>
        <v/>
      </c>
      <c r="BE601" s="105">
        <f>IFERROR(MIN(BI601/BQ601/BP601/BO601/BH601,$BE$1),"")</f>
        <v/>
      </c>
      <c r="BF601" s="105">
        <f>IFERROR(BJ601*BO601*BP601/BK601,"")</f>
        <v/>
      </c>
      <c r="BG601" s="105">
        <f>IFERROR(1/BM601/BH601*BQ601,"")</f>
        <v/>
      </c>
      <c r="BH601" s="102">
        <f>MAX((CE601-Driver!$F$200)/(Driver!$G$200-Driver!$F$200)*$BI$1,1)</f>
        <v/>
      </c>
      <c r="BI601" s="102">
        <f>MAX($BI$1*(BY601-Driver!$F$201)/(Driver!$G$201-Driver!$F$201),1)</f>
        <v/>
      </c>
      <c r="BJ601" s="102">
        <f>(CB601-Driver!$F$206)/(Driver!$G$206-Driver!$F$206)*$BI$1</f>
        <v/>
      </c>
      <c r="BK601" s="102">
        <f>(CD601-Driver!$F$203)/(Driver!$G$203-Driver!$F$203)*$BI$1</f>
        <v/>
      </c>
      <c r="BL601" s="102">
        <f>MAX((CR601-Driver!$F$202)/(Driver!$G$202-Driver!$F$202)*$BI$1,1)</f>
        <v/>
      </c>
      <c r="BM601" s="102">
        <f>MAX((CH601-Driver!$F$204)/(Driver!$G$204-Driver!$F$204)*$BI$1,1)</f>
        <v/>
      </c>
      <c r="BN601" s="102">
        <f>(CI601-Driver!$F$205)/(Driver!$G$205-Driver!$F$205)*$BI$1</f>
        <v/>
      </c>
      <c r="BO601" s="102">
        <f>(CK601-Driver!$F$207)/(Driver!$G$207-Driver!$F$207)*$BI$1</f>
        <v/>
      </c>
      <c r="BP601" s="102">
        <f>(CM601-Driver!$F$208)/(Driver!$G$208-Driver!$F$208)*$BI$1</f>
        <v/>
      </c>
      <c r="BQ601" s="102">
        <f>(CL601-Driver!$F$209)/(Driver!$G$209-Driver!$F$209)*$BI$1</f>
        <v/>
      </c>
      <c r="BR601" s="40" t="inlineStr">
        <is>
          <t>21/22</t>
        </is>
      </c>
      <c r="BS601" s="10" t="inlineStr">
        <is>
          <t xml:space="preserve"> Salomon</t>
        </is>
      </c>
      <c r="BT601" s="11" t="inlineStr">
        <is>
          <t>QST 92</t>
        </is>
      </c>
      <c r="BU601" s="13" t="n">
        <v>185</v>
      </c>
      <c r="BV601" s="11" t="inlineStr">
        <is>
          <t xml:space="preserve"> Unisex</t>
        </is>
      </c>
      <c r="BW601" s="13" t="n">
        <v>185</v>
      </c>
      <c r="BX601" s="13" t="n">
        <v>184.3</v>
      </c>
      <c r="BY601" s="13" t="n">
        <v>141</v>
      </c>
      <c r="BZ601" s="13" t="n">
        <v>156</v>
      </c>
      <c r="CA601" s="13" t="n">
        <v>132</v>
      </c>
      <c r="CB601" s="13" t="n">
        <v>91</v>
      </c>
      <c r="CC601" s="13" t="n">
        <v>115</v>
      </c>
      <c r="CD601" s="13" t="n">
        <v>17.8</v>
      </c>
      <c r="CE601" s="13" t="n">
        <v>2002</v>
      </c>
      <c r="CF601" s="13" t="n">
        <v>0.97</v>
      </c>
      <c r="CG601" s="13" t="n">
        <v>1932</v>
      </c>
      <c r="CH601" s="13" t="n">
        <v>246</v>
      </c>
      <c r="CI601" s="13" t="n">
        <v>108</v>
      </c>
      <c r="CJ601" s="13" t="n">
        <v>49</v>
      </c>
      <c r="CK601" s="13" t="n">
        <v>288</v>
      </c>
      <c r="CL601" s="13" t="n">
        <v>11</v>
      </c>
      <c r="CM601" s="13" t="n">
        <v>141</v>
      </c>
      <c r="CN601" s="13" t="n">
        <v>0.231</v>
      </c>
      <c r="CO601" s="13" t="n">
        <v>149</v>
      </c>
      <c r="CP601" s="13" t="n">
        <v>130</v>
      </c>
      <c r="CQ601" s="13" t="n">
        <v>139</v>
      </c>
      <c r="CR601" s="13" t="n">
        <v>10</v>
      </c>
      <c r="CS601" s="13" t="n">
        <v>10.3</v>
      </c>
      <c r="CT601" s="11" t="inlineStr">
        <is>
          <t xml:space="preserve"> Resort Freeride</t>
        </is>
      </c>
      <c r="CU601" s="13" t="n"/>
      <c r="CV601" s="13" t="n"/>
      <c r="CW601" s="13" t="n"/>
      <c r="CX601">
        <f>INDEX('Data_Price '!AG$2:AG$1266,MATCH(Data!$DN601,'Data_Price '!$AT$2:$AT$1266,0))</f>
        <v/>
      </c>
      <c r="CY601">
        <f>INDEX('Data_Price '!AH$2:AH$1266,MATCH(Data!$DN601,'Data_Price '!$AT$2:$AT$1266,0))</f>
        <v/>
      </c>
      <c r="CZ601">
        <f>INDEX('Data_Price '!AI$2:AI$1266,MATCH(Data!$DN601,'Data_Price '!$AT$2:$AT$1266,0))</f>
        <v/>
      </c>
      <c r="DA601">
        <f>INDEX('Data_Price '!AJ$2:AJ$1266,MATCH(Data!$DN601,'Data_Price '!$AT$2:$AT$1266,0))</f>
        <v/>
      </c>
      <c r="DB601">
        <f>INDEX('Data_Price '!AK$2:AK$1266,MATCH(Data!$DN601,'Data_Price '!$AT$2:$AT$1266,0))</f>
        <v/>
      </c>
      <c r="DC601">
        <f>INDEX('Data_Price '!AL$2:AL$1266,MATCH(Data!$DN601,'Data_Price '!$AT$2:$AT$1266,0))</f>
        <v/>
      </c>
      <c r="DD601">
        <f>INDEX('Data_Price '!AM$2:AM$1266,MATCH(Data!$DN601,'Data_Price '!$AT$2:$AT$1266,0))</f>
        <v/>
      </c>
      <c r="DE601">
        <f>INDEX('Data_Price '!AN$2:AN$1266,MATCH(Data!$DN601,'Data_Price '!$AT$2:$AT$1266,0))</f>
        <v/>
      </c>
      <c r="DF601">
        <f>INDEX('Data_Price '!AO$2:AO$1266,MATCH(Data!$DN601,'Data_Price '!$AT$2:$AT$1266,0))</f>
        <v/>
      </c>
      <c r="DG601">
        <f>INDEX('Data_Price '!AP$2:AP$1266,MATCH(Data!$DN601,'Data_Price '!$AT$2:$AT$1266,0))</f>
        <v/>
      </c>
      <c r="DH601">
        <f>INDEX('Data_Price '!AQ$2:AQ$1266,MATCH(Data!$DN601,'Data_Price '!$AT$2:$AT$1266,0))</f>
        <v/>
      </c>
      <c r="DI601">
        <f>INDEX('Data_Price '!AR$2:AR$1266,MATCH(Data!$DN601,'Data_Price '!$AT$2:$AT$1266,0))</f>
        <v/>
      </c>
      <c r="DJ601" s="138">
        <f>DA601</f>
        <v/>
      </c>
      <c r="DK601" s="138">
        <f>DE601</f>
        <v/>
      </c>
      <c r="DL601" s="138">
        <f>DI601</f>
        <v/>
      </c>
      <c r="DM601" s="303">
        <f>IF(LEFT(BT601,1)=" ",RIGHT(BT601,LEN(BT601)-1),BT601)</f>
        <v/>
      </c>
      <c r="DN601" s="138">
        <f>_xlfn.CONCAT(BS601,DM601,BU601,BV601)</f>
        <v/>
      </c>
      <c r="DO601" s="307" t="inlineStr">
        <is>
          <t>https://images.evo.com/imgp/250/197274/812050/salomon-qst-92-skis-2022-.jpg</t>
        </is>
      </c>
    </row>
    <row r="602" ht="15.6" customHeight="1" s="184">
      <c r="B602" s="303">
        <f t="array" ref="B602">IF(OR(ISERROR(K602:P602)),FALSE,TRUE)</f>
        <v/>
      </c>
      <c r="C602" s="60">
        <f>OR(BR602=Driver!$G$50,Data!BR379=Driver!$H$50)</f>
        <v/>
      </c>
      <c r="D602" s="60">
        <f>OR(BV602=Driver!$G$51,BV602=Driver!$H$51)</f>
        <v/>
      </c>
      <c r="E602" s="60">
        <f>AND(BX602&gt;Driver!$F$54,BX602&lt;Driver!$G$54)</f>
        <v/>
      </c>
      <c r="F602" s="60">
        <f>CL602&gt;Driver!$F$56</f>
        <v/>
      </c>
      <c r="G602" s="60">
        <f>AND(CB602&gt;Driver!$F$55,CB602&lt;Driver!$G$55)</f>
        <v/>
      </c>
      <c r="H602" s="60">
        <f>AND(B602:G602)</f>
        <v/>
      </c>
      <c r="I602" s="60">
        <f>COUNTIFS($H$9:$H$1273,TRUE,$BT$9:$BT$1273,BT602)</f>
        <v/>
      </c>
      <c r="J602" s="60">
        <f t="array" ref="J602">NOT(OR(($H$9:$H$1273=TRUE)*($I$9:$I$1273&gt;0)*($BT$9:$BT$1273=BT602)*($K$9:$K$1273&gt;K602)))</f>
        <v/>
      </c>
      <c r="K602" s="108">
        <f>IFERROR(1-AVERAGE(X602:Y602),"")</f>
        <v/>
      </c>
      <c r="L602" s="108">
        <f>1-X602</f>
        <v/>
      </c>
      <c r="M602" s="108">
        <f>1-Y602</f>
        <v/>
      </c>
      <c r="N602" s="108">
        <f>1-Z602</f>
        <v/>
      </c>
      <c r="O602" s="108">
        <f>1-AA602</f>
        <v/>
      </c>
      <c r="P602" s="108">
        <f>1-AB602</f>
        <v/>
      </c>
      <c r="Q602" s="108" t="n"/>
      <c r="R602" s="108" t="n"/>
      <c r="S602" s="108">
        <f>1-AE602</f>
        <v/>
      </c>
      <c r="T602" s="108">
        <f>1-AF602</f>
        <v/>
      </c>
      <c r="U602" s="108">
        <f>1-AG602</f>
        <v/>
      </c>
      <c r="V602" s="108">
        <f>1-AH602</f>
        <v/>
      </c>
      <c r="W602" s="108">
        <f>1-AI602</f>
        <v/>
      </c>
      <c r="X602" s="108">
        <f>ABS(AJ602-AJ$1)</f>
        <v/>
      </c>
      <c r="Y602" s="108">
        <f>AVERAGE(Z602:AB602)</f>
        <v/>
      </c>
      <c r="Z602" s="108">
        <f>ABS(AL602-AL$1)</f>
        <v/>
      </c>
      <c r="AA602" s="108">
        <f>ABS(AM602-AM$1)</f>
        <v/>
      </c>
      <c r="AB602" s="108">
        <f>ABS(AN602-AN$1)</f>
        <v/>
      </c>
      <c r="AC602" s="108" t="n"/>
      <c r="AD602" s="108" t="n"/>
      <c r="AE602" s="108">
        <f>ABS(AQ$1-AQ602)</f>
        <v/>
      </c>
      <c r="AF602" s="108">
        <f>ABS(AR$1-AR602)</f>
        <v/>
      </c>
      <c r="AG602" s="108">
        <f>ABS(AS$1-AS602)</f>
        <v/>
      </c>
      <c r="AH602" s="108">
        <f>ABS(AT$1-AT602)</f>
        <v/>
      </c>
      <c r="AI602" s="108">
        <f>ABS(AU$1-AU602)</f>
        <v/>
      </c>
      <c r="AJ602" s="108">
        <f>(AV602-Driver!$K$179)/(Driver!$L$179-Driver!$K$179)</f>
        <v/>
      </c>
      <c r="AK602" s="108">
        <f>(AW602-Driver!$K$180)/(Driver!$L$180-Driver!$K$180)</f>
        <v/>
      </c>
      <c r="AL602" s="108">
        <f>(AX602-Driver!$K$181)/(Driver!$L$181-Driver!$K$181)</f>
        <v/>
      </c>
      <c r="AM602" s="108">
        <f>(AY602-Driver!$K$182)/(Driver!$L$182-Driver!$K$182)</f>
        <v/>
      </c>
      <c r="AN602" s="108">
        <f>(AZ602-Driver!$K$183)/(Driver!$L$183-Driver!$K$183)</f>
        <v/>
      </c>
      <c r="AO602" s="108" t="n"/>
      <c r="AP602" s="108" t="n"/>
      <c r="AQ602" s="108">
        <f>(BC602-Driver!$K$188)/(Driver!$L$188-Driver!$K$188)</f>
        <v/>
      </c>
      <c r="AR602" s="108">
        <f>MIN((BD602-Driver!$K$189)/(Driver!$L$189-Driver!$K$189),100%)</f>
        <v/>
      </c>
      <c r="AS602" s="108">
        <f>(BE602-Driver!$K$190)/(Driver!$L$190-Driver!$K$190)</f>
        <v/>
      </c>
      <c r="AT602" s="108">
        <f>(BF602-Driver!$K$191)/(Driver!$L$191-Driver!$K$191)</f>
        <v/>
      </c>
      <c r="AU602" s="108">
        <f>(BG602-Driver!$K$192)/(Driver!$L$192-Driver!$K$192)</f>
        <v/>
      </c>
      <c r="AV602" s="105">
        <f>IFERROR(BM602*BJ602^1/4,"")</f>
        <v/>
      </c>
      <c r="AW602" s="105">
        <f>IFERROR(SUM(AX602:AZ602),"")</f>
        <v/>
      </c>
      <c r="AX602" s="105">
        <f>IFERROR(BH602,"")</f>
        <v/>
      </c>
      <c r="AY602" s="105">
        <f>IFERROR(Driver!$K$19/Data!BH602/Data!BI602*Data!BK602*Data!BL602,"")</f>
        <v/>
      </c>
      <c r="AZ602" s="105">
        <f>IFERROR(BI602*BN602,"")</f>
        <v/>
      </c>
      <c r="BA602" s="105" t="n"/>
      <c r="BB602" s="105" t="n"/>
      <c r="BC602" s="105">
        <f>IFERROR(BI602*BN602*BK602/BJ602^(1/2),"")</f>
        <v/>
      </c>
      <c r="BD602" s="105">
        <f>IFERROR(BH602*BM602*BL602/BJ602/BK602,"")</f>
        <v/>
      </c>
      <c r="BE602" s="105">
        <f>IFERROR(MIN(BI602/BQ602/BP602/BO602/BH602,$BE$1),"")</f>
        <v/>
      </c>
      <c r="BF602" s="105">
        <f>IFERROR(BJ602*BO602*BP602/BK602,"")</f>
        <v/>
      </c>
      <c r="BG602" s="105">
        <f>IFERROR(1/BM602/BH602*BQ602,"")</f>
        <v/>
      </c>
      <c r="BH602" s="102">
        <f>MAX((CE602-Driver!$F$200)/(Driver!$G$200-Driver!$F$200)*$BI$1,1)</f>
        <v/>
      </c>
      <c r="BI602" s="102">
        <f>MAX($BI$1*(BY602-Driver!$F$201)/(Driver!$G$201-Driver!$F$201),1)</f>
        <v/>
      </c>
      <c r="BJ602" s="102">
        <f>(CB602-Driver!$F$206)/(Driver!$G$206-Driver!$F$206)*$BI$1</f>
        <v/>
      </c>
      <c r="BK602" s="102">
        <f>(CD602-Driver!$F$203)/(Driver!$G$203-Driver!$F$203)*$BI$1</f>
        <v/>
      </c>
      <c r="BL602" s="102">
        <f>MAX((CR602-Driver!$F$202)/(Driver!$G$202-Driver!$F$202)*$BI$1,1)</f>
        <v/>
      </c>
      <c r="BM602" s="102">
        <f>MAX((CH602-Driver!$F$204)/(Driver!$G$204-Driver!$F$204)*$BI$1,1)</f>
        <v/>
      </c>
      <c r="BN602" s="102">
        <f>(CI602-Driver!$F$205)/(Driver!$G$205-Driver!$F$205)*$BI$1</f>
        <v/>
      </c>
      <c r="BO602" s="102">
        <f>(CK602-Driver!$F$207)/(Driver!$G$207-Driver!$F$207)*$BI$1</f>
        <v/>
      </c>
      <c r="BP602" s="102">
        <f>(CM602-Driver!$F$208)/(Driver!$G$208-Driver!$F$208)*$BI$1</f>
        <v/>
      </c>
      <c r="BQ602" s="102">
        <f>(CL602-Driver!$F$209)/(Driver!$G$209-Driver!$F$209)*$BI$1</f>
        <v/>
      </c>
      <c r="BR602" s="40" t="inlineStr">
        <is>
          <t>21/22</t>
        </is>
      </c>
      <c r="BS602" s="10" t="inlineStr">
        <is>
          <t xml:space="preserve"> Dynafit</t>
        </is>
      </c>
      <c r="BT602" s="11" t="inlineStr">
        <is>
          <t xml:space="preserve"> Seven Summits</t>
        </is>
      </c>
      <c r="BU602" s="13" t="n">
        <v>174</v>
      </c>
      <c r="BV602" s="11" t="inlineStr">
        <is>
          <t xml:space="preserve"> Unisex</t>
        </is>
      </c>
      <c r="BW602" s="13" t="n">
        <v>174</v>
      </c>
      <c r="BX602" s="13" t="n">
        <v>173.4</v>
      </c>
      <c r="BY602" s="13" t="n">
        <v>138</v>
      </c>
      <c r="BZ602" s="13" t="n">
        <v>146</v>
      </c>
      <c r="CA602" s="13" t="n">
        <v>115</v>
      </c>
      <c r="CB602" s="13" t="n">
        <v>84</v>
      </c>
      <c r="CC602" s="13" t="n">
        <v>104</v>
      </c>
      <c r="CD602" s="13" t="n">
        <v>19.8</v>
      </c>
      <c r="CE602" s="13" t="n">
        <v>1961</v>
      </c>
      <c r="CF602" s="13" t="n">
        <v>0.84</v>
      </c>
      <c r="CG602" s="13" t="n">
        <v>1638</v>
      </c>
      <c r="CH602" s="13" t="n">
        <v>211</v>
      </c>
      <c r="CI602" s="13" t="n">
        <v>82</v>
      </c>
      <c r="CJ602" s="13" t="n">
        <v>50</v>
      </c>
      <c r="CK602" s="13" t="n">
        <v>261</v>
      </c>
      <c r="CL602" s="13" t="n">
        <v>8</v>
      </c>
      <c r="CM602" s="13" t="n">
        <v>93</v>
      </c>
      <c r="CN602" s="13" t="n">
        <v>0.165</v>
      </c>
      <c r="CO602" s="13" t="n">
        <v>196</v>
      </c>
      <c r="CP602" s="13" t="n">
        <v>83</v>
      </c>
      <c r="CQ602" s="13" t="n">
        <v>65</v>
      </c>
      <c r="CR602" s="13" t="n">
        <v>5</v>
      </c>
      <c r="CS602" s="13" t="n">
        <v>11.8</v>
      </c>
      <c r="CT602" s="11" t="inlineStr">
        <is>
          <t xml:space="preserve"> On-Piste Carving</t>
        </is>
      </c>
      <c r="CU602" s="11" t="inlineStr">
        <is>
          <t xml:space="preserve"> On-Piste All-Mountain</t>
        </is>
      </c>
      <c r="CV602" s="11" t="inlineStr">
        <is>
          <t xml:space="preserve"> Resort Freeride</t>
        </is>
      </c>
      <c r="CW602" s="13" t="n"/>
      <c r="CX602">
        <f>INDEX('Data_Price '!AG$2:AG$1266,MATCH(Data!$DN602,'Data_Price '!$AT$2:$AT$1266,0))</f>
        <v/>
      </c>
      <c r="CY602">
        <f>INDEX('Data_Price '!AH$2:AH$1266,MATCH(Data!$DN602,'Data_Price '!$AT$2:$AT$1266,0))</f>
        <v/>
      </c>
      <c r="CZ602">
        <f>INDEX('Data_Price '!AI$2:AI$1266,MATCH(Data!$DN602,'Data_Price '!$AT$2:$AT$1266,0))</f>
        <v/>
      </c>
      <c r="DA602">
        <f>INDEX('Data_Price '!AJ$2:AJ$1266,MATCH(Data!$DN602,'Data_Price '!$AT$2:$AT$1266,0))</f>
        <v/>
      </c>
      <c r="DB602">
        <f>INDEX('Data_Price '!AK$2:AK$1266,MATCH(Data!$DN602,'Data_Price '!$AT$2:$AT$1266,0))</f>
        <v/>
      </c>
      <c r="DC602">
        <f>INDEX('Data_Price '!AL$2:AL$1266,MATCH(Data!$DN602,'Data_Price '!$AT$2:$AT$1266,0))</f>
        <v/>
      </c>
      <c r="DD602">
        <f>INDEX('Data_Price '!AM$2:AM$1266,MATCH(Data!$DN602,'Data_Price '!$AT$2:$AT$1266,0))</f>
        <v/>
      </c>
      <c r="DE602">
        <f>INDEX('Data_Price '!AN$2:AN$1266,MATCH(Data!$DN602,'Data_Price '!$AT$2:$AT$1266,0))</f>
        <v/>
      </c>
      <c r="DF602">
        <f>INDEX('Data_Price '!AO$2:AO$1266,MATCH(Data!$DN602,'Data_Price '!$AT$2:$AT$1266,0))</f>
        <v/>
      </c>
      <c r="DG602">
        <f>INDEX('Data_Price '!AP$2:AP$1266,MATCH(Data!$DN602,'Data_Price '!$AT$2:$AT$1266,0))</f>
        <v/>
      </c>
      <c r="DH602">
        <f>INDEX('Data_Price '!AQ$2:AQ$1266,MATCH(Data!$DN602,'Data_Price '!$AT$2:$AT$1266,0))</f>
        <v/>
      </c>
      <c r="DI602">
        <f>INDEX('Data_Price '!AR$2:AR$1266,MATCH(Data!$DN602,'Data_Price '!$AT$2:$AT$1266,0))</f>
        <v/>
      </c>
      <c r="DJ602" s="138">
        <f>DA602</f>
        <v/>
      </c>
      <c r="DK602" s="138">
        <f>DE602</f>
        <v/>
      </c>
      <c r="DL602" s="138">
        <f>DI602</f>
        <v/>
      </c>
      <c r="DM602" s="303">
        <f>IF(LEFT(BT602,1)=" ",RIGHT(BT602,LEN(BT602)-1),BT602)</f>
        <v/>
      </c>
      <c r="DN602" s="138">
        <f>_xlfn.CONCAT(BS602,DM602,BU602,BV602)</f>
        <v/>
      </c>
      <c r="DO602" s="307" t="inlineStr">
        <is>
          <t>https://images.evo.com/imgp/250/183669/751830/clone.jpg</t>
        </is>
      </c>
    </row>
    <row r="603" ht="15.6" customHeight="1" s="184">
      <c r="B603" s="303">
        <f t="array" ref="B603">IF(OR(ISERROR(K603:P603)),FALSE,TRUE)</f>
        <v/>
      </c>
      <c r="C603" s="60">
        <f>OR(BR603=Driver!$G$50,Data!BR1111=Driver!$H$50)</f>
        <v/>
      </c>
      <c r="D603" s="60">
        <f>OR(BV603=Driver!$G$51,BV603=Driver!$H$51)</f>
        <v/>
      </c>
      <c r="E603" s="60">
        <f>AND(BX603&gt;Driver!$F$54,BX603&lt;Driver!$G$54)</f>
        <v/>
      </c>
      <c r="F603" s="60">
        <f>CL603&gt;Driver!$F$56</f>
        <v/>
      </c>
      <c r="G603" s="60">
        <f>AND(CB603&gt;Driver!$F$55,CB603&lt;Driver!$G$55)</f>
        <v/>
      </c>
      <c r="H603" s="60">
        <f>AND(B603:G603)</f>
        <v/>
      </c>
      <c r="I603" s="60">
        <f>COUNTIFS($H$9:$H$1273,TRUE,$BT$9:$BT$1273,BT603)</f>
        <v/>
      </c>
      <c r="J603" s="60">
        <f t="array" ref="J603">NOT(OR(($H$9:$H$1273=TRUE)*($I$9:$I$1273&gt;0)*($BT$9:$BT$1273=BT603)*($K$9:$K$1273&gt;K603)))</f>
        <v/>
      </c>
      <c r="K603" s="108">
        <f>IFERROR(1-AVERAGE(X603:Y603),"")</f>
        <v/>
      </c>
      <c r="L603" s="108">
        <f>1-X603</f>
        <v/>
      </c>
      <c r="M603" s="108">
        <f>1-Y603</f>
        <v/>
      </c>
      <c r="N603" s="108">
        <f>1-Z603</f>
        <v/>
      </c>
      <c r="O603" s="108">
        <f>1-AA603</f>
        <v/>
      </c>
      <c r="P603" s="108">
        <f>1-AB603</f>
        <v/>
      </c>
      <c r="Q603" s="108" t="n"/>
      <c r="R603" s="108" t="n"/>
      <c r="S603" s="108">
        <f>1-AE603</f>
        <v/>
      </c>
      <c r="T603" s="108">
        <f>1-AF603</f>
        <v/>
      </c>
      <c r="U603" s="108">
        <f>1-AG603</f>
        <v/>
      </c>
      <c r="V603" s="108">
        <f>1-AH603</f>
        <v/>
      </c>
      <c r="W603" s="108">
        <f>1-AI603</f>
        <v/>
      </c>
      <c r="X603" s="108">
        <f>ABS(AJ603-AJ$1)</f>
        <v/>
      </c>
      <c r="Y603" s="108">
        <f>AVERAGE(Z603:AB603)</f>
        <v/>
      </c>
      <c r="Z603" s="108">
        <f>ABS(AL603-AL$1)</f>
        <v/>
      </c>
      <c r="AA603" s="108">
        <f>ABS(AM603-AM$1)</f>
        <v/>
      </c>
      <c r="AB603" s="108">
        <f>ABS(AN603-AN$1)</f>
        <v/>
      </c>
      <c r="AC603" s="108" t="n"/>
      <c r="AD603" s="108" t="n"/>
      <c r="AE603" s="108">
        <f>ABS(AQ$1-AQ603)</f>
        <v/>
      </c>
      <c r="AF603" s="108">
        <f>ABS(AR$1-AR603)</f>
        <v/>
      </c>
      <c r="AG603" s="108">
        <f>ABS(AS$1-AS603)</f>
        <v/>
      </c>
      <c r="AH603" s="108">
        <f>ABS(AT$1-AT603)</f>
        <v/>
      </c>
      <c r="AI603" s="108">
        <f>ABS(AU$1-AU603)</f>
        <v/>
      </c>
      <c r="AJ603" s="108">
        <f>(AV603-Driver!$K$179)/(Driver!$L$179-Driver!$K$179)</f>
        <v/>
      </c>
      <c r="AK603" s="108">
        <f>(AW603-Driver!$K$180)/(Driver!$L$180-Driver!$K$180)</f>
        <v/>
      </c>
      <c r="AL603" s="108">
        <f>(AX603-Driver!$K$181)/(Driver!$L$181-Driver!$K$181)</f>
        <v/>
      </c>
      <c r="AM603" s="108">
        <f>(AY603-Driver!$K$182)/(Driver!$L$182-Driver!$K$182)</f>
        <v/>
      </c>
      <c r="AN603" s="108">
        <f>(AZ603-Driver!$K$183)/(Driver!$L$183-Driver!$K$183)</f>
        <v/>
      </c>
      <c r="AO603" s="108" t="n"/>
      <c r="AP603" s="108" t="n"/>
      <c r="AQ603" s="108">
        <f>(BC603-Driver!$K$188)/(Driver!$L$188-Driver!$K$188)</f>
        <v/>
      </c>
      <c r="AR603" s="108">
        <f>MIN((BD603-Driver!$K$189)/(Driver!$L$189-Driver!$K$189),100%)</f>
        <v/>
      </c>
      <c r="AS603" s="108">
        <f>(BE603-Driver!$K$190)/(Driver!$L$190-Driver!$K$190)</f>
        <v/>
      </c>
      <c r="AT603" s="108">
        <f>(BF603-Driver!$K$191)/(Driver!$L$191-Driver!$K$191)</f>
        <v/>
      </c>
      <c r="AU603" s="108">
        <f>(BG603-Driver!$K$192)/(Driver!$L$192-Driver!$K$192)</f>
        <v/>
      </c>
      <c r="AV603" s="105">
        <f>IFERROR(BM603*BJ603^1/4,"")</f>
        <v/>
      </c>
      <c r="AW603" s="105">
        <f>IFERROR(SUM(AX603:AZ603),"")</f>
        <v/>
      </c>
      <c r="AX603" s="105">
        <f>IFERROR(BH603,"")</f>
        <v/>
      </c>
      <c r="AY603" s="105">
        <f>IFERROR(Driver!$K$19/Data!BH603/Data!BI603*Data!BK603*Data!BL603,"")</f>
        <v/>
      </c>
      <c r="AZ603" s="105">
        <f>IFERROR(BI603*BN603,"")</f>
        <v/>
      </c>
      <c r="BA603" s="105" t="n"/>
      <c r="BB603" s="105" t="n"/>
      <c r="BC603" s="105">
        <f>IFERROR(BI603*BN603*BK603/BJ603^(1/2),"")</f>
        <v/>
      </c>
      <c r="BD603" s="105">
        <f>IFERROR(BH603*BM603*BL603/BJ603/BK603,"")</f>
        <v/>
      </c>
      <c r="BE603" s="105">
        <f>IFERROR(MIN(BI603/BQ603/BP603/BO603/BH603,$BE$1),"")</f>
        <v/>
      </c>
      <c r="BF603" s="105">
        <f>IFERROR(BJ603*BO603*BP603/BK603,"")</f>
        <v/>
      </c>
      <c r="BG603" s="105">
        <f>IFERROR(1/BM603/BH603*BQ603,"")</f>
        <v/>
      </c>
      <c r="BH603" s="102">
        <f>MAX((CE603-Driver!$F$200)/(Driver!$G$200-Driver!$F$200)*$BI$1,1)</f>
        <v/>
      </c>
      <c r="BI603" s="102">
        <f>MAX($BI$1*(BY603-Driver!$F$201)/(Driver!$G$201-Driver!$F$201),1)</f>
        <v/>
      </c>
      <c r="BJ603" s="102">
        <f>(CB603-Driver!$F$206)/(Driver!$G$206-Driver!$F$206)*$BI$1</f>
        <v/>
      </c>
      <c r="BK603" s="102">
        <f>(CD603-Driver!$F$203)/(Driver!$G$203-Driver!$F$203)*$BI$1</f>
        <v/>
      </c>
      <c r="BL603" s="102">
        <f>MAX((CR603-Driver!$F$202)/(Driver!$G$202-Driver!$F$202)*$BI$1,1)</f>
        <v/>
      </c>
      <c r="BM603" s="102">
        <f>MAX((CH603-Driver!$F$204)/(Driver!$G$204-Driver!$F$204)*$BI$1,1)</f>
        <v/>
      </c>
      <c r="BN603" s="102">
        <f>(CI603-Driver!$F$205)/(Driver!$G$205-Driver!$F$205)*$BI$1</f>
        <v/>
      </c>
      <c r="BO603" s="102">
        <f>(CK603-Driver!$F$207)/(Driver!$G$207-Driver!$F$207)*$BI$1</f>
        <v/>
      </c>
      <c r="BP603" s="102">
        <f>(CM603-Driver!$F$208)/(Driver!$G$208-Driver!$F$208)*$BI$1</f>
        <v/>
      </c>
      <c r="BQ603" s="102">
        <f>(CL603-Driver!$F$209)/(Driver!$G$209-Driver!$F$209)*$BI$1</f>
        <v/>
      </c>
      <c r="BR603" s="40" t="inlineStr">
        <is>
          <t>21/22</t>
        </is>
      </c>
      <c r="BS603" s="10" t="inlineStr">
        <is>
          <t xml:space="preserve"> Salomon</t>
        </is>
      </c>
      <c r="BT603" s="11" t="inlineStr">
        <is>
          <t>Stance 96</t>
        </is>
      </c>
      <c r="BU603" s="13" t="n">
        <v>176</v>
      </c>
      <c r="BV603" s="11" t="inlineStr">
        <is>
          <t xml:space="preserve"> Unisex</t>
        </is>
      </c>
      <c r="BW603" s="13" t="n">
        <v>176</v>
      </c>
      <c r="BX603" s="13" t="n">
        <v>174.3</v>
      </c>
      <c r="BY603" s="13" t="n">
        <v>134</v>
      </c>
      <c r="BZ603" s="13" t="n">
        <v>145</v>
      </c>
      <c r="CA603" s="13" t="n">
        <v>130</v>
      </c>
      <c r="CB603" s="13" t="n">
        <v>95</v>
      </c>
      <c r="CC603" s="13" t="n">
        <v>112</v>
      </c>
      <c r="CD603" s="13" t="n">
        <v>18.8</v>
      </c>
      <c r="CE603" s="13" t="n">
        <v>1862</v>
      </c>
      <c r="CF603" s="13" t="n">
        <v>1</v>
      </c>
      <c r="CG603" s="13" t="n">
        <v>1853</v>
      </c>
      <c r="CH603" s="13" t="n">
        <v>179</v>
      </c>
      <c r="CI603" s="13" t="n">
        <v>110</v>
      </c>
      <c r="CJ603" s="13" t="n">
        <v>48</v>
      </c>
      <c r="CK603" s="13" t="n">
        <v>227</v>
      </c>
      <c r="CL603" s="13" t="n">
        <v>8</v>
      </c>
      <c r="CM603" s="13" t="n">
        <v>172</v>
      </c>
      <c r="CN603" s="13" t="n">
        <v>0.165</v>
      </c>
      <c r="CO603" s="13" t="n">
        <v>165</v>
      </c>
      <c r="CP603" s="13" t="n">
        <v>132</v>
      </c>
      <c r="CQ603" s="13" t="n">
        <v>63</v>
      </c>
      <c r="CR603" s="13" t="n">
        <v>9</v>
      </c>
      <c r="CS603" s="13" t="n">
        <v>10</v>
      </c>
      <c r="CT603" s="11" t="inlineStr">
        <is>
          <t xml:space="preserve"> Resort Freeride</t>
        </is>
      </c>
      <c r="CU603" s="13" t="n"/>
      <c r="CV603" s="13" t="n"/>
      <c r="CW603" s="13" t="n"/>
      <c r="CX603">
        <f>INDEX('Data_Price '!AG$2:AG$1266,MATCH(Data!$DN603,'Data_Price '!$AT$2:$AT$1266,0))</f>
        <v/>
      </c>
      <c r="CY603">
        <f>INDEX('Data_Price '!AH$2:AH$1266,MATCH(Data!$DN603,'Data_Price '!$AT$2:$AT$1266,0))</f>
        <v/>
      </c>
      <c r="CZ603">
        <f>INDEX('Data_Price '!AI$2:AI$1266,MATCH(Data!$DN603,'Data_Price '!$AT$2:$AT$1266,0))</f>
        <v/>
      </c>
      <c r="DA603">
        <f>INDEX('Data_Price '!AJ$2:AJ$1266,MATCH(Data!$DN603,'Data_Price '!$AT$2:$AT$1266,0))</f>
        <v/>
      </c>
      <c r="DB603">
        <f>INDEX('Data_Price '!AK$2:AK$1266,MATCH(Data!$DN603,'Data_Price '!$AT$2:$AT$1266,0))</f>
        <v/>
      </c>
      <c r="DC603">
        <f>INDEX('Data_Price '!AL$2:AL$1266,MATCH(Data!$DN603,'Data_Price '!$AT$2:$AT$1266,0))</f>
        <v/>
      </c>
      <c r="DD603">
        <f>INDEX('Data_Price '!AM$2:AM$1266,MATCH(Data!$DN603,'Data_Price '!$AT$2:$AT$1266,0))</f>
        <v/>
      </c>
      <c r="DE603">
        <f>INDEX('Data_Price '!AN$2:AN$1266,MATCH(Data!$DN603,'Data_Price '!$AT$2:$AT$1266,0))</f>
        <v/>
      </c>
      <c r="DF603">
        <f>INDEX('Data_Price '!AO$2:AO$1266,MATCH(Data!$DN603,'Data_Price '!$AT$2:$AT$1266,0))</f>
        <v/>
      </c>
      <c r="DG603">
        <f>INDEX('Data_Price '!AP$2:AP$1266,MATCH(Data!$DN603,'Data_Price '!$AT$2:$AT$1266,0))</f>
        <v/>
      </c>
      <c r="DH603">
        <f>INDEX('Data_Price '!AQ$2:AQ$1266,MATCH(Data!$DN603,'Data_Price '!$AT$2:$AT$1266,0))</f>
        <v/>
      </c>
      <c r="DI603">
        <f>INDEX('Data_Price '!AR$2:AR$1266,MATCH(Data!$DN603,'Data_Price '!$AT$2:$AT$1266,0))</f>
        <v/>
      </c>
      <c r="DJ603" s="138">
        <f>DA603</f>
        <v/>
      </c>
      <c r="DK603" s="138">
        <f>DE603</f>
        <v/>
      </c>
      <c r="DL603" s="138">
        <f>DI603</f>
        <v/>
      </c>
      <c r="DM603" s="303">
        <f>IF(LEFT(BT603,1)=" ",RIGHT(BT603,LEN(BT603)-1),BT603)</f>
        <v/>
      </c>
      <c r="DN603" s="138">
        <f>_xlfn.CONCAT(BS603,DM603,BU603,BV603)</f>
        <v/>
      </c>
      <c r="DO603" s="307" t="inlineStr">
        <is>
          <t>https://images.evo.com/imgp/250/183472/737233/salomon-stance-96-skis-2022-.jpg</t>
        </is>
      </c>
    </row>
    <row r="604" ht="15.6" customHeight="1" s="184">
      <c r="B604" s="303">
        <f t="array" ref="B604">IF(OR(ISERROR(K604:P604)),FALSE,TRUE)</f>
        <v/>
      </c>
      <c r="C604" s="60">
        <f>OR(BR604=Driver!$G$50,Data!BR620=Driver!$H$50)</f>
        <v/>
      </c>
      <c r="D604" s="60">
        <f>OR(BV604=Driver!$G$51,BV604=Driver!$H$51)</f>
        <v/>
      </c>
      <c r="E604" s="60">
        <f>AND(BX604&gt;Driver!$F$54,BX604&lt;Driver!$G$54)</f>
        <v/>
      </c>
      <c r="F604" s="60">
        <f>CL604&gt;Driver!$F$56</f>
        <v/>
      </c>
      <c r="G604" s="60">
        <f>AND(CB604&gt;Driver!$F$55,CB604&lt;Driver!$G$55)</f>
        <v/>
      </c>
      <c r="H604" s="60">
        <f>AND(B604:G604)</f>
        <v/>
      </c>
      <c r="I604" s="60">
        <f>COUNTIFS($H$9:$H$1273,TRUE,$BT$9:$BT$1273,BT604)</f>
        <v/>
      </c>
      <c r="J604" s="60">
        <f t="array" ref="J604">NOT(OR(($H$9:$H$1273=TRUE)*($I$9:$I$1273&gt;0)*($BT$9:$BT$1273=BT604)*($K$9:$K$1273&gt;K604)))</f>
        <v/>
      </c>
      <c r="K604" s="108">
        <f>IFERROR(1-AVERAGE(X604:Y604),"")</f>
        <v/>
      </c>
      <c r="L604" s="108">
        <f>1-X604</f>
        <v/>
      </c>
      <c r="M604" s="108">
        <f>1-Y604</f>
        <v/>
      </c>
      <c r="N604" s="108">
        <f>1-Z604</f>
        <v/>
      </c>
      <c r="O604" s="108">
        <f>1-AA604</f>
        <v/>
      </c>
      <c r="P604" s="108">
        <f>1-AB604</f>
        <v/>
      </c>
      <c r="Q604" s="108" t="n"/>
      <c r="R604" s="108" t="n"/>
      <c r="S604" s="108">
        <f>1-AE604</f>
        <v/>
      </c>
      <c r="T604" s="108">
        <f>1-AF604</f>
        <v/>
      </c>
      <c r="U604" s="108">
        <f>1-AG604</f>
        <v/>
      </c>
      <c r="V604" s="108">
        <f>1-AH604</f>
        <v/>
      </c>
      <c r="W604" s="108">
        <f>1-AI604</f>
        <v/>
      </c>
      <c r="X604" s="108">
        <f>ABS(AJ604-AJ$1)</f>
        <v/>
      </c>
      <c r="Y604" s="108">
        <f>AVERAGE(Z604:AB604)</f>
        <v/>
      </c>
      <c r="Z604" s="108">
        <f>ABS(AL604-AL$1)</f>
        <v/>
      </c>
      <c r="AA604" s="108">
        <f>ABS(AM604-AM$1)</f>
        <v/>
      </c>
      <c r="AB604" s="108">
        <f>ABS(AN604-AN$1)</f>
        <v/>
      </c>
      <c r="AC604" s="108" t="n"/>
      <c r="AD604" s="108" t="n"/>
      <c r="AE604" s="108">
        <f>ABS(AQ$1-AQ604)</f>
        <v/>
      </c>
      <c r="AF604" s="108">
        <f>ABS(AR$1-AR604)</f>
        <v/>
      </c>
      <c r="AG604" s="108">
        <f>ABS(AS$1-AS604)</f>
        <v/>
      </c>
      <c r="AH604" s="108">
        <f>ABS(AT$1-AT604)</f>
        <v/>
      </c>
      <c r="AI604" s="108">
        <f>ABS(AU$1-AU604)</f>
        <v/>
      </c>
      <c r="AJ604" s="108">
        <f>(AV604-Driver!$K$179)/(Driver!$L$179-Driver!$K$179)</f>
        <v/>
      </c>
      <c r="AK604" s="108">
        <f>(AW604-Driver!$K$180)/(Driver!$L$180-Driver!$K$180)</f>
        <v/>
      </c>
      <c r="AL604" s="108">
        <f>(AX604-Driver!$K$181)/(Driver!$L$181-Driver!$K$181)</f>
        <v/>
      </c>
      <c r="AM604" s="108">
        <f>(AY604-Driver!$K$182)/(Driver!$L$182-Driver!$K$182)</f>
        <v/>
      </c>
      <c r="AN604" s="108">
        <f>(AZ604-Driver!$K$183)/(Driver!$L$183-Driver!$K$183)</f>
        <v/>
      </c>
      <c r="AO604" s="108" t="n"/>
      <c r="AP604" s="108" t="n"/>
      <c r="AQ604" s="108">
        <f>(BC604-Driver!$K$188)/(Driver!$L$188-Driver!$K$188)</f>
        <v/>
      </c>
      <c r="AR604" s="108">
        <f>MIN((BD604-Driver!$K$189)/(Driver!$L$189-Driver!$K$189),100%)</f>
        <v/>
      </c>
      <c r="AS604" s="108">
        <f>(BE604-Driver!$K$190)/(Driver!$L$190-Driver!$K$190)</f>
        <v/>
      </c>
      <c r="AT604" s="108">
        <f>(BF604-Driver!$K$191)/(Driver!$L$191-Driver!$K$191)</f>
        <v/>
      </c>
      <c r="AU604" s="108">
        <f>(BG604-Driver!$K$192)/(Driver!$L$192-Driver!$K$192)</f>
        <v/>
      </c>
      <c r="AV604" s="105">
        <f>IFERROR(BM604*BJ604^1/4,"")</f>
        <v/>
      </c>
      <c r="AW604" s="105">
        <f>IFERROR(SUM(AX604:AZ604),"")</f>
        <v/>
      </c>
      <c r="AX604" s="105">
        <f>IFERROR(BH604,"")</f>
        <v/>
      </c>
      <c r="AY604" s="105">
        <f>IFERROR(Driver!$K$19/Data!BH604/Data!BI604*Data!BK604*Data!BL604,"")</f>
        <v/>
      </c>
      <c r="AZ604" s="105">
        <f>IFERROR(BI604*BN604,"")</f>
        <v/>
      </c>
      <c r="BA604" s="105" t="n"/>
      <c r="BB604" s="105" t="n"/>
      <c r="BC604" s="105">
        <f>IFERROR(BI604*BN604*BK604/BJ604^(1/2),"")</f>
        <v/>
      </c>
      <c r="BD604" s="105">
        <f>IFERROR(BH604*BM604*BL604/BJ604/BK604,"")</f>
        <v/>
      </c>
      <c r="BE604" s="105">
        <f>IFERROR(MIN(BI604/BQ604/BP604/BO604/BH604,$BE$1),"")</f>
        <v/>
      </c>
      <c r="BF604" s="105">
        <f>IFERROR(BJ604*BO604*BP604/BK604,"")</f>
        <v/>
      </c>
      <c r="BG604" s="105">
        <f>IFERROR(1/BM604/BH604*BQ604,"")</f>
        <v/>
      </c>
      <c r="BH604" s="102">
        <f>MAX((CE604-Driver!$F$200)/(Driver!$G$200-Driver!$F$200)*$BI$1,1)</f>
        <v/>
      </c>
      <c r="BI604" s="102">
        <f>MAX($BI$1*(BY604-Driver!$F$201)/(Driver!$G$201-Driver!$F$201),1)</f>
        <v/>
      </c>
      <c r="BJ604" s="102">
        <f>(CB604-Driver!$F$206)/(Driver!$G$206-Driver!$F$206)*$BI$1</f>
        <v/>
      </c>
      <c r="BK604" s="102">
        <f>(CD604-Driver!$F$203)/(Driver!$G$203-Driver!$F$203)*$BI$1</f>
        <v/>
      </c>
      <c r="BL604" s="102">
        <f>MAX((CR604-Driver!$F$202)/(Driver!$G$202-Driver!$F$202)*$BI$1,1)</f>
        <v/>
      </c>
      <c r="BM604" s="102">
        <f>MAX((CH604-Driver!$F$204)/(Driver!$G$204-Driver!$F$204)*$BI$1,1)</f>
        <v/>
      </c>
      <c r="BN604" s="102">
        <f>(CI604-Driver!$F$205)/(Driver!$G$205-Driver!$F$205)*$BI$1</f>
        <v/>
      </c>
      <c r="BO604" s="102">
        <f>(CK604-Driver!$F$207)/(Driver!$G$207-Driver!$F$207)*$BI$1</f>
        <v/>
      </c>
      <c r="BP604" s="102">
        <f>(CM604-Driver!$F$208)/(Driver!$G$208-Driver!$F$208)*$BI$1</f>
        <v/>
      </c>
      <c r="BQ604" s="102">
        <f>(CL604-Driver!$F$209)/(Driver!$G$209-Driver!$F$209)*$BI$1</f>
        <v/>
      </c>
      <c r="BR604" s="40" t="inlineStr">
        <is>
          <t>21/22</t>
        </is>
      </c>
      <c r="BS604" s="10" t="inlineStr">
        <is>
          <t xml:space="preserve"> Head</t>
        </is>
      </c>
      <c r="BT604" s="11" t="inlineStr">
        <is>
          <t>Kore 93</t>
        </is>
      </c>
      <c r="BU604" s="13" t="n">
        <v>156</v>
      </c>
      <c r="BV604" s="11" t="inlineStr">
        <is>
          <t xml:space="preserve"> Unisex</t>
        </is>
      </c>
      <c r="BW604" s="13" t="n">
        <v>156</v>
      </c>
      <c r="BX604" s="13" t="n">
        <v>155.4</v>
      </c>
      <c r="BY604" s="13" t="n">
        <v>119</v>
      </c>
      <c r="BZ604" s="13" t="n">
        <v>126</v>
      </c>
      <c r="CA604" s="13" t="n">
        <v>124</v>
      </c>
      <c r="CB604" s="13" t="n">
        <v>86</v>
      </c>
      <c r="CC604" s="13" t="n">
        <v>107</v>
      </c>
      <c r="CD604" s="13" t="n">
        <v>12</v>
      </c>
      <c r="CE604" s="13" t="n">
        <v>1410</v>
      </c>
      <c r="CF604" s="13" t="n">
        <v>1.09</v>
      </c>
      <c r="CG604" s="13" t="n">
        <v>1534</v>
      </c>
      <c r="CH604" s="13" t="n">
        <v>192</v>
      </c>
      <c r="CI604" s="13" t="n">
        <v>82</v>
      </c>
      <c r="CJ604" s="13" t="n">
        <v>50</v>
      </c>
      <c r="CK604" s="13" t="n">
        <v>230</v>
      </c>
      <c r="CL604" s="13" t="n">
        <v>11</v>
      </c>
      <c r="CM604" s="13" t="n">
        <v>134</v>
      </c>
      <c r="CN604" s="13" t="n">
        <v>0.224</v>
      </c>
      <c r="CO604" s="13" t="n">
        <v>143</v>
      </c>
      <c r="CP604" s="13" t="n">
        <v>155</v>
      </c>
      <c r="CQ604" s="13" t="n">
        <v>87</v>
      </c>
      <c r="CR604" s="13" t="n">
        <v>5</v>
      </c>
      <c r="CS604" s="13" t="n">
        <v>8.6</v>
      </c>
      <c r="CT604" s="11" t="inlineStr">
        <is>
          <t xml:space="preserve"> Resort Freeride</t>
        </is>
      </c>
      <c r="CU604" s="11" t="inlineStr">
        <is>
          <t xml:space="preserve"> Touring</t>
        </is>
      </c>
      <c r="CV604" s="13" t="n"/>
      <c r="CW604" s="13" t="n"/>
      <c r="CX604">
        <f>INDEX('Data_Price '!AG$2:AG$1266,MATCH(Data!$DN604,'Data_Price '!$AT$2:$AT$1266,0))</f>
        <v/>
      </c>
      <c r="CY604">
        <f>INDEX('Data_Price '!AH$2:AH$1266,MATCH(Data!$DN604,'Data_Price '!$AT$2:$AT$1266,0))</f>
        <v/>
      </c>
      <c r="CZ604">
        <f>INDEX('Data_Price '!AI$2:AI$1266,MATCH(Data!$DN604,'Data_Price '!$AT$2:$AT$1266,0))</f>
        <v/>
      </c>
      <c r="DA604">
        <f>INDEX('Data_Price '!AJ$2:AJ$1266,MATCH(Data!$DN604,'Data_Price '!$AT$2:$AT$1266,0))</f>
        <v/>
      </c>
      <c r="DB604">
        <f>INDEX('Data_Price '!AK$2:AK$1266,MATCH(Data!$DN604,'Data_Price '!$AT$2:$AT$1266,0))</f>
        <v/>
      </c>
      <c r="DC604">
        <f>INDEX('Data_Price '!AL$2:AL$1266,MATCH(Data!$DN604,'Data_Price '!$AT$2:$AT$1266,0))</f>
        <v/>
      </c>
      <c r="DD604">
        <f>INDEX('Data_Price '!AM$2:AM$1266,MATCH(Data!$DN604,'Data_Price '!$AT$2:$AT$1266,0))</f>
        <v/>
      </c>
      <c r="DE604">
        <f>INDEX('Data_Price '!AN$2:AN$1266,MATCH(Data!$DN604,'Data_Price '!$AT$2:$AT$1266,0))</f>
        <v/>
      </c>
      <c r="DF604">
        <f>INDEX('Data_Price '!AO$2:AO$1266,MATCH(Data!$DN604,'Data_Price '!$AT$2:$AT$1266,0))</f>
        <v/>
      </c>
      <c r="DG604">
        <f>INDEX('Data_Price '!AP$2:AP$1266,MATCH(Data!$DN604,'Data_Price '!$AT$2:$AT$1266,0))</f>
        <v/>
      </c>
      <c r="DH604">
        <f>INDEX('Data_Price '!AQ$2:AQ$1266,MATCH(Data!$DN604,'Data_Price '!$AT$2:$AT$1266,0))</f>
        <v/>
      </c>
      <c r="DI604">
        <f>INDEX('Data_Price '!AR$2:AR$1266,MATCH(Data!$DN604,'Data_Price '!$AT$2:$AT$1266,0))</f>
        <v/>
      </c>
      <c r="DJ604" s="138">
        <f>DA604</f>
        <v/>
      </c>
      <c r="DK604" s="138">
        <f>DE604</f>
        <v/>
      </c>
      <c r="DL604" s="138">
        <f>DI604</f>
        <v/>
      </c>
      <c r="DM604" s="303">
        <f>IF(LEFT(BT604,1)=" ",RIGHT(BT604,LEN(BT604)-1),BT604)</f>
        <v/>
      </c>
      <c r="DN604" s="138">
        <f>_xlfn.CONCAT(BS604,DM604,BU604,BV604)</f>
        <v/>
      </c>
      <c r="DO604" s="307" t="inlineStr">
        <is>
          <t>https://images.evo.com/imgp/250/208274/832642/clone.jpg</t>
        </is>
      </c>
    </row>
    <row r="605" ht="15.6" customHeight="1" s="184">
      <c r="B605" s="303">
        <f t="array" ref="B605">IF(OR(ISERROR(K605:P605)),FALSE,TRUE)</f>
        <v/>
      </c>
      <c r="C605" s="60">
        <f>OR(BR605=Driver!$G$50,Data!BR305=Driver!$H$50)</f>
        <v/>
      </c>
      <c r="D605" s="60">
        <f>OR(BV605=Driver!$G$51,BV605=Driver!$H$51)</f>
        <v/>
      </c>
      <c r="E605" s="60">
        <f>AND(BX605&gt;Driver!$F$54,BX605&lt;Driver!$G$54)</f>
        <v/>
      </c>
      <c r="F605" s="60">
        <f>CL605&gt;Driver!$F$56</f>
        <v/>
      </c>
      <c r="G605" s="60">
        <f>AND(CB605&gt;Driver!$F$55,CB605&lt;Driver!$G$55)</f>
        <v/>
      </c>
      <c r="H605" s="60">
        <f>AND(B605:G605)</f>
        <v/>
      </c>
      <c r="I605" s="60">
        <f>COUNTIFS($H$9:$H$1273,TRUE,$BT$9:$BT$1273,BT605)</f>
        <v/>
      </c>
      <c r="J605" s="60">
        <f t="array" ref="J605">NOT(OR(($H$9:$H$1273=TRUE)*($I$9:$I$1273&gt;0)*($BT$9:$BT$1273=BT605)*($K$9:$K$1273&gt;K605)))</f>
        <v/>
      </c>
      <c r="K605" s="108">
        <f>IFERROR(1-AVERAGE(X605:Y605),"")</f>
        <v/>
      </c>
      <c r="L605" s="108">
        <f>1-X605</f>
        <v/>
      </c>
      <c r="M605" s="108">
        <f>1-Y605</f>
        <v/>
      </c>
      <c r="N605" s="108">
        <f>1-Z605</f>
        <v/>
      </c>
      <c r="O605" s="108">
        <f>1-AA605</f>
        <v/>
      </c>
      <c r="P605" s="108">
        <f>1-AB605</f>
        <v/>
      </c>
      <c r="Q605" s="108" t="n"/>
      <c r="R605" s="108" t="n"/>
      <c r="S605" s="108">
        <f>1-AE605</f>
        <v/>
      </c>
      <c r="T605" s="108">
        <f>1-AF605</f>
        <v/>
      </c>
      <c r="U605" s="108">
        <f>1-AG605</f>
        <v/>
      </c>
      <c r="V605" s="108">
        <f>1-AH605</f>
        <v/>
      </c>
      <c r="W605" s="108">
        <f>1-AI605</f>
        <v/>
      </c>
      <c r="X605" s="108">
        <f>ABS(AJ605-AJ$1)</f>
        <v/>
      </c>
      <c r="Y605" s="108">
        <f>AVERAGE(Z605:AB605)</f>
        <v/>
      </c>
      <c r="Z605" s="108">
        <f>ABS(AL605-AL$1)</f>
        <v/>
      </c>
      <c r="AA605" s="108">
        <f>ABS(AM605-AM$1)</f>
        <v/>
      </c>
      <c r="AB605" s="108">
        <f>ABS(AN605-AN$1)</f>
        <v/>
      </c>
      <c r="AC605" s="108" t="n"/>
      <c r="AD605" s="108" t="n"/>
      <c r="AE605" s="108">
        <f>ABS(AQ$1-AQ605)</f>
        <v/>
      </c>
      <c r="AF605" s="108">
        <f>ABS(AR$1-AR605)</f>
        <v/>
      </c>
      <c r="AG605" s="108">
        <f>ABS(AS$1-AS605)</f>
        <v/>
      </c>
      <c r="AH605" s="108">
        <f>ABS(AT$1-AT605)</f>
        <v/>
      </c>
      <c r="AI605" s="108">
        <f>ABS(AU$1-AU605)</f>
        <v/>
      </c>
      <c r="AJ605" s="108">
        <f>(AV605-Driver!$K$179)/(Driver!$L$179-Driver!$K$179)</f>
        <v/>
      </c>
      <c r="AK605" s="108">
        <f>(AW605-Driver!$K$180)/(Driver!$L$180-Driver!$K$180)</f>
        <v/>
      </c>
      <c r="AL605" s="108">
        <f>(AX605-Driver!$K$181)/(Driver!$L$181-Driver!$K$181)</f>
        <v/>
      </c>
      <c r="AM605" s="108">
        <f>(AY605-Driver!$K$182)/(Driver!$L$182-Driver!$K$182)</f>
        <v/>
      </c>
      <c r="AN605" s="108">
        <f>(AZ605-Driver!$K$183)/(Driver!$L$183-Driver!$K$183)</f>
        <v/>
      </c>
      <c r="AO605" s="108" t="n"/>
      <c r="AP605" s="108" t="n"/>
      <c r="AQ605" s="108">
        <f>(BC605-Driver!$K$188)/(Driver!$L$188-Driver!$K$188)</f>
        <v/>
      </c>
      <c r="AR605" s="108">
        <f>MIN((BD605-Driver!$K$189)/(Driver!$L$189-Driver!$K$189),100%)</f>
        <v/>
      </c>
      <c r="AS605" s="108">
        <f>(BE605-Driver!$K$190)/(Driver!$L$190-Driver!$K$190)</f>
        <v/>
      </c>
      <c r="AT605" s="108">
        <f>(BF605-Driver!$K$191)/(Driver!$L$191-Driver!$K$191)</f>
        <v/>
      </c>
      <c r="AU605" s="108">
        <f>(BG605-Driver!$K$192)/(Driver!$L$192-Driver!$K$192)</f>
        <v/>
      </c>
      <c r="AV605" s="105">
        <f>IFERROR(BM605*BJ605^1/4,"")</f>
        <v/>
      </c>
      <c r="AW605" s="105">
        <f>IFERROR(SUM(AX605:AZ605),"")</f>
        <v/>
      </c>
      <c r="AX605" s="105">
        <f>IFERROR(BH605,"")</f>
        <v/>
      </c>
      <c r="AY605" s="105">
        <f>IFERROR(Driver!$K$19/Data!BH605/Data!BI605*Data!BK605*Data!BL605,"")</f>
        <v/>
      </c>
      <c r="AZ605" s="105">
        <f>IFERROR(BI605*BN605,"")</f>
        <v/>
      </c>
      <c r="BA605" s="105" t="n"/>
      <c r="BB605" s="105" t="n"/>
      <c r="BC605" s="105">
        <f>IFERROR(BI605*BN605*BK605/BJ605^(1/2),"")</f>
        <v/>
      </c>
      <c r="BD605" s="105">
        <f>IFERROR(BH605*BM605*BL605/BJ605/BK605,"")</f>
        <v/>
      </c>
      <c r="BE605" s="105">
        <f>IFERROR(MIN(BI605/BQ605/BP605/BO605/BH605,$BE$1),"")</f>
        <v/>
      </c>
      <c r="BF605" s="105">
        <f>IFERROR(BJ605*BO605*BP605/BK605,"")</f>
        <v/>
      </c>
      <c r="BG605" s="105">
        <f>IFERROR(1/BM605/BH605*BQ605,"")</f>
        <v/>
      </c>
      <c r="BH605" s="102">
        <f>MAX((CE605-Driver!$F$200)/(Driver!$G$200-Driver!$F$200)*$BI$1,1)</f>
        <v/>
      </c>
      <c r="BI605" s="102">
        <f>MAX($BI$1*(BY605-Driver!$F$201)/(Driver!$G$201-Driver!$F$201),1)</f>
        <v/>
      </c>
      <c r="BJ605" s="102">
        <f>(CB605-Driver!$F$206)/(Driver!$G$206-Driver!$F$206)*$BI$1</f>
        <v/>
      </c>
      <c r="BK605" s="102">
        <f>(CD605-Driver!$F$203)/(Driver!$G$203-Driver!$F$203)*$BI$1</f>
        <v/>
      </c>
      <c r="BL605" s="102">
        <f>MAX((CR605-Driver!$F$202)/(Driver!$G$202-Driver!$F$202)*$BI$1,1)</f>
        <v/>
      </c>
      <c r="BM605" s="102">
        <f>MAX((CH605-Driver!$F$204)/(Driver!$G$204-Driver!$F$204)*$BI$1,1)</f>
        <v/>
      </c>
      <c r="BN605" s="102">
        <f>(CI605-Driver!$F$205)/(Driver!$G$205-Driver!$F$205)*$BI$1</f>
        <v/>
      </c>
      <c r="BO605" s="102">
        <f>(CK605-Driver!$F$207)/(Driver!$G$207-Driver!$F$207)*$BI$1</f>
        <v/>
      </c>
      <c r="BP605" s="102">
        <f>(CM605-Driver!$F$208)/(Driver!$G$208-Driver!$F$208)*$BI$1</f>
        <v/>
      </c>
      <c r="BQ605" s="102">
        <f>(CL605-Driver!$F$209)/(Driver!$G$209-Driver!$F$209)*$BI$1</f>
        <v/>
      </c>
      <c r="BR605" s="40" t="inlineStr">
        <is>
          <t>21/22</t>
        </is>
      </c>
      <c r="BS605" s="10" t="inlineStr">
        <is>
          <t xml:space="preserve"> Blizzard</t>
        </is>
      </c>
      <c r="BT605" s="11" t="inlineStr">
        <is>
          <t xml:space="preserve"> Spur</t>
        </is>
      </c>
      <c r="BU605" s="13" t="n">
        <v>159</v>
      </c>
      <c r="BV605" s="11" t="inlineStr">
        <is>
          <t xml:space="preserve"> Unisex</t>
        </is>
      </c>
      <c r="BW605" s="13" t="n">
        <v>159</v>
      </c>
      <c r="BX605" s="13" t="n">
        <v>158.3</v>
      </c>
      <c r="BY605" s="13" t="n">
        <v>80</v>
      </c>
      <c r="BZ605" s="13" t="n">
        <v>108</v>
      </c>
      <c r="CA605" s="13" t="n">
        <v>145</v>
      </c>
      <c r="CB605" s="13" t="n">
        <v>124</v>
      </c>
      <c r="CC605" s="13" t="n">
        <v>129</v>
      </c>
      <c r="CD605" s="13" t="n">
        <v>20.7</v>
      </c>
      <c r="CE605" s="13" t="n">
        <v>1702</v>
      </c>
      <c r="CF605" s="13" t="n">
        <v>1.2</v>
      </c>
      <c r="CG605" s="13" t="n">
        <v>2044</v>
      </c>
      <c r="CH605" s="13" t="n">
        <v>138</v>
      </c>
      <c r="CI605" s="13" t="n">
        <v>86</v>
      </c>
      <c r="CJ605" s="13" t="n">
        <v>53</v>
      </c>
      <c r="CK605" s="13" t="n">
        <v>489</v>
      </c>
      <c r="CL605" s="13" t="n">
        <v>15</v>
      </c>
      <c r="CM605" s="13" t="n">
        <v>293</v>
      </c>
      <c r="CN605" s="13" t="n">
        <v>0.279</v>
      </c>
      <c r="CO605" s="13" t="n">
        <v>272</v>
      </c>
      <c r="CP605" s="13" t="n">
        <v>231</v>
      </c>
      <c r="CQ605" s="13" t="n">
        <v>217</v>
      </c>
      <c r="CR605" s="13" t="n">
        <v>2</v>
      </c>
      <c r="CS605" s="13" t="n">
        <v>10.8</v>
      </c>
      <c r="CT605" s="11" t="inlineStr">
        <is>
          <t xml:space="preserve"> Big Mountain</t>
        </is>
      </c>
      <c r="CU605" s="11" t="inlineStr">
        <is>
          <t xml:space="preserve"> Touring</t>
        </is>
      </c>
      <c r="CV605" s="13" t="n"/>
      <c r="CW605" s="13" t="n"/>
      <c r="CX605">
        <f>INDEX('Data_Price '!AG$2:AG$1266,MATCH(Data!$DN605,'Data_Price '!$AT$2:$AT$1266,0))</f>
        <v/>
      </c>
      <c r="CY605">
        <f>INDEX('Data_Price '!AH$2:AH$1266,MATCH(Data!$DN605,'Data_Price '!$AT$2:$AT$1266,0))</f>
        <v/>
      </c>
      <c r="CZ605">
        <f>INDEX('Data_Price '!AI$2:AI$1266,MATCH(Data!$DN605,'Data_Price '!$AT$2:$AT$1266,0))</f>
        <v/>
      </c>
      <c r="DA605">
        <f>INDEX('Data_Price '!AJ$2:AJ$1266,MATCH(Data!$DN605,'Data_Price '!$AT$2:$AT$1266,0))</f>
        <v/>
      </c>
      <c r="DB605">
        <f>INDEX('Data_Price '!AK$2:AK$1266,MATCH(Data!$DN605,'Data_Price '!$AT$2:$AT$1266,0))</f>
        <v/>
      </c>
      <c r="DC605">
        <f>INDEX('Data_Price '!AL$2:AL$1266,MATCH(Data!$DN605,'Data_Price '!$AT$2:$AT$1266,0))</f>
        <v/>
      </c>
      <c r="DD605">
        <f>INDEX('Data_Price '!AM$2:AM$1266,MATCH(Data!$DN605,'Data_Price '!$AT$2:$AT$1266,0))</f>
        <v/>
      </c>
      <c r="DE605">
        <f>INDEX('Data_Price '!AN$2:AN$1266,MATCH(Data!$DN605,'Data_Price '!$AT$2:$AT$1266,0))</f>
        <v/>
      </c>
      <c r="DF605">
        <f>INDEX('Data_Price '!AO$2:AO$1266,MATCH(Data!$DN605,'Data_Price '!$AT$2:$AT$1266,0))</f>
        <v/>
      </c>
      <c r="DG605">
        <f>INDEX('Data_Price '!AP$2:AP$1266,MATCH(Data!$DN605,'Data_Price '!$AT$2:$AT$1266,0))</f>
        <v/>
      </c>
      <c r="DH605">
        <f>INDEX('Data_Price '!AQ$2:AQ$1266,MATCH(Data!$DN605,'Data_Price '!$AT$2:$AT$1266,0))</f>
        <v/>
      </c>
      <c r="DI605">
        <f>INDEX('Data_Price '!AR$2:AR$1266,MATCH(Data!$DN605,'Data_Price '!$AT$2:$AT$1266,0))</f>
        <v/>
      </c>
      <c r="DJ605" s="138">
        <f>DA605</f>
        <v/>
      </c>
      <c r="DK605" s="138">
        <f>DE605</f>
        <v/>
      </c>
      <c r="DL605" s="138">
        <f>DI605</f>
        <v/>
      </c>
      <c r="DM605" s="303">
        <f>IF(LEFT(BT605,1)=" ",RIGHT(BT605,LEN(BT605)-1),BT605)</f>
        <v/>
      </c>
      <c r="DN605" s="138">
        <f>_xlfn.CONCAT(BS605,DM605,BU605,BV605)</f>
        <v/>
      </c>
      <c r="DO605" s="307" t="inlineStr">
        <is>
          <t>https://images.evo.com/imgp/250/176886/722696/clone.jpg</t>
        </is>
      </c>
    </row>
    <row r="606" ht="15.6" customHeight="1" s="184">
      <c r="B606" s="303">
        <f t="array" ref="B606">IF(OR(ISERROR(K606:P606)),FALSE,TRUE)</f>
        <v/>
      </c>
      <c r="C606" s="60">
        <f>OR(BR606=Driver!$G$50,Data!BR319=Driver!$H$50)</f>
        <v/>
      </c>
      <c r="D606" s="60">
        <f>OR(BV606=Driver!$G$51,BV606=Driver!$H$51)</f>
        <v/>
      </c>
      <c r="E606" s="60">
        <f>AND(BX606&gt;Driver!$F$54,BX606&lt;Driver!$G$54)</f>
        <v/>
      </c>
      <c r="F606" s="60">
        <f>CL606&gt;Driver!$F$56</f>
        <v/>
      </c>
      <c r="G606" s="60">
        <f>AND(CB606&gt;Driver!$F$55,CB606&lt;Driver!$G$55)</f>
        <v/>
      </c>
      <c r="H606" s="60">
        <f>AND(B606:G606)</f>
        <v/>
      </c>
      <c r="I606" s="60">
        <f>COUNTIFS($H$9:$H$1273,TRUE,$BT$9:$BT$1273,BT606)</f>
        <v/>
      </c>
      <c r="J606" s="60">
        <f t="array" ref="J606">NOT(OR(($H$9:$H$1273=TRUE)*($I$9:$I$1273&gt;0)*($BT$9:$BT$1273=BT606)*($K$9:$K$1273&gt;K606)))</f>
        <v/>
      </c>
      <c r="K606" s="108">
        <f>IFERROR(1-AVERAGE(X606:Y606),"")</f>
        <v/>
      </c>
      <c r="L606" s="108">
        <f>1-X606</f>
        <v/>
      </c>
      <c r="M606" s="108">
        <f>1-Y606</f>
        <v/>
      </c>
      <c r="N606" s="108">
        <f>1-Z606</f>
        <v/>
      </c>
      <c r="O606" s="108">
        <f>1-AA606</f>
        <v/>
      </c>
      <c r="P606" s="108">
        <f>1-AB606</f>
        <v/>
      </c>
      <c r="Q606" s="108" t="n"/>
      <c r="R606" s="108" t="n"/>
      <c r="S606" s="108">
        <f>1-AE606</f>
        <v/>
      </c>
      <c r="T606" s="108">
        <f>1-AF606</f>
        <v/>
      </c>
      <c r="U606" s="108">
        <f>1-AG606</f>
        <v/>
      </c>
      <c r="V606" s="108">
        <f>1-AH606</f>
        <v/>
      </c>
      <c r="W606" s="108">
        <f>1-AI606</f>
        <v/>
      </c>
      <c r="X606" s="108">
        <f>ABS(AJ606-AJ$1)</f>
        <v/>
      </c>
      <c r="Y606" s="108">
        <f>AVERAGE(Z606:AB606)</f>
        <v/>
      </c>
      <c r="Z606" s="108">
        <f>ABS(AL606-AL$1)</f>
        <v/>
      </c>
      <c r="AA606" s="108">
        <f>ABS(AM606-AM$1)</f>
        <v/>
      </c>
      <c r="AB606" s="108">
        <f>ABS(AN606-AN$1)</f>
        <v/>
      </c>
      <c r="AC606" s="108" t="n"/>
      <c r="AD606" s="108" t="n"/>
      <c r="AE606" s="108">
        <f>ABS(AQ$1-AQ606)</f>
        <v/>
      </c>
      <c r="AF606" s="108">
        <f>ABS(AR$1-AR606)</f>
        <v/>
      </c>
      <c r="AG606" s="108">
        <f>ABS(AS$1-AS606)</f>
        <v/>
      </c>
      <c r="AH606" s="108">
        <f>ABS(AT$1-AT606)</f>
        <v/>
      </c>
      <c r="AI606" s="108">
        <f>ABS(AU$1-AU606)</f>
        <v/>
      </c>
      <c r="AJ606" s="108">
        <f>(AV606-Driver!$K$179)/(Driver!$L$179-Driver!$K$179)</f>
        <v/>
      </c>
      <c r="AK606" s="108">
        <f>(AW606-Driver!$K$180)/(Driver!$L$180-Driver!$K$180)</f>
        <v/>
      </c>
      <c r="AL606" s="108">
        <f>(AX606-Driver!$K$181)/(Driver!$L$181-Driver!$K$181)</f>
        <v/>
      </c>
      <c r="AM606" s="108">
        <f>(AY606-Driver!$K$182)/(Driver!$L$182-Driver!$K$182)</f>
        <v/>
      </c>
      <c r="AN606" s="108">
        <f>(AZ606-Driver!$K$183)/(Driver!$L$183-Driver!$K$183)</f>
        <v/>
      </c>
      <c r="AO606" s="108" t="n"/>
      <c r="AP606" s="108" t="n"/>
      <c r="AQ606" s="108">
        <f>(BC606-Driver!$K$188)/(Driver!$L$188-Driver!$K$188)</f>
        <v/>
      </c>
      <c r="AR606" s="108">
        <f>MIN((BD606-Driver!$K$189)/(Driver!$L$189-Driver!$K$189),100%)</f>
        <v/>
      </c>
      <c r="AS606" s="108">
        <f>(BE606-Driver!$K$190)/(Driver!$L$190-Driver!$K$190)</f>
        <v/>
      </c>
      <c r="AT606" s="108">
        <f>(BF606-Driver!$K$191)/(Driver!$L$191-Driver!$K$191)</f>
        <v/>
      </c>
      <c r="AU606" s="108">
        <f>(BG606-Driver!$K$192)/(Driver!$L$192-Driver!$K$192)</f>
        <v/>
      </c>
      <c r="AV606" s="105">
        <f>IFERROR(BM606*BJ606^1/4,"")</f>
        <v/>
      </c>
      <c r="AW606" s="105">
        <f>IFERROR(SUM(AX606:AZ606),"")</f>
        <v/>
      </c>
      <c r="AX606" s="105">
        <f>IFERROR(BH606,"")</f>
        <v/>
      </c>
      <c r="AY606" s="105">
        <f>IFERROR(Driver!$K$19/Data!BH606/Data!BI606*Data!BK606*Data!BL606,"")</f>
        <v/>
      </c>
      <c r="AZ606" s="105">
        <f>IFERROR(BI606*BN606,"")</f>
        <v/>
      </c>
      <c r="BA606" s="105" t="n"/>
      <c r="BB606" s="105" t="n"/>
      <c r="BC606" s="105">
        <f>IFERROR(BI606*BN606*BK606/BJ606^(1/2),"")</f>
        <v/>
      </c>
      <c r="BD606" s="105">
        <f>IFERROR(BH606*BM606*BL606/BJ606/BK606,"")</f>
        <v/>
      </c>
      <c r="BE606" s="105">
        <f>IFERROR(MIN(BI606/BQ606/BP606/BO606/BH606,$BE$1),"")</f>
        <v/>
      </c>
      <c r="BF606" s="105">
        <f>IFERROR(BJ606*BO606*BP606/BK606,"")</f>
        <v/>
      </c>
      <c r="BG606" s="105">
        <f>IFERROR(1/BM606/BH606*BQ606,"")</f>
        <v/>
      </c>
      <c r="BH606" s="102">
        <f>MAX((CE606-Driver!$F$200)/(Driver!$G$200-Driver!$F$200)*$BI$1,1)</f>
        <v/>
      </c>
      <c r="BI606" s="102">
        <f>MAX($BI$1*(BY606-Driver!$F$201)/(Driver!$G$201-Driver!$F$201),1)</f>
        <v/>
      </c>
      <c r="BJ606" s="102">
        <f>(CB606-Driver!$F$206)/(Driver!$G$206-Driver!$F$206)*$BI$1</f>
        <v/>
      </c>
      <c r="BK606" s="102">
        <f>(CD606-Driver!$F$203)/(Driver!$G$203-Driver!$F$203)*$BI$1</f>
        <v/>
      </c>
      <c r="BL606" s="102">
        <f>MAX((CR606-Driver!$F$202)/(Driver!$G$202-Driver!$F$202)*$BI$1,1)</f>
        <v/>
      </c>
      <c r="BM606" s="102">
        <f>MAX((CH606-Driver!$F$204)/(Driver!$G$204-Driver!$F$204)*$BI$1,1)</f>
        <v/>
      </c>
      <c r="BN606" s="102">
        <f>(CI606-Driver!$F$205)/(Driver!$G$205-Driver!$F$205)*$BI$1</f>
        <v/>
      </c>
      <c r="BO606" s="102">
        <f>(CK606-Driver!$F$207)/(Driver!$G$207-Driver!$F$207)*$BI$1</f>
        <v/>
      </c>
      <c r="BP606" s="102">
        <f>(CM606-Driver!$F$208)/(Driver!$G$208-Driver!$F$208)*$BI$1</f>
        <v/>
      </c>
      <c r="BQ606" s="102">
        <f>(CL606-Driver!$F$209)/(Driver!$G$209-Driver!$F$209)*$BI$1</f>
        <v/>
      </c>
      <c r="BR606" s="40" t="inlineStr">
        <is>
          <t>21/22</t>
        </is>
      </c>
      <c r="BS606" s="10" t="inlineStr">
        <is>
          <t xml:space="preserve"> Blizzard</t>
        </is>
      </c>
      <c r="BT606" s="11" t="inlineStr">
        <is>
          <t>Zero G 105</t>
        </is>
      </c>
      <c r="BU606" s="13" t="n">
        <v>172</v>
      </c>
      <c r="BV606" s="11" t="inlineStr">
        <is>
          <t xml:space="preserve"> Unisex</t>
        </is>
      </c>
      <c r="BW606" s="13" t="n">
        <v>172</v>
      </c>
      <c r="BX606" s="13" t="n">
        <v>169.8</v>
      </c>
      <c r="BY606" s="13" t="n">
        <v>124</v>
      </c>
      <c r="BZ606" s="13" t="n">
        <v>139</v>
      </c>
      <c r="CA606" s="13" t="n">
        <v>130</v>
      </c>
      <c r="CB606" s="13" t="n">
        <v>102</v>
      </c>
      <c r="CC606" s="13" t="n">
        <v>116</v>
      </c>
      <c r="CD606" s="13" t="n">
        <v>21.4</v>
      </c>
      <c r="CE606" s="13" t="n">
        <v>1416</v>
      </c>
      <c r="CF606" s="13" t="n">
        <v>1.32</v>
      </c>
      <c r="CG606" s="13" t="n">
        <v>1874</v>
      </c>
      <c r="CH606" s="13" t="n">
        <v>189</v>
      </c>
      <c r="CI606" s="13" t="n">
        <v>64</v>
      </c>
      <c r="CJ606" s="13" t="n">
        <v>54</v>
      </c>
      <c r="CK606" s="13" t="n">
        <v>297</v>
      </c>
      <c r="CL606" s="13" t="n">
        <v>18</v>
      </c>
      <c r="CM606" s="13" t="n">
        <v>165</v>
      </c>
      <c r="CN606" s="13" t="n">
        <v>0.332</v>
      </c>
      <c r="CO606" s="13" t="n">
        <v>160</v>
      </c>
      <c r="CP606" s="13" t="n">
        <v>148</v>
      </c>
      <c r="CQ606" s="13" t="n">
        <v>137</v>
      </c>
      <c r="CR606" s="13" t="n">
        <v>6</v>
      </c>
      <c r="CS606" s="13" t="n">
        <v>9.800000000000001</v>
      </c>
      <c r="CT606" s="11" t="inlineStr">
        <is>
          <t xml:space="preserve"> Big Mountain</t>
        </is>
      </c>
      <c r="CU606" s="11" t="inlineStr">
        <is>
          <t xml:space="preserve"> Touring</t>
        </is>
      </c>
      <c r="CV606" s="11" t="inlineStr">
        <is>
          <t xml:space="preserve"> Ultralight Touring</t>
        </is>
      </c>
      <c r="CW606" s="13" t="n"/>
      <c r="CX606">
        <f>INDEX('Data_Price '!AG$2:AG$1266,MATCH(Data!$DN606,'Data_Price '!$AT$2:$AT$1266,0))</f>
        <v/>
      </c>
      <c r="CY606">
        <f>INDEX('Data_Price '!AH$2:AH$1266,MATCH(Data!$DN606,'Data_Price '!$AT$2:$AT$1266,0))</f>
        <v/>
      </c>
      <c r="CZ606">
        <f>INDEX('Data_Price '!AI$2:AI$1266,MATCH(Data!$DN606,'Data_Price '!$AT$2:$AT$1266,0))</f>
        <v/>
      </c>
      <c r="DA606">
        <f>INDEX('Data_Price '!AJ$2:AJ$1266,MATCH(Data!$DN606,'Data_Price '!$AT$2:$AT$1266,0))</f>
        <v/>
      </c>
      <c r="DB606">
        <f>INDEX('Data_Price '!AK$2:AK$1266,MATCH(Data!$DN606,'Data_Price '!$AT$2:$AT$1266,0))</f>
        <v/>
      </c>
      <c r="DC606">
        <f>INDEX('Data_Price '!AL$2:AL$1266,MATCH(Data!$DN606,'Data_Price '!$AT$2:$AT$1266,0))</f>
        <v/>
      </c>
      <c r="DD606">
        <f>INDEX('Data_Price '!AM$2:AM$1266,MATCH(Data!$DN606,'Data_Price '!$AT$2:$AT$1266,0))</f>
        <v/>
      </c>
      <c r="DE606">
        <f>INDEX('Data_Price '!AN$2:AN$1266,MATCH(Data!$DN606,'Data_Price '!$AT$2:$AT$1266,0))</f>
        <v/>
      </c>
      <c r="DF606">
        <f>INDEX('Data_Price '!AO$2:AO$1266,MATCH(Data!$DN606,'Data_Price '!$AT$2:$AT$1266,0))</f>
        <v/>
      </c>
      <c r="DG606">
        <f>INDEX('Data_Price '!AP$2:AP$1266,MATCH(Data!$DN606,'Data_Price '!$AT$2:$AT$1266,0))</f>
        <v/>
      </c>
      <c r="DH606">
        <f>INDEX('Data_Price '!AQ$2:AQ$1266,MATCH(Data!$DN606,'Data_Price '!$AT$2:$AT$1266,0))</f>
        <v/>
      </c>
      <c r="DI606">
        <f>INDEX('Data_Price '!AR$2:AR$1266,MATCH(Data!$DN606,'Data_Price '!$AT$2:$AT$1266,0))</f>
        <v/>
      </c>
      <c r="DJ606" s="138">
        <f>DA606</f>
        <v/>
      </c>
      <c r="DK606" s="138">
        <f>DE606</f>
        <v/>
      </c>
      <c r="DL606" s="138">
        <f>DI606</f>
        <v/>
      </c>
      <c r="DM606" s="303">
        <f>IF(LEFT(BT606,1)=" ",RIGHT(BT606,LEN(BT606)-1),BT606)</f>
        <v/>
      </c>
      <c r="DN606" s="138">
        <f>_xlfn.CONCAT(BS606,DM606,BU606,BV606)</f>
        <v/>
      </c>
      <c r="DO606" s="307" t="inlineStr">
        <is>
          <t>https://images.evo.com/imgp/250/197481/783558/blizzard-zero-g-105-skis-2022-.jpg</t>
        </is>
      </c>
    </row>
    <row r="607" ht="15.6" customHeight="1" s="184">
      <c r="B607" s="303">
        <f t="array" ref="B607">IF(OR(ISERROR(K607:P607)),FALSE,TRUE)</f>
        <v/>
      </c>
      <c r="C607" s="60">
        <f>OR(BR607=Driver!$G$50,Data!BR685=Driver!$H$50)</f>
        <v/>
      </c>
      <c r="D607" s="60">
        <f>OR(BV607=Driver!$G$51,BV607=Driver!$H$51)</f>
        <v/>
      </c>
      <c r="E607" s="60">
        <f>AND(BX607&gt;Driver!$F$54,BX607&lt;Driver!$G$54)</f>
        <v/>
      </c>
      <c r="F607" s="60">
        <f>CL607&gt;Driver!$F$56</f>
        <v/>
      </c>
      <c r="G607" s="60">
        <f>AND(CB607&gt;Driver!$F$55,CB607&lt;Driver!$G$55)</f>
        <v/>
      </c>
      <c r="H607" s="60">
        <f>AND(B607:G607)</f>
        <v/>
      </c>
      <c r="I607" s="60">
        <f>COUNTIFS($H$9:$H$1273,TRUE,$BT$9:$BT$1273,BT607)</f>
        <v/>
      </c>
      <c r="J607" s="60">
        <f t="array" ref="J607">NOT(OR(($H$9:$H$1273=TRUE)*($I$9:$I$1273&gt;0)*($BT$9:$BT$1273=BT607)*($K$9:$K$1273&gt;K607)))</f>
        <v/>
      </c>
      <c r="K607" s="108">
        <f>IFERROR(1-AVERAGE(X607:Y607),"")</f>
        <v/>
      </c>
      <c r="L607" s="108">
        <f>1-X607</f>
        <v/>
      </c>
      <c r="M607" s="108">
        <f>1-Y607</f>
        <v/>
      </c>
      <c r="N607" s="108">
        <f>1-Z607</f>
        <v/>
      </c>
      <c r="O607" s="108">
        <f>1-AA607</f>
        <v/>
      </c>
      <c r="P607" s="108">
        <f>1-AB607</f>
        <v/>
      </c>
      <c r="Q607" s="108" t="n"/>
      <c r="R607" s="108" t="n"/>
      <c r="S607" s="108">
        <f>1-AE607</f>
        <v/>
      </c>
      <c r="T607" s="108">
        <f>1-AF607</f>
        <v/>
      </c>
      <c r="U607" s="108">
        <f>1-AG607</f>
        <v/>
      </c>
      <c r="V607" s="108">
        <f>1-AH607</f>
        <v/>
      </c>
      <c r="W607" s="108">
        <f>1-AI607</f>
        <v/>
      </c>
      <c r="X607" s="108">
        <f>ABS(AJ607-AJ$1)</f>
        <v/>
      </c>
      <c r="Y607" s="108">
        <f>AVERAGE(Z607:AB607)</f>
        <v/>
      </c>
      <c r="Z607" s="108">
        <f>ABS(AL607-AL$1)</f>
        <v/>
      </c>
      <c r="AA607" s="108">
        <f>ABS(AM607-AM$1)</f>
        <v/>
      </c>
      <c r="AB607" s="108">
        <f>ABS(AN607-AN$1)</f>
        <v/>
      </c>
      <c r="AC607" s="108" t="n"/>
      <c r="AD607" s="108" t="n"/>
      <c r="AE607" s="108">
        <f>ABS(AQ$1-AQ607)</f>
        <v/>
      </c>
      <c r="AF607" s="108">
        <f>ABS(AR$1-AR607)</f>
        <v/>
      </c>
      <c r="AG607" s="108">
        <f>ABS(AS$1-AS607)</f>
        <v/>
      </c>
      <c r="AH607" s="108">
        <f>ABS(AT$1-AT607)</f>
        <v/>
      </c>
      <c r="AI607" s="108">
        <f>ABS(AU$1-AU607)</f>
        <v/>
      </c>
      <c r="AJ607" s="108">
        <f>(AV607-Driver!$K$179)/(Driver!$L$179-Driver!$K$179)</f>
        <v/>
      </c>
      <c r="AK607" s="108">
        <f>(AW607-Driver!$K$180)/(Driver!$L$180-Driver!$K$180)</f>
        <v/>
      </c>
      <c r="AL607" s="108">
        <f>(AX607-Driver!$K$181)/(Driver!$L$181-Driver!$K$181)</f>
        <v/>
      </c>
      <c r="AM607" s="108">
        <f>(AY607-Driver!$K$182)/(Driver!$L$182-Driver!$K$182)</f>
        <v/>
      </c>
      <c r="AN607" s="108">
        <f>(AZ607-Driver!$K$183)/(Driver!$L$183-Driver!$K$183)</f>
        <v/>
      </c>
      <c r="AO607" s="108" t="n"/>
      <c r="AP607" s="108" t="n"/>
      <c r="AQ607" s="108">
        <f>(BC607-Driver!$K$188)/(Driver!$L$188-Driver!$K$188)</f>
        <v/>
      </c>
      <c r="AR607" s="108">
        <f>MIN((BD607-Driver!$K$189)/(Driver!$L$189-Driver!$K$189),100%)</f>
        <v/>
      </c>
      <c r="AS607" s="108">
        <f>(BE607-Driver!$K$190)/(Driver!$L$190-Driver!$K$190)</f>
        <v/>
      </c>
      <c r="AT607" s="108">
        <f>(BF607-Driver!$K$191)/(Driver!$L$191-Driver!$K$191)</f>
        <v/>
      </c>
      <c r="AU607" s="108">
        <f>(BG607-Driver!$K$192)/(Driver!$L$192-Driver!$K$192)</f>
        <v/>
      </c>
      <c r="AV607" s="105">
        <f>IFERROR(BM607*BJ607^1/4,"")</f>
        <v/>
      </c>
      <c r="AW607" s="105">
        <f>IFERROR(SUM(AX607:AZ607),"")</f>
        <v/>
      </c>
      <c r="AX607" s="105">
        <f>IFERROR(BH607,"")</f>
        <v/>
      </c>
      <c r="AY607" s="105">
        <f>IFERROR(Driver!$K$19/Data!BH607/Data!BI607*Data!BK607*Data!BL607,"")</f>
        <v/>
      </c>
      <c r="AZ607" s="105">
        <f>IFERROR(BI607*BN607,"")</f>
        <v/>
      </c>
      <c r="BA607" s="105" t="n"/>
      <c r="BB607" s="105" t="n"/>
      <c r="BC607" s="105">
        <f>IFERROR(BI607*BN607*BK607/BJ607^(1/2),"")</f>
        <v/>
      </c>
      <c r="BD607" s="105">
        <f>IFERROR(BH607*BM607*BL607/BJ607/BK607,"")</f>
        <v/>
      </c>
      <c r="BE607" s="105">
        <f>IFERROR(MIN(BI607/BQ607/BP607/BO607/BH607,$BE$1),"")</f>
        <v/>
      </c>
      <c r="BF607" s="105">
        <f>IFERROR(BJ607*BO607*BP607/BK607,"")</f>
        <v/>
      </c>
      <c r="BG607" s="105">
        <f>IFERROR(1/BM607/BH607*BQ607,"")</f>
        <v/>
      </c>
      <c r="BH607" s="102">
        <f>MAX((CE607-Driver!$F$200)/(Driver!$G$200-Driver!$F$200)*$BI$1,1)</f>
        <v/>
      </c>
      <c r="BI607" s="102">
        <f>MAX($BI$1*(BY607-Driver!$F$201)/(Driver!$G$201-Driver!$F$201),1)</f>
        <v/>
      </c>
      <c r="BJ607" s="102">
        <f>(CB607-Driver!$F$206)/(Driver!$G$206-Driver!$F$206)*$BI$1</f>
        <v/>
      </c>
      <c r="BK607" s="102">
        <f>(CD607-Driver!$F$203)/(Driver!$G$203-Driver!$F$203)*$BI$1</f>
        <v/>
      </c>
      <c r="BL607" s="102">
        <f>MAX((CR607-Driver!$F$202)/(Driver!$G$202-Driver!$F$202)*$BI$1,1)</f>
        <v/>
      </c>
      <c r="BM607" s="102">
        <f>MAX((CH607-Driver!$F$204)/(Driver!$G$204-Driver!$F$204)*$BI$1,1)</f>
        <v/>
      </c>
      <c r="BN607" s="102">
        <f>(CI607-Driver!$F$205)/(Driver!$G$205-Driver!$F$205)*$BI$1</f>
        <v/>
      </c>
      <c r="BO607" s="102">
        <f>(CK607-Driver!$F$207)/(Driver!$G$207-Driver!$F$207)*$BI$1</f>
        <v/>
      </c>
      <c r="BP607" s="102">
        <f>(CM607-Driver!$F$208)/(Driver!$G$208-Driver!$F$208)*$BI$1</f>
        <v/>
      </c>
      <c r="BQ607" s="102">
        <f>(CL607-Driver!$F$209)/(Driver!$G$209-Driver!$F$209)*$BI$1</f>
        <v/>
      </c>
      <c r="BR607" s="40" t="inlineStr">
        <is>
          <t>21/22</t>
        </is>
      </c>
      <c r="BS607" s="10" t="inlineStr">
        <is>
          <t xml:space="preserve"> Icelantic</t>
        </is>
      </c>
      <c r="BT607" s="11" t="inlineStr">
        <is>
          <t>Nomad Lite 105</t>
        </is>
      </c>
      <c r="BU607" s="13" t="n">
        <v>181</v>
      </c>
      <c r="BV607" s="11" t="inlineStr">
        <is>
          <t xml:space="preserve"> Unisex</t>
        </is>
      </c>
      <c r="BW607" s="13" t="n">
        <v>181</v>
      </c>
      <c r="BX607" s="13" t="n">
        <v>178.5</v>
      </c>
      <c r="BY607" s="13" t="n">
        <v>112</v>
      </c>
      <c r="BZ607" s="13" t="n">
        <v>153</v>
      </c>
      <c r="CA607" s="13" t="n">
        <v>145</v>
      </c>
      <c r="CB607" s="13" t="n">
        <v>111</v>
      </c>
      <c r="CC607" s="13" t="n">
        <v>135</v>
      </c>
      <c r="CD607" s="13" t="n">
        <v>19.2</v>
      </c>
      <c r="CE607" s="13" t="n">
        <v>1902</v>
      </c>
      <c r="CF607" s="13" t="n">
        <v>1.14</v>
      </c>
      <c r="CG607" s="13" t="n">
        <v>2166</v>
      </c>
      <c r="CH607" s="13" t="n">
        <v>277</v>
      </c>
      <c r="CI607" s="13" t="n">
        <v>115</v>
      </c>
      <c r="CJ607" s="13" t="n">
        <v>56</v>
      </c>
      <c r="CK607" s="13" t="n">
        <v>357</v>
      </c>
      <c r="CL607" s="13" t="n">
        <v>55</v>
      </c>
      <c r="CM607" s="13" t="n">
        <v>308</v>
      </c>
      <c r="CN607" s="13" t="n">
        <v>0.968</v>
      </c>
      <c r="CO607" s="13" t="n">
        <v>127</v>
      </c>
      <c r="CP607" s="13" t="n">
        <v>130</v>
      </c>
      <c r="CQ607" s="13" t="n">
        <v>230</v>
      </c>
      <c r="CR607" s="13" t="n">
        <v>3</v>
      </c>
      <c r="CS607" s="13" t="n">
        <v>9.4</v>
      </c>
      <c r="CT607" s="11" t="inlineStr">
        <is>
          <t xml:space="preserve"> Freeski</t>
        </is>
      </c>
      <c r="CU607" s="11" t="inlineStr">
        <is>
          <t xml:space="preserve"> Powder</t>
        </is>
      </c>
      <c r="CV607" s="11" t="inlineStr">
        <is>
          <t xml:space="preserve"> Touring</t>
        </is>
      </c>
      <c r="CW607" s="13" t="n"/>
      <c r="CX607">
        <f>INDEX('Data_Price '!AG$2:AG$1266,MATCH(Data!$DN607,'Data_Price '!$AT$2:$AT$1266,0))</f>
        <v/>
      </c>
      <c r="CY607">
        <f>INDEX('Data_Price '!AH$2:AH$1266,MATCH(Data!$DN607,'Data_Price '!$AT$2:$AT$1266,0))</f>
        <v/>
      </c>
      <c r="CZ607">
        <f>INDEX('Data_Price '!AI$2:AI$1266,MATCH(Data!$DN607,'Data_Price '!$AT$2:$AT$1266,0))</f>
        <v/>
      </c>
      <c r="DA607">
        <f>INDEX('Data_Price '!AJ$2:AJ$1266,MATCH(Data!$DN607,'Data_Price '!$AT$2:$AT$1266,0))</f>
        <v/>
      </c>
      <c r="DB607">
        <f>INDEX('Data_Price '!AK$2:AK$1266,MATCH(Data!$DN607,'Data_Price '!$AT$2:$AT$1266,0))</f>
        <v/>
      </c>
      <c r="DC607">
        <f>INDEX('Data_Price '!AL$2:AL$1266,MATCH(Data!$DN607,'Data_Price '!$AT$2:$AT$1266,0))</f>
        <v/>
      </c>
      <c r="DD607">
        <f>INDEX('Data_Price '!AM$2:AM$1266,MATCH(Data!$DN607,'Data_Price '!$AT$2:$AT$1266,0))</f>
        <v/>
      </c>
      <c r="DE607">
        <f>INDEX('Data_Price '!AN$2:AN$1266,MATCH(Data!$DN607,'Data_Price '!$AT$2:$AT$1266,0))</f>
        <v/>
      </c>
      <c r="DF607">
        <f>INDEX('Data_Price '!AO$2:AO$1266,MATCH(Data!$DN607,'Data_Price '!$AT$2:$AT$1266,0))</f>
        <v/>
      </c>
      <c r="DG607">
        <f>INDEX('Data_Price '!AP$2:AP$1266,MATCH(Data!$DN607,'Data_Price '!$AT$2:$AT$1266,0))</f>
        <v/>
      </c>
      <c r="DH607">
        <f>INDEX('Data_Price '!AQ$2:AQ$1266,MATCH(Data!$DN607,'Data_Price '!$AT$2:$AT$1266,0))</f>
        <v/>
      </c>
      <c r="DI607">
        <f>INDEX('Data_Price '!AR$2:AR$1266,MATCH(Data!$DN607,'Data_Price '!$AT$2:$AT$1266,0))</f>
        <v/>
      </c>
      <c r="DJ607" s="138">
        <f>DA607</f>
        <v/>
      </c>
      <c r="DK607" s="138">
        <f>DE607</f>
        <v/>
      </c>
      <c r="DL607" s="138">
        <f>DI607</f>
        <v/>
      </c>
      <c r="DM607" s="303">
        <f>IF(LEFT(BT607,1)=" ",RIGHT(BT607,LEN(BT607)-1),BT607)</f>
        <v/>
      </c>
      <c r="DN607" s="138">
        <f>_xlfn.CONCAT(BS607,DM607,BU607,BV607)</f>
        <v/>
      </c>
      <c r="DO607" s="307" t="inlineStr">
        <is>
          <t>https://images.evo.com/imgp/250/208406/833110/icelantic-nomad-lite-105-skis-2022-.jpg</t>
        </is>
      </c>
    </row>
    <row r="608" ht="15.6" customHeight="1" s="184">
      <c r="B608" s="303">
        <f t="array" ref="B608">IF(OR(ISERROR(K608:P608)),FALSE,TRUE)</f>
        <v/>
      </c>
      <c r="C608" s="60">
        <f>OR(BR608=Driver!$G$50,Data!BR335=Driver!$H$50)</f>
        <v/>
      </c>
      <c r="D608" s="60">
        <f>OR(BV608=Driver!$G$51,BV608=Driver!$H$51)</f>
        <v/>
      </c>
      <c r="E608" s="60">
        <f>AND(BX608&gt;Driver!$F$54,BX608&lt;Driver!$G$54)</f>
        <v/>
      </c>
      <c r="F608" s="60">
        <f>CL608&gt;Driver!$F$56</f>
        <v/>
      </c>
      <c r="G608" s="60">
        <f>AND(CB608&gt;Driver!$F$55,CB608&lt;Driver!$G$55)</f>
        <v/>
      </c>
      <c r="H608" s="60">
        <f>AND(B608:G608)</f>
        <v/>
      </c>
      <c r="I608" s="60">
        <f>COUNTIFS($H$9:$H$1273,TRUE,$BT$9:$BT$1273,BT608)</f>
        <v/>
      </c>
      <c r="J608" s="60">
        <f t="array" ref="J608">NOT(OR(($H$9:$H$1273=TRUE)*($I$9:$I$1273&gt;0)*($BT$9:$BT$1273=BT608)*($K$9:$K$1273&gt;K608)))</f>
        <v/>
      </c>
      <c r="K608" s="108">
        <f>IFERROR(1-AVERAGE(X608:Y608),"")</f>
        <v/>
      </c>
      <c r="L608" s="108">
        <f>1-X608</f>
        <v/>
      </c>
      <c r="M608" s="108">
        <f>1-Y608</f>
        <v/>
      </c>
      <c r="N608" s="108">
        <f>1-Z608</f>
        <v/>
      </c>
      <c r="O608" s="108">
        <f>1-AA608</f>
        <v/>
      </c>
      <c r="P608" s="108">
        <f>1-AB608</f>
        <v/>
      </c>
      <c r="Q608" s="108" t="n"/>
      <c r="R608" s="108" t="n"/>
      <c r="S608" s="108">
        <f>1-AE608</f>
        <v/>
      </c>
      <c r="T608" s="108">
        <f>1-AF608</f>
        <v/>
      </c>
      <c r="U608" s="108">
        <f>1-AG608</f>
        <v/>
      </c>
      <c r="V608" s="108">
        <f>1-AH608</f>
        <v/>
      </c>
      <c r="W608" s="108">
        <f>1-AI608</f>
        <v/>
      </c>
      <c r="X608" s="108">
        <f>ABS(AJ608-AJ$1)</f>
        <v/>
      </c>
      <c r="Y608" s="108">
        <f>AVERAGE(Z608:AB608)</f>
        <v/>
      </c>
      <c r="Z608" s="108">
        <f>ABS(AL608-AL$1)</f>
        <v/>
      </c>
      <c r="AA608" s="108">
        <f>ABS(AM608-AM$1)</f>
        <v/>
      </c>
      <c r="AB608" s="108">
        <f>ABS(AN608-AN$1)</f>
        <v/>
      </c>
      <c r="AC608" s="108" t="n"/>
      <c r="AD608" s="108" t="n"/>
      <c r="AE608" s="108">
        <f>ABS(AQ$1-AQ608)</f>
        <v/>
      </c>
      <c r="AF608" s="108">
        <f>ABS(AR$1-AR608)</f>
        <v/>
      </c>
      <c r="AG608" s="108">
        <f>ABS(AS$1-AS608)</f>
        <v/>
      </c>
      <c r="AH608" s="108">
        <f>ABS(AT$1-AT608)</f>
        <v/>
      </c>
      <c r="AI608" s="108">
        <f>ABS(AU$1-AU608)</f>
        <v/>
      </c>
      <c r="AJ608" s="108">
        <f>(AV608-Driver!$K$179)/(Driver!$L$179-Driver!$K$179)</f>
        <v/>
      </c>
      <c r="AK608" s="108">
        <f>(AW608-Driver!$K$180)/(Driver!$L$180-Driver!$K$180)</f>
        <v/>
      </c>
      <c r="AL608" s="108">
        <f>(AX608-Driver!$K$181)/(Driver!$L$181-Driver!$K$181)</f>
        <v/>
      </c>
      <c r="AM608" s="108">
        <f>(AY608-Driver!$K$182)/(Driver!$L$182-Driver!$K$182)</f>
        <v/>
      </c>
      <c r="AN608" s="108">
        <f>(AZ608-Driver!$K$183)/(Driver!$L$183-Driver!$K$183)</f>
        <v/>
      </c>
      <c r="AO608" s="108" t="n"/>
      <c r="AP608" s="108" t="n"/>
      <c r="AQ608" s="108">
        <f>(BC608-Driver!$K$188)/(Driver!$L$188-Driver!$K$188)</f>
        <v/>
      </c>
      <c r="AR608" s="108">
        <f>MIN((BD608-Driver!$K$189)/(Driver!$L$189-Driver!$K$189),100%)</f>
        <v/>
      </c>
      <c r="AS608" s="108">
        <f>(BE608-Driver!$K$190)/(Driver!$L$190-Driver!$K$190)</f>
        <v/>
      </c>
      <c r="AT608" s="108">
        <f>(BF608-Driver!$K$191)/(Driver!$L$191-Driver!$K$191)</f>
        <v/>
      </c>
      <c r="AU608" s="108">
        <f>(BG608-Driver!$K$192)/(Driver!$L$192-Driver!$K$192)</f>
        <v/>
      </c>
      <c r="AV608" s="105">
        <f>IFERROR(BM608*BJ608^1/4,"")</f>
        <v/>
      </c>
      <c r="AW608" s="105">
        <f>IFERROR(SUM(AX608:AZ608),"")</f>
        <v/>
      </c>
      <c r="AX608" s="105">
        <f>IFERROR(BH608,"")</f>
        <v/>
      </c>
      <c r="AY608" s="105">
        <f>IFERROR(Driver!$K$19/Data!BH608/Data!BI608*Data!BK608*Data!BL608,"")</f>
        <v/>
      </c>
      <c r="AZ608" s="105">
        <f>IFERROR(BI608*BN608,"")</f>
        <v/>
      </c>
      <c r="BA608" s="105" t="n"/>
      <c r="BB608" s="105" t="n"/>
      <c r="BC608" s="105">
        <f>IFERROR(BI608*BN608*BK608/BJ608^(1/2),"")</f>
        <v/>
      </c>
      <c r="BD608" s="105">
        <f>IFERROR(BH608*BM608*BL608/BJ608/BK608,"")</f>
        <v/>
      </c>
      <c r="BE608" s="105">
        <f>IFERROR(MIN(BI608/BQ608/BP608/BO608/BH608,$BE$1),"")</f>
        <v/>
      </c>
      <c r="BF608" s="105">
        <f>IFERROR(BJ608*BO608*BP608/BK608,"")</f>
        <v/>
      </c>
      <c r="BG608" s="105">
        <f>IFERROR(1/BM608/BH608*BQ608,"")</f>
        <v/>
      </c>
      <c r="BH608" s="102">
        <f>MAX((CE608-Driver!$F$200)/(Driver!$G$200-Driver!$F$200)*$BI$1,1)</f>
        <v/>
      </c>
      <c r="BI608" s="102">
        <f>MAX($BI$1*(BY608-Driver!$F$201)/(Driver!$G$201-Driver!$F$201),1)</f>
        <v/>
      </c>
      <c r="BJ608" s="102">
        <f>(CB608-Driver!$F$206)/(Driver!$G$206-Driver!$F$206)*$BI$1</f>
        <v/>
      </c>
      <c r="BK608" s="102">
        <f>(CD608-Driver!$F$203)/(Driver!$G$203-Driver!$F$203)*$BI$1</f>
        <v/>
      </c>
      <c r="BL608" s="102">
        <f>MAX((CR608-Driver!$F$202)/(Driver!$G$202-Driver!$F$202)*$BI$1,1)</f>
        <v/>
      </c>
      <c r="BM608" s="102">
        <f>MAX((CH608-Driver!$F$204)/(Driver!$G$204-Driver!$F$204)*$BI$1,1)</f>
        <v/>
      </c>
      <c r="BN608" s="102">
        <f>(CI608-Driver!$F$205)/(Driver!$G$205-Driver!$F$205)*$BI$1</f>
        <v/>
      </c>
      <c r="BO608" s="102">
        <f>(CK608-Driver!$F$207)/(Driver!$G$207-Driver!$F$207)*$BI$1</f>
        <v/>
      </c>
      <c r="BP608" s="102">
        <f>(CM608-Driver!$F$208)/(Driver!$G$208-Driver!$F$208)*$BI$1</f>
        <v/>
      </c>
      <c r="BQ608" s="102">
        <f>(CL608-Driver!$F$209)/(Driver!$G$209-Driver!$F$209)*$BI$1</f>
        <v/>
      </c>
      <c r="BR608" s="40" t="inlineStr">
        <is>
          <t>21/22</t>
        </is>
      </c>
      <c r="BS608" s="10" t="inlineStr">
        <is>
          <t xml:space="preserve"> DPS</t>
        </is>
      </c>
      <c r="BT608" s="11" t="inlineStr">
        <is>
          <t>Foundation 103 Koala</t>
        </is>
      </c>
      <c r="BU608" s="13" t="n">
        <v>189</v>
      </c>
      <c r="BV608" s="11" t="inlineStr">
        <is>
          <t xml:space="preserve"> Unisex</t>
        </is>
      </c>
      <c r="BW608" s="13" t="n">
        <v>189</v>
      </c>
      <c r="BX608" s="13" t="n">
        <v>187.4</v>
      </c>
      <c r="BY608" s="13" t="n">
        <v>120</v>
      </c>
      <c r="BZ608" s="13" t="n">
        <v>145</v>
      </c>
      <c r="CA608" s="13" t="n">
        <v>134</v>
      </c>
      <c r="CB608" s="13" t="n">
        <v>102</v>
      </c>
      <c r="CC608" s="13" t="n">
        <v>122</v>
      </c>
      <c r="CD608" s="13" t="n">
        <v>18.1</v>
      </c>
      <c r="CE608" s="13" t="n">
        <v>2041</v>
      </c>
      <c r="CF608" s="13" t="n">
        <v>1.04</v>
      </c>
      <c r="CG608" s="13" t="n">
        <v>2132</v>
      </c>
      <c r="CH608" s="13" t="n">
        <v>250</v>
      </c>
      <c r="CI608" s="13" t="n">
        <v>115</v>
      </c>
      <c r="CJ608" s="13" t="n">
        <v>61</v>
      </c>
      <c r="CK608" s="13" t="n">
        <v>350</v>
      </c>
      <c r="CL608" s="13" t="n">
        <v>45</v>
      </c>
      <c r="CM608" s="13" t="n">
        <v>327</v>
      </c>
      <c r="CN608" s="13" t="n">
        <v>0.741</v>
      </c>
      <c r="CO608" s="13" t="n">
        <v>243</v>
      </c>
      <c r="CP608" s="13" t="n">
        <v>180</v>
      </c>
      <c r="CQ608" s="13" t="n">
        <v>107</v>
      </c>
      <c r="CR608" s="13" t="n">
        <v>4</v>
      </c>
      <c r="CS608" s="13" t="n">
        <v>7.2</v>
      </c>
      <c r="CT608" s="11" t="inlineStr">
        <is>
          <t xml:space="preserve"> Resort Freeride</t>
        </is>
      </c>
      <c r="CU608" s="11" t="inlineStr">
        <is>
          <t xml:space="preserve"> Powder</t>
        </is>
      </c>
      <c r="CV608" s="13" t="n"/>
      <c r="CW608" s="13" t="n"/>
      <c r="CX608">
        <f>INDEX('Data_Price '!AG$2:AG$1266,MATCH(Data!$DN608,'Data_Price '!$AT$2:$AT$1266,0))</f>
        <v/>
      </c>
      <c r="CY608">
        <f>INDEX('Data_Price '!AH$2:AH$1266,MATCH(Data!$DN608,'Data_Price '!$AT$2:$AT$1266,0))</f>
        <v/>
      </c>
      <c r="CZ608">
        <f>INDEX('Data_Price '!AI$2:AI$1266,MATCH(Data!$DN608,'Data_Price '!$AT$2:$AT$1266,0))</f>
        <v/>
      </c>
      <c r="DA608">
        <f>INDEX('Data_Price '!AJ$2:AJ$1266,MATCH(Data!$DN608,'Data_Price '!$AT$2:$AT$1266,0))</f>
        <v/>
      </c>
      <c r="DB608">
        <f>INDEX('Data_Price '!AK$2:AK$1266,MATCH(Data!$DN608,'Data_Price '!$AT$2:$AT$1266,0))</f>
        <v/>
      </c>
      <c r="DC608">
        <f>INDEX('Data_Price '!AL$2:AL$1266,MATCH(Data!$DN608,'Data_Price '!$AT$2:$AT$1266,0))</f>
        <v/>
      </c>
      <c r="DD608">
        <f>INDEX('Data_Price '!AM$2:AM$1266,MATCH(Data!$DN608,'Data_Price '!$AT$2:$AT$1266,0))</f>
        <v/>
      </c>
      <c r="DE608">
        <f>INDEX('Data_Price '!AN$2:AN$1266,MATCH(Data!$DN608,'Data_Price '!$AT$2:$AT$1266,0))</f>
        <v/>
      </c>
      <c r="DF608">
        <f>INDEX('Data_Price '!AO$2:AO$1266,MATCH(Data!$DN608,'Data_Price '!$AT$2:$AT$1266,0))</f>
        <v/>
      </c>
      <c r="DG608">
        <f>INDEX('Data_Price '!AP$2:AP$1266,MATCH(Data!$DN608,'Data_Price '!$AT$2:$AT$1266,0))</f>
        <v/>
      </c>
      <c r="DH608">
        <f>INDEX('Data_Price '!AQ$2:AQ$1266,MATCH(Data!$DN608,'Data_Price '!$AT$2:$AT$1266,0))</f>
        <v/>
      </c>
      <c r="DI608">
        <f>INDEX('Data_Price '!AR$2:AR$1266,MATCH(Data!$DN608,'Data_Price '!$AT$2:$AT$1266,0))</f>
        <v/>
      </c>
      <c r="DJ608" s="138">
        <f>DA608</f>
        <v/>
      </c>
      <c r="DK608" s="138">
        <f>DE608</f>
        <v/>
      </c>
      <c r="DL608" s="138">
        <f>DI608</f>
        <v/>
      </c>
      <c r="DM608" s="303">
        <f>IF(LEFT(BT608,1)=" ",RIGHT(BT608,LEN(BT608)-1),BT608)</f>
        <v/>
      </c>
      <c r="DN608" s="138">
        <f>_xlfn.CONCAT(BS608,DM608,BU608,BV608)</f>
        <v/>
      </c>
      <c r="DO608" s="307" t="n"/>
    </row>
    <row r="609" ht="15.6" customHeight="1" s="184">
      <c r="B609" s="303">
        <f t="array" ref="B609">IF(OR(ISERROR(K609:P609)),FALSE,TRUE)</f>
        <v/>
      </c>
      <c r="C609" s="60">
        <f>OR(BR609=Driver!$G$50,Data!BR93=Driver!$H$50)</f>
        <v/>
      </c>
      <c r="D609" s="60">
        <f>OR(BV609=Driver!$G$51,BV609=Driver!$H$51)</f>
        <v/>
      </c>
      <c r="E609" s="60">
        <f>AND(BX609&gt;Driver!$F$54,BX609&lt;Driver!$G$54)</f>
        <v/>
      </c>
      <c r="F609" s="60">
        <f>CL609&gt;Driver!$F$56</f>
        <v/>
      </c>
      <c r="G609" s="60">
        <f>AND(CB609&gt;Driver!$F$55,CB609&lt;Driver!$G$55)</f>
        <v/>
      </c>
      <c r="H609" s="60">
        <f>AND(B609:G609)</f>
        <v/>
      </c>
      <c r="I609" s="60">
        <f>COUNTIFS($H$9:$H$1273,TRUE,$BT$9:$BT$1273,BT609)</f>
        <v/>
      </c>
      <c r="J609" s="60">
        <f t="array" ref="J609">NOT(OR(($H$9:$H$1273=TRUE)*($I$9:$I$1273&gt;0)*($BT$9:$BT$1273=BT609)*($K$9:$K$1273&gt;K609)))</f>
        <v/>
      </c>
      <c r="K609" s="108">
        <f>IFERROR(1-AVERAGE(X609:Y609),"")</f>
        <v/>
      </c>
      <c r="L609" s="108">
        <f>1-X609</f>
        <v/>
      </c>
      <c r="M609" s="108">
        <f>1-Y609</f>
        <v/>
      </c>
      <c r="N609" s="108">
        <f>1-Z609</f>
        <v/>
      </c>
      <c r="O609" s="108">
        <f>1-AA609</f>
        <v/>
      </c>
      <c r="P609" s="108">
        <f>1-AB609</f>
        <v/>
      </c>
      <c r="Q609" s="108" t="n"/>
      <c r="R609" s="108" t="n"/>
      <c r="S609" s="108">
        <f>1-AE609</f>
        <v/>
      </c>
      <c r="T609" s="108">
        <f>1-AF609</f>
        <v/>
      </c>
      <c r="U609" s="108">
        <f>1-AG609</f>
        <v/>
      </c>
      <c r="V609" s="108">
        <f>1-AH609</f>
        <v/>
      </c>
      <c r="W609" s="108">
        <f>1-AI609</f>
        <v/>
      </c>
      <c r="X609" s="108">
        <f>ABS(AJ609-AJ$1)</f>
        <v/>
      </c>
      <c r="Y609" s="108">
        <f>AVERAGE(Z609:AB609)</f>
        <v/>
      </c>
      <c r="Z609" s="108">
        <f>ABS(AL609-AL$1)</f>
        <v/>
      </c>
      <c r="AA609" s="108">
        <f>ABS(AM609-AM$1)</f>
        <v/>
      </c>
      <c r="AB609" s="108">
        <f>ABS(AN609-AN$1)</f>
        <v/>
      </c>
      <c r="AC609" s="108" t="n"/>
      <c r="AD609" s="108" t="n"/>
      <c r="AE609" s="108">
        <f>ABS(AQ$1-AQ609)</f>
        <v/>
      </c>
      <c r="AF609" s="108">
        <f>ABS(AR$1-AR609)</f>
        <v/>
      </c>
      <c r="AG609" s="108">
        <f>ABS(AS$1-AS609)</f>
        <v/>
      </c>
      <c r="AH609" s="108">
        <f>ABS(AT$1-AT609)</f>
        <v/>
      </c>
      <c r="AI609" s="108">
        <f>ABS(AU$1-AU609)</f>
        <v/>
      </c>
      <c r="AJ609" s="108">
        <f>(AV609-Driver!$K$179)/(Driver!$L$179-Driver!$K$179)</f>
        <v/>
      </c>
      <c r="AK609" s="108">
        <f>(AW609-Driver!$K$180)/(Driver!$L$180-Driver!$K$180)</f>
        <v/>
      </c>
      <c r="AL609" s="108">
        <f>(AX609-Driver!$K$181)/(Driver!$L$181-Driver!$K$181)</f>
        <v/>
      </c>
      <c r="AM609" s="108">
        <f>(AY609-Driver!$K$182)/(Driver!$L$182-Driver!$K$182)</f>
        <v/>
      </c>
      <c r="AN609" s="108">
        <f>(AZ609-Driver!$K$183)/(Driver!$L$183-Driver!$K$183)</f>
        <v/>
      </c>
      <c r="AO609" s="108" t="n"/>
      <c r="AP609" s="108" t="n"/>
      <c r="AQ609" s="108">
        <f>(BC609-Driver!$K$188)/(Driver!$L$188-Driver!$K$188)</f>
        <v/>
      </c>
      <c r="AR609" s="108">
        <f>MIN((BD609-Driver!$K$189)/(Driver!$L$189-Driver!$K$189),100%)</f>
        <v/>
      </c>
      <c r="AS609" s="108">
        <f>(BE609-Driver!$K$190)/(Driver!$L$190-Driver!$K$190)</f>
        <v/>
      </c>
      <c r="AT609" s="108">
        <f>(BF609-Driver!$K$191)/(Driver!$L$191-Driver!$K$191)</f>
        <v/>
      </c>
      <c r="AU609" s="108">
        <f>(BG609-Driver!$K$192)/(Driver!$L$192-Driver!$K$192)</f>
        <v/>
      </c>
      <c r="AV609" s="105">
        <f>IFERROR(BM609*BJ609^1/4,"")</f>
        <v/>
      </c>
      <c r="AW609" s="105">
        <f>IFERROR(SUM(AX609:AZ609),"")</f>
        <v/>
      </c>
      <c r="AX609" s="105">
        <f>IFERROR(BH609,"")</f>
        <v/>
      </c>
      <c r="AY609" s="105">
        <f>IFERROR(Driver!$K$19/Data!BH609/Data!BI609*Data!BK609*Data!BL609,"")</f>
        <v/>
      </c>
      <c r="AZ609" s="105">
        <f>IFERROR(BI609*BN609,"")</f>
        <v/>
      </c>
      <c r="BA609" s="105" t="n"/>
      <c r="BB609" s="105" t="n"/>
      <c r="BC609" s="105">
        <f>IFERROR(BI609*BN609*BK609/BJ609^(1/2),"")</f>
        <v/>
      </c>
      <c r="BD609" s="105">
        <f>IFERROR(BH609*BM609*BL609/BJ609/BK609,"")</f>
        <v/>
      </c>
      <c r="BE609" s="105">
        <f>IFERROR(MIN(BI609/BQ609/BP609/BO609/BH609,$BE$1),"")</f>
        <v/>
      </c>
      <c r="BF609" s="105">
        <f>IFERROR(BJ609*BO609*BP609/BK609,"")</f>
        <v/>
      </c>
      <c r="BG609" s="105">
        <f>IFERROR(1/BM609/BH609*BQ609,"")</f>
        <v/>
      </c>
      <c r="BH609" s="102">
        <f>MAX((CE609-Driver!$F$200)/(Driver!$G$200-Driver!$F$200)*$BI$1,1)</f>
        <v/>
      </c>
      <c r="BI609" s="102">
        <f>MAX($BI$1*(BY609-Driver!$F$201)/(Driver!$G$201-Driver!$F$201),1)</f>
        <v/>
      </c>
      <c r="BJ609" s="102">
        <f>(CB609-Driver!$F$206)/(Driver!$G$206-Driver!$F$206)*$BI$1</f>
        <v/>
      </c>
      <c r="BK609" s="102">
        <f>(CD609-Driver!$F$203)/(Driver!$G$203-Driver!$F$203)*$BI$1</f>
        <v/>
      </c>
      <c r="BL609" s="102">
        <f>MAX((CR609-Driver!$F$202)/(Driver!$G$202-Driver!$F$202)*$BI$1,1)</f>
        <v/>
      </c>
      <c r="BM609" s="102">
        <f>MAX((CH609-Driver!$F$204)/(Driver!$G$204-Driver!$F$204)*$BI$1,1)</f>
        <v/>
      </c>
      <c r="BN609" s="102">
        <f>(CI609-Driver!$F$205)/(Driver!$G$205-Driver!$F$205)*$BI$1</f>
        <v/>
      </c>
      <c r="BO609" s="102">
        <f>(CK609-Driver!$F$207)/(Driver!$G$207-Driver!$F$207)*$BI$1</f>
        <v/>
      </c>
      <c r="BP609" s="102">
        <f>(CM609-Driver!$F$208)/(Driver!$G$208-Driver!$F$208)*$BI$1</f>
        <v/>
      </c>
      <c r="BQ609" s="102">
        <f>(CL609-Driver!$F$209)/(Driver!$G$209-Driver!$F$209)*$BI$1</f>
        <v/>
      </c>
      <c r="BR609" s="40" t="inlineStr">
        <is>
          <t>21/22</t>
        </is>
      </c>
      <c r="BS609" s="10" t="inlineStr">
        <is>
          <t xml:space="preserve"> Armada</t>
        </is>
      </c>
      <c r="BT609" s="11" t="inlineStr">
        <is>
          <t xml:space="preserve"> Stranger</t>
        </is>
      </c>
      <c r="BU609" s="13" t="n">
        <v>180</v>
      </c>
      <c r="BV609" s="11" t="inlineStr">
        <is>
          <t xml:space="preserve"> Unisex</t>
        </is>
      </c>
      <c r="BW609" s="13" t="n">
        <v>180</v>
      </c>
      <c r="BX609" s="13" t="n">
        <v>179.4</v>
      </c>
      <c r="BY609" s="13" t="n">
        <v>125</v>
      </c>
      <c r="BZ609" s="13" t="n">
        <v>149</v>
      </c>
      <c r="CA609" s="13" t="n">
        <v>138</v>
      </c>
      <c r="CB609" s="13" t="n">
        <v>99</v>
      </c>
      <c r="CC609" s="13" t="n">
        <v>120</v>
      </c>
      <c r="CD609" s="13" t="n">
        <v>16.1</v>
      </c>
      <c r="CE609" s="13" t="n">
        <v>2185</v>
      </c>
      <c r="CF609" s="13" t="n">
        <v>0.92</v>
      </c>
      <c r="CG609" s="13" t="n">
        <v>2019</v>
      </c>
      <c r="CH609" s="13" t="n">
        <v>191</v>
      </c>
      <c r="CI609" s="13" t="n">
        <v>90</v>
      </c>
      <c r="CJ609" s="13" t="n">
        <v>61</v>
      </c>
      <c r="CK609" s="13" t="n">
        <v>308</v>
      </c>
      <c r="CL609" s="13" t="n">
        <v>40</v>
      </c>
      <c r="CM609" s="13" t="n">
        <v>240</v>
      </c>
      <c r="CN609" s="13" t="n">
        <v>0.648</v>
      </c>
      <c r="CO609" s="13" t="n">
        <v>197</v>
      </c>
      <c r="CP609" s="13" t="n">
        <v>112</v>
      </c>
      <c r="CQ609" s="13" t="n">
        <v>112</v>
      </c>
      <c r="CR609" s="13" t="n">
        <v>8</v>
      </c>
      <c r="CS609" s="13" t="n">
        <v>9.4</v>
      </c>
      <c r="CT609" s="11" t="inlineStr">
        <is>
          <t xml:space="preserve"> Resort Freeride</t>
        </is>
      </c>
      <c r="CU609" s="13" t="n"/>
      <c r="CV609" s="13" t="n"/>
      <c r="CW609" s="13" t="n"/>
      <c r="CX609">
        <f>INDEX('Data_Price '!AG$2:AG$1266,MATCH(Data!$DN609,'Data_Price '!$AT$2:$AT$1266,0))</f>
        <v/>
      </c>
      <c r="CY609">
        <f>INDEX('Data_Price '!AH$2:AH$1266,MATCH(Data!$DN609,'Data_Price '!$AT$2:$AT$1266,0))</f>
        <v/>
      </c>
      <c r="CZ609">
        <f>INDEX('Data_Price '!AI$2:AI$1266,MATCH(Data!$DN609,'Data_Price '!$AT$2:$AT$1266,0))</f>
        <v/>
      </c>
      <c r="DA609">
        <f>INDEX('Data_Price '!AJ$2:AJ$1266,MATCH(Data!$DN609,'Data_Price '!$AT$2:$AT$1266,0))</f>
        <v/>
      </c>
      <c r="DB609">
        <f>INDEX('Data_Price '!AK$2:AK$1266,MATCH(Data!$DN609,'Data_Price '!$AT$2:$AT$1266,0))</f>
        <v/>
      </c>
      <c r="DC609">
        <f>INDEX('Data_Price '!AL$2:AL$1266,MATCH(Data!$DN609,'Data_Price '!$AT$2:$AT$1266,0))</f>
        <v/>
      </c>
      <c r="DD609">
        <f>INDEX('Data_Price '!AM$2:AM$1266,MATCH(Data!$DN609,'Data_Price '!$AT$2:$AT$1266,0))</f>
        <v/>
      </c>
      <c r="DE609">
        <f>INDEX('Data_Price '!AN$2:AN$1266,MATCH(Data!$DN609,'Data_Price '!$AT$2:$AT$1266,0))</f>
        <v/>
      </c>
      <c r="DF609">
        <f>INDEX('Data_Price '!AO$2:AO$1266,MATCH(Data!$DN609,'Data_Price '!$AT$2:$AT$1266,0))</f>
        <v/>
      </c>
      <c r="DG609">
        <f>INDEX('Data_Price '!AP$2:AP$1266,MATCH(Data!$DN609,'Data_Price '!$AT$2:$AT$1266,0))</f>
        <v/>
      </c>
      <c r="DH609">
        <f>INDEX('Data_Price '!AQ$2:AQ$1266,MATCH(Data!$DN609,'Data_Price '!$AT$2:$AT$1266,0))</f>
        <v/>
      </c>
      <c r="DI609">
        <f>INDEX('Data_Price '!AR$2:AR$1266,MATCH(Data!$DN609,'Data_Price '!$AT$2:$AT$1266,0))</f>
        <v/>
      </c>
      <c r="DJ609" s="138">
        <f>DA609</f>
        <v/>
      </c>
      <c r="DK609" s="138">
        <f>DE609</f>
        <v/>
      </c>
      <c r="DL609" s="138">
        <f>DI609</f>
        <v/>
      </c>
      <c r="DM609" s="303">
        <f>IF(LEFT(BT609,1)=" ",RIGHT(BT609,LEN(BT609)-1),BT609)</f>
        <v/>
      </c>
      <c r="DN609" s="138">
        <f>_xlfn.CONCAT(BS609,DM609,BU609,BV609)</f>
        <v/>
      </c>
      <c r="DO609" s="307" t="inlineStr">
        <is>
          <t>https://images.evo.com/imgp/250/198689/839653/armada-stranger-skis-2022-.jpg</t>
        </is>
      </c>
    </row>
    <row r="610" ht="15.6" customHeight="1" s="184">
      <c r="B610" s="303">
        <f t="array" ref="B610">IF(OR(ISERROR(K610:P610)),FALSE,TRUE)</f>
        <v/>
      </c>
      <c r="C610" s="60">
        <f>OR(BR610=Driver!$G$50,Data!BR84=Driver!$H$50)</f>
        <v/>
      </c>
      <c r="D610" s="60">
        <f>OR(BV610=Driver!$G$51,BV610=Driver!$H$51)</f>
        <v/>
      </c>
      <c r="E610" s="60">
        <f>AND(BX610&gt;Driver!$F$54,BX610&lt;Driver!$G$54)</f>
        <v/>
      </c>
      <c r="F610" s="60">
        <f>CL610&gt;Driver!$F$56</f>
        <v/>
      </c>
      <c r="G610" s="60">
        <f>AND(CB610&gt;Driver!$F$55,CB610&lt;Driver!$G$55)</f>
        <v/>
      </c>
      <c r="H610" s="60">
        <f>AND(B610:G610)</f>
        <v/>
      </c>
      <c r="I610" s="60">
        <f>COUNTIFS($H$9:$H$1273,TRUE,$BT$9:$BT$1273,BT610)</f>
        <v/>
      </c>
      <c r="J610" s="60">
        <f t="array" ref="J610">NOT(OR(($H$9:$H$1273=TRUE)*($I$9:$I$1273&gt;0)*($BT$9:$BT$1273=BT610)*($K$9:$K$1273&gt;K610)))</f>
        <v/>
      </c>
      <c r="K610" s="108">
        <f>IFERROR(1-AVERAGE(X610:Y610),"")</f>
        <v/>
      </c>
      <c r="L610" s="108">
        <f>1-X610</f>
        <v/>
      </c>
      <c r="M610" s="108">
        <f>1-Y610</f>
        <v/>
      </c>
      <c r="N610" s="108">
        <f>1-Z610</f>
        <v/>
      </c>
      <c r="O610" s="108">
        <f>1-AA610</f>
        <v/>
      </c>
      <c r="P610" s="108">
        <f>1-AB610</f>
        <v/>
      </c>
      <c r="Q610" s="108" t="n"/>
      <c r="R610" s="108" t="n"/>
      <c r="S610" s="108">
        <f>1-AE610</f>
        <v/>
      </c>
      <c r="T610" s="108">
        <f>1-AF610</f>
        <v/>
      </c>
      <c r="U610" s="108">
        <f>1-AG610</f>
        <v/>
      </c>
      <c r="V610" s="108">
        <f>1-AH610</f>
        <v/>
      </c>
      <c r="W610" s="108">
        <f>1-AI610</f>
        <v/>
      </c>
      <c r="X610" s="108">
        <f>ABS(AJ610-AJ$1)</f>
        <v/>
      </c>
      <c r="Y610" s="108">
        <f>AVERAGE(Z610:AB610)</f>
        <v/>
      </c>
      <c r="Z610" s="108">
        <f>ABS(AL610-AL$1)</f>
        <v/>
      </c>
      <c r="AA610" s="108">
        <f>ABS(AM610-AM$1)</f>
        <v/>
      </c>
      <c r="AB610" s="108">
        <f>ABS(AN610-AN$1)</f>
        <v/>
      </c>
      <c r="AC610" s="108" t="n"/>
      <c r="AD610" s="108" t="n"/>
      <c r="AE610" s="108">
        <f>ABS(AQ$1-AQ610)</f>
        <v/>
      </c>
      <c r="AF610" s="108">
        <f>ABS(AR$1-AR610)</f>
        <v/>
      </c>
      <c r="AG610" s="108">
        <f>ABS(AS$1-AS610)</f>
        <v/>
      </c>
      <c r="AH610" s="108">
        <f>ABS(AT$1-AT610)</f>
        <v/>
      </c>
      <c r="AI610" s="108">
        <f>ABS(AU$1-AU610)</f>
        <v/>
      </c>
      <c r="AJ610" s="108">
        <f>(AV610-Driver!$K$179)/(Driver!$L$179-Driver!$K$179)</f>
        <v/>
      </c>
      <c r="AK610" s="108">
        <f>(AW610-Driver!$K$180)/(Driver!$L$180-Driver!$K$180)</f>
        <v/>
      </c>
      <c r="AL610" s="108">
        <f>(AX610-Driver!$K$181)/(Driver!$L$181-Driver!$K$181)</f>
        <v/>
      </c>
      <c r="AM610" s="108">
        <f>(AY610-Driver!$K$182)/(Driver!$L$182-Driver!$K$182)</f>
        <v/>
      </c>
      <c r="AN610" s="108">
        <f>(AZ610-Driver!$K$183)/(Driver!$L$183-Driver!$K$183)</f>
        <v/>
      </c>
      <c r="AO610" s="108" t="n"/>
      <c r="AP610" s="108" t="n"/>
      <c r="AQ610" s="108">
        <f>(BC610-Driver!$K$188)/(Driver!$L$188-Driver!$K$188)</f>
        <v/>
      </c>
      <c r="AR610" s="108">
        <f>MIN((BD610-Driver!$K$189)/(Driver!$L$189-Driver!$K$189),100%)</f>
        <v/>
      </c>
      <c r="AS610" s="108">
        <f>(BE610-Driver!$K$190)/(Driver!$L$190-Driver!$K$190)</f>
        <v/>
      </c>
      <c r="AT610" s="108">
        <f>(BF610-Driver!$K$191)/(Driver!$L$191-Driver!$K$191)</f>
        <v/>
      </c>
      <c r="AU610" s="108">
        <f>(BG610-Driver!$K$192)/(Driver!$L$192-Driver!$K$192)</f>
        <v/>
      </c>
      <c r="AV610" s="105">
        <f>IFERROR(BM610*BJ610^1/4,"")</f>
        <v/>
      </c>
      <c r="AW610" s="105">
        <f>IFERROR(SUM(AX610:AZ610),"")</f>
        <v/>
      </c>
      <c r="AX610" s="105">
        <f>IFERROR(BH610,"")</f>
        <v/>
      </c>
      <c r="AY610" s="105">
        <f>IFERROR(Driver!$K$19/Data!BH610/Data!BI610*Data!BK610*Data!BL610,"")</f>
        <v/>
      </c>
      <c r="AZ610" s="105">
        <f>IFERROR(BI610*BN610,"")</f>
        <v/>
      </c>
      <c r="BA610" s="105" t="n"/>
      <c r="BB610" s="105" t="n"/>
      <c r="BC610" s="105">
        <f>IFERROR(BI610*BN610*BK610/BJ610^(1/2),"")</f>
        <v/>
      </c>
      <c r="BD610" s="105">
        <f>IFERROR(BH610*BM610*BL610/BJ610/BK610,"")</f>
        <v/>
      </c>
      <c r="BE610" s="105">
        <f>IFERROR(MIN(BI610/BQ610/BP610/BO610/BH610,$BE$1),"")</f>
        <v/>
      </c>
      <c r="BF610" s="105">
        <f>IFERROR(BJ610*BO610*BP610/BK610,"")</f>
        <v/>
      </c>
      <c r="BG610" s="105">
        <f>IFERROR(1/BM610/BH610*BQ610,"")</f>
        <v/>
      </c>
      <c r="BH610" s="102">
        <f>MAX((CE610-Driver!$F$200)/(Driver!$G$200-Driver!$F$200)*$BI$1,1)</f>
        <v/>
      </c>
      <c r="BI610" s="102">
        <f>MAX($BI$1*(BY610-Driver!$F$201)/(Driver!$G$201-Driver!$F$201),1)</f>
        <v/>
      </c>
      <c r="BJ610" s="102">
        <f>(CB610-Driver!$F$206)/(Driver!$G$206-Driver!$F$206)*$BI$1</f>
        <v/>
      </c>
      <c r="BK610" s="102">
        <f>(CD610-Driver!$F$203)/(Driver!$G$203-Driver!$F$203)*$BI$1</f>
        <v/>
      </c>
      <c r="BL610" s="102">
        <f>MAX((CR610-Driver!$F$202)/(Driver!$G$202-Driver!$F$202)*$BI$1,1)</f>
        <v/>
      </c>
      <c r="BM610" s="102">
        <f>MAX((CH610-Driver!$F$204)/(Driver!$G$204-Driver!$F$204)*$BI$1,1)</f>
        <v/>
      </c>
      <c r="BN610" s="102">
        <f>(CI610-Driver!$F$205)/(Driver!$G$205-Driver!$F$205)*$BI$1</f>
        <v/>
      </c>
      <c r="BO610" s="102">
        <f>(CK610-Driver!$F$207)/(Driver!$G$207-Driver!$F$207)*$BI$1</f>
        <v/>
      </c>
      <c r="BP610" s="102">
        <f>(CM610-Driver!$F$208)/(Driver!$G$208-Driver!$F$208)*$BI$1</f>
        <v/>
      </c>
      <c r="BQ610" s="102">
        <f>(CL610-Driver!$F$209)/(Driver!$G$209-Driver!$F$209)*$BI$1</f>
        <v/>
      </c>
      <c r="BR610" s="40" t="inlineStr">
        <is>
          <t>21/22</t>
        </is>
      </c>
      <c r="BS610" s="10" t="inlineStr">
        <is>
          <t xml:space="preserve"> Armada</t>
        </is>
      </c>
      <c r="BT610" s="11" t="inlineStr">
        <is>
          <t>Reliance 82 Ti</t>
        </is>
      </c>
      <c r="BU610" s="13" t="n">
        <v>166</v>
      </c>
      <c r="BV610" s="11" t="inlineStr">
        <is>
          <t xml:space="preserve"> Women's</t>
        </is>
      </c>
      <c r="BW610" s="13" t="n">
        <v>166</v>
      </c>
      <c r="BX610" s="13" t="n">
        <v>165.5</v>
      </c>
      <c r="BY610" s="13" t="n">
        <v>138</v>
      </c>
      <c r="BZ610" s="13" t="n">
        <v>149</v>
      </c>
      <c r="CA610" s="13" t="n">
        <v>125</v>
      </c>
      <c r="CB610" s="13" t="n">
        <v>81</v>
      </c>
      <c r="CC610" s="13" t="n">
        <v>108</v>
      </c>
      <c r="CD610" s="13" t="n">
        <v>15.4</v>
      </c>
      <c r="CE610" s="13" t="n">
        <v>1533</v>
      </c>
      <c r="CF610" s="13" t="n">
        <v>1.02</v>
      </c>
      <c r="CG610" s="13" t="n">
        <v>1569</v>
      </c>
      <c r="CH610" s="13" t="n">
        <v>205</v>
      </c>
      <c r="CI610" s="13" t="n">
        <v>122</v>
      </c>
      <c r="CJ610" s="13" t="n">
        <v>36</v>
      </c>
      <c r="CK610" s="13" t="n">
        <v>176</v>
      </c>
      <c r="CL610" s="13" t="n">
        <v>10</v>
      </c>
      <c r="CM610" s="13" t="n">
        <v>104</v>
      </c>
      <c r="CN610" s="13" t="n">
        <v>0.269</v>
      </c>
      <c r="CO610" s="13" t="n">
        <v>112</v>
      </c>
      <c r="CP610" s="13" t="n">
        <v>55</v>
      </c>
      <c r="CQ610" s="13" t="n">
        <v>64</v>
      </c>
      <c r="CR610" s="13" t="n">
        <v>9</v>
      </c>
      <c r="CS610" s="13" t="n">
        <v>10.3</v>
      </c>
      <c r="CT610" s="11" t="inlineStr">
        <is>
          <t xml:space="preserve"> On-Piste All-Mountain</t>
        </is>
      </c>
      <c r="CU610" s="11" t="inlineStr">
        <is>
          <t xml:space="preserve"> Resort Freeride</t>
        </is>
      </c>
      <c r="CV610" s="13" t="n"/>
      <c r="CW610" s="13" t="n"/>
      <c r="CX610">
        <f>INDEX('Data_Price '!AG$2:AG$1266,MATCH(Data!$DN610,'Data_Price '!$AT$2:$AT$1266,0))</f>
        <v/>
      </c>
      <c r="CY610">
        <f>INDEX('Data_Price '!AH$2:AH$1266,MATCH(Data!$DN610,'Data_Price '!$AT$2:$AT$1266,0))</f>
        <v/>
      </c>
      <c r="CZ610">
        <f>INDEX('Data_Price '!AI$2:AI$1266,MATCH(Data!$DN610,'Data_Price '!$AT$2:$AT$1266,0))</f>
        <v/>
      </c>
      <c r="DA610">
        <f>INDEX('Data_Price '!AJ$2:AJ$1266,MATCH(Data!$DN610,'Data_Price '!$AT$2:$AT$1266,0))</f>
        <v/>
      </c>
      <c r="DB610">
        <f>INDEX('Data_Price '!AK$2:AK$1266,MATCH(Data!$DN610,'Data_Price '!$AT$2:$AT$1266,0))</f>
        <v/>
      </c>
      <c r="DC610">
        <f>INDEX('Data_Price '!AL$2:AL$1266,MATCH(Data!$DN610,'Data_Price '!$AT$2:$AT$1266,0))</f>
        <v/>
      </c>
      <c r="DD610">
        <f>INDEX('Data_Price '!AM$2:AM$1266,MATCH(Data!$DN610,'Data_Price '!$AT$2:$AT$1266,0))</f>
        <v/>
      </c>
      <c r="DE610">
        <f>INDEX('Data_Price '!AN$2:AN$1266,MATCH(Data!$DN610,'Data_Price '!$AT$2:$AT$1266,0))</f>
        <v/>
      </c>
      <c r="DF610">
        <f>INDEX('Data_Price '!AO$2:AO$1266,MATCH(Data!$DN610,'Data_Price '!$AT$2:$AT$1266,0))</f>
        <v/>
      </c>
      <c r="DG610">
        <f>INDEX('Data_Price '!AP$2:AP$1266,MATCH(Data!$DN610,'Data_Price '!$AT$2:$AT$1266,0))</f>
        <v/>
      </c>
      <c r="DH610">
        <f>INDEX('Data_Price '!AQ$2:AQ$1266,MATCH(Data!$DN610,'Data_Price '!$AT$2:$AT$1266,0))</f>
        <v/>
      </c>
      <c r="DI610">
        <f>INDEX('Data_Price '!AR$2:AR$1266,MATCH(Data!$DN610,'Data_Price '!$AT$2:$AT$1266,0))</f>
        <v/>
      </c>
      <c r="DJ610" s="138">
        <f>DA610</f>
        <v/>
      </c>
      <c r="DK610" s="138">
        <f>DE610</f>
        <v/>
      </c>
      <c r="DL610" s="138">
        <f>DI610</f>
        <v/>
      </c>
      <c r="DM610" s="303">
        <f>IF(LEFT(BT610,1)=" ",RIGHT(BT610,LEN(BT610)-1),BT610)</f>
        <v/>
      </c>
      <c r="DN610" s="138">
        <f>_xlfn.CONCAT(BS610,DM610,BU610,BV610)</f>
        <v/>
      </c>
      <c r="DO610" s="307" t="n"/>
    </row>
    <row r="611" ht="15.6" customHeight="1" s="184">
      <c r="B611" s="303">
        <f t="array" ref="B611">IF(OR(ISERROR(K611:P611)),FALSE,TRUE)</f>
        <v/>
      </c>
      <c r="C611" s="60">
        <f>OR(BR611=Driver!$G$50,Data!BR260=Driver!$H$50)</f>
        <v/>
      </c>
      <c r="D611" s="60">
        <f>OR(BV611=Driver!$G$51,BV611=Driver!$H$51)</f>
        <v/>
      </c>
      <c r="E611" s="60">
        <f>AND(BX611&gt;Driver!$F$54,BX611&lt;Driver!$G$54)</f>
        <v/>
      </c>
      <c r="F611" s="60">
        <f>CL611&gt;Driver!$F$56</f>
        <v/>
      </c>
      <c r="G611" s="60">
        <f>AND(CB611&gt;Driver!$F$55,CB611&lt;Driver!$G$55)</f>
        <v/>
      </c>
      <c r="H611" s="60">
        <f>AND(B611:G611)</f>
        <v/>
      </c>
      <c r="I611" s="60">
        <f>COUNTIFS($H$9:$H$1273,TRUE,$BT$9:$BT$1273,BT611)</f>
        <v/>
      </c>
      <c r="J611" s="60">
        <f t="array" ref="J611">NOT(OR(($H$9:$H$1273=TRUE)*($I$9:$I$1273&gt;0)*($BT$9:$BT$1273=BT611)*($K$9:$K$1273&gt;K611)))</f>
        <v/>
      </c>
      <c r="K611" s="108">
        <f>IFERROR(1-AVERAGE(X611:Y611),"")</f>
        <v/>
      </c>
      <c r="L611" s="108">
        <f>1-X611</f>
        <v/>
      </c>
      <c r="M611" s="108">
        <f>1-Y611</f>
        <v/>
      </c>
      <c r="N611" s="108">
        <f>1-Z611</f>
        <v/>
      </c>
      <c r="O611" s="108">
        <f>1-AA611</f>
        <v/>
      </c>
      <c r="P611" s="108">
        <f>1-AB611</f>
        <v/>
      </c>
      <c r="Q611" s="108" t="n"/>
      <c r="R611" s="108" t="n"/>
      <c r="S611" s="108">
        <f>1-AE611</f>
        <v/>
      </c>
      <c r="T611" s="108">
        <f>1-AF611</f>
        <v/>
      </c>
      <c r="U611" s="108">
        <f>1-AG611</f>
        <v/>
      </c>
      <c r="V611" s="108">
        <f>1-AH611</f>
        <v/>
      </c>
      <c r="W611" s="108">
        <f>1-AI611</f>
        <v/>
      </c>
      <c r="X611" s="108">
        <f>ABS(AJ611-AJ$1)</f>
        <v/>
      </c>
      <c r="Y611" s="108">
        <f>AVERAGE(Z611:AB611)</f>
        <v/>
      </c>
      <c r="Z611" s="108">
        <f>ABS(AL611-AL$1)</f>
        <v/>
      </c>
      <c r="AA611" s="108">
        <f>ABS(AM611-AM$1)</f>
        <v/>
      </c>
      <c r="AB611" s="108">
        <f>ABS(AN611-AN$1)</f>
        <v/>
      </c>
      <c r="AC611" s="108" t="n"/>
      <c r="AD611" s="108" t="n"/>
      <c r="AE611" s="108">
        <f>ABS(AQ$1-AQ611)</f>
        <v/>
      </c>
      <c r="AF611" s="108">
        <f>ABS(AR$1-AR611)</f>
        <v/>
      </c>
      <c r="AG611" s="108">
        <f>ABS(AS$1-AS611)</f>
        <v/>
      </c>
      <c r="AH611" s="108">
        <f>ABS(AT$1-AT611)</f>
        <v/>
      </c>
      <c r="AI611" s="108">
        <f>ABS(AU$1-AU611)</f>
        <v/>
      </c>
      <c r="AJ611" s="108">
        <f>(AV611-Driver!$K$179)/(Driver!$L$179-Driver!$K$179)</f>
        <v/>
      </c>
      <c r="AK611" s="108">
        <f>(AW611-Driver!$K$180)/(Driver!$L$180-Driver!$K$180)</f>
        <v/>
      </c>
      <c r="AL611" s="108">
        <f>(AX611-Driver!$K$181)/(Driver!$L$181-Driver!$K$181)</f>
        <v/>
      </c>
      <c r="AM611" s="108">
        <f>(AY611-Driver!$K$182)/(Driver!$L$182-Driver!$K$182)</f>
        <v/>
      </c>
      <c r="AN611" s="108">
        <f>(AZ611-Driver!$K$183)/(Driver!$L$183-Driver!$K$183)</f>
        <v/>
      </c>
      <c r="AO611" s="108" t="n"/>
      <c r="AP611" s="108" t="n"/>
      <c r="AQ611" s="108">
        <f>(BC611-Driver!$K$188)/(Driver!$L$188-Driver!$K$188)</f>
        <v/>
      </c>
      <c r="AR611" s="108">
        <f>MIN((BD611-Driver!$K$189)/(Driver!$L$189-Driver!$K$189),100%)</f>
        <v/>
      </c>
      <c r="AS611" s="108">
        <f>(BE611-Driver!$K$190)/(Driver!$L$190-Driver!$K$190)</f>
        <v/>
      </c>
      <c r="AT611" s="108">
        <f>(BF611-Driver!$K$191)/(Driver!$L$191-Driver!$K$191)</f>
        <v/>
      </c>
      <c r="AU611" s="108">
        <f>(BG611-Driver!$K$192)/(Driver!$L$192-Driver!$K$192)</f>
        <v/>
      </c>
      <c r="AV611" s="105">
        <f>IFERROR(BM611*BJ611^1/4,"")</f>
        <v/>
      </c>
      <c r="AW611" s="105">
        <f>IFERROR(SUM(AX611:AZ611),"")</f>
        <v/>
      </c>
      <c r="AX611" s="105">
        <f>IFERROR(BH611,"")</f>
        <v/>
      </c>
      <c r="AY611" s="105">
        <f>IFERROR(Driver!$K$19/Data!BH611/Data!BI611*Data!BK611*Data!BL611,"")</f>
        <v/>
      </c>
      <c r="AZ611" s="105">
        <f>IFERROR(BI611*BN611,"")</f>
        <v/>
      </c>
      <c r="BA611" s="105" t="n"/>
      <c r="BB611" s="105" t="n"/>
      <c r="BC611" s="105">
        <f>IFERROR(BI611*BN611*BK611/BJ611^(1/2),"")</f>
        <v/>
      </c>
      <c r="BD611" s="105">
        <f>IFERROR(BH611*BM611*BL611/BJ611/BK611,"")</f>
        <v/>
      </c>
      <c r="BE611" s="105">
        <f>IFERROR(MIN(BI611/BQ611/BP611/BO611/BH611,$BE$1),"")</f>
        <v/>
      </c>
      <c r="BF611" s="105">
        <f>IFERROR(BJ611*BO611*BP611/BK611,"")</f>
        <v/>
      </c>
      <c r="BG611" s="105">
        <f>IFERROR(1/BM611/BH611*BQ611,"")</f>
        <v/>
      </c>
      <c r="BH611" s="102">
        <f>MAX((CE611-Driver!$F$200)/(Driver!$G$200-Driver!$F$200)*$BI$1,1)</f>
        <v/>
      </c>
      <c r="BI611" s="102">
        <f>MAX($BI$1*(BY611-Driver!$F$201)/(Driver!$G$201-Driver!$F$201),1)</f>
        <v/>
      </c>
      <c r="BJ611" s="102">
        <f>(CB611-Driver!$F$206)/(Driver!$G$206-Driver!$F$206)*$BI$1</f>
        <v/>
      </c>
      <c r="BK611" s="102">
        <f>(CD611-Driver!$F$203)/(Driver!$G$203-Driver!$F$203)*$BI$1</f>
        <v/>
      </c>
      <c r="BL611" s="102">
        <f>MAX((CR611-Driver!$F$202)/(Driver!$G$202-Driver!$F$202)*$BI$1,1)</f>
        <v/>
      </c>
      <c r="BM611" s="102">
        <f>MAX((CH611-Driver!$F$204)/(Driver!$G$204-Driver!$F$204)*$BI$1,1)</f>
        <v/>
      </c>
      <c r="BN611" s="102">
        <f>(CI611-Driver!$F$205)/(Driver!$G$205-Driver!$F$205)*$BI$1</f>
        <v/>
      </c>
      <c r="BO611" s="102">
        <f>(CK611-Driver!$F$207)/(Driver!$G$207-Driver!$F$207)*$BI$1</f>
        <v/>
      </c>
      <c r="BP611" s="102">
        <f>(CM611-Driver!$F$208)/(Driver!$G$208-Driver!$F$208)*$BI$1</f>
        <v/>
      </c>
      <c r="BQ611" s="102">
        <f>(CL611-Driver!$F$209)/(Driver!$G$209-Driver!$F$209)*$BI$1</f>
        <v/>
      </c>
      <c r="BR611" s="40" t="inlineStr">
        <is>
          <t>21/22</t>
        </is>
      </c>
      <c r="BS611" s="10" t="inlineStr">
        <is>
          <t xml:space="preserve"> Blizzard</t>
        </is>
      </c>
      <c r="BT611" s="11" t="inlineStr">
        <is>
          <t>Black Pearl 88</t>
        </is>
      </c>
      <c r="BU611" s="13" t="n">
        <v>159</v>
      </c>
      <c r="BV611" s="11" t="inlineStr">
        <is>
          <t xml:space="preserve"> Women's</t>
        </is>
      </c>
      <c r="BW611" s="13" t="n">
        <v>159</v>
      </c>
      <c r="BX611" s="13" t="n">
        <v>157.8</v>
      </c>
      <c r="BY611" s="13" t="n">
        <v>126</v>
      </c>
      <c r="BZ611" s="13" t="n">
        <v>134</v>
      </c>
      <c r="CA611" s="13" t="n">
        <v>126</v>
      </c>
      <c r="CB611" s="13" t="n">
        <v>86</v>
      </c>
      <c r="CC611" s="13" t="n">
        <v>108</v>
      </c>
      <c r="CD611" s="13" t="n">
        <v>13.9</v>
      </c>
      <c r="CE611" s="13" t="n">
        <v>1654</v>
      </c>
      <c r="CF611" s="13" t="n">
        <v>0.9399999999999999</v>
      </c>
      <c r="CG611" s="13" t="n">
        <v>1549</v>
      </c>
      <c r="CH611" s="13" t="n">
        <v>151</v>
      </c>
      <c r="CI611" s="13" t="n">
        <v>74</v>
      </c>
      <c r="CJ611" s="13" t="n">
        <v>59</v>
      </c>
      <c r="CK611" s="13" t="n">
        <v>219</v>
      </c>
      <c r="CL611" s="13" t="n">
        <v>7</v>
      </c>
      <c r="CM611" s="13" t="n">
        <v>99</v>
      </c>
      <c r="CN611" s="13" t="n">
        <v>0.126</v>
      </c>
      <c r="CO611" s="13" t="n">
        <v>124</v>
      </c>
      <c r="CP611" s="13" t="n">
        <v>112</v>
      </c>
      <c r="CQ611" s="13" t="n">
        <v>95</v>
      </c>
      <c r="CR611" s="13" t="n">
        <v>8</v>
      </c>
      <c r="CS611" s="13" t="n">
        <v>11.4</v>
      </c>
      <c r="CT611" s="11" t="inlineStr">
        <is>
          <t xml:space="preserve"> Resort Freeride</t>
        </is>
      </c>
      <c r="CU611" s="13" t="n"/>
      <c r="CV611" s="13" t="n"/>
      <c r="CW611" s="13" t="n"/>
      <c r="CX611">
        <f>INDEX('Data_Price '!AG$2:AG$1266,MATCH(Data!$DN611,'Data_Price '!$AT$2:$AT$1266,0))</f>
        <v/>
      </c>
      <c r="CY611">
        <f>INDEX('Data_Price '!AH$2:AH$1266,MATCH(Data!$DN611,'Data_Price '!$AT$2:$AT$1266,0))</f>
        <v/>
      </c>
      <c r="CZ611">
        <f>INDEX('Data_Price '!AI$2:AI$1266,MATCH(Data!$DN611,'Data_Price '!$AT$2:$AT$1266,0))</f>
        <v/>
      </c>
      <c r="DA611">
        <f>INDEX('Data_Price '!AJ$2:AJ$1266,MATCH(Data!$DN611,'Data_Price '!$AT$2:$AT$1266,0))</f>
        <v/>
      </c>
      <c r="DB611">
        <f>INDEX('Data_Price '!AK$2:AK$1266,MATCH(Data!$DN611,'Data_Price '!$AT$2:$AT$1266,0))</f>
        <v/>
      </c>
      <c r="DC611">
        <f>INDEX('Data_Price '!AL$2:AL$1266,MATCH(Data!$DN611,'Data_Price '!$AT$2:$AT$1266,0))</f>
        <v/>
      </c>
      <c r="DD611">
        <f>INDEX('Data_Price '!AM$2:AM$1266,MATCH(Data!$DN611,'Data_Price '!$AT$2:$AT$1266,0))</f>
        <v/>
      </c>
      <c r="DE611">
        <f>INDEX('Data_Price '!AN$2:AN$1266,MATCH(Data!$DN611,'Data_Price '!$AT$2:$AT$1266,0))</f>
        <v/>
      </c>
      <c r="DF611">
        <f>INDEX('Data_Price '!AO$2:AO$1266,MATCH(Data!$DN611,'Data_Price '!$AT$2:$AT$1266,0))</f>
        <v/>
      </c>
      <c r="DG611">
        <f>INDEX('Data_Price '!AP$2:AP$1266,MATCH(Data!$DN611,'Data_Price '!$AT$2:$AT$1266,0))</f>
        <v/>
      </c>
      <c r="DH611">
        <f>INDEX('Data_Price '!AQ$2:AQ$1266,MATCH(Data!$DN611,'Data_Price '!$AT$2:$AT$1266,0))</f>
        <v/>
      </c>
      <c r="DI611">
        <f>INDEX('Data_Price '!AR$2:AR$1266,MATCH(Data!$DN611,'Data_Price '!$AT$2:$AT$1266,0))</f>
        <v/>
      </c>
      <c r="DJ611" s="138">
        <f>DA611</f>
        <v/>
      </c>
      <c r="DK611" s="138">
        <f>DE611</f>
        <v/>
      </c>
      <c r="DL611" s="138">
        <f>DI611</f>
        <v/>
      </c>
      <c r="DM611" s="303">
        <f>IF(LEFT(BT611,1)=" ",RIGHT(BT611,LEN(BT611)-1),BT611)</f>
        <v/>
      </c>
      <c r="DN611" s="138">
        <f>_xlfn.CONCAT(BS611,DM611,BU611,BV611)</f>
        <v/>
      </c>
      <c r="DO611" s="307" t="inlineStr">
        <is>
          <t>https://images.evo.com/imgp/250/176883/876087/blizzard-black-pearl-88-skis-women-s-.jpg</t>
        </is>
      </c>
    </row>
    <row r="612" ht="15.6" customHeight="1" s="184">
      <c r="B612" s="303">
        <f t="array" ref="B612">IF(OR(ISERROR(K612:P612)),FALSE,TRUE)</f>
        <v/>
      </c>
      <c r="C612" s="60">
        <f>OR(BR612=Driver!$G$50,Data!BR1244=Driver!$H$50)</f>
        <v/>
      </c>
      <c r="D612" s="60">
        <f>OR(BV612=Driver!$G$51,BV612=Driver!$H$51)</f>
        <v/>
      </c>
      <c r="E612" s="60">
        <f>AND(BX612&gt;Driver!$F$54,BX612&lt;Driver!$G$54)</f>
        <v/>
      </c>
      <c r="F612" s="60">
        <f>CL612&gt;Driver!$F$56</f>
        <v/>
      </c>
      <c r="G612" s="60">
        <f>AND(CB612&gt;Driver!$F$55,CB612&lt;Driver!$G$55)</f>
        <v/>
      </c>
      <c r="H612" s="60">
        <f>AND(B612:G612)</f>
        <v/>
      </c>
      <c r="I612" s="60">
        <f>COUNTIFS($H$9:$H$1273,TRUE,$BT$9:$BT$1273,BT612)</f>
        <v/>
      </c>
      <c r="J612" s="60">
        <f t="array" ref="J612">NOT(OR(($H$9:$H$1273=TRUE)*($I$9:$I$1273&gt;0)*($BT$9:$BT$1273=BT612)*($K$9:$K$1273&gt;K612)))</f>
        <v/>
      </c>
      <c r="K612" s="108">
        <f>IFERROR(1-AVERAGE(X612:Y612),"")</f>
        <v/>
      </c>
      <c r="L612" s="108">
        <f>1-X612</f>
        <v/>
      </c>
      <c r="M612" s="108">
        <f>1-Y612</f>
        <v/>
      </c>
      <c r="N612" s="108">
        <f>1-Z612</f>
        <v/>
      </c>
      <c r="O612" s="108">
        <f>1-AA612</f>
        <v/>
      </c>
      <c r="P612" s="108">
        <f>1-AB612</f>
        <v/>
      </c>
      <c r="Q612" s="108" t="n"/>
      <c r="R612" s="108" t="n"/>
      <c r="S612" s="108">
        <f>1-AE612</f>
        <v/>
      </c>
      <c r="T612" s="108">
        <f>1-AF612</f>
        <v/>
      </c>
      <c r="U612" s="108">
        <f>1-AG612</f>
        <v/>
      </c>
      <c r="V612" s="108">
        <f>1-AH612</f>
        <v/>
      </c>
      <c r="W612" s="108">
        <f>1-AI612</f>
        <v/>
      </c>
      <c r="X612" s="108">
        <f>ABS(AJ612-AJ$1)</f>
        <v/>
      </c>
      <c r="Y612" s="108">
        <f>AVERAGE(Z612:AB612)</f>
        <v/>
      </c>
      <c r="Z612" s="108">
        <f>ABS(AL612-AL$1)</f>
        <v/>
      </c>
      <c r="AA612" s="108">
        <f>ABS(AM612-AM$1)</f>
        <v/>
      </c>
      <c r="AB612" s="108">
        <f>ABS(AN612-AN$1)</f>
        <v/>
      </c>
      <c r="AC612" s="108" t="n"/>
      <c r="AD612" s="108" t="n"/>
      <c r="AE612" s="108">
        <f>ABS(AQ$1-AQ612)</f>
        <v/>
      </c>
      <c r="AF612" s="108">
        <f>ABS(AR$1-AR612)</f>
        <v/>
      </c>
      <c r="AG612" s="108">
        <f>ABS(AS$1-AS612)</f>
        <v/>
      </c>
      <c r="AH612" s="108">
        <f>ABS(AT$1-AT612)</f>
        <v/>
      </c>
      <c r="AI612" s="108">
        <f>ABS(AU$1-AU612)</f>
        <v/>
      </c>
      <c r="AJ612" s="108">
        <f>(AV612-Driver!$K$179)/(Driver!$L$179-Driver!$K$179)</f>
        <v/>
      </c>
      <c r="AK612" s="108">
        <f>(AW612-Driver!$K$180)/(Driver!$L$180-Driver!$K$180)</f>
        <v/>
      </c>
      <c r="AL612" s="108">
        <f>(AX612-Driver!$K$181)/(Driver!$L$181-Driver!$K$181)</f>
        <v/>
      </c>
      <c r="AM612" s="108">
        <f>(AY612-Driver!$K$182)/(Driver!$L$182-Driver!$K$182)</f>
        <v/>
      </c>
      <c r="AN612" s="108">
        <f>(AZ612-Driver!$K$183)/(Driver!$L$183-Driver!$K$183)</f>
        <v/>
      </c>
      <c r="AO612" s="108" t="n"/>
      <c r="AP612" s="108" t="n"/>
      <c r="AQ612" s="108">
        <f>(BC612-Driver!$K$188)/(Driver!$L$188-Driver!$K$188)</f>
        <v/>
      </c>
      <c r="AR612" s="108">
        <f>MIN((BD612-Driver!$K$189)/(Driver!$L$189-Driver!$K$189),100%)</f>
        <v/>
      </c>
      <c r="AS612" s="108">
        <f>(BE612-Driver!$K$190)/(Driver!$L$190-Driver!$K$190)</f>
        <v/>
      </c>
      <c r="AT612" s="108">
        <f>(BF612-Driver!$K$191)/(Driver!$L$191-Driver!$K$191)</f>
        <v/>
      </c>
      <c r="AU612" s="108">
        <f>(BG612-Driver!$K$192)/(Driver!$L$192-Driver!$K$192)</f>
        <v/>
      </c>
      <c r="AV612" s="105">
        <f>IFERROR(BM612*BJ612^1/4,"")</f>
        <v/>
      </c>
      <c r="AW612" s="105">
        <f>IFERROR(SUM(AX612:AZ612),"")</f>
        <v/>
      </c>
      <c r="AX612" s="105">
        <f>IFERROR(BH612,"")</f>
        <v/>
      </c>
      <c r="AY612" s="105">
        <f>IFERROR(Driver!$K$19/Data!BH612/Data!BI612*Data!BK612*Data!BL612,"")</f>
        <v/>
      </c>
      <c r="AZ612" s="105">
        <f>IFERROR(BI612*BN612,"")</f>
        <v/>
      </c>
      <c r="BA612" s="105" t="n"/>
      <c r="BB612" s="105" t="n"/>
      <c r="BC612" s="105">
        <f>IFERROR(BI612*BN612*BK612/BJ612^(1/2),"")</f>
        <v/>
      </c>
      <c r="BD612" s="105">
        <f>IFERROR(BH612*BM612*BL612/BJ612/BK612,"")</f>
        <v/>
      </c>
      <c r="BE612" s="105">
        <f>IFERROR(MIN(BI612/BQ612/BP612/BO612/BH612,$BE$1),"")</f>
        <v/>
      </c>
      <c r="BF612" s="105">
        <f>IFERROR(BJ612*BO612*BP612/BK612,"")</f>
        <v/>
      </c>
      <c r="BG612" s="105">
        <f>IFERROR(1/BM612/BH612*BQ612,"")</f>
        <v/>
      </c>
      <c r="BH612" s="102">
        <f>MAX((CE612-Driver!$F$200)/(Driver!$G$200-Driver!$F$200)*$BI$1,1)</f>
        <v/>
      </c>
      <c r="BI612" s="102">
        <f>MAX($BI$1*(BY612-Driver!$F$201)/(Driver!$G$201-Driver!$F$201),1)</f>
        <v/>
      </c>
      <c r="BJ612" s="102">
        <f>(CB612-Driver!$F$206)/(Driver!$G$206-Driver!$F$206)*$BI$1</f>
        <v/>
      </c>
      <c r="BK612" s="102">
        <f>(CD612-Driver!$F$203)/(Driver!$G$203-Driver!$F$203)*$BI$1</f>
        <v/>
      </c>
      <c r="BL612" s="102">
        <f>MAX((CR612-Driver!$F$202)/(Driver!$G$202-Driver!$F$202)*$BI$1,1)</f>
        <v/>
      </c>
      <c r="BM612" s="102">
        <f>MAX((CH612-Driver!$F$204)/(Driver!$G$204-Driver!$F$204)*$BI$1,1)</f>
        <v/>
      </c>
      <c r="BN612" s="102">
        <f>(CI612-Driver!$F$205)/(Driver!$G$205-Driver!$F$205)*$BI$1</f>
        <v/>
      </c>
      <c r="BO612" s="102">
        <f>(CK612-Driver!$F$207)/(Driver!$G$207-Driver!$F$207)*$BI$1</f>
        <v/>
      </c>
      <c r="BP612" s="102">
        <f>(CM612-Driver!$F$208)/(Driver!$G$208-Driver!$F$208)*$BI$1</f>
        <v/>
      </c>
      <c r="BQ612" s="102">
        <f>(CL612-Driver!$F$209)/(Driver!$G$209-Driver!$F$209)*$BI$1</f>
        <v/>
      </c>
      <c r="BR612" s="40" t="inlineStr">
        <is>
          <t>21/22</t>
        </is>
      </c>
      <c r="BS612" s="10" t="inlineStr">
        <is>
          <t xml:space="preserve"> Völkl</t>
        </is>
      </c>
      <c r="BT612" s="11" t="inlineStr">
        <is>
          <t>Revolt 95</t>
        </is>
      </c>
      <c r="BU612" s="13" t="n">
        <v>181</v>
      </c>
      <c r="BV612" s="11" t="inlineStr">
        <is>
          <t xml:space="preserve"> Unisex</t>
        </is>
      </c>
      <c r="BW612" s="13" t="n">
        <v>181</v>
      </c>
      <c r="BX612" s="13" t="n">
        <v>181.3</v>
      </c>
      <c r="BY612" s="13" t="n">
        <v>145</v>
      </c>
      <c r="BZ612" s="13" t="n">
        <v>166</v>
      </c>
      <c r="CA612" s="13" t="n">
        <v>128</v>
      </c>
      <c r="CB612" s="13" t="n">
        <v>94</v>
      </c>
      <c r="CC612" s="13" t="n">
        <v>118</v>
      </c>
      <c r="CD612" s="13" t="n">
        <v>23.8</v>
      </c>
      <c r="CE612" s="13" t="n">
        <v>2034</v>
      </c>
      <c r="CF612" s="13" t="n">
        <v>0.93</v>
      </c>
      <c r="CG612" s="13" t="n">
        <v>1886</v>
      </c>
      <c r="CH612" s="13" t="n">
        <v>209</v>
      </c>
      <c r="CI612" s="13" t="n">
        <v>106</v>
      </c>
      <c r="CJ612" s="13" t="n">
        <v>38</v>
      </c>
      <c r="CK612" s="13" t="n">
        <v>204</v>
      </c>
      <c r="CL612" s="13" t="n">
        <v>37</v>
      </c>
      <c r="CM612" s="13" t="n">
        <v>156</v>
      </c>
      <c r="CN612" s="13" t="n">
        <v>0.96</v>
      </c>
      <c r="CO612" s="13" t="n">
        <v>83</v>
      </c>
      <c r="CP612" s="13" t="n">
        <v>72</v>
      </c>
      <c r="CQ612" s="13" t="n">
        <v>120</v>
      </c>
      <c r="CR612" s="13" t="n">
        <v>6</v>
      </c>
      <c r="CS612" s="13" t="n">
        <v>0.2</v>
      </c>
      <c r="CT612" s="11" t="inlineStr">
        <is>
          <t xml:space="preserve"> Freeski</t>
        </is>
      </c>
      <c r="CU612" s="13" t="n"/>
      <c r="CV612" s="13" t="n"/>
      <c r="CW612" s="13" t="n"/>
      <c r="CX612">
        <f>INDEX('Data_Price '!AG$2:AG$1266,MATCH(Data!$DN612,'Data_Price '!$AT$2:$AT$1266,0))</f>
        <v/>
      </c>
      <c r="CY612">
        <f>INDEX('Data_Price '!AH$2:AH$1266,MATCH(Data!$DN612,'Data_Price '!$AT$2:$AT$1266,0))</f>
        <v/>
      </c>
      <c r="CZ612">
        <f>INDEX('Data_Price '!AI$2:AI$1266,MATCH(Data!$DN612,'Data_Price '!$AT$2:$AT$1266,0))</f>
        <v/>
      </c>
      <c r="DA612">
        <f>INDEX('Data_Price '!AJ$2:AJ$1266,MATCH(Data!$DN612,'Data_Price '!$AT$2:$AT$1266,0))</f>
        <v/>
      </c>
      <c r="DB612">
        <f>INDEX('Data_Price '!AK$2:AK$1266,MATCH(Data!$DN612,'Data_Price '!$AT$2:$AT$1266,0))</f>
        <v/>
      </c>
      <c r="DC612">
        <f>INDEX('Data_Price '!AL$2:AL$1266,MATCH(Data!$DN612,'Data_Price '!$AT$2:$AT$1266,0))</f>
        <v/>
      </c>
      <c r="DD612">
        <f>INDEX('Data_Price '!AM$2:AM$1266,MATCH(Data!$DN612,'Data_Price '!$AT$2:$AT$1266,0))</f>
        <v/>
      </c>
      <c r="DE612">
        <f>INDEX('Data_Price '!AN$2:AN$1266,MATCH(Data!$DN612,'Data_Price '!$AT$2:$AT$1266,0))</f>
        <v/>
      </c>
      <c r="DF612">
        <f>INDEX('Data_Price '!AO$2:AO$1266,MATCH(Data!$DN612,'Data_Price '!$AT$2:$AT$1266,0))</f>
        <v/>
      </c>
      <c r="DG612">
        <f>INDEX('Data_Price '!AP$2:AP$1266,MATCH(Data!$DN612,'Data_Price '!$AT$2:$AT$1266,0))</f>
        <v/>
      </c>
      <c r="DH612">
        <f>INDEX('Data_Price '!AQ$2:AQ$1266,MATCH(Data!$DN612,'Data_Price '!$AT$2:$AT$1266,0))</f>
        <v/>
      </c>
      <c r="DI612">
        <f>INDEX('Data_Price '!AR$2:AR$1266,MATCH(Data!$DN612,'Data_Price '!$AT$2:$AT$1266,0))</f>
        <v/>
      </c>
      <c r="DJ612" s="138">
        <f>DA612</f>
        <v/>
      </c>
      <c r="DK612" s="138">
        <f>DE612</f>
        <v/>
      </c>
      <c r="DL612" s="138">
        <f>DI612</f>
        <v/>
      </c>
      <c r="DM612" s="303">
        <f>IF(LEFT(BT612,1)=" ",RIGHT(BT612,LEN(BT612)-1),BT612)</f>
        <v/>
      </c>
      <c r="DN612" s="138">
        <f>_xlfn.CONCAT(BS612,DM612,BU612,BV612)</f>
        <v/>
      </c>
      <c r="DO612" s="307" t="inlineStr">
        <is>
          <t>https://images.evo.com/imgp/250/183426/726978/clone.jpg</t>
        </is>
      </c>
    </row>
    <row r="613" ht="15.6" customHeight="1" s="184">
      <c r="B613" s="303">
        <f t="array" ref="B613">IF(OR(ISERROR(K613:P613)),FALSE,TRUE)</f>
        <v/>
      </c>
      <c r="C613" s="60">
        <f>OR(BR613=Driver!$G$50,Data!BR1005=Driver!$H$50)</f>
        <v/>
      </c>
      <c r="D613" s="60">
        <f>OR(BV613=Driver!$G$51,BV613=Driver!$H$51)</f>
        <v/>
      </c>
      <c r="E613" s="60">
        <f>AND(BX613&gt;Driver!$F$54,BX613&lt;Driver!$G$54)</f>
        <v/>
      </c>
      <c r="F613" s="60">
        <f>CL613&gt;Driver!$F$56</f>
        <v/>
      </c>
      <c r="G613" s="60">
        <f>AND(CB613&gt;Driver!$F$55,CB613&lt;Driver!$G$55)</f>
        <v/>
      </c>
      <c r="H613" s="60">
        <f>AND(B613:G613)</f>
        <v/>
      </c>
      <c r="I613" s="60">
        <f>COUNTIFS($H$9:$H$1273,TRUE,$BT$9:$BT$1273,BT613)</f>
        <v/>
      </c>
      <c r="J613" s="60">
        <f t="array" ref="J613">NOT(OR(($H$9:$H$1273=TRUE)*($I$9:$I$1273&gt;0)*($BT$9:$BT$1273=BT613)*($K$9:$K$1273&gt;K613)))</f>
        <v/>
      </c>
      <c r="K613" s="108">
        <f>IFERROR(1-AVERAGE(X613:Y613),"")</f>
        <v/>
      </c>
      <c r="L613" s="108">
        <f>1-X613</f>
        <v/>
      </c>
      <c r="M613" s="108">
        <f>1-Y613</f>
        <v/>
      </c>
      <c r="N613" s="108">
        <f>1-Z613</f>
        <v/>
      </c>
      <c r="O613" s="108">
        <f>1-AA613</f>
        <v/>
      </c>
      <c r="P613" s="108">
        <f>1-AB613</f>
        <v/>
      </c>
      <c r="Q613" s="108" t="n"/>
      <c r="R613" s="108" t="n"/>
      <c r="S613" s="108">
        <f>1-AE613</f>
        <v/>
      </c>
      <c r="T613" s="108">
        <f>1-AF613</f>
        <v/>
      </c>
      <c r="U613" s="108">
        <f>1-AG613</f>
        <v/>
      </c>
      <c r="V613" s="108">
        <f>1-AH613</f>
        <v/>
      </c>
      <c r="W613" s="108">
        <f>1-AI613</f>
        <v/>
      </c>
      <c r="X613" s="108">
        <f>ABS(AJ613-AJ$1)</f>
        <v/>
      </c>
      <c r="Y613" s="108">
        <f>AVERAGE(Z613:AB613)</f>
        <v/>
      </c>
      <c r="Z613" s="108">
        <f>ABS(AL613-AL$1)</f>
        <v/>
      </c>
      <c r="AA613" s="108">
        <f>ABS(AM613-AM$1)</f>
        <v/>
      </c>
      <c r="AB613" s="108">
        <f>ABS(AN613-AN$1)</f>
        <v/>
      </c>
      <c r="AC613" s="108" t="n"/>
      <c r="AD613" s="108" t="n"/>
      <c r="AE613" s="108">
        <f>ABS(AQ$1-AQ613)</f>
        <v/>
      </c>
      <c r="AF613" s="108">
        <f>ABS(AR$1-AR613)</f>
        <v/>
      </c>
      <c r="AG613" s="108">
        <f>ABS(AS$1-AS613)</f>
        <v/>
      </c>
      <c r="AH613" s="108">
        <f>ABS(AT$1-AT613)</f>
        <v/>
      </c>
      <c r="AI613" s="108">
        <f>ABS(AU$1-AU613)</f>
        <v/>
      </c>
      <c r="AJ613" s="108">
        <f>(AV613-Driver!$K$179)/(Driver!$L$179-Driver!$K$179)</f>
        <v/>
      </c>
      <c r="AK613" s="108">
        <f>(AW613-Driver!$K$180)/(Driver!$L$180-Driver!$K$180)</f>
        <v/>
      </c>
      <c r="AL613" s="108">
        <f>(AX613-Driver!$K$181)/(Driver!$L$181-Driver!$K$181)</f>
        <v/>
      </c>
      <c r="AM613" s="108">
        <f>(AY613-Driver!$K$182)/(Driver!$L$182-Driver!$K$182)</f>
        <v/>
      </c>
      <c r="AN613" s="108">
        <f>(AZ613-Driver!$K$183)/(Driver!$L$183-Driver!$K$183)</f>
        <v/>
      </c>
      <c r="AO613" s="108" t="n"/>
      <c r="AP613" s="108" t="n"/>
      <c r="AQ613" s="108">
        <f>(BC613-Driver!$K$188)/(Driver!$L$188-Driver!$K$188)</f>
        <v/>
      </c>
      <c r="AR613" s="108">
        <f>MIN((BD613-Driver!$K$189)/(Driver!$L$189-Driver!$K$189),100%)</f>
        <v/>
      </c>
      <c r="AS613" s="108">
        <f>(BE613-Driver!$K$190)/(Driver!$L$190-Driver!$K$190)</f>
        <v/>
      </c>
      <c r="AT613" s="108">
        <f>(BF613-Driver!$K$191)/(Driver!$L$191-Driver!$K$191)</f>
        <v/>
      </c>
      <c r="AU613" s="108">
        <f>(BG613-Driver!$K$192)/(Driver!$L$192-Driver!$K$192)</f>
        <v/>
      </c>
      <c r="AV613" s="105">
        <f>IFERROR(BM613*BJ613^1/4,"")</f>
        <v/>
      </c>
      <c r="AW613" s="105">
        <f>IFERROR(SUM(AX613:AZ613),"")</f>
        <v/>
      </c>
      <c r="AX613" s="105">
        <f>IFERROR(BH613,"")</f>
        <v/>
      </c>
      <c r="AY613" s="105">
        <f>IFERROR(Driver!$K$19/Data!BH613/Data!BI613*Data!BK613*Data!BL613,"")</f>
        <v/>
      </c>
      <c r="AZ613" s="105">
        <f>IFERROR(BI613*BN613,"")</f>
        <v/>
      </c>
      <c r="BA613" s="105" t="n"/>
      <c r="BB613" s="105" t="n"/>
      <c r="BC613" s="105">
        <f>IFERROR(BI613*BN613*BK613/BJ613^(1/2),"")</f>
        <v/>
      </c>
      <c r="BD613" s="105">
        <f>IFERROR(BH613*BM613*BL613/BJ613/BK613,"")</f>
        <v/>
      </c>
      <c r="BE613" s="105">
        <f>IFERROR(MIN(BI613/BQ613/BP613/BO613/BH613,$BE$1),"")</f>
        <v/>
      </c>
      <c r="BF613" s="105">
        <f>IFERROR(BJ613*BO613*BP613/BK613,"")</f>
        <v/>
      </c>
      <c r="BG613" s="105">
        <f>IFERROR(1/BM613/BH613*BQ613,"")</f>
        <v/>
      </c>
      <c r="BH613" s="102">
        <f>MAX((CE613-Driver!$F$200)/(Driver!$G$200-Driver!$F$200)*$BI$1,1)</f>
        <v/>
      </c>
      <c r="BI613" s="102">
        <f>MAX($BI$1*(BY613-Driver!$F$201)/(Driver!$G$201-Driver!$F$201),1)</f>
        <v/>
      </c>
      <c r="BJ613" s="102">
        <f>(CB613-Driver!$F$206)/(Driver!$G$206-Driver!$F$206)*$BI$1</f>
        <v/>
      </c>
      <c r="BK613" s="102">
        <f>(CD613-Driver!$F$203)/(Driver!$G$203-Driver!$F$203)*$BI$1</f>
        <v/>
      </c>
      <c r="BL613" s="102">
        <f>MAX((CR613-Driver!$F$202)/(Driver!$G$202-Driver!$F$202)*$BI$1,1)</f>
        <v/>
      </c>
      <c r="BM613" s="102">
        <f>MAX((CH613-Driver!$F$204)/(Driver!$G$204-Driver!$F$204)*$BI$1,1)</f>
        <v/>
      </c>
      <c r="BN613" s="102">
        <f>(CI613-Driver!$F$205)/(Driver!$G$205-Driver!$F$205)*$BI$1</f>
        <v/>
      </c>
      <c r="BO613" s="102">
        <f>(CK613-Driver!$F$207)/(Driver!$G$207-Driver!$F$207)*$BI$1</f>
        <v/>
      </c>
      <c r="BP613" s="102">
        <f>(CM613-Driver!$F$208)/(Driver!$G$208-Driver!$F$208)*$BI$1</f>
        <v/>
      </c>
      <c r="BQ613" s="102">
        <f>(CL613-Driver!$F$209)/(Driver!$G$209-Driver!$F$209)*$BI$1</f>
        <v/>
      </c>
      <c r="BR613" s="40" t="inlineStr">
        <is>
          <t>21/22</t>
        </is>
      </c>
      <c r="BS613" s="10" t="inlineStr">
        <is>
          <t xml:space="preserve"> Rossignol</t>
        </is>
      </c>
      <c r="BT613" s="11" t="inlineStr">
        <is>
          <t>Experience 80 Carbon</t>
        </is>
      </c>
      <c r="BU613" s="13" t="n">
        <v>174</v>
      </c>
      <c r="BV613" s="11" t="inlineStr">
        <is>
          <t xml:space="preserve"> Unisex</t>
        </is>
      </c>
      <c r="BW613" s="13" t="n">
        <v>174</v>
      </c>
      <c r="BX613" s="13" t="n">
        <v>174.4</v>
      </c>
      <c r="BY613" s="13" t="n">
        <v>134</v>
      </c>
      <c r="BZ613" s="13" t="n">
        <v>160</v>
      </c>
      <c r="CA613" s="13" t="n">
        <v>125</v>
      </c>
      <c r="CB613" s="13" t="n">
        <v>80</v>
      </c>
      <c r="CC613" s="13" t="n">
        <v>113</v>
      </c>
      <c r="CD613" s="13" t="n">
        <v>16.1</v>
      </c>
      <c r="CE613" s="13" t="n">
        <v>1830</v>
      </c>
      <c r="CF613" s="13" t="n">
        <v>0.9</v>
      </c>
      <c r="CG613" s="13" t="n">
        <v>1643</v>
      </c>
      <c r="CH613" s="13" t="n">
        <v>254</v>
      </c>
      <c r="CI613" s="13" t="n">
        <v>72</v>
      </c>
      <c r="CJ613" s="13" t="n">
        <v>50</v>
      </c>
      <c r="CK613" s="13" t="n">
        <v>266</v>
      </c>
      <c r="CL613" s="13" t="n">
        <v>15</v>
      </c>
      <c r="CM613" s="13" t="n">
        <v>137</v>
      </c>
      <c r="CN613" s="13" t="n">
        <v>0.306</v>
      </c>
      <c r="CO613" s="13" t="n">
        <v>84</v>
      </c>
      <c r="CP613" s="13" t="n">
        <v>62</v>
      </c>
      <c r="CQ613" s="13" t="n">
        <v>182</v>
      </c>
      <c r="CR613" s="13" t="n">
        <v>7</v>
      </c>
      <c r="CS613" s="13" t="n">
        <v>6.4</v>
      </c>
      <c r="CT613" s="11" t="inlineStr">
        <is>
          <t xml:space="preserve"> Other</t>
        </is>
      </c>
      <c r="CU613" s="13" t="n"/>
      <c r="CV613" s="13" t="n"/>
      <c r="CW613" s="13" t="n"/>
      <c r="CX613">
        <f>INDEX('Data_Price '!AG$2:AG$1266,MATCH(Data!$DN613,'Data_Price '!$AT$2:$AT$1266,0))</f>
        <v/>
      </c>
      <c r="CY613">
        <f>INDEX('Data_Price '!AH$2:AH$1266,MATCH(Data!$DN613,'Data_Price '!$AT$2:$AT$1266,0))</f>
        <v/>
      </c>
      <c r="CZ613">
        <f>INDEX('Data_Price '!AI$2:AI$1266,MATCH(Data!$DN613,'Data_Price '!$AT$2:$AT$1266,0))</f>
        <v/>
      </c>
      <c r="DA613">
        <f>INDEX('Data_Price '!AJ$2:AJ$1266,MATCH(Data!$DN613,'Data_Price '!$AT$2:$AT$1266,0))</f>
        <v/>
      </c>
      <c r="DB613">
        <f>INDEX('Data_Price '!AK$2:AK$1266,MATCH(Data!$DN613,'Data_Price '!$AT$2:$AT$1266,0))</f>
        <v/>
      </c>
      <c r="DC613">
        <f>INDEX('Data_Price '!AL$2:AL$1266,MATCH(Data!$DN613,'Data_Price '!$AT$2:$AT$1266,0))</f>
        <v/>
      </c>
      <c r="DD613">
        <f>INDEX('Data_Price '!AM$2:AM$1266,MATCH(Data!$DN613,'Data_Price '!$AT$2:$AT$1266,0))</f>
        <v/>
      </c>
      <c r="DE613">
        <f>INDEX('Data_Price '!AN$2:AN$1266,MATCH(Data!$DN613,'Data_Price '!$AT$2:$AT$1266,0))</f>
        <v/>
      </c>
      <c r="DF613">
        <f>INDEX('Data_Price '!AO$2:AO$1266,MATCH(Data!$DN613,'Data_Price '!$AT$2:$AT$1266,0))</f>
        <v/>
      </c>
      <c r="DG613">
        <f>INDEX('Data_Price '!AP$2:AP$1266,MATCH(Data!$DN613,'Data_Price '!$AT$2:$AT$1266,0))</f>
        <v/>
      </c>
      <c r="DH613">
        <f>INDEX('Data_Price '!AQ$2:AQ$1266,MATCH(Data!$DN613,'Data_Price '!$AT$2:$AT$1266,0))</f>
        <v/>
      </c>
      <c r="DI613">
        <f>INDEX('Data_Price '!AR$2:AR$1266,MATCH(Data!$DN613,'Data_Price '!$AT$2:$AT$1266,0))</f>
        <v/>
      </c>
      <c r="DJ613" s="138">
        <f>DA613</f>
        <v/>
      </c>
      <c r="DK613" s="138">
        <f>DE613</f>
        <v/>
      </c>
      <c r="DL613" s="138">
        <f>DI613</f>
        <v/>
      </c>
      <c r="DM613" s="303">
        <f>IF(LEFT(BT613,1)=" ",RIGHT(BT613,LEN(BT613)-1),BT613)</f>
        <v/>
      </c>
      <c r="DN613" s="138">
        <f>_xlfn.CONCAT(BS613,DM613,BU613,BV613)</f>
        <v/>
      </c>
      <c r="DO613" s="307" t="n"/>
    </row>
    <row r="614" ht="15.6" customHeight="1" s="184">
      <c r="B614" s="303">
        <f t="array" ref="B614">IF(OR(ISERROR(K614:P614)),FALSE,TRUE)</f>
        <v/>
      </c>
      <c r="C614" s="60">
        <f>OR(BR614=Driver!$G$50,Data!BR481=Driver!$H$50)</f>
        <v/>
      </c>
      <c r="D614" s="60">
        <f>OR(BV614=Driver!$G$51,BV614=Driver!$H$51)</f>
        <v/>
      </c>
      <c r="E614" s="60">
        <f>AND(BX614&gt;Driver!$F$54,BX614&lt;Driver!$G$54)</f>
        <v/>
      </c>
      <c r="F614" s="60">
        <f>CL614&gt;Driver!$F$56</f>
        <v/>
      </c>
      <c r="G614" s="60">
        <f>AND(CB614&gt;Driver!$F$55,CB614&lt;Driver!$G$55)</f>
        <v/>
      </c>
      <c r="H614" s="60">
        <f>AND(B614:G614)</f>
        <v/>
      </c>
      <c r="I614" s="60">
        <f>COUNTIFS($H$9:$H$1273,TRUE,$BT$9:$BT$1273,BT614)</f>
        <v/>
      </c>
      <c r="J614" s="60">
        <f t="array" ref="J614">NOT(OR(($H$9:$H$1273=TRUE)*($I$9:$I$1273&gt;0)*($BT$9:$BT$1273=BT614)*($K$9:$K$1273&gt;K614)))</f>
        <v/>
      </c>
      <c r="K614" s="108">
        <f>IFERROR(1-AVERAGE(X614:Y614),"")</f>
        <v/>
      </c>
      <c r="L614" s="108">
        <f>1-X614</f>
        <v/>
      </c>
      <c r="M614" s="108">
        <f>1-Y614</f>
        <v/>
      </c>
      <c r="N614" s="108">
        <f>1-Z614</f>
        <v/>
      </c>
      <c r="O614" s="108">
        <f>1-AA614</f>
        <v/>
      </c>
      <c r="P614" s="108">
        <f>1-AB614</f>
        <v/>
      </c>
      <c r="Q614" s="108" t="n"/>
      <c r="R614" s="108" t="n"/>
      <c r="S614" s="108">
        <f>1-AE614</f>
        <v/>
      </c>
      <c r="T614" s="108">
        <f>1-AF614</f>
        <v/>
      </c>
      <c r="U614" s="108">
        <f>1-AG614</f>
        <v/>
      </c>
      <c r="V614" s="108">
        <f>1-AH614</f>
        <v/>
      </c>
      <c r="W614" s="108">
        <f>1-AI614</f>
        <v/>
      </c>
      <c r="X614" s="108">
        <f>ABS(AJ614-AJ$1)</f>
        <v/>
      </c>
      <c r="Y614" s="108">
        <f>AVERAGE(Z614:AB614)</f>
        <v/>
      </c>
      <c r="Z614" s="108">
        <f>ABS(AL614-AL$1)</f>
        <v/>
      </c>
      <c r="AA614" s="108">
        <f>ABS(AM614-AM$1)</f>
        <v/>
      </c>
      <c r="AB614" s="108">
        <f>ABS(AN614-AN$1)</f>
        <v/>
      </c>
      <c r="AC614" s="108" t="n"/>
      <c r="AD614" s="108" t="n"/>
      <c r="AE614" s="108">
        <f>ABS(AQ$1-AQ614)</f>
        <v/>
      </c>
      <c r="AF614" s="108">
        <f>ABS(AR$1-AR614)</f>
        <v/>
      </c>
      <c r="AG614" s="108">
        <f>ABS(AS$1-AS614)</f>
        <v/>
      </c>
      <c r="AH614" s="108">
        <f>ABS(AT$1-AT614)</f>
        <v/>
      </c>
      <c r="AI614" s="108">
        <f>ABS(AU$1-AU614)</f>
        <v/>
      </c>
      <c r="AJ614" s="108">
        <f>(AV614-Driver!$K$179)/(Driver!$L$179-Driver!$K$179)</f>
        <v/>
      </c>
      <c r="AK614" s="108">
        <f>(AW614-Driver!$K$180)/(Driver!$L$180-Driver!$K$180)</f>
        <v/>
      </c>
      <c r="AL614" s="108">
        <f>(AX614-Driver!$K$181)/(Driver!$L$181-Driver!$K$181)</f>
        <v/>
      </c>
      <c r="AM614" s="108">
        <f>(AY614-Driver!$K$182)/(Driver!$L$182-Driver!$K$182)</f>
        <v/>
      </c>
      <c r="AN614" s="108">
        <f>(AZ614-Driver!$K$183)/(Driver!$L$183-Driver!$K$183)</f>
        <v/>
      </c>
      <c r="AO614" s="108" t="n"/>
      <c r="AP614" s="108" t="n"/>
      <c r="AQ614" s="108">
        <f>(BC614-Driver!$K$188)/(Driver!$L$188-Driver!$K$188)</f>
        <v/>
      </c>
      <c r="AR614" s="108">
        <f>MIN((BD614-Driver!$K$189)/(Driver!$L$189-Driver!$K$189),100%)</f>
        <v/>
      </c>
      <c r="AS614" s="108">
        <f>(BE614-Driver!$K$190)/(Driver!$L$190-Driver!$K$190)</f>
        <v/>
      </c>
      <c r="AT614" s="108">
        <f>(BF614-Driver!$K$191)/(Driver!$L$191-Driver!$K$191)</f>
        <v/>
      </c>
      <c r="AU614" s="108">
        <f>(BG614-Driver!$K$192)/(Driver!$L$192-Driver!$K$192)</f>
        <v/>
      </c>
      <c r="AV614" s="105">
        <f>IFERROR(BM614*BJ614^1/4,"")</f>
        <v/>
      </c>
      <c r="AW614" s="105">
        <f>IFERROR(SUM(AX614:AZ614),"")</f>
        <v/>
      </c>
      <c r="AX614" s="105">
        <f>IFERROR(BH614,"")</f>
        <v/>
      </c>
      <c r="AY614" s="105">
        <f>IFERROR(Driver!$K$19/Data!BH614/Data!BI614*Data!BK614*Data!BL614,"")</f>
        <v/>
      </c>
      <c r="AZ614" s="105">
        <f>IFERROR(BI614*BN614,"")</f>
        <v/>
      </c>
      <c r="BA614" s="105" t="n"/>
      <c r="BB614" s="105" t="n"/>
      <c r="BC614" s="105">
        <f>IFERROR(BI614*BN614*BK614/BJ614^(1/2),"")</f>
        <v/>
      </c>
      <c r="BD614" s="105">
        <f>IFERROR(BH614*BM614*BL614/BJ614/BK614,"")</f>
        <v/>
      </c>
      <c r="BE614" s="105">
        <f>IFERROR(MIN(BI614/BQ614/BP614/BO614/BH614,$BE$1),"")</f>
        <v/>
      </c>
      <c r="BF614" s="105">
        <f>IFERROR(BJ614*BO614*BP614/BK614,"")</f>
        <v/>
      </c>
      <c r="BG614" s="105">
        <f>IFERROR(1/BM614/BH614*BQ614,"")</f>
        <v/>
      </c>
      <c r="BH614" s="102">
        <f>MAX((CE614-Driver!$F$200)/(Driver!$G$200-Driver!$F$200)*$BI$1,1)</f>
        <v/>
      </c>
      <c r="BI614" s="102">
        <f>MAX($BI$1*(BY614-Driver!$F$201)/(Driver!$G$201-Driver!$F$201),1)</f>
        <v/>
      </c>
      <c r="BJ614" s="102">
        <f>(CB614-Driver!$F$206)/(Driver!$G$206-Driver!$F$206)*$BI$1</f>
        <v/>
      </c>
      <c r="BK614" s="102">
        <f>(CD614-Driver!$F$203)/(Driver!$G$203-Driver!$F$203)*$BI$1</f>
        <v/>
      </c>
      <c r="BL614" s="102">
        <f>MAX((CR614-Driver!$F$202)/(Driver!$G$202-Driver!$F$202)*$BI$1,1)</f>
        <v/>
      </c>
      <c r="BM614" s="102">
        <f>MAX((CH614-Driver!$F$204)/(Driver!$G$204-Driver!$F$204)*$BI$1,1)</f>
        <v/>
      </c>
      <c r="BN614" s="102">
        <f>(CI614-Driver!$F$205)/(Driver!$G$205-Driver!$F$205)*$BI$1</f>
        <v/>
      </c>
      <c r="BO614" s="102">
        <f>(CK614-Driver!$F$207)/(Driver!$G$207-Driver!$F$207)*$BI$1</f>
        <v/>
      </c>
      <c r="BP614" s="102">
        <f>(CM614-Driver!$F$208)/(Driver!$G$208-Driver!$F$208)*$BI$1</f>
        <v/>
      </c>
      <c r="BQ614" s="102">
        <f>(CL614-Driver!$F$209)/(Driver!$G$209-Driver!$F$209)*$BI$1</f>
        <v/>
      </c>
      <c r="BR614" s="40" t="inlineStr">
        <is>
          <t>21/22</t>
        </is>
      </c>
      <c r="BS614" s="10" t="inlineStr">
        <is>
          <t xml:space="preserve"> Elan</t>
        </is>
      </c>
      <c r="BT614" s="11" t="inlineStr">
        <is>
          <t>Wingman 86 CTi</t>
        </is>
      </c>
      <c r="BU614" s="13" t="n">
        <v>172</v>
      </c>
      <c r="BV614" s="11" t="inlineStr">
        <is>
          <t xml:space="preserve"> Unisex</t>
        </is>
      </c>
      <c r="BW614" s="13" t="n">
        <v>172</v>
      </c>
      <c r="BX614" s="13" t="n">
        <v>171.4</v>
      </c>
      <c r="BY614" s="13" t="n">
        <v>137</v>
      </c>
      <c r="BZ614" s="13" t="n">
        <v>152</v>
      </c>
      <c r="CA614" s="13" t="n">
        <v>128</v>
      </c>
      <c r="CB614" s="13" t="n">
        <v>85</v>
      </c>
      <c r="CC614" s="13" t="n">
        <v>114</v>
      </c>
      <c r="CD614" s="13" t="n">
        <v>15.4</v>
      </c>
      <c r="CE614" s="13" t="n">
        <v>2080</v>
      </c>
      <c r="CF614" s="13" t="n">
        <v>0.82</v>
      </c>
      <c r="CG614" s="13" t="n">
        <v>1700</v>
      </c>
      <c r="CH614" s="13" t="n">
        <v>206</v>
      </c>
      <c r="CI614" s="13" t="n">
        <v>92</v>
      </c>
      <c r="CJ614" s="13" t="n">
        <v>42</v>
      </c>
      <c r="CK614" s="13" t="n">
        <v>214</v>
      </c>
      <c r="CL614" s="13" t="n">
        <v>8</v>
      </c>
      <c r="CM614" s="13" t="n">
        <v>130</v>
      </c>
      <c r="CN614" s="13" t="n">
        <v>0.202</v>
      </c>
      <c r="CO614" s="13" t="n">
        <v>102</v>
      </c>
      <c r="CP614" s="13" t="n">
        <v>93</v>
      </c>
      <c r="CQ614" s="13" t="n">
        <v>112</v>
      </c>
      <c r="CR614" s="13" t="n">
        <v>8</v>
      </c>
      <c r="CS614" s="13" t="n">
        <v>8.9</v>
      </c>
      <c r="CT614" s="11" t="inlineStr">
        <is>
          <t xml:space="preserve"> Resort Freeride</t>
        </is>
      </c>
      <c r="CU614" s="13" t="n"/>
      <c r="CV614" s="13" t="n"/>
      <c r="CW614" s="13" t="n"/>
      <c r="CX614">
        <f>INDEX('Data_Price '!AG$2:AG$1266,MATCH(Data!$DN614,'Data_Price '!$AT$2:$AT$1266,0))</f>
        <v/>
      </c>
      <c r="CY614">
        <f>INDEX('Data_Price '!AH$2:AH$1266,MATCH(Data!$DN614,'Data_Price '!$AT$2:$AT$1266,0))</f>
        <v/>
      </c>
      <c r="CZ614">
        <f>INDEX('Data_Price '!AI$2:AI$1266,MATCH(Data!$DN614,'Data_Price '!$AT$2:$AT$1266,0))</f>
        <v/>
      </c>
      <c r="DA614">
        <f>INDEX('Data_Price '!AJ$2:AJ$1266,MATCH(Data!$DN614,'Data_Price '!$AT$2:$AT$1266,0))</f>
        <v/>
      </c>
      <c r="DB614">
        <f>INDEX('Data_Price '!AK$2:AK$1266,MATCH(Data!$DN614,'Data_Price '!$AT$2:$AT$1266,0))</f>
        <v/>
      </c>
      <c r="DC614">
        <f>INDEX('Data_Price '!AL$2:AL$1266,MATCH(Data!$DN614,'Data_Price '!$AT$2:$AT$1266,0))</f>
        <v/>
      </c>
      <c r="DD614">
        <f>INDEX('Data_Price '!AM$2:AM$1266,MATCH(Data!$DN614,'Data_Price '!$AT$2:$AT$1266,0))</f>
        <v/>
      </c>
      <c r="DE614">
        <f>INDEX('Data_Price '!AN$2:AN$1266,MATCH(Data!$DN614,'Data_Price '!$AT$2:$AT$1266,0))</f>
        <v/>
      </c>
      <c r="DF614">
        <f>INDEX('Data_Price '!AO$2:AO$1266,MATCH(Data!$DN614,'Data_Price '!$AT$2:$AT$1266,0))</f>
        <v/>
      </c>
      <c r="DG614">
        <f>INDEX('Data_Price '!AP$2:AP$1266,MATCH(Data!$DN614,'Data_Price '!$AT$2:$AT$1266,0))</f>
        <v/>
      </c>
      <c r="DH614">
        <f>INDEX('Data_Price '!AQ$2:AQ$1266,MATCH(Data!$DN614,'Data_Price '!$AT$2:$AT$1266,0))</f>
        <v/>
      </c>
      <c r="DI614">
        <f>INDEX('Data_Price '!AR$2:AR$1266,MATCH(Data!$DN614,'Data_Price '!$AT$2:$AT$1266,0))</f>
        <v/>
      </c>
      <c r="DJ614" s="138">
        <f>DA614</f>
        <v/>
      </c>
      <c r="DK614" s="138">
        <f>DE614</f>
        <v/>
      </c>
      <c r="DL614" s="138">
        <f>DI614</f>
        <v/>
      </c>
      <c r="DM614" s="303">
        <f>IF(LEFT(BT614,1)=" ",RIGHT(BT614,LEN(BT614)-1),BT614)</f>
        <v/>
      </c>
      <c r="DN614" s="138">
        <f>_xlfn.CONCAT(BS614,DM614,BU614,BV614)</f>
        <v/>
      </c>
      <c r="DO614" s="307" t="n"/>
    </row>
    <row r="615" ht="15.6" customHeight="1" s="184">
      <c r="B615" s="303">
        <f t="array" ref="B615">IF(OR(ISERROR(K615:P615)),FALSE,TRUE)</f>
        <v/>
      </c>
      <c r="C615" s="60">
        <f>OR(BR615=Driver!$G$50,Data!BR627=Driver!$H$50)</f>
        <v/>
      </c>
      <c r="D615" s="60">
        <f>OR(BV615=Driver!$G$51,BV615=Driver!$H$51)</f>
        <v/>
      </c>
      <c r="E615" s="60">
        <f>AND(BX615&gt;Driver!$F$54,BX615&lt;Driver!$G$54)</f>
        <v/>
      </c>
      <c r="F615" s="60">
        <f>CL615&gt;Driver!$F$56</f>
        <v/>
      </c>
      <c r="G615" s="60">
        <f>AND(CB615&gt;Driver!$F$55,CB615&lt;Driver!$G$55)</f>
        <v/>
      </c>
      <c r="H615" s="60">
        <f>AND(B615:G615)</f>
        <v/>
      </c>
      <c r="I615" s="60">
        <f>COUNTIFS($H$9:$H$1273,TRUE,$BT$9:$BT$1273,BT615)</f>
        <v/>
      </c>
      <c r="J615" s="60">
        <f t="array" ref="J615">NOT(OR(($H$9:$H$1273=TRUE)*($I$9:$I$1273&gt;0)*($BT$9:$BT$1273=BT615)*($K$9:$K$1273&gt;K615)))</f>
        <v/>
      </c>
      <c r="K615" s="108">
        <f>IFERROR(1-AVERAGE(X615:Y615),"")</f>
        <v/>
      </c>
      <c r="L615" s="108">
        <f>1-X615</f>
        <v/>
      </c>
      <c r="M615" s="108">
        <f>1-Y615</f>
        <v/>
      </c>
      <c r="N615" s="108">
        <f>1-Z615</f>
        <v/>
      </c>
      <c r="O615" s="108">
        <f>1-AA615</f>
        <v/>
      </c>
      <c r="P615" s="108">
        <f>1-AB615</f>
        <v/>
      </c>
      <c r="Q615" s="108" t="n"/>
      <c r="R615" s="108" t="n"/>
      <c r="S615" s="108">
        <f>1-AE615</f>
        <v/>
      </c>
      <c r="T615" s="108">
        <f>1-AF615</f>
        <v/>
      </c>
      <c r="U615" s="108">
        <f>1-AG615</f>
        <v/>
      </c>
      <c r="V615" s="108">
        <f>1-AH615</f>
        <v/>
      </c>
      <c r="W615" s="108">
        <f>1-AI615</f>
        <v/>
      </c>
      <c r="X615" s="108">
        <f>ABS(AJ615-AJ$1)</f>
        <v/>
      </c>
      <c r="Y615" s="108">
        <f>AVERAGE(Z615:AB615)</f>
        <v/>
      </c>
      <c r="Z615" s="108">
        <f>ABS(AL615-AL$1)</f>
        <v/>
      </c>
      <c r="AA615" s="108">
        <f>ABS(AM615-AM$1)</f>
        <v/>
      </c>
      <c r="AB615" s="108">
        <f>ABS(AN615-AN$1)</f>
        <v/>
      </c>
      <c r="AC615" s="108" t="n"/>
      <c r="AD615" s="108" t="n"/>
      <c r="AE615" s="108">
        <f>ABS(AQ$1-AQ615)</f>
        <v/>
      </c>
      <c r="AF615" s="108">
        <f>ABS(AR$1-AR615)</f>
        <v/>
      </c>
      <c r="AG615" s="108">
        <f>ABS(AS$1-AS615)</f>
        <v/>
      </c>
      <c r="AH615" s="108">
        <f>ABS(AT$1-AT615)</f>
        <v/>
      </c>
      <c r="AI615" s="108">
        <f>ABS(AU$1-AU615)</f>
        <v/>
      </c>
      <c r="AJ615" s="108">
        <f>(AV615-Driver!$K$179)/(Driver!$L$179-Driver!$K$179)</f>
        <v/>
      </c>
      <c r="AK615" s="108">
        <f>(AW615-Driver!$K$180)/(Driver!$L$180-Driver!$K$180)</f>
        <v/>
      </c>
      <c r="AL615" s="108">
        <f>(AX615-Driver!$K$181)/(Driver!$L$181-Driver!$K$181)</f>
        <v/>
      </c>
      <c r="AM615" s="108">
        <f>(AY615-Driver!$K$182)/(Driver!$L$182-Driver!$K$182)</f>
        <v/>
      </c>
      <c r="AN615" s="108">
        <f>(AZ615-Driver!$K$183)/(Driver!$L$183-Driver!$K$183)</f>
        <v/>
      </c>
      <c r="AO615" s="108" t="n"/>
      <c r="AP615" s="108" t="n"/>
      <c r="AQ615" s="108">
        <f>(BC615-Driver!$K$188)/(Driver!$L$188-Driver!$K$188)</f>
        <v/>
      </c>
      <c r="AR615" s="108">
        <f>MIN((BD615-Driver!$K$189)/(Driver!$L$189-Driver!$K$189),100%)</f>
        <v/>
      </c>
      <c r="AS615" s="108">
        <f>(BE615-Driver!$K$190)/(Driver!$L$190-Driver!$K$190)</f>
        <v/>
      </c>
      <c r="AT615" s="108">
        <f>(BF615-Driver!$K$191)/(Driver!$L$191-Driver!$K$191)</f>
        <v/>
      </c>
      <c r="AU615" s="108">
        <f>(BG615-Driver!$K$192)/(Driver!$L$192-Driver!$K$192)</f>
        <v/>
      </c>
      <c r="AV615" s="105">
        <f>IFERROR(BM615*BJ615^1/4,"")</f>
        <v/>
      </c>
      <c r="AW615" s="105">
        <f>IFERROR(SUM(AX615:AZ615),"")</f>
        <v/>
      </c>
      <c r="AX615" s="105">
        <f>IFERROR(BH615,"")</f>
        <v/>
      </c>
      <c r="AY615" s="105">
        <f>IFERROR(Driver!$K$19/Data!BH615/Data!BI615*Data!BK615*Data!BL615,"")</f>
        <v/>
      </c>
      <c r="AZ615" s="105">
        <f>IFERROR(BI615*BN615,"")</f>
        <v/>
      </c>
      <c r="BA615" s="105" t="n"/>
      <c r="BB615" s="105" t="n"/>
      <c r="BC615" s="105">
        <f>IFERROR(BI615*BN615*BK615/BJ615^(1/2),"")</f>
        <v/>
      </c>
      <c r="BD615" s="105">
        <f>IFERROR(BH615*BM615*BL615/BJ615/BK615,"")</f>
        <v/>
      </c>
      <c r="BE615" s="105">
        <f>IFERROR(MIN(BI615/BQ615/BP615/BO615/BH615,$BE$1),"")</f>
        <v/>
      </c>
      <c r="BF615" s="105">
        <f>IFERROR(BJ615*BO615*BP615/BK615,"")</f>
        <v/>
      </c>
      <c r="BG615" s="105">
        <f>IFERROR(1/BM615/BH615*BQ615,"")</f>
        <v/>
      </c>
      <c r="BH615" s="102">
        <f>MAX((CE615-Driver!$F$200)/(Driver!$G$200-Driver!$F$200)*$BI$1,1)</f>
        <v/>
      </c>
      <c r="BI615" s="102">
        <f>MAX($BI$1*(BY615-Driver!$F$201)/(Driver!$G$201-Driver!$F$201),1)</f>
        <v/>
      </c>
      <c r="BJ615" s="102">
        <f>(CB615-Driver!$F$206)/(Driver!$G$206-Driver!$F$206)*$BI$1</f>
        <v/>
      </c>
      <c r="BK615" s="102">
        <f>(CD615-Driver!$F$203)/(Driver!$G$203-Driver!$F$203)*$BI$1</f>
        <v/>
      </c>
      <c r="BL615" s="102">
        <f>MAX((CR615-Driver!$F$202)/(Driver!$G$202-Driver!$F$202)*$BI$1,1)</f>
        <v/>
      </c>
      <c r="BM615" s="102">
        <f>MAX((CH615-Driver!$F$204)/(Driver!$G$204-Driver!$F$204)*$BI$1,1)</f>
        <v/>
      </c>
      <c r="BN615" s="102">
        <f>(CI615-Driver!$F$205)/(Driver!$G$205-Driver!$F$205)*$BI$1</f>
        <v/>
      </c>
      <c r="BO615" s="102">
        <f>(CK615-Driver!$F$207)/(Driver!$G$207-Driver!$F$207)*$BI$1</f>
        <v/>
      </c>
      <c r="BP615" s="102">
        <f>(CM615-Driver!$F$208)/(Driver!$G$208-Driver!$F$208)*$BI$1</f>
        <v/>
      </c>
      <c r="BQ615" s="102">
        <f>(CL615-Driver!$F$209)/(Driver!$G$209-Driver!$F$209)*$BI$1</f>
        <v/>
      </c>
      <c r="BR615" s="40" t="inlineStr">
        <is>
          <t>21/22</t>
        </is>
      </c>
      <c r="BS615" s="10" t="inlineStr">
        <is>
          <t xml:space="preserve"> Head</t>
        </is>
      </c>
      <c r="BT615" s="11" t="inlineStr">
        <is>
          <t>Kore 97 W</t>
        </is>
      </c>
      <c r="BU615" s="13" t="n">
        <v>177</v>
      </c>
      <c r="BV615" s="11" t="inlineStr">
        <is>
          <t xml:space="preserve"> Women's</t>
        </is>
      </c>
      <c r="BW615" s="13" t="n">
        <v>177</v>
      </c>
      <c r="BX615" s="13" t="n">
        <v>176.6</v>
      </c>
      <c r="BY615" s="13" t="n">
        <v>137</v>
      </c>
      <c r="BZ615" s="13" t="n">
        <v>144</v>
      </c>
      <c r="CA615" s="13" t="n">
        <v>132</v>
      </c>
      <c r="CB615" s="13" t="n">
        <v>98</v>
      </c>
      <c r="CC615" s="13" t="n">
        <v>118</v>
      </c>
      <c r="CD615" s="13" t="n">
        <v>17.1</v>
      </c>
      <c r="CE615" s="13" t="n">
        <v>1717</v>
      </c>
      <c r="CF615" s="13" t="n">
        <v>1.12</v>
      </c>
      <c r="CG615" s="13" t="n">
        <v>1928</v>
      </c>
      <c r="CH615" s="13" t="n">
        <v>266</v>
      </c>
      <c r="CI615" s="13" t="n">
        <v>128</v>
      </c>
      <c r="CJ615" s="13" t="n">
        <v>53</v>
      </c>
      <c r="CK615" s="13" t="n">
        <v>239</v>
      </c>
      <c r="CL615" s="13" t="n">
        <v>14</v>
      </c>
      <c r="CM615" s="13" t="n">
        <v>158</v>
      </c>
      <c r="CN615" s="13" t="n">
        <v>0.268</v>
      </c>
      <c r="CO615" s="13" t="n">
        <v>182</v>
      </c>
      <c r="CP615" s="13" t="n">
        <v>149</v>
      </c>
      <c r="CQ615" s="13" t="n">
        <v>57</v>
      </c>
      <c r="CR615" s="13" t="n">
        <v>6</v>
      </c>
      <c r="CS615" s="13" t="n">
        <v>8.9</v>
      </c>
      <c r="CT615" s="11" t="inlineStr">
        <is>
          <t xml:space="preserve"> Resort Freeride</t>
        </is>
      </c>
      <c r="CU615" s="11" t="inlineStr">
        <is>
          <t xml:space="preserve"> Touring</t>
        </is>
      </c>
      <c r="CV615" s="13" t="n"/>
      <c r="CW615" s="13" t="n"/>
      <c r="CX615">
        <f>INDEX('Data_Price '!AG$2:AG$1266,MATCH(Data!$DN615,'Data_Price '!$AT$2:$AT$1266,0))</f>
        <v/>
      </c>
      <c r="CY615">
        <f>INDEX('Data_Price '!AH$2:AH$1266,MATCH(Data!$DN615,'Data_Price '!$AT$2:$AT$1266,0))</f>
        <v/>
      </c>
      <c r="CZ615">
        <f>INDEX('Data_Price '!AI$2:AI$1266,MATCH(Data!$DN615,'Data_Price '!$AT$2:$AT$1266,0))</f>
        <v/>
      </c>
      <c r="DA615">
        <f>INDEX('Data_Price '!AJ$2:AJ$1266,MATCH(Data!$DN615,'Data_Price '!$AT$2:$AT$1266,0))</f>
        <v/>
      </c>
      <c r="DB615">
        <f>INDEX('Data_Price '!AK$2:AK$1266,MATCH(Data!$DN615,'Data_Price '!$AT$2:$AT$1266,0))</f>
        <v/>
      </c>
      <c r="DC615">
        <f>INDEX('Data_Price '!AL$2:AL$1266,MATCH(Data!$DN615,'Data_Price '!$AT$2:$AT$1266,0))</f>
        <v/>
      </c>
      <c r="DD615">
        <f>INDEX('Data_Price '!AM$2:AM$1266,MATCH(Data!$DN615,'Data_Price '!$AT$2:$AT$1266,0))</f>
        <v/>
      </c>
      <c r="DE615">
        <f>INDEX('Data_Price '!AN$2:AN$1266,MATCH(Data!$DN615,'Data_Price '!$AT$2:$AT$1266,0))</f>
        <v/>
      </c>
      <c r="DF615">
        <f>INDEX('Data_Price '!AO$2:AO$1266,MATCH(Data!$DN615,'Data_Price '!$AT$2:$AT$1266,0))</f>
        <v/>
      </c>
      <c r="DG615">
        <f>INDEX('Data_Price '!AP$2:AP$1266,MATCH(Data!$DN615,'Data_Price '!$AT$2:$AT$1266,0))</f>
        <v/>
      </c>
      <c r="DH615">
        <f>INDEX('Data_Price '!AQ$2:AQ$1266,MATCH(Data!$DN615,'Data_Price '!$AT$2:$AT$1266,0))</f>
        <v/>
      </c>
      <c r="DI615">
        <f>INDEX('Data_Price '!AR$2:AR$1266,MATCH(Data!$DN615,'Data_Price '!$AT$2:$AT$1266,0))</f>
        <v/>
      </c>
      <c r="DJ615" s="138">
        <f>DA615</f>
        <v/>
      </c>
      <c r="DK615" s="138">
        <f>DE615</f>
        <v/>
      </c>
      <c r="DL615" s="138">
        <f>DI615</f>
        <v/>
      </c>
      <c r="DM615" s="303">
        <f>IF(LEFT(BT615,1)=" ",RIGHT(BT615,LEN(BT615)-1),BT615)</f>
        <v/>
      </c>
      <c r="DN615" s="138">
        <f>_xlfn.CONCAT(BS615,DM615,BU615,BV615)</f>
        <v/>
      </c>
      <c r="DO615" s="307" t="n"/>
    </row>
    <row r="616" ht="15.6" customHeight="1" s="184">
      <c r="B616" s="303">
        <f t="array" ref="B616">IF(OR(ISERROR(K616:P616)),FALSE,TRUE)</f>
        <v/>
      </c>
      <c r="C616" s="60">
        <f>OR(BR616=Driver!$G$50,Data!BR161=Driver!$H$50)</f>
        <v/>
      </c>
      <c r="D616" s="60">
        <f>OR(BV616=Driver!$G$51,BV616=Driver!$H$51)</f>
        <v/>
      </c>
      <c r="E616" s="60">
        <f>AND(BX616&gt;Driver!$F$54,BX616&lt;Driver!$G$54)</f>
        <v/>
      </c>
      <c r="F616" s="60">
        <f>CL616&gt;Driver!$F$56</f>
        <v/>
      </c>
      <c r="G616" s="60">
        <f>AND(CB616&gt;Driver!$F$55,CB616&lt;Driver!$G$55)</f>
        <v/>
      </c>
      <c r="H616" s="60">
        <f>AND(B616:G616)</f>
        <v/>
      </c>
      <c r="I616" s="60">
        <f>COUNTIFS($H$9:$H$1273,TRUE,$BT$9:$BT$1273,BT616)</f>
        <v/>
      </c>
      <c r="J616" s="60">
        <f t="array" ref="J616">NOT(OR(($H$9:$H$1273=TRUE)*($I$9:$I$1273&gt;0)*($BT$9:$BT$1273=BT616)*($K$9:$K$1273&gt;K616)))</f>
        <v/>
      </c>
      <c r="K616" s="108">
        <f>IFERROR(1-AVERAGE(X616:Y616),"")</f>
        <v/>
      </c>
      <c r="L616" s="108">
        <f>1-X616</f>
        <v/>
      </c>
      <c r="M616" s="108">
        <f>1-Y616</f>
        <v/>
      </c>
      <c r="N616" s="108">
        <f>1-Z616</f>
        <v/>
      </c>
      <c r="O616" s="108">
        <f>1-AA616</f>
        <v/>
      </c>
      <c r="P616" s="108">
        <f>1-AB616</f>
        <v/>
      </c>
      <c r="Q616" s="108" t="n"/>
      <c r="R616" s="108" t="n"/>
      <c r="S616" s="108">
        <f>1-AE616</f>
        <v/>
      </c>
      <c r="T616" s="108">
        <f>1-AF616</f>
        <v/>
      </c>
      <c r="U616" s="108">
        <f>1-AG616</f>
        <v/>
      </c>
      <c r="V616" s="108">
        <f>1-AH616</f>
        <v/>
      </c>
      <c r="W616" s="108">
        <f>1-AI616</f>
        <v/>
      </c>
      <c r="X616" s="108">
        <f>ABS(AJ616-AJ$1)</f>
        <v/>
      </c>
      <c r="Y616" s="108">
        <f>AVERAGE(Z616:AB616)</f>
        <v/>
      </c>
      <c r="Z616" s="108">
        <f>ABS(AL616-AL$1)</f>
        <v/>
      </c>
      <c r="AA616" s="108">
        <f>ABS(AM616-AM$1)</f>
        <v/>
      </c>
      <c r="AB616" s="108">
        <f>ABS(AN616-AN$1)</f>
        <v/>
      </c>
      <c r="AC616" s="108" t="n"/>
      <c r="AD616" s="108" t="n"/>
      <c r="AE616" s="108">
        <f>ABS(AQ$1-AQ616)</f>
        <v/>
      </c>
      <c r="AF616" s="108">
        <f>ABS(AR$1-AR616)</f>
        <v/>
      </c>
      <c r="AG616" s="108">
        <f>ABS(AS$1-AS616)</f>
        <v/>
      </c>
      <c r="AH616" s="108">
        <f>ABS(AT$1-AT616)</f>
        <v/>
      </c>
      <c r="AI616" s="108">
        <f>ABS(AU$1-AU616)</f>
        <v/>
      </c>
      <c r="AJ616" s="108">
        <f>(AV616-Driver!$K$179)/(Driver!$L$179-Driver!$K$179)</f>
        <v/>
      </c>
      <c r="AK616" s="108">
        <f>(AW616-Driver!$K$180)/(Driver!$L$180-Driver!$K$180)</f>
        <v/>
      </c>
      <c r="AL616" s="108">
        <f>(AX616-Driver!$K$181)/(Driver!$L$181-Driver!$K$181)</f>
        <v/>
      </c>
      <c r="AM616" s="108">
        <f>(AY616-Driver!$K$182)/(Driver!$L$182-Driver!$K$182)</f>
        <v/>
      </c>
      <c r="AN616" s="108">
        <f>(AZ616-Driver!$K$183)/(Driver!$L$183-Driver!$K$183)</f>
        <v/>
      </c>
      <c r="AO616" s="108" t="n"/>
      <c r="AP616" s="108" t="n"/>
      <c r="AQ616" s="108">
        <f>(BC616-Driver!$K$188)/(Driver!$L$188-Driver!$K$188)</f>
        <v/>
      </c>
      <c r="AR616" s="108">
        <f>MIN((BD616-Driver!$K$189)/(Driver!$L$189-Driver!$K$189),100%)</f>
        <v/>
      </c>
      <c r="AS616" s="108">
        <f>(BE616-Driver!$K$190)/(Driver!$L$190-Driver!$K$190)</f>
        <v/>
      </c>
      <c r="AT616" s="108">
        <f>(BF616-Driver!$K$191)/(Driver!$L$191-Driver!$K$191)</f>
        <v/>
      </c>
      <c r="AU616" s="108">
        <f>(BG616-Driver!$K$192)/(Driver!$L$192-Driver!$K$192)</f>
        <v/>
      </c>
      <c r="AV616" s="105">
        <f>IFERROR(BM616*BJ616^1/4,"")</f>
        <v/>
      </c>
      <c r="AW616" s="105">
        <f>IFERROR(SUM(AX616:AZ616),"")</f>
        <v/>
      </c>
      <c r="AX616" s="105">
        <f>IFERROR(BH616,"")</f>
        <v/>
      </c>
      <c r="AY616" s="105">
        <f>IFERROR(Driver!$K$19/Data!BH616/Data!BI616*Data!BK616*Data!BL616,"")</f>
        <v/>
      </c>
      <c r="AZ616" s="105">
        <f>IFERROR(BI616*BN616,"")</f>
        <v/>
      </c>
      <c r="BA616" s="105" t="n"/>
      <c r="BB616" s="105" t="n"/>
      <c r="BC616" s="105">
        <f>IFERROR(BI616*BN616*BK616/BJ616^(1/2),"")</f>
        <v/>
      </c>
      <c r="BD616" s="105">
        <f>IFERROR(BH616*BM616*BL616/BJ616/BK616,"")</f>
        <v/>
      </c>
      <c r="BE616" s="105">
        <f>IFERROR(MIN(BI616/BQ616/BP616/BO616/BH616,$BE$1),"")</f>
        <v/>
      </c>
      <c r="BF616" s="105">
        <f>IFERROR(BJ616*BO616*BP616/BK616,"")</f>
        <v/>
      </c>
      <c r="BG616" s="105">
        <f>IFERROR(1/BM616/BH616*BQ616,"")</f>
        <v/>
      </c>
      <c r="BH616" s="102">
        <f>MAX((CE616-Driver!$F$200)/(Driver!$G$200-Driver!$F$200)*$BI$1,1)</f>
        <v/>
      </c>
      <c r="BI616" s="102">
        <f>MAX($BI$1*(BY616-Driver!$F$201)/(Driver!$G$201-Driver!$F$201),1)</f>
        <v/>
      </c>
      <c r="BJ616" s="102">
        <f>(CB616-Driver!$F$206)/(Driver!$G$206-Driver!$F$206)*$BI$1</f>
        <v/>
      </c>
      <c r="BK616" s="102">
        <f>(CD616-Driver!$F$203)/(Driver!$G$203-Driver!$F$203)*$BI$1</f>
        <v/>
      </c>
      <c r="BL616" s="102">
        <f>MAX((CR616-Driver!$F$202)/(Driver!$G$202-Driver!$F$202)*$BI$1,1)</f>
        <v/>
      </c>
      <c r="BM616" s="102">
        <f>MAX((CH616-Driver!$F$204)/(Driver!$G$204-Driver!$F$204)*$BI$1,1)</f>
        <v/>
      </c>
      <c r="BN616" s="102">
        <f>(CI616-Driver!$F$205)/(Driver!$G$205-Driver!$F$205)*$BI$1</f>
        <v/>
      </c>
      <c r="BO616" s="102">
        <f>(CK616-Driver!$F$207)/(Driver!$G$207-Driver!$F$207)*$BI$1</f>
        <v/>
      </c>
      <c r="BP616" s="102">
        <f>(CM616-Driver!$F$208)/(Driver!$G$208-Driver!$F$208)*$BI$1</f>
        <v/>
      </c>
      <c r="BQ616" s="102">
        <f>(CL616-Driver!$F$209)/(Driver!$G$209-Driver!$F$209)*$BI$1</f>
        <v/>
      </c>
      <c r="BR616" s="40" t="inlineStr">
        <is>
          <t>21/22</t>
        </is>
      </c>
      <c r="BS616" s="10" t="inlineStr">
        <is>
          <t xml:space="preserve"> Atomic</t>
        </is>
      </c>
      <c r="BT616" s="11" t="inlineStr">
        <is>
          <t>Maverick 83</t>
        </is>
      </c>
      <c r="BU616" s="13" t="n">
        <v>173</v>
      </c>
      <c r="BV616" s="11" t="inlineStr">
        <is>
          <t xml:space="preserve"> Unisex</t>
        </is>
      </c>
      <c r="BW616" s="13" t="n">
        <v>173</v>
      </c>
      <c r="BX616" s="13" t="n">
        <v>171.9</v>
      </c>
      <c r="BY616" s="13" t="n">
        <v>141</v>
      </c>
      <c r="BZ616" s="13" t="n">
        <v>151</v>
      </c>
      <c r="CA616" s="13" t="n">
        <v>122</v>
      </c>
      <c r="CB616" s="13" t="n">
        <v>81</v>
      </c>
      <c r="CC616" s="13" t="n">
        <v>106</v>
      </c>
      <c r="CD616" s="13" t="n">
        <v>15.7</v>
      </c>
      <c r="CE616" s="13" t="n">
        <v>1980</v>
      </c>
      <c r="CF616" s="13" t="n">
        <v>0.82</v>
      </c>
      <c r="CG616" s="13" t="n">
        <v>1626</v>
      </c>
      <c r="CH616" s="13" t="n">
        <v>199</v>
      </c>
      <c r="CI616" s="13" t="n">
        <v>87</v>
      </c>
      <c r="CJ616" s="13" t="n">
        <v>41</v>
      </c>
      <c r="CK616" s="13" t="n">
        <v>191</v>
      </c>
      <c r="CL616" s="13" t="n">
        <v>22</v>
      </c>
      <c r="CM616" s="13" t="n">
        <v>117</v>
      </c>
      <c r="CN616" s="13" t="n">
        <v>0.541</v>
      </c>
      <c r="CO616" s="13" t="n">
        <v>116</v>
      </c>
      <c r="CP616" s="13" t="n">
        <v>92</v>
      </c>
      <c r="CQ616" s="13" t="n">
        <v>75</v>
      </c>
      <c r="CR616" s="13" t="n">
        <v>11</v>
      </c>
      <c r="CS616" s="13" t="n">
        <v>8.300000000000001</v>
      </c>
      <c r="CT616" s="11" t="inlineStr">
        <is>
          <t xml:space="preserve"> Resort Freeride</t>
        </is>
      </c>
      <c r="CU616" s="13" t="n"/>
      <c r="CV616" s="13" t="n"/>
      <c r="CW616" s="13" t="n"/>
      <c r="CX616">
        <f>INDEX('Data_Price '!AG$2:AG$1266,MATCH(Data!$DN616,'Data_Price '!$AT$2:$AT$1266,0))</f>
        <v/>
      </c>
      <c r="CY616">
        <f>INDEX('Data_Price '!AH$2:AH$1266,MATCH(Data!$DN616,'Data_Price '!$AT$2:$AT$1266,0))</f>
        <v/>
      </c>
      <c r="CZ616">
        <f>INDEX('Data_Price '!AI$2:AI$1266,MATCH(Data!$DN616,'Data_Price '!$AT$2:$AT$1266,0))</f>
        <v/>
      </c>
      <c r="DA616">
        <f>INDEX('Data_Price '!AJ$2:AJ$1266,MATCH(Data!$DN616,'Data_Price '!$AT$2:$AT$1266,0))</f>
        <v/>
      </c>
      <c r="DB616">
        <f>INDEX('Data_Price '!AK$2:AK$1266,MATCH(Data!$DN616,'Data_Price '!$AT$2:$AT$1266,0))</f>
        <v/>
      </c>
      <c r="DC616">
        <f>INDEX('Data_Price '!AL$2:AL$1266,MATCH(Data!$DN616,'Data_Price '!$AT$2:$AT$1266,0))</f>
        <v/>
      </c>
      <c r="DD616">
        <f>INDEX('Data_Price '!AM$2:AM$1266,MATCH(Data!$DN616,'Data_Price '!$AT$2:$AT$1266,0))</f>
        <v/>
      </c>
      <c r="DE616">
        <f>INDEX('Data_Price '!AN$2:AN$1266,MATCH(Data!$DN616,'Data_Price '!$AT$2:$AT$1266,0))</f>
        <v/>
      </c>
      <c r="DF616">
        <f>INDEX('Data_Price '!AO$2:AO$1266,MATCH(Data!$DN616,'Data_Price '!$AT$2:$AT$1266,0))</f>
        <v/>
      </c>
      <c r="DG616">
        <f>INDEX('Data_Price '!AP$2:AP$1266,MATCH(Data!$DN616,'Data_Price '!$AT$2:$AT$1266,0))</f>
        <v/>
      </c>
      <c r="DH616">
        <f>INDEX('Data_Price '!AQ$2:AQ$1266,MATCH(Data!$DN616,'Data_Price '!$AT$2:$AT$1266,0))</f>
        <v/>
      </c>
      <c r="DI616">
        <f>INDEX('Data_Price '!AR$2:AR$1266,MATCH(Data!$DN616,'Data_Price '!$AT$2:$AT$1266,0))</f>
        <v/>
      </c>
      <c r="DJ616" s="138">
        <f>DA616</f>
        <v/>
      </c>
      <c r="DK616" s="138">
        <f>DE616</f>
        <v/>
      </c>
      <c r="DL616" s="138">
        <f>DI616</f>
        <v/>
      </c>
      <c r="DM616" s="303">
        <f>IF(LEFT(BT616,1)=" ",RIGHT(BT616,LEN(BT616)-1),BT616)</f>
        <v/>
      </c>
      <c r="DN616" s="138">
        <f>_xlfn.CONCAT(BS616,DM616,BU616,BV616)</f>
        <v/>
      </c>
      <c r="DO616" s="307" t="inlineStr">
        <is>
          <t>https://images.evo.com/imgp/250/197826/826871/atomic-maverick-83-skis-m10-gw-bindings-2022-.jpg</t>
        </is>
      </c>
    </row>
    <row r="617" ht="15.6" customHeight="1" s="184">
      <c r="B617" s="303">
        <f t="array" ref="B617">IF(OR(ISERROR(K617:P617)),FALSE,TRUE)</f>
        <v/>
      </c>
      <c r="C617" s="60">
        <f>OR(BR617=Driver!$G$50,Data!BR515=Driver!$H$50)</f>
        <v/>
      </c>
      <c r="D617" s="60">
        <f>OR(BV617=Driver!$G$51,BV617=Driver!$H$51)</f>
        <v/>
      </c>
      <c r="E617" s="60">
        <f>AND(BX617&gt;Driver!$F$54,BX617&lt;Driver!$G$54)</f>
        <v/>
      </c>
      <c r="F617" s="60">
        <f>CL617&gt;Driver!$F$56</f>
        <v/>
      </c>
      <c r="G617" s="60">
        <f>AND(CB617&gt;Driver!$F$55,CB617&lt;Driver!$G$55)</f>
        <v/>
      </c>
      <c r="H617" s="60">
        <f>AND(B617:G617)</f>
        <v/>
      </c>
      <c r="I617" s="60">
        <f>COUNTIFS($H$9:$H$1273,TRUE,$BT$9:$BT$1273,BT617)</f>
        <v/>
      </c>
      <c r="J617" s="60">
        <f t="array" ref="J617">NOT(OR(($H$9:$H$1273=TRUE)*($I$9:$I$1273&gt;0)*($BT$9:$BT$1273=BT617)*($K$9:$K$1273&gt;K617)))</f>
        <v/>
      </c>
      <c r="K617" s="108">
        <f>IFERROR(1-AVERAGE(X617:Y617),"")</f>
        <v/>
      </c>
      <c r="L617" s="108">
        <f>1-X617</f>
        <v/>
      </c>
      <c r="M617" s="108">
        <f>1-Y617</f>
        <v/>
      </c>
      <c r="N617" s="108">
        <f>1-Z617</f>
        <v/>
      </c>
      <c r="O617" s="108">
        <f>1-AA617</f>
        <v/>
      </c>
      <c r="P617" s="108">
        <f>1-AB617</f>
        <v/>
      </c>
      <c r="Q617" s="108" t="n"/>
      <c r="R617" s="108" t="n"/>
      <c r="S617" s="108">
        <f>1-AE617</f>
        <v/>
      </c>
      <c r="T617" s="108">
        <f>1-AF617</f>
        <v/>
      </c>
      <c r="U617" s="108">
        <f>1-AG617</f>
        <v/>
      </c>
      <c r="V617" s="108">
        <f>1-AH617</f>
        <v/>
      </c>
      <c r="W617" s="108">
        <f>1-AI617</f>
        <v/>
      </c>
      <c r="X617" s="108">
        <f>ABS(AJ617-AJ$1)</f>
        <v/>
      </c>
      <c r="Y617" s="108">
        <f>AVERAGE(Z617:AB617)</f>
        <v/>
      </c>
      <c r="Z617" s="108">
        <f>ABS(AL617-AL$1)</f>
        <v/>
      </c>
      <c r="AA617" s="108">
        <f>ABS(AM617-AM$1)</f>
        <v/>
      </c>
      <c r="AB617" s="108">
        <f>ABS(AN617-AN$1)</f>
        <v/>
      </c>
      <c r="AC617" s="108" t="n"/>
      <c r="AD617" s="108" t="n"/>
      <c r="AE617" s="108">
        <f>ABS(AQ$1-AQ617)</f>
        <v/>
      </c>
      <c r="AF617" s="108">
        <f>ABS(AR$1-AR617)</f>
        <v/>
      </c>
      <c r="AG617" s="108">
        <f>ABS(AS$1-AS617)</f>
        <v/>
      </c>
      <c r="AH617" s="108">
        <f>ABS(AT$1-AT617)</f>
        <v/>
      </c>
      <c r="AI617" s="108">
        <f>ABS(AU$1-AU617)</f>
        <v/>
      </c>
      <c r="AJ617" s="108">
        <f>(AV617-Driver!$K$179)/(Driver!$L$179-Driver!$K$179)</f>
        <v/>
      </c>
      <c r="AK617" s="108">
        <f>(AW617-Driver!$K$180)/(Driver!$L$180-Driver!$K$180)</f>
        <v/>
      </c>
      <c r="AL617" s="108">
        <f>(AX617-Driver!$K$181)/(Driver!$L$181-Driver!$K$181)</f>
        <v/>
      </c>
      <c r="AM617" s="108">
        <f>(AY617-Driver!$K$182)/(Driver!$L$182-Driver!$K$182)</f>
        <v/>
      </c>
      <c r="AN617" s="108">
        <f>(AZ617-Driver!$K$183)/(Driver!$L$183-Driver!$K$183)</f>
        <v/>
      </c>
      <c r="AO617" s="108" t="n"/>
      <c r="AP617" s="108" t="n"/>
      <c r="AQ617" s="108">
        <f>(BC617-Driver!$K$188)/(Driver!$L$188-Driver!$K$188)</f>
        <v/>
      </c>
      <c r="AR617" s="108">
        <f>MIN((BD617-Driver!$K$189)/(Driver!$L$189-Driver!$K$189),100%)</f>
        <v/>
      </c>
      <c r="AS617" s="108">
        <f>(BE617-Driver!$K$190)/(Driver!$L$190-Driver!$K$190)</f>
        <v/>
      </c>
      <c r="AT617" s="108">
        <f>(BF617-Driver!$K$191)/(Driver!$L$191-Driver!$K$191)</f>
        <v/>
      </c>
      <c r="AU617" s="108">
        <f>(BG617-Driver!$K$192)/(Driver!$L$192-Driver!$K$192)</f>
        <v/>
      </c>
      <c r="AV617" s="105">
        <f>IFERROR(BM617*BJ617^1/4,"")</f>
        <v/>
      </c>
      <c r="AW617" s="105">
        <f>IFERROR(SUM(AX617:AZ617),"")</f>
        <v/>
      </c>
      <c r="AX617" s="105">
        <f>IFERROR(BH617,"")</f>
        <v/>
      </c>
      <c r="AY617" s="105">
        <f>IFERROR(Driver!$K$19/Data!BH617/Data!BI617*Data!BK617*Data!BL617,"")</f>
        <v/>
      </c>
      <c r="AZ617" s="105">
        <f>IFERROR(BI617*BN617,"")</f>
        <v/>
      </c>
      <c r="BA617" s="105" t="n"/>
      <c r="BB617" s="105" t="n"/>
      <c r="BC617" s="105">
        <f>IFERROR(BI617*BN617*BK617/BJ617^(1/2),"")</f>
        <v/>
      </c>
      <c r="BD617" s="105">
        <f>IFERROR(BH617*BM617*BL617/BJ617/BK617,"")</f>
        <v/>
      </c>
      <c r="BE617" s="105">
        <f>IFERROR(MIN(BI617/BQ617/BP617/BO617/BH617,$BE$1),"")</f>
        <v/>
      </c>
      <c r="BF617" s="105">
        <f>IFERROR(BJ617*BO617*BP617/BK617,"")</f>
        <v/>
      </c>
      <c r="BG617" s="105">
        <f>IFERROR(1/BM617/BH617*BQ617,"")</f>
        <v/>
      </c>
      <c r="BH617" s="102">
        <f>MAX((CE617-Driver!$F$200)/(Driver!$G$200-Driver!$F$200)*$BI$1,1)</f>
        <v/>
      </c>
      <c r="BI617" s="102">
        <f>MAX($BI$1*(BY617-Driver!$F$201)/(Driver!$G$201-Driver!$F$201),1)</f>
        <v/>
      </c>
      <c r="BJ617" s="102">
        <f>(CB617-Driver!$F$206)/(Driver!$G$206-Driver!$F$206)*$BI$1</f>
        <v/>
      </c>
      <c r="BK617" s="102">
        <f>(CD617-Driver!$F$203)/(Driver!$G$203-Driver!$F$203)*$BI$1</f>
        <v/>
      </c>
      <c r="BL617" s="102">
        <f>MAX((CR617-Driver!$F$202)/(Driver!$G$202-Driver!$F$202)*$BI$1,1)</f>
        <v/>
      </c>
      <c r="BM617" s="102">
        <f>MAX((CH617-Driver!$F$204)/(Driver!$G$204-Driver!$F$204)*$BI$1,1)</f>
        <v/>
      </c>
      <c r="BN617" s="102">
        <f>(CI617-Driver!$F$205)/(Driver!$G$205-Driver!$F$205)*$BI$1</f>
        <v/>
      </c>
      <c r="BO617" s="102">
        <f>(CK617-Driver!$F$207)/(Driver!$G$207-Driver!$F$207)*$BI$1</f>
        <v/>
      </c>
      <c r="BP617" s="102">
        <f>(CM617-Driver!$F$208)/(Driver!$G$208-Driver!$F$208)*$BI$1</f>
        <v/>
      </c>
      <c r="BQ617" s="102">
        <f>(CL617-Driver!$F$209)/(Driver!$G$209-Driver!$F$209)*$BI$1</f>
        <v/>
      </c>
      <c r="BR617" s="40" t="inlineStr">
        <is>
          <t>21/22</t>
        </is>
      </c>
      <c r="BS617" s="10" t="inlineStr">
        <is>
          <t xml:space="preserve"> Faction</t>
        </is>
      </c>
      <c r="BT617" s="11" t="inlineStr">
        <is>
          <t>Dictator 3.0</t>
        </is>
      </c>
      <c r="BU617" s="13" t="n">
        <v>172</v>
      </c>
      <c r="BV617" s="11" t="inlineStr">
        <is>
          <t xml:space="preserve"> Unisex</t>
        </is>
      </c>
      <c r="BW617" s="13" t="n">
        <v>172</v>
      </c>
      <c r="BX617" s="13" t="n">
        <v>170.3</v>
      </c>
      <c r="BY617" s="13" t="n">
        <v>117</v>
      </c>
      <c r="BZ617" s="13" t="n">
        <v>139</v>
      </c>
      <c r="CA617" s="13" t="n">
        <v>133</v>
      </c>
      <c r="CB617" s="13" t="n">
        <v>106</v>
      </c>
      <c r="CC617" s="13" t="n">
        <v>124</v>
      </c>
      <c r="CD617" s="13" t="n">
        <v>18.9</v>
      </c>
      <c r="CE617" s="13" t="n">
        <v>1898</v>
      </c>
      <c r="CF617" s="13" t="n">
        <v>1.03</v>
      </c>
      <c r="CG617" s="13" t="n">
        <v>1959</v>
      </c>
      <c r="CH617" s="13" t="n">
        <v>210</v>
      </c>
      <c r="CI617" s="13" t="n">
        <v>136</v>
      </c>
      <c r="CJ617" s="13" t="n">
        <v>63</v>
      </c>
      <c r="CK617" s="13" t="n">
        <v>325</v>
      </c>
      <c r="CL617" s="13" t="n">
        <v>22</v>
      </c>
      <c r="CM617" s="13" t="n">
        <v>212</v>
      </c>
      <c r="CN617" s="13" t="n">
        <v>0.354</v>
      </c>
      <c r="CO617" s="13" t="n">
        <v>186</v>
      </c>
      <c r="CP617" s="13" t="n">
        <v>124</v>
      </c>
      <c r="CQ617" s="13" t="n">
        <v>138</v>
      </c>
      <c r="CR617" s="13" t="n">
        <v>4</v>
      </c>
      <c r="CS617" s="13" t="n">
        <v>10.8</v>
      </c>
      <c r="CT617" s="11" t="inlineStr">
        <is>
          <t xml:space="preserve"> Powder</t>
        </is>
      </c>
      <c r="CU617" s="11" t="inlineStr">
        <is>
          <t xml:space="preserve"> Big Mountain</t>
        </is>
      </c>
      <c r="CV617" s="13" t="n"/>
      <c r="CW617" s="13" t="n"/>
      <c r="CX617">
        <f>INDEX('Data_Price '!AG$2:AG$1266,MATCH(Data!$DN617,'Data_Price '!$AT$2:$AT$1266,0))</f>
        <v/>
      </c>
      <c r="CY617">
        <f>INDEX('Data_Price '!AH$2:AH$1266,MATCH(Data!$DN617,'Data_Price '!$AT$2:$AT$1266,0))</f>
        <v/>
      </c>
      <c r="CZ617">
        <f>INDEX('Data_Price '!AI$2:AI$1266,MATCH(Data!$DN617,'Data_Price '!$AT$2:$AT$1266,0))</f>
        <v/>
      </c>
      <c r="DA617">
        <f>INDEX('Data_Price '!AJ$2:AJ$1266,MATCH(Data!$DN617,'Data_Price '!$AT$2:$AT$1266,0))</f>
        <v/>
      </c>
      <c r="DB617">
        <f>INDEX('Data_Price '!AK$2:AK$1266,MATCH(Data!$DN617,'Data_Price '!$AT$2:$AT$1266,0))</f>
        <v/>
      </c>
      <c r="DC617">
        <f>INDEX('Data_Price '!AL$2:AL$1266,MATCH(Data!$DN617,'Data_Price '!$AT$2:$AT$1266,0))</f>
        <v/>
      </c>
      <c r="DD617">
        <f>INDEX('Data_Price '!AM$2:AM$1266,MATCH(Data!$DN617,'Data_Price '!$AT$2:$AT$1266,0))</f>
        <v/>
      </c>
      <c r="DE617">
        <f>INDEX('Data_Price '!AN$2:AN$1266,MATCH(Data!$DN617,'Data_Price '!$AT$2:$AT$1266,0))</f>
        <v/>
      </c>
      <c r="DF617">
        <f>INDEX('Data_Price '!AO$2:AO$1266,MATCH(Data!$DN617,'Data_Price '!$AT$2:$AT$1266,0))</f>
        <v/>
      </c>
      <c r="DG617">
        <f>INDEX('Data_Price '!AP$2:AP$1266,MATCH(Data!$DN617,'Data_Price '!$AT$2:$AT$1266,0))</f>
        <v/>
      </c>
      <c r="DH617">
        <f>INDEX('Data_Price '!AQ$2:AQ$1266,MATCH(Data!$DN617,'Data_Price '!$AT$2:$AT$1266,0))</f>
        <v/>
      </c>
      <c r="DI617">
        <f>INDEX('Data_Price '!AR$2:AR$1266,MATCH(Data!$DN617,'Data_Price '!$AT$2:$AT$1266,0))</f>
        <v/>
      </c>
      <c r="DJ617" s="138">
        <f>DA617</f>
        <v/>
      </c>
      <c r="DK617" s="138">
        <f>DE617</f>
        <v/>
      </c>
      <c r="DL617" s="138">
        <f>DI617</f>
        <v/>
      </c>
      <c r="DM617" s="303">
        <f>IF(LEFT(BT617,1)=" ",RIGHT(BT617,LEN(BT617)-1),BT617)</f>
        <v/>
      </c>
      <c r="DN617" s="138">
        <f>_xlfn.CONCAT(BS617,DM617,BU617,BV617)</f>
        <v/>
      </c>
      <c r="DO617" s="307" t="inlineStr">
        <is>
          <t>https://images.evo.com/imgp/250/181933/733510/faction-dictator-3-0-skis-2022-.jpg</t>
        </is>
      </c>
    </row>
    <row r="618" ht="15.6" customHeight="1" s="184">
      <c r="B618" s="303">
        <f t="array" ref="B618">IF(OR(ISERROR(K618:P618)),FALSE,TRUE)</f>
        <v/>
      </c>
      <c r="C618" s="60">
        <f>OR(BR618=Driver!$G$50,Data!BR477=Driver!$H$50)</f>
        <v/>
      </c>
      <c r="D618" s="60">
        <f>OR(BV618=Driver!$G$51,BV618=Driver!$H$51)</f>
        <v/>
      </c>
      <c r="E618" s="60">
        <f>AND(BX618&gt;Driver!$F$54,BX618&lt;Driver!$G$54)</f>
        <v/>
      </c>
      <c r="F618" s="60">
        <f>CL618&gt;Driver!$F$56</f>
        <v/>
      </c>
      <c r="G618" s="60">
        <f>AND(CB618&gt;Driver!$F$55,CB618&lt;Driver!$G$55)</f>
        <v/>
      </c>
      <c r="H618" s="60">
        <f>AND(B618:G618)</f>
        <v/>
      </c>
      <c r="I618" s="60">
        <f>COUNTIFS($H$9:$H$1273,TRUE,$BT$9:$BT$1273,BT618)</f>
        <v/>
      </c>
      <c r="J618" s="60">
        <f t="array" ref="J618">NOT(OR(($H$9:$H$1273=TRUE)*($I$9:$I$1273&gt;0)*($BT$9:$BT$1273=BT618)*($K$9:$K$1273&gt;K618)))</f>
        <v/>
      </c>
      <c r="K618" s="108">
        <f>IFERROR(1-AVERAGE(X618:Y618),"")</f>
        <v/>
      </c>
      <c r="L618" s="108">
        <f>1-X618</f>
        <v/>
      </c>
      <c r="M618" s="108">
        <f>1-Y618</f>
        <v/>
      </c>
      <c r="N618" s="108">
        <f>1-Z618</f>
        <v/>
      </c>
      <c r="O618" s="108">
        <f>1-AA618</f>
        <v/>
      </c>
      <c r="P618" s="108">
        <f>1-AB618</f>
        <v/>
      </c>
      <c r="Q618" s="108" t="n"/>
      <c r="R618" s="108" t="n"/>
      <c r="S618" s="108">
        <f>1-AE618</f>
        <v/>
      </c>
      <c r="T618" s="108">
        <f>1-AF618</f>
        <v/>
      </c>
      <c r="U618" s="108">
        <f>1-AG618</f>
        <v/>
      </c>
      <c r="V618" s="108">
        <f>1-AH618</f>
        <v/>
      </c>
      <c r="W618" s="108">
        <f>1-AI618</f>
        <v/>
      </c>
      <c r="X618" s="108">
        <f>ABS(AJ618-AJ$1)</f>
        <v/>
      </c>
      <c r="Y618" s="108">
        <f>AVERAGE(Z618:AB618)</f>
        <v/>
      </c>
      <c r="Z618" s="108">
        <f>ABS(AL618-AL$1)</f>
        <v/>
      </c>
      <c r="AA618" s="108">
        <f>ABS(AM618-AM$1)</f>
        <v/>
      </c>
      <c r="AB618" s="108">
        <f>ABS(AN618-AN$1)</f>
        <v/>
      </c>
      <c r="AC618" s="108" t="n"/>
      <c r="AD618" s="108" t="n"/>
      <c r="AE618" s="108">
        <f>ABS(AQ$1-AQ618)</f>
        <v/>
      </c>
      <c r="AF618" s="108">
        <f>ABS(AR$1-AR618)</f>
        <v/>
      </c>
      <c r="AG618" s="108">
        <f>ABS(AS$1-AS618)</f>
        <v/>
      </c>
      <c r="AH618" s="108">
        <f>ABS(AT$1-AT618)</f>
        <v/>
      </c>
      <c r="AI618" s="108">
        <f>ABS(AU$1-AU618)</f>
        <v/>
      </c>
      <c r="AJ618" s="108">
        <f>(AV618-Driver!$K$179)/(Driver!$L$179-Driver!$K$179)</f>
        <v/>
      </c>
      <c r="AK618" s="108">
        <f>(AW618-Driver!$K$180)/(Driver!$L$180-Driver!$K$180)</f>
        <v/>
      </c>
      <c r="AL618" s="108">
        <f>(AX618-Driver!$K$181)/(Driver!$L$181-Driver!$K$181)</f>
        <v/>
      </c>
      <c r="AM618" s="108">
        <f>(AY618-Driver!$K$182)/(Driver!$L$182-Driver!$K$182)</f>
        <v/>
      </c>
      <c r="AN618" s="108">
        <f>(AZ618-Driver!$K$183)/(Driver!$L$183-Driver!$K$183)</f>
        <v/>
      </c>
      <c r="AO618" s="108" t="n"/>
      <c r="AP618" s="108" t="n"/>
      <c r="AQ618" s="108">
        <f>(BC618-Driver!$K$188)/(Driver!$L$188-Driver!$K$188)</f>
        <v/>
      </c>
      <c r="AR618" s="108">
        <f>MIN((BD618-Driver!$K$189)/(Driver!$L$189-Driver!$K$189),100%)</f>
        <v/>
      </c>
      <c r="AS618" s="108">
        <f>(BE618-Driver!$K$190)/(Driver!$L$190-Driver!$K$190)</f>
        <v/>
      </c>
      <c r="AT618" s="108">
        <f>(BF618-Driver!$K$191)/(Driver!$L$191-Driver!$K$191)</f>
        <v/>
      </c>
      <c r="AU618" s="108">
        <f>(BG618-Driver!$K$192)/(Driver!$L$192-Driver!$K$192)</f>
        <v/>
      </c>
      <c r="AV618" s="105">
        <f>IFERROR(BM618*BJ618^1/4,"")</f>
        <v/>
      </c>
      <c r="AW618" s="105">
        <f>IFERROR(SUM(AX618:AZ618),"")</f>
        <v/>
      </c>
      <c r="AX618" s="105">
        <f>IFERROR(BH618,"")</f>
        <v/>
      </c>
      <c r="AY618" s="105">
        <f>IFERROR(Driver!$K$19/Data!BH618/Data!BI618*Data!BK618*Data!BL618,"")</f>
        <v/>
      </c>
      <c r="AZ618" s="105">
        <f>IFERROR(BI618*BN618,"")</f>
        <v/>
      </c>
      <c r="BA618" s="105" t="n"/>
      <c r="BB618" s="105" t="n"/>
      <c r="BC618" s="105">
        <f>IFERROR(BI618*BN618*BK618/BJ618^(1/2),"")</f>
        <v/>
      </c>
      <c r="BD618" s="105">
        <f>IFERROR(BH618*BM618*BL618/BJ618/BK618,"")</f>
        <v/>
      </c>
      <c r="BE618" s="105">
        <f>IFERROR(MIN(BI618/BQ618/BP618/BO618/BH618,$BE$1),"")</f>
        <v/>
      </c>
      <c r="BF618" s="105">
        <f>IFERROR(BJ618*BO618*BP618/BK618,"")</f>
        <v/>
      </c>
      <c r="BG618" s="105">
        <f>IFERROR(1/BM618/BH618*BQ618,"")</f>
        <v/>
      </c>
      <c r="BH618" s="102">
        <f>MAX((CE618-Driver!$F$200)/(Driver!$G$200-Driver!$F$200)*$BI$1,1)</f>
        <v/>
      </c>
      <c r="BI618" s="102">
        <f>MAX($BI$1*(BY618-Driver!$F$201)/(Driver!$G$201-Driver!$F$201),1)</f>
        <v/>
      </c>
      <c r="BJ618" s="102">
        <f>(CB618-Driver!$F$206)/(Driver!$G$206-Driver!$F$206)*$BI$1</f>
        <v/>
      </c>
      <c r="BK618" s="102">
        <f>(CD618-Driver!$F$203)/(Driver!$G$203-Driver!$F$203)*$BI$1</f>
        <v/>
      </c>
      <c r="BL618" s="102">
        <f>MAX((CR618-Driver!$F$202)/(Driver!$G$202-Driver!$F$202)*$BI$1,1)</f>
        <v/>
      </c>
      <c r="BM618" s="102">
        <f>MAX((CH618-Driver!$F$204)/(Driver!$G$204-Driver!$F$204)*$BI$1,1)</f>
        <v/>
      </c>
      <c r="BN618" s="102">
        <f>(CI618-Driver!$F$205)/(Driver!$G$205-Driver!$F$205)*$BI$1</f>
        <v/>
      </c>
      <c r="BO618" s="102">
        <f>(CK618-Driver!$F$207)/(Driver!$G$207-Driver!$F$207)*$BI$1</f>
        <v/>
      </c>
      <c r="BP618" s="102">
        <f>(CM618-Driver!$F$208)/(Driver!$G$208-Driver!$F$208)*$BI$1</f>
        <v/>
      </c>
      <c r="BQ618" s="102">
        <f>(CL618-Driver!$F$209)/(Driver!$G$209-Driver!$F$209)*$BI$1</f>
        <v/>
      </c>
      <c r="BR618" s="40" t="inlineStr">
        <is>
          <t>21/22</t>
        </is>
      </c>
      <c r="BS618" s="10" t="inlineStr">
        <is>
          <t xml:space="preserve"> Elan</t>
        </is>
      </c>
      <c r="BT618" s="11" t="inlineStr">
        <is>
          <t>Wingman 78 Ti</t>
        </is>
      </c>
      <c r="BU618" s="13" t="n">
        <v>168</v>
      </c>
      <c r="BV618" s="11" t="inlineStr">
        <is>
          <t xml:space="preserve"> Unisex</t>
        </is>
      </c>
      <c r="BW618" s="13" t="n">
        <v>168</v>
      </c>
      <c r="BX618" s="13" t="n">
        <v>166.3</v>
      </c>
      <c r="BY618" s="13" t="n">
        <v>146</v>
      </c>
      <c r="BZ618" s="13" t="n">
        <v>153</v>
      </c>
      <c r="CA618" s="13" t="n">
        <v>124</v>
      </c>
      <c r="CB618" s="13" t="n">
        <v>75</v>
      </c>
      <c r="CC618" s="13" t="n">
        <v>103</v>
      </c>
      <c r="CD618" s="13" t="n">
        <v>14.8</v>
      </c>
      <c r="CE618" s="13" t="n">
        <v>1913</v>
      </c>
      <c r="CF618" s="13" t="n">
        <v>0.78</v>
      </c>
      <c r="CG618" s="13" t="n">
        <v>1490</v>
      </c>
      <c r="CH618" s="13" t="n">
        <v>199</v>
      </c>
      <c r="CI618" s="13" t="n">
        <v>88</v>
      </c>
      <c r="CJ618" s="13" t="n">
        <v>28</v>
      </c>
      <c r="CK618" s="13" t="n">
        <v>132</v>
      </c>
      <c r="CL618" s="13" t="n">
        <v>10</v>
      </c>
      <c r="CM618" s="13" t="n">
        <v>70</v>
      </c>
      <c r="CN618" s="13" t="n">
        <v>0.353</v>
      </c>
      <c r="CO618" s="13" t="n">
        <v>76</v>
      </c>
      <c r="CP618" s="13" t="n">
        <v>56</v>
      </c>
      <c r="CQ618" s="13" t="n">
        <v>56</v>
      </c>
      <c r="CR618" s="13" t="n">
        <v>10</v>
      </c>
      <c r="CS618" s="13" t="n">
        <v>9</v>
      </c>
      <c r="CT618" s="11" t="inlineStr">
        <is>
          <t xml:space="preserve"> On-Piste Carving</t>
        </is>
      </c>
      <c r="CU618" s="13" t="n"/>
      <c r="CV618" s="13" t="n"/>
      <c r="CW618" s="13" t="n"/>
      <c r="CX618">
        <f>INDEX('Data_Price '!AG$2:AG$1266,MATCH(Data!$DN618,'Data_Price '!$AT$2:$AT$1266,0))</f>
        <v/>
      </c>
      <c r="CY618">
        <f>INDEX('Data_Price '!AH$2:AH$1266,MATCH(Data!$DN618,'Data_Price '!$AT$2:$AT$1266,0))</f>
        <v/>
      </c>
      <c r="CZ618">
        <f>INDEX('Data_Price '!AI$2:AI$1266,MATCH(Data!$DN618,'Data_Price '!$AT$2:$AT$1266,0))</f>
        <v/>
      </c>
      <c r="DA618">
        <f>INDEX('Data_Price '!AJ$2:AJ$1266,MATCH(Data!$DN618,'Data_Price '!$AT$2:$AT$1266,0))</f>
        <v/>
      </c>
      <c r="DB618">
        <f>INDEX('Data_Price '!AK$2:AK$1266,MATCH(Data!$DN618,'Data_Price '!$AT$2:$AT$1266,0))</f>
        <v/>
      </c>
      <c r="DC618">
        <f>INDEX('Data_Price '!AL$2:AL$1266,MATCH(Data!$DN618,'Data_Price '!$AT$2:$AT$1266,0))</f>
        <v/>
      </c>
      <c r="DD618">
        <f>INDEX('Data_Price '!AM$2:AM$1266,MATCH(Data!$DN618,'Data_Price '!$AT$2:$AT$1266,0))</f>
        <v/>
      </c>
      <c r="DE618">
        <f>INDEX('Data_Price '!AN$2:AN$1266,MATCH(Data!$DN618,'Data_Price '!$AT$2:$AT$1266,0))</f>
        <v/>
      </c>
      <c r="DF618">
        <f>INDEX('Data_Price '!AO$2:AO$1266,MATCH(Data!$DN618,'Data_Price '!$AT$2:$AT$1266,0))</f>
        <v/>
      </c>
      <c r="DG618">
        <f>INDEX('Data_Price '!AP$2:AP$1266,MATCH(Data!$DN618,'Data_Price '!$AT$2:$AT$1266,0))</f>
        <v/>
      </c>
      <c r="DH618">
        <f>INDEX('Data_Price '!AQ$2:AQ$1266,MATCH(Data!$DN618,'Data_Price '!$AT$2:$AT$1266,0))</f>
        <v/>
      </c>
      <c r="DI618">
        <f>INDEX('Data_Price '!AR$2:AR$1266,MATCH(Data!$DN618,'Data_Price '!$AT$2:$AT$1266,0))</f>
        <v/>
      </c>
      <c r="DJ618" s="138">
        <f>DA618</f>
        <v/>
      </c>
      <c r="DK618" s="138">
        <f>DE618</f>
        <v/>
      </c>
      <c r="DL618" s="138">
        <f>DI618</f>
        <v/>
      </c>
      <c r="DM618" s="303">
        <f>IF(LEFT(BT618,1)=" ",RIGHT(BT618,LEN(BT618)-1),BT618)</f>
        <v/>
      </c>
      <c r="DN618" s="138">
        <f>_xlfn.CONCAT(BS618,DM618,BU618,BV618)</f>
        <v/>
      </c>
      <c r="DO618" s="307" t="n"/>
    </row>
    <row r="619" ht="15.6" customHeight="1" s="184">
      <c r="B619" s="303">
        <f t="array" ref="B619">IF(OR(ISERROR(K619:P619)),FALSE,TRUE)</f>
        <v/>
      </c>
      <c r="C619" s="60">
        <f>OR(BR619=Driver!$G$50,Data!BR895=Driver!$H$50)</f>
        <v/>
      </c>
      <c r="D619" s="60">
        <f>OR(BV619=Driver!$G$51,BV619=Driver!$H$51)</f>
        <v/>
      </c>
      <c r="E619" s="60">
        <f>AND(BX619&gt;Driver!$F$54,BX619&lt;Driver!$G$54)</f>
        <v/>
      </c>
      <c r="F619" s="60">
        <f>CL619&gt;Driver!$F$56</f>
        <v/>
      </c>
      <c r="G619" s="60">
        <f>AND(CB619&gt;Driver!$F$55,CB619&lt;Driver!$G$55)</f>
        <v/>
      </c>
      <c r="H619" s="60">
        <f>AND(B619:G619)</f>
        <v/>
      </c>
      <c r="I619" s="60">
        <f>COUNTIFS($H$9:$H$1273,TRUE,$BT$9:$BT$1273,BT619)</f>
        <v/>
      </c>
      <c r="J619" s="60">
        <f t="array" ref="J619">NOT(OR(($H$9:$H$1273=TRUE)*($I$9:$I$1273&gt;0)*($BT$9:$BT$1273=BT619)*($K$9:$K$1273&gt;K619)))</f>
        <v/>
      </c>
      <c r="K619" s="108">
        <f>IFERROR(1-AVERAGE(X619:Y619),"")</f>
        <v/>
      </c>
      <c r="L619" s="108">
        <f>1-X619</f>
        <v/>
      </c>
      <c r="M619" s="108">
        <f>1-Y619</f>
        <v/>
      </c>
      <c r="N619" s="108">
        <f>1-Z619</f>
        <v/>
      </c>
      <c r="O619" s="108">
        <f>1-AA619</f>
        <v/>
      </c>
      <c r="P619" s="108">
        <f>1-AB619</f>
        <v/>
      </c>
      <c r="Q619" s="108" t="n"/>
      <c r="R619" s="108" t="n"/>
      <c r="S619" s="108">
        <f>1-AE619</f>
        <v/>
      </c>
      <c r="T619" s="108">
        <f>1-AF619</f>
        <v/>
      </c>
      <c r="U619" s="108">
        <f>1-AG619</f>
        <v/>
      </c>
      <c r="V619" s="108">
        <f>1-AH619</f>
        <v/>
      </c>
      <c r="W619" s="108">
        <f>1-AI619</f>
        <v/>
      </c>
      <c r="X619" s="108">
        <f>ABS(AJ619-AJ$1)</f>
        <v/>
      </c>
      <c r="Y619" s="108">
        <f>AVERAGE(Z619:AB619)</f>
        <v/>
      </c>
      <c r="Z619" s="108">
        <f>ABS(AL619-AL$1)</f>
        <v/>
      </c>
      <c r="AA619" s="108">
        <f>ABS(AM619-AM$1)</f>
        <v/>
      </c>
      <c r="AB619" s="108">
        <f>ABS(AN619-AN$1)</f>
        <v/>
      </c>
      <c r="AC619" s="108" t="n"/>
      <c r="AD619" s="108" t="n"/>
      <c r="AE619" s="108">
        <f>ABS(AQ$1-AQ619)</f>
        <v/>
      </c>
      <c r="AF619" s="108">
        <f>ABS(AR$1-AR619)</f>
        <v/>
      </c>
      <c r="AG619" s="108">
        <f>ABS(AS$1-AS619)</f>
        <v/>
      </c>
      <c r="AH619" s="108">
        <f>ABS(AT$1-AT619)</f>
        <v/>
      </c>
      <c r="AI619" s="108">
        <f>ABS(AU$1-AU619)</f>
        <v/>
      </c>
      <c r="AJ619" s="108">
        <f>(AV619-Driver!$K$179)/(Driver!$L$179-Driver!$K$179)</f>
        <v/>
      </c>
      <c r="AK619" s="108">
        <f>(AW619-Driver!$K$180)/(Driver!$L$180-Driver!$K$180)</f>
        <v/>
      </c>
      <c r="AL619" s="108">
        <f>(AX619-Driver!$K$181)/(Driver!$L$181-Driver!$K$181)</f>
        <v/>
      </c>
      <c r="AM619" s="108">
        <f>(AY619-Driver!$K$182)/(Driver!$L$182-Driver!$K$182)</f>
        <v/>
      </c>
      <c r="AN619" s="108">
        <f>(AZ619-Driver!$K$183)/(Driver!$L$183-Driver!$K$183)</f>
        <v/>
      </c>
      <c r="AO619" s="108" t="n"/>
      <c r="AP619" s="108" t="n"/>
      <c r="AQ619" s="108">
        <f>(BC619-Driver!$K$188)/(Driver!$L$188-Driver!$K$188)</f>
        <v/>
      </c>
      <c r="AR619" s="108">
        <f>MIN((BD619-Driver!$K$189)/(Driver!$L$189-Driver!$K$189),100%)</f>
        <v/>
      </c>
      <c r="AS619" s="108">
        <f>(BE619-Driver!$K$190)/(Driver!$L$190-Driver!$K$190)</f>
        <v/>
      </c>
      <c r="AT619" s="108">
        <f>(BF619-Driver!$K$191)/(Driver!$L$191-Driver!$K$191)</f>
        <v/>
      </c>
      <c r="AU619" s="108">
        <f>(BG619-Driver!$K$192)/(Driver!$L$192-Driver!$K$192)</f>
        <v/>
      </c>
      <c r="AV619" s="105">
        <f>IFERROR(BM619*BJ619^1/4,"")</f>
        <v/>
      </c>
      <c r="AW619" s="105">
        <f>IFERROR(SUM(AX619:AZ619),"")</f>
        <v/>
      </c>
      <c r="AX619" s="105">
        <f>IFERROR(BH619,"")</f>
        <v/>
      </c>
      <c r="AY619" s="105">
        <f>IFERROR(Driver!$K$19/Data!BH619/Data!BI619*Data!BK619*Data!BL619,"")</f>
        <v/>
      </c>
      <c r="AZ619" s="105">
        <f>IFERROR(BI619*BN619,"")</f>
        <v/>
      </c>
      <c r="BA619" s="105" t="n"/>
      <c r="BB619" s="105" t="n"/>
      <c r="BC619" s="105">
        <f>IFERROR(BI619*BN619*BK619/BJ619^(1/2),"")</f>
        <v/>
      </c>
      <c r="BD619" s="105">
        <f>IFERROR(BH619*BM619*BL619/BJ619/BK619,"")</f>
        <v/>
      </c>
      <c r="BE619" s="105">
        <f>IFERROR(MIN(BI619/BQ619/BP619/BO619/BH619,$BE$1),"")</f>
        <v/>
      </c>
      <c r="BF619" s="105">
        <f>IFERROR(BJ619*BO619*BP619/BK619,"")</f>
        <v/>
      </c>
      <c r="BG619" s="105">
        <f>IFERROR(1/BM619/BH619*BQ619,"")</f>
        <v/>
      </c>
      <c r="BH619" s="102">
        <f>MAX((CE619-Driver!$F$200)/(Driver!$G$200-Driver!$F$200)*$BI$1,1)</f>
        <v/>
      </c>
      <c r="BI619" s="102">
        <f>MAX($BI$1*(BY619-Driver!$F$201)/(Driver!$G$201-Driver!$F$201),1)</f>
        <v/>
      </c>
      <c r="BJ619" s="102">
        <f>(CB619-Driver!$F$206)/(Driver!$G$206-Driver!$F$206)*$BI$1</f>
        <v/>
      </c>
      <c r="BK619" s="102">
        <f>(CD619-Driver!$F$203)/(Driver!$G$203-Driver!$F$203)*$BI$1</f>
        <v/>
      </c>
      <c r="BL619" s="102">
        <f>MAX((CR619-Driver!$F$202)/(Driver!$G$202-Driver!$F$202)*$BI$1,1)</f>
        <v/>
      </c>
      <c r="BM619" s="102">
        <f>MAX((CH619-Driver!$F$204)/(Driver!$G$204-Driver!$F$204)*$BI$1,1)</f>
        <v/>
      </c>
      <c r="BN619" s="102">
        <f>(CI619-Driver!$F$205)/(Driver!$G$205-Driver!$F$205)*$BI$1</f>
        <v/>
      </c>
      <c r="BO619" s="102">
        <f>(CK619-Driver!$F$207)/(Driver!$G$207-Driver!$F$207)*$BI$1</f>
        <v/>
      </c>
      <c r="BP619" s="102">
        <f>(CM619-Driver!$F$208)/(Driver!$G$208-Driver!$F$208)*$BI$1</f>
        <v/>
      </c>
      <c r="BQ619" s="102">
        <f>(CL619-Driver!$F$209)/(Driver!$G$209-Driver!$F$209)*$BI$1</f>
        <v/>
      </c>
      <c r="BR619" s="40" t="inlineStr">
        <is>
          <t>21/22</t>
        </is>
      </c>
      <c r="BS619" s="10" t="inlineStr">
        <is>
          <t xml:space="preserve"> Nordica</t>
        </is>
      </c>
      <c r="BT619" s="11" t="inlineStr">
        <is>
          <t>Enforcer 104 Free</t>
        </is>
      </c>
      <c r="BU619" s="13" t="n">
        <v>165</v>
      </c>
      <c r="BV619" s="11" t="inlineStr">
        <is>
          <t xml:space="preserve"> Unisex</t>
        </is>
      </c>
      <c r="BW619" s="13" t="n">
        <v>165</v>
      </c>
      <c r="BX619" s="13" t="n">
        <v>164.2</v>
      </c>
      <c r="BY619" s="13" t="n">
        <v>114</v>
      </c>
      <c r="BZ619" s="13" t="n">
        <v>135</v>
      </c>
      <c r="CA619" s="13" t="n">
        <v>133</v>
      </c>
      <c r="CB619" s="13" t="n">
        <v>103</v>
      </c>
      <c r="CC619" s="13" t="n">
        <v>123</v>
      </c>
      <c r="CD619" s="13" t="n">
        <v>16.2</v>
      </c>
      <c r="CE619" s="13" t="n">
        <v>1945</v>
      </c>
      <c r="CF619" s="13" t="n">
        <v>0.95</v>
      </c>
      <c r="CG619" s="13" t="n">
        <v>1851</v>
      </c>
      <c r="CH619" s="13" t="n">
        <v>182</v>
      </c>
      <c r="CI619" s="13" t="n">
        <v>130</v>
      </c>
      <c r="CJ619" s="13" t="n">
        <v>47</v>
      </c>
      <c r="CK619" s="13" t="n">
        <v>280</v>
      </c>
      <c r="CL619" s="13" t="n">
        <v>28</v>
      </c>
      <c r="CM619" s="13" t="n">
        <v>220</v>
      </c>
      <c r="CN619" s="13" t="n">
        <v>0.596</v>
      </c>
      <c r="CO619" s="13" t="n">
        <v>146</v>
      </c>
      <c r="CP619" s="13" t="n">
        <v>145</v>
      </c>
      <c r="CQ619" s="13" t="n">
        <v>134</v>
      </c>
      <c r="CR619" s="13" t="n">
        <v>9</v>
      </c>
      <c r="CS619" s="13" t="n">
        <v>8.4</v>
      </c>
      <c r="CT619" s="11" t="inlineStr">
        <is>
          <t xml:space="preserve"> Resort Freeride</t>
        </is>
      </c>
      <c r="CU619" s="11" t="inlineStr">
        <is>
          <t xml:space="preserve"> Powder</t>
        </is>
      </c>
      <c r="CV619" s="13" t="n"/>
      <c r="CW619" s="13" t="n"/>
      <c r="CX619">
        <f>INDEX('Data_Price '!AG$2:AG$1266,MATCH(Data!$DN619,'Data_Price '!$AT$2:$AT$1266,0))</f>
        <v/>
      </c>
      <c r="CY619">
        <f>INDEX('Data_Price '!AH$2:AH$1266,MATCH(Data!$DN619,'Data_Price '!$AT$2:$AT$1266,0))</f>
        <v/>
      </c>
      <c r="CZ619">
        <f>INDEX('Data_Price '!AI$2:AI$1266,MATCH(Data!$DN619,'Data_Price '!$AT$2:$AT$1266,0))</f>
        <v/>
      </c>
      <c r="DA619">
        <f>INDEX('Data_Price '!AJ$2:AJ$1266,MATCH(Data!$DN619,'Data_Price '!$AT$2:$AT$1266,0))</f>
        <v/>
      </c>
      <c r="DB619">
        <f>INDEX('Data_Price '!AK$2:AK$1266,MATCH(Data!$DN619,'Data_Price '!$AT$2:$AT$1266,0))</f>
        <v/>
      </c>
      <c r="DC619">
        <f>INDEX('Data_Price '!AL$2:AL$1266,MATCH(Data!$DN619,'Data_Price '!$AT$2:$AT$1266,0))</f>
        <v/>
      </c>
      <c r="DD619">
        <f>INDEX('Data_Price '!AM$2:AM$1266,MATCH(Data!$DN619,'Data_Price '!$AT$2:$AT$1266,0))</f>
        <v/>
      </c>
      <c r="DE619">
        <f>INDEX('Data_Price '!AN$2:AN$1266,MATCH(Data!$DN619,'Data_Price '!$AT$2:$AT$1266,0))</f>
        <v/>
      </c>
      <c r="DF619">
        <f>INDEX('Data_Price '!AO$2:AO$1266,MATCH(Data!$DN619,'Data_Price '!$AT$2:$AT$1266,0))</f>
        <v/>
      </c>
      <c r="DG619">
        <f>INDEX('Data_Price '!AP$2:AP$1266,MATCH(Data!$DN619,'Data_Price '!$AT$2:$AT$1266,0))</f>
        <v/>
      </c>
      <c r="DH619">
        <f>INDEX('Data_Price '!AQ$2:AQ$1266,MATCH(Data!$DN619,'Data_Price '!$AT$2:$AT$1266,0))</f>
        <v/>
      </c>
      <c r="DI619">
        <f>INDEX('Data_Price '!AR$2:AR$1266,MATCH(Data!$DN619,'Data_Price '!$AT$2:$AT$1266,0))</f>
        <v/>
      </c>
      <c r="DJ619" s="138">
        <f>DA619</f>
        <v/>
      </c>
      <c r="DK619" s="138">
        <f>DE619</f>
        <v/>
      </c>
      <c r="DL619" s="138">
        <f>DI619</f>
        <v/>
      </c>
      <c r="DM619" s="303">
        <f>IF(LEFT(BT619,1)=" ",RIGHT(BT619,LEN(BT619)-1),BT619)</f>
        <v/>
      </c>
      <c r="DN619" s="138">
        <f>_xlfn.CONCAT(BS619,DM619,BU619,BV619)</f>
        <v/>
      </c>
      <c r="DO619" s="307" t="inlineStr">
        <is>
          <t>https://images.evo.com/imgp/250/198260/792330/clone.jpg</t>
        </is>
      </c>
    </row>
    <row r="620" ht="15.6" customHeight="1" s="184">
      <c r="B620" s="303">
        <f t="array" ref="B620">IF(OR(ISERROR(K620:P620)),FALSE,TRUE)</f>
        <v/>
      </c>
      <c r="C620" s="60">
        <f>OR(BR620=Driver!$G$50,Data!BR454=Driver!$H$50)</f>
        <v/>
      </c>
      <c r="D620" s="60">
        <f>OR(BV620=Driver!$G$51,BV620=Driver!$H$51)</f>
        <v/>
      </c>
      <c r="E620" s="60">
        <f>AND(BX620&gt;Driver!$F$54,BX620&lt;Driver!$G$54)</f>
        <v/>
      </c>
      <c r="F620" s="60">
        <f>CL620&gt;Driver!$F$56</f>
        <v/>
      </c>
      <c r="G620" s="60">
        <f>AND(CB620&gt;Driver!$F$55,CB620&lt;Driver!$G$55)</f>
        <v/>
      </c>
      <c r="H620" s="60">
        <f>AND(B620:G620)</f>
        <v/>
      </c>
      <c r="I620" s="60">
        <f>COUNTIFS($H$9:$H$1273,TRUE,$BT$9:$BT$1273,BT620)</f>
        <v/>
      </c>
      <c r="J620" s="60">
        <f t="array" ref="J620">NOT(OR(($H$9:$H$1273=TRUE)*($I$9:$I$1273&gt;0)*($BT$9:$BT$1273=BT620)*($K$9:$K$1273&gt;K620)))</f>
        <v/>
      </c>
      <c r="K620" s="108">
        <f>IFERROR(1-AVERAGE(X620:Y620),"")</f>
        <v/>
      </c>
      <c r="L620" s="108">
        <f>1-X620</f>
        <v/>
      </c>
      <c r="M620" s="108">
        <f>1-Y620</f>
        <v/>
      </c>
      <c r="N620" s="108">
        <f>1-Z620</f>
        <v/>
      </c>
      <c r="O620" s="108">
        <f>1-AA620</f>
        <v/>
      </c>
      <c r="P620" s="108">
        <f>1-AB620</f>
        <v/>
      </c>
      <c r="Q620" s="108" t="n"/>
      <c r="R620" s="108" t="n"/>
      <c r="S620" s="108">
        <f>1-AE620</f>
        <v/>
      </c>
      <c r="T620" s="108">
        <f>1-AF620</f>
        <v/>
      </c>
      <c r="U620" s="108">
        <f>1-AG620</f>
        <v/>
      </c>
      <c r="V620" s="108">
        <f>1-AH620</f>
        <v/>
      </c>
      <c r="W620" s="108">
        <f>1-AI620</f>
        <v/>
      </c>
      <c r="X620" s="108">
        <f>ABS(AJ620-AJ$1)</f>
        <v/>
      </c>
      <c r="Y620" s="108">
        <f>AVERAGE(Z620:AB620)</f>
        <v/>
      </c>
      <c r="Z620" s="108">
        <f>ABS(AL620-AL$1)</f>
        <v/>
      </c>
      <c r="AA620" s="108">
        <f>ABS(AM620-AM$1)</f>
        <v/>
      </c>
      <c r="AB620" s="108">
        <f>ABS(AN620-AN$1)</f>
        <v/>
      </c>
      <c r="AC620" s="108" t="n"/>
      <c r="AD620" s="108" t="n"/>
      <c r="AE620" s="108">
        <f>ABS(AQ$1-AQ620)</f>
        <v/>
      </c>
      <c r="AF620" s="108">
        <f>ABS(AR$1-AR620)</f>
        <v/>
      </c>
      <c r="AG620" s="108">
        <f>ABS(AS$1-AS620)</f>
        <v/>
      </c>
      <c r="AH620" s="108">
        <f>ABS(AT$1-AT620)</f>
        <v/>
      </c>
      <c r="AI620" s="108">
        <f>ABS(AU$1-AU620)</f>
        <v/>
      </c>
      <c r="AJ620" s="108">
        <f>(AV620-Driver!$K$179)/(Driver!$L$179-Driver!$K$179)</f>
        <v/>
      </c>
      <c r="AK620" s="108">
        <f>(AW620-Driver!$K$180)/(Driver!$L$180-Driver!$K$180)</f>
        <v/>
      </c>
      <c r="AL620" s="108">
        <f>(AX620-Driver!$K$181)/(Driver!$L$181-Driver!$K$181)</f>
        <v/>
      </c>
      <c r="AM620" s="108">
        <f>(AY620-Driver!$K$182)/(Driver!$L$182-Driver!$K$182)</f>
        <v/>
      </c>
      <c r="AN620" s="108">
        <f>(AZ620-Driver!$K$183)/(Driver!$L$183-Driver!$K$183)</f>
        <v/>
      </c>
      <c r="AO620" s="108" t="n"/>
      <c r="AP620" s="108" t="n"/>
      <c r="AQ620" s="108">
        <f>(BC620-Driver!$K$188)/(Driver!$L$188-Driver!$K$188)</f>
        <v/>
      </c>
      <c r="AR620" s="108">
        <f>MIN((BD620-Driver!$K$189)/(Driver!$L$189-Driver!$K$189),100%)</f>
        <v/>
      </c>
      <c r="AS620" s="108">
        <f>(BE620-Driver!$K$190)/(Driver!$L$190-Driver!$K$190)</f>
        <v/>
      </c>
      <c r="AT620" s="108">
        <f>(BF620-Driver!$K$191)/(Driver!$L$191-Driver!$K$191)</f>
        <v/>
      </c>
      <c r="AU620" s="108">
        <f>(BG620-Driver!$K$192)/(Driver!$L$192-Driver!$K$192)</f>
        <v/>
      </c>
      <c r="AV620" s="105">
        <f>IFERROR(BM620*BJ620^1/4,"")</f>
        <v/>
      </c>
      <c r="AW620" s="105">
        <f>IFERROR(SUM(AX620:AZ620),"")</f>
        <v/>
      </c>
      <c r="AX620" s="105">
        <f>IFERROR(BH620,"")</f>
        <v/>
      </c>
      <c r="AY620" s="105">
        <f>IFERROR(Driver!$K$19/Data!BH620/Data!BI620*Data!BK620*Data!BL620,"")</f>
        <v/>
      </c>
      <c r="AZ620" s="105">
        <f>IFERROR(BI620*BN620,"")</f>
        <v/>
      </c>
      <c r="BA620" s="105" t="n"/>
      <c r="BB620" s="105" t="n"/>
      <c r="BC620" s="105">
        <f>IFERROR(BI620*BN620*BK620/BJ620^(1/2),"")</f>
        <v/>
      </c>
      <c r="BD620" s="105">
        <f>IFERROR(BH620*BM620*BL620/BJ620/BK620,"")</f>
        <v/>
      </c>
      <c r="BE620" s="105">
        <f>IFERROR(MIN(BI620/BQ620/BP620/BO620/BH620,$BE$1),"")</f>
        <v/>
      </c>
      <c r="BF620" s="105">
        <f>IFERROR(BJ620*BO620*BP620/BK620,"")</f>
        <v/>
      </c>
      <c r="BG620" s="105">
        <f>IFERROR(1/BM620/BH620*BQ620,"")</f>
        <v/>
      </c>
      <c r="BH620" s="102">
        <f>MAX((CE620-Driver!$F$200)/(Driver!$G$200-Driver!$F$200)*$BI$1,1)</f>
        <v/>
      </c>
      <c r="BI620" s="102">
        <f>MAX($BI$1*(BY620-Driver!$F$201)/(Driver!$G$201-Driver!$F$201),1)</f>
        <v/>
      </c>
      <c r="BJ620" s="102">
        <f>(CB620-Driver!$F$206)/(Driver!$G$206-Driver!$F$206)*$BI$1</f>
        <v/>
      </c>
      <c r="BK620" s="102">
        <f>(CD620-Driver!$F$203)/(Driver!$G$203-Driver!$F$203)*$BI$1</f>
        <v/>
      </c>
      <c r="BL620" s="102">
        <f>MAX((CR620-Driver!$F$202)/(Driver!$G$202-Driver!$F$202)*$BI$1,1)</f>
        <v/>
      </c>
      <c r="BM620" s="102">
        <f>MAX((CH620-Driver!$F$204)/(Driver!$G$204-Driver!$F$204)*$BI$1,1)</f>
        <v/>
      </c>
      <c r="BN620" s="102">
        <f>(CI620-Driver!$F$205)/(Driver!$G$205-Driver!$F$205)*$BI$1</f>
        <v/>
      </c>
      <c r="BO620" s="102">
        <f>(CK620-Driver!$F$207)/(Driver!$G$207-Driver!$F$207)*$BI$1</f>
        <v/>
      </c>
      <c r="BP620" s="102">
        <f>(CM620-Driver!$F$208)/(Driver!$G$208-Driver!$F$208)*$BI$1</f>
        <v/>
      </c>
      <c r="BQ620" s="102">
        <f>(CL620-Driver!$F$209)/(Driver!$G$209-Driver!$F$209)*$BI$1</f>
        <v/>
      </c>
      <c r="BR620" s="40" t="inlineStr">
        <is>
          <t>21/22</t>
        </is>
      </c>
      <c r="BS620" s="10" t="inlineStr">
        <is>
          <t xml:space="preserve"> Elan</t>
        </is>
      </c>
      <c r="BT620" s="11" t="inlineStr">
        <is>
          <t>Ripstick 88</t>
        </is>
      </c>
      <c r="BU620" s="13" t="n">
        <v>188</v>
      </c>
      <c r="BV620" s="11" t="inlineStr">
        <is>
          <t xml:space="preserve"> Unisex</t>
        </is>
      </c>
      <c r="BW620" s="13" t="n">
        <v>188</v>
      </c>
      <c r="BX620" s="13" t="n">
        <v>184.3</v>
      </c>
      <c r="BY620" s="13" t="n">
        <v>142</v>
      </c>
      <c r="BZ620" s="13" t="n">
        <v>153</v>
      </c>
      <c r="CA620" s="13" t="n">
        <v>129</v>
      </c>
      <c r="CB620" s="13" t="n">
        <v>87</v>
      </c>
      <c r="CC620" s="13" t="n">
        <v>104</v>
      </c>
      <c r="CD620" s="13" t="n">
        <v>18.8</v>
      </c>
      <c r="CE620" s="13" t="n">
        <v>1663</v>
      </c>
      <c r="CF620" s="13" t="n">
        <v>1.11</v>
      </c>
      <c r="CG620" s="13" t="n">
        <v>1848</v>
      </c>
      <c r="CH620" s="13" t="n">
        <v>176</v>
      </c>
      <c r="CI620" s="13" t="n">
        <v>69</v>
      </c>
      <c r="CJ620" s="13" t="n">
        <v>49</v>
      </c>
      <c r="CK620" s="13" t="n">
        <v>225</v>
      </c>
      <c r="CL620" s="13" t="n">
        <v>16</v>
      </c>
      <c r="CM620" s="13" t="n">
        <v>195</v>
      </c>
      <c r="CN620" s="13" t="n">
        <v>0.321</v>
      </c>
      <c r="CO620" s="13" t="n">
        <v>147</v>
      </c>
      <c r="CP620" s="13" t="n">
        <v>166</v>
      </c>
      <c r="CQ620" s="13" t="n">
        <v>77</v>
      </c>
      <c r="CR620" s="13" t="n">
        <v>7</v>
      </c>
      <c r="CS620" s="13" t="n">
        <v>9.5</v>
      </c>
      <c r="CT620" s="11" t="inlineStr">
        <is>
          <t xml:space="preserve"> Resort Freeride</t>
        </is>
      </c>
      <c r="CU620" s="11" t="inlineStr">
        <is>
          <t xml:space="preserve"> Touring</t>
        </is>
      </c>
      <c r="CV620" s="13" t="n"/>
      <c r="CW620" s="13" t="n"/>
      <c r="CX620">
        <f>INDEX('Data_Price '!AG$2:AG$1266,MATCH(Data!$DN620,'Data_Price '!$AT$2:$AT$1266,0))</f>
        <v/>
      </c>
      <c r="CY620">
        <f>INDEX('Data_Price '!AH$2:AH$1266,MATCH(Data!$DN620,'Data_Price '!$AT$2:$AT$1266,0))</f>
        <v/>
      </c>
      <c r="CZ620">
        <f>INDEX('Data_Price '!AI$2:AI$1266,MATCH(Data!$DN620,'Data_Price '!$AT$2:$AT$1266,0))</f>
        <v/>
      </c>
      <c r="DA620">
        <f>INDEX('Data_Price '!AJ$2:AJ$1266,MATCH(Data!$DN620,'Data_Price '!$AT$2:$AT$1266,0))</f>
        <v/>
      </c>
      <c r="DB620">
        <f>INDEX('Data_Price '!AK$2:AK$1266,MATCH(Data!$DN620,'Data_Price '!$AT$2:$AT$1266,0))</f>
        <v/>
      </c>
      <c r="DC620">
        <f>INDEX('Data_Price '!AL$2:AL$1266,MATCH(Data!$DN620,'Data_Price '!$AT$2:$AT$1266,0))</f>
        <v/>
      </c>
      <c r="DD620">
        <f>INDEX('Data_Price '!AM$2:AM$1266,MATCH(Data!$DN620,'Data_Price '!$AT$2:$AT$1266,0))</f>
        <v/>
      </c>
      <c r="DE620">
        <f>INDEX('Data_Price '!AN$2:AN$1266,MATCH(Data!$DN620,'Data_Price '!$AT$2:$AT$1266,0))</f>
        <v/>
      </c>
      <c r="DF620">
        <f>INDEX('Data_Price '!AO$2:AO$1266,MATCH(Data!$DN620,'Data_Price '!$AT$2:$AT$1266,0))</f>
        <v/>
      </c>
      <c r="DG620">
        <f>INDEX('Data_Price '!AP$2:AP$1266,MATCH(Data!$DN620,'Data_Price '!$AT$2:$AT$1266,0))</f>
        <v/>
      </c>
      <c r="DH620">
        <f>INDEX('Data_Price '!AQ$2:AQ$1266,MATCH(Data!$DN620,'Data_Price '!$AT$2:$AT$1266,0))</f>
        <v/>
      </c>
      <c r="DI620">
        <f>INDEX('Data_Price '!AR$2:AR$1266,MATCH(Data!$DN620,'Data_Price '!$AT$2:$AT$1266,0))</f>
        <v/>
      </c>
      <c r="DJ620" s="138">
        <f>DA620</f>
        <v/>
      </c>
      <c r="DK620" s="138">
        <f>DE620</f>
        <v/>
      </c>
      <c r="DL620" s="138">
        <f>DI620</f>
        <v/>
      </c>
      <c r="DM620" s="303">
        <f>IF(LEFT(BT620,1)=" ",RIGHT(BT620,LEN(BT620)-1),BT620)</f>
        <v/>
      </c>
      <c r="DN620" s="138">
        <f>_xlfn.CONCAT(BS620,DM620,BU620,BV620)</f>
        <v/>
      </c>
      <c r="DO620" s="307" t="inlineStr">
        <is>
          <t>https://images.evo.com/imgp/250/185141/744749/elan-ripstick-88-w-skis-women-s-2022-.jpg</t>
        </is>
      </c>
    </row>
    <row r="621" ht="15.6" customHeight="1" s="184">
      <c r="B621" s="303">
        <f t="array" ref="B621">IF(OR(ISERROR(K621:P621)),FALSE,TRUE)</f>
        <v/>
      </c>
      <c r="C621" s="60">
        <f>OR(BR621=Driver!$G$50,Data!BR86=Driver!$H$50)</f>
        <v/>
      </c>
      <c r="D621" s="60">
        <f>OR(BV621=Driver!$G$51,BV621=Driver!$H$51)</f>
        <v/>
      </c>
      <c r="E621" s="60">
        <f>AND(BX621&gt;Driver!$F$54,BX621&lt;Driver!$G$54)</f>
        <v/>
      </c>
      <c r="F621" s="60">
        <f>CL621&gt;Driver!$F$56</f>
        <v/>
      </c>
      <c r="G621" s="60">
        <f>AND(CB621&gt;Driver!$F$55,CB621&lt;Driver!$G$55)</f>
        <v/>
      </c>
      <c r="H621" s="60">
        <f>AND(B621:G621)</f>
        <v/>
      </c>
      <c r="I621" s="60">
        <f>COUNTIFS($H$9:$H$1273,TRUE,$BT$9:$BT$1273,BT621)</f>
        <v/>
      </c>
      <c r="J621" s="60">
        <f t="array" ref="J621">NOT(OR(($H$9:$H$1273=TRUE)*($I$9:$I$1273&gt;0)*($BT$9:$BT$1273=BT621)*($K$9:$K$1273&gt;K621)))</f>
        <v/>
      </c>
      <c r="K621" s="108">
        <f>IFERROR(1-AVERAGE(X621:Y621),"")</f>
        <v/>
      </c>
      <c r="L621" s="108">
        <f>1-X621</f>
        <v/>
      </c>
      <c r="M621" s="108">
        <f>1-Y621</f>
        <v/>
      </c>
      <c r="N621" s="108">
        <f>1-Z621</f>
        <v/>
      </c>
      <c r="O621" s="108">
        <f>1-AA621</f>
        <v/>
      </c>
      <c r="P621" s="108">
        <f>1-AB621</f>
        <v/>
      </c>
      <c r="Q621" s="108" t="n"/>
      <c r="R621" s="108" t="n"/>
      <c r="S621" s="108">
        <f>1-AE621</f>
        <v/>
      </c>
      <c r="T621" s="108">
        <f>1-AF621</f>
        <v/>
      </c>
      <c r="U621" s="108">
        <f>1-AG621</f>
        <v/>
      </c>
      <c r="V621" s="108">
        <f>1-AH621</f>
        <v/>
      </c>
      <c r="W621" s="108">
        <f>1-AI621</f>
        <v/>
      </c>
      <c r="X621" s="108">
        <f>ABS(AJ621-AJ$1)</f>
        <v/>
      </c>
      <c r="Y621" s="108">
        <f>AVERAGE(Z621:AB621)</f>
        <v/>
      </c>
      <c r="Z621" s="108">
        <f>ABS(AL621-AL$1)</f>
        <v/>
      </c>
      <c r="AA621" s="108">
        <f>ABS(AM621-AM$1)</f>
        <v/>
      </c>
      <c r="AB621" s="108">
        <f>ABS(AN621-AN$1)</f>
        <v/>
      </c>
      <c r="AC621" s="108" t="n"/>
      <c r="AD621" s="108" t="n"/>
      <c r="AE621" s="108">
        <f>ABS(AQ$1-AQ621)</f>
        <v/>
      </c>
      <c r="AF621" s="108">
        <f>ABS(AR$1-AR621)</f>
        <v/>
      </c>
      <c r="AG621" s="108">
        <f>ABS(AS$1-AS621)</f>
        <v/>
      </c>
      <c r="AH621" s="108">
        <f>ABS(AT$1-AT621)</f>
        <v/>
      </c>
      <c r="AI621" s="108">
        <f>ABS(AU$1-AU621)</f>
        <v/>
      </c>
      <c r="AJ621" s="108">
        <f>(AV621-Driver!$K$179)/(Driver!$L$179-Driver!$K$179)</f>
        <v/>
      </c>
      <c r="AK621" s="108">
        <f>(AW621-Driver!$K$180)/(Driver!$L$180-Driver!$K$180)</f>
        <v/>
      </c>
      <c r="AL621" s="108">
        <f>(AX621-Driver!$K$181)/(Driver!$L$181-Driver!$K$181)</f>
        <v/>
      </c>
      <c r="AM621" s="108">
        <f>(AY621-Driver!$K$182)/(Driver!$L$182-Driver!$K$182)</f>
        <v/>
      </c>
      <c r="AN621" s="108">
        <f>(AZ621-Driver!$K$183)/(Driver!$L$183-Driver!$K$183)</f>
        <v/>
      </c>
      <c r="AO621" s="108" t="n"/>
      <c r="AP621" s="108" t="n"/>
      <c r="AQ621" s="108">
        <f>(BC621-Driver!$K$188)/(Driver!$L$188-Driver!$K$188)</f>
        <v/>
      </c>
      <c r="AR621" s="108">
        <f>MIN((BD621-Driver!$K$189)/(Driver!$L$189-Driver!$K$189),100%)</f>
        <v/>
      </c>
      <c r="AS621" s="108">
        <f>(BE621-Driver!$K$190)/(Driver!$L$190-Driver!$K$190)</f>
        <v/>
      </c>
      <c r="AT621" s="108">
        <f>(BF621-Driver!$K$191)/(Driver!$L$191-Driver!$K$191)</f>
        <v/>
      </c>
      <c r="AU621" s="108">
        <f>(BG621-Driver!$K$192)/(Driver!$L$192-Driver!$K$192)</f>
        <v/>
      </c>
      <c r="AV621" s="105">
        <f>IFERROR(BM621*BJ621^1/4,"")</f>
        <v/>
      </c>
      <c r="AW621" s="105">
        <f>IFERROR(SUM(AX621:AZ621),"")</f>
        <v/>
      </c>
      <c r="AX621" s="105">
        <f>IFERROR(BH621,"")</f>
        <v/>
      </c>
      <c r="AY621" s="105">
        <f>IFERROR(Driver!$K$19/Data!BH621/Data!BI621*Data!BK621*Data!BL621,"")</f>
        <v/>
      </c>
      <c r="AZ621" s="105">
        <f>IFERROR(BI621*BN621,"")</f>
        <v/>
      </c>
      <c r="BA621" s="105" t="n"/>
      <c r="BB621" s="105" t="n"/>
      <c r="BC621" s="105">
        <f>IFERROR(BI621*BN621*BK621/BJ621^(1/2),"")</f>
        <v/>
      </c>
      <c r="BD621" s="105">
        <f>IFERROR(BH621*BM621*BL621/BJ621/BK621,"")</f>
        <v/>
      </c>
      <c r="BE621" s="105">
        <f>IFERROR(MIN(BI621/BQ621/BP621/BO621/BH621,$BE$1),"")</f>
        <v/>
      </c>
      <c r="BF621" s="105">
        <f>IFERROR(BJ621*BO621*BP621/BK621,"")</f>
        <v/>
      </c>
      <c r="BG621" s="105">
        <f>IFERROR(1/BM621/BH621*BQ621,"")</f>
        <v/>
      </c>
      <c r="BH621" s="102">
        <f>MAX((CE621-Driver!$F$200)/(Driver!$G$200-Driver!$F$200)*$BI$1,1)</f>
        <v/>
      </c>
      <c r="BI621" s="102">
        <f>MAX($BI$1*(BY621-Driver!$F$201)/(Driver!$G$201-Driver!$F$201),1)</f>
        <v/>
      </c>
      <c r="BJ621" s="102">
        <f>(CB621-Driver!$F$206)/(Driver!$G$206-Driver!$F$206)*$BI$1</f>
        <v/>
      </c>
      <c r="BK621" s="102">
        <f>(CD621-Driver!$F$203)/(Driver!$G$203-Driver!$F$203)*$BI$1</f>
        <v/>
      </c>
      <c r="BL621" s="102">
        <f>MAX((CR621-Driver!$F$202)/(Driver!$G$202-Driver!$F$202)*$BI$1,1)</f>
        <v/>
      </c>
      <c r="BM621" s="102">
        <f>MAX((CH621-Driver!$F$204)/(Driver!$G$204-Driver!$F$204)*$BI$1,1)</f>
        <v/>
      </c>
      <c r="BN621" s="102">
        <f>(CI621-Driver!$F$205)/(Driver!$G$205-Driver!$F$205)*$BI$1</f>
        <v/>
      </c>
      <c r="BO621" s="102">
        <f>(CK621-Driver!$F$207)/(Driver!$G$207-Driver!$F$207)*$BI$1</f>
        <v/>
      </c>
      <c r="BP621" s="102">
        <f>(CM621-Driver!$F$208)/(Driver!$G$208-Driver!$F$208)*$BI$1</f>
        <v/>
      </c>
      <c r="BQ621" s="102">
        <f>(CL621-Driver!$F$209)/(Driver!$G$209-Driver!$F$209)*$BI$1</f>
        <v/>
      </c>
      <c r="BR621" s="40" t="inlineStr">
        <is>
          <t>21/22</t>
        </is>
      </c>
      <c r="BS621" s="10" t="inlineStr">
        <is>
          <t xml:space="preserve"> Armada</t>
        </is>
      </c>
      <c r="BT621" s="11" t="inlineStr">
        <is>
          <t>Reliance 88 Ca</t>
        </is>
      </c>
      <c r="BU621" s="13" t="n">
        <v>152</v>
      </c>
      <c r="BV621" s="11" t="inlineStr">
        <is>
          <t xml:space="preserve"> Women's</t>
        </is>
      </c>
      <c r="BW621" s="13" t="n">
        <v>152</v>
      </c>
      <c r="BX621" s="13" t="n">
        <v>152</v>
      </c>
      <c r="BY621" s="13" t="n">
        <v>124</v>
      </c>
      <c r="BZ621" s="13" t="n">
        <v>134</v>
      </c>
      <c r="CA621" s="13" t="n">
        <v>124</v>
      </c>
      <c r="CB621" s="13" t="n">
        <v>87</v>
      </c>
      <c r="CC621" s="13" t="n">
        <v>106</v>
      </c>
      <c r="CD621" s="13" t="n">
        <v>15.9</v>
      </c>
      <c r="CE621" s="13" t="n">
        <v>1345</v>
      </c>
      <c r="CF621" s="13" t="n">
        <v>1.11</v>
      </c>
      <c r="CG621" s="13" t="n">
        <v>1488</v>
      </c>
      <c r="CH621" s="13" t="n">
        <v>178</v>
      </c>
      <c r="CI621" s="13" t="n">
        <v>85</v>
      </c>
      <c r="CJ621" s="13" t="n">
        <v>41</v>
      </c>
      <c r="CK621" s="13" t="n">
        <v>177</v>
      </c>
      <c r="CL621" s="13" t="n">
        <v>9</v>
      </c>
      <c r="CM621" s="13" t="n">
        <v>99</v>
      </c>
      <c r="CN621" s="13" t="n">
        <v>0.218</v>
      </c>
      <c r="CO621" s="13" t="n">
        <v>110</v>
      </c>
      <c r="CP621" s="13" t="n">
        <v>66</v>
      </c>
      <c r="CQ621" s="13" t="n">
        <v>67</v>
      </c>
      <c r="CR621" s="13" t="n">
        <v>5</v>
      </c>
      <c r="CS621" s="13" t="n">
        <v>10.6</v>
      </c>
      <c r="CT621" s="11" t="inlineStr">
        <is>
          <t xml:space="preserve"> Resort Freeride</t>
        </is>
      </c>
      <c r="CU621" s="11" t="inlineStr">
        <is>
          <t xml:space="preserve"> Touring</t>
        </is>
      </c>
      <c r="CV621" s="13" t="n"/>
      <c r="CW621" s="13" t="n"/>
      <c r="CX621">
        <f>INDEX('Data_Price '!AG$2:AG$1266,MATCH(Data!$DN621,'Data_Price '!$AT$2:$AT$1266,0))</f>
        <v/>
      </c>
      <c r="CY621">
        <f>INDEX('Data_Price '!AH$2:AH$1266,MATCH(Data!$DN621,'Data_Price '!$AT$2:$AT$1266,0))</f>
        <v/>
      </c>
      <c r="CZ621">
        <f>INDEX('Data_Price '!AI$2:AI$1266,MATCH(Data!$DN621,'Data_Price '!$AT$2:$AT$1266,0))</f>
        <v/>
      </c>
      <c r="DA621">
        <f>INDEX('Data_Price '!AJ$2:AJ$1266,MATCH(Data!$DN621,'Data_Price '!$AT$2:$AT$1266,0))</f>
        <v/>
      </c>
      <c r="DB621">
        <f>INDEX('Data_Price '!AK$2:AK$1266,MATCH(Data!$DN621,'Data_Price '!$AT$2:$AT$1266,0))</f>
        <v/>
      </c>
      <c r="DC621">
        <f>INDEX('Data_Price '!AL$2:AL$1266,MATCH(Data!$DN621,'Data_Price '!$AT$2:$AT$1266,0))</f>
        <v/>
      </c>
      <c r="DD621">
        <f>INDEX('Data_Price '!AM$2:AM$1266,MATCH(Data!$DN621,'Data_Price '!$AT$2:$AT$1266,0))</f>
        <v/>
      </c>
      <c r="DE621">
        <f>INDEX('Data_Price '!AN$2:AN$1266,MATCH(Data!$DN621,'Data_Price '!$AT$2:$AT$1266,0))</f>
        <v/>
      </c>
      <c r="DF621">
        <f>INDEX('Data_Price '!AO$2:AO$1266,MATCH(Data!$DN621,'Data_Price '!$AT$2:$AT$1266,0))</f>
        <v/>
      </c>
      <c r="DG621">
        <f>INDEX('Data_Price '!AP$2:AP$1266,MATCH(Data!$DN621,'Data_Price '!$AT$2:$AT$1266,0))</f>
        <v/>
      </c>
      <c r="DH621">
        <f>INDEX('Data_Price '!AQ$2:AQ$1266,MATCH(Data!$DN621,'Data_Price '!$AT$2:$AT$1266,0))</f>
        <v/>
      </c>
      <c r="DI621">
        <f>INDEX('Data_Price '!AR$2:AR$1266,MATCH(Data!$DN621,'Data_Price '!$AT$2:$AT$1266,0))</f>
        <v/>
      </c>
      <c r="DJ621" s="138">
        <f>DA621</f>
        <v/>
      </c>
      <c r="DK621" s="138">
        <f>DE621</f>
        <v/>
      </c>
      <c r="DL621" s="138">
        <f>DI621</f>
        <v/>
      </c>
      <c r="DM621" s="303">
        <f>IF(LEFT(BT621,1)=" ",RIGHT(BT621,LEN(BT621)-1),BT621)</f>
        <v/>
      </c>
      <c r="DN621" s="138">
        <f>_xlfn.CONCAT(BS621,DM621,BU621,BV621)</f>
        <v/>
      </c>
      <c r="DO621" s="307" t="n"/>
    </row>
    <row r="622" ht="15.6" customHeight="1" s="184">
      <c r="B622" s="303">
        <f t="array" ref="B622">IF(OR(ISERROR(K622:P622)),FALSE,TRUE)</f>
        <v/>
      </c>
      <c r="C622" s="60">
        <f>OR(BR622=Driver!$G$50,Data!BR630=Driver!$H$50)</f>
        <v/>
      </c>
      <c r="D622" s="60">
        <f>OR(BV622=Driver!$G$51,BV622=Driver!$H$51)</f>
        <v/>
      </c>
      <c r="E622" s="60">
        <f>AND(BX622&gt;Driver!$F$54,BX622&lt;Driver!$G$54)</f>
        <v/>
      </c>
      <c r="F622" s="60">
        <f>CL622&gt;Driver!$F$56</f>
        <v/>
      </c>
      <c r="G622" s="60">
        <f>AND(CB622&gt;Driver!$F$55,CB622&lt;Driver!$G$55)</f>
        <v/>
      </c>
      <c r="H622" s="60">
        <f>AND(B622:G622)</f>
        <v/>
      </c>
      <c r="I622" s="60">
        <f>COUNTIFS($H$9:$H$1273,TRUE,$BT$9:$BT$1273,BT622)</f>
        <v/>
      </c>
      <c r="J622" s="60">
        <f t="array" ref="J622">NOT(OR(($H$9:$H$1273=TRUE)*($I$9:$I$1273&gt;0)*($BT$9:$BT$1273=BT622)*($K$9:$K$1273&gt;K622)))</f>
        <v/>
      </c>
      <c r="K622" s="108">
        <f>IFERROR(1-AVERAGE(X622:Y622),"")</f>
        <v/>
      </c>
      <c r="L622" s="108">
        <f>1-X622</f>
        <v/>
      </c>
      <c r="M622" s="108">
        <f>1-Y622</f>
        <v/>
      </c>
      <c r="N622" s="108">
        <f>1-Z622</f>
        <v/>
      </c>
      <c r="O622" s="108">
        <f>1-AA622</f>
        <v/>
      </c>
      <c r="P622" s="108">
        <f>1-AB622</f>
        <v/>
      </c>
      <c r="Q622" s="108" t="n"/>
      <c r="R622" s="108" t="n"/>
      <c r="S622" s="108">
        <f>1-AE622</f>
        <v/>
      </c>
      <c r="T622" s="108">
        <f>1-AF622</f>
        <v/>
      </c>
      <c r="U622" s="108">
        <f>1-AG622</f>
        <v/>
      </c>
      <c r="V622" s="108">
        <f>1-AH622</f>
        <v/>
      </c>
      <c r="W622" s="108">
        <f>1-AI622</f>
        <v/>
      </c>
      <c r="X622" s="108">
        <f>ABS(AJ622-AJ$1)</f>
        <v/>
      </c>
      <c r="Y622" s="108">
        <f>AVERAGE(Z622:AB622)</f>
        <v/>
      </c>
      <c r="Z622" s="108">
        <f>ABS(AL622-AL$1)</f>
        <v/>
      </c>
      <c r="AA622" s="108">
        <f>ABS(AM622-AM$1)</f>
        <v/>
      </c>
      <c r="AB622" s="108">
        <f>ABS(AN622-AN$1)</f>
        <v/>
      </c>
      <c r="AC622" s="108" t="n"/>
      <c r="AD622" s="108" t="n"/>
      <c r="AE622" s="108">
        <f>ABS(AQ$1-AQ622)</f>
        <v/>
      </c>
      <c r="AF622" s="108">
        <f>ABS(AR$1-AR622)</f>
        <v/>
      </c>
      <c r="AG622" s="108">
        <f>ABS(AS$1-AS622)</f>
        <v/>
      </c>
      <c r="AH622" s="108">
        <f>ABS(AT$1-AT622)</f>
        <v/>
      </c>
      <c r="AI622" s="108">
        <f>ABS(AU$1-AU622)</f>
        <v/>
      </c>
      <c r="AJ622" s="108">
        <f>(AV622-Driver!$K$179)/(Driver!$L$179-Driver!$K$179)</f>
        <v/>
      </c>
      <c r="AK622" s="108">
        <f>(AW622-Driver!$K$180)/(Driver!$L$180-Driver!$K$180)</f>
        <v/>
      </c>
      <c r="AL622" s="108">
        <f>(AX622-Driver!$K$181)/(Driver!$L$181-Driver!$K$181)</f>
        <v/>
      </c>
      <c r="AM622" s="108">
        <f>(AY622-Driver!$K$182)/(Driver!$L$182-Driver!$K$182)</f>
        <v/>
      </c>
      <c r="AN622" s="108">
        <f>(AZ622-Driver!$K$183)/(Driver!$L$183-Driver!$K$183)</f>
        <v/>
      </c>
      <c r="AO622" s="108" t="n"/>
      <c r="AP622" s="108" t="n"/>
      <c r="AQ622" s="108">
        <f>(BC622-Driver!$K$188)/(Driver!$L$188-Driver!$K$188)</f>
        <v/>
      </c>
      <c r="AR622" s="108">
        <f>MIN((BD622-Driver!$K$189)/(Driver!$L$189-Driver!$K$189),100%)</f>
        <v/>
      </c>
      <c r="AS622" s="108">
        <f>(BE622-Driver!$K$190)/(Driver!$L$190-Driver!$K$190)</f>
        <v/>
      </c>
      <c r="AT622" s="108">
        <f>(BF622-Driver!$K$191)/(Driver!$L$191-Driver!$K$191)</f>
        <v/>
      </c>
      <c r="AU622" s="108">
        <f>(BG622-Driver!$K$192)/(Driver!$L$192-Driver!$K$192)</f>
        <v/>
      </c>
      <c r="AV622" s="105">
        <f>IFERROR(BM622*BJ622^1/4,"")</f>
        <v/>
      </c>
      <c r="AW622" s="105">
        <f>IFERROR(SUM(AX622:AZ622),"")</f>
        <v/>
      </c>
      <c r="AX622" s="105">
        <f>IFERROR(BH622,"")</f>
        <v/>
      </c>
      <c r="AY622" s="105">
        <f>IFERROR(Driver!$K$19/Data!BH622/Data!BI622*Data!BK622*Data!BL622,"")</f>
        <v/>
      </c>
      <c r="AZ622" s="105">
        <f>IFERROR(BI622*BN622,"")</f>
        <v/>
      </c>
      <c r="BA622" s="105" t="n"/>
      <c r="BB622" s="105" t="n"/>
      <c r="BC622" s="105">
        <f>IFERROR(BI622*BN622*BK622/BJ622^(1/2),"")</f>
        <v/>
      </c>
      <c r="BD622" s="105">
        <f>IFERROR(BH622*BM622*BL622/BJ622/BK622,"")</f>
        <v/>
      </c>
      <c r="BE622" s="105">
        <f>IFERROR(MIN(BI622/BQ622/BP622/BO622/BH622,$BE$1),"")</f>
        <v/>
      </c>
      <c r="BF622" s="105">
        <f>IFERROR(BJ622*BO622*BP622/BK622,"")</f>
        <v/>
      </c>
      <c r="BG622" s="105">
        <f>IFERROR(1/BM622/BH622*BQ622,"")</f>
        <v/>
      </c>
      <c r="BH622" s="102">
        <f>MAX((CE622-Driver!$F$200)/(Driver!$G$200-Driver!$F$200)*$BI$1,1)</f>
        <v/>
      </c>
      <c r="BI622" s="102">
        <f>MAX($BI$1*(BY622-Driver!$F$201)/(Driver!$G$201-Driver!$F$201),1)</f>
        <v/>
      </c>
      <c r="BJ622" s="102">
        <f>(CB622-Driver!$F$206)/(Driver!$G$206-Driver!$F$206)*$BI$1</f>
        <v/>
      </c>
      <c r="BK622" s="102">
        <f>(CD622-Driver!$F$203)/(Driver!$G$203-Driver!$F$203)*$BI$1</f>
        <v/>
      </c>
      <c r="BL622" s="102">
        <f>MAX((CR622-Driver!$F$202)/(Driver!$G$202-Driver!$F$202)*$BI$1,1)</f>
        <v/>
      </c>
      <c r="BM622" s="102">
        <f>MAX((CH622-Driver!$F$204)/(Driver!$G$204-Driver!$F$204)*$BI$1,1)</f>
        <v/>
      </c>
      <c r="BN622" s="102">
        <f>(CI622-Driver!$F$205)/(Driver!$G$205-Driver!$F$205)*$BI$1</f>
        <v/>
      </c>
      <c r="BO622" s="102">
        <f>(CK622-Driver!$F$207)/(Driver!$G$207-Driver!$F$207)*$BI$1</f>
        <v/>
      </c>
      <c r="BP622" s="102">
        <f>(CM622-Driver!$F$208)/(Driver!$G$208-Driver!$F$208)*$BI$1</f>
        <v/>
      </c>
      <c r="BQ622" s="102">
        <f>(CL622-Driver!$F$209)/(Driver!$G$209-Driver!$F$209)*$BI$1</f>
        <v/>
      </c>
      <c r="BR622" s="40" t="inlineStr">
        <is>
          <t>21/22</t>
        </is>
      </c>
      <c r="BS622" s="10" t="inlineStr">
        <is>
          <t xml:space="preserve"> Head</t>
        </is>
      </c>
      <c r="BT622" s="11" t="inlineStr">
        <is>
          <t>Kore 99</t>
        </is>
      </c>
      <c r="BU622" s="13" t="n">
        <v>177</v>
      </c>
      <c r="BV622" s="11" t="inlineStr">
        <is>
          <t xml:space="preserve"> Unisex</t>
        </is>
      </c>
      <c r="BW622" s="13" t="n">
        <v>177</v>
      </c>
      <c r="BX622" s="13" t="n">
        <v>176.7</v>
      </c>
      <c r="BY622" s="13" t="n">
        <v>137</v>
      </c>
      <c r="BZ622" s="13" t="n">
        <v>139</v>
      </c>
      <c r="CA622" s="13" t="n">
        <v>133</v>
      </c>
      <c r="CB622" s="13" t="n">
        <v>98</v>
      </c>
      <c r="CC622" s="13" t="n">
        <v>119</v>
      </c>
      <c r="CD622" s="13" t="n">
        <v>17.5</v>
      </c>
      <c r="CE622" s="13" t="n">
        <v>1689</v>
      </c>
      <c r="CF622" s="13" t="n">
        <v>1.14</v>
      </c>
      <c r="CG622" s="13" t="n">
        <v>1933</v>
      </c>
      <c r="CH622" s="13" t="n">
        <v>259</v>
      </c>
      <c r="CI622" s="13" t="n">
        <v>127</v>
      </c>
      <c r="CJ622" s="13" t="n">
        <v>53</v>
      </c>
      <c r="CK622" s="13" t="n">
        <v>237</v>
      </c>
      <c r="CL622" s="13" t="n">
        <v>16</v>
      </c>
      <c r="CM622" s="13" t="n">
        <v>155</v>
      </c>
      <c r="CN622" s="13" t="n">
        <v>0.308</v>
      </c>
      <c r="CO622" s="13" t="n">
        <v>201</v>
      </c>
      <c r="CP622" s="13" t="n">
        <v>173</v>
      </c>
      <c r="CQ622" s="13" t="n">
        <v>35</v>
      </c>
      <c r="CR622" s="13" t="n">
        <v>6</v>
      </c>
      <c r="CS622" s="13" t="n">
        <v>9.9</v>
      </c>
      <c r="CT622" s="11" t="inlineStr">
        <is>
          <t xml:space="preserve"> Resort Freeride</t>
        </is>
      </c>
      <c r="CU622" s="11" t="inlineStr">
        <is>
          <t xml:space="preserve"> Touring</t>
        </is>
      </c>
      <c r="CV622" s="13" t="n"/>
      <c r="CW622" s="13" t="n"/>
      <c r="CX622">
        <f>INDEX('Data_Price '!AG$2:AG$1266,MATCH(Data!$DN622,'Data_Price '!$AT$2:$AT$1266,0))</f>
        <v/>
      </c>
      <c r="CY622">
        <f>INDEX('Data_Price '!AH$2:AH$1266,MATCH(Data!$DN622,'Data_Price '!$AT$2:$AT$1266,0))</f>
        <v/>
      </c>
      <c r="CZ622">
        <f>INDEX('Data_Price '!AI$2:AI$1266,MATCH(Data!$DN622,'Data_Price '!$AT$2:$AT$1266,0))</f>
        <v/>
      </c>
      <c r="DA622">
        <f>INDEX('Data_Price '!AJ$2:AJ$1266,MATCH(Data!$DN622,'Data_Price '!$AT$2:$AT$1266,0))</f>
        <v/>
      </c>
      <c r="DB622">
        <f>INDEX('Data_Price '!AK$2:AK$1266,MATCH(Data!$DN622,'Data_Price '!$AT$2:$AT$1266,0))</f>
        <v/>
      </c>
      <c r="DC622">
        <f>INDEX('Data_Price '!AL$2:AL$1266,MATCH(Data!$DN622,'Data_Price '!$AT$2:$AT$1266,0))</f>
        <v/>
      </c>
      <c r="DD622">
        <f>INDEX('Data_Price '!AM$2:AM$1266,MATCH(Data!$DN622,'Data_Price '!$AT$2:$AT$1266,0))</f>
        <v/>
      </c>
      <c r="DE622">
        <f>INDEX('Data_Price '!AN$2:AN$1266,MATCH(Data!$DN622,'Data_Price '!$AT$2:$AT$1266,0))</f>
        <v/>
      </c>
      <c r="DF622">
        <f>INDEX('Data_Price '!AO$2:AO$1266,MATCH(Data!$DN622,'Data_Price '!$AT$2:$AT$1266,0))</f>
        <v/>
      </c>
      <c r="DG622">
        <f>INDEX('Data_Price '!AP$2:AP$1266,MATCH(Data!$DN622,'Data_Price '!$AT$2:$AT$1266,0))</f>
        <v/>
      </c>
      <c r="DH622">
        <f>INDEX('Data_Price '!AQ$2:AQ$1266,MATCH(Data!$DN622,'Data_Price '!$AT$2:$AT$1266,0))</f>
        <v/>
      </c>
      <c r="DI622">
        <f>INDEX('Data_Price '!AR$2:AR$1266,MATCH(Data!$DN622,'Data_Price '!$AT$2:$AT$1266,0))</f>
        <v/>
      </c>
      <c r="DJ622" s="138">
        <f>DA622</f>
        <v/>
      </c>
      <c r="DK622" s="138">
        <f>DE622</f>
        <v/>
      </c>
      <c r="DL622" s="138">
        <f>DI622</f>
        <v/>
      </c>
      <c r="DM622" s="303">
        <f>IF(LEFT(BT622,1)=" ",RIGHT(BT622,LEN(BT622)-1),BT622)</f>
        <v/>
      </c>
      <c r="DN622" s="138">
        <f>_xlfn.CONCAT(BS622,DM622,BU622,BV622)</f>
        <v/>
      </c>
      <c r="DO622" s="307" t="inlineStr">
        <is>
          <t>https://images.evo.com/imgp/250/208272/832641/clone.jpg</t>
        </is>
      </c>
    </row>
    <row r="623" ht="15.6" customHeight="1" s="184">
      <c r="B623" s="303">
        <f t="array" ref="B623">IF(OR(ISERROR(K623:P623)),FALSE,TRUE)</f>
        <v/>
      </c>
      <c r="C623" s="60">
        <f>OR(BR623=Driver!$G$50,Data!BR238=Driver!$H$50)</f>
        <v/>
      </c>
      <c r="D623" s="60">
        <f>OR(BV623=Driver!$G$51,BV623=Driver!$H$51)</f>
        <v/>
      </c>
      <c r="E623" s="60">
        <f>AND(BX623&gt;Driver!$F$54,BX623&lt;Driver!$G$54)</f>
        <v/>
      </c>
      <c r="F623" s="60">
        <f>CL623&gt;Driver!$F$56</f>
        <v/>
      </c>
      <c r="G623" s="60">
        <f>AND(CB623&gt;Driver!$F$55,CB623&lt;Driver!$G$55)</f>
        <v/>
      </c>
      <c r="H623" s="60">
        <f>AND(B623:G623)</f>
        <v/>
      </c>
      <c r="I623" s="60">
        <f>COUNTIFS($H$9:$H$1273,TRUE,$BT$9:$BT$1273,BT623)</f>
        <v/>
      </c>
      <c r="J623" s="60">
        <f t="array" ref="J623">NOT(OR(($H$9:$H$1273=TRUE)*($I$9:$I$1273&gt;0)*($BT$9:$BT$1273=BT623)*($K$9:$K$1273&gt;K623)))</f>
        <v/>
      </c>
      <c r="K623" s="108">
        <f>IFERROR(1-AVERAGE(X623:Y623),"")</f>
        <v/>
      </c>
      <c r="L623" s="108">
        <f>1-X623</f>
        <v/>
      </c>
      <c r="M623" s="108">
        <f>1-Y623</f>
        <v/>
      </c>
      <c r="N623" s="108">
        <f>1-Z623</f>
        <v/>
      </c>
      <c r="O623" s="108">
        <f>1-AA623</f>
        <v/>
      </c>
      <c r="P623" s="108">
        <f>1-AB623</f>
        <v/>
      </c>
      <c r="Q623" s="108" t="n"/>
      <c r="R623" s="108" t="n"/>
      <c r="S623" s="108">
        <f>1-AE623</f>
        <v/>
      </c>
      <c r="T623" s="108">
        <f>1-AF623</f>
        <v/>
      </c>
      <c r="U623" s="108">
        <f>1-AG623</f>
        <v/>
      </c>
      <c r="V623" s="108">
        <f>1-AH623</f>
        <v/>
      </c>
      <c r="W623" s="108">
        <f>1-AI623</f>
        <v/>
      </c>
      <c r="X623" s="108">
        <f>ABS(AJ623-AJ$1)</f>
        <v/>
      </c>
      <c r="Y623" s="108">
        <f>AVERAGE(Z623:AB623)</f>
        <v/>
      </c>
      <c r="Z623" s="108">
        <f>ABS(AL623-AL$1)</f>
        <v/>
      </c>
      <c r="AA623" s="108">
        <f>ABS(AM623-AM$1)</f>
        <v/>
      </c>
      <c r="AB623" s="108">
        <f>ABS(AN623-AN$1)</f>
        <v/>
      </c>
      <c r="AC623" s="108" t="n"/>
      <c r="AD623" s="108" t="n"/>
      <c r="AE623" s="108">
        <f>ABS(AQ$1-AQ623)</f>
        <v/>
      </c>
      <c r="AF623" s="108">
        <f>ABS(AR$1-AR623)</f>
        <v/>
      </c>
      <c r="AG623" s="108">
        <f>ABS(AS$1-AS623)</f>
        <v/>
      </c>
      <c r="AH623" s="108">
        <f>ABS(AT$1-AT623)</f>
        <v/>
      </c>
      <c r="AI623" s="108">
        <f>ABS(AU$1-AU623)</f>
        <v/>
      </c>
      <c r="AJ623" s="108">
        <f>(AV623-Driver!$K$179)/(Driver!$L$179-Driver!$K$179)</f>
        <v/>
      </c>
      <c r="AK623" s="108">
        <f>(AW623-Driver!$K$180)/(Driver!$L$180-Driver!$K$180)</f>
        <v/>
      </c>
      <c r="AL623" s="108">
        <f>(AX623-Driver!$K$181)/(Driver!$L$181-Driver!$K$181)</f>
        <v/>
      </c>
      <c r="AM623" s="108">
        <f>(AY623-Driver!$K$182)/(Driver!$L$182-Driver!$K$182)</f>
        <v/>
      </c>
      <c r="AN623" s="108">
        <f>(AZ623-Driver!$K$183)/(Driver!$L$183-Driver!$K$183)</f>
        <v/>
      </c>
      <c r="AO623" s="108" t="n"/>
      <c r="AP623" s="108" t="n"/>
      <c r="AQ623" s="108">
        <f>(BC623-Driver!$K$188)/(Driver!$L$188-Driver!$K$188)</f>
        <v/>
      </c>
      <c r="AR623" s="108">
        <f>MIN((BD623-Driver!$K$189)/(Driver!$L$189-Driver!$K$189),100%)</f>
        <v/>
      </c>
      <c r="AS623" s="108">
        <f>(BE623-Driver!$K$190)/(Driver!$L$190-Driver!$K$190)</f>
        <v/>
      </c>
      <c r="AT623" s="108">
        <f>(BF623-Driver!$K$191)/(Driver!$L$191-Driver!$K$191)</f>
        <v/>
      </c>
      <c r="AU623" s="108">
        <f>(BG623-Driver!$K$192)/(Driver!$L$192-Driver!$K$192)</f>
        <v/>
      </c>
      <c r="AV623" s="105">
        <f>IFERROR(BM623*BJ623^1/4,"")</f>
        <v/>
      </c>
      <c r="AW623" s="105">
        <f>IFERROR(SUM(AX623:AZ623),"")</f>
        <v/>
      </c>
      <c r="AX623" s="105">
        <f>IFERROR(BH623,"")</f>
        <v/>
      </c>
      <c r="AY623" s="105">
        <f>IFERROR(Driver!$K$19/Data!BH623/Data!BI623*Data!BK623*Data!BL623,"")</f>
        <v/>
      </c>
      <c r="AZ623" s="105">
        <f>IFERROR(BI623*BN623,"")</f>
        <v/>
      </c>
      <c r="BA623" s="105" t="n"/>
      <c r="BB623" s="105" t="n"/>
      <c r="BC623" s="105">
        <f>IFERROR(BI623*BN623*BK623/BJ623^(1/2),"")</f>
        <v/>
      </c>
      <c r="BD623" s="105">
        <f>IFERROR(BH623*BM623*BL623/BJ623/BK623,"")</f>
        <v/>
      </c>
      <c r="BE623" s="105">
        <f>IFERROR(MIN(BI623/BQ623/BP623/BO623/BH623,$BE$1),"")</f>
        <v/>
      </c>
      <c r="BF623" s="105">
        <f>IFERROR(BJ623*BO623*BP623/BK623,"")</f>
        <v/>
      </c>
      <c r="BG623" s="105">
        <f>IFERROR(1/BM623/BH623*BQ623,"")</f>
        <v/>
      </c>
      <c r="BH623" s="102">
        <f>MAX((CE623-Driver!$F$200)/(Driver!$G$200-Driver!$F$200)*$BI$1,1)</f>
        <v/>
      </c>
      <c r="BI623" s="102">
        <f>MAX($BI$1*(BY623-Driver!$F$201)/(Driver!$G$201-Driver!$F$201),1)</f>
        <v/>
      </c>
      <c r="BJ623" s="102">
        <f>(CB623-Driver!$F$206)/(Driver!$G$206-Driver!$F$206)*$BI$1</f>
        <v/>
      </c>
      <c r="BK623" s="102">
        <f>(CD623-Driver!$F$203)/(Driver!$G$203-Driver!$F$203)*$BI$1</f>
        <v/>
      </c>
      <c r="BL623" s="102">
        <f>MAX((CR623-Driver!$F$202)/(Driver!$G$202-Driver!$F$202)*$BI$1,1)</f>
        <v/>
      </c>
      <c r="BM623" s="102">
        <f>MAX((CH623-Driver!$F$204)/(Driver!$G$204-Driver!$F$204)*$BI$1,1)</f>
        <v/>
      </c>
      <c r="BN623" s="102">
        <f>(CI623-Driver!$F$205)/(Driver!$G$205-Driver!$F$205)*$BI$1</f>
        <v/>
      </c>
      <c r="BO623" s="102">
        <f>(CK623-Driver!$F$207)/(Driver!$G$207-Driver!$F$207)*$BI$1</f>
        <v/>
      </c>
      <c r="BP623" s="102">
        <f>(CM623-Driver!$F$208)/(Driver!$G$208-Driver!$F$208)*$BI$1</f>
        <v/>
      </c>
      <c r="BQ623" s="102">
        <f>(CL623-Driver!$F$209)/(Driver!$G$209-Driver!$F$209)*$BI$1</f>
        <v/>
      </c>
      <c r="BR623" s="40" t="inlineStr">
        <is>
          <t>21/22</t>
        </is>
      </c>
      <c r="BS623" s="10" t="inlineStr">
        <is>
          <t xml:space="preserve"> Black Crows</t>
        </is>
      </c>
      <c r="BT623" s="11" t="inlineStr">
        <is>
          <t xml:space="preserve"> Orb</t>
        </is>
      </c>
      <c r="BU623" s="13" t="n">
        <v>179.1</v>
      </c>
      <c r="BV623" s="11" t="inlineStr">
        <is>
          <t xml:space="preserve"> Unisex</t>
        </is>
      </c>
      <c r="BW623" s="13" t="n">
        <v>179.1</v>
      </c>
      <c r="BX623" s="13" t="n">
        <v>178.6</v>
      </c>
      <c r="BY623" s="13" t="n">
        <v>139</v>
      </c>
      <c r="BZ623" s="13" t="n">
        <v>159</v>
      </c>
      <c r="CA623" s="13" t="n">
        <v>123</v>
      </c>
      <c r="CB623" s="13" t="n">
        <v>87</v>
      </c>
      <c r="CC623" s="13" t="n">
        <v>108</v>
      </c>
      <c r="CD623" s="13" t="n">
        <v>21.7</v>
      </c>
      <c r="CE623" s="13" t="n">
        <v>1801</v>
      </c>
      <c r="CF623" s="13" t="n">
        <v>0.97</v>
      </c>
      <c r="CG623" s="13" t="n">
        <v>1747</v>
      </c>
      <c r="CH623" s="13" t="n">
        <v>209</v>
      </c>
      <c r="CI623" s="13" t="n">
        <v>119</v>
      </c>
      <c r="CJ623" s="13" t="n">
        <v>44</v>
      </c>
      <c r="CK623" s="13" t="n">
        <v>233</v>
      </c>
      <c r="CL623" s="13" t="n">
        <v>16</v>
      </c>
      <c r="CM623" s="13" t="n">
        <v>167</v>
      </c>
      <c r="CN623" s="13" t="n">
        <v>0.364</v>
      </c>
      <c r="CO623" s="13" t="n">
        <v>111</v>
      </c>
      <c r="CP623" s="13" t="n">
        <v>90</v>
      </c>
      <c r="CQ623" s="13" t="n">
        <v>122</v>
      </c>
      <c r="CR623" s="13" t="n">
        <v>5</v>
      </c>
      <c r="CS623" s="13" t="n">
        <v>9.699999999999999</v>
      </c>
      <c r="CT623" s="11" t="inlineStr">
        <is>
          <t xml:space="preserve"> Resort Freeride</t>
        </is>
      </c>
      <c r="CU623" s="13" t="n"/>
      <c r="CV623" s="13" t="n"/>
      <c r="CW623" s="13" t="n"/>
      <c r="CX623">
        <f>INDEX('Data_Price '!AG$2:AG$1266,MATCH(Data!$DN623,'Data_Price '!$AT$2:$AT$1266,0))</f>
        <v/>
      </c>
      <c r="CY623">
        <f>INDEX('Data_Price '!AH$2:AH$1266,MATCH(Data!$DN623,'Data_Price '!$AT$2:$AT$1266,0))</f>
        <v/>
      </c>
      <c r="CZ623">
        <f>INDEX('Data_Price '!AI$2:AI$1266,MATCH(Data!$DN623,'Data_Price '!$AT$2:$AT$1266,0))</f>
        <v/>
      </c>
      <c r="DA623">
        <f>INDEX('Data_Price '!AJ$2:AJ$1266,MATCH(Data!$DN623,'Data_Price '!$AT$2:$AT$1266,0))</f>
        <v/>
      </c>
      <c r="DB623">
        <f>INDEX('Data_Price '!AK$2:AK$1266,MATCH(Data!$DN623,'Data_Price '!$AT$2:$AT$1266,0))</f>
        <v/>
      </c>
      <c r="DC623">
        <f>INDEX('Data_Price '!AL$2:AL$1266,MATCH(Data!$DN623,'Data_Price '!$AT$2:$AT$1266,0))</f>
        <v/>
      </c>
      <c r="DD623">
        <f>INDEX('Data_Price '!AM$2:AM$1266,MATCH(Data!$DN623,'Data_Price '!$AT$2:$AT$1266,0))</f>
        <v/>
      </c>
      <c r="DE623">
        <f>INDEX('Data_Price '!AN$2:AN$1266,MATCH(Data!$DN623,'Data_Price '!$AT$2:$AT$1266,0))</f>
        <v/>
      </c>
      <c r="DF623">
        <f>INDEX('Data_Price '!AO$2:AO$1266,MATCH(Data!$DN623,'Data_Price '!$AT$2:$AT$1266,0))</f>
        <v/>
      </c>
      <c r="DG623">
        <f>INDEX('Data_Price '!AP$2:AP$1266,MATCH(Data!$DN623,'Data_Price '!$AT$2:$AT$1266,0))</f>
        <v/>
      </c>
      <c r="DH623">
        <f>INDEX('Data_Price '!AQ$2:AQ$1266,MATCH(Data!$DN623,'Data_Price '!$AT$2:$AT$1266,0))</f>
        <v/>
      </c>
      <c r="DI623">
        <f>INDEX('Data_Price '!AR$2:AR$1266,MATCH(Data!$DN623,'Data_Price '!$AT$2:$AT$1266,0))</f>
        <v/>
      </c>
      <c r="DJ623" s="138">
        <f>DA623</f>
        <v/>
      </c>
      <c r="DK623" s="138">
        <f>DE623</f>
        <v/>
      </c>
      <c r="DL623" s="138">
        <f>DI623</f>
        <v/>
      </c>
      <c r="DM623" s="303">
        <f>IF(LEFT(BT623,1)=" ",RIGHT(BT623,LEN(BT623)-1),BT623)</f>
        <v/>
      </c>
      <c r="DN623" s="138">
        <f>_xlfn.CONCAT(BS623,DM623,BU623,BV623)</f>
        <v/>
      </c>
      <c r="DO623" s="307" t="inlineStr">
        <is>
          <t>https://images.evo.com/imgp/250/164648/659389/clone.jpg</t>
        </is>
      </c>
    </row>
    <row r="624" ht="15.6" customHeight="1" s="184">
      <c r="B624" s="303">
        <f t="array" ref="B624">IF(OR(ISERROR(K624:P624)),FALSE,TRUE)</f>
        <v/>
      </c>
      <c r="C624" s="60">
        <f>OR(BR624=Driver!$G$50,Data!BR775=Driver!$H$50)</f>
        <v/>
      </c>
      <c r="D624" s="60">
        <f>OR(BV624=Driver!$G$51,BV624=Driver!$H$51)</f>
        <v/>
      </c>
      <c r="E624" s="60">
        <f>AND(BX624&gt;Driver!$F$54,BX624&lt;Driver!$G$54)</f>
        <v/>
      </c>
      <c r="F624" s="60">
        <f>CL624&gt;Driver!$F$56</f>
        <v/>
      </c>
      <c r="G624" s="60">
        <f>AND(CB624&gt;Driver!$F$55,CB624&lt;Driver!$G$55)</f>
        <v/>
      </c>
      <c r="H624" s="60">
        <f>AND(B624:G624)</f>
        <v/>
      </c>
      <c r="I624" s="60">
        <f>COUNTIFS($H$9:$H$1273,TRUE,$BT$9:$BT$1273,BT624)</f>
        <v/>
      </c>
      <c r="J624" s="60">
        <f t="array" ref="J624">NOT(OR(($H$9:$H$1273=TRUE)*($I$9:$I$1273&gt;0)*($BT$9:$BT$1273=BT624)*($K$9:$K$1273&gt;K624)))</f>
        <v/>
      </c>
      <c r="K624" s="108">
        <f>IFERROR(1-AVERAGE(X624:Y624),"")</f>
        <v/>
      </c>
      <c r="L624" s="108">
        <f>1-X624</f>
        <v/>
      </c>
      <c r="M624" s="108">
        <f>1-Y624</f>
        <v/>
      </c>
      <c r="N624" s="108">
        <f>1-Z624</f>
        <v/>
      </c>
      <c r="O624" s="108">
        <f>1-AA624</f>
        <v/>
      </c>
      <c r="P624" s="108">
        <f>1-AB624</f>
        <v/>
      </c>
      <c r="Q624" s="108" t="n"/>
      <c r="R624" s="108" t="n"/>
      <c r="S624" s="108">
        <f>1-AE624</f>
        <v/>
      </c>
      <c r="T624" s="108">
        <f>1-AF624</f>
        <v/>
      </c>
      <c r="U624" s="108">
        <f>1-AG624</f>
        <v/>
      </c>
      <c r="V624" s="108">
        <f>1-AH624</f>
        <v/>
      </c>
      <c r="W624" s="108">
        <f>1-AI624</f>
        <v/>
      </c>
      <c r="X624" s="108">
        <f>ABS(AJ624-AJ$1)</f>
        <v/>
      </c>
      <c r="Y624" s="108">
        <f>AVERAGE(Z624:AB624)</f>
        <v/>
      </c>
      <c r="Z624" s="108">
        <f>ABS(AL624-AL$1)</f>
        <v/>
      </c>
      <c r="AA624" s="108">
        <f>ABS(AM624-AM$1)</f>
        <v/>
      </c>
      <c r="AB624" s="108">
        <f>ABS(AN624-AN$1)</f>
        <v/>
      </c>
      <c r="AC624" s="108" t="n"/>
      <c r="AD624" s="108" t="n"/>
      <c r="AE624" s="108">
        <f>ABS(AQ$1-AQ624)</f>
        <v/>
      </c>
      <c r="AF624" s="108">
        <f>ABS(AR$1-AR624)</f>
        <v/>
      </c>
      <c r="AG624" s="108">
        <f>ABS(AS$1-AS624)</f>
        <v/>
      </c>
      <c r="AH624" s="108">
        <f>ABS(AT$1-AT624)</f>
        <v/>
      </c>
      <c r="AI624" s="108">
        <f>ABS(AU$1-AU624)</f>
        <v/>
      </c>
      <c r="AJ624" s="108">
        <f>(AV624-Driver!$K$179)/(Driver!$L$179-Driver!$K$179)</f>
        <v/>
      </c>
      <c r="AK624" s="108">
        <f>(AW624-Driver!$K$180)/(Driver!$L$180-Driver!$K$180)</f>
        <v/>
      </c>
      <c r="AL624" s="108">
        <f>(AX624-Driver!$K$181)/(Driver!$L$181-Driver!$K$181)</f>
        <v/>
      </c>
      <c r="AM624" s="108">
        <f>(AY624-Driver!$K$182)/(Driver!$L$182-Driver!$K$182)</f>
        <v/>
      </c>
      <c r="AN624" s="108">
        <f>(AZ624-Driver!$K$183)/(Driver!$L$183-Driver!$K$183)</f>
        <v/>
      </c>
      <c r="AO624" s="108" t="n"/>
      <c r="AP624" s="108" t="n"/>
      <c r="AQ624" s="108">
        <f>(BC624-Driver!$K$188)/(Driver!$L$188-Driver!$K$188)</f>
        <v/>
      </c>
      <c r="AR624" s="108">
        <f>MIN((BD624-Driver!$K$189)/(Driver!$L$189-Driver!$K$189),100%)</f>
        <v/>
      </c>
      <c r="AS624" s="108">
        <f>(BE624-Driver!$K$190)/(Driver!$L$190-Driver!$K$190)</f>
        <v/>
      </c>
      <c r="AT624" s="108">
        <f>(BF624-Driver!$K$191)/(Driver!$L$191-Driver!$K$191)</f>
        <v/>
      </c>
      <c r="AU624" s="108">
        <f>(BG624-Driver!$K$192)/(Driver!$L$192-Driver!$K$192)</f>
        <v/>
      </c>
      <c r="AV624" s="105">
        <f>IFERROR(BM624*BJ624^1/4,"")</f>
        <v/>
      </c>
      <c r="AW624" s="105">
        <f>IFERROR(SUM(AX624:AZ624),"")</f>
        <v/>
      </c>
      <c r="AX624" s="105">
        <f>IFERROR(BH624,"")</f>
        <v/>
      </c>
      <c r="AY624" s="105">
        <f>IFERROR(Driver!$K$19/Data!BH624/Data!BI624*Data!BK624*Data!BL624,"")</f>
        <v/>
      </c>
      <c r="AZ624" s="105">
        <f>IFERROR(BI624*BN624,"")</f>
        <v/>
      </c>
      <c r="BA624" s="105" t="n"/>
      <c r="BB624" s="105" t="n"/>
      <c r="BC624" s="105">
        <f>IFERROR(BI624*BN624*BK624/BJ624^(1/2),"")</f>
        <v/>
      </c>
      <c r="BD624" s="105">
        <f>IFERROR(BH624*BM624*BL624/BJ624/BK624,"")</f>
        <v/>
      </c>
      <c r="BE624" s="105">
        <f>IFERROR(MIN(BI624/BQ624/BP624/BO624/BH624,$BE$1),"")</f>
        <v/>
      </c>
      <c r="BF624" s="105">
        <f>IFERROR(BJ624*BO624*BP624/BK624,"")</f>
        <v/>
      </c>
      <c r="BG624" s="105">
        <f>IFERROR(1/BM624/BH624*BQ624,"")</f>
        <v/>
      </c>
      <c r="BH624" s="102">
        <f>MAX((CE624-Driver!$F$200)/(Driver!$G$200-Driver!$F$200)*$BI$1,1)</f>
        <v/>
      </c>
      <c r="BI624" s="102">
        <f>MAX($BI$1*(BY624-Driver!$F$201)/(Driver!$G$201-Driver!$F$201),1)</f>
        <v/>
      </c>
      <c r="BJ624" s="102">
        <f>(CB624-Driver!$F$206)/(Driver!$G$206-Driver!$F$206)*$BI$1</f>
        <v/>
      </c>
      <c r="BK624" s="102">
        <f>(CD624-Driver!$F$203)/(Driver!$G$203-Driver!$F$203)*$BI$1</f>
        <v/>
      </c>
      <c r="BL624" s="102">
        <f>MAX((CR624-Driver!$F$202)/(Driver!$G$202-Driver!$F$202)*$BI$1,1)</f>
        <v/>
      </c>
      <c r="BM624" s="102">
        <f>MAX((CH624-Driver!$F$204)/(Driver!$G$204-Driver!$F$204)*$BI$1,1)</f>
        <v/>
      </c>
      <c r="BN624" s="102">
        <f>(CI624-Driver!$F$205)/(Driver!$G$205-Driver!$F$205)*$BI$1</f>
        <v/>
      </c>
      <c r="BO624" s="102">
        <f>(CK624-Driver!$F$207)/(Driver!$G$207-Driver!$F$207)*$BI$1</f>
        <v/>
      </c>
      <c r="BP624" s="102">
        <f>(CM624-Driver!$F$208)/(Driver!$G$208-Driver!$F$208)*$BI$1</f>
        <v/>
      </c>
      <c r="BQ624" s="102">
        <f>(CL624-Driver!$F$209)/(Driver!$G$209-Driver!$F$209)*$BI$1</f>
        <v/>
      </c>
      <c r="BR624" s="40" t="inlineStr">
        <is>
          <t>21/22</t>
        </is>
      </c>
      <c r="BS624" s="10" t="inlineStr">
        <is>
          <t xml:space="preserve"> K2</t>
        </is>
      </c>
      <c r="BT624" s="11" t="inlineStr">
        <is>
          <t>Reckoner 92 Alliance</t>
        </is>
      </c>
      <c r="BU624" s="13" t="n">
        <v>149</v>
      </c>
      <c r="BV624" s="11" t="inlineStr">
        <is>
          <t xml:space="preserve"> Women's</t>
        </is>
      </c>
      <c r="BW624" s="13" t="n">
        <v>149</v>
      </c>
      <c r="BX624" s="13" t="n">
        <v>148.9</v>
      </c>
      <c r="BY624" s="13" t="n">
        <v>98</v>
      </c>
      <c r="BZ624" s="13" t="n">
        <v>123</v>
      </c>
      <c r="CA624" s="13" t="n">
        <v>124</v>
      </c>
      <c r="CB624" s="13" t="n">
        <v>91</v>
      </c>
      <c r="CC624" s="13" t="n">
        <v>113</v>
      </c>
      <c r="CD624" s="13" t="n">
        <v>12.6</v>
      </c>
      <c r="CE624" s="13" t="n">
        <v>1525</v>
      </c>
      <c r="CF624" s="13" t="n">
        <v>0.99</v>
      </c>
      <c r="CG624" s="13" t="n">
        <v>1516</v>
      </c>
      <c r="CH624" s="13" t="n">
        <v>164</v>
      </c>
      <c r="CI624" s="13" t="n">
        <v>86</v>
      </c>
      <c r="CJ624" s="13" t="n">
        <v>47</v>
      </c>
      <c r="CK624" s="13" t="n">
        <v>250</v>
      </c>
      <c r="CL624" s="13" t="n">
        <v>41</v>
      </c>
      <c r="CM624" s="13" t="n">
        <v>257</v>
      </c>
      <c r="CN624" s="13" t="n">
        <v>0.881</v>
      </c>
      <c r="CO624" s="13" t="n">
        <v>120</v>
      </c>
      <c r="CP624" s="13" t="n">
        <v>142</v>
      </c>
      <c r="CQ624" s="13" t="n">
        <v>129</v>
      </c>
      <c r="CR624" s="13" t="n">
        <v>3</v>
      </c>
      <c r="CS624" s="13" t="n">
        <v>4</v>
      </c>
      <c r="CT624" s="11" t="inlineStr">
        <is>
          <t xml:space="preserve"> Freeski</t>
        </is>
      </c>
      <c r="CU624" s="13" t="n"/>
      <c r="CV624" s="13" t="n"/>
      <c r="CW624" s="13" t="n"/>
      <c r="CX624">
        <f>INDEX('Data_Price '!AG$2:AG$1266,MATCH(Data!$DN624,'Data_Price '!$AT$2:$AT$1266,0))</f>
        <v/>
      </c>
      <c r="CY624">
        <f>INDEX('Data_Price '!AH$2:AH$1266,MATCH(Data!$DN624,'Data_Price '!$AT$2:$AT$1266,0))</f>
        <v/>
      </c>
      <c r="CZ624">
        <f>INDEX('Data_Price '!AI$2:AI$1266,MATCH(Data!$DN624,'Data_Price '!$AT$2:$AT$1266,0))</f>
        <v/>
      </c>
      <c r="DA624">
        <f>INDEX('Data_Price '!AJ$2:AJ$1266,MATCH(Data!$DN624,'Data_Price '!$AT$2:$AT$1266,0))</f>
        <v/>
      </c>
      <c r="DB624">
        <f>INDEX('Data_Price '!AK$2:AK$1266,MATCH(Data!$DN624,'Data_Price '!$AT$2:$AT$1266,0))</f>
        <v/>
      </c>
      <c r="DC624">
        <f>INDEX('Data_Price '!AL$2:AL$1266,MATCH(Data!$DN624,'Data_Price '!$AT$2:$AT$1266,0))</f>
        <v/>
      </c>
      <c r="DD624">
        <f>INDEX('Data_Price '!AM$2:AM$1266,MATCH(Data!$DN624,'Data_Price '!$AT$2:$AT$1266,0))</f>
        <v/>
      </c>
      <c r="DE624">
        <f>INDEX('Data_Price '!AN$2:AN$1266,MATCH(Data!$DN624,'Data_Price '!$AT$2:$AT$1266,0))</f>
        <v/>
      </c>
      <c r="DF624">
        <f>INDEX('Data_Price '!AO$2:AO$1266,MATCH(Data!$DN624,'Data_Price '!$AT$2:$AT$1266,0))</f>
        <v/>
      </c>
      <c r="DG624">
        <f>INDEX('Data_Price '!AP$2:AP$1266,MATCH(Data!$DN624,'Data_Price '!$AT$2:$AT$1266,0))</f>
        <v/>
      </c>
      <c r="DH624">
        <f>INDEX('Data_Price '!AQ$2:AQ$1266,MATCH(Data!$DN624,'Data_Price '!$AT$2:$AT$1266,0))</f>
        <v/>
      </c>
      <c r="DI624">
        <f>INDEX('Data_Price '!AR$2:AR$1266,MATCH(Data!$DN624,'Data_Price '!$AT$2:$AT$1266,0))</f>
        <v/>
      </c>
      <c r="DJ624" s="138">
        <f>DA624</f>
        <v/>
      </c>
      <c r="DK624" s="138">
        <f>DE624</f>
        <v/>
      </c>
      <c r="DL624" s="138">
        <f>DI624</f>
        <v/>
      </c>
      <c r="DM624" s="303">
        <f>IF(LEFT(BT624,1)=" ",RIGHT(BT624,LEN(BT624)-1),BT624)</f>
        <v/>
      </c>
      <c r="DN624" s="138">
        <f>_xlfn.CONCAT(BS624,DM624,BU624,BV624)</f>
        <v/>
      </c>
      <c r="DO624" s="307" t="inlineStr">
        <is>
          <t>https://images.evo.com/imgp/250/201069/825042/k2-reckoner-92-alliance-skis-women-s-2022-.jpg</t>
        </is>
      </c>
    </row>
    <row r="625" ht="15.6" customHeight="1" s="184">
      <c r="B625" s="303">
        <f t="array" ref="B625">IF(OR(ISERROR(K625:P625)),FALSE,TRUE)</f>
        <v/>
      </c>
      <c r="C625" s="60">
        <f>OR(BR625=Driver!$G$50,Data!BR135=Driver!$H$50)</f>
        <v/>
      </c>
      <c r="D625" s="60">
        <f>OR(BV625=Driver!$G$51,BV625=Driver!$H$51)</f>
        <v/>
      </c>
      <c r="E625" s="60">
        <f>AND(BX625&gt;Driver!$F$54,BX625&lt;Driver!$G$54)</f>
        <v/>
      </c>
      <c r="F625" s="60">
        <f>CL625&gt;Driver!$F$56</f>
        <v/>
      </c>
      <c r="G625" s="60">
        <f>AND(CB625&gt;Driver!$F$55,CB625&lt;Driver!$G$55)</f>
        <v/>
      </c>
      <c r="H625" s="60">
        <f>AND(B625:G625)</f>
        <v/>
      </c>
      <c r="I625" s="60">
        <f>COUNTIFS($H$9:$H$1273,TRUE,$BT$9:$BT$1273,BT625)</f>
        <v/>
      </c>
      <c r="J625" s="60">
        <f t="array" ref="J625">NOT(OR(($H$9:$H$1273=TRUE)*($I$9:$I$1273&gt;0)*($BT$9:$BT$1273=BT625)*($K$9:$K$1273&gt;K625)))</f>
        <v/>
      </c>
      <c r="K625" s="108">
        <f>IFERROR(1-AVERAGE(X625:Y625),"")</f>
        <v/>
      </c>
      <c r="L625" s="108">
        <f>1-X625</f>
        <v/>
      </c>
      <c r="M625" s="108">
        <f>1-Y625</f>
        <v/>
      </c>
      <c r="N625" s="108">
        <f>1-Z625</f>
        <v/>
      </c>
      <c r="O625" s="108">
        <f>1-AA625</f>
        <v/>
      </c>
      <c r="P625" s="108">
        <f>1-AB625</f>
        <v/>
      </c>
      <c r="Q625" s="108" t="n"/>
      <c r="R625" s="108" t="n"/>
      <c r="S625" s="108">
        <f>1-AE625</f>
        <v/>
      </c>
      <c r="T625" s="108">
        <f>1-AF625</f>
        <v/>
      </c>
      <c r="U625" s="108">
        <f>1-AG625</f>
        <v/>
      </c>
      <c r="V625" s="108">
        <f>1-AH625</f>
        <v/>
      </c>
      <c r="W625" s="108">
        <f>1-AI625</f>
        <v/>
      </c>
      <c r="X625" s="108">
        <f>ABS(AJ625-AJ$1)</f>
        <v/>
      </c>
      <c r="Y625" s="108">
        <f>AVERAGE(Z625:AB625)</f>
        <v/>
      </c>
      <c r="Z625" s="108">
        <f>ABS(AL625-AL$1)</f>
        <v/>
      </c>
      <c r="AA625" s="108">
        <f>ABS(AM625-AM$1)</f>
        <v/>
      </c>
      <c r="AB625" s="108">
        <f>ABS(AN625-AN$1)</f>
        <v/>
      </c>
      <c r="AC625" s="108" t="n"/>
      <c r="AD625" s="108" t="n"/>
      <c r="AE625" s="108">
        <f>ABS(AQ$1-AQ625)</f>
        <v/>
      </c>
      <c r="AF625" s="108">
        <f>ABS(AR$1-AR625)</f>
        <v/>
      </c>
      <c r="AG625" s="108">
        <f>ABS(AS$1-AS625)</f>
        <v/>
      </c>
      <c r="AH625" s="108">
        <f>ABS(AT$1-AT625)</f>
        <v/>
      </c>
      <c r="AI625" s="108">
        <f>ABS(AU$1-AU625)</f>
        <v/>
      </c>
      <c r="AJ625" s="108">
        <f>(AV625-Driver!$K$179)/(Driver!$L$179-Driver!$K$179)</f>
        <v/>
      </c>
      <c r="AK625" s="108">
        <f>(AW625-Driver!$K$180)/(Driver!$L$180-Driver!$K$180)</f>
        <v/>
      </c>
      <c r="AL625" s="108">
        <f>(AX625-Driver!$K$181)/(Driver!$L$181-Driver!$K$181)</f>
        <v/>
      </c>
      <c r="AM625" s="108">
        <f>(AY625-Driver!$K$182)/(Driver!$L$182-Driver!$K$182)</f>
        <v/>
      </c>
      <c r="AN625" s="108">
        <f>(AZ625-Driver!$K$183)/(Driver!$L$183-Driver!$K$183)</f>
        <v/>
      </c>
      <c r="AO625" s="108" t="n"/>
      <c r="AP625" s="108" t="n"/>
      <c r="AQ625" s="108">
        <f>(BC625-Driver!$K$188)/(Driver!$L$188-Driver!$K$188)</f>
        <v/>
      </c>
      <c r="AR625" s="108">
        <f>MIN((BD625-Driver!$K$189)/(Driver!$L$189-Driver!$K$189),100%)</f>
        <v/>
      </c>
      <c r="AS625" s="108">
        <f>(BE625-Driver!$K$190)/(Driver!$L$190-Driver!$K$190)</f>
        <v/>
      </c>
      <c r="AT625" s="108">
        <f>(BF625-Driver!$K$191)/(Driver!$L$191-Driver!$K$191)</f>
        <v/>
      </c>
      <c r="AU625" s="108">
        <f>(BG625-Driver!$K$192)/(Driver!$L$192-Driver!$K$192)</f>
        <v/>
      </c>
      <c r="AV625" s="105">
        <f>IFERROR(BM625*BJ625^1/4,"")</f>
        <v/>
      </c>
      <c r="AW625" s="105">
        <f>IFERROR(SUM(AX625:AZ625),"")</f>
        <v/>
      </c>
      <c r="AX625" s="105">
        <f>IFERROR(BH625,"")</f>
        <v/>
      </c>
      <c r="AY625" s="105">
        <f>IFERROR(Driver!$K$19/Data!BH625/Data!BI625*Data!BK625*Data!BL625,"")</f>
        <v/>
      </c>
      <c r="AZ625" s="105">
        <f>IFERROR(BI625*BN625,"")</f>
        <v/>
      </c>
      <c r="BA625" s="105" t="n"/>
      <c r="BB625" s="105" t="n"/>
      <c r="BC625" s="105">
        <f>IFERROR(BI625*BN625*BK625/BJ625^(1/2),"")</f>
        <v/>
      </c>
      <c r="BD625" s="105">
        <f>IFERROR(BH625*BM625*BL625/BJ625/BK625,"")</f>
        <v/>
      </c>
      <c r="BE625" s="105">
        <f>IFERROR(MIN(BI625/BQ625/BP625/BO625/BH625,$BE$1),"")</f>
        <v/>
      </c>
      <c r="BF625" s="105">
        <f>IFERROR(BJ625*BO625*BP625/BK625,"")</f>
        <v/>
      </c>
      <c r="BG625" s="105">
        <f>IFERROR(1/BM625/BH625*BQ625,"")</f>
        <v/>
      </c>
      <c r="BH625" s="102">
        <f>MAX((CE625-Driver!$F$200)/(Driver!$G$200-Driver!$F$200)*$BI$1,1)</f>
        <v/>
      </c>
      <c r="BI625" s="102">
        <f>MAX($BI$1*(BY625-Driver!$F$201)/(Driver!$G$201-Driver!$F$201),1)</f>
        <v/>
      </c>
      <c r="BJ625" s="102">
        <f>(CB625-Driver!$F$206)/(Driver!$G$206-Driver!$F$206)*$BI$1</f>
        <v/>
      </c>
      <c r="BK625" s="102">
        <f>(CD625-Driver!$F$203)/(Driver!$G$203-Driver!$F$203)*$BI$1</f>
        <v/>
      </c>
      <c r="BL625" s="102">
        <f>MAX((CR625-Driver!$F$202)/(Driver!$G$202-Driver!$F$202)*$BI$1,1)</f>
        <v/>
      </c>
      <c r="BM625" s="102">
        <f>MAX((CH625-Driver!$F$204)/(Driver!$G$204-Driver!$F$204)*$BI$1,1)</f>
        <v/>
      </c>
      <c r="BN625" s="102">
        <f>(CI625-Driver!$F$205)/(Driver!$G$205-Driver!$F$205)*$BI$1</f>
        <v/>
      </c>
      <c r="BO625" s="102">
        <f>(CK625-Driver!$F$207)/(Driver!$G$207-Driver!$F$207)*$BI$1</f>
        <v/>
      </c>
      <c r="BP625" s="102">
        <f>(CM625-Driver!$F$208)/(Driver!$G$208-Driver!$F$208)*$BI$1</f>
        <v/>
      </c>
      <c r="BQ625" s="102">
        <f>(CL625-Driver!$F$209)/(Driver!$G$209-Driver!$F$209)*$BI$1</f>
        <v/>
      </c>
      <c r="BR625" s="40" t="inlineStr">
        <is>
          <t>21/22</t>
        </is>
      </c>
      <c r="BS625" s="10" t="inlineStr">
        <is>
          <t xml:space="preserve"> Atomic</t>
        </is>
      </c>
      <c r="BT625" s="11" t="inlineStr">
        <is>
          <t>Bent Chetler 120</t>
        </is>
      </c>
      <c r="BU625" s="13" t="n">
        <v>176</v>
      </c>
      <c r="BV625" s="11" t="inlineStr">
        <is>
          <t xml:space="preserve"> Unisex</t>
        </is>
      </c>
      <c r="BW625" s="13" t="n">
        <v>176</v>
      </c>
      <c r="BX625" s="13" t="n">
        <v>174.7</v>
      </c>
      <c r="BY625" s="13" t="n">
        <v>99</v>
      </c>
      <c r="BZ625" s="13" t="n">
        <v>123</v>
      </c>
      <c r="CA625" s="13" t="n">
        <v>141</v>
      </c>
      <c r="CB625" s="13" t="n">
        <v>119</v>
      </c>
      <c r="CC625" s="13" t="n">
        <v>132</v>
      </c>
      <c r="CD625" s="13" t="n">
        <v>18.8</v>
      </c>
      <c r="CE625" s="13" t="n">
        <v>1779</v>
      </c>
      <c r="CF625" s="13" t="n">
        <v>1.21</v>
      </c>
      <c r="CG625" s="13" t="n">
        <v>2159</v>
      </c>
      <c r="CH625" s="13" t="n">
        <v>217</v>
      </c>
      <c r="CI625" s="13" t="n">
        <v>91</v>
      </c>
      <c r="CJ625" s="13" t="n">
        <v>55</v>
      </c>
      <c r="CK625" s="13" t="n">
        <v>399</v>
      </c>
      <c r="CL625" s="13" t="n">
        <v>52</v>
      </c>
      <c r="CM625" s="13" t="n">
        <v>362</v>
      </c>
      <c r="CN625" s="13" t="n">
        <v>0.958</v>
      </c>
      <c r="CO625" s="13" t="n">
        <v>215</v>
      </c>
      <c r="CP625" s="13" t="n">
        <v>302</v>
      </c>
      <c r="CQ625" s="13" t="n">
        <v>184</v>
      </c>
      <c r="CR625" s="13" t="n">
        <v>4</v>
      </c>
      <c r="CS625" s="13" t="n">
        <v>3.1</v>
      </c>
      <c r="CT625" s="11" t="inlineStr">
        <is>
          <t xml:space="preserve"> Freeski</t>
        </is>
      </c>
      <c r="CU625" s="11" t="inlineStr">
        <is>
          <t xml:space="preserve"> Powder</t>
        </is>
      </c>
      <c r="CV625" s="11" t="inlineStr">
        <is>
          <t xml:space="preserve"> Touring</t>
        </is>
      </c>
      <c r="CW625" s="13" t="n"/>
      <c r="CX625">
        <f>INDEX('Data_Price '!AG$2:AG$1266,MATCH(Data!$DN625,'Data_Price '!$AT$2:$AT$1266,0))</f>
        <v/>
      </c>
      <c r="CY625">
        <f>INDEX('Data_Price '!AH$2:AH$1266,MATCH(Data!$DN625,'Data_Price '!$AT$2:$AT$1266,0))</f>
        <v/>
      </c>
      <c r="CZ625">
        <f>INDEX('Data_Price '!AI$2:AI$1266,MATCH(Data!$DN625,'Data_Price '!$AT$2:$AT$1266,0))</f>
        <v/>
      </c>
      <c r="DA625">
        <f>INDEX('Data_Price '!AJ$2:AJ$1266,MATCH(Data!$DN625,'Data_Price '!$AT$2:$AT$1266,0))</f>
        <v/>
      </c>
      <c r="DB625">
        <f>INDEX('Data_Price '!AK$2:AK$1266,MATCH(Data!$DN625,'Data_Price '!$AT$2:$AT$1266,0))</f>
        <v/>
      </c>
      <c r="DC625">
        <f>INDEX('Data_Price '!AL$2:AL$1266,MATCH(Data!$DN625,'Data_Price '!$AT$2:$AT$1266,0))</f>
        <v/>
      </c>
      <c r="DD625">
        <f>INDEX('Data_Price '!AM$2:AM$1266,MATCH(Data!$DN625,'Data_Price '!$AT$2:$AT$1266,0))</f>
        <v/>
      </c>
      <c r="DE625">
        <f>INDEX('Data_Price '!AN$2:AN$1266,MATCH(Data!$DN625,'Data_Price '!$AT$2:$AT$1266,0))</f>
        <v/>
      </c>
      <c r="DF625">
        <f>INDEX('Data_Price '!AO$2:AO$1266,MATCH(Data!$DN625,'Data_Price '!$AT$2:$AT$1266,0))</f>
        <v/>
      </c>
      <c r="DG625">
        <f>INDEX('Data_Price '!AP$2:AP$1266,MATCH(Data!$DN625,'Data_Price '!$AT$2:$AT$1266,0))</f>
        <v/>
      </c>
      <c r="DH625">
        <f>INDEX('Data_Price '!AQ$2:AQ$1266,MATCH(Data!$DN625,'Data_Price '!$AT$2:$AT$1266,0))</f>
        <v/>
      </c>
      <c r="DI625">
        <f>INDEX('Data_Price '!AR$2:AR$1266,MATCH(Data!$DN625,'Data_Price '!$AT$2:$AT$1266,0))</f>
        <v/>
      </c>
      <c r="DJ625" s="138">
        <f>DA625</f>
        <v/>
      </c>
      <c r="DK625" s="138">
        <f>DE625</f>
        <v/>
      </c>
      <c r="DL625" s="138">
        <f>DI625</f>
        <v/>
      </c>
      <c r="DM625" s="303">
        <f>IF(LEFT(BT625,1)=" ",RIGHT(BT625,LEN(BT625)-1),BT625)</f>
        <v/>
      </c>
      <c r="DN625" s="138">
        <f>_xlfn.CONCAT(BS625,DM625,BU625,BV625)</f>
        <v/>
      </c>
      <c r="DO625" s="307" t="inlineStr">
        <is>
          <t>https://images.evo.com/imgp/250/219398/896896/atomic-bent-chetler-120-skis-2023-.jpg</t>
        </is>
      </c>
    </row>
    <row r="626" ht="15.6" customHeight="1" s="184">
      <c r="B626" s="303">
        <f t="array" ref="B626">IF(OR(ISERROR(K626:P626)),FALSE,TRUE)</f>
        <v/>
      </c>
      <c r="C626" s="60">
        <f>OR(BR626=Driver!$G$50,Data!BR1183=Driver!$H$50)</f>
        <v/>
      </c>
      <c r="D626" s="60">
        <f>OR(BV626=Driver!$G$51,BV626=Driver!$H$51)</f>
        <v/>
      </c>
      <c r="E626" s="60">
        <f>AND(BX626&gt;Driver!$F$54,BX626&lt;Driver!$G$54)</f>
        <v/>
      </c>
      <c r="F626" s="60">
        <f>CL626&gt;Driver!$F$56</f>
        <v/>
      </c>
      <c r="G626" s="60">
        <f>AND(CB626&gt;Driver!$F$55,CB626&lt;Driver!$G$55)</f>
        <v/>
      </c>
      <c r="H626" s="60">
        <f>AND(B626:G626)</f>
        <v/>
      </c>
      <c r="I626" s="60">
        <f>COUNTIFS($H$9:$H$1273,TRUE,$BT$9:$BT$1273,BT626)</f>
        <v/>
      </c>
      <c r="J626" s="60">
        <f t="array" ref="J626">NOT(OR(($H$9:$H$1273=TRUE)*($I$9:$I$1273&gt;0)*($BT$9:$BT$1273=BT626)*($K$9:$K$1273&gt;K626)))</f>
        <v/>
      </c>
      <c r="K626" s="108">
        <f>IFERROR(1-AVERAGE(X626:Y626),"")</f>
        <v/>
      </c>
      <c r="L626" s="108">
        <f>1-X626</f>
        <v/>
      </c>
      <c r="M626" s="108">
        <f>1-Y626</f>
        <v/>
      </c>
      <c r="N626" s="108">
        <f>1-Z626</f>
        <v/>
      </c>
      <c r="O626" s="108">
        <f>1-AA626</f>
        <v/>
      </c>
      <c r="P626" s="108">
        <f>1-AB626</f>
        <v/>
      </c>
      <c r="Q626" s="108" t="n"/>
      <c r="R626" s="108" t="n"/>
      <c r="S626" s="108">
        <f>1-AE626</f>
        <v/>
      </c>
      <c r="T626" s="108">
        <f>1-AF626</f>
        <v/>
      </c>
      <c r="U626" s="108">
        <f>1-AG626</f>
        <v/>
      </c>
      <c r="V626" s="108">
        <f>1-AH626</f>
        <v/>
      </c>
      <c r="W626" s="108">
        <f>1-AI626</f>
        <v/>
      </c>
      <c r="X626" s="108">
        <f>ABS(AJ626-AJ$1)</f>
        <v/>
      </c>
      <c r="Y626" s="108">
        <f>AVERAGE(Z626:AB626)</f>
        <v/>
      </c>
      <c r="Z626" s="108">
        <f>ABS(AL626-AL$1)</f>
        <v/>
      </c>
      <c r="AA626" s="108">
        <f>ABS(AM626-AM$1)</f>
        <v/>
      </c>
      <c r="AB626" s="108">
        <f>ABS(AN626-AN$1)</f>
        <v/>
      </c>
      <c r="AC626" s="108" t="n"/>
      <c r="AD626" s="108" t="n"/>
      <c r="AE626" s="108">
        <f>ABS(AQ$1-AQ626)</f>
        <v/>
      </c>
      <c r="AF626" s="108">
        <f>ABS(AR$1-AR626)</f>
        <v/>
      </c>
      <c r="AG626" s="108">
        <f>ABS(AS$1-AS626)</f>
        <v/>
      </c>
      <c r="AH626" s="108">
        <f>ABS(AT$1-AT626)</f>
        <v/>
      </c>
      <c r="AI626" s="108">
        <f>ABS(AU$1-AU626)</f>
        <v/>
      </c>
      <c r="AJ626" s="108">
        <f>(AV626-Driver!$K$179)/(Driver!$L$179-Driver!$K$179)</f>
        <v/>
      </c>
      <c r="AK626" s="108">
        <f>(AW626-Driver!$K$180)/(Driver!$L$180-Driver!$K$180)</f>
        <v/>
      </c>
      <c r="AL626" s="108">
        <f>(AX626-Driver!$K$181)/(Driver!$L$181-Driver!$K$181)</f>
        <v/>
      </c>
      <c r="AM626" s="108">
        <f>(AY626-Driver!$K$182)/(Driver!$L$182-Driver!$K$182)</f>
        <v/>
      </c>
      <c r="AN626" s="108">
        <f>(AZ626-Driver!$K$183)/(Driver!$L$183-Driver!$K$183)</f>
        <v/>
      </c>
      <c r="AO626" s="108" t="n"/>
      <c r="AP626" s="108" t="n"/>
      <c r="AQ626" s="108">
        <f>(BC626-Driver!$K$188)/(Driver!$L$188-Driver!$K$188)</f>
        <v/>
      </c>
      <c r="AR626" s="108">
        <f>MIN((BD626-Driver!$K$189)/(Driver!$L$189-Driver!$K$189),100%)</f>
        <v/>
      </c>
      <c r="AS626" s="108">
        <f>(BE626-Driver!$K$190)/(Driver!$L$190-Driver!$K$190)</f>
        <v/>
      </c>
      <c r="AT626" s="108">
        <f>(BF626-Driver!$K$191)/(Driver!$L$191-Driver!$K$191)</f>
        <v/>
      </c>
      <c r="AU626" s="108">
        <f>(BG626-Driver!$K$192)/(Driver!$L$192-Driver!$K$192)</f>
        <v/>
      </c>
      <c r="AV626" s="105">
        <f>IFERROR(BM626*BJ626^1/4,"")</f>
        <v/>
      </c>
      <c r="AW626" s="105">
        <f>IFERROR(SUM(AX626:AZ626),"")</f>
        <v/>
      </c>
      <c r="AX626" s="105">
        <f>IFERROR(BH626,"")</f>
        <v/>
      </c>
      <c r="AY626" s="105">
        <f>IFERROR(Driver!$K$19/Data!BH626/Data!BI626*Data!BK626*Data!BL626,"")</f>
        <v/>
      </c>
      <c r="AZ626" s="105">
        <f>IFERROR(BI626*BN626,"")</f>
        <v/>
      </c>
      <c r="BA626" s="105" t="n"/>
      <c r="BB626" s="105" t="n"/>
      <c r="BC626" s="105">
        <f>IFERROR(BI626*BN626*BK626/BJ626^(1/2),"")</f>
        <v/>
      </c>
      <c r="BD626" s="105">
        <f>IFERROR(BH626*BM626*BL626/BJ626/BK626,"")</f>
        <v/>
      </c>
      <c r="BE626" s="105">
        <f>IFERROR(MIN(BI626/BQ626/BP626/BO626/BH626,$BE$1),"")</f>
        <v/>
      </c>
      <c r="BF626" s="105">
        <f>IFERROR(BJ626*BO626*BP626/BK626,"")</f>
        <v/>
      </c>
      <c r="BG626" s="105">
        <f>IFERROR(1/BM626/BH626*BQ626,"")</f>
        <v/>
      </c>
      <c r="BH626" s="102">
        <f>MAX((CE626-Driver!$F$200)/(Driver!$G$200-Driver!$F$200)*$BI$1,1)</f>
        <v/>
      </c>
      <c r="BI626" s="102">
        <f>MAX($BI$1*(BY626-Driver!$F$201)/(Driver!$G$201-Driver!$F$201),1)</f>
        <v/>
      </c>
      <c r="BJ626" s="102">
        <f>(CB626-Driver!$F$206)/(Driver!$G$206-Driver!$F$206)*$BI$1</f>
        <v/>
      </c>
      <c r="BK626" s="102">
        <f>(CD626-Driver!$F$203)/(Driver!$G$203-Driver!$F$203)*$BI$1</f>
        <v/>
      </c>
      <c r="BL626" s="102">
        <f>MAX((CR626-Driver!$F$202)/(Driver!$G$202-Driver!$F$202)*$BI$1,1)</f>
        <v/>
      </c>
      <c r="BM626" s="102">
        <f>MAX((CH626-Driver!$F$204)/(Driver!$G$204-Driver!$F$204)*$BI$1,1)</f>
        <v/>
      </c>
      <c r="BN626" s="102">
        <f>(CI626-Driver!$F$205)/(Driver!$G$205-Driver!$F$205)*$BI$1</f>
        <v/>
      </c>
      <c r="BO626" s="102">
        <f>(CK626-Driver!$F$207)/(Driver!$G$207-Driver!$F$207)*$BI$1</f>
        <v/>
      </c>
      <c r="BP626" s="102">
        <f>(CM626-Driver!$F$208)/(Driver!$G$208-Driver!$F$208)*$BI$1</f>
        <v/>
      </c>
      <c r="BQ626" s="102">
        <f>(CL626-Driver!$F$209)/(Driver!$G$209-Driver!$F$209)*$BI$1</f>
        <v/>
      </c>
      <c r="BR626" s="40" t="inlineStr">
        <is>
          <t>21/22</t>
        </is>
      </c>
      <c r="BS626" s="10" t="inlineStr">
        <is>
          <t xml:space="preserve"> Völkl</t>
        </is>
      </c>
      <c r="BT626" s="11" t="inlineStr">
        <is>
          <t>Deacon 80</t>
        </is>
      </c>
      <c r="BU626" s="13" t="n">
        <v>167</v>
      </c>
      <c r="BV626" s="11" t="inlineStr">
        <is>
          <t xml:space="preserve"> Unisex</t>
        </is>
      </c>
      <c r="BW626" s="13" t="n">
        <v>167</v>
      </c>
      <c r="BX626" s="13" t="n">
        <v>166.9</v>
      </c>
      <c r="BY626" s="13" t="n">
        <v>147</v>
      </c>
      <c r="BZ626" s="13" t="n">
        <v>153</v>
      </c>
      <c r="CA626" s="13" t="n">
        <v>127</v>
      </c>
      <c r="CB626" s="13" t="n">
        <v>79</v>
      </c>
      <c r="CC626" s="13" t="n">
        <v>110</v>
      </c>
      <c r="CD626" s="13" t="n">
        <v>14.4</v>
      </c>
      <c r="CE626" s="13" t="n">
        <v>1855</v>
      </c>
      <c r="CF626" s="13" t="n">
        <v>0.85</v>
      </c>
      <c r="CG626" s="13" t="n">
        <v>1579</v>
      </c>
      <c r="CH626" s="13" t="n">
        <v>214</v>
      </c>
      <c r="CI626" s="13" t="n">
        <v>66</v>
      </c>
      <c r="CJ626" s="13" t="n">
        <v>40</v>
      </c>
      <c r="CK626" s="13" t="n">
        <v>134</v>
      </c>
      <c r="CL626" s="13" t="n">
        <v>7</v>
      </c>
      <c r="CM626" s="13" t="n">
        <v>61</v>
      </c>
      <c r="CN626" s="13" t="n">
        <v>0.175</v>
      </c>
      <c r="CO626" s="13" t="n">
        <v>73</v>
      </c>
      <c r="CP626" s="13" t="n">
        <v>63</v>
      </c>
      <c r="CQ626" s="13" t="n">
        <v>61</v>
      </c>
      <c r="CR626" s="13" t="n">
        <v>4</v>
      </c>
      <c r="CS626" s="13" t="n">
        <v>10</v>
      </c>
      <c r="CT626" s="11" t="inlineStr">
        <is>
          <t xml:space="preserve"> On-Piste Carving</t>
        </is>
      </c>
      <c r="CU626" s="13" t="n"/>
      <c r="CV626" s="13" t="n"/>
      <c r="CW626" s="13" t="n"/>
      <c r="CX626">
        <f>INDEX('Data_Price '!AG$2:AG$1266,MATCH(Data!$DN626,'Data_Price '!$AT$2:$AT$1266,0))</f>
        <v/>
      </c>
      <c r="CY626">
        <f>INDEX('Data_Price '!AH$2:AH$1266,MATCH(Data!$DN626,'Data_Price '!$AT$2:$AT$1266,0))</f>
        <v/>
      </c>
      <c r="CZ626">
        <f>INDEX('Data_Price '!AI$2:AI$1266,MATCH(Data!$DN626,'Data_Price '!$AT$2:$AT$1266,0))</f>
        <v/>
      </c>
      <c r="DA626">
        <f>INDEX('Data_Price '!AJ$2:AJ$1266,MATCH(Data!$DN626,'Data_Price '!$AT$2:$AT$1266,0))</f>
        <v/>
      </c>
      <c r="DB626">
        <f>INDEX('Data_Price '!AK$2:AK$1266,MATCH(Data!$DN626,'Data_Price '!$AT$2:$AT$1266,0))</f>
        <v/>
      </c>
      <c r="DC626">
        <f>INDEX('Data_Price '!AL$2:AL$1266,MATCH(Data!$DN626,'Data_Price '!$AT$2:$AT$1266,0))</f>
        <v/>
      </c>
      <c r="DD626">
        <f>INDEX('Data_Price '!AM$2:AM$1266,MATCH(Data!$DN626,'Data_Price '!$AT$2:$AT$1266,0))</f>
        <v/>
      </c>
      <c r="DE626">
        <f>INDEX('Data_Price '!AN$2:AN$1266,MATCH(Data!$DN626,'Data_Price '!$AT$2:$AT$1266,0))</f>
        <v/>
      </c>
      <c r="DF626">
        <f>INDEX('Data_Price '!AO$2:AO$1266,MATCH(Data!$DN626,'Data_Price '!$AT$2:$AT$1266,0))</f>
        <v/>
      </c>
      <c r="DG626">
        <f>INDEX('Data_Price '!AP$2:AP$1266,MATCH(Data!$DN626,'Data_Price '!$AT$2:$AT$1266,0))</f>
        <v/>
      </c>
      <c r="DH626">
        <f>INDEX('Data_Price '!AQ$2:AQ$1266,MATCH(Data!$DN626,'Data_Price '!$AT$2:$AT$1266,0))</f>
        <v/>
      </c>
      <c r="DI626">
        <f>INDEX('Data_Price '!AR$2:AR$1266,MATCH(Data!$DN626,'Data_Price '!$AT$2:$AT$1266,0))</f>
        <v/>
      </c>
      <c r="DJ626" s="138">
        <f>DA626</f>
        <v/>
      </c>
      <c r="DK626" s="138">
        <f>DE626</f>
        <v/>
      </c>
      <c r="DL626" s="138">
        <f>DI626</f>
        <v/>
      </c>
      <c r="DM626" s="303">
        <f>IF(LEFT(BT626,1)=" ",RIGHT(BT626,LEN(BT626)-1),BT626)</f>
        <v/>
      </c>
      <c r="DN626" s="138">
        <f>_xlfn.CONCAT(BS626,DM626,BU626,BV626)</f>
        <v/>
      </c>
      <c r="DO626" s="307" t="n"/>
    </row>
    <row r="627" ht="15.6" customHeight="1" s="184">
      <c r="B627" s="303">
        <f t="array" ref="B627">IF(OR(ISERROR(K627:P627)),FALSE,TRUE)</f>
        <v/>
      </c>
      <c r="C627" s="60">
        <f>OR(BR627=Driver!$G$50,Data!BR855=Driver!$H$50)</f>
        <v/>
      </c>
      <c r="D627" s="60">
        <f>OR(BV627=Driver!$G$51,BV627=Driver!$H$51)</f>
        <v/>
      </c>
      <c r="E627" s="60">
        <f>AND(BX627&gt;Driver!$F$54,BX627&lt;Driver!$G$54)</f>
        <v/>
      </c>
      <c r="F627" s="60">
        <f>CL627&gt;Driver!$F$56</f>
        <v/>
      </c>
      <c r="G627" s="60">
        <f>AND(CB627&gt;Driver!$F$55,CB627&lt;Driver!$G$55)</f>
        <v/>
      </c>
      <c r="H627" s="60">
        <f>AND(B627:G627)</f>
        <v/>
      </c>
      <c r="I627" s="60">
        <f>COUNTIFS($H$9:$H$1273,TRUE,$BT$9:$BT$1273,BT627)</f>
        <v/>
      </c>
      <c r="J627" s="60">
        <f t="array" ref="J627">NOT(OR(($H$9:$H$1273=TRUE)*($I$9:$I$1273&gt;0)*($BT$9:$BT$1273=BT627)*($K$9:$K$1273&gt;K627)))</f>
        <v/>
      </c>
      <c r="K627" s="108">
        <f>IFERROR(1-AVERAGE(X627:Y627),"")</f>
        <v/>
      </c>
      <c r="L627" s="108">
        <f>1-X627</f>
        <v/>
      </c>
      <c r="M627" s="108">
        <f>1-Y627</f>
        <v/>
      </c>
      <c r="N627" s="108">
        <f>1-Z627</f>
        <v/>
      </c>
      <c r="O627" s="108">
        <f>1-AA627</f>
        <v/>
      </c>
      <c r="P627" s="108">
        <f>1-AB627</f>
        <v/>
      </c>
      <c r="Q627" s="108" t="n"/>
      <c r="R627" s="108" t="n"/>
      <c r="S627" s="108">
        <f>1-AE627</f>
        <v/>
      </c>
      <c r="T627" s="108">
        <f>1-AF627</f>
        <v/>
      </c>
      <c r="U627" s="108">
        <f>1-AG627</f>
        <v/>
      </c>
      <c r="V627" s="108">
        <f>1-AH627</f>
        <v/>
      </c>
      <c r="W627" s="108">
        <f>1-AI627</f>
        <v/>
      </c>
      <c r="X627" s="108">
        <f>ABS(AJ627-AJ$1)</f>
        <v/>
      </c>
      <c r="Y627" s="108">
        <f>AVERAGE(Z627:AB627)</f>
        <v/>
      </c>
      <c r="Z627" s="108">
        <f>ABS(AL627-AL$1)</f>
        <v/>
      </c>
      <c r="AA627" s="108">
        <f>ABS(AM627-AM$1)</f>
        <v/>
      </c>
      <c r="AB627" s="108">
        <f>ABS(AN627-AN$1)</f>
        <v/>
      </c>
      <c r="AC627" s="108" t="n"/>
      <c r="AD627" s="108" t="n"/>
      <c r="AE627" s="108">
        <f>ABS(AQ$1-AQ627)</f>
        <v/>
      </c>
      <c r="AF627" s="108">
        <f>ABS(AR$1-AR627)</f>
        <v/>
      </c>
      <c r="AG627" s="108">
        <f>ABS(AS$1-AS627)</f>
        <v/>
      </c>
      <c r="AH627" s="108">
        <f>ABS(AT$1-AT627)</f>
        <v/>
      </c>
      <c r="AI627" s="108">
        <f>ABS(AU$1-AU627)</f>
        <v/>
      </c>
      <c r="AJ627" s="108">
        <f>(AV627-Driver!$K$179)/(Driver!$L$179-Driver!$K$179)</f>
        <v/>
      </c>
      <c r="AK627" s="108">
        <f>(AW627-Driver!$K$180)/(Driver!$L$180-Driver!$K$180)</f>
        <v/>
      </c>
      <c r="AL627" s="108">
        <f>(AX627-Driver!$K$181)/(Driver!$L$181-Driver!$K$181)</f>
        <v/>
      </c>
      <c r="AM627" s="108">
        <f>(AY627-Driver!$K$182)/(Driver!$L$182-Driver!$K$182)</f>
        <v/>
      </c>
      <c r="AN627" s="108">
        <f>(AZ627-Driver!$K$183)/(Driver!$L$183-Driver!$K$183)</f>
        <v/>
      </c>
      <c r="AO627" s="108" t="n"/>
      <c r="AP627" s="108" t="n"/>
      <c r="AQ627" s="108">
        <f>(BC627-Driver!$K$188)/(Driver!$L$188-Driver!$K$188)</f>
        <v/>
      </c>
      <c r="AR627" s="108">
        <f>MIN((BD627-Driver!$K$189)/(Driver!$L$189-Driver!$K$189),100%)</f>
        <v/>
      </c>
      <c r="AS627" s="108">
        <f>(BE627-Driver!$K$190)/(Driver!$L$190-Driver!$K$190)</f>
        <v/>
      </c>
      <c r="AT627" s="108">
        <f>(BF627-Driver!$K$191)/(Driver!$L$191-Driver!$K$191)</f>
        <v/>
      </c>
      <c r="AU627" s="108">
        <f>(BG627-Driver!$K$192)/(Driver!$L$192-Driver!$K$192)</f>
        <v/>
      </c>
      <c r="AV627" s="105">
        <f>IFERROR(BM627*BJ627^1/4,"")</f>
        <v/>
      </c>
      <c r="AW627" s="105">
        <f>IFERROR(SUM(AX627:AZ627),"")</f>
        <v/>
      </c>
      <c r="AX627" s="105">
        <f>IFERROR(BH627,"")</f>
        <v/>
      </c>
      <c r="AY627" s="105">
        <f>IFERROR(Driver!$K$19/Data!BH627/Data!BI627*Data!BK627*Data!BL627,"")</f>
        <v/>
      </c>
      <c r="AZ627" s="105">
        <f>IFERROR(BI627*BN627,"")</f>
        <v/>
      </c>
      <c r="BA627" s="105" t="n"/>
      <c r="BB627" s="105" t="n"/>
      <c r="BC627" s="105">
        <f>IFERROR(BI627*BN627*BK627/BJ627^(1/2),"")</f>
        <v/>
      </c>
      <c r="BD627" s="105">
        <f>IFERROR(BH627*BM627*BL627/BJ627/BK627,"")</f>
        <v/>
      </c>
      <c r="BE627" s="105">
        <f>IFERROR(MIN(BI627/BQ627/BP627/BO627/BH627,$BE$1),"")</f>
        <v/>
      </c>
      <c r="BF627" s="105">
        <f>IFERROR(BJ627*BO627*BP627/BK627,"")</f>
        <v/>
      </c>
      <c r="BG627" s="105">
        <f>IFERROR(1/BM627/BH627*BQ627,"")</f>
        <v/>
      </c>
      <c r="BH627" s="102">
        <f>MAX((CE627-Driver!$F$200)/(Driver!$G$200-Driver!$F$200)*$BI$1,1)</f>
        <v/>
      </c>
      <c r="BI627" s="102">
        <f>MAX($BI$1*(BY627-Driver!$F$201)/(Driver!$G$201-Driver!$F$201),1)</f>
        <v/>
      </c>
      <c r="BJ627" s="102">
        <f>(CB627-Driver!$F$206)/(Driver!$G$206-Driver!$F$206)*$BI$1</f>
        <v/>
      </c>
      <c r="BK627" s="102">
        <f>(CD627-Driver!$F$203)/(Driver!$G$203-Driver!$F$203)*$BI$1</f>
        <v/>
      </c>
      <c r="BL627" s="102">
        <f>MAX((CR627-Driver!$F$202)/(Driver!$G$202-Driver!$F$202)*$BI$1,1)</f>
        <v/>
      </c>
      <c r="BM627" s="102">
        <f>MAX((CH627-Driver!$F$204)/(Driver!$G$204-Driver!$F$204)*$BI$1,1)</f>
        <v/>
      </c>
      <c r="BN627" s="102">
        <f>(CI627-Driver!$F$205)/(Driver!$G$205-Driver!$F$205)*$BI$1</f>
        <v/>
      </c>
      <c r="BO627" s="102">
        <f>(CK627-Driver!$F$207)/(Driver!$G$207-Driver!$F$207)*$BI$1</f>
        <v/>
      </c>
      <c r="BP627" s="102">
        <f>(CM627-Driver!$F$208)/(Driver!$G$208-Driver!$F$208)*$BI$1</f>
        <v/>
      </c>
      <c r="BQ627" s="102">
        <f>(CL627-Driver!$F$209)/(Driver!$G$209-Driver!$F$209)*$BI$1</f>
        <v/>
      </c>
      <c r="BR627" s="40" t="inlineStr">
        <is>
          <t>21/22</t>
        </is>
      </c>
      <c r="BS627" s="10" t="inlineStr">
        <is>
          <t xml:space="preserve"> Line</t>
        </is>
      </c>
      <c r="BT627" s="11" t="inlineStr">
        <is>
          <t>Pandora 94</t>
        </is>
      </c>
      <c r="BU627" s="13" t="n">
        <v>172</v>
      </c>
      <c r="BV627" s="11" t="inlineStr">
        <is>
          <t xml:space="preserve"> Women's</t>
        </is>
      </c>
      <c r="BW627" s="13" t="n">
        <v>172</v>
      </c>
      <c r="BX627" s="13" t="n">
        <v>172</v>
      </c>
      <c r="BY627" s="13" t="n">
        <v>132</v>
      </c>
      <c r="BZ627" s="13" t="n">
        <v>144</v>
      </c>
      <c r="CA627" s="13" t="n">
        <v>131</v>
      </c>
      <c r="CB627" s="13" t="n">
        <v>93</v>
      </c>
      <c r="CC627" s="13" t="n">
        <v>116</v>
      </c>
      <c r="CD627" s="13" t="n">
        <v>16.3</v>
      </c>
      <c r="CE627" s="13" t="n">
        <v>1539</v>
      </c>
      <c r="CF627" s="13" t="n">
        <v>1.18</v>
      </c>
      <c r="CG627" s="13" t="n">
        <v>1809</v>
      </c>
      <c r="CH627" s="13" t="n">
        <v>148</v>
      </c>
      <c r="CI627" s="13" t="n">
        <v>77</v>
      </c>
      <c r="CJ627" s="13" t="n">
        <v>47</v>
      </c>
      <c r="CK627" s="13" t="n">
        <v>273</v>
      </c>
      <c r="CL627" s="13" t="n">
        <v>14</v>
      </c>
      <c r="CM627" s="13" t="n">
        <v>129</v>
      </c>
      <c r="CN627" s="13" t="n">
        <v>0.298</v>
      </c>
      <c r="CO627" s="13" t="n">
        <v>144</v>
      </c>
      <c r="CP627" s="13" t="n">
        <v>133</v>
      </c>
      <c r="CQ627" s="13" t="n">
        <v>129</v>
      </c>
      <c r="CR627" s="13" t="n">
        <v>8</v>
      </c>
      <c r="CS627" s="13" t="n">
        <v>9.6</v>
      </c>
      <c r="CT627" s="11" t="inlineStr">
        <is>
          <t xml:space="preserve"> Resort Freeride</t>
        </is>
      </c>
      <c r="CU627" s="11" t="inlineStr">
        <is>
          <t xml:space="preserve"> Touring</t>
        </is>
      </c>
      <c r="CV627" s="13" t="n"/>
      <c r="CW627" s="13" t="n"/>
      <c r="CX627">
        <f>INDEX('Data_Price '!AG$2:AG$1266,MATCH(Data!$DN627,'Data_Price '!$AT$2:$AT$1266,0))</f>
        <v/>
      </c>
      <c r="CY627">
        <f>INDEX('Data_Price '!AH$2:AH$1266,MATCH(Data!$DN627,'Data_Price '!$AT$2:$AT$1266,0))</f>
        <v/>
      </c>
      <c r="CZ627">
        <f>INDEX('Data_Price '!AI$2:AI$1266,MATCH(Data!$DN627,'Data_Price '!$AT$2:$AT$1266,0))</f>
        <v/>
      </c>
      <c r="DA627">
        <f>INDEX('Data_Price '!AJ$2:AJ$1266,MATCH(Data!$DN627,'Data_Price '!$AT$2:$AT$1266,0))</f>
        <v/>
      </c>
      <c r="DB627">
        <f>INDEX('Data_Price '!AK$2:AK$1266,MATCH(Data!$DN627,'Data_Price '!$AT$2:$AT$1266,0))</f>
        <v/>
      </c>
      <c r="DC627">
        <f>INDEX('Data_Price '!AL$2:AL$1266,MATCH(Data!$DN627,'Data_Price '!$AT$2:$AT$1266,0))</f>
        <v/>
      </c>
      <c r="DD627">
        <f>INDEX('Data_Price '!AM$2:AM$1266,MATCH(Data!$DN627,'Data_Price '!$AT$2:$AT$1266,0))</f>
        <v/>
      </c>
      <c r="DE627">
        <f>INDEX('Data_Price '!AN$2:AN$1266,MATCH(Data!$DN627,'Data_Price '!$AT$2:$AT$1266,0))</f>
        <v/>
      </c>
      <c r="DF627">
        <f>INDEX('Data_Price '!AO$2:AO$1266,MATCH(Data!$DN627,'Data_Price '!$AT$2:$AT$1266,0))</f>
        <v/>
      </c>
      <c r="DG627">
        <f>INDEX('Data_Price '!AP$2:AP$1266,MATCH(Data!$DN627,'Data_Price '!$AT$2:$AT$1266,0))</f>
        <v/>
      </c>
      <c r="DH627">
        <f>INDEX('Data_Price '!AQ$2:AQ$1266,MATCH(Data!$DN627,'Data_Price '!$AT$2:$AT$1266,0))</f>
        <v/>
      </c>
      <c r="DI627">
        <f>INDEX('Data_Price '!AR$2:AR$1266,MATCH(Data!$DN627,'Data_Price '!$AT$2:$AT$1266,0))</f>
        <v/>
      </c>
      <c r="DJ627" s="138">
        <f>DA627</f>
        <v/>
      </c>
      <c r="DK627" s="138">
        <f>DE627</f>
        <v/>
      </c>
      <c r="DL627" s="138">
        <f>DI627</f>
        <v/>
      </c>
      <c r="DM627" s="303">
        <f>IF(LEFT(BT627,1)=" ",RIGHT(BT627,LEN(BT627)-1),BT627)</f>
        <v/>
      </c>
      <c r="DN627" s="138">
        <f>_xlfn.CONCAT(BS627,DM627,BU627,BV627)</f>
        <v/>
      </c>
      <c r="DO627" s="307" t="inlineStr">
        <is>
          <t>https://images.evo.com/imgp/250/197210/792887/line-skis-pandora-94-skis-women-s-2022-.jpg</t>
        </is>
      </c>
    </row>
    <row r="628" ht="15.6" customHeight="1" s="184">
      <c r="B628" s="303">
        <f t="array" ref="B628">IF(OR(ISERROR(K628:P628)),FALSE,TRUE)</f>
        <v/>
      </c>
      <c r="C628" s="60">
        <f>OR(BR628=Driver!$G$50,Data!BR1078=Driver!$H$50)</f>
        <v/>
      </c>
      <c r="D628" s="60">
        <f>OR(BV628=Driver!$G$51,BV628=Driver!$H$51)</f>
        <v/>
      </c>
      <c r="E628" s="60">
        <f>AND(BX628&gt;Driver!$F$54,BX628&lt;Driver!$G$54)</f>
        <v/>
      </c>
      <c r="F628" s="60">
        <f>CL628&gt;Driver!$F$56</f>
        <v/>
      </c>
      <c r="G628" s="60">
        <f>AND(CB628&gt;Driver!$F$55,CB628&lt;Driver!$G$55)</f>
        <v/>
      </c>
      <c r="H628" s="60">
        <f>AND(B628:G628)</f>
        <v/>
      </c>
      <c r="I628" s="60">
        <f>COUNTIFS($H$9:$H$1273,TRUE,$BT$9:$BT$1273,BT628)</f>
        <v/>
      </c>
      <c r="J628" s="60">
        <f t="array" ref="J628">NOT(OR(($H$9:$H$1273=TRUE)*($I$9:$I$1273&gt;0)*($BT$9:$BT$1273=BT628)*($K$9:$K$1273&gt;K628)))</f>
        <v/>
      </c>
      <c r="K628" s="108">
        <f>IFERROR(1-AVERAGE(X628:Y628),"")</f>
        <v/>
      </c>
      <c r="L628" s="108">
        <f>1-X628</f>
        <v/>
      </c>
      <c r="M628" s="108">
        <f>1-Y628</f>
        <v/>
      </c>
      <c r="N628" s="108">
        <f>1-Z628</f>
        <v/>
      </c>
      <c r="O628" s="108">
        <f>1-AA628</f>
        <v/>
      </c>
      <c r="P628" s="108">
        <f>1-AB628</f>
        <v/>
      </c>
      <c r="Q628" s="108" t="n"/>
      <c r="R628" s="108" t="n"/>
      <c r="S628" s="108">
        <f>1-AE628</f>
        <v/>
      </c>
      <c r="T628" s="108">
        <f>1-AF628</f>
        <v/>
      </c>
      <c r="U628" s="108">
        <f>1-AG628</f>
        <v/>
      </c>
      <c r="V628" s="108">
        <f>1-AH628</f>
        <v/>
      </c>
      <c r="W628" s="108">
        <f>1-AI628</f>
        <v/>
      </c>
      <c r="X628" s="108">
        <f>ABS(AJ628-AJ$1)</f>
        <v/>
      </c>
      <c r="Y628" s="108">
        <f>AVERAGE(Z628:AB628)</f>
        <v/>
      </c>
      <c r="Z628" s="108">
        <f>ABS(AL628-AL$1)</f>
        <v/>
      </c>
      <c r="AA628" s="108">
        <f>ABS(AM628-AM$1)</f>
        <v/>
      </c>
      <c r="AB628" s="108">
        <f>ABS(AN628-AN$1)</f>
        <v/>
      </c>
      <c r="AC628" s="108" t="n"/>
      <c r="AD628" s="108" t="n"/>
      <c r="AE628" s="108">
        <f>ABS(AQ$1-AQ628)</f>
        <v/>
      </c>
      <c r="AF628" s="108">
        <f>ABS(AR$1-AR628)</f>
        <v/>
      </c>
      <c r="AG628" s="108">
        <f>ABS(AS$1-AS628)</f>
        <v/>
      </c>
      <c r="AH628" s="108">
        <f>ABS(AT$1-AT628)</f>
        <v/>
      </c>
      <c r="AI628" s="108">
        <f>ABS(AU$1-AU628)</f>
        <v/>
      </c>
      <c r="AJ628" s="108">
        <f>(AV628-Driver!$K$179)/(Driver!$L$179-Driver!$K$179)</f>
        <v/>
      </c>
      <c r="AK628" s="108">
        <f>(AW628-Driver!$K$180)/(Driver!$L$180-Driver!$K$180)</f>
        <v/>
      </c>
      <c r="AL628" s="108">
        <f>(AX628-Driver!$K$181)/(Driver!$L$181-Driver!$K$181)</f>
        <v/>
      </c>
      <c r="AM628" s="108">
        <f>(AY628-Driver!$K$182)/(Driver!$L$182-Driver!$K$182)</f>
        <v/>
      </c>
      <c r="AN628" s="108">
        <f>(AZ628-Driver!$K$183)/(Driver!$L$183-Driver!$K$183)</f>
        <v/>
      </c>
      <c r="AO628" s="108" t="n"/>
      <c r="AP628" s="108" t="n"/>
      <c r="AQ628" s="108">
        <f>(BC628-Driver!$K$188)/(Driver!$L$188-Driver!$K$188)</f>
        <v/>
      </c>
      <c r="AR628" s="108">
        <f>MIN((BD628-Driver!$K$189)/(Driver!$L$189-Driver!$K$189),100%)</f>
        <v/>
      </c>
      <c r="AS628" s="108">
        <f>(BE628-Driver!$K$190)/(Driver!$L$190-Driver!$K$190)</f>
        <v/>
      </c>
      <c r="AT628" s="108">
        <f>(BF628-Driver!$K$191)/(Driver!$L$191-Driver!$K$191)</f>
        <v/>
      </c>
      <c r="AU628" s="108">
        <f>(BG628-Driver!$K$192)/(Driver!$L$192-Driver!$K$192)</f>
        <v/>
      </c>
      <c r="AV628" s="105">
        <f>IFERROR(BM628*BJ628^1/4,"")</f>
        <v/>
      </c>
      <c r="AW628" s="105">
        <f>IFERROR(SUM(AX628:AZ628),"")</f>
        <v/>
      </c>
      <c r="AX628" s="105">
        <f>IFERROR(BH628,"")</f>
        <v/>
      </c>
      <c r="AY628" s="105">
        <f>IFERROR(Driver!$K$19/Data!BH628/Data!BI628*Data!BK628*Data!BL628,"")</f>
        <v/>
      </c>
      <c r="AZ628" s="105">
        <f>IFERROR(BI628*BN628,"")</f>
        <v/>
      </c>
      <c r="BA628" s="105" t="n"/>
      <c r="BB628" s="105" t="n"/>
      <c r="BC628" s="105">
        <f>IFERROR(BI628*BN628*BK628/BJ628^(1/2),"")</f>
        <v/>
      </c>
      <c r="BD628" s="105">
        <f>IFERROR(BH628*BM628*BL628/BJ628/BK628,"")</f>
        <v/>
      </c>
      <c r="BE628" s="105">
        <f>IFERROR(MIN(BI628/BQ628/BP628/BO628/BH628,$BE$1),"")</f>
        <v/>
      </c>
      <c r="BF628" s="105">
        <f>IFERROR(BJ628*BO628*BP628/BK628,"")</f>
        <v/>
      </c>
      <c r="BG628" s="105">
        <f>IFERROR(1/BM628/BH628*BQ628,"")</f>
        <v/>
      </c>
      <c r="BH628" s="102">
        <f>MAX((CE628-Driver!$F$200)/(Driver!$G$200-Driver!$F$200)*$BI$1,1)</f>
        <v/>
      </c>
      <c r="BI628" s="102">
        <f>MAX($BI$1*(BY628-Driver!$F$201)/(Driver!$G$201-Driver!$F$201),1)</f>
        <v/>
      </c>
      <c r="BJ628" s="102">
        <f>(CB628-Driver!$F$206)/(Driver!$G$206-Driver!$F$206)*$BI$1</f>
        <v/>
      </c>
      <c r="BK628" s="102">
        <f>(CD628-Driver!$F$203)/(Driver!$G$203-Driver!$F$203)*$BI$1</f>
        <v/>
      </c>
      <c r="BL628" s="102">
        <f>MAX((CR628-Driver!$F$202)/(Driver!$G$202-Driver!$F$202)*$BI$1,1)</f>
        <v/>
      </c>
      <c r="BM628" s="102">
        <f>MAX((CH628-Driver!$F$204)/(Driver!$G$204-Driver!$F$204)*$BI$1,1)</f>
        <v/>
      </c>
      <c r="BN628" s="102">
        <f>(CI628-Driver!$F$205)/(Driver!$G$205-Driver!$F$205)*$BI$1</f>
        <v/>
      </c>
      <c r="BO628" s="102">
        <f>(CK628-Driver!$F$207)/(Driver!$G$207-Driver!$F$207)*$BI$1</f>
        <v/>
      </c>
      <c r="BP628" s="102">
        <f>(CM628-Driver!$F$208)/(Driver!$G$208-Driver!$F$208)*$BI$1</f>
        <v/>
      </c>
      <c r="BQ628" s="102">
        <f>(CL628-Driver!$F$209)/(Driver!$G$209-Driver!$F$209)*$BI$1</f>
        <v/>
      </c>
      <c r="BR628" s="40" t="inlineStr">
        <is>
          <t>21/22</t>
        </is>
      </c>
      <c r="BS628" s="10" t="inlineStr">
        <is>
          <t xml:space="preserve"> Salomon</t>
        </is>
      </c>
      <c r="BT628" s="11" t="inlineStr">
        <is>
          <t>QST 99</t>
        </is>
      </c>
      <c r="BU628" s="13" t="n">
        <v>181</v>
      </c>
      <c r="BV628" s="11" t="inlineStr">
        <is>
          <t xml:space="preserve"> Unisex</t>
        </is>
      </c>
      <c r="BW628" s="13" t="n">
        <v>181</v>
      </c>
      <c r="BX628" s="13" t="n">
        <v>180.4</v>
      </c>
      <c r="BY628" s="13" t="n">
        <v>125</v>
      </c>
      <c r="BZ628" s="13" t="n">
        <v>144</v>
      </c>
      <c r="CA628" s="13" t="n">
        <v>136</v>
      </c>
      <c r="CB628" s="13" t="n">
        <v>98</v>
      </c>
      <c r="CC628" s="13" t="n">
        <v>119</v>
      </c>
      <c r="CD628" s="13" t="n">
        <v>15.3</v>
      </c>
      <c r="CE628" s="13" t="n">
        <v>2085</v>
      </c>
      <c r="CF628" s="13" t="n">
        <v>0.96</v>
      </c>
      <c r="CG628" s="13" t="n">
        <v>2011</v>
      </c>
      <c r="CH628" s="13" t="n">
        <v>253</v>
      </c>
      <c r="CI628" s="13" t="n">
        <v>114</v>
      </c>
      <c r="CJ628" s="13" t="n">
        <v>55</v>
      </c>
      <c r="CK628" s="13" t="n">
        <v>295</v>
      </c>
      <c r="CL628" s="13" t="n">
        <v>23</v>
      </c>
      <c r="CM628" s="13" t="n">
        <v>263</v>
      </c>
      <c r="CN628" s="13" t="n">
        <v>0.419</v>
      </c>
      <c r="CO628" s="13" t="n">
        <v>208</v>
      </c>
      <c r="CP628" s="13" t="n">
        <v>156</v>
      </c>
      <c r="CQ628" s="13" t="n">
        <v>87</v>
      </c>
      <c r="CR628" s="13" t="n">
        <v>9</v>
      </c>
      <c r="CS628" s="13" t="n">
        <v>9.800000000000001</v>
      </c>
      <c r="CT628" s="11" t="inlineStr">
        <is>
          <t xml:space="preserve"> Resort Freeride</t>
        </is>
      </c>
      <c r="CU628" s="13" t="n"/>
      <c r="CV628" s="13" t="n"/>
      <c r="CW628" s="13" t="n"/>
      <c r="CX628">
        <f>INDEX('Data_Price '!AG$2:AG$1266,MATCH(Data!$DN628,'Data_Price '!$AT$2:$AT$1266,0))</f>
        <v/>
      </c>
      <c r="CY628">
        <f>INDEX('Data_Price '!AH$2:AH$1266,MATCH(Data!$DN628,'Data_Price '!$AT$2:$AT$1266,0))</f>
        <v/>
      </c>
      <c r="CZ628">
        <f>INDEX('Data_Price '!AI$2:AI$1266,MATCH(Data!$DN628,'Data_Price '!$AT$2:$AT$1266,0))</f>
        <v/>
      </c>
      <c r="DA628">
        <f>INDEX('Data_Price '!AJ$2:AJ$1266,MATCH(Data!$DN628,'Data_Price '!$AT$2:$AT$1266,0))</f>
        <v/>
      </c>
      <c r="DB628">
        <f>INDEX('Data_Price '!AK$2:AK$1266,MATCH(Data!$DN628,'Data_Price '!$AT$2:$AT$1266,0))</f>
        <v/>
      </c>
      <c r="DC628">
        <f>INDEX('Data_Price '!AL$2:AL$1266,MATCH(Data!$DN628,'Data_Price '!$AT$2:$AT$1266,0))</f>
        <v/>
      </c>
      <c r="DD628">
        <f>INDEX('Data_Price '!AM$2:AM$1266,MATCH(Data!$DN628,'Data_Price '!$AT$2:$AT$1266,0))</f>
        <v/>
      </c>
      <c r="DE628">
        <f>INDEX('Data_Price '!AN$2:AN$1266,MATCH(Data!$DN628,'Data_Price '!$AT$2:$AT$1266,0))</f>
        <v/>
      </c>
      <c r="DF628">
        <f>INDEX('Data_Price '!AO$2:AO$1266,MATCH(Data!$DN628,'Data_Price '!$AT$2:$AT$1266,0))</f>
        <v/>
      </c>
      <c r="DG628">
        <f>INDEX('Data_Price '!AP$2:AP$1266,MATCH(Data!$DN628,'Data_Price '!$AT$2:$AT$1266,0))</f>
        <v/>
      </c>
      <c r="DH628">
        <f>INDEX('Data_Price '!AQ$2:AQ$1266,MATCH(Data!$DN628,'Data_Price '!$AT$2:$AT$1266,0))</f>
        <v/>
      </c>
      <c r="DI628">
        <f>INDEX('Data_Price '!AR$2:AR$1266,MATCH(Data!$DN628,'Data_Price '!$AT$2:$AT$1266,0))</f>
        <v/>
      </c>
      <c r="DJ628" s="138">
        <f>DA628</f>
        <v/>
      </c>
      <c r="DK628" s="138">
        <f>DE628</f>
        <v/>
      </c>
      <c r="DL628" s="138">
        <f>DI628</f>
        <v/>
      </c>
      <c r="DM628" s="303">
        <f>IF(LEFT(BT628,1)=" ",RIGHT(BT628,LEN(BT628)-1),BT628)</f>
        <v/>
      </c>
      <c r="DN628" s="138">
        <f>_xlfn.CONCAT(BS628,DM628,BU628,BV628)</f>
        <v/>
      </c>
      <c r="DO628" s="307" t="inlineStr">
        <is>
          <t>https://images.evo.com/imgp/250/197278/812047/salomon-qst-lumen-99-skis-women-s-2022-.jpg</t>
        </is>
      </c>
    </row>
    <row r="629" ht="15.6" customHeight="1" s="184">
      <c r="B629" s="303">
        <f t="array" ref="B629">IF(OR(ISERROR(K629:P629)),FALSE,TRUE)</f>
        <v/>
      </c>
      <c r="C629" s="60">
        <f>OR(BR629=Driver!$G$50,Data!BR718=Driver!$H$50)</f>
        <v/>
      </c>
      <c r="D629" s="60">
        <f>OR(BV629=Driver!$G$51,BV629=Driver!$H$51)</f>
        <v/>
      </c>
      <c r="E629" s="60">
        <f>AND(BX629&gt;Driver!$F$54,BX629&lt;Driver!$G$54)</f>
        <v/>
      </c>
      <c r="F629" s="60">
        <f>CL629&gt;Driver!$F$56</f>
        <v/>
      </c>
      <c r="G629" s="60">
        <f>AND(CB629&gt;Driver!$F$55,CB629&lt;Driver!$G$55)</f>
        <v/>
      </c>
      <c r="H629" s="60">
        <f>AND(B629:G629)</f>
        <v/>
      </c>
      <c r="I629" s="60">
        <f>COUNTIFS($H$9:$H$1273,TRUE,$BT$9:$BT$1273,BT629)</f>
        <v/>
      </c>
      <c r="J629" s="60">
        <f t="array" ref="J629">NOT(OR(($H$9:$H$1273=TRUE)*($I$9:$I$1273&gt;0)*($BT$9:$BT$1273=BT629)*($K$9:$K$1273&gt;K629)))</f>
        <v/>
      </c>
      <c r="K629" s="108">
        <f>IFERROR(1-AVERAGE(X629:Y629),"")</f>
        <v/>
      </c>
      <c r="L629" s="108">
        <f>1-X629</f>
        <v/>
      </c>
      <c r="M629" s="108">
        <f>1-Y629</f>
        <v/>
      </c>
      <c r="N629" s="108">
        <f>1-Z629</f>
        <v/>
      </c>
      <c r="O629" s="108">
        <f>1-AA629</f>
        <v/>
      </c>
      <c r="P629" s="108">
        <f>1-AB629</f>
        <v/>
      </c>
      <c r="Q629" s="108" t="n"/>
      <c r="R629" s="108" t="n"/>
      <c r="S629" s="108">
        <f>1-AE629</f>
        <v/>
      </c>
      <c r="T629" s="108">
        <f>1-AF629</f>
        <v/>
      </c>
      <c r="U629" s="108">
        <f>1-AG629</f>
        <v/>
      </c>
      <c r="V629" s="108">
        <f>1-AH629</f>
        <v/>
      </c>
      <c r="W629" s="108">
        <f>1-AI629</f>
        <v/>
      </c>
      <c r="X629" s="108">
        <f>ABS(AJ629-AJ$1)</f>
        <v/>
      </c>
      <c r="Y629" s="108">
        <f>AVERAGE(Z629:AB629)</f>
        <v/>
      </c>
      <c r="Z629" s="108">
        <f>ABS(AL629-AL$1)</f>
        <v/>
      </c>
      <c r="AA629" s="108">
        <f>ABS(AM629-AM$1)</f>
        <v/>
      </c>
      <c r="AB629" s="108">
        <f>ABS(AN629-AN$1)</f>
        <v/>
      </c>
      <c r="AC629" s="108" t="n"/>
      <c r="AD629" s="108" t="n"/>
      <c r="AE629" s="108">
        <f>ABS(AQ$1-AQ629)</f>
        <v/>
      </c>
      <c r="AF629" s="108">
        <f>ABS(AR$1-AR629)</f>
        <v/>
      </c>
      <c r="AG629" s="108">
        <f>ABS(AS$1-AS629)</f>
        <v/>
      </c>
      <c r="AH629" s="108">
        <f>ABS(AT$1-AT629)</f>
        <v/>
      </c>
      <c r="AI629" s="108">
        <f>ABS(AU$1-AU629)</f>
        <v/>
      </c>
      <c r="AJ629" s="108">
        <f>(AV629-Driver!$K$179)/(Driver!$L$179-Driver!$K$179)</f>
        <v/>
      </c>
      <c r="AK629" s="108">
        <f>(AW629-Driver!$K$180)/(Driver!$L$180-Driver!$K$180)</f>
        <v/>
      </c>
      <c r="AL629" s="108">
        <f>(AX629-Driver!$K$181)/(Driver!$L$181-Driver!$K$181)</f>
        <v/>
      </c>
      <c r="AM629" s="108">
        <f>(AY629-Driver!$K$182)/(Driver!$L$182-Driver!$K$182)</f>
        <v/>
      </c>
      <c r="AN629" s="108">
        <f>(AZ629-Driver!$K$183)/(Driver!$L$183-Driver!$K$183)</f>
        <v/>
      </c>
      <c r="AO629" s="108" t="n"/>
      <c r="AP629" s="108" t="n"/>
      <c r="AQ629" s="108">
        <f>(BC629-Driver!$K$188)/(Driver!$L$188-Driver!$K$188)</f>
        <v/>
      </c>
      <c r="AR629" s="108">
        <f>MIN((BD629-Driver!$K$189)/(Driver!$L$189-Driver!$K$189),100%)</f>
        <v/>
      </c>
      <c r="AS629" s="108">
        <f>(BE629-Driver!$K$190)/(Driver!$L$190-Driver!$K$190)</f>
        <v/>
      </c>
      <c r="AT629" s="108">
        <f>(BF629-Driver!$K$191)/(Driver!$L$191-Driver!$K$191)</f>
        <v/>
      </c>
      <c r="AU629" s="108">
        <f>(BG629-Driver!$K$192)/(Driver!$L$192-Driver!$K$192)</f>
        <v/>
      </c>
      <c r="AV629" s="105">
        <f>IFERROR(BM629*BJ629^1/4,"")</f>
        <v/>
      </c>
      <c r="AW629" s="105">
        <f>IFERROR(SUM(AX629:AZ629),"")</f>
        <v/>
      </c>
      <c r="AX629" s="105">
        <f>IFERROR(BH629,"")</f>
        <v/>
      </c>
      <c r="AY629" s="105">
        <f>IFERROR(Driver!$K$19/Data!BH629/Data!BI629*Data!BK629*Data!BL629,"")</f>
        <v/>
      </c>
      <c r="AZ629" s="105">
        <f>IFERROR(BI629*BN629,"")</f>
        <v/>
      </c>
      <c r="BA629" s="105" t="n"/>
      <c r="BB629" s="105" t="n"/>
      <c r="BC629" s="105">
        <f>IFERROR(BI629*BN629*BK629/BJ629^(1/2),"")</f>
        <v/>
      </c>
      <c r="BD629" s="105">
        <f>IFERROR(BH629*BM629*BL629/BJ629/BK629,"")</f>
        <v/>
      </c>
      <c r="BE629" s="105">
        <f>IFERROR(MIN(BI629/BQ629/BP629/BO629/BH629,$BE$1),"")</f>
        <v/>
      </c>
      <c r="BF629" s="105">
        <f>IFERROR(BJ629*BO629*BP629/BK629,"")</f>
        <v/>
      </c>
      <c r="BG629" s="105">
        <f>IFERROR(1/BM629/BH629*BQ629,"")</f>
        <v/>
      </c>
      <c r="BH629" s="102">
        <f>MAX((CE629-Driver!$F$200)/(Driver!$G$200-Driver!$F$200)*$BI$1,1)</f>
        <v/>
      </c>
      <c r="BI629" s="102">
        <f>MAX($BI$1*(BY629-Driver!$F$201)/(Driver!$G$201-Driver!$F$201),1)</f>
        <v/>
      </c>
      <c r="BJ629" s="102">
        <f>(CB629-Driver!$F$206)/(Driver!$G$206-Driver!$F$206)*$BI$1</f>
        <v/>
      </c>
      <c r="BK629" s="102">
        <f>(CD629-Driver!$F$203)/(Driver!$G$203-Driver!$F$203)*$BI$1</f>
        <v/>
      </c>
      <c r="BL629" s="102">
        <f>MAX((CR629-Driver!$F$202)/(Driver!$G$202-Driver!$F$202)*$BI$1,1)</f>
        <v/>
      </c>
      <c r="BM629" s="102">
        <f>MAX((CH629-Driver!$F$204)/(Driver!$G$204-Driver!$F$204)*$BI$1,1)</f>
        <v/>
      </c>
      <c r="BN629" s="102">
        <f>(CI629-Driver!$F$205)/(Driver!$G$205-Driver!$F$205)*$BI$1</f>
        <v/>
      </c>
      <c r="BO629" s="102">
        <f>(CK629-Driver!$F$207)/(Driver!$G$207-Driver!$F$207)*$BI$1</f>
        <v/>
      </c>
      <c r="BP629" s="102">
        <f>(CM629-Driver!$F$208)/(Driver!$G$208-Driver!$F$208)*$BI$1</f>
        <v/>
      </c>
      <c r="BQ629" s="102">
        <f>(CL629-Driver!$F$209)/(Driver!$G$209-Driver!$F$209)*$BI$1</f>
        <v/>
      </c>
      <c r="BR629" s="40" t="inlineStr">
        <is>
          <t>21/22</t>
        </is>
      </c>
      <c r="BS629" s="10" t="inlineStr">
        <is>
          <t xml:space="preserve"> K2</t>
        </is>
      </c>
      <c r="BT629" s="11" t="inlineStr">
        <is>
          <t>Mindbender 108 Ti</t>
        </is>
      </c>
      <c r="BU629" s="13" t="n">
        <v>179</v>
      </c>
      <c r="BV629" s="11" t="inlineStr">
        <is>
          <t xml:space="preserve"> Unisex</t>
        </is>
      </c>
      <c r="BW629" s="13" t="n">
        <v>179</v>
      </c>
      <c r="BX629" s="13" t="n">
        <v>179.1</v>
      </c>
      <c r="BY629" s="13" t="n">
        <v>111</v>
      </c>
      <c r="BZ629" s="13" t="n">
        <v>143</v>
      </c>
      <c r="CA629" s="13" t="n">
        <v>136</v>
      </c>
      <c r="CB629" s="13" t="n">
        <v>107</v>
      </c>
      <c r="CC629" s="13" t="n">
        <v>124</v>
      </c>
      <c r="CD629" s="13" t="n">
        <v>21</v>
      </c>
      <c r="CE629" s="13" t="n">
        <v>1958</v>
      </c>
      <c r="CF629" s="13" t="n">
        <v>1.06</v>
      </c>
      <c r="CG629" s="13" t="n">
        <v>2083</v>
      </c>
      <c r="CH629" s="13" t="n">
        <v>210</v>
      </c>
      <c r="CI629" s="13" t="n">
        <v>142</v>
      </c>
      <c r="CJ629" s="13" t="n">
        <v>47</v>
      </c>
      <c r="CK629" s="13" t="n">
        <v>398</v>
      </c>
      <c r="CL629" s="13" t="n">
        <v>24</v>
      </c>
      <c r="CM629" s="13" t="n">
        <v>279</v>
      </c>
      <c r="CN629" s="13" t="n">
        <v>0.523</v>
      </c>
      <c r="CO629" s="13" t="n">
        <v>183</v>
      </c>
      <c r="CP629" s="13" t="n">
        <v>175</v>
      </c>
      <c r="CQ629" s="13" t="n">
        <v>216</v>
      </c>
      <c r="CR629" s="13" t="n">
        <v>5</v>
      </c>
      <c r="CS629" s="13" t="n">
        <v>10</v>
      </c>
      <c r="CT629" s="11" t="inlineStr">
        <is>
          <t xml:space="preserve"> Powder</t>
        </is>
      </c>
      <c r="CU629" s="11" t="inlineStr">
        <is>
          <t xml:space="preserve"> Touring</t>
        </is>
      </c>
      <c r="CV629" s="13" t="n"/>
      <c r="CW629" s="13" t="n"/>
      <c r="CX629">
        <f>INDEX('Data_Price '!AG$2:AG$1266,MATCH(Data!$DN629,'Data_Price '!$AT$2:$AT$1266,0))</f>
        <v/>
      </c>
      <c r="CY629">
        <f>INDEX('Data_Price '!AH$2:AH$1266,MATCH(Data!$DN629,'Data_Price '!$AT$2:$AT$1266,0))</f>
        <v/>
      </c>
      <c r="CZ629">
        <f>INDEX('Data_Price '!AI$2:AI$1266,MATCH(Data!$DN629,'Data_Price '!$AT$2:$AT$1266,0))</f>
        <v/>
      </c>
      <c r="DA629">
        <f>INDEX('Data_Price '!AJ$2:AJ$1266,MATCH(Data!$DN629,'Data_Price '!$AT$2:$AT$1266,0))</f>
        <v/>
      </c>
      <c r="DB629">
        <f>INDEX('Data_Price '!AK$2:AK$1266,MATCH(Data!$DN629,'Data_Price '!$AT$2:$AT$1266,0))</f>
        <v/>
      </c>
      <c r="DC629">
        <f>INDEX('Data_Price '!AL$2:AL$1266,MATCH(Data!$DN629,'Data_Price '!$AT$2:$AT$1266,0))</f>
        <v/>
      </c>
      <c r="DD629">
        <f>INDEX('Data_Price '!AM$2:AM$1266,MATCH(Data!$DN629,'Data_Price '!$AT$2:$AT$1266,0))</f>
        <v/>
      </c>
      <c r="DE629">
        <f>INDEX('Data_Price '!AN$2:AN$1266,MATCH(Data!$DN629,'Data_Price '!$AT$2:$AT$1266,0))</f>
        <v/>
      </c>
      <c r="DF629">
        <f>INDEX('Data_Price '!AO$2:AO$1266,MATCH(Data!$DN629,'Data_Price '!$AT$2:$AT$1266,0))</f>
        <v/>
      </c>
      <c r="DG629">
        <f>INDEX('Data_Price '!AP$2:AP$1266,MATCH(Data!$DN629,'Data_Price '!$AT$2:$AT$1266,0))</f>
        <v/>
      </c>
      <c r="DH629">
        <f>INDEX('Data_Price '!AQ$2:AQ$1266,MATCH(Data!$DN629,'Data_Price '!$AT$2:$AT$1266,0))</f>
        <v/>
      </c>
      <c r="DI629">
        <f>INDEX('Data_Price '!AR$2:AR$1266,MATCH(Data!$DN629,'Data_Price '!$AT$2:$AT$1266,0))</f>
        <v/>
      </c>
      <c r="DJ629" s="138">
        <f>DA629</f>
        <v/>
      </c>
      <c r="DK629" s="138">
        <f>DE629</f>
        <v/>
      </c>
      <c r="DL629" s="138">
        <f>DI629</f>
        <v/>
      </c>
      <c r="DM629" s="303">
        <f>IF(LEFT(BT629,1)=" ",RIGHT(BT629,LEN(BT629)-1),BT629)</f>
        <v/>
      </c>
      <c r="DN629" s="138">
        <f>_xlfn.CONCAT(BS629,DM629,BU629,BV629)</f>
        <v/>
      </c>
      <c r="DO629" s="307" t="inlineStr">
        <is>
          <t>https://images.evo.com/imgp/250/221663/904226/k2-mindbender-108-ti-skis-2023-.jpg</t>
        </is>
      </c>
    </row>
    <row r="630" ht="15.6" customHeight="1" s="184">
      <c r="B630" s="303">
        <f t="array" ref="B630">IF(OR(ISERROR(K630:P630)),FALSE,TRUE)</f>
        <v/>
      </c>
      <c r="C630" s="60">
        <f>OR(BR630=Driver!$G$50,Data!BR778=Driver!$H$50)</f>
        <v/>
      </c>
      <c r="D630" s="60">
        <f>OR(BV630=Driver!$G$51,BV630=Driver!$H$51)</f>
        <v/>
      </c>
      <c r="E630" s="60">
        <f>AND(BX630&gt;Driver!$F$54,BX630&lt;Driver!$G$54)</f>
        <v/>
      </c>
      <c r="F630" s="60">
        <f>CL630&gt;Driver!$F$56</f>
        <v/>
      </c>
      <c r="G630" s="60">
        <f>AND(CB630&gt;Driver!$F$55,CB630&lt;Driver!$G$55)</f>
        <v/>
      </c>
      <c r="H630" s="60">
        <f>AND(B630:G630)</f>
        <v/>
      </c>
      <c r="I630" s="60">
        <f>COUNTIFS($H$9:$H$1273,TRUE,$BT$9:$BT$1273,BT630)</f>
        <v/>
      </c>
      <c r="J630" s="60">
        <f t="array" ref="J630">NOT(OR(($H$9:$H$1273=TRUE)*($I$9:$I$1273&gt;0)*($BT$9:$BT$1273=BT630)*($K$9:$K$1273&gt;K630)))</f>
        <v/>
      </c>
      <c r="K630" s="108">
        <f>IFERROR(1-AVERAGE(X630:Y630),"")</f>
        <v/>
      </c>
      <c r="L630" s="108">
        <f>1-X630</f>
        <v/>
      </c>
      <c r="M630" s="108">
        <f>1-Y630</f>
        <v/>
      </c>
      <c r="N630" s="108">
        <f>1-Z630</f>
        <v/>
      </c>
      <c r="O630" s="108">
        <f>1-AA630</f>
        <v/>
      </c>
      <c r="P630" s="108">
        <f>1-AB630</f>
        <v/>
      </c>
      <c r="Q630" s="108" t="n"/>
      <c r="R630" s="108" t="n"/>
      <c r="S630" s="108">
        <f>1-AE630</f>
        <v/>
      </c>
      <c r="T630" s="108">
        <f>1-AF630</f>
        <v/>
      </c>
      <c r="U630" s="108">
        <f>1-AG630</f>
        <v/>
      </c>
      <c r="V630" s="108">
        <f>1-AH630</f>
        <v/>
      </c>
      <c r="W630" s="108">
        <f>1-AI630</f>
        <v/>
      </c>
      <c r="X630" s="108">
        <f>ABS(AJ630-AJ$1)</f>
        <v/>
      </c>
      <c r="Y630" s="108">
        <f>AVERAGE(Z630:AB630)</f>
        <v/>
      </c>
      <c r="Z630" s="108">
        <f>ABS(AL630-AL$1)</f>
        <v/>
      </c>
      <c r="AA630" s="108">
        <f>ABS(AM630-AM$1)</f>
        <v/>
      </c>
      <c r="AB630" s="108">
        <f>ABS(AN630-AN$1)</f>
        <v/>
      </c>
      <c r="AC630" s="108" t="n"/>
      <c r="AD630" s="108" t="n"/>
      <c r="AE630" s="108">
        <f>ABS(AQ$1-AQ630)</f>
        <v/>
      </c>
      <c r="AF630" s="108">
        <f>ABS(AR$1-AR630)</f>
        <v/>
      </c>
      <c r="AG630" s="108">
        <f>ABS(AS$1-AS630)</f>
        <v/>
      </c>
      <c r="AH630" s="108">
        <f>ABS(AT$1-AT630)</f>
        <v/>
      </c>
      <c r="AI630" s="108">
        <f>ABS(AU$1-AU630)</f>
        <v/>
      </c>
      <c r="AJ630" s="108">
        <f>(AV630-Driver!$K$179)/(Driver!$L$179-Driver!$K$179)</f>
        <v/>
      </c>
      <c r="AK630" s="108">
        <f>(AW630-Driver!$K$180)/(Driver!$L$180-Driver!$K$180)</f>
        <v/>
      </c>
      <c r="AL630" s="108">
        <f>(AX630-Driver!$K$181)/(Driver!$L$181-Driver!$K$181)</f>
        <v/>
      </c>
      <c r="AM630" s="108">
        <f>(AY630-Driver!$K$182)/(Driver!$L$182-Driver!$K$182)</f>
        <v/>
      </c>
      <c r="AN630" s="108">
        <f>(AZ630-Driver!$K$183)/(Driver!$L$183-Driver!$K$183)</f>
        <v/>
      </c>
      <c r="AO630" s="108" t="n"/>
      <c r="AP630" s="108" t="n"/>
      <c r="AQ630" s="108">
        <f>(BC630-Driver!$K$188)/(Driver!$L$188-Driver!$K$188)</f>
        <v/>
      </c>
      <c r="AR630" s="108">
        <f>MIN((BD630-Driver!$K$189)/(Driver!$L$189-Driver!$K$189),100%)</f>
        <v/>
      </c>
      <c r="AS630" s="108">
        <f>(BE630-Driver!$K$190)/(Driver!$L$190-Driver!$K$190)</f>
        <v/>
      </c>
      <c r="AT630" s="108">
        <f>(BF630-Driver!$K$191)/(Driver!$L$191-Driver!$K$191)</f>
        <v/>
      </c>
      <c r="AU630" s="108">
        <f>(BG630-Driver!$K$192)/(Driver!$L$192-Driver!$K$192)</f>
        <v/>
      </c>
      <c r="AV630" s="105">
        <f>IFERROR(BM630*BJ630^1/4,"")</f>
        <v/>
      </c>
      <c r="AW630" s="105">
        <f>IFERROR(SUM(AX630:AZ630),"")</f>
        <v/>
      </c>
      <c r="AX630" s="105">
        <f>IFERROR(BH630,"")</f>
        <v/>
      </c>
      <c r="AY630" s="105">
        <f>IFERROR(Driver!$K$19/Data!BH630/Data!BI630*Data!BK630*Data!BL630,"")</f>
        <v/>
      </c>
      <c r="AZ630" s="105">
        <f>IFERROR(BI630*BN630,"")</f>
        <v/>
      </c>
      <c r="BA630" s="105" t="n"/>
      <c r="BB630" s="105" t="n"/>
      <c r="BC630" s="105">
        <f>IFERROR(BI630*BN630*BK630/BJ630^(1/2),"")</f>
        <v/>
      </c>
      <c r="BD630" s="105">
        <f>IFERROR(BH630*BM630*BL630/BJ630/BK630,"")</f>
        <v/>
      </c>
      <c r="BE630" s="105">
        <f>IFERROR(MIN(BI630/BQ630/BP630/BO630/BH630,$BE$1),"")</f>
        <v/>
      </c>
      <c r="BF630" s="105">
        <f>IFERROR(BJ630*BO630*BP630/BK630,"")</f>
        <v/>
      </c>
      <c r="BG630" s="105">
        <f>IFERROR(1/BM630/BH630*BQ630,"")</f>
        <v/>
      </c>
      <c r="BH630" s="102">
        <f>MAX((CE630-Driver!$F$200)/(Driver!$G$200-Driver!$F$200)*$BI$1,1)</f>
        <v/>
      </c>
      <c r="BI630" s="102">
        <f>MAX($BI$1*(BY630-Driver!$F$201)/(Driver!$G$201-Driver!$F$201),1)</f>
        <v/>
      </c>
      <c r="BJ630" s="102">
        <f>(CB630-Driver!$F$206)/(Driver!$G$206-Driver!$F$206)*$BI$1</f>
        <v/>
      </c>
      <c r="BK630" s="102">
        <f>(CD630-Driver!$F$203)/(Driver!$G$203-Driver!$F$203)*$BI$1</f>
        <v/>
      </c>
      <c r="BL630" s="102">
        <f>MAX((CR630-Driver!$F$202)/(Driver!$G$202-Driver!$F$202)*$BI$1,1)</f>
        <v/>
      </c>
      <c r="BM630" s="102">
        <f>MAX((CH630-Driver!$F$204)/(Driver!$G$204-Driver!$F$204)*$BI$1,1)</f>
        <v/>
      </c>
      <c r="BN630" s="102">
        <f>(CI630-Driver!$F$205)/(Driver!$G$205-Driver!$F$205)*$BI$1</f>
        <v/>
      </c>
      <c r="BO630" s="102">
        <f>(CK630-Driver!$F$207)/(Driver!$G$207-Driver!$F$207)*$BI$1</f>
        <v/>
      </c>
      <c r="BP630" s="102">
        <f>(CM630-Driver!$F$208)/(Driver!$G$208-Driver!$F$208)*$BI$1</f>
        <v/>
      </c>
      <c r="BQ630" s="102">
        <f>(CL630-Driver!$F$209)/(Driver!$G$209-Driver!$F$209)*$BI$1</f>
        <v/>
      </c>
      <c r="BR630" s="40" t="inlineStr">
        <is>
          <t>21/22</t>
        </is>
      </c>
      <c r="BS630" s="10" t="inlineStr">
        <is>
          <t xml:space="preserve"> K2</t>
        </is>
      </c>
      <c r="BT630" s="11" t="inlineStr">
        <is>
          <t xml:space="preserve"> Sight</t>
        </is>
      </c>
      <c r="BU630" s="13" t="n">
        <v>159</v>
      </c>
      <c r="BV630" s="11" t="inlineStr">
        <is>
          <t xml:space="preserve"> Unisex</t>
        </is>
      </c>
      <c r="BW630" s="13" t="n">
        <v>159</v>
      </c>
      <c r="BX630" s="13" t="n">
        <v>159.9</v>
      </c>
      <c r="BY630" s="13" t="n">
        <v>123</v>
      </c>
      <c r="BZ630" s="13" t="n">
        <v>128</v>
      </c>
      <c r="CA630" s="13" t="n">
        <v>116</v>
      </c>
      <c r="CB630" s="13" t="n">
        <v>87</v>
      </c>
      <c r="CC630" s="13" t="n">
        <v>110</v>
      </c>
      <c r="CD630" s="13" t="n">
        <v>14.4</v>
      </c>
      <c r="CE630" s="13" t="n">
        <v>1658</v>
      </c>
      <c r="CF630" s="13" t="n">
        <v>0.9399999999999999</v>
      </c>
      <c r="CG630" s="13" t="n">
        <v>1557</v>
      </c>
      <c r="CH630" s="13" t="n">
        <v>154</v>
      </c>
      <c r="CI630" s="13" t="n">
        <v>78</v>
      </c>
      <c r="CJ630" s="13" t="n">
        <v>46</v>
      </c>
      <c r="CK630" s="13" t="n">
        <v>181</v>
      </c>
      <c r="CL630" s="13" t="n">
        <v>44</v>
      </c>
      <c r="CM630" s="13" t="n">
        <v>189</v>
      </c>
      <c r="CN630" s="13" t="n">
        <v>0.951</v>
      </c>
      <c r="CO630" s="13" t="n">
        <v>162</v>
      </c>
      <c r="CP630" s="13" t="n">
        <v>159</v>
      </c>
      <c r="CQ630" s="13" t="n">
        <v>19</v>
      </c>
      <c r="CR630" s="13" t="n">
        <v>7</v>
      </c>
      <c r="CS630" s="13" t="n">
        <v>3.7</v>
      </c>
      <c r="CT630" s="11" t="inlineStr">
        <is>
          <t xml:space="preserve"> Freeski</t>
        </is>
      </c>
      <c r="CU630" s="13" t="n"/>
      <c r="CV630" s="13" t="n"/>
      <c r="CW630" s="13" t="n"/>
      <c r="CX630">
        <f>INDEX('Data_Price '!AG$2:AG$1266,MATCH(Data!$DN630,'Data_Price '!$AT$2:$AT$1266,0))</f>
        <v/>
      </c>
      <c r="CY630">
        <f>INDEX('Data_Price '!AH$2:AH$1266,MATCH(Data!$DN630,'Data_Price '!$AT$2:$AT$1266,0))</f>
        <v/>
      </c>
      <c r="CZ630">
        <f>INDEX('Data_Price '!AI$2:AI$1266,MATCH(Data!$DN630,'Data_Price '!$AT$2:$AT$1266,0))</f>
        <v/>
      </c>
      <c r="DA630">
        <f>INDEX('Data_Price '!AJ$2:AJ$1266,MATCH(Data!$DN630,'Data_Price '!$AT$2:$AT$1266,0))</f>
        <v/>
      </c>
      <c r="DB630">
        <f>INDEX('Data_Price '!AK$2:AK$1266,MATCH(Data!$DN630,'Data_Price '!$AT$2:$AT$1266,0))</f>
        <v/>
      </c>
      <c r="DC630">
        <f>INDEX('Data_Price '!AL$2:AL$1266,MATCH(Data!$DN630,'Data_Price '!$AT$2:$AT$1266,0))</f>
        <v/>
      </c>
      <c r="DD630">
        <f>INDEX('Data_Price '!AM$2:AM$1266,MATCH(Data!$DN630,'Data_Price '!$AT$2:$AT$1266,0))</f>
        <v/>
      </c>
      <c r="DE630">
        <f>INDEX('Data_Price '!AN$2:AN$1266,MATCH(Data!$DN630,'Data_Price '!$AT$2:$AT$1266,0))</f>
        <v/>
      </c>
      <c r="DF630">
        <f>INDEX('Data_Price '!AO$2:AO$1266,MATCH(Data!$DN630,'Data_Price '!$AT$2:$AT$1266,0))</f>
        <v/>
      </c>
      <c r="DG630">
        <f>INDEX('Data_Price '!AP$2:AP$1266,MATCH(Data!$DN630,'Data_Price '!$AT$2:$AT$1266,0))</f>
        <v/>
      </c>
      <c r="DH630">
        <f>INDEX('Data_Price '!AQ$2:AQ$1266,MATCH(Data!$DN630,'Data_Price '!$AT$2:$AT$1266,0))</f>
        <v/>
      </c>
      <c r="DI630">
        <f>INDEX('Data_Price '!AR$2:AR$1266,MATCH(Data!$DN630,'Data_Price '!$AT$2:$AT$1266,0))</f>
        <v/>
      </c>
      <c r="DJ630" s="138">
        <f>DA630</f>
        <v/>
      </c>
      <c r="DK630" s="138">
        <f>DE630</f>
        <v/>
      </c>
      <c r="DL630" s="138">
        <f>DI630</f>
        <v/>
      </c>
      <c r="DM630" s="303">
        <f>IF(LEFT(BT630,1)=" ",RIGHT(BT630,LEN(BT630)-1),BT630)</f>
        <v/>
      </c>
      <c r="DN630" s="138">
        <f>_xlfn.CONCAT(BS630,DM630,BU630,BV630)</f>
        <v/>
      </c>
      <c r="DO630" s="307" t="inlineStr">
        <is>
          <t>https://images.evo.com/imgp/250/201071/825172/k2-sight-skis-2022-.jpg</t>
        </is>
      </c>
    </row>
    <row r="631" ht="15.6" customHeight="1" s="184">
      <c r="B631" s="303">
        <f t="array" ref="B631">IF(OR(ISERROR(K631:P631)),FALSE,TRUE)</f>
        <v/>
      </c>
      <c r="C631" s="60">
        <f>OR(BR631=Driver!$G$50,Data!BR438=Driver!$H$50)</f>
        <v/>
      </c>
      <c r="D631" s="60">
        <f>OR(BV631=Driver!$G$51,BV631=Driver!$H$51)</f>
        <v/>
      </c>
      <c r="E631" s="60">
        <f>AND(BX631&gt;Driver!$F$54,BX631&lt;Driver!$G$54)</f>
        <v/>
      </c>
      <c r="F631" s="60">
        <f>CL631&gt;Driver!$F$56</f>
        <v/>
      </c>
      <c r="G631" s="60">
        <f>AND(CB631&gt;Driver!$F$55,CB631&lt;Driver!$G$55)</f>
        <v/>
      </c>
      <c r="H631" s="60">
        <f>AND(B631:G631)</f>
        <v/>
      </c>
      <c r="I631" s="60">
        <f>COUNTIFS($H$9:$H$1273,TRUE,$BT$9:$BT$1273,BT631)</f>
        <v/>
      </c>
      <c r="J631" s="60">
        <f t="array" ref="J631">NOT(OR(($H$9:$H$1273=TRUE)*($I$9:$I$1273&gt;0)*($BT$9:$BT$1273=BT631)*($K$9:$K$1273&gt;K631)))</f>
        <v/>
      </c>
      <c r="K631" s="108">
        <f>IFERROR(1-AVERAGE(X631:Y631),"")</f>
        <v/>
      </c>
      <c r="L631" s="108">
        <f>1-X631</f>
        <v/>
      </c>
      <c r="M631" s="108">
        <f>1-Y631</f>
        <v/>
      </c>
      <c r="N631" s="108">
        <f>1-Z631</f>
        <v/>
      </c>
      <c r="O631" s="108">
        <f>1-AA631</f>
        <v/>
      </c>
      <c r="P631" s="108">
        <f>1-AB631</f>
        <v/>
      </c>
      <c r="Q631" s="108" t="n"/>
      <c r="R631" s="108" t="n"/>
      <c r="S631" s="108">
        <f>1-AE631</f>
        <v/>
      </c>
      <c r="T631" s="108">
        <f>1-AF631</f>
        <v/>
      </c>
      <c r="U631" s="108">
        <f>1-AG631</f>
        <v/>
      </c>
      <c r="V631" s="108">
        <f>1-AH631</f>
        <v/>
      </c>
      <c r="W631" s="108">
        <f>1-AI631</f>
        <v/>
      </c>
      <c r="X631" s="108">
        <f>ABS(AJ631-AJ$1)</f>
        <v/>
      </c>
      <c r="Y631" s="108">
        <f>AVERAGE(Z631:AB631)</f>
        <v/>
      </c>
      <c r="Z631" s="108">
        <f>ABS(AL631-AL$1)</f>
        <v/>
      </c>
      <c r="AA631" s="108">
        <f>ABS(AM631-AM$1)</f>
        <v/>
      </c>
      <c r="AB631" s="108">
        <f>ABS(AN631-AN$1)</f>
        <v/>
      </c>
      <c r="AC631" s="108" t="n"/>
      <c r="AD631" s="108" t="n"/>
      <c r="AE631" s="108">
        <f>ABS(AQ$1-AQ631)</f>
        <v/>
      </c>
      <c r="AF631" s="108">
        <f>ABS(AR$1-AR631)</f>
        <v/>
      </c>
      <c r="AG631" s="108">
        <f>ABS(AS$1-AS631)</f>
        <v/>
      </c>
      <c r="AH631" s="108">
        <f>ABS(AT$1-AT631)</f>
        <v/>
      </c>
      <c r="AI631" s="108">
        <f>ABS(AU$1-AU631)</f>
        <v/>
      </c>
      <c r="AJ631" s="108">
        <f>(AV631-Driver!$K$179)/(Driver!$L$179-Driver!$K$179)</f>
        <v/>
      </c>
      <c r="AK631" s="108">
        <f>(AW631-Driver!$K$180)/(Driver!$L$180-Driver!$K$180)</f>
        <v/>
      </c>
      <c r="AL631" s="108">
        <f>(AX631-Driver!$K$181)/(Driver!$L$181-Driver!$K$181)</f>
        <v/>
      </c>
      <c r="AM631" s="108">
        <f>(AY631-Driver!$K$182)/(Driver!$L$182-Driver!$K$182)</f>
        <v/>
      </c>
      <c r="AN631" s="108">
        <f>(AZ631-Driver!$K$183)/(Driver!$L$183-Driver!$K$183)</f>
        <v/>
      </c>
      <c r="AO631" s="108" t="n"/>
      <c r="AP631" s="108" t="n"/>
      <c r="AQ631" s="108">
        <f>(BC631-Driver!$K$188)/(Driver!$L$188-Driver!$K$188)</f>
        <v/>
      </c>
      <c r="AR631" s="108">
        <f>MIN((BD631-Driver!$K$189)/(Driver!$L$189-Driver!$K$189),100%)</f>
        <v/>
      </c>
      <c r="AS631" s="108">
        <f>(BE631-Driver!$K$190)/(Driver!$L$190-Driver!$K$190)</f>
        <v/>
      </c>
      <c r="AT631" s="108">
        <f>(BF631-Driver!$K$191)/(Driver!$L$191-Driver!$K$191)</f>
        <v/>
      </c>
      <c r="AU631" s="108">
        <f>(BG631-Driver!$K$192)/(Driver!$L$192-Driver!$K$192)</f>
        <v/>
      </c>
      <c r="AV631" s="105">
        <f>IFERROR(BM631*BJ631^1/4,"")</f>
        <v/>
      </c>
      <c r="AW631" s="105">
        <f>IFERROR(SUM(AX631:AZ631),"")</f>
        <v/>
      </c>
      <c r="AX631" s="105">
        <f>IFERROR(BH631,"")</f>
        <v/>
      </c>
      <c r="AY631" s="105">
        <f>IFERROR(Driver!$K$19/Data!BH631/Data!BI631*Data!BK631*Data!BL631,"")</f>
        <v/>
      </c>
      <c r="AZ631" s="105">
        <f>IFERROR(BI631*BN631,"")</f>
        <v/>
      </c>
      <c r="BA631" s="105" t="n"/>
      <c r="BB631" s="105" t="n"/>
      <c r="BC631" s="105">
        <f>IFERROR(BI631*BN631*BK631/BJ631^(1/2),"")</f>
        <v/>
      </c>
      <c r="BD631" s="105">
        <f>IFERROR(BH631*BM631*BL631/BJ631/BK631,"")</f>
        <v/>
      </c>
      <c r="BE631" s="105">
        <f>IFERROR(MIN(BI631/BQ631/BP631/BO631/BH631,$BE$1),"")</f>
        <v/>
      </c>
      <c r="BF631" s="105">
        <f>IFERROR(BJ631*BO631*BP631/BK631,"")</f>
        <v/>
      </c>
      <c r="BG631" s="105">
        <f>IFERROR(1/BM631/BH631*BQ631,"")</f>
        <v/>
      </c>
      <c r="BH631" s="102">
        <f>MAX((CE631-Driver!$F$200)/(Driver!$G$200-Driver!$F$200)*$BI$1,1)</f>
        <v/>
      </c>
      <c r="BI631" s="102">
        <f>MAX($BI$1*(BY631-Driver!$F$201)/(Driver!$G$201-Driver!$F$201),1)</f>
        <v/>
      </c>
      <c r="BJ631" s="102">
        <f>(CB631-Driver!$F$206)/(Driver!$G$206-Driver!$F$206)*$BI$1</f>
        <v/>
      </c>
      <c r="BK631" s="102">
        <f>(CD631-Driver!$F$203)/(Driver!$G$203-Driver!$F$203)*$BI$1</f>
        <v/>
      </c>
      <c r="BL631" s="102">
        <f>MAX((CR631-Driver!$F$202)/(Driver!$G$202-Driver!$F$202)*$BI$1,1)</f>
        <v/>
      </c>
      <c r="BM631" s="102">
        <f>MAX((CH631-Driver!$F$204)/(Driver!$G$204-Driver!$F$204)*$BI$1,1)</f>
        <v/>
      </c>
      <c r="BN631" s="102">
        <f>(CI631-Driver!$F$205)/(Driver!$G$205-Driver!$F$205)*$BI$1</f>
        <v/>
      </c>
      <c r="BO631" s="102">
        <f>(CK631-Driver!$F$207)/(Driver!$G$207-Driver!$F$207)*$BI$1</f>
        <v/>
      </c>
      <c r="BP631" s="102">
        <f>(CM631-Driver!$F$208)/(Driver!$G$208-Driver!$F$208)*$BI$1</f>
        <v/>
      </c>
      <c r="BQ631" s="102">
        <f>(CL631-Driver!$F$209)/(Driver!$G$209-Driver!$F$209)*$BI$1</f>
        <v/>
      </c>
      <c r="BR631" s="40" t="inlineStr">
        <is>
          <t>21/22</t>
        </is>
      </c>
      <c r="BS631" s="10" t="inlineStr">
        <is>
          <t xml:space="preserve"> Elan</t>
        </is>
      </c>
      <c r="BT631" s="11" t="inlineStr">
        <is>
          <t>Insomnia 14 Ti</t>
        </is>
      </c>
      <c r="BU631" s="13" t="n">
        <v>158</v>
      </c>
      <c r="BV631" s="11" t="inlineStr">
        <is>
          <t xml:space="preserve"> Women's</t>
        </is>
      </c>
      <c r="BW631" s="13" t="n">
        <v>158</v>
      </c>
      <c r="BX631" s="13" t="n">
        <v>159.1</v>
      </c>
      <c r="BY631" s="13" t="n">
        <v>138</v>
      </c>
      <c r="BZ631" s="13" t="n">
        <v>144</v>
      </c>
      <c r="CA631" s="13" t="n">
        <v>125</v>
      </c>
      <c r="CB631" s="13" t="n">
        <v>76</v>
      </c>
      <c r="CC631" s="13" t="n">
        <v>105</v>
      </c>
      <c r="CD631" s="13" t="n">
        <v>13.1</v>
      </c>
      <c r="CE631" s="13" t="n">
        <v>1773</v>
      </c>
      <c r="CF631" s="13" t="n">
        <v>0.82</v>
      </c>
      <c r="CG631" s="13" t="n">
        <v>1451</v>
      </c>
      <c r="CH631" s="13" t="n">
        <v>182</v>
      </c>
      <c r="CI631" s="13" t="n">
        <v>79</v>
      </c>
      <c r="CJ631" s="13" t="n">
        <v>32</v>
      </c>
      <c r="CK631" s="13" t="n">
        <v>140</v>
      </c>
      <c r="CL631" s="13" t="n">
        <v>10</v>
      </c>
      <c r="CM631" s="13" t="n">
        <v>69</v>
      </c>
      <c r="CN631" s="13" t="n">
        <v>0.302</v>
      </c>
      <c r="CO631" s="13" t="n">
        <v>92</v>
      </c>
      <c r="CP631" s="13" t="n">
        <v>62</v>
      </c>
      <c r="CQ631" s="13" t="n">
        <v>48</v>
      </c>
      <c r="CR631" s="13" t="n">
        <v>10</v>
      </c>
      <c r="CS631" s="13" t="n">
        <v>8.699999999999999</v>
      </c>
      <c r="CT631" s="11" t="inlineStr">
        <is>
          <t xml:space="preserve"> On-Piste Carving</t>
        </is>
      </c>
      <c r="CU631" s="13" t="n"/>
      <c r="CV631" s="13" t="n"/>
      <c r="CW631" s="13" t="n"/>
      <c r="CX631">
        <f>INDEX('Data_Price '!AG$2:AG$1266,MATCH(Data!$DN631,'Data_Price '!$AT$2:$AT$1266,0))</f>
        <v/>
      </c>
      <c r="CY631">
        <f>INDEX('Data_Price '!AH$2:AH$1266,MATCH(Data!$DN631,'Data_Price '!$AT$2:$AT$1266,0))</f>
        <v/>
      </c>
      <c r="CZ631">
        <f>INDEX('Data_Price '!AI$2:AI$1266,MATCH(Data!$DN631,'Data_Price '!$AT$2:$AT$1266,0))</f>
        <v/>
      </c>
      <c r="DA631">
        <f>INDEX('Data_Price '!AJ$2:AJ$1266,MATCH(Data!$DN631,'Data_Price '!$AT$2:$AT$1266,0))</f>
        <v/>
      </c>
      <c r="DB631">
        <f>INDEX('Data_Price '!AK$2:AK$1266,MATCH(Data!$DN631,'Data_Price '!$AT$2:$AT$1266,0))</f>
        <v/>
      </c>
      <c r="DC631">
        <f>INDEX('Data_Price '!AL$2:AL$1266,MATCH(Data!$DN631,'Data_Price '!$AT$2:$AT$1266,0))</f>
        <v/>
      </c>
      <c r="DD631">
        <f>INDEX('Data_Price '!AM$2:AM$1266,MATCH(Data!$DN631,'Data_Price '!$AT$2:$AT$1266,0))</f>
        <v/>
      </c>
      <c r="DE631">
        <f>INDEX('Data_Price '!AN$2:AN$1266,MATCH(Data!$DN631,'Data_Price '!$AT$2:$AT$1266,0))</f>
        <v/>
      </c>
      <c r="DF631">
        <f>INDEX('Data_Price '!AO$2:AO$1266,MATCH(Data!$DN631,'Data_Price '!$AT$2:$AT$1266,0))</f>
        <v/>
      </c>
      <c r="DG631">
        <f>INDEX('Data_Price '!AP$2:AP$1266,MATCH(Data!$DN631,'Data_Price '!$AT$2:$AT$1266,0))</f>
        <v/>
      </c>
      <c r="DH631">
        <f>INDEX('Data_Price '!AQ$2:AQ$1266,MATCH(Data!$DN631,'Data_Price '!$AT$2:$AT$1266,0))</f>
        <v/>
      </c>
      <c r="DI631">
        <f>INDEX('Data_Price '!AR$2:AR$1266,MATCH(Data!$DN631,'Data_Price '!$AT$2:$AT$1266,0))</f>
        <v/>
      </c>
      <c r="DJ631" s="138">
        <f>DA631</f>
        <v/>
      </c>
      <c r="DK631" s="138">
        <f>DE631</f>
        <v/>
      </c>
      <c r="DL631" s="138">
        <f>DI631</f>
        <v/>
      </c>
      <c r="DM631" s="303">
        <f>IF(LEFT(BT631,1)=" ",RIGHT(BT631,LEN(BT631)-1),BT631)</f>
        <v/>
      </c>
      <c r="DN631" s="138">
        <f>_xlfn.CONCAT(BS631,DM631,BU631,BV631)</f>
        <v/>
      </c>
      <c r="DO631" s="307" t="n"/>
    </row>
    <row r="632" ht="15.6" customHeight="1" s="184">
      <c r="B632" s="303">
        <f t="array" ref="B632">IF(OR(ISERROR(K632:P632)),FALSE,TRUE)</f>
        <v/>
      </c>
      <c r="C632" s="60">
        <f>OR(BR632=Driver!$G$50,Data!BR1032=Driver!$H$50)</f>
        <v/>
      </c>
      <c r="D632" s="60">
        <f>OR(BV632=Driver!$G$51,BV632=Driver!$H$51)</f>
        <v/>
      </c>
      <c r="E632" s="60">
        <f>AND(BX632&gt;Driver!$F$54,BX632&lt;Driver!$G$54)</f>
        <v/>
      </c>
      <c r="F632" s="60">
        <f>CL632&gt;Driver!$F$56</f>
        <v/>
      </c>
      <c r="G632" s="60">
        <f>AND(CB632&gt;Driver!$F$55,CB632&lt;Driver!$G$55)</f>
        <v/>
      </c>
      <c r="H632" s="60">
        <f>AND(B632:G632)</f>
        <v/>
      </c>
      <c r="I632" s="60">
        <f>COUNTIFS($H$9:$H$1273,TRUE,$BT$9:$BT$1273,BT632)</f>
        <v/>
      </c>
      <c r="J632" s="60">
        <f t="array" ref="J632">NOT(OR(($H$9:$H$1273=TRUE)*($I$9:$I$1273&gt;0)*($BT$9:$BT$1273=BT632)*($K$9:$K$1273&gt;K632)))</f>
        <v/>
      </c>
      <c r="K632" s="108">
        <f>IFERROR(1-AVERAGE(X632:Y632),"")</f>
        <v/>
      </c>
      <c r="L632" s="108">
        <f>1-X632</f>
        <v/>
      </c>
      <c r="M632" s="108">
        <f>1-Y632</f>
        <v/>
      </c>
      <c r="N632" s="108">
        <f>1-Z632</f>
        <v/>
      </c>
      <c r="O632" s="108">
        <f>1-AA632</f>
        <v/>
      </c>
      <c r="P632" s="108">
        <f>1-AB632</f>
        <v/>
      </c>
      <c r="Q632" s="108" t="n"/>
      <c r="R632" s="108" t="n"/>
      <c r="S632" s="108">
        <f>1-AE632</f>
        <v/>
      </c>
      <c r="T632" s="108">
        <f>1-AF632</f>
        <v/>
      </c>
      <c r="U632" s="108">
        <f>1-AG632</f>
        <v/>
      </c>
      <c r="V632" s="108">
        <f>1-AH632</f>
        <v/>
      </c>
      <c r="W632" s="108">
        <f>1-AI632</f>
        <v/>
      </c>
      <c r="X632" s="108">
        <f>ABS(AJ632-AJ$1)</f>
        <v/>
      </c>
      <c r="Y632" s="108">
        <f>AVERAGE(Z632:AB632)</f>
        <v/>
      </c>
      <c r="Z632" s="108">
        <f>ABS(AL632-AL$1)</f>
        <v/>
      </c>
      <c r="AA632" s="108">
        <f>ABS(AM632-AM$1)</f>
        <v/>
      </c>
      <c r="AB632" s="108">
        <f>ABS(AN632-AN$1)</f>
        <v/>
      </c>
      <c r="AC632" s="108" t="n"/>
      <c r="AD632" s="108" t="n"/>
      <c r="AE632" s="108">
        <f>ABS(AQ$1-AQ632)</f>
        <v/>
      </c>
      <c r="AF632" s="108">
        <f>ABS(AR$1-AR632)</f>
        <v/>
      </c>
      <c r="AG632" s="108">
        <f>ABS(AS$1-AS632)</f>
        <v/>
      </c>
      <c r="AH632" s="108">
        <f>ABS(AT$1-AT632)</f>
        <v/>
      </c>
      <c r="AI632" s="108">
        <f>ABS(AU$1-AU632)</f>
        <v/>
      </c>
      <c r="AJ632" s="108">
        <f>(AV632-Driver!$K$179)/(Driver!$L$179-Driver!$K$179)</f>
        <v/>
      </c>
      <c r="AK632" s="108">
        <f>(AW632-Driver!$K$180)/(Driver!$L$180-Driver!$K$180)</f>
        <v/>
      </c>
      <c r="AL632" s="108">
        <f>(AX632-Driver!$K$181)/(Driver!$L$181-Driver!$K$181)</f>
        <v/>
      </c>
      <c r="AM632" s="108">
        <f>(AY632-Driver!$K$182)/(Driver!$L$182-Driver!$K$182)</f>
        <v/>
      </c>
      <c r="AN632" s="108">
        <f>(AZ632-Driver!$K$183)/(Driver!$L$183-Driver!$K$183)</f>
        <v/>
      </c>
      <c r="AO632" s="108" t="n"/>
      <c r="AP632" s="108" t="n"/>
      <c r="AQ632" s="108">
        <f>(BC632-Driver!$K$188)/(Driver!$L$188-Driver!$K$188)</f>
        <v/>
      </c>
      <c r="AR632" s="108">
        <f>MIN((BD632-Driver!$K$189)/(Driver!$L$189-Driver!$K$189),100%)</f>
        <v/>
      </c>
      <c r="AS632" s="108">
        <f>(BE632-Driver!$K$190)/(Driver!$L$190-Driver!$K$190)</f>
        <v/>
      </c>
      <c r="AT632" s="108">
        <f>(BF632-Driver!$K$191)/(Driver!$L$191-Driver!$K$191)</f>
        <v/>
      </c>
      <c r="AU632" s="108">
        <f>(BG632-Driver!$K$192)/(Driver!$L$192-Driver!$K$192)</f>
        <v/>
      </c>
      <c r="AV632" s="105">
        <f>IFERROR(BM632*BJ632^1/4,"")</f>
        <v/>
      </c>
      <c r="AW632" s="105">
        <f>IFERROR(SUM(AX632:AZ632),"")</f>
        <v/>
      </c>
      <c r="AX632" s="105">
        <f>IFERROR(BH632,"")</f>
        <v/>
      </c>
      <c r="AY632" s="105">
        <f>IFERROR(Driver!$K$19/Data!BH632/Data!BI632*Data!BK632*Data!BL632,"")</f>
        <v/>
      </c>
      <c r="AZ632" s="105">
        <f>IFERROR(BI632*BN632,"")</f>
        <v/>
      </c>
      <c r="BA632" s="105" t="n"/>
      <c r="BB632" s="105" t="n"/>
      <c r="BC632" s="105">
        <f>IFERROR(BI632*BN632*BK632/BJ632^(1/2),"")</f>
        <v/>
      </c>
      <c r="BD632" s="105">
        <f>IFERROR(BH632*BM632*BL632/BJ632/BK632,"")</f>
        <v/>
      </c>
      <c r="BE632" s="105">
        <f>IFERROR(MIN(BI632/BQ632/BP632/BO632/BH632,$BE$1),"")</f>
        <v/>
      </c>
      <c r="BF632" s="105">
        <f>IFERROR(BJ632*BO632*BP632/BK632,"")</f>
        <v/>
      </c>
      <c r="BG632" s="105">
        <f>IFERROR(1/BM632/BH632*BQ632,"")</f>
        <v/>
      </c>
      <c r="BH632" s="102">
        <f>MAX((CE632-Driver!$F$200)/(Driver!$G$200-Driver!$F$200)*$BI$1,1)</f>
        <v/>
      </c>
      <c r="BI632" s="102">
        <f>MAX($BI$1*(BY632-Driver!$F$201)/(Driver!$G$201-Driver!$F$201),1)</f>
        <v/>
      </c>
      <c r="BJ632" s="102">
        <f>(CB632-Driver!$F$206)/(Driver!$G$206-Driver!$F$206)*$BI$1</f>
        <v/>
      </c>
      <c r="BK632" s="102">
        <f>(CD632-Driver!$F$203)/(Driver!$G$203-Driver!$F$203)*$BI$1</f>
        <v/>
      </c>
      <c r="BL632" s="102">
        <f>MAX((CR632-Driver!$F$202)/(Driver!$G$202-Driver!$F$202)*$BI$1,1)</f>
        <v/>
      </c>
      <c r="BM632" s="102">
        <f>MAX((CH632-Driver!$F$204)/(Driver!$G$204-Driver!$F$204)*$BI$1,1)</f>
        <v/>
      </c>
      <c r="BN632" s="102">
        <f>(CI632-Driver!$F$205)/(Driver!$G$205-Driver!$F$205)*$BI$1</f>
        <v/>
      </c>
      <c r="BO632" s="102">
        <f>(CK632-Driver!$F$207)/(Driver!$G$207-Driver!$F$207)*$BI$1</f>
        <v/>
      </c>
      <c r="BP632" s="102">
        <f>(CM632-Driver!$F$208)/(Driver!$G$208-Driver!$F$208)*$BI$1</f>
        <v/>
      </c>
      <c r="BQ632" s="102">
        <f>(CL632-Driver!$F$209)/(Driver!$G$209-Driver!$F$209)*$BI$1</f>
        <v/>
      </c>
      <c r="BR632" s="40" t="inlineStr">
        <is>
          <t>21/22</t>
        </is>
      </c>
      <c r="BS632" s="10" t="inlineStr">
        <is>
          <t xml:space="preserve"> Rossignol</t>
        </is>
      </c>
      <c r="BT632" s="11" t="inlineStr">
        <is>
          <t xml:space="preserve"> Hero Elite Plus Ti</t>
        </is>
      </c>
      <c r="BU632" s="13" t="n">
        <v>167</v>
      </c>
      <c r="BV632" s="11" t="inlineStr">
        <is>
          <t xml:space="preserve"> Unisex</t>
        </is>
      </c>
      <c r="BW632" s="13" t="n">
        <v>167</v>
      </c>
      <c r="BX632" s="13" t="n">
        <v>166.3</v>
      </c>
      <c r="BY632" s="13" t="n">
        <v>145</v>
      </c>
      <c r="BZ632" s="13" t="n">
        <v>151</v>
      </c>
      <c r="CA632" s="13" t="n">
        <v>128</v>
      </c>
      <c r="CB632" s="13" t="n">
        <v>76</v>
      </c>
      <c r="CC632" s="13" t="n">
        <v>108</v>
      </c>
      <c r="CD632" s="13" t="n">
        <v>13.4</v>
      </c>
      <c r="CE632" s="13" t="n">
        <v>2051</v>
      </c>
      <c r="CF632" s="13" t="n">
        <v>0.74</v>
      </c>
      <c r="CG632" s="13" t="n">
        <v>1528</v>
      </c>
      <c r="CH632" s="13" t="n">
        <v>212</v>
      </c>
      <c r="CI632" s="13" t="n">
        <v>92</v>
      </c>
      <c r="CJ632" s="13" t="n">
        <v>40</v>
      </c>
      <c r="CK632" s="13" t="n">
        <v>145</v>
      </c>
      <c r="CL632" s="13" t="n">
        <v>4</v>
      </c>
      <c r="CM632" s="13" t="n">
        <v>63</v>
      </c>
      <c r="CN632" s="13" t="n">
        <v>0.103</v>
      </c>
      <c r="CO632" s="13" t="n">
        <v>90</v>
      </c>
      <c r="CP632" s="13" t="n">
        <v>61</v>
      </c>
      <c r="CQ632" s="13" t="n">
        <v>55</v>
      </c>
      <c r="CR632" s="13" t="n">
        <v>13</v>
      </c>
      <c r="CS632" s="13" t="n">
        <v>10.1</v>
      </c>
      <c r="CT632" s="11" t="inlineStr">
        <is>
          <t xml:space="preserve"> On-Piste Carving</t>
        </is>
      </c>
      <c r="CU632" s="13" t="n"/>
      <c r="CV632" s="13" t="n"/>
      <c r="CW632" s="13" t="n"/>
      <c r="CX632">
        <f>INDEX('Data_Price '!AG$2:AG$1266,MATCH(Data!$DN632,'Data_Price '!$AT$2:$AT$1266,0))</f>
        <v/>
      </c>
      <c r="CY632">
        <f>INDEX('Data_Price '!AH$2:AH$1266,MATCH(Data!$DN632,'Data_Price '!$AT$2:$AT$1266,0))</f>
        <v/>
      </c>
      <c r="CZ632">
        <f>INDEX('Data_Price '!AI$2:AI$1266,MATCH(Data!$DN632,'Data_Price '!$AT$2:$AT$1266,0))</f>
        <v/>
      </c>
      <c r="DA632">
        <f>INDEX('Data_Price '!AJ$2:AJ$1266,MATCH(Data!$DN632,'Data_Price '!$AT$2:$AT$1266,0))</f>
        <v/>
      </c>
      <c r="DB632">
        <f>INDEX('Data_Price '!AK$2:AK$1266,MATCH(Data!$DN632,'Data_Price '!$AT$2:$AT$1266,0))</f>
        <v/>
      </c>
      <c r="DC632">
        <f>INDEX('Data_Price '!AL$2:AL$1266,MATCH(Data!$DN632,'Data_Price '!$AT$2:$AT$1266,0))</f>
        <v/>
      </c>
      <c r="DD632">
        <f>INDEX('Data_Price '!AM$2:AM$1266,MATCH(Data!$DN632,'Data_Price '!$AT$2:$AT$1266,0))</f>
        <v/>
      </c>
      <c r="DE632">
        <f>INDEX('Data_Price '!AN$2:AN$1266,MATCH(Data!$DN632,'Data_Price '!$AT$2:$AT$1266,0))</f>
        <v/>
      </c>
      <c r="DF632">
        <f>INDEX('Data_Price '!AO$2:AO$1266,MATCH(Data!$DN632,'Data_Price '!$AT$2:$AT$1266,0))</f>
        <v/>
      </c>
      <c r="DG632">
        <f>INDEX('Data_Price '!AP$2:AP$1266,MATCH(Data!$DN632,'Data_Price '!$AT$2:$AT$1266,0))</f>
        <v/>
      </c>
      <c r="DH632">
        <f>INDEX('Data_Price '!AQ$2:AQ$1266,MATCH(Data!$DN632,'Data_Price '!$AT$2:$AT$1266,0))</f>
        <v/>
      </c>
      <c r="DI632">
        <f>INDEX('Data_Price '!AR$2:AR$1266,MATCH(Data!$DN632,'Data_Price '!$AT$2:$AT$1266,0))</f>
        <v/>
      </c>
      <c r="DJ632" s="138">
        <f>DA632</f>
        <v/>
      </c>
      <c r="DK632" s="138">
        <f>DE632</f>
        <v/>
      </c>
      <c r="DL632" s="138">
        <f>DI632</f>
        <v/>
      </c>
      <c r="DM632" s="303">
        <f>IF(LEFT(BT632,1)=" ",RIGHT(BT632,LEN(BT632)-1),BT632)</f>
        <v/>
      </c>
      <c r="DN632" s="138">
        <f>_xlfn.CONCAT(BS632,DM632,BU632,BV632)</f>
        <v/>
      </c>
      <c r="DO632" s="307" t="n"/>
    </row>
    <row r="633" ht="15.6" customHeight="1" s="184">
      <c r="B633" s="303">
        <f t="array" ref="B633">IF(OR(ISERROR(K633:P633)),FALSE,TRUE)</f>
        <v/>
      </c>
      <c r="C633" s="60">
        <f>OR(BR633=Driver!$G$50,Data!BR1013=Driver!$H$50)</f>
        <v/>
      </c>
      <c r="D633" s="60">
        <f>OR(BV633=Driver!$G$51,BV633=Driver!$H$51)</f>
        <v/>
      </c>
      <c r="E633" s="60">
        <f>AND(BX633&gt;Driver!$F$54,BX633&lt;Driver!$G$54)</f>
        <v/>
      </c>
      <c r="F633" s="60">
        <f>CL633&gt;Driver!$F$56</f>
        <v/>
      </c>
      <c r="G633" s="60">
        <f>AND(CB633&gt;Driver!$F$55,CB633&lt;Driver!$G$55)</f>
        <v/>
      </c>
      <c r="H633" s="60">
        <f>AND(B633:G633)</f>
        <v/>
      </c>
      <c r="I633" s="60">
        <f>COUNTIFS($H$9:$H$1273,TRUE,$BT$9:$BT$1273,BT633)</f>
        <v/>
      </c>
      <c r="J633" s="60">
        <f t="array" ref="J633">NOT(OR(($H$9:$H$1273=TRUE)*($I$9:$I$1273&gt;0)*($BT$9:$BT$1273=BT633)*($K$9:$K$1273&gt;K633)))</f>
        <v/>
      </c>
      <c r="K633" s="108">
        <f>IFERROR(1-AVERAGE(X633:Y633),"")</f>
        <v/>
      </c>
      <c r="L633" s="108">
        <f>1-X633</f>
        <v/>
      </c>
      <c r="M633" s="108">
        <f>1-Y633</f>
        <v/>
      </c>
      <c r="N633" s="108">
        <f>1-Z633</f>
        <v/>
      </c>
      <c r="O633" s="108">
        <f>1-AA633</f>
        <v/>
      </c>
      <c r="P633" s="108">
        <f>1-AB633</f>
        <v/>
      </c>
      <c r="Q633" s="108" t="n"/>
      <c r="R633" s="108" t="n"/>
      <c r="S633" s="108">
        <f>1-AE633</f>
        <v/>
      </c>
      <c r="T633" s="108">
        <f>1-AF633</f>
        <v/>
      </c>
      <c r="U633" s="108">
        <f>1-AG633</f>
        <v/>
      </c>
      <c r="V633" s="108">
        <f>1-AH633</f>
        <v/>
      </c>
      <c r="W633" s="108">
        <f>1-AI633</f>
        <v/>
      </c>
      <c r="X633" s="108">
        <f>ABS(AJ633-AJ$1)</f>
        <v/>
      </c>
      <c r="Y633" s="108">
        <f>AVERAGE(Z633:AB633)</f>
        <v/>
      </c>
      <c r="Z633" s="108">
        <f>ABS(AL633-AL$1)</f>
        <v/>
      </c>
      <c r="AA633" s="108">
        <f>ABS(AM633-AM$1)</f>
        <v/>
      </c>
      <c r="AB633" s="108">
        <f>ABS(AN633-AN$1)</f>
        <v/>
      </c>
      <c r="AC633" s="108" t="n"/>
      <c r="AD633" s="108" t="n"/>
      <c r="AE633" s="108">
        <f>ABS(AQ$1-AQ633)</f>
        <v/>
      </c>
      <c r="AF633" s="108">
        <f>ABS(AR$1-AR633)</f>
        <v/>
      </c>
      <c r="AG633" s="108">
        <f>ABS(AS$1-AS633)</f>
        <v/>
      </c>
      <c r="AH633" s="108">
        <f>ABS(AT$1-AT633)</f>
        <v/>
      </c>
      <c r="AI633" s="108">
        <f>ABS(AU$1-AU633)</f>
        <v/>
      </c>
      <c r="AJ633" s="108">
        <f>(AV633-Driver!$K$179)/(Driver!$L$179-Driver!$K$179)</f>
        <v/>
      </c>
      <c r="AK633" s="108">
        <f>(AW633-Driver!$K$180)/(Driver!$L$180-Driver!$K$180)</f>
        <v/>
      </c>
      <c r="AL633" s="108">
        <f>(AX633-Driver!$K$181)/(Driver!$L$181-Driver!$K$181)</f>
        <v/>
      </c>
      <c r="AM633" s="108">
        <f>(AY633-Driver!$K$182)/(Driver!$L$182-Driver!$K$182)</f>
        <v/>
      </c>
      <c r="AN633" s="108">
        <f>(AZ633-Driver!$K$183)/(Driver!$L$183-Driver!$K$183)</f>
        <v/>
      </c>
      <c r="AO633" s="108" t="n"/>
      <c r="AP633" s="108" t="n"/>
      <c r="AQ633" s="108">
        <f>(BC633-Driver!$K$188)/(Driver!$L$188-Driver!$K$188)</f>
        <v/>
      </c>
      <c r="AR633" s="108">
        <f>MIN((BD633-Driver!$K$189)/(Driver!$L$189-Driver!$K$189),100%)</f>
        <v/>
      </c>
      <c r="AS633" s="108">
        <f>(BE633-Driver!$K$190)/(Driver!$L$190-Driver!$K$190)</f>
        <v/>
      </c>
      <c r="AT633" s="108">
        <f>(BF633-Driver!$K$191)/(Driver!$L$191-Driver!$K$191)</f>
        <v/>
      </c>
      <c r="AU633" s="108">
        <f>(BG633-Driver!$K$192)/(Driver!$L$192-Driver!$K$192)</f>
        <v/>
      </c>
      <c r="AV633" s="105">
        <f>IFERROR(BM633*BJ633^1/4,"")</f>
        <v/>
      </c>
      <c r="AW633" s="105">
        <f>IFERROR(SUM(AX633:AZ633),"")</f>
        <v/>
      </c>
      <c r="AX633" s="105">
        <f>IFERROR(BH633,"")</f>
        <v/>
      </c>
      <c r="AY633" s="105">
        <f>IFERROR(Driver!$K$19/Data!BH633/Data!BI633*Data!BK633*Data!BL633,"")</f>
        <v/>
      </c>
      <c r="AZ633" s="105">
        <f>IFERROR(BI633*BN633,"")</f>
        <v/>
      </c>
      <c r="BA633" s="105" t="n"/>
      <c r="BB633" s="105" t="n"/>
      <c r="BC633" s="105">
        <f>IFERROR(BI633*BN633*BK633/BJ633^(1/2),"")</f>
        <v/>
      </c>
      <c r="BD633" s="105">
        <f>IFERROR(BH633*BM633*BL633/BJ633/BK633,"")</f>
        <v/>
      </c>
      <c r="BE633" s="105">
        <f>IFERROR(MIN(BI633/BQ633/BP633/BO633/BH633,$BE$1),"")</f>
        <v/>
      </c>
      <c r="BF633" s="105">
        <f>IFERROR(BJ633*BO633*BP633/BK633,"")</f>
        <v/>
      </c>
      <c r="BG633" s="105">
        <f>IFERROR(1/BM633/BH633*BQ633,"")</f>
        <v/>
      </c>
      <c r="BH633" s="102">
        <f>MAX((CE633-Driver!$F$200)/(Driver!$G$200-Driver!$F$200)*$BI$1,1)</f>
        <v/>
      </c>
      <c r="BI633" s="102">
        <f>MAX($BI$1*(BY633-Driver!$F$201)/(Driver!$G$201-Driver!$F$201),1)</f>
        <v/>
      </c>
      <c r="BJ633" s="102">
        <f>(CB633-Driver!$F$206)/(Driver!$G$206-Driver!$F$206)*$BI$1</f>
        <v/>
      </c>
      <c r="BK633" s="102">
        <f>(CD633-Driver!$F$203)/(Driver!$G$203-Driver!$F$203)*$BI$1</f>
        <v/>
      </c>
      <c r="BL633" s="102">
        <f>MAX((CR633-Driver!$F$202)/(Driver!$G$202-Driver!$F$202)*$BI$1,1)</f>
        <v/>
      </c>
      <c r="BM633" s="102">
        <f>MAX((CH633-Driver!$F$204)/(Driver!$G$204-Driver!$F$204)*$BI$1,1)</f>
        <v/>
      </c>
      <c r="BN633" s="102">
        <f>(CI633-Driver!$F$205)/(Driver!$G$205-Driver!$F$205)*$BI$1</f>
        <v/>
      </c>
      <c r="BO633" s="102">
        <f>(CK633-Driver!$F$207)/(Driver!$G$207-Driver!$F$207)*$BI$1</f>
        <v/>
      </c>
      <c r="BP633" s="102">
        <f>(CM633-Driver!$F$208)/(Driver!$G$208-Driver!$F$208)*$BI$1</f>
        <v/>
      </c>
      <c r="BQ633" s="102">
        <f>(CL633-Driver!$F$209)/(Driver!$G$209-Driver!$F$209)*$BI$1</f>
        <v/>
      </c>
      <c r="BR633" s="40" t="inlineStr">
        <is>
          <t>21/22</t>
        </is>
      </c>
      <c r="BS633" s="10" t="inlineStr">
        <is>
          <t xml:space="preserve"> Rossignol</t>
        </is>
      </c>
      <c r="BT633" s="11" t="inlineStr">
        <is>
          <t>Experience 82 Basalt W</t>
        </is>
      </c>
      <c r="BU633" s="13" t="n">
        <v>159</v>
      </c>
      <c r="BV633" s="11" t="inlineStr">
        <is>
          <t xml:space="preserve"> Women's</t>
        </is>
      </c>
      <c r="BW633" s="13" t="n">
        <v>159</v>
      </c>
      <c r="BX633" s="13" t="n">
        <v>158.4</v>
      </c>
      <c r="BY633" s="13" t="n">
        <v>119</v>
      </c>
      <c r="BZ633" s="13" t="n">
        <v>144</v>
      </c>
      <c r="CA633" s="13" t="n">
        <v>125</v>
      </c>
      <c r="CB633" s="13" t="n">
        <v>80</v>
      </c>
      <c r="CC633" s="13" t="n">
        <v>113</v>
      </c>
      <c r="CD633" s="13" t="n">
        <v>12.8</v>
      </c>
      <c r="CE633" s="13" t="n">
        <v>1645</v>
      </c>
      <c r="CF633" s="13" t="n">
        <v>0.91</v>
      </c>
      <c r="CG633" s="13" t="n">
        <v>1501</v>
      </c>
      <c r="CH633" s="13" t="n">
        <v>182</v>
      </c>
      <c r="CI633" s="13" t="n">
        <v>79</v>
      </c>
      <c r="CJ633" s="13" t="n">
        <v>47</v>
      </c>
      <c r="CK633" s="13" t="n">
        <v>262</v>
      </c>
      <c r="CL633" s="13" t="n">
        <v>14</v>
      </c>
      <c r="CM633" s="13" t="n">
        <v>128</v>
      </c>
      <c r="CN633" s="13" t="n">
        <v>0.291</v>
      </c>
      <c r="CO633" s="13" t="n">
        <v>84</v>
      </c>
      <c r="CP633" s="13" t="n">
        <v>65</v>
      </c>
      <c r="CQ633" s="13" t="n">
        <v>178</v>
      </c>
      <c r="CR633" s="13" t="n">
        <v>8</v>
      </c>
      <c r="CS633" s="13" t="n">
        <v>7</v>
      </c>
      <c r="CT633" s="11" t="inlineStr">
        <is>
          <t xml:space="preserve"> Resort Freeride</t>
        </is>
      </c>
      <c r="CU633" s="13" t="n"/>
      <c r="CV633" s="13" t="n"/>
      <c r="CW633" s="13" t="n"/>
      <c r="CX633">
        <f>INDEX('Data_Price '!AG$2:AG$1266,MATCH(Data!$DN633,'Data_Price '!$AT$2:$AT$1266,0))</f>
        <v/>
      </c>
      <c r="CY633">
        <f>INDEX('Data_Price '!AH$2:AH$1266,MATCH(Data!$DN633,'Data_Price '!$AT$2:$AT$1266,0))</f>
        <v/>
      </c>
      <c r="CZ633">
        <f>INDEX('Data_Price '!AI$2:AI$1266,MATCH(Data!$DN633,'Data_Price '!$AT$2:$AT$1266,0))</f>
        <v/>
      </c>
      <c r="DA633">
        <f>INDEX('Data_Price '!AJ$2:AJ$1266,MATCH(Data!$DN633,'Data_Price '!$AT$2:$AT$1266,0))</f>
        <v/>
      </c>
      <c r="DB633">
        <f>INDEX('Data_Price '!AK$2:AK$1266,MATCH(Data!$DN633,'Data_Price '!$AT$2:$AT$1266,0))</f>
        <v/>
      </c>
      <c r="DC633">
        <f>INDEX('Data_Price '!AL$2:AL$1266,MATCH(Data!$DN633,'Data_Price '!$AT$2:$AT$1266,0))</f>
        <v/>
      </c>
      <c r="DD633">
        <f>INDEX('Data_Price '!AM$2:AM$1266,MATCH(Data!$DN633,'Data_Price '!$AT$2:$AT$1266,0))</f>
        <v/>
      </c>
      <c r="DE633">
        <f>INDEX('Data_Price '!AN$2:AN$1266,MATCH(Data!$DN633,'Data_Price '!$AT$2:$AT$1266,0))</f>
        <v/>
      </c>
      <c r="DF633">
        <f>INDEX('Data_Price '!AO$2:AO$1266,MATCH(Data!$DN633,'Data_Price '!$AT$2:$AT$1266,0))</f>
        <v/>
      </c>
      <c r="DG633">
        <f>INDEX('Data_Price '!AP$2:AP$1266,MATCH(Data!$DN633,'Data_Price '!$AT$2:$AT$1266,0))</f>
        <v/>
      </c>
      <c r="DH633">
        <f>INDEX('Data_Price '!AQ$2:AQ$1266,MATCH(Data!$DN633,'Data_Price '!$AT$2:$AT$1266,0))</f>
        <v/>
      </c>
      <c r="DI633">
        <f>INDEX('Data_Price '!AR$2:AR$1266,MATCH(Data!$DN633,'Data_Price '!$AT$2:$AT$1266,0))</f>
        <v/>
      </c>
      <c r="DJ633" s="138">
        <f>DA633</f>
        <v/>
      </c>
      <c r="DK633" s="138">
        <f>DE633</f>
        <v/>
      </c>
      <c r="DL633" s="138">
        <f>DI633</f>
        <v/>
      </c>
      <c r="DM633" s="303">
        <f>IF(LEFT(BT633,1)=" ",RIGHT(BT633,LEN(BT633)-1),BT633)</f>
        <v/>
      </c>
      <c r="DN633" s="138">
        <f>_xlfn.CONCAT(BS633,DM633,BU633,BV633)</f>
        <v/>
      </c>
      <c r="DO633" s="307" t="n"/>
    </row>
    <row r="634" ht="15.6" customHeight="1" s="184">
      <c r="B634" s="303">
        <f t="array" ref="B634">IF(OR(ISERROR(K634:P634)),FALSE,TRUE)</f>
        <v/>
      </c>
      <c r="C634" s="60">
        <f>OR(BR634=Driver!$G$50,Data!BR733=Driver!$H$50)</f>
        <v/>
      </c>
      <c r="D634" s="60">
        <f>OR(BV634=Driver!$G$51,BV634=Driver!$H$51)</f>
        <v/>
      </c>
      <c r="E634" s="60">
        <f>AND(BX634&gt;Driver!$F$54,BX634&lt;Driver!$G$54)</f>
        <v/>
      </c>
      <c r="F634" s="60">
        <f>CL634&gt;Driver!$F$56</f>
        <v/>
      </c>
      <c r="G634" s="60">
        <f>AND(CB634&gt;Driver!$F$55,CB634&lt;Driver!$G$55)</f>
        <v/>
      </c>
      <c r="H634" s="60">
        <f>AND(B634:G634)</f>
        <v/>
      </c>
      <c r="I634" s="60">
        <f>COUNTIFS($H$9:$H$1273,TRUE,$BT$9:$BT$1273,BT634)</f>
        <v/>
      </c>
      <c r="J634" s="60">
        <f t="array" ref="J634">NOT(OR(($H$9:$H$1273=TRUE)*($I$9:$I$1273&gt;0)*($BT$9:$BT$1273=BT634)*($K$9:$K$1273&gt;K634)))</f>
        <v/>
      </c>
      <c r="K634" s="108">
        <f>IFERROR(1-AVERAGE(X634:Y634),"")</f>
        <v/>
      </c>
      <c r="L634" s="108">
        <f>1-X634</f>
        <v/>
      </c>
      <c r="M634" s="108">
        <f>1-Y634</f>
        <v/>
      </c>
      <c r="N634" s="108">
        <f>1-Z634</f>
        <v/>
      </c>
      <c r="O634" s="108">
        <f>1-AA634</f>
        <v/>
      </c>
      <c r="P634" s="108">
        <f>1-AB634</f>
        <v/>
      </c>
      <c r="Q634" s="108" t="n"/>
      <c r="R634" s="108" t="n"/>
      <c r="S634" s="108">
        <f>1-AE634</f>
        <v/>
      </c>
      <c r="T634" s="108">
        <f>1-AF634</f>
        <v/>
      </c>
      <c r="U634" s="108">
        <f>1-AG634</f>
        <v/>
      </c>
      <c r="V634" s="108">
        <f>1-AH634</f>
        <v/>
      </c>
      <c r="W634" s="108">
        <f>1-AI634</f>
        <v/>
      </c>
      <c r="X634" s="108">
        <f>ABS(AJ634-AJ$1)</f>
        <v/>
      </c>
      <c r="Y634" s="108">
        <f>AVERAGE(Z634:AB634)</f>
        <v/>
      </c>
      <c r="Z634" s="108">
        <f>ABS(AL634-AL$1)</f>
        <v/>
      </c>
      <c r="AA634" s="108">
        <f>ABS(AM634-AM$1)</f>
        <v/>
      </c>
      <c r="AB634" s="108">
        <f>ABS(AN634-AN$1)</f>
        <v/>
      </c>
      <c r="AC634" s="108" t="n"/>
      <c r="AD634" s="108" t="n"/>
      <c r="AE634" s="108">
        <f>ABS(AQ$1-AQ634)</f>
        <v/>
      </c>
      <c r="AF634" s="108">
        <f>ABS(AR$1-AR634)</f>
        <v/>
      </c>
      <c r="AG634" s="108">
        <f>ABS(AS$1-AS634)</f>
        <v/>
      </c>
      <c r="AH634" s="108">
        <f>ABS(AT$1-AT634)</f>
        <v/>
      </c>
      <c r="AI634" s="108">
        <f>ABS(AU$1-AU634)</f>
        <v/>
      </c>
      <c r="AJ634" s="108">
        <f>(AV634-Driver!$K$179)/(Driver!$L$179-Driver!$K$179)</f>
        <v/>
      </c>
      <c r="AK634" s="108">
        <f>(AW634-Driver!$K$180)/(Driver!$L$180-Driver!$K$180)</f>
        <v/>
      </c>
      <c r="AL634" s="108">
        <f>(AX634-Driver!$K$181)/(Driver!$L$181-Driver!$K$181)</f>
        <v/>
      </c>
      <c r="AM634" s="108">
        <f>(AY634-Driver!$K$182)/(Driver!$L$182-Driver!$K$182)</f>
        <v/>
      </c>
      <c r="AN634" s="108">
        <f>(AZ634-Driver!$K$183)/(Driver!$L$183-Driver!$K$183)</f>
        <v/>
      </c>
      <c r="AO634" s="108" t="n"/>
      <c r="AP634" s="108" t="n"/>
      <c r="AQ634" s="108">
        <f>(BC634-Driver!$K$188)/(Driver!$L$188-Driver!$K$188)</f>
        <v/>
      </c>
      <c r="AR634" s="108">
        <f>MIN((BD634-Driver!$K$189)/(Driver!$L$189-Driver!$K$189),100%)</f>
        <v/>
      </c>
      <c r="AS634" s="108">
        <f>(BE634-Driver!$K$190)/(Driver!$L$190-Driver!$K$190)</f>
        <v/>
      </c>
      <c r="AT634" s="108">
        <f>(BF634-Driver!$K$191)/(Driver!$L$191-Driver!$K$191)</f>
        <v/>
      </c>
      <c r="AU634" s="108">
        <f>(BG634-Driver!$K$192)/(Driver!$L$192-Driver!$K$192)</f>
        <v/>
      </c>
      <c r="AV634" s="105">
        <f>IFERROR(BM634*BJ634^1/4,"")</f>
        <v/>
      </c>
      <c r="AW634" s="105">
        <f>IFERROR(SUM(AX634:AZ634),"")</f>
        <v/>
      </c>
      <c r="AX634" s="105">
        <f>IFERROR(BH634,"")</f>
        <v/>
      </c>
      <c r="AY634" s="105">
        <f>IFERROR(Driver!$K$19/Data!BH634/Data!BI634*Data!BK634*Data!BL634,"")</f>
        <v/>
      </c>
      <c r="AZ634" s="105">
        <f>IFERROR(BI634*BN634,"")</f>
        <v/>
      </c>
      <c r="BA634" s="105" t="n"/>
      <c r="BB634" s="105" t="n"/>
      <c r="BC634" s="105">
        <f>IFERROR(BI634*BN634*BK634/BJ634^(1/2),"")</f>
        <v/>
      </c>
      <c r="BD634" s="105">
        <f>IFERROR(BH634*BM634*BL634/BJ634/BK634,"")</f>
        <v/>
      </c>
      <c r="BE634" s="105">
        <f>IFERROR(MIN(BI634/BQ634/BP634/BO634/BH634,$BE$1),"")</f>
        <v/>
      </c>
      <c r="BF634" s="105">
        <f>IFERROR(BJ634*BO634*BP634/BK634,"")</f>
        <v/>
      </c>
      <c r="BG634" s="105">
        <f>IFERROR(1/BM634/BH634*BQ634,"")</f>
        <v/>
      </c>
      <c r="BH634" s="102">
        <f>MAX((CE634-Driver!$F$200)/(Driver!$G$200-Driver!$F$200)*$BI$1,1)</f>
        <v/>
      </c>
      <c r="BI634" s="102">
        <f>MAX($BI$1*(BY634-Driver!$F$201)/(Driver!$G$201-Driver!$F$201),1)</f>
        <v/>
      </c>
      <c r="BJ634" s="102">
        <f>(CB634-Driver!$F$206)/(Driver!$G$206-Driver!$F$206)*$BI$1</f>
        <v/>
      </c>
      <c r="BK634" s="102">
        <f>(CD634-Driver!$F$203)/(Driver!$G$203-Driver!$F$203)*$BI$1</f>
        <v/>
      </c>
      <c r="BL634" s="102">
        <f>MAX((CR634-Driver!$F$202)/(Driver!$G$202-Driver!$F$202)*$BI$1,1)</f>
        <v/>
      </c>
      <c r="BM634" s="102">
        <f>MAX((CH634-Driver!$F$204)/(Driver!$G$204-Driver!$F$204)*$BI$1,1)</f>
        <v/>
      </c>
      <c r="BN634" s="102">
        <f>(CI634-Driver!$F$205)/(Driver!$G$205-Driver!$F$205)*$BI$1</f>
        <v/>
      </c>
      <c r="BO634" s="102">
        <f>(CK634-Driver!$F$207)/(Driver!$G$207-Driver!$F$207)*$BI$1</f>
        <v/>
      </c>
      <c r="BP634" s="102">
        <f>(CM634-Driver!$F$208)/(Driver!$G$208-Driver!$F$208)*$BI$1</f>
        <v/>
      </c>
      <c r="BQ634" s="102">
        <f>(CL634-Driver!$F$209)/(Driver!$G$209-Driver!$F$209)*$BI$1</f>
        <v/>
      </c>
      <c r="BR634" s="40" t="inlineStr">
        <is>
          <t>21/22</t>
        </is>
      </c>
      <c r="BS634" s="10" t="inlineStr">
        <is>
          <t xml:space="preserve"> K2</t>
        </is>
      </c>
      <c r="BT634" s="11" t="inlineStr">
        <is>
          <t>Mindbender 88 Ti Alliance</t>
        </is>
      </c>
      <c r="BU634" s="13" t="n">
        <v>156</v>
      </c>
      <c r="BV634" s="11" t="inlineStr">
        <is>
          <t xml:space="preserve"> Women's</t>
        </is>
      </c>
      <c r="BW634" s="13" t="n">
        <v>156</v>
      </c>
      <c r="BX634" s="13" t="n">
        <v>155.9</v>
      </c>
      <c r="BY634" s="13" t="n">
        <v>120</v>
      </c>
      <c r="BZ634" s="13" t="n">
        <v>132</v>
      </c>
      <c r="CA634" s="13" t="n">
        <v>125</v>
      </c>
      <c r="CB634" s="13" t="n">
        <v>87</v>
      </c>
      <c r="CC634" s="13" t="n">
        <v>111</v>
      </c>
      <c r="CD634" s="13" t="n">
        <v>13.5</v>
      </c>
      <c r="CE634" s="13" t="n">
        <v>1491</v>
      </c>
      <c r="CF634" s="13" t="n">
        <v>1.04</v>
      </c>
      <c r="CG634" s="13" t="n">
        <v>1548</v>
      </c>
      <c r="CH634" s="13" t="n">
        <v>132</v>
      </c>
      <c r="CI634" s="13" t="n">
        <v>84</v>
      </c>
      <c r="CJ634" s="13" t="n">
        <v>46</v>
      </c>
      <c r="CK634" s="13" t="n">
        <v>207</v>
      </c>
      <c r="CL634" s="13" t="n">
        <v>18</v>
      </c>
      <c r="CM634" s="13" t="n">
        <v>156</v>
      </c>
      <c r="CN634" s="13" t="n">
        <v>0.401</v>
      </c>
      <c r="CO634" s="13" t="n">
        <v>146</v>
      </c>
      <c r="CP634" s="13" t="n">
        <v>98</v>
      </c>
      <c r="CQ634" s="13" t="n">
        <v>60</v>
      </c>
      <c r="CR634" s="13" t="n">
        <v>7</v>
      </c>
      <c r="CS634" s="13" t="n">
        <v>11</v>
      </c>
      <c r="CT634" s="11" t="inlineStr">
        <is>
          <t xml:space="preserve"> Resort Freeride</t>
        </is>
      </c>
      <c r="CU634" s="13" t="n"/>
      <c r="CV634" s="13" t="n"/>
      <c r="CW634" s="13" t="n"/>
      <c r="CX634">
        <f>INDEX('Data_Price '!AG$2:AG$1266,MATCH(Data!$DN634,'Data_Price '!$AT$2:$AT$1266,0))</f>
        <v/>
      </c>
      <c r="CY634">
        <f>INDEX('Data_Price '!AH$2:AH$1266,MATCH(Data!$DN634,'Data_Price '!$AT$2:$AT$1266,0))</f>
        <v/>
      </c>
      <c r="CZ634">
        <f>INDEX('Data_Price '!AI$2:AI$1266,MATCH(Data!$DN634,'Data_Price '!$AT$2:$AT$1266,0))</f>
        <v/>
      </c>
      <c r="DA634">
        <f>INDEX('Data_Price '!AJ$2:AJ$1266,MATCH(Data!$DN634,'Data_Price '!$AT$2:$AT$1266,0))</f>
        <v/>
      </c>
      <c r="DB634">
        <f>INDEX('Data_Price '!AK$2:AK$1266,MATCH(Data!$DN634,'Data_Price '!$AT$2:$AT$1266,0))</f>
        <v/>
      </c>
      <c r="DC634">
        <f>INDEX('Data_Price '!AL$2:AL$1266,MATCH(Data!$DN634,'Data_Price '!$AT$2:$AT$1266,0))</f>
        <v/>
      </c>
      <c r="DD634">
        <f>INDEX('Data_Price '!AM$2:AM$1266,MATCH(Data!$DN634,'Data_Price '!$AT$2:$AT$1266,0))</f>
        <v/>
      </c>
      <c r="DE634">
        <f>INDEX('Data_Price '!AN$2:AN$1266,MATCH(Data!$DN634,'Data_Price '!$AT$2:$AT$1266,0))</f>
        <v/>
      </c>
      <c r="DF634">
        <f>INDEX('Data_Price '!AO$2:AO$1266,MATCH(Data!$DN634,'Data_Price '!$AT$2:$AT$1266,0))</f>
        <v/>
      </c>
      <c r="DG634">
        <f>INDEX('Data_Price '!AP$2:AP$1266,MATCH(Data!$DN634,'Data_Price '!$AT$2:$AT$1266,0))</f>
        <v/>
      </c>
      <c r="DH634">
        <f>INDEX('Data_Price '!AQ$2:AQ$1266,MATCH(Data!$DN634,'Data_Price '!$AT$2:$AT$1266,0))</f>
        <v/>
      </c>
      <c r="DI634">
        <f>INDEX('Data_Price '!AR$2:AR$1266,MATCH(Data!$DN634,'Data_Price '!$AT$2:$AT$1266,0))</f>
        <v/>
      </c>
      <c r="DJ634" s="138">
        <f>DA634</f>
        <v/>
      </c>
      <c r="DK634" s="138">
        <f>DE634</f>
        <v/>
      </c>
      <c r="DL634" s="138">
        <f>DI634</f>
        <v/>
      </c>
      <c r="DM634" s="303">
        <f>IF(LEFT(BT634,1)=" ",RIGHT(BT634,LEN(BT634)-1),BT634)</f>
        <v/>
      </c>
      <c r="DN634" s="138">
        <f>_xlfn.CONCAT(BS634,DM634,BU634,BV634)</f>
        <v/>
      </c>
      <c r="DO634" s="307" t="n"/>
    </row>
    <row r="635" ht="15.6" customHeight="1" s="184">
      <c r="B635" s="303">
        <f t="array" ref="B635">IF(OR(ISERROR(K635:P635)),FALSE,TRUE)</f>
        <v/>
      </c>
      <c r="C635" s="60">
        <f>OR(BR635=Driver!$G$50,Data!BR1127=Driver!$H$50)</f>
        <v/>
      </c>
      <c r="D635" s="60">
        <f>OR(BV635=Driver!$G$51,BV635=Driver!$H$51)</f>
        <v/>
      </c>
      <c r="E635" s="60">
        <f>AND(BX635&gt;Driver!$F$54,BX635&lt;Driver!$G$54)</f>
        <v/>
      </c>
      <c r="F635" s="60">
        <f>CL635&gt;Driver!$F$56</f>
        <v/>
      </c>
      <c r="G635" s="60">
        <f>AND(CB635&gt;Driver!$F$55,CB635&lt;Driver!$G$55)</f>
        <v/>
      </c>
      <c r="H635" s="60">
        <f>AND(B635:G635)</f>
        <v/>
      </c>
      <c r="I635" s="60">
        <f>COUNTIFS($H$9:$H$1273,TRUE,$BT$9:$BT$1273,BT635)</f>
        <v/>
      </c>
      <c r="J635" s="60">
        <f t="array" ref="J635">NOT(OR(($H$9:$H$1273=TRUE)*($I$9:$I$1273&gt;0)*($BT$9:$BT$1273=BT635)*($K$9:$K$1273&gt;K635)))</f>
        <v/>
      </c>
      <c r="K635" s="108">
        <f>IFERROR(1-AVERAGE(X635:Y635),"")</f>
        <v/>
      </c>
      <c r="L635" s="108">
        <f>1-X635</f>
        <v/>
      </c>
      <c r="M635" s="108">
        <f>1-Y635</f>
        <v/>
      </c>
      <c r="N635" s="108">
        <f>1-Z635</f>
        <v/>
      </c>
      <c r="O635" s="108">
        <f>1-AA635</f>
        <v/>
      </c>
      <c r="P635" s="108">
        <f>1-AB635</f>
        <v/>
      </c>
      <c r="Q635" s="108" t="n"/>
      <c r="R635" s="108" t="n"/>
      <c r="S635" s="108">
        <f>1-AE635</f>
        <v/>
      </c>
      <c r="T635" s="108">
        <f>1-AF635</f>
        <v/>
      </c>
      <c r="U635" s="108">
        <f>1-AG635</f>
        <v/>
      </c>
      <c r="V635" s="108">
        <f>1-AH635</f>
        <v/>
      </c>
      <c r="W635" s="108">
        <f>1-AI635</f>
        <v/>
      </c>
      <c r="X635" s="108">
        <f>ABS(AJ635-AJ$1)</f>
        <v/>
      </c>
      <c r="Y635" s="108">
        <f>AVERAGE(Z635:AB635)</f>
        <v/>
      </c>
      <c r="Z635" s="108">
        <f>ABS(AL635-AL$1)</f>
        <v/>
      </c>
      <c r="AA635" s="108">
        <f>ABS(AM635-AM$1)</f>
        <v/>
      </c>
      <c r="AB635" s="108">
        <f>ABS(AN635-AN$1)</f>
        <v/>
      </c>
      <c r="AC635" s="108" t="n"/>
      <c r="AD635" s="108" t="n"/>
      <c r="AE635" s="108">
        <f>ABS(AQ$1-AQ635)</f>
        <v/>
      </c>
      <c r="AF635" s="108">
        <f>ABS(AR$1-AR635)</f>
        <v/>
      </c>
      <c r="AG635" s="108">
        <f>ABS(AS$1-AS635)</f>
        <v/>
      </c>
      <c r="AH635" s="108">
        <f>ABS(AT$1-AT635)</f>
        <v/>
      </c>
      <c r="AI635" s="108">
        <f>ABS(AU$1-AU635)</f>
        <v/>
      </c>
      <c r="AJ635" s="108">
        <f>(AV635-Driver!$K$179)/(Driver!$L$179-Driver!$K$179)</f>
        <v/>
      </c>
      <c r="AK635" s="108">
        <f>(AW635-Driver!$K$180)/(Driver!$L$180-Driver!$K$180)</f>
        <v/>
      </c>
      <c r="AL635" s="108">
        <f>(AX635-Driver!$K$181)/(Driver!$L$181-Driver!$K$181)</f>
        <v/>
      </c>
      <c r="AM635" s="108">
        <f>(AY635-Driver!$K$182)/(Driver!$L$182-Driver!$K$182)</f>
        <v/>
      </c>
      <c r="AN635" s="108">
        <f>(AZ635-Driver!$K$183)/(Driver!$L$183-Driver!$K$183)</f>
        <v/>
      </c>
      <c r="AO635" s="108" t="n"/>
      <c r="AP635" s="108" t="n"/>
      <c r="AQ635" s="108">
        <f>(BC635-Driver!$K$188)/(Driver!$L$188-Driver!$K$188)</f>
        <v/>
      </c>
      <c r="AR635" s="108">
        <f>MIN((BD635-Driver!$K$189)/(Driver!$L$189-Driver!$K$189),100%)</f>
        <v/>
      </c>
      <c r="AS635" s="108">
        <f>(BE635-Driver!$K$190)/(Driver!$L$190-Driver!$K$190)</f>
        <v/>
      </c>
      <c r="AT635" s="108">
        <f>(BF635-Driver!$K$191)/(Driver!$L$191-Driver!$K$191)</f>
        <v/>
      </c>
      <c r="AU635" s="108">
        <f>(BG635-Driver!$K$192)/(Driver!$L$192-Driver!$K$192)</f>
        <v/>
      </c>
      <c r="AV635" s="105">
        <f>IFERROR(BM635*BJ635^1/4,"")</f>
        <v/>
      </c>
      <c r="AW635" s="105">
        <f>IFERROR(SUM(AX635:AZ635),"")</f>
        <v/>
      </c>
      <c r="AX635" s="105">
        <f>IFERROR(BH635,"")</f>
        <v/>
      </c>
      <c r="AY635" s="105">
        <f>IFERROR(Driver!$K$19/Data!BH635/Data!BI635*Data!BK635*Data!BL635,"")</f>
        <v/>
      </c>
      <c r="AZ635" s="105">
        <f>IFERROR(BI635*BN635,"")</f>
        <v/>
      </c>
      <c r="BA635" s="105" t="n"/>
      <c r="BB635" s="105" t="n"/>
      <c r="BC635" s="105">
        <f>IFERROR(BI635*BN635*BK635/BJ635^(1/2),"")</f>
        <v/>
      </c>
      <c r="BD635" s="105">
        <f>IFERROR(BH635*BM635*BL635/BJ635/BK635,"")</f>
        <v/>
      </c>
      <c r="BE635" s="105">
        <f>IFERROR(MIN(BI635/BQ635/BP635/BO635/BH635,$BE$1),"")</f>
        <v/>
      </c>
      <c r="BF635" s="105">
        <f>IFERROR(BJ635*BO635*BP635/BK635,"")</f>
        <v/>
      </c>
      <c r="BG635" s="105">
        <f>IFERROR(1/BM635/BH635*BQ635,"")</f>
        <v/>
      </c>
      <c r="BH635" s="102">
        <f>MAX((CE635-Driver!$F$200)/(Driver!$G$200-Driver!$F$200)*$BI$1,1)</f>
        <v/>
      </c>
      <c r="BI635" s="102">
        <f>MAX($BI$1*(BY635-Driver!$F$201)/(Driver!$G$201-Driver!$F$201),1)</f>
        <v/>
      </c>
      <c r="BJ635" s="102">
        <f>(CB635-Driver!$F$206)/(Driver!$G$206-Driver!$F$206)*$BI$1</f>
        <v/>
      </c>
      <c r="BK635" s="102">
        <f>(CD635-Driver!$F$203)/(Driver!$G$203-Driver!$F$203)*$BI$1</f>
        <v/>
      </c>
      <c r="BL635" s="102">
        <f>MAX((CR635-Driver!$F$202)/(Driver!$G$202-Driver!$F$202)*$BI$1,1)</f>
        <v/>
      </c>
      <c r="BM635" s="102">
        <f>MAX((CH635-Driver!$F$204)/(Driver!$G$204-Driver!$F$204)*$BI$1,1)</f>
        <v/>
      </c>
      <c r="BN635" s="102">
        <f>(CI635-Driver!$F$205)/(Driver!$G$205-Driver!$F$205)*$BI$1</f>
        <v/>
      </c>
      <c r="BO635" s="102">
        <f>(CK635-Driver!$F$207)/(Driver!$G$207-Driver!$F$207)*$BI$1</f>
        <v/>
      </c>
      <c r="BP635" s="102">
        <f>(CM635-Driver!$F$208)/(Driver!$G$208-Driver!$F$208)*$BI$1</f>
        <v/>
      </c>
      <c r="BQ635" s="102">
        <f>(CL635-Driver!$F$209)/(Driver!$G$209-Driver!$F$209)*$BI$1</f>
        <v/>
      </c>
      <c r="BR635" s="40" t="inlineStr">
        <is>
          <t>21/22</t>
        </is>
      </c>
      <c r="BS635" s="10" t="inlineStr">
        <is>
          <t xml:space="preserve"> Stöckli</t>
        </is>
      </c>
      <c r="BT635" s="11" t="inlineStr">
        <is>
          <t>Edge 88</t>
        </is>
      </c>
      <c r="BU635" s="13" t="n">
        <v>165</v>
      </c>
      <c r="BV635" s="11" t="inlineStr">
        <is>
          <t xml:space="preserve"> Unisex</t>
        </is>
      </c>
      <c r="BW635" s="13" t="n">
        <v>165</v>
      </c>
      <c r="BX635" s="13" t="n">
        <v>164.2</v>
      </c>
      <c r="BY635" s="13" t="n">
        <v>137</v>
      </c>
      <c r="BZ635" s="13" t="n">
        <v>144</v>
      </c>
      <c r="CA635" s="13" t="n">
        <v>123</v>
      </c>
      <c r="CB635" s="13" t="n">
        <v>87</v>
      </c>
      <c r="CC635" s="13" t="n">
        <v>111</v>
      </c>
      <c r="CD635" s="13" t="n">
        <v>17.1</v>
      </c>
      <c r="CE635" s="13" t="n">
        <v>1478</v>
      </c>
      <c r="CF635" s="13" t="n">
        <v>1.09</v>
      </c>
      <c r="CG635" s="13" t="n">
        <v>1613</v>
      </c>
      <c r="CH635" s="13" t="n">
        <v>146</v>
      </c>
      <c r="CI635" s="13" t="n">
        <v>80</v>
      </c>
      <c r="CJ635" s="13" t="n">
        <v>40</v>
      </c>
      <c r="CK635" s="13" t="n">
        <v>195</v>
      </c>
      <c r="CL635" s="13" t="n">
        <v>9</v>
      </c>
      <c r="CM635" s="13" t="n">
        <v>73</v>
      </c>
      <c r="CN635" s="13" t="n">
        <v>0.223</v>
      </c>
      <c r="CO635" s="13" t="n">
        <v>140</v>
      </c>
      <c r="CP635" s="13" t="n">
        <v>59</v>
      </c>
      <c r="CQ635" s="13" t="n">
        <v>56</v>
      </c>
      <c r="CR635" s="13" t="n">
        <v>8</v>
      </c>
      <c r="CS635" s="13" t="n">
        <v>13.4</v>
      </c>
      <c r="CT635" s="11" t="inlineStr">
        <is>
          <t xml:space="preserve"> Resort Freeride</t>
        </is>
      </c>
      <c r="CU635" s="11" t="inlineStr">
        <is>
          <t xml:space="preserve"> Touring</t>
        </is>
      </c>
      <c r="CV635" s="13" t="n"/>
      <c r="CW635" s="13" t="n"/>
      <c r="CX635">
        <f>INDEX('Data_Price '!AG$2:AG$1266,MATCH(Data!$DN635,'Data_Price '!$AT$2:$AT$1266,0))</f>
        <v/>
      </c>
      <c r="CY635">
        <f>INDEX('Data_Price '!AH$2:AH$1266,MATCH(Data!$DN635,'Data_Price '!$AT$2:$AT$1266,0))</f>
        <v/>
      </c>
      <c r="CZ635">
        <f>INDEX('Data_Price '!AI$2:AI$1266,MATCH(Data!$DN635,'Data_Price '!$AT$2:$AT$1266,0))</f>
        <v/>
      </c>
      <c r="DA635">
        <f>INDEX('Data_Price '!AJ$2:AJ$1266,MATCH(Data!$DN635,'Data_Price '!$AT$2:$AT$1266,0))</f>
        <v/>
      </c>
      <c r="DB635">
        <f>INDEX('Data_Price '!AK$2:AK$1266,MATCH(Data!$DN635,'Data_Price '!$AT$2:$AT$1266,0))</f>
        <v/>
      </c>
      <c r="DC635">
        <f>INDEX('Data_Price '!AL$2:AL$1266,MATCH(Data!$DN635,'Data_Price '!$AT$2:$AT$1266,0))</f>
        <v/>
      </c>
      <c r="DD635">
        <f>INDEX('Data_Price '!AM$2:AM$1266,MATCH(Data!$DN635,'Data_Price '!$AT$2:$AT$1266,0))</f>
        <v/>
      </c>
      <c r="DE635">
        <f>INDEX('Data_Price '!AN$2:AN$1266,MATCH(Data!$DN635,'Data_Price '!$AT$2:$AT$1266,0))</f>
        <v/>
      </c>
      <c r="DF635">
        <f>INDEX('Data_Price '!AO$2:AO$1266,MATCH(Data!$DN635,'Data_Price '!$AT$2:$AT$1266,0))</f>
        <v/>
      </c>
      <c r="DG635">
        <f>INDEX('Data_Price '!AP$2:AP$1266,MATCH(Data!$DN635,'Data_Price '!$AT$2:$AT$1266,0))</f>
        <v/>
      </c>
      <c r="DH635">
        <f>INDEX('Data_Price '!AQ$2:AQ$1266,MATCH(Data!$DN635,'Data_Price '!$AT$2:$AT$1266,0))</f>
        <v/>
      </c>
      <c r="DI635">
        <f>INDEX('Data_Price '!AR$2:AR$1266,MATCH(Data!$DN635,'Data_Price '!$AT$2:$AT$1266,0))</f>
        <v/>
      </c>
      <c r="DJ635" s="138">
        <f>DA635</f>
        <v/>
      </c>
      <c r="DK635" s="138">
        <f>DE635</f>
        <v/>
      </c>
      <c r="DL635" s="138">
        <f>DI635</f>
        <v/>
      </c>
      <c r="DM635" s="303">
        <f>IF(LEFT(BT635,1)=" ",RIGHT(BT635,LEN(BT635)-1),BT635)</f>
        <v/>
      </c>
      <c r="DN635" s="138">
        <f>_xlfn.CONCAT(BS635,DM635,BU635,BV635)</f>
        <v/>
      </c>
      <c r="DO635" s="307" t="n"/>
    </row>
    <row r="636" ht="15.6" customHeight="1" s="184">
      <c r="B636" s="303">
        <f t="array" ref="B636">IF(OR(ISERROR(K636:P636)),FALSE,TRUE)</f>
        <v/>
      </c>
      <c r="C636" s="60">
        <f>OR(BR636=Driver!$G$50,Data!BR1075=Driver!$H$50)</f>
        <v/>
      </c>
      <c r="D636" s="60">
        <f>OR(BV636=Driver!$G$51,BV636=Driver!$H$51)</f>
        <v/>
      </c>
      <c r="E636" s="60">
        <f>AND(BX636&gt;Driver!$F$54,BX636&lt;Driver!$G$54)</f>
        <v/>
      </c>
      <c r="F636" s="60">
        <f>CL636&gt;Driver!$F$56</f>
        <v/>
      </c>
      <c r="G636" s="60">
        <f>AND(CB636&gt;Driver!$F$55,CB636&lt;Driver!$G$55)</f>
        <v/>
      </c>
      <c r="H636" s="60">
        <f>AND(B636:G636)</f>
        <v/>
      </c>
      <c r="I636" s="60">
        <f>COUNTIFS($H$9:$H$1273,TRUE,$BT$9:$BT$1273,BT636)</f>
        <v/>
      </c>
      <c r="J636" s="60">
        <f t="array" ref="J636">NOT(OR(($H$9:$H$1273=TRUE)*($I$9:$I$1273&gt;0)*($BT$9:$BT$1273=BT636)*($K$9:$K$1273&gt;K636)))</f>
        <v/>
      </c>
      <c r="K636" s="108">
        <f>IFERROR(1-AVERAGE(X636:Y636),"")</f>
        <v/>
      </c>
      <c r="L636" s="108">
        <f>1-X636</f>
        <v/>
      </c>
      <c r="M636" s="108">
        <f>1-Y636</f>
        <v/>
      </c>
      <c r="N636" s="108">
        <f>1-Z636</f>
        <v/>
      </c>
      <c r="O636" s="108">
        <f>1-AA636</f>
        <v/>
      </c>
      <c r="P636" s="108">
        <f>1-AB636</f>
        <v/>
      </c>
      <c r="Q636" s="108" t="n"/>
      <c r="R636" s="108" t="n"/>
      <c r="S636" s="108">
        <f>1-AE636</f>
        <v/>
      </c>
      <c r="T636" s="108">
        <f>1-AF636</f>
        <v/>
      </c>
      <c r="U636" s="108">
        <f>1-AG636</f>
        <v/>
      </c>
      <c r="V636" s="108">
        <f>1-AH636</f>
        <v/>
      </c>
      <c r="W636" s="108">
        <f>1-AI636</f>
        <v/>
      </c>
      <c r="X636" s="108">
        <f>ABS(AJ636-AJ$1)</f>
        <v/>
      </c>
      <c r="Y636" s="108">
        <f>AVERAGE(Z636:AB636)</f>
        <v/>
      </c>
      <c r="Z636" s="108">
        <f>ABS(AL636-AL$1)</f>
        <v/>
      </c>
      <c r="AA636" s="108">
        <f>ABS(AM636-AM$1)</f>
        <v/>
      </c>
      <c r="AB636" s="108">
        <f>ABS(AN636-AN$1)</f>
        <v/>
      </c>
      <c r="AC636" s="108" t="n"/>
      <c r="AD636" s="108" t="n"/>
      <c r="AE636" s="108">
        <f>ABS(AQ$1-AQ636)</f>
        <v/>
      </c>
      <c r="AF636" s="108">
        <f>ABS(AR$1-AR636)</f>
        <v/>
      </c>
      <c r="AG636" s="108">
        <f>ABS(AS$1-AS636)</f>
        <v/>
      </c>
      <c r="AH636" s="108">
        <f>ABS(AT$1-AT636)</f>
        <v/>
      </c>
      <c r="AI636" s="108">
        <f>ABS(AU$1-AU636)</f>
        <v/>
      </c>
      <c r="AJ636" s="108">
        <f>(AV636-Driver!$K$179)/(Driver!$L$179-Driver!$K$179)</f>
        <v/>
      </c>
      <c r="AK636" s="108">
        <f>(AW636-Driver!$K$180)/(Driver!$L$180-Driver!$K$180)</f>
        <v/>
      </c>
      <c r="AL636" s="108">
        <f>(AX636-Driver!$K$181)/(Driver!$L$181-Driver!$K$181)</f>
        <v/>
      </c>
      <c r="AM636" s="108">
        <f>(AY636-Driver!$K$182)/(Driver!$L$182-Driver!$K$182)</f>
        <v/>
      </c>
      <c r="AN636" s="108">
        <f>(AZ636-Driver!$K$183)/(Driver!$L$183-Driver!$K$183)</f>
        <v/>
      </c>
      <c r="AO636" s="108" t="n"/>
      <c r="AP636" s="108" t="n"/>
      <c r="AQ636" s="108">
        <f>(BC636-Driver!$K$188)/(Driver!$L$188-Driver!$K$188)</f>
        <v/>
      </c>
      <c r="AR636" s="108">
        <f>MIN((BD636-Driver!$K$189)/(Driver!$L$189-Driver!$K$189),100%)</f>
        <v/>
      </c>
      <c r="AS636" s="108">
        <f>(BE636-Driver!$K$190)/(Driver!$L$190-Driver!$K$190)</f>
        <v/>
      </c>
      <c r="AT636" s="108">
        <f>(BF636-Driver!$K$191)/(Driver!$L$191-Driver!$K$191)</f>
        <v/>
      </c>
      <c r="AU636" s="108">
        <f>(BG636-Driver!$K$192)/(Driver!$L$192-Driver!$K$192)</f>
        <v/>
      </c>
      <c r="AV636" s="105">
        <f>IFERROR(BM636*BJ636^1/4,"")</f>
        <v/>
      </c>
      <c r="AW636" s="105">
        <f>IFERROR(SUM(AX636:AZ636),"")</f>
        <v/>
      </c>
      <c r="AX636" s="105">
        <f>IFERROR(BH636,"")</f>
        <v/>
      </c>
      <c r="AY636" s="105">
        <f>IFERROR(Driver!$K$19/Data!BH636/Data!BI636*Data!BK636*Data!BL636,"")</f>
        <v/>
      </c>
      <c r="AZ636" s="105">
        <f>IFERROR(BI636*BN636,"")</f>
        <v/>
      </c>
      <c r="BA636" s="105" t="n"/>
      <c r="BB636" s="105" t="n"/>
      <c r="BC636" s="105">
        <f>IFERROR(BI636*BN636*BK636/BJ636^(1/2),"")</f>
        <v/>
      </c>
      <c r="BD636" s="105">
        <f>IFERROR(BH636*BM636*BL636/BJ636/BK636,"")</f>
        <v/>
      </c>
      <c r="BE636" s="105">
        <f>IFERROR(MIN(BI636/BQ636/BP636/BO636/BH636,$BE$1),"")</f>
        <v/>
      </c>
      <c r="BF636" s="105">
        <f>IFERROR(BJ636*BO636*BP636/BK636,"")</f>
        <v/>
      </c>
      <c r="BG636" s="105">
        <f>IFERROR(1/BM636/BH636*BQ636,"")</f>
        <v/>
      </c>
      <c r="BH636" s="102">
        <f>MAX((CE636-Driver!$F$200)/(Driver!$G$200-Driver!$F$200)*$BI$1,1)</f>
        <v/>
      </c>
      <c r="BI636" s="102">
        <f>MAX($BI$1*(BY636-Driver!$F$201)/(Driver!$G$201-Driver!$F$201),1)</f>
        <v/>
      </c>
      <c r="BJ636" s="102">
        <f>(CB636-Driver!$F$206)/(Driver!$G$206-Driver!$F$206)*$BI$1</f>
        <v/>
      </c>
      <c r="BK636" s="102">
        <f>(CD636-Driver!$F$203)/(Driver!$G$203-Driver!$F$203)*$BI$1</f>
        <v/>
      </c>
      <c r="BL636" s="102">
        <f>MAX((CR636-Driver!$F$202)/(Driver!$G$202-Driver!$F$202)*$BI$1,1)</f>
        <v/>
      </c>
      <c r="BM636" s="102">
        <f>MAX((CH636-Driver!$F$204)/(Driver!$G$204-Driver!$F$204)*$BI$1,1)</f>
        <v/>
      </c>
      <c r="BN636" s="102">
        <f>(CI636-Driver!$F$205)/(Driver!$G$205-Driver!$F$205)*$BI$1</f>
        <v/>
      </c>
      <c r="BO636" s="102">
        <f>(CK636-Driver!$F$207)/(Driver!$G$207-Driver!$F$207)*$BI$1</f>
        <v/>
      </c>
      <c r="BP636" s="102">
        <f>(CM636-Driver!$F$208)/(Driver!$G$208-Driver!$F$208)*$BI$1</f>
        <v/>
      </c>
      <c r="BQ636" s="102">
        <f>(CL636-Driver!$F$209)/(Driver!$G$209-Driver!$F$209)*$BI$1</f>
        <v/>
      </c>
      <c r="BR636" s="40" t="inlineStr">
        <is>
          <t>21/22</t>
        </is>
      </c>
      <c r="BS636" s="10" t="inlineStr">
        <is>
          <t xml:space="preserve"> Salomon</t>
        </is>
      </c>
      <c r="BT636" s="11" t="inlineStr">
        <is>
          <t>QST 98</t>
        </is>
      </c>
      <c r="BU636" s="13" t="n">
        <v>176</v>
      </c>
      <c r="BV636" s="11" t="inlineStr">
        <is>
          <t xml:space="preserve"> Unisex</t>
        </is>
      </c>
      <c r="BW636" s="13" t="n">
        <v>176</v>
      </c>
      <c r="BX636" s="13" t="n">
        <v>177.6</v>
      </c>
      <c r="BY636" s="13" t="n">
        <v>102</v>
      </c>
      <c r="BZ636" s="13" t="n">
        <v>134</v>
      </c>
      <c r="CA636" s="13" t="n">
        <v>131</v>
      </c>
      <c r="CB636" s="13" t="n">
        <v>97</v>
      </c>
      <c r="CC636" s="13" t="n">
        <v>119</v>
      </c>
      <c r="CD636" s="13" t="n">
        <v>13.4</v>
      </c>
      <c r="CE636" s="13" t="n">
        <v>1987</v>
      </c>
      <c r="CF636" s="13" t="n">
        <v>0.98</v>
      </c>
      <c r="CG636" s="13" t="n">
        <v>1941</v>
      </c>
      <c r="CH636" s="13" t="n">
        <v>190</v>
      </c>
      <c r="CI636" s="13" t="n">
        <v>88</v>
      </c>
      <c r="CJ636" s="13" t="n">
        <v>57</v>
      </c>
      <c r="CK636" s="13" t="n">
        <v>394</v>
      </c>
      <c r="CL636" s="13" t="n">
        <v>29</v>
      </c>
      <c r="CM636" s="13" t="n">
        <v>364</v>
      </c>
      <c r="CN636" s="13" t="n">
        <v>0.507</v>
      </c>
      <c r="CO636" s="13" t="n">
        <v>248</v>
      </c>
      <c r="CP636" s="13" t="n">
        <v>186</v>
      </c>
      <c r="CQ636" s="13" t="n">
        <v>146</v>
      </c>
      <c r="CR636" s="13" t="n">
        <v>6</v>
      </c>
      <c r="CS636" s="13" t="n">
        <v>8.6</v>
      </c>
      <c r="CT636" s="11" t="inlineStr">
        <is>
          <t xml:space="preserve"> Resort Freeride</t>
        </is>
      </c>
      <c r="CU636" s="13" t="n"/>
      <c r="CV636" s="13" t="n"/>
      <c r="CW636" s="13" t="n"/>
      <c r="CX636">
        <f>INDEX('Data_Price '!AG$2:AG$1266,MATCH(Data!$DN636,'Data_Price '!$AT$2:$AT$1266,0))</f>
        <v/>
      </c>
      <c r="CY636">
        <f>INDEX('Data_Price '!AH$2:AH$1266,MATCH(Data!$DN636,'Data_Price '!$AT$2:$AT$1266,0))</f>
        <v/>
      </c>
      <c r="CZ636">
        <f>INDEX('Data_Price '!AI$2:AI$1266,MATCH(Data!$DN636,'Data_Price '!$AT$2:$AT$1266,0))</f>
        <v/>
      </c>
      <c r="DA636">
        <f>INDEX('Data_Price '!AJ$2:AJ$1266,MATCH(Data!$DN636,'Data_Price '!$AT$2:$AT$1266,0))</f>
        <v/>
      </c>
      <c r="DB636">
        <f>INDEX('Data_Price '!AK$2:AK$1266,MATCH(Data!$DN636,'Data_Price '!$AT$2:$AT$1266,0))</f>
        <v/>
      </c>
      <c r="DC636">
        <f>INDEX('Data_Price '!AL$2:AL$1266,MATCH(Data!$DN636,'Data_Price '!$AT$2:$AT$1266,0))</f>
        <v/>
      </c>
      <c r="DD636">
        <f>INDEX('Data_Price '!AM$2:AM$1266,MATCH(Data!$DN636,'Data_Price '!$AT$2:$AT$1266,0))</f>
        <v/>
      </c>
      <c r="DE636">
        <f>INDEX('Data_Price '!AN$2:AN$1266,MATCH(Data!$DN636,'Data_Price '!$AT$2:$AT$1266,0))</f>
        <v/>
      </c>
      <c r="DF636">
        <f>INDEX('Data_Price '!AO$2:AO$1266,MATCH(Data!$DN636,'Data_Price '!$AT$2:$AT$1266,0))</f>
        <v/>
      </c>
      <c r="DG636">
        <f>INDEX('Data_Price '!AP$2:AP$1266,MATCH(Data!$DN636,'Data_Price '!$AT$2:$AT$1266,0))</f>
        <v/>
      </c>
      <c r="DH636">
        <f>INDEX('Data_Price '!AQ$2:AQ$1266,MATCH(Data!$DN636,'Data_Price '!$AT$2:$AT$1266,0))</f>
        <v/>
      </c>
      <c r="DI636">
        <f>INDEX('Data_Price '!AR$2:AR$1266,MATCH(Data!$DN636,'Data_Price '!$AT$2:$AT$1266,0))</f>
        <v/>
      </c>
      <c r="DJ636" s="138">
        <f>DA636</f>
        <v/>
      </c>
      <c r="DK636" s="138">
        <f>DE636</f>
        <v/>
      </c>
      <c r="DL636" s="138">
        <f>DI636</f>
        <v/>
      </c>
      <c r="DM636" s="303">
        <f>IF(LEFT(BT636,1)=" ",RIGHT(BT636,LEN(BT636)-1),BT636)</f>
        <v/>
      </c>
      <c r="DN636" s="138">
        <f>_xlfn.CONCAT(BS636,DM636,BU636,BV636)</f>
        <v/>
      </c>
      <c r="DO636" s="307" t="inlineStr">
        <is>
          <t>https://images.evo.com/imgp/250/197273/812057/salomon-qst-98-skis-2022-.jpg</t>
        </is>
      </c>
    </row>
    <row r="637" ht="15.6" customHeight="1" s="184">
      <c r="B637" s="303">
        <f t="array" ref="B637">IF(OR(ISERROR(K637:P637)),FALSE,TRUE)</f>
        <v/>
      </c>
      <c r="C637" s="60">
        <f>OR(BR637=Driver!$G$50,Data!BR184=Driver!$H$50)</f>
        <v/>
      </c>
      <c r="D637" s="60">
        <f>OR(BV637=Driver!$G$51,BV637=Driver!$H$51)</f>
        <v/>
      </c>
      <c r="E637" s="60">
        <f>AND(BX637&gt;Driver!$F$54,BX637&lt;Driver!$G$54)</f>
        <v/>
      </c>
      <c r="F637" s="60">
        <f>CL637&gt;Driver!$F$56</f>
        <v/>
      </c>
      <c r="G637" s="60">
        <f>AND(CB637&gt;Driver!$F$55,CB637&lt;Driver!$G$55)</f>
        <v/>
      </c>
      <c r="H637" s="60">
        <f>AND(B637:G637)</f>
        <v/>
      </c>
      <c r="I637" s="60">
        <f>COUNTIFS($H$9:$H$1273,TRUE,$BT$9:$BT$1273,BT637)</f>
        <v/>
      </c>
      <c r="J637" s="60">
        <f t="array" ref="J637">NOT(OR(($H$9:$H$1273=TRUE)*($I$9:$I$1273&gt;0)*($BT$9:$BT$1273=BT637)*($K$9:$K$1273&gt;K637)))</f>
        <v/>
      </c>
      <c r="K637" s="108">
        <f>IFERROR(1-AVERAGE(X637:Y637),"")</f>
        <v/>
      </c>
      <c r="L637" s="108">
        <f>1-X637</f>
        <v/>
      </c>
      <c r="M637" s="108">
        <f>1-Y637</f>
        <v/>
      </c>
      <c r="N637" s="108">
        <f>1-Z637</f>
        <v/>
      </c>
      <c r="O637" s="108">
        <f>1-AA637</f>
        <v/>
      </c>
      <c r="P637" s="108">
        <f>1-AB637</f>
        <v/>
      </c>
      <c r="Q637" s="108" t="n"/>
      <c r="R637" s="108" t="n"/>
      <c r="S637" s="108">
        <f>1-AE637</f>
        <v/>
      </c>
      <c r="T637" s="108">
        <f>1-AF637</f>
        <v/>
      </c>
      <c r="U637" s="108">
        <f>1-AG637</f>
        <v/>
      </c>
      <c r="V637" s="108">
        <f>1-AH637</f>
        <v/>
      </c>
      <c r="W637" s="108">
        <f>1-AI637</f>
        <v/>
      </c>
      <c r="X637" s="108">
        <f>ABS(AJ637-AJ$1)</f>
        <v/>
      </c>
      <c r="Y637" s="108">
        <f>AVERAGE(Z637:AB637)</f>
        <v/>
      </c>
      <c r="Z637" s="108">
        <f>ABS(AL637-AL$1)</f>
        <v/>
      </c>
      <c r="AA637" s="108">
        <f>ABS(AM637-AM$1)</f>
        <v/>
      </c>
      <c r="AB637" s="108">
        <f>ABS(AN637-AN$1)</f>
        <v/>
      </c>
      <c r="AC637" s="108" t="n"/>
      <c r="AD637" s="108" t="n"/>
      <c r="AE637" s="108">
        <f>ABS(AQ$1-AQ637)</f>
        <v/>
      </c>
      <c r="AF637" s="108">
        <f>ABS(AR$1-AR637)</f>
        <v/>
      </c>
      <c r="AG637" s="108">
        <f>ABS(AS$1-AS637)</f>
        <v/>
      </c>
      <c r="AH637" s="108">
        <f>ABS(AT$1-AT637)</f>
        <v/>
      </c>
      <c r="AI637" s="108">
        <f>ABS(AU$1-AU637)</f>
        <v/>
      </c>
      <c r="AJ637" s="108">
        <f>(AV637-Driver!$K$179)/(Driver!$L$179-Driver!$K$179)</f>
        <v/>
      </c>
      <c r="AK637" s="108">
        <f>(AW637-Driver!$K$180)/(Driver!$L$180-Driver!$K$180)</f>
        <v/>
      </c>
      <c r="AL637" s="108">
        <f>(AX637-Driver!$K$181)/(Driver!$L$181-Driver!$K$181)</f>
        <v/>
      </c>
      <c r="AM637" s="108">
        <f>(AY637-Driver!$K$182)/(Driver!$L$182-Driver!$K$182)</f>
        <v/>
      </c>
      <c r="AN637" s="108">
        <f>(AZ637-Driver!$K$183)/(Driver!$L$183-Driver!$K$183)</f>
        <v/>
      </c>
      <c r="AO637" s="108" t="n"/>
      <c r="AP637" s="108" t="n"/>
      <c r="AQ637" s="108">
        <f>(BC637-Driver!$K$188)/(Driver!$L$188-Driver!$K$188)</f>
        <v/>
      </c>
      <c r="AR637" s="108">
        <f>MIN((BD637-Driver!$K$189)/(Driver!$L$189-Driver!$K$189),100%)</f>
        <v/>
      </c>
      <c r="AS637" s="108">
        <f>(BE637-Driver!$K$190)/(Driver!$L$190-Driver!$K$190)</f>
        <v/>
      </c>
      <c r="AT637" s="108">
        <f>(BF637-Driver!$K$191)/(Driver!$L$191-Driver!$K$191)</f>
        <v/>
      </c>
      <c r="AU637" s="108">
        <f>(BG637-Driver!$K$192)/(Driver!$L$192-Driver!$K$192)</f>
        <v/>
      </c>
      <c r="AV637" s="105">
        <f>IFERROR(BM637*BJ637^1/4,"")</f>
        <v/>
      </c>
      <c r="AW637" s="105">
        <f>IFERROR(SUM(AX637:AZ637),"")</f>
        <v/>
      </c>
      <c r="AX637" s="105">
        <f>IFERROR(BH637,"")</f>
        <v/>
      </c>
      <c r="AY637" s="105">
        <f>IFERROR(Driver!$K$19/Data!BH637/Data!BI637*Data!BK637*Data!BL637,"")</f>
        <v/>
      </c>
      <c r="AZ637" s="105">
        <f>IFERROR(BI637*BN637,"")</f>
        <v/>
      </c>
      <c r="BA637" s="105" t="n"/>
      <c r="BB637" s="105" t="n"/>
      <c r="BC637" s="105">
        <f>IFERROR(BI637*BN637*BK637/BJ637^(1/2),"")</f>
        <v/>
      </c>
      <c r="BD637" s="105">
        <f>IFERROR(BH637*BM637*BL637/BJ637/BK637,"")</f>
        <v/>
      </c>
      <c r="BE637" s="105">
        <f>IFERROR(MIN(BI637/BQ637/BP637/BO637/BH637,$BE$1),"")</f>
        <v/>
      </c>
      <c r="BF637" s="105">
        <f>IFERROR(BJ637*BO637*BP637/BK637,"")</f>
        <v/>
      </c>
      <c r="BG637" s="105">
        <f>IFERROR(1/BM637/BH637*BQ637,"")</f>
        <v/>
      </c>
      <c r="BH637" s="102">
        <f>MAX((CE637-Driver!$F$200)/(Driver!$G$200-Driver!$F$200)*$BI$1,1)</f>
        <v/>
      </c>
      <c r="BI637" s="102">
        <f>MAX($BI$1*(BY637-Driver!$F$201)/(Driver!$G$201-Driver!$F$201),1)</f>
        <v/>
      </c>
      <c r="BJ637" s="102">
        <f>(CB637-Driver!$F$206)/(Driver!$G$206-Driver!$F$206)*$BI$1</f>
        <v/>
      </c>
      <c r="BK637" s="102">
        <f>(CD637-Driver!$F$203)/(Driver!$G$203-Driver!$F$203)*$BI$1</f>
        <v/>
      </c>
      <c r="BL637" s="102">
        <f>MAX((CR637-Driver!$F$202)/(Driver!$G$202-Driver!$F$202)*$BI$1,1)</f>
        <v/>
      </c>
      <c r="BM637" s="102">
        <f>MAX((CH637-Driver!$F$204)/(Driver!$G$204-Driver!$F$204)*$BI$1,1)</f>
        <v/>
      </c>
      <c r="BN637" s="102">
        <f>(CI637-Driver!$F$205)/(Driver!$G$205-Driver!$F$205)*$BI$1</f>
        <v/>
      </c>
      <c r="BO637" s="102">
        <f>(CK637-Driver!$F$207)/(Driver!$G$207-Driver!$F$207)*$BI$1</f>
        <v/>
      </c>
      <c r="BP637" s="102">
        <f>(CM637-Driver!$F$208)/(Driver!$G$208-Driver!$F$208)*$BI$1</f>
        <v/>
      </c>
      <c r="BQ637" s="102">
        <f>(CL637-Driver!$F$209)/(Driver!$G$209-Driver!$F$209)*$BI$1</f>
        <v/>
      </c>
      <c r="BR637" s="40" t="inlineStr">
        <is>
          <t>21/22</t>
        </is>
      </c>
      <c r="BS637" s="10" t="inlineStr">
        <is>
          <t xml:space="preserve"> Atomic</t>
        </is>
      </c>
      <c r="BT637" s="11" t="inlineStr">
        <is>
          <t>Redster X7 WB</t>
        </is>
      </c>
      <c r="BU637" s="13" t="n">
        <v>160</v>
      </c>
      <c r="BV637" s="11" t="inlineStr">
        <is>
          <t xml:space="preserve"> Unisex</t>
        </is>
      </c>
      <c r="BW637" s="13" t="n">
        <v>160</v>
      </c>
      <c r="BX637" s="13" t="n">
        <v>159.3</v>
      </c>
      <c r="BY637" s="13" t="n">
        <v>140</v>
      </c>
      <c r="BZ637" s="13" t="n">
        <v>145</v>
      </c>
      <c r="CA637" s="13" t="n">
        <v>123</v>
      </c>
      <c r="CB637" s="13" t="n">
        <v>75</v>
      </c>
      <c r="CC637" s="13" t="n">
        <v>106</v>
      </c>
      <c r="CD637" s="13" t="n">
        <v>13</v>
      </c>
      <c r="CE637" s="13" t="n">
        <v>1663</v>
      </c>
      <c r="CF637" s="13" t="n">
        <v>0.86</v>
      </c>
      <c r="CG637" s="13" t="n">
        <v>1425</v>
      </c>
      <c r="CH637" s="13" t="n">
        <v>168</v>
      </c>
      <c r="CI637" s="13" t="n">
        <v>74</v>
      </c>
      <c r="CJ637" s="13" t="n">
        <v>38</v>
      </c>
      <c r="CK637" s="13" t="n">
        <v>142</v>
      </c>
      <c r="CL637" s="13" t="n">
        <v>5</v>
      </c>
      <c r="CM637" s="13" t="n">
        <v>53</v>
      </c>
      <c r="CN637" s="13" t="n">
        <v>0.129</v>
      </c>
      <c r="CO637" s="13" t="n">
        <v>89</v>
      </c>
      <c r="CP637" s="13" t="n">
        <v>54</v>
      </c>
      <c r="CQ637" s="13" t="n">
        <v>54</v>
      </c>
      <c r="CR637" s="13" t="n">
        <v>9</v>
      </c>
      <c r="CS637" s="13" t="n">
        <v>12.6</v>
      </c>
      <c r="CT637" s="11" t="inlineStr">
        <is>
          <t xml:space="preserve"> On-Piste Carving</t>
        </is>
      </c>
      <c r="CU637" s="13" t="n"/>
      <c r="CV637" s="13" t="n"/>
      <c r="CW637" s="13" t="n"/>
      <c r="CX637">
        <f>INDEX('Data_Price '!AG$2:AG$1266,MATCH(Data!$DN637,'Data_Price '!$AT$2:$AT$1266,0))</f>
        <v/>
      </c>
      <c r="CY637">
        <f>INDEX('Data_Price '!AH$2:AH$1266,MATCH(Data!$DN637,'Data_Price '!$AT$2:$AT$1266,0))</f>
        <v/>
      </c>
      <c r="CZ637">
        <f>INDEX('Data_Price '!AI$2:AI$1266,MATCH(Data!$DN637,'Data_Price '!$AT$2:$AT$1266,0))</f>
        <v/>
      </c>
      <c r="DA637">
        <f>INDEX('Data_Price '!AJ$2:AJ$1266,MATCH(Data!$DN637,'Data_Price '!$AT$2:$AT$1266,0))</f>
        <v/>
      </c>
      <c r="DB637">
        <f>INDEX('Data_Price '!AK$2:AK$1266,MATCH(Data!$DN637,'Data_Price '!$AT$2:$AT$1266,0))</f>
        <v/>
      </c>
      <c r="DC637">
        <f>INDEX('Data_Price '!AL$2:AL$1266,MATCH(Data!$DN637,'Data_Price '!$AT$2:$AT$1266,0))</f>
        <v/>
      </c>
      <c r="DD637">
        <f>INDEX('Data_Price '!AM$2:AM$1266,MATCH(Data!$DN637,'Data_Price '!$AT$2:$AT$1266,0))</f>
        <v/>
      </c>
      <c r="DE637">
        <f>INDEX('Data_Price '!AN$2:AN$1266,MATCH(Data!$DN637,'Data_Price '!$AT$2:$AT$1266,0))</f>
        <v/>
      </c>
      <c r="DF637">
        <f>INDEX('Data_Price '!AO$2:AO$1266,MATCH(Data!$DN637,'Data_Price '!$AT$2:$AT$1266,0))</f>
        <v/>
      </c>
      <c r="DG637">
        <f>INDEX('Data_Price '!AP$2:AP$1266,MATCH(Data!$DN637,'Data_Price '!$AT$2:$AT$1266,0))</f>
        <v/>
      </c>
      <c r="DH637">
        <f>INDEX('Data_Price '!AQ$2:AQ$1266,MATCH(Data!$DN637,'Data_Price '!$AT$2:$AT$1266,0))</f>
        <v/>
      </c>
      <c r="DI637">
        <f>INDEX('Data_Price '!AR$2:AR$1266,MATCH(Data!$DN637,'Data_Price '!$AT$2:$AT$1266,0))</f>
        <v/>
      </c>
      <c r="DJ637" s="138">
        <f>DA637</f>
        <v/>
      </c>
      <c r="DK637" s="138">
        <f>DE637</f>
        <v/>
      </c>
      <c r="DL637" s="138">
        <f>DI637</f>
        <v/>
      </c>
      <c r="DM637" s="303">
        <f>IF(LEFT(BT637,1)=" ",RIGHT(BT637,LEN(BT637)-1),BT637)</f>
        <v/>
      </c>
      <c r="DN637" s="138">
        <f>_xlfn.CONCAT(BS637,DM637,BU637,BV637)</f>
        <v/>
      </c>
      <c r="DO637" s="307" t="n"/>
    </row>
    <row r="638" ht="15.6" customHeight="1" s="184">
      <c r="B638" s="303">
        <f t="array" ref="B638">IF(OR(ISERROR(K638:P638)),FALSE,TRUE)</f>
        <v/>
      </c>
      <c r="C638" s="60">
        <f>OR(BR638=Driver!$G$50,Data!BR741=Driver!$H$50)</f>
        <v/>
      </c>
      <c r="D638" s="60">
        <f>OR(BV638=Driver!$G$51,BV638=Driver!$H$51)</f>
        <v/>
      </c>
      <c r="E638" s="60">
        <f>AND(BX638&gt;Driver!$F$54,BX638&lt;Driver!$G$54)</f>
        <v/>
      </c>
      <c r="F638" s="60">
        <f>CL638&gt;Driver!$F$56</f>
        <v/>
      </c>
      <c r="G638" s="60">
        <f>AND(CB638&gt;Driver!$F$55,CB638&lt;Driver!$G$55)</f>
        <v/>
      </c>
      <c r="H638" s="60">
        <f>AND(B638:G638)</f>
        <v/>
      </c>
      <c r="I638" s="60">
        <f>COUNTIFS($H$9:$H$1273,TRUE,$BT$9:$BT$1273,BT638)</f>
        <v/>
      </c>
      <c r="J638" s="60">
        <f t="array" ref="J638">NOT(OR(($H$9:$H$1273=TRUE)*($I$9:$I$1273&gt;0)*($BT$9:$BT$1273=BT638)*($K$9:$K$1273&gt;K638)))</f>
        <v/>
      </c>
      <c r="K638" s="108">
        <f>IFERROR(1-AVERAGE(X638:Y638),"")</f>
        <v/>
      </c>
      <c r="L638" s="108">
        <f>1-X638</f>
        <v/>
      </c>
      <c r="M638" s="108">
        <f>1-Y638</f>
        <v/>
      </c>
      <c r="N638" s="108">
        <f>1-Z638</f>
        <v/>
      </c>
      <c r="O638" s="108">
        <f>1-AA638</f>
        <v/>
      </c>
      <c r="P638" s="108">
        <f>1-AB638</f>
        <v/>
      </c>
      <c r="Q638" s="108" t="n"/>
      <c r="R638" s="108" t="n"/>
      <c r="S638" s="108">
        <f>1-AE638</f>
        <v/>
      </c>
      <c r="T638" s="108">
        <f>1-AF638</f>
        <v/>
      </c>
      <c r="U638" s="108">
        <f>1-AG638</f>
        <v/>
      </c>
      <c r="V638" s="108">
        <f>1-AH638</f>
        <v/>
      </c>
      <c r="W638" s="108">
        <f>1-AI638</f>
        <v/>
      </c>
      <c r="X638" s="108">
        <f>ABS(AJ638-AJ$1)</f>
        <v/>
      </c>
      <c r="Y638" s="108">
        <f>AVERAGE(Z638:AB638)</f>
        <v/>
      </c>
      <c r="Z638" s="108">
        <f>ABS(AL638-AL$1)</f>
        <v/>
      </c>
      <c r="AA638" s="108">
        <f>ABS(AM638-AM$1)</f>
        <v/>
      </c>
      <c r="AB638" s="108">
        <f>ABS(AN638-AN$1)</f>
        <v/>
      </c>
      <c r="AC638" s="108" t="n"/>
      <c r="AD638" s="108" t="n"/>
      <c r="AE638" s="108">
        <f>ABS(AQ$1-AQ638)</f>
        <v/>
      </c>
      <c r="AF638" s="108">
        <f>ABS(AR$1-AR638)</f>
        <v/>
      </c>
      <c r="AG638" s="108">
        <f>ABS(AS$1-AS638)</f>
        <v/>
      </c>
      <c r="AH638" s="108">
        <f>ABS(AT$1-AT638)</f>
        <v/>
      </c>
      <c r="AI638" s="108">
        <f>ABS(AU$1-AU638)</f>
        <v/>
      </c>
      <c r="AJ638" s="108">
        <f>(AV638-Driver!$K$179)/(Driver!$L$179-Driver!$K$179)</f>
        <v/>
      </c>
      <c r="AK638" s="108">
        <f>(AW638-Driver!$K$180)/(Driver!$L$180-Driver!$K$180)</f>
        <v/>
      </c>
      <c r="AL638" s="108">
        <f>(AX638-Driver!$K$181)/(Driver!$L$181-Driver!$K$181)</f>
        <v/>
      </c>
      <c r="AM638" s="108">
        <f>(AY638-Driver!$K$182)/(Driver!$L$182-Driver!$K$182)</f>
        <v/>
      </c>
      <c r="AN638" s="108">
        <f>(AZ638-Driver!$K$183)/(Driver!$L$183-Driver!$K$183)</f>
        <v/>
      </c>
      <c r="AO638" s="108" t="n"/>
      <c r="AP638" s="108" t="n"/>
      <c r="AQ638" s="108">
        <f>(BC638-Driver!$K$188)/(Driver!$L$188-Driver!$K$188)</f>
        <v/>
      </c>
      <c r="AR638" s="108">
        <f>MIN((BD638-Driver!$K$189)/(Driver!$L$189-Driver!$K$189),100%)</f>
        <v/>
      </c>
      <c r="AS638" s="108">
        <f>(BE638-Driver!$K$190)/(Driver!$L$190-Driver!$K$190)</f>
        <v/>
      </c>
      <c r="AT638" s="108">
        <f>(BF638-Driver!$K$191)/(Driver!$L$191-Driver!$K$191)</f>
        <v/>
      </c>
      <c r="AU638" s="108">
        <f>(BG638-Driver!$K$192)/(Driver!$L$192-Driver!$K$192)</f>
        <v/>
      </c>
      <c r="AV638" s="105">
        <f>IFERROR(BM638*BJ638^1/4,"")</f>
        <v/>
      </c>
      <c r="AW638" s="105">
        <f>IFERROR(SUM(AX638:AZ638),"")</f>
        <v/>
      </c>
      <c r="AX638" s="105">
        <f>IFERROR(BH638,"")</f>
        <v/>
      </c>
      <c r="AY638" s="105">
        <f>IFERROR(Driver!$K$19/Data!BH638/Data!BI638*Data!BK638*Data!BL638,"")</f>
        <v/>
      </c>
      <c r="AZ638" s="105">
        <f>IFERROR(BI638*BN638,"")</f>
        <v/>
      </c>
      <c r="BA638" s="105" t="n"/>
      <c r="BB638" s="105" t="n"/>
      <c r="BC638" s="105">
        <f>IFERROR(BI638*BN638*BK638/BJ638^(1/2),"")</f>
        <v/>
      </c>
      <c r="BD638" s="105">
        <f>IFERROR(BH638*BM638*BL638/BJ638/BK638,"")</f>
        <v/>
      </c>
      <c r="BE638" s="105">
        <f>IFERROR(MIN(BI638/BQ638/BP638/BO638/BH638,$BE$1),"")</f>
        <v/>
      </c>
      <c r="BF638" s="105">
        <f>IFERROR(BJ638*BO638*BP638/BK638,"")</f>
        <v/>
      </c>
      <c r="BG638" s="105">
        <f>IFERROR(1/BM638/BH638*BQ638,"")</f>
        <v/>
      </c>
      <c r="BH638" s="102">
        <f>MAX((CE638-Driver!$F$200)/(Driver!$G$200-Driver!$F$200)*$BI$1,1)</f>
        <v/>
      </c>
      <c r="BI638" s="102">
        <f>MAX($BI$1*(BY638-Driver!$F$201)/(Driver!$G$201-Driver!$F$201),1)</f>
        <v/>
      </c>
      <c r="BJ638" s="102">
        <f>(CB638-Driver!$F$206)/(Driver!$G$206-Driver!$F$206)*$BI$1</f>
        <v/>
      </c>
      <c r="BK638" s="102">
        <f>(CD638-Driver!$F$203)/(Driver!$G$203-Driver!$F$203)*$BI$1</f>
        <v/>
      </c>
      <c r="BL638" s="102">
        <f>MAX((CR638-Driver!$F$202)/(Driver!$G$202-Driver!$F$202)*$BI$1,1)</f>
        <v/>
      </c>
      <c r="BM638" s="102">
        <f>MAX((CH638-Driver!$F$204)/(Driver!$G$204-Driver!$F$204)*$BI$1,1)</f>
        <v/>
      </c>
      <c r="BN638" s="102">
        <f>(CI638-Driver!$F$205)/(Driver!$G$205-Driver!$F$205)*$BI$1</f>
        <v/>
      </c>
      <c r="BO638" s="102">
        <f>(CK638-Driver!$F$207)/(Driver!$G$207-Driver!$F$207)*$BI$1</f>
        <v/>
      </c>
      <c r="BP638" s="102">
        <f>(CM638-Driver!$F$208)/(Driver!$G$208-Driver!$F$208)*$BI$1</f>
        <v/>
      </c>
      <c r="BQ638" s="102">
        <f>(CL638-Driver!$F$209)/(Driver!$G$209-Driver!$F$209)*$BI$1</f>
        <v/>
      </c>
      <c r="BR638" s="40" t="inlineStr">
        <is>
          <t>21/22</t>
        </is>
      </c>
      <c r="BS638" s="10" t="inlineStr">
        <is>
          <t xml:space="preserve"> K2</t>
        </is>
      </c>
      <c r="BT638" s="11" t="inlineStr">
        <is>
          <t>Mindbender 90 Ti</t>
        </is>
      </c>
      <c r="BU638" s="13" t="n">
        <v>177</v>
      </c>
      <c r="BV638" s="11" t="inlineStr">
        <is>
          <t xml:space="preserve"> Unisex</t>
        </is>
      </c>
      <c r="BW638" s="13" t="n">
        <v>177</v>
      </c>
      <c r="BX638" s="13" t="n">
        <v>176.9</v>
      </c>
      <c r="BY638" s="13" t="n">
        <v>136</v>
      </c>
      <c r="BZ638" s="13" t="n">
        <v>152</v>
      </c>
      <c r="CA638" s="13" t="n">
        <v>127</v>
      </c>
      <c r="CB638" s="13" t="n">
        <v>89</v>
      </c>
      <c r="CC638" s="13" t="n">
        <v>113</v>
      </c>
      <c r="CD638" s="13" t="n">
        <v>18.2</v>
      </c>
      <c r="CE638" s="13" t="n">
        <v>1906</v>
      </c>
      <c r="CF638" s="13" t="n">
        <v>0.9399999999999999</v>
      </c>
      <c r="CG638" s="13" t="n">
        <v>1794</v>
      </c>
      <c r="CH638" s="13" t="n">
        <v>190</v>
      </c>
      <c r="CI638" s="13" t="n">
        <v>128</v>
      </c>
      <c r="CJ638" s="13" t="n">
        <v>41</v>
      </c>
      <c r="CK638" s="13" t="n">
        <v>220</v>
      </c>
      <c r="CL638" s="13" t="n">
        <v>17</v>
      </c>
      <c r="CM638" s="13" t="n">
        <v>187</v>
      </c>
      <c r="CN638" s="13" t="n">
        <v>0.426</v>
      </c>
      <c r="CO638" s="13" t="n">
        <v>142</v>
      </c>
      <c r="CP638" s="13" t="n">
        <v>103</v>
      </c>
      <c r="CQ638" s="13" t="n">
        <v>78</v>
      </c>
      <c r="CR638" s="13" t="n">
        <v>8</v>
      </c>
      <c r="CS638" s="13" t="n">
        <v>11.1</v>
      </c>
      <c r="CT638" s="11" t="inlineStr">
        <is>
          <t xml:space="preserve"> Resort Freeride</t>
        </is>
      </c>
      <c r="CU638" s="13" t="n"/>
      <c r="CV638" s="13" t="n"/>
      <c r="CW638" s="13" t="n"/>
      <c r="CX638">
        <f>INDEX('Data_Price '!AG$2:AG$1266,MATCH(Data!$DN638,'Data_Price '!$AT$2:$AT$1266,0))</f>
        <v/>
      </c>
      <c r="CY638">
        <f>INDEX('Data_Price '!AH$2:AH$1266,MATCH(Data!$DN638,'Data_Price '!$AT$2:$AT$1266,0))</f>
        <v/>
      </c>
      <c r="CZ638">
        <f>INDEX('Data_Price '!AI$2:AI$1266,MATCH(Data!$DN638,'Data_Price '!$AT$2:$AT$1266,0))</f>
        <v/>
      </c>
      <c r="DA638">
        <f>INDEX('Data_Price '!AJ$2:AJ$1266,MATCH(Data!$DN638,'Data_Price '!$AT$2:$AT$1266,0))</f>
        <v/>
      </c>
      <c r="DB638">
        <f>INDEX('Data_Price '!AK$2:AK$1266,MATCH(Data!$DN638,'Data_Price '!$AT$2:$AT$1266,0))</f>
        <v/>
      </c>
      <c r="DC638">
        <f>INDEX('Data_Price '!AL$2:AL$1266,MATCH(Data!$DN638,'Data_Price '!$AT$2:$AT$1266,0))</f>
        <v/>
      </c>
      <c r="DD638">
        <f>INDEX('Data_Price '!AM$2:AM$1266,MATCH(Data!$DN638,'Data_Price '!$AT$2:$AT$1266,0))</f>
        <v/>
      </c>
      <c r="DE638">
        <f>INDEX('Data_Price '!AN$2:AN$1266,MATCH(Data!$DN638,'Data_Price '!$AT$2:$AT$1266,0))</f>
        <v/>
      </c>
      <c r="DF638">
        <f>INDEX('Data_Price '!AO$2:AO$1266,MATCH(Data!$DN638,'Data_Price '!$AT$2:$AT$1266,0))</f>
        <v/>
      </c>
      <c r="DG638">
        <f>INDEX('Data_Price '!AP$2:AP$1266,MATCH(Data!$DN638,'Data_Price '!$AT$2:$AT$1266,0))</f>
        <v/>
      </c>
      <c r="DH638">
        <f>INDEX('Data_Price '!AQ$2:AQ$1266,MATCH(Data!$DN638,'Data_Price '!$AT$2:$AT$1266,0))</f>
        <v/>
      </c>
      <c r="DI638">
        <f>INDEX('Data_Price '!AR$2:AR$1266,MATCH(Data!$DN638,'Data_Price '!$AT$2:$AT$1266,0))</f>
        <v/>
      </c>
      <c r="DJ638" s="138">
        <f>DA638</f>
        <v/>
      </c>
      <c r="DK638" s="138">
        <f>DE638</f>
        <v/>
      </c>
      <c r="DL638" s="138">
        <f>DI638</f>
        <v/>
      </c>
      <c r="DM638" s="303">
        <f>IF(LEFT(BT638,1)=" ",RIGHT(BT638,LEN(BT638)-1),BT638)</f>
        <v/>
      </c>
      <c r="DN638" s="138">
        <f>_xlfn.CONCAT(BS638,DM638,BU638,BV638)</f>
        <v/>
      </c>
      <c r="DO638" s="307" t="n"/>
    </row>
    <row r="639" ht="15.6" customHeight="1" s="184">
      <c r="B639" s="303">
        <f t="array" ref="B639">IF(OR(ISERROR(K639:P639)),FALSE,TRUE)</f>
        <v/>
      </c>
      <c r="C639" s="60">
        <f>OR(BR639=Driver!$G$50,Data!BR611=Driver!$H$50)</f>
        <v/>
      </c>
      <c r="D639" s="60">
        <f>OR(BV639=Driver!$G$51,BV639=Driver!$H$51)</f>
        <v/>
      </c>
      <c r="E639" s="60">
        <f>AND(BX639&gt;Driver!$F$54,BX639&lt;Driver!$G$54)</f>
        <v/>
      </c>
      <c r="F639" s="60">
        <f>CL639&gt;Driver!$F$56</f>
        <v/>
      </c>
      <c r="G639" s="60">
        <f>AND(CB639&gt;Driver!$F$55,CB639&lt;Driver!$G$55)</f>
        <v/>
      </c>
      <c r="H639" s="60">
        <f>AND(B639:G639)</f>
        <v/>
      </c>
      <c r="I639" s="60">
        <f>COUNTIFS($H$9:$H$1273,TRUE,$BT$9:$BT$1273,BT639)</f>
        <v/>
      </c>
      <c r="J639" s="60">
        <f t="array" ref="J639">NOT(OR(($H$9:$H$1273=TRUE)*($I$9:$I$1273&gt;0)*($BT$9:$BT$1273=BT639)*($K$9:$K$1273&gt;K639)))</f>
        <v/>
      </c>
      <c r="K639" s="108">
        <f>IFERROR(1-AVERAGE(X639:Y639),"")</f>
        <v/>
      </c>
      <c r="L639" s="108">
        <f>1-X639</f>
        <v/>
      </c>
      <c r="M639" s="108">
        <f>1-Y639</f>
        <v/>
      </c>
      <c r="N639" s="108">
        <f>1-Z639</f>
        <v/>
      </c>
      <c r="O639" s="108">
        <f>1-AA639</f>
        <v/>
      </c>
      <c r="P639" s="108">
        <f>1-AB639</f>
        <v/>
      </c>
      <c r="Q639" s="108" t="n"/>
      <c r="R639" s="108" t="n"/>
      <c r="S639" s="108">
        <f>1-AE639</f>
        <v/>
      </c>
      <c r="T639" s="108">
        <f>1-AF639</f>
        <v/>
      </c>
      <c r="U639" s="108">
        <f>1-AG639</f>
        <v/>
      </c>
      <c r="V639" s="108">
        <f>1-AH639</f>
        <v/>
      </c>
      <c r="W639" s="108">
        <f>1-AI639</f>
        <v/>
      </c>
      <c r="X639" s="108">
        <f>ABS(AJ639-AJ$1)</f>
        <v/>
      </c>
      <c r="Y639" s="108">
        <f>AVERAGE(Z639:AB639)</f>
        <v/>
      </c>
      <c r="Z639" s="108">
        <f>ABS(AL639-AL$1)</f>
        <v/>
      </c>
      <c r="AA639" s="108">
        <f>ABS(AM639-AM$1)</f>
        <v/>
      </c>
      <c r="AB639" s="108">
        <f>ABS(AN639-AN$1)</f>
        <v/>
      </c>
      <c r="AC639" s="108" t="n"/>
      <c r="AD639" s="108" t="n"/>
      <c r="AE639" s="108">
        <f>ABS(AQ$1-AQ639)</f>
        <v/>
      </c>
      <c r="AF639" s="108">
        <f>ABS(AR$1-AR639)</f>
        <v/>
      </c>
      <c r="AG639" s="108">
        <f>ABS(AS$1-AS639)</f>
        <v/>
      </c>
      <c r="AH639" s="108">
        <f>ABS(AT$1-AT639)</f>
        <v/>
      </c>
      <c r="AI639" s="108">
        <f>ABS(AU$1-AU639)</f>
        <v/>
      </c>
      <c r="AJ639" s="108">
        <f>(AV639-Driver!$K$179)/(Driver!$L$179-Driver!$K$179)</f>
        <v/>
      </c>
      <c r="AK639" s="108">
        <f>(AW639-Driver!$K$180)/(Driver!$L$180-Driver!$K$180)</f>
        <v/>
      </c>
      <c r="AL639" s="108">
        <f>(AX639-Driver!$K$181)/(Driver!$L$181-Driver!$K$181)</f>
        <v/>
      </c>
      <c r="AM639" s="108">
        <f>(AY639-Driver!$K$182)/(Driver!$L$182-Driver!$K$182)</f>
        <v/>
      </c>
      <c r="AN639" s="108">
        <f>(AZ639-Driver!$K$183)/(Driver!$L$183-Driver!$K$183)</f>
        <v/>
      </c>
      <c r="AO639" s="108" t="n"/>
      <c r="AP639" s="108" t="n"/>
      <c r="AQ639" s="108">
        <f>(BC639-Driver!$K$188)/(Driver!$L$188-Driver!$K$188)</f>
        <v/>
      </c>
      <c r="AR639" s="108">
        <f>MIN((BD639-Driver!$K$189)/(Driver!$L$189-Driver!$K$189),100%)</f>
        <v/>
      </c>
      <c r="AS639" s="108">
        <f>(BE639-Driver!$K$190)/(Driver!$L$190-Driver!$K$190)</f>
        <v/>
      </c>
      <c r="AT639" s="108">
        <f>(BF639-Driver!$K$191)/(Driver!$L$191-Driver!$K$191)</f>
        <v/>
      </c>
      <c r="AU639" s="108">
        <f>(BG639-Driver!$K$192)/(Driver!$L$192-Driver!$K$192)</f>
        <v/>
      </c>
      <c r="AV639" s="105">
        <f>IFERROR(BM639*BJ639^1/4,"")</f>
        <v/>
      </c>
      <c r="AW639" s="105">
        <f>IFERROR(SUM(AX639:AZ639),"")</f>
        <v/>
      </c>
      <c r="AX639" s="105">
        <f>IFERROR(BH639,"")</f>
        <v/>
      </c>
      <c r="AY639" s="105">
        <f>IFERROR(Driver!$K$19/Data!BH639/Data!BI639*Data!BK639*Data!BL639,"")</f>
        <v/>
      </c>
      <c r="AZ639" s="105">
        <f>IFERROR(BI639*BN639,"")</f>
        <v/>
      </c>
      <c r="BA639" s="105" t="n"/>
      <c r="BB639" s="105" t="n"/>
      <c r="BC639" s="105">
        <f>IFERROR(BI639*BN639*BK639/BJ639^(1/2),"")</f>
        <v/>
      </c>
      <c r="BD639" s="105">
        <f>IFERROR(BH639*BM639*BL639/BJ639/BK639,"")</f>
        <v/>
      </c>
      <c r="BE639" s="105">
        <f>IFERROR(MIN(BI639/BQ639/BP639/BO639/BH639,$BE$1),"")</f>
        <v/>
      </c>
      <c r="BF639" s="105">
        <f>IFERROR(BJ639*BO639*BP639/BK639,"")</f>
        <v/>
      </c>
      <c r="BG639" s="105">
        <f>IFERROR(1/BM639/BH639*BQ639,"")</f>
        <v/>
      </c>
      <c r="BH639" s="102">
        <f>MAX((CE639-Driver!$F$200)/(Driver!$G$200-Driver!$F$200)*$BI$1,1)</f>
        <v/>
      </c>
      <c r="BI639" s="102">
        <f>MAX($BI$1*(BY639-Driver!$F$201)/(Driver!$G$201-Driver!$F$201),1)</f>
        <v/>
      </c>
      <c r="BJ639" s="102">
        <f>(CB639-Driver!$F$206)/(Driver!$G$206-Driver!$F$206)*$BI$1</f>
        <v/>
      </c>
      <c r="BK639" s="102">
        <f>(CD639-Driver!$F$203)/(Driver!$G$203-Driver!$F$203)*$BI$1</f>
        <v/>
      </c>
      <c r="BL639" s="102">
        <f>MAX((CR639-Driver!$F$202)/(Driver!$G$202-Driver!$F$202)*$BI$1,1)</f>
        <v/>
      </c>
      <c r="BM639" s="102">
        <f>MAX((CH639-Driver!$F$204)/(Driver!$G$204-Driver!$F$204)*$BI$1,1)</f>
        <v/>
      </c>
      <c r="BN639" s="102">
        <f>(CI639-Driver!$F$205)/(Driver!$G$205-Driver!$F$205)*$BI$1</f>
        <v/>
      </c>
      <c r="BO639" s="102">
        <f>(CK639-Driver!$F$207)/(Driver!$G$207-Driver!$F$207)*$BI$1</f>
        <v/>
      </c>
      <c r="BP639" s="102">
        <f>(CM639-Driver!$F$208)/(Driver!$G$208-Driver!$F$208)*$BI$1</f>
        <v/>
      </c>
      <c r="BQ639" s="102">
        <f>(CL639-Driver!$F$209)/(Driver!$G$209-Driver!$F$209)*$BI$1</f>
        <v/>
      </c>
      <c r="BR639" s="40" t="inlineStr">
        <is>
          <t>21/22</t>
        </is>
      </c>
      <c r="BS639" s="10" t="inlineStr">
        <is>
          <t xml:space="preserve"> Head</t>
        </is>
      </c>
      <c r="BT639" s="11" t="inlineStr">
        <is>
          <t>Kore 80 X</t>
        </is>
      </c>
      <c r="BU639" s="13" t="n">
        <v>170</v>
      </c>
      <c r="BV639" s="11" t="inlineStr">
        <is>
          <t xml:space="preserve"> Unisex</t>
        </is>
      </c>
      <c r="BW639" s="13" t="n">
        <v>170</v>
      </c>
      <c r="BX639" s="13" t="n">
        <v>169.2</v>
      </c>
      <c r="BY639" s="13" t="n">
        <v>139</v>
      </c>
      <c r="BZ639" s="13" t="n">
        <v>144</v>
      </c>
      <c r="CA639" s="13" t="n">
        <v>125</v>
      </c>
      <c r="CB639" s="13" t="n">
        <v>78</v>
      </c>
      <c r="CC639" s="13" t="n">
        <v>104</v>
      </c>
      <c r="CD639" s="13" t="n">
        <v>13.3</v>
      </c>
      <c r="CE639" s="13" t="n">
        <v>1925</v>
      </c>
      <c r="CF639" s="13" t="n">
        <v>0.82</v>
      </c>
      <c r="CG639" s="13" t="n">
        <v>1581</v>
      </c>
      <c r="CH639" s="13" t="n">
        <v>173</v>
      </c>
      <c r="CI639" s="13" t="n">
        <v>79</v>
      </c>
      <c r="CJ639" s="13" t="n">
        <v>41</v>
      </c>
      <c r="CK639" s="13" t="n">
        <v>199</v>
      </c>
      <c r="CL639" s="13" t="n">
        <v>8</v>
      </c>
      <c r="CM639" s="13" t="n">
        <v>101</v>
      </c>
      <c r="CN639" s="13" t="n">
        <v>0.19</v>
      </c>
      <c r="CO639" s="13" t="n">
        <v>129</v>
      </c>
      <c r="CP639" s="13" t="n">
        <v>121</v>
      </c>
      <c r="CQ639" s="13" t="n">
        <v>70</v>
      </c>
      <c r="CR639" s="13" t="n">
        <v>13</v>
      </c>
      <c r="CS639" s="13" t="n">
        <v>11.7</v>
      </c>
      <c r="CT639" s="11" t="inlineStr">
        <is>
          <t xml:space="preserve"> On-Piste Carving</t>
        </is>
      </c>
      <c r="CU639" s="11" t="inlineStr">
        <is>
          <t xml:space="preserve"> On-Piste All-Mountain</t>
        </is>
      </c>
      <c r="CV639" s="13" t="n"/>
      <c r="CW639" s="13" t="n"/>
      <c r="CX639">
        <f>INDEX('Data_Price '!AG$2:AG$1266,MATCH(Data!$DN639,'Data_Price '!$AT$2:$AT$1266,0))</f>
        <v/>
      </c>
      <c r="CY639">
        <f>INDEX('Data_Price '!AH$2:AH$1266,MATCH(Data!$DN639,'Data_Price '!$AT$2:$AT$1266,0))</f>
        <v/>
      </c>
      <c r="CZ639">
        <f>INDEX('Data_Price '!AI$2:AI$1266,MATCH(Data!$DN639,'Data_Price '!$AT$2:$AT$1266,0))</f>
        <v/>
      </c>
      <c r="DA639">
        <f>INDEX('Data_Price '!AJ$2:AJ$1266,MATCH(Data!$DN639,'Data_Price '!$AT$2:$AT$1266,0))</f>
        <v/>
      </c>
      <c r="DB639">
        <f>INDEX('Data_Price '!AK$2:AK$1266,MATCH(Data!$DN639,'Data_Price '!$AT$2:$AT$1266,0))</f>
        <v/>
      </c>
      <c r="DC639">
        <f>INDEX('Data_Price '!AL$2:AL$1266,MATCH(Data!$DN639,'Data_Price '!$AT$2:$AT$1266,0))</f>
        <v/>
      </c>
      <c r="DD639">
        <f>INDEX('Data_Price '!AM$2:AM$1266,MATCH(Data!$DN639,'Data_Price '!$AT$2:$AT$1266,0))</f>
        <v/>
      </c>
      <c r="DE639">
        <f>INDEX('Data_Price '!AN$2:AN$1266,MATCH(Data!$DN639,'Data_Price '!$AT$2:$AT$1266,0))</f>
        <v/>
      </c>
      <c r="DF639">
        <f>INDEX('Data_Price '!AO$2:AO$1266,MATCH(Data!$DN639,'Data_Price '!$AT$2:$AT$1266,0))</f>
        <v/>
      </c>
      <c r="DG639">
        <f>INDEX('Data_Price '!AP$2:AP$1266,MATCH(Data!$DN639,'Data_Price '!$AT$2:$AT$1266,0))</f>
        <v/>
      </c>
      <c r="DH639">
        <f>INDEX('Data_Price '!AQ$2:AQ$1266,MATCH(Data!$DN639,'Data_Price '!$AT$2:$AT$1266,0))</f>
        <v/>
      </c>
      <c r="DI639">
        <f>INDEX('Data_Price '!AR$2:AR$1266,MATCH(Data!$DN639,'Data_Price '!$AT$2:$AT$1266,0))</f>
        <v/>
      </c>
      <c r="DJ639" s="138">
        <f>DA639</f>
        <v/>
      </c>
      <c r="DK639" s="138">
        <f>DE639</f>
        <v/>
      </c>
      <c r="DL639" s="138">
        <f>DI639</f>
        <v/>
      </c>
      <c r="DM639" s="303">
        <f>IF(LEFT(BT639,1)=" ",RIGHT(BT639,LEN(BT639)-1),BT639)</f>
        <v/>
      </c>
      <c r="DN639" s="138">
        <f>_xlfn.CONCAT(BS639,DM639,BU639,BV639)</f>
        <v/>
      </c>
      <c r="DO639" s="307" t="n"/>
    </row>
    <row r="640" ht="15.6" customHeight="1" s="184">
      <c r="B640" s="303">
        <f t="array" ref="B640">IF(OR(ISERROR(K640:P640)),FALSE,TRUE)</f>
        <v/>
      </c>
      <c r="C640" s="60">
        <f>OR(BR640=Driver!$G$50,Data!BR1028=Driver!$H$50)</f>
        <v/>
      </c>
      <c r="D640" s="60">
        <f>OR(BV640=Driver!$G$51,BV640=Driver!$H$51)</f>
        <v/>
      </c>
      <c r="E640" s="60">
        <f>AND(BX640&gt;Driver!$F$54,BX640&lt;Driver!$G$54)</f>
        <v/>
      </c>
      <c r="F640" s="60">
        <f>CL640&gt;Driver!$F$56</f>
        <v/>
      </c>
      <c r="G640" s="60">
        <f>AND(CB640&gt;Driver!$F$55,CB640&lt;Driver!$G$55)</f>
        <v/>
      </c>
      <c r="H640" s="60">
        <f>AND(B640:G640)</f>
        <v/>
      </c>
      <c r="I640" s="60">
        <f>COUNTIFS($H$9:$H$1273,TRUE,$BT$9:$BT$1273,BT640)</f>
        <v/>
      </c>
      <c r="J640" s="60">
        <f t="array" ref="J640">NOT(OR(($H$9:$H$1273=TRUE)*($I$9:$I$1273&gt;0)*($BT$9:$BT$1273=BT640)*($K$9:$K$1273&gt;K640)))</f>
        <v/>
      </c>
      <c r="K640" s="108">
        <f>IFERROR(1-AVERAGE(X640:Y640),"")</f>
        <v/>
      </c>
      <c r="L640" s="108">
        <f>1-X640</f>
        <v/>
      </c>
      <c r="M640" s="108">
        <f>1-Y640</f>
        <v/>
      </c>
      <c r="N640" s="108">
        <f>1-Z640</f>
        <v/>
      </c>
      <c r="O640" s="108">
        <f>1-AA640</f>
        <v/>
      </c>
      <c r="P640" s="108">
        <f>1-AB640</f>
        <v/>
      </c>
      <c r="Q640" s="108" t="n"/>
      <c r="R640" s="108" t="n"/>
      <c r="S640" s="108">
        <f>1-AE640</f>
        <v/>
      </c>
      <c r="T640" s="108">
        <f>1-AF640</f>
        <v/>
      </c>
      <c r="U640" s="108">
        <f>1-AG640</f>
        <v/>
      </c>
      <c r="V640" s="108">
        <f>1-AH640</f>
        <v/>
      </c>
      <c r="W640" s="108">
        <f>1-AI640</f>
        <v/>
      </c>
      <c r="X640" s="108">
        <f>ABS(AJ640-AJ$1)</f>
        <v/>
      </c>
      <c r="Y640" s="108">
        <f>AVERAGE(Z640:AB640)</f>
        <v/>
      </c>
      <c r="Z640" s="108">
        <f>ABS(AL640-AL$1)</f>
        <v/>
      </c>
      <c r="AA640" s="108">
        <f>ABS(AM640-AM$1)</f>
        <v/>
      </c>
      <c r="AB640" s="108">
        <f>ABS(AN640-AN$1)</f>
        <v/>
      </c>
      <c r="AC640" s="108" t="n"/>
      <c r="AD640" s="108" t="n"/>
      <c r="AE640" s="108">
        <f>ABS(AQ$1-AQ640)</f>
        <v/>
      </c>
      <c r="AF640" s="108">
        <f>ABS(AR$1-AR640)</f>
        <v/>
      </c>
      <c r="AG640" s="108">
        <f>ABS(AS$1-AS640)</f>
        <v/>
      </c>
      <c r="AH640" s="108">
        <f>ABS(AT$1-AT640)</f>
        <v/>
      </c>
      <c r="AI640" s="108">
        <f>ABS(AU$1-AU640)</f>
        <v/>
      </c>
      <c r="AJ640" s="108">
        <f>(AV640-Driver!$K$179)/(Driver!$L$179-Driver!$K$179)</f>
        <v/>
      </c>
      <c r="AK640" s="108">
        <f>(AW640-Driver!$K$180)/(Driver!$L$180-Driver!$K$180)</f>
        <v/>
      </c>
      <c r="AL640" s="108">
        <f>(AX640-Driver!$K$181)/(Driver!$L$181-Driver!$K$181)</f>
        <v/>
      </c>
      <c r="AM640" s="108">
        <f>(AY640-Driver!$K$182)/(Driver!$L$182-Driver!$K$182)</f>
        <v/>
      </c>
      <c r="AN640" s="108">
        <f>(AZ640-Driver!$K$183)/(Driver!$L$183-Driver!$K$183)</f>
        <v/>
      </c>
      <c r="AO640" s="108" t="n"/>
      <c r="AP640" s="108" t="n"/>
      <c r="AQ640" s="108">
        <f>(BC640-Driver!$K$188)/(Driver!$L$188-Driver!$K$188)</f>
        <v/>
      </c>
      <c r="AR640" s="108">
        <f>MIN((BD640-Driver!$K$189)/(Driver!$L$189-Driver!$K$189),100%)</f>
        <v/>
      </c>
      <c r="AS640" s="108">
        <f>(BE640-Driver!$K$190)/(Driver!$L$190-Driver!$K$190)</f>
        <v/>
      </c>
      <c r="AT640" s="108">
        <f>(BF640-Driver!$K$191)/(Driver!$L$191-Driver!$K$191)</f>
        <v/>
      </c>
      <c r="AU640" s="108">
        <f>(BG640-Driver!$K$192)/(Driver!$L$192-Driver!$K$192)</f>
        <v/>
      </c>
      <c r="AV640" s="105">
        <f>IFERROR(BM640*BJ640^1/4,"")</f>
        <v/>
      </c>
      <c r="AW640" s="105">
        <f>IFERROR(SUM(AX640:AZ640),"")</f>
        <v/>
      </c>
      <c r="AX640" s="105">
        <f>IFERROR(BH640,"")</f>
        <v/>
      </c>
      <c r="AY640" s="105">
        <f>IFERROR(Driver!$K$19/Data!BH640/Data!BI640*Data!BK640*Data!BL640,"")</f>
        <v/>
      </c>
      <c r="AZ640" s="105">
        <f>IFERROR(BI640*BN640,"")</f>
        <v/>
      </c>
      <c r="BA640" s="105" t="n"/>
      <c r="BB640" s="105" t="n"/>
      <c r="BC640" s="105">
        <f>IFERROR(BI640*BN640*BK640/BJ640^(1/2),"")</f>
        <v/>
      </c>
      <c r="BD640" s="105">
        <f>IFERROR(BH640*BM640*BL640/BJ640/BK640,"")</f>
        <v/>
      </c>
      <c r="BE640" s="105">
        <f>IFERROR(MIN(BI640/BQ640/BP640/BO640/BH640,$BE$1),"")</f>
        <v/>
      </c>
      <c r="BF640" s="105">
        <f>IFERROR(BJ640*BO640*BP640/BK640,"")</f>
        <v/>
      </c>
      <c r="BG640" s="105">
        <f>IFERROR(1/BM640/BH640*BQ640,"")</f>
        <v/>
      </c>
      <c r="BH640" s="102">
        <f>MAX((CE640-Driver!$F$200)/(Driver!$G$200-Driver!$F$200)*$BI$1,1)</f>
        <v/>
      </c>
      <c r="BI640" s="102">
        <f>MAX($BI$1*(BY640-Driver!$F$201)/(Driver!$G$201-Driver!$F$201),1)</f>
        <v/>
      </c>
      <c r="BJ640" s="102">
        <f>(CB640-Driver!$F$206)/(Driver!$G$206-Driver!$F$206)*$BI$1</f>
        <v/>
      </c>
      <c r="BK640" s="102">
        <f>(CD640-Driver!$F$203)/(Driver!$G$203-Driver!$F$203)*$BI$1</f>
        <v/>
      </c>
      <c r="BL640" s="102">
        <f>MAX((CR640-Driver!$F$202)/(Driver!$G$202-Driver!$F$202)*$BI$1,1)</f>
        <v/>
      </c>
      <c r="BM640" s="102">
        <f>MAX((CH640-Driver!$F$204)/(Driver!$G$204-Driver!$F$204)*$BI$1,1)</f>
        <v/>
      </c>
      <c r="BN640" s="102">
        <f>(CI640-Driver!$F$205)/(Driver!$G$205-Driver!$F$205)*$BI$1</f>
        <v/>
      </c>
      <c r="BO640" s="102">
        <f>(CK640-Driver!$F$207)/(Driver!$G$207-Driver!$F$207)*$BI$1</f>
        <v/>
      </c>
      <c r="BP640" s="102">
        <f>(CM640-Driver!$F$208)/(Driver!$G$208-Driver!$F$208)*$BI$1</f>
        <v/>
      </c>
      <c r="BQ640" s="102">
        <f>(CL640-Driver!$F$209)/(Driver!$G$209-Driver!$F$209)*$BI$1</f>
        <v/>
      </c>
      <c r="BR640" s="40" t="inlineStr">
        <is>
          <t>21/22</t>
        </is>
      </c>
      <c r="BS640" s="10" t="inlineStr">
        <is>
          <t xml:space="preserve"> Rossignol</t>
        </is>
      </c>
      <c r="BT640" s="11" t="inlineStr">
        <is>
          <t xml:space="preserve"> Hero Elite Multi Turn Ti</t>
        </is>
      </c>
      <c r="BU640" s="13" t="n">
        <v>159</v>
      </c>
      <c r="BV640" s="11" t="inlineStr">
        <is>
          <t xml:space="preserve"> Unisex</t>
        </is>
      </c>
      <c r="BW640" s="13" t="n">
        <v>159</v>
      </c>
      <c r="BX640" s="13" t="n">
        <v>158.6</v>
      </c>
      <c r="BY640" s="13" t="n">
        <v>135</v>
      </c>
      <c r="BZ640" s="13" t="n">
        <v>145</v>
      </c>
      <c r="CA640" s="13" t="n">
        <v>122</v>
      </c>
      <c r="CB640" s="13" t="n">
        <v>73</v>
      </c>
      <c r="CC640" s="13" t="n">
        <v>109</v>
      </c>
      <c r="CD640" s="13" t="n">
        <v>12.2</v>
      </c>
      <c r="CE640" s="13" t="n">
        <v>1687</v>
      </c>
      <c r="CF640" s="13" t="n">
        <v>0.84</v>
      </c>
      <c r="CG640" s="13" t="n">
        <v>1412</v>
      </c>
      <c r="CH640" s="13" t="n">
        <v>184</v>
      </c>
      <c r="CI640" s="13" t="n">
        <v>74</v>
      </c>
      <c r="CJ640" s="13" t="n">
        <v>41</v>
      </c>
      <c r="CK640" s="13" t="n">
        <v>170</v>
      </c>
      <c r="CL640" s="13" t="n">
        <v>4</v>
      </c>
      <c r="CM640" s="13" t="n">
        <v>65</v>
      </c>
      <c r="CN640" s="13" t="n">
        <v>0.104</v>
      </c>
      <c r="CO640" s="13" t="n">
        <v>79</v>
      </c>
      <c r="CP640" s="13" t="n">
        <v>61</v>
      </c>
      <c r="CQ640" s="13" t="n">
        <v>91</v>
      </c>
      <c r="CR640" s="13" t="n">
        <v>11</v>
      </c>
      <c r="CS640" s="13" t="n">
        <v>10.2</v>
      </c>
      <c r="CT640" s="11" t="inlineStr">
        <is>
          <t xml:space="preserve"> On-Piste Carving</t>
        </is>
      </c>
      <c r="CU640" s="13" t="n"/>
      <c r="CV640" s="13" t="n"/>
      <c r="CW640" s="13" t="n"/>
      <c r="CX640">
        <f>INDEX('Data_Price '!AG$2:AG$1266,MATCH(Data!$DN640,'Data_Price '!$AT$2:$AT$1266,0))</f>
        <v/>
      </c>
      <c r="CY640">
        <f>INDEX('Data_Price '!AH$2:AH$1266,MATCH(Data!$DN640,'Data_Price '!$AT$2:$AT$1266,0))</f>
        <v/>
      </c>
      <c r="CZ640">
        <f>INDEX('Data_Price '!AI$2:AI$1266,MATCH(Data!$DN640,'Data_Price '!$AT$2:$AT$1266,0))</f>
        <v/>
      </c>
      <c r="DA640">
        <f>INDEX('Data_Price '!AJ$2:AJ$1266,MATCH(Data!$DN640,'Data_Price '!$AT$2:$AT$1266,0))</f>
        <v/>
      </c>
      <c r="DB640">
        <f>INDEX('Data_Price '!AK$2:AK$1266,MATCH(Data!$DN640,'Data_Price '!$AT$2:$AT$1266,0))</f>
        <v/>
      </c>
      <c r="DC640">
        <f>INDEX('Data_Price '!AL$2:AL$1266,MATCH(Data!$DN640,'Data_Price '!$AT$2:$AT$1266,0))</f>
        <v/>
      </c>
      <c r="DD640">
        <f>INDEX('Data_Price '!AM$2:AM$1266,MATCH(Data!$DN640,'Data_Price '!$AT$2:$AT$1266,0))</f>
        <v/>
      </c>
      <c r="DE640">
        <f>INDEX('Data_Price '!AN$2:AN$1266,MATCH(Data!$DN640,'Data_Price '!$AT$2:$AT$1266,0))</f>
        <v/>
      </c>
      <c r="DF640">
        <f>INDEX('Data_Price '!AO$2:AO$1266,MATCH(Data!$DN640,'Data_Price '!$AT$2:$AT$1266,0))</f>
        <v/>
      </c>
      <c r="DG640">
        <f>INDEX('Data_Price '!AP$2:AP$1266,MATCH(Data!$DN640,'Data_Price '!$AT$2:$AT$1266,0))</f>
        <v/>
      </c>
      <c r="DH640">
        <f>INDEX('Data_Price '!AQ$2:AQ$1266,MATCH(Data!$DN640,'Data_Price '!$AT$2:$AT$1266,0))</f>
        <v/>
      </c>
      <c r="DI640">
        <f>INDEX('Data_Price '!AR$2:AR$1266,MATCH(Data!$DN640,'Data_Price '!$AT$2:$AT$1266,0))</f>
        <v/>
      </c>
      <c r="DJ640" s="138">
        <f>DA640</f>
        <v/>
      </c>
      <c r="DK640" s="138">
        <f>DE640</f>
        <v/>
      </c>
      <c r="DL640" s="138">
        <f>DI640</f>
        <v/>
      </c>
      <c r="DM640" s="303">
        <f>IF(LEFT(BT640,1)=" ",RIGHT(BT640,LEN(BT640)-1),BT640)</f>
        <v/>
      </c>
      <c r="DN640" s="138">
        <f>_xlfn.CONCAT(BS640,DM640,BU640,BV640)</f>
        <v/>
      </c>
      <c r="DO640" s="307" t="n"/>
    </row>
    <row r="641" ht="15.6" customHeight="1" s="184">
      <c r="B641" s="303">
        <f t="array" ref="B641">IF(OR(ISERROR(K641:P641)),FALSE,TRUE)</f>
        <v/>
      </c>
      <c r="C641" s="60">
        <f>OR(BR641=Driver!$G$50,Data!BR150=Driver!$H$50)</f>
        <v/>
      </c>
      <c r="D641" s="60">
        <f>OR(BV641=Driver!$G$51,BV641=Driver!$H$51)</f>
        <v/>
      </c>
      <c r="E641" s="60">
        <f>AND(BX641&gt;Driver!$F$54,BX641&lt;Driver!$G$54)</f>
        <v/>
      </c>
      <c r="F641" s="60">
        <f>CL641&gt;Driver!$F$56</f>
        <v/>
      </c>
      <c r="G641" s="60">
        <f>AND(CB641&gt;Driver!$F$55,CB641&lt;Driver!$G$55)</f>
        <v/>
      </c>
      <c r="H641" s="60">
        <f>AND(B641:G641)</f>
        <v/>
      </c>
      <c r="I641" s="60">
        <f>COUNTIFS($H$9:$H$1273,TRUE,$BT$9:$BT$1273,BT641)</f>
        <v/>
      </c>
      <c r="J641" s="60">
        <f t="array" ref="J641">NOT(OR(($H$9:$H$1273=TRUE)*($I$9:$I$1273&gt;0)*($BT$9:$BT$1273=BT641)*($K$9:$K$1273&gt;K641)))</f>
        <v/>
      </c>
      <c r="K641" s="108">
        <f>IFERROR(1-AVERAGE(X641:Y641),"")</f>
        <v/>
      </c>
      <c r="L641" s="108">
        <f>1-X641</f>
        <v/>
      </c>
      <c r="M641" s="108">
        <f>1-Y641</f>
        <v/>
      </c>
      <c r="N641" s="108">
        <f>1-Z641</f>
        <v/>
      </c>
      <c r="O641" s="108">
        <f>1-AA641</f>
        <v/>
      </c>
      <c r="P641" s="108">
        <f>1-AB641</f>
        <v/>
      </c>
      <c r="Q641" s="108" t="n"/>
      <c r="R641" s="108" t="n"/>
      <c r="S641" s="108">
        <f>1-AE641</f>
        <v/>
      </c>
      <c r="T641" s="108">
        <f>1-AF641</f>
        <v/>
      </c>
      <c r="U641" s="108">
        <f>1-AG641</f>
        <v/>
      </c>
      <c r="V641" s="108">
        <f>1-AH641</f>
        <v/>
      </c>
      <c r="W641" s="108">
        <f>1-AI641</f>
        <v/>
      </c>
      <c r="X641" s="108">
        <f>ABS(AJ641-AJ$1)</f>
        <v/>
      </c>
      <c r="Y641" s="108">
        <f>AVERAGE(Z641:AB641)</f>
        <v/>
      </c>
      <c r="Z641" s="108">
        <f>ABS(AL641-AL$1)</f>
        <v/>
      </c>
      <c r="AA641" s="108">
        <f>ABS(AM641-AM$1)</f>
        <v/>
      </c>
      <c r="AB641" s="108">
        <f>ABS(AN641-AN$1)</f>
        <v/>
      </c>
      <c r="AC641" s="108" t="n"/>
      <c r="AD641" s="108" t="n"/>
      <c r="AE641" s="108">
        <f>ABS(AQ$1-AQ641)</f>
        <v/>
      </c>
      <c r="AF641" s="108">
        <f>ABS(AR$1-AR641)</f>
        <v/>
      </c>
      <c r="AG641" s="108">
        <f>ABS(AS$1-AS641)</f>
        <v/>
      </c>
      <c r="AH641" s="108">
        <f>ABS(AT$1-AT641)</f>
        <v/>
      </c>
      <c r="AI641" s="108">
        <f>ABS(AU$1-AU641)</f>
        <v/>
      </c>
      <c r="AJ641" s="108">
        <f>(AV641-Driver!$K$179)/(Driver!$L$179-Driver!$K$179)</f>
        <v/>
      </c>
      <c r="AK641" s="108">
        <f>(AW641-Driver!$K$180)/(Driver!$L$180-Driver!$K$180)</f>
        <v/>
      </c>
      <c r="AL641" s="108">
        <f>(AX641-Driver!$K$181)/(Driver!$L$181-Driver!$K$181)</f>
        <v/>
      </c>
      <c r="AM641" s="108">
        <f>(AY641-Driver!$K$182)/(Driver!$L$182-Driver!$K$182)</f>
        <v/>
      </c>
      <c r="AN641" s="108">
        <f>(AZ641-Driver!$K$183)/(Driver!$L$183-Driver!$K$183)</f>
        <v/>
      </c>
      <c r="AO641" s="108" t="n"/>
      <c r="AP641" s="108" t="n"/>
      <c r="AQ641" s="108">
        <f>(BC641-Driver!$K$188)/(Driver!$L$188-Driver!$K$188)</f>
        <v/>
      </c>
      <c r="AR641" s="108">
        <f>MIN((BD641-Driver!$K$189)/(Driver!$L$189-Driver!$K$189),100%)</f>
        <v/>
      </c>
      <c r="AS641" s="108">
        <f>(BE641-Driver!$K$190)/(Driver!$L$190-Driver!$K$190)</f>
        <v/>
      </c>
      <c r="AT641" s="108">
        <f>(BF641-Driver!$K$191)/(Driver!$L$191-Driver!$K$191)</f>
        <v/>
      </c>
      <c r="AU641" s="108">
        <f>(BG641-Driver!$K$192)/(Driver!$L$192-Driver!$K$192)</f>
        <v/>
      </c>
      <c r="AV641" s="105">
        <f>IFERROR(BM641*BJ641^1/4,"")</f>
        <v/>
      </c>
      <c r="AW641" s="105">
        <f>IFERROR(SUM(AX641:AZ641),"")</f>
        <v/>
      </c>
      <c r="AX641" s="105">
        <f>IFERROR(BH641,"")</f>
        <v/>
      </c>
      <c r="AY641" s="105">
        <f>IFERROR(Driver!$K$19/Data!BH641/Data!BI641*Data!BK641*Data!BL641,"")</f>
        <v/>
      </c>
      <c r="AZ641" s="105">
        <f>IFERROR(BI641*BN641,"")</f>
        <v/>
      </c>
      <c r="BA641" s="105" t="n"/>
      <c r="BB641" s="105" t="n"/>
      <c r="BC641" s="105">
        <f>IFERROR(BI641*BN641*BK641/BJ641^(1/2),"")</f>
        <v/>
      </c>
      <c r="BD641" s="105">
        <f>IFERROR(BH641*BM641*BL641/BJ641/BK641,"")</f>
        <v/>
      </c>
      <c r="BE641" s="105">
        <f>IFERROR(MIN(BI641/BQ641/BP641/BO641/BH641,$BE$1),"")</f>
        <v/>
      </c>
      <c r="BF641" s="105">
        <f>IFERROR(BJ641*BO641*BP641/BK641,"")</f>
        <v/>
      </c>
      <c r="BG641" s="105">
        <f>IFERROR(1/BM641/BH641*BQ641,"")</f>
        <v/>
      </c>
      <c r="BH641" s="102">
        <f>MAX((CE641-Driver!$F$200)/(Driver!$G$200-Driver!$F$200)*$BI$1,1)</f>
        <v/>
      </c>
      <c r="BI641" s="102">
        <f>MAX($BI$1*(BY641-Driver!$F$201)/(Driver!$G$201-Driver!$F$201),1)</f>
        <v/>
      </c>
      <c r="BJ641" s="102">
        <f>(CB641-Driver!$F$206)/(Driver!$G$206-Driver!$F$206)*$BI$1</f>
        <v/>
      </c>
      <c r="BK641" s="102">
        <f>(CD641-Driver!$F$203)/(Driver!$G$203-Driver!$F$203)*$BI$1</f>
        <v/>
      </c>
      <c r="BL641" s="102">
        <f>MAX((CR641-Driver!$F$202)/(Driver!$G$202-Driver!$F$202)*$BI$1,1)</f>
        <v/>
      </c>
      <c r="BM641" s="102">
        <f>MAX((CH641-Driver!$F$204)/(Driver!$G$204-Driver!$F$204)*$BI$1,1)</f>
        <v/>
      </c>
      <c r="BN641" s="102">
        <f>(CI641-Driver!$F$205)/(Driver!$G$205-Driver!$F$205)*$BI$1</f>
        <v/>
      </c>
      <c r="BO641" s="102">
        <f>(CK641-Driver!$F$207)/(Driver!$G$207-Driver!$F$207)*$BI$1</f>
        <v/>
      </c>
      <c r="BP641" s="102">
        <f>(CM641-Driver!$F$208)/(Driver!$G$208-Driver!$F$208)*$BI$1</f>
        <v/>
      </c>
      <c r="BQ641" s="102">
        <f>(CL641-Driver!$F$209)/(Driver!$G$209-Driver!$F$209)*$BI$1</f>
        <v/>
      </c>
      <c r="BR641" s="40" t="inlineStr">
        <is>
          <t>21/22</t>
        </is>
      </c>
      <c r="BS641" s="10" t="inlineStr">
        <is>
          <t xml:space="preserve"> Atomic</t>
        </is>
      </c>
      <c r="BT641" s="11" t="inlineStr">
        <is>
          <t>Maven 86</t>
        </is>
      </c>
      <c r="BU641" s="13" t="n">
        <v>161</v>
      </c>
      <c r="BV641" s="11" t="inlineStr">
        <is>
          <t xml:space="preserve"> Women's</t>
        </is>
      </c>
      <c r="BW641" s="13" t="n">
        <v>161</v>
      </c>
      <c r="BX641" s="13" t="n">
        <v>160.2</v>
      </c>
      <c r="BY641" s="13" t="n">
        <v>113</v>
      </c>
      <c r="BZ641" s="13" t="n">
        <v>133</v>
      </c>
      <c r="CA641" s="13" t="n">
        <v>121</v>
      </c>
      <c r="CB641" s="13" t="n">
        <v>86</v>
      </c>
      <c r="CC641" s="13" t="n">
        <v>104</v>
      </c>
      <c r="CD641" s="13" t="n">
        <v>16</v>
      </c>
      <c r="CE641" s="13" t="n">
        <v>1403</v>
      </c>
      <c r="CF641" s="13" t="n">
        <v>1.11</v>
      </c>
      <c r="CG641" s="13" t="n">
        <v>1551</v>
      </c>
      <c r="CH641" s="13" t="n">
        <v>191</v>
      </c>
      <c r="CI641" s="13" t="n">
        <v>82</v>
      </c>
      <c r="CJ641" s="13" t="n">
        <v>48</v>
      </c>
      <c r="CK641" s="13" t="n">
        <v>277</v>
      </c>
      <c r="CL641" s="13" t="n">
        <v>12</v>
      </c>
      <c r="CM641" s="13" t="n">
        <v>191</v>
      </c>
      <c r="CN641" s="13" t="n">
        <v>0.255</v>
      </c>
      <c r="CO641" s="13" t="n">
        <v>166</v>
      </c>
      <c r="CP641" s="13" t="n">
        <v>104</v>
      </c>
      <c r="CQ641" s="13" t="n">
        <v>111</v>
      </c>
      <c r="CR641" s="13" t="n">
        <v>4</v>
      </c>
      <c r="CS641" s="13" t="n">
        <v>8.699999999999999</v>
      </c>
      <c r="CT641" s="11" t="inlineStr">
        <is>
          <t xml:space="preserve"> Resort Freeride</t>
        </is>
      </c>
      <c r="CU641" s="11" t="inlineStr">
        <is>
          <t xml:space="preserve"> Touring</t>
        </is>
      </c>
      <c r="CV641" s="13" t="n"/>
      <c r="CW641" s="13" t="n"/>
      <c r="CX641">
        <f>INDEX('Data_Price '!AG$2:AG$1266,MATCH(Data!$DN641,'Data_Price '!$AT$2:$AT$1266,0))</f>
        <v/>
      </c>
      <c r="CY641">
        <f>INDEX('Data_Price '!AH$2:AH$1266,MATCH(Data!$DN641,'Data_Price '!$AT$2:$AT$1266,0))</f>
        <v/>
      </c>
      <c r="CZ641">
        <f>INDEX('Data_Price '!AI$2:AI$1266,MATCH(Data!$DN641,'Data_Price '!$AT$2:$AT$1266,0))</f>
        <v/>
      </c>
      <c r="DA641">
        <f>INDEX('Data_Price '!AJ$2:AJ$1266,MATCH(Data!$DN641,'Data_Price '!$AT$2:$AT$1266,0))</f>
        <v/>
      </c>
      <c r="DB641">
        <f>INDEX('Data_Price '!AK$2:AK$1266,MATCH(Data!$DN641,'Data_Price '!$AT$2:$AT$1266,0))</f>
        <v/>
      </c>
      <c r="DC641">
        <f>INDEX('Data_Price '!AL$2:AL$1266,MATCH(Data!$DN641,'Data_Price '!$AT$2:$AT$1266,0))</f>
        <v/>
      </c>
      <c r="DD641">
        <f>INDEX('Data_Price '!AM$2:AM$1266,MATCH(Data!$DN641,'Data_Price '!$AT$2:$AT$1266,0))</f>
        <v/>
      </c>
      <c r="DE641">
        <f>INDEX('Data_Price '!AN$2:AN$1266,MATCH(Data!$DN641,'Data_Price '!$AT$2:$AT$1266,0))</f>
        <v/>
      </c>
      <c r="DF641">
        <f>INDEX('Data_Price '!AO$2:AO$1266,MATCH(Data!$DN641,'Data_Price '!$AT$2:$AT$1266,0))</f>
        <v/>
      </c>
      <c r="DG641">
        <f>INDEX('Data_Price '!AP$2:AP$1266,MATCH(Data!$DN641,'Data_Price '!$AT$2:$AT$1266,0))</f>
        <v/>
      </c>
      <c r="DH641">
        <f>INDEX('Data_Price '!AQ$2:AQ$1266,MATCH(Data!$DN641,'Data_Price '!$AT$2:$AT$1266,0))</f>
        <v/>
      </c>
      <c r="DI641">
        <f>INDEX('Data_Price '!AR$2:AR$1266,MATCH(Data!$DN641,'Data_Price '!$AT$2:$AT$1266,0))</f>
        <v/>
      </c>
      <c r="DJ641" s="138">
        <f>DA641</f>
        <v/>
      </c>
      <c r="DK641" s="138">
        <f>DE641</f>
        <v/>
      </c>
      <c r="DL641" s="138">
        <f>DI641</f>
        <v/>
      </c>
      <c r="DM641" s="303">
        <f>IF(LEFT(BT641,1)=" ",RIGHT(BT641,LEN(BT641)-1),BT641)</f>
        <v/>
      </c>
      <c r="DN641" s="138">
        <f>_xlfn.CONCAT(BS641,DM641,BU641,BV641)</f>
        <v/>
      </c>
      <c r="DO641" s="307" t="inlineStr">
        <is>
          <t>https://images.evo.com/imgp/250/197734/826797/clone.jpg</t>
        </is>
      </c>
    </row>
    <row r="642" ht="15.6" customHeight="1" s="184">
      <c r="B642" s="303">
        <f t="array" ref="B642">IF(OR(ISERROR(K642:P642)),FALSE,TRUE)</f>
        <v/>
      </c>
      <c r="C642" s="60">
        <f>OR(BR642=Driver!$G$50,Data!BR202=Driver!$H$50)</f>
        <v/>
      </c>
      <c r="D642" s="60">
        <f>OR(BV642=Driver!$G$51,BV642=Driver!$H$51)</f>
        <v/>
      </c>
      <c r="E642" s="60">
        <f>AND(BX642&gt;Driver!$F$54,BX642&lt;Driver!$G$54)</f>
        <v/>
      </c>
      <c r="F642" s="60">
        <f>CL642&gt;Driver!$F$56</f>
        <v/>
      </c>
      <c r="G642" s="60">
        <f>AND(CB642&gt;Driver!$F$55,CB642&lt;Driver!$G$55)</f>
        <v/>
      </c>
      <c r="H642" s="60">
        <f>AND(B642:G642)</f>
        <v/>
      </c>
      <c r="I642" s="60">
        <f>COUNTIFS($H$9:$H$1273,TRUE,$BT$9:$BT$1273,BT642)</f>
        <v/>
      </c>
      <c r="J642" s="60">
        <f t="array" ref="J642">NOT(OR(($H$9:$H$1273=TRUE)*($I$9:$I$1273&gt;0)*($BT$9:$BT$1273=BT642)*($K$9:$K$1273&gt;K642)))</f>
        <v/>
      </c>
      <c r="K642" s="108">
        <f>IFERROR(1-AVERAGE(X642:Y642),"")</f>
        <v/>
      </c>
      <c r="L642" s="108">
        <f>1-X642</f>
        <v/>
      </c>
      <c r="M642" s="108">
        <f>1-Y642</f>
        <v/>
      </c>
      <c r="N642" s="108">
        <f>1-Z642</f>
        <v/>
      </c>
      <c r="O642" s="108">
        <f>1-AA642</f>
        <v/>
      </c>
      <c r="P642" s="108">
        <f>1-AB642</f>
        <v/>
      </c>
      <c r="Q642" s="108" t="n"/>
      <c r="R642" s="108" t="n"/>
      <c r="S642" s="108">
        <f>1-AE642</f>
        <v/>
      </c>
      <c r="T642" s="108">
        <f>1-AF642</f>
        <v/>
      </c>
      <c r="U642" s="108">
        <f>1-AG642</f>
        <v/>
      </c>
      <c r="V642" s="108">
        <f>1-AH642</f>
        <v/>
      </c>
      <c r="W642" s="108">
        <f>1-AI642</f>
        <v/>
      </c>
      <c r="X642" s="108">
        <f>ABS(AJ642-AJ$1)</f>
        <v/>
      </c>
      <c r="Y642" s="108">
        <f>AVERAGE(Z642:AB642)</f>
        <v/>
      </c>
      <c r="Z642" s="108">
        <f>ABS(AL642-AL$1)</f>
        <v/>
      </c>
      <c r="AA642" s="108">
        <f>ABS(AM642-AM$1)</f>
        <v/>
      </c>
      <c r="AB642" s="108">
        <f>ABS(AN642-AN$1)</f>
        <v/>
      </c>
      <c r="AC642" s="108" t="n"/>
      <c r="AD642" s="108" t="n"/>
      <c r="AE642" s="108">
        <f>ABS(AQ$1-AQ642)</f>
        <v/>
      </c>
      <c r="AF642" s="108">
        <f>ABS(AR$1-AR642)</f>
        <v/>
      </c>
      <c r="AG642" s="108">
        <f>ABS(AS$1-AS642)</f>
        <v/>
      </c>
      <c r="AH642" s="108">
        <f>ABS(AT$1-AT642)</f>
        <v/>
      </c>
      <c r="AI642" s="108">
        <f>ABS(AU$1-AU642)</f>
        <v/>
      </c>
      <c r="AJ642" s="108">
        <f>(AV642-Driver!$K$179)/(Driver!$L$179-Driver!$K$179)</f>
        <v/>
      </c>
      <c r="AK642" s="108">
        <f>(AW642-Driver!$K$180)/(Driver!$L$180-Driver!$K$180)</f>
        <v/>
      </c>
      <c r="AL642" s="108">
        <f>(AX642-Driver!$K$181)/(Driver!$L$181-Driver!$K$181)</f>
        <v/>
      </c>
      <c r="AM642" s="108">
        <f>(AY642-Driver!$K$182)/(Driver!$L$182-Driver!$K$182)</f>
        <v/>
      </c>
      <c r="AN642" s="108">
        <f>(AZ642-Driver!$K$183)/(Driver!$L$183-Driver!$K$183)</f>
        <v/>
      </c>
      <c r="AO642" s="108" t="n"/>
      <c r="AP642" s="108" t="n"/>
      <c r="AQ642" s="108">
        <f>(BC642-Driver!$K$188)/(Driver!$L$188-Driver!$K$188)</f>
        <v/>
      </c>
      <c r="AR642" s="108">
        <f>MIN((BD642-Driver!$K$189)/(Driver!$L$189-Driver!$K$189),100%)</f>
        <v/>
      </c>
      <c r="AS642" s="108">
        <f>(BE642-Driver!$K$190)/(Driver!$L$190-Driver!$K$190)</f>
        <v/>
      </c>
      <c r="AT642" s="108">
        <f>(BF642-Driver!$K$191)/(Driver!$L$191-Driver!$K$191)</f>
        <v/>
      </c>
      <c r="AU642" s="108">
        <f>(BG642-Driver!$K$192)/(Driver!$L$192-Driver!$K$192)</f>
        <v/>
      </c>
      <c r="AV642" s="105">
        <f>IFERROR(BM642*BJ642^1/4,"")</f>
        <v/>
      </c>
      <c r="AW642" s="105">
        <f>IFERROR(SUM(AX642:AZ642),"")</f>
        <v/>
      </c>
      <c r="AX642" s="105">
        <f>IFERROR(BH642,"")</f>
        <v/>
      </c>
      <c r="AY642" s="105">
        <f>IFERROR(Driver!$K$19/Data!BH642/Data!BI642*Data!BK642*Data!BL642,"")</f>
        <v/>
      </c>
      <c r="AZ642" s="105">
        <f>IFERROR(BI642*BN642,"")</f>
        <v/>
      </c>
      <c r="BA642" s="105" t="n"/>
      <c r="BB642" s="105" t="n"/>
      <c r="BC642" s="105">
        <f>IFERROR(BI642*BN642*BK642/BJ642^(1/2),"")</f>
        <v/>
      </c>
      <c r="BD642" s="105">
        <f>IFERROR(BH642*BM642*BL642/BJ642/BK642,"")</f>
        <v/>
      </c>
      <c r="BE642" s="105">
        <f>IFERROR(MIN(BI642/BQ642/BP642/BO642/BH642,$BE$1),"")</f>
        <v/>
      </c>
      <c r="BF642" s="105">
        <f>IFERROR(BJ642*BO642*BP642/BK642,"")</f>
        <v/>
      </c>
      <c r="BG642" s="105">
        <f>IFERROR(1/BM642/BH642*BQ642,"")</f>
        <v/>
      </c>
      <c r="BH642" s="102">
        <f>MAX((CE642-Driver!$F$200)/(Driver!$G$200-Driver!$F$200)*$BI$1,1)</f>
        <v/>
      </c>
      <c r="BI642" s="102">
        <f>MAX($BI$1*(BY642-Driver!$F$201)/(Driver!$G$201-Driver!$F$201),1)</f>
        <v/>
      </c>
      <c r="BJ642" s="102">
        <f>(CB642-Driver!$F$206)/(Driver!$G$206-Driver!$F$206)*$BI$1</f>
        <v/>
      </c>
      <c r="BK642" s="102">
        <f>(CD642-Driver!$F$203)/(Driver!$G$203-Driver!$F$203)*$BI$1</f>
        <v/>
      </c>
      <c r="BL642" s="102">
        <f>MAX((CR642-Driver!$F$202)/(Driver!$G$202-Driver!$F$202)*$BI$1,1)</f>
        <v/>
      </c>
      <c r="BM642" s="102">
        <f>MAX((CH642-Driver!$F$204)/(Driver!$G$204-Driver!$F$204)*$BI$1,1)</f>
        <v/>
      </c>
      <c r="BN642" s="102">
        <f>(CI642-Driver!$F$205)/(Driver!$G$205-Driver!$F$205)*$BI$1</f>
        <v/>
      </c>
      <c r="BO642" s="102">
        <f>(CK642-Driver!$F$207)/(Driver!$G$207-Driver!$F$207)*$BI$1</f>
        <v/>
      </c>
      <c r="BP642" s="102">
        <f>(CM642-Driver!$F$208)/(Driver!$G$208-Driver!$F$208)*$BI$1</f>
        <v/>
      </c>
      <c r="BQ642" s="102">
        <f>(CL642-Driver!$F$209)/(Driver!$G$209-Driver!$F$209)*$BI$1</f>
        <v/>
      </c>
      <c r="BR642" s="40" t="inlineStr">
        <is>
          <t>21/22</t>
        </is>
      </c>
      <c r="BS642" s="10" t="inlineStr">
        <is>
          <t xml:space="preserve"> Black Crows</t>
        </is>
      </c>
      <c r="BT642" s="11" t="inlineStr">
        <is>
          <t xml:space="preserve"> Camox</t>
        </is>
      </c>
      <c r="BU642" s="13" t="n">
        <v>168.1</v>
      </c>
      <c r="BV642" s="11" t="inlineStr">
        <is>
          <t xml:space="preserve"> Unisex</t>
        </is>
      </c>
      <c r="BW642" s="13" t="n">
        <v>168.1</v>
      </c>
      <c r="BX642" s="13" t="n">
        <v>167.5</v>
      </c>
      <c r="BY642" s="13" t="n">
        <v>130</v>
      </c>
      <c r="BZ642" s="13" t="n">
        <v>144</v>
      </c>
      <c r="CA642" s="13" t="n">
        <v>127</v>
      </c>
      <c r="CB642" s="13" t="n">
        <v>96</v>
      </c>
      <c r="CC642" s="13" t="n">
        <v>116</v>
      </c>
      <c r="CD642" s="13" t="n">
        <v>18.7</v>
      </c>
      <c r="CE642" s="13" t="n">
        <v>1696</v>
      </c>
      <c r="CF642" s="13" t="n">
        <v>1.04</v>
      </c>
      <c r="CG642" s="13" t="n">
        <v>1772</v>
      </c>
      <c r="CH642" s="13" t="n">
        <v>141</v>
      </c>
      <c r="CI642" s="13" t="n">
        <v>74</v>
      </c>
      <c r="CJ642" s="13" t="n">
        <v>46</v>
      </c>
      <c r="CK642" s="13" t="n">
        <v>225</v>
      </c>
      <c r="CL642" s="13" t="n">
        <v>29</v>
      </c>
      <c r="CM642" s="13" t="n">
        <v>150</v>
      </c>
      <c r="CN642" s="13" t="n">
        <v>0.632</v>
      </c>
      <c r="CO642" s="13" t="n">
        <v>128</v>
      </c>
      <c r="CP642" s="13" t="n">
        <v>112</v>
      </c>
      <c r="CQ642" s="13" t="n">
        <v>97</v>
      </c>
      <c r="CR642" s="13" t="n">
        <v>14</v>
      </c>
      <c r="CS642" s="13" t="n">
        <v>6.2</v>
      </c>
      <c r="CT642" s="11" t="inlineStr">
        <is>
          <t xml:space="preserve"> Resort Freeride</t>
        </is>
      </c>
      <c r="CU642" s="13" t="n"/>
      <c r="CV642" s="13" t="n"/>
      <c r="CW642" s="13" t="n"/>
      <c r="CX642">
        <f>INDEX('Data_Price '!AG$2:AG$1266,MATCH(Data!$DN642,'Data_Price '!$AT$2:$AT$1266,0))</f>
        <v/>
      </c>
      <c r="CY642">
        <f>INDEX('Data_Price '!AH$2:AH$1266,MATCH(Data!$DN642,'Data_Price '!$AT$2:$AT$1266,0))</f>
        <v/>
      </c>
      <c r="CZ642">
        <f>INDEX('Data_Price '!AI$2:AI$1266,MATCH(Data!$DN642,'Data_Price '!$AT$2:$AT$1266,0))</f>
        <v/>
      </c>
      <c r="DA642">
        <f>INDEX('Data_Price '!AJ$2:AJ$1266,MATCH(Data!$DN642,'Data_Price '!$AT$2:$AT$1266,0))</f>
        <v/>
      </c>
      <c r="DB642">
        <f>INDEX('Data_Price '!AK$2:AK$1266,MATCH(Data!$DN642,'Data_Price '!$AT$2:$AT$1266,0))</f>
        <v/>
      </c>
      <c r="DC642">
        <f>INDEX('Data_Price '!AL$2:AL$1266,MATCH(Data!$DN642,'Data_Price '!$AT$2:$AT$1266,0))</f>
        <v/>
      </c>
      <c r="DD642">
        <f>INDEX('Data_Price '!AM$2:AM$1266,MATCH(Data!$DN642,'Data_Price '!$AT$2:$AT$1266,0))</f>
        <v/>
      </c>
      <c r="DE642">
        <f>INDEX('Data_Price '!AN$2:AN$1266,MATCH(Data!$DN642,'Data_Price '!$AT$2:$AT$1266,0))</f>
        <v/>
      </c>
      <c r="DF642">
        <f>INDEX('Data_Price '!AO$2:AO$1266,MATCH(Data!$DN642,'Data_Price '!$AT$2:$AT$1266,0))</f>
        <v/>
      </c>
      <c r="DG642">
        <f>INDEX('Data_Price '!AP$2:AP$1266,MATCH(Data!$DN642,'Data_Price '!$AT$2:$AT$1266,0))</f>
        <v/>
      </c>
      <c r="DH642">
        <f>INDEX('Data_Price '!AQ$2:AQ$1266,MATCH(Data!$DN642,'Data_Price '!$AT$2:$AT$1266,0))</f>
        <v/>
      </c>
      <c r="DI642">
        <f>INDEX('Data_Price '!AR$2:AR$1266,MATCH(Data!$DN642,'Data_Price '!$AT$2:$AT$1266,0))</f>
        <v/>
      </c>
      <c r="DJ642" s="138">
        <f>DA642</f>
        <v/>
      </c>
      <c r="DK642" s="138">
        <f>DE642</f>
        <v/>
      </c>
      <c r="DL642" s="138">
        <f>DI642</f>
        <v/>
      </c>
      <c r="DM642" s="303">
        <f>IF(LEFT(BT642,1)=" ",RIGHT(BT642,LEN(BT642)-1),BT642)</f>
        <v/>
      </c>
      <c r="DN642" s="138">
        <f>_xlfn.CONCAT(BS642,DM642,BU642,BV642)</f>
        <v/>
      </c>
      <c r="DO642" s="307" t="inlineStr">
        <is>
          <t>https://images.evo.com/imgp/250/181599/727231/black-crows-camox-skis-2022-.jpg</t>
        </is>
      </c>
    </row>
    <row r="643" ht="15.6" customHeight="1" s="184">
      <c r="B643" s="303">
        <f t="array" ref="B643">IF(OR(ISERROR(K643:P643)),FALSE,TRUE)</f>
        <v/>
      </c>
      <c r="C643" s="60">
        <f>OR(BR643=Driver!$G$50,Data!BR659=Driver!$H$50)</f>
        <v/>
      </c>
      <c r="D643" s="60">
        <f>OR(BV643=Driver!$G$51,BV643=Driver!$H$51)</f>
        <v/>
      </c>
      <c r="E643" s="60">
        <f>AND(BX643&gt;Driver!$F$54,BX643&lt;Driver!$G$54)</f>
        <v/>
      </c>
      <c r="F643" s="60">
        <f>CL643&gt;Driver!$F$56</f>
        <v/>
      </c>
      <c r="G643" s="60">
        <f>AND(CB643&gt;Driver!$F$55,CB643&lt;Driver!$G$55)</f>
        <v/>
      </c>
      <c r="H643" s="60">
        <f>AND(B643:G643)</f>
        <v/>
      </c>
      <c r="I643" s="60">
        <f>COUNTIFS($H$9:$H$1273,TRUE,$BT$9:$BT$1273,BT643)</f>
        <v/>
      </c>
      <c r="J643" s="60">
        <f t="array" ref="J643">NOT(OR(($H$9:$H$1273=TRUE)*($I$9:$I$1273&gt;0)*($BT$9:$BT$1273=BT643)*($K$9:$K$1273&gt;K643)))</f>
        <v/>
      </c>
      <c r="K643" s="108">
        <f>IFERROR(1-AVERAGE(X643:Y643),"")</f>
        <v/>
      </c>
      <c r="L643" s="108">
        <f>1-X643</f>
        <v/>
      </c>
      <c r="M643" s="108">
        <f>1-Y643</f>
        <v/>
      </c>
      <c r="N643" s="108">
        <f>1-Z643</f>
        <v/>
      </c>
      <c r="O643" s="108">
        <f>1-AA643</f>
        <v/>
      </c>
      <c r="P643" s="108">
        <f>1-AB643</f>
        <v/>
      </c>
      <c r="Q643" s="108" t="n"/>
      <c r="R643" s="108" t="n"/>
      <c r="S643" s="108">
        <f>1-AE643</f>
        <v/>
      </c>
      <c r="T643" s="108">
        <f>1-AF643</f>
        <v/>
      </c>
      <c r="U643" s="108">
        <f>1-AG643</f>
        <v/>
      </c>
      <c r="V643" s="108">
        <f>1-AH643</f>
        <v/>
      </c>
      <c r="W643" s="108">
        <f>1-AI643</f>
        <v/>
      </c>
      <c r="X643" s="108">
        <f>ABS(AJ643-AJ$1)</f>
        <v/>
      </c>
      <c r="Y643" s="108">
        <f>AVERAGE(Z643:AB643)</f>
        <v/>
      </c>
      <c r="Z643" s="108">
        <f>ABS(AL643-AL$1)</f>
        <v/>
      </c>
      <c r="AA643" s="108">
        <f>ABS(AM643-AM$1)</f>
        <v/>
      </c>
      <c r="AB643" s="108">
        <f>ABS(AN643-AN$1)</f>
        <v/>
      </c>
      <c r="AC643" s="108" t="n"/>
      <c r="AD643" s="108" t="n"/>
      <c r="AE643" s="108">
        <f>ABS(AQ$1-AQ643)</f>
        <v/>
      </c>
      <c r="AF643" s="108">
        <f>ABS(AR$1-AR643)</f>
        <v/>
      </c>
      <c r="AG643" s="108">
        <f>ABS(AS$1-AS643)</f>
        <v/>
      </c>
      <c r="AH643" s="108">
        <f>ABS(AT$1-AT643)</f>
        <v/>
      </c>
      <c r="AI643" s="108">
        <f>ABS(AU$1-AU643)</f>
        <v/>
      </c>
      <c r="AJ643" s="108">
        <f>(AV643-Driver!$K$179)/(Driver!$L$179-Driver!$K$179)</f>
        <v/>
      </c>
      <c r="AK643" s="108">
        <f>(AW643-Driver!$K$180)/(Driver!$L$180-Driver!$K$180)</f>
        <v/>
      </c>
      <c r="AL643" s="108">
        <f>(AX643-Driver!$K$181)/(Driver!$L$181-Driver!$K$181)</f>
        <v/>
      </c>
      <c r="AM643" s="108">
        <f>(AY643-Driver!$K$182)/(Driver!$L$182-Driver!$K$182)</f>
        <v/>
      </c>
      <c r="AN643" s="108">
        <f>(AZ643-Driver!$K$183)/(Driver!$L$183-Driver!$K$183)</f>
        <v/>
      </c>
      <c r="AO643" s="108" t="n"/>
      <c r="AP643" s="108" t="n"/>
      <c r="AQ643" s="108">
        <f>(BC643-Driver!$K$188)/(Driver!$L$188-Driver!$K$188)</f>
        <v/>
      </c>
      <c r="AR643" s="108">
        <f>MIN((BD643-Driver!$K$189)/(Driver!$L$189-Driver!$K$189),100%)</f>
        <v/>
      </c>
      <c r="AS643" s="108">
        <f>(BE643-Driver!$K$190)/(Driver!$L$190-Driver!$K$190)</f>
        <v/>
      </c>
      <c r="AT643" s="108">
        <f>(BF643-Driver!$K$191)/(Driver!$L$191-Driver!$K$191)</f>
        <v/>
      </c>
      <c r="AU643" s="108">
        <f>(BG643-Driver!$K$192)/(Driver!$L$192-Driver!$K$192)</f>
        <v/>
      </c>
      <c r="AV643" s="105">
        <f>IFERROR(BM643*BJ643^1/4,"")</f>
        <v/>
      </c>
      <c r="AW643" s="105">
        <f>IFERROR(SUM(AX643:AZ643),"")</f>
        <v/>
      </c>
      <c r="AX643" s="105">
        <f>IFERROR(BH643,"")</f>
        <v/>
      </c>
      <c r="AY643" s="105">
        <f>IFERROR(Driver!$K$19/Data!BH643/Data!BI643*Data!BK643*Data!BL643,"")</f>
        <v/>
      </c>
      <c r="AZ643" s="105">
        <f>IFERROR(BI643*BN643,"")</f>
        <v/>
      </c>
      <c r="BA643" s="105" t="n"/>
      <c r="BB643" s="105" t="n"/>
      <c r="BC643" s="105">
        <f>IFERROR(BI643*BN643*BK643/BJ643^(1/2),"")</f>
        <v/>
      </c>
      <c r="BD643" s="105">
        <f>IFERROR(BH643*BM643*BL643/BJ643/BK643,"")</f>
        <v/>
      </c>
      <c r="BE643" s="105">
        <f>IFERROR(MIN(BI643/BQ643/BP643/BO643/BH643,$BE$1),"")</f>
        <v/>
      </c>
      <c r="BF643" s="105">
        <f>IFERROR(BJ643*BO643*BP643/BK643,"")</f>
        <v/>
      </c>
      <c r="BG643" s="105">
        <f>IFERROR(1/BM643/BH643*BQ643,"")</f>
        <v/>
      </c>
      <c r="BH643" s="102">
        <f>MAX((CE643-Driver!$F$200)/(Driver!$G$200-Driver!$F$200)*$BI$1,1)</f>
        <v/>
      </c>
      <c r="BI643" s="102">
        <f>MAX($BI$1*(BY643-Driver!$F$201)/(Driver!$G$201-Driver!$F$201),1)</f>
        <v/>
      </c>
      <c r="BJ643" s="102">
        <f>(CB643-Driver!$F$206)/(Driver!$G$206-Driver!$F$206)*$BI$1</f>
        <v/>
      </c>
      <c r="BK643" s="102">
        <f>(CD643-Driver!$F$203)/(Driver!$G$203-Driver!$F$203)*$BI$1</f>
        <v/>
      </c>
      <c r="BL643" s="102">
        <f>MAX((CR643-Driver!$F$202)/(Driver!$G$202-Driver!$F$202)*$BI$1,1)</f>
        <v/>
      </c>
      <c r="BM643" s="102">
        <f>MAX((CH643-Driver!$F$204)/(Driver!$G$204-Driver!$F$204)*$BI$1,1)</f>
        <v/>
      </c>
      <c r="BN643" s="102">
        <f>(CI643-Driver!$F$205)/(Driver!$G$205-Driver!$F$205)*$BI$1</f>
        <v/>
      </c>
      <c r="BO643" s="102">
        <f>(CK643-Driver!$F$207)/(Driver!$G$207-Driver!$F$207)*$BI$1</f>
        <v/>
      </c>
      <c r="BP643" s="102">
        <f>(CM643-Driver!$F$208)/(Driver!$G$208-Driver!$F$208)*$BI$1</f>
        <v/>
      </c>
      <c r="BQ643" s="102">
        <f>(CL643-Driver!$F$209)/(Driver!$G$209-Driver!$F$209)*$BI$1</f>
        <v/>
      </c>
      <c r="BR643" s="40" t="inlineStr">
        <is>
          <t>21/22</t>
        </is>
      </c>
      <c r="BS643" s="10" t="inlineStr">
        <is>
          <t xml:space="preserve"> Head</t>
        </is>
      </c>
      <c r="BT643" s="11" t="inlineStr">
        <is>
          <t>V-Shape V6</t>
        </is>
      </c>
      <c r="BU643" s="13" t="n">
        <v>163</v>
      </c>
      <c r="BV643" s="11" t="inlineStr">
        <is>
          <t xml:space="preserve"> Unisex</t>
        </is>
      </c>
      <c r="BW643" s="13" t="n">
        <v>163</v>
      </c>
      <c r="BX643" s="13" t="n">
        <v>162.4</v>
      </c>
      <c r="BY643" s="13" t="n">
        <v>143</v>
      </c>
      <c r="BZ643" s="13" t="n">
        <v>149</v>
      </c>
      <c r="CA643" s="13" t="n">
        <v>131</v>
      </c>
      <c r="CB643" s="13" t="n">
        <v>77</v>
      </c>
      <c r="CC643" s="13" t="n">
        <v>111</v>
      </c>
      <c r="CD643" s="13" t="n">
        <v>12.4</v>
      </c>
      <c r="CE643" s="13" t="n">
        <v>1882</v>
      </c>
      <c r="CF643" s="13" t="n">
        <v>0.8</v>
      </c>
      <c r="CG643" s="13" t="n">
        <v>1514</v>
      </c>
      <c r="CH643" s="13" t="n">
        <v>169</v>
      </c>
      <c r="CI643" s="13" t="n">
        <v>80</v>
      </c>
      <c r="CJ643" s="13" t="n">
        <v>34</v>
      </c>
      <c r="CK643" s="13" t="n">
        <v>138</v>
      </c>
      <c r="CL643" s="13" t="n">
        <v>7</v>
      </c>
      <c r="CM643" s="13" t="n">
        <v>59</v>
      </c>
      <c r="CN643" s="13" t="n">
        <v>0.209</v>
      </c>
      <c r="CO643" s="13" t="n">
        <v>86</v>
      </c>
      <c r="CP643" s="13" t="n">
        <v>51</v>
      </c>
      <c r="CQ643" s="13" t="n">
        <v>52</v>
      </c>
      <c r="CR643" s="13" t="n">
        <v>14</v>
      </c>
      <c r="CS643" s="13" t="n">
        <v>12.5</v>
      </c>
      <c r="CT643" s="11" t="inlineStr">
        <is>
          <t xml:space="preserve"> On-Piste Carving</t>
        </is>
      </c>
      <c r="CU643" s="13" t="n"/>
      <c r="CV643" s="13" t="n"/>
      <c r="CW643" s="13" t="n"/>
      <c r="CX643">
        <f>INDEX('Data_Price '!AG$2:AG$1266,MATCH(Data!$DN643,'Data_Price '!$AT$2:$AT$1266,0))</f>
        <v/>
      </c>
      <c r="CY643">
        <f>INDEX('Data_Price '!AH$2:AH$1266,MATCH(Data!$DN643,'Data_Price '!$AT$2:$AT$1266,0))</f>
        <v/>
      </c>
      <c r="CZ643">
        <f>INDEX('Data_Price '!AI$2:AI$1266,MATCH(Data!$DN643,'Data_Price '!$AT$2:$AT$1266,0))</f>
        <v/>
      </c>
      <c r="DA643">
        <f>INDEX('Data_Price '!AJ$2:AJ$1266,MATCH(Data!$DN643,'Data_Price '!$AT$2:$AT$1266,0))</f>
        <v/>
      </c>
      <c r="DB643">
        <f>INDEX('Data_Price '!AK$2:AK$1266,MATCH(Data!$DN643,'Data_Price '!$AT$2:$AT$1266,0))</f>
        <v/>
      </c>
      <c r="DC643">
        <f>INDEX('Data_Price '!AL$2:AL$1266,MATCH(Data!$DN643,'Data_Price '!$AT$2:$AT$1266,0))</f>
        <v/>
      </c>
      <c r="DD643">
        <f>INDEX('Data_Price '!AM$2:AM$1266,MATCH(Data!$DN643,'Data_Price '!$AT$2:$AT$1266,0))</f>
        <v/>
      </c>
      <c r="DE643">
        <f>INDEX('Data_Price '!AN$2:AN$1266,MATCH(Data!$DN643,'Data_Price '!$AT$2:$AT$1266,0))</f>
        <v/>
      </c>
      <c r="DF643">
        <f>INDEX('Data_Price '!AO$2:AO$1266,MATCH(Data!$DN643,'Data_Price '!$AT$2:$AT$1266,0))</f>
        <v/>
      </c>
      <c r="DG643">
        <f>INDEX('Data_Price '!AP$2:AP$1266,MATCH(Data!$DN643,'Data_Price '!$AT$2:$AT$1266,0))</f>
        <v/>
      </c>
      <c r="DH643">
        <f>INDEX('Data_Price '!AQ$2:AQ$1266,MATCH(Data!$DN643,'Data_Price '!$AT$2:$AT$1266,0))</f>
        <v/>
      </c>
      <c r="DI643">
        <f>INDEX('Data_Price '!AR$2:AR$1266,MATCH(Data!$DN643,'Data_Price '!$AT$2:$AT$1266,0))</f>
        <v/>
      </c>
      <c r="DJ643" s="138">
        <f>DA643</f>
        <v/>
      </c>
      <c r="DK643" s="138">
        <f>DE643</f>
        <v/>
      </c>
      <c r="DL643" s="138">
        <f>DI643</f>
        <v/>
      </c>
      <c r="DM643" s="303">
        <f>IF(LEFT(BT643,1)=" ",RIGHT(BT643,LEN(BT643)-1),BT643)</f>
        <v/>
      </c>
      <c r="DN643" s="138">
        <f>_xlfn.CONCAT(BS643,DM643,BU643,BV643)</f>
        <v/>
      </c>
      <c r="DO643" s="307" t="inlineStr">
        <is>
          <t>https://images.evo.com/imgp/250/183613/724807/head-v-shape-v6-skis-pr-11-gw-bindings-2022-.jpg</t>
        </is>
      </c>
    </row>
    <row r="644" ht="15.6" customHeight="1" s="184">
      <c r="B644" s="303">
        <f t="array" ref="B644">IF(OR(ISERROR(K644:P644)),FALSE,TRUE)</f>
        <v/>
      </c>
      <c r="C644" s="60">
        <f>OR(BR644=Driver!$G$50,Data!BR633=Driver!$H$50)</f>
        <v/>
      </c>
      <c r="D644" s="60">
        <f>OR(BV644=Driver!$G$51,BV644=Driver!$H$51)</f>
        <v/>
      </c>
      <c r="E644" s="60">
        <f>AND(BX644&gt;Driver!$F$54,BX644&lt;Driver!$G$54)</f>
        <v/>
      </c>
      <c r="F644" s="60">
        <f>CL644&gt;Driver!$F$56</f>
        <v/>
      </c>
      <c r="G644" s="60">
        <f>AND(CB644&gt;Driver!$F$55,CB644&lt;Driver!$G$55)</f>
        <v/>
      </c>
      <c r="H644" s="60">
        <f>AND(B644:G644)</f>
        <v/>
      </c>
      <c r="I644" s="60">
        <f>COUNTIFS($H$9:$H$1273,TRUE,$BT$9:$BT$1273,BT644)</f>
        <v/>
      </c>
      <c r="J644" s="60">
        <f t="array" ref="J644">NOT(OR(($H$9:$H$1273=TRUE)*($I$9:$I$1273&gt;0)*($BT$9:$BT$1273=BT644)*($K$9:$K$1273&gt;K644)))</f>
        <v/>
      </c>
      <c r="K644" s="108">
        <f>IFERROR(1-AVERAGE(X644:Y644),"")</f>
        <v/>
      </c>
      <c r="L644" s="108">
        <f>1-X644</f>
        <v/>
      </c>
      <c r="M644" s="108">
        <f>1-Y644</f>
        <v/>
      </c>
      <c r="N644" s="108">
        <f>1-Z644</f>
        <v/>
      </c>
      <c r="O644" s="108">
        <f>1-AA644</f>
        <v/>
      </c>
      <c r="P644" s="108">
        <f>1-AB644</f>
        <v/>
      </c>
      <c r="Q644" s="108" t="n"/>
      <c r="R644" s="108" t="n"/>
      <c r="S644" s="108">
        <f>1-AE644</f>
        <v/>
      </c>
      <c r="T644" s="108">
        <f>1-AF644</f>
        <v/>
      </c>
      <c r="U644" s="108">
        <f>1-AG644</f>
        <v/>
      </c>
      <c r="V644" s="108">
        <f>1-AH644</f>
        <v/>
      </c>
      <c r="W644" s="108">
        <f>1-AI644</f>
        <v/>
      </c>
      <c r="X644" s="108">
        <f>ABS(AJ644-AJ$1)</f>
        <v/>
      </c>
      <c r="Y644" s="108">
        <f>AVERAGE(Z644:AB644)</f>
        <v/>
      </c>
      <c r="Z644" s="108">
        <f>ABS(AL644-AL$1)</f>
        <v/>
      </c>
      <c r="AA644" s="108">
        <f>ABS(AM644-AM$1)</f>
        <v/>
      </c>
      <c r="AB644" s="108">
        <f>ABS(AN644-AN$1)</f>
        <v/>
      </c>
      <c r="AC644" s="108" t="n"/>
      <c r="AD644" s="108" t="n"/>
      <c r="AE644" s="108">
        <f>ABS(AQ$1-AQ644)</f>
        <v/>
      </c>
      <c r="AF644" s="108">
        <f>ABS(AR$1-AR644)</f>
        <v/>
      </c>
      <c r="AG644" s="108">
        <f>ABS(AS$1-AS644)</f>
        <v/>
      </c>
      <c r="AH644" s="108">
        <f>ABS(AT$1-AT644)</f>
        <v/>
      </c>
      <c r="AI644" s="108">
        <f>ABS(AU$1-AU644)</f>
        <v/>
      </c>
      <c r="AJ644" s="108">
        <f>(AV644-Driver!$K$179)/(Driver!$L$179-Driver!$K$179)</f>
        <v/>
      </c>
      <c r="AK644" s="108">
        <f>(AW644-Driver!$K$180)/(Driver!$L$180-Driver!$K$180)</f>
        <v/>
      </c>
      <c r="AL644" s="108">
        <f>(AX644-Driver!$K$181)/(Driver!$L$181-Driver!$K$181)</f>
        <v/>
      </c>
      <c r="AM644" s="108">
        <f>(AY644-Driver!$K$182)/(Driver!$L$182-Driver!$K$182)</f>
        <v/>
      </c>
      <c r="AN644" s="108">
        <f>(AZ644-Driver!$K$183)/(Driver!$L$183-Driver!$K$183)</f>
        <v/>
      </c>
      <c r="AO644" s="108" t="n"/>
      <c r="AP644" s="108" t="n"/>
      <c r="AQ644" s="108">
        <f>(BC644-Driver!$K$188)/(Driver!$L$188-Driver!$K$188)</f>
        <v/>
      </c>
      <c r="AR644" s="108">
        <f>MIN((BD644-Driver!$K$189)/(Driver!$L$189-Driver!$K$189),100%)</f>
        <v/>
      </c>
      <c r="AS644" s="108">
        <f>(BE644-Driver!$K$190)/(Driver!$L$190-Driver!$K$190)</f>
        <v/>
      </c>
      <c r="AT644" s="108">
        <f>(BF644-Driver!$K$191)/(Driver!$L$191-Driver!$K$191)</f>
        <v/>
      </c>
      <c r="AU644" s="108">
        <f>(BG644-Driver!$K$192)/(Driver!$L$192-Driver!$K$192)</f>
        <v/>
      </c>
      <c r="AV644" s="105">
        <f>IFERROR(BM644*BJ644^1/4,"")</f>
        <v/>
      </c>
      <c r="AW644" s="105">
        <f>IFERROR(SUM(AX644:AZ644),"")</f>
        <v/>
      </c>
      <c r="AX644" s="105">
        <f>IFERROR(BH644,"")</f>
        <v/>
      </c>
      <c r="AY644" s="105">
        <f>IFERROR(Driver!$K$19/Data!BH644/Data!BI644*Data!BK644*Data!BL644,"")</f>
        <v/>
      </c>
      <c r="AZ644" s="105">
        <f>IFERROR(BI644*BN644,"")</f>
        <v/>
      </c>
      <c r="BA644" s="105" t="n"/>
      <c r="BB644" s="105" t="n"/>
      <c r="BC644" s="105">
        <f>IFERROR(BI644*BN644*BK644/BJ644^(1/2),"")</f>
        <v/>
      </c>
      <c r="BD644" s="105">
        <f>IFERROR(BH644*BM644*BL644/BJ644/BK644,"")</f>
        <v/>
      </c>
      <c r="BE644" s="105">
        <f>IFERROR(MIN(BI644/BQ644/BP644/BO644/BH644,$BE$1),"")</f>
        <v/>
      </c>
      <c r="BF644" s="105">
        <f>IFERROR(BJ644*BO644*BP644/BK644,"")</f>
        <v/>
      </c>
      <c r="BG644" s="105">
        <f>IFERROR(1/BM644/BH644*BQ644,"")</f>
        <v/>
      </c>
      <c r="BH644" s="102">
        <f>MAX((CE644-Driver!$F$200)/(Driver!$G$200-Driver!$F$200)*$BI$1,1)</f>
        <v/>
      </c>
      <c r="BI644" s="102">
        <f>MAX($BI$1*(BY644-Driver!$F$201)/(Driver!$G$201-Driver!$F$201),1)</f>
        <v/>
      </c>
      <c r="BJ644" s="102">
        <f>(CB644-Driver!$F$206)/(Driver!$G$206-Driver!$F$206)*$BI$1</f>
        <v/>
      </c>
      <c r="BK644" s="102">
        <f>(CD644-Driver!$F$203)/(Driver!$G$203-Driver!$F$203)*$BI$1</f>
        <v/>
      </c>
      <c r="BL644" s="102">
        <f>MAX((CR644-Driver!$F$202)/(Driver!$G$202-Driver!$F$202)*$BI$1,1)</f>
        <v/>
      </c>
      <c r="BM644" s="102">
        <f>MAX((CH644-Driver!$F$204)/(Driver!$G$204-Driver!$F$204)*$BI$1,1)</f>
        <v/>
      </c>
      <c r="BN644" s="102">
        <f>(CI644-Driver!$F$205)/(Driver!$G$205-Driver!$F$205)*$BI$1</f>
        <v/>
      </c>
      <c r="BO644" s="102">
        <f>(CK644-Driver!$F$207)/(Driver!$G$207-Driver!$F$207)*$BI$1</f>
        <v/>
      </c>
      <c r="BP644" s="102">
        <f>(CM644-Driver!$F$208)/(Driver!$G$208-Driver!$F$208)*$BI$1</f>
        <v/>
      </c>
      <c r="BQ644" s="102">
        <f>(CL644-Driver!$F$209)/(Driver!$G$209-Driver!$F$209)*$BI$1</f>
        <v/>
      </c>
      <c r="BR644" s="40" t="inlineStr">
        <is>
          <t>21/22</t>
        </is>
      </c>
      <c r="BS644" s="10" t="inlineStr">
        <is>
          <t xml:space="preserve"> Head</t>
        </is>
      </c>
      <c r="BT644" s="11" t="inlineStr">
        <is>
          <t>Oblivion 84</t>
        </is>
      </c>
      <c r="BU644" s="13" t="n">
        <v>176</v>
      </c>
      <c r="BV644" s="11" t="inlineStr">
        <is>
          <t xml:space="preserve"> Unisex</t>
        </is>
      </c>
      <c r="BW644" s="13" t="n">
        <v>176</v>
      </c>
      <c r="BX644" s="13" t="n">
        <v>174.1</v>
      </c>
      <c r="BY644" s="13" t="n">
        <v>145</v>
      </c>
      <c r="BZ644" s="13" t="n">
        <v>155</v>
      </c>
      <c r="CA644" s="13" t="n">
        <v>120</v>
      </c>
      <c r="CB644" s="13" t="n">
        <v>83</v>
      </c>
      <c r="CC644" s="13" t="n">
        <v>109</v>
      </c>
      <c r="CD644" s="13" t="n">
        <v>19.1</v>
      </c>
      <c r="CE644" s="13" t="n">
        <v>1800</v>
      </c>
      <c r="CF644" s="13" t="n">
        <v>0.91</v>
      </c>
      <c r="CG644" s="13" t="n">
        <v>1639</v>
      </c>
      <c r="CH644" s="13" t="n">
        <v>211</v>
      </c>
      <c r="CI644" s="13" t="n">
        <v>70</v>
      </c>
      <c r="CJ644" s="13" t="n">
        <v>46</v>
      </c>
      <c r="CK644" s="13" t="n">
        <v>149</v>
      </c>
      <c r="CL644" s="13" t="n">
        <v>37</v>
      </c>
      <c r="CM644" s="13" t="n">
        <v>138</v>
      </c>
      <c r="CN644" s="13" t="n">
        <v>0.8</v>
      </c>
      <c r="CO644" s="13" t="n">
        <v>93</v>
      </c>
      <c r="CP644" s="13" t="n">
        <v>94</v>
      </c>
      <c r="CQ644" s="13" t="n">
        <v>55</v>
      </c>
      <c r="CR644" s="13" t="n">
        <v>11</v>
      </c>
      <c r="CS644" s="13" t="n">
        <v>5.5</v>
      </c>
      <c r="CT644" s="11" t="inlineStr">
        <is>
          <t xml:space="preserve"> Resort Freeride</t>
        </is>
      </c>
      <c r="CU644" s="11" t="inlineStr">
        <is>
          <t xml:space="preserve"> Freeski</t>
        </is>
      </c>
      <c r="CV644" s="13" t="n"/>
      <c r="CW644" s="13" t="n"/>
      <c r="CX644">
        <f>INDEX('Data_Price '!AG$2:AG$1266,MATCH(Data!$DN644,'Data_Price '!$AT$2:$AT$1266,0))</f>
        <v/>
      </c>
      <c r="CY644">
        <f>INDEX('Data_Price '!AH$2:AH$1266,MATCH(Data!$DN644,'Data_Price '!$AT$2:$AT$1266,0))</f>
        <v/>
      </c>
      <c r="CZ644">
        <f>INDEX('Data_Price '!AI$2:AI$1266,MATCH(Data!$DN644,'Data_Price '!$AT$2:$AT$1266,0))</f>
        <v/>
      </c>
      <c r="DA644">
        <f>INDEX('Data_Price '!AJ$2:AJ$1266,MATCH(Data!$DN644,'Data_Price '!$AT$2:$AT$1266,0))</f>
        <v/>
      </c>
      <c r="DB644">
        <f>INDEX('Data_Price '!AK$2:AK$1266,MATCH(Data!$DN644,'Data_Price '!$AT$2:$AT$1266,0))</f>
        <v/>
      </c>
      <c r="DC644">
        <f>INDEX('Data_Price '!AL$2:AL$1266,MATCH(Data!$DN644,'Data_Price '!$AT$2:$AT$1266,0))</f>
        <v/>
      </c>
      <c r="DD644">
        <f>INDEX('Data_Price '!AM$2:AM$1266,MATCH(Data!$DN644,'Data_Price '!$AT$2:$AT$1266,0))</f>
        <v/>
      </c>
      <c r="DE644">
        <f>INDEX('Data_Price '!AN$2:AN$1266,MATCH(Data!$DN644,'Data_Price '!$AT$2:$AT$1266,0))</f>
        <v/>
      </c>
      <c r="DF644">
        <f>INDEX('Data_Price '!AO$2:AO$1266,MATCH(Data!$DN644,'Data_Price '!$AT$2:$AT$1266,0))</f>
        <v/>
      </c>
      <c r="DG644">
        <f>INDEX('Data_Price '!AP$2:AP$1266,MATCH(Data!$DN644,'Data_Price '!$AT$2:$AT$1266,0))</f>
        <v/>
      </c>
      <c r="DH644">
        <f>INDEX('Data_Price '!AQ$2:AQ$1266,MATCH(Data!$DN644,'Data_Price '!$AT$2:$AT$1266,0))</f>
        <v/>
      </c>
      <c r="DI644">
        <f>INDEX('Data_Price '!AR$2:AR$1266,MATCH(Data!$DN644,'Data_Price '!$AT$2:$AT$1266,0))</f>
        <v/>
      </c>
      <c r="DJ644" s="138">
        <f>DA644</f>
        <v/>
      </c>
      <c r="DK644" s="138">
        <f>DE644</f>
        <v/>
      </c>
      <c r="DL644" s="138">
        <f>DI644</f>
        <v/>
      </c>
      <c r="DM644" s="303">
        <f>IF(LEFT(BT644,1)=" ",RIGHT(BT644,LEN(BT644)-1),BT644)</f>
        <v/>
      </c>
      <c r="DN644" s="138">
        <f>_xlfn.CONCAT(BS644,DM644,BU644,BV644)</f>
        <v/>
      </c>
      <c r="DO644" s="307" t="inlineStr">
        <is>
          <t>https://images.evo.com/imgp/250/208283/832654/head-oblivion-84-skis-2023-.jpg</t>
        </is>
      </c>
    </row>
    <row r="645" ht="15.6" customHeight="1" s="184">
      <c r="B645" s="303">
        <f t="array" ref="B645">IF(OR(ISERROR(K645:P645)),FALSE,TRUE)</f>
        <v/>
      </c>
      <c r="C645" s="60">
        <f>OR(BR645=Driver!$G$50,Data!BR1172=Driver!$H$50)</f>
        <v/>
      </c>
      <c r="D645" s="60">
        <f>OR(BV645=Driver!$G$51,BV645=Driver!$H$51)</f>
        <v/>
      </c>
      <c r="E645" s="60">
        <f>AND(BX645&gt;Driver!$F$54,BX645&lt;Driver!$G$54)</f>
        <v/>
      </c>
      <c r="F645" s="60">
        <f>CL645&gt;Driver!$F$56</f>
        <v/>
      </c>
      <c r="G645" s="60">
        <f>AND(CB645&gt;Driver!$F$55,CB645&lt;Driver!$G$55)</f>
        <v/>
      </c>
      <c r="H645" s="60">
        <f>AND(B645:G645)</f>
        <v/>
      </c>
      <c r="I645" s="60">
        <f>COUNTIFS($H$9:$H$1273,TRUE,$BT$9:$BT$1273,BT645)</f>
        <v/>
      </c>
      <c r="J645" s="60">
        <f t="array" ref="J645">NOT(OR(($H$9:$H$1273=TRUE)*($I$9:$I$1273&gt;0)*($BT$9:$BT$1273=BT645)*($K$9:$K$1273&gt;K645)))</f>
        <v/>
      </c>
      <c r="K645" s="108">
        <f>IFERROR(1-AVERAGE(X645:Y645),"")</f>
        <v/>
      </c>
      <c r="L645" s="108">
        <f>1-X645</f>
        <v/>
      </c>
      <c r="M645" s="108">
        <f>1-Y645</f>
        <v/>
      </c>
      <c r="N645" s="108">
        <f>1-Z645</f>
        <v/>
      </c>
      <c r="O645" s="108">
        <f>1-AA645</f>
        <v/>
      </c>
      <c r="P645" s="108">
        <f>1-AB645</f>
        <v/>
      </c>
      <c r="Q645" s="108" t="n"/>
      <c r="R645" s="108" t="n"/>
      <c r="S645" s="108">
        <f>1-AE645</f>
        <v/>
      </c>
      <c r="T645" s="108">
        <f>1-AF645</f>
        <v/>
      </c>
      <c r="U645" s="108">
        <f>1-AG645</f>
        <v/>
      </c>
      <c r="V645" s="108">
        <f>1-AH645</f>
        <v/>
      </c>
      <c r="W645" s="108">
        <f>1-AI645</f>
        <v/>
      </c>
      <c r="X645" s="108">
        <f>ABS(AJ645-AJ$1)</f>
        <v/>
      </c>
      <c r="Y645" s="108">
        <f>AVERAGE(Z645:AB645)</f>
        <v/>
      </c>
      <c r="Z645" s="108">
        <f>ABS(AL645-AL$1)</f>
        <v/>
      </c>
      <c r="AA645" s="108">
        <f>ABS(AM645-AM$1)</f>
        <v/>
      </c>
      <c r="AB645" s="108">
        <f>ABS(AN645-AN$1)</f>
        <v/>
      </c>
      <c r="AC645" s="108" t="n"/>
      <c r="AD645" s="108" t="n"/>
      <c r="AE645" s="108">
        <f>ABS(AQ$1-AQ645)</f>
        <v/>
      </c>
      <c r="AF645" s="108">
        <f>ABS(AR$1-AR645)</f>
        <v/>
      </c>
      <c r="AG645" s="108">
        <f>ABS(AS$1-AS645)</f>
        <v/>
      </c>
      <c r="AH645" s="108">
        <f>ABS(AT$1-AT645)</f>
        <v/>
      </c>
      <c r="AI645" s="108">
        <f>ABS(AU$1-AU645)</f>
        <v/>
      </c>
      <c r="AJ645" s="108">
        <f>(AV645-Driver!$K$179)/(Driver!$L$179-Driver!$K$179)</f>
        <v/>
      </c>
      <c r="AK645" s="108">
        <f>(AW645-Driver!$K$180)/(Driver!$L$180-Driver!$K$180)</f>
        <v/>
      </c>
      <c r="AL645" s="108">
        <f>(AX645-Driver!$K$181)/(Driver!$L$181-Driver!$K$181)</f>
        <v/>
      </c>
      <c r="AM645" s="108">
        <f>(AY645-Driver!$K$182)/(Driver!$L$182-Driver!$K$182)</f>
        <v/>
      </c>
      <c r="AN645" s="108">
        <f>(AZ645-Driver!$K$183)/(Driver!$L$183-Driver!$K$183)</f>
        <v/>
      </c>
      <c r="AO645" s="108" t="n"/>
      <c r="AP645" s="108" t="n"/>
      <c r="AQ645" s="108">
        <f>(BC645-Driver!$K$188)/(Driver!$L$188-Driver!$K$188)</f>
        <v/>
      </c>
      <c r="AR645" s="108">
        <f>MIN((BD645-Driver!$K$189)/(Driver!$L$189-Driver!$K$189),100%)</f>
        <v/>
      </c>
      <c r="AS645" s="108">
        <f>(BE645-Driver!$K$190)/(Driver!$L$190-Driver!$K$190)</f>
        <v/>
      </c>
      <c r="AT645" s="108">
        <f>(BF645-Driver!$K$191)/(Driver!$L$191-Driver!$K$191)</f>
        <v/>
      </c>
      <c r="AU645" s="108">
        <f>(BG645-Driver!$K$192)/(Driver!$L$192-Driver!$K$192)</f>
        <v/>
      </c>
      <c r="AV645" s="105">
        <f>IFERROR(BM645*BJ645^1/4,"")</f>
        <v/>
      </c>
      <c r="AW645" s="105">
        <f>IFERROR(SUM(AX645:AZ645),"")</f>
        <v/>
      </c>
      <c r="AX645" s="105">
        <f>IFERROR(BH645,"")</f>
        <v/>
      </c>
      <c r="AY645" s="105">
        <f>IFERROR(Driver!$K$19/Data!BH645/Data!BI645*Data!BK645*Data!BL645,"")</f>
        <v/>
      </c>
      <c r="AZ645" s="105">
        <f>IFERROR(BI645*BN645,"")</f>
        <v/>
      </c>
      <c r="BA645" s="105" t="n"/>
      <c r="BB645" s="105" t="n"/>
      <c r="BC645" s="105">
        <f>IFERROR(BI645*BN645*BK645/BJ645^(1/2),"")</f>
        <v/>
      </c>
      <c r="BD645" s="105">
        <f>IFERROR(BH645*BM645*BL645/BJ645/BK645,"")</f>
        <v/>
      </c>
      <c r="BE645" s="105">
        <f>IFERROR(MIN(BI645/BQ645/BP645/BO645/BH645,$BE$1),"")</f>
        <v/>
      </c>
      <c r="BF645" s="105">
        <f>IFERROR(BJ645*BO645*BP645/BK645,"")</f>
        <v/>
      </c>
      <c r="BG645" s="105">
        <f>IFERROR(1/BM645/BH645*BQ645,"")</f>
        <v/>
      </c>
      <c r="BH645" s="102">
        <f>MAX((CE645-Driver!$F$200)/(Driver!$G$200-Driver!$F$200)*$BI$1,1)</f>
        <v/>
      </c>
      <c r="BI645" s="102">
        <f>MAX($BI$1*(BY645-Driver!$F$201)/(Driver!$G$201-Driver!$F$201),1)</f>
        <v/>
      </c>
      <c r="BJ645" s="102">
        <f>(CB645-Driver!$F$206)/(Driver!$G$206-Driver!$F$206)*$BI$1</f>
        <v/>
      </c>
      <c r="BK645" s="102">
        <f>(CD645-Driver!$F$203)/(Driver!$G$203-Driver!$F$203)*$BI$1</f>
        <v/>
      </c>
      <c r="BL645" s="102">
        <f>MAX((CR645-Driver!$F$202)/(Driver!$G$202-Driver!$F$202)*$BI$1,1)</f>
        <v/>
      </c>
      <c r="BM645" s="102">
        <f>MAX((CH645-Driver!$F$204)/(Driver!$G$204-Driver!$F$204)*$BI$1,1)</f>
        <v/>
      </c>
      <c r="BN645" s="102">
        <f>(CI645-Driver!$F$205)/(Driver!$G$205-Driver!$F$205)*$BI$1</f>
        <v/>
      </c>
      <c r="BO645" s="102">
        <f>(CK645-Driver!$F$207)/(Driver!$G$207-Driver!$F$207)*$BI$1</f>
        <v/>
      </c>
      <c r="BP645" s="102">
        <f>(CM645-Driver!$F$208)/(Driver!$G$208-Driver!$F$208)*$BI$1</f>
        <v/>
      </c>
      <c r="BQ645" s="102">
        <f>(CL645-Driver!$F$209)/(Driver!$G$209-Driver!$F$209)*$BI$1</f>
        <v/>
      </c>
      <c r="BR645" s="40" t="inlineStr">
        <is>
          <t>21/22</t>
        </is>
      </c>
      <c r="BS645" s="10" t="inlineStr">
        <is>
          <t xml:space="preserve"> Völkl</t>
        </is>
      </c>
      <c r="BT645" s="11" t="inlineStr">
        <is>
          <t>Blaze 94</t>
        </is>
      </c>
      <c r="BU645" s="13" t="n">
        <v>165</v>
      </c>
      <c r="BV645" s="11" t="inlineStr">
        <is>
          <t xml:space="preserve"> Unisex</t>
        </is>
      </c>
      <c r="BW645" s="13" t="n">
        <v>165</v>
      </c>
      <c r="BX645" s="13" t="n">
        <v>164.4</v>
      </c>
      <c r="BY645" s="13" t="n">
        <v>83</v>
      </c>
      <c r="BZ645" s="13" t="n">
        <v>140</v>
      </c>
      <c r="CA645" s="13" t="n">
        <v>133</v>
      </c>
      <c r="CB645" s="13" t="n">
        <v>93</v>
      </c>
      <c r="CC645" s="13" t="n">
        <v>116</v>
      </c>
      <c r="CD645" s="13" t="n">
        <v>14.8</v>
      </c>
      <c r="CE645" s="13" t="n">
        <v>1448</v>
      </c>
      <c r="CF645" s="13" t="n">
        <v>1.2</v>
      </c>
      <c r="CG645" s="13" t="n">
        <v>1744</v>
      </c>
      <c r="CH645" s="13" t="n">
        <v>182</v>
      </c>
      <c r="CI645" s="13" t="n">
        <v>90</v>
      </c>
      <c r="CJ645" s="13" t="n">
        <v>48</v>
      </c>
      <c r="CK645" s="13" t="n">
        <v>465</v>
      </c>
      <c r="CL645" s="13" t="n">
        <v>21</v>
      </c>
      <c r="CM645" s="13" t="n">
        <v>345</v>
      </c>
      <c r="CN645" s="13" t="n">
        <v>0.442</v>
      </c>
      <c r="CO645" s="13" t="n">
        <v>139</v>
      </c>
      <c r="CP645" s="13" t="n">
        <v>103</v>
      </c>
      <c r="CQ645" s="13" t="n">
        <v>326</v>
      </c>
      <c r="CR645" s="13" t="n">
        <v>1</v>
      </c>
      <c r="CS645" s="13" t="n">
        <v>12</v>
      </c>
      <c r="CT645" s="11" t="inlineStr">
        <is>
          <t xml:space="preserve"> Resort Freeride</t>
        </is>
      </c>
      <c r="CU645" s="11" t="inlineStr">
        <is>
          <t xml:space="preserve"> Touring</t>
        </is>
      </c>
      <c r="CV645" s="13" t="n"/>
      <c r="CW645" s="13" t="n"/>
      <c r="CX645">
        <f>INDEX('Data_Price '!AG$2:AG$1266,MATCH(Data!$DN645,'Data_Price '!$AT$2:$AT$1266,0))</f>
        <v/>
      </c>
      <c r="CY645">
        <f>INDEX('Data_Price '!AH$2:AH$1266,MATCH(Data!$DN645,'Data_Price '!$AT$2:$AT$1266,0))</f>
        <v/>
      </c>
      <c r="CZ645">
        <f>INDEX('Data_Price '!AI$2:AI$1266,MATCH(Data!$DN645,'Data_Price '!$AT$2:$AT$1266,0))</f>
        <v/>
      </c>
      <c r="DA645">
        <f>INDEX('Data_Price '!AJ$2:AJ$1266,MATCH(Data!$DN645,'Data_Price '!$AT$2:$AT$1266,0))</f>
        <v/>
      </c>
      <c r="DB645">
        <f>INDEX('Data_Price '!AK$2:AK$1266,MATCH(Data!$DN645,'Data_Price '!$AT$2:$AT$1266,0))</f>
        <v/>
      </c>
      <c r="DC645">
        <f>INDEX('Data_Price '!AL$2:AL$1266,MATCH(Data!$DN645,'Data_Price '!$AT$2:$AT$1266,0))</f>
        <v/>
      </c>
      <c r="DD645">
        <f>INDEX('Data_Price '!AM$2:AM$1266,MATCH(Data!$DN645,'Data_Price '!$AT$2:$AT$1266,0))</f>
        <v/>
      </c>
      <c r="DE645">
        <f>INDEX('Data_Price '!AN$2:AN$1266,MATCH(Data!$DN645,'Data_Price '!$AT$2:$AT$1266,0))</f>
        <v/>
      </c>
      <c r="DF645">
        <f>INDEX('Data_Price '!AO$2:AO$1266,MATCH(Data!$DN645,'Data_Price '!$AT$2:$AT$1266,0))</f>
        <v/>
      </c>
      <c r="DG645">
        <f>INDEX('Data_Price '!AP$2:AP$1266,MATCH(Data!$DN645,'Data_Price '!$AT$2:$AT$1266,0))</f>
        <v/>
      </c>
      <c r="DH645">
        <f>INDEX('Data_Price '!AQ$2:AQ$1266,MATCH(Data!$DN645,'Data_Price '!$AT$2:$AT$1266,0))</f>
        <v/>
      </c>
      <c r="DI645">
        <f>INDEX('Data_Price '!AR$2:AR$1266,MATCH(Data!$DN645,'Data_Price '!$AT$2:$AT$1266,0))</f>
        <v/>
      </c>
      <c r="DJ645" s="138">
        <f>DA645</f>
        <v/>
      </c>
      <c r="DK645" s="138">
        <f>DE645</f>
        <v/>
      </c>
      <c r="DL645" s="138">
        <f>DI645</f>
        <v/>
      </c>
      <c r="DM645" s="303">
        <f>IF(LEFT(BT645,1)=" ",RIGHT(BT645,LEN(BT645)-1),BT645)</f>
        <v/>
      </c>
      <c r="DN645" s="138">
        <f>_xlfn.CONCAT(BS645,DM645,BU645,BV645)</f>
        <v/>
      </c>
      <c r="DO645" s="307" t="inlineStr">
        <is>
          <t>https://images.evo.com/imgp/250/208354/837597/clone.jpg</t>
        </is>
      </c>
    </row>
    <row r="646" ht="15.6" customHeight="1" s="184">
      <c r="B646" s="303">
        <f t="array" ref="B646">IF(OR(ISERROR(K646:P646)),FALSE,TRUE)</f>
        <v/>
      </c>
      <c r="C646" s="60">
        <f>OR(BR646=Driver!$G$50,Data!BR768=Driver!$H$50)</f>
        <v/>
      </c>
      <c r="D646" s="60">
        <f>OR(BV646=Driver!$G$51,BV646=Driver!$H$51)</f>
        <v/>
      </c>
      <c r="E646" s="60">
        <f>AND(BX646&gt;Driver!$F$54,BX646&lt;Driver!$G$54)</f>
        <v/>
      </c>
      <c r="F646" s="60">
        <f>CL646&gt;Driver!$F$56</f>
        <v/>
      </c>
      <c r="G646" s="60">
        <f>AND(CB646&gt;Driver!$F$55,CB646&lt;Driver!$G$55)</f>
        <v/>
      </c>
      <c r="H646" s="60">
        <f>AND(B646:G646)</f>
        <v/>
      </c>
      <c r="I646" s="60">
        <f>COUNTIFS($H$9:$H$1273,TRUE,$BT$9:$BT$1273,BT646)</f>
        <v/>
      </c>
      <c r="J646" s="60">
        <f t="array" ref="J646">NOT(OR(($H$9:$H$1273=TRUE)*($I$9:$I$1273&gt;0)*($BT$9:$BT$1273=BT646)*($K$9:$K$1273&gt;K646)))</f>
        <v/>
      </c>
      <c r="K646" s="108">
        <f>IFERROR(1-AVERAGE(X646:Y646),"")</f>
        <v/>
      </c>
      <c r="L646" s="108">
        <f>1-X646</f>
        <v/>
      </c>
      <c r="M646" s="108">
        <f>1-Y646</f>
        <v/>
      </c>
      <c r="N646" s="108">
        <f>1-Z646</f>
        <v/>
      </c>
      <c r="O646" s="108">
        <f>1-AA646</f>
        <v/>
      </c>
      <c r="P646" s="108">
        <f>1-AB646</f>
        <v/>
      </c>
      <c r="Q646" s="108" t="n"/>
      <c r="R646" s="108" t="n"/>
      <c r="S646" s="108">
        <f>1-AE646</f>
        <v/>
      </c>
      <c r="T646" s="108">
        <f>1-AF646</f>
        <v/>
      </c>
      <c r="U646" s="108">
        <f>1-AG646</f>
        <v/>
      </c>
      <c r="V646" s="108">
        <f>1-AH646</f>
        <v/>
      </c>
      <c r="W646" s="108">
        <f>1-AI646</f>
        <v/>
      </c>
      <c r="X646" s="108">
        <f>ABS(AJ646-AJ$1)</f>
        <v/>
      </c>
      <c r="Y646" s="108">
        <f>AVERAGE(Z646:AB646)</f>
        <v/>
      </c>
      <c r="Z646" s="108">
        <f>ABS(AL646-AL$1)</f>
        <v/>
      </c>
      <c r="AA646" s="108">
        <f>ABS(AM646-AM$1)</f>
        <v/>
      </c>
      <c r="AB646" s="108">
        <f>ABS(AN646-AN$1)</f>
        <v/>
      </c>
      <c r="AC646" s="108" t="n"/>
      <c r="AD646" s="108" t="n"/>
      <c r="AE646" s="108">
        <f>ABS(AQ$1-AQ646)</f>
        <v/>
      </c>
      <c r="AF646" s="108">
        <f>ABS(AR$1-AR646)</f>
        <v/>
      </c>
      <c r="AG646" s="108">
        <f>ABS(AS$1-AS646)</f>
        <v/>
      </c>
      <c r="AH646" s="108">
        <f>ABS(AT$1-AT646)</f>
        <v/>
      </c>
      <c r="AI646" s="108">
        <f>ABS(AU$1-AU646)</f>
        <v/>
      </c>
      <c r="AJ646" s="108">
        <f>(AV646-Driver!$K$179)/(Driver!$L$179-Driver!$K$179)</f>
        <v/>
      </c>
      <c r="AK646" s="108">
        <f>(AW646-Driver!$K$180)/(Driver!$L$180-Driver!$K$180)</f>
        <v/>
      </c>
      <c r="AL646" s="108">
        <f>(AX646-Driver!$K$181)/(Driver!$L$181-Driver!$K$181)</f>
        <v/>
      </c>
      <c r="AM646" s="108">
        <f>(AY646-Driver!$K$182)/(Driver!$L$182-Driver!$K$182)</f>
        <v/>
      </c>
      <c r="AN646" s="108">
        <f>(AZ646-Driver!$K$183)/(Driver!$L$183-Driver!$K$183)</f>
        <v/>
      </c>
      <c r="AO646" s="108" t="n"/>
      <c r="AP646" s="108" t="n"/>
      <c r="AQ646" s="108">
        <f>(BC646-Driver!$K$188)/(Driver!$L$188-Driver!$K$188)</f>
        <v/>
      </c>
      <c r="AR646" s="108">
        <f>MIN((BD646-Driver!$K$189)/(Driver!$L$189-Driver!$K$189),100%)</f>
        <v/>
      </c>
      <c r="AS646" s="108">
        <f>(BE646-Driver!$K$190)/(Driver!$L$190-Driver!$K$190)</f>
        <v/>
      </c>
      <c r="AT646" s="108">
        <f>(BF646-Driver!$K$191)/(Driver!$L$191-Driver!$K$191)</f>
        <v/>
      </c>
      <c r="AU646" s="108">
        <f>(BG646-Driver!$K$192)/(Driver!$L$192-Driver!$K$192)</f>
        <v/>
      </c>
      <c r="AV646" s="105">
        <f>IFERROR(BM646*BJ646^1/4,"")</f>
        <v/>
      </c>
      <c r="AW646" s="105">
        <f>IFERROR(SUM(AX646:AZ646),"")</f>
        <v/>
      </c>
      <c r="AX646" s="105">
        <f>IFERROR(BH646,"")</f>
        <v/>
      </c>
      <c r="AY646" s="105">
        <f>IFERROR(Driver!$K$19/Data!BH646/Data!BI646*Data!BK646*Data!BL646,"")</f>
        <v/>
      </c>
      <c r="AZ646" s="105">
        <f>IFERROR(BI646*BN646,"")</f>
        <v/>
      </c>
      <c r="BA646" s="105" t="n"/>
      <c r="BB646" s="105" t="n"/>
      <c r="BC646" s="105">
        <f>IFERROR(BI646*BN646*BK646/BJ646^(1/2),"")</f>
        <v/>
      </c>
      <c r="BD646" s="105">
        <f>IFERROR(BH646*BM646*BL646/BJ646/BK646,"")</f>
        <v/>
      </c>
      <c r="BE646" s="105">
        <f>IFERROR(MIN(BI646/BQ646/BP646/BO646/BH646,$BE$1),"")</f>
        <v/>
      </c>
      <c r="BF646" s="105">
        <f>IFERROR(BJ646*BO646*BP646/BK646,"")</f>
        <v/>
      </c>
      <c r="BG646" s="105">
        <f>IFERROR(1/BM646/BH646*BQ646,"")</f>
        <v/>
      </c>
      <c r="BH646" s="102">
        <f>MAX((CE646-Driver!$F$200)/(Driver!$G$200-Driver!$F$200)*$BI$1,1)</f>
        <v/>
      </c>
      <c r="BI646" s="102">
        <f>MAX($BI$1*(BY646-Driver!$F$201)/(Driver!$G$201-Driver!$F$201),1)</f>
        <v/>
      </c>
      <c r="BJ646" s="102">
        <f>(CB646-Driver!$F$206)/(Driver!$G$206-Driver!$F$206)*$BI$1</f>
        <v/>
      </c>
      <c r="BK646" s="102">
        <f>(CD646-Driver!$F$203)/(Driver!$G$203-Driver!$F$203)*$BI$1</f>
        <v/>
      </c>
      <c r="BL646" s="102">
        <f>MAX((CR646-Driver!$F$202)/(Driver!$G$202-Driver!$F$202)*$BI$1,1)</f>
        <v/>
      </c>
      <c r="BM646" s="102">
        <f>MAX((CH646-Driver!$F$204)/(Driver!$G$204-Driver!$F$204)*$BI$1,1)</f>
        <v/>
      </c>
      <c r="BN646" s="102">
        <f>(CI646-Driver!$F$205)/(Driver!$G$205-Driver!$F$205)*$BI$1</f>
        <v/>
      </c>
      <c r="BO646" s="102">
        <f>(CK646-Driver!$F$207)/(Driver!$G$207-Driver!$F$207)*$BI$1</f>
        <v/>
      </c>
      <c r="BP646" s="102">
        <f>(CM646-Driver!$F$208)/(Driver!$G$208-Driver!$F$208)*$BI$1</f>
        <v/>
      </c>
      <c r="BQ646" s="102">
        <f>(CL646-Driver!$F$209)/(Driver!$G$209-Driver!$F$209)*$BI$1</f>
        <v/>
      </c>
      <c r="BR646" s="40" t="inlineStr">
        <is>
          <t>21/22</t>
        </is>
      </c>
      <c r="BS646" s="10" t="inlineStr">
        <is>
          <t xml:space="preserve"> K2</t>
        </is>
      </c>
      <c r="BT646" s="11" t="inlineStr">
        <is>
          <t>Reckoner 122</t>
        </is>
      </c>
      <c r="BU646" s="13" t="n">
        <v>177</v>
      </c>
      <c r="BV646" s="11" t="inlineStr">
        <is>
          <t xml:space="preserve"> Unisex</t>
        </is>
      </c>
      <c r="BW646" s="13" t="n">
        <v>177</v>
      </c>
      <c r="BX646" s="13" t="n">
        <v>177.3</v>
      </c>
      <c r="BY646" s="13" t="n">
        <v>93</v>
      </c>
      <c r="BZ646" s="13" t="n">
        <v>132</v>
      </c>
      <c r="CA646" s="13" t="n">
        <v>144</v>
      </c>
      <c r="CB646" s="13" t="n">
        <v>122</v>
      </c>
      <c r="CC646" s="13" t="n">
        <v>135</v>
      </c>
      <c r="CD646" s="13" t="n">
        <v>22.1</v>
      </c>
      <c r="CE646" s="13" t="n">
        <v>2031</v>
      </c>
      <c r="CF646" s="13" t="n">
        <v>1.12</v>
      </c>
      <c r="CG646" s="13" t="n">
        <v>2267</v>
      </c>
      <c r="CH646" s="13" t="n">
        <v>168</v>
      </c>
      <c r="CI646" s="13" t="n">
        <v>96</v>
      </c>
      <c r="CJ646" s="13" t="n">
        <v>65</v>
      </c>
      <c r="CK646" s="13" t="n">
        <v>438</v>
      </c>
      <c r="CL646" s="13" t="n">
        <v>52</v>
      </c>
      <c r="CM646" s="13" t="n">
        <v>404</v>
      </c>
      <c r="CN646" s="13" t="n">
        <v>0.793</v>
      </c>
      <c r="CO646" s="13" t="n">
        <v>221</v>
      </c>
      <c r="CP646" s="13" t="n">
        <v>236</v>
      </c>
      <c r="CQ646" s="13" t="n">
        <v>217</v>
      </c>
      <c r="CR646" s="13" t="n">
        <v>4</v>
      </c>
      <c r="CS646" s="13" t="n">
        <v>4.2</v>
      </c>
      <c r="CT646" s="11" t="inlineStr">
        <is>
          <t xml:space="preserve"> Powder</t>
        </is>
      </c>
      <c r="CU646" s="11" t="inlineStr">
        <is>
          <t xml:space="preserve"> Touring</t>
        </is>
      </c>
      <c r="CV646" s="13" t="n"/>
      <c r="CW646" s="13" t="n"/>
      <c r="CX646">
        <f>INDEX('Data_Price '!AG$2:AG$1266,MATCH(Data!$DN646,'Data_Price '!$AT$2:$AT$1266,0))</f>
        <v/>
      </c>
      <c r="CY646">
        <f>INDEX('Data_Price '!AH$2:AH$1266,MATCH(Data!$DN646,'Data_Price '!$AT$2:$AT$1266,0))</f>
        <v/>
      </c>
      <c r="CZ646">
        <f>INDEX('Data_Price '!AI$2:AI$1266,MATCH(Data!$DN646,'Data_Price '!$AT$2:$AT$1266,0))</f>
        <v/>
      </c>
      <c r="DA646">
        <f>INDEX('Data_Price '!AJ$2:AJ$1266,MATCH(Data!$DN646,'Data_Price '!$AT$2:$AT$1266,0))</f>
        <v/>
      </c>
      <c r="DB646">
        <f>INDEX('Data_Price '!AK$2:AK$1266,MATCH(Data!$DN646,'Data_Price '!$AT$2:$AT$1266,0))</f>
        <v/>
      </c>
      <c r="DC646">
        <f>INDEX('Data_Price '!AL$2:AL$1266,MATCH(Data!$DN646,'Data_Price '!$AT$2:$AT$1266,0))</f>
        <v/>
      </c>
      <c r="DD646">
        <f>INDEX('Data_Price '!AM$2:AM$1266,MATCH(Data!$DN646,'Data_Price '!$AT$2:$AT$1266,0))</f>
        <v/>
      </c>
      <c r="DE646">
        <f>INDEX('Data_Price '!AN$2:AN$1266,MATCH(Data!$DN646,'Data_Price '!$AT$2:$AT$1266,0))</f>
        <v/>
      </c>
      <c r="DF646">
        <f>INDEX('Data_Price '!AO$2:AO$1266,MATCH(Data!$DN646,'Data_Price '!$AT$2:$AT$1266,0))</f>
        <v/>
      </c>
      <c r="DG646">
        <f>INDEX('Data_Price '!AP$2:AP$1266,MATCH(Data!$DN646,'Data_Price '!$AT$2:$AT$1266,0))</f>
        <v/>
      </c>
      <c r="DH646">
        <f>INDEX('Data_Price '!AQ$2:AQ$1266,MATCH(Data!$DN646,'Data_Price '!$AT$2:$AT$1266,0))</f>
        <v/>
      </c>
      <c r="DI646">
        <f>INDEX('Data_Price '!AR$2:AR$1266,MATCH(Data!$DN646,'Data_Price '!$AT$2:$AT$1266,0))</f>
        <v/>
      </c>
      <c r="DJ646" s="138">
        <f>DA646</f>
        <v/>
      </c>
      <c r="DK646" s="138">
        <f>DE646</f>
        <v/>
      </c>
      <c r="DL646" s="138">
        <f>DI646</f>
        <v/>
      </c>
      <c r="DM646" s="303">
        <f>IF(LEFT(BT646,1)=" ",RIGHT(BT646,LEN(BT646)-1),BT646)</f>
        <v/>
      </c>
      <c r="DN646" s="138">
        <f>_xlfn.CONCAT(BS646,DM646,BU646,BV646)</f>
        <v/>
      </c>
      <c r="DO646" s="307" t="inlineStr">
        <is>
          <t>https://images.evo.com/imgp/250/182106/723849/k2-reckoner-122-skis-2021-.jpg</t>
        </is>
      </c>
    </row>
    <row r="647" ht="15.6" customHeight="1" s="184">
      <c r="B647" s="303">
        <f t="array" ref="B647">IF(OR(ISERROR(K647:P647)),FALSE,TRUE)</f>
        <v/>
      </c>
      <c r="C647" s="60">
        <f>OR(BR647=Driver!$G$50,Data!BR219=Driver!$H$50)</f>
        <v/>
      </c>
      <c r="D647" s="60">
        <f>OR(BV647=Driver!$G$51,BV647=Driver!$H$51)</f>
        <v/>
      </c>
      <c r="E647" s="60">
        <f>AND(BX647&gt;Driver!$F$54,BX647&lt;Driver!$G$54)</f>
        <v/>
      </c>
      <c r="F647" s="60">
        <f>CL647&gt;Driver!$F$56</f>
        <v/>
      </c>
      <c r="G647" s="60">
        <f>AND(CB647&gt;Driver!$F$55,CB647&lt;Driver!$G$55)</f>
        <v/>
      </c>
      <c r="H647" s="60">
        <f>AND(B647:G647)</f>
        <v/>
      </c>
      <c r="I647" s="60">
        <f>COUNTIFS($H$9:$H$1273,TRUE,$BT$9:$BT$1273,BT647)</f>
        <v/>
      </c>
      <c r="J647" s="60">
        <f t="array" ref="J647">NOT(OR(($H$9:$H$1273=TRUE)*($I$9:$I$1273&gt;0)*($BT$9:$BT$1273=BT647)*($K$9:$K$1273&gt;K647)))</f>
        <v/>
      </c>
      <c r="K647" s="108">
        <f>IFERROR(1-AVERAGE(X647:Y647),"")</f>
        <v/>
      </c>
      <c r="L647" s="108">
        <f>1-X647</f>
        <v/>
      </c>
      <c r="M647" s="108">
        <f>1-Y647</f>
        <v/>
      </c>
      <c r="N647" s="108">
        <f>1-Z647</f>
        <v/>
      </c>
      <c r="O647" s="108">
        <f>1-AA647</f>
        <v/>
      </c>
      <c r="P647" s="108">
        <f>1-AB647</f>
        <v/>
      </c>
      <c r="Q647" s="108" t="n"/>
      <c r="R647" s="108" t="n"/>
      <c r="S647" s="108">
        <f>1-AE647</f>
        <v/>
      </c>
      <c r="T647" s="108">
        <f>1-AF647</f>
        <v/>
      </c>
      <c r="U647" s="108">
        <f>1-AG647</f>
        <v/>
      </c>
      <c r="V647" s="108">
        <f>1-AH647</f>
        <v/>
      </c>
      <c r="W647" s="108">
        <f>1-AI647</f>
        <v/>
      </c>
      <c r="X647" s="108">
        <f>ABS(AJ647-AJ$1)</f>
        <v/>
      </c>
      <c r="Y647" s="108">
        <f>AVERAGE(Z647:AB647)</f>
        <v/>
      </c>
      <c r="Z647" s="108">
        <f>ABS(AL647-AL$1)</f>
        <v/>
      </c>
      <c r="AA647" s="108">
        <f>ABS(AM647-AM$1)</f>
        <v/>
      </c>
      <c r="AB647" s="108">
        <f>ABS(AN647-AN$1)</f>
        <v/>
      </c>
      <c r="AC647" s="108" t="n"/>
      <c r="AD647" s="108" t="n"/>
      <c r="AE647" s="108">
        <f>ABS(AQ$1-AQ647)</f>
        <v/>
      </c>
      <c r="AF647" s="108">
        <f>ABS(AR$1-AR647)</f>
        <v/>
      </c>
      <c r="AG647" s="108">
        <f>ABS(AS$1-AS647)</f>
        <v/>
      </c>
      <c r="AH647" s="108">
        <f>ABS(AT$1-AT647)</f>
        <v/>
      </c>
      <c r="AI647" s="108">
        <f>ABS(AU$1-AU647)</f>
        <v/>
      </c>
      <c r="AJ647" s="108">
        <f>(AV647-Driver!$K$179)/(Driver!$L$179-Driver!$K$179)</f>
        <v/>
      </c>
      <c r="AK647" s="108">
        <f>(AW647-Driver!$K$180)/(Driver!$L$180-Driver!$K$180)</f>
        <v/>
      </c>
      <c r="AL647" s="108">
        <f>(AX647-Driver!$K$181)/(Driver!$L$181-Driver!$K$181)</f>
        <v/>
      </c>
      <c r="AM647" s="108">
        <f>(AY647-Driver!$K$182)/(Driver!$L$182-Driver!$K$182)</f>
        <v/>
      </c>
      <c r="AN647" s="108">
        <f>(AZ647-Driver!$K$183)/(Driver!$L$183-Driver!$K$183)</f>
        <v/>
      </c>
      <c r="AO647" s="108" t="n"/>
      <c r="AP647" s="108" t="n"/>
      <c r="AQ647" s="108">
        <f>(BC647-Driver!$K$188)/(Driver!$L$188-Driver!$K$188)</f>
        <v/>
      </c>
      <c r="AR647" s="108">
        <f>MIN((BD647-Driver!$K$189)/(Driver!$L$189-Driver!$K$189),100%)</f>
        <v/>
      </c>
      <c r="AS647" s="108">
        <f>(BE647-Driver!$K$190)/(Driver!$L$190-Driver!$K$190)</f>
        <v/>
      </c>
      <c r="AT647" s="108">
        <f>(BF647-Driver!$K$191)/(Driver!$L$191-Driver!$K$191)</f>
        <v/>
      </c>
      <c r="AU647" s="108">
        <f>(BG647-Driver!$K$192)/(Driver!$L$192-Driver!$K$192)</f>
        <v/>
      </c>
      <c r="AV647" s="105">
        <f>IFERROR(BM647*BJ647^1/4,"")</f>
        <v/>
      </c>
      <c r="AW647" s="105">
        <f>IFERROR(SUM(AX647:AZ647),"")</f>
        <v/>
      </c>
      <c r="AX647" s="105">
        <f>IFERROR(BH647,"")</f>
        <v/>
      </c>
      <c r="AY647" s="105">
        <f>IFERROR(Driver!$K$19/Data!BH647/Data!BI647*Data!BK647*Data!BL647,"")</f>
        <v/>
      </c>
      <c r="AZ647" s="105">
        <f>IFERROR(BI647*BN647,"")</f>
        <v/>
      </c>
      <c r="BA647" s="105" t="n"/>
      <c r="BB647" s="105" t="n"/>
      <c r="BC647" s="105">
        <f>IFERROR(BI647*BN647*BK647/BJ647^(1/2),"")</f>
        <v/>
      </c>
      <c r="BD647" s="105">
        <f>IFERROR(BH647*BM647*BL647/BJ647/BK647,"")</f>
        <v/>
      </c>
      <c r="BE647" s="105">
        <f>IFERROR(MIN(BI647/BQ647/BP647/BO647/BH647,$BE$1),"")</f>
        <v/>
      </c>
      <c r="BF647" s="105">
        <f>IFERROR(BJ647*BO647*BP647/BK647,"")</f>
        <v/>
      </c>
      <c r="BG647" s="105">
        <f>IFERROR(1/BM647/BH647*BQ647,"")</f>
        <v/>
      </c>
      <c r="BH647" s="102">
        <f>MAX((CE647-Driver!$F$200)/(Driver!$G$200-Driver!$F$200)*$BI$1,1)</f>
        <v/>
      </c>
      <c r="BI647" s="102">
        <f>MAX($BI$1*(BY647-Driver!$F$201)/(Driver!$G$201-Driver!$F$201),1)</f>
        <v/>
      </c>
      <c r="BJ647" s="102">
        <f>(CB647-Driver!$F$206)/(Driver!$G$206-Driver!$F$206)*$BI$1</f>
        <v/>
      </c>
      <c r="BK647" s="102">
        <f>(CD647-Driver!$F$203)/(Driver!$G$203-Driver!$F$203)*$BI$1</f>
        <v/>
      </c>
      <c r="BL647" s="102">
        <f>MAX((CR647-Driver!$F$202)/(Driver!$G$202-Driver!$F$202)*$BI$1,1)</f>
        <v/>
      </c>
      <c r="BM647" s="102">
        <f>MAX((CH647-Driver!$F$204)/(Driver!$G$204-Driver!$F$204)*$BI$1,1)</f>
        <v/>
      </c>
      <c r="BN647" s="102">
        <f>(CI647-Driver!$F$205)/(Driver!$G$205-Driver!$F$205)*$BI$1</f>
        <v/>
      </c>
      <c r="BO647" s="102">
        <f>(CK647-Driver!$F$207)/(Driver!$G$207-Driver!$F$207)*$BI$1</f>
        <v/>
      </c>
      <c r="BP647" s="102">
        <f>(CM647-Driver!$F$208)/(Driver!$G$208-Driver!$F$208)*$BI$1</f>
        <v/>
      </c>
      <c r="BQ647" s="102">
        <f>(CL647-Driver!$F$209)/(Driver!$G$209-Driver!$F$209)*$BI$1</f>
        <v/>
      </c>
      <c r="BR647" s="40" t="inlineStr">
        <is>
          <t>21/22</t>
        </is>
      </c>
      <c r="BS647" s="10" t="inlineStr">
        <is>
          <t xml:space="preserve"> Black Crows</t>
        </is>
      </c>
      <c r="BT647" s="11" t="inlineStr">
        <is>
          <t xml:space="preserve"> Corvus Freebird</t>
        </is>
      </c>
      <c r="BU647" s="13" t="n">
        <v>183.4</v>
      </c>
      <c r="BV647" s="11" t="inlineStr">
        <is>
          <t xml:space="preserve"> Unisex</t>
        </is>
      </c>
      <c r="BW647" s="13" t="n">
        <v>183.4</v>
      </c>
      <c r="BX647" s="13" t="n">
        <v>182.6</v>
      </c>
      <c r="BY647" s="13" t="n">
        <v>145</v>
      </c>
      <c r="BZ647" s="13" t="n">
        <v>148</v>
      </c>
      <c r="CA647" s="13" t="n">
        <v>141</v>
      </c>
      <c r="CB647" s="13" t="n">
        <v>105</v>
      </c>
      <c r="CC647" s="13" t="n">
        <v>118</v>
      </c>
      <c r="CD647" s="13" t="n">
        <v>21</v>
      </c>
      <c r="CE647" s="13" t="n">
        <v>1950</v>
      </c>
      <c r="CF647" s="13" t="n">
        <v>1.08</v>
      </c>
      <c r="CG647" s="13" t="n">
        <v>2112</v>
      </c>
      <c r="CH647" s="13" t="n">
        <v>230</v>
      </c>
      <c r="CI647" s="13" t="n">
        <v>107</v>
      </c>
      <c r="CJ647" s="13" t="n">
        <v>46</v>
      </c>
      <c r="CK647" s="13" t="n">
        <v>282</v>
      </c>
      <c r="CL647" s="13" t="n">
        <v>6</v>
      </c>
      <c r="CM647" s="13" t="n">
        <v>91</v>
      </c>
      <c r="CN647" s="13" t="n">
        <v>0.129</v>
      </c>
      <c r="CO647" s="13" t="n">
        <v>192</v>
      </c>
      <c r="CP647" s="13" t="n">
        <v>155</v>
      </c>
      <c r="CQ647" s="13" t="n">
        <v>90</v>
      </c>
      <c r="CR647" s="13" t="n">
        <v>8</v>
      </c>
      <c r="CS647" s="13" t="n">
        <v>10.4</v>
      </c>
      <c r="CT647" s="11" t="inlineStr">
        <is>
          <t xml:space="preserve"> Big Mountain</t>
        </is>
      </c>
      <c r="CU647" s="11" t="inlineStr">
        <is>
          <t xml:space="preserve"> Touring</t>
        </is>
      </c>
      <c r="CV647" s="13" t="n"/>
      <c r="CW647" s="13" t="n"/>
      <c r="CX647">
        <f>INDEX('Data_Price '!AG$2:AG$1266,MATCH(Data!$DN647,'Data_Price '!$AT$2:$AT$1266,0))</f>
        <v/>
      </c>
      <c r="CY647">
        <f>INDEX('Data_Price '!AH$2:AH$1266,MATCH(Data!$DN647,'Data_Price '!$AT$2:$AT$1266,0))</f>
        <v/>
      </c>
      <c r="CZ647">
        <f>INDEX('Data_Price '!AI$2:AI$1266,MATCH(Data!$DN647,'Data_Price '!$AT$2:$AT$1266,0))</f>
        <v/>
      </c>
      <c r="DA647">
        <f>INDEX('Data_Price '!AJ$2:AJ$1266,MATCH(Data!$DN647,'Data_Price '!$AT$2:$AT$1266,0))</f>
        <v/>
      </c>
      <c r="DB647">
        <f>INDEX('Data_Price '!AK$2:AK$1266,MATCH(Data!$DN647,'Data_Price '!$AT$2:$AT$1266,0))</f>
        <v/>
      </c>
      <c r="DC647">
        <f>INDEX('Data_Price '!AL$2:AL$1266,MATCH(Data!$DN647,'Data_Price '!$AT$2:$AT$1266,0))</f>
        <v/>
      </c>
      <c r="DD647">
        <f>INDEX('Data_Price '!AM$2:AM$1266,MATCH(Data!$DN647,'Data_Price '!$AT$2:$AT$1266,0))</f>
        <v/>
      </c>
      <c r="DE647">
        <f>INDEX('Data_Price '!AN$2:AN$1266,MATCH(Data!$DN647,'Data_Price '!$AT$2:$AT$1266,0))</f>
        <v/>
      </c>
      <c r="DF647">
        <f>INDEX('Data_Price '!AO$2:AO$1266,MATCH(Data!$DN647,'Data_Price '!$AT$2:$AT$1266,0))</f>
        <v/>
      </c>
      <c r="DG647">
        <f>INDEX('Data_Price '!AP$2:AP$1266,MATCH(Data!$DN647,'Data_Price '!$AT$2:$AT$1266,0))</f>
        <v/>
      </c>
      <c r="DH647">
        <f>INDEX('Data_Price '!AQ$2:AQ$1266,MATCH(Data!$DN647,'Data_Price '!$AT$2:$AT$1266,0))</f>
        <v/>
      </c>
      <c r="DI647">
        <f>INDEX('Data_Price '!AR$2:AR$1266,MATCH(Data!$DN647,'Data_Price '!$AT$2:$AT$1266,0))</f>
        <v/>
      </c>
      <c r="DJ647" s="138">
        <f>DA647</f>
        <v/>
      </c>
      <c r="DK647" s="138">
        <f>DE647</f>
        <v/>
      </c>
      <c r="DL647" s="138">
        <f>DI647</f>
        <v/>
      </c>
      <c r="DM647" s="303">
        <f>IF(LEFT(BT647,1)=" ",RIGHT(BT647,LEN(BT647)-1),BT647)</f>
        <v/>
      </c>
      <c r="DN647" s="138">
        <f>_xlfn.CONCAT(BS647,DM647,BU647,BV647)</f>
        <v/>
      </c>
      <c r="DO647" s="307" t="inlineStr">
        <is>
          <t>https://images.evo.com/imgp/250/181609/727269/black-crows-corvus-freebird-skis-2022-.jpg</t>
        </is>
      </c>
    </row>
    <row r="648" ht="15.6" customHeight="1" s="184">
      <c r="B648" s="303">
        <f t="array" ref="B648">IF(OR(ISERROR(K648:P648)),FALSE,TRUE)</f>
        <v/>
      </c>
      <c r="C648" s="60">
        <f>OR(BR648=Driver!$G$50,Data!BR371=Driver!$H$50)</f>
        <v/>
      </c>
      <c r="D648" s="60">
        <f>OR(BV648=Driver!$G$51,BV648=Driver!$H$51)</f>
        <v/>
      </c>
      <c r="E648" s="60">
        <f>AND(BX648&gt;Driver!$F$54,BX648&lt;Driver!$G$54)</f>
        <v/>
      </c>
      <c r="F648" s="60">
        <f>CL648&gt;Driver!$F$56</f>
        <v/>
      </c>
      <c r="G648" s="60">
        <f>AND(CB648&gt;Driver!$F$55,CB648&lt;Driver!$G$55)</f>
        <v/>
      </c>
      <c r="H648" s="60">
        <f>AND(B648:G648)</f>
        <v/>
      </c>
      <c r="I648" s="60">
        <f>COUNTIFS($H$9:$H$1273,TRUE,$BT$9:$BT$1273,BT648)</f>
        <v/>
      </c>
      <c r="J648" s="60">
        <f t="array" ref="J648">NOT(OR(($H$9:$H$1273=TRUE)*($I$9:$I$1273&gt;0)*($BT$9:$BT$1273=BT648)*($K$9:$K$1273&gt;K648)))</f>
        <v/>
      </c>
      <c r="K648" s="108">
        <f>IFERROR(1-AVERAGE(X648:Y648),"")</f>
        <v/>
      </c>
      <c r="L648" s="108">
        <f>1-X648</f>
        <v/>
      </c>
      <c r="M648" s="108">
        <f>1-Y648</f>
        <v/>
      </c>
      <c r="N648" s="108">
        <f>1-Z648</f>
        <v/>
      </c>
      <c r="O648" s="108">
        <f>1-AA648</f>
        <v/>
      </c>
      <c r="P648" s="108">
        <f>1-AB648</f>
        <v/>
      </c>
      <c r="Q648" s="108" t="n"/>
      <c r="R648" s="108" t="n"/>
      <c r="S648" s="108">
        <f>1-AE648</f>
        <v/>
      </c>
      <c r="T648" s="108">
        <f>1-AF648</f>
        <v/>
      </c>
      <c r="U648" s="108">
        <f>1-AG648</f>
        <v/>
      </c>
      <c r="V648" s="108">
        <f>1-AH648</f>
        <v/>
      </c>
      <c r="W648" s="108">
        <f>1-AI648</f>
        <v/>
      </c>
      <c r="X648" s="108">
        <f>ABS(AJ648-AJ$1)</f>
        <v/>
      </c>
      <c r="Y648" s="108">
        <f>AVERAGE(Z648:AB648)</f>
        <v/>
      </c>
      <c r="Z648" s="108">
        <f>ABS(AL648-AL$1)</f>
        <v/>
      </c>
      <c r="AA648" s="108">
        <f>ABS(AM648-AM$1)</f>
        <v/>
      </c>
      <c r="AB648" s="108">
        <f>ABS(AN648-AN$1)</f>
        <v/>
      </c>
      <c r="AC648" s="108" t="n"/>
      <c r="AD648" s="108" t="n"/>
      <c r="AE648" s="108">
        <f>ABS(AQ$1-AQ648)</f>
        <v/>
      </c>
      <c r="AF648" s="108">
        <f>ABS(AR$1-AR648)</f>
        <v/>
      </c>
      <c r="AG648" s="108">
        <f>ABS(AS$1-AS648)</f>
        <v/>
      </c>
      <c r="AH648" s="108">
        <f>ABS(AT$1-AT648)</f>
        <v/>
      </c>
      <c r="AI648" s="108">
        <f>ABS(AU$1-AU648)</f>
        <v/>
      </c>
      <c r="AJ648" s="108">
        <f>(AV648-Driver!$K$179)/(Driver!$L$179-Driver!$K$179)</f>
        <v/>
      </c>
      <c r="AK648" s="108">
        <f>(AW648-Driver!$K$180)/(Driver!$L$180-Driver!$K$180)</f>
        <v/>
      </c>
      <c r="AL648" s="108">
        <f>(AX648-Driver!$K$181)/(Driver!$L$181-Driver!$K$181)</f>
        <v/>
      </c>
      <c r="AM648" s="108">
        <f>(AY648-Driver!$K$182)/(Driver!$L$182-Driver!$K$182)</f>
        <v/>
      </c>
      <c r="AN648" s="108">
        <f>(AZ648-Driver!$K$183)/(Driver!$L$183-Driver!$K$183)</f>
        <v/>
      </c>
      <c r="AO648" s="108" t="n"/>
      <c r="AP648" s="108" t="n"/>
      <c r="AQ648" s="108">
        <f>(BC648-Driver!$K$188)/(Driver!$L$188-Driver!$K$188)</f>
        <v/>
      </c>
      <c r="AR648" s="108">
        <f>MIN((BD648-Driver!$K$189)/(Driver!$L$189-Driver!$K$189),100%)</f>
        <v/>
      </c>
      <c r="AS648" s="108">
        <f>(BE648-Driver!$K$190)/(Driver!$L$190-Driver!$K$190)</f>
        <v/>
      </c>
      <c r="AT648" s="108">
        <f>(BF648-Driver!$K$191)/(Driver!$L$191-Driver!$K$191)</f>
        <v/>
      </c>
      <c r="AU648" s="108">
        <f>(BG648-Driver!$K$192)/(Driver!$L$192-Driver!$K$192)</f>
        <v/>
      </c>
      <c r="AV648" s="105">
        <f>IFERROR(BM648*BJ648^1/4,"")</f>
        <v/>
      </c>
      <c r="AW648" s="105">
        <f>IFERROR(SUM(AX648:AZ648),"")</f>
        <v/>
      </c>
      <c r="AX648" s="105">
        <f>IFERROR(BH648,"")</f>
        <v/>
      </c>
      <c r="AY648" s="105">
        <f>IFERROR(Driver!$K$19/Data!BH648/Data!BI648*Data!BK648*Data!BL648,"")</f>
        <v/>
      </c>
      <c r="AZ648" s="105">
        <f>IFERROR(BI648*BN648,"")</f>
        <v/>
      </c>
      <c r="BA648" s="105" t="n"/>
      <c r="BB648" s="105" t="n"/>
      <c r="BC648" s="105">
        <f>IFERROR(BI648*BN648*BK648/BJ648^(1/2),"")</f>
        <v/>
      </c>
      <c r="BD648" s="105">
        <f>IFERROR(BH648*BM648*BL648/BJ648/BK648,"")</f>
        <v/>
      </c>
      <c r="BE648" s="105">
        <f>IFERROR(MIN(BI648/BQ648/BP648/BO648/BH648,$BE$1),"")</f>
        <v/>
      </c>
      <c r="BF648" s="105">
        <f>IFERROR(BJ648*BO648*BP648/BK648,"")</f>
        <v/>
      </c>
      <c r="BG648" s="105">
        <f>IFERROR(1/BM648/BH648*BQ648,"")</f>
        <v/>
      </c>
      <c r="BH648" s="102">
        <f>MAX((CE648-Driver!$F$200)/(Driver!$G$200-Driver!$F$200)*$BI$1,1)</f>
        <v/>
      </c>
      <c r="BI648" s="102">
        <f>MAX($BI$1*(BY648-Driver!$F$201)/(Driver!$G$201-Driver!$F$201),1)</f>
        <v/>
      </c>
      <c r="BJ648" s="102">
        <f>(CB648-Driver!$F$206)/(Driver!$G$206-Driver!$F$206)*$BI$1</f>
        <v/>
      </c>
      <c r="BK648" s="102">
        <f>(CD648-Driver!$F$203)/(Driver!$G$203-Driver!$F$203)*$BI$1</f>
        <v/>
      </c>
      <c r="BL648" s="102">
        <f>MAX((CR648-Driver!$F$202)/(Driver!$G$202-Driver!$F$202)*$BI$1,1)</f>
        <v/>
      </c>
      <c r="BM648" s="102">
        <f>MAX((CH648-Driver!$F$204)/(Driver!$G$204-Driver!$F$204)*$BI$1,1)</f>
        <v/>
      </c>
      <c r="BN648" s="102">
        <f>(CI648-Driver!$F$205)/(Driver!$G$205-Driver!$F$205)*$BI$1</f>
        <v/>
      </c>
      <c r="BO648" s="102">
        <f>(CK648-Driver!$F$207)/(Driver!$G$207-Driver!$F$207)*$BI$1</f>
        <v/>
      </c>
      <c r="BP648" s="102">
        <f>(CM648-Driver!$F$208)/(Driver!$G$208-Driver!$F$208)*$BI$1</f>
        <v/>
      </c>
      <c r="BQ648" s="102">
        <f>(CL648-Driver!$F$209)/(Driver!$G$209-Driver!$F$209)*$BI$1</f>
        <v/>
      </c>
      <c r="BR648" s="40" t="inlineStr">
        <is>
          <t>21/22</t>
        </is>
      </c>
      <c r="BS648" s="10" t="inlineStr">
        <is>
          <t xml:space="preserve"> Dynafit</t>
        </is>
      </c>
      <c r="BT648" s="11" t="inlineStr">
        <is>
          <t>Blacklight 88</t>
        </is>
      </c>
      <c r="BU648" s="13" t="n">
        <v>172</v>
      </c>
      <c r="BV648" s="11" t="inlineStr">
        <is>
          <t xml:space="preserve"> Unisex</t>
        </is>
      </c>
      <c r="BW648" s="13" t="n">
        <v>172</v>
      </c>
      <c r="BX648" s="13" t="n">
        <v>169.7</v>
      </c>
      <c r="BY648" s="13" t="n">
        <v>117</v>
      </c>
      <c r="BZ648" s="13" t="n">
        <v>146</v>
      </c>
      <c r="CA648" s="13" t="n">
        <v>122</v>
      </c>
      <c r="CB648" s="13" t="n">
        <v>87</v>
      </c>
      <c r="CC648" s="13" t="n">
        <v>110</v>
      </c>
      <c r="CD648" s="13" t="n">
        <v>18.1</v>
      </c>
      <c r="CE648" s="13" t="n">
        <v>1186</v>
      </c>
      <c r="CF648" s="13" t="n">
        <v>1.39</v>
      </c>
      <c r="CG648" s="13" t="n">
        <v>1652</v>
      </c>
      <c r="CH648" s="13" t="n">
        <v>256</v>
      </c>
      <c r="CI648" s="13" t="n">
        <v>87</v>
      </c>
      <c r="CJ648" s="13" t="n">
        <v>60</v>
      </c>
      <c r="CK648" s="13" t="n">
        <v>348</v>
      </c>
      <c r="CL648" s="13" t="n">
        <v>10</v>
      </c>
      <c r="CM648" s="13" t="n">
        <v>179</v>
      </c>
      <c r="CN648" s="13" t="n">
        <v>0.165</v>
      </c>
      <c r="CO648" s="13" t="n">
        <v>136</v>
      </c>
      <c r="CP648" s="13" t="n">
        <v>104</v>
      </c>
      <c r="CQ648" s="13" t="n">
        <v>213</v>
      </c>
      <c r="CR648" s="13" t="n">
        <v>4</v>
      </c>
      <c r="CS648" s="13" t="n">
        <v>12.6</v>
      </c>
      <c r="CT648" s="11" t="inlineStr">
        <is>
          <t xml:space="preserve"> Touring</t>
        </is>
      </c>
      <c r="CU648" s="11" t="inlineStr">
        <is>
          <t xml:space="preserve"> Ultralight Touring</t>
        </is>
      </c>
      <c r="CV648" s="13" t="n"/>
      <c r="CW648" s="13" t="n"/>
      <c r="CX648">
        <f>INDEX('Data_Price '!AG$2:AG$1266,MATCH(Data!$DN648,'Data_Price '!$AT$2:$AT$1266,0))</f>
        <v/>
      </c>
      <c r="CY648">
        <f>INDEX('Data_Price '!AH$2:AH$1266,MATCH(Data!$DN648,'Data_Price '!$AT$2:$AT$1266,0))</f>
        <v/>
      </c>
      <c r="CZ648">
        <f>INDEX('Data_Price '!AI$2:AI$1266,MATCH(Data!$DN648,'Data_Price '!$AT$2:$AT$1266,0))</f>
        <v/>
      </c>
      <c r="DA648">
        <f>INDEX('Data_Price '!AJ$2:AJ$1266,MATCH(Data!$DN648,'Data_Price '!$AT$2:$AT$1266,0))</f>
        <v/>
      </c>
      <c r="DB648">
        <f>INDEX('Data_Price '!AK$2:AK$1266,MATCH(Data!$DN648,'Data_Price '!$AT$2:$AT$1266,0))</f>
        <v/>
      </c>
      <c r="DC648">
        <f>INDEX('Data_Price '!AL$2:AL$1266,MATCH(Data!$DN648,'Data_Price '!$AT$2:$AT$1266,0))</f>
        <v/>
      </c>
      <c r="DD648">
        <f>INDEX('Data_Price '!AM$2:AM$1266,MATCH(Data!$DN648,'Data_Price '!$AT$2:$AT$1266,0))</f>
        <v/>
      </c>
      <c r="DE648">
        <f>INDEX('Data_Price '!AN$2:AN$1266,MATCH(Data!$DN648,'Data_Price '!$AT$2:$AT$1266,0))</f>
        <v/>
      </c>
      <c r="DF648">
        <f>INDEX('Data_Price '!AO$2:AO$1266,MATCH(Data!$DN648,'Data_Price '!$AT$2:$AT$1266,0))</f>
        <v/>
      </c>
      <c r="DG648">
        <f>INDEX('Data_Price '!AP$2:AP$1266,MATCH(Data!$DN648,'Data_Price '!$AT$2:$AT$1266,0))</f>
        <v/>
      </c>
      <c r="DH648">
        <f>INDEX('Data_Price '!AQ$2:AQ$1266,MATCH(Data!$DN648,'Data_Price '!$AT$2:$AT$1266,0))</f>
        <v/>
      </c>
      <c r="DI648">
        <f>INDEX('Data_Price '!AR$2:AR$1266,MATCH(Data!$DN648,'Data_Price '!$AT$2:$AT$1266,0))</f>
        <v/>
      </c>
      <c r="DJ648" s="138">
        <f>DA648</f>
        <v/>
      </c>
      <c r="DK648" s="138">
        <f>DE648</f>
        <v/>
      </c>
      <c r="DL648" s="138">
        <f>DI648</f>
        <v/>
      </c>
      <c r="DM648" s="303">
        <f>IF(LEFT(BT648,1)=" ",RIGHT(BT648,LEN(BT648)-1),BT648)</f>
        <v/>
      </c>
      <c r="DN648" s="138">
        <f>_xlfn.CONCAT(BS648,DM648,BU648,BV648)</f>
        <v/>
      </c>
      <c r="DO648" s="307" t="inlineStr">
        <is>
          <t>https://images.evo.com/imgp/250/208963/851016/dynafit-blacklight-88-skis-2022-.jpg</t>
        </is>
      </c>
    </row>
    <row r="649" ht="15.6" customHeight="1" s="184">
      <c r="B649" s="303">
        <f t="array" ref="B649">IF(OR(ISERROR(K649:P649)),FALSE,TRUE)</f>
        <v/>
      </c>
      <c r="C649" s="60">
        <f>OR(BR649=Driver!$G$50,Data!BR450=Driver!$H$50)</f>
        <v/>
      </c>
      <c r="D649" s="60">
        <f>OR(BV649=Driver!$G$51,BV649=Driver!$H$51)</f>
        <v/>
      </c>
      <c r="E649" s="60">
        <f>AND(BX649&gt;Driver!$F$54,BX649&lt;Driver!$G$54)</f>
        <v/>
      </c>
      <c r="F649" s="60">
        <f>CL649&gt;Driver!$F$56</f>
        <v/>
      </c>
      <c r="G649" s="60">
        <f>AND(CB649&gt;Driver!$F$55,CB649&lt;Driver!$G$55)</f>
        <v/>
      </c>
      <c r="H649" s="60">
        <f>AND(B649:G649)</f>
        <v/>
      </c>
      <c r="I649" s="60">
        <f>COUNTIFS($H$9:$H$1273,TRUE,$BT$9:$BT$1273,BT649)</f>
        <v/>
      </c>
      <c r="J649" s="60">
        <f t="array" ref="J649">NOT(OR(($H$9:$H$1273=TRUE)*($I$9:$I$1273&gt;0)*($BT$9:$BT$1273=BT649)*($K$9:$K$1273&gt;K649)))</f>
        <v/>
      </c>
      <c r="K649" s="108">
        <f>IFERROR(1-AVERAGE(X649:Y649),"")</f>
        <v/>
      </c>
      <c r="L649" s="108">
        <f>1-X649</f>
        <v/>
      </c>
      <c r="M649" s="108">
        <f>1-Y649</f>
        <v/>
      </c>
      <c r="N649" s="108">
        <f>1-Z649</f>
        <v/>
      </c>
      <c r="O649" s="108">
        <f>1-AA649</f>
        <v/>
      </c>
      <c r="P649" s="108">
        <f>1-AB649</f>
        <v/>
      </c>
      <c r="Q649" s="108" t="n"/>
      <c r="R649" s="108" t="n"/>
      <c r="S649" s="108">
        <f>1-AE649</f>
        <v/>
      </c>
      <c r="T649" s="108">
        <f>1-AF649</f>
        <v/>
      </c>
      <c r="U649" s="108">
        <f>1-AG649</f>
        <v/>
      </c>
      <c r="V649" s="108">
        <f>1-AH649</f>
        <v/>
      </c>
      <c r="W649" s="108">
        <f>1-AI649</f>
        <v/>
      </c>
      <c r="X649" s="108">
        <f>ABS(AJ649-AJ$1)</f>
        <v/>
      </c>
      <c r="Y649" s="108">
        <f>AVERAGE(Z649:AB649)</f>
        <v/>
      </c>
      <c r="Z649" s="108">
        <f>ABS(AL649-AL$1)</f>
        <v/>
      </c>
      <c r="AA649" s="108">
        <f>ABS(AM649-AM$1)</f>
        <v/>
      </c>
      <c r="AB649" s="108">
        <f>ABS(AN649-AN$1)</f>
        <v/>
      </c>
      <c r="AC649" s="108" t="n"/>
      <c r="AD649" s="108" t="n"/>
      <c r="AE649" s="108">
        <f>ABS(AQ$1-AQ649)</f>
        <v/>
      </c>
      <c r="AF649" s="108">
        <f>ABS(AR$1-AR649)</f>
        <v/>
      </c>
      <c r="AG649" s="108">
        <f>ABS(AS$1-AS649)</f>
        <v/>
      </c>
      <c r="AH649" s="108">
        <f>ABS(AT$1-AT649)</f>
        <v/>
      </c>
      <c r="AI649" s="108">
        <f>ABS(AU$1-AU649)</f>
        <v/>
      </c>
      <c r="AJ649" s="108">
        <f>(AV649-Driver!$K$179)/(Driver!$L$179-Driver!$K$179)</f>
        <v/>
      </c>
      <c r="AK649" s="108">
        <f>(AW649-Driver!$K$180)/(Driver!$L$180-Driver!$K$180)</f>
        <v/>
      </c>
      <c r="AL649" s="108">
        <f>(AX649-Driver!$K$181)/(Driver!$L$181-Driver!$K$181)</f>
        <v/>
      </c>
      <c r="AM649" s="108">
        <f>(AY649-Driver!$K$182)/(Driver!$L$182-Driver!$K$182)</f>
        <v/>
      </c>
      <c r="AN649" s="108">
        <f>(AZ649-Driver!$K$183)/(Driver!$L$183-Driver!$K$183)</f>
        <v/>
      </c>
      <c r="AO649" s="108" t="n"/>
      <c r="AP649" s="108" t="n"/>
      <c r="AQ649" s="108">
        <f>(BC649-Driver!$K$188)/(Driver!$L$188-Driver!$K$188)</f>
        <v/>
      </c>
      <c r="AR649" s="108">
        <f>MIN((BD649-Driver!$K$189)/(Driver!$L$189-Driver!$K$189),100%)</f>
        <v/>
      </c>
      <c r="AS649" s="108">
        <f>(BE649-Driver!$K$190)/(Driver!$L$190-Driver!$K$190)</f>
        <v/>
      </c>
      <c r="AT649" s="108">
        <f>(BF649-Driver!$K$191)/(Driver!$L$191-Driver!$K$191)</f>
        <v/>
      </c>
      <c r="AU649" s="108">
        <f>(BG649-Driver!$K$192)/(Driver!$L$192-Driver!$K$192)</f>
        <v/>
      </c>
      <c r="AV649" s="105">
        <f>IFERROR(BM649*BJ649^1/4,"")</f>
        <v/>
      </c>
      <c r="AW649" s="105">
        <f>IFERROR(SUM(AX649:AZ649),"")</f>
        <v/>
      </c>
      <c r="AX649" s="105">
        <f>IFERROR(BH649,"")</f>
        <v/>
      </c>
      <c r="AY649" s="105">
        <f>IFERROR(Driver!$K$19/Data!BH649/Data!BI649*Data!BK649*Data!BL649,"")</f>
        <v/>
      </c>
      <c r="AZ649" s="105">
        <f>IFERROR(BI649*BN649,"")</f>
        <v/>
      </c>
      <c r="BA649" s="105" t="n"/>
      <c r="BB649" s="105" t="n"/>
      <c r="BC649" s="105">
        <f>IFERROR(BI649*BN649*BK649/BJ649^(1/2),"")</f>
        <v/>
      </c>
      <c r="BD649" s="105">
        <f>IFERROR(BH649*BM649*BL649/BJ649/BK649,"")</f>
        <v/>
      </c>
      <c r="BE649" s="105">
        <f>IFERROR(MIN(BI649/BQ649/BP649/BO649/BH649,$BE$1),"")</f>
        <v/>
      </c>
      <c r="BF649" s="105">
        <f>IFERROR(BJ649*BO649*BP649/BK649,"")</f>
        <v/>
      </c>
      <c r="BG649" s="105">
        <f>IFERROR(1/BM649/BH649*BQ649,"")</f>
        <v/>
      </c>
      <c r="BH649" s="102">
        <f>MAX((CE649-Driver!$F$200)/(Driver!$G$200-Driver!$F$200)*$BI$1,1)</f>
        <v/>
      </c>
      <c r="BI649" s="102">
        <f>MAX($BI$1*(BY649-Driver!$F$201)/(Driver!$G$201-Driver!$F$201),1)</f>
        <v/>
      </c>
      <c r="BJ649" s="102">
        <f>(CB649-Driver!$F$206)/(Driver!$G$206-Driver!$F$206)*$BI$1</f>
        <v/>
      </c>
      <c r="BK649" s="102">
        <f>(CD649-Driver!$F$203)/(Driver!$G$203-Driver!$F$203)*$BI$1</f>
        <v/>
      </c>
      <c r="BL649" s="102">
        <f>MAX((CR649-Driver!$F$202)/(Driver!$G$202-Driver!$F$202)*$BI$1,1)</f>
        <v/>
      </c>
      <c r="BM649" s="102">
        <f>MAX((CH649-Driver!$F$204)/(Driver!$G$204-Driver!$F$204)*$BI$1,1)</f>
        <v/>
      </c>
      <c r="BN649" s="102">
        <f>(CI649-Driver!$F$205)/(Driver!$G$205-Driver!$F$205)*$BI$1</f>
        <v/>
      </c>
      <c r="BO649" s="102">
        <f>(CK649-Driver!$F$207)/(Driver!$G$207-Driver!$F$207)*$BI$1</f>
        <v/>
      </c>
      <c r="BP649" s="102">
        <f>(CM649-Driver!$F$208)/(Driver!$G$208-Driver!$F$208)*$BI$1</f>
        <v/>
      </c>
      <c r="BQ649" s="102">
        <f>(CL649-Driver!$F$209)/(Driver!$G$209-Driver!$F$209)*$BI$1</f>
        <v/>
      </c>
      <c r="BR649" s="40" t="inlineStr">
        <is>
          <t>21/22</t>
        </is>
      </c>
      <c r="BS649" s="10" t="inlineStr">
        <is>
          <t xml:space="preserve"> Elan</t>
        </is>
      </c>
      <c r="BT649" s="11" t="inlineStr">
        <is>
          <t>Ripstick 116</t>
        </is>
      </c>
      <c r="BU649" s="13" t="n">
        <v>185</v>
      </c>
      <c r="BV649" s="11" t="inlineStr">
        <is>
          <t xml:space="preserve"> Unisex</t>
        </is>
      </c>
      <c r="BW649" s="13" t="n">
        <v>185</v>
      </c>
      <c r="BX649" s="13" t="n">
        <v>183.4</v>
      </c>
      <c r="BY649" s="13" t="n">
        <v>133</v>
      </c>
      <c r="BZ649" s="13" t="n">
        <v>145</v>
      </c>
      <c r="CA649" s="13" t="n">
        <v>145</v>
      </c>
      <c r="CB649" s="13" t="n">
        <v>114</v>
      </c>
      <c r="CC649" s="13" t="n">
        <v>131</v>
      </c>
      <c r="CD649" s="13" t="n">
        <v>20.5</v>
      </c>
      <c r="CE649" s="13" t="n">
        <v>2023</v>
      </c>
      <c r="CF649" s="13" t="n">
        <v>1.12</v>
      </c>
      <c r="CG649" s="13" t="n">
        <v>2266</v>
      </c>
      <c r="CH649" s="13" t="n">
        <v>241</v>
      </c>
      <c r="CI649" s="13" t="n">
        <v>104</v>
      </c>
      <c r="CJ649" s="13" t="n">
        <v>41</v>
      </c>
      <c r="CK649" s="13" t="n">
        <v>282</v>
      </c>
      <c r="CL649" s="13" t="n">
        <v>26</v>
      </c>
      <c r="CM649" s="13" t="n">
        <v>223</v>
      </c>
      <c r="CN649" s="13" t="n">
        <v>0.617</v>
      </c>
      <c r="CO649" s="13" t="n">
        <v>186</v>
      </c>
      <c r="CP649" s="13" t="n">
        <v>198</v>
      </c>
      <c r="CQ649" s="13" t="n">
        <v>95</v>
      </c>
      <c r="CR649" s="13" t="n">
        <v>4</v>
      </c>
      <c r="CS649" s="13" t="n">
        <v>6</v>
      </c>
      <c r="CT649" s="11" t="inlineStr">
        <is>
          <t xml:space="preserve"> Powder</t>
        </is>
      </c>
      <c r="CU649" s="11" t="inlineStr">
        <is>
          <t xml:space="preserve"> Touring</t>
        </is>
      </c>
      <c r="CV649" s="13" t="n"/>
      <c r="CW649" s="13" t="n"/>
      <c r="CX649">
        <f>INDEX('Data_Price '!AG$2:AG$1266,MATCH(Data!$DN649,'Data_Price '!$AT$2:$AT$1266,0))</f>
        <v/>
      </c>
      <c r="CY649">
        <f>INDEX('Data_Price '!AH$2:AH$1266,MATCH(Data!$DN649,'Data_Price '!$AT$2:$AT$1266,0))</f>
        <v/>
      </c>
      <c r="CZ649">
        <f>INDEX('Data_Price '!AI$2:AI$1266,MATCH(Data!$DN649,'Data_Price '!$AT$2:$AT$1266,0))</f>
        <v/>
      </c>
      <c r="DA649">
        <f>INDEX('Data_Price '!AJ$2:AJ$1266,MATCH(Data!$DN649,'Data_Price '!$AT$2:$AT$1266,0))</f>
        <v/>
      </c>
      <c r="DB649">
        <f>INDEX('Data_Price '!AK$2:AK$1266,MATCH(Data!$DN649,'Data_Price '!$AT$2:$AT$1266,0))</f>
        <v/>
      </c>
      <c r="DC649">
        <f>INDEX('Data_Price '!AL$2:AL$1266,MATCH(Data!$DN649,'Data_Price '!$AT$2:$AT$1266,0))</f>
        <v/>
      </c>
      <c r="DD649">
        <f>INDEX('Data_Price '!AM$2:AM$1266,MATCH(Data!$DN649,'Data_Price '!$AT$2:$AT$1266,0))</f>
        <v/>
      </c>
      <c r="DE649">
        <f>INDEX('Data_Price '!AN$2:AN$1266,MATCH(Data!$DN649,'Data_Price '!$AT$2:$AT$1266,0))</f>
        <v/>
      </c>
      <c r="DF649">
        <f>INDEX('Data_Price '!AO$2:AO$1266,MATCH(Data!$DN649,'Data_Price '!$AT$2:$AT$1266,0))</f>
        <v/>
      </c>
      <c r="DG649">
        <f>INDEX('Data_Price '!AP$2:AP$1266,MATCH(Data!$DN649,'Data_Price '!$AT$2:$AT$1266,0))</f>
        <v/>
      </c>
      <c r="DH649">
        <f>INDEX('Data_Price '!AQ$2:AQ$1266,MATCH(Data!$DN649,'Data_Price '!$AT$2:$AT$1266,0))</f>
        <v/>
      </c>
      <c r="DI649">
        <f>INDEX('Data_Price '!AR$2:AR$1266,MATCH(Data!$DN649,'Data_Price '!$AT$2:$AT$1266,0))</f>
        <v/>
      </c>
      <c r="DJ649" s="138">
        <f>DA649</f>
        <v/>
      </c>
      <c r="DK649" s="138">
        <f>DE649</f>
        <v/>
      </c>
      <c r="DL649" s="138">
        <f>DI649</f>
        <v/>
      </c>
      <c r="DM649" s="303">
        <f>IF(LEFT(BT649,1)=" ",RIGHT(BT649,LEN(BT649)-1),BT649)</f>
        <v/>
      </c>
      <c r="DN649" s="138">
        <f>_xlfn.CONCAT(BS649,DM649,BU649,BV649)</f>
        <v/>
      </c>
      <c r="DO649" s="307" t="n"/>
    </row>
    <row r="650" ht="15.6" customHeight="1" s="184">
      <c r="B650" s="303">
        <f t="array" ref="B650">IF(OR(ISERROR(K650:P650)),FALSE,TRUE)</f>
        <v/>
      </c>
      <c r="C650" s="60">
        <f>OR(BR650=Driver!$G$50,Data!BR732=Driver!$H$50)</f>
        <v/>
      </c>
      <c r="D650" s="60">
        <f>OR(BV650=Driver!$G$51,BV650=Driver!$H$51)</f>
        <v/>
      </c>
      <c r="E650" s="60">
        <f>AND(BX650&gt;Driver!$F$54,BX650&lt;Driver!$G$54)</f>
        <v/>
      </c>
      <c r="F650" s="60">
        <f>CL650&gt;Driver!$F$56</f>
        <v/>
      </c>
      <c r="G650" s="60">
        <f>AND(CB650&gt;Driver!$F$55,CB650&lt;Driver!$G$55)</f>
        <v/>
      </c>
      <c r="H650" s="60">
        <f>AND(B650:G650)</f>
        <v/>
      </c>
      <c r="I650" s="60">
        <f>COUNTIFS($H$9:$H$1273,TRUE,$BT$9:$BT$1273,BT650)</f>
        <v/>
      </c>
      <c r="J650" s="60">
        <f t="array" ref="J650">NOT(OR(($H$9:$H$1273=TRUE)*($I$9:$I$1273&gt;0)*($BT$9:$BT$1273=BT650)*($K$9:$K$1273&gt;K650)))</f>
        <v/>
      </c>
      <c r="K650" s="108">
        <f>IFERROR(1-AVERAGE(X650:Y650),"")</f>
        <v/>
      </c>
      <c r="L650" s="108">
        <f>1-X650</f>
        <v/>
      </c>
      <c r="M650" s="108">
        <f>1-Y650</f>
        <v/>
      </c>
      <c r="N650" s="108">
        <f>1-Z650</f>
        <v/>
      </c>
      <c r="O650" s="108">
        <f>1-AA650</f>
        <v/>
      </c>
      <c r="P650" s="108">
        <f>1-AB650</f>
        <v/>
      </c>
      <c r="Q650" s="108" t="n"/>
      <c r="R650" s="108" t="n"/>
      <c r="S650" s="108">
        <f>1-AE650</f>
        <v/>
      </c>
      <c r="T650" s="108">
        <f>1-AF650</f>
        <v/>
      </c>
      <c r="U650" s="108">
        <f>1-AG650</f>
        <v/>
      </c>
      <c r="V650" s="108">
        <f>1-AH650</f>
        <v/>
      </c>
      <c r="W650" s="108">
        <f>1-AI650</f>
        <v/>
      </c>
      <c r="X650" s="108">
        <f>ABS(AJ650-AJ$1)</f>
        <v/>
      </c>
      <c r="Y650" s="108">
        <f>AVERAGE(Z650:AB650)</f>
        <v/>
      </c>
      <c r="Z650" s="108">
        <f>ABS(AL650-AL$1)</f>
        <v/>
      </c>
      <c r="AA650" s="108">
        <f>ABS(AM650-AM$1)</f>
        <v/>
      </c>
      <c r="AB650" s="108">
        <f>ABS(AN650-AN$1)</f>
        <v/>
      </c>
      <c r="AC650" s="108" t="n"/>
      <c r="AD650" s="108" t="n"/>
      <c r="AE650" s="108">
        <f>ABS(AQ$1-AQ650)</f>
        <v/>
      </c>
      <c r="AF650" s="108">
        <f>ABS(AR$1-AR650)</f>
        <v/>
      </c>
      <c r="AG650" s="108">
        <f>ABS(AS$1-AS650)</f>
        <v/>
      </c>
      <c r="AH650" s="108">
        <f>ABS(AT$1-AT650)</f>
        <v/>
      </c>
      <c r="AI650" s="108">
        <f>ABS(AU$1-AU650)</f>
        <v/>
      </c>
      <c r="AJ650" s="108">
        <f>(AV650-Driver!$K$179)/(Driver!$L$179-Driver!$K$179)</f>
        <v/>
      </c>
      <c r="AK650" s="108">
        <f>(AW650-Driver!$K$180)/(Driver!$L$180-Driver!$K$180)</f>
        <v/>
      </c>
      <c r="AL650" s="108">
        <f>(AX650-Driver!$K$181)/(Driver!$L$181-Driver!$K$181)</f>
        <v/>
      </c>
      <c r="AM650" s="108">
        <f>(AY650-Driver!$K$182)/(Driver!$L$182-Driver!$K$182)</f>
        <v/>
      </c>
      <c r="AN650" s="108">
        <f>(AZ650-Driver!$K$183)/(Driver!$L$183-Driver!$K$183)</f>
        <v/>
      </c>
      <c r="AO650" s="108" t="n"/>
      <c r="AP650" s="108" t="n"/>
      <c r="AQ650" s="108">
        <f>(BC650-Driver!$K$188)/(Driver!$L$188-Driver!$K$188)</f>
        <v/>
      </c>
      <c r="AR650" s="108">
        <f>MIN((BD650-Driver!$K$189)/(Driver!$L$189-Driver!$K$189),100%)</f>
        <v/>
      </c>
      <c r="AS650" s="108">
        <f>(BE650-Driver!$K$190)/(Driver!$L$190-Driver!$K$190)</f>
        <v/>
      </c>
      <c r="AT650" s="108">
        <f>(BF650-Driver!$K$191)/(Driver!$L$191-Driver!$K$191)</f>
        <v/>
      </c>
      <c r="AU650" s="108">
        <f>(BG650-Driver!$K$192)/(Driver!$L$192-Driver!$K$192)</f>
        <v/>
      </c>
      <c r="AV650" s="105">
        <f>IFERROR(BM650*BJ650^1/4,"")</f>
        <v/>
      </c>
      <c r="AW650" s="105">
        <f>IFERROR(SUM(AX650:AZ650),"")</f>
        <v/>
      </c>
      <c r="AX650" s="105">
        <f>IFERROR(BH650,"")</f>
        <v/>
      </c>
      <c r="AY650" s="105">
        <f>IFERROR(Driver!$K$19/Data!BH650/Data!BI650*Data!BK650*Data!BL650,"")</f>
        <v/>
      </c>
      <c r="AZ650" s="105">
        <f>IFERROR(BI650*BN650,"")</f>
        <v/>
      </c>
      <c r="BA650" s="105" t="n"/>
      <c r="BB650" s="105" t="n"/>
      <c r="BC650" s="105">
        <f>IFERROR(BI650*BN650*BK650/BJ650^(1/2),"")</f>
        <v/>
      </c>
      <c r="BD650" s="105">
        <f>IFERROR(BH650*BM650*BL650/BJ650/BK650,"")</f>
        <v/>
      </c>
      <c r="BE650" s="105">
        <f>IFERROR(MIN(BI650/BQ650/BP650/BO650/BH650,$BE$1),"")</f>
        <v/>
      </c>
      <c r="BF650" s="105">
        <f>IFERROR(BJ650*BO650*BP650/BK650,"")</f>
        <v/>
      </c>
      <c r="BG650" s="105">
        <f>IFERROR(1/BM650/BH650*BQ650,"")</f>
        <v/>
      </c>
      <c r="BH650" s="102">
        <f>MAX((CE650-Driver!$F$200)/(Driver!$G$200-Driver!$F$200)*$BI$1,1)</f>
        <v/>
      </c>
      <c r="BI650" s="102">
        <f>MAX($BI$1*(BY650-Driver!$F$201)/(Driver!$G$201-Driver!$F$201),1)</f>
        <v/>
      </c>
      <c r="BJ650" s="102">
        <f>(CB650-Driver!$F$206)/(Driver!$G$206-Driver!$F$206)*$BI$1</f>
        <v/>
      </c>
      <c r="BK650" s="102">
        <f>(CD650-Driver!$F$203)/(Driver!$G$203-Driver!$F$203)*$BI$1</f>
        <v/>
      </c>
      <c r="BL650" s="102">
        <f>MAX((CR650-Driver!$F$202)/(Driver!$G$202-Driver!$F$202)*$BI$1,1)</f>
        <v/>
      </c>
      <c r="BM650" s="102">
        <f>MAX((CH650-Driver!$F$204)/(Driver!$G$204-Driver!$F$204)*$BI$1,1)</f>
        <v/>
      </c>
      <c r="BN650" s="102">
        <f>(CI650-Driver!$F$205)/(Driver!$G$205-Driver!$F$205)*$BI$1</f>
        <v/>
      </c>
      <c r="BO650" s="102">
        <f>(CK650-Driver!$F$207)/(Driver!$G$207-Driver!$F$207)*$BI$1</f>
        <v/>
      </c>
      <c r="BP650" s="102">
        <f>(CM650-Driver!$F$208)/(Driver!$G$208-Driver!$F$208)*$BI$1</f>
        <v/>
      </c>
      <c r="BQ650" s="102">
        <f>(CL650-Driver!$F$209)/(Driver!$G$209-Driver!$F$209)*$BI$1</f>
        <v/>
      </c>
      <c r="BR650" s="40" t="inlineStr">
        <is>
          <t>21/22</t>
        </is>
      </c>
      <c r="BS650" s="10" t="inlineStr">
        <is>
          <t xml:space="preserve"> K2</t>
        </is>
      </c>
      <c r="BT650" s="11" t="inlineStr">
        <is>
          <t>Mindbender 88 Ti Alliance</t>
        </is>
      </c>
      <c r="BU650" s="13" t="n">
        <v>149</v>
      </c>
      <c r="BV650" s="11" t="inlineStr">
        <is>
          <t xml:space="preserve"> Women's</t>
        </is>
      </c>
      <c r="BW650" s="13" t="n">
        <v>149</v>
      </c>
      <c r="BX650" s="13" t="n">
        <v>149.1</v>
      </c>
      <c r="BY650" s="13" t="n">
        <v>114</v>
      </c>
      <c r="BZ650" s="13" t="n">
        <v>125</v>
      </c>
      <c r="CA650" s="13" t="n">
        <v>125</v>
      </c>
      <c r="CB650" s="13" t="n">
        <v>88</v>
      </c>
      <c r="CC650" s="13" t="n">
        <v>111</v>
      </c>
      <c r="CD650" s="13" t="n">
        <v>12.1</v>
      </c>
      <c r="CE650" s="13" t="n">
        <v>1401</v>
      </c>
      <c r="CF650" s="13" t="n">
        <v>1.07</v>
      </c>
      <c r="CG650" s="13" t="n">
        <v>1493</v>
      </c>
      <c r="CH650" s="13" t="n">
        <v>138</v>
      </c>
      <c r="CI650" s="13" t="n">
        <v>89</v>
      </c>
      <c r="CJ650" s="13" t="n">
        <v>43</v>
      </c>
      <c r="CK650" s="13" t="n">
        <v>187</v>
      </c>
      <c r="CL650" s="13" t="n">
        <v>19</v>
      </c>
      <c r="CM650" s="13" t="n">
        <v>161</v>
      </c>
      <c r="CN650" s="13" t="n">
        <v>0.431</v>
      </c>
      <c r="CO650" s="13" t="n">
        <v>144</v>
      </c>
      <c r="CP650" s="13" t="n">
        <v>93</v>
      </c>
      <c r="CQ650" s="13" t="n">
        <v>43</v>
      </c>
      <c r="CR650" s="13" t="n">
        <v>7</v>
      </c>
      <c r="CS650" s="13" t="n">
        <v>10.1</v>
      </c>
      <c r="CT650" s="11" t="inlineStr">
        <is>
          <t xml:space="preserve"> Resort Freeride</t>
        </is>
      </c>
      <c r="CU650" s="11" t="inlineStr">
        <is>
          <t xml:space="preserve"> Touring</t>
        </is>
      </c>
      <c r="CV650" s="13" t="n"/>
      <c r="CW650" s="13" t="n"/>
      <c r="CX650">
        <f>INDEX('Data_Price '!AG$2:AG$1266,MATCH(Data!$DN650,'Data_Price '!$AT$2:$AT$1266,0))</f>
        <v/>
      </c>
      <c r="CY650">
        <f>INDEX('Data_Price '!AH$2:AH$1266,MATCH(Data!$DN650,'Data_Price '!$AT$2:$AT$1266,0))</f>
        <v/>
      </c>
      <c r="CZ650">
        <f>INDEX('Data_Price '!AI$2:AI$1266,MATCH(Data!$DN650,'Data_Price '!$AT$2:$AT$1266,0))</f>
        <v/>
      </c>
      <c r="DA650">
        <f>INDEX('Data_Price '!AJ$2:AJ$1266,MATCH(Data!$DN650,'Data_Price '!$AT$2:$AT$1266,0))</f>
        <v/>
      </c>
      <c r="DB650">
        <f>INDEX('Data_Price '!AK$2:AK$1266,MATCH(Data!$DN650,'Data_Price '!$AT$2:$AT$1266,0))</f>
        <v/>
      </c>
      <c r="DC650">
        <f>INDEX('Data_Price '!AL$2:AL$1266,MATCH(Data!$DN650,'Data_Price '!$AT$2:$AT$1266,0))</f>
        <v/>
      </c>
      <c r="DD650">
        <f>INDEX('Data_Price '!AM$2:AM$1266,MATCH(Data!$DN650,'Data_Price '!$AT$2:$AT$1266,0))</f>
        <v/>
      </c>
      <c r="DE650">
        <f>INDEX('Data_Price '!AN$2:AN$1266,MATCH(Data!$DN650,'Data_Price '!$AT$2:$AT$1266,0))</f>
        <v/>
      </c>
      <c r="DF650">
        <f>INDEX('Data_Price '!AO$2:AO$1266,MATCH(Data!$DN650,'Data_Price '!$AT$2:$AT$1266,0))</f>
        <v/>
      </c>
      <c r="DG650">
        <f>INDEX('Data_Price '!AP$2:AP$1266,MATCH(Data!$DN650,'Data_Price '!$AT$2:$AT$1266,0))</f>
        <v/>
      </c>
      <c r="DH650">
        <f>INDEX('Data_Price '!AQ$2:AQ$1266,MATCH(Data!$DN650,'Data_Price '!$AT$2:$AT$1266,0))</f>
        <v/>
      </c>
      <c r="DI650">
        <f>INDEX('Data_Price '!AR$2:AR$1266,MATCH(Data!$DN650,'Data_Price '!$AT$2:$AT$1266,0))</f>
        <v/>
      </c>
      <c r="DJ650" s="138">
        <f>DA650</f>
        <v/>
      </c>
      <c r="DK650" s="138">
        <f>DE650</f>
        <v/>
      </c>
      <c r="DL650" s="138">
        <f>DI650</f>
        <v/>
      </c>
      <c r="DM650" s="303">
        <f>IF(LEFT(BT650,1)=" ",RIGHT(BT650,LEN(BT650)-1),BT650)</f>
        <v/>
      </c>
      <c r="DN650" s="138">
        <f>_xlfn.CONCAT(BS650,DM650,BU650,BV650)</f>
        <v/>
      </c>
      <c r="DO650" s="307" t="n"/>
    </row>
    <row r="651" ht="15.6" customHeight="1" s="184">
      <c r="B651" s="303">
        <f t="array" ref="B651">IF(OR(ISERROR(K651:P651)),FALSE,TRUE)</f>
        <v/>
      </c>
      <c r="C651" s="60">
        <f>OR(BR651=Driver!$G$50,Data!BR999=Driver!$H$50)</f>
        <v/>
      </c>
      <c r="D651" s="60">
        <f>OR(BV651=Driver!$G$51,BV651=Driver!$H$51)</f>
        <v/>
      </c>
      <c r="E651" s="60">
        <f>AND(BX651&gt;Driver!$F$54,BX651&lt;Driver!$G$54)</f>
        <v/>
      </c>
      <c r="F651" s="60">
        <f>CL651&gt;Driver!$F$56</f>
        <v/>
      </c>
      <c r="G651" s="60">
        <f>AND(CB651&gt;Driver!$F$55,CB651&lt;Driver!$G$55)</f>
        <v/>
      </c>
      <c r="H651" s="60">
        <f>AND(B651:G651)</f>
        <v/>
      </c>
      <c r="I651" s="60">
        <f>COUNTIFS($H$9:$H$1273,TRUE,$BT$9:$BT$1273,BT651)</f>
        <v/>
      </c>
      <c r="J651" s="60">
        <f t="array" ref="J651">NOT(OR(($H$9:$H$1273=TRUE)*($I$9:$I$1273&gt;0)*($BT$9:$BT$1273=BT651)*($K$9:$K$1273&gt;K651)))</f>
        <v/>
      </c>
      <c r="K651" s="108">
        <f>IFERROR(1-AVERAGE(X651:Y651),"")</f>
        <v/>
      </c>
      <c r="L651" s="108">
        <f>1-X651</f>
        <v/>
      </c>
      <c r="M651" s="108">
        <f>1-Y651</f>
        <v/>
      </c>
      <c r="N651" s="108">
        <f>1-Z651</f>
        <v/>
      </c>
      <c r="O651" s="108">
        <f>1-AA651</f>
        <v/>
      </c>
      <c r="P651" s="108">
        <f>1-AB651</f>
        <v/>
      </c>
      <c r="Q651" s="108" t="n"/>
      <c r="R651" s="108" t="n"/>
      <c r="S651" s="108">
        <f>1-AE651</f>
        <v/>
      </c>
      <c r="T651" s="108">
        <f>1-AF651</f>
        <v/>
      </c>
      <c r="U651" s="108">
        <f>1-AG651</f>
        <v/>
      </c>
      <c r="V651" s="108">
        <f>1-AH651</f>
        <v/>
      </c>
      <c r="W651" s="108">
        <f>1-AI651</f>
        <v/>
      </c>
      <c r="X651" s="108">
        <f>ABS(AJ651-AJ$1)</f>
        <v/>
      </c>
      <c r="Y651" s="108">
        <f>AVERAGE(Z651:AB651)</f>
        <v/>
      </c>
      <c r="Z651" s="108">
        <f>ABS(AL651-AL$1)</f>
        <v/>
      </c>
      <c r="AA651" s="108">
        <f>ABS(AM651-AM$1)</f>
        <v/>
      </c>
      <c r="AB651" s="108">
        <f>ABS(AN651-AN$1)</f>
        <v/>
      </c>
      <c r="AC651" s="108" t="n"/>
      <c r="AD651" s="108" t="n"/>
      <c r="AE651" s="108">
        <f>ABS(AQ$1-AQ651)</f>
        <v/>
      </c>
      <c r="AF651" s="108">
        <f>ABS(AR$1-AR651)</f>
        <v/>
      </c>
      <c r="AG651" s="108">
        <f>ABS(AS$1-AS651)</f>
        <v/>
      </c>
      <c r="AH651" s="108">
        <f>ABS(AT$1-AT651)</f>
        <v/>
      </c>
      <c r="AI651" s="108">
        <f>ABS(AU$1-AU651)</f>
        <v/>
      </c>
      <c r="AJ651" s="108">
        <f>(AV651-Driver!$K$179)/(Driver!$L$179-Driver!$K$179)</f>
        <v/>
      </c>
      <c r="AK651" s="108">
        <f>(AW651-Driver!$K$180)/(Driver!$L$180-Driver!$K$180)</f>
        <v/>
      </c>
      <c r="AL651" s="108">
        <f>(AX651-Driver!$K$181)/(Driver!$L$181-Driver!$K$181)</f>
        <v/>
      </c>
      <c r="AM651" s="108">
        <f>(AY651-Driver!$K$182)/(Driver!$L$182-Driver!$K$182)</f>
        <v/>
      </c>
      <c r="AN651" s="108">
        <f>(AZ651-Driver!$K$183)/(Driver!$L$183-Driver!$K$183)</f>
        <v/>
      </c>
      <c r="AO651" s="108" t="n"/>
      <c r="AP651" s="108" t="n"/>
      <c r="AQ651" s="108">
        <f>(BC651-Driver!$K$188)/(Driver!$L$188-Driver!$K$188)</f>
        <v/>
      </c>
      <c r="AR651" s="108">
        <f>MIN((BD651-Driver!$K$189)/(Driver!$L$189-Driver!$K$189),100%)</f>
        <v/>
      </c>
      <c r="AS651" s="108">
        <f>(BE651-Driver!$K$190)/(Driver!$L$190-Driver!$K$190)</f>
        <v/>
      </c>
      <c r="AT651" s="108">
        <f>(BF651-Driver!$K$191)/(Driver!$L$191-Driver!$K$191)</f>
        <v/>
      </c>
      <c r="AU651" s="108">
        <f>(BG651-Driver!$K$192)/(Driver!$L$192-Driver!$K$192)</f>
        <v/>
      </c>
      <c r="AV651" s="105">
        <f>IFERROR(BM651*BJ651^1/4,"")</f>
        <v/>
      </c>
      <c r="AW651" s="105">
        <f>IFERROR(SUM(AX651:AZ651),"")</f>
        <v/>
      </c>
      <c r="AX651" s="105">
        <f>IFERROR(BH651,"")</f>
        <v/>
      </c>
      <c r="AY651" s="105">
        <f>IFERROR(Driver!$K$19/Data!BH651/Data!BI651*Data!BK651*Data!BL651,"")</f>
        <v/>
      </c>
      <c r="AZ651" s="105">
        <f>IFERROR(BI651*BN651,"")</f>
        <v/>
      </c>
      <c r="BA651" s="105" t="n"/>
      <c r="BB651" s="105" t="n"/>
      <c r="BC651" s="105">
        <f>IFERROR(BI651*BN651*BK651/BJ651^(1/2),"")</f>
        <v/>
      </c>
      <c r="BD651" s="105">
        <f>IFERROR(BH651*BM651*BL651/BJ651/BK651,"")</f>
        <v/>
      </c>
      <c r="BE651" s="105">
        <f>IFERROR(MIN(BI651/BQ651/BP651/BO651/BH651,$BE$1),"")</f>
        <v/>
      </c>
      <c r="BF651" s="105">
        <f>IFERROR(BJ651*BO651*BP651/BK651,"")</f>
        <v/>
      </c>
      <c r="BG651" s="105">
        <f>IFERROR(1/BM651/BH651*BQ651,"")</f>
        <v/>
      </c>
      <c r="BH651" s="102">
        <f>MAX((CE651-Driver!$F$200)/(Driver!$G$200-Driver!$F$200)*$BI$1,1)</f>
        <v/>
      </c>
      <c r="BI651" s="102">
        <f>MAX($BI$1*(BY651-Driver!$F$201)/(Driver!$G$201-Driver!$F$201),1)</f>
        <v/>
      </c>
      <c r="BJ651" s="102">
        <f>(CB651-Driver!$F$206)/(Driver!$G$206-Driver!$F$206)*$BI$1</f>
        <v/>
      </c>
      <c r="BK651" s="102">
        <f>(CD651-Driver!$F$203)/(Driver!$G$203-Driver!$F$203)*$BI$1</f>
        <v/>
      </c>
      <c r="BL651" s="102">
        <f>MAX((CR651-Driver!$F$202)/(Driver!$G$202-Driver!$F$202)*$BI$1,1)</f>
        <v/>
      </c>
      <c r="BM651" s="102">
        <f>MAX((CH651-Driver!$F$204)/(Driver!$G$204-Driver!$F$204)*$BI$1,1)</f>
        <v/>
      </c>
      <c r="BN651" s="102">
        <f>(CI651-Driver!$F$205)/(Driver!$G$205-Driver!$F$205)*$BI$1</f>
        <v/>
      </c>
      <c r="BO651" s="102">
        <f>(CK651-Driver!$F$207)/(Driver!$G$207-Driver!$F$207)*$BI$1</f>
        <v/>
      </c>
      <c r="BP651" s="102">
        <f>(CM651-Driver!$F$208)/(Driver!$G$208-Driver!$F$208)*$BI$1</f>
        <v/>
      </c>
      <c r="BQ651" s="102">
        <f>(CL651-Driver!$F$209)/(Driver!$G$209-Driver!$F$209)*$BI$1</f>
        <v/>
      </c>
      <c r="BR651" s="40" t="inlineStr">
        <is>
          <t>21/22</t>
        </is>
      </c>
      <c r="BS651" s="10" t="inlineStr">
        <is>
          <t xml:space="preserve"> Rossignol</t>
        </is>
      </c>
      <c r="BT651" s="11" t="inlineStr">
        <is>
          <t>Experience 76</t>
        </is>
      </c>
      <c r="BU651" s="13" t="n">
        <v>168</v>
      </c>
      <c r="BV651" s="11" t="inlineStr">
        <is>
          <t xml:space="preserve"> Unisex</t>
        </is>
      </c>
      <c r="BW651" s="13" t="n">
        <v>168</v>
      </c>
      <c r="BX651" s="13" t="n">
        <v>168.6</v>
      </c>
      <c r="BY651" s="13" t="n">
        <v>148</v>
      </c>
      <c r="BZ651" s="13" t="n">
        <v>154</v>
      </c>
      <c r="CA651" s="13" t="n">
        <v>123</v>
      </c>
      <c r="CB651" s="13" t="n">
        <v>76</v>
      </c>
      <c r="CC651" s="13" t="n">
        <v>109</v>
      </c>
      <c r="CD651" s="13" t="n">
        <v>14.3</v>
      </c>
      <c r="CE651" s="13" t="n">
        <v>1613</v>
      </c>
      <c r="CF651" s="13" t="n">
        <v>0.95</v>
      </c>
      <c r="CG651" s="13" t="n">
        <v>1537</v>
      </c>
      <c r="CH651" s="13" t="n">
        <v>153</v>
      </c>
      <c r="CI651" s="13" t="n">
        <v>57</v>
      </c>
      <c r="CJ651" s="13" t="n">
        <v>35</v>
      </c>
      <c r="CK651" s="13" t="n">
        <v>143</v>
      </c>
      <c r="CL651" s="13" t="n">
        <v>5</v>
      </c>
      <c r="CM651" s="13" t="n">
        <v>68</v>
      </c>
      <c r="CN651" s="13" t="n">
        <v>0.155</v>
      </c>
      <c r="CO651" s="13" t="n">
        <v>69</v>
      </c>
      <c r="CP651" s="13" t="n">
        <v>82</v>
      </c>
      <c r="CQ651" s="13" t="n">
        <v>74</v>
      </c>
      <c r="CR651" s="13" t="n">
        <v>14</v>
      </c>
      <c r="CS651" s="13" t="n">
        <v>8.699999999999999</v>
      </c>
      <c r="CT651" s="11" t="inlineStr">
        <is>
          <t xml:space="preserve"> On-Piste Carving</t>
        </is>
      </c>
      <c r="CU651" s="13" t="n"/>
      <c r="CV651" s="13" t="n"/>
      <c r="CW651" s="13" t="n"/>
      <c r="CX651">
        <f>INDEX('Data_Price '!AG$2:AG$1266,MATCH(Data!$DN651,'Data_Price '!$AT$2:$AT$1266,0))</f>
        <v/>
      </c>
      <c r="CY651">
        <f>INDEX('Data_Price '!AH$2:AH$1266,MATCH(Data!$DN651,'Data_Price '!$AT$2:$AT$1266,0))</f>
        <v/>
      </c>
      <c r="CZ651">
        <f>INDEX('Data_Price '!AI$2:AI$1266,MATCH(Data!$DN651,'Data_Price '!$AT$2:$AT$1266,0))</f>
        <v/>
      </c>
      <c r="DA651">
        <f>INDEX('Data_Price '!AJ$2:AJ$1266,MATCH(Data!$DN651,'Data_Price '!$AT$2:$AT$1266,0))</f>
        <v/>
      </c>
      <c r="DB651">
        <f>INDEX('Data_Price '!AK$2:AK$1266,MATCH(Data!$DN651,'Data_Price '!$AT$2:$AT$1266,0))</f>
        <v/>
      </c>
      <c r="DC651">
        <f>INDEX('Data_Price '!AL$2:AL$1266,MATCH(Data!$DN651,'Data_Price '!$AT$2:$AT$1266,0))</f>
        <v/>
      </c>
      <c r="DD651">
        <f>INDEX('Data_Price '!AM$2:AM$1266,MATCH(Data!$DN651,'Data_Price '!$AT$2:$AT$1266,0))</f>
        <v/>
      </c>
      <c r="DE651">
        <f>INDEX('Data_Price '!AN$2:AN$1266,MATCH(Data!$DN651,'Data_Price '!$AT$2:$AT$1266,0))</f>
        <v/>
      </c>
      <c r="DF651">
        <f>INDEX('Data_Price '!AO$2:AO$1266,MATCH(Data!$DN651,'Data_Price '!$AT$2:$AT$1266,0))</f>
        <v/>
      </c>
      <c r="DG651">
        <f>INDEX('Data_Price '!AP$2:AP$1266,MATCH(Data!$DN651,'Data_Price '!$AT$2:$AT$1266,0))</f>
        <v/>
      </c>
      <c r="DH651">
        <f>INDEX('Data_Price '!AQ$2:AQ$1266,MATCH(Data!$DN651,'Data_Price '!$AT$2:$AT$1266,0))</f>
        <v/>
      </c>
      <c r="DI651">
        <f>INDEX('Data_Price '!AR$2:AR$1266,MATCH(Data!$DN651,'Data_Price '!$AT$2:$AT$1266,0))</f>
        <v/>
      </c>
      <c r="DJ651" s="138">
        <f>DA651</f>
        <v/>
      </c>
      <c r="DK651" s="138">
        <f>DE651</f>
        <v/>
      </c>
      <c r="DL651" s="138">
        <f>DI651</f>
        <v/>
      </c>
      <c r="DM651" s="303">
        <f>IF(LEFT(BT651,1)=" ",RIGHT(BT651,LEN(BT651)-1),BT651)</f>
        <v/>
      </c>
      <c r="DN651" s="138">
        <f>_xlfn.CONCAT(BS651,DM651,BU651,BV651)</f>
        <v/>
      </c>
      <c r="DO651" s="307" t="inlineStr">
        <is>
          <t>https://images.evo.com/imgp/250/201408/832772/clone.jpg</t>
        </is>
      </c>
    </row>
    <row r="652" ht="15.6" customHeight="1" s="184">
      <c r="B652" s="303">
        <f t="array" ref="B652">IF(OR(ISERROR(K652:P652)),FALSE,TRUE)</f>
        <v/>
      </c>
      <c r="C652" s="60">
        <f>OR(BR652=Driver!$G$50,Data!BR1014=Driver!$H$50)</f>
        <v/>
      </c>
      <c r="D652" s="60">
        <f>OR(BV652=Driver!$G$51,BV652=Driver!$H$51)</f>
        <v/>
      </c>
      <c r="E652" s="60">
        <f>AND(BX652&gt;Driver!$F$54,BX652&lt;Driver!$G$54)</f>
        <v/>
      </c>
      <c r="F652" s="60">
        <f>CL652&gt;Driver!$F$56</f>
        <v/>
      </c>
      <c r="G652" s="60">
        <f>AND(CB652&gt;Driver!$F$55,CB652&lt;Driver!$G$55)</f>
        <v/>
      </c>
      <c r="H652" s="60">
        <f>AND(B652:G652)</f>
        <v/>
      </c>
      <c r="I652" s="60">
        <f>COUNTIFS($H$9:$H$1273,TRUE,$BT$9:$BT$1273,BT652)</f>
        <v/>
      </c>
      <c r="J652" s="60">
        <f t="array" ref="J652">NOT(OR(($H$9:$H$1273=TRUE)*($I$9:$I$1273&gt;0)*($BT$9:$BT$1273=BT652)*($K$9:$K$1273&gt;K652)))</f>
        <v/>
      </c>
      <c r="K652" s="108">
        <f>IFERROR(1-AVERAGE(X652:Y652),"")</f>
        <v/>
      </c>
      <c r="L652" s="108">
        <f>1-X652</f>
        <v/>
      </c>
      <c r="M652" s="108">
        <f>1-Y652</f>
        <v/>
      </c>
      <c r="N652" s="108">
        <f>1-Z652</f>
        <v/>
      </c>
      <c r="O652" s="108">
        <f>1-AA652</f>
        <v/>
      </c>
      <c r="P652" s="108">
        <f>1-AB652</f>
        <v/>
      </c>
      <c r="Q652" s="108" t="n"/>
      <c r="R652" s="108" t="n"/>
      <c r="S652" s="108">
        <f>1-AE652</f>
        <v/>
      </c>
      <c r="T652" s="108">
        <f>1-AF652</f>
        <v/>
      </c>
      <c r="U652" s="108">
        <f>1-AG652</f>
        <v/>
      </c>
      <c r="V652" s="108">
        <f>1-AH652</f>
        <v/>
      </c>
      <c r="W652" s="108">
        <f>1-AI652</f>
        <v/>
      </c>
      <c r="X652" s="108">
        <f>ABS(AJ652-AJ$1)</f>
        <v/>
      </c>
      <c r="Y652" s="108">
        <f>AVERAGE(Z652:AB652)</f>
        <v/>
      </c>
      <c r="Z652" s="108">
        <f>ABS(AL652-AL$1)</f>
        <v/>
      </c>
      <c r="AA652" s="108">
        <f>ABS(AM652-AM$1)</f>
        <v/>
      </c>
      <c r="AB652" s="108">
        <f>ABS(AN652-AN$1)</f>
        <v/>
      </c>
      <c r="AC652" s="108" t="n"/>
      <c r="AD652" s="108" t="n"/>
      <c r="AE652" s="108">
        <f>ABS(AQ$1-AQ652)</f>
        <v/>
      </c>
      <c r="AF652" s="108">
        <f>ABS(AR$1-AR652)</f>
        <v/>
      </c>
      <c r="AG652" s="108">
        <f>ABS(AS$1-AS652)</f>
        <v/>
      </c>
      <c r="AH652" s="108">
        <f>ABS(AT$1-AT652)</f>
        <v/>
      </c>
      <c r="AI652" s="108">
        <f>ABS(AU$1-AU652)</f>
        <v/>
      </c>
      <c r="AJ652" s="108">
        <f>(AV652-Driver!$K$179)/(Driver!$L$179-Driver!$K$179)</f>
        <v/>
      </c>
      <c r="AK652" s="108">
        <f>(AW652-Driver!$K$180)/(Driver!$L$180-Driver!$K$180)</f>
        <v/>
      </c>
      <c r="AL652" s="108">
        <f>(AX652-Driver!$K$181)/(Driver!$L$181-Driver!$K$181)</f>
        <v/>
      </c>
      <c r="AM652" s="108">
        <f>(AY652-Driver!$K$182)/(Driver!$L$182-Driver!$K$182)</f>
        <v/>
      </c>
      <c r="AN652" s="108">
        <f>(AZ652-Driver!$K$183)/(Driver!$L$183-Driver!$K$183)</f>
        <v/>
      </c>
      <c r="AO652" s="108" t="n"/>
      <c r="AP652" s="108" t="n"/>
      <c r="AQ652" s="108">
        <f>(BC652-Driver!$K$188)/(Driver!$L$188-Driver!$K$188)</f>
        <v/>
      </c>
      <c r="AR652" s="108">
        <f>MIN((BD652-Driver!$K$189)/(Driver!$L$189-Driver!$K$189),100%)</f>
        <v/>
      </c>
      <c r="AS652" s="108">
        <f>(BE652-Driver!$K$190)/(Driver!$L$190-Driver!$K$190)</f>
        <v/>
      </c>
      <c r="AT652" s="108">
        <f>(BF652-Driver!$K$191)/(Driver!$L$191-Driver!$K$191)</f>
        <v/>
      </c>
      <c r="AU652" s="108">
        <f>(BG652-Driver!$K$192)/(Driver!$L$192-Driver!$K$192)</f>
        <v/>
      </c>
      <c r="AV652" s="105">
        <f>IFERROR(BM652*BJ652^1/4,"")</f>
        <v/>
      </c>
      <c r="AW652" s="105">
        <f>IFERROR(SUM(AX652:AZ652),"")</f>
        <v/>
      </c>
      <c r="AX652" s="105">
        <f>IFERROR(BH652,"")</f>
        <v/>
      </c>
      <c r="AY652" s="105">
        <f>IFERROR(Driver!$K$19/Data!BH652/Data!BI652*Data!BK652*Data!BL652,"")</f>
        <v/>
      </c>
      <c r="AZ652" s="105">
        <f>IFERROR(BI652*BN652,"")</f>
        <v/>
      </c>
      <c r="BA652" s="105" t="n"/>
      <c r="BB652" s="105" t="n"/>
      <c r="BC652" s="105">
        <f>IFERROR(BI652*BN652*BK652/BJ652^(1/2),"")</f>
        <v/>
      </c>
      <c r="BD652" s="105">
        <f>IFERROR(BH652*BM652*BL652/BJ652/BK652,"")</f>
        <v/>
      </c>
      <c r="BE652" s="105">
        <f>IFERROR(MIN(BI652/BQ652/BP652/BO652/BH652,$BE$1),"")</f>
        <v/>
      </c>
      <c r="BF652" s="105">
        <f>IFERROR(BJ652*BO652*BP652/BK652,"")</f>
        <v/>
      </c>
      <c r="BG652" s="105">
        <f>IFERROR(1/BM652/BH652*BQ652,"")</f>
        <v/>
      </c>
      <c r="BH652" s="102">
        <f>MAX((CE652-Driver!$F$200)/(Driver!$G$200-Driver!$F$200)*$BI$1,1)</f>
        <v/>
      </c>
      <c r="BI652" s="102">
        <f>MAX($BI$1*(BY652-Driver!$F$201)/(Driver!$G$201-Driver!$F$201),1)</f>
        <v/>
      </c>
      <c r="BJ652" s="102">
        <f>(CB652-Driver!$F$206)/(Driver!$G$206-Driver!$F$206)*$BI$1</f>
        <v/>
      </c>
      <c r="BK652" s="102">
        <f>(CD652-Driver!$F$203)/(Driver!$G$203-Driver!$F$203)*$BI$1</f>
        <v/>
      </c>
      <c r="BL652" s="102">
        <f>MAX((CR652-Driver!$F$202)/(Driver!$G$202-Driver!$F$202)*$BI$1,1)</f>
        <v/>
      </c>
      <c r="BM652" s="102">
        <f>MAX((CH652-Driver!$F$204)/(Driver!$G$204-Driver!$F$204)*$BI$1,1)</f>
        <v/>
      </c>
      <c r="BN652" s="102">
        <f>(CI652-Driver!$F$205)/(Driver!$G$205-Driver!$F$205)*$BI$1</f>
        <v/>
      </c>
      <c r="BO652" s="102">
        <f>(CK652-Driver!$F$207)/(Driver!$G$207-Driver!$F$207)*$BI$1</f>
        <v/>
      </c>
      <c r="BP652" s="102">
        <f>(CM652-Driver!$F$208)/(Driver!$G$208-Driver!$F$208)*$BI$1</f>
        <v/>
      </c>
      <c r="BQ652" s="102">
        <f>(CL652-Driver!$F$209)/(Driver!$G$209-Driver!$F$209)*$BI$1</f>
        <v/>
      </c>
      <c r="BR652" s="40" t="inlineStr">
        <is>
          <t>21/22</t>
        </is>
      </c>
      <c r="BS652" s="10" t="inlineStr">
        <is>
          <t xml:space="preserve"> Rossignol</t>
        </is>
      </c>
      <c r="BT652" s="11" t="inlineStr">
        <is>
          <t>Experience 82 Ti</t>
        </is>
      </c>
      <c r="BU652" s="13" t="n">
        <v>160</v>
      </c>
      <c r="BV652" s="11" t="inlineStr">
        <is>
          <t xml:space="preserve"> Unisex</t>
        </is>
      </c>
      <c r="BW652" s="13" t="n">
        <v>160</v>
      </c>
      <c r="BX652" s="13" t="n">
        <v>158.4</v>
      </c>
      <c r="BY652" s="13" t="n">
        <v>119</v>
      </c>
      <c r="BZ652" s="13" t="n">
        <v>144</v>
      </c>
      <c r="CA652" s="13" t="n">
        <v>125</v>
      </c>
      <c r="CB652" s="13" t="n">
        <v>79</v>
      </c>
      <c r="CC652" s="13" t="n">
        <v>113</v>
      </c>
      <c r="CD652" s="13" t="n">
        <v>12.7</v>
      </c>
      <c r="CE652" s="13" t="n">
        <v>1703</v>
      </c>
      <c r="CF652" s="13" t="n">
        <v>0.88</v>
      </c>
      <c r="CG652" s="13" t="n">
        <v>1490</v>
      </c>
      <c r="CH652" s="13" t="n">
        <v>167</v>
      </c>
      <c r="CI652" s="13" t="n">
        <v>88</v>
      </c>
      <c r="CJ652" s="13" t="n">
        <v>49</v>
      </c>
      <c r="CK652" s="13" t="n">
        <v>261</v>
      </c>
      <c r="CL652" s="13" t="n">
        <v>14</v>
      </c>
      <c r="CM652" s="13" t="n">
        <v>136</v>
      </c>
      <c r="CN652" s="13" t="n">
        <v>0.291</v>
      </c>
      <c r="CO652" s="13" t="n">
        <v>80</v>
      </c>
      <c r="CP652" s="13" t="n">
        <v>63</v>
      </c>
      <c r="CQ652" s="13" t="n">
        <v>182</v>
      </c>
      <c r="CR652" s="13" t="n">
        <v>7</v>
      </c>
      <c r="CS652" s="13" t="n">
        <v>7</v>
      </c>
      <c r="CT652" s="11" t="inlineStr">
        <is>
          <t xml:space="preserve"> Other</t>
        </is>
      </c>
      <c r="CU652" s="13" t="n"/>
      <c r="CV652" s="13" t="n"/>
      <c r="CW652" s="13" t="n"/>
      <c r="CX652">
        <f>INDEX('Data_Price '!AG$2:AG$1266,MATCH(Data!$DN652,'Data_Price '!$AT$2:$AT$1266,0))</f>
        <v/>
      </c>
      <c r="CY652">
        <f>INDEX('Data_Price '!AH$2:AH$1266,MATCH(Data!$DN652,'Data_Price '!$AT$2:$AT$1266,0))</f>
        <v/>
      </c>
      <c r="CZ652">
        <f>INDEX('Data_Price '!AI$2:AI$1266,MATCH(Data!$DN652,'Data_Price '!$AT$2:$AT$1266,0))</f>
        <v/>
      </c>
      <c r="DA652">
        <f>INDEX('Data_Price '!AJ$2:AJ$1266,MATCH(Data!$DN652,'Data_Price '!$AT$2:$AT$1266,0))</f>
        <v/>
      </c>
      <c r="DB652">
        <f>INDEX('Data_Price '!AK$2:AK$1266,MATCH(Data!$DN652,'Data_Price '!$AT$2:$AT$1266,0))</f>
        <v/>
      </c>
      <c r="DC652">
        <f>INDEX('Data_Price '!AL$2:AL$1266,MATCH(Data!$DN652,'Data_Price '!$AT$2:$AT$1266,0))</f>
        <v/>
      </c>
      <c r="DD652">
        <f>INDEX('Data_Price '!AM$2:AM$1266,MATCH(Data!$DN652,'Data_Price '!$AT$2:$AT$1266,0))</f>
        <v/>
      </c>
      <c r="DE652">
        <f>INDEX('Data_Price '!AN$2:AN$1266,MATCH(Data!$DN652,'Data_Price '!$AT$2:$AT$1266,0))</f>
        <v/>
      </c>
      <c r="DF652">
        <f>INDEX('Data_Price '!AO$2:AO$1266,MATCH(Data!$DN652,'Data_Price '!$AT$2:$AT$1266,0))</f>
        <v/>
      </c>
      <c r="DG652">
        <f>INDEX('Data_Price '!AP$2:AP$1266,MATCH(Data!$DN652,'Data_Price '!$AT$2:$AT$1266,0))</f>
        <v/>
      </c>
      <c r="DH652">
        <f>INDEX('Data_Price '!AQ$2:AQ$1266,MATCH(Data!$DN652,'Data_Price '!$AT$2:$AT$1266,0))</f>
        <v/>
      </c>
      <c r="DI652">
        <f>INDEX('Data_Price '!AR$2:AR$1266,MATCH(Data!$DN652,'Data_Price '!$AT$2:$AT$1266,0))</f>
        <v/>
      </c>
      <c r="DJ652" s="138">
        <f>DA652</f>
        <v/>
      </c>
      <c r="DK652" s="138">
        <f>DE652</f>
        <v/>
      </c>
      <c r="DL652" s="138">
        <f>DI652</f>
        <v/>
      </c>
      <c r="DM652" s="303">
        <f>IF(LEFT(BT652,1)=" ",RIGHT(BT652,LEN(BT652)-1),BT652)</f>
        <v/>
      </c>
      <c r="DN652" s="138">
        <f>_xlfn.CONCAT(BS652,DM652,BU652,BV652)</f>
        <v/>
      </c>
      <c r="DO652" s="307" t="n"/>
    </row>
    <row r="653" ht="15.6" customHeight="1" s="184">
      <c r="B653" s="303">
        <f t="array" ref="B653">IF(OR(ISERROR(K653:P653)),FALSE,TRUE)</f>
        <v/>
      </c>
      <c r="C653" s="60">
        <f>OR(BR653=Driver!$G$50,Data!BR507=Driver!$H$50)</f>
        <v/>
      </c>
      <c r="D653" s="60">
        <f>OR(BV653=Driver!$G$51,BV653=Driver!$H$51)</f>
        <v/>
      </c>
      <c r="E653" s="60">
        <f>AND(BX653&gt;Driver!$F$54,BX653&lt;Driver!$G$54)</f>
        <v/>
      </c>
      <c r="F653" s="60">
        <f>CL653&gt;Driver!$F$56</f>
        <v/>
      </c>
      <c r="G653" s="60">
        <f>AND(CB653&gt;Driver!$F$55,CB653&lt;Driver!$G$55)</f>
        <v/>
      </c>
      <c r="H653" s="60">
        <f>AND(B653:G653)</f>
        <v/>
      </c>
      <c r="I653" s="60">
        <f>COUNTIFS($H$9:$H$1273,TRUE,$BT$9:$BT$1273,BT653)</f>
        <v/>
      </c>
      <c r="J653" s="60">
        <f t="array" ref="J653">NOT(OR(($H$9:$H$1273=TRUE)*($I$9:$I$1273&gt;0)*($BT$9:$BT$1273=BT653)*($K$9:$K$1273&gt;K653)))</f>
        <v/>
      </c>
      <c r="K653" s="108">
        <f>IFERROR(1-AVERAGE(X653:Y653),"")</f>
        <v/>
      </c>
      <c r="L653" s="108">
        <f>1-X653</f>
        <v/>
      </c>
      <c r="M653" s="108">
        <f>1-Y653</f>
        <v/>
      </c>
      <c r="N653" s="108">
        <f>1-Z653</f>
        <v/>
      </c>
      <c r="O653" s="108">
        <f>1-AA653</f>
        <v/>
      </c>
      <c r="P653" s="108">
        <f>1-AB653</f>
        <v/>
      </c>
      <c r="Q653" s="108" t="n"/>
      <c r="R653" s="108" t="n"/>
      <c r="S653" s="108">
        <f>1-AE653</f>
        <v/>
      </c>
      <c r="T653" s="108">
        <f>1-AF653</f>
        <v/>
      </c>
      <c r="U653" s="108">
        <f>1-AG653</f>
        <v/>
      </c>
      <c r="V653" s="108">
        <f>1-AH653</f>
        <v/>
      </c>
      <c r="W653" s="108">
        <f>1-AI653</f>
        <v/>
      </c>
      <c r="X653" s="108">
        <f>ABS(AJ653-AJ$1)</f>
        <v/>
      </c>
      <c r="Y653" s="108">
        <f>AVERAGE(Z653:AB653)</f>
        <v/>
      </c>
      <c r="Z653" s="108">
        <f>ABS(AL653-AL$1)</f>
        <v/>
      </c>
      <c r="AA653" s="108">
        <f>ABS(AM653-AM$1)</f>
        <v/>
      </c>
      <c r="AB653" s="108">
        <f>ABS(AN653-AN$1)</f>
        <v/>
      </c>
      <c r="AC653" s="108" t="n"/>
      <c r="AD653" s="108" t="n"/>
      <c r="AE653" s="108">
        <f>ABS(AQ$1-AQ653)</f>
        <v/>
      </c>
      <c r="AF653" s="108">
        <f>ABS(AR$1-AR653)</f>
        <v/>
      </c>
      <c r="AG653" s="108">
        <f>ABS(AS$1-AS653)</f>
        <v/>
      </c>
      <c r="AH653" s="108">
        <f>ABS(AT$1-AT653)</f>
        <v/>
      </c>
      <c r="AI653" s="108">
        <f>ABS(AU$1-AU653)</f>
        <v/>
      </c>
      <c r="AJ653" s="108">
        <f>(AV653-Driver!$K$179)/(Driver!$L$179-Driver!$K$179)</f>
        <v/>
      </c>
      <c r="AK653" s="108">
        <f>(AW653-Driver!$K$180)/(Driver!$L$180-Driver!$K$180)</f>
        <v/>
      </c>
      <c r="AL653" s="108">
        <f>(AX653-Driver!$K$181)/(Driver!$L$181-Driver!$K$181)</f>
        <v/>
      </c>
      <c r="AM653" s="108">
        <f>(AY653-Driver!$K$182)/(Driver!$L$182-Driver!$K$182)</f>
        <v/>
      </c>
      <c r="AN653" s="108">
        <f>(AZ653-Driver!$K$183)/(Driver!$L$183-Driver!$K$183)</f>
        <v/>
      </c>
      <c r="AO653" s="108" t="n"/>
      <c r="AP653" s="108" t="n"/>
      <c r="AQ653" s="108">
        <f>(BC653-Driver!$K$188)/(Driver!$L$188-Driver!$K$188)</f>
        <v/>
      </c>
      <c r="AR653" s="108">
        <f>MIN((BD653-Driver!$K$189)/(Driver!$L$189-Driver!$K$189),100%)</f>
        <v/>
      </c>
      <c r="AS653" s="108">
        <f>(BE653-Driver!$K$190)/(Driver!$L$190-Driver!$K$190)</f>
        <v/>
      </c>
      <c r="AT653" s="108">
        <f>(BF653-Driver!$K$191)/(Driver!$L$191-Driver!$K$191)</f>
        <v/>
      </c>
      <c r="AU653" s="108">
        <f>(BG653-Driver!$K$192)/(Driver!$L$192-Driver!$K$192)</f>
        <v/>
      </c>
      <c r="AV653" s="105">
        <f>IFERROR(BM653*BJ653^1/4,"")</f>
        <v/>
      </c>
      <c r="AW653" s="105">
        <f>IFERROR(SUM(AX653:AZ653),"")</f>
        <v/>
      </c>
      <c r="AX653" s="105">
        <f>IFERROR(BH653,"")</f>
        <v/>
      </c>
      <c r="AY653" s="105">
        <f>IFERROR(Driver!$K$19/Data!BH653/Data!BI653*Data!BK653*Data!BL653,"")</f>
        <v/>
      </c>
      <c r="AZ653" s="105">
        <f>IFERROR(BI653*BN653,"")</f>
        <v/>
      </c>
      <c r="BA653" s="105" t="n"/>
      <c r="BB653" s="105" t="n"/>
      <c r="BC653" s="105">
        <f>IFERROR(BI653*BN653*BK653/BJ653^(1/2),"")</f>
        <v/>
      </c>
      <c r="BD653" s="105">
        <f>IFERROR(BH653*BM653*BL653/BJ653/BK653,"")</f>
        <v/>
      </c>
      <c r="BE653" s="105">
        <f>IFERROR(MIN(BI653/BQ653/BP653/BO653/BH653,$BE$1),"")</f>
        <v/>
      </c>
      <c r="BF653" s="105">
        <f>IFERROR(BJ653*BO653*BP653/BK653,"")</f>
        <v/>
      </c>
      <c r="BG653" s="105">
        <f>IFERROR(1/BM653/BH653*BQ653,"")</f>
        <v/>
      </c>
      <c r="BH653" s="102">
        <f>MAX((CE653-Driver!$F$200)/(Driver!$G$200-Driver!$F$200)*$BI$1,1)</f>
        <v/>
      </c>
      <c r="BI653" s="102">
        <f>MAX($BI$1*(BY653-Driver!$F$201)/(Driver!$G$201-Driver!$F$201),1)</f>
        <v/>
      </c>
      <c r="BJ653" s="102">
        <f>(CB653-Driver!$F$206)/(Driver!$G$206-Driver!$F$206)*$BI$1</f>
        <v/>
      </c>
      <c r="BK653" s="102">
        <f>(CD653-Driver!$F$203)/(Driver!$G$203-Driver!$F$203)*$BI$1</f>
        <v/>
      </c>
      <c r="BL653" s="102">
        <f>MAX((CR653-Driver!$F$202)/(Driver!$G$202-Driver!$F$202)*$BI$1,1)</f>
        <v/>
      </c>
      <c r="BM653" s="102">
        <f>MAX((CH653-Driver!$F$204)/(Driver!$G$204-Driver!$F$204)*$BI$1,1)</f>
        <v/>
      </c>
      <c r="BN653" s="102">
        <f>(CI653-Driver!$F$205)/(Driver!$G$205-Driver!$F$205)*$BI$1</f>
        <v/>
      </c>
      <c r="BO653" s="102">
        <f>(CK653-Driver!$F$207)/(Driver!$G$207-Driver!$F$207)*$BI$1</f>
        <v/>
      </c>
      <c r="BP653" s="102">
        <f>(CM653-Driver!$F$208)/(Driver!$G$208-Driver!$F$208)*$BI$1</f>
        <v/>
      </c>
      <c r="BQ653" s="102">
        <f>(CL653-Driver!$F$209)/(Driver!$G$209-Driver!$F$209)*$BI$1</f>
        <v/>
      </c>
      <c r="BR653" s="40" t="inlineStr">
        <is>
          <t>21/22</t>
        </is>
      </c>
      <c r="BS653" s="10" t="inlineStr">
        <is>
          <t xml:space="preserve"> Faction</t>
        </is>
      </c>
      <c r="BT653" s="11" t="inlineStr">
        <is>
          <t>CT 3.0</t>
        </is>
      </c>
      <c r="BU653" s="13" t="n">
        <v>184</v>
      </c>
      <c r="BV653" s="11" t="inlineStr">
        <is>
          <t xml:space="preserve"> Unisex</t>
        </is>
      </c>
      <c r="BW653" s="13" t="n">
        <v>184</v>
      </c>
      <c r="BX653" s="13" t="n">
        <v>182.3</v>
      </c>
      <c r="BY653" s="13" t="n">
        <v>113</v>
      </c>
      <c r="BZ653" s="13" t="n">
        <v>153</v>
      </c>
      <c r="CA653" s="13" t="n">
        <v>139</v>
      </c>
      <c r="CB653" s="13" t="n">
        <v>111</v>
      </c>
      <c r="CC653" s="13" t="n">
        <v>133</v>
      </c>
      <c r="CD653" s="13" t="n">
        <v>21.9</v>
      </c>
      <c r="CE653" s="13" t="n">
        <v>2007</v>
      </c>
      <c r="CF653" s="13" t="n">
        <v>1.09</v>
      </c>
      <c r="CG653" s="13" t="n">
        <v>2189</v>
      </c>
      <c r="CH653" s="13" t="n">
        <v>237</v>
      </c>
      <c r="CI653" s="13" t="n">
        <v>115</v>
      </c>
      <c r="CJ653" s="13" t="n">
        <v>57</v>
      </c>
      <c r="CK653" s="13" t="n">
        <v>370</v>
      </c>
      <c r="CL653" s="13" t="n">
        <v>52</v>
      </c>
      <c r="CM653" s="13" t="n">
        <v>325</v>
      </c>
      <c r="CN653" s="13" t="n">
        <v>0.922</v>
      </c>
      <c r="CO653" s="13" t="n">
        <v>158</v>
      </c>
      <c r="CP653" s="13" t="n">
        <v>132</v>
      </c>
      <c r="CQ653" s="13" t="n">
        <v>212</v>
      </c>
      <c r="CR653" s="13" t="n">
        <v>5</v>
      </c>
      <c r="CS653" s="13" t="n">
        <v>6.1</v>
      </c>
      <c r="CT653" s="11" t="inlineStr">
        <is>
          <t xml:space="preserve"> Freeski</t>
        </is>
      </c>
      <c r="CU653" s="11" t="inlineStr">
        <is>
          <t xml:space="preserve"> Powder</t>
        </is>
      </c>
      <c r="CV653" s="11" t="inlineStr">
        <is>
          <t xml:space="preserve"> Touring</t>
        </is>
      </c>
      <c r="CW653" s="13" t="n"/>
      <c r="CX653">
        <f>INDEX('Data_Price '!AG$2:AG$1266,MATCH(Data!$DN653,'Data_Price '!$AT$2:$AT$1266,0))</f>
        <v/>
      </c>
      <c r="CY653">
        <f>INDEX('Data_Price '!AH$2:AH$1266,MATCH(Data!$DN653,'Data_Price '!$AT$2:$AT$1266,0))</f>
        <v/>
      </c>
      <c r="CZ653">
        <f>INDEX('Data_Price '!AI$2:AI$1266,MATCH(Data!$DN653,'Data_Price '!$AT$2:$AT$1266,0))</f>
        <v/>
      </c>
      <c r="DA653">
        <f>INDEX('Data_Price '!AJ$2:AJ$1266,MATCH(Data!$DN653,'Data_Price '!$AT$2:$AT$1266,0))</f>
        <v/>
      </c>
      <c r="DB653">
        <f>INDEX('Data_Price '!AK$2:AK$1266,MATCH(Data!$DN653,'Data_Price '!$AT$2:$AT$1266,0))</f>
        <v/>
      </c>
      <c r="DC653">
        <f>INDEX('Data_Price '!AL$2:AL$1266,MATCH(Data!$DN653,'Data_Price '!$AT$2:$AT$1266,0))</f>
        <v/>
      </c>
      <c r="DD653">
        <f>INDEX('Data_Price '!AM$2:AM$1266,MATCH(Data!$DN653,'Data_Price '!$AT$2:$AT$1266,0))</f>
        <v/>
      </c>
      <c r="DE653">
        <f>INDEX('Data_Price '!AN$2:AN$1266,MATCH(Data!$DN653,'Data_Price '!$AT$2:$AT$1266,0))</f>
        <v/>
      </c>
      <c r="DF653">
        <f>INDEX('Data_Price '!AO$2:AO$1266,MATCH(Data!$DN653,'Data_Price '!$AT$2:$AT$1266,0))</f>
        <v/>
      </c>
      <c r="DG653">
        <f>INDEX('Data_Price '!AP$2:AP$1266,MATCH(Data!$DN653,'Data_Price '!$AT$2:$AT$1266,0))</f>
        <v/>
      </c>
      <c r="DH653">
        <f>INDEX('Data_Price '!AQ$2:AQ$1266,MATCH(Data!$DN653,'Data_Price '!$AT$2:$AT$1266,0))</f>
        <v/>
      </c>
      <c r="DI653">
        <f>INDEX('Data_Price '!AR$2:AR$1266,MATCH(Data!$DN653,'Data_Price '!$AT$2:$AT$1266,0))</f>
        <v/>
      </c>
      <c r="DJ653" s="138">
        <f>DA653</f>
        <v/>
      </c>
      <c r="DK653" s="138">
        <f>DE653</f>
        <v/>
      </c>
      <c r="DL653" s="138">
        <f>DI653</f>
        <v/>
      </c>
      <c r="DM653" s="303">
        <f>IF(LEFT(BT653,1)=" ",RIGHT(BT653,LEN(BT653)-1),BT653)</f>
        <v/>
      </c>
      <c r="DN653" s="138">
        <f>_xlfn.CONCAT(BS653,DM653,BU653,BV653)</f>
        <v/>
      </c>
      <c r="DO653" s="307" t="inlineStr">
        <is>
          <t>https://images.evo.com/imgp/250/208623/839897/clone.jpg</t>
        </is>
      </c>
    </row>
    <row r="654" ht="15.6" customHeight="1" s="184">
      <c r="B654" s="303">
        <f t="array" ref="B654">IF(OR(ISERROR(K654:P654)),FALSE,TRUE)</f>
        <v/>
      </c>
      <c r="C654" s="60">
        <f>OR(BR654=Driver!$G$50,Data!BR1240=Driver!$H$50)</f>
        <v/>
      </c>
      <c r="D654" s="60">
        <f>OR(BV654=Driver!$G$51,BV654=Driver!$H$51)</f>
        <v/>
      </c>
      <c r="E654" s="60">
        <f>AND(BX654&gt;Driver!$F$54,BX654&lt;Driver!$G$54)</f>
        <v/>
      </c>
      <c r="F654" s="60">
        <f>CL654&gt;Driver!$F$56</f>
        <v/>
      </c>
      <c r="G654" s="60">
        <f>AND(CB654&gt;Driver!$F$55,CB654&lt;Driver!$G$55)</f>
        <v/>
      </c>
      <c r="H654" s="60">
        <f>AND(B654:G654)</f>
        <v/>
      </c>
      <c r="I654" s="60">
        <f>COUNTIFS($H$9:$H$1273,TRUE,$BT$9:$BT$1273,BT654)</f>
        <v/>
      </c>
      <c r="J654" s="60">
        <f t="array" ref="J654">NOT(OR(($H$9:$H$1273=TRUE)*($I$9:$I$1273&gt;0)*($BT$9:$BT$1273=BT654)*($K$9:$K$1273&gt;K654)))</f>
        <v/>
      </c>
      <c r="K654" s="108">
        <f>IFERROR(1-AVERAGE(X654:Y654),"")</f>
        <v/>
      </c>
      <c r="L654" s="108">
        <f>1-X654</f>
        <v/>
      </c>
      <c r="M654" s="108">
        <f>1-Y654</f>
        <v/>
      </c>
      <c r="N654" s="108">
        <f>1-Z654</f>
        <v/>
      </c>
      <c r="O654" s="108">
        <f>1-AA654</f>
        <v/>
      </c>
      <c r="P654" s="108">
        <f>1-AB654</f>
        <v/>
      </c>
      <c r="Q654" s="108" t="n"/>
      <c r="R654" s="108" t="n"/>
      <c r="S654" s="108">
        <f>1-AE654</f>
        <v/>
      </c>
      <c r="T654" s="108">
        <f>1-AF654</f>
        <v/>
      </c>
      <c r="U654" s="108">
        <f>1-AG654</f>
        <v/>
      </c>
      <c r="V654" s="108">
        <f>1-AH654</f>
        <v/>
      </c>
      <c r="W654" s="108">
        <f>1-AI654</f>
        <v/>
      </c>
      <c r="X654" s="108">
        <f>ABS(AJ654-AJ$1)</f>
        <v/>
      </c>
      <c r="Y654" s="108">
        <f>AVERAGE(Z654:AB654)</f>
        <v/>
      </c>
      <c r="Z654" s="108">
        <f>ABS(AL654-AL$1)</f>
        <v/>
      </c>
      <c r="AA654" s="108">
        <f>ABS(AM654-AM$1)</f>
        <v/>
      </c>
      <c r="AB654" s="108">
        <f>ABS(AN654-AN$1)</f>
        <v/>
      </c>
      <c r="AC654" s="108" t="n"/>
      <c r="AD654" s="108" t="n"/>
      <c r="AE654" s="108">
        <f>ABS(AQ$1-AQ654)</f>
        <v/>
      </c>
      <c r="AF654" s="108">
        <f>ABS(AR$1-AR654)</f>
        <v/>
      </c>
      <c r="AG654" s="108">
        <f>ABS(AS$1-AS654)</f>
        <v/>
      </c>
      <c r="AH654" s="108">
        <f>ABS(AT$1-AT654)</f>
        <v/>
      </c>
      <c r="AI654" s="108">
        <f>ABS(AU$1-AU654)</f>
        <v/>
      </c>
      <c r="AJ654" s="108">
        <f>(AV654-Driver!$K$179)/(Driver!$L$179-Driver!$K$179)</f>
        <v/>
      </c>
      <c r="AK654" s="108">
        <f>(AW654-Driver!$K$180)/(Driver!$L$180-Driver!$K$180)</f>
        <v/>
      </c>
      <c r="AL654" s="108">
        <f>(AX654-Driver!$K$181)/(Driver!$L$181-Driver!$K$181)</f>
        <v/>
      </c>
      <c r="AM654" s="108">
        <f>(AY654-Driver!$K$182)/(Driver!$L$182-Driver!$K$182)</f>
        <v/>
      </c>
      <c r="AN654" s="108">
        <f>(AZ654-Driver!$K$183)/(Driver!$L$183-Driver!$K$183)</f>
        <v/>
      </c>
      <c r="AO654" s="108" t="n"/>
      <c r="AP654" s="108" t="n"/>
      <c r="AQ654" s="108">
        <f>(BC654-Driver!$K$188)/(Driver!$L$188-Driver!$K$188)</f>
        <v/>
      </c>
      <c r="AR654" s="108">
        <f>MIN((BD654-Driver!$K$189)/(Driver!$L$189-Driver!$K$189),100%)</f>
        <v/>
      </c>
      <c r="AS654" s="108">
        <f>(BE654-Driver!$K$190)/(Driver!$L$190-Driver!$K$190)</f>
        <v/>
      </c>
      <c r="AT654" s="108">
        <f>(BF654-Driver!$K$191)/(Driver!$L$191-Driver!$K$191)</f>
        <v/>
      </c>
      <c r="AU654" s="108">
        <f>(BG654-Driver!$K$192)/(Driver!$L$192-Driver!$K$192)</f>
        <v/>
      </c>
      <c r="AV654" s="105">
        <f>IFERROR(BM654*BJ654^1/4,"")</f>
        <v/>
      </c>
      <c r="AW654" s="105">
        <f>IFERROR(SUM(AX654:AZ654),"")</f>
        <v/>
      </c>
      <c r="AX654" s="105">
        <f>IFERROR(BH654,"")</f>
        <v/>
      </c>
      <c r="AY654" s="105">
        <f>IFERROR(Driver!$K$19/Data!BH654/Data!BI654*Data!BK654*Data!BL654,"")</f>
        <v/>
      </c>
      <c r="AZ654" s="105">
        <f>IFERROR(BI654*BN654,"")</f>
        <v/>
      </c>
      <c r="BA654" s="105" t="n"/>
      <c r="BB654" s="105" t="n"/>
      <c r="BC654" s="105">
        <f>IFERROR(BI654*BN654*BK654/BJ654^(1/2),"")</f>
        <v/>
      </c>
      <c r="BD654" s="105">
        <f>IFERROR(BH654*BM654*BL654/BJ654/BK654,"")</f>
        <v/>
      </c>
      <c r="BE654" s="105">
        <f>IFERROR(MIN(BI654/BQ654/BP654/BO654/BH654,$BE$1),"")</f>
        <v/>
      </c>
      <c r="BF654" s="105">
        <f>IFERROR(BJ654*BO654*BP654/BK654,"")</f>
        <v/>
      </c>
      <c r="BG654" s="105">
        <f>IFERROR(1/BM654/BH654*BQ654,"")</f>
        <v/>
      </c>
      <c r="BH654" s="102">
        <f>MAX((CE654-Driver!$F$200)/(Driver!$G$200-Driver!$F$200)*$BI$1,1)</f>
        <v/>
      </c>
      <c r="BI654" s="102">
        <f>MAX($BI$1*(BY654-Driver!$F$201)/(Driver!$G$201-Driver!$F$201),1)</f>
        <v/>
      </c>
      <c r="BJ654" s="102">
        <f>(CB654-Driver!$F$206)/(Driver!$G$206-Driver!$F$206)*$BI$1</f>
        <v/>
      </c>
      <c r="BK654" s="102">
        <f>(CD654-Driver!$F$203)/(Driver!$G$203-Driver!$F$203)*$BI$1</f>
        <v/>
      </c>
      <c r="BL654" s="102">
        <f>MAX((CR654-Driver!$F$202)/(Driver!$G$202-Driver!$F$202)*$BI$1,1)</f>
        <v/>
      </c>
      <c r="BM654" s="102">
        <f>MAX((CH654-Driver!$F$204)/(Driver!$G$204-Driver!$F$204)*$BI$1,1)</f>
        <v/>
      </c>
      <c r="BN654" s="102">
        <f>(CI654-Driver!$F$205)/(Driver!$G$205-Driver!$F$205)*$BI$1</f>
        <v/>
      </c>
      <c r="BO654" s="102">
        <f>(CK654-Driver!$F$207)/(Driver!$G$207-Driver!$F$207)*$BI$1</f>
        <v/>
      </c>
      <c r="BP654" s="102">
        <f>(CM654-Driver!$F$208)/(Driver!$G$208-Driver!$F$208)*$BI$1</f>
        <v/>
      </c>
      <c r="BQ654" s="102">
        <f>(CL654-Driver!$F$209)/(Driver!$G$209-Driver!$F$209)*$BI$1</f>
        <v/>
      </c>
      <c r="BR654" s="40" t="inlineStr">
        <is>
          <t>21/22</t>
        </is>
      </c>
      <c r="BS654" s="10" t="inlineStr">
        <is>
          <t xml:space="preserve"> Völkl</t>
        </is>
      </c>
      <c r="BT654" s="11" t="inlineStr">
        <is>
          <t>Revolt 87</t>
        </is>
      </c>
      <c r="BU654" s="13" t="n">
        <v>177</v>
      </c>
      <c r="BV654" s="11" t="inlineStr">
        <is>
          <t xml:space="preserve"> Unisex</t>
        </is>
      </c>
      <c r="BW654" s="13" t="n">
        <v>177</v>
      </c>
      <c r="BX654" s="13" t="n">
        <v>173.4</v>
      </c>
      <c r="BY654" s="13" t="n">
        <v>139</v>
      </c>
      <c r="BZ654" s="13" t="n">
        <v>152</v>
      </c>
      <c r="CA654" s="13" t="n">
        <v>115</v>
      </c>
      <c r="CB654" s="13" t="n">
        <v>86</v>
      </c>
      <c r="CC654" s="13" t="n">
        <v>114</v>
      </c>
      <c r="CD654" s="13" t="n">
        <v>20</v>
      </c>
      <c r="CE654" s="13" t="n">
        <v>1911</v>
      </c>
      <c r="CF654" s="13" t="n">
        <v>0.87</v>
      </c>
      <c r="CG654" s="13" t="n">
        <v>1670</v>
      </c>
      <c r="CH654" s="13" t="n">
        <v>234</v>
      </c>
      <c r="CI654" s="13" t="n">
        <v>113</v>
      </c>
      <c r="CJ654" s="13" t="n">
        <v>45</v>
      </c>
      <c r="CK654" s="13" t="n">
        <v>175</v>
      </c>
      <c r="CL654" s="13" t="n">
        <v>42</v>
      </c>
      <c r="CM654" s="13" t="n">
        <v>167</v>
      </c>
      <c r="CN654" s="13" t="n">
        <v>0.9409999999999999</v>
      </c>
      <c r="CO654" s="13" t="n">
        <v>103</v>
      </c>
      <c r="CP654" s="13" t="n">
        <v>108</v>
      </c>
      <c r="CQ654" s="13" t="n">
        <v>72</v>
      </c>
      <c r="CR654" s="13" t="n">
        <v>6</v>
      </c>
      <c r="CS654" s="13" t="n">
        <v>0.5</v>
      </c>
      <c r="CT654" s="11" t="inlineStr">
        <is>
          <t xml:space="preserve"> Freeski</t>
        </is>
      </c>
      <c r="CU654" s="13" t="n"/>
      <c r="CV654" s="13" t="n"/>
      <c r="CW654" s="13" t="n"/>
      <c r="CX654">
        <f>INDEX('Data_Price '!AG$2:AG$1266,MATCH(Data!$DN654,'Data_Price '!$AT$2:$AT$1266,0))</f>
        <v/>
      </c>
      <c r="CY654">
        <f>INDEX('Data_Price '!AH$2:AH$1266,MATCH(Data!$DN654,'Data_Price '!$AT$2:$AT$1266,0))</f>
        <v/>
      </c>
      <c r="CZ654">
        <f>INDEX('Data_Price '!AI$2:AI$1266,MATCH(Data!$DN654,'Data_Price '!$AT$2:$AT$1266,0))</f>
        <v/>
      </c>
      <c r="DA654">
        <f>INDEX('Data_Price '!AJ$2:AJ$1266,MATCH(Data!$DN654,'Data_Price '!$AT$2:$AT$1266,0))</f>
        <v/>
      </c>
      <c r="DB654">
        <f>INDEX('Data_Price '!AK$2:AK$1266,MATCH(Data!$DN654,'Data_Price '!$AT$2:$AT$1266,0))</f>
        <v/>
      </c>
      <c r="DC654">
        <f>INDEX('Data_Price '!AL$2:AL$1266,MATCH(Data!$DN654,'Data_Price '!$AT$2:$AT$1266,0))</f>
        <v/>
      </c>
      <c r="DD654">
        <f>INDEX('Data_Price '!AM$2:AM$1266,MATCH(Data!$DN654,'Data_Price '!$AT$2:$AT$1266,0))</f>
        <v/>
      </c>
      <c r="DE654">
        <f>INDEX('Data_Price '!AN$2:AN$1266,MATCH(Data!$DN654,'Data_Price '!$AT$2:$AT$1266,0))</f>
        <v/>
      </c>
      <c r="DF654">
        <f>INDEX('Data_Price '!AO$2:AO$1266,MATCH(Data!$DN654,'Data_Price '!$AT$2:$AT$1266,0))</f>
        <v/>
      </c>
      <c r="DG654">
        <f>INDEX('Data_Price '!AP$2:AP$1266,MATCH(Data!$DN654,'Data_Price '!$AT$2:$AT$1266,0))</f>
        <v/>
      </c>
      <c r="DH654">
        <f>INDEX('Data_Price '!AQ$2:AQ$1266,MATCH(Data!$DN654,'Data_Price '!$AT$2:$AT$1266,0))</f>
        <v/>
      </c>
      <c r="DI654">
        <f>INDEX('Data_Price '!AR$2:AR$1266,MATCH(Data!$DN654,'Data_Price '!$AT$2:$AT$1266,0))</f>
        <v/>
      </c>
      <c r="DJ654" s="138">
        <f>DA654</f>
        <v/>
      </c>
      <c r="DK654" s="138">
        <f>DE654</f>
        <v/>
      </c>
      <c r="DL654" s="138">
        <f>DI654</f>
        <v/>
      </c>
      <c r="DM654" s="303">
        <f>IF(LEFT(BT654,1)=" ",RIGHT(BT654,LEN(BT654)-1),BT654)</f>
        <v/>
      </c>
      <c r="DN654" s="138">
        <f>_xlfn.CONCAT(BS654,DM654,BU654,BV654)</f>
        <v/>
      </c>
      <c r="DO654" s="307" t="inlineStr">
        <is>
          <t>https://images.evo.com/imgp/250/183429/726980/volkl-revolt-87-skis-2022-.jpg</t>
        </is>
      </c>
    </row>
    <row r="655" ht="15.6" customHeight="1" s="184">
      <c r="B655" s="303">
        <f t="array" ref="B655">IF(OR(ISERROR(K655:P655)),FALSE,TRUE)</f>
        <v/>
      </c>
      <c r="C655" s="60">
        <f>OR(BR655=Driver!$G$50,Data!BR439=Driver!$H$50)</f>
        <v/>
      </c>
      <c r="D655" s="60">
        <f>OR(BV655=Driver!$G$51,BV655=Driver!$H$51)</f>
        <v/>
      </c>
      <c r="E655" s="60">
        <f>AND(BX655&gt;Driver!$F$54,BX655&lt;Driver!$G$54)</f>
        <v/>
      </c>
      <c r="F655" s="60">
        <f>CL655&gt;Driver!$F$56</f>
        <v/>
      </c>
      <c r="G655" s="60">
        <f>AND(CB655&gt;Driver!$F$55,CB655&lt;Driver!$G$55)</f>
        <v/>
      </c>
      <c r="H655" s="60">
        <f>AND(B655:G655)</f>
        <v/>
      </c>
      <c r="I655" s="60">
        <f>COUNTIFS($H$9:$H$1273,TRUE,$BT$9:$BT$1273,BT655)</f>
        <v/>
      </c>
      <c r="J655" s="60">
        <f t="array" ref="J655">NOT(OR(($H$9:$H$1273=TRUE)*($I$9:$I$1273&gt;0)*($BT$9:$BT$1273=BT655)*($K$9:$K$1273&gt;K655)))</f>
        <v/>
      </c>
      <c r="K655" s="108">
        <f>IFERROR(1-AVERAGE(X655:Y655),"")</f>
        <v/>
      </c>
      <c r="L655" s="108">
        <f>1-X655</f>
        <v/>
      </c>
      <c r="M655" s="108">
        <f>1-Y655</f>
        <v/>
      </c>
      <c r="N655" s="108">
        <f>1-Z655</f>
        <v/>
      </c>
      <c r="O655" s="108">
        <f>1-AA655</f>
        <v/>
      </c>
      <c r="P655" s="108">
        <f>1-AB655</f>
        <v/>
      </c>
      <c r="Q655" s="108" t="n"/>
      <c r="R655" s="108" t="n"/>
      <c r="S655" s="108">
        <f>1-AE655</f>
        <v/>
      </c>
      <c r="T655" s="108">
        <f>1-AF655</f>
        <v/>
      </c>
      <c r="U655" s="108">
        <f>1-AG655</f>
        <v/>
      </c>
      <c r="V655" s="108">
        <f>1-AH655</f>
        <v/>
      </c>
      <c r="W655" s="108">
        <f>1-AI655</f>
        <v/>
      </c>
      <c r="X655" s="108">
        <f>ABS(AJ655-AJ$1)</f>
        <v/>
      </c>
      <c r="Y655" s="108">
        <f>AVERAGE(Z655:AB655)</f>
        <v/>
      </c>
      <c r="Z655" s="108">
        <f>ABS(AL655-AL$1)</f>
        <v/>
      </c>
      <c r="AA655" s="108">
        <f>ABS(AM655-AM$1)</f>
        <v/>
      </c>
      <c r="AB655" s="108">
        <f>ABS(AN655-AN$1)</f>
        <v/>
      </c>
      <c r="AC655" s="108" t="n"/>
      <c r="AD655" s="108" t="n"/>
      <c r="AE655" s="108">
        <f>ABS(AQ$1-AQ655)</f>
        <v/>
      </c>
      <c r="AF655" s="108">
        <f>ABS(AR$1-AR655)</f>
        <v/>
      </c>
      <c r="AG655" s="108">
        <f>ABS(AS$1-AS655)</f>
        <v/>
      </c>
      <c r="AH655" s="108">
        <f>ABS(AT$1-AT655)</f>
        <v/>
      </c>
      <c r="AI655" s="108">
        <f>ABS(AU$1-AU655)</f>
        <v/>
      </c>
      <c r="AJ655" s="108">
        <f>(AV655-Driver!$K$179)/(Driver!$L$179-Driver!$K$179)</f>
        <v/>
      </c>
      <c r="AK655" s="108">
        <f>(AW655-Driver!$K$180)/(Driver!$L$180-Driver!$K$180)</f>
        <v/>
      </c>
      <c r="AL655" s="108">
        <f>(AX655-Driver!$K$181)/(Driver!$L$181-Driver!$K$181)</f>
        <v/>
      </c>
      <c r="AM655" s="108">
        <f>(AY655-Driver!$K$182)/(Driver!$L$182-Driver!$K$182)</f>
        <v/>
      </c>
      <c r="AN655" s="108">
        <f>(AZ655-Driver!$K$183)/(Driver!$L$183-Driver!$K$183)</f>
        <v/>
      </c>
      <c r="AO655" s="108" t="n"/>
      <c r="AP655" s="108" t="n"/>
      <c r="AQ655" s="108">
        <f>(BC655-Driver!$K$188)/(Driver!$L$188-Driver!$K$188)</f>
        <v/>
      </c>
      <c r="AR655" s="108">
        <f>MIN((BD655-Driver!$K$189)/(Driver!$L$189-Driver!$K$189),100%)</f>
        <v/>
      </c>
      <c r="AS655" s="108">
        <f>(BE655-Driver!$K$190)/(Driver!$L$190-Driver!$K$190)</f>
        <v/>
      </c>
      <c r="AT655" s="108">
        <f>(BF655-Driver!$K$191)/(Driver!$L$191-Driver!$K$191)</f>
        <v/>
      </c>
      <c r="AU655" s="108">
        <f>(BG655-Driver!$K$192)/(Driver!$L$192-Driver!$K$192)</f>
        <v/>
      </c>
      <c r="AV655" s="105">
        <f>IFERROR(BM655*BJ655^1/4,"")</f>
        <v/>
      </c>
      <c r="AW655" s="105">
        <f>IFERROR(SUM(AX655:AZ655),"")</f>
        <v/>
      </c>
      <c r="AX655" s="105">
        <f>IFERROR(BH655,"")</f>
        <v/>
      </c>
      <c r="AY655" s="105">
        <f>IFERROR(Driver!$K$19/Data!BH655/Data!BI655*Data!BK655*Data!BL655,"")</f>
        <v/>
      </c>
      <c r="AZ655" s="105">
        <f>IFERROR(BI655*BN655,"")</f>
        <v/>
      </c>
      <c r="BA655" s="105" t="n"/>
      <c r="BB655" s="105" t="n"/>
      <c r="BC655" s="105">
        <f>IFERROR(BI655*BN655*BK655/BJ655^(1/2),"")</f>
        <v/>
      </c>
      <c r="BD655" s="105">
        <f>IFERROR(BH655*BM655*BL655/BJ655/BK655,"")</f>
        <v/>
      </c>
      <c r="BE655" s="105">
        <f>IFERROR(MIN(BI655/BQ655/BP655/BO655/BH655,$BE$1),"")</f>
        <v/>
      </c>
      <c r="BF655" s="105">
        <f>IFERROR(BJ655*BO655*BP655/BK655,"")</f>
        <v/>
      </c>
      <c r="BG655" s="105">
        <f>IFERROR(1/BM655/BH655*BQ655,"")</f>
        <v/>
      </c>
      <c r="BH655" s="102">
        <f>MAX((CE655-Driver!$F$200)/(Driver!$G$200-Driver!$F$200)*$BI$1,1)</f>
        <v/>
      </c>
      <c r="BI655" s="102">
        <f>MAX($BI$1*(BY655-Driver!$F$201)/(Driver!$G$201-Driver!$F$201),1)</f>
        <v/>
      </c>
      <c r="BJ655" s="102">
        <f>(CB655-Driver!$F$206)/(Driver!$G$206-Driver!$F$206)*$BI$1</f>
        <v/>
      </c>
      <c r="BK655" s="102">
        <f>(CD655-Driver!$F$203)/(Driver!$G$203-Driver!$F$203)*$BI$1</f>
        <v/>
      </c>
      <c r="BL655" s="102">
        <f>MAX((CR655-Driver!$F$202)/(Driver!$G$202-Driver!$F$202)*$BI$1,1)</f>
        <v/>
      </c>
      <c r="BM655" s="102">
        <f>MAX((CH655-Driver!$F$204)/(Driver!$G$204-Driver!$F$204)*$BI$1,1)</f>
        <v/>
      </c>
      <c r="BN655" s="102">
        <f>(CI655-Driver!$F$205)/(Driver!$G$205-Driver!$F$205)*$BI$1</f>
        <v/>
      </c>
      <c r="BO655" s="102">
        <f>(CK655-Driver!$F$207)/(Driver!$G$207-Driver!$F$207)*$BI$1</f>
        <v/>
      </c>
      <c r="BP655" s="102">
        <f>(CM655-Driver!$F$208)/(Driver!$G$208-Driver!$F$208)*$BI$1</f>
        <v/>
      </c>
      <c r="BQ655" s="102">
        <f>(CL655-Driver!$F$209)/(Driver!$G$209-Driver!$F$209)*$BI$1</f>
        <v/>
      </c>
      <c r="BR655" s="40" t="inlineStr">
        <is>
          <t>21/22</t>
        </is>
      </c>
      <c r="BS655" s="10" t="inlineStr">
        <is>
          <t xml:space="preserve"> Elan</t>
        </is>
      </c>
      <c r="BT655" s="11" t="inlineStr">
        <is>
          <t>Insomnia 16 Ti</t>
        </is>
      </c>
      <c r="BU655" s="13" t="n">
        <v>152</v>
      </c>
      <c r="BV655" s="11" t="inlineStr">
        <is>
          <t xml:space="preserve"> Women's</t>
        </is>
      </c>
      <c r="BW655" s="13" t="n">
        <v>152</v>
      </c>
      <c r="BX655" s="13" t="n">
        <v>152.8</v>
      </c>
      <c r="BY655" s="13" t="n">
        <v>134</v>
      </c>
      <c r="BZ655" s="13" t="n">
        <v>142</v>
      </c>
      <c r="CA655" s="13" t="n">
        <v>121</v>
      </c>
      <c r="CB655" s="13" t="n">
        <v>72</v>
      </c>
      <c r="CC655" s="13" t="n">
        <v>103</v>
      </c>
      <c r="CD655" s="13" t="n">
        <v>12.3</v>
      </c>
      <c r="CE655" s="13" t="n">
        <v>1690</v>
      </c>
      <c r="CF655" s="13" t="n">
        <v>0.79</v>
      </c>
      <c r="CG655" s="13" t="n">
        <v>1337</v>
      </c>
      <c r="CH655" s="13" t="n">
        <v>183</v>
      </c>
      <c r="CI655" s="13" t="n">
        <v>72</v>
      </c>
      <c r="CJ655" s="13" t="n">
        <v>41</v>
      </c>
      <c r="CK655" s="13" t="n">
        <v>136</v>
      </c>
      <c r="CL655" s="13" t="n">
        <v>4</v>
      </c>
      <c r="CM655" s="13" t="n">
        <v>49</v>
      </c>
      <c r="CN655" s="13" t="n">
        <v>0.096</v>
      </c>
      <c r="CO655" s="13" t="n">
        <v>74</v>
      </c>
      <c r="CP655" s="13" t="n">
        <v>39</v>
      </c>
      <c r="CQ655" s="13" t="n">
        <v>63</v>
      </c>
      <c r="CR655" s="13" t="n">
        <v>6</v>
      </c>
      <c r="CS655" s="13" t="n">
        <v>10.1</v>
      </c>
      <c r="CT655" s="11" t="inlineStr">
        <is>
          <t xml:space="preserve"> On-Piste Carving</t>
        </is>
      </c>
      <c r="CU655" s="13" t="n"/>
      <c r="CV655" s="13" t="n"/>
      <c r="CW655" s="13" t="n"/>
      <c r="CX655">
        <f>INDEX('Data_Price '!AG$2:AG$1266,MATCH(Data!$DN655,'Data_Price '!$AT$2:$AT$1266,0))</f>
        <v/>
      </c>
      <c r="CY655">
        <f>INDEX('Data_Price '!AH$2:AH$1266,MATCH(Data!$DN655,'Data_Price '!$AT$2:$AT$1266,0))</f>
        <v/>
      </c>
      <c r="CZ655">
        <f>INDEX('Data_Price '!AI$2:AI$1266,MATCH(Data!$DN655,'Data_Price '!$AT$2:$AT$1266,0))</f>
        <v/>
      </c>
      <c r="DA655">
        <f>INDEX('Data_Price '!AJ$2:AJ$1266,MATCH(Data!$DN655,'Data_Price '!$AT$2:$AT$1266,0))</f>
        <v/>
      </c>
      <c r="DB655">
        <f>INDEX('Data_Price '!AK$2:AK$1266,MATCH(Data!$DN655,'Data_Price '!$AT$2:$AT$1266,0))</f>
        <v/>
      </c>
      <c r="DC655">
        <f>INDEX('Data_Price '!AL$2:AL$1266,MATCH(Data!$DN655,'Data_Price '!$AT$2:$AT$1266,0))</f>
        <v/>
      </c>
      <c r="DD655">
        <f>INDEX('Data_Price '!AM$2:AM$1266,MATCH(Data!$DN655,'Data_Price '!$AT$2:$AT$1266,0))</f>
        <v/>
      </c>
      <c r="DE655">
        <f>INDEX('Data_Price '!AN$2:AN$1266,MATCH(Data!$DN655,'Data_Price '!$AT$2:$AT$1266,0))</f>
        <v/>
      </c>
      <c r="DF655">
        <f>INDEX('Data_Price '!AO$2:AO$1266,MATCH(Data!$DN655,'Data_Price '!$AT$2:$AT$1266,0))</f>
        <v/>
      </c>
      <c r="DG655">
        <f>INDEX('Data_Price '!AP$2:AP$1266,MATCH(Data!$DN655,'Data_Price '!$AT$2:$AT$1266,0))</f>
        <v/>
      </c>
      <c r="DH655">
        <f>INDEX('Data_Price '!AQ$2:AQ$1266,MATCH(Data!$DN655,'Data_Price '!$AT$2:$AT$1266,0))</f>
        <v/>
      </c>
      <c r="DI655">
        <f>INDEX('Data_Price '!AR$2:AR$1266,MATCH(Data!$DN655,'Data_Price '!$AT$2:$AT$1266,0))</f>
        <v/>
      </c>
      <c r="DJ655" s="138">
        <f>DA655</f>
        <v/>
      </c>
      <c r="DK655" s="138">
        <f>DE655</f>
        <v/>
      </c>
      <c r="DL655" s="138">
        <f>DI655</f>
        <v/>
      </c>
      <c r="DM655" s="303">
        <f>IF(LEFT(BT655,1)=" ",RIGHT(BT655,LEN(BT655)-1),BT655)</f>
        <v/>
      </c>
      <c r="DN655" s="138">
        <f>_xlfn.CONCAT(BS655,DM655,BU655,BV655)</f>
        <v/>
      </c>
      <c r="DO655" s="307" t="n"/>
    </row>
    <row r="656" ht="15.6" customHeight="1" s="184">
      <c r="B656" s="303">
        <f t="array" ref="B656">IF(OR(ISERROR(K656:P656)),FALSE,TRUE)</f>
        <v/>
      </c>
      <c r="C656" s="60">
        <f>OR(BR656=Driver!$G$50,Data!BR1154=Driver!$H$50)</f>
        <v/>
      </c>
      <c r="D656" s="60">
        <f>OR(BV656=Driver!$G$51,BV656=Driver!$H$51)</f>
        <v/>
      </c>
      <c r="E656" s="60">
        <f>AND(BX656&gt;Driver!$F$54,BX656&lt;Driver!$G$54)</f>
        <v/>
      </c>
      <c r="F656" s="60">
        <f>CL656&gt;Driver!$F$56</f>
        <v/>
      </c>
      <c r="G656" s="60">
        <f>AND(CB656&gt;Driver!$F$55,CB656&lt;Driver!$G$55)</f>
        <v/>
      </c>
      <c r="H656" s="60">
        <f>AND(B656:G656)</f>
        <v/>
      </c>
      <c r="I656" s="60">
        <f>COUNTIFS($H$9:$H$1273,TRUE,$BT$9:$BT$1273,BT656)</f>
        <v/>
      </c>
      <c r="J656" s="60">
        <f t="array" ref="J656">NOT(OR(($H$9:$H$1273=TRUE)*($I$9:$I$1273&gt;0)*($BT$9:$BT$1273=BT656)*($K$9:$K$1273&gt;K656)))</f>
        <v/>
      </c>
      <c r="K656" s="108">
        <f>IFERROR(1-AVERAGE(X656:Y656),"")</f>
        <v/>
      </c>
      <c r="L656" s="108">
        <f>1-X656</f>
        <v/>
      </c>
      <c r="M656" s="108">
        <f>1-Y656</f>
        <v/>
      </c>
      <c r="N656" s="108">
        <f>1-Z656</f>
        <v/>
      </c>
      <c r="O656" s="108">
        <f>1-AA656</f>
        <v/>
      </c>
      <c r="P656" s="108">
        <f>1-AB656</f>
        <v/>
      </c>
      <c r="Q656" s="108" t="n"/>
      <c r="R656" s="108" t="n"/>
      <c r="S656" s="108">
        <f>1-AE656</f>
        <v/>
      </c>
      <c r="T656" s="108">
        <f>1-AF656</f>
        <v/>
      </c>
      <c r="U656" s="108">
        <f>1-AG656</f>
        <v/>
      </c>
      <c r="V656" s="108">
        <f>1-AH656</f>
        <v/>
      </c>
      <c r="W656" s="108">
        <f>1-AI656</f>
        <v/>
      </c>
      <c r="X656" s="108">
        <f>ABS(AJ656-AJ$1)</f>
        <v/>
      </c>
      <c r="Y656" s="108">
        <f>AVERAGE(Z656:AB656)</f>
        <v/>
      </c>
      <c r="Z656" s="108">
        <f>ABS(AL656-AL$1)</f>
        <v/>
      </c>
      <c r="AA656" s="108">
        <f>ABS(AM656-AM$1)</f>
        <v/>
      </c>
      <c r="AB656" s="108">
        <f>ABS(AN656-AN$1)</f>
        <v/>
      </c>
      <c r="AC656" s="108" t="n"/>
      <c r="AD656" s="108" t="n"/>
      <c r="AE656" s="108">
        <f>ABS(AQ$1-AQ656)</f>
        <v/>
      </c>
      <c r="AF656" s="108">
        <f>ABS(AR$1-AR656)</f>
        <v/>
      </c>
      <c r="AG656" s="108">
        <f>ABS(AS$1-AS656)</f>
        <v/>
      </c>
      <c r="AH656" s="108">
        <f>ABS(AT$1-AT656)</f>
        <v/>
      </c>
      <c r="AI656" s="108">
        <f>ABS(AU$1-AU656)</f>
        <v/>
      </c>
      <c r="AJ656" s="108">
        <f>(AV656-Driver!$K$179)/(Driver!$L$179-Driver!$K$179)</f>
        <v/>
      </c>
      <c r="AK656" s="108">
        <f>(AW656-Driver!$K$180)/(Driver!$L$180-Driver!$K$180)</f>
        <v/>
      </c>
      <c r="AL656" s="108">
        <f>(AX656-Driver!$K$181)/(Driver!$L$181-Driver!$K$181)</f>
        <v/>
      </c>
      <c r="AM656" s="108">
        <f>(AY656-Driver!$K$182)/(Driver!$L$182-Driver!$K$182)</f>
        <v/>
      </c>
      <c r="AN656" s="108">
        <f>(AZ656-Driver!$K$183)/(Driver!$L$183-Driver!$K$183)</f>
        <v/>
      </c>
      <c r="AO656" s="108" t="n"/>
      <c r="AP656" s="108" t="n"/>
      <c r="AQ656" s="108">
        <f>(BC656-Driver!$K$188)/(Driver!$L$188-Driver!$K$188)</f>
        <v/>
      </c>
      <c r="AR656" s="108">
        <f>MIN((BD656-Driver!$K$189)/(Driver!$L$189-Driver!$K$189),100%)</f>
        <v/>
      </c>
      <c r="AS656" s="108">
        <f>(BE656-Driver!$K$190)/(Driver!$L$190-Driver!$K$190)</f>
        <v/>
      </c>
      <c r="AT656" s="108">
        <f>(BF656-Driver!$K$191)/(Driver!$L$191-Driver!$K$191)</f>
        <v/>
      </c>
      <c r="AU656" s="108">
        <f>(BG656-Driver!$K$192)/(Driver!$L$192-Driver!$K$192)</f>
        <v/>
      </c>
      <c r="AV656" s="105">
        <f>IFERROR(BM656*BJ656^1/4,"")</f>
        <v/>
      </c>
      <c r="AW656" s="105">
        <f>IFERROR(SUM(AX656:AZ656),"")</f>
        <v/>
      </c>
      <c r="AX656" s="105">
        <f>IFERROR(BH656,"")</f>
        <v/>
      </c>
      <c r="AY656" s="105">
        <f>IFERROR(Driver!$K$19/Data!BH656/Data!BI656*Data!BK656*Data!BL656,"")</f>
        <v/>
      </c>
      <c r="AZ656" s="105">
        <f>IFERROR(BI656*BN656,"")</f>
        <v/>
      </c>
      <c r="BA656" s="105" t="n"/>
      <c r="BB656" s="105" t="n"/>
      <c r="BC656" s="105">
        <f>IFERROR(BI656*BN656*BK656/BJ656^(1/2),"")</f>
        <v/>
      </c>
      <c r="BD656" s="105">
        <f>IFERROR(BH656*BM656*BL656/BJ656/BK656,"")</f>
        <v/>
      </c>
      <c r="BE656" s="105">
        <f>IFERROR(MIN(BI656/BQ656/BP656/BO656/BH656,$BE$1),"")</f>
        <v/>
      </c>
      <c r="BF656" s="105">
        <f>IFERROR(BJ656*BO656*BP656/BK656,"")</f>
        <v/>
      </c>
      <c r="BG656" s="105">
        <f>IFERROR(1/BM656/BH656*BQ656,"")</f>
        <v/>
      </c>
      <c r="BH656" s="102">
        <f>MAX((CE656-Driver!$F$200)/(Driver!$G$200-Driver!$F$200)*$BI$1,1)</f>
        <v/>
      </c>
      <c r="BI656" s="102">
        <f>MAX($BI$1*(BY656-Driver!$F$201)/(Driver!$G$201-Driver!$F$201),1)</f>
        <v/>
      </c>
      <c r="BJ656" s="102">
        <f>(CB656-Driver!$F$206)/(Driver!$G$206-Driver!$F$206)*$BI$1</f>
        <v/>
      </c>
      <c r="BK656" s="102">
        <f>(CD656-Driver!$F$203)/(Driver!$G$203-Driver!$F$203)*$BI$1</f>
        <v/>
      </c>
      <c r="BL656" s="102">
        <f>MAX((CR656-Driver!$F$202)/(Driver!$G$202-Driver!$F$202)*$BI$1,1)</f>
        <v/>
      </c>
      <c r="BM656" s="102">
        <f>MAX((CH656-Driver!$F$204)/(Driver!$G$204-Driver!$F$204)*$BI$1,1)</f>
        <v/>
      </c>
      <c r="BN656" s="102">
        <f>(CI656-Driver!$F$205)/(Driver!$G$205-Driver!$F$205)*$BI$1</f>
        <v/>
      </c>
      <c r="BO656" s="102">
        <f>(CK656-Driver!$F$207)/(Driver!$G$207-Driver!$F$207)*$BI$1</f>
        <v/>
      </c>
      <c r="BP656" s="102">
        <f>(CM656-Driver!$F$208)/(Driver!$G$208-Driver!$F$208)*$BI$1</f>
        <v/>
      </c>
      <c r="BQ656" s="102">
        <f>(CL656-Driver!$F$209)/(Driver!$G$209-Driver!$F$209)*$BI$1</f>
        <v/>
      </c>
      <c r="BR656" s="40" t="inlineStr">
        <is>
          <t>21/22</t>
        </is>
      </c>
      <c r="BS656" s="10" t="inlineStr">
        <is>
          <t xml:space="preserve"> Völkl</t>
        </is>
      </c>
      <c r="BT656" s="11" t="inlineStr">
        <is>
          <t>Bash 86 W</t>
        </is>
      </c>
      <c r="BU656" s="13" t="n">
        <v>164</v>
      </c>
      <c r="BV656" s="11" t="inlineStr">
        <is>
          <t xml:space="preserve"> Women's</t>
        </is>
      </c>
      <c r="BW656" s="13" t="n">
        <v>164</v>
      </c>
      <c r="BX656" s="13" t="n">
        <v>162.5</v>
      </c>
      <c r="BY656" s="13" t="n">
        <v>110</v>
      </c>
      <c r="BZ656" s="13" t="n">
        <v>147</v>
      </c>
      <c r="CA656" s="13" t="n">
        <v>120</v>
      </c>
      <c r="CB656" s="13" t="n">
        <v>86</v>
      </c>
      <c r="CC656" s="13" t="n">
        <v>110</v>
      </c>
      <c r="CD656" s="13" t="n">
        <v>18.2</v>
      </c>
      <c r="CE656" s="13" t="n">
        <v>1600</v>
      </c>
      <c r="CF656" s="13" t="n">
        <v>0.98</v>
      </c>
      <c r="CG656" s="13" t="n">
        <v>1562</v>
      </c>
      <c r="CH656" s="13" t="n">
        <v>171</v>
      </c>
      <c r="CI656" s="13" t="n">
        <v>78</v>
      </c>
      <c r="CJ656" s="13" t="n">
        <v>41</v>
      </c>
      <c r="CK656" s="13" t="n">
        <v>269</v>
      </c>
      <c r="CL656" s="13" t="n">
        <v>40</v>
      </c>
      <c r="CM656" s="13" t="n">
        <v>254</v>
      </c>
      <c r="CN656" s="13" t="n">
        <v>0.973</v>
      </c>
      <c r="CO656" s="13" t="n">
        <v>78</v>
      </c>
      <c r="CP656" s="13" t="n">
        <v>76</v>
      </c>
      <c r="CQ656" s="13" t="n">
        <v>191</v>
      </c>
      <c r="CR656" s="13" t="n">
        <v>2</v>
      </c>
      <c r="CS656" s="13" t="n">
        <v>2.2</v>
      </c>
      <c r="CT656" s="11" t="inlineStr">
        <is>
          <t xml:space="preserve"> Freeski</t>
        </is>
      </c>
      <c r="CU656" s="13" t="n"/>
      <c r="CV656" s="13" t="n"/>
      <c r="CW656" s="13" t="n"/>
      <c r="CX656">
        <f>INDEX('Data_Price '!AG$2:AG$1266,MATCH(Data!$DN656,'Data_Price '!$AT$2:$AT$1266,0))</f>
        <v/>
      </c>
      <c r="CY656">
        <f>INDEX('Data_Price '!AH$2:AH$1266,MATCH(Data!$DN656,'Data_Price '!$AT$2:$AT$1266,0))</f>
        <v/>
      </c>
      <c r="CZ656">
        <f>INDEX('Data_Price '!AI$2:AI$1266,MATCH(Data!$DN656,'Data_Price '!$AT$2:$AT$1266,0))</f>
        <v/>
      </c>
      <c r="DA656">
        <f>INDEX('Data_Price '!AJ$2:AJ$1266,MATCH(Data!$DN656,'Data_Price '!$AT$2:$AT$1266,0))</f>
        <v/>
      </c>
      <c r="DB656">
        <f>INDEX('Data_Price '!AK$2:AK$1266,MATCH(Data!$DN656,'Data_Price '!$AT$2:$AT$1266,0))</f>
        <v/>
      </c>
      <c r="DC656">
        <f>INDEX('Data_Price '!AL$2:AL$1266,MATCH(Data!$DN656,'Data_Price '!$AT$2:$AT$1266,0))</f>
        <v/>
      </c>
      <c r="DD656">
        <f>INDEX('Data_Price '!AM$2:AM$1266,MATCH(Data!$DN656,'Data_Price '!$AT$2:$AT$1266,0))</f>
        <v/>
      </c>
      <c r="DE656">
        <f>INDEX('Data_Price '!AN$2:AN$1266,MATCH(Data!$DN656,'Data_Price '!$AT$2:$AT$1266,0))</f>
        <v/>
      </c>
      <c r="DF656">
        <f>INDEX('Data_Price '!AO$2:AO$1266,MATCH(Data!$DN656,'Data_Price '!$AT$2:$AT$1266,0))</f>
        <v/>
      </c>
      <c r="DG656">
        <f>INDEX('Data_Price '!AP$2:AP$1266,MATCH(Data!$DN656,'Data_Price '!$AT$2:$AT$1266,0))</f>
        <v/>
      </c>
      <c r="DH656">
        <f>INDEX('Data_Price '!AQ$2:AQ$1266,MATCH(Data!$DN656,'Data_Price '!$AT$2:$AT$1266,0))</f>
        <v/>
      </c>
      <c r="DI656">
        <f>INDEX('Data_Price '!AR$2:AR$1266,MATCH(Data!$DN656,'Data_Price '!$AT$2:$AT$1266,0))</f>
        <v/>
      </c>
      <c r="DJ656" s="138">
        <f>DA656</f>
        <v/>
      </c>
      <c r="DK656" s="138">
        <f>DE656</f>
        <v/>
      </c>
      <c r="DL656" s="138">
        <f>DI656</f>
        <v/>
      </c>
      <c r="DM656" s="303">
        <f>IF(LEFT(BT656,1)=" ",RIGHT(BT656,LEN(BT656)-1),BT656)</f>
        <v/>
      </c>
      <c r="DN656" s="138">
        <f>_xlfn.CONCAT(BS656,DM656,BU656,BV656)</f>
        <v/>
      </c>
      <c r="DO656" s="307" t="inlineStr">
        <is>
          <t>https://images.evo.com/imgp/250/183431/726761/volkl-bash-86-w-skis-women-s-2022-.jpg</t>
        </is>
      </c>
    </row>
    <row r="657" ht="15.6" customHeight="1" s="184">
      <c r="B657" s="303">
        <f t="array" ref="B657">IF(OR(ISERROR(K657:P657)),FALSE,TRUE)</f>
        <v/>
      </c>
      <c r="C657" s="60">
        <f>OR(BR657=Driver!$G$50,Data!BR140=Driver!$H$50)</f>
        <v/>
      </c>
      <c r="D657" s="60">
        <f>OR(BV657=Driver!$G$51,BV657=Driver!$H$51)</f>
        <v/>
      </c>
      <c r="E657" s="60">
        <f>AND(BX657&gt;Driver!$F$54,BX657&lt;Driver!$G$54)</f>
        <v/>
      </c>
      <c r="F657" s="60">
        <f>CL657&gt;Driver!$F$56</f>
        <v/>
      </c>
      <c r="G657" s="60">
        <f>AND(CB657&gt;Driver!$F$55,CB657&lt;Driver!$G$55)</f>
        <v/>
      </c>
      <c r="H657" s="60">
        <f>AND(B657:G657)</f>
        <v/>
      </c>
      <c r="I657" s="60">
        <f>COUNTIFS($H$9:$H$1273,TRUE,$BT$9:$BT$1273,BT657)</f>
        <v/>
      </c>
      <c r="J657" s="60">
        <f t="array" ref="J657">NOT(OR(($H$9:$H$1273=TRUE)*($I$9:$I$1273&gt;0)*($BT$9:$BT$1273=BT657)*($K$9:$K$1273&gt;K657)))</f>
        <v/>
      </c>
      <c r="K657" s="108">
        <f>IFERROR(1-AVERAGE(X657:Y657),"")</f>
        <v/>
      </c>
      <c r="L657" s="108">
        <f>1-X657</f>
        <v/>
      </c>
      <c r="M657" s="108">
        <f>1-Y657</f>
        <v/>
      </c>
      <c r="N657" s="108">
        <f>1-Z657</f>
        <v/>
      </c>
      <c r="O657" s="108">
        <f>1-AA657</f>
        <v/>
      </c>
      <c r="P657" s="108">
        <f>1-AB657</f>
        <v/>
      </c>
      <c r="Q657" s="108" t="n"/>
      <c r="R657" s="108" t="n"/>
      <c r="S657" s="108">
        <f>1-AE657</f>
        <v/>
      </c>
      <c r="T657" s="108">
        <f>1-AF657</f>
        <v/>
      </c>
      <c r="U657" s="108">
        <f>1-AG657</f>
        <v/>
      </c>
      <c r="V657" s="108">
        <f>1-AH657</f>
        <v/>
      </c>
      <c r="W657" s="108">
        <f>1-AI657</f>
        <v/>
      </c>
      <c r="X657" s="108">
        <f>ABS(AJ657-AJ$1)</f>
        <v/>
      </c>
      <c r="Y657" s="108">
        <f>AVERAGE(Z657:AB657)</f>
        <v/>
      </c>
      <c r="Z657" s="108">
        <f>ABS(AL657-AL$1)</f>
        <v/>
      </c>
      <c r="AA657" s="108">
        <f>ABS(AM657-AM$1)</f>
        <v/>
      </c>
      <c r="AB657" s="108">
        <f>ABS(AN657-AN$1)</f>
        <v/>
      </c>
      <c r="AC657" s="108" t="n"/>
      <c r="AD657" s="108" t="n"/>
      <c r="AE657" s="108">
        <f>ABS(AQ$1-AQ657)</f>
        <v/>
      </c>
      <c r="AF657" s="108">
        <f>ABS(AR$1-AR657)</f>
        <v/>
      </c>
      <c r="AG657" s="108">
        <f>ABS(AS$1-AS657)</f>
        <v/>
      </c>
      <c r="AH657" s="108">
        <f>ABS(AT$1-AT657)</f>
        <v/>
      </c>
      <c r="AI657" s="108">
        <f>ABS(AU$1-AU657)</f>
        <v/>
      </c>
      <c r="AJ657" s="108">
        <f>(AV657-Driver!$K$179)/(Driver!$L$179-Driver!$K$179)</f>
        <v/>
      </c>
      <c r="AK657" s="108">
        <f>(AW657-Driver!$K$180)/(Driver!$L$180-Driver!$K$180)</f>
        <v/>
      </c>
      <c r="AL657" s="108">
        <f>(AX657-Driver!$K$181)/(Driver!$L$181-Driver!$K$181)</f>
        <v/>
      </c>
      <c r="AM657" s="108">
        <f>(AY657-Driver!$K$182)/(Driver!$L$182-Driver!$K$182)</f>
        <v/>
      </c>
      <c r="AN657" s="108">
        <f>(AZ657-Driver!$K$183)/(Driver!$L$183-Driver!$K$183)</f>
        <v/>
      </c>
      <c r="AO657" s="108" t="n"/>
      <c r="AP657" s="108" t="n"/>
      <c r="AQ657" s="108">
        <f>(BC657-Driver!$K$188)/(Driver!$L$188-Driver!$K$188)</f>
        <v/>
      </c>
      <c r="AR657" s="108">
        <f>MIN((BD657-Driver!$K$189)/(Driver!$L$189-Driver!$K$189),100%)</f>
        <v/>
      </c>
      <c r="AS657" s="108">
        <f>(BE657-Driver!$K$190)/(Driver!$L$190-Driver!$K$190)</f>
        <v/>
      </c>
      <c r="AT657" s="108">
        <f>(BF657-Driver!$K$191)/(Driver!$L$191-Driver!$K$191)</f>
        <v/>
      </c>
      <c r="AU657" s="108">
        <f>(BG657-Driver!$K$192)/(Driver!$L$192-Driver!$K$192)</f>
        <v/>
      </c>
      <c r="AV657" s="105">
        <f>IFERROR(BM657*BJ657^1/4,"")</f>
        <v/>
      </c>
      <c r="AW657" s="105">
        <f>IFERROR(SUM(AX657:AZ657),"")</f>
        <v/>
      </c>
      <c r="AX657" s="105">
        <f>IFERROR(BH657,"")</f>
        <v/>
      </c>
      <c r="AY657" s="105">
        <f>IFERROR(Driver!$K$19/Data!BH657/Data!BI657*Data!BK657*Data!BL657,"")</f>
        <v/>
      </c>
      <c r="AZ657" s="105">
        <f>IFERROR(BI657*BN657,"")</f>
        <v/>
      </c>
      <c r="BA657" s="105" t="n"/>
      <c r="BB657" s="105" t="n"/>
      <c r="BC657" s="105">
        <f>IFERROR(BI657*BN657*BK657/BJ657^(1/2),"")</f>
        <v/>
      </c>
      <c r="BD657" s="105">
        <f>IFERROR(BH657*BM657*BL657/BJ657/BK657,"")</f>
        <v/>
      </c>
      <c r="BE657" s="105">
        <f>IFERROR(MIN(BI657/BQ657/BP657/BO657/BH657,$BE$1),"")</f>
        <v/>
      </c>
      <c r="BF657" s="105">
        <f>IFERROR(BJ657*BO657*BP657/BK657,"")</f>
        <v/>
      </c>
      <c r="BG657" s="105">
        <f>IFERROR(1/BM657/BH657*BQ657,"")</f>
        <v/>
      </c>
      <c r="BH657" s="102">
        <f>MAX((CE657-Driver!$F$200)/(Driver!$G$200-Driver!$F$200)*$BI$1,1)</f>
        <v/>
      </c>
      <c r="BI657" s="102">
        <f>MAX($BI$1*(BY657-Driver!$F$201)/(Driver!$G$201-Driver!$F$201),1)</f>
        <v/>
      </c>
      <c r="BJ657" s="102">
        <f>(CB657-Driver!$F$206)/(Driver!$G$206-Driver!$F$206)*$BI$1</f>
        <v/>
      </c>
      <c r="BK657" s="102">
        <f>(CD657-Driver!$F$203)/(Driver!$G$203-Driver!$F$203)*$BI$1</f>
        <v/>
      </c>
      <c r="BL657" s="102">
        <f>MAX((CR657-Driver!$F$202)/(Driver!$G$202-Driver!$F$202)*$BI$1,1)</f>
        <v/>
      </c>
      <c r="BM657" s="102">
        <f>MAX((CH657-Driver!$F$204)/(Driver!$G$204-Driver!$F$204)*$BI$1,1)</f>
        <v/>
      </c>
      <c r="BN657" s="102">
        <f>(CI657-Driver!$F$205)/(Driver!$G$205-Driver!$F$205)*$BI$1</f>
        <v/>
      </c>
      <c r="BO657" s="102">
        <f>(CK657-Driver!$F$207)/(Driver!$G$207-Driver!$F$207)*$BI$1</f>
        <v/>
      </c>
      <c r="BP657" s="102">
        <f>(CM657-Driver!$F$208)/(Driver!$G$208-Driver!$F$208)*$BI$1</f>
        <v/>
      </c>
      <c r="BQ657" s="102">
        <f>(CL657-Driver!$F$209)/(Driver!$G$209-Driver!$F$209)*$BI$1</f>
        <v/>
      </c>
      <c r="BR657" s="40" t="inlineStr">
        <is>
          <t>21/22</t>
        </is>
      </c>
      <c r="BS657" s="10" t="inlineStr">
        <is>
          <t xml:space="preserve"> Atomic</t>
        </is>
      </c>
      <c r="BT657" s="11" t="inlineStr">
        <is>
          <t>Cloud C11 WB</t>
        </is>
      </c>
      <c r="BU657" s="13" t="n">
        <v>160</v>
      </c>
      <c r="BV657" s="11" t="inlineStr">
        <is>
          <t xml:space="preserve"> Women's</t>
        </is>
      </c>
      <c r="BW657" s="13" t="n">
        <v>160</v>
      </c>
      <c r="BX657" s="13" t="n">
        <v>159.3</v>
      </c>
      <c r="BY657" s="13" t="n">
        <v>138</v>
      </c>
      <c r="BZ657" s="13" t="n">
        <v>145</v>
      </c>
      <c r="CA657" s="13" t="n">
        <v>122</v>
      </c>
      <c r="CB657" s="13" t="n">
        <v>74</v>
      </c>
      <c r="CC657" s="13" t="n">
        <v>106</v>
      </c>
      <c r="CD657" s="13" t="n">
        <v>13</v>
      </c>
      <c r="CE657" s="13" t="n">
        <v>1544</v>
      </c>
      <c r="CF657" s="13" t="n">
        <v>0.92</v>
      </c>
      <c r="CG657" s="13" t="n">
        <v>1425</v>
      </c>
      <c r="CH657" s="13" t="n">
        <v>180</v>
      </c>
      <c r="CI657" s="13" t="n">
        <v>65</v>
      </c>
      <c r="CJ657" s="13" t="n">
        <v>39</v>
      </c>
      <c r="CK657" s="13" t="n">
        <v>149</v>
      </c>
      <c r="CL657" s="13" t="n">
        <v>5</v>
      </c>
      <c r="CM657" s="13" t="n">
        <v>59</v>
      </c>
      <c r="CN657" s="13" t="n">
        <v>0.121</v>
      </c>
      <c r="CO657" s="13" t="n">
        <v>83</v>
      </c>
      <c r="CP657" s="13" t="n">
        <v>56</v>
      </c>
      <c r="CQ657" s="13" t="n">
        <v>66</v>
      </c>
      <c r="CR657" s="13" t="n">
        <v>3</v>
      </c>
      <c r="CS657" s="13" t="n">
        <v>13.2</v>
      </c>
      <c r="CT657" s="11" t="inlineStr">
        <is>
          <t xml:space="preserve"> On-Piste Carving</t>
        </is>
      </c>
      <c r="CU657" s="13" t="n"/>
      <c r="CV657" s="13" t="n"/>
      <c r="CW657" s="13" t="n"/>
      <c r="CX657">
        <f>INDEX('Data_Price '!AG$2:AG$1266,MATCH(Data!$DN657,'Data_Price '!$AT$2:$AT$1266,0))</f>
        <v/>
      </c>
      <c r="CY657">
        <f>INDEX('Data_Price '!AH$2:AH$1266,MATCH(Data!$DN657,'Data_Price '!$AT$2:$AT$1266,0))</f>
        <v/>
      </c>
      <c r="CZ657">
        <f>INDEX('Data_Price '!AI$2:AI$1266,MATCH(Data!$DN657,'Data_Price '!$AT$2:$AT$1266,0))</f>
        <v/>
      </c>
      <c r="DA657">
        <f>INDEX('Data_Price '!AJ$2:AJ$1266,MATCH(Data!$DN657,'Data_Price '!$AT$2:$AT$1266,0))</f>
        <v/>
      </c>
      <c r="DB657">
        <f>INDEX('Data_Price '!AK$2:AK$1266,MATCH(Data!$DN657,'Data_Price '!$AT$2:$AT$1266,0))</f>
        <v/>
      </c>
      <c r="DC657">
        <f>INDEX('Data_Price '!AL$2:AL$1266,MATCH(Data!$DN657,'Data_Price '!$AT$2:$AT$1266,0))</f>
        <v/>
      </c>
      <c r="DD657">
        <f>INDEX('Data_Price '!AM$2:AM$1266,MATCH(Data!$DN657,'Data_Price '!$AT$2:$AT$1266,0))</f>
        <v/>
      </c>
      <c r="DE657">
        <f>INDEX('Data_Price '!AN$2:AN$1266,MATCH(Data!$DN657,'Data_Price '!$AT$2:$AT$1266,0))</f>
        <v/>
      </c>
      <c r="DF657">
        <f>INDEX('Data_Price '!AO$2:AO$1266,MATCH(Data!$DN657,'Data_Price '!$AT$2:$AT$1266,0))</f>
        <v/>
      </c>
      <c r="DG657">
        <f>INDEX('Data_Price '!AP$2:AP$1266,MATCH(Data!$DN657,'Data_Price '!$AT$2:$AT$1266,0))</f>
        <v/>
      </c>
      <c r="DH657">
        <f>INDEX('Data_Price '!AQ$2:AQ$1266,MATCH(Data!$DN657,'Data_Price '!$AT$2:$AT$1266,0))</f>
        <v/>
      </c>
      <c r="DI657">
        <f>INDEX('Data_Price '!AR$2:AR$1266,MATCH(Data!$DN657,'Data_Price '!$AT$2:$AT$1266,0))</f>
        <v/>
      </c>
      <c r="DJ657" s="138">
        <f>DA657</f>
        <v/>
      </c>
      <c r="DK657" s="138">
        <f>DE657</f>
        <v/>
      </c>
      <c r="DL657" s="138">
        <f>DI657</f>
        <v/>
      </c>
      <c r="DM657" s="303">
        <f>IF(LEFT(BT657,1)=" ",RIGHT(BT657,LEN(BT657)-1),BT657)</f>
        <v/>
      </c>
      <c r="DN657" s="138">
        <f>_xlfn.CONCAT(BS657,DM657,BU657,BV657)</f>
        <v/>
      </c>
      <c r="DO657" s="307" t="n"/>
    </row>
    <row r="658" ht="15.6" customHeight="1" s="184">
      <c r="B658" s="303">
        <f t="array" ref="B658">IF(OR(ISERROR(K658:P658)),FALSE,TRUE)</f>
        <v/>
      </c>
      <c r="C658" s="60">
        <f>OR(BR658=Driver!$G$50,Data!BR1190=Driver!$H$50)</f>
        <v/>
      </c>
      <c r="D658" s="60">
        <f>OR(BV658=Driver!$G$51,BV658=Driver!$H$51)</f>
        <v/>
      </c>
      <c r="E658" s="60">
        <f>AND(BX658&gt;Driver!$F$54,BX658&lt;Driver!$G$54)</f>
        <v/>
      </c>
      <c r="F658" s="60">
        <f>CL658&gt;Driver!$F$56</f>
        <v/>
      </c>
      <c r="G658" s="60">
        <f>AND(CB658&gt;Driver!$F$55,CB658&lt;Driver!$G$55)</f>
        <v/>
      </c>
      <c r="H658" s="60">
        <f>AND(B658:G658)</f>
        <v/>
      </c>
      <c r="I658" s="60">
        <f>COUNTIFS($H$9:$H$1273,TRUE,$BT$9:$BT$1273,BT658)</f>
        <v/>
      </c>
      <c r="J658" s="60">
        <f t="array" ref="J658">NOT(OR(($H$9:$H$1273=TRUE)*($I$9:$I$1273&gt;0)*($BT$9:$BT$1273=BT658)*($K$9:$K$1273&gt;K658)))</f>
        <v/>
      </c>
      <c r="K658" s="108">
        <f>IFERROR(1-AVERAGE(X658:Y658),"")</f>
        <v/>
      </c>
      <c r="L658" s="108">
        <f>1-X658</f>
        <v/>
      </c>
      <c r="M658" s="108">
        <f>1-Y658</f>
        <v/>
      </c>
      <c r="N658" s="108">
        <f>1-Z658</f>
        <v/>
      </c>
      <c r="O658" s="108">
        <f>1-AA658</f>
        <v/>
      </c>
      <c r="P658" s="108">
        <f>1-AB658</f>
        <v/>
      </c>
      <c r="Q658" s="108" t="n"/>
      <c r="R658" s="108" t="n"/>
      <c r="S658" s="108">
        <f>1-AE658</f>
        <v/>
      </c>
      <c r="T658" s="108">
        <f>1-AF658</f>
        <v/>
      </c>
      <c r="U658" s="108">
        <f>1-AG658</f>
        <v/>
      </c>
      <c r="V658" s="108">
        <f>1-AH658</f>
        <v/>
      </c>
      <c r="W658" s="108">
        <f>1-AI658</f>
        <v/>
      </c>
      <c r="X658" s="108">
        <f>ABS(AJ658-AJ$1)</f>
        <v/>
      </c>
      <c r="Y658" s="108">
        <f>AVERAGE(Z658:AB658)</f>
        <v/>
      </c>
      <c r="Z658" s="108">
        <f>ABS(AL658-AL$1)</f>
        <v/>
      </c>
      <c r="AA658" s="108">
        <f>ABS(AM658-AM$1)</f>
        <v/>
      </c>
      <c r="AB658" s="108">
        <f>ABS(AN658-AN$1)</f>
        <v/>
      </c>
      <c r="AC658" s="108" t="n"/>
      <c r="AD658" s="108" t="n"/>
      <c r="AE658" s="108">
        <f>ABS(AQ$1-AQ658)</f>
        <v/>
      </c>
      <c r="AF658" s="108">
        <f>ABS(AR$1-AR658)</f>
        <v/>
      </c>
      <c r="AG658" s="108">
        <f>ABS(AS$1-AS658)</f>
        <v/>
      </c>
      <c r="AH658" s="108">
        <f>ABS(AT$1-AT658)</f>
        <v/>
      </c>
      <c r="AI658" s="108">
        <f>ABS(AU$1-AU658)</f>
        <v/>
      </c>
      <c r="AJ658" s="108">
        <f>(AV658-Driver!$K$179)/(Driver!$L$179-Driver!$K$179)</f>
        <v/>
      </c>
      <c r="AK658" s="108">
        <f>(AW658-Driver!$K$180)/(Driver!$L$180-Driver!$K$180)</f>
        <v/>
      </c>
      <c r="AL658" s="108">
        <f>(AX658-Driver!$K$181)/(Driver!$L$181-Driver!$K$181)</f>
        <v/>
      </c>
      <c r="AM658" s="108">
        <f>(AY658-Driver!$K$182)/(Driver!$L$182-Driver!$K$182)</f>
        <v/>
      </c>
      <c r="AN658" s="108">
        <f>(AZ658-Driver!$K$183)/(Driver!$L$183-Driver!$K$183)</f>
        <v/>
      </c>
      <c r="AO658" s="108" t="n"/>
      <c r="AP658" s="108" t="n"/>
      <c r="AQ658" s="108">
        <f>(BC658-Driver!$K$188)/(Driver!$L$188-Driver!$K$188)</f>
        <v/>
      </c>
      <c r="AR658" s="108">
        <f>MIN((BD658-Driver!$K$189)/(Driver!$L$189-Driver!$K$189),100%)</f>
        <v/>
      </c>
      <c r="AS658" s="108">
        <f>(BE658-Driver!$K$190)/(Driver!$L$190-Driver!$K$190)</f>
        <v/>
      </c>
      <c r="AT658" s="108">
        <f>(BF658-Driver!$K$191)/(Driver!$L$191-Driver!$K$191)</f>
        <v/>
      </c>
      <c r="AU658" s="108">
        <f>(BG658-Driver!$K$192)/(Driver!$L$192-Driver!$K$192)</f>
        <v/>
      </c>
      <c r="AV658" s="105">
        <f>IFERROR(BM658*BJ658^1/4,"")</f>
        <v/>
      </c>
      <c r="AW658" s="105">
        <f>IFERROR(SUM(AX658:AZ658),"")</f>
        <v/>
      </c>
      <c r="AX658" s="105">
        <f>IFERROR(BH658,"")</f>
        <v/>
      </c>
      <c r="AY658" s="105">
        <f>IFERROR(Driver!$K$19/Data!BH658/Data!BI658*Data!BK658*Data!BL658,"")</f>
        <v/>
      </c>
      <c r="AZ658" s="105">
        <f>IFERROR(BI658*BN658,"")</f>
        <v/>
      </c>
      <c r="BA658" s="105" t="n"/>
      <c r="BB658" s="105" t="n"/>
      <c r="BC658" s="105">
        <f>IFERROR(BI658*BN658*BK658/BJ658^(1/2),"")</f>
        <v/>
      </c>
      <c r="BD658" s="105">
        <f>IFERROR(BH658*BM658*BL658/BJ658/BK658,"")</f>
        <v/>
      </c>
      <c r="BE658" s="105">
        <f>IFERROR(MIN(BI658/BQ658/BP658/BO658/BH658,$BE$1),"")</f>
        <v/>
      </c>
      <c r="BF658" s="105">
        <f>IFERROR(BJ658*BO658*BP658/BK658,"")</f>
        <v/>
      </c>
      <c r="BG658" s="105">
        <f>IFERROR(1/BM658/BH658*BQ658,"")</f>
        <v/>
      </c>
      <c r="BH658" s="102">
        <f>MAX((CE658-Driver!$F$200)/(Driver!$G$200-Driver!$F$200)*$BI$1,1)</f>
        <v/>
      </c>
      <c r="BI658" s="102">
        <f>MAX($BI$1*(BY658-Driver!$F$201)/(Driver!$G$201-Driver!$F$201),1)</f>
        <v/>
      </c>
      <c r="BJ658" s="102">
        <f>(CB658-Driver!$F$206)/(Driver!$G$206-Driver!$F$206)*$BI$1</f>
        <v/>
      </c>
      <c r="BK658" s="102">
        <f>(CD658-Driver!$F$203)/(Driver!$G$203-Driver!$F$203)*$BI$1</f>
        <v/>
      </c>
      <c r="BL658" s="102">
        <f>MAX((CR658-Driver!$F$202)/(Driver!$G$202-Driver!$F$202)*$BI$1,1)</f>
        <v/>
      </c>
      <c r="BM658" s="102">
        <f>MAX((CH658-Driver!$F$204)/(Driver!$G$204-Driver!$F$204)*$BI$1,1)</f>
        <v/>
      </c>
      <c r="BN658" s="102">
        <f>(CI658-Driver!$F$205)/(Driver!$G$205-Driver!$F$205)*$BI$1</f>
        <v/>
      </c>
      <c r="BO658" s="102">
        <f>(CK658-Driver!$F$207)/(Driver!$G$207-Driver!$F$207)*$BI$1</f>
        <v/>
      </c>
      <c r="BP658" s="102">
        <f>(CM658-Driver!$F$208)/(Driver!$G$208-Driver!$F$208)*$BI$1</f>
        <v/>
      </c>
      <c r="BQ658" s="102">
        <f>(CL658-Driver!$F$209)/(Driver!$G$209-Driver!$F$209)*$BI$1</f>
        <v/>
      </c>
      <c r="BR658" s="40" t="inlineStr">
        <is>
          <t>21/22</t>
        </is>
      </c>
      <c r="BS658" s="10" t="inlineStr">
        <is>
          <t xml:space="preserve"> Völkl</t>
        </is>
      </c>
      <c r="BT658" s="11" t="inlineStr">
        <is>
          <t>Flair 75</t>
        </is>
      </c>
      <c r="BU658" s="13" t="n">
        <v>147</v>
      </c>
      <c r="BV658" s="11" t="inlineStr">
        <is>
          <t xml:space="preserve"> Women's</t>
        </is>
      </c>
      <c r="BW658" s="13" t="n">
        <v>147</v>
      </c>
      <c r="BX658" s="13" t="n">
        <v>148</v>
      </c>
      <c r="BY658" s="13" t="n">
        <v>130</v>
      </c>
      <c r="BZ658" s="13" t="n">
        <v>136</v>
      </c>
      <c r="CA658" s="13" t="n">
        <v>125</v>
      </c>
      <c r="CB658" s="13" t="n">
        <v>74</v>
      </c>
      <c r="CC658" s="13" t="n">
        <v>104</v>
      </c>
      <c r="CD658" s="13" t="n">
        <v>11.3</v>
      </c>
      <c r="CE658" s="13" t="n">
        <v>1633</v>
      </c>
      <c r="CF658" s="13" t="n">
        <v>0.8100000000000001</v>
      </c>
      <c r="CG658" s="13" t="n">
        <v>1324</v>
      </c>
      <c r="CH658" s="13" t="n">
        <v>158</v>
      </c>
      <c r="CI658" s="13" t="n">
        <v>61</v>
      </c>
      <c r="CJ658" s="13" t="n">
        <v>33</v>
      </c>
      <c r="CK658" s="13" t="n">
        <v>124</v>
      </c>
      <c r="CL658" s="13" t="n">
        <v>5</v>
      </c>
      <c r="CM658" s="13" t="n">
        <v>53</v>
      </c>
      <c r="CN658" s="13" t="n">
        <v>0.163</v>
      </c>
      <c r="CO658" s="13" t="n">
        <v>65</v>
      </c>
      <c r="CP658" s="13" t="n">
        <v>57</v>
      </c>
      <c r="CQ658" s="13" t="n">
        <v>59</v>
      </c>
      <c r="CR658" s="13" t="n">
        <v>6</v>
      </c>
      <c r="CS658" s="13" t="n">
        <v>11.4</v>
      </c>
      <c r="CT658" s="11" t="inlineStr">
        <is>
          <t xml:space="preserve"> On-Piste Carving</t>
        </is>
      </c>
      <c r="CU658" s="13" t="n"/>
      <c r="CV658" s="13" t="n"/>
      <c r="CW658" s="13" t="n"/>
      <c r="CX658">
        <f>INDEX('Data_Price '!AG$2:AG$1266,MATCH(Data!$DN658,'Data_Price '!$AT$2:$AT$1266,0))</f>
        <v/>
      </c>
      <c r="CY658">
        <f>INDEX('Data_Price '!AH$2:AH$1266,MATCH(Data!$DN658,'Data_Price '!$AT$2:$AT$1266,0))</f>
        <v/>
      </c>
      <c r="CZ658">
        <f>INDEX('Data_Price '!AI$2:AI$1266,MATCH(Data!$DN658,'Data_Price '!$AT$2:$AT$1266,0))</f>
        <v/>
      </c>
      <c r="DA658">
        <f>INDEX('Data_Price '!AJ$2:AJ$1266,MATCH(Data!$DN658,'Data_Price '!$AT$2:$AT$1266,0))</f>
        <v/>
      </c>
      <c r="DB658">
        <f>INDEX('Data_Price '!AK$2:AK$1266,MATCH(Data!$DN658,'Data_Price '!$AT$2:$AT$1266,0))</f>
        <v/>
      </c>
      <c r="DC658">
        <f>INDEX('Data_Price '!AL$2:AL$1266,MATCH(Data!$DN658,'Data_Price '!$AT$2:$AT$1266,0))</f>
        <v/>
      </c>
      <c r="DD658">
        <f>INDEX('Data_Price '!AM$2:AM$1266,MATCH(Data!$DN658,'Data_Price '!$AT$2:$AT$1266,0))</f>
        <v/>
      </c>
      <c r="DE658">
        <f>INDEX('Data_Price '!AN$2:AN$1266,MATCH(Data!$DN658,'Data_Price '!$AT$2:$AT$1266,0))</f>
        <v/>
      </c>
      <c r="DF658">
        <f>INDEX('Data_Price '!AO$2:AO$1266,MATCH(Data!$DN658,'Data_Price '!$AT$2:$AT$1266,0))</f>
        <v/>
      </c>
      <c r="DG658">
        <f>INDEX('Data_Price '!AP$2:AP$1266,MATCH(Data!$DN658,'Data_Price '!$AT$2:$AT$1266,0))</f>
        <v/>
      </c>
      <c r="DH658">
        <f>INDEX('Data_Price '!AQ$2:AQ$1266,MATCH(Data!$DN658,'Data_Price '!$AT$2:$AT$1266,0))</f>
        <v/>
      </c>
      <c r="DI658">
        <f>INDEX('Data_Price '!AR$2:AR$1266,MATCH(Data!$DN658,'Data_Price '!$AT$2:$AT$1266,0))</f>
        <v/>
      </c>
      <c r="DJ658" s="138">
        <f>DA658</f>
        <v/>
      </c>
      <c r="DK658" s="138">
        <f>DE658</f>
        <v/>
      </c>
      <c r="DL658" s="138">
        <f>DI658</f>
        <v/>
      </c>
      <c r="DM658" s="303">
        <f>IF(LEFT(BT658,1)=" ",RIGHT(BT658,LEN(BT658)-1),BT658)</f>
        <v/>
      </c>
      <c r="DN658" s="138">
        <f>_xlfn.CONCAT(BS658,DM658,BU658,BV658)</f>
        <v/>
      </c>
      <c r="DO658" s="307" t="n"/>
    </row>
    <row r="659" ht="15.6" customHeight="1" s="184">
      <c r="B659" s="303">
        <f t="array" ref="B659">IF(OR(ISERROR(K659:P659)),FALSE,TRUE)</f>
        <v/>
      </c>
      <c r="C659" s="60">
        <f>OR(BR659=Driver!$G$50,Data!BR1084=Driver!$H$50)</f>
        <v/>
      </c>
      <c r="D659" s="60">
        <f>OR(BV659=Driver!$G$51,BV659=Driver!$H$51)</f>
        <v/>
      </c>
      <c r="E659" s="60">
        <f>AND(BX659&gt;Driver!$F$54,BX659&lt;Driver!$G$54)</f>
        <v/>
      </c>
      <c r="F659" s="60">
        <f>CL659&gt;Driver!$F$56</f>
        <v/>
      </c>
      <c r="G659" s="60">
        <f>AND(CB659&gt;Driver!$F$55,CB659&lt;Driver!$G$55)</f>
        <v/>
      </c>
      <c r="H659" s="60">
        <f>AND(B659:G659)</f>
        <v/>
      </c>
      <c r="I659" s="60">
        <f>COUNTIFS($H$9:$H$1273,TRUE,$BT$9:$BT$1273,BT659)</f>
        <v/>
      </c>
      <c r="J659" s="60">
        <f t="array" ref="J659">NOT(OR(($H$9:$H$1273=TRUE)*($I$9:$I$1273&gt;0)*($BT$9:$BT$1273=BT659)*($K$9:$K$1273&gt;K659)))</f>
        <v/>
      </c>
      <c r="K659" s="108">
        <f>IFERROR(1-AVERAGE(X659:Y659),"")</f>
        <v/>
      </c>
      <c r="L659" s="108">
        <f>1-X659</f>
        <v/>
      </c>
      <c r="M659" s="108">
        <f>1-Y659</f>
        <v/>
      </c>
      <c r="N659" s="108">
        <f>1-Z659</f>
        <v/>
      </c>
      <c r="O659" s="108">
        <f>1-AA659</f>
        <v/>
      </c>
      <c r="P659" s="108">
        <f>1-AB659</f>
        <v/>
      </c>
      <c r="Q659" s="108" t="n"/>
      <c r="R659" s="108" t="n"/>
      <c r="S659" s="108">
        <f>1-AE659</f>
        <v/>
      </c>
      <c r="T659" s="108">
        <f>1-AF659</f>
        <v/>
      </c>
      <c r="U659" s="108">
        <f>1-AG659</f>
        <v/>
      </c>
      <c r="V659" s="108">
        <f>1-AH659</f>
        <v/>
      </c>
      <c r="W659" s="108">
        <f>1-AI659</f>
        <v/>
      </c>
      <c r="X659" s="108">
        <f>ABS(AJ659-AJ$1)</f>
        <v/>
      </c>
      <c r="Y659" s="108">
        <f>AVERAGE(Z659:AB659)</f>
        <v/>
      </c>
      <c r="Z659" s="108">
        <f>ABS(AL659-AL$1)</f>
        <v/>
      </c>
      <c r="AA659" s="108">
        <f>ABS(AM659-AM$1)</f>
        <v/>
      </c>
      <c r="AB659" s="108">
        <f>ABS(AN659-AN$1)</f>
        <v/>
      </c>
      <c r="AC659" s="108" t="n"/>
      <c r="AD659" s="108" t="n"/>
      <c r="AE659" s="108">
        <f>ABS(AQ$1-AQ659)</f>
        <v/>
      </c>
      <c r="AF659" s="108">
        <f>ABS(AR$1-AR659)</f>
        <v/>
      </c>
      <c r="AG659" s="108">
        <f>ABS(AS$1-AS659)</f>
        <v/>
      </c>
      <c r="AH659" s="108">
        <f>ABS(AT$1-AT659)</f>
        <v/>
      </c>
      <c r="AI659" s="108">
        <f>ABS(AU$1-AU659)</f>
        <v/>
      </c>
      <c r="AJ659" s="108">
        <f>(AV659-Driver!$K$179)/(Driver!$L$179-Driver!$K$179)</f>
        <v/>
      </c>
      <c r="AK659" s="108">
        <f>(AW659-Driver!$K$180)/(Driver!$L$180-Driver!$K$180)</f>
        <v/>
      </c>
      <c r="AL659" s="108">
        <f>(AX659-Driver!$K$181)/(Driver!$L$181-Driver!$K$181)</f>
        <v/>
      </c>
      <c r="AM659" s="108">
        <f>(AY659-Driver!$K$182)/(Driver!$L$182-Driver!$K$182)</f>
        <v/>
      </c>
      <c r="AN659" s="108">
        <f>(AZ659-Driver!$K$183)/(Driver!$L$183-Driver!$K$183)</f>
        <v/>
      </c>
      <c r="AO659" s="108" t="n"/>
      <c r="AP659" s="108" t="n"/>
      <c r="AQ659" s="108">
        <f>(BC659-Driver!$K$188)/(Driver!$L$188-Driver!$K$188)</f>
        <v/>
      </c>
      <c r="AR659" s="108">
        <f>MIN((BD659-Driver!$K$189)/(Driver!$L$189-Driver!$K$189),100%)</f>
        <v/>
      </c>
      <c r="AS659" s="108">
        <f>(BE659-Driver!$K$190)/(Driver!$L$190-Driver!$K$190)</f>
        <v/>
      </c>
      <c r="AT659" s="108">
        <f>(BF659-Driver!$K$191)/(Driver!$L$191-Driver!$K$191)</f>
        <v/>
      </c>
      <c r="AU659" s="108">
        <f>(BG659-Driver!$K$192)/(Driver!$L$192-Driver!$K$192)</f>
        <v/>
      </c>
      <c r="AV659" s="105">
        <f>IFERROR(BM659*BJ659^1/4,"")</f>
        <v/>
      </c>
      <c r="AW659" s="105">
        <f>IFERROR(SUM(AX659:AZ659),"")</f>
        <v/>
      </c>
      <c r="AX659" s="105">
        <f>IFERROR(BH659,"")</f>
        <v/>
      </c>
      <c r="AY659" s="105">
        <f>IFERROR(Driver!$K$19/Data!BH659/Data!BI659*Data!BK659*Data!BL659,"")</f>
        <v/>
      </c>
      <c r="AZ659" s="105">
        <f>IFERROR(BI659*BN659,"")</f>
        <v/>
      </c>
      <c r="BA659" s="105" t="n"/>
      <c r="BB659" s="105" t="n"/>
      <c r="BC659" s="105">
        <f>IFERROR(BI659*BN659*BK659/BJ659^(1/2),"")</f>
        <v/>
      </c>
      <c r="BD659" s="105">
        <f>IFERROR(BH659*BM659*BL659/BJ659/BK659,"")</f>
        <v/>
      </c>
      <c r="BE659" s="105">
        <f>IFERROR(MIN(BI659/BQ659/BP659/BO659/BH659,$BE$1),"")</f>
        <v/>
      </c>
      <c r="BF659" s="105">
        <f>IFERROR(BJ659*BO659*BP659/BK659,"")</f>
        <v/>
      </c>
      <c r="BG659" s="105">
        <f>IFERROR(1/BM659/BH659*BQ659,"")</f>
        <v/>
      </c>
      <c r="BH659" s="102">
        <f>MAX((CE659-Driver!$F$200)/(Driver!$G$200-Driver!$F$200)*$BI$1,1)</f>
        <v/>
      </c>
      <c r="BI659" s="102">
        <f>MAX($BI$1*(BY659-Driver!$F$201)/(Driver!$G$201-Driver!$F$201),1)</f>
        <v/>
      </c>
      <c r="BJ659" s="102">
        <f>(CB659-Driver!$F$206)/(Driver!$G$206-Driver!$F$206)*$BI$1</f>
        <v/>
      </c>
      <c r="BK659" s="102">
        <f>(CD659-Driver!$F$203)/(Driver!$G$203-Driver!$F$203)*$BI$1</f>
        <v/>
      </c>
      <c r="BL659" s="102">
        <f>MAX((CR659-Driver!$F$202)/(Driver!$G$202-Driver!$F$202)*$BI$1,1)</f>
        <v/>
      </c>
      <c r="BM659" s="102">
        <f>MAX((CH659-Driver!$F$204)/(Driver!$G$204-Driver!$F$204)*$BI$1,1)</f>
        <v/>
      </c>
      <c r="BN659" s="102">
        <f>(CI659-Driver!$F$205)/(Driver!$G$205-Driver!$F$205)*$BI$1</f>
        <v/>
      </c>
      <c r="BO659" s="102">
        <f>(CK659-Driver!$F$207)/(Driver!$G$207-Driver!$F$207)*$BI$1</f>
        <v/>
      </c>
      <c r="BP659" s="102">
        <f>(CM659-Driver!$F$208)/(Driver!$G$208-Driver!$F$208)*$BI$1</f>
        <v/>
      </c>
      <c r="BQ659" s="102">
        <f>(CL659-Driver!$F$209)/(Driver!$G$209-Driver!$F$209)*$BI$1</f>
        <v/>
      </c>
      <c r="BR659" s="40" t="inlineStr">
        <is>
          <t>21/22</t>
        </is>
      </c>
      <c r="BS659" s="10" t="inlineStr">
        <is>
          <t xml:space="preserve"> Salomon</t>
        </is>
      </c>
      <c r="BT659" s="11" t="inlineStr">
        <is>
          <t>QST Lux 92</t>
        </is>
      </c>
      <c r="BU659" s="13" t="n">
        <v>153</v>
      </c>
      <c r="BV659" s="11" t="inlineStr">
        <is>
          <t xml:space="preserve"> Women's</t>
        </is>
      </c>
      <c r="BW659" s="13" t="n">
        <v>153</v>
      </c>
      <c r="BX659" s="13" t="n">
        <v>152.2</v>
      </c>
      <c r="BY659" s="13" t="n">
        <v>115</v>
      </c>
      <c r="BZ659" s="13" t="n">
        <v>128</v>
      </c>
      <c r="CA659" s="13" t="n">
        <v>127</v>
      </c>
      <c r="CB659" s="13" t="n">
        <v>92</v>
      </c>
      <c r="CC659" s="13" t="n">
        <v>110</v>
      </c>
      <c r="CD659" s="13" t="n">
        <v>13.2</v>
      </c>
      <c r="CE659" s="13" t="n">
        <v>1584</v>
      </c>
      <c r="CF659" s="13" t="n">
        <v>1</v>
      </c>
      <c r="CG659" s="13" t="n">
        <v>1576</v>
      </c>
      <c r="CH659" s="13" t="n">
        <v>160</v>
      </c>
      <c r="CI659" s="13" t="n">
        <v>78</v>
      </c>
      <c r="CJ659" s="13" t="n">
        <v>55</v>
      </c>
      <c r="CK659" s="13" t="n">
        <v>262</v>
      </c>
      <c r="CL659" s="13" t="n">
        <v>13</v>
      </c>
      <c r="CM659" s="13" t="n">
        <v>107</v>
      </c>
      <c r="CN659" s="13" t="n">
        <v>0.24</v>
      </c>
      <c r="CO659" s="13" t="n">
        <v>136</v>
      </c>
      <c r="CP659" s="13" t="n">
        <v>106</v>
      </c>
      <c r="CQ659" s="13" t="n">
        <v>125</v>
      </c>
      <c r="CR659" s="13" t="n">
        <v>10</v>
      </c>
      <c r="CS659" s="13" t="n">
        <v>7.7</v>
      </c>
      <c r="CT659" s="11" t="inlineStr">
        <is>
          <t xml:space="preserve"> Resort Freeride</t>
        </is>
      </c>
      <c r="CU659" s="13" t="n"/>
      <c r="CV659" s="13" t="n"/>
      <c r="CW659" s="13" t="n"/>
      <c r="CX659">
        <f>INDEX('Data_Price '!AG$2:AG$1266,MATCH(Data!$DN659,'Data_Price '!$AT$2:$AT$1266,0))</f>
        <v/>
      </c>
      <c r="CY659">
        <f>INDEX('Data_Price '!AH$2:AH$1266,MATCH(Data!$DN659,'Data_Price '!$AT$2:$AT$1266,0))</f>
        <v/>
      </c>
      <c r="CZ659">
        <f>INDEX('Data_Price '!AI$2:AI$1266,MATCH(Data!$DN659,'Data_Price '!$AT$2:$AT$1266,0))</f>
        <v/>
      </c>
      <c r="DA659">
        <f>INDEX('Data_Price '!AJ$2:AJ$1266,MATCH(Data!$DN659,'Data_Price '!$AT$2:$AT$1266,0))</f>
        <v/>
      </c>
      <c r="DB659">
        <f>INDEX('Data_Price '!AK$2:AK$1266,MATCH(Data!$DN659,'Data_Price '!$AT$2:$AT$1266,0))</f>
        <v/>
      </c>
      <c r="DC659">
        <f>INDEX('Data_Price '!AL$2:AL$1266,MATCH(Data!$DN659,'Data_Price '!$AT$2:$AT$1266,0))</f>
        <v/>
      </c>
      <c r="DD659">
        <f>INDEX('Data_Price '!AM$2:AM$1266,MATCH(Data!$DN659,'Data_Price '!$AT$2:$AT$1266,0))</f>
        <v/>
      </c>
      <c r="DE659">
        <f>INDEX('Data_Price '!AN$2:AN$1266,MATCH(Data!$DN659,'Data_Price '!$AT$2:$AT$1266,0))</f>
        <v/>
      </c>
      <c r="DF659">
        <f>INDEX('Data_Price '!AO$2:AO$1266,MATCH(Data!$DN659,'Data_Price '!$AT$2:$AT$1266,0))</f>
        <v/>
      </c>
      <c r="DG659">
        <f>INDEX('Data_Price '!AP$2:AP$1266,MATCH(Data!$DN659,'Data_Price '!$AT$2:$AT$1266,0))</f>
        <v/>
      </c>
      <c r="DH659">
        <f>INDEX('Data_Price '!AQ$2:AQ$1266,MATCH(Data!$DN659,'Data_Price '!$AT$2:$AT$1266,0))</f>
        <v/>
      </c>
      <c r="DI659">
        <f>INDEX('Data_Price '!AR$2:AR$1266,MATCH(Data!$DN659,'Data_Price '!$AT$2:$AT$1266,0))</f>
        <v/>
      </c>
      <c r="DJ659" s="138">
        <f>DA659</f>
        <v/>
      </c>
      <c r="DK659" s="138">
        <f>DE659</f>
        <v/>
      </c>
      <c r="DL659" s="138">
        <f>DI659</f>
        <v/>
      </c>
      <c r="DM659" s="303">
        <f>IF(LEFT(BT659,1)=" ",RIGHT(BT659,LEN(BT659)-1),BT659)</f>
        <v/>
      </c>
      <c r="DN659" s="138">
        <f>_xlfn.CONCAT(BS659,DM659,BU659,BV659)</f>
        <v/>
      </c>
      <c r="DO659" s="307" t="inlineStr">
        <is>
          <t>https://images.evo.com/imgp/250/197279/812039/salomon-qst-lux-92-skis-women-s-2022-.jpg</t>
        </is>
      </c>
    </row>
    <row r="660" ht="15.6" customHeight="1" s="184">
      <c r="B660" s="303">
        <f t="array" ref="B660">IF(OR(ISERROR(K660:P660)),FALSE,TRUE)</f>
        <v/>
      </c>
      <c r="C660" s="60">
        <f>OR(BR660=Driver!$G$50,Data!BR452=Driver!$H$50)</f>
        <v/>
      </c>
      <c r="D660" s="60">
        <f>OR(BV660=Driver!$G$51,BV660=Driver!$H$51)</f>
        <v/>
      </c>
      <c r="E660" s="60">
        <f>AND(BX660&gt;Driver!$F$54,BX660&lt;Driver!$G$54)</f>
        <v/>
      </c>
      <c r="F660" s="60">
        <f>CL660&gt;Driver!$F$56</f>
        <v/>
      </c>
      <c r="G660" s="60">
        <f>AND(CB660&gt;Driver!$F$55,CB660&lt;Driver!$G$55)</f>
        <v/>
      </c>
      <c r="H660" s="60">
        <f>AND(B660:G660)</f>
        <v/>
      </c>
      <c r="I660" s="60">
        <f>COUNTIFS($H$9:$H$1273,TRUE,$BT$9:$BT$1273,BT660)</f>
        <v/>
      </c>
      <c r="J660" s="60">
        <f t="array" ref="J660">NOT(OR(($H$9:$H$1273=TRUE)*($I$9:$I$1273&gt;0)*($BT$9:$BT$1273=BT660)*($K$9:$K$1273&gt;K660)))</f>
        <v/>
      </c>
      <c r="K660" s="108">
        <f>IFERROR(1-AVERAGE(X660:Y660),"")</f>
        <v/>
      </c>
      <c r="L660" s="108">
        <f>1-X660</f>
        <v/>
      </c>
      <c r="M660" s="108">
        <f>1-Y660</f>
        <v/>
      </c>
      <c r="N660" s="108">
        <f>1-Z660</f>
        <v/>
      </c>
      <c r="O660" s="108">
        <f>1-AA660</f>
        <v/>
      </c>
      <c r="P660" s="108">
        <f>1-AB660</f>
        <v/>
      </c>
      <c r="Q660" s="108" t="n"/>
      <c r="R660" s="108" t="n"/>
      <c r="S660" s="108">
        <f>1-AE660</f>
        <v/>
      </c>
      <c r="T660" s="108">
        <f>1-AF660</f>
        <v/>
      </c>
      <c r="U660" s="108">
        <f>1-AG660</f>
        <v/>
      </c>
      <c r="V660" s="108">
        <f>1-AH660</f>
        <v/>
      </c>
      <c r="W660" s="108">
        <f>1-AI660</f>
        <v/>
      </c>
      <c r="X660" s="108">
        <f>ABS(AJ660-AJ$1)</f>
        <v/>
      </c>
      <c r="Y660" s="108">
        <f>AVERAGE(Z660:AB660)</f>
        <v/>
      </c>
      <c r="Z660" s="108">
        <f>ABS(AL660-AL$1)</f>
        <v/>
      </c>
      <c r="AA660" s="108">
        <f>ABS(AM660-AM$1)</f>
        <v/>
      </c>
      <c r="AB660" s="108">
        <f>ABS(AN660-AN$1)</f>
        <v/>
      </c>
      <c r="AC660" s="108" t="n"/>
      <c r="AD660" s="108" t="n"/>
      <c r="AE660" s="108">
        <f>ABS(AQ$1-AQ660)</f>
        <v/>
      </c>
      <c r="AF660" s="108">
        <f>ABS(AR$1-AR660)</f>
        <v/>
      </c>
      <c r="AG660" s="108">
        <f>ABS(AS$1-AS660)</f>
        <v/>
      </c>
      <c r="AH660" s="108">
        <f>ABS(AT$1-AT660)</f>
        <v/>
      </c>
      <c r="AI660" s="108">
        <f>ABS(AU$1-AU660)</f>
        <v/>
      </c>
      <c r="AJ660" s="108">
        <f>(AV660-Driver!$K$179)/(Driver!$L$179-Driver!$K$179)</f>
        <v/>
      </c>
      <c r="AK660" s="108">
        <f>(AW660-Driver!$K$180)/(Driver!$L$180-Driver!$K$180)</f>
        <v/>
      </c>
      <c r="AL660" s="108">
        <f>(AX660-Driver!$K$181)/(Driver!$L$181-Driver!$K$181)</f>
        <v/>
      </c>
      <c r="AM660" s="108">
        <f>(AY660-Driver!$K$182)/(Driver!$L$182-Driver!$K$182)</f>
        <v/>
      </c>
      <c r="AN660" s="108">
        <f>(AZ660-Driver!$K$183)/(Driver!$L$183-Driver!$K$183)</f>
        <v/>
      </c>
      <c r="AO660" s="108" t="n"/>
      <c r="AP660" s="108" t="n"/>
      <c r="AQ660" s="108">
        <f>(BC660-Driver!$K$188)/(Driver!$L$188-Driver!$K$188)</f>
        <v/>
      </c>
      <c r="AR660" s="108">
        <f>MIN((BD660-Driver!$K$189)/(Driver!$L$189-Driver!$K$189),100%)</f>
        <v/>
      </c>
      <c r="AS660" s="108">
        <f>(BE660-Driver!$K$190)/(Driver!$L$190-Driver!$K$190)</f>
        <v/>
      </c>
      <c r="AT660" s="108">
        <f>(BF660-Driver!$K$191)/(Driver!$L$191-Driver!$K$191)</f>
        <v/>
      </c>
      <c r="AU660" s="108">
        <f>(BG660-Driver!$K$192)/(Driver!$L$192-Driver!$K$192)</f>
        <v/>
      </c>
      <c r="AV660" s="105">
        <f>IFERROR(BM660*BJ660^1/4,"")</f>
        <v/>
      </c>
      <c r="AW660" s="105">
        <f>IFERROR(SUM(AX660:AZ660),"")</f>
        <v/>
      </c>
      <c r="AX660" s="105">
        <f>IFERROR(BH660,"")</f>
        <v/>
      </c>
      <c r="AY660" s="105">
        <f>IFERROR(Driver!$K$19/Data!BH660/Data!BI660*Data!BK660*Data!BL660,"")</f>
        <v/>
      </c>
      <c r="AZ660" s="105">
        <f>IFERROR(BI660*BN660,"")</f>
        <v/>
      </c>
      <c r="BA660" s="105" t="n"/>
      <c r="BB660" s="105" t="n"/>
      <c r="BC660" s="105">
        <f>IFERROR(BI660*BN660*BK660/BJ660^(1/2),"")</f>
        <v/>
      </c>
      <c r="BD660" s="105">
        <f>IFERROR(BH660*BM660*BL660/BJ660/BK660,"")</f>
        <v/>
      </c>
      <c r="BE660" s="105">
        <f>IFERROR(MIN(BI660/BQ660/BP660/BO660/BH660,$BE$1),"")</f>
        <v/>
      </c>
      <c r="BF660" s="105">
        <f>IFERROR(BJ660*BO660*BP660/BK660,"")</f>
        <v/>
      </c>
      <c r="BG660" s="105">
        <f>IFERROR(1/BM660/BH660*BQ660,"")</f>
        <v/>
      </c>
      <c r="BH660" s="102">
        <f>MAX((CE660-Driver!$F$200)/(Driver!$G$200-Driver!$F$200)*$BI$1,1)</f>
        <v/>
      </c>
      <c r="BI660" s="102">
        <f>MAX($BI$1*(BY660-Driver!$F$201)/(Driver!$G$201-Driver!$F$201),1)</f>
        <v/>
      </c>
      <c r="BJ660" s="102">
        <f>(CB660-Driver!$F$206)/(Driver!$G$206-Driver!$F$206)*$BI$1</f>
        <v/>
      </c>
      <c r="BK660" s="102">
        <f>(CD660-Driver!$F$203)/(Driver!$G$203-Driver!$F$203)*$BI$1</f>
        <v/>
      </c>
      <c r="BL660" s="102">
        <f>MAX((CR660-Driver!$F$202)/(Driver!$G$202-Driver!$F$202)*$BI$1,1)</f>
        <v/>
      </c>
      <c r="BM660" s="102">
        <f>MAX((CH660-Driver!$F$204)/(Driver!$G$204-Driver!$F$204)*$BI$1,1)</f>
        <v/>
      </c>
      <c r="BN660" s="102">
        <f>(CI660-Driver!$F$205)/(Driver!$G$205-Driver!$F$205)*$BI$1</f>
        <v/>
      </c>
      <c r="BO660" s="102">
        <f>(CK660-Driver!$F$207)/(Driver!$G$207-Driver!$F$207)*$BI$1</f>
        <v/>
      </c>
      <c r="BP660" s="102">
        <f>(CM660-Driver!$F$208)/(Driver!$G$208-Driver!$F$208)*$BI$1</f>
        <v/>
      </c>
      <c r="BQ660" s="102">
        <f>(CL660-Driver!$F$209)/(Driver!$G$209-Driver!$F$209)*$BI$1</f>
        <v/>
      </c>
      <c r="BR660" s="40" t="inlineStr">
        <is>
          <t>21/22</t>
        </is>
      </c>
      <c r="BS660" s="10" t="inlineStr">
        <is>
          <t xml:space="preserve"> Elan</t>
        </is>
      </c>
      <c r="BT660" s="11" t="inlineStr">
        <is>
          <t>Ripstick 88</t>
        </is>
      </c>
      <c r="BU660" s="13" t="n">
        <v>172</v>
      </c>
      <c r="BV660" s="11" t="inlineStr">
        <is>
          <t xml:space="preserve"> Unisex</t>
        </is>
      </c>
      <c r="BW660" s="13" t="n">
        <v>172</v>
      </c>
      <c r="BX660" s="13" t="n">
        <v>170.4</v>
      </c>
      <c r="BY660" s="13" t="n">
        <v>128</v>
      </c>
      <c r="BZ660" s="13" t="n">
        <v>138</v>
      </c>
      <c r="CA660" s="13" t="n">
        <v>129</v>
      </c>
      <c r="CB660" s="13" t="n">
        <v>87</v>
      </c>
      <c r="CC660" s="13" t="n">
        <v>104</v>
      </c>
      <c r="CD660" s="13" t="n">
        <v>15.4</v>
      </c>
      <c r="CE660" s="13" t="n">
        <v>1539</v>
      </c>
      <c r="CF660" s="13" t="n">
        <v>1.11</v>
      </c>
      <c r="CG660" s="13" t="n">
        <v>1713</v>
      </c>
      <c r="CH660" s="13" t="n">
        <v>182</v>
      </c>
      <c r="CI660" s="13" t="n">
        <v>67</v>
      </c>
      <c r="CJ660" s="13" t="n">
        <v>49</v>
      </c>
      <c r="CK660" s="13" t="n">
        <v>233</v>
      </c>
      <c r="CL660" s="13" t="n">
        <v>16</v>
      </c>
      <c r="CM660" s="13" t="n">
        <v>191</v>
      </c>
      <c r="CN660" s="13" t="n">
        <v>0.324</v>
      </c>
      <c r="CO660" s="13" t="n">
        <v>152</v>
      </c>
      <c r="CP660" s="13" t="n">
        <v>167</v>
      </c>
      <c r="CQ660" s="13" t="n">
        <v>81</v>
      </c>
      <c r="CR660" s="13" t="n">
        <v>4</v>
      </c>
      <c r="CS660" s="13" t="n">
        <v>9.300000000000001</v>
      </c>
      <c r="CT660" s="11" t="inlineStr">
        <is>
          <t xml:space="preserve"> Resort Freeride</t>
        </is>
      </c>
      <c r="CU660" s="11" t="inlineStr">
        <is>
          <t xml:space="preserve"> Touring</t>
        </is>
      </c>
      <c r="CV660" s="13" t="n"/>
      <c r="CW660" s="13" t="n"/>
      <c r="CX660">
        <f>INDEX('Data_Price '!AG$2:AG$1266,MATCH(Data!$DN660,'Data_Price '!$AT$2:$AT$1266,0))</f>
        <v/>
      </c>
      <c r="CY660">
        <f>INDEX('Data_Price '!AH$2:AH$1266,MATCH(Data!$DN660,'Data_Price '!$AT$2:$AT$1266,0))</f>
        <v/>
      </c>
      <c r="CZ660">
        <f>INDEX('Data_Price '!AI$2:AI$1266,MATCH(Data!$DN660,'Data_Price '!$AT$2:$AT$1266,0))</f>
        <v/>
      </c>
      <c r="DA660">
        <f>INDEX('Data_Price '!AJ$2:AJ$1266,MATCH(Data!$DN660,'Data_Price '!$AT$2:$AT$1266,0))</f>
        <v/>
      </c>
      <c r="DB660">
        <f>INDEX('Data_Price '!AK$2:AK$1266,MATCH(Data!$DN660,'Data_Price '!$AT$2:$AT$1266,0))</f>
        <v/>
      </c>
      <c r="DC660">
        <f>INDEX('Data_Price '!AL$2:AL$1266,MATCH(Data!$DN660,'Data_Price '!$AT$2:$AT$1266,0))</f>
        <v/>
      </c>
      <c r="DD660">
        <f>INDEX('Data_Price '!AM$2:AM$1266,MATCH(Data!$DN660,'Data_Price '!$AT$2:$AT$1266,0))</f>
        <v/>
      </c>
      <c r="DE660">
        <f>INDEX('Data_Price '!AN$2:AN$1266,MATCH(Data!$DN660,'Data_Price '!$AT$2:$AT$1266,0))</f>
        <v/>
      </c>
      <c r="DF660">
        <f>INDEX('Data_Price '!AO$2:AO$1266,MATCH(Data!$DN660,'Data_Price '!$AT$2:$AT$1266,0))</f>
        <v/>
      </c>
      <c r="DG660">
        <f>INDEX('Data_Price '!AP$2:AP$1266,MATCH(Data!$DN660,'Data_Price '!$AT$2:$AT$1266,0))</f>
        <v/>
      </c>
      <c r="DH660">
        <f>INDEX('Data_Price '!AQ$2:AQ$1266,MATCH(Data!$DN660,'Data_Price '!$AT$2:$AT$1266,0))</f>
        <v/>
      </c>
      <c r="DI660">
        <f>INDEX('Data_Price '!AR$2:AR$1266,MATCH(Data!$DN660,'Data_Price '!$AT$2:$AT$1266,0))</f>
        <v/>
      </c>
      <c r="DJ660" s="138">
        <f>DA660</f>
        <v/>
      </c>
      <c r="DK660" s="138">
        <f>DE660</f>
        <v/>
      </c>
      <c r="DL660" s="138">
        <f>DI660</f>
        <v/>
      </c>
      <c r="DM660" s="303">
        <f>IF(LEFT(BT660,1)=" ",RIGHT(BT660,LEN(BT660)-1),BT660)</f>
        <v/>
      </c>
      <c r="DN660" s="138">
        <f>_xlfn.CONCAT(BS660,DM660,BU660,BV660)</f>
        <v/>
      </c>
      <c r="DO660" s="307" t="inlineStr">
        <is>
          <t>https://images.evo.com/imgp/250/185141/744749/elan-ripstick-88-w-skis-women-s-2022-.jpg</t>
        </is>
      </c>
    </row>
    <row r="661" ht="15.6" customHeight="1" s="184">
      <c r="B661" s="303">
        <f t="array" ref="B661">IF(OR(ISERROR(K661:P661)),FALSE,TRUE)</f>
        <v/>
      </c>
      <c r="C661" s="60">
        <f>OR(BR661=Driver!$G$50,Data!BR474=Driver!$H$50)</f>
        <v/>
      </c>
      <c r="D661" s="60">
        <f>OR(BV661=Driver!$G$51,BV661=Driver!$H$51)</f>
        <v/>
      </c>
      <c r="E661" s="60">
        <f>AND(BX661&gt;Driver!$F$54,BX661&lt;Driver!$G$54)</f>
        <v/>
      </c>
      <c r="F661" s="60">
        <f>CL661&gt;Driver!$F$56</f>
        <v/>
      </c>
      <c r="G661" s="60">
        <f>AND(CB661&gt;Driver!$F$55,CB661&lt;Driver!$G$55)</f>
        <v/>
      </c>
      <c r="H661" s="60">
        <f>AND(B661:G661)</f>
        <v/>
      </c>
      <c r="I661" s="60">
        <f>COUNTIFS($H$9:$H$1273,TRUE,$BT$9:$BT$1273,BT661)</f>
        <v/>
      </c>
      <c r="J661" s="60">
        <f t="array" ref="J661">NOT(OR(($H$9:$H$1273=TRUE)*($I$9:$I$1273&gt;0)*($BT$9:$BT$1273=BT661)*($K$9:$K$1273&gt;K661)))</f>
        <v/>
      </c>
      <c r="K661" s="108">
        <f>IFERROR(1-AVERAGE(X661:Y661),"")</f>
        <v/>
      </c>
      <c r="L661" s="108">
        <f>1-X661</f>
        <v/>
      </c>
      <c r="M661" s="108">
        <f>1-Y661</f>
        <v/>
      </c>
      <c r="N661" s="108">
        <f>1-Z661</f>
        <v/>
      </c>
      <c r="O661" s="108">
        <f>1-AA661</f>
        <v/>
      </c>
      <c r="P661" s="108">
        <f>1-AB661</f>
        <v/>
      </c>
      <c r="Q661" s="108" t="n"/>
      <c r="R661" s="108" t="n"/>
      <c r="S661" s="108">
        <f>1-AE661</f>
        <v/>
      </c>
      <c r="T661" s="108">
        <f>1-AF661</f>
        <v/>
      </c>
      <c r="U661" s="108">
        <f>1-AG661</f>
        <v/>
      </c>
      <c r="V661" s="108">
        <f>1-AH661</f>
        <v/>
      </c>
      <c r="W661" s="108">
        <f>1-AI661</f>
        <v/>
      </c>
      <c r="X661" s="108">
        <f>ABS(AJ661-AJ$1)</f>
        <v/>
      </c>
      <c r="Y661" s="108">
        <f>AVERAGE(Z661:AB661)</f>
        <v/>
      </c>
      <c r="Z661" s="108">
        <f>ABS(AL661-AL$1)</f>
        <v/>
      </c>
      <c r="AA661" s="108">
        <f>ABS(AM661-AM$1)</f>
        <v/>
      </c>
      <c r="AB661" s="108">
        <f>ABS(AN661-AN$1)</f>
        <v/>
      </c>
      <c r="AC661" s="108" t="n"/>
      <c r="AD661" s="108" t="n"/>
      <c r="AE661" s="108">
        <f>ABS(AQ$1-AQ661)</f>
        <v/>
      </c>
      <c r="AF661" s="108">
        <f>ABS(AR$1-AR661)</f>
        <v/>
      </c>
      <c r="AG661" s="108">
        <f>ABS(AS$1-AS661)</f>
        <v/>
      </c>
      <c r="AH661" s="108">
        <f>ABS(AT$1-AT661)</f>
        <v/>
      </c>
      <c r="AI661" s="108">
        <f>ABS(AU$1-AU661)</f>
        <v/>
      </c>
      <c r="AJ661" s="108">
        <f>(AV661-Driver!$K$179)/(Driver!$L$179-Driver!$K$179)</f>
        <v/>
      </c>
      <c r="AK661" s="108">
        <f>(AW661-Driver!$K$180)/(Driver!$L$180-Driver!$K$180)</f>
        <v/>
      </c>
      <c r="AL661" s="108">
        <f>(AX661-Driver!$K$181)/(Driver!$L$181-Driver!$K$181)</f>
        <v/>
      </c>
      <c r="AM661" s="108">
        <f>(AY661-Driver!$K$182)/(Driver!$L$182-Driver!$K$182)</f>
        <v/>
      </c>
      <c r="AN661" s="108">
        <f>(AZ661-Driver!$K$183)/(Driver!$L$183-Driver!$K$183)</f>
        <v/>
      </c>
      <c r="AO661" s="108" t="n"/>
      <c r="AP661" s="108" t="n"/>
      <c r="AQ661" s="108">
        <f>(BC661-Driver!$K$188)/(Driver!$L$188-Driver!$K$188)</f>
        <v/>
      </c>
      <c r="AR661" s="108">
        <f>MIN((BD661-Driver!$K$189)/(Driver!$L$189-Driver!$K$189),100%)</f>
        <v/>
      </c>
      <c r="AS661" s="108">
        <f>(BE661-Driver!$K$190)/(Driver!$L$190-Driver!$K$190)</f>
        <v/>
      </c>
      <c r="AT661" s="108">
        <f>(BF661-Driver!$K$191)/(Driver!$L$191-Driver!$K$191)</f>
        <v/>
      </c>
      <c r="AU661" s="108">
        <f>(BG661-Driver!$K$192)/(Driver!$L$192-Driver!$K$192)</f>
        <v/>
      </c>
      <c r="AV661" s="105">
        <f>IFERROR(BM661*BJ661^1/4,"")</f>
        <v/>
      </c>
      <c r="AW661" s="105">
        <f>IFERROR(SUM(AX661:AZ661),"")</f>
        <v/>
      </c>
      <c r="AX661" s="105">
        <f>IFERROR(BH661,"")</f>
        <v/>
      </c>
      <c r="AY661" s="105">
        <f>IFERROR(Driver!$K$19/Data!BH661/Data!BI661*Data!BK661*Data!BL661,"")</f>
        <v/>
      </c>
      <c r="AZ661" s="105">
        <f>IFERROR(BI661*BN661,"")</f>
        <v/>
      </c>
      <c r="BA661" s="105" t="n"/>
      <c r="BB661" s="105" t="n"/>
      <c r="BC661" s="105">
        <f>IFERROR(BI661*BN661*BK661/BJ661^(1/2),"")</f>
        <v/>
      </c>
      <c r="BD661" s="105">
        <f>IFERROR(BH661*BM661*BL661/BJ661/BK661,"")</f>
        <v/>
      </c>
      <c r="BE661" s="105">
        <f>IFERROR(MIN(BI661/BQ661/BP661/BO661/BH661,$BE$1),"")</f>
        <v/>
      </c>
      <c r="BF661" s="105">
        <f>IFERROR(BJ661*BO661*BP661/BK661,"")</f>
        <v/>
      </c>
      <c r="BG661" s="105">
        <f>IFERROR(1/BM661/BH661*BQ661,"")</f>
        <v/>
      </c>
      <c r="BH661" s="102">
        <f>MAX((CE661-Driver!$F$200)/(Driver!$G$200-Driver!$F$200)*$BI$1,1)</f>
        <v/>
      </c>
      <c r="BI661" s="102">
        <f>MAX($BI$1*(BY661-Driver!$F$201)/(Driver!$G$201-Driver!$F$201),1)</f>
        <v/>
      </c>
      <c r="BJ661" s="102">
        <f>(CB661-Driver!$F$206)/(Driver!$G$206-Driver!$F$206)*$BI$1</f>
        <v/>
      </c>
      <c r="BK661" s="102">
        <f>(CD661-Driver!$F$203)/(Driver!$G$203-Driver!$F$203)*$BI$1</f>
        <v/>
      </c>
      <c r="BL661" s="102">
        <f>MAX((CR661-Driver!$F$202)/(Driver!$G$202-Driver!$F$202)*$BI$1,1)</f>
        <v/>
      </c>
      <c r="BM661" s="102">
        <f>MAX((CH661-Driver!$F$204)/(Driver!$G$204-Driver!$F$204)*$BI$1,1)</f>
        <v/>
      </c>
      <c r="BN661" s="102">
        <f>(CI661-Driver!$F$205)/(Driver!$G$205-Driver!$F$205)*$BI$1</f>
        <v/>
      </c>
      <c r="BO661" s="102">
        <f>(CK661-Driver!$F$207)/(Driver!$G$207-Driver!$F$207)*$BI$1</f>
        <v/>
      </c>
      <c r="BP661" s="102">
        <f>(CM661-Driver!$F$208)/(Driver!$G$208-Driver!$F$208)*$BI$1</f>
        <v/>
      </c>
      <c r="BQ661" s="102">
        <f>(CL661-Driver!$F$209)/(Driver!$G$209-Driver!$F$209)*$BI$1</f>
        <v/>
      </c>
      <c r="BR661" s="40" t="inlineStr">
        <is>
          <t>21/22</t>
        </is>
      </c>
      <c r="BS661" s="10" t="inlineStr">
        <is>
          <t xml:space="preserve"> Elan</t>
        </is>
      </c>
      <c r="BT661" s="11" t="inlineStr">
        <is>
          <t>Wildcat 82 CX</t>
        </is>
      </c>
      <c r="BU661" s="13" t="n">
        <v>158</v>
      </c>
      <c r="BV661" s="11" t="inlineStr">
        <is>
          <t xml:space="preserve"> Women's</t>
        </is>
      </c>
      <c r="BW661" s="13" t="n">
        <v>158</v>
      </c>
      <c r="BX661" s="13" t="n">
        <v>159.3</v>
      </c>
      <c r="BY661" s="13" t="n">
        <v>126</v>
      </c>
      <c r="BZ661" s="13" t="n">
        <v>139</v>
      </c>
      <c r="CA661" s="13" t="n">
        <v>129</v>
      </c>
      <c r="CB661" s="13" t="n">
        <v>81</v>
      </c>
      <c r="CC661" s="13" t="n">
        <v>112</v>
      </c>
      <c r="CD661" s="13" t="n">
        <v>12</v>
      </c>
      <c r="CE661" s="13" t="n">
        <v>1737</v>
      </c>
      <c r="CF661" s="13" t="n">
        <v>0.89</v>
      </c>
      <c r="CG661" s="13" t="n">
        <v>1543</v>
      </c>
      <c r="CH661" s="13" t="n">
        <v>192</v>
      </c>
      <c r="CI661" s="13" t="n">
        <v>75</v>
      </c>
      <c r="CJ661" s="13" t="n">
        <v>45</v>
      </c>
      <c r="CK661" s="13" t="n">
        <v>196</v>
      </c>
      <c r="CL661" s="13" t="n">
        <v>11</v>
      </c>
      <c r="CM661" s="13" t="n">
        <v>133</v>
      </c>
      <c r="CN661" s="13" t="n">
        <v>0.24</v>
      </c>
      <c r="CO661" s="13" t="n">
        <v>110</v>
      </c>
      <c r="CP661" s="13" t="n">
        <v>94</v>
      </c>
      <c r="CQ661" s="13" t="n">
        <v>86</v>
      </c>
      <c r="CR661" s="13" t="n">
        <v>6</v>
      </c>
      <c r="CS661" s="13" t="n">
        <v>8.4</v>
      </c>
      <c r="CT661" s="11" t="inlineStr">
        <is>
          <t xml:space="preserve"> On-Piste All-Mountain</t>
        </is>
      </c>
      <c r="CU661" s="11" t="inlineStr">
        <is>
          <t xml:space="preserve"> Resort Freeride</t>
        </is>
      </c>
      <c r="CV661" s="13" t="n"/>
      <c r="CW661" s="13" t="n"/>
      <c r="CX661">
        <f>INDEX('Data_Price '!AG$2:AG$1266,MATCH(Data!$DN661,'Data_Price '!$AT$2:$AT$1266,0))</f>
        <v/>
      </c>
      <c r="CY661">
        <f>INDEX('Data_Price '!AH$2:AH$1266,MATCH(Data!$DN661,'Data_Price '!$AT$2:$AT$1266,0))</f>
        <v/>
      </c>
      <c r="CZ661">
        <f>INDEX('Data_Price '!AI$2:AI$1266,MATCH(Data!$DN661,'Data_Price '!$AT$2:$AT$1266,0))</f>
        <v/>
      </c>
      <c r="DA661">
        <f>INDEX('Data_Price '!AJ$2:AJ$1266,MATCH(Data!$DN661,'Data_Price '!$AT$2:$AT$1266,0))</f>
        <v/>
      </c>
      <c r="DB661">
        <f>INDEX('Data_Price '!AK$2:AK$1266,MATCH(Data!$DN661,'Data_Price '!$AT$2:$AT$1266,0))</f>
        <v/>
      </c>
      <c r="DC661">
        <f>INDEX('Data_Price '!AL$2:AL$1266,MATCH(Data!$DN661,'Data_Price '!$AT$2:$AT$1266,0))</f>
        <v/>
      </c>
      <c r="DD661">
        <f>INDEX('Data_Price '!AM$2:AM$1266,MATCH(Data!$DN661,'Data_Price '!$AT$2:$AT$1266,0))</f>
        <v/>
      </c>
      <c r="DE661">
        <f>INDEX('Data_Price '!AN$2:AN$1266,MATCH(Data!$DN661,'Data_Price '!$AT$2:$AT$1266,0))</f>
        <v/>
      </c>
      <c r="DF661">
        <f>INDEX('Data_Price '!AO$2:AO$1266,MATCH(Data!$DN661,'Data_Price '!$AT$2:$AT$1266,0))</f>
        <v/>
      </c>
      <c r="DG661">
        <f>INDEX('Data_Price '!AP$2:AP$1266,MATCH(Data!$DN661,'Data_Price '!$AT$2:$AT$1266,0))</f>
        <v/>
      </c>
      <c r="DH661">
        <f>INDEX('Data_Price '!AQ$2:AQ$1266,MATCH(Data!$DN661,'Data_Price '!$AT$2:$AT$1266,0))</f>
        <v/>
      </c>
      <c r="DI661">
        <f>INDEX('Data_Price '!AR$2:AR$1266,MATCH(Data!$DN661,'Data_Price '!$AT$2:$AT$1266,0))</f>
        <v/>
      </c>
      <c r="DJ661" s="138">
        <f>DA661</f>
        <v/>
      </c>
      <c r="DK661" s="138">
        <f>DE661</f>
        <v/>
      </c>
      <c r="DL661" s="138">
        <f>DI661</f>
        <v/>
      </c>
      <c r="DM661" s="303">
        <f>IF(LEFT(BT661,1)=" ",RIGHT(BT661,LEN(BT661)-1),BT661)</f>
        <v/>
      </c>
      <c r="DN661" s="138">
        <f>_xlfn.CONCAT(BS661,DM661,BU661,BV661)</f>
        <v/>
      </c>
      <c r="DO661" s="307" t="n"/>
    </row>
    <row r="662" ht="15.6" customHeight="1" s="184">
      <c r="B662" s="303">
        <f t="array" ref="B662">IF(OR(ISERROR(K662:P662)),FALSE,TRUE)</f>
        <v/>
      </c>
      <c r="C662" s="60">
        <f>OR(BR662=Driver!$G$50,Data!BR656=Driver!$H$50)</f>
        <v/>
      </c>
      <c r="D662" s="60">
        <f>OR(BV662=Driver!$G$51,BV662=Driver!$H$51)</f>
        <v/>
      </c>
      <c r="E662" s="60">
        <f>AND(BX662&gt;Driver!$F$54,BX662&lt;Driver!$G$54)</f>
        <v/>
      </c>
      <c r="F662" s="60">
        <f>CL662&gt;Driver!$F$56</f>
        <v/>
      </c>
      <c r="G662" s="60">
        <f>AND(CB662&gt;Driver!$F$55,CB662&lt;Driver!$G$55)</f>
        <v/>
      </c>
      <c r="H662" s="60">
        <f>AND(B662:G662)</f>
        <v/>
      </c>
      <c r="I662" s="60">
        <f>COUNTIFS($H$9:$H$1273,TRUE,$BT$9:$BT$1273,BT662)</f>
        <v/>
      </c>
      <c r="J662" s="60">
        <f t="array" ref="J662">NOT(OR(($H$9:$H$1273=TRUE)*($I$9:$I$1273&gt;0)*($BT$9:$BT$1273=BT662)*($K$9:$K$1273&gt;K662)))</f>
        <v/>
      </c>
      <c r="K662" s="108">
        <f>IFERROR(1-AVERAGE(X662:Y662),"")</f>
        <v/>
      </c>
      <c r="L662" s="108">
        <f>1-X662</f>
        <v/>
      </c>
      <c r="M662" s="108">
        <f>1-Y662</f>
        <v/>
      </c>
      <c r="N662" s="108">
        <f>1-Z662</f>
        <v/>
      </c>
      <c r="O662" s="108">
        <f>1-AA662</f>
        <v/>
      </c>
      <c r="P662" s="108">
        <f>1-AB662</f>
        <v/>
      </c>
      <c r="Q662" s="108" t="n"/>
      <c r="R662" s="108" t="n"/>
      <c r="S662" s="108">
        <f>1-AE662</f>
        <v/>
      </c>
      <c r="T662" s="108">
        <f>1-AF662</f>
        <v/>
      </c>
      <c r="U662" s="108">
        <f>1-AG662</f>
        <v/>
      </c>
      <c r="V662" s="108">
        <f>1-AH662</f>
        <v/>
      </c>
      <c r="W662" s="108">
        <f>1-AI662</f>
        <v/>
      </c>
      <c r="X662" s="108">
        <f>ABS(AJ662-AJ$1)</f>
        <v/>
      </c>
      <c r="Y662" s="108">
        <f>AVERAGE(Z662:AB662)</f>
        <v/>
      </c>
      <c r="Z662" s="108">
        <f>ABS(AL662-AL$1)</f>
        <v/>
      </c>
      <c r="AA662" s="108">
        <f>ABS(AM662-AM$1)</f>
        <v/>
      </c>
      <c r="AB662" s="108">
        <f>ABS(AN662-AN$1)</f>
        <v/>
      </c>
      <c r="AC662" s="108" t="n"/>
      <c r="AD662" s="108" t="n"/>
      <c r="AE662" s="108">
        <f>ABS(AQ$1-AQ662)</f>
        <v/>
      </c>
      <c r="AF662" s="108">
        <f>ABS(AR$1-AR662)</f>
        <v/>
      </c>
      <c r="AG662" s="108">
        <f>ABS(AS$1-AS662)</f>
        <v/>
      </c>
      <c r="AH662" s="108">
        <f>ABS(AT$1-AT662)</f>
        <v/>
      </c>
      <c r="AI662" s="108">
        <f>ABS(AU$1-AU662)</f>
        <v/>
      </c>
      <c r="AJ662" s="108">
        <f>(AV662-Driver!$K$179)/(Driver!$L$179-Driver!$K$179)</f>
        <v/>
      </c>
      <c r="AK662" s="108">
        <f>(AW662-Driver!$K$180)/(Driver!$L$180-Driver!$K$180)</f>
        <v/>
      </c>
      <c r="AL662" s="108">
        <f>(AX662-Driver!$K$181)/(Driver!$L$181-Driver!$K$181)</f>
        <v/>
      </c>
      <c r="AM662" s="108">
        <f>(AY662-Driver!$K$182)/(Driver!$L$182-Driver!$K$182)</f>
        <v/>
      </c>
      <c r="AN662" s="108">
        <f>(AZ662-Driver!$K$183)/(Driver!$L$183-Driver!$K$183)</f>
        <v/>
      </c>
      <c r="AO662" s="108" t="n"/>
      <c r="AP662" s="108" t="n"/>
      <c r="AQ662" s="108">
        <f>(BC662-Driver!$K$188)/(Driver!$L$188-Driver!$K$188)</f>
        <v/>
      </c>
      <c r="AR662" s="108">
        <f>MIN((BD662-Driver!$K$189)/(Driver!$L$189-Driver!$K$189),100%)</f>
        <v/>
      </c>
      <c r="AS662" s="108">
        <f>(BE662-Driver!$K$190)/(Driver!$L$190-Driver!$K$190)</f>
        <v/>
      </c>
      <c r="AT662" s="108">
        <f>(BF662-Driver!$K$191)/(Driver!$L$191-Driver!$K$191)</f>
        <v/>
      </c>
      <c r="AU662" s="108">
        <f>(BG662-Driver!$K$192)/(Driver!$L$192-Driver!$K$192)</f>
        <v/>
      </c>
      <c r="AV662" s="105">
        <f>IFERROR(BM662*BJ662^1/4,"")</f>
        <v/>
      </c>
      <c r="AW662" s="105">
        <f>IFERROR(SUM(AX662:AZ662),"")</f>
        <v/>
      </c>
      <c r="AX662" s="105">
        <f>IFERROR(BH662,"")</f>
        <v/>
      </c>
      <c r="AY662" s="105">
        <f>IFERROR(Driver!$K$19/Data!BH662/Data!BI662*Data!BK662*Data!BL662,"")</f>
        <v/>
      </c>
      <c r="AZ662" s="105">
        <f>IFERROR(BI662*BN662,"")</f>
        <v/>
      </c>
      <c r="BA662" s="105" t="n"/>
      <c r="BB662" s="105" t="n"/>
      <c r="BC662" s="105">
        <f>IFERROR(BI662*BN662*BK662/BJ662^(1/2),"")</f>
        <v/>
      </c>
      <c r="BD662" s="105">
        <f>IFERROR(BH662*BM662*BL662/BJ662/BK662,"")</f>
        <v/>
      </c>
      <c r="BE662" s="105">
        <f>IFERROR(MIN(BI662/BQ662/BP662/BO662/BH662,$BE$1),"")</f>
        <v/>
      </c>
      <c r="BF662" s="105">
        <f>IFERROR(BJ662*BO662*BP662/BK662,"")</f>
        <v/>
      </c>
      <c r="BG662" s="105">
        <f>IFERROR(1/BM662/BH662*BQ662,"")</f>
        <v/>
      </c>
      <c r="BH662" s="102">
        <f>MAX((CE662-Driver!$F$200)/(Driver!$G$200-Driver!$F$200)*$BI$1,1)</f>
        <v/>
      </c>
      <c r="BI662" s="102">
        <f>MAX($BI$1*(BY662-Driver!$F$201)/(Driver!$G$201-Driver!$F$201),1)</f>
        <v/>
      </c>
      <c r="BJ662" s="102">
        <f>(CB662-Driver!$F$206)/(Driver!$G$206-Driver!$F$206)*$BI$1</f>
        <v/>
      </c>
      <c r="BK662" s="102">
        <f>(CD662-Driver!$F$203)/(Driver!$G$203-Driver!$F$203)*$BI$1</f>
        <v/>
      </c>
      <c r="BL662" s="102">
        <f>MAX((CR662-Driver!$F$202)/(Driver!$G$202-Driver!$F$202)*$BI$1,1)</f>
        <v/>
      </c>
      <c r="BM662" s="102">
        <f>MAX((CH662-Driver!$F$204)/(Driver!$G$204-Driver!$F$204)*$BI$1,1)</f>
        <v/>
      </c>
      <c r="BN662" s="102">
        <f>(CI662-Driver!$F$205)/(Driver!$G$205-Driver!$F$205)*$BI$1</f>
        <v/>
      </c>
      <c r="BO662" s="102">
        <f>(CK662-Driver!$F$207)/(Driver!$G$207-Driver!$F$207)*$BI$1</f>
        <v/>
      </c>
      <c r="BP662" s="102">
        <f>(CM662-Driver!$F$208)/(Driver!$G$208-Driver!$F$208)*$BI$1</f>
        <v/>
      </c>
      <c r="BQ662" s="102">
        <f>(CL662-Driver!$F$209)/(Driver!$G$209-Driver!$F$209)*$BI$1</f>
        <v/>
      </c>
      <c r="BR662" s="40" t="inlineStr">
        <is>
          <t>21/22</t>
        </is>
      </c>
      <c r="BS662" s="10" t="inlineStr">
        <is>
          <t xml:space="preserve"> Head</t>
        </is>
      </c>
      <c r="BT662" s="11" t="inlineStr">
        <is>
          <t>V-Shape V4</t>
        </is>
      </c>
      <c r="BU662" s="13" t="n">
        <v>163</v>
      </c>
      <c r="BV662" s="11" t="inlineStr">
        <is>
          <t xml:space="preserve"> Unisex</t>
        </is>
      </c>
      <c r="BW662" s="13" t="n">
        <v>163</v>
      </c>
      <c r="BX662" s="13" t="n">
        <v>162.6</v>
      </c>
      <c r="BY662" s="13" t="n">
        <v>143</v>
      </c>
      <c r="BZ662" s="13" t="n">
        <v>150</v>
      </c>
      <c r="CA662" s="13" t="n">
        <v>130</v>
      </c>
      <c r="CB662" s="13" t="n">
        <v>72</v>
      </c>
      <c r="CC662" s="13" t="n">
        <v>111</v>
      </c>
      <c r="CD662" s="13" t="n">
        <v>11.4</v>
      </c>
      <c r="CE662" s="13" t="n">
        <v>1796</v>
      </c>
      <c r="CF662" s="13" t="n">
        <v>0.82</v>
      </c>
      <c r="CG662" s="13" t="n">
        <v>1468</v>
      </c>
      <c r="CH662" s="13" t="n">
        <v>158</v>
      </c>
      <c r="CI662" s="13" t="n">
        <v>78</v>
      </c>
      <c r="CJ662" s="13" t="n">
        <v>33</v>
      </c>
      <c r="CK662" s="13" t="n">
        <v>138</v>
      </c>
      <c r="CL662" s="13" t="n">
        <v>7</v>
      </c>
      <c r="CM662" s="13" t="n">
        <v>57</v>
      </c>
      <c r="CN662" s="13" t="n">
        <v>0.214</v>
      </c>
      <c r="CO662" s="13" t="n">
        <v>83</v>
      </c>
      <c r="CP662" s="13" t="n">
        <v>48</v>
      </c>
      <c r="CQ662" s="13" t="n">
        <v>55</v>
      </c>
      <c r="CR662" s="13" t="n">
        <v>12</v>
      </c>
      <c r="CS662" s="13" t="n">
        <v>12.8</v>
      </c>
      <c r="CT662" s="11" t="inlineStr">
        <is>
          <t xml:space="preserve"> On-Piste Carving</t>
        </is>
      </c>
      <c r="CU662" s="13" t="n"/>
      <c r="CV662" s="13" t="n"/>
      <c r="CW662" s="13" t="n"/>
      <c r="CX662">
        <f>INDEX('Data_Price '!AG$2:AG$1266,MATCH(Data!$DN662,'Data_Price '!$AT$2:$AT$1266,0))</f>
        <v/>
      </c>
      <c r="CY662">
        <f>INDEX('Data_Price '!AH$2:AH$1266,MATCH(Data!$DN662,'Data_Price '!$AT$2:$AT$1266,0))</f>
        <v/>
      </c>
      <c r="CZ662">
        <f>INDEX('Data_Price '!AI$2:AI$1266,MATCH(Data!$DN662,'Data_Price '!$AT$2:$AT$1266,0))</f>
        <v/>
      </c>
      <c r="DA662">
        <f>INDEX('Data_Price '!AJ$2:AJ$1266,MATCH(Data!$DN662,'Data_Price '!$AT$2:$AT$1266,0))</f>
        <v/>
      </c>
      <c r="DB662">
        <f>INDEX('Data_Price '!AK$2:AK$1266,MATCH(Data!$DN662,'Data_Price '!$AT$2:$AT$1266,0))</f>
        <v/>
      </c>
      <c r="DC662">
        <f>INDEX('Data_Price '!AL$2:AL$1266,MATCH(Data!$DN662,'Data_Price '!$AT$2:$AT$1266,0))</f>
        <v/>
      </c>
      <c r="DD662">
        <f>INDEX('Data_Price '!AM$2:AM$1266,MATCH(Data!$DN662,'Data_Price '!$AT$2:$AT$1266,0))</f>
        <v/>
      </c>
      <c r="DE662">
        <f>INDEX('Data_Price '!AN$2:AN$1266,MATCH(Data!$DN662,'Data_Price '!$AT$2:$AT$1266,0))</f>
        <v/>
      </c>
      <c r="DF662">
        <f>INDEX('Data_Price '!AO$2:AO$1266,MATCH(Data!$DN662,'Data_Price '!$AT$2:$AT$1266,0))</f>
        <v/>
      </c>
      <c r="DG662">
        <f>INDEX('Data_Price '!AP$2:AP$1266,MATCH(Data!$DN662,'Data_Price '!$AT$2:$AT$1266,0))</f>
        <v/>
      </c>
      <c r="DH662">
        <f>INDEX('Data_Price '!AQ$2:AQ$1266,MATCH(Data!$DN662,'Data_Price '!$AT$2:$AT$1266,0))</f>
        <v/>
      </c>
      <c r="DI662">
        <f>INDEX('Data_Price '!AR$2:AR$1266,MATCH(Data!$DN662,'Data_Price '!$AT$2:$AT$1266,0))</f>
        <v/>
      </c>
      <c r="DJ662" s="138">
        <f>DA662</f>
        <v/>
      </c>
      <c r="DK662" s="138">
        <f>DE662</f>
        <v/>
      </c>
      <c r="DL662" s="138">
        <f>DI662</f>
        <v/>
      </c>
      <c r="DM662" s="303">
        <f>IF(LEFT(BT662,1)=" ",RIGHT(BT662,LEN(BT662)-1),BT662)</f>
        <v/>
      </c>
      <c r="DN662" s="138">
        <f>_xlfn.CONCAT(BS662,DM662,BU662,BV662)</f>
        <v/>
      </c>
      <c r="DO662" s="307" t="n"/>
    </row>
    <row r="663" ht="15.6" customHeight="1" s="184">
      <c r="B663" s="303">
        <f t="array" ref="B663">IF(OR(ISERROR(K663:P663)),FALSE,TRUE)</f>
        <v/>
      </c>
      <c r="C663" s="60">
        <f>OR(BR663=Driver!$G$50,Data!BR302=Driver!$H$50)</f>
        <v/>
      </c>
      <c r="D663" s="60">
        <f>OR(BV663=Driver!$G$51,BV663=Driver!$H$51)</f>
        <v/>
      </c>
      <c r="E663" s="60">
        <f>AND(BX663&gt;Driver!$F$54,BX663&lt;Driver!$G$54)</f>
        <v/>
      </c>
      <c r="F663" s="60">
        <f>CL663&gt;Driver!$F$56</f>
        <v/>
      </c>
      <c r="G663" s="60">
        <f>AND(CB663&gt;Driver!$F$55,CB663&lt;Driver!$G$55)</f>
        <v/>
      </c>
      <c r="H663" s="60">
        <f>AND(B663:G663)</f>
        <v/>
      </c>
      <c r="I663" s="60">
        <f>COUNTIFS($H$9:$H$1273,TRUE,$BT$9:$BT$1273,BT663)</f>
        <v/>
      </c>
      <c r="J663" s="60">
        <f t="array" ref="J663">NOT(OR(($H$9:$H$1273=TRUE)*($I$9:$I$1273&gt;0)*($BT$9:$BT$1273=BT663)*($K$9:$K$1273&gt;K663)))</f>
        <v/>
      </c>
      <c r="K663" s="108">
        <f>IFERROR(1-AVERAGE(X663:Y663),"")</f>
        <v/>
      </c>
      <c r="L663" s="108">
        <f>1-X663</f>
        <v/>
      </c>
      <c r="M663" s="108">
        <f>1-Y663</f>
        <v/>
      </c>
      <c r="N663" s="108">
        <f>1-Z663</f>
        <v/>
      </c>
      <c r="O663" s="108">
        <f>1-AA663</f>
        <v/>
      </c>
      <c r="P663" s="108">
        <f>1-AB663</f>
        <v/>
      </c>
      <c r="Q663" s="108" t="n"/>
      <c r="R663" s="108" t="n"/>
      <c r="S663" s="108">
        <f>1-AE663</f>
        <v/>
      </c>
      <c r="T663" s="108">
        <f>1-AF663</f>
        <v/>
      </c>
      <c r="U663" s="108">
        <f>1-AG663</f>
        <v/>
      </c>
      <c r="V663" s="108">
        <f>1-AH663</f>
        <v/>
      </c>
      <c r="W663" s="108">
        <f>1-AI663</f>
        <v/>
      </c>
      <c r="X663" s="108">
        <f>ABS(AJ663-AJ$1)</f>
        <v/>
      </c>
      <c r="Y663" s="108">
        <f>AVERAGE(Z663:AB663)</f>
        <v/>
      </c>
      <c r="Z663" s="108">
        <f>ABS(AL663-AL$1)</f>
        <v/>
      </c>
      <c r="AA663" s="108">
        <f>ABS(AM663-AM$1)</f>
        <v/>
      </c>
      <c r="AB663" s="108">
        <f>ABS(AN663-AN$1)</f>
        <v/>
      </c>
      <c r="AC663" s="108" t="n"/>
      <c r="AD663" s="108" t="n"/>
      <c r="AE663" s="108">
        <f>ABS(AQ$1-AQ663)</f>
        <v/>
      </c>
      <c r="AF663" s="108">
        <f>ABS(AR$1-AR663)</f>
        <v/>
      </c>
      <c r="AG663" s="108">
        <f>ABS(AS$1-AS663)</f>
        <v/>
      </c>
      <c r="AH663" s="108">
        <f>ABS(AT$1-AT663)</f>
        <v/>
      </c>
      <c r="AI663" s="108">
        <f>ABS(AU$1-AU663)</f>
        <v/>
      </c>
      <c r="AJ663" s="108">
        <f>(AV663-Driver!$K$179)/(Driver!$L$179-Driver!$K$179)</f>
        <v/>
      </c>
      <c r="AK663" s="108">
        <f>(AW663-Driver!$K$180)/(Driver!$L$180-Driver!$K$180)</f>
        <v/>
      </c>
      <c r="AL663" s="108">
        <f>(AX663-Driver!$K$181)/(Driver!$L$181-Driver!$K$181)</f>
        <v/>
      </c>
      <c r="AM663" s="108">
        <f>(AY663-Driver!$K$182)/(Driver!$L$182-Driver!$K$182)</f>
        <v/>
      </c>
      <c r="AN663" s="108">
        <f>(AZ663-Driver!$K$183)/(Driver!$L$183-Driver!$K$183)</f>
        <v/>
      </c>
      <c r="AO663" s="108" t="n"/>
      <c r="AP663" s="108" t="n"/>
      <c r="AQ663" s="108">
        <f>(BC663-Driver!$K$188)/(Driver!$L$188-Driver!$K$188)</f>
        <v/>
      </c>
      <c r="AR663" s="108">
        <f>MIN((BD663-Driver!$K$189)/(Driver!$L$189-Driver!$K$189),100%)</f>
        <v/>
      </c>
      <c r="AS663" s="108">
        <f>(BE663-Driver!$K$190)/(Driver!$L$190-Driver!$K$190)</f>
        <v/>
      </c>
      <c r="AT663" s="108">
        <f>(BF663-Driver!$K$191)/(Driver!$L$191-Driver!$K$191)</f>
        <v/>
      </c>
      <c r="AU663" s="108">
        <f>(BG663-Driver!$K$192)/(Driver!$L$192-Driver!$K$192)</f>
        <v/>
      </c>
      <c r="AV663" s="105">
        <f>IFERROR(BM663*BJ663^1/4,"")</f>
        <v/>
      </c>
      <c r="AW663" s="105">
        <f>IFERROR(SUM(AX663:AZ663),"")</f>
        <v/>
      </c>
      <c r="AX663" s="105">
        <f>IFERROR(BH663,"")</f>
        <v/>
      </c>
      <c r="AY663" s="105">
        <f>IFERROR(Driver!$K$19/Data!BH663/Data!BI663*Data!BK663*Data!BL663,"")</f>
        <v/>
      </c>
      <c r="AZ663" s="105">
        <f>IFERROR(BI663*BN663,"")</f>
        <v/>
      </c>
      <c r="BA663" s="105" t="n"/>
      <c r="BB663" s="105" t="n"/>
      <c r="BC663" s="105">
        <f>IFERROR(BI663*BN663*BK663/BJ663^(1/2),"")</f>
        <v/>
      </c>
      <c r="BD663" s="105">
        <f>IFERROR(BH663*BM663*BL663/BJ663/BK663,"")</f>
        <v/>
      </c>
      <c r="BE663" s="105">
        <f>IFERROR(MIN(BI663/BQ663/BP663/BO663/BH663,$BE$1),"")</f>
        <v/>
      </c>
      <c r="BF663" s="105">
        <f>IFERROR(BJ663*BO663*BP663/BK663,"")</f>
        <v/>
      </c>
      <c r="BG663" s="105">
        <f>IFERROR(1/BM663/BH663*BQ663,"")</f>
        <v/>
      </c>
      <c r="BH663" s="102">
        <f>MAX((CE663-Driver!$F$200)/(Driver!$G$200-Driver!$F$200)*$BI$1,1)</f>
        <v/>
      </c>
      <c r="BI663" s="102">
        <f>MAX($BI$1*(BY663-Driver!$F$201)/(Driver!$G$201-Driver!$F$201),1)</f>
        <v/>
      </c>
      <c r="BJ663" s="102">
        <f>(CB663-Driver!$F$206)/(Driver!$G$206-Driver!$F$206)*$BI$1</f>
        <v/>
      </c>
      <c r="BK663" s="102">
        <f>(CD663-Driver!$F$203)/(Driver!$G$203-Driver!$F$203)*$BI$1</f>
        <v/>
      </c>
      <c r="BL663" s="102">
        <f>MAX((CR663-Driver!$F$202)/(Driver!$G$202-Driver!$F$202)*$BI$1,1)</f>
        <v/>
      </c>
      <c r="BM663" s="102">
        <f>MAX((CH663-Driver!$F$204)/(Driver!$G$204-Driver!$F$204)*$BI$1,1)</f>
        <v/>
      </c>
      <c r="BN663" s="102">
        <f>(CI663-Driver!$F$205)/(Driver!$G$205-Driver!$F$205)*$BI$1</f>
        <v/>
      </c>
      <c r="BO663" s="102">
        <f>(CK663-Driver!$F$207)/(Driver!$G$207-Driver!$F$207)*$BI$1</f>
        <v/>
      </c>
      <c r="BP663" s="102">
        <f>(CM663-Driver!$F$208)/(Driver!$G$208-Driver!$F$208)*$BI$1</f>
        <v/>
      </c>
      <c r="BQ663" s="102">
        <f>(CL663-Driver!$F$209)/(Driver!$G$209-Driver!$F$209)*$BI$1</f>
        <v/>
      </c>
      <c r="BR663" s="40" t="inlineStr">
        <is>
          <t>21/22</t>
        </is>
      </c>
      <c r="BS663" s="10" t="inlineStr">
        <is>
          <t xml:space="preserve"> Blizzard</t>
        </is>
      </c>
      <c r="BT663" s="11" t="inlineStr">
        <is>
          <t>Sheeva 9</t>
        </is>
      </c>
      <c r="BU663" s="13" t="n">
        <v>157</v>
      </c>
      <c r="BV663" s="11" t="inlineStr">
        <is>
          <t xml:space="preserve"> Women's</t>
        </is>
      </c>
      <c r="BW663" s="13" t="n">
        <v>157</v>
      </c>
      <c r="BX663" s="13" t="n">
        <v>155.7</v>
      </c>
      <c r="BY663" s="13" t="n">
        <v>104</v>
      </c>
      <c r="BZ663" s="13" t="n">
        <v>127</v>
      </c>
      <c r="CA663" s="13" t="n">
        <v>122</v>
      </c>
      <c r="CB663" s="13" t="n">
        <v>91</v>
      </c>
      <c r="CC663" s="13" t="n">
        <v>112</v>
      </c>
      <c r="CD663" s="13" t="n">
        <v>13.9</v>
      </c>
      <c r="CE663" s="13" t="n">
        <v>1689</v>
      </c>
      <c r="CF663" s="13" t="n">
        <v>0.9399999999999999</v>
      </c>
      <c r="CG663" s="13" t="n">
        <v>1585</v>
      </c>
      <c r="CH663" s="13" t="n">
        <v>161</v>
      </c>
      <c r="CI663" s="13" t="n">
        <v>83</v>
      </c>
      <c r="CJ663" s="13" t="n">
        <v>63</v>
      </c>
      <c r="CK663" s="13" t="n">
        <v>307</v>
      </c>
      <c r="CL663" s="13" t="n">
        <v>28</v>
      </c>
      <c r="CM663" s="13" t="n">
        <v>206</v>
      </c>
      <c r="CN663" s="13" t="n">
        <v>0.442</v>
      </c>
      <c r="CO663" s="13" t="n">
        <v>146</v>
      </c>
      <c r="CP663" s="13" t="n">
        <v>137</v>
      </c>
      <c r="CQ663" s="13" t="n">
        <v>160</v>
      </c>
      <c r="CR663" s="13" t="n">
        <v>4</v>
      </c>
      <c r="CS663" s="13" t="n">
        <v>6.3</v>
      </c>
      <c r="CT663" s="11" t="inlineStr">
        <is>
          <t xml:space="preserve"> Resort Freeride</t>
        </is>
      </c>
      <c r="CU663" s="13" t="n"/>
      <c r="CV663" s="13" t="n"/>
      <c r="CW663" s="13" t="n"/>
      <c r="CX663">
        <f>INDEX('Data_Price '!AG$2:AG$1266,MATCH(Data!$DN663,'Data_Price '!$AT$2:$AT$1266,0))</f>
        <v/>
      </c>
      <c r="CY663">
        <f>INDEX('Data_Price '!AH$2:AH$1266,MATCH(Data!$DN663,'Data_Price '!$AT$2:$AT$1266,0))</f>
        <v/>
      </c>
      <c r="CZ663">
        <f>INDEX('Data_Price '!AI$2:AI$1266,MATCH(Data!$DN663,'Data_Price '!$AT$2:$AT$1266,0))</f>
        <v/>
      </c>
      <c r="DA663">
        <f>INDEX('Data_Price '!AJ$2:AJ$1266,MATCH(Data!$DN663,'Data_Price '!$AT$2:$AT$1266,0))</f>
        <v/>
      </c>
      <c r="DB663">
        <f>INDEX('Data_Price '!AK$2:AK$1266,MATCH(Data!$DN663,'Data_Price '!$AT$2:$AT$1266,0))</f>
        <v/>
      </c>
      <c r="DC663">
        <f>INDEX('Data_Price '!AL$2:AL$1266,MATCH(Data!$DN663,'Data_Price '!$AT$2:$AT$1266,0))</f>
        <v/>
      </c>
      <c r="DD663">
        <f>INDEX('Data_Price '!AM$2:AM$1266,MATCH(Data!$DN663,'Data_Price '!$AT$2:$AT$1266,0))</f>
        <v/>
      </c>
      <c r="DE663">
        <f>INDEX('Data_Price '!AN$2:AN$1266,MATCH(Data!$DN663,'Data_Price '!$AT$2:$AT$1266,0))</f>
        <v/>
      </c>
      <c r="DF663">
        <f>INDEX('Data_Price '!AO$2:AO$1266,MATCH(Data!$DN663,'Data_Price '!$AT$2:$AT$1266,0))</f>
        <v/>
      </c>
      <c r="DG663">
        <f>INDEX('Data_Price '!AP$2:AP$1266,MATCH(Data!$DN663,'Data_Price '!$AT$2:$AT$1266,0))</f>
        <v/>
      </c>
      <c r="DH663">
        <f>INDEX('Data_Price '!AQ$2:AQ$1266,MATCH(Data!$DN663,'Data_Price '!$AT$2:$AT$1266,0))</f>
        <v/>
      </c>
      <c r="DI663">
        <f>INDEX('Data_Price '!AR$2:AR$1266,MATCH(Data!$DN663,'Data_Price '!$AT$2:$AT$1266,0))</f>
        <v/>
      </c>
      <c r="DJ663" s="138">
        <f>DA663</f>
        <v/>
      </c>
      <c r="DK663" s="138">
        <f>DE663</f>
        <v/>
      </c>
      <c r="DL663" s="138">
        <f>DI663</f>
        <v/>
      </c>
      <c r="DM663" s="303">
        <f>IF(LEFT(BT663,1)=" ",RIGHT(BT663,LEN(BT663)-1),BT663)</f>
        <v/>
      </c>
      <c r="DN663" s="138">
        <f>_xlfn.CONCAT(BS663,DM663,BU663,BV663)</f>
        <v/>
      </c>
      <c r="DO663" s="307" t="inlineStr">
        <is>
          <t>https://images.evo.com/imgp/250/176892/722700/blizzard-sheeva-9-skis-women-s-2022-.jpg</t>
        </is>
      </c>
    </row>
    <row r="664" ht="15.6" customHeight="1" s="184">
      <c r="B664" s="303">
        <f t="array" ref="B664">IF(OR(ISERROR(K664:P664)),FALSE,TRUE)</f>
        <v/>
      </c>
      <c r="C664" s="60">
        <f>OR(BR664=Driver!$G$50,Data!BR1181=Driver!$H$50)</f>
        <v/>
      </c>
      <c r="D664" s="60">
        <f>OR(BV664=Driver!$G$51,BV664=Driver!$H$51)</f>
        <v/>
      </c>
      <c r="E664" s="60">
        <f>AND(BX664&gt;Driver!$F$54,BX664&lt;Driver!$G$54)</f>
        <v/>
      </c>
      <c r="F664" s="60">
        <f>CL664&gt;Driver!$F$56</f>
        <v/>
      </c>
      <c r="G664" s="60">
        <f>AND(CB664&gt;Driver!$F$55,CB664&lt;Driver!$G$55)</f>
        <v/>
      </c>
      <c r="H664" s="60">
        <f>AND(B664:G664)</f>
        <v/>
      </c>
      <c r="I664" s="60">
        <f>COUNTIFS($H$9:$H$1273,TRUE,$BT$9:$BT$1273,BT664)</f>
        <v/>
      </c>
      <c r="J664" s="60">
        <f t="array" ref="J664">NOT(OR(($H$9:$H$1273=TRUE)*($I$9:$I$1273&gt;0)*($BT$9:$BT$1273=BT664)*($K$9:$K$1273&gt;K664)))</f>
        <v/>
      </c>
      <c r="K664" s="108">
        <f>IFERROR(1-AVERAGE(X664:Y664),"")</f>
        <v/>
      </c>
      <c r="L664" s="108">
        <f>1-X664</f>
        <v/>
      </c>
      <c r="M664" s="108">
        <f>1-Y664</f>
        <v/>
      </c>
      <c r="N664" s="108">
        <f>1-Z664</f>
        <v/>
      </c>
      <c r="O664" s="108">
        <f>1-AA664</f>
        <v/>
      </c>
      <c r="P664" s="108">
        <f>1-AB664</f>
        <v/>
      </c>
      <c r="Q664" s="108" t="n"/>
      <c r="R664" s="108" t="n"/>
      <c r="S664" s="108">
        <f>1-AE664</f>
        <v/>
      </c>
      <c r="T664" s="108">
        <f>1-AF664</f>
        <v/>
      </c>
      <c r="U664" s="108">
        <f>1-AG664</f>
        <v/>
      </c>
      <c r="V664" s="108">
        <f>1-AH664</f>
        <v/>
      </c>
      <c r="W664" s="108">
        <f>1-AI664</f>
        <v/>
      </c>
      <c r="X664" s="108">
        <f>ABS(AJ664-AJ$1)</f>
        <v/>
      </c>
      <c r="Y664" s="108">
        <f>AVERAGE(Z664:AB664)</f>
        <v/>
      </c>
      <c r="Z664" s="108">
        <f>ABS(AL664-AL$1)</f>
        <v/>
      </c>
      <c r="AA664" s="108">
        <f>ABS(AM664-AM$1)</f>
        <v/>
      </c>
      <c r="AB664" s="108">
        <f>ABS(AN664-AN$1)</f>
        <v/>
      </c>
      <c r="AC664" s="108" t="n"/>
      <c r="AD664" s="108" t="n"/>
      <c r="AE664" s="108">
        <f>ABS(AQ$1-AQ664)</f>
        <v/>
      </c>
      <c r="AF664" s="108">
        <f>ABS(AR$1-AR664)</f>
        <v/>
      </c>
      <c r="AG664" s="108">
        <f>ABS(AS$1-AS664)</f>
        <v/>
      </c>
      <c r="AH664" s="108">
        <f>ABS(AT$1-AT664)</f>
        <v/>
      </c>
      <c r="AI664" s="108">
        <f>ABS(AU$1-AU664)</f>
        <v/>
      </c>
      <c r="AJ664" s="108">
        <f>(AV664-Driver!$K$179)/(Driver!$L$179-Driver!$K$179)</f>
        <v/>
      </c>
      <c r="AK664" s="108">
        <f>(AW664-Driver!$K$180)/(Driver!$L$180-Driver!$K$180)</f>
        <v/>
      </c>
      <c r="AL664" s="108">
        <f>(AX664-Driver!$K$181)/(Driver!$L$181-Driver!$K$181)</f>
        <v/>
      </c>
      <c r="AM664" s="108">
        <f>(AY664-Driver!$K$182)/(Driver!$L$182-Driver!$K$182)</f>
        <v/>
      </c>
      <c r="AN664" s="108">
        <f>(AZ664-Driver!$K$183)/(Driver!$L$183-Driver!$K$183)</f>
        <v/>
      </c>
      <c r="AO664" s="108" t="n"/>
      <c r="AP664" s="108" t="n"/>
      <c r="AQ664" s="108">
        <f>(BC664-Driver!$K$188)/(Driver!$L$188-Driver!$K$188)</f>
        <v/>
      </c>
      <c r="AR664" s="108">
        <f>MIN((BD664-Driver!$K$189)/(Driver!$L$189-Driver!$K$189),100%)</f>
        <v/>
      </c>
      <c r="AS664" s="108">
        <f>(BE664-Driver!$K$190)/(Driver!$L$190-Driver!$K$190)</f>
        <v/>
      </c>
      <c r="AT664" s="108">
        <f>(BF664-Driver!$K$191)/(Driver!$L$191-Driver!$K$191)</f>
        <v/>
      </c>
      <c r="AU664" s="108">
        <f>(BG664-Driver!$K$192)/(Driver!$L$192-Driver!$K$192)</f>
        <v/>
      </c>
      <c r="AV664" s="105">
        <f>IFERROR(BM664*BJ664^1/4,"")</f>
        <v/>
      </c>
      <c r="AW664" s="105">
        <f>IFERROR(SUM(AX664:AZ664),"")</f>
        <v/>
      </c>
      <c r="AX664" s="105">
        <f>IFERROR(BH664,"")</f>
        <v/>
      </c>
      <c r="AY664" s="105">
        <f>IFERROR(Driver!$K$19/Data!BH664/Data!BI664*Data!BK664*Data!BL664,"")</f>
        <v/>
      </c>
      <c r="AZ664" s="105">
        <f>IFERROR(BI664*BN664,"")</f>
        <v/>
      </c>
      <c r="BA664" s="105" t="n"/>
      <c r="BB664" s="105" t="n"/>
      <c r="BC664" s="105">
        <f>IFERROR(BI664*BN664*BK664/BJ664^(1/2),"")</f>
        <v/>
      </c>
      <c r="BD664" s="105">
        <f>IFERROR(BH664*BM664*BL664/BJ664/BK664,"")</f>
        <v/>
      </c>
      <c r="BE664" s="105">
        <f>IFERROR(MIN(BI664/BQ664/BP664/BO664/BH664,$BE$1),"")</f>
        <v/>
      </c>
      <c r="BF664" s="105">
        <f>IFERROR(BJ664*BO664*BP664/BK664,"")</f>
        <v/>
      </c>
      <c r="BG664" s="105">
        <f>IFERROR(1/BM664/BH664*BQ664,"")</f>
        <v/>
      </c>
      <c r="BH664" s="102">
        <f>MAX((CE664-Driver!$F$200)/(Driver!$G$200-Driver!$F$200)*$BI$1,1)</f>
        <v/>
      </c>
      <c r="BI664" s="102">
        <f>MAX($BI$1*(BY664-Driver!$F$201)/(Driver!$G$201-Driver!$F$201),1)</f>
        <v/>
      </c>
      <c r="BJ664" s="102">
        <f>(CB664-Driver!$F$206)/(Driver!$G$206-Driver!$F$206)*$BI$1</f>
        <v/>
      </c>
      <c r="BK664" s="102">
        <f>(CD664-Driver!$F$203)/(Driver!$G$203-Driver!$F$203)*$BI$1</f>
        <v/>
      </c>
      <c r="BL664" s="102">
        <f>MAX((CR664-Driver!$F$202)/(Driver!$G$202-Driver!$F$202)*$BI$1,1)</f>
        <v/>
      </c>
      <c r="BM664" s="102">
        <f>MAX((CH664-Driver!$F$204)/(Driver!$G$204-Driver!$F$204)*$BI$1,1)</f>
        <v/>
      </c>
      <c r="BN664" s="102">
        <f>(CI664-Driver!$F$205)/(Driver!$G$205-Driver!$F$205)*$BI$1</f>
        <v/>
      </c>
      <c r="BO664" s="102">
        <f>(CK664-Driver!$F$207)/(Driver!$G$207-Driver!$F$207)*$BI$1</f>
        <v/>
      </c>
      <c r="BP664" s="102">
        <f>(CM664-Driver!$F$208)/(Driver!$G$208-Driver!$F$208)*$BI$1</f>
        <v/>
      </c>
      <c r="BQ664" s="102">
        <f>(CL664-Driver!$F$209)/(Driver!$G$209-Driver!$F$209)*$BI$1</f>
        <v/>
      </c>
      <c r="BR664" s="40" t="inlineStr">
        <is>
          <t>21/22</t>
        </is>
      </c>
      <c r="BS664" s="10" t="inlineStr">
        <is>
          <t xml:space="preserve"> Völkl</t>
        </is>
      </c>
      <c r="BT664" s="11" t="inlineStr">
        <is>
          <t>Deacon 79</t>
        </is>
      </c>
      <c r="BU664" s="13" t="n">
        <v>170</v>
      </c>
      <c r="BV664" s="11" t="inlineStr">
        <is>
          <t xml:space="preserve"> Unisex</t>
        </is>
      </c>
      <c r="BW664" s="13" t="n">
        <v>170</v>
      </c>
      <c r="BX664" s="13" t="n">
        <v>169.3</v>
      </c>
      <c r="BY664" s="13" t="n">
        <v>144</v>
      </c>
      <c r="BZ664" s="13" t="n">
        <v>157</v>
      </c>
      <c r="CA664" s="13" t="n">
        <v>128</v>
      </c>
      <c r="CB664" s="13" t="n">
        <v>78</v>
      </c>
      <c r="CC664" s="13" t="n">
        <v>108</v>
      </c>
      <c r="CD664" s="13" t="n">
        <v>15.5</v>
      </c>
      <c r="CE664" s="13" t="n">
        <v>1717</v>
      </c>
      <c r="CF664" s="13" t="n">
        <v>0.91</v>
      </c>
      <c r="CG664" s="13" t="n">
        <v>1568</v>
      </c>
      <c r="CH664" s="13" t="n">
        <v>189</v>
      </c>
      <c r="CI664" s="13" t="n">
        <v>73</v>
      </c>
      <c r="CJ664" s="13" t="n">
        <v>35</v>
      </c>
      <c r="CK664" s="13" t="n">
        <v>174</v>
      </c>
      <c r="CL664" s="13" t="n">
        <v>5</v>
      </c>
      <c r="CM664" s="13" t="n">
        <v>83</v>
      </c>
      <c r="CN664" s="13" t="n">
        <v>0.136</v>
      </c>
      <c r="CO664" s="13" t="n">
        <v>69</v>
      </c>
      <c r="CP664" s="13" t="n">
        <v>51</v>
      </c>
      <c r="CQ664" s="13" t="n">
        <v>105</v>
      </c>
      <c r="CR664" s="13" t="n">
        <v>10</v>
      </c>
      <c r="CS664" s="13" t="n">
        <v>11.4</v>
      </c>
      <c r="CT664" s="11" t="inlineStr">
        <is>
          <t xml:space="preserve"> On-Piste Carving</t>
        </is>
      </c>
      <c r="CU664" s="13" t="n"/>
      <c r="CV664" s="13" t="n"/>
      <c r="CW664" s="13" t="n"/>
      <c r="CX664">
        <f>INDEX('Data_Price '!AG$2:AG$1266,MATCH(Data!$DN664,'Data_Price '!$AT$2:$AT$1266,0))</f>
        <v/>
      </c>
      <c r="CY664">
        <f>INDEX('Data_Price '!AH$2:AH$1266,MATCH(Data!$DN664,'Data_Price '!$AT$2:$AT$1266,0))</f>
        <v/>
      </c>
      <c r="CZ664">
        <f>INDEX('Data_Price '!AI$2:AI$1266,MATCH(Data!$DN664,'Data_Price '!$AT$2:$AT$1266,0))</f>
        <v/>
      </c>
      <c r="DA664">
        <f>INDEX('Data_Price '!AJ$2:AJ$1266,MATCH(Data!$DN664,'Data_Price '!$AT$2:$AT$1266,0))</f>
        <v/>
      </c>
      <c r="DB664">
        <f>INDEX('Data_Price '!AK$2:AK$1266,MATCH(Data!$DN664,'Data_Price '!$AT$2:$AT$1266,0))</f>
        <v/>
      </c>
      <c r="DC664">
        <f>INDEX('Data_Price '!AL$2:AL$1266,MATCH(Data!$DN664,'Data_Price '!$AT$2:$AT$1266,0))</f>
        <v/>
      </c>
      <c r="DD664">
        <f>INDEX('Data_Price '!AM$2:AM$1266,MATCH(Data!$DN664,'Data_Price '!$AT$2:$AT$1266,0))</f>
        <v/>
      </c>
      <c r="DE664">
        <f>INDEX('Data_Price '!AN$2:AN$1266,MATCH(Data!$DN664,'Data_Price '!$AT$2:$AT$1266,0))</f>
        <v/>
      </c>
      <c r="DF664">
        <f>INDEX('Data_Price '!AO$2:AO$1266,MATCH(Data!$DN664,'Data_Price '!$AT$2:$AT$1266,0))</f>
        <v/>
      </c>
      <c r="DG664">
        <f>INDEX('Data_Price '!AP$2:AP$1266,MATCH(Data!$DN664,'Data_Price '!$AT$2:$AT$1266,0))</f>
        <v/>
      </c>
      <c r="DH664">
        <f>INDEX('Data_Price '!AQ$2:AQ$1266,MATCH(Data!$DN664,'Data_Price '!$AT$2:$AT$1266,0))</f>
        <v/>
      </c>
      <c r="DI664">
        <f>INDEX('Data_Price '!AR$2:AR$1266,MATCH(Data!$DN664,'Data_Price '!$AT$2:$AT$1266,0))</f>
        <v/>
      </c>
      <c r="DJ664" s="138">
        <f>DA664</f>
        <v/>
      </c>
      <c r="DK664" s="138">
        <f>DE664</f>
        <v/>
      </c>
      <c r="DL664" s="138">
        <f>DI664</f>
        <v/>
      </c>
      <c r="DM664" s="303">
        <f>IF(LEFT(BT664,1)=" ",RIGHT(BT664,LEN(BT664)-1),BT664)</f>
        <v/>
      </c>
      <c r="DN664" s="138">
        <f>_xlfn.CONCAT(BS664,DM664,BU664,BV664)</f>
        <v/>
      </c>
      <c r="DO664" s="307" t="n"/>
    </row>
    <row r="665" ht="15.6" customHeight="1" s="184">
      <c r="B665" s="303">
        <f t="array" ref="B665">IF(OR(ISERROR(K665:P665)),FALSE,TRUE)</f>
        <v/>
      </c>
      <c r="C665" s="60">
        <f>OR(BR665=Driver!$G$50,Data!BR441=Driver!$H$50)</f>
        <v/>
      </c>
      <c r="D665" s="60">
        <f>OR(BV665=Driver!$G$51,BV665=Driver!$H$51)</f>
        <v/>
      </c>
      <c r="E665" s="60">
        <f>AND(BX665&gt;Driver!$F$54,BX665&lt;Driver!$G$54)</f>
        <v/>
      </c>
      <c r="F665" s="60">
        <f>CL665&gt;Driver!$F$56</f>
        <v/>
      </c>
      <c r="G665" s="60">
        <f>AND(CB665&gt;Driver!$F$55,CB665&lt;Driver!$G$55)</f>
        <v/>
      </c>
      <c r="H665" s="60">
        <f>AND(B665:G665)</f>
        <v/>
      </c>
      <c r="I665" s="60">
        <f>COUNTIFS($H$9:$H$1273,TRUE,$BT$9:$BT$1273,BT665)</f>
        <v/>
      </c>
      <c r="J665" s="60">
        <f t="array" ref="J665">NOT(OR(($H$9:$H$1273=TRUE)*($I$9:$I$1273&gt;0)*($BT$9:$BT$1273=BT665)*($K$9:$K$1273&gt;K665)))</f>
        <v/>
      </c>
      <c r="K665" s="108">
        <f>IFERROR(1-AVERAGE(X665:Y665),"")</f>
        <v/>
      </c>
      <c r="L665" s="108">
        <f>1-X665</f>
        <v/>
      </c>
      <c r="M665" s="108">
        <f>1-Y665</f>
        <v/>
      </c>
      <c r="N665" s="108">
        <f>1-Z665</f>
        <v/>
      </c>
      <c r="O665" s="108">
        <f>1-AA665</f>
        <v/>
      </c>
      <c r="P665" s="108">
        <f>1-AB665</f>
        <v/>
      </c>
      <c r="Q665" s="108" t="n"/>
      <c r="R665" s="108" t="n"/>
      <c r="S665" s="108">
        <f>1-AE665</f>
        <v/>
      </c>
      <c r="T665" s="108">
        <f>1-AF665</f>
        <v/>
      </c>
      <c r="U665" s="108">
        <f>1-AG665</f>
        <v/>
      </c>
      <c r="V665" s="108">
        <f>1-AH665</f>
        <v/>
      </c>
      <c r="W665" s="108">
        <f>1-AI665</f>
        <v/>
      </c>
      <c r="X665" s="108">
        <f>ABS(AJ665-AJ$1)</f>
        <v/>
      </c>
      <c r="Y665" s="108">
        <f>AVERAGE(Z665:AB665)</f>
        <v/>
      </c>
      <c r="Z665" s="108">
        <f>ABS(AL665-AL$1)</f>
        <v/>
      </c>
      <c r="AA665" s="108">
        <f>ABS(AM665-AM$1)</f>
        <v/>
      </c>
      <c r="AB665" s="108">
        <f>ABS(AN665-AN$1)</f>
        <v/>
      </c>
      <c r="AC665" s="108" t="n"/>
      <c r="AD665" s="108" t="n"/>
      <c r="AE665" s="108">
        <f>ABS(AQ$1-AQ665)</f>
        <v/>
      </c>
      <c r="AF665" s="108">
        <f>ABS(AR$1-AR665)</f>
        <v/>
      </c>
      <c r="AG665" s="108">
        <f>ABS(AS$1-AS665)</f>
        <v/>
      </c>
      <c r="AH665" s="108">
        <f>ABS(AT$1-AT665)</f>
        <v/>
      </c>
      <c r="AI665" s="108">
        <f>ABS(AU$1-AU665)</f>
        <v/>
      </c>
      <c r="AJ665" s="108">
        <f>(AV665-Driver!$K$179)/(Driver!$L$179-Driver!$K$179)</f>
        <v/>
      </c>
      <c r="AK665" s="108">
        <f>(AW665-Driver!$K$180)/(Driver!$L$180-Driver!$K$180)</f>
        <v/>
      </c>
      <c r="AL665" s="108">
        <f>(AX665-Driver!$K$181)/(Driver!$L$181-Driver!$K$181)</f>
        <v/>
      </c>
      <c r="AM665" s="108">
        <f>(AY665-Driver!$K$182)/(Driver!$L$182-Driver!$K$182)</f>
        <v/>
      </c>
      <c r="AN665" s="108">
        <f>(AZ665-Driver!$K$183)/(Driver!$L$183-Driver!$K$183)</f>
        <v/>
      </c>
      <c r="AO665" s="108" t="n"/>
      <c r="AP665" s="108" t="n"/>
      <c r="AQ665" s="108">
        <f>(BC665-Driver!$K$188)/(Driver!$L$188-Driver!$K$188)</f>
        <v/>
      </c>
      <c r="AR665" s="108">
        <f>MIN((BD665-Driver!$K$189)/(Driver!$L$189-Driver!$K$189),100%)</f>
        <v/>
      </c>
      <c r="AS665" s="108">
        <f>(BE665-Driver!$K$190)/(Driver!$L$190-Driver!$K$190)</f>
        <v/>
      </c>
      <c r="AT665" s="108">
        <f>(BF665-Driver!$K$191)/(Driver!$L$191-Driver!$K$191)</f>
        <v/>
      </c>
      <c r="AU665" s="108">
        <f>(BG665-Driver!$K$192)/(Driver!$L$192-Driver!$K$192)</f>
        <v/>
      </c>
      <c r="AV665" s="105">
        <f>IFERROR(BM665*BJ665^1/4,"")</f>
        <v/>
      </c>
      <c r="AW665" s="105">
        <f>IFERROR(SUM(AX665:AZ665),"")</f>
        <v/>
      </c>
      <c r="AX665" s="105">
        <f>IFERROR(BH665,"")</f>
        <v/>
      </c>
      <c r="AY665" s="105">
        <f>IFERROR(Driver!$K$19/Data!BH665/Data!BI665*Data!BK665*Data!BL665,"")</f>
        <v/>
      </c>
      <c r="AZ665" s="105">
        <f>IFERROR(BI665*BN665,"")</f>
        <v/>
      </c>
      <c r="BA665" s="105" t="n"/>
      <c r="BB665" s="105" t="n"/>
      <c r="BC665" s="105">
        <f>IFERROR(BI665*BN665*BK665/BJ665^(1/2),"")</f>
        <v/>
      </c>
      <c r="BD665" s="105">
        <f>IFERROR(BH665*BM665*BL665/BJ665/BK665,"")</f>
        <v/>
      </c>
      <c r="BE665" s="105">
        <f>IFERROR(MIN(BI665/BQ665/BP665/BO665/BH665,$BE$1),"")</f>
        <v/>
      </c>
      <c r="BF665" s="105">
        <f>IFERROR(BJ665*BO665*BP665/BK665,"")</f>
        <v/>
      </c>
      <c r="BG665" s="105">
        <f>IFERROR(1/BM665/BH665*BQ665,"")</f>
        <v/>
      </c>
      <c r="BH665" s="102">
        <f>MAX((CE665-Driver!$F$200)/(Driver!$G$200-Driver!$F$200)*$BI$1,1)</f>
        <v/>
      </c>
      <c r="BI665" s="102">
        <f>MAX($BI$1*(BY665-Driver!$F$201)/(Driver!$G$201-Driver!$F$201),1)</f>
        <v/>
      </c>
      <c r="BJ665" s="102">
        <f>(CB665-Driver!$F$206)/(Driver!$G$206-Driver!$F$206)*$BI$1</f>
        <v/>
      </c>
      <c r="BK665" s="102">
        <f>(CD665-Driver!$F$203)/(Driver!$G$203-Driver!$F$203)*$BI$1</f>
        <v/>
      </c>
      <c r="BL665" s="102">
        <f>MAX((CR665-Driver!$F$202)/(Driver!$G$202-Driver!$F$202)*$BI$1,1)</f>
        <v/>
      </c>
      <c r="BM665" s="102">
        <f>MAX((CH665-Driver!$F$204)/(Driver!$G$204-Driver!$F$204)*$BI$1,1)</f>
        <v/>
      </c>
      <c r="BN665" s="102">
        <f>(CI665-Driver!$F$205)/(Driver!$G$205-Driver!$F$205)*$BI$1</f>
        <v/>
      </c>
      <c r="BO665" s="102">
        <f>(CK665-Driver!$F$207)/(Driver!$G$207-Driver!$F$207)*$BI$1</f>
        <v/>
      </c>
      <c r="BP665" s="102">
        <f>(CM665-Driver!$F$208)/(Driver!$G$208-Driver!$F$208)*$BI$1</f>
        <v/>
      </c>
      <c r="BQ665" s="102">
        <f>(CL665-Driver!$F$209)/(Driver!$G$209-Driver!$F$209)*$BI$1</f>
        <v/>
      </c>
      <c r="BR665" s="40" t="inlineStr">
        <is>
          <t>21/22</t>
        </is>
      </c>
      <c r="BS665" s="10" t="inlineStr">
        <is>
          <t xml:space="preserve"> Elan</t>
        </is>
      </c>
      <c r="BT665" s="11" t="inlineStr">
        <is>
          <t>Insomnia 16 Ti</t>
        </is>
      </c>
      <c r="BU665" s="13" t="n">
        <v>164</v>
      </c>
      <c r="BV665" s="11" t="inlineStr">
        <is>
          <t xml:space="preserve"> Women's</t>
        </is>
      </c>
      <c r="BW665" s="13" t="n">
        <v>164</v>
      </c>
      <c r="BX665" s="13" t="n">
        <v>164.9</v>
      </c>
      <c r="BY665" s="13" t="n">
        <v>147</v>
      </c>
      <c r="BZ665" s="13" t="n">
        <v>153</v>
      </c>
      <c r="CA665" s="13" t="n">
        <v>121</v>
      </c>
      <c r="CB665" s="13" t="n">
        <v>73</v>
      </c>
      <c r="CC665" s="13" t="n">
        <v>104</v>
      </c>
      <c r="CD665" s="13" t="n">
        <v>14.6</v>
      </c>
      <c r="CE665" s="13" t="n">
        <v>1813</v>
      </c>
      <c r="CF665" s="13" t="n">
        <v>0.8</v>
      </c>
      <c r="CG665" s="13" t="n">
        <v>1444</v>
      </c>
      <c r="CH665" s="13" t="n">
        <v>207</v>
      </c>
      <c r="CI665" s="13" t="n">
        <v>79</v>
      </c>
      <c r="CJ665" s="13" t="n">
        <v>41</v>
      </c>
      <c r="CK665" s="13" t="n">
        <v>138</v>
      </c>
      <c r="CL665" s="13" t="n">
        <v>3</v>
      </c>
      <c r="CM665" s="13" t="n">
        <v>46</v>
      </c>
      <c r="CN665" s="13" t="n">
        <v>0.06900000000000001</v>
      </c>
      <c r="CO665" s="13" t="n">
        <v>82</v>
      </c>
      <c r="CP665" s="13" t="n">
        <v>38</v>
      </c>
      <c r="CQ665" s="13" t="n">
        <v>56</v>
      </c>
      <c r="CR665" s="13" t="n">
        <v>9</v>
      </c>
      <c r="CS665" s="13" t="n">
        <v>9.6</v>
      </c>
      <c r="CT665" s="11" t="inlineStr">
        <is>
          <t xml:space="preserve"> On-Piste Carving</t>
        </is>
      </c>
      <c r="CU665" s="13" t="n"/>
      <c r="CV665" s="13" t="n"/>
      <c r="CW665" s="13" t="n"/>
      <c r="CX665">
        <f>INDEX('Data_Price '!AG$2:AG$1266,MATCH(Data!$DN665,'Data_Price '!$AT$2:$AT$1266,0))</f>
        <v/>
      </c>
      <c r="CY665">
        <f>INDEX('Data_Price '!AH$2:AH$1266,MATCH(Data!$DN665,'Data_Price '!$AT$2:$AT$1266,0))</f>
        <v/>
      </c>
      <c r="CZ665">
        <f>INDEX('Data_Price '!AI$2:AI$1266,MATCH(Data!$DN665,'Data_Price '!$AT$2:$AT$1266,0))</f>
        <v/>
      </c>
      <c r="DA665">
        <f>INDEX('Data_Price '!AJ$2:AJ$1266,MATCH(Data!$DN665,'Data_Price '!$AT$2:$AT$1266,0))</f>
        <v/>
      </c>
      <c r="DB665">
        <f>INDEX('Data_Price '!AK$2:AK$1266,MATCH(Data!$DN665,'Data_Price '!$AT$2:$AT$1266,0))</f>
        <v/>
      </c>
      <c r="DC665">
        <f>INDEX('Data_Price '!AL$2:AL$1266,MATCH(Data!$DN665,'Data_Price '!$AT$2:$AT$1266,0))</f>
        <v/>
      </c>
      <c r="DD665">
        <f>INDEX('Data_Price '!AM$2:AM$1266,MATCH(Data!$DN665,'Data_Price '!$AT$2:$AT$1266,0))</f>
        <v/>
      </c>
      <c r="DE665">
        <f>INDEX('Data_Price '!AN$2:AN$1266,MATCH(Data!$DN665,'Data_Price '!$AT$2:$AT$1266,0))</f>
        <v/>
      </c>
      <c r="DF665">
        <f>INDEX('Data_Price '!AO$2:AO$1266,MATCH(Data!$DN665,'Data_Price '!$AT$2:$AT$1266,0))</f>
        <v/>
      </c>
      <c r="DG665">
        <f>INDEX('Data_Price '!AP$2:AP$1266,MATCH(Data!$DN665,'Data_Price '!$AT$2:$AT$1266,0))</f>
        <v/>
      </c>
      <c r="DH665">
        <f>INDEX('Data_Price '!AQ$2:AQ$1266,MATCH(Data!$DN665,'Data_Price '!$AT$2:$AT$1266,0))</f>
        <v/>
      </c>
      <c r="DI665">
        <f>INDEX('Data_Price '!AR$2:AR$1266,MATCH(Data!$DN665,'Data_Price '!$AT$2:$AT$1266,0))</f>
        <v/>
      </c>
      <c r="DJ665" s="138">
        <f>DA665</f>
        <v/>
      </c>
      <c r="DK665" s="138">
        <f>DE665</f>
        <v/>
      </c>
      <c r="DL665" s="138">
        <f>DI665</f>
        <v/>
      </c>
      <c r="DM665" s="303">
        <f>IF(LEFT(BT665,1)=" ",RIGHT(BT665,LEN(BT665)-1),BT665)</f>
        <v/>
      </c>
      <c r="DN665" s="138">
        <f>_xlfn.CONCAT(BS665,DM665,BU665,BV665)</f>
        <v/>
      </c>
      <c r="DO665" s="307" t="n"/>
    </row>
    <row r="666" ht="15.6" customHeight="1" s="184">
      <c r="B666" s="303">
        <f t="array" ref="B666">IF(OR(ISERROR(K666:P666)),FALSE,TRUE)</f>
        <v/>
      </c>
      <c r="C666" s="60">
        <f>OR(BR666=Driver!$G$50,Data!BR153=Driver!$H$50)</f>
        <v/>
      </c>
      <c r="D666" s="60">
        <f>OR(BV666=Driver!$G$51,BV666=Driver!$H$51)</f>
        <v/>
      </c>
      <c r="E666" s="60">
        <f>AND(BX666&gt;Driver!$F$54,BX666&lt;Driver!$G$54)</f>
        <v/>
      </c>
      <c r="F666" s="60">
        <f>CL666&gt;Driver!$F$56</f>
        <v/>
      </c>
      <c r="G666" s="60">
        <f>AND(CB666&gt;Driver!$F$55,CB666&lt;Driver!$G$55)</f>
        <v/>
      </c>
      <c r="H666" s="60">
        <f>AND(B666:G666)</f>
        <v/>
      </c>
      <c r="I666" s="60">
        <f>COUNTIFS($H$9:$H$1273,TRUE,$BT$9:$BT$1273,BT666)</f>
        <v/>
      </c>
      <c r="J666" s="60">
        <f t="array" ref="J666">NOT(OR(($H$9:$H$1273=TRUE)*($I$9:$I$1273&gt;0)*($BT$9:$BT$1273=BT666)*($K$9:$K$1273&gt;K666)))</f>
        <v/>
      </c>
      <c r="K666" s="108">
        <f>IFERROR(1-AVERAGE(X666:Y666),"")</f>
        <v/>
      </c>
      <c r="L666" s="108">
        <f>1-X666</f>
        <v/>
      </c>
      <c r="M666" s="108">
        <f>1-Y666</f>
        <v/>
      </c>
      <c r="N666" s="108">
        <f>1-Z666</f>
        <v/>
      </c>
      <c r="O666" s="108">
        <f>1-AA666</f>
        <v/>
      </c>
      <c r="P666" s="108">
        <f>1-AB666</f>
        <v/>
      </c>
      <c r="Q666" s="108" t="n"/>
      <c r="R666" s="108" t="n"/>
      <c r="S666" s="108">
        <f>1-AE666</f>
        <v/>
      </c>
      <c r="T666" s="108">
        <f>1-AF666</f>
        <v/>
      </c>
      <c r="U666" s="108">
        <f>1-AG666</f>
        <v/>
      </c>
      <c r="V666" s="108">
        <f>1-AH666</f>
        <v/>
      </c>
      <c r="W666" s="108">
        <f>1-AI666</f>
        <v/>
      </c>
      <c r="X666" s="108">
        <f>ABS(AJ666-AJ$1)</f>
        <v/>
      </c>
      <c r="Y666" s="108">
        <f>AVERAGE(Z666:AB666)</f>
        <v/>
      </c>
      <c r="Z666" s="108">
        <f>ABS(AL666-AL$1)</f>
        <v/>
      </c>
      <c r="AA666" s="108">
        <f>ABS(AM666-AM$1)</f>
        <v/>
      </c>
      <c r="AB666" s="108">
        <f>ABS(AN666-AN$1)</f>
        <v/>
      </c>
      <c r="AC666" s="108" t="n"/>
      <c r="AD666" s="108" t="n"/>
      <c r="AE666" s="108">
        <f>ABS(AQ$1-AQ666)</f>
        <v/>
      </c>
      <c r="AF666" s="108">
        <f>ABS(AR$1-AR666)</f>
        <v/>
      </c>
      <c r="AG666" s="108">
        <f>ABS(AS$1-AS666)</f>
        <v/>
      </c>
      <c r="AH666" s="108">
        <f>ABS(AT$1-AT666)</f>
        <v/>
      </c>
      <c r="AI666" s="108">
        <f>ABS(AU$1-AU666)</f>
        <v/>
      </c>
      <c r="AJ666" s="108">
        <f>(AV666-Driver!$K$179)/(Driver!$L$179-Driver!$K$179)</f>
        <v/>
      </c>
      <c r="AK666" s="108">
        <f>(AW666-Driver!$K$180)/(Driver!$L$180-Driver!$K$180)</f>
        <v/>
      </c>
      <c r="AL666" s="108">
        <f>(AX666-Driver!$K$181)/(Driver!$L$181-Driver!$K$181)</f>
        <v/>
      </c>
      <c r="AM666" s="108">
        <f>(AY666-Driver!$K$182)/(Driver!$L$182-Driver!$K$182)</f>
        <v/>
      </c>
      <c r="AN666" s="108">
        <f>(AZ666-Driver!$K$183)/(Driver!$L$183-Driver!$K$183)</f>
        <v/>
      </c>
      <c r="AO666" s="108" t="n"/>
      <c r="AP666" s="108" t="n"/>
      <c r="AQ666" s="108">
        <f>(BC666-Driver!$K$188)/(Driver!$L$188-Driver!$K$188)</f>
        <v/>
      </c>
      <c r="AR666" s="108">
        <f>MIN((BD666-Driver!$K$189)/(Driver!$L$189-Driver!$K$189),100%)</f>
        <v/>
      </c>
      <c r="AS666" s="108">
        <f>(BE666-Driver!$K$190)/(Driver!$L$190-Driver!$K$190)</f>
        <v/>
      </c>
      <c r="AT666" s="108">
        <f>(BF666-Driver!$K$191)/(Driver!$L$191-Driver!$K$191)</f>
        <v/>
      </c>
      <c r="AU666" s="108">
        <f>(BG666-Driver!$K$192)/(Driver!$L$192-Driver!$K$192)</f>
        <v/>
      </c>
      <c r="AV666" s="105">
        <f>IFERROR(BM666*BJ666^1/4,"")</f>
        <v/>
      </c>
      <c r="AW666" s="105">
        <f>IFERROR(SUM(AX666:AZ666),"")</f>
        <v/>
      </c>
      <c r="AX666" s="105">
        <f>IFERROR(BH666,"")</f>
        <v/>
      </c>
      <c r="AY666" s="105">
        <f>IFERROR(Driver!$K$19/Data!BH666/Data!BI666*Data!BK666*Data!BL666,"")</f>
        <v/>
      </c>
      <c r="AZ666" s="105">
        <f>IFERROR(BI666*BN666,"")</f>
        <v/>
      </c>
      <c r="BA666" s="105" t="n"/>
      <c r="BB666" s="105" t="n"/>
      <c r="BC666" s="105">
        <f>IFERROR(BI666*BN666*BK666/BJ666^(1/2),"")</f>
        <v/>
      </c>
      <c r="BD666" s="105">
        <f>IFERROR(BH666*BM666*BL666/BJ666/BK666,"")</f>
        <v/>
      </c>
      <c r="BE666" s="105">
        <f>IFERROR(MIN(BI666/BQ666/BP666/BO666/BH666,$BE$1),"")</f>
        <v/>
      </c>
      <c r="BF666" s="105">
        <f>IFERROR(BJ666*BO666*BP666/BK666,"")</f>
        <v/>
      </c>
      <c r="BG666" s="105">
        <f>IFERROR(1/BM666/BH666*BQ666,"")</f>
        <v/>
      </c>
      <c r="BH666" s="102">
        <f>MAX((CE666-Driver!$F$200)/(Driver!$G$200-Driver!$F$200)*$BI$1,1)</f>
        <v/>
      </c>
      <c r="BI666" s="102">
        <f>MAX($BI$1*(BY666-Driver!$F$201)/(Driver!$G$201-Driver!$F$201),1)</f>
        <v/>
      </c>
      <c r="BJ666" s="102">
        <f>(CB666-Driver!$F$206)/(Driver!$G$206-Driver!$F$206)*$BI$1</f>
        <v/>
      </c>
      <c r="BK666" s="102">
        <f>(CD666-Driver!$F$203)/(Driver!$G$203-Driver!$F$203)*$BI$1</f>
        <v/>
      </c>
      <c r="BL666" s="102">
        <f>MAX((CR666-Driver!$F$202)/(Driver!$G$202-Driver!$F$202)*$BI$1,1)</f>
        <v/>
      </c>
      <c r="BM666" s="102">
        <f>MAX((CH666-Driver!$F$204)/(Driver!$G$204-Driver!$F$204)*$BI$1,1)</f>
        <v/>
      </c>
      <c r="BN666" s="102">
        <f>(CI666-Driver!$F$205)/(Driver!$G$205-Driver!$F$205)*$BI$1</f>
        <v/>
      </c>
      <c r="BO666" s="102">
        <f>(CK666-Driver!$F$207)/(Driver!$G$207-Driver!$F$207)*$BI$1</f>
        <v/>
      </c>
      <c r="BP666" s="102">
        <f>(CM666-Driver!$F$208)/(Driver!$G$208-Driver!$F$208)*$BI$1</f>
        <v/>
      </c>
      <c r="BQ666" s="102">
        <f>(CL666-Driver!$F$209)/(Driver!$G$209-Driver!$F$209)*$BI$1</f>
        <v/>
      </c>
      <c r="BR666" s="40" t="inlineStr">
        <is>
          <t>21/22</t>
        </is>
      </c>
      <c r="BS666" s="10" t="inlineStr">
        <is>
          <t xml:space="preserve"> Atomic</t>
        </is>
      </c>
      <c r="BT666" s="11" t="inlineStr">
        <is>
          <t>Maven 93 C</t>
        </is>
      </c>
      <c r="BU666" s="13" t="n">
        <v>156</v>
      </c>
      <c r="BV666" s="11" t="inlineStr">
        <is>
          <t xml:space="preserve"> Women's</t>
        </is>
      </c>
      <c r="BW666" s="13" t="n">
        <v>156</v>
      </c>
      <c r="BX666" s="13" t="n">
        <v>155.2</v>
      </c>
      <c r="BY666" s="13" t="n">
        <v>105</v>
      </c>
      <c r="BZ666" s="13" t="n">
        <v>126</v>
      </c>
      <c r="CA666" s="13" t="n">
        <v>124</v>
      </c>
      <c r="CB666" s="13" t="n">
        <v>92</v>
      </c>
      <c r="CC666" s="13" t="n">
        <v>108</v>
      </c>
      <c r="CD666" s="13" t="n">
        <v>15</v>
      </c>
      <c r="CE666" s="13" t="n">
        <v>1407</v>
      </c>
      <c r="CF666" s="13" t="n">
        <v>1.13</v>
      </c>
      <c r="CG666" s="13" t="n">
        <v>1583</v>
      </c>
      <c r="CH666" s="13" t="n">
        <v>171</v>
      </c>
      <c r="CI666" s="13" t="n">
        <v>86</v>
      </c>
      <c r="CJ666" s="13" t="n">
        <v>51</v>
      </c>
      <c r="CK666" s="13" t="n">
        <v>304</v>
      </c>
      <c r="CL666" s="13" t="n">
        <v>15</v>
      </c>
      <c r="CM666" s="13" t="n">
        <v>200</v>
      </c>
      <c r="CN666" s="13" t="n">
        <v>0.286</v>
      </c>
      <c r="CO666" s="13" t="n">
        <v>167</v>
      </c>
      <c r="CP666" s="13" t="n">
        <v>125</v>
      </c>
      <c r="CQ666" s="13" t="n">
        <v>137</v>
      </c>
      <c r="CR666" s="13" t="n">
        <v>3</v>
      </c>
      <c r="CS666" s="13" t="n">
        <v>8.6</v>
      </c>
      <c r="CT666" s="11" t="inlineStr">
        <is>
          <t xml:space="preserve"> Resort Freeride</t>
        </is>
      </c>
      <c r="CU666" s="11" t="inlineStr">
        <is>
          <t xml:space="preserve"> Touring</t>
        </is>
      </c>
      <c r="CV666" s="13" t="n"/>
      <c r="CW666" s="13" t="n"/>
      <c r="CX666">
        <f>INDEX('Data_Price '!AG$2:AG$1266,MATCH(Data!$DN666,'Data_Price '!$AT$2:$AT$1266,0))</f>
        <v/>
      </c>
      <c r="CY666">
        <f>INDEX('Data_Price '!AH$2:AH$1266,MATCH(Data!$DN666,'Data_Price '!$AT$2:$AT$1266,0))</f>
        <v/>
      </c>
      <c r="CZ666">
        <f>INDEX('Data_Price '!AI$2:AI$1266,MATCH(Data!$DN666,'Data_Price '!$AT$2:$AT$1266,0))</f>
        <v/>
      </c>
      <c r="DA666">
        <f>INDEX('Data_Price '!AJ$2:AJ$1266,MATCH(Data!$DN666,'Data_Price '!$AT$2:$AT$1266,0))</f>
        <v/>
      </c>
      <c r="DB666">
        <f>INDEX('Data_Price '!AK$2:AK$1266,MATCH(Data!$DN666,'Data_Price '!$AT$2:$AT$1266,0))</f>
        <v/>
      </c>
      <c r="DC666">
        <f>INDEX('Data_Price '!AL$2:AL$1266,MATCH(Data!$DN666,'Data_Price '!$AT$2:$AT$1266,0))</f>
        <v/>
      </c>
      <c r="DD666">
        <f>INDEX('Data_Price '!AM$2:AM$1266,MATCH(Data!$DN666,'Data_Price '!$AT$2:$AT$1266,0))</f>
        <v/>
      </c>
      <c r="DE666">
        <f>INDEX('Data_Price '!AN$2:AN$1266,MATCH(Data!$DN666,'Data_Price '!$AT$2:$AT$1266,0))</f>
        <v/>
      </c>
      <c r="DF666">
        <f>INDEX('Data_Price '!AO$2:AO$1266,MATCH(Data!$DN666,'Data_Price '!$AT$2:$AT$1266,0))</f>
        <v/>
      </c>
      <c r="DG666">
        <f>INDEX('Data_Price '!AP$2:AP$1266,MATCH(Data!$DN666,'Data_Price '!$AT$2:$AT$1266,0))</f>
        <v/>
      </c>
      <c r="DH666">
        <f>INDEX('Data_Price '!AQ$2:AQ$1266,MATCH(Data!$DN666,'Data_Price '!$AT$2:$AT$1266,0))</f>
        <v/>
      </c>
      <c r="DI666">
        <f>INDEX('Data_Price '!AR$2:AR$1266,MATCH(Data!$DN666,'Data_Price '!$AT$2:$AT$1266,0))</f>
        <v/>
      </c>
      <c r="DJ666" s="138">
        <f>DA666</f>
        <v/>
      </c>
      <c r="DK666" s="138">
        <f>DE666</f>
        <v/>
      </c>
      <c r="DL666" s="138">
        <f>DI666</f>
        <v/>
      </c>
      <c r="DM666" s="303">
        <f>IF(LEFT(BT666,1)=" ",RIGHT(BT666,LEN(BT666)-1),BT666)</f>
        <v/>
      </c>
      <c r="DN666" s="138">
        <f>_xlfn.CONCAT(BS666,DM666,BU666,BV666)</f>
        <v/>
      </c>
      <c r="DO666" s="307" t="inlineStr">
        <is>
          <t>https://images.evo.com/imgp/250/219397/904532/atomic-maven-93-c-skis-women-s-2023-.jpg</t>
        </is>
      </c>
    </row>
    <row r="667" ht="15.6" customHeight="1" s="184">
      <c r="B667" s="303">
        <f t="array" ref="B667">IF(OR(ISERROR(K667:P667)),FALSE,TRUE)</f>
        <v/>
      </c>
      <c r="C667" s="60">
        <f>OR(BR667=Driver!$G$50,Data!BR110=Driver!$H$50)</f>
        <v/>
      </c>
      <c r="D667" s="60">
        <f>OR(BV667=Driver!$G$51,BV667=Driver!$H$51)</f>
        <v/>
      </c>
      <c r="E667" s="60">
        <f>AND(BX667&gt;Driver!$F$54,BX667&lt;Driver!$G$54)</f>
        <v/>
      </c>
      <c r="F667" s="60">
        <f>CL667&gt;Driver!$F$56</f>
        <v/>
      </c>
      <c r="G667" s="60">
        <f>AND(CB667&gt;Driver!$F$55,CB667&lt;Driver!$G$55)</f>
        <v/>
      </c>
      <c r="H667" s="60">
        <f>AND(B667:G667)</f>
        <v/>
      </c>
      <c r="I667" s="60">
        <f>COUNTIFS($H$9:$H$1273,TRUE,$BT$9:$BT$1273,BT667)</f>
        <v/>
      </c>
      <c r="J667" s="60">
        <f t="array" ref="J667">NOT(OR(($H$9:$H$1273=TRUE)*($I$9:$I$1273&gt;0)*($BT$9:$BT$1273=BT667)*($K$9:$K$1273&gt;K667)))</f>
        <v/>
      </c>
      <c r="K667" s="108">
        <f>IFERROR(1-AVERAGE(X667:Y667),"")</f>
        <v/>
      </c>
      <c r="L667" s="108">
        <f>1-X667</f>
        <v/>
      </c>
      <c r="M667" s="108">
        <f>1-Y667</f>
        <v/>
      </c>
      <c r="N667" s="108">
        <f>1-Z667</f>
        <v/>
      </c>
      <c r="O667" s="108">
        <f>1-AA667</f>
        <v/>
      </c>
      <c r="P667" s="108">
        <f>1-AB667</f>
        <v/>
      </c>
      <c r="Q667" s="108" t="n"/>
      <c r="R667" s="108" t="n"/>
      <c r="S667" s="108">
        <f>1-AE667</f>
        <v/>
      </c>
      <c r="T667" s="108">
        <f>1-AF667</f>
        <v/>
      </c>
      <c r="U667" s="108">
        <f>1-AG667</f>
        <v/>
      </c>
      <c r="V667" s="108">
        <f>1-AH667</f>
        <v/>
      </c>
      <c r="W667" s="108">
        <f>1-AI667</f>
        <v/>
      </c>
      <c r="X667" s="108">
        <f>ABS(AJ667-AJ$1)</f>
        <v/>
      </c>
      <c r="Y667" s="108">
        <f>AVERAGE(Z667:AB667)</f>
        <v/>
      </c>
      <c r="Z667" s="108">
        <f>ABS(AL667-AL$1)</f>
        <v/>
      </c>
      <c r="AA667" s="108">
        <f>ABS(AM667-AM$1)</f>
        <v/>
      </c>
      <c r="AB667" s="108">
        <f>ABS(AN667-AN$1)</f>
        <v/>
      </c>
      <c r="AC667" s="108" t="n"/>
      <c r="AD667" s="108" t="n"/>
      <c r="AE667" s="108">
        <f>ABS(AQ$1-AQ667)</f>
        <v/>
      </c>
      <c r="AF667" s="108">
        <f>ABS(AR$1-AR667)</f>
        <v/>
      </c>
      <c r="AG667" s="108">
        <f>ABS(AS$1-AS667)</f>
        <v/>
      </c>
      <c r="AH667" s="108">
        <f>ABS(AT$1-AT667)</f>
        <v/>
      </c>
      <c r="AI667" s="108">
        <f>ABS(AU$1-AU667)</f>
        <v/>
      </c>
      <c r="AJ667" s="108">
        <f>(AV667-Driver!$K$179)/(Driver!$L$179-Driver!$K$179)</f>
        <v/>
      </c>
      <c r="AK667" s="108">
        <f>(AW667-Driver!$K$180)/(Driver!$L$180-Driver!$K$180)</f>
        <v/>
      </c>
      <c r="AL667" s="108">
        <f>(AX667-Driver!$K$181)/(Driver!$L$181-Driver!$K$181)</f>
        <v/>
      </c>
      <c r="AM667" s="108">
        <f>(AY667-Driver!$K$182)/(Driver!$L$182-Driver!$K$182)</f>
        <v/>
      </c>
      <c r="AN667" s="108">
        <f>(AZ667-Driver!$K$183)/(Driver!$L$183-Driver!$K$183)</f>
        <v/>
      </c>
      <c r="AO667" s="108" t="n"/>
      <c r="AP667" s="108" t="n"/>
      <c r="AQ667" s="108">
        <f>(BC667-Driver!$K$188)/(Driver!$L$188-Driver!$K$188)</f>
        <v/>
      </c>
      <c r="AR667" s="108">
        <f>MIN((BD667-Driver!$K$189)/(Driver!$L$189-Driver!$K$189),100%)</f>
        <v/>
      </c>
      <c r="AS667" s="108">
        <f>(BE667-Driver!$K$190)/(Driver!$L$190-Driver!$K$190)</f>
        <v/>
      </c>
      <c r="AT667" s="108">
        <f>(BF667-Driver!$K$191)/(Driver!$L$191-Driver!$K$191)</f>
        <v/>
      </c>
      <c r="AU667" s="108">
        <f>(BG667-Driver!$K$192)/(Driver!$L$192-Driver!$K$192)</f>
        <v/>
      </c>
      <c r="AV667" s="105">
        <f>IFERROR(BM667*BJ667^1/4,"")</f>
        <v/>
      </c>
      <c r="AW667" s="105">
        <f>IFERROR(SUM(AX667:AZ667),"")</f>
        <v/>
      </c>
      <c r="AX667" s="105">
        <f>IFERROR(BH667,"")</f>
        <v/>
      </c>
      <c r="AY667" s="105">
        <f>IFERROR(Driver!$K$19/Data!BH667/Data!BI667*Data!BK667*Data!BL667,"")</f>
        <v/>
      </c>
      <c r="AZ667" s="105">
        <f>IFERROR(BI667*BN667,"")</f>
        <v/>
      </c>
      <c r="BA667" s="105" t="n"/>
      <c r="BB667" s="105" t="n"/>
      <c r="BC667" s="105">
        <f>IFERROR(BI667*BN667*BK667/BJ667^(1/2),"")</f>
        <v/>
      </c>
      <c r="BD667" s="105">
        <f>IFERROR(BH667*BM667*BL667/BJ667/BK667,"")</f>
        <v/>
      </c>
      <c r="BE667" s="105">
        <f>IFERROR(MIN(BI667/BQ667/BP667/BO667/BH667,$BE$1),"")</f>
        <v/>
      </c>
      <c r="BF667" s="105">
        <f>IFERROR(BJ667*BO667*BP667/BK667,"")</f>
        <v/>
      </c>
      <c r="BG667" s="105">
        <f>IFERROR(1/BM667/BH667*BQ667,"")</f>
        <v/>
      </c>
      <c r="BH667" s="102">
        <f>MAX((CE667-Driver!$F$200)/(Driver!$G$200-Driver!$F$200)*$BI$1,1)</f>
        <v/>
      </c>
      <c r="BI667" s="102">
        <f>MAX($BI$1*(BY667-Driver!$F$201)/(Driver!$G$201-Driver!$F$201),1)</f>
        <v/>
      </c>
      <c r="BJ667" s="102">
        <f>(CB667-Driver!$F$206)/(Driver!$G$206-Driver!$F$206)*$BI$1</f>
        <v/>
      </c>
      <c r="BK667" s="102">
        <f>(CD667-Driver!$F$203)/(Driver!$G$203-Driver!$F$203)*$BI$1</f>
        <v/>
      </c>
      <c r="BL667" s="102">
        <f>MAX((CR667-Driver!$F$202)/(Driver!$G$202-Driver!$F$202)*$BI$1,1)</f>
        <v/>
      </c>
      <c r="BM667" s="102">
        <f>MAX((CH667-Driver!$F$204)/(Driver!$G$204-Driver!$F$204)*$BI$1,1)</f>
        <v/>
      </c>
      <c r="BN667" s="102">
        <f>(CI667-Driver!$F$205)/(Driver!$G$205-Driver!$F$205)*$BI$1</f>
        <v/>
      </c>
      <c r="BO667" s="102">
        <f>(CK667-Driver!$F$207)/(Driver!$G$207-Driver!$F$207)*$BI$1</f>
        <v/>
      </c>
      <c r="BP667" s="102">
        <f>(CM667-Driver!$F$208)/(Driver!$G$208-Driver!$F$208)*$BI$1</f>
        <v/>
      </c>
      <c r="BQ667" s="102">
        <f>(CL667-Driver!$F$209)/(Driver!$G$209-Driver!$F$209)*$BI$1</f>
        <v/>
      </c>
      <c r="BR667" s="40" t="inlineStr">
        <is>
          <t>21/22</t>
        </is>
      </c>
      <c r="BS667" s="10" t="inlineStr">
        <is>
          <t xml:space="preserve"> Armada</t>
        </is>
      </c>
      <c r="BT667" s="11" t="inlineStr">
        <is>
          <t>Tracer 98</t>
        </is>
      </c>
      <c r="BU667" s="13" t="n">
        <v>164</v>
      </c>
      <c r="BV667" s="11" t="inlineStr">
        <is>
          <t xml:space="preserve"> Unisex</t>
        </is>
      </c>
      <c r="BW667" s="13" t="n">
        <v>164</v>
      </c>
      <c r="BX667" s="13" t="n">
        <v>163.7</v>
      </c>
      <c r="BY667" s="13" t="n">
        <v>125</v>
      </c>
      <c r="BZ667" s="13" t="n">
        <v>137</v>
      </c>
      <c r="CA667" s="13" t="n">
        <v>126</v>
      </c>
      <c r="CB667" s="13" t="n">
        <v>97</v>
      </c>
      <c r="CC667" s="13" t="n">
        <v>119</v>
      </c>
      <c r="CD667" s="13" t="n">
        <v>16.8</v>
      </c>
      <c r="CE667" s="13" t="n">
        <v>1419</v>
      </c>
      <c r="CF667" s="13" t="n">
        <v>1.23</v>
      </c>
      <c r="CG667" s="13" t="n">
        <v>1749</v>
      </c>
      <c r="CH667" s="13" t="n">
        <v>139</v>
      </c>
      <c r="CI667" s="13" t="n">
        <v>85</v>
      </c>
      <c r="CJ667" s="13" t="n">
        <v>37</v>
      </c>
      <c r="CK667" s="13" t="n">
        <v>237</v>
      </c>
      <c r="CL667" s="13" t="n">
        <v>16</v>
      </c>
      <c r="CM667" s="13" t="n">
        <v>146</v>
      </c>
      <c r="CN667" s="13" t="n">
        <v>0.422</v>
      </c>
      <c r="CO667" s="13" t="n">
        <v>172</v>
      </c>
      <c r="CP667" s="13" t="n">
        <v>99</v>
      </c>
      <c r="CQ667" s="13" t="n">
        <v>65</v>
      </c>
      <c r="CR667" s="13" t="n">
        <v>8</v>
      </c>
      <c r="CS667" s="13" t="n">
        <v>9.300000000000001</v>
      </c>
      <c r="CT667" s="11" t="inlineStr">
        <is>
          <t xml:space="preserve"> Resort Freeride</t>
        </is>
      </c>
      <c r="CU667" s="11" t="inlineStr">
        <is>
          <t xml:space="preserve"> Touring</t>
        </is>
      </c>
      <c r="CV667" s="13" t="n"/>
      <c r="CW667" s="13" t="n"/>
      <c r="CX667">
        <f>INDEX('Data_Price '!AG$2:AG$1266,MATCH(Data!$DN667,'Data_Price '!$AT$2:$AT$1266,0))</f>
        <v/>
      </c>
      <c r="CY667">
        <f>INDEX('Data_Price '!AH$2:AH$1266,MATCH(Data!$DN667,'Data_Price '!$AT$2:$AT$1266,0))</f>
        <v/>
      </c>
      <c r="CZ667">
        <f>INDEX('Data_Price '!AI$2:AI$1266,MATCH(Data!$DN667,'Data_Price '!$AT$2:$AT$1266,0))</f>
        <v/>
      </c>
      <c r="DA667">
        <f>INDEX('Data_Price '!AJ$2:AJ$1266,MATCH(Data!$DN667,'Data_Price '!$AT$2:$AT$1266,0))</f>
        <v/>
      </c>
      <c r="DB667">
        <f>INDEX('Data_Price '!AK$2:AK$1266,MATCH(Data!$DN667,'Data_Price '!$AT$2:$AT$1266,0))</f>
        <v/>
      </c>
      <c r="DC667">
        <f>INDEX('Data_Price '!AL$2:AL$1266,MATCH(Data!$DN667,'Data_Price '!$AT$2:$AT$1266,0))</f>
        <v/>
      </c>
      <c r="DD667">
        <f>INDEX('Data_Price '!AM$2:AM$1266,MATCH(Data!$DN667,'Data_Price '!$AT$2:$AT$1266,0))</f>
        <v/>
      </c>
      <c r="DE667">
        <f>INDEX('Data_Price '!AN$2:AN$1266,MATCH(Data!$DN667,'Data_Price '!$AT$2:$AT$1266,0))</f>
        <v/>
      </c>
      <c r="DF667">
        <f>INDEX('Data_Price '!AO$2:AO$1266,MATCH(Data!$DN667,'Data_Price '!$AT$2:$AT$1266,0))</f>
        <v/>
      </c>
      <c r="DG667">
        <f>INDEX('Data_Price '!AP$2:AP$1266,MATCH(Data!$DN667,'Data_Price '!$AT$2:$AT$1266,0))</f>
        <v/>
      </c>
      <c r="DH667">
        <f>INDEX('Data_Price '!AQ$2:AQ$1266,MATCH(Data!$DN667,'Data_Price '!$AT$2:$AT$1266,0))</f>
        <v/>
      </c>
      <c r="DI667">
        <f>INDEX('Data_Price '!AR$2:AR$1266,MATCH(Data!$DN667,'Data_Price '!$AT$2:$AT$1266,0))</f>
        <v/>
      </c>
      <c r="DJ667" s="138">
        <f>DA667</f>
        <v/>
      </c>
      <c r="DK667" s="138">
        <f>DE667</f>
        <v/>
      </c>
      <c r="DL667" s="138">
        <f>DI667</f>
        <v/>
      </c>
      <c r="DM667" s="303">
        <f>IF(LEFT(BT667,1)=" ",RIGHT(BT667,LEN(BT667)-1),BT667)</f>
        <v/>
      </c>
      <c r="DN667" s="138">
        <f>_xlfn.CONCAT(BS667,DM667,BU667,BV667)</f>
        <v/>
      </c>
      <c r="DO667" s="307" t="inlineStr">
        <is>
          <t>https://images.evo.com/imgp/250/198694/839659/clone.jpg</t>
        </is>
      </c>
    </row>
    <row r="668" ht="15.6" customHeight="1" s="184">
      <c r="B668" s="303">
        <f t="array" ref="B668">IF(OR(ISERROR(K668:P668)),FALSE,TRUE)</f>
        <v/>
      </c>
      <c r="C668" s="60">
        <f>OR(BR668=Driver!$G$50,Data!BR432=Driver!$H$50)</f>
        <v/>
      </c>
      <c r="D668" s="60">
        <f>OR(BV668=Driver!$G$51,BV668=Driver!$H$51)</f>
        <v/>
      </c>
      <c r="E668" s="60">
        <f>AND(BX668&gt;Driver!$F$54,BX668&lt;Driver!$G$54)</f>
        <v/>
      </c>
      <c r="F668" s="60">
        <f>CL668&gt;Driver!$F$56</f>
        <v/>
      </c>
      <c r="G668" s="60">
        <f>AND(CB668&gt;Driver!$F$55,CB668&lt;Driver!$G$55)</f>
        <v/>
      </c>
      <c r="H668" s="60">
        <f>AND(B668:G668)</f>
        <v/>
      </c>
      <c r="I668" s="60">
        <f>COUNTIFS($H$9:$H$1273,TRUE,$BT$9:$BT$1273,BT668)</f>
        <v/>
      </c>
      <c r="J668" s="60">
        <f t="array" ref="J668">NOT(OR(($H$9:$H$1273=TRUE)*($I$9:$I$1273&gt;0)*($BT$9:$BT$1273=BT668)*($K$9:$K$1273&gt;K668)))</f>
        <v/>
      </c>
      <c r="K668" s="108">
        <f>IFERROR(1-AVERAGE(X668:Y668),"")</f>
        <v/>
      </c>
      <c r="L668" s="108">
        <f>1-X668</f>
        <v/>
      </c>
      <c r="M668" s="108">
        <f>1-Y668</f>
        <v/>
      </c>
      <c r="N668" s="108">
        <f>1-Z668</f>
        <v/>
      </c>
      <c r="O668" s="108">
        <f>1-AA668</f>
        <v/>
      </c>
      <c r="P668" s="108">
        <f>1-AB668</f>
        <v/>
      </c>
      <c r="Q668" s="108" t="n"/>
      <c r="R668" s="108" t="n"/>
      <c r="S668" s="108">
        <f>1-AE668</f>
        <v/>
      </c>
      <c r="T668" s="108">
        <f>1-AF668</f>
        <v/>
      </c>
      <c r="U668" s="108">
        <f>1-AG668</f>
        <v/>
      </c>
      <c r="V668" s="108">
        <f>1-AH668</f>
        <v/>
      </c>
      <c r="W668" s="108">
        <f>1-AI668</f>
        <v/>
      </c>
      <c r="X668" s="108">
        <f>ABS(AJ668-AJ$1)</f>
        <v/>
      </c>
      <c r="Y668" s="108">
        <f>AVERAGE(Z668:AB668)</f>
        <v/>
      </c>
      <c r="Z668" s="108">
        <f>ABS(AL668-AL$1)</f>
        <v/>
      </c>
      <c r="AA668" s="108">
        <f>ABS(AM668-AM$1)</f>
        <v/>
      </c>
      <c r="AB668" s="108">
        <f>ABS(AN668-AN$1)</f>
        <v/>
      </c>
      <c r="AC668" s="108" t="n"/>
      <c r="AD668" s="108" t="n"/>
      <c r="AE668" s="108">
        <f>ABS(AQ$1-AQ668)</f>
        <v/>
      </c>
      <c r="AF668" s="108">
        <f>ABS(AR$1-AR668)</f>
        <v/>
      </c>
      <c r="AG668" s="108">
        <f>ABS(AS$1-AS668)</f>
        <v/>
      </c>
      <c r="AH668" s="108">
        <f>ABS(AT$1-AT668)</f>
        <v/>
      </c>
      <c r="AI668" s="108">
        <f>ABS(AU$1-AU668)</f>
        <v/>
      </c>
      <c r="AJ668" s="108">
        <f>(AV668-Driver!$K$179)/(Driver!$L$179-Driver!$K$179)</f>
        <v/>
      </c>
      <c r="AK668" s="108">
        <f>(AW668-Driver!$K$180)/(Driver!$L$180-Driver!$K$180)</f>
        <v/>
      </c>
      <c r="AL668" s="108">
        <f>(AX668-Driver!$K$181)/(Driver!$L$181-Driver!$K$181)</f>
        <v/>
      </c>
      <c r="AM668" s="108">
        <f>(AY668-Driver!$K$182)/(Driver!$L$182-Driver!$K$182)</f>
        <v/>
      </c>
      <c r="AN668" s="108">
        <f>(AZ668-Driver!$K$183)/(Driver!$L$183-Driver!$K$183)</f>
        <v/>
      </c>
      <c r="AO668" s="108" t="n"/>
      <c r="AP668" s="108" t="n"/>
      <c r="AQ668" s="108">
        <f>(BC668-Driver!$K$188)/(Driver!$L$188-Driver!$K$188)</f>
        <v/>
      </c>
      <c r="AR668" s="108">
        <f>MIN((BD668-Driver!$K$189)/(Driver!$L$189-Driver!$K$189),100%)</f>
        <v/>
      </c>
      <c r="AS668" s="108">
        <f>(BE668-Driver!$K$190)/(Driver!$L$190-Driver!$K$190)</f>
        <v/>
      </c>
      <c r="AT668" s="108">
        <f>(BF668-Driver!$K$191)/(Driver!$L$191-Driver!$K$191)</f>
        <v/>
      </c>
      <c r="AU668" s="108">
        <f>(BG668-Driver!$K$192)/(Driver!$L$192-Driver!$K$192)</f>
        <v/>
      </c>
      <c r="AV668" s="105">
        <f>IFERROR(BM668*BJ668^1/4,"")</f>
        <v/>
      </c>
      <c r="AW668" s="105">
        <f>IFERROR(SUM(AX668:AZ668),"")</f>
        <v/>
      </c>
      <c r="AX668" s="105">
        <f>IFERROR(BH668,"")</f>
        <v/>
      </c>
      <c r="AY668" s="105">
        <f>IFERROR(Driver!$K$19/Data!BH668/Data!BI668*Data!BK668*Data!BL668,"")</f>
        <v/>
      </c>
      <c r="AZ668" s="105">
        <f>IFERROR(BI668*BN668,"")</f>
        <v/>
      </c>
      <c r="BA668" s="105" t="n"/>
      <c r="BB668" s="105" t="n"/>
      <c r="BC668" s="105">
        <f>IFERROR(BI668*BN668*BK668/BJ668^(1/2),"")</f>
        <v/>
      </c>
      <c r="BD668" s="105">
        <f>IFERROR(BH668*BM668*BL668/BJ668/BK668,"")</f>
        <v/>
      </c>
      <c r="BE668" s="105">
        <f>IFERROR(MIN(BI668/BQ668/BP668/BO668/BH668,$BE$1),"")</f>
        <v/>
      </c>
      <c r="BF668" s="105">
        <f>IFERROR(BJ668*BO668*BP668/BK668,"")</f>
        <v/>
      </c>
      <c r="BG668" s="105">
        <f>IFERROR(1/BM668/BH668*BQ668,"")</f>
        <v/>
      </c>
      <c r="BH668" s="102">
        <f>MAX((CE668-Driver!$F$200)/(Driver!$G$200-Driver!$F$200)*$BI$1,1)</f>
        <v/>
      </c>
      <c r="BI668" s="102">
        <f>MAX($BI$1*(BY668-Driver!$F$201)/(Driver!$G$201-Driver!$F$201),1)</f>
        <v/>
      </c>
      <c r="BJ668" s="102">
        <f>(CB668-Driver!$F$206)/(Driver!$G$206-Driver!$F$206)*$BI$1</f>
        <v/>
      </c>
      <c r="BK668" s="102">
        <f>(CD668-Driver!$F$203)/(Driver!$G$203-Driver!$F$203)*$BI$1</f>
        <v/>
      </c>
      <c r="BL668" s="102">
        <f>MAX((CR668-Driver!$F$202)/(Driver!$G$202-Driver!$F$202)*$BI$1,1)</f>
        <v/>
      </c>
      <c r="BM668" s="102">
        <f>MAX((CH668-Driver!$F$204)/(Driver!$G$204-Driver!$F$204)*$BI$1,1)</f>
        <v/>
      </c>
      <c r="BN668" s="102">
        <f>(CI668-Driver!$F$205)/(Driver!$G$205-Driver!$F$205)*$BI$1</f>
        <v/>
      </c>
      <c r="BO668" s="102">
        <f>(CK668-Driver!$F$207)/(Driver!$G$207-Driver!$F$207)*$BI$1</f>
        <v/>
      </c>
      <c r="BP668" s="102">
        <f>(CM668-Driver!$F$208)/(Driver!$G$208-Driver!$F$208)*$BI$1</f>
        <v/>
      </c>
      <c r="BQ668" s="102">
        <f>(CL668-Driver!$F$209)/(Driver!$G$209-Driver!$F$209)*$BI$1</f>
        <v/>
      </c>
      <c r="BR668" s="40" t="inlineStr">
        <is>
          <t>21/22</t>
        </is>
      </c>
      <c r="BS668" s="10" t="inlineStr">
        <is>
          <t xml:space="preserve"> Elan</t>
        </is>
      </c>
      <c r="BT668" s="11" t="inlineStr">
        <is>
          <t xml:space="preserve"> Element</t>
        </is>
      </c>
      <c r="BU668" s="13" t="n">
        <v>168</v>
      </c>
      <c r="BV668" s="11" t="inlineStr">
        <is>
          <t xml:space="preserve"> Unisex</t>
        </is>
      </c>
      <c r="BW668" s="13" t="n">
        <v>168</v>
      </c>
      <c r="BX668" s="13" t="n">
        <v>167.4</v>
      </c>
      <c r="BY668" s="13" t="n">
        <v>144</v>
      </c>
      <c r="BZ668" s="13" t="n">
        <v>153</v>
      </c>
      <c r="CA668" s="13" t="n">
        <v>126</v>
      </c>
      <c r="CB668" s="13" t="n">
        <v>75</v>
      </c>
      <c r="CC668" s="13" t="n">
        <v>101</v>
      </c>
      <c r="CD668" s="13" t="n">
        <v>15.1</v>
      </c>
      <c r="CE668" s="13" t="n">
        <v>1822</v>
      </c>
      <c r="CF668" s="13" t="n">
        <v>0.83</v>
      </c>
      <c r="CG668" s="13" t="n">
        <v>1504</v>
      </c>
      <c r="CH668" s="13" t="n">
        <v>203</v>
      </c>
      <c r="CI668" s="13" t="n">
        <v>74</v>
      </c>
      <c r="CJ668" s="13" t="n">
        <v>34</v>
      </c>
      <c r="CK668" s="13" t="n">
        <v>153</v>
      </c>
      <c r="CL668" s="13" t="n">
        <v>10</v>
      </c>
      <c r="CM668" s="13" t="n">
        <v>79</v>
      </c>
      <c r="CN668" s="13" t="n">
        <v>0.296</v>
      </c>
      <c r="CO668" s="13" t="n">
        <v>86</v>
      </c>
      <c r="CP668" s="13" t="n">
        <v>58</v>
      </c>
      <c r="CQ668" s="13" t="n">
        <v>68</v>
      </c>
      <c r="CR668" s="13" t="n">
        <v>6</v>
      </c>
      <c r="CS668" s="13" t="n">
        <v>11.1</v>
      </c>
      <c r="CT668" s="11" t="inlineStr">
        <is>
          <t xml:space="preserve"> On-Piste Carving</t>
        </is>
      </c>
      <c r="CU668" s="13" t="n"/>
      <c r="CV668" s="13" t="n"/>
      <c r="CW668" s="13" t="n"/>
      <c r="CX668">
        <f>INDEX('Data_Price '!AG$2:AG$1266,MATCH(Data!$DN668,'Data_Price '!$AT$2:$AT$1266,0))</f>
        <v/>
      </c>
      <c r="CY668">
        <f>INDEX('Data_Price '!AH$2:AH$1266,MATCH(Data!$DN668,'Data_Price '!$AT$2:$AT$1266,0))</f>
        <v/>
      </c>
      <c r="CZ668">
        <f>INDEX('Data_Price '!AI$2:AI$1266,MATCH(Data!$DN668,'Data_Price '!$AT$2:$AT$1266,0))</f>
        <v/>
      </c>
      <c r="DA668">
        <f>INDEX('Data_Price '!AJ$2:AJ$1266,MATCH(Data!$DN668,'Data_Price '!$AT$2:$AT$1266,0))</f>
        <v/>
      </c>
      <c r="DB668">
        <f>INDEX('Data_Price '!AK$2:AK$1266,MATCH(Data!$DN668,'Data_Price '!$AT$2:$AT$1266,0))</f>
        <v/>
      </c>
      <c r="DC668">
        <f>INDEX('Data_Price '!AL$2:AL$1266,MATCH(Data!$DN668,'Data_Price '!$AT$2:$AT$1266,0))</f>
        <v/>
      </c>
      <c r="DD668">
        <f>INDEX('Data_Price '!AM$2:AM$1266,MATCH(Data!$DN668,'Data_Price '!$AT$2:$AT$1266,0))</f>
        <v/>
      </c>
      <c r="DE668">
        <f>INDEX('Data_Price '!AN$2:AN$1266,MATCH(Data!$DN668,'Data_Price '!$AT$2:$AT$1266,0))</f>
        <v/>
      </c>
      <c r="DF668">
        <f>INDEX('Data_Price '!AO$2:AO$1266,MATCH(Data!$DN668,'Data_Price '!$AT$2:$AT$1266,0))</f>
        <v/>
      </c>
      <c r="DG668">
        <f>INDEX('Data_Price '!AP$2:AP$1266,MATCH(Data!$DN668,'Data_Price '!$AT$2:$AT$1266,0))</f>
        <v/>
      </c>
      <c r="DH668">
        <f>INDEX('Data_Price '!AQ$2:AQ$1266,MATCH(Data!$DN668,'Data_Price '!$AT$2:$AT$1266,0))</f>
        <v/>
      </c>
      <c r="DI668">
        <f>INDEX('Data_Price '!AR$2:AR$1266,MATCH(Data!$DN668,'Data_Price '!$AT$2:$AT$1266,0))</f>
        <v/>
      </c>
      <c r="DJ668" s="138">
        <f>DA668</f>
        <v/>
      </c>
      <c r="DK668" s="138">
        <f>DE668</f>
        <v/>
      </c>
      <c r="DL668" s="138">
        <f>DI668</f>
        <v/>
      </c>
      <c r="DM668" s="303">
        <f>IF(LEFT(BT668,1)=" ",RIGHT(BT668,LEN(BT668)-1),BT668)</f>
        <v/>
      </c>
      <c r="DN668" s="138">
        <f>_xlfn.CONCAT(BS668,DM668,BU668,BV668)</f>
        <v/>
      </c>
      <c r="DO668" s="307" t="n"/>
    </row>
    <row r="669" ht="15.6" customHeight="1" s="184">
      <c r="B669" s="303">
        <f t="array" ref="B669">IF(OR(ISERROR(K669:P669)),FALSE,TRUE)</f>
        <v/>
      </c>
      <c r="C669" s="60">
        <f>OR(BR669=Driver!$G$50,Data!BR360=Driver!$H$50)</f>
        <v/>
      </c>
      <c r="D669" s="60">
        <f>OR(BV669=Driver!$G$51,BV669=Driver!$H$51)</f>
        <v/>
      </c>
      <c r="E669" s="60">
        <f>AND(BX669&gt;Driver!$F$54,BX669&lt;Driver!$G$54)</f>
        <v/>
      </c>
      <c r="F669" s="60">
        <f>CL669&gt;Driver!$F$56</f>
        <v/>
      </c>
      <c r="G669" s="60">
        <f>AND(CB669&gt;Driver!$F$55,CB669&lt;Driver!$G$55)</f>
        <v/>
      </c>
      <c r="H669" s="60">
        <f>AND(B669:G669)</f>
        <v/>
      </c>
      <c r="I669" s="60">
        <f>COUNTIFS($H$9:$H$1273,TRUE,$BT$9:$BT$1273,BT669)</f>
        <v/>
      </c>
      <c r="J669" s="60">
        <f t="array" ref="J669">NOT(OR(($H$9:$H$1273=TRUE)*($I$9:$I$1273&gt;0)*($BT$9:$BT$1273=BT669)*($K$9:$K$1273&gt;K669)))</f>
        <v/>
      </c>
      <c r="K669" s="108">
        <f>IFERROR(1-AVERAGE(X669:Y669),"")</f>
        <v/>
      </c>
      <c r="L669" s="108">
        <f>1-X669</f>
        <v/>
      </c>
      <c r="M669" s="108">
        <f>1-Y669</f>
        <v/>
      </c>
      <c r="N669" s="108">
        <f>1-Z669</f>
        <v/>
      </c>
      <c r="O669" s="108">
        <f>1-AA669</f>
        <v/>
      </c>
      <c r="P669" s="108">
        <f>1-AB669</f>
        <v/>
      </c>
      <c r="Q669" s="108" t="n"/>
      <c r="R669" s="108" t="n"/>
      <c r="S669" s="108">
        <f>1-AE669</f>
        <v/>
      </c>
      <c r="T669" s="108">
        <f>1-AF669</f>
        <v/>
      </c>
      <c r="U669" s="108">
        <f>1-AG669</f>
        <v/>
      </c>
      <c r="V669" s="108">
        <f>1-AH669</f>
        <v/>
      </c>
      <c r="W669" s="108">
        <f>1-AI669</f>
        <v/>
      </c>
      <c r="X669" s="108">
        <f>ABS(AJ669-AJ$1)</f>
        <v/>
      </c>
      <c r="Y669" s="108">
        <f>AVERAGE(Z669:AB669)</f>
        <v/>
      </c>
      <c r="Z669" s="108">
        <f>ABS(AL669-AL$1)</f>
        <v/>
      </c>
      <c r="AA669" s="108">
        <f>ABS(AM669-AM$1)</f>
        <v/>
      </c>
      <c r="AB669" s="108">
        <f>ABS(AN669-AN$1)</f>
        <v/>
      </c>
      <c r="AC669" s="108" t="n"/>
      <c r="AD669" s="108" t="n"/>
      <c r="AE669" s="108">
        <f>ABS(AQ$1-AQ669)</f>
        <v/>
      </c>
      <c r="AF669" s="108">
        <f>ABS(AR$1-AR669)</f>
        <v/>
      </c>
      <c r="AG669" s="108">
        <f>ABS(AS$1-AS669)</f>
        <v/>
      </c>
      <c r="AH669" s="108">
        <f>ABS(AT$1-AT669)</f>
        <v/>
      </c>
      <c r="AI669" s="108">
        <f>ABS(AU$1-AU669)</f>
        <v/>
      </c>
      <c r="AJ669" s="108">
        <f>(AV669-Driver!$K$179)/(Driver!$L$179-Driver!$K$179)</f>
        <v/>
      </c>
      <c r="AK669" s="108">
        <f>(AW669-Driver!$K$180)/(Driver!$L$180-Driver!$K$180)</f>
        <v/>
      </c>
      <c r="AL669" s="108">
        <f>(AX669-Driver!$K$181)/(Driver!$L$181-Driver!$K$181)</f>
        <v/>
      </c>
      <c r="AM669" s="108">
        <f>(AY669-Driver!$K$182)/(Driver!$L$182-Driver!$K$182)</f>
        <v/>
      </c>
      <c r="AN669" s="108">
        <f>(AZ669-Driver!$K$183)/(Driver!$L$183-Driver!$K$183)</f>
        <v/>
      </c>
      <c r="AO669" s="108" t="n"/>
      <c r="AP669" s="108" t="n"/>
      <c r="AQ669" s="108">
        <f>(BC669-Driver!$K$188)/(Driver!$L$188-Driver!$K$188)</f>
        <v/>
      </c>
      <c r="AR669" s="108">
        <f>MIN((BD669-Driver!$K$189)/(Driver!$L$189-Driver!$K$189),100%)</f>
        <v/>
      </c>
      <c r="AS669" s="108">
        <f>(BE669-Driver!$K$190)/(Driver!$L$190-Driver!$K$190)</f>
        <v/>
      </c>
      <c r="AT669" s="108">
        <f>(BF669-Driver!$K$191)/(Driver!$L$191-Driver!$K$191)</f>
        <v/>
      </c>
      <c r="AU669" s="108">
        <f>(BG669-Driver!$K$192)/(Driver!$L$192-Driver!$K$192)</f>
        <v/>
      </c>
      <c r="AV669" s="105">
        <f>IFERROR(BM669*BJ669^1/4,"")</f>
        <v/>
      </c>
      <c r="AW669" s="105">
        <f>IFERROR(SUM(AX669:AZ669),"")</f>
        <v/>
      </c>
      <c r="AX669" s="105">
        <f>IFERROR(BH669,"")</f>
        <v/>
      </c>
      <c r="AY669" s="105">
        <f>IFERROR(Driver!$K$19/Data!BH669/Data!BI669*Data!BK669*Data!BL669,"")</f>
        <v/>
      </c>
      <c r="AZ669" s="105">
        <f>IFERROR(BI669*BN669,"")</f>
        <v/>
      </c>
      <c r="BA669" s="105" t="n"/>
      <c r="BB669" s="105" t="n"/>
      <c r="BC669" s="105">
        <f>IFERROR(BI669*BN669*BK669/BJ669^(1/2),"")</f>
        <v/>
      </c>
      <c r="BD669" s="105">
        <f>IFERROR(BH669*BM669*BL669/BJ669/BK669,"")</f>
        <v/>
      </c>
      <c r="BE669" s="105">
        <f>IFERROR(MIN(BI669/BQ669/BP669/BO669/BH669,$BE$1),"")</f>
        <v/>
      </c>
      <c r="BF669" s="105">
        <f>IFERROR(BJ669*BO669*BP669/BK669,"")</f>
        <v/>
      </c>
      <c r="BG669" s="105">
        <f>IFERROR(1/BM669/BH669*BQ669,"")</f>
        <v/>
      </c>
      <c r="BH669" s="102">
        <f>MAX((CE669-Driver!$F$200)/(Driver!$G$200-Driver!$F$200)*$BI$1,1)</f>
        <v/>
      </c>
      <c r="BI669" s="102">
        <f>MAX($BI$1*(BY669-Driver!$F$201)/(Driver!$G$201-Driver!$F$201),1)</f>
        <v/>
      </c>
      <c r="BJ669" s="102">
        <f>(CB669-Driver!$F$206)/(Driver!$G$206-Driver!$F$206)*$BI$1</f>
        <v/>
      </c>
      <c r="BK669" s="102">
        <f>(CD669-Driver!$F$203)/(Driver!$G$203-Driver!$F$203)*$BI$1</f>
        <v/>
      </c>
      <c r="BL669" s="102">
        <f>MAX((CR669-Driver!$F$202)/(Driver!$G$202-Driver!$F$202)*$BI$1,1)</f>
        <v/>
      </c>
      <c r="BM669" s="102">
        <f>MAX((CH669-Driver!$F$204)/(Driver!$G$204-Driver!$F$204)*$BI$1,1)</f>
        <v/>
      </c>
      <c r="BN669" s="102">
        <f>(CI669-Driver!$F$205)/(Driver!$G$205-Driver!$F$205)*$BI$1</f>
        <v/>
      </c>
      <c r="BO669" s="102">
        <f>(CK669-Driver!$F$207)/(Driver!$G$207-Driver!$F$207)*$BI$1</f>
        <v/>
      </c>
      <c r="BP669" s="102">
        <f>(CM669-Driver!$F$208)/(Driver!$G$208-Driver!$F$208)*$BI$1</f>
        <v/>
      </c>
      <c r="BQ669" s="102">
        <f>(CL669-Driver!$F$209)/(Driver!$G$209-Driver!$F$209)*$BI$1</f>
        <v/>
      </c>
      <c r="BR669" s="40" t="inlineStr">
        <is>
          <t>21/22</t>
        </is>
      </c>
      <c r="BS669" s="10" t="inlineStr">
        <is>
          <t xml:space="preserve"> DPS</t>
        </is>
      </c>
      <c r="BT669" s="11" t="inlineStr">
        <is>
          <t>Pagoda Tour 112 RP</t>
        </is>
      </c>
      <c r="BU669" s="13" t="n">
        <v>168</v>
      </c>
      <c r="BV669" s="11" t="inlineStr">
        <is>
          <t xml:space="preserve"> Unisex</t>
        </is>
      </c>
      <c r="BW669" s="13" t="n">
        <v>168</v>
      </c>
      <c r="BX669" s="13" t="n">
        <v>166.2</v>
      </c>
      <c r="BY669" s="13" t="n">
        <v>96</v>
      </c>
      <c r="BZ669" s="13" t="n">
        <v>112</v>
      </c>
      <c r="CA669" s="13" t="n">
        <v>136</v>
      </c>
      <c r="CB669" s="13" t="n">
        <v>112</v>
      </c>
      <c r="CC669" s="13" t="n">
        <v>124</v>
      </c>
      <c r="CD669" s="13" t="n">
        <v>15.1</v>
      </c>
      <c r="CE669" s="13" t="n">
        <v>1370</v>
      </c>
      <c r="CF669" s="13" t="n">
        <v>1.45</v>
      </c>
      <c r="CG669" s="13" t="n">
        <v>1988</v>
      </c>
      <c r="CH669" s="13" t="n">
        <v>163</v>
      </c>
      <c r="CI669" s="13" t="n">
        <v>79</v>
      </c>
      <c r="CJ669" s="13" t="n">
        <v>59</v>
      </c>
      <c r="CK669" s="13" t="n">
        <v>398</v>
      </c>
      <c r="CL669" s="13" t="n">
        <v>32</v>
      </c>
      <c r="CM669" s="13" t="n">
        <v>303</v>
      </c>
      <c r="CN669" s="13" t="n">
        <v>0.548</v>
      </c>
      <c r="CO669" s="13" t="n">
        <v>296</v>
      </c>
      <c r="CP669" s="13" t="n">
        <v>242</v>
      </c>
      <c r="CQ669" s="13" t="n">
        <v>102</v>
      </c>
      <c r="CR669" s="13" t="n">
        <v>4</v>
      </c>
      <c r="CS669" s="13" t="n">
        <v>13.7</v>
      </c>
      <c r="CT669" s="11" t="inlineStr">
        <is>
          <t xml:space="preserve"> Powder</t>
        </is>
      </c>
      <c r="CU669" s="11" t="inlineStr">
        <is>
          <t xml:space="preserve"> Touring</t>
        </is>
      </c>
      <c r="CV669" s="11" t="inlineStr">
        <is>
          <t xml:space="preserve"> Ultralight Touring</t>
        </is>
      </c>
      <c r="CW669" s="13" t="n"/>
      <c r="CX669">
        <f>INDEX('Data_Price '!AG$2:AG$1266,MATCH(Data!$DN669,'Data_Price '!$AT$2:$AT$1266,0))</f>
        <v/>
      </c>
      <c r="CY669">
        <f>INDEX('Data_Price '!AH$2:AH$1266,MATCH(Data!$DN669,'Data_Price '!$AT$2:$AT$1266,0))</f>
        <v/>
      </c>
      <c r="CZ669">
        <f>INDEX('Data_Price '!AI$2:AI$1266,MATCH(Data!$DN669,'Data_Price '!$AT$2:$AT$1266,0))</f>
        <v/>
      </c>
      <c r="DA669">
        <f>INDEX('Data_Price '!AJ$2:AJ$1266,MATCH(Data!$DN669,'Data_Price '!$AT$2:$AT$1266,0))</f>
        <v/>
      </c>
      <c r="DB669">
        <f>INDEX('Data_Price '!AK$2:AK$1266,MATCH(Data!$DN669,'Data_Price '!$AT$2:$AT$1266,0))</f>
        <v/>
      </c>
      <c r="DC669">
        <f>INDEX('Data_Price '!AL$2:AL$1266,MATCH(Data!$DN669,'Data_Price '!$AT$2:$AT$1266,0))</f>
        <v/>
      </c>
      <c r="DD669">
        <f>INDEX('Data_Price '!AM$2:AM$1266,MATCH(Data!$DN669,'Data_Price '!$AT$2:$AT$1266,0))</f>
        <v/>
      </c>
      <c r="DE669">
        <f>INDEX('Data_Price '!AN$2:AN$1266,MATCH(Data!$DN669,'Data_Price '!$AT$2:$AT$1266,0))</f>
        <v/>
      </c>
      <c r="DF669">
        <f>INDEX('Data_Price '!AO$2:AO$1266,MATCH(Data!$DN669,'Data_Price '!$AT$2:$AT$1266,0))</f>
        <v/>
      </c>
      <c r="DG669">
        <f>INDEX('Data_Price '!AP$2:AP$1266,MATCH(Data!$DN669,'Data_Price '!$AT$2:$AT$1266,0))</f>
        <v/>
      </c>
      <c r="DH669">
        <f>INDEX('Data_Price '!AQ$2:AQ$1266,MATCH(Data!$DN669,'Data_Price '!$AT$2:$AT$1266,0))</f>
        <v/>
      </c>
      <c r="DI669">
        <f>INDEX('Data_Price '!AR$2:AR$1266,MATCH(Data!$DN669,'Data_Price '!$AT$2:$AT$1266,0))</f>
        <v/>
      </c>
      <c r="DJ669" s="138">
        <f>DA669</f>
        <v/>
      </c>
      <c r="DK669" s="138">
        <f>DE669</f>
        <v/>
      </c>
      <c r="DL669" s="138">
        <f>DI669</f>
        <v/>
      </c>
      <c r="DM669" s="303">
        <f>IF(LEFT(BT669,1)=" ",RIGHT(BT669,LEN(BT669)-1),BT669)</f>
        <v/>
      </c>
      <c r="DN669" s="138">
        <f>_xlfn.CONCAT(BS669,DM669,BU669,BV669)</f>
        <v/>
      </c>
      <c r="DO669" s="307" t="inlineStr">
        <is>
          <t>https://images.evo.com/imgp/250/183639/728542/dps-pagoda-tour-112-rp-skis-2022-.jpg</t>
        </is>
      </c>
    </row>
    <row r="670" ht="15.6" customHeight="1" s="184">
      <c r="B670" s="303">
        <f t="array" ref="B670">IF(OR(ISERROR(K670:P670)),FALSE,TRUE)</f>
        <v/>
      </c>
      <c r="C670" s="60">
        <f>OR(BR670=Driver!$G$50,Data!BR762=Driver!$H$50)</f>
        <v/>
      </c>
      <c r="D670" s="60">
        <f>OR(BV670=Driver!$G$51,BV670=Driver!$H$51)</f>
        <v/>
      </c>
      <c r="E670" s="60">
        <f>AND(BX670&gt;Driver!$F$54,BX670&lt;Driver!$G$54)</f>
        <v/>
      </c>
      <c r="F670" s="60">
        <f>CL670&gt;Driver!$F$56</f>
        <v/>
      </c>
      <c r="G670" s="60">
        <f>AND(CB670&gt;Driver!$F$55,CB670&lt;Driver!$G$55)</f>
        <v/>
      </c>
      <c r="H670" s="60">
        <f>AND(B670:G670)</f>
        <v/>
      </c>
      <c r="I670" s="60">
        <f>COUNTIFS($H$9:$H$1273,TRUE,$BT$9:$BT$1273,BT670)</f>
        <v/>
      </c>
      <c r="J670" s="60">
        <f t="array" ref="J670">NOT(OR(($H$9:$H$1273=TRUE)*($I$9:$I$1273&gt;0)*($BT$9:$BT$1273=BT670)*($K$9:$K$1273&gt;K670)))</f>
        <v/>
      </c>
      <c r="K670" s="108">
        <f>IFERROR(1-AVERAGE(X670:Y670),"")</f>
        <v/>
      </c>
      <c r="L670" s="108">
        <f>1-X670</f>
        <v/>
      </c>
      <c r="M670" s="108">
        <f>1-Y670</f>
        <v/>
      </c>
      <c r="N670" s="108">
        <f>1-Z670</f>
        <v/>
      </c>
      <c r="O670" s="108">
        <f>1-AA670</f>
        <v/>
      </c>
      <c r="P670" s="108">
        <f>1-AB670</f>
        <v/>
      </c>
      <c r="Q670" s="108" t="n"/>
      <c r="R670" s="108" t="n"/>
      <c r="S670" s="108">
        <f>1-AE670</f>
        <v/>
      </c>
      <c r="T670" s="108">
        <f>1-AF670</f>
        <v/>
      </c>
      <c r="U670" s="108">
        <f>1-AG670</f>
        <v/>
      </c>
      <c r="V670" s="108">
        <f>1-AH670</f>
        <v/>
      </c>
      <c r="W670" s="108">
        <f>1-AI670</f>
        <v/>
      </c>
      <c r="X670" s="108">
        <f>ABS(AJ670-AJ$1)</f>
        <v/>
      </c>
      <c r="Y670" s="108">
        <f>AVERAGE(Z670:AB670)</f>
        <v/>
      </c>
      <c r="Z670" s="108">
        <f>ABS(AL670-AL$1)</f>
        <v/>
      </c>
      <c r="AA670" s="108">
        <f>ABS(AM670-AM$1)</f>
        <v/>
      </c>
      <c r="AB670" s="108">
        <f>ABS(AN670-AN$1)</f>
        <v/>
      </c>
      <c r="AC670" s="108" t="n"/>
      <c r="AD670" s="108" t="n"/>
      <c r="AE670" s="108">
        <f>ABS(AQ$1-AQ670)</f>
        <v/>
      </c>
      <c r="AF670" s="108">
        <f>ABS(AR$1-AR670)</f>
        <v/>
      </c>
      <c r="AG670" s="108">
        <f>ABS(AS$1-AS670)</f>
        <v/>
      </c>
      <c r="AH670" s="108">
        <f>ABS(AT$1-AT670)</f>
        <v/>
      </c>
      <c r="AI670" s="108">
        <f>ABS(AU$1-AU670)</f>
        <v/>
      </c>
      <c r="AJ670" s="108">
        <f>(AV670-Driver!$K$179)/(Driver!$L$179-Driver!$K$179)</f>
        <v/>
      </c>
      <c r="AK670" s="108">
        <f>(AW670-Driver!$K$180)/(Driver!$L$180-Driver!$K$180)</f>
        <v/>
      </c>
      <c r="AL670" s="108">
        <f>(AX670-Driver!$K$181)/(Driver!$L$181-Driver!$K$181)</f>
        <v/>
      </c>
      <c r="AM670" s="108">
        <f>(AY670-Driver!$K$182)/(Driver!$L$182-Driver!$K$182)</f>
        <v/>
      </c>
      <c r="AN670" s="108">
        <f>(AZ670-Driver!$K$183)/(Driver!$L$183-Driver!$K$183)</f>
        <v/>
      </c>
      <c r="AO670" s="108" t="n"/>
      <c r="AP670" s="108" t="n"/>
      <c r="AQ670" s="108">
        <f>(BC670-Driver!$K$188)/(Driver!$L$188-Driver!$K$188)</f>
        <v/>
      </c>
      <c r="AR670" s="108">
        <f>MIN((BD670-Driver!$K$189)/(Driver!$L$189-Driver!$K$189),100%)</f>
        <v/>
      </c>
      <c r="AS670" s="108">
        <f>(BE670-Driver!$K$190)/(Driver!$L$190-Driver!$K$190)</f>
        <v/>
      </c>
      <c r="AT670" s="108">
        <f>(BF670-Driver!$K$191)/(Driver!$L$191-Driver!$K$191)</f>
        <v/>
      </c>
      <c r="AU670" s="108">
        <f>(BG670-Driver!$K$192)/(Driver!$L$192-Driver!$K$192)</f>
        <v/>
      </c>
      <c r="AV670" s="105">
        <f>IFERROR(BM670*BJ670^1/4,"")</f>
        <v/>
      </c>
      <c r="AW670" s="105">
        <f>IFERROR(SUM(AX670:AZ670),"")</f>
        <v/>
      </c>
      <c r="AX670" s="105">
        <f>IFERROR(BH670,"")</f>
        <v/>
      </c>
      <c r="AY670" s="105">
        <f>IFERROR(Driver!$K$19/Data!BH670/Data!BI670*Data!BK670*Data!BL670,"")</f>
        <v/>
      </c>
      <c r="AZ670" s="105">
        <f>IFERROR(BI670*BN670,"")</f>
        <v/>
      </c>
      <c r="BA670" s="105" t="n"/>
      <c r="BB670" s="105" t="n"/>
      <c r="BC670" s="105">
        <f>IFERROR(BI670*BN670*BK670/BJ670^(1/2),"")</f>
        <v/>
      </c>
      <c r="BD670" s="105">
        <f>IFERROR(BH670*BM670*BL670/BJ670/BK670,"")</f>
        <v/>
      </c>
      <c r="BE670" s="105">
        <f>IFERROR(MIN(BI670/BQ670/BP670/BO670/BH670,$BE$1),"")</f>
        <v/>
      </c>
      <c r="BF670" s="105">
        <f>IFERROR(BJ670*BO670*BP670/BK670,"")</f>
        <v/>
      </c>
      <c r="BG670" s="105">
        <f>IFERROR(1/BM670/BH670*BQ670,"")</f>
        <v/>
      </c>
      <c r="BH670" s="102">
        <f>MAX((CE670-Driver!$F$200)/(Driver!$G$200-Driver!$F$200)*$BI$1,1)</f>
        <v/>
      </c>
      <c r="BI670" s="102">
        <f>MAX($BI$1*(BY670-Driver!$F$201)/(Driver!$G$201-Driver!$F$201),1)</f>
        <v/>
      </c>
      <c r="BJ670" s="102">
        <f>(CB670-Driver!$F$206)/(Driver!$G$206-Driver!$F$206)*$BI$1</f>
        <v/>
      </c>
      <c r="BK670" s="102">
        <f>(CD670-Driver!$F$203)/(Driver!$G$203-Driver!$F$203)*$BI$1</f>
        <v/>
      </c>
      <c r="BL670" s="102">
        <f>MAX((CR670-Driver!$F$202)/(Driver!$G$202-Driver!$F$202)*$BI$1,1)</f>
        <v/>
      </c>
      <c r="BM670" s="102">
        <f>MAX((CH670-Driver!$F$204)/(Driver!$G$204-Driver!$F$204)*$BI$1,1)</f>
        <v/>
      </c>
      <c r="BN670" s="102">
        <f>(CI670-Driver!$F$205)/(Driver!$G$205-Driver!$F$205)*$BI$1</f>
        <v/>
      </c>
      <c r="BO670" s="102">
        <f>(CK670-Driver!$F$207)/(Driver!$G$207-Driver!$F$207)*$BI$1</f>
        <v/>
      </c>
      <c r="BP670" s="102">
        <f>(CM670-Driver!$F$208)/(Driver!$G$208-Driver!$F$208)*$BI$1</f>
        <v/>
      </c>
      <c r="BQ670" s="102">
        <f>(CL670-Driver!$F$209)/(Driver!$G$209-Driver!$F$209)*$BI$1</f>
        <v/>
      </c>
      <c r="BR670" s="40" t="inlineStr">
        <is>
          <t>21/22</t>
        </is>
      </c>
      <c r="BS670" s="10" t="inlineStr">
        <is>
          <t xml:space="preserve"> K2</t>
        </is>
      </c>
      <c r="BT670" s="11" t="inlineStr">
        <is>
          <t>Reckoner 102</t>
        </is>
      </c>
      <c r="BU670" s="13" t="n">
        <v>170</v>
      </c>
      <c r="BV670" s="11" t="inlineStr">
        <is>
          <t xml:space="preserve"> Unisex</t>
        </is>
      </c>
      <c r="BW670" s="13" t="n">
        <v>170</v>
      </c>
      <c r="BX670" s="13" t="n">
        <v>170.2</v>
      </c>
      <c r="BY670" s="13" t="n">
        <v>100</v>
      </c>
      <c r="BZ670" s="13" t="n">
        <v>140</v>
      </c>
      <c r="CA670" s="13" t="n">
        <v>133</v>
      </c>
      <c r="CB670" s="13" t="n">
        <v>101</v>
      </c>
      <c r="CC670" s="13" t="n">
        <v>126</v>
      </c>
      <c r="CD670" s="13" t="n">
        <v>16.3</v>
      </c>
      <c r="CE670" s="13" t="n">
        <v>1728</v>
      </c>
      <c r="CF670" s="13" t="n">
        <v>1.11</v>
      </c>
      <c r="CG670" s="13" t="n">
        <v>1911</v>
      </c>
      <c r="CH670" s="13" t="n">
        <v>175</v>
      </c>
      <c r="CI670" s="13" t="n">
        <v>71</v>
      </c>
      <c r="CJ670" s="13" t="n">
        <v>52</v>
      </c>
      <c r="CK670" s="13" t="n">
        <v>338</v>
      </c>
      <c r="CL670" s="13" t="n">
        <v>50</v>
      </c>
      <c r="CM670" s="13" t="n">
        <v>367</v>
      </c>
      <c r="CN670" s="13" t="n">
        <v>0.959</v>
      </c>
      <c r="CO670" s="13" t="n">
        <v>147</v>
      </c>
      <c r="CP670" s="13" t="n">
        <v>150</v>
      </c>
      <c r="CQ670" s="13" t="n">
        <v>191</v>
      </c>
      <c r="CR670" s="13" t="n">
        <v>5</v>
      </c>
      <c r="CS670" s="13" t="n">
        <v>4.2</v>
      </c>
      <c r="CT670" s="11" t="inlineStr">
        <is>
          <t xml:space="preserve"> Freeski</t>
        </is>
      </c>
      <c r="CU670" s="11" t="inlineStr">
        <is>
          <t xml:space="preserve"> Powder</t>
        </is>
      </c>
      <c r="CV670" s="11" t="inlineStr">
        <is>
          <t xml:space="preserve"> Touring</t>
        </is>
      </c>
      <c r="CW670" s="13" t="n"/>
      <c r="CX670">
        <f>INDEX('Data_Price '!AG$2:AG$1266,MATCH(Data!$DN670,'Data_Price '!$AT$2:$AT$1266,0))</f>
        <v/>
      </c>
      <c r="CY670">
        <f>INDEX('Data_Price '!AH$2:AH$1266,MATCH(Data!$DN670,'Data_Price '!$AT$2:$AT$1266,0))</f>
        <v/>
      </c>
      <c r="CZ670">
        <f>INDEX('Data_Price '!AI$2:AI$1266,MATCH(Data!$DN670,'Data_Price '!$AT$2:$AT$1266,0))</f>
        <v/>
      </c>
      <c r="DA670">
        <f>INDEX('Data_Price '!AJ$2:AJ$1266,MATCH(Data!$DN670,'Data_Price '!$AT$2:$AT$1266,0))</f>
        <v/>
      </c>
      <c r="DB670">
        <f>INDEX('Data_Price '!AK$2:AK$1266,MATCH(Data!$DN670,'Data_Price '!$AT$2:$AT$1266,0))</f>
        <v/>
      </c>
      <c r="DC670">
        <f>INDEX('Data_Price '!AL$2:AL$1266,MATCH(Data!$DN670,'Data_Price '!$AT$2:$AT$1266,0))</f>
        <v/>
      </c>
      <c r="DD670">
        <f>INDEX('Data_Price '!AM$2:AM$1266,MATCH(Data!$DN670,'Data_Price '!$AT$2:$AT$1266,0))</f>
        <v/>
      </c>
      <c r="DE670">
        <f>INDEX('Data_Price '!AN$2:AN$1266,MATCH(Data!$DN670,'Data_Price '!$AT$2:$AT$1266,0))</f>
        <v/>
      </c>
      <c r="DF670">
        <f>INDEX('Data_Price '!AO$2:AO$1266,MATCH(Data!$DN670,'Data_Price '!$AT$2:$AT$1266,0))</f>
        <v/>
      </c>
      <c r="DG670">
        <f>INDEX('Data_Price '!AP$2:AP$1266,MATCH(Data!$DN670,'Data_Price '!$AT$2:$AT$1266,0))</f>
        <v/>
      </c>
      <c r="DH670">
        <f>INDEX('Data_Price '!AQ$2:AQ$1266,MATCH(Data!$DN670,'Data_Price '!$AT$2:$AT$1266,0))</f>
        <v/>
      </c>
      <c r="DI670">
        <f>INDEX('Data_Price '!AR$2:AR$1266,MATCH(Data!$DN670,'Data_Price '!$AT$2:$AT$1266,0))</f>
        <v/>
      </c>
      <c r="DJ670" s="138">
        <f>DA670</f>
        <v/>
      </c>
      <c r="DK670" s="138">
        <f>DE670</f>
        <v/>
      </c>
      <c r="DL670" s="138">
        <f>DI670</f>
        <v/>
      </c>
      <c r="DM670" s="303">
        <f>IF(LEFT(BT670,1)=" ",RIGHT(BT670,LEN(BT670)-1),BT670)</f>
        <v/>
      </c>
      <c r="DN670" s="138">
        <f>_xlfn.CONCAT(BS670,DM670,BU670,BV670)</f>
        <v/>
      </c>
      <c r="DO670" s="307" t="inlineStr">
        <is>
          <t>https://images.evo.com/imgp/250/201066/825041/k2-reckoner-102-skis-2022-.jpg</t>
        </is>
      </c>
    </row>
    <row r="671" ht="15.6" customHeight="1" s="184">
      <c r="B671" s="303">
        <f t="array" ref="B671">IF(OR(ISERROR(K671:P671)),FALSE,TRUE)</f>
        <v/>
      </c>
      <c r="C671" s="60">
        <f>OR(BR671=Driver!$G$50,Data!BR156=Driver!$H$50)</f>
        <v/>
      </c>
      <c r="D671" s="60">
        <f>OR(BV671=Driver!$G$51,BV671=Driver!$H$51)</f>
        <v/>
      </c>
      <c r="E671" s="60">
        <f>AND(BX671&gt;Driver!$F$54,BX671&lt;Driver!$G$54)</f>
        <v/>
      </c>
      <c r="F671" s="60">
        <f>CL671&gt;Driver!$F$56</f>
        <v/>
      </c>
      <c r="G671" s="60">
        <f>AND(CB671&gt;Driver!$F$55,CB671&lt;Driver!$G$55)</f>
        <v/>
      </c>
      <c r="H671" s="60">
        <f>AND(B671:G671)</f>
        <v/>
      </c>
      <c r="I671" s="60">
        <f>COUNTIFS($H$9:$H$1273,TRUE,$BT$9:$BT$1273,BT671)</f>
        <v/>
      </c>
      <c r="J671" s="60">
        <f t="array" ref="J671">NOT(OR(($H$9:$H$1273=TRUE)*($I$9:$I$1273&gt;0)*($BT$9:$BT$1273=BT671)*($K$9:$K$1273&gt;K671)))</f>
        <v/>
      </c>
      <c r="K671" s="108">
        <f>IFERROR(1-AVERAGE(X671:Y671),"")</f>
        <v/>
      </c>
      <c r="L671" s="108">
        <f>1-X671</f>
        <v/>
      </c>
      <c r="M671" s="108">
        <f>1-Y671</f>
        <v/>
      </c>
      <c r="N671" s="108">
        <f>1-Z671</f>
        <v/>
      </c>
      <c r="O671" s="108">
        <f>1-AA671</f>
        <v/>
      </c>
      <c r="P671" s="108">
        <f>1-AB671</f>
        <v/>
      </c>
      <c r="Q671" s="108" t="n"/>
      <c r="R671" s="108" t="n"/>
      <c r="S671" s="108">
        <f>1-AE671</f>
        <v/>
      </c>
      <c r="T671" s="108">
        <f>1-AF671</f>
        <v/>
      </c>
      <c r="U671" s="108">
        <f>1-AG671</f>
        <v/>
      </c>
      <c r="V671" s="108">
        <f>1-AH671</f>
        <v/>
      </c>
      <c r="W671" s="108">
        <f>1-AI671</f>
        <v/>
      </c>
      <c r="X671" s="108">
        <f>ABS(AJ671-AJ$1)</f>
        <v/>
      </c>
      <c r="Y671" s="108">
        <f>AVERAGE(Z671:AB671)</f>
        <v/>
      </c>
      <c r="Z671" s="108">
        <f>ABS(AL671-AL$1)</f>
        <v/>
      </c>
      <c r="AA671" s="108">
        <f>ABS(AM671-AM$1)</f>
        <v/>
      </c>
      <c r="AB671" s="108">
        <f>ABS(AN671-AN$1)</f>
        <v/>
      </c>
      <c r="AC671" s="108" t="n"/>
      <c r="AD671" s="108" t="n"/>
      <c r="AE671" s="108">
        <f>ABS(AQ$1-AQ671)</f>
        <v/>
      </c>
      <c r="AF671" s="108">
        <f>ABS(AR$1-AR671)</f>
        <v/>
      </c>
      <c r="AG671" s="108">
        <f>ABS(AS$1-AS671)</f>
        <v/>
      </c>
      <c r="AH671" s="108">
        <f>ABS(AT$1-AT671)</f>
        <v/>
      </c>
      <c r="AI671" s="108">
        <f>ABS(AU$1-AU671)</f>
        <v/>
      </c>
      <c r="AJ671" s="108">
        <f>(AV671-Driver!$K$179)/(Driver!$L$179-Driver!$K$179)</f>
        <v/>
      </c>
      <c r="AK671" s="108">
        <f>(AW671-Driver!$K$180)/(Driver!$L$180-Driver!$K$180)</f>
        <v/>
      </c>
      <c r="AL671" s="108">
        <f>(AX671-Driver!$K$181)/(Driver!$L$181-Driver!$K$181)</f>
        <v/>
      </c>
      <c r="AM671" s="108">
        <f>(AY671-Driver!$K$182)/(Driver!$L$182-Driver!$K$182)</f>
        <v/>
      </c>
      <c r="AN671" s="108">
        <f>(AZ671-Driver!$K$183)/(Driver!$L$183-Driver!$K$183)</f>
        <v/>
      </c>
      <c r="AO671" s="108" t="n"/>
      <c r="AP671" s="108" t="n"/>
      <c r="AQ671" s="108">
        <f>(BC671-Driver!$K$188)/(Driver!$L$188-Driver!$K$188)</f>
        <v/>
      </c>
      <c r="AR671" s="108">
        <f>MIN((BD671-Driver!$K$189)/(Driver!$L$189-Driver!$K$189),100%)</f>
        <v/>
      </c>
      <c r="AS671" s="108">
        <f>(BE671-Driver!$K$190)/(Driver!$L$190-Driver!$K$190)</f>
        <v/>
      </c>
      <c r="AT671" s="108">
        <f>(BF671-Driver!$K$191)/(Driver!$L$191-Driver!$K$191)</f>
        <v/>
      </c>
      <c r="AU671" s="108">
        <f>(BG671-Driver!$K$192)/(Driver!$L$192-Driver!$K$192)</f>
        <v/>
      </c>
      <c r="AV671" s="105">
        <f>IFERROR(BM671*BJ671^1/4,"")</f>
        <v/>
      </c>
      <c r="AW671" s="105">
        <f>IFERROR(SUM(AX671:AZ671),"")</f>
        <v/>
      </c>
      <c r="AX671" s="105">
        <f>IFERROR(BH671,"")</f>
        <v/>
      </c>
      <c r="AY671" s="105">
        <f>IFERROR(Driver!$K$19/Data!BH671/Data!BI671*Data!BK671*Data!BL671,"")</f>
        <v/>
      </c>
      <c r="AZ671" s="105">
        <f>IFERROR(BI671*BN671,"")</f>
        <v/>
      </c>
      <c r="BA671" s="105" t="n"/>
      <c r="BB671" s="105" t="n"/>
      <c r="BC671" s="105">
        <f>IFERROR(BI671*BN671*BK671/BJ671^(1/2),"")</f>
        <v/>
      </c>
      <c r="BD671" s="105">
        <f>IFERROR(BH671*BM671*BL671/BJ671/BK671,"")</f>
        <v/>
      </c>
      <c r="BE671" s="105">
        <f>IFERROR(MIN(BI671/BQ671/BP671/BO671/BH671,$BE$1),"")</f>
        <v/>
      </c>
      <c r="BF671" s="105">
        <f>IFERROR(BJ671*BO671*BP671/BK671,"")</f>
        <v/>
      </c>
      <c r="BG671" s="105">
        <f>IFERROR(1/BM671/BH671*BQ671,"")</f>
        <v/>
      </c>
      <c r="BH671" s="102">
        <f>MAX((CE671-Driver!$F$200)/(Driver!$G$200-Driver!$F$200)*$BI$1,1)</f>
        <v/>
      </c>
      <c r="BI671" s="102">
        <f>MAX($BI$1*(BY671-Driver!$F$201)/(Driver!$G$201-Driver!$F$201),1)</f>
        <v/>
      </c>
      <c r="BJ671" s="102">
        <f>(CB671-Driver!$F$206)/(Driver!$G$206-Driver!$F$206)*$BI$1</f>
        <v/>
      </c>
      <c r="BK671" s="102">
        <f>(CD671-Driver!$F$203)/(Driver!$G$203-Driver!$F$203)*$BI$1</f>
        <v/>
      </c>
      <c r="BL671" s="102">
        <f>MAX((CR671-Driver!$F$202)/(Driver!$G$202-Driver!$F$202)*$BI$1,1)</f>
        <v/>
      </c>
      <c r="BM671" s="102">
        <f>MAX((CH671-Driver!$F$204)/(Driver!$G$204-Driver!$F$204)*$BI$1,1)</f>
        <v/>
      </c>
      <c r="BN671" s="102">
        <f>(CI671-Driver!$F$205)/(Driver!$G$205-Driver!$F$205)*$BI$1</f>
        <v/>
      </c>
      <c r="BO671" s="102">
        <f>(CK671-Driver!$F$207)/(Driver!$G$207-Driver!$F$207)*$BI$1</f>
        <v/>
      </c>
      <c r="BP671" s="102">
        <f>(CM671-Driver!$F$208)/(Driver!$G$208-Driver!$F$208)*$BI$1</f>
        <v/>
      </c>
      <c r="BQ671" s="102">
        <f>(CL671-Driver!$F$209)/(Driver!$G$209-Driver!$F$209)*$BI$1</f>
        <v/>
      </c>
      <c r="BR671" s="40" t="inlineStr">
        <is>
          <t>21/22</t>
        </is>
      </c>
      <c r="BS671" s="10" t="inlineStr">
        <is>
          <t xml:space="preserve"> Atomic</t>
        </is>
      </c>
      <c r="BT671" s="11" t="inlineStr">
        <is>
          <t>Maverick 100 Ti</t>
        </is>
      </c>
      <c r="BU671" s="13" t="n">
        <v>172</v>
      </c>
      <c r="BV671" s="11" t="inlineStr">
        <is>
          <t xml:space="preserve"> Unisex</t>
        </is>
      </c>
      <c r="BW671" s="13" t="n">
        <v>172</v>
      </c>
      <c r="BX671" s="13" t="n">
        <v>171.4</v>
      </c>
      <c r="BY671" s="13" t="n">
        <v>122</v>
      </c>
      <c r="BZ671" s="13" t="n">
        <v>136</v>
      </c>
      <c r="CA671" s="13" t="n">
        <v>127</v>
      </c>
      <c r="CB671" s="13" t="n">
        <v>98</v>
      </c>
      <c r="CC671" s="13" t="n">
        <v>117</v>
      </c>
      <c r="CD671" s="13" t="n">
        <v>17.8</v>
      </c>
      <c r="CE671" s="13" t="n">
        <v>1629</v>
      </c>
      <c r="CF671" s="13" t="n">
        <v>1.12</v>
      </c>
      <c r="CG671" s="13" t="n">
        <v>1830</v>
      </c>
      <c r="CH671" s="13" t="n">
        <v>203</v>
      </c>
      <c r="CI671" s="13" t="n">
        <v>150</v>
      </c>
      <c r="CJ671" s="13" t="n">
        <v>56</v>
      </c>
      <c r="CK671" s="13" t="n">
        <v>294</v>
      </c>
      <c r="CL671" s="13" t="n">
        <v>17</v>
      </c>
      <c r="CM671" s="13" t="n">
        <v>203</v>
      </c>
      <c r="CN671" s="13" t="n">
        <v>0.31</v>
      </c>
      <c r="CO671" s="13" t="n">
        <v>189</v>
      </c>
      <c r="CP671" s="13" t="n">
        <v>164</v>
      </c>
      <c r="CQ671" s="13" t="n">
        <v>105</v>
      </c>
      <c r="CR671" s="13" t="n">
        <v>7</v>
      </c>
      <c r="CS671" s="13" t="n">
        <v>9.800000000000001</v>
      </c>
      <c r="CT671" s="11" t="inlineStr">
        <is>
          <t xml:space="preserve"> Resort Freeride</t>
        </is>
      </c>
      <c r="CU671" s="11" t="inlineStr">
        <is>
          <t xml:space="preserve"> Touring</t>
        </is>
      </c>
      <c r="CV671" s="13" t="n"/>
      <c r="CW671" s="13" t="n"/>
      <c r="CX671">
        <f>INDEX('Data_Price '!AG$2:AG$1266,MATCH(Data!$DN671,'Data_Price '!$AT$2:$AT$1266,0))</f>
        <v/>
      </c>
      <c r="CY671">
        <f>INDEX('Data_Price '!AH$2:AH$1266,MATCH(Data!$DN671,'Data_Price '!$AT$2:$AT$1266,0))</f>
        <v/>
      </c>
      <c r="CZ671">
        <f>INDEX('Data_Price '!AI$2:AI$1266,MATCH(Data!$DN671,'Data_Price '!$AT$2:$AT$1266,0))</f>
        <v/>
      </c>
      <c r="DA671">
        <f>INDEX('Data_Price '!AJ$2:AJ$1266,MATCH(Data!$DN671,'Data_Price '!$AT$2:$AT$1266,0))</f>
        <v/>
      </c>
      <c r="DB671">
        <f>INDEX('Data_Price '!AK$2:AK$1266,MATCH(Data!$DN671,'Data_Price '!$AT$2:$AT$1266,0))</f>
        <v/>
      </c>
      <c r="DC671">
        <f>INDEX('Data_Price '!AL$2:AL$1266,MATCH(Data!$DN671,'Data_Price '!$AT$2:$AT$1266,0))</f>
        <v/>
      </c>
      <c r="DD671">
        <f>INDEX('Data_Price '!AM$2:AM$1266,MATCH(Data!$DN671,'Data_Price '!$AT$2:$AT$1266,0))</f>
        <v/>
      </c>
      <c r="DE671">
        <f>INDEX('Data_Price '!AN$2:AN$1266,MATCH(Data!$DN671,'Data_Price '!$AT$2:$AT$1266,0))</f>
        <v/>
      </c>
      <c r="DF671">
        <f>INDEX('Data_Price '!AO$2:AO$1266,MATCH(Data!$DN671,'Data_Price '!$AT$2:$AT$1266,0))</f>
        <v/>
      </c>
      <c r="DG671">
        <f>INDEX('Data_Price '!AP$2:AP$1266,MATCH(Data!$DN671,'Data_Price '!$AT$2:$AT$1266,0))</f>
        <v/>
      </c>
      <c r="DH671">
        <f>INDEX('Data_Price '!AQ$2:AQ$1266,MATCH(Data!$DN671,'Data_Price '!$AT$2:$AT$1266,0))</f>
        <v/>
      </c>
      <c r="DI671">
        <f>INDEX('Data_Price '!AR$2:AR$1266,MATCH(Data!$DN671,'Data_Price '!$AT$2:$AT$1266,0))</f>
        <v/>
      </c>
      <c r="DJ671" s="138">
        <f>DA671</f>
        <v/>
      </c>
      <c r="DK671" s="138">
        <f>DE671</f>
        <v/>
      </c>
      <c r="DL671" s="138">
        <f>DI671</f>
        <v/>
      </c>
      <c r="DM671" s="303">
        <f>IF(LEFT(BT671,1)=" ",RIGHT(BT671,LEN(BT671)-1),BT671)</f>
        <v/>
      </c>
      <c r="DN671" s="138">
        <f>_xlfn.CONCAT(BS671,DM671,BU671,BV671)</f>
        <v/>
      </c>
      <c r="DO671" s="307" t="inlineStr">
        <is>
          <t>https://images.evo.com/imgp/250/219680/902841/atomic-maverick-100-ti-skis-2023-.jpg</t>
        </is>
      </c>
    </row>
    <row r="672" ht="15.6" customHeight="1" s="184">
      <c r="B672" s="303">
        <f t="array" ref="B672">IF(OR(ISERROR(K672:P672)),FALSE,TRUE)</f>
        <v/>
      </c>
      <c r="C672" s="60">
        <f>OR(BR672=Driver!$G$50,Data!BR963=Driver!$H$50)</f>
        <v/>
      </c>
      <c r="D672" s="60">
        <f>OR(BV672=Driver!$G$51,BV672=Driver!$H$51)</f>
        <v/>
      </c>
      <c r="E672" s="60">
        <f>AND(BX672&gt;Driver!$F$54,BX672&lt;Driver!$G$54)</f>
        <v/>
      </c>
      <c r="F672" s="60">
        <f>CL672&gt;Driver!$F$56</f>
        <v/>
      </c>
      <c r="G672" s="60">
        <f>AND(CB672&gt;Driver!$F$55,CB672&lt;Driver!$G$55)</f>
        <v/>
      </c>
      <c r="H672" s="60">
        <f>AND(B672:G672)</f>
        <v/>
      </c>
      <c r="I672" s="60">
        <f>COUNTIFS($H$9:$H$1273,TRUE,$BT$9:$BT$1273,BT672)</f>
        <v/>
      </c>
      <c r="J672" s="60">
        <f t="array" ref="J672">NOT(OR(($H$9:$H$1273=TRUE)*($I$9:$I$1273&gt;0)*($BT$9:$BT$1273=BT672)*($K$9:$K$1273&gt;K672)))</f>
        <v/>
      </c>
      <c r="K672" s="108">
        <f>IFERROR(1-AVERAGE(X672:Y672),"")</f>
        <v/>
      </c>
      <c r="L672" s="108">
        <f>1-X672</f>
        <v/>
      </c>
      <c r="M672" s="108">
        <f>1-Y672</f>
        <v/>
      </c>
      <c r="N672" s="108">
        <f>1-Z672</f>
        <v/>
      </c>
      <c r="O672" s="108">
        <f>1-AA672</f>
        <v/>
      </c>
      <c r="P672" s="108">
        <f>1-AB672</f>
        <v/>
      </c>
      <c r="Q672" s="108" t="n"/>
      <c r="R672" s="108" t="n"/>
      <c r="S672" s="108">
        <f>1-AE672</f>
        <v/>
      </c>
      <c r="T672" s="108">
        <f>1-AF672</f>
        <v/>
      </c>
      <c r="U672" s="108">
        <f>1-AG672</f>
        <v/>
      </c>
      <c r="V672" s="108">
        <f>1-AH672</f>
        <v/>
      </c>
      <c r="W672" s="108">
        <f>1-AI672</f>
        <v/>
      </c>
      <c r="X672" s="108">
        <f>ABS(AJ672-AJ$1)</f>
        <v/>
      </c>
      <c r="Y672" s="108">
        <f>AVERAGE(Z672:AB672)</f>
        <v/>
      </c>
      <c r="Z672" s="108">
        <f>ABS(AL672-AL$1)</f>
        <v/>
      </c>
      <c r="AA672" s="108">
        <f>ABS(AM672-AM$1)</f>
        <v/>
      </c>
      <c r="AB672" s="108">
        <f>ABS(AN672-AN$1)</f>
        <v/>
      </c>
      <c r="AC672" s="108" t="n"/>
      <c r="AD672" s="108" t="n"/>
      <c r="AE672" s="108">
        <f>ABS(AQ$1-AQ672)</f>
        <v/>
      </c>
      <c r="AF672" s="108">
        <f>ABS(AR$1-AR672)</f>
        <v/>
      </c>
      <c r="AG672" s="108">
        <f>ABS(AS$1-AS672)</f>
        <v/>
      </c>
      <c r="AH672" s="108">
        <f>ABS(AT$1-AT672)</f>
        <v/>
      </c>
      <c r="AI672" s="108">
        <f>ABS(AU$1-AU672)</f>
        <v/>
      </c>
      <c r="AJ672" s="108">
        <f>(AV672-Driver!$K$179)/(Driver!$L$179-Driver!$K$179)</f>
        <v/>
      </c>
      <c r="AK672" s="108">
        <f>(AW672-Driver!$K$180)/(Driver!$L$180-Driver!$K$180)</f>
        <v/>
      </c>
      <c r="AL672" s="108">
        <f>(AX672-Driver!$K$181)/(Driver!$L$181-Driver!$K$181)</f>
        <v/>
      </c>
      <c r="AM672" s="108">
        <f>(AY672-Driver!$K$182)/(Driver!$L$182-Driver!$K$182)</f>
        <v/>
      </c>
      <c r="AN672" s="108">
        <f>(AZ672-Driver!$K$183)/(Driver!$L$183-Driver!$K$183)</f>
        <v/>
      </c>
      <c r="AO672" s="108" t="n"/>
      <c r="AP672" s="108" t="n"/>
      <c r="AQ672" s="108">
        <f>(BC672-Driver!$K$188)/(Driver!$L$188-Driver!$K$188)</f>
        <v/>
      </c>
      <c r="AR672" s="108">
        <f>MIN((BD672-Driver!$K$189)/(Driver!$L$189-Driver!$K$189),100%)</f>
        <v/>
      </c>
      <c r="AS672" s="108">
        <f>(BE672-Driver!$K$190)/(Driver!$L$190-Driver!$K$190)</f>
        <v/>
      </c>
      <c r="AT672" s="108">
        <f>(BF672-Driver!$K$191)/(Driver!$L$191-Driver!$K$191)</f>
        <v/>
      </c>
      <c r="AU672" s="108">
        <f>(BG672-Driver!$K$192)/(Driver!$L$192-Driver!$K$192)</f>
        <v/>
      </c>
      <c r="AV672" s="105">
        <f>IFERROR(BM672*BJ672^1/4,"")</f>
        <v/>
      </c>
      <c r="AW672" s="105">
        <f>IFERROR(SUM(AX672:AZ672),"")</f>
        <v/>
      </c>
      <c r="AX672" s="105">
        <f>IFERROR(BH672,"")</f>
        <v/>
      </c>
      <c r="AY672" s="105">
        <f>IFERROR(Driver!$K$19/Data!BH672/Data!BI672*Data!BK672*Data!BL672,"")</f>
        <v/>
      </c>
      <c r="AZ672" s="105">
        <f>IFERROR(BI672*BN672,"")</f>
        <v/>
      </c>
      <c r="BA672" s="105" t="n"/>
      <c r="BB672" s="105" t="n"/>
      <c r="BC672" s="105">
        <f>IFERROR(BI672*BN672*BK672/BJ672^(1/2),"")</f>
        <v/>
      </c>
      <c r="BD672" s="105">
        <f>IFERROR(BH672*BM672*BL672/BJ672/BK672,"")</f>
        <v/>
      </c>
      <c r="BE672" s="105">
        <f>IFERROR(MIN(BI672/BQ672/BP672/BO672/BH672,$BE$1),"")</f>
        <v/>
      </c>
      <c r="BF672" s="105">
        <f>IFERROR(BJ672*BO672*BP672/BK672,"")</f>
        <v/>
      </c>
      <c r="BG672" s="105">
        <f>IFERROR(1/BM672/BH672*BQ672,"")</f>
        <v/>
      </c>
      <c r="BH672" s="102">
        <f>MAX((CE672-Driver!$F$200)/(Driver!$G$200-Driver!$F$200)*$BI$1,1)</f>
        <v/>
      </c>
      <c r="BI672" s="102">
        <f>MAX($BI$1*(BY672-Driver!$F$201)/(Driver!$G$201-Driver!$F$201),1)</f>
        <v/>
      </c>
      <c r="BJ672" s="102">
        <f>(CB672-Driver!$F$206)/(Driver!$G$206-Driver!$F$206)*$BI$1</f>
        <v/>
      </c>
      <c r="BK672" s="102">
        <f>(CD672-Driver!$F$203)/(Driver!$G$203-Driver!$F$203)*$BI$1</f>
        <v/>
      </c>
      <c r="BL672" s="102">
        <f>MAX((CR672-Driver!$F$202)/(Driver!$G$202-Driver!$F$202)*$BI$1,1)</f>
        <v/>
      </c>
      <c r="BM672" s="102">
        <f>MAX((CH672-Driver!$F$204)/(Driver!$G$204-Driver!$F$204)*$BI$1,1)</f>
        <v/>
      </c>
      <c r="BN672" s="102">
        <f>(CI672-Driver!$F$205)/(Driver!$G$205-Driver!$F$205)*$BI$1</f>
        <v/>
      </c>
      <c r="BO672" s="102">
        <f>(CK672-Driver!$F$207)/(Driver!$G$207-Driver!$F$207)*$BI$1</f>
        <v/>
      </c>
      <c r="BP672" s="102">
        <f>(CM672-Driver!$F$208)/(Driver!$G$208-Driver!$F$208)*$BI$1</f>
        <v/>
      </c>
      <c r="BQ672" s="102">
        <f>(CL672-Driver!$F$209)/(Driver!$G$209-Driver!$F$209)*$BI$1</f>
        <v/>
      </c>
      <c r="BR672" s="40" t="inlineStr">
        <is>
          <t>21/22</t>
        </is>
      </c>
      <c r="BS672" s="10" t="inlineStr">
        <is>
          <t xml:space="preserve"> Rossignol</t>
        </is>
      </c>
      <c r="BT672" s="11" t="inlineStr">
        <is>
          <t>Blackops Alpineer 96</t>
        </is>
      </c>
      <c r="BU672" s="13" t="n">
        <v>169</v>
      </c>
      <c r="BV672" s="11" t="inlineStr">
        <is>
          <t xml:space="preserve"> Unisex</t>
        </is>
      </c>
      <c r="BW672" s="13" t="n">
        <v>169</v>
      </c>
      <c r="BX672" s="13" t="n">
        <v>169.2</v>
      </c>
      <c r="BY672" s="13" t="n">
        <v>123</v>
      </c>
      <c r="BZ672" s="13" t="n">
        <v>137</v>
      </c>
      <c r="CA672" s="13" t="n">
        <v>126</v>
      </c>
      <c r="CB672" s="13" t="n">
        <v>96</v>
      </c>
      <c r="CC672" s="13" t="n">
        <v>115</v>
      </c>
      <c r="CD672" s="13" t="n">
        <v>17.5</v>
      </c>
      <c r="CE672" s="13" t="n">
        <v>1285</v>
      </c>
      <c r="CF672" s="13" t="n">
        <v>1.4</v>
      </c>
      <c r="CG672" s="13" t="n">
        <v>1798</v>
      </c>
      <c r="CH672" s="13" t="n">
        <v>196</v>
      </c>
      <c r="CI672" s="13" t="n">
        <v>83</v>
      </c>
      <c r="CJ672" s="13" t="n">
        <v>58</v>
      </c>
      <c r="CK672" s="13" t="n">
        <v>322</v>
      </c>
      <c r="CL672" s="13" t="n">
        <v>12</v>
      </c>
      <c r="CM672" s="13" t="n">
        <v>142</v>
      </c>
      <c r="CN672" s="13" t="n">
        <v>0.213</v>
      </c>
      <c r="CO672" s="13" t="n">
        <v>195</v>
      </c>
      <c r="CP672" s="13" t="n">
        <v>123</v>
      </c>
      <c r="CQ672" s="13" t="n">
        <v>126</v>
      </c>
      <c r="CR672" s="13" t="n">
        <v>6</v>
      </c>
      <c r="CS672" s="13" t="n">
        <v>12.1</v>
      </c>
      <c r="CT672" s="11" t="inlineStr">
        <is>
          <t xml:space="preserve"> Touring</t>
        </is>
      </c>
      <c r="CU672" s="11" t="inlineStr">
        <is>
          <t xml:space="preserve"> Ultralight Touring</t>
        </is>
      </c>
      <c r="CV672" s="13" t="n"/>
      <c r="CW672" s="13" t="n"/>
      <c r="CX672">
        <f>INDEX('Data_Price '!AG$2:AG$1266,MATCH(Data!$DN672,'Data_Price '!$AT$2:$AT$1266,0))</f>
        <v/>
      </c>
      <c r="CY672">
        <f>INDEX('Data_Price '!AH$2:AH$1266,MATCH(Data!$DN672,'Data_Price '!$AT$2:$AT$1266,0))</f>
        <v/>
      </c>
      <c r="CZ672">
        <f>INDEX('Data_Price '!AI$2:AI$1266,MATCH(Data!$DN672,'Data_Price '!$AT$2:$AT$1266,0))</f>
        <v/>
      </c>
      <c r="DA672">
        <f>INDEX('Data_Price '!AJ$2:AJ$1266,MATCH(Data!$DN672,'Data_Price '!$AT$2:$AT$1266,0))</f>
        <v/>
      </c>
      <c r="DB672">
        <f>INDEX('Data_Price '!AK$2:AK$1266,MATCH(Data!$DN672,'Data_Price '!$AT$2:$AT$1266,0))</f>
        <v/>
      </c>
      <c r="DC672">
        <f>INDEX('Data_Price '!AL$2:AL$1266,MATCH(Data!$DN672,'Data_Price '!$AT$2:$AT$1266,0))</f>
        <v/>
      </c>
      <c r="DD672">
        <f>INDEX('Data_Price '!AM$2:AM$1266,MATCH(Data!$DN672,'Data_Price '!$AT$2:$AT$1266,0))</f>
        <v/>
      </c>
      <c r="DE672">
        <f>INDEX('Data_Price '!AN$2:AN$1266,MATCH(Data!$DN672,'Data_Price '!$AT$2:$AT$1266,0))</f>
        <v/>
      </c>
      <c r="DF672">
        <f>INDEX('Data_Price '!AO$2:AO$1266,MATCH(Data!$DN672,'Data_Price '!$AT$2:$AT$1266,0))</f>
        <v/>
      </c>
      <c r="DG672">
        <f>INDEX('Data_Price '!AP$2:AP$1266,MATCH(Data!$DN672,'Data_Price '!$AT$2:$AT$1266,0))</f>
        <v/>
      </c>
      <c r="DH672">
        <f>INDEX('Data_Price '!AQ$2:AQ$1266,MATCH(Data!$DN672,'Data_Price '!$AT$2:$AT$1266,0))</f>
        <v/>
      </c>
      <c r="DI672">
        <f>INDEX('Data_Price '!AR$2:AR$1266,MATCH(Data!$DN672,'Data_Price '!$AT$2:$AT$1266,0))</f>
        <v/>
      </c>
      <c r="DJ672" s="138">
        <f>DA672</f>
        <v/>
      </c>
      <c r="DK672" s="138">
        <f>DE672</f>
        <v/>
      </c>
      <c r="DL672" s="138">
        <f>DI672</f>
        <v/>
      </c>
      <c r="DM672" s="303">
        <f>IF(LEFT(BT672,1)=" ",RIGHT(BT672,LEN(BT672)-1),BT672)</f>
        <v/>
      </c>
      <c r="DN672" s="138">
        <f>_xlfn.CONCAT(BS672,DM672,BU672,BV672)</f>
        <v/>
      </c>
      <c r="DO672" s="307" t="n"/>
    </row>
    <row r="673" ht="15.6" customHeight="1" s="184">
      <c r="B673" s="303">
        <f t="array" ref="B673">IF(OR(ISERROR(K673:P673)),FALSE,TRUE)</f>
        <v/>
      </c>
      <c r="C673" s="60">
        <f>OR(BR673=Driver!$G$50,Data!BR1253=Driver!$H$50)</f>
        <v/>
      </c>
      <c r="D673" s="60">
        <f>OR(BV673=Driver!$G$51,BV673=Driver!$H$51)</f>
        <v/>
      </c>
      <c r="E673" s="60">
        <f>AND(BX673&gt;Driver!$F$54,BX673&lt;Driver!$G$54)</f>
        <v/>
      </c>
      <c r="F673" s="60">
        <f>CL673&gt;Driver!$F$56</f>
        <v/>
      </c>
      <c r="G673" s="60">
        <f>AND(CB673&gt;Driver!$F$55,CB673&lt;Driver!$G$55)</f>
        <v/>
      </c>
      <c r="H673" s="60">
        <f>AND(B673:G673)</f>
        <v/>
      </c>
      <c r="I673" s="60">
        <f>COUNTIFS($H$9:$H$1273,TRUE,$BT$9:$BT$1273,BT673)</f>
        <v/>
      </c>
      <c r="J673" s="60">
        <f t="array" ref="J673">NOT(OR(($H$9:$H$1273=TRUE)*($I$9:$I$1273&gt;0)*($BT$9:$BT$1273=BT673)*($K$9:$K$1273&gt;K673)))</f>
        <v/>
      </c>
      <c r="K673" s="108">
        <f>IFERROR(1-AVERAGE(X673:Y673),"")</f>
        <v/>
      </c>
      <c r="L673" s="108">
        <f>1-X673</f>
        <v/>
      </c>
      <c r="M673" s="108">
        <f>1-Y673</f>
        <v/>
      </c>
      <c r="N673" s="108">
        <f>1-Z673</f>
        <v/>
      </c>
      <c r="O673" s="108">
        <f>1-AA673</f>
        <v/>
      </c>
      <c r="P673" s="108">
        <f>1-AB673</f>
        <v/>
      </c>
      <c r="Q673" s="108" t="n"/>
      <c r="R673" s="108" t="n"/>
      <c r="S673" s="108">
        <f>1-AE673</f>
        <v/>
      </c>
      <c r="T673" s="108">
        <f>1-AF673</f>
        <v/>
      </c>
      <c r="U673" s="108">
        <f>1-AG673</f>
        <v/>
      </c>
      <c r="V673" s="108">
        <f>1-AH673</f>
        <v/>
      </c>
      <c r="W673" s="108">
        <f>1-AI673</f>
        <v/>
      </c>
      <c r="X673" s="108">
        <f>ABS(AJ673-AJ$1)</f>
        <v/>
      </c>
      <c r="Y673" s="108">
        <f>AVERAGE(Z673:AB673)</f>
        <v/>
      </c>
      <c r="Z673" s="108">
        <f>ABS(AL673-AL$1)</f>
        <v/>
      </c>
      <c r="AA673" s="108">
        <f>ABS(AM673-AM$1)</f>
        <v/>
      </c>
      <c r="AB673" s="108">
        <f>ABS(AN673-AN$1)</f>
        <v/>
      </c>
      <c r="AC673" s="108" t="n"/>
      <c r="AD673" s="108" t="n"/>
      <c r="AE673" s="108">
        <f>ABS(AQ$1-AQ673)</f>
        <v/>
      </c>
      <c r="AF673" s="108">
        <f>ABS(AR$1-AR673)</f>
        <v/>
      </c>
      <c r="AG673" s="108">
        <f>ABS(AS$1-AS673)</f>
        <v/>
      </c>
      <c r="AH673" s="108">
        <f>ABS(AT$1-AT673)</f>
        <v/>
      </c>
      <c r="AI673" s="108">
        <f>ABS(AU$1-AU673)</f>
        <v/>
      </c>
      <c r="AJ673" s="108">
        <f>(AV673-Driver!$K$179)/(Driver!$L$179-Driver!$K$179)</f>
        <v/>
      </c>
      <c r="AK673" s="108">
        <f>(AW673-Driver!$K$180)/(Driver!$L$180-Driver!$K$180)</f>
        <v/>
      </c>
      <c r="AL673" s="108">
        <f>(AX673-Driver!$K$181)/(Driver!$L$181-Driver!$K$181)</f>
        <v/>
      </c>
      <c r="AM673" s="108">
        <f>(AY673-Driver!$K$182)/(Driver!$L$182-Driver!$K$182)</f>
        <v/>
      </c>
      <c r="AN673" s="108">
        <f>(AZ673-Driver!$K$183)/(Driver!$L$183-Driver!$K$183)</f>
        <v/>
      </c>
      <c r="AO673" s="108" t="n"/>
      <c r="AP673" s="108" t="n"/>
      <c r="AQ673" s="108">
        <f>(BC673-Driver!$K$188)/(Driver!$L$188-Driver!$K$188)</f>
        <v/>
      </c>
      <c r="AR673" s="108">
        <f>MIN((BD673-Driver!$K$189)/(Driver!$L$189-Driver!$K$189),100%)</f>
        <v/>
      </c>
      <c r="AS673" s="108">
        <f>(BE673-Driver!$K$190)/(Driver!$L$190-Driver!$K$190)</f>
        <v/>
      </c>
      <c r="AT673" s="108">
        <f>(BF673-Driver!$K$191)/(Driver!$L$191-Driver!$K$191)</f>
        <v/>
      </c>
      <c r="AU673" s="108">
        <f>(BG673-Driver!$K$192)/(Driver!$L$192-Driver!$K$192)</f>
        <v/>
      </c>
      <c r="AV673" s="105">
        <f>IFERROR(BM673*BJ673^1/4,"")</f>
        <v/>
      </c>
      <c r="AW673" s="105">
        <f>IFERROR(SUM(AX673:AZ673),"")</f>
        <v/>
      </c>
      <c r="AX673" s="105">
        <f>IFERROR(BH673,"")</f>
        <v/>
      </c>
      <c r="AY673" s="105">
        <f>IFERROR(Driver!$K$19/Data!BH673/Data!BI673*Data!BK673*Data!BL673,"")</f>
        <v/>
      </c>
      <c r="AZ673" s="105">
        <f>IFERROR(BI673*BN673,"")</f>
        <v/>
      </c>
      <c r="BA673" s="105" t="n"/>
      <c r="BB673" s="105" t="n"/>
      <c r="BC673" s="105">
        <f>IFERROR(BI673*BN673*BK673/BJ673^(1/2),"")</f>
        <v/>
      </c>
      <c r="BD673" s="105">
        <f>IFERROR(BH673*BM673*BL673/BJ673/BK673,"")</f>
        <v/>
      </c>
      <c r="BE673" s="105">
        <f>IFERROR(MIN(BI673/BQ673/BP673/BO673/BH673,$BE$1),"")</f>
        <v/>
      </c>
      <c r="BF673" s="105">
        <f>IFERROR(BJ673*BO673*BP673/BK673,"")</f>
        <v/>
      </c>
      <c r="BG673" s="105">
        <f>IFERROR(1/BM673/BH673*BQ673,"")</f>
        <v/>
      </c>
      <c r="BH673" s="102">
        <f>MAX((CE673-Driver!$F$200)/(Driver!$G$200-Driver!$F$200)*$BI$1,1)</f>
        <v/>
      </c>
      <c r="BI673" s="102">
        <f>MAX($BI$1*(BY673-Driver!$F$201)/(Driver!$G$201-Driver!$F$201),1)</f>
        <v/>
      </c>
      <c r="BJ673" s="102">
        <f>(CB673-Driver!$F$206)/(Driver!$G$206-Driver!$F$206)*$BI$1</f>
        <v/>
      </c>
      <c r="BK673" s="102">
        <f>(CD673-Driver!$F$203)/(Driver!$G$203-Driver!$F$203)*$BI$1</f>
        <v/>
      </c>
      <c r="BL673" s="102">
        <f>MAX((CR673-Driver!$F$202)/(Driver!$G$202-Driver!$F$202)*$BI$1,1)</f>
        <v/>
      </c>
      <c r="BM673" s="102">
        <f>MAX((CH673-Driver!$F$204)/(Driver!$G$204-Driver!$F$204)*$BI$1,1)</f>
        <v/>
      </c>
      <c r="BN673" s="102">
        <f>(CI673-Driver!$F$205)/(Driver!$G$205-Driver!$F$205)*$BI$1</f>
        <v/>
      </c>
      <c r="BO673" s="102">
        <f>(CK673-Driver!$F$207)/(Driver!$G$207-Driver!$F$207)*$BI$1</f>
        <v/>
      </c>
      <c r="BP673" s="102">
        <f>(CM673-Driver!$F$208)/(Driver!$G$208-Driver!$F$208)*$BI$1</f>
        <v/>
      </c>
      <c r="BQ673" s="102">
        <f>(CL673-Driver!$F$209)/(Driver!$G$209-Driver!$F$209)*$BI$1</f>
        <v/>
      </c>
      <c r="BR673" s="40" t="inlineStr">
        <is>
          <t>21/22</t>
        </is>
      </c>
      <c r="BS673" s="10" t="inlineStr">
        <is>
          <t xml:space="preserve"> Völkl</t>
        </is>
      </c>
      <c r="BT673" s="11" t="inlineStr">
        <is>
          <t>Rise Beyond 96</t>
        </is>
      </c>
      <c r="BU673" s="13" t="n">
        <v>177</v>
      </c>
      <c r="BV673" s="11" t="inlineStr">
        <is>
          <t xml:space="preserve"> Unisex</t>
        </is>
      </c>
      <c r="BW673" s="13" t="n">
        <v>177</v>
      </c>
      <c r="BX673" s="13" t="n">
        <v>176.9</v>
      </c>
      <c r="BY673" s="13" t="n">
        <v>145</v>
      </c>
      <c r="BZ673" s="13" t="n">
        <v>154</v>
      </c>
      <c r="CA673" s="13" t="n">
        <v>138</v>
      </c>
      <c r="CB673" s="13" t="n">
        <v>96</v>
      </c>
      <c r="CC673" s="13" t="n">
        <v>119</v>
      </c>
      <c r="CD673" s="13" t="n">
        <v>17.7</v>
      </c>
      <c r="CE673" s="13" t="n">
        <v>1347</v>
      </c>
      <c r="CF673" s="13" t="n">
        <v>1.43</v>
      </c>
      <c r="CG673" s="13" t="n">
        <v>1921</v>
      </c>
      <c r="CH673" s="13" t="n">
        <v>174</v>
      </c>
      <c r="CI673" s="13" t="n">
        <v>73</v>
      </c>
      <c r="CJ673" s="13" t="n">
        <v>36</v>
      </c>
      <c r="CK673" s="13" t="n">
        <v>260</v>
      </c>
      <c r="CL673" s="13" t="n">
        <v>5</v>
      </c>
      <c r="CM673" s="13" t="n">
        <v>63</v>
      </c>
      <c r="CN673" s="13" t="n">
        <v>0.13</v>
      </c>
      <c r="CO673" s="13" t="n">
        <v>130</v>
      </c>
      <c r="CP673" s="13" t="n">
        <v>96</v>
      </c>
      <c r="CQ673" s="13" t="n">
        <v>130</v>
      </c>
      <c r="CR673" s="13" t="n">
        <v>6</v>
      </c>
      <c r="CS673" s="13" t="n">
        <v>11.8</v>
      </c>
      <c r="CT673" s="11" t="inlineStr">
        <is>
          <t xml:space="preserve"> Touring</t>
        </is>
      </c>
      <c r="CU673" s="11" t="inlineStr">
        <is>
          <t xml:space="preserve"> Ultralight Touring</t>
        </is>
      </c>
      <c r="CV673" s="13" t="n"/>
      <c r="CW673" s="13" t="n"/>
      <c r="CX673">
        <f>INDEX('Data_Price '!AG$2:AG$1266,MATCH(Data!$DN673,'Data_Price '!$AT$2:$AT$1266,0))</f>
        <v/>
      </c>
      <c r="CY673">
        <f>INDEX('Data_Price '!AH$2:AH$1266,MATCH(Data!$DN673,'Data_Price '!$AT$2:$AT$1266,0))</f>
        <v/>
      </c>
      <c r="CZ673">
        <f>INDEX('Data_Price '!AI$2:AI$1266,MATCH(Data!$DN673,'Data_Price '!$AT$2:$AT$1266,0))</f>
        <v/>
      </c>
      <c r="DA673">
        <f>INDEX('Data_Price '!AJ$2:AJ$1266,MATCH(Data!$DN673,'Data_Price '!$AT$2:$AT$1266,0))</f>
        <v/>
      </c>
      <c r="DB673">
        <f>INDEX('Data_Price '!AK$2:AK$1266,MATCH(Data!$DN673,'Data_Price '!$AT$2:$AT$1266,0))</f>
        <v/>
      </c>
      <c r="DC673">
        <f>INDEX('Data_Price '!AL$2:AL$1266,MATCH(Data!$DN673,'Data_Price '!$AT$2:$AT$1266,0))</f>
        <v/>
      </c>
      <c r="DD673">
        <f>INDEX('Data_Price '!AM$2:AM$1266,MATCH(Data!$DN673,'Data_Price '!$AT$2:$AT$1266,0))</f>
        <v/>
      </c>
      <c r="DE673">
        <f>INDEX('Data_Price '!AN$2:AN$1266,MATCH(Data!$DN673,'Data_Price '!$AT$2:$AT$1266,0))</f>
        <v/>
      </c>
      <c r="DF673">
        <f>INDEX('Data_Price '!AO$2:AO$1266,MATCH(Data!$DN673,'Data_Price '!$AT$2:$AT$1266,0))</f>
        <v/>
      </c>
      <c r="DG673">
        <f>INDEX('Data_Price '!AP$2:AP$1266,MATCH(Data!$DN673,'Data_Price '!$AT$2:$AT$1266,0))</f>
        <v/>
      </c>
      <c r="DH673">
        <f>INDEX('Data_Price '!AQ$2:AQ$1266,MATCH(Data!$DN673,'Data_Price '!$AT$2:$AT$1266,0))</f>
        <v/>
      </c>
      <c r="DI673">
        <f>INDEX('Data_Price '!AR$2:AR$1266,MATCH(Data!$DN673,'Data_Price '!$AT$2:$AT$1266,0))</f>
        <v/>
      </c>
      <c r="DJ673" s="138">
        <f>DA673</f>
        <v/>
      </c>
      <c r="DK673" s="138">
        <f>DE673</f>
        <v/>
      </c>
      <c r="DL673" s="138">
        <f>DI673</f>
        <v/>
      </c>
      <c r="DM673" s="303">
        <f>IF(LEFT(BT673,1)=" ",RIGHT(BT673,LEN(BT673)-1),BT673)</f>
        <v/>
      </c>
      <c r="DN673" s="138">
        <f>_xlfn.CONCAT(BS673,DM673,BU673,BV673)</f>
        <v/>
      </c>
      <c r="DO673" s="307" t="n"/>
    </row>
    <row r="674" ht="15.6" customHeight="1" s="184">
      <c r="B674" s="303">
        <f t="array" ref="B674">IF(OR(ISERROR(K674:P674)),FALSE,TRUE)</f>
        <v/>
      </c>
      <c r="C674" s="60">
        <f>OR(BR674=Driver!$G$50,Data!BR291=Driver!$H$50)</f>
        <v/>
      </c>
      <c r="D674" s="60">
        <f>OR(BV674=Driver!$G$51,BV674=Driver!$H$51)</f>
        <v/>
      </c>
      <c r="E674" s="60">
        <f>AND(BX674&gt;Driver!$F$54,BX674&lt;Driver!$G$54)</f>
        <v/>
      </c>
      <c r="F674" s="60">
        <f>CL674&gt;Driver!$F$56</f>
        <v/>
      </c>
      <c r="G674" s="60">
        <f>AND(CB674&gt;Driver!$F$55,CB674&lt;Driver!$G$55)</f>
        <v/>
      </c>
      <c r="H674" s="60">
        <f>AND(B674:G674)</f>
        <v/>
      </c>
      <c r="I674" s="60">
        <f>COUNTIFS($H$9:$H$1273,TRUE,$BT$9:$BT$1273,BT674)</f>
        <v/>
      </c>
      <c r="J674" s="60">
        <f t="array" ref="J674">NOT(OR(($H$9:$H$1273=TRUE)*($I$9:$I$1273&gt;0)*($BT$9:$BT$1273=BT674)*($K$9:$K$1273&gt;K674)))</f>
        <v/>
      </c>
      <c r="K674" s="108">
        <f>IFERROR(1-AVERAGE(X674:Y674),"")</f>
        <v/>
      </c>
      <c r="L674" s="108">
        <f>1-X674</f>
        <v/>
      </c>
      <c r="M674" s="108">
        <f>1-Y674</f>
        <v/>
      </c>
      <c r="N674" s="108">
        <f>1-Z674</f>
        <v/>
      </c>
      <c r="O674" s="108">
        <f>1-AA674</f>
        <v/>
      </c>
      <c r="P674" s="108">
        <f>1-AB674</f>
        <v/>
      </c>
      <c r="Q674" s="108" t="n"/>
      <c r="R674" s="108" t="n"/>
      <c r="S674" s="108">
        <f>1-AE674</f>
        <v/>
      </c>
      <c r="T674" s="108">
        <f>1-AF674</f>
        <v/>
      </c>
      <c r="U674" s="108">
        <f>1-AG674</f>
        <v/>
      </c>
      <c r="V674" s="108">
        <f>1-AH674</f>
        <v/>
      </c>
      <c r="W674" s="108">
        <f>1-AI674</f>
        <v/>
      </c>
      <c r="X674" s="108">
        <f>ABS(AJ674-AJ$1)</f>
        <v/>
      </c>
      <c r="Y674" s="108">
        <f>AVERAGE(Z674:AB674)</f>
        <v/>
      </c>
      <c r="Z674" s="108">
        <f>ABS(AL674-AL$1)</f>
        <v/>
      </c>
      <c r="AA674" s="108">
        <f>ABS(AM674-AM$1)</f>
        <v/>
      </c>
      <c r="AB674" s="108">
        <f>ABS(AN674-AN$1)</f>
        <v/>
      </c>
      <c r="AC674" s="108" t="n"/>
      <c r="AD674" s="108" t="n"/>
      <c r="AE674" s="108">
        <f>ABS(AQ$1-AQ674)</f>
        <v/>
      </c>
      <c r="AF674" s="108">
        <f>ABS(AR$1-AR674)</f>
        <v/>
      </c>
      <c r="AG674" s="108">
        <f>ABS(AS$1-AS674)</f>
        <v/>
      </c>
      <c r="AH674" s="108">
        <f>ABS(AT$1-AT674)</f>
        <v/>
      </c>
      <c r="AI674" s="108">
        <f>ABS(AU$1-AU674)</f>
        <v/>
      </c>
      <c r="AJ674" s="108">
        <f>(AV674-Driver!$K$179)/(Driver!$L$179-Driver!$K$179)</f>
        <v/>
      </c>
      <c r="AK674" s="108">
        <f>(AW674-Driver!$K$180)/(Driver!$L$180-Driver!$K$180)</f>
        <v/>
      </c>
      <c r="AL674" s="108">
        <f>(AX674-Driver!$K$181)/(Driver!$L$181-Driver!$K$181)</f>
        <v/>
      </c>
      <c r="AM674" s="108">
        <f>(AY674-Driver!$K$182)/(Driver!$L$182-Driver!$K$182)</f>
        <v/>
      </c>
      <c r="AN674" s="108">
        <f>(AZ674-Driver!$K$183)/(Driver!$L$183-Driver!$K$183)</f>
        <v/>
      </c>
      <c r="AO674" s="108" t="n"/>
      <c r="AP674" s="108" t="n"/>
      <c r="AQ674" s="108">
        <f>(BC674-Driver!$K$188)/(Driver!$L$188-Driver!$K$188)</f>
        <v/>
      </c>
      <c r="AR674" s="108">
        <f>MIN((BD674-Driver!$K$189)/(Driver!$L$189-Driver!$K$189),100%)</f>
        <v/>
      </c>
      <c r="AS674" s="108">
        <f>(BE674-Driver!$K$190)/(Driver!$L$190-Driver!$K$190)</f>
        <v/>
      </c>
      <c r="AT674" s="108">
        <f>(BF674-Driver!$K$191)/(Driver!$L$191-Driver!$K$191)</f>
        <v/>
      </c>
      <c r="AU674" s="108">
        <f>(BG674-Driver!$K$192)/(Driver!$L$192-Driver!$K$192)</f>
        <v/>
      </c>
      <c r="AV674" s="105">
        <f>IFERROR(BM674*BJ674^1/4,"")</f>
        <v/>
      </c>
      <c r="AW674" s="105">
        <f>IFERROR(SUM(AX674:AZ674),"")</f>
        <v/>
      </c>
      <c r="AX674" s="105">
        <f>IFERROR(BH674,"")</f>
        <v/>
      </c>
      <c r="AY674" s="105">
        <f>IFERROR(Driver!$K$19/Data!BH674/Data!BI674*Data!BK674*Data!BL674,"")</f>
        <v/>
      </c>
      <c r="AZ674" s="105">
        <f>IFERROR(BI674*BN674,"")</f>
        <v/>
      </c>
      <c r="BA674" s="105" t="n"/>
      <c r="BB674" s="105" t="n"/>
      <c r="BC674" s="105">
        <f>IFERROR(BI674*BN674*BK674/BJ674^(1/2),"")</f>
        <v/>
      </c>
      <c r="BD674" s="105">
        <f>IFERROR(BH674*BM674*BL674/BJ674/BK674,"")</f>
        <v/>
      </c>
      <c r="BE674" s="105">
        <f>IFERROR(MIN(BI674/BQ674/BP674/BO674/BH674,$BE$1),"")</f>
        <v/>
      </c>
      <c r="BF674" s="105">
        <f>IFERROR(BJ674*BO674*BP674/BK674,"")</f>
        <v/>
      </c>
      <c r="BG674" s="105">
        <f>IFERROR(1/BM674/BH674*BQ674,"")</f>
        <v/>
      </c>
      <c r="BH674" s="102">
        <f>MAX((CE674-Driver!$F$200)/(Driver!$G$200-Driver!$F$200)*$BI$1,1)</f>
        <v/>
      </c>
      <c r="BI674" s="102">
        <f>MAX($BI$1*(BY674-Driver!$F$201)/(Driver!$G$201-Driver!$F$201),1)</f>
        <v/>
      </c>
      <c r="BJ674" s="102">
        <f>(CB674-Driver!$F$206)/(Driver!$G$206-Driver!$F$206)*$BI$1</f>
        <v/>
      </c>
      <c r="BK674" s="102">
        <f>(CD674-Driver!$F$203)/(Driver!$G$203-Driver!$F$203)*$BI$1</f>
        <v/>
      </c>
      <c r="BL674" s="102">
        <f>MAX((CR674-Driver!$F$202)/(Driver!$G$202-Driver!$F$202)*$BI$1,1)</f>
        <v/>
      </c>
      <c r="BM674" s="102">
        <f>MAX((CH674-Driver!$F$204)/(Driver!$G$204-Driver!$F$204)*$BI$1,1)</f>
        <v/>
      </c>
      <c r="BN674" s="102">
        <f>(CI674-Driver!$F$205)/(Driver!$G$205-Driver!$F$205)*$BI$1</f>
        <v/>
      </c>
      <c r="BO674" s="102">
        <f>(CK674-Driver!$F$207)/(Driver!$G$207-Driver!$F$207)*$BI$1</f>
        <v/>
      </c>
      <c r="BP674" s="102">
        <f>(CM674-Driver!$F$208)/(Driver!$G$208-Driver!$F$208)*$BI$1</f>
        <v/>
      </c>
      <c r="BQ674" s="102">
        <f>(CL674-Driver!$F$209)/(Driver!$G$209-Driver!$F$209)*$BI$1</f>
        <v/>
      </c>
      <c r="BR674" s="40" t="inlineStr">
        <is>
          <t>21/22</t>
        </is>
      </c>
      <c r="BS674" s="10" t="inlineStr">
        <is>
          <t xml:space="preserve"> Blizzard</t>
        </is>
      </c>
      <c r="BT674" s="11" t="inlineStr">
        <is>
          <t>Rustler 11</t>
        </is>
      </c>
      <c r="BU674" s="13" t="n">
        <v>180</v>
      </c>
      <c r="BV674" s="11" t="inlineStr">
        <is>
          <t xml:space="preserve"> Unisex</t>
        </is>
      </c>
      <c r="BW674" s="13" t="n">
        <v>180</v>
      </c>
      <c r="BX674" s="13" t="n">
        <v>178.8</v>
      </c>
      <c r="BY674" s="13" t="n">
        <v>111</v>
      </c>
      <c r="BZ674" s="13" t="n">
        <v>147</v>
      </c>
      <c r="CA674" s="13" t="n">
        <v>139</v>
      </c>
      <c r="CB674" s="13" t="n">
        <v>111</v>
      </c>
      <c r="CC674" s="13" t="n">
        <v>129</v>
      </c>
      <c r="CD674" s="13" t="n">
        <v>20.5</v>
      </c>
      <c r="CE674" s="13" t="n">
        <v>2055</v>
      </c>
      <c r="CF674" s="13" t="n">
        <v>1.05</v>
      </c>
      <c r="CG674" s="13" t="n">
        <v>2150</v>
      </c>
      <c r="CH674" s="13" t="n">
        <v>218</v>
      </c>
      <c r="CI674" s="13" t="n">
        <v>123</v>
      </c>
      <c r="CJ674" s="13" t="n">
        <v>57</v>
      </c>
      <c r="CK674" s="13" t="n">
        <v>372</v>
      </c>
      <c r="CL674" s="13" t="n">
        <v>28</v>
      </c>
      <c r="CM674" s="13" t="n">
        <v>306</v>
      </c>
      <c r="CN674" s="13" t="n">
        <v>0.493</v>
      </c>
      <c r="CO674" s="13" t="n">
        <v>168</v>
      </c>
      <c r="CP674" s="13" t="n">
        <v>150</v>
      </c>
      <c r="CQ674" s="13" t="n">
        <v>204</v>
      </c>
      <c r="CR674" s="13" t="n">
        <v>6</v>
      </c>
      <c r="CS674" s="13" t="n">
        <v>9.4</v>
      </c>
      <c r="CT674" s="11" t="inlineStr">
        <is>
          <t xml:space="preserve"> Powder</t>
        </is>
      </c>
      <c r="CU674" s="13" t="n"/>
      <c r="CV674" s="13" t="n"/>
      <c r="CW674" s="13" t="n"/>
      <c r="CX674">
        <f>INDEX('Data_Price '!AG$2:AG$1266,MATCH(Data!$DN674,'Data_Price '!$AT$2:$AT$1266,0))</f>
        <v/>
      </c>
      <c r="CY674">
        <f>INDEX('Data_Price '!AH$2:AH$1266,MATCH(Data!$DN674,'Data_Price '!$AT$2:$AT$1266,0))</f>
        <v/>
      </c>
      <c r="CZ674">
        <f>INDEX('Data_Price '!AI$2:AI$1266,MATCH(Data!$DN674,'Data_Price '!$AT$2:$AT$1266,0))</f>
        <v/>
      </c>
      <c r="DA674">
        <f>INDEX('Data_Price '!AJ$2:AJ$1266,MATCH(Data!$DN674,'Data_Price '!$AT$2:$AT$1266,0))</f>
        <v/>
      </c>
      <c r="DB674">
        <f>INDEX('Data_Price '!AK$2:AK$1266,MATCH(Data!$DN674,'Data_Price '!$AT$2:$AT$1266,0))</f>
        <v/>
      </c>
      <c r="DC674">
        <f>INDEX('Data_Price '!AL$2:AL$1266,MATCH(Data!$DN674,'Data_Price '!$AT$2:$AT$1266,0))</f>
        <v/>
      </c>
      <c r="DD674">
        <f>INDEX('Data_Price '!AM$2:AM$1266,MATCH(Data!$DN674,'Data_Price '!$AT$2:$AT$1266,0))</f>
        <v/>
      </c>
      <c r="DE674">
        <f>INDEX('Data_Price '!AN$2:AN$1266,MATCH(Data!$DN674,'Data_Price '!$AT$2:$AT$1266,0))</f>
        <v/>
      </c>
      <c r="DF674">
        <f>INDEX('Data_Price '!AO$2:AO$1266,MATCH(Data!$DN674,'Data_Price '!$AT$2:$AT$1266,0))</f>
        <v/>
      </c>
      <c r="DG674">
        <f>INDEX('Data_Price '!AP$2:AP$1266,MATCH(Data!$DN674,'Data_Price '!$AT$2:$AT$1266,0))</f>
        <v/>
      </c>
      <c r="DH674">
        <f>INDEX('Data_Price '!AQ$2:AQ$1266,MATCH(Data!$DN674,'Data_Price '!$AT$2:$AT$1266,0))</f>
        <v/>
      </c>
      <c r="DI674">
        <f>INDEX('Data_Price '!AR$2:AR$1266,MATCH(Data!$DN674,'Data_Price '!$AT$2:$AT$1266,0))</f>
        <v/>
      </c>
      <c r="DJ674" s="138">
        <f>DA674</f>
        <v/>
      </c>
      <c r="DK674" s="138">
        <f>DE674</f>
        <v/>
      </c>
      <c r="DL674" s="138">
        <f>DI674</f>
        <v/>
      </c>
      <c r="DM674" s="303">
        <f>IF(LEFT(BT674,1)=" ",RIGHT(BT674,LEN(BT674)-1),BT674)</f>
        <v/>
      </c>
      <c r="DN674" s="138">
        <f>_xlfn.CONCAT(BS674,DM674,BU674,BV674)</f>
        <v/>
      </c>
      <c r="DO674" s="307" t="inlineStr">
        <is>
          <t>https://images.evo.com/imgp/250/216621/902900/blizzard-rustler-11-skis-2023-.jpg</t>
        </is>
      </c>
    </row>
    <row r="675" ht="15.6" customHeight="1" s="184">
      <c r="B675" s="303">
        <f t="array" ref="B675">IF(OR(ISERROR(K675:P675)),FALSE,TRUE)</f>
        <v/>
      </c>
      <c r="C675" s="60">
        <f>OR(BR675=Driver!$G$50,Data!BR993=Driver!$H$50)</f>
        <v/>
      </c>
      <c r="D675" s="60">
        <f>OR(BV675=Driver!$G$51,BV675=Driver!$H$51)</f>
        <v/>
      </c>
      <c r="E675" s="60">
        <f>AND(BX675&gt;Driver!$F$54,BX675&lt;Driver!$G$54)</f>
        <v/>
      </c>
      <c r="F675" s="60">
        <f>CL675&gt;Driver!$F$56</f>
        <v/>
      </c>
      <c r="G675" s="60">
        <f>AND(CB675&gt;Driver!$F$55,CB675&lt;Driver!$G$55)</f>
        <v/>
      </c>
      <c r="H675" s="60">
        <f>AND(B675:G675)</f>
        <v/>
      </c>
      <c r="I675" s="60">
        <f>COUNTIFS($H$9:$H$1273,TRUE,$BT$9:$BT$1273,BT675)</f>
        <v/>
      </c>
      <c r="J675" s="60">
        <f t="array" ref="J675">NOT(OR(($H$9:$H$1273=TRUE)*($I$9:$I$1273&gt;0)*($BT$9:$BT$1273=BT675)*($K$9:$K$1273&gt;K675)))</f>
        <v/>
      </c>
      <c r="K675" s="108">
        <f>IFERROR(1-AVERAGE(X675:Y675),"")</f>
        <v/>
      </c>
      <c r="L675" s="108">
        <f>1-X675</f>
        <v/>
      </c>
      <c r="M675" s="108">
        <f>1-Y675</f>
        <v/>
      </c>
      <c r="N675" s="108">
        <f>1-Z675</f>
        <v/>
      </c>
      <c r="O675" s="108">
        <f>1-AA675</f>
        <v/>
      </c>
      <c r="P675" s="108">
        <f>1-AB675</f>
        <v/>
      </c>
      <c r="Q675" s="108" t="n"/>
      <c r="R675" s="108" t="n"/>
      <c r="S675" s="108">
        <f>1-AE675</f>
        <v/>
      </c>
      <c r="T675" s="108">
        <f>1-AF675</f>
        <v/>
      </c>
      <c r="U675" s="108">
        <f>1-AG675</f>
        <v/>
      </c>
      <c r="V675" s="108">
        <f>1-AH675</f>
        <v/>
      </c>
      <c r="W675" s="108">
        <f>1-AI675</f>
        <v/>
      </c>
      <c r="X675" s="108">
        <f>ABS(AJ675-AJ$1)</f>
        <v/>
      </c>
      <c r="Y675" s="108">
        <f>AVERAGE(Z675:AB675)</f>
        <v/>
      </c>
      <c r="Z675" s="108">
        <f>ABS(AL675-AL$1)</f>
        <v/>
      </c>
      <c r="AA675" s="108">
        <f>ABS(AM675-AM$1)</f>
        <v/>
      </c>
      <c r="AB675" s="108">
        <f>ABS(AN675-AN$1)</f>
        <v/>
      </c>
      <c r="AC675" s="108" t="n"/>
      <c r="AD675" s="108" t="n"/>
      <c r="AE675" s="108">
        <f>ABS(AQ$1-AQ675)</f>
        <v/>
      </c>
      <c r="AF675" s="108">
        <f>ABS(AR$1-AR675)</f>
        <v/>
      </c>
      <c r="AG675" s="108">
        <f>ABS(AS$1-AS675)</f>
        <v/>
      </c>
      <c r="AH675" s="108">
        <f>ABS(AT$1-AT675)</f>
        <v/>
      </c>
      <c r="AI675" s="108">
        <f>ABS(AU$1-AU675)</f>
        <v/>
      </c>
      <c r="AJ675" s="108">
        <f>(AV675-Driver!$K$179)/(Driver!$L$179-Driver!$K$179)</f>
        <v/>
      </c>
      <c r="AK675" s="108">
        <f>(AW675-Driver!$K$180)/(Driver!$L$180-Driver!$K$180)</f>
        <v/>
      </c>
      <c r="AL675" s="108">
        <f>(AX675-Driver!$K$181)/(Driver!$L$181-Driver!$K$181)</f>
        <v/>
      </c>
      <c r="AM675" s="108">
        <f>(AY675-Driver!$K$182)/(Driver!$L$182-Driver!$K$182)</f>
        <v/>
      </c>
      <c r="AN675" s="108">
        <f>(AZ675-Driver!$K$183)/(Driver!$L$183-Driver!$K$183)</f>
        <v/>
      </c>
      <c r="AO675" s="108" t="n"/>
      <c r="AP675" s="108" t="n"/>
      <c r="AQ675" s="108">
        <f>(BC675-Driver!$K$188)/(Driver!$L$188-Driver!$K$188)</f>
        <v/>
      </c>
      <c r="AR675" s="108">
        <f>MIN((BD675-Driver!$K$189)/(Driver!$L$189-Driver!$K$189),100%)</f>
        <v/>
      </c>
      <c r="AS675" s="108">
        <f>(BE675-Driver!$K$190)/(Driver!$L$190-Driver!$K$190)</f>
        <v/>
      </c>
      <c r="AT675" s="108">
        <f>(BF675-Driver!$K$191)/(Driver!$L$191-Driver!$K$191)</f>
        <v/>
      </c>
      <c r="AU675" s="108">
        <f>(BG675-Driver!$K$192)/(Driver!$L$192-Driver!$K$192)</f>
        <v/>
      </c>
      <c r="AV675" s="105">
        <f>IFERROR(BM675*BJ675^1/4,"")</f>
        <v/>
      </c>
      <c r="AW675" s="105">
        <f>IFERROR(SUM(AX675:AZ675),"")</f>
        <v/>
      </c>
      <c r="AX675" s="105">
        <f>IFERROR(BH675,"")</f>
        <v/>
      </c>
      <c r="AY675" s="105">
        <f>IFERROR(Driver!$K$19/Data!BH675/Data!BI675*Data!BK675*Data!BL675,"")</f>
        <v/>
      </c>
      <c r="AZ675" s="105">
        <f>IFERROR(BI675*BN675,"")</f>
        <v/>
      </c>
      <c r="BA675" s="105" t="n"/>
      <c r="BB675" s="105" t="n"/>
      <c r="BC675" s="105">
        <f>IFERROR(BI675*BN675*BK675/BJ675^(1/2),"")</f>
        <v/>
      </c>
      <c r="BD675" s="105">
        <f>IFERROR(BH675*BM675*BL675/BJ675/BK675,"")</f>
        <v/>
      </c>
      <c r="BE675" s="105">
        <f>IFERROR(MIN(BI675/BQ675/BP675/BO675/BH675,$BE$1),"")</f>
        <v/>
      </c>
      <c r="BF675" s="105">
        <f>IFERROR(BJ675*BO675*BP675/BK675,"")</f>
        <v/>
      </c>
      <c r="BG675" s="105">
        <f>IFERROR(1/BM675/BH675*BQ675,"")</f>
        <v/>
      </c>
      <c r="BH675" s="102">
        <f>MAX((CE675-Driver!$F$200)/(Driver!$G$200-Driver!$F$200)*$BI$1,1)</f>
        <v/>
      </c>
      <c r="BI675" s="102">
        <f>MAX($BI$1*(BY675-Driver!$F$201)/(Driver!$G$201-Driver!$F$201),1)</f>
        <v/>
      </c>
      <c r="BJ675" s="102">
        <f>(CB675-Driver!$F$206)/(Driver!$G$206-Driver!$F$206)*$BI$1</f>
        <v/>
      </c>
      <c r="BK675" s="102">
        <f>(CD675-Driver!$F$203)/(Driver!$G$203-Driver!$F$203)*$BI$1</f>
        <v/>
      </c>
      <c r="BL675" s="102">
        <f>MAX((CR675-Driver!$F$202)/(Driver!$G$202-Driver!$F$202)*$BI$1,1)</f>
        <v/>
      </c>
      <c r="BM675" s="102">
        <f>MAX((CH675-Driver!$F$204)/(Driver!$G$204-Driver!$F$204)*$BI$1,1)</f>
        <v/>
      </c>
      <c r="BN675" s="102">
        <f>(CI675-Driver!$F$205)/(Driver!$G$205-Driver!$F$205)*$BI$1</f>
        <v/>
      </c>
      <c r="BO675" s="102">
        <f>(CK675-Driver!$F$207)/(Driver!$G$207-Driver!$F$207)*$BI$1</f>
        <v/>
      </c>
      <c r="BP675" s="102">
        <f>(CM675-Driver!$F$208)/(Driver!$G$208-Driver!$F$208)*$BI$1</f>
        <v/>
      </c>
      <c r="BQ675" s="102">
        <f>(CL675-Driver!$F$209)/(Driver!$G$209-Driver!$F$209)*$BI$1</f>
        <v/>
      </c>
      <c r="BR675" s="40" t="inlineStr">
        <is>
          <t>21/22</t>
        </is>
      </c>
      <c r="BS675" s="10" t="inlineStr">
        <is>
          <t xml:space="preserve"> Rossignol</t>
        </is>
      </c>
      <c r="BT675" s="11" t="inlineStr">
        <is>
          <t xml:space="preserve"> Blackops Smasher</t>
        </is>
      </c>
      <c r="BU675" s="13" t="n">
        <v>160</v>
      </c>
      <c r="BV675" s="11" t="inlineStr">
        <is>
          <t xml:space="preserve"> Unisex</t>
        </is>
      </c>
      <c r="BW675" s="13" t="n">
        <v>160</v>
      </c>
      <c r="BX675" s="13" t="n">
        <v>158.7</v>
      </c>
      <c r="BY675" s="13" t="n">
        <v>113</v>
      </c>
      <c r="BZ675" s="13" t="n">
        <v>133</v>
      </c>
      <c r="CA675" s="13" t="n">
        <v>117</v>
      </c>
      <c r="CB675" s="13" t="n">
        <v>89</v>
      </c>
      <c r="CC675" s="13" t="n">
        <v>107</v>
      </c>
      <c r="CD675" s="13" t="n">
        <v>20.8</v>
      </c>
      <c r="CE675" s="13" t="n">
        <v>1572</v>
      </c>
      <c r="CF675" s="13" t="n">
        <v>0.98</v>
      </c>
      <c r="CG675" s="13" t="n">
        <v>1540</v>
      </c>
      <c r="CH675" s="13" t="n">
        <v>155</v>
      </c>
      <c r="CI675" s="13" t="n">
        <v>64</v>
      </c>
      <c r="CJ675" s="13" t="n">
        <v>46</v>
      </c>
      <c r="CK675" s="13" t="n">
        <v>252</v>
      </c>
      <c r="CL675" s="13" t="n">
        <v>28</v>
      </c>
      <c r="CM675" s="13" t="n">
        <v>208</v>
      </c>
      <c r="CN675" s="13" t="n">
        <v>0.611</v>
      </c>
      <c r="CO675" s="13" t="n">
        <v>131</v>
      </c>
      <c r="CP675" s="13" t="n">
        <v>127</v>
      </c>
      <c r="CQ675" s="13" t="n">
        <v>121</v>
      </c>
      <c r="CR675" s="13" t="n">
        <v>8</v>
      </c>
      <c r="CS675" s="13" t="n">
        <v>5</v>
      </c>
      <c r="CT675" s="11" t="inlineStr">
        <is>
          <t xml:space="preserve"> Resort Freeride</t>
        </is>
      </c>
      <c r="CU675" s="13" t="n"/>
      <c r="CV675" s="13" t="n"/>
      <c r="CW675" s="13" t="n"/>
      <c r="CX675">
        <f>INDEX('Data_Price '!AG$2:AG$1266,MATCH(Data!$DN675,'Data_Price '!$AT$2:$AT$1266,0))</f>
        <v/>
      </c>
      <c r="CY675">
        <f>INDEX('Data_Price '!AH$2:AH$1266,MATCH(Data!$DN675,'Data_Price '!$AT$2:$AT$1266,0))</f>
        <v/>
      </c>
      <c r="CZ675">
        <f>INDEX('Data_Price '!AI$2:AI$1266,MATCH(Data!$DN675,'Data_Price '!$AT$2:$AT$1266,0))</f>
        <v/>
      </c>
      <c r="DA675">
        <f>INDEX('Data_Price '!AJ$2:AJ$1266,MATCH(Data!$DN675,'Data_Price '!$AT$2:$AT$1266,0))</f>
        <v/>
      </c>
      <c r="DB675">
        <f>INDEX('Data_Price '!AK$2:AK$1266,MATCH(Data!$DN675,'Data_Price '!$AT$2:$AT$1266,0))</f>
        <v/>
      </c>
      <c r="DC675">
        <f>INDEX('Data_Price '!AL$2:AL$1266,MATCH(Data!$DN675,'Data_Price '!$AT$2:$AT$1266,0))</f>
        <v/>
      </c>
      <c r="DD675">
        <f>INDEX('Data_Price '!AM$2:AM$1266,MATCH(Data!$DN675,'Data_Price '!$AT$2:$AT$1266,0))</f>
        <v/>
      </c>
      <c r="DE675">
        <f>INDEX('Data_Price '!AN$2:AN$1266,MATCH(Data!$DN675,'Data_Price '!$AT$2:$AT$1266,0))</f>
        <v/>
      </c>
      <c r="DF675">
        <f>INDEX('Data_Price '!AO$2:AO$1266,MATCH(Data!$DN675,'Data_Price '!$AT$2:$AT$1266,0))</f>
        <v/>
      </c>
      <c r="DG675">
        <f>INDEX('Data_Price '!AP$2:AP$1266,MATCH(Data!$DN675,'Data_Price '!$AT$2:$AT$1266,0))</f>
        <v/>
      </c>
      <c r="DH675">
        <f>INDEX('Data_Price '!AQ$2:AQ$1266,MATCH(Data!$DN675,'Data_Price '!$AT$2:$AT$1266,0))</f>
        <v/>
      </c>
      <c r="DI675">
        <f>INDEX('Data_Price '!AR$2:AR$1266,MATCH(Data!$DN675,'Data_Price '!$AT$2:$AT$1266,0))</f>
        <v/>
      </c>
      <c r="DJ675" s="138">
        <f>DA675</f>
        <v/>
      </c>
      <c r="DK675" s="138">
        <f>DE675</f>
        <v/>
      </c>
      <c r="DL675" s="138">
        <f>DI675</f>
        <v/>
      </c>
      <c r="DM675" s="303">
        <f>IF(LEFT(BT675,1)=" ",RIGHT(BT675,LEN(BT675)-1),BT675)</f>
        <v/>
      </c>
      <c r="DN675" s="138">
        <f>_xlfn.CONCAT(BS675,DM675,BU675,BV675)</f>
        <v/>
      </c>
      <c r="DO675" s="307" t="n"/>
    </row>
    <row r="676" ht="15.6" customHeight="1" s="184">
      <c r="B676" s="303">
        <f t="array" ref="B676">IF(OR(ISERROR(K676:P676)),FALSE,TRUE)</f>
        <v/>
      </c>
      <c r="C676" s="60">
        <f>OR(BR676=Driver!$G$50,Data!BR478=Driver!$H$50)</f>
        <v/>
      </c>
      <c r="D676" s="60">
        <f>OR(BV676=Driver!$G$51,BV676=Driver!$H$51)</f>
        <v/>
      </c>
      <c r="E676" s="60">
        <f>AND(BX676&gt;Driver!$F$54,BX676&lt;Driver!$G$54)</f>
        <v/>
      </c>
      <c r="F676" s="60">
        <f>CL676&gt;Driver!$F$56</f>
        <v/>
      </c>
      <c r="G676" s="60">
        <f>AND(CB676&gt;Driver!$F$55,CB676&lt;Driver!$G$55)</f>
        <v/>
      </c>
      <c r="H676" s="60">
        <f>AND(B676:G676)</f>
        <v/>
      </c>
      <c r="I676" s="60">
        <f>COUNTIFS($H$9:$H$1273,TRUE,$BT$9:$BT$1273,BT676)</f>
        <v/>
      </c>
      <c r="J676" s="60">
        <f t="array" ref="J676">NOT(OR(($H$9:$H$1273=TRUE)*($I$9:$I$1273&gt;0)*($BT$9:$BT$1273=BT676)*($K$9:$K$1273&gt;K676)))</f>
        <v/>
      </c>
      <c r="K676" s="108">
        <f>IFERROR(1-AVERAGE(X676:Y676),"")</f>
        <v/>
      </c>
      <c r="L676" s="108">
        <f>1-X676</f>
        <v/>
      </c>
      <c r="M676" s="108">
        <f>1-Y676</f>
        <v/>
      </c>
      <c r="N676" s="108">
        <f>1-Z676</f>
        <v/>
      </c>
      <c r="O676" s="108">
        <f>1-AA676</f>
        <v/>
      </c>
      <c r="P676" s="108">
        <f>1-AB676</f>
        <v/>
      </c>
      <c r="Q676" s="108" t="n"/>
      <c r="R676" s="108" t="n"/>
      <c r="S676" s="108">
        <f>1-AE676</f>
        <v/>
      </c>
      <c r="T676" s="108">
        <f>1-AF676</f>
        <v/>
      </c>
      <c r="U676" s="108">
        <f>1-AG676</f>
        <v/>
      </c>
      <c r="V676" s="108">
        <f>1-AH676</f>
        <v/>
      </c>
      <c r="W676" s="108">
        <f>1-AI676</f>
        <v/>
      </c>
      <c r="X676" s="108">
        <f>ABS(AJ676-AJ$1)</f>
        <v/>
      </c>
      <c r="Y676" s="108">
        <f>AVERAGE(Z676:AB676)</f>
        <v/>
      </c>
      <c r="Z676" s="108">
        <f>ABS(AL676-AL$1)</f>
        <v/>
      </c>
      <c r="AA676" s="108">
        <f>ABS(AM676-AM$1)</f>
        <v/>
      </c>
      <c r="AB676" s="108">
        <f>ABS(AN676-AN$1)</f>
        <v/>
      </c>
      <c r="AC676" s="108" t="n"/>
      <c r="AD676" s="108" t="n"/>
      <c r="AE676" s="108">
        <f>ABS(AQ$1-AQ676)</f>
        <v/>
      </c>
      <c r="AF676" s="108">
        <f>ABS(AR$1-AR676)</f>
        <v/>
      </c>
      <c r="AG676" s="108">
        <f>ABS(AS$1-AS676)</f>
        <v/>
      </c>
      <c r="AH676" s="108">
        <f>ABS(AT$1-AT676)</f>
        <v/>
      </c>
      <c r="AI676" s="108">
        <f>ABS(AU$1-AU676)</f>
        <v/>
      </c>
      <c r="AJ676" s="108">
        <f>(AV676-Driver!$K$179)/(Driver!$L$179-Driver!$K$179)</f>
        <v/>
      </c>
      <c r="AK676" s="108">
        <f>(AW676-Driver!$K$180)/(Driver!$L$180-Driver!$K$180)</f>
        <v/>
      </c>
      <c r="AL676" s="108">
        <f>(AX676-Driver!$K$181)/(Driver!$L$181-Driver!$K$181)</f>
        <v/>
      </c>
      <c r="AM676" s="108">
        <f>(AY676-Driver!$K$182)/(Driver!$L$182-Driver!$K$182)</f>
        <v/>
      </c>
      <c r="AN676" s="108">
        <f>(AZ676-Driver!$K$183)/(Driver!$L$183-Driver!$K$183)</f>
        <v/>
      </c>
      <c r="AO676" s="108" t="n"/>
      <c r="AP676" s="108" t="n"/>
      <c r="AQ676" s="108">
        <f>(BC676-Driver!$K$188)/(Driver!$L$188-Driver!$K$188)</f>
        <v/>
      </c>
      <c r="AR676" s="108">
        <f>MIN((BD676-Driver!$K$189)/(Driver!$L$189-Driver!$K$189),100%)</f>
        <v/>
      </c>
      <c r="AS676" s="108">
        <f>(BE676-Driver!$K$190)/(Driver!$L$190-Driver!$K$190)</f>
        <v/>
      </c>
      <c r="AT676" s="108">
        <f>(BF676-Driver!$K$191)/(Driver!$L$191-Driver!$K$191)</f>
        <v/>
      </c>
      <c r="AU676" s="108">
        <f>(BG676-Driver!$K$192)/(Driver!$L$192-Driver!$K$192)</f>
        <v/>
      </c>
      <c r="AV676" s="105">
        <f>IFERROR(BM676*BJ676^1/4,"")</f>
        <v/>
      </c>
      <c r="AW676" s="105">
        <f>IFERROR(SUM(AX676:AZ676),"")</f>
        <v/>
      </c>
      <c r="AX676" s="105">
        <f>IFERROR(BH676,"")</f>
        <v/>
      </c>
      <c r="AY676" s="105">
        <f>IFERROR(Driver!$K$19/Data!BH676/Data!BI676*Data!BK676*Data!BL676,"")</f>
        <v/>
      </c>
      <c r="AZ676" s="105">
        <f>IFERROR(BI676*BN676,"")</f>
        <v/>
      </c>
      <c r="BA676" s="105" t="n"/>
      <c r="BB676" s="105" t="n"/>
      <c r="BC676" s="105">
        <f>IFERROR(BI676*BN676*BK676/BJ676^(1/2),"")</f>
        <v/>
      </c>
      <c r="BD676" s="105">
        <f>IFERROR(BH676*BM676*BL676/BJ676/BK676,"")</f>
        <v/>
      </c>
      <c r="BE676" s="105">
        <f>IFERROR(MIN(BI676/BQ676/BP676/BO676/BH676,$BE$1),"")</f>
        <v/>
      </c>
      <c r="BF676" s="105">
        <f>IFERROR(BJ676*BO676*BP676/BK676,"")</f>
        <v/>
      </c>
      <c r="BG676" s="105">
        <f>IFERROR(1/BM676/BH676*BQ676,"")</f>
        <v/>
      </c>
      <c r="BH676" s="102">
        <f>MAX((CE676-Driver!$F$200)/(Driver!$G$200-Driver!$F$200)*$BI$1,1)</f>
        <v/>
      </c>
      <c r="BI676" s="102">
        <f>MAX($BI$1*(BY676-Driver!$F$201)/(Driver!$G$201-Driver!$F$201),1)</f>
        <v/>
      </c>
      <c r="BJ676" s="102">
        <f>(CB676-Driver!$F$206)/(Driver!$G$206-Driver!$F$206)*$BI$1</f>
        <v/>
      </c>
      <c r="BK676" s="102">
        <f>(CD676-Driver!$F$203)/(Driver!$G$203-Driver!$F$203)*$BI$1</f>
        <v/>
      </c>
      <c r="BL676" s="102">
        <f>MAX((CR676-Driver!$F$202)/(Driver!$G$202-Driver!$F$202)*$BI$1,1)</f>
        <v/>
      </c>
      <c r="BM676" s="102">
        <f>MAX((CH676-Driver!$F$204)/(Driver!$G$204-Driver!$F$204)*$BI$1,1)</f>
        <v/>
      </c>
      <c r="BN676" s="102">
        <f>(CI676-Driver!$F$205)/(Driver!$G$205-Driver!$F$205)*$BI$1</f>
        <v/>
      </c>
      <c r="BO676" s="102">
        <f>(CK676-Driver!$F$207)/(Driver!$G$207-Driver!$F$207)*$BI$1</f>
        <v/>
      </c>
      <c r="BP676" s="102">
        <f>(CM676-Driver!$F$208)/(Driver!$G$208-Driver!$F$208)*$BI$1</f>
        <v/>
      </c>
      <c r="BQ676" s="102">
        <f>(CL676-Driver!$F$209)/(Driver!$G$209-Driver!$F$209)*$BI$1</f>
        <v/>
      </c>
      <c r="BR676" s="40" t="inlineStr">
        <is>
          <t>21/22</t>
        </is>
      </c>
      <c r="BS676" s="10" t="inlineStr">
        <is>
          <t xml:space="preserve"> Elan</t>
        </is>
      </c>
      <c r="BT676" s="11" t="inlineStr">
        <is>
          <t>Wingman 78 Ti</t>
        </is>
      </c>
      <c r="BU676" s="13" t="n">
        <v>176</v>
      </c>
      <c r="BV676" s="11" t="inlineStr">
        <is>
          <t xml:space="preserve"> Unisex</t>
        </is>
      </c>
      <c r="BW676" s="13" t="n">
        <v>176</v>
      </c>
      <c r="BX676" s="13" t="n">
        <v>174</v>
      </c>
      <c r="BY676" s="13" t="n">
        <v>155</v>
      </c>
      <c r="BZ676" s="13" t="n">
        <v>160</v>
      </c>
      <c r="CA676" s="13" t="n">
        <v>125</v>
      </c>
      <c r="CB676" s="13" t="n">
        <v>76</v>
      </c>
      <c r="CC676" s="13" t="n">
        <v>105</v>
      </c>
      <c r="CD676" s="13" t="n">
        <v>16.2</v>
      </c>
      <c r="CE676" s="13" t="n">
        <v>2041</v>
      </c>
      <c r="CF676" s="13" t="n">
        <v>0.77</v>
      </c>
      <c r="CG676" s="13" t="n">
        <v>1576</v>
      </c>
      <c r="CH676" s="13" t="n">
        <v>228</v>
      </c>
      <c r="CI676" s="13" t="n">
        <v>102</v>
      </c>
      <c r="CJ676" s="13" t="n">
        <v>27</v>
      </c>
      <c r="CK676" s="13" t="n">
        <v>127</v>
      </c>
      <c r="CL676" s="13" t="n">
        <v>9</v>
      </c>
      <c r="CM676" s="13" t="n">
        <v>67</v>
      </c>
      <c r="CN676" s="13" t="n">
        <v>0.334</v>
      </c>
      <c r="CO676" s="13" t="n">
        <v>79</v>
      </c>
      <c r="CP676" s="13" t="n">
        <v>60</v>
      </c>
      <c r="CQ676" s="13" t="n">
        <v>49</v>
      </c>
      <c r="CR676" s="13" t="n">
        <v>14</v>
      </c>
      <c r="CS676" s="13" t="n">
        <v>9.199999999999999</v>
      </c>
      <c r="CT676" s="11" t="inlineStr">
        <is>
          <t xml:space="preserve"> On-Piste Carving</t>
        </is>
      </c>
      <c r="CU676" s="13" t="n"/>
      <c r="CV676" s="13" t="n"/>
      <c r="CW676" s="13" t="n"/>
      <c r="CX676">
        <f>INDEX('Data_Price '!AG$2:AG$1266,MATCH(Data!$DN676,'Data_Price '!$AT$2:$AT$1266,0))</f>
        <v/>
      </c>
      <c r="CY676">
        <f>INDEX('Data_Price '!AH$2:AH$1266,MATCH(Data!$DN676,'Data_Price '!$AT$2:$AT$1266,0))</f>
        <v/>
      </c>
      <c r="CZ676">
        <f>INDEX('Data_Price '!AI$2:AI$1266,MATCH(Data!$DN676,'Data_Price '!$AT$2:$AT$1266,0))</f>
        <v/>
      </c>
      <c r="DA676">
        <f>INDEX('Data_Price '!AJ$2:AJ$1266,MATCH(Data!$DN676,'Data_Price '!$AT$2:$AT$1266,0))</f>
        <v/>
      </c>
      <c r="DB676">
        <f>INDEX('Data_Price '!AK$2:AK$1266,MATCH(Data!$DN676,'Data_Price '!$AT$2:$AT$1266,0))</f>
        <v/>
      </c>
      <c r="DC676">
        <f>INDEX('Data_Price '!AL$2:AL$1266,MATCH(Data!$DN676,'Data_Price '!$AT$2:$AT$1266,0))</f>
        <v/>
      </c>
      <c r="DD676">
        <f>INDEX('Data_Price '!AM$2:AM$1266,MATCH(Data!$DN676,'Data_Price '!$AT$2:$AT$1266,0))</f>
        <v/>
      </c>
      <c r="DE676">
        <f>INDEX('Data_Price '!AN$2:AN$1266,MATCH(Data!$DN676,'Data_Price '!$AT$2:$AT$1266,0))</f>
        <v/>
      </c>
      <c r="DF676">
        <f>INDEX('Data_Price '!AO$2:AO$1266,MATCH(Data!$DN676,'Data_Price '!$AT$2:$AT$1266,0))</f>
        <v/>
      </c>
      <c r="DG676">
        <f>INDEX('Data_Price '!AP$2:AP$1266,MATCH(Data!$DN676,'Data_Price '!$AT$2:$AT$1266,0))</f>
        <v/>
      </c>
      <c r="DH676">
        <f>INDEX('Data_Price '!AQ$2:AQ$1266,MATCH(Data!$DN676,'Data_Price '!$AT$2:$AT$1266,0))</f>
        <v/>
      </c>
      <c r="DI676">
        <f>INDEX('Data_Price '!AR$2:AR$1266,MATCH(Data!$DN676,'Data_Price '!$AT$2:$AT$1266,0))</f>
        <v/>
      </c>
      <c r="DJ676" s="138">
        <f>DA676</f>
        <v/>
      </c>
      <c r="DK676" s="138">
        <f>DE676</f>
        <v/>
      </c>
      <c r="DL676" s="138">
        <f>DI676</f>
        <v/>
      </c>
      <c r="DM676" s="303">
        <f>IF(LEFT(BT676,1)=" ",RIGHT(BT676,LEN(BT676)-1),BT676)</f>
        <v/>
      </c>
      <c r="DN676" s="138">
        <f>_xlfn.CONCAT(BS676,DM676,BU676,BV676)</f>
        <v/>
      </c>
      <c r="DO676" s="307" t="n"/>
    </row>
    <row r="677" ht="15.6" customHeight="1" s="184">
      <c r="B677" s="303">
        <f t="array" ref="B677">IF(OR(ISERROR(K677:P677)),FALSE,TRUE)</f>
        <v/>
      </c>
      <c r="C677" s="60">
        <f>OR(BR677=Driver!$G$50,Data!BR52=Driver!$H$50)</f>
        <v/>
      </c>
      <c r="D677" s="60">
        <f>OR(BV677=Driver!$G$51,BV677=Driver!$H$51)</f>
        <v/>
      </c>
      <c r="E677" s="60">
        <f>AND(BX677&gt;Driver!$F$54,BX677&lt;Driver!$G$54)</f>
        <v/>
      </c>
      <c r="F677" s="60">
        <f>CL677&gt;Driver!$F$56</f>
        <v/>
      </c>
      <c r="G677" s="60">
        <f>AND(CB677&gt;Driver!$F$55,CB677&lt;Driver!$G$55)</f>
        <v/>
      </c>
      <c r="H677" s="60">
        <f>AND(B677:G677)</f>
        <v/>
      </c>
      <c r="I677" s="60">
        <f>COUNTIFS($H$9:$H$1273,TRUE,$BT$9:$BT$1273,BT677)</f>
        <v/>
      </c>
      <c r="J677" s="60">
        <f t="array" ref="J677">NOT(OR(($H$9:$H$1273=TRUE)*($I$9:$I$1273&gt;0)*($BT$9:$BT$1273=BT677)*($K$9:$K$1273&gt;K677)))</f>
        <v/>
      </c>
      <c r="K677" s="108">
        <f>IFERROR(1-AVERAGE(X677:Y677),"")</f>
        <v/>
      </c>
      <c r="L677" s="108">
        <f>1-X677</f>
        <v/>
      </c>
      <c r="M677" s="108">
        <f>1-Y677</f>
        <v/>
      </c>
      <c r="N677" s="108">
        <f>1-Z677</f>
        <v/>
      </c>
      <c r="O677" s="108">
        <f>1-AA677</f>
        <v/>
      </c>
      <c r="P677" s="108">
        <f>1-AB677</f>
        <v/>
      </c>
      <c r="Q677" s="108" t="n"/>
      <c r="R677" s="108" t="n"/>
      <c r="S677" s="108">
        <f>1-AE677</f>
        <v/>
      </c>
      <c r="T677" s="108">
        <f>1-AF677</f>
        <v/>
      </c>
      <c r="U677" s="108">
        <f>1-AG677</f>
        <v/>
      </c>
      <c r="V677" s="108">
        <f>1-AH677</f>
        <v/>
      </c>
      <c r="W677" s="108">
        <f>1-AI677</f>
        <v/>
      </c>
      <c r="X677" s="108">
        <f>ABS(AJ677-AJ$1)</f>
        <v/>
      </c>
      <c r="Y677" s="108">
        <f>AVERAGE(Z677:AB677)</f>
        <v/>
      </c>
      <c r="Z677" s="108">
        <f>ABS(AL677-AL$1)</f>
        <v/>
      </c>
      <c r="AA677" s="108">
        <f>ABS(AM677-AM$1)</f>
        <v/>
      </c>
      <c r="AB677" s="108">
        <f>ABS(AN677-AN$1)</f>
        <v/>
      </c>
      <c r="AC677" s="108" t="n"/>
      <c r="AD677" s="108" t="n"/>
      <c r="AE677" s="108">
        <f>ABS(AQ$1-AQ677)</f>
        <v/>
      </c>
      <c r="AF677" s="108">
        <f>ABS(AR$1-AR677)</f>
        <v/>
      </c>
      <c r="AG677" s="108">
        <f>ABS(AS$1-AS677)</f>
        <v/>
      </c>
      <c r="AH677" s="108">
        <f>ABS(AT$1-AT677)</f>
        <v/>
      </c>
      <c r="AI677" s="108">
        <f>ABS(AU$1-AU677)</f>
        <v/>
      </c>
      <c r="AJ677" s="108">
        <f>(AV677-Driver!$K$179)/(Driver!$L$179-Driver!$K$179)</f>
        <v/>
      </c>
      <c r="AK677" s="108">
        <f>(AW677-Driver!$K$180)/(Driver!$L$180-Driver!$K$180)</f>
        <v/>
      </c>
      <c r="AL677" s="108">
        <f>(AX677-Driver!$K$181)/(Driver!$L$181-Driver!$K$181)</f>
        <v/>
      </c>
      <c r="AM677" s="108">
        <f>(AY677-Driver!$K$182)/(Driver!$L$182-Driver!$K$182)</f>
        <v/>
      </c>
      <c r="AN677" s="108">
        <f>(AZ677-Driver!$K$183)/(Driver!$L$183-Driver!$K$183)</f>
        <v/>
      </c>
      <c r="AO677" s="108" t="n"/>
      <c r="AP677" s="108" t="n"/>
      <c r="AQ677" s="108">
        <f>(BC677-Driver!$K$188)/(Driver!$L$188-Driver!$K$188)</f>
        <v/>
      </c>
      <c r="AR677" s="108">
        <f>MIN((BD677-Driver!$K$189)/(Driver!$L$189-Driver!$K$189),100%)</f>
        <v/>
      </c>
      <c r="AS677" s="108">
        <f>(BE677-Driver!$K$190)/(Driver!$L$190-Driver!$K$190)</f>
        <v/>
      </c>
      <c r="AT677" s="108">
        <f>(BF677-Driver!$K$191)/(Driver!$L$191-Driver!$K$191)</f>
        <v/>
      </c>
      <c r="AU677" s="108">
        <f>(BG677-Driver!$K$192)/(Driver!$L$192-Driver!$K$192)</f>
        <v/>
      </c>
      <c r="AV677" s="105">
        <f>IFERROR(BM677*BJ677^1/4,"")</f>
        <v/>
      </c>
      <c r="AW677" s="105">
        <f>IFERROR(SUM(AX677:AZ677),"")</f>
        <v/>
      </c>
      <c r="AX677" s="105">
        <f>IFERROR(BH677,"")</f>
        <v/>
      </c>
      <c r="AY677" s="105">
        <f>IFERROR(Driver!$K$19/Data!BH677/Data!BI677*Data!BK677*Data!BL677,"")</f>
        <v/>
      </c>
      <c r="AZ677" s="105">
        <f>IFERROR(BI677*BN677,"")</f>
        <v/>
      </c>
      <c r="BA677" s="105" t="n"/>
      <c r="BB677" s="105" t="n"/>
      <c r="BC677" s="105">
        <f>IFERROR(BI677*BN677*BK677/BJ677^(1/2),"")</f>
        <v/>
      </c>
      <c r="BD677" s="105">
        <f>IFERROR(BH677*BM677*BL677/BJ677/BK677,"")</f>
        <v/>
      </c>
      <c r="BE677" s="105">
        <f>IFERROR(MIN(BI677/BQ677/BP677/BO677/BH677,$BE$1),"")</f>
        <v/>
      </c>
      <c r="BF677" s="105">
        <f>IFERROR(BJ677*BO677*BP677/BK677,"")</f>
        <v/>
      </c>
      <c r="BG677" s="105">
        <f>IFERROR(1/BM677/BH677*BQ677,"")</f>
        <v/>
      </c>
      <c r="BH677" s="102">
        <f>MAX((CE677-Driver!$F$200)/(Driver!$G$200-Driver!$F$200)*$BI$1,1)</f>
        <v/>
      </c>
      <c r="BI677" s="102">
        <f>MAX($BI$1*(BY677-Driver!$F$201)/(Driver!$G$201-Driver!$F$201),1)</f>
        <v/>
      </c>
      <c r="BJ677" s="102">
        <f>(CB677-Driver!$F$206)/(Driver!$G$206-Driver!$F$206)*$BI$1</f>
        <v/>
      </c>
      <c r="BK677" s="102">
        <f>(CD677-Driver!$F$203)/(Driver!$G$203-Driver!$F$203)*$BI$1</f>
        <v/>
      </c>
      <c r="BL677" s="102">
        <f>MAX((CR677-Driver!$F$202)/(Driver!$G$202-Driver!$F$202)*$BI$1,1)</f>
        <v/>
      </c>
      <c r="BM677" s="102">
        <f>MAX((CH677-Driver!$F$204)/(Driver!$G$204-Driver!$F$204)*$BI$1,1)</f>
        <v/>
      </c>
      <c r="BN677" s="102">
        <f>(CI677-Driver!$F$205)/(Driver!$G$205-Driver!$F$205)*$BI$1</f>
        <v/>
      </c>
      <c r="BO677" s="102">
        <f>(CK677-Driver!$F$207)/(Driver!$G$207-Driver!$F$207)*$BI$1</f>
        <v/>
      </c>
      <c r="BP677" s="102">
        <f>(CM677-Driver!$F$208)/(Driver!$G$208-Driver!$F$208)*$BI$1</f>
        <v/>
      </c>
      <c r="BQ677" s="102">
        <f>(CL677-Driver!$F$209)/(Driver!$G$209-Driver!$F$209)*$BI$1</f>
        <v/>
      </c>
      <c r="BR677" s="40" t="inlineStr">
        <is>
          <t>21/22</t>
        </is>
      </c>
      <c r="BS677" s="10" t="inlineStr">
        <is>
          <t xml:space="preserve"> Armada</t>
        </is>
      </c>
      <c r="BT677" s="11" t="inlineStr">
        <is>
          <t>ARW 84</t>
        </is>
      </c>
      <c r="BU677" s="13" t="n">
        <v>164</v>
      </c>
      <c r="BV677" s="11" t="inlineStr">
        <is>
          <t xml:space="preserve"> Women's</t>
        </is>
      </c>
      <c r="BW677" s="13" t="n">
        <v>164</v>
      </c>
      <c r="BX677" s="13" t="n">
        <v>162.5</v>
      </c>
      <c r="BY677" s="13" t="n">
        <v>117</v>
      </c>
      <c r="BZ677" s="13" t="n">
        <v>134</v>
      </c>
      <c r="CA677" s="13" t="n">
        <v>117</v>
      </c>
      <c r="CB677" s="13" t="n">
        <v>85</v>
      </c>
      <c r="CC677" s="13" t="n">
        <v>109</v>
      </c>
      <c r="CD677" s="13" t="n">
        <v>14.7</v>
      </c>
      <c r="CE677" s="13" t="n">
        <v>1659</v>
      </c>
      <c r="CF677" s="13" t="n">
        <v>0.9399999999999999</v>
      </c>
      <c r="CG677" s="13" t="n">
        <v>1566</v>
      </c>
      <c r="CH677" s="13" t="n">
        <v>150</v>
      </c>
      <c r="CI677" s="13" t="n">
        <v>65</v>
      </c>
      <c r="CJ677" s="13" t="n">
        <v>44</v>
      </c>
      <c r="CK677" s="13" t="n">
        <v>250</v>
      </c>
      <c r="CL677" s="13" t="n">
        <v>37</v>
      </c>
      <c r="CM677" s="13" t="n">
        <v>210</v>
      </c>
      <c r="CN677" s="13" t="n">
        <v>0.833</v>
      </c>
      <c r="CO677" s="13" t="n">
        <v>158</v>
      </c>
      <c r="CP677" s="13" t="n">
        <v>123</v>
      </c>
      <c r="CQ677" s="13" t="n">
        <v>92</v>
      </c>
      <c r="CR677" s="13" t="n">
        <v>9</v>
      </c>
      <c r="CS677" s="13" t="n">
        <v>9.9</v>
      </c>
      <c r="CT677" s="11" t="inlineStr">
        <is>
          <t xml:space="preserve"> Resort Freeride</t>
        </is>
      </c>
      <c r="CU677" s="11" t="inlineStr">
        <is>
          <t xml:space="preserve"> Freeski</t>
        </is>
      </c>
      <c r="CV677" s="13" t="n"/>
      <c r="CW677" s="13" t="n"/>
      <c r="CX677">
        <f>INDEX('Data_Price '!AG$2:AG$1266,MATCH(Data!$DN677,'Data_Price '!$AT$2:$AT$1266,0))</f>
        <v/>
      </c>
      <c r="CY677">
        <f>INDEX('Data_Price '!AH$2:AH$1266,MATCH(Data!$DN677,'Data_Price '!$AT$2:$AT$1266,0))</f>
        <v/>
      </c>
      <c r="CZ677">
        <f>INDEX('Data_Price '!AI$2:AI$1266,MATCH(Data!$DN677,'Data_Price '!$AT$2:$AT$1266,0))</f>
        <v/>
      </c>
      <c r="DA677">
        <f>INDEX('Data_Price '!AJ$2:AJ$1266,MATCH(Data!$DN677,'Data_Price '!$AT$2:$AT$1266,0))</f>
        <v/>
      </c>
      <c r="DB677">
        <f>INDEX('Data_Price '!AK$2:AK$1266,MATCH(Data!$DN677,'Data_Price '!$AT$2:$AT$1266,0))</f>
        <v/>
      </c>
      <c r="DC677">
        <f>INDEX('Data_Price '!AL$2:AL$1266,MATCH(Data!$DN677,'Data_Price '!$AT$2:$AT$1266,0))</f>
        <v/>
      </c>
      <c r="DD677">
        <f>INDEX('Data_Price '!AM$2:AM$1266,MATCH(Data!$DN677,'Data_Price '!$AT$2:$AT$1266,0))</f>
        <v/>
      </c>
      <c r="DE677">
        <f>INDEX('Data_Price '!AN$2:AN$1266,MATCH(Data!$DN677,'Data_Price '!$AT$2:$AT$1266,0))</f>
        <v/>
      </c>
      <c r="DF677">
        <f>INDEX('Data_Price '!AO$2:AO$1266,MATCH(Data!$DN677,'Data_Price '!$AT$2:$AT$1266,0))</f>
        <v/>
      </c>
      <c r="DG677">
        <f>INDEX('Data_Price '!AP$2:AP$1266,MATCH(Data!$DN677,'Data_Price '!$AT$2:$AT$1266,0))</f>
        <v/>
      </c>
      <c r="DH677">
        <f>INDEX('Data_Price '!AQ$2:AQ$1266,MATCH(Data!$DN677,'Data_Price '!$AT$2:$AT$1266,0))</f>
        <v/>
      </c>
      <c r="DI677">
        <f>INDEX('Data_Price '!AR$2:AR$1266,MATCH(Data!$DN677,'Data_Price '!$AT$2:$AT$1266,0))</f>
        <v/>
      </c>
      <c r="DJ677" s="138">
        <f>DA677</f>
        <v/>
      </c>
      <c r="DK677" s="138">
        <f>DE677</f>
        <v/>
      </c>
      <c r="DL677" s="138">
        <f>DI677</f>
        <v/>
      </c>
      <c r="DM677" s="303">
        <f>IF(LEFT(BT677,1)=" ",RIGHT(BT677,LEN(BT677)-1),BT677)</f>
        <v/>
      </c>
      <c r="DN677" s="138">
        <f>_xlfn.CONCAT(BS677,DM677,BU677,BV677)</f>
        <v/>
      </c>
      <c r="DO677" s="307" t="inlineStr">
        <is>
          <t>https://images.evo.com/imgp/250/198711/839682/armada-arw-84-skis-girls-2022-.jpg</t>
        </is>
      </c>
    </row>
    <row r="678" ht="15.6" customHeight="1" s="184">
      <c r="B678" s="303">
        <f t="array" ref="B678">IF(OR(ISERROR(K678:P678)),FALSE,TRUE)</f>
        <v/>
      </c>
      <c r="C678" s="60">
        <f>OR(BR678=Driver!$G$50,Data!BR873=Driver!$H$50)</f>
        <v/>
      </c>
      <c r="D678" s="60">
        <f>OR(BV678=Driver!$G$51,BV678=Driver!$H$51)</f>
        <v/>
      </c>
      <c r="E678" s="60">
        <f>AND(BX678&gt;Driver!$F$54,BX678&lt;Driver!$G$54)</f>
        <v/>
      </c>
      <c r="F678" s="60">
        <f>CL678&gt;Driver!$F$56</f>
        <v/>
      </c>
      <c r="G678" s="60">
        <f>AND(CB678&gt;Driver!$F$55,CB678&lt;Driver!$G$55)</f>
        <v/>
      </c>
      <c r="H678" s="60">
        <f>AND(B678:G678)</f>
        <v/>
      </c>
      <c r="I678" s="60">
        <f>COUNTIFS($H$9:$H$1273,TRUE,$BT$9:$BT$1273,BT678)</f>
        <v/>
      </c>
      <c r="J678" s="60">
        <f t="array" ref="J678">NOT(OR(($H$9:$H$1273=TRUE)*($I$9:$I$1273&gt;0)*($BT$9:$BT$1273=BT678)*($K$9:$K$1273&gt;K678)))</f>
        <v/>
      </c>
      <c r="K678" s="108">
        <f>IFERROR(1-AVERAGE(X678:Y678),"")</f>
        <v/>
      </c>
      <c r="L678" s="108">
        <f>1-X678</f>
        <v/>
      </c>
      <c r="M678" s="108">
        <f>1-Y678</f>
        <v/>
      </c>
      <c r="N678" s="108">
        <f>1-Z678</f>
        <v/>
      </c>
      <c r="O678" s="108">
        <f>1-AA678</f>
        <v/>
      </c>
      <c r="P678" s="108">
        <f>1-AB678</f>
        <v/>
      </c>
      <c r="Q678" s="108" t="n"/>
      <c r="R678" s="108" t="n"/>
      <c r="S678" s="108">
        <f>1-AE678</f>
        <v/>
      </c>
      <c r="T678" s="108">
        <f>1-AF678</f>
        <v/>
      </c>
      <c r="U678" s="108">
        <f>1-AG678</f>
        <v/>
      </c>
      <c r="V678" s="108">
        <f>1-AH678</f>
        <v/>
      </c>
      <c r="W678" s="108">
        <f>1-AI678</f>
        <v/>
      </c>
      <c r="X678" s="108">
        <f>ABS(AJ678-AJ$1)</f>
        <v/>
      </c>
      <c r="Y678" s="108">
        <f>AVERAGE(Z678:AB678)</f>
        <v/>
      </c>
      <c r="Z678" s="108">
        <f>ABS(AL678-AL$1)</f>
        <v/>
      </c>
      <c r="AA678" s="108">
        <f>ABS(AM678-AM$1)</f>
        <v/>
      </c>
      <c r="AB678" s="108">
        <f>ABS(AN678-AN$1)</f>
        <v/>
      </c>
      <c r="AC678" s="108" t="n"/>
      <c r="AD678" s="108" t="n"/>
      <c r="AE678" s="108">
        <f>ABS(AQ$1-AQ678)</f>
        <v/>
      </c>
      <c r="AF678" s="108">
        <f>ABS(AR$1-AR678)</f>
        <v/>
      </c>
      <c r="AG678" s="108">
        <f>ABS(AS$1-AS678)</f>
        <v/>
      </c>
      <c r="AH678" s="108">
        <f>ABS(AT$1-AT678)</f>
        <v/>
      </c>
      <c r="AI678" s="108">
        <f>ABS(AU$1-AU678)</f>
        <v/>
      </c>
      <c r="AJ678" s="108">
        <f>(AV678-Driver!$K$179)/(Driver!$L$179-Driver!$K$179)</f>
        <v/>
      </c>
      <c r="AK678" s="108">
        <f>(AW678-Driver!$K$180)/(Driver!$L$180-Driver!$K$180)</f>
        <v/>
      </c>
      <c r="AL678" s="108">
        <f>(AX678-Driver!$K$181)/(Driver!$L$181-Driver!$K$181)</f>
        <v/>
      </c>
      <c r="AM678" s="108">
        <f>(AY678-Driver!$K$182)/(Driver!$L$182-Driver!$K$182)</f>
        <v/>
      </c>
      <c r="AN678" s="108">
        <f>(AZ678-Driver!$K$183)/(Driver!$L$183-Driver!$K$183)</f>
        <v/>
      </c>
      <c r="AO678" s="108" t="n"/>
      <c r="AP678" s="108" t="n"/>
      <c r="AQ678" s="108">
        <f>(BC678-Driver!$K$188)/(Driver!$L$188-Driver!$K$188)</f>
        <v/>
      </c>
      <c r="AR678" s="108">
        <f>MIN((BD678-Driver!$K$189)/(Driver!$L$189-Driver!$K$189),100%)</f>
        <v/>
      </c>
      <c r="AS678" s="108">
        <f>(BE678-Driver!$K$190)/(Driver!$L$190-Driver!$K$190)</f>
        <v/>
      </c>
      <c r="AT678" s="108">
        <f>(BF678-Driver!$K$191)/(Driver!$L$191-Driver!$K$191)</f>
        <v/>
      </c>
      <c r="AU678" s="108">
        <f>(BG678-Driver!$K$192)/(Driver!$L$192-Driver!$K$192)</f>
        <v/>
      </c>
      <c r="AV678" s="105">
        <f>IFERROR(BM678*BJ678^1/4,"")</f>
        <v/>
      </c>
      <c r="AW678" s="105">
        <f>IFERROR(SUM(AX678:AZ678),"")</f>
        <v/>
      </c>
      <c r="AX678" s="105">
        <f>IFERROR(BH678,"")</f>
        <v/>
      </c>
      <c r="AY678" s="105">
        <f>IFERROR(Driver!$K$19/Data!BH678/Data!BI678*Data!BK678*Data!BL678,"")</f>
        <v/>
      </c>
      <c r="AZ678" s="105">
        <f>IFERROR(BI678*BN678,"")</f>
        <v/>
      </c>
      <c r="BA678" s="105" t="n"/>
      <c r="BB678" s="105" t="n"/>
      <c r="BC678" s="105">
        <f>IFERROR(BI678*BN678*BK678/BJ678^(1/2),"")</f>
        <v/>
      </c>
      <c r="BD678" s="105">
        <f>IFERROR(BH678*BM678*BL678/BJ678/BK678,"")</f>
        <v/>
      </c>
      <c r="BE678" s="105">
        <f>IFERROR(MIN(BI678/BQ678/BP678/BO678/BH678,$BE$1),"")</f>
        <v/>
      </c>
      <c r="BF678" s="105">
        <f>IFERROR(BJ678*BO678*BP678/BK678,"")</f>
        <v/>
      </c>
      <c r="BG678" s="105">
        <f>IFERROR(1/BM678/BH678*BQ678,"")</f>
        <v/>
      </c>
      <c r="BH678" s="102">
        <f>MAX((CE678-Driver!$F$200)/(Driver!$G$200-Driver!$F$200)*$BI$1,1)</f>
        <v/>
      </c>
      <c r="BI678" s="102">
        <f>MAX($BI$1*(BY678-Driver!$F$201)/(Driver!$G$201-Driver!$F$201),1)</f>
        <v/>
      </c>
      <c r="BJ678" s="102">
        <f>(CB678-Driver!$F$206)/(Driver!$G$206-Driver!$F$206)*$BI$1</f>
        <v/>
      </c>
      <c r="BK678" s="102">
        <f>(CD678-Driver!$F$203)/(Driver!$G$203-Driver!$F$203)*$BI$1</f>
        <v/>
      </c>
      <c r="BL678" s="102">
        <f>MAX((CR678-Driver!$F$202)/(Driver!$G$202-Driver!$F$202)*$BI$1,1)</f>
        <v/>
      </c>
      <c r="BM678" s="102">
        <f>MAX((CH678-Driver!$F$204)/(Driver!$G$204-Driver!$F$204)*$BI$1,1)</f>
        <v/>
      </c>
      <c r="BN678" s="102">
        <f>(CI678-Driver!$F$205)/(Driver!$G$205-Driver!$F$205)*$BI$1</f>
        <v/>
      </c>
      <c r="BO678" s="102">
        <f>(CK678-Driver!$F$207)/(Driver!$G$207-Driver!$F$207)*$BI$1</f>
        <v/>
      </c>
      <c r="BP678" s="102">
        <f>(CM678-Driver!$F$208)/(Driver!$G$208-Driver!$F$208)*$BI$1</f>
        <v/>
      </c>
      <c r="BQ678" s="102">
        <f>(CL678-Driver!$F$209)/(Driver!$G$209-Driver!$F$209)*$BI$1</f>
        <v/>
      </c>
      <c r="BR678" s="40" t="inlineStr">
        <is>
          <t>21/22</t>
        </is>
      </c>
      <c r="BS678" s="10" t="inlineStr">
        <is>
          <t xml:space="preserve"> Line</t>
        </is>
      </c>
      <c r="BT678" s="11" t="inlineStr">
        <is>
          <t xml:space="preserve"> Tom Wallisch Pro</t>
        </is>
      </c>
      <c r="BU678" s="13" t="n">
        <v>164</v>
      </c>
      <c r="BV678" s="11" t="inlineStr">
        <is>
          <t xml:space="preserve"> Unisex</t>
        </is>
      </c>
      <c r="BW678" s="13" t="n">
        <v>164</v>
      </c>
      <c r="BX678" s="13" t="n">
        <v>164.1</v>
      </c>
      <c r="BY678" s="13" t="n">
        <v>118</v>
      </c>
      <c r="BZ678" s="13" t="n">
        <v>138</v>
      </c>
      <c r="CA678" s="13" t="n">
        <v>117</v>
      </c>
      <c r="CB678" s="13" t="n">
        <v>89</v>
      </c>
      <c r="CC678" s="13" t="n">
        <v>116</v>
      </c>
      <c r="CD678" s="13" t="n">
        <v>16.3</v>
      </c>
      <c r="CE678" s="13" t="n">
        <v>1518</v>
      </c>
      <c r="CF678" s="13" t="n">
        <v>1.07</v>
      </c>
      <c r="CG678" s="13" t="n">
        <v>1627</v>
      </c>
      <c r="CH678" s="13" t="n">
        <v>163</v>
      </c>
      <c r="CI678" s="13" t="n">
        <v>72</v>
      </c>
      <c r="CJ678" s="13" t="n">
        <v>38</v>
      </c>
      <c r="CK678" s="13" t="n">
        <v>229</v>
      </c>
      <c r="CL678" s="13" t="n">
        <v>37</v>
      </c>
      <c r="CM678" s="13" t="n">
        <v>234</v>
      </c>
      <c r="CN678" s="13" t="n">
        <v>0.986</v>
      </c>
      <c r="CO678" s="13" t="n">
        <v>123</v>
      </c>
      <c r="CP678" s="13" t="n">
        <v>134</v>
      </c>
      <c r="CQ678" s="13" t="n">
        <v>106</v>
      </c>
      <c r="CR678" s="13" t="n">
        <v>5</v>
      </c>
      <c r="CS678" s="13" t="n">
        <v>2.4</v>
      </c>
      <c r="CT678" s="11" t="inlineStr">
        <is>
          <t xml:space="preserve"> Freeski</t>
        </is>
      </c>
      <c r="CU678" s="11" t="inlineStr">
        <is>
          <t xml:space="preserve"> Touring</t>
        </is>
      </c>
      <c r="CV678" s="13" t="n"/>
      <c r="CW678" s="13" t="n"/>
      <c r="CX678">
        <f>INDEX('Data_Price '!AG$2:AG$1266,MATCH(Data!$DN678,'Data_Price '!$AT$2:$AT$1266,0))</f>
        <v/>
      </c>
      <c r="CY678">
        <f>INDEX('Data_Price '!AH$2:AH$1266,MATCH(Data!$DN678,'Data_Price '!$AT$2:$AT$1266,0))</f>
        <v/>
      </c>
      <c r="CZ678">
        <f>INDEX('Data_Price '!AI$2:AI$1266,MATCH(Data!$DN678,'Data_Price '!$AT$2:$AT$1266,0))</f>
        <v/>
      </c>
      <c r="DA678">
        <f>INDEX('Data_Price '!AJ$2:AJ$1266,MATCH(Data!$DN678,'Data_Price '!$AT$2:$AT$1266,0))</f>
        <v/>
      </c>
      <c r="DB678">
        <f>INDEX('Data_Price '!AK$2:AK$1266,MATCH(Data!$DN678,'Data_Price '!$AT$2:$AT$1266,0))</f>
        <v/>
      </c>
      <c r="DC678">
        <f>INDEX('Data_Price '!AL$2:AL$1266,MATCH(Data!$DN678,'Data_Price '!$AT$2:$AT$1266,0))</f>
        <v/>
      </c>
      <c r="DD678">
        <f>INDEX('Data_Price '!AM$2:AM$1266,MATCH(Data!$DN678,'Data_Price '!$AT$2:$AT$1266,0))</f>
        <v/>
      </c>
      <c r="DE678">
        <f>INDEX('Data_Price '!AN$2:AN$1266,MATCH(Data!$DN678,'Data_Price '!$AT$2:$AT$1266,0))</f>
        <v/>
      </c>
      <c r="DF678">
        <f>INDEX('Data_Price '!AO$2:AO$1266,MATCH(Data!$DN678,'Data_Price '!$AT$2:$AT$1266,0))</f>
        <v/>
      </c>
      <c r="DG678">
        <f>INDEX('Data_Price '!AP$2:AP$1266,MATCH(Data!$DN678,'Data_Price '!$AT$2:$AT$1266,0))</f>
        <v/>
      </c>
      <c r="DH678">
        <f>INDEX('Data_Price '!AQ$2:AQ$1266,MATCH(Data!$DN678,'Data_Price '!$AT$2:$AT$1266,0))</f>
        <v/>
      </c>
      <c r="DI678">
        <f>INDEX('Data_Price '!AR$2:AR$1266,MATCH(Data!$DN678,'Data_Price '!$AT$2:$AT$1266,0))</f>
        <v/>
      </c>
      <c r="DJ678" s="138">
        <f>DA678</f>
        <v/>
      </c>
      <c r="DK678" s="138">
        <f>DE678</f>
        <v/>
      </c>
      <c r="DL678" s="138">
        <f>DI678</f>
        <v/>
      </c>
      <c r="DM678" s="303">
        <f>IF(LEFT(BT678,1)=" ",RIGHT(BT678,LEN(BT678)-1),BT678)</f>
        <v/>
      </c>
      <c r="DN678" s="138">
        <f>_xlfn.CONCAT(BS678,DM678,BU678,BV678)</f>
        <v/>
      </c>
      <c r="DO678" s="307" t="n"/>
    </row>
    <row r="679" ht="15.6" customHeight="1" s="184">
      <c r="B679" s="303">
        <f t="array" ref="B679">IF(OR(ISERROR(K679:P679)),FALSE,TRUE)</f>
        <v/>
      </c>
      <c r="C679" s="60">
        <f>OR(BR679=Driver!$G$50,Data!BR773=Driver!$H$50)</f>
        <v/>
      </c>
      <c r="D679" s="60">
        <f>OR(BV679=Driver!$G$51,BV679=Driver!$H$51)</f>
        <v/>
      </c>
      <c r="E679" s="60">
        <f>AND(BX679&gt;Driver!$F$54,BX679&lt;Driver!$G$54)</f>
        <v/>
      </c>
      <c r="F679" s="60">
        <f>CL679&gt;Driver!$F$56</f>
        <v/>
      </c>
      <c r="G679" s="60">
        <f>AND(CB679&gt;Driver!$F$55,CB679&lt;Driver!$G$55)</f>
        <v/>
      </c>
      <c r="H679" s="60">
        <f>AND(B679:G679)</f>
        <v/>
      </c>
      <c r="I679" s="60">
        <f>COUNTIFS($H$9:$H$1273,TRUE,$BT$9:$BT$1273,BT679)</f>
        <v/>
      </c>
      <c r="J679" s="60">
        <f t="array" ref="J679">NOT(OR(($H$9:$H$1273=TRUE)*($I$9:$I$1273&gt;0)*($BT$9:$BT$1273=BT679)*($K$9:$K$1273&gt;K679)))</f>
        <v/>
      </c>
      <c r="K679" s="108">
        <f>IFERROR(1-AVERAGE(X679:Y679),"")</f>
        <v/>
      </c>
      <c r="L679" s="108">
        <f>1-X679</f>
        <v/>
      </c>
      <c r="M679" s="108">
        <f>1-Y679</f>
        <v/>
      </c>
      <c r="N679" s="108">
        <f>1-Z679</f>
        <v/>
      </c>
      <c r="O679" s="108">
        <f>1-AA679</f>
        <v/>
      </c>
      <c r="P679" s="108">
        <f>1-AB679</f>
        <v/>
      </c>
      <c r="Q679" s="108" t="n"/>
      <c r="R679" s="108" t="n"/>
      <c r="S679" s="108">
        <f>1-AE679</f>
        <v/>
      </c>
      <c r="T679" s="108">
        <f>1-AF679</f>
        <v/>
      </c>
      <c r="U679" s="108">
        <f>1-AG679</f>
        <v/>
      </c>
      <c r="V679" s="108">
        <f>1-AH679</f>
        <v/>
      </c>
      <c r="W679" s="108">
        <f>1-AI679</f>
        <v/>
      </c>
      <c r="X679" s="108">
        <f>ABS(AJ679-AJ$1)</f>
        <v/>
      </c>
      <c r="Y679" s="108">
        <f>AVERAGE(Z679:AB679)</f>
        <v/>
      </c>
      <c r="Z679" s="108">
        <f>ABS(AL679-AL$1)</f>
        <v/>
      </c>
      <c r="AA679" s="108">
        <f>ABS(AM679-AM$1)</f>
        <v/>
      </c>
      <c r="AB679" s="108">
        <f>ABS(AN679-AN$1)</f>
        <v/>
      </c>
      <c r="AC679" s="108" t="n"/>
      <c r="AD679" s="108" t="n"/>
      <c r="AE679" s="108">
        <f>ABS(AQ$1-AQ679)</f>
        <v/>
      </c>
      <c r="AF679" s="108">
        <f>ABS(AR$1-AR679)</f>
        <v/>
      </c>
      <c r="AG679" s="108">
        <f>ABS(AS$1-AS679)</f>
        <v/>
      </c>
      <c r="AH679" s="108">
        <f>ABS(AT$1-AT679)</f>
        <v/>
      </c>
      <c r="AI679" s="108">
        <f>ABS(AU$1-AU679)</f>
        <v/>
      </c>
      <c r="AJ679" s="108">
        <f>(AV679-Driver!$K$179)/(Driver!$L$179-Driver!$K$179)</f>
        <v/>
      </c>
      <c r="AK679" s="108">
        <f>(AW679-Driver!$K$180)/(Driver!$L$180-Driver!$K$180)</f>
        <v/>
      </c>
      <c r="AL679" s="108">
        <f>(AX679-Driver!$K$181)/(Driver!$L$181-Driver!$K$181)</f>
        <v/>
      </c>
      <c r="AM679" s="108">
        <f>(AY679-Driver!$K$182)/(Driver!$L$182-Driver!$K$182)</f>
        <v/>
      </c>
      <c r="AN679" s="108">
        <f>(AZ679-Driver!$K$183)/(Driver!$L$183-Driver!$K$183)</f>
        <v/>
      </c>
      <c r="AO679" s="108" t="n"/>
      <c r="AP679" s="108" t="n"/>
      <c r="AQ679" s="108">
        <f>(BC679-Driver!$K$188)/(Driver!$L$188-Driver!$K$188)</f>
        <v/>
      </c>
      <c r="AR679" s="108">
        <f>MIN((BD679-Driver!$K$189)/(Driver!$L$189-Driver!$K$189),100%)</f>
        <v/>
      </c>
      <c r="AS679" s="108">
        <f>(BE679-Driver!$K$190)/(Driver!$L$190-Driver!$K$190)</f>
        <v/>
      </c>
      <c r="AT679" s="108">
        <f>(BF679-Driver!$K$191)/(Driver!$L$191-Driver!$K$191)</f>
        <v/>
      </c>
      <c r="AU679" s="108">
        <f>(BG679-Driver!$K$192)/(Driver!$L$192-Driver!$K$192)</f>
        <v/>
      </c>
      <c r="AV679" s="105">
        <f>IFERROR(BM679*BJ679^1/4,"")</f>
        <v/>
      </c>
      <c r="AW679" s="105">
        <f>IFERROR(SUM(AX679:AZ679),"")</f>
        <v/>
      </c>
      <c r="AX679" s="105">
        <f>IFERROR(BH679,"")</f>
        <v/>
      </c>
      <c r="AY679" s="105">
        <f>IFERROR(Driver!$K$19/Data!BH679/Data!BI679*Data!BK679*Data!BL679,"")</f>
        <v/>
      </c>
      <c r="AZ679" s="105">
        <f>IFERROR(BI679*BN679,"")</f>
        <v/>
      </c>
      <c r="BA679" s="105" t="n"/>
      <c r="BB679" s="105" t="n"/>
      <c r="BC679" s="105">
        <f>IFERROR(BI679*BN679*BK679/BJ679^(1/2),"")</f>
        <v/>
      </c>
      <c r="BD679" s="105">
        <f>IFERROR(BH679*BM679*BL679/BJ679/BK679,"")</f>
        <v/>
      </c>
      <c r="BE679" s="105">
        <f>IFERROR(MIN(BI679/BQ679/BP679/BO679/BH679,$BE$1),"")</f>
        <v/>
      </c>
      <c r="BF679" s="105">
        <f>IFERROR(BJ679*BO679*BP679/BK679,"")</f>
        <v/>
      </c>
      <c r="BG679" s="105">
        <f>IFERROR(1/BM679/BH679*BQ679,"")</f>
        <v/>
      </c>
      <c r="BH679" s="102">
        <f>MAX((CE679-Driver!$F$200)/(Driver!$G$200-Driver!$F$200)*$BI$1,1)</f>
        <v/>
      </c>
      <c r="BI679" s="102">
        <f>MAX($BI$1*(BY679-Driver!$F$201)/(Driver!$G$201-Driver!$F$201),1)</f>
        <v/>
      </c>
      <c r="BJ679" s="102">
        <f>(CB679-Driver!$F$206)/(Driver!$G$206-Driver!$F$206)*$BI$1</f>
        <v/>
      </c>
      <c r="BK679" s="102">
        <f>(CD679-Driver!$F$203)/(Driver!$G$203-Driver!$F$203)*$BI$1</f>
        <v/>
      </c>
      <c r="BL679" s="102">
        <f>MAX((CR679-Driver!$F$202)/(Driver!$G$202-Driver!$F$202)*$BI$1,1)</f>
        <v/>
      </c>
      <c r="BM679" s="102">
        <f>MAX((CH679-Driver!$F$204)/(Driver!$G$204-Driver!$F$204)*$BI$1,1)</f>
        <v/>
      </c>
      <c r="BN679" s="102">
        <f>(CI679-Driver!$F$205)/(Driver!$G$205-Driver!$F$205)*$BI$1</f>
        <v/>
      </c>
      <c r="BO679" s="102">
        <f>(CK679-Driver!$F$207)/(Driver!$G$207-Driver!$F$207)*$BI$1</f>
        <v/>
      </c>
      <c r="BP679" s="102">
        <f>(CM679-Driver!$F$208)/(Driver!$G$208-Driver!$F$208)*$BI$1</f>
        <v/>
      </c>
      <c r="BQ679" s="102">
        <f>(CL679-Driver!$F$209)/(Driver!$G$209-Driver!$F$209)*$BI$1</f>
        <v/>
      </c>
      <c r="BR679" s="40" t="inlineStr">
        <is>
          <t>21/22</t>
        </is>
      </c>
      <c r="BS679" s="10" t="inlineStr">
        <is>
          <t xml:space="preserve"> K2</t>
        </is>
      </c>
      <c r="BT679" s="11" t="inlineStr">
        <is>
          <t>Reckoner 92</t>
        </is>
      </c>
      <c r="BU679" s="13" t="n">
        <v>169</v>
      </c>
      <c r="BV679" s="11" t="inlineStr">
        <is>
          <t xml:space="preserve"> Unisex</t>
        </is>
      </c>
      <c r="BW679" s="13" t="n">
        <v>169</v>
      </c>
      <c r="BX679" s="13" t="n">
        <v>169</v>
      </c>
      <c r="BY679" s="13" t="n">
        <v>113</v>
      </c>
      <c r="BZ679" s="13" t="n">
        <v>142</v>
      </c>
      <c r="CA679" s="13" t="n">
        <v>124</v>
      </c>
      <c r="CB679" s="13" t="n">
        <v>91</v>
      </c>
      <c r="CC679" s="13" t="n">
        <v>113</v>
      </c>
      <c r="CD679" s="13" t="n">
        <v>17.2</v>
      </c>
      <c r="CE679" s="13" t="n">
        <v>1669</v>
      </c>
      <c r="CF679" s="13" t="n">
        <v>1.03</v>
      </c>
      <c r="CG679" s="13" t="n">
        <v>1717</v>
      </c>
      <c r="CH679" s="13" t="n">
        <v>148</v>
      </c>
      <c r="CI679" s="13" t="n">
        <v>76</v>
      </c>
      <c r="CJ679" s="13" t="n">
        <v>51</v>
      </c>
      <c r="CK679" s="13" t="n">
        <v>287</v>
      </c>
      <c r="CL679" s="13" t="n">
        <v>45</v>
      </c>
      <c r="CM679" s="13" t="n">
        <v>274</v>
      </c>
      <c r="CN679" s="13" t="n">
        <v>0.886</v>
      </c>
      <c r="CO679" s="13" t="n">
        <v>121</v>
      </c>
      <c r="CP679" s="13" t="n">
        <v>150</v>
      </c>
      <c r="CQ679" s="13" t="n">
        <v>167</v>
      </c>
      <c r="CR679" s="13" t="n">
        <v>6</v>
      </c>
      <c r="CS679" s="13" t="n">
        <v>4.8</v>
      </c>
      <c r="CT679" s="11" t="inlineStr">
        <is>
          <t xml:space="preserve"> Freeski</t>
        </is>
      </c>
      <c r="CU679" s="13" t="n"/>
      <c r="CV679" s="13" t="n"/>
      <c r="CW679" s="13" t="n"/>
      <c r="CX679">
        <f>INDEX('Data_Price '!AG$2:AG$1266,MATCH(Data!$DN679,'Data_Price '!$AT$2:$AT$1266,0))</f>
        <v/>
      </c>
      <c r="CY679">
        <f>INDEX('Data_Price '!AH$2:AH$1266,MATCH(Data!$DN679,'Data_Price '!$AT$2:$AT$1266,0))</f>
        <v/>
      </c>
      <c r="CZ679">
        <f>INDEX('Data_Price '!AI$2:AI$1266,MATCH(Data!$DN679,'Data_Price '!$AT$2:$AT$1266,0))</f>
        <v/>
      </c>
      <c r="DA679">
        <f>INDEX('Data_Price '!AJ$2:AJ$1266,MATCH(Data!$DN679,'Data_Price '!$AT$2:$AT$1266,0))</f>
        <v/>
      </c>
      <c r="DB679">
        <f>INDEX('Data_Price '!AK$2:AK$1266,MATCH(Data!$DN679,'Data_Price '!$AT$2:$AT$1266,0))</f>
        <v/>
      </c>
      <c r="DC679">
        <f>INDEX('Data_Price '!AL$2:AL$1266,MATCH(Data!$DN679,'Data_Price '!$AT$2:$AT$1266,0))</f>
        <v/>
      </c>
      <c r="DD679">
        <f>INDEX('Data_Price '!AM$2:AM$1266,MATCH(Data!$DN679,'Data_Price '!$AT$2:$AT$1266,0))</f>
        <v/>
      </c>
      <c r="DE679">
        <f>INDEX('Data_Price '!AN$2:AN$1266,MATCH(Data!$DN679,'Data_Price '!$AT$2:$AT$1266,0))</f>
        <v/>
      </c>
      <c r="DF679">
        <f>INDEX('Data_Price '!AO$2:AO$1266,MATCH(Data!$DN679,'Data_Price '!$AT$2:$AT$1266,0))</f>
        <v/>
      </c>
      <c r="DG679">
        <f>INDEX('Data_Price '!AP$2:AP$1266,MATCH(Data!$DN679,'Data_Price '!$AT$2:$AT$1266,0))</f>
        <v/>
      </c>
      <c r="DH679">
        <f>INDEX('Data_Price '!AQ$2:AQ$1266,MATCH(Data!$DN679,'Data_Price '!$AT$2:$AT$1266,0))</f>
        <v/>
      </c>
      <c r="DI679">
        <f>INDEX('Data_Price '!AR$2:AR$1266,MATCH(Data!$DN679,'Data_Price '!$AT$2:$AT$1266,0))</f>
        <v/>
      </c>
      <c r="DJ679" s="138">
        <f>DA679</f>
        <v/>
      </c>
      <c r="DK679" s="138">
        <f>DE679</f>
        <v/>
      </c>
      <c r="DL679" s="138">
        <f>DI679</f>
        <v/>
      </c>
      <c r="DM679" s="303">
        <f>IF(LEFT(BT679,1)=" ",RIGHT(BT679,LEN(BT679)-1),BT679)</f>
        <v/>
      </c>
      <c r="DN679" s="138">
        <f>_xlfn.CONCAT(BS679,DM679,BU679,BV679)</f>
        <v/>
      </c>
      <c r="DO679" s="307" t="inlineStr">
        <is>
          <t>https://images.evo.com/imgp/250/201067/825046/k2-reckoner-92-skis-2022-.jpg</t>
        </is>
      </c>
    </row>
    <row r="680" ht="15.6" customHeight="1" s="184">
      <c r="B680" s="303">
        <f t="array" ref="B680">IF(OR(ISERROR(K680:P680)),FALSE,TRUE)</f>
        <v/>
      </c>
      <c r="C680" s="60">
        <f>OR(BR680=Driver!$G$50,Data!BR583=Driver!$H$50)</f>
        <v/>
      </c>
      <c r="D680" s="60">
        <f>OR(BV680=Driver!$G$51,BV680=Driver!$H$51)</f>
        <v/>
      </c>
      <c r="E680" s="60">
        <f>AND(BX680&gt;Driver!$F$54,BX680&lt;Driver!$G$54)</f>
        <v/>
      </c>
      <c r="F680" s="60">
        <f>CL680&gt;Driver!$F$56</f>
        <v/>
      </c>
      <c r="G680" s="60">
        <f>AND(CB680&gt;Driver!$F$55,CB680&lt;Driver!$G$55)</f>
        <v/>
      </c>
      <c r="H680" s="60">
        <f>AND(B680:G680)</f>
        <v/>
      </c>
      <c r="I680" s="60">
        <f>COUNTIFS($H$9:$H$1273,TRUE,$BT$9:$BT$1273,BT680)</f>
        <v/>
      </c>
      <c r="J680" s="60">
        <f t="array" ref="J680">NOT(OR(($H$9:$H$1273=TRUE)*($I$9:$I$1273&gt;0)*($BT$9:$BT$1273=BT680)*($K$9:$K$1273&gt;K680)))</f>
        <v/>
      </c>
      <c r="K680" s="108">
        <f>IFERROR(1-AVERAGE(X680:Y680),"")</f>
        <v/>
      </c>
      <c r="L680" s="108">
        <f>1-X680</f>
        <v/>
      </c>
      <c r="M680" s="108">
        <f>1-Y680</f>
        <v/>
      </c>
      <c r="N680" s="108">
        <f>1-Z680</f>
        <v/>
      </c>
      <c r="O680" s="108">
        <f>1-AA680</f>
        <v/>
      </c>
      <c r="P680" s="108">
        <f>1-AB680</f>
        <v/>
      </c>
      <c r="Q680" s="108" t="n"/>
      <c r="R680" s="108" t="n"/>
      <c r="S680" s="108">
        <f>1-AE680</f>
        <v/>
      </c>
      <c r="T680" s="108">
        <f>1-AF680</f>
        <v/>
      </c>
      <c r="U680" s="108">
        <f>1-AG680</f>
        <v/>
      </c>
      <c r="V680" s="108">
        <f>1-AH680</f>
        <v/>
      </c>
      <c r="W680" s="108">
        <f>1-AI680</f>
        <v/>
      </c>
      <c r="X680" s="108">
        <f>ABS(AJ680-AJ$1)</f>
        <v/>
      </c>
      <c r="Y680" s="108">
        <f>AVERAGE(Z680:AB680)</f>
        <v/>
      </c>
      <c r="Z680" s="108">
        <f>ABS(AL680-AL$1)</f>
        <v/>
      </c>
      <c r="AA680" s="108">
        <f>ABS(AM680-AM$1)</f>
        <v/>
      </c>
      <c r="AB680" s="108">
        <f>ABS(AN680-AN$1)</f>
        <v/>
      </c>
      <c r="AC680" s="108" t="n"/>
      <c r="AD680" s="108" t="n"/>
      <c r="AE680" s="108">
        <f>ABS(AQ$1-AQ680)</f>
        <v/>
      </c>
      <c r="AF680" s="108">
        <f>ABS(AR$1-AR680)</f>
        <v/>
      </c>
      <c r="AG680" s="108">
        <f>ABS(AS$1-AS680)</f>
        <v/>
      </c>
      <c r="AH680" s="108">
        <f>ABS(AT$1-AT680)</f>
        <v/>
      </c>
      <c r="AI680" s="108">
        <f>ABS(AU$1-AU680)</f>
        <v/>
      </c>
      <c r="AJ680" s="108">
        <f>(AV680-Driver!$K$179)/(Driver!$L$179-Driver!$K$179)</f>
        <v/>
      </c>
      <c r="AK680" s="108">
        <f>(AW680-Driver!$K$180)/(Driver!$L$180-Driver!$K$180)</f>
        <v/>
      </c>
      <c r="AL680" s="108">
        <f>(AX680-Driver!$K$181)/(Driver!$L$181-Driver!$K$181)</f>
        <v/>
      </c>
      <c r="AM680" s="108">
        <f>(AY680-Driver!$K$182)/(Driver!$L$182-Driver!$K$182)</f>
        <v/>
      </c>
      <c r="AN680" s="108">
        <f>(AZ680-Driver!$K$183)/(Driver!$L$183-Driver!$K$183)</f>
        <v/>
      </c>
      <c r="AO680" s="108" t="n"/>
      <c r="AP680" s="108" t="n"/>
      <c r="AQ680" s="108">
        <f>(BC680-Driver!$K$188)/(Driver!$L$188-Driver!$K$188)</f>
        <v/>
      </c>
      <c r="AR680" s="108">
        <f>MIN((BD680-Driver!$K$189)/(Driver!$L$189-Driver!$K$189),100%)</f>
        <v/>
      </c>
      <c r="AS680" s="108">
        <f>(BE680-Driver!$K$190)/(Driver!$L$190-Driver!$K$190)</f>
        <v/>
      </c>
      <c r="AT680" s="108">
        <f>(BF680-Driver!$K$191)/(Driver!$L$191-Driver!$K$191)</f>
        <v/>
      </c>
      <c r="AU680" s="108">
        <f>(BG680-Driver!$K$192)/(Driver!$L$192-Driver!$K$192)</f>
        <v/>
      </c>
      <c r="AV680" s="105">
        <f>IFERROR(BM680*BJ680^1/4,"")</f>
        <v/>
      </c>
      <c r="AW680" s="105">
        <f>IFERROR(SUM(AX680:AZ680),"")</f>
        <v/>
      </c>
      <c r="AX680" s="105">
        <f>IFERROR(BH680,"")</f>
        <v/>
      </c>
      <c r="AY680" s="105">
        <f>IFERROR(Driver!$K$19/Data!BH680/Data!BI680*Data!BK680*Data!BL680,"")</f>
        <v/>
      </c>
      <c r="AZ680" s="105">
        <f>IFERROR(BI680*BN680,"")</f>
        <v/>
      </c>
      <c r="BA680" s="105" t="n"/>
      <c r="BB680" s="105" t="n"/>
      <c r="BC680" s="105">
        <f>IFERROR(BI680*BN680*BK680/BJ680^(1/2),"")</f>
        <v/>
      </c>
      <c r="BD680" s="105">
        <f>IFERROR(BH680*BM680*BL680/BJ680/BK680,"")</f>
        <v/>
      </c>
      <c r="BE680" s="105">
        <f>IFERROR(MIN(BI680/BQ680/BP680/BO680/BH680,$BE$1),"")</f>
        <v/>
      </c>
      <c r="BF680" s="105">
        <f>IFERROR(BJ680*BO680*BP680/BK680,"")</f>
        <v/>
      </c>
      <c r="BG680" s="105">
        <f>IFERROR(1/BM680/BH680*BQ680,"")</f>
        <v/>
      </c>
      <c r="BH680" s="102">
        <f>MAX((CE680-Driver!$F$200)/(Driver!$G$200-Driver!$F$200)*$BI$1,1)</f>
        <v/>
      </c>
      <c r="BI680" s="102">
        <f>MAX($BI$1*(BY680-Driver!$F$201)/(Driver!$G$201-Driver!$F$201),1)</f>
        <v/>
      </c>
      <c r="BJ680" s="102">
        <f>(CB680-Driver!$F$206)/(Driver!$G$206-Driver!$F$206)*$BI$1</f>
        <v/>
      </c>
      <c r="BK680" s="102">
        <f>(CD680-Driver!$F$203)/(Driver!$G$203-Driver!$F$203)*$BI$1</f>
        <v/>
      </c>
      <c r="BL680" s="102">
        <f>MAX((CR680-Driver!$F$202)/(Driver!$G$202-Driver!$F$202)*$BI$1,1)</f>
        <v/>
      </c>
      <c r="BM680" s="102">
        <f>MAX((CH680-Driver!$F$204)/(Driver!$G$204-Driver!$F$204)*$BI$1,1)</f>
        <v/>
      </c>
      <c r="BN680" s="102">
        <f>(CI680-Driver!$F$205)/(Driver!$G$205-Driver!$F$205)*$BI$1</f>
        <v/>
      </c>
      <c r="BO680" s="102">
        <f>(CK680-Driver!$F$207)/(Driver!$G$207-Driver!$F$207)*$BI$1</f>
        <v/>
      </c>
      <c r="BP680" s="102">
        <f>(CM680-Driver!$F$208)/(Driver!$G$208-Driver!$F$208)*$BI$1</f>
        <v/>
      </c>
      <c r="BQ680" s="102">
        <f>(CL680-Driver!$F$209)/(Driver!$G$209-Driver!$F$209)*$BI$1</f>
        <v/>
      </c>
      <c r="BR680" s="40" t="inlineStr">
        <is>
          <t>21/22</t>
        </is>
      </c>
      <c r="BS680" s="10" t="inlineStr">
        <is>
          <t xml:space="preserve"> Fischer</t>
        </is>
      </c>
      <c r="BT680" s="11" t="inlineStr">
        <is>
          <t>Ranger 94 FR W</t>
        </is>
      </c>
      <c r="BU680" s="13" t="n">
        <v>161</v>
      </c>
      <c r="BV680" s="11" t="inlineStr">
        <is>
          <t xml:space="preserve"> Women's</t>
        </is>
      </c>
      <c r="BW680" s="13" t="n">
        <v>161</v>
      </c>
      <c r="BX680" s="13" t="n">
        <v>160.1</v>
      </c>
      <c r="BY680" s="13" t="n">
        <v>106</v>
      </c>
      <c r="BZ680" s="13" t="n">
        <v>131</v>
      </c>
      <c r="CA680" s="13" t="n">
        <v>123</v>
      </c>
      <c r="CB680" s="13" t="n">
        <v>89</v>
      </c>
      <c r="CC680" s="13" t="n">
        <v>114</v>
      </c>
      <c r="CD680" s="13" t="n">
        <v>12.4</v>
      </c>
      <c r="CE680" s="13" t="n">
        <v>1454</v>
      </c>
      <c r="CF680" s="13" t="n">
        <v>1.13</v>
      </c>
      <c r="CG680" s="13" t="n">
        <v>1638</v>
      </c>
      <c r="CH680" s="13" t="n">
        <v>167</v>
      </c>
      <c r="CI680" s="13" t="n">
        <v>83</v>
      </c>
      <c r="CJ680" s="13" t="n">
        <v>50</v>
      </c>
      <c r="CK680" s="13" t="n">
        <v>334</v>
      </c>
      <c r="CL680" s="13" t="n">
        <v>37</v>
      </c>
      <c r="CM680" s="13" t="n">
        <v>204</v>
      </c>
      <c r="CN680" s="13" t="n">
        <v>0.746</v>
      </c>
      <c r="CO680" s="13" t="n">
        <v>142</v>
      </c>
      <c r="CP680" s="13" t="n">
        <v>145</v>
      </c>
      <c r="CQ680" s="13" t="n">
        <v>192</v>
      </c>
      <c r="CR680" s="13" t="n">
        <v>2</v>
      </c>
      <c r="CS680" s="13" t="n">
        <v>8.1</v>
      </c>
      <c r="CT680" s="11" t="inlineStr">
        <is>
          <t xml:space="preserve"> Resort Freeride</t>
        </is>
      </c>
      <c r="CU680" s="11" t="inlineStr">
        <is>
          <t xml:space="preserve"> Touring</t>
        </is>
      </c>
      <c r="CV680" s="13" t="n"/>
      <c r="CW680" s="13" t="n"/>
      <c r="CX680">
        <f>INDEX('Data_Price '!AG$2:AG$1266,MATCH(Data!$DN680,'Data_Price '!$AT$2:$AT$1266,0))</f>
        <v/>
      </c>
      <c r="CY680">
        <f>INDEX('Data_Price '!AH$2:AH$1266,MATCH(Data!$DN680,'Data_Price '!$AT$2:$AT$1266,0))</f>
        <v/>
      </c>
      <c r="CZ680">
        <f>INDEX('Data_Price '!AI$2:AI$1266,MATCH(Data!$DN680,'Data_Price '!$AT$2:$AT$1266,0))</f>
        <v/>
      </c>
      <c r="DA680">
        <f>INDEX('Data_Price '!AJ$2:AJ$1266,MATCH(Data!$DN680,'Data_Price '!$AT$2:$AT$1266,0))</f>
        <v/>
      </c>
      <c r="DB680">
        <f>INDEX('Data_Price '!AK$2:AK$1266,MATCH(Data!$DN680,'Data_Price '!$AT$2:$AT$1266,0))</f>
        <v/>
      </c>
      <c r="DC680">
        <f>INDEX('Data_Price '!AL$2:AL$1266,MATCH(Data!$DN680,'Data_Price '!$AT$2:$AT$1266,0))</f>
        <v/>
      </c>
      <c r="DD680">
        <f>INDEX('Data_Price '!AM$2:AM$1266,MATCH(Data!$DN680,'Data_Price '!$AT$2:$AT$1266,0))</f>
        <v/>
      </c>
      <c r="DE680">
        <f>INDEX('Data_Price '!AN$2:AN$1266,MATCH(Data!$DN680,'Data_Price '!$AT$2:$AT$1266,0))</f>
        <v/>
      </c>
      <c r="DF680">
        <f>INDEX('Data_Price '!AO$2:AO$1266,MATCH(Data!$DN680,'Data_Price '!$AT$2:$AT$1266,0))</f>
        <v/>
      </c>
      <c r="DG680">
        <f>INDEX('Data_Price '!AP$2:AP$1266,MATCH(Data!$DN680,'Data_Price '!$AT$2:$AT$1266,0))</f>
        <v/>
      </c>
      <c r="DH680">
        <f>INDEX('Data_Price '!AQ$2:AQ$1266,MATCH(Data!$DN680,'Data_Price '!$AT$2:$AT$1266,0))</f>
        <v/>
      </c>
      <c r="DI680">
        <f>INDEX('Data_Price '!AR$2:AR$1266,MATCH(Data!$DN680,'Data_Price '!$AT$2:$AT$1266,0))</f>
        <v/>
      </c>
      <c r="DJ680" s="138">
        <f>DA680</f>
        <v/>
      </c>
      <c r="DK680" s="138">
        <f>DE680</f>
        <v/>
      </c>
      <c r="DL680" s="138">
        <f>DI680</f>
        <v/>
      </c>
      <c r="DM680" s="303">
        <f>IF(LEFT(BT680,1)=" ",RIGHT(BT680,LEN(BT680)-1),BT680)</f>
        <v/>
      </c>
      <c r="DN680" s="138">
        <f>_xlfn.CONCAT(BS680,DM680,BU680,BV680)</f>
        <v/>
      </c>
      <c r="DO680" s="307" t="n"/>
    </row>
    <row r="681" ht="15.6" customHeight="1" s="184">
      <c r="B681" s="303">
        <f t="array" ref="B681">IF(OR(ISERROR(K681:P681)),FALSE,TRUE)</f>
        <v/>
      </c>
      <c r="C681" s="60">
        <f>OR(BR681=Driver!$G$50,Data!BR440=Driver!$H$50)</f>
        <v/>
      </c>
      <c r="D681" s="60">
        <f>OR(BV681=Driver!$G$51,BV681=Driver!$H$51)</f>
        <v/>
      </c>
      <c r="E681" s="60">
        <f>AND(BX681&gt;Driver!$F$54,BX681&lt;Driver!$G$54)</f>
        <v/>
      </c>
      <c r="F681" s="60">
        <f>CL681&gt;Driver!$F$56</f>
        <v/>
      </c>
      <c r="G681" s="60">
        <f>AND(CB681&gt;Driver!$F$55,CB681&lt;Driver!$G$55)</f>
        <v/>
      </c>
      <c r="H681" s="60">
        <f>AND(B681:G681)</f>
        <v/>
      </c>
      <c r="I681" s="60">
        <f>COUNTIFS($H$9:$H$1273,TRUE,$BT$9:$BT$1273,BT681)</f>
        <v/>
      </c>
      <c r="J681" s="60">
        <f t="array" ref="J681">NOT(OR(($H$9:$H$1273=TRUE)*($I$9:$I$1273&gt;0)*($BT$9:$BT$1273=BT681)*($K$9:$K$1273&gt;K681)))</f>
        <v/>
      </c>
      <c r="K681" s="108">
        <f>IFERROR(1-AVERAGE(X681:Y681),"")</f>
        <v/>
      </c>
      <c r="L681" s="108">
        <f>1-X681</f>
        <v/>
      </c>
      <c r="M681" s="108">
        <f>1-Y681</f>
        <v/>
      </c>
      <c r="N681" s="108">
        <f>1-Z681</f>
        <v/>
      </c>
      <c r="O681" s="108">
        <f>1-AA681</f>
        <v/>
      </c>
      <c r="P681" s="108">
        <f>1-AB681</f>
        <v/>
      </c>
      <c r="Q681" s="108" t="n"/>
      <c r="R681" s="108" t="n"/>
      <c r="S681" s="108">
        <f>1-AE681</f>
        <v/>
      </c>
      <c r="T681" s="108">
        <f>1-AF681</f>
        <v/>
      </c>
      <c r="U681" s="108">
        <f>1-AG681</f>
        <v/>
      </c>
      <c r="V681" s="108">
        <f>1-AH681</f>
        <v/>
      </c>
      <c r="W681" s="108">
        <f>1-AI681</f>
        <v/>
      </c>
      <c r="X681" s="108">
        <f>ABS(AJ681-AJ$1)</f>
        <v/>
      </c>
      <c r="Y681" s="108">
        <f>AVERAGE(Z681:AB681)</f>
        <v/>
      </c>
      <c r="Z681" s="108">
        <f>ABS(AL681-AL$1)</f>
        <v/>
      </c>
      <c r="AA681" s="108">
        <f>ABS(AM681-AM$1)</f>
        <v/>
      </c>
      <c r="AB681" s="108">
        <f>ABS(AN681-AN$1)</f>
        <v/>
      </c>
      <c r="AC681" s="108" t="n"/>
      <c r="AD681" s="108" t="n"/>
      <c r="AE681" s="108">
        <f>ABS(AQ$1-AQ681)</f>
        <v/>
      </c>
      <c r="AF681" s="108">
        <f>ABS(AR$1-AR681)</f>
        <v/>
      </c>
      <c r="AG681" s="108">
        <f>ABS(AS$1-AS681)</f>
        <v/>
      </c>
      <c r="AH681" s="108">
        <f>ABS(AT$1-AT681)</f>
        <v/>
      </c>
      <c r="AI681" s="108">
        <f>ABS(AU$1-AU681)</f>
        <v/>
      </c>
      <c r="AJ681" s="108">
        <f>(AV681-Driver!$K$179)/(Driver!$L$179-Driver!$K$179)</f>
        <v/>
      </c>
      <c r="AK681" s="108">
        <f>(AW681-Driver!$K$180)/(Driver!$L$180-Driver!$K$180)</f>
        <v/>
      </c>
      <c r="AL681" s="108">
        <f>(AX681-Driver!$K$181)/(Driver!$L$181-Driver!$K$181)</f>
        <v/>
      </c>
      <c r="AM681" s="108">
        <f>(AY681-Driver!$K$182)/(Driver!$L$182-Driver!$K$182)</f>
        <v/>
      </c>
      <c r="AN681" s="108">
        <f>(AZ681-Driver!$K$183)/(Driver!$L$183-Driver!$K$183)</f>
        <v/>
      </c>
      <c r="AO681" s="108" t="n"/>
      <c r="AP681" s="108" t="n"/>
      <c r="AQ681" s="108">
        <f>(BC681-Driver!$K$188)/(Driver!$L$188-Driver!$K$188)</f>
        <v/>
      </c>
      <c r="AR681" s="108">
        <f>MIN((BD681-Driver!$K$189)/(Driver!$L$189-Driver!$K$189),100%)</f>
        <v/>
      </c>
      <c r="AS681" s="108">
        <f>(BE681-Driver!$K$190)/(Driver!$L$190-Driver!$K$190)</f>
        <v/>
      </c>
      <c r="AT681" s="108">
        <f>(BF681-Driver!$K$191)/(Driver!$L$191-Driver!$K$191)</f>
        <v/>
      </c>
      <c r="AU681" s="108">
        <f>(BG681-Driver!$K$192)/(Driver!$L$192-Driver!$K$192)</f>
        <v/>
      </c>
      <c r="AV681" s="105">
        <f>IFERROR(BM681*BJ681^1/4,"")</f>
        <v/>
      </c>
      <c r="AW681" s="105">
        <f>IFERROR(SUM(AX681:AZ681),"")</f>
        <v/>
      </c>
      <c r="AX681" s="105">
        <f>IFERROR(BH681,"")</f>
        <v/>
      </c>
      <c r="AY681" s="105">
        <f>IFERROR(Driver!$K$19/Data!BH681/Data!BI681*Data!BK681*Data!BL681,"")</f>
        <v/>
      </c>
      <c r="AZ681" s="105">
        <f>IFERROR(BI681*BN681,"")</f>
        <v/>
      </c>
      <c r="BA681" s="105" t="n"/>
      <c r="BB681" s="105" t="n"/>
      <c r="BC681" s="105">
        <f>IFERROR(BI681*BN681*BK681/BJ681^(1/2),"")</f>
        <v/>
      </c>
      <c r="BD681" s="105">
        <f>IFERROR(BH681*BM681*BL681/BJ681/BK681,"")</f>
        <v/>
      </c>
      <c r="BE681" s="105">
        <f>IFERROR(MIN(BI681/BQ681/BP681/BO681/BH681,$BE$1),"")</f>
        <v/>
      </c>
      <c r="BF681" s="105">
        <f>IFERROR(BJ681*BO681*BP681/BK681,"")</f>
        <v/>
      </c>
      <c r="BG681" s="105">
        <f>IFERROR(1/BM681/BH681*BQ681,"")</f>
        <v/>
      </c>
      <c r="BH681" s="102">
        <f>MAX((CE681-Driver!$F$200)/(Driver!$G$200-Driver!$F$200)*$BI$1,1)</f>
        <v/>
      </c>
      <c r="BI681" s="102">
        <f>MAX($BI$1*(BY681-Driver!$F$201)/(Driver!$G$201-Driver!$F$201),1)</f>
        <v/>
      </c>
      <c r="BJ681" s="102">
        <f>(CB681-Driver!$F$206)/(Driver!$G$206-Driver!$F$206)*$BI$1</f>
        <v/>
      </c>
      <c r="BK681" s="102">
        <f>(CD681-Driver!$F$203)/(Driver!$G$203-Driver!$F$203)*$BI$1</f>
        <v/>
      </c>
      <c r="BL681" s="102">
        <f>MAX((CR681-Driver!$F$202)/(Driver!$G$202-Driver!$F$202)*$BI$1,1)</f>
        <v/>
      </c>
      <c r="BM681" s="102">
        <f>MAX((CH681-Driver!$F$204)/(Driver!$G$204-Driver!$F$204)*$BI$1,1)</f>
        <v/>
      </c>
      <c r="BN681" s="102">
        <f>(CI681-Driver!$F$205)/(Driver!$G$205-Driver!$F$205)*$BI$1</f>
        <v/>
      </c>
      <c r="BO681" s="102">
        <f>(CK681-Driver!$F$207)/(Driver!$G$207-Driver!$F$207)*$BI$1</f>
        <v/>
      </c>
      <c r="BP681" s="102">
        <f>(CM681-Driver!$F$208)/(Driver!$G$208-Driver!$F$208)*$BI$1</f>
        <v/>
      </c>
      <c r="BQ681" s="102">
        <f>(CL681-Driver!$F$209)/(Driver!$G$209-Driver!$F$209)*$BI$1</f>
        <v/>
      </c>
      <c r="BR681" s="40" t="inlineStr">
        <is>
          <t>21/22</t>
        </is>
      </c>
      <c r="BS681" s="10" t="inlineStr">
        <is>
          <t xml:space="preserve"> Elan</t>
        </is>
      </c>
      <c r="BT681" s="11" t="inlineStr">
        <is>
          <t>Insomnia 16 Ti</t>
        </is>
      </c>
      <c r="BU681" s="13" t="n">
        <v>158</v>
      </c>
      <c r="BV681" s="11" t="inlineStr">
        <is>
          <t xml:space="preserve"> Women's</t>
        </is>
      </c>
      <c r="BW681" s="13" t="n">
        <v>158</v>
      </c>
      <c r="BX681" s="13" t="n">
        <v>159</v>
      </c>
      <c r="BY681" s="13" t="n">
        <v>140</v>
      </c>
      <c r="BZ681" s="13" t="n">
        <v>147</v>
      </c>
      <c r="CA681" s="13" t="n">
        <v>122</v>
      </c>
      <c r="CB681" s="13" t="n">
        <v>73</v>
      </c>
      <c r="CC681" s="13" t="n">
        <v>104</v>
      </c>
      <c r="CD681" s="13" t="n">
        <v>13.4</v>
      </c>
      <c r="CE681" s="13" t="n">
        <v>1753</v>
      </c>
      <c r="CF681" s="13" t="n">
        <v>0.8</v>
      </c>
      <c r="CG681" s="13" t="n">
        <v>1395</v>
      </c>
      <c r="CH681" s="13" t="n">
        <v>186</v>
      </c>
      <c r="CI681" s="13" t="n">
        <v>75</v>
      </c>
      <c r="CJ681" s="13" t="n">
        <v>41</v>
      </c>
      <c r="CK681" s="13" t="n">
        <v>138</v>
      </c>
      <c r="CL681" s="13" t="n">
        <v>3</v>
      </c>
      <c r="CM681" s="13" t="n">
        <v>48</v>
      </c>
      <c r="CN681" s="13" t="n">
        <v>0.076</v>
      </c>
      <c r="CO681" s="13" t="n">
        <v>78</v>
      </c>
      <c r="CP681" s="13" t="n">
        <v>38</v>
      </c>
      <c r="CQ681" s="13" t="n">
        <v>60</v>
      </c>
      <c r="CR681" s="13" t="n">
        <v>8</v>
      </c>
      <c r="CS681" s="13" t="n">
        <v>9.800000000000001</v>
      </c>
      <c r="CT681" s="11" t="inlineStr">
        <is>
          <t xml:space="preserve"> On-Piste Carving</t>
        </is>
      </c>
      <c r="CU681" s="13" t="n"/>
      <c r="CV681" s="13" t="n"/>
      <c r="CW681" s="13" t="n"/>
      <c r="CX681">
        <f>INDEX('Data_Price '!AG$2:AG$1266,MATCH(Data!$DN681,'Data_Price '!$AT$2:$AT$1266,0))</f>
        <v/>
      </c>
      <c r="CY681">
        <f>INDEX('Data_Price '!AH$2:AH$1266,MATCH(Data!$DN681,'Data_Price '!$AT$2:$AT$1266,0))</f>
        <v/>
      </c>
      <c r="CZ681">
        <f>INDEX('Data_Price '!AI$2:AI$1266,MATCH(Data!$DN681,'Data_Price '!$AT$2:$AT$1266,0))</f>
        <v/>
      </c>
      <c r="DA681">
        <f>INDEX('Data_Price '!AJ$2:AJ$1266,MATCH(Data!$DN681,'Data_Price '!$AT$2:$AT$1266,0))</f>
        <v/>
      </c>
      <c r="DB681">
        <f>INDEX('Data_Price '!AK$2:AK$1266,MATCH(Data!$DN681,'Data_Price '!$AT$2:$AT$1266,0))</f>
        <v/>
      </c>
      <c r="DC681">
        <f>INDEX('Data_Price '!AL$2:AL$1266,MATCH(Data!$DN681,'Data_Price '!$AT$2:$AT$1266,0))</f>
        <v/>
      </c>
      <c r="DD681">
        <f>INDEX('Data_Price '!AM$2:AM$1266,MATCH(Data!$DN681,'Data_Price '!$AT$2:$AT$1266,0))</f>
        <v/>
      </c>
      <c r="DE681">
        <f>INDEX('Data_Price '!AN$2:AN$1266,MATCH(Data!$DN681,'Data_Price '!$AT$2:$AT$1266,0))</f>
        <v/>
      </c>
      <c r="DF681">
        <f>INDEX('Data_Price '!AO$2:AO$1266,MATCH(Data!$DN681,'Data_Price '!$AT$2:$AT$1266,0))</f>
        <v/>
      </c>
      <c r="DG681">
        <f>INDEX('Data_Price '!AP$2:AP$1266,MATCH(Data!$DN681,'Data_Price '!$AT$2:$AT$1266,0))</f>
        <v/>
      </c>
      <c r="DH681">
        <f>INDEX('Data_Price '!AQ$2:AQ$1266,MATCH(Data!$DN681,'Data_Price '!$AT$2:$AT$1266,0))</f>
        <v/>
      </c>
      <c r="DI681">
        <f>INDEX('Data_Price '!AR$2:AR$1266,MATCH(Data!$DN681,'Data_Price '!$AT$2:$AT$1266,0))</f>
        <v/>
      </c>
      <c r="DJ681" s="138">
        <f>DA681</f>
        <v/>
      </c>
      <c r="DK681" s="138">
        <f>DE681</f>
        <v/>
      </c>
      <c r="DL681" s="138">
        <f>DI681</f>
        <v/>
      </c>
      <c r="DM681" s="303">
        <f>IF(LEFT(BT681,1)=" ",RIGHT(BT681,LEN(BT681)-1),BT681)</f>
        <v/>
      </c>
      <c r="DN681" s="138">
        <f>_xlfn.CONCAT(BS681,DM681,BU681,BV681)</f>
        <v/>
      </c>
      <c r="DO681" s="307" t="n"/>
    </row>
    <row r="682" ht="15.6" customHeight="1" s="184">
      <c r="B682" s="303">
        <f t="array" ref="B682">IF(OR(ISERROR(K682:P682)),FALSE,TRUE)</f>
        <v/>
      </c>
      <c r="C682" s="60">
        <f>OR(BR682=Driver!$G$50,Data!BR716=Driver!$H$50)</f>
        <v/>
      </c>
      <c r="D682" s="60">
        <f>OR(BV682=Driver!$G$51,BV682=Driver!$H$51)</f>
        <v/>
      </c>
      <c r="E682" s="60">
        <f>AND(BX682&gt;Driver!$F$54,BX682&lt;Driver!$G$54)</f>
        <v/>
      </c>
      <c r="F682" s="60">
        <f>CL682&gt;Driver!$F$56</f>
        <v/>
      </c>
      <c r="G682" s="60">
        <f>AND(CB682&gt;Driver!$F$55,CB682&lt;Driver!$G$55)</f>
        <v/>
      </c>
      <c r="H682" s="60">
        <f>AND(B682:G682)</f>
        <v/>
      </c>
      <c r="I682" s="60">
        <f>COUNTIFS($H$9:$H$1273,TRUE,$BT$9:$BT$1273,BT682)</f>
        <v/>
      </c>
      <c r="J682" s="60">
        <f t="array" ref="J682">NOT(OR(($H$9:$H$1273=TRUE)*($I$9:$I$1273&gt;0)*($BT$9:$BT$1273=BT682)*($K$9:$K$1273&gt;K682)))</f>
        <v/>
      </c>
      <c r="K682" s="108">
        <f>IFERROR(1-AVERAGE(X682:Y682),"")</f>
        <v/>
      </c>
      <c r="L682" s="108">
        <f>1-X682</f>
        <v/>
      </c>
      <c r="M682" s="108">
        <f>1-Y682</f>
        <v/>
      </c>
      <c r="N682" s="108">
        <f>1-Z682</f>
        <v/>
      </c>
      <c r="O682" s="108">
        <f>1-AA682</f>
        <v/>
      </c>
      <c r="P682" s="108">
        <f>1-AB682</f>
        <v/>
      </c>
      <c r="Q682" s="108" t="n"/>
      <c r="R682" s="108" t="n"/>
      <c r="S682" s="108">
        <f>1-AE682</f>
        <v/>
      </c>
      <c r="T682" s="108">
        <f>1-AF682</f>
        <v/>
      </c>
      <c r="U682" s="108">
        <f>1-AG682</f>
        <v/>
      </c>
      <c r="V682" s="108">
        <f>1-AH682</f>
        <v/>
      </c>
      <c r="W682" s="108">
        <f>1-AI682</f>
        <v/>
      </c>
      <c r="X682" s="108">
        <f>ABS(AJ682-AJ$1)</f>
        <v/>
      </c>
      <c r="Y682" s="108">
        <f>AVERAGE(Z682:AB682)</f>
        <v/>
      </c>
      <c r="Z682" s="108">
        <f>ABS(AL682-AL$1)</f>
        <v/>
      </c>
      <c r="AA682" s="108">
        <f>ABS(AM682-AM$1)</f>
        <v/>
      </c>
      <c r="AB682" s="108">
        <f>ABS(AN682-AN$1)</f>
        <v/>
      </c>
      <c r="AC682" s="108" t="n"/>
      <c r="AD682" s="108" t="n"/>
      <c r="AE682" s="108">
        <f>ABS(AQ$1-AQ682)</f>
        <v/>
      </c>
      <c r="AF682" s="108">
        <f>ABS(AR$1-AR682)</f>
        <v/>
      </c>
      <c r="AG682" s="108">
        <f>ABS(AS$1-AS682)</f>
        <v/>
      </c>
      <c r="AH682" s="108">
        <f>ABS(AT$1-AT682)</f>
        <v/>
      </c>
      <c r="AI682" s="108">
        <f>ABS(AU$1-AU682)</f>
        <v/>
      </c>
      <c r="AJ682" s="108">
        <f>(AV682-Driver!$K$179)/(Driver!$L$179-Driver!$K$179)</f>
        <v/>
      </c>
      <c r="AK682" s="108">
        <f>(AW682-Driver!$K$180)/(Driver!$L$180-Driver!$K$180)</f>
        <v/>
      </c>
      <c r="AL682" s="108">
        <f>(AX682-Driver!$K$181)/(Driver!$L$181-Driver!$K$181)</f>
        <v/>
      </c>
      <c r="AM682" s="108">
        <f>(AY682-Driver!$K$182)/(Driver!$L$182-Driver!$K$182)</f>
        <v/>
      </c>
      <c r="AN682" s="108">
        <f>(AZ682-Driver!$K$183)/(Driver!$L$183-Driver!$K$183)</f>
        <v/>
      </c>
      <c r="AO682" s="108" t="n"/>
      <c r="AP682" s="108" t="n"/>
      <c r="AQ682" s="108">
        <f>(BC682-Driver!$K$188)/(Driver!$L$188-Driver!$K$188)</f>
        <v/>
      </c>
      <c r="AR682" s="108">
        <f>MIN((BD682-Driver!$K$189)/(Driver!$L$189-Driver!$K$189),100%)</f>
        <v/>
      </c>
      <c r="AS682" s="108">
        <f>(BE682-Driver!$K$190)/(Driver!$L$190-Driver!$K$190)</f>
        <v/>
      </c>
      <c r="AT682" s="108">
        <f>(BF682-Driver!$K$191)/(Driver!$L$191-Driver!$K$191)</f>
        <v/>
      </c>
      <c r="AU682" s="108">
        <f>(BG682-Driver!$K$192)/(Driver!$L$192-Driver!$K$192)</f>
        <v/>
      </c>
      <c r="AV682" s="105">
        <f>IFERROR(BM682*BJ682^1/4,"")</f>
        <v/>
      </c>
      <c r="AW682" s="105">
        <f>IFERROR(SUM(AX682:AZ682),"")</f>
        <v/>
      </c>
      <c r="AX682" s="105">
        <f>IFERROR(BH682,"")</f>
        <v/>
      </c>
      <c r="AY682" s="105">
        <f>IFERROR(Driver!$K$19/Data!BH682/Data!BI682*Data!BK682*Data!BL682,"")</f>
        <v/>
      </c>
      <c r="AZ682" s="105">
        <f>IFERROR(BI682*BN682,"")</f>
        <v/>
      </c>
      <c r="BA682" s="105" t="n"/>
      <c r="BB682" s="105" t="n"/>
      <c r="BC682" s="105">
        <f>IFERROR(BI682*BN682*BK682/BJ682^(1/2),"")</f>
        <v/>
      </c>
      <c r="BD682" s="105">
        <f>IFERROR(BH682*BM682*BL682/BJ682/BK682,"")</f>
        <v/>
      </c>
      <c r="BE682" s="105">
        <f>IFERROR(MIN(BI682/BQ682/BP682/BO682/BH682,$BE$1),"")</f>
        <v/>
      </c>
      <c r="BF682" s="105">
        <f>IFERROR(BJ682*BO682*BP682/BK682,"")</f>
        <v/>
      </c>
      <c r="BG682" s="105">
        <f>IFERROR(1/BM682/BH682*BQ682,"")</f>
        <v/>
      </c>
      <c r="BH682" s="102">
        <f>MAX((CE682-Driver!$F$200)/(Driver!$G$200-Driver!$F$200)*$BI$1,1)</f>
        <v/>
      </c>
      <c r="BI682" s="102">
        <f>MAX($BI$1*(BY682-Driver!$F$201)/(Driver!$G$201-Driver!$F$201),1)</f>
        <v/>
      </c>
      <c r="BJ682" s="102">
        <f>(CB682-Driver!$F$206)/(Driver!$G$206-Driver!$F$206)*$BI$1</f>
        <v/>
      </c>
      <c r="BK682" s="102">
        <f>(CD682-Driver!$F$203)/(Driver!$G$203-Driver!$F$203)*$BI$1</f>
        <v/>
      </c>
      <c r="BL682" s="102">
        <f>MAX((CR682-Driver!$F$202)/(Driver!$G$202-Driver!$F$202)*$BI$1,1)</f>
        <v/>
      </c>
      <c r="BM682" s="102">
        <f>MAX((CH682-Driver!$F$204)/(Driver!$G$204-Driver!$F$204)*$BI$1,1)</f>
        <v/>
      </c>
      <c r="BN682" s="102">
        <f>(CI682-Driver!$F$205)/(Driver!$G$205-Driver!$F$205)*$BI$1</f>
        <v/>
      </c>
      <c r="BO682" s="102">
        <f>(CK682-Driver!$F$207)/(Driver!$G$207-Driver!$F$207)*$BI$1</f>
        <v/>
      </c>
      <c r="BP682" s="102">
        <f>(CM682-Driver!$F$208)/(Driver!$G$208-Driver!$F$208)*$BI$1</f>
        <v/>
      </c>
      <c r="BQ682" s="102">
        <f>(CL682-Driver!$F$209)/(Driver!$G$209-Driver!$F$209)*$BI$1</f>
        <v/>
      </c>
      <c r="BR682" s="40" t="inlineStr">
        <is>
          <t>21/22</t>
        </is>
      </c>
      <c r="BS682" s="10" t="inlineStr">
        <is>
          <t xml:space="preserve"> K2</t>
        </is>
      </c>
      <c r="BT682" s="11" t="inlineStr">
        <is>
          <t>Mindbender 106 C Alliance</t>
        </is>
      </c>
      <c r="BU682" s="13" t="n">
        <v>167</v>
      </c>
      <c r="BV682" s="11" t="inlineStr">
        <is>
          <t xml:space="preserve"> Women's</t>
        </is>
      </c>
      <c r="BW682" s="13" t="n">
        <v>167</v>
      </c>
      <c r="BX682" s="13" t="n">
        <v>167.8</v>
      </c>
      <c r="BY682" s="13" t="n">
        <v>104</v>
      </c>
      <c r="BZ682" s="13" t="n">
        <v>129</v>
      </c>
      <c r="CA682" s="13" t="n">
        <v>138</v>
      </c>
      <c r="CB682" s="13" t="n">
        <v>105</v>
      </c>
      <c r="CC682" s="13" t="n">
        <v>123</v>
      </c>
      <c r="CD682" s="13" t="n">
        <v>15.2</v>
      </c>
      <c r="CE682" s="13" t="n">
        <v>1686</v>
      </c>
      <c r="CF682" s="13" t="n">
        <v>1.15</v>
      </c>
      <c r="CG682" s="13" t="n">
        <v>1940</v>
      </c>
      <c r="CH682" s="13" t="n">
        <v>160</v>
      </c>
      <c r="CI682" s="13" t="n">
        <v>75</v>
      </c>
      <c r="CJ682" s="13" t="n">
        <v>46</v>
      </c>
      <c r="CK682" s="13" t="n">
        <v>379</v>
      </c>
      <c r="CL682" s="13" t="n">
        <v>22</v>
      </c>
      <c r="CM682" s="13" t="n">
        <v>255</v>
      </c>
      <c r="CN682" s="13" t="n">
        <v>0.481</v>
      </c>
      <c r="CO682" s="13" t="n">
        <v>190</v>
      </c>
      <c r="CP682" s="13" t="n">
        <v>195</v>
      </c>
      <c r="CQ682" s="13" t="n">
        <v>189</v>
      </c>
      <c r="CR682" s="13" t="n">
        <v>6</v>
      </c>
      <c r="CS682" s="13" t="n">
        <v>9.9</v>
      </c>
      <c r="CT682" s="11" t="inlineStr">
        <is>
          <t xml:space="preserve"> Powder</t>
        </is>
      </c>
      <c r="CU682" s="11" t="inlineStr">
        <is>
          <t xml:space="preserve"> Touring</t>
        </is>
      </c>
      <c r="CV682" s="13" t="n"/>
      <c r="CW682" s="13" t="n"/>
      <c r="CX682">
        <f>INDEX('Data_Price '!AG$2:AG$1266,MATCH(Data!$DN682,'Data_Price '!$AT$2:$AT$1266,0))</f>
        <v/>
      </c>
      <c r="CY682">
        <f>INDEX('Data_Price '!AH$2:AH$1266,MATCH(Data!$DN682,'Data_Price '!$AT$2:$AT$1266,0))</f>
        <v/>
      </c>
      <c r="CZ682">
        <f>INDEX('Data_Price '!AI$2:AI$1266,MATCH(Data!$DN682,'Data_Price '!$AT$2:$AT$1266,0))</f>
        <v/>
      </c>
      <c r="DA682">
        <f>INDEX('Data_Price '!AJ$2:AJ$1266,MATCH(Data!$DN682,'Data_Price '!$AT$2:$AT$1266,0))</f>
        <v/>
      </c>
      <c r="DB682">
        <f>INDEX('Data_Price '!AK$2:AK$1266,MATCH(Data!$DN682,'Data_Price '!$AT$2:$AT$1266,0))</f>
        <v/>
      </c>
      <c r="DC682">
        <f>INDEX('Data_Price '!AL$2:AL$1266,MATCH(Data!$DN682,'Data_Price '!$AT$2:$AT$1266,0))</f>
        <v/>
      </c>
      <c r="DD682">
        <f>INDEX('Data_Price '!AM$2:AM$1266,MATCH(Data!$DN682,'Data_Price '!$AT$2:$AT$1266,0))</f>
        <v/>
      </c>
      <c r="DE682">
        <f>INDEX('Data_Price '!AN$2:AN$1266,MATCH(Data!$DN682,'Data_Price '!$AT$2:$AT$1266,0))</f>
        <v/>
      </c>
      <c r="DF682">
        <f>INDEX('Data_Price '!AO$2:AO$1266,MATCH(Data!$DN682,'Data_Price '!$AT$2:$AT$1266,0))</f>
        <v/>
      </c>
      <c r="DG682">
        <f>INDEX('Data_Price '!AP$2:AP$1266,MATCH(Data!$DN682,'Data_Price '!$AT$2:$AT$1266,0))</f>
        <v/>
      </c>
      <c r="DH682">
        <f>INDEX('Data_Price '!AQ$2:AQ$1266,MATCH(Data!$DN682,'Data_Price '!$AT$2:$AT$1266,0))</f>
        <v/>
      </c>
      <c r="DI682">
        <f>INDEX('Data_Price '!AR$2:AR$1266,MATCH(Data!$DN682,'Data_Price '!$AT$2:$AT$1266,0))</f>
        <v/>
      </c>
      <c r="DJ682" s="138">
        <f>DA682</f>
        <v/>
      </c>
      <c r="DK682" s="138">
        <f>DE682</f>
        <v/>
      </c>
      <c r="DL682" s="138">
        <f>DI682</f>
        <v/>
      </c>
      <c r="DM682" s="303">
        <f>IF(LEFT(BT682,1)=" ",RIGHT(BT682,LEN(BT682)-1),BT682)</f>
        <v/>
      </c>
      <c r="DN682" s="138">
        <f>_xlfn.CONCAT(BS682,DM682,BU682,BV682)</f>
        <v/>
      </c>
      <c r="DO682" s="307" t="n"/>
    </row>
    <row r="683" ht="15.6" customHeight="1" s="184">
      <c r="B683" s="303">
        <f t="array" ref="B683">IF(OR(ISERROR(K683:P683)),FALSE,TRUE)</f>
        <v/>
      </c>
      <c r="C683" s="60">
        <f>OR(BR683=Driver!$G$50,Data!BR950=Driver!$H$50)</f>
        <v/>
      </c>
      <c r="D683" s="60">
        <f>OR(BV683=Driver!$G$51,BV683=Driver!$H$51)</f>
        <v/>
      </c>
      <c r="E683" s="60">
        <f>AND(BX683&gt;Driver!$F$54,BX683&lt;Driver!$G$54)</f>
        <v/>
      </c>
      <c r="F683" s="60">
        <f>CL683&gt;Driver!$F$56</f>
        <v/>
      </c>
      <c r="G683" s="60">
        <f>AND(CB683&gt;Driver!$F$55,CB683&lt;Driver!$G$55)</f>
        <v/>
      </c>
      <c r="H683" s="60">
        <f>AND(B683:G683)</f>
        <v/>
      </c>
      <c r="I683" s="60">
        <f>COUNTIFS($H$9:$H$1273,TRUE,$BT$9:$BT$1273,BT683)</f>
        <v/>
      </c>
      <c r="J683" s="60">
        <f t="array" ref="J683">NOT(OR(($H$9:$H$1273=TRUE)*($I$9:$I$1273&gt;0)*($BT$9:$BT$1273=BT683)*($K$9:$K$1273&gt;K683)))</f>
        <v/>
      </c>
      <c r="K683" s="108">
        <f>IFERROR(1-AVERAGE(X683:Y683),"")</f>
        <v/>
      </c>
      <c r="L683" s="108">
        <f>1-X683</f>
        <v/>
      </c>
      <c r="M683" s="108">
        <f>1-Y683</f>
        <v/>
      </c>
      <c r="N683" s="108">
        <f>1-Z683</f>
        <v/>
      </c>
      <c r="O683" s="108">
        <f>1-AA683</f>
        <v/>
      </c>
      <c r="P683" s="108">
        <f>1-AB683</f>
        <v/>
      </c>
      <c r="Q683" s="108" t="n"/>
      <c r="R683" s="108" t="n"/>
      <c r="S683" s="108">
        <f>1-AE683</f>
        <v/>
      </c>
      <c r="T683" s="108">
        <f>1-AF683</f>
        <v/>
      </c>
      <c r="U683" s="108">
        <f>1-AG683</f>
        <v/>
      </c>
      <c r="V683" s="108">
        <f>1-AH683</f>
        <v/>
      </c>
      <c r="W683" s="108">
        <f>1-AI683</f>
        <v/>
      </c>
      <c r="X683" s="108">
        <f>ABS(AJ683-AJ$1)</f>
        <v/>
      </c>
      <c r="Y683" s="108">
        <f>AVERAGE(Z683:AB683)</f>
        <v/>
      </c>
      <c r="Z683" s="108">
        <f>ABS(AL683-AL$1)</f>
        <v/>
      </c>
      <c r="AA683" s="108">
        <f>ABS(AM683-AM$1)</f>
        <v/>
      </c>
      <c r="AB683" s="108">
        <f>ABS(AN683-AN$1)</f>
        <v/>
      </c>
      <c r="AC683" s="108" t="n"/>
      <c r="AD683" s="108" t="n"/>
      <c r="AE683" s="108">
        <f>ABS(AQ$1-AQ683)</f>
        <v/>
      </c>
      <c r="AF683" s="108">
        <f>ABS(AR$1-AR683)</f>
        <v/>
      </c>
      <c r="AG683" s="108">
        <f>ABS(AS$1-AS683)</f>
        <v/>
      </c>
      <c r="AH683" s="108">
        <f>ABS(AT$1-AT683)</f>
        <v/>
      </c>
      <c r="AI683" s="108">
        <f>ABS(AU$1-AU683)</f>
        <v/>
      </c>
      <c r="AJ683" s="108">
        <f>(AV683-Driver!$K$179)/(Driver!$L$179-Driver!$K$179)</f>
        <v/>
      </c>
      <c r="AK683" s="108">
        <f>(AW683-Driver!$K$180)/(Driver!$L$180-Driver!$K$180)</f>
        <v/>
      </c>
      <c r="AL683" s="108">
        <f>(AX683-Driver!$K$181)/(Driver!$L$181-Driver!$K$181)</f>
        <v/>
      </c>
      <c r="AM683" s="108">
        <f>(AY683-Driver!$K$182)/(Driver!$L$182-Driver!$K$182)</f>
        <v/>
      </c>
      <c r="AN683" s="108">
        <f>(AZ683-Driver!$K$183)/(Driver!$L$183-Driver!$K$183)</f>
        <v/>
      </c>
      <c r="AO683" s="108" t="n"/>
      <c r="AP683" s="108" t="n"/>
      <c r="AQ683" s="108">
        <f>(BC683-Driver!$K$188)/(Driver!$L$188-Driver!$K$188)</f>
        <v/>
      </c>
      <c r="AR683" s="108">
        <f>MIN((BD683-Driver!$K$189)/(Driver!$L$189-Driver!$K$189),100%)</f>
        <v/>
      </c>
      <c r="AS683" s="108">
        <f>(BE683-Driver!$K$190)/(Driver!$L$190-Driver!$K$190)</f>
        <v/>
      </c>
      <c r="AT683" s="108">
        <f>(BF683-Driver!$K$191)/(Driver!$L$191-Driver!$K$191)</f>
        <v/>
      </c>
      <c r="AU683" s="108">
        <f>(BG683-Driver!$K$192)/(Driver!$L$192-Driver!$K$192)</f>
        <v/>
      </c>
      <c r="AV683" s="105">
        <f>IFERROR(BM683*BJ683^1/4,"")</f>
        <v/>
      </c>
      <c r="AW683" s="105">
        <f>IFERROR(SUM(AX683:AZ683),"")</f>
        <v/>
      </c>
      <c r="AX683" s="105">
        <f>IFERROR(BH683,"")</f>
        <v/>
      </c>
      <c r="AY683" s="105">
        <f>IFERROR(Driver!$K$19/Data!BH683/Data!BI683*Data!BK683*Data!BL683,"")</f>
        <v/>
      </c>
      <c r="AZ683" s="105">
        <f>IFERROR(BI683*BN683,"")</f>
        <v/>
      </c>
      <c r="BA683" s="105" t="n"/>
      <c r="BB683" s="105" t="n"/>
      <c r="BC683" s="105">
        <f>IFERROR(BI683*BN683*BK683/BJ683^(1/2),"")</f>
        <v/>
      </c>
      <c r="BD683" s="105">
        <f>IFERROR(BH683*BM683*BL683/BJ683/BK683,"")</f>
        <v/>
      </c>
      <c r="BE683" s="105">
        <f>IFERROR(MIN(BI683/BQ683/BP683/BO683/BH683,$BE$1),"")</f>
        <v/>
      </c>
      <c r="BF683" s="105">
        <f>IFERROR(BJ683*BO683*BP683/BK683,"")</f>
        <v/>
      </c>
      <c r="BG683" s="105">
        <f>IFERROR(1/BM683/BH683*BQ683,"")</f>
        <v/>
      </c>
      <c r="BH683" s="102">
        <f>MAX((CE683-Driver!$F$200)/(Driver!$G$200-Driver!$F$200)*$BI$1,1)</f>
        <v/>
      </c>
      <c r="BI683" s="102">
        <f>MAX($BI$1*(BY683-Driver!$F$201)/(Driver!$G$201-Driver!$F$201),1)</f>
        <v/>
      </c>
      <c r="BJ683" s="102">
        <f>(CB683-Driver!$F$206)/(Driver!$G$206-Driver!$F$206)*$BI$1</f>
        <v/>
      </c>
      <c r="BK683" s="102">
        <f>(CD683-Driver!$F$203)/(Driver!$G$203-Driver!$F$203)*$BI$1</f>
        <v/>
      </c>
      <c r="BL683" s="102">
        <f>MAX((CR683-Driver!$F$202)/(Driver!$G$202-Driver!$F$202)*$BI$1,1)</f>
        <v/>
      </c>
      <c r="BM683" s="102">
        <f>MAX((CH683-Driver!$F$204)/(Driver!$G$204-Driver!$F$204)*$BI$1,1)</f>
        <v/>
      </c>
      <c r="BN683" s="102">
        <f>(CI683-Driver!$F$205)/(Driver!$G$205-Driver!$F$205)*$BI$1</f>
        <v/>
      </c>
      <c r="BO683" s="102">
        <f>(CK683-Driver!$F$207)/(Driver!$G$207-Driver!$F$207)*$BI$1</f>
        <v/>
      </c>
      <c r="BP683" s="102">
        <f>(CM683-Driver!$F$208)/(Driver!$G$208-Driver!$F$208)*$BI$1</f>
        <v/>
      </c>
      <c r="BQ683" s="102">
        <f>(CL683-Driver!$F$209)/(Driver!$G$209-Driver!$F$209)*$BI$1</f>
        <v/>
      </c>
      <c r="BR683" s="40" t="inlineStr">
        <is>
          <t>21/22</t>
        </is>
      </c>
      <c r="BS683" s="10" t="inlineStr">
        <is>
          <t xml:space="preserve"> Raccoon</t>
        </is>
      </c>
      <c r="BT683" s="11" t="inlineStr">
        <is>
          <t>Chinook 108</t>
        </is>
      </c>
      <c r="BU683" s="13" t="n">
        <v>188</v>
      </c>
      <c r="BV683" s="11" t="inlineStr">
        <is>
          <t xml:space="preserve"> Unisex</t>
        </is>
      </c>
      <c r="BW683" s="13" t="n">
        <v>188</v>
      </c>
      <c r="BX683" s="13" t="n">
        <v>186.2</v>
      </c>
      <c r="BY683" s="13" t="n">
        <v>125</v>
      </c>
      <c r="BZ683" s="13" t="n">
        <v>154</v>
      </c>
      <c r="CA683" s="13" t="n">
        <v>138</v>
      </c>
      <c r="CB683" s="13" t="n">
        <v>108</v>
      </c>
      <c r="CC683" s="13" t="n">
        <v>128</v>
      </c>
      <c r="CD683" s="13" t="n">
        <v>20.8</v>
      </c>
      <c r="CE683" s="13" t="n">
        <v>1682</v>
      </c>
      <c r="CF683" s="13" t="n">
        <v>1.31</v>
      </c>
      <c r="CG683" s="13" t="n">
        <v>2205</v>
      </c>
      <c r="CH683" s="13" t="n">
        <v>218</v>
      </c>
      <c r="CI683" s="13" t="n">
        <v>57</v>
      </c>
      <c r="CJ683" s="13" t="n">
        <v>71</v>
      </c>
      <c r="CK683" s="13" t="n">
        <v>381</v>
      </c>
      <c r="CL683" s="13" t="n">
        <v>30</v>
      </c>
      <c r="CM683" s="13" t="n">
        <v>228</v>
      </c>
      <c r="CN683" s="13" t="n">
        <v>0.418</v>
      </c>
      <c r="CO683" s="13" t="n">
        <v>175</v>
      </c>
      <c r="CP683" s="13" t="n">
        <v>142</v>
      </c>
      <c r="CQ683" s="13" t="n">
        <v>206</v>
      </c>
      <c r="CR683" s="13" t="n">
        <v>5</v>
      </c>
      <c r="CS683" s="13" t="n">
        <v>11.8</v>
      </c>
      <c r="CT683" s="11" t="inlineStr">
        <is>
          <t xml:space="preserve"> Powder</t>
        </is>
      </c>
      <c r="CU683" s="11" t="inlineStr">
        <is>
          <t xml:space="preserve"> Touring</t>
        </is>
      </c>
      <c r="CV683" s="11" t="inlineStr">
        <is>
          <t xml:space="preserve"> Ultralight Touring</t>
        </is>
      </c>
      <c r="CW683" s="13" t="n"/>
      <c r="CX683">
        <f>INDEX('Data_Price '!AG$2:AG$1266,MATCH(Data!$DN683,'Data_Price '!$AT$2:$AT$1266,0))</f>
        <v/>
      </c>
      <c r="CY683">
        <f>INDEX('Data_Price '!AH$2:AH$1266,MATCH(Data!$DN683,'Data_Price '!$AT$2:$AT$1266,0))</f>
        <v/>
      </c>
      <c r="CZ683">
        <f>INDEX('Data_Price '!AI$2:AI$1266,MATCH(Data!$DN683,'Data_Price '!$AT$2:$AT$1266,0))</f>
        <v/>
      </c>
      <c r="DA683">
        <f>INDEX('Data_Price '!AJ$2:AJ$1266,MATCH(Data!$DN683,'Data_Price '!$AT$2:$AT$1266,0))</f>
        <v/>
      </c>
      <c r="DB683">
        <f>INDEX('Data_Price '!AK$2:AK$1266,MATCH(Data!$DN683,'Data_Price '!$AT$2:$AT$1266,0))</f>
        <v/>
      </c>
      <c r="DC683">
        <f>INDEX('Data_Price '!AL$2:AL$1266,MATCH(Data!$DN683,'Data_Price '!$AT$2:$AT$1266,0))</f>
        <v/>
      </c>
      <c r="DD683">
        <f>INDEX('Data_Price '!AM$2:AM$1266,MATCH(Data!$DN683,'Data_Price '!$AT$2:$AT$1266,0))</f>
        <v/>
      </c>
      <c r="DE683">
        <f>INDEX('Data_Price '!AN$2:AN$1266,MATCH(Data!$DN683,'Data_Price '!$AT$2:$AT$1266,0))</f>
        <v/>
      </c>
      <c r="DF683">
        <f>INDEX('Data_Price '!AO$2:AO$1266,MATCH(Data!$DN683,'Data_Price '!$AT$2:$AT$1266,0))</f>
        <v/>
      </c>
      <c r="DG683">
        <f>INDEX('Data_Price '!AP$2:AP$1266,MATCH(Data!$DN683,'Data_Price '!$AT$2:$AT$1266,0))</f>
        <v/>
      </c>
      <c r="DH683">
        <f>INDEX('Data_Price '!AQ$2:AQ$1266,MATCH(Data!$DN683,'Data_Price '!$AT$2:$AT$1266,0))</f>
        <v/>
      </c>
      <c r="DI683">
        <f>INDEX('Data_Price '!AR$2:AR$1266,MATCH(Data!$DN683,'Data_Price '!$AT$2:$AT$1266,0))</f>
        <v/>
      </c>
      <c r="DJ683" s="138">
        <f>DA683</f>
        <v/>
      </c>
      <c r="DK683" s="138">
        <f>DE683</f>
        <v/>
      </c>
      <c r="DL683" s="138">
        <f>DI683</f>
        <v/>
      </c>
      <c r="DM683" s="303">
        <f>IF(LEFT(BT683,1)=" ",RIGHT(BT683,LEN(BT683)-1),BT683)</f>
        <v/>
      </c>
      <c r="DN683" s="138">
        <f>_xlfn.CONCAT(BS683,DM683,BU683,BV683)</f>
        <v/>
      </c>
      <c r="DO683" s="307" t="n"/>
    </row>
    <row r="684" ht="15.6" customHeight="1" s="184">
      <c r="B684" s="303">
        <f t="array" ref="B684">IF(OR(ISERROR(K684:P684)),FALSE,TRUE)</f>
        <v/>
      </c>
      <c r="C684" s="60">
        <f>OR(BR684=Driver!$G$50,Data!BR1195=Driver!$H$50)</f>
        <v/>
      </c>
      <c r="D684" s="60">
        <f>OR(BV684=Driver!$G$51,BV684=Driver!$H$51)</f>
        <v/>
      </c>
      <c r="E684" s="60">
        <f>AND(BX684&gt;Driver!$F$54,BX684&lt;Driver!$G$54)</f>
        <v/>
      </c>
      <c r="F684" s="60">
        <f>CL684&gt;Driver!$F$56</f>
        <v/>
      </c>
      <c r="G684" s="60">
        <f>AND(CB684&gt;Driver!$F$55,CB684&lt;Driver!$G$55)</f>
        <v/>
      </c>
      <c r="H684" s="60">
        <f>AND(B684:G684)</f>
        <v/>
      </c>
      <c r="I684" s="60">
        <f>COUNTIFS($H$9:$H$1273,TRUE,$BT$9:$BT$1273,BT684)</f>
        <v/>
      </c>
      <c r="J684" s="60">
        <f t="array" ref="J684">NOT(OR(($H$9:$H$1273=TRUE)*($I$9:$I$1273&gt;0)*($BT$9:$BT$1273=BT684)*($K$9:$K$1273&gt;K684)))</f>
        <v/>
      </c>
      <c r="K684" s="108">
        <f>IFERROR(1-AVERAGE(X684:Y684),"")</f>
        <v/>
      </c>
      <c r="L684" s="108">
        <f>1-X684</f>
        <v/>
      </c>
      <c r="M684" s="108">
        <f>1-Y684</f>
        <v/>
      </c>
      <c r="N684" s="108">
        <f>1-Z684</f>
        <v/>
      </c>
      <c r="O684" s="108">
        <f>1-AA684</f>
        <v/>
      </c>
      <c r="P684" s="108">
        <f>1-AB684</f>
        <v/>
      </c>
      <c r="Q684" s="108" t="n"/>
      <c r="R684" s="108" t="n"/>
      <c r="S684" s="108">
        <f>1-AE684</f>
        <v/>
      </c>
      <c r="T684" s="108">
        <f>1-AF684</f>
        <v/>
      </c>
      <c r="U684" s="108">
        <f>1-AG684</f>
        <v/>
      </c>
      <c r="V684" s="108">
        <f>1-AH684</f>
        <v/>
      </c>
      <c r="W684" s="108">
        <f>1-AI684</f>
        <v/>
      </c>
      <c r="X684" s="108">
        <f>ABS(AJ684-AJ$1)</f>
        <v/>
      </c>
      <c r="Y684" s="108">
        <f>AVERAGE(Z684:AB684)</f>
        <v/>
      </c>
      <c r="Z684" s="108">
        <f>ABS(AL684-AL$1)</f>
        <v/>
      </c>
      <c r="AA684" s="108">
        <f>ABS(AM684-AM$1)</f>
        <v/>
      </c>
      <c r="AB684" s="108">
        <f>ABS(AN684-AN$1)</f>
        <v/>
      </c>
      <c r="AC684" s="108" t="n"/>
      <c r="AD684" s="108" t="n"/>
      <c r="AE684" s="108">
        <f>ABS(AQ$1-AQ684)</f>
        <v/>
      </c>
      <c r="AF684" s="108">
        <f>ABS(AR$1-AR684)</f>
        <v/>
      </c>
      <c r="AG684" s="108">
        <f>ABS(AS$1-AS684)</f>
        <v/>
      </c>
      <c r="AH684" s="108">
        <f>ABS(AT$1-AT684)</f>
        <v/>
      </c>
      <c r="AI684" s="108">
        <f>ABS(AU$1-AU684)</f>
        <v/>
      </c>
      <c r="AJ684" s="108">
        <f>(AV684-Driver!$K$179)/(Driver!$L$179-Driver!$K$179)</f>
        <v/>
      </c>
      <c r="AK684" s="108">
        <f>(AW684-Driver!$K$180)/(Driver!$L$180-Driver!$K$180)</f>
        <v/>
      </c>
      <c r="AL684" s="108">
        <f>(AX684-Driver!$K$181)/(Driver!$L$181-Driver!$K$181)</f>
        <v/>
      </c>
      <c r="AM684" s="108">
        <f>(AY684-Driver!$K$182)/(Driver!$L$182-Driver!$K$182)</f>
        <v/>
      </c>
      <c r="AN684" s="108">
        <f>(AZ684-Driver!$K$183)/(Driver!$L$183-Driver!$K$183)</f>
        <v/>
      </c>
      <c r="AO684" s="108" t="n"/>
      <c r="AP684" s="108" t="n"/>
      <c r="AQ684" s="108">
        <f>(BC684-Driver!$K$188)/(Driver!$L$188-Driver!$K$188)</f>
        <v/>
      </c>
      <c r="AR684" s="108">
        <f>MIN((BD684-Driver!$K$189)/(Driver!$L$189-Driver!$K$189),100%)</f>
        <v/>
      </c>
      <c r="AS684" s="108">
        <f>(BE684-Driver!$K$190)/(Driver!$L$190-Driver!$K$190)</f>
        <v/>
      </c>
      <c r="AT684" s="108">
        <f>(BF684-Driver!$K$191)/(Driver!$L$191-Driver!$K$191)</f>
        <v/>
      </c>
      <c r="AU684" s="108">
        <f>(BG684-Driver!$K$192)/(Driver!$L$192-Driver!$K$192)</f>
        <v/>
      </c>
      <c r="AV684" s="105">
        <f>IFERROR(BM684*BJ684^1/4,"")</f>
        <v/>
      </c>
      <c r="AW684" s="105">
        <f>IFERROR(SUM(AX684:AZ684),"")</f>
        <v/>
      </c>
      <c r="AX684" s="105">
        <f>IFERROR(BH684,"")</f>
        <v/>
      </c>
      <c r="AY684" s="105">
        <f>IFERROR(Driver!$K$19/Data!BH684/Data!BI684*Data!BK684*Data!BL684,"")</f>
        <v/>
      </c>
      <c r="AZ684" s="105">
        <f>IFERROR(BI684*BN684,"")</f>
        <v/>
      </c>
      <c r="BA684" s="105" t="n"/>
      <c r="BB684" s="105" t="n"/>
      <c r="BC684" s="105">
        <f>IFERROR(BI684*BN684*BK684/BJ684^(1/2),"")</f>
        <v/>
      </c>
      <c r="BD684" s="105">
        <f>IFERROR(BH684*BM684*BL684/BJ684/BK684,"")</f>
        <v/>
      </c>
      <c r="BE684" s="105">
        <f>IFERROR(MIN(BI684/BQ684/BP684/BO684/BH684,$BE$1),"")</f>
        <v/>
      </c>
      <c r="BF684" s="105">
        <f>IFERROR(BJ684*BO684*BP684/BK684,"")</f>
        <v/>
      </c>
      <c r="BG684" s="105">
        <f>IFERROR(1/BM684/BH684*BQ684,"")</f>
        <v/>
      </c>
      <c r="BH684" s="102">
        <f>MAX((CE684-Driver!$F$200)/(Driver!$G$200-Driver!$F$200)*$BI$1,1)</f>
        <v/>
      </c>
      <c r="BI684" s="102">
        <f>MAX($BI$1*(BY684-Driver!$F$201)/(Driver!$G$201-Driver!$F$201),1)</f>
        <v/>
      </c>
      <c r="BJ684" s="102">
        <f>(CB684-Driver!$F$206)/(Driver!$G$206-Driver!$F$206)*$BI$1</f>
        <v/>
      </c>
      <c r="BK684" s="102">
        <f>(CD684-Driver!$F$203)/(Driver!$G$203-Driver!$F$203)*$BI$1</f>
        <v/>
      </c>
      <c r="BL684" s="102">
        <f>MAX((CR684-Driver!$F$202)/(Driver!$G$202-Driver!$F$202)*$BI$1,1)</f>
        <v/>
      </c>
      <c r="BM684" s="102">
        <f>MAX((CH684-Driver!$F$204)/(Driver!$G$204-Driver!$F$204)*$BI$1,1)</f>
        <v/>
      </c>
      <c r="BN684" s="102">
        <f>(CI684-Driver!$F$205)/(Driver!$G$205-Driver!$F$205)*$BI$1</f>
        <v/>
      </c>
      <c r="BO684" s="102">
        <f>(CK684-Driver!$F$207)/(Driver!$G$207-Driver!$F$207)*$BI$1</f>
        <v/>
      </c>
      <c r="BP684" s="102">
        <f>(CM684-Driver!$F$208)/(Driver!$G$208-Driver!$F$208)*$BI$1</f>
        <v/>
      </c>
      <c r="BQ684" s="102">
        <f>(CL684-Driver!$F$209)/(Driver!$G$209-Driver!$F$209)*$BI$1</f>
        <v/>
      </c>
      <c r="BR684" s="40" t="inlineStr">
        <is>
          <t>21/22</t>
        </is>
      </c>
      <c r="BS684" s="10" t="inlineStr">
        <is>
          <t xml:space="preserve"> Völkl</t>
        </is>
      </c>
      <c r="BT684" s="11" t="inlineStr">
        <is>
          <t>Flair 79</t>
        </is>
      </c>
      <c r="BU684" s="13" t="n">
        <v>163</v>
      </c>
      <c r="BV684" s="11" t="inlineStr">
        <is>
          <t xml:space="preserve"> Women's</t>
        </is>
      </c>
      <c r="BW684" s="13" t="n">
        <v>163</v>
      </c>
      <c r="BX684" s="13" t="n">
        <v>162.1</v>
      </c>
      <c r="BY684" s="13" t="n">
        <v>131</v>
      </c>
      <c r="BZ684" s="13" t="n">
        <v>150</v>
      </c>
      <c r="CA684" s="13" t="n">
        <v>128</v>
      </c>
      <c r="CB684" s="13" t="n">
        <v>79</v>
      </c>
      <c r="CC684" s="13" t="n">
        <v>109</v>
      </c>
      <c r="CD684" s="13" t="n">
        <v>14.1</v>
      </c>
      <c r="CE684" s="13" t="n">
        <v>1630</v>
      </c>
      <c r="CF684" s="13" t="n">
        <v>0.93</v>
      </c>
      <c r="CG684" s="13" t="n">
        <v>1512</v>
      </c>
      <c r="CH684" s="13" t="n">
        <v>172</v>
      </c>
      <c r="CI684" s="13" t="n">
        <v>70</v>
      </c>
      <c r="CJ684" s="13" t="n">
        <v>37</v>
      </c>
      <c r="CK684" s="13" t="n">
        <v>188</v>
      </c>
      <c r="CL684" s="13" t="n">
        <v>6</v>
      </c>
      <c r="CM684" s="13" t="n">
        <v>118</v>
      </c>
      <c r="CN684" s="13" t="n">
        <v>0.173</v>
      </c>
      <c r="CO684" s="13" t="n">
        <v>72</v>
      </c>
      <c r="CP684" s="13" t="n">
        <v>49</v>
      </c>
      <c r="CQ684" s="13" t="n">
        <v>116</v>
      </c>
      <c r="CR684" s="13" t="n">
        <v>5</v>
      </c>
      <c r="CS684" s="13" t="n">
        <v>10.9</v>
      </c>
      <c r="CT684" s="11" t="inlineStr">
        <is>
          <t xml:space="preserve"> Other</t>
        </is>
      </c>
      <c r="CU684" s="13" t="n"/>
      <c r="CV684" s="13" t="n"/>
      <c r="CW684" s="13" t="n"/>
      <c r="CX684">
        <f>INDEX('Data_Price '!AG$2:AG$1266,MATCH(Data!$DN684,'Data_Price '!$AT$2:$AT$1266,0))</f>
        <v/>
      </c>
      <c r="CY684">
        <f>INDEX('Data_Price '!AH$2:AH$1266,MATCH(Data!$DN684,'Data_Price '!$AT$2:$AT$1266,0))</f>
        <v/>
      </c>
      <c r="CZ684">
        <f>INDEX('Data_Price '!AI$2:AI$1266,MATCH(Data!$DN684,'Data_Price '!$AT$2:$AT$1266,0))</f>
        <v/>
      </c>
      <c r="DA684">
        <f>INDEX('Data_Price '!AJ$2:AJ$1266,MATCH(Data!$DN684,'Data_Price '!$AT$2:$AT$1266,0))</f>
        <v/>
      </c>
      <c r="DB684">
        <f>INDEX('Data_Price '!AK$2:AK$1266,MATCH(Data!$DN684,'Data_Price '!$AT$2:$AT$1266,0))</f>
        <v/>
      </c>
      <c r="DC684">
        <f>INDEX('Data_Price '!AL$2:AL$1266,MATCH(Data!$DN684,'Data_Price '!$AT$2:$AT$1266,0))</f>
        <v/>
      </c>
      <c r="DD684">
        <f>INDEX('Data_Price '!AM$2:AM$1266,MATCH(Data!$DN684,'Data_Price '!$AT$2:$AT$1266,0))</f>
        <v/>
      </c>
      <c r="DE684">
        <f>INDEX('Data_Price '!AN$2:AN$1266,MATCH(Data!$DN684,'Data_Price '!$AT$2:$AT$1266,0))</f>
        <v/>
      </c>
      <c r="DF684">
        <f>INDEX('Data_Price '!AO$2:AO$1266,MATCH(Data!$DN684,'Data_Price '!$AT$2:$AT$1266,0))</f>
        <v/>
      </c>
      <c r="DG684">
        <f>INDEX('Data_Price '!AP$2:AP$1266,MATCH(Data!$DN684,'Data_Price '!$AT$2:$AT$1266,0))</f>
        <v/>
      </c>
      <c r="DH684">
        <f>INDEX('Data_Price '!AQ$2:AQ$1266,MATCH(Data!$DN684,'Data_Price '!$AT$2:$AT$1266,0))</f>
        <v/>
      </c>
      <c r="DI684">
        <f>INDEX('Data_Price '!AR$2:AR$1266,MATCH(Data!$DN684,'Data_Price '!$AT$2:$AT$1266,0))</f>
        <v/>
      </c>
      <c r="DJ684" s="138">
        <f>DA684</f>
        <v/>
      </c>
      <c r="DK684" s="138">
        <f>DE684</f>
        <v/>
      </c>
      <c r="DL684" s="138">
        <f>DI684</f>
        <v/>
      </c>
      <c r="DM684" s="303">
        <f>IF(LEFT(BT684,1)=" ",RIGHT(BT684,LEN(BT684)-1),BT684)</f>
        <v/>
      </c>
      <c r="DN684" s="138">
        <f>_xlfn.CONCAT(BS684,DM684,BU684,BV684)</f>
        <v/>
      </c>
      <c r="DO684" s="307" t="n"/>
    </row>
    <row r="685" ht="15.6" customHeight="1" s="184">
      <c r="B685" s="303">
        <f t="array" ref="B685">IF(OR(ISERROR(K685:P685)),FALSE,TRUE)</f>
        <v/>
      </c>
      <c r="C685" s="60">
        <f>OR(BR685=Driver!$G$50,Data!BR1211=Driver!$H$50)</f>
        <v/>
      </c>
      <c r="D685" s="60">
        <f>OR(BV685=Driver!$G$51,BV685=Driver!$H$51)</f>
        <v/>
      </c>
      <c r="E685" s="60">
        <f>AND(BX685&gt;Driver!$F$54,BX685&lt;Driver!$G$54)</f>
        <v/>
      </c>
      <c r="F685" s="60">
        <f>CL685&gt;Driver!$F$56</f>
        <v/>
      </c>
      <c r="G685" s="60">
        <f>AND(CB685&gt;Driver!$F$55,CB685&lt;Driver!$G$55)</f>
        <v/>
      </c>
      <c r="H685" s="60">
        <f>AND(B685:G685)</f>
        <v/>
      </c>
      <c r="I685" s="60">
        <f>COUNTIFS($H$9:$H$1273,TRUE,$BT$9:$BT$1273,BT685)</f>
        <v/>
      </c>
      <c r="J685" s="60">
        <f t="array" ref="J685">NOT(OR(($H$9:$H$1273=TRUE)*($I$9:$I$1273&gt;0)*($BT$9:$BT$1273=BT685)*($K$9:$K$1273&gt;K685)))</f>
        <v/>
      </c>
      <c r="K685" s="108">
        <f>IFERROR(1-AVERAGE(X685:Y685),"")</f>
        <v/>
      </c>
      <c r="L685" s="108">
        <f>1-X685</f>
        <v/>
      </c>
      <c r="M685" s="108">
        <f>1-Y685</f>
        <v/>
      </c>
      <c r="N685" s="108">
        <f>1-Z685</f>
        <v/>
      </c>
      <c r="O685" s="108">
        <f>1-AA685</f>
        <v/>
      </c>
      <c r="P685" s="108">
        <f>1-AB685</f>
        <v/>
      </c>
      <c r="Q685" s="108" t="n"/>
      <c r="R685" s="108" t="n"/>
      <c r="S685" s="108">
        <f>1-AE685</f>
        <v/>
      </c>
      <c r="T685" s="108">
        <f>1-AF685</f>
        <v/>
      </c>
      <c r="U685" s="108">
        <f>1-AG685</f>
        <v/>
      </c>
      <c r="V685" s="108">
        <f>1-AH685</f>
        <v/>
      </c>
      <c r="W685" s="108">
        <f>1-AI685</f>
        <v/>
      </c>
      <c r="X685" s="108">
        <f>ABS(AJ685-AJ$1)</f>
        <v/>
      </c>
      <c r="Y685" s="108">
        <f>AVERAGE(Z685:AB685)</f>
        <v/>
      </c>
      <c r="Z685" s="108">
        <f>ABS(AL685-AL$1)</f>
        <v/>
      </c>
      <c r="AA685" s="108">
        <f>ABS(AM685-AM$1)</f>
        <v/>
      </c>
      <c r="AB685" s="108">
        <f>ABS(AN685-AN$1)</f>
        <v/>
      </c>
      <c r="AC685" s="108" t="n"/>
      <c r="AD685" s="108" t="n"/>
      <c r="AE685" s="108">
        <f>ABS(AQ$1-AQ685)</f>
        <v/>
      </c>
      <c r="AF685" s="108">
        <f>ABS(AR$1-AR685)</f>
        <v/>
      </c>
      <c r="AG685" s="108">
        <f>ABS(AS$1-AS685)</f>
        <v/>
      </c>
      <c r="AH685" s="108">
        <f>ABS(AT$1-AT685)</f>
        <v/>
      </c>
      <c r="AI685" s="108">
        <f>ABS(AU$1-AU685)</f>
        <v/>
      </c>
      <c r="AJ685" s="108">
        <f>(AV685-Driver!$K$179)/(Driver!$L$179-Driver!$K$179)</f>
        <v/>
      </c>
      <c r="AK685" s="108">
        <f>(AW685-Driver!$K$180)/(Driver!$L$180-Driver!$K$180)</f>
        <v/>
      </c>
      <c r="AL685" s="108">
        <f>(AX685-Driver!$K$181)/(Driver!$L$181-Driver!$K$181)</f>
        <v/>
      </c>
      <c r="AM685" s="108">
        <f>(AY685-Driver!$K$182)/(Driver!$L$182-Driver!$K$182)</f>
        <v/>
      </c>
      <c r="AN685" s="108">
        <f>(AZ685-Driver!$K$183)/(Driver!$L$183-Driver!$K$183)</f>
        <v/>
      </c>
      <c r="AO685" s="108" t="n"/>
      <c r="AP685" s="108" t="n"/>
      <c r="AQ685" s="108">
        <f>(BC685-Driver!$K$188)/(Driver!$L$188-Driver!$K$188)</f>
        <v/>
      </c>
      <c r="AR685" s="108">
        <f>MIN((BD685-Driver!$K$189)/(Driver!$L$189-Driver!$K$189),100%)</f>
        <v/>
      </c>
      <c r="AS685" s="108">
        <f>(BE685-Driver!$K$190)/(Driver!$L$190-Driver!$K$190)</f>
        <v/>
      </c>
      <c r="AT685" s="108">
        <f>(BF685-Driver!$K$191)/(Driver!$L$191-Driver!$K$191)</f>
        <v/>
      </c>
      <c r="AU685" s="108">
        <f>(BG685-Driver!$K$192)/(Driver!$L$192-Driver!$K$192)</f>
        <v/>
      </c>
      <c r="AV685" s="105">
        <f>IFERROR(BM685*BJ685^1/4,"")</f>
        <v/>
      </c>
      <c r="AW685" s="105">
        <f>IFERROR(SUM(AX685:AZ685),"")</f>
        <v/>
      </c>
      <c r="AX685" s="105">
        <f>IFERROR(BH685,"")</f>
        <v/>
      </c>
      <c r="AY685" s="105">
        <f>IFERROR(Driver!$K$19/Data!BH685/Data!BI685*Data!BK685*Data!BL685,"")</f>
        <v/>
      </c>
      <c r="AZ685" s="105">
        <f>IFERROR(BI685*BN685,"")</f>
        <v/>
      </c>
      <c r="BA685" s="105" t="n"/>
      <c r="BB685" s="105" t="n"/>
      <c r="BC685" s="105">
        <f>IFERROR(BI685*BN685*BK685/BJ685^(1/2),"")</f>
        <v/>
      </c>
      <c r="BD685" s="105">
        <f>IFERROR(BH685*BM685*BL685/BJ685/BK685,"")</f>
        <v/>
      </c>
      <c r="BE685" s="105">
        <f>IFERROR(MIN(BI685/BQ685/BP685/BO685/BH685,$BE$1),"")</f>
        <v/>
      </c>
      <c r="BF685" s="105">
        <f>IFERROR(BJ685*BO685*BP685/BK685,"")</f>
        <v/>
      </c>
      <c r="BG685" s="105">
        <f>IFERROR(1/BM685/BH685*BQ685,"")</f>
        <v/>
      </c>
      <c r="BH685" s="102">
        <f>MAX((CE685-Driver!$F$200)/(Driver!$G$200-Driver!$F$200)*$BI$1,1)</f>
        <v/>
      </c>
      <c r="BI685" s="102">
        <f>MAX($BI$1*(BY685-Driver!$F$201)/(Driver!$G$201-Driver!$F$201),1)</f>
        <v/>
      </c>
      <c r="BJ685" s="102">
        <f>(CB685-Driver!$F$206)/(Driver!$G$206-Driver!$F$206)*$BI$1</f>
        <v/>
      </c>
      <c r="BK685" s="102">
        <f>(CD685-Driver!$F$203)/(Driver!$G$203-Driver!$F$203)*$BI$1</f>
        <v/>
      </c>
      <c r="BL685" s="102">
        <f>MAX((CR685-Driver!$F$202)/(Driver!$G$202-Driver!$F$202)*$BI$1,1)</f>
        <v/>
      </c>
      <c r="BM685" s="102">
        <f>MAX((CH685-Driver!$F$204)/(Driver!$G$204-Driver!$F$204)*$BI$1,1)</f>
        <v/>
      </c>
      <c r="BN685" s="102">
        <f>(CI685-Driver!$F$205)/(Driver!$G$205-Driver!$F$205)*$BI$1</f>
        <v/>
      </c>
      <c r="BO685" s="102">
        <f>(CK685-Driver!$F$207)/(Driver!$G$207-Driver!$F$207)*$BI$1</f>
        <v/>
      </c>
      <c r="BP685" s="102">
        <f>(CM685-Driver!$F$208)/(Driver!$G$208-Driver!$F$208)*$BI$1</f>
        <v/>
      </c>
      <c r="BQ685" s="102">
        <f>(CL685-Driver!$F$209)/(Driver!$G$209-Driver!$F$209)*$BI$1</f>
        <v/>
      </c>
      <c r="BR685" s="40" t="inlineStr">
        <is>
          <t>21/22</t>
        </is>
      </c>
      <c r="BS685" s="10" t="inlineStr">
        <is>
          <t xml:space="preserve"> Völkl</t>
        </is>
      </c>
      <c r="BT685" s="11" t="inlineStr">
        <is>
          <t>Kendo 88</t>
        </is>
      </c>
      <c r="BU685" s="13" t="n">
        <v>184</v>
      </c>
      <c r="BV685" s="11" t="inlineStr">
        <is>
          <t xml:space="preserve"> Unisex</t>
        </is>
      </c>
      <c r="BW685" s="13" t="n">
        <v>184</v>
      </c>
      <c r="BX685" s="13" t="n">
        <v>183.4</v>
      </c>
      <c r="BY685" s="13" t="n">
        <v>118</v>
      </c>
      <c r="BZ685" s="13" t="n">
        <v>160</v>
      </c>
      <c r="CA685" s="13" t="n">
        <v>128</v>
      </c>
      <c r="CB685" s="13" t="n">
        <v>87</v>
      </c>
      <c r="CC685" s="13" t="n">
        <v>110</v>
      </c>
      <c r="CD685" s="13" t="n">
        <v>19.1</v>
      </c>
      <c r="CE685" s="13" t="n">
        <v>1939</v>
      </c>
      <c r="CF685" s="13" t="n">
        <v>0.95</v>
      </c>
      <c r="CG685" s="13" t="n">
        <v>1837</v>
      </c>
      <c r="CH685" s="13" t="n">
        <v>209</v>
      </c>
      <c r="CI685" s="13" t="n">
        <v>128</v>
      </c>
      <c r="CJ685" s="13" t="n">
        <v>44</v>
      </c>
      <c r="CK685" s="13" t="n">
        <v>333</v>
      </c>
      <c r="CL685" s="13" t="n">
        <v>18</v>
      </c>
      <c r="CM685" s="13" t="n">
        <v>318</v>
      </c>
      <c r="CN685" s="13" t="n">
        <v>0.406</v>
      </c>
      <c r="CO685" s="13" t="n">
        <v>127</v>
      </c>
      <c r="CP685" s="13" t="n">
        <v>103</v>
      </c>
      <c r="CQ685" s="13" t="n">
        <v>206</v>
      </c>
      <c r="CR685" s="13" t="n">
        <v>3</v>
      </c>
      <c r="CS685" s="13" t="n">
        <v>11.7</v>
      </c>
      <c r="CT685" s="11" t="inlineStr">
        <is>
          <t xml:space="preserve"> Resort Freeride</t>
        </is>
      </c>
      <c r="CU685" s="13" t="n"/>
      <c r="CV685" s="13" t="n"/>
      <c r="CW685" s="13" t="n"/>
      <c r="CX685">
        <f>INDEX('Data_Price '!AG$2:AG$1266,MATCH(Data!$DN685,'Data_Price '!$AT$2:$AT$1266,0))</f>
        <v/>
      </c>
      <c r="CY685">
        <f>INDEX('Data_Price '!AH$2:AH$1266,MATCH(Data!$DN685,'Data_Price '!$AT$2:$AT$1266,0))</f>
        <v/>
      </c>
      <c r="CZ685">
        <f>INDEX('Data_Price '!AI$2:AI$1266,MATCH(Data!$DN685,'Data_Price '!$AT$2:$AT$1266,0))</f>
        <v/>
      </c>
      <c r="DA685">
        <f>INDEX('Data_Price '!AJ$2:AJ$1266,MATCH(Data!$DN685,'Data_Price '!$AT$2:$AT$1266,0))</f>
        <v/>
      </c>
      <c r="DB685">
        <f>INDEX('Data_Price '!AK$2:AK$1266,MATCH(Data!$DN685,'Data_Price '!$AT$2:$AT$1266,0))</f>
        <v/>
      </c>
      <c r="DC685">
        <f>INDEX('Data_Price '!AL$2:AL$1266,MATCH(Data!$DN685,'Data_Price '!$AT$2:$AT$1266,0))</f>
        <v/>
      </c>
      <c r="DD685">
        <f>INDEX('Data_Price '!AM$2:AM$1266,MATCH(Data!$DN685,'Data_Price '!$AT$2:$AT$1266,0))</f>
        <v/>
      </c>
      <c r="DE685">
        <f>INDEX('Data_Price '!AN$2:AN$1266,MATCH(Data!$DN685,'Data_Price '!$AT$2:$AT$1266,0))</f>
        <v/>
      </c>
      <c r="DF685">
        <f>INDEX('Data_Price '!AO$2:AO$1266,MATCH(Data!$DN685,'Data_Price '!$AT$2:$AT$1266,0))</f>
        <v/>
      </c>
      <c r="DG685">
        <f>INDEX('Data_Price '!AP$2:AP$1266,MATCH(Data!$DN685,'Data_Price '!$AT$2:$AT$1266,0))</f>
        <v/>
      </c>
      <c r="DH685">
        <f>INDEX('Data_Price '!AQ$2:AQ$1266,MATCH(Data!$DN685,'Data_Price '!$AT$2:$AT$1266,0))</f>
        <v/>
      </c>
      <c r="DI685">
        <f>INDEX('Data_Price '!AR$2:AR$1266,MATCH(Data!$DN685,'Data_Price '!$AT$2:$AT$1266,0))</f>
        <v/>
      </c>
      <c r="DJ685" s="138">
        <f>DA685</f>
        <v/>
      </c>
      <c r="DK685" s="138">
        <f>DE685</f>
        <v/>
      </c>
      <c r="DL685" s="138">
        <f>DI685</f>
        <v/>
      </c>
      <c r="DM685" s="303">
        <f>IF(LEFT(BT685,1)=" ",RIGHT(BT685,LEN(BT685)-1),BT685)</f>
        <v/>
      </c>
      <c r="DN685" s="138">
        <f>_xlfn.CONCAT(BS685,DM685,BU685,BV685)</f>
        <v/>
      </c>
      <c r="DO685" s="307" t="n"/>
    </row>
    <row r="686" ht="15.6" customHeight="1" s="184">
      <c r="B686" s="303">
        <f t="array" ref="B686">IF(OR(ISERROR(K686:P686)),FALSE,TRUE)</f>
        <v/>
      </c>
      <c r="C686" s="60">
        <f>OR(BR686=Driver!$G$50,Data!BR528=Driver!$H$50)</f>
        <v/>
      </c>
      <c r="D686" s="60">
        <f>OR(BV686=Driver!$G$51,BV686=Driver!$H$51)</f>
        <v/>
      </c>
      <c r="E686" s="60">
        <f>AND(BX686&gt;Driver!$F$54,BX686&lt;Driver!$G$54)</f>
        <v/>
      </c>
      <c r="F686" s="60">
        <f>CL686&gt;Driver!$F$56</f>
        <v/>
      </c>
      <c r="G686" s="60">
        <f>AND(CB686&gt;Driver!$F$55,CB686&lt;Driver!$G$55)</f>
        <v/>
      </c>
      <c r="H686" s="60">
        <f>AND(B686:G686)</f>
        <v/>
      </c>
      <c r="I686" s="60">
        <f>COUNTIFS($H$9:$H$1273,TRUE,$BT$9:$BT$1273,BT686)</f>
        <v/>
      </c>
      <c r="J686" s="60">
        <f t="array" ref="J686">NOT(OR(($H$9:$H$1273=TRUE)*($I$9:$I$1273&gt;0)*($BT$9:$BT$1273=BT686)*($K$9:$K$1273&gt;K686)))</f>
        <v/>
      </c>
      <c r="K686" s="108">
        <f>IFERROR(1-AVERAGE(X686:Y686),"")</f>
        <v/>
      </c>
      <c r="L686" s="108">
        <f>1-X686</f>
        <v/>
      </c>
      <c r="M686" s="108">
        <f>1-Y686</f>
        <v/>
      </c>
      <c r="N686" s="108">
        <f>1-Z686</f>
        <v/>
      </c>
      <c r="O686" s="108">
        <f>1-AA686</f>
        <v/>
      </c>
      <c r="P686" s="108">
        <f>1-AB686</f>
        <v/>
      </c>
      <c r="Q686" s="108" t="n"/>
      <c r="R686" s="108" t="n"/>
      <c r="S686" s="108">
        <f>1-AE686</f>
        <v/>
      </c>
      <c r="T686" s="108">
        <f>1-AF686</f>
        <v/>
      </c>
      <c r="U686" s="108">
        <f>1-AG686</f>
        <v/>
      </c>
      <c r="V686" s="108">
        <f>1-AH686</f>
        <v/>
      </c>
      <c r="W686" s="108">
        <f>1-AI686</f>
        <v/>
      </c>
      <c r="X686" s="108">
        <f>ABS(AJ686-AJ$1)</f>
        <v/>
      </c>
      <c r="Y686" s="108">
        <f>AVERAGE(Z686:AB686)</f>
        <v/>
      </c>
      <c r="Z686" s="108">
        <f>ABS(AL686-AL$1)</f>
        <v/>
      </c>
      <c r="AA686" s="108">
        <f>ABS(AM686-AM$1)</f>
        <v/>
      </c>
      <c r="AB686" s="108">
        <f>ABS(AN686-AN$1)</f>
        <v/>
      </c>
      <c r="AC686" s="108" t="n"/>
      <c r="AD686" s="108" t="n"/>
      <c r="AE686" s="108">
        <f>ABS(AQ$1-AQ686)</f>
        <v/>
      </c>
      <c r="AF686" s="108">
        <f>ABS(AR$1-AR686)</f>
        <v/>
      </c>
      <c r="AG686" s="108">
        <f>ABS(AS$1-AS686)</f>
        <v/>
      </c>
      <c r="AH686" s="108">
        <f>ABS(AT$1-AT686)</f>
        <v/>
      </c>
      <c r="AI686" s="108">
        <f>ABS(AU$1-AU686)</f>
        <v/>
      </c>
      <c r="AJ686" s="108">
        <f>(AV686-Driver!$K$179)/(Driver!$L$179-Driver!$K$179)</f>
        <v/>
      </c>
      <c r="AK686" s="108">
        <f>(AW686-Driver!$K$180)/(Driver!$L$180-Driver!$K$180)</f>
        <v/>
      </c>
      <c r="AL686" s="108">
        <f>(AX686-Driver!$K$181)/(Driver!$L$181-Driver!$K$181)</f>
        <v/>
      </c>
      <c r="AM686" s="108">
        <f>(AY686-Driver!$K$182)/(Driver!$L$182-Driver!$K$182)</f>
        <v/>
      </c>
      <c r="AN686" s="108">
        <f>(AZ686-Driver!$K$183)/(Driver!$L$183-Driver!$K$183)</f>
        <v/>
      </c>
      <c r="AO686" s="108" t="n"/>
      <c r="AP686" s="108" t="n"/>
      <c r="AQ686" s="108">
        <f>(BC686-Driver!$K$188)/(Driver!$L$188-Driver!$K$188)</f>
        <v/>
      </c>
      <c r="AR686" s="108">
        <f>MIN((BD686-Driver!$K$189)/(Driver!$L$189-Driver!$K$189),100%)</f>
        <v/>
      </c>
      <c r="AS686" s="108">
        <f>(BE686-Driver!$K$190)/(Driver!$L$190-Driver!$K$190)</f>
        <v/>
      </c>
      <c r="AT686" s="108">
        <f>(BF686-Driver!$K$191)/(Driver!$L$191-Driver!$K$191)</f>
        <v/>
      </c>
      <c r="AU686" s="108">
        <f>(BG686-Driver!$K$192)/(Driver!$L$192-Driver!$K$192)</f>
        <v/>
      </c>
      <c r="AV686" s="105">
        <f>IFERROR(BM686*BJ686^1/4,"")</f>
        <v/>
      </c>
      <c r="AW686" s="105">
        <f>IFERROR(SUM(AX686:AZ686),"")</f>
        <v/>
      </c>
      <c r="AX686" s="105">
        <f>IFERROR(BH686,"")</f>
        <v/>
      </c>
      <c r="AY686" s="105">
        <f>IFERROR(Driver!$K$19/Data!BH686/Data!BI686*Data!BK686*Data!BL686,"")</f>
        <v/>
      </c>
      <c r="AZ686" s="105">
        <f>IFERROR(BI686*BN686,"")</f>
        <v/>
      </c>
      <c r="BA686" s="105" t="n"/>
      <c r="BB686" s="105" t="n"/>
      <c r="BC686" s="105">
        <f>IFERROR(BI686*BN686*BK686/BJ686^(1/2),"")</f>
        <v/>
      </c>
      <c r="BD686" s="105">
        <f>IFERROR(BH686*BM686*BL686/BJ686/BK686,"")</f>
        <v/>
      </c>
      <c r="BE686" s="105">
        <f>IFERROR(MIN(BI686/BQ686/BP686/BO686/BH686,$BE$1),"")</f>
        <v/>
      </c>
      <c r="BF686" s="105">
        <f>IFERROR(BJ686*BO686*BP686/BK686,"")</f>
        <v/>
      </c>
      <c r="BG686" s="105">
        <f>IFERROR(1/BM686/BH686*BQ686,"")</f>
        <v/>
      </c>
      <c r="BH686" s="102">
        <f>MAX((CE686-Driver!$F$200)/(Driver!$G$200-Driver!$F$200)*$BI$1,1)</f>
        <v/>
      </c>
      <c r="BI686" s="102">
        <f>MAX($BI$1*(BY686-Driver!$F$201)/(Driver!$G$201-Driver!$F$201),1)</f>
        <v/>
      </c>
      <c r="BJ686" s="102">
        <f>(CB686-Driver!$F$206)/(Driver!$G$206-Driver!$F$206)*$BI$1</f>
        <v/>
      </c>
      <c r="BK686" s="102">
        <f>(CD686-Driver!$F$203)/(Driver!$G$203-Driver!$F$203)*$BI$1</f>
        <v/>
      </c>
      <c r="BL686" s="102">
        <f>MAX((CR686-Driver!$F$202)/(Driver!$G$202-Driver!$F$202)*$BI$1,1)</f>
        <v/>
      </c>
      <c r="BM686" s="102">
        <f>MAX((CH686-Driver!$F$204)/(Driver!$G$204-Driver!$F$204)*$BI$1,1)</f>
        <v/>
      </c>
      <c r="BN686" s="102">
        <f>(CI686-Driver!$F$205)/(Driver!$G$205-Driver!$F$205)*$BI$1</f>
        <v/>
      </c>
      <c r="BO686" s="102">
        <f>(CK686-Driver!$F$207)/(Driver!$G$207-Driver!$F$207)*$BI$1</f>
        <v/>
      </c>
      <c r="BP686" s="102">
        <f>(CM686-Driver!$F$208)/(Driver!$G$208-Driver!$F$208)*$BI$1</f>
        <v/>
      </c>
      <c r="BQ686" s="102">
        <f>(CL686-Driver!$F$209)/(Driver!$G$209-Driver!$F$209)*$BI$1</f>
        <v/>
      </c>
      <c r="BR686" s="40" t="inlineStr">
        <is>
          <t>21/22</t>
        </is>
      </c>
      <c r="BS686" s="10" t="inlineStr">
        <is>
          <t xml:space="preserve"> Faction</t>
        </is>
      </c>
      <c r="BT686" s="11" t="inlineStr">
        <is>
          <t>Prodigy 1.0</t>
        </is>
      </c>
      <c r="BU686" s="13" t="n">
        <v>164</v>
      </c>
      <c r="BV686" s="11" t="inlineStr">
        <is>
          <t xml:space="preserve"> Unisex</t>
        </is>
      </c>
      <c r="BW686" s="13" t="n">
        <v>164</v>
      </c>
      <c r="BX686" s="13" t="n">
        <v>161.9</v>
      </c>
      <c r="BY686" s="13" t="n">
        <v>117</v>
      </c>
      <c r="BZ686" s="13" t="n">
        <v>136</v>
      </c>
      <c r="CA686" s="13" t="n">
        <v>119</v>
      </c>
      <c r="CB686" s="13" t="n">
        <v>87</v>
      </c>
      <c r="CC686" s="13" t="n">
        <v>112</v>
      </c>
      <c r="CD686" s="13" t="n">
        <v>14.6</v>
      </c>
      <c r="CE686" s="13" t="n">
        <v>1587</v>
      </c>
      <c r="CF686" s="13" t="n">
        <v>1.01</v>
      </c>
      <c r="CG686" s="13" t="n">
        <v>1604</v>
      </c>
      <c r="CH686" s="13" t="n">
        <v>170</v>
      </c>
      <c r="CI686" s="13" t="n">
        <v>70</v>
      </c>
      <c r="CJ686" s="13" t="n">
        <v>53</v>
      </c>
      <c r="CK686" s="13" t="n">
        <v>265</v>
      </c>
      <c r="CL686" s="13" t="n">
        <v>38</v>
      </c>
      <c r="CM686" s="13" t="n">
        <v>188</v>
      </c>
      <c r="CN686" s="13" t="n">
        <v>0.705</v>
      </c>
      <c r="CO686" s="13" t="n">
        <v>134</v>
      </c>
      <c r="CP686" s="13" t="n">
        <v>126</v>
      </c>
      <c r="CQ686" s="13" t="n">
        <v>131</v>
      </c>
      <c r="CR686" s="13" t="n">
        <v>9</v>
      </c>
      <c r="CS686" s="13" t="n">
        <v>6.5</v>
      </c>
      <c r="CT686" s="11" t="inlineStr">
        <is>
          <t xml:space="preserve"> Resort Freeride</t>
        </is>
      </c>
      <c r="CU686" s="13" t="n"/>
      <c r="CV686" s="13" t="n"/>
      <c r="CW686" s="13" t="n"/>
      <c r="CX686">
        <f>INDEX('Data_Price '!AG$2:AG$1266,MATCH(Data!$DN686,'Data_Price '!$AT$2:$AT$1266,0))</f>
        <v/>
      </c>
      <c r="CY686">
        <f>INDEX('Data_Price '!AH$2:AH$1266,MATCH(Data!$DN686,'Data_Price '!$AT$2:$AT$1266,0))</f>
        <v/>
      </c>
      <c r="CZ686">
        <f>INDEX('Data_Price '!AI$2:AI$1266,MATCH(Data!$DN686,'Data_Price '!$AT$2:$AT$1266,0))</f>
        <v/>
      </c>
      <c r="DA686">
        <f>INDEX('Data_Price '!AJ$2:AJ$1266,MATCH(Data!$DN686,'Data_Price '!$AT$2:$AT$1266,0))</f>
        <v/>
      </c>
      <c r="DB686">
        <f>INDEX('Data_Price '!AK$2:AK$1266,MATCH(Data!$DN686,'Data_Price '!$AT$2:$AT$1266,0))</f>
        <v/>
      </c>
      <c r="DC686">
        <f>INDEX('Data_Price '!AL$2:AL$1266,MATCH(Data!$DN686,'Data_Price '!$AT$2:$AT$1266,0))</f>
        <v/>
      </c>
      <c r="DD686">
        <f>INDEX('Data_Price '!AM$2:AM$1266,MATCH(Data!$DN686,'Data_Price '!$AT$2:$AT$1266,0))</f>
        <v/>
      </c>
      <c r="DE686">
        <f>INDEX('Data_Price '!AN$2:AN$1266,MATCH(Data!$DN686,'Data_Price '!$AT$2:$AT$1266,0))</f>
        <v/>
      </c>
      <c r="DF686">
        <f>INDEX('Data_Price '!AO$2:AO$1266,MATCH(Data!$DN686,'Data_Price '!$AT$2:$AT$1266,0))</f>
        <v/>
      </c>
      <c r="DG686">
        <f>INDEX('Data_Price '!AP$2:AP$1266,MATCH(Data!$DN686,'Data_Price '!$AT$2:$AT$1266,0))</f>
        <v/>
      </c>
      <c r="DH686">
        <f>INDEX('Data_Price '!AQ$2:AQ$1266,MATCH(Data!$DN686,'Data_Price '!$AT$2:$AT$1266,0))</f>
        <v/>
      </c>
      <c r="DI686">
        <f>INDEX('Data_Price '!AR$2:AR$1266,MATCH(Data!$DN686,'Data_Price '!$AT$2:$AT$1266,0))</f>
        <v/>
      </c>
      <c r="DJ686" s="138">
        <f>DA686</f>
        <v/>
      </c>
      <c r="DK686" s="138">
        <f>DE686</f>
        <v/>
      </c>
      <c r="DL686" s="138">
        <f>DI686</f>
        <v/>
      </c>
      <c r="DM686" s="303">
        <f>IF(LEFT(BT686,1)=" ",RIGHT(BT686,LEN(BT686)-1),BT686)</f>
        <v/>
      </c>
      <c r="DN686" s="138">
        <f>_xlfn.CONCAT(BS686,DM686,BU686,BV686)</f>
        <v/>
      </c>
      <c r="DO686" s="307" t="n"/>
    </row>
    <row r="687" ht="15.6" customHeight="1" s="184">
      <c r="B687" s="303">
        <f t="array" ref="B687">IF(OR(ISERROR(K687:P687)),FALSE,TRUE)</f>
        <v/>
      </c>
      <c r="C687" s="60">
        <f>OR(BR687=Driver!$G$50,Data!BR1200=Driver!$H$50)</f>
        <v/>
      </c>
      <c r="D687" s="60">
        <f>OR(BV687=Driver!$G$51,BV687=Driver!$H$51)</f>
        <v/>
      </c>
      <c r="E687" s="60">
        <f>AND(BX687&gt;Driver!$F$54,BX687&lt;Driver!$G$54)</f>
        <v/>
      </c>
      <c r="F687" s="60">
        <f>CL687&gt;Driver!$F$56</f>
        <v/>
      </c>
      <c r="G687" s="60">
        <f>AND(CB687&gt;Driver!$F$55,CB687&lt;Driver!$G$55)</f>
        <v/>
      </c>
      <c r="H687" s="60">
        <f>AND(B687:G687)</f>
        <v/>
      </c>
      <c r="I687" s="60">
        <f>COUNTIFS($H$9:$H$1273,TRUE,$BT$9:$BT$1273,BT687)</f>
        <v/>
      </c>
      <c r="J687" s="60">
        <f t="array" ref="J687">NOT(OR(($H$9:$H$1273=TRUE)*($I$9:$I$1273&gt;0)*($BT$9:$BT$1273=BT687)*($K$9:$K$1273&gt;K687)))</f>
        <v/>
      </c>
      <c r="K687" s="108">
        <f>IFERROR(1-AVERAGE(X687:Y687),"")</f>
        <v/>
      </c>
      <c r="L687" s="108">
        <f>1-X687</f>
        <v/>
      </c>
      <c r="M687" s="108">
        <f>1-Y687</f>
        <v/>
      </c>
      <c r="N687" s="108">
        <f>1-Z687</f>
        <v/>
      </c>
      <c r="O687" s="108">
        <f>1-AA687</f>
        <v/>
      </c>
      <c r="P687" s="108">
        <f>1-AB687</f>
        <v/>
      </c>
      <c r="Q687" s="108" t="n"/>
      <c r="R687" s="108" t="n"/>
      <c r="S687" s="108">
        <f>1-AE687</f>
        <v/>
      </c>
      <c r="T687" s="108">
        <f>1-AF687</f>
        <v/>
      </c>
      <c r="U687" s="108">
        <f>1-AG687</f>
        <v/>
      </c>
      <c r="V687" s="108">
        <f>1-AH687</f>
        <v/>
      </c>
      <c r="W687" s="108">
        <f>1-AI687</f>
        <v/>
      </c>
      <c r="X687" s="108">
        <f>ABS(AJ687-AJ$1)</f>
        <v/>
      </c>
      <c r="Y687" s="108">
        <f>AVERAGE(Z687:AB687)</f>
        <v/>
      </c>
      <c r="Z687" s="108">
        <f>ABS(AL687-AL$1)</f>
        <v/>
      </c>
      <c r="AA687" s="108">
        <f>ABS(AM687-AM$1)</f>
        <v/>
      </c>
      <c r="AB687" s="108">
        <f>ABS(AN687-AN$1)</f>
        <v/>
      </c>
      <c r="AC687" s="108" t="n"/>
      <c r="AD687" s="108" t="n"/>
      <c r="AE687" s="108">
        <f>ABS(AQ$1-AQ687)</f>
        <v/>
      </c>
      <c r="AF687" s="108">
        <f>ABS(AR$1-AR687)</f>
        <v/>
      </c>
      <c r="AG687" s="108">
        <f>ABS(AS$1-AS687)</f>
        <v/>
      </c>
      <c r="AH687" s="108">
        <f>ABS(AT$1-AT687)</f>
        <v/>
      </c>
      <c r="AI687" s="108">
        <f>ABS(AU$1-AU687)</f>
        <v/>
      </c>
      <c r="AJ687" s="108">
        <f>(AV687-Driver!$K$179)/(Driver!$L$179-Driver!$K$179)</f>
        <v/>
      </c>
      <c r="AK687" s="108">
        <f>(AW687-Driver!$K$180)/(Driver!$L$180-Driver!$K$180)</f>
        <v/>
      </c>
      <c r="AL687" s="108">
        <f>(AX687-Driver!$K$181)/(Driver!$L$181-Driver!$K$181)</f>
        <v/>
      </c>
      <c r="AM687" s="108">
        <f>(AY687-Driver!$K$182)/(Driver!$L$182-Driver!$K$182)</f>
        <v/>
      </c>
      <c r="AN687" s="108">
        <f>(AZ687-Driver!$K$183)/(Driver!$L$183-Driver!$K$183)</f>
        <v/>
      </c>
      <c r="AO687" s="108" t="n"/>
      <c r="AP687" s="108" t="n"/>
      <c r="AQ687" s="108">
        <f>(BC687-Driver!$K$188)/(Driver!$L$188-Driver!$K$188)</f>
        <v/>
      </c>
      <c r="AR687" s="108">
        <f>MIN((BD687-Driver!$K$189)/(Driver!$L$189-Driver!$K$189),100%)</f>
        <v/>
      </c>
      <c r="AS687" s="108">
        <f>(BE687-Driver!$K$190)/(Driver!$L$190-Driver!$K$190)</f>
        <v/>
      </c>
      <c r="AT687" s="108">
        <f>(BF687-Driver!$K$191)/(Driver!$L$191-Driver!$K$191)</f>
        <v/>
      </c>
      <c r="AU687" s="108">
        <f>(BG687-Driver!$K$192)/(Driver!$L$192-Driver!$K$192)</f>
        <v/>
      </c>
      <c r="AV687" s="105">
        <f>IFERROR(BM687*BJ687^1/4,"")</f>
        <v/>
      </c>
      <c r="AW687" s="105">
        <f>IFERROR(SUM(AX687:AZ687),"")</f>
        <v/>
      </c>
      <c r="AX687" s="105">
        <f>IFERROR(BH687,"")</f>
        <v/>
      </c>
      <c r="AY687" s="105">
        <f>IFERROR(Driver!$K$19/Data!BH687/Data!BI687*Data!BK687*Data!BL687,"")</f>
        <v/>
      </c>
      <c r="AZ687" s="105">
        <f>IFERROR(BI687*BN687,"")</f>
        <v/>
      </c>
      <c r="BA687" s="105" t="n"/>
      <c r="BB687" s="105" t="n"/>
      <c r="BC687" s="105">
        <f>IFERROR(BI687*BN687*BK687/BJ687^(1/2),"")</f>
        <v/>
      </c>
      <c r="BD687" s="105">
        <f>IFERROR(BH687*BM687*BL687/BJ687/BK687,"")</f>
        <v/>
      </c>
      <c r="BE687" s="105">
        <f>IFERROR(MIN(BI687/BQ687/BP687/BO687/BH687,$BE$1),"")</f>
        <v/>
      </c>
      <c r="BF687" s="105">
        <f>IFERROR(BJ687*BO687*BP687/BK687,"")</f>
        <v/>
      </c>
      <c r="BG687" s="105">
        <f>IFERROR(1/BM687/BH687*BQ687,"")</f>
        <v/>
      </c>
      <c r="BH687" s="102">
        <f>MAX((CE687-Driver!$F$200)/(Driver!$G$200-Driver!$F$200)*$BI$1,1)</f>
        <v/>
      </c>
      <c r="BI687" s="102">
        <f>MAX($BI$1*(BY687-Driver!$F$201)/(Driver!$G$201-Driver!$F$201),1)</f>
        <v/>
      </c>
      <c r="BJ687" s="102">
        <f>(CB687-Driver!$F$206)/(Driver!$G$206-Driver!$F$206)*$BI$1</f>
        <v/>
      </c>
      <c r="BK687" s="102">
        <f>(CD687-Driver!$F$203)/(Driver!$G$203-Driver!$F$203)*$BI$1</f>
        <v/>
      </c>
      <c r="BL687" s="102">
        <f>MAX((CR687-Driver!$F$202)/(Driver!$G$202-Driver!$F$202)*$BI$1,1)</f>
        <v/>
      </c>
      <c r="BM687" s="102">
        <f>MAX((CH687-Driver!$F$204)/(Driver!$G$204-Driver!$F$204)*$BI$1,1)</f>
        <v/>
      </c>
      <c r="BN687" s="102">
        <f>(CI687-Driver!$F$205)/(Driver!$G$205-Driver!$F$205)*$BI$1</f>
        <v/>
      </c>
      <c r="BO687" s="102">
        <f>(CK687-Driver!$F$207)/(Driver!$G$207-Driver!$F$207)*$BI$1</f>
        <v/>
      </c>
      <c r="BP687" s="102">
        <f>(CM687-Driver!$F$208)/(Driver!$G$208-Driver!$F$208)*$BI$1</f>
        <v/>
      </c>
      <c r="BQ687" s="102">
        <f>(CL687-Driver!$F$209)/(Driver!$G$209-Driver!$F$209)*$BI$1</f>
        <v/>
      </c>
      <c r="BR687" s="40" t="inlineStr">
        <is>
          <t>21/22</t>
        </is>
      </c>
      <c r="BS687" s="10" t="inlineStr">
        <is>
          <t xml:space="preserve"> Völkl</t>
        </is>
      </c>
      <c r="BT687" s="11" t="inlineStr">
        <is>
          <t>Kanjo 84</t>
        </is>
      </c>
      <c r="BU687" s="13" t="n">
        <v>168</v>
      </c>
      <c r="BV687" s="11" t="inlineStr">
        <is>
          <t xml:space="preserve"> Unisex</t>
        </is>
      </c>
      <c r="BW687" s="13" t="n">
        <v>168</v>
      </c>
      <c r="BX687" s="13" t="n">
        <v>168.7</v>
      </c>
      <c r="BY687" s="13" t="n">
        <v>132</v>
      </c>
      <c r="BZ687" s="13" t="n">
        <v>145</v>
      </c>
      <c r="CA687" s="13" t="n">
        <v>124</v>
      </c>
      <c r="CB687" s="13" t="n">
        <v>83</v>
      </c>
      <c r="CC687" s="13" t="n">
        <v>106</v>
      </c>
      <c r="CD687" s="13" t="n">
        <v>15.8</v>
      </c>
      <c r="CE687" s="13" t="n">
        <v>1495</v>
      </c>
      <c r="CF687" s="13" t="n">
        <v>1.09</v>
      </c>
      <c r="CG687" s="13" t="n">
        <v>1623</v>
      </c>
      <c r="CH687" s="13" t="n">
        <v>185</v>
      </c>
      <c r="CI687" s="13" t="n">
        <v>70</v>
      </c>
      <c r="CJ687" s="13" t="n">
        <v>36</v>
      </c>
      <c r="CK687" s="13" t="n">
        <v>229</v>
      </c>
      <c r="CL687" s="13" t="n">
        <v>13</v>
      </c>
      <c r="CM687" s="13" t="n">
        <v>141</v>
      </c>
      <c r="CN687" s="13" t="n">
        <v>0.348</v>
      </c>
      <c r="CO687" s="13" t="n">
        <v>134</v>
      </c>
      <c r="CP687" s="13" t="n">
        <v>107</v>
      </c>
      <c r="CQ687" s="13" t="n">
        <v>95</v>
      </c>
      <c r="CR687" s="13" t="n">
        <v>3</v>
      </c>
      <c r="CS687" s="13" t="n">
        <v>11.6</v>
      </c>
      <c r="CT687" s="11" t="inlineStr">
        <is>
          <t xml:space="preserve"> On-Piste All-Mountain</t>
        </is>
      </c>
      <c r="CU687" s="11" t="inlineStr">
        <is>
          <t xml:space="preserve"> Resort Freeride</t>
        </is>
      </c>
      <c r="CV687" s="11" t="inlineStr">
        <is>
          <t xml:space="preserve"> Touring</t>
        </is>
      </c>
      <c r="CW687" s="13" t="n"/>
      <c r="CX687">
        <f>INDEX('Data_Price '!AG$2:AG$1266,MATCH(Data!$DN687,'Data_Price '!$AT$2:$AT$1266,0))</f>
        <v/>
      </c>
      <c r="CY687">
        <f>INDEX('Data_Price '!AH$2:AH$1266,MATCH(Data!$DN687,'Data_Price '!$AT$2:$AT$1266,0))</f>
        <v/>
      </c>
      <c r="CZ687">
        <f>INDEX('Data_Price '!AI$2:AI$1266,MATCH(Data!$DN687,'Data_Price '!$AT$2:$AT$1266,0))</f>
        <v/>
      </c>
      <c r="DA687">
        <f>INDEX('Data_Price '!AJ$2:AJ$1266,MATCH(Data!$DN687,'Data_Price '!$AT$2:$AT$1266,0))</f>
        <v/>
      </c>
      <c r="DB687">
        <f>INDEX('Data_Price '!AK$2:AK$1266,MATCH(Data!$DN687,'Data_Price '!$AT$2:$AT$1266,0))</f>
        <v/>
      </c>
      <c r="DC687">
        <f>INDEX('Data_Price '!AL$2:AL$1266,MATCH(Data!$DN687,'Data_Price '!$AT$2:$AT$1266,0))</f>
        <v/>
      </c>
      <c r="DD687">
        <f>INDEX('Data_Price '!AM$2:AM$1266,MATCH(Data!$DN687,'Data_Price '!$AT$2:$AT$1266,0))</f>
        <v/>
      </c>
      <c r="DE687">
        <f>INDEX('Data_Price '!AN$2:AN$1266,MATCH(Data!$DN687,'Data_Price '!$AT$2:$AT$1266,0))</f>
        <v/>
      </c>
      <c r="DF687">
        <f>INDEX('Data_Price '!AO$2:AO$1266,MATCH(Data!$DN687,'Data_Price '!$AT$2:$AT$1266,0))</f>
        <v/>
      </c>
      <c r="DG687">
        <f>INDEX('Data_Price '!AP$2:AP$1266,MATCH(Data!$DN687,'Data_Price '!$AT$2:$AT$1266,0))</f>
        <v/>
      </c>
      <c r="DH687">
        <f>INDEX('Data_Price '!AQ$2:AQ$1266,MATCH(Data!$DN687,'Data_Price '!$AT$2:$AT$1266,0))</f>
        <v/>
      </c>
      <c r="DI687">
        <f>INDEX('Data_Price '!AR$2:AR$1266,MATCH(Data!$DN687,'Data_Price '!$AT$2:$AT$1266,0))</f>
        <v/>
      </c>
      <c r="DJ687" s="138">
        <f>DA687</f>
        <v/>
      </c>
      <c r="DK687" s="138">
        <f>DE687</f>
        <v/>
      </c>
      <c r="DL687" s="138">
        <f>DI687</f>
        <v/>
      </c>
      <c r="DM687" s="303">
        <f>IF(LEFT(BT687,1)=" ",RIGHT(BT687,LEN(BT687)-1),BT687)</f>
        <v/>
      </c>
      <c r="DN687" s="138">
        <f>_xlfn.CONCAT(BS687,DM687,BU687,BV687)</f>
        <v/>
      </c>
      <c r="DO687" s="307" t="n"/>
    </row>
    <row r="688" ht="15.6" customHeight="1" s="184">
      <c r="B688" s="303">
        <f t="array" ref="B688">IF(OR(ISERROR(K688:P688)),FALSE,TRUE)</f>
        <v/>
      </c>
      <c r="C688" s="60">
        <f>OR(BR688=Driver!$G$50,Data!BR1215=Driver!$H$50)</f>
        <v/>
      </c>
      <c r="D688" s="60">
        <f>OR(BV688=Driver!$G$51,BV688=Driver!$H$51)</f>
        <v/>
      </c>
      <c r="E688" s="60">
        <f>AND(BX688&gt;Driver!$F$54,BX688&lt;Driver!$G$54)</f>
        <v/>
      </c>
      <c r="F688" s="60">
        <f>CL688&gt;Driver!$F$56</f>
        <v/>
      </c>
      <c r="G688" s="60">
        <f>AND(CB688&gt;Driver!$F$55,CB688&lt;Driver!$G$55)</f>
        <v/>
      </c>
      <c r="H688" s="60">
        <f>AND(B688:G688)</f>
        <v/>
      </c>
      <c r="I688" s="60">
        <f>COUNTIFS($H$9:$H$1273,TRUE,$BT$9:$BT$1273,BT688)</f>
        <v/>
      </c>
      <c r="J688" s="60">
        <f t="array" ref="J688">NOT(OR(($H$9:$H$1273=TRUE)*($I$9:$I$1273&gt;0)*($BT$9:$BT$1273=BT688)*($K$9:$K$1273&gt;K688)))</f>
        <v/>
      </c>
      <c r="K688" s="108">
        <f>IFERROR(1-AVERAGE(X688:Y688),"")</f>
        <v/>
      </c>
      <c r="L688" s="108">
        <f>1-X688</f>
        <v/>
      </c>
      <c r="M688" s="108">
        <f>1-Y688</f>
        <v/>
      </c>
      <c r="N688" s="108">
        <f>1-Z688</f>
        <v/>
      </c>
      <c r="O688" s="108">
        <f>1-AA688</f>
        <v/>
      </c>
      <c r="P688" s="108">
        <f>1-AB688</f>
        <v/>
      </c>
      <c r="Q688" s="108" t="n"/>
      <c r="R688" s="108" t="n"/>
      <c r="S688" s="108">
        <f>1-AE688</f>
        <v/>
      </c>
      <c r="T688" s="108">
        <f>1-AF688</f>
        <v/>
      </c>
      <c r="U688" s="108">
        <f>1-AG688</f>
        <v/>
      </c>
      <c r="V688" s="108">
        <f>1-AH688</f>
        <v/>
      </c>
      <c r="W688" s="108">
        <f>1-AI688</f>
        <v/>
      </c>
      <c r="X688" s="108">
        <f>ABS(AJ688-AJ$1)</f>
        <v/>
      </c>
      <c r="Y688" s="108">
        <f>AVERAGE(Z688:AB688)</f>
        <v/>
      </c>
      <c r="Z688" s="108">
        <f>ABS(AL688-AL$1)</f>
        <v/>
      </c>
      <c r="AA688" s="108">
        <f>ABS(AM688-AM$1)</f>
        <v/>
      </c>
      <c r="AB688" s="108">
        <f>ABS(AN688-AN$1)</f>
        <v/>
      </c>
      <c r="AC688" s="108" t="n"/>
      <c r="AD688" s="108" t="n"/>
      <c r="AE688" s="108">
        <f>ABS(AQ$1-AQ688)</f>
        <v/>
      </c>
      <c r="AF688" s="108">
        <f>ABS(AR$1-AR688)</f>
        <v/>
      </c>
      <c r="AG688" s="108">
        <f>ABS(AS$1-AS688)</f>
        <v/>
      </c>
      <c r="AH688" s="108">
        <f>ABS(AT$1-AT688)</f>
        <v/>
      </c>
      <c r="AI688" s="108">
        <f>ABS(AU$1-AU688)</f>
        <v/>
      </c>
      <c r="AJ688" s="108">
        <f>(AV688-Driver!$K$179)/(Driver!$L$179-Driver!$K$179)</f>
        <v/>
      </c>
      <c r="AK688" s="108">
        <f>(AW688-Driver!$K$180)/(Driver!$L$180-Driver!$K$180)</f>
        <v/>
      </c>
      <c r="AL688" s="108">
        <f>(AX688-Driver!$K$181)/(Driver!$L$181-Driver!$K$181)</f>
        <v/>
      </c>
      <c r="AM688" s="108">
        <f>(AY688-Driver!$K$182)/(Driver!$L$182-Driver!$K$182)</f>
        <v/>
      </c>
      <c r="AN688" s="108">
        <f>(AZ688-Driver!$K$183)/(Driver!$L$183-Driver!$K$183)</f>
        <v/>
      </c>
      <c r="AO688" s="108" t="n"/>
      <c r="AP688" s="108" t="n"/>
      <c r="AQ688" s="108">
        <f>(BC688-Driver!$K$188)/(Driver!$L$188-Driver!$K$188)</f>
        <v/>
      </c>
      <c r="AR688" s="108">
        <f>MIN((BD688-Driver!$K$189)/(Driver!$L$189-Driver!$K$189),100%)</f>
        <v/>
      </c>
      <c r="AS688" s="108">
        <f>(BE688-Driver!$K$190)/(Driver!$L$190-Driver!$K$190)</f>
        <v/>
      </c>
      <c r="AT688" s="108">
        <f>(BF688-Driver!$K$191)/(Driver!$L$191-Driver!$K$191)</f>
        <v/>
      </c>
      <c r="AU688" s="108">
        <f>(BG688-Driver!$K$192)/(Driver!$L$192-Driver!$K$192)</f>
        <v/>
      </c>
      <c r="AV688" s="105">
        <f>IFERROR(BM688*BJ688^1/4,"")</f>
        <v/>
      </c>
      <c r="AW688" s="105">
        <f>IFERROR(SUM(AX688:AZ688),"")</f>
        <v/>
      </c>
      <c r="AX688" s="105">
        <f>IFERROR(BH688,"")</f>
        <v/>
      </c>
      <c r="AY688" s="105">
        <f>IFERROR(Driver!$K$19/Data!BH688/Data!BI688*Data!BK688*Data!BL688,"")</f>
        <v/>
      </c>
      <c r="AZ688" s="105">
        <f>IFERROR(BI688*BN688,"")</f>
        <v/>
      </c>
      <c r="BA688" s="105" t="n"/>
      <c r="BB688" s="105" t="n"/>
      <c r="BC688" s="105">
        <f>IFERROR(BI688*BN688*BK688/BJ688^(1/2),"")</f>
        <v/>
      </c>
      <c r="BD688" s="105">
        <f>IFERROR(BH688*BM688*BL688/BJ688/BK688,"")</f>
        <v/>
      </c>
      <c r="BE688" s="105">
        <f>IFERROR(MIN(BI688/BQ688/BP688/BO688/BH688,$BE$1),"")</f>
        <v/>
      </c>
      <c r="BF688" s="105">
        <f>IFERROR(BJ688*BO688*BP688/BK688,"")</f>
        <v/>
      </c>
      <c r="BG688" s="105">
        <f>IFERROR(1/BM688/BH688*BQ688,"")</f>
        <v/>
      </c>
      <c r="BH688" s="102">
        <f>MAX((CE688-Driver!$F$200)/(Driver!$G$200-Driver!$F$200)*$BI$1,1)</f>
        <v/>
      </c>
      <c r="BI688" s="102">
        <f>MAX($BI$1*(BY688-Driver!$F$201)/(Driver!$G$201-Driver!$F$201),1)</f>
        <v/>
      </c>
      <c r="BJ688" s="102">
        <f>(CB688-Driver!$F$206)/(Driver!$G$206-Driver!$F$206)*$BI$1</f>
        <v/>
      </c>
      <c r="BK688" s="102">
        <f>(CD688-Driver!$F$203)/(Driver!$G$203-Driver!$F$203)*$BI$1</f>
        <v/>
      </c>
      <c r="BL688" s="102">
        <f>MAX((CR688-Driver!$F$202)/(Driver!$G$202-Driver!$F$202)*$BI$1,1)</f>
        <v/>
      </c>
      <c r="BM688" s="102">
        <f>MAX((CH688-Driver!$F$204)/(Driver!$G$204-Driver!$F$204)*$BI$1,1)</f>
        <v/>
      </c>
      <c r="BN688" s="102">
        <f>(CI688-Driver!$F$205)/(Driver!$G$205-Driver!$F$205)*$BI$1</f>
        <v/>
      </c>
      <c r="BO688" s="102">
        <f>(CK688-Driver!$F$207)/(Driver!$G$207-Driver!$F$207)*$BI$1</f>
        <v/>
      </c>
      <c r="BP688" s="102">
        <f>(CM688-Driver!$F$208)/(Driver!$G$208-Driver!$F$208)*$BI$1</f>
        <v/>
      </c>
      <c r="BQ688" s="102">
        <f>(CL688-Driver!$F$209)/(Driver!$G$209-Driver!$F$209)*$BI$1</f>
        <v/>
      </c>
      <c r="BR688" s="40" t="inlineStr">
        <is>
          <t>21/22</t>
        </is>
      </c>
      <c r="BS688" s="10" t="inlineStr">
        <is>
          <t xml:space="preserve"> Völkl</t>
        </is>
      </c>
      <c r="BT688" s="11" t="inlineStr">
        <is>
          <t>Kenja 88</t>
        </is>
      </c>
      <c r="BU688" s="13" t="n">
        <v>170</v>
      </c>
      <c r="BV688" s="11" t="inlineStr">
        <is>
          <t xml:space="preserve"> Women's</t>
        </is>
      </c>
      <c r="BW688" s="13" t="n">
        <v>170</v>
      </c>
      <c r="BX688" s="13" t="n">
        <v>171.2</v>
      </c>
      <c r="BY688" s="13" t="n">
        <v>123</v>
      </c>
      <c r="BZ688" s="13" t="n">
        <v>148</v>
      </c>
      <c r="CA688" s="13" t="n">
        <v>128</v>
      </c>
      <c r="CB688" s="13" t="n">
        <v>87</v>
      </c>
      <c r="CC688" s="13" t="n">
        <v>110</v>
      </c>
      <c r="CD688" s="13" t="n">
        <v>16.4</v>
      </c>
      <c r="CE688" s="13" t="n">
        <v>1843</v>
      </c>
      <c r="CF688" s="13" t="n">
        <v>0.93</v>
      </c>
      <c r="CG688" s="13" t="n">
        <v>1713</v>
      </c>
      <c r="CH688" s="13" t="n">
        <v>189</v>
      </c>
      <c r="CI688" s="13" t="n">
        <v>126</v>
      </c>
      <c r="CJ688" s="13" t="n">
        <v>45</v>
      </c>
      <c r="CK688" s="13" t="n">
        <v>296</v>
      </c>
      <c r="CL688" s="13" t="n">
        <v>15</v>
      </c>
      <c r="CM688" s="13" t="n">
        <v>187</v>
      </c>
      <c r="CN688" s="13" t="n">
        <v>0.321</v>
      </c>
      <c r="CO688" s="13" t="n">
        <v>134</v>
      </c>
      <c r="CP688" s="13" t="n">
        <v>102</v>
      </c>
      <c r="CQ688" s="13" t="n">
        <v>163</v>
      </c>
      <c r="CR688" s="13" t="n">
        <v>3</v>
      </c>
      <c r="CS688" s="13" t="n">
        <v>11.3</v>
      </c>
      <c r="CT688" s="11" t="inlineStr">
        <is>
          <t xml:space="preserve"> Resort Freeride</t>
        </is>
      </c>
      <c r="CU688" s="13" t="n"/>
      <c r="CV688" s="13" t="n"/>
      <c r="CW688" s="13" t="n"/>
      <c r="CX688">
        <f>INDEX('Data_Price '!AG$2:AG$1266,MATCH(Data!$DN688,'Data_Price '!$AT$2:$AT$1266,0))</f>
        <v/>
      </c>
      <c r="CY688">
        <f>INDEX('Data_Price '!AH$2:AH$1266,MATCH(Data!$DN688,'Data_Price '!$AT$2:$AT$1266,0))</f>
        <v/>
      </c>
      <c r="CZ688">
        <f>INDEX('Data_Price '!AI$2:AI$1266,MATCH(Data!$DN688,'Data_Price '!$AT$2:$AT$1266,0))</f>
        <v/>
      </c>
      <c r="DA688">
        <f>INDEX('Data_Price '!AJ$2:AJ$1266,MATCH(Data!$DN688,'Data_Price '!$AT$2:$AT$1266,0))</f>
        <v/>
      </c>
      <c r="DB688">
        <f>INDEX('Data_Price '!AK$2:AK$1266,MATCH(Data!$DN688,'Data_Price '!$AT$2:$AT$1266,0))</f>
        <v/>
      </c>
      <c r="DC688">
        <f>INDEX('Data_Price '!AL$2:AL$1266,MATCH(Data!$DN688,'Data_Price '!$AT$2:$AT$1266,0))</f>
        <v/>
      </c>
      <c r="DD688">
        <f>INDEX('Data_Price '!AM$2:AM$1266,MATCH(Data!$DN688,'Data_Price '!$AT$2:$AT$1266,0))</f>
        <v/>
      </c>
      <c r="DE688">
        <f>INDEX('Data_Price '!AN$2:AN$1266,MATCH(Data!$DN688,'Data_Price '!$AT$2:$AT$1266,0))</f>
        <v/>
      </c>
      <c r="DF688">
        <f>INDEX('Data_Price '!AO$2:AO$1266,MATCH(Data!$DN688,'Data_Price '!$AT$2:$AT$1266,0))</f>
        <v/>
      </c>
      <c r="DG688">
        <f>INDEX('Data_Price '!AP$2:AP$1266,MATCH(Data!$DN688,'Data_Price '!$AT$2:$AT$1266,0))</f>
        <v/>
      </c>
      <c r="DH688">
        <f>INDEX('Data_Price '!AQ$2:AQ$1266,MATCH(Data!$DN688,'Data_Price '!$AT$2:$AT$1266,0))</f>
        <v/>
      </c>
      <c r="DI688">
        <f>INDEX('Data_Price '!AR$2:AR$1266,MATCH(Data!$DN688,'Data_Price '!$AT$2:$AT$1266,0))</f>
        <v/>
      </c>
      <c r="DJ688" s="138">
        <f>DA688</f>
        <v/>
      </c>
      <c r="DK688" s="138">
        <f>DE688</f>
        <v/>
      </c>
      <c r="DL688" s="138">
        <f>DI688</f>
        <v/>
      </c>
      <c r="DM688" s="303">
        <f>IF(LEFT(BT688,1)=" ",RIGHT(BT688,LEN(BT688)-1),BT688)</f>
        <v/>
      </c>
      <c r="DN688" s="138">
        <f>_xlfn.CONCAT(BS688,DM688,BU688,BV688)</f>
        <v/>
      </c>
      <c r="DO688" s="307" t="inlineStr">
        <is>
          <t>https://images.evo.com/imgp/250/208363/837595/volkl-kenja-88-skis-women-s-2022-.jpg</t>
        </is>
      </c>
    </row>
    <row r="689" ht="15.6" customHeight="1" s="184">
      <c r="B689" s="303">
        <f t="array" ref="B689">IF(OR(ISERROR(K689:P689)),FALSE,TRUE)</f>
        <v/>
      </c>
      <c r="C689" s="60">
        <f>OR(BR689=Driver!$G$50,Data!BR920=Driver!$H$50)</f>
        <v/>
      </c>
      <c r="D689" s="60">
        <f>OR(BV689=Driver!$G$51,BV689=Driver!$H$51)</f>
        <v/>
      </c>
      <c r="E689" s="60">
        <f>AND(BX689&gt;Driver!$F$54,BX689&lt;Driver!$G$54)</f>
        <v/>
      </c>
      <c r="F689" s="60">
        <f>CL689&gt;Driver!$F$56</f>
        <v/>
      </c>
      <c r="G689" s="60">
        <f>AND(CB689&gt;Driver!$F$55,CB689&lt;Driver!$G$55)</f>
        <v/>
      </c>
      <c r="H689" s="60">
        <f>AND(B689:G689)</f>
        <v/>
      </c>
      <c r="I689" s="60">
        <f>COUNTIFS($H$9:$H$1273,TRUE,$BT$9:$BT$1273,BT689)</f>
        <v/>
      </c>
      <c r="J689" s="60">
        <f t="array" ref="J689">NOT(OR(($H$9:$H$1273=TRUE)*($I$9:$I$1273&gt;0)*($BT$9:$BT$1273=BT689)*($K$9:$K$1273&gt;K689)))</f>
        <v/>
      </c>
      <c r="K689" s="108">
        <f>IFERROR(1-AVERAGE(X689:Y689),"")</f>
        <v/>
      </c>
      <c r="L689" s="108">
        <f>1-X689</f>
        <v/>
      </c>
      <c r="M689" s="108">
        <f>1-Y689</f>
        <v/>
      </c>
      <c r="N689" s="108">
        <f>1-Z689</f>
        <v/>
      </c>
      <c r="O689" s="108">
        <f>1-AA689</f>
        <v/>
      </c>
      <c r="P689" s="108">
        <f>1-AB689</f>
        <v/>
      </c>
      <c r="Q689" s="108" t="n"/>
      <c r="R689" s="108" t="n"/>
      <c r="S689" s="108">
        <f>1-AE689</f>
        <v/>
      </c>
      <c r="T689" s="108">
        <f>1-AF689</f>
        <v/>
      </c>
      <c r="U689" s="108">
        <f>1-AG689</f>
        <v/>
      </c>
      <c r="V689" s="108">
        <f>1-AH689</f>
        <v/>
      </c>
      <c r="W689" s="108">
        <f>1-AI689</f>
        <v/>
      </c>
      <c r="X689" s="108">
        <f>ABS(AJ689-AJ$1)</f>
        <v/>
      </c>
      <c r="Y689" s="108">
        <f>AVERAGE(Z689:AB689)</f>
        <v/>
      </c>
      <c r="Z689" s="108">
        <f>ABS(AL689-AL$1)</f>
        <v/>
      </c>
      <c r="AA689" s="108">
        <f>ABS(AM689-AM$1)</f>
        <v/>
      </c>
      <c r="AB689" s="108">
        <f>ABS(AN689-AN$1)</f>
        <v/>
      </c>
      <c r="AC689" s="108" t="n"/>
      <c r="AD689" s="108" t="n"/>
      <c r="AE689" s="108">
        <f>ABS(AQ$1-AQ689)</f>
        <v/>
      </c>
      <c r="AF689" s="108">
        <f>ABS(AR$1-AR689)</f>
        <v/>
      </c>
      <c r="AG689" s="108">
        <f>ABS(AS$1-AS689)</f>
        <v/>
      </c>
      <c r="AH689" s="108">
        <f>ABS(AT$1-AT689)</f>
        <v/>
      </c>
      <c r="AI689" s="108">
        <f>ABS(AU$1-AU689)</f>
        <v/>
      </c>
      <c r="AJ689" s="108">
        <f>(AV689-Driver!$K$179)/(Driver!$L$179-Driver!$K$179)</f>
        <v/>
      </c>
      <c r="AK689" s="108">
        <f>(AW689-Driver!$K$180)/(Driver!$L$180-Driver!$K$180)</f>
        <v/>
      </c>
      <c r="AL689" s="108">
        <f>(AX689-Driver!$K$181)/(Driver!$L$181-Driver!$K$181)</f>
        <v/>
      </c>
      <c r="AM689" s="108">
        <f>(AY689-Driver!$K$182)/(Driver!$L$182-Driver!$K$182)</f>
        <v/>
      </c>
      <c r="AN689" s="108">
        <f>(AZ689-Driver!$K$183)/(Driver!$L$183-Driver!$K$183)</f>
        <v/>
      </c>
      <c r="AO689" s="108" t="n"/>
      <c r="AP689" s="108" t="n"/>
      <c r="AQ689" s="108">
        <f>(BC689-Driver!$K$188)/(Driver!$L$188-Driver!$K$188)</f>
        <v/>
      </c>
      <c r="AR689" s="108">
        <f>MIN((BD689-Driver!$K$189)/(Driver!$L$189-Driver!$K$189),100%)</f>
        <v/>
      </c>
      <c r="AS689" s="108">
        <f>(BE689-Driver!$K$190)/(Driver!$L$190-Driver!$K$190)</f>
        <v/>
      </c>
      <c r="AT689" s="108">
        <f>(BF689-Driver!$K$191)/(Driver!$L$191-Driver!$K$191)</f>
        <v/>
      </c>
      <c r="AU689" s="108">
        <f>(BG689-Driver!$K$192)/(Driver!$L$192-Driver!$K$192)</f>
        <v/>
      </c>
      <c r="AV689" s="105">
        <f>IFERROR(BM689*BJ689^1/4,"")</f>
        <v/>
      </c>
      <c r="AW689" s="105">
        <f>IFERROR(SUM(AX689:AZ689),"")</f>
        <v/>
      </c>
      <c r="AX689" s="105">
        <f>IFERROR(BH689,"")</f>
        <v/>
      </c>
      <c r="AY689" s="105">
        <f>IFERROR(Driver!$K$19/Data!BH689/Data!BI689*Data!BK689*Data!BL689,"")</f>
        <v/>
      </c>
      <c r="AZ689" s="105">
        <f>IFERROR(BI689*BN689,"")</f>
        <v/>
      </c>
      <c r="BA689" s="105" t="n"/>
      <c r="BB689" s="105" t="n"/>
      <c r="BC689" s="105">
        <f>IFERROR(BI689*BN689*BK689/BJ689^(1/2),"")</f>
        <v/>
      </c>
      <c r="BD689" s="105">
        <f>IFERROR(BH689*BM689*BL689/BJ689/BK689,"")</f>
        <v/>
      </c>
      <c r="BE689" s="105">
        <f>IFERROR(MIN(BI689/BQ689/BP689/BO689/BH689,$BE$1),"")</f>
        <v/>
      </c>
      <c r="BF689" s="105">
        <f>IFERROR(BJ689*BO689*BP689/BK689,"")</f>
        <v/>
      </c>
      <c r="BG689" s="105">
        <f>IFERROR(1/BM689/BH689*BQ689,"")</f>
        <v/>
      </c>
      <c r="BH689" s="102">
        <f>MAX((CE689-Driver!$F$200)/(Driver!$G$200-Driver!$F$200)*$BI$1,1)</f>
        <v/>
      </c>
      <c r="BI689" s="102">
        <f>MAX($BI$1*(BY689-Driver!$F$201)/(Driver!$G$201-Driver!$F$201),1)</f>
        <v/>
      </c>
      <c r="BJ689" s="102">
        <f>(CB689-Driver!$F$206)/(Driver!$G$206-Driver!$F$206)*$BI$1</f>
        <v/>
      </c>
      <c r="BK689" s="102">
        <f>(CD689-Driver!$F$203)/(Driver!$G$203-Driver!$F$203)*$BI$1</f>
        <v/>
      </c>
      <c r="BL689" s="102">
        <f>MAX((CR689-Driver!$F$202)/(Driver!$G$202-Driver!$F$202)*$BI$1,1)</f>
        <v/>
      </c>
      <c r="BM689" s="102">
        <f>MAX((CH689-Driver!$F$204)/(Driver!$G$204-Driver!$F$204)*$BI$1,1)</f>
        <v/>
      </c>
      <c r="BN689" s="102">
        <f>(CI689-Driver!$F$205)/(Driver!$G$205-Driver!$F$205)*$BI$1</f>
        <v/>
      </c>
      <c r="BO689" s="102">
        <f>(CK689-Driver!$F$207)/(Driver!$G$207-Driver!$F$207)*$BI$1</f>
        <v/>
      </c>
      <c r="BP689" s="102">
        <f>(CM689-Driver!$F$208)/(Driver!$G$208-Driver!$F$208)*$BI$1</f>
        <v/>
      </c>
      <c r="BQ689" s="102">
        <f>(CL689-Driver!$F$209)/(Driver!$G$209-Driver!$F$209)*$BI$1</f>
        <v/>
      </c>
      <c r="BR689" s="40" t="inlineStr">
        <is>
          <t>21/22</t>
        </is>
      </c>
      <c r="BS689" s="10" t="inlineStr">
        <is>
          <t xml:space="preserve"> Nordica</t>
        </is>
      </c>
      <c r="BT689" s="11" t="inlineStr">
        <is>
          <t>Santa Ana 84</t>
        </is>
      </c>
      <c r="BU689" s="13" t="n">
        <v>165</v>
      </c>
      <c r="BV689" s="11" t="inlineStr">
        <is>
          <t xml:space="preserve"> Women's</t>
        </is>
      </c>
      <c r="BW689" s="13" t="n">
        <v>165</v>
      </c>
      <c r="BX689" s="13" t="n">
        <v>164.1</v>
      </c>
      <c r="BY689" s="13" t="n">
        <v>123</v>
      </c>
      <c r="BZ689" s="13" t="n">
        <v>139</v>
      </c>
      <c r="CA689" s="13" t="n">
        <v>121</v>
      </c>
      <c r="CB689" s="13" t="n">
        <v>83</v>
      </c>
      <c r="CC689" s="13" t="n">
        <v>105</v>
      </c>
      <c r="CD689" s="13" t="n">
        <v>15.3</v>
      </c>
      <c r="CE689" s="13" t="n">
        <v>1560</v>
      </c>
      <c r="CF689" s="13" t="n">
        <v>1.01</v>
      </c>
      <c r="CG689" s="13" t="n">
        <v>1572</v>
      </c>
      <c r="CH689" s="13" t="n">
        <v>164</v>
      </c>
      <c r="CI689" s="13" t="n">
        <v>75</v>
      </c>
      <c r="CJ689" s="13" t="n">
        <v>58</v>
      </c>
      <c r="CK689" s="13" t="n">
        <v>259</v>
      </c>
      <c r="CL689" s="13" t="n">
        <v>17</v>
      </c>
      <c r="CM689" s="13" t="n">
        <v>150</v>
      </c>
      <c r="CN689" s="13" t="n">
        <v>0.286</v>
      </c>
      <c r="CO689" s="13" t="n">
        <v>142</v>
      </c>
      <c r="CP689" s="13" t="n">
        <v>104</v>
      </c>
      <c r="CQ689" s="13" t="n">
        <v>117</v>
      </c>
      <c r="CR689" s="13" t="n">
        <v>3</v>
      </c>
      <c r="CS689" s="13" t="n">
        <v>10.4</v>
      </c>
      <c r="CT689" s="11" t="inlineStr">
        <is>
          <t xml:space="preserve"> On-Piste All-Mountain</t>
        </is>
      </c>
      <c r="CU689" s="11" t="inlineStr">
        <is>
          <t xml:space="preserve"> Resort Freeride</t>
        </is>
      </c>
      <c r="CV689" s="13" t="n"/>
      <c r="CW689" s="13" t="n"/>
      <c r="CX689">
        <f>INDEX('Data_Price '!AG$2:AG$1266,MATCH(Data!$DN689,'Data_Price '!$AT$2:$AT$1266,0))</f>
        <v/>
      </c>
      <c r="CY689">
        <f>INDEX('Data_Price '!AH$2:AH$1266,MATCH(Data!$DN689,'Data_Price '!$AT$2:$AT$1266,0))</f>
        <v/>
      </c>
      <c r="CZ689">
        <f>INDEX('Data_Price '!AI$2:AI$1266,MATCH(Data!$DN689,'Data_Price '!$AT$2:$AT$1266,0))</f>
        <v/>
      </c>
      <c r="DA689">
        <f>INDEX('Data_Price '!AJ$2:AJ$1266,MATCH(Data!$DN689,'Data_Price '!$AT$2:$AT$1266,0))</f>
        <v/>
      </c>
      <c r="DB689">
        <f>INDEX('Data_Price '!AK$2:AK$1266,MATCH(Data!$DN689,'Data_Price '!$AT$2:$AT$1266,0))</f>
        <v/>
      </c>
      <c r="DC689">
        <f>INDEX('Data_Price '!AL$2:AL$1266,MATCH(Data!$DN689,'Data_Price '!$AT$2:$AT$1266,0))</f>
        <v/>
      </c>
      <c r="DD689">
        <f>INDEX('Data_Price '!AM$2:AM$1266,MATCH(Data!$DN689,'Data_Price '!$AT$2:$AT$1266,0))</f>
        <v/>
      </c>
      <c r="DE689">
        <f>INDEX('Data_Price '!AN$2:AN$1266,MATCH(Data!$DN689,'Data_Price '!$AT$2:$AT$1266,0))</f>
        <v/>
      </c>
      <c r="DF689">
        <f>INDEX('Data_Price '!AO$2:AO$1266,MATCH(Data!$DN689,'Data_Price '!$AT$2:$AT$1266,0))</f>
        <v/>
      </c>
      <c r="DG689">
        <f>INDEX('Data_Price '!AP$2:AP$1266,MATCH(Data!$DN689,'Data_Price '!$AT$2:$AT$1266,0))</f>
        <v/>
      </c>
      <c r="DH689">
        <f>INDEX('Data_Price '!AQ$2:AQ$1266,MATCH(Data!$DN689,'Data_Price '!$AT$2:$AT$1266,0))</f>
        <v/>
      </c>
      <c r="DI689">
        <f>INDEX('Data_Price '!AR$2:AR$1266,MATCH(Data!$DN689,'Data_Price '!$AT$2:$AT$1266,0))</f>
        <v/>
      </c>
      <c r="DJ689" s="138">
        <f>DA689</f>
        <v/>
      </c>
      <c r="DK689" s="138">
        <f>DE689</f>
        <v/>
      </c>
      <c r="DL689" s="138">
        <f>DI689</f>
        <v/>
      </c>
      <c r="DM689" s="303">
        <f>IF(LEFT(BT689,1)=" ",RIGHT(BT689,LEN(BT689)-1),BT689)</f>
        <v/>
      </c>
      <c r="DN689" s="138">
        <f>_xlfn.CONCAT(BS689,DM689,BU689,BV689)</f>
        <v/>
      </c>
      <c r="DO689" s="307" t="n"/>
    </row>
    <row r="690" ht="15.6" customHeight="1" s="184">
      <c r="B690" s="303">
        <f t="array" ref="B690">IF(OR(ISERROR(K690:P690)),FALSE,TRUE)</f>
        <v/>
      </c>
      <c r="C690" s="60">
        <f>OR(BR690=Driver!$G$50,Data!BR1148=Driver!$H$50)</f>
        <v/>
      </c>
      <c r="D690" s="60">
        <f>OR(BV690=Driver!$G$51,BV690=Driver!$H$51)</f>
        <v/>
      </c>
      <c r="E690" s="60">
        <f>AND(BX690&gt;Driver!$F$54,BX690&lt;Driver!$G$54)</f>
        <v/>
      </c>
      <c r="F690" s="60">
        <f>CL690&gt;Driver!$F$56</f>
        <v/>
      </c>
      <c r="G690" s="60">
        <f>AND(CB690&gt;Driver!$F$55,CB690&lt;Driver!$G$55)</f>
        <v/>
      </c>
      <c r="H690" s="60">
        <f>AND(B690:G690)</f>
        <v/>
      </c>
      <c r="I690" s="60">
        <f>COUNTIFS($H$9:$H$1273,TRUE,$BT$9:$BT$1273,BT690)</f>
        <v/>
      </c>
      <c r="J690" s="60">
        <f t="array" ref="J690">NOT(OR(($H$9:$H$1273=TRUE)*($I$9:$I$1273&gt;0)*($BT$9:$BT$1273=BT690)*($K$9:$K$1273&gt;K690)))</f>
        <v/>
      </c>
      <c r="K690" s="108">
        <f>IFERROR(1-AVERAGE(X690:Y690),"")</f>
        <v/>
      </c>
      <c r="L690" s="108">
        <f>1-X690</f>
        <v/>
      </c>
      <c r="M690" s="108">
        <f>1-Y690</f>
        <v/>
      </c>
      <c r="N690" s="108">
        <f>1-Z690</f>
        <v/>
      </c>
      <c r="O690" s="108">
        <f>1-AA690</f>
        <v/>
      </c>
      <c r="P690" s="108">
        <f>1-AB690</f>
        <v/>
      </c>
      <c r="Q690" s="108" t="n"/>
      <c r="R690" s="108" t="n"/>
      <c r="S690" s="108">
        <f>1-AE690</f>
        <v/>
      </c>
      <c r="T690" s="108">
        <f>1-AF690</f>
        <v/>
      </c>
      <c r="U690" s="108">
        <f>1-AG690</f>
        <v/>
      </c>
      <c r="V690" s="108">
        <f>1-AH690</f>
        <v/>
      </c>
      <c r="W690" s="108">
        <f>1-AI690</f>
        <v/>
      </c>
      <c r="X690" s="108">
        <f>ABS(AJ690-AJ$1)</f>
        <v/>
      </c>
      <c r="Y690" s="108">
        <f>AVERAGE(Z690:AB690)</f>
        <v/>
      </c>
      <c r="Z690" s="108">
        <f>ABS(AL690-AL$1)</f>
        <v/>
      </c>
      <c r="AA690" s="108">
        <f>ABS(AM690-AM$1)</f>
        <v/>
      </c>
      <c r="AB690" s="108">
        <f>ABS(AN690-AN$1)</f>
        <v/>
      </c>
      <c r="AC690" s="108" t="n"/>
      <c r="AD690" s="108" t="n"/>
      <c r="AE690" s="108">
        <f>ABS(AQ$1-AQ690)</f>
        <v/>
      </c>
      <c r="AF690" s="108">
        <f>ABS(AR$1-AR690)</f>
        <v/>
      </c>
      <c r="AG690" s="108">
        <f>ABS(AS$1-AS690)</f>
        <v/>
      </c>
      <c r="AH690" s="108">
        <f>ABS(AT$1-AT690)</f>
        <v/>
      </c>
      <c r="AI690" s="108">
        <f>ABS(AU$1-AU690)</f>
        <v/>
      </c>
      <c r="AJ690" s="108">
        <f>(AV690-Driver!$K$179)/(Driver!$L$179-Driver!$K$179)</f>
        <v/>
      </c>
      <c r="AK690" s="108">
        <f>(AW690-Driver!$K$180)/(Driver!$L$180-Driver!$K$180)</f>
        <v/>
      </c>
      <c r="AL690" s="108">
        <f>(AX690-Driver!$K$181)/(Driver!$L$181-Driver!$K$181)</f>
        <v/>
      </c>
      <c r="AM690" s="108">
        <f>(AY690-Driver!$K$182)/(Driver!$L$182-Driver!$K$182)</f>
        <v/>
      </c>
      <c r="AN690" s="108">
        <f>(AZ690-Driver!$K$183)/(Driver!$L$183-Driver!$K$183)</f>
        <v/>
      </c>
      <c r="AO690" s="108" t="n"/>
      <c r="AP690" s="108" t="n"/>
      <c r="AQ690" s="108">
        <f>(BC690-Driver!$K$188)/(Driver!$L$188-Driver!$K$188)</f>
        <v/>
      </c>
      <c r="AR690" s="108">
        <f>MIN((BD690-Driver!$K$189)/(Driver!$L$189-Driver!$K$189),100%)</f>
        <v/>
      </c>
      <c r="AS690" s="108">
        <f>(BE690-Driver!$K$190)/(Driver!$L$190-Driver!$K$190)</f>
        <v/>
      </c>
      <c r="AT690" s="108">
        <f>(BF690-Driver!$K$191)/(Driver!$L$191-Driver!$K$191)</f>
        <v/>
      </c>
      <c r="AU690" s="108">
        <f>(BG690-Driver!$K$192)/(Driver!$L$192-Driver!$K$192)</f>
        <v/>
      </c>
      <c r="AV690" s="105">
        <f>IFERROR(BM690*BJ690^1/4,"")</f>
        <v/>
      </c>
      <c r="AW690" s="105">
        <f>IFERROR(SUM(AX690:AZ690),"")</f>
        <v/>
      </c>
      <c r="AX690" s="105">
        <f>IFERROR(BH690,"")</f>
        <v/>
      </c>
      <c r="AY690" s="105">
        <f>IFERROR(Driver!$K$19/Data!BH690/Data!BI690*Data!BK690*Data!BL690,"")</f>
        <v/>
      </c>
      <c r="AZ690" s="105">
        <f>IFERROR(BI690*BN690,"")</f>
        <v/>
      </c>
      <c r="BA690" s="105" t="n"/>
      <c r="BB690" s="105" t="n"/>
      <c r="BC690" s="105">
        <f>IFERROR(BI690*BN690*BK690/BJ690^(1/2),"")</f>
        <v/>
      </c>
      <c r="BD690" s="105">
        <f>IFERROR(BH690*BM690*BL690/BJ690/BK690,"")</f>
        <v/>
      </c>
      <c r="BE690" s="105">
        <f>IFERROR(MIN(BI690/BQ690/BP690/BO690/BH690,$BE$1),"")</f>
        <v/>
      </c>
      <c r="BF690" s="105">
        <f>IFERROR(BJ690*BO690*BP690/BK690,"")</f>
        <v/>
      </c>
      <c r="BG690" s="105">
        <f>IFERROR(1/BM690/BH690*BQ690,"")</f>
        <v/>
      </c>
      <c r="BH690" s="102">
        <f>MAX((CE690-Driver!$F$200)/(Driver!$G$200-Driver!$F$200)*$BI$1,1)</f>
        <v/>
      </c>
      <c r="BI690" s="102">
        <f>MAX($BI$1*(BY690-Driver!$F$201)/(Driver!$G$201-Driver!$F$201),1)</f>
        <v/>
      </c>
      <c r="BJ690" s="102">
        <f>(CB690-Driver!$F$206)/(Driver!$G$206-Driver!$F$206)*$BI$1</f>
        <v/>
      </c>
      <c r="BK690" s="102">
        <f>(CD690-Driver!$F$203)/(Driver!$G$203-Driver!$F$203)*$BI$1</f>
        <v/>
      </c>
      <c r="BL690" s="102">
        <f>MAX((CR690-Driver!$F$202)/(Driver!$G$202-Driver!$F$202)*$BI$1,1)</f>
        <v/>
      </c>
      <c r="BM690" s="102">
        <f>MAX((CH690-Driver!$F$204)/(Driver!$G$204-Driver!$F$204)*$BI$1,1)</f>
        <v/>
      </c>
      <c r="BN690" s="102">
        <f>(CI690-Driver!$F$205)/(Driver!$G$205-Driver!$F$205)*$BI$1</f>
        <v/>
      </c>
      <c r="BO690" s="102">
        <f>(CK690-Driver!$F$207)/(Driver!$G$207-Driver!$F$207)*$BI$1</f>
        <v/>
      </c>
      <c r="BP690" s="102">
        <f>(CM690-Driver!$F$208)/(Driver!$G$208-Driver!$F$208)*$BI$1</f>
        <v/>
      </c>
      <c r="BQ690" s="102">
        <f>(CL690-Driver!$F$209)/(Driver!$G$209-Driver!$F$209)*$BI$1</f>
        <v/>
      </c>
      <c r="BR690" s="40" t="inlineStr">
        <is>
          <t>21/22</t>
        </is>
      </c>
      <c r="BS690" s="10" t="inlineStr">
        <is>
          <t xml:space="preserve"> Völkl</t>
        </is>
      </c>
      <c r="BT690" s="11" t="inlineStr">
        <is>
          <t>Bash 86</t>
        </is>
      </c>
      <c r="BU690" s="13" t="n">
        <v>156</v>
      </c>
      <c r="BV690" s="11" t="inlineStr">
        <is>
          <t xml:space="preserve"> Unisex</t>
        </is>
      </c>
      <c r="BW690" s="13" t="n">
        <v>156</v>
      </c>
      <c r="BX690" s="13" t="n">
        <v>155.5</v>
      </c>
      <c r="BY690" s="13" t="n">
        <v>113</v>
      </c>
      <c r="BZ690" s="13" t="n">
        <v>141</v>
      </c>
      <c r="CA690" s="13" t="n">
        <v>119</v>
      </c>
      <c r="CB690" s="13" t="n">
        <v>85</v>
      </c>
      <c r="CC690" s="13" t="n">
        <v>109</v>
      </c>
      <c r="CD690" s="13" t="n">
        <v>16.6</v>
      </c>
      <c r="CE690" s="13" t="n">
        <v>1556</v>
      </c>
      <c r="CF690" s="13" t="n">
        <v>0.96</v>
      </c>
      <c r="CG690" s="13" t="n">
        <v>1487</v>
      </c>
      <c r="CH690" s="13" t="n">
        <v>155</v>
      </c>
      <c r="CI690" s="13" t="n">
        <v>73</v>
      </c>
      <c r="CJ690" s="13" t="n">
        <v>41</v>
      </c>
      <c r="CK690" s="13" t="n">
        <v>234</v>
      </c>
      <c r="CL690" s="13" t="n">
        <v>39</v>
      </c>
      <c r="CM690" s="13" t="n">
        <v>189</v>
      </c>
      <c r="CN690" s="13" t="n">
        <v>0.963</v>
      </c>
      <c r="CO690" s="13" t="n">
        <v>79</v>
      </c>
      <c r="CP690" s="13" t="n">
        <v>71</v>
      </c>
      <c r="CQ690" s="13" t="n">
        <v>155</v>
      </c>
      <c r="CR690" s="13" t="n">
        <v>3</v>
      </c>
      <c r="CS690" s="13" t="n">
        <v>1.3</v>
      </c>
      <c r="CT690" s="11" t="inlineStr">
        <is>
          <t xml:space="preserve"> Freeski</t>
        </is>
      </c>
      <c r="CU690" s="13" t="n"/>
      <c r="CV690" s="13" t="n"/>
      <c r="CW690" s="13" t="n"/>
      <c r="CX690">
        <f>INDEX('Data_Price '!AG$2:AG$1266,MATCH(Data!$DN690,'Data_Price '!$AT$2:$AT$1266,0))</f>
        <v/>
      </c>
      <c r="CY690">
        <f>INDEX('Data_Price '!AH$2:AH$1266,MATCH(Data!$DN690,'Data_Price '!$AT$2:$AT$1266,0))</f>
        <v/>
      </c>
      <c r="CZ690">
        <f>INDEX('Data_Price '!AI$2:AI$1266,MATCH(Data!$DN690,'Data_Price '!$AT$2:$AT$1266,0))</f>
        <v/>
      </c>
      <c r="DA690">
        <f>INDEX('Data_Price '!AJ$2:AJ$1266,MATCH(Data!$DN690,'Data_Price '!$AT$2:$AT$1266,0))</f>
        <v/>
      </c>
      <c r="DB690">
        <f>INDEX('Data_Price '!AK$2:AK$1266,MATCH(Data!$DN690,'Data_Price '!$AT$2:$AT$1266,0))</f>
        <v/>
      </c>
      <c r="DC690">
        <f>INDEX('Data_Price '!AL$2:AL$1266,MATCH(Data!$DN690,'Data_Price '!$AT$2:$AT$1266,0))</f>
        <v/>
      </c>
      <c r="DD690">
        <f>INDEX('Data_Price '!AM$2:AM$1266,MATCH(Data!$DN690,'Data_Price '!$AT$2:$AT$1266,0))</f>
        <v/>
      </c>
      <c r="DE690">
        <f>INDEX('Data_Price '!AN$2:AN$1266,MATCH(Data!$DN690,'Data_Price '!$AT$2:$AT$1266,0))</f>
        <v/>
      </c>
      <c r="DF690">
        <f>INDEX('Data_Price '!AO$2:AO$1266,MATCH(Data!$DN690,'Data_Price '!$AT$2:$AT$1266,0))</f>
        <v/>
      </c>
      <c r="DG690">
        <f>INDEX('Data_Price '!AP$2:AP$1266,MATCH(Data!$DN690,'Data_Price '!$AT$2:$AT$1266,0))</f>
        <v/>
      </c>
      <c r="DH690">
        <f>INDEX('Data_Price '!AQ$2:AQ$1266,MATCH(Data!$DN690,'Data_Price '!$AT$2:$AT$1266,0))</f>
        <v/>
      </c>
      <c r="DI690">
        <f>INDEX('Data_Price '!AR$2:AR$1266,MATCH(Data!$DN690,'Data_Price '!$AT$2:$AT$1266,0))</f>
        <v/>
      </c>
      <c r="DJ690" s="138">
        <f>DA690</f>
        <v/>
      </c>
      <c r="DK690" s="138">
        <f>DE690</f>
        <v/>
      </c>
      <c r="DL690" s="138">
        <f>DI690</f>
        <v/>
      </c>
      <c r="DM690" s="303">
        <f>IF(LEFT(BT690,1)=" ",RIGHT(BT690,LEN(BT690)-1),BT690)</f>
        <v/>
      </c>
      <c r="DN690" s="138">
        <f>_xlfn.CONCAT(BS690,DM690,BU690,BV690)</f>
        <v/>
      </c>
      <c r="DO690" s="307" t="inlineStr">
        <is>
          <t>https://images.evo.com/imgp/250/183430/726763/clone.jpg</t>
        </is>
      </c>
    </row>
    <row r="691" ht="15.6" customHeight="1" s="184">
      <c r="B691" s="303">
        <f t="array" ref="B691">IF(OR(ISERROR(K691:P691)),FALSE,TRUE)</f>
        <v/>
      </c>
      <c r="C691" s="60">
        <f>OR(BR691=Driver!$G$50,Data!BR751=Driver!$H$50)</f>
        <v/>
      </c>
      <c r="D691" s="60">
        <f>OR(BV691=Driver!$G$51,BV691=Driver!$H$51)</f>
        <v/>
      </c>
      <c r="E691" s="60">
        <f>AND(BX691&gt;Driver!$F$54,BX691&lt;Driver!$G$54)</f>
        <v/>
      </c>
      <c r="F691" s="60">
        <f>CL691&gt;Driver!$F$56</f>
        <v/>
      </c>
      <c r="G691" s="60">
        <f>AND(CB691&gt;Driver!$F$55,CB691&lt;Driver!$G$55)</f>
        <v/>
      </c>
      <c r="H691" s="60">
        <f>AND(B691:G691)</f>
        <v/>
      </c>
      <c r="I691" s="60">
        <f>COUNTIFS($H$9:$H$1273,TRUE,$BT$9:$BT$1273,BT691)</f>
        <v/>
      </c>
      <c r="J691" s="60">
        <f t="array" ref="J691">NOT(OR(($H$9:$H$1273=TRUE)*($I$9:$I$1273&gt;0)*($BT$9:$BT$1273=BT691)*($K$9:$K$1273&gt;K691)))</f>
        <v/>
      </c>
      <c r="K691" s="108">
        <f>IFERROR(1-AVERAGE(X691:Y691),"")</f>
        <v/>
      </c>
      <c r="L691" s="108">
        <f>1-X691</f>
        <v/>
      </c>
      <c r="M691" s="108">
        <f>1-Y691</f>
        <v/>
      </c>
      <c r="N691" s="108">
        <f>1-Z691</f>
        <v/>
      </c>
      <c r="O691" s="108">
        <f>1-AA691</f>
        <v/>
      </c>
      <c r="P691" s="108">
        <f>1-AB691</f>
        <v/>
      </c>
      <c r="Q691" s="108" t="n"/>
      <c r="R691" s="108" t="n"/>
      <c r="S691" s="108">
        <f>1-AE691</f>
        <v/>
      </c>
      <c r="T691" s="108">
        <f>1-AF691</f>
        <v/>
      </c>
      <c r="U691" s="108">
        <f>1-AG691</f>
        <v/>
      </c>
      <c r="V691" s="108">
        <f>1-AH691</f>
        <v/>
      </c>
      <c r="W691" s="108">
        <f>1-AI691</f>
        <v/>
      </c>
      <c r="X691" s="108">
        <f>ABS(AJ691-AJ$1)</f>
        <v/>
      </c>
      <c r="Y691" s="108">
        <f>AVERAGE(Z691:AB691)</f>
        <v/>
      </c>
      <c r="Z691" s="108">
        <f>ABS(AL691-AL$1)</f>
        <v/>
      </c>
      <c r="AA691" s="108">
        <f>ABS(AM691-AM$1)</f>
        <v/>
      </c>
      <c r="AB691" s="108">
        <f>ABS(AN691-AN$1)</f>
        <v/>
      </c>
      <c r="AC691" s="108" t="n"/>
      <c r="AD691" s="108" t="n"/>
      <c r="AE691" s="108">
        <f>ABS(AQ$1-AQ691)</f>
        <v/>
      </c>
      <c r="AF691" s="108">
        <f>ABS(AR$1-AR691)</f>
        <v/>
      </c>
      <c r="AG691" s="108">
        <f>ABS(AS$1-AS691)</f>
        <v/>
      </c>
      <c r="AH691" s="108">
        <f>ABS(AT$1-AT691)</f>
        <v/>
      </c>
      <c r="AI691" s="108">
        <f>ABS(AU$1-AU691)</f>
        <v/>
      </c>
      <c r="AJ691" s="108">
        <f>(AV691-Driver!$K$179)/(Driver!$L$179-Driver!$K$179)</f>
        <v/>
      </c>
      <c r="AK691" s="108">
        <f>(AW691-Driver!$K$180)/(Driver!$L$180-Driver!$K$180)</f>
        <v/>
      </c>
      <c r="AL691" s="108">
        <f>(AX691-Driver!$K$181)/(Driver!$L$181-Driver!$K$181)</f>
        <v/>
      </c>
      <c r="AM691" s="108">
        <f>(AY691-Driver!$K$182)/(Driver!$L$182-Driver!$K$182)</f>
        <v/>
      </c>
      <c r="AN691" s="108">
        <f>(AZ691-Driver!$K$183)/(Driver!$L$183-Driver!$K$183)</f>
        <v/>
      </c>
      <c r="AO691" s="108" t="n"/>
      <c r="AP691" s="108" t="n"/>
      <c r="AQ691" s="108">
        <f>(BC691-Driver!$K$188)/(Driver!$L$188-Driver!$K$188)</f>
        <v/>
      </c>
      <c r="AR691" s="108">
        <f>MIN((BD691-Driver!$K$189)/(Driver!$L$189-Driver!$K$189),100%)</f>
        <v/>
      </c>
      <c r="AS691" s="108">
        <f>(BE691-Driver!$K$190)/(Driver!$L$190-Driver!$K$190)</f>
        <v/>
      </c>
      <c r="AT691" s="108">
        <f>(BF691-Driver!$K$191)/(Driver!$L$191-Driver!$K$191)</f>
        <v/>
      </c>
      <c r="AU691" s="108">
        <f>(BG691-Driver!$K$192)/(Driver!$L$192-Driver!$K$192)</f>
        <v/>
      </c>
      <c r="AV691" s="105">
        <f>IFERROR(BM691*BJ691^1/4,"")</f>
        <v/>
      </c>
      <c r="AW691" s="105">
        <f>IFERROR(SUM(AX691:AZ691),"")</f>
        <v/>
      </c>
      <c r="AX691" s="105">
        <f>IFERROR(BH691,"")</f>
        <v/>
      </c>
      <c r="AY691" s="105">
        <f>IFERROR(Driver!$K$19/Data!BH691/Data!BI691*Data!BK691*Data!BL691,"")</f>
        <v/>
      </c>
      <c r="AZ691" s="105">
        <f>IFERROR(BI691*BN691,"")</f>
        <v/>
      </c>
      <c r="BA691" s="105" t="n"/>
      <c r="BB691" s="105" t="n"/>
      <c r="BC691" s="105">
        <f>IFERROR(BI691*BN691*BK691/BJ691^(1/2),"")</f>
        <v/>
      </c>
      <c r="BD691" s="105">
        <f>IFERROR(BH691*BM691*BL691/BJ691/BK691,"")</f>
        <v/>
      </c>
      <c r="BE691" s="105">
        <f>IFERROR(MIN(BI691/BQ691/BP691/BO691/BH691,$BE$1),"")</f>
        <v/>
      </c>
      <c r="BF691" s="105">
        <f>IFERROR(BJ691*BO691*BP691/BK691,"")</f>
        <v/>
      </c>
      <c r="BG691" s="105">
        <f>IFERROR(1/BM691/BH691*BQ691,"")</f>
        <v/>
      </c>
      <c r="BH691" s="102">
        <f>MAX((CE691-Driver!$F$200)/(Driver!$G$200-Driver!$F$200)*$BI$1,1)</f>
        <v/>
      </c>
      <c r="BI691" s="102">
        <f>MAX($BI$1*(BY691-Driver!$F$201)/(Driver!$G$201-Driver!$F$201),1)</f>
        <v/>
      </c>
      <c r="BJ691" s="102">
        <f>(CB691-Driver!$F$206)/(Driver!$G$206-Driver!$F$206)*$BI$1</f>
        <v/>
      </c>
      <c r="BK691" s="102">
        <f>(CD691-Driver!$F$203)/(Driver!$G$203-Driver!$F$203)*$BI$1</f>
        <v/>
      </c>
      <c r="BL691" s="102">
        <f>MAX((CR691-Driver!$F$202)/(Driver!$G$202-Driver!$F$202)*$BI$1,1)</f>
        <v/>
      </c>
      <c r="BM691" s="102">
        <f>MAX((CH691-Driver!$F$204)/(Driver!$G$204-Driver!$F$204)*$BI$1,1)</f>
        <v/>
      </c>
      <c r="BN691" s="102">
        <f>(CI691-Driver!$F$205)/(Driver!$G$205-Driver!$F$205)*$BI$1</f>
        <v/>
      </c>
      <c r="BO691" s="102">
        <f>(CK691-Driver!$F$207)/(Driver!$G$207-Driver!$F$207)*$BI$1</f>
        <v/>
      </c>
      <c r="BP691" s="102">
        <f>(CM691-Driver!$F$208)/(Driver!$G$208-Driver!$F$208)*$BI$1</f>
        <v/>
      </c>
      <c r="BQ691" s="102">
        <f>(CL691-Driver!$F$209)/(Driver!$G$209-Driver!$F$209)*$BI$1</f>
        <v/>
      </c>
      <c r="BR691" s="40" t="inlineStr">
        <is>
          <t>21/22</t>
        </is>
      </c>
      <c r="BS691" s="10" t="inlineStr">
        <is>
          <t xml:space="preserve"> K2</t>
        </is>
      </c>
      <c r="BT691" s="11" t="inlineStr">
        <is>
          <t>Mindbender 99 Ti</t>
        </is>
      </c>
      <c r="BU691" s="13" t="n">
        <v>177</v>
      </c>
      <c r="BV691" s="11" t="inlineStr">
        <is>
          <t xml:space="preserve"> Unisex</t>
        </is>
      </c>
      <c r="BW691" s="13" t="n">
        <v>177</v>
      </c>
      <c r="BX691" s="13" t="n">
        <v>176.9</v>
      </c>
      <c r="BY691" s="13" t="n">
        <v>125</v>
      </c>
      <c r="BZ691" s="13" t="n">
        <v>150</v>
      </c>
      <c r="CA691" s="13" t="n">
        <v>137</v>
      </c>
      <c r="CB691" s="13" t="n">
        <v>99</v>
      </c>
      <c r="CC691" s="13" t="n">
        <v>122</v>
      </c>
      <c r="CD691" s="13" t="n">
        <v>17.5</v>
      </c>
      <c r="CE691" s="13" t="n">
        <v>2031</v>
      </c>
      <c r="CF691" s="13" t="n">
        <v>0.96</v>
      </c>
      <c r="CG691" s="13" t="n">
        <v>1957</v>
      </c>
      <c r="CH691" s="13" t="n">
        <v>202</v>
      </c>
      <c r="CI691" s="13" t="n">
        <v>122</v>
      </c>
      <c r="CJ691" s="13" t="n">
        <v>49</v>
      </c>
      <c r="CK691" s="13" t="n">
        <v>319</v>
      </c>
      <c r="CL691" s="13" t="n">
        <v>15</v>
      </c>
      <c r="CM691" s="13" t="n">
        <v>202</v>
      </c>
      <c r="CN691" s="13" t="n">
        <v>0.294</v>
      </c>
      <c r="CO691" s="13" t="n">
        <v>152</v>
      </c>
      <c r="CP691" s="13" t="n">
        <v>122</v>
      </c>
      <c r="CQ691" s="13" t="n">
        <v>167</v>
      </c>
      <c r="CR691" s="13" t="n">
        <v>7</v>
      </c>
      <c r="CS691" s="13" t="n">
        <v>11</v>
      </c>
      <c r="CT691" s="11" t="inlineStr">
        <is>
          <t xml:space="preserve"> Resort Freeride</t>
        </is>
      </c>
      <c r="CU691" s="13" t="n"/>
      <c r="CV691" s="13" t="n"/>
      <c r="CW691" s="13" t="n"/>
      <c r="CX691">
        <f>INDEX('Data_Price '!AG$2:AG$1266,MATCH(Data!$DN691,'Data_Price '!$AT$2:$AT$1266,0))</f>
        <v/>
      </c>
      <c r="CY691">
        <f>INDEX('Data_Price '!AH$2:AH$1266,MATCH(Data!$DN691,'Data_Price '!$AT$2:$AT$1266,0))</f>
        <v/>
      </c>
      <c r="CZ691">
        <f>INDEX('Data_Price '!AI$2:AI$1266,MATCH(Data!$DN691,'Data_Price '!$AT$2:$AT$1266,0))</f>
        <v/>
      </c>
      <c r="DA691">
        <f>INDEX('Data_Price '!AJ$2:AJ$1266,MATCH(Data!$DN691,'Data_Price '!$AT$2:$AT$1266,0))</f>
        <v/>
      </c>
      <c r="DB691">
        <f>INDEX('Data_Price '!AK$2:AK$1266,MATCH(Data!$DN691,'Data_Price '!$AT$2:$AT$1266,0))</f>
        <v/>
      </c>
      <c r="DC691">
        <f>INDEX('Data_Price '!AL$2:AL$1266,MATCH(Data!$DN691,'Data_Price '!$AT$2:$AT$1266,0))</f>
        <v/>
      </c>
      <c r="DD691">
        <f>INDEX('Data_Price '!AM$2:AM$1266,MATCH(Data!$DN691,'Data_Price '!$AT$2:$AT$1266,0))</f>
        <v/>
      </c>
      <c r="DE691">
        <f>INDEX('Data_Price '!AN$2:AN$1266,MATCH(Data!$DN691,'Data_Price '!$AT$2:$AT$1266,0))</f>
        <v/>
      </c>
      <c r="DF691">
        <f>INDEX('Data_Price '!AO$2:AO$1266,MATCH(Data!$DN691,'Data_Price '!$AT$2:$AT$1266,0))</f>
        <v/>
      </c>
      <c r="DG691">
        <f>INDEX('Data_Price '!AP$2:AP$1266,MATCH(Data!$DN691,'Data_Price '!$AT$2:$AT$1266,0))</f>
        <v/>
      </c>
      <c r="DH691">
        <f>INDEX('Data_Price '!AQ$2:AQ$1266,MATCH(Data!$DN691,'Data_Price '!$AT$2:$AT$1266,0))</f>
        <v/>
      </c>
      <c r="DI691">
        <f>INDEX('Data_Price '!AR$2:AR$1266,MATCH(Data!$DN691,'Data_Price '!$AT$2:$AT$1266,0))</f>
        <v/>
      </c>
      <c r="DJ691" s="138">
        <f>DA691</f>
        <v/>
      </c>
      <c r="DK691" s="138">
        <f>DE691</f>
        <v/>
      </c>
      <c r="DL691" s="138">
        <f>DI691</f>
        <v/>
      </c>
      <c r="DM691" s="303">
        <f>IF(LEFT(BT691,1)=" ",RIGHT(BT691,LEN(BT691)-1),BT691)</f>
        <v/>
      </c>
      <c r="DN691" s="138">
        <f>_xlfn.CONCAT(BS691,DM691,BU691,BV691)</f>
        <v/>
      </c>
      <c r="DO691" s="307" t="n"/>
    </row>
    <row r="692" ht="15.6" customHeight="1" s="184">
      <c r="B692" s="303">
        <f t="array" ref="B692">IF(OR(ISERROR(K692:P692)),FALSE,TRUE)</f>
        <v/>
      </c>
      <c r="C692" s="60">
        <f>OR(BR692=Driver!$G$50,Data!BR953=Driver!$H$50)</f>
        <v/>
      </c>
      <c r="D692" s="60">
        <f>OR(BV692=Driver!$G$51,BV692=Driver!$H$51)</f>
        <v/>
      </c>
      <c r="E692" s="60">
        <f>AND(BX692&gt;Driver!$F$54,BX692&lt;Driver!$G$54)</f>
        <v/>
      </c>
      <c r="F692" s="60">
        <f>CL692&gt;Driver!$F$56</f>
        <v/>
      </c>
      <c r="G692" s="60">
        <f>AND(CB692&gt;Driver!$F$55,CB692&lt;Driver!$G$55)</f>
        <v/>
      </c>
      <c r="H692" s="60">
        <f>AND(B692:G692)</f>
        <v/>
      </c>
      <c r="I692" s="60">
        <f>COUNTIFS($H$9:$H$1273,TRUE,$BT$9:$BT$1273,BT692)</f>
        <v/>
      </c>
      <c r="J692" s="60">
        <f t="array" ref="J692">NOT(OR(($H$9:$H$1273=TRUE)*($I$9:$I$1273&gt;0)*($BT$9:$BT$1273=BT692)*($K$9:$K$1273&gt;K692)))</f>
        <v/>
      </c>
      <c r="K692" s="108">
        <f>IFERROR(1-AVERAGE(X692:Y692),"")</f>
        <v/>
      </c>
      <c r="L692" s="108">
        <f>1-X692</f>
        <v/>
      </c>
      <c r="M692" s="108">
        <f>1-Y692</f>
        <v/>
      </c>
      <c r="N692" s="108">
        <f>1-Z692</f>
        <v/>
      </c>
      <c r="O692" s="108">
        <f>1-AA692</f>
        <v/>
      </c>
      <c r="P692" s="108">
        <f>1-AB692</f>
        <v/>
      </c>
      <c r="Q692" s="108" t="n"/>
      <c r="R692" s="108" t="n"/>
      <c r="S692" s="108">
        <f>1-AE692</f>
        <v/>
      </c>
      <c r="T692" s="108">
        <f>1-AF692</f>
        <v/>
      </c>
      <c r="U692" s="108">
        <f>1-AG692</f>
        <v/>
      </c>
      <c r="V692" s="108">
        <f>1-AH692</f>
        <v/>
      </c>
      <c r="W692" s="108">
        <f>1-AI692</f>
        <v/>
      </c>
      <c r="X692" s="108">
        <f>ABS(AJ692-AJ$1)</f>
        <v/>
      </c>
      <c r="Y692" s="108">
        <f>AVERAGE(Z692:AB692)</f>
        <v/>
      </c>
      <c r="Z692" s="108">
        <f>ABS(AL692-AL$1)</f>
        <v/>
      </c>
      <c r="AA692" s="108">
        <f>ABS(AM692-AM$1)</f>
        <v/>
      </c>
      <c r="AB692" s="108">
        <f>ABS(AN692-AN$1)</f>
        <v/>
      </c>
      <c r="AC692" s="108" t="n"/>
      <c r="AD692" s="108" t="n"/>
      <c r="AE692" s="108">
        <f>ABS(AQ$1-AQ692)</f>
        <v/>
      </c>
      <c r="AF692" s="108">
        <f>ABS(AR$1-AR692)</f>
        <v/>
      </c>
      <c r="AG692" s="108">
        <f>ABS(AS$1-AS692)</f>
        <v/>
      </c>
      <c r="AH692" s="108">
        <f>ABS(AT$1-AT692)</f>
        <v/>
      </c>
      <c r="AI692" s="108">
        <f>ABS(AU$1-AU692)</f>
        <v/>
      </c>
      <c r="AJ692" s="108">
        <f>(AV692-Driver!$K$179)/(Driver!$L$179-Driver!$K$179)</f>
        <v/>
      </c>
      <c r="AK692" s="108">
        <f>(AW692-Driver!$K$180)/(Driver!$L$180-Driver!$K$180)</f>
        <v/>
      </c>
      <c r="AL692" s="108">
        <f>(AX692-Driver!$K$181)/(Driver!$L$181-Driver!$K$181)</f>
        <v/>
      </c>
      <c r="AM692" s="108">
        <f>(AY692-Driver!$K$182)/(Driver!$L$182-Driver!$K$182)</f>
        <v/>
      </c>
      <c r="AN692" s="108">
        <f>(AZ692-Driver!$K$183)/(Driver!$L$183-Driver!$K$183)</f>
        <v/>
      </c>
      <c r="AO692" s="108" t="n"/>
      <c r="AP692" s="108" t="n"/>
      <c r="AQ692" s="108">
        <f>(BC692-Driver!$K$188)/(Driver!$L$188-Driver!$K$188)</f>
        <v/>
      </c>
      <c r="AR692" s="108">
        <f>MIN((BD692-Driver!$K$189)/(Driver!$L$189-Driver!$K$189),100%)</f>
        <v/>
      </c>
      <c r="AS692" s="108">
        <f>(BE692-Driver!$K$190)/(Driver!$L$190-Driver!$K$190)</f>
        <v/>
      </c>
      <c r="AT692" s="108">
        <f>(BF692-Driver!$K$191)/(Driver!$L$191-Driver!$K$191)</f>
        <v/>
      </c>
      <c r="AU692" s="108">
        <f>(BG692-Driver!$K$192)/(Driver!$L$192-Driver!$K$192)</f>
        <v/>
      </c>
      <c r="AV692" s="105">
        <f>IFERROR(BM692*BJ692^1/4,"")</f>
        <v/>
      </c>
      <c r="AW692" s="105">
        <f>IFERROR(SUM(AX692:AZ692),"")</f>
        <v/>
      </c>
      <c r="AX692" s="105">
        <f>IFERROR(BH692,"")</f>
        <v/>
      </c>
      <c r="AY692" s="105">
        <f>IFERROR(Driver!$K$19/Data!BH692/Data!BI692*Data!BK692*Data!BL692,"")</f>
        <v/>
      </c>
      <c r="AZ692" s="105">
        <f>IFERROR(BI692*BN692,"")</f>
        <v/>
      </c>
      <c r="BA692" s="105" t="n"/>
      <c r="BB692" s="105" t="n"/>
      <c r="BC692" s="105">
        <f>IFERROR(BI692*BN692*BK692/BJ692^(1/2),"")</f>
        <v/>
      </c>
      <c r="BD692" s="105">
        <f>IFERROR(BH692*BM692*BL692/BJ692/BK692,"")</f>
        <v/>
      </c>
      <c r="BE692" s="105">
        <f>IFERROR(MIN(BI692/BQ692/BP692/BO692/BH692,$BE$1),"")</f>
        <v/>
      </c>
      <c r="BF692" s="105">
        <f>IFERROR(BJ692*BO692*BP692/BK692,"")</f>
        <v/>
      </c>
      <c r="BG692" s="105">
        <f>IFERROR(1/BM692/BH692*BQ692,"")</f>
        <v/>
      </c>
      <c r="BH692" s="102">
        <f>MAX((CE692-Driver!$F$200)/(Driver!$G$200-Driver!$F$200)*$BI$1,1)</f>
        <v/>
      </c>
      <c r="BI692" s="102">
        <f>MAX($BI$1*(BY692-Driver!$F$201)/(Driver!$G$201-Driver!$F$201),1)</f>
        <v/>
      </c>
      <c r="BJ692" s="102">
        <f>(CB692-Driver!$F$206)/(Driver!$G$206-Driver!$F$206)*$BI$1</f>
        <v/>
      </c>
      <c r="BK692" s="102">
        <f>(CD692-Driver!$F$203)/(Driver!$G$203-Driver!$F$203)*$BI$1</f>
        <v/>
      </c>
      <c r="BL692" s="102">
        <f>MAX((CR692-Driver!$F$202)/(Driver!$G$202-Driver!$F$202)*$BI$1,1)</f>
        <v/>
      </c>
      <c r="BM692" s="102">
        <f>MAX((CH692-Driver!$F$204)/(Driver!$G$204-Driver!$F$204)*$BI$1,1)</f>
        <v/>
      </c>
      <c r="BN692" s="102">
        <f>(CI692-Driver!$F$205)/(Driver!$G$205-Driver!$F$205)*$BI$1</f>
        <v/>
      </c>
      <c r="BO692" s="102">
        <f>(CK692-Driver!$F$207)/(Driver!$G$207-Driver!$F$207)*$BI$1</f>
        <v/>
      </c>
      <c r="BP692" s="102">
        <f>(CM692-Driver!$F$208)/(Driver!$G$208-Driver!$F$208)*$BI$1</f>
        <v/>
      </c>
      <c r="BQ692" s="102">
        <f>(CL692-Driver!$F$209)/(Driver!$G$209-Driver!$F$209)*$BI$1</f>
        <v/>
      </c>
      <c r="BR692" s="40" t="inlineStr">
        <is>
          <t>21/22</t>
        </is>
      </c>
      <c r="BS692" s="10" t="inlineStr">
        <is>
          <t xml:space="preserve"> Raccoon</t>
        </is>
      </c>
      <c r="BT692" s="11" t="inlineStr">
        <is>
          <t>Chinook 99</t>
        </is>
      </c>
      <c r="BU692" s="13" t="n">
        <v>180</v>
      </c>
      <c r="BV692" s="11" t="inlineStr">
        <is>
          <t xml:space="preserve"> Unisex</t>
        </is>
      </c>
      <c r="BW692" s="13" t="n">
        <v>180</v>
      </c>
      <c r="BX692" s="13" t="n">
        <v>178.2</v>
      </c>
      <c r="BY692" s="13" t="n">
        <v>119</v>
      </c>
      <c r="BZ692" s="13" t="n">
        <v>149</v>
      </c>
      <c r="CA692" s="13" t="n">
        <v>130</v>
      </c>
      <c r="CB692" s="13" t="n">
        <v>99</v>
      </c>
      <c r="CC692" s="13" t="n">
        <v>120</v>
      </c>
      <c r="CD692" s="13" t="n">
        <v>19.2</v>
      </c>
      <c r="CE692" s="13" t="n">
        <v>1481</v>
      </c>
      <c r="CF692" s="13" t="n">
        <v>1.32</v>
      </c>
      <c r="CG692" s="13" t="n">
        <v>1952</v>
      </c>
      <c r="CH692" s="13" t="n">
        <v>221</v>
      </c>
      <c r="CI692" s="13" t="n">
        <v>54</v>
      </c>
      <c r="CJ692" s="13" t="n">
        <v>75</v>
      </c>
      <c r="CK692" s="13" t="n">
        <v>330</v>
      </c>
      <c r="CL692" s="13" t="n">
        <v>31</v>
      </c>
      <c r="CM692" s="13" t="n">
        <v>262</v>
      </c>
      <c r="CN692" s="13" t="n">
        <v>0.417</v>
      </c>
      <c r="CO692" s="13" t="n">
        <v>157</v>
      </c>
      <c r="CP692" s="13" t="n">
        <v>131</v>
      </c>
      <c r="CQ692" s="13" t="n">
        <v>173</v>
      </c>
      <c r="CR692" s="13" t="n">
        <v>5</v>
      </c>
      <c r="CS692" s="13" t="n">
        <v>11.5</v>
      </c>
      <c r="CT692" s="11" t="inlineStr">
        <is>
          <t xml:space="preserve"> Touring</t>
        </is>
      </c>
      <c r="CU692" s="11" t="inlineStr">
        <is>
          <t xml:space="preserve"> Ultralight Touring</t>
        </is>
      </c>
      <c r="CV692" s="13" t="n"/>
      <c r="CW692" s="13" t="n"/>
      <c r="CX692">
        <f>INDEX('Data_Price '!AG$2:AG$1266,MATCH(Data!$DN692,'Data_Price '!$AT$2:$AT$1266,0))</f>
        <v/>
      </c>
      <c r="CY692">
        <f>INDEX('Data_Price '!AH$2:AH$1266,MATCH(Data!$DN692,'Data_Price '!$AT$2:$AT$1266,0))</f>
        <v/>
      </c>
      <c r="CZ692">
        <f>INDEX('Data_Price '!AI$2:AI$1266,MATCH(Data!$DN692,'Data_Price '!$AT$2:$AT$1266,0))</f>
        <v/>
      </c>
      <c r="DA692">
        <f>INDEX('Data_Price '!AJ$2:AJ$1266,MATCH(Data!$DN692,'Data_Price '!$AT$2:$AT$1266,0))</f>
        <v/>
      </c>
      <c r="DB692">
        <f>INDEX('Data_Price '!AK$2:AK$1266,MATCH(Data!$DN692,'Data_Price '!$AT$2:$AT$1266,0))</f>
        <v/>
      </c>
      <c r="DC692">
        <f>INDEX('Data_Price '!AL$2:AL$1266,MATCH(Data!$DN692,'Data_Price '!$AT$2:$AT$1266,0))</f>
        <v/>
      </c>
      <c r="DD692">
        <f>INDEX('Data_Price '!AM$2:AM$1266,MATCH(Data!$DN692,'Data_Price '!$AT$2:$AT$1266,0))</f>
        <v/>
      </c>
      <c r="DE692">
        <f>INDEX('Data_Price '!AN$2:AN$1266,MATCH(Data!$DN692,'Data_Price '!$AT$2:$AT$1266,0))</f>
        <v/>
      </c>
      <c r="DF692">
        <f>INDEX('Data_Price '!AO$2:AO$1266,MATCH(Data!$DN692,'Data_Price '!$AT$2:$AT$1266,0))</f>
        <v/>
      </c>
      <c r="DG692">
        <f>INDEX('Data_Price '!AP$2:AP$1266,MATCH(Data!$DN692,'Data_Price '!$AT$2:$AT$1266,0))</f>
        <v/>
      </c>
      <c r="DH692">
        <f>INDEX('Data_Price '!AQ$2:AQ$1266,MATCH(Data!$DN692,'Data_Price '!$AT$2:$AT$1266,0))</f>
        <v/>
      </c>
      <c r="DI692">
        <f>INDEX('Data_Price '!AR$2:AR$1266,MATCH(Data!$DN692,'Data_Price '!$AT$2:$AT$1266,0))</f>
        <v/>
      </c>
      <c r="DJ692" s="138">
        <f>DA692</f>
        <v/>
      </c>
      <c r="DK692" s="138">
        <f>DE692</f>
        <v/>
      </c>
      <c r="DL692" s="138">
        <f>DI692</f>
        <v/>
      </c>
      <c r="DM692" s="303">
        <f>IF(LEFT(BT692,1)=" ",RIGHT(BT692,LEN(BT692)-1),BT692)</f>
        <v/>
      </c>
      <c r="DN692" s="138">
        <f>_xlfn.CONCAT(BS692,DM692,BU692,BV692)</f>
        <v/>
      </c>
      <c r="DO692" s="307" t="n"/>
    </row>
    <row r="693" ht="15.6" customHeight="1" s="184">
      <c r="B693" s="303">
        <f t="array" ref="B693">IF(OR(ISERROR(K693:P693)),FALSE,TRUE)</f>
        <v/>
      </c>
      <c r="C693" s="60">
        <f>OR(BR693=Driver!$G$50,Data!BR777=Driver!$H$50)</f>
        <v/>
      </c>
      <c r="D693" s="60">
        <f>OR(BV693=Driver!$G$51,BV693=Driver!$H$51)</f>
        <v/>
      </c>
      <c r="E693" s="60">
        <f>AND(BX693&gt;Driver!$F$54,BX693&lt;Driver!$G$54)</f>
        <v/>
      </c>
      <c r="F693" s="60">
        <f>CL693&gt;Driver!$F$56</f>
        <v/>
      </c>
      <c r="G693" s="60">
        <f>AND(CB693&gt;Driver!$F$55,CB693&lt;Driver!$G$55)</f>
        <v/>
      </c>
      <c r="H693" s="60">
        <f>AND(B693:G693)</f>
        <v/>
      </c>
      <c r="I693" s="60">
        <f>COUNTIFS($H$9:$H$1273,TRUE,$BT$9:$BT$1273,BT693)</f>
        <v/>
      </c>
      <c r="J693" s="60">
        <f t="array" ref="J693">NOT(OR(($H$9:$H$1273=TRUE)*($I$9:$I$1273&gt;0)*($BT$9:$BT$1273=BT693)*($K$9:$K$1273&gt;K693)))</f>
        <v/>
      </c>
      <c r="K693" s="108">
        <f>IFERROR(1-AVERAGE(X693:Y693),"")</f>
        <v/>
      </c>
      <c r="L693" s="108">
        <f>1-X693</f>
        <v/>
      </c>
      <c r="M693" s="108">
        <f>1-Y693</f>
        <v/>
      </c>
      <c r="N693" s="108">
        <f>1-Z693</f>
        <v/>
      </c>
      <c r="O693" s="108">
        <f>1-AA693</f>
        <v/>
      </c>
      <c r="P693" s="108">
        <f>1-AB693</f>
        <v/>
      </c>
      <c r="Q693" s="108" t="n"/>
      <c r="R693" s="108" t="n"/>
      <c r="S693" s="108">
        <f>1-AE693</f>
        <v/>
      </c>
      <c r="T693" s="108">
        <f>1-AF693</f>
        <v/>
      </c>
      <c r="U693" s="108">
        <f>1-AG693</f>
        <v/>
      </c>
      <c r="V693" s="108">
        <f>1-AH693</f>
        <v/>
      </c>
      <c r="W693" s="108">
        <f>1-AI693</f>
        <v/>
      </c>
      <c r="X693" s="108">
        <f>ABS(AJ693-AJ$1)</f>
        <v/>
      </c>
      <c r="Y693" s="108">
        <f>AVERAGE(Z693:AB693)</f>
        <v/>
      </c>
      <c r="Z693" s="108">
        <f>ABS(AL693-AL$1)</f>
        <v/>
      </c>
      <c r="AA693" s="108">
        <f>ABS(AM693-AM$1)</f>
        <v/>
      </c>
      <c r="AB693" s="108">
        <f>ABS(AN693-AN$1)</f>
        <v/>
      </c>
      <c r="AC693" s="108" t="n"/>
      <c r="AD693" s="108" t="n"/>
      <c r="AE693" s="108">
        <f>ABS(AQ$1-AQ693)</f>
        <v/>
      </c>
      <c r="AF693" s="108">
        <f>ABS(AR$1-AR693)</f>
        <v/>
      </c>
      <c r="AG693" s="108">
        <f>ABS(AS$1-AS693)</f>
        <v/>
      </c>
      <c r="AH693" s="108">
        <f>ABS(AT$1-AT693)</f>
        <v/>
      </c>
      <c r="AI693" s="108">
        <f>ABS(AU$1-AU693)</f>
        <v/>
      </c>
      <c r="AJ693" s="108">
        <f>(AV693-Driver!$K$179)/(Driver!$L$179-Driver!$K$179)</f>
        <v/>
      </c>
      <c r="AK693" s="108">
        <f>(AW693-Driver!$K$180)/(Driver!$L$180-Driver!$K$180)</f>
        <v/>
      </c>
      <c r="AL693" s="108">
        <f>(AX693-Driver!$K$181)/(Driver!$L$181-Driver!$K$181)</f>
        <v/>
      </c>
      <c r="AM693" s="108">
        <f>(AY693-Driver!$K$182)/(Driver!$L$182-Driver!$K$182)</f>
        <v/>
      </c>
      <c r="AN693" s="108">
        <f>(AZ693-Driver!$K$183)/(Driver!$L$183-Driver!$K$183)</f>
        <v/>
      </c>
      <c r="AO693" s="108" t="n"/>
      <c r="AP693" s="108" t="n"/>
      <c r="AQ693" s="108">
        <f>(BC693-Driver!$K$188)/(Driver!$L$188-Driver!$K$188)</f>
        <v/>
      </c>
      <c r="AR693" s="108">
        <f>MIN((BD693-Driver!$K$189)/(Driver!$L$189-Driver!$K$189),100%)</f>
        <v/>
      </c>
      <c r="AS693" s="108">
        <f>(BE693-Driver!$K$190)/(Driver!$L$190-Driver!$K$190)</f>
        <v/>
      </c>
      <c r="AT693" s="108">
        <f>(BF693-Driver!$K$191)/(Driver!$L$191-Driver!$K$191)</f>
        <v/>
      </c>
      <c r="AU693" s="108">
        <f>(BG693-Driver!$K$192)/(Driver!$L$192-Driver!$K$192)</f>
        <v/>
      </c>
      <c r="AV693" s="105">
        <f>IFERROR(BM693*BJ693^1/4,"")</f>
        <v/>
      </c>
      <c r="AW693" s="105">
        <f>IFERROR(SUM(AX693:AZ693),"")</f>
        <v/>
      </c>
      <c r="AX693" s="105">
        <f>IFERROR(BH693,"")</f>
        <v/>
      </c>
      <c r="AY693" s="105">
        <f>IFERROR(Driver!$K$19/Data!BH693/Data!BI693*Data!BK693*Data!BL693,"")</f>
        <v/>
      </c>
      <c r="AZ693" s="105">
        <f>IFERROR(BI693*BN693,"")</f>
        <v/>
      </c>
      <c r="BA693" s="105" t="n"/>
      <c r="BB693" s="105" t="n"/>
      <c r="BC693" s="105">
        <f>IFERROR(BI693*BN693*BK693/BJ693^(1/2),"")</f>
        <v/>
      </c>
      <c r="BD693" s="105">
        <f>IFERROR(BH693*BM693*BL693/BJ693/BK693,"")</f>
        <v/>
      </c>
      <c r="BE693" s="105">
        <f>IFERROR(MIN(BI693/BQ693/BP693/BO693/BH693,$BE$1),"")</f>
        <v/>
      </c>
      <c r="BF693" s="105">
        <f>IFERROR(BJ693*BO693*BP693/BK693,"")</f>
        <v/>
      </c>
      <c r="BG693" s="105">
        <f>IFERROR(1/BM693/BH693*BQ693,"")</f>
        <v/>
      </c>
      <c r="BH693" s="102">
        <f>MAX((CE693-Driver!$F$200)/(Driver!$G$200-Driver!$F$200)*$BI$1,1)</f>
        <v/>
      </c>
      <c r="BI693" s="102">
        <f>MAX($BI$1*(BY693-Driver!$F$201)/(Driver!$G$201-Driver!$F$201),1)</f>
        <v/>
      </c>
      <c r="BJ693" s="102">
        <f>(CB693-Driver!$F$206)/(Driver!$G$206-Driver!$F$206)*$BI$1</f>
        <v/>
      </c>
      <c r="BK693" s="102">
        <f>(CD693-Driver!$F$203)/(Driver!$G$203-Driver!$F$203)*$BI$1</f>
        <v/>
      </c>
      <c r="BL693" s="102">
        <f>MAX((CR693-Driver!$F$202)/(Driver!$G$202-Driver!$F$202)*$BI$1,1)</f>
        <v/>
      </c>
      <c r="BM693" s="102">
        <f>MAX((CH693-Driver!$F$204)/(Driver!$G$204-Driver!$F$204)*$BI$1,1)</f>
        <v/>
      </c>
      <c r="BN693" s="102">
        <f>(CI693-Driver!$F$205)/(Driver!$G$205-Driver!$F$205)*$BI$1</f>
        <v/>
      </c>
      <c r="BO693" s="102">
        <f>(CK693-Driver!$F$207)/(Driver!$G$207-Driver!$F$207)*$BI$1</f>
        <v/>
      </c>
      <c r="BP693" s="102">
        <f>(CM693-Driver!$F$208)/(Driver!$G$208-Driver!$F$208)*$BI$1</f>
        <v/>
      </c>
      <c r="BQ693" s="102">
        <f>(CL693-Driver!$F$209)/(Driver!$G$209-Driver!$F$209)*$BI$1</f>
        <v/>
      </c>
      <c r="BR693" s="40" t="inlineStr">
        <is>
          <t>21/22</t>
        </is>
      </c>
      <c r="BS693" s="10" t="inlineStr">
        <is>
          <t xml:space="preserve"> K2</t>
        </is>
      </c>
      <c r="BT693" s="11" t="inlineStr">
        <is>
          <t>Reckoner 92 Alliance</t>
        </is>
      </c>
      <c r="BU693" s="13" t="n">
        <v>169</v>
      </c>
      <c r="BV693" s="11" t="inlineStr">
        <is>
          <t xml:space="preserve"> Women's</t>
        </is>
      </c>
      <c r="BW693" s="13" t="n">
        <v>169</v>
      </c>
      <c r="BX693" s="13" t="n">
        <v>168.9</v>
      </c>
      <c r="BY693" s="13" t="n">
        <v>117</v>
      </c>
      <c r="BZ693" s="13" t="n">
        <v>143</v>
      </c>
      <c r="CA693" s="13" t="n">
        <v>123</v>
      </c>
      <c r="CB693" s="13" t="n">
        <v>91</v>
      </c>
      <c r="CC693" s="13" t="n">
        <v>113</v>
      </c>
      <c r="CD693" s="13" t="n">
        <v>17.4</v>
      </c>
      <c r="CE693" s="13" t="n">
        <v>1680</v>
      </c>
      <c r="CF693" s="13" t="n">
        <v>1.02</v>
      </c>
      <c r="CG693" s="13" t="n">
        <v>1716</v>
      </c>
      <c r="CH693" s="13" t="n">
        <v>155</v>
      </c>
      <c r="CI693" s="13" t="n">
        <v>79</v>
      </c>
      <c r="CJ693" s="13" t="n">
        <v>49</v>
      </c>
      <c r="CK693" s="13" t="n">
        <v>265</v>
      </c>
      <c r="CL693" s="13" t="n">
        <v>40</v>
      </c>
      <c r="CM693" s="13" t="n">
        <v>252</v>
      </c>
      <c r="CN693" s="13" t="n">
        <v>0.831</v>
      </c>
      <c r="CO693" s="13" t="n">
        <v>118</v>
      </c>
      <c r="CP693" s="13" t="n">
        <v>142</v>
      </c>
      <c r="CQ693" s="13" t="n">
        <v>147</v>
      </c>
      <c r="CR693" s="13" t="n">
        <v>7</v>
      </c>
      <c r="CS693" s="13" t="n">
        <v>4.8</v>
      </c>
      <c r="CT693" s="11" t="inlineStr">
        <is>
          <t xml:space="preserve"> Resort Freeride</t>
        </is>
      </c>
      <c r="CU693" s="11" t="inlineStr">
        <is>
          <t xml:space="preserve"> Freeski</t>
        </is>
      </c>
      <c r="CV693" s="13" t="n"/>
      <c r="CW693" s="13" t="n"/>
      <c r="CX693">
        <f>INDEX('Data_Price '!AG$2:AG$1266,MATCH(Data!$DN693,'Data_Price '!$AT$2:$AT$1266,0))</f>
        <v/>
      </c>
      <c r="CY693">
        <f>INDEX('Data_Price '!AH$2:AH$1266,MATCH(Data!$DN693,'Data_Price '!$AT$2:$AT$1266,0))</f>
        <v/>
      </c>
      <c r="CZ693">
        <f>INDEX('Data_Price '!AI$2:AI$1266,MATCH(Data!$DN693,'Data_Price '!$AT$2:$AT$1266,0))</f>
        <v/>
      </c>
      <c r="DA693">
        <f>INDEX('Data_Price '!AJ$2:AJ$1266,MATCH(Data!$DN693,'Data_Price '!$AT$2:$AT$1266,0))</f>
        <v/>
      </c>
      <c r="DB693">
        <f>INDEX('Data_Price '!AK$2:AK$1266,MATCH(Data!$DN693,'Data_Price '!$AT$2:$AT$1266,0))</f>
        <v/>
      </c>
      <c r="DC693">
        <f>INDEX('Data_Price '!AL$2:AL$1266,MATCH(Data!$DN693,'Data_Price '!$AT$2:$AT$1266,0))</f>
        <v/>
      </c>
      <c r="DD693">
        <f>INDEX('Data_Price '!AM$2:AM$1266,MATCH(Data!$DN693,'Data_Price '!$AT$2:$AT$1266,0))</f>
        <v/>
      </c>
      <c r="DE693">
        <f>INDEX('Data_Price '!AN$2:AN$1266,MATCH(Data!$DN693,'Data_Price '!$AT$2:$AT$1266,0))</f>
        <v/>
      </c>
      <c r="DF693">
        <f>INDEX('Data_Price '!AO$2:AO$1266,MATCH(Data!$DN693,'Data_Price '!$AT$2:$AT$1266,0))</f>
        <v/>
      </c>
      <c r="DG693">
        <f>INDEX('Data_Price '!AP$2:AP$1266,MATCH(Data!$DN693,'Data_Price '!$AT$2:$AT$1266,0))</f>
        <v/>
      </c>
      <c r="DH693">
        <f>INDEX('Data_Price '!AQ$2:AQ$1266,MATCH(Data!$DN693,'Data_Price '!$AT$2:$AT$1266,0))</f>
        <v/>
      </c>
      <c r="DI693">
        <f>INDEX('Data_Price '!AR$2:AR$1266,MATCH(Data!$DN693,'Data_Price '!$AT$2:$AT$1266,0))</f>
        <v/>
      </c>
      <c r="DJ693" s="138">
        <f>DA693</f>
        <v/>
      </c>
      <c r="DK693" s="138">
        <f>DE693</f>
        <v/>
      </c>
      <c r="DL693" s="138">
        <f>DI693</f>
        <v/>
      </c>
      <c r="DM693" s="303">
        <f>IF(LEFT(BT693,1)=" ",RIGHT(BT693,LEN(BT693)-1),BT693)</f>
        <v/>
      </c>
      <c r="DN693" s="138">
        <f>_xlfn.CONCAT(BS693,DM693,BU693,BV693)</f>
        <v/>
      </c>
      <c r="DO693" s="307" t="inlineStr">
        <is>
          <t>https://images.evo.com/imgp/250/201069/825042/k2-reckoner-92-alliance-skis-women-s-2022-.jpg</t>
        </is>
      </c>
    </row>
    <row r="694" ht="15.6" customHeight="1" s="184">
      <c r="B694" s="303">
        <f t="array" ref="B694">IF(OR(ISERROR(K694:P694)),FALSE,TRUE)</f>
        <v/>
      </c>
      <c r="C694" s="60">
        <f>OR(BR694=Driver!$G$50,Data!BR1020=Driver!$H$50)</f>
        <v/>
      </c>
      <c r="D694" s="60">
        <f>OR(BV694=Driver!$G$51,BV694=Driver!$H$51)</f>
        <v/>
      </c>
      <c r="E694" s="60">
        <f>AND(BX694&gt;Driver!$F$54,BX694&lt;Driver!$G$54)</f>
        <v/>
      </c>
      <c r="F694" s="60">
        <f>CL694&gt;Driver!$F$56</f>
        <v/>
      </c>
      <c r="G694" s="60">
        <f>AND(CB694&gt;Driver!$F$55,CB694&lt;Driver!$G$55)</f>
        <v/>
      </c>
      <c r="H694" s="60">
        <f>AND(B694:G694)</f>
        <v/>
      </c>
      <c r="I694" s="60">
        <f>COUNTIFS($H$9:$H$1273,TRUE,$BT$9:$BT$1273,BT694)</f>
        <v/>
      </c>
      <c r="J694" s="60">
        <f t="array" ref="J694">NOT(OR(($H$9:$H$1273=TRUE)*($I$9:$I$1273&gt;0)*($BT$9:$BT$1273=BT694)*($K$9:$K$1273&gt;K694)))</f>
        <v/>
      </c>
      <c r="K694" s="108">
        <f>IFERROR(1-AVERAGE(X694:Y694),"")</f>
        <v/>
      </c>
      <c r="L694" s="108">
        <f>1-X694</f>
        <v/>
      </c>
      <c r="M694" s="108">
        <f>1-Y694</f>
        <v/>
      </c>
      <c r="N694" s="108">
        <f>1-Z694</f>
        <v/>
      </c>
      <c r="O694" s="108">
        <f>1-AA694</f>
        <v/>
      </c>
      <c r="P694" s="108">
        <f>1-AB694</f>
        <v/>
      </c>
      <c r="Q694" s="108" t="n"/>
      <c r="R694" s="108" t="n"/>
      <c r="S694" s="108">
        <f>1-AE694</f>
        <v/>
      </c>
      <c r="T694" s="108">
        <f>1-AF694</f>
        <v/>
      </c>
      <c r="U694" s="108">
        <f>1-AG694</f>
        <v/>
      </c>
      <c r="V694" s="108">
        <f>1-AH694</f>
        <v/>
      </c>
      <c r="W694" s="108">
        <f>1-AI694</f>
        <v/>
      </c>
      <c r="X694" s="108">
        <f>ABS(AJ694-AJ$1)</f>
        <v/>
      </c>
      <c r="Y694" s="108">
        <f>AVERAGE(Z694:AB694)</f>
        <v/>
      </c>
      <c r="Z694" s="108">
        <f>ABS(AL694-AL$1)</f>
        <v/>
      </c>
      <c r="AA694" s="108">
        <f>ABS(AM694-AM$1)</f>
        <v/>
      </c>
      <c r="AB694" s="108">
        <f>ABS(AN694-AN$1)</f>
        <v/>
      </c>
      <c r="AC694" s="108" t="n"/>
      <c r="AD694" s="108" t="n"/>
      <c r="AE694" s="108">
        <f>ABS(AQ$1-AQ694)</f>
        <v/>
      </c>
      <c r="AF694" s="108">
        <f>ABS(AR$1-AR694)</f>
        <v/>
      </c>
      <c r="AG694" s="108">
        <f>ABS(AS$1-AS694)</f>
        <v/>
      </c>
      <c r="AH694" s="108">
        <f>ABS(AT$1-AT694)</f>
        <v/>
      </c>
      <c r="AI694" s="108">
        <f>ABS(AU$1-AU694)</f>
        <v/>
      </c>
      <c r="AJ694" s="108">
        <f>(AV694-Driver!$K$179)/(Driver!$L$179-Driver!$K$179)</f>
        <v/>
      </c>
      <c r="AK694" s="108">
        <f>(AW694-Driver!$K$180)/(Driver!$L$180-Driver!$K$180)</f>
        <v/>
      </c>
      <c r="AL694" s="108">
        <f>(AX694-Driver!$K$181)/(Driver!$L$181-Driver!$K$181)</f>
        <v/>
      </c>
      <c r="AM694" s="108">
        <f>(AY694-Driver!$K$182)/(Driver!$L$182-Driver!$K$182)</f>
        <v/>
      </c>
      <c r="AN694" s="108">
        <f>(AZ694-Driver!$K$183)/(Driver!$L$183-Driver!$K$183)</f>
        <v/>
      </c>
      <c r="AO694" s="108" t="n"/>
      <c r="AP694" s="108" t="n"/>
      <c r="AQ694" s="108">
        <f>(BC694-Driver!$K$188)/(Driver!$L$188-Driver!$K$188)</f>
        <v/>
      </c>
      <c r="AR694" s="108">
        <f>MIN((BD694-Driver!$K$189)/(Driver!$L$189-Driver!$K$189),100%)</f>
        <v/>
      </c>
      <c r="AS694" s="108">
        <f>(BE694-Driver!$K$190)/(Driver!$L$190-Driver!$K$190)</f>
        <v/>
      </c>
      <c r="AT694" s="108">
        <f>(BF694-Driver!$K$191)/(Driver!$L$191-Driver!$K$191)</f>
        <v/>
      </c>
      <c r="AU694" s="108">
        <f>(BG694-Driver!$K$192)/(Driver!$L$192-Driver!$K$192)</f>
        <v/>
      </c>
      <c r="AV694" s="105">
        <f>IFERROR(BM694*BJ694^1/4,"")</f>
        <v/>
      </c>
      <c r="AW694" s="105">
        <f>IFERROR(SUM(AX694:AZ694),"")</f>
        <v/>
      </c>
      <c r="AX694" s="105">
        <f>IFERROR(BH694,"")</f>
        <v/>
      </c>
      <c r="AY694" s="105">
        <f>IFERROR(Driver!$K$19/Data!BH694/Data!BI694*Data!BK694*Data!BL694,"")</f>
        <v/>
      </c>
      <c r="AZ694" s="105">
        <f>IFERROR(BI694*BN694,"")</f>
        <v/>
      </c>
      <c r="BA694" s="105" t="n"/>
      <c r="BB694" s="105" t="n"/>
      <c r="BC694" s="105">
        <f>IFERROR(BI694*BN694*BK694/BJ694^(1/2),"")</f>
        <v/>
      </c>
      <c r="BD694" s="105">
        <f>IFERROR(BH694*BM694*BL694/BJ694/BK694,"")</f>
        <v/>
      </c>
      <c r="BE694" s="105">
        <f>IFERROR(MIN(BI694/BQ694/BP694/BO694/BH694,$BE$1),"")</f>
        <v/>
      </c>
      <c r="BF694" s="105">
        <f>IFERROR(BJ694*BO694*BP694/BK694,"")</f>
        <v/>
      </c>
      <c r="BG694" s="105">
        <f>IFERROR(1/BM694/BH694*BQ694,"")</f>
        <v/>
      </c>
      <c r="BH694" s="102">
        <f>MAX((CE694-Driver!$F$200)/(Driver!$G$200-Driver!$F$200)*$BI$1,1)</f>
        <v/>
      </c>
      <c r="BI694" s="102">
        <f>MAX($BI$1*(BY694-Driver!$F$201)/(Driver!$G$201-Driver!$F$201),1)</f>
        <v/>
      </c>
      <c r="BJ694" s="102">
        <f>(CB694-Driver!$F$206)/(Driver!$G$206-Driver!$F$206)*$BI$1</f>
        <v/>
      </c>
      <c r="BK694" s="102">
        <f>(CD694-Driver!$F$203)/(Driver!$G$203-Driver!$F$203)*$BI$1</f>
        <v/>
      </c>
      <c r="BL694" s="102">
        <f>MAX((CR694-Driver!$F$202)/(Driver!$G$202-Driver!$F$202)*$BI$1,1)</f>
        <v/>
      </c>
      <c r="BM694" s="102">
        <f>MAX((CH694-Driver!$F$204)/(Driver!$G$204-Driver!$F$204)*$BI$1,1)</f>
        <v/>
      </c>
      <c r="BN694" s="102">
        <f>(CI694-Driver!$F$205)/(Driver!$G$205-Driver!$F$205)*$BI$1</f>
        <v/>
      </c>
      <c r="BO694" s="102">
        <f>(CK694-Driver!$F$207)/(Driver!$G$207-Driver!$F$207)*$BI$1</f>
        <v/>
      </c>
      <c r="BP694" s="102">
        <f>(CM694-Driver!$F$208)/(Driver!$G$208-Driver!$F$208)*$BI$1</f>
        <v/>
      </c>
      <c r="BQ694" s="102">
        <f>(CL694-Driver!$F$209)/(Driver!$G$209-Driver!$F$209)*$BI$1</f>
        <v/>
      </c>
      <c r="BR694" s="40" t="inlineStr">
        <is>
          <t>21/22</t>
        </is>
      </c>
      <c r="BS694" s="10" t="inlineStr">
        <is>
          <t xml:space="preserve"> Rossignol</t>
        </is>
      </c>
      <c r="BT694" s="11" t="inlineStr">
        <is>
          <t>Experience 86 Basalt W</t>
        </is>
      </c>
      <c r="BU694" s="13" t="n">
        <v>148</v>
      </c>
      <c r="BV694" s="11" t="inlineStr">
        <is>
          <t xml:space="preserve"> Women's</t>
        </is>
      </c>
      <c r="BW694" s="13" t="n">
        <v>148</v>
      </c>
      <c r="BX694" s="13" t="n">
        <v>148.4</v>
      </c>
      <c r="BY694" s="13" t="n">
        <v>109</v>
      </c>
      <c r="BZ694" s="13" t="n">
        <v>134</v>
      </c>
      <c r="CA694" s="13" t="n">
        <v>131</v>
      </c>
      <c r="CB694" s="13" t="n">
        <v>84</v>
      </c>
      <c r="CC694" s="13" t="n">
        <v>119</v>
      </c>
      <c r="CD694" s="13" t="n">
        <v>10.4</v>
      </c>
      <c r="CE694" s="13" t="n">
        <v>1654</v>
      </c>
      <c r="CF694" s="13" t="n">
        <v>0.89</v>
      </c>
      <c r="CG694" s="13" t="n">
        <v>1474</v>
      </c>
      <c r="CH694" s="13" t="n">
        <v>178</v>
      </c>
      <c r="CI694" s="13" t="n">
        <v>74</v>
      </c>
      <c r="CJ694" s="13" t="n">
        <v>51</v>
      </c>
      <c r="CK694" s="13" t="n">
        <v>263</v>
      </c>
      <c r="CL694" s="13" t="n">
        <v>13</v>
      </c>
      <c r="CM694" s="13" t="n">
        <v>129</v>
      </c>
      <c r="CN694" s="13" t="n">
        <v>0.264</v>
      </c>
      <c r="CO694" s="13" t="n">
        <v>78</v>
      </c>
      <c r="CP694" s="13" t="n">
        <v>66</v>
      </c>
      <c r="CQ694" s="13" t="n">
        <v>185</v>
      </c>
      <c r="CR694" s="13" t="n">
        <v>8</v>
      </c>
      <c r="CS694" s="13" t="n">
        <v>6.4</v>
      </c>
      <c r="CT694" s="11" t="inlineStr">
        <is>
          <t xml:space="preserve"> Resort Freeride</t>
        </is>
      </c>
      <c r="CU694" s="13" t="n"/>
      <c r="CV694" s="13" t="n"/>
      <c r="CW694" s="13" t="n"/>
      <c r="CX694">
        <f>INDEX('Data_Price '!AG$2:AG$1266,MATCH(Data!$DN694,'Data_Price '!$AT$2:$AT$1266,0))</f>
        <v/>
      </c>
      <c r="CY694">
        <f>INDEX('Data_Price '!AH$2:AH$1266,MATCH(Data!$DN694,'Data_Price '!$AT$2:$AT$1266,0))</f>
        <v/>
      </c>
      <c r="CZ694">
        <f>INDEX('Data_Price '!AI$2:AI$1266,MATCH(Data!$DN694,'Data_Price '!$AT$2:$AT$1266,0))</f>
        <v/>
      </c>
      <c r="DA694">
        <f>INDEX('Data_Price '!AJ$2:AJ$1266,MATCH(Data!$DN694,'Data_Price '!$AT$2:$AT$1266,0))</f>
        <v/>
      </c>
      <c r="DB694">
        <f>INDEX('Data_Price '!AK$2:AK$1266,MATCH(Data!$DN694,'Data_Price '!$AT$2:$AT$1266,0))</f>
        <v/>
      </c>
      <c r="DC694">
        <f>INDEX('Data_Price '!AL$2:AL$1266,MATCH(Data!$DN694,'Data_Price '!$AT$2:$AT$1266,0))</f>
        <v/>
      </c>
      <c r="DD694">
        <f>INDEX('Data_Price '!AM$2:AM$1266,MATCH(Data!$DN694,'Data_Price '!$AT$2:$AT$1266,0))</f>
        <v/>
      </c>
      <c r="DE694">
        <f>INDEX('Data_Price '!AN$2:AN$1266,MATCH(Data!$DN694,'Data_Price '!$AT$2:$AT$1266,0))</f>
        <v/>
      </c>
      <c r="DF694">
        <f>INDEX('Data_Price '!AO$2:AO$1266,MATCH(Data!$DN694,'Data_Price '!$AT$2:$AT$1266,0))</f>
        <v/>
      </c>
      <c r="DG694">
        <f>INDEX('Data_Price '!AP$2:AP$1266,MATCH(Data!$DN694,'Data_Price '!$AT$2:$AT$1266,0))</f>
        <v/>
      </c>
      <c r="DH694">
        <f>INDEX('Data_Price '!AQ$2:AQ$1266,MATCH(Data!$DN694,'Data_Price '!$AT$2:$AT$1266,0))</f>
        <v/>
      </c>
      <c r="DI694">
        <f>INDEX('Data_Price '!AR$2:AR$1266,MATCH(Data!$DN694,'Data_Price '!$AT$2:$AT$1266,0))</f>
        <v/>
      </c>
      <c r="DJ694" s="138">
        <f>DA694</f>
        <v/>
      </c>
      <c r="DK694" s="138">
        <f>DE694</f>
        <v/>
      </c>
      <c r="DL694" s="138">
        <f>DI694</f>
        <v/>
      </c>
      <c r="DM694" s="303">
        <f>IF(LEFT(BT694,1)=" ",RIGHT(BT694,LEN(BT694)-1),BT694)</f>
        <v/>
      </c>
      <c r="DN694" s="138">
        <f>_xlfn.CONCAT(BS694,DM694,BU694,BV694)</f>
        <v/>
      </c>
      <c r="DO694" s="307" t="inlineStr">
        <is>
          <t>https://images.evo.com/imgp/250/201421/837472/clone.jpg</t>
        </is>
      </c>
    </row>
    <row r="695" ht="15.6" customHeight="1" s="184">
      <c r="B695" s="303">
        <f t="array" ref="B695">IF(OR(ISERROR(K695:P695)),FALSE,TRUE)</f>
        <v/>
      </c>
      <c r="C695" s="60">
        <f>OR(BR695=Driver!$G$50,Data!BR919=Driver!$H$50)</f>
        <v/>
      </c>
      <c r="D695" s="60">
        <f>OR(BV695=Driver!$G$51,BV695=Driver!$H$51)</f>
        <v/>
      </c>
      <c r="E695" s="60">
        <f>AND(BX695&gt;Driver!$F$54,BX695&lt;Driver!$G$54)</f>
        <v/>
      </c>
      <c r="F695" s="60">
        <f>CL695&gt;Driver!$F$56</f>
        <v/>
      </c>
      <c r="G695" s="60">
        <f>AND(CB695&gt;Driver!$F$55,CB695&lt;Driver!$G$55)</f>
        <v/>
      </c>
      <c r="H695" s="60">
        <f>AND(B695:G695)</f>
        <v/>
      </c>
      <c r="I695" s="60">
        <f>COUNTIFS($H$9:$H$1273,TRUE,$BT$9:$BT$1273,BT695)</f>
        <v/>
      </c>
      <c r="J695" s="60">
        <f t="array" ref="J695">NOT(OR(($H$9:$H$1273=TRUE)*($I$9:$I$1273&gt;0)*($BT$9:$BT$1273=BT695)*($K$9:$K$1273&gt;K695)))</f>
        <v/>
      </c>
      <c r="K695" s="108">
        <f>IFERROR(1-AVERAGE(X695:Y695),"")</f>
        <v/>
      </c>
      <c r="L695" s="108">
        <f>1-X695</f>
        <v/>
      </c>
      <c r="M695" s="108">
        <f>1-Y695</f>
        <v/>
      </c>
      <c r="N695" s="108">
        <f>1-Z695</f>
        <v/>
      </c>
      <c r="O695" s="108">
        <f>1-AA695</f>
        <v/>
      </c>
      <c r="P695" s="108">
        <f>1-AB695</f>
        <v/>
      </c>
      <c r="Q695" s="108" t="n"/>
      <c r="R695" s="108" t="n"/>
      <c r="S695" s="108">
        <f>1-AE695</f>
        <v/>
      </c>
      <c r="T695" s="108">
        <f>1-AF695</f>
        <v/>
      </c>
      <c r="U695" s="108">
        <f>1-AG695</f>
        <v/>
      </c>
      <c r="V695" s="108">
        <f>1-AH695</f>
        <v/>
      </c>
      <c r="W695" s="108">
        <f>1-AI695</f>
        <v/>
      </c>
      <c r="X695" s="108">
        <f>ABS(AJ695-AJ$1)</f>
        <v/>
      </c>
      <c r="Y695" s="108">
        <f>AVERAGE(Z695:AB695)</f>
        <v/>
      </c>
      <c r="Z695" s="108">
        <f>ABS(AL695-AL$1)</f>
        <v/>
      </c>
      <c r="AA695" s="108">
        <f>ABS(AM695-AM$1)</f>
        <v/>
      </c>
      <c r="AB695" s="108">
        <f>ABS(AN695-AN$1)</f>
        <v/>
      </c>
      <c r="AC695" s="108" t="n"/>
      <c r="AD695" s="108" t="n"/>
      <c r="AE695" s="108">
        <f>ABS(AQ$1-AQ695)</f>
        <v/>
      </c>
      <c r="AF695" s="108">
        <f>ABS(AR$1-AR695)</f>
        <v/>
      </c>
      <c r="AG695" s="108">
        <f>ABS(AS$1-AS695)</f>
        <v/>
      </c>
      <c r="AH695" s="108">
        <f>ABS(AT$1-AT695)</f>
        <v/>
      </c>
      <c r="AI695" s="108">
        <f>ABS(AU$1-AU695)</f>
        <v/>
      </c>
      <c r="AJ695" s="108">
        <f>(AV695-Driver!$K$179)/(Driver!$L$179-Driver!$K$179)</f>
        <v/>
      </c>
      <c r="AK695" s="108">
        <f>(AW695-Driver!$K$180)/(Driver!$L$180-Driver!$K$180)</f>
        <v/>
      </c>
      <c r="AL695" s="108">
        <f>(AX695-Driver!$K$181)/(Driver!$L$181-Driver!$K$181)</f>
        <v/>
      </c>
      <c r="AM695" s="108">
        <f>(AY695-Driver!$K$182)/(Driver!$L$182-Driver!$K$182)</f>
        <v/>
      </c>
      <c r="AN695" s="108">
        <f>(AZ695-Driver!$K$183)/(Driver!$L$183-Driver!$K$183)</f>
        <v/>
      </c>
      <c r="AO695" s="108" t="n"/>
      <c r="AP695" s="108" t="n"/>
      <c r="AQ695" s="108">
        <f>(BC695-Driver!$K$188)/(Driver!$L$188-Driver!$K$188)</f>
        <v/>
      </c>
      <c r="AR695" s="108">
        <f>MIN((BD695-Driver!$K$189)/(Driver!$L$189-Driver!$K$189),100%)</f>
        <v/>
      </c>
      <c r="AS695" s="108">
        <f>(BE695-Driver!$K$190)/(Driver!$L$190-Driver!$K$190)</f>
        <v/>
      </c>
      <c r="AT695" s="108">
        <f>(BF695-Driver!$K$191)/(Driver!$L$191-Driver!$K$191)</f>
        <v/>
      </c>
      <c r="AU695" s="108">
        <f>(BG695-Driver!$K$192)/(Driver!$L$192-Driver!$K$192)</f>
        <v/>
      </c>
      <c r="AV695" s="105">
        <f>IFERROR(BM695*BJ695^1/4,"")</f>
        <v/>
      </c>
      <c r="AW695" s="105">
        <f>IFERROR(SUM(AX695:AZ695),"")</f>
        <v/>
      </c>
      <c r="AX695" s="105">
        <f>IFERROR(BH695,"")</f>
        <v/>
      </c>
      <c r="AY695" s="105">
        <f>IFERROR(Driver!$K$19/Data!BH695/Data!BI695*Data!BK695*Data!BL695,"")</f>
        <v/>
      </c>
      <c r="AZ695" s="105">
        <f>IFERROR(BI695*BN695,"")</f>
        <v/>
      </c>
      <c r="BA695" s="105" t="n"/>
      <c r="BB695" s="105" t="n"/>
      <c r="BC695" s="105">
        <f>IFERROR(BI695*BN695*BK695/BJ695^(1/2),"")</f>
        <v/>
      </c>
      <c r="BD695" s="105">
        <f>IFERROR(BH695*BM695*BL695/BJ695/BK695,"")</f>
        <v/>
      </c>
      <c r="BE695" s="105">
        <f>IFERROR(MIN(BI695/BQ695/BP695/BO695/BH695,$BE$1),"")</f>
        <v/>
      </c>
      <c r="BF695" s="105">
        <f>IFERROR(BJ695*BO695*BP695/BK695,"")</f>
        <v/>
      </c>
      <c r="BG695" s="105">
        <f>IFERROR(1/BM695/BH695*BQ695,"")</f>
        <v/>
      </c>
      <c r="BH695" s="102">
        <f>MAX((CE695-Driver!$F$200)/(Driver!$G$200-Driver!$F$200)*$BI$1,1)</f>
        <v/>
      </c>
      <c r="BI695" s="102">
        <f>MAX($BI$1*(BY695-Driver!$F$201)/(Driver!$G$201-Driver!$F$201),1)</f>
        <v/>
      </c>
      <c r="BJ695" s="102">
        <f>(CB695-Driver!$F$206)/(Driver!$G$206-Driver!$F$206)*$BI$1</f>
        <v/>
      </c>
      <c r="BK695" s="102">
        <f>(CD695-Driver!$F$203)/(Driver!$G$203-Driver!$F$203)*$BI$1</f>
        <v/>
      </c>
      <c r="BL695" s="102">
        <f>MAX((CR695-Driver!$F$202)/(Driver!$G$202-Driver!$F$202)*$BI$1,1)</f>
        <v/>
      </c>
      <c r="BM695" s="102">
        <f>MAX((CH695-Driver!$F$204)/(Driver!$G$204-Driver!$F$204)*$BI$1,1)</f>
        <v/>
      </c>
      <c r="BN695" s="102">
        <f>(CI695-Driver!$F$205)/(Driver!$G$205-Driver!$F$205)*$BI$1</f>
        <v/>
      </c>
      <c r="BO695" s="102">
        <f>(CK695-Driver!$F$207)/(Driver!$G$207-Driver!$F$207)*$BI$1</f>
        <v/>
      </c>
      <c r="BP695" s="102">
        <f>(CM695-Driver!$F$208)/(Driver!$G$208-Driver!$F$208)*$BI$1</f>
        <v/>
      </c>
      <c r="BQ695" s="102">
        <f>(CL695-Driver!$F$209)/(Driver!$G$209-Driver!$F$209)*$BI$1</f>
        <v/>
      </c>
      <c r="BR695" s="40" t="inlineStr">
        <is>
          <t>21/22</t>
        </is>
      </c>
      <c r="BS695" s="10" t="inlineStr">
        <is>
          <t xml:space="preserve"> Nordica</t>
        </is>
      </c>
      <c r="BT695" s="11" t="inlineStr">
        <is>
          <t>Santa Ana 84</t>
        </is>
      </c>
      <c r="BU695" s="13" t="n">
        <v>158</v>
      </c>
      <c r="BV695" s="11" t="inlineStr">
        <is>
          <t xml:space="preserve"> Women's</t>
        </is>
      </c>
      <c r="BW695" s="13" t="n">
        <v>158</v>
      </c>
      <c r="BX695" s="13" t="n">
        <v>157.2</v>
      </c>
      <c r="BY695" s="13" t="n">
        <v>118</v>
      </c>
      <c r="BZ695" s="13" t="n">
        <v>133</v>
      </c>
      <c r="CA695" s="13" t="n">
        <v>120</v>
      </c>
      <c r="CB695" s="13" t="n">
        <v>83</v>
      </c>
      <c r="CC695" s="13" t="n">
        <v>105</v>
      </c>
      <c r="CD695" s="13" t="n">
        <v>14</v>
      </c>
      <c r="CE695" s="13" t="n">
        <v>1529</v>
      </c>
      <c r="CF695" s="13" t="n">
        <v>0.98</v>
      </c>
      <c r="CG695" s="13" t="n">
        <v>1505</v>
      </c>
      <c r="CH695" s="13" t="n">
        <v>174</v>
      </c>
      <c r="CI695" s="13" t="n">
        <v>79</v>
      </c>
      <c r="CJ695" s="13" t="n">
        <v>59</v>
      </c>
      <c r="CK695" s="13" t="n">
        <v>254</v>
      </c>
      <c r="CL695" s="13" t="n">
        <v>15</v>
      </c>
      <c r="CM695" s="13" t="n">
        <v>141</v>
      </c>
      <c r="CN695" s="13" t="n">
        <v>0.263</v>
      </c>
      <c r="CO695" s="13" t="n">
        <v>141</v>
      </c>
      <c r="CP695" s="13" t="n">
        <v>98</v>
      </c>
      <c r="CQ695" s="13" t="n">
        <v>113</v>
      </c>
      <c r="CR695" s="13" t="n">
        <v>5</v>
      </c>
      <c r="CS695" s="13" t="n">
        <v>10.1</v>
      </c>
      <c r="CT695" s="11" t="inlineStr">
        <is>
          <t xml:space="preserve"> On-Piste All-Mountain</t>
        </is>
      </c>
      <c r="CU695" s="11" t="inlineStr">
        <is>
          <t xml:space="preserve"> Resort Freeride</t>
        </is>
      </c>
      <c r="CV695" s="13" t="n"/>
      <c r="CW695" s="13" t="n"/>
      <c r="CX695">
        <f>INDEX('Data_Price '!AG$2:AG$1266,MATCH(Data!$DN695,'Data_Price '!$AT$2:$AT$1266,0))</f>
        <v/>
      </c>
      <c r="CY695">
        <f>INDEX('Data_Price '!AH$2:AH$1266,MATCH(Data!$DN695,'Data_Price '!$AT$2:$AT$1266,0))</f>
        <v/>
      </c>
      <c r="CZ695">
        <f>INDEX('Data_Price '!AI$2:AI$1266,MATCH(Data!$DN695,'Data_Price '!$AT$2:$AT$1266,0))</f>
        <v/>
      </c>
      <c r="DA695">
        <f>INDEX('Data_Price '!AJ$2:AJ$1266,MATCH(Data!$DN695,'Data_Price '!$AT$2:$AT$1266,0))</f>
        <v/>
      </c>
      <c r="DB695">
        <f>INDEX('Data_Price '!AK$2:AK$1266,MATCH(Data!$DN695,'Data_Price '!$AT$2:$AT$1266,0))</f>
        <v/>
      </c>
      <c r="DC695">
        <f>INDEX('Data_Price '!AL$2:AL$1266,MATCH(Data!$DN695,'Data_Price '!$AT$2:$AT$1266,0))</f>
        <v/>
      </c>
      <c r="DD695">
        <f>INDEX('Data_Price '!AM$2:AM$1266,MATCH(Data!$DN695,'Data_Price '!$AT$2:$AT$1266,0))</f>
        <v/>
      </c>
      <c r="DE695">
        <f>INDEX('Data_Price '!AN$2:AN$1266,MATCH(Data!$DN695,'Data_Price '!$AT$2:$AT$1266,0))</f>
        <v/>
      </c>
      <c r="DF695">
        <f>INDEX('Data_Price '!AO$2:AO$1266,MATCH(Data!$DN695,'Data_Price '!$AT$2:$AT$1266,0))</f>
        <v/>
      </c>
      <c r="DG695">
        <f>INDEX('Data_Price '!AP$2:AP$1266,MATCH(Data!$DN695,'Data_Price '!$AT$2:$AT$1266,0))</f>
        <v/>
      </c>
      <c r="DH695">
        <f>INDEX('Data_Price '!AQ$2:AQ$1266,MATCH(Data!$DN695,'Data_Price '!$AT$2:$AT$1266,0))</f>
        <v/>
      </c>
      <c r="DI695">
        <f>INDEX('Data_Price '!AR$2:AR$1266,MATCH(Data!$DN695,'Data_Price '!$AT$2:$AT$1266,0))</f>
        <v/>
      </c>
      <c r="DJ695" s="138">
        <f>DA695</f>
        <v/>
      </c>
      <c r="DK695" s="138">
        <f>DE695</f>
        <v/>
      </c>
      <c r="DL695" s="138">
        <f>DI695</f>
        <v/>
      </c>
      <c r="DM695" s="303">
        <f>IF(LEFT(BT695,1)=" ",RIGHT(BT695,LEN(BT695)-1),BT695)</f>
        <v/>
      </c>
      <c r="DN695" s="138">
        <f>_xlfn.CONCAT(BS695,DM695,BU695,BV695)</f>
        <v/>
      </c>
      <c r="DO695" s="307" t="n"/>
    </row>
    <row r="696" ht="15.6" customHeight="1" s="184">
      <c r="B696" s="303">
        <f t="array" ref="B696">IF(OR(ISERROR(K696:P696)),FALSE,TRUE)</f>
        <v/>
      </c>
      <c r="C696" s="60">
        <f>OR(BR696=Driver!$G$50,Data!BR136=Driver!$H$50)</f>
        <v/>
      </c>
      <c r="D696" s="60">
        <f>OR(BV696=Driver!$G$51,BV696=Driver!$H$51)</f>
        <v/>
      </c>
      <c r="E696" s="60">
        <f>AND(BX696&gt;Driver!$F$54,BX696&lt;Driver!$G$54)</f>
        <v/>
      </c>
      <c r="F696" s="60">
        <f>CL696&gt;Driver!$F$56</f>
        <v/>
      </c>
      <c r="G696" s="60">
        <f>AND(CB696&gt;Driver!$F$55,CB696&lt;Driver!$G$55)</f>
        <v/>
      </c>
      <c r="H696" s="60">
        <f>AND(B696:G696)</f>
        <v/>
      </c>
      <c r="I696" s="60">
        <f>COUNTIFS($H$9:$H$1273,TRUE,$BT$9:$BT$1273,BT696)</f>
        <v/>
      </c>
      <c r="J696" s="60">
        <f t="array" ref="J696">NOT(OR(($H$9:$H$1273=TRUE)*($I$9:$I$1273&gt;0)*($BT$9:$BT$1273=BT696)*($K$9:$K$1273&gt;K696)))</f>
        <v/>
      </c>
      <c r="K696" s="108">
        <f>IFERROR(1-AVERAGE(X696:Y696),"")</f>
        <v/>
      </c>
      <c r="L696" s="108">
        <f>1-X696</f>
        <v/>
      </c>
      <c r="M696" s="108">
        <f>1-Y696</f>
        <v/>
      </c>
      <c r="N696" s="108">
        <f>1-Z696</f>
        <v/>
      </c>
      <c r="O696" s="108">
        <f>1-AA696</f>
        <v/>
      </c>
      <c r="P696" s="108">
        <f>1-AB696</f>
        <v/>
      </c>
      <c r="Q696" s="108" t="n"/>
      <c r="R696" s="108" t="n"/>
      <c r="S696" s="108">
        <f>1-AE696</f>
        <v/>
      </c>
      <c r="T696" s="108">
        <f>1-AF696</f>
        <v/>
      </c>
      <c r="U696" s="108">
        <f>1-AG696</f>
        <v/>
      </c>
      <c r="V696" s="108">
        <f>1-AH696</f>
        <v/>
      </c>
      <c r="W696" s="108">
        <f>1-AI696</f>
        <v/>
      </c>
      <c r="X696" s="108">
        <f>ABS(AJ696-AJ$1)</f>
        <v/>
      </c>
      <c r="Y696" s="108">
        <f>AVERAGE(Z696:AB696)</f>
        <v/>
      </c>
      <c r="Z696" s="108">
        <f>ABS(AL696-AL$1)</f>
        <v/>
      </c>
      <c r="AA696" s="108">
        <f>ABS(AM696-AM$1)</f>
        <v/>
      </c>
      <c r="AB696" s="108">
        <f>ABS(AN696-AN$1)</f>
        <v/>
      </c>
      <c r="AC696" s="108" t="n"/>
      <c r="AD696" s="108" t="n"/>
      <c r="AE696" s="108">
        <f>ABS(AQ$1-AQ696)</f>
        <v/>
      </c>
      <c r="AF696" s="108">
        <f>ABS(AR$1-AR696)</f>
        <v/>
      </c>
      <c r="AG696" s="108">
        <f>ABS(AS$1-AS696)</f>
        <v/>
      </c>
      <c r="AH696" s="108">
        <f>ABS(AT$1-AT696)</f>
        <v/>
      </c>
      <c r="AI696" s="108">
        <f>ABS(AU$1-AU696)</f>
        <v/>
      </c>
      <c r="AJ696" s="108">
        <f>(AV696-Driver!$K$179)/(Driver!$L$179-Driver!$K$179)</f>
        <v/>
      </c>
      <c r="AK696" s="108">
        <f>(AW696-Driver!$K$180)/(Driver!$L$180-Driver!$K$180)</f>
        <v/>
      </c>
      <c r="AL696" s="108">
        <f>(AX696-Driver!$K$181)/(Driver!$L$181-Driver!$K$181)</f>
        <v/>
      </c>
      <c r="AM696" s="108">
        <f>(AY696-Driver!$K$182)/(Driver!$L$182-Driver!$K$182)</f>
        <v/>
      </c>
      <c r="AN696" s="108">
        <f>(AZ696-Driver!$K$183)/(Driver!$L$183-Driver!$K$183)</f>
        <v/>
      </c>
      <c r="AO696" s="108" t="n"/>
      <c r="AP696" s="108" t="n"/>
      <c r="AQ696" s="108">
        <f>(BC696-Driver!$K$188)/(Driver!$L$188-Driver!$K$188)</f>
        <v/>
      </c>
      <c r="AR696" s="108">
        <f>MIN((BD696-Driver!$K$189)/(Driver!$L$189-Driver!$K$189),100%)</f>
        <v/>
      </c>
      <c r="AS696" s="108">
        <f>(BE696-Driver!$K$190)/(Driver!$L$190-Driver!$K$190)</f>
        <v/>
      </c>
      <c r="AT696" s="108">
        <f>(BF696-Driver!$K$191)/(Driver!$L$191-Driver!$K$191)</f>
        <v/>
      </c>
      <c r="AU696" s="108">
        <f>(BG696-Driver!$K$192)/(Driver!$L$192-Driver!$K$192)</f>
        <v/>
      </c>
      <c r="AV696" s="105">
        <f>IFERROR(BM696*BJ696^1/4,"")</f>
        <v/>
      </c>
      <c r="AW696" s="105">
        <f>IFERROR(SUM(AX696:AZ696),"")</f>
        <v/>
      </c>
      <c r="AX696" s="105">
        <f>IFERROR(BH696,"")</f>
        <v/>
      </c>
      <c r="AY696" s="105">
        <f>IFERROR(Driver!$K$19/Data!BH696/Data!BI696*Data!BK696*Data!BL696,"")</f>
        <v/>
      </c>
      <c r="AZ696" s="105">
        <f>IFERROR(BI696*BN696,"")</f>
        <v/>
      </c>
      <c r="BA696" s="105" t="n"/>
      <c r="BB696" s="105" t="n"/>
      <c r="BC696" s="105">
        <f>IFERROR(BI696*BN696*BK696/BJ696^(1/2),"")</f>
        <v/>
      </c>
      <c r="BD696" s="105">
        <f>IFERROR(BH696*BM696*BL696/BJ696/BK696,"")</f>
        <v/>
      </c>
      <c r="BE696" s="105">
        <f>IFERROR(MIN(BI696/BQ696/BP696/BO696/BH696,$BE$1),"")</f>
        <v/>
      </c>
      <c r="BF696" s="105">
        <f>IFERROR(BJ696*BO696*BP696/BK696,"")</f>
        <v/>
      </c>
      <c r="BG696" s="105">
        <f>IFERROR(1/BM696/BH696*BQ696,"")</f>
        <v/>
      </c>
      <c r="BH696" s="102">
        <f>MAX((CE696-Driver!$F$200)/(Driver!$G$200-Driver!$F$200)*$BI$1,1)</f>
        <v/>
      </c>
      <c r="BI696" s="102">
        <f>MAX($BI$1*(BY696-Driver!$F$201)/(Driver!$G$201-Driver!$F$201),1)</f>
        <v/>
      </c>
      <c r="BJ696" s="102">
        <f>(CB696-Driver!$F$206)/(Driver!$G$206-Driver!$F$206)*$BI$1</f>
        <v/>
      </c>
      <c r="BK696" s="102">
        <f>(CD696-Driver!$F$203)/(Driver!$G$203-Driver!$F$203)*$BI$1</f>
        <v/>
      </c>
      <c r="BL696" s="102">
        <f>MAX((CR696-Driver!$F$202)/(Driver!$G$202-Driver!$F$202)*$BI$1,1)</f>
        <v/>
      </c>
      <c r="BM696" s="102">
        <f>MAX((CH696-Driver!$F$204)/(Driver!$G$204-Driver!$F$204)*$BI$1,1)</f>
        <v/>
      </c>
      <c r="BN696" s="102">
        <f>(CI696-Driver!$F$205)/(Driver!$G$205-Driver!$F$205)*$BI$1</f>
        <v/>
      </c>
      <c r="BO696" s="102">
        <f>(CK696-Driver!$F$207)/(Driver!$G$207-Driver!$F$207)*$BI$1</f>
        <v/>
      </c>
      <c r="BP696" s="102">
        <f>(CM696-Driver!$F$208)/(Driver!$G$208-Driver!$F$208)*$BI$1</f>
        <v/>
      </c>
      <c r="BQ696" s="102">
        <f>(CL696-Driver!$F$209)/(Driver!$G$209-Driver!$F$209)*$BI$1</f>
        <v/>
      </c>
      <c r="BR696" s="40" t="inlineStr">
        <is>
          <t>21/22</t>
        </is>
      </c>
      <c r="BS696" s="10" t="inlineStr">
        <is>
          <t xml:space="preserve"> Atomic</t>
        </is>
      </c>
      <c r="BT696" s="11" t="inlineStr">
        <is>
          <t>Bent Chetler 120</t>
        </is>
      </c>
      <c r="BU696" s="13" t="n">
        <v>184</v>
      </c>
      <c r="BV696" s="11" t="inlineStr">
        <is>
          <t xml:space="preserve"> Unisex</t>
        </is>
      </c>
      <c r="BW696" s="13" t="n">
        <v>184</v>
      </c>
      <c r="BX696" s="13" t="n">
        <v>182.6</v>
      </c>
      <c r="BY696" s="13" t="n">
        <v>107</v>
      </c>
      <c r="BZ696" s="13" t="n">
        <v>137</v>
      </c>
      <c r="CA696" s="13" t="n">
        <v>142</v>
      </c>
      <c r="CB696" s="13" t="n">
        <v>119</v>
      </c>
      <c r="CC696" s="13" t="n">
        <v>133</v>
      </c>
      <c r="CD696" s="13" t="n">
        <v>20.2</v>
      </c>
      <c r="CE696" s="13" t="n">
        <v>1816</v>
      </c>
      <c r="CF696" s="13" t="n">
        <v>1.25</v>
      </c>
      <c r="CG696" s="13" t="n">
        <v>2262</v>
      </c>
      <c r="CH696" s="13" t="n">
        <v>255</v>
      </c>
      <c r="CI696" s="13" t="n">
        <v>103</v>
      </c>
      <c r="CJ696" s="13" t="n">
        <v>54</v>
      </c>
      <c r="CK696" s="13" t="n">
        <v>395</v>
      </c>
      <c r="CL696" s="13" t="n">
        <v>53</v>
      </c>
      <c r="CM696" s="13" t="n">
        <v>359</v>
      </c>
      <c r="CN696" s="13" t="n">
        <v>0.988</v>
      </c>
      <c r="CO696" s="13" t="n">
        <v>204</v>
      </c>
      <c r="CP696" s="13" t="n">
        <v>255</v>
      </c>
      <c r="CQ696" s="13" t="n">
        <v>191</v>
      </c>
      <c r="CR696" s="13" t="n">
        <v>5</v>
      </c>
      <c r="CS696" s="13" t="n">
        <v>3.9</v>
      </c>
      <c r="CT696" s="11" t="inlineStr">
        <is>
          <t xml:space="preserve"> Freeski</t>
        </is>
      </c>
      <c r="CU696" s="11" t="inlineStr">
        <is>
          <t xml:space="preserve"> Powder</t>
        </is>
      </c>
      <c r="CV696" s="11" t="inlineStr">
        <is>
          <t xml:space="preserve"> Touring</t>
        </is>
      </c>
      <c r="CW696" s="13" t="n"/>
      <c r="CX696">
        <f>INDEX('Data_Price '!AG$2:AG$1266,MATCH(Data!$DN696,'Data_Price '!$AT$2:$AT$1266,0))</f>
        <v/>
      </c>
      <c r="CY696">
        <f>INDEX('Data_Price '!AH$2:AH$1266,MATCH(Data!$DN696,'Data_Price '!$AT$2:$AT$1266,0))</f>
        <v/>
      </c>
      <c r="CZ696">
        <f>INDEX('Data_Price '!AI$2:AI$1266,MATCH(Data!$DN696,'Data_Price '!$AT$2:$AT$1266,0))</f>
        <v/>
      </c>
      <c r="DA696">
        <f>INDEX('Data_Price '!AJ$2:AJ$1266,MATCH(Data!$DN696,'Data_Price '!$AT$2:$AT$1266,0))</f>
        <v/>
      </c>
      <c r="DB696">
        <f>INDEX('Data_Price '!AK$2:AK$1266,MATCH(Data!$DN696,'Data_Price '!$AT$2:$AT$1266,0))</f>
        <v/>
      </c>
      <c r="DC696">
        <f>INDEX('Data_Price '!AL$2:AL$1266,MATCH(Data!$DN696,'Data_Price '!$AT$2:$AT$1266,0))</f>
        <v/>
      </c>
      <c r="DD696">
        <f>INDEX('Data_Price '!AM$2:AM$1266,MATCH(Data!$DN696,'Data_Price '!$AT$2:$AT$1266,0))</f>
        <v/>
      </c>
      <c r="DE696">
        <f>INDEX('Data_Price '!AN$2:AN$1266,MATCH(Data!$DN696,'Data_Price '!$AT$2:$AT$1266,0))</f>
        <v/>
      </c>
      <c r="DF696">
        <f>INDEX('Data_Price '!AO$2:AO$1266,MATCH(Data!$DN696,'Data_Price '!$AT$2:$AT$1266,0))</f>
        <v/>
      </c>
      <c r="DG696">
        <f>INDEX('Data_Price '!AP$2:AP$1266,MATCH(Data!$DN696,'Data_Price '!$AT$2:$AT$1266,0))</f>
        <v/>
      </c>
      <c r="DH696">
        <f>INDEX('Data_Price '!AQ$2:AQ$1266,MATCH(Data!$DN696,'Data_Price '!$AT$2:$AT$1266,0))</f>
        <v/>
      </c>
      <c r="DI696">
        <f>INDEX('Data_Price '!AR$2:AR$1266,MATCH(Data!$DN696,'Data_Price '!$AT$2:$AT$1266,0))</f>
        <v/>
      </c>
      <c r="DJ696" s="138">
        <f>DA696</f>
        <v/>
      </c>
      <c r="DK696" s="138">
        <f>DE696</f>
        <v/>
      </c>
      <c r="DL696" s="138">
        <f>DI696</f>
        <v/>
      </c>
      <c r="DM696" s="303">
        <f>IF(LEFT(BT696,1)=" ",RIGHT(BT696,LEN(BT696)-1),BT696)</f>
        <v/>
      </c>
      <c r="DN696" s="138">
        <f>_xlfn.CONCAT(BS696,DM696,BU696,BV696)</f>
        <v/>
      </c>
      <c r="DO696" s="307" t="inlineStr">
        <is>
          <t>https://images.evo.com/imgp/250/219398/896896/atomic-bent-chetler-120-skis-2023-.jpg</t>
        </is>
      </c>
    </row>
    <row r="697" ht="15.6" customHeight="1" s="184">
      <c r="B697" s="303">
        <f t="array" ref="B697">IF(OR(ISERROR(K697:P697)),FALSE,TRUE)</f>
        <v/>
      </c>
      <c r="C697" s="60">
        <f>OR(BR697=Driver!$G$50,Data!BR811=Driver!$H$50)</f>
        <v/>
      </c>
      <c r="D697" s="60">
        <f>OR(BV697=Driver!$G$51,BV697=Driver!$H$51)</f>
        <v/>
      </c>
      <c r="E697" s="60">
        <f>AND(BX697&gt;Driver!$F$54,BX697&lt;Driver!$G$54)</f>
        <v/>
      </c>
      <c r="F697" s="60">
        <f>CL697&gt;Driver!$F$56</f>
        <v/>
      </c>
      <c r="G697" s="60">
        <f>AND(CB697&gt;Driver!$F$55,CB697&lt;Driver!$G$55)</f>
        <v/>
      </c>
      <c r="H697" s="60">
        <f>AND(B697:G697)</f>
        <v/>
      </c>
      <c r="I697" s="60">
        <f>COUNTIFS($H$9:$H$1273,TRUE,$BT$9:$BT$1273,BT697)</f>
        <v/>
      </c>
      <c r="J697" s="60">
        <f t="array" ref="J697">NOT(OR(($H$9:$H$1273=TRUE)*($I$9:$I$1273&gt;0)*($BT$9:$BT$1273=BT697)*($K$9:$K$1273&gt;K697)))</f>
        <v/>
      </c>
      <c r="K697" s="108">
        <f>IFERROR(1-AVERAGE(X697:Y697),"")</f>
        <v/>
      </c>
      <c r="L697" s="108">
        <f>1-X697</f>
        <v/>
      </c>
      <c r="M697" s="108">
        <f>1-Y697</f>
        <v/>
      </c>
      <c r="N697" s="108">
        <f>1-Z697</f>
        <v/>
      </c>
      <c r="O697" s="108">
        <f>1-AA697</f>
        <v/>
      </c>
      <c r="P697" s="108">
        <f>1-AB697</f>
        <v/>
      </c>
      <c r="Q697" s="108" t="n"/>
      <c r="R697" s="108" t="n"/>
      <c r="S697" s="108">
        <f>1-AE697</f>
        <v/>
      </c>
      <c r="T697" s="108">
        <f>1-AF697</f>
        <v/>
      </c>
      <c r="U697" s="108">
        <f>1-AG697</f>
        <v/>
      </c>
      <c r="V697" s="108">
        <f>1-AH697</f>
        <v/>
      </c>
      <c r="W697" s="108">
        <f>1-AI697</f>
        <v/>
      </c>
      <c r="X697" s="108">
        <f>ABS(AJ697-AJ$1)</f>
        <v/>
      </c>
      <c r="Y697" s="108">
        <f>AVERAGE(Z697:AB697)</f>
        <v/>
      </c>
      <c r="Z697" s="108">
        <f>ABS(AL697-AL$1)</f>
        <v/>
      </c>
      <c r="AA697" s="108">
        <f>ABS(AM697-AM$1)</f>
        <v/>
      </c>
      <c r="AB697" s="108">
        <f>ABS(AN697-AN$1)</f>
        <v/>
      </c>
      <c r="AC697" s="108" t="n"/>
      <c r="AD697" s="108" t="n"/>
      <c r="AE697" s="108">
        <f>ABS(AQ$1-AQ697)</f>
        <v/>
      </c>
      <c r="AF697" s="108">
        <f>ABS(AR$1-AR697)</f>
        <v/>
      </c>
      <c r="AG697" s="108">
        <f>ABS(AS$1-AS697)</f>
        <v/>
      </c>
      <c r="AH697" s="108">
        <f>ABS(AT$1-AT697)</f>
        <v/>
      </c>
      <c r="AI697" s="108">
        <f>ABS(AU$1-AU697)</f>
        <v/>
      </c>
      <c r="AJ697" s="108">
        <f>(AV697-Driver!$K$179)/(Driver!$L$179-Driver!$K$179)</f>
        <v/>
      </c>
      <c r="AK697" s="108">
        <f>(AW697-Driver!$K$180)/(Driver!$L$180-Driver!$K$180)</f>
        <v/>
      </c>
      <c r="AL697" s="108">
        <f>(AX697-Driver!$K$181)/(Driver!$L$181-Driver!$K$181)</f>
        <v/>
      </c>
      <c r="AM697" s="108">
        <f>(AY697-Driver!$K$182)/(Driver!$L$182-Driver!$K$182)</f>
        <v/>
      </c>
      <c r="AN697" s="108">
        <f>(AZ697-Driver!$K$183)/(Driver!$L$183-Driver!$K$183)</f>
        <v/>
      </c>
      <c r="AO697" s="108" t="n"/>
      <c r="AP697" s="108" t="n"/>
      <c r="AQ697" s="108">
        <f>(BC697-Driver!$K$188)/(Driver!$L$188-Driver!$K$188)</f>
        <v/>
      </c>
      <c r="AR697" s="108">
        <f>MIN((BD697-Driver!$K$189)/(Driver!$L$189-Driver!$K$189),100%)</f>
        <v/>
      </c>
      <c r="AS697" s="108">
        <f>(BE697-Driver!$K$190)/(Driver!$L$190-Driver!$K$190)</f>
        <v/>
      </c>
      <c r="AT697" s="108">
        <f>(BF697-Driver!$K$191)/(Driver!$L$191-Driver!$K$191)</f>
        <v/>
      </c>
      <c r="AU697" s="108">
        <f>(BG697-Driver!$K$192)/(Driver!$L$192-Driver!$K$192)</f>
        <v/>
      </c>
      <c r="AV697" s="105">
        <f>IFERROR(BM697*BJ697^1/4,"")</f>
        <v/>
      </c>
      <c r="AW697" s="105">
        <f>IFERROR(SUM(AX697:AZ697),"")</f>
        <v/>
      </c>
      <c r="AX697" s="105">
        <f>IFERROR(BH697,"")</f>
        <v/>
      </c>
      <c r="AY697" s="105">
        <f>IFERROR(Driver!$K$19/Data!BH697/Data!BI697*Data!BK697*Data!BL697,"")</f>
        <v/>
      </c>
      <c r="AZ697" s="105">
        <f>IFERROR(BI697*BN697,"")</f>
        <v/>
      </c>
      <c r="BA697" s="105" t="n"/>
      <c r="BB697" s="105" t="n"/>
      <c r="BC697" s="105">
        <f>IFERROR(BI697*BN697*BK697/BJ697^(1/2),"")</f>
        <v/>
      </c>
      <c r="BD697" s="105">
        <f>IFERROR(BH697*BM697*BL697/BJ697/BK697,"")</f>
        <v/>
      </c>
      <c r="BE697" s="105">
        <f>IFERROR(MIN(BI697/BQ697/BP697/BO697/BH697,$BE$1),"")</f>
        <v/>
      </c>
      <c r="BF697" s="105">
        <f>IFERROR(BJ697*BO697*BP697/BK697,"")</f>
        <v/>
      </c>
      <c r="BG697" s="105">
        <f>IFERROR(1/BM697/BH697*BQ697,"")</f>
        <v/>
      </c>
      <c r="BH697" s="102">
        <f>MAX((CE697-Driver!$F$200)/(Driver!$G$200-Driver!$F$200)*$BI$1,1)</f>
        <v/>
      </c>
      <c r="BI697" s="102">
        <f>MAX($BI$1*(BY697-Driver!$F$201)/(Driver!$G$201-Driver!$F$201),1)</f>
        <v/>
      </c>
      <c r="BJ697" s="102">
        <f>(CB697-Driver!$F$206)/(Driver!$G$206-Driver!$F$206)*$BI$1</f>
        <v/>
      </c>
      <c r="BK697" s="102">
        <f>(CD697-Driver!$F$203)/(Driver!$G$203-Driver!$F$203)*$BI$1</f>
        <v/>
      </c>
      <c r="BL697" s="102">
        <f>MAX((CR697-Driver!$F$202)/(Driver!$G$202-Driver!$F$202)*$BI$1,1)</f>
        <v/>
      </c>
      <c r="BM697" s="102">
        <f>MAX((CH697-Driver!$F$204)/(Driver!$G$204-Driver!$F$204)*$BI$1,1)</f>
        <v/>
      </c>
      <c r="BN697" s="102">
        <f>(CI697-Driver!$F$205)/(Driver!$G$205-Driver!$F$205)*$BI$1</f>
        <v/>
      </c>
      <c r="BO697" s="102">
        <f>(CK697-Driver!$F$207)/(Driver!$G$207-Driver!$F$207)*$BI$1</f>
        <v/>
      </c>
      <c r="BP697" s="102">
        <f>(CM697-Driver!$F$208)/(Driver!$G$208-Driver!$F$208)*$BI$1</f>
        <v/>
      </c>
      <c r="BQ697" s="102">
        <f>(CL697-Driver!$F$209)/(Driver!$G$209-Driver!$F$209)*$BI$1</f>
        <v/>
      </c>
      <c r="BR697" s="40" t="inlineStr">
        <is>
          <t>21/22</t>
        </is>
      </c>
      <c r="BS697" s="10" t="inlineStr">
        <is>
          <t xml:space="preserve"> Liberty</t>
        </is>
      </c>
      <c r="BT697" s="11" t="inlineStr">
        <is>
          <t>Genesis 90</t>
        </is>
      </c>
      <c r="BU697" s="13" t="n">
        <v>165</v>
      </c>
      <c r="BV697" s="11" t="inlineStr">
        <is>
          <t xml:space="preserve"> Women's</t>
        </is>
      </c>
      <c r="BW697" s="13" t="n">
        <v>165</v>
      </c>
      <c r="BX697" s="13" t="n">
        <v>164.5</v>
      </c>
      <c r="BY697" s="13" t="n">
        <v>105</v>
      </c>
      <c r="BZ697" s="13" t="n">
        <v>136</v>
      </c>
      <c r="CA697" s="13" t="n">
        <v>125</v>
      </c>
      <c r="CB697" s="13" t="n">
        <v>90</v>
      </c>
      <c r="CC697" s="13" t="n">
        <v>111</v>
      </c>
      <c r="CD697" s="13" t="n">
        <v>14.8</v>
      </c>
      <c r="CE697" s="13" t="n">
        <v>1554</v>
      </c>
      <c r="CF697" s="13" t="n">
        <v>1.06</v>
      </c>
      <c r="CG697" s="13" t="n">
        <v>1649</v>
      </c>
      <c r="CH697" s="13" t="n">
        <v>173</v>
      </c>
      <c r="CI697" s="13" t="n">
        <v>78</v>
      </c>
      <c r="CJ697" s="13" t="n">
        <v>43</v>
      </c>
      <c r="CK697" s="13" t="n">
        <v>345</v>
      </c>
      <c r="CL697" s="13" t="n">
        <v>21</v>
      </c>
      <c r="CM697" s="13" t="n">
        <v>246</v>
      </c>
      <c r="CN697" s="13" t="n">
        <v>0.484</v>
      </c>
      <c r="CO697" s="13" t="n">
        <v>133</v>
      </c>
      <c r="CP697" s="13" t="n">
        <v>152</v>
      </c>
      <c r="CQ697" s="13" t="n">
        <v>213</v>
      </c>
      <c r="CR697" s="13" t="n">
        <v>5</v>
      </c>
      <c r="CS697" s="13" t="n">
        <v>7.7</v>
      </c>
      <c r="CT697" s="11" t="inlineStr">
        <is>
          <t xml:space="preserve"> Resort Freeride</t>
        </is>
      </c>
      <c r="CU697" s="11" t="inlineStr">
        <is>
          <t xml:space="preserve"> Touring</t>
        </is>
      </c>
      <c r="CV697" s="13" t="n"/>
      <c r="CW697" s="13" t="n"/>
      <c r="CX697">
        <f>INDEX('Data_Price '!AG$2:AG$1266,MATCH(Data!$DN697,'Data_Price '!$AT$2:$AT$1266,0))</f>
        <v/>
      </c>
      <c r="CY697">
        <f>INDEX('Data_Price '!AH$2:AH$1266,MATCH(Data!$DN697,'Data_Price '!$AT$2:$AT$1266,0))</f>
        <v/>
      </c>
      <c r="CZ697">
        <f>INDEX('Data_Price '!AI$2:AI$1266,MATCH(Data!$DN697,'Data_Price '!$AT$2:$AT$1266,0))</f>
        <v/>
      </c>
      <c r="DA697">
        <f>INDEX('Data_Price '!AJ$2:AJ$1266,MATCH(Data!$DN697,'Data_Price '!$AT$2:$AT$1266,0))</f>
        <v/>
      </c>
      <c r="DB697">
        <f>INDEX('Data_Price '!AK$2:AK$1266,MATCH(Data!$DN697,'Data_Price '!$AT$2:$AT$1266,0))</f>
        <v/>
      </c>
      <c r="DC697">
        <f>INDEX('Data_Price '!AL$2:AL$1266,MATCH(Data!$DN697,'Data_Price '!$AT$2:$AT$1266,0))</f>
        <v/>
      </c>
      <c r="DD697">
        <f>INDEX('Data_Price '!AM$2:AM$1266,MATCH(Data!$DN697,'Data_Price '!$AT$2:$AT$1266,0))</f>
        <v/>
      </c>
      <c r="DE697">
        <f>INDEX('Data_Price '!AN$2:AN$1266,MATCH(Data!$DN697,'Data_Price '!$AT$2:$AT$1266,0))</f>
        <v/>
      </c>
      <c r="DF697">
        <f>INDEX('Data_Price '!AO$2:AO$1266,MATCH(Data!$DN697,'Data_Price '!$AT$2:$AT$1266,0))</f>
        <v/>
      </c>
      <c r="DG697">
        <f>INDEX('Data_Price '!AP$2:AP$1266,MATCH(Data!$DN697,'Data_Price '!$AT$2:$AT$1266,0))</f>
        <v/>
      </c>
      <c r="DH697">
        <f>INDEX('Data_Price '!AQ$2:AQ$1266,MATCH(Data!$DN697,'Data_Price '!$AT$2:$AT$1266,0))</f>
        <v/>
      </c>
      <c r="DI697">
        <f>INDEX('Data_Price '!AR$2:AR$1266,MATCH(Data!$DN697,'Data_Price '!$AT$2:$AT$1266,0))</f>
        <v/>
      </c>
      <c r="DJ697" s="138">
        <f>DA697</f>
        <v/>
      </c>
      <c r="DK697" s="138">
        <f>DE697</f>
        <v/>
      </c>
      <c r="DL697" s="138">
        <f>DI697</f>
        <v/>
      </c>
      <c r="DM697" s="303">
        <f>IF(LEFT(BT697,1)=" ",RIGHT(BT697,LEN(BT697)-1),BT697)</f>
        <v/>
      </c>
      <c r="DN697" s="138">
        <f>_xlfn.CONCAT(BS697,DM697,BU697,BV697)</f>
        <v/>
      </c>
      <c r="DO697" s="307" t="n"/>
    </row>
    <row r="698" ht="15.6" customHeight="1" s="184">
      <c r="B698" s="303">
        <f t="array" ref="B698">IF(OR(ISERROR(K698:P698)),FALSE,TRUE)</f>
        <v/>
      </c>
      <c r="C698" s="60">
        <f>OR(BR698=Driver!$G$50,Data!BR960=Driver!$H$50)</f>
        <v/>
      </c>
      <c r="D698" s="60">
        <f>OR(BV698=Driver!$G$51,BV698=Driver!$H$51)</f>
        <v/>
      </c>
      <c r="E698" s="60">
        <f>AND(BX698&gt;Driver!$F$54,BX698&lt;Driver!$G$54)</f>
        <v/>
      </c>
      <c r="F698" s="60">
        <f>CL698&gt;Driver!$F$56</f>
        <v/>
      </c>
      <c r="G698" s="60">
        <f>AND(CB698&gt;Driver!$F$55,CB698&lt;Driver!$G$55)</f>
        <v/>
      </c>
      <c r="H698" s="60">
        <f>AND(B698:G698)</f>
        <v/>
      </c>
      <c r="I698" s="60">
        <f>COUNTIFS($H$9:$H$1273,TRUE,$BT$9:$BT$1273,BT698)</f>
        <v/>
      </c>
      <c r="J698" s="60">
        <f t="array" ref="J698">NOT(OR(($H$9:$H$1273=TRUE)*($I$9:$I$1273&gt;0)*($BT$9:$BT$1273=BT698)*($K$9:$K$1273&gt;K698)))</f>
        <v/>
      </c>
      <c r="K698" s="108">
        <f>IFERROR(1-AVERAGE(X698:Y698),"")</f>
        <v/>
      </c>
      <c r="L698" s="108">
        <f>1-X698</f>
        <v/>
      </c>
      <c r="M698" s="108">
        <f>1-Y698</f>
        <v/>
      </c>
      <c r="N698" s="108">
        <f>1-Z698</f>
        <v/>
      </c>
      <c r="O698" s="108">
        <f>1-AA698</f>
        <v/>
      </c>
      <c r="P698" s="108">
        <f>1-AB698</f>
        <v/>
      </c>
      <c r="Q698" s="108" t="n"/>
      <c r="R698" s="108" t="n"/>
      <c r="S698" s="108">
        <f>1-AE698</f>
        <v/>
      </c>
      <c r="T698" s="108">
        <f>1-AF698</f>
        <v/>
      </c>
      <c r="U698" s="108">
        <f>1-AG698</f>
        <v/>
      </c>
      <c r="V698" s="108">
        <f>1-AH698</f>
        <v/>
      </c>
      <c r="W698" s="108">
        <f>1-AI698</f>
        <v/>
      </c>
      <c r="X698" s="108">
        <f>ABS(AJ698-AJ$1)</f>
        <v/>
      </c>
      <c r="Y698" s="108">
        <f>AVERAGE(Z698:AB698)</f>
        <v/>
      </c>
      <c r="Z698" s="108">
        <f>ABS(AL698-AL$1)</f>
        <v/>
      </c>
      <c r="AA698" s="108">
        <f>ABS(AM698-AM$1)</f>
        <v/>
      </c>
      <c r="AB698" s="108">
        <f>ABS(AN698-AN$1)</f>
        <v/>
      </c>
      <c r="AC698" s="108" t="n"/>
      <c r="AD698" s="108" t="n"/>
      <c r="AE698" s="108">
        <f>ABS(AQ$1-AQ698)</f>
        <v/>
      </c>
      <c r="AF698" s="108">
        <f>ABS(AR$1-AR698)</f>
        <v/>
      </c>
      <c r="AG698" s="108">
        <f>ABS(AS$1-AS698)</f>
        <v/>
      </c>
      <c r="AH698" s="108">
        <f>ABS(AT$1-AT698)</f>
        <v/>
      </c>
      <c r="AI698" s="108">
        <f>ABS(AU$1-AU698)</f>
        <v/>
      </c>
      <c r="AJ698" s="108">
        <f>(AV698-Driver!$K$179)/(Driver!$L$179-Driver!$K$179)</f>
        <v/>
      </c>
      <c r="AK698" s="108">
        <f>(AW698-Driver!$K$180)/(Driver!$L$180-Driver!$K$180)</f>
        <v/>
      </c>
      <c r="AL698" s="108">
        <f>(AX698-Driver!$K$181)/(Driver!$L$181-Driver!$K$181)</f>
        <v/>
      </c>
      <c r="AM698" s="108">
        <f>(AY698-Driver!$K$182)/(Driver!$L$182-Driver!$K$182)</f>
        <v/>
      </c>
      <c r="AN698" s="108">
        <f>(AZ698-Driver!$K$183)/(Driver!$L$183-Driver!$K$183)</f>
        <v/>
      </c>
      <c r="AO698" s="108" t="n"/>
      <c r="AP698" s="108" t="n"/>
      <c r="AQ698" s="108">
        <f>(BC698-Driver!$K$188)/(Driver!$L$188-Driver!$K$188)</f>
        <v/>
      </c>
      <c r="AR698" s="108">
        <f>MIN((BD698-Driver!$K$189)/(Driver!$L$189-Driver!$K$189),100%)</f>
        <v/>
      </c>
      <c r="AS698" s="108">
        <f>(BE698-Driver!$K$190)/(Driver!$L$190-Driver!$K$190)</f>
        <v/>
      </c>
      <c r="AT698" s="108">
        <f>(BF698-Driver!$K$191)/(Driver!$L$191-Driver!$K$191)</f>
        <v/>
      </c>
      <c r="AU698" s="108">
        <f>(BG698-Driver!$K$192)/(Driver!$L$192-Driver!$K$192)</f>
        <v/>
      </c>
      <c r="AV698" s="105">
        <f>IFERROR(BM698*BJ698^1/4,"")</f>
        <v/>
      </c>
      <c r="AW698" s="105">
        <f>IFERROR(SUM(AX698:AZ698),"")</f>
        <v/>
      </c>
      <c r="AX698" s="105">
        <f>IFERROR(BH698,"")</f>
        <v/>
      </c>
      <c r="AY698" s="105">
        <f>IFERROR(Driver!$K$19/Data!BH698/Data!BI698*Data!BK698*Data!BL698,"")</f>
        <v/>
      </c>
      <c r="AZ698" s="105">
        <f>IFERROR(BI698*BN698,"")</f>
        <v/>
      </c>
      <c r="BA698" s="105" t="n"/>
      <c r="BB698" s="105" t="n"/>
      <c r="BC698" s="105">
        <f>IFERROR(BI698*BN698*BK698/BJ698^(1/2),"")</f>
        <v/>
      </c>
      <c r="BD698" s="105">
        <f>IFERROR(BH698*BM698*BL698/BJ698/BK698,"")</f>
        <v/>
      </c>
      <c r="BE698" s="105">
        <f>IFERROR(MIN(BI698/BQ698/BP698/BO698/BH698,$BE$1),"")</f>
        <v/>
      </c>
      <c r="BF698" s="105">
        <f>IFERROR(BJ698*BO698*BP698/BK698,"")</f>
        <v/>
      </c>
      <c r="BG698" s="105">
        <f>IFERROR(1/BM698/BH698*BQ698,"")</f>
        <v/>
      </c>
      <c r="BH698" s="102">
        <f>MAX((CE698-Driver!$F$200)/(Driver!$G$200-Driver!$F$200)*$BI$1,1)</f>
        <v/>
      </c>
      <c r="BI698" s="102">
        <f>MAX($BI$1*(BY698-Driver!$F$201)/(Driver!$G$201-Driver!$F$201),1)</f>
        <v/>
      </c>
      <c r="BJ698" s="102">
        <f>(CB698-Driver!$F$206)/(Driver!$G$206-Driver!$F$206)*$BI$1</f>
        <v/>
      </c>
      <c r="BK698" s="102">
        <f>(CD698-Driver!$F$203)/(Driver!$G$203-Driver!$F$203)*$BI$1</f>
        <v/>
      </c>
      <c r="BL698" s="102">
        <f>MAX((CR698-Driver!$F$202)/(Driver!$G$202-Driver!$F$202)*$BI$1,1)</f>
        <v/>
      </c>
      <c r="BM698" s="102">
        <f>MAX((CH698-Driver!$F$204)/(Driver!$G$204-Driver!$F$204)*$BI$1,1)</f>
        <v/>
      </c>
      <c r="BN698" s="102">
        <f>(CI698-Driver!$F$205)/(Driver!$G$205-Driver!$F$205)*$BI$1</f>
        <v/>
      </c>
      <c r="BO698" s="102">
        <f>(CK698-Driver!$F$207)/(Driver!$G$207-Driver!$F$207)*$BI$1</f>
        <v/>
      </c>
      <c r="BP698" s="102">
        <f>(CM698-Driver!$F$208)/(Driver!$G$208-Driver!$F$208)*$BI$1</f>
        <v/>
      </c>
      <c r="BQ698" s="102">
        <f>(CL698-Driver!$F$209)/(Driver!$G$209-Driver!$F$209)*$BI$1</f>
        <v/>
      </c>
      <c r="BR698" s="40" t="inlineStr">
        <is>
          <t>21/22</t>
        </is>
      </c>
      <c r="BS698" s="10" t="inlineStr">
        <is>
          <t xml:space="preserve"> Raccoon</t>
        </is>
      </c>
      <c r="BT698" s="11" t="inlineStr">
        <is>
          <t>Le Grizzly 99 W</t>
        </is>
      </c>
      <c r="BU698" s="13" t="n">
        <v>164</v>
      </c>
      <c r="BV698" s="11" t="inlineStr">
        <is>
          <t xml:space="preserve"> Women's</t>
        </is>
      </c>
      <c r="BW698" s="13" t="n">
        <v>164</v>
      </c>
      <c r="BX698" s="13" t="n">
        <v>162.3</v>
      </c>
      <c r="BY698" s="13" t="n">
        <v>104</v>
      </c>
      <c r="BZ698" s="13" t="n">
        <v>136</v>
      </c>
      <c r="CA698" s="13" t="n">
        <v>129</v>
      </c>
      <c r="CB698" s="13" t="n">
        <v>99</v>
      </c>
      <c r="CC698" s="13" t="n">
        <v>120</v>
      </c>
      <c r="CD698" s="13" t="n">
        <v>16</v>
      </c>
      <c r="CE698" s="13" t="n">
        <v>1505</v>
      </c>
      <c r="CF698" s="13" t="n">
        <v>1.18</v>
      </c>
      <c r="CG698" s="13" t="n">
        <v>1776</v>
      </c>
      <c r="CH698" s="13" t="n">
        <v>152</v>
      </c>
      <c r="CI698" s="13" t="n">
        <v>75</v>
      </c>
      <c r="CJ698" s="13" t="n">
        <v>64</v>
      </c>
      <c r="CK698" s="13" t="n">
        <v>363</v>
      </c>
      <c r="CL698" s="13" t="n">
        <v>26</v>
      </c>
      <c r="CM698" s="13" t="n">
        <v>219</v>
      </c>
      <c r="CN698" s="13" t="n">
        <v>0.411</v>
      </c>
      <c r="CO698" s="13" t="n">
        <v>151</v>
      </c>
      <c r="CP698" s="13" t="n">
        <v>114</v>
      </c>
      <c r="CQ698" s="13" t="n">
        <v>212</v>
      </c>
      <c r="CR698" s="13" t="n">
        <v>6</v>
      </c>
      <c r="CS698" s="13" t="n">
        <v>10.6</v>
      </c>
      <c r="CT698" s="11" t="inlineStr">
        <is>
          <t xml:space="preserve"> Resort Freeride</t>
        </is>
      </c>
      <c r="CU698" s="11" t="inlineStr">
        <is>
          <t xml:space="preserve"> Touring</t>
        </is>
      </c>
      <c r="CV698" s="13" t="n"/>
      <c r="CW698" s="13" t="n"/>
      <c r="CX698">
        <f>INDEX('Data_Price '!AG$2:AG$1266,MATCH(Data!$DN698,'Data_Price '!$AT$2:$AT$1266,0))</f>
        <v/>
      </c>
      <c r="CY698">
        <f>INDEX('Data_Price '!AH$2:AH$1266,MATCH(Data!$DN698,'Data_Price '!$AT$2:$AT$1266,0))</f>
        <v/>
      </c>
      <c r="CZ698">
        <f>INDEX('Data_Price '!AI$2:AI$1266,MATCH(Data!$DN698,'Data_Price '!$AT$2:$AT$1266,0))</f>
        <v/>
      </c>
      <c r="DA698">
        <f>INDEX('Data_Price '!AJ$2:AJ$1266,MATCH(Data!$DN698,'Data_Price '!$AT$2:$AT$1266,0))</f>
        <v/>
      </c>
      <c r="DB698">
        <f>INDEX('Data_Price '!AK$2:AK$1266,MATCH(Data!$DN698,'Data_Price '!$AT$2:$AT$1266,0))</f>
        <v/>
      </c>
      <c r="DC698">
        <f>INDEX('Data_Price '!AL$2:AL$1266,MATCH(Data!$DN698,'Data_Price '!$AT$2:$AT$1266,0))</f>
        <v/>
      </c>
      <c r="DD698">
        <f>INDEX('Data_Price '!AM$2:AM$1266,MATCH(Data!$DN698,'Data_Price '!$AT$2:$AT$1266,0))</f>
        <v/>
      </c>
      <c r="DE698">
        <f>INDEX('Data_Price '!AN$2:AN$1266,MATCH(Data!$DN698,'Data_Price '!$AT$2:$AT$1266,0))</f>
        <v/>
      </c>
      <c r="DF698">
        <f>INDEX('Data_Price '!AO$2:AO$1266,MATCH(Data!$DN698,'Data_Price '!$AT$2:$AT$1266,0))</f>
        <v/>
      </c>
      <c r="DG698">
        <f>INDEX('Data_Price '!AP$2:AP$1266,MATCH(Data!$DN698,'Data_Price '!$AT$2:$AT$1266,0))</f>
        <v/>
      </c>
      <c r="DH698">
        <f>INDEX('Data_Price '!AQ$2:AQ$1266,MATCH(Data!$DN698,'Data_Price '!$AT$2:$AT$1266,0))</f>
        <v/>
      </c>
      <c r="DI698">
        <f>INDEX('Data_Price '!AR$2:AR$1266,MATCH(Data!$DN698,'Data_Price '!$AT$2:$AT$1266,0))</f>
        <v/>
      </c>
      <c r="DJ698" s="138">
        <f>DA698</f>
        <v/>
      </c>
      <c r="DK698" s="138">
        <f>DE698</f>
        <v/>
      </c>
      <c r="DL698" s="138">
        <f>DI698</f>
        <v/>
      </c>
      <c r="DM698" s="303">
        <f>IF(LEFT(BT698,1)=" ",RIGHT(BT698,LEN(BT698)-1),BT698)</f>
        <v/>
      </c>
      <c r="DN698" s="138">
        <f>_xlfn.CONCAT(BS698,DM698,BU698,BV698)</f>
        <v/>
      </c>
      <c r="DO698" s="307" t="n"/>
    </row>
    <row r="699" ht="15.6" customHeight="1" s="184">
      <c r="B699" s="303">
        <f t="array" ref="B699">IF(OR(ISERROR(K699:P699)),FALSE,TRUE)</f>
        <v/>
      </c>
      <c r="C699" s="60">
        <f>OR(BR699=Driver!$G$50,Data!BR476=Driver!$H$50)</f>
        <v/>
      </c>
      <c r="D699" s="60">
        <f>OR(BV699=Driver!$G$51,BV699=Driver!$H$51)</f>
        <v/>
      </c>
      <c r="E699" s="60">
        <f>AND(BX699&gt;Driver!$F$54,BX699&lt;Driver!$G$54)</f>
        <v/>
      </c>
      <c r="F699" s="60">
        <f>CL699&gt;Driver!$F$56</f>
        <v/>
      </c>
      <c r="G699" s="60">
        <f>AND(CB699&gt;Driver!$F$55,CB699&lt;Driver!$G$55)</f>
        <v/>
      </c>
      <c r="H699" s="60">
        <f>AND(B699:G699)</f>
        <v/>
      </c>
      <c r="I699" s="60">
        <f>COUNTIFS($H$9:$H$1273,TRUE,$BT$9:$BT$1273,BT699)</f>
        <v/>
      </c>
      <c r="J699" s="60">
        <f t="array" ref="J699">NOT(OR(($H$9:$H$1273=TRUE)*($I$9:$I$1273&gt;0)*($BT$9:$BT$1273=BT699)*($K$9:$K$1273&gt;K699)))</f>
        <v/>
      </c>
      <c r="K699" s="108">
        <f>IFERROR(1-AVERAGE(X699:Y699),"")</f>
        <v/>
      </c>
      <c r="L699" s="108">
        <f>1-X699</f>
        <v/>
      </c>
      <c r="M699" s="108">
        <f>1-Y699</f>
        <v/>
      </c>
      <c r="N699" s="108">
        <f>1-Z699</f>
        <v/>
      </c>
      <c r="O699" s="108">
        <f>1-AA699</f>
        <v/>
      </c>
      <c r="P699" s="108">
        <f>1-AB699</f>
        <v/>
      </c>
      <c r="Q699" s="108" t="n"/>
      <c r="R699" s="108" t="n"/>
      <c r="S699" s="108">
        <f>1-AE699</f>
        <v/>
      </c>
      <c r="T699" s="108">
        <f>1-AF699</f>
        <v/>
      </c>
      <c r="U699" s="108">
        <f>1-AG699</f>
        <v/>
      </c>
      <c r="V699" s="108">
        <f>1-AH699</f>
        <v/>
      </c>
      <c r="W699" s="108">
        <f>1-AI699</f>
        <v/>
      </c>
      <c r="X699" s="108">
        <f>ABS(AJ699-AJ$1)</f>
        <v/>
      </c>
      <c r="Y699" s="108">
        <f>AVERAGE(Z699:AB699)</f>
        <v/>
      </c>
      <c r="Z699" s="108">
        <f>ABS(AL699-AL$1)</f>
        <v/>
      </c>
      <c r="AA699" s="108">
        <f>ABS(AM699-AM$1)</f>
        <v/>
      </c>
      <c r="AB699" s="108">
        <f>ABS(AN699-AN$1)</f>
        <v/>
      </c>
      <c r="AC699" s="108" t="n"/>
      <c r="AD699" s="108" t="n"/>
      <c r="AE699" s="108">
        <f>ABS(AQ$1-AQ699)</f>
        <v/>
      </c>
      <c r="AF699" s="108">
        <f>ABS(AR$1-AR699)</f>
        <v/>
      </c>
      <c r="AG699" s="108">
        <f>ABS(AS$1-AS699)</f>
        <v/>
      </c>
      <c r="AH699" s="108">
        <f>ABS(AT$1-AT699)</f>
        <v/>
      </c>
      <c r="AI699" s="108">
        <f>ABS(AU$1-AU699)</f>
        <v/>
      </c>
      <c r="AJ699" s="108">
        <f>(AV699-Driver!$K$179)/(Driver!$L$179-Driver!$K$179)</f>
        <v/>
      </c>
      <c r="AK699" s="108">
        <f>(AW699-Driver!$K$180)/(Driver!$L$180-Driver!$K$180)</f>
        <v/>
      </c>
      <c r="AL699" s="108">
        <f>(AX699-Driver!$K$181)/(Driver!$L$181-Driver!$K$181)</f>
        <v/>
      </c>
      <c r="AM699" s="108">
        <f>(AY699-Driver!$K$182)/(Driver!$L$182-Driver!$K$182)</f>
        <v/>
      </c>
      <c r="AN699" s="108">
        <f>(AZ699-Driver!$K$183)/(Driver!$L$183-Driver!$K$183)</f>
        <v/>
      </c>
      <c r="AO699" s="108" t="n"/>
      <c r="AP699" s="108" t="n"/>
      <c r="AQ699" s="108">
        <f>(BC699-Driver!$K$188)/(Driver!$L$188-Driver!$K$188)</f>
        <v/>
      </c>
      <c r="AR699" s="108">
        <f>MIN((BD699-Driver!$K$189)/(Driver!$L$189-Driver!$K$189),100%)</f>
        <v/>
      </c>
      <c r="AS699" s="108">
        <f>(BE699-Driver!$K$190)/(Driver!$L$190-Driver!$K$190)</f>
        <v/>
      </c>
      <c r="AT699" s="108">
        <f>(BF699-Driver!$K$191)/(Driver!$L$191-Driver!$K$191)</f>
        <v/>
      </c>
      <c r="AU699" s="108">
        <f>(BG699-Driver!$K$192)/(Driver!$L$192-Driver!$K$192)</f>
        <v/>
      </c>
      <c r="AV699" s="105">
        <f>IFERROR(BM699*BJ699^1/4,"")</f>
        <v/>
      </c>
      <c r="AW699" s="105">
        <f>IFERROR(SUM(AX699:AZ699),"")</f>
        <v/>
      </c>
      <c r="AX699" s="105">
        <f>IFERROR(BH699,"")</f>
        <v/>
      </c>
      <c r="AY699" s="105">
        <f>IFERROR(Driver!$K$19/Data!BH699/Data!BI699*Data!BK699*Data!BL699,"")</f>
        <v/>
      </c>
      <c r="AZ699" s="105">
        <f>IFERROR(BI699*BN699,"")</f>
        <v/>
      </c>
      <c r="BA699" s="105" t="n"/>
      <c r="BB699" s="105" t="n"/>
      <c r="BC699" s="105">
        <f>IFERROR(BI699*BN699*BK699/BJ699^(1/2),"")</f>
        <v/>
      </c>
      <c r="BD699" s="105">
        <f>IFERROR(BH699*BM699*BL699/BJ699/BK699,"")</f>
        <v/>
      </c>
      <c r="BE699" s="105">
        <f>IFERROR(MIN(BI699/BQ699/BP699/BO699/BH699,$BE$1),"")</f>
        <v/>
      </c>
      <c r="BF699" s="105">
        <f>IFERROR(BJ699*BO699*BP699/BK699,"")</f>
        <v/>
      </c>
      <c r="BG699" s="105">
        <f>IFERROR(1/BM699/BH699*BQ699,"")</f>
        <v/>
      </c>
      <c r="BH699" s="102">
        <f>MAX((CE699-Driver!$F$200)/(Driver!$G$200-Driver!$F$200)*$BI$1,1)</f>
        <v/>
      </c>
      <c r="BI699" s="102">
        <f>MAX($BI$1*(BY699-Driver!$F$201)/(Driver!$G$201-Driver!$F$201),1)</f>
        <v/>
      </c>
      <c r="BJ699" s="102">
        <f>(CB699-Driver!$F$206)/(Driver!$G$206-Driver!$F$206)*$BI$1</f>
        <v/>
      </c>
      <c r="BK699" s="102">
        <f>(CD699-Driver!$F$203)/(Driver!$G$203-Driver!$F$203)*$BI$1</f>
        <v/>
      </c>
      <c r="BL699" s="102">
        <f>MAX((CR699-Driver!$F$202)/(Driver!$G$202-Driver!$F$202)*$BI$1,1)</f>
        <v/>
      </c>
      <c r="BM699" s="102">
        <f>MAX((CH699-Driver!$F$204)/(Driver!$G$204-Driver!$F$204)*$BI$1,1)</f>
        <v/>
      </c>
      <c r="BN699" s="102">
        <f>(CI699-Driver!$F$205)/(Driver!$G$205-Driver!$F$205)*$BI$1</f>
        <v/>
      </c>
      <c r="BO699" s="102">
        <f>(CK699-Driver!$F$207)/(Driver!$G$207-Driver!$F$207)*$BI$1</f>
        <v/>
      </c>
      <c r="BP699" s="102">
        <f>(CM699-Driver!$F$208)/(Driver!$G$208-Driver!$F$208)*$BI$1</f>
        <v/>
      </c>
      <c r="BQ699" s="102">
        <f>(CL699-Driver!$F$209)/(Driver!$G$209-Driver!$F$209)*$BI$1</f>
        <v/>
      </c>
      <c r="BR699" s="40" t="inlineStr">
        <is>
          <t>21/22</t>
        </is>
      </c>
      <c r="BS699" s="10" t="inlineStr">
        <is>
          <t xml:space="preserve"> Elan</t>
        </is>
      </c>
      <c r="BT699" s="11" t="inlineStr">
        <is>
          <t>Wingman 78 Ti</t>
        </is>
      </c>
      <c r="BU699" s="13" t="n">
        <v>160</v>
      </c>
      <c r="BV699" s="11" t="inlineStr">
        <is>
          <t xml:space="preserve"> Unisex</t>
        </is>
      </c>
      <c r="BW699" s="13" t="n">
        <v>160</v>
      </c>
      <c r="BX699" s="13" t="n">
        <v>158.5</v>
      </c>
      <c r="BY699" s="13" t="n">
        <v>138</v>
      </c>
      <c r="BZ699" s="13" t="n">
        <v>144</v>
      </c>
      <c r="CA699" s="13" t="n">
        <v>125</v>
      </c>
      <c r="CB699" s="13" t="n">
        <v>76</v>
      </c>
      <c r="CC699" s="13" t="n">
        <v>105</v>
      </c>
      <c r="CD699" s="13" t="n">
        <v>13.2</v>
      </c>
      <c r="CE699" s="13" t="n">
        <v>1808</v>
      </c>
      <c r="CF699" s="13" t="n">
        <v>0.8</v>
      </c>
      <c r="CG699" s="13" t="n">
        <v>1443</v>
      </c>
      <c r="CH699" s="13" t="n">
        <v>176</v>
      </c>
      <c r="CI699" s="13" t="n">
        <v>81</v>
      </c>
      <c r="CJ699" s="13" t="n">
        <v>29</v>
      </c>
      <c r="CK699" s="13" t="n">
        <v>138</v>
      </c>
      <c r="CL699" s="13" t="n">
        <v>11</v>
      </c>
      <c r="CM699" s="13" t="n">
        <v>72</v>
      </c>
      <c r="CN699" s="13" t="n">
        <v>0.369</v>
      </c>
      <c r="CO699" s="13" t="n">
        <v>86</v>
      </c>
      <c r="CP699" s="13" t="n">
        <v>60</v>
      </c>
      <c r="CQ699" s="13" t="n">
        <v>52</v>
      </c>
      <c r="CR699" s="13" t="n">
        <v>9</v>
      </c>
      <c r="CS699" s="13" t="n">
        <v>8.9</v>
      </c>
      <c r="CT699" s="11" t="inlineStr">
        <is>
          <t xml:space="preserve"> On-Piste Carving</t>
        </is>
      </c>
      <c r="CU699" s="13" t="n"/>
      <c r="CV699" s="13" t="n"/>
      <c r="CW699" s="13" t="n"/>
      <c r="CX699">
        <f>INDEX('Data_Price '!AG$2:AG$1266,MATCH(Data!$DN699,'Data_Price '!$AT$2:$AT$1266,0))</f>
        <v/>
      </c>
      <c r="CY699">
        <f>INDEX('Data_Price '!AH$2:AH$1266,MATCH(Data!$DN699,'Data_Price '!$AT$2:$AT$1266,0))</f>
        <v/>
      </c>
      <c r="CZ699">
        <f>INDEX('Data_Price '!AI$2:AI$1266,MATCH(Data!$DN699,'Data_Price '!$AT$2:$AT$1266,0))</f>
        <v/>
      </c>
      <c r="DA699">
        <f>INDEX('Data_Price '!AJ$2:AJ$1266,MATCH(Data!$DN699,'Data_Price '!$AT$2:$AT$1266,0))</f>
        <v/>
      </c>
      <c r="DB699">
        <f>INDEX('Data_Price '!AK$2:AK$1266,MATCH(Data!$DN699,'Data_Price '!$AT$2:$AT$1266,0))</f>
        <v/>
      </c>
      <c r="DC699">
        <f>INDEX('Data_Price '!AL$2:AL$1266,MATCH(Data!$DN699,'Data_Price '!$AT$2:$AT$1266,0))</f>
        <v/>
      </c>
      <c r="DD699">
        <f>INDEX('Data_Price '!AM$2:AM$1266,MATCH(Data!$DN699,'Data_Price '!$AT$2:$AT$1266,0))</f>
        <v/>
      </c>
      <c r="DE699">
        <f>INDEX('Data_Price '!AN$2:AN$1266,MATCH(Data!$DN699,'Data_Price '!$AT$2:$AT$1266,0))</f>
        <v/>
      </c>
      <c r="DF699">
        <f>INDEX('Data_Price '!AO$2:AO$1266,MATCH(Data!$DN699,'Data_Price '!$AT$2:$AT$1266,0))</f>
        <v/>
      </c>
      <c r="DG699">
        <f>INDEX('Data_Price '!AP$2:AP$1266,MATCH(Data!$DN699,'Data_Price '!$AT$2:$AT$1266,0))</f>
        <v/>
      </c>
      <c r="DH699">
        <f>INDEX('Data_Price '!AQ$2:AQ$1266,MATCH(Data!$DN699,'Data_Price '!$AT$2:$AT$1266,0))</f>
        <v/>
      </c>
      <c r="DI699">
        <f>INDEX('Data_Price '!AR$2:AR$1266,MATCH(Data!$DN699,'Data_Price '!$AT$2:$AT$1266,0))</f>
        <v/>
      </c>
      <c r="DJ699" s="138">
        <f>DA699</f>
        <v/>
      </c>
      <c r="DK699" s="138">
        <f>DE699</f>
        <v/>
      </c>
      <c r="DL699" s="138">
        <f>DI699</f>
        <v/>
      </c>
      <c r="DM699" s="303">
        <f>IF(LEFT(BT699,1)=" ",RIGHT(BT699,LEN(BT699)-1),BT699)</f>
        <v/>
      </c>
      <c r="DN699" s="138">
        <f>_xlfn.CONCAT(BS699,DM699,BU699,BV699)</f>
        <v/>
      </c>
      <c r="DO699" s="307" t="n"/>
    </row>
    <row r="700" ht="15.6" customHeight="1" s="184">
      <c r="B700" s="303">
        <f t="array" ref="B700">IF(OR(ISERROR(K700:P700)),FALSE,TRUE)</f>
        <v/>
      </c>
      <c r="C700" s="60">
        <f>OR(BR700=Driver!$G$50,Data!BR215=Driver!$H$50)</f>
        <v/>
      </c>
      <c r="D700" s="60">
        <f>OR(BV700=Driver!$G$51,BV700=Driver!$H$51)</f>
        <v/>
      </c>
      <c r="E700" s="60">
        <f>AND(BX700&gt;Driver!$F$54,BX700&lt;Driver!$G$54)</f>
        <v/>
      </c>
      <c r="F700" s="60">
        <f>CL700&gt;Driver!$F$56</f>
        <v/>
      </c>
      <c r="G700" s="60">
        <f>AND(CB700&gt;Driver!$F$55,CB700&lt;Driver!$G$55)</f>
        <v/>
      </c>
      <c r="H700" s="60">
        <f>AND(B700:G700)</f>
        <v/>
      </c>
      <c r="I700" s="60">
        <f>COUNTIFS($H$9:$H$1273,TRUE,$BT$9:$BT$1273,BT700)</f>
        <v/>
      </c>
      <c r="J700" s="60">
        <f t="array" ref="J700">NOT(OR(($H$9:$H$1273=TRUE)*($I$9:$I$1273&gt;0)*($BT$9:$BT$1273=BT700)*($K$9:$K$1273&gt;K700)))</f>
        <v/>
      </c>
      <c r="K700" s="108">
        <f>IFERROR(1-AVERAGE(X700:Y700),"")</f>
        <v/>
      </c>
      <c r="L700" s="108">
        <f>1-X700</f>
        <v/>
      </c>
      <c r="M700" s="108">
        <f>1-Y700</f>
        <v/>
      </c>
      <c r="N700" s="108">
        <f>1-Z700</f>
        <v/>
      </c>
      <c r="O700" s="108">
        <f>1-AA700</f>
        <v/>
      </c>
      <c r="P700" s="108">
        <f>1-AB700</f>
        <v/>
      </c>
      <c r="Q700" s="108" t="n"/>
      <c r="R700" s="108" t="n"/>
      <c r="S700" s="108">
        <f>1-AE700</f>
        <v/>
      </c>
      <c r="T700" s="108">
        <f>1-AF700</f>
        <v/>
      </c>
      <c r="U700" s="108">
        <f>1-AG700</f>
        <v/>
      </c>
      <c r="V700" s="108">
        <f>1-AH700</f>
        <v/>
      </c>
      <c r="W700" s="108">
        <f>1-AI700</f>
        <v/>
      </c>
      <c r="X700" s="108">
        <f>ABS(AJ700-AJ$1)</f>
        <v/>
      </c>
      <c r="Y700" s="108">
        <f>AVERAGE(Z700:AB700)</f>
        <v/>
      </c>
      <c r="Z700" s="108">
        <f>ABS(AL700-AL$1)</f>
        <v/>
      </c>
      <c r="AA700" s="108">
        <f>ABS(AM700-AM$1)</f>
        <v/>
      </c>
      <c r="AB700" s="108">
        <f>ABS(AN700-AN$1)</f>
        <v/>
      </c>
      <c r="AC700" s="108" t="n"/>
      <c r="AD700" s="108" t="n"/>
      <c r="AE700" s="108">
        <f>ABS(AQ$1-AQ700)</f>
        <v/>
      </c>
      <c r="AF700" s="108">
        <f>ABS(AR$1-AR700)</f>
        <v/>
      </c>
      <c r="AG700" s="108">
        <f>ABS(AS$1-AS700)</f>
        <v/>
      </c>
      <c r="AH700" s="108">
        <f>ABS(AT$1-AT700)</f>
        <v/>
      </c>
      <c r="AI700" s="108">
        <f>ABS(AU$1-AU700)</f>
        <v/>
      </c>
      <c r="AJ700" s="108">
        <f>(AV700-Driver!$K$179)/(Driver!$L$179-Driver!$K$179)</f>
        <v/>
      </c>
      <c r="AK700" s="108">
        <f>(AW700-Driver!$K$180)/(Driver!$L$180-Driver!$K$180)</f>
        <v/>
      </c>
      <c r="AL700" s="108">
        <f>(AX700-Driver!$K$181)/(Driver!$L$181-Driver!$K$181)</f>
        <v/>
      </c>
      <c r="AM700" s="108">
        <f>(AY700-Driver!$K$182)/(Driver!$L$182-Driver!$K$182)</f>
        <v/>
      </c>
      <c r="AN700" s="108">
        <f>(AZ700-Driver!$K$183)/(Driver!$L$183-Driver!$K$183)</f>
        <v/>
      </c>
      <c r="AO700" s="108" t="n"/>
      <c r="AP700" s="108" t="n"/>
      <c r="AQ700" s="108">
        <f>(BC700-Driver!$K$188)/(Driver!$L$188-Driver!$K$188)</f>
        <v/>
      </c>
      <c r="AR700" s="108">
        <f>MIN((BD700-Driver!$K$189)/(Driver!$L$189-Driver!$K$189),100%)</f>
        <v/>
      </c>
      <c r="AS700" s="108">
        <f>(BE700-Driver!$K$190)/(Driver!$L$190-Driver!$K$190)</f>
        <v/>
      </c>
      <c r="AT700" s="108">
        <f>(BF700-Driver!$K$191)/(Driver!$L$191-Driver!$K$191)</f>
        <v/>
      </c>
      <c r="AU700" s="108">
        <f>(BG700-Driver!$K$192)/(Driver!$L$192-Driver!$K$192)</f>
        <v/>
      </c>
      <c r="AV700" s="105">
        <f>IFERROR(BM700*BJ700^1/4,"")</f>
        <v/>
      </c>
      <c r="AW700" s="105">
        <f>IFERROR(SUM(AX700:AZ700),"")</f>
        <v/>
      </c>
      <c r="AX700" s="105">
        <f>IFERROR(BH700,"")</f>
        <v/>
      </c>
      <c r="AY700" s="105">
        <f>IFERROR(Driver!$K$19/Data!BH700/Data!BI700*Data!BK700*Data!BL700,"")</f>
        <v/>
      </c>
      <c r="AZ700" s="105">
        <f>IFERROR(BI700*BN700,"")</f>
        <v/>
      </c>
      <c r="BA700" s="105" t="n"/>
      <c r="BB700" s="105" t="n"/>
      <c r="BC700" s="105">
        <f>IFERROR(BI700*BN700*BK700/BJ700^(1/2),"")</f>
        <v/>
      </c>
      <c r="BD700" s="105">
        <f>IFERROR(BH700*BM700*BL700/BJ700/BK700,"")</f>
        <v/>
      </c>
      <c r="BE700" s="105">
        <f>IFERROR(MIN(BI700/BQ700/BP700/BO700/BH700,$BE$1),"")</f>
        <v/>
      </c>
      <c r="BF700" s="105">
        <f>IFERROR(BJ700*BO700*BP700/BK700,"")</f>
        <v/>
      </c>
      <c r="BG700" s="105">
        <f>IFERROR(1/BM700/BH700*BQ700,"")</f>
        <v/>
      </c>
      <c r="BH700" s="102">
        <f>MAX((CE700-Driver!$F$200)/(Driver!$G$200-Driver!$F$200)*$BI$1,1)</f>
        <v/>
      </c>
      <c r="BI700" s="102">
        <f>MAX($BI$1*(BY700-Driver!$F$201)/(Driver!$G$201-Driver!$F$201),1)</f>
        <v/>
      </c>
      <c r="BJ700" s="102">
        <f>(CB700-Driver!$F$206)/(Driver!$G$206-Driver!$F$206)*$BI$1</f>
        <v/>
      </c>
      <c r="BK700" s="102">
        <f>(CD700-Driver!$F$203)/(Driver!$G$203-Driver!$F$203)*$BI$1</f>
        <v/>
      </c>
      <c r="BL700" s="102">
        <f>MAX((CR700-Driver!$F$202)/(Driver!$G$202-Driver!$F$202)*$BI$1,1)</f>
        <v/>
      </c>
      <c r="BM700" s="102">
        <f>MAX((CH700-Driver!$F$204)/(Driver!$G$204-Driver!$F$204)*$BI$1,1)</f>
        <v/>
      </c>
      <c r="BN700" s="102">
        <f>(CI700-Driver!$F$205)/(Driver!$G$205-Driver!$F$205)*$BI$1</f>
        <v/>
      </c>
      <c r="BO700" s="102">
        <f>(CK700-Driver!$F$207)/(Driver!$G$207-Driver!$F$207)*$BI$1</f>
        <v/>
      </c>
      <c r="BP700" s="102">
        <f>(CM700-Driver!$F$208)/(Driver!$G$208-Driver!$F$208)*$BI$1</f>
        <v/>
      </c>
      <c r="BQ700" s="102">
        <f>(CL700-Driver!$F$209)/(Driver!$G$209-Driver!$F$209)*$BI$1</f>
        <v/>
      </c>
      <c r="BR700" s="40" t="inlineStr">
        <is>
          <t>21/22</t>
        </is>
      </c>
      <c r="BS700" s="10" t="inlineStr">
        <is>
          <t xml:space="preserve"> Black Crows</t>
        </is>
      </c>
      <c r="BT700" s="11" t="inlineStr">
        <is>
          <t xml:space="preserve"> Captis</t>
        </is>
      </c>
      <c r="BU700" s="13" t="n">
        <v>171.1</v>
      </c>
      <c r="BV700" s="11" t="inlineStr">
        <is>
          <t xml:space="preserve"> Unisex</t>
        </is>
      </c>
      <c r="BW700" s="13" t="n">
        <v>171.1</v>
      </c>
      <c r="BX700" s="13" t="n">
        <v>169.9</v>
      </c>
      <c r="BY700" s="13" t="n">
        <v>119</v>
      </c>
      <c r="BZ700" s="13" t="n">
        <v>137</v>
      </c>
      <c r="CA700" s="13" t="n">
        <v>118</v>
      </c>
      <c r="CB700" s="13" t="n">
        <v>89</v>
      </c>
      <c r="CC700" s="13" t="n">
        <v>110</v>
      </c>
      <c r="CD700" s="13" t="n">
        <v>17.3</v>
      </c>
      <c r="CE700" s="13" t="n">
        <v>1634</v>
      </c>
      <c r="CF700" s="13" t="n">
        <v>1.04</v>
      </c>
      <c r="CG700" s="13" t="n">
        <v>1703</v>
      </c>
      <c r="CH700" s="13" t="n">
        <v>147</v>
      </c>
      <c r="CI700" s="13" t="n">
        <v>71</v>
      </c>
      <c r="CJ700" s="13" t="n">
        <v>41</v>
      </c>
      <c r="CK700" s="13" t="n">
        <v>315</v>
      </c>
      <c r="CL700" s="13" t="n">
        <v>34</v>
      </c>
      <c r="CM700" s="13" t="n">
        <v>198</v>
      </c>
      <c r="CN700" s="13" t="n">
        <v>0.819</v>
      </c>
      <c r="CO700" s="13" t="n">
        <v>207</v>
      </c>
      <c r="CP700" s="13" t="n">
        <v>120</v>
      </c>
      <c r="CQ700" s="13" t="n">
        <v>108</v>
      </c>
      <c r="CR700" s="13" t="n">
        <v>4</v>
      </c>
      <c r="CS700" s="13" t="n">
        <v>6.5</v>
      </c>
      <c r="CT700" s="11" t="inlineStr">
        <is>
          <t xml:space="preserve"> Resort Freeride</t>
        </is>
      </c>
      <c r="CU700" s="11" t="inlineStr">
        <is>
          <t xml:space="preserve"> Freeski</t>
        </is>
      </c>
      <c r="CV700" s="13" t="n"/>
      <c r="CW700" s="13" t="n"/>
      <c r="CX700">
        <f>INDEX('Data_Price '!AG$2:AG$1266,MATCH(Data!$DN700,'Data_Price '!$AT$2:$AT$1266,0))</f>
        <v/>
      </c>
      <c r="CY700">
        <f>INDEX('Data_Price '!AH$2:AH$1266,MATCH(Data!$DN700,'Data_Price '!$AT$2:$AT$1266,0))</f>
        <v/>
      </c>
      <c r="CZ700">
        <f>INDEX('Data_Price '!AI$2:AI$1266,MATCH(Data!$DN700,'Data_Price '!$AT$2:$AT$1266,0))</f>
        <v/>
      </c>
      <c r="DA700">
        <f>INDEX('Data_Price '!AJ$2:AJ$1266,MATCH(Data!$DN700,'Data_Price '!$AT$2:$AT$1266,0))</f>
        <v/>
      </c>
      <c r="DB700">
        <f>INDEX('Data_Price '!AK$2:AK$1266,MATCH(Data!$DN700,'Data_Price '!$AT$2:$AT$1266,0))</f>
        <v/>
      </c>
      <c r="DC700">
        <f>INDEX('Data_Price '!AL$2:AL$1266,MATCH(Data!$DN700,'Data_Price '!$AT$2:$AT$1266,0))</f>
        <v/>
      </c>
      <c r="DD700">
        <f>INDEX('Data_Price '!AM$2:AM$1266,MATCH(Data!$DN700,'Data_Price '!$AT$2:$AT$1266,0))</f>
        <v/>
      </c>
      <c r="DE700">
        <f>INDEX('Data_Price '!AN$2:AN$1266,MATCH(Data!$DN700,'Data_Price '!$AT$2:$AT$1266,0))</f>
        <v/>
      </c>
      <c r="DF700">
        <f>INDEX('Data_Price '!AO$2:AO$1266,MATCH(Data!$DN700,'Data_Price '!$AT$2:$AT$1266,0))</f>
        <v/>
      </c>
      <c r="DG700">
        <f>INDEX('Data_Price '!AP$2:AP$1266,MATCH(Data!$DN700,'Data_Price '!$AT$2:$AT$1266,0))</f>
        <v/>
      </c>
      <c r="DH700">
        <f>INDEX('Data_Price '!AQ$2:AQ$1266,MATCH(Data!$DN700,'Data_Price '!$AT$2:$AT$1266,0))</f>
        <v/>
      </c>
      <c r="DI700">
        <f>INDEX('Data_Price '!AR$2:AR$1266,MATCH(Data!$DN700,'Data_Price '!$AT$2:$AT$1266,0))</f>
        <v/>
      </c>
      <c r="DJ700" s="138">
        <f>DA700</f>
        <v/>
      </c>
      <c r="DK700" s="138">
        <f>DE700</f>
        <v/>
      </c>
      <c r="DL700" s="138">
        <f>DI700</f>
        <v/>
      </c>
      <c r="DM700" s="303">
        <f>IF(LEFT(BT700,1)=" ",RIGHT(BT700,LEN(BT700)-1),BT700)</f>
        <v/>
      </c>
      <c r="DN700" s="138">
        <f>_xlfn.CONCAT(BS700,DM700,BU700,BV700)</f>
        <v/>
      </c>
      <c r="DO700" s="307" t="inlineStr">
        <is>
          <t>https://images.evo.com/imgp/250/181600/727234/clone.jpg</t>
        </is>
      </c>
    </row>
    <row r="701" ht="15.6" customHeight="1" s="184">
      <c r="B701" s="303">
        <f t="array" ref="B701">IF(OR(ISERROR(K701:P701)),FALSE,TRUE)</f>
        <v/>
      </c>
      <c r="C701" s="60">
        <f>OR(BR701=Driver!$G$50,Data!BR833=Driver!$H$50)</f>
        <v/>
      </c>
      <c r="D701" s="60">
        <f>OR(BV701=Driver!$G$51,BV701=Driver!$H$51)</f>
        <v/>
      </c>
      <c r="E701" s="60">
        <f>AND(BX701&gt;Driver!$F$54,BX701&lt;Driver!$G$54)</f>
        <v/>
      </c>
      <c r="F701" s="60">
        <f>CL701&gt;Driver!$F$56</f>
        <v/>
      </c>
      <c r="G701" s="60">
        <f>AND(CB701&gt;Driver!$F$55,CB701&lt;Driver!$G$55)</f>
        <v/>
      </c>
      <c r="H701" s="60">
        <f>AND(B701:G701)</f>
        <v/>
      </c>
      <c r="I701" s="60">
        <f>COUNTIFS($H$9:$H$1273,TRUE,$BT$9:$BT$1273,BT701)</f>
        <v/>
      </c>
      <c r="J701" s="60">
        <f t="array" ref="J701">NOT(OR(($H$9:$H$1273=TRUE)*($I$9:$I$1273&gt;0)*($BT$9:$BT$1273=BT701)*($K$9:$K$1273&gt;K701)))</f>
        <v/>
      </c>
      <c r="K701" s="108">
        <f>IFERROR(1-AVERAGE(X701:Y701),"")</f>
        <v/>
      </c>
      <c r="L701" s="108">
        <f>1-X701</f>
        <v/>
      </c>
      <c r="M701" s="108">
        <f>1-Y701</f>
        <v/>
      </c>
      <c r="N701" s="108">
        <f>1-Z701</f>
        <v/>
      </c>
      <c r="O701" s="108">
        <f>1-AA701</f>
        <v/>
      </c>
      <c r="P701" s="108">
        <f>1-AB701</f>
        <v/>
      </c>
      <c r="Q701" s="108" t="n"/>
      <c r="R701" s="108" t="n"/>
      <c r="S701" s="108">
        <f>1-AE701</f>
        <v/>
      </c>
      <c r="T701" s="108">
        <f>1-AF701</f>
        <v/>
      </c>
      <c r="U701" s="108">
        <f>1-AG701</f>
        <v/>
      </c>
      <c r="V701" s="108">
        <f>1-AH701</f>
        <v/>
      </c>
      <c r="W701" s="108">
        <f>1-AI701</f>
        <v/>
      </c>
      <c r="X701" s="108">
        <f>ABS(AJ701-AJ$1)</f>
        <v/>
      </c>
      <c r="Y701" s="108">
        <f>AVERAGE(Z701:AB701)</f>
        <v/>
      </c>
      <c r="Z701" s="108">
        <f>ABS(AL701-AL$1)</f>
        <v/>
      </c>
      <c r="AA701" s="108">
        <f>ABS(AM701-AM$1)</f>
        <v/>
      </c>
      <c r="AB701" s="108">
        <f>ABS(AN701-AN$1)</f>
        <v/>
      </c>
      <c r="AC701" s="108" t="n"/>
      <c r="AD701" s="108" t="n"/>
      <c r="AE701" s="108">
        <f>ABS(AQ$1-AQ701)</f>
        <v/>
      </c>
      <c r="AF701" s="108">
        <f>ABS(AR$1-AR701)</f>
        <v/>
      </c>
      <c r="AG701" s="108">
        <f>ABS(AS$1-AS701)</f>
        <v/>
      </c>
      <c r="AH701" s="108">
        <f>ABS(AT$1-AT701)</f>
        <v/>
      </c>
      <c r="AI701" s="108">
        <f>ABS(AU$1-AU701)</f>
        <v/>
      </c>
      <c r="AJ701" s="108">
        <f>(AV701-Driver!$K$179)/(Driver!$L$179-Driver!$K$179)</f>
        <v/>
      </c>
      <c r="AK701" s="108">
        <f>(AW701-Driver!$K$180)/(Driver!$L$180-Driver!$K$180)</f>
        <v/>
      </c>
      <c r="AL701" s="108">
        <f>(AX701-Driver!$K$181)/(Driver!$L$181-Driver!$K$181)</f>
        <v/>
      </c>
      <c r="AM701" s="108">
        <f>(AY701-Driver!$K$182)/(Driver!$L$182-Driver!$K$182)</f>
        <v/>
      </c>
      <c r="AN701" s="108">
        <f>(AZ701-Driver!$K$183)/(Driver!$L$183-Driver!$K$183)</f>
        <v/>
      </c>
      <c r="AO701" s="108" t="n"/>
      <c r="AP701" s="108" t="n"/>
      <c r="AQ701" s="108">
        <f>(BC701-Driver!$K$188)/(Driver!$L$188-Driver!$K$188)</f>
        <v/>
      </c>
      <c r="AR701" s="108">
        <f>MIN((BD701-Driver!$K$189)/(Driver!$L$189-Driver!$K$189),100%)</f>
        <v/>
      </c>
      <c r="AS701" s="108">
        <f>(BE701-Driver!$K$190)/(Driver!$L$190-Driver!$K$190)</f>
        <v/>
      </c>
      <c r="AT701" s="108">
        <f>(BF701-Driver!$K$191)/(Driver!$L$191-Driver!$K$191)</f>
        <v/>
      </c>
      <c r="AU701" s="108">
        <f>(BG701-Driver!$K$192)/(Driver!$L$192-Driver!$K$192)</f>
        <v/>
      </c>
      <c r="AV701" s="105">
        <f>IFERROR(BM701*BJ701^1/4,"")</f>
        <v/>
      </c>
      <c r="AW701" s="105">
        <f>IFERROR(SUM(AX701:AZ701),"")</f>
        <v/>
      </c>
      <c r="AX701" s="105">
        <f>IFERROR(BH701,"")</f>
        <v/>
      </c>
      <c r="AY701" s="105">
        <f>IFERROR(Driver!$K$19/Data!BH701/Data!BI701*Data!BK701*Data!BL701,"")</f>
        <v/>
      </c>
      <c r="AZ701" s="105">
        <f>IFERROR(BI701*BN701,"")</f>
        <v/>
      </c>
      <c r="BA701" s="105" t="n"/>
      <c r="BB701" s="105" t="n"/>
      <c r="BC701" s="105">
        <f>IFERROR(BI701*BN701*BK701/BJ701^(1/2),"")</f>
        <v/>
      </c>
      <c r="BD701" s="105">
        <f>IFERROR(BH701*BM701*BL701/BJ701/BK701,"")</f>
        <v/>
      </c>
      <c r="BE701" s="105">
        <f>IFERROR(MIN(BI701/BQ701/BP701/BO701/BH701,$BE$1),"")</f>
        <v/>
      </c>
      <c r="BF701" s="105">
        <f>IFERROR(BJ701*BO701*BP701/BK701,"")</f>
        <v/>
      </c>
      <c r="BG701" s="105">
        <f>IFERROR(1/BM701/BH701*BQ701,"")</f>
        <v/>
      </c>
      <c r="BH701" s="102">
        <f>MAX((CE701-Driver!$F$200)/(Driver!$G$200-Driver!$F$200)*$BI$1,1)</f>
        <v/>
      </c>
      <c r="BI701" s="102">
        <f>MAX($BI$1*(BY701-Driver!$F$201)/(Driver!$G$201-Driver!$F$201),1)</f>
        <v/>
      </c>
      <c r="BJ701" s="102">
        <f>(CB701-Driver!$F$206)/(Driver!$G$206-Driver!$F$206)*$BI$1</f>
        <v/>
      </c>
      <c r="BK701" s="102">
        <f>(CD701-Driver!$F$203)/(Driver!$G$203-Driver!$F$203)*$BI$1</f>
        <v/>
      </c>
      <c r="BL701" s="102">
        <f>MAX((CR701-Driver!$F$202)/(Driver!$G$202-Driver!$F$202)*$BI$1,1)</f>
        <v/>
      </c>
      <c r="BM701" s="102">
        <f>MAX((CH701-Driver!$F$204)/(Driver!$G$204-Driver!$F$204)*$BI$1,1)</f>
        <v/>
      </c>
      <c r="BN701" s="102">
        <f>(CI701-Driver!$F$205)/(Driver!$G$205-Driver!$F$205)*$BI$1</f>
        <v/>
      </c>
      <c r="BO701" s="102">
        <f>(CK701-Driver!$F$207)/(Driver!$G$207-Driver!$F$207)*$BI$1</f>
        <v/>
      </c>
      <c r="BP701" s="102">
        <f>(CM701-Driver!$F$208)/(Driver!$G$208-Driver!$F$208)*$BI$1</f>
        <v/>
      </c>
      <c r="BQ701" s="102">
        <f>(CL701-Driver!$F$209)/(Driver!$G$209-Driver!$F$209)*$BI$1</f>
        <v/>
      </c>
      <c r="BR701" s="40" t="inlineStr">
        <is>
          <t>21/22</t>
        </is>
      </c>
      <c r="BS701" s="10" t="inlineStr">
        <is>
          <t xml:space="preserve"> Line</t>
        </is>
      </c>
      <c r="BT701" s="11" t="inlineStr">
        <is>
          <t xml:space="preserve"> Chronic</t>
        </is>
      </c>
      <c r="BU701" s="13" t="n">
        <v>185</v>
      </c>
      <c r="BV701" s="11" t="inlineStr">
        <is>
          <t xml:space="preserve"> Unisex</t>
        </is>
      </c>
      <c r="BW701" s="13" t="n">
        <v>185</v>
      </c>
      <c r="BX701" s="13" t="n">
        <v>185.3</v>
      </c>
      <c r="BY701" s="13" t="n">
        <v>148</v>
      </c>
      <c r="BZ701" s="13" t="n">
        <v>151</v>
      </c>
      <c r="CA701" s="13" t="n">
        <v>128</v>
      </c>
      <c r="CB701" s="13" t="n">
        <v>94</v>
      </c>
      <c r="CC701" s="13" t="n">
        <v>119</v>
      </c>
      <c r="CD701" s="13" t="n">
        <v>18.6</v>
      </c>
      <c r="CE701" s="13" t="n">
        <v>1982</v>
      </c>
      <c r="CF701" s="13" t="n">
        <v>0.99</v>
      </c>
      <c r="CG701" s="13" t="n">
        <v>1954</v>
      </c>
      <c r="CH701" s="13" t="n">
        <v>179</v>
      </c>
      <c r="CI701" s="13" t="n">
        <v>107</v>
      </c>
      <c r="CJ701" s="13" t="n">
        <v>37</v>
      </c>
      <c r="CK701" s="13" t="n">
        <v>178</v>
      </c>
      <c r="CL701" s="13" t="n">
        <v>38</v>
      </c>
      <c r="CM701" s="13" t="n">
        <v>198</v>
      </c>
      <c r="CN701" s="13" t="n">
        <v>1.026</v>
      </c>
      <c r="CO701" s="13" t="n">
        <v>164</v>
      </c>
      <c r="CP701" s="13" t="n">
        <v>176</v>
      </c>
      <c r="CQ701" s="13" t="n">
        <v>14</v>
      </c>
      <c r="CR701" s="13" t="n">
        <v>10</v>
      </c>
      <c r="CS701" s="13" t="n">
        <v>5.2</v>
      </c>
      <c r="CT701" s="11" t="inlineStr">
        <is>
          <t xml:space="preserve"> Freeski</t>
        </is>
      </c>
      <c r="CU701" s="13" t="n"/>
      <c r="CV701" s="13" t="n"/>
      <c r="CW701" s="13" t="n"/>
      <c r="CX701">
        <f>INDEX('Data_Price '!AG$2:AG$1266,MATCH(Data!$DN701,'Data_Price '!$AT$2:$AT$1266,0))</f>
        <v/>
      </c>
      <c r="CY701">
        <f>INDEX('Data_Price '!AH$2:AH$1266,MATCH(Data!$DN701,'Data_Price '!$AT$2:$AT$1266,0))</f>
        <v/>
      </c>
      <c r="CZ701">
        <f>INDEX('Data_Price '!AI$2:AI$1266,MATCH(Data!$DN701,'Data_Price '!$AT$2:$AT$1266,0))</f>
        <v/>
      </c>
      <c r="DA701">
        <f>INDEX('Data_Price '!AJ$2:AJ$1266,MATCH(Data!$DN701,'Data_Price '!$AT$2:$AT$1266,0))</f>
        <v/>
      </c>
      <c r="DB701">
        <f>INDEX('Data_Price '!AK$2:AK$1266,MATCH(Data!$DN701,'Data_Price '!$AT$2:$AT$1266,0))</f>
        <v/>
      </c>
      <c r="DC701">
        <f>INDEX('Data_Price '!AL$2:AL$1266,MATCH(Data!$DN701,'Data_Price '!$AT$2:$AT$1266,0))</f>
        <v/>
      </c>
      <c r="DD701">
        <f>INDEX('Data_Price '!AM$2:AM$1266,MATCH(Data!$DN701,'Data_Price '!$AT$2:$AT$1266,0))</f>
        <v/>
      </c>
      <c r="DE701">
        <f>INDEX('Data_Price '!AN$2:AN$1266,MATCH(Data!$DN701,'Data_Price '!$AT$2:$AT$1266,0))</f>
        <v/>
      </c>
      <c r="DF701">
        <f>INDEX('Data_Price '!AO$2:AO$1266,MATCH(Data!$DN701,'Data_Price '!$AT$2:$AT$1266,0))</f>
        <v/>
      </c>
      <c r="DG701">
        <f>INDEX('Data_Price '!AP$2:AP$1266,MATCH(Data!$DN701,'Data_Price '!$AT$2:$AT$1266,0))</f>
        <v/>
      </c>
      <c r="DH701">
        <f>INDEX('Data_Price '!AQ$2:AQ$1266,MATCH(Data!$DN701,'Data_Price '!$AT$2:$AT$1266,0))</f>
        <v/>
      </c>
      <c r="DI701">
        <f>INDEX('Data_Price '!AR$2:AR$1266,MATCH(Data!$DN701,'Data_Price '!$AT$2:$AT$1266,0))</f>
        <v/>
      </c>
      <c r="DJ701" s="138">
        <f>DA701</f>
        <v/>
      </c>
      <c r="DK701" s="138">
        <f>DE701</f>
        <v/>
      </c>
      <c r="DL701" s="138">
        <f>DI701</f>
        <v/>
      </c>
      <c r="DM701" s="303">
        <f>IF(LEFT(BT701,1)=" ",RIGHT(BT701,LEN(BT701)-1),BT701)</f>
        <v/>
      </c>
      <c r="DN701" s="138">
        <f>_xlfn.CONCAT(BS701,DM701,BU701,BV701)</f>
        <v/>
      </c>
      <c r="DO701" s="307" t="inlineStr">
        <is>
          <t>https://images.evo.com/imgp/250/198439/824792/clone.jpg</t>
        </is>
      </c>
    </row>
    <row r="702" ht="15.6" customHeight="1" s="184">
      <c r="B702" s="303">
        <f t="array" ref="B702">IF(OR(ISERROR(K702:P702)),FALSE,TRUE)</f>
        <v/>
      </c>
      <c r="C702" s="60">
        <f>OR(BR702=Driver!$G$50,Data!BR714=Driver!$H$50)</f>
        <v/>
      </c>
      <c r="D702" s="60">
        <f>OR(BV702=Driver!$G$51,BV702=Driver!$H$51)</f>
        <v/>
      </c>
      <c r="E702" s="60">
        <f>AND(BX702&gt;Driver!$F$54,BX702&lt;Driver!$G$54)</f>
        <v/>
      </c>
      <c r="F702" s="60">
        <f>CL702&gt;Driver!$F$56</f>
        <v/>
      </c>
      <c r="G702" s="60">
        <f>AND(CB702&gt;Driver!$F$55,CB702&lt;Driver!$G$55)</f>
        <v/>
      </c>
      <c r="H702" s="60">
        <f>AND(B702:G702)</f>
        <v/>
      </c>
      <c r="I702" s="60">
        <f>COUNTIFS($H$9:$H$1273,TRUE,$BT$9:$BT$1273,BT702)</f>
        <v/>
      </c>
      <c r="J702" s="60">
        <f t="array" ref="J702">NOT(OR(($H$9:$H$1273=TRUE)*($I$9:$I$1273&gt;0)*($BT$9:$BT$1273=BT702)*($K$9:$K$1273&gt;K702)))</f>
        <v/>
      </c>
      <c r="K702" s="108">
        <f>IFERROR(1-AVERAGE(X702:Y702),"")</f>
        <v/>
      </c>
      <c r="L702" s="108">
        <f>1-X702</f>
        <v/>
      </c>
      <c r="M702" s="108">
        <f>1-Y702</f>
        <v/>
      </c>
      <c r="N702" s="108">
        <f>1-Z702</f>
        <v/>
      </c>
      <c r="O702" s="108">
        <f>1-AA702</f>
        <v/>
      </c>
      <c r="P702" s="108">
        <f>1-AB702</f>
        <v/>
      </c>
      <c r="Q702" s="108" t="n"/>
      <c r="R702" s="108" t="n"/>
      <c r="S702" s="108">
        <f>1-AE702</f>
        <v/>
      </c>
      <c r="T702" s="108">
        <f>1-AF702</f>
        <v/>
      </c>
      <c r="U702" s="108">
        <f>1-AG702</f>
        <v/>
      </c>
      <c r="V702" s="108">
        <f>1-AH702</f>
        <v/>
      </c>
      <c r="W702" s="108">
        <f>1-AI702</f>
        <v/>
      </c>
      <c r="X702" s="108">
        <f>ABS(AJ702-AJ$1)</f>
        <v/>
      </c>
      <c r="Y702" s="108">
        <f>AVERAGE(Z702:AB702)</f>
        <v/>
      </c>
      <c r="Z702" s="108">
        <f>ABS(AL702-AL$1)</f>
        <v/>
      </c>
      <c r="AA702" s="108">
        <f>ABS(AM702-AM$1)</f>
        <v/>
      </c>
      <c r="AB702" s="108">
        <f>ABS(AN702-AN$1)</f>
        <v/>
      </c>
      <c r="AC702" s="108" t="n"/>
      <c r="AD702" s="108" t="n"/>
      <c r="AE702" s="108">
        <f>ABS(AQ$1-AQ702)</f>
        <v/>
      </c>
      <c r="AF702" s="108">
        <f>ABS(AR$1-AR702)</f>
        <v/>
      </c>
      <c r="AG702" s="108">
        <f>ABS(AS$1-AS702)</f>
        <v/>
      </c>
      <c r="AH702" s="108">
        <f>ABS(AT$1-AT702)</f>
        <v/>
      </c>
      <c r="AI702" s="108">
        <f>ABS(AU$1-AU702)</f>
        <v/>
      </c>
      <c r="AJ702" s="108">
        <f>(AV702-Driver!$K$179)/(Driver!$L$179-Driver!$K$179)</f>
        <v/>
      </c>
      <c r="AK702" s="108">
        <f>(AW702-Driver!$K$180)/(Driver!$L$180-Driver!$K$180)</f>
        <v/>
      </c>
      <c r="AL702" s="108">
        <f>(AX702-Driver!$K$181)/(Driver!$L$181-Driver!$K$181)</f>
        <v/>
      </c>
      <c r="AM702" s="108">
        <f>(AY702-Driver!$K$182)/(Driver!$L$182-Driver!$K$182)</f>
        <v/>
      </c>
      <c r="AN702" s="108">
        <f>(AZ702-Driver!$K$183)/(Driver!$L$183-Driver!$K$183)</f>
        <v/>
      </c>
      <c r="AO702" s="108" t="n"/>
      <c r="AP702" s="108" t="n"/>
      <c r="AQ702" s="108">
        <f>(BC702-Driver!$K$188)/(Driver!$L$188-Driver!$K$188)</f>
        <v/>
      </c>
      <c r="AR702" s="108">
        <f>MIN((BD702-Driver!$K$189)/(Driver!$L$189-Driver!$K$189),100%)</f>
        <v/>
      </c>
      <c r="AS702" s="108">
        <f>(BE702-Driver!$K$190)/(Driver!$L$190-Driver!$K$190)</f>
        <v/>
      </c>
      <c r="AT702" s="108">
        <f>(BF702-Driver!$K$191)/(Driver!$L$191-Driver!$K$191)</f>
        <v/>
      </c>
      <c r="AU702" s="108">
        <f>(BG702-Driver!$K$192)/(Driver!$L$192-Driver!$K$192)</f>
        <v/>
      </c>
      <c r="AV702" s="105">
        <f>IFERROR(BM702*BJ702^1/4,"")</f>
        <v/>
      </c>
      <c r="AW702" s="105">
        <f>IFERROR(SUM(AX702:AZ702),"")</f>
        <v/>
      </c>
      <c r="AX702" s="105">
        <f>IFERROR(BH702,"")</f>
        <v/>
      </c>
      <c r="AY702" s="105">
        <f>IFERROR(Driver!$K$19/Data!BH702/Data!BI702*Data!BK702*Data!BL702,"")</f>
        <v/>
      </c>
      <c r="AZ702" s="105">
        <f>IFERROR(BI702*BN702,"")</f>
        <v/>
      </c>
      <c r="BA702" s="105" t="n"/>
      <c r="BB702" s="105" t="n"/>
      <c r="BC702" s="105">
        <f>IFERROR(BI702*BN702*BK702/BJ702^(1/2),"")</f>
        <v/>
      </c>
      <c r="BD702" s="105">
        <f>IFERROR(BH702*BM702*BL702/BJ702/BK702,"")</f>
        <v/>
      </c>
      <c r="BE702" s="105">
        <f>IFERROR(MIN(BI702/BQ702/BP702/BO702/BH702,$BE$1),"")</f>
        <v/>
      </c>
      <c r="BF702" s="105">
        <f>IFERROR(BJ702*BO702*BP702/BK702,"")</f>
        <v/>
      </c>
      <c r="BG702" s="105">
        <f>IFERROR(1/BM702/BH702*BQ702,"")</f>
        <v/>
      </c>
      <c r="BH702" s="102">
        <f>MAX((CE702-Driver!$F$200)/(Driver!$G$200-Driver!$F$200)*$BI$1,1)</f>
        <v/>
      </c>
      <c r="BI702" s="102">
        <f>MAX($BI$1*(BY702-Driver!$F$201)/(Driver!$G$201-Driver!$F$201),1)</f>
        <v/>
      </c>
      <c r="BJ702" s="102">
        <f>(CB702-Driver!$F$206)/(Driver!$G$206-Driver!$F$206)*$BI$1</f>
        <v/>
      </c>
      <c r="BK702" s="102">
        <f>(CD702-Driver!$F$203)/(Driver!$G$203-Driver!$F$203)*$BI$1</f>
        <v/>
      </c>
      <c r="BL702" s="102">
        <f>MAX((CR702-Driver!$F$202)/(Driver!$G$202-Driver!$F$202)*$BI$1,1)</f>
        <v/>
      </c>
      <c r="BM702" s="102">
        <f>MAX((CH702-Driver!$F$204)/(Driver!$G$204-Driver!$F$204)*$BI$1,1)</f>
        <v/>
      </c>
      <c r="BN702" s="102">
        <f>(CI702-Driver!$F$205)/(Driver!$G$205-Driver!$F$205)*$BI$1</f>
        <v/>
      </c>
      <c r="BO702" s="102">
        <f>(CK702-Driver!$F$207)/(Driver!$G$207-Driver!$F$207)*$BI$1</f>
        <v/>
      </c>
      <c r="BP702" s="102">
        <f>(CM702-Driver!$F$208)/(Driver!$G$208-Driver!$F$208)*$BI$1</f>
        <v/>
      </c>
      <c r="BQ702" s="102">
        <f>(CL702-Driver!$F$209)/(Driver!$G$209-Driver!$F$209)*$BI$1</f>
        <v/>
      </c>
      <c r="BR702" s="40" t="inlineStr">
        <is>
          <t>21/22</t>
        </is>
      </c>
      <c r="BS702" s="10" t="inlineStr">
        <is>
          <t xml:space="preserve"> K2</t>
        </is>
      </c>
      <c r="BT702" s="11" t="inlineStr">
        <is>
          <t xml:space="preserve"> Midnight</t>
        </is>
      </c>
      <c r="BU702" s="13" t="n">
        <v>169</v>
      </c>
      <c r="BV702" s="11" t="inlineStr">
        <is>
          <t xml:space="preserve"> Women's</t>
        </is>
      </c>
      <c r="BW702" s="13" t="n">
        <v>169</v>
      </c>
      <c r="BX702" s="13" t="n">
        <v>169.8</v>
      </c>
      <c r="BY702" s="13" t="n">
        <v>128</v>
      </c>
      <c r="BZ702" s="13" t="n">
        <v>139</v>
      </c>
      <c r="CA702" s="13" t="n">
        <v>116</v>
      </c>
      <c r="CB702" s="13" t="n">
        <v>87</v>
      </c>
      <c r="CC702" s="13" t="n">
        <v>110</v>
      </c>
      <c r="CD702" s="13" t="n">
        <v>17</v>
      </c>
      <c r="CE702" s="13" t="n">
        <v>1786</v>
      </c>
      <c r="CF702" s="13" t="n">
        <v>0.93</v>
      </c>
      <c r="CG702" s="13" t="n">
        <v>1659</v>
      </c>
      <c r="CH702" s="13" t="n">
        <v>173</v>
      </c>
      <c r="CI702" s="13" t="n">
        <v>78</v>
      </c>
      <c r="CJ702" s="13" t="n">
        <v>49</v>
      </c>
      <c r="CK702" s="13" t="n">
        <v>209</v>
      </c>
      <c r="CL702" s="13" t="n">
        <v>48</v>
      </c>
      <c r="CM702" s="13" t="n">
        <v>210</v>
      </c>
      <c r="CN702" s="13" t="n">
        <v>0.972</v>
      </c>
      <c r="CO702" s="13" t="n">
        <v>160</v>
      </c>
      <c r="CP702" s="13" t="n">
        <v>149</v>
      </c>
      <c r="CQ702" s="13" t="n">
        <v>49</v>
      </c>
      <c r="CR702" s="13" t="n">
        <v>6</v>
      </c>
      <c r="CS702" s="13" t="n">
        <v>3.8</v>
      </c>
      <c r="CT702" s="11" t="inlineStr">
        <is>
          <t xml:space="preserve"> Freeski</t>
        </is>
      </c>
      <c r="CU702" s="13" t="n"/>
      <c r="CV702" s="13" t="n"/>
      <c r="CW702" s="13" t="n"/>
      <c r="CX702">
        <f>INDEX('Data_Price '!AG$2:AG$1266,MATCH(Data!$DN702,'Data_Price '!$AT$2:$AT$1266,0))</f>
        <v/>
      </c>
      <c r="CY702">
        <f>INDEX('Data_Price '!AH$2:AH$1266,MATCH(Data!$DN702,'Data_Price '!$AT$2:$AT$1266,0))</f>
        <v/>
      </c>
      <c r="CZ702">
        <f>INDEX('Data_Price '!AI$2:AI$1266,MATCH(Data!$DN702,'Data_Price '!$AT$2:$AT$1266,0))</f>
        <v/>
      </c>
      <c r="DA702">
        <f>INDEX('Data_Price '!AJ$2:AJ$1266,MATCH(Data!$DN702,'Data_Price '!$AT$2:$AT$1266,0))</f>
        <v/>
      </c>
      <c r="DB702">
        <f>INDEX('Data_Price '!AK$2:AK$1266,MATCH(Data!$DN702,'Data_Price '!$AT$2:$AT$1266,0))</f>
        <v/>
      </c>
      <c r="DC702">
        <f>INDEX('Data_Price '!AL$2:AL$1266,MATCH(Data!$DN702,'Data_Price '!$AT$2:$AT$1266,0))</f>
        <v/>
      </c>
      <c r="DD702">
        <f>INDEX('Data_Price '!AM$2:AM$1266,MATCH(Data!$DN702,'Data_Price '!$AT$2:$AT$1266,0))</f>
        <v/>
      </c>
      <c r="DE702">
        <f>INDEX('Data_Price '!AN$2:AN$1266,MATCH(Data!$DN702,'Data_Price '!$AT$2:$AT$1266,0))</f>
        <v/>
      </c>
      <c r="DF702">
        <f>INDEX('Data_Price '!AO$2:AO$1266,MATCH(Data!$DN702,'Data_Price '!$AT$2:$AT$1266,0))</f>
        <v/>
      </c>
      <c r="DG702">
        <f>INDEX('Data_Price '!AP$2:AP$1266,MATCH(Data!$DN702,'Data_Price '!$AT$2:$AT$1266,0))</f>
        <v/>
      </c>
      <c r="DH702">
        <f>INDEX('Data_Price '!AQ$2:AQ$1266,MATCH(Data!$DN702,'Data_Price '!$AT$2:$AT$1266,0))</f>
        <v/>
      </c>
      <c r="DI702">
        <f>INDEX('Data_Price '!AR$2:AR$1266,MATCH(Data!$DN702,'Data_Price '!$AT$2:$AT$1266,0))</f>
        <v/>
      </c>
      <c r="DJ702" s="138">
        <f>DA702</f>
        <v/>
      </c>
      <c r="DK702" s="138">
        <f>DE702</f>
        <v/>
      </c>
      <c r="DL702" s="138">
        <f>DI702</f>
        <v/>
      </c>
      <c r="DM702" s="303">
        <f>IF(LEFT(BT702,1)=" ",RIGHT(BT702,LEN(BT702)-1),BT702)</f>
        <v/>
      </c>
      <c r="DN702" s="138">
        <f>_xlfn.CONCAT(BS702,DM702,BU702,BV702)</f>
        <v/>
      </c>
      <c r="DO702" s="307" t="n"/>
    </row>
    <row r="703" ht="15.6" customHeight="1" s="184">
      <c r="B703" s="303">
        <f t="array" ref="B703">IF(OR(ISERROR(K703:P703)),FALSE,TRUE)</f>
        <v/>
      </c>
      <c r="C703" s="60">
        <f>OR(BR703=Driver!$G$50,Data!BR1029=Driver!$H$50)</f>
        <v/>
      </c>
      <c r="D703" s="60">
        <f>OR(BV703=Driver!$G$51,BV703=Driver!$H$51)</f>
        <v/>
      </c>
      <c r="E703" s="60">
        <f>AND(BX703&gt;Driver!$F$54,BX703&lt;Driver!$G$54)</f>
        <v/>
      </c>
      <c r="F703" s="60">
        <f>CL703&gt;Driver!$F$56</f>
        <v/>
      </c>
      <c r="G703" s="60">
        <f>AND(CB703&gt;Driver!$F$55,CB703&lt;Driver!$G$55)</f>
        <v/>
      </c>
      <c r="H703" s="60">
        <f>AND(B703:G703)</f>
        <v/>
      </c>
      <c r="I703" s="60">
        <f>COUNTIFS($H$9:$H$1273,TRUE,$BT$9:$BT$1273,BT703)</f>
        <v/>
      </c>
      <c r="J703" s="60">
        <f t="array" ref="J703">NOT(OR(($H$9:$H$1273=TRUE)*($I$9:$I$1273&gt;0)*($BT$9:$BT$1273=BT703)*($K$9:$K$1273&gt;K703)))</f>
        <v/>
      </c>
      <c r="K703" s="108">
        <f>IFERROR(1-AVERAGE(X703:Y703),"")</f>
        <v/>
      </c>
      <c r="L703" s="108">
        <f>1-X703</f>
        <v/>
      </c>
      <c r="M703" s="108">
        <f>1-Y703</f>
        <v/>
      </c>
      <c r="N703" s="108">
        <f>1-Z703</f>
        <v/>
      </c>
      <c r="O703" s="108">
        <f>1-AA703</f>
        <v/>
      </c>
      <c r="P703" s="108">
        <f>1-AB703</f>
        <v/>
      </c>
      <c r="Q703" s="108" t="n"/>
      <c r="R703" s="108" t="n"/>
      <c r="S703" s="108">
        <f>1-AE703</f>
        <v/>
      </c>
      <c r="T703" s="108">
        <f>1-AF703</f>
        <v/>
      </c>
      <c r="U703" s="108">
        <f>1-AG703</f>
        <v/>
      </c>
      <c r="V703" s="108">
        <f>1-AH703</f>
        <v/>
      </c>
      <c r="W703" s="108">
        <f>1-AI703</f>
        <v/>
      </c>
      <c r="X703" s="108">
        <f>ABS(AJ703-AJ$1)</f>
        <v/>
      </c>
      <c r="Y703" s="108">
        <f>AVERAGE(Z703:AB703)</f>
        <v/>
      </c>
      <c r="Z703" s="108">
        <f>ABS(AL703-AL$1)</f>
        <v/>
      </c>
      <c r="AA703" s="108">
        <f>ABS(AM703-AM$1)</f>
        <v/>
      </c>
      <c r="AB703" s="108">
        <f>ABS(AN703-AN$1)</f>
        <v/>
      </c>
      <c r="AC703" s="108" t="n"/>
      <c r="AD703" s="108" t="n"/>
      <c r="AE703" s="108">
        <f>ABS(AQ$1-AQ703)</f>
        <v/>
      </c>
      <c r="AF703" s="108">
        <f>ABS(AR$1-AR703)</f>
        <v/>
      </c>
      <c r="AG703" s="108">
        <f>ABS(AS$1-AS703)</f>
        <v/>
      </c>
      <c r="AH703" s="108">
        <f>ABS(AT$1-AT703)</f>
        <v/>
      </c>
      <c r="AI703" s="108">
        <f>ABS(AU$1-AU703)</f>
        <v/>
      </c>
      <c r="AJ703" s="108">
        <f>(AV703-Driver!$K$179)/(Driver!$L$179-Driver!$K$179)</f>
        <v/>
      </c>
      <c r="AK703" s="108">
        <f>(AW703-Driver!$K$180)/(Driver!$L$180-Driver!$K$180)</f>
        <v/>
      </c>
      <c r="AL703" s="108">
        <f>(AX703-Driver!$K$181)/(Driver!$L$181-Driver!$K$181)</f>
        <v/>
      </c>
      <c r="AM703" s="108">
        <f>(AY703-Driver!$K$182)/(Driver!$L$182-Driver!$K$182)</f>
        <v/>
      </c>
      <c r="AN703" s="108">
        <f>(AZ703-Driver!$K$183)/(Driver!$L$183-Driver!$K$183)</f>
        <v/>
      </c>
      <c r="AO703" s="108" t="n"/>
      <c r="AP703" s="108" t="n"/>
      <c r="AQ703" s="108">
        <f>(BC703-Driver!$K$188)/(Driver!$L$188-Driver!$K$188)</f>
        <v/>
      </c>
      <c r="AR703" s="108">
        <f>MIN((BD703-Driver!$K$189)/(Driver!$L$189-Driver!$K$189),100%)</f>
        <v/>
      </c>
      <c r="AS703" s="108">
        <f>(BE703-Driver!$K$190)/(Driver!$L$190-Driver!$K$190)</f>
        <v/>
      </c>
      <c r="AT703" s="108">
        <f>(BF703-Driver!$K$191)/(Driver!$L$191-Driver!$K$191)</f>
        <v/>
      </c>
      <c r="AU703" s="108">
        <f>(BG703-Driver!$K$192)/(Driver!$L$192-Driver!$K$192)</f>
        <v/>
      </c>
      <c r="AV703" s="105">
        <f>IFERROR(BM703*BJ703^1/4,"")</f>
        <v/>
      </c>
      <c r="AW703" s="105">
        <f>IFERROR(SUM(AX703:AZ703),"")</f>
        <v/>
      </c>
      <c r="AX703" s="105">
        <f>IFERROR(BH703,"")</f>
        <v/>
      </c>
      <c r="AY703" s="105">
        <f>IFERROR(Driver!$K$19/Data!BH703/Data!BI703*Data!BK703*Data!BL703,"")</f>
        <v/>
      </c>
      <c r="AZ703" s="105">
        <f>IFERROR(BI703*BN703,"")</f>
        <v/>
      </c>
      <c r="BA703" s="105" t="n"/>
      <c r="BB703" s="105" t="n"/>
      <c r="BC703" s="105">
        <f>IFERROR(BI703*BN703*BK703/BJ703^(1/2),"")</f>
        <v/>
      </c>
      <c r="BD703" s="105">
        <f>IFERROR(BH703*BM703*BL703/BJ703/BK703,"")</f>
        <v/>
      </c>
      <c r="BE703" s="105">
        <f>IFERROR(MIN(BI703/BQ703/BP703/BO703/BH703,$BE$1),"")</f>
        <v/>
      </c>
      <c r="BF703" s="105">
        <f>IFERROR(BJ703*BO703*BP703/BK703,"")</f>
        <v/>
      </c>
      <c r="BG703" s="105">
        <f>IFERROR(1/BM703/BH703*BQ703,"")</f>
        <v/>
      </c>
      <c r="BH703" s="102">
        <f>MAX((CE703-Driver!$F$200)/(Driver!$G$200-Driver!$F$200)*$BI$1,1)</f>
        <v/>
      </c>
      <c r="BI703" s="102">
        <f>MAX($BI$1*(BY703-Driver!$F$201)/(Driver!$G$201-Driver!$F$201),1)</f>
        <v/>
      </c>
      <c r="BJ703" s="102">
        <f>(CB703-Driver!$F$206)/(Driver!$G$206-Driver!$F$206)*$BI$1</f>
        <v/>
      </c>
      <c r="BK703" s="102">
        <f>(CD703-Driver!$F$203)/(Driver!$G$203-Driver!$F$203)*$BI$1</f>
        <v/>
      </c>
      <c r="BL703" s="102">
        <f>MAX((CR703-Driver!$F$202)/(Driver!$G$202-Driver!$F$202)*$BI$1,1)</f>
        <v/>
      </c>
      <c r="BM703" s="102">
        <f>MAX((CH703-Driver!$F$204)/(Driver!$G$204-Driver!$F$204)*$BI$1,1)</f>
        <v/>
      </c>
      <c r="BN703" s="102">
        <f>(CI703-Driver!$F$205)/(Driver!$G$205-Driver!$F$205)*$BI$1</f>
        <v/>
      </c>
      <c r="BO703" s="102">
        <f>(CK703-Driver!$F$207)/(Driver!$G$207-Driver!$F$207)*$BI$1</f>
        <v/>
      </c>
      <c r="BP703" s="102">
        <f>(CM703-Driver!$F$208)/(Driver!$G$208-Driver!$F$208)*$BI$1</f>
        <v/>
      </c>
      <c r="BQ703" s="102">
        <f>(CL703-Driver!$F$209)/(Driver!$G$209-Driver!$F$209)*$BI$1</f>
        <v/>
      </c>
      <c r="BR703" s="40" t="inlineStr">
        <is>
          <t>21/22</t>
        </is>
      </c>
      <c r="BS703" s="10" t="inlineStr">
        <is>
          <t xml:space="preserve"> Rossignol</t>
        </is>
      </c>
      <c r="BT703" s="11" t="inlineStr">
        <is>
          <t xml:space="preserve"> Hero Elite Multi Turn Ti</t>
        </is>
      </c>
      <c r="BU703" s="13" t="n">
        <v>167</v>
      </c>
      <c r="BV703" s="11" t="inlineStr">
        <is>
          <t xml:space="preserve"> Unisex</t>
        </is>
      </c>
      <c r="BW703" s="13" t="n">
        <v>167</v>
      </c>
      <c r="BX703" s="13" t="n">
        <v>167.5</v>
      </c>
      <c r="BY703" s="13" t="n">
        <v>147</v>
      </c>
      <c r="BZ703" s="13" t="n">
        <v>154</v>
      </c>
      <c r="CA703" s="13" t="n">
        <v>122</v>
      </c>
      <c r="CB703" s="13" t="n">
        <v>73</v>
      </c>
      <c r="CC703" s="13" t="n">
        <v>108</v>
      </c>
      <c r="CD703" s="13" t="n">
        <v>14</v>
      </c>
      <c r="CE703" s="13" t="n">
        <v>1813</v>
      </c>
      <c r="CF703" s="13" t="n">
        <v>0.82</v>
      </c>
      <c r="CG703" s="13" t="n">
        <v>1492</v>
      </c>
      <c r="CH703" s="13" t="n">
        <v>198</v>
      </c>
      <c r="CI703" s="13" t="n">
        <v>74</v>
      </c>
      <c r="CJ703" s="13" t="n">
        <v>38</v>
      </c>
      <c r="CK703" s="13" t="n">
        <v>136</v>
      </c>
      <c r="CL703" s="13" t="n">
        <v>5</v>
      </c>
      <c r="CM703" s="13" t="n">
        <v>68</v>
      </c>
      <c r="CN703" s="13" t="n">
        <v>0.131</v>
      </c>
      <c r="CO703" s="13" t="n">
        <v>79</v>
      </c>
      <c r="CP703" s="13" t="n">
        <v>59</v>
      </c>
      <c r="CQ703" s="13" t="n">
        <v>57</v>
      </c>
      <c r="CR703" s="13" t="n">
        <v>10</v>
      </c>
      <c r="CS703" s="13" t="n">
        <v>10.2</v>
      </c>
      <c r="CT703" s="11" t="inlineStr">
        <is>
          <t xml:space="preserve"> On-Piste Carving</t>
        </is>
      </c>
      <c r="CU703" s="13" t="n"/>
      <c r="CV703" s="13" t="n"/>
      <c r="CW703" s="13" t="n"/>
      <c r="CX703">
        <f>INDEX('Data_Price '!AG$2:AG$1266,MATCH(Data!$DN703,'Data_Price '!$AT$2:$AT$1266,0))</f>
        <v/>
      </c>
      <c r="CY703">
        <f>INDEX('Data_Price '!AH$2:AH$1266,MATCH(Data!$DN703,'Data_Price '!$AT$2:$AT$1266,0))</f>
        <v/>
      </c>
      <c r="CZ703">
        <f>INDEX('Data_Price '!AI$2:AI$1266,MATCH(Data!$DN703,'Data_Price '!$AT$2:$AT$1266,0))</f>
        <v/>
      </c>
      <c r="DA703">
        <f>INDEX('Data_Price '!AJ$2:AJ$1266,MATCH(Data!$DN703,'Data_Price '!$AT$2:$AT$1266,0))</f>
        <v/>
      </c>
      <c r="DB703">
        <f>INDEX('Data_Price '!AK$2:AK$1266,MATCH(Data!$DN703,'Data_Price '!$AT$2:$AT$1266,0))</f>
        <v/>
      </c>
      <c r="DC703">
        <f>INDEX('Data_Price '!AL$2:AL$1266,MATCH(Data!$DN703,'Data_Price '!$AT$2:$AT$1266,0))</f>
        <v/>
      </c>
      <c r="DD703">
        <f>INDEX('Data_Price '!AM$2:AM$1266,MATCH(Data!$DN703,'Data_Price '!$AT$2:$AT$1266,0))</f>
        <v/>
      </c>
      <c r="DE703">
        <f>INDEX('Data_Price '!AN$2:AN$1266,MATCH(Data!$DN703,'Data_Price '!$AT$2:$AT$1266,0))</f>
        <v/>
      </c>
      <c r="DF703">
        <f>INDEX('Data_Price '!AO$2:AO$1266,MATCH(Data!$DN703,'Data_Price '!$AT$2:$AT$1266,0))</f>
        <v/>
      </c>
      <c r="DG703">
        <f>INDEX('Data_Price '!AP$2:AP$1266,MATCH(Data!$DN703,'Data_Price '!$AT$2:$AT$1266,0))</f>
        <v/>
      </c>
      <c r="DH703">
        <f>INDEX('Data_Price '!AQ$2:AQ$1266,MATCH(Data!$DN703,'Data_Price '!$AT$2:$AT$1266,0))</f>
        <v/>
      </c>
      <c r="DI703">
        <f>INDEX('Data_Price '!AR$2:AR$1266,MATCH(Data!$DN703,'Data_Price '!$AT$2:$AT$1266,0))</f>
        <v/>
      </c>
      <c r="DJ703" s="138">
        <f>DA703</f>
        <v/>
      </c>
      <c r="DK703" s="138">
        <f>DE703</f>
        <v/>
      </c>
      <c r="DL703" s="138">
        <f>DI703</f>
        <v/>
      </c>
      <c r="DM703" s="303">
        <f>IF(LEFT(BT703,1)=" ",RIGHT(BT703,LEN(BT703)-1),BT703)</f>
        <v/>
      </c>
      <c r="DN703" s="138">
        <f>_xlfn.CONCAT(BS703,DM703,BU703,BV703)</f>
        <v/>
      </c>
      <c r="DO703" s="307" t="n"/>
    </row>
    <row r="704" ht="15.6" customHeight="1" s="184">
      <c r="B704" s="303">
        <f t="array" ref="B704">IF(OR(ISERROR(K704:P704)),FALSE,TRUE)</f>
        <v/>
      </c>
      <c r="C704" s="60">
        <f>OR(BR704=Driver!$G$50,Data!BR601=Driver!$H$50)</f>
        <v/>
      </c>
      <c r="D704" s="60">
        <f>OR(BV704=Driver!$G$51,BV704=Driver!$H$51)</f>
        <v/>
      </c>
      <c r="E704" s="60">
        <f>AND(BX704&gt;Driver!$F$54,BX704&lt;Driver!$G$54)</f>
        <v/>
      </c>
      <c r="F704" s="60">
        <f>CL704&gt;Driver!$F$56</f>
        <v/>
      </c>
      <c r="G704" s="60">
        <f>AND(CB704&gt;Driver!$F$55,CB704&lt;Driver!$G$55)</f>
        <v/>
      </c>
      <c r="H704" s="60">
        <f>AND(B704:G704)</f>
        <v/>
      </c>
      <c r="I704" s="60">
        <f>COUNTIFS($H$9:$H$1273,TRUE,$BT$9:$BT$1273,BT704)</f>
        <v/>
      </c>
      <c r="J704" s="60">
        <f t="array" ref="J704">NOT(OR(($H$9:$H$1273=TRUE)*($I$9:$I$1273&gt;0)*($BT$9:$BT$1273=BT704)*($K$9:$K$1273&gt;K704)))</f>
        <v/>
      </c>
      <c r="K704" s="108">
        <f>IFERROR(1-AVERAGE(X704:Y704),"")</f>
        <v/>
      </c>
      <c r="L704" s="108">
        <f>1-X704</f>
        <v/>
      </c>
      <c r="M704" s="108">
        <f>1-Y704</f>
        <v/>
      </c>
      <c r="N704" s="108">
        <f>1-Z704</f>
        <v/>
      </c>
      <c r="O704" s="108">
        <f>1-AA704</f>
        <v/>
      </c>
      <c r="P704" s="108">
        <f>1-AB704</f>
        <v/>
      </c>
      <c r="Q704" s="108" t="n"/>
      <c r="R704" s="108" t="n"/>
      <c r="S704" s="108">
        <f>1-AE704</f>
        <v/>
      </c>
      <c r="T704" s="108">
        <f>1-AF704</f>
        <v/>
      </c>
      <c r="U704" s="108">
        <f>1-AG704</f>
        <v/>
      </c>
      <c r="V704" s="108">
        <f>1-AH704</f>
        <v/>
      </c>
      <c r="W704" s="108">
        <f>1-AI704</f>
        <v/>
      </c>
      <c r="X704" s="108">
        <f>ABS(AJ704-AJ$1)</f>
        <v/>
      </c>
      <c r="Y704" s="108">
        <f>AVERAGE(Z704:AB704)</f>
        <v/>
      </c>
      <c r="Z704" s="108">
        <f>ABS(AL704-AL$1)</f>
        <v/>
      </c>
      <c r="AA704" s="108">
        <f>ABS(AM704-AM$1)</f>
        <v/>
      </c>
      <c r="AB704" s="108">
        <f>ABS(AN704-AN$1)</f>
        <v/>
      </c>
      <c r="AC704" s="108" t="n"/>
      <c r="AD704" s="108" t="n"/>
      <c r="AE704" s="108">
        <f>ABS(AQ$1-AQ704)</f>
        <v/>
      </c>
      <c r="AF704" s="108">
        <f>ABS(AR$1-AR704)</f>
        <v/>
      </c>
      <c r="AG704" s="108">
        <f>ABS(AS$1-AS704)</f>
        <v/>
      </c>
      <c r="AH704" s="108">
        <f>ABS(AT$1-AT704)</f>
        <v/>
      </c>
      <c r="AI704" s="108">
        <f>ABS(AU$1-AU704)</f>
        <v/>
      </c>
      <c r="AJ704" s="108">
        <f>(AV704-Driver!$K$179)/(Driver!$L$179-Driver!$K$179)</f>
        <v/>
      </c>
      <c r="AK704" s="108">
        <f>(AW704-Driver!$K$180)/(Driver!$L$180-Driver!$K$180)</f>
        <v/>
      </c>
      <c r="AL704" s="108">
        <f>(AX704-Driver!$K$181)/(Driver!$L$181-Driver!$K$181)</f>
        <v/>
      </c>
      <c r="AM704" s="108">
        <f>(AY704-Driver!$K$182)/(Driver!$L$182-Driver!$K$182)</f>
        <v/>
      </c>
      <c r="AN704" s="108">
        <f>(AZ704-Driver!$K$183)/(Driver!$L$183-Driver!$K$183)</f>
        <v/>
      </c>
      <c r="AO704" s="108" t="n"/>
      <c r="AP704" s="108" t="n"/>
      <c r="AQ704" s="108">
        <f>(BC704-Driver!$K$188)/(Driver!$L$188-Driver!$K$188)</f>
        <v/>
      </c>
      <c r="AR704" s="108">
        <f>MIN((BD704-Driver!$K$189)/(Driver!$L$189-Driver!$K$189),100%)</f>
        <v/>
      </c>
      <c r="AS704" s="108">
        <f>(BE704-Driver!$K$190)/(Driver!$L$190-Driver!$K$190)</f>
        <v/>
      </c>
      <c r="AT704" s="108">
        <f>(BF704-Driver!$K$191)/(Driver!$L$191-Driver!$K$191)</f>
        <v/>
      </c>
      <c r="AU704" s="108">
        <f>(BG704-Driver!$K$192)/(Driver!$L$192-Driver!$K$192)</f>
        <v/>
      </c>
      <c r="AV704" s="105">
        <f>IFERROR(BM704*BJ704^1/4,"")</f>
        <v/>
      </c>
      <c r="AW704" s="105">
        <f>IFERROR(SUM(AX704:AZ704),"")</f>
        <v/>
      </c>
      <c r="AX704" s="105">
        <f>IFERROR(BH704,"")</f>
        <v/>
      </c>
      <c r="AY704" s="105">
        <f>IFERROR(Driver!$K$19/Data!BH704/Data!BI704*Data!BK704*Data!BL704,"")</f>
        <v/>
      </c>
      <c r="AZ704" s="105">
        <f>IFERROR(BI704*BN704,"")</f>
        <v/>
      </c>
      <c r="BA704" s="105" t="n"/>
      <c r="BB704" s="105" t="n"/>
      <c r="BC704" s="105">
        <f>IFERROR(BI704*BN704*BK704/BJ704^(1/2),"")</f>
        <v/>
      </c>
      <c r="BD704" s="105">
        <f>IFERROR(BH704*BM704*BL704/BJ704/BK704,"")</f>
        <v/>
      </c>
      <c r="BE704" s="105">
        <f>IFERROR(MIN(BI704/BQ704/BP704/BO704/BH704,$BE$1),"")</f>
        <v/>
      </c>
      <c r="BF704" s="105">
        <f>IFERROR(BJ704*BO704*BP704/BK704,"")</f>
        <v/>
      </c>
      <c r="BG704" s="105">
        <f>IFERROR(1/BM704/BH704*BQ704,"")</f>
        <v/>
      </c>
      <c r="BH704" s="102">
        <f>MAX((CE704-Driver!$F$200)/(Driver!$G$200-Driver!$F$200)*$BI$1,1)</f>
        <v/>
      </c>
      <c r="BI704" s="102">
        <f>MAX($BI$1*(BY704-Driver!$F$201)/(Driver!$G$201-Driver!$F$201),1)</f>
        <v/>
      </c>
      <c r="BJ704" s="102">
        <f>(CB704-Driver!$F$206)/(Driver!$G$206-Driver!$F$206)*$BI$1</f>
        <v/>
      </c>
      <c r="BK704" s="102">
        <f>(CD704-Driver!$F$203)/(Driver!$G$203-Driver!$F$203)*$BI$1</f>
        <v/>
      </c>
      <c r="BL704" s="102">
        <f>MAX((CR704-Driver!$F$202)/(Driver!$G$202-Driver!$F$202)*$BI$1,1)</f>
        <v/>
      </c>
      <c r="BM704" s="102">
        <f>MAX((CH704-Driver!$F$204)/(Driver!$G$204-Driver!$F$204)*$BI$1,1)</f>
        <v/>
      </c>
      <c r="BN704" s="102">
        <f>(CI704-Driver!$F$205)/(Driver!$G$205-Driver!$F$205)*$BI$1</f>
        <v/>
      </c>
      <c r="BO704" s="102">
        <f>(CK704-Driver!$F$207)/(Driver!$G$207-Driver!$F$207)*$BI$1</f>
        <v/>
      </c>
      <c r="BP704" s="102">
        <f>(CM704-Driver!$F$208)/(Driver!$G$208-Driver!$F$208)*$BI$1</f>
        <v/>
      </c>
      <c r="BQ704" s="102">
        <f>(CL704-Driver!$F$209)/(Driver!$G$209-Driver!$F$209)*$BI$1</f>
        <v/>
      </c>
      <c r="BR704" s="40" t="inlineStr">
        <is>
          <t>21/22</t>
        </is>
      </c>
      <c r="BS704" s="10" t="inlineStr">
        <is>
          <t xml:space="preserve"> Head</t>
        </is>
      </c>
      <c r="BT704" s="11" t="inlineStr">
        <is>
          <t>Kore 105</t>
        </is>
      </c>
      <c r="BU704" s="13" t="n">
        <v>177</v>
      </c>
      <c r="BV704" s="11" t="inlineStr">
        <is>
          <t xml:space="preserve"> Unisex</t>
        </is>
      </c>
      <c r="BW704" s="13" t="n">
        <v>177</v>
      </c>
      <c r="BX704" s="13" t="n">
        <v>176.6</v>
      </c>
      <c r="BY704" s="13" t="n">
        <v>134</v>
      </c>
      <c r="BZ704" s="13" t="n">
        <v>137</v>
      </c>
      <c r="CA704" s="13" t="n">
        <v>132</v>
      </c>
      <c r="CB704" s="13" t="n">
        <v>102</v>
      </c>
      <c r="CC704" s="13" t="n">
        <v>121</v>
      </c>
      <c r="CD704" s="13" t="n">
        <v>17</v>
      </c>
      <c r="CE704" s="13" t="n">
        <v>1686</v>
      </c>
      <c r="CF704" s="13" t="n">
        <v>1.18</v>
      </c>
      <c r="CG704" s="13" t="n">
        <v>1988</v>
      </c>
      <c r="CH704" s="13" t="n">
        <v>253</v>
      </c>
      <c r="CI704" s="13" t="n">
        <v>129</v>
      </c>
      <c r="CJ704" s="13" t="n">
        <v>52</v>
      </c>
      <c r="CK704" s="13" t="n">
        <v>246</v>
      </c>
      <c r="CL704" s="13" t="n">
        <v>21</v>
      </c>
      <c r="CM704" s="13" t="n">
        <v>175</v>
      </c>
      <c r="CN704" s="13" t="n">
        <v>0.393</v>
      </c>
      <c r="CO704" s="13" t="n">
        <v>231</v>
      </c>
      <c r="CP704" s="13" t="n">
        <v>167</v>
      </c>
      <c r="CQ704" s="13" t="n">
        <v>16</v>
      </c>
      <c r="CR704" s="13" t="n">
        <v>8</v>
      </c>
      <c r="CS704" s="13" t="n">
        <v>10</v>
      </c>
      <c r="CT704" s="11" t="inlineStr">
        <is>
          <t xml:space="preserve"> Resort Freeride</t>
        </is>
      </c>
      <c r="CU704" s="11" t="inlineStr">
        <is>
          <t xml:space="preserve"> Powder</t>
        </is>
      </c>
      <c r="CV704" s="11" t="inlineStr">
        <is>
          <t xml:space="preserve"> Big Mountain</t>
        </is>
      </c>
      <c r="CW704" s="11" t="inlineStr">
        <is>
          <t xml:space="preserve"> Touring</t>
        </is>
      </c>
      <c r="CX704">
        <f>INDEX('Data_Price '!AG$2:AG$1266,MATCH(Data!$DN704,'Data_Price '!$AT$2:$AT$1266,0))</f>
        <v/>
      </c>
      <c r="CY704">
        <f>INDEX('Data_Price '!AH$2:AH$1266,MATCH(Data!$DN704,'Data_Price '!$AT$2:$AT$1266,0))</f>
        <v/>
      </c>
      <c r="CZ704">
        <f>INDEX('Data_Price '!AI$2:AI$1266,MATCH(Data!$DN704,'Data_Price '!$AT$2:$AT$1266,0))</f>
        <v/>
      </c>
      <c r="DA704">
        <f>INDEX('Data_Price '!AJ$2:AJ$1266,MATCH(Data!$DN704,'Data_Price '!$AT$2:$AT$1266,0))</f>
        <v/>
      </c>
      <c r="DB704">
        <f>INDEX('Data_Price '!AK$2:AK$1266,MATCH(Data!$DN704,'Data_Price '!$AT$2:$AT$1266,0))</f>
        <v/>
      </c>
      <c r="DC704">
        <f>INDEX('Data_Price '!AL$2:AL$1266,MATCH(Data!$DN704,'Data_Price '!$AT$2:$AT$1266,0))</f>
        <v/>
      </c>
      <c r="DD704">
        <f>INDEX('Data_Price '!AM$2:AM$1266,MATCH(Data!$DN704,'Data_Price '!$AT$2:$AT$1266,0))</f>
        <v/>
      </c>
      <c r="DE704">
        <f>INDEX('Data_Price '!AN$2:AN$1266,MATCH(Data!$DN704,'Data_Price '!$AT$2:$AT$1266,0))</f>
        <v/>
      </c>
      <c r="DF704">
        <f>INDEX('Data_Price '!AO$2:AO$1266,MATCH(Data!$DN704,'Data_Price '!$AT$2:$AT$1266,0))</f>
        <v/>
      </c>
      <c r="DG704">
        <f>INDEX('Data_Price '!AP$2:AP$1266,MATCH(Data!$DN704,'Data_Price '!$AT$2:$AT$1266,0))</f>
        <v/>
      </c>
      <c r="DH704">
        <f>INDEX('Data_Price '!AQ$2:AQ$1266,MATCH(Data!$DN704,'Data_Price '!$AT$2:$AT$1266,0))</f>
        <v/>
      </c>
      <c r="DI704">
        <f>INDEX('Data_Price '!AR$2:AR$1266,MATCH(Data!$DN704,'Data_Price '!$AT$2:$AT$1266,0))</f>
        <v/>
      </c>
      <c r="DJ704" s="138">
        <f>DA704</f>
        <v/>
      </c>
      <c r="DK704" s="138">
        <f>DE704</f>
        <v/>
      </c>
      <c r="DL704" s="138">
        <f>DI704</f>
        <v/>
      </c>
      <c r="DM704" s="303">
        <f>IF(LEFT(BT704,1)=" ",RIGHT(BT704,LEN(BT704)-1),BT704)</f>
        <v/>
      </c>
      <c r="DN704" s="138">
        <f>_xlfn.CONCAT(BS704,DM704,BU704,BV704)</f>
        <v/>
      </c>
      <c r="DO704" s="307" t="inlineStr">
        <is>
          <t>https://images.evo.com/imgp/250/208271/832640/head-kore-105-skis-2022-.jpg</t>
        </is>
      </c>
    </row>
    <row r="705" ht="15.6" customHeight="1" s="184">
      <c r="B705" s="303">
        <f t="array" ref="B705">IF(OR(ISERROR(K705:P705)),FALSE,TRUE)</f>
        <v/>
      </c>
      <c r="C705" s="60">
        <f>OR(BR705=Driver!$G$50,Data!BR563=Driver!$H$50)</f>
        <v/>
      </c>
      <c r="D705" s="60">
        <f>OR(BV705=Driver!$G$51,BV705=Driver!$H$51)</f>
        <v/>
      </c>
      <c r="E705" s="60">
        <f>AND(BX705&gt;Driver!$F$54,BX705&lt;Driver!$G$54)</f>
        <v/>
      </c>
      <c r="F705" s="60">
        <f>CL705&gt;Driver!$F$56</f>
        <v/>
      </c>
      <c r="G705" s="60">
        <f>AND(CB705&gt;Driver!$F$55,CB705&lt;Driver!$G$55)</f>
        <v/>
      </c>
      <c r="H705" s="60">
        <f>AND(B705:G705)</f>
        <v/>
      </c>
      <c r="I705" s="60">
        <f>COUNTIFS($H$9:$H$1273,TRUE,$BT$9:$BT$1273,BT705)</f>
        <v/>
      </c>
      <c r="J705" s="60">
        <f t="array" ref="J705">NOT(OR(($H$9:$H$1273=TRUE)*($I$9:$I$1273&gt;0)*($BT$9:$BT$1273=BT705)*($K$9:$K$1273&gt;K705)))</f>
        <v/>
      </c>
      <c r="K705" s="108">
        <f>IFERROR(1-AVERAGE(X705:Y705),"")</f>
        <v/>
      </c>
      <c r="L705" s="108">
        <f>1-X705</f>
        <v/>
      </c>
      <c r="M705" s="108">
        <f>1-Y705</f>
        <v/>
      </c>
      <c r="N705" s="108">
        <f>1-Z705</f>
        <v/>
      </c>
      <c r="O705" s="108">
        <f>1-AA705</f>
        <v/>
      </c>
      <c r="P705" s="108">
        <f>1-AB705</f>
        <v/>
      </c>
      <c r="Q705" s="108" t="n"/>
      <c r="R705" s="108" t="n"/>
      <c r="S705" s="108">
        <f>1-AE705</f>
        <v/>
      </c>
      <c r="T705" s="108">
        <f>1-AF705</f>
        <v/>
      </c>
      <c r="U705" s="108">
        <f>1-AG705</f>
        <v/>
      </c>
      <c r="V705" s="108">
        <f>1-AH705</f>
        <v/>
      </c>
      <c r="W705" s="108">
        <f>1-AI705</f>
        <v/>
      </c>
      <c r="X705" s="108">
        <f>ABS(AJ705-AJ$1)</f>
        <v/>
      </c>
      <c r="Y705" s="108">
        <f>AVERAGE(Z705:AB705)</f>
        <v/>
      </c>
      <c r="Z705" s="108">
        <f>ABS(AL705-AL$1)</f>
        <v/>
      </c>
      <c r="AA705" s="108">
        <f>ABS(AM705-AM$1)</f>
        <v/>
      </c>
      <c r="AB705" s="108">
        <f>ABS(AN705-AN$1)</f>
        <v/>
      </c>
      <c r="AC705" s="108" t="n"/>
      <c r="AD705" s="108" t="n"/>
      <c r="AE705" s="108">
        <f>ABS(AQ$1-AQ705)</f>
        <v/>
      </c>
      <c r="AF705" s="108">
        <f>ABS(AR$1-AR705)</f>
        <v/>
      </c>
      <c r="AG705" s="108">
        <f>ABS(AS$1-AS705)</f>
        <v/>
      </c>
      <c r="AH705" s="108">
        <f>ABS(AT$1-AT705)</f>
        <v/>
      </c>
      <c r="AI705" s="108">
        <f>ABS(AU$1-AU705)</f>
        <v/>
      </c>
      <c r="AJ705" s="108">
        <f>(AV705-Driver!$K$179)/(Driver!$L$179-Driver!$K$179)</f>
        <v/>
      </c>
      <c r="AK705" s="108">
        <f>(AW705-Driver!$K$180)/(Driver!$L$180-Driver!$K$180)</f>
        <v/>
      </c>
      <c r="AL705" s="108">
        <f>(AX705-Driver!$K$181)/(Driver!$L$181-Driver!$K$181)</f>
        <v/>
      </c>
      <c r="AM705" s="108">
        <f>(AY705-Driver!$K$182)/(Driver!$L$182-Driver!$K$182)</f>
        <v/>
      </c>
      <c r="AN705" s="108">
        <f>(AZ705-Driver!$K$183)/(Driver!$L$183-Driver!$K$183)</f>
        <v/>
      </c>
      <c r="AO705" s="108" t="n"/>
      <c r="AP705" s="108" t="n"/>
      <c r="AQ705" s="108">
        <f>(BC705-Driver!$K$188)/(Driver!$L$188-Driver!$K$188)</f>
        <v/>
      </c>
      <c r="AR705" s="108">
        <f>MIN((BD705-Driver!$K$189)/(Driver!$L$189-Driver!$K$189),100%)</f>
        <v/>
      </c>
      <c r="AS705" s="108">
        <f>(BE705-Driver!$K$190)/(Driver!$L$190-Driver!$K$190)</f>
        <v/>
      </c>
      <c r="AT705" s="108">
        <f>(BF705-Driver!$K$191)/(Driver!$L$191-Driver!$K$191)</f>
        <v/>
      </c>
      <c r="AU705" s="108">
        <f>(BG705-Driver!$K$192)/(Driver!$L$192-Driver!$K$192)</f>
        <v/>
      </c>
      <c r="AV705" s="105">
        <f>IFERROR(BM705*BJ705^1/4,"")</f>
        <v/>
      </c>
      <c r="AW705" s="105">
        <f>IFERROR(SUM(AX705:AZ705),"")</f>
        <v/>
      </c>
      <c r="AX705" s="105">
        <f>IFERROR(BH705,"")</f>
        <v/>
      </c>
      <c r="AY705" s="105">
        <f>IFERROR(Driver!$K$19/Data!BH548/Data!BI548*Data!BK548*Data!BL548,"")</f>
        <v/>
      </c>
      <c r="AZ705" s="105">
        <f>IFERROR(BI705*BN705,"")</f>
        <v/>
      </c>
      <c r="BA705" s="105" t="n"/>
      <c r="BB705" s="105" t="n"/>
      <c r="BC705" s="105">
        <f>IFERROR(BI705*BN705*BK705/BJ705^(1/2),"")</f>
        <v/>
      </c>
      <c r="BD705" s="105">
        <f>IFERROR(BH705*BM705*BL705/BJ705/BK705,"")</f>
        <v/>
      </c>
      <c r="BE705" s="105">
        <f>IFERROR(MIN(BI705/BQ705/BP705/BO705/BH705,$BE$1),"")</f>
        <v/>
      </c>
      <c r="BF705" s="105">
        <f>IFERROR(BJ705*BO705*BP705/BK705,"")</f>
        <v/>
      </c>
      <c r="BG705" s="105">
        <f>IFERROR(1/BM705/BH705*BQ705,"")</f>
        <v/>
      </c>
      <c r="BH705" s="102">
        <f>MAX((CE705-Driver!$F$200)/(Driver!$G$200-Driver!$F$200)*$BI$1,1)</f>
        <v/>
      </c>
      <c r="BI705" s="102">
        <f>MAX($BI$1*(BY705-Driver!$F$201)/(Driver!$G$201-Driver!$F$201),1)</f>
        <v/>
      </c>
      <c r="BJ705" s="102">
        <f>(CB705-Driver!$F$206)/(Driver!$G$206-Driver!$F$206)*$BI$1</f>
        <v/>
      </c>
      <c r="BK705" s="102">
        <f>(CD705-Driver!$F$203)/(Driver!$G$203-Driver!$F$203)*$BI$1</f>
        <v/>
      </c>
      <c r="BL705" s="102">
        <f>MAX((CR705-Driver!$F$202)/(Driver!$G$202-Driver!$F$202)*$BI$1,1)</f>
        <v/>
      </c>
      <c r="BM705" s="102">
        <f>MAX((CH705-Driver!$F$204)/(Driver!$G$204-Driver!$F$204)*$BI$1,1)</f>
        <v/>
      </c>
      <c r="BN705" s="102">
        <f>(CI705-Driver!$F$205)/(Driver!$G$205-Driver!$F$205)*$BI$1</f>
        <v/>
      </c>
      <c r="BO705" s="102">
        <f>(CK705-Driver!$F$207)/(Driver!$G$207-Driver!$F$207)*$BI$1</f>
        <v/>
      </c>
      <c r="BP705" s="102">
        <f>(CM705-Driver!$F$208)/(Driver!$G$208-Driver!$F$208)*$BI$1</f>
        <v/>
      </c>
      <c r="BQ705" s="102">
        <f>(CL705-Driver!$F$209)/(Driver!$G$209-Driver!$F$209)*$BI$1</f>
        <v/>
      </c>
      <c r="BR705" s="40" t="inlineStr">
        <is>
          <t>21/22</t>
        </is>
      </c>
      <c r="BS705" s="10" t="inlineStr">
        <is>
          <t xml:space="preserve"> Fischer</t>
        </is>
      </c>
      <c r="BT705" s="11" t="inlineStr">
        <is>
          <t>Ranger 102 FR W</t>
        </is>
      </c>
      <c r="BU705" s="13" t="n">
        <v>156</v>
      </c>
      <c r="BV705" s="11" t="inlineStr">
        <is>
          <t xml:space="preserve"> Women's</t>
        </is>
      </c>
      <c r="BW705" s="13" t="n">
        <v>156</v>
      </c>
      <c r="BX705" s="13" t="n">
        <v>154.8</v>
      </c>
      <c r="BY705" s="13" t="n">
        <v>109</v>
      </c>
      <c r="BZ705" s="13" t="n">
        <v>128</v>
      </c>
      <c r="CA705" s="13" t="n">
        <v>132</v>
      </c>
      <c r="CB705" s="13" t="n">
        <v>98</v>
      </c>
      <c r="CC705" s="13" t="n">
        <v>122</v>
      </c>
      <c r="CD705" s="13" t="n">
        <v>11.9</v>
      </c>
      <c r="CE705" s="13" t="n">
        <v>1519</v>
      </c>
      <c r="CF705" s="13" t="n">
        <v>1.13</v>
      </c>
      <c r="CG705" s="13" t="n">
        <v>1716</v>
      </c>
      <c r="CH705" s="13" t="n">
        <v>159</v>
      </c>
      <c r="CI705" s="13" t="n">
        <v>80</v>
      </c>
      <c r="CJ705" s="13" t="n">
        <v>48</v>
      </c>
      <c r="CK705" s="13" t="n">
        <v>257</v>
      </c>
      <c r="CL705" s="13" t="n">
        <v>34</v>
      </c>
      <c r="CM705" s="13" t="n">
        <v>198</v>
      </c>
      <c r="CN705" s="13" t="n">
        <v>0.719</v>
      </c>
      <c r="CO705" s="13" t="n">
        <v>132</v>
      </c>
      <c r="CP705" s="13" t="n">
        <v>137</v>
      </c>
      <c r="CQ705" s="13" t="n">
        <v>125</v>
      </c>
      <c r="CR705" s="13" t="n">
        <v>4</v>
      </c>
      <c r="CS705" s="13" t="n">
        <v>9</v>
      </c>
      <c r="CT705" s="11" t="inlineStr">
        <is>
          <t xml:space="preserve"> Resort Freeride</t>
        </is>
      </c>
      <c r="CU705" s="11" t="inlineStr">
        <is>
          <t xml:space="preserve"> Touring</t>
        </is>
      </c>
      <c r="CV705" s="13" t="n"/>
      <c r="CW705" s="13" t="n"/>
      <c r="CX705">
        <f>INDEX('Data_Price '!AG$2:AG$1266,MATCH(Data!$DN705,'Data_Price '!$AT$2:$AT$1266,0))</f>
        <v/>
      </c>
      <c r="CY705">
        <f>INDEX('Data_Price '!AH$2:AH$1266,MATCH(Data!$DN705,'Data_Price '!$AT$2:$AT$1266,0))</f>
        <v/>
      </c>
      <c r="CZ705">
        <f>INDEX('Data_Price '!AI$2:AI$1266,MATCH(Data!$DN705,'Data_Price '!$AT$2:$AT$1266,0))</f>
        <v/>
      </c>
      <c r="DA705">
        <f>INDEX('Data_Price '!AJ$2:AJ$1266,MATCH(Data!$DN705,'Data_Price '!$AT$2:$AT$1266,0))</f>
        <v/>
      </c>
      <c r="DB705">
        <f>INDEX('Data_Price '!AK$2:AK$1266,MATCH(Data!$DN705,'Data_Price '!$AT$2:$AT$1266,0))</f>
        <v/>
      </c>
      <c r="DC705">
        <f>INDEX('Data_Price '!AL$2:AL$1266,MATCH(Data!$DN705,'Data_Price '!$AT$2:$AT$1266,0))</f>
        <v/>
      </c>
      <c r="DD705">
        <f>INDEX('Data_Price '!AM$2:AM$1266,MATCH(Data!$DN705,'Data_Price '!$AT$2:$AT$1266,0))</f>
        <v/>
      </c>
      <c r="DE705">
        <f>INDEX('Data_Price '!AN$2:AN$1266,MATCH(Data!$DN705,'Data_Price '!$AT$2:$AT$1266,0))</f>
        <v/>
      </c>
      <c r="DF705">
        <f>INDEX('Data_Price '!AO$2:AO$1266,MATCH(Data!$DN705,'Data_Price '!$AT$2:$AT$1266,0))</f>
        <v/>
      </c>
      <c r="DG705">
        <f>INDEX('Data_Price '!AP$2:AP$1266,MATCH(Data!$DN705,'Data_Price '!$AT$2:$AT$1266,0))</f>
        <v/>
      </c>
      <c r="DH705">
        <f>INDEX('Data_Price '!AQ$2:AQ$1266,MATCH(Data!$DN705,'Data_Price '!$AT$2:$AT$1266,0))</f>
        <v/>
      </c>
      <c r="DI705">
        <f>INDEX('Data_Price '!AR$2:AR$1266,MATCH(Data!$DN705,'Data_Price '!$AT$2:$AT$1266,0))</f>
        <v/>
      </c>
      <c r="DJ705" s="138">
        <f>DA705</f>
        <v/>
      </c>
      <c r="DK705" s="138">
        <f>DE705</f>
        <v/>
      </c>
      <c r="DL705" s="138">
        <f>DI705</f>
        <v/>
      </c>
      <c r="DM705" s="303">
        <f>IF(LEFT(BT705,1)=" ",RIGHT(BT705,LEN(BT705)-1),BT705)</f>
        <v/>
      </c>
      <c r="DN705" s="138">
        <f>_xlfn.CONCAT(BS705,DM705,BU705,BV705)</f>
        <v/>
      </c>
      <c r="DO705" s="307" t="inlineStr">
        <is>
          <t>https://images.evo.com/imgp/250/176891/722699/blizzard-sheeva-10-skis-women-s-2022-.jpg</t>
        </is>
      </c>
    </row>
    <row r="706" ht="15.6" customHeight="1" s="184">
      <c r="B706" s="303">
        <f t="array" ref="B706">IF(OR(ISERROR(K706:P706)),FALSE,TRUE)</f>
        <v/>
      </c>
      <c r="C706" s="60">
        <f>OR(BR706=Driver!$G$50,Data!BR540=Driver!$H$50)</f>
        <v/>
      </c>
      <c r="D706" s="60">
        <f>OR(BV706=Driver!$G$51,BV706=Driver!$H$51)</f>
        <v/>
      </c>
      <c r="E706" s="60">
        <f>AND(BX706&gt;Driver!$F$54,BX706&lt;Driver!$G$54)</f>
        <v/>
      </c>
      <c r="F706" s="60">
        <f>CL706&gt;Driver!$F$56</f>
        <v/>
      </c>
      <c r="G706" s="60">
        <f>AND(CB706&gt;Driver!$F$55,CB706&lt;Driver!$G$55)</f>
        <v/>
      </c>
      <c r="H706" s="60">
        <f>AND(B706:G706)</f>
        <v/>
      </c>
      <c r="I706" s="60">
        <f>COUNTIFS($H$9:$H$1273,TRUE,$BT$9:$BT$1273,BT706)</f>
        <v/>
      </c>
      <c r="J706" s="60">
        <f t="array" ref="J706">NOT(OR(($H$9:$H$1273=TRUE)*($I$9:$I$1273&gt;0)*($BT$9:$BT$1273=BT706)*($K$9:$K$1273&gt;K706)))</f>
        <v/>
      </c>
      <c r="K706" s="108">
        <f>IFERROR(1-AVERAGE(X706:Y706),"")</f>
        <v/>
      </c>
      <c r="L706" s="108">
        <f>1-X706</f>
        <v/>
      </c>
      <c r="M706" s="108">
        <f>1-Y706</f>
        <v/>
      </c>
      <c r="N706" s="108">
        <f>1-Z706</f>
        <v/>
      </c>
      <c r="O706" s="108">
        <f>1-AA706</f>
        <v/>
      </c>
      <c r="P706" s="108">
        <f>1-AB706</f>
        <v/>
      </c>
      <c r="Q706" s="108" t="n"/>
      <c r="R706" s="108" t="n"/>
      <c r="S706" s="108">
        <f>1-AE706</f>
        <v/>
      </c>
      <c r="T706" s="108">
        <f>1-AF706</f>
        <v/>
      </c>
      <c r="U706" s="108">
        <f>1-AG706</f>
        <v/>
      </c>
      <c r="V706" s="108">
        <f>1-AH706</f>
        <v/>
      </c>
      <c r="W706" s="108">
        <f>1-AI706</f>
        <v/>
      </c>
      <c r="X706" s="108">
        <f>ABS(AJ706-AJ$1)</f>
        <v/>
      </c>
      <c r="Y706" s="108">
        <f>AVERAGE(Z706:AB706)</f>
        <v/>
      </c>
      <c r="Z706" s="108">
        <f>ABS(AL706-AL$1)</f>
        <v/>
      </c>
      <c r="AA706" s="108">
        <f>ABS(AM706-AM$1)</f>
        <v/>
      </c>
      <c r="AB706" s="108">
        <f>ABS(AN706-AN$1)</f>
        <v/>
      </c>
      <c r="AC706" s="108" t="n"/>
      <c r="AD706" s="108" t="n"/>
      <c r="AE706" s="108">
        <f>ABS(AQ$1-AQ706)</f>
        <v/>
      </c>
      <c r="AF706" s="108">
        <f>ABS(AR$1-AR706)</f>
        <v/>
      </c>
      <c r="AG706" s="108">
        <f>ABS(AS$1-AS706)</f>
        <v/>
      </c>
      <c r="AH706" s="108">
        <f>ABS(AT$1-AT706)</f>
        <v/>
      </c>
      <c r="AI706" s="108">
        <f>ABS(AU$1-AU706)</f>
        <v/>
      </c>
      <c r="AJ706" s="108">
        <f>(AV706-Driver!$K$179)/(Driver!$L$179-Driver!$K$179)</f>
        <v/>
      </c>
      <c r="AK706" s="108">
        <f>(AW706-Driver!$K$180)/(Driver!$L$180-Driver!$K$180)</f>
        <v/>
      </c>
      <c r="AL706" s="108">
        <f>(AX706-Driver!$K$181)/(Driver!$L$181-Driver!$K$181)</f>
        <v/>
      </c>
      <c r="AM706" s="108">
        <f>(AY706-Driver!$K$182)/(Driver!$L$182-Driver!$K$182)</f>
        <v/>
      </c>
      <c r="AN706" s="108">
        <f>(AZ706-Driver!$K$183)/(Driver!$L$183-Driver!$K$183)</f>
        <v/>
      </c>
      <c r="AO706" s="108" t="n"/>
      <c r="AP706" s="108" t="n"/>
      <c r="AQ706" s="108">
        <f>(BC706-Driver!$K$188)/(Driver!$L$188-Driver!$K$188)</f>
        <v/>
      </c>
      <c r="AR706" s="108">
        <f>MIN((BD706-Driver!$K$189)/(Driver!$L$189-Driver!$K$189),100%)</f>
        <v/>
      </c>
      <c r="AS706" s="108">
        <f>(BE706-Driver!$K$190)/(Driver!$L$190-Driver!$K$190)</f>
        <v/>
      </c>
      <c r="AT706" s="108">
        <f>(BF706-Driver!$K$191)/(Driver!$L$191-Driver!$K$191)</f>
        <v/>
      </c>
      <c r="AU706" s="108">
        <f>(BG706-Driver!$K$192)/(Driver!$L$192-Driver!$K$192)</f>
        <v/>
      </c>
      <c r="AV706" s="105">
        <f>IFERROR(BM706*BJ706^1/4,"")</f>
        <v/>
      </c>
      <c r="AW706" s="105">
        <f>IFERROR(SUM(AX706:AZ706),"")</f>
        <v/>
      </c>
      <c r="AX706" s="105">
        <f>IFERROR(BH706,"")</f>
        <v/>
      </c>
      <c r="AY706" s="105">
        <f>IFERROR(Driver!$K$19/Data!BH706/Data!BI706*Data!BK706*Data!BL706,"")</f>
        <v/>
      </c>
      <c r="AZ706" s="105">
        <f>IFERROR(BI706*BN706,"")</f>
        <v/>
      </c>
      <c r="BA706" s="105" t="n"/>
      <c r="BB706" s="105" t="n"/>
      <c r="BC706" s="105">
        <f>IFERROR(BI706*BN706*BK706/BJ706^(1/2),"")</f>
        <v/>
      </c>
      <c r="BD706" s="105">
        <f>IFERROR(BH706*BM706*BL706/BJ706/BK706,"")</f>
        <v/>
      </c>
      <c r="BE706" s="105">
        <f>IFERROR(MIN(BI706/BQ706/BP706/BO706/BH706,$BE$1),"")</f>
        <v/>
      </c>
      <c r="BF706" s="105">
        <f>IFERROR(BJ706*BO706*BP706/BK706,"")</f>
        <v/>
      </c>
      <c r="BG706" s="105">
        <f>IFERROR(1/BM706/BH706*BQ706,"")</f>
        <v/>
      </c>
      <c r="BH706" s="102">
        <f>MAX((CE706-Driver!$F$200)/(Driver!$G$200-Driver!$F$200)*$BI$1,1)</f>
        <v/>
      </c>
      <c r="BI706" s="102">
        <f>MAX($BI$1*(BY706-Driver!$F$201)/(Driver!$G$201-Driver!$F$201),1)</f>
        <v/>
      </c>
      <c r="BJ706" s="102">
        <f>(CB706-Driver!$F$206)/(Driver!$G$206-Driver!$F$206)*$BI$1</f>
        <v/>
      </c>
      <c r="BK706" s="102">
        <f>(CD706-Driver!$F$203)/(Driver!$G$203-Driver!$F$203)*$BI$1</f>
        <v/>
      </c>
      <c r="BL706" s="102">
        <f>MAX((CR706-Driver!$F$202)/(Driver!$G$202-Driver!$F$202)*$BI$1,1)</f>
        <v/>
      </c>
      <c r="BM706" s="102">
        <f>MAX((CH706-Driver!$F$204)/(Driver!$G$204-Driver!$F$204)*$BI$1,1)</f>
        <v/>
      </c>
      <c r="BN706" s="102">
        <f>(CI706-Driver!$F$205)/(Driver!$G$205-Driver!$F$205)*$BI$1</f>
        <v/>
      </c>
      <c r="BO706" s="102">
        <f>(CK706-Driver!$F$207)/(Driver!$G$207-Driver!$F$207)*$BI$1</f>
        <v/>
      </c>
      <c r="BP706" s="102">
        <f>(CM706-Driver!$F$208)/(Driver!$G$208-Driver!$F$208)*$BI$1</f>
        <v/>
      </c>
      <c r="BQ706" s="102">
        <f>(CL706-Driver!$F$209)/(Driver!$G$209-Driver!$F$209)*$BI$1</f>
        <v/>
      </c>
      <c r="BR706" s="40" t="inlineStr">
        <is>
          <t>21/22</t>
        </is>
      </c>
      <c r="BS706" s="10" t="inlineStr">
        <is>
          <t xml:space="preserve"> Faction</t>
        </is>
      </c>
      <c r="BT706" s="11" t="inlineStr">
        <is>
          <t>Prodigy 3.0</t>
        </is>
      </c>
      <c r="BU706" s="13" t="n">
        <v>172</v>
      </c>
      <c r="BV706" s="11" t="inlineStr">
        <is>
          <t xml:space="preserve"> Unisex</t>
        </is>
      </c>
      <c r="BW706" s="13" t="n">
        <v>172</v>
      </c>
      <c r="BX706" s="13" t="n">
        <v>170.5</v>
      </c>
      <c r="BY706" s="13" t="n">
        <v>118</v>
      </c>
      <c r="BZ706" s="13" t="n">
        <v>138</v>
      </c>
      <c r="CA706" s="13" t="n">
        <v>132</v>
      </c>
      <c r="CB706" s="13" t="n">
        <v>105</v>
      </c>
      <c r="CC706" s="13" t="n">
        <v>125</v>
      </c>
      <c r="CD706" s="13" t="n">
        <v>17.8</v>
      </c>
      <c r="CE706" s="13" t="n">
        <v>1914</v>
      </c>
      <c r="CF706" s="13" t="n">
        <v>1.02</v>
      </c>
      <c r="CG706" s="13" t="n">
        <v>1960</v>
      </c>
      <c r="CH706" s="13" t="n">
        <v>152</v>
      </c>
      <c r="CI706" s="13" t="n">
        <v>80</v>
      </c>
      <c r="CJ706" s="13" t="n">
        <v>51</v>
      </c>
      <c r="CK706" s="13" t="n">
        <v>289</v>
      </c>
      <c r="CL706" s="13" t="n">
        <v>43</v>
      </c>
      <c r="CM706" s="13" t="n">
        <v>237</v>
      </c>
      <c r="CN706" s="13" t="n">
        <v>0.843</v>
      </c>
      <c r="CO706" s="13" t="n">
        <v>183</v>
      </c>
      <c r="CP706" s="13" t="n">
        <v>145</v>
      </c>
      <c r="CQ706" s="13" t="n">
        <v>107</v>
      </c>
      <c r="CR706" s="13" t="n">
        <v>7</v>
      </c>
      <c r="CS706" s="13" t="n">
        <v>8.300000000000001</v>
      </c>
      <c r="CT706" s="11" t="inlineStr">
        <is>
          <t xml:space="preserve"> Freeski</t>
        </is>
      </c>
      <c r="CU706" s="11" t="inlineStr">
        <is>
          <t xml:space="preserve"> Powder</t>
        </is>
      </c>
      <c r="CV706" s="13" t="n"/>
      <c r="CW706" s="13" t="n"/>
      <c r="CX706">
        <f>INDEX('Data_Price '!AG$2:AG$1266,MATCH(Data!$DN706,'Data_Price '!$AT$2:$AT$1266,0))</f>
        <v/>
      </c>
      <c r="CY706">
        <f>INDEX('Data_Price '!AH$2:AH$1266,MATCH(Data!$DN706,'Data_Price '!$AT$2:$AT$1266,0))</f>
        <v/>
      </c>
      <c r="CZ706">
        <f>INDEX('Data_Price '!AI$2:AI$1266,MATCH(Data!$DN706,'Data_Price '!$AT$2:$AT$1266,0))</f>
        <v/>
      </c>
      <c r="DA706">
        <f>INDEX('Data_Price '!AJ$2:AJ$1266,MATCH(Data!$DN706,'Data_Price '!$AT$2:$AT$1266,0))</f>
        <v/>
      </c>
      <c r="DB706">
        <f>INDEX('Data_Price '!AK$2:AK$1266,MATCH(Data!$DN706,'Data_Price '!$AT$2:$AT$1266,0))</f>
        <v/>
      </c>
      <c r="DC706">
        <f>INDEX('Data_Price '!AL$2:AL$1266,MATCH(Data!$DN706,'Data_Price '!$AT$2:$AT$1266,0))</f>
        <v/>
      </c>
      <c r="DD706">
        <f>INDEX('Data_Price '!AM$2:AM$1266,MATCH(Data!$DN706,'Data_Price '!$AT$2:$AT$1266,0))</f>
        <v/>
      </c>
      <c r="DE706">
        <f>INDEX('Data_Price '!AN$2:AN$1266,MATCH(Data!$DN706,'Data_Price '!$AT$2:$AT$1266,0))</f>
        <v/>
      </c>
      <c r="DF706">
        <f>INDEX('Data_Price '!AO$2:AO$1266,MATCH(Data!$DN706,'Data_Price '!$AT$2:$AT$1266,0))</f>
        <v/>
      </c>
      <c r="DG706">
        <f>INDEX('Data_Price '!AP$2:AP$1266,MATCH(Data!$DN706,'Data_Price '!$AT$2:$AT$1266,0))</f>
        <v/>
      </c>
      <c r="DH706">
        <f>INDEX('Data_Price '!AQ$2:AQ$1266,MATCH(Data!$DN706,'Data_Price '!$AT$2:$AT$1266,0))</f>
        <v/>
      </c>
      <c r="DI706">
        <f>INDEX('Data_Price '!AR$2:AR$1266,MATCH(Data!$DN706,'Data_Price '!$AT$2:$AT$1266,0))</f>
        <v/>
      </c>
      <c r="DJ706" s="138">
        <f>DA706</f>
        <v/>
      </c>
      <c r="DK706" s="138">
        <f>DE706</f>
        <v/>
      </c>
      <c r="DL706" s="138">
        <f>DI706</f>
        <v/>
      </c>
      <c r="DM706" s="303">
        <f>IF(LEFT(BT706,1)=" ",RIGHT(BT706,LEN(BT706)-1),BT706)</f>
        <v/>
      </c>
      <c r="DN706" s="138">
        <f>_xlfn.CONCAT(BS706,DM706,BU706,BV706)</f>
        <v/>
      </c>
      <c r="DO706" s="307" t="inlineStr">
        <is>
          <t>https://images.evo.com/imgp/250/208634/839526/faction-prodigy-3-0-skis-2022-.jpg</t>
        </is>
      </c>
    </row>
    <row r="707" ht="15.6" customHeight="1" s="184">
      <c r="B707" s="303">
        <f t="array" ref="B707">IF(OR(ISERROR(K707:P707)),FALSE,TRUE)</f>
        <v/>
      </c>
      <c r="C707" s="60">
        <f>OR(BR707=Driver!$G$50,Data!BR416=Driver!$H$50)</f>
        <v/>
      </c>
      <c r="D707" s="60">
        <f>OR(BV707=Driver!$G$51,BV707=Driver!$H$51)</f>
        <v/>
      </c>
      <c r="E707" s="60">
        <f>AND(BX707&gt;Driver!$F$54,BX707&lt;Driver!$G$54)</f>
        <v/>
      </c>
      <c r="F707" s="60">
        <f>CL707&gt;Driver!$F$56</f>
        <v/>
      </c>
      <c r="G707" s="60">
        <f>AND(CB707&gt;Driver!$F$55,CB707&lt;Driver!$G$55)</f>
        <v/>
      </c>
      <c r="H707" s="60">
        <f>AND(B707:G707)</f>
        <v/>
      </c>
      <c r="I707" s="60">
        <f>COUNTIFS($H$9:$H$1273,TRUE,$BT$9:$BT$1273,BT707)</f>
        <v/>
      </c>
      <c r="J707" s="60">
        <f t="array" ref="J707">NOT(OR(($H$9:$H$1273=TRUE)*($I$9:$I$1273&gt;0)*($BT$9:$BT$1273=BT707)*($K$9:$K$1273&gt;K707)))</f>
        <v/>
      </c>
      <c r="K707" s="108">
        <f>IFERROR(1-AVERAGE(X707:Y707),"")</f>
        <v/>
      </c>
      <c r="L707" s="108">
        <f>1-X707</f>
        <v/>
      </c>
      <c r="M707" s="108">
        <f>1-Y707</f>
        <v/>
      </c>
      <c r="N707" s="108">
        <f>1-Z707</f>
        <v/>
      </c>
      <c r="O707" s="108">
        <f>1-AA707</f>
        <v/>
      </c>
      <c r="P707" s="108">
        <f>1-AB707</f>
        <v/>
      </c>
      <c r="Q707" s="108" t="n"/>
      <c r="R707" s="108" t="n"/>
      <c r="S707" s="108">
        <f>1-AE707</f>
        <v/>
      </c>
      <c r="T707" s="108">
        <f>1-AF707</f>
        <v/>
      </c>
      <c r="U707" s="108">
        <f>1-AG707</f>
        <v/>
      </c>
      <c r="V707" s="108">
        <f>1-AH707</f>
        <v/>
      </c>
      <c r="W707" s="108">
        <f>1-AI707</f>
        <v/>
      </c>
      <c r="X707" s="108">
        <f>ABS(AJ707-AJ$1)</f>
        <v/>
      </c>
      <c r="Y707" s="108">
        <f>AVERAGE(Z707:AB707)</f>
        <v/>
      </c>
      <c r="Z707" s="108">
        <f>ABS(AL707-AL$1)</f>
        <v/>
      </c>
      <c r="AA707" s="108">
        <f>ABS(AM707-AM$1)</f>
        <v/>
      </c>
      <c r="AB707" s="108">
        <f>ABS(AN707-AN$1)</f>
        <v/>
      </c>
      <c r="AC707" s="108" t="n"/>
      <c r="AD707" s="108" t="n"/>
      <c r="AE707" s="108">
        <f>ABS(AQ$1-AQ707)</f>
        <v/>
      </c>
      <c r="AF707" s="108">
        <f>ABS(AR$1-AR707)</f>
        <v/>
      </c>
      <c r="AG707" s="108">
        <f>ABS(AS$1-AS707)</f>
        <v/>
      </c>
      <c r="AH707" s="108">
        <f>ABS(AT$1-AT707)</f>
        <v/>
      </c>
      <c r="AI707" s="108">
        <f>ABS(AU$1-AU707)</f>
        <v/>
      </c>
      <c r="AJ707" s="108">
        <f>(AV707-Driver!$K$179)/(Driver!$L$179-Driver!$K$179)</f>
        <v/>
      </c>
      <c r="AK707" s="108">
        <f>(AW707-Driver!$K$180)/(Driver!$L$180-Driver!$K$180)</f>
        <v/>
      </c>
      <c r="AL707" s="108">
        <f>(AX707-Driver!$K$181)/(Driver!$L$181-Driver!$K$181)</f>
        <v/>
      </c>
      <c r="AM707" s="108">
        <f>(AY707-Driver!$K$182)/(Driver!$L$182-Driver!$K$182)</f>
        <v/>
      </c>
      <c r="AN707" s="108">
        <f>(AZ707-Driver!$K$183)/(Driver!$L$183-Driver!$K$183)</f>
        <v/>
      </c>
      <c r="AO707" s="108" t="n"/>
      <c r="AP707" s="108" t="n"/>
      <c r="AQ707" s="108">
        <f>(BC707-Driver!$K$188)/(Driver!$L$188-Driver!$K$188)</f>
        <v/>
      </c>
      <c r="AR707" s="108">
        <f>MIN((BD707-Driver!$K$189)/(Driver!$L$189-Driver!$K$189),100%)</f>
        <v/>
      </c>
      <c r="AS707" s="108">
        <f>(BE707-Driver!$K$190)/(Driver!$L$190-Driver!$K$190)</f>
        <v/>
      </c>
      <c r="AT707" s="108">
        <f>(BF707-Driver!$K$191)/(Driver!$L$191-Driver!$K$191)</f>
        <v/>
      </c>
      <c r="AU707" s="108">
        <f>(BG707-Driver!$K$192)/(Driver!$L$192-Driver!$K$192)</f>
        <v/>
      </c>
      <c r="AV707" s="105">
        <f>IFERROR(BM707*BJ707^1/4,"")</f>
        <v/>
      </c>
      <c r="AW707" s="105">
        <f>IFERROR(SUM(AX707:AZ707),"")</f>
        <v/>
      </c>
      <c r="AX707" s="105">
        <f>IFERROR(BH707,"")</f>
        <v/>
      </c>
      <c r="AY707" s="105">
        <f>IFERROR(Driver!$K$19/Data!BH707/Data!BI707*Data!BK707*Data!BL707,"")</f>
        <v/>
      </c>
      <c r="AZ707" s="105">
        <f>IFERROR(BI707*BN707,"")</f>
        <v/>
      </c>
      <c r="BA707" s="105" t="n"/>
      <c r="BB707" s="105" t="n"/>
      <c r="BC707" s="105">
        <f>IFERROR(BI707*BN707*BK707/BJ707^(1/2),"")</f>
        <v/>
      </c>
      <c r="BD707" s="105">
        <f>IFERROR(BH707*BM707*BL707/BJ707/BK707,"")</f>
        <v/>
      </c>
      <c r="BE707" s="105">
        <f>IFERROR(MIN(BI707/BQ707/BP707/BO707/BH707,$BE$1),"")</f>
        <v/>
      </c>
      <c r="BF707" s="105">
        <f>IFERROR(BJ707*BO707*BP707/BK707,"")</f>
        <v/>
      </c>
      <c r="BG707" s="105">
        <f>IFERROR(1/BM707/BH707*BQ707,"")</f>
        <v/>
      </c>
      <c r="BH707" s="102">
        <f>MAX((CE707-Driver!$F$200)/(Driver!$G$200-Driver!$F$200)*$BI$1,1)</f>
        <v/>
      </c>
      <c r="BI707" s="102">
        <f>MAX($BI$1*(BY707-Driver!$F$201)/(Driver!$G$201-Driver!$F$201),1)</f>
        <v/>
      </c>
      <c r="BJ707" s="102">
        <f>(CB707-Driver!$F$206)/(Driver!$G$206-Driver!$F$206)*$BI$1</f>
        <v/>
      </c>
      <c r="BK707" s="102">
        <f>(CD707-Driver!$F$203)/(Driver!$G$203-Driver!$F$203)*$BI$1</f>
        <v/>
      </c>
      <c r="BL707" s="102">
        <f>MAX((CR707-Driver!$F$202)/(Driver!$G$202-Driver!$F$202)*$BI$1,1)</f>
        <v/>
      </c>
      <c r="BM707" s="102">
        <f>MAX((CH707-Driver!$F$204)/(Driver!$G$204-Driver!$F$204)*$BI$1,1)</f>
        <v/>
      </c>
      <c r="BN707" s="102">
        <f>(CI707-Driver!$F$205)/(Driver!$G$205-Driver!$F$205)*$BI$1</f>
        <v/>
      </c>
      <c r="BO707" s="102">
        <f>(CK707-Driver!$F$207)/(Driver!$G$207-Driver!$F$207)*$BI$1</f>
        <v/>
      </c>
      <c r="BP707" s="102">
        <f>(CM707-Driver!$F$208)/(Driver!$G$208-Driver!$F$208)*$BI$1</f>
        <v/>
      </c>
      <c r="BQ707" s="102">
        <f>(CL707-Driver!$F$209)/(Driver!$G$209-Driver!$F$209)*$BI$1</f>
        <v/>
      </c>
      <c r="BR707" s="40" t="inlineStr">
        <is>
          <t>21/22</t>
        </is>
      </c>
      <c r="BS707" s="10" t="inlineStr">
        <is>
          <t xml:space="preserve"> Dynastar</t>
        </is>
      </c>
      <c r="BT707" s="11" t="inlineStr">
        <is>
          <t>Speed 563</t>
        </is>
      </c>
      <c r="BU707" s="13" t="n">
        <v>170</v>
      </c>
      <c r="BV707" s="11" t="inlineStr">
        <is>
          <t xml:space="preserve"> Unisex</t>
        </is>
      </c>
      <c r="BW707" s="13" t="n">
        <v>170</v>
      </c>
      <c r="BX707" s="13" t="n">
        <v>168.6</v>
      </c>
      <c r="BY707" s="13" t="n">
        <v>148</v>
      </c>
      <c r="BZ707" s="13" t="n">
        <v>155</v>
      </c>
      <c r="CA707" s="13" t="n">
        <v>123</v>
      </c>
      <c r="CB707" s="13" t="n">
        <v>74</v>
      </c>
      <c r="CC707" s="13" t="n">
        <v>110</v>
      </c>
      <c r="CD707" s="13" t="n">
        <v>14.4</v>
      </c>
      <c r="CE707" s="13" t="n">
        <v>1638</v>
      </c>
      <c r="CF707" s="13" t="n">
        <v>0.92</v>
      </c>
      <c r="CG707" s="13" t="n">
        <v>1502</v>
      </c>
      <c r="CH707" s="13" t="n">
        <v>194</v>
      </c>
      <c r="CI707" s="13" t="n">
        <v>64</v>
      </c>
      <c r="CJ707" s="13" t="n">
        <v>43</v>
      </c>
      <c r="CK707" s="13" t="n">
        <v>152</v>
      </c>
      <c r="CL707" s="13" t="n">
        <v>4</v>
      </c>
      <c r="CM707" s="13" t="n">
        <v>54</v>
      </c>
      <c r="CN707" s="13" t="n">
        <v>0.098</v>
      </c>
      <c r="CO707" s="13" t="n">
        <v>80</v>
      </c>
      <c r="CP707" s="13" t="n">
        <v>52</v>
      </c>
      <c r="CQ707" s="13" t="n">
        <v>72</v>
      </c>
      <c r="CR707" s="13" t="n">
        <v>9</v>
      </c>
      <c r="CS707" s="13" t="n">
        <v>10.5</v>
      </c>
      <c r="CT707" s="11" t="inlineStr">
        <is>
          <t xml:space="preserve"> On-Piste Carving</t>
        </is>
      </c>
      <c r="CU707" s="13" t="n"/>
      <c r="CV707" s="13" t="n"/>
      <c r="CW707" s="13" t="n"/>
      <c r="CX707">
        <f>INDEX('Data_Price '!AG$2:AG$1266,MATCH(Data!$DN707,'Data_Price '!$AT$2:$AT$1266,0))</f>
        <v/>
      </c>
      <c r="CY707">
        <f>INDEX('Data_Price '!AH$2:AH$1266,MATCH(Data!$DN707,'Data_Price '!$AT$2:$AT$1266,0))</f>
        <v/>
      </c>
      <c r="CZ707">
        <f>INDEX('Data_Price '!AI$2:AI$1266,MATCH(Data!$DN707,'Data_Price '!$AT$2:$AT$1266,0))</f>
        <v/>
      </c>
      <c r="DA707">
        <f>INDEX('Data_Price '!AJ$2:AJ$1266,MATCH(Data!$DN707,'Data_Price '!$AT$2:$AT$1266,0))</f>
        <v/>
      </c>
      <c r="DB707">
        <f>INDEX('Data_Price '!AK$2:AK$1266,MATCH(Data!$DN707,'Data_Price '!$AT$2:$AT$1266,0))</f>
        <v/>
      </c>
      <c r="DC707">
        <f>INDEX('Data_Price '!AL$2:AL$1266,MATCH(Data!$DN707,'Data_Price '!$AT$2:$AT$1266,0))</f>
        <v/>
      </c>
      <c r="DD707">
        <f>INDEX('Data_Price '!AM$2:AM$1266,MATCH(Data!$DN707,'Data_Price '!$AT$2:$AT$1266,0))</f>
        <v/>
      </c>
      <c r="DE707">
        <f>INDEX('Data_Price '!AN$2:AN$1266,MATCH(Data!$DN707,'Data_Price '!$AT$2:$AT$1266,0))</f>
        <v/>
      </c>
      <c r="DF707">
        <f>INDEX('Data_Price '!AO$2:AO$1266,MATCH(Data!$DN707,'Data_Price '!$AT$2:$AT$1266,0))</f>
        <v/>
      </c>
      <c r="DG707">
        <f>INDEX('Data_Price '!AP$2:AP$1266,MATCH(Data!$DN707,'Data_Price '!$AT$2:$AT$1266,0))</f>
        <v/>
      </c>
      <c r="DH707">
        <f>INDEX('Data_Price '!AQ$2:AQ$1266,MATCH(Data!$DN707,'Data_Price '!$AT$2:$AT$1266,0))</f>
        <v/>
      </c>
      <c r="DI707">
        <f>INDEX('Data_Price '!AR$2:AR$1266,MATCH(Data!$DN707,'Data_Price '!$AT$2:$AT$1266,0))</f>
        <v/>
      </c>
      <c r="DJ707" s="138">
        <f>DA707</f>
        <v/>
      </c>
      <c r="DK707" s="138">
        <f>DE707</f>
        <v/>
      </c>
      <c r="DL707" s="138">
        <f>DI707</f>
        <v/>
      </c>
      <c r="DM707" s="303">
        <f>IF(LEFT(BT707,1)=" ",RIGHT(BT707,LEN(BT707)-1),BT707)</f>
        <v/>
      </c>
      <c r="DN707" s="138">
        <f>_xlfn.CONCAT(BS707,DM707,BU707,BV707)</f>
        <v/>
      </c>
      <c r="DO707" s="307" t="n"/>
    </row>
    <row r="708" ht="15.6" customHeight="1" s="184">
      <c r="B708" s="303">
        <f t="array" ref="B708">IF(OR(ISERROR(K708:P708)),FALSE,TRUE)</f>
        <v/>
      </c>
      <c r="C708" s="60">
        <f>OR(BR708=Driver!$G$50,Data!BR892=Driver!$H$50)</f>
        <v/>
      </c>
      <c r="D708" s="60">
        <f>OR(BV708=Driver!$G$51,BV708=Driver!$H$51)</f>
        <v/>
      </c>
      <c r="E708" s="60">
        <f>AND(BX708&gt;Driver!$F$54,BX708&lt;Driver!$G$54)</f>
        <v/>
      </c>
      <c r="F708" s="60">
        <f>CL708&gt;Driver!$F$56</f>
        <v/>
      </c>
      <c r="G708" s="60">
        <f>AND(CB708&gt;Driver!$F$55,CB708&lt;Driver!$G$55)</f>
        <v/>
      </c>
      <c r="H708" s="60">
        <f>AND(B708:G708)</f>
        <v/>
      </c>
      <c r="I708" s="60">
        <f>COUNTIFS($H$9:$H$1273,TRUE,$BT$9:$BT$1273,BT708)</f>
        <v/>
      </c>
      <c r="J708" s="60">
        <f t="array" ref="J708">NOT(OR(($H$9:$H$1273=TRUE)*($I$9:$I$1273&gt;0)*($BT$9:$BT$1273=BT708)*($K$9:$K$1273&gt;K708)))</f>
        <v/>
      </c>
      <c r="K708" s="108">
        <f>IFERROR(1-AVERAGE(X708:Y708),"")</f>
        <v/>
      </c>
      <c r="L708" s="108">
        <f>1-X708</f>
        <v/>
      </c>
      <c r="M708" s="108">
        <f>1-Y708</f>
        <v/>
      </c>
      <c r="N708" s="108">
        <f>1-Z708</f>
        <v/>
      </c>
      <c r="O708" s="108">
        <f>1-AA708</f>
        <v/>
      </c>
      <c r="P708" s="108">
        <f>1-AB708</f>
        <v/>
      </c>
      <c r="Q708" s="108" t="n"/>
      <c r="R708" s="108" t="n"/>
      <c r="S708" s="108">
        <f>1-AE708</f>
        <v/>
      </c>
      <c r="T708" s="108">
        <f>1-AF708</f>
        <v/>
      </c>
      <c r="U708" s="108">
        <f>1-AG708</f>
        <v/>
      </c>
      <c r="V708" s="108">
        <f>1-AH708</f>
        <v/>
      </c>
      <c r="W708" s="108">
        <f>1-AI708</f>
        <v/>
      </c>
      <c r="X708" s="108">
        <f>ABS(AJ708-AJ$1)</f>
        <v/>
      </c>
      <c r="Y708" s="108">
        <f>AVERAGE(Z708:AB708)</f>
        <v/>
      </c>
      <c r="Z708" s="108">
        <f>ABS(AL708-AL$1)</f>
        <v/>
      </c>
      <c r="AA708" s="108">
        <f>ABS(AM708-AM$1)</f>
        <v/>
      </c>
      <c r="AB708" s="108">
        <f>ABS(AN708-AN$1)</f>
        <v/>
      </c>
      <c r="AC708" s="108" t="n"/>
      <c r="AD708" s="108" t="n"/>
      <c r="AE708" s="108">
        <f>ABS(AQ$1-AQ708)</f>
        <v/>
      </c>
      <c r="AF708" s="108">
        <f>ABS(AR$1-AR708)</f>
        <v/>
      </c>
      <c r="AG708" s="108">
        <f>ABS(AS$1-AS708)</f>
        <v/>
      </c>
      <c r="AH708" s="108">
        <f>ABS(AT$1-AT708)</f>
        <v/>
      </c>
      <c r="AI708" s="108">
        <f>ABS(AU$1-AU708)</f>
        <v/>
      </c>
      <c r="AJ708" s="108">
        <f>(AV708-Driver!$K$179)/(Driver!$L$179-Driver!$K$179)</f>
        <v/>
      </c>
      <c r="AK708" s="108">
        <f>(AW708-Driver!$K$180)/(Driver!$L$180-Driver!$K$180)</f>
        <v/>
      </c>
      <c r="AL708" s="108">
        <f>(AX708-Driver!$K$181)/(Driver!$L$181-Driver!$K$181)</f>
        <v/>
      </c>
      <c r="AM708" s="108">
        <f>(AY708-Driver!$K$182)/(Driver!$L$182-Driver!$K$182)</f>
        <v/>
      </c>
      <c r="AN708" s="108">
        <f>(AZ708-Driver!$K$183)/(Driver!$L$183-Driver!$K$183)</f>
        <v/>
      </c>
      <c r="AO708" s="108" t="n"/>
      <c r="AP708" s="108" t="n"/>
      <c r="AQ708" s="108">
        <f>(BC708-Driver!$K$188)/(Driver!$L$188-Driver!$K$188)</f>
        <v/>
      </c>
      <c r="AR708" s="108">
        <f>MIN((BD708-Driver!$K$189)/(Driver!$L$189-Driver!$K$189),100%)</f>
        <v/>
      </c>
      <c r="AS708" s="108">
        <f>(BE708-Driver!$K$190)/(Driver!$L$190-Driver!$K$190)</f>
        <v/>
      </c>
      <c r="AT708" s="108">
        <f>(BF708-Driver!$K$191)/(Driver!$L$191-Driver!$K$191)</f>
        <v/>
      </c>
      <c r="AU708" s="108">
        <f>(BG708-Driver!$K$192)/(Driver!$L$192-Driver!$K$192)</f>
        <v/>
      </c>
      <c r="AV708" s="105">
        <f>IFERROR(BM708*BJ708^1/4,"")</f>
        <v/>
      </c>
      <c r="AW708" s="105">
        <f>IFERROR(SUM(AX708:AZ708),"")</f>
        <v/>
      </c>
      <c r="AX708" s="105">
        <f>IFERROR(BH708,"")</f>
        <v/>
      </c>
      <c r="AY708" s="105">
        <f>IFERROR(Driver!$K$19/Data!BH708/Data!BI708*Data!BK708*Data!BL708,"")</f>
        <v/>
      </c>
      <c r="AZ708" s="105">
        <f>IFERROR(BI708*BN708,"")</f>
        <v/>
      </c>
      <c r="BA708" s="105" t="n"/>
      <c r="BB708" s="105" t="n"/>
      <c r="BC708" s="105">
        <f>IFERROR(BI708*BN708*BK708/BJ708^(1/2),"")</f>
        <v/>
      </c>
      <c r="BD708" s="105">
        <f>IFERROR(BH708*BM708*BL708/BJ708/BK708,"")</f>
        <v/>
      </c>
      <c r="BE708" s="105">
        <f>IFERROR(MIN(BI708/BQ708/BP708/BO708/BH708,$BE$1),"")</f>
        <v/>
      </c>
      <c r="BF708" s="105">
        <f>IFERROR(BJ708*BO708*BP708/BK708,"")</f>
        <v/>
      </c>
      <c r="BG708" s="105">
        <f>IFERROR(1/BM708/BH708*BQ708,"")</f>
        <v/>
      </c>
      <c r="BH708" s="102">
        <f>MAX((CE708-Driver!$F$200)/(Driver!$G$200-Driver!$F$200)*$BI$1,1)</f>
        <v/>
      </c>
      <c r="BI708" s="102">
        <f>MAX($BI$1*(BY708-Driver!$F$201)/(Driver!$G$201-Driver!$F$201),1)</f>
        <v/>
      </c>
      <c r="BJ708" s="102">
        <f>(CB708-Driver!$F$206)/(Driver!$G$206-Driver!$F$206)*$BI$1</f>
        <v/>
      </c>
      <c r="BK708" s="102">
        <f>(CD708-Driver!$F$203)/(Driver!$G$203-Driver!$F$203)*$BI$1</f>
        <v/>
      </c>
      <c r="BL708" s="102">
        <f>MAX((CR708-Driver!$F$202)/(Driver!$G$202-Driver!$F$202)*$BI$1,1)</f>
        <v/>
      </c>
      <c r="BM708" s="102">
        <f>MAX((CH708-Driver!$F$204)/(Driver!$G$204-Driver!$F$204)*$BI$1,1)</f>
        <v/>
      </c>
      <c r="BN708" s="102">
        <f>(CI708-Driver!$F$205)/(Driver!$G$205-Driver!$F$205)*$BI$1</f>
        <v/>
      </c>
      <c r="BO708" s="102">
        <f>(CK708-Driver!$F$207)/(Driver!$G$207-Driver!$F$207)*$BI$1</f>
        <v/>
      </c>
      <c r="BP708" s="102">
        <f>(CM708-Driver!$F$208)/(Driver!$G$208-Driver!$F$208)*$BI$1</f>
        <v/>
      </c>
      <c r="BQ708" s="102">
        <f>(CL708-Driver!$F$209)/(Driver!$G$209-Driver!$F$209)*$BI$1</f>
        <v/>
      </c>
      <c r="BR708" s="40" t="inlineStr">
        <is>
          <t>21/22</t>
        </is>
      </c>
      <c r="BS708" s="10" t="inlineStr">
        <is>
          <t xml:space="preserve"> Nordica</t>
        </is>
      </c>
      <c r="BT708" s="11" t="inlineStr">
        <is>
          <t>Enforcer 100</t>
        </is>
      </c>
      <c r="BU708" s="13" t="n">
        <v>172</v>
      </c>
      <c r="BV708" s="11" t="inlineStr">
        <is>
          <t xml:space="preserve"> Unisex</t>
        </is>
      </c>
      <c r="BW708" s="13" t="n">
        <v>172</v>
      </c>
      <c r="BX708" s="13" t="n">
        <v>171.3</v>
      </c>
      <c r="BY708" s="13" t="n">
        <v>125</v>
      </c>
      <c r="BZ708" s="13" t="n">
        <v>142</v>
      </c>
      <c r="CA708" s="13" t="n">
        <v>132</v>
      </c>
      <c r="CB708" s="13" t="n">
        <v>99</v>
      </c>
      <c r="CC708" s="13" t="n">
        <v>119</v>
      </c>
      <c r="CD708" s="13" t="n">
        <v>16.8</v>
      </c>
      <c r="CE708" s="13" t="n">
        <v>2123</v>
      </c>
      <c r="CF708" s="13" t="n">
        <v>0.89</v>
      </c>
      <c r="CG708" s="13" t="n">
        <v>1882</v>
      </c>
      <c r="CH708" s="13" t="n">
        <v>212</v>
      </c>
      <c r="CI708" s="13" t="n">
        <v>137</v>
      </c>
      <c r="CJ708" s="13" t="n">
        <v>50</v>
      </c>
      <c r="CK708" s="13" t="n">
        <v>273</v>
      </c>
      <c r="CL708" s="13" t="n">
        <v>12</v>
      </c>
      <c r="CM708" s="13" t="n">
        <v>193</v>
      </c>
      <c r="CN708" s="13" t="n">
        <v>0.238</v>
      </c>
      <c r="CO708" s="13" t="n">
        <v>134</v>
      </c>
      <c r="CP708" s="13" t="n">
        <v>158</v>
      </c>
      <c r="CQ708" s="13" t="n">
        <v>138</v>
      </c>
      <c r="CR708" s="13" t="n">
        <v>7</v>
      </c>
      <c r="CS708" s="13" t="n">
        <v>8.9</v>
      </c>
      <c r="CT708" s="11" t="inlineStr">
        <is>
          <t xml:space="preserve"> Resort Freeride</t>
        </is>
      </c>
      <c r="CU708" s="13" t="n"/>
      <c r="CV708" s="13" t="n"/>
      <c r="CW708" s="13" t="n"/>
      <c r="CX708">
        <f>INDEX('Data_Price '!AG$2:AG$1266,MATCH(Data!$DN708,'Data_Price '!$AT$2:$AT$1266,0))</f>
        <v/>
      </c>
      <c r="CY708">
        <f>INDEX('Data_Price '!AH$2:AH$1266,MATCH(Data!$DN708,'Data_Price '!$AT$2:$AT$1266,0))</f>
        <v/>
      </c>
      <c r="CZ708">
        <f>INDEX('Data_Price '!AI$2:AI$1266,MATCH(Data!$DN708,'Data_Price '!$AT$2:$AT$1266,0))</f>
        <v/>
      </c>
      <c r="DA708">
        <f>INDEX('Data_Price '!AJ$2:AJ$1266,MATCH(Data!$DN708,'Data_Price '!$AT$2:$AT$1266,0))</f>
        <v/>
      </c>
      <c r="DB708">
        <f>INDEX('Data_Price '!AK$2:AK$1266,MATCH(Data!$DN708,'Data_Price '!$AT$2:$AT$1266,0))</f>
        <v/>
      </c>
      <c r="DC708">
        <f>INDEX('Data_Price '!AL$2:AL$1266,MATCH(Data!$DN708,'Data_Price '!$AT$2:$AT$1266,0))</f>
        <v/>
      </c>
      <c r="DD708">
        <f>INDEX('Data_Price '!AM$2:AM$1266,MATCH(Data!$DN708,'Data_Price '!$AT$2:$AT$1266,0))</f>
        <v/>
      </c>
      <c r="DE708">
        <f>INDEX('Data_Price '!AN$2:AN$1266,MATCH(Data!$DN708,'Data_Price '!$AT$2:$AT$1266,0))</f>
        <v/>
      </c>
      <c r="DF708">
        <f>INDEX('Data_Price '!AO$2:AO$1266,MATCH(Data!$DN708,'Data_Price '!$AT$2:$AT$1266,0))</f>
        <v/>
      </c>
      <c r="DG708">
        <f>INDEX('Data_Price '!AP$2:AP$1266,MATCH(Data!$DN708,'Data_Price '!$AT$2:$AT$1266,0))</f>
        <v/>
      </c>
      <c r="DH708">
        <f>INDEX('Data_Price '!AQ$2:AQ$1266,MATCH(Data!$DN708,'Data_Price '!$AT$2:$AT$1266,0))</f>
        <v/>
      </c>
      <c r="DI708">
        <f>INDEX('Data_Price '!AR$2:AR$1266,MATCH(Data!$DN708,'Data_Price '!$AT$2:$AT$1266,0))</f>
        <v/>
      </c>
      <c r="DJ708" s="138">
        <f>DA708</f>
        <v/>
      </c>
      <c r="DK708" s="138">
        <f>DE708</f>
        <v/>
      </c>
      <c r="DL708" s="138">
        <f>DI708</f>
        <v/>
      </c>
      <c r="DM708" s="303">
        <f>IF(LEFT(BT708,1)=" ",RIGHT(BT708,LEN(BT708)-1),BT708)</f>
        <v/>
      </c>
      <c r="DN708" s="138">
        <f>_xlfn.CONCAT(BS708,DM708,BU708,BV708)</f>
        <v/>
      </c>
      <c r="DO708" s="307" t="inlineStr">
        <is>
          <t>https://images.evo.com/imgp/250/198255/792329/clone.jpg</t>
        </is>
      </c>
    </row>
    <row r="709" ht="15.6" customHeight="1" s="184">
      <c r="B709" s="303">
        <f t="array" ref="B709">IF(OR(ISERROR(K709:P709)),FALSE,TRUE)</f>
        <v/>
      </c>
      <c r="C709" s="60">
        <f>OR(BR709=Driver!$G$50,Data!BR1153=Driver!$H$50)</f>
        <v/>
      </c>
      <c r="D709" s="60">
        <f>OR(BV709=Driver!$G$51,BV709=Driver!$H$51)</f>
        <v/>
      </c>
      <c r="E709" s="60">
        <f>AND(BX709&gt;Driver!$F$54,BX709&lt;Driver!$G$54)</f>
        <v/>
      </c>
      <c r="F709" s="60">
        <f>CL709&gt;Driver!$F$56</f>
        <v/>
      </c>
      <c r="G709" s="60">
        <f>AND(CB709&gt;Driver!$F$55,CB709&lt;Driver!$G$55)</f>
        <v/>
      </c>
      <c r="H709" s="60">
        <f>AND(B709:G709)</f>
        <v/>
      </c>
      <c r="I709" s="60">
        <f>COUNTIFS($H$9:$H$1273,TRUE,$BT$9:$BT$1273,BT709)</f>
        <v/>
      </c>
      <c r="J709" s="60">
        <f t="array" ref="J709">NOT(OR(($H$9:$H$1273=TRUE)*($I$9:$I$1273&gt;0)*($BT$9:$BT$1273=BT709)*($K$9:$K$1273&gt;K709)))</f>
        <v/>
      </c>
      <c r="K709" s="108">
        <f>IFERROR(1-AVERAGE(X709:Y709),"")</f>
        <v/>
      </c>
      <c r="L709" s="108">
        <f>1-X709</f>
        <v/>
      </c>
      <c r="M709" s="108">
        <f>1-Y709</f>
        <v/>
      </c>
      <c r="N709" s="108">
        <f>1-Z709</f>
        <v/>
      </c>
      <c r="O709" s="108">
        <f>1-AA709</f>
        <v/>
      </c>
      <c r="P709" s="108">
        <f>1-AB709</f>
        <v/>
      </c>
      <c r="Q709" s="108" t="n"/>
      <c r="R709" s="108" t="n"/>
      <c r="S709" s="108">
        <f>1-AE709</f>
        <v/>
      </c>
      <c r="T709" s="108">
        <f>1-AF709</f>
        <v/>
      </c>
      <c r="U709" s="108">
        <f>1-AG709</f>
        <v/>
      </c>
      <c r="V709" s="108">
        <f>1-AH709</f>
        <v/>
      </c>
      <c r="W709" s="108">
        <f>1-AI709</f>
        <v/>
      </c>
      <c r="X709" s="108">
        <f>ABS(AJ709-AJ$1)</f>
        <v/>
      </c>
      <c r="Y709" s="108">
        <f>AVERAGE(Z709:AB709)</f>
        <v/>
      </c>
      <c r="Z709" s="108">
        <f>ABS(AL709-AL$1)</f>
        <v/>
      </c>
      <c r="AA709" s="108">
        <f>ABS(AM709-AM$1)</f>
        <v/>
      </c>
      <c r="AB709" s="108">
        <f>ABS(AN709-AN$1)</f>
        <v/>
      </c>
      <c r="AC709" s="108" t="n"/>
      <c r="AD709" s="108" t="n"/>
      <c r="AE709" s="108">
        <f>ABS(AQ$1-AQ709)</f>
        <v/>
      </c>
      <c r="AF709" s="108">
        <f>ABS(AR$1-AR709)</f>
        <v/>
      </c>
      <c r="AG709" s="108">
        <f>ABS(AS$1-AS709)</f>
        <v/>
      </c>
      <c r="AH709" s="108">
        <f>ABS(AT$1-AT709)</f>
        <v/>
      </c>
      <c r="AI709" s="108">
        <f>ABS(AU$1-AU709)</f>
        <v/>
      </c>
      <c r="AJ709" s="108">
        <f>(AV709-Driver!$K$179)/(Driver!$L$179-Driver!$K$179)</f>
        <v/>
      </c>
      <c r="AK709" s="108">
        <f>(AW709-Driver!$K$180)/(Driver!$L$180-Driver!$K$180)</f>
        <v/>
      </c>
      <c r="AL709" s="108">
        <f>(AX709-Driver!$K$181)/(Driver!$L$181-Driver!$K$181)</f>
        <v/>
      </c>
      <c r="AM709" s="108">
        <f>(AY709-Driver!$K$182)/(Driver!$L$182-Driver!$K$182)</f>
        <v/>
      </c>
      <c r="AN709" s="108">
        <f>(AZ709-Driver!$K$183)/(Driver!$L$183-Driver!$K$183)</f>
        <v/>
      </c>
      <c r="AO709" s="108" t="n"/>
      <c r="AP709" s="108" t="n"/>
      <c r="AQ709" s="108">
        <f>(BC709-Driver!$K$188)/(Driver!$L$188-Driver!$K$188)</f>
        <v/>
      </c>
      <c r="AR709" s="108">
        <f>MIN((BD709-Driver!$K$189)/(Driver!$L$189-Driver!$K$189),100%)</f>
        <v/>
      </c>
      <c r="AS709" s="108">
        <f>(BE709-Driver!$K$190)/(Driver!$L$190-Driver!$K$190)</f>
        <v/>
      </c>
      <c r="AT709" s="108">
        <f>(BF709-Driver!$K$191)/(Driver!$L$191-Driver!$K$191)</f>
        <v/>
      </c>
      <c r="AU709" s="108">
        <f>(BG709-Driver!$K$192)/(Driver!$L$192-Driver!$K$192)</f>
        <v/>
      </c>
      <c r="AV709" s="105">
        <f>IFERROR(BM709*BJ709^1/4,"")</f>
        <v/>
      </c>
      <c r="AW709" s="105">
        <f>IFERROR(SUM(AX709:AZ709),"")</f>
        <v/>
      </c>
      <c r="AX709" s="105">
        <f>IFERROR(BH709,"")</f>
        <v/>
      </c>
      <c r="AY709" s="105">
        <f>IFERROR(Driver!$K$19/Data!BH709/Data!BI709*Data!BK709*Data!BL709,"")</f>
        <v/>
      </c>
      <c r="AZ709" s="105">
        <f>IFERROR(BI709*BN709,"")</f>
        <v/>
      </c>
      <c r="BA709" s="105" t="n"/>
      <c r="BB709" s="105" t="n"/>
      <c r="BC709" s="105">
        <f>IFERROR(BI709*BN709*BK709/BJ709^(1/2),"")</f>
        <v/>
      </c>
      <c r="BD709" s="105">
        <f>IFERROR(BH709*BM709*BL709/BJ709/BK709,"")</f>
        <v/>
      </c>
      <c r="BE709" s="105">
        <f>IFERROR(MIN(BI709/BQ709/BP709/BO709/BH709,$BE$1),"")</f>
        <v/>
      </c>
      <c r="BF709" s="105">
        <f>IFERROR(BJ709*BO709*BP709/BK709,"")</f>
        <v/>
      </c>
      <c r="BG709" s="105">
        <f>IFERROR(1/BM709/BH709*BQ709,"")</f>
        <v/>
      </c>
      <c r="BH709" s="102">
        <f>MAX((CE709-Driver!$F$200)/(Driver!$G$200-Driver!$F$200)*$BI$1,1)</f>
        <v/>
      </c>
      <c r="BI709" s="102">
        <f>MAX($BI$1*(BY709-Driver!$F$201)/(Driver!$G$201-Driver!$F$201),1)</f>
        <v/>
      </c>
      <c r="BJ709" s="102">
        <f>(CB709-Driver!$F$206)/(Driver!$G$206-Driver!$F$206)*$BI$1</f>
        <v/>
      </c>
      <c r="BK709" s="102">
        <f>(CD709-Driver!$F$203)/(Driver!$G$203-Driver!$F$203)*$BI$1</f>
        <v/>
      </c>
      <c r="BL709" s="102">
        <f>MAX((CR709-Driver!$F$202)/(Driver!$G$202-Driver!$F$202)*$BI$1,1)</f>
        <v/>
      </c>
      <c r="BM709" s="102">
        <f>MAX((CH709-Driver!$F$204)/(Driver!$G$204-Driver!$F$204)*$BI$1,1)</f>
        <v/>
      </c>
      <c r="BN709" s="102">
        <f>(CI709-Driver!$F$205)/(Driver!$G$205-Driver!$F$205)*$BI$1</f>
        <v/>
      </c>
      <c r="BO709" s="102">
        <f>(CK709-Driver!$F$207)/(Driver!$G$207-Driver!$F$207)*$BI$1</f>
        <v/>
      </c>
      <c r="BP709" s="102">
        <f>(CM709-Driver!$F$208)/(Driver!$G$208-Driver!$F$208)*$BI$1</f>
        <v/>
      </c>
      <c r="BQ709" s="102">
        <f>(CL709-Driver!$F$209)/(Driver!$G$209-Driver!$F$209)*$BI$1</f>
        <v/>
      </c>
      <c r="BR709" s="40" t="inlineStr">
        <is>
          <t>21/22</t>
        </is>
      </c>
      <c r="BS709" s="10" t="inlineStr">
        <is>
          <t xml:space="preserve"> Völkl</t>
        </is>
      </c>
      <c r="BT709" s="11" t="inlineStr">
        <is>
          <t>Bash 86 W</t>
        </is>
      </c>
      <c r="BU709" s="13" t="n">
        <v>156</v>
      </c>
      <c r="BV709" s="11" t="inlineStr">
        <is>
          <t xml:space="preserve"> Women's</t>
        </is>
      </c>
      <c r="BW709" s="13" t="n">
        <v>156</v>
      </c>
      <c r="BX709" s="13" t="n">
        <v>155.1</v>
      </c>
      <c r="BY709" s="13" t="n">
        <v>116</v>
      </c>
      <c r="BZ709" s="13" t="n">
        <v>141</v>
      </c>
      <c r="CA709" s="13" t="n">
        <v>120</v>
      </c>
      <c r="CB709" s="13" t="n">
        <v>86</v>
      </c>
      <c r="CC709" s="13" t="n">
        <v>109</v>
      </c>
      <c r="CD709" s="13" t="n">
        <v>16.5</v>
      </c>
      <c r="CE709" s="13" t="n">
        <v>1578</v>
      </c>
      <c r="CF709" s="13" t="n">
        <v>0.95</v>
      </c>
      <c r="CG709" s="13" t="n">
        <v>1493</v>
      </c>
      <c r="CH709" s="13" t="n">
        <v>164</v>
      </c>
      <c r="CI709" s="13" t="n">
        <v>77</v>
      </c>
      <c r="CJ709" s="13" t="n">
        <v>39</v>
      </c>
      <c r="CK709" s="13" t="n">
        <v>210</v>
      </c>
      <c r="CL709" s="13" t="n">
        <v>38</v>
      </c>
      <c r="CM709" s="13" t="n">
        <v>177</v>
      </c>
      <c r="CN709" s="13" t="n">
        <v>0.983</v>
      </c>
      <c r="CO709" s="13" t="n">
        <v>72</v>
      </c>
      <c r="CP709" s="13" t="n">
        <v>72</v>
      </c>
      <c r="CQ709" s="13" t="n">
        <v>138</v>
      </c>
      <c r="CR709" s="13" t="n">
        <v>3</v>
      </c>
      <c r="CS709" s="13" t="n">
        <v>2.1</v>
      </c>
      <c r="CT709" s="11" t="inlineStr">
        <is>
          <t xml:space="preserve"> Freeski</t>
        </is>
      </c>
      <c r="CU709" s="13" t="n"/>
      <c r="CV709" s="13" t="n"/>
      <c r="CW709" s="13" t="n"/>
      <c r="CX709">
        <f>INDEX('Data_Price '!AG$2:AG$1266,MATCH(Data!$DN709,'Data_Price '!$AT$2:$AT$1266,0))</f>
        <v/>
      </c>
      <c r="CY709">
        <f>INDEX('Data_Price '!AH$2:AH$1266,MATCH(Data!$DN709,'Data_Price '!$AT$2:$AT$1266,0))</f>
        <v/>
      </c>
      <c r="CZ709">
        <f>INDEX('Data_Price '!AI$2:AI$1266,MATCH(Data!$DN709,'Data_Price '!$AT$2:$AT$1266,0))</f>
        <v/>
      </c>
      <c r="DA709">
        <f>INDEX('Data_Price '!AJ$2:AJ$1266,MATCH(Data!$DN709,'Data_Price '!$AT$2:$AT$1266,0))</f>
        <v/>
      </c>
      <c r="DB709">
        <f>INDEX('Data_Price '!AK$2:AK$1266,MATCH(Data!$DN709,'Data_Price '!$AT$2:$AT$1266,0))</f>
        <v/>
      </c>
      <c r="DC709">
        <f>INDEX('Data_Price '!AL$2:AL$1266,MATCH(Data!$DN709,'Data_Price '!$AT$2:$AT$1266,0))</f>
        <v/>
      </c>
      <c r="DD709">
        <f>INDEX('Data_Price '!AM$2:AM$1266,MATCH(Data!$DN709,'Data_Price '!$AT$2:$AT$1266,0))</f>
        <v/>
      </c>
      <c r="DE709">
        <f>INDEX('Data_Price '!AN$2:AN$1266,MATCH(Data!$DN709,'Data_Price '!$AT$2:$AT$1266,0))</f>
        <v/>
      </c>
      <c r="DF709">
        <f>INDEX('Data_Price '!AO$2:AO$1266,MATCH(Data!$DN709,'Data_Price '!$AT$2:$AT$1266,0))</f>
        <v/>
      </c>
      <c r="DG709">
        <f>INDEX('Data_Price '!AP$2:AP$1266,MATCH(Data!$DN709,'Data_Price '!$AT$2:$AT$1266,0))</f>
        <v/>
      </c>
      <c r="DH709">
        <f>INDEX('Data_Price '!AQ$2:AQ$1266,MATCH(Data!$DN709,'Data_Price '!$AT$2:$AT$1266,0))</f>
        <v/>
      </c>
      <c r="DI709">
        <f>INDEX('Data_Price '!AR$2:AR$1266,MATCH(Data!$DN709,'Data_Price '!$AT$2:$AT$1266,0))</f>
        <v/>
      </c>
      <c r="DJ709" s="138">
        <f>DA709</f>
        <v/>
      </c>
      <c r="DK709" s="138">
        <f>DE709</f>
        <v/>
      </c>
      <c r="DL709" s="138">
        <f>DI709</f>
        <v/>
      </c>
      <c r="DM709" s="303">
        <f>IF(LEFT(BT709,1)=" ",RIGHT(BT709,LEN(BT709)-1),BT709)</f>
        <v/>
      </c>
      <c r="DN709" s="138">
        <f>_xlfn.CONCAT(BS709,DM709,BU709,BV709)</f>
        <v/>
      </c>
      <c r="DO709" s="307" t="inlineStr">
        <is>
          <t>https://images.evo.com/imgp/250/183431/726761/volkl-bash-86-w-skis-women-s-2022-.jpg</t>
        </is>
      </c>
    </row>
    <row r="710" ht="15.6" customHeight="1" s="184">
      <c r="B710" s="303">
        <f t="array" ref="B710">IF(OR(ISERROR(K710:P710)),FALSE,TRUE)</f>
        <v/>
      </c>
      <c r="C710" s="60">
        <f>OR(BR710=Driver!$G$50,Data!BR230=Driver!$H$50)</f>
        <v/>
      </c>
      <c r="D710" s="60">
        <f>OR(BV710=Driver!$G$51,BV710=Driver!$H$51)</f>
        <v/>
      </c>
      <c r="E710" s="60">
        <f>AND(BX710&gt;Driver!$F$54,BX710&lt;Driver!$G$54)</f>
        <v/>
      </c>
      <c r="F710" s="60">
        <f>CL710&gt;Driver!$F$56</f>
        <v/>
      </c>
      <c r="G710" s="60">
        <f>AND(CB710&gt;Driver!$F$55,CB710&lt;Driver!$G$55)</f>
        <v/>
      </c>
      <c r="H710" s="60">
        <f>AND(B710:G710)</f>
        <v/>
      </c>
      <c r="I710" s="60">
        <f>COUNTIFS($H$9:$H$1273,TRUE,$BT$9:$BT$1273,BT710)</f>
        <v/>
      </c>
      <c r="J710" s="60">
        <f t="array" ref="J710">NOT(OR(($H$9:$H$1273=TRUE)*($I$9:$I$1273&gt;0)*($BT$9:$BT$1273=BT710)*($K$9:$K$1273&gt;K710)))</f>
        <v/>
      </c>
      <c r="K710" s="108">
        <f>IFERROR(1-AVERAGE(X710:Y710),"")</f>
        <v/>
      </c>
      <c r="L710" s="108">
        <f>1-X710</f>
        <v/>
      </c>
      <c r="M710" s="108">
        <f>1-Y710</f>
        <v/>
      </c>
      <c r="N710" s="108">
        <f>1-Z710</f>
        <v/>
      </c>
      <c r="O710" s="108">
        <f>1-AA710</f>
        <v/>
      </c>
      <c r="P710" s="108">
        <f>1-AB710</f>
        <v/>
      </c>
      <c r="Q710" s="108" t="n"/>
      <c r="R710" s="108" t="n"/>
      <c r="S710" s="108">
        <f>1-AE710</f>
        <v/>
      </c>
      <c r="T710" s="108">
        <f>1-AF710</f>
        <v/>
      </c>
      <c r="U710" s="108">
        <f>1-AG710</f>
        <v/>
      </c>
      <c r="V710" s="108">
        <f>1-AH710</f>
        <v/>
      </c>
      <c r="W710" s="108">
        <f>1-AI710</f>
        <v/>
      </c>
      <c r="X710" s="108">
        <f>ABS(AJ710-AJ$1)</f>
        <v/>
      </c>
      <c r="Y710" s="108">
        <f>AVERAGE(Z710:AB710)</f>
        <v/>
      </c>
      <c r="Z710" s="108">
        <f>ABS(AL710-AL$1)</f>
        <v/>
      </c>
      <c r="AA710" s="108">
        <f>ABS(AM710-AM$1)</f>
        <v/>
      </c>
      <c r="AB710" s="108">
        <f>ABS(AN710-AN$1)</f>
        <v/>
      </c>
      <c r="AC710" s="108" t="n"/>
      <c r="AD710" s="108" t="n"/>
      <c r="AE710" s="108">
        <f>ABS(AQ$1-AQ710)</f>
        <v/>
      </c>
      <c r="AF710" s="108">
        <f>ABS(AR$1-AR710)</f>
        <v/>
      </c>
      <c r="AG710" s="108">
        <f>ABS(AS$1-AS710)</f>
        <v/>
      </c>
      <c r="AH710" s="108">
        <f>ABS(AT$1-AT710)</f>
        <v/>
      </c>
      <c r="AI710" s="108">
        <f>ABS(AU$1-AU710)</f>
        <v/>
      </c>
      <c r="AJ710" s="108">
        <f>(AV710-Driver!$K$179)/(Driver!$L$179-Driver!$K$179)</f>
        <v/>
      </c>
      <c r="AK710" s="108">
        <f>(AW710-Driver!$K$180)/(Driver!$L$180-Driver!$K$180)</f>
        <v/>
      </c>
      <c r="AL710" s="108">
        <f>(AX710-Driver!$K$181)/(Driver!$L$181-Driver!$K$181)</f>
        <v/>
      </c>
      <c r="AM710" s="108">
        <f>(AY710-Driver!$K$182)/(Driver!$L$182-Driver!$K$182)</f>
        <v/>
      </c>
      <c r="AN710" s="108">
        <f>(AZ710-Driver!$K$183)/(Driver!$L$183-Driver!$K$183)</f>
        <v/>
      </c>
      <c r="AO710" s="108" t="n"/>
      <c r="AP710" s="108" t="n"/>
      <c r="AQ710" s="108">
        <f>(BC710-Driver!$K$188)/(Driver!$L$188-Driver!$K$188)</f>
        <v/>
      </c>
      <c r="AR710" s="108">
        <f>MIN((BD710-Driver!$K$189)/(Driver!$L$189-Driver!$K$189),100%)</f>
        <v/>
      </c>
      <c r="AS710" s="108">
        <f>(BE710-Driver!$K$190)/(Driver!$L$190-Driver!$K$190)</f>
        <v/>
      </c>
      <c r="AT710" s="108">
        <f>(BF710-Driver!$K$191)/(Driver!$L$191-Driver!$K$191)</f>
        <v/>
      </c>
      <c r="AU710" s="108">
        <f>(BG710-Driver!$K$192)/(Driver!$L$192-Driver!$K$192)</f>
        <v/>
      </c>
      <c r="AV710" s="105">
        <f>IFERROR(BM710*BJ710^1/4,"")</f>
        <v/>
      </c>
      <c r="AW710" s="105">
        <f>IFERROR(SUM(AX710:AZ710),"")</f>
        <v/>
      </c>
      <c r="AX710" s="105">
        <f>IFERROR(BH710,"")</f>
        <v/>
      </c>
      <c r="AY710" s="105">
        <f>IFERROR(Driver!$K$19/Data!BH710/Data!BI710*Data!BK710*Data!BL710,"")</f>
        <v/>
      </c>
      <c r="AZ710" s="105">
        <f>IFERROR(BI710*BN710,"")</f>
        <v/>
      </c>
      <c r="BA710" s="105" t="n"/>
      <c r="BB710" s="105" t="n"/>
      <c r="BC710" s="105">
        <f>IFERROR(BI710*BN710*BK710/BJ710^(1/2),"")</f>
        <v/>
      </c>
      <c r="BD710" s="105">
        <f>IFERROR(BH710*BM710*BL710/BJ710/BK710,"")</f>
        <v/>
      </c>
      <c r="BE710" s="105">
        <f>IFERROR(MIN(BI710/BQ710/BP710/BO710/BH710,$BE$1),"")</f>
        <v/>
      </c>
      <c r="BF710" s="105">
        <f>IFERROR(BJ710*BO710*BP710/BK710,"")</f>
        <v/>
      </c>
      <c r="BG710" s="105">
        <f>IFERROR(1/BM710/BH710*BQ710,"")</f>
        <v/>
      </c>
      <c r="BH710" s="102">
        <f>MAX((CE710-Driver!$F$200)/(Driver!$G$200-Driver!$F$200)*$BI$1,1)</f>
        <v/>
      </c>
      <c r="BI710" s="102">
        <f>MAX($BI$1*(BY710-Driver!$F$201)/(Driver!$G$201-Driver!$F$201),1)</f>
        <v/>
      </c>
      <c r="BJ710" s="102">
        <f>(CB710-Driver!$F$206)/(Driver!$G$206-Driver!$F$206)*$BI$1</f>
        <v/>
      </c>
      <c r="BK710" s="102">
        <f>(CD710-Driver!$F$203)/(Driver!$G$203-Driver!$F$203)*$BI$1</f>
        <v/>
      </c>
      <c r="BL710" s="102">
        <f>MAX((CR710-Driver!$F$202)/(Driver!$G$202-Driver!$F$202)*$BI$1,1)</f>
        <v/>
      </c>
      <c r="BM710" s="102">
        <f>MAX((CH710-Driver!$F$204)/(Driver!$G$204-Driver!$F$204)*$BI$1,1)</f>
        <v/>
      </c>
      <c r="BN710" s="102">
        <f>(CI710-Driver!$F$205)/(Driver!$G$205-Driver!$F$205)*$BI$1</f>
        <v/>
      </c>
      <c r="BO710" s="102">
        <f>(CK710-Driver!$F$207)/(Driver!$G$207-Driver!$F$207)*$BI$1</f>
        <v/>
      </c>
      <c r="BP710" s="102">
        <f>(CM710-Driver!$F$208)/(Driver!$G$208-Driver!$F$208)*$BI$1</f>
        <v/>
      </c>
      <c r="BQ710" s="102">
        <f>(CL710-Driver!$F$209)/(Driver!$G$209-Driver!$F$209)*$BI$1</f>
        <v/>
      </c>
      <c r="BR710" s="40" t="inlineStr">
        <is>
          <t>21/22</t>
        </is>
      </c>
      <c r="BS710" s="10" t="inlineStr">
        <is>
          <t xml:space="preserve"> Black Crows</t>
        </is>
      </c>
      <c r="BT710" s="11" t="inlineStr">
        <is>
          <t xml:space="preserve"> Mirus Cor</t>
        </is>
      </c>
      <c r="BU710" s="13" t="n">
        <v>173.2</v>
      </c>
      <c r="BV710" s="11" t="inlineStr">
        <is>
          <t xml:space="preserve"> Unisex</t>
        </is>
      </c>
      <c r="BW710" s="13" t="n">
        <v>173.2</v>
      </c>
      <c r="BX710" s="13" t="n">
        <v>171.7</v>
      </c>
      <c r="BY710" s="13" t="n">
        <v>119</v>
      </c>
      <c r="BZ710" s="13" t="n">
        <v>147</v>
      </c>
      <c r="CA710" s="13" t="n">
        <v>130</v>
      </c>
      <c r="CB710" s="13" t="n">
        <v>86</v>
      </c>
      <c r="CC710" s="13" t="n">
        <v>121</v>
      </c>
      <c r="CD710" s="13" t="n">
        <v>12.7</v>
      </c>
      <c r="CE710" s="13" t="n">
        <v>1725</v>
      </c>
      <c r="CF710" s="13" t="n">
        <v>1.02</v>
      </c>
      <c r="CG710" s="13" t="n">
        <v>1763</v>
      </c>
      <c r="CH710" s="13" t="n">
        <v>177</v>
      </c>
      <c r="CI710" s="13" t="n">
        <v>71</v>
      </c>
      <c r="CJ710" s="13" t="n">
        <v>42</v>
      </c>
      <c r="CK710" s="13" t="n">
        <v>279</v>
      </c>
      <c r="CL710" s="13" t="n">
        <v>36</v>
      </c>
      <c r="CM710" s="13" t="n">
        <v>249</v>
      </c>
      <c r="CN710" s="13" t="n">
        <v>0.858</v>
      </c>
      <c r="CO710" s="13" t="n">
        <v>139</v>
      </c>
      <c r="CP710" s="13" t="n">
        <v>113</v>
      </c>
      <c r="CQ710" s="13" t="n">
        <v>140</v>
      </c>
      <c r="CR710" s="13" t="n">
        <v>3</v>
      </c>
      <c r="CS710" s="13" t="n">
        <v>3.5</v>
      </c>
      <c r="CT710" s="11" t="inlineStr">
        <is>
          <t xml:space="preserve"> Resort Freeride</t>
        </is>
      </c>
      <c r="CU710" s="11" t="inlineStr">
        <is>
          <t xml:space="preserve"> Freeski</t>
        </is>
      </c>
      <c r="CV710" s="13" t="n"/>
      <c r="CW710" s="13" t="n"/>
      <c r="CX710">
        <f>INDEX('Data_Price '!AG$2:AG$1266,MATCH(Data!$DN710,'Data_Price '!$AT$2:$AT$1266,0))</f>
        <v/>
      </c>
      <c r="CY710">
        <f>INDEX('Data_Price '!AH$2:AH$1266,MATCH(Data!$DN710,'Data_Price '!$AT$2:$AT$1266,0))</f>
        <v/>
      </c>
      <c r="CZ710">
        <f>INDEX('Data_Price '!AI$2:AI$1266,MATCH(Data!$DN710,'Data_Price '!$AT$2:$AT$1266,0))</f>
        <v/>
      </c>
      <c r="DA710">
        <f>INDEX('Data_Price '!AJ$2:AJ$1266,MATCH(Data!$DN710,'Data_Price '!$AT$2:$AT$1266,0))</f>
        <v/>
      </c>
      <c r="DB710">
        <f>INDEX('Data_Price '!AK$2:AK$1266,MATCH(Data!$DN710,'Data_Price '!$AT$2:$AT$1266,0))</f>
        <v/>
      </c>
      <c r="DC710">
        <f>INDEX('Data_Price '!AL$2:AL$1266,MATCH(Data!$DN710,'Data_Price '!$AT$2:$AT$1266,0))</f>
        <v/>
      </c>
      <c r="DD710">
        <f>INDEX('Data_Price '!AM$2:AM$1266,MATCH(Data!$DN710,'Data_Price '!$AT$2:$AT$1266,0))</f>
        <v/>
      </c>
      <c r="DE710">
        <f>INDEX('Data_Price '!AN$2:AN$1266,MATCH(Data!$DN710,'Data_Price '!$AT$2:$AT$1266,0))</f>
        <v/>
      </c>
      <c r="DF710">
        <f>INDEX('Data_Price '!AO$2:AO$1266,MATCH(Data!$DN710,'Data_Price '!$AT$2:$AT$1266,0))</f>
        <v/>
      </c>
      <c r="DG710">
        <f>INDEX('Data_Price '!AP$2:AP$1266,MATCH(Data!$DN710,'Data_Price '!$AT$2:$AT$1266,0))</f>
        <v/>
      </c>
      <c r="DH710">
        <f>INDEX('Data_Price '!AQ$2:AQ$1266,MATCH(Data!$DN710,'Data_Price '!$AT$2:$AT$1266,0))</f>
        <v/>
      </c>
      <c r="DI710">
        <f>INDEX('Data_Price '!AR$2:AR$1266,MATCH(Data!$DN710,'Data_Price '!$AT$2:$AT$1266,0))</f>
        <v/>
      </c>
      <c r="DJ710" s="138">
        <f>DA710</f>
        <v/>
      </c>
      <c r="DK710" s="138">
        <f>DE710</f>
        <v/>
      </c>
      <c r="DL710" s="138">
        <f>DI710</f>
        <v/>
      </c>
      <c r="DM710" s="303">
        <f>IF(LEFT(BT710,1)=" ",RIGHT(BT710,LEN(BT710)-1),BT710)</f>
        <v/>
      </c>
      <c r="DN710" s="138">
        <f>_xlfn.CONCAT(BS710,DM710,BU710,BV710)</f>
        <v/>
      </c>
      <c r="DO710" s="307" t="n"/>
    </row>
    <row r="711" ht="15.6" customHeight="1" s="184">
      <c r="B711" s="303">
        <f t="array" ref="B711">IF(OR(ISERROR(K711:P711)),FALSE,TRUE)</f>
        <v/>
      </c>
      <c r="C711" s="60">
        <f>OR(BR711=Driver!$G$50,Data!BR647=Driver!$H$50)</f>
        <v/>
      </c>
      <c r="D711" s="60">
        <f>OR(BV711=Driver!$G$51,BV711=Driver!$H$51)</f>
        <v/>
      </c>
      <c r="E711" s="60">
        <f>AND(BX711&gt;Driver!$F$54,BX711&lt;Driver!$G$54)</f>
        <v/>
      </c>
      <c r="F711" s="60">
        <f>CL711&gt;Driver!$F$56</f>
        <v/>
      </c>
      <c r="G711" s="60">
        <f>AND(CB711&gt;Driver!$F$55,CB711&lt;Driver!$G$55)</f>
        <v/>
      </c>
      <c r="H711" s="60">
        <f>AND(B711:G711)</f>
        <v/>
      </c>
      <c r="I711" s="60">
        <f>COUNTIFS($H$9:$H$1273,TRUE,$BT$9:$BT$1273,BT711)</f>
        <v/>
      </c>
      <c r="J711" s="60">
        <f t="array" ref="J711">NOT(OR(($H$9:$H$1273=TRUE)*($I$9:$I$1273&gt;0)*($BT$9:$BT$1273=BT711)*($K$9:$K$1273&gt;K711)))</f>
        <v/>
      </c>
      <c r="K711" s="108">
        <f>IFERROR(1-AVERAGE(X711:Y711),"")</f>
        <v/>
      </c>
      <c r="L711" s="108">
        <f>1-X711</f>
        <v/>
      </c>
      <c r="M711" s="108">
        <f>1-Y711</f>
        <v/>
      </c>
      <c r="N711" s="108">
        <f>1-Z711</f>
        <v/>
      </c>
      <c r="O711" s="108">
        <f>1-AA711</f>
        <v/>
      </c>
      <c r="P711" s="108">
        <f>1-AB711</f>
        <v/>
      </c>
      <c r="Q711" s="108" t="n"/>
      <c r="R711" s="108" t="n"/>
      <c r="S711" s="108">
        <f>1-AE711</f>
        <v/>
      </c>
      <c r="T711" s="108">
        <f>1-AF711</f>
        <v/>
      </c>
      <c r="U711" s="108">
        <f>1-AG711</f>
        <v/>
      </c>
      <c r="V711" s="108">
        <f>1-AH711</f>
        <v/>
      </c>
      <c r="W711" s="108">
        <f>1-AI711</f>
        <v/>
      </c>
      <c r="X711" s="108">
        <f>ABS(AJ711-AJ$1)</f>
        <v/>
      </c>
      <c r="Y711" s="108">
        <f>AVERAGE(Z711:AB711)</f>
        <v/>
      </c>
      <c r="Z711" s="108">
        <f>ABS(AL711-AL$1)</f>
        <v/>
      </c>
      <c r="AA711" s="108">
        <f>ABS(AM711-AM$1)</f>
        <v/>
      </c>
      <c r="AB711" s="108">
        <f>ABS(AN711-AN$1)</f>
        <v/>
      </c>
      <c r="AC711" s="108" t="n"/>
      <c r="AD711" s="108" t="n"/>
      <c r="AE711" s="108">
        <f>ABS(AQ$1-AQ711)</f>
        <v/>
      </c>
      <c r="AF711" s="108">
        <f>ABS(AR$1-AR711)</f>
        <v/>
      </c>
      <c r="AG711" s="108">
        <f>ABS(AS$1-AS711)</f>
        <v/>
      </c>
      <c r="AH711" s="108">
        <f>ABS(AT$1-AT711)</f>
        <v/>
      </c>
      <c r="AI711" s="108">
        <f>ABS(AU$1-AU711)</f>
        <v/>
      </c>
      <c r="AJ711" s="108">
        <f>(AV711-Driver!$K$179)/(Driver!$L$179-Driver!$K$179)</f>
        <v/>
      </c>
      <c r="AK711" s="108">
        <f>(AW711-Driver!$K$180)/(Driver!$L$180-Driver!$K$180)</f>
        <v/>
      </c>
      <c r="AL711" s="108">
        <f>(AX711-Driver!$K$181)/(Driver!$L$181-Driver!$K$181)</f>
        <v/>
      </c>
      <c r="AM711" s="108">
        <f>(AY711-Driver!$K$182)/(Driver!$L$182-Driver!$K$182)</f>
        <v/>
      </c>
      <c r="AN711" s="108">
        <f>(AZ711-Driver!$K$183)/(Driver!$L$183-Driver!$K$183)</f>
        <v/>
      </c>
      <c r="AO711" s="108" t="n"/>
      <c r="AP711" s="108" t="n"/>
      <c r="AQ711" s="108">
        <f>(BC711-Driver!$K$188)/(Driver!$L$188-Driver!$K$188)</f>
        <v/>
      </c>
      <c r="AR711" s="108">
        <f>MIN((BD711-Driver!$K$189)/(Driver!$L$189-Driver!$K$189),100%)</f>
        <v/>
      </c>
      <c r="AS711" s="108">
        <f>(BE711-Driver!$K$190)/(Driver!$L$190-Driver!$K$190)</f>
        <v/>
      </c>
      <c r="AT711" s="108">
        <f>(BF711-Driver!$K$191)/(Driver!$L$191-Driver!$K$191)</f>
        <v/>
      </c>
      <c r="AU711" s="108">
        <f>(BG711-Driver!$K$192)/(Driver!$L$192-Driver!$K$192)</f>
        <v/>
      </c>
      <c r="AV711" s="105">
        <f>IFERROR(BM711*BJ711^1/4,"")</f>
        <v/>
      </c>
      <c r="AW711" s="105">
        <f>IFERROR(SUM(AX711:AZ711),"")</f>
        <v/>
      </c>
      <c r="AX711" s="105">
        <f>IFERROR(BH711,"")</f>
        <v/>
      </c>
      <c r="AY711" s="105">
        <f>IFERROR(Driver!$K$19/Data!BH711/Data!BI711*Data!BK711*Data!BL711,"")</f>
        <v/>
      </c>
      <c r="AZ711" s="105">
        <f>IFERROR(BI711*BN711,"")</f>
        <v/>
      </c>
      <c r="BA711" s="105" t="n"/>
      <c r="BB711" s="105" t="n"/>
      <c r="BC711" s="105">
        <f>IFERROR(BI711*BN711*BK711/BJ711^(1/2),"")</f>
        <v/>
      </c>
      <c r="BD711" s="105">
        <f>IFERROR(BH711*BM711*BL711/BJ711/BK711,"")</f>
        <v/>
      </c>
      <c r="BE711" s="105">
        <f>IFERROR(MIN(BI711/BQ711/BP711/BO711/BH711,$BE$1),"")</f>
        <v/>
      </c>
      <c r="BF711" s="105">
        <f>IFERROR(BJ711*BO711*BP711/BK711,"")</f>
        <v/>
      </c>
      <c r="BG711" s="105">
        <f>IFERROR(1/BM711/BH711*BQ711,"")</f>
        <v/>
      </c>
      <c r="BH711" s="102">
        <f>MAX((CE711-Driver!$F$200)/(Driver!$G$200-Driver!$F$200)*$BI$1,1)</f>
        <v/>
      </c>
      <c r="BI711" s="102">
        <f>MAX($BI$1*(BY711-Driver!$F$201)/(Driver!$G$201-Driver!$F$201),1)</f>
        <v/>
      </c>
      <c r="BJ711" s="102">
        <f>(CB711-Driver!$F$206)/(Driver!$G$206-Driver!$F$206)*$BI$1</f>
        <v/>
      </c>
      <c r="BK711" s="102">
        <f>(CD711-Driver!$F$203)/(Driver!$G$203-Driver!$F$203)*$BI$1</f>
        <v/>
      </c>
      <c r="BL711" s="102">
        <f>MAX((CR711-Driver!$F$202)/(Driver!$G$202-Driver!$F$202)*$BI$1,1)</f>
        <v/>
      </c>
      <c r="BM711" s="102">
        <f>MAX((CH711-Driver!$F$204)/(Driver!$G$204-Driver!$F$204)*$BI$1,1)</f>
        <v/>
      </c>
      <c r="BN711" s="102">
        <f>(CI711-Driver!$F$205)/(Driver!$G$205-Driver!$F$205)*$BI$1</f>
        <v/>
      </c>
      <c r="BO711" s="102">
        <f>(CK711-Driver!$F$207)/(Driver!$G$207-Driver!$F$207)*$BI$1</f>
        <v/>
      </c>
      <c r="BP711" s="102">
        <f>(CM711-Driver!$F$208)/(Driver!$G$208-Driver!$F$208)*$BI$1</f>
        <v/>
      </c>
      <c r="BQ711" s="102">
        <f>(CL711-Driver!$F$209)/(Driver!$G$209-Driver!$F$209)*$BI$1</f>
        <v/>
      </c>
      <c r="BR711" s="40" t="inlineStr">
        <is>
          <t>21/22</t>
        </is>
      </c>
      <c r="BS711" s="10" t="inlineStr">
        <is>
          <t xml:space="preserve"> Head</t>
        </is>
      </c>
      <c r="BT711" s="11" t="inlineStr">
        <is>
          <t xml:space="preserve"> Supershape e-Speed</t>
        </is>
      </c>
      <c r="BU711" s="13" t="n">
        <v>163</v>
      </c>
      <c r="BV711" s="11" t="inlineStr">
        <is>
          <t xml:space="preserve"> Unisex</t>
        </is>
      </c>
      <c r="BW711" s="13" t="n">
        <v>163</v>
      </c>
      <c r="BX711" s="13" t="n">
        <v>162.4</v>
      </c>
      <c r="BY711" s="13" t="n">
        <v>144</v>
      </c>
      <c r="BZ711" s="13" t="n">
        <v>151</v>
      </c>
      <c r="CA711" s="13" t="n">
        <v>121</v>
      </c>
      <c r="CB711" s="13" t="n">
        <v>67</v>
      </c>
      <c r="CC711" s="13" t="n">
        <v>103</v>
      </c>
      <c r="CD711" s="13" t="n">
        <v>12.7</v>
      </c>
      <c r="CE711" s="13" t="n">
        <v>2043</v>
      </c>
      <c r="CF711" s="13" t="n">
        <v>0.66</v>
      </c>
      <c r="CG711" s="13" t="n">
        <v>1351</v>
      </c>
      <c r="CH711" s="13" t="n">
        <v>192</v>
      </c>
      <c r="CI711" s="13" t="n">
        <v>93</v>
      </c>
      <c r="CJ711" s="13" t="n">
        <v>37</v>
      </c>
      <c r="CK711" s="13" t="n">
        <v>137</v>
      </c>
      <c r="CL711" s="13" t="n">
        <v>3</v>
      </c>
      <c r="CM711" s="13" t="n">
        <v>44</v>
      </c>
      <c r="CN711" s="13" t="n">
        <v>0.081</v>
      </c>
      <c r="CO711" s="13" t="n">
        <v>62</v>
      </c>
      <c r="CP711" s="13" t="n">
        <v>52</v>
      </c>
      <c r="CQ711" s="13" t="n">
        <v>75</v>
      </c>
      <c r="CR711" s="13" t="n">
        <v>11</v>
      </c>
      <c r="CS711" s="13" t="n">
        <v>12.4</v>
      </c>
      <c r="CT711" s="11" t="inlineStr">
        <is>
          <t xml:space="preserve"> On-Piste Carving</t>
        </is>
      </c>
      <c r="CU711" s="13" t="n"/>
      <c r="CV711" s="13" t="n"/>
      <c r="CW711" s="13" t="n"/>
      <c r="CX711">
        <f>INDEX('Data_Price '!AG$2:AG$1266,MATCH(Data!$DN711,'Data_Price '!$AT$2:$AT$1266,0))</f>
        <v/>
      </c>
      <c r="CY711">
        <f>INDEX('Data_Price '!AH$2:AH$1266,MATCH(Data!$DN711,'Data_Price '!$AT$2:$AT$1266,0))</f>
        <v/>
      </c>
      <c r="CZ711">
        <f>INDEX('Data_Price '!AI$2:AI$1266,MATCH(Data!$DN711,'Data_Price '!$AT$2:$AT$1266,0))</f>
        <v/>
      </c>
      <c r="DA711">
        <f>INDEX('Data_Price '!AJ$2:AJ$1266,MATCH(Data!$DN711,'Data_Price '!$AT$2:$AT$1266,0))</f>
        <v/>
      </c>
      <c r="DB711">
        <f>INDEX('Data_Price '!AK$2:AK$1266,MATCH(Data!$DN711,'Data_Price '!$AT$2:$AT$1266,0))</f>
        <v/>
      </c>
      <c r="DC711">
        <f>INDEX('Data_Price '!AL$2:AL$1266,MATCH(Data!$DN711,'Data_Price '!$AT$2:$AT$1266,0))</f>
        <v/>
      </c>
      <c r="DD711">
        <f>INDEX('Data_Price '!AM$2:AM$1266,MATCH(Data!$DN711,'Data_Price '!$AT$2:$AT$1266,0))</f>
        <v/>
      </c>
      <c r="DE711">
        <f>INDEX('Data_Price '!AN$2:AN$1266,MATCH(Data!$DN711,'Data_Price '!$AT$2:$AT$1266,0))</f>
        <v/>
      </c>
      <c r="DF711">
        <f>INDEX('Data_Price '!AO$2:AO$1266,MATCH(Data!$DN711,'Data_Price '!$AT$2:$AT$1266,0))</f>
        <v/>
      </c>
      <c r="DG711">
        <f>INDEX('Data_Price '!AP$2:AP$1266,MATCH(Data!$DN711,'Data_Price '!$AT$2:$AT$1266,0))</f>
        <v/>
      </c>
      <c r="DH711">
        <f>INDEX('Data_Price '!AQ$2:AQ$1266,MATCH(Data!$DN711,'Data_Price '!$AT$2:$AT$1266,0))</f>
        <v/>
      </c>
      <c r="DI711">
        <f>INDEX('Data_Price '!AR$2:AR$1266,MATCH(Data!$DN711,'Data_Price '!$AT$2:$AT$1266,0))</f>
        <v/>
      </c>
      <c r="DJ711" s="138">
        <f>DA711</f>
        <v/>
      </c>
      <c r="DK711" s="138">
        <f>DE711</f>
        <v/>
      </c>
      <c r="DL711" s="138">
        <f>DI711</f>
        <v/>
      </c>
      <c r="DM711" s="303">
        <f>IF(LEFT(BT711,1)=" ",RIGHT(BT711,LEN(BT711)-1),BT711)</f>
        <v/>
      </c>
      <c r="DN711" s="138">
        <f>_xlfn.CONCAT(BS711,DM711,BU711,BV711)</f>
        <v/>
      </c>
      <c r="DO711" s="307" t="n"/>
    </row>
    <row r="712" ht="15.6" customHeight="1" s="184">
      <c r="B712" s="303">
        <f t="array" ref="B712">IF(OR(ISERROR(K712:P712)),FALSE,TRUE)</f>
        <v/>
      </c>
      <c r="C712" s="60">
        <f>OR(BR712=Driver!$G$50,Data!BR396=Driver!$H$50)</f>
        <v/>
      </c>
      <c r="D712" s="60">
        <f>OR(BV712=Driver!$G$51,BV712=Driver!$H$51)</f>
        <v/>
      </c>
      <c r="E712" s="60">
        <f>AND(BX712&gt;Driver!$F$54,BX712&lt;Driver!$G$54)</f>
        <v/>
      </c>
      <c r="F712" s="60">
        <f>CL712&gt;Driver!$F$56</f>
        <v/>
      </c>
      <c r="G712" s="60">
        <f>AND(CB712&gt;Driver!$F$55,CB712&lt;Driver!$G$55)</f>
        <v/>
      </c>
      <c r="H712" s="60">
        <f>AND(B712:G712)</f>
        <v/>
      </c>
      <c r="I712" s="60">
        <f>COUNTIFS($H$9:$H$1273,TRUE,$BT$9:$BT$1273,BT712)</f>
        <v/>
      </c>
      <c r="J712" s="60">
        <f t="array" ref="J712">NOT(OR(($H$9:$H$1273=TRUE)*($I$9:$I$1273&gt;0)*($BT$9:$BT$1273=BT712)*($K$9:$K$1273&gt;K712)))</f>
        <v/>
      </c>
      <c r="K712" s="108">
        <f>IFERROR(1-AVERAGE(X712:Y712),"")</f>
        <v/>
      </c>
      <c r="L712" s="108">
        <f>1-X712</f>
        <v/>
      </c>
      <c r="M712" s="108">
        <f>1-Y712</f>
        <v/>
      </c>
      <c r="N712" s="108">
        <f>1-Z712</f>
        <v/>
      </c>
      <c r="O712" s="108">
        <f>1-AA712</f>
        <v/>
      </c>
      <c r="P712" s="108">
        <f>1-AB712</f>
        <v/>
      </c>
      <c r="Q712" s="108" t="n"/>
      <c r="R712" s="108" t="n"/>
      <c r="S712" s="108">
        <f>1-AE712</f>
        <v/>
      </c>
      <c r="T712" s="108">
        <f>1-AF712</f>
        <v/>
      </c>
      <c r="U712" s="108">
        <f>1-AG712</f>
        <v/>
      </c>
      <c r="V712" s="108">
        <f>1-AH712</f>
        <v/>
      </c>
      <c r="W712" s="108">
        <f>1-AI712</f>
        <v/>
      </c>
      <c r="X712" s="108">
        <f>ABS(AJ712-AJ$1)</f>
        <v/>
      </c>
      <c r="Y712" s="108">
        <f>AVERAGE(Z712:AB712)</f>
        <v/>
      </c>
      <c r="Z712" s="108">
        <f>ABS(AL712-AL$1)</f>
        <v/>
      </c>
      <c r="AA712" s="108">
        <f>ABS(AM712-AM$1)</f>
        <v/>
      </c>
      <c r="AB712" s="108">
        <f>ABS(AN712-AN$1)</f>
        <v/>
      </c>
      <c r="AC712" s="108" t="n"/>
      <c r="AD712" s="108" t="n"/>
      <c r="AE712" s="108">
        <f>ABS(AQ$1-AQ712)</f>
        <v/>
      </c>
      <c r="AF712" s="108">
        <f>ABS(AR$1-AR712)</f>
        <v/>
      </c>
      <c r="AG712" s="108">
        <f>ABS(AS$1-AS712)</f>
        <v/>
      </c>
      <c r="AH712" s="108">
        <f>ABS(AT$1-AT712)</f>
        <v/>
      </c>
      <c r="AI712" s="108">
        <f>ABS(AU$1-AU712)</f>
        <v/>
      </c>
      <c r="AJ712" s="108">
        <f>(AV712-Driver!$K$179)/(Driver!$L$179-Driver!$K$179)</f>
        <v/>
      </c>
      <c r="AK712" s="108">
        <f>(AW712-Driver!$K$180)/(Driver!$L$180-Driver!$K$180)</f>
        <v/>
      </c>
      <c r="AL712" s="108">
        <f>(AX712-Driver!$K$181)/(Driver!$L$181-Driver!$K$181)</f>
        <v/>
      </c>
      <c r="AM712" s="108">
        <f>(AY712-Driver!$K$182)/(Driver!$L$182-Driver!$K$182)</f>
        <v/>
      </c>
      <c r="AN712" s="108">
        <f>(AZ712-Driver!$K$183)/(Driver!$L$183-Driver!$K$183)</f>
        <v/>
      </c>
      <c r="AO712" s="108" t="n"/>
      <c r="AP712" s="108" t="n"/>
      <c r="AQ712" s="108">
        <f>(BC712-Driver!$K$188)/(Driver!$L$188-Driver!$K$188)</f>
        <v/>
      </c>
      <c r="AR712" s="108">
        <f>MIN((BD712-Driver!$K$189)/(Driver!$L$189-Driver!$K$189),100%)</f>
        <v/>
      </c>
      <c r="AS712" s="108">
        <f>(BE712-Driver!$K$190)/(Driver!$L$190-Driver!$K$190)</f>
        <v/>
      </c>
      <c r="AT712" s="108">
        <f>(BF712-Driver!$K$191)/(Driver!$L$191-Driver!$K$191)</f>
        <v/>
      </c>
      <c r="AU712" s="108">
        <f>(BG712-Driver!$K$192)/(Driver!$L$192-Driver!$K$192)</f>
        <v/>
      </c>
      <c r="AV712" s="105">
        <f>IFERROR(BM712*BJ712^1/4,"")</f>
        <v/>
      </c>
      <c r="AW712" s="105">
        <f>IFERROR(SUM(AX712:AZ712),"")</f>
        <v/>
      </c>
      <c r="AX712" s="105">
        <f>IFERROR(BH712,"")</f>
        <v/>
      </c>
      <c r="AY712" s="105">
        <f>IFERROR(Driver!$K$19/Data!BH712/Data!BI712*Data!BK712*Data!BL712,"")</f>
        <v/>
      </c>
      <c r="AZ712" s="105">
        <f>IFERROR(BI712*BN712,"")</f>
        <v/>
      </c>
      <c r="BA712" s="105" t="n"/>
      <c r="BB712" s="105" t="n"/>
      <c r="BC712" s="105">
        <f>IFERROR(BI712*BN712*BK712/BJ712^(1/2),"")</f>
        <v/>
      </c>
      <c r="BD712" s="105">
        <f>IFERROR(BH712*BM712*BL712/BJ712/BK712,"")</f>
        <v/>
      </c>
      <c r="BE712" s="105">
        <f>IFERROR(MIN(BI712/BQ712/BP712/BO712/BH712,$BE$1),"")</f>
        <v/>
      </c>
      <c r="BF712" s="105">
        <f>IFERROR(BJ712*BO712*BP712/BK712,"")</f>
        <v/>
      </c>
      <c r="BG712" s="105">
        <f>IFERROR(1/BM712/BH712*BQ712,"")</f>
        <v/>
      </c>
      <c r="BH712" s="102">
        <f>MAX((CE712-Driver!$F$200)/(Driver!$G$200-Driver!$F$200)*$BI$1,1)</f>
        <v/>
      </c>
      <c r="BI712" s="102">
        <f>MAX($BI$1*(BY712-Driver!$F$201)/(Driver!$G$201-Driver!$F$201),1)</f>
        <v/>
      </c>
      <c r="BJ712" s="102">
        <f>(CB712-Driver!$F$206)/(Driver!$G$206-Driver!$F$206)*$BI$1</f>
        <v/>
      </c>
      <c r="BK712" s="102">
        <f>(CD712-Driver!$F$203)/(Driver!$G$203-Driver!$F$203)*$BI$1</f>
        <v/>
      </c>
      <c r="BL712" s="102">
        <f>MAX((CR712-Driver!$F$202)/(Driver!$G$202-Driver!$F$202)*$BI$1,1)</f>
        <v/>
      </c>
      <c r="BM712" s="102">
        <f>MAX((CH712-Driver!$F$204)/(Driver!$G$204-Driver!$F$204)*$BI$1,1)</f>
        <v/>
      </c>
      <c r="BN712" s="102">
        <f>(CI712-Driver!$F$205)/(Driver!$G$205-Driver!$F$205)*$BI$1</f>
        <v/>
      </c>
      <c r="BO712" s="102">
        <f>(CK712-Driver!$F$207)/(Driver!$G$207-Driver!$F$207)*$BI$1</f>
        <v/>
      </c>
      <c r="BP712" s="102">
        <f>(CM712-Driver!$F$208)/(Driver!$G$208-Driver!$F$208)*$BI$1</f>
        <v/>
      </c>
      <c r="BQ712" s="102">
        <f>(CL712-Driver!$F$209)/(Driver!$G$209-Driver!$F$209)*$BI$1</f>
        <v/>
      </c>
      <c r="BR712" s="40" t="inlineStr">
        <is>
          <t>21/22</t>
        </is>
      </c>
      <c r="BS712" s="10" t="inlineStr">
        <is>
          <t xml:space="preserve"> Dynastar</t>
        </is>
      </c>
      <c r="BT712" s="11" t="inlineStr">
        <is>
          <t>M-Pro 84 W</t>
        </is>
      </c>
      <c r="BU712" s="13" t="n">
        <v>149</v>
      </c>
      <c r="BV712" s="11" t="inlineStr">
        <is>
          <t xml:space="preserve"> Women's</t>
        </is>
      </c>
      <c r="BW712" s="13" t="n">
        <v>149</v>
      </c>
      <c r="BX712" s="13" t="n">
        <v>148.7</v>
      </c>
      <c r="BY712" s="13" t="n">
        <v>116</v>
      </c>
      <c r="BZ712" s="13" t="n">
        <v>119</v>
      </c>
      <c r="CA712" s="13" t="n">
        <v>121</v>
      </c>
      <c r="CB712" s="13" t="n">
        <v>82</v>
      </c>
      <c r="CC712" s="13" t="n">
        <v>103</v>
      </c>
      <c r="CD712" s="13" t="n">
        <v>10.8</v>
      </c>
      <c r="CE712" s="13" t="n">
        <v>1401</v>
      </c>
      <c r="CF712" s="13" t="n">
        <v>1.01</v>
      </c>
      <c r="CG712" s="13" t="n">
        <v>1409</v>
      </c>
      <c r="CH712" s="13" t="n">
        <v>162</v>
      </c>
      <c r="CI712" s="13" t="n">
        <v>78</v>
      </c>
      <c r="CJ712" s="13" t="n">
        <v>41</v>
      </c>
      <c r="CK712" s="13" t="n">
        <v>266</v>
      </c>
      <c r="CL712" s="13" t="n">
        <v>5</v>
      </c>
      <c r="CM712" s="13" t="n">
        <v>60</v>
      </c>
      <c r="CN712" s="13" t="n">
        <v>0.113</v>
      </c>
      <c r="CO712" s="13" t="n">
        <v>156</v>
      </c>
      <c r="CP712" s="13" t="n">
        <v>140</v>
      </c>
      <c r="CQ712" s="13" t="n">
        <v>110</v>
      </c>
      <c r="CR712" s="13" t="n">
        <v>8</v>
      </c>
      <c r="CS712" s="13" t="n">
        <v>6</v>
      </c>
      <c r="CT712" s="11" t="inlineStr">
        <is>
          <t xml:space="preserve"> On-Piste All-Mountain</t>
        </is>
      </c>
      <c r="CU712" s="11" t="inlineStr">
        <is>
          <t xml:space="preserve"> Resort Freeride</t>
        </is>
      </c>
      <c r="CV712" s="13" t="n"/>
      <c r="CW712" s="13" t="n"/>
      <c r="CX712">
        <f>INDEX('Data_Price '!AG$2:AG$1266,MATCH(Data!$DN712,'Data_Price '!$AT$2:$AT$1266,0))</f>
        <v/>
      </c>
      <c r="CY712">
        <f>INDEX('Data_Price '!AH$2:AH$1266,MATCH(Data!$DN712,'Data_Price '!$AT$2:$AT$1266,0))</f>
        <v/>
      </c>
      <c r="CZ712">
        <f>INDEX('Data_Price '!AI$2:AI$1266,MATCH(Data!$DN712,'Data_Price '!$AT$2:$AT$1266,0))</f>
        <v/>
      </c>
      <c r="DA712">
        <f>INDEX('Data_Price '!AJ$2:AJ$1266,MATCH(Data!$DN712,'Data_Price '!$AT$2:$AT$1266,0))</f>
        <v/>
      </c>
      <c r="DB712">
        <f>INDEX('Data_Price '!AK$2:AK$1266,MATCH(Data!$DN712,'Data_Price '!$AT$2:$AT$1266,0))</f>
        <v/>
      </c>
      <c r="DC712">
        <f>INDEX('Data_Price '!AL$2:AL$1266,MATCH(Data!$DN712,'Data_Price '!$AT$2:$AT$1266,0))</f>
        <v/>
      </c>
      <c r="DD712">
        <f>INDEX('Data_Price '!AM$2:AM$1266,MATCH(Data!$DN712,'Data_Price '!$AT$2:$AT$1266,0))</f>
        <v/>
      </c>
      <c r="DE712">
        <f>INDEX('Data_Price '!AN$2:AN$1266,MATCH(Data!$DN712,'Data_Price '!$AT$2:$AT$1266,0))</f>
        <v/>
      </c>
      <c r="DF712">
        <f>INDEX('Data_Price '!AO$2:AO$1266,MATCH(Data!$DN712,'Data_Price '!$AT$2:$AT$1266,0))</f>
        <v/>
      </c>
      <c r="DG712">
        <f>INDEX('Data_Price '!AP$2:AP$1266,MATCH(Data!$DN712,'Data_Price '!$AT$2:$AT$1266,0))</f>
        <v/>
      </c>
      <c r="DH712">
        <f>INDEX('Data_Price '!AQ$2:AQ$1266,MATCH(Data!$DN712,'Data_Price '!$AT$2:$AT$1266,0))</f>
        <v/>
      </c>
      <c r="DI712">
        <f>INDEX('Data_Price '!AR$2:AR$1266,MATCH(Data!$DN712,'Data_Price '!$AT$2:$AT$1266,0))</f>
        <v/>
      </c>
      <c r="DJ712" s="138">
        <f>DA712</f>
        <v/>
      </c>
      <c r="DK712" s="138">
        <f>DE712</f>
        <v/>
      </c>
      <c r="DL712" s="138">
        <f>DI712</f>
        <v/>
      </c>
      <c r="DM712" s="303">
        <f>IF(LEFT(BT712,1)=" ",RIGHT(BT712,LEN(BT712)-1),BT712)</f>
        <v/>
      </c>
      <c r="DN712" s="138">
        <f>_xlfn.CONCAT(BS712,DM712,BU712,BV712)</f>
        <v/>
      </c>
      <c r="DO712" s="307" t="inlineStr">
        <is>
          <t>https://images.evo.com/imgp/250/198836/826149/dynastar-m-pro-84-w-skis-women-s-2022-.jpg</t>
        </is>
      </c>
    </row>
    <row r="713" ht="15.6" customHeight="1" s="184">
      <c r="B713" s="303">
        <f t="array" ref="B713">IF(OR(ISERROR(K713:P713)),FALSE,TRUE)</f>
        <v/>
      </c>
      <c r="C713" s="60">
        <f>OR(BR713=Driver!$G$50,Data!BR654=Driver!$H$50)</f>
        <v/>
      </c>
      <c r="D713" s="60">
        <f>OR(BV713=Driver!$G$51,BV713=Driver!$H$51)</f>
        <v/>
      </c>
      <c r="E713" s="60">
        <f>AND(BX713&gt;Driver!$F$54,BX713&lt;Driver!$G$54)</f>
        <v/>
      </c>
      <c r="F713" s="60">
        <f>CL713&gt;Driver!$F$56</f>
        <v/>
      </c>
      <c r="G713" s="60">
        <f>AND(CB713&gt;Driver!$F$55,CB713&lt;Driver!$G$55)</f>
        <v/>
      </c>
      <c r="H713" s="60">
        <f>AND(B713:G713)</f>
        <v/>
      </c>
      <c r="I713" s="60">
        <f>COUNTIFS($H$9:$H$1273,TRUE,$BT$9:$BT$1273,BT713)</f>
        <v/>
      </c>
      <c r="J713" s="60">
        <f t="array" ref="J713">NOT(OR(($H$9:$H$1273=TRUE)*($I$9:$I$1273&gt;0)*($BT$9:$BT$1273=BT713)*($K$9:$K$1273&gt;K713)))</f>
        <v/>
      </c>
      <c r="K713" s="108">
        <f>IFERROR(1-AVERAGE(X713:Y713),"")</f>
        <v/>
      </c>
      <c r="L713" s="108">
        <f>1-X713</f>
        <v/>
      </c>
      <c r="M713" s="108">
        <f>1-Y713</f>
        <v/>
      </c>
      <c r="N713" s="108">
        <f>1-Z713</f>
        <v/>
      </c>
      <c r="O713" s="108">
        <f>1-AA713</f>
        <v/>
      </c>
      <c r="P713" s="108">
        <f>1-AB713</f>
        <v/>
      </c>
      <c r="Q713" s="108" t="n"/>
      <c r="R713" s="108" t="n"/>
      <c r="S713" s="108">
        <f>1-AE713</f>
        <v/>
      </c>
      <c r="T713" s="108">
        <f>1-AF713</f>
        <v/>
      </c>
      <c r="U713" s="108">
        <f>1-AG713</f>
        <v/>
      </c>
      <c r="V713" s="108">
        <f>1-AH713</f>
        <v/>
      </c>
      <c r="W713" s="108">
        <f>1-AI713</f>
        <v/>
      </c>
      <c r="X713" s="108">
        <f>ABS(AJ713-AJ$1)</f>
        <v/>
      </c>
      <c r="Y713" s="108">
        <f>AVERAGE(Z713:AB713)</f>
        <v/>
      </c>
      <c r="Z713" s="108">
        <f>ABS(AL713-AL$1)</f>
        <v/>
      </c>
      <c r="AA713" s="108">
        <f>ABS(AM713-AM$1)</f>
        <v/>
      </c>
      <c r="AB713" s="108">
        <f>ABS(AN713-AN$1)</f>
        <v/>
      </c>
      <c r="AC713" s="108" t="n"/>
      <c r="AD713" s="108" t="n"/>
      <c r="AE713" s="108">
        <f>ABS(AQ$1-AQ713)</f>
        <v/>
      </c>
      <c r="AF713" s="108">
        <f>ABS(AR$1-AR713)</f>
        <v/>
      </c>
      <c r="AG713" s="108">
        <f>ABS(AS$1-AS713)</f>
        <v/>
      </c>
      <c r="AH713" s="108">
        <f>ABS(AT$1-AT713)</f>
        <v/>
      </c>
      <c r="AI713" s="108">
        <f>ABS(AU$1-AU713)</f>
        <v/>
      </c>
      <c r="AJ713" s="108">
        <f>(AV713-Driver!$K$179)/(Driver!$L$179-Driver!$K$179)</f>
        <v/>
      </c>
      <c r="AK713" s="108">
        <f>(AW713-Driver!$K$180)/(Driver!$L$180-Driver!$K$180)</f>
        <v/>
      </c>
      <c r="AL713" s="108">
        <f>(AX713-Driver!$K$181)/(Driver!$L$181-Driver!$K$181)</f>
        <v/>
      </c>
      <c r="AM713" s="108">
        <f>(AY713-Driver!$K$182)/(Driver!$L$182-Driver!$K$182)</f>
        <v/>
      </c>
      <c r="AN713" s="108">
        <f>(AZ713-Driver!$K$183)/(Driver!$L$183-Driver!$K$183)</f>
        <v/>
      </c>
      <c r="AO713" s="108" t="n"/>
      <c r="AP713" s="108" t="n"/>
      <c r="AQ713" s="108">
        <f>(BC713-Driver!$K$188)/(Driver!$L$188-Driver!$K$188)</f>
        <v/>
      </c>
      <c r="AR713" s="108">
        <f>MIN((BD713-Driver!$K$189)/(Driver!$L$189-Driver!$K$189),100%)</f>
        <v/>
      </c>
      <c r="AS713" s="108">
        <f>(BE713-Driver!$K$190)/(Driver!$L$190-Driver!$K$190)</f>
        <v/>
      </c>
      <c r="AT713" s="108">
        <f>(BF713-Driver!$K$191)/(Driver!$L$191-Driver!$K$191)</f>
        <v/>
      </c>
      <c r="AU713" s="108">
        <f>(BG713-Driver!$K$192)/(Driver!$L$192-Driver!$K$192)</f>
        <v/>
      </c>
      <c r="AV713" s="105">
        <f>IFERROR(BM713*BJ713^1/4,"")</f>
        <v/>
      </c>
      <c r="AW713" s="105">
        <f>IFERROR(SUM(AX713:AZ713),"")</f>
        <v/>
      </c>
      <c r="AX713" s="105">
        <f>IFERROR(BH713,"")</f>
        <v/>
      </c>
      <c r="AY713" s="105">
        <f>IFERROR(Driver!$K$19/Data!BH713/Data!BI713*Data!BK713*Data!BL713,"")</f>
        <v/>
      </c>
      <c r="AZ713" s="105">
        <f>IFERROR(BI713*BN713,"")</f>
        <v/>
      </c>
      <c r="BA713" s="105" t="n"/>
      <c r="BB713" s="105" t="n"/>
      <c r="BC713" s="105">
        <f>IFERROR(BI713*BN713*BK713/BJ713^(1/2),"")</f>
        <v/>
      </c>
      <c r="BD713" s="105">
        <f>IFERROR(BH713*BM713*BL713/BJ713/BK713,"")</f>
        <v/>
      </c>
      <c r="BE713" s="105">
        <f>IFERROR(MIN(BI713/BQ713/BP713/BO713/BH713,$BE$1),"")</f>
        <v/>
      </c>
      <c r="BF713" s="105">
        <f>IFERROR(BJ713*BO713*BP713/BK713,"")</f>
        <v/>
      </c>
      <c r="BG713" s="105">
        <f>IFERROR(1/BM713/BH713*BQ713,"")</f>
        <v/>
      </c>
      <c r="BH713" s="102">
        <f>MAX((CE713-Driver!$F$200)/(Driver!$G$200-Driver!$F$200)*$BI$1,1)</f>
        <v/>
      </c>
      <c r="BI713" s="102">
        <f>MAX($BI$1*(BY713-Driver!$F$201)/(Driver!$G$201-Driver!$F$201),1)</f>
        <v/>
      </c>
      <c r="BJ713" s="102">
        <f>(CB713-Driver!$F$206)/(Driver!$G$206-Driver!$F$206)*$BI$1</f>
        <v/>
      </c>
      <c r="BK713" s="102">
        <f>(CD713-Driver!$F$203)/(Driver!$G$203-Driver!$F$203)*$BI$1</f>
        <v/>
      </c>
      <c r="BL713" s="102">
        <f>MAX((CR713-Driver!$F$202)/(Driver!$G$202-Driver!$F$202)*$BI$1,1)</f>
        <v/>
      </c>
      <c r="BM713" s="102">
        <f>MAX((CH713-Driver!$F$204)/(Driver!$G$204-Driver!$F$204)*$BI$1,1)</f>
        <v/>
      </c>
      <c r="BN713" s="102">
        <f>(CI713-Driver!$F$205)/(Driver!$G$205-Driver!$F$205)*$BI$1</f>
        <v/>
      </c>
      <c r="BO713" s="102">
        <f>(CK713-Driver!$F$207)/(Driver!$G$207-Driver!$F$207)*$BI$1</f>
        <v/>
      </c>
      <c r="BP713" s="102">
        <f>(CM713-Driver!$F$208)/(Driver!$G$208-Driver!$F$208)*$BI$1</f>
        <v/>
      </c>
      <c r="BQ713" s="102">
        <f>(CL713-Driver!$F$209)/(Driver!$G$209-Driver!$F$209)*$BI$1</f>
        <v/>
      </c>
      <c r="BR713" s="40" t="inlineStr">
        <is>
          <t>21/22</t>
        </is>
      </c>
      <c r="BS713" s="10" t="inlineStr">
        <is>
          <t xml:space="preserve"> Head</t>
        </is>
      </c>
      <c r="BT713" s="11" t="inlineStr">
        <is>
          <t>V-Shape V10</t>
        </is>
      </c>
      <c r="BU713" s="13" t="n">
        <v>177</v>
      </c>
      <c r="BV713" s="11" t="inlineStr">
        <is>
          <t xml:space="preserve"> Unisex</t>
        </is>
      </c>
      <c r="BW713" s="13" t="n">
        <v>177</v>
      </c>
      <c r="BX713" s="13" t="n">
        <v>176.4</v>
      </c>
      <c r="BY713" s="13" t="n">
        <v>155</v>
      </c>
      <c r="BZ713" s="13" t="n">
        <v>162</v>
      </c>
      <c r="CA713" s="13" t="n">
        <v>138</v>
      </c>
      <c r="CB713" s="13" t="n">
        <v>84</v>
      </c>
      <c r="CC713" s="13" t="n">
        <v>120</v>
      </c>
      <c r="CD713" s="13" t="n">
        <v>14.8</v>
      </c>
      <c r="CE713" s="13" t="n">
        <v>1881</v>
      </c>
      <c r="CF713" s="13" t="n">
        <v>0.9399999999999999</v>
      </c>
      <c r="CG713" s="13" t="n">
        <v>1768</v>
      </c>
      <c r="CH713" s="13" t="n">
        <v>227</v>
      </c>
      <c r="CI713" s="13" t="n">
        <v>66</v>
      </c>
      <c r="CJ713" s="13" t="n">
        <v>39</v>
      </c>
      <c r="CK713" s="13" t="n">
        <v>147</v>
      </c>
      <c r="CL713" s="13" t="n">
        <v>9</v>
      </c>
      <c r="CM713" s="13" t="n">
        <v>68</v>
      </c>
      <c r="CN713" s="13" t="n">
        <v>0.227</v>
      </c>
      <c r="CO713" s="13" t="n">
        <v>85</v>
      </c>
      <c r="CP713" s="13" t="n">
        <v>58</v>
      </c>
      <c r="CQ713" s="13" t="n">
        <v>61</v>
      </c>
      <c r="CR713" s="13" t="n">
        <v>12</v>
      </c>
      <c r="CS713" s="13" t="n">
        <v>13.2</v>
      </c>
      <c r="CT713" s="11" t="inlineStr">
        <is>
          <t xml:space="preserve"> On-Piste Carving</t>
        </is>
      </c>
      <c r="CU713" s="11" t="inlineStr">
        <is>
          <t xml:space="preserve"> Resort Freeride</t>
        </is>
      </c>
      <c r="CV713" s="13" t="n"/>
      <c r="CW713" s="13" t="n"/>
      <c r="CX713">
        <f>INDEX('Data_Price '!AG$2:AG$1266,MATCH(Data!$DN713,'Data_Price '!$AT$2:$AT$1266,0))</f>
        <v/>
      </c>
      <c r="CY713">
        <f>INDEX('Data_Price '!AH$2:AH$1266,MATCH(Data!$DN713,'Data_Price '!$AT$2:$AT$1266,0))</f>
        <v/>
      </c>
      <c r="CZ713">
        <f>INDEX('Data_Price '!AI$2:AI$1266,MATCH(Data!$DN713,'Data_Price '!$AT$2:$AT$1266,0))</f>
        <v/>
      </c>
      <c r="DA713">
        <f>INDEX('Data_Price '!AJ$2:AJ$1266,MATCH(Data!$DN713,'Data_Price '!$AT$2:$AT$1266,0))</f>
        <v/>
      </c>
      <c r="DB713">
        <f>INDEX('Data_Price '!AK$2:AK$1266,MATCH(Data!$DN713,'Data_Price '!$AT$2:$AT$1266,0))</f>
        <v/>
      </c>
      <c r="DC713">
        <f>INDEX('Data_Price '!AL$2:AL$1266,MATCH(Data!$DN713,'Data_Price '!$AT$2:$AT$1266,0))</f>
        <v/>
      </c>
      <c r="DD713">
        <f>INDEX('Data_Price '!AM$2:AM$1266,MATCH(Data!$DN713,'Data_Price '!$AT$2:$AT$1266,0))</f>
        <v/>
      </c>
      <c r="DE713">
        <f>INDEX('Data_Price '!AN$2:AN$1266,MATCH(Data!$DN713,'Data_Price '!$AT$2:$AT$1266,0))</f>
        <v/>
      </c>
      <c r="DF713">
        <f>INDEX('Data_Price '!AO$2:AO$1266,MATCH(Data!$DN713,'Data_Price '!$AT$2:$AT$1266,0))</f>
        <v/>
      </c>
      <c r="DG713">
        <f>INDEX('Data_Price '!AP$2:AP$1266,MATCH(Data!$DN713,'Data_Price '!$AT$2:$AT$1266,0))</f>
        <v/>
      </c>
      <c r="DH713">
        <f>INDEX('Data_Price '!AQ$2:AQ$1266,MATCH(Data!$DN713,'Data_Price '!$AT$2:$AT$1266,0))</f>
        <v/>
      </c>
      <c r="DI713">
        <f>INDEX('Data_Price '!AR$2:AR$1266,MATCH(Data!$DN713,'Data_Price '!$AT$2:$AT$1266,0))</f>
        <v/>
      </c>
      <c r="DJ713" s="138">
        <f>DA713</f>
        <v/>
      </c>
      <c r="DK713" s="138">
        <f>DE713</f>
        <v/>
      </c>
      <c r="DL713" s="138">
        <f>DI713</f>
        <v/>
      </c>
      <c r="DM713" s="303">
        <f>IF(LEFT(BT713,1)=" ",RIGHT(BT713,LEN(BT713)-1),BT713)</f>
        <v/>
      </c>
      <c r="DN713" s="138">
        <f>_xlfn.CONCAT(BS713,DM713,BU713,BV713)</f>
        <v/>
      </c>
      <c r="DO713" s="307" t="n"/>
    </row>
    <row r="714" ht="15.6" customHeight="1" s="184">
      <c r="B714" s="303">
        <f t="array" ref="B714">IF(OR(ISERROR(K714:P714)),FALSE,TRUE)</f>
        <v/>
      </c>
      <c r="C714" s="60">
        <f>OR(BR714=Driver!$G$50,Data!BR193=Driver!$H$50)</f>
        <v/>
      </c>
      <c r="D714" s="60">
        <f>OR(BV714=Driver!$G$51,BV714=Driver!$H$51)</f>
        <v/>
      </c>
      <c r="E714" s="60">
        <f>AND(BX714&gt;Driver!$F$54,BX714&lt;Driver!$G$54)</f>
        <v/>
      </c>
      <c r="F714" s="60">
        <f>CL714&gt;Driver!$F$56</f>
        <v/>
      </c>
      <c r="G714" s="60">
        <f>AND(CB714&gt;Driver!$F$55,CB714&lt;Driver!$G$55)</f>
        <v/>
      </c>
      <c r="H714" s="60">
        <f>AND(B714:G714)</f>
        <v/>
      </c>
      <c r="I714" s="60">
        <f>COUNTIFS($H$9:$H$1273,TRUE,$BT$9:$BT$1273,BT714)</f>
        <v/>
      </c>
      <c r="J714" s="60">
        <f t="array" ref="J714">NOT(OR(($H$9:$H$1273=TRUE)*($I$9:$I$1273&gt;0)*($BT$9:$BT$1273=BT714)*($K$9:$K$1273&gt;K714)))</f>
        <v/>
      </c>
      <c r="K714" s="108">
        <f>IFERROR(1-AVERAGE(X714:Y714),"")</f>
        <v/>
      </c>
      <c r="L714" s="108">
        <f>1-X714</f>
        <v/>
      </c>
      <c r="M714" s="108">
        <f>1-Y714</f>
        <v/>
      </c>
      <c r="N714" s="108">
        <f>1-Z714</f>
        <v/>
      </c>
      <c r="O714" s="108">
        <f>1-AA714</f>
        <v/>
      </c>
      <c r="P714" s="108">
        <f>1-AB714</f>
        <v/>
      </c>
      <c r="Q714" s="108" t="n"/>
      <c r="R714" s="108" t="n"/>
      <c r="S714" s="108">
        <f>1-AE714</f>
        <v/>
      </c>
      <c r="T714" s="108">
        <f>1-AF714</f>
        <v/>
      </c>
      <c r="U714" s="108">
        <f>1-AG714</f>
        <v/>
      </c>
      <c r="V714" s="108">
        <f>1-AH714</f>
        <v/>
      </c>
      <c r="W714" s="108">
        <f>1-AI714</f>
        <v/>
      </c>
      <c r="X714" s="108">
        <f>ABS(AJ714-AJ$1)</f>
        <v/>
      </c>
      <c r="Y714" s="108">
        <f>AVERAGE(Z714:AB714)</f>
        <v/>
      </c>
      <c r="Z714" s="108">
        <f>ABS(AL714-AL$1)</f>
        <v/>
      </c>
      <c r="AA714" s="108">
        <f>ABS(AM714-AM$1)</f>
        <v/>
      </c>
      <c r="AB714" s="108">
        <f>ABS(AN714-AN$1)</f>
        <v/>
      </c>
      <c r="AC714" s="108" t="n"/>
      <c r="AD714" s="108" t="n"/>
      <c r="AE714" s="108">
        <f>ABS(AQ$1-AQ714)</f>
        <v/>
      </c>
      <c r="AF714" s="108">
        <f>ABS(AR$1-AR714)</f>
        <v/>
      </c>
      <c r="AG714" s="108">
        <f>ABS(AS$1-AS714)</f>
        <v/>
      </c>
      <c r="AH714" s="108">
        <f>ABS(AT$1-AT714)</f>
        <v/>
      </c>
      <c r="AI714" s="108">
        <f>ABS(AU$1-AU714)</f>
        <v/>
      </c>
      <c r="AJ714" s="108">
        <f>(AV714-Driver!$K$179)/(Driver!$L$179-Driver!$K$179)</f>
        <v/>
      </c>
      <c r="AK714" s="108">
        <f>(AW714-Driver!$K$180)/(Driver!$L$180-Driver!$K$180)</f>
        <v/>
      </c>
      <c r="AL714" s="108">
        <f>(AX714-Driver!$K$181)/(Driver!$L$181-Driver!$K$181)</f>
        <v/>
      </c>
      <c r="AM714" s="108">
        <f>(AY714-Driver!$K$182)/(Driver!$L$182-Driver!$K$182)</f>
        <v/>
      </c>
      <c r="AN714" s="108">
        <f>(AZ714-Driver!$K$183)/(Driver!$L$183-Driver!$K$183)</f>
        <v/>
      </c>
      <c r="AO714" s="108" t="n"/>
      <c r="AP714" s="108" t="n"/>
      <c r="AQ714" s="108">
        <f>(BC714-Driver!$K$188)/(Driver!$L$188-Driver!$K$188)</f>
        <v/>
      </c>
      <c r="AR714" s="108">
        <f>MIN((BD714-Driver!$K$189)/(Driver!$L$189-Driver!$K$189),100%)</f>
        <v/>
      </c>
      <c r="AS714" s="108">
        <f>(BE714-Driver!$K$190)/(Driver!$L$190-Driver!$K$190)</f>
        <v/>
      </c>
      <c r="AT714" s="108">
        <f>(BF714-Driver!$K$191)/(Driver!$L$191-Driver!$K$191)</f>
        <v/>
      </c>
      <c r="AU714" s="108">
        <f>(BG714-Driver!$K$192)/(Driver!$L$192-Driver!$K$192)</f>
        <v/>
      </c>
      <c r="AV714" s="105">
        <f>IFERROR(BM714*BJ714^1/4,"")</f>
        <v/>
      </c>
      <c r="AW714" s="105">
        <f>IFERROR(SUM(AX714:AZ714),"")</f>
        <v/>
      </c>
      <c r="AX714" s="105">
        <f>IFERROR(BH714,"")</f>
        <v/>
      </c>
      <c r="AY714" s="105">
        <f>IFERROR(Driver!$K$19/Data!BH714/Data!BI714*Data!BK714*Data!BL714,"")</f>
        <v/>
      </c>
      <c r="AZ714" s="105">
        <f>IFERROR(BI714*BN714,"")</f>
        <v/>
      </c>
      <c r="BA714" s="105" t="n"/>
      <c r="BB714" s="105" t="n"/>
      <c r="BC714" s="105">
        <f>IFERROR(BI714*BN714*BK714/BJ714^(1/2),"")</f>
        <v/>
      </c>
      <c r="BD714" s="105">
        <f>IFERROR(BH714*BM714*BL714/BJ714/BK714,"")</f>
        <v/>
      </c>
      <c r="BE714" s="105">
        <f>IFERROR(MIN(BI714/BQ714/BP714/BO714/BH714,$BE$1),"")</f>
        <v/>
      </c>
      <c r="BF714" s="105">
        <f>IFERROR(BJ714*BO714*BP714/BK714,"")</f>
        <v/>
      </c>
      <c r="BG714" s="105">
        <f>IFERROR(1/BM714/BH714*BQ714,"")</f>
        <v/>
      </c>
      <c r="BH714" s="102">
        <f>MAX((CE714-Driver!$F$200)/(Driver!$G$200-Driver!$F$200)*$BI$1,1)</f>
        <v/>
      </c>
      <c r="BI714" s="102">
        <f>MAX($BI$1*(BY714-Driver!$F$201)/(Driver!$G$201-Driver!$F$201),1)</f>
        <v/>
      </c>
      <c r="BJ714" s="102">
        <f>(CB714-Driver!$F$206)/(Driver!$G$206-Driver!$F$206)*$BI$1</f>
        <v/>
      </c>
      <c r="BK714" s="102">
        <f>(CD714-Driver!$F$203)/(Driver!$G$203-Driver!$F$203)*$BI$1</f>
        <v/>
      </c>
      <c r="BL714" s="102">
        <f>MAX((CR714-Driver!$F$202)/(Driver!$G$202-Driver!$F$202)*$BI$1,1)</f>
        <v/>
      </c>
      <c r="BM714" s="102">
        <f>MAX((CH714-Driver!$F$204)/(Driver!$G$204-Driver!$F$204)*$BI$1,1)</f>
        <v/>
      </c>
      <c r="BN714" s="102">
        <f>(CI714-Driver!$F$205)/(Driver!$G$205-Driver!$F$205)*$BI$1</f>
        <v/>
      </c>
      <c r="BO714" s="102">
        <f>(CK714-Driver!$F$207)/(Driver!$G$207-Driver!$F$207)*$BI$1</f>
        <v/>
      </c>
      <c r="BP714" s="102">
        <f>(CM714-Driver!$F$208)/(Driver!$G$208-Driver!$F$208)*$BI$1</f>
        <v/>
      </c>
      <c r="BQ714" s="102">
        <f>(CL714-Driver!$F$209)/(Driver!$G$209-Driver!$F$209)*$BI$1</f>
        <v/>
      </c>
      <c r="BR714" s="40" t="inlineStr">
        <is>
          <t>21/22</t>
        </is>
      </c>
      <c r="BS714" s="10" t="inlineStr">
        <is>
          <t xml:space="preserve"> Atomic</t>
        </is>
      </c>
      <c r="BT714" s="11" t="inlineStr">
        <is>
          <t>Vantage 79 Ti</t>
        </is>
      </c>
      <c r="BU714" s="13" t="n">
        <v>163</v>
      </c>
      <c r="BV714" s="11" t="inlineStr">
        <is>
          <t xml:space="preserve"> Unisex</t>
        </is>
      </c>
      <c r="BW714" s="13" t="n">
        <v>163</v>
      </c>
      <c r="BX714" s="13" t="n">
        <v>162.5</v>
      </c>
      <c r="BY714" s="13" t="n">
        <v>136</v>
      </c>
      <c r="BZ714" s="13" t="n">
        <v>146</v>
      </c>
      <c r="CA714" s="13" t="n">
        <v>118</v>
      </c>
      <c r="CB714" s="13" t="n">
        <v>77</v>
      </c>
      <c r="CC714" s="13" t="n">
        <v>103</v>
      </c>
      <c r="CD714" s="13" t="n">
        <v>15.3</v>
      </c>
      <c r="CE714" s="13" t="n">
        <v>1917</v>
      </c>
      <c r="CF714" s="13" t="n">
        <v>0.77</v>
      </c>
      <c r="CG714" s="13" t="n">
        <v>1469</v>
      </c>
      <c r="CH714" s="13" t="n">
        <v>193</v>
      </c>
      <c r="CI714" s="13" t="n">
        <v>82</v>
      </c>
      <c r="CJ714" s="13" t="n">
        <v>39</v>
      </c>
      <c r="CK714" s="13" t="n">
        <v>179</v>
      </c>
      <c r="CL714" s="13" t="n">
        <v>5</v>
      </c>
      <c r="CM714" s="13" t="n">
        <v>82</v>
      </c>
      <c r="CN714" s="13" t="n">
        <v>0.126</v>
      </c>
      <c r="CO714" s="13" t="n">
        <v>90</v>
      </c>
      <c r="CP714" s="13" t="n">
        <v>72</v>
      </c>
      <c r="CQ714" s="13" t="n">
        <v>89</v>
      </c>
      <c r="CR714" s="13" t="n">
        <v>8</v>
      </c>
      <c r="CS714" s="13" t="n">
        <v>11.4</v>
      </c>
      <c r="CT714" s="11" t="inlineStr">
        <is>
          <t xml:space="preserve"> On-Piste Carving</t>
        </is>
      </c>
      <c r="CU714" s="13" t="n"/>
      <c r="CV714" s="13" t="n"/>
      <c r="CW714" s="13" t="n"/>
      <c r="CX714">
        <f>INDEX('Data_Price '!AG$2:AG$1266,MATCH(Data!$DN714,'Data_Price '!$AT$2:$AT$1266,0))</f>
        <v/>
      </c>
      <c r="CY714">
        <f>INDEX('Data_Price '!AH$2:AH$1266,MATCH(Data!$DN714,'Data_Price '!$AT$2:$AT$1266,0))</f>
        <v/>
      </c>
      <c r="CZ714">
        <f>INDEX('Data_Price '!AI$2:AI$1266,MATCH(Data!$DN714,'Data_Price '!$AT$2:$AT$1266,0))</f>
        <v/>
      </c>
      <c r="DA714">
        <f>INDEX('Data_Price '!AJ$2:AJ$1266,MATCH(Data!$DN714,'Data_Price '!$AT$2:$AT$1266,0))</f>
        <v/>
      </c>
      <c r="DB714">
        <f>INDEX('Data_Price '!AK$2:AK$1266,MATCH(Data!$DN714,'Data_Price '!$AT$2:$AT$1266,0))</f>
        <v/>
      </c>
      <c r="DC714">
        <f>INDEX('Data_Price '!AL$2:AL$1266,MATCH(Data!$DN714,'Data_Price '!$AT$2:$AT$1266,0))</f>
        <v/>
      </c>
      <c r="DD714">
        <f>INDEX('Data_Price '!AM$2:AM$1266,MATCH(Data!$DN714,'Data_Price '!$AT$2:$AT$1266,0))</f>
        <v/>
      </c>
      <c r="DE714">
        <f>INDEX('Data_Price '!AN$2:AN$1266,MATCH(Data!$DN714,'Data_Price '!$AT$2:$AT$1266,0))</f>
        <v/>
      </c>
      <c r="DF714">
        <f>INDEX('Data_Price '!AO$2:AO$1266,MATCH(Data!$DN714,'Data_Price '!$AT$2:$AT$1266,0))</f>
        <v/>
      </c>
      <c r="DG714">
        <f>INDEX('Data_Price '!AP$2:AP$1266,MATCH(Data!$DN714,'Data_Price '!$AT$2:$AT$1266,0))</f>
        <v/>
      </c>
      <c r="DH714">
        <f>INDEX('Data_Price '!AQ$2:AQ$1266,MATCH(Data!$DN714,'Data_Price '!$AT$2:$AT$1266,0))</f>
        <v/>
      </c>
      <c r="DI714">
        <f>INDEX('Data_Price '!AR$2:AR$1266,MATCH(Data!$DN714,'Data_Price '!$AT$2:$AT$1266,0))</f>
        <v/>
      </c>
      <c r="DJ714" s="138">
        <f>DA714</f>
        <v/>
      </c>
      <c r="DK714" s="138">
        <f>DE714</f>
        <v/>
      </c>
      <c r="DL714" s="138">
        <f>DI714</f>
        <v/>
      </c>
      <c r="DM714" s="303">
        <f>IF(LEFT(BT714,1)=" ",RIGHT(BT714,LEN(BT714)-1),BT714)</f>
        <v/>
      </c>
      <c r="DN714" s="138">
        <f>_xlfn.CONCAT(BS714,DM714,BU714,BV714)</f>
        <v/>
      </c>
      <c r="DO714" s="307" t="n"/>
    </row>
    <row r="715" ht="15.6" customHeight="1" s="184">
      <c r="B715" s="303">
        <f t="array" ref="B715">IF(OR(ISERROR(K715:P715)),FALSE,TRUE)</f>
        <v/>
      </c>
      <c r="C715" s="60">
        <f>OR(BR715=Driver!$G$50,Data!BR427=Driver!$H$50)</f>
        <v/>
      </c>
      <c r="D715" s="60">
        <f>OR(BV715=Driver!$G$51,BV715=Driver!$H$51)</f>
        <v/>
      </c>
      <c r="E715" s="60">
        <f>AND(BX715&gt;Driver!$F$54,BX715&lt;Driver!$G$54)</f>
        <v/>
      </c>
      <c r="F715" s="60">
        <f>CL715&gt;Driver!$F$56</f>
        <v/>
      </c>
      <c r="G715" s="60">
        <f>AND(CB715&gt;Driver!$F$55,CB715&lt;Driver!$G$55)</f>
        <v/>
      </c>
      <c r="H715" s="60">
        <f>AND(B715:G715)</f>
        <v/>
      </c>
      <c r="I715" s="60">
        <f>COUNTIFS($H$9:$H$1273,TRUE,$BT$9:$BT$1273,BT715)</f>
        <v/>
      </c>
      <c r="J715" s="60">
        <f t="array" ref="J715">NOT(OR(($H$9:$H$1273=TRUE)*($I$9:$I$1273&gt;0)*($BT$9:$BT$1273=BT715)*($K$9:$K$1273&gt;K715)))</f>
        <v/>
      </c>
      <c r="K715" s="108">
        <f>IFERROR(1-AVERAGE(X715:Y715),"")</f>
        <v/>
      </c>
      <c r="L715" s="108">
        <f>1-X715</f>
        <v/>
      </c>
      <c r="M715" s="108">
        <f>1-Y715</f>
        <v/>
      </c>
      <c r="N715" s="108">
        <f>1-Z715</f>
        <v/>
      </c>
      <c r="O715" s="108">
        <f>1-AA715</f>
        <v/>
      </c>
      <c r="P715" s="108">
        <f>1-AB715</f>
        <v/>
      </c>
      <c r="Q715" s="108" t="n"/>
      <c r="R715" s="108" t="n"/>
      <c r="S715" s="108">
        <f>1-AE715</f>
        <v/>
      </c>
      <c r="T715" s="108">
        <f>1-AF715</f>
        <v/>
      </c>
      <c r="U715" s="108">
        <f>1-AG715</f>
        <v/>
      </c>
      <c r="V715" s="108">
        <f>1-AH715</f>
        <v/>
      </c>
      <c r="W715" s="108">
        <f>1-AI715</f>
        <v/>
      </c>
      <c r="X715" s="108">
        <f>ABS(AJ715-AJ$1)</f>
        <v/>
      </c>
      <c r="Y715" s="108">
        <f>AVERAGE(Z715:AB715)</f>
        <v/>
      </c>
      <c r="Z715" s="108">
        <f>ABS(AL715-AL$1)</f>
        <v/>
      </c>
      <c r="AA715" s="108">
        <f>ABS(AM715-AM$1)</f>
        <v/>
      </c>
      <c r="AB715" s="108">
        <f>ABS(AN715-AN$1)</f>
        <v/>
      </c>
      <c r="AC715" s="108" t="n"/>
      <c r="AD715" s="108" t="n"/>
      <c r="AE715" s="108">
        <f>ABS(AQ$1-AQ715)</f>
        <v/>
      </c>
      <c r="AF715" s="108">
        <f>ABS(AR$1-AR715)</f>
        <v/>
      </c>
      <c r="AG715" s="108">
        <f>ABS(AS$1-AS715)</f>
        <v/>
      </c>
      <c r="AH715" s="108">
        <f>ABS(AT$1-AT715)</f>
        <v/>
      </c>
      <c r="AI715" s="108">
        <f>ABS(AU$1-AU715)</f>
        <v/>
      </c>
      <c r="AJ715" s="108">
        <f>(AV715-Driver!$K$179)/(Driver!$L$179-Driver!$K$179)</f>
        <v/>
      </c>
      <c r="AK715" s="108">
        <f>(AW715-Driver!$K$180)/(Driver!$L$180-Driver!$K$180)</f>
        <v/>
      </c>
      <c r="AL715" s="108">
        <f>(AX715-Driver!$K$181)/(Driver!$L$181-Driver!$K$181)</f>
        <v/>
      </c>
      <c r="AM715" s="108">
        <f>(AY715-Driver!$K$182)/(Driver!$L$182-Driver!$K$182)</f>
        <v/>
      </c>
      <c r="AN715" s="108">
        <f>(AZ715-Driver!$K$183)/(Driver!$L$183-Driver!$K$183)</f>
        <v/>
      </c>
      <c r="AO715" s="108" t="n"/>
      <c r="AP715" s="108" t="n"/>
      <c r="AQ715" s="108">
        <f>(BC715-Driver!$K$188)/(Driver!$L$188-Driver!$K$188)</f>
        <v/>
      </c>
      <c r="AR715" s="108">
        <f>MIN((BD715-Driver!$K$189)/(Driver!$L$189-Driver!$K$189),100%)</f>
        <v/>
      </c>
      <c r="AS715" s="108">
        <f>(BE715-Driver!$K$190)/(Driver!$L$190-Driver!$K$190)</f>
        <v/>
      </c>
      <c r="AT715" s="108">
        <f>(BF715-Driver!$K$191)/(Driver!$L$191-Driver!$K$191)</f>
        <v/>
      </c>
      <c r="AU715" s="108">
        <f>(BG715-Driver!$K$192)/(Driver!$L$192-Driver!$K$192)</f>
        <v/>
      </c>
      <c r="AV715" s="105">
        <f>IFERROR(BM715*BJ715^1/4,"")</f>
        <v/>
      </c>
      <c r="AW715" s="105">
        <f>IFERROR(SUM(AX715:AZ715),"")</f>
        <v/>
      </c>
      <c r="AX715" s="105">
        <f>IFERROR(BH715,"")</f>
        <v/>
      </c>
      <c r="AY715" s="105">
        <f>IFERROR(Driver!$K$19/Data!BH715/Data!BI715*Data!BK715*Data!BL715,"")</f>
        <v/>
      </c>
      <c r="AZ715" s="105">
        <f>IFERROR(BI715*BN715,"")</f>
        <v/>
      </c>
      <c r="BA715" s="105" t="n"/>
      <c r="BB715" s="105" t="n"/>
      <c r="BC715" s="105">
        <f>IFERROR(BI715*BN715*BK715/BJ715^(1/2),"")</f>
        <v/>
      </c>
      <c r="BD715" s="105">
        <f>IFERROR(BH715*BM715*BL715/BJ715/BK715,"")</f>
        <v/>
      </c>
      <c r="BE715" s="105">
        <f>IFERROR(MIN(BI715/BQ715/BP715/BO715/BH715,$BE$1),"")</f>
        <v/>
      </c>
      <c r="BF715" s="105">
        <f>IFERROR(BJ715*BO715*BP715/BK715,"")</f>
        <v/>
      </c>
      <c r="BG715" s="105">
        <f>IFERROR(1/BM715/BH715*BQ715,"")</f>
        <v/>
      </c>
      <c r="BH715" s="102">
        <f>MAX((CE715-Driver!$F$200)/(Driver!$G$200-Driver!$F$200)*$BI$1,1)</f>
        <v/>
      </c>
      <c r="BI715" s="102">
        <f>MAX($BI$1*(BY715-Driver!$F$201)/(Driver!$G$201-Driver!$F$201),1)</f>
        <v/>
      </c>
      <c r="BJ715" s="102">
        <f>(CB715-Driver!$F$206)/(Driver!$G$206-Driver!$F$206)*$BI$1</f>
        <v/>
      </c>
      <c r="BK715" s="102">
        <f>(CD715-Driver!$F$203)/(Driver!$G$203-Driver!$F$203)*$BI$1</f>
        <v/>
      </c>
      <c r="BL715" s="102">
        <f>MAX((CR715-Driver!$F$202)/(Driver!$G$202-Driver!$F$202)*$BI$1,1)</f>
        <v/>
      </c>
      <c r="BM715" s="102">
        <f>MAX((CH715-Driver!$F$204)/(Driver!$G$204-Driver!$F$204)*$BI$1,1)</f>
        <v/>
      </c>
      <c r="BN715" s="102">
        <f>(CI715-Driver!$F$205)/(Driver!$G$205-Driver!$F$205)*$BI$1</f>
        <v/>
      </c>
      <c r="BO715" s="102">
        <f>(CK715-Driver!$F$207)/(Driver!$G$207-Driver!$F$207)*$BI$1</f>
        <v/>
      </c>
      <c r="BP715" s="102">
        <f>(CM715-Driver!$F$208)/(Driver!$G$208-Driver!$F$208)*$BI$1</f>
        <v/>
      </c>
      <c r="BQ715" s="102">
        <f>(CL715-Driver!$F$209)/(Driver!$G$209-Driver!$F$209)*$BI$1</f>
        <v/>
      </c>
      <c r="BR715" s="40" t="inlineStr">
        <is>
          <t>21/22</t>
        </is>
      </c>
      <c r="BS715" s="10" t="inlineStr">
        <is>
          <t xml:space="preserve"> Elan</t>
        </is>
      </c>
      <c r="BT715" s="11" t="inlineStr">
        <is>
          <t xml:space="preserve"> Amphibio STI</t>
        </is>
      </c>
      <c r="BU715" s="13" t="n">
        <v>160</v>
      </c>
      <c r="BV715" s="11" t="inlineStr">
        <is>
          <t xml:space="preserve"> Unisex</t>
        </is>
      </c>
      <c r="BW715" s="13" t="n">
        <v>160</v>
      </c>
      <c r="BX715" s="13" t="n">
        <v>159</v>
      </c>
      <c r="BY715" s="13" t="n">
        <v>138</v>
      </c>
      <c r="BZ715" s="13" t="n">
        <v>145</v>
      </c>
      <c r="CA715" s="13" t="n">
        <v>126</v>
      </c>
      <c r="CB715" s="13" t="n">
        <v>75</v>
      </c>
      <c r="CC715" s="13" t="n">
        <v>104</v>
      </c>
      <c r="CD715" s="13" t="n">
        <v>12.9</v>
      </c>
      <c r="CE715" s="13" t="n">
        <v>1562</v>
      </c>
      <c r="CF715" s="13" t="n">
        <v>0.92</v>
      </c>
      <c r="CG715" s="13" t="n">
        <v>1434</v>
      </c>
      <c r="CH715" s="13" t="n">
        <v>153</v>
      </c>
      <c r="CI715" s="13" t="n">
        <v>71</v>
      </c>
      <c r="CJ715" s="13" t="n">
        <v>40</v>
      </c>
      <c r="CK715" s="13" t="n">
        <v>146</v>
      </c>
      <c r="CL715" s="13" t="n">
        <v>6</v>
      </c>
      <c r="CM715" s="13" t="n">
        <v>62</v>
      </c>
      <c r="CN715" s="13" t="n">
        <v>0.154</v>
      </c>
      <c r="CO715" s="13" t="n">
        <v>95</v>
      </c>
      <c r="CP715" s="13" t="n">
        <v>49</v>
      </c>
      <c r="CQ715" s="13" t="n">
        <v>51</v>
      </c>
      <c r="CR715" s="13" t="n">
        <v>11</v>
      </c>
      <c r="CS715" s="13" t="n">
        <v>10</v>
      </c>
      <c r="CT715" s="11" t="inlineStr">
        <is>
          <t xml:space="preserve"> On-Piste Carving</t>
        </is>
      </c>
      <c r="CU715" s="13" t="n"/>
      <c r="CV715" s="13" t="n"/>
      <c r="CW715" s="13" t="n"/>
      <c r="CX715">
        <f>INDEX('Data_Price '!AG$2:AG$1266,MATCH(Data!$DN715,'Data_Price '!$AT$2:$AT$1266,0))</f>
        <v/>
      </c>
      <c r="CY715">
        <f>INDEX('Data_Price '!AH$2:AH$1266,MATCH(Data!$DN715,'Data_Price '!$AT$2:$AT$1266,0))</f>
        <v/>
      </c>
      <c r="CZ715">
        <f>INDEX('Data_Price '!AI$2:AI$1266,MATCH(Data!$DN715,'Data_Price '!$AT$2:$AT$1266,0))</f>
        <v/>
      </c>
      <c r="DA715">
        <f>INDEX('Data_Price '!AJ$2:AJ$1266,MATCH(Data!$DN715,'Data_Price '!$AT$2:$AT$1266,0))</f>
        <v/>
      </c>
      <c r="DB715">
        <f>INDEX('Data_Price '!AK$2:AK$1266,MATCH(Data!$DN715,'Data_Price '!$AT$2:$AT$1266,0))</f>
        <v/>
      </c>
      <c r="DC715">
        <f>INDEX('Data_Price '!AL$2:AL$1266,MATCH(Data!$DN715,'Data_Price '!$AT$2:$AT$1266,0))</f>
        <v/>
      </c>
      <c r="DD715">
        <f>INDEX('Data_Price '!AM$2:AM$1266,MATCH(Data!$DN715,'Data_Price '!$AT$2:$AT$1266,0))</f>
        <v/>
      </c>
      <c r="DE715">
        <f>INDEX('Data_Price '!AN$2:AN$1266,MATCH(Data!$DN715,'Data_Price '!$AT$2:$AT$1266,0))</f>
        <v/>
      </c>
      <c r="DF715">
        <f>INDEX('Data_Price '!AO$2:AO$1266,MATCH(Data!$DN715,'Data_Price '!$AT$2:$AT$1266,0))</f>
        <v/>
      </c>
      <c r="DG715">
        <f>INDEX('Data_Price '!AP$2:AP$1266,MATCH(Data!$DN715,'Data_Price '!$AT$2:$AT$1266,0))</f>
        <v/>
      </c>
      <c r="DH715">
        <f>INDEX('Data_Price '!AQ$2:AQ$1266,MATCH(Data!$DN715,'Data_Price '!$AT$2:$AT$1266,0))</f>
        <v/>
      </c>
      <c r="DI715">
        <f>INDEX('Data_Price '!AR$2:AR$1266,MATCH(Data!$DN715,'Data_Price '!$AT$2:$AT$1266,0))</f>
        <v/>
      </c>
      <c r="DJ715" s="138">
        <f>DA715</f>
        <v/>
      </c>
      <c r="DK715" s="138">
        <f>DE715</f>
        <v/>
      </c>
      <c r="DL715" s="138">
        <f>DI715</f>
        <v/>
      </c>
      <c r="DM715" s="303">
        <f>IF(LEFT(BT715,1)=" ",RIGHT(BT715,LEN(BT715)-1),BT715)</f>
        <v/>
      </c>
      <c r="DN715" s="138">
        <f>_xlfn.CONCAT(BS715,DM715,BU715,BV715)</f>
        <v/>
      </c>
      <c r="DO715" s="307" t="n"/>
    </row>
    <row r="716" ht="15.6" customHeight="1" s="184">
      <c r="B716" s="303">
        <f t="array" ref="B716">IF(OR(ISERROR(K716:P716)),FALSE,TRUE)</f>
        <v/>
      </c>
      <c r="C716" s="60">
        <f>OR(BR716=Driver!$G$50,Data!BR935=Driver!$H$50)</f>
        <v/>
      </c>
      <c r="D716" s="60">
        <f>OR(BV716=Driver!$G$51,BV716=Driver!$H$51)</f>
        <v/>
      </c>
      <c r="E716" s="60">
        <f>AND(BX716&gt;Driver!$F$54,BX716&lt;Driver!$G$54)</f>
        <v/>
      </c>
      <c r="F716" s="60">
        <f>CL716&gt;Driver!$F$56</f>
        <v/>
      </c>
      <c r="G716" s="60">
        <f>AND(CB716&gt;Driver!$F$55,CB716&lt;Driver!$G$55)</f>
        <v/>
      </c>
      <c r="H716" s="60">
        <f>AND(B716:G716)</f>
        <v/>
      </c>
      <c r="I716" s="60">
        <f>COUNTIFS($H$9:$H$1273,TRUE,$BT$9:$BT$1273,BT716)</f>
        <v/>
      </c>
      <c r="J716" s="60">
        <f t="array" ref="J716">NOT(OR(($H$9:$H$1273=TRUE)*($I$9:$I$1273&gt;0)*($BT$9:$BT$1273=BT716)*($K$9:$K$1273&gt;K716)))</f>
        <v/>
      </c>
      <c r="K716" s="108">
        <f>IFERROR(1-AVERAGE(X716:Y716),"")</f>
        <v/>
      </c>
      <c r="L716" s="108">
        <f>1-X716</f>
        <v/>
      </c>
      <c r="M716" s="108">
        <f>1-Y716</f>
        <v/>
      </c>
      <c r="N716" s="108">
        <f>1-Z716</f>
        <v/>
      </c>
      <c r="O716" s="108">
        <f>1-AA716</f>
        <v/>
      </c>
      <c r="P716" s="108">
        <f>1-AB716</f>
        <v/>
      </c>
      <c r="Q716" s="108" t="n"/>
      <c r="R716" s="108" t="n"/>
      <c r="S716" s="108">
        <f>1-AE716</f>
        <v/>
      </c>
      <c r="T716" s="108">
        <f>1-AF716</f>
        <v/>
      </c>
      <c r="U716" s="108">
        <f>1-AG716</f>
        <v/>
      </c>
      <c r="V716" s="108">
        <f>1-AH716</f>
        <v/>
      </c>
      <c r="W716" s="108">
        <f>1-AI716</f>
        <v/>
      </c>
      <c r="X716" s="108">
        <f>ABS(AJ716-AJ$1)</f>
        <v/>
      </c>
      <c r="Y716" s="108">
        <f>AVERAGE(Z716:AB716)</f>
        <v/>
      </c>
      <c r="Z716" s="108">
        <f>ABS(AL716-AL$1)</f>
        <v/>
      </c>
      <c r="AA716" s="108">
        <f>ABS(AM716-AM$1)</f>
        <v/>
      </c>
      <c r="AB716" s="108">
        <f>ABS(AN716-AN$1)</f>
        <v/>
      </c>
      <c r="AC716" s="108" t="n"/>
      <c r="AD716" s="108" t="n"/>
      <c r="AE716" s="108">
        <f>ABS(AQ$1-AQ716)</f>
        <v/>
      </c>
      <c r="AF716" s="108">
        <f>ABS(AR$1-AR716)</f>
        <v/>
      </c>
      <c r="AG716" s="108">
        <f>ABS(AS$1-AS716)</f>
        <v/>
      </c>
      <c r="AH716" s="108">
        <f>ABS(AT$1-AT716)</f>
        <v/>
      </c>
      <c r="AI716" s="108">
        <f>ABS(AU$1-AU716)</f>
        <v/>
      </c>
      <c r="AJ716" s="108">
        <f>(AV716-Driver!$K$179)/(Driver!$L$179-Driver!$K$179)</f>
        <v/>
      </c>
      <c r="AK716" s="108">
        <f>(AW716-Driver!$K$180)/(Driver!$L$180-Driver!$K$180)</f>
        <v/>
      </c>
      <c r="AL716" s="108">
        <f>(AX716-Driver!$K$181)/(Driver!$L$181-Driver!$K$181)</f>
        <v/>
      </c>
      <c r="AM716" s="108">
        <f>(AY716-Driver!$K$182)/(Driver!$L$182-Driver!$K$182)</f>
        <v/>
      </c>
      <c r="AN716" s="108">
        <f>(AZ716-Driver!$K$183)/(Driver!$L$183-Driver!$K$183)</f>
        <v/>
      </c>
      <c r="AO716" s="108" t="n"/>
      <c r="AP716" s="108" t="n"/>
      <c r="AQ716" s="108">
        <f>(BC716-Driver!$K$188)/(Driver!$L$188-Driver!$K$188)</f>
        <v/>
      </c>
      <c r="AR716" s="108">
        <f>MIN((BD716-Driver!$K$189)/(Driver!$L$189-Driver!$K$189),100%)</f>
        <v/>
      </c>
      <c r="AS716" s="108">
        <f>(BE716-Driver!$K$190)/(Driver!$L$190-Driver!$K$190)</f>
        <v/>
      </c>
      <c r="AT716" s="108">
        <f>(BF716-Driver!$K$191)/(Driver!$L$191-Driver!$K$191)</f>
        <v/>
      </c>
      <c r="AU716" s="108">
        <f>(BG716-Driver!$K$192)/(Driver!$L$192-Driver!$K$192)</f>
        <v/>
      </c>
      <c r="AV716" s="105">
        <f>IFERROR(BM716*BJ716^1/4,"")</f>
        <v/>
      </c>
      <c r="AW716" s="105">
        <f>IFERROR(SUM(AX716:AZ716),"")</f>
        <v/>
      </c>
      <c r="AX716" s="105">
        <f>IFERROR(BH716,"")</f>
        <v/>
      </c>
      <c r="AY716" s="105">
        <f>IFERROR(Driver!$K$19/Data!BH716/Data!BI716*Data!BK716*Data!BL716,"")</f>
        <v/>
      </c>
      <c r="AZ716" s="105">
        <f>IFERROR(BI716*BN716,"")</f>
        <v/>
      </c>
      <c r="BA716" s="105" t="n"/>
      <c r="BB716" s="105" t="n"/>
      <c r="BC716" s="105">
        <f>IFERROR(BI716*BN716*BK716/BJ716^(1/2),"")</f>
        <v/>
      </c>
      <c r="BD716" s="105">
        <f>IFERROR(BH716*BM716*BL716/BJ716/BK716,"")</f>
        <v/>
      </c>
      <c r="BE716" s="105">
        <f>IFERROR(MIN(BI716/BQ716/BP716/BO716/BH716,$BE$1),"")</f>
        <v/>
      </c>
      <c r="BF716" s="105">
        <f>IFERROR(BJ716*BO716*BP716/BK716,"")</f>
        <v/>
      </c>
      <c r="BG716" s="105">
        <f>IFERROR(1/BM716/BH716*BQ716,"")</f>
        <v/>
      </c>
      <c r="BH716" s="102">
        <f>MAX((CE716-Driver!$F$200)/(Driver!$G$200-Driver!$F$200)*$BI$1,1)</f>
        <v/>
      </c>
      <c r="BI716" s="102">
        <f>MAX($BI$1*(BY716-Driver!$F$201)/(Driver!$G$201-Driver!$F$201),1)</f>
        <v/>
      </c>
      <c r="BJ716" s="102">
        <f>(CB716-Driver!$F$206)/(Driver!$G$206-Driver!$F$206)*$BI$1</f>
        <v/>
      </c>
      <c r="BK716" s="102">
        <f>(CD716-Driver!$F$203)/(Driver!$G$203-Driver!$F$203)*$BI$1</f>
        <v/>
      </c>
      <c r="BL716" s="102">
        <f>MAX((CR716-Driver!$F$202)/(Driver!$G$202-Driver!$F$202)*$BI$1,1)</f>
        <v/>
      </c>
      <c r="BM716" s="102">
        <f>MAX((CH716-Driver!$F$204)/(Driver!$G$204-Driver!$F$204)*$BI$1,1)</f>
        <v/>
      </c>
      <c r="BN716" s="102">
        <f>(CI716-Driver!$F$205)/(Driver!$G$205-Driver!$F$205)*$BI$1</f>
        <v/>
      </c>
      <c r="BO716" s="102">
        <f>(CK716-Driver!$F$207)/(Driver!$G$207-Driver!$F$207)*$BI$1</f>
        <v/>
      </c>
      <c r="BP716" s="102">
        <f>(CM716-Driver!$F$208)/(Driver!$G$208-Driver!$F$208)*$BI$1</f>
        <v/>
      </c>
      <c r="BQ716" s="102">
        <f>(CL716-Driver!$F$209)/(Driver!$G$209-Driver!$F$209)*$BI$1</f>
        <v/>
      </c>
      <c r="BR716" s="40" t="inlineStr">
        <is>
          <t>21/22</t>
        </is>
      </c>
      <c r="BS716" s="10" t="inlineStr">
        <is>
          <t xml:space="preserve"> Nordica</t>
        </is>
      </c>
      <c r="BT716" s="11" t="inlineStr">
        <is>
          <t>Soul Rider 87</t>
        </is>
      </c>
      <c r="BU716" s="13" t="n">
        <v>169</v>
      </c>
      <c r="BV716" s="11" t="inlineStr">
        <is>
          <t xml:space="preserve"> Unisex</t>
        </is>
      </c>
      <c r="BW716" s="13" t="n">
        <v>169</v>
      </c>
      <c r="BX716" s="13" t="n">
        <v>167.6</v>
      </c>
      <c r="BY716" s="13" t="n">
        <v>133</v>
      </c>
      <c r="BZ716" s="13" t="n">
        <v>145</v>
      </c>
      <c r="CA716" s="13" t="n">
        <v>123</v>
      </c>
      <c r="CB716" s="13" t="n">
        <v>86</v>
      </c>
      <c r="CC716" s="13" t="n">
        <v>113</v>
      </c>
      <c r="CD716" s="13" t="n">
        <v>15.3</v>
      </c>
      <c r="CE716" s="13" t="n">
        <v>1841</v>
      </c>
      <c r="CF716" s="13" t="n">
        <v>0.9</v>
      </c>
      <c r="CG716" s="13" t="n">
        <v>1654</v>
      </c>
      <c r="CH716" s="13" t="n">
        <v>156</v>
      </c>
      <c r="CI716" s="13" t="n">
        <v>77</v>
      </c>
      <c r="CJ716" s="13" t="n">
        <v>46</v>
      </c>
      <c r="CK716" s="13" t="n">
        <v>174</v>
      </c>
      <c r="CL716" s="13" t="n">
        <v>44</v>
      </c>
      <c r="CM716" s="13" t="n">
        <v>176</v>
      </c>
      <c r="CN716" s="13" t="n">
        <v>0.957</v>
      </c>
      <c r="CO716" s="13" t="n">
        <v>106</v>
      </c>
      <c r="CP716" s="13" t="n">
        <v>122</v>
      </c>
      <c r="CQ716" s="13" t="n">
        <v>67</v>
      </c>
      <c r="CR716" s="13" t="n">
        <v>12</v>
      </c>
      <c r="CS716" s="13" t="n">
        <v>5.2</v>
      </c>
      <c r="CT716" s="11" t="inlineStr">
        <is>
          <t xml:space="preserve"> Freeski</t>
        </is>
      </c>
      <c r="CU716" s="13" t="n"/>
      <c r="CV716" s="13" t="n"/>
      <c r="CW716" s="13" t="n"/>
      <c r="CX716">
        <f>INDEX('Data_Price '!AG$2:AG$1266,MATCH(Data!$DN716,'Data_Price '!$AT$2:$AT$1266,0))</f>
        <v/>
      </c>
      <c r="CY716">
        <f>INDEX('Data_Price '!AH$2:AH$1266,MATCH(Data!$DN716,'Data_Price '!$AT$2:$AT$1266,0))</f>
        <v/>
      </c>
      <c r="CZ716">
        <f>INDEX('Data_Price '!AI$2:AI$1266,MATCH(Data!$DN716,'Data_Price '!$AT$2:$AT$1266,0))</f>
        <v/>
      </c>
      <c r="DA716">
        <f>INDEX('Data_Price '!AJ$2:AJ$1266,MATCH(Data!$DN716,'Data_Price '!$AT$2:$AT$1266,0))</f>
        <v/>
      </c>
      <c r="DB716">
        <f>INDEX('Data_Price '!AK$2:AK$1266,MATCH(Data!$DN716,'Data_Price '!$AT$2:$AT$1266,0))</f>
        <v/>
      </c>
      <c r="DC716">
        <f>INDEX('Data_Price '!AL$2:AL$1266,MATCH(Data!$DN716,'Data_Price '!$AT$2:$AT$1266,0))</f>
        <v/>
      </c>
      <c r="DD716">
        <f>INDEX('Data_Price '!AM$2:AM$1266,MATCH(Data!$DN716,'Data_Price '!$AT$2:$AT$1266,0))</f>
        <v/>
      </c>
      <c r="DE716">
        <f>INDEX('Data_Price '!AN$2:AN$1266,MATCH(Data!$DN716,'Data_Price '!$AT$2:$AT$1266,0))</f>
        <v/>
      </c>
      <c r="DF716">
        <f>INDEX('Data_Price '!AO$2:AO$1266,MATCH(Data!$DN716,'Data_Price '!$AT$2:$AT$1266,0))</f>
        <v/>
      </c>
      <c r="DG716">
        <f>INDEX('Data_Price '!AP$2:AP$1266,MATCH(Data!$DN716,'Data_Price '!$AT$2:$AT$1266,0))</f>
        <v/>
      </c>
      <c r="DH716">
        <f>INDEX('Data_Price '!AQ$2:AQ$1266,MATCH(Data!$DN716,'Data_Price '!$AT$2:$AT$1266,0))</f>
        <v/>
      </c>
      <c r="DI716">
        <f>INDEX('Data_Price '!AR$2:AR$1266,MATCH(Data!$DN716,'Data_Price '!$AT$2:$AT$1266,0))</f>
        <v/>
      </c>
      <c r="DJ716" s="138">
        <f>DA716</f>
        <v/>
      </c>
      <c r="DK716" s="138">
        <f>DE716</f>
        <v/>
      </c>
      <c r="DL716" s="138">
        <f>DI716</f>
        <v/>
      </c>
      <c r="DM716" s="303">
        <f>IF(LEFT(BT716,1)=" ",RIGHT(BT716,LEN(BT716)-1),BT716)</f>
        <v/>
      </c>
      <c r="DN716" s="138">
        <f>_xlfn.CONCAT(BS716,DM716,BU716,BV716)</f>
        <v/>
      </c>
      <c r="DO716" s="307" t="n"/>
    </row>
    <row r="717" ht="15.6" customHeight="1" s="184">
      <c r="B717" s="303">
        <f t="array" ref="B717">IF(OR(ISERROR(K717:P717)),FALSE,TRUE)</f>
        <v/>
      </c>
      <c r="C717" s="60">
        <f>OR(BR717=Driver!$G$50,Data!BR44=Driver!$H$50)</f>
        <v/>
      </c>
      <c r="D717" s="60">
        <f>OR(BV717=Driver!$G$51,BV717=Driver!$H$51)</f>
        <v/>
      </c>
      <c r="E717" s="60">
        <f>AND(BX717&gt;Driver!$F$54,BX717&lt;Driver!$G$54)</f>
        <v/>
      </c>
      <c r="F717" s="60">
        <f>CL717&gt;Driver!$F$56</f>
        <v/>
      </c>
      <c r="G717" s="60">
        <f>AND(CB717&gt;Driver!$F$55,CB717&lt;Driver!$G$55)</f>
        <v/>
      </c>
      <c r="H717" s="60">
        <f>AND(B717:G717)</f>
        <v/>
      </c>
      <c r="I717" s="60">
        <f>COUNTIFS($H$9:$H$1273,TRUE,$BT$9:$BT$1273,BT717)</f>
        <v/>
      </c>
      <c r="J717" s="60">
        <f t="array" ref="J717">NOT(OR(($H$9:$H$1273=TRUE)*($I$9:$I$1273&gt;0)*($BT$9:$BT$1273=BT717)*($K$9:$K$1273&gt;K717)))</f>
        <v/>
      </c>
      <c r="K717" s="108">
        <f>IFERROR(1-AVERAGE(X717:Y717),"")</f>
        <v/>
      </c>
      <c r="L717" s="108">
        <f>1-X717</f>
        <v/>
      </c>
      <c r="M717" s="108">
        <f>1-Y717</f>
        <v/>
      </c>
      <c r="N717" s="108">
        <f>1-Z717</f>
        <v/>
      </c>
      <c r="O717" s="108">
        <f>1-AA717</f>
        <v/>
      </c>
      <c r="P717" s="108">
        <f>1-AB717</f>
        <v/>
      </c>
      <c r="Q717" s="108" t="n"/>
      <c r="R717" s="108" t="n"/>
      <c r="S717" s="108">
        <f>1-AE717</f>
        <v/>
      </c>
      <c r="T717" s="108">
        <f>1-AF717</f>
        <v/>
      </c>
      <c r="U717" s="108">
        <f>1-AG717</f>
        <v/>
      </c>
      <c r="V717" s="108">
        <f>1-AH717</f>
        <v/>
      </c>
      <c r="W717" s="108">
        <f>1-AI717</f>
        <v/>
      </c>
      <c r="X717" s="108">
        <f>ABS(AJ717-AJ$1)</f>
        <v/>
      </c>
      <c r="Y717" s="108">
        <f>AVERAGE(Z717:AB717)</f>
        <v/>
      </c>
      <c r="Z717" s="108">
        <f>ABS(AL717-AL$1)</f>
        <v/>
      </c>
      <c r="AA717" s="108">
        <f>ABS(AM717-AM$1)</f>
        <v/>
      </c>
      <c r="AB717" s="108">
        <f>ABS(AN717-AN$1)</f>
        <v/>
      </c>
      <c r="AC717" s="108" t="n"/>
      <c r="AD717" s="108" t="n"/>
      <c r="AE717" s="108">
        <f>ABS(AQ$1-AQ717)</f>
        <v/>
      </c>
      <c r="AF717" s="108">
        <f>ABS(AR$1-AR717)</f>
        <v/>
      </c>
      <c r="AG717" s="108">
        <f>ABS(AS$1-AS717)</f>
        <v/>
      </c>
      <c r="AH717" s="108">
        <f>ABS(AT$1-AT717)</f>
        <v/>
      </c>
      <c r="AI717" s="108">
        <f>ABS(AU$1-AU717)</f>
        <v/>
      </c>
      <c r="AJ717" s="108">
        <f>(AV717-Driver!$K$179)/(Driver!$L$179-Driver!$K$179)</f>
        <v/>
      </c>
      <c r="AK717" s="108">
        <f>(AW717-Driver!$K$180)/(Driver!$L$180-Driver!$K$180)</f>
        <v/>
      </c>
      <c r="AL717" s="108">
        <f>(AX717-Driver!$K$181)/(Driver!$L$181-Driver!$K$181)</f>
        <v/>
      </c>
      <c r="AM717" s="108">
        <f>(AY717-Driver!$K$182)/(Driver!$L$182-Driver!$K$182)</f>
        <v/>
      </c>
      <c r="AN717" s="108">
        <f>(AZ717-Driver!$K$183)/(Driver!$L$183-Driver!$K$183)</f>
        <v/>
      </c>
      <c r="AO717" s="108" t="n"/>
      <c r="AP717" s="108" t="n"/>
      <c r="AQ717" s="108">
        <f>(BC717-Driver!$K$188)/(Driver!$L$188-Driver!$K$188)</f>
        <v/>
      </c>
      <c r="AR717" s="108">
        <f>MIN((BD717-Driver!$K$189)/(Driver!$L$189-Driver!$K$189),100%)</f>
        <v/>
      </c>
      <c r="AS717" s="108">
        <f>(BE717-Driver!$K$190)/(Driver!$L$190-Driver!$K$190)</f>
        <v/>
      </c>
      <c r="AT717" s="108">
        <f>(BF717-Driver!$K$191)/(Driver!$L$191-Driver!$K$191)</f>
        <v/>
      </c>
      <c r="AU717" s="108">
        <f>(BG717-Driver!$K$192)/(Driver!$L$192-Driver!$K$192)</f>
        <v/>
      </c>
      <c r="AV717" s="105">
        <f>IFERROR(BM717*BJ717^1/4,"")</f>
        <v/>
      </c>
      <c r="AW717" s="105">
        <f>IFERROR(SUM(AX717:AZ717),"")</f>
        <v/>
      </c>
      <c r="AX717" s="105">
        <f>IFERROR(BH717,"")</f>
        <v/>
      </c>
      <c r="AY717" s="105">
        <f>IFERROR(Driver!$K$19/Data!BH717/Data!BI717*Data!BK717*Data!BL717,"")</f>
        <v/>
      </c>
      <c r="AZ717" s="105">
        <f>IFERROR(BI717*BN717,"")</f>
        <v/>
      </c>
      <c r="BA717" s="105" t="n"/>
      <c r="BB717" s="105" t="n"/>
      <c r="BC717" s="105">
        <f>IFERROR(BI717*BN717*BK717/BJ717^(1/2),"")</f>
        <v/>
      </c>
      <c r="BD717" s="105">
        <f>IFERROR(BH717*BM717*BL717/BJ717/BK717,"")</f>
        <v/>
      </c>
      <c r="BE717" s="105">
        <f>IFERROR(MIN(BI717/BQ717/BP717/BO717/BH717,$BE$1),"")</f>
        <v/>
      </c>
      <c r="BF717" s="105">
        <f>IFERROR(BJ717*BO717*BP717/BK717,"")</f>
        <v/>
      </c>
      <c r="BG717" s="105">
        <f>IFERROR(1/BM717/BH717*BQ717,"")</f>
        <v/>
      </c>
      <c r="BH717" s="102">
        <f>MAX((CE717-Driver!$F$200)/(Driver!$G$200-Driver!$F$200)*$BI$1,1)</f>
        <v/>
      </c>
      <c r="BI717" s="102">
        <f>MAX($BI$1*(BY717-Driver!$F$201)/(Driver!$G$201-Driver!$F$201),1)</f>
        <v/>
      </c>
      <c r="BJ717" s="102">
        <f>(CB717-Driver!$F$206)/(Driver!$G$206-Driver!$F$206)*$BI$1</f>
        <v/>
      </c>
      <c r="BK717" s="102">
        <f>(CD717-Driver!$F$203)/(Driver!$G$203-Driver!$F$203)*$BI$1</f>
        <v/>
      </c>
      <c r="BL717" s="102">
        <f>MAX((CR717-Driver!$F$202)/(Driver!$G$202-Driver!$F$202)*$BI$1,1)</f>
        <v/>
      </c>
      <c r="BM717" s="102">
        <f>MAX((CH717-Driver!$F$204)/(Driver!$G$204-Driver!$F$204)*$BI$1,1)</f>
        <v/>
      </c>
      <c r="BN717" s="102">
        <f>(CI717-Driver!$F$205)/(Driver!$G$205-Driver!$F$205)*$BI$1</f>
        <v/>
      </c>
      <c r="BO717" s="102">
        <f>(CK717-Driver!$F$207)/(Driver!$G$207-Driver!$F$207)*$BI$1</f>
        <v/>
      </c>
      <c r="BP717" s="102">
        <f>(CM717-Driver!$F$208)/(Driver!$G$208-Driver!$F$208)*$BI$1</f>
        <v/>
      </c>
      <c r="BQ717" s="102">
        <f>(CL717-Driver!$F$209)/(Driver!$G$209-Driver!$F$209)*$BI$1</f>
        <v/>
      </c>
      <c r="BR717" s="40" t="inlineStr">
        <is>
          <t>21/22</t>
        </is>
      </c>
      <c r="BS717" s="10" t="inlineStr">
        <is>
          <t xml:space="preserve"> Armada</t>
        </is>
      </c>
      <c r="BT717" s="11" t="inlineStr">
        <is>
          <t>ARV 96</t>
        </is>
      </c>
      <c r="BU717" s="13" t="n">
        <v>184</v>
      </c>
      <c r="BV717" s="11" t="inlineStr">
        <is>
          <t xml:space="preserve"> Unisex</t>
        </is>
      </c>
      <c r="BW717" s="13" t="n">
        <v>184</v>
      </c>
      <c r="BX717" s="13" t="n">
        <v>182</v>
      </c>
      <c r="BY717" s="13" t="n">
        <v>138</v>
      </c>
      <c r="BZ717" s="13" t="n">
        <v>152</v>
      </c>
      <c r="CA717" s="13" t="n">
        <v>126</v>
      </c>
      <c r="CB717" s="13" t="n">
        <v>95</v>
      </c>
      <c r="CC717" s="13" t="n">
        <v>118</v>
      </c>
      <c r="CD717" s="13" t="n">
        <v>19.6</v>
      </c>
      <c r="CE717" s="13" t="n">
        <v>2068</v>
      </c>
      <c r="CF717" s="13" t="n">
        <v>0.93</v>
      </c>
      <c r="CG717" s="13" t="n">
        <v>1924</v>
      </c>
      <c r="CH717" s="13" t="n">
        <v>233</v>
      </c>
      <c r="CI717" s="13" t="n">
        <v>123</v>
      </c>
      <c r="CJ717" s="13" t="n">
        <v>45</v>
      </c>
      <c r="CK717" s="13" t="n">
        <v>233</v>
      </c>
      <c r="CL717" s="13" t="n">
        <v>38</v>
      </c>
      <c r="CM717" s="13" t="n">
        <v>211</v>
      </c>
      <c r="CN717" s="13" t="n">
        <v>0.848</v>
      </c>
      <c r="CO717" s="13" t="n">
        <v>148</v>
      </c>
      <c r="CP717" s="13" t="n">
        <v>156</v>
      </c>
      <c r="CQ717" s="13" t="n">
        <v>85</v>
      </c>
      <c r="CR717" s="13" t="n">
        <v>11</v>
      </c>
      <c r="CS717" s="13" t="n">
        <v>5.4</v>
      </c>
      <c r="CT717" s="11" t="inlineStr">
        <is>
          <t xml:space="preserve"> Resort Freeride</t>
        </is>
      </c>
      <c r="CU717" s="11" t="inlineStr">
        <is>
          <t xml:space="preserve"> Freeski</t>
        </is>
      </c>
      <c r="CV717" s="13" t="n"/>
      <c r="CW717" s="13" t="n"/>
      <c r="CX717">
        <f>INDEX('Data_Price '!AG$2:AG$1266,MATCH(Data!$DN717,'Data_Price '!$AT$2:$AT$1266,0))</f>
        <v/>
      </c>
      <c r="CY717">
        <f>INDEX('Data_Price '!AH$2:AH$1266,MATCH(Data!$DN717,'Data_Price '!$AT$2:$AT$1266,0))</f>
        <v/>
      </c>
      <c r="CZ717">
        <f>INDEX('Data_Price '!AI$2:AI$1266,MATCH(Data!$DN717,'Data_Price '!$AT$2:$AT$1266,0))</f>
        <v/>
      </c>
      <c r="DA717">
        <f>INDEX('Data_Price '!AJ$2:AJ$1266,MATCH(Data!$DN717,'Data_Price '!$AT$2:$AT$1266,0))</f>
        <v/>
      </c>
      <c r="DB717">
        <f>INDEX('Data_Price '!AK$2:AK$1266,MATCH(Data!$DN717,'Data_Price '!$AT$2:$AT$1266,0))</f>
        <v/>
      </c>
      <c r="DC717">
        <f>INDEX('Data_Price '!AL$2:AL$1266,MATCH(Data!$DN717,'Data_Price '!$AT$2:$AT$1266,0))</f>
        <v/>
      </c>
      <c r="DD717">
        <f>INDEX('Data_Price '!AM$2:AM$1266,MATCH(Data!$DN717,'Data_Price '!$AT$2:$AT$1266,0))</f>
        <v/>
      </c>
      <c r="DE717">
        <f>INDEX('Data_Price '!AN$2:AN$1266,MATCH(Data!$DN717,'Data_Price '!$AT$2:$AT$1266,0))</f>
        <v/>
      </c>
      <c r="DF717">
        <f>INDEX('Data_Price '!AO$2:AO$1266,MATCH(Data!$DN717,'Data_Price '!$AT$2:$AT$1266,0))</f>
        <v/>
      </c>
      <c r="DG717">
        <f>INDEX('Data_Price '!AP$2:AP$1266,MATCH(Data!$DN717,'Data_Price '!$AT$2:$AT$1266,0))</f>
        <v/>
      </c>
      <c r="DH717">
        <f>INDEX('Data_Price '!AQ$2:AQ$1266,MATCH(Data!$DN717,'Data_Price '!$AT$2:$AT$1266,0))</f>
        <v/>
      </c>
      <c r="DI717">
        <f>INDEX('Data_Price '!AR$2:AR$1266,MATCH(Data!$DN717,'Data_Price '!$AT$2:$AT$1266,0))</f>
        <v/>
      </c>
      <c r="DJ717" s="138">
        <f>DA717</f>
        <v/>
      </c>
      <c r="DK717" s="138">
        <f>DE717</f>
        <v/>
      </c>
      <c r="DL717" s="138">
        <f>DI717</f>
        <v/>
      </c>
      <c r="DM717" s="303">
        <f>IF(LEFT(BT717,1)=" ",RIGHT(BT717,LEN(BT717)-1),BT717)</f>
        <v/>
      </c>
      <c r="DN717" s="138">
        <f>_xlfn.CONCAT(BS717,DM717,BU717,BV717)</f>
        <v/>
      </c>
      <c r="DO717" s="307" t="inlineStr">
        <is>
          <t>https://images.evo.com/imgp/250/198700/839667/clone.jpg</t>
        </is>
      </c>
    </row>
    <row r="718" ht="15.6" customHeight="1" s="184">
      <c r="B718" s="303">
        <f t="array" ref="B718">IF(OR(ISERROR(K718:P718)),FALSE,TRUE)</f>
        <v/>
      </c>
      <c r="C718" s="60">
        <f>OR(BR718=Driver!$G$50,Data!BR1209=Driver!$H$50)</f>
        <v/>
      </c>
      <c r="D718" s="60">
        <f>OR(BV718=Driver!$G$51,BV718=Driver!$H$51)</f>
        <v/>
      </c>
      <c r="E718" s="60">
        <f>AND(BX718&gt;Driver!$F$54,BX718&lt;Driver!$G$54)</f>
        <v/>
      </c>
      <c r="F718" s="60">
        <f>CL718&gt;Driver!$F$56</f>
        <v/>
      </c>
      <c r="G718" s="60">
        <f>AND(CB718&gt;Driver!$F$55,CB718&lt;Driver!$G$55)</f>
        <v/>
      </c>
      <c r="H718" s="60">
        <f>AND(B718:G718)</f>
        <v/>
      </c>
      <c r="I718" s="60">
        <f>COUNTIFS($H$9:$H$1273,TRUE,$BT$9:$BT$1273,BT718)</f>
        <v/>
      </c>
      <c r="J718" s="60">
        <f t="array" ref="J718">NOT(OR(($H$9:$H$1273=TRUE)*($I$9:$I$1273&gt;0)*($BT$9:$BT$1273=BT718)*($K$9:$K$1273&gt;K718)))</f>
        <v/>
      </c>
      <c r="K718" s="108">
        <f>IFERROR(1-AVERAGE(X718:Y718),"")</f>
        <v/>
      </c>
      <c r="L718" s="108">
        <f>1-X718</f>
        <v/>
      </c>
      <c r="M718" s="108">
        <f>1-Y718</f>
        <v/>
      </c>
      <c r="N718" s="108">
        <f>1-Z718</f>
        <v/>
      </c>
      <c r="O718" s="108">
        <f>1-AA718</f>
        <v/>
      </c>
      <c r="P718" s="108">
        <f>1-AB718</f>
        <v/>
      </c>
      <c r="Q718" s="108" t="n"/>
      <c r="R718" s="108" t="n"/>
      <c r="S718" s="108">
        <f>1-AE718</f>
        <v/>
      </c>
      <c r="T718" s="108">
        <f>1-AF718</f>
        <v/>
      </c>
      <c r="U718" s="108">
        <f>1-AG718</f>
        <v/>
      </c>
      <c r="V718" s="108">
        <f>1-AH718</f>
        <v/>
      </c>
      <c r="W718" s="108">
        <f>1-AI718</f>
        <v/>
      </c>
      <c r="X718" s="108">
        <f>ABS(AJ718-AJ$1)</f>
        <v/>
      </c>
      <c r="Y718" s="108">
        <f>AVERAGE(Z718:AB718)</f>
        <v/>
      </c>
      <c r="Z718" s="108">
        <f>ABS(AL718-AL$1)</f>
        <v/>
      </c>
      <c r="AA718" s="108">
        <f>ABS(AM718-AM$1)</f>
        <v/>
      </c>
      <c r="AB718" s="108">
        <f>ABS(AN718-AN$1)</f>
        <v/>
      </c>
      <c r="AC718" s="108" t="n"/>
      <c r="AD718" s="108" t="n"/>
      <c r="AE718" s="108">
        <f>ABS(AQ$1-AQ718)</f>
        <v/>
      </c>
      <c r="AF718" s="108">
        <f>ABS(AR$1-AR718)</f>
        <v/>
      </c>
      <c r="AG718" s="108">
        <f>ABS(AS$1-AS718)</f>
        <v/>
      </c>
      <c r="AH718" s="108">
        <f>ABS(AT$1-AT718)</f>
        <v/>
      </c>
      <c r="AI718" s="108">
        <f>ABS(AU$1-AU718)</f>
        <v/>
      </c>
      <c r="AJ718" s="108">
        <f>(AV718-Driver!$K$179)/(Driver!$L$179-Driver!$K$179)</f>
        <v/>
      </c>
      <c r="AK718" s="108">
        <f>(AW718-Driver!$K$180)/(Driver!$L$180-Driver!$K$180)</f>
        <v/>
      </c>
      <c r="AL718" s="108">
        <f>(AX718-Driver!$K$181)/(Driver!$L$181-Driver!$K$181)</f>
        <v/>
      </c>
      <c r="AM718" s="108">
        <f>(AY718-Driver!$K$182)/(Driver!$L$182-Driver!$K$182)</f>
        <v/>
      </c>
      <c r="AN718" s="108">
        <f>(AZ718-Driver!$K$183)/(Driver!$L$183-Driver!$K$183)</f>
        <v/>
      </c>
      <c r="AO718" s="108" t="n"/>
      <c r="AP718" s="108" t="n"/>
      <c r="AQ718" s="108">
        <f>(BC718-Driver!$K$188)/(Driver!$L$188-Driver!$K$188)</f>
        <v/>
      </c>
      <c r="AR718" s="108">
        <f>MIN((BD718-Driver!$K$189)/(Driver!$L$189-Driver!$K$189),100%)</f>
        <v/>
      </c>
      <c r="AS718" s="108">
        <f>(BE718-Driver!$K$190)/(Driver!$L$190-Driver!$K$190)</f>
        <v/>
      </c>
      <c r="AT718" s="108">
        <f>(BF718-Driver!$K$191)/(Driver!$L$191-Driver!$K$191)</f>
        <v/>
      </c>
      <c r="AU718" s="108">
        <f>(BG718-Driver!$K$192)/(Driver!$L$192-Driver!$K$192)</f>
        <v/>
      </c>
      <c r="AV718" s="105">
        <f>IFERROR(BM718*BJ718^1/4,"")</f>
        <v/>
      </c>
      <c r="AW718" s="105">
        <f>IFERROR(SUM(AX718:AZ718),"")</f>
        <v/>
      </c>
      <c r="AX718" s="105">
        <f>IFERROR(BH718,"")</f>
        <v/>
      </c>
      <c r="AY718" s="105">
        <f>IFERROR(Driver!$K$19/Data!BH718/Data!BI718*Data!BK718*Data!BL718,"")</f>
        <v/>
      </c>
      <c r="AZ718" s="105">
        <f>IFERROR(BI718*BN718,"")</f>
        <v/>
      </c>
      <c r="BA718" s="105" t="n"/>
      <c r="BB718" s="105" t="n"/>
      <c r="BC718" s="105">
        <f>IFERROR(BI718*BN718*BK718/BJ718^(1/2),"")</f>
        <v/>
      </c>
      <c r="BD718" s="105">
        <f>IFERROR(BH718*BM718*BL718/BJ718/BK718,"")</f>
        <v/>
      </c>
      <c r="BE718" s="105">
        <f>IFERROR(MIN(BI718/BQ718/BP718/BO718/BH718,$BE$1),"")</f>
        <v/>
      </c>
      <c r="BF718" s="105">
        <f>IFERROR(BJ718*BO718*BP718/BK718,"")</f>
        <v/>
      </c>
      <c r="BG718" s="105">
        <f>IFERROR(1/BM718/BH718*BQ718,"")</f>
        <v/>
      </c>
      <c r="BH718" s="102">
        <f>MAX((CE718-Driver!$F$200)/(Driver!$G$200-Driver!$F$200)*$BI$1,1)</f>
        <v/>
      </c>
      <c r="BI718" s="102">
        <f>MAX($BI$1*(BY718-Driver!$F$201)/(Driver!$G$201-Driver!$F$201),1)</f>
        <v/>
      </c>
      <c r="BJ718" s="102">
        <f>(CB718-Driver!$F$206)/(Driver!$G$206-Driver!$F$206)*$BI$1</f>
        <v/>
      </c>
      <c r="BK718" s="102">
        <f>(CD718-Driver!$F$203)/(Driver!$G$203-Driver!$F$203)*$BI$1</f>
        <v/>
      </c>
      <c r="BL718" s="102">
        <f>MAX((CR718-Driver!$F$202)/(Driver!$G$202-Driver!$F$202)*$BI$1,1)</f>
        <v/>
      </c>
      <c r="BM718" s="102">
        <f>MAX((CH718-Driver!$F$204)/(Driver!$G$204-Driver!$F$204)*$BI$1,1)</f>
        <v/>
      </c>
      <c r="BN718" s="102">
        <f>(CI718-Driver!$F$205)/(Driver!$G$205-Driver!$F$205)*$BI$1</f>
        <v/>
      </c>
      <c r="BO718" s="102">
        <f>(CK718-Driver!$F$207)/(Driver!$G$207-Driver!$F$207)*$BI$1</f>
        <v/>
      </c>
      <c r="BP718" s="102">
        <f>(CM718-Driver!$F$208)/(Driver!$G$208-Driver!$F$208)*$BI$1</f>
        <v/>
      </c>
      <c r="BQ718" s="102">
        <f>(CL718-Driver!$F$209)/(Driver!$G$209-Driver!$F$209)*$BI$1</f>
        <v/>
      </c>
      <c r="BR718" s="40" t="inlineStr">
        <is>
          <t>21/22</t>
        </is>
      </c>
      <c r="BS718" s="10" t="inlineStr">
        <is>
          <t xml:space="preserve"> Völkl</t>
        </is>
      </c>
      <c r="BT718" s="11" t="inlineStr">
        <is>
          <t>Kendo 88</t>
        </is>
      </c>
      <c r="BU718" s="13" t="n">
        <v>170</v>
      </c>
      <c r="BV718" s="11" t="inlineStr">
        <is>
          <t xml:space="preserve"> Unisex</t>
        </is>
      </c>
      <c r="BW718" s="13" t="n">
        <v>170</v>
      </c>
      <c r="BX718" s="13" t="n">
        <v>171.1</v>
      </c>
      <c r="BY718" s="13" t="n">
        <v>125</v>
      </c>
      <c r="BZ718" s="13" t="n">
        <v>147</v>
      </c>
      <c r="CA718" s="13" t="n">
        <v>128</v>
      </c>
      <c r="CB718" s="13" t="n">
        <v>87</v>
      </c>
      <c r="CC718" s="13" t="n">
        <v>110</v>
      </c>
      <c r="CD718" s="13" t="n">
        <v>16.2</v>
      </c>
      <c r="CE718" s="13" t="n">
        <v>1816</v>
      </c>
      <c r="CF718" s="13" t="n">
        <v>0.9399999999999999</v>
      </c>
      <c r="CG718" s="13" t="n">
        <v>1714</v>
      </c>
      <c r="CH718" s="13" t="n">
        <v>197</v>
      </c>
      <c r="CI718" s="13" t="n">
        <v>129</v>
      </c>
      <c r="CJ718" s="13" t="n">
        <v>45</v>
      </c>
      <c r="CK718" s="13" t="n">
        <v>300</v>
      </c>
      <c r="CL718" s="13" t="n">
        <v>14</v>
      </c>
      <c r="CM718" s="13" t="n">
        <v>159</v>
      </c>
      <c r="CN718" s="13" t="n">
        <v>0.322</v>
      </c>
      <c r="CO718" s="13" t="n">
        <v>133</v>
      </c>
      <c r="CP718" s="13" t="n">
        <v>105</v>
      </c>
      <c r="CQ718" s="13" t="n">
        <v>166</v>
      </c>
      <c r="CR718" s="13" t="n">
        <v>3</v>
      </c>
      <c r="CS718" s="13" t="n">
        <v>11.9</v>
      </c>
      <c r="CT718" s="11" t="inlineStr">
        <is>
          <t xml:space="preserve"> Resort Freeride</t>
        </is>
      </c>
      <c r="CU718" s="13" t="n"/>
      <c r="CV718" s="13" t="n"/>
      <c r="CW718" s="13" t="n"/>
      <c r="CX718">
        <f>INDEX('Data_Price '!AG$2:AG$1266,MATCH(Data!$DN718,'Data_Price '!$AT$2:$AT$1266,0))</f>
        <v/>
      </c>
      <c r="CY718">
        <f>INDEX('Data_Price '!AH$2:AH$1266,MATCH(Data!$DN718,'Data_Price '!$AT$2:$AT$1266,0))</f>
        <v/>
      </c>
      <c r="CZ718">
        <f>INDEX('Data_Price '!AI$2:AI$1266,MATCH(Data!$DN718,'Data_Price '!$AT$2:$AT$1266,0))</f>
        <v/>
      </c>
      <c r="DA718">
        <f>INDEX('Data_Price '!AJ$2:AJ$1266,MATCH(Data!$DN718,'Data_Price '!$AT$2:$AT$1266,0))</f>
        <v/>
      </c>
      <c r="DB718">
        <f>INDEX('Data_Price '!AK$2:AK$1266,MATCH(Data!$DN718,'Data_Price '!$AT$2:$AT$1266,0))</f>
        <v/>
      </c>
      <c r="DC718">
        <f>INDEX('Data_Price '!AL$2:AL$1266,MATCH(Data!$DN718,'Data_Price '!$AT$2:$AT$1266,0))</f>
        <v/>
      </c>
      <c r="DD718">
        <f>INDEX('Data_Price '!AM$2:AM$1266,MATCH(Data!$DN718,'Data_Price '!$AT$2:$AT$1266,0))</f>
        <v/>
      </c>
      <c r="DE718">
        <f>INDEX('Data_Price '!AN$2:AN$1266,MATCH(Data!$DN718,'Data_Price '!$AT$2:$AT$1266,0))</f>
        <v/>
      </c>
      <c r="DF718">
        <f>INDEX('Data_Price '!AO$2:AO$1266,MATCH(Data!$DN718,'Data_Price '!$AT$2:$AT$1266,0))</f>
        <v/>
      </c>
      <c r="DG718">
        <f>INDEX('Data_Price '!AP$2:AP$1266,MATCH(Data!$DN718,'Data_Price '!$AT$2:$AT$1266,0))</f>
        <v/>
      </c>
      <c r="DH718">
        <f>INDEX('Data_Price '!AQ$2:AQ$1266,MATCH(Data!$DN718,'Data_Price '!$AT$2:$AT$1266,0))</f>
        <v/>
      </c>
      <c r="DI718">
        <f>INDEX('Data_Price '!AR$2:AR$1266,MATCH(Data!$DN718,'Data_Price '!$AT$2:$AT$1266,0))</f>
        <v/>
      </c>
      <c r="DJ718" s="138">
        <f>DA718</f>
        <v/>
      </c>
      <c r="DK718" s="138">
        <f>DE718</f>
        <v/>
      </c>
      <c r="DL718" s="138">
        <f>DI718</f>
        <v/>
      </c>
      <c r="DM718" s="303">
        <f>IF(LEFT(BT718,1)=" ",RIGHT(BT718,LEN(BT718)-1),BT718)</f>
        <v/>
      </c>
      <c r="DN718" s="138">
        <f>_xlfn.CONCAT(BS718,DM718,BU718,BV718)</f>
        <v/>
      </c>
      <c r="DO718" s="307" t="n"/>
    </row>
    <row r="719" ht="15.6" customHeight="1" s="184">
      <c r="B719" s="303">
        <f t="array" ref="B719">IF(OR(ISERROR(K719:P719)),FALSE,TRUE)</f>
        <v/>
      </c>
      <c r="C719" s="60">
        <f>OR(BR719=Driver!$G$50,Data!BR487=Driver!$H$50)</f>
        <v/>
      </c>
      <c r="D719" s="60">
        <f>OR(BV719=Driver!$G$51,BV719=Driver!$H$51)</f>
        <v/>
      </c>
      <c r="E719" s="60">
        <f>AND(BX719&gt;Driver!$F$54,BX719&lt;Driver!$G$54)</f>
        <v/>
      </c>
      <c r="F719" s="60">
        <f>CL719&gt;Driver!$F$56</f>
        <v/>
      </c>
      <c r="G719" s="60">
        <f>AND(CB719&gt;Driver!$F$55,CB719&lt;Driver!$G$55)</f>
        <v/>
      </c>
      <c r="H719" s="60">
        <f>AND(B719:G719)</f>
        <v/>
      </c>
      <c r="I719" s="60">
        <f>COUNTIFS($H$9:$H$1273,TRUE,$BT$9:$BT$1273,BT719)</f>
        <v/>
      </c>
      <c r="J719" s="60">
        <f t="array" ref="J719">NOT(OR(($H$9:$H$1273=TRUE)*($I$9:$I$1273&gt;0)*($BT$9:$BT$1273=BT719)*($K$9:$K$1273&gt;K719)))</f>
        <v/>
      </c>
      <c r="K719" s="108">
        <f>IFERROR(1-AVERAGE(X719:Y719),"")</f>
        <v/>
      </c>
      <c r="L719" s="108">
        <f>1-X719</f>
        <v/>
      </c>
      <c r="M719" s="108">
        <f>1-Y719</f>
        <v/>
      </c>
      <c r="N719" s="108">
        <f>1-Z719</f>
        <v/>
      </c>
      <c r="O719" s="108">
        <f>1-AA719</f>
        <v/>
      </c>
      <c r="P719" s="108">
        <f>1-AB719</f>
        <v/>
      </c>
      <c r="Q719" s="108" t="n"/>
      <c r="R719" s="108" t="n"/>
      <c r="S719" s="108">
        <f>1-AE719</f>
        <v/>
      </c>
      <c r="T719" s="108">
        <f>1-AF719</f>
        <v/>
      </c>
      <c r="U719" s="108">
        <f>1-AG719</f>
        <v/>
      </c>
      <c r="V719" s="108">
        <f>1-AH719</f>
        <v/>
      </c>
      <c r="W719" s="108">
        <f>1-AI719</f>
        <v/>
      </c>
      <c r="X719" s="108">
        <f>ABS(AJ719-AJ$1)</f>
        <v/>
      </c>
      <c r="Y719" s="108">
        <f>AVERAGE(Z719:AB719)</f>
        <v/>
      </c>
      <c r="Z719" s="108">
        <f>ABS(AL719-AL$1)</f>
        <v/>
      </c>
      <c r="AA719" s="108">
        <f>ABS(AM719-AM$1)</f>
        <v/>
      </c>
      <c r="AB719" s="108">
        <f>ABS(AN719-AN$1)</f>
        <v/>
      </c>
      <c r="AC719" s="108" t="n"/>
      <c r="AD719" s="108" t="n"/>
      <c r="AE719" s="108">
        <f>ABS(AQ$1-AQ719)</f>
        <v/>
      </c>
      <c r="AF719" s="108">
        <f>ABS(AR$1-AR719)</f>
        <v/>
      </c>
      <c r="AG719" s="108">
        <f>ABS(AS$1-AS719)</f>
        <v/>
      </c>
      <c r="AH719" s="108">
        <f>ABS(AT$1-AT719)</f>
        <v/>
      </c>
      <c r="AI719" s="108">
        <f>ABS(AU$1-AU719)</f>
        <v/>
      </c>
      <c r="AJ719" s="108">
        <f>(AV719-Driver!$K$179)/(Driver!$L$179-Driver!$K$179)</f>
        <v/>
      </c>
      <c r="AK719" s="108">
        <f>(AW719-Driver!$K$180)/(Driver!$L$180-Driver!$K$180)</f>
        <v/>
      </c>
      <c r="AL719" s="108">
        <f>(AX719-Driver!$K$181)/(Driver!$L$181-Driver!$K$181)</f>
        <v/>
      </c>
      <c r="AM719" s="108">
        <f>(AY719-Driver!$K$182)/(Driver!$L$182-Driver!$K$182)</f>
        <v/>
      </c>
      <c r="AN719" s="108">
        <f>(AZ719-Driver!$K$183)/(Driver!$L$183-Driver!$K$183)</f>
        <v/>
      </c>
      <c r="AO719" s="108" t="n"/>
      <c r="AP719" s="108" t="n"/>
      <c r="AQ719" s="108">
        <f>(BC719-Driver!$K$188)/(Driver!$L$188-Driver!$K$188)</f>
        <v/>
      </c>
      <c r="AR719" s="108">
        <f>MIN((BD719-Driver!$K$189)/(Driver!$L$189-Driver!$K$189),100%)</f>
        <v/>
      </c>
      <c r="AS719" s="108">
        <f>(BE719-Driver!$K$190)/(Driver!$L$190-Driver!$K$190)</f>
        <v/>
      </c>
      <c r="AT719" s="108">
        <f>(BF719-Driver!$K$191)/(Driver!$L$191-Driver!$K$191)</f>
        <v/>
      </c>
      <c r="AU719" s="108">
        <f>(BG719-Driver!$K$192)/(Driver!$L$192-Driver!$K$192)</f>
        <v/>
      </c>
      <c r="AV719" s="105">
        <f>IFERROR(BM719*BJ719^1/4,"")</f>
        <v/>
      </c>
      <c r="AW719" s="105">
        <f>IFERROR(SUM(AX719:AZ719),"")</f>
        <v/>
      </c>
      <c r="AX719" s="105">
        <f>IFERROR(BH719,"")</f>
        <v/>
      </c>
      <c r="AY719" s="105">
        <f>IFERROR(Driver!$K$19/Data!BH719/Data!BI719*Data!BK719*Data!BL719,"")</f>
        <v/>
      </c>
      <c r="AZ719" s="105">
        <f>IFERROR(BI719*BN719,"")</f>
        <v/>
      </c>
      <c r="BA719" s="105" t="n"/>
      <c r="BB719" s="105" t="n"/>
      <c r="BC719" s="105">
        <f>IFERROR(BI719*BN719*BK719/BJ719^(1/2),"")</f>
        <v/>
      </c>
      <c r="BD719" s="105">
        <f>IFERROR(BH719*BM719*BL719/BJ719/BK719,"")</f>
        <v/>
      </c>
      <c r="BE719" s="105">
        <f>IFERROR(MIN(BI719/BQ719/BP719/BO719/BH719,$BE$1),"")</f>
        <v/>
      </c>
      <c r="BF719" s="105">
        <f>IFERROR(BJ719*BO719*BP719/BK719,"")</f>
        <v/>
      </c>
      <c r="BG719" s="105">
        <f>IFERROR(1/BM719/BH719*BQ719,"")</f>
        <v/>
      </c>
      <c r="BH719" s="102">
        <f>MAX((CE719-Driver!$F$200)/(Driver!$G$200-Driver!$F$200)*$BI$1,1)</f>
        <v/>
      </c>
      <c r="BI719" s="102">
        <f>MAX($BI$1*(BY719-Driver!$F$201)/(Driver!$G$201-Driver!$F$201),1)</f>
        <v/>
      </c>
      <c r="BJ719" s="102">
        <f>(CB719-Driver!$F$206)/(Driver!$G$206-Driver!$F$206)*$BI$1</f>
        <v/>
      </c>
      <c r="BK719" s="102">
        <f>(CD719-Driver!$F$203)/(Driver!$G$203-Driver!$F$203)*$BI$1</f>
        <v/>
      </c>
      <c r="BL719" s="102">
        <f>MAX((CR719-Driver!$F$202)/(Driver!$G$202-Driver!$F$202)*$BI$1,1)</f>
        <v/>
      </c>
      <c r="BM719" s="102">
        <f>MAX((CH719-Driver!$F$204)/(Driver!$G$204-Driver!$F$204)*$BI$1,1)</f>
        <v/>
      </c>
      <c r="BN719" s="102">
        <f>(CI719-Driver!$F$205)/(Driver!$G$205-Driver!$F$205)*$BI$1</f>
        <v/>
      </c>
      <c r="BO719" s="102">
        <f>(CK719-Driver!$F$207)/(Driver!$G$207-Driver!$F$207)*$BI$1</f>
        <v/>
      </c>
      <c r="BP719" s="102">
        <f>(CM719-Driver!$F$208)/(Driver!$G$208-Driver!$F$208)*$BI$1</f>
        <v/>
      </c>
      <c r="BQ719" s="102">
        <f>(CL719-Driver!$F$209)/(Driver!$G$209-Driver!$F$209)*$BI$1</f>
        <v/>
      </c>
      <c r="BR719" s="40" t="inlineStr">
        <is>
          <t>21/22</t>
        </is>
      </c>
      <c r="BS719" s="10" t="inlineStr">
        <is>
          <t xml:space="preserve"> Faction</t>
        </is>
      </c>
      <c r="BT719" s="11" t="inlineStr">
        <is>
          <t>Agent 1.0 X</t>
        </is>
      </c>
      <c r="BU719" s="13" t="n">
        <v>162</v>
      </c>
      <c r="BV719" s="11" t="inlineStr">
        <is>
          <t xml:space="preserve"> Women's</t>
        </is>
      </c>
      <c r="BW719" s="13" t="n">
        <v>162</v>
      </c>
      <c r="BX719" s="13" t="n">
        <v>160.3</v>
      </c>
      <c r="BY719" s="13" t="n">
        <v>125</v>
      </c>
      <c r="BZ719" s="13" t="n">
        <v>137</v>
      </c>
      <c r="CA719" s="13" t="n">
        <v>119</v>
      </c>
      <c r="CB719" s="13" t="n">
        <v>85</v>
      </c>
      <c r="CC719" s="13" t="n">
        <v>109</v>
      </c>
      <c r="CD719" s="13" t="n">
        <v>14.9</v>
      </c>
      <c r="CE719" s="13" t="n">
        <v>1390</v>
      </c>
      <c r="CF719" s="13" t="n">
        <v>1.12</v>
      </c>
      <c r="CG719" s="13" t="n">
        <v>1552</v>
      </c>
      <c r="CH719" s="13" t="n">
        <v>169</v>
      </c>
      <c r="CI719" s="13" t="n">
        <v>80</v>
      </c>
      <c r="CJ719" s="13" t="n">
        <v>50</v>
      </c>
      <c r="CK719" s="13" t="n">
        <v>212</v>
      </c>
      <c r="CL719" s="13" t="n">
        <v>20</v>
      </c>
      <c r="CM719" s="13" t="n">
        <v>142</v>
      </c>
      <c r="CN719" s="13" t="n">
        <v>0.406</v>
      </c>
      <c r="CO719" s="13" t="n">
        <v>150</v>
      </c>
      <c r="CP719" s="13" t="n">
        <v>86</v>
      </c>
      <c r="CQ719" s="13" t="n">
        <v>63</v>
      </c>
      <c r="CR719" s="13" t="n">
        <v>7</v>
      </c>
      <c r="CS719" s="13" t="n">
        <v>9.5</v>
      </c>
      <c r="CT719" s="11" t="inlineStr">
        <is>
          <t xml:space="preserve"> Resort Freeride</t>
        </is>
      </c>
      <c r="CU719" s="11" t="inlineStr">
        <is>
          <t xml:space="preserve"> Touring</t>
        </is>
      </c>
      <c r="CV719" s="13" t="n"/>
      <c r="CW719" s="13" t="n"/>
      <c r="CX719">
        <f>INDEX('Data_Price '!AG$2:AG$1266,MATCH(Data!$DN719,'Data_Price '!$AT$2:$AT$1266,0))</f>
        <v/>
      </c>
      <c r="CY719">
        <f>INDEX('Data_Price '!AH$2:AH$1266,MATCH(Data!$DN719,'Data_Price '!$AT$2:$AT$1266,0))</f>
        <v/>
      </c>
      <c r="CZ719">
        <f>INDEX('Data_Price '!AI$2:AI$1266,MATCH(Data!$DN719,'Data_Price '!$AT$2:$AT$1266,0))</f>
        <v/>
      </c>
      <c r="DA719">
        <f>INDEX('Data_Price '!AJ$2:AJ$1266,MATCH(Data!$DN719,'Data_Price '!$AT$2:$AT$1266,0))</f>
        <v/>
      </c>
      <c r="DB719">
        <f>INDEX('Data_Price '!AK$2:AK$1266,MATCH(Data!$DN719,'Data_Price '!$AT$2:$AT$1266,0))</f>
        <v/>
      </c>
      <c r="DC719">
        <f>INDEX('Data_Price '!AL$2:AL$1266,MATCH(Data!$DN719,'Data_Price '!$AT$2:$AT$1266,0))</f>
        <v/>
      </c>
      <c r="DD719">
        <f>INDEX('Data_Price '!AM$2:AM$1266,MATCH(Data!$DN719,'Data_Price '!$AT$2:$AT$1266,0))</f>
        <v/>
      </c>
      <c r="DE719">
        <f>INDEX('Data_Price '!AN$2:AN$1266,MATCH(Data!$DN719,'Data_Price '!$AT$2:$AT$1266,0))</f>
        <v/>
      </c>
      <c r="DF719">
        <f>INDEX('Data_Price '!AO$2:AO$1266,MATCH(Data!$DN719,'Data_Price '!$AT$2:$AT$1266,0))</f>
        <v/>
      </c>
      <c r="DG719">
        <f>INDEX('Data_Price '!AP$2:AP$1266,MATCH(Data!$DN719,'Data_Price '!$AT$2:$AT$1266,0))</f>
        <v/>
      </c>
      <c r="DH719">
        <f>INDEX('Data_Price '!AQ$2:AQ$1266,MATCH(Data!$DN719,'Data_Price '!$AT$2:$AT$1266,0))</f>
        <v/>
      </c>
      <c r="DI719">
        <f>INDEX('Data_Price '!AR$2:AR$1266,MATCH(Data!$DN719,'Data_Price '!$AT$2:$AT$1266,0))</f>
        <v/>
      </c>
      <c r="DJ719" s="138">
        <f>DA719</f>
        <v/>
      </c>
      <c r="DK719" s="138">
        <f>DE719</f>
        <v/>
      </c>
      <c r="DL719" s="138">
        <f>DI719</f>
        <v/>
      </c>
      <c r="DM719" s="303">
        <f>IF(LEFT(BT719,1)=" ",RIGHT(BT719,LEN(BT719)-1),BT719)</f>
        <v/>
      </c>
      <c r="DN719" s="138">
        <f>_xlfn.CONCAT(BS719,DM719,BU719,BV719)</f>
        <v/>
      </c>
      <c r="DO719" s="307" t="n"/>
    </row>
    <row r="720" ht="15.6" customHeight="1" s="184">
      <c r="B720" s="303">
        <f t="array" ref="B720">IF(OR(ISERROR(K720:P720)),FALSE,TRUE)</f>
        <v/>
      </c>
      <c r="C720" s="60">
        <f>OR(BR720=Driver!$G$50,Data!BR862=Driver!$H$50)</f>
        <v/>
      </c>
      <c r="D720" s="60">
        <f>OR(BV720=Driver!$G$51,BV720=Driver!$H$51)</f>
        <v/>
      </c>
      <c r="E720" s="60">
        <f>AND(BX720&gt;Driver!$F$54,BX720&lt;Driver!$G$54)</f>
        <v/>
      </c>
      <c r="F720" s="60">
        <f>CL720&gt;Driver!$F$56</f>
        <v/>
      </c>
      <c r="G720" s="60">
        <f>AND(CB720&gt;Driver!$F$55,CB720&lt;Driver!$G$55)</f>
        <v/>
      </c>
      <c r="H720" s="60">
        <f>AND(B720:G720)</f>
        <v/>
      </c>
      <c r="I720" s="60">
        <f>COUNTIFS($H$9:$H$1273,TRUE,$BT$9:$BT$1273,BT720)</f>
        <v/>
      </c>
      <c r="J720" s="60">
        <f t="array" ref="J720">NOT(OR(($H$9:$H$1273=TRUE)*($I$9:$I$1273&gt;0)*($BT$9:$BT$1273=BT720)*($K$9:$K$1273&gt;K720)))</f>
        <v/>
      </c>
      <c r="K720" s="108">
        <f>IFERROR(1-AVERAGE(X720:Y720),"")</f>
        <v/>
      </c>
      <c r="L720" s="108">
        <f>1-X720</f>
        <v/>
      </c>
      <c r="M720" s="108">
        <f>1-Y720</f>
        <v/>
      </c>
      <c r="N720" s="108">
        <f>1-Z720</f>
        <v/>
      </c>
      <c r="O720" s="108">
        <f>1-AA720</f>
        <v/>
      </c>
      <c r="P720" s="108">
        <f>1-AB720</f>
        <v/>
      </c>
      <c r="Q720" s="108" t="n"/>
      <c r="R720" s="108" t="n"/>
      <c r="S720" s="108">
        <f>1-AE720</f>
        <v/>
      </c>
      <c r="T720" s="108">
        <f>1-AF720</f>
        <v/>
      </c>
      <c r="U720" s="108">
        <f>1-AG720</f>
        <v/>
      </c>
      <c r="V720" s="108">
        <f>1-AH720</f>
        <v/>
      </c>
      <c r="W720" s="108">
        <f>1-AI720</f>
        <v/>
      </c>
      <c r="X720" s="108">
        <f>ABS(AJ720-AJ$1)</f>
        <v/>
      </c>
      <c r="Y720" s="108">
        <f>AVERAGE(Z720:AB720)</f>
        <v/>
      </c>
      <c r="Z720" s="108">
        <f>ABS(AL720-AL$1)</f>
        <v/>
      </c>
      <c r="AA720" s="108">
        <f>ABS(AM720-AM$1)</f>
        <v/>
      </c>
      <c r="AB720" s="108">
        <f>ABS(AN720-AN$1)</f>
        <v/>
      </c>
      <c r="AC720" s="108" t="n"/>
      <c r="AD720" s="108" t="n"/>
      <c r="AE720" s="108">
        <f>ABS(AQ$1-AQ720)</f>
        <v/>
      </c>
      <c r="AF720" s="108">
        <f>ABS(AR$1-AR720)</f>
        <v/>
      </c>
      <c r="AG720" s="108">
        <f>ABS(AS$1-AS720)</f>
        <v/>
      </c>
      <c r="AH720" s="108">
        <f>ABS(AT$1-AT720)</f>
        <v/>
      </c>
      <c r="AI720" s="108">
        <f>ABS(AU$1-AU720)</f>
        <v/>
      </c>
      <c r="AJ720" s="108">
        <f>(AV720-Driver!$K$179)/(Driver!$L$179-Driver!$K$179)</f>
        <v/>
      </c>
      <c r="AK720" s="108">
        <f>(AW720-Driver!$K$180)/(Driver!$L$180-Driver!$K$180)</f>
        <v/>
      </c>
      <c r="AL720" s="108">
        <f>(AX720-Driver!$K$181)/(Driver!$L$181-Driver!$K$181)</f>
        <v/>
      </c>
      <c r="AM720" s="108">
        <f>(AY720-Driver!$K$182)/(Driver!$L$182-Driver!$K$182)</f>
        <v/>
      </c>
      <c r="AN720" s="108">
        <f>(AZ720-Driver!$K$183)/(Driver!$L$183-Driver!$K$183)</f>
        <v/>
      </c>
      <c r="AO720" s="108" t="n"/>
      <c r="AP720" s="108" t="n"/>
      <c r="AQ720" s="108">
        <f>(BC720-Driver!$K$188)/(Driver!$L$188-Driver!$K$188)</f>
        <v/>
      </c>
      <c r="AR720" s="108">
        <f>MIN((BD720-Driver!$K$189)/(Driver!$L$189-Driver!$K$189),100%)</f>
        <v/>
      </c>
      <c r="AS720" s="108">
        <f>(BE720-Driver!$K$190)/(Driver!$L$190-Driver!$K$190)</f>
        <v/>
      </c>
      <c r="AT720" s="108">
        <f>(BF720-Driver!$K$191)/(Driver!$L$191-Driver!$K$191)</f>
        <v/>
      </c>
      <c r="AU720" s="108">
        <f>(BG720-Driver!$K$192)/(Driver!$L$192-Driver!$K$192)</f>
        <v/>
      </c>
      <c r="AV720" s="105">
        <f>IFERROR(BM720*BJ720^1/4,"")</f>
        <v/>
      </c>
      <c r="AW720" s="105">
        <f>IFERROR(SUM(AX720:AZ720),"")</f>
        <v/>
      </c>
      <c r="AX720" s="105">
        <f>IFERROR(BH720,"")</f>
        <v/>
      </c>
      <c r="AY720" s="105">
        <f>IFERROR(Driver!$K$19/Data!BH720/Data!BI720*Data!BK720*Data!BL720,"")</f>
        <v/>
      </c>
      <c r="AZ720" s="105">
        <f>IFERROR(BI720*BN720,"")</f>
        <v/>
      </c>
      <c r="BA720" s="105" t="n"/>
      <c r="BB720" s="105" t="n"/>
      <c r="BC720" s="105">
        <f>IFERROR(BI720*BN720*BK720/BJ720^(1/2),"")</f>
        <v/>
      </c>
      <c r="BD720" s="105">
        <f>IFERROR(BH720*BM720*BL720/BJ720/BK720,"")</f>
        <v/>
      </c>
      <c r="BE720" s="105">
        <f>IFERROR(MIN(BI720/BQ720/BP720/BO720/BH720,$BE$1),"")</f>
        <v/>
      </c>
      <c r="BF720" s="105">
        <f>IFERROR(BJ720*BO720*BP720/BK720,"")</f>
        <v/>
      </c>
      <c r="BG720" s="105">
        <f>IFERROR(1/BM720/BH720*BQ720,"")</f>
        <v/>
      </c>
      <c r="BH720" s="102">
        <f>MAX((CE720-Driver!$F$200)/(Driver!$G$200-Driver!$F$200)*$BI$1,1)</f>
        <v/>
      </c>
      <c r="BI720" s="102">
        <f>MAX($BI$1*(BY720-Driver!$F$201)/(Driver!$G$201-Driver!$F$201),1)</f>
        <v/>
      </c>
      <c r="BJ720" s="102">
        <f>(CB720-Driver!$F$206)/(Driver!$G$206-Driver!$F$206)*$BI$1</f>
        <v/>
      </c>
      <c r="BK720" s="102">
        <f>(CD720-Driver!$F$203)/(Driver!$G$203-Driver!$F$203)*$BI$1</f>
        <v/>
      </c>
      <c r="BL720" s="102">
        <f>MAX((CR720-Driver!$F$202)/(Driver!$G$202-Driver!$F$202)*$BI$1,1)</f>
        <v/>
      </c>
      <c r="BM720" s="102">
        <f>MAX((CH720-Driver!$F$204)/(Driver!$G$204-Driver!$F$204)*$BI$1,1)</f>
        <v/>
      </c>
      <c r="BN720" s="102">
        <f>(CI720-Driver!$F$205)/(Driver!$G$205-Driver!$F$205)*$BI$1</f>
        <v/>
      </c>
      <c r="BO720" s="102">
        <f>(CK720-Driver!$F$207)/(Driver!$G$207-Driver!$F$207)*$BI$1</f>
        <v/>
      </c>
      <c r="BP720" s="102">
        <f>(CM720-Driver!$F$208)/(Driver!$G$208-Driver!$F$208)*$BI$1</f>
        <v/>
      </c>
      <c r="BQ720" s="102">
        <f>(CL720-Driver!$F$209)/(Driver!$G$209-Driver!$F$209)*$BI$1</f>
        <v/>
      </c>
      <c r="BR720" s="40" t="inlineStr">
        <is>
          <t>21/22</t>
        </is>
      </c>
      <c r="BS720" s="10" t="inlineStr">
        <is>
          <t xml:space="preserve"> Line</t>
        </is>
      </c>
      <c r="BT720" s="11" t="inlineStr">
        <is>
          <t>Sick Day 88</t>
        </is>
      </c>
      <c r="BU720" s="13" t="n">
        <v>165</v>
      </c>
      <c r="BV720" s="11" t="inlineStr">
        <is>
          <t xml:space="preserve"> Unisex</t>
        </is>
      </c>
      <c r="BW720" s="13" t="n">
        <v>165</v>
      </c>
      <c r="BX720" s="13" t="n">
        <v>165</v>
      </c>
      <c r="BY720" s="13" t="n">
        <v>119</v>
      </c>
      <c r="BZ720" s="13" t="n">
        <v>140</v>
      </c>
      <c r="CA720" s="13" t="n">
        <v>125</v>
      </c>
      <c r="CB720" s="13" t="n">
        <v>87</v>
      </c>
      <c r="CC720" s="13" t="n">
        <v>112</v>
      </c>
      <c r="CD720" s="13" t="n">
        <v>15</v>
      </c>
      <c r="CE720" s="13" t="n">
        <v>1453</v>
      </c>
      <c r="CF720" s="13" t="n">
        <v>1.13</v>
      </c>
      <c r="CG720" s="13" t="n">
        <v>1638</v>
      </c>
      <c r="CH720" s="13" t="n">
        <v>150</v>
      </c>
      <c r="CI720" s="13" t="n">
        <v>78</v>
      </c>
      <c r="CJ720" s="13" t="n">
        <v>48</v>
      </c>
      <c r="CK720" s="13" t="n">
        <v>295</v>
      </c>
      <c r="CL720" s="13" t="n">
        <v>16</v>
      </c>
      <c r="CM720" s="13" t="n">
        <v>161</v>
      </c>
      <c r="CN720" s="13" t="n">
        <v>0.329</v>
      </c>
      <c r="CO720" s="13" t="n">
        <v>148</v>
      </c>
      <c r="CP720" s="13" t="n">
        <v>100</v>
      </c>
      <c r="CQ720" s="13" t="n">
        <v>148</v>
      </c>
      <c r="CR720" s="13" t="n">
        <v>5</v>
      </c>
      <c r="CS720" s="13" t="n">
        <v>8.5</v>
      </c>
      <c r="CT720" s="11" t="inlineStr">
        <is>
          <t xml:space="preserve"> Resort Freeride</t>
        </is>
      </c>
      <c r="CU720" s="11" t="inlineStr">
        <is>
          <t xml:space="preserve"> Touring</t>
        </is>
      </c>
      <c r="CV720" s="13" t="n"/>
      <c r="CW720" s="13" t="n"/>
      <c r="CX720">
        <f>INDEX('Data_Price '!AG$2:AG$1266,MATCH(Data!$DN720,'Data_Price '!$AT$2:$AT$1266,0))</f>
        <v/>
      </c>
      <c r="CY720">
        <f>INDEX('Data_Price '!AH$2:AH$1266,MATCH(Data!$DN720,'Data_Price '!$AT$2:$AT$1266,0))</f>
        <v/>
      </c>
      <c r="CZ720">
        <f>INDEX('Data_Price '!AI$2:AI$1266,MATCH(Data!$DN720,'Data_Price '!$AT$2:$AT$1266,0))</f>
        <v/>
      </c>
      <c r="DA720">
        <f>INDEX('Data_Price '!AJ$2:AJ$1266,MATCH(Data!$DN720,'Data_Price '!$AT$2:$AT$1266,0))</f>
        <v/>
      </c>
      <c r="DB720">
        <f>INDEX('Data_Price '!AK$2:AK$1266,MATCH(Data!$DN720,'Data_Price '!$AT$2:$AT$1266,0))</f>
        <v/>
      </c>
      <c r="DC720">
        <f>INDEX('Data_Price '!AL$2:AL$1266,MATCH(Data!$DN720,'Data_Price '!$AT$2:$AT$1266,0))</f>
        <v/>
      </c>
      <c r="DD720">
        <f>INDEX('Data_Price '!AM$2:AM$1266,MATCH(Data!$DN720,'Data_Price '!$AT$2:$AT$1266,0))</f>
        <v/>
      </c>
      <c r="DE720">
        <f>INDEX('Data_Price '!AN$2:AN$1266,MATCH(Data!$DN720,'Data_Price '!$AT$2:$AT$1266,0))</f>
        <v/>
      </c>
      <c r="DF720">
        <f>INDEX('Data_Price '!AO$2:AO$1266,MATCH(Data!$DN720,'Data_Price '!$AT$2:$AT$1266,0))</f>
        <v/>
      </c>
      <c r="DG720">
        <f>INDEX('Data_Price '!AP$2:AP$1266,MATCH(Data!$DN720,'Data_Price '!$AT$2:$AT$1266,0))</f>
        <v/>
      </c>
      <c r="DH720">
        <f>INDEX('Data_Price '!AQ$2:AQ$1266,MATCH(Data!$DN720,'Data_Price '!$AT$2:$AT$1266,0))</f>
        <v/>
      </c>
      <c r="DI720">
        <f>INDEX('Data_Price '!AR$2:AR$1266,MATCH(Data!$DN720,'Data_Price '!$AT$2:$AT$1266,0))</f>
        <v/>
      </c>
      <c r="DJ720" s="138">
        <f>DA720</f>
        <v/>
      </c>
      <c r="DK720" s="138">
        <f>DE720</f>
        <v/>
      </c>
      <c r="DL720" s="138">
        <f>DI720</f>
        <v/>
      </c>
      <c r="DM720" s="303">
        <f>IF(LEFT(BT720,1)=" ",RIGHT(BT720,LEN(BT720)-1),BT720)</f>
        <v/>
      </c>
      <c r="DN720" s="138">
        <f>_xlfn.CONCAT(BS720,DM720,BU720,BV720)</f>
        <v/>
      </c>
      <c r="DO720" s="307" t="n"/>
    </row>
    <row r="721" ht="15.6" customHeight="1" s="184">
      <c r="B721" s="303">
        <f t="array" ref="B721">IF(OR(ISERROR(K721:P721)),FALSE,TRUE)</f>
        <v/>
      </c>
      <c r="C721" s="60">
        <f>OR(BR721=Driver!$G$50,Data!BR263=Driver!$H$50)</f>
        <v/>
      </c>
      <c r="D721" s="60">
        <f>OR(BV721=Driver!$G$51,BV721=Driver!$H$51)</f>
        <v/>
      </c>
      <c r="E721" s="60">
        <f>AND(BX721&gt;Driver!$F$54,BX721&lt;Driver!$G$54)</f>
        <v/>
      </c>
      <c r="F721" s="60">
        <f>CL721&gt;Driver!$F$56</f>
        <v/>
      </c>
      <c r="G721" s="60">
        <f>AND(CB721&gt;Driver!$F$55,CB721&lt;Driver!$G$55)</f>
        <v/>
      </c>
      <c r="H721" s="60">
        <f>AND(B721:G721)</f>
        <v/>
      </c>
      <c r="I721" s="60">
        <f>COUNTIFS($H$9:$H$1273,TRUE,$BT$9:$BT$1273,BT721)</f>
        <v/>
      </c>
      <c r="J721" s="60">
        <f t="array" ref="J721">NOT(OR(($H$9:$H$1273=TRUE)*($I$9:$I$1273&gt;0)*($BT$9:$BT$1273=BT721)*($K$9:$K$1273&gt;K721)))</f>
        <v/>
      </c>
      <c r="K721" s="108">
        <f>IFERROR(1-AVERAGE(X721:Y721),"")</f>
        <v/>
      </c>
      <c r="L721" s="108">
        <f>1-X721</f>
        <v/>
      </c>
      <c r="M721" s="108">
        <f>1-Y721</f>
        <v/>
      </c>
      <c r="N721" s="108">
        <f>1-Z721</f>
        <v/>
      </c>
      <c r="O721" s="108">
        <f>1-AA721</f>
        <v/>
      </c>
      <c r="P721" s="108">
        <f>1-AB721</f>
        <v/>
      </c>
      <c r="Q721" s="108" t="n"/>
      <c r="R721" s="108" t="n"/>
      <c r="S721" s="108">
        <f>1-AE721</f>
        <v/>
      </c>
      <c r="T721" s="108">
        <f>1-AF721</f>
        <v/>
      </c>
      <c r="U721" s="108">
        <f>1-AG721</f>
        <v/>
      </c>
      <c r="V721" s="108">
        <f>1-AH721</f>
        <v/>
      </c>
      <c r="W721" s="108">
        <f>1-AI721</f>
        <v/>
      </c>
      <c r="X721" s="108">
        <f>ABS(AJ721-AJ$1)</f>
        <v/>
      </c>
      <c r="Y721" s="108">
        <f>AVERAGE(Z721:AB721)</f>
        <v/>
      </c>
      <c r="Z721" s="108">
        <f>ABS(AL721-AL$1)</f>
        <v/>
      </c>
      <c r="AA721" s="108">
        <f>ABS(AM721-AM$1)</f>
        <v/>
      </c>
      <c r="AB721" s="108">
        <f>ABS(AN721-AN$1)</f>
        <v/>
      </c>
      <c r="AC721" s="108" t="n"/>
      <c r="AD721" s="108" t="n"/>
      <c r="AE721" s="108">
        <f>ABS(AQ$1-AQ721)</f>
        <v/>
      </c>
      <c r="AF721" s="108">
        <f>ABS(AR$1-AR721)</f>
        <v/>
      </c>
      <c r="AG721" s="108">
        <f>ABS(AS$1-AS721)</f>
        <v/>
      </c>
      <c r="AH721" s="108">
        <f>ABS(AT$1-AT721)</f>
        <v/>
      </c>
      <c r="AI721" s="108">
        <f>ABS(AU$1-AU721)</f>
        <v/>
      </c>
      <c r="AJ721" s="108">
        <f>(AV721-Driver!$K$179)/(Driver!$L$179-Driver!$K$179)</f>
        <v/>
      </c>
      <c r="AK721" s="108">
        <f>(AW721-Driver!$K$180)/(Driver!$L$180-Driver!$K$180)</f>
        <v/>
      </c>
      <c r="AL721" s="108">
        <f>(AX721-Driver!$K$181)/(Driver!$L$181-Driver!$K$181)</f>
        <v/>
      </c>
      <c r="AM721" s="108">
        <f>(AY721-Driver!$K$182)/(Driver!$L$182-Driver!$K$182)</f>
        <v/>
      </c>
      <c r="AN721" s="108">
        <f>(AZ721-Driver!$K$183)/(Driver!$L$183-Driver!$K$183)</f>
        <v/>
      </c>
      <c r="AO721" s="108" t="n"/>
      <c r="AP721" s="108" t="n"/>
      <c r="AQ721" s="108">
        <f>(BC721-Driver!$K$188)/(Driver!$L$188-Driver!$K$188)</f>
        <v/>
      </c>
      <c r="AR721" s="108">
        <f>MIN((BD721-Driver!$K$189)/(Driver!$L$189-Driver!$K$189),100%)</f>
        <v/>
      </c>
      <c r="AS721" s="108">
        <f>(BE721-Driver!$K$190)/(Driver!$L$190-Driver!$K$190)</f>
        <v/>
      </c>
      <c r="AT721" s="108">
        <f>(BF721-Driver!$K$191)/(Driver!$L$191-Driver!$K$191)</f>
        <v/>
      </c>
      <c r="AU721" s="108">
        <f>(BG721-Driver!$K$192)/(Driver!$L$192-Driver!$K$192)</f>
        <v/>
      </c>
      <c r="AV721" s="105">
        <f>IFERROR(BM721*BJ721^1/4,"")</f>
        <v/>
      </c>
      <c r="AW721" s="105">
        <f>IFERROR(SUM(AX721:AZ721),"")</f>
        <v/>
      </c>
      <c r="AX721" s="105">
        <f>IFERROR(BH721,"")</f>
        <v/>
      </c>
      <c r="AY721" s="105">
        <f>IFERROR(Driver!$K$19/Data!BH721/Data!BI721*Data!BK721*Data!BL721,"")</f>
        <v/>
      </c>
      <c r="AZ721" s="105">
        <f>IFERROR(BI721*BN721,"")</f>
        <v/>
      </c>
      <c r="BA721" s="105" t="n"/>
      <c r="BB721" s="105" t="n"/>
      <c r="BC721" s="105">
        <f>IFERROR(BI721*BN721*BK721/BJ721^(1/2),"")</f>
        <v/>
      </c>
      <c r="BD721" s="105">
        <f>IFERROR(BH721*BM721*BL721/BJ721/BK721,"")</f>
        <v/>
      </c>
      <c r="BE721" s="105">
        <f>IFERROR(MIN(BI721/BQ721/BP721/BO721/BH721,$BE$1),"")</f>
        <v/>
      </c>
      <c r="BF721" s="105">
        <f>IFERROR(BJ721*BO721*BP721/BK721,"")</f>
        <v/>
      </c>
      <c r="BG721" s="105">
        <f>IFERROR(1/BM721/BH721*BQ721,"")</f>
        <v/>
      </c>
      <c r="BH721" s="102">
        <f>MAX((CE721-Driver!$F$200)/(Driver!$G$200-Driver!$F$200)*$BI$1,1)</f>
        <v/>
      </c>
      <c r="BI721" s="102">
        <f>MAX($BI$1*(BY721-Driver!$F$201)/(Driver!$G$201-Driver!$F$201),1)</f>
        <v/>
      </c>
      <c r="BJ721" s="102">
        <f>(CB721-Driver!$F$206)/(Driver!$G$206-Driver!$F$206)*$BI$1</f>
        <v/>
      </c>
      <c r="BK721" s="102">
        <f>(CD721-Driver!$F$203)/(Driver!$G$203-Driver!$F$203)*$BI$1</f>
        <v/>
      </c>
      <c r="BL721" s="102">
        <f>MAX((CR721-Driver!$F$202)/(Driver!$G$202-Driver!$F$202)*$BI$1,1)</f>
        <v/>
      </c>
      <c r="BM721" s="102">
        <f>MAX((CH721-Driver!$F$204)/(Driver!$G$204-Driver!$F$204)*$BI$1,1)</f>
        <v/>
      </c>
      <c r="BN721" s="102">
        <f>(CI721-Driver!$F$205)/(Driver!$G$205-Driver!$F$205)*$BI$1</f>
        <v/>
      </c>
      <c r="BO721" s="102">
        <f>(CK721-Driver!$F$207)/(Driver!$G$207-Driver!$F$207)*$BI$1</f>
        <v/>
      </c>
      <c r="BP721" s="102">
        <f>(CM721-Driver!$F$208)/(Driver!$G$208-Driver!$F$208)*$BI$1</f>
        <v/>
      </c>
      <c r="BQ721" s="102">
        <f>(CL721-Driver!$F$209)/(Driver!$G$209-Driver!$F$209)*$BI$1</f>
        <v/>
      </c>
      <c r="BR721" s="40" t="inlineStr">
        <is>
          <t>21/22</t>
        </is>
      </c>
      <c r="BS721" s="10" t="inlineStr">
        <is>
          <t xml:space="preserve"> Blizzard</t>
        </is>
      </c>
      <c r="BT721" s="11" t="inlineStr">
        <is>
          <t>Black Pearl 88</t>
        </is>
      </c>
      <c r="BU721" s="13" t="n">
        <v>177</v>
      </c>
      <c r="BV721" s="11" t="inlineStr">
        <is>
          <t xml:space="preserve"> Women's</t>
        </is>
      </c>
      <c r="BW721" s="13" t="n">
        <v>177</v>
      </c>
      <c r="BX721" s="13" t="n">
        <v>175.8</v>
      </c>
      <c r="BY721" s="13" t="n">
        <v>145</v>
      </c>
      <c r="BZ721" s="13" t="n">
        <v>153</v>
      </c>
      <c r="CA721" s="13" t="n">
        <v>127</v>
      </c>
      <c r="CB721" s="13" t="n">
        <v>86</v>
      </c>
      <c r="CC721" s="13" t="n">
        <v>109</v>
      </c>
      <c r="CD721" s="13" t="n">
        <v>17.7</v>
      </c>
      <c r="CE721" s="13" t="n">
        <v>1933</v>
      </c>
      <c r="CF721" s="13" t="n">
        <v>0.89</v>
      </c>
      <c r="CG721" s="13" t="n">
        <v>1730</v>
      </c>
      <c r="CH721" s="13" t="n">
        <v>225</v>
      </c>
      <c r="CI721" s="13" t="n">
        <v>109</v>
      </c>
      <c r="CJ721" s="13" t="n">
        <v>57</v>
      </c>
      <c r="CK721" s="13" t="n">
        <v>209</v>
      </c>
      <c r="CL721" s="13" t="n">
        <v>6</v>
      </c>
      <c r="CM721" s="13" t="n">
        <v>95</v>
      </c>
      <c r="CN721" s="13" t="n">
        <v>0.111</v>
      </c>
      <c r="CO721" s="13" t="n">
        <v>127</v>
      </c>
      <c r="CP721" s="13" t="n">
        <v>97</v>
      </c>
      <c r="CQ721" s="13" t="n">
        <v>83</v>
      </c>
      <c r="CR721" s="13" t="n">
        <v>9</v>
      </c>
      <c r="CS721" s="13" t="n">
        <v>11</v>
      </c>
      <c r="CT721" s="11" t="inlineStr">
        <is>
          <t xml:space="preserve"> Resort Freeride</t>
        </is>
      </c>
      <c r="CU721" s="13" t="n"/>
      <c r="CV721" s="13" t="n"/>
      <c r="CW721" s="13" t="n"/>
      <c r="CX721">
        <f>INDEX('Data_Price '!AG$2:AG$1266,MATCH(Data!$DN721,'Data_Price '!$AT$2:$AT$1266,0))</f>
        <v/>
      </c>
      <c r="CY721">
        <f>INDEX('Data_Price '!AH$2:AH$1266,MATCH(Data!$DN721,'Data_Price '!$AT$2:$AT$1266,0))</f>
        <v/>
      </c>
      <c r="CZ721">
        <f>INDEX('Data_Price '!AI$2:AI$1266,MATCH(Data!$DN721,'Data_Price '!$AT$2:$AT$1266,0))</f>
        <v/>
      </c>
      <c r="DA721">
        <f>INDEX('Data_Price '!AJ$2:AJ$1266,MATCH(Data!$DN721,'Data_Price '!$AT$2:$AT$1266,0))</f>
        <v/>
      </c>
      <c r="DB721">
        <f>INDEX('Data_Price '!AK$2:AK$1266,MATCH(Data!$DN721,'Data_Price '!$AT$2:$AT$1266,0))</f>
        <v/>
      </c>
      <c r="DC721">
        <f>INDEX('Data_Price '!AL$2:AL$1266,MATCH(Data!$DN721,'Data_Price '!$AT$2:$AT$1266,0))</f>
        <v/>
      </c>
      <c r="DD721">
        <f>INDEX('Data_Price '!AM$2:AM$1266,MATCH(Data!$DN721,'Data_Price '!$AT$2:$AT$1266,0))</f>
        <v/>
      </c>
      <c r="DE721">
        <f>INDEX('Data_Price '!AN$2:AN$1266,MATCH(Data!$DN721,'Data_Price '!$AT$2:$AT$1266,0))</f>
        <v/>
      </c>
      <c r="DF721">
        <f>INDEX('Data_Price '!AO$2:AO$1266,MATCH(Data!$DN721,'Data_Price '!$AT$2:$AT$1266,0))</f>
        <v/>
      </c>
      <c r="DG721">
        <f>INDEX('Data_Price '!AP$2:AP$1266,MATCH(Data!$DN721,'Data_Price '!$AT$2:$AT$1266,0))</f>
        <v/>
      </c>
      <c r="DH721">
        <f>INDEX('Data_Price '!AQ$2:AQ$1266,MATCH(Data!$DN721,'Data_Price '!$AT$2:$AT$1266,0))</f>
        <v/>
      </c>
      <c r="DI721">
        <f>INDEX('Data_Price '!AR$2:AR$1266,MATCH(Data!$DN721,'Data_Price '!$AT$2:$AT$1266,0))</f>
        <v/>
      </c>
      <c r="DJ721" s="138">
        <f>DA721</f>
        <v/>
      </c>
      <c r="DK721" s="138">
        <f>DE721</f>
        <v/>
      </c>
      <c r="DL721" s="138">
        <f>DI721</f>
        <v/>
      </c>
      <c r="DM721" s="303">
        <f>IF(LEFT(BT721,1)=" ",RIGHT(BT721,LEN(BT721)-1),BT721)</f>
        <v/>
      </c>
      <c r="DN721" s="138">
        <f>_xlfn.CONCAT(BS721,DM721,BU721,BV721)</f>
        <v/>
      </c>
      <c r="DO721" s="307" t="inlineStr">
        <is>
          <t>https://images.evo.com/imgp/250/176883/876087/blizzard-black-pearl-88-skis-women-s-.jpg</t>
        </is>
      </c>
    </row>
    <row r="722" ht="15.6" customHeight="1" s="184">
      <c r="B722" s="303">
        <f t="array" ref="B722">IF(OR(ISERROR(K722:P722)),FALSE,TRUE)</f>
        <v/>
      </c>
      <c r="C722" s="60">
        <f>OR(BR722=Driver!$G$50,Data!BR769=Driver!$H$50)</f>
        <v/>
      </c>
      <c r="D722" s="60">
        <f>OR(BV722=Driver!$G$51,BV722=Driver!$H$51)</f>
        <v/>
      </c>
      <c r="E722" s="60">
        <f>AND(BX722&gt;Driver!$F$54,BX722&lt;Driver!$G$54)</f>
        <v/>
      </c>
      <c r="F722" s="60">
        <f>CL722&gt;Driver!$F$56</f>
        <v/>
      </c>
      <c r="G722" s="60">
        <f>AND(CB722&gt;Driver!$F$55,CB722&lt;Driver!$G$55)</f>
        <v/>
      </c>
      <c r="H722" s="60">
        <f>AND(B722:G722)</f>
        <v/>
      </c>
      <c r="I722" s="60">
        <f>COUNTIFS($H$9:$H$1273,TRUE,$BT$9:$BT$1273,BT722)</f>
        <v/>
      </c>
      <c r="J722" s="60">
        <f t="array" ref="J722">NOT(OR(($H$9:$H$1273=TRUE)*($I$9:$I$1273&gt;0)*($BT$9:$BT$1273=BT722)*($K$9:$K$1273&gt;K722)))</f>
        <v/>
      </c>
      <c r="K722" s="108">
        <f>IFERROR(1-AVERAGE(X722:Y722),"")</f>
        <v/>
      </c>
      <c r="L722" s="108">
        <f>1-X722</f>
        <v/>
      </c>
      <c r="M722" s="108">
        <f>1-Y722</f>
        <v/>
      </c>
      <c r="N722" s="108">
        <f>1-Z722</f>
        <v/>
      </c>
      <c r="O722" s="108">
        <f>1-AA722</f>
        <v/>
      </c>
      <c r="P722" s="108">
        <f>1-AB722</f>
        <v/>
      </c>
      <c r="Q722" s="108" t="n"/>
      <c r="R722" s="108" t="n"/>
      <c r="S722" s="108">
        <f>1-AE722</f>
        <v/>
      </c>
      <c r="T722" s="108">
        <f>1-AF722</f>
        <v/>
      </c>
      <c r="U722" s="108">
        <f>1-AG722</f>
        <v/>
      </c>
      <c r="V722" s="108">
        <f>1-AH722</f>
        <v/>
      </c>
      <c r="W722" s="108">
        <f>1-AI722</f>
        <v/>
      </c>
      <c r="X722" s="108">
        <f>ABS(AJ722-AJ$1)</f>
        <v/>
      </c>
      <c r="Y722" s="108">
        <f>AVERAGE(Z722:AB722)</f>
        <v/>
      </c>
      <c r="Z722" s="108">
        <f>ABS(AL722-AL$1)</f>
        <v/>
      </c>
      <c r="AA722" s="108">
        <f>ABS(AM722-AM$1)</f>
        <v/>
      </c>
      <c r="AB722" s="108">
        <f>ABS(AN722-AN$1)</f>
        <v/>
      </c>
      <c r="AC722" s="108" t="n"/>
      <c r="AD722" s="108" t="n"/>
      <c r="AE722" s="108">
        <f>ABS(AQ$1-AQ722)</f>
        <v/>
      </c>
      <c r="AF722" s="108">
        <f>ABS(AR$1-AR722)</f>
        <v/>
      </c>
      <c r="AG722" s="108">
        <f>ABS(AS$1-AS722)</f>
        <v/>
      </c>
      <c r="AH722" s="108">
        <f>ABS(AT$1-AT722)</f>
        <v/>
      </c>
      <c r="AI722" s="108">
        <f>ABS(AU$1-AU722)</f>
        <v/>
      </c>
      <c r="AJ722" s="108">
        <f>(AV722-Driver!$K$179)/(Driver!$L$179-Driver!$K$179)</f>
        <v/>
      </c>
      <c r="AK722" s="108">
        <f>(AW722-Driver!$K$180)/(Driver!$L$180-Driver!$K$180)</f>
        <v/>
      </c>
      <c r="AL722" s="108">
        <f>(AX722-Driver!$K$181)/(Driver!$L$181-Driver!$K$181)</f>
        <v/>
      </c>
      <c r="AM722" s="108">
        <f>(AY722-Driver!$K$182)/(Driver!$L$182-Driver!$K$182)</f>
        <v/>
      </c>
      <c r="AN722" s="108">
        <f>(AZ722-Driver!$K$183)/(Driver!$L$183-Driver!$K$183)</f>
        <v/>
      </c>
      <c r="AO722" s="108" t="n"/>
      <c r="AP722" s="108" t="n"/>
      <c r="AQ722" s="108">
        <f>(BC722-Driver!$K$188)/(Driver!$L$188-Driver!$K$188)</f>
        <v/>
      </c>
      <c r="AR722" s="108">
        <f>MIN((BD722-Driver!$K$189)/(Driver!$L$189-Driver!$K$189),100%)</f>
        <v/>
      </c>
      <c r="AS722" s="108">
        <f>(BE722-Driver!$K$190)/(Driver!$L$190-Driver!$K$190)</f>
        <v/>
      </c>
      <c r="AT722" s="108">
        <f>(BF722-Driver!$K$191)/(Driver!$L$191-Driver!$K$191)</f>
        <v/>
      </c>
      <c r="AU722" s="108">
        <f>(BG722-Driver!$K$192)/(Driver!$L$192-Driver!$K$192)</f>
        <v/>
      </c>
      <c r="AV722" s="105">
        <f>IFERROR(BM722*BJ722^1/4,"")</f>
        <v/>
      </c>
      <c r="AW722" s="105">
        <f>IFERROR(SUM(AX722:AZ722),"")</f>
        <v/>
      </c>
      <c r="AX722" s="105">
        <f>IFERROR(BH722,"")</f>
        <v/>
      </c>
      <c r="AY722" s="105">
        <f>IFERROR(Driver!$K$19/Data!BH722/Data!BI722*Data!BK722*Data!BL722,"")</f>
        <v/>
      </c>
      <c r="AZ722" s="105">
        <f>IFERROR(BI722*BN722,"")</f>
        <v/>
      </c>
      <c r="BA722" s="105" t="n"/>
      <c r="BB722" s="105" t="n"/>
      <c r="BC722" s="105">
        <f>IFERROR(BI722*BN722*BK722/BJ722^(1/2),"")</f>
        <v/>
      </c>
      <c r="BD722" s="105">
        <f>IFERROR(BH722*BM722*BL722/BJ722/BK722,"")</f>
        <v/>
      </c>
      <c r="BE722" s="105">
        <f>IFERROR(MIN(BI722/BQ722/BP722/BO722/BH722,$BE$1),"")</f>
        <v/>
      </c>
      <c r="BF722" s="105">
        <f>IFERROR(BJ722*BO722*BP722/BK722,"")</f>
        <v/>
      </c>
      <c r="BG722" s="105">
        <f>IFERROR(1/BM722/BH722*BQ722,"")</f>
        <v/>
      </c>
      <c r="BH722" s="102">
        <f>MAX((CE722-Driver!$F$200)/(Driver!$G$200-Driver!$F$200)*$BI$1,1)</f>
        <v/>
      </c>
      <c r="BI722" s="102">
        <f>MAX($BI$1*(BY722-Driver!$F$201)/(Driver!$G$201-Driver!$F$201),1)</f>
        <v/>
      </c>
      <c r="BJ722" s="102">
        <f>(CB722-Driver!$F$206)/(Driver!$G$206-Driver!$F$206)*$BI$1</f>
        <v/>
      </c>
      <c r="BK722" s="102">
        <f>(CD722-Driver!$F$203)/(Driver!$G$203-Driver!$F$203)*$BI$1</f>
        <v/>
      </c>
      <c r="BL722" s="102">
        <f>MAX((CR722-Driver!$F$202)/(Driver!$G$202-Driver!$F$202)*$BI$1,1)</f>
        <v/>
      </c>
      <c r="BM722" s="102">
        <f>MAX((CH722-Driver!$F$204)/(Driver!$G$204-Driver!$F$204)*$BI$1,1)</f>
        <v/>
      </c>
      <c r="BN722" s="102">
        <f>(CI722-Driver!$F$205)/(Driver!$G$205-Driver!$F$205)*$BI$1</f>
        <v/>
      </c>
      <c r="BO722" s="102">
        <f>(CK722-Driver!$F$207)/(Driver!$G$207-Driver!$F$207)*$BI$1</f>
        <v/>
      </c>
      <c r="BP722" s="102">
        <f>(CM722-Driver!$F$208)/(Driver!$G$208-Driver!$F$208)*$BI$1</f>
        <v/>
      </c>
      <c r="BQ722" s="102">
        <f>(CL722-Driver!$F$209)/(Driver!$G$209-Driver!$F$209)*$BI$1</f>
        <v/>
      </c>
      <c r="BR722" s="40" t="inlineStr">
        <is>
          <t>21/22</t>
        </is>
      </c>
      <c r="BS722" s="10" t="inlineStr">
        <is>
          <t xml:space="preserve"> K2</t>
        </is>
      </c>
      <c r="BT722" s="11" t="inlineStr">
        <is>
          <t>Reckoner 122</t>
        </is>
      </c>
      <c r="BU722" s="13" t="n">
        <v>184</v>
      </c>
      <c r="BV722" s="11" t="inlineStr">
        <is>
          <t xml:space="preserve"> Unisex</t>
        </is>
      </c>
      <c r="BW722" s="13" t="n">
        <v>184</v>
      </c>
      <c r="BX722" s="13" t="n">
        <v>183.1</v>
      </c>
      <c r="BY722" s="13" t="n">
        <v>96</v>
      </c>
      <c r="BZ722" s="13" t="n">
        <v>139</v>
      </c>
      <c r="CA722" s="13" t="n">
        <v>144</v>
      </c>
      <c r="CB722" s="13" t="n">
        <v>122</v>
      </c>
      <c r="CC722" s="13" t="n">
        <v>135</v>
      </c>
      <c r="CD722" s="13" t="n">
        <v>24.6</v>
      </c>
      <c r="CE722" s="13" t="n">
        <v>2076</v>
      </c>
      <c r="CF722" s="13" t="n">
        <v>1.13</v>
      </c>
      <c r="CG722" s="13" t="n">
        <v>2349</v>
      </c>
      <c r="CH722" s="13" t="n">
        <v>211</v>
      </c>
      <c r="CI722" s="13" t="n">
        <v>107</v>
      </c>
      <c r="CJ722" s="13" t="n">
        <v>67</v>
      </c>
      <c r="CK722" s="13" t="n">
        <v>459</v>
      </c>
      <c r="CL722" s="13" t="n">
        <v>48</v>
      </c>
      <c r="CM722" s="13" t="n">
        <v>414</v>
      </c>
      <c r="CN722" s="13" t="n">
        <v>0.714</v>
      </c>
      <c r="CO722" s="13" t="n">
        <v>221</v>
      </c>
      <c r="CP722" s="13" t="n">
        <v>221</v>
      </c>
      <c r="CQ722" s="13" t="n">
        <v>238</v>
      </c>
      <c r="CR722" s="13" t="n">
        <v>3</v>
      </c>
      <c r="CS722" s="13" t="n">
        <v>5.1</v>
      </c>
      <c r="CT722" s="11" t="inlineStr">
        <is>
          <t xml:space="preserve"> Powder</t>
        </is>
      </c>
      <c r="CU722" s="11" t="inlineStr">
        <is>
          <t xml:space="preserve"> Touring</t>
        </is>
      </c>
      <c r="CV722" s="13" t="n"/>
      <c r="CW722" s="13" t="n"/>
      <c r="CX722">
        <f>INDEX('Data_Price '!AG$2:AG$1266,MATCH(Data!$DN722,'Data_Price '!$AT$2:$AT$1266,0))</f>
        <v/>
      </c>
      <c r="CY722">
        <f>INDEX('Data_Price '!AH$2:AH$1266,MATCH(Data!$DN722,'Data_Price '!$AT$2:$AT$1266,0))</f>
        <v/>
      </c>
      <c r="CZ722">
        <f>INDEX('Data_Price '!AI$2:AI$1266,MATCH(Data!$DN722,'Data_Price '!$AT$2:$AT$1266,0))</f>
        <v/>
      </c>
      <c r="DA722">
        <f>INDEX('Data_Price '!AJ$2:AJ$1266,MATCH(Data!$DN722,'Data_Price '!$AT$2:$AT$1266,0))</f>
        <v/>
      </c>
      <c r="DB722">
        <f>INDEX('Data_Price '!AK$2:AK$1266,MATCH(Data!$DN722,'Data_Price '!$AT$2:$AT$1266,0))</f>
        <v/>
      </c>
      <c r="DC722">
        <f>INDEX('Data_Price '!AL$2:AL$1266,MATCH(Data!$DN722,'Data_Price '!$AT$2:$AT$1266,0))</f>
        <v/>
      </c>
      <c r="DD722">
        <f>INDEX('Data_Price '!AM$2:AM$1266,MATCH(Data!$DN722,'Data_Price '!$AT$2:$AT$1266,0))</f>
        <v/>
      </c>
      <c r="DE722">
        <f>INDEX('Data_Price '!AN$2:AN$1266,MATCH(Data!$DN722,'Data_Price '!$AT$2:$AT$1266,0))</f>
        <v/>
      </c>
      <c r="DF722">
        <f>INDEX('Data_Price '!AO$2:AO$1266,MATCH(Data!$DN722,'Data_Price '!$AT$2:$AT$1266,0))</f>
        <v/>
      </c>
      <c r="DG722">
        <f>INDEX('Data_Price '!AP$2:AP$1266,MATCH(Data!$DN722,'Data_Price '!$AT$2:$AT$1266,0))</f>
        <v/>
      </c>
      <c r="DH722">
        <f>INDEX('Data_Price '!AQ$2:AQ$1266,MATCH(Data!$DN722,'Data_Price '!$AT$2:$AT$1266,0))</f>
        <v/>
      </c>
      <c r="DI722">
        <f>INDEX('Data_Price '!AR$2:AR$1266,MATCH(Data!$DN722,'Data_Price '!$AT$2:$AT$1266,0))</f>
        <v/>
      </c>
      <c r="DJ722" s="138">
        <f>DA722</f>
        <v/>
      </c>
      <c r="DK722" s="138">
        <f>DE722</f>
        <v/>
      </c>
      <c r="DL722" s="138">
        <f>DI722</f>
        <v/>
      </c>
      <c r="DM722" s="303">
        <f>IF(LEFT(BT722,1)=" ",RIGHT(BT722,LEN(BT722)-1),BT722)</f>
        <v/>
      </c>
      <c r="DN722" s="138">
        <f>_xlfn.CONCAT(BS722,DM722,BU722,BV722)</f>
        <v/>
      </c>
      <c r="DO722" s="307" t="inlineStr">
        <is>
          <t>https://images.evo.com/imgp/250/182106/723849/k2-reckoner-122-skis-2021-.jpg</t>
        </is>
      </c>
    </row>
    <row r="723" ht="15.6" customHeight="1" s="184">
      <c r="B723" s="303">
        <f t="array" ref="B723">IF(OR(ISERROR(K723:P723)),FALSE,TRUE)</f>
        <v/>
      </c>
      <c r="C723" s="60">
        <f>OR(BR723=Driver!$G$50,Data!BR1089=Driver!$H$50)</f>
        <v/>
      </c>
      <c r="D723" s="60">
        <f>OR(BV723=Driver!$G$51,BV723=Driver!$H$51)</f>
        <v/>
      </c>
      <c r="E723" s="60">
        <f>AND(BX723&gt;Driver!$F$54,BX723&lt;Driver!$G$54)</f>
        <v/>
      </c>
      <c r="F723" s="60">
        <f>CL723&gt;Driver!$F$56</f>
        <v/>
      </c>
      <c r="G723" s="60">
        <f>AND(CB723&gt;Driver!$F$55,CB723&lt;Driver!$G$55)</f>
        <v/>
      </c>
      <c r="H723" s="60">
        <f>AND(B723:G723)</f>
        <v/>
      </c>
      <c r="I723" s="60">
        <f>COUNTIFS($H$9:$H$1273,TRUE,$BT$9:$BT$1273,BT723)</f>
        <v/>
      </c>
      <c r="J723" s="60">
        <f t="array" ref="J723">NOT(OR(($H$9:$H$1273=TRUE)*($I$9:$I$1273&gt;0)*($BT$9:$BT$1273=BT723)*($K$9:$K$1273&gt;K723)))</f>
        <v/>
      </c>
      <c r="K723" s="108">
        <f>IFERROR(1-AVERAGE(X723:Y723),"")</f>
        <v/>
      </c>
      <c r="L723" s="108">
        <f>1-X723</f>
        <v/>
      </c>
      <c r="M723" s="108">
        <f>1-Y723</f>
        <v/>
      </c>
      <c r="N723" s="108">
        <f>1-Z723</f>
        <v/>
      </c>
      <c r="O723" s="108">
        <f>1-AA723</f>
        <v/>
      </c>
      <c r="P723" s="108">
        <f>1-AB723</f>
        <v/>
      </c>
      <c r="Q723" s="108" t="n"/>
      <c r="R723" s="108" t="n"/>
      <c r="S723" s="108">
        <f>1-AE723</f>
        <v/>
      </c>
      <c r="T723" s="108">
        <f>1-AF723</f>
        <v/>
      </c>
      <c r="U723" s="108">
        <f>1-AG723</f>
        <v/>
      </c>
      <c r="V723" s="108">
        <f>1-AH723</f>
        <v/>
      </c>
      <c r="W723" s="108">
        <f>1-AI723</f>
        <v/>
      </c>
      <c r="X723" s="108">
        <f>ABS(AJ723-AJ$1)</f>
        <v/>
      </c>
      <c r="Y723" s="108">
        <f>AVERAGE(Z723:AB723)</f>
        <v/>
      </c>
      <c r="Z723" s="108">
        <f>ABS(AL723-AL$1)</f>
        <v/>
      </c>
      <c r="AA723" s="108">
        <f>ABS(AM723-AM$1)</f>
        <v/>
      </c>
      <c r="AB723" s="108">
        <f>ABS(AN723-AN$1)</f>
        <v/>
      </c>
      <c r="AC723" s="108" t="n"/>
      <c r="AD723" s="108" t="n"/>
      <c r="AE723" s="108">
        <f>ABS(AQ$1-AQ723)</f>
        <v/>
      </c>
      <c r="AF723" s="108">
        <f>ABS(AR$1-AR723)</f>
        <v/>
      </c>
      <c r="AG723" s="108">
        <f>ABS(AS$1-AS723)</f>
        <v/>
      </c>
      <c r="AH723" s="108">
        <f>ABS(AT$1-AT723)</f>
        <v/>
      </c>
      <c r="AI723" s="108">
        <f>ABS(AU$1-AU723)</f>
        <v/>
      </c>
      <c r="AJ723" s="108">
        <f>(AV723-Driver!$K$179)/(Driver!$L$179-Driver!$K$179)</f>
        <v/>
      </c>
      <c r="AK723" s="108">
        <f>(AW723-Driver!$K$180)/(Driver!$L$180-Driver!$K$180)</f>
        <v/>
      </c>
      <c r="AL723" s="108">
        <f>(AX723-Driver!$K$181)/(Driver!$L$181-Driver!$K$181)</f>
        <v/>
      </c>
      <c r="AM723" s="108">
        <f>(AY723-Driver!$K$182)/(Driver!$L$182-Driver!$K$182)</f>
        <v/>
      </c>
      <c r="AN723" s="108">
        <f>(AZ723-Driver!$K$183)/(Driver!$L$183-Driver!$K$183)</f>
        <v/>
      </c>
      <c r="AO723" s="108" t="n"/>
      <c r="AP723" s="108" t="n"/>
      <c r="AQ723" s="108">
        <f>(BC723-Driver!$K$188)/(Driver!$L$188-Driver!$K$188)</f>
        <v/>
      </c>
      <c r="AR723" s="108">
        <f>MIN((BD723-Driver!$K$189)/(Driver!$L$189-Driver!$K$189),100%)</f>
        <v/>
      </c>
      <c r="AS723" s="108">
        <f>(BE723-Driver!$K$190)/(Driver!$L$190-Driver!$K$190)</f>
        <v/>
      </c>
      <c r="AT723" s="108">
        <f>(BF723-Driver!$K$191)/(Driver!$L$191-Driver!$K$191)</f>
        <v/>
      </c>
      <c r="AU723" s="108">
        <f>(BG723-Driver!$K$192)/(Driver!$L$192-Driver!$K$192)</f>
        <v/>
      </c>
      <c r="AV723" s="105">
        <f>IFERROR(BM723*BJ723^1/4,"")</f>
        <v/>
      </c>
      <c r="AW723" s="105">
        <f>IFERROR(SUM(AX723:AZ723),"")</f>
        <v/>
      </c>
      <c r="AX723" s="105">
        <f>IFERROR(BH723,"")</f>
        <v/>
      </c>
      <c r="AY723" s="105">
        <f>IFERROR(Driver!$K$19/Data!BH723/Data!BI723*Data!BK723*Data!BL723,"")</f>
        <v/>
      </c>
      <c r="AZ723" s="105">
        <f>IFERROR(BI723*BN723,"")</f>
        <v/>
      </c>
      <c r="BA723" s="105" t="n"/>
      <c r="BB723" s="105" t="n"/>
      <c r="BC723" s="105">
        <f>IFERROR(BI723*BN723*BK723/BJ723^(1/2),"")</f>
        <v/>
      </c>
      <c r="BD723" s="105">
        <f>IFERROR(BH723*BM723*BL723/BJ723/BK723,"")</f>
        <v/>
      </c>
      <c r="BE723" s="105">
        <f>IFERROR(MIN(BI723/BQ723/BP723/BO723/BH723,$BE$1),"")</f>
        <v/>
      </c>
      <c r="BF723" s="105">
        <f>IFERROR(BJ723*BO723*BP723/BK723,"")</f>
        <v/>
      </c>
      <c r="BG723" s="105">
        <f>IFERROR(1/BM723/BH723*BQ723,"")</f>
        <v/>
      </c>
      <c r="BH723" s="102">
        <f>MAX((CE723-Driver!$F$200)/(Driver!$G$200-Driver!$F$200)*$BI$1,1)</f>
        <v/>
      </c>
      <c r="BI723" s="102">
        <f>MAX($BI$1*(BY723-Driver!$F$201)/(Driver!$G$201-Driver!$F$201),1)</f>
        <v/>
      </c>
      <c r="BJ723" s="102">
        <f>(CB723-Driver!$F$206)/(Driver!$G$206-Driver!$F$206)*$BI$1</f>
        <v/>
      </c>
      <c r="BK723" s="102">
        <f>(CD723-Driver!$F$203)/(Driver!$G$203-Driver!$F$203)*$BI$1</f>
        <v/>
      </c>
      <c r="BL723" s="102">
        <f>MAX((CR723-Driver!$F$202)/(Driver!$G$202-Driver!$F$202)*$BI$1,1)</f>
        <v/>
      </c>
      <c r="BM723" s="102">
        <f>MAX((CH723-Driver!$F$204)/(Driver!$G$204-Driver!$F$204)*$BI$1,1)</f>
        <v/>
      </c>
      <c r="BN723" s="102">
        <f>(CI723-Driver!$F$205)/(Driver!$G$205-Driver!$F$205)*$BI$1</f>
        <v/>
      </c>
      <c r="BO723" s="102">
        <f>(CK723-Driver!$F$207)/(Driver!$G$207-Driver!$F$207)*$BI$1</f>
        <v/>
      </c>
      <c r="BP723" s="102">
        <f>(CM723-Driver!$F$208)/(Driver!$G$208-Driver!$F$208)*$BI$1</f>
        <v/>
      </c>
      <c r="BQ723" s="102">
        <f>(CL723-Driver!$F$209)/(Driver!$G$209-Driver!$F$209)*$BI$1</f>
        <v/>
      </c>
      <c r="BR723" s="40" t="inlineStr">
        <is>
          <t>21/22</t>
        </is>
      </c>
      <c r="BS723" s="10" t="inlineStr">
        <is>
          <t xml:space="preserve"> Salomon</t>
        </is>
      </c>
      <c r="BT723" s="11" t="inlineStr">
        <is>
          <t>S/Force 80FX</t>
        </is>
      </c>
      <c r="BU723" s="13" t="n">
        <v>156</v>
      </c>
      <c r="BV723" s="11" t="inlineStr">
        <is>
          <t xml:space="preserve"> Unisex</t>
        </is>
      </c>
      <c r="BW723" s="13" t="n">
        <v>156</v>
      </c>
      <c r="BX723" s="13" t="n">
        <v>155.3</v>
      </c>
      <c r="BY723" s="13" t="n">
        <v>132</v>
      </c>
      <c r="BZ723" s="13" t="n">
        <v>143</v>
      </c>
      <c r="CA723" s="13" t="n">
        <v>126</v>
      </c>
      <c r="CB723" s="13" t="n">
        <v>80</v>
      </c>
      <c r="CC723" s="13" t="n">
        <v>109</v>
      </c>
      <c r="CD723" s="13" t="n">
        <v>12.9</v>
      </c>
      <c r="CE723" s="13" t="n">
        <v>1853</v>
      </c>
      <c r="CF723" s="13" t="n">
        <v>0.79</v>
      </c>
      <c r="CG723" s="13" t="n">
        <v>1472</v>
      </c>
      <c r="CH723" s="13" t="n">
        <v>180</v>
      </c>
      <c r="CI723" s="13" t="n">
        <v>84</v>
      </c>
      <c r="CJ723" s="13" t="n">
        <v>40</v>
      </c>
      <c r="CK723" s="13" t="n">
        <v>151</v>
      </c>
      <c r="CL723" s="13" t="n">
        <v>4</v>
      </c>
      <c r="CM723" s="13" t="n">
        <v>79</v>
      </c>
      <c r="CN723" s="13" t="n">
        <v>0.08799999999999999</v>
      </c>
      <c r="CO723" s="13" t="n">
        <v>86</v>
      </c>
      <c r="CP723" s="13" t="n">
        <v>33</v>
      </c>
      <c r="CQ723" s="13" t="n">
        <v>66</v>
      </c>
      <c r="CR723" s="13" t="n">
        <v>8</v>
      </c>
      <c r="CS723" s="13" t="n">
        <v>10.5</v>
      </c>
      <c r="CT723" s="11" t="inlineStr">
        <is>
          <t xml:space="preserve"> On-Piste Carving</t>
        </is>
      </c>
      <c r="CU723" s="13" t="n"/>
      <c r="CV723" s="13" t="n"/>
      <c r="CW723" s="13" t="n"/>
      <c r="CX723">
        <f>INDEX('Data_Price '!AG$2:AG$1266,MATCH(Data!$DN723,'Data_Price '!$AT$2:$AT$1266,0))</f>
        <v/>
      </c>
      <c r="CY723">
        <f>INDEX('Data_Price '!AH$2:AH$1266,MATCH(Data!$DN723,'Data_Price '!$AT$2:$AT$1266,0))</f>
        <v/>
      </c>
      <c r="CZ723">
        <f>INDEX('Data_Price '!AI$2:AI$1266,MATCH(Data!$DN723,'Data_Price '!$AT$2:$AT$1266,0))</f>
        <v/>
      </c>
      <c r="DA723">
        <f>INDEX('Data_Price '!AJ$2:AJ$1266,MATCH(Data!$DN723,'Data_Price '!$AT$2:$AT$1266,0))</f>
        <v/>
      </c>
      <c r="DB723">
        <f>INDEX('Data_Price '!AK$2:AK$1266,MATCH(Data!$DN723,'Data_Price '!$AT$2:$AT$1266,0))</f>
        <v/>
      </c>
      <c r="DC723">
        <f>INDEX('Data_Price '!AL$2:AL$1266,MATCH(Data!$DN723,'Data_Price '!$AT$2:$AT$1266,0))</f>
        <v/>
      </c>
      <c r="DD723">
        <f>INDEX('Data_Price '!AM$2:AM$1266,MATCH(Data!$DN723,'Data_Price '!$AT$2:$AT$1266,0))</f>
        <v/>
      </c>
      <c r="DE723">
        <f>INDEX('Data_Price '!AN$2:AN$1266,MATCH(Data!$DN723,'Data_Price '!$AT$2:$AT$1266,0))</f>
        <v/>
      </c>
      <c r="DF723">
        <f>INDEX('Data_Price '!AO$2:AO$1266,MATCH(Data!$DN723,'Data_Price '!$AT$2:$AT$1266,0))</f>
        <v/>
      </c>
      <c r="DG723">
        <f>INDEX('Data_Price '!AP$2:AP$1266,MATCH(Data!$DN723,'Data_Price '!$AT$2:$AT$1266,0))</f>
        <v/>
      </c>
      <c r="DH723">
        <f>INDEX('Data_Price '!AQ$2:AQ$1266,MATCH(Data!$DN723,'Data_Price '!$AT$2:$AT$1266,0))</f>
        <v/>
      </c>
      <c r="DI723">
        <f>INDEX('Data_Price '!AR$2:AR$1266,MATCH(Data!$DN723,'Data_Price '!$AT$2:$AT$1266,0))</f>
        <v/>
      </c>
      <c r="DJ723" s="138">
        <f>DA723</f>
        <v/>
      </c>
      <c r="DK723" s="138">
        <f>DE723</f>
        <v/>
      </c>
      <c r="DL723" s="138">
        <f>DI723</f>
        <v/>
      </c>
      <c r="DM723" s="303">
        <f>IF(LEFT(BT723,1)=" ",RIGHT(BT723,LEN(BT723)-1),BT723)</f>
        <v/>
      </c>
      <c r="DN723" s="138">
        <f>_xlfn.CONCAT(BS723,DM723,BU723,BV723)</f>
        <v/>
      </c>
      <c r="DO723" s="307" t="n"/>
    </row>
    <row r="724" ht="15.6" customHeight="1" s="184">
      <c r="B724" s="303">
        <f t="array" ref="B724">IF(OR(ISERROR(K724:P724)),FALSE,TRUE)</f>
        <v/>
      </c>
      <c r="C724" s="60">
        <f>OR(BR724=Driver!$G$50,Data!BR704=Driver!$H$50)</f>
        <v/>
      </c>
      <c r="D724" s="60">
        <f>OR(BV724=Driver!$G$51,BV724=Driver!$H$51)</f>
        <v/>
      </c>
      <c r="E724" s="60">
        <f>AND(BX724&gt;Driver!$F$54,BX724&lt;Driver!$G$54)</f>
        <v/>
      </c>
      <c r="F724" s="60">
        <f>CL724&gt;Driver!$F$56</f>
        <v/>
      </c>
      <c r="G724" s="60">
        <f>AND(CB724&gt;Driver!$F$55,CB724&lt;Driver!$G$55)</f>
        <v/>
      </c>
      <c r="H724" s="60">
        <f>AND(B724:G724)</f>
        <v/>
      </c>
      <c r="I724" s="60">
        <f>COUNTIFS($H$9:$H$1273,TRUE,$BT$9:$BT$1273,BT724)</f>
        <v/>
      </c>
      <c r="J724" s="60">
        <f t="array" ref="J724">NOT(OR(($H$9:$H$1273=TRUE)*($I$9:$I$1273&gt;0)*($BT$9:$BT$1273=BT724)*($K$9:$K$1273&gt;K724)))</f>
        <v/>
      </c>
      <c r="K724" s="108">
        <f>IFERROR(1-AVERAGE(X724:Y724),"")</f>
        <v/>
      </c>
      <c r="L724" s="108">
        <f>1-X724</f>
        <v/>
      </c>
      <c r="M724" s="108">
        <f>1-Y724</f>
        <v/>
      </c>
      <c r="N724" s="108">
        <f>1-Z724</f>
        <v/>
      </c>
      <c r="O724" s="108">
        <f>1-AA724</f>
        <v/>
      </c>
      <c r="P724" s="108">
        <f>1-AB724</f>
        <v/>
      </c>
      <c r="Q724" s="108" t="n"/>
      <c r="R724" s="108" t="n"/>
      <c r="S724" s="108">
        <f>1-AE724</f>
        <v/>
      </c>
      <c r="T724" s="108">
        <f>1-AF724</f>
        <v/>
      </c>
      <c r="U724" s="108">
        <f>1-AG724</f>
        <v/>
      </c>
      <c r="V724" s="108">
        <f>1-AH724</f>
        <v/>
      </c>
      <c r="W724" s="108">
        <f>1-AI724</f>
        <v/>
      </c>
      <c r="X724" s="108">
        <f>ABS(AJ724-AJ$1)</f>
        <v/>
      </c>
      <c r="Y724" s="108">
        <f>AVERAGE(Z724:AB724)</f>
        <v/>
      </c>
      <c r="Z724" s="108">
        <f>ABS(AL724-AL$1)</f>
        <v/>
      </c>
      <c r="AA724" s="108">
        <f>ABS(AM724-AM$1)</f>
        <v/>
      </c>
      <c r="AB724" s="108">
        <f>ABS(AN724-AN$1)</f>
        <v/>
      </c>
      <c r="AC724" s="108" t="n"/>
      <c r="AD724" s="108" t="n"/>
      <c r="AE724" s="108">
        <f>ABS(AQ$1-AQ724)</f>
        <v/>
      </c>
      <c r="AF724" s="108">
        <f>ABS(AR$1-AR724)</f>
        <v/>
      </c>
      <c r="AG724" s="108">
        <f>ABS(AS$1-AS724)</f>
        <v/>
      </c>
      <c r="AH724" s="108">
        <f>ABS(AT$1-AT724)</f>
        <v/>
      </c>
      <c r="AI724" s="108">
        <f>ABS(AU$1-AU724)</f>
        <v/>
      </c>
      <c r="AJ724" s="108">
        <f>(AV724-Driver!$K$179)/(Driver!$L$179-Driver!$K$179)</f>
        <v/>
      </c>
      <c r="AK724" s="108">
        <f>(AW724-Driver!$K$180)/(Driver!$L$180-Driver!$K$180)</f>
        <v/>
      </c>
      <c r="AL724" s="108">
        <f>(AX724-Driver!$K$181)/(Driver!$L$181-Driver!$K$181)</f>
        <v/>
      </c>
      <c r="AM724" s="108">
        <f>(AY724-Driver!$K$182)/(Driver!$L$182-Driver!$K$182)</f>
        <v/>
      </c>
      <c r="AN724" s="108">
        <f>(AZ724-Driver!$K$183)/(Driver!$L$183-Driver!$K$183)</f>
        <v/>
      </c>
      <c r="AO724" s="108" t="n"/>
      <c r="AP724" s="108" t="n"/>
      <c r="AQ724" s="108">
        <f>(BC724-Driver!$K$188)/(Driver!$L$188-Driver!$K$188)</f>
        <v/>
      </c>
      <c r="AR724" s="108">
        <f>MIN((BD724-Driver!$K$189)/(Driver!$L$189-Driver!$K$189),100%)</f>
        <v/>
      </c>
      <c r="AS724" s="108">
        <f>(BE724-Driver!$K$190)/(Driver!$L$190-Driver!$K$190)</f>
        <v/>
      </c>
      <c r="AT724" s="108">
        <f>(BF724-Driver!$K$191)/(Driver!$L$191-Driver!$K$191)</f>
        <v/>
      </c>
      <c r="AU724" s="108">
        <f>(BG724-Driver!$K$192)/(Driver!$L$192-Driver!$K$192)</f>
        <v/>
      </c>
      <c r="AV724" s="105">
        <f>IFERROR(BM724*BJ724^1/4,"")</f>
        <v/>
      </c>
      <c r="AW724" s="105">
        <f>IFERROR(SUM(AX724:AZ724),"")</f>
        <v/>
      </c>
      <c r="AX724" s="105">
        <f>IFERROR(BH724,"")</f>
        <v/>
      </c>
      <c r="AY724" s="105">
        <f>IFERROR(Driver!$K$19/Data!BH724/Data!BI724*Data!BK724*Data!BL724,"")</f>
        <v/>
      </c>
      <c r="AZ724" s="105">
        <f>IFERROR(BI724*BN724,"")</f>
        <v/>
      </c>
      <c r="BA724" s="105" t="n"/>
      <c r="BB724" s="105" t="n"/>
      <c r="BC724" s="105">
        <f>IFERROR(BI724*BN724*BK724/BJ724^(1/2),"")</f>
        <v/>
      </c>
      <c r="BD724" s="105">
        <f>IFERROR(BH724*BM724*BL724/BJ724/BK724,"")</f>
        <v/>
      </c>
      <c r="BE724" s="105">
        <f>IFERROR(MIN(BI724/BQ724/BP724/BO724/BH724,$BE$1),"")</f>
        <v/>
      </c>
      <c r="BF724" s="105">
        <f>IFERROR(BJ724*BO724*BP724/BK724,"")</f>
        <v/>
      </c>
      <c r="BG724" s="105">
        <f>IFERROR(1/BM724/BH724*BQ724,"")</f>
        <v/>
      </c>
      <c r="BH724" s="102">
        <f>MAX((CE724-Driver!$F$200)/(Driver!$G$200-Driver!$F$200)*$BI$1,1)</f>
        <v/>
      </c>
      <c r="BI724" s="102">
        <f>MAX($BI$1*(BY724-Driver!$F$201)/(Driver!$G$201-Driver!$F$201),1)</f>
        <v/>
      </c>
      <c r="BJ724" s="102">
        <f>(CB724-Driver!$F$206)/(Driver!$G$206-Driver!$F$206)*$BI$1</f>
        <v/>
      </c>
      <c r="BK724" s="102">
        <f>(CD724-Driver!$F$203)/(Driver!$G$203-Driver!$F$203)*$BI$1</f>
        <v/>
      </c>
      <c r="BL724" s="102">
        <f>MAX((CR724-Driver!$F$202)/(Driver!$G$202-Driver!$F$202)*$BI$1,1)</f>
        <v/>
      </c>
      <c r="BM724" s="102">
        <f>MAX((CH724-Driver!$F$204)/(Driver!$G$204-Driver!$F$204)*$BI$1,1)</f>
        <v/>
      </c>
      <c r="BN724" s="102">
        <f>(CI724-Driver!$F$205)/(Driver!$G$205-Driver!$F$205)*$BI$1</f>
        <v/>
      </c>
      <c r="BO724" s="102">
        <f>(CK724-Driver!$F$207)/(Driver!$G$207-Driver!$F$207)*$BI$1</f>
        <v/>
      </c>
      <c r="BP724" s="102">
        <f>(CM724-Driver!$F$208)/(Driver!$G$208-Driver!$F$208)*$BI$1</f>
        <v/>
      </c>
      <c r="BQ724" s="102">
        <f>(CL724-Driver!$F$209)/(Driver!$G$209-Driver!$F$209)*$BI$1</f>
        <v/>
      </c>
      <c r="BR724" s="40" t="inlineStr">
        <is>
          <t>21/22</t>
        </is>
      </c>
      <c r="BS724" s="10" t="inlineStr">
        <is>
          <t xml:space="preserve"> K2</t>
        </is>
      </c>
      <c r="BT724" s="11" t="inlineStr">
        <is>
          <t>Disruption 78C</t>
        </is>
      </c>
      <c r="BU724" s="13" t="n">
        <v>156</v>
      </c>
      <c r="BV724" s="11" t="inlineStr">
        <is>
          <t xml:space="preserve"> Unisex</t>
        </is>
      </c>
      <c r="BW724" s="13" t="n">
        <v>156</v>
      </c>
      <c r="BX724" s="13" t="n">
        <v>157</v>
      </c>
      <c r="BY724" s="13" t="n">
        <v>131</v>
      </c>
      <c r="BZ724" s="13" t="n">
        <v>144</v>
      </c>
      <c r="CA724" s="13" t="n">
        <v>124</v>
      </c>
      <c r="CB724" s="13" t="n">
        <v>77</v>
      </c>
      <c r="CC724" s="13" t="n">
        <v>111</v>
      </c>
      <c r="CD724" s="13" t="n">
        <v>12.6</v>
      </c>
      <c r="CE724" s="13" t="n">
        <v>1719</v>
      </c>
      <c r="CF724" s="13" t="n">
        <v>0.84</v>
      </c>
      <c r="CG724" s="13" t="n">
        <v>1451</v>
      </c>
      <c r="CH724" s="13" t="n">
        <v>151</v>
      </c>
      <c r="CI724" s="13" t="n">
        <v>73</v>
      </c>
      <c r="CJ724" s="13" t="n">
        <v>29</v>
      </c>
      <c r="CK724" s="13" t="n">
        <v>166</v>
      </c>
      <c r="CL724" s="13" t="n">
        <v>9</v>
      </c>
      <c r="CM724" s="13" t="n">
        <v>93</v>
      </c>
      <c r="CN724" s="13" t="n">
        <v>0.305</v>
      </c>
      <c r="CO724" s="13" t="n">
        <v>82</v>
      </c>
      <c r="CP724" s="13" t="n">
        <v>44</v>
      </c>
      <c r="CQ724" s="13" t="n">
        <v>84</v>
      </c>
      <c r="CR724" s="13" t="n">
        <v>7</v>
      </c>
      <c r="CS724" s="13" t="n">
        <v>10</v>
      </c>
      <c r="CT724" s="11" t="inlineStr">
        <is>
          <t xml:space="preserve"> On-Piste Carving</t>
        </is>
      </c>
      <c r="CU724" s="13" t="n"/>
      <c r="CV724" s="13" t="n"/>
      <c r="CW724" s="13" t="n"/>
      <c r="CX724">
        <f>INDEX('Data_Price '!AG$2:AG$1266,MATCH(Data!$DN724,'Data_Price '!$AT$2:$AT$1266,0))</f>
        <v/>
      </c>
      <c r="CY724">
        <f>INDEX('Data_Price '!AH$2:AH$1266,MATCH(Data!$DN724,'Data_Price '!$AT$2:$AT$1266,0))</f>
        <v/>
      </c>
      <c r="CZ724">
        <f>INDEX('Data_Price '!AI$2:AI$1266,MATCH(Data!$DN724,'Data_Price '!$AT$2:$AT$1266,0))</f>
        <v/>
      </c>
      <c r="DA724">
        <f>INDEX('Data_Price '!AJ$2:AJ$1266,MATCH(Data!$DN724,'Data_Price '!$AT$2:$AT$1266,0))</f>
        <v/>
      </c>
      <c r="DB724">
        <f>INDEX('Data_Price '!AK$2:AK$1266,MATCH(Data!$DN724,'Data_Price '!$AT$2:$AT$1266,0))</f>
        <v/>
      </c>
      <c r="DC724">
        <f>INDEX('Data_Price '!AL$2:AL$1266,MATCH(Data!$DN724,'Data_Price '!$AT$2:$AT$1266,0))</f>
        <v/>
      </c>
      <c r="DD724">
        <f>INDEX('Data_Price '!AM$2:AM$1266,MATCH(Data!$DN724,'Data_Price '!$AT$2:$AT$1266,0))</f>
        <v/>
      </c>
      <c r="DE724">
        <f>INDEX('Data_Price '!AN$2:AN$1266,MATCH(Data!$DN724,'Data_Price '!$AT$2:$AT$1266,0))</f>
        <v/>
      </c>
      <c r="DF724">
        <f>INDEX('Data_Price '!AO$2:AO$1266,MATCH(Data!$DN724,'Data_Price '!$AT$2:$AT$1266,0))</f>
        <v/>
      </c>
      <c r="DG724">
        <f>INDEX('Data_Price '!AP$2:AP$1266,MATCH(Data!$DN724,'Data_Price '!$AT$2:$AT$1266,0))</f>
        <v/>
      </c>
      <c r="DH724">
        <f>INDEX('Data_Price '!AQ$2:AQ$1266,MATCH(Data!$DN724,'Data_Price '!$AT$2:$AT$1266,0))</f>
        <v/>
      </c>
      <c r="DI724">
        <f>INDEX('Data_Price '!AR$2:AR$1266,MATCH(Data!$DN724,'Data_Price '!$AT$2:$AT$1266,0))</f>
        <v/>
      </c>
      <c r="DJ724" s="138">
        <f>DA724</f>
        <v/>
      </c>
      <c r="DK724" s="138">
        <f>DE724</f>
        <v/>
      </c>
      <c r="DL724" s="138">
        <f>DI724</f>
        <v/>
      </c>
      <c r="DM724" s="303">
        <f>IF(LEFT(BT724,1)=" ",RIGHT(BT724,LEN(BT724)-1),BT724)</f>
        <v/>
      </c>
      <c r="DN724" s="138">
        <f>_xlfn.CONCAT(BS724,DM724,BU724,BV724)</f>
        <v/>
      </c>
      <c r="DO724" s="307" t="inlineStr">
        <is>
          <t>https://images.evo.com/imgp/250/201028/826361/clone.jpg</t>
        </is>
      </c>
    </row>
    <row r="725" ht="15.6" customHeight="1" s="184">
      <c r="B725" s="303">
        <f t="array" ref="B725">IF(OR(ISERROR(K725:P725)),FALSE,TRUE)</f>
        <v/>
      </c>
      <c r="C725" s="60">
        <f>OR(BR725=Driver!$G$50,Data!BR940=Driver!$H$50)</f>
        <v/>
      </c>
      <c r="D725" s="60">
        <f>OR(BV725=Driver!$G$51,BV725=Driver!$H$51)</f>
        <v/>
      </c>
      <c r="E725" s="60">
        <f>AND(BX725&gt;Driver!$F$54,BX725&lt;Driver!$G$54)</f>
        <v/>
      </c>
      <c r="F725" s="60">
        <f>CL725&gt;Driver!$F$56</f>
        <v/>
      </c>
      <c r="G725" s="60">
        <f>AND(CB725&gt;Driver!$F$55,CB725&lt;Driver!$G$55)</f>
        <v/>
      </c>
      <c r="H725" s="60">
        <f>AND(B725:G725)</f>
        <v/>
      </c>
      <c r="I725" s="60">
        <f>COUNTIFS($H$9:$H$1273,TRUE,$BT$9:$BT$1273,BT725)</f>
        <v/>
      </c>
      <c r="J725" s="60">
        <f t="array" ref="J725">NOT(OR(($H$9:$H$1273=TRUE)*($I$9:$I$1273&gt;0)*($BT$9:$BT$1273=BT725)*($K$9:$K$1273&gt;K725)))</f>
        <v/>
      </c>
      <c r="K725" s="108">
        <f>IFERROR(1-AVERAGE(X725:Y725),"")</f>
        <v/>
      </c>
      <c r="L725" s="108">
        <f>1-X725</f>
        <v/>
      </c>
      <c r="M725" s="108">
        <f>1-Y725</f>
        <v/>
      </c>
      <c r="N725" s="108">
        <f>1-Z725</f>
        <v/>
      </c>
      <c r="O725" s="108">
        <f>1-AA725</f>
        <v/>
      </c>
      <c r="P725" s="108">
        <f>1-AB725</f>
        <v/>
      </c>
      <c r="Q725" s="108" t="n"/>
      <c r="R725" s="108" t="n"/>
      <c r="S725" s="108">
        <f>1-AE725</f>
        <v/>
      </c>
      <c r="T725" s="108">
        <f>1-AF725</f>
        <v/>
      </c>
      <c r="U725" s="108">
        <f>1-AG725</f>
        <v/>
      </c>
      <c r="V725" s="108">
        <f>1-AH725</f>
        <v/>
      </c>
      <c r="W725" s="108">
        <f>1-AI725</f>
        <v/>
      </c>
      <c r="X725" s="108">
        <f>ABS(AJ725-AJ$1)</f>
        <v/>
      </c>
      <c r="Y725" s="108">
        <f>AVERAGE(Z725:AB725)</f>
        <v/>
      </c>
      <c r="Z725" s="108">
        <f>ABS(AL725-AL$1)</f>
        <v/>
      </c>
      <c r="AA725" s="108">
        <f>ABS(AM725-AM$1)</f>
        <v/>
      </c>
      <c r="AB725" s="108">
        <f>ABS(AN725-AN$1)</f>
        <v/>
      </c>
      <c r="AC725" s="108" t="n"/>
      <c r="AD725" s="108" t="n"/>
      <c r="AE725" s="108">
        <f>ABS(AQ$1-AQ725)</f>
        <v/>
      </c>
      <c r="AF725" s="108">
        <f>ABS(AR$1-AR725)</f>
        <v/>
      </c>
      <c r="AG725" s="108">
        <f>ABS(AS$1-AS725)</f>
        <v/>
      </c>
      <c r="AH725" s="108">
        <f>ABS(AT$1-AT725)</f>
        <v/>
      </c>
      <c r="AI725" s="108">
        <f>ABS(AU$1-AU725)</f>
        <v/>
      </c>
      <c r="AJ725" s="108">
        <f>(AV725-Driver!$K$179)/(Driver!$L$179-Driver!$K$179)</f>
        <v/>
      </c>
      <c r="AK725" s="108">
        <f>(AW725-Driver!$K$180)/(Driver!$L$180-Driver!$K$180)</f>
        <v/>
      </c>
      <c r="AL725" s="108">
        <f>(AX725-Driver!$K$181)/(Driver!$L$181-Driver!$K$181)</f>
        <v/>
      </c>
      <c r="AM725" s="108">
        <f>(AY725-Driver!$K$182)/(Driver!$L$182-Driver!$K$182)</f>
        <v/>
      </c>
      <c r="AN725" s="108">
        <f>(AZ725-Driver!$K$183)/(Driver!$L$183-Driver!$K$183)</f>
        <v/>
      </c>
      <c r="AO725" s="108" t="n"/>
      <c r="AP725" s="108" t="n"/>
      <c r="AQ725" s="108">
        <f>(BC725-Driver!$K$188)/(Driver!$L$188-Driver!$K$188)</f>
        <v/>
      </c>
      <c r="AR725" s="108">
        <f>MIN((BD725-Driver!$K$189)/(Driver!$L$189-Driver!$K$189),100%)</f>
        <v/>
      </c>
      <c r="AS725" s="108">
        <f>(BE725-Driver!$K$190)/(Driver!$L$190-Driver!$K$190)</f>
        <v/>
      </c>
      <c r="AT725" s="108">
        <f>(BF725-Driver!$K$191)/(Driver!$L$191-Driver!$K$191)</f>
        <v/>
      </c>
      <c r="AU725" s="108">
        <f>(BG725-Driver!$K$192)/(Driver!$L$192-Driver!$K$192)</f>
        <v/>
      </c>
      <c r="AV725" s="105">
        <f>IFERROR(BM725*BJ725^1/4,"")</f>
        <v/>
      </c>
      <c r="AW725" s="105">
        <f>IFERROR(SUM(AX725:AZ725),"")</f>
        <v/>
      </c>
      <c r="AX725" s="105">
        <f>IFERROR(BH725,"")</f>
        <v/>
      </c>
      <c r="AY725" s="105">
        <f>IFERROR(Driver!$K$19/Data!BH725/Data!BI725*Data!BK725*Data!BL725,"")</f>
        <v/>
      </c>
      <c r="AZ725" s="105">
        <f>IFERROR(BI725*BN725,"")</f>
        <v/>
      </c>
      <c r="BA725" s="105" t="n"/>
      <c r="BB725" s="105" t="n"/>
      <c r="BC725" s="105">
        <f>IFERROR(BI725*BN725*BK725/BJ725^(1/2),"")</f>
        <v/>
      </c>
      <c r="BD725" s="105">
        <f>IFERROR(BH725*BM725*BL725/BJ725/BK725,"")</f>
        <v/>
      </c>
      <c r="BE725" s="105">
        <f>IFERROR(MIN(BI725/BQ725/BP725/BO725/BH725,$BE$1),"")</f>
        <v/>
      </c>
      <c r="BF725" s="105">
        <f>IFERROR(BJ725*BO725*BP725/BK725,"")</f>
        <v/>
      </c>
      <c r="BG725" s="105">
        <f>IFERROR(1/BM725/BH725*BQ725,"")</f>
        <v/>
      </c>
      <c r="BH725" s="102">
        <f>MAX((CE725-Driver!$F$200)/(Driver!$G$200-Driver!$F$200)*$BI$1,1)</f>
        <v/>
      </c>
      <c r="BI725" s="102">
        <f>MAX($BI$1*(BY725-Driver!$F$201)/(Driver!$G$201-Driver!$F$201),1)</f>
        <v/>
      </c>
      <c r="BJ725" s="102">
        <f>(CB725-Driver!$F$206)/(Driver!$G$206-Driver!$F$206)*$BI$1</f>
        <v/>
      </c>
      <c r="BK725" s="102">
        <f>(CD725-Driver!$F$203)/(Driver!$G$203-Driver!$F$203)*$BI$1</f>
        <v/>
      </c>
      <c r="BL725" s="102">
        <f>MAX((CR725-Driver!$F$202)/(Driver!$G$202-Driver!$F$202)*$BI$1,1)</f>
        <v/>
      </c>
      <c r="BM725" s="102">
        <f>MAX((CH725-Driver!$F$204)/(Driver!$G$204-Driver!$F$204)*$BI$1,1)</f>
        <v/>
      </c>
      <c r="BN725" s="102">
        <f>(CI725-Driver!$F$205)/(Driver!$G$205-Driver!$F$205)*$BI$1</f>
        <v/>
      </c>
      <c r="BO725" s="102">
        <f>(CK725-Driver!$F$207)/(Driver!$G$207-Driver!$F$207)*$BI$1</f>
        <v/>
      </c>
      <c r="BP725" s="102">
        <f>(CM725-Driver!$F$208)/(Driver!$G$208-Driver!$F$208)*$BI$1</f>
        <v/>
      </c>
      <c r="BQ725" s="102">
        <f>(CL725-Driver!$F$209)/(Driver!$G$209-Driver!$F$209)*$BI$1</f>
        <v/>
      </c>
      <c r="BR725" s="40" t="inlineStr">
        <is>
          <t>21/22</t>
        </is>
      </c>
      <c r="BS725" s="10" t="inlineStr">
        <is>
          <t xml:space="preserve"> Nordica</t>
        </is>
      </c>
      <c r="BT725" s="11" t="inlineStr">
        <is>
          <t>Soul Rider 97</t>
        </is>
      </c>
      <c r="BU725" s="13" t="n">
        <v>185</v>
      </c>
      <c r="BV725" s="11" t="inlineStr">
        <is>
          <t xml:space="preserve"> Unisex</t>
        </is>
      </c>
      <c r="BW725" s="13" t="n">
        <v>185</v>
      </c>
      <c r="BX725" s="13" t="n">
        <v>183.1</v>
      </c>
      <c r="BY725" s="13" t="n">
        <v>148</v>
      </c>
      <c r="BZ725" s="13" t="n">
        <v>160</v>
      </c>
      <c r="CA725" s="13" t="n">
        <v>133</v>
      </c>
      <c r="CB725" s="13" t="n">
        <v>96</v>
      </c>
      <c r="CC725" s="13" t="n">
        <v>123</v>
      </c>
      <c r="CD725" s="13" t="n">
        <v>19</v>
      </c>
      <c r="CE725" s="13" t="n">
        <v>2129</v>
      </c>
      <c r="CF725" s="13" t="n">
        <v>0.93</v>
      </c>
      <c r="CG725" s="13" t="n">
        <v>1975</v>
      </c>
      <c r="CH725" s="13" t="n">
        <v>202</v>
      </c>
      <c r="CI725" s="13" t="n">
        <v>101</v>
      </c>
      <c r="CJ725" s="13" t="n">
        <v>52</v>
      </c>
      <c r="CK725" s="13" t="n">
        <v>178</v>
      </c>
      <c r="CL725" s="13" t="n">
        <v>48</v>
      </c>
      <c r="CM725" s="13" t="n">
        <v>175</v>
      </c>
      <c r="CN725" s="13" t="n">
        <v>0.92</v>
      </c>
      <c r="CO725" s="13" t="n">
        <v>105</v>
      </c>
      <c r="CP725" s="13" t="n">
        <v>126</v>
      </c>
      <c r="CQ725" s="13" t="n">
        <v>74</v>
      </c>
      <c r="CR725" s="13" t="n">
        <v>11</v>
      </c>
      <c r="CS725" s="13" t="n">
        <v>6.3</v>
      </c>
      <c r="CT725" s="11" t="inlineStr">
        <is>
          <t xml:space="preserve"> Freeski</t>
        </is>
      </c>
      <c r="CU725" s="13" t="n"/>
      <c r="CV725" s="13" t="n"/>
      <c r="CW725" s="13" t="n"/>
      <c r="CX725">
        <f>INDEX('Data_Price '!AG$2:AG$1266,MATCH(Data!$DN725,'Data_Price '!$AT$2:$AT$1266,0))</f>
        <v/>
      </c>
      <c r="CY725">
        <f>INDEX('Data_Price '!AH$2:AH$1266,MATCH(Data!$DN725,'Data_Price '!$AT$2:$AT$1266,0))</f>
        <v/>
      </c>
      <c r="CZ725">
        <f>INDEX('Data_Price '!AI$2:AI$1266,MATCH(Data!$DN725,'Data_Price '!$AT$2:$AT$1266,0))</f>
        <v/>
      </c>
      <c r="DA725">
        <f>INDEX('Data_Price '!AJ$2:AJ$1266,MATCH(Data!$DN725,'Data_Price '!$AT$2:$AT$1266,0))</f>
        <v/>
      </c>
      <c r="DB725">
        <f>INDEX('Data_Price '!AK$2:AK$1266,MATCH(Data!$DN725,'Data_Price '!$AT$2:$AT$1266,0))</f>
        <v/>
      </c>
      <c r="DC725">
        <f>INDEX('Data_Price '!AL$2:AL$1266,MATCH(Data!$DN725,'Data_Price '!$AT$2:$AT$1266,0))</f>
        <v/>
      </c>
      <c r="DD725">
        <f>INDEX('Data_Price '!AM$2:AM$1266,MATCH(Data!$DN725,'Data_Price '!$AT$2:$AT$1266,0))</f>
        <v/>
      </c>
      <c r="DE725">
        <f>INDEX('Data_Price '!AN$2:AN$1266,MATCH(Data!$DN725,'Data_Price '!$AT$2:$AT$1266,0))</f>
        <v/>
      </c>
      <c r="DF725">
        <f>INDEX('Data_Price '!AO$2:AO$1266,MATCH(Data!$DN725,'Data_Price '!$AT$2:$AT$1266,0))</f>
        <v/>
      </c>
      <c r="DG725">
        <f>INDEX('Data_Price '!AP$2:AP$1266,MATCH(Data!$DN725,'Data_Price '!$AT$2:$AT$1266,0))</f>
        <v/>
      </c>
      <c r="DH725">
        <f>INDEX('Data_Price '!AQ$2:AQ$1266,MATCH(Data!$DN725,'Data_Price '!$AT$2:$AT$1266,0))</f>
        <v/>
      </c>
      <c r="DI725">
        <f>INDEX('Data_Price '!AR$2:AR$1266,MATCH(Data!$DN725,'Data_Price '!$AT$2:$AT$1266,0))</f>
        <v/>
      </c>
      <c r="DJ725" s="138">
        <f>DA725</f>
        <v/>
      </c>
      <c r="DK725" s="138">
        <f>DE725</f>
        <v/>
      </c>
      <c r="DL725" s="138">
        <f>DI725</f>
        <v/>
      </c>
      <c r="DM725" s="303">
        <f>IF(LEFT(BT725,1)=" ",RIGHT(BT725,LEN(BT725)-1),BT725)</f>
        <v/>
      </c>
      <c r="DN725" s="138">
        <f>_xlfn.CONCAT(BS725,DM725,BU725,BV725)</f>
        <v/>
      </c>
      <c r="DO725" s="307" t="n"/>
    </row>
    <row r="726" ht="15.6" customHeight="1" s="184">
      <c r="A726" s="303">
        <f>ROW()</f>
        <v/>
      </c>
      <c r="B726" s="303">
        <f t="array" ref="B726">IF(OR(ISERROR(K726:P726)),FALSE,TRUE)</f>
        <v/>
      </c>
      <c r="C726" s="60">
        <f>OR(BR726=Driver!$G$50,Data!BR207=Driver!$H$50)</f>
        <v/>
      </c>
      <c r="D726" s="60">
        <f>OR(BV726=Driver!$G$51,BV726=Driver!$H$51)</f>
        <v/>
      </c>
      <c r="E726" s="60">
        <f>AND(BX726&gt;Driver!$F$54,BX726&lt;Driver!$G$54)</f>
        <v/>
      </c>
      <c r="F726" s="60">
        <f>CL726&gt;Driver!$F$56</f>
        <v/>
      </c>
      <c r="G726" s="60">
        <f>AND(CB726&gt;Driver!$F$55,CB726&lt;Driver!$G$55)</f>
        <v/>
      </c>
      <c r="H726" s="60">
        <f>AND(B726:G726)</f>
        <v/>
      </c>
      <c r="I726" s="60">
        <f>COUNTIFS($H$9:$H$1273,TRUE,$BT$9:$BT$1273,BT726)</f>
        <v/>
      </c>
      <c r="J726" s="60">
        <f t="array" ref="J726">NOT(OR(($H$9:$H$1273=TRUE)*($I$9:$I$1273&gt;0)*($BT$9:$BT$1273=BT726)*($K$9:$K$1273&gt;K726)))</f>
        <v/>
      </c>
      <c r="K726" s="108">
        <f>IFERROR(1-AVERAGE(X726:Y726),"")</f>
        <v/>
      </c>
      <c r="L726" s="108">
        <f>1-X726</f>
        <v/>
      </c>
      <c r="M726" s="108">
        <f>1-Y726</f>
        <v/>
      </c>
      <c r="N726" s="108">
        <f>1-Z726</f>
        <v/>
      </c>
      <c r="O726" s="108">
        <f>1-AA726</f>
        <v/>
      </c>
      <c r="P726" s="108">
        <f>1-AB726</f>
        <v/>
      </c>
      <c r="Q726" s="108" t="n"/>
      <c r="R726" s="108" t="n"/>
      <c r="S726" s="108">
        <f>1-AE726</f>
        <v/>
      </c>
      <c r="T726" s="108">
        <f>1-AF726</f>
        <v/>
      </c>
      <c r="U726" s="108">
        <f>1-AG726</f>
        <v/>
      </c>
      <c r="V726" s="108">
        <f>1-AH726</f>
        <v/>
      </c>
      <c r="W726" s="108">
        <f>1-AI726</f>
        <v/>
      </c>
      <c r="X726" s="108">
        <f>ABS(AJ726-AJ$1)</f>
        <v/>
      </c>
      <c r="Y726" s="108">
        <f>AVERAGE(Z726:AB726)</f>
        <v/>
      </c>
      <c r="Z726" s="108">
        <f>ABS(AL726-AL$1)</f>
        <v/>
      </c>
      <c r="AA726" s="108">
        <f>ABS(AM726-AM$1)</f>
        <v/>
      </c>
      <c r="AB726" s="108">
        <f>ABS(AN726-AN$1)</f>
        <v/>
      </c>
      <c r="AC726" s="108" t="n"/>
      <c r="AD726" s="108" t="n"/>
      <c r="AE726" s="108">
        <f>ABS(AQ$1-AQ726)</f>
        <v/>
      </c>
      <c r="AF726" s="108">
        <f>ABS(AR$1-AR726)</f>
        <v/>
      </c>
      <c r="AG726" s="108">
        <f>ABS(AS$1-AS726)</f>
        <v/>
      </c>
      <c r="AH726" s="108">
        <f>ABS(AT$1-AT726)</f>
        <v/>
      </c>
      <c r="AI726" s="108">
        <f>ABS(AU$1-AU726)</f>
        <v/>
      </c>
      <c r="AJ726" s="108">
        <f>(AV726-Driver!$K$179)/(Driver!$L$179-Driver!$K$179)</f>
        <v/>
      </c>
      <c r="AK726" s="108">
        <f>(AW726-Driver!$K$180)/(Driver!$L$180-Driver!$K$180)</f>
        <v/>
      </c>
      <c r="AL726" s="108">
        <f>(AX726-Driver!$K$181)/(Driver!$L$181-Driver!$K$181)</f>
        <v/>
      </c>
      <c r="AM726" s="108">
        <f>(AY726-Driver!$K$182)/(Driver!$L$182-Driver!$K$182)</f>
        <v/>
      </c>
      <c r="AN726" s="108">
        <f>(AZ726-Driver!$K$183)/(Driver!$L$183-Driver!$K$183)</f>
        <v/>
      </c>
      <c r="AO726" s="108" t="n"/>
      <c r="AP726" s="108" t="n"/>
      <c r="AQ726" s="108">
        <f>(BC726-Driver!$K$188)/(Driver!$L$188-Driver!$K$188)</f>
        <v/>
      </c>
      <c r="AR726" s="108">
        <f>MIN((BD726-Driver!$K$189)/(Driver!$L$189-Driver!$K$189),100%)</f>
        <v/>
      </c>
      <c r="AS726" s="108">
        <f>(BE726-Driver!$K$190)/(Driver!$L$190-Driver!$K$190)</f>
        <v/>
      </c>
      <c r="AT726" s="108">
        <f>(BF726-Driver!$K$191)/(Driver!$L$191-Driver!$K$191)</f>
        <v/>
      </c>
      <c r="AU726" s="108">
        <f>(BG726-Driver!$K$192)/(Driver!$L$192-Driver!$K$192)</f>
        <v/>
      </c>
      <c r="AV726" s="105">
        <f>IFERROR(BM726*BJ726^1/4,"")</f>
        <v/>
      </c>
      <c r="AW726" s="105">
        <f>IFERROR(SUM(AX726:AZ726),"")</f>
        <v/>
      </c>
      <c r="AX726" s="105">
        <f>IFERROR(BH726,"")</f>
        <v/>
      </c>
      <c r="AY726" s="105">
        <f>IFERROR(Driver!$K$19/Data!BH735/Data!BI735*Data!BK735*Data!BL735,"")</f>
        <v/>
      </c>
      <c r="AZ726" s="105">
        <f>IFERROR(BI726*BN726,"")</f>
        <v/>
      </c>
      <c r="BA726" s="105" t="n"/>
      <c r="BB726" s="105" t="n"/>
      <c r="BC726" s="105">
        <f>IFERROR(BI726*BN726*BK726/BJ726^(1/2),"")</f>
        <v/>
      </c>
      <c r="BD726" s="105">
        <f>IFERROR(BH726*BM726*BL726/BJ726/BK726,"")</f>
        <v/>
      </c>
      <c r="BE726" s="105">
        <f>IFERROR(MIN(BI726/BQ726/BP726/BO726/BH726,$BE$1),"")</f>
        <v/>
      </c>
      <c r="BF726" s="105">
        <f>IFERROR(BJ726*BO726*BP726/BK726,"")</f>
        <v/>
      </c>
      <c r="BG726" s="105">
        <f>IFERROR(1/BM726/BH726*BQ726,"")</f>
        <v/>
      </c>
      <c r="BH726" s="102">
        <f>MAX((CE726-Driver!$F$200)/(Driver!$G$200-Driver!$F$200)*$BI$1,1)</f>
        <v/>
      </c>
      <c r="BI726" s="102">
        <f>MAX($BI$1*(BY726-Driver!$F$201)/(Driver!$G$201-Driver!$F$201),1)</f>
        <v/>
      </c>
      <c r="BJ726" s="102">
        <f>(CB726-Driver!$F$206)/(Driver!$G$206-Driver!$F$206)*$BI$1</f>
        <v/>
      </c>
      <c r="BK726" s="102">
        <f>(CD726-Driver!$F$203)/(Driver!$G$203-Driver!$F$203)*$BI$1</f>
        <v/>
      </c>
      <c r="BL726" s="102">
        <f>MAX((CR726-Driver!$F$202)/(Driver!$G$202-Driver!$F$202)*$BI$1,1)</f>
        <v/>
      </c>
      <c r="BM726" s="102">
        <f>MAX((CH726-Driver!$F$204)/(Driver!$G$204-Driver!$F$204)*$BI$1,1)</f>
        <v/>
      </c>
      <c r="BN726" s="102">
        <f>(CI726-Driver!$F$205)/(Driver!$G$205-Driver!$F$205)*$BI$1</f>
        <v/>
      </c>
      <c r="BO726" s="102">
        <f>(CK726-Driver!$F$207)/(Driver!$G$207-Driver!$F$207)*$BI$1</f>
        <v/>
      </c>
      <c r="BP726" s="102">
        <f>(CM726-Driver!$F$208)/(Driver!$G$208-Driver!$F$208)*$BI$1</f>
        <v/>
      </c>
      <c r="BQ726" s="102">
        <f>(CL726-Driver!$F$209)/(Driver!$G$209-Driver!$F$209)*$BI$1</f>
        <v/>
      </c>
      <c r="BR726" s="40" t="inlineStr">
        <is>
          <t>21/22</t>
        </is>
      </c>
      <c r="BS726" s="10" t="inlineStr">
        <is>
          <t xml:space="preserve"> Black Crows</t>
        </is>
      </c>
      <c r="BT726" s="11" t="inlineStr">
        <is>
          <t>Camox Birdie</t>
        </is>
      </c>
      <c r="BU726" s="13" t="n">
        <v>162.3</v>
      </c>
      <c r="BV726" s="11" t="inlineStr">
        <is>
          <t xml:space="preserve"> Women's</t>
        </is>
      </c>
      <c r="BW726" s="13" t="n">
        <v>162.3</v>
      </c>
      <c r="BX726" s="13" t="n">
        <v>160.8</v>
      </c>
      <c r="BY726" s="13" t="n">
        <v>117</v>
      </c>
      <c r="BZ726" s="13" t="n">
        <v>140</v>
      </c>
      <c r="CA726" s="13" t="n">
        <v>129</v>
      </c>
      <c r="CB726" s="13" t="n">
        <v>97</v>
      </c>
      <c r="CC726" s="13" t="n">
        <v>117</v>
      </c>
      <c r="CD726" s="13" t="n">
        <v>18.3</v>
      </c>
      <c r="CE726" s="13" t="n">
        <v>1601</v>
      </c>
      <c r="CF726" s="13" t="n">
        <v>1.07</v>
      </c>
      <c r="CG726" s="13" t="n">
        <v>1720</v>
      </c>
      <c r="CH726" s="13" t="n">
        <v>142</v>
      </c>
      <c r="CI726" s="13" t="n">
        <v>74</v>
      </c>
      <c r="CJ726" s="13" t="n">
        <v>45</v>
      </c>
      <c r="CK726" s="13" t="n">
        <v>246</v>
      </c>
      <c r="CL726" s="13" t="n">
        <v>32</v>
      </c>
      <c r="CM726" s="13" t="n">
        <v>194</v>
      </c>
      <c r="CN726" s="13" t="n">
        <v>0.715</v>
      </c>
      <c r="CO726" s="13" t="n">
        <v>103</v>
      </c>
      <c r="CP726" s="13" t="n">
        <v>110</v>
      </c>
      <c r="CQ726" s="13" t="n">
        <v>143</v>
      </c>
      <c r="CR726" s="13" t="n">
        <v>8</v>
      </c>
      <c r="CS726" s="13" t="n">
        <v>6.4</v>
      </c>
      <c r="CT726" s="11" t="inlineStr">
        <is>
          <t xml:space="preserve"> Resort Freeride</t>
        </is>
      </c>
      <c r="CU726" s="11" t="inlineStr">
        <is>
          <t xml:space="preserve"> Touring</t>
        </is>
      </c>
      <c r="CV726" s="13" t="n"/>
      <c r="CW726" s="13" t="n"/>
      <c r="CX726">
        <f>INDEX('Data_Price '!AG$2:AG$1266,MATCH(Data!$DN726,'Data_Price '!$AT$2:$AT$1266,0))</f>
        <v/>
      </c>
      <c r="CY726">
        <f>INDEX('Data_Price '!AH$2:AH$1266,MATCH(Data!$DN726,'Data_Price '!$AT$2:$AT$1266,0))</f>
        <v/>
      </c>
      <c r="CZ726">
        <f>INDEX('Data_Price '!AI$2:AI$1266,MATCH(Data!$DN726,'Data_Price '!$AT$2:$AT$1266,0))</f>
        <v/>
      </c>
      <c r="DA726">
        <f>INDEX('Data_Price '!AJ$2:AJ$1266,MATCH(Data!$DN726,'Data_Price '!$AT$2:$AT$1266,0))</f>
        <v/>
      </c>
      <c r="DB726">
        <f>INDEX('Data_Price '!AK$2:AK$1266,MATCH(Data!$DN726,'Data_Price '!$AT$2:$AT$1266,0))</f>
        <v/>
      </c>
      <c r="DC726">
        <f>INDEX('Data_Price '!AL$2:AL$1266,MATCH(Data!$DN726,'Data_Price '!$AT$2:$AT$1266,0))</f>
        <v/>
      </c>
      <c r="DD726">
        <f>INDEX('Data_Price '!AM$2:AM$1266,MATCH(Data!$DN726,'Data_Price '!$AT$2:$AT$1266,0))</f>
        <v/>
      </c>
      <c r="DE726">
        <f>INDEX('Data_Price '!AN$2:AN$1266,MATCH(Data!$DN726,'Data_Price '!$AT$2:$AT$1266,0))</f>
        <v/>
      </c>
      <c r="DF726">
        <f>INDEX('Data_Price '!AO$2:AO$1266,MATCH(Data!$DN726,'Data_Price '!$AT$2:$AT$1266,0))</f>
        <v/>
      </c>
      <c r="DG726">
        <f>INDEX('Data_Price '!AP$2:AP$1266,MATCH(Data!$DN726,'Data_Price '!$AT$2:$AT$1266,0))</f>
        <v/>
      </c>
      <c r="DH726">
        <f>INDEX('Data_Price '!AQ$2:AQ$1266,MATCH(Data!$DN726,'Data_Price '!$AT$2:$AT$1266,0))</f>
        <v/>
      </c>
      <c r="DI726">
        <f>INDEX('Data_Price '!AR$2:AR$1266,MATCH(Data!$DN726,'Data_Price '!$AT$2:$AT$1266,0))</f>
        <v/>
      </c>
      <c r="DJ726" s="138">
        <f>DA726</f>
        <v/>
      </c>
      <c r="DK726" s="138">
        <f>DE726</f>
        <v/>
      </c>
      <c r="DL726" s="138">
        <f>DI726</f>
        <v/>
      </c>
      <c r="DM726" s="303">
        <f>IF(LEFT(BT726,1)=" ",RIGHT(BT726,LEN(BT726)-1),BT726)</f>
        <v/>
      </c>
      <c r="DN726" s="138">
        <f>_xlfn.CONCAT(BS726,DM726,BU726,BV726)</f>
        <v/>
      </c>
      <c r="DO726" s="307" t="inlineStr">
        <is>
          <t>https://images.evo.com/imgp/250/208557/851471/liberty-genesis-101-skis-women-s-2022-.jpg</t>
        </is>
      </c>
    </row>
    <row r="727" ht="15.6" customHeight="1" s="184">
      <c r="B727" s="303">
        <f t="array" ref="B727">IF(OR(ISERROR(K727:P727)),FALSE,TRUE)</f>
        <v/>
      </c>
      <c r="C727" s="60">
        <f>OR(BR727=Driver!$G$50,Data!BR91=Driver!$H$50)</f>
        <v/>
      </c>
      <c r="D727" s="60">
        <f>OR(BV727=Driver!$G$51,BV727=Driver!$H$51)</f>
        <v/>
      </c>
      <c r="E727" s="60">
        <f>AND(BX727&gt;Driver!$F$54,BX727&lt;Driver!$G$54)</f>
        <v/>
      </c>
      <c r="F727" s="60">
        <f>CL727&gt;Driver!$F$56</f>
        <v/>
      </c>
      <c r="G727" s="60">
        <f>AND(CB727&gt;Driver!$F$55,CB727&lt;Driver!$G$55)</f>
        <v/>
      </c>
      <c r="H727" s="60">
        <f>AND(B727:G727)</f>
        <v/>
      </c>
      <c r="I727" s="60">
        <f>COUNTIFS($H$9:$H$1273,TRUE,$BT$9:$BT$1273,BT727)</f>
        <v/>
      </c>
      <c r="J727" s="60">
        <f t="array" ref="J727">NOT(OR(($H$9:$H$1273=TRUE)*($I$9:$I$1273&gt;0)*($BT$9:$BT$1273=BT727)*($K$9:$K$1273&gt;K727)))</f>
        <v/>
      </c>
      <c r="K727" s="108">
        <f>IFERROR(1-AVERAGE(X727:Y727),"")</f>
        <v/>
      </c>
      <c r="L727" s="108">
        <f>1-X727</f>
        <v/>
      </c>
      <c r="M727" s="108">
        <f>1-Y727</f>
        <v/>
      </c>
      <c r="N727" s="108">
        <f>1-Z727</f>
        <v/>
      </c>
      <c r="O727" s="108">
        <f>1-AA727</f>
        <v/>
      </c>
      <c r="P727" s="108">
        <f>1-AB727</f>
        <v/>
      </c>
      <c r="Q727" s="108" t="n"/>
      <c r="R727" s="108" t="n"/>
      <c r="S727" s="108">
        <f>1-AE727</f>
        <v/>
      </c>
      <c r="T727" s="108">
        <f>1-AF727</f>
        <v/>
      </c>
      <c r="U727" s="108">
        <f>1-AG727</f>
        <v/>
      </c>
      <c r="V727" s="108">
        <f>1-AH727</f>
        <v/>
      </c>
      <c r="W727" s="108">
        <f>1-AI727</f>
        <v/>
      </c>
      <c r="X727" s="108">
        <f>ABS(AJ727-AJ$1)</f>
        <v/>
      </c>
      <c r="Y727" s="108">
        <f>AVERAGE(Z727:AB727)</f>
        <v/>
      </c>
      <c r="Z727" s="108">
        <f>ABS(AL727-AL$1)</f>
        <v/>
      </c>
      <c r="AA727" s="108">
        <f>ABS(AM727-AM$1)</f>
        <v/>
      </c>
      <c r="AB727" s="108">
        <f>ABS(AN727-AN$1)</f>
        <v/>
      </c>
      <c r="AC727" s="108" t="n"/>
      <c r="AD727" s="108" t="n"/>
      <c r="AE727" s="108">
        <f>ABS(AQ$1-AQ727)</f>
        <v/>
      </c>
      <c r="AF727" s="108">
        <f>ABS(AR$1-AR727)</f>
        <v/>
      </c>
      <c r="AG727" s="108">
        <f>ABS(AS$1-AS727)</f>
        <v/>
      </c>
      <c r="AH727" s="108">
        <f>ABS(AT$1-AT727)</f>
        <v/>
      </c>
      <c r="AI727" s="108">
        <f>ABS(AU$1-AU727)</f>
        <v/>
      </c>
      <c r="AJ727" s="108">
        <f>(AV727-Driver!$K$179)/(Driver!$L$179-Driver!$K$179)</f>
        <v/>
      </c>
      <c r="AK727" s="108">
        <f>(AW727-Driver!$K$180)/(Driver!$L$180-Driver!$K$180)</f>
        <v/>
      </c>
      <c r="AL727" s="108">
        <f>(AX727-Driver!$K$181)/(Driver!$L$181-Driver!$K$181)</f>
        <v/>
      </c>
      <c r="AM727" s="108">
        <f>(AY727-Driver!$K$182)/(Driver!$L$182-Driver!$K$182)</f>
        <v/>
      </c>
      <c r="AN727" s="108">
        <f>(AZ727-Driver!$K$183)/(Driver!$L$183-Driver!$K$183)</f>
        <v/>
      </c>
      <c r="AO727" s="108" t="n"/>
      <c r="AP727" s="108" t="n"/>
      <c r="AQ727" s="108">
        <f>(BC727-Driver!$K$188)/(Driver!$L$188-Driver!$K$188)</f>
        <v/>
      </c>
      <c r="AR727" s="108">
        <f>MIN((BD727-Driver!$K$189)/(Driver!$L$189-Driver!$K$189),100%)</f>
        <v/>
      </c>
      <c r="AS727" s="108">
        <f>(BE727-Driver!$K$190)/(Driver!$L$190-Driver!$K$190)</f>
        <v/>
      </c>
      <c r="AT727" s="108">
        <f>(BF727-Driver!$K$191)/(Driver!$L$191-Driver!$K$191)</f>
        <v/>
      </c>
      <c r="AU727" s="108">
        <f>(BG727-Driver!$K$192)/(Driver!$L$192-Driver!$K$192)</f>
        <v/>
      </c>
      <c r="AV727" s="105">
        <f>IFERROR(BM727*BJ727^1/4,"")</f>
        <v/>
      </c>
      <c r="AW727" s="105">
        <f>IFERROR(SUM(AX727:AZ727),"")</f>
        <v/>
      </c>
      <c r="AX727" s="105">
        <f>IFERROR(BH727,"")</f>
        <v/>
      </c>
      <c r="AY727" s="105">
        <f>IFERROR(Driver!$K$19/Data!BH727/Data!BI727*Data!BK727*Data!BL727,"")</f>
        <v/>
      </c>
      <c r="AZ727" s="105">
        <f>IFERROR(BI727*BN727,"")</f>
        <v/>
      </c>
      <c r="BA727" s="105" t="n"/>
      <c r="BB727" s="105" t="n"/>
      <c r="BC727" s="105">
        <f>IFERROR(BI727*BN727*BK727/BJ727^(1/2),"")</f>
        <v/>
      </c>
      <c r="BD727" s="105">
        <f>IFERROR(BH727*BM727*BL727/BJ727/BK727,"")</f>
        <v/>
      </c>
      <c r="BE727" s="105">
        <f>IFERROR(MIN(BI727/BQ727/BP727/BO727/BH727,$BE$1),"")</f>
        <v/>
      </c>
      <c r="BF727" s="105">
        <f>IFERROR(BJ727*BO727*BP727/BK727,"")</f>
        <v/>
      </c>
      <c r="BG727" s="105">
        <f>IFERROR(1/BM727/BH727*BQ727,"")</f>
        <v/>
      </c>
      <c r="BH727" s="102">
        <f>MAX((CE727-Driver!$F$200)/(Driver!$G$200-Driver!$F$200)*$BI$1,1)</f>
        <v/>
      </c>
      <c r="BI727" s="102">
        <f>MAX($BI$1*(BY727-Driver!$F$201)/(Driver!$G$201-Driver!$F$201),1)</f>
        <v/>
      </c>
      <c r="BJ727" s="102">
        <f>(CB727-Driver!$F$206)/(Driver!$G$206-Driver!$F$206)*$BI$1</f>
        <v/>
      </c>
      <c r="BK727" s="102">
        <f>(CD727-Driver!$F$203)/(Driver!$G$203-Driver!$F$203)*$BI$1</f>
        <v/>
      </c>
      <c r="BL727" s="102">
        <f>MAX((CR727-Driver!$F$202)/(Driver!$G$202-Driver!$F$202)*$BI$1,1)</f>
        <v/>
      </c>
      <c r="BM727" s="102">
        <f>MAX((CH727-Driver!$F$204)/(Driver!$G$204-Driver!$F$204)*$BI$1,1)</f>
        <v/>
      </c>
      <c r="BN727" s="102">
        <f>(CI727-Driver!$F$205)/(Driver!$G$205-Driver!$F$205)*$BI$1</f>
        <v/>
      </c>
      <c r="BO727" s="102">
        <f>(CK727-Driver!$F$207)/(Driver!$G$207-Driver!$F$207)*$BI$1</f>
        <v/>
      </c>
      <c r="BP727" s="102">
        <f>(CM727-Driver!$F$208)/(Driver!$G$208-Driver!$F$208)*$BI$1</f>
        <v/>
      </c>
      <c r="BQ727" s="102">
        <f>(CL727-Driver!$F$209)/(Driver!$G$209-Driver!$F$209)*$BI$1</f>
        <v/>
      </c>
      <c r="BR727" s="40" t="inlineStr">
        <is>
          <t>21/22</t>
        </is>
      </c>
      <c r="BS727" s="10" t="inlineStr">
        <is>
          <t xml:space="preserve"> Armada</t>
        </is>
      </c>
      <c r="BT727" s="11" t="inlineStr">
        <is>
          <t>Reliance 92 Ti</t>
        </is>
      </c>
      <c r="BU727" s="13" t="n">
        <v>172</v>
      </c>
      <c r="BV727" s="11" t="inlineStr">
        <is>
          <t xml:space="preserve"> Women's</t>
        </is>
      </c>
      <c r="BW727" s="13" t="n">
        <v>172</v>
      </c>
      <c r="BX727" s="13" t="n">
        <v>172.1</v>
      </c>
      <c r="BY727" s="13" t="n">
        <v>134</v>
      </c>
      <c r="BZ727" s="13" t="n">
        <v>149</v>
      </c>
      <c r="CA727" s="13" t="n">
        <v>130</v>
      </c>
      <c r="CB727" s="13" t="n">
        <v>91</v>
      </c>
      <c r="CC727" s="13" t="n">
        <v>116</v>
      </c>
      <c r="CD727" s="13" t="n">
        <v>16.9</v>
      </c>
      <c r="CE727" s="13" t="n">
        <v>1690</v>
      </c>
      <c r="CF727" s="13" t="n">
        <v>1.05</v>
      </c>
      <c r="CG727" s="13" t="n">
        <v>1780</v>
      </c>
      <c r="CH727" s="13" t="n">
        <v>208</v>
      </c>
      <c r="CI727" s="13" t="n">
        <v>140</v>
      </c>
      <c r="CJ727" s="13" t="n">
        <v>40</v>
      </c>
      <c r="CK727" s="13" t="n">
        <v>237</v>
      </c>
      <c r="CL727" s="13" t="n">
        <v>16</v>
      </c>
      <c r="CM727" s="13" t="n">
        <v>145</v>
      </c>
      <c r="CN727" s="13" t="n">
        <v>0.409</v>
      </c>
      <c r="CO727" s="13" t="n">
        <v>147</v>
      </c>
      <c r="CP727" s="13" t="n">
        <v>87</v>
      </c>
      <c r="CQ727" s="13" t="n">
        <v>90</v>
      </c>
      <c r="CR727" s="13" t="n">
        <v>9</v>
      </c>
      <c r="CS727" s="13" t="n">
        <v>9.6</v>
      </c>
      <c r="CT727" s="11" t="inlineStr">
        <is>
          <t xml:space="preserve"> Resort Freeride</t>
        </is>
      </c>
      <c r="CU727" s="11" t="inlineStr">
        <is>
          <t xml:space="preserve"> Touring</t>
        </is>
      </c>
      <c r="CV727" s="13" t="n"/>
      <c r="CW727" s="13" t="n"/>
      <c r="CX727">
        <f>INDEX('Data_Price '!AG$2:AG$1266,MATCH(Data!$DN727,'Data_Price '!$AT$2:$AT$1266,0))</f>
        <v/>
      </c>
      <c r="CY727">
        <f>INDEX('Data_Price '!AH$2:AH$1266,MATCH(Data!$DN727,'Data_Price '!$AT$2:$AT$1266,0))</f>
        <v/>
      </c>
      <c r="CZ727">
        <f>INDEX('Data_Price '!AI$2:AI$1266,MATCH(Data!$DN727,'Data_Price '!$AT$2:$AT$1266,0))</f>
        <v/>
      </c>
      <c r="DA727">
        <f>INDEX('Data_Price '!AJ$2:AJ$1266,MATCH(Data!$DN727,'Data_Price '!$AT$2:$AT$1266,0))</f>
        <v/>
      </c>
      <c r="DB727">
        <f>INDEX('Data_Price '!AK$2:AK$1266,MATCH(Data!$DN727,'Data_Price '!$AT$2:$AT$1266,0))</f>
        <v/>
      </c>
      <c r="DC727">
        <f>INDEX('Data_Price '!AL$2:AL$1266,MATCH(Data!$DN727,'Data_Price '!$AT$2:$AT$1266,0))</f>
        <v/>
      </c>
      <c r="DD727">
        <f>INDEX('Data_Price '!AM$2:AM$1266,MATCH(Data!$DN727,'Data_Price '!$AT$2:$AT$1266,0))</f>
        <v/>
      </c>
      <c r="DE727">
        <f>INDEX('Data_Price '!AN$2:AN$1266,MATCH(Data!$DN727,'Data_Price '!$AT$2:$AT$1266,0))</f>
        <v/>
      </c>
      <c r="DF727">
        <f>INDEX('Data_Price '!AO$2:AO$1266,MATCH(Data!$DN727,'Data_Price '!$AT$2:$AT$1266,0))</f>
        <v/>
      </c>
      <c r="DG727">
        <f>INDEX('Data_Price '!AP$2:AP$1266,MATCH(Data!$DN727,'Data_Price '!$AT$2:$AT$1266,0))</f>
        <v/>
      </c>
      <c r="DH727">
        <f>INDEX('Data_Price '!AQ$2:AQ$1266,MATCH(Data!$DN727,'Data_Price '!$AT$2:$AT$1266,0))</f>
        <v/>
      </c>
      <c r="DI727">
        <f>INDEX('Data_Price '!AR$2:AR$1266,MATCH(Data!$DN727,'Data_Price '!$AT$2:$AT$1266,0))</f>
        <v/>
      </c>
      <c r="DJ727" s="138">
        <f>DA727</f>
        <v/>
      </c>
      <c r="DK727" s="138">
        <f>DE727</f>
        <v/>
      </c>
      <c r="DL727" s="138">
        <f>DI727</f>
        <v/>
      </c>
      <c r="DM727" s="303">
        <f>IF(LEFT(BT727,1)=" ",RIGHT(BT727,LEN(BT727)-1),BT727)</f>
        <v/>
      </c>
      <c r="DN727" s="138">
        <f>_xlfn.CONCAT(BS727,DM727,BU727,BV727)</f>
        <v/>
      </c>
      <c r="DO727" s="307" t="inlineStr">
        <is>
          <t>https://images.evo.com/imgp/250/198722/799804/armada-reliance-92-ti-skis-women-s-2023-.jpg</t>
        </is>
      </c>
    </row>
    <row r="728" ht="15.6" customHeight="1" s="184">
      <c r="B728" s="303">
        <f t="array" ref="B728">IF(OR(ISERROR(K728:P728)),FALSE,TRUE)</f>
        <v/>
      </c>
      <c r="C728" s="60">
        <f>OR(BR728=Driver!$G$50,Data!BR831=Driver!$H$50)</f>
        <v/>
      </c>
      <c r="D728" s="60">
        <f>OR(BV728=Driver!$G$51,BV728=Driver!$H$51)</f>
        <v/>
      </c>
      <c r="E728" s="60">
        <f>AND(BX728&gt;Driver!$F$54,BX728&lt;Driver!$G$54)</f>
        <v/>
      </c>
      <c r="F728" s="60">
        <f>CL728&gt;Driver!$F$56</f>
        <v/>
      </c>
      <c r="G728" s="60">
        <f>AND(CB728&gt;Driver!$F$55,CB728&lt;Driver!$G$55)</f>
        <v/>
      </c>
      <c r="H728" s="60">
        <f>AND(B728:G728)</f>
        <v/>
      </c>
      <c r="I728" s="60">
        <f>COUNTIFS($H$9:$H$1273,TRUE,$BT$9:$BT$1273,BT728)</f>
        <v/>
      </c>
      <c r="J728" s="60">
        <f t="array" ref="J728">NOT(OR(($H$9:$H$1273=TRUE)*($I$9:$I$1273&gt;0)*($BT$9:$BT$1273=BT728)*($K$9:$K$1273&gt;K728)))</f>
        <v/>
      </c>
      <c r="K728" s="108">
        <f>IFERROR(1-AVERAGE(X728:Y728),"")</f>
        <v/>
      </c>
      <c r="L728" s="108">
        <f>1-X728</f>
        <v/>
      </c>
      <c r="M728" s="108">
        <f>1-Y728</f>
        <v/>
      </c>
      <c r="N728" s="108">
        <f>1-Z728</f>
        <v/>
      </c>
      <c r="O728" s="108">
        <f>1-AA728</f>
        <v/>
      </c>
      <c r="P728" s="108">
        <f>1-AB728</f>
        <v/>
      </c>
      <c r="Q728" s="108" t="n"/>
      <c r="R728" s="108" t="n"/>
      <c r="S728" s="108">
        <f>1-AE728</f>
        <v/>
      </c>
      <c r="T728" s="108">
        <f>1-AF728</f>
        <v/>
      </c>
      <c r="U728" s="108">
        <f>1-AG728</f>
        <v/>
      </c>
      <c r="V728" s="108">
        <f>1-AH728</f>
        <v/>
      </c>
      <c r="W728" s="108">
        <f>1-AI728</f>
        <v/>
      </c>
      <c r="X728" s="108">
        <f>ABS(AJ728-AJ$1)</f>
        <v/>
      </c>
      <c r="Y728" s="108">
        <f>AVERAGE(Z728:AB728)</f>
        <v/>
      </c>
      <c r="Z728" s="108">
        <f>ABS(AL728-AL$1)</f>
        <v/>
      </c>
      <c r="AA728" s="108">
        <f>ABS(AM728-AM$1)</f>
        <v/>
      </c>
      <c r="AB728" s="108">
        <f>ABS(AN728-AN$1)</f>
        <v/>
      </c>
      <c r="AC728" s="108" t="n"/>
      <c r="AD728" s="108" t="n"/>
      <c r="AE728" s="108">
        <f>ABS(AQ$1-AQ728)</f>
        <v/>
      </c>
      <c r="AF728" s="108">
        <f>ABS(AR$1-AR728)</f>
        <v/>
      </c>
      <c r="AG728" s="108">
        <f>ABS(AS$1-AS728)</f>
        <v/>
      </c>
      <c r="AH728" s="108">
        <f>ABS(AT$1-AT728)</f>
        <v/>
      </c>
      <c r="AI728" s="108">
        <f>ABS(AU$1-AU728)</f>
        <v/>
      </c>
      <c r="AJ728" s="108">
        <f>(AV728-Driver!$K$179)/(Driver!$L$179-Driver!$K$179)</f>
        <v/>
      </c>
      <c r="AK728" s="108">
        <f>(AW728-Driver!$K$180)/(Driver!$L$180-Driver!$K$180)</f>
        <v/>
      </c>
      <c r="AL728" s="108">
        <f>(AX728-Driver!$K$181)/(Driver!$L$181-Driver!$K$181)</f>
        <v/>
      </c>
      <c r="AM728" s="108">
        <f>(AY728-Driver!$K$182)/(Driver!$L$182-Driver!$K$182)</f>
        <v/>
      </c>
      <c r="AN728" s="108">
        <f>(AZ728-Driver!$K$183)/(Driver!$L$183-Driver!$K$183)</f>
        <v/>
      </c>
      <c r="AO728" s="108" t="n"/>
      <c r="AP728" s="108" t="n"/>
      <c r="AQ728" s="108">
        <f>(BC728-Driver!$K$188)/(Driver!$L$188-Driver!$K$188)</f>
        <v/>
      </c>
      <c r="AR728" s="108">
        <f>MIN((BD728-Driver!$K$189)/(Driver!$L$189-Driver!$K$189),100%)</f>
        <v/>
      </c>
      <c r="AS728" s="108">
        <f>(BE728-Driver!$K$190)/(Driver!$L$190-Driver!$K$190)</f>
        <v/>
      </c>
      <c r="AT728" s="108">
        <f>(BF728-Driver!$K$191)/(Driver!$L$191-Driver!$K$191)</f>
        <v/>
      </c>
      <c r="AU728" s="108">
        <f>(BG728-Driver!$K$192)/(Driver!$L$192-Driver!$K$192)</f>
        <v/>
      </c>
      <c r="AV728" s="105">
        <f>IFERROR(BM728*BJ728^1/4,"")</f>
        <v/>
      </c>
      <c r="AW728" s="105">
        <f>IFERROR(SUM(AX728:AZ728),"")</f>
        <v/>
      </c>
      <c r="AX728" s="105">
        <f>IFERROR(BH728,"")</f>
        <v/>
      </c>
      <c r="AY728" s="105">
        <f>IFERROR(Driver!$K$19/Data!BH728/Data!BI728*Data!BK728*Data!BL728,"")</f>
        <v/>
      </c>
      <c r="AZ728" s="105">
        <f>IFERROR(BI728*BN728,"")</f>
        <v/>
      </c>
      <c r="BA728" s="105" t="n"/>
      <c r="BB728" s="105" t="n"/>
      <c r="BC728" s="105">
        <f>IFERROR(BI728*BN728*BK728/BJ728^(1/2),"")</f>
        <v/>
      </c>
      <c r="BD728" s="105">
        <f>IFERROR(BH728*BM728*BL728/BJ728/BK728,"")</f>
        <v/>
      </c>
      <c r="BE728" s="105">
        <f>IFERROR(MIN(BI728/BQ728/BP728/BO728/BH728,$BE$1),"")</f>
        <v/>
      </c>
      <c r="BF728" s="105">
        <f>IFERROR(BJ728*BO728*BP728/BK728,"")</f>
        <v/>
      </c>
      <c r="BG728" s="105">
        <f>IFERROR(1/BM728/BH728*BQ728,"")</f>
        <v/>
      </c>
      <c r="BH728" s="102">
        <f>MAX((CE728-Driver!$F$200)/(Driver!$G$200-Driver!$F$200)*$BI$1,1)</f>
        <v/>
      </c>
      <c r="BI728" s="102">
        <f>MAX($BI$1*(BY728-Driver!$F$201)/(Driver!$G$201-Driver!$F$201),1)</f>
        <v/>
      </c>
      <c r="BJ728" s="102">
        <f>(CB728-Driver!$F$206)/(Driver!$G$206-Driver!$F$206)*$BI$1</f>
        <v/>
      </c>
      <c r="BK728" s="102">
        <f>(CD728-Driver!$F$203)/(Driver!$G$203-Driver!$F$203)*$BI$1</f>
        <v/>
      </c>
      <c r="BL728" s="102">
        <f>MAX((CR728-Driver!$F$202)/(Driver!$G$202-Driver!$F$202)*$BI$1,1)</f>
        <v/>
      </c>
      <c r="BM728" s="102">
        <f>MAX((CH728-Driver!$F$204)/(Driver!$G$204-Driver!$F$204)*$BI$1,1)</f>
        <v/>
      </c>
      <c r="BN728" s="102">
        <f>(CI728-Driver!$F$205)/(Driver!$G$205-Driver!$F$205)*$BI$1</f>
        <v/>
      </c>
      <c r="BO728" s="102">
        <f>(CK728-Driver!$F$207)/(Driver!$G$207-Driver!$F$207)*$BI$1</f>
        <v/>
      </c>
      <c r="BP728" s="102">
        <f>(CM728-Driver!$F$208)/(Driver!$G$208-Driver!$F$208)*$BI$1</f>
        <v/>
      </c>
      <c r="BQ728" s="102">
        <f>(CL728-Driver!$F$209)/(Driver!$G$209-Driver!$F$209)*$BI$1</f>
        <v/>
      </c>
      <c r="BR728" s="40" t="inlineStr">
        <is>
          <t>21/22</t>
        </is>
      </c>
      <c r="BS728" s="10" t="inlineStr">
        <is>
          <t xml:space="preserve"> Line</t>
        </is>
      </c>
      <c r="BT728" s="11" t="inlineStr">
        <is>
          <t xml:space="preserve"> Chronic</t>
        </is>
      </c>
      <c r="BU728" s="13" t="n">
        <v>171</v>
      </c>
      <c r="BV728" s="11" t="inlineStr">
        <is>
          <t xml:space="preserve"> Unisex</t>
        </is>
      </c>
      <c r="BW728" s="13" t="n">
        <v>171</v>
      </c>
      <c r="BX728" s="13" t="n">
        <v>171.6</v>
      </c>
      <c r="BY728" s="13" t="n">
        <v>136</v>
      </c>
      <c r="BZ728" s="13" t="n">
        <v>138</v>
      </c>
      <c r="CA728" s="13" t="n">
        <v>128</v>
      </c>
      <c r="CB728" s="13" t="n">
        <v>94</v>
      </c>
      <c r="CC728" s="13" t="n">
        <v>119</v>
      </c>
      <c r="CD728" s="13" t="n">
        <v>15.3</v>
      </c>
      <c r="CE728" s="13" t="n">
        <v>1704</v>
      </c>
      <c r="CF728" s="13" t="n">
        <v>1.06</v>
      </c>
      <c r="CG728" s="13" t="n">
        <v>1808</v>
      </c>
      <c r="CH728" s="13" t="n">
        <v>136</v>
      </c>
      <c r="CI728" s="13" t="n">
        <v>74</v>
      </c>
      <c r="CJ728" s="13" t="n">
        <v>41</v>
      </c>
      <c r="CK728" s="13" t="n">
        <v>174</v>
      </c>
      <c r="CL728" s="13" t="n">
        <v>40</v>
      </c>
      <c r="CM728" s="13" t="n">
        <v>178</v>
      </c>
      <c r="CN728" s="13" t="n">
        <v>0.958</v>
      </c>
      <c r="CO728" s="13" t="n">
        <v>167</v>
      </c>
      <c r="CP728" s="13" t="n">
        <v>167</v>
      </c>
      <c r="CQ728" s="13" t="n">
        <v>6</v>
      </c>
      <c r="CR728" s="13" t="n">
        <v>10</v>
      </c>
      <c r="CS728" s="13" t="n">
        <v>3.5</v>
      </c>
      <c r="CT728" s="11" t="inlineStr">
        <is>
          <t xml:space="preserve"> Freeski</t>
        </is>
      </c>
      <c r="CU728" s="11" t="inlineStr">
        <is>
          <t xml:space="preserve"> Touring</t>
        </is>
      </c>
      <c r="CV728" s="13" t="n"/>
      <c r="CW728" s="13" t="n"/>
      <c r="CX728">
        <f>INDEX('Data_Price '!AG$2:AG$1266,MATCH(Data!$DN728,'Data_Price '!$AT$2:$AT$1266,0))</f>
        <v/>
      </c>
      <c r="CY728">
        <f>INDEX('Data_Price '!AH$2:AH$1266,MATCH(Data!$DN728,'Data_Price '!$AT$2:$AT$1266,0))</f>
        <v/>
      </c>
      <c r="CZ728">
        <f>INDEX('Data_Price '!AI$2:AI$1266,MATCH(Data!$DN728,'Data_Price '!$AT$2:$AT$1266,0))</f>
        <v/>
      </c>
      <c r="DA728">
        <f>INDEX('Data_Price '!AJ$2:AJ$1266,MATCH(Data!$DN728,'Data_Price '!$AT$2:$AT$1266,0))</f>
        <v/>
      </c>
      <c r="DB728">
        <f>INDEX('Data_Price '!AK$2:AK$1266,MATCH(Data!$DN728,'Data_Price '!$AT$2:$AT$1266,0))</f>
        <v/>
      </c>
      <c r="DC728">
        <f>INDEX('Data_Price '!AL$2:AL$1266,MATCH(Data!$DN728,'Data_Price '!$AT$2:$AT$1266,0))</f>
        <v/>
      </c>
      <c r="DD728">
        <f>INDEX('Data_Price '!AM$2:AM$1266,MATCH(Data!$DN728,'Data_Price '!$AT$2:$AT$1266,0))</f>
        <v/>
      </c>
      <c r="DE728">
        <f>INDEX('Data_Price '!AN$2:AN$1266,MATCH(Data!$DN728,'Data_Price '!$AT$2:$AT$1266,0))</f>
        <v/>
      </c>
      <c r="DF728">
        <f>INDEX('Data_Price '!AO$2:AO$1266,MATCH(Data!$DN728,'Data_Price '!$AT$2:$AT$1266,0))</f>
        <v/>
      </c>
      <c r="DG728">
        <f>INDEX('Data_Price '!AP$2:AP$1266,MATCH(Data!$DN728,'Data_Price '!$AT$2:$AT$1266,0))</f>
        <v/>
      </c>
      <c r="DH728">
        <f>INDEX('Data_Price '!AQ$2:AQ$1266,MATCH(Data!$DN728,'Data_Price '!$AT$2:$AT$1266,0))</f>
        <v/>
      </c>
      <c r="DI728">
        <f>INDEX('Data_Price '!AR$2:AR$1266,MATCH(Data!$DN728,'Data_Price '!$AT$2:$AT$1266,0))</f>
        <v/>
      </c>
      <c r="DJ728" s="138">
        <f>DA728</f>
        <v/>
      </c>
      <c r="DK728" s="138">
        <f>DE728</f>
        <v/>
      </c>
      <c r="DL728" s="138">
        <f>DI728</f>
        <v/>
      </c>
      <c r="DM728" s="303">
        <f>IF(LEFT(BT728,1)=" ",RIGHT(BT728,LEN(BT728)-1),BT728)</f>
        <v/>
      </c>
      <c r="DN728" s="138">
        <f>_xlfn.CONCAT(BS728,DM728,BU728,BV728)</f>
        <v/>
      </c>
      <c r="DO728" s="307" t="inlineStr">
        <is>
          <t>https://images.evo.com/imgp/250/198439/824792/clone.jpg</t>
        </is>
      </c>
    </row>
    <row r="729" ht="15.6" customHeight="1" s="184">
      <c r="B729" s="303">
        <f t="array" ref="B729">IF(OR(ISERROR(K729:P729)),FALSE,TRUE)</f>
        <v/>
      </c>
      <c r="C729" s="60">
        <f>OR(BR729=Driver!$G$50,Data!BR632=Driver!$H$50)</f>
        <v/>
      </c>
      <c r="D729" s="60">
        <f>OR(BV729=Driver!$G$51,BV729=Driver!$H$51)</f>
        <v/>
      </c>
      <c r="E729" s="60">
        <f>AND(BX729&gt;Driver!$F$54,BX729&lt;Driver!$G$54)</f>
        <v/>
      </c>
      <c r="F729" s="60">
        <f>CL729&gt;Driver!$F$56</f>
        <v/>
      </c>
      <c r="G729" s="60">
        <f>AND(CB729&gt;Driver!$F$55,CB729&lt;Driver!$G$55)</f>
        <v/>
      </c>
      <c r="H729" s="60">
        <f>AND(B729:G729)</f>
        <v/>
      </c>
      <c r="I729" s="60">
        <f>COUNTIFS($H$9:$H$1273,TRUE,$BT$9:$BT$1273,BT729)</f>
        <v/>
      </c>
      <c r="J729" s="60">
        <f t="array" ref="J729">NOT(OR(($H$9:$H$1273=TRUE)*($I$9:$I$1273&gt;0)*($BT$9:$BT$1273=BT729)*($K$9:$K$1273&gt;K729)))</f>
        <v/>
      </c>
      <c r="K729" s="108">
        <f>IFERROR(1-AVERAGE(X729:Y729),"")</f>
        <v/>
      </c>
      <c r="L729" s="108">
        <f>1-X729</f>
        <v/>
      </c>
      <c r="M729" s="108">
        <f>1-Y729</f>
        <v/>
      </c>
      <c r="N729" s="108">
        <f>1-Z729</f>
        <v/>
      </c>
      <c r="O729" s="108">
        <f>1-AA729</f>
        <v/>
      </c>
      <c r="P729" s="108">
        <f>1-AB729</f>
        <v/>
      </c>
      <c r="Q729" s="108" t="n"/>
      <c r="R729" s="108" t="n"/>
      <c r="S729" s="108">
        <f>1-AE729</f>
        <v/>
      </c>
      <c r="T729" s="108">
        <f>1-AF729</f>
        <v/>
      </c>
      <c r="U729" s="108">
        <f>1-AG729</f>
        <v/>
      </c>
      <c r="V729" s="108">
        <f>1-AH729</f>
        <v/>
      </c>
      <c r="W729" s="108">
        <f>1-AI729</f>
        <v/>
      </c>
      <c r="X729" s="108">
        <f>ABS(AJ729-AJ$1)</f>
        <v/>
      </c>
      <c r="Y729" s="108">
        <f>AVERAGE(Z729:AB729)</f>
        <v/>
      </c>
      <c r="Z729" s="108">
        <f>ABS(AL729-AL$1)</f>
        <v/>
      </c>
      <c r="AA729" s="108">
        <f>ABS(AM729-AM$1)</f>
        <v/>
      </c>
      <c r="AB729" s="108">
        <f>ABS(AN729-AN$1)</f>
        <v/>
      </c>
      <c r="AC729" s="108" t="n"/>
      <c r="AD729" s="108" t="n"/>
      <c r="AE729" s="108">
        <f>ABS(AQ$1-AQ729)</f>
        <v/>
      </c>
      <c r="AF729" s="108">
        <f>ABS(AR$1-AR729)</f>
        <v/>
      </c>
      <c r="AG729" s="108">
        <f>ABS(AS$1-AS729)</f>
        <v/>
      </c>
      <c r="AH729" s="108">
        <f>ABS(AT$1-AT729)</f>
        <v/>
      </c>
      <c r="AI729" s="108">
        <f>ABS(AU$1-AU729)</f>
        <v/>
      </c>
      <c r="AJ729" s="108">
        <f>(AV729-Driver!$K$179)/(Driver!$L$179-Driver!$K$179)</f>
        <v/>
      </c>
      <c r="AK729" s="108">
        <f>(AW729-Driver!$K$180)/(Driver!$L$180-Driver!$K$180)</f>
        <v/>
      </c>
      <c r="AL729" s="108">
        <f>(AX729-Driver!$K$181)/(Driver!$L$181-Driver!$K$181)</f>
        <v/>
      </c>
      <c r="AM729" s="108">
        <f>(AY729-Driver!$K$182)/(Driver!$L$182-Driver!$K$182)</f>
        <v/>
      </c>
      <c r="AN729" s="108">
        <f>(AZ729-Driver!$K$183)/(Driver!$L$183-Driver!$K$183)</f>
        <v/>
      </c>
      <c r="AO729" s="108" t="n"/>
      <c r="AP729" s="108" t="n"/>
      <c r="AQ729" s="108">
        <f>(BC729-Driver!$K$188)/(Driver!$L$188-Driver!$K$188)</f>
        <v/>
      </c>
      <c r="AR729" s="108">
        <f>MIN((BD729-Driver!$K$189)/(Driver!$L$189-Driver!$K$189),100%)</f>
        <v/>
      </c>
      <c r="AS729" s="108">
        <f>(BE729-Driver!$K$190)/(Driver!$L$190-Driver!$K$190)</f>
        <v/>
      </c>
      <c r="AT729" s="108">
        <f>(BF729-Driver!$K$191)/(Driver!$L$191-Driver!$K$191)</f>
        <v/>
      </c>
      <c r="AU729" s="108">
        <f>(BG729-Driver!$K$192)/(Driver!$L$192-Driver!$K$192)</f>
        <v/>
      </c>
      <c r="AV729" s="105">
        <f>IFERROR(BM729*BJ729^1/4,"")</f>
        <v/>
      </c>
      <c r="AW729" s="105">
        <f>IFERROR(SUM(AX729:AZ729),"")</f>
        <v/>
      </c>
      <c r="AX729" s="105">
        <f>IFERROR(BH729,"")</f>
        <v/>
      </c>
      <c r="AY729" s="105">
        <f>IFERROR(Driver!$K$19/Data!BH729/Data!BI729*Data!BK729*Data!BL729,"")</f>
        <v/>
      </c>
      <c r="AZ729" s="105">
        <f>IFERROR(BI729*BN729,"")</f>
        <v/>
      </c>
      <c r="BA729" s="105" t="n"/>
      <c r="BB729" s="105" t="n"/>
      <c r="BC729" s="105">
        <f>IFERROR(BI729*BN729*BK729/BJ729^(1/2),"")</f>
        <v/>
      </c>
      <c r="BD729" s="105">
        <f>IFERROR(BH729*BM729*BL729/BJ729/BK729,"")</f>
        <v/>
      </c>
      <c r="BE729" s="105">
        <f>IFERROR(MIN(BI729/BQ729/BP729/BO729/BH729,$BE$1),"")</f>
        <v/>
      </c>
      <c r="BF729" s="105">
        <f>IFERROR(BJ729*BO729*BP729/BK729,"")</f>
        <v/>
      </c>
      <c r="BG729" s="105">
        <f>IFERROR(1/BM729/BH729*BQ729,"")</f>
        <v/>
      </c>
      <c r="BH729" s="102">
        <f>MAX((CE729-Driver!$F$200)/(Driver!$G$200-Driver!$F$200)*$BI$1,1)</f>
        <v/>
      </c>
      <c r="BI729" s="102">
        <f>MAX($BI$1*(BY729-Driver!$F$201)/(Driver!$G$201-Driver!$F$201),1)</f>
        <v/>
      </c>
      <c r="BJ729" s="102">
        <f>(CB729-Driver!$F$206)/(Driver!$G$206-Driver!$F$206)*$BI$1</f>
        <v/>
      </c>
      <c r="BK729" s="102">
        <f>(CD729-Driver!$F$203)/(Driver!$G$203-Driver!$F$203)*$BI$1</f>
        <v/>
      </c>
      <c r="BL729" s="102">
        <f>MAX((CR729-Driver!$F$202)/(Driver!$G$202-Driver!$F$202)*$BI$1,1)</f>
        <v/>
      </c>
      <c r="BM729" s="102">
        <f>MAX((CH729-Driver!$F$204)/(Driver!$G$204-Driver!$F$204)*$BI$1,1)</f>
        <v/>
      </c>
      <c r="BN729" s="102">
        <f>(CI729-Driver!$F$205)/(Driver!$G$205-Driver!$F$205)*$BI$1</f>
        <v/>
      </c>
      <c r="BO729" s="102">
        <f>(CK729-Driver!$F$207)/(Driver!$G$207-Driver!$F$207)*$BI$1</f>
        <v/>
      </c>
      <c r="BP729" s="102">
        <f>(CM729-Driver!$F$208)/(Driver!$G$208-Driver!$F$208)*$BI$1</f>
        <v/>
      </c>
      <c r="BQ729" s="102">
        <f>(CL729-Driver!$F$209)/(Driver!$G$209-Driver!$F$209)*$BI$1</f>
        <v/>
      </c>
      <c r="BR729" s="40" t="inlineStr">
        <is>
          <t>21/22</t>
        </is>
      </c>
      <c r="BS729" s="10" t="inlineStr">
        <is>
          <t xml:space="preserve"> Head</t>
        </is>
      </c>
      <c r="BT729" s="11" t="inlineStr">
        <is>
          <t>Oblivion 84</t>
        </is>
      </c>
      <c r="BU729" s="13" t="n">
        <v>171</v>
      </c>
      <c r="BV729" s="11" t="inlineStr">
        <is>
          <t xml:space="preserve"> Unisex</t>
        </is>
      </c>
      <c r="BW729" s="13" t="n">
        <v>171</v>
      </c>
      <c r="BX729" s="13" t="n">
        <v>169.2</v>
      </c>
      <c r="BY729" s="13" t="n">
        <v>140</v>
      </c>
      <c r="BZ729" s="13" t="n">
        <v>151</v>
      </c>
      <c r="CA729" s="13" t="n">
        <v>119</v>
      </c>
      <c r="CB729" s="13" t="n">
        <v>82</v>
      </c>
      <c r="CC729" s="13" t="n">
        <v>108</v>
      </c>
      <c r="CD729" s="13" t="n">
        <v>17.8</v>
      </c>
      <c r="CE729" s="13" t="n">
        <v>1696</v>
      </c>
      <c r="CF729" s="13" t="n">
        <v>0.9399999999999999</v>
      </c>
      <c r="CG729" s="13" t="n">
        <v>1586</v>
      </c>
      <c r="CH729" s="13" t="n">
        <v>178</v>
      </c>
      <c r="CI729" s="13" t="n">
        <v>62</v>
      </c>
      <c r="CJ729" s="13" t="n">
        <v>48</v>
      </c>
      <c r="CK729" s="13" t="n">
        <v>156</v>
      </c>
      <c r="CL729" s="13" t="n">
        <v>37</v>
      </c>
      <c r="CM729" s="13" t="n">
        <v>133</v>
      </c>
      <c r="CN729" s="13" t="n">
        <v>0.769</v>
      </c>
      <c r="CO729" s="13" t="n">
        <v>96</v>
      </c>
      <c r="CP729" s="13" t="n">
        <v>89</v>
      </c>
      <c r="CQ729" s="13" t="n">
        <v>60</v>
      </c>
      <c r="CR729" s="13" t="n">
        <v>11</v>
      </c>
      <c r="CS729" s="13" t="n">
        <v>5.4</v>
      </c>
      <c r="CT729" s="11" t="inlineStr">
        <is>
          <t xml:space="preserve"> Resort Freeride</t>
        </is>
      </c>
      <c r="CU729" s="13" t="n"/>
      <c r="CV729" s="13" t="n"/>
      <c r="CW729" s="13" t="n"/>
      <c r="CX729">
        <f>INDEX('Data_Price '!AG$2:AG$1266,MATCH(Data!$DN729,'Data_Price '!$AT$2:$AT$1266,0))</f>
        <v/>
      </c>
      <c r="CY729">
        <f>INDEX('Data_Price '!AH$2:AH$1266,MATCH(Data!$DN729,'Data_Price '!$AT$2:$AT$1266,0))</f>
        <v/>
      </c>
      <c r="CZ729">
        <f>INDEX('Data_Price '!AI$2:AI$1266,MATCH(Data!$DN729,'Data_Price '!$AT$2:$AT$1266,0))</f>
        <v/>
      </c>
      <c r="DA729">
        <f>INDEX('Data_Price '!AJ$2:AJ$1266,MATCH(Data!$DN729,'Data_Price '!$AT$2:$AT$1266,0))</f>
        <v/>
      </c>
      <c r="DB729">
        <f>INDEX('Data_Price '!AK$2:AK$1266,MATCH(Data!$DN729,'Data_Price '!$AT$2:$AT$1266,0))</f>
        <v/>
      </c>
      <c r="DC729">
        <f>INDEX('Data_Price '!AL$2:AL$1266,MATCH(Data!$DN729,'Data_Price '!$AT$2:$AT$1266,0))</f>
        <v/>
      </c>
      <c r="DD729">
        <f>INDEX('Data_Price '!AM$2:AM$1266,MATCH(Data!$DN729,'Data_Price '!$AT$2:$AT$1266,0))</f>
        <v/>
      </c>
      <c r="DE729">
        <f>INDEX('Data_Price '!AN$2:AN$1266,MATCH(Data!$DN729,'Data_Price '!$AT$2:$AT$1266,0))</f>
        <v/>
      </c>
      <c r="DF729">
        <f>INDEX('Data_Price '!AO$2:AO$1266,MATCH(Data!$DN729,'Data_Price '!$AT$2:$AT$1266,0))</f>
        <v/>
      </c>
      <c r="DG729">
        <f>INDEX('Data_Price '!AP$2:AP$1266,MATCH(Data!$DN729,'Data_Price '!$AT$2:$AT$1266,0))</f>
        <v/>
      </c>
      <c r="DH729">
        <f>INDEX('Data_Price '!AQ$2:AQ$1266,MATCH(Data!$DN729,'Data_Price '!$AT$2:$AT$1266,0))</f>
        <v/>
      </c>
      <c r="DI729">
        <f>INDEX('Data_Price '!AR$2:AR$1266,MATCH(Data!$DN729,'Data_Price '!$AT$2:$AT$1266,0))</f>
        <v/>
      </c>
      <c r="DJ729" s="138">
        <f>DA729</f>
        <v/>
      </c>
      <c r="DK729" s="138">
        <f>DE729</f>
        <v/>
      </c>
      <c r="DL729" s="138">
        <f>DI729</f>
        <v/>
      </c>
      <c r="DM729" s="303">
        <f>IF(LEFT(BT729,1)=" ",RIGHT(BT729,LEN(BT729)-1),BT729)</f>
        <v/>
      </c>
      <c r="DN729" s="138">
        <f>_xlfn.CONCAT(BS729,DM729,BU729,BV729)</f>
        <v/>
      </c>
      <c r="DO729" s="307" t="inlineStr">
        <is>
          <t>https://images.evo.com/imgp/250/208283/832654/head-oblivion-84-skis-2023-.jpg</t>
        </is>
      </c>
    </row>
    <row r="730" ht="15.6" customHeight="1" s="184">
      <c r="B730" s="303">
        <f t="array" ref="B730">IF(OR(ISERROR(K730:P730)),FALSE,TRUE)</f>
        <v/>
      </c>
      <c r="C730" s="60">
        <f>OR(BR730=Driver!$G$50,Data!BR1102=Driver!$H$50)</f>
        <v/>
      </c>
      <c r="D730" s="60">
        <f>OR(BV730=Driver!$G$51,BV730=Driver!$H$51)</f>
        <v/>
      </c>
      <c r="E730" s="60">
        <f>AND(BX730&gt;Driver!$F$54,BX730&lt;Driver!$G$54)</f>
        <v/>
      </c>
      <c r="F730" s="60">
        <f>CL730&gt;Driver!$F$56</f>
        <v/>
      </c>
      <c r="G730" s="60">
        <f>AND(CB730&gt;Driver!$F$55,CB730&lt;Driver!$G$55)</f>
        <v/>
      </c>
      <c r="H730" s="60">
        <f>AND(B730:G730)</f>
        <v/>
      </c>
      <c r="I730" s="60">
        <f>COUNTIFS($H$9:$H$1273,TRUE,$BT$9:$BT$1273,BT730)</f>
        <v/>
      </c>
      <c r="J730" s="60">
        <f t="array" ref="J730">NOT(OR(($H$9:$H$1273=TRUE)*($I$9:$I$1273&gt;0)*($BT$9:$BT$1273=BT730)*($K$9:$K$1273&gt;K730)))</f>
        <v/>
      </c>
      <c r="K730" s="108">
        <f>IFERROR(1-AVERAGE(X730:Y730),"")</f>
        <v/>
      </c>
      <c r="L730" s="108">
        <f>1-X730</f>
        <v/>
      </c>
      <c r="M730" s="108">
        <f>1-Y730</f>
        <v/>
      </c>
      <c r="N730" s="108">
        <f>1-Z730</f>
        <v/>
      </c>
      <c r="O730" s="108">
        <f>1-AA730</f>
        <v/>
      </c>
      <c r="P730" s="108">
        <f>1-AB730</f>
        <v/>
      </c>
      <c r="Q730" s="108" t="n"/>
      <c r="R730" s="108" t="n"/>
      <c r="S730" s="108">
        <f>1-AE730</f>
        <v/>
      </c>
      <c r="T730" s="108">
        <f>1-AF730</f>
        <v/>
      </c>
      <c r="U730" s="108">
        <f>1-AG730</f>
        <v/>
      </c>
      <c r="V730" s="108">
        <f>1-AH730</f>
        <v/>
      </c>
      <c r="W730" s="108">
        <f>1-AI730</f>
        <v/>
      </c>
      <c r="X730" s="108">
        <f>ABS(AJ730-AJ$1)</f>
        <v/>
      </c>
      <c r="Y730" s="108">
        <f>AVERAGE(Z730:AB730)</f>
        <v/>
      </c>
      <c r="Z730" s="108">
        <f>ABS(AL730-AL$1)</f>
        <v/>
      </c>
      <c r="AA730" s="108">
        <f>ABS(AM730-AM$1)</f>
        <v/>
      </c>
      <c r="AB730" s="108">
        <f>ABS(AN730-AN$1)</f>
        <v/>
      </c>
      <c r="AC730" s="108" t="n"/>
      <c r="AD730" s="108" t="n"/>
      <c r="AE730" s="108">
        <f>ABS(AQ$1-AQ730)</f>
        <v/>
      </c>
      <c r="AF730" s="108">
        <f>ABS(AR$1-AR730)</f>
        <v/>
      </c>
      <c r="AG730" s="108">
        <f>ABS(AS$1-AS730)</f>
        <v/>
      </c>
      <c r="AH730" s="108">
        <f>ABS(AT$1-AT730)</f>
        <v/>
      </c>
      <c r="AI730" s="108">
        <f>ABS(AU$1-AU730)</f>
        <v/>
      </c>
      <c r="AJ730" s="108">
        <f>(AV730-Driver!$K$179)/(Driver!$L$179-Driver!$K$179)</f>
        <v/>
      </c>
      <c r="AK730" s="108">
        <f>(AW730-Driver!$K$180)/(Driver!$L$180-Driver!$K$180)</f>
        <v/>
      </c>
      <c r="AL730" s="108">
        <f>(AX730-Driver!$K$181)/(Driver!$L$181-Driver!$K$181)</f>
        <v/>
      </c>
      <c r="AM730" s="108">
        <f>(AY730-Driver!$K$182)/(Driver!$L$182-Driver!$K$182)</f>
        <v/>
      </c>
      <c r="AN730" s="108">
        <f>(AZ730-Driver!$K$183)/(Driver!$L$183-Driver!$K$183)</f>
        <v/>
      </c>
      <c r="AO730" s="108" t="n"/>
      <c r="AP730" s="108" t="n"/>
      <c r="AQ730" s="108">
        <f>(BC730-Driver!$K$188)/(Driver!$L$188-Driver!$K$188)</f>
        <v/>
      </c>
      <c r="AR730" s="108">
        <f>MIN((BD730-Driver!$K$189)/(Driver!$L$189-Driver!$K$189),100%)</f>
        <v/>
      </c>
      <c r="AS730" s="108">
        <f>(BE730-Driver!$K$190)/(Driver!$L$190-Driver!$K$190)</f>
        <v/>
      </c>
      <c r="AT730" s="108">
        <f>(BF730-Driver!$K$191)/(Driver!$L$191-Driver!$K$191)</f>
        <v/>
      </c>
      <c r="AU730" s="108">
        <f>(BG730-Driver!$K$192)/(Driver!$L$192-Driver!$K$192)</f>
        <v/>
      </c>
      <c r="AV730" s="105">
        <f>IFERROR(BM730*BJ730^1/4,"")</f>
        <v/>
      </c>
      <c r="AW730" s="105">
        <f>IFERROR(SUM(AX730:AZ730),"")</f>
        <v/>
      </c>
      <c r="AX730" s="105">
        <f>IFERROR(BH730,"")</f>
        <v/>
      </c>
      <c r="AY730" s="105">
        <f>IFERROR(Driver!$K$19/Data!BH730/Data!BI730*Data!BK730*Data!BL730,"")</f>
        <v/>
      </c>
      <c r="AZ730" s="105">
        <f>IFERROR(BI730*BN730,"")</f>
        <v/>
      </c>
      <c r="BA730" s="105" t="n"/>
      <c r="BB730" s="105" t="n"/>
      <c r="BC730" s="105">
        <f>IFERROR(BI730*BN730*BK730/BJ730^(1/2),"")</f>
        <v/>
      </c>
      <c r="BD730" s="105">
        <f>IFERROR(BH730*BM730*BL730/BJ730/BK730,"")</f>
        <v/>
      </c>
      <c r="BE730" s="105">
        <f>IFERROR(MIN(BI730/BQ730/BP730/BO730/BH730,$BE$1),"")</f>
        <v/>
      </c>
      <c r="BF730" s="105">
        <f>IFERROR(BJ730*BO730*BP730/BK730,"")</f>
        <v/>
      </c>
      <c r="BG730" s="105">
        <f>IFERROR(1/BM730/BH730*BQ730,"")</f>
        <v/>
      </c>
      <c r="BH730" s="102">
        <f>MAX((CE730-Driver!$F$200)/(Driver!$G$200-Driver!$F$200)*$BI$1,1)</f>
        <v/>
      </c>
      <c r="BI730" s="102">
        <f>MAX($BI$1*(BY730-Driver!$F$201)/(Driver!$G$201-Driver!$F$201),1)</f>
        <v/>
      </c>
      <c r="BJ730" s="102">
        <f>(CB730-Driver!$F$206)/(Driver!$G$206-Driver!$F$206)*$BI$1</f>
        <v/>
      </c>
      <c r="BK730" s="102">
        <f>(CD730-Driver!$F$203)/(Driver!$G$203-Driver!$F$203)*$BI$1</f>
        <v/>
      </c>
      <c r="BL730" s="102">
        <f>MAX((CR730-Driver!$F$202)/(Driver!$G$202-Driver!$F$202)*$BI$1,1)</f>
        <v/>
      </c>
      <c r="BM730" s="102">
        <f>MAX((CH730-Driver!$F$204)/(Driver!$G$204-Driver!$F$204)*$BI$1,1)</f>
        <v/>
      </c>
      <c r="BN730" s="102">
        <f>(CI730-Driver!$F$205)/(Driver!$G$205-Driver!$F$205)*$BI$1</f>
        <v/>
      </c>
      <c r="BO730" s="102">
        <f>(CK730-Driver!$F$207)/(Driver!$G$207-Driver!$F$207)*$BI$1</f>
        <v/>
      </c>
      <c r="BP730" s="102">
        <f>(CM730-Driver!$F$208)/(Driver!$G$208-Driver!$F$208)*$BI$1</f>
        <v/>
      </c>
      <c r="BQ730" s="102">
        <f>(CL730-Driver!$F$209)/(Driver!$G$209-Driver!$F$209)*$BI$1</f>
        <v/>
      </c>
      <c r="BR730" s="40" t="inlineStr">
        <is>
          <t>21/22</t>
        </is>
      </c>
      <c r="BS730" s="10" t="inlineStr">
        <is>
          <t xml:space="preserve"> Salomon</t>
        </is>
      </c>
      <c r="BT730" s="11" t="inlineStr">
        <is>
          <t>Stance 84</t>
        </is>
      </c>
      <c r="BU730" s="13" t="n">
        <v>169</v>
      </c>
      <c r="BV730" s="11" t="inlineStr">
        <is>
          <t xml:space="preserve"> Unisex</t>
        </is>
      </c>
      <c r="BW730" s="13" t="n">
        <v>169</v>
      </c>
      <c r="BX730" s="13" t="n">
        <v>168</v>
      </c>
      <c r="BY730" s="13" t="n">
        <v>122</v>
      </c>
      <c r="BZ730" s="13" t="n">
        <v>140</v>
      </c>
      <c r="CA730" s="13" t="n">
        <v>121</v>
      </c>
      <c r="CB730" s="13" t="n">
        <v>83</v>
      </c>
      <c r="CC730" s="13" t="n">
        <v>104</v>
      </c>
      <c r="CD730" s="13" t="n">
        <v>15</v>
      </c>
      <c r="CE730" s="13" t="n">
        <v>1513</v>
      </c>
      <c r="CF730" s="13" t="n">
        <v>1.07</v>
      </c>
      <c r="CG730" s="13" t="n">
        <v>1623</v>
      </c>
      <c r="CH730" s="13" t="n">
        <v>179</v>
      </c>
      <c r="CI730" s="13" t="n">
        <v>77</v>
      </c>
      <c r="CJ730" s="13" t="n">
        <v>52</v>
      </c>
      <c r="CK730" s="13" t="n">
        <v>251</v>
      </c>
      <c r="CL730" s="13" t="n">
        <v>13</v>
      </c>
      <c r="CM730" s="13" t="n">
        <v>206</v>
      </c>
      <c r="CN730" s="13" t="n">
        <v>0.245</v>
      </c>
      <c r="CO730" s="13" t="n">
        <v>163</v>
      </c>
      <c r="CP730" s="13" t="n">
        <v>117</v>
      </c>
      <c r="CQ730" s="13" t="n">
        <v>88</v>
      </c>
      <c r="CR730" s="13" t="n">
        <v>6</v>
      </c>
      <c r="CS730" s="13" t="n">
        <v>10.1</v>
      </c>
      <c r="CT730" s="11" t="inlineStr">
        <is>
          <t xml:space="preserve"> On-Piste All-Mountain</t>
        </is>
      </c>
      <c r="CU730" s="11" t="inlineStr">
        <is>
          <t xml:space="preserve"> Resort Freeride</t>
        </is>
      </c>
      <c r="CV730" s="11" t="inlineStr">
        <is>
          <t xml:space="preserve"> Touring</t>
        </is>
      </c>
      <c r="CW730" s="13" t="n"/>
      <c r="CX730">
        <f>INDEX('Data_Price '!AG$2:AG$1266,MATCH(Data!$DN730,'Data_Price '!$AT$2:$AT$1266,0))</f>
        <v/>
      </c>
      <c r="CY730">
        <f>INDEX('Data_Price '!AH$2:AH$1266,MATCH(Data!$DN730,'Data_Price '!$AT$2:$AT$1266,0))</f>
        <v/>
      </c>
      <c r="CZ730">
        <f>INDEX('Data_Price '!AI$2:AI$1266,MATCH(Data!$DN730,'Data_Price '!$AT$2:$AT$1266,0))</f>
        <v/>
      </c>
      <c r="DA730">
        <f>INDEX('Data_Price '!AJ$2:AJ$1266,MATCH(Data!$DN730,'Data_Price '!$AT$2:$AT$1266,0))</f>
        <v/>
      </c>
      <c r="DB730">
        <f>INDEX('Data_Price '!AK$2:AK$1266,MATCH(Data!$DN730,'Data_Price '!$AT$2:$AT$1266,0))</f>
        <v/>
      </c>
      <c r="DC730">
        <f>INDEX('Data_Price '!AL$2:AL$1266,MATCH(Data!$DN730,'Data_Price '!$AT$2:$AT$1266,0))</f>
        <v/>
      </c>
      <c r="DD730">
        <f>INDEX('Data_Price '!AM$2:AM$1266,MATCH(Data!$DN730,'Data_Price '!$AT$2:$AT$1266,0))</f>
        <v/>
      </c>
      <c r="DE730">
        <f>INDEX('Data_Price '!AN$2:AN$1266,MATCH(Data!$DN730,'Data_Price '!$AT$2:$AT$1266,0))</f>
        <v/>
      </c>
      <c r="DF730">
        <f>INDEX('Data_Price '!AO$2:AO$1266,MATCH(Data!$DN730,'Data_Price '!$AT$2:$AT$1266,0))</f>
        <v/>
      </c>
      <c r="DG730">
        <f>INDEX('Data_Price '!AP$2:AP$1266,MATCH(Data!$DN730,'Data_Price '!$AT$2:$AT$1266,0))</f>
        <v/>
      </c>
      <c r="DH730">
        <f>INDEX('Data_Price '!AQ$2:AQ$1266,MATCH(Data!$DN730,'Data_Price '!$AT$2:$AT$1266,0))</f>
        <v/>
      </c>
      <c r="DI730">
        <f>INDEX('Data_Price '!AR$2:AR$1266,MATCH(Data!$DN730,'Data_Price '!$AT$2:$AT$1266,0))</f>
        <v/>
      </c>
      <c r="DJ730" s="138">
        <f>DA730</f>
        <v/>
      </c>
      <c r="DK730" s="138">
        <f>DE730</f>
        <v/>
      </c>
      <c r="DL730" s="138">
        <f>DI730</f>
        <v/>
      </c>
      <c r="DM730" s="303">
        <f>IF(LEFT(BT730,1)=" ",RIGHT(BT730,LEN(BT730)-1),BT730)</f>
        <v/>
      </c>
      <c r="DN730" s="138">
        <f>_xlfn.CONCAT(BS730,DM730,BU730,BV730)</f>
        <v/>
      </c>
      <c r="DO730" s="307" t="inlineStr">
        <is>
          <t>https://images.evo.com/imgp/250/197287/812033/clone.jpg</t>
        </is>
      </c>
    </row>
    <row r="731" ht="15.6" customHeight="1" s="184">
      <c r="B731" s="303">
        <f t="array" ref="B731">IF(OR(ISERROR(K731:P731)),FALSE,TRUE)</f>
        <v/>
      </c>
      <c r="C731" s="60">
        <f>OR(BR731=Driver!$G$50,Data!BR889=Driver!$H$50)</f>
        <v/>
      </c>
      <c r="D731" s="60">
        <f>OR(BV731=Driver!$G$51,BV731=Driver!$H$51)</f>
        <v/>
      </c>
      <c r="E731" s="60">
        <f>AND(BX731&gt;Driver!$F$54,BX731&lt;Driver!$G$54)</f>
        <v/>
      </c>
      <c r="F731" s="60">
        <f>CL731&gt;Driver!$F$56</f>
        <v/>
      </c>
      <c r="G731" s="60">
        <f>AND(CB731&gt;Driver!$F$55,CB731&lt;Driver!$G$55)</f>
        <v/>
      </c>
      <c r="H731" s="60">
        <f>AND(B731:G731)</f>
        <v/>
      </c>
      <c r="I731" s="60">
        <f>COUNTIFS($H$9:$H$1273,TRUE,$BT$9:$BT$1273,BT731)</f>
        <v/>
      </c>
      <c r="J731" s="60">
        <f t="array" ref="J731">NOT(OR(($H$9:$H$1273=TRUE)*($I$9:$I$1273&gt;0)*($BT$9:$BT$1273=BT731)*($K$9:$K$1273&gt;K731)))</f>
        <v/>
      </c>
      <c r="K731" s="108">
        <f>IFERROR(1-AVERAGE(X731:Y731),"")</f>
        <v/>
      </c>
      <c r="L731" s="108">
        <f>1-X731</f>
        <v/>
      </c>
      <c r="M731" s="108">
        <f>1-Y731</f>
        <v/>
      </c>
      <c r="N731" s="108">
        <f>1-Z731</f>
        <v/>
      </c>
      <c r="O731" s="108">
        <f>1-AA731</f>
        <v/>
      </c>
      <c r="P731" s="108">
        <f>1-AB731</f>
        <v/>
      </c>
      <c r="Q731" s="108" t="n"/>
      <c r="R731" s="108" t="n"/>
      <c r="S731" s="108">
        <f>1-AE731</f>
        <v/>
      </c>
      <c r="T731" s="108">
        <f>1-AF731</f>
        <v/>
      </c>
      <c r="U731" s="108">
        <f>1-AG731</f>
        <v/>
      </c>
      <c r="V731" s="108">
        <f>1-AH731</f>
        <v/>
      </c>
      <c r="W731" s="108">
        <f>1-AI731</f>
        <v/>
      </c>
      <c r="X731" s="108">
        <f>ABS(AJ731-AJ$1)</f>
        <v/>
      </c>
      <c r="Y731" s="108">
        <f>AVERAGE(Z731:AB731)</f>
        <v/>
      </c>
      <c r="Z731" s="108">
        <f>ABS(AL731-AL$1)</f>
        <v/>
      </c>
      <c r="AA731" s="108">
        <f>ABS(AM731-AM$1)</f>
        <v/>
      </c>
      <c r="AB731" s="108">
        <f>ABS(AN731-AN$1)</f>
        <v/>
      </c>
      <c r="AC731" s="108" t="n"/>
      <c r="AD731" s="108" t="n"/>
      <c r="AE731" s="108">
        <f>ABS(AQ$1-AQ731)</f>
        <v/>
      </c>
      <c r="AF731" s="108">
        <f>ABS(AR$1-AR731)</f>
        <v/>
      </c>
      <c r="AG731" s="108">
        <f>ABS(AS$1-AS731)</f>
        <v/>
      </c>
      <c r="AH731" s="108">
        <f>ABS(AT$1-AT731)</f>
        <v/>
      </c>
      <c r="AI731" s="108">
        <f>ABS(AU$1-AU731)</f>
        <v/>
      </c>
      <c r="AJ731" s="108">
        <f>(AV731-Driver!$K$179)/(Driver!$L$179-Driver!$K$179)</f>
        <v/>
      </c>
      <c r="AK731" s="108">
        <f>(AW731-Driver!$K$180)/(Driver!$L$180-Driver!$K$180)</f>
        <v/>
      </c>
      <c r="AL731" s="108">
        <f>(AX731-Driver!$K$181)/(Driver!$L$181-Driver!$K$181)</f>
        <v/>
      </c>
      <c r="AM731" s="108">
        <f>(AY731-Driver!$K$182)/(Driver!$L$182-Driver!$K$182)</f>
        <v/>
      </c>
      <c r="AN731" s="108">
        <f>(AZ731-Driver!$K$183)/(Driver!$L$183-Driver!$K$183)</f>
        <v/>
      </c>
      <c r="AO731" s="108" t="n"/>
      <c r="AP731" s="108" t="n"/>
      <c r="AQ731" s="108">
        <f>(BC731-Driver!$K$188)/(Driver!$L$188-Driver!$K$188)</f>
        <v/>
      </c>
      <c r="AR731" s="108">
        <f>MIN((BD731-Driver!$K$189)/(Driver!$L$189-Driver!$K$189),100%)</f>
        <v/>
      </c>
      <c r="AS731" s="108">
        <f>(BE731-Driver!$K$190)/(Driver!$L$190-Driver!$K$190)</f>
        <v/>
      </c>
      <c r="AT731" s="108">
        <f>(BF731-Driver!$K$191)/(Driver!$L$191-Driver!$K$191)</f>
        <v/>
      </c>
      <c r="AU731" s="108">
        <f>(BG731-Driver!$K$192)/(Driver!$L$192-Driver!$K$192)</f>
        <v/>
      </c>
      <c r="AV731" s="105">
        <f>IFERROR(BM731*BJ731^1/4,"")</f>
        <v/>
      </c>
      <c r="AW731" s="105">
        <f>IFERROR(SUM(AX731:AZ731),"")</f>
        <v/>
      </c>
      <c r="AX731" s="105">
        <f>IFERROR(BH731,"")</f>
        <v/>
      </c>
      <c r="AY731" s="105">
        <f>IFERROR(Driver!$K$19/Data!BH731/Data!BI731*Data!BK731*Data!BL731,"")</f>
        <v/>
      </c>
      <c r="AZ731" s="105">
        <f>IFERROR(BI731*BN731,"")</f>
        <v/>
      </c>
      <c r="BA731" s="105" t="n"/>
      <c r="BB731" s="105" t="n"/>
      <c r="BC731" s="105">
        <f>IFERROR(BI731*BN731*BK731/BJ731^(1/2),"")</f>
        <v/>
      </c>
      <c r="BD731" s="105">
        <f>IFERROR(BH731*BM731*BL731/BJ731/BK731,"")</f>
        <v/>
      </c>
      <c r="BE731" s="105">
        <f>IFERROR(MIN(BI731/BQ731/BP731/BO731/BH731,$BE$1),"")</f>
        <v/>
      </c>
      <c r="BF731" s="105">
        <f>IFERROR(BJ731*BO731*BP731/BK731,"")</f>
        <v/>
      </c>
      <c r="BG731" s="105">
        <f>IFERROR(1/BM731/BH731*BQ731,"")</f>
        <v/>
      </c>
      <c r="BH731" s="102">
        <f>MAX((CE731-Driver!$F$200)/(Driver!$G$200-Driver!$F$200)*$BI$1,1)</f>
        <v/>
      </c>
      <c r="BI731" s="102">
        <f>MAX($BI$1*(BY731-Driver!$F$201)/(Driver!$G$201-Driver!$F$201),1)</f>
        <v/>
      </c>
      <c r="BJ731" s="102">
        <f>(CB731-Driver!$F$206)/(Driver!$G$206-Driver!$F$206)*$BI$1</f>
        <v/>
      </c>
      <c r="BK731" s="102">
        <f>(CD731-Driver!$F$203)/(Driver!$G$203-Driver!$F$203)*$BI$1</f>
        <v/>
      </c>
      <c r="BL731" s="102">
        <f>MAX((CR731-Driver!$F$202)/(Driver!$G$202-Driver!$F$202)*$BI$1,1)</f>
        <v/>
      </c>
      <c r="BM731" s="102">
        <f>MAX((CH731-Driver!$F$204)/(Driver!$G$204-Driver!$F$204)*$BI$1,1)</f>
        <v/>
      </c>
      <c r="BN731" s="102">
        <f>(CI731-Driver!$F$205)/(Driver!$G$205-Driver!$F$205)*$BI$1</f>
        <v/>
      </c>
      <c r="BO731" s="102">
        <f>(CK731-Driver!$F$207)/(Driver!$G$207-Driver!$F$207)*$BI$1</f>
        <v/>
      </c>
      <c r="BP731" s="102">
        <f>(CM731-Driver!$F$208)/(Driver!$G$208-Driver!$F$208)*$BI$1</f>
        <v/>
      </c>
      <c r="BQ731" s="102">
        <f>(CL731-Driver!$F$209)/(Driver!$G$209-Driver!$F$209)*$BI$1</f>
        <v/>
      </c>
      <c r="BR731" s="40" t="inlineStr">
        <is>
          <t>21/22</t>
        </is>
      </c>
      <c r="BS731" s="10" t="inlineStr">
        <is>
          <t xml:space="preserve"> Nordica</t>
        </is>
      </c>
      <c r="BT731" s="11" t="inlineStr">
        <is>
          <t>Belle 73</t>
        </is>
      </c>
      <c r="BU731" s="13" t="n">
        <v>162</v>
      </c>
      <c r="BV731" s="11" t="inlineStr">
        <is>
          <t xml:space="preserve"> Women's</t>
        </is>
      </c>
      <c r="BW731" s="13" t="n">
        <v>162</v>
      </c>
      <c r="BX731" s="13" t="n">
        <v>161.3</v>
      </c>
      <c r="BY731" s="13" t="n">
        <v>138</v>
      </c>
      <c r="BZ731" s="13" t="n">
        <v>147</v>
      </c>
      <c r="CA731" s="13" t="n">
        <v>123</v>
      </c>
      <c r="CB731" s="13" t="n">
        <v>72</v>
      </c>
      <c r="CC731" s="13" t="n">
        <v>100</v>
      </c>
      <c r="CD731" s="13" t="n">
        <v>13.4</v>
      </c>
      <c r="CE731" s="13" t="n">
        <v>1750</v>
      </c>
      <c r="CF731" s="13" t="n">
        <v>0.8</v>
      </c>
      <c r="CG731" s="13" t="n">
        <v>1404</v>
      </c>
      <c r="CH731" s="13" t="n">
        <v>191</v>
      </c>
      <c r="CI731" s="13" t="n">
        <v>77</v>
      </c>
      <c r="CJ731" s="13" t="n">
        <v>37</v>
      </c>
      <c r="CK731" s="13" t="n">
        <v>144</v>
      </c>
      <c r="CL731" s="13" t="n">
        <v>9</v>
      </c>
      <c r="CM731" s="13" t="n">
        <v>88</v>
      </c>
      <c r="CN731" s="13" t="n">
        <v>0.251</v>
      </c>
      <c r="CO731" s="13" t="n">
        <v>66</v>
      </c>
      <c r="CP731" s="13" t="n">
        <v>79</v>
      </c>
      <c r="CQ731" s="13" t="n">
        <v>78</v>
      </c>
      <c r="CR731" s="13" t="n">
        <v>7</v>
      </c>
      <c r="CS731" s="13" t="n">
        <v>9</v>
      </c>
      <c r="CT731" s="11" t="inlineStr">
        <is>
          <t xml:space="preserve"> On-Piste Carving</t>
        </is>
      </c>
      <c r="CU731" s="13" t="n"/>
      <c r="CV731" s="13" t="n"/>
      <c r="CW731" s="13" t="n"/>
      <c r="CX731">
        <f>INDEX('Data_Price '!AG$2:AG$1266,MATCH(Data!$DN731,'Data_Price '!$AT$2:$AT$1266,0))</f>
        <v/>
      </c>
      <c r="CY731">
        <f>INDEX('Data_Price '!AH$2:AH$1266,MATCH(Data!$DN731,'Data_Price '!$AT$2:$AT$1266,0))</f>
        <v/>
      </c>
      <c r="CZ731">
        <f>INDEX('Data_Price '!AI$2:AI$1266,MATCH(Data!$DN731,'Data_Price '!$AT$2:$AT$1266,0))</f>
        <v/>
      </c>
      <c r="DA731">
        <f>INDEX('Data_Price '!AJ$2:AJ$1266,MATCH(Data!$DN731,'Data_Price '!$AT$2:$AT$1266,0))</f>
        <v/>
      </c>
      <c r="DB731">
        <f>INDEX('Data_Price '!AK$2:AK$1266,MATCH(Data!$DN731,'Data_Price '!$AT$2:$AT$1266,0))</f>
        <v/>
      </c>
      <c r="DC731">
        <f>INDEX('Data_Price '!AL$2:AL$1266,MATCH(Data!$DN731,'Data_Price '!$AT$2:$AT$1266,0))</f>
        <v/>
      </c>
      <c r="DD731">
        <f>INDEX('Data_Price '!AM$2:AM$1266,MATCH(Data!$DN731,'Data_Price '!$AT$2:$AT$1266,0))</f>
        <v/>
      </c>
      <c r="DE731">
        <f>INDEX('Data_Price '!AN$2:AN$1266,MATCH(Data!$DN731,'Data_Price '!$AT$2:$AT$1266,0))</f>
        <v/>
      </c>
      <c r="DF731">
        <f>INDEX('Data_Price '!AO$2:AO$1266,MATCH(Data!$DN731,'Data_Price '!$AT$2:$AT$1266,0))</f>
        <v/>
      </c>
      <c r="DG731">
        <f>INDEX('Data_Price '!AP$2:AP$1266,MATCH(Data!$DN731,'Data_Price '!$AT$2:$AT$1266,0))</f>
        <v/>
      </c>
      <c r="DH731">
        <f>INDEX('Data_Price '!AQ$2:AQ$1266,MATCH(Data!$DN731,'Data_Price '!$AT$2:$AT$1266,0))</f>
        <v/>
      </c>
      <c r="DI731">
        <f>INDEX('Data_Price '!AR$2:AR$1266,MATCH(Data!$DN731,'Data_Price '!$AT$2:$AT$1266,0))</f>
        <v/>
      </c>
      <c r="DJ731" s="138">
        <f>DA731</f>
        <v/>
      </c>
      <c r="DK731" s="138">
        <f>DE731</f>
        <v/>
      </c>
      <c r="DL731" s="138">
        <f>DI731</f>
        <v/>
      </c>
      <c r="DM731" s="303">
        <f>IF(LEFT(BT731,1)=" ",RIGHT(BT731,LEN(BT731)-1),BT731)</f>
        <v/>
      </c>
      <c r="DN731" s="138">
        <f>_xlfn.CONCAT(BS731,DM731,BU731,BV731)</f>
        <v/>
      </c>
      <c r="DO731" s="307" t="n"/>
    </row>
    <row r="732" ht="15.6" customHeight="1" s="184">
      <c r="B732" s="303">
        <f t="array" ref="B732">IF(OR(ISERROR(K732:P732)),FALSE,TRUE)</f>
        <v/>
      </c>
      <c r="C732" s="60">
        <f>OR(BR732=Driver!$G$50,Data!BR1115=Driver!$H$50)</f>
        <v/>
      </c>
      <c r="D732" s="60">
        <f>OR(BV732=Driver!$G$51,BV732=Driver!$H$51)</f>
        <v/>
      </c>
      <c r="E732" s="60">
        <f>AND(BX732&gt;Driver!$F$54,BX732&lt;Driver!$G$54)</f>
        <v/>
      </c>
      <c r="F732" s="60">
        <f>CL732&gt;Driver!$F$56</f>
        <v/>
      </c>
      <c r="G732" s="60">
        <f>AND(CB732&gt;Driver!$F$55,CB732&lt;Driver!$G$55)</f>
        <v/>
      </c>
      <c r="H732" s="60">
        <f>AND(B732:G732)</f>
        <v/>
      </c>
      <c r="I732" s="60">
        <f>COUNTIFS($H$9:$H$1273,TRUE,$BT$9:$BT$1273,BT732)</f>
        <v/>
      </c>
      <c r="J732" s="60">
        <f t="array" ref="J732">NOT(OR(($H$9:$H$1273=TRUE)*($I$9:$I$1273&gt;0)*($BT$9:$BT$1273=BT732)*($K$9:$K$1273&gt;K732)))</f>
        <v/>
      </c>
      <c r="K732" s="108">
        <f>IFERROR(1-AVERAGE(X732:Y732),"")</f>
        <v/>
      </c>
      <c r="L732" s="108">
        <f>1-X732</f>
        <v/>
      </c>
      <c r="M732" s="108">
        <f>1-Y732</f>
        <v/>
      </c>
      <c r="N732" s="108">
        <f>1-Z732</f>
        <v/>
      </c>
      <c r="O732" s="108">
        <f>1-AA732</f>
        <v/>
      </c>
      <c r="P732" s="108">
        <f>1-AB732</f>
        <v/>
      </c>
      <c r="Q732" s="108" t="n"/>
      <c r="R732" s="108" t="n"/>
      <c r="S732" s="108">
        <f>1-AE732</f>
        <v/>
      </c>
      <c r="T732" s="108">
        <f>1-AF732</f>
        <v/>
      </c>
      <c r="U732" s="108">
        <f>1-AG732</f>
        <v/>
      </c>
      <c r="V732" s="108">
        <f>1-AH732</f>
        <v/>
      </c>
      <c r="W732" s="108">
        <f>1-AI732</f>
        <v/>
      </c>
      <c r="X732" s="108">
        <f>ABS(AJ732-AJ$1)</f>
        <v/>
      </c>
      <c r="Y732" s="108">
        <f>AVERAGE(Z732:AB732)</f>
        <v/>
      </c>
      <c r="Z732" s="108">
        <f>ABS(AL732-AL$1)</f>
        <v/>
      </c>
      <c r="AA732" s="108">
        <f>ABS(AM732-AM$1)</f>
        <v/>
      </c>
      <c r="AB732" s="108">
        <f>ABS(AN732-AN$1)</f>
        <v/>
      </c>
      <c r="AC732" s="108" t="n"/>
      <c r="AD732" s="108" t="n"/>
      <c r="AE732" s="108">
        <f>ABS(AQ$1-AQ732)</f>
        <v/>
      </c>
      <c r="AF732" s="108">
        <f>ABS(AR$1-AR732)</f>
        <v/>
      </c>
      <c r="AG732" s="108">
        <f>ABS(AS$1-AS732)</f>
        <v/>
      </c>
      <c r="AH732" s="108">
        <f>ABS(AT$1-AT732)</f>
        <v/>
      </c>
      <c r="AI732" s="108">
        <f>ABS(AU$1-AU732)</f>
        <v/>
      </c>
      <c r="AJ732" s="108">
        <f>(AV732-Driver!$K$179)/(Driver!$L$179-Driver!$K$179)</f>
        <v/>
      </c>
      <c r="AK732" s="108">
        <f>(AW732-Driver!$K$180)/(Driver!$L$180-Driver!$K$180)</f>
        <v/>
      </c>
      <c r="AL732" s="108">
        <f>(AX732-Driver!$K$181)/(Driver!$L$181-Driver!$K$181)</f>
        <v/>
      </c>
      <c r="AM732" s="108">
        <f>(AY732-Driver!$K$182)/(Driver!$L$182-Driver!$K$182)</f>
        <v/>
      </c>
      <c r="AN732" s="108">
        <f>(AZ732-Driver!$K$183)/(Driver!$L$183-Driver!$K$183)</f>
        <v/>
      </c>
      <c r="AO732" s="108" t="n"/>
      <c r="AP732" s="108" t="n"/>
      <c r="AQ732" s="108">
        <f>(BC732-Driver!$K$188)/(Driver!$L$188-Driver!$K$188)</f>
        <v/>
      </c>
      <c r="AR732" s="108">
        <f>MIN((BD732-Driver!$K$189)/(Driver!$L$189-Driver!$K$189),100%)</f>
        <v/>
      </c>
      <c r="AS732" s="108">
        <f>(BE732-Driver!$K$190)/(Driver!$L$190-Driver!$K$190)</f>
        <v/>
      </c>
      <c r="AT732" s="108">
        <f>(BF732-Driver!$K$191)/(Driver!$L$191-Driver!$K$191)</f>
        <v/>
      </c>
      <c r="AU732" s="108">
        <f>(BG732-Driver!$K$192)/(Driver!$L$192-Driver!$K$192)</f>
        <v/>
      </c>
      <c r="AV732" s="105">
        <f>IFERROR(BM732*BJ732^1/4,"")</f>
        <v/>
      </c>
      <c r="AW732" s="105">
        <f>IFERROR(SUM(AX732:AZ732),"")</f>
        <v/>
      </c>
      <c r="AX732" s="105">
        <f>IFERROR(BH732,"")</f>
        <v/>
      </c>
      <c r="AY732" s="105">
        <f>IFERROR(Driver!$K$19/Data!BH732/Data!BI732*Data!BK732*Data!BL732,"")</f>
        <v/>
      </c>
      <c r="AZ732" s="105">
        <f>IFERROR(BI732*BN732,"")</f>
        <v/>
      </c>
      <c r="BA732" s="105" t="n"/>
      <c r="BB732" s="105" t="n"/>
      <c r="BC732" s="105">
        <f>IFERROR(BI732*BN732*BK732/BJ732^(1/2),"")</f>
        <v/>
      </c>
      <c r="BD732" s="105">
        <f>IFERROR(BH732*BM732*BL732/BJ732/BK732,"")</f>
        <v/>
      </c>
      <c r="BE732" s="105">
        <f>IFERROR(MIN(BI732/BQ732/BP732/BO732/BH732,$BE$1),"")</f>
        <v/>
      </c>
      <c r="BF732" s="105">
        <f>IFERROR(BJ732*BO732*BP732/BK732,"")</f>
        <v/>
      </c>
      <c r="BG732" s="105">
        <f>IFERROR(1/BM732/BH732*BQ732,"")</f>
        <v/>
      </c>
      <c r="BH732" s="102">
        <f>MAX((CE732-Driver!$F$200)/(Driver!$G$200-Driver!$F$200)*$BI$1,1)</f>
        <v/>
      </c>
      <c r="BI732" s="102">
        <f>MAX($BI$1*(BY732-Driver!$F$201)/(Driver!$G$201-Driver!$F$201),1)</f>
        <v/>
      </c>
      <c r="BJ732" s="102">
        <f>(CB732-Driver!$F$206)/(Driver!$G$206-Driver!$F$206)*$BI$1</f>
        <v/>
      </c>
      <c r="BK732" s="102">
        <f>(CD732-Driver!$F$203)/(Driver!$G$203-Driver!$F$203)*$BI$1</f>
        <v/>
      </c>
      <c r="BL732" s="102">
        <f>MAX((CR732-Driver!$F$202)/(Driver!$G$202-Driver!$F$202)*$BI$1,1)</f>
        <v/>
      </c>
      <c r="BM732" s="102">
        <f>MAX((CH732-Driver!$F$204)/(Driver!$G$204-Driver!$F$204)*$BI$1,1)</f>
        <v/>
      </c>
      <c r="BN732" s="102">
        <f>(CI732-Driver!$F$205)/(Driver!$G$205-Driver!$F$205)*$BI$1</f>
        <v/>
      </c>
      <c r="BO732" s="102">
        <f>(CK732-Driver!$F$207)/(Driver!$G$207-Driver!$F$207)*$BI$1</f>
        <v/>
      </c>
      <c r="BP732" s="102">
        <f>(CM732-Driver!$F$208)/(Driver!$G$208-Driver!$F$208)*$BI$1</f>
        <v/>
      </c>
      <c r="BQ732" s="102">
        <f>(CL732-Driver!$F$209)/(Driver!$G$209-Driver!$F$209)*$BI$1</f>
        <v/>
      </c>
      <c r="BR732" s="40" t="inlineStr">
        <is>
          <t>21/22</t>
        </is>
      </c>
      <c r="BS732" s="10" t="inlineStr">
        <is>
          <t xml:space="preserve"> Scott</t>
        </is>
      </c>
      <c r="BT732" s="11" t="inlineStr">
        <is>
          <t>Scrapper 105</t>
        </is>
      </c>
      <c r="BU732" s="13" t="n">
        <v>183</v>
      </c>
      <c r="BV732" s="11" t="inlineStr">
        <is>
          <t xml:space="preserve"> Unisex</t>
        </is>
      </c>
      <c r="BW732" s="13" t="n">
        <v>183</v>
      </c>
      <c r="BX732" s="13" t="n">
        <v>181.3</v>
      </c>
      <c r="BY732" s="13" t="n">
        <v>132</v>
      </c>
      <c r="BZ732" s="13" t="n">
        <v>163</v>
      </c>
      <c r="CA732" s="13" t="n">
        <v>137</v>
      </c>
      <c r="CB732" s="13" t="n">
        <v>102</v>
      </c>
      <c r="CC732" s="13" t="n">
        <v>126</v>
      </c>
      <c r="CD732" s="13" t="n">
        <v>24</v>
      </c>
      <c r="CE732" s="13" t="n">
        <v>1718</v>
      </c>
      <c r="CF732" s="13" t="n">
        <v>1.16</v>
      </c>
      <c r="CG732" s="13" t="n">
        <v>1999</v>
      </c>
      <c r="CH732" s="13" t="n">
        <v>295</v>
      </c>
      <c r="CI732" s="13" t="n">
        <v>126</v>
      </c>
      <c r="CJ732" s="13" t="n">
        <v>60</v>
      </c>
      <c r="CK732" s="13" t="n">
        <v>301</v>
      </c>
      <c r="CL732" s="13" t="n">
        <v>40</v>
      </c>
      <c r="CM732" s="13" t="n">
        <v>192</v>
      </c>
      <c r="CN732" s="13" t="n">
        <v>0.662</v>
      </c>
      <c r="CO732" s="13" t="n">
        <v>110</v>
      </c>
      <c r="CP732" s="13" t="n">
        <v>76</v>
      </c>
      <c r="CQ732" s="13" t="n">
        <v>191</v>
      </c>
      <c r="CR732" s="13" t="n">
        <v>4</v>
      </c>
      <c r="CS732" s="13" t="n">
        <v>11.9</v>
      </c>
      <c r="CT732" s="11" t="inlineStr">
        <is>
          <t xml:space="preserve"> Resort Freeride</t>
        </is>
      </c>
      <c r="CU732" s="11" t="inlineStr">
        <is>
          <t xml:space="preserve"> Powder</t>
        </is>
      </c>
      <c r="CV732" s="11" t="inlineStr">
        <is>
          <t xml:space="preserve"> Touring</t>
        </is>
      </c>
      <c r="CW732" s="13" t="n"/>
      <c r="CX732">
        <f>INDEX('Data_Price '!AG$2:AG$1266,MATCH(Data!$DN732,'Data_Price '!$AT$2:$AT$1266,0))</f>
        <v/>
      </c>
      <c r="CY732">
        <f>INDEX('Data_Price '!AH$2:AH$1266,MATCH(Data!$DN732,'Data_Price '!$AT$2:$AT$1266,0))</f>
        <v/>
      </c>
      <c r="CZ732">
        <f>INDEX('Data_Price '!AI$2:AI$1266,MATCH(Data!$DN732,'Data_Price '!$AT$2:$AT$1266,0))</f>
        <v/>
      </c>
      <c r="DA732">
        <f>INDEX('Data_Price '!AJ$2:AJ$1266,MATCH(Data!$DN732,'Data_Price '!$AT$2:$AT$1266,0))</f>
        <v/>
      </c>
      <c r="DB732">
        <f>INDEX('Data_Price '!AK$2:AK$1266,MATCH(Data!$DN732,'Data_Price '!$AT$2:$AT$1266,0))</f>
        <v/>
      </c>
      <c r="DC732">
        <f>INDEX('Data_Price '!AL$2:AL$1266,MATCH(Data!$DN732,'Data_Price '!$AT$2:$AT$1266,0))</f>
        <v/>
      </c>
      <c r="DD732">
        <f>INDEX('Data_Price '!AM$2:AM$1266,MATCH(Data!$DN732,'Data_Price '!$AT$2:$AT$1266,0))</f>
        <v/>
      </c>
      <c r="DE732">
        <f>INDEX('Data_Price '!AN$2:AN$1266,MATCH(Data!$DN732,'Data_Price '!$AT$2:$AT$1266,0))</f>
        <v/>
      </c>
      <c r="DF732">
        <f>INDEX('Data_Price '!AO$2:AO$1266,MATCH(Data!$DN732,'Data_Price '!$AT$2:$AT$1266,0))</f>
        <v/>
      </c>
      <c r="DG732">
        <f>INDEX('Data_Price '!AP$2:AP$1266,MATCH(Data!$DN732,'Data_Price '!$AT$2:$AT$1266,0))</f>
        <v/>
      </c>
      <c r="DH732">
        <f>INDEX('Data_Price '!AQ$2:AQ$1266,MATCH(Data!$DN732,'Data_Price '!$AT$2:$AT$1266,0))</f>
        <v/>
      </c>
      <c r="DI732">
        <f>INDEX('Data_Price '!AR$2:AR$1266,MATCH(Data!$DN732,'Data_Price '!$AT$2:$AT$1266,0))</f>
        <v/>
      </c>
      <c r="DJ732" s="138">
        <f>DA732</f>
        <v/>
      </c>
      <c r="DK732" s="138">
        <f>DE732</f>
        <v/>
      </c>
      <c r="DL732" s="138">
        <f>DI732</f>
        <v/>
      </c>
      <c r="DM732" s="303">
        <f>IF(LEFT(BT732,1)=" ",RIGHT(BT732,LEN(BT732)-1),BT732)</f>
        <v/>
      </c>
      <c r="DN732" s="138">
        <f>_xlfn.CONCAT(BS732,DM732,BU732,BV732)</f>
        <v/>
      </c>
      <c r="DO732" s="307" t="inlineStr">
        <is>
          <t>https://images.evo.com/imgp/250/208930/848228/clone.jpg</t>
        </is>
      </c>
    </row>
    <row r="733" ht="15.6" customHeight="1" s="184">
      <c r="B733" s="303">
        <f t="array" ref="B733">IF(OR(ISERROR(K733:P733)),FALSE,TRUE)</f>
        <v/>
      </c>
      <c r="C733" s="60">
        <f>OR(BR733=Driver!$G$50,Data!BR880=Driver!$H$50)</f>
        <v/>
      </c>
      <c r="D733" s="60">
        <f>OR(BV733=Driver!$G$51,BV733=Driver!$H$51)</f>
        <v/>
      </c>
      <c r="E733" s="60">
        <f>AND(BX733&gt;Driver!$F$54,BX733&lt;Driver!$G$54)</f>
        <v/>
      </c>
      <c r="F733" s="60">
        <f>CL733&gt;Driver!$F$56</f>
        <v/>
      </c>
      <c r="G733" s="60">
        <f>AND(CB733&gt;Driver!$F$55,CB733&lt;Driver!$G$55)</f>
        <v/>
      </c>
      <c r="H733" s="60">
        <f>AND(B733:G733)</f>
        <v/>
      </c>
      <c r="I733" s="60">
        <f>COUNTIFS($H$9:$H$1273,TRUE,$BT$9:$BT$1273,BT733)</f>
        <v/>
      </c>
      <c r="J733" s="60">
        <f t="array" ref="J733">NOT(OR(($H$9:$H$1273=TRUE)*($I$9:$I$1273&gt;0)*($BT$9:$BT$1273=BT733)*($K$9:$K$1273&gt;K733)))</f>
        <v/>
      </c>
      <c r="K733" s="108">
        <f>IFERROR(1-AVERAGE(X733:Y733),"")</f>
        <v/>
      </c>
      <c r="L733" s="108">
        <f>1-X733</f>
        <v/>
      </c>
      <c r="M733" s="108">
        <f>1-Y733</f>
        <v/>
      </c>
      <c r="N733" s="108">
        <f>1-Z733</f>
        <v/>
      </c>
      <c r="O733" s="108">
        <f>1-AA733</f>
        <v/>
      </c>
      <c r="P733" s="108">
        <f>1-AB733</f>
        <v/>
      </c>
      <c r="Q733" s="108" t="n"/>
      <c r="R733" s="108" t="n"/>
      <c r="S733" s="108">
        <f>1-AE733</f>
        <v/>
      </c>
      <c r="T733" s="108">
        <f>1-AF733</f>
        <v/>
      </c>
      <c r="U733" s="108">
        <f>1-AG733</f>
        <v/>
      </c>
      <c r="V733" s="108">
        <f>1-AH733</f>
        <v/>
      </c>
      <c r="W733" s="108">
        <f>1-AI733</f>
        <v/>
      </c>
      <c r="X733" s="108">
        <f>ABS(AJ733-AJ$1)</f>
        <v/>
      </c>
      <c r="Y733" s="108">
        <f>AVERAGE(Z733:AB733)</f>
        <v/>
      </c>
      <c r="Z733" s="108">
        <f>ABS(AL733-AL$1)</f>
        <v/>
      </c>
      <c r="AA733" s="108">
        <f>ABS(AM733-AM$1)</f>
        <v/>
      </c>
      <c r="AB733" s="108">
        <f>ABS(AN733-AN$1)</f>
        <v/>
      </c>
      <c r="AC733" s="108" t="n"/>
      <c r="AD733" s="108" t="n"/>
      <c r="AE733" s="108">
        <f>ABS(AQ$1-AQ733)</f>
        <v/>
      </c>
      <c r="AF733" s="108">
        <f>ABS(AR$1-AR733)</f>
        <v/>
      </c>
      <c r="AG733" s="108">
        <f>ABS(AS$1-AS733)</f>
        <v/>
      </c>
      <c r="AH733" s="108">
        <f>ABS(AT$1-AT733)</f>
        <v/>
      </c>
      <c r="AI733" s="108">
        <f>ABS(AU$1-AU733)</f>
        <v/>
      </c>
      <c r="AJ733" s="108">
        <f>(AV733-Driver!$K$179)/(Driver!$L$179-Driver!$K$179)</f>
        <v/>
      </c>
      <c r="AK733" s="108">
        <f>(AW733-Driver!$K$180)/(Driver!$L$180-Driver!$K$180)</f>
        <v/>
      </c>
      <c r="AL733" s="108">
        <f>(AX733-Driver!$K$181)/(Driver!$L$181-Driver!$K$181)</f>
        <v/>
      </c>
      <c r="AM733" s="108">
        <f>(AY733-Driver!$K$182)/(Driver!$L$182-Driver!$K$182)</f>
        <v/>
      </c>
      <c r="AN733" s="108">
        <f>(AZ733-Driver!$K$183)/(Driver!$L$183-Driver!$K$183)</f>
        <v/>
      </c>
      <c r="AO733" s="108" t="n"/>
      <c r="AP733" s="108" t="n"/>
      <c r="AQ733" s="108">
        <f>(BC733-Driver!$K$188)/(Driver!$L$188-Driver!$K$188)</f>
        <v/>
      </c>
      <c r="AR733" s="108">
        <f>MIN((BD733-Driver!$K$189)/(Driver!$L$189-Driver!$K$189),100%)</f>
        <v/>
      </c>
      <c r="AS733" s="108">
        <f>(BE733-Driver!$K$190)/(Driver!$L$190-Driver!$K$190)</f>
        <v/>
      </c>
      <c r="AT733" s="108">
        <f>(BF733-Driver!$K$191)/(Driver!$L$191-Driver!$K$191)</f>
        <v/>
      </c>
      <c r="AU733" s="108">
        <f>(BG733-Driver!$K$192)/(Driver!$L$192-Driver!$K$192)</f>
        <v/>
      </c>
      <c r="AV733" s="105">
        <f>IFERROR(BM733*BJ733^1/4,"")</f>
        <v/>
      </c>
      <c r="AW733" s="105">
        <f>IFERROR(SUM(AX733:AZ733),"")</f>
        <v/>
      </c>
      <c r="AX733" s="105">
        <f>IFERROR(BH733,"")</f>
        <v/>
      </c>
      <c r="AY733" s="105">
        <f>IFERROR(Driver!$K$19/Data!BH733/Data!BI733*Data!BK733*Data!BL733,"")</f>
        <v/>
      </c>
      <c r="AZ733" s="105">
        <f>IFERROR(BI733*BN733,"")</f>
        <v/>
      </c>
      <c r="BA733" s="105" t="n"/>
      <c r="BB733" s="105" t="n"/>
      <c r="BC733" s="105">
        <f>IFERROR(BI733*BN733*BK733/BJ733^(1/2),"")</f>
        <v/>
      </c>
      <c r="BD733" s="105">
        <f>IFERROR(BH733*BM733*BL733/BJ733/BK733,"")</f>
        <v/>
      </c>
      <c r="BE733" s="105">
        <f>IFERROR(MIN(BI733/BQ733/BP733/BO733/BH733,$BE$1),"")</f>
        <v/>
      </c>
      <c r="BF733" s="105">
        <f>IFERROR(BJ733*BO733*BP733/BK733,"")</f>
        <v/>
      </c>
      <c r="BG733" s="105">
        <f>IFERROR(1/BM733/BH733*BQ733,"")</f>
        <v/>
      </c>
      <c r="BH733" s="102">
        <f>MAX((CE733-Driver!$F$200)/(Driver!$G$200-Driver!$F$200)*$BI$1,1)</f>
        <v/>
      </c>
      <c r="BI733" s="102">
        <f>MAX($BI$1*(BY733-Driver!$F$201)/(Driver!$G$201-Driver!$F$201),1)</f>
        <v/>
      </c>
      <c r="BJ733" s="102">
        <f>(CB733-Driver!$F$206)/(Driver!$G$206-Driver!$F$206)*$BI$1</f>
        <v/>
      </c>
      <c r="BK733" s="102">
        <f>(CD733-Driver!$F$203)/(Driver!$G$203-Driver!$F$203)*$BI$1</f>
        <v/>
      </c>
      <c r="BL733" s="102">
        <f>MAX((CR733-Driver!$F$202)/(Driver!$G$202-Driver!$F$202)*$BI$1,1)</f>
        <v/>
      </c>
      <c r="BM733" s="102">
        <f>MAX((CH733-Driver!$F$204)/(Driver!$G$204-Driver!$F$204)*$BI$1,1)</f>
        <v/>
      </c>
      <c r="BN733" s="102">
        <f>(CI733-Driver!$F$205)/(Driver!$G$205-Driver!$F$205)*$BI$1</f>
        <v/>
      </c>
      <c r="BO733" s="102">
        <f>(CK733-Driver!$F$207)/(Driver!$G$207-Driver!$F$207)*$BI$1</f>
        <v/>
      </c>
      <c r="BP733" s="102">
        <f>(CM733-Driver!$F$208)/(Driver!$G$208-Driver!$F$208)*$BI$1</f>
        <v/>
      </c>
      <c r="BQ733" s="102">
        <f>(CL733-Driver!$F$209)/(Driver!$G$209-Driver!$F$209)*$BI$1</f>
        <v/>
      </c>
      <c r="BR733" s="40" t="inlineStr">
        <is>
          <t>21/22</t>
        </is>
      </c>
      <c r="BS733" s="10" t="inlineStr">
        <is>
          <t xml:space="preserve"> Line</t>
        </is>
      </c>
      <c r="BT733" s="11" t="inlineStr">
        <is>
          <t>Vision 118</t>
        </is>
      </c>
      <c r="BU733" s="13" t="n">
        <v>189</v>
      </c>
      <c r="BV733" s="11" t="inlineStr">
        <is>
          <t xml:space="preserve"> Unisex</t>
        </is>
      </c>
      <c r="BW733" s="13" t="n">
        <v>189</v>
      </c>
      <c r="BX733" s="13" t="n">
        <v>188.4</v>
      </c>
      <c r="BY733" s="13" t="n">
        <v>114</v>
      </c>
      <c r="BZ733" s="13" t="n">
        <v>153</v>
      </c>
      <c r="CA733" s="13" t="n">
        <v>151</v>
      </c>
      <c r="CB733" s="13" t="n">
        <v>117</v>
      </c>
      <c r="CC733" s="13" t="n">
        <v>137</v>
      </c>
      <c r="CD733" s="13" t="n">
        <v>20.5</v>
      </c>
      <c r="CE733" s="13" t="n">
        <v>1974</v>
      </c>
      <c r="CF733" s="13" t="n">
        <v>1.21</v>
      </c>
      <c r="CG733" s="13" t="n">
        <v>2392</v>
      </c>
      <c r="CH733" s="13" t="n">
        <v>247</v>
      </c>
      <c r="CI733" s="13" t="n">
        <v>112</v>
      </c>
      <c r="CJ733" s="13" t="n">
        <v>52</v>
      </c>
      <c r="CK733" s="13" t="n">
        <v>384</v>
      </c>
      <c r="CL733" s="13" t="n">
        <v>33</v>
      </c>
      <c r="CM733" s="13" t="n">
        <v>362</v>
      </c>
      <c r="CN733" s="13" t="n">
        <v>0.639</v>
      </c>
      <c r="CO733" s="13" t="n">
        <v>172</v>
      </c>
      <c r="CP733" s="13" t="n">
        <v>181</v>
      </c>
      <c r="CQ733" s="13" t="n">
        <v>212</v>
      </c>
      <c r="CR733" s="13" t="n">
        <v>3</v>
      </c>
      <c r="CS733" s="13" t="n">
        <v>7.4</v>
      </c>
      <c r="CT733" s="11" t="inlineStr">
        <is>
          <t xml:space="preserve"> Powder</t>
        </is>
      </c>
      <c r="CU733" s="11" t="inlineStr">
        <is>
          <t xml:space="preserve"> Touring</t>
        </is>
      </c>
      <c r="CV733" s="13" t="n"/>
      <c r="CW733" s="13" t="n"/>
      <c r="CX733">
        <f>INDEX('Data_Price '!AG$2:AG$1266,MATCH(Data!$DN733,'Data_Price '!$AT$2:$AT$1266,0))</f>
        <v/>
      </c>
      <c r="CY733">
        <f>INDEX('Data_Price '!AH$2:AH$1266,MATCH(Data!$DN733,'Data_Price '!$AT$2:$AT$1266,0))</f>
        <v/>
      </c>
      <c r="CZ733">
        <f>INDEX('Data_Price '!AI$2:AI$1266,MATCH(Data!$DN733,'Data_Price '!$AT$2:$AT$1266,0))</f>
        <v/>
      </c>
      <c r="DA733">
        <f>INDEX('Data_Price '!AJ$2:AJ$1266,MATCH(Data!$DN733,'Data_Price '!$AT$2:$AT$1266,0))</f>
        <v/>
      </c>
      <c r="DB733">
        <f>INDEX('Data_Price '!AK$2:AK$1266,MATCH(Data!$DN733,'Data_Price '!$AT$2:$AT$1266,0))</f>
        <v/>
      </c>
      <c r="DC733">
        <f>INDEX('Data_Price '!AL$2:AL$1266,MATCH(Data!$DN733,'Data_Price '!$AT$2:$AT$1266,0))</f>
        <v/>
      </c>
      <c r="DD733">
        <f>INDEX('Data_Price '!AM$2:AM$1266,MATCH(Data!$DN733,'Data_Price '!$AT$2:$AT$1266,0))</f>
        <v/>
      </c>
      <c r="DE733">
        <f>INDEX('Data_Price '!AN$2:AN$1266,MATCH(Data!$DN733,'Data_Price '!$AT$2:$AT$1266,0))</f>
        <v/>
      </c>
      <c r="DF733">
        <f>INDEX('Data_Price '!AO$2:AO$1266,MATCH(Data!$DN733,'Data_Price '!$AT$2:$AT$1266,0))</f>
        <v/>
      </c>
      <c r="DG733">
        <f>INDEX('Data_Price '!AP$2:AP$1266,MATCH(Data!$DN733,'Data_Price '!$AT$2:$AT$1266,0))</f>
        <v/>
      </c>
      <c r="DH733">
        <f>INDEX('Data_Price '!AQ$2:AQ$1266,MATCH(Data!$DN733,'Data_Price '!$AT$2:$AT$1266,0))</f>
        <v/>
      </c>
      <c r="DI733">
        <f>INDEX('Data_Price '!AR$2:AR$1266,MATCH(Data!$DN733,'Data_Price '!$AT$2:$AT$1266,0))</f>
        <v/>
      </c>
      <c r="DJ733" s="138">
        <f>DA733</f>
        <v/>
      </c>
      <c r="DK733" s="138">
        <f>DE733</f>
        <v/>
      </c>
      <c r="DL733" s="138">
        <f>DI733</f>
        <v/>
      </c>
      <c r="DM733" s="303">
        <f>IF(LEFT(BT733,1)=" ",RIGHT(BT733,LEN(BT733)-1),BT733)</f>
        <v/>
      </c>
      <c r="DN733" s="138">
        <f>_xlfn.CONCAT(BS733,DM733,BU733,BV733)</f>
        <v/>
      </c>
      <c r="DO733" s="307" t="inlineStr">
        <is>
          <t>https://images.evo.com/imgp/250/198426/817626/line-skis-vision-118-skis-2022-.jpg</t>
        </is>
      </c>
    </row>
    <row r="734" ht="15.6" customHeight="1" s="184">
      <c r="B734" s="303">
        <f t="array" ref="B734">IF(OR(ISERROR(K734:P734)),FALSE,TRUE)</f>
        <v/>
      </c>
      <c r="C734" s="60">
        <f>OR(BR734=Driver!$G$50,Data!BR586=Driver!$H$50)</f>
        <v/>
      </c>
      <c r="D734" s="60">
        <f>OR(BV734=Driver!$G$51,BV734=Driver!$H$51)</f>
        <v/>
      </c>
      <c r="E734" s="60">
        <f>AND(BX734&gt;Driver!$F$54,BX734&lt;Driver!$G$54)</f>
        <v/>
      </c>
      <c r="F734" s="60">
        <f>CL734&gt;Driver!$F$56</f>
        <v/>
      </c>
      <c r="G734" s="60">
        <f>AND(CB734&gt;Driver!$F$55,CB734&lt;Driver!$G$55)</f>
        <v/>
      </c>
      <c r="H734" s="60">
        <f>AND(B734:G734)</f>
        <v/>
      </c>
      <c r="I734" s="60">
        <f>COUNTIFS($H$9:$H$1273,TRUE,$BT$9:$BT$1273,BT734)</f>
        <v/>
      </c>
      <c r="J734" s="60">
        <f t="array" ref="J734">NOT(OR(($H$9:$H$1273=TRUE)*($I$9:$I$1273&gt;0)*($BT$9:$BT$1273=BT734)*($K$9:$K$1273&gt;K734)))</f>
        <v/>
      </c>
      <c r="K734" s="108">
        <f>IFERROR(1-AVERAGE(X734:Y734),"")</f>
        <v/>
      </c>
      <c r="L734" s="108">
        <f>1-X734</f>
        <v/>
      </c>
      <c r="M734" s="108">
        <f>1-Y734</f>
        <v/>
      </c>
      <c r="N734" s="108">
        <f>1-Z734</f>
        <v/>
      </c>
      <c r="O734" s="108">
        <f>1-AA734</f>
        <v/>
      </c>
      <c r="P734" s="108">
        <f>1-AB734</f>
        <v/>
      </c>
      <c r="Q734" s="108" t="n"/>
      <c r="R734" s="108" t="n"/>
      <c r="S734" s="108">
        <f>1-AE734</f>
        <v/>
      </c>
      <c r="T734" s="108">
        <f>1-AF734</f>
        <v/>
      </c>
      <c r="U734" s="108">
        <f>1-AG734</f>
        <v/>
      </c>
      <c r="V734" s="108">
        <f>1-AH734</f>
        <v/>
      </c>
      <c r="W734" s="108">
        <f>1-AI734</f>
        <v/>
      </c>
      <c r="X734" s="108">
        <f>ABS(AJ734-AJ$1)</f>
        <v/>
      </c>
      <c r="Y734" s="108">
        <f>AVERAGE(Z734:AB734)</f>
        <v/>
      </c>
      <c r="Z734" s="108">
        <f>ABS(AL734-AL$1)</f>
        <v/>
      </c>
      <c r="AA734" s="108">
        <f>ABS(AM734-AM$1)</f>
        <v/>
      </c>
      <c r="AB734" s="108">
        <f>ABS(AN734-AN$1)</f>
        <v/>
      </c>
      <c r="AC734" s="108" t="n"/>
      <c r="AD734" s="108" t="n"/>
      <c r="AE734" s="108">
        <f>ABS(AQ$1-AQ734)</f>
        <v/>
      </c>
      <c r="AF734" s="108">
        <f>ABS(AR$1-AR734)</f>
        <v/>
      </c>
      <c r="AG734" s="108">
        <f>ABS(AS$1-AS734)</f>
        <v/>
      </c>
      <c r="AH734" s="108">
        <f>ABS(AT$1-AT734)</f>
        <v/>
      </c>
      <c r="AI734" s="108">
        <f>ABS(AU$1-AU734)</f>
        <v/>
      </c>
      <c r="AJ734" s="108">
        <f>(AV734-Driver!$K$179)/(Driver!$L$179-Driver!$K$179)</f>
        <v/>
      </c>
      <c r="AK734" s="108">
        <f>(AW734-Driver!$K$180)/(Driver!$L$180-Driver!$K$180)</f>
        <v/>
      </c>
      <c r="AL734" s="108">
        <f>(AX734-Driver!$K$181)/(Driver!$L$181-Driver!$K$181)</f>
        <v/>
      </c>
      <c r="AM734" s="108">
        <f>(AY734-Driver!$K$182)/(Driver!$L$182-Driver!$K$182)</f>
        <v/>
      </c>
      <c r="AN734" s="108">
        <f>(AZ734-Driver!$K$183)/(Driver!$L$183-Driver!$K$183)</f>
        <v/>
      </c>
      <c r="AO734" s="108" t="n"/>
      <c r="AP734" s="108" t="n"/>
      <c r="AQ734" s="108">
        <f>(BC734-Driver!$K$188)/(Driver!$L$188-Driver!$K$188)</f>
        <v/>
      </c>
      <c r="AR734" s="108">
        <f>MIN((BD734-Driver!$K$189)/(Driver!$L$189-Driver!$K$189),100%)</f>
        <v/>
      </c>
      <c r="AS734" s="108">
        <f>(BE734-Driver!$K$190)/(Driver!$L$190-Driver!$K$190)</f>
        <v/>
      </c>
      <c r="AT734" s="108">
        <f>(BF734-Driver!$K$191)/(Driver!$L$191-Driver!$K$191)</f>
        <v/>
      </c>
      <c r="AU734" s="108">
        <f>(BG734-Driver!$K$192)/(Driver!$L$192-Driver!$K$192)</f>
        <v/>
      </c>
      <c r="AV734" s="105">
        <f>IFERROR(BM734*BJ734^1/4,"")</f>
        <v/>
      </c>
      <c r="AW734" s="105">
        <f>IFERROR(SUM(AX734:AZ734),"")</f>
        <v/>
      </c>
      <c r="AX734" s="105">
        <f>IFERROR(BH734,"")</f>
        <v/>
      </c>
      <c r="AY734" s="105">
        <f>IFERROR(Driver!$K$19/Data!BH734/Data!BI734*Data!BK734*Data!BL734,"")</f>
        <v/>
      </c>
      <c r="AZ734" s="105">
        <f>IFERROR(BI734*BN734,"")</f>
        <v/>
      </c>
      <c r="BA734" s="105" t="n"/>
      <c r="BB734" s="105" t="n"/>
      <c r="BC734" s="105">
        <f>IFERROR(BI734*BN734*BK734/BJ734^(1/2),"")</f>
        <v/>
      </c>
      <c r="BD734" s="105">
        <f>IFERROR(BH734*BM734*BL734/BJ734/BK734,"")</f>
        <v/>
      </c>
      <c r="BE734" s="105">
        <f>IFERROR(MIN(BI734/BQ734/BP734/BO734/BH734,$BE$1),"")</f>
        <v/>
      </c>
      <c r="BF734" s="105">
        <f>IFERROR(BJ734*BO734*BP734/BK734,"")</f>
        <v/>
      </c>
      <c r="BG734" s="105">
        <f>IFERROR(1/BM734/BH734*BQ734,"")</f>
        <v/>
      </c>
      <c r="BH734" s="102">
        <f>MAX((CE734-Driver!$F$200)/(Driver!$G$200-Driver!$F$200)*$BI$1,1)</f>
        <v/>
      </c>
      <c r="BI734" s="102">
        <f>MAX($BI$1*(BY734-Driver!$F$201)/(Driver!$G$201-Driver!$F$201),1)</f>
        <v/>
      </c>
      <c r="BJ734" s="102">
        <f>(CB734-Driver!$F$206)/(Driver!$G$206-Driver!$F$206)*$BI$1</f>
        <v/>
      </c>
      <c r="BK734" s="102">
        <f>(CD734-Driver!$F$203)/(Driver!$G$203-Driver!$F$203)*$BI$1</f>
        <v/>
      </c>
      <c r="BL734" s="102">
        <f>MAX((CR734-Driver!$F$202)/(Driver!$G$202-Driver!$F$202)*$BI$1,1)</f>
        <v/>
      </c>
      <c r="BM734" s="102">
        <f>MAX((CH734-Driver!$F$204)/(Driver!$G$204-Driver!$F$204)*$BI$1,1)</f>
        <v/>
      </c>
      <c r="BN734" s="102">
        <f>(CI734-Driver!$F$205)/(Driver!$G$205-Driver!$F$205)*$BI$1</f>
        <v/>
      </c>
      <c r="BO734" s="102">
        <f>(CK734-Driver!$F$207)/(Driver!$G$207-Driver!$F$207)*$BI$1</f>
        <v/>
      </c>
      <c r="BP734" s="102">
        <f>(CM734-Driver!$F$208)/(Driver!$G$208-Driver!$F$208)*$BI$1</f>
        <v/>
      </c>
      <c r="BQ734" s="102">
        <f>(CL734-Driver!$F$209)/(Driver!$G$209-Driver!$F$209)*$BI$1</f>
        <v/>
      </c>
      <c r="BR734" s="40" t="inlineStr">
        <is>
          <t>21/22</t>
        </is>
      </c>
      <c r="BS734" s="10" t="inlineStr">
        <is>
          <t xml:space="preserve"> Fischer</t>
        </is>
      </c>
      <c r="BT734" s="11" t="inlineStr">
        <is>
          <t>Ranger 99 Ti</t>
        </is>
      </c>
      <c r="BU734" s="13" t="n">
        <v>181</v>
      </c>
      <c r="BV734" s="11" t="inlineStr">
        <is>
          <t xml:space="preserve"> Unisex</t>
        </is>
      </c>
      <c r="BW734" s="13" t="n">
        <v>181</v>
      </c>
      <c r="BX734" s="13" t="n">
        <v>180.2</v>
      </c>
      <c r="BY734" s="13" t="n">
        <v>123</v>
      </c>
      <c r="BZ734" s="13" t="n">
        <v>152</v>
      </c>
      <c r="CA734" s="13" t="n">
        <v>129</v>
      </c>
      <c r="CB734" s="13" t="n">
        <v>96</v>
      </c>
      <c r="CC734" s="13" t="n">
        <v>121</v>
      </c>
      <c r="CD734" s="13" t="n">
        <v>16.9</v>
      </c>
      <c r="CE734" s="13" t="n">
        <v>1891</v>
      </c>
      <c r="CF734" s="13" t="n">
        <v>1.04</v>
      </c>
      <c r="CG734" s="13" t="n">
        <v>1962</v>
      </c>
      <c r="CH734" s="13" t="n">
        <v>253</v>
      </c>
      <c r="CI734" s="13" t="n">
        <v>145</v>
      </c>
      <c r="CJ734" s="13" t="n">
        <v>52</v>
      </c>
      <c r="CK734" s="13" t="n">
        <v>343</v>
      </c>
      <c r="CL734" s="13" t="n">
        <v>18</v>
      </c>
      <c r="CM734" s="13" t="n">
        <v>229</v>
      </c>
      <c r="CN734" s="13" t="n">
        <v>0.347</v>
      </c>
      <c r="CO734" s="13" t="n">
        <v>140</v>
      </c>
      <c r="CP734" s="13" t="n">
        <v>138</v>
      </c>
      <c r="CQ734" s="13" t="n">
        <v>203</v>
      </c>
      <c r="CR734" s="13" t="n">
        <v>5</v>
      </c>
      <c r="CS734" s="13" t="n">
        <v>9.699999999999999</v>
      </c>
      <c r="CT734" s="11" t="inlineStr">
        <is>
          <t xml:space="preserve"> Resort Freeride</t>
        </is>
      </c>
      <c r="CU734" s="13" t="n"/>
      <c r="CV734" s="13" t="n"/>
      <c r="CW734" s="13" t="n"/>
      <c r="CX734">
        <f>INDEX('Data_Price '!AG$2:AG$1266,MATCH(Data!$DN734,'Data_Price '!$AT$2:$AT$1266,0))</f>
        <v/>
      </c>
      <c r="CY734">
        <f>INDEX('Data_Price '!AH$2:AH$1266,MATCH(Data!$DN734,'Data_Price '!$AT$2:$AT$1266,0))</f>
        <v/>
      </c>
      <c r="CZ734">
        <f>INDEX('Data_Price '!AI$2:AI$1266,MATCH(Data!$DN734,'Data_Price '!$AT$2:$AT$1266,0))</f>
        <v/>
      </c>
      <c r="DA734">
        <f>INDEX('Data_Price '!AJ$2:AJ$1266,MATCH(Data!$DN734,'Data_Price '!$AT$2:$AT$1266,0))</f>
        <v/>
      </c>
      <c r="DB734">
        <f>INDEX('Data_Price '!AK$2:AK$1266,MATCH(Data!$DN734,'Data_Price '!$AT$2:$AT$1266,0))</f>
        <v/>
      </c>
      <c r="DC734">
        <f>INDEX('Data_Price '!AL$2:AL$1266,MATCH(Data!$DN734,'Data_Price '!$AT$2:$AT$1266,0))</f>
        <v/>
      </c>
      <c r="DD734">
        <f>INDEX('Data_Price '!AM$2:AM$1266,MATCH(Data!$DN734,'Data_Price '!$AT$2:$AT$1266,0))</f>
        <v/>
      </c>
      <c r="DE734">
        <f>INDEX('Data_Price '!AN$2:AN$1266,MATCH(Data!$DN734,'Data_Price '!$AT$2:$AT$1266,0))</f>
        <v/>
      </c>
      <c r="DF734">
        <f>INDEX('Data_Price '!AO$2:AO$1266,MATCH(Data!$DN734,'Data_Price '!$AT$2:$AT$1266,0))</f>
        <v/>
      </c>
      <c r="DG734">
        <f>INDEX('Data_Price '!AP$2:AP$1266,MATCH(Data!$DN734,'Data_Price '!$AT$2:$AT$1266,0))</f>
        <v/>
      </c>
      <c r="DH734">
        <f>INDEX('Data_Price '!AQ$2:AQ$1266,MATCH(Data!$DN734,'Data_Price '!$AT$2:$AT$1266,0))</f>
        <v/>
      </c>
      <c r="DI734">
        <f>INDEX('Data_Price '!AR$2:AR$1266,MATCH(Data!$DN734,'Data_Price '!$AT$2:$AT$1266,0))</f>
        <v/>
      </c>
      <c r="DJ734" s="138">
        <f>DA734</f>
        <v/>
      </c>
      <c r="DK734" s="138">
        <f>DE734</f>
        <v/>
      </c>
      <c r="DL734" s="138">
        <f>DI734</f>
        <v/>
      </c>
      <c r="DM734" s="303">
        <f>IF(LEFT(BT734,1)=" ",RIGHT(BT734,LEN(BT734)-1),BT734)</f>
        <v/>
      </c>
      <c r="DN734" s="138">
        <f>_xlfn.CONCAT(BS734,DM734,BU734,BV734)</f>
        <v/>
      </c>
      <c r="DO734" s="307" t="inlineStr">
        <is>
          <t>https://images.evo.com/imgp/250/209035/846569/fischer-ranger-99-ti-skis-2022-.jpg</t>
        </is>
      </c>
    </row>
    <row r="735" ht="15.6" customHeight="1" s="184">
      <c r="A735" s="303">
        <f>ROW()</f>
        <v/>
      </c>
      <c r="B735" s="303">
        <f t="array" ref="B735">IF(OR(ISERROR(K735:P735)),FALSE,TRUE)</f>
        <v/>
      </c>
      <c r="C735" s="60">
        <f>OR(BR735=Driver!$G$50,Data!BR76=Driver!$H$50)</f>
        <v/>
      </c>
      <c r="D735" s="60">
        <f>OR(BV735=Driver!$G$51,BV735=Driver!$H$51)</f>
        <v/>
      </c>
      <c r="E735" s="60">
        <f>AND(BX735&gt;Driver!$F$54,BX735&lt;Driver!$G$54)</f>
        <v/>
      </c>
      <c r="F735" s="60">
        <f>CL735&gt;Driver!$F$56</f>
        <v/>
      </c>
      <c r="G735" s="60">
        <f>AND(CB735&gt;Driver!$F$55,CB735&lt;Driver!$G$55)</f>
        <v/>
      </c>
      <c r="H735" s="60">
        <f>AND(B735:G735)</f>
        <v/>
      </c>
      <c r="I735" s="60">
        <f>COUNTIFS($H$9:$H$1273,TRUE,$BT$9:$BT$1273,BT735)</f>
        <v/>
      </c>
      <c r="J735" s="60">
        <f t="array" ref="J735">NOT(OR(($H$9:$H$1273=TRUE)*($I$9:$I$1273&gt;0)*($BT$9:$BT$1273=BT735)*($K$9:$K$1273&gt;K735)))</f>
        <v/>
      </c>
      <c r="K735" s="108">
        <f>IFERROR(1-AVERAGE(X735:Y735),"")</f>
        <v/>
      </c>
      <c r="L735" s="108">
        <f>1-X735</f>
        <v/>
      </c>
      <c r="M735" s="108">
        <f>1-Y735</f>
        <v/>
      </c>
      <c r="N735" s="108">
        <f>1-Z735</f>
        <v/>
      </c>
      <c r="O735" s="108">
        <f>1-AA735</f>
        <v/>
      </c>
      <c r="P735" s="108">
        <f>1-AB735</f>
        <v/>
      </c>
      <c r="Q735" s="108" t="n"/>
      <c r="R735" s="108" t="n"/>
      <c r="S735" s="108">
        <f>1-AE735</f>
        <v/>
      </c>
      <c r="T735" s="108">
        <f>1-AF735</f>
        <v/>
      </c>
      <c r="U735" s="108">
        <f>1-AG735</f>
        <v/>
      </c>
      <c r="V735" s="108">
        <f>1-AH735</f>
        <v/>
      </c>
      <c r="W735" s="108">
        <f>1-AI735</f>
        <v/>
      </c>
      <c r="X735" s="108">
        <f>ABS(AJ735-AJ$1)</f>
        <v/>
      </c>
      <c r="Y735" s="108">
        <f>AVERAGE(Z735:AB735)</f>
        <v/>
      </c>
      <c r="Z735" s="108">
        <f>ABS(AL735-AL$1)</f>
        <v/>
      </c>
      <c r="AA735" s="108">
        <f>ABS(AM735-AM$1)</f>
        <v/>
      </c>
      <c r="AB735" s="108">
        <f>ABS(AN735-AN$1)</f>
        <v/>
      </c>
      <c r="AC735" s="108" t="n"/>
      <c r="AD735" s="108" t="n"/>
      <c r="AE735" s="108">
        <f>ABS(AQ$1-AQ735)</f>
        <v/>
      </c>
      <c r="AF735" s="108">
        <f>ABS(AR$1-AR735)</f>
        <v/>
      </c>
      <c r="AG735" s="108">
        <f>ABS(AS$1-AS735)</f>
        <v/>
      </c>
      <c r="AH735" s="108">
        <f>ABS(AT$1-AT735)</f>
        <v/>
      </c>
      <c r="AI735" s="108">
        <f>ABS(AU$1-AU735)</f>
        <v/>
      </c>
      <c r="AJ735" s="108">
        <f>(AV735-Driver!$K$179)/(Driver!$L$179-Driver!$K$179)</f>
        <v/>
      </c>
      <c r="AK735" s="108">
        <f>(AW735-Driver!$K$180)/(Driver!$L$180-Driver!$K$180)</f>
        <v/>
      </c>
      <c r="AL735" s="108">
        <f>(AX735-Driver!$K$181)/(Driver!$L$181-Driver!$K$181)</f>
        <v/>
      </c>
      <c r="AM735" s="108">
        <f>(AY735-Driver!$K$182)/(Driver!$L$182-Driver!$K$182)</f>
        <v/>
      </c>
      <c r="AN735" s="108">
        <f>(AZ735-Driver!$K$183)/(Driver!$L$183-Driver!$K$183)</f>
        <v/>
      </c>
      <c r="AO735" s="108" t="n"/>
      <c r="AP735" s="108" t="n"/>
      <c r="AQ735" s="108">
        <f>(BC735-Driver!$K$188)/(Driver!$L$188-Driver!$K$188)</f>
        <v/>
      </c>
      <c r="AR735" s="108">
        <f>MIN((BD735-Driver!$K$189)/(Driver!$L$189-Driver!$K$189),100%)</f>
        <v/>
      </c>
      <c r="AS735" s="108">
        <f>(BE735-Driver!$K$190)/(Driver!$L$190-Driver!$K$190)</f>
        <v/>
      </c>
      <c r="AT735" s="108">
        <f>(BF735-Driver!$K$191)/(Driver!$L$191-Driver!$K$191)</f>
        <v/>
      </c>
      <c r="AU735" s="108">
        <f>(BG735-Driver!$K$192)/(Driver!$L$192-Driver!$K$192)</f>
        <v/>
      </c>
      <c r="AV735" s="105">
        <f>IFERROR(BM735*BJ735^1/4,"")</f>
        <v/>
      </c>
      <c r="AW735" s="105">
        <f>IFERROR(SUM(AX735:AZ735),"")</f>
        <v/>
      </c>
      <c r="AX735" s="105">
        <f>IFERROR(BH735,"")</f>
        <v/>
      </c>
      <c r="AY735" s="105">
        <f>IFERROR(Driver!$K$19/Data!BH827/Data!BI827*Data!BK827*Data!BL827,"")</f>
        <v/>
      </c>
      <c r="AZ735" s="105">
        <f>IFERROR(BI735*BN735,"")</f>
        <v/>
      </c>
      <c r="BA735" s="105" t="n"/>
      <c r="BB735" s="105" t="n"/>
      <c r="BC735" s="105">
        <f>IFERROR(BI735*BN735*BK735/BJ735^(1/2),"")</f>
        <v/>
      </c>
      <c r="BD735" s="105">
        <f>IFERROR(BH735*BM735*BL735/BJ735/BK735,"")</f>
        <v/>
      </c>
      <c r="BE735" s="105">
        <f>IFERROR(MIN(BI735/BQ735/BP735/BO735/BH735,$BE$1),"")</f>
        <v/>
      </c>
      <c r="BF735" s="105">
        <f>IFERROR(BJ735*BO735*BP735/BK735,"")</f>
        <v/>
      </c>
      <c r="BG735" s="105">
        <f>IFERROR(1/BM735/BH735*BQ735,"")</f>
        <v/>
      </c>
      <c r="BH735" s="102">
        <f>MAX((CE735-Driver!$F$200)/(Driver!$G$200-Driver!$F$200)*$BI$1,1)</f>
        <v/>
      </c>
      <c r="BI735" s="102">
        <f>MAX($BI$1*(BY735-Driver!$F$201)/(Driver!$G$201-Driver!$F$201),1)</f>
        <v/>
      </c>
      <c r="BJ735" s="102">
        <f>(CB735-Driver!$F$206)/(Driver!$G$206-Driver!$F$206)*$BI$1</f>
        <v/>
      </c>
      <c r="BK735" s="102">
        <f>(CD735-Driver!$F$203)/(Driver!$G$203-Driver!$F$203)*$BI$1</f>
        <v/>
      </c>
      <c r="BL735" s="102">
        <f>MAX((CR735-Driver!$F$202)/(Driver!$G$202-Driver!$F$202)*$BI$1,1)</f>
        <v/>
      </c>
      <c r="BM735" s="102">
        <f>MAX((CH735-Driver!$F$204)/(Driver!$G$204-Driver!$F$204)*$BI$1,1)</f>
        <v/>
      </c>
      <c r="BN735" s="102">
        <f>(CI735-Driver!$F$205)/(Driver!$G$205-Driver!$F$205)*$BI$1</f>
        <v/>
      </c>
      <c r="BO735" s="102">
        <f>(CK735-Driver!$F$207)/(Driver!$G$207-Driver!$F$207)*$BI$1</f>
        <v/>
      </c>
      <c r="BP735" s="102">
        <f>(CM735-Driver!$F$208)/(Driver!$G$208-Driver!$F$208)*$BI$1</f>
        <v/>
      </c>
      <c r="BQ735" s="102">
        <f>(CL735-Driver!$F$209)/(Driver!$G$209-Driver!$F$209)*$BI$1</f>
        <v/>
      </c>
      <c r="BR735" s="40" t="inlineStr">
        <is>
          <t>21/22</t>
        </is>
      </c>
      <c r="BS735" s="10" t="inlineStr">
        <is>
          <t xml:space="preserve"> Armada</t>
        </is>
      </c>
      <c r="BT735" s="11" t="inlineStr">
        <is>
          <t xml:space="preserve"> Edollo</t>
        </is>
      </c>
      <c r="BU735" s="13" t="n">
        <v>164</v>
      </c>
      <c r="BV735" s="11" t="inlineStr">
        <is>
          <t xml:space="preserve"> Unisex</t>
        </is>
      </c>
      <c r="BW735" s="13" t="n">
        <v>164</v>
      </c>
      <c r="BX735" s="13" t="n">
        <v>162.1</v>
      </c>
      <c r="BY735" s="13" t="n">
        <v>120</v>
      </c>
      <c r="BZ735" s="13" t="n">
        <v>143</v>
      </c>
      <c r="CA735" s="13" t="n">
        <v>128</v>
      </c>
      <c r="CB735" s="13" t="n">
        <v>97</v>
      </c>
      <c r="CC735" s="13" t="n">
        <v>119</v>
      </c>
      <c r="CD735" s="13" t="n">
        <v>18.6</v>
      </c>
      <c r="CE735" s="13" t="n">
        <v>1828</v>
      </c>
      <c r="CF735" s="13" t="n">
        <v>0.9399999999999999</v>
      </c>
      <c r="CG735" s="13" t="n">
        <v>1720</v>
      </c>
      <c r="CH735" s="13" t="n">
        <v>164</v>
      </c>
      <c r="CI735" s="13" t="n">
        <v>68</v>
      </c>
      <c r="CJ735" s="13" t="n">
        <v>48</v>
      </c>
      <c r="CK735" s="13" t="n">
        <v>253</v>
      </c>
      <c r="CL735" s="13" t="n">
        <v>45</v>
      </c>
      <c r="CM735" s="13" t="n">
        <v>165</v>
      </c>
      <c r="CN735" s="13" t="n">
        <v>0.947</v>
      </c>
      <c r="CO735" s="13" t="n">
        <v>93</v>
      </c>
      <c r="CP735" s="13" t="n">
        <v>102</v>
      </c>
      <c r="CQ735" s="13" t="n">
        <v>160</v>
      </c>
      <c r="CR735" s="13" t="n">
        <v>8</v>
      </c>
      <c r="CS735" s="13" t="n">
        <v>2.3</v>
      </c>
      <c r="CT735" s="11" t="inlineStr">
        <is>
          <t xml:space="preserve"> Freeski</t>
        </is>
      </c>
      <c r="CU735" s="13" t="n"/>
      <c r="CV735" s="13" t="n"/>
      <c r="CW735" s="13" t="n"/>
      <c r="CX735">
        <f>INDEX('Data_Price '!AG$2:AG$1266,MATCH(Data!$DN735,'Data_Price '!$AT$2:$AT$1266,0))</f>
        <v/>
      </c>
      <c r="CY735">
        <f>INDEX('Data_Price '!AH$2:AH$1266,MATCH(Data!$DN735,'Data_Price '!$AT$2:$AT$1266,0))</f>
        <v/>
      </c>
      <c r="CZ735">
        <f>INDEX('Data_Price '!AI$2:AI$1266,MATCH(Data!$DN735,'Data_Price '!$AT$2:$AT$1266,0))</f>
        <v/>
      </c>
      <c r="DA735">
        <f>INDEX('Data_Price '!AJ$2:AJ$1266,MATCH(Data!$DN735,'Data_Price '!$AT$2:$AT$1266,0))</f>
        <v/>
      </c>
      <c r="DB735">
        <f>INDEX('Data_Price '!AK$2:AK$1266,MATCH(Data!$DN735,'Data_Price '!$AT$2:$AT$1266,0))</f>
        <v/>
      </c>
      <c r="DC735">
        <f>INDEX('Data_Price '!AL$2:AL$1266,MATCH(Data!$DN735,'Data_Price '!$AT$2:$AT$1266,0))</f>
        <v/>
      </c>
      <c r="DD735">
        <f>INDEX('Data_Price '!AM$2:AM$1266,MATCH(Data!$DN735,'Data_Price '!$AT$2:$AT$1266,0))</f>
        <v/>
      </c>
      <c r="DE735">
        <f>INDEX('Data_Price '!AN$2:AN$1266,MATCH(Data!$DN735,'Data_Price '!$AT$2:$AT$1266,0))</f>
        <v/>
      </c>
      <c r="DF735">
        <f>INDEX('Data_Price '!AO$2:AO$1266,MATCH(Data!$DN735,'Data_Price '!$AT$2:$AT$1266,0))</f>
        <v/>
      </c>
      <c r="DG735">
        <f>INDEX('Data_Price '!AP$2:AP$1266,MATCH(Data!$DN735,'Data_Price '!$AT$2:$AT$1266,0))</f>
        <v/>
      </c>
      <c r="DH735">
        <f>INDEX('Data_Price '!AQ$2:AQ$1266,MATCH(Data!$DN735,'Data_Price '!$AT$2:$AT$1266,0))</f>
        <v/>
      </c>
      <c r="DI735">
        <f>INDEX('Data_Price '!AR$2:AR$1266,MATCH(Data!$DN735,'Data_Price '!$AT$2:$AT$1266,0))</f>
        <v/>
      </c>
      <c r="DJ735" s="138">
        <f>DA735</f>
        <v/>
      </c>
      <c r="DK735" s="138">
        <f>DE735</f>
        <v/>
      </c>
      <c r="DL735" s="138">
        <f>DI735</f>
        <v/>
      </c>
      <c r="DM735" s="303">
        <f>IF(LEFT(BT735,1)=" ",RIGHT(BT735,LEN(BT735)-1),BT735)</f>
        <v/>
      </c>
      <c r="DN735" s="138">
        <f>_xlfn.CONCAT(BS735,DM735,BU735,BV735)</f>
        <v/>
      </c>
      <c r="DO735" s="307" t="inlineStr">
        <is>
          <t>https://images.evo.com/imgp/250/181607/727257/black-crows-camox-birdie-skis-women-s-2022-.jpg</t>
        </is>
      </c>
    </row>
    <row r="736" ht="15.6" customHeight="1" s="184">
      <c r="B736" s="303">
        <f t="array" ref="B736">IF(OR(ISERROR(K736:P736)),FALSE,TRUE)</f>
        <v/>
      </c>
      <c r="C736" s="60">
        <f>OR(BR736=Driver!$G$50,Data!BR318=Driver!$H$50)</f>
        <v/>
      </c>
      <c r="D736" s="60">
        <f>OR(BV736=Driver!$G$51,BV736=Driver!$H$51)</f>
        <v/>
      </c>
      <c r="E736" s="60">
        <f>AND(BX736&gt;Driver!$F$54,BX736&lt;Driver!$G$54)</f>
        <v/>
      </c>
      <c r="F736" s="60">
        <f>CL736&gt;Driver!$F$56</f>
        <v/>
      </c>
      <c r="G736" s="60">
        <f>AND(CB736&gt;Driver!$F$55,CB736&lt;Driver!$G$55)</f>
        <v/>
      </c>
      <c r="H736" s="60">
        <f>AND(B736:G736)</f>
        <v/>
      </c>
      <c r="I736" s="60">
        <f>COUNTIFS($H$9:$H$1273,TRUE,$BT$9:$BT$1273,BT736)</f>
        <v/>
      </c>
      <c r="J736" s="60">
        <f t="array" ref="J736">NOT(OR(($H$9:$H$1273=TRUE)*($I$9:$I$1273&gt;0)*($BT$9:$BT$1273=BT736)*($K$9:$K$1273&gt;K736)))</f>
        <v/>
      </c>
      <c r="K736" s="108">
        <f>IFERROR(1-AVERAGE(X736:Y736),"")</f>
        <v/>
      </c>
      <c r="L736" s="108">
        <f>1-X736</f>
        <v/>
      </c>
      <c r="M736" s="108">
        <f>1-Y736</f>
        <v/>
      </c>
      <c r="N736" s="108">
        <f>1-Z736</f>
        <v/>
      </c>
      <c r="O736" s="108">
        <f>1-AA736</f>
        <v/>
      </c>
      <c r="P736" s="108">
        <f>1-AB736</f>
        <v/>
      </c>
      <c r="Q736" s="108" t="n"/>
      <c r="R736" s="108" t="n"/>
      <c r="S736" s="108">
        <f>1-AE736</f>
        <v/>
      </c>
      <c r="T736" s="108">
        <f>1-AF736</f>
        <v/>
      </c>
      <c r="U736" s="108">
        <f>1-AG736</f>
        <v/>
      </c>
      <c r="V736" s="108">
        <f>1-AH736</f>
        <v/>
      </c>
      <c r="W736" s="108">
        <f>1-AI736</f>
        <v/>
      </c>
      <c r="X736" s="108">
        <f>ABS(AJ736-AJ$1)</f>
        <v/>
      </c>
      <c r="Y736" s="108">
        <f>AVERAGE(Z736:AB736)</f>
        <v/>
      </c>
      <c r="Z736" s="108">
        <f>ABS(AL736-AL$1)</f>
        <v/>
      </c>
      <c r="AA736" s="108">
        <f>ABS(AM736-AM$1)</f>
        <v/>
      </c>
      <c r="AB736" s="108">
        <f>ABS(AN736-AN$1)</f>
        <v/>
      </c>
      <c r="AC736" s="108" t="n"/>
      <c r="AD736" s="108" t="n"/>
      <c r="AE736" s="108">
        <f>ABS(AQ$1-AQ736)</f>
        <v/>
      </c>
      <c r="AF736" s="108">
        <f>ABS(AR$1-AR736)</f>
        <v/>
      </c>
      <c r="AG736" s="108">
        <f>ABS(AS$1-AS736)</f>
        <v/>
      </c>
      <c r="AH736" s="108">
        <f>ABS(AT$1-AT736)</f>
        <v/>
      </c>
      <c r="AI736" s="108">
        <f>ABS(AU$1-AU736)</f>
        <v/>
      </c>
      <c r="AJ736" s="108">
        <f>(AV736-Driver!$K$179)/(Driver!$L$179-Driver!$K$179)</f>
        <v/>
      </c>
      <c r="AK736" s="108">
        <f>(AW736-Driver!$K$180)/(Driver!$L$180-Driver!$K$180)</f>
        <v/>
      </c>
      <c r="AL736" s="108">
        <f>(AX736-Driver!$K$181)/(Driver!$L$181-Driver!$K$181)</f>
        <v/>
      </c>
      <c r="AM736" s="108">
        <f>(AY736-Driver!$K$182)/(Driver!$L$182-Driver!$K$182)</f>
        <v/>
      </c>
      <c r="AN736" s="108">
        <f>(AZ736-Driver!$K$183)/(Driver!$L$183-Driver!$K$183)</f>
        <v/>
      </c>
      <c r="AO736" s="108" t="n"/>
      <c r="AP736" s="108" t="n"/>
      <c r="AQ736" s="108">
        <f>(BC736-Driver!$K$188)/(Driver!$L$188-Driver!$K$188)</f>
        <v/>
      </c>
      <c r="AR736" s="108">
        <f>MIN((BD736-Driver!$K$189)/(Driver!$L$189-Driver!$K$189),100%)</f>
        <v/>
      </c>
      <c r="AS736" s="108">
        <f>(BE736-Driver!$K$190)/(Driver!$L$190-Driver!$K$190)</f>
        <v/>
      </c>
      <c r="AT736" s="108">
        <f>(BF736-Driver!$K$191)/(Driver!$L$191-Driver!$K$191)</f>
        <v/>
      </c>
      <c r="AU736" s="108">
        <f>(BG736-Driver!$K$192)/(Driver!$L$192-Driver!$K$192)</f>
        <v/>
      </c>
      <c r="AV736" s="105">
        <f>IFERROR(BM736*BJ736^1/4,"")</f>
        <v/>
      </c>
      <c r="AW736" s="105">
        <f>IFERROR(SUM(AX736:AZ736),"")</f>
        <v/>
      </c>
      <c r="AX736" s="105">
        <f>IFERROR(BH736,"")</f>
        <v/>
      </c>
      <c r="AY736" s="105">
        <f>IFERROR(Driver!$K$19/Data!BH736/Data!BI736*Data!BK736*Data!BL736,"")</f>
        <v/>
      </c>
      <c r="AZ736" s="105">
        <f>IFERROR(BI736*BN736,"")</f>
        <v/>
      </c>
      <c r="BA736" s="105" t="n"/>
      <c r="BB736" s="105" t="n"/>
      <c r="BC736" s="105">
        <f>IFERROR(BI736*BN736*BK736/BJ736^(1/2),"")</f>
        <v/>
      </c>
      <c r="BD736" s="105">
        <f>IFERROR(BH736*BM736*BL736/BJ736/BK736,"")</f>
        <v/>
      </c>
      <c r="BE736" s="105">
        <f>IFERROR(MIN(BI736/BQ736/BP736/BO736/BH736,$BE$1),"")</f>
        <v/>
      </c>
      <c r="BF736" s="105">
        <f>IFERROR(BJ736*BO736*BP736/BK736,"")</f>
        <v/>
      </c>
      <c r="BG736" s="105">
        <f>IFERROR(1/BM736/BH736*BQ736,"")</f>
        <v/>
      </c>
      <c r="BH736" s="102">
        <f>MAX((CE736-Driver!$F$200)/(Driver!$G$200-Driver!$F$200)*$BI$1,1)</f>
        <v/>
      </c>
      <c r="BI736" s="102">
        <f>MAX($BI$1*(BY736-Driver!$F$201)/(Driver!$G$201-Driver!$F$201),1)</f>
        <v/>
      </c>
      <c r="BJ736" s="102">
        <f>(CB736-Driver!$F$206)/(Driver!$G$206-Driver!$F$206)*$BI$1</f>
        <v/>
      </c>
      <c r="BK736" s="102">
        <f>(CD736-Driver!$F$203)/(Driver!$G$203-Driver!$F$203)*$BI$1</f>
        <v/>
      </c>
      <c r="BL736" s="102">
        <f>MAX((CR736-Driver!$F$202)/(Driver!$G$202-Driver!$F$202)*$BI$1,1)</f>
        <v/>
      </c>
      <c r="BM736" s="102">
        <f>MAX((CH736-Driver!$F$204)/(Driver!$G$204-Driver!$F$204)*$BI$1,1)</f>
        <v/>
      </c>
      <c r="BN736" s="102">
        <f>(CI736-Driver!$F$205)/(Driver!$G$205-Driver!$F$205)*$BI$1</f>
        <v/>
      </c>
      <c r="BO736" s="102">
        <f>(CK736-Driver!$F$207)/(Driver!$G$207-Driver!$F$207)*$BI$1</f>
        <v/>
      </c>
      <c r="BP736" s="102">
        <f>(CM736-Driver!$F$208)/(Driver!$G$208-Driver!$F$208)*$BI$1</f>
        <v/>
      </c>
      <c r="BQ736" s="102">
        <f>(CL736-Driver!$F$209)/(Driver!$G$209-Driver!$F$209)*$BI$1</f>
        <v/>
      </c>
      <c r="BR736" s="40" t="inlineStr">
        <is>
          <t>21/22</t>
        </is>
      </c>
      <c r="BS736" s="10" t="inlineStr">
        <is>
          <t xml:space="preserve"> Blizzard</t>
        </is>
      </c>
      <c r="BT736" s="11" t="inlineStr">
        <is>
          <t>Zero G 105</t>
        </is>
      </c>
      <c r="BU736" s="13" t="n">
        <v>164</v>
      </c>
      <c r="BV736" s="11" t="inlineStr">
        <is>
          <t xml:space="preserve"> Unisex</t>
        </is>
      </c>
      <c r="BW736" s="13" t="n">
        <v>164</v>
      </c>
      <c r="BX736" s="13" t="n">
        <v>162</v>
      </c>
      <c r="BY736" s="13" t="n">
        <v>114</v>
      </c>
      <c r="BZ736" s="13" t="n">
        <v>132</v>
      </c>
      <c r="CA736" s="13" t="n">
        <v>130</v>
      </c>
      <c r="CB736" s="13" t="n">
        <v>102</v>
      </c>
      <c r="CC736" s="13" t="n">
        <v>116</v>
      </c>
      <c r="CD736" s="13" t="n">
        <v>18.6</v>
      </c>
      <c r="CE736" s="13" t="n">
        <v>1343</v>
      </c>
      <c r="CF736" s="13" t="n">
        <v>1.33</v>
      </c>
      <c r="CG736" s="13" t="n">
        <v>1786</v>
      </c>
      <c r="CH736" s="13" t="n">
        <v>166</v>
      </c>
      <c r="CI736" s="13" t="n">
        <v>59</v>
      </c>
      <c r="CJ736" s="13" t="n">
        <v>58</v>
      </c>
      <c r="CK736" s="13" t="n">
        <v>311</v>
      </c>
      <c r="CL736" s="13" t="n">
        <v>17</v>
      </c>
      <c r="CM736" s="13" t="n">
        <v>170</v>
      </c>
      <c r="CN736" s="13" t="n">
        <v>0.288</v>
      </c>
      <c r="CO736" s="13" t="n">
        <v>157</v>
      </c>
      <c r="CP736" s="13" t="n">
        <v>147</v>
      </c>
      <c r="CQ736" s="13" t="n">
        <v>155</v>
      </c>
      <c r="CR736" s="13" t="n">
        <v>5</v>
      </c>
      <c r="CS736" s="13" t="n">
        <v>8.9</v>
      </c>
      <c r="CT736" s="11" t="inlineStr">
        <is>
          <t xml:space="preserve"> Big Mountain</t>
        </is>
      </c>
      <c r="CU736" s="11" t="inlineStr">
        <is>
          <t xml:space="preserve"> Touring</t>
        </is>
      </c>
      <c r="CV736" s="11" t="inlineStr">
        <is>
          <t xml:space="preserve"> Ultralight Touring</t>
        </is>
      </c>
      <c r="CW736" s="13" t="n"/>
      <c r="CX736">
        <f>INDEX('Data_Price '!AG$2:AG$1266,MATCH(Data!$DN736,'Data_Price '!$AT$2:$AT$1266,0))</f>
        <v/>
      </c>
      <c r="CY736">
        <f>INDEX('Data_Price '!AH$2:AH$1266,MATCH(Data!$DN736,'Data_Price '!$AT$2:$AT$1266,0))</f>
        <v/>
      </c>
      <c r="CZ736">
        <f>INDEX('Data_Price '!AI$2:AI$1266,MATCH(Data!$DN736,'Data_Price '!$AT$2:$AT$1266,0))</f>
        <v/>
      </c>
      <c r="DA736">
        <f>INDEX('Data_Price '!AJ$2:AJ$1266,MATCH(Data!$DN736,'Data_Price '!$AT$2:$AT$1266,0))</f>
        <v/>
      </c>
      <c r="DB736">
        <f>INDEX('Data_Price '!AK$2:AK$1266,MATCH(Data!$DN736,'Data_Price '!$AT$2:$AT$1266,0))</f>
        <v/>
      </c>
      <c r="DC736">
        <f>INDEX('Data_Price '!AL$2:AL$1266,MATCH(Data!$DN736,'Data_Price '!$AT$2:$AT$1266,0))</f>
        <v/>
      </c>
      <c r="DD736">
        <f>INDEX('Data_Price '!AM$2:AM$1266,MATCH(Data!$DN736,'Data_Price '!$AT$2:$AT$1266,0))</f>
        <v/>
      </c>
      <c r="DE736">
        <f>INDEX('Data_Price '!AN$2:AN$1266,MATCH(Data!$DN736,'Data_Price '!$AT$2:$AT$1266,0))</f>
        <v/>
      </c>
      <c r="DF736">
        <f>INDEX('Data_Price '!AO$2:AO$1266,MATCH(Data!$DN736,'Data_Price '!$AT$2:$AT$1266,0))</f>
        <v/>
      </c>
      <c r="DG736">
        <f>INDEX('Data_Price '!AP$2:AP$1266,MATCH(Data!$DN736,'Data_Price '!$AT$2:$AT$1266,0))</f>
        <v/>
      </c>
      <c r="DH736">
        <f>INDEX('Data_Price '!AQ$2:AQ$1266,MATCH(Data!$DN736,'Data_Price '!$AT$2:$AT$1266,0))</f>
        <v/>
      </c>
      <c r="DI736">
        <f>INDEX('Data_Price '!AR$2:AR$1266,MATCH(Data!$DN736,'Data_Price '!$AT$2:$AT$1266,0))</f>
        <v/>
      </c>
      <c r="DJ736" s="138">
        <f>DA736</f>
        <v/>
      </c>
      <c r="DK736" s="138">
        <f>DE736</f>
        <v/>
      </c>
      <c r="DL736" s="138">
        <f>DI736</f>
        <v/>
      </c>
      <c r="DM736" s="303">
        <f>IF(LEFT(BT736,1)=" ",RIGHT(BT736,LEN(BT736)-1),BT736)</f>
        <v/>
      </c>
      <c r="DN736" s="138">
        <f>_xlfn.CONCAT(BS736,DM736,BU736,BV736)</f>
        <v/>
      </c>
      <c r="DO736" s="307" t="inlineStr">
        <is>
          <t>https://images.evo.com/imgp/250/197481/783558/blizzard-zero-g-105-skis-2022-.jpg</t>
        </is>
      </c>
    </row>
    <row r="737" ht="15.6" customHeight="1" s="184">
      <c r="B737" s="303">
        <f t="array" ref="B737">IF(OR(ISERROR(K737:P737)),FALSE,TRUE)</f>
        <v/>
      </c>
      <c r="C737" s="60">
        <f>OR(BR737=Driver!$G$50,Data!BR639=Driver!$H$50)</f>
        <v/>
      </c>
      <c r="D737" s="60">
        <f>OR(BV737=Driver!$G$51,BV737=Driver!$H$51)</f>
        <v/>
      </c>
      <c r="E737" s="60">
        <f>AND(BX737&gt;Driver!$F$54,BX737&lt;Driver!$G$54)</f>
        <v/>
      </c>
      <c r="F737" s="60">
        <f>CL737&gt;Driver!$F$56</f>
        <v/>
      </c>
      <c r="G737" s="60">
        <f>AND(CB737&gt;Driver!$F$55,CB737&lt;Driver!$G$55)</f>
        <v/>
      </c>
      <c r="H737" s="60">
        <f>AND(B737:G737)</f>
        <v/>
      </c>
      <c r="I737" s="60">
        <f>COUNTIFS($H$9:$H$1273,TRUE,$BT$9:$BT$1273,BT737)</f>
        <v/>
      </c>
      <c r="J737" s="60">
        <f t="array" ref="J737">NOT(OR(($H$9:$H$1273=TRUE)*($I$9:$I$1273&gt;0)*($BT$9:$BT$1273=BT737)*($K$9:$K$1273&gt;K737)))</f>
        <v/>
      </c>
      <c r="K737" s="108">
        <f>IFERROR(1-AVERAGE(X737:Y737),"")</f>
        <v/>
      </c>
      <c r="L737" s="108">
        <f>1-X737</f>
        <v/>
      </c>
      <c r="M737" s="108">
        <f>1-Y737</f>
        <v/>
      </c>
      <c r="N737" s="108">
        <f>1-Z737</f>
        <v/>
      </c>
      <c r="O737" s="108">
        <f>1-AA737</f>
        <v/>
      </c>
      <c r="P737" s="108">
        <f>1-AB737</f>
        <v/>
      </c>
      <c r="Q737" s="108" t="n"/>
      <c r="R737" s="108" t="n"/>
      <c r="S737" s="108">
        <f>1-AE737</f>
        <v/>
      </c>
      <c r="T737" s="108">
        <f>1-AF737</f>
        <v/>
      </c>
      <c r="U737" s="108">
        <f>1-AG737</f>
        <v/>
      </c>
      <c r="V737" s="108">
        <f>1-AH737</f>
        <v/>
      </c>
      <c r="W737" s="108">
        <f>1-AI737</f>
        <v/>
      </c>
      <c r="X737" s="108">
        <f>ABS(AJ737-AJ$1)</f>
        <v/>
      </c>
      <c r="Y737" s="108">
        <f>AVERAGE(Z737:AB737)</f>
        <v/>
      </c>
      <c r="Z737" s="108">
        <f>ABS(AL737-AL$1)</f>
        <v/>
      </c>
      <c r="AA737" s="108">
        <f>ABS(AM737-AM$1)</f>
        <v/>
      </c>
      <c r="AB737" s="108">
        <f>ABS(AN737-AN$1)</f>
        <v/>
      </c>
      <c r="AC737" s="108" t="n"/>
      <c r="AD737" s="108" t="n"/>
      <c r="AE737" s="108">
        <f>ABS(AQ$1-AQ737)</f>
        <v/>
      </c>
      <c r="AF737" s="108">
        <f>ABS(AR$1-AR737)</f>
        <v/>
      </c>
      <c r="AG737" s="108">
        <f>ABS(AS$1-AS737)</f>
        <v/>
      </c>
      <c r="AH737" s="108">
        <f>ABS(AT$1-AT737)</f>
        <v/>
      </c>
      <c r="AI737" s="108">
        <f>ABS(AU$1-AU737)</f>
        <v/>
      </c>
      <c r="AJ737" s="108">
        <f>(AV737-Driver!$K$179)/(Driver!$L$179-Driver!$K$179)</f>
        <v/>
      </c>
      <c r="AK737" s="108">
        <f>(AW737-Driver!$K$180)/(Driver!$L$180-Driver!$K$180)</f>
        <v/>
      </c>
      <c r="AL737" s="108">
        <f>(AX737-Driver!$K$181)/(Driver!$L$181-Driver!$K$181)</f>
        <v/>
      </c>
      <c r="AM737" s="108">
        <f>(AY737-Driver!$K$182)/(Driver!$L$182-Driver!$K$182)</f>
        <v/>
      </c>
      <c r="AN737" s="108">
        <f>(AZ737-Driver!$K$183)/(Driver!$L$183-Driver!$K$183)</f>
        <v/>
      </c>
      <c r="AO737" s="108" t="n"/>
      <c r="AP737" s="108" t="n"/>
      <c r="AQ737" s="108">
        <f>(BC737-Driver!$K$188)/(Driver!$L$188-Driver!$K$188)</f>
        <v/>
      </c>
      <c r="AR737" s="108">
        <f>MIN((BD737-Driver!$K$189)/(Driver!$L$189-Driver!$K$189),100%)</f>
        <v/>
      </c>
      <c r="AS737" s="108">
        <f>(BE737-Driver!$K$190)/(Driver!$L$190-Driver!$K$190)</f>
        <v/>
      </c>
      <c r="AT737" s="108">
        <f>(BF737-Driver!$K$191)/(Driver!$L$191-Driver!$K$191)</f>
        <v/>
      </c>
      <c r="AU737" s="108">
        <f>(BG737-Driver!$K$192)/(Driver!$L$192-Driver!$K$192)</f>
        <v/>
      </c>
      <c r="AV737" s="105">
        <f>IFERROR(BM737*BJ737^1/4,"")</f>
        <v/>
      </c>
      <c r="AW737" s="105">
        <f>IFERROR(SUM(AX737:AZ737),"")</f>
        <v/>
      </c>
      <c r="AX737" s="105">
        <f>IFERROR(BH737,"")</f>
        <v/>
      </c>
      <c r="AY737" s="105">
        <f>IFERROR(Driver!$K$19/Data!BH737/Data!BI737*Data!BK737*Data!BL737,"")</f>
        <v/>
      </c>
      <c r="AZ737" s="105">
        <f>IFERROR(BI737*BN737,"")</f>
        <v/>
      </c>
      <c r="BA737" s="105" t="n"/>
      <c r="BB737" s="105" t="n"/>
      <c r="BC737" s="105">
        <f>IFERROR(BI737*BN737*BK737/BJ737^(1/2),"")</f>
        <v/>
      </c>
      <c r="BD737" s="105">
        <f>IFERROR(BH737*BM737*BL737/BJ737/BK737,"")</f>
        <v/>
      </c>
      <c r="BE737" s="105">
        <f>IFERROR(MIN(BI737/BQ737/BP737/BO737/BH737,$BE$1),"")</f>
        <v/>
      </c>
      <c r="BF737" s="105">
        <f>IFERROR(BJ737*BO737*BP737/BK737,"")</f>
        <v/>
      </c>
      <c r="BG737" s="105">
        <f>IFERROR(1/BM737/BH737*BQ737,"")</f>
        <v/>
      </c>
      <c r="BH737" s="102">
        <f>MAX((CE737-Driver!$F$200)/(Driver!$G$200-Driver!$F$200)*$BI$1,1)</f>
        <v/>
      </c>
      <c r="BI737" s="102">
        <f>MAX($BI$1*(BY737-Driver!$F$201)/(Driver!$G$201-Driver!$F$201),1)</f>
        <v/>
      </c>
      <c r="BJ737" s="102">
        <f>(CB737-Driver!$F$206)/(Driver!$G$206-Driver!$F$206)*$BI$1</f>
        <v/>
      </c>
      <c r="BK737" s="102">
        <f>(CD737-Driver!$F$203)/(Driver!$G$203-Driver!$F$203)*$BI$1</f>
        <v/>
      </c>
      <c r="BL737" s="102">
        <f>MAX((CR737-Driver!$F$202)/(Driver!$G$202-Driver!$F$202)*$BI$1,1)</f>
        <v/>
      </c>
      <c r="BM737" s="102">
        <f>MAX((CH737-Driver!$F$204)/(Driver!$G$204-Driver!$F$204)*$BI$1,1)</f>
        <v/>
      </c>
      <c r="BN737" s="102">
        <f>(CI737-Driver!$F$205)/(Driver!$G$205-Driver!$F$205)*$BI$1</f>
        <v/>
      </c>
      <c r="BO737" s="102">
        <f>(CK737-Driver!$F$207)/(Driver!$G$207-Driver!$F$207)*$BI$1</f>
        <v/>
      </c>
      <c r="BP737" s="102">
        <f>(CM737-Driver!$F$208)/(Driver!$G$208-Driver!$F$208)*$BI$1</f>
        <v/>
      </c>
      <c r="BQ737" s="102">
        <f>(CL737-Driver!$F$209)/(Driver!$G$209-Driver!$F$209)*$BI$1</f>
        <v/>
      </c>
      <c r="BR737" s="40" t="inlineStr">
        <is>
          <t>21/22</t>
        </is>
      </c>
      <c r="BS737" s="10" t="inlineStr">
        <is>
          <t xml:space="preserve"> Head</t>
        </is>
      </c>
      <c r="BT737" s="11" t="inlineStr">
        <is>
          <t xml:space="preserve"> Power Joy</t>
        </is>
      </c>
      <c r="BU737" s="13" t="n">
        <v>158</v>
      </c>
      <c r="BV737" s="11" t="inlineStr">
        <is>
          <t xml:space="preserve"> Women's</t>
        </is>
      </c>
      <c r="BW737" s="13" t="n">
        <v>158</v>
      </c>
      <c r="BX737" s="13" t="n">
        <v>157.5</v>
      </c>
      <c r="BY737" s="13" t="n">
        <v>136</v>
      </c>
      <c r="BZ737" s="13" t="n">
        <v>142</v>
      </c>
      <c r="CA737" s="13" t="n">
        <v>121</v>
      </c>
      <c r="CB737" s="13" t="n">
        <v>67</v>
      </c>
      <c r="CC737" s="13" t="n">
        <v>101</v>
      </c>
      <c r="CD737" s="13" t="n">
        <v>11.8</v>
      </c>
      <c r="CE737" s="13" t="n">
        <v>1757</v>
      </c>
      <c r="CF737" s="13" t="n">
        <v>0.75</v>
      </c>
      <c r="CG737" s="13" t="n">
        <v>1310</v>
      </c>
      <c r="CH737" s="13" t="n">
        <v>138</v>
      </c>
      <c r="CI737" s="13" t="n">
        <v>76</v>
      </c>
      <c r="CJ737" s="13" t="n">
        <v>39</v>
      </c>
      <c r="CK737" s="13" t="n">
        <v>137</v>
      </c>
      <c r="CL737" s="13" t="n">
        <v>12</v>
      </c>
      <c r="CM737" s="13" t="n">
        <v>78</v>
      </c>
      <c r="CN737" s="13" t="n">
        <v>0.311</v>
      </c>
      <c r="CO737" s="13" t="n">
        <v>93</v>
      </c>
      <c r="CP737" s="13" t="n">
        <v>60</v>
      </c>
      <c r="CQ737" s="13" t="n">
        <v>45</v>
      </c>
      <c r="CR737" s="13" t="n">
        <v>9</v>
      </c>
      <c r="CS737" s="13" t="n">
        <v>9.199999999999999</v>
      </c>
      <c r="CT737" s="11" t="inlineStr">
        <is>
          <t xml:space="preserve"> On-Piste Carving</t>
        </is>
      </c>
      <c r="CU737" s="13" t="n"/>
      <c r="CV737" s="13" t="n"/>
      <c r="CW737" s="13" t="n"/>
      <c r="CX737">
        <f>INDEX('Data_Price '!AG$2:AG$1266,MATCH(Data!$DN737,'Data_Price '!$AT$2:$AT$1266,0))</f>
        <v/>
      </c>
      <c r="CY737">
        <f>INDEX('Data_Price '!AH$2:AH$1266,MATCH(Data!$DN737,'Data_Price '!$AT$2:$AT$1266,0))</f>
        <v/>
      </c>
      <c r="CZ737">
        <f>INDEX('Data_Price '!AI$2:AI$1266,MATCH(Data!$DN737,'Data_Price '!$AT$2:$AT$1266,0))</f>
        <v/>
      </c>
      <c r="DA737">
        <f>INDEX('Data_Price '!AJ$2:AJ$1266,MATCH(Data!$DN737,'Data_Price '!$AT$2:$AT$1266,0))</f>
        <v/>
      </c>
      <c r="DB737">
        <f>INDEX('Data_Price '!AK$2:AK$1266,MATCH(Data!$DN737,'Data_Price '!$AT$2:$AT$1266,0))</f>
        <v/>
      </c>
      <c r="DC737">
        <f>INDEX('Data_Price '!AL$2:AL$1266,MATCH(Data!$DN737,'Data_Price '!$AT$2:$AT$1266,0))</f>
        <v/>
      </c>
      <c r="DD737">
        <f>INDEX('Data_Price '!AM$2:AM$1266,MATCH(Data!$DN737,'Data_Price '!$AT$2:$AT$1266,0))</f>
        <v/>
      </c>
      <c r="DE737">
        <f>INDEX('Data_Price '!AN$2:AN$1266,MATCH(Data!$DN737,'Data_Price '!$AT$2:$AT$1266,0))</f>
        <v/>
      </c>
      <c r="DF737">
        <f>INDEX('Data_Price '!AO$2:AO$1266,MATCH(Data!$DN737,'Data_Price '!$AT$2:$AT$1266,0))</f>
        <v/>
      </c>
      <c r="DG737">
        <f>INDEX('Data_Price '!AP$2:AP$1266,MATCH(Data!$DN737,'Data_Price '!$AT$2:$AT$1266,0))</f>
        <v/>
      </c>
      <c r="DH737">
        <f>INDEX('Data_Price '!AQ$2:AQ$1266,MATCH(Data!$DN737,'Data_Price '!$AT$2:$AT$1266,0))</f>
        <v/>
      </c>
      <c r="DI737">
        <f>INDEX('Data_Price '!AR$2:AR$1266,MATCH(Data!$DN737,'Data_Price '!$AT$2:$AT$1266,0))</f>
        <v/>
      </c>
      <c r="DJ737" s="138">
        <f>DA737</f>
        <v/>
      </c>
      <c r="DK737" s="138">
        <f>DE737</f>
        <v/>
      </c>
      <c r="DL737" s="138">
        <f>DI737</f>
        <v/>
      </c>
      <c r="DM737" s="303">
        <f>IF(LEFT(BT737,1)=" ",RIGHT(BT737,LEN(BT737)-1),BT737)</f>
        <v/>
      </c>
      <c r="DN737" s="138">
        <f>_xlfn.CONCAT(BS737,DM737,BU737,BV737)</f>
        <v/>
      </c>
      <c r="DO737" s="307" t="n"/>
    </row>
    <row r="738" ht="15.6" customHeight="1" s="184">
      <c r="B738" s="303">
        <f t="array" ref="B738">IF(OR(ISERROR(K738:P738)),FALSE,TRUE)</f>
        <v/>
      </c>
      <c r="C738" s="60">
        <f>OR(BR738=Driver!$G$50,Data!BR518=Driver!$H$50)</f>
        <v/>
      </c>
      <c r="D738" s="60">
        <f>OR(BV738=Driver!$G$51,BV738=Driver!$H$51)</f>
        <v/>
      </c>
      <c r="E738" s="60">
        <f>AND(BX738&gt;Driver!$F$54,BX738&lt;Driver!$G$54)</f>
        <v/>
      </c>
      <c r="F738" s="60">
        <f>CL738&gt;Driver!$F$56</f>
        <v/>
      </c>
      <c r="G738" s="60">
        <f>AND(CB738&gt;Driver!$F$55,CB738&lt;Driver!$G$55)</f>
        <v/>
      </c>
      <c r="H738" s="60">
        <f>AND(B738:G738)</f>
        <v/>
      </c>
      <c r="I738" s="60">
        <f>COUNTIFS($H$9:$H$1273,TRUE,$BT$9:$BT$1273,BT738)</f>
        <v/>
      </c>
      <c r="J738" s="60">
        <f t="array" ref="J738">NOT(OR(($H$9:$H$1273=TRUE)*($I$9:$I$1273&gt;0)*($BT$9:$BT$1273=BT738)*($K$9:$K$1273&gt;K738)))</f>
        <v/>
      </c>
      <c r="K738" s="108">
        <f>IFERROR(1-AVERAGE(X738:Y738),"")</f>
        <v/>
      </c>
      <c r="L738" s="108">
        <f>1-X738</f>
        <v/>
      </c>
      <c r="M738" s="108">
        <f>1-Y738</f>
        <v/>
      </c>
      <c r="N738" s="108">
        <f>1-Z738</f>
        <v/>
      </c>
      <c r="O738" s="108">
        <f>1-AA738</f>
        <v/>
      </c>
      <c r="P738" s="108">
        <f>1-AB738</f>
        <v/>
      </c>
      <c r="Q738" s="108" t="n"/>
      <c r="R738" s="108" t="n"/>
      <c r="S738" s="108">
        <f>1-AE738</f>
        <v/>
      </c>
      <c r="T738" s="108">
        <f>1-AF738</f>
        <v/>
      </c>
      <c r="U738" s="108">
        <f>1-AG738</f>
        <v/>
      </c>
      <c r="V738" s="108">
        <f>1-AH738</f>
        <v/>
      </c>
      <c r="W738" s="108">
        <f>1-AI738</f>
        <v/>
      </c>
      <c r="X738" s="108">
        <f>ABS(AJ738-AJ$1)</f>
        <v/>
      </c>
      <c r="Y738" s="108">
        <f>AVERAGE(Z738:AB738)</f>
        <v/>
      </c>
      <c r="Z738" s="108">
        <f>ABS(AL738-AL$1)</f>
        <v/>
      </c>
      <c r="AA738" s="108">
        <f>ABS(AM738-AM$1)</f>
        <v/>
      </c>
      <c r="AB738" s="108">
        <f>ABS(AN738-AN$1)</f>
        <v/>
      </c>
      <c r="AC738" s="108" t="n"/>
      <c r="AD738" s="108" t="n"/>
      <c r="AE738" s="108">
        <f>ABS(AQ$1-AQ738)</f>
        <v/>
      </c>
      <c r="AF738" s="108">
        <f>ABS(AR$1-AR738)</f>
        <v/>
      </c>
      <c r="AG738" s="108">
        <f>ABS(AS$1-AS738)</f>
        <v/>
      </c>
      <c r="AH738" s="108">
        <f>ABS(AT$1-AT738)</f>
        <v/>
      </c>
      <c r="AI738" s="108">
        <f>ABS(AU$1-AU738)</f>
        <v/>
      </c>
      <c r="AJ738" s="108">
        <f>(AV738-Driver!$K$179)/(Driver!$L$179-Driver!$K$179)</f>
        <v/>
      </c>
      <c r="AK738" s="108">
        <f>(AW738-Driver!$K$180)/(Driver!$L$180-Driver!$K$180)</f>
        <v/>
      </c>
      <c r="AL738" s="108">
        <f>(AX738-Driver!$K$181)/(Driver!$L$181-Driver!$K$181)</f>
        <v/>
      </c>
      <c r="AM738" s="108">
        <f>(AY738-Driver!$K$182)/(Driver!$L$182-Driver!$K$182)</f>
        <v/>
      </c>
      <c r="AN738" s="108">
        <f>(AZ738-Driver!$K$183)/(Driver!$L$183-Driver!$K$183)</f>
        <v/>
      </c>
      <c r="AO738" s="108" t="n"/>
      <c r="AP738" s="108" t="n"/>
      <c r="AQ738" s="108">
        <f>(BC738-Driver!$K$188)/(Driver!$L$188-Driver!$K$188)</f>
        <v/>
      </c>
      <c r="AR738" s="108">
        <f>MIN((BD738-Driver!$K$189)/(Driver!$L$189-Driver!$K$189),100%)</f>
        <v/>
      </c>
      <c r="AS738" s="108">
        <f>(BE738-Driver!$K$190)/(Driver!$L$190-Driver!$K$190)</f>
        <v/>
      </c>
      <c r="AT738" s="108">
        <f>(BF738-Driver!$K$191)/(Driver!$L$191-Driver!$K$191)</f>
        <v/>
      </c>
      <c r="AU738" s="108">
        <f>(BG738-Driver!$K$192)/(Driver!$L$192-Driver!$K$192)</f>
        <v/>
      </c>
      <c r="AV738" s="105">
        <f>IFERROR(BM738*BJ738^1/4,"")</f>
        <v/>
      </c>
      <c r="AW738" s="105">
        <f>IFERROR(SUM(AX738:AZ738),"")</f>
        <v/>
      </c>
      <c r="AX738" s="105">
        <f>IFERROR(BH738,"")</f>
        <v/>
      </c>
      <c r="AY738" s="105">
        <f>IFERROR(Driver!$K$19/Data!BH738/Data!BI738*Data!BK738*Data!BL738,"")</f>
        <v/>
      </c>
      <c r="AZ738" s="105">
        <f>IFERROR(BI738*BN738,"")</f>
        <v/>
      </c>
      <c r="BA738" s="105" t="n"/>
      <c r="BB738" s="105" t="n"/>
      <c r="BC738" s="105">
        <f>IFERROR(BI738*BN738*BK738/BJ738^(1/2),"")</f>
        <v/>
      </c>
      <c r="BD738" s="105">
        <f>IFERROR(BH738*BM738*BL738/BJ738/BK738,"")</f>
        <v/>
      </c>
      <c r="BE738" s="105">
        <f>IFERROR(MIN(BI738/BQ738/BP738/BO738/BH738,$BE$1),"")</f>
        <v/>
      </c>
      <c r="BF738" s="105">
        <f>IFERROR(BJ738*BO738*BP738/BK738,"")</f>
        <v/>
      </c>
      <c r="BG738" s="105">
        <f>IFERROR(1/BM738/BH738*BQ738,"")</f>
        <v/>
      </c>
      <c r="BH738" s="102">
        <f>MAX((CE738-Driver!$F$200)/(Driver!$G$200-Driver!$F$200)*$BI$1,1)</f>
        <v/>
      </c>
      <c r="BI738" s="102">
        <f>MAX($BI$1*(BY738-Driver!$F$201)/(Driver!$G$201-Driver!$F$201),1)</f>
        <v/>
      </c>
      <c r="BJ738" s="102">
        <f>(CB738-Driver!$F$206)/(Driver!$G$206-Driver!$F$206)*$BI$1</f>
        <v/>
      </c>
      <c r="BK738" s="102">
        <f>(CD738-Driver!$F$203)/(Driver!$G$203-Driver!$F$203)*$BI$1</f>
        <v/>
      </c>
      <c r="BL738" s="102">
        <f>MAX((CR738-Driver!$F$202)/(Driver!$G$202-Driver!$F$202)*$BI$1,1)</f>
        <v/>
      </c>
      <c r="BM738" s="102">
        <f>MAX((CH738-Driver!$F$204)/(Driver!$G$204-Driver!$F$204)*$BI$1,1)</f>
        <v/>
      </c>
      <c r="BN738" s="102">
        <f>(CI738-Driver!$F$205)/(Driver!$G$205-Driver!$F$205)*$BI$1</f>
        <v/>
      </c>
      <c r="BO738" s="102">
        <f>(CK738-Driver!$F$207)/(Driver!$G$207-Driver!$F$207)*$BI$1</f>
        <v/>
      </c>
      <c r="BP738" s="102">
        <f>(CM738-Driver!$F$208)/(Driver!$G$208-Driver!$F$208)*$BI$1</f>
        <v/>
      </c>
      <c r="BQ738" s="102">
        <f>(CL738-Driver!$F$209)/(Driver!$G$209-Driver!$F$209)*$BI$1</f>
        <v/>
      </c>
      <c r="BR738" s="40" t="inlineStr">
        <is>
          <t>21/22</t>
        </is>
      </c>
      <c r="BS738" s="10" t="inlineStr">
        <is>
          <t xml:space="preserve"> Faction</t>
        </is>
      </c>
      <c r="BT738" s="11" t="inlineStr">
        <is>
          <t>Dictator FG 1.0</t>
        </is>
      </c>
      <c r="BU738" s="13" t="n">
        <v>162</v>
      </c>
      <c r="BV738" s="11" t="inlineStr">
        <is>
          <t xml:space="preserve"> Unisex</t>
        </is>
      </c>
      <c r="BW738" s="13" t="n">
        <v>162</v>
      </c>
      <c r="BX738" s="13" t="n">
        <v>160.4</v>
      </c>
      <c r="BY738" s="13" t="n">
        <v>125</v>
      </c>
      <c r="BZ738" s="13" t="n">
        <v>136</v>
      </c>
      <c r="CA738" s="13" t="n">
        <v>119</v>
      </c>
      <c r="CB738" s="13" t="n">
        <v>85</v>
      </c>
      <c r="CC738" s="13" t="n">
        <v>109</v>
      </c>
      <c r="CD738" s="13" t="n">
        <v>14.9</v>
      </c>
      <c r="CE738" s="13" t="n">
        <v>1438</v>
      </c>
      <c r="CF738" s="13" t="n">
        <v>1.08</v>
      </c>
      <c r="CG738" s="13" t="n">
        <v>1548</v>
      </c>
      <c r="CH738" s="13" t="n">
        <v>156</v>
      </c>
      <c r="CI738" s="13" t="n">
        <v>73</v>
      </c>
      <c r="CJ738" s="13" t="n">
        <v>52</v>
      </c>
      <c r="CK738" s="13" t="n">
        <v>219</v>
      </c>
      <c r="CL738" s="13" t="n">
        <v>18</v>
      </c>
      <c r="CM738" s="13" t="n">
        <v>137</v>
      </c>
      <c r="CN738" s="13" t="n">
        <v>0.337</v>
      </c>
      <c r="CO738" s="13" t="n">
        <v>152</v>
      </c>
      <c r="CP738" s="13" t="n">
        <v>96</v>
      </c>
      <c r="CQ738" s="13" t="n">
        <v>67</v>
      </c>
      <c r="CR738" s="13" t="n">
        <v>9</v>
      </c>
      <c r="CS738" s="13" t="n">
        <v>9.5</v>
      </c>
      <c r="CT738" s="11" t="inlineStr">
        <is>
          <t xml:space="preserve"> On-Piste All-Mountain</t>
        </is>
      </c>
      <c r="CU738" s="11" t="inlineStr">
        <is>
          <t xml:space="preserve"> Resort Freeride</t>
        </is>
      </c>
      <c r="CV738" s="11" t="inlineStr">
        <is>
          <t xml:space="preserve"> Touring</t>
        </is>
      </c>
      <c r="CW738" s="13" t="n"/>
      <c r="CX738">
        <f>INDEX('Data_Price '!AG$2:AG$1266,MATCH(Data!$DN738,'Data_Price '!$AT$2:$AT$1266,0))</f>
        <v/>
      </c>
      <c r="CY738">
        <f>INDEX('Data_Price '!AH$2:AH$1266,MATCH(Data!$DN738,'Data_Price '!$AT$2:$AT$1266,0))</f>
        <v/>
      </c>
      <c r="CZ738">
        <f>INDEX('Data_Price '!AI$2:AI$1266,MATCH(Data!$DN738,'Data_Price '!$AT$2:$AT$1266,0))</f>
        <v/>
      </c>
      <c r="DA738">
        <f>INDEX('Data_Price '!AJ$2:AJ$1266,MATCH(Data!$DN738,'Data_Price '!$AT$2:$AT$1266,0))</f>
        <v/>
      </c>
      <c r="DB738">
        <f>INDEX('Data_Price '!AK$2:AK$1266,MATCH(Data!$DN738,'Data_Price '!$AT$2:$AT$1266,0))</f>
        <v/>
      </c>
      <c r="DC738">
        <f>INDEX('Data_Price '!AL$2:AL$1266,MATCH(Data!$DN738,'Data_Price '!$AT$2:$AT$1266,0))</f>
        <v/>
      </c>
      <c r="DD738">
        <f>INDEX('Data_Price '!AM$2:AM$1266,MATCH(Data!$DN738,'Data_Price '!$AT$2:$AT$1266,0))</f>
        <v/>
      </c>
      <c r="DE738">
        <f>INDEX('Data_Price '!AN$2:AN$1266,MATCH(Data!$DN738,'Data_Price '!$AT$2:$AT$1266,0))</f>
        <v/>
      </c>
      <c r="DF738">
        <f>INDEX('Data_Price '!AO$2:AO$1266,MATCH(Data!$DN738,'Data_Price '!$AT$2:$AT$1266,0))</f>
        <v/>
      </c>
      <c r="DG738">
        <f>INDEX('Data_Price '!AP$2:AP$1266,MATCH(Data!$DN738,'Data_Price '!$AT$2:$AT$1266,0))</f>
        <v/>
      </c>
      <c r="DH738">
        <f>INDEX('Data_Price '!AQ$2:AQ$1266,MATCH(Data!$DN738,'Data_Price '!$AT$2:$AT$1266,0))</f>
        <v/>
      </c>
      <c r="DI738">
        <f>INDEX('Data_Price '!AR$2:AR$1266,MATCH(Data!$DN738,'Data_Price '!$AT$2:$AT$1266,0))</f>
        <v/>
      </c>
      <c r="DJ738" s="138">
        <f>DA738</f>
        <v/>
      </c>
      <c r="DK738" s="138">
        <f>DE738</f>
        <v/>
      </c>
      <c r="DL738" s="138">
        <f>DI738</f>
        <v/>
      </c>
      <c r="DM738" s="303">
        <f>IF(LEFT(BT738,1)=" ",RIGHT(BT738,LEN(BT738)-1),BT738)</f>
        <v/>
      </c>
      <c r="DN738" s="138">
        <f>_xlfn.CONCAT(BS738,DM738,BU738,BV738)</f>
        <v/>
      </c>
      <c r="DO738" s="307" t="n"/>
    </row>
    <row r="739" ht="15.6" customHeight="1" s="184">
      <c r="B739" s="303">
        <f t="array" ref="B739">IF(OR(ISERROR(K739:P739)),FALSE,TRUE)</f>
        <v/>
      </c>
      <c r="C739" s="60">
        <f>OR(BR739=Driver!$G$50,Data!BR1116=Driver!$H$50)</f>
        <v/>
      </c>
      <c r="D739" s="60">
        <f>OR(BV739=Driver!$G$51,BV739=Driver!$H$51)</f>
        <v/>
      </c>
      <c r="E739" s="60">
        <f>AND(BX739&gt;Driver!$F$54,BX739&lt;Driver!$G$54)</f>
        <v/>
      </c>
      <c r="F739" s="60">
        <f>CL739&gt;Driver!$F$56</f>
        <v/>
      </c>
      <c r="G739" s="60">
        <f>AND(CB739&gt;Driver!$F$55,CB739&lt;Driver!$G$55)</f>
        <v/>
      </c>
      <c r="H739" s="60">
        <f>AND(B739:G739)</f>
        <v/>
      </c>
      <c r="I739" s="60">
        <f>COUNTIFS($H$9:$H$1273,TRUE,$BT$9:$BT$1273,BT739)</f>
        <v/>
      </c>
      <c r="J739" s="60">
        <f t="array" ref="J739">NOT(OR(($H$9:$H$1273=TRUE)*($I$9:$I$1273&gt;0)*($BT$9:$BT$1273=BT739)*($K$9:$K$1273&gt;K739)))</f>
        <v/>
      </c>
      <c r="K739" s="108">
        <f>IFERROR(1-AVERAGE(X739:Y739),"")</f>
        <v/>
      </c>
      <c r="L739" s="108">
        <f>1-X739</f>
        <v/>
      </c>
      <c r="M739" s="108">
        <f>1-Y739</f>
        <v/>
      </c>
      <c r="N739" s="108">
        <f>1-Z739</f>
        <v/>
      </c>
      <c r="O739" s="108">
        <f>1-AA739</f>
        <v/>
      </c>
      <c r="P739" s="108">
        <f>1-AB739</f>
        <v/>
      </c>
      <c r="Q739" s="108" t="n"/>
      <c r="R739" s="108" t="n"/>
      <c r="S739" s="108">
        <f>1-AE739</f>
        <v/>
      </c>
      <c r="T739" s="108">
        <f>1-AF739</f>
        <v/>
      </c>
      <c r="U739" s="108">
        <f>1-AG739</f>
        <v/>
      </c>
      <c r="V739" s="108">
        <f>1-AH739</f>
        <v/>
      </c>
      <c r="W739" s="108">
        <f>1-AI739</f>
        <v/>
      </c>
      <c r="X739" s="108">
        <f>ABS(AJ739-AJ$1)</f>
        <v/>
      </c>
      <c r="Y739" s="108">
        <f>AVERAGE(Z739:AB739)</f>
        <v/>
      </c>
      <c r="Z739" s="108">
        <f>ABS(AL739-AL$1)</f>
        <v/>
      </c>
      <c r="AA739" s="108">
        <f>ABS(AM739-AM$1)</f>
        <v/>
      </c>
      <c r="AB739" s="108">
        <f>ABS(AN739-AN$1)</f>
        <v/>
      </c>
      <c r="AC739" s="108" t="n"/>
      <c r="AD739" s="108" t="n"/>
      <c r="AE739" s="108">
        <f>ABS(AQ$1-AQ739)</f>
        <v/>
      </c>
      <c r="AF739" s="108">
        <f>ABS(AR$1-AR739)</f>
        <v/>
      </c>
      <c r="AG739" s="108">
        <f>ABS(AS$1-AS739)</f>
        <v/>
      </c>
      <c r="AH739" s="108">
        <f>ABS(AT$1-AT739)</f>
        <v/>
      </c>
      <c r="AI739" s="108">
        <f>ABS(AU$1-AU739)</f>
        <v/>
      </c>
      <c r="AJ739" s="108">
        <f>(AV739-Driver!$K$179)/(Driver!$L$179-Driver!$K$179)</f>
        <v/>
      </c>
      <c r="AK739" s="108">
        <f>(AW739-Driver!$K$180)/(Driver!$L$180-Driver!$K$180)</f>
        <v/>
      </c>
      <c r="AL739" s="108">
        <f>(AX739-Driver!$K$181)/(Driver!$L$181-Driver!$K$181)</f>
        <v/>
      </c>
      <c r="AM739" s="108">
        <f>(AY739-Driver!$K$182)/(Driver!$L$182-Driver!$K$182)</f>
        <v/>
      </c>
      <c r="AN739" s="108">
        <f>(AZ739-Driver!$K$183)/(Driver!$L$183-Driver!$K$183)</f>
        <v/>
      </c>
      <c r="AO739" s="108" t="n"/>
      <c r="AP739" s="108" t="n"/>
      <c r="AQ739" s="108">
        <f>(BC739-Driver!$K$188)/(Driver!$L$188-Driver!$K$188)</f>
        <v/>
      </c>
      <c r="AR739" s="108">
        <f>MIN((BD739-Driver!$K$189)/(Driver!$L$189-Driver!$K$189),100%)</f>
        <v/>
      </c>
      <c r="AS739" s="108">
        <f>(BE739-Driver!$K$190)/(Driver!$L$190-Driver!$K$190)</f>
        <v/>
      </c>
      <c r="AT739" s="108">
        <f>(BF739-Driver!$K$191)/(Driver!$L$191-Driver!$K$191)</f>
        <v/>
      </c>
      <c r="AU739" s="108">
        <f>(BG739-Driver!$K$192)/(Driver!$L$192-Driver!$K$192)</f>
        <v/>
      </c>
      <c r="AV739" s="105">
        <f>IFERROR(BM739*BJ739^1/4,"")</f>
        <v/>
      </c>
      <c r="AW739" s="105">
        <f>IFERROR(SUM(AX739:AZ739),"")</f>
        <v/>
      </c>
      <c r="AX739" s="105">
        <f>IFERROR(BH739,"")</f>
        <v/>
      </c>
      <c r="AY739" s="105">
        <f>IFERROR(Driver!$K$19/Data!BH739/Data!BI739*Data!BK739*Data!BL739,"")</f>
        <v/>
      </c>
      <c r="AZ739" s="105">
        <f>IFERROR(BI739*BN739,"")</f>
        <v/>
      </c>
      <c r="BA739" s="105" t="n"/>
      <c r="BB739" s="105" t="n"/>
      <c r="BC739" s="105">
        <f>IFERROR(BI739*BN739*BK739/BJ739^(1/2),"")</f>
        <v/>
      </c>
      <c r="BD739" s="105">
        <f>IFERROR(BH739*BM739*BL739/BJ739/BK739,"")</f>
        <v/>
      </c>
      <c r="BE739" s="105">
        <f>IFERROR(MIN(BI739/BQ739/BP739/BO739/BH739,$BE$1),"")</f>
        <v/>
      </c>
      <c r="BF739" s="105">
        <f>IFERROR(BJ739*BO739*BP739/BK739,"")</f>
        <v/>
      </c>
      <c r="BG739" s="105">
        <f>IFERROR(1/BM739/BH739*BQ739,"")</f>
        <v/>
      </c>
      <c r="BH739" s="102">
        <f>MAX((CE739-Driver!$F$200)/(Driver!$G$200-Driver!$F$200)*$BI$1,1)</f>
        <v/>
      </c>
      <c r="BI739" s="102">
        <f>MAX($BI$1*(BY739-Driver!$F$201)/(Driver!$G$201-Driver!$F$201),1)</f>
        <v/>
      </c>
      <c r="BJ739" s="102">
        <f>(CB739-Driver!$F$206)/(Driver!$G$206-Driver!$F$206)*$BI$1</f>
        <v/>
      </c>
      <c r="BK739" s="102">
        <f>(CD739-Driver!$F$203)/(Driver!$G$203-Driver!$F$203)*$BI$1</f>
        <v/>
      </c>
      <c r="BL739" s="102">
        <f>MAX((CR739-Driver!$F$202)/(Driver!$G$202-Driver!$F$202)*$BI$1,1)</f>
        <v/>
      </c>
      <c r="BM739" s="102">
        <f>MAX((CH739-Driver!$F$204)/(Driver!$G$204-Driver!$F$204)*$BI$1,1)</f>
        <v/>
      </c>
      <c r="BN739" s="102">
        <f>(CI739-Driver!$F$205)/(Driver!$G$205-Driver!$F$205)*$BI$1</f>
        <v/>
      </c>
      <c r="BO739" s="102">
        <f>(CK739-Driver!$F$207)/(Driver!$G$207-Driver!$F$207)*$BI$1</f>
        <v/>
      </c>
      <c r="BP739" s="102">
        <f>(CM739-Driver!$F$208)/(Driver!$G$208-Driver!$F$208)*$BI$1</f>
        <v/>
      </c>
      <c r="BQ739" s="102">
        <f>(CL739-Driver!$F$209)/(Driver!$G$209-Driver!$F$209)*$BI$1</f>
        <v/>
      </c>
      <c r="BR739" s="40" t="inlineStr">
        <is>
          <t>21/22</t>
        </is>
      </c>
      <c r="BS739" s="10" t="inlineStr">
        <is>
          <t xml:space="preserve"> Scott</t>
        </is>
      </c>
      <c r="BT739" s="11" t="inlineStr">
        <is>
          <t>Scrapper 95</t>
        </is>
      </c>
      <c r="BU739" s="13" t="n">
        <v>168</v>
      </c>
      <c r="BV739" s="11" t="inlineStr">
        <is>
          <t xml:space="preserve"> Unisex</t>
        </is>
      </c>
      <c r="BW739" s="13" t="n">
        <v>168</v>
      </c>
      <c r="BX739" s="13" t="n">
        <v>166.4</v>
      </c>
      <c r="BY739" s="13" t="n">
        <v>125</v>
      </c>
      <c r="BZ739" s="13" t="n">
        <v>149</v>
      </c>
      <c r="CA739" s="13" t="n">
        <v>129</v>
      </c>
      <c r="CB739" s="13" t="n">
        <v>93</v>
      </c>
      <c r="CC739" s="13" t="n">
        <v>117</v>
      </c>
      <c r="CD739" s="13" t="n">
        <v>19.7</v>
      </c>
      <c r="CE739" s="13" t="n">
        <v>1380</v>
      </c>
      <c r="CF739" s="13" t="n">
        <v>1.23</v>
      </c>
      <c r="CG739" s="13" t="n">
        <v>1698</v>
      </c>
      <c r="CH739" s="13" t="n">
        <v>166</v>
      </c>
      <c r="CI739" s="13" t="n">
        <v>74</v>
      </c>
      <c r="CJ739" s="13" t="n">
        <v>57</v>
      </c>
      <c r="CK739" s="13" t="n">
        <v>267</v>
      </c>
      <c r="CL739" s="13" t="n">
        <v>31</v>
      </c>
      <c r="CM739" s="13" t="n">
        <v>150</v>
      </c>
      <c r="CN739" s="13" t="n">
        <v>0.546</v>
      </c>
      <c r="CO739" s="13" t="n">
        <v>102</v>
      </c>
      <c r="CP739" s="13" t="n">
        <v>73</v>
      </c>
      <c r="CQ739" s="13" t="n">
        <v>165</v>
      </c>
      <c r="CR739" s="13" t="n">
        <v>6</v>
      </c>
      <c r="CS739" s="13" t="n">
        <v>9.1</v>
      </c>
      <c r="CT739" s="11" t="inlineStr">
        <is>
          <t xml:space="preserve"> Resort Freeride</t>
        </is>
      </c>
      <c r="CU739" s="11" t="inlineStr">
        <is>
          <t xml:space="preserve"> Touring</t>
        </is>
      </c>
      <c r="CV739" s="13" t="n"/>
      <c r="CW739" s="13" t="n"/>
      <c r="CX739">
        <f>INDEX('Data_Price '!AG$2:AG$1266,MATCH(Data!$DN739,'Data_Price '!$AT$2:$AT$1266,0))</f>
        <v/>
      </c>
      <c r="CY739">
        <f>INDEX('Data_Price '!AH$2:AH$1266,MATCH(Data!$DN739,'Data_Price '!$AT$2:$AT$1266,0))</f>
        <v/>
      </c>
      <c r="CZ739">
        <f>INDEX('Data_Price '!AI$2:AI$1266,MATCH(Data!$DN739,'Data_Price '!$AT$2:$AT$1266,0))</f>
        <v/>
      </c>
      <c r="DA739">
        <f>INDEX('Data_Price '!AJ$2:AJ$1266,MATCH(Data!$DN739,'Data_Price '!$AT$2:$AT$1266,0))</f>
        <v/>
      </c>
      <c r="DB739">
        <f>INDEX('Data_Price '!AK$2:AK$1266,MATCH(Data!$DN739,'Data_Price '!$AT$2:$AT$1266,0))</f>
        <v/>
      </c>
      <c r="DC739">
        <f>INDEX('Data_Price '!AL$2:AL$1266,MATCH(Data!$DN739,'Data_Price '!$AT$2:$AT$1266,0))</f>
        <v/>
      </c>
      <c r="DD739">
        <f>INDEX('Data_Price '!AM$2:AM$1266,MATCH(Data!$DN739,'Data_Price '!$AT$2:$AT$1266,0))</f>
        <v/>
      </c>
      <c r="DE739">
        <f>INDEX('Data_Price '!AN$2:AN$1266,MATCH(Data!$DN739,'Data_Price '!$AT$2:$AT$1266,0))</f>
        <v/>
      </c>
      <c r="DF739">
        <f>INDEX('Data_Price '!AO$2:AO$1266,MATCH(Data!$DN739,'Data_Price '!$AT$2:$AT$1266,0))</f>
        <v/>
      </c>
      <c r="DG739">
        <f>INDEX('Data_Price '!AP$2:AP$1266,MATCH(Data!$DN739,'Data_Price '!$AT$2:$AT$1266,0))</f>
        <v/>
      </c>
      <c r="DH739">
        <f>INDEX('Data_Price '!AQ$2:AQ$1266,MATCH(Data!$DN739,'Data_Price '!$AT$2:$AT$1266,0))</f>
        <v/>
      </c>
      <c r="DI739">
        <f>INDEX('Data_Price '!AR$2:AR$1266,MATCH(Data!$DN739,'Data_Price '!$AT$2:$AT$1266,0))</f>
        <v/>
      </c>
      <c r="DJ739" s="138">
        <f>DA739</f>
        <v/>
      </c>
      <c r="DK739" s="138">
        <f>DE739</f>
        <v/>
      </c>
      <c r="DL739" s="138">
        <f>DI739</f>
        <v/>
      </c>
      <c r="DM739" s="303">
        <f>IF(LEFT(BT739,1)=" ",RIGHT(BT739,LEN(BT739)-1),BT739)</f>
        <v/>
      </c>
      <c r="DN739" s="138">
        <f>_xlfn.CONCAT(BS739,DM739,BU739,BV739)</f>
        <v/>
      </c>
      <c r="DO739" s="307" t="inlineStr">
        <is>
          <t>https://images.evo.com/imgp/250/208932/848232/scott-scrapper-95-skis-2022-.jpg</t>
        </is>
      </c>
    </row>
    <row r="740" ht="15.6" customHeight="1" s="184">
      <c r="A740" s="303">
        <f>ROW()</f>
        <v/>
      </c>
      <c r="B740" s="303">
        <f t="array" ref="B740">IF(OR(ISERROR(K740:P740)),FALSE,TRUE)</f>
        <v/>
      </c>
      <c r="C740" s="60">
        <f>OR(BR740=Driver!$G$50,Data!BR761=Driver!$H$50)</f>
        <v/>
      </c>
      <c r="D740" s="60">
        <f>OR(BV740=Driver!$G$51,BV740=Driver!$H$51)</f>
        <v/>
      </c>
      <c r="E740" s="60">
        <f>AND(BX740&gt;Driver!$F$54,BX740&lt;Driver!$G$54)</f>
        <v/>
      </c>
      <c r="F740" s="60">
        <f>CL740&gt;Driver!$F$56</f>
        <v/>
      </c>
      <c r="G740" s="60">
        <f>AND(CB740&gt;Driver!$F$55,CB740&lt;Driver!$G$55)</f>
        <v/>
      </c>
      <c r="H740" s="60">
        <f>AND(B740:G740)</f>
        <v/>
      </c>
      <c r="I740" s="60">
        <f>COUNTIFS($H$9:$H$1273,TRUE,$BT$9:$BT$1273,BT740)</f>
        <v/>
      </c>
      <c r="J740" s="60">
        <f t="array" ref="J740">NOT(OR(($H$9:$H$1273=TRUE)*($I$9:$I$1273&gt;0)*($BT$9:$BT$1273=BT740)*($K$9:$K$1273&gt;K740)))</f>
        <v/>
      </c>
      <c r="K740" s="108">
        <f>IFERROR(1-AVERAGE(X740:Y740),"")</f>
        <v/>
      </c>
      <c r="L740" s="108">
        <f>1-X740</f>
        <v/>
      </c>
      <c r="M740" s="108">
        <f>1-Y740</f>
        <v/>
      </c>
      <c r="N740" s="108">
        <f>1-Z740</f>
        <v/>
      </c>
      <c r="O740" s="108">
        <f>1-AA740</f>
        <v/>
      </c>
      <c r="P740" s="108">
        <f>1-AB740</f>
        <v/>
      </c>
      <c r="Q740" s="108" t="n"/>
      <c r="R740" s="108" t="n"/>
      <c r="S740" s="108">
        <f>1-AE740</f>
        <v/>
      </c>
      <c r="T740" s="108">
        <f>1-AF740</f>
        <v/>
      </c>
      <c r="U740" s="108">
        <f>1-AG740</f>
        <v/>
      </c>
      <c r="V740" s="108">
        <f>1-AH740</f>
        <v/>
      </c>
      <c r="W740" s="108">
        <f>1-AI740</f>
        <v/>
      </c>
      <c r="X740" s="108">
        <f>ABS(AJ740-AJ$1)</f>
        <v/>
      </c>
      <c r="Y740" s="108">
        <f>AVERAGE(Z740:AB740)</f>
        <v/>
      </c>
      <c r="Z740" s="108">
        <f>ABS(AL740-AL$1)</f>
        <v/>
      </c>
      <c r="AA740" s="108">
        <f>ABS(AM740-AM$1)</f>
        <v/>
      </c>
      <c r="AB740" s="108">
        <f>ABS(AN740-AN$1)</f>
        <v/>
      </c>
      <c r="AC740" s="108" t="n"/>
      <c r="AD740" s="108" t="n"/>
      <c r="AE740" s="108">
        <f>ABS(AQ$1-AQ740)</f>
        <v/>
      </c>
      <c r="AF740" s="108">
        <f>ABS(AR$1-AR740)</f>
        <v/>
      </c>
      <c r="AG740" s="108">
        <f>ABS(AS$1-AS740)</f>
        <v/>
      </c>
      <c r="AH740" s="108">
        <f>ABS(AT$1-AT740)</f>
        <v/>
      </c>
      <c r="AI740" s="108">
        <f>ABS(AU$1-AU740)</f>
        <v/>
      </c>
      <c r="AJ740" s="108">
        <f>(AV740-Driver!$K$179)/(Driver!$L$179-Driver!$K$179)</f>
        <v/>
      </c>
      <c r="AK740" s="108">
        <f>(AW740-Driver!$K$180)/(Driver!$L$180-Driver!$K$180)</f>
        <v/>
      </c>
      <c r="AL740" s="108">
        <f>(AX740-Driver!$K$181)/(Driver!$L$181-Driver!$K$181)</f>
        <v/>
      </c>
      <c r="AM740" s="108">
        <f>(AY740-Driver!$K$182)/(Driver!$L$182-Driver!$K$182)</f>
        <v/>
      </c>
      <c r="AN740" s="108">
        <f>(AZ740-Driver!$K$183)/(Driver!$L$183-Driver!$K$183)</f>
        <v/>
      </c>
      <c r="AO740" s="108" t="n"/>
      <c r="AP740" s="108" t="n"/>
      <c r="AQ740" s="108">
        <f>(BC740-Driver!$K$188)/(Driver!$L$188-Driver!$K$188)</f>
        <v/>
      </c>
      <c r="AR740" s="108">
        <f>MIN((BD740-Driver!$K$189)/(Driver!$L$189-Driver!$K$189),100%)</f>
        <v/>
      </c>
      <c r="AS740" s="108">
        <f>(BE740-Driver!$K$190)/(Driver!$L$190-Driver!$K$190)</f>
        <v/>
      </c>
      <c r="AT740" s="108">
        <f>(BF740-Driver!$K$191)/(Driver!$L$191-Driver!$K$191)</f>
        <v/>
      </c>
      <c r="AU740" s="108">
        <f>(BG740-Driver!$K$192)/(Driver!$L$192-Driver!$K$192)</f>
        <v/>
      </c>
      <c r="AV740" s="105">
        <f>IFERROR(BM740*BJ740^1/4,"")</f>
        <v/>
      </c>
      <c r="AW740" s="105">
        <f>IFERROR(SUM(AX740:AZ740),"")</f>
        <v/>
      </c>
      <c r="AX740" s="105">
        <f>IFERROR(BH740,"")</f>
        <v/>
      </c>
      <c r="AY740" s="105">
        <f>IFERROR(Driver!$K$19/Data!BH740/Data!BI740*Data!BK740*Data!BL740,"")</f>
        <v/>
      </c>
      <c r="AZ740" s="105">
        <f>IFERROR(BI740*BN740,"")</f>
        <v/>
      </c>
      <c r="BA740" s="105" t="n"/>
      <c r="BB740" s="105" t="n"/>
      <c r="BC740" s="105">
        <f>IFERROR(BI740*BN740*BK740/BJ740^(1/2),"")</f>
        <v/>
      </c>
      <c r="BD740" s="105">
        <f>IFERROR(BH740*BM740*BL740/BJ740/BK740,"")</f>
        <v/>
      </c>
      <c r="BE740" s="105">
        <f>IFERROR(MIN(BI740/BQ740/BP740/BO740/BH740,$BE$1),"")</f>
        <v/>
      </c>
      <c r="BF740" s="105">
        <f>IFERROR(BJ740*BO740*BP740/BK740,"")</f>
        <v/>
      </c>
      <c r="BG740" s="105">
        <f>IFERROR(1/BM740/BH740*BQ740,"")</f>
        <v/>
      </c>
      <c r="BH740" s="102">
        <f>MAX((CE740-Driver!$F$200)/(Driver!$G$200-Driver!$F$200)*$BI$1,1)</f>
        <v/>
      </c>
      <c r="BI740" s="102">
        <f>MAX($BI$1*(BY740-Driver!$F$201)/(Driver!$G$201-Driver!$F$201),1)</f>
        <v/>
      </c>
      <c r="BJ740" s="102">
        <f>(CB740-Driver!$F$206)/(Driver!$G$206-Driver!$F$206)*$BI$1</f>
        <v/>
      </c>
      <c r="BK740" s="102">
        <f>(CD740-Driver!$F$203)/(Driver!$G$203-Driver!$F$203)*$BI$1</f>
        <v/>
      </c>
      <c r="BL740" s="102">
        <f>MAX((CR740-Driver!$F$202)/(Driver!$G$202-Driver!$F$202)*$BI$1,1)</f>
        <v/>
      </c>
      <c r="BM740" s="102">
        <f>MAX((CH740-Driver!$F$204)/(Driver!$G$204-Driver!$F$204)*$BI$1,1)</f>
        <v/>
      </c>
      <c r="BN740" s="102">
        <f>(CI740-Driver!$F$205)/(Driver!$G$205-Driver!$F$205)*$BI$1</f>
        <v/>
      </c>
      <c r="BO740" s="102">
        <f>(CK740-Driver!$F$207)/(Driver!$G$207-Driver!$F$207)*$BI$1</f>
        <v/>
      </c>
      <c r="BP740" s="102">
        <f>(CM740-Driver!$F$208)/(Driver!$G$208-Driver!$F$208)*$BI$1</f>
        <v/>
      </c>
      <c r="BQ740" s="102">
        <f>(CL740-Driver!$F$209)/(Driver!$G$209-Driver!$F$209)*$BI$1</f>
        <v/>
      </c>
      <c r="BR740" s="40" t="inlineStr">
        <is>
          <t>21/22</t>
        </is>
      </c>
      <c r="BS740" s="10" t="inlineStr">
        <is>
          <t xml:space="preserve"> K2</t>
        </is>
      </c>
      <c r="BT740" s="11" t="inlineStr">
        <is>
          <t>Reckoner 102</t>
        </is>
      </c>
      <c r="BU740" s="13" t="n">
        <v>163</v>
      </c>
      <c r="BV740" s="11" t="inlineStr">
        <is>
          <t xml:space="preserve"> Unisex</t>
        </is>
      </c>
      <c r="BW740" s="13" t="n">
        <v>163</v>
      </c>
      <c r="BX740" s="13" t="n">
        <v>163.6</v>
      </c>
      <c r="BY740" s="13" t="n">
        <v>95</v>
      </c>
      <c r="BZ740" s="13" t="n">
        <v>134</v>
      </c>
      <c r="CA740" s="13" t="n">
        <v>133</v>
      </c>
      <c r="CB740" s="13" t="n">
        <v>101</v>
      </c>
      <c r="CC740" s="13" t="n">
        <v>125</v>
      </c>
      <c r="CD740" s="13" t="n">
        <v>14.9</v>
      </c>
      <c r="CE740" s="13" t="n">
        <v>1597</v>
      </c>
      <c r="CF740" s="13" t="n">
        <v>1.14</v>
      </c>
      <c r="CG740" s="13" t="n">
        <v>1828</v>
      </c>
      <c r="CH740" s="13" t="n">
        <v>143</v>
      </c>
      <c r="CI740" s="13" t="n">
        <v>72</v>
      </c>
      <c r="CJ740" s="13" t="n">
        <v>53</v>
      </c>
      <c r="CK740" s="13" t="n">
        <v>343</v>
      </c>
      <c r="CL740" s="13" t="n">
        <v>50</v>
      </c>
      <c r="CM740" s="13" t="n">
        <v>348</v>
      </c>
      <c r="CN740" s="13" t="n">
        <v>0.9409999999999999</v>
      </c>
      <c r="CO740" s="13" t="n">
        <v>147</v>
      </c>
      <c r="CP740" s="13" t="n">
        <v>145</v>
      </c>
      <c r="CQ740" s="13" t="n">
        <v>196</v>
      </c>
      <c r="CR740" s="13" t="n">
        <v>4</v>
      </c>
      <c r="CS740" s="13" t="n">
        <v>3.7</v>
      </c>
      <c r="CT740" s="11" t="inlineStr">
        <is>
          <t xml:space="preserve"> Freeski</t>
        </is>
      </c>
      <c r="CU740" s="11" t="inlineStr">
        <is>
          <t xml:space="preserve"> Powder</t>
        </is>
      </c>
      <c r="CV740" s="11" t="inlineStr">
        <is>
          <t xml:space="preserve"> Touring</t>
        </is>
      </c>
      <c r="CW740" s="13" t="n"/>
      <c r="CX740">
        <f>INDEX('Data_Price '!AG$2:AG$1266,MATCH(Data!$DN740,'Data_Price '!$AT$2:$AT$1266,0))</f>
        <v/>
      </c>
      <c r="CY740">
        <f>INDEX('Data_Price '!AH$2:AH$1266,MATCH(Data!$DN740,'Data_Price '!$AT$2:$AT$1266,0))</f>
        <v/>
      </c>
      <c r="CZ740">
        <f>INDEX('Data_Price '!AI$2:AI$1266,MATCH(Data!$DN740,'Data_Price '!$AT$2:$AT$1266,0))</f>
        <v/>
      </c>
      <c r="DA740">
        <f>INDEX('Data_Price '!AJ$2:AJ$1266,MATCH(Data!$DN740,'Data_Price '!$AT$2:$AT$1266,0))</f>
        <v/>
      </c>
      <c r="DB740">
        <f>INDEX('Data_Price '!AK$2:AK$1266,MATCH(Data!$DN740,'Data_Price '!$AT$2:$AT$1266,0))</f>
        <v/>
      </c>
      <c r="DC740">
        <f>INDEX('Data_Price '!AL$2:AL$1266,MATCH(Data!$DN740,'Data_Price '!$AT$2:$AT$1266,0))</f>
        <v/>
      </c>
      <c r="DD740">
        <f>INDEX('Data_Price '!AM$2:AM$1266,MATCH(Data!$DN740,'Data_Price '!$AT$2:$AT$1266,0))</f>
        <v/>
      </c>
      <c r="DE740">
        <f>INDEX('Data_Price '!AN$2:AN$1266,MATCH(Data!$DN740,'Data_Price '!$AT$2:$AT$1266,0))</f>
        <v/>
      </c>
      <c r="DF740">
        <f>INDEX('Data_Price '!AO$2:AO$1266,MATCH(Data!$DN740,'Data_Price '!$AT$2:$AT$1266,0))</f>
        <v/>
      </c>
      <c r="DG740">
        <f>INDEX('Data_Price '!AP$2:AP$1266,MATCH(Data!$DN740,'Data_Price '!$AT$2:$AT$1266,0))</f>
        <v/>
      </c>
      <c r="DH740">
        <f>INDEX('Data_Price '!AQ$2:AQ$1266,MATCH(Data!$DN740,'Data_Price '!$AT$2:$AT$1266,0))</f>
        <v/>
      </c>
      <c r="DI740">
        <f>INDEX('Data_Price '!AR$2:AR$1266,MATCH(Data!$DN740,'Data_Price '!$AT$2:$AT$1266,0))</f>
        <v/>
      </c>
      <c r="DJ740" s="138">
        <f>DA740</f>
        <v/>
      </c>
      <c r="DK740" s="138">
        <f>DE740</f>
        <v/>
      </c>
      <c r="DL740" s="138">
        <f>DI740</f>
        <v/>
      </c>
      <c r="DM740" s="303">
        <f>IF(LEFT(BT740,1)=" ",RIGHT(BT740,LEN(BT740)-1),BT740)</f>
        <v/>
      </c>
      <c r="DN740" s="138">
        <f>_xlfn.CONCAT(BS740,DM740,BU740,BV740)</f>
        <v/>
      </c>
      <c r="DO740" s="307" t="inlineStr">
        <is>
          <t>https://images.evo.com/imgp/250/201066/825041/k2-reckoner-102-skis-2022-.jpg</t>
        </is>
      </c>
    </row>
    <row r="741" ht="15.6" customHeight="1" s="184">
      <c r="B741" s="303">
        <f t="array" ref="B741">IF(OR(ISERROR(K741:P741)),FALSE,TRUE)</f>
        <v/>
      </c>
      <c r="C741" s="60">
        <f>OR(BR741=Driver!$G$50,Data!BR698=Driver!$H$50)</f>
        <v/>
      </c>
      <c r="D741" s="60">
        <f>OR(BV741=Driver!$G$51,BV741=Driver!$H$51)</f>
        <v/>
      </c>
      <c r="E741" s="60">
        <f>AND(BX741&gt;Driver!$F$54,BX741&lt;Driver!$G$54)</f>
        <v/>
      </c>
      <c r="F741" s="60">
        <f>CL741&gt;Driver!$F$56</f>
        <v/>
      </c>
      <c r="G741" s="60">
        <f>AND(CB741&gt;Driver!$F$55,CB741&lt;Driver!$G$55)</f>
        <v/>
      </c>
      <c r="H741" s="60">
        <f>AND(B741:G741)</f>
        <v/>
      </c>
      <c r="I741" s="60">
        <f>COUNTIFS($H$9:$H$1273,TRUE,$BT$9:$BT$1273,BT741)</f>
        <v/>
      </c>
      <c r="J741" s="60">
        <f t="array" ref="J741">NOT(OR(($H$9:$H$1273=TRUE)*($I$9:$I$1273&gt;0)*($BT$9:$BT$1273=BT741)*($K$9:$K$1273&gt;K741)))</f>
        <v/>
      </c>
      <c r="K741" s="108">
        <f>IFERROR(1-AVERAGE(X741:Y741),"")</f>
        <v/>
      </c>
      <c r="L741" s="108">
        <f>1-X741</f>
        <v/>
      </c>
      <c r="M741" s="108">
        <f>1-Y741</f>
        <v/>
      </c>
      <c r="N741" s="108">
        <f>1-Z741</f>
        <v/>
      </c>
      <c r="O741" s="108">
        <f>1-AA741</f>
        <v/>
      </c>
      <c r="P741" s="108">
        <f>1-AB741</f>
        <v/>
      </c>
      <c r="Q741" s="108" t="n"/>
      <c r="R741" s="108" t="n"/>
      <c r="S741" s="108">
        <f>1-AE741</f>
        <v/>
      </c>
      <c r="T741" s="108">
        <f>1-AF741</f>
        <v/>
      </c>
      <c r="U741" s="108">
        <f>1-AG741</f>
        <v/>
      </c>
      <c r="V741" s="108">
        <f>1-AH741</f>
        <v/>
      </c>
      <c r="W741" s="108">
        <f>1-AI741</f>
        <v/>
      </c>
      <c r="X741" s="108">
        <f>ABS(AJ741-AJ$1)</f>
        <v/>
      </c>
      <c r="Y741" s="108">
        <f>AVERAGE(Z741:AB741)</f>
        <v/>
      </c>
      <c r="Z741" s="108">
        <f>ABS(AL741-AL$1)</f>
        <v/>
      </c>
      <c r="AA741" s="108">
        <f>ABS(AM741-AM$1)</f>
        <v/>
      </c>
      <c r="AB741" s="108">
        <f>ABS(AN741-AN$1)</f>
        <v/>
      </c>
      <c r="AC741" s="108" t="n"/>
      <c r="AD741" s="108" t="n"/>
      <c r="AE741" s="108">
        <f>ABS(AQ$1-AQ741)</f>
        <v/>
      </c>
      <c r="AF741" s="108">
        <f>ABS(AR$1-AR741)</f>
        <v/>
      </c>
      <c r="AG741" s="108">
        <f>ABS(AS$1-AS741)</f>
        <v/>
      </c>
      <c r="AH741" s="108">
        <f>ABS(AT$1-AT741)</f>
        <v/>
      </c>
      <c r="AI741" s="108">
        <f>ABS(AU$1-AU741)</f>
        <v/>
      </c>
      <c r="AJ741" s="108">
        <f>(AV741-Driver!$K$179)/(Driver!$L$179-Driver!$K$179)</f>
        <v/>
      </c>
      <c r="AK741" s="108">
        <f>(AW741-Driver!$K$180)/(Driver!$L$180-Driver!$K$180)</f>
        <v/>
      </c>
      <c r="AL741" s="108">
        <f>(AX741-Driver!$K$181)/(Driver!$L$181-Driver!$K$181)</f>
        <v/>
      </c>
      <c r="AM741" s="108">
        <f>(AY741-Driver!$K$182)/(Driver!$L$182-Driver!$K$182)</f>
        <v/>
      </c>
      <c r="AN741" s="108">
        <f>(AZ741-Driver!$K$183)/(Driver!$L$183-Driver!$K$183)</f>
        <v/>
      </c>
      <c r="AO741" s="108" t="n"/>
      <c r="AP741" s="108" t="n"/>
      <c r="AQ741" s="108">
        <f>(BC741-Driver!$K$188)/(Driver!$L$188-Driver!$K$188)</f>
        <v/>
      </c>
      <c r="AR741" s="108">
        <f>MIN((BD741-Driver!$K$189)/(Driver!$L$189-Driver!$K$189),100%)</f>
        <v/>
      </c>
      <c r="AS741" s="108">
        <f>(BE741-Driver!$K$190)/(Driver!$L$190-Driver!$K$190)</f>
        <v/>
      </c>
      <c r="AT741" s="108">
        <f>(BF741-Driver!$K$191)/(Driver!$L$191-Driver!$K$191)</f>
        <v/>
      </c>
      <c r="AU741" s="108">
        <f>(BG741-Driver!$K$192)/(Driver!$L$192-Driver!$K$192)</f>
        <v/>
      </c>
      <c r="AV741" s="105">
        <f>IFERROR(BM741*BJ741^1/4,"")</f>
        <v/>
      </c>
      <c r="AW741" s="105">
        <f>IFERROR(SUM(AX741:AZ741),"")</f>
        <v/>
      </c>
      <c r="AX741" s="105">
        <f>IFERROR(BH741,"")</f>
        <v/>
      </c>
      <c r="AY741" s="105">
        <f>IFERROR(Driver!$K$19/Data!BH741/Data!BI741*Data!BK741*Data!BL741,"")</f>
        <v/>
      </c>
      <c r="AZ741" s="105">
        <f>IFERROR(BI741*BN741,"")</f>
        <v/>
      </c>
      <c r="BA741" s="105" t="n"/>
      <c r="BB741" s="105" t="n"/>
      <c r="BC741" s="105">
        <f>IFERROR(BI741*BN741*BK741/BJ741^(1/2),"")</f>
        <v/>
      </c>
      <c r="BD741" s="105">
        <f>IFERROR(BH741*BM741*BL741/BJ741/BK741,"")</f>
        <v/>
      </c>
      <c r="BE741" s="105">
        <f>IFERROR(MIN(BI741/BQ741/BP741/BO741/BH741,$BE$1),"")</f>
        <v/>
      </c>
      <c r="BF741" s="105">
        <f>IFERROR(BJ741*BO741*BP741/BK741,"")</f>
        <v/>
      </c>
      <c r="BG741" s="105">
        <f>IFERROR(1/BM741/BH741*BQ741,"")</f>
        <v/>
      </c>
      <c r="BH741" s="102">
        <f>MAX((CE741-Driver!$F$200)/(Driver!$G$200-Driver!$F$200)*$BI$1,1)</f>
        <v/>
      </c>
      <c r="BI741" s="102">
        <f>MAX($BI$1*(BY741-Driver!$F$201)/(Driver!$G$201-Driver!$F$201),1)</f>
        <v/>
      </c>
      <c r="BJ741" s="102">
        <f>(CB741-Driver!$F$206)/(Driver!$G$206-Driver!$F$206)*$BI$1</f>
        <v/>
      </c>
      <c r="BK741" s="102">
        <f>(CD741-Driver!$F$203)/(Driver!$G$203-Driver!$F$203)*$BI$1</f>
        <v/>
      </c>
      <c r="BL741" s="102">
        <f>MAX((CR741-Driver!$F$202)/(Driver!$G$202-Driver!$F$202)*$BI$1,1)</f>
        <v/>
      </c>
      <c r="BM741" s="102">
        <f>MAX((CH741-Driver!$F$204)/(Driver!$G$204-Driver!$F$204)*$BI$1,1)</f>
        <v/>
      </c>
      <c r="BN741" s="102">
        <f>(CI741-Driver!$F$205)/(Driver!$G$205-Driver!$F$205)*$BI$1</f>
        <v/>
      </c>
      <c r="BO741" s="102">
        <f>(CK741-Driver!$F$207)/(Driver!$G$207-Driver!$F$207)*$BI$1</f>
        <v/>
      </c>
      <c r="BP741" s="102">
        <f>(CM741-Driver!$F$208)/(Driver!$G$208-Driver!$F$208)*$BI$1</f>
        <v/>
      </c>
      <c r="BQ741" s="102">
        <f>(CL741-Driver!$F$209)/(Driver!$G$209-Driver!$F$209)*$BI$1</f>
        <v/>
      </c>
      <c r="BR741" s="40" t="inlineStr">
        <is>
          <t>21/22</t>
        </is>
      </c>
      <c r="BS741" s="10" t="inlineStr">
        <is>
          <t xml:space="preserve"> J Skis</t>
        </is>
      </c>
      <c r="BT741" s="11" t="inlineStr">
        <is>
          <t xml:space="preserve"> The Metal</t>
        </is>
      </c>
      <c r="BU741" s="13" t="n">
        <v>180</v>
      </c>
      <c r="BV741" s="11" t="inlineStr">
        <is>
          <t xml:space="preserve"> Unisex</t>
        </is>
      </c>
      <c r="BW741" s="13" t="n">
        <v>180</v>
      </c>
      <c r="BX741" s="13" t="n">
        <v>177.4</v>
      </c>
      <c r="BY741" s="13" t="n">
        <v>108</v>
      </c>
      <c r="BZ741" s="13" t="n">
        <v>141</v>
      </c>
      <c r="CA741" s="13" t="n">
        <v>136</v>
      </c>
      <c r="CB741" s="13" t="n">
        <v>105</v>
      </c>
      <c r="CC741" s="13" t="n">
        <v>125</v>
      </c>
      <c r="CD741" s="13" t="n">
        <v>17.7</v>
      </c>
      <c r="CE741" s="13" t="n">
        <v>2242</v>
      </c>
      <c r="CF741" s="13" t="n">
        <v>0.91</v>
      </c>
      <c r="CG741" s="13" t="n">
        <v>2040</v>
      </c>
      <c r="CH741" s="13" t="n">
        <v>225</v>
      </c>
      <c r="CI741" s="13" t="n">
        <v>127</v>
      </c>
      <c r="CJ741" s="13" t="n">
        <v>57</v>
      </c>
      <c r="CK741" s="13" t="n">
        <v>408</v>
      </c>
      <c r="CL741" s="13" t="n">
        <v>49</v>
      </c>
      <c r="CM741" s="13" t="n">
        <v>283</v>
      </c>
      <c r="CN741" s="13" t="n">
        <v>0.854</v>
      </c>
      <c r="CO741" s="13" t="n">
        <v>164</v>
      </c>
      <c r="CP741" s="13" t="n">
        <v>205</v>
      </c>
      <c r="CQ741" s="13" t="n">
        <v>244</v>
      </c>
      <c r="CR741" s="13" t="n">
        <v>3</v>
      </c>
      <c r="CS741" s="13" t="n">
        <v>5.7</v>
      </c>
      <c r="CT741" s="11" t="inlineStr">
        <is>
          <t xml:space="preserve"> Freeski</t>
        </is>
      </c>
      <c r="CU741" s="11" t="inlineStr">
        <is>
          <t xml:space="preserve"> Powder</t>
        </is>
      </c>
      <c r="CV741" s="13" t="n"/>
      <c r="CW741" s="13" t="n"/>
      <c r="CX741">
        <f>INDEX('Data_Price '!AG$2:AG$1266,MATCH(Data!$DN741,'Data_Price '!$AT$2:$AT$1266,0))</f>
        <v/>
      </c>
      <c r="CY741">
        <f>INDEX('Data_Price '!AH$2:AH$1266,MATCH(Data!$DN741,'Data_Price '!$AT$2:$AT$1266,0))</f>
        <v/>
      </c>
      <c r="CZ741">
        <f>INDEX('Data_Price '!AI$2:AI$1266,MATCH(Data!$DN741,'Data_Price '!$AT$2:$AT$1266,0))</f>
        <v/>
      </c>
      <c r="DA741">
        <f>INDEX('Data_Price '!AJ$2:AJ$1266,MATCH(Data!$DN741,'Data_Price '!$AT$2:$AT$1266,0))</f>
        <v/>
      </c>
      <c r="DB741">
        <f>INDEX('Data_Price '!AK$2:AK$1266,MATCH(Data!$DN741,'Data_Price '!$AT$2:$AT$1266,0))</f>
        <v/>
      </c>
      <c r="DC741">
        <f>INDEX('Data_Price '!AL$2:AL$1266,MATCH(Data!$DN741,'Data_Price '!$AT$2:$AT$1266,0))</f>
        <v/>
      </c>
      <c r="DD741">
        <f>INDEX('Data_Price '!AM$2:AM$1266,MATCH(Data!$DN741,'Data_Price '!$AT$2:$AT$1266,0))</f>
        <v/>
      </c>
      <c r="DE741">
        <f>INDEX('Data_Price '!AN$2:AN$1266,MATCH(Data!$DN741,'Data_Price '!$AT$2:$AT$1266,0))</f>
        <v/>
      </c>
      <c r="DF741">
        <f>INDEX('Data_Price '!AO$2:AO$1266,MATCH(Data!$DN741,'Data_Price '!$AT$2:$AT$1266,0))</f>
        <v/>
      </c>
      <c r="DG741">
        <f>INDEX('Data_Price '!AP$2:AP$1266,MATCH(Data!$DN741,'Data_Price '!$AT$2:$AT$1266,0))</f>
        <v/>
      </c>
      <c r="DH741">
        <f>INDEX('Data_Price '!AQ$2:AQ$1266,MATCH(Data!$DN741,'Data_Price '!$AT$2:$AT$1266,0))</f>
        <v/>
      </c>
      <c r="DI741">
        <f>INDEX('Data_Price '!AR$2:AR$1266,MATCH(Data!$DN741,'Data_Price '!$AT$2:$AT$1266,0))</f>
        <v/>
      </c>
      <c r="DJ741" s="138">
        <f>DA741</f>
        <v/>
      </c>
      <c r="DK741" s="138">
        <f>DE741</f>
        <v/>
      </c>
      <c r="DL741" s="138">
        <f>DI741</f>
        <v/>
      </c>
      <c r="DM741" s="303">
        <f>IF(LEFT(BT741,1)=" ",RIGHT(BT741,LEN(BT741)-1),BT741)</f>
        <v/>
      </c>
      <c r="DN741" s="138">
        <f>_xlfn.CONCAT(BS741,DM741,BU741,BV741)</f>
        <v/>
      </c>
      <c r="DO741" s="307" t="n"/>
    </row>
    <row r="742" ht="15.6" customHeight="1" s="184">
      <c r="B742" s="303">
        <f t="array" ref="B742">IF(OR(ISERROR(K742:P742)),FALSE,TRUE)</f>
        <v/>
      </c>
      <c r="C742" s="60">
        <f>OR(BR742=Driver!$G$50,Data!BR890=Driver!$H$50)</f>
        <v/>
      </c>
      <c r="D742" s="60">
        <f>OR(BV742=Driver!$G$51,BV742=Driver!$H$51)</f>
        <v/>
      </c>
      <c r="E742" s="60">
        <f>AND(BX742&gt;Driver!$F$54,BX742&lt;Driver!$G$54)</f>
        <v/>
      </c>
      <c r="F742" s="60">
        <f>CL742&gt;Driver!$F$56</f>
        <v/>
      </c>
      <c r="G742" s="60">
        <f>AND(CB742&gt;Driver!$F$55,CB742&lt;Driver!$G$55)</f>
        <v/>
      </c>
      <c r="H742" s="60">
        <f>AND(B742:G742)</f>
        <v/>
      </c>
      <c r="I742" s="60">
        <f>COUNTIFS($H$9:$H$1273,TRUE,$BT$9:$BT$1273,BT742)</f>
        <v/>
      </c>
      <c r="J742" s="60">
        <f t="array" ref="J742">NOT(OR(($H$9:$H$1273=TRUE)*($I$9:$I$1273&gt;0)*($BT$9:$BT$1273=BT742)*($K$9:$K$1273&gt;K742)))</f>
        <v/>
      </c>
      <c r="K742" s="108">
        <f>IFERROR(1-AVERAGE(X742:Y742),"")</f>
        <v/>
      </c>
      <c r="L742" s="108">
        <f>1-X742</f>
        <v/>
      </c>
      <c r="M742" s="108">
        <f>1-Y742</f>
        <v/>
      </c>
      <c r="N742" s="108">
        <f>1-Z742</f>
        <v/>
      </c>
      <c r="O742" s="108">
        <f>1-AA742</f>
        <v/>
      </c>
      <c r="P742" s="108">
        <f>1-AB742</f>
        <v/>
      </c>
      <c r="Q742" s="108" t="n"/>
      <c r="R742" s="108" t="n"/>
      <c r="S742" s="108">
        <f>1-AE742</f>
        <v/>
      </c>
      <c r="T742" s="108">
        <f>1-AF742</f>
        <v/>
      </c>
      <c r="U742" s="108">
        <f>1-AG742</f>
        <v/>
      </c>
      <c r="V742" s="108">
        <f>1-AH742</f>
        <v/>
      </c>
      <c r="W742" s="108">
        <f>1-AI742</f>
        <v/>
      </c>
      <c r="X742" s="108">
        <f>ABS(AJ742-AJ$1)</f>
        <v/>
      </c>
      <c r="Y742" s="108">
        <f>AVERAGE(Z742:AB742)</f>
        <v/>
      </c>
      <c r="Z742" s="108">
        <f>ABS(AL742-AL$1)</f>
        <v/>
      </c>
      <c r="AA742" s="108">
        <f>ABS(AM742-AM$1)</f>
        <v/>
      </c>
      <c r="AB742" s="108">
        <f>ABS(AN742-AN$1)</f>
        <v/>
      </c>
      <c r="AC742" s="108" t="n"/>
      <c r="AD742" s="108" t="n"/>
      <c r="AE742" s="108">
        <f>ABS(AQ$1-AQ742)</f>
        <v/>
      </c>
      <c r="AF742" s="108">
        <f>ABS(AR$1-AR742)</f>
        <v/>
      </c>
      <c r="AG742" s="108">
        <f>ABS(AS$1-AS742)</f>
        <v/>
      </c>
      <c r="AH742" s="108">
        <f>ABS(AT$1-AT742)</f>
        <v/>
      </c>
      <c r="AI742" s="108">
        <f>ABS(AU$1-AU742)</f>
        <v/>
      </c>
      <c r="AJ742" s="108">
        <f>(AV742-Driver!$K$179)/(Driver!$L$179-Driver!$K$179)</f>
        <v/>
      </c>
      <c r="AK742" s="108">
        <f>(AW742-Driver!$K$180)/(Driver!$L$180-Driver!$K$180)</f>
        <v/>
      </c>
      <c r="AL742" s="108">
        <f>(AX742-Driver!$K$181)/(Driver!$L$181-Driver!$K$181)</f>
        <v/>
      </c>
      <c r="AM742" s="108">
        <f>(AY742-Driver!$K$182)/(Driver!$L$182-Driver!$K$182)</f>
        <v/>
      </c>
      <c r="AN742" s="108">
        <f>(AZ742-Driver!$K$183)/(Driver!$L$183-Driver!$K$183)</f>
        <v/>
      </c>
      <c r="AO742" s="108" t="n"/>
      <c r="AP742" s="108" t="n"/>
      <c r="AQ742" s="108">
        <f>(BC742-Driver!$K$188)/(Driver!$L$188-Driver!$K$188)</f>
        <v/>
      </c>
      <c r="AR742" s="108">
        <f>MIN((BD742-Driver!$K$189)/(Driver!$L$189-Driver!$K$189),100%)</f>
        <v/>
      </c>
      <c r="AS742" s="108">
        <f>(BE742-Driver!$K$190)/(Driver!$L$190-Driver!$K$190)</f>
        <v/>
      </c>
      <c r="AT742" s="108">
        <f>(BF742-Driver!$K$191)/(Driver!$L$191-Driver!$K$191)</f>
        <v/>
      </c>
      <c r="AU742" s="108">
        <f>(BG742-Driver!$K$192)/(Driver!$L$192-Driver!$K$192)</f>
        <v/>
      </c>
      <c r="AV742" s="105">
        <f>IFERROR(BM742*BJ742^1/4,"")</f>
        <v/>
      </c>
      <c r="AW742" s="105">
        <f>IFERROR(SUM(AX742:AZ742),"")</f>
        <v/>
      </c>
      <c r="AX742" s="105">
        <f>IFERROR(BH742,"")</f>
        <v/>
      </c>
      <c r="AY742" s="105">
        <f>IFERROR(Driver!$K$19/Data!BH742/Data!BI742*Data!BK742*Data!BL742,"")</f>
        <v/>
      </c>
      <c r="AZ742" s="105">
        <f>IFERROR(BI742*BN742,"")</f>
        <v/>
      </c>
      <c r="BA742" s="105" t="n"/>
      <c r="BB742" s="105" t="n"/>
      <c r="BC742" s="105">
        <f>IFERROR(BI742*BN742*BK742/BJ742^(1/2),"")</f>
        <v/>
      </c>
      <c r="BD742" s="105">
        <f>IFERROR(BH742*BM742*BL742/BJ742/BK742,"")</f>
        <v/>
      </c>
      <c r="BE742" s="105">
        <f>IFERROR(MIN(BI742/BQ742/BP742/BO742/BH742,$BE$1),"")</f>
        <v/>
      </c>
      <c r="BF742" s="105">
        <f>IFERROR(BJ742*BO742*BP742/BK742,"")</f>
        <v/>
      </c>
      <c r="BG742" s="105">
        <f>IFERROR(1/BM742/BH742*BQ742,"")</f>
        <v/>
      </c>
      <c r="BH742" s="102">
        <f>MAX((CE742-Driver!$F$200)/(Driver!$G$200-Driver!$F$200)*$BI$1,1)</f>
        <v/>
      </c>
      <c r="BI742" s="102">
        <f>MAX($BI$1*(BY742-Driver!$F$201)/(Driver!$G$201-Driver!$F$201),1)</f>
        <v/>
      </c>
      <c r="BJ742" s="102">
        <f>(CB742-Driver!$F$206)/(Driver!$G$206-Driver!$F$206)*$BI$1</f>
        <v/>
      </c>
      <c r="BK742" s="102">
        <f>(CD742-Driver!$F$203)/(Driver!$G$203-Driver!$F$203)*$BI$1</f>
        <v/>
      </c>
      <c r="BL742" s="102">
        <f>MAX((CR742-Driver!$F$202)/(Driver!$G$202-Driver!$F$202)*$BI$1,1)</f>
        <v/>
      </c>
      <c r="BM742" s="102">
        <f>MAX((CH742-Driver!$F$204)/(Driver!$G$204-Driver!$F$204)*$BI$1,1)</f>
        <v/>
      </c>
      <c r="BN742" s="102">
        <f>(CI742-Driver!$F$205)/(Driver!$G$205-Driver!$F$205)*$BI$1</f>
        <v/>
      </c>
      <c r="BO742" s="102">
        <f>(CK742-Driver!$F$207)/(Driver!$G$207-Driver!$F$207)*$BI$1</f>
        <v/>
      </c>
      <c r="BP742" s="102">
        <f>(CM742-Driver!$F$208)/(Driver!$G$208-Driver!$F$208)*$BI$1</f>
        <v/>
      </c>
      <c r="BQ742" s="102">
        <f>(CL742-Driver!$F$209)/(Driver!$G$209-Driver!$F$209)*$BI$1</f>
        <v/>
      </c>
      <c r="BR742" s="40" t="inlineStr">
        <is>
          <t>21/22</t>
        </is>
      </c>
      <c r="BS742" s="10" t="inlineStr">
        <is>
          <t xml:space="preserve"> Nordica</t>
        </is>
      </c>
      <c r="BT742" s="11" t="inlineStr">
        <is>
          <t xml:space="preserve"> Dobermann SLR Rb</t>
        </is>
      </c>
      <c r="BU742" s="13" t="n">
        <v>165</v>
      </c>
      <c r="BV742" s="11" t="inlineStr">
        <is>
          <t xml:space="preserve"> Unisex</t>
        </is>
      </c>
      <c r="BW742" s="13" t="n">
        <v>165</v>
      </c>
      <c r="BX742" s="13" t="n">
        <v>165.6</v>
      </c>
      <c r="BY742" s="13" t="n">
        <v>145</v>
      </c>
      <c r="BZ742" s="13" t="n">
        <v>152</v>
      </c>
      <c r="CA742" s="13" t="n">
        <v>120</v>
      </c>
      <c r="CB742" s="13" t="n">
        <v>68</v>
      </c>
      <c r="CC742" s="13" t="n">
        <v>103</v>
      </c>
      <c r="CD742" s="13" t="n">
        <v>13</v>
      </c>
      <c r="CE742" s="13" t="n">
        <v>2021</v>
      </c>
      <c r="CF742" s="13" t="n">
        <v>0.6899999999999999</v>
      </c>
      <c r="CG742" s="13" t="n">
        <v>1400</v>
      </c>
      <c r="CH742" s="13" t="n">
        <v>207</v>
      </c>
      <c r="CI742" s="13" t="n">
        <v>101</v>
      </c>
      <c r="CJ742" s="13" t="n">
        <v>43</v>
      </c>
      <c r="CK742" s="13" t="n">
        <v>144</v>
      </c>
      <c r="CL742" s="13" t="n">
        <v>14</v>
      </c>
      <c r="CM742" s="13" t="n">
        <v>67</v>
      </c>
      <c r="CN742" s="13" t="n">
        <v>0.335</v>
      </c>
      <c r="CO742" s="13" t="n">
        <v>63</v>
      </c>
      <c r="CP742" s="13" t="n">
        <v>70</v>
      </c>
      <c r="CQ742" s="13" t="n">
        <v>81</v>
      </c>
      <c r="CR742" s="13" t="n">
        <v>11</v>
      </c>
      <c r="CS742" s="13" t="n">
        <v>11.4</v>
      </c>
      <c r="CT742" s="11" t="inlineStr">
        <is>
          <t xml:space="preserve"> On-Piste Carving</t>
        </is>
      </c>
      <c r="CU742" s="13" t="n"/>
      <c r="CV742" s="13" t="n"/>
      <c r="CW742" s="13" t="n"/>
      <c r="CX742">
        <f>INDEX('Data_Price '!AG$2:AG$1266,MATCH(Data!$DN742,'Data_Price '!$AT$2:$AT$1266,0))</f>
        <v/>
      </c>
      <c r="CY742">
        <f>INDEX('Data_Price '!AH$2:AH$1266,MATCH(Data!$DN742,'Data_Price '!$AT$2:$AT$1266,0))</f>
        <v/>
      </c>
      <c r="CZ742">
        <f>INDEX('Data_Price '!AI$2:AI$1266,MATCH(Data!$DN742,'Data_Price '!$AT$2:$AT$1266,0))</f>
        <v/>
      </c>
      <c r="DA742">
        <f>INDEX('Data_Price '!AJ$2:AJ$1266,MATCH(Data!$DN742,'Data_Price '!$AT$2:$AT$1266,0))</f>
        <v/>
      </c>
      <c r="DB742">
        <f>INDEX('Data_Price '!AK$2:AK$1266,MATCH(Data!$DN742,'Data_Price '!$AT$2:$AT$1266,0))</f>
        <v/>
      </c>
      <c r="DC742">
        <f>INDEX('Data_Price '!AL$2:AL$1266,MATCH(Data!$DN742,'Data_Price '!$AT$2:$AT$1266,0))</f>
        <v/>
      </c>
      <c r="DD742">
        <f>INDEX('Data_Price '!AM$2:AM$1266,MATCH(Data!$DN742,'Data_Price '!$AT$2:$AT$1266,0))</f>
        <v/>
      </c>
      <c r="DE742">
        <f>INDEX('Data_Price '!AN$2:AN$1266,MATCH(Data!$DN742,'Data_Price '!$AT$2:$AT$1266,0))</f>
        <v/>
      </c>
      <c r="DF742">
        <f>INDEX('Data_Price '!AO$2:AO$1266,MATCH(Data!$DN742,'Data_Price '!$AT$2:$AT$1266,0))</f>
        <v/>
      </c>
      <c r="DG742">
        <f>INDEX('Data_Price '!AP$2:AP$1266,MATCH(Data!$DN742,'Data_Price '!$AT$2:$AT$1266,0))</f>
        <v/>
      </c>
      <c r="DH742">
        <f>INDEX('Data_Price '!AQ$2:AQ$1266,MATCH(Data!$DN742,'Data_Price '!$AT$2:$AT$1266,0))</f>
        <v/>
      </c>
      <c r="DI742">
        <f>INDEX('Data_Price '!AR$2:AR$1266,MATCH(Data!$DN742,'Data_Price '!$AT$2:$AT$1266,0))</f>
        <v/>
      </c>
      <c r="DJ742" s="138">
        <f>DA742</f>
        <v/>
      </c>
      <c r="DK742" s="138">
        <f>DE742</f>
        <v/>
      </c>
      <c r="DL742" s="138">
        <f>DI742</f>
        <v/>
      </c>
      <c r="DM742" s="303">
        <f>IF(LEFT(BT742,1)=" ",RIGHT(BT742,LEN(BT742)-1),BT742)</f>
        <v/>
      </c>
      <c r="DN742" s="138">
        <f>_xlfn.CONCAT(BS742,DM742,BU742,BV742)</f>
        <v/>
      </c>
      <c r="DO742" s="307" t="n"/>
    </row>
    <row r="743" ht="15.6" customHeight="1" s="184">
      <c r="B743" s="303">
        <f t="array" ref="B743">IF(OR(ISERROR(K743:P743)),FALSE,TRUE)</f>
        <v/>
      </c>
      <c r="C743" s="60">
        <f>OR(BR743=Driver!$G$50,Data!BR946=Driver!$H$50)</f>
        <v/>
      </c>
      <c r="D743" s="60">
        <f>OR(BV743=Driver!$G$51,BV743=Driver!$H$51)</f>
        <v/>
      </c>
      <c r="E743" s="60">
        <f>AND(BX743&gt;Driver!$F$54,BX743&lt;Driver!$G$54)</f>
        <v/>
      </c>
      <c r="F743" s="60">
        <f>CL743&gt;Driver!$F$56</f>
        <v/>
      </c>
      <c r="G743" s="60">
        <f>AND(CB743&gt;Driver!$F$55,CB743&lt;Driver!$G$55)</f>
        <v/>
      </c>
      <c r="H743" s="60">
        <f>AND(B743:G743)</f>
        <v/>
      </c>
      <c r="I743" s="60">
        <f>COUNTIFS($H$9:$H$1273,TRUE,$BT$9:$BT$1273,BT743)</f>
        <v/>
      </c>
      <c r="J743" s="60">
        <f t="array" ref="J743">NOT(OR(($H$9:$H$1273=TRUE)*($I$9:$I$1273&gt;0)*($BT$9:$BT$1273=BT743)*($K$9:$K$1273&gt;K743)))</f>
        <v/>
      </c>
      <c r="K743" s="108">
        <f>IFERROR(1-AVERAGE(X743:Y743),"")</f>
        <v/>
      </c>
      <c r="L743" s="108">
        <f>1-X743</f>
        <v/>
      </c>
      <c r="M743" s="108">
        <f>1-Y743</f>
        <v/>
      </c>
      <c r="N743" s="108">
        <f>1-Z743</f>
        <v/>
      </c>
      <c r="O743" s="108">
        <f>1-AA743</f>
        <v/>
      </c>
      <c r="P743" s="108">
        <f>1-AB743</f>
        <v/>
      </c>
      <c r="Q743" s="108" t="n"/>
      <c r="R743" s="108" t="n"/>
      <c r="S743" s="108">
        <f>1-AE743</f>
        <v/>
      </c>
      <c r="T743" s="108">
        <f>1-AF743</f>
        <v/>
      </c>
      <c r="U743" s="108">
        <f>1-AG743</f>
        <v/>
      </c>
      <c r="V743" s="108">
        <f>1-AH743</f>
        <v/>
      </c>
      <c r="W743" s="108">
        <f>1-AI743</f>
        <v/>
      </c>
      <c r="X743" s="108">
        <f>ABS(AJ743-AJ$1)</f>
        <v/>
      </c>
      <c r="Y743" s="108">
        <f>AVERAGE(Z743:AB743)</f>
        <v/>
      </c>
      <c r="Z743" s="108">
        <f>ABS(AL743-AL$1)</f>
        <v/>
      </c>
      <c r="AA743" s="108">
        <f>ABS(AM743-AM$1)</f>
        <v/>
      </c>
      <c r="AB743" s="108">
        <f>ABS(AN743-AN$1)</f>
        <v/>
      </c>
      <c r="AC743" s="108" t="n"/>
      <c r="AD743" s="108" t="n"/>
      <c r="AE743" s="108">
        <f>ABS(AQ$1-AQ743)</f>
        <v/>
      </c>
      <c r="AF743" s="108">
        <f>ABS(AR$1-AR743)</f>
        <v/>
      </c>
      <c r="AG743" s="108">
        <f>ABS(AS$1-AS743)</f>
        <v/>
      </c>
      <c r="AH743" s="108">
        <f>ABS(AT$1-AT743)</f>
        <v/>
      </c>
      <c r="AI743" s="108">
        <f>ABS(AU$1-AU743)</f>
        <v/>
      </c>
      <c r="AJ743" s="108">
        <f>(AV743-Driver!$K$179)/(Driver!$L$179-Driver!$K$179)</f>
        <v/>
      </c>
      <c r="AK743" s="108">
        <f>(AW743-Driver!$K$180)/(Driver!$L$180-Driver!$K$180)</f>
        <v/>
      </c>
      <c r="AL743" s="108">
        <f>(AX743-Driver!$K$181)/(Driver!$L$181-Driver!$K$181)</f>
        <v/>
      </c>
      <c r="AM743" s="108">
        <f>(AY743-Driver!$K$182)/(Driver!$L$182-Driver!$K$182)</f>
        <v/>
      </c>
      <c r="AN743" s="108">
        <f>(AZ743-Driver!$K$183)/(Driver!$L$183-Driver!$K$183)</f>
        <v/>
      </c>
      <c r="AO743" s="108" t="n"/>
      <c r="AP743" s="108" t="n"/>
      <c r="AQ743" s="108">
        <f>(BC743-Driver!$K$188)/(Driver!$L$188-Driver!$K$188)</f>
        <v/>
      </c>
      <c r="AR743" s="108">
        <f>MIN((BD743-Driver!$K$189)/(Driver!$L$189-Driver!$K$189),100%)</f>
        <v/>
      </c>
      <c r="AS743" s="108">
        <f>(BE743-Driver!$K$190)/(Driver!$L$190-Driver!$K$190)</f>
        <v/>
      </c>
      <c r="AT743" s="108">
        <f>(BF743-Driver!$K$191)/(Driver!$L$191-Driver!$K$191)</f>
        <v/>
      </c>
      <c r="AU743" s="108">
        <f>(BG743-Driver!$K$192)/(Driver!$L$192-Driver!$K$192)</f>
        <v/>
      </c>
      <c r="AV743" s="105">
        <f>IFERROR(BM743*BJ743^1/4,"")</f>
        <v/>
      </c>
      <c r="AW743" s="105">
        <f>IFERROR(SUM(AX743:AZ743),"")</f>
        <v/>
      </c>
      <c r="AX743" s="105">
        <f>IFERROR(BH743,"")</f>
        <v/>
      </c>
      <c r="AY743" s="105">
        <f>IFERROR(Driver!$K$19/Data!BH743/Data!BI743*Data!BK743*Data!BL743,"")</f>
        <v/>
      </c>
      <c r="AZ743" s="105">
        <f>IFERROR(BI743*BN743,"")</f>
        <v/>
      </c>
      <c r="BA743" s="105" t="n"/>
      <c r="BB743" s="105" t="n"/>
      <c r="BC743" s="105">
        <f>IFERROR(BI743*BN743*BK743/BJ743^(1/2),"")</f>
        <v/>
      </c>
      <c r="BD743" s="105">
        <f>IFERROR(BH743*BM743*BL743/BJ743/BK743,"")</f>
        <v/>
      </c>
      <c r="BE743" s="105">
        <f>IFERROR(MIN(BI743/BQ743/BP743/BO743/BH743,$BE$1),"")</f>
        <v/>
      </c>
      <c r="BF743" s="105">
        <f>IFERROR(BJ743*BO743*BP743/BK743,"")</f>
        <v/>
      </c>
      <c r="BG743" s="105">
        <f>IFERROR(1/BM743/BH743*BQ743,"")</f>
        <v/>
      </c>
      <c r="BH743" s="102">
        <f>MAX((CE743-Driver!$F$200)/(Driver!$G$200-Driver!$F$200)*$BI$1,1)</f>
        <v/>
      </c>
      <c r="BI743" s="102">
        <f>MAX($BI$1*(BY743-Driver!$F$201)/(Driver!$G$201-Driver!$F$201),1)</f>
        <v/>
      </c>
      <c r="BJ743" s="102">
        <f>(CB743-Driver!$F$206)/(Driver!$G$206-Driver!$F$206)*$BI$1</f>
        <v/>
      </c>
      <c r="BK743" s="102">
        <f>(CD743-Driver!$F$203)/(Driver!$G$203-Driver!$F$203)*$BI$1</f>
        <v/>
      </c>
      <c r="BL743" s="102">
        <f>MAX((CR743-Driver!$F$202)/(Driver!$G$202-Driver!$F$202)*$BI$1,1)</f>
        <v/>
      </c>
      <c r="BM743" s="102">
        <f>MAX((CH743-Driver!$F$204)/(Driver!$G$204-Driver!$F$204)*$BI$1,1)</f>
        <v/>
      </c>
      <c r="BN743" s="102">
        <f>(CI743-Driver!$F$205)/(Driver!$G$205-Driver!$F$205)*$BI$1</f>
        <v/>
      </c>
      <c r="BO743" s="102">
        <f>(CK743-Driver!$F$207)/(Driver!$G$207-Driver!$F$207)*$BI$1</f>
        <v/>
      </c>
      <c r="BP743" s="102">
        <f>(CM743-Driver!$F$208)/(Driver!$G$208-Driver!$F$208)*$BI$1</f>
        <v/>
      </c>
      <c r="BQ743" s="102">
        <f>(CL743-Driver!$F$209)/(Driver!$G$209-Driver!$F$209)*$BI$1</f>
        <v/>
      </c>
      <c r="BR743" s="40" t="inlineStr">
        <is>
          <t>21/22</t>
        </is>
      </c>
      <c r="BS743" s="10" t="inlineStr">
        <is>
          <t xml:space="preserve"> Nordica</t>
        </is>
      </c>
      <c r="BT743" s="11" t="inlineStr">
        <is>
          <t>Wild Belle 74</t>
        </is>
      </c>
      <c r="BU743" s="13" t="n">
        <v>150</v>
      </c>
      <c r="BV743" s="11" t="inlineStr">
        <is>
          <t xml:space="preserve"> Women's</t>
        </is>
      </c>
      <c r="BW743" s="13" t="n">
        <v>150</v>
      </c>
      <c r="BX743" s="13" t="n">
        <v>148.9</v>
      </c>
      <c r="BY743" s="13" t="n">
        <v>125</v>
      </c>
      <c r="BZ743" s="13" t="n">
        <v>136</v>
      </c>
      <c r="CA743" s="13" t="n">
        <v>123</v>
      </c>
      <c r="CB743" s="13" t="n">
        <v>74</v>
      </c>
      <c r="CC743" s="13" t="n">
        <v>103</v>
      </c>
      <c r="CD743" s="13" t="n">
        <v>11.9</v>
      </c>
      <c r="CE743" s="13" t="n">
        <v>1528</v>
      </c>
      <c r="CF743" s="13" t="n">
        <v>0.87</v>
      </c>
      <c r="CG743" s="13" t="n">
        <v>1323</v>
      </c>
      <c r="CH743" s="13" t="n">
        <v>153</v>
      </c>
      <c r="CI743" s="13" t="n">
        <v>60</v>
      </c>
      <c r="CJ743" s="13" t="n">
        <v>39</v>
      </c>
      <c r="CK743" s="13" t="n">
        <v>170</v>
      </c>
      <c r="CL743" s="13" t="n">
        <v>12</v>
      </c>
      <c r="CM743" s="13" t="n">
        <v>69</v>
      </c>
      <c r="CN743" s="13" t="n">
        <v>0.31</v>
      </c>
      <c r="CO743" s="13" t="n">
        <v>62</v>
      </c>
      <c r="CP743" s="13" t="n">
        <v>67</v>
      </c>
      <c r="CQ743" s="13" t="n">
        <v>108</v>
      </c>
      <c r="CR743" s="13" t="n">
        <v>6</v>
      </c>
      <c r="CS743" s="13" t="n">
        <v>9.300000000000001</v>
      </c>
      <c r="CT743" s="11" t="inlineStr">
        <is>
          <t xml:space="preserve"> On-Piste Carving</t>
        </is>
      </c>
      <c r="CU743" s="13" t="n"/>
      <c r="CV743" s="13" t="n"/>
      <c r="CW743" s="13" t="n"/>
      <c r="CX743">
        <f>INDEX('Data_Price '!AG$2:AG$1266,MATCH(Data!$DN743,'Data_Price '!$AT$2:$AT$1266,0))</f>
        <v/>
      </c>
      <c r="CY743">
        <f>INDEX('Data_Price '!AH$2:AH$1266,MATCH(Data!$DN743,'Data_Price '!$AT$2:$AT$1266,0))</f>
        <v/>
      </c>
      <c r="CZ743">
        <f>INDEX('Data_Price '!AI$2:AI$1266,MATCH(Data!$DN743,'Data_Price '!$AT$2:$AT$1266,0))</f>
        <v/>
      </c>
      <c r="DA743">
        <f>INDEX('Data_Price '!AJ$2:AJ$1266,MATCH(Data!$DN743,'Data_Price '!$AT$2:$AT$1266,0))</f>
        <v/>
      </c>
      <c r="DB743">
        <f>INDEX('Data_Price '!AK$2:AK$1266,MATCH(Data!$DN743,'Data_Price '!$AT$2:$AT$1266,0))</f>
        <v/>
      </c>
      <c r="DC743">
        <f>INDEX('Data_Price '!AL$2:AL$1266,MATCH(Data!$DN743,'Data_Price '!$AT$2:$AT$1266,0))</f>
        <v/>
      </c>
      <c r="DD743">
        <f>INDEX('Data_Price '!AM$2:AM$1266,MATCH(Data!$DN743,'Data_Price '!$AT$2:$AT$1266,0))</f>
        <v/>
      </c>
      <c r="DE743">
        <f>INDEX('Data_Price '!AN$2:AN$1266,MATCH(Data!$DN743,'Data_Price '!$AT$2:$AT$1266,0))</f>
        <v/>
      </c>
      <c r="DF743">
        <f>INDEX('Data_Price '!AO$2:AO$1266,MATCH(Data!$DN743,'Data_Price '!$AT$2:$AT$1266,0))</f>
        <v/>
      </c>
      <c r="DG743">
        <f>INDEX('Data_Price '!AP$2:AP$1266,MATCH(Data!$DN743,'Data_Price '!$AT$2:$AT$1266,0))</f>
        <v/>
      </c>
      <c r="DH743">
        <f>INDEX('Data_Price '!AQ$2:AQ$1266,MATCH(Data!$DN743,'Data_Price '!$AT$2:$AT$1266,0))</f>
        <v/>
      </c>
      <c r="DI743">
        <f>INDEX('Data_Price '!AR$2:AR$1266,MATCH(Data!$DN743,'Data_Price '!$AT$2:$AT$1266,0))</f>
        <v/>
      </c>
      <c r="DJ743" s="138">
        <f>DA743</f>
        <v/>
      </c>
      <c r="DK743" s="138">
        <f>DE743</f>
        <v/>
      </c>
      <c r="DL743" s="138">
        <f>DI743</f>
        <v/>
      </c>
      <c r="DM743" s="303">
        <f>IF(LEFT(BT743,1)=" ",RIGHT(BT743,LEN(BT743)-1),BT743)</f>
        <v/>
      </c>
      <c r="DN743" s="138">
        <f>_xlfn.CONCAT(BS743,DM743,BU743,BV743)</f>
        <v/>
      </c>
      <c r="DO743" s="307" t="n"/>
    </row>
    <row r="744" ht="15.6" customHeight="1" s="184">
      <c r="B744" s="303">
        <f t="array" ref="B744">IF(OR(ISERROR(K744:P744)),FALSE,TRUE)</f>
        <v/>
      </c>
      <c r="C744" s="60">
        <f>OR(BR744=Driver!$G$50,Data!BR395=Driver!$H$50)</f>
        <v/>
      </c>
      <c r="D744" s="60">
        <f>OR(BV744=Driver!$G$51,BV744=Driver!$H$51)</f>
        <v/>
      </c>
      <c r="E744" s="60">
        <f>AND(BX744&gt;Driver!$F$54,BX744&lt;Driver!$G$54)</f>
        <v/>
      </c>
      <c r="F744" s="60">
        <f>CL744&gt;Driver!$F$56</f>
        <v/>
      </c>
      <c r="G744" s="60">
        <f>AND(CB744&gt;Driver!$F$55,CB744&lt;Driver!$G$55)</f>
        <v/>
      </c>
      <c r="H744" s="60">
        <f>AND(B744:G744)</f>
        <v/>
      </c>
      <c r="I744" s="60">
        <f>COUNTIFS($H$9:$H$1273,TRUE,$BT$9:$BT$1273,BT744)</f>
        <v/>
      </c>
      <c r="J744" s="60">
        <f t="array" ref="J744">NOT(OR(($H$9:$H$1273=TRUE)*($I$9:$I$1273&gt;0)*($BT$9:$BT$1273=BT744)*($K$9:$K$1273&gt;K744)))</f>
        <v/>
      </c>
      <c r="K744" s="108">
        <f>IFERROR(1-AVERAGE(X744:Y744),"")</f>
        <v/>
      </c>
      <c r="L744" s="108">
        <f>1-X744</f>
        <v/>
      </c>
      <c r="M744" s="108">
        <f>1-Y744</f>
        <v/>
      </c>
      <c r="N744" s="108">
        <f>1-Z744</f>
        <v/>
      </c>
      <c r="O744" s="108">
        <f>1-AA744</f>
        <v/>
      </c>
      <c r="P744" s="108">
        <f>1-AB744</f>
        <v/>
      </c>
      <c r="Q744" s="108" t="n"/>
      <c r="R744" s="108" t="n"/>
      <c r="S744" s="108">
        <f>1-AE744</f>
        <v/>
      </c>
      <c r="T744" s="108">
        <f>1-AF744</f>
        <v/>
      </c>
      <c r="U744" s="108">
        <f>1-AG744</f>
        <v/>
      </c>
      <c r="V744" s="108">
        <f>1-AH744</f>
        <v/>
      </c>
      <c r="W744" s="108">
        <f>1-AI744</f>
        <v/>
      </c>
      <c r="X744" s="108">
        <f>ABS(AJ744-AJ$1)</f>
        <v/>
      </c>
      <c r="Y744" s="108">
        <f>AVERAGE(Z744:AB744)</f>
        <v/>
      </c>
      <c r="Z744" s="108">
        <f>ABS(AL744-AL$1)</f>
        <v/>
      </c>
      <c r="AA744" s="108">
        <f>ABS(AM744-AM$1)</f>
        <v/>
      </c>
      <c r="AB744" s="108">
        <f>ABS(AN744-AN$1)</f>
        <v/>
      </c>
      <c r="AC744" s="108" t="n"/>
      <c r="AD744" s="108" t="n"/>
      <c r="AE744" s="108">
        <f>ABS(AQ$1-AQ744)</f>
        <v/>
      </c>
      <c r="AF744" s="108">
        <f>ABS(AR$1-AR744)</f>
        <v/>
      </c>
      <c r="AG744" s="108">
        <f>ABS(AS$1-AS744)</f>
        <v/>
      </c>
      <c r="AH744" s="108">
        <f>ABS(AT$1-AT744)</f>
        <v/>
      </c>
      <c r="AI744" s="108">
        <f>ABS(AU$1-AU744)</f>
        <v/>
      </c>
      <c r="AJ744" s="108">
        <f>(AV744-Driver!$K$179)/(Driver!$L$179-Driver!$K$179)</f>
        <v/>
      </c>
      <c r="AK744" s="108">
        <f>(AW744-Driver!$K$180)/(Driver!$L$180-Driver!$K$180)</f>
        <v/>
      </c>
      <c r="AL744" s="108">
        <f>(AX744-Driver!$K$181)/(Driver!$L$181-Driver!$K$181)</f>
        <v/>
      </c>
      <c r="AM744" s="108">
        <f>(AY744-Driver!$K$182)/(Driver!$L$182-Driver!$K$182)</f>
        <v/>
      </c>
      <c r="AN744" s="108">
        <f>(AZ744-Driver!$K$183)/(Driver!$L$183-Driver!$K$183)</f>
        <v/>
      </c>
      <c r="AO744" s="108" t="n"/>
      <c r="AP744" s="108" t="n"/>
      <c r="AQ744" s="108">
        <f>(BC744-Driver!$K$188)/(Driver!$L$188-Driver!$K$188)</f>
        <v/>
      </c>
      <c r="AR744" s="108">
        <f>MIN((BD744-Driver!$K$189)/(Driver!$L$189-Driver!$K$189),100%)</f>
        <v/>
      </c>
      <c r="AS744" s="108">
        <f>(BE744-Driver!$K$190)/(Driver!$L$190-Driver!$K$190)</f>
        <v/>
      </c>
      <c r="AT744" s="108">
        <f>(BF744-Driver!$K$191)/(Driver!$L$191-Driver!$K$191)</f>
        <v/>
      </c>
      <c r="AU744" s="108">
        <f>(BG744-Driver!$K$192)/(Driver!$L$192-Driver!$K$192)</f>
        <v/>
      </c>
      <c r="AV744" s="105">
        <f>IFERROR(BM744*BJ744^1/4,"")</f>
        <v/>
      </c>
      <c r="AW744" s="105">
        <f>IFERROR(SUM(AX744:AZ744),"")</f>
        <v/>
      </c>
      <c r="AX744" s="105">
        <f>IFERROR(BH744,"")</f>
        <v/>
      </c>
      <c r="AY744" s="105">
        <f>IFERROR(Driver!$K$19/Data!BH744/Data!BI744*Data!BK744*Data!BL744,"")</f>
        <v/>
      </c>
      <c r="AZ744" s="105">
        <f>IFERROR(BI744*BN744,"")</f>
        <v/>
      </c>
      <c r="BA744" s="105" t="n"/>
      <c r="BB744" s="105" t="n"/>
      <c r="BC744" s="105">
        <f>IFERROR(BI744*BN744*BK744/BJ744^(1/2),"")</f>
        <v/>
      </c>
      <c r="BD744" s="105">
        <f>IFERROR(BH744*BM744*BL744/BJ744/BK744,"")</f>
        <v/>
      </c>
      <c r="BE744" s="105">
        <f>IFERROR(MIN(BI744/BQ744/BP744/BO744/BH744,$BE$1),"")</f>
        <v/>
      </c>
      <c r="BF744" s="105">
        <f>IFERROR(BJ744*BO744*BP744/BK744,"")</f>
        <v/>
      </c>
      <c r="BG744" s="105">
        <f>IFERROR(1/BM744/BH744*BQ744,"")</f>
        <v/>
      </c>
      <c r="BH744" s="102">
        <f>MAX((CE744-Driver!$F$200)/(Driver!$G$200-Driver!$F$200)*$BI$1,1)</f>
        <v/>
      </c>
      <c r="BI744" s="102">
        <f>MAX($BI$1*(BY744-Driver!$F$201)/(Driver!$G$201-Driver!$F$201),1)</f>
        <v/>
      </c>
      <c r="BJ744" s="102">
        <f>(CB744-Driver!$F$206)/(Driver!$G$206-Driver!$F$206)*$BI$1</f>
        <v/>
      </c>
      <c r="BK744" s="102">
        <f>(CD744-Driver!$F$203)/(Driver!$G$203-Driver!$F$203)*$BI$1</f>
        <v/>
      </c>
      <c r="BL744" s="102">
        <f>MAX((CR744-Driver!$F$202)/(Driver!$G$202-Driver!$F$202)*$BI$1,1)</f>
        <v/>
      </c>
      <c r="BM744" s="102">
        <f>MAX((CH744-Driver!$F$204)/(Driver!$G$204-Driver!$F$204)*$BI$1,1)</f>
        <v/>
      </c>
      <c r="BN744" s="102">
        <f>(CI744-Driver!$F$205)/(Driver!$G$205-Driver!$F$205)*$BI$1</f>
        <v/>
      </c>
      <c r="BO744" s="102">
        <f>(CK744-Driver!$F$207)/(Driver!$G$207-Driver!$F$207)*$BI$1</f>
        <v/>
      </c>
      <c r="BP744" s="102">
        <f>(CM744-Driver!$F$208)/(Driver!$G$208-Driver!$F$208)*$BI$1</f>
        <v/>
      </c>
      <c r="BQ744" s="102">
        <f>(CL744-Driver!$F$209)/(Driver!$G$209-Driver!$F$209)*$BI$1</f>
        <v/>
      </c>
      <c r="BR744" s="40" t="inlineStr">
        <is>
          <t>21/22</t>
        </is>
      </c>
      <c r="BS744" s="10" t="inlineStr">
        <is>
          <t xml:space="preserve"> Dynastar</t>
        </is>
      </c>
      <c r="BT744" s="11" t="inlineStr">
        <is>
          <t>M-Pro 84</t>
        </is>
      </c>
      <c r="BU744" s="13" t="n">
        <v>184</v>
      </c>
      <c r="BV744" s="11" t="inlineStr">
        <is>
          <t xml:space="preserve"> Unisex</t>
        </is>
      </c>
      <c r="BW744" s="13" t="n">
        <v>184</v>
      </c>
      <c r="BX744" s="13" t="n">
        <v>184.4</v>
      </c>
      <c r="BY744" s="13" t="n">
        <v>153</v>
      </c>
      <c r="BZ744" s="13" t="n">
        <v>152</v>
      </c>
      <c r="CA744" s="13" t="n">
        <v>121</v>
      </c>
      <c r="CB744" s="13" t="n">
        <v>82</v>
      </c>
      <c r="CC744" s="13" t="n">
        <v>104</v>
      </c>
      <c r="CD744" s="13" t="n">
        <v>18.6</v>
      </c>
      <c r="CE744" s="13" t="n">
        <v>1884</v>
      </c>
      <c r="CF744" s="13" t="n">
        <v>0.92</v>
      </c>
      <c r="CG744" s="13" t="n">
        <v>1740</v>
      </c>
      <c r="CH744" s="13" t="n">
        <v>239</v>
      </c>
      <c r="CI744" s="13" t="n">
        <v>113</v>
      </c>
      <c r="CJ744" s="13" t="n">
        <v>39</v>
      </c>
      <c r="CK744" s="13" t="n">
        <v>249</v>
      </c>
      <c r="CL744" s="13" t="n">
        <v>6</v>
      </c>
      <c r="CM744" s="13" t="n">
        <v>65</v>
      </c>
      <c r="CN744" s="13" t="n">
        <v>0.145</v>
      </c>
      <c r="CO744" s="13" t="n">
        <v>164</v>
      </c>
      <c r="CP744" s="13" t="n">
        <v>162</v>
      </c>
      <c r="CQ744" s="13" t="n">
        <v>85</v>
      </c>
      <c r="CR744" s="13" t="n">
        <v>10</v>
      </c>
      <c r="CS744" s="13" t="n">
        <v>6.9</v>
      </c>
      <c r="CT744" s="11" t="inlineStr">
        <is>
          <t xml:space="preserve"> On-Piste Carving</t>
        </is>
      </c>
      <c r="CU744" s="11" t="inlineStr">
        <is>
          <t xml:space="preserve"> On-Piste All-Mountain</t>
        </is>
      </c>
      <c r="CV744" s="11" t="inlineStr">
        <is>
          <t xml:space="preserve"> Resort Freeride</t>
        </is>
      </c>
      <c r="CW744" s="13" t="n"/>
      <c r="CX744">
        <f>INDEX('Data_Price '!AG$2:AG$1266,MATCH(Data!$DN744,'Data_Price '!$AT$2:$AT$1266,0))</f>
        <v/>
      </c>
      <c r="CY744">
        <f>INDEX('Data_Price '!AH$2:AH$1266,MATCH(Data!$DN744,'Data_Price '!$AT$2:$AT$1266,0))</f>
        <v/>
      </c>
      <c r="CZ744">
        <f>INDEX('Data_Price '!AI$2:AI$1266,MATCH(Data!$DN744,'Data_Price '!$AT$2:$AT$1266,0))</f>
        <v/>
      </c>
      <c r="DA744">
        <f>INDEX('Data_Price '!AJ$2:AJ$1266,MATCH(Data!$DN744,'Data_Price '!$AT$2:$AT$1266,0))</f>
        <v/>
      </c>
      <c r="DB744">
        <f>INDEX('Data_Price '!AK$2:AK$1266,MATCH(Data!$DN744,'Data_Price '!$AT$2:$AT$1266,0))</f>
        <v/>
      </c>
      <c r="DC744">
        <f>INDEX('Data_Price '!AL$2:AL$1266,MATCH(Data!$DN744,'Data_Price '!$AT$2:$AT$1266,0))</f>
        <v/>
      </c>
      <c r="DD744">
        <f>INDEX('Data_Price '!AM$2:AM$1266,MATCH(Data!$DN744,'Data_Price '!$AT$2:$AT$1266,0))</f>
        <v/>
      </c>
      <c r="DE744">
        <f>INDEX('Data_Price '!AN$2:AN$1266,MATCH(Data!$DN744,'Data_Price '!$AT$2:$AT$1266,0))</f>
        <v/>
      </c>
      <c r="DF744">
        <f>INDEX('Data_Price '!AO$2:AO$1266,MATCH(Data!$DN744,'Data_Price '!$AT$2:$AT$1266,0))</f>
        <v/>
      </c>
      <c r="DG744">
        <f>INDEX('Data_Price '!AP$2:AP$1266,MATCH(Data!$DN744,'Data_Price '!$AT$2:$AT$1266,0))</f>
        <v/>
      </c>
      <c r="DH744">
        <f>INDEX('Data_Price '!AQ$2:AQ$1266,MATCH(Data!$DN744,'Data_Price '!$AT$2:$AT$1266,0))</f>
        <v/>
      </c>
      <c r="DI744">
        <f>INDEX('Data_Price '!AR$2:AR$1266,MATCH(Data!$DN744,'Data_Price '!$AT$2:$AT$1266,0))</f>
        <v/>
      </c>
      <c r="DJ744" s="138">
        <f>DA744</f>
        <v/>
      </c>
      <c r="DK744" s="138">
        <f>DE744</f>
        <v/>
      </c>
      <c r="DL744" s="138">
        <f>DI744</f>
        <v/>
      </c>
      <c r="DM744" s="303">
        <f>IF(LEFT(BT744,1)=" ",RIGHT(BT744,LEN(BT744)-1),BT744)</f>
        <v/>
      </c>
      <c r="DN744" s="138">
        <f>_xlfn.CONCAT(BS744,DM744,BU744,BV744)</f>
        <v/>
      </c>
      <c r="DO744" s="307" t="inlineStr">
        <is>
          <t>https://images.evo.com/imgp/250/185152/874336/dynastar-m-pro-84-skis-2021-.jpg</t>
        </is>
      </c>
    </row>
    <row r="745" ht="15.6" customHeight="1" s="184">
      <c r="B745" s="303">
        <f t="array" ref="B745">IF(OR(ISERROR(K745:P745)),FALSE,TRUE)</f>
        <v/>
      </c>
      <c r="C745" s="60">
        <f>OR(BR745=Driver!$G$50,Data!BR635=Driver!$H$50)</f>
        <v/>
      </c>
      <c r="D745" s="60">
        <f>OR(BV745=Driver!$G$51,BV745=Driver!$H$51)</f>
        <v/>
      </c>
      <c r="E745" s="60">
        <f>AND(BX745&gt;Driver!$F$54,BX745&lt;Driver!$G$54)</f>
        <v/>
      </c>
      <c r="F745" s="60">
        <f>CL745&gt;Driver!$F$56</f>
        <v/>
      </c>
      <c r="G745" s="60">
        <f>AND(CB745&gt;Driver!$F$55,CB745&lt;Driver!$G$55)</f>
        <v/>
      </c>
      <c r="H745" s="60">
        <f>AND(B745:G745)</f>
        <v/>
      </c>
      <c r="I745" s="60">
        <f>COUNTIFS($H$9:$H$1273,TRUE,$BT$9:$BT$1273,BT745)</f>
        <v/>
      </c>
      <c r="J745" s="60">
        <f t="array" ref="J745">NOT(OR(($H$9:$H$1273=TRUE)*($I$9:$I$1273&gt;0)*($BT$9:$BT$1273=BT745)*($K$9:$K$1273&gt;K745)))</f>
        <v/>
      </c>
      <c r="K745" s="108">
        <f>IFERROR(1-AVERAGE(X745:Y745),"")</f>
        <v/>
      </c>
      <c r="L745" s="108">
        <f>1-X745</f>
        <v/>
      </c>
      <c r="M745" s="108">
        <f>1-Y745</f>
        <v/>
      </c>
      <c r="N745" s="108">
        <f>1-Z745</f>
        <v/>
      </c>
      <c r="O745" s="108">
        <f>1-AA745</f>
        <v/>
      </c>
      <c r="P745" s="108">
        <f>1-AB745</f>
        <v/>
      </c>
      <c r="Q745" s="108" t="n"/>
      <c r="R745" s="108" t="n"/>
      <c r="S745" s="108">
        <f>1-AE745</f>
        <v/>
      </c>
      <c r="T745" s="108">
        <f>1-AF745</f>
        <v/>
      </c>
      <c r="U745" s="108">
        <f>1-AG745</f>
        <v/>
      </c>
      <c r="V745" s="108">
        <f>1-AH745</f>
        <v/>
      </c>
      <c r="W745" s="108">
        <f>1-AI745</f>
        <v/>
      </c>
      <c r="X745" s="108">
        <f>ABS(AJ745-AJ$1)</f>
        <v/>
      </c>
      <c r="Y745" s="108">
        <f>AVERAGE(Z745:AB745)</f>
        <v/>
      </c>
      <c r="Z745" s="108">
        <f>ABS(AL745-AL$1)</f>
        <v/>
      </c>
      <c r="AA745" s="108">
        <f>ABS(AM745-AM$1)</f>
        <v/>
      </c>
      <c r="AB745" s="108">
        <f>ABS(AN745-AN$1)</f>
        <v/>
      </c>
      <c r="AC745" s="108" t="n"/>
      <c r="AD745" s="108" t="n"/>
      <c r="AE745" s="108">
        <f>ABS(AQ$1-AQ745)</f>
        <v/>
      </c>
      <c r="AF745" s="108">
        <f>ABS(AR$1-AR745)</f>
        <v/>
      </c>
      <c r="AG745" s="108">
        <f>ABS(AS$1-AS745)</f>
        <v/>
      </c>
      <c r="AH745" s="108">
        <f>ABS(AT$1-AT745)</f>
        <v/>
      </c>
      <c r="AI745" s="108">
        <f>ABS(AU$1-AU745)</f>
        <v/>
      </c>
      <c r="AJ745" s="108">
        <f>(AV745-Driver!$K$179)/(Driver!$L$179-Driver!$K$179)</f>
        <v/>
      </c>
      <c r="AK745" s="108">
        <f>(AW745-Driver!$K$180)/(Driver!$L$180-Driver!$K$180)</f>
        <v/>
      </c>
      <c r="AL745" s="108">
        <f>(AX745-Driver!$K$181)/(Driver!$L$181-Driver!$K$181)</f>
        <v/>
      </c>
      <c r="AM745" s="108">
        <f>(AY745-Driver!$K$182)/(Driver!$L$182-Driver!$K$182)</f>
        <v/>
      </c>
      <c r="AN745" s="108">
        <f>(AZ745-Driver!$K$183)/(Driver!$L$183-Driver!$K$183)</f>
        <v/>
      </c>
      <c r="AO745" s="108" t="n"/>
      <c r="AP745" s="108" t="n"/>
      <c r="AQ745" s="108">
        <f>(BC745-Driver!$K$188)/(Driver!$L$188-Driver!$K$188)</f>
        <v/>
      </c>
      <c r="AR745" s="108">
        <f>MIN((BD745-Driver!$K$189)/(Driver!$L$189-Driver!$K$189),100%)</f>
        <v/>
      </c>
      <c r="AS745" s="108">
        <f>(BE745-Driver!$K$190)/(Driver!$L$190-Driver!$K$190)</f>
        <v/>
      </c>
      <c r="AT745" s="108">
        <f>(BF745-Driver!$K$191)/(Driver!$L$191-Driver!$K$191)</f>
        <v/>
      </c>
      <c r="AU745" s="108">
        <f>(BG745-Driver!$K$192)/(Driver!$L$192-Driver!$K$192)</f>
        <v/>
      </c>
      <c r="AV745" s="105">
        <f>IFERROR(BM745*BJ745^1/4,"")</f>
        <v/>
      </c>
      <c r="AW745" s="105">
        <f>IFERROR(SUM(AX745:AZ745),"")</f>
        <v/>
      </c>
      <c r="AX745" s="105">
        <f>IFERROR(BH745,"")</f>
        <v/>
      </c>
      <c r="AY745" s="105">
        <f>IFERROR(Driver!$K$19/Data!BH745/Data!BI745*Data!BK745*Data!BL745,"")</f>
        <v/>
      </c>
      <c r="AZ745" s="105">
        <f>IFERROR(BI745*BN745,"")</f>
        <v/>
      </c>
      <c r="BA745" s="105" t="n"/>
      <c r="BB745" s="105" t="n"/>
      <c r="BC745" s="105">
        <f>IFERROR(BI745*BN745*BK745/BJ745^(1/2),"")</f>
        <v/>
      </c>
      <c r="BD745" s="105">
        <f>IFERROR(BH745*BM745*BL745/BJ745/BK745,"")</f>
        <v/>
      </c>
      <c r="BE745" s="105">
        <f>IFERROR(MIN(BI745/BQ745/BP745/BO745/BH745,$BE$1),"")</f>
        <v/>
      </c>
      <c r="BF745" s="105">
        <f>IFERROR(BJ745*BO745*BP745/BK745,"")</f>
        <v/>
      </c>
      <c r="BG745" s="105">
        <f>IFERROR(1/BM745/BH745*BQ745,"")</f>
        <v/>
      </c>
      <c r="BH745" s="102">
        <f>MAX((CE745-Driver!$F$200)/(Driver!$G$200-Driver!$F$200)*$BI$1,1)</f>
        <v/>
      </c>
      <c r="BI745" s="102">
        <f>MAX($BI$1*(BY745-Driver!$F$201)/(Driver!$G$201-Driver!$F$201),1)</f>
        <v/>
      </c>
      <c r="BJ745" s="102">
        <f>(CB745-Driver!$F$206)/(Driver!$G$206-Driver!$F$206)*$BI$1</f>
        <v/>
      </c>
      <c r="BK745" s="102">
        <f>(CD745-Driver!$F$203)/(Driver!$G$203-Driver!$F$203)*$BI$1</f>
        <v/>
      </c>
      <c r="BL745" s="102">
        <f>MAX((CR745-Driver!$F$202)/(Driver!$G$202-Driver!$F$202)*$BI$1,1)</f>
        <v/>
      </c>
      <c r="BM745" s="102">
        <f>MAX((CH745-Driver!$F$204)/(Driver!$G$204-Driver!$F$204)*$BI$1,1)</f>
        <v/>
      </c>
      <c r="BN745" s="102">
        <f>(CI745-Driver!$F$205)/(Driver!$G$205-Driver!$F$205)*$BI$1</f>
        <v/>
      </c>
      <c r="BO745" s="102">
        <f>(CK745-Driver!$F$207)/(Driver!$G$207-Driver!$F$207)*$BI$1</f>
        <v/>
      </c>
      <c r="BP745" s="102">
        <f>(CM745-Driver!$F$208)/(Driver!$G$208-Driver!$F$208)*$BI$1</f>
        <v/>
      </c>
      <c r="BQ745" s="102">
        <f>(CL745-Driver!$F$209)/(Driver!$G$209-Driver!$F$209)*$BI$1</f>
        <v/>
      </c>
      <c r="BR745" s="40" t="inlineStr">
        <is>
          <t>21/22</t>
        </is>
      </c>
      <c r="BS745" s="10" t="inlineStr">
        <is>
          <t xml:space="preserve"> Head</t>
        </is>
      </c>
      <c r="BT745" s="11" t="inlineStr">
        <is>
          <t>Oblivion 94</t>
        </is>
      </c>
      <c r="BU745" s="13" t="n">
        <v>170</v>
      </c>
      <c r="BV745" s="11" t="inlineStr">
        <is>
          <t xml:space="preserve"> Unisex</t>
        </is>
      </c>
      <c r="BW745" s="13" t="n">
        <v>170</v>
      </c>
      <c r="BX745" s="13" t="n">
        <v>168.1</v>
      </c>
      <c r="BY745" s="13" t="n">
        <v>130</v>
      </c>
      <c r="BZ745" s="13" t="n">
        <v>150</v>
      </c>
      <c r="CA745" s="13" t="n">
        <v>125</v>
      </c>
      <c r="CB745" s="13" t="n">
        <v>92</v>
      </c>
      <c r="CC745" s="13" t="n">
        <v>116</v>
      </c>
      <c r="CD745" s="13" t="n">
        <v>19.3</v>
      </c>
      <c r="CE745" s="13" t="n">
        <v>1645</v>
      </c>
      <c r="CF745" s="13" t="n">
        <v>1.04</v>
      </c>
      <c r="CG745" s="13" t="n">
        <v>1712</v>
      </c>
      <c r="CH745" s="13" t="n">
        <v>149</v>
      </c>
      <c r="CI745" s="13" t="n">
        <v>68</v>
      </c>
      <c r="CJ745" s="13" t="n">
        <v>53</v>
      </c>
      <c r="CK745" s="13" t="n">
        <v>233</v>
      </c>
      <c r="CL745" s="13" t="n">
        <v>37</v>
      </c>
      <c r="CM745" s="13" t="n">
        <v>145</v>
      </c>
      <c r="CN745" s="13" t="n">
        <v>0.703</v>
      </c>
      <c r="CO745" s="13" t="n">
        <v>97</v>
      </c>
      <c r="CP745" s="13" t="n">
        <v>88</v>
      </c>
      <c r="CQ745" s="13" t="n">
        <v>137</v>
      </c>
      <c r="CR745" s="13" t="n">
        <v>10</v>
      </c>
      <c r="CS745" s="13" t="n">
        <v>5.6</v>
      </c>
      <c r="CT745" s="11" t="inlineStr">
        <is>
          <t xml:space="preserve"> Resort Freeride</t>
        </is>
      </c>
      <c r="CU745" s="13" t="n"/>
      <c r="CV745" s="13" t="n"/>
      <c r="CW745" s="13" t="n"/>
      <c r="CX745">
        <f>INDEX('Data_Price '!AG$2:AG$1266,MATCH(Data!$DN745,'Data_Price '!$AT$2:$AT$1266,0))</f>
        <v/>
      </c>
      <c r="CY745">
        <f>INDEX('Data_Price '!AH$2:AH$1266,MATCH(Data!$DN745,'Data_Price '!$AT$2:$AT$1266,0))</f>
        <v/>
      </c>
      <c r="CZ745">
        <f>INDEX('Data_Price '!AI$2:AI$1266,MATCH(Data!$DN745,'Data_Price '!$AT$2:$AT$1266,0))</f>
        <v/>
      </c>
      <c r="DA745">
        <f>INDEX('Data_Price '!AJ$2:AJ$1266,MATCH(Data!$DN745,'Data_Price '!$AT$2:$AT$1266,0))</f>
        <v/>
      </c>
      <c r="DB745">
        <f>INDEX('Data_Price '!AK$2:AK$1266,MATCH(Data!$DN745,'Data_Price '!$AT$2:$AT$1266,0))</f>
        <v/>
      </c>
      <c r="DC745">
        <f>INDEX('Data_Price '!AL$2:AL$1266,MATCH(Data!$DN745,'Data_Price '!$AT$2:$AT$1266,0))</f>
        <v/>
      </c>
      <c r="DD745">
        <f>INDEX('Data_Price '!AM$2:AM$1266,MATCH(Data!$DN745,'Data_Price '!$AT$2:$AT$1266,0))</f>
        <v/>
      </c>
      <c r="DE745">
        <f>INDEX('Data_Price '!AN$2:AN$1266,MATCH(Data!$DN745,'Data_Price '!$AT$2:$AT$1266,0))</f>
        <v/>
      </c>
      <c r="DF745">
        <f>INDEX('Data_Price '!AO$2:AO$1266,MATCH(Data!$DN745,'Data_Price '!$AT$2:$AT$1266,0))</f>
        <v/>
      </c>
      <c r="DG745">
        <f>INDEX('Data_Price '!AP$2:AP$1266,MATCH(Data!$DN745,'Data_Price '!$AT$2:$AT$1266,0))</f>
        <v/>
      </c>
      <c r="DH745">
        <f>INDEX('Data_Price '!AQ$2:AQ$1266,MATCH(Data!$DN745,'Data_Price '!$AT$2:$AT$1266,0))</f>
        <v/>
      </c>
      <c r="DI745">
        <f>INDEX('Data_Price '!AR$2:AR$1266,MATCH(Data!$DN745,'Data_Price '!$AT$2:$AT$1266,0))</f>
        <v/>
      </c>
      <c r="DJ745" s="138">
        <f>DA745</f>
        <v/>
      </c>
      <c r="DK745" s="138">
        <f>DE745</f>
        <v/>
      </c>
      <c r="DL745" s="138">
        <f>DI745</f>
        <v/>
      </c>
      <c r="DM745" s="303">
        <f>IF(LEFT(BT745,1)=" ",RIGHT(BT745,LEN(BT745)-1),BT745)</f>
        <v/>
      </c>
      <c r="DN745" s="138">
        <f>_xlfn.CONCAT(BS745,DM745,BU745,BV745)</f>
        <v/>
      </c>
      <c r="DO745" s="307" t="inlineStr">
        <is>
          <t>https://images.evo.com/imgp/250/208282/832656/clone.jpg</t>
        </is>
      </c>
    </row>
    <row r="746" ht="15.6" customHeight="1" s="184">
      <c r="B746" s="303">
        <f t="array" ref="B746">IF(OR(ISERROR(K746:P746)),FALSE,TRUE)</f>
        <v/>
      </c>
      <c r="C746" s="60">
        <f>OR(BR746=Driver!$G$50,Data!BR616=Driver!$H$50)</f>
        <v/>
      </c>
      <c r="D746" s="60">
        <f>OR(BV746=Driver!$G$51,BV746=Driver!$H$51)</f>
        <v/>
      </c>
      <c r="E746" s="60">
        <f>AND(BX746&gt;Driver!$F$54,BX746&lt;Driver!$G$54)</f>
        <v/>
      </c>
      <c r="F746" s="60">
        <f>CL746&gt;Driver!$F$56</f>
        <v/>
      </c>
      <c r="G746" s="60">
        <f>AND(CB746&gt;Driver!$F$55,CB746&lt;Driver!$G$55)</f>
        <v/>
      </c>
      <c r="H746" s="60">
        <f>AND(B746:G746)</f>
        <v/>
      </c>
      <c r="I746" s="60">
        <f>COUNTIFS($H$9:$H$1273,TRUE,$BT$9:$BT$1273,BT746)</f>
        <v/>
      </c>
      <c r="J746" s="60">
        <f t="array" ref="J746">NOT(OR(($H$9:$H$1273=TRUE)*($I$9:$I$1273&gt;0)*($BT$9:$BT$1273=BT746)*($K$9:$K$1273&gt;K746)))</f>
        <v/>
      </c>
      <c r="K746" s="108">
        <f>IFERROR(1-AVERAGE(X746:Y746),"")</f>
        <v/>
      </c>
      <c r="L746" s="108">
        <f>1-X746</f>
        <v/>
      </c>
      <c r="M746" s="108">
        <f>1-Y746</f>
        <v/>
      </c>
      <c r="N746" s="108">
        <f>1-Z746</f>
        <v/>
      </c>
      <c r="O746" s="108">
        <f>1-AA746</f>
        <v/>
      </c>
      <c r="P746" s="108">
        <f>1-AB746</f>
        <v/>
      </c>
      <c r="Q746" s="108" t="n"/>
      <c r="R746" s="108" t="n"/>
      <c r="S746" s="108">
        <f>1-AE746</f>
        <v/>
      </c>
      <c r="T746" s="108">
        <f>1-AF746</f>
        <v/>
      </c>
      <c r="U746" s="108">
        <f>1-AG746</f>
        <v/>
      </c>
      <c r="V746" s="108">
        <f>1-AH746</f>
        <v/>
      </c>
      <c r="W746" s="108">
        <f>1-AI746</f>
        <v/>
      </c>
      <c r="X746" s="108">
        <f>ABS(AJ746-AJ$1)</f>
        <v/>
      </c>
      <c r="Y746" s="108">
        <f>AVERAGE(Z746:AB746)</f>
        <v/>
      </c>
      <c r="Z746" s="108">
        <f>ABS(AL746-AL$1)</f>
        <v/>
      </c>
      <c r="AA746" s="108">
        <f>ABS(AM746-AM$1)</f>
        <v/>
      </c>
      <c r="AB746" s="108">
        <f>ABS(AN746-AN$1)</f>
        <v/>
      </c>
      <c r="AC746" s="108" t="n"/>
      <c r="AD746" s="108" t="n"/>
      <c r="AE746" s="108">
        <f>ABS(AQ$1-AQ746)</f>
        <v/>
      </c>
      <c r="AF746" s="108">
        <f>ABS(AR$1-AR746)</f>
        <v/>
      </c>
      <c r="AG746" s="108">
        <f>ABS(AS$1-AS746)</f>
        <v/>
      </c>
      <c r="AH746" s="108">
        <f>ABS(AT$1-AT746)</f>
        <v/>
      </c>
      <c r="AI746" s="108">
        <f>ABS(AU$1-AU746)</f>
        <v/>
      </c>
      <c r="AJ746" s="108">
        <f>(AV746-Driver!$K$179)/(Driver!$L$179-Driver!$K$179)</f>
        <v/>
      </c>
      <c r="AK746" s="108">
        <f>(AW746-Driver!$K$180)/(Driver!$L$180-Driver!$K$180)</f>
        <v/>
      </c>
      <c r="AL746" s="108">
        <f>(AX746-Driver!$K$181)/(Driver!$L$181-Driver!$K$181)</f>
        <v/>
      </c>
      <c r="AM746" s="108">
        <f>(AY746-Driver!$K$182)/(Driver!$L$182-Driver!$K$182)</f>
        <v/>
      </c>
      <c r="AN746" s="108">
        <f>(AZ746-Driver!$K$183)/(Driver!$L$183-Driver!$K$183)</f>
        <v/>
      </c>
      <c r="AO746" s="108" t="n"/>
      <c r="AP746" s="108" t="n"/>
      <c r="AQ746" s="108">
        <f>(BC746-Driver!$K$188)/(Driver!$L$188-Driver!$K$188)</f>
        <v/>
      </c>
      <c r="AR746" s="108">
        <f>MIN((BD746-Driver!$K$189)/(Driver!$L$189-Driver!$K$189),100%)</f>
        <v/>
      </c>
      <c r="AS746" s="108">
        <f>(BE746-Driver!$K$190)/(Driver!$L$190-Driver!$K$190)</f>
        <v/>
      </c>
      <c r="AT746" s="108">
        <f>(BF746-Driver!$K$191)/(Driver!$L$191-Driver!$K$191)</f>
        <v/>
      </c>
      <c r="AU746" s="108">
        <f>(BG746-Driver!$K$192)/(Driver!$L$192-Driver!$K$192)</f>
        <v/>
      </c>
      <c r="AV746" s="105">
        <f>IFERROR(BM746*BJ746^1/4,"")</f>
        <v/>
      </c>
      <c r="AW746" s="105">
        <f>IFERROR(SUM(AX746:AZ746),"")</f>
        <v/>
      </c>
      <c r="AX746" s="105">
        <f>IFERROR(BH746,"")</f>
        <v/>
      </c>
      <c r="AY746" s="105">
        <f>IFERROR(Driver!$K$19/Data!BH746/Data!BI746*Data!BK746*Data!BL746,"")</f>
        <v/>
      </c>
      <c r="AZ746" s="105">
        <f>IFERROR(BI746*BN746,"")</f>
        <v/>
      </c>
      <c r="BA746" s="105" t="n"/>
      <c r="BB746" s="105" t="n"/>
      <c r="BC746" s="105">
        <f>IFERROR(BI746*BN746*BK746/BJ746^(1/2),"")</f>
        <v/>
      </c>
      <c r="BD746" s="105">
        <f>IFERROR(BH746*BM746*BL746/BJ746/BK746,"")</f>
        <v/>
      </c>
      <c r="BE746" s="105">
        <f>IFERROR(MIN(BI746/BQ746/BP746/BO746/BH746,$BE$1),"")</f>
        <v/>
      </c>
      <c r="BF746" s="105">
        <f>IFERROR(BJ746*BO746*BP746/BK746,"")</f>
        <v/>
      </c>
      <c r="BG746" s="105">
        <f>IFERROR(1/BM746/BH746*BQ746,"")</f>
        <v/>
      </c>
      <c r="BH746" s="102">
        <f>MAX((CE746-Driver!$F$200)/(Driver!$G$200-Driver!$F$200)*$BI$1,1)</f>
        <v/>
      </c>
      <c r="BI746" s="102">
        <f>MAX($BI$1*(BY746-Driver!$F$201)/(Driver!$G$201-Driver!$F$201),1)</f>
        <v/>
      </c>
      <c r="BJ746" s="102">
        <f>(CB746-Driver!$F$206)/(Driver!$G$206-Driver!$F$206)*$BI$1</f>
        <v/>
      </c>
      <c r="BK746" s="102">
        <f>(CD746-Driver!$F$203)/(Driver!$G$203-Driver!$F$203)*$BI$1</f>
        <v/>
      </c>
      <c r="BL746" s="102">
        <f>MAX((CR746-Driver!$F$202)/(Driver!$G$202-Driver!$F$202)*$BI$1,1)</f>
        <v/>
      </c>
      <c r="BM746" s="102">
        <f>MAX((CH746-Driver!$F$204)/(Driver!$G$204-Driver!$F$204)*$BI$1,1)</f>
        <v/>
      </c>
      <c r="BN746" s="102">
        <f>(CI746-Driver!$F$205)/(Driver!$G$205-Driver!$F$205)*$BI$1</f>
        <v/>
      </c>
      <c r="BO746" s="102">
        <f>(CK746-Driver!$F$207)/(Driver!$G$207-Driver!$F$207)*$BI$1</f>
        <v/>
      </c>
      <c r="BP746" s="102">
        <f>(CM746-Driver!$F$208)/(Driver!$G$208-Driver!$F$208)*$BI$1</f>
        <v/>
      </c>
      <c r="BQ746" s="102">
        <f>(CL746-Driver!$F$209)/(Driver!$G$209-Driver!$F$209)*$BI$1</f>
        <v/>
      </c>
      <c r="BR746" s="40" t="inlineStr">
        <is>
          <t>21/22</t>
        </is>
      </c>
      <c r="BS746" s="10" t="inlineStr">
        <is>
          <t xml:space="preserve"> Head</t>
        </is>
      </c>
      <c r="BT746" s="11" t="inlineStr">
        <is>
          <t>Kore 90 X</t>
        </is>
      </c>
      <c r="BU746" s="13" t="n">
        <v>170</v>
      </c>
      <c r="BV746" s="11" t="inlineStr">
        <is>
          <t xml:space="preserve"> Unisex</t>
        </is>
      </c>
      <c r="BW746" s="13" t="n">
        <v>170</v>
      </c>
      <c r="BX746" s="13" t="n">
        <v>169.6</v>
      </c>
      <c r="BY746" s="13" t="n">
        <v>135</v>
      </c>
      <c r="BZ746" s="13" t="n">
        <v>140</v>
      </c>
      <c r="CA746" s="13" t="n">
        <v>129</v>
      </c>
      <c r="CB746" s="13" t="n">
        <v>90</v>
      </c>
      <c r="CC746" s="13" t="n">
        <v>112</v>
      </c>
      <c r="CD746" s="13" t="n">
        <v>14.6</v>
      </c>
      <c r="CE746" s="13" t="n">
        <v>1873</v>
      </c>
      <c r="CF746" s="13" t="n">
        <v>0.93</v>
      </c>
      <c r="CG746" s="13" t="n">
        <v>1742</v>
      </c>
      <c r="CH746" s="13" t="n">
        <v>168</v>
      </c>
      <c r="CI746" s="13" t="n">
        <v>74</v>
      </c>
      <c r="CJ746" s="13" t="n">
        <v>47</v>
      </c>
      <c r="CK746" s="13" t="n">
        <v>216</v>
      </c>
      <c r="CL746" s="13" t="n">
        <v>11</v>
      </c>
      <c r="CM746" s="13" t="n">
        <v>130</v>
      </c>
      <c r="CN746" s="13" t="n">
        <v>0.231</v>
      </c>
      <c r="CO746" s="13" t="n">
        <v>148</v>
      </c>
      <c r="CP746" s="13" t="n">
        <v>151</v>
      </c>
      <c r="CQ746" s="13" t="n">
        <v>67</v>
      </c>
      <c r="CR746" s="13" t="n">
        <v>10</v>
      </c>
      <c r="CS746" s="13" t="n">
        <v>9.9</v>
      </c>
      <c r="CT746" s="11" t="inlineStr">
        <is>
          <t xml:space="preserve"> Resort Freeride</t>
        </is>
      </c>
      <c r="CU746" s="13" t="n"/>
      <c r="CV746" s="13" t="n"/>
      <c r="CW746" s="13" t="n"/>
      <c r="CX746">
        <f>INDEX('Data_Price '!AG$2:AG$1266,MATCH(Data!$DN746,'Data_Price '!$AT$2:$AT$1266,0))</f>
        <v/>
      </c>
      <c r="CY746">
        <f>INDEX('Data_Price '!AH$2:AH$1266,MATCH(Data!$DN746,'Data_Price '!$AT$2:$AT$1266,0))</f>
        <v/>
      </c>
      <c r="CZ746">
        <f>INDEX('Data_Price '!AI$2:AI$1266,MATCH(Data!$DN746,'Data_Price '!$AT$2:$AT$1266,0))</f>
        <v/>
      </c>
      <c r="DA746">
        <f>INDEX('Data_Price '!AJ$2:AJ$1266,MATCH(Data!$DN746,'Data_Price '!$AT$2:$AT$1266,0))</f>
        <v/>
      </c>
      <c r="DB746">
        <f>INDEX('Data_Price '!AK$2:AK$1266,MATCH(Data!$DN746,'Data_Price '!$AT$2:$AT$1266,0))</f>
        <v/>
      </c>
      <c r="DC746">
        <f>INDEX('Data_Price '!AL$2:AL$1266,MATCH(Data!$DN746,'Data_Price '!$AT$2:$AT$1266,0))</f>
        <v/>
      </c>
      <c r="DD746">
        <f>INDEX('Data_Price '!AM$2:AM$1266,MATCH(Data!$DN746,'Data_Price '!$AT$2:$AT$1266,0))</f>
        <v/>
      </c>
      <c r="DE746">
        <f>INDEX('Data_Price '!AN$2:AN$1266,MATCH(Data!$DN746,'Data_Price '!$AT$2:$AT$1266,0))</f>
        <v/>
      </c>
      <c r="DF746">
        <f>INDEX('Data_Price '!AO$2:AO$1266,MATCH(Data!$DN746,'Data_Price '!$AT$2:$AT$1266,0))</f>
        <v/>
      </c>
      <c r="DG746">
        <f>INDEX('Data_Price '!AP$2:AP$1266,MATCH(Data!$DN746,'Data_Price '!$AT$2:$AT$1266,0))</f>
        <v/>
      </c>
      <c r="DH746">
        <f>INDEX('Data_Price '!AQ$2:AQ$1266,MATCH(Data!$DN746,'Data_Price '!$AT$2:$AT$1266,0))</f>
        <v/>
      </c>
      <c r="DI746">
        <f>INDEX('Data_Price '!AR$2:AR$1266,MATCH(Data!$DN746,'Data_Price '!$AT$2:$AT$1266,0))</f>
        <v/>
      </c>
      <c r="DJ746" s="138">
        <f>DA746</f>
        <v/>
      </c>
      <c r="DK746" s="138">
        <f>DE746</f>
        <v/>
      </c>
      <c r="DL746" s="138">
        <f>DI746</f>
        <v/>
      </c>
      <c r="DM746" s="303">
        <f>IF(LEFT(BT746,1)=" ",RIGHT(BT746,LEN(BT746)-1),BT746)</f>
        <v/>
      </c>
      <c r="DN746" s="138">
        <f>_xlfn.CONCAT(BS746,DM746,BU746,BV746)</f>
        <v/>
      </c>
      <c r="DO746" s="307" t="inlineStr">
        <is>
          <t>https://images.evo.com/imgp/250/218718/886395/head-kore-90-x-skis-2022-.jpg</t>
        </is>
      </c>
    </row>
    <row r="747" ht="15.6" customHeight="1" s="184">
      <c r="B747" s="303">
        <f t="array" ref="B747">IF(OR(ISERROR(K747:P747)),FALSE,TRUE)</f>
        <v/>
      </c>
      <c r="C747" s="60">
        <f>OR(BR747=Driver!$G$50,Data!BR231=Driver!$H$50)</f>
        <v/>
      </c>
      <c r="D747" s="60">
        <f>OR(BV747=Driver!$G$51,BV747=Driver!$H$51)</f>
        <v/>
      </c>
      <c r="E747" s="60">
        <f>AND(BX747&gt;Driver!$F$54,BX747&lt;Driver!$G$54)</f>
        <v/>
      </c>
      <c r="F747" s="60">
        <f>CL747&gt;Driver!$F$56</f>
        <v/>
      </c>
      <c r="G747" s="60">
        <f>AND(CB747&gt;Driver!$F$55,CB747&lt;Driver!$G$55)</f>
        <v/>
      </c>
      <c r="H747" s="60">
        <f>AND(B747:G747)</f>
        <v/>
      </c>
      <c r="I747" s="60">
        <f>COUNTIFS($H$9:$H$1273,TRUE,$BT$9:$BT$1273,BT747)</f>
        <v/>
      </c>
      <c r="J747" s="60">
        <f t="array" ref="J747">NOT(OR(($H$9:$H$1273=TRUE)*($I$9:$I$1273&gt;0)*($BT$9:$BT$1273=BT747)*($K$9:$K$1273&gt;K747)))</f>
        <v/>
      </c>
      <c r="K747" s="108">
        <f>IFERROR(1-AVERAGE(X747:Y747),"")</f>
        <v/>
      </c>
      <c r="L747" s="108">
        <f>1-X747</f>
        <v/>
      </c>
      <c r="M747" s="108">
        <f>1-Y747</f>
        <v/>
      </c>
      <c r="N747" s="108">
        <f>1-Z747</f>
        <v/>
      </c>
      <c r="O747" s="108">
        <f>1-AA747</f>
        <v/>
      </c>
      <c r="P747" s="108">
        <f>1-AB747</f>
        <v/>
      </c>
      <c r="Q747" s="108" t="n"/>
      <c r="R747" s="108" t="n"/>
      <c r="S747" s="108">
        <f>1-AE747</f>
        <v/>
      </c>
      <c r="T747" s="108">
        <f>1-AF747</f>
        <v/>
      </c>
      <c r="U747" s="108">
        <f>1-AG747</f>
        <v/>
      </c>
      <c r="V747" s="108">
        <f>1-AH747</f>
        <v/>
      </c>
      <c r="W747" s="108">
        <f>1-AI747</f>
        <v/>
      </c>
      <c r="X747" s="108">
        <f>ABS(AJ747-AJ$1)</f>
        <v/>
      </c>
      <c r="Y747" s="108">
        <f>AVERAGE(Z747:AB747)</f>
        <v/>
      </c>
      <c r="Z747" s="108">
        <f>ABS(AL747-AL$1)</f>
        <v/>
      </c>
      <c r="AA747" s="108">
        <f>ABS(AM747-AM$1)</f>
        <v/>
      </c>
      <c r="AB747" s="108">
        <f>ABS(AN747-AN$1)</f>
        <v/>
      </c>
      <c r="AC747" s="108" t="n"/>
      <c r="AD747" s="108" t="n"/>
      <c r="AE747" s="108">
        <f>ABS(AQ$1-AQ747)</f>
        <v/>
      </c>
      <c r="AF747" s="108">
        <f>ABS(AR$1-AR747)</f>
        <v/>
      </c>
      <c r="AG747" s="108">
        <f>ABS(AS$1-AS747)</f>
        <v/>
      </c>
      <c r="AH747" s="108">
        <f>ABS(AT$1-AT747)</f>
        <v/>
      </c>
      <c r="AI747" s="108">
        <f>ABS(AU$1-AU747)</f>
        <v/>
      </c>
      <c r="AJ747" s="108">
        <f>(AV747-Driver!$K$179)/(Driver!$L$179-Driver!$K$179)</f>
        <v/>
      </c>
      <c r="AK747" s="108">
        <f>(AW747-Driver!$K$180)/(Driver!$L$180-Driver!$K$180)</f>
        <v/>
      </c>
      <c r="AL747" s="108">
        <f>(AX747-Driver!$K$181)/(Driver!$L$181-Driver!$K$181)</f>
        <v/>
      </c>
      <c r="AM747" s="108">
        <f>(AY747-Driver!$K$182)/(Driver!$L$182-Driver!$K$182)</f>
        <v/>
      </c>
      <c r="AN747" s="108">
        <f>(AZ747-Driver!$K$183)/(Driver!$L$183-Driver!$K$183)</f>
        <v/>
      </c>
      <c r="AO747" s="108" t="n"/>
      <c r="AP747" s="108" t="n"/>
      <c r="AQ747" s="108">
        <f>(BC747-Driver!$K$188)/(Driver!$L$188-Driver!$K$188)</f>
        <v/>
      </c>
      <c r="AR747" s="108">
        <f>MIN((BD747-Driver!$K$189)/(Driver!$L$189-Driver!$K$189),100%)</f>
        <v/>
      </c>
      <c r="AS747" s="108">
        <f>(BE747-Driver!$K$190)/(Driver!$L$190-Driver!$K$190)</f>
        <v/>
      </c>
      <c r="AT747" s="108">
        <f>(BF747-Driver!$K$191)/(Driver!$L$191-Driver!$K$191)</f>
        <v/>
      </c>
      <c r="AU747" s="108">
        <f>(BG747-Driver!$K$192)/(Driver!$L$192-Driver!$K$192)</f>
        <v/>
      </c>
      <c r="AV747" s="105">
        <f>IFERROR(BM747*BJ747^1/4,"")</f>
        <v/>
      </c>
      <c r="AW747" s="105">
        <f>IFERROR(SUM(AX747:AZ747),"")</f>
        <v/>
      </c>
      <c r="AX747" s="105">
        <f>IFERROR(BH747,"")</f>
        <v/>
      </c>
      <c r="AY747" s="105">
        <f>IFERROR(Driver!$K$19/Data!BH747/Data!BI747*Data!BK747*Data!BL747,"")</f>
        <v/>
      </c>
      <c r="AZ747" s="105">
        <f>IFERROR(BI747*BN747,"")</f>
        <v/>
      </c>
      <c r="BA747" s="105" t="n"/>
      <c r="BB747" s="105" t="n"/>
      <c r="BC747" s="105">
        <f>IFERROR(BI747*BN747*BK747/BJ747^(1/2),"")</f>
        <v/>
      </c>
      <c r="BD747" s="105">
        <f>IFERROR(BH747*BM747*BL747/BJ747/BK747,"")</f>
        <v/>
      </c>
      <c r="BE747" s="105">
        <f>IFERROR(MIN(BI747/BQ747/BP747/BO747/BH747,$BE$1),"")</f>
        <v/>
      </c>
      <c r="BF747" s="105">
        <f>IFERROR(BJ747*BO747*BP747/BK747,"")</f>
        <v/>
      </c>
      <c r="BG747" s="105">
        <f>IFERROR(1/BM747/BH747*BQ747,"")</f>
        <v/>
      </c>
      <c r="BH747" s="102">
        <f>MAX((CE747-Driver!$F$200)/(Driver!$G$200-Driver!$F$200)*$BI$1,1)</f>
        <v/>
      </c>
      <c r="BI747" s="102">
        <f>MAX($BI$1*(BY747-Driver!$F$201)/(Driver!$G$201-Driver!$F$201),1)</f>
        <v/>
      </c>
      <c r="BJ747" s="102">
        <f>(CB747-Driver!$F$206)/(Driver!$G$206-Driver!$F$206)*$BI$1</f>
        <v/>
      </c>
      <c r="BK747" s="102">
        <f>(CD747-Driver!$F$203)/(Driver!$G$203-Driver!$F$203)*$BI$1</f>
        <v/>
      </c>
      <c r="BL747" s="102">
        <f>MAX((CR747-Driver!$F$202)/(Driver!$G$202-Driver!$F$202)*$BI$1,1)</f>
        <v/>
      </c>
      <c r="BM747" s="102">
        <f>MAX((CH747-Driver!$F$204)/(Driver!$G$204-Driver!$F$204)*$BI$1,1)</f>
        <v/>
      </c>
      <c r="BN747" s="102">
        <f>(CI747-Driver!$F$205)/(Driver!$G$205-Driver!$F$205)*$BI$1</f>
        <v/>
      </c>
      <c r="BO747" s="102">
        <f>(CK747-Driver!$F$207)/(Driver!$G$207-Driver!$F$207)*$BI$1</f>
        <v/>
      </c>
      <c r="BP747" s="102">
        <f>(CM747-Driver!$F$208)/(Driver!$G$208-Driver!$F$208)*$BI$1</f>
        <v/>
      </c>
      <c r="BQ747" s="102">
        <f>(CL747-Driver!$F$209)/(Driver!$G$209-Driver!$F$209)*$BI$1</f>
        <v/>
      </c>
      <c r="BR747" s="40" t="inlineStr">
        <is>
          <t>21/22</t>
        </is>
      </c>
      <c r="BS747" s="10" t="inlineStr">
        <is>
          <t xml:space="preserve"> Black Crows</t>
        </is>
      </c>
      <c r="BT747" s="11" t="inlineStr">
        <is>
          <t xml:space="preserve"> Mirus Cor</t>
        </is>
      </c>
      <c r="BU747" s="13" t="n">
        <v>178</v>
      </c>
      <c r="BV747" s="11" t="inlineStr">
        <is>
          <t xml:space="preserve"> Unisex</t>
        </is>
      </c>
      <c r="BW747" s="13" t="n">
        <v>178</v>
      </c>
      <c r="BX747" s="13" t="n">
        <v>176.7</v>
      </c>
      <c r="BY747" s="13" t="n">
        <v>118</v>
      </c>
      <c r="BZ747" s="13" t="n">
        <v>152</v>
      </c>
      <c r="CA747" s="13" t="n">
        <v>133</v>
      </c>
      <c r="CB747" s="13" t="n">
        <v>86</v>
      </c>
      <c r="CC747" s="13" t="n">
        <v>123</v>
      </c>
      <c r="CD747" s="13" t="n">
        <v>12.7</v>
      </c>
      <c r="CE747" s="13" t="n">
        <v>1860</v>
      </c>
      <c r="CF747" s="13" t="n">
        <v>0.98</v>
      </c>
      <c r="CG747" s="13" t="n">
        <v>1827</v>
      </c>
      <c r="CH747" s="13" t="n">
        <v>192</v>
      </c>
      <c r="CI747" s="13" t="n">
        <v>73</v>
      </c>
      <c r="CJ747" s="13" t="n">
        <v>36</v>
      </c>
      <c r="CK747" s="13" t="n">
        <v>271</v>
      </c>
      <c r="CL747" s="13" t="n">
        <v>37</v>
      </c>
      <c r="CM747" s="13" t="n">
        <v>316</v>
      </c>
      <c r="CN747" s="13" t="n">
        <v>1.025</v>
      </c>
      <c r="CO747" s="13" t="n">
        <v>138</v>
      </c>
      <c r="CP747" s="13" t="n">
        <v>112</v>
      </c>
      <c r="CQ747" s="13" t="n">
        <v>133</v>
      </c>
      <c r="CR747" s="13" t="n">
        <v>3</v>
      </c>
      <c r="CS747" s="13" t="n">
        <v>4.6</v>
      </c>
      <c r="CT747" s="11" t="inlineStr">
        <is>
          <t xml:space="preserve"> Freeski</t>
        </is>
      </c>
      <c r="CU747" s="13" t="n"/>
      <c r="CV747" s="13" t="n"/>
      <c r="CW747" s="13" t="n"/>
      <c r="CX747">
        <f>INDEX('Data_Price '!AG$2:AG$1266,MATCH(Data!$DN747,'Data_Price '!$AT$2:$AT$1266,0))</f>
        <v/>
      </c>
      <c r="CY747">
        <f>INDEX('Data_Price '!AH$2:AH$1266,MATCH(Data!$DN747,'Data_Price '!$AT$2:$AT$1266,0))</f>
        <v/>
      </c>
      <c r="CZ747">
        <f>INDEX('Data_Price '!AI$2:AI$1266,MATCH(Data!$DN747,'Data_Price '!$AT$2:$AT$1266,0))</f>
        <v/>
      </c>
      <c r="DA747">
        <f>INDEX('Data_Price '!AJ$2:AJ$1266,MATCH(Data!$DN747,'Data_Price '!$AT$2:$AT$1266,0))</f>
        <v/>
      </c>
      <c r="DB747">
        <f>INDEX('Data_Price '!AK$2:AK$1266,MATCH(Data!$DN747,'Data_Price '!$AT$2:$AT$1266,0))</f>
        <v/>
      </c>
      <c r="DC747">
        <f>INDEX('Data_Price '!AL$2:AL$1266,MATCH(Data!$DN747,'Data_Price '!$AT$2:$AT$1266,0))</f>
        <v/>
      </c>
      <c r="DD747">
        <f>INDEX('Data_Price '!AM$2:AM$1266,MATCH(Data!$DN747,'Data_Price '!$AT$2:$AT$1266,0))</f>
        <v/>
      </c>
      <c r="DE747">
        <f>INDEX('Data_Price '!AN$2:AN$1266,MATCH(Data!$DN747,'Data_Price '!$AT$2:$AT$1266,0))</f>
        <v/>
      </c>
      <c r="DF747">
        <f>INDEX('Data_Price '!AO$2:AO$1266,MATCH(Data!$DN747,'Data_Price '!$AT$2:$AT$1266,0))</f>
        <v/>
      </c>
      <c r="DG747">
        <f>INDEX('Data_Price '!AP$2:AP$1266,MATCH(Data!$DN747,'Data_Price '!$AT$2:$AT$1266,0))</f>
        <v/>
      </c>
      <c r="DH747">
        <f>INDEX('Data_Price '!AQ$2:AQ$1266,MATCH(Data!$DN747,'Data_Price '!$AT$2:$AT$1266,0))</f>
        <v/>
      </c>
      <c r="DI747">
        <f>INDEX('Data_Price '!AR$2:AR$1266,MATCH(Data!$DN747,'Data_Price '!$AT$2:$AT$1266,0))</f>
        <v/>
      </c>
      <c r="DJ747" s="138">
        <f>DA747</f>
        <v/>
      </c>
      <c r="DK747" s="138">
        <f>DE747</f>
        <v/>
      </c>
      <c r="DL747" s="138">
        <f>DI747</f>
        <v/>
      </c>
      <c r="DM747" s="303">
        <f>IF(LEFT(BT747,1)=" ",RIGHT(BT747,LEN(BT747)-1),BT747)</f>
        <v/>
      </c>
      <c r="DN747" s="138">
        <f>_xlfn.CONCAT(BS747,DM747,BU747,BV747)</f>
        <v/>
      </c>
      <c r="DO747" s="307" t="n"/>
    </row>
    <row r="748" ht="15.6" customHeight="1" s="184">
      <c r="B748" s="303">
        <f t="array" ref="B748">IF(OR(ISERROR(K748:P748)),FALSE,TRUE)</f>
        <v/>
      </c>
      <c r="C748" s="60">
        <f>OR(BR748=Driver!$G$50,Data!BR61=Driver!$H$50)</f>
        <v/>
      </c>
      <c r="D748" s="60">
        <f>OR(BV748=Driver!$G$51,BV748=Driver!$H$51)</f>
        <v/>
      </c>
      <c r="E748" s="60">
        <f>AND(BX748&gt;Driver!$F$54,BX748&lt;Driver!$G$54)</f>
        <v/>
      </c>
      <c r="F748" s="60">
        <f>CL748&gt;Driver!$F$56</f>
        <v/>
      </c>
      <c r="G748" s="60">
        <f>AND(CB748&gt;Driver!$F$55,CB748&lt;Driver!$G$55)</f>
        <v/>
      </c>
      <c r="H748" s="60">
        <f>AND(B748:G748)</f>
        <v/>
      </c>
      <c r="I748" s="60">
        <f>COUNTIFS($H$9:$H$1273,TRUE,$BT$9:$BT$1273,BT748)</f>
        <v/>
      </c>
      <c r="J748" s="60">
        <f t="array" ref="J748">NOT(OR(($H$9:$H$1273=TRUE)*($I$9:$I$1273&gt;0)*($BT$9:$BT$1273=BT748)*($K$9:$K$1273&gt;K748)))</f>
        <v/>
      </c>
      <c r="K748" s="108">
        <f>IFERROR(1-AVERAGE(X748:Y748),"")</f>
        <v/>
      </c>
      <c r="L748" s="108">
        <f>1-X748</f>
        <v/>
      </c>
      <c r="M748" s="108">
        <f>1-Y748</f>
        <v/>
      </c>
      <c r="N748" s="108">
        <f>1-Z748</f>
        <v/>
      </c>
      <c r="O748" s="108">
        <f>1-AA748</f>
        <v/>
      </c>
      <c r="P748" s="108">
        <f>1-AB748</f>
        <v/>
      </c>
      <c r="Q748" s="108" t="n"/>
      <c r="R748" s="108" t="n"/>
      <c r="S748" s="108">
        <f>1-AE748</f>
        <v/>
      </c>
      <c r="T748" s="108">
        <f>1-AF748</f>
        <v/>
      </c>
      <c r="U748" s="108">
        <f>1-AG748</f>
        <v/>
      </c>
      <c r="V748" s="108">
        <f>1-AH748</f>
        <v/>
      </c>
      <c r="W748" s="108">
        <f>1-AI748</f>
        <v/>
      </c>
      <c r="X748" s="108">
        <f>ABS(AJ748-AJ$1)</f>
        <v/>
      </c>
      <c r="Y748" s="108">
        <f>AVERAGE(Z748:AB748)</f>
        <v/>
      </c>
      <c r="Z748" s="108">
        <f>ABS(AL748-AL$1)</f>
        <v/>
      </c>
      <c r="AA748" s="108">
        <f>ABS(AM748-AM$1)</f>
        <v/>
      </c>
      <c r="AB748" s="108">
        <f>ABS(AN748-AN$1)</f>
        <v/>
      </c>
      <c r="AC748" s="108" t="n"/>
      <c r="AD748" s="108" t="n"/>
      <c r="AE748" s="108">
        <f>ABS(AQ$1-AQ748)</f>
        <v/>
      </c>
      <c r="AF748" s="108">
        <f>ABS(AR$1-AR748)</f>
        <v/>
      </c>
      <c r="AG748" s="108">
        <f>ABS(AS$1-AS748)</f>
        <v/>
      </c>
      <c r="AH748" s="108">
        <f>ABS(AT$1-AT748)</f>
        <v/>
      </c>
      <c r="AI748" s="108">
        <f>ABS(AU$1-AU748)</f>
        <v/>
      </c>
      <c r="AJ748" s="108">
        <f>(AV748-Driver!$K$179)/(Driver!$L$179-Driver!$K$179)</f>
        <v/>
      </c>
      <c r="AK748" s="108">
        <f>(AW748-Driver!$K$180)/(Driver!$L$180-Driver!$K$180)</f>
        <v/>
      </c>
      <c r="AL748" s="108">
        <f>(AX748-Driver!$K$181)/(Driver!$L$181-Driver!$K$181)</f>
        <v/>
      </c>
      <c r="AM748" s="108">
        <f>(AY748-Driver!$K$182)/(Driver!$L$182-Driver!$K$182)</f>
        <v/>
      </c>
      <c r="AN748" s="108">
        <f>(AZ748-Driver!$K$183)/(Driver!$L$183-Driver!$K$183)</f>
        <v/>
      </c>
      <c r="AO748" s="108" t="n"/>
      <c r="AP748" s="108" t="n"/>
      <c r="AQ748" s="108">
        <f>(BC748-Driver!$K$188)/(Driver!$L$188-Driver!$K$188)</f>
        <v/>
      </c>
      <c r="AR748" s="108">
        <f>MIN((BD748-Driver!$K$189)/(Driver!$L$189-Driver!$K$189),100%)</f>
        <v/>
      </c>
      <c r="AS748" s="108">
        <f>(BE748-Driver!$K$190)/(Driver!$L$190-Driver!$K$190)</f>
        <v/>
      </c>
      <c r="AT748" s="108">
        <f>(BF748-Driver!$K$191)/(Driver!$L$191-Driver!$K$191)</f>
        <v/>
      </c>
      <c r="AU748" s="108">
        <f>(BG748-Driver!$K$192)/(Driver!$L$192-Driver!$K$192)</f>
        <v/>
      </c>
      <c r="AV748" s="105">
        <f>IFERROR(BM748*BJ748^1/4,"")</f>
        <v/>
      </c>
      <c r="AW748" s="105">
        <f>IFERROR(SUM(AX748:AZ748),"")</f>
        <v/>
      </c>
      <c r="AX748" s="105">
        <f>IFERROR(BH748,"")</f>
        <v/>
      </c>
      <c r="AY748" s="105">
        <f>IFERROR(Driver!$K$19/Data!BH748/Data!BI748*Data!BK748*Data!BL748,"")</f>
        <v/>
      </c>
      <c r="AZ748" s="105">
        <f>IFERROR(BI748*BN748,"")</f>
        <v/>
      </c>
      <c r="BA748" s="105" t="n"/>
      <c r="BB748" s="105" t="n"/>
      <c r="BC748" s="105">
        <f>IFERROR(BI748*BN748*BK748/BJ748^(1/2),"")</f>
        <v/>
      </c>
      <c r="BD748" s="105">
        <f>IFERROR(BH748*BM748*BL748/BJ748/BK748,"")</f>
        <v/>
      </c>
      <c r="BE748" s="105">
        <f>IFERROR(MIN(BI748/BQ748/BP748/BO748/BH748,$BE$1),"")</f>
        <v/>
      </c>
      <c r="BF748" s="105">
        <f>IFERROR(BJ748*BO748*BP748/BK748,"")</f>
        <v/>
      </c>
      <c r="BG748" s="105">
        <f>IFERROR(1/BM748/BH748*BQ748,"")</f>
        <v/>
      </c>
      <c r="BH748" s="102">
        <f>MAX((CE748-Driver!$F$200)/(Driver!$G$200-Driver!$F$200)*$BI$1,1)</f>
        <v/>
      </c>
      <c r="BI748" s="102">
        <f>MAX($BI$1*(BY748-Driver!$F$201)/(Driver!$G$201-Driver!$F$201),1)</f>
        <v/>
      </c>
      <c r="BJ748" s="102">
        <f>(CB748-Driver!$F$206)/(Driver!$G$206-Driver!$F$206)*$BI$1</f>
        <v/>
      </c>
      <c r="BK748" s="102">
        <f>(CD748-Driver!$F$203)/(Driver!$G$203-Driver!$F$203)*$BI$1</f>
        <v/>
      </c>
      <c r="BL748" s="102">
        <f>MAX((CR748-Driver!$F$202)/(Driver!$G$202-Driver!$F$202)*$BI$1,1)</f>
        <v/>
      </c>
      <c r="BM748" s="102">
        <f>MAX((CH748-Driver!$F$204)/(Driver!$G$204-Driver!$F$204)*$BI$1,1)</f>
        <v/>
      </c>
      <c r="BN748" s="102">
        <f>(CI748-Driver!$F$205)/(Driver!$G$205-Driver!$F$205)*$BI$1</f>
        <v/>
      </c>
      <c r="BO748" s="102">
        <f>(CK748-Driver!$F$207)/(Driver!$G$207-Driver!$F$207)*$BI$1</f>
        <v/>
      </c>
      <c r="BP748" s="102">
        <f>(CM748-Driver!$F$208)/(Driver!$G$208-Driver!$F$208)*$BI$1</f>
        <v/>
      </c>
      <c r="BQ748" s="102">
        <f>(CL748-Driver!$F$209)/(Driver!$G$209-Driver!$F$209)*$BI$1</f>
        <v/>
      </c>
      <c r="BR748" s="40" t="inlineStr">
        <is>
          <t>21/22</t>
        </is>
      </c>
      <c r="BS748" s="10" t="inlineStr">
        <is>
          <t xml:space="preserve"> Armada</t>
        </is>
      </c>
      <c r="BT748" s="11" t="inlineStr">
        <is>
          <t xml:space="preserve"> Bdog</t>
        </is>
      </c>
      <c r="BU748" s="13" t="n">
        <v>180</v>
      </c>
      <c r="BV748" s="11" t="inlineStr">
        <is>
          <t xml:space="preserve"> Unisex</t>
        </is>
      </c>
      <c r="BW748" s="13" t="n">
        <v>180</v>
      </c>
      <c r="BX748" s="13" t="n">
        <v>177.7</v>
      </c>
      <c r="BY748" s="13" t="n">
        <v>121</v>
      </c>
      <c r="BZ748" s="13" t="n">
        <v>142</v>
      </c>
      <c r="CA748" s="13" t="n">
        <v>121</v>
      </c>
      <c r="CB748" s="13" t="n">
        <v>93</v>
      </c>
      <c r="CC748" s="13" t="n">
        <v>116</v>
      </c>
      <c r="CD748" s="13" t="n">
        <v>15.5</v>
      </c>
      <c r="CE748" s="13" t="n">
        <v>1998</v>
      </c>
      <c r="CF748" s="13" t="n">
        <v>0.9399999999999999</v>
      </c>
      <c r="CG748" s="13" t="n">
        <v>1872</v>
      </c>
      <c r="CH748" s="13" t="n">
        <v>178</v>
      </c>
      <c r="CI748" s="13" t="n">
        <v>76</v>
      </c>
      <c r="CJ748" s="13" t="n">
        <v>49</v>
      </c>
      <c r="CK748" s="13" t="n">
        <v>291</v>
      </c>
      <c r="CL748" s="13" t="n">
        <v>39</v>
      </c>
      <c r="CM748" s="13" t="n">
        <v>276</v>
      </c>
      <c r="CN748" s="13" t="n">
        <v>0.804</v>
      </c>
      <c r="CO748" s="13" t="n">
        <v>234</v>
      </c>
      <c r="CP748" s="13" t="n">
        <v>124</v>
      </c>
      <c r="CQ748" s="13" t="n">
        <v>57</v>
      </c>
      <c r="CR748" s="13" t="n">
        <v>8</v>
      </c>
      <c r="CS748" s="13" t="n">
        <v>1.3</v>
      </c>
      <c r="CT748" s="11" t="inlineStr">
        <is>
          <t xml:space="preserve"> Resort Freeride</t>
        </is>
      </c>
      <c r="CU748" s="11" t="inlineStr">
        <is>
          <t xml:space="preserve"> Freeski</t>
        </is>
      </c>
      <c r="CV748" s="13" t="n"/>
      <c r="CW748" s="13" t="n"/>
      <c r="CX748">
        <f>INDEX('Data_Price '!AG$2:AG$1266,MATCH(Data!$DN748,'Data_Price '!$AT$2:$AT$1266,0))</f>
        <v/>
      </c>
      <c r="CY748">
        <f>INDEX('Data_Price '!AH$2:AH$1266,MATCH(Data!$DN748,'Data_Price '!$AT$2:$AT$1266,0))</f>
        <v/>
      </c>
      <c r="CZ748">
        <f>INDEX('Data_Price '!AI$2:AI$1266,MATCH(Data!$DN748,'Data_Price '!$AT$2:$AT$1266,0))</f>
        <v/>
      </c>
      <c r="DA748">
        <f>INDEX('Data_Price '!AJ$2:AJ$1266,MATCH(Data!$DN748,'Data_Price '!$AT$2:$AT$1266,0))</f>
        <v/>
      </c>
      <c r="DB748">
        <f>INDEX('Data_Price '!AK$2:AK$1266,MATCH(Data!$DN748,'Data_Price '!$AT$2:$AT$1266,0))</f>
        <v/>
      </c>
      <c r="DC748">
        <f>INDEX('Data_Price '!AL$2:AL$1266,MATCH(Data!$DN748,'Data_Price '!$AT$2:$AT$1266,0))</f>
        <v/>
      </c>
      <c r="DD748">
        <f>INDEX('Data_Price '!AM$2:AM$1266,MATCH(Data!$DN748,'Data_Price '!$AT$2:$AT$1266,0))</f>
        <v/>
      </c>
      <c r="DE748">
        <f>INDEX('Data_Price '!AN$2:AN$1266,MATCH(Data!$DN748,'Data_Price '!$AT$2:$AT$1266,0))</f>
        <v/>
      </c>
      <c r="DF748">
        <f>INDEX('Data_Price '!AO$2:AO$1266,MATCH(Data!$DN748,'Data_Price '!$AT$2:$AT$1266,0))</f>
        <v/>
      </c>
      <c r="DG748">
        <f>INDEX('Data_Price '!AP$2:AP$1266,MATCH(Data!$DN748,'Data_Price '!$AT$2:$AT$1266,0))</f>
        <v/>
      </c>
      <c r="DH748">
        <f>INDEX('Data_Price '!AQ$2:AQ$1266,MATCH(Data!$DN748,'Data_Price '!$AT$2:$AT$1266,0))</f>
        <v/>
      </c>
      <c r="DI748">
        <f>INDEX('Data_Price '!AR$2:AR$1266,MATCH(Data!$DN748,'Data_Price '!$AT$2:$AT$1266,0))</f>
        <v/>
      </c>
      <c r="DJ748" s="138">
        <f>DA748</f>
        <v/>
      </c>
      <c r="DK748" s="138">
        <f>DE748</f>
        <v/>
      </c>
      <c r="DL748" s="138">
        <f>DI748</f>
        <v/>
      </c>
      <c r="DM748" s="303">
        <f>IF(LEFT(BT748,1)=" ",RIGHT(BT748,LEN(BT748)-1),BT748)</f>
        <v/>
      </c>
      <c r="DN748" s="138">
        <f>_xlfn.CONCAT(BS748,DM748,BU748,BV748)</f>
        <v/>
      </c>
      <c r="DO748" s="307" t="inlineStr">
        <is>
          <t>https://images.evo.com/imgp/250/162921/736809/armada-bdog-edgeless-skis-2022-.jpg</t>
        </is>
      </c>
    </row>
    <row r="749" ht="15.6" customHeight="1" s="184">
      <c r="B749" s="303">
        <f t="array" ref="B749">IF(OR(ISERROR(K749:P749)),FALSE,TRUE)</f>
        <v/>
      </c>
      <c r="C749" s="60">
        <f>OR(BR749=Driver!$G$50,Data!BR21=Driver!$H$50)</f>
        <v/>
      </c>
      <c r="D749" s="60">
        <f>OR(BV749=Driver!$G$51,BV749=Driver!$H$51)</f>
        <v/>
      </c>
      <c r="E749" s="60">
        <f>AND(BX749&gt;Driver!$F$54,BX749&lt;Driver!$G$54)</f>
        <v/>
      </c>
      <c r="F749" s="60">
        <f>CL749&gt;Driver!$F$56</f>
        <v/>
      </c>
      <c r="G749" s="60">
        <f>AND(CB749&gt;Driver!$F$55,CB749&lt;Driver!$G$55)</f>
        <v/>
      </c>
      <c r="H749" s="60">
        <f>AND(B749:G749)</f>
        <v/>
      </c>
      <c r="I749" s="60">
        <f>COUNTIFS($H$9:$H$1273,TRUE,$BT$9:$BT$1273,BT749)</f>
        <v/>
      </c>
      <c r="J749" s="60">
        <f t="array" ref="J749">NOT(OR(($H$9:$H$1273=TRUE)*($I$9:$I$1273&gt;0)*($BT$9:$BT$1273=BT749)*($K$9:$K$1273&gt;K749)))</f>
        <v/>
      </c>
      <c r="K749" s="108">
        <f>IFERROR(1-AVERAGE(X749:Y749),"")</f>
        <v/>
      </c>
      <c r="L749" s="108">
        <f>1-X749</f>
        <v/>
      </c>
      <c r="M749" s="108">
        <f>1-Y749</f>
        <v/>
      </c>
      <c r="N749" s="108">
        <f>1-Z749</f>
        <v/>
      </c>
      <c r="O749" s="108">
        <f>1-AA749</f>
        <v/>
      </c>
      <c r="P749" s="108">
        <f>1-AB749</f>
        <v/>
      </c>
      <c r="Q749" s="108" t="n"/>
      <c r="R749" s="108" t="n"/>
      <c r="S749" s="108">
        <f>1-AE749</f>
        <v/>
      </c>
      <c r="T749" s="108">
        <f>1-AF749</f>
        <v/>
      </c>
      <c r="U749" s="108">
        <f>1-AG749</f>
        <v/>
      </c>
      <c r="V749" s="108">
        <f>1-AH749</f>
        <v/>
      </c>
      <c r="W749" s="108">
        <f>1-AI749</f>
        <v/>
      </c>
      <c r="X749" s="108">
        <f>ABS(AJ749-AJ$1)</f>
        <v/>
      </c>
      <c r="Y749" s="108">
        <f>AVERAGE(Z749:AB749)</f>
        <v/>
      </c>
      <c r="Z749" s="108">
        <f>ABS(AL749-AL$1)</f>
        <v/>
      </c>
      <c r="AA749" s="108">
        <f>ABS(AM749-AM$1)</f>
        <v/>
      </c>
      <c r="AB749" s="108">
        <f>ABS(AN749-AN$1)</f>
        <v/>
      </c>
      <c r="AC749" s="108" t="n"/>
      <c r="AD749" s="108" t="n"/>
      <c r="AE749" s="108">
        <f>ABS(AQ$1-AQ749)</f>
        <v/>
      </c>
      <c r="AF749" s="108">
        <f>ABS(AR$1-AR749)</f>
        <v/>
      </c>
      <c r="AG749" s="108">
        <f>ABS(AS$1-AS749)</f>
        <v/>
      </c>
      <c r="AH749" s="108">
        <f>ABS(AT$1-AT749)</f>
        <v/>
      </c>
      <c r="AI749" s="108">
        <f>ABS(AU$1-AU749)</f>
        <v/>
      </c>
      <c r="AJ749" s="108">
        <f>(AV749-Driver!$K$179)/(Driver!$L$179-Driver!$K$179)</f>
        <v/>
      </c>
      <c r="AK749" s="108">
        <f>(AW749-Driver!$K$180)/(Driver!$L$180-Driver!$K$180)</f>
        <v/>
      </c>
      <c r="AL749" s="108">
        <f>(AX749-Driver!$K$181)/(Driver!$L$181-Driver!$K$181)</f>
        <v/>
      </c>
      <c r="AM749" s="108">
        <f>(AY749-Driver!$K$182)/(Driver!$L$182-Driver!$K$182)</f>
        <v/>
      </c>
      <c r="AN749" s="108">
        <f>(AZ749-Driver!$K$183)/(Driver!$L$183-Driver!$K$183)</f>
        <v/>
      </c>
      <c r="AO749" s="108" t="n"/>
      <c r="AP749" s="108" t="n"/>
      <c r="AQ749" s="108">
        <f>(BC749-Driver!$K$188)/(Driver!$L$188-Driver!$K$188)</f>
        <v/>
      </c>
      <c r="AR749" s="108">
        <f>MIN((BD749-Driver!$K$189)/(Driver!$L$189-Driver!$K$189),100%)</f>
        <v/>
      </c>
      <c r="AS749" s="108">
        <f>(BE749-Driver!$K$190)/(Driver!$L$190-Driver!$K$190)</f>
        <v/>
      </c>
      <c r="AT749" s="108">
        <f>(BF749-Driver!$K$191)/(Driver!$L$191-Driver!$K$191)</f>
        <v/>
      </c>
      <c r="AU749" s="108">
        <f>(BG749-Driver!$K$192)/(Driver!$L$192-Driver!$K$192)</f>
        <v/>
      </c>
      <c r="AV749" s="105">
        <f>IFERROR(BM749*BJ749^1/4,"")</f>
        <v/>
      </c>
      <c r="AW749" s="105">
        <f>IFERROR(SUM(AX749:AZ749),"")</f>
        <v/>
      </c>
      <c r="AX749" s="105">
        <f>IFERROR(BH749,"")</f>
        <v/>
      </c>
      <c r="AY749" s="105">
        <f>IFERROR(Driver!$K$19/Data!BH749/Data!BI749*Data!BK749*Data!BL749,"")</f>
        <v/>
      </c>
      <c r="AZ749" s="105">
        <f>IFERROR(BI749*BN749,"")</f>
        <v/>
      </c>
      <c r="BA749" s="105" t="n"/>
      <c r="BB749" s="105" t="n"/>
      <c r="BC749" s="105">
        <f>IFERROR(BI749*BN749*BK749/BJ749^(1/2),"")</f>
        <v/>
      </c>
      <c r="BD749" s="105">
        <f>IFERROR(BH749*BM749*BL749/BJ749/BK749,"")</f>
        <v/>
      </c>
      <c r="BE749" s="105">
        <f>IFERROR(MIN(BI749/BQ749/BP749/BO749/BH749,$BE$1),"")</f>
        <v/>
      </c>
      <c r="BF749" s="105">
        <f>IFERROR(BJ749*BO749*BP749/BK749,"")</f>
        <v/>
      </c>
      <c r="BG749" s="105">
        <f>IFERROR(1/BM749/BH749*BQ749,"")</f>
        <v/>
      </c>
      <c r="BH749" s="102">
        <f>MAX((CE749-Driver!$F$200)/(Driver!$G$200-Driver!$F$200)*$BI$1,1)</f>
        <v/>
      </c>
      <c r="BI749" s="102">
        <f>MAX($BI$1*(BY749-Driver!$F$201)/(Driver!$G$201-Driver!$F$201),1)</f>
        <v/>
      </c>
      <c r="BJ749" s="102">
        <f>(CB749-Driver!$F$206)/(Driver!$G$206-Driver!$F$206)*$BI$1</f>
        <v/>
      </c>
      <c r="BK749" s="102">
        <f>(CD749-Driver!$F$203)/(Driver!$G$203-Driver!$F$203)*$BI$1</f>
        <v/>
      </c>
      <c r="BL749" s="102">
        <f>MAX((CR749-Driver!$F$202)/(Driver!$G$202-Driver!$F$202)*$BI$1,1)</f>
        <v/>
      </c>
      <c r="BM749" s="102">
        <f>MAX((CH749-Driver!$F$204)/(Driver!$G$204-Driver!$F$204)*$BI$1,1)</f>
        <v/>
      </c>
      <c r="BN749" s="102">
        <f>(CI749-Driver!$F$205)/(Driver!$G$205-Driver!$F$205)*$BI$1</f>
        <v/>
      </c>
      <c r="BO749" s="102">
        <f>(CK749-Driver!$F$207)/(Driver!$G$207-Driver!$F$207)*$BI$1</f>
        <v/>
      </c>
      <c r="BP749" s="102">
        <f>(CM749-Driver!$F$208)/(Driver!$G$208-Driver!$F$208)*$BI$1</f>
        <v/>
      </c>
      <c r="BQ749" s="102">
        <f>(CL749-Driver!$F$209)/(Driver!$G$209-Driver!$F$209)*$BI$1</f>
        <v/>
      </c>
      <c r="BR749" s="40" t="inlineStr">
        <is>
          <t>21/22</t>
        </is>
      </c>
      <c r="BS749" s="10" t="inlineStr">
        <is>
          <t xml:space="preserve"> 4FRNT</t>
        </is>
      </c>
      <c r="BT749" s="11" t="inlineStr">
        <is>
          <t xml:space="preserve"> MSP CC</t>
        </is>
      </c>
      <c r="BU749" s="13" t="n">
        <v>171</v>
      </c>
      <c r="BV749" s="11" t="inlineStr">
        <is>
          <t xml:space="preserve"> Women's</t>
        </is>
      </c>
      <c r="BW749" s="13" t="n">
        <v>171</v>
      </c>
      <c r="BX749" s="13" t="n">
        <v>170.4</v>
      </c>
      <c r="BY749" s="13" t="n">
        <v>128</v>
      </c>
      <c r="BZ749" s="13" t="n">
        <v>143</v>
      </c>
      <c r="CA749" s="13" t="n">
        <v>133</v>
      </c>
      <c r="CB749" s="13" t="n">
        <v>98</v>
      </c>
      <c r="CC749" s="13" t="n">
        <v>121</v>
      </c>
      <c r="CD749" s="13" t="n">
        <v>16.6</v>
      </c>
      <c r="CE749" s="13" t="n">
        <v>1988</v>
      </c>
      <c r="CF749" s="13" t="n">
        <v>0.9399999999999999</v>
      </c>
      <c r="CG749" s="13" t="n">
        <v>1865</v>
      </c>
      <c r="CH749" s="13" t="n">
        <v>205</v>
      </c>
      <c r="CI749" s="13" t="n">
        <v>125</v>
      </c>
      <c r="CJ749" s="13" t="n">
        <v>43</v>
      </c>
      <c r="CK749" s="13" t="n">
        <v>257</v>
      </c>
      <c r="CL749" s="13" t="n">
        <v>8</v>
      </c>
      <c r="CM749" s="13" t="n">
        <v>162</v>
      </c>
      <c r="CN749" s="13" t="n">
        <v>0.191</v>
      </c>
      <c r="CO749" s="13" t="n">
        <v>151</v>
      </c>
      <c r="CP749" s="13" t="n">
        <v>125</v>
      </c>
      <c r="CQ749" s="13" t="n">
        <v>107</v>
      </c>
      <c r="CR749" s="13" t="n">
        <v>8</v>
      </c>
      <c r="CS749" s="13" t="n">
        <v>7.9</v>
      </c>
      <c r="CT749" s="11" t="inlineStr">
        <is>
          <t xml:space="preserve"> Resort Freeride</t>
        </is>
      </c>
      <c r="CU749" s="13" t="n"/>
      <c r="CV749" s="13" t="n"/>
      <c r="CW749" s="13" t="n"/>
      <c r="CX749">
        <f>INDEX('Data_Price '!AG$2:AG$1266,MATCH(Data!$DN749,'Data_Price '!$AT$2:$AT$1266,0))</f>
        <v/>
      </c>
      <c r="CY749">
        <f>INDEX('Data_Price '!AH$2:AH$1266,MATCH(Data!$DN749,'Data_Price '!$AT$2:$AT$1266,0))</f>
        <v/>
      </c>
      <c r="CZ749">
        <f>INDEX('Data_Price '!AI$2:AI$1266,MATCH(Data!$DN749,'Data_Price '!$AT$2:$AT$1266,0))</f>
        <v/>
      </c>
      <c r="DA749">
        <f>INDEX('Data_Price '!AJ$2:AJ$1266,MATCH(Data!$DN749,'Data_Price '!$AT$2:$AT$1266,0))</f>
        <v/>
      </c>
      <c r="DB749">
        <f>INDEX('Data_Price '!AK$2:AK$1266,MATCH(Data!$DN749,'Data_Price '!$AT$2:$AT$1266,0))</f>
        <v/>
      </c>
      <c r="DC749">
        <f>INDEX('Data_Price '!AL$2:AL$1266,MATCH(Data!$DN749,'Data_Price '!$AT$2:$AT$1266,0))</f>
        <v/>
      </c>
      <c r="DD749">
        <f>INDEX('Data_Price '!AM$2:AM$1266,MATCH(Data!$DN749,'Data_Price '!$AT$2:$AT$1266,0))</f>
        <v/>
      </c>
      <c r="DE749">
        <f>INDEX('Data_Price '!AN$2:AN$1266,MATCH(Data!$DN749,'Data_Price '!$AT$2:$AT$1266,0))</f>
        <v/>
      </c>
      <c r="DF749">
        <f>INDEX('Data_Price '!AO$2:AO$1266,MATCH(Data!$DN749,'Data_Price '!$AT$2:$AT$1266,0))</f>
        <v/>
      </c>
      <c r="DG749">
        <f>INDEX('Data_Price '!AP$2:AP$1266,MATCH(Data!$DN749,'Data_Price '!$AT$2:$AT$1266,0))</f>
        <v/>
      </c>
      <c r="DH749">
        <f>INDEX('Data_Price '!AQ$2:AQ$1266,MATCH(Data!$DN749,'Data_Price '!$AT$2:$AT$1266,0))</f>
        <v/>
      </c>
      <c r="DI749">
        <f>INDEX('Data_Price '!AR$2:AR$1266,MATCH(Data!$DN749,'Data_Price '!$AT$2:$AT$1266,0))</f>
        <v/>
      </c>
      <c r="DJ749" s="138">
        <f>DA749</f>
        <v/>
      </c>
      <c r="DK749" s="138">
        <f>DE749</f>
        <v/>
      </c>
      <c r="DL749" s="138">
        <f>DI749</f>
        <v/>
      </c>
      <c r="DM749" s="303">
        <f>IF(LEFT(BT749,1)=" ",RIGHT(BT749,LEN(BT749)-1),BT749)</f>
        <v/>
      </c>
      <c r="DN749" s="138">
        <f>_xlfn.CONCAT(BS749,DM749,BU749,BV749)</f>
        <v/>
      </c>
      <c r="DO749" s="307" t="n"/>
    </row>
    <row r="750" ht="15.6" customHeight="1" s="184">
      <c r="B750" s="303">
        <f t="array" ref="B750">IF(OR(ISERROR(K750:P750)),FALSE,TRUE)</f>
        <v/>
      </c>
      <c r="C750" s="60">
        <f>OR(BR750=Driver!$G$50,Data!BR537=Driver!$H$50)</f>
        <v/>
      </c>
      <c r="D750" s="60">
        <f>OR(BV750=Driver!$G$51,BV750=Driver!$H$51)</f>
        <v/>
      </c>
      <c r="E750" s="60">
        <f>AND(BX750&gt;Driver!$F$54,BX750&lt;Driver!$G$54)</f>
        <v/>
      </c>
      <c r="F750" s="60">
        <f>CL750&gt;Driver!$F$56</f>
        <v/>
      </c>
      <c r="G750" s="60">
        <f>AND(CB750&gt;Driver!$F$55,CB750&lt;Driver!$G$55)</f>
        <v/>
      </c>
      <c r="H750" s="60">
        <f>AND(B750:G750)</f>
        <v/>
      </c>
      <c r="I750" s="60">
        <f>COUNTIFS($H$9:$H$1273,TRUE,$BT$9:$BT$1273,BT750)</f>
        <v/>
      </c>
      <c r="J750" s="60">
        <f t="array" ref="J750">NOT(OR(($H$9:$H$1273=TRUE)*($I$9:$I$1273&gt;0)*($BT$9:$BT$1273=BT750)*($K$9:$K$1273&gt;K750)))</f>
        <v/>
      </c>
      <c r="K750" s="108">
        <f>IFERROR(1-AVERAGE(X750:Y750),"")</f>
        <v/>
      </c>
      <c r="L750" s="108">
        <f>1-X750</f>
        <v/>
      </c>
      <c r="M750" s="108">
        <f>1-Y750</f>
        <v/>
      </c>
      <c r="N750" s="108">
        <f>1-Z750</f>
        <v/>
      </c>
      <c r="O750" s="108">
        <f>1-AA750</f>
        <v/>
      </c>
      <c r="P750" s="108">
        <f>1-AB750</f>
        <v/>
      </c>
      <c r="Q750" s="108" t="n"/>
      <c r="R750" s="108" t="n"/>
      <c r="S750" s="108">
        <f>1-AE750</f>
        <v/>
      </c>
      <c r="T750" s="108">
        <f>1-AF750</f>
        <v/>
      </c>
      <c r="U750" s="108">
        <f>1-AG750</f>
        <v/>
      </c>
      <c r="V750" s="108">
        <f>1-AH750</f>
        <v/>
      </c>
      <c r="W750" s="108">
        <f>1-AI750</f>
        <v/>
      </c>
      <c r="X750" s="108">
        <f>ABS(AJ750-AJ$1)</f>
        <v/>
      </c>
      <c r="Y750" s="108">
        <f>AVERAGE(Z750:AB750)</f>
        <v/>
      </c>
      <c r="Z750" s="108">
        <f>ABS(AL750-AL$1)</f>
        <v/>
      </c>
      <c r="AA750" s="108">
        <f>ABS(AM750-AM$1)</f>
        <v/>
      </c>
      <c r="AB750" s="108">
        <f>ABS(AN750-AN$1)</f>
        <v/>
      </c>
      <c r="AC750" s="108" t="n"/>
      <c r="AD750" s="108" t="n"/>
      <c r="AE750" s="108">
        <f>ABS(AQ$1-AQ750)</f>
        <v/>
      </c>
      <c r="AF750" s="108">
        <f>ABS(AR$1-AR750)</f>
        <v/>
      </c>
      <c r="AG750" s="108">
        <f>ABS(AS$1-AS750)</f>
        <v/>
      </c>
      <c r="AH750" s="108">
        <f>ABS(AT$1-AT750)</f>
        <v/>
      </c>
      <c r="AI750" s="108">
        <f>ABS(AU$1-AU750)</f>
        <v/>
      </c>
      <c r="AJ750" s="108">
        <f>(AV750-Driver!$K$179)/(Driver!$L$179-Driver!$K$179)</f>
        <v/>
      </c>
      <c r="AK750" s="108">
        <f>(AW750-Driver!$K$180)/(Driver!$L$180-Driver!$K$180)</f>
        <v/>
      </c>
      <c r="AL750" s="108">
        <f>(AX750-Driver!$K$181)/(Driver!$L$181-Driver!$K$181)</f>
        <v/>
      </c>
      <c r="AM750" s="108">
        <f>(AY750-Driver!$K$182)/(Driver!$L$182-Driver!$K$182)</f>
        <v/>
      </c>
      <c r="AN750" s="108">
        <f>(AZ750-Driver!$K$183)/(Driver!$L$183-Driver!$K$183)</f>
        <v/>
      </c>
      <c r="AO750" s="108" t="n"/>
      <c r="AP750" s="108" t="n"/>
      <c r="AQ750" s="108">
        <f>(BC750-Driver!$K$188)/(Driver!$L$188-Driver!$K$188)</f>
        <v/>
      </c>
      <c r="AR750" s="108">
        <f>MIN((BD750-Driver!$K$189)/(Driver!$L$189-Driver!$K$189),100%)</f>
        <v/>
      </c>
      <c r="AS750" s="108">
        <f>(BE750-Driver!$K$190)/(Driver!$L$190-Driver!$K$190)</f>
        <v/>
      </c>
      <c r="AT750" s="108">
        <f>(BF750-Driver!$K$191)/(Driver!$L$191-Driver!$K$191)</f>
        <v/>
      </c>
      <c r="AU750" s="108">
        <f>(BG750-Driver!$K$192)/(Driver!$L$192-Driver!$K$192)</f>
        <v/>
      </c>
      <c r="AV750" s="105">
        <f>IFERROR(BM750*BJ750^1/4,"")</f>
        <v/>
      </c>
      <c r="AW750" s="105">
        <f>IFERROR(SUM(AX750:AZ750),"")</f>
        <v/>
      </c>
      <c r="AX750" s="105">
        <f>IFERROR(BH750,"")</f>
        <v/>
      </c>
      <c r="AY750" s="105">
        <f>IFERROR(Driver!$K$19/Data!BH750/Data!BI750*Data!BK750*Data!BL750,"")</f>
        <v/>
      </c>
      <c r="AZ750" s="105">
        <f>IFERROR(BI750*BN750,"")</f>
        <v/>
      </c>
      <c r="BA750" s="105" t="n"/>
      <c r="BB750" s="105" t="n"/>
      <c r="BC750" s="105">
        <f>IFERROR(BI750*BN750*BK750/BJ750^(1/2),"")</f>
        <v/>
      </c>
      <c r="BD750" s="105">
        <f>IFERROR(BH750*BM750*BL750/BJ750/BK750,"")</f>
        <v/>
      </c>
      <c r="BE750" s="105">
        <f>IFERROR(MIN(BI750/BQ750/BP750/BO750/BH750,$BE$1),"")</f>
        <v/>
      </c>
      <c r="BF750" s="105">
        <f>IFERROR(BJ750*BO750*BP750/BK750,"")</f>
        <v/>
      </c>
      <c r="BG750" s="105">
        <f>IFERROR(1/BM750/BH750*BQ750,"")</f>
        <v/>
      </c>
      <c r="BH750" s="102">
        <f>MAX((CE750-Driver!$F$200)/(Driver!$G$200-Driver!$F$200)*$BI$1,1)</f>
        <v/>
      </c>
      <c r="BI750" s="102">
        <f>MAX($BI$1*(BY750-Driver!$F$201)/(Driver!$G$201-Driver!$F$201),1)</f>
        <v/>
      </c>
      <c r="BJ750" s="102">
        <f>(CB750-Driver!$F$206)/(Driver!$G$206-Driver!$F$206)*$BI$1</f>
        <v/>
      </c>
      <c r="BK750" s="102">
        <f>(CD750-Driver!$F$203)/(Driver!$G$203-Driver!$F$203)*$BI$1</f>
        <v/>
      </c>
      <c r="BL750" s="102">
        <f>MAX((CR750-Driver!$F$202)/(Driver!$G$202-Driver!$F$202)*$BI$1,1)</f>
        <v/>
      </c>
      <c r="BM750" s="102">
        <f>MAX((CH750-Driver!$F$204)/(Driver!$G$204-Driver!$F$204)*$BI$1,1)</f>
        <v/>
      </c>
      <c r="BN750" s="102">
        <f>(CI750-Driver!$F$205)/(Driver!$G$205-Driver!$F$205)*$BI$1</f>
        <v/>
      </c>
      <c r="BO750" s="102">
        <f>(CK750-Driver!$F$207)/(Driver!$G$207-Driver!$F$207)*$BI$1</f>
        <v/>
      </c>
      <c r="BP750" s="102">
        <f>(CM750-Driver!$F$208)/(Driver!$G$208-Driver!$F$208)*$BI$1</f>
        <v/>
      </c>
      <c r="BQ750" s="102">
        <f>(CL750-Driver!$F$209)/(Driver!$G$209-Driver!$F$209)*$BI$1</f>
        <v/>
      </c>
      <c r="BR750" s="40" t="inlineStr">
        <is>
          <t>21/22</t>
        </is>
      </c>
      <c r="BS750" s="10" t="inlineStr">
        <is>
          <t xml:space="preserve"> Faction</t>
        </is>
      </c>
      <c r="BT750" s="11" t="inlineStr">
        <is>
          <t>Prodigy 2.0</t>
        </is>
      </c>
      <c r="BU750" s="13" t="n">
        <v>183</v>
      </c>
      <c r="BV750" s="11" t="inlineStr">
        <is>
          <t xml:space="preserve"> Unisex</t>
        </is>
      </c>
      <c r="BW750" s="13" t="n">
        <v>183</v>
      </c>
      <c r="BX750" s="13" t="n">
        <v>181.4</v>
      </c>
      <c r="BY750" s="13" t="n">
        <v>128</v>
      </c>
      <c r="BZ750" s="13" t="n">
        <v>150</v>
      </c>
      <c r="CA750" s="13" t="n">
        <v>127</v>
      </c>
      <c r="CB750" s="13" t="n">
        <v>97</v>
      </c>
      <c r="CC750" s="13" t="n">
        <v>119</v>
      </c>
      <c r="CD750" s="13" t="n">
        <v>20.1</v>
      </c>
      <c r="CE750" s="13" t="n">
        <v>2125</v>
      </c>
      <c r="CF750" s="13" t="n">
        <v>0.92</v>
      </c>
      <c r="CG750" s="13" t="n">
        <v>1955</v>
      </c>
      <c r="CH750" s="13" t="n">
        <v>253</v>
      </c>
      <c r="CI750" s="13" t="n">
        <v>118</v>
      </c>
      <c r="CJ750" s="13" t="n">
        <v>51</v>
      </c>
      <c r="CK750" s="13" t="n">
        <v>282</v>
      </c>
      <c r="CL750" s="13" t="n">
        <v>45</v>
      </c>
      <c r="CM750" s="13" t="n">
        <v>254</v>
      </c>
      <c r="CN750" s="13" t="n">
        <v>0.889</v>
      </c>
      <c r="CO750" s="13" t="n">
        <v>169</v>
      </c>
      <c r="CP750" s="13" t="n">
        <v>146</v>
      </c>
      <c r="CQ750" s="13" t="n">
        <v>113</v>
      </c>
      <c r="CR750" s="13" t="n">
        <v>6</v>
      </c>
      <c r="CS750" s="13" t="n">
        <v>8.4</v>
      </c>
      <c r="CT750" s="11" t="inlineStr">
        <is>
          <t xml:space="preserve"> Freeski</t>
        </is>
      </c>
      <c r="CU750" s="13" t="n"/>
      <c r="CV750" s="13" t="n"/>
      <c r="CW750" s="13" t="n"/>
      <c r="CX750">
        <f>INDEX('Data_Price '!AG$2:AG$1266,MATCH(Data!$DN750,'Data_Price '!$AT$2:$AT$1266,0))</f>
        <v/>
      </c>
      <c r="CY750">
        <f>INDEX('Data_Price '!AH$2:AH$1266,MATCH(Data!$DN750,'Data_Price '!$AT$2:$AT$1266,0))</f>
        <v/>
      </c>
      <c r="CZ750">
        <f>INDEX('Data_Price '!AI$2:AI$1266,MATCH(Data!$DN750,'Data_Price '!$AT$2:$AT$1266,0))</f>
        <v/>
      </c>
      <c r="DA750">
        <f>INDEX('Data_Price '!AJ$2:AJ$1266,MATCH(Data!$DN750,'Data_Price '!$AT$2:$AT$1266,0))</f>
        <v/>
      </c>
      <c r="DB750">
        <f>INDEX('Data_Price '!AK$2:AK$1266,MATCH(Data!$DN750,'Data_Price '!$AT$2:$AT$1266,0))</f>
        <v/>
      </c>
      <c r="DC750">
        <f>INDEX('Data_Price '!AL$2:AL$1266,MATCH(Data!$DN750,'Data_Price '!$AT$2:$AT$1266,0))</f>
        <v/>
      </c>
      <c r="DD750">
        <f>INDEX('Data_Price '!AM$2:AM$1266,MATCH(Data!$DN750,'Data_Price '!$AT$2:$AT$1266,0))</f>
        <v/>
      </c>
      <c r="DE750">
        <f>INDEX('Data_Price '!AN$2:AN$1266,MATCH(Data!$DN750,'Data_Price '!$AT$2:$AT$1266,0))</f>
        <v/>
      </c>
      <c r="DF750">
        <f>INDEX('Data_Price '!AO$2:AO$1266,MATCH(Data!$DN750,'Data_Price '!$AT$2:$AT$1266,0))</f>
        <v/>
      </c>
      <c r="DG750">
        <f>INDEX('Data_Price '!AP$2:AP$1266,MATCH(Data!$DN750,'Data_Price '!$AT$2:$AT$1266,0))</f>
        <v/>
      </c>
      <c r="DH750">
        <f>INDEX('Data_Price '!AQ$2:AQ$1266,MATCH(Data!$DN750,'Data_Price '!$AT$2:$AT$1266,0))</f>
        <v/>
      </c>
      <c r="DI750">
        <f>INDEX('Data_Price '!AR$2:AR$1266,MATCH(Data!$DN750,'Data_Price '!$AT$2:$AT$1266,0))</f>
        <v/>
      </c>
      <c r="DJ750" s="138">
        <f>DA750</f>
        <v/>
      </c>
      <c r="DK750" s="138">
        <f>DE750</f>
        <v/>
      </c>
      <c r="DL750" s="138">
        <f>DI750</f>
        <v/>
      </c>
      <c r="DM750" s="303">
        <f>IF(LEFT(BT750,1)=" ",RIGHT(BT750,LEN(BT750)-1),BT750)</f>
        <v/>
      </c>
      <c r="DN750" s="138">
        <f>_xlfn.CONCAT(BS750,DM750,BU750,BV750)</f>
        <v/>
      </c>
      <c r="DO750" s="307" t="inlineStr">
        <is>
          <t>https://images.evo.com/imgp/250/208633/839528/faction-prodigy-2-0-skis-2022-.jpg</t>
        </is>
      </c>
    </row>
    <row r="751" ht="15.6" customHeight="1" s="184">
      <c r="B751" s="303">
        <f t="array" ref="B751">IF(OR(ISERROR(K751:P751)),FALSE,TRUE)</f>
        <v/>
      </c>
      <c r="C751" s="60">
        <f>OR(BR751=Driver!$G$50,Data!BR802=Driver!$H$50)</f>
        <v/>
      </c>
      <c r="D751" s="60">
        <f>OR(BV751=Driver!$G$51,BV751=Driver!$H$51)</f>
        <v/>
      </c>
      <c r="E751" s="60">
        <f>AND(BX751&gt;Driver!$F$54,BX751&lt;Driver!$G$54)</f>
        <v/>
      </c>
      <c r="F751" s="60">
        <f>CL751&gt;Driver!$F$56</f>
        <v/>
      </c>
      <c r="G751" s="60">
        <f>AND(CB751&gt;Driver!$F$55,CB751&lt;Driver!$G$55)</f>
        <v/>
      </c>
      <c r="H751" s="60">
        <f>AND(B751:G751)</f>
        <v/>
      </c>
      <c r="I751" s="60">
        <f>COUNTIFS($H$9:$H$1273,TRUE,$BT$9:$BT$1273,BT751)</f>
        <v/>
      </c>
      <c r="J751" s="60">
        <f t="array" ref="J751">NOT(OR(($H$9:$H$1273=TRUE)*($I$9:$I$1273&gt;0)*($BT$9:$BT$1273=BT751)*($K$9:$K$1273&gt;K751)))</f>
        <v/>
      </c>
      <c r="K751" s="108">
        <f>IFERROR(1-AVERAGE(X751:Y751),"")</f>
        <v/>
      </c>
      <c r="L751" s="108">
        <f>1-X751</f>
        <v/>
      </c>
      <c r="M751" s="108">
        <f>1-Y751</f>
        <v/>
      </c>
      <c r="N751" s="108">
        <f>1-Z751</f>
        <v/>
      </c>
      <c r="O751" s="108">
        <f>1-AA751</f>
        <v/>
      </c>
      <c r="P751" s="108">
        <f>1-AB751</f>
        <v/>
      </c>
      <c r="Q751" s="108" t="n"/>
      <c r="R751" s="108" t="n"/>
      <c r="S751" s="108">
        <f>1-AE751</f>
        <v/>
      </c>
      <c r="T751" s="108">
        <f>1-AF751</f>
        <v/>
      </c>
      <c r="U751" s="108">
        <f>1-AG751</f>
        <v/>
      </c>
      <c r="V751" s="108">
        <f>1-AH751</f>
        <v/>
      </c>
      <c r="W751" s="108">
        <f>1-AI751</f>
        <v/>
      </c>
      <c r="X751" s="108">
        <f>ABS(AJ751-AJ$1)</f>
        <v/>
      </c>
      <c r="Y751" s="108">
        <f>AVERAGE(Z751:AB751)</f>
        <v/>
      </c>
      <c r="Z751" s="108">
        <f>ABS(AL751-AL$1)</f>
        <v/>
      </c>
      <c r="AA751" s="108">
        <f>ABS(AM751-AM$1)</f>
        <v/>
      </c>
      <c r="AB751" s="108">
        <f>ABS(AN751-AN$1)</f>
        <v/>
      </c>
      <c r="AC751" s="108" t="n"/>
      <c r="AD751" s="108" t="n"/>
      <c r="AE751" s="108">
        <f>ABS(AQ$1-AQ751)</f>
        <v/>
      </c>
      <c r="AF751" s="108">
        <f>ABS(AR$1-AR751)</f>
        <v/>
      </c>
      <c r="AG751" s="108">
        <f>ABS(AS$1-AS751)</f>
        <v/>
      </c>
      <c r="AH751" s="108">
        <f>ABS(AT$1-AT751)</f>
        <v/>
      </c>
      <c r="AI751" s="108">
        <f>ABS(AU$1-AU751)</f>
        <v/>
      </c>
      <c r="AJ751" s="108">
        <f>(AV751-Driver!$K$179)/(Driver!$L$179-Driver!$K$179)</f>
        <v/>
      </c>
      <c r="AK751" s="108">
        <f>(AW751-Driver!$K$180)/(Driver!$L$180-Driver!$K$180)</f>
        <v/>
      </c>
      <c r="AL751" s="108">
        <f>(AX751-Driver!$K$181)/(Driver!$L$181-Driver!$K$181)</f>
        <v/>
      </c>
      <c r="AM751" s="108">
        <f>(AY751-Driver!$K$182)/(Driver!$L$182-Driver!$K$182)</f>
        <v/>
      </c>
      <c r="AN751" s="108">
        <f>(AZ751-Driver!$K$183)/(Driver!$L$183-Driver!$K$183)</f>
        <v/>
      </c>
      <c r="AO751" s="108" t="n"/>
      <c r="AP751" s="108" t="n"/>
      <c r="AQ751" s="108">
        <f>(BC751-Driver!$K$188)/(Driver!$L$188-Driver!$K$188)</f>
        <v/>
      </c>
      <c r="AR751" s="108">
        <f>MIN((BD751-Driver!$K$189)/(Driver!$L$189-Driver!$K$189),100%)</f>
        <v/>
      </c>
      <c r="AS751" s="108">
        <f>(BE751-Driver!$K$190)/(Driver!$L$190-Driver!$K$190)</f>
        <v/>
      </c>
      <c r="AT751" s="108">
        <f>(BF751-Driver!$K$191)/(Driver!$L$191-Driver!$K$191)</f>
        <v/>
      </c>
      <c r="AU751" s="108">
        <f>(BG751-Driver!$K$192)/(Driver!$L$192-Driver!$K$192)</f>
        <v/>
      </c>
      <c r="AV751" s="105">
        <f>IFERROR(BM751*BJ751^1/4,"")</f>
        <v/>
      </c>
      <c r="AW751" s="105">
        <f>IFERROR(SUM(AX751:AZ751),"")</f>
        <v/>
      </c>
      <c r="AX751" s="105">
        <f>IFERROR(BH751,"")</f>
        <v/>
      </c>
      <c r="AY751" s="105">
        <f>IFERROR(Driver!$K$19/Data!BH751/Data!BI751*Data!BK751*Data!BL751,"")</f>
        <v/>
      </c>
      <c r="AZ751" s="105">
        <f>IFERROR(BI751*BN751,"")</f>
        <v/>
      </c>
      <c r="BA751" s="105" t="n"/>
      <c r="BB751" s="105" t="n"/>
      <c r="BC751" s="105">
        <f>IFERROR(BI751*BN751*BK751/BJ751^(1/2),"")</f>
        <v/>
      </c>
      <c r="BD751" s="105">
        <f>IFERROR(BH751*BM751*BL751/BJ751/BK751,"")</f>
        <v/>
      </c>
      <c r="BE751" s="105">
        <f>IFERROR(MIN(BI751/BQ751/BP751/BO751/BH751,$BE$1),"")</f>
        <v/>
      </c>
      <c r="BF751" s="105">
        <f>IFERROR(BJ751*BO751*BP751/BK751,"")</f>
        <v/>
      </c>
      <c r="BG751" s="105">
        <f>IFERROR(1/BM751/BH751*BQ751,"")</f>
        <v/>
      </c>
      <c r="BH751" s="102">
        <f>MAX((CE751-Driver!$F$200)/(Driver!$G$200-Driver!$F$200)*$BI$1,1)</f>
        <v/>
      </c>
      <c r="BI751" s="102">
        <f>MAX($BI$1*(BY751-Driver!$F$201)/(Driver!$G$201-Driver!$F$201),1)</f>
        <v/>
      </c>
      <c r="BJ751" s="102">
        <f>(CB751-Driver!$F$206)/(Driver!$G$206-Driver!$F$206)*$BI$1</f>
        <v/>
      </c>
      <c r="BK751" s="102">
        <f>(CD751-Driver!$F$203)/(Driver!$G$203-Driver!$F$203)*$BI$1</f>
        <v/>
      </c>
      <c r="BL751" s="102">
        <f>MAX((CR751-Driver!$F$202)/(Driver!$G$202-Driver!$F$202)*$BI$1,1)</f>
        <v/>
      </c>
      <c r="BM751" s="102">
        <f>MAX((CH751-Driver!$F$204)/(Driver!$G$204-Driver!$F$204)*$BI$1,1)</f>
        <v/>
      </c>
      <c r="BN751" s="102">
        <f>(CI751-Driver!$F$205)/(Driver!$G$205-Driver!$F$205)*$BI$1</f>
        <v/>
      </c>
      <c r="BO751" s="102">
        <f>(CK751-Driver!$F$207)/(Driver!$G$207-Driver!$F$207)*$BI$1</f>
        <v/>
      </c>
      <c r="BP751" s="102">
        <f>(CM751-Driver!$F$208)/(Driver!$G$208-Driver!$F$208)*$BI$1</f>
        <v/>
      </c>
      <c r="BQ751" s="102">
        <f>(CL751-Driver!$F$209)/(Driver!$G$209-Driver!$F$209)*$BI$1</f>
        <v/>
      </c>
      <c r="BR751" s="40" t="inlineStr">
        <is>
          <t>21/22</t>
        </is>
      </c>
      <c r="BS751" s="10" t="inlineStr">
        <is>
          <t xml:space="preserve"> Liberty</t>
        </is>
      </c>
      <c r="BT751" s="11" t="inlineStr">
        <is>
          <t>Evolv 90</t>
        </is>
      </c>
      <c r="BU751" s="13" t="n">
        <v>186</v>
      </c>
      <c r="BV751" s="11" t="inlineStr">
        <is>
          <t xml:space="preserve"> Unisex</t>
        </is>
      </c>
      <c r="BW751" s="13" t="n">
        <v>186</v>
      </c>
      <c r="BX751" s="13" t="n">
        <v>185.8</v>
      </c>
      <c r="BY751" s="13" t="n">
        <v>157</v>
      </c>
      <c r="BZ751" s="13" t="n">
        <v>166</v>
      </c>
      <c r="CA751" s="13" t="n">
        <v>130</v>
      </c>
      <c r="CB751" s="13" t="n">
        <v>89</v>
      </c>
      <c r="CC751" s="13" t="n">
        <v>113</v>
      </c>
      <c r="CD751" s="13" t="n">
        <v>20.4</v>
      </c>
      <c r="CE751" s="13" t="n">
        <v>1895</v>
      </c>
      <c r="CF751" s="13" t="n">
        <v>0.99</v>
      </c>
      <c r="CG751" s="13" t="n">
        <v>1881</v>
      </c>
      <c r="CH751" s="13" t="n">
        <v>227</v>
      </c>
      <c r="CI751" s="13" t="n">
        <v>111</v>
      </c>
      <c r="CJ751" s="13" t="n">
        <v>37</v>
      </c>
      <c r="CK751" s="13" t="n">
        <v>179</v>
      </c>
      <c r="CL751" s="13" t="n">
        <v>8</v>
      </c>
      <c r="CM751" s="13" t="n">
        <v>108</v>
      </c>
      <c r="CN751" s="13" t="n">
        <v>0.228</v>
      </c>
      <c r="CO751" s="13" t="n">
        <v>106</v>
      </c>
      <c r="CP751" s="13" t="n">
        <v>92</v>
      </c>
      <c r="CQ751" s="13" t="n">
        <v>73</v>
      </c>
      <c r="CR751" s="13" t="n">
        <v>13</v>
      </c>
      <c r="CS751" s="13" t="n">
        <v>11.4</v>
      </c>
      <c r="CT751" s="11" t="inlineStr">
        <is>
          <t xml:space="preserve"> Resort Freeride</t>
        </is>
      </c>
      <c r="CU751" s="13" t="n"/>
      <c r="CV751" s="13" t="n"/>
      <c r="CW751" s="13" t="n"/>
      <c r="CX751">
        <f>INDEX('Data_Price '!AG$2:AG$1266,MATCH(Data!$DN751,'Data_Price '!$AT$2:$AT$1266,0))</f>
        <v/>
      </c>
      <c r="CY751">
        <f>INDEX('Data_Price '!AH$2:AH$1266,MATCH(Data!$DN751,'Data_Price '!$AT$2:$AT$1266,0))</f>
        <v/>
      </c>
      <c r="CZ751">
        <f>INDEX('Data_Price '!AI$2:AI$1266,MATCH(Data!$DN751,'Data_Price '!$AT$2:$AT$1266,0))</f>
        <v/>
      </c>
      <c r="DA751">
        <f>INDEX('Data_Price '!AJ$2:AJ$1266,MATCH(Data!$DN751,'Data_Price '!$AT$2:$AT$1266,0))</f>
        <v/>
      </c>
      <c r="DB751">
        <f>INDEX('Data_Price '!AK$2:AK$1266,MATCH(Data!$DN751,'Data_Price '!$AT$2:$AT$1266,0))</f>
        <v/>
      </c>
      <c r="DC751">
        <f>INDEX('Data_Price '!AL$2:AL$1266,MATCH(Data!$DN751,'Data_Price '!$AT$2:$AT$1266,0))</f>
        <v/>
      </c>
      <c r="DD751">
        <f>INDEX('Data_Price '!AM$2:AM$1266,MATCH(Data!$DN751,'Data_Price '!$AT$2:$AT$1266,0))</f>
        <v/>
      </c>
      <c r="DE751">
        <f>INDEX('Data_Price '!AN$2:AN$1266,MATCH(Data!$DN751,'Data_Price '!$AT$2:$AT$1266,0))</f>
        <v/>
      </c>
      <c r="DF751">
        <f>INDEX('Data_Price '!AO$2:AO$1266,MATCH(Data!$DN751,'Data_Price '!$AT$2:$AT$1266,0))</f>
        <v/>
      </c>
      <c r="DG751">
        <f>INDEX('Data_Price '!AP$2:AP$1266,MATCH(Data!$DN751,'Data_Price '!$AT$2:$AT$1266,0))</f>
        <v/>
      </c>
      <c r="DH751">
        <f>INDEX('Data_Price '!AQ$2:AQ$1266,MATCH(Data!$DN751,'Data_Price '!$AT$2:$AT$1266,0))</f>
        <v/>
      </c>
      <c r="DI751">
        <f>INDEX('Data_Price '!AR$2:AR$1266,MATCH(Data!$DN751,'Data_Price '!$AT$2:$AT$1266,0))</f>
        <v/>
      </c>
      <c r="DJ751" s="138">
        <f>DA751</f>
        <v/>
      </c>
      <c r="DK751" s="138">
        <f>DE751</f>
        <v/>
      </c>
      <c r="DL751" s="138">
        <f>DI751</f>
        <v/>
      </c>
      <c r="DM751" s="303">
        <f>IF(LEFT(BT751,1)=" ",RIGHT(BT751,LEN(BT751)-1),BT751)</f>
        <v/>
      </c>
      <c r="DN751" s="138">
        <f>_xlfn.CONCAT(BS751,DM751,BU751,BV751)</f>
        <v/>
      </c>
      <c r="DO751" s="307" t="n"/>
    </row>
    <row r="752" ht="15.6" customHeight="1" s="184">
      <c r="B752" s="303">
        <f t="array" ref="B752">IF(OR(ISERROR(K752:P752)),FALSE,TRUE)</f>
        <v/>
      </c>
      <c r="C752" s="60">
        <f>OR(BR752=Driver!$G$50,Data!BR1198=Driver!$H$50)</f>
        <v/>
      </c>
      <c r="D752" s="60">
        <f>OR(BV752=Driver!$G$51,BV752=Driver!$H$51)</f>
        <v/>
      </c>
      <c r="E752" s="60">
        <f>AND(BX752&gt;Driver!$F$54,BX752&lt;Driver!$G$54)</f>
        <v/>
      </c>
      <c r="F752" s="60">
        <f>CL752&gt;Driver!$F$56</f>
        <v/>
      </c>
      <c r="G752" s="60">
        <f>AND(CB752&gt;Driver!$F$55,CB752&lt;Driver!$G$55)</f>
        <v/>
      </c>
      <c r="H752" s="60">
        <f>AND(B752:G752)</f>
        <v/>
      </c>
      <c r="I752" s="60">
        <f>COUNTIFS($H$9:$H$1273,TRUE,$BT$9:$BT$1273,BT752)</f>
        <v/>
      </c>
      <c r="J752" s="60">
        <f t="array" ref="J752">NOT(OR(($H$9:$H$1273=TRUE)*($I$9:$I$1273&gt;0)*($BT$9:$BT$1273=BT752)*($K$9:$K$1273&gt;K752)))</f>
        <v/>
      </c>
      <c r="K752" s="108">
        <f>IFERROR(1-AVERAGE(X752:Y752),"")</f>
        <v/>
      </c>
      <c r="L752" s="108">
        <f>1-X752</f>
        <v/>
      </c>
      <c r="M752" s="108">
        <f>1-Y752</f>
        <v/>
      </c>
      <c r="N752" s="108">
        <f>1-Z752</f>
        <v/>
      </c>
      <c r="O752" s="108">
        <f>1-AA752</f>
        <v/>
      </c>
      <c r="P752" s="108">
        <f>1-AB752</f>
        <v/>
      </c>
      <c r="Q752" s="108" t="n"/>
      <c r="R752" s="108" t="n"/>
      <c r="S752" s="108">
        <f>1-AE752</f>
        <v/>
      </c>
      <c r="T752" s="108">
        <f>1-AF752</f>
        <v/>
      </c>
      <c r="U752" s="108">
        <f>1-AG752</f>
        <v/>
      </c>
      <c r="V752" s="108">
        <f>1-AH752</f>
        <v/>
      </c>
      <c r="W752" s="108">
        <f>1-AI752</f>
        <v/>
      </c>
      <c r="X752" s="108">
        <f>ABS(AJ752-AJ$1)</f>
        <v/>
      </c>
      <c r="Y752" s="108">
        <f>AVERAGE(Z752:AB752)</f>
        <v/>
      </c>
      <c r="Z752" s="108">
        <f>ABS(AL752-AL$1)</f>
        <v/>
      </c>
      <c r="AA752" s="108">
        <f>ABS(AM752-AM$1)</f>
        <v/>
      </c>
      <c r="AB752" s="108">
        <f>ABS(AN752-AN$1)</f>
        <v/>
      </c>
      <c r="AC752" s="108" t="n"/>
      <c r="AD752" s="108" t="n"/>
      <c r="AE752" s="108">
        <f>ABS(AQ$1-AQ752)</f>
        <v/>
      </c>
      <c r="AF752" s="108">
        <f>ABS(AR$1-AR752)</f>
        <v/>
      </c>
      <c r="AG752" s="108">
        <f>ABS(AS$1-AS752)</f>
        <v/>
      </c>
      <c r="AH752" s="108">
        <f>ABS(AT$1-AT752)</f>
        <v/>
      </c>
      <c r="AI752" s="108">
        <f>ABS(AU$1-AU752)</f>
        <v/>
      </c>
      <c r="AJ752" s="108">
        <f>(AV752-Driver!$K$179)/(Driver!$L$179-Driver!$K$179)</f>
        <v/>
      </c>
      <c r="AK752" s="108">
        <f>(AW752-Driver!$K$180)/(Driver!$L$180-Driver!$K$180)</f>
        <v/>
      </c>
      <c r="AL752" s="108">
        <f>(AX752-Driver!$K$181)/(Driver!$L$181-Driver!$K$181)</f>
        <v/>
      </c>
      <c r="AM752" s="108">
        <f>(AY752-Driver!$K$182)/(Driver!$L$182-Driver!$K$182)</f>
        <v/>
      </c>
      <c r="AN752" s="108">
        <f>(AZ752-Driver!$K$183)/(Driver!$L$183-Driver!$K$183)</f>
        <v/>
      </c>
      <c r="AO752" s="108" t="n"/>
      <c r="AP752" s="108" t="n"/>
      <c r="AQ752" s="108">
        <f>(BC752-Driver!$K$188)/(Driver!$L$188-Driver!$K$188)</f>
        <v/>
      </c>
      <c r="AR752" s="108">
        <f>MIN((BD752-Driver!$K$189)/(Driver!$L$189-Driver!$K$189),100%)</f>
        <v/>
      </c>
      <c r="AS752" s="108">
        <f>(BE752-Driver!$K$190)/(Driver!$L$190-Driver!$K$190)</f>
        <v/>
      </c>
      <c r="AT752" s="108">
        <f>(BF752-Driver!$K$191)/(Driver!$L$191-Driver!$K$191)</f>
        <v/>
      </c>
      <c r="AU752" s="108">
        <f>(BG752-Driver!$K$192)/(Driver!$L$192-Driver!$K$192)</f>
        <v/>
      </c>
      <c r="AV752" s="105">
        <f>IFERROR(BM752*BJ752^1/4,"")</f>
        <v/>
      </c>
      <c r="AW752" s="105">
        <f>IFERROR(SUM(AX752:AZ752),"")</f>
        <v/>
      </c>
      <c r="AX752" s="105">
        <f>IFERROR(BH752,"")</f>
        <v/>
      </c>
      <c r="AY752" s="105">
        <f>IFERROR(Driver!$K$19/Data!BH752/Data!BI752*Data!BK752*Data!BL752,"")</f>
        <v/>
      </c>
      <c r="AZ752" s="105">
        <f>IFERROR(BI752*BN752,"")</f>
        <v/>
      </c>
      <c r="BA752" s="105" t="n"/>
      <c r="BB752" s="105" t="n"/>
      <c r="BC752" s="105">
        <f>IFERROR(BI752*BN752*BK752/BJ752^(1/2),"")</f>
        <v/>
      </c>
      <c r="BD752" s="105">
        <f>IFERROR(BH752*BM752*BL752/BJ752/BK752,"")</f>
        <v/>
      </c>
      <c r="BE752" s="105">
        <f>IFERROR(MIN(BI752/BQ752/BP752/BO752/BH752,$BE$1),"")</f>
        <v/>
      </c>
      <c r="BF752" s="105">
        <f>IFERROR(BJ752*BO752*BP752/BK752,"")</f>
        <v/>
      </c>
      <c r="BG752" s="105">
        <f>IFERROR(1/BM752/BH752*BQ752,"")</f>
        <v/>
      </c>
      <c r="BH752" s="102">
        <f>MAX((CE752-Driver!$F$200)/(Driver!$G$200-Driver!$F$200)*$BI$1,1)</f>
        <v/>
      </c>
      <c r="BI752" s="102">
        <f>MAX($BI$1*(BY752-Driver!$F$201)/(Driver!$G$201-Driver!$F$201),1)</f>
        <v/>
      </c>
      <c r="BJ752" s="102">
        <f>(CB752-Driver!$F$206)/(Driver!$G$206-Driver!$F$206)*$BI$1</f>
        <v/>
      </c>
      <c r="BK752" s="102">
        <f>(CD752-Driver!$F$203)/(Driver!$G$203-Driver!$F$203)*$BI$1</f>
        <v/>
      </c>
      <c r="BL752" s="102">
        <f>MAX((CR752-Driver!$F$202)/(Driver!$G$202-Driver!$F$202)*$BI$1,1)</f>
        <v/>
      </c>
      <c r="BM752" s="102">
        <f>MAX((CH752-Driver!$F$204)/(Driver!$G$204-Driver!$F$204)*$BI$1,1)</f>
        <v/>
      </c>
      <c r="BN752" s="102">
        <f>(CI752-Driver!$F$205)/(Driver!$G$205-Driver!$F$205)*$BI$1</f>
        <v/>
      </c>
      <c r="BO752" s="102">
        <f>(CK752-Driver!$F$207)/(Driver!$G$207-Driver!$F$207)*$BI$1</f>
        <v/>
      </c>
      <c r="BP752" s="102">
        <f>(CM752-Driver!$F$208)/(Driver!$G$208-Driver!$F$208)*$BI$1</f>
        <v/>
      </c>
      <c r="BQ752" s="102">
        <f>(CL752-Driver!$F$209)/(Driver!$G$209-Driver!$F$209)*$BI$1</f>
        <v/>
      </c>
      <c r="BR752" s="40" t="inlineStr">
        <is>
          <t>21/22</t>
        </is>
      </c>
      <c r="BS752" s="10" t="inlineStr">
        <is>
          <t xml:space="preserve"> Völkl</t>
        </is>
      </c>
      <c r="BT752" s="11" t="inlineStr">
        <is>
          <t xml:space="preserve"> Flair SC Carbon</t>
        </is>
      </c>
      <c r="BU752" s="13" t="n">
        <v>160</v>
      </c>
      <c r="BV752" s="11" t="inlineStr">
        <is>
          <t xml:space="preserve"> Women's</t>
        </is>
      </c>
      <c r="BW752" s="13" t="n">
        <v>160</v>
      </c>
      <c r="BX752" s="13" t="n">
        <v>159.6</v>
      </c>
      <c r="BY752" s="13" t="n">
        <v>137</v>
      </c>
      <c r="BZ752" s="13" t="n">
        <v>144</v>
      </c>
      <c r="CA752" s="13" t="n">
        <v>122</v>
      </c>
      <c r="CB752" s="13" t="n">
        <v>70</v>
      </c>
      <c r="CC752" s="13" t="n">
        <v>102</v>
      </c>
      <c r="CD752" s="13" t="n">
        <v>12.2</v>
      </c>
      <c r="CE752" s="13" t="n">
        <v>1647</v>
      </c>
      <c r="CF752" s="13" t="n">
        <v>0.83</v>
      </c>
      <c r="CG752" s="13" t="n">
        <v>1370</v>
      </c>
      <c r="CH752" s="13" t="n">
        <v>203</v>
      </c>
      <c r="CI752" s="13" t="n">
        <v>71</v>
      </c>
      <c r="CJ752" s="13" t="n">
        <v>42</v>
      </c>
      <c r="CK752" s="13" t="n">
        <v>166</v>
      </c>
      <c r="CL752" s="13" t="n">
        <v>7</v>
      </c>
      <c r="CM752" s="13" t="n">
        <v>56</v>
      </c>
      <c r="CN752" s="13" t="n">
        <v>0.157</v>
      </c>
      <c r="CO752" s="13" t="n">
        <v>72</v>
      </c>
      <c r="CP752" s="13" t="n">
        <v>79</v>
      </c>
      <c r="CQ752" s="13" t="n">
        <v>94</v>
      </c>
      <c r="CR752" s="13" t="n">
        <v>4</v>
      </c>
      <c r="CS752" s="13" t="n">
        <v>11.5</v>
      </c>
      <c r="CT752" s="11" t="inlineStr">
        <is>
          <t xml:space="preserve"> On-Piste Carving</t>
        </is>
      </c>
      <c r="CU752" s="13" t="n"/>
      <c r="CV752" s="13" t="n"/>
      <c r="CW752" s="13" t="n"/>
      <c r="CX752">
        <f>INDEX('Data_Price '!AG$2:AG$1266,MATCH(Data!$DN752,'Data_Price '!$AT$2:$AT$1266,0))</f>
        <v/>
      </c>
      <c r="CY752">
        <f>INDEX('Data_Price '!AH$2:AH$1266,MATCH(Data!$DN752,'Data_Price '!$AT$2:$AT$1266,0))</f>
        <v/>
      </c>
      <c r="CZ752">
        <f>INDEX('Data_Price '!AI$2:AI$1266,MATCH(Data!$DN752,'Data_Price '!$AT$2:$AT$1266,0))</f>
        <v/>
      </c>
      <c r="DA752">
        <f>INDEX('Data_Price '!AJ$2:AJ$1266,MATCH(Data!$DN752,'Data_Price '!$AT$2:$AT$1266,0))</f>
        <v/>
      </c>
      <c r="DB752">
        <f>INDEX('Data_Price '!AK$2:AK$1266,MATCH(Data!$DN752,'Data_Price '!$AT$2:$AT$1266,0))</f>
        <v/>
      </c>
      <c r="DC752">
        <f>INDEX('Data_Price '!AL$2:AL$1266,MATCH(Data!$DN752,'Data_Price '!$AT$2:$AT$1266,0))</f>
        <v/>
      </c>
      <c r="DD752">
        <f>INDEX('Data_Price '!AM$2:AM$1266,MATCH(Data!$DN752,'Data_Price '!$AT$2:$AT$1266,0))</f>
        <v/>
      </c>
      <c r="DE752">
        <f>INDEX('Data_Price '!AN$2:AN$1266,MATCH(Data!$DN752,'Data_Price '!$AT$2:$AT$1266,0))</f>
        <v/>
      </c>
      <c r="DF752">
        <f>INDEX('Data_Price '!AO$2:AO$1266,MATCH(Data!$DN752,'Data_Price '!$AT$2:$AT$1266,0))</f>
        <v/>
      </c>
      <c r="DG752">
        <f>INDEX('Data_Price '!AP$2:AP$1266,MATCH(Data!$DN752,'Data_Price '!$AT$2:$AT$1266,0))</f>
        <v/>
      </c>
      <c r="DH752">
        <f>INDEX('Data_Price '!AQ$2:AQ$1266,MATCH(Data!$DN752,'Data_Price '!$AT$2:$AT$1266,0))</f>
        <v/>
      </c>
      <c r="DI752">
        <f>INDEX('Data_Price '!AR$2:AR$1266,MATCH(Data!$DN752,'Data_Price '!$AT$2:$AT$1266,0))</f>
        <v/>
      </c>
      <c r="DJ752" s="138">
        <f>DA752</f>
        <v/>
      </c>
      <c r="DK752" s="138">
        <f>DE752</f>
        <v/>
      </c>
      <c r="DL752" s="138">
        <f>DI752</f>
        <v/>
      </c>
      <c r="DM752" s="303">
        <f>IF(LEFT(BT752,1)=" ",RIGHT(BT752,LEN(BT752)-1),BT752)</f>
        <v/>
      </c>
      <c r="DN752" s="138">
        <f>_xlfn.CONCAT(BS752,DM752,BU752,BV752)</f>
        <v/>
      </c>
      <c r="DO752" s="307" t="n"/>
    </row>
    <row r="753" ht="15.6" customHeight="1" s="184">
      <c r="B753" s="303">
        <f t="array" ref="B753">IF(OR(ISERROR(K753:P753)),FALSE,TRUE)</f>
        <v/>
      </c>
      <c r="C753" s="60">
        <f>OR(BR753=Driver!$G$50,Data!BR1036=Driver!$H$50)</f>
        <v/>
      </c>
      <c r="D753" s="60">
        <f>OR(BV753=Driver!$G$51,BV753=Driver!$H$51)</f>
        <v/>
      </c>
      <c r="E753" s="60">
        <f>AND(BX753&gt;Driver!$F$54,BX753&lt;Driver!$G$54)</f>
        <v/>
      </c>
      <c r="F753" s="60">
        <f>CL753&gt;Driver!$F$56</f>
        <v/>
      </c>
      <c r="G753" s="60">
        <f>AND(CB753&gt;Driver!$F$55,CB753&lt;Driver!$G$55)</f>
        <v/>
      </c>
      <c r="H753" s="60">
        <f>AND(B753:G753)</f>
        <v/>
      </c>
      <c r="I753" s="60">
        <f>COUNTIFS($H$9:$H$1273,TRUE,$BT$9:$BT$1273,BT753)</f>
        <v/>
      </c>
      <c r="J753" s="60">
        <f t="array" ref="J753">NOT(OR(($H$9:$H$1273=TRUE)*($I$9:$I$1273&gt;0)*($BT$9:$BT$1273=BT753)*($K$9:$K$1273&gt;K753)))</f>
        <v/>
      </c>
      <c r="K753" s="108">
        <f>IFERROR(1-AVERAGE(X753:Y753),"")</f>
        <v/>
      </c>
      <c r="L753" s="108">
        <f>1-X753</f>
        <v/>
      </c>
      <c r="M753" s="108">
        <f>1-Y753</f>
        <v/>
      </c>
      <c r="N753" s="108">
        <f>1-Z753</f>
        <v/>
      </c>
      <c r="O753" s="108">
        <f>1-AA753</f>
        <v/>
      </c>
      <c r="P753" s="108">
        <f>1-AB753</f>
        <v/>
      </c>
      <c r="Q753" s="108" t="n"/>
      <c r="R753" s="108" t="n"/>
      <c r="S753" s="108">
        <f>1-AE753</f>
        <v/>
      </c>
      <c r="T753" s="108">
        <f>1-AF753</f>
        <v/>
      </c>
      <c r="U753" s="108">
        <f>1-AG753</f>
        <v/>
      </c>
      <c r="V753" s="108">
        <f>1-AH753</f>
        <v/>
      </c>
      <c r="W753" s="108">
        <f>1-AI753</f>
        <v/>
      </c>
      <c r="X753" s="108">
        <f>ABS(AJ753-AJ$1)</f>
        <v/>
      </c>
      <c r="Y753" s="108">
        <f>AVERAGE(Z753:AB753)</f>
        <v/>
      </c>
      <c r="Z753" s="108">
        <f>ABS(AL753-AL$1)</f>
        <v/>
      </c>
      <c r="AA753" s="108">
        <f>ABS(AM753-AM$1)</f>
        <v/>
      </c>
      <c r="AB753" s="108">
        <f>ABS(AN753-AN$1)</f>
        <v/>
      </c>
      <c r="AC753" s="108" t="n"/>
      <c r="AD753" s="108" t="n"/>
      <c r="AE753" s="108">
        <f>ABS(AQ$1-AQ753)</f>
        <v/>
      </c>
      <c r="AF753" s="108">
        <f>ABS(AR$1-AR753)</f>
        <v/>
      </c>
      <c r="AG753" s="108">
        <f>ABS(AS$1-AS753)</f>
        <v/>
      </c>
      <c r="AH753" s="108">
        <f>ABS(AT$1-AT753)</f>
        <v/>
      </c>
      <c r="AI753" s="108">
        <f>ABS(AU$1-AU753)</f>
        <v/>
      </c>
      <c r="AJ753" s="108">
        <f>(AV753-Driver!$K$179)/(Driver!$L$179-Driver!$K$179)</f>
        <v/>
      </c>
      <c r="AK753" s="108">
        <f>(AW753-Driver!$K$180)/(Driver!$L$180-Driver!$K$180)</f>
        <v/>
      </c>
      <c r="AL753" s="108">
        <f>(AX753-Driver!$K$181)/(Driver!$L$181-Driver!$K$181)</f>
        <v/>
      </c>
      <c r="AM753" s="108">
        <f>(AY753-Driver!$K$182)/(Driver!$L$182-Driver!$K$182)</f>
        <v/>
      </c>
      <c r="AN753" s="108">
        <f>(AZ753-Driver!$K$183)/(Driver!$L$183-Driver!$K$183)</f>
        <v/>
      </c>
      <c r="AO753" s="108" t="n"/>
      <c r="AP753" s="108" t="n"/>
      <c r="AQ753" s="108">
        <f>(BC753-Driver!$K$188)/(Driver!$L$188-Driver!$K$188)</f>
        <v/>
      </c>
      <c r="AR753" s="108">
        <f>MIN((BD753-Driver!$K$189)/(Driver!$L$189-Driver!$K$189),100%)</f>
        <v/>
      </c>
      <c r="AS753" s="108">
        <f>(BE753-Driver!$K$190)/(Driver!$L$190-Driver!$K$190)</f>
        <v/>
      </c>
      <c r="AT753" s="108">
        <f>(BF753-Driver!$K$191)/(Driver!$L$191-Driver!$K$191)</f>
        <v/>
      </c>
      <c r="AU753" s="108">
        <f>(BG753-Driver!$K$192)/(Driver!$L$192-Driver!$K$192)</f>
        <v/>
      </c>
      <c r="AV753" s="105">
        <f>IFERROR(BM753*BJ753^1/4,"")</f>
        <v/>
      </c>
      <c r="AW753" s="105">
        <f>IFERROR(SUM(AX753:AZ753),"")</f>
        <v/>
      </c>
      <c r="AX753" s="105">
        <f>IFERROR(BH753,"")</f>
        <v/>
      </c>
      <c r="AY753" s="105">
        <f>IFERROR(Driver!$K$19/Data!BH753/Data!BI753*Data!BK753*Data!BL753,"")</f>
        <v/>
      </c>
      <c r="AZ753" s="105">
        <f>IFERROR(BI753*BN753,"")</f>
        <v/>
      </c>
      <c r="BA753" s="105" t="n"/>
      <c r="BB753" s="105" t="n"/>
      <c r="BC753" s="105">
        <f>IFERROR(BI753*BN753*BK753/BJ753^(1/2),"")</f>
        <v/>
      </c>
      <c r="BD753" s="105">
        <f>IFERROR(BH753*BM753*BL753/BJ753/BK753,"")</f>
        <v/>
      </c>
      <c r="BE753" s="105">
        <f>IFERROR(MIN(BI753/BQ753/BP753/BO753/BH753,$BE$1),"")</f>
        <v/>
      </c>
      <c r="BF753" s="105">
        <f>IFERROR(BJ753*BO753*BP753/BK753,"")</f>
        <v/>
      </c>
      <c r="BG753" s="105">
        <f>IFERROR(1/BM753/BH753*BQ753,"")</f>
        <v/>
      </c>
      <c r="BH753" s="102">
        <f>MAX((CE753-Driver!$F$200)/(Driver!$G$200-Driver!$F$200)*$BI$1,1)</f>
        <v/>
      </c>
      <c r="BI753" s="102">
        <f>MAX($BI$1*(BY753-Driver!$F$201)/(Driver!$G$201-Driver!$F$201),1)</f>
        <v/>
      </c>
      <c r="BJ753" s="102">
        <f>(CB753-Driver!$F$206)/(Driver!$G$206-Driver!$F$206)*$BI$1</f>
        <v/>
      </c>
      <c r="BK753" s="102">
        <f>(CD753-Driver!$F$203)/(Driver!$G$203-Driver!$F$203)*$BI$1</f>
        <v/>
      </c>
      <c r="BL753" s="102">
        <f>MAX((CR753-Driver!$F$202)/(Driver!$G$202-Driver!$F$202)*$BI$1,1)</f>
        <v/>
      </c>
      <c r="BM753" s="102">
        <f>MAX((CH753-Driver!$F$204)/(Driver!$G$204-Driver!$F$204)*$BI$1,1)</f>
        <v/>
      </c>
      <c r="BN753" s="102">
        <f>(CI753-Driver!$F$205)/(Driver!$G$205-Driver!$F$205)*$BI$1</f>
        <v/>
      </c>
      <c r="BO753" s="102">
        <f>(CK753-Driver!$F$207)/(Driver!$G$207-Driver!$F$207)*$BI$1</f>
        <v/>
      </c>
      <c r="BP753" s="102">
        <f>(CM753-Driver!$F$208)/(Driver!$G$208-Driver!$F$208)*$BI$1</f>
        <v/>
      </c>
      <c r="BQ753" s="102">
        <f>(CL753-Driver!$F$209)/(Driver!$G$209-Driver!$F$209)*$BI$1</f>
        <v/>
      </c>
      <c r="BR753" s="40" t="inlineStr">
        <is>
          <t>21/22</t>
        </is>
      </c>
      <c r="BS753" s="10" t="inlineStr">
        <is>
          <t xml:space="preserve"> Rossignol</t>
        </is>
      </c>
      <c r="BT753" s="11" t="inlineStr">
        <is>
          <t xml:space="preserve"> Hero Elite Short Turn Ti</t>
        </is>
      </c>
      <c r="BU753" s="13" t="n">
        <v>172</v>
      </c>
      <c r="BV753" s="11" t="inlineStr">
        <is>
          <t xml:space="preserve"> Unisex</t>
        </is>
      </c>
      <c r="BW753" s="13" t="n">
        <v>172</v>
      </c>
      <c r="BX753" s="13" t="n">
        <v>170.5</v>
      </c>
      <c r="BY753" s="13" t="n">
        <v>150</v>
      </c>
      <c r="BZ753" s="13" t="n">
        <v>157</v>
      </c>
      <c r="CA753" s="13" t="n">
        <v>121</v>
      </c>
      <c r="CB753" s="13" t="n">
        <v>66</v>
      </c>
      <c r="CC753" s="13" t="n">
        <v>102</v>
      </c>
      <c r="CD753" s="13" t="n">
        <v>13.3</v>
      </c>
      <c r="CE753" s="13" t="n">
        <v>2064</v>
      </c>
      <c r="CF753" s="13" t="n">
        <v>0.6899999999999999</v>
      </c>
      <c r="CG753" s="13" t="n">
        <v>1425</v>
      </c>
      <c r="CH753" s="13" t="n">
        <v>229</v>
      </c>
      <c r="CI753" s="13" t="n">
        <v>103</v>
      </c>
      <c r="CJ753" s="13" t="n">
        <v>40</v>
      </c>
      <c r="CK753" s="13" t="n">
        <v>141</v>
      </c>
      <c r="CL753" s="13" t="n">
        <v>4</v>
      </c>
      <c r="CM753" s="13" t="n">
        <v>64</v>
      </c>
      <c r="CN753" s="13" t="n">
        <v>0.11</v>
      </c>
      <c r="CO753" s="13" t="n">
        <v>76</v>
      </c>
      <c r="CP753" s="13" t="n">
        <v>63</v>
      </c>
      <c r="CQ753" s="13" t="n">
        <v>65</v>
      </c>
      <c r="CR753" s="13" t="n">
        <v>13</v>
      </c>
      <c r="CS753" s="13" t="n">
        <v>11.1</v>
      </c>
      <c r="CT753" s="11" t="inlineStr">
        <is>
          <t xml:space="preserve"> On-Piste Carving</t>
        </is>
      </c>
      <c r="CU753" s="13" t="n"/>
      <c r="CV753" s="13" t="n"/>
      <c r="CW753" s="13" t="n"/>
      <c r="CX753">
        <f>INDEX('Data_Price '!AG$2:AG$1266,MATCH(Data!$DN753,'Data_Price '!$AT$2:$AT$1266,0))</f>
        <v/>
      </c>
      <c r="CY753">
        <f>INDEX('Data_Price '!AH$2:AH$1266,MATCH(Data!$DN753,'Data_Price '!$AT$2:$AT$1266,0))</f>
        <v/>
      </c>
      <c r="CZ753">
        <f>INDEX('Data_Price '!AI$2:AI$1266,MATCH(Data!$DN753,'Data_Price '!$AT$2:$AT$1266,0))</f>
        <v/>
      </c>
      <c r="DA753">
        <f>INDEX('Data_Price '!AJ$2:AJ$1266,MATCH(Data!$DN753,'Data_Price '!$AT$2:$AT$1266,0))</f>
        <v/>
      </c>
      <c r="DB753">
        <f>INDEX('Data_Price '!AK$2:AK$1266,MATCH(Data!$DN753,'Data_Price '!$AT$2:$AT$1266,0))</f>
        <v/>
      </c>
      <c r="DC753">
        <f>INDEX('Data_Price '!AL$2:AL$1266,MATCH(Data!$DN753,'Data_Price '!$AT$2:$AT$1266,0))</f>
        <v/>
      </c>
      <c r="DD753">
        <f>INDEX('Data_Price '!AM$2:AM$1266,MATCH(Data!$DN753,'Data_Price '!$AT$2:$AT$1266,0))</f>
        <v/>
      </c>
      <c r="DE753">
        <f>INDEX('Data_Price '!AN$2:AN$1266,MATCH(Data!$DN753,'Data_Price '!$AT$2:$AT$1266,0))</f>
        <v/>
      </c>
      <c r="DF753">
        <f>INDEX('Data_Price '!AO$2:AO$1266,MATCH(Data!$DN753,'Data_Price '!$AT$2:$AT$1266,0))</f>
        <v/>
      </c>
      <c r="DG753">
        <f>INDEX('Data_Price '!AP$2:AP$1266,MATCH(Data!$DN753,'Data_Price '!$AT$2:$AT$1266,0))</f>
        <v/>
      </c>
      <c r="DH753">
        <f>INDEX('Data_Price '!AQ$2:AQ$1266,MATCH(Data!$DN753,'Data_Price '!$AT$2:$AT$1266,0))</f>
        <v/>
      </c>
      <c r="DI753">
        <f>INDEX('Data_Price '!AR$2:AR$1266,MATCH(Data!$DN753,'Data_Price '!$AT$2:$AT$1266,0))</f>
        <v/>
      </c>
      <c r="DJ753" s="138">
        <f>DA753</f>
        <v/>
      </c>
      <c r="DK753" s="138">
        <f>DE753</f>
        <v/>
      </c>
      <c r="DL753" s="138">
        <f>DI753</f>
        <v/>
      </c>
      <c r="DM753" s="303">
        <f>IF(LEFT(BT753,1)=" ",RIGHT(BT753,LEN(BT753)-1),BT753)</f>
        <v/>
      </c>
      <c r="DN753" s="138">
        <f>_xlfn.CONCAT(BS753,DM753,BU753,BV753)</f>
        <v/>
      </c>
      <c r="DO753" s="307" t="n"/>
    </row>
    <row r="754" ht="15.6" customHeight="1" s="184">
      <c r="B754" s="303">
        <f t="array" ref="B754">IF(OR(ISERROR(K754:P754)),FALSE,TRUE)</f>
        <v/>
      </c>
      <c r="C754" s="60">
        <f>OR(BR754=Driver!$G$50,Data!BR85=Driver!$H$50)</f>
        <v/>
      </c>
      <c r="D754" s="60">
        <f>OR(BV754=Driver!$G$51,BV754=Driver!$H$51)</f>
        <v/>
      </c>
      <c r="E754" s="60">
        <f>AND(BX754&gt;Driver!$F$54,BX754&lt;Driver!$G$54)</f>
        <v/>
      </c>
      <c r="F754" s="60">
        <f>CL754&gt;Driver!$F$56</f>
        <v/>
      </c>
      <c r="G754" s="60">
        <f>AND(CB754&gt;Driver!$F$55,CB754&lt;Driver!$G$55)</f>
        <v/>
      </c>
      <c r="H754" s="60">
        <f>AND(B754:G754)</f>
        <v/>
      </c>
      <c r="I754" s="60">
        <f>COUNTIFS($H$9:$H$1273,TRUE,$BT$9:$BT$1273,BT754)</f>
        <v/>
      </c>
      <c r="J754" s="60">
        <f t="array" ref="J754">NOT(OR(($H$9:$H$1273=TRUE)*($I$9:$I$1273&gt;0)*($BT$9:$BT$1273=BT754)*($K$9:$K$1273&gt;K754)))</f>
        <v/>
      </c>
      <c r="K754" s="108">
        <f>IFERROR(1-AVERAGE(X754:Y754),"")</f>
        <v/>
      </c>
      <c r="L754" s="108">
        <f>1-X754</f>
        <v/>
      </c>
      <c r="M754" s="108">
        <f>1-Y754</f>
        <v/>
      </c>
      <c r="N754" s="108">
        <f>1-Z754</f>
        <v/>
      </c>
      <c r="O754" s="108">
        <f>1-AA754</f>
        <v/>
      </c>
      <c r="P754" s="108">
        <f>1-AB754</f>
        <v/>
      </c>
      <c r="Q754" s="108" t="n"/>
      <c r="R754" s="108" t="n"/>
      <c r="S754" s="108">
        <f>1-AE754</f>
        <v/>
      </c>
      <c r="T754" s="108">
        <f>1-AF754</f>
        <v/>
      </c>
      <c r="U754" s="108">
        <f>1-AG754</f>
        <v/>
      </c>
      <c r="V754" s="108">
        <f>1-AH754</f>
        <v/>
      </c>
      <c r="W754" s="108">
        <f>1-AI754</f>
        <v/>
      </c>
      <c r="X754" s="108">
        <f>ABS(AJ754-AJ$1)</f>
        <v/>
      </c>
      <c r="Y754" s="108">
        <f>AVERAGE(Z754:AB754)</f>
        <v/>
      </c>
      <c r="Z754" s="108">
        <f>ABS(AL754-AL$1)</f>
        <v/>
      </c>
      <c r="AA754" s="108">
        <f>ABS(AM754-AM$1)</f>
        <v/>
      </c>
      <c r="AB754" s="108">
        <f>ABS(AN754-AN$1)</f>
        <v/>
      </c>
      <c r="AC754" s="108" t="n"/>
      <c r="AD754" s="108" t="n"/>
      <c r="AE754" s="108">
        <f>ABS(AQ$1-AQ754)</f>
        <v/>
      </c>
      <c r="AF754" s="108">
        <f>ABS(AR$1-AR754)</f>
        <v/>
      </c>
      <c r="AG754" s="108">
        <f>ABS(AS$1-AS754)</f>
        <v/>
      </c>
      <c r="AH754" s="108">
        <f>ABS(AT$1-AT754)</f>
        <v/>
      </c>
      <c r="AI754" s="108">
        <f>ABS(AU$1-AU754)</f>
        <v/>
      </c>
      <c r="AJ754" s="108">
        <f>(AV754-Driver!$K$179)/(Driver!$L$179-Driver!$K$179)</f>
        <v/>
      </c>
      <c r="AK754" s="108">
        <f>(AW754-Driver!$K$180)/(Driver!$L$180-Driver!$K$180)</f>
        <v/>
      </c>
      <c r="AL754" s="108">
        <f>(AX754-Driver!$K$181)/(Driver!$L$181-Driver!$K$181)</f>
        <v/>
      </c>
      <c r="AM754" s="108">
        <f>(AY754-Driver!$K$182)/(Driver!$L$182-Driver!$K$182)</f>
        <v/>
      </c>
      <c r="AN754" s="108">
        <f>(AZ754-Driver!$K$183)/(Driver!$L$183-Driver!$K$183)</f>
        <v/>
      </c>
      <c r="AO754" s="108" t="n"/>
      <c r="AP754" s="108" t="n"/>
      <c r="AQ754" s="108">
        <f>(BC754-Driver!$K$188)/(Driver!$L$188-Driver!$K$188)</f>
        <v/>
      </c>
      <c r="AR754" s="108">
        <f>MIN((BD754-Driver!$K$189)/(Driver!$L$189-Driver!$K$189),100%)</f>
        <v/>
      </c>
      <c r="AS754" s="108">
        <f>(BE754-Driver!$K$190)/(Driver!$L$190-Driver!$K$190)</f>
        <v/>
      </c>
      <c r="AT754" s="108">
        <f>(BF754-Driver!$K$191)/(Driver!$L$191-Driver!$K$191)</f>
        <v/>
      </c>
      <c r="AU754" s="108">
        <f>(BG754-Driver!$K$192)/(Driver!$L$192-Driver!$K$192)</f>
        <v/>
      </c>
      <c r="AV754" s="105">
        <f>IFERROR(BM754*BJ754^1/4,"")</f>
        <v/>
      </c>
      <c r="AW754" s="105">
        <f>IFERROR(SUM(AX754:AZ754),"")</f>
        <v/>
      </c>
      <c r="AX754" s="105">
        <f>IFERROR(BH754,"")</f>
        <v/>
      </c>
      <c r="AY754" s="105">
        <f>IFERROR(Driver!$K$19/Data!BH754/Data!BI754*Data!BK754*Data!BL754,"")</f>
        <v/>
      </c>
      <c r="AZ754" s="105">
        <f>IFERROR(BI754*BN754,"")</f>
        <v/>
      </c>
      <c r="BA754" s="105" t="n"/>
      <c r="BB754" s="105" t="n"/>
      <c r="BC754" s="105">
        <f>IFERROR(BI754*BN754*BK754/BJ754^(1/2),"")</f>
        <v/>
      </c>
      <c r="BD754" s="105">
        <f>IFERROR(BH754*BM754*BL754/BJ754/BK754,"")</f>
        <v/>
      </c>
      <c r="BE754" s="105">
        <f>IFERROR(MIN(BI754/BQ754/BP754/BO754/BH754,$BE$1),"")</f>
        <v/>
      </c>
      <c r="BF754" s="105">
        <f>IFERROR(BJ754*BO754*BP754/BK754,"")</f>
        <v/>
      </c>
      <c r="BG754" s="105">
        <f>IFERROR(1/BM754/BH754*BQ754,"")</f>
        <v/>
      </c>
      <c r="BH754" s="102">
        <f>MAX((CE754-Driver!$F$200)/(Driver!$G$200-Driver!$F$200)*$BI$1,1)</f>
        <v/>
      </c>
      <c r="BI754" s="102">
        <f>MAX($BI$1*(BY754-Driver!$F$201)/(Driver!$G$201-Driver!$F$201),1)</f>
        <v/>
      </c>
      <c r="BJ754" s="102">
        <f>(CB754-Driver!$F$206)/(Driver!$G$206-Driver!$F$206)*$BI$1</f>
        <v/>
      </c>
      <c r="BK754" s="102">
        <f>(CD754-Driver!$F$203)/(Driver!$G$203-Driver!$F$203)*$BI$1</f>
        <v/>
      </c>
      <c r="BL754" s="102">
        <f>MAX((CR754-Driver!$F$202)/(Driver!$G$202-Driver!$F$202)*$BI$1,1)</f>
        <v/>
      </c>
      <c r="BM754" s="102">
        <f>MAX((CH754-Driver!$F$204)/(Driver!$G$204-Driver!$F$204)*$BI$1,1)</f>
        <v/>
      </c>
      <c r="BN754" s="102">
        <f>(CI754-Driver!$F$205)/(Driver!$G$205-Driver!$F$205)*$BI$1</f>
        <v/>
      </c>
      <c r="BO754" s="102">
        <f>(CK754-Driver!$F$207)/(Driver!$G$207-Driver!$F$207)*$BI$1</f>
        <v/>
      </c>
      <c r="BP754" s="102">
        <f>(CM754-Driver!$F$208)/(Driver!$G$208-Driver!$F$208)*$BI$1</f>
        <v/>
      </c>
      <c r="BQ754" s="102">
        <f>(CL754-Driver!$F$209)/(Driver!$G$209-Driver!$F$209)*$BI$1</f>
        <v/>
      </c>
      <c r="BR754" s="40" t="inlineStr">
        <is>
          <t>21/22</t>
        </is>
      </c>
      <c r="BS754" s="10" t="inlineStr">
        <is>
          <t xml:space="preserve"> Armada</t>
        </is>
      </c>
      <c r="BT754" s="11" t="inlineStr">
        <is>
          <t>Reliance 82 Ti</t>
        </is>
      </c>
      <c r="BU754" s="13" t="n">
        <v>174</v>
      </c>
      <c r="BV754" s="11" t="inlineStr">
        <is>
          <t xml:space="preserve"> Women's</t>
        </is>
      </c>
      <c r="BW754" s="13" t="n">
        <v>174</v>
      </c>
      <c r="BX754" s="13" t="n">
        <v>173.3</v>
      </c>
      <c r="BY754" s="13" t="n">
        <v>142</v>
      </c>
      <c r="BZ754" s="13" t="n">
        <v>155</v>
      </c>
      <c r="CA754" s="13" t="n">
        <v>127</v>
      </c>
      <c r="CB754" s="13" t="n">
        <v>81</v>
      </c>
      <c r="CC754" s="13" t="n">
        <v>109</v>
      </c>
      <c r="CD754" s="13" t="n">
        <v>15.9</v>
      </c>
      <c r="CE754" s="13" t="n">
        <v>1650</v>
      </c>
      <c r="CF754" s="13" t="n">
        <v>1</v>
      </c>
      <c r="CG754" s="13" t="n">
        <v>1654</v>
      </c>
      <c r="CH754" s="13" t="n">
        <v>245</v>
      </c>
      <c r="CI754" s="13" t="n">
        <v>133</v>
      </c>
      <c r="CJ754" s="13" t="n">
        <v>45</v>
      </c>
      <c r="CK754" s="13" t="n">
        <v>197</v>
      </c>
      <c r="CL754" s="13" t="n">
        <v>11</v>
      </c>
      <c r="CM754" s="13" t="n">
        <v>115</v>
      </c>
      <c r="CN754" s="13" t="n">
        <v>0.248</v>
      </c>
      <c r="CO754" s="13" t="n">
        <v>115</v>
      </c>
      <c r="CP754" s="13" t="n">
        <v>70</v>
      </c>
      <c r="CQ754" s="13" t="n">
        <v>82</v>
      </c>
      <c r="CR754" s="13" t="n">
        <v>10</v>
      </c>
      <c r="CS754" s="13" t="n">
        <v>9.6</v>
      </c>
      <c r="CT754" s="11" t="inlineStr">
        <is>
          <t xml:space="preserve"> On-Piste All-Mountain</t>
        </is>
      </c>
      <c r="CU754" s="11" t="inlineStr">
        <is>
          <t xml:space="preserve"> Resort Freeride</t>
        </is>
      </c>
      <c r="CV754" s="13" t="n"/>
      <c r="CW754" s="13" t="n"/>
      <c r="CX754">
        <f>INDEX('Data_Price '!AG$2:AG$1266,MATCH(Data!$DN754,'Data_Price '!$AT$2:$AT$1266,0))</f>
        <v/>
      </c>
      <c r="CY754">
        <f>INDEX('Data_Price '!AH$2:AH$1266,MATCH(Data!$DN754,'Data_Price '!$AT$2:$AT$1266,0))</f>
        <v/>
      </c>
      <c r="CZ754">
        <f>INDEX('Data_Price '!AI$2:AI$1266,MATCH(Data!$DN754,'Data_Price '!$AT$2:$AT$1266,0))</f>
        <v/>
      </c>
      <c r="DA754">
        <f>INDEX('Data_Price '!AJ$2:AJ$1266,MATCH(Data!$DN754,'Data_Price '!$AT$2:$AT$1266,0))</f>
        <v/>
      </c>
      <c r="DB754">
        <f>INDEX('Data_Price '!AK$2:AK$1266,MATCH(Data!$DN754,'Data_Price '!$AT$2:$AT$1266,0))</f>
        <v/>
      </c>
      <c r="DC754">
        <f>INDEX('Data_Price '!AL$2:AL$1266,MATCH(Data!$DN754,'Data_Price '!$AT$2:$AT$1266,0))</f>
        <v/>
      </c>
      <c r="DD754">
        <f>INDEX('Data_Price '!AM$2:AM$1266,MATCH(Data!$DN754,'Data_Price '!$AT$2:$AT$1266,0))</f>
        <v/>
      </c>
      <c r="DE754">
        <f>INDEX('Data_Price '!AN$2:AN$1266,MATCH(Data!$DN754,'Data_Price '!$AT$2:$AT$1266,0))</f>
        <v/>
      </c>
      <c r="DF754">
        <f>INDEX('Data_Price '!AO$2:AO$1266,MATCH(Data!$DN754,'Data_Price '!$AT$2:$AT$1266,0))</f>
        <v/>
      </c>
      <c r="DG754">
        <f>INDEX('Data_Price '!AP$2:AP$1266,MATCH(Data!$DN754,'Data_Price '!$AT$2:$AT$1266,0))</f>
        <v/>
      </c>
      <c r="DH754">
        <f>INDEX('Data_Price '!AQ$2:AQ$1266,MATCH(Data!$DN754,'Data_Price '!$AT$2:$AT$1266,0))</f>
        <v/>
      </c>
      <c r="DI754">
        <f>INDEX('Data_Price '!AR$2:AR$1266,MATCH(Data!$DN754,'Data_Price '!$AT$2:$AT$1266,0))</f>
        <v/>
      </c>
      <c r="DJ754" s="138">
        <f>DA754</f>
        <v/>
      </c>
      <c r="DK754" s="138">
        <f>DE754</f>
        <v/>
      </c>
      <c r="DL754" s="138">
        <f>DI754</f>
        <v/>
      </c>
      <c r="DM754" s="303">
        <f>IF(LEFT(BT754,1)=" ",RIGHT(BT754,LEN(BT754)-1),BT754)</f>
        <v/>
      </c>
      <c r="DN754" s="138">
        <f>_xlfn.CONCAT(BS754,DM754,BU754,BV754)</f>
        <v/>
      </c>
      <c r="DO754" s="307" t="n"/>
    </row>
    <row r="755" ht="15.6" customHeight="1" s="184">
      <c r="B755" s="303">
        <f t="array" ref="B755">IF(OR(ISERROR(K755:P755)),FALSE,TRUE)</f>
        <v/>
      </c>
      <c r="C755" s="60">
        <f>OR(BR755=Driver!$G$50,Data!BR329=Driver!$H$50)</f>
        <v/>
      </c>
      <c r="D755" s="60">
        <f>OR(BV755=Driver!$G$51,BV755=Driver!$H$51)</f>
        <v/>
      </c>
      <c r="E755" s="60">
        <f>AND(BX755&gt;Driver!$F$54,BX755&lt;Driver!$G$54)</f>
        <v/>
      </c>
      <c r="F755" s="60">
        <f>CL755&gt;Driver!$F$56</f>
        <v/>
      </c>
      <c r="G755" s="60">
        <f>AND(CB755&gt;Driver!$F$55,CB755&lt;Driver!$G$55)</f>
        <v/>
      </c>
      <c r="H755" s="60">
        <f>AND(B755:G755)</f>
        <v/>
      </c>
      <c r="I755" s="60">
        <f>COUNTIFS($H$9:$H$1273,TRUE,$BT$9:$BT$1273,BT755)</f>
        <v/>
      </c>
      <c r="J755" s="60">
        <f t="array" ref="J755">NOT(OR(($H$9:$H$1273=TRUE)*($I$9:$I$1273&gt;0)*($BT$9:$BT$1273=BT755)*($K$9:$K$1273&gt;K755)))</f>
        <v/>
      </c>
      <c r="K755" s="108">
        <f>IFERROR(1-AVERAGE(X755:Y755),"")</f>
        <v/>
      </c>
      <c r="L755" s="108">
        <f>1-X755</f>
        <v/>
      </c>
      <c r="M755" s="108">
        <f>1-Y755</f>
        <v/>
      </c>
      <c r="N755" s="108">
        <f>1-Z755</f>
        <v/>
      </c>
      <c r="O755" s="108">
        <f>1-AA755</f>
        <v/>
      </c>
      <c r="P755" s="108">
        <f>1-AB755</f>
        <v/>
      </c>
      <c r="Q755" s="108" t="n"/>
      <c r="R755" s="108" t="n"/>
      <c r="S755" s="108">
        <f>1-AE755</f>
        <v/>
      </c>
      <c r="T755" s="108">
        <f>1-AF755</f>
        <v/>
      </c>
      <c r="U755" s="108">
        <f>1-AG755</f>
        <v/>
      </c>
      <c r="V755" s="108">
        <f>1-AH755</f>
        <v/>
      </c>
      <c r="W755" s="108">
        <f>1-AI755</f>
        <v/>
      </c>
      <c r="X755" s="108">
        <f>ABS(AJ755-AJ$1)</f>
        <v/>
      </c>
      <c r="Y755" s="108">
        <f>AVERAGE(Z755:AB755)</f>
        <v/>
      </c>
      <c r="Z755" s="108">
        <f>ABS(AL755-AL$1)</f>
        <v/>
      </c>
      <c r="AA755" s="108">
        <f>ABS(AM755-AM$1)</f>
        <v/>
      </c>
      <c r="AB755" s="108">
        <f>ABS(AN755-AN$1)</f>
        <v/>
      </c>
      <c r="AC755" s="108" t="n"/>
      <c r="AD755" s="108" t="n"/>
      <c r="AE755" s="108">
        <f>ABS(AQ$1-AQ755)</f>
        <v/>
      </c>
      <c r="AF755" s="108">
        <f>ABS(AR$1-AR755)</f>
        <v/>
      </c>
      <c r="AG755" s="108">
        <f>ABS(AS$1-AS755)</f>
        <v/>
      </c>
      <c r="AH755" s="108">
        <f>ABS(AT$1-AT755)</f>
        <v/>
      </c>
      <c r="AI755" s="108">
        <f>ABS(AU$1-AU755)</f>
        <v/>
      </c>
      <c r="AJ755" s="108">
        <f>(AV755-Driver!$K$179)/(Driver!$L$179-Driver!$K$179)</f>
        <v/>
      </c>
      <c r="AK755" s="108">
        <f>(AW755-Driver!$K$180)/(Driver!$L$180-Driver!$K$180)</f>
        <v/>
      </c>
      <c r="AL755" s="108">
        <f>(AX755-Driver!$K$181)/(Driver!$L$181-Driver!$K$181)</f>
        <v/>
      </c>
      <c r="AM755" s="108">
        <f>(AY755-Driver!$K$182)/(Driver!$L$182-Driver!$K$182)</f>
        <v/>
      </c>
      <c r="AN755" s="108">
        <f>(AZ755-Driver!$K$183)/(Driver!$L$183-Driver!$K$183)</f>
        <v/>
      </c>
      <c r="AO755" s="108" t="n"/>
      <c r="AP755" s="108" t="n"/>
      <c r="AQ755" s="108">
        <f>(BC755-Driver!$K$188)/(Driver!$L$188-Driver!$K$188)</f>
        <v/>
      </c>
      <c r="AR755" s="108">
        <f>MIN((BD755-Driver!$K$189)/(Driver!$L$189-Driver!$K$189),100%)</f>
        <v/>
      </c>
      <c r="AS755" s="108">
        <f>(BE755-Driver!$K$190)/(Driver!$L$190-Driver!$K$190)</f>
        <v/>
      </c>
      <c r="AT755" s="108">
        <f>(BF755-Driver!$K$191)/(Driver!$L$191-Driver!$K$191)</f>
        <v/>
      </c>
      <c r="AU755" s="108">
        <f>(BG755-Driver!$K$192)/(Driver!$L$192-Driver!$K$192)</f>
        <v/>
      </c>
      <c r="AV755" s="105">
        <f>IFERROR(BM755*BJ755^1/4,"")</f>
        <v/>
      </c>
      <c r="AW755" s="105">
        <f>IFERROR(SUM(AX755:AZ755),"")</f>
        <v/>
      </c>
      <c r="AX755" s="105">
        <f>IFERROR(BH755,"")</f>
        <v/>
      </c>
      <c r="AY755" s="105">
        <f>IFERROR(Driver!$K$19/Data!BH755/Data!BI755*Data!BK755*Data!BL755,"")</f>
        <v/>
      </c>
      <c r="AZ755" s="105">
        <f>IFERROR(BI755*BN755,"")</f>
        <v/>
      </c>
      <c r="BA755" s="105" t="n"/>
      <c r="BB755" s="105" t="n"/>
      <c r="BC755" s="105">
        <f>IFERROR(BI755*BN755*BK755/BJ755^(1/2),"")</f>
        <v/>
      </c>
      <c r="BD755" s="105">
        <f>IFERROR(BH755*BM755*BL755/BJ755/BK755,"")</f>
        <v/>
      </c>
      <c r="BE755" s="105">
        <f>IFERROR(MIN(BI755/BQ755/BP755/BO755/BH755,$BE$1),"")</f>
        <v/>
      </c>
      <c r="BF755" s="105">
        <f>IFERROR(BJ755*BO755*BP755/BK755,"")</f>
        <v/>
      </c>
      <c r="BG755" s="105">
        <f>IFERROR(1/BM755/BH755*BQ755,"")</f>
        <v/>
      </c>
      <c r="BH755" s="102">
        <f>MAX((CE755-Driver!$F$200)/(Driver!$G$200-Driver!$F$200)*$BI$1,1)</f>
        <v/>
      </c>
      <c r="BI755" s="102">
        <f>MAX($BI$1*(BY755-Driver!$F$201)/(Driver!$G$201-Driver!$F$201),1)</f>
        <v/>
      </c>
      <c r="BJ755" s="102">
        <f>(CB755-Driver!$F$206)/(Driver!$G$206-Driver!$F$206)*$BI$1</f>
        <v/>
      </c>
      <c r="BK755" s="102">
        <f>(CD755-Driver!$F$203)/(Driver!$G$203-Driver!$F$203)*$BI$1</f>
        <v/>
      </c>
      <c r="BL755" s="102">
        <f>MAX((CR755-Driver!$F$202)/(Driver!$G$202-Driver!$F$202)*$BI$1,1)</f>
        <v/>
      </c>
      <c r="BM755" s="102">
        <f>MAX((CH755-Driver!$F$204)/(Driver!$G$204-Driver!$F$204)*$BI$1,1)</f>
        <v/>
      </c>
      <c r="BN755" s="102">
        <f>(CI755-Driver!$F$205)/(Driver!$G$205-Driver!$F$205)*$BI$1</f>
        <v/>
      </c>
      <c r="BO755" s="102">
        <f>(CK755-Driver!$F$207)/(Driver!$G$207-Driver!$F$207)*$BI$1</f>
        <v/>
      </c>
      <c r="BP755" s="102">
        <f>(CM755-Driver!$F$208)/(Driver!$G$208-Driver!$F$208)*$BI$1</f>
        <v/>
      </c>
      <c r="BQ755" s="102">
        <f>(CL755-Driver!$F$209)/(Driver!$G$209-Driver!$F$209)*$BI$1</f>
        <v/>
      </c>
      <c r="BR755" s="40" t="inlineStr">
        <is>
          <t>21/22</t>
        </is>
      </c>
      <c r="BS755" s="10" t="inlineStr">
        <is>
          <t xml:space="preserve"> Blizzard</t>
        </is>
      </c>
      <c r="BT755" s="11" t="inlineStr">
        <is>
          <t>Zero G 95</t>
        </is>
      </c>
      <c r="BU755" s="13" t="n">
        <v>171</v>
      </c>
      <c r="BV755" s="11" t="inlineStr">
        <is>
          <t xml:space="preserve"> Unisex</t>
        </is>
      </c>
      <c r="BW755" s="13" t="n">
        <v>171</v>
      </c>
      <c r="BX755" s="13" t="n">
        <v>169</v>
      </c>
      <c r="BY755" s="13" t="n">
        <v>120</v>
      </c>
      <c r="BZ755" s="13" t="n">
        <v>143</v>
      </c>
      <c r="CA755" s="13" t="n">
        <v>124</v>
      </c>
      <c r="CB755" s="13" t="n">
        <v>93</v>
      </c>
      <c r="CC755" s="13" t="n">
        <v>107</v>
      </c>
      <c r="CD755" s="13" t="n">
        <v>22</v>
      </c>
      <c r="CE755" s="13" t="n">
        <v>1201</v>
      </c>
      <c r="CF755" s="13" t="n">
        <v>1.42</v>
      </c>
      <c r="CG755" s="13" t="n">
        <v>1709</v>
      </c>
      <c r="CH755" s="13" t="n">
        <v>207</v>
      </c>
      <c r="CI755" s="13" t="n">
        <v>75</v>
      </c>
      <c r="CJ755" s="13" t="n">
        <v>55</v>
      </c>
      <c r="CK755" s="13" t="n">
        <v>273</v>
      </c>
      <c r="CL755" s="13" t="n">
        <v>11</v>
      </c>
      <c r="CM755" s="13" t="n">
        <v>216</v>
      </c>
      <c r="CN755" s="13" t="n">
        <v>0.191</v>
      </c>
      <c r="CO755" s="13" t="n">
        <v>130</v>
      </c>
      <c r="CP755" s="13" t="n">
        <v>134</v>
      </c>
      <c r="CQ755" s="13" t="n">
        <v>143</v>
      </c>
      <c r="CR755" s="13" t="n">
        <v>3</v>
      </c>
      <c r="CS755" s="13" t="n">
        <v>10.5</v>
      </c>
      <c r="CT755" s="11" t="inlineStr">
        <is>
          <t xml:space="preserve"> Touring</t>
        </is>
      </c>
      <c r="CU755" s="11" t="inlineStr">
        <is>
          <t xml:space="preserve"> Ultralight Touring</t>
        </is>
      </c>
      <c r="CV755" s="13" t="n"/>
      <c r="CW755" s="13" t="n"/>
      <c r="CX755">
        <f>INDEX('Data_Price '!AG$2:AG$1266,MATCH(Data!$DN755,'Data_Price '!$AT$2:$AT$1266,0))</f>
        <v/>
      </c>
      <c r="CY755">
        <f>INDEX('Data_Price '!AH$2:AH$1266,MATCH(Data!$DN755,'Data_Price '!$AT$2:$AT$1266,0))</f>
        <v/>
      </c>
      <c r="CZ755">
        <f>INDEX('Data_Price '!AI$2:AI$1266,MATCH(Data!$DN755,'Data_Price '!$AT$2:$AT$1266,0))</f>
        <v/>
      </c>
      <c r="DA755">
        <f>INDEX('Data_Price '!AJ$2:AJ$1266,MATCH(Data!$DN755,'Data_Price '!$AT$2:$AT$1266,0))</f>
        <v/>
      </c>
      <c r="DB755">
        <f>INDEX('Data_Price '!AK$2:AK$1266,MATCH(Data!$DN755,'Data_Price '!$AT$2:$AT$1266,0))</f>
        <v/>
      </c>
      <c r="DC755">
        <f>INDEX('Data_Price '!AL$2:AL$1266,MATCH(Data!$DN755,'Data_Price '!$AT$2:$AT$1266,0))</f>
        <v/>
      </c>
      <c r="DD755">
        <f>INDEX('Data_Price '!AM$2:AM$1266,MATCH(Data!$DN755,'Data_Price '!$AT$2:$AT$1266,0))</f>
        <v/>
      </c>
      <c r="DE755">
        <f>INDEX('Data_Price '!AN$2:AN$1266,MATCH(Data!$DN755,'Data_Price '!$AT$2:$AT$1266,0))</f>
        <v/>
      </c>
      <c r="DF755">
        <f>INDEX('Data_Price '!AO$2:AO$1266,MATCH(Data!$DN755,'Data_Price '!$AT$2:$AT$1266,0))</f>
        <v/>
      </c>
      <c r="DG755">
        <f>INDEX('Data_Price '!AP$2:AP$1266,MATCH(Data!$DN755,'Data_Price '!$AT$2:$AT$1266,0))</f>
        <v/>
      </c>
      <c r="DH755">
        <f>INDEX('Data_Price '!AQ$2:AQ$1266,MATCH(Data!$DN755,'Data_Price '!$AT$2:$AT$1266,0))</f>
        <v/>
      </c>
      <c r="DI755">
        <f>INDEX('Data_Price '!AR$2:AR$1266,MATCH(Data!$DN755,'Data_Price '!$AT$2:$AT$1266,0))</f>
        <v/>
      </c>
      <c r="DJ755" s="138">
        <f>DA755</f>
        <v/>
      </c>
      <c r="DK755" s="138">
        <f>DE755</f>
        <v/>
      </c>
      <c r="DL755" s="138">
        <f>DI755</f>
        <v/>
      </c>
      <c r="DM755" s="303">
        <f>IF(LEFT(BT755,1)=" ",RIGHT(BT755,LEN(BT755)-1),BT755)</f>
        <v/>
      </c>
      <c r="DN755" s="138">
        <f>_xlfn.CONCAT(BS755,DM755,BU755,BV755)</f>
        <v/>
      </c>
      <c r="DO755" s="307" t="inlineStr">
        <is>
          <t>https://images.evo.com/imgp/250/197482/830329/blizzard-zero-g-95-skis-2022-.jpg</t>
        </is>
      </c>
    </row>
    <row r="756" ht="15.6" customHeight="1" s="184">
      <c r="B756" s="303">
        <f t="array" ref="B756">IF(OR(ISERROR(K756:P756)),FALSE,TRUE)</f>
        <v/>
      </c>
      <c r="C756" s="60">
        <f>OR(BR756=Driver!$G$50,Data!BR680=Driver!$H$50)</f>
        <v/>
      </c>
      <c r="D756" s="60">
        <f>OR(BV756=Driver!$G$51,BV756=Driver!$H$51)</f>
        <v/>
      </c>
      <c r="E756" s="60">
        <f>AND(BX756&gt;Driver!$F$54,BX756&lt;Driver!$G$54)</f>
        <v/>
      </c>
      <c r="F756" s="60">
        <f>CL756&gt;Driver!$F$56</f>
        <v/>
      </c>
      <c r="G756" s="60">
        <f>AND(CB756&gt;Driver!$F$55,CB756&lt;Driver!$G$55)</f>
        <v/>
      </c>
      <c r="H756" s="60">
        <f>AND(B756:G756)</f>
        <v/>
      </c>
      <c r="I756" s="60">
        <f>COUNTIFS($H$9:$H$1273,TRUE,$BT$9:$BT$1273,BT756)</f>
        <v/>
      </c>
      <c r="J756" s="60">
        <f t="array" ref="J756">NOT(OR(($H$9:$H$1273=TRUE)*($I$9:$I$1273&gt;0)*($BT$9:$BT$1273=BT756)*($K$9:$K$1273&gt;K756)))</f>
        <v/>
      </c>
      <c r="K756" s="108">
        <f>IFERROR(1-AVERAGE(X756:Y756),"")</f>
        <v/>
      </c>
      <c r="L756" s="108">
        <f>1-X756</f>
        <v/>
      </c>
      <c r="M756" s="108">
        <f>1-Y756</f>
        <v/>
      </c>
      <c r="N756" s="108">
        <f>1-Z756</f>
        <v/>
      </c>
      <c r="O756" s="108">
        <f>1-AA756</f>
        <v/>
      </c>
      <c r="P756" s="108">
        <f>1-AB756</f>
        <v/>
      </c>
      <c r="Q756" s="108" t="n"/>
      <c r="R756" s="108" t="n"/>
      <c r="S756" s="108">
        <f>1-AE756</f>
        <v/>
      </c>
      <c r="T756" s="108">
        <f>1-AF756</f>
        <v/>
      </c>
      <c r="U756" s="108">
        <f>1-AG756</f>
        <v/>
      </c>
      <c r="V756" s="108">
        <f>1-AH756</f>
        <v/>
      </c>
      <c r="W756" s="108">
        <f>1-AI756</f>
        <v/>
      </c>
      <c r="X756" s="108">
        <f>ABS(AJ756-AJ$1)</f>
        <v/>
      </c>
      <c r="Y756" s="108">
        <f>AVERAGE(Z756:AB756)</f>
        <v/>
      </c>
      <c r="Z756" s="108">
        <f>ABS(AL756-AL$1)</f>
        <v/>
      </c>
      <c r="AA756" s="108">
        <f>ABS(AM756-AM$1)</f>
        <v/>
      </c>
      <c r="AB756" s="108">
        <f>ABS(AN756-AN$1)</f>
        <v/>
      </c>
      <c r="AC756" s="108" t="n"/>
      <c r="AD756" s="108" t="n"/>
      <c r="AE756" s="108">
        <f>ABS(AQ$1-AQ756)</f>
        <v/>
      </c>
      <c r="AF756" s="108">
        <f>ABS(AR$1-AR756)</f>
        <v/>
      </c>
      <c r="AG756" s="108">
        <f>ABS(AS$1-AS756)</f>
        <v/>
      </c>
      <c r="AH756" s="108">
        <f>ABS(AT$1-AT756)</f>
        <v/>
      </c>
      <c r="AI756" s="108">
        <f>ABS(AU$1-AU756)</f>
        <v/>
      </c>
      <c r="AJ756" s="108">
        <f>(AV756-Driver!$K$179)/(Driver!$L$179-Driver!$K$179)</f>
        <v/>
      </c>
      <c r="AK756" s="108">
        <f>(AW756-Driver!$K$180)/(Driver!$L$180-Driver!$K$180)</f>
        <v/>
      </c>
      <c r="AL756" s="108">
        <f>(AX756-Driver!$K$181)/(Driver!$L$181-Driver!$K$181)</f>
        <v/>
      </c>
      <c r="AM756" s="108">
        <f>(AY756-Driver!$K$182)/(Driver!$L$182-Driver!$K$182)</f>
        <v/>
      </c>
      <c r="AN756" s="108">
        <f>(AZ756-Driver!$K$183)/(Driver!$L$183-Driver!$K$183)</f>
        <v/>
      </c>
      <c r="AO756" s="108" t="n"/>
      <c r="AP756" s="108" t="n"/>
      <c r="AQ756" s="108">
        <f>(BC756-Driver!$K$188)/(Driver!$L$188-Driver!$K$188)</f>
        <v/>
      </c>
      <c r="AR756" s="108">
        <f>MIN((BD756-Driver!$K$189)/(Driver!$L$189-Driver!$K$189),100%)</f>
        <v/>
      </c>
      <c r="AS756" s="108">
        <f>(BE756-Driver!$K$190)/(Driver!$L$190-Driver!$K$190)</f>
        <v/>
      </c>
      <c r="AT756" s="108">
        <f>(BF756-Driver!$K$191)/(Driver!$L$191-Driver!$K$191)</f>
        <v/>
      </c>
      <c r="AU756" s="108">
        <f>(BG756-Driver!$K$192)/(Driver!$L$192-Driver!$K$192)</f>
        <v/>
      </c>
      <c r="AV756" s="105">
        <f>IFERROR(BM756*BJ756^1/4,"")</f>
        <v/>
      </c>
      <c r="AW756" s="105">
        <f>IFERROR(SUM(AX756:AZ756),"")</f>
        <v/>
      </c>
      <c r="AX756" s="105">
        <f>IFERROR(BH756,"")</f>
        <v/>
      </c>
      <c r="AY756" s="105">
        <f>IFERROR(Driver!$K$19/Data!BH756/Data!BI756*Data!BK756*Data!BL756,"")</f>
        <v/>
      </c>
      <c r="AZ756" s="105">
        <f>IFERROR(BI756*BN756,"")</f>
        <v/>
      </c>
      <c r="BA756" s="105" t="n"/>
      <c r="BB756" s="105" t="n"/>
      <c r="BC756" s="105">
        <f>IFERROR(BI756*BN756*BK756/BJ756^(1/2),"")</f>
        <v/>
      </c>
      <c r="BD756" s="105">
        <f>IFERROR(BH756*BM756*BL756/BJ756/BK756,"")</f>
        <v/>
      </c>
      <c r="BE756" s="105">
        <f>IFERROR(MIN(BI756/BQ756/BP756/BO756/BH756,$BE$1),"")</f>
        <v/>
      </c>
      <c r="BF756" s="105">
        <f>IFERROR(BJ756*BO756*BP756/BK756,"")</f>
        <v/>
      </c>
      <c r="BG756" s="105">
        <f>IFERROR(1/BM756/BH756*BQ756,"")</f>
        <v/>
      </c>
      <c r="BH756" s="102">
        <f>MAX((CE756-Driver!$F$200)/(Driver!$G$200-Driver!$F$200)*$BI$1,1)</f>
        <v/>
      </c>
      <c r="BI756" s="102">
        <f>MAX($BI$1*(BY756-Driver!$F$201)/(Driver!$G$201-Driver!$F$201),1)</f>
        <v/>
      </c>
      <c r="BJ756" s="102">
        <f>(CB756-Driver!$F$206)/(Driver!$G$206-Driver!$F$206)*$BI$1</f>
        <v/>
      </c>
      <c r="BK756" s="102">
        <f>(CD756-Driver!$F$203)/(Driver!$G$203-Driver!$F$203)*$BI$1</f>
        <v/>
      </c>
      <c r="BL756" s="102">
        <f>MAX((CR756-Driver!$F$202)/(Driver!$G$202-Driver!$F$202)*$BI$1,1)</f>
        <v/>
      </c>
      <c r="BM756" s="102">
        <f>MAX((CH756-Driver!$F$204)/(Driver!$G$204-Driver!$F$204)*$BI$1,1)</f>
        <v/>
      </c>
      <c r="BN756" s="102">
        <f>(CI756-Driver!$F$205)/(Driver!$G$205-Driver!$F$205)*$BI$1</f>
        <v/>
      </c>
      <c r="BO756" s="102">
        <f>(CK756-Driver!$F$207)/(Driver!$G$207-Driver!$F$207)*$BI$1</f>
        <v/>
      </c>
      <c r="BP756" s="102">
        <f>(CM756-Driver!$F$208)/(Driver!$G$208-Driver!$F$208)*$BI$1</f>
        <v/>
      </c>
      <c r="BQ756" s="102">
        <f>(CL756-Driver!$F$209)/(Driver!$G$209-Driver!$F$209)*$BI$1</f>
        <v/>
      </c>
      <c r="BR756" s="40" t="inlineStr">
        <is>
          <t>21/22</t>
        </is>
      </c>
      <c r="BS756" s="10" t="inlineStr">
        <is>
          <t xml:space="preserve"> Icelantic</t>
        </is>
      </c>
      <c r="BT756" s="11" t="inlineStr">
        <is>
          <t>Nomad 95</t>
        </is>
      </c>
      <c r="BU756" s="13" t="n">
        <v>171</v>
      </c>
      <c r="BV756" s="11" t="inlineStr">
        <is>
          <t xml:space="preserve"> Unisex</t>
        </is>
      </c>
      <c r="BW756" s="13" t="n">
        <v>171</v>
      </c>
      <c r="BX756" s="13" t="n">
        <v>168.3</v>
      </c>
      <c r="BY756" s="13" t="n">
        <v>99</v>
      </c>
      <c r="BZ756" s="13" t="n">
        <v>143</v>
      </c>
      <c r="CA756" s="13" t="n">
        <v>130</v>
      </c>
      <c r="CB756" s="13" t="n">
        <v>95</v>
      </c>
      <c r="CC756" s="13" t="n">
        <v>121</v>
      </c>
      <c r="CD756" s="13" t="n">
        <v>16.3</v>
      </c>
      <c r="CE756" s="13" t="n">
        <v>1539</v>
      </c>
      <c r="CF756" s="13" t="n">
        <v>1.16</v>
      </c>
      <c r="CG756" s="13" t="n">
        <v>1780</v>
      </c>
      <c r="CH756" s="13" t="n">
        <v>157</v>
      </c>
      <c r="CI756" s="13" t="n">
        <v>69</v>
      </c>
      <c r="CJ756" s="13" t="n">
        <v>62</v>
      </c>
      <c r="CK756" s="13" t="n">
        <v>376</v>
      </c>
      <c r="CL756" s="13" t="n">
        <v>55</v>
      </c>
      <c r="CM756" s="13" t="n">
        <v>314</v>
      </c>
      <c r="CN756" s="13" t="n">
        <v>0.888</v>
      </c>
      <c r="CO756" s="13" t="n">
        <v>119</v>
      </c>
      <c r="CP756" s="13" t="n">
        <v>130</v>
      </c>
      <c r="CQ756" s="13" t="n">
        <v>257</v>
      </c>
      <c r="CR756" s="13" t="n">
        <v>2</v>
      </c>
      <c r="CS756" s="13" t="n">
        <v>7.2</v>
      </c>
      <c r="CT756" s="11" t="inlineStr">
        <is>
          <t xml:space="preserve"> Freeski</t>
        </is>
      </c>
      <c r="CU756" s="11" t="inlineStr">
        <is>
          <t xml:space="preserve"> Touring</t>
        </is>
      </c>
      <c r="CV756" s="13" t="n"/>
      <c r="CW756" s="13" t="n"/>
      <c r="CX756">
        <f>INDEX('Data_Price '!AG$2:AG$1266,MATCH(Data!$DN756,'Data_Price '!$AT$2:$AT$1266,0))</f>
        <v/>
      </c>
      <c r="CY756">
        <f>INDEX('Data_Price '!AH$2:AH$1266,MATCH(Data!$DN756,'Data_Price '!$AT$2:$AT$1266,0))</f>
        <v/>
      </c>
      <c r="CZ756">
        <f>INDEX('Data_Price '!AI$2:AI$1266,MATCH(Data!$DN756,'Data_Price '!$AT$2:$AT$1266,0))</f>
        <v/>
      </c>
      <c r="DA756">
        <f>INDEX('Data_Price '!AJ$2:AJ$1266,MATCH(Data!$DN756,'Data_Price '!$AT$2:$AT$1266,0))</f>
        <v/>
      </c>
      <c r="DB756">
        <f>INDEX('Data_Price '!AK$2:AK$1266,MATCH(Data!$DN756,'Data_Price '!$AT$2:$AT$1266,0))</f>
        <v/>
      </c>
      <c r="DC756">
        <f>INDEX('Data_Price '!AL$2:AL$1266,MATCH(Data!$DN756,'Data_Price '!$AT$2:$AT$1266,0))</f>
        <v/>
      </c>
      <c r="DD756">
        <f>INDEX('Data_Price '!AM$2:AM$1266,MATCH(Data!$DN756,'Data_Price '!$AT$2:$AT$1266,0))</f>
        <v/>
      </c>
      <c r="DE756">
        <f>INDEX('Data_Price '!AN$2:AN$1266,MATCH(Data!$DN756,'Data_Price '!$AT$2:$AT$1266,0))</f>
        <v/>
      </c>
      <c r="DF756">
        <f>INDEX('Data_Price '!AO$2:AO$1266,MATCH(Data!$DN756,'Data_Price '!$AT$2:$AT$1266,0))</f>
        <v/>
      </c>
      <c r="DG756">
        <f>INDEX('Data_Price '!AP$2:AP$1266,MATCH(Data!$DN756,'Data_Price '!$AT$2:$AT$1266,0))</f>
        <v/>
      </c>
      <c r="DH756">
        <f>INDEX('Data_Price '!AQ$2:AQ$1266,MATCH(Data!$DN756,'Data_Price '!$AT$2:$AT$1266,0))</f>
        <v/>
      </c>
      <c r="DI756">
        <f>INDEX('Data_Price '!AR$2:AR$1266,MATCH(Data!$DN756,'Data_Price '!$AT$2:$AT$1266,0))</f>
        <v/>
      </c>
      <c r="DJ756" s="138">
        <f>DA756</f>
        <v/>
      </c>
      <c r="DK756" s="138">
        <f>DE756</f>
        <v/>
      </c>
      <c r="DL756" s="138">
        <f>DI756</f>
        <v/>
      </c>
      <c r="DM756" s="303">
        <f>IF(LEFT(BT756,1)=" ",RIGHT(BT756,LEN(BT756)-1),BT756)</f>
        <v/>
      </c>
      <c r="DN756" s="138">
        <f>_xlfn.CONCAT(BS756,DM756,BU756,BV756)</f>
        <v/>
      </c>
      <c r="DO756" s="307" t="inlineStr">
        <is>
          <t>https://images.evo.com/imgp/250/208393/833073/clone.jpg</t>
        </is>
      </c>
    </row>
    <row r="757" ht="15.6" customHeight="1" s="184">
      <c r="B757" s="303">
        <f t="array" ref="B757">IF(OR(ISERROR(K757:P757)),FALSE,TRUE)</f>
        <v/>
      </c>
      <c r="C757" s="60">
        <f>OR(BR757=Driver!$G$50,Data!BR264=Driver!$H$50)</f>
        <v/>
      </c>
      <c r="D757" s="60">
        <f>OR(BV757=Driver!$G$51,BV757=Driver!$H$51)</f>
        <v/>
      </c>
      <c r="E757" s="60">
        <f>AND(BX757&gt;Driver!$F$54,BX757&lt;Driver!$G$54)</f>
        <v/>
      </c>
      <c r="F757" s="60">
        <f>CL757&gt;Driver!$F$56</f>
        <v/>
      </c>
      <c r="G757" s="60">
        <f>AND(CB757&gt;Driver!$F$55,CB757&lt;Driver!$G$55)</f>
        <v/>
      </c>
      <c r="H757" s="60">
        <f>AND(B757:G757)</f>
        <v/>
      </c>
      <c r="I757" s="60">
        <f>COUNTIFS($H$9:$H$1273,TRUE,$BT$9:$BT$1273,BT757)</f>
        <v/>
      </c>
      <c r="J757" s="60">
        <f t="array" ref="J757">NOT(OR(($H$9:$H$1273=TRUE)*($I$9:$I$1273&gt;0)*($BT$9:$BT$1273=BT757)*($K$9:$K$1273&gt;K757)))</f>
        <v/>
      </c>
      <c r="K757" s="108">
        <f>IFERROR(1-AVERAGE(X757:Y757),"")</f>
        <v/>
      </c>
      <c r="L757" s="108">
        <f>1-X757</f>
        <v/>
      </c>
      <c r="M757" s="108">
        <f>1-Y757</f>
        <v/>
      </c>
      <c r="N757" s="108">
        <f>1-Z757</f>
        <v/>
      </c>
      <c r="O757" s="108">
        <f>1-AA757</f>
        <v/>
      </c>
      <c r="P757" s="108">
        <f>1-AB757</f>
        <v/>
      </c>
      <c r="Q757" s="108" t="n"/>
      <c r="R757" s="108" t="n"/>
      <c r="S757" s="108">
        <f>1-AE757</f>
        <v/>
      </c>
      <c r="T757" s="108">
        <f>1-AF757</f>
        <v/>
      </c>
      <c r="U757" s="108">
        <f>1-AG757</f>
        <v/>
      </c>
      <c r="V757" s="108">
        <f>1-AH757</f>
        <v/>
      </c>
      <c r="W757" s="108">
        <f>1-AI757</f>
        <v/>
      </c>
      <c r="X757" s="108">
        <f>ABS(AJ757-AJ$1)</f>
        <v/>
      </c>
      <c r="Y757" s="108">
        <f>AVERAGE(Z757:AB757)</f>
        <v/>
      </c>
      <c r="Z757" s="108">
        <f>ABS(AL757-AL$1)</f>
        <v/>
      </c>
      <c r="AA757" s="108">
        <f>ABS(AM757-AM$1)</f>
        <v/>
      </c>
      <c r="AB757" s="108">
        <f>ABS(AN757-AN$1)</f>
        <v/>
      </c>
      <c r="AC757" s="108" t="n"/>
      <c r="AD757" s="108" t="n"/>
      <c r="AE757" s="108">
        <f>ABS(AQ$1-AQ757)</f>
        <v/>
      </c>
      <c r="AF757" s="108">
        <f>ABS(AR$1-AR757)</f>
        <v/>
      </c>
      <c r="AG757" s="108">
        <f>ABS(AS$1-AS757)</f>
        <v/>
      </c>
      <c r="AH757" s="108">
        <f>ABS(AT$1-AT757)</f>
        <v/>
      </c>
      <c r="AI757" s="108">
        <f>ABS(AU$1-AU757)</f>
        <v/>
      </c>
      <c r="AJ757" s="108">
        <f>(AV757-Driver!$K$179)/(Driver!$L$179-Driver!$K$179)</f>
        <v/>
      </c>
      <c r="AK757" s="108">
        <f>(AW757-Driver!$K$180)/(Driver!$L$180-Driver!$K$180)</f>
        <v/>
      </c>
      <c r="AL757" s="108">
        <f>(AX757-Driver!$K$181)/(Driver!$L$181-Driver!$K$181)</f>
        <v/>
      </c>
      <c r="AM757" s="108">
        <f>(AY757-Driver!$K$182)/(Driver!$L$182-Driver!$K$182)</f>
        <v/>
      </c>
      <c r="AN757" s="108">
        <f>(AZ757-Driver!$K$183)/(Driver!$L$183-Driver!$K$183)</f>
        <v/>
      </c>
      <c r="AO757" s="108" t="n"/>
      <c r="AP757" s="108" t="n"/>
      <c r="AQ757" s="108">
        <f>(BC757-Driver!$K$188)/(Driver!$L$188-Driver!$K$188)</f>
        <v/>
      </c>
      <c r="AR757" s="108">
        <f>MIN((BD757-Driver!$K$189)/(Driver!$L$189-Driver!$K$189),100%)</f>
        <v/>
      </c>
      <c r="AS757" s="108">
        <f>(BE757-Driver!$K$190)/(Driver!$L$190-Driver!$K$190)</f>
        <v/>
      </c>
      <c r="AT757" s="108">
        <f>(BF757-Driver!$K$191)/(Driver!$L$191-Driver!$K$191)</f>
        <v/>
      </c>
      <c r="AU757" s="108">
        <f>(BG757-Driver!$K$192)/(Driver!$L$192-Driver!$K$192)</f>
        <v/>
      </c>
      <c r="AV757" s="105">
        <f>IFERROR(BM757*BJ757^1/4,"")</f>
        <v/>
      </c>
      <c r="AW757" s="105">
        <f>IFERROR(SUM(AX757:AZ757),"")</f>
        <v/>
      </c>
      <c r="AX757" s="105">
        <f>IFERROR(BH757,"")</f>
        <v/>
      </c>
      <c r="AY757" s="105">
        <f>IFERROR(Driver!$K$19/Data!BH757/Data!BI757*Data!BK757*Data!BL757,"")</f>
        <v/>
      </c>
      <c r="AZ757" s="105">
        <f>IFERROR(BI757*BN757,"")</f>
        <v/>
      </c>
      <c r="BA757" s="105" t="n"/>
      <c r="BB757" s="105" t="n"/>
      <c r="BC757" s="105">
        <f>IFERROR(BI757*BN757*BK757/BJ757^(1/2),"")</f>
        <v/>
      </c>
      <c r="BD757" s="105">
        <f>IFERROR(BH757*BM757*BL757/BJ757/BK757,"")</f>
        <v/>
      </c>
      <c r="BE757" s="105">
        <f>IFERROR(MIN(BI757/BQ757/BP757/BO757/BH757,$BE$1),"")</f>
        <v/>
      </c>
      <c r="BF757" s="105">
        <f>IFERROR(BJ757*BO757*BP757/BK757,"")</f>
        <v/>
      </c>
      <c r="BG757" s="105">
        <f>IFERROR(1/BM757/BH757*BQ757,"")</f>
        <v/>
      </c>
      <c r="BH757" s="102">
        <f>MAX((CE757-Driver!$F$200)/(Driver!$G$200-Driver!$F$200)*$BI$1,1)</f>
        <v/>
      </c>
      <c r="BI757" s="102">
        <f>MAX($BI$1*(BY757-Driver!$F$201)/(Driver!$G$201-Driver!$F$201),1)</f>
        <v/>
      </c>
      <c r="BJ757" s="102">
        <f>(CB757-Driver!$F$206)/(Driver!$G$206-Driver!$F$206)*$BI$1</f>
        <v/>
      </c>
      <c r="BK757" s="102">
        <f>(CD757-Driver!$F$203)/(Driver!$G$203-Driver!$F$203)*$BI$1</f>
        <v/>
      </c>
      <c r="BL757" s="102">
        <f>MAX((CR757-Driver!$F$202)/(Driver!$G$202-Driver!$F$202)*$BI$1,1)</f>
        <v/>
      </c>
      <c r="BM757" s="102">
        <f>MAX((CH757-Driver!$F$204)/(Driver!$G$204-Driver!$F$204)*$BI$1,1)</f>
        <v/>
      </c>
      <c r="BN757" s="102">
        <f>(CI757-Driver!$F$205)/(Driver!$G$205-Driver!$F$205)*$BI$1</f>
        <v/>
      </c>
      <c r="BO757" s="102">
        <f>(CK757-Driver!$F$207)/(Driver!$G$207-Driver!$F$207)*$BI$1</f>
        <v/>
      </c>
      <c r="BP757" s="102">
        <f>(CM757-Driver!$F$208)/(Driver!$G$208-Driver!$F$208)*$BI$1</f>
        <v/>
      </c>
      <c r="BQ757" s="102">
        <f>(CL757-Driver!$F$209)/(Driver!$G$209-Driver!$F$209)*$BI$1</f>
        <v/>
      </c>
      <c r="BR757" s="40" t="inlineStr">
        <is>
          <t>21/22</t>
        </is>
      </c>
      <c r="BS757" s="10" t="inlineStr">
        <is>
          <t xml:space="preserve"> Blizzard</t>
        </is>
      </c>
      <c r="BT757" s="11" t="inlineStr">
        <is>
          <t>Black Pearl 97</t>
        </is>
      </c>
      <c r="BU757" s="13" t="n">
        <v>153</v>
      </c>
      <c r="BV757" s="11" t="inlineStr">
        <is>
          <t xml:space="preserve"> Women's</t>
        </is>
      </c>
      <c r="BW757" s="13" t="n">
        <v>153</v>
      </c>
      <c r="BX757" s="13" t="n">
        <v>151.4</v>
      </c>
      <c r="BY757" s="13" t="n">
        <v>119</v>
      </c>
      <c r="BZ757" s="13" t="n">
        <v>128</v>
      </c>
      <c r="CA757" s="13" t="n">
        <v>134</v>
      </c>
      <c r="CB757" s="13" t="n">
        <v>96</v>
      </c>
      <c r="CC757" s="13" t="n">
        <v>116</v>
      </c>
      <c r="CD757" s="13" t="n">
        <v>13.7</v>
      </c>
      <c r="CE757" s="13" t="n">
        <v>1655</v>
      </c>
      <c r="CF757" s="13" t="n">
        <v>0.98</v>
      </c>
      <c r="CG757" s="13" t="n">
        <v>1626</v>
      </c>
      <c r="CH757" s="13" t="n">
        <v>135</v>
      </c>
      <c r="CI757" s="13" t="n">
        <v>72</v>
      </c>
      <c r="CJ757" s="13" t="n">
        <v>63</v>
      </c>
      <c r="CK757" s="13" t="n">
        <v>222</v>
      </c>
      <c r="CL757" s="13" t="n">
        <v>8</v>
      </c>
      <c r="CM757" s="13" t="n">
        <v>104</v>
      </c>
      <c r="CN757" s="13" t="n">
        <v>0.124</v>
      </c>
      <c r="CO757" s="13" t="n">
        <v>122</v>
      </c>
      <c r="CP757" s="13" t="n">
        <v>111</v>
      </c>
      <c r="CQ757" s="13" t="n">
        <v>100</v>
      </c>
      <c r="CR757" s="13" t="n">
        <v>5</v>
      </c>
      <c r="CS757" s="13" t="n">
        <v>11.2</v>
      </c>
      <c r="CT757" s="11" t="inlineStr">
        <is>
          <t xml:space="preserve"> Resort Freeride</t>
        </is>
      </c>
      <c r="CU757" s="13" t="n"/>
      <c r="CV757" s="13" t="n"/>
      <c r="CW757" s="13" t="n"/>
      <c r="CX757">
        <f>INDEX('Data_Price '!AG$2:AG$1266,MATCH(Data!$DN757,'Data_Price '!$AT$2:$AT$1266,0))</f>
        <v/>
      </c>
      <c r="CY757">
        <f>INDEX('Data_Price '!AH$2:AH$1266,MATCH(Data!$DN757,'Data_Price '!$AT$2:$AT$1266,0))</f>
        <v/>
      </c>
      <c r="CZ757">
        <f>INDEX('Data_Price '!AI$2:AI$1266,MATCH(Data!$DN757,'Data_Price '!$AT$2:$AT$1266,0))</f>
        <v/>
      </c>
      <c r="DA757">
        <f>INDEX('Data_Price '!AJ$2:AJ$1266,MATCH(Data!$DN757,'Data_Price '!$AT$2:$AT$1266,0))</f>
        <v/>
      </c>
      <c r="DB757">
        <f>INDEX('Data_Price '!AK$2:AK$1266,MATCH(Data!$DN757,'Data_Price '!$AT$2:$AT$1266,0))</f>
        <v/>
      </c>
      <c r="DC757">
        <f>INDEX('Data_Price '!AL$2:AL$1266,MATCH(Data!$DN757,'Data_Price '!$AT$2:$AT$1266,0))</f>
        <v/>
      </c>
      <c r="DD757">
        <f>INDEX('Data_Price '!AM$2:AM$1266,MATCH(Data!$DN757,'Data_Price '!$AT$2:$AT$1266,0))</f>
        <v/>
      </c>
      <c r="DE757">
        <f>INDEX('Data_Price '!AN$2:AN$1266,MATCH(Data!$DN757,'Data_Price '!$AT$2:$AT$1266,0))</f>
        <v/>
      </c>
      <c r="DF757">
        <f>INDEX('Data_Price '!AO$2:AO$1266,MATCH(Data!$DN757,'Data_Price '!$AT$2:$AT$1266,0))</f>
        <v/>
      </c>
      <c r="DG757">
        <f>INDEX('Data_Price '!AP$2:AP$1266,MATCH(Data!$DN757,'Data_Price '!$AT$2:$AT$1266,0))</f>
        <v/>
      </c>
      <c r="DH757">
        <f>INDEX('Data_Price '!AQ$2:AQ$1266,MATCH(Data!$DN757,'Data_Price '!$AT$2:$AT$1266,0))</f>
        <v/>
      </c>
      <c r="DI757">
        <f>INDEX('Data_Price '!AR$2:AR$1266,MATCH(Data!$DN757,'Data_Price '!$AT$2:$AT$1266,0))</f>
        <v/>
      </c>
      <c r="DJ757" s="138">
        <f>DA757</f>
        <v/>
      </c>
      <c r="DK757" s="138">
        <f>DE757</f>
        <v/>
      </c>
      <c r="DL757" s="138">
        <f>DI757</f>
        <v/>
      </c>
      <c r="DM757" s="303">
        <f>IF(LEFT(BT757,1)=" ",RIGHT(BT757,LEN(BT757)-1),BT757)</f>
        <v/>
      </c>
      <c r="DN757" s="138">
        <f>_xlfn.CONCAT(BS757,DM757,BU757,BV757)</f>
        <v/>
      </c>
      <c r="DO757" s="307" t="inlineStr">
        <is>
          <t>https://images.evo.com/imgp/250/176882/722692/blizzard-black-pearl-97-skis-women-s-2022-.jpg</t>
        </is>
      </c>
    </row>
    <row r="758" ht="15.6" customHeight="1" s="184">
      <c r="B758" s="303">
        <f t="array" ref="B758">IF(OR(ISERROR(K758:P758)),FALSE,TRUE)</f>
        <v/>
      </c>
      <c r="C758" s="60">
        <f>OR(BR758=Driver!$G$50,Data!BR355=Driver!$H$50)</f>
        <v/>
      </c>
      <c r="D758" s="60">
        <f>OR(BV758=Driver!$G$51,BV758=Driver!$H$51)</f>
        <v/>
      </c>
      <c r="E758" s="60">
        <f>AND(BX758&gt;Driver!$F$54,BX758&lt;Driver!$G$54)</f>
        <v/>
      </c>
      <c r="F758" s="60">
        <f>CL758&gt;Driver!$F$56</f>
        <v/>
      </c>
      <c r="G758" s="60">
        <f>AND(CB758&gt;Driver!$F$55,CB758&lt;Driver!$G$55)</f>
        <v/>
      </c>
      <c r="H758" s="60">
        <f>AND(B758:G758)</f>
        <v/>
      </c>
      <c r="I758" s="60">
        <f>COUNTIFS($H$9:$H$1273,TRUE,$BT$9:$BT$1273,BT758)</f>
        <v/>
      </c>
      <c r="J758" s="60">
        <f t="array" ref="J758">NOT(OR(($H$9:$H$1273=TRUE)*($I$9:$I$1273&gt;0)*($BT$9:$BT$1273=BT758)*($K$9:$K$1273&gt;K758)))</f>
        <v/>
      </c>
      <c r="K758" s="108">
        <f>IFERROR(1-AVERAGE(X758:Y758),"")</f>
        <v/>
      </c>
      <c r="L758" s="108">
        <f>1-X758</f>
        <v/>
      </c>
      <c r="M758" s="108">
        <f>1-Y758</f>
        <v/>
      </c>
      <c r="N758" s="108">
        <f>1-Z758</f>
        <v/>
      </c>
      <c r="O758" s="108">
        <f>1-AA758</f>
        <v/>
      </c>
      <c r="P758" s="108">
        <f>1-AB758</f>
        <v/>
      </c>
      <c r="Q758" s="108" t="n"/>
      <c r="R758" s="108" t="n"/>
      <c r="S758" s="108">
        <f>1-AE758</f>
        <v/>
      </c>
      <c r="T758" s="108">
        <f>1-AF758</f>
        <v/>
      </c>
      <c r="U758" s="108">
        <f>1-AG758</f>
        <v/>
      </c>
      <c r="V758" s="108">
        <f>1-AH758</f>
        <v/>
      </c>
      <c r="W758" s="108">
        <f>1-AI758</f>
        <v/>
      </c>
      <c r="X758" s="108">
        <f>ABS(AJ758-AJ$1)</f>
        <v/>
      </c>
      <c r="Y758" s="108">
        <f>AVERAGE(Z758:AB758)</f>
        <v/>
      </c>
      <c r="Z758" s="108">
        <f>ABS(AL758-AL$1)</f>
        <v/>
      </c>
      <c r="AA758" s="108">
        <f>ABS(AM758-AM$1)</f>
        <v/>
      </c>
      <c r="AB758" s="108">
        <f>ABS(AN758-AN$1)</f>
        <v/>
      </c>
      <c r="AC758" s="108" t="n"/>
      <c r="AD758" s="108" t="n"/>
      <c r="AE758" s="108">
        <f>ABS(AQ$1-AQ758)</f>
        <v/>
      </c>
      <c r="AF758" s="108">
        <f>ABS(AR$1-AR758)</f>
        <v/>
      </c>
      <c r="AG758" s="108">
        <f>ABS(AS$1-AS758)</f>
        <v/>
      </c>
      <c r="AH758" s="108">
        <f>ABS(AT$1-AT758)</f>
        <v/>
      </c>
      <c r="AI758" s="108">
        <f>ABS(AU$1-AU758)</f>
        <v/>
      </c>
      <c r="AJ758" s="108">
        <f>(AV758-Driver!$K$179)/(Driver!$L$179-Driver!$K$179)</f>
        <v/>
      </c>
      <c r="AK758" s="108">
        <f>(AW758-Driver!$K$180)/(Driver!$L$180-Driver!$K$180)</f>
        <v/>
      </c>
      <c r="AL758" s="108">
        <f>(AX758-Driver!$K$181)/(Driver!$L$181-Driver!$K$181)</f>
        <v/>
      </c>
      <c r="AM758" s="108">
        <f>(AY758-Driver!$K$182)/(Driver!$L$182-Driver!$K$182)</f>
        <v/>
      </c>
      <c r="AN758" s="108">
        <f>(AZ758-Driver!$K$183)/(Driver!$L$183-Driver!$K$183)</f>
        <v/>
      </c>
      <c r="AO758" s="108" t="n"/>
      <c r="AP758" s="108" t="n"/>
      <c r="AQ758" s="108">
        <f>(BC758-Driver!$K$188)/(Driver!$L$188-Driver!$K$188)</f>
        <v/>
      </c>
      <c r="AR758" s="108">
        <f>MIN((BD758-Driver!$K$189)/(Driver!$L$189-Driver!$K$189),100%)</f>
        <v/>
      </c>
      <c r="AS758" s="108">
        <f>(BE758-Driver!$K$190)/(Driver!$L$190-Driver!$K$190)</f>
        <v/>
      </c>
      <c r="AT758" s="108">
        <f>(BF758-Driver!$K$191)/(Driver!$L$191-Driver!$K$191)</f>
        <v/>
      </c>
      <c r="AU758" s="108">
        <f>(BG758-Driver!$K$192)/(Driver!$L$192-Driver!$K$192)</f>
        <v/>
      </c>
      <c r="AV758" s="105">
        <f>IFERROR(BM758*BJ758^1/4,"")</f>
        <v/>
      </c>
      <c r="AW758" s="105">
        <f>IFERROR(SUM(AX758:AZ758),"")</f>
        <v/>
      </c>
      <c r="AX758" s="105">
        <f>IFERROR(BH758,"")</f>
        <v/>
      </c>
      <c r="AY758" s="105">
        <f>IFERROR(Driver!$K$19/Data!BH758/Data!BI758*Data!BK758*Data!BL758,"")</f>
        <v/>
      </c>
      <c r="AZ758" s="105">
        <f>IFERROR(BI758*BN758,"")</f>
        <v/>
      </c>
      <c r="BA758" s="105" t="n"/>
      <c r="BB758" s="105" t="n"/>
      <c r="BC758" s="105">
        <f>IFERROR(BI758*BN758*BK758/BJ758^(1/2),"")</f>
        <v/>
      </c>
      <c r="BD758" s="105">
        <f>IFERROR(BH758*BM758*BL758/BJ758/BK758,"")</f>
        <v/>
      </c>
      <c r="BE758" s="105">
        <f>IFERROR(MIN(BI758/BQ758/BP758/BO758/BH758,$BE$1),"")</f>
        <v/>
      </c>
      <c r="BF758" s="105">
        <f>IFERROR(BJ758*BO758*BP758/BK758,"")</f>
        <v/>
      </c>
      <c r="BG758" s="105">
        <f>IFERROR(1/BM758/BH758*BQ758,"")</f>
        <v/>
      </c>
      <c r="BH758" s="102">
        <f>MAX((CE758-Driver!$F$200)/(Driver!$G$200-Driver!$F$200)*$BI$1,1)</f>
        <v/>
      </c>
      <c r="BI758" s="102">
        <f>MAX($BI$1*(BY758-Driver!$F$201)/(Driver!$G$201-Driver!$F$201),1)</f>
        <v/>
      </c>
      <c r="BJ758" s="102">
        <f>(CB758-Driver!$F$206)/(Driver!$G$206-Driver!$F$206)*$BI$1</f>
        <v/>
      </c>
      <c r="BK758" s="102">
        <f>(CD758-Driver!$F$203)/(Driver!$G$203-Driver!$F$203)*$BI$1</f>
        <v/>
      </c>
      <c r="BL758" s="102">
        <f>MAX((CR758-Driver!$F$202)/(Driver!$G$202-Driver!$F$202)*$BI$1,1)</f>
        <v/>
      </c>
      <c r="BM758" s="102">
        <f>MAX((CH758-Driver!$F$204)/(Driver!$G$204-Driver!$F$204)*$BI$1,1)</f>
        <v/>
      </c>
      <c r="BN758" s="102">
        <f>(CI758-Driver!$F$205)/(Driver!$G$205-Driver!$F$205)*$BI$1</f>
        <v/>
      </c>
      <c r="BO758" s="102">
        <f>(CK758-Driver!$F$207)/(Driver!$G$207-Driver!$F$207)*$BI$1</f>
        <v/>
      </c>
      <c r="BP758" s="102">
        <f>(CM758-Driver!$F$208)/(Driver!$G$208-Driver!$F$208)*$BI$1</f>
        <v/>
      </c>
      <c r="BQ758" s="102">
        <f>(CL758-Driver!$F$209)/(Driver!$G$209-Driver!$F$209)*$BI$1</f>
        <v/>
      </c>
      <c r="BR758" s="40" t="inlineStr">
        <is>
          <t>21/22</t>
        </is>
      </c>
      <c r="BS758" s="10" t="inlineStr">
        <is>
          <t xml:space="preserve"> DPS</t>
        </is>
      </c>
      <c r="BT758" s="11" t="inlineStr">
        <is>
          <t>Pagoda Tour 100 RP</t>
        </is>
      </c>
      <c r="BU758" s="13" t="n">
        <v>163</v>
      </c>
      <c r="BV758" s="11" t="inlineStr">
        <is>
          <t xml:space="preserve"> Unisex</t>
        </is>
      </c>
      <c r="BW758" s="13" t="n">
        <v>163</v>
      </c>
      <c r="BX758" s="13" t="n">
        <v>161.4</v>
      </c>
      <c r="BY758" s="13" t="n">
        <v>107</v>
      </c>
      <c r="BZ758" s="13" t="n">
        <v>121</v>
      </c>
      <c r="CA758" s="13" t="n">
        <v>126</v>
      </c>
      <c r="CB758" s="13" t="n">
        <v>100</v>
      </c>
      <c r="CC758" s="13" t="n">
        <v>113</v>
      </c>
      <c r="CD758" s="13" t="n">
        <v>15.1</v>
      </c>
      <c r="CE758" s="13" t="n">
        <v>1280</v>
      </c>
      <c r="CF758" s="13" t="n">
        <v>1.37</v>
      </c>
      <c r="CG758" s="13" t="n">
        <v>1755</v>
      </c>
      <c r="CH758" s="13" t="n">
        <v>173</v>
      </c>
      <c r="CI758" s="13" t="n">
        <v>79</v>
      </c>
      <c r="CJ758" s="13" t="n">
        <v>54</v>
      </c>
      <c r="CK758" s="13" t="n">
        <v>325</v>
      </c>
      <c r="CL758" s="13" t="n">
        <v>11</v>
      </c>
      <c r="CM758" s="13" t="n">
        <v>215</v>
      </c>
      <c r="CN758" s="13" t="n">
        <v>0.2</v>
      </c>
      <c r="CO758" s="13" t="n">
        <v>221</v>
      </c>
      <c r="CP758" s="13" t="n">
        <v>188</v>
      </c>
      <c r="CQ758" s="13" t="n">
        <v>104</v>
      </c>
      <c r="CR758" s="13" t="n">
        <v>7</v>
      </c>
      <c r="CS758" s="13" t="n">
        <v>11.8</v>
      </c>
      <c r="CT758" s="11" t="inlineStr">
        <is>
          <t xml:space="preserve"> Touring</t>
        </is>
      </c>
      <c r="CU758" s="11" t="inlineStr">
        <is>
          <t xml:space="preserve"> Ultralight Touring</t>
        </is>
      </c>
      <c r="CV758" s="13" t="n"/>
      <c r="CW758" s="13" t="n"/>
      <c r="CX758">
        <f>INDEX('Data_Price '!AG$2:AG$1266,MATCH(Data!$DN758,'Data_Price '!$AT$2:$AT$1266,0))</f>
        <v/>
      </c>
      <c r="CY758">
        <f>INDEX('Data_Price '!AH$2:AH$1266,MATCH(Data!$DN758,'Data_Price '!$AT$2:$AT$1266,0))</f>
        <v/>
      </c>
      <c r="CZ758">
        <f>INDEX('Data_Price '!AI$2:AI$1266,MATCH(Data!$DN758,'Data_Price '!$AT$2:$AT$1266,0))</f>
        <v/>
      </c>
      <c r="DA758">
        <f>INDEX('Data_Price '!AJ$2:AJ$1266,MATCH(Data!$DN758,'Data_Price '!$AT$2:$AT$1266,0))</f>
        <v/>
      </c>
      <c r="DB758">
        <f>INDEX('Data_Price '!AK$2:AK$1266,MATCH(Data!$DN758,'Data_Price '!$AT$2:$AT$1266,0))</f>
        <v/>
      </c>
      <c r="DC758">
        <f>INDEX('Data_Price '!AL$2:AL$1266,MATCH(Data!$DN758,'Data_Price '!$AT$2:$AT$1266,0))</f>
        <v/>
      </c>
      <c r="DD758">
        <f>INDEX('Data_Price '!AM$2:AM$1266,MATCH(Data!$DN758,'Data_Price '!$AT$2:$AT$1266,0))</f>
        <v/>
      </c>
      <c r="DE758">
        <f>INDEX('Data_Price '!AN$2:AN$1266,MATCH(Data!$DN758,'Data_Price '!$AT$2:$AT$1266,0))</f>
        <v/>
      </c>
      <c r="DF758">
        <f>INDEX('Data_Price '!AO$2:AO$1266,MATCH(Data!$DN758,'Data_Price '!$AT$2:$AT$1266,0))</f>
        <v/>
      </c>
      <c r="DG758">
        <f>INDEX('Data_Price '!AP$2:AP$1266,MATCH(Data!$DN758,'Data_Price '!$AT$2:$AT$1266,0))</f>
        <v/>
      </c>
      <c r="DH758">
        <f>INDEX('Data_Price '!AQ$2:AQ$1266,MATCH(Data!$DN758,'Data_Price '!$AT$2:$AT$1266,0))</f>
        <v/>
      </c>
      <c r="DI758">
        <f>INDEX('Data_Price '!AR$2:AR$1266,MATCH(Data!$DN758,'Data_Price '!$AT$2:$AT$1266,0))</f>
        <v/>
      </c>
      <c r="DJ758" s="138">
        <f>DA758</f>
        <v/>
      </c>
      <c r="DK758" s="138">
        <f>DE758</f>
        <v/>
      </c>
      <c r="DL758" s="138">
        <f>DI758</f>
        <v/>
      </c>
      <c r="DM758" s="303">
        <f>IF(LEFT(BT758,1)=" ",RIGHT(BT758,LEN(BT758)-1),BT758)</f>
        <v/>
      </c>
      <c r="DN758" s="138">
        <f>_xlfn.CONCAT(BS758,DM758,BU758,BV758)</f>
        <v/>
      </c>
      <c r="DO758" s="307" t="inlineStr">
        <is>
          <t>https://images.evo.com/imgp/250/183638/728544/clone.jpg</t>
        </is>
      </c>
    </row>
    <row r="759" ht="15.6" customHeight="1" s="184">
      <c r="A759" s="303">
        <f>ROW()</f>
        <v/>
      </c>
      <c r="B759" s="303">
        <f t="array" ref="B759">IF(OR(ISERROR(K759:P759)),FALSE,TRUE)</f>
        <v/>
      </c>
      <c r="C759" s="60">
        <f>OR(BR759=Driver!$G$50,Data!BR286=Driver!$H$50)</f>
        <v/>
      </c>
      <c r="D759" s="60">
        <f>OR(BV759=Driver!$G$51,BV759=Driver!$H$51)</f>
        <v/>
      </c>
      <c r="E759" s="60">
        <f>AND(BX759&gt;Driver!$F$54,BX759&lt;Driver!$G$54)</f>
        <v/>
      </c>
      <c r="F759" s="60">
        <f>CL759&gt;Driver!$F$56</f>
        <v/>
      </c>
      <c r="G759" s="60">
        <f>AND(CB759&gt;Driver!$F$55,CB759&lt;Driver!$G$55)</f>
        <v/>
      </c>
      <c r="H759" s="60">
        <f>AND(B759:G759)</f>
        <v/>
      </c>
      <c r="I759" s="60">
        <f>COUNTIFS($H$9:$H$1273,TRUE,$BT$9:$BT$1273,BT759)</f>
        <v/>
      </c>
      <c r="J759" s="60">
        <f t="array" ref="J759">NOT(OR(($H$9:$H$1273=TRUE)*($I$9:$I$1273&gt;0)*($BT$9:$BT$1273=BT759)*($K$9:$K$1273&gt;K759)))</f>
        <v/>
      </c>
      <c r="K759" s="108">
        <f>IFERROR(1-AVERAGE(X759:Y759),"")</f>
        <v/>
      </c>
      <c r="L759" s="108">
        <f>1-X759</f>
        <v/>
      </c>
      <c r="M759" s="108">
        <f>1-Y759</f>
        <v/>
      </c>
      <c r="N759" s="108">
        <f>1-Z759</f>
        <v/>
      </c>
      <c r="O759" s="108">
        <f>1-AA759</f>
        <v/>
      </c>
      <c r="P759" s="108">
        <f>1-AB759</f>
        <v/>
      </c>
      <c r="Q759" s="108" t="n"/>
      <c r="R759" s="108" t="n"/>
      <c r="S759" s="108">
        <f>1-AE759</f>
        <v/>
      </c>
      <c r="T759" s="108">
        <f>1-AF759</f>
        <v/>
      </c>
      <c r="U759" s="108">
        <f>1-AG759</f>
        <v/>
      </c>
      <c r="V759" s="108">
        <f>1-AH759</f>
        <v/>
      </c>
      <c r="W759" s="108">
        <f>1-AI759</f>
        <v/>
      </c>
      <c r="X759" s="108">
        <f>ABS(AJ759-AJ$1)</f>
        <v/>
      </c>
      <c r="Y759" s="108">
        <f>AVERAGE(Z759:AB759)</f>
        <v/>
      </c>
      <c r="Z759" s="108">
        <f>ABS(AL759-AL$1)</f>
        <v/>
      </c>
      <c r="AA759" s="108">
        <f>ABS(AM759-AM$1)</f>
        <v/>
      </c>
      <c r="AB759" s="108">
        <f>ABS(AN759-AN$1)</f>
        <v/>
      </c>
      <c r="AC759" s="108" t="n"/>
      <c r="AD759" s="108" t="n"/>
      <c r="AE759" s="108">
        <f>ABS(AQ$1-AQ759)</f>
        <v/>
      </c>
      <c r="AF759" s="108">
        <f>ABS(AR$1-AR759)</f>
        <v/>
      </c>
      <c r="AG759" s="108">
        <f>ABS(AS$1-AS759)</f>
        <v/>
      </c>
      <c r="AH759" s="108">
        <f>ABS(AT$1-AT759)</f>
        <v/>
      </c>
      <c r="AI759" s="108">
        <f>ABS(AU$1-AU759)</f>
        <v/>
      </c>
      <c r="AJ759" s="108">
        <f>(AV759-Driver!$K$179)/(Driver!$L$179-Driver!$K$179)</f>
        <v/>
      </c>
      <c r="AK759" s="108">
        <f>(AW759-Driver!$K$180)/(Driver!$L$180-Driver!$K$180)</f>
        <v/>
      </c>
      <c r="AL759" s="108">
        <f>(AX759-Driver!$K$181)/(Driver!$L$181-Driver!$K$181)</f>
        <v/>
      </c>
      <c r="AM759" s="108">
        <f>(AY759-Driver!$K$182)/(Driver!$L$182-Driver!$K$182)</f>
        <v/>
      </c>
      <c r="AN759" s="108">
        <f>(AZ759-Driver!$K$183)/(Driver!$L$183-Driver!$K$183)</f>
        <v/>
      </c>
      <c r="AO759" s="108" t="n"/>
      <c r="AP759" s="108" t="n"/>
      <c r="AQ759" s="108">
        <f>(BC759-Driver!$K$188)/(Driver!$L$188-Driver!$K$188)</f>
        <v/>
      </c>
      <c r="AR759" s="108">
        <f>MIN((BD759-Driver!$K$189)/(Driver!$L$189-Driver!$K$189),100%)</f>
        <v/>
      </c>
      <c r="AS759" s="108">
        <f>(BE759-Driver!$K$190)/(Driver!$L$190-Driver!$K$190)</f>
        <v/>
      </c>
      <c r="AT759" s="108">
        <f>(BF759-Driver!$K$191)/(Driver!$L$191-Driver!$K$191)</f>
        <v/>
      </c>
      <c r="AU759" s="108">
        <f>(BG759-Driver!$K$192)/(Driver!$L$192-Driver!$K$192)</f>
        <v/>
      </c>
      <c r="AV759" s="105">
        <f>IFERROR(BM759*BJ759^1/4,"")</f>
        <v/>
      </c>
      <c r="AW759" s="105">
        <f>IFERROR(SUM(AX759:AZ759),"")</f>
        <v/>
      </c>
      <c r="AX759" s="105">
        <f>IFERROR(BH759,"")</f>
        <v/>
      </c>
      <c r="AY759" s="105">
        <f>IFERROR(Driver!$K$19/Data!BH759/Data!BI759*Data!BK759*Data!BL759,"")</f>
        <v/>
      </c>
      <c r="AZ759" s="105">
        <f>IFERROR(BI759*BN759,"")</f>
        <v/>
      </c>
      <c r="BA759" s="105" t="n"/>
      <c r="BB759" s="105" t="n"/>
      <c r="BC759" s="105">
        <f>IFERROR(BI759*BN759*BK759/BJ759^(1/2),"")</f>
        <v/>
      </c>
      <c r="BD759" s="105">
        <f>IFERROR(BH759*BM759*BL759/BJ759/BK759,"")</f>
        <v/>
      </c>
      <c r="BE759" s="105">
        <f>IFERROR(MIN(BI759/BQ759/BP759/BO759/BH759,$BE$1),"")</f>
        <v/>
      </c>
      <c r="BF759" s="105">
        <f>IFERROR(BJ759*BO759*BP759/BK759,"")</f>
        <v/>
      </c>
      <c r="BG759" s="105">
        <f>IFERROR(1/BM759/BH759*BQ759,"")</f>
        <v/>
      </c>
      <c r="BH759" s="102">
        <f>MAX((CE759-Driver!$F$200)/(Driver!$G$200-Driver!$F$200)*$BI$1,1)</f>
        <v/>
      </c>
      <c r="BI759" s="102">
        <f>MAX($BI$1*(BY759-Driver!$F$201)/(Driver!$G$201-Driver!$F$201),1)</f>
        <v/>
      </c>
      <c r="BJ759" s="102">
        <f>(CB759-Driver!$F$206)/(Driver!$G$206-Driver!$F$206)*$BI$1</f>
        <v/>
      </c>
      <c r="BK759" s="102">
        <f>(CD759-Driver!$F$203)/(Driver!$G$203-Driver!$F$203)*$BI$1</f>
        <v/>
      </c>
      <c r="BL759" s="102">
        <f>MAX((CR759-Driver!$F$202)/(Driver!$G$202-Driver!$F$202)*$BI$1,1)</f>
        <v/>
      </c>
      <c r="BM759" s="102">
        <f>MAX((CH759-Driver!$F$204)/(Driver!$G$204-Driver!$F$204)*$BI$1,1)</f>
        <v/>
      </c>
      <c r="BN759" s="102">
        <f>(CI759-Driver!$F$205)/(Driver!$G$205-Driver!$F$205)*$BI$1</f>
        <v/>
      </c>
      <c r="BO759" s="102">
        <f>(CK759-Driver!$F$207)/(Driver!$G$207-Driver!$F$207)*$BI$1</f>
        <v/>
      </c>
      <c r="BP759" s="102">
        <f>(CM759-Driver!$F$208)/(Driver!$G$208-Driver!$F$208)*$BI$1</f>
        <v/>
      </c>
      <c r="BQ759" s="102">
        <f>(CL759-Driver!$F$209)/(Driver!$G$209-Driver!$F$209)*$BI$1</f>
        <v/>
      </c>
      <c r="BR759" s="40" t="inlineStr">
        <is>
          <t>21/22</t>
        </is>
      </c>
      <c r="BS759" s="10" t="inlineStr">
        <is>
          <t xml:space="preserve"> Blizzard</t>
        </is>
      </c>
      <c r="BT759" s="11" t="inlineStr">
        <is>
          <t>Rustler 10</t>
        </is>
      </c>
      <c r="BU759" s="13" t="n">
        <v>164</v>
      </c>
      <c r="BV759" s="11" t="inlineStr">
        <is>
          <t xml:space="preserve"> Unisex</t>
        </is>
      </c>
      <c r="BW759" s="13" t="n">
        <v>164</v>
      </c>
      <c r="BX759" s="13" t="n">
        <v>162.4</v>
      </c>
      <c r="BY759" s="13" t="n">
        <v>98</v>
      </c>
      <c r="BZ759" s="13" t="n">
        <v>133</v>
      </c>
      <c r="CA759" s="13" t="n">
        <v>131</v>
      </c>
      <c r="CB759" s="13" t="n">
        <v>101</v>
      </c>
      <c r="CC759" s="13" t="n">
        <v>121</v>
      </c>
      <c r="CD759" s="13" t="n">
        <v>15.4</v>
      </c>
      <c r="CE759" s="13" t="n">
        <v>1840</v>
      </c>
      <c r="CF759" s="13" t="n">
        <v>0.99</v>
      </c>
      <c r="CG759" s="13" t="n">
        <v>1813</v>
      </c>
      <c r="CH759" s="13" t="n">
        <v>157</v>
      </c>
      <c r="CI759" s="13" t="n">
        <v>84</v>
      </c>
      <c r="CJ759" s="13" t="n">
        <v>66</v>
      </c>
      <c r="CK759" s="13" t="n">
        <v>361</v>
      </c>
      <c r="CL759" s="13" t="n">
        <v>33</v>
      </c>
      <c r="CM759" s="13" t="n">
        <v>279</v>
      </c>
      <c r="CN759" s="13" t="n">
        <v>0.503</v>
      </c>
      <c r="CO759" s="13" t="n">
        <v>161</v>
      </c>
      <c r="CP759" s="13" t="n">
        <v>136</v>
      </c>
      <c r="CQ759" s="13" t="n">
        <v>200</v>
      </c>
      <c r="CR759" s="13" t="n">
        <v>4</v>
      </c>
      <c r="CS759" s="13" t="n">
        <v>7</v>
      </c>
      <c r="CT759" s="11" t="inlineStr">
        <is>
          <t xml:space="preserve"> Resort Freeride</t>
        </is>
      </c>
      <c r="CU759" s="11" t="inlineStr">
        <is>
          <t xml:space="preserve"> Powder</t>
        </is>
      </c>
      <c r="CV759" s="13" t="n"/>
      <c r="CW759" s="13" t="n"/>
      <c r="CX759">
        <f>INDEX('Data_Price '!AG$2:AG$1266,MATCH(Data!$DN759,'Data_Price '!$AT$2:$AT$1266,0))</f>
        <v/>
      </c>
      <c r="CY759">
        <f>INDEX('Data_Price '!AH$2:AH$1266,MATCH(Data!$DN759,'Data_Price '!$AT$2:$AT$1266,0))</f>
        <v/>
      </c>
      <c r="CZ759">
        <f>INDEX('Data_Price '!AI$2:AI$1266,MATCH(Data!$DN759,'Data_Price '!$AT$2:$AT$1266,0))</f>
        <v/>
      </c>
      <c r="DA759">
        <f>INDEX('Data_Price '!AJ$2:AJ$1266,MATCH(Data!$DN759,'Data_Price '!$AT$2:$AT$1266,0))</f>
        <v/>
      </c>
      <c r="DB759">
        <f>INDEX('Data_Price '!AK$2:AK$1266,MATCH(Data!$DN759,'Data_Price '!$AT$2:$AT$1266,0))</f>
        <v/>
      </c>
      <c r="DC759">
        <f>INDEX('Data_Price '!AL$2:AL$1266,MATCH(Data!$DN759,'Data_Price '!$AT$2:$AT$1266,0))</f>
        <v/>
      </c>
      <c r="DD759">
        <f>INDEX('Data_Price '!AM$2:AM$1266,MATCH(Data!$DN759,'Data_Price '!$AT$2:$AT$1266,0))</f>
        <v/>
      </c>
      <c r="DE759">
        <f>INDEX('Data_Price '!AN$2:AN$1266,MATCH(Data!$DN759,'Data_Price '!$AT$2:$AT$1266,0))</f>
        <v/>
      </c>
      <c r="DF759">
        <f>INDEX('Data_Price '!AO$2:AO$1266,MATCH(Data!$DN759,'Data_Price '!$AT$2:$AT$1266,0))</f>
        <v/>
      </c>
      <c r="DG759">
        <f>INDEX('Data_Price '!AP$2:AP$1266,MATCH(Data!$DN759,'Data_Price '!$AT$2:$AT$1266,0))</f>
        <v/>
      </c>
      <c r="DH759">
        <f>INDEX('Data_Price '!AQ$2:AQ$1266,MATCH(Data!$DN759,'Data_Price '!$AT$2:$AT$1266,0))</f>
        <v/>
      </c>
      <c r="DI759">
        <f>INDEX('Data_Price '!AR$2:AR$1266,MATCH(Data!$DN759,'Data_Price '!$AT$2:$AT$1266,0))</f>
        <v/>
      </c>
      <c r="DJ759" s="138">
        <f>DA759</f>
        <v/>
      </c>
      <c r="DK759" s="138">
        <f>DE759</f>
        <v/>
      </c>
      <c r="DL759" s="138">
        <f>DI759</f>
        <v/>
      </c>
      <c r="DM759" s="303">
        <f>IF(LEFT(BT759,1)=" ",RIGHT(BT759,LEN(BT759)-1),BT759)</f>
        <v/>
      </c>
      <c r="DN759" s="138">
        <f>_xlfn.CONCAT(BS759,DM759,BU759,BV759)</f>
        <v/>
      </c>
      <c r="DO759" s="307" t="inlineStr">
        <is>
          <t>https://images.evo.com/imgp/250/216620/902901/blizzard-rustler-10-skis-2023-.jpg</t>
        </is>
      </c>
    </row>
    <row r="760" ht="15.6" customHeight="1" s="184">
      <c r="B760" s="303">
        <f t="array" ref="B760">IF(OR(ISERROR(K760:P760)),FALSE,TRUE)</f>
        <v/>
      </c>
      <c r="C760" s="60">
        <f>OR(BR760=Driver!$G$50,Data!BR1237=Driver!$H$50)</f>
        <v/>
      </c>
      <c r="D760" s="60">
        <f>OR(BV760=Driver!$G$51,BV760=Driver!$H$51)</f>
        <v/>
      </c>
      <c r="E760" s="60">
        <f>AND(BX760&gt;Driver!$F$54,BX760&lt;Driver!$G$54)</f>
        <v/>
      </c>
      <c r="F760" s="60">
        <f>CL760&gt;Driver!$F$56</f>
        <v/>
      </c>
      <c r="G760" s="60">
        <f>AND(CB760&gt;Driver!$F$55,CB760&lt;Driver!$G$55)</f>
        <v/>
      </c>
      <c r="H760" s="60">
        <f>AND(B760:G760)</f>
        <v/>
      </c>
      <c r="I760" s="60">
        <f>COUNTIFS($H$9:$H$1273,TRUE,$BT$9:$BT$1273,BT760)</f>
        <v/>
      </c>
      <c r="J760" s="60">
        <f t="array" ref="J760">NOT(OR(($H$9:$H$1273=TRUE)*($I$9:$I$1273&gt;0)*($BT$9:$BT$1273=BT760)*($K$9:$K$1273&gt;K760)))</f>
        <v/>
      </c>
      <c r="K760" s="108">
        <f>IFERROR(1-AVERAGE(X760:Y760),"")</f>
        <v/>
      </c>
      <c r="L760" s="108">
        <f>1-X760</f>
        <v/>
      </c>
      <c r="M760" s="108">
        <f>1-Y760</f>
        <v/>
      </c>
      <c r="N760" s="108">
        <f>1-Z760</f>
        <v/>
      </c>
      <c r="O760" s="108">
        <f>1-AA760</f>
        <v/>
      </c>
      <c r="P760" s="108">
        <f>1-AB760</f>
        <v/>
      </c>
      <c r="Q760" s="108" t="n"/>
      <c r="R760" s="108" t="n"/>
      <c r="S760" s="108">
        <f>1-AE760</f>
        <v/>
      </c>
      <c r="T760" s="108">
        <f>1-AF760</f>
        <v/>
      </c>
      <c r="U760" s="108">
        <f>1-AG760</f>
        <v/>
      </c>
      <c r="V760" s="108">
        <f>1-AH760</f>
        <v/>
      </c>
      <c r="W760" s="108">
        <f>1-AI760</f>
        <v/>
      </c>
      <c r="X760" s="108">
        <f>ABS(AJ760-AJ$1)</f>
        <v/>
      </c>
      <c r="Y760" s="108">
        <f>AVERAGE(Z760:AB760)</f>
        <v/>
      </c>
      <c r="Z760" s="108">
        <f>ABS(AL760-AL$1)</f>
        <v/>
      </c>
      <c r="AA760" s="108">
        <f>ABS(AM760-AM$1)</f>
        <v/>
      </c>
      <c r="AB760" s="108">
        <f>ABS(AN760-AN$1)</f>
        <v/>
      </c>
      <c r="AC760" s="108" t="n"/>
      <c r="AD760" s="108" t="n"/>
      <c r="AE760" s="108">
        <f>ABS(AQ$1-AQ760)</f>
        <v/>
      </c>
      <c r="AF760" s="108">
        <f>ABS(AR$1-AR760)</f>
        <v/>
      </c>
      <c r="AG760" s="108">
        <f>ABS(AS$1-AS760)</f>
        <v/>
      </c>
      <c r="AH760" s="108">
        <f>ABS(AT$1-AT760)</f>
        <v/>
      </c>
      <c r="AI760" s="108">
        <f>ABS(AU$1-AU760)</f>
        <v/>
      </c>
      <c r="AJ760" s="108">
        <f>(AV760-Driver!$K$179)/(Driver!$L$179-Driver!$K$179)</f>
        <v/>
      </c>
      <c r="AK760" s="108">
        <f>(AW760-Driver!$K$180)/(Driver!$L$180-Driver!$K$180)</f>
        <v/>
      </c>
      <c r="AL760" s="108">
        <f>(AX760-Driver!$K$181)/(Driver!$L$181-Driver!$K$181)</f>
        <v/>
      </c>
      <c r="AM760" s="108">
        <f>(AY760-Driver!$K$182)/(Driver!$L$182-Driver!$K$182)</f>
        <v/>
      </c>
      <c r="AN760" s="108">
        <f>(AZ760-Driver!$K$183)/(Driver!$L$183-Driver!$K$183)</f>
        <v/>
      </c>
      <c r="AO760" s="108" t="n"/>
      <c r="AP760" s="108" t="n"/>
      <c r="AQ760" s="108">
        <f>(BC760-Driver!$K$188)/(Driver!$L$188-Driver!$K$188)</f>
        <v/>
      </c>
      <c r="AR760" s="108">
        <f>MIN((BD760-Driver!$K$189)/(Driver!$L$189-Driver!$K$189),100%)</f>
        <v/>
      </c>
      <c r="AS760" s="108">
        <f>(BE760-Driver!$K$190)/(Driver!$L$190-Driver!$K$190)</f>
        <v/>
      </c>
      <c r="AT760" s="108">
        <f>(BF760-Driver!$K$191)/(Driver!$L$191-Driver!$K$191)</f>
        <v/>
      </c>
      <c r="AU760" s="108">
        <f>(BG760-Driver!$K$192)/(Driver!$L$192-Driver!$K$192)</f>
        <v/>
      </c>
      <c r="AV760" s="105">
        <f>IFERROR(BM760*BJ760^1/4,"")</f>
        <v/>
      </c>
      <c r="AW760" s="105">
        <f>IFERROR(SUM(AX760:AZ760),"")</f>
        <v/>
      </c>
      <c r="AX760" s="105">
        <f>IFERROR(BH760,"")</f>
        <v/>
      </c>
      <c r="AY760" s="105">
        <f>IFERROR(Driver!$K$19/Data!BH760/Data!BI760*Data!BK760*Data!BL760,"")</f>
        <v/>
      </c>
      <c r="AZ760" s="105">
        <f>IFERROR(BI760*BN760,"")</f>
        <v/>
      </c>
      <c r="BA760" s="105" t="n"/>
      <c r="BB760" s="105" t="n"/>
      <c r="BC760" s="105">
        <f>IFERROR(BI760*BN760*BK760/BJ760^(1/2),"")</f>
        <v/>
      </c>
      <c r="BD760" s="105">
        <f>IFERROR(BH760*BM760*BL760/BJ760/BK760,"")</f>
        <v/>
      </c>
      <c r="BE760" s="105">
        <f>IFERROR(MIN(BI760/BQ760/BP760/BO760/BH760,$BE$1),"")</f>
        <v/>
      </c>
      <c r="BF760" s="105">
        <f>IFERROR(BJ760*BO760*BP760/BK760,"")</f>
        <v/>
      </c>
      <c r="BG760" s="105">
        <f>IFERROR(1/BM760/BH760*BQ760,"")</f>
        <v/>
      </c>
      <c r="BH760" s="102">
        <f>MAX((CE760-Driver!$F$200)/(Driver!$G$200-Driver!$F$200)*$BI$1,1)</f>
        <v/>
      </c>
      <c r="BI760" s="102">
        <f>MAX($BI$1*(BY760-Driver!$F$201)/(Driver!$G$201-Driver!$F$201),1)</f>
        <v/>
      </c>
      <c r="BJ760" s="102">
        <f>(CB760-Driver!$F$206)/(Driver!$G$206-Driver!$F$206)*$BI$1</f>
        <v/>
      </c>
      <c r="BK760" s="102">
        <f>(CD760-Driver!$F$203)/(Driver!$G$203-Driver!$F$203)*$BI$1</f>
        <v/>
      </c>
      <c r="BL760" s="102">
        <f>MAX((CR760-Driver!$F$202)/(Driver!$G$202-Driver!$F$202)*$BI$1,1)</f>
        <v/>
      </c>
      <c r="BM760" s="102">
        <f>MAX((CH760-Driver!$F$204)/(Driver!$G$204-Driver!$F$204)*$BI$1,1)</f>
        <v/>
      </c>
      <c r="BN760" s="102">
        <f>(CI760-Driver!$F$205)/(Driver!$G$205-Driver!$F$205)*$BI$1</f>
        <v/>
      </c>
      <c r="BO760" s="102">
        <f>(CK760-Driver!$F$207)/(Driver!$G$207-Driver!$F$207)*$BI$1</f>
        <v/>
      </c>
      <c r="BP760" s="102">
        <f>(CM760-Driver!$F$208)/(Driver!$G$208-Driver!$F$208)*$BI$1</f>
        <v/>
      </c>
      <c r="BQ760" s="102">
        <f>(CL760-Driver!$F$209)/(Driver!$G$209-Driver!$F$209)*$BI$1</f>
        <v/>
      </c>
      <c r="BR760" s="40" t="inlineStr">
        <is>
          <t>21/22</t>
        </is>
      </c>
      <c r="BS760" s="10" t="inlineStr">
        <is>
          <t xml:space="preserve"> Völkl</t>
        </is>
      </c>
      <c r="BT760" s="11" t="inlineStr">
        <is>
          <t>Revolt 104</t>
        </is>
      </c>
      <c r="BU760" s="13" t="n">
        <v>188</v>
      </c>
      <c r="BV760" s="11" t="inlineStr">
        <is>
          <t xml:space="preserve"> Unisex</t>
        </is>
      </c>
      <c r="BW760" s="13" t="n">
        <v>188</v>
      </c>
      <c r="BX760" s="13" t="n">
        <v>186.7</v>
      </c>
      <c r="BY760" s="13" t="n">
        <v>106</v>
      </c>
      <c r="BZ760" s="13" t="n">
        <v>148</v>
      </c>
      <c r="CA760" s="13" t="n">
        <v>131</v>
      </c>
      <c r="CB760" s="13" t="n">
        <v>103</v>
      </c>
      <c r="CC760" s="13" t="n">
        <v>120</v>
      </c>
      <c r="CD760" s="13" t="n">
        <v>22.6</v>
      </c>
      <c r="CE760" s="13" t="n">
        <v>2095</v>
      </c>
      <c r="CF760" s="13" t="n">
        <v>1</v>
      </c>
      <c r="CG760" s="13" t="n">
        <v>2094</v>
      </c>
      <c r="CH760" s="13" t="n">
        <v>182</v>
      </c>
      <c r="CI760" s="13" t="n">
        <v>88</v>
      </c>
      <c r="CJ760" s="13" t="n">
        <v>57</v>
      </c>
      <c r="CK760" s="13" t="n">
        <v>399</v>
      </c>
      <c r="CL760" s="13" t="n">
        <v>41</v>
      </c>
      <c r="CM760" s="13" t="n">
        <v>406</v>
      </c>
      <c r="CN760" s="13" t="n">
        <v>0.721</v>
      </c>
      <c r="CO760" s="13" t="n">
        <v>194</v>
      </c>
      <c r="CP760" s="13" t="n">
        <v>193</v>
      </c>
      <c r="CQ760" s="13" t="n">
        <v>205</v>
      </c>
      <c r="CR760" s="13" t="n">
        <v>5</v>
      </c>
      <c r="CS760" s="13" t="n">
        <v>2.5</v>
      </c>
      <c r="CT760" s="11" t="inlineStr">
        <is>
          <t xml:space="preserve"> Resort Freeride</t>
        </is>
      </c>
      <c r="CU760" s="11" t="inlineStr">
        <is>
          <t xml:space="preserve"> Powder</t>
        </is>
      </c>
      <c r="CV760" s="13" t="n"/>
      <c r="CW760" s="13" t="n"/>
      <c r="CX760">
        <f>INDEX('Data_Price '!AG$2:AG$1266,MATCH(Data!$DN760,'Data_Price '!$AT$2:$AT$1266,0))</f>
        <v/>
      </c>
      <c r="CY760">
        <f>INDEX('Data_Price '!AH$2:AH$1266,MATCH(Data!$DN760,'Data_Price '!$AT$2:$AT$1266,0))</f>
        <v/>
      </c>
      <c r="CZ760">
        <f>INDEX('Data_Price '!AI$2:AI$1266,MATCH(Data!$DN760,'Data_Price '!$AT$2:$AT$1266,0))</f>
        <v/>
      </c>
      <c r="DA760">
        <f>INDEX('Data_Price '!AJ$2:AJ$1266,MATCH(Data!$DN760,'Data_Price '!$AT$2:$AT$1266,0))</f>
        <v/>
      </c>
      <c r="DB760">
        <f>INDEX('Data_Price '!AK$2:AK$1266,MATCH(Data!$DN760,'Data_Price '!$AT$2:$AT$1266,0))</f>
        <v/>
      </c>
      <c r="DC760">
        <f>INDEX('Data_Price '!AL$2:AL$1266,MATCH(Data!$DN760,'Data_Price '!$AT$2:$AT$1266,0))</f>
        <v/>
      </c>
      <c r="DD760">
        <f>INDEX('Data_Price '!AM$2:AM$1266,MATCH(Data!$DN760,'Data_Price '!$AT$2:$AT$1266,0))</f>
        <v/>
      </c>
      <c r="DE760">
        <f>INDEX('Data_Price '!AN$2:AN$1266,MATCH(Data!$DN760,'Data_Price '!$AT$2:$AT$1266,0))</f>
        <v/>
      </c>
      <c r="DF760">
        <f>INDEX('Data_Price '!AO$2:AO$1266,MATCH(Data!$DN760,'Data_Price '!$AT$2:$AT$1266,0))</f>
        <v/>
      </c>
      <c r="DG760">
        <f>INDEX('Data_Price '!AP$2:AP$1266,MATCH(Data!$DN760,'Data_Price '!$AT$2:$AT$1266,0))</f>
        <v/>
      </c>
      <c r="DH760">
        <f>INDEX('Data_Price '!AQ$2:AQ$1266,MATCH(Data!$DN760,'Data_Price '!$AT$2:$AT$1266,0))</f>
        <v/>
      </c>
      <c r="DI760">
        <f>INDEX('Data_Price '!AR$2:AR$1266,MATCH(Data!$DN760,'Data_Price '!$AT$2:$AT$1266,0))</f>
        <v/>
      </c>
      <c r="DJ760" s="138">
        <f>DA760</f>
        <v/>
      </c>
      <c r="DK760" s="138">
        <f>DE760</f>
        <v/>
      </c>
      <c r="DL760" s="138">
        <f>DI760</f>
        <v/>
      </c>
      <c r="DM760" s="303">
        <f>IF(LEFT(BT760,1)=" ",RIGHT(BT760,LEN(BT760)-1),BT760)</f>
        <v/>
      </c>
      <c r="DN760" s="138">
        <f>_xlfn.CONCAT(BS760,DM760,BU760,BV760)</f>
        <v/>
      </c>
      <c r="DO760" s="307" t="inlineStr">
        <is>
          <t>https://images.evo.com/imgp/250/183428/726981/volkl-revolt-104-skis-2022-.jpg</t>
        </is>
      </c>
    </row>
    <row r="761" ht="15.6" customHeight="1" s="184">
      <c r="B761" s="303">
        <f t="array" ref="B761">IF(OR(ISERROR(K761:P761)),FALSE,TRUE)</f>
        <v/>
      </c>
      <c r="C761" s="60">
        <f>OR(BR761=Driver!$G$50,Data!BR562=Driver!$H$50)</f>
        <v/>
      </c>
      <c r="D761" s="60">
        <f>OR(BV761=Driver!$G$51,BV761=Driver!$H$51)</f>
        <v/>
      </c>
      <c r="E761" s="60">
        <f>AND(BX761&gt;Driver!$F$54,BX761&lt;Driver!$G$54)</f>
        <v/>
      </c>
      <c r="F761" s="60">
        <f>CL761&gt;Driver!$F$56</f>
        <v/>
      </c>
      <c r="G761" s="60">
        <f>AND(CB761&gt;Driver!$F$55,CB761&lt;Driver!$G$55)</f>
        <v/>
      </c>
      <c r="H761" s="60">
        <f>AND(B761:G761)</f>
        <v/>
      </c>
      <c r="I761" s="60">
        <f>COUNTIFS($H$9:$H$1273,TRUE,$BT$9:$BT$1273,BT761)</f>
        <v/>
      </c>
      <c r="J761" s="60">
        <f t="array" ref="J761">NOT(OR(($H$9:$H$1273=TRUE)*($I$9:$I$1273&gt;0)*($BT$9:$BT$1273=BT761)*($K$9:$K$1273&gt;K761)))</f>
        <v/>
      </c>
      <c r="K761" s="108">
        <f>IFERROR(1-AVERAGE(X761:Y761),"")</f>
        <v/>
      </c>
      <c r="L761" s="108">
        <f>1-X761</f>
        <v/>
      </c>
      <c r="M761" s="108">
        <f>1-Y761</f>
        <v/>
      </c>
      <c r="N761" s="108">
        <f>1-Z761</f>
        <v/>
      </c>
      <c r="O761" s="108">
        <f>1-AA761</f>
        <v/>
      </c>
      <c r="P761" s="108">
        <f>1-AB761</f>
        <v/>
      </c>
      <c r="Q761" s="108" t="n"/>
      <c r="R761" s="108" t="n"/>
      <c r="S761" s="108">
        <f>1-AE761</f>
        <v/>
      </c>
      <c r="T761" s="108">
        <f>1-AF761</f>
        <v/>
      </c>
      <c r="U761" s="108">
        <f>1-AG761</f>
        <v/>
      </c>
      <c r="V761" s="108">
        <f>1-AH761</f>
        <v/>
      </c>
      <c r="W761" s="108">
        <f>1-AI761</f>
        <v/>
      </c>
      <c r="X761" s="108">
        <f>ABS(AJ761-AJ$1)</f>
        <v/>
      </c>
      <c r="Y761" s="108">
        <f>AVERAGE(Z761:AB761)</f>
        <v/>
      </c>
      <c r="Z761" s="108">
        <f>ABS(AL761-AL$1)</f>
        <v/>
      </c>
      <c r="AA761" s="108">
        <f>ABS(AM761-AM$1)</f>
        <v/>
      </c>
      <c r="AB761" s="108">
        <f>ABS(AN761-AN$1)</f>
        <v/>
      </c>
      <c r="AC761" s="108" t="n"/>
      <c r="AD761" s="108" t="n"/>
      <c r="AE761" s="108">
        <f>ABS(AQ$1-AQ761)</f>
        <v/>
      </c>
      <c r="AF761" s="108">
        <f>ABS(AR$1-AR761)</f>
        <v/>
      </c>
      <c r="AG761" s="108">
        <f>ABS(AS$1-AS761)</f>
        <v/>
      </c>
      <c r="AH761" s="108">
        <f>ABS(AT$1-AT761)</f>
        <v/>
      </c>
      <c r="AI761" s="108">
        <f>ABS(AU$1-AU761)</f>
        <v/>
      </c>
      <c r="AJ761" s="108">
        <f>(AV761-Driver!$K$179)/(Driver!$L$179-Driver!$K$179)</f>
        <v/>
      </c>
      <c r="AK761" s="108">
        <f>(AW761-Driver!$K$180)/(Driver!$L$180-Driver!$K$180)</f>
        <v/>
      </c>
      <c r="AL761" s="108">
        <f>(AX761-Driver!$K$181)/(Driver!$L$181-Driver!$K$181)</f>
        <v/>
      </c>
      <c r="AM761" s="108">
        <f>(AY761-Driver!$K$182)/(Driver!$L$182-Driver!$K$182)</f>
        <v/>
      </c>
      <c r="AN761" s="108">
        <f>(AZ761-Driver!$K$183)/(Driver!$L$183-Driver!$K$183)</f>
        <v/>
      </c>
      <c r="AO761" s="108" t="n"/>
      <c r="AP761" s="108" t="n"/>
      <c r="AQ761" s="108">
        <f>(BC761-Driver!$K$188)/(Driver!$L$188-Driver!$K$188)</f>
        <v/>
      </c>
      <c r="AR761" s="108">
        <f>MIN((BD761-Driver!$K$189)/(Driver!$L$189-Driver!$K$189),100%)</f>
        <v/>
      </c>
      <c r="AS761" s="108">
        <f>(BE761-Driver!$K$190)/(Driver!$L$190-Driver!$K$190)</f>
        <v/>
      </c>
      <c r="AT761" s="108">
        <f>(BF761-Driver!$K$191)/(Driver!$L$191-Driver!$K$191)</f>
        <v/>
      </c>
      <c r="AU761" s="108">
        <f>(BG761-Driver!$K$192)/(Driver!$L$192-Driver!$K$192)</f>
        <v/>
      </c>
      <c r="AV761" s="105">
        <f>IFERROR(BM761*BJ761^1/4,"")</f>
        <v/>
      </c>
      <c r="AW761" s="105">
        <f>IFERROR(SUM(AX761:AZ761),"")</f>
        <v/>
      </c>
      <c r="AX761" s="105">
        <f>IFERROR(BH761,"")</f>
        <v/>
      </c>
      <c r="AY761" s="105">
        <f>IFERROR(Driver!$K$19/Data!BH761/Data!BI761*Data!BK761*Data!BL761,"")</f>
        <v/>
      </c>
      <c r="AZ761" s="105">
        <f>IFERROR(BI761*BN761,"")</f>
        <v/>
      </c>
      <c r="BA761" s="105" t="n"/>
      <c r="BB761" s="105" t="n"/>
      <c r="BC761" s="105">
        <f>IFERROR(BI761*BN761*BK761/BJ761^(1/2),"")</f>
        <v/>
      </c>
      <c r="BD761" s="105">
        <f>IFERROR(BH761*BM761*BL761/BJ761/BK761,"")</f>
        <v/>
      </c>
      <c r="BE761" s="105">
        <f>IFERROR(MIN(BI761/BQ761/BP761/BO761/BH761,$BE$1),"")</f>
        <v/>
      </c>
      <c r="BF761" s="105">
        <f>IFERROR(BJ761*BO761*BP761/BK761,"")</f>
        <v/>
      </c>
      <c r="BG761" s="105">
        <f>IFERROR(1/BM761/BH761*BQ761,"")</f>
        <v/>
      </c>
      <c r="BH761" s="102">
        <f>MAX((CE761-Driver!$F$200)/(Driver!$G$200-Driver!$F$200)*$BI$1,1)</f>
        <v/>
      </c>
      <c r="BI761" s="102">
        <f>MAX($BI$1*(BY761-Driver!$F$201)/(Driver!$G$201-Driver!$F$201),1)</f>
        <v/>
      </c>
      <c r="BJ761" s="102">
        <f>(CB761-Driver!$F$206)/(Driver!$G$206-Driver!$F$206)*$BI$1</f>
        <v/>
      </c>
      <c r="BK761" s="102">
        <f>(CD761-Driver!$F$203)/(Driver!$G$203-Driver!$F$203)*$BI$1</f>
        <v/>
      </c>
      <c r="BL761" s="102">
        <f>MAX((CR761-Driver!$F$202)/(Driver!$G$202-Driver!$F$202)*$BI$1,1)</f>
        <v/>
      </c>
      <c r="BM761" s="102">
        <f>MAX((CH761-Driver!$F$204)/(Driver!$G$204-Driver!$F$204)*$BI$1,1)</f>
        <v/>
      </c>
      <c r="BN761" s="102">
        <f>(CI761-Driver!$F$205)/(Driver!$G$205-Driver!$F$205)*$BI$1</f>
        <v/>
      </c>
      <c r="BO761" s="102">
        <f>(CK761-Driver!$F$207)/(Driver!$G$207-Driver!$F$207)*$BI$1</f>
        <v/>
      </c>
      <c r="BP761" s="102">
        <f>(CM761-Driver!$F$208)/(Driver!$G$208-Driver!$F$208)*$BI$1</f>
        <v/>
      </c>
      <c r="BQ761" s="102">
        <f>(CL761-Driver!$F$209)/(Driver!$G$209-Driver!$F$209)*$BI$1</f>
        <v/>
      </c>
      <c r="BR761" s="40" t="inlineStr">
        <is>
          <t>21/22</t>
        </is>
      </c>
      <c r="BS761" s="10" t="inlineStr">
        <is>
          <t xml:space="preserve"> Fischer</t>
        </is>
      </c>
      <c r="BT761" s="11" t="inlineStr">
        <is>
          <t>Ranger 102 FR</t>
        </is>
      </c>
      <c r="BU761" s="13" t="n">
        <v>191</v>
      </c>
      <c r="BV761" s="11" t="inlineStr">
        <is>
          <t xml:space="preserve"> Unisex</t>
        </is>
      </c>
      <c r="BW761" s="13" t="n">
        <v>191</v>
      </c>
      <c r="BX761" s="13" t="n">
        <v>190.7</v>
      </c>
      <c r="BY761" s="13" t="n">
        <v>132</v>
      </c>
      <c r="BZ761" s="13" t="n">
        <v>157</v>
      </c>
      <c r="CA761" s="13" t="n">
        <v>137</v>
      </c>
      <c r="CB761" s="13" t="n">
        <v>103</v>
      </c>
      <c r="CC761" s="13" t="n">
        <v>127</v>
      </c>
      <c r="CD761" s="13" t="n">
        <v>17.7</v>
      </c>
      <c r="CE761" s="13" t="n">
        <v>2039</v>
      </c>
      <c r="CF761" s="13" t="n">
        <v>1.08</v>
      </c>
      <c r="CG761" s="13" t="n">
        <v>2209</v>
      </c>
      <c r="CH761" s="13" t="n">
        <v>251</v>
      </c>
      <c r="CI761" s="13" t="n">
        <v>121</v>
      </c>
      <c r="CJ761" s="13" t="n">
        <v>50</v>
      </c>
      <c r="CK761" s="13" t="n">
        <v>379</v>
      </c>
      <c r="CL761" s="13" t="n">
        <v>28</v>
      </c>
      <c r="CM761" s="13" t="n">
        <v>212</v>
      </c>
      <c r="CN761" s="13" t="n">
        <v>0.552</v>
      </c>
      <c r="CO761" s="13" t="n">
        <v>174</v>
      </c>
      <c r="CP761" s="13" t="n">
        <v>163</v>
      </c>
      <c r="CQ761" s="13" t="n">
        <v>204</v>
      </c>
      <c r="CR761" s="13" t="n">
        <v>6</v>
      </c>
      <c r="CS761" s="13" t="n">
        <v>10.6</v>
      </c>
      <c r="CT761" s="11" t="inlineStr">
        <is>
          <t xml:space="preserve"> Resort Freeride</t>
        </is>
      </c>
      <c r="CU761" s="11" t="inlineStr">
        <is>
          <t xml:space="preserve"> Powder</t>
        </is>
      </c>
      <c r="CV761" s="11" t="inlineStr">
        <is>
          <t xml:space="preserve"> Touring</t>
        </is>
      </c>
      <c r="CW761" s="13" t="n"/>
      <c r="CX761">
        <f>INDEX('Data_Price '!AG$2:AG$1266,MATCH(Data!$DN761,'Data_Price '!$AT$2:$AT$1266,0))</f>
        <v/>
      </c>
      <c r="CY761">
        <f>INDEX('Data_Price '!AH$2:AH$1266,MATCH(Data!$DN761,'Data_Price '!$AT$2:$AT$1266,0))</f>
        <v/>
      </c>
      <c r="CZ761">
        <f>INDEX('Data_Price '!AI$2:AI$1266,MATCH(Data!$DN761,'Data_Price '!$AT$2:$AT$1266,0))</f>
        <v/>
      </c>
      <c r="DA761">
        <f>INDEX('Data_Price '!AJ$2:AJ$1266,MATCH(Data!$DN761,'Data_Price '!$AT$2:$AT$1266,0))</f>
        <v/>
      </c>
      <c r="DB761">
        <f>INDEX('Data_Price '!AK$2:AK$1266,MATCH(Data!$DN761,'Data_Price '!$AT$2:$AT$1266,0))</f>
        <v/>
      </c>
      <c r="DC761">
        <f>INDEX('Data_Price '!AL$2:AL$1266,MATCH(Data!$DN761,'Data_Price '!$AT$2:$AT$1266,0))</f>
        <v/>
      </c>
      <c r="DD761">
        <f>INDEX('Data_Price '!AM$2:AM$1266,MATCH(Data!$DN761,'Data_Price '!$AT$2:$AT$1266,0))</f>
        <v/>
      </c>
      <c r="DE761">
        <f>INDEX('Data_Price '!AN$2:AN$1266,MATCH(Data!$DN761,'Data_Price '!$AT$2:$AT$1266,0))</f>
        <v/>
      </c>
      <c r="DF761">
        <f>INDEX('Data_Price '!AO$2:AO$1266,MATCH(Data!$DN761,'Data_Price '!$AT$2:$AT$1266,0))</f>
        <v/>
      </c>
      <c r="DG761">
        <f>INDEX('Data_Price '!AP$2:AP$1266,MATCH(Data!$DN761,'Data_Price '!$AT$2:$AT$1266,0))</f>
        <v/>
      </c>
      <c r="DH761">
        <f>INDEX('Data_Price '!AQ$2:AQ$1266,MATCH(Data!$DN761,'Data_Price '!$AT$2:$AT$1266,0))</f>
        <v/>
      </c>
      <c r="DI761">
        <f>INDEX('Data_Price '!AR$2:AR$1266,MATCH(Data!$DN761,'Data_Price '!$AT$2:$AT$1266,0))</f>
        <v/>
      </c>
      <c r="DJ761" s="138">
        <f>DA761</f>
        <v/>
      </c>
      <c r="DK761" s="138">
        <f>DE761</f>
        <v/>
      </c>
      <c r="DL761" s="138">
        <f>DI761</f>
        <v/>
      </c>
      <c r="DM761" s="303">
        <f>IF(LEFT(BT761,1)=" ",RIGHT(BT761,LEN(BT761)-1),BT761)</f>
        <v/>
      </c>
      <c r="DN761" s="138">
        <f>_xlfn.CONCAT(BS761,DM761,BU761,BV761)</f>
        <v/>
      </c>
      <c r="DO761" s="307" t="inlineStr">
        <is>
          <t>https://images.evo.com/imgp/250/209031/846558/fischer-ranger-102-fr-skis-2022-.jpg</t>
        </is>
      </c>
    </row>
    <row r="762" ht="15.6" customHeight="1" s="184">
      <c r="B762" s="303">
        <f t="array" ref="B762">IF(OR(ISERROR(K762:P762)),FALSE,TRUE)</f>
        <v/>
      </c>
      <c r="C762" s="60">
        <f>OR(BR762=Driver!$G$50,Data!BR770=Driver!$H$50)</f>
        <v/>
      </c>
      <c r="D762" s="60">
        <f>OR(BV762=Driver!$G$51,BV762=Driver!$H$51)</f>
        <v/>
      </c>
      <c r="E762" s="60">
        <f>AND(BX762&gt;Driver!$F$54,BX762&lt;Driver!$G$54)</f>
        <v/>
      </c>
      <c r="F762" s="60">
        <f>CL762&gt;Driver!$F$56</f>
        <v/>
      </c>
      <c r="G762" s="60">
        <f>AND(CB762&gt;Driver!$F$55,CB762&lt;Driver!$G$55)</f>
        <v/>
      </c>
      <c r="H762" s="60">
        <f>AND(B762:G762)</f>
        <v/>
      </c>
      <c r="I762" s="60">
        <f>COUNTIFS($H$9:$H$1273,TRUE,$BT$9:$BT$1273,BT762)</f>
        <v/>
      </c>
      <c r="J762" s="60">
        <f t="array" ref="J762">NOT(OR(($H$9:$H$1273=TRUE)*($I$9:$I$1273&gt;0)*($BT$9:$BT$1273=BT762)*($K$9:$K$1273&gt;K762)))</f>
        <v/>
      </c>
      <c r="K762" s="108">
        <f>IFERROR(1-AVERAGE(X762:Y762),"")</f>
        <v/>
      </c>
      <c r="L762" s="108">
        <f>1-X762</f>
        <v/>
      </c>
      <c r="M762" s="108">
        <f>1-Y762</f>
        <v/>
      </c>
      <c r="N762" s="108">
        <f>1-Z762</f>
        <v/>
      </c>
      <c r="O762" s="108">
        <f>1-AA762</f>
        <v/>
      </c>
      <c r="P762" s="108">
        <f>1-AB762</f>
        <v/>
      </c>
      <c r="Q762" s="108" t="n"/>
      <c r="R762" s="108" t="n"/>
      <c r="S762" s="108">
        <f>1-AE762</f>
        <v/>
      </c>
      <c r="T762" s="108">
        <f>1-AF762</f>
        <v/>
      </c>
      <c r="U762" s="108">
        <f>1-AG762</f>
        <v/>
      </c>
      <c r="V762" s="108">
        <f>1-AH762</f>
        <v/>
      </c>
      <c r="W762" s="108">
        <f>1-AI762</f>
        <v/>
      </c>
      <c r="X762" s="108">
        <f>ABS(AJ762-AJ$1)</f>
        <v/>
      </c>
      <c r="Y762" s="108">
        <f>AVERAGE(Z762:AB762)</f>
        <v/>
      </c>
      <c r="Z762" s="108">
        <f>ABS(AL762-AL$1)</f>
        <v/>
      </c>
      <c r="AA762" s="108">
        <f>ABS(AM762-AM$1)</f>
        <v/>
      </c>
      <c r="AB762" s="108">
        <f>ABS(AN762-AN$1)</f>
        <v/>
      </c>
      <c r="AC762" s="108" t="n"/>
      <c r="AD762" s="108" t="n"/>
      <c r="AE762" s="108">
        <f>ABS(AQ$1-AQ762)</f>
        <v/>
      </c>
      <c r="AF762" s="108">
        <f>ABS(AR$1-AR762)</f>
        <v/>
      </c>
      <c r="AG762" s="108">
        <f>ABS(AS$1-AS762)</f>
        <v/>
      </c>
      <c r="AH762" s="108">
        <f>ABS(AT$1-AT762)</f>
        <v/>
      </c>
      <c r="AI762" s="108">
        <f>ABS(AU$1-AU762)</f>
        <v/>
      </c>
      <c r="AJ762" s="108">
        <f>(AV762-Driver!$K$179)/(Driver!$L$179-Driver!$K$179)</f>
        <v/>
      </c>
      <c r="AK762" s="108">
        <f>(AW762-Driver!$K$180)/(Driver!$L$180-Driver!$K$180)</f>
        <v/>
      </c>
      <c r="AL762" s="108">
        <f>(AX762-Driver!$K$181)/(Driver!$L$181-Driver!$K$181)</f>
        <v/>
      </c>
      <c r="AM762" s="108">
        <f>(AY762-Driver!$K$182)/(Driver!$L$182-Driver!$K$182)</f>
        <v/>
      </c>
      <c r="AN762" s="108">
        <f>(AZ762-Driver!$K$183)/(Driver!$L$183-Driver!$K$183)</f>
        <v/>
      </c>
      <c r="AO762" s="108" t="n"/>
      <c r="AP762" s="108" t="n"/>
      <c r="AQ762" s="108">
        <f>(BC762-Driver!$K$188)/(Driver!$L$188-Driver!$K$188)</f>
        <v/>
      </c>
      <c r="AR762" s="108">
        <f>MIN((BD762-Driver!$K$189)/(Driver!$L$189-Driver!$K$189),100%)</f>
        <v/>
      </c>
      <c r="AS762" s="108">
        <f>(BE762-Driver!$K$190)/(Driver!$L$190-Driver!$K$190)</f>
        <v/>
      </c>
      <c r="AT762" s="108">
        <f>(BF762-Driver!$K$191)/(Driver!$L$191-Driver!$K$191)</f>
        <v/>
      </c>
      <c r="AU762" s="108">
        <f>(BG762-Driver!$K$192)/(Driver!$L$192-Driver!$K$192)</f>
        <v/>
      </c>
      <c r="AV762" s="105">
        <f>IFERROR(BM762*BJ762^1/4,"")</f>
        <v/>
      </c>
      <c r="AW762" s="105">
        <f>IFERROR(SUM(AX762:AZ762),"")</f>
        <v/>
      </c>
      <c r="AX762" s="105">
        <f>IFERROR(BH762,"")</f>
        <v/>
      </c>
      <c r="AY762" s="105">
        <f>IFERROR(Driver!$K$19/Data!BH762/Data!BI762*Data!BK762*Data!BL762,"")</f>
        <v/>
      </c>
      <c r="AZ762" s="105">
        <f>IFERROR(BI762*BN762,"")</f>
        <v/>
      </c>
      <c r="BA762" s="105" t="n"/>
      <c r="BB762" s="105" t="n"/>
      <c r="BC762" s="105">
        <f>IFERROR(BI762*BN762*BK762/BJ762^(1/2),"")</f>
        <v/>
      </c>
      <c r="BD762" s="105">
        <f>IFERROR(BH762*BM762*BL762/BJ762/BK762,"")</f>
        <v/>
      </c>
      <c r="BE762" s="105">
        <f>IFERROR(MIN(BI762/BQ762/BP762/BO762/BH762,$BE$1),"")</f>
        <v/>
      </c>
      <c r="BF762" s="105">
        <f>IFERROR(BJ762*BO762*BP762/BK762,"")</f>
        <v/>
      </c>
      <c r="BG762" s="105">
        <f>IFERROR(1/BM762/BH762*BQ762,"")</f>
        <v/>
      </c>
      <c r="BH762" s="102">
        <f>MAX((CE762-Driver!$F$200)/(Driver!$G$200-Driver!$F$200)*$BI$1,1)</f>
        <v/>
      </c>
      <c r="BI762" s="102">
        <f>MAX($BI$1*(BY762-Driver!$F$201)/(Driver!$G$201-Driver!$F$201),1)</f>
        <v/>
      </c>
      <c r="BJ762" s="102">
        <f>(CB762-Driver!$F$206)/(Driver!$G$206-Driver!$F$206)*$BI$1</f>
        <v/>
      </c>
      <c r="BK762" s="102">
        <f>(CD762-Driver!$F$203)/(Driver!$G$203-Driver!$F$203)*$BI$1</f>
        <v/>
      </c>
      <c r="BL762" s="102">
        <f>MAX((CR762-Driver!$F$202)/(Driver!$G$202-Driver!$F$202)*$BI$1,1)</f>
        <v/>
      </c>
      <c r="BM762" s="102">
        <f>MAX((CH762-Driver!$F$204)/(Driver!$G$204-Driver!$F$204)*$BI$1,1)</f>
        <v/>
      </c>
      <c r="BN762" s="102">
        <f>(CI762-Driver!$F$205)/(Driver!$G$205-Driver!$F$205)*$BI$1</f>
        <v/>
      </c>
      <c r="BO762" s="102">
        <f>(CK762-Driver!$F$207)/(Driver!$G$207-Driver!$F$207)*$BI$1</f>
        <v/>
      </c>
      <c r="BP762" s="102">
        <f>(CM762-Driver!$F$208)/(Driver!$G$208-Driver!$F$208)*$BI$1</f>
        <v/>
      </c>
      <c r="BQ762" s="102">
        <f>(CL762-Driver!$F$209)/(Driver!$G$209-Driver!$F$209)*$BI$1</f>
        <v/>
      </c>
      <c r="BR762" s="40" t="inlineStr">
        <is>
          <t>21/22</t>
        </is>
      </c>
      <c r="BS762" s="10" t="inlineStr">
        <is>
          <t xml:space="preserve"> K2</t>
        </is>
      </c>
      <c r="BT762" s="11" t="inlineStr">
        <is>
          <t>Reckoner 122</t>
        </is>
      </c>
      <c r="BU762" s="13" t="n">
        <v>191</v>
      </c>
      <c r="BV762" s="11" t="inlineStr">
        <is>
          <t xml:space="preserve"> Unisex</t>
        </is>
      </c>
      <c r="BW762" s="13" t="n">
        <v>191</v>
      </c>
      <c r="BX762" s="13" t="n">
        <v>191.1</v>
      </c>
      <c r="BY762" s="13" t="n">
        <v>106</v>
      </c>
      <c r="BZ762" s="13" t="n">
        <v>145</v>
      </c>
      <c r="CA762" s="13" t="n">
        <v>144</v>
      </c>
      <c r="CB762" s="13" t="n">
        <v>122</v>
      </c>
      <c r="CC762" s="13" t="n">
        <v>135</v>
      </c>
      <c r="CD762" s="13" t="n">
        <v>26.6</v>
      </c>
      <c r="CE762" s="13" t="n">
        <v>2123</v>
      </c>
      <c r="CF762" s="13" t="n">
        <v>1.15</v>
      </c>
      <c r="CG762" s="13" t="n">
        <v>2445</v>
      </c>
      <c r="CH762" s="13" t="n">
        <v>217</v>
      </c>
      <c r="CI762" s="13" t="n">
        <v>115</v>
      </c>
      <c r="CJ762" s="13" t="n">
        <v>67</v>
      </c>
      <c r="CK762" s="13" t="n">
        <v>443</v>
      </c>
      <c r="CL762" s="13" t="n">
        <v>56</v>
      </c>
      <c r="CM762" s="13" t="n">
        <v>411</v>
      </c>
      <c r="CN762" s="13" t="n">
        <v>0.841</v>
      </c>
      <c r="CO762" s="13" t="n">
        <v>226</v>
      </c>
      <c r="CP762" s="13" t="n">
        <v>234</v>
      </c>
      <c r="CQ762" s="13" t="n">
        <v>217</v>
      </c>
      <c r="CR762" s="13" t="n">
        <v>4</v>
      </c>
      <c r="CS762" s="13" t="n">
        <v>5.5</v>
      </c>
      <c r="CT762" s="11" t="inlineStr">
        <is>
          <t xml:space="preserve"> Freeski</t>
        </is>
      </c>
      <c r="CU762" s="11" t="inlineStr">
        <is>
          <t xml:space="preserve"> Powder</t>
        </is>
      </c>
      <c r="CV762" s="11" t="inlineStr">
        <is>
          <t xml:space="preserve"> Touring</t>
        </is>
      </c>
      <c r="CW762" s="13" t="n"/>
      <c r="CX762">
        <f>INDEX('Data_Price '!AG$2:AG$1266,MATCH(Data!$DN762,'Data_Price '!$AT$2:$AT$1266,0))</f>
        <v/>
      </c>
      <c r="CY762">
        <f>INDEX('Data_Price '!AH$2:AH$1266,MATCH(Data!$DN762,'Data_Price '!$AT$2:$AT$1266,0))</f>
        <v/>
      </c>
      <c r="CZ762">
        <f>INDEX('Data_Price '!AI$2:AI$1266,MATCH(Data!$DN762,'Data_Price '!$AT$2:$AT$1266,0))</f>
        <v/>
      </c>
      <c r="DA762">
        <f>INDEX('Data_Price '!AJ$2:AJ$1266,MATCH(Data!$DN762,'Data_Price '!$AT$2:$AT$1266,0))</f>
        <v/>
      </c>
      <c r="DB762">
        <f>INDEX('Data_Price '!AK$2:AK$1266,MATCH(Data!$DN762,'Data_Price '!$AT$2:$AT$1266,0))</f>
        <v/>
      </c>
      <c r="DC762">
        <f>INDEX('Data_Price '!AL$2:AL$1266,MATCH(Data!$DN762,'Data_Price '!$AT$2:$AT$1266,0))</f>
        <v/>
      </c>
      <c r="DD762">
        <f>INDEX('Data_Price '!AM$2:AM$1266,MATCH(Data!$DN762,'Data_Price '!$AT$2:$AT$1266,0))</f>
        <v/>
      </c>
      <c r="DE762">
        <f>INDEX('Data_Price '!AN$2:AN$1266,MATCH(Data!$DN762,'Data_Price '!$AT$2:$AT$1266,0))</f>
        <v/>
      </c>
      <c r="DF762">
        <f>INDEX('Data_Price '!AO$2:AO$1266,MATCH(Data!$DN762,'Data_Price '!$AT$2:$AT$1266,0))</f>
        <v/>
      </c>
      <c r="DG762">
        <f>INDEX('Data_Price '!AP$2:AP$1266,MATCH(Data!$DN762,'Data_Price '!$AT$2:$AT$1266,0))</f>
        <v/>
      </c>
      <c r="DH762">
        <f>INDEX('Data_Price '!AQ$2:AQ$1266,MATCH(Data!$DN762,'Data_Price '!$AT$2:$AT$1266,0))</f>
        <v/>
      </c>
      <c r="DI762">
        <f>INDEX('Data_Price '!AR$2:AR$1266,MATCH(Data!$DN762,'Data_Price '!$AT$2:$AT$1266,0))</f>
        <v/>
      </c>
      <c r="DJ762" s="138">
        <f>DA762</f>
        <v/>
      </c>
      <c r="DK762" s="138">
        <f>DE762</f>
        <v/>
      </c>
      <c r="DL762" s="138">
        <f>DI762</f>
        <v/>
      </c>
      <c r="DM762" s="303">
        <f>IF(LEFT(BT762,1)=" ",RIGHT(BT762,LEN(BT762)-1),BT762)</f>
        <v/>
      </c>
      <c r="DN762" s="138">
        <f>_xlfn.CONCAT(BS762,DM762,BU762,BV762)</f>
        <v/>
      </c>
      <c r="DO762" s="307" t="inlineStr">
        <is>
          <t>https://images.evo.com/imgp/250/182106/723849/k2-reckoner-122-skis-2021-.jpg</t>
        </is>
      </c>
    </row>
    <row r="763" ht="15.6" customHeight="1" s="184">
      <c r="B763" s="303">
        <f t="array" ref="B763">IF(OR(ISERROR(K763:P763)),FALSE,TRUE)</f>
        <v/>
      </c>
      <c r="C763" s="60">
        <f>OR(BR763=Driver!$G$50,Data!BR641=Driver!$H$50)</f>
        <v/>
      </c>
      <c r="D763" s="60">
        <f>OR(BV763=Driver!$G$51,BV763=Driver!$H$51)</f>
        <v/>
      </c>
      <c r="E763" s="60">
        <f>AND(BX763&gt;Driver!$F$54,BX763&lt;Driver!$G$54)</f>
        <v/>
      </c>
      <c r="F763" s="60">
        <f>CL763&gt;Driver!$F$56</f>
        <v/>
      </c>
      <c r="G763" s="60">
        <f>AND(CB763&gt;Driver!$F$55,CB763&lt;Driver!$G$55)</f>
        <v/>
      </c>
      <c r="H763" s="60">
        <f>AND(B763:G763)</f>
        <v/>
      </c>
      <c r="I763" s="60">
        <f>COUNTIFS($H$9:$H$1273,TRUE,$BT$9:$BT$1273,BT763)</f>
        <v/>
      </c>
      <c r="J763" s="60">
        <f t="array" ref="J763">NOT(OR(($H$9:$H$1273=TRUE)*($I$9:$I$1273&gt;0)*($BT$9:$BT$1273=BT763)*($K$9:$K$1273&gt;K763)))</f>
        <v/>
      </c>
      <c r="K763" s="108">
        <f>IFERROR(1-AVERAGE(X763:Y763),"")</f>
        <v/>
      </c>
      <c r="L763" s="108">
        <f>1-X763</f>
        <v/>
      </c>
      <c r="M763" s="108">
        <f>1-Y763</f>
        <v/>
      </c>
      <c r="N763" s="108">
        <f>1-Z763</f>
        <v/>
      </c>
      <c r="O763" s="108">
        <f>1-AA763</f>
        <v/>
      </c>
      <c r="P763" s="108">
        <f>1-AB763</f>
        <v/>
      </c>
      <c r="Q763" s="108" t="n"/>
      <c r="R763" s="108" t="n"/>
      <c r="S763" s="108">
        <f>1-AE763</f>
        <v/>
      </c>
      <c r="T763" s="108">
        <f>1-AF763</f>
        <v/>
      </c>
      <c r="U763" s="108">
        <f>1-AG763</f>
        <v/>
      </c>
      <c r="V763" s="108">
        <f>1-AH763</f>
        <v/>
      </c>
      <c r="W763" s="108">
        <f>1-AI763</f>
        <v/>
      </c>
      <c r="X763" s="108">
        <f>ABS(AJ763-AJ$1)</f>
        <v/>
      </c>
      <c r="Y763" s="108">
        <f>AVERAGE(Z763:AB763)</f>
        <v/>
      </c>
      <c r="Z763" s="108">
        <f>ABS(AL763-AL$1)</f>
        <v/>
      </c>
      <c r="AA763" s="108">
        <f>ABS(AM763-AM$1)</f>
        <v/>
      </c>
      <c r="AB763" s="108">
        <f>ABS(AN763-AN$1)</f>
        <v/>
      </c>
      <c r="AC763" s="108" t="n"/>
      <c r="AD763" s="108" t="n"/>
      <c r="AE763" s="108">
        <f>ABS(AQ$1-AQ763)</f>
        <v/>
      </c>
      <c r="AF763" s="108">
        <f>ABS(AR$1-AR763)</f>
        <v/>
      </c>
      <c r="AG763" s="108">
        <f>ABS(AS$1-AS763)</f>
        <v/>
      </c>
      <c r="AH763" s="108">
        <f>ABS(AT$1-AT763)</f>
        <v/>
      </c>
      <c r="AI763" s="108">
        <f>ABS(AU$1-AU763)</f>
        <v/>
      </c>
      <c r="AJ763" s="108">
        <f>(AV763-Driver!$K$179)/(Driver!$L$179-Driver!$K$179)</f>
        <v/>
      </c>
      <c r="AK763" s="108">
        <f>(AW763-Driver!$K$180)/(Driver!$L$180-Driver!$K$180)</f>
        <v/>
      </c>
      <c r="AL763" s="108">
        <f>(AX763-Driver!$K$181)/(Driver!$L$181-Driver!$K$181)</f>
        <v/>
      </c>
      <c r="AM763" s="108">
        <f>(AY763-Driver!$K$182)/(Driver!$L$182-Driver!$K$182)</f>
        <v/>
      </c>
      <c r="AN763" s="108">
        <f>(AZ763-Driver!$K$183)/(Driver!$L$183-Driver!$K$183)</f>
        <v/>
      </c>
      <c r="AO763" s="108" t="n"/>
      <c r="AP763" s="108" t="n"/>
      <c r="AQ763" s="108">
        <f>(BC763-Driver!$K$188)/(Driver!$L$188-Driver!$K$188)</f>
        <v/>
      </c>
      <c r="AR763" s="108">
        <f>MIN((BD763-Driver!$K$189)/(Driver!$L$189-Driver!$K$189),100%)</f>
        <v/>
      </c>
      <c r="AS763" s="108">
        <f>(BE763-Driver!$K$190)/(Driver!$L$190-Driver!$K$190)</f>
        <v/>
      </c>
      <c r="AT763" s="108">
        <f>(BF763-Driver!$K$191)/(Driver!$L$191-Driver!$K$191)</f>
        <v/>
      </c>
      <c r="AU763" s="108">
        <f>(BG763-Driver!$K$192)/(Driver!$L$192-Driver!$K$192)</f>
        <v/>
      </c>
      <c r="AV763" s="105">
        <f>IFERROR(BM763*BJ763^1/4,"")</f>
        <v/>
      </c>
      <c r="AW763" s="105">
        <f>IFERROR(SUM(AX763:AZ763),"")</f>
        <v/>
      </c>
      <c r="AX763" s="105">
        <f>IFERROR(BH763,"")</f>
        <v/>
      </c>
      <c r="AY763" s="105">
        <f>IFERROR(Driver!$K$19/Data!BH763/Data!BI763*Data!BK763*Data!BL763,"")</f>
        <v/>
      </c>
      <c r="AZ763" s="105">
        <f>IFERROR(BI763*BN763,"")</f>
        <v/>
      </c>
      <c r="BA763" s="105" t="n"/>
      <c r="BB763" s="105" t="n"/>
      <c r="BC763" s="105">
        <f>IFERROR(BI763*BN763*BK763/BJ763^(1/2),"")</f>
        <v/>
      </c>
      <c r="BD763" s="105">
        <f>IFERROR(BH763*BM763*BL763/BJ763/BK763,"")</f>
        <v/>
      </c>
      <c r="BE763" s="105">
        <f>IFERROR(MIN(BI763/BQ763/BP763/BO763/BH763,$BE$1),"")</f>
        <v/>
      </c>
      <c r="BF763" s="105">
        <f>IFERROR(BJ763*BO763*BP763/BK763,"")</f>
        <v/>
      </c>
      <c r="BG763" s="105">
        <f>IFERROR(1/BM763/BH763*BQ763,"")</f>
        <v/>
      </c>
      <c r="BH763" s="102">
        <f>MAX((CE763-Driver!$F$200)/(Driver!$G$200-Driver!$F$200)*$BI$1,1)</f>
        <v/>
      </c>
      <c r="BI763" s="102">
        <f>MAX($BI$1*(BY763-Driver!$F$201)/(Driver!$G$201-Driver!$F$201),1)</f>
        <v/>
      </c>
      <c r="BJ763" s="102">
        <f>(CB763-Driver!$F$206)/(Driver!$G$206-Driver!$F$206)*$BI$1</f>
        <v/>
      </c>
      <c r="BK763" s="102">
        <f>(CD763-Driver!$F$203)/(Driver!$G$203-Driver!$F$203)*$BI$1</f>
        <v/>
      </c>
      <c r="BL763" s="102">
        <f>MAX((CR763-Driver!$F$202)/(Driver!$G$202-Driver!$F$202)*$BI$1,1)</f>
        <v/>
      </c>
      <c r="BM763" s="102">
        <f>MAX((CH763-Driver!$F$204)/(Driver!$G$204-Driver!$F$204)*$BI$1,1)</f>
        <v/>
      </c>
      <c r="BN763" s="102">
        <f>(CI763-Driver!$F$205)/(Driver!$G$205-Driver!$F$205)*$BI$1</f>
        <v/>
      </c>
      <c r="BO763" s="102">
        <f>(CK763-Driver!$F$207)/(Driver!$G$207-Driver!$F$207)*$BI$1</f>
        <v/>
      </c>
      <c r="BP763" s="102">
        <f>(CM763-Driver!$F$208)/(Driver!$G$208-Driver!$F$208)*$BI$1</f>
        <v/>
      </c>
      <c r="BQ763" s="102">
        <f>(CL763-Driver!$F$209)/(Driver!$G$209-Driver!$F$209)*$BI$1</f>
        <v/>
      </c>
      <c r="BR763" s="40" t="inlineStr">
        <is>
          <t>21/22</t>
        </is>
      </c>
      <c r="BS763" s="10" t="inlineStr">
        <is>
          <t xml:space="preserve"> Head</t>
        </is>
      </c>
      <c r="BT763" s="11" t="inlineStr">
        <is>
          <t xml:space="preserve"> Pure Joy</t>
        </is>
      </c>
      <c r="BU763" s="13" t="n">
        <v>158</v>
      </c>
      <c r="BV763" s="11" t="inlineStr">
        <is>
          <t xml:space="preserve"> Women's</t>
        </is>
      </c>
      <c r="BW763" s="13" t="n">
        <v>158</v>
      </c>
      <c r="BX763" s="13" t="n">
        <v>157.4</v>
      </c>
      <c r="BY763" s="13" t="n">
        <v>135</v>
      </c>
      <c r="BZ763" s="13" t="n">
        <v>141</v>
      </c>
      <c r="CA763" s="13" t="n">
        <v>129</v>
      </c>
      <c r="CB763" s="13" t="n">
        <v>72</v>
      </c>
      <c r="CC763" s="13" t="n">
        <v>106</v>
      </c>
      <c r="CD763" s="13" t="n">
        <v>10.8</v>
      </c>
      <c r="CE763" s="13" t="n">
        <v>1707</v>
      </c>
      <c r="CF763" s="13" t="n">
        <v>0.83</v>
      </c>
      <c r="CG763" s="13" t="n">
        <v>1408</v>
      </c>
      <c r="CH763" s="13" t="n">
        <v>145</v>
      </c>
      <c r="CI763" s="13" t="n">
        <v>72</v>
      </c>
      <c r="CJ763" s="13" t="n">
        <v>35</v>
      </c>
      <c r="CK763" s="13" t="n">
        <v>147</v>
      </c>
      <c r="CL763" s="13" t="n">
        <v>12</v>
      </c>
      <c r="CM763" s="13" t="n">
        <v>78</v>
      </c>
      <c r="CN763" s="13" t="n">
        <v>0.349</v>
      </c>
      <c r="CO763" s="13" t="n">
        <v>105</v>
      </c>
      <c r="CP763" s="13" t="n">
        <v>58</v>
      </c>
      <c r="CQ763" s="13" t="n">
        <v>42</v>
      </c>
      <c r="CR763" s="13" t="n">
        <v>10</v>
      </c>
      <c r="CS763" s="13" t="n">
        <v>10.8</v>
      </c>
      <c r="CT763" s="11" t="inlineStr">
        <is>
          <t xml:space="preserve"> On-Piste Carving</t>
        </is>
      </c>
      <c r="CU763" s="11" t="inlineStr">
        <is>
          <t xml:space="preserve"> On-Piste All-Mountain</t>
        </is>
      </c>
      <c r="CV763" s="13" t="n"/>
      <c r="CW763" s="13" t="n"/>
      <c r="CX763">
        <f>INDEX('Data_Price '!AG$2:AG$1266,MATCH(Data!$DN763,'Data_Price '!$AT$2:$AT$1266,0))</f>
        <v/>
      </c>
      <c r="CY763">
        <f>INDEX('Data_Price '!AH$2:AH$1266,MATCH(Data!$DN763,'Data_Price '!$AT$2:$AT$1266,0))</f>
        <v/>
      </c>
      <c r="CZ763">
        <f>INDEX('Data_Price '!AI$2:AI$1266,MATCH(Data!$DN763,'Data_Price '!$AT$2:$AT$1266,0))</f>
        <v/>
      </c>
      <c r="DA763">
        <f>INDEX('Data_Price '!AJ$2:AJ$1266,MATCH(Data!$DN763,'Data_Price '!$AT$2:$AT$1266,0))</f>
        <v/>
      </c>
      <c r="DB763">
        <f>INDEX('Data_Price '!AK$2:AK$1266,MATCH(Data!$DN763,'Data_Price '!$AT$2:$AT$1266,0))</f>
        <v/>
      </c>
      <c r="DC763">
        <f>INDEX('Data_Price '!AL$2:AL$1266,MATCH(Data!$DN763,'Data_Price '!$AT$2:$AT$1266,0))</f>
        <v/>
      </c>
      <c r="DD763">
        <f>INDEX('Data_Price '!AM$2:AM$1266,MATCH(Data!$DN763,'Data_Price '!$AT$2:$AT$1266,0))</f>
        <v/>
      </c>
      <c r="DE763">
        <f>INDEX('Data_Price '!AN$2:AN$1266,MATCH(Data!$DN763,'Data_Price '!$AT$2:$AT$1266,0))</f>
        <v/>
      </c>
      <c r="DF763">
        <f>INDEX('Data_Price '!AO$2:AO$1266,MATCH(Data!$DN763,'Data_Price '!$AT$2:$AT$1266,0))</f>
        <v/>
      </c>
      <c r="DG763">
        <f>INDEX('Data_Price '!AP$2:AP$1266,MATCH(Data!$DN763,'Data_Price '!$AT$2:$AT$1266,0))</f>
        <v/>
      </c>
      <c r="DH763">
        <f>INDEX('Data_Price '!AQ$2:AQ$1266,MATCH(Data!$DN763,'Data_Price '!$AT$2:$AT$1266,0))</f>
        <v/>
      </c>
      <c r="DI763">
        <f>INDEX('Data_Price '!AR$2:AR$1266,MATCH(Data!$DN763,'Data_Price '!$AT$2:$AT$1266,0))</f>
        <v/>
      </c>
      <c r="DJ763" s="138">
        <f>DA763</f>
        <v/>
      </c>
      <c r="DK763" s="138">
        <f>DE763</f>
        <v/>
      </c>
      <c r="DL763" s="138">
        <f>DI763</f>
        <v/>
      </c>
      <c r="DM763" s="303">
        <f>IF(LEFT(BT763,1)=" ",RIGHT(BT763,LEN(BT763)-1),BT763)</f>
        <v/>
      </c>
      <c r="DN763" s="138">
        <f>_xlfn.CONCAT(BS763,DM763,BU763,BV763)</f>
        <v/>
      </c>
      <c r="DO763" s="307" t="n"/>
    </row>
    <row r="764" ht="15.6" customHeight="1" s="184">
      <c r="B764" s="303">
        <f t="array" ref="B764">IF(OR(ISERROR(K764:P764)),FALSE,TRUE)</f>
        <v/>
      </c>
      <c r="C764" s="60">
        <f>OR(BR764=Driver!$G$50,Data!BR240=Driver!$H$50)</f>
        <v/>
      </c>
      <c r="D764" s="60">
        <f>OR(BV764=Driver!$G$51,BV764=Driver!$H$51)</f>
        <v/>
      </c>
      <c r="E764" s="60">
        <f>AND(BX764&gt;Driver!$F$54,BX764&lt;Driver!$G$54)</f>
        <v/>
      </c>
      <c r="F764" s="60">
        <f>CL764&gt;Driver!$F$56</f>
        <v/>
      </c>
      <c r="G764" s="60">
        <f>AND(CB764&gt;Driver!$F$55,CB764&lt;Driver!$G$55)</f>
        <v/>
      </c>
      <c r="H764" s="60">
        <f>AND(B764:G764)</f>
        <v/>
      </c>
      <c r="I764" s="60">
        <f>COUNTIFS($H$9:$H$1273,TRUE,$BT$9:$BT$1273,BT764)</f>
        <v/>
      </c>
      <c r="J764" s="60">
        <f t="array" ref="J764">NOT(OR(($H$9:$H$1273=TRUE)*($I$9:$I$1273&gt;0)*($BT$9:$BT$1273=BT764)*($K$9:$K$1273&gt;K764)))</f>
        <v/>
      </c>
      <c r="K764" s="108">
        <f>IFERROR(1-AVERAGE(X764:Y764),"")</f>
        <v/>
      </c>
      <c r="L764" s="108">
        <f>1-X764</f>
        <v/>
      </c>
      <c r="M764" s="108">
        <f>1-Y764</f>
        <v/>
      </c>
      <c r="N764" s="108">
        <f>1-Z764</f>
        <v/>
      </c>
      <c r="O764" s="108">
        <f>1-AA764</f>
        <v/>
      </c>
      <c r="P764" s="108">
        <f>1-AB764</f>
        <v/>
      </c>
      <c r="Q764" s="108" t="n"/>
      <c r="R764" s="108" t="n"/>
      <c r="S764" s="108">
        <f>1-AE764</f>
        <v/>
      </c>
      <c r="T764" s="108">
        <f>1-AF764</f>
        <v/>
      </c>
      <c r="U764" s="108">
        <f>1-AG764</f>
        <v/>
      </c>
      <c r="V764" s="108">
        <f>1-AH764</f>
        <v/>
      </c>
      <c r="W764" s="108">
        <f>1-AI764</f>
        <v/>
      </c>
      <c r="X764" s="108">
        <f>ABS(AJ764-AJ$1)</f>
        <v/>
      </c>
      <c r="Y764" s="108">
        <f>AVERAGE(Z764:AB764)</f>
        <v/>
      </c>
      <c r="Z764" s="108">
        <f>ABS(AL764-AL$1)</f>
        <v/>
      </c>
      <c r="AA764" s="108">
        <f>ABS(AM764-AM$1)</f>
        <v/>
      </c>
      <c r="AB764" s="108">
        <f>ABS(AN764-AN$1)</f>
        <v/>
      </c>
      <c r="AC764" s="108" t="n"/>
      <c r="AD764" s="108" t="n"/>
      <c r="AE764" s="108">
        <f>ABS(AQ$1-AQ764)</f>
        <v/>
      </c>
      <c r="AF764" s="108">
        <f>ABS(AR$1-AR764)</f>
        <v/>
      </c>
      <c r="AG764" s="108">
        <f>ABS(AS$1-AS764)</f>
        <v/>
      </c>
      <c r="AH764" s="108">
        <f>ABS(AT$1-AT764)</f>
        <v/>
      </c>
      <c r="AI764" s="108">
        <f>ABS(AU$1-AU764)</f>
        <v/>
      </c>
      <c r="AJ764" s="108">
        <f>(AV764-Driver!$K$179)/(Driver!$L$179-Driver!$K$179)</f>
        <v/>
      </c>
      <c r="AK764" s="108">
        <f>(AW764-Driver!$K$180)/(Driver!$L$180-Driver!$K$180)</f>
        <v/>
      </c>
      <c r="AL764" s="108">
        <f>(AX764-Driver!$K$181)/(Driver!$L$181-Driver!$K$181)</f>
        <v/>
      </c>
      <c r="AM764" s="108">
        <f>(AY764-Driver!$K$182)/(Driver!$L$182-Driver!$K$182)</f>
        <v/>
      </c>
      <c r="AN764" s="108">
        <f>(AZ764-Driver!$K$183)/(Driver!$L$183-Driver!$K$183)</f>
        <v/>
      </c>
      <c r="AO764" s="108" t="n"/>
      <c r="AP764" s="108" t="n"/>
      <c r="AQ764" s="108">
        <f>(BC764-Driver!$K$188)/(Driver!$L$188-Driver!$K$188)</f>
        <v/>
      </c>
      <c r="AR764" s="108">
        <f>MIN((BD764-Driver!$K$189)/(Driver!$L$189-Driver!$K$189),100%)</f>
        <v/>
      </c>
      <c r="AS764" s="108">
        <f>(BE764-Driver!$K$190)/(Driver!$L$190-Driver!$K$190)</f>
        <v/>
      </c>
      <c r="AT764" s="108">
        <f>(BF764-Driver!$K$191)/(Driver!$L$191-Driver!$K$191)</f>
        <v/>
      </c>
      <c r="AU764" s="108">
        <f>(BG764-Driver!$K$192)/(Driver!$L$192-Driver!$K$192)</f>
        <v/>
      </c>
      <c r="AV764" s="105">
        <f>IFERROR(BM764*BJ764^1/4,"")</f>
        <v/>
      </c>
      <c r="AW764" s="105">
        <f>IFERROR(SUM(AX764:AZ764),"")</f>
        <v/>
      </c>
      <c r="AX764" s="105">
        <f>IFERROR(BH764,"")</f>
        <v/>
      </c>
      <c r="AY764" s="105">
        <f>IFERROR(Driver!$K$19/Data!BH764/Data!BI764*Data!BK764*Data!BL764,"")</f>
        <v/>
      </c>
      <c r="AZ764" s="105">
        <f>IFERROR(BI764*BN764,"")</f>
        <v/>
      </c>
      <c r="BA764" s="105" t="n"/>
      <c r="BB764" s="105" t="n"/>
      <c r="BC764" s="105">
        <f>IFERROR(BI764*BN764*BK764/BJ764^(1/2),"")</f>
        <v/>
      </c>
      <c r="BD764" s="105">
        <f>IFERROR(BH764*BM764*BL764/BJ764/BK764,"")</f>
        <v/>
      </c>
      <c r="BE764" s="105">
        <f>IFERROR(MIN(BI764/BQ764/BP764/BO764/BH764,$BE$1),"")</f>
        <v/>
      </c>
      <c r="BF764" s="105">
        <f>IFERROR(BJ764*BO764*BP764/BK764,"")</f>
        <v/>
      </c>
      <c r="BG764" s="105">
        <f>IFERROR(1/BM764/BH764*BQ764,"")</f>
        <v/>
      </c>
      <c r="BH764" s="102">
        <f>MAX((CE764-Driver!$F$200)/(Driver!$G$200-Driver!$F$200)*$BI$1,1)</f>
        <v/>
      </c>
      <c r="BI764" s="102">
        <f>MAX($BI$1*(BY764-Driver!$F$201)/(Driver!$G$201-Driver!$F$201),1)</f>
        <v/>
      </c>
      <c r="BJ764" s="102">
        <f>(CB764-Driver!$F$206)/(Driver!$G$206-Driver!$F$206)*$BI$1</f>
        <v/>
      </c>
      <c r="BK764" s="102">
        <f>(CD764-Driver!$F$203)/(Driver!$G$203-Driver!$F$203)*$BI$1</f>
        <v/>
      </c>
      <c r="BL764" s="102">
        <f>MAX((CR764-Driver!$F$202)/(Driver!$G$202-Driver!$F$202)*$BI$1,1)</f>
        <v/>
      </c>
      <c r="BM764" s="102">
        <f>MAX((CH764-Driver!$F$204)/(Driver!$G$204-Driver!$F$204)*$BI$1,1)</f>
        <v/>
      </c>
      <c r="BN764" s="102">
        <f>(CI764-Driver!$F$205)/(Driver!$G$205-Driver!$F$205)*$BI$1</f>
        <v/>
      </c>
      <c r="BO764" s="102">
        <f>(CK764-Driver!$F$207)/(Driver!$G$207-Driver!$F$207)*$BI$1</f>
        <v/>
      </c>
      <c r="BP764" s="102">
        <f>(CM764-Driver!$F$208)/(Driver!$G$208-Driver!$F$208)*$BI$1</f>
        <v/>
      </c>
      <c r="BQ764" s="102">
        <f>(CL764-Driver!$F$209)/(Driver!$G$209-Driver!$F$209)*$BI$1</f>
        <v/>
      </c>
      <c r="BR764" s="40" t="inlineStr">
        <is>
          <t>21/22</t>
        </is>
      </c>
      <c r="BS764" s="10" t="inlineStr">
        <is>
          <t xml:space="preserve"> Black Crows</t>
        </is>
      </c>
      <c r="BT764" s="11" t="inlineStr">
        <is>
          <t xml:space="preserve"> Orb Freebird</t>
        </is>
      </c>
      <c r="BU764" s="13" t="n">
        <v>173.1</v>
      </c>
      <c r="BV764" s="11" t="inlineStr">
        <is>
          <t xml:space="preserve"> Unisex</t>
        </is>
      </c>
      <c r="BW764" s="13" t="n">
        <v>173.1</v>
      </c>
      <c r="BX764" s="13" t="n">
        <v>172.3</v>
      </c>
      <c r="BY764" s="13" t="n">
        <v>132</v>
      </c>
      <c r="BZ764" s="13" t="n">
        <v>149</v>
      </c>
      <c r="CA764" s="13" t="n">
        <v>126</v>
      </c>
      <c r="CB764" s="13" t="n">
        <v>88</v>
      </c>
      <c r="CC764" s="13" t="n">
        <v>110</v>
      </c>
      <c r="CD764" s="13" t="n">
        <v>17.6</v>
      </c>
      <c r="CE764" s="13" t="n">
        <v>1417</v>
      </c>
      <c r="CF764" s="13" t="n">
        <v>1.22</v>
      </c>
      <c r="CG764" s="13" t="n">
        <v>1722</v>
      </c>
      <c r="CH764" s="13" t="n">
        <v>164</v>
      </c>
      <c r="CI764" s="13" t="n">
        <v>72</v>
      </c>
      <c r="CJ764" s="13" t="n">
        <v>41</v>
      </c>
      <c r="CK764" s="13" t="n">
        <v>254</v>
      </c>
      <c r="CL764" s="13" t="n">
        <v>11</v>
      </c>
      <c r="CM764" s="13" t="n">
        <v>152</v>
      </c>
      <c r="CN764" s="13" t="n">
        <v>0.278</v>
      </c>
      <c r="CO764" s="13" t="n">
        <v>113</v>
      </c>
      <c r="CP764" s="13" t="n">
        <v>121</v>
      </c>
      <c r="CQ764" s="13" t="n">
        <v>141</v>
      </c>
      <c r="CR764" s="13" t="n">
        <v>6</v>
      </c>
      <c r="CS764" s="13" t="n">
        <v>10.8</v>
      </c>
      <c r="CT764" s="11" t="inlineStr">
        <is>
          <t xml:space="preserve"> Resort Freeride</t>
        </is>
      </c>
      <c r="CU764" s="11" t="inlineStr">
        <is>
          <t xml:space="preserve"> Touring</t>
        </is>
      </c>
      <c r="CV764" s="13" t="n"/>
      <c r="CW764" s="13" t="n"/>
      <c r="CX764">
        <f>INDEX('Data_Price '!AG$2:AG$1266,MATCH(Data!$DN764,'Data_Price '!$AT$2:$AT$1266,0))</f>
        <v/>
      </c>
      <c r="CY764">
        <f>INDEX('Data_Price '!AH$2:AH$1266,MATCH(Data!$DN764,'Data_Price '!$AT$2:$AT$1266,0))</f>
        <v/>
      </c>
      <c r="CZ764">
        <f>INDEX('Data_Price '!AI$2:AI$1266,MATCH(Data!$DN764,'Data_Price '!$AT$2:$AT$1266,0))</f>
        <v/>
      </c>
      <c r="DA764">
        <f>INDEX('Data_Price '!AJ$2:AJ$1266,MATCH(Data!$DN764,'Data_Price '!$AT$2:$AT$1266,0))</f>
        <v/>
      </c>
      <c r="DB764">
        <f>INDEX('Data_Price '!AK$2:AK$1266,MATCH(Data!$DN764,'Data_Price '!$AT$2:$AT$1266,0))</f>
        <v/>
      </c>
      <c r="DC764">
        <f>INDEX('Data_Price '!AL$2:AL$1266,MATCH(Data!$DN764,'Data_Price '!$AT$2:$AT$1266,0))</f>
        <v/>
      </c>
      <c r="DD764">
        <f>INDEX('Data_Price '!AM$2:AM$1266,MATCH(Data!$DN764,'Data_Price '!$AT$2:$AT$1266,0))</f>
        <v/>
      </c>
      <c r="DE764">
        <f>INDEX('Data_Price '!AN$2:AN$1266,MATCH(Data!$DN764,'Data_Price '!$AT$2:$AT$1266,0))</f>
        <v/>
      </c>
      <c r="DF764">
        <f>INDEX('Data_Price '!AO$2:AO$1266,MATCH(Data!$DN764,'Data_Price '!$AT$2:$AT$1266,0))</f>
        <v/>
      </c>
      <c r="DG764">
        <f>INDEX('Data_Price '!AP$2:AP$1266,MATCH(Data!$DN764,'Data_Price '!$AT$2:$AT$1266,0))</f>
        <v/>
      </c>
      <c r="DH764">
        <f>INDEX('Data_Price '!AQ$2:AQ$1266,MATCH(Data!$DN764,'Data_Price '!$AT$2:$AT$1266,0))</f>
        <v/>
      </c>
      <c r="DI764">
        <f>INDEX('Data_Price '!AR$2:AR$1266,MATCH(Data!$DN764,'Data_Price '!$AT$2:$AT$1266,0))</f>
        <v/>
      </c>
      <c r="DJ764" s="138">
        <f>DA764</f>
        <v/>
      </c>
      <c r="DK764" s="138">
        <f>DE764</f>
        <v/>
      </c>
      <c r="DL764" s="138">
        <f>DI764</f>
        <v/>
      </c>
      <c r="DM764" s="303">
        <f>IF(LEFT(BT764,1)=" ",RIGHT(BT764,LEN(BT764)-1),BT764)</f>
        <v/>
      </c>
      <c r="DN764" s="138">
        <f>_xlfn.CONCAT(BS764,DM764,BU764,BV764)</f>
        <v/>
      </c>
      <c r="DO764" s="307" t="inlineStr">
        <is>
          <t>https://images.evo.com/imgp/250/181610/748869/black-crows-orb-freebird-skis-2022-.jpg</t>
        </is>
      </c>
    </row>
    <row r="765" ht="15.6" customHeight="1" s="184">
      <c r="B765" s="303">
        <f t="array" ref="B765">IF(OR(ISERROR(K765:P765)),FALSE,TRUE)</f>
        <v/>
      </c>
      <c r="C765" s="60">
        <f>OR(BR765=Driver!$G$50,Data!BR259=Driver!$H$50)</f>
        <v/>
      </c>
      <c r="D765" s="60">
        <f>OR(BV765=Driver!$G$51,BV765=Driver!$H$51)</f>
        <v/>
      </c>
      <c r="E765" s="60">
        <f>AND(BX765&gt;Driver!$F$54,BX765&lt;Driver!$G$54)</f>
        <v/>
      </c>
      <c r="F765" s="60">
        <f>CL765&gt;Driver!$F$56</f>
        <v/>
      </c>
      <c r="G765" s="60">
        <f>AND(CB765&gt;Driver!$F$55,CB765&lt;Driver!$G$55)</f>
        <v/>
      </c>
      <c r="H765" s="60">
        <f>AND(B765:G765)</f>
        <v/>
      </c>
      <c r="I765" s="60">
        <f>COUNTIFS($H$9:$H$1273,TRUE,$BT$9:$BT$1273,BT765)</f>
        <v/>
      </c>
      <c r="J765" s="60">
        <f t="array" ref="J765">NOT(OR(($H$9:$H$1273=TRUE)*($I$9:$I$1273&gt;0)*($BT$9:$BT$1273=BT765)*($K$9:$K$1273&gt;K765)))</f>
        <v/>
      </c>
      <c r="K765" s="108">
        <f>IFERROR(1-AVERAGE(X765:Y765),"")</f>
        <v/>
      </c>
      <c r="L765" s="108">
        <f>1-X765</f>
        <v/>
      </c>
      <c r="M765" s="108">
        <f>1-Y765</f>
        <v/>
      </c>
      <c r="N765" s="108">
        <f>1-Z765</f>
        <v/>
      </c>
      <c r="O765" s="108">
        <f>1-AA765</f>
        <v/>
      </c>
      <c r="P765" s="108">
        <f>1-AB765</f>
        <v/>
      </c>
      <c r="Q765" s="108" t="n"/>
      <c r="R765" s="108" t="n"/>
      <c r="S765" s="108">
        <f>1-AE765</f>
        <v/>
      </c>
      <c r="T765" s="108">
        <f>1-AF765</f>
        <v/>
      </c>
      <c r="U765" s="108">
        <f>1-AG765</f>
        <v/>
      </c>
      <c r="V765" s="108">
        <f>1-AH765</f>
        <v/>
      </c>
      <c r="W765" s="108">
        <f>1-AI765</f>
        <v/>
      </c>
      <c r="X765" s="108">
        <f>ABS(AJ765-AJ$1)</f>
        <v/>
      </c>
      <c r="Y765" s="108">
        <f>AVERAGE(Z765:AB765)</f>
        <v/>
      </c>
      <c r="Z765" s="108">
        <f>ABS(AL765-AL$1)</f>
        <v/>
      </c>
      <c r="AA765" s="108">
        <f>ABS(AM765-AM$1)</f>
        <v/>
      </c>
      <c r="AB765" s="108">
        <f>ABS(AN765-AN$1)</f>
        <v/>
      </c>
      <c r="AC765" s="108" t="n"/>
      <c r="AD765" s="108" t="n"/>
      <c r="AE765" s="108">
        <f>ABS(AQ$1-AQ765)</f>
        <v/>
      </c>
      <c r="AF765" s="108">
        <f>ABS(AR$1-AR765)</f>
        <v/>
      </c>
      <c r="AG765" s="108">
        <f>ABS(AS$1-AS765)</f>
        <v/>
      </c>
      <c r="AH765" s="108">
        <f>ABS(AT$1-AT765)</f>
        <v/>
      </c>
      <c r="AI765" s="108">
        <f>ABS(AU$1-AU765)</f>
        <v/>
      </c>
      <c r="AJ765" s="108">
        <f>(AV765-Driver!$K$179)/(Driver!$L$179-Driver!$K$179)</f>
        <v/>
      </c>
      <c r="AK765" s="108">
        <f>(AW765-Driver!$K$180)/(Driver!$L$180-Driver!$K$180)</f>
        <v/>
      </c>
      <c r="AL765" s="108">
        <f>(AX765-Driver!$K$181)/(Driver!$L$181-Driver!$K$181)</f>
        <v/>
      </c>
      <c r="AM765" s="108">
        <f>(AY765-Driver!$K$182)/(Driver!$L$182-Driver!$K$182)</f>
        <v/>
      </c>
      <c r="AN765" s="108">
        <f>(AZ765-Driver!$K$183)/(Driver!$L$183-Driver!$K$183)</f>
        <v/>
      </c>
      <c r="AO765" s="108" t="n"/>
      <c r="AP765" s="108" t="n"/>
      <c r="AQ765" s="108">
        <f>(BC765-Driver!$K$188)/(Driver!$L$188-Driver!$K$188)</f>
        <v/>
      </c>
      <c r="AR765" s="108">
        <f>MIN((BD765-Driver!$K$189)/(Driver!$L$189-Driver!$K$189),100%)</f>
        <v/>
      </c>
      <c r="AS765" s="108">
        <f>(BE765-Driver!$K$190)/(Driver!$L$190-Driver!$K$190)</f>
        <v/>
      </c>
      <c r="AT765" s="108">
        <f>(BF765-Driver!$K$191)/(Driver!$L$191-Driver!$K$191)</f>
        <v/>
      </c>
      <c r="AU765" s="108">
        <f>(BG765-Driver!$K$192)/(Driver!$L$192-Driver!$K$192)</f>
        <v/>
      </c>
      <c r="AV765" s="105">
        <f>IFERROR(BM765*BJ765^1/4,"")</f>
        <v/>
      </c>
      <c r="AW765" s="105">
        <f>IFERROR(SUM(AX765:AZ765),"")</f>
        <v/>
      </c>
      <c r="AX765" s="105">
        <f>IFERROR(BH765,"")</f>
        <v/>
      </c>
      <c r="AY765" s="105">
        <f>IFERROR(Driver!$K$19/Data!BH765/Data!BI765*Data!BK765*Data!BL765,"")</f>
        <v/>
      </c>
      <c r="AZ765" s="105">
        <f>IFERROR(BI765*BN765,"")</f>
        <v/>
      </c>
      <c r="BA765" s="105" t="n"/>
      <c r="BB765" s="105" t="n"/>
      <c r="BC765" s="105">
        <f>IFERROR(BI765*BN765*BK765/BJ765^(1/2),"")</f>
        <v/>
      </c>
      <c r="BD765" s="105">
        <f>IFERROR(BH765*BM765*BL765/BJ765/BK765,"")</f>
        <v/>
      </c>
      <c r="BE765" s="105">
        <f>IFERROR(MIN(BI765/BQ765/BP765/BO765/BH765,$BE$1),"")</f>
        <v/>
      </c>
      <c r="BF765" s="105">
        <f>IFERROR(BJ765*BO765*BP765/BK765,"")</f>
        <v/>
      </c>
      <c r="BG765" s="105">
        <f>IFERROR(1/BM765/BH765*BQ765,"")</f>
        <v/>
      </c>
      <c r="BH765" s="102">
        <f>MAX((CE765-Driver!$F$200)/(Driver!$G$200-Driver!$F$200)*$BI$1,1)</f>
        <v/>
      </c>
      <c r="BI765" s="102">
        <f>MAX($BI$1*(BY765-Driver!$F$201)/(Driver!$G$201-Driver!$F$201),1)</f>
        <v/>
      </c>
      <c r="BJ765" s="102">
        <f>(CB765-Driver!$F$206)/(Driver!$G$206-Driver!$F$206)*$BI$1</f>
        <v/>
      </c>
      <c r="BK765" s="102">
        <f>(CD765-Driver!$F$203)/(Driver!$G$203-Driver!$F$203)*$BI$1</f>
        <v/>
      </c>
      <c r="BL765" s="102">
        <f>MAX((CR765-Driver!$F$202)/(Driver!$G$202-Driver!$F$202)*$BI$1,1)</f>
        <v/>
      </c>
      <c r="BM765" s="102">
        <f>MAX((CH765-Driver!$F$204)/(Driver!$G$204-Driver!$F$204)*$BI$1,1)</f>
        <v/>
      </c>
      <c r="BN765" s="102">
        <f>(CI765-Driver!$F$205)/(Driver!$G$205-Driver!$F$205)*$BI$1</f>
        <v/>
      </c>
      <c r="BO765" s="102">
        <f>(CK765-Driver!$F$207)/(Driver!$G$207-Driver!$F$207)*$BI$1</f>
        <v/>
      </c>
      <c r="BP765" s="102">
        <f>(CM765-Driver!$F$208)/(Driver!$G$208-Driver!$F$208)*$BI$1</f>
        <v/>
      </c>
      <c r="BQ765" s="102">
        <f>(CL765-Driver!$F$209)/(Driver!$G$209-Driver!$F$209)*$BI$1</f>
        <v/>
      </c>
      <c r="BR765" s="40" t="inlineStr">
        <is>
          <t>21/22</t>
        </is>
      </c>
      <c r="BS765" s="10" t="inlineStr">
        <is>
          <t xml:space="preserve"> Blizzard</t>
        </is>
      </c>
      <c r="BT765" s="11" t="inlineStr">
        <is>
          <t>Black Pearl 88</t>
        </is>
      </c>
      <c r="BU765" s="13" t="n">
        <v>153</v>
      </c>
      <c r="BV765" s="11" t="inlineStr">
        <is>
          <t xml:space="preserve"> Women's</t>
        </is>
      </c>
      <c r="BW765" s="13" t="n">
        <v>153</v>
      </c>
      <c r="BX765" s="13" t="n">
        <v>151.6</v>
      </c>
      <c r="BY765" s="13" t="n">
        <v>122</v>
      </c>
      <c r="BZ765" s="13" t="n">
        <v>129</v>
      </c>
      <c r="CA765" s="13" t="n">
        <v>125</v>
      </c>
      <c r="CB765" s="13" t="n">
        <v>86</v>
      </c>
      <c r="CC765" s="13" t="n">
        <v>107</v>
      </c>
      <c r="CD765" s="13" t="n">
        <v>13.2</v>
      </c>
      <c r="CE765" s="13" t="n">
        <v>1585</v>
      </c>
      <c r="CF765" s="13" t="n">
        <v>0.9399999999999999</v>
      </c>
      <c r="CG765" s="13" t="n">
        <v>1484</v>
      </c>
      <c r="CH765" s="13" t="n">
        <v>141</v>
      </c>
      <c r="CI765" s="13" t="n">
        <v>70</v>
      </c>
      <c r="CJ765" s="13" t="n">
        <v>60</v>
      </c>
      <c r="CK765" s="13" t="n">
        <v>193</v>
      </c>
      <c r="CL765" s="13" t="n">
        <v>8</v>
      </c>
      <c r="CM765" s="13" t="n">
        <v>99</v>
      </c>
      <c r="CN765" s="13" t="n">
        <v>0.135</v>
      </c>
      <c r="CO765" s="13" t="n">
        <v>116</v>
      </c>
      <c r="CP765" s="13" t="n">
        <v>105</v>
      </c>
      <c r="CQ765" s="13" t="n">
        <v>77</v>
      </c>
      <c r="CR765" s="13" t="n">
        <v>7</v>
      </c>
      <c r="CS765" s="13" t="n">
        <v>11.3</v>
      </c>
      <c r="CT765" s="11" t="inlineStr">
        <is>
          <t xml:space="preserve"> Resort Freeride</t>
        </is>
      </c>
      <c r="CU765" s="13" t="n"/>
      <c r="CV765" s="13" t="n"/>
      <c r="CW765" s="13" t="n"/>
      <c r="CX765">
        <f>INDEX('Data_Price '!AG$2:AG$1266,MATCH(Data!$DN765,'Data_Price '!$AT$2:$AT$1266,0))</f>
        <v/>
      </c>
      <c r="CY765">
        <f>INDEX('Data_Price '!AH$2:AH$1266,MATCH(Data!$DN765,'Data_Price '!$AT$2:$AT$1266,0))</f>
        <v/>
      </c>
      <c r="CZ765">
        <f>INDEX('Data_Price '!AI$2:AI$1266,MATCH(Data!$DN765,'Data_Price '!$AT$2:$AT$1266,0))</f>
        <v/>
      </c>
      <c r="DA765">
        <f>INDEX('Data_Price '!AJ$2:AJ$1266,MATCH(Data!$DN765,'Data_Price '!$AT$2:$AT$1266,0))</f>
        <v/>
      </c>
      <c r="DB765">
        <f>INDEX('Data_Price '!AK$2:AK$1266,MATCH(Data!$DN765,'Data_Price '!$AT$2:$AT$1266,0))</f>
        <v/>
      </c>
      <c r="DC765">
        <f>INDEX('Data_Price '!AL$2:AL$1266,MATCH(Data!$DN765,'Data_Price '!$AT$2:$AT$1266,0))</f>
        <v/>
      </c>
      <c r="DD765">
        <f>INDEX('Data_Price '!AM$2:AM$1266,MATCH(Data!$DN765,'Data_Price '!$AT$2:$AT$1266,0))</f>
        <v/>
      </c>
      <c r="DE765">
        <f>INDEX('Data_Price '!AN$2:AN$1266,MATCH(Data!$DN765,'Data_Price '!$AT$2:$AT$1266,0))</f>
        <v/>
      </c>
      <c r="DF765">
        <f>INDEX('Data_Price '!AO$2:AO$1266,MATCH(Data!$DN765,'Data_Price '!$AT$2:$AT$1266,0))</f>
        <v/>
      </c>
      <c r="DG765">
        <f>INDEX('Data_Price '!AP$2:AP$1266,MATCH(Data!$DN765,'Data_Price '!$AT$2:$AT$1266,0))</f>
        <v/>
      </c>
      <c r="DH765">
        <f>INDEX('Data_Price '!AQ$2:AQ$1266,MATCH(Data!$DN765,'Data_Price '!$AT$2:$AT$1266,0))</f>
        <v/>
      </c>
      <c r="DI765">
        <f>INDEX('Data_Price '!AR$2:AR$1266,MATCH(Data!$DN765,'Data_Price '!$AT$2:$AT$1266,0))</f>
        <v/>
      </c>
      <c r="DJ765" s="138">
        <f>DA765</f>
        <v/>
      </c>
      <c r="DK765" s="138">
        <f>DE765</f>
        <v/>
      </c>
      <c r="DL765" s="138">
        <f>DI765</f>
        <v/>
      </c>
      <c r="DM765" s="303">
        <f>IF(LEFT(BT765,1)=" ",RIGHT(BT765,LEN(BT765)-1),BT765)</f>
        <v/>
      </c>
      <c r="DN765" s="138">
        <f>_xlfn.CONCAT(BS765,DM765,BU765,BV765)</f>
        <v/>
      </c>
      <c r="DO765" s="307" t="inlineStr">
        <is>
          <t>https://images.evo.com/imgp/250/176883/876087/blizzard-black-pearl-88-skis-women-s-.jpg</t>
        </is>
      </c>
    </row>
    <row r="766" ht="15.6" customHeight="1" s="184">
      <c r="B766" s="303">
        <f t="array" ref="B766">IF(OR(ISERROR(K766:P766)),FALSE,TRUE)</f>
        <v/>
      </c>
      <c r="C766" s="60">
        <f>OR(BR766=Driver!$G$50,Data!BR767=Driver!$H$50)</f>
        <v/>
      </c>
      <c r="D766" s="60">
        <f>OR(BV766=Driver!$G$51,BV766=Driver!$H$51)</f>
        <v/>
      </c>
      <c r="E766" s="60">
        <f>AND(BX766&gt;Driver!$F$54,BX766&lt;Driver!$G$54)</f>
        <v/>
      </c>
      <c r="F766" s="60">
        <f>CL766&gt;Driver!$F$56</f>
        <v/>
      </c>
      <c r="G766" s="60">
        <f>AND(CB766&gt;Driver!$F$55,CB766&lt;Driver!$G$55)</f>
        <v/>
      </c>
      <c r="H766" s="60">
        <f>AND(B766:G766)</f>
        <v/>
      </c>
      <c r="I766" s="60">
        <f>COUNTIFS($H$9:$H$1273,TRUE,$BT$9:$BT$1273,BT766)</f>
        <v/>
      </c>
      <c r="J766" s="60">
        <f t="array" ref="J766">NOT(OR(($H$9:$H$1273=TRUE)*($I$9:$I$1273&gt;0)*($BT$9:$BT$1273=BT766)*($K$9:$K$1273&gt;K766)))</f>
        <v/>
      </c>
      <c r="K766" s="108">
        <f>IFERROR(1-AVERAGE(X766:Y766),"")</f>
        <v/>
      </c>
      <c r="L766" s="108">
        <f>1-X766</f>
        <v/>
      </c>
      <c r="M766" s="108">
        <f>1-Y766</f>
        <v/>
      </c>
      <c r="N766" s="108">
        <f>1-Z766</f>
        <v/>
      </c>
      <c r="O766" s="108">
        <f>1-AA766</f>
        <v/>
      </c>
      <c r="P766" s="108">
        <f>1-AB766</f>
        <v/>
      </c>
      <c r="Q766" s="108" t="n"/>
      <c r="R766" s="108" t="n"/>
      <c r="S766" s="108">
        <f>1-AE766</f>
        <v/>
      </c>
      <c r="T766" s="108">
        <f>1-AF766</f>
        <v/>
      </c>
      <c r="U766" s="108">
        <f>1-AG766</f>
        <v/>
      </c>
      <c r="V766" s="108">
        <f>1-AH766</f>
        <v/>
      </c>
      <c r="W766" s="108">
        <f>1-AI766</f>
        <v/>
      </c>
      <c r="X766" s="108">
        <f>ABS(AJ766-AJ$1)</f>
        <v/>
      </c>
      <c r="Y766" s="108">
        <f>AVERAGE(Z766:AB766)</f>
        <v/>
      </c>
      <c r="Z766" s="108">
        <f>ABS(AL766-AL$1)</f>
        <v/>
      </c>
      <c r="AA766" s="108">
        <f>ABS(AM766-AM$1)</f>
        <v/>
      </c>
      <c r="AB766" s="108">
        <f>ABS(AN766-AN$1)</f>
        <v/>
      </c>
      <c r="AC766" s="108" t="n"/>
      <c r="AD766" s="108" t="n"/>
      <c r="AE766" s="108">
        <f>ABS(AQ$1-AQ766)</f>
        <v/>
      </c>
      <c r="AF766" s="108">
        <f>ABS(AR$1-AR766)</f>
        <v/>
      </c>
      <c r="AG766" s="108">
        <f>ABS(AS$1-AS766)</f>
        <v/>
      </c>
      <c r="AH766" s="108">
        <f>ABS(AT$1-AT766)</f>
        <v/>
      </c>
      <c r="AI766" s="108">
        <f>ABS(AU$1-AU766)</f>
        <v/>
      </c>
      <c r="AJ766" s="108">
        <f>(AV766-Driver!$K$179)/(Driver!$L$179-Driver!$K$179)</f>
        <v/>
      </c>
      <c r="AK766" s="108">
        <f>(AW766-Driver!$K$180)/(Driver!$L$180-Driver!$K$180)</f>
        <v/>
      </c>
      <c r="AL766" s="108">
        <f>(AX766-Driver!$K$181)/(Driver!$L$181-Driver!$K$181)</f>
        <v/>
      </c>
      <c r="AM766" s="108">
        <f>(AY766-Driver!$K$182)/(Driver!$L$182-Driver!$K$182)</f>
        <v/>
      </c>
      <c r="AN766" s="108">
        <f>(AZ766-Driver!$K$183)/(Driver!$L$183-Driver!$K$183)</f>
        <v/>
      </c>
      <c r="AO766" s="108" t="n"/>
      <c r="AP766" s="108" t="n"/>
      <c r="AQ766" s="108">
        <f>(BC766-Driver!$K$188)/(Driver!$L$188-Driver!$K$188)</f>
        <v/>
      </c>
      <c r="AR766" s="108">
        <f>MIN((BD766-Driver!$K$189)/(Driver!$L$189-Driver!$K$189),100%)</f>
        <v/>
      </c>
      <c r="AS766" s="108">
        <f>(BE766-Driver!$K$190)/(Driver!$L$190-Driver!$K$190)</f>
        <v/>
      </c>
      <c r="AT766" s="108">
        <f>(BF766-Driver!$K$191)/(Driver!$L$191-Driver!$K$191)</f>
        <v/>
      </c>
      <c r="AU766" s="108">
        <f>(BG766-Driver!$K$192)/(Driver!$L$192-Driver!$K$192)</f>
        <v/>
      </c>
      <c r="AV766" s="105">
        <f>IFERROR(BM766*BJ766^1/4,"")</f>
        <v/>
      </c>
      <c r="AW766" s="105">
        <f>IFERROR(SUM(AX766:AZ766),"")</f>
        <v/>
      </c>
      <c r="AX766" s="105">
        <f>IFERROR(BH766,"")</f>
        <v/>
      </c>
      <c r="AY766" s="105">
        <f>IFERROR(Driver!$K$19/Data!BH766/Data!BI766*Data!BK766*Data!BL766,"")</f>
        <v/>
      </c>
      <c r="AZ766" s="105">
        <f>IFERROR(BI766*BN766,"")</f>
        <v/>
      </c>
      <c r="BA766" s="105" t="n"/>
      <c r="BB766" s="105" t="n"/>
      <c r="BC766" s="105">
        <f>IFERROR(BI766*BN766*BK766/BJ766^(1/2),"")</f>
        <v/>
      </c>
      <c r="BD766" s="105">
        <f>IFERROR(BH766*BM766*BL766/BJ766/BK766,"")</f>
        <v/>
      </c>
      <c r="BE766" s="105">
        <f>IFERROR(MIN(BI766/BQ766/BP766/BO766/BH766,$BE$1),"")</f>
        <v/>
      </c>
      <c r="BF766" s="105">
        <f>IFERROR(BJ766*BO766*BP766/BK766,"")</f>
        <v/>
      </c>
      <c r="BG766" s="105">
        <f>IFERROR(1/BM766/BH766*BQ766,"")</f>
        <v/>
      </c>
      <c r="BH766" s="102">
        <f>MAX((CE766-Driver!$F$200)/(Driver!$G$200-Driver!$F$200)*$BI$1,1)</f>
        <v/>
      </c>
      <c r="BI766" s="102">
        <f>MAX($BI$1*(BY766-Driver!$F$201)/(Driver!$G$201-Driver!$F$201),1)</f>
        <v/>
      </c>
      <c r="BJ766" s="102">
        <f>(CB766-Driver!$F$206)/(Driver!$G$206-Driver!$F$206)*$BI$1</f>
        <v/>
      </c>
      <c r="BK766" s="102">
        <f>(CD766-Driver!$F$203)/(Driver!$G$203-Driver!$F$203)*$BI$1</f>
        <v/>
      </c>
      <c r="BL766" s="102">
        <f>MAX((CR766-Driver!$F$202)/(Driver!$G$202-Driver!$F$202)*$BI$1,1)</f>
        <v/>
      </c>
      <c r="BM766" s="102">
        <f>MAX((CH766-Driver!$F$204)/(Driver!$G$204-Driver!$F$204)*$BI$1,1)</f>
        <v/>
      </c>
      <c r="BN766" s="102">
        <f>(CI766-Driver!$F$205)/(Driver!$G$205-Driver!$F$205)*$BI$1</f>
        <v/>
      </c>
      <c r="BO766" s="102">
        <f>(CK766-Driver!$F$207)/(Driver!$G$207-Driver!$F$207)*$BI$1</f>
        <v/>
      </c>
      <c r="BP766" s="102">
        <f>(CM766-Driver!$F$208)/(Driver!$G$208-Driver!$F$208)*$BI$1</f>
        <v/>
      </c>
      <c r="BQ766" s="102">
        <f>(CL766-Driver!$F$209)/(Driver!$G$209-Driver!$F$209)*$BI$1</f>
        <v/>
      </c>
      <c r="BR766" s="40" t="inlineStr">
        <is>
          <t>21/22</t>
        </is>
      </c>
      <c r="BS766" s="10" t="inlineStr">
        <is>
          <t xml:space="preserve"> K2</t>
        </is>
      </c>
      <c r="BT766" s="11" t="inlineStr">
        <is>
          <t>Reckoner 112</t>
        </is>
      </c>
      <c r="BU766" s="13" t="n">
        <v>191</v>
      </c>
      <c r="BV766" s="11" t="inlineStr">
        <is>
          <t xml:space="preserve"> Unisex</t>
        </is>
      </c>
      <c r="BW766" s="13" t="n">
        <v>191</v>
      </c>
      <c r="BX766" s="13" t="n">
        <v>191.7</v>
      </c>
      <c r="BY766" s="13" t="n">
        <v>120</v>
      </c>
      <c r="BZ766" s="13" t="n">
        <v>145</v>
      </c>
      <c r="CA766" s="13" t="n">
        <v>135</v>
      </c>
      <c r="CB766" s="13" t="n">
        <v>111</v>
      </c>
      <c r="CC766" s="13" t="n">
        <v>127</v>
      </c>
      <c r="CD766" s="13" t="n">
        <v>25.1</v>
      </c>
      <c r="CE766" s="13" t="n">
        <v>2141</v>
      </c>
      <c r="CF766" s="13" t="n">
        <v>1.06</v>
      </c>
      <c r="CG766" s="13" t="n">
        <v>2276</v>
      </c>
      <c r="CH766" s="13" t="n">
        <v>230</v>
      </c>
      <c r="CI766" s="13" t="n">
        <v>121</v>
      </c>
      <c r="CJ766" s="13" t="n">
        <v>55</v>
      </c>
      <c r="CK766" s="13" t="n">
        <v>378</v>
      </c>
      <c r="CL766" s="13" t="n">
        <v>50</v>
      </c>
      <c r="CM766" s="13" t="n">
        <v>335</v>
      </c>
      <c r="CN766" s="13" t="n">
        <v>0.904</v>
      </c>
      <c r="CO766" s="13" t="n">
        <v>218</v>
      </c>
      <c r="CP766" s="13" t="n">
        <v>244</v>
      </c>
      <c r="CQ766" s="13" t="n">
        <v>159</v>
      </c>
      <c r="CR766" s="13" t="n">
        <v>7</v>
      </c>
      <c r="CS766" s="13" t="n">
        <v>5.9</v>
      </c>
      <c r="CT766" s="11" t="inlineStr">
        <is>
          <t xml:space="preserve"> Freeski</t>
        </is>
      </c>
      <c r="CU766" s="11" t="inlineStr">
        <is>
          <t xml:space="preserve"> Powder</t>
        </is>
      </c>
      <c r="CV766" s="11" t="inlineStr">
        <is>
          <t xml:space="preserve"> Touring</t>
        </is>
      </c>
      <c r="CW766" s="13" t="n"/>
      <c r="CX766">
        <f>INDEX('Data_Price '!AG$2:AG$1266,MATCH(Data!$DN766,'Data_Price '!$AT$2:$AT$1266,0))</f>
        <v/>
      </c>
      <c r="CY766">
        <f>INDEX('Data_Price '!AH$2:AH$1266,MATCH(Data!$DN766,'Data_Price '!$AT$2:$AT$1266,0))</f>
        <v/>
      </c>
      <c r="CZ766">
        <f>INDEX('Data_Price '!AI$2:AI$1266,MATCH(Data!$DN766,'Data_Price '!$AT$2:$AT$1266,0))</f>
        <v/>
      </c>
      <c r="DA766">
        <f>INDEX('Data_Price '!AJ$2:AJ$1266,MATCH(Data!$DN766,'Data_Price '!$AT$2:$AT$1266,0))</f>
        <v/>
      </c>
      <c r="DB766">
        <f>INDEX('Data_Price '!AK$2:AK$1266,MATCH(Data!$DN766,'Data_Price '!$AT$2:$AT$1266,0))</f>
        <v/>
      </c>
      <c r="DC766">
        <f>INDEX('Data_Price '!AL$2:AL$1266,MATCH(Data!$DN766,'Data_Price '!$AT$2:$AT$1266,0))</f>
        <v/>
      </c>
      <c r="DD766">
        <f>INDEX('Data_Price '!AM$2:AM$1266,MATCH(Data!$DN766,'Data_Price '!$AT$2:$AT$1266,0))</f>
        <v/>
      </c>
      <c r="DE766">
        <f>INDEX('Data_Price '!AN$2:AN$1266,MATCH(Data!$DN766,'Data_Price '!$AT$2:$AT$1266,0))</f>
        <v/>
      </c>
      <c r="DF766">
        <f>INDEX('Data_Price '!AO$2:AO$1266,MATCH(Data!$DN766,'Data_Price '!$AT$2:$AT$1266,0))</f>
        <v/>
      </c>
      <c r="DG766">
        <f>INDEX('Data_Price '!AP$2:AP$1266,MATCH(Data!$DN766,'Data_Price '!$AT$2:$AT$1266,0))</f>
        <v/>
      </c>
      <c r="DH766">
        <f>INDEX('Data_Price '!AQ$2:AQ$1266,MATCH(Data!$DN766,'Data_Price '!$AT$2:$AT$1266,0))</f>
        <v/>
      </c>
      <c r="DI766">
        <f>INDEX('Data_Price '!AR$2:AR$1266,MATCH(Data!$DN766,'Data_Price '!$AT$2:$AT$1266,0))</f>
        <v/>
      </c>
      <c r="DJ766" s="138">
        <f>DA766</f>
        <v/>
      </c>
      <c r="DK766" s="138">
        <f>DE766</f>
        <v/>
      </c>
      <c r="DL766" s="138">
        <f>DI766</f>
        <v/>
      </c>
      <c r="DM766" s="303">
        <f>IF(LEFT(BT766,1)=" ",RIGHT(BT766,LEN(BT766)-1),BT766)</f>
        <v/>
      </c>
      <c r="DN766" s="138">
        <f>_xlfn.CONCAT(BS766,DM766,BU766,BV766)</f>
        <v/>
      </c>
      <c r="DO766" s="307" t="inlineStr">
        <is>
          <t>https://images.evo.com/imgp/250/182107/723844/clone.jpg</t>
        </is>
      </c>
    </row>
    <row r="767" ht="15.6" customHeight="1" s="184">
      <c r="B767" s="303">
        <f t="array" ref="B767">IF(OR(ISERROR(K767:P767)),FALSE,TRUE)</f>
        <v/>
      </c>
      <c r="C767" s="60">
        <f>OR(BR767=Driver!$G$50,Data!BR1054=Driver!$H$50)</f>
        <v/>
      </c>
      <c r="D767" s="60">
        <f>OR(BV767=Driver!$G$51,BV767=Driver!$H$51)</f>
        <v/>
      </c>
      <c r="E767" s="60">
        <f>AND(BX767&gt;Driver!$F$54,BX767&lt;Driver!$G$54)</f>
        <v/>
      </c>
      <c r="F767" s="60">
        <f>CL767&gt;Driver!$F$56</f>
        <v/>
      </c>
      <c r="G767" s="60">
        <f>AND(CB767&gt;Driver!$F$55,CB767&lt;Driver!$G$55)</f>
        <v/>
      </c>
      <c r="H767" s="60">
        <f>AND(B767:G767)</f>
        <v/>
      </c>
      <c r="I767" s="60">
        <f>COUNTIFS($H$9:$H$1273,TRUE,$BT$9:$BT$1273,BT767)</f>
        <v/>
      </c>
      <c r="J767" s="60">
        <f t="array" ref="J767">NOT(OR(($H$9:$H$1273=TRUE)*($I$9:$I$1273&gt;0)*($BT$9:$BT$1273=BT767)*($K$9:$K$1273&gt;K767)))</f>
        <v/>
      </c>
      <c r="K767" s="108">
        <f>IFERROR(1-AVERAGE(X767:Y767),"")</f>
        <v/>
      </c>
      <c r="L767" s="108">
        <f>1-X767</f>
        <v/>
      </c>
      <c r="M767" s="108">
        <f>1-Y767</f>
        <v/>
      </c>
      <c r="N767" s="108">
        <f>1-Z767</f>
        <v/>
      </c>
      <c r="O767" s="108">
        <f>1-AA767</f>
        <v/>
      </c>
      <c r="P767" s="108">
        <f>1-AB767</f>
        <v/>
      </c>
      <c r="Q767" s="108" t="n"/>
      <c r="R767" s="108" t="n"/>
      <c r="S767" s="108">
        <f>1-AE767</f>
        <v/>
      </c>
      <c r="T767" s="108">
        <f>1-AF767</f>
        <v/>
      </c>
      <c r="U767" s="108">
        <f>1-AG767</f>
        <v/>
      </c>
      <c r="V767" s="108">
        <f>1-AH767</f>
        <v/>
      </c>
      <c r="W767" s="108">
        <f>1-AI767</f>
        <v/>
      </c>
      <c r="X767" s="108">
        <f>ABS(AJ767-AJ$1)</f>
        <v/>
      </c>
      <c r="Y767" s="108">
        <f>AVERAGE(Z767:AB767)</f>
        <v/>
      </c>
      <c r="Z767" s="108">
        <f>ABS(AL767-AL$1)</f>
        <v/>
      </c>
      <c r="AA767" s="108">
        <f>ABS(AM767-AM$1)</f>
        <v/>
      </c>
      <c r="AB767" s="108">
        <f>ABS(AN767-AN$1)</f>
        <v/>
      </c>
      <c r="AC767" s="108" t="n"/>
      <c r="AD767" s="108" t="n"/>
      <c r="AE767" s="108">
        <f>ABS(AQ$1-AQ767)</f>
        <v/>
      </c>
      <c r="AF767" s="108">
        <f>ABS(AR$1-AR767)</f>
        <v/>
      </c>
      <c r="AG767" s="108">
        <f>ABS(AS$1-AS767)</f>
        <v/>
      </c>
      <c r="AH767" s="108">
        <f>ABS(AT$1-AT767)</f>
        <v/>
      </c>
      <c r="AI767" s="108">
        <f>ABS(AU$1-AU767)</f>
        <v/>
      </c>
      <c r="AJ767" s="108">
        <f>(AV767-Driver!$K$179)/(Driver!$L$179-Driver!$K$179)</f>
        <v/>
      </c>
      <c r="AK767" s="108">
        <f>(AW767-Driver!$K$180)/(Driver!$L$180-Driver!$K$180)</f>
        <v/>
      </c>
      <c r="AL767" s="108">
        <f>(AX767-Driver!$K$181)/(Driver!$L$181-Driver!$K$181)</f>
        <v/>
      </c>
      <c r="AM767" s="108">
        <f>(AY767-Driver!$K$182)/(Driver!$L$182-Driver!$K$182)</f>
        <v/>
      </c>
      <c r="AN767" s="108">
        <f>(AZ767-Driver!$K$183)/(Driver!$L$183-Driver!$K$183)</f>
        <v/>
      </c>
      <c r="AO767" s="108" t="n"/>
      <c r="AP767" s="108" t="n"/>
      <c r="AQ767" s="108">
        <f>(BC767-Driver!$K$188)/(Driver!$L$188-Driver!$K$188)</f>
        <v/>
      </c>
      <c r="AR767" s="108">
        <f>MIN((BD767-Driver!$K$189)/(Driver!$L$189-Driver!$K$189),100%)</f>
        <v/>
      </c>
      <c r="AS767" s="108">
        <f>(BE767-Driver!$K$190)/(Driver!$L$190-Driver!$K$190)</f>
        <v/>
      </c>
      <c r="AT767" s="108">
        <f>(BF767-Driver!$K$191)/(Driver!$L$191-Driver!$K$191)</f>
        <v/>
      </c>
      <c r="AU767" s="108">
        <f>(BG767-Driver!$K$192)/(Driver!$L$192-Driver!$K$192)</f>
        <v/>
      </c>
      <c r="AV767" s="105">
        <f>IFERROR(BM767*BJ767^1/4,"")</f>
        <v/>
      </c>
      <c r="AW767" s="105">
        <f>IFERROR(SUM(AX767:AZ767),"")</f>
        <v/>
      </c>
      <c r="AX767" s="105">
        <f>IFERROR(BH767,"")</f>
        <v/>
      </c>
      <c r="AY767" s="105">
        <f>IFERROR(Driver!$K$19/Data!BH767/Data!BI767*Data!BK767*Data!BL767,"")</f>
        <v/>
      </c>
      <c r="AZ767" s="105">
        <f>IFERROR(BI767*BN767,"")</f>
        <v/>
      </c>
      <c r="BA767" s="105" t="n"/>
      <c r="BB767" s="105" t="n"/>
      <c r="BC767" s="105">
        <f>IFERROR(BI767*BN767*BK767/BJ767^(1/2),"")</f>
        <v/>
      </c>
      <c r="BD767" s="105">
        <f>IFERROR(BH767*BM767*BL767/BJ767/BK767,"")</f>
        <v/>
      </c>
      <c r="BE767" s="105">
        <f>IFERROR(MIN(BI767/BQ767/BP767/BO767/BH767,$BE$1),"")</f>
        <v/>
      </c>
      <c r="BF767" s="105">
        <f>IFERROR(BJ767*BO767*BP767/BK767,"")</f>
        <v/>
      </c>
      <c r="BG767" s="105">
        <f>IFERROR(1/BM767/BH767*BQ767,"")</f>
        <v/>
      </c>
      <c r="BH767" s="102">
        <f>MAX((CE767-Driver!$F$200)/(Driver!$G$200-Driver!$F$200)*$BI$1,1)</f>
        <v/>
      </c>
      <c r="BI767" s="102">
        <f>MAX($BI$1*(BY767-Driver!$F$201)/(Driver!$G$201-Driver!$F$201),1)</f>
        <v/>
      </c>
      <c r="BJ767" s="102">
        <f>(CB767-Driver!$F$206)/(Driver!$G$206-Driver!$F$206)*$BI$1</f>
        <v/>
      </c>
      <c r="BK767" s="102">
        <f>(CD767-Driver!$F$203)/(Driver!$G$203-Driver!$F$203)*$BI$1</f>
        <v/>
      </c>
      <c r="BL767" s="102">
        <f>MAX((CR767-Driver!$F$202)/(Driver!$G$202-Driver!$F$202)*$BI$1,1)</f>
        <v/>
      </c>
      <c r="BM767" s="102">
        <f>MAX((CH767-Driver!$F$204)/(Driver!$G$204-Driver!$F$204)*$BI$1,1)</f>
        <v/>
      </c>
      <c r="BN767" s="102">
        <f>(CI767-Driver!$F$205)/(Driver!$G$205-Driver!$F$205)*$BI$1</f>
        <v/>
      </c>
      <c r="BO767" s="102">
        <f>(CK767-Driver!$F$207)/(Driver!$G$207-Driver!$F$207)*$BI$1</f>
        <v/>
      </c>
      <c r="BP767" s="102">
        <f>(CM767-Driver!$F$208)/(Driver!$G$208-Driver!$F$208)*$BI$1</f>
        <v/>
      </c>
      <c r="BQ767" s="102">
        <f>(CL767-Driver!$F$209)/(Driver!$G$209-Driver!$F$209)*$BI$1</f>
        <v/>
      </c>
      <c r="BR767" s="40" t="inlineStr">
        <is>
          <t>21/22</t>
        </is>
      </c>
      <c r="BS767" s="10" t="inlineStr">
        <is>
          <t xml:space="preserve"> Rossignol</t>
        </is>
      </c>
      <c r="BT767" s="11" t="inlineStr">
        <is>
          <t>React 2</t>
        </is>
      </c>
      <c r="BU767" s="13" t="n">
        <v>170</v>
      </c>
      <c r="BV767" s="11" t="inlineStr">
        <is>
          <t xml:space="preserve"> Unisex</t>
        </is>
      </c>
      <c r="BW767" s="13" t="n">
        <v>170</v>
      </c>
      <c r="BX767" s="13" t="n">
        <v>168.4</v>
      </c>
      <c r="BY767" s="13" t="n">
        <v>148</v>
      </c>
      <c r="BZ767" s="13" t="n">
        <v>153</v>
      </c>
      <c r="CA767" s="13" t="n">
        <v>121</v>
      </c>
      <c r="CB767" s="13" t="n">
        <v>74</v>
      </c>
      <c r="CC767" s="13" t="n">
        <v>107</v>
      </c>
      <c r="CD767" s="13" t="n">
        <v>14.6</v>
      </c>
      <c r="CE767" s="13" t="n">
        <v>1594</v>
      </c>
      <c r="CF767" s="13" t="n">
        <v>0.9399999999999999</v>
      </c>
      <c r="CG767" s="13" t="n">
        <v>1497</v>
      </c>
      <c r="CH767" s="13" t="n">
        <v>179</v>
      </c>
      <c r="CI767" s="13" t="n">
        <v>61</v>
      </c>
      <c r="CJ767" s="13" t="n">
        <v>35</v>
      </c>
      <c r="CK767" s="13" t="n">
        <v>141</v>
      </c>
      <c r="CL767" s="13" t="n">
        <v>5</v>
      </c>
      <c r="CM767" s="13" t="n">
        <v>64</v>
      </c>
      <c r="CN767" s="13" t="n">
        <v>0.141</v>
      </c>
      <c r="CO767" s="13" t="n">
        <v>78</v>
      </c>
      <c r="CP767" s="13" t="n">
        <v>80</v>
      </c>
      <c r="CQ767" s="13" t="n">
        <v>63</v>
      </c>
      <c r="CR767" s="13" t="n">
        <v>12</v>
      </c>
      <c r="CS767" s="13" t="n">
        <v>8.5</v>
      </c>
      <c r="CT767" s="11" t="inlineStr">
        <is>
          <t xml:space="preserve"> On-Piste Carving</t>
        </is>
      </c>
      <c r="CU767" s="13" t="n"/>
      <c r="CV767" s="13" t="n"/>
      <c r="CW767" s="13" t="n"/>
      <c r="CX767">
        <f>INDEX('Data_Price '!AG$2:AG$1266,MATCH(Data!$DN767,'Data_Price '!$AT$2:$AT$1266,0))</f>
        <v/>
      </c>
      <c r="CY767">
        <f>INDEX('Data_Price '!AH$2:AH$1266,MATCH(Data!$DN767,'Data_Price '!$AT$2:$AT$1266,0))</f>
        <v/>
      </c>
      <c r="CZ767">
        <f>INDEX('Data_Price '!AI$2:AI$1266,MATCH(Data!$DN767,'Data_Price '!$AT$2:$AT$1266,0))</f>
        <v/>
      </c>
      <c r="DA767">
        <f>INDEX('Data_Price '!AJ$2:AJ$1266,MATCH(Data!$DN767,'Data_Price '!$AT$2:$AT$1266,0))</f>
        <v/>
      </c>
      <c r="DB767">
        <f>INDEX('Data_Price '!AK$2:AK$1266,MATCH(Data!$DN767,'Data_Price '!$AT$2:$AT$1266,0))</f>
        <v/>
      </c>
      <c r="DC767">
        <f>INDEX('Data_Price '!AL$2:AL$1266,MATCH(Data!$DN767,'Data_Price '!$AT$2:$AT$1266,0))</f>
        <v/>
      </c>
      <c r="DD767">
        <f>INDEX('Data_Price '!AM$2:AM$1266,MATCH(Data!$DN767,'Data_Price '!$AT$2:$AT$1266,0))</f>
        <v/>
      </c>
      <c r="DE767">
        <f>INDEX('Data_Price '!AN$2:AN$1266,MATCH(Data!$DN767,'Data_Price '!$AT$2:$AT$1266,0))</f>
        <v/>
      </c>
      <c r="DF767">
        <f>INDEX('Data_Price '!AO$2:AO$1266,MATCH(Data!$DN767,'Data_Price '!$AT$2:$AT$1266,0))</f>
        <v/>
      </c>
      <c r="DG767">
        <f>INDEX('Data_Price '!AP$2:AP$1266,MATCH(Data!$DN767,'Data_Price '!$AT$2:$AT$1266,0))</f>
        <v/>
      </c>
      <c r="DH767">
        <f>INDEX('Data_Price '!AQ$2:AQ$1266,MATCH(Data!$DN767,'Data_Price '!$AT$2:$AT$1266,0))</f>
        <v/>
      </c>
      <c r="DI767">
        <f>INDEX('Data_Price '!AR$2:AR$1266,MATCH(Data!$DN767,'Data_Price '!$AT$2:$AT$1266,0))</f>
        <v/>
      </c>
      <c r="DJ767" s="138">
        <f>DA767</f>
        <v/>
      </c>
      <c r="DK767" s="138">
        <f>DE767</f>
        <v/>
      </c>
      <c r="DL767" s="138">
        <f>DI767</f>
        <v/>
      </c>
      <c r="DM767" s="303">
        <f>IF(LEFT(BT767,1)=" ",RIGHT(BT767,LEN(BT767)-1),BT767)</f>
        <v/>
      </c>
      <c r="DN767" s="138">
        <f>_xlfn.CONCAT(BS767,DM767,BU767,BV767)</f>
        <v/>
      </c>
      <c r="DO767" s="307" t="n"/>
    </row>
    <row r="768" ht="15.6" customHeight="1" s="184">
      <c r="B768" s="303">
        <f t="array" ref="B768">IF(OR(ISERROR(K768:P768)),FALSE,TRUE)</f>
        <v/>
      </c>
      <c r="C768" s="60">
        <f>OR(BR768=Driver!$G$50,Data!BR40=Driver!$H$50)</f>
        <v/>
      </c>
      <c r="D768" s="60">
        <f>OR(BV768=Driver!$G$51,BV768=Driver!$H$51)</f>
        <v/>
      </c>
      <c r="E768" s="60">
        <f>AND(BX768&gt;Driver!$F$54,BX768&lt;Driver!$G$54)</f>
        <v/>
      </c>
      <c r="F768" s="60">
        <f>CL768&gt;Driver!$F$56</f>
        <v/>
      </c>
      <c r="G768" s="60">
        <f>AND(CB768&gt;Driver!$F$55,CB768&lt;Driver!$G$55)</f>
        <v/>
      </c>
      <c r="H768" s="60">
        <f>AND(B768:G768)</f>
        <v/>
      </c>
      <c r="I768" s="60">
        <f>COUNTIFS($H$9:$H$1273,TRUE,$BT$9:$BT$1273,BT768)</f>
        <v/>
      </c>
      <c r="J768" s="60">
        <f t="array" ref="J768">NOT(OR(($H$9:$H$1273=TRUE)*($I$9:$I$1273&gt;0)*($BT$9:$BT$1273=BT768)*($K$9:$K$1273&gt;K768)))</f>
        <v/>
      </c>
      <c r="K768" s="108">
        <f>IFERROR(1-AVERAGE(X768:Y768),"")</f>
        <v/>
      </c>
      <c r="L768" s="108">
        <f>1-X768</f>
        <v/>
      </c>
      <c r="M768" s="108">
        <f>1-Y768</f>
        <v/>
      </c>
      <c r="N768" s="108">
        <f>1-Z768</f>
        <v/>
      </c>
      <c r="O768" s="108">
        <f>1-AA768</f>
        <v/>
      </c>
      <c r="P768" s="108">
        <f>1-AB768</f>
        <v/>
      </c>
      <c r="Q768" s="108" t="n"/>
      <c r="R768" s="108" t="n"/>
      <c r="S768" s="108">
        <f>1-AE768</f>
        <v/>
      </c>
      <c r="T768" s="108">
        <f>1-AF768</f>
        <v/>
      </c>
      <c r="U768" s="108">
        <f>1-AG768</f>
        <v/>
      </c>
      <c r="V768" s="108">
        <f>1-AH768</f>
        <v/>
      </c>
      <c r="W768" s="108">
        <f>1-AI768</f>
        <v/>
      </c>
      <c r="X768" s="108">
        <f>ABS(AJ768-AJ$1)</f>
        <v/>
      </c>
      <c r="Y768" s="108">
        <f>AVERAGE(Z768:AB768)</f>
        <v/>
      </c>
      <c r="Z768" s="108">
        <f>ABS(AL768-AL$1)</f>
        <v/>
      </c>
      <c r="AA768" s="108">
        <f>ABS(AM768-AM$1)</f>
        <v/>
      </c>
      <c r="AB768" s="108">
        <f>ABS(AN768-AN$1)</f>
        <v/>
      </c>
      <c r="AC768" s="108" t="n"/>
      <c r="AD768" s="108" t="n"/>
      <c r="AE768" s="108">
        <f>ABS(AQ$1-AQ768)</f>
        <v/>
      </c>
      <c r="AF768" s="108">
        <f>ABS(AR$1-AR768)</f>
        <v/>
      </c>
      <c r="AG768" s="108">
        <f>ABS(AS$1-AS768)</f>
        <v/>
      </c>
      <c r="AH768" s="108">
        <f>ABS(AT$1-AT768)</f>
        <v/>
      </c>
      <c r="AI768" s="108">
        <f>ABS(AU$1-AU768)</f>
        <v/>
      </c>
      <c r="AJ768" s="108">
        <f>(AV768-Driver!$K$179)/(Driver!$L$179-Driver!$K$179)</f>
        <v/>
      </c>
      <c r="AK768" s="108">
        <f>(AW768-Driver!$K$180)/(Driver!$L$180-Driver!$K$180)</f>
        <v/>
      </c>
      <c r="AL768" s="108">
        <f>(AX768-Driver!$K$181)/(Driver!$L$181-Driver!$K$181)</f>
        <v/>
      </c>
      <c r="AM768" s="108">
        <f>(AY768-Driver!$K$182)/(Driver!$L$182-Driver!$K$182)</f>
        <v/>
      </c>
      <c r="AN768" s="108">
        <f>(AZ768-Driver!$K$183)/(Driver!$L$183-Driver!$K$183)</f>
        <v/>
      </c>
      <c r="AO768" s="108" t="n"/>
      <c r="AP768" s="108" t="n"/>
      <c r="AQ768" s="108">
        <f>(BC768-Driver!$K$188)/(Driver!$L$188-Driver!$K$188)</f>
        <v/>
      </c>
      <c r="AR768" s="108">
        <f>MIN((BD768-Driver!$K$189)/(Driver!$L$189-Driver!$K$189),100%)</f>
        <v/>
      </c>
      <c r="AS768" s="108">
        <f>(BE768-Driver!$K$190)/(Driver!$L$190-Driver!$K$190)</f>
        <v/>
      </c>
      <c r="AT768" s="108">
        <f>(BF768-Driver!$K$191)/(Driver!$L$191-Driver!$K$191)</f>
        <v/>
      </c>
      <c r="AU768" s="108">
        <f>(BG768-Driver!$K$192)/(Driver!$L$192-Driver!$K$192)</f>
        <v/>
      </c>
      <c r="AV768" s="105">
        <f>IFERROR(BM768*BJ768^1/4,"")</f>
        <v/>
      </c>
      <c r="AW768" s="105">
        <f>IFERROR(SUM(AX768:AZ768),"")</f>
        <v/>
      </c>
      <c r="AX768" s="105">
        <f>IFERROR(BH768,"")</f>
        <v/>
      </c>
      <c r="AY768" s="105">
        <f>IFERROR(Driver!$K$19/Data!BH768/Data!BI768*Data!BK768*Data!BL768,"")</f>
        <v/>
      </c>
      <c r="AZ768" s="105">
        <f>IFERROR(BI768*BN768,"")</f>
        <v/>
      </c>
      <c r="BA768" s="105" t="n"/>
      <c r="BB768" s="105" t="n"/>
      <c r="BC768" s="105">
        <f>IFERROR(BI768*BN768*BK768/BJ768^(1/2),"")</f>
        <v/>
      </c>
      <c r="BD768" s="105">
        <f>IFERROR(BH768*BM768*BL768/BJ768/BK768,"")</f>
        <v/>
      </c>
      <c r="BE768" s="105">
        <f>IFERROR(MIN(BI768/BQ768/BP768/BO768/BH768,$BE$1),"")</f>
        <v/>
      </c>
      <c r="BF768" s="105">
        <f>IFERROR(BJ768*BO768*BP768/BK768,"")</f>
        <v/>
      </c>
      <c r="BG768" s="105">
        <f>IFERROR(1/BM768/BH768*BQ768,"")</f>
        <v/>
      </c>
      <c r="BH768" s="102">
        <f>MAX((CE768-Driver!$F$200)/(Driver!$G$200-Driver!$F$200)*$BI$1,1)</f>
        <v/>
      </c>
      <c r="BI768" s="102">
        <f>MAX($BI$1*(BY768-Driver!$F$201)/(Driver!$G$201-Driver!$F$201),1)</f>
        <v/>
      </c>
      <c r="BJ768" s="102">
        <f>(CB768-Driver!$F$206)/(Driver!$G$206-Driver!$F$206)*$BI$1</f>
        <v/>
      </c>
      <c r="BK768" s="102">
        <f>(CD768-Driver!$F$203)/(Driver!$G$203-Driver!$F$203)*$BI$1</f>
        <v/>
      </c>
      <c r="BL768" s="102">
        <f>MAX((CR768-Driver!$F$202)/(Driver!$G$202-Driver!$F$202)*$BI$1,1)</f>
        <v/>
      </c>
      <c r="BM768" s="102">
        <f>MAX((CH768-Driver!$F$204)/(Driver!$G$204-Driver!$F$204)*$BI$1,1)</f>
        <v/>
      </c>
      <c r="BN768" s="102">
        <f>(CI768-Driver!$F$205)/(Driver!$G$205-Driver!$F$205)*$BI$1</f>
        <v/>
      </c>
      <c r="BO768" s="102">
        <f>(CK768-Driver!$F$207)/(Driver!$G$207-Driver!$F$207)*$BI$1</f>
        <v/>
      </c>
      <c r="BP768" s="102">
        <f>(CM768-Driver!$F$208)/(Driver!$G$208-Driver!$F$208)*$BI$1</f>
        <v/>
      </c>
      <c r="BQ768" s="102">
        <f>(CL768-Driver!$F$209)/(Driver!$G$209-Driver!$F$209)*$BI$1</f>
        <v/>
      </c>
      <c r="BR768" s="40" t="inlineStr">
        <is>
          <t>21/22</t>
        </is>
      </c>
      <c r="BS768" s="10" t="inlineStr">
        <is>
          <t xml:space="preserve"> Armada</t>
        </is>
      </c>
      <c r="BT768" s="11" t="inlineStr">
        <is>
          <t>ARV 86</t>
        </is>
      </c>
      <c r="BU768" s="13" t="n">
        <v>184</v>
      </c>
      <c r="BV768" s="11" t="inlineStr">
        <is>
          <t xml:space="preserve"> Unisex</t>
        </is>
      </c>
      <c r="BW768" s="13" t="n">
        <v>184</v>
      </c>
      <c r="BX768" s="13" t="n">
        <v>181.7</v>
      </c>
      <c r="BY768" s="13" t="n">
        <v>147</v>
      </c>
      <c r="BZ768" s="13" t="n">
        <v>157</v>
      </c>
      <c r="CA768" s="13" t="n">
        <v>118</v>
      </c>
      <c r="CB768" s="13" t="n">
        <v>86</v>
      </c>
      <c r="CC768" s="13" t="n">
        <v>112</v>
      </c>
      <c r="CD768" s="13" t="n">
        <v>18.7</v>
      </c>
      <c r="CE768" s="13" t="n">
        <v>1901</v>
      </c>
      <c r="CF768" s="13" t="n">
        <v>0.93</v>
      </c>
      <c r="CG768" s="13" t="n">
        <v>1766</v>
      </c>
      <c r="CH768" s="13" t="n">
        <v>222</v>
      </c>
      <c r="CI768" s="13" t="n">
        <v>114</v>
      </c>
      <c r="CJ768" s="13" t="n">
        <v>45</v>
      </c>
      <c r="CK768" s="13" t="n">
        <v>187</v>
      </c>
      <c r="CL768" s="13" t="n">
        <v>37</v>
      </c>
      <c r="CM768" s="13" t="n">
        <v>158</v>
      </c>
      <c r="CN768" s="13" t="n">
        <v>0.838</v>
      </c>
      <c r="CO768" s="13" t="n">
        <v>116</v>
      </c>
      <c r="CP768" s="13" t="n">
        <v>129</v>
      </c>
      <c r="CQ768" s="13" t="n">
        <v>72</v>
      </c>
      <c r="CR768" s="13" t="n">
        <v>10</v>
      </c>
      <c r="CS768" s="13" t="n">
        <v>4.6</v>
      </c>
      <c r="CT768" s="11" t="inlineStr">
        <is>
          <t xml:space="preserve"> Resort Freeride</t>
        </is>
      </c>
      <c r="CU768" s="11" t="inlineStr">
        <is>
          <t xml:space="preserve"> Freeski</t>
        </is>
      </c>
      <c r="CV768" s="13" t="n"/>
      <c r="CW768" s="13" t="n"/>
      <c r="CX768">
        <f>INDEX('Data_Price '!AG$2:AG$1266,MATCH(Data!$DN768,'Data_Price '!$AT$2:$AT$1266,0))</f>
        <v/>
      </c>
      <c r="CY768">
        <f>INDEX('Data_Price '!AH$2:AH$1266,MATCH(Data!$DN768,'Data_Price '!$AT$2:$AT$1266,0))</f>
        <v/>
      </c>
      <c r="CZ768">
        <f>INDEX('Data_Price '!AI$2:AI$1266,MATCH(Data!$DN768,'Data_Price '!$AT$2:$AT$1266,0))</f>
        <v/>
      </c>
      <c r="DA768">
        <f>INDEX('Data_Price '!AJ$2:AJ$1266,MATCH(Data!$DN768,'Data_Price '!$AT$2:$AT$1266,0))</f>
        <v/>
      </c>
      <c r="DB768">
        <f>INDEX('Data_Price '!AK$2:AK$1266,MATCH(Data!$DN768,'Data_Price '!$AT$2:$AT$1266,0))</f>
        <v/>
      </c>
      <c r="DC768">
        <f>INDEX('Data_Price '!AL$2:AL$1266,MATCH(Data!$DN768,'Data_Price '!$AT$2:$AT$1266,0))</f>
        <v/>
      </c>
      <c r="DD768">
        <f>INDEX('Data_Price '!AM$2:AM$1266,MATCH(Data!$DN768,'Data_Price '!$AT$2:$AT$1266,0))</f>
        <v/>
      </c>
      <c r="DE768">
        <f>INDEX('Data_Price '!AN$2:AN$1266,MATCH(Data!$DN768,'Data_Price '!$AT$2:$AT$1266,0))</f>
        <v/>
      </c>
      <c r="DF768">
        <f>INDEX('Data_Price '!AO$2:AO$1266,MATCH(Data!$DN768,'Data_Price '!$AT$2:$AT$1266,0))</f>
        <v/>
      </c>
      <c r="DG768">
        <f>INDEX('Data_Price '!AP$2:AP$1266,MATCH(Data!$DN768,'Data_Price '!$AT$2:$AT$1266,0))</f>
        <v/>
      </c>
      <c r="DH768">
        <f>INDEX('Data_Price '!AQ$2:AQ$1266,MATCH(Data!$DN768,'Data_Price '!$AT$2:$AT$1266,0))</f>
        <v/>
      </c>
      <c r="DI768">
        <f>INDEX('Data_Price '!AR$2:AR$1266,MATCH(Data!$DN768,'Data_Price '!$AT$2:$AT$1266,0))</f>
        <v/>
      </c>
      <c r="DJ768" s="138">
        <f>DA768</f>
        <v/>
      </c>
      <c r="DK768" s="138">
        <f>DE768</f>
        <v/>
      </c>
      <c r="DL768" s="138">
        <f>DI768</f>
        <v/>
      </c>
      <c r="DM768" s="303">
        <f>IF(LEFT(BT768,1)=" ",RIGHT(BT768,LEN(BT768)-1),BT768)</f>
        <v/>
      </c>
      <c r="DN768" s="138">
        <f>_xlfn.CONCAT(BS768,DM768,BU768,BV768)</f>
        <v/>
      </c>
      <c r="DO768" s="307" t="inlineStr">
        <is>
          <t>https://images.evo.com/imgp/250/198699/839665/armada-arv-86-skis-2022-.jpg</t>
        </is>
      </c>
    </row>
    <row r="769" ht="15.6" customHeight="1" s="184">
      <c r="B769" s="303">
        <f t="array" ref="B769">IF(OR(ISERROR(K769:P769)),FALSE,TRUE)</f>
        <v/>
      </c>
      <c r="C769" s="60">
        <f>OR(BR769=Driver!$G$50,Data!BR829=Driver!$H$50)</f>
        <v/>
      </c>
      <c r="D769" s="60">
        <f>OR(BV769=Driver!$G$51,BV769=Driver!$H$51)</f>
        <v/>
      </c>
      <c r="E769" s="60">
        <f>AND(BX769&gt;Driver!$F$54,BX769&lt;Driver!$G$54)</f>
        <v/>
      </c>
      <c r="F769" s="60">
        <f>CL769&gt;Driver!$F$56</f>
        <v/>
      </c>
      <c r="G769" s="60">
        <f>AND(CB769&gt;Driver!$F$55,CB769&lt;Driver!$G$55)</f>
        <v/>
      </c>
      <c r="H769" s="60">
        <f>AND(B769:G769)</f>
        <v/>
      </c>
      <c r="I769" s="60">
        <f>COUNTIFS($H$9:$H$1273,TRUE,$BT$9:$BT$1273,BT769)</f>
        <v/>
      </c>
      <c r="J769" s="60">
        <f t="array" ref="J769">NOT(OR(($H$9:$H$1273=TRUE)*($I$9:$I$1273&gt;0)*($BT$9:$BT$1273=BT769)*($K$9:$K$1273&gt;K769)))</f>
        <v/>
      </c>
      <c r="K769" s="108">
        <f>IFERROR(1-AVERAGE(X769:Y769),"")</f>
        <v/>
      </c>
      <c r="L769" s="108">
        <f>1-X769</f>
        <v/>
      </c>
      <c r="M769" s="108">
        <f>1-Y769</f>
        <v/>
      </c>
      <c r="N769" s="108">
        <f>1-Z769</f>
        <v/>
      </c>
      <c r="O769" s="108">
        <f>1-AA769</f>
        <v/>
      </c>
      <c r="P769" s="108">
        <f>1-AB769</f>
        <v/>
      </c>
      <c r="Q769" s="108" t="n"/>
      <c r="R769" s="108" t="n"/>
      <c r="S769" s="108">
        <f>1-AE769</f>
        <v/>
      </c>
      <c r="T769" s="108">
        <f>1-AF769</f>
        <v/>
      </c>
      <c r="U769" s="108">
        <f>1-AG769</f>
        <v/>
      </c>
      <c r="V769" s="108">
        <f>1-AH769</f>
        <v/>
      </c>
      <c r="W769" s="108">
        <f>1-AI769</f>
        <v/>
      </c>
      <c r="X769" s="108">
        <f>ABS(AJ769-AJ$1)</f>
        <v/>
      </c>
      <c r="Y769" s="108">
        <f>AVERAGE(Z769:AB769)</f>
        <v/>
      </c>
      <c r="Z769" s="108">
        <f>ABS(AL769-AL$1)</f>
        <v/>
      </c>
      <c r="AA769" s="108">
        <f>ABS(AM769-AM$1)</f>
        <v/>
      </c>
      <c r="AB769" s="108">
        <f>ABS(AN769-AN$1)</f>
        <v/>
      </c>
      <c r="AC769" s="108" t="n"/>
      <c r="AD769" s="108" t="n"/>
      <c r="AE769" s="108">
        <f>ABS(AQ$1-AQ769)</f>
        <v/>
      </c>
      <c r="AF769" s="108">
        <f>ABS(AR$1-AR769)</f>
        <v/>
      </c>
      <c r="AG769" s="108">
        <f>ABS(AS$1-AS769)</f>
        <v/>
      </c>
      <c r="AH769" s="108">
        <f>ABS(AT$1-AT769)</f>
        <v/>
      </c>
      <c r="AI769" s="108">
        <f>ABS(AU$1-AU769)</f>
        <v/>
      </c>
      <c r="AJ769" s="108">
        <f>(AV769-Driver!$K$179)/(Driver!$L$179-Driver!$K$179)</f>
        <v/>
      </c>
      <c r="AK769" s="108">
        <f>(AW769-Driver!$K$180)/(Driver!$L$180-Driver!$K$180)</f>
        <v/>
      </c>
      <c r="AL769" s="108">
        <f>(AX769-Driver!$K$181)/(Driver!$L$181-Driver!$K$181)</f>
        <v/>
      </c>
      <c r="AM769" s="108">
        <f>(AY769-Driver!$K$182)/(Driver!$L$182-Driver!$K$182)</f>
        <v/>
      </c>
      <c r="AN769" s="108">
        <f>(AZ769-Driver!$K$183)/(Driver!$L$183-Driver!$K$183)</f>
        <v/>
      </c>
      <c r="AO769" s="108" t="n"/>
      <c r="AP769" s="108" t="n"/>
      <c r="AQ769" s="108">
        <f>(BC769-Driver!$K$188)/(Driver!$L$188-Driver!$K$188)</f>
        <v/>
      </c>
      <c r="AR769" s="108">
        <f>MIN((BD769-Driver!$K$189)/(Driver!$L$189-Driver!$K$189),100%)</f>
        <v/>
      </c>
      <c r="AS769" s="108">
        <f>(BE769-Driver!$K$190)/(Driver!$L$190-Driver!$K$190)</f>
        <v/>
      </c>
      <c r="AT769" s="108">
        <f>(BF769-Driver!$K$191)/(Driver!$L$191-Driver!$K$191)</f>
        <v/>
      </c>
      <c r="AU769" s="108">
        <f>(BG769-Driver!$K$192)/(Driver!$L$192-Driver!$K$192)</f>
        <v/>
      </c>
      <c r="AV769" s="105">
        <f>IFERROR(BM769*BJ769^1/4,"")</f>
        <v/>
      </c>
      <c r="AW769" s="105">
        <f>IFERROR(SUM(AX769:AZ769),"")</f>
        <v/>
      </c>
      <c r="AX769" s="105">
        <f>IFERROR(BH769,"")</f>
        <v/>
      </c>
      <c r="AY769" s="105">
        <f>IFERROR(Driver!$K$19/Data!BH769/Data!BI769*Data!BK769*Data!BL769,"")</f>
        <v/>
      </c>
      <c r="AZ769" s="105">
        <f>IFERROR(BI769*BN769,"")</f>
        <v/>
      </c>
      <c r="BA769" s="105" t="n"/>
      <c r="BB769" s="105" t="n"/>
      <c r="BC769" s="105">
        <f>IFERROR(BI769*BN769*BK769/BJ769^(1/2),"")</f>
        <v/>
      </c>
      <c r="BD769" s="105">
        <f>IFERROR(BH769*BM769*BL769/BJ769/BK769,"")</f>
        <v/>
      </c>
      <c r="BE769" s="105">
        <f>IFERROR(MIN(BI769/BQ769/BP769/BO769/BH769,$BE$1),"")</f>
        <v/>
      </c>
      <c r="BF769" s="105">
        <f>IFERROR(BJ769*BO769*BP769/BK769,"")</f>
        <v/>
      </c>
      <c r="BG769" s="105">
        <f>IFERROR(1/BM769/BH769*BQ769,"")</f>
        <v/>
      </c>
      <c r="BH769" s="102">
        <f>MAX((CE769-Driver!$F$200)/(Driver!$G$200-Driver!$F$200)*$BI$1,1)</f>
        <v/>
      </c>
      <c r="BI769" s="102">
        <f>MAX($BI$1*(BY769-Driver!$F$201)/(Driver!$G$201-Driver!$F$201),1)</f>
        <v/>
      </c>
      <c r="BJ769" s="102">
        <f>(CB769-Driver!$F$206)/(Driver!$G$206-Driver!$F$206)*$BI$1</f>
        <v/>
      </c>
      <c r="BK769" s="102">
        <f>(CD769-Driver!$F$203)/(Driver!$G$203-Driver!$F$203)*$BI$1</f>
        <v/>
      </c>
      <c r="BL769" s="102">
        <f>MAX((CR769-Driver!$F$202)/(Driver!$G$202-Driver!$F$202)*$BI$1,1)</f>
        <v/>
      </c>
      <c r="BM769" s="102">
        <f>MAX((CH769-Driver!$F$204)/(Driver!$G$204-Driver!$F$204)*$BI$1,1)</f>
        <v/>
      </c>
      <c r="BN769" s="102">
        <f>(CI769-Driver!$F$205)/(Driver!$G$205-Driver!$F$205)*$BI$1</f>
        <v/>
      </c>
      <c r="BO769" s="102">
        <f>(CK769-Driver!$F$207)/(Driver!$G$207-Driver!$F$207)*$BI$1</f>
        <v/>
      </c>
      <c r="BP769" s="102">
        <f>(CM769-Driver!$F$208)/(Driver!$G$208-Driver!$F$208)*$BI$1</f>
        <v/>
      </c>
      <c r="BQ769" s="102">
        <f>(CL769-Driver!$F$209)/(Driver!$G$209-Driver!$F$209)*$BI$1</f>
        <v/>
      </c>
      <c r="BR769" s="40" t="inlineStr">
        <is>
          <t>21/22</t>
        </is>
      </c>
      <c r="BS769" s="10" t="inlineStr">
        <is>
          <t xml:space="preserve"> Line</t>
        </is>
      </c>
      <c r="BT769" s="11" t="inlineStr">
        <is>
          <t xml:space="preserve"> Blend</t>
        </is>
      </c>
      <c r="BU769" s="13" t="n">
        <v>185</v>
      </c>
      <c r="BV769" s="11" t="inlineStr">
        <is>
          <t xml:space="preserve"> Unisex</t>
        </is>
      </c>
      <c r="BW769" s="13" t="n">
        <v>185</v>
      </c>
      <c r="BX769" s="13" t="n">
        <v>185.5</v>
      </c>
      <c r="BY769" s="13" t="n">
        <v>140</v>
      </c>
      <c r="BZ769" s="13" t="n">
        <v>161</v>
      </c>
      <c r="CA769" s="13" t="n">
        <v>132</v>
      </c>
      <c r="CB769" s="13" t="n">
        <v>99</v>
      </c>
      <c r="CC769" s="13" t="n">
        <v>121</v>
      </c>
      <c r="CD769" s="13" t="n">
        <v>23.6</v>
      </c>
      <c r="CE769" s="13" t="n">
        <v>1873</v>
      </c>
      <c r="CF769" s="13" t="n">
        <v>1.08</v>
      </c>
      <c r="CG769" s="13" t="n">
        <v>2021</v>
      </c>
      <c r="CH769" s="13" t="n">
        <v>154</v>
      </c>
      <c r="CI769" s="13" t="n">
        <v>73</v>
      </c>
      <c r="CJ769" s="13" t="n">
        <v>42</v>
      </c>
      <c r="CK769" s="13" t="n">
        <v>218</v>
      </c>
      <c r="CL769" s="13" t="n">
        <v>34</v>
      </c>
      <c r="CM769" s="13" t="n">
        <v>234</v>
      </c>
      <c r="CN769" s="13" t="n">
        <v>0.8</v>
      </c>
      <c r="CO769" s="13" t="n">
        <v>113</v>
      </c>
      <c r="CP769" s="13" t="n">
        <v>135</v>
      </c>
      <c r="CQ769" s="13" t="n">
        <v>106</v>
      </c>
      <c r="CR769" s="13" t="n">
        <v>8</v>
      </c>
      <c r="CS769" s="13" t="n">
        <v>3.9</v>
      </c>
      <c r="CT769" s="11" t="inlineStr">
        <is>
          <t xml:space="preserve"> Resort Freeride</t>
        </is>
      </c>
      <c r="CU769" s="11" t="inlineStr">
        <is>
          <t xml:space="preserve"> Freeski</t>
        </is>
      </c>
      <c r="CV769" s="11" t="inlineStr">
        <is>
          <t xml:space="preserve"> Touring</t>
        </is>
      </c>
      <c r="CW769" s="13" t="n"/>
      <c r="CX769">
        <f>INDEX('Data_Price '!AG$2:AG$1266,MATCH(Data!$DN769,'Data_Price '!$AT$2:$AT$1266,0))</f>
        <v/>
      </c>
      <c r="CY769">
        <f>INDEX('Data_Price '!AH$2:AH$1266,MATCH(Data!$DN769,'Data_Price '!$AT$2:$AT$1266,0))</f>
        <v/>
      </c>
      <c r="CZ769">
        <f>INDEX('Data_Price '!AI$2:AI$1266,MATCH(Data!$DN769,'Data_Price '!$AT$2:$AT$1266,0))</f>
        <v/>
      </c>
      <c r="DA769">
        <f>INDEX('Data_Price '!AJ$2:AJ$1266,MATCH(Data!$DN769,'Data_Price '!$AT$2:$AT$1266,0))</f>
        <v/>
      </c>
      <c r="DB769">
        <f>INDEX('Data_Price '!AK$2:AK$1266,MATCH(Data!$DN769,'Data_Price '!$AT$2:$AT$1266,0))</f>
        <v/>
      </c>
      <c r="DC769">
        <f>INDEX('Data_Price '!AL$2:AL$1266,MATCH(Data!$DN769,'Data_Price '!$AT$2:$AT$1266,0))</f>
        <v/>
      </c>
      <c r="DD769">
        <f>INDEX('Data_Price '!AM$2:AM$1266,MATCH(Data!$DN769,'Data_Price '!$AT$2:$AT$1266,0))</f>
        <v/>
      </c>
      <c r="DE769">
        <f>INDEX('Data_Price '!AN$2:AN$1266,MATCH(Data!$DN769,'Data_Price '!$AT$2:$AT$1266,0))</f>
        <v/>
      </c>
      <c r="DF769">
        <f>INDEX('Data_Price '!AO$2:AO$1266,MATCH(Data!$DN769,'Data_Price '!$AT$2:$AT$1266,0))</f>
        <v/>
      </c>
      <c r="DG769">
        <f>INDEX('Data_Price '!AP$2:AP$1266,MATCH(Data!$DN769,'Data_Price '!$AT$2:$AT$1266,0))</f>
        <v/>
      </c>
      <c r="DH769">
        <f>INDEX('Data_Price '!AQ$2:AQ$1266,MATCH(Data!$DN769,'Data_Price '!$AT$2:$AT$1266,0))</f>
        <v/>
      </c>
      <c r="DI769">
        <f>INDEX('Data_Price '!AR$2:AR$1266,MATCH(Data!$DN769,'Data_Price '!$AT$2:$AT$1266,0))</f>
        <v/>
      </c>
      <c r="DJ769" s="138">
        <f>DA769</f>
        <v/>
      </c>
      <c r="DK769" s="138">
        <f>DE769</f>
        <v/>
      </c>
      <c r="DL769" s="138">
        <f>DI769</f>
        <v/>
      </c>
      <c r="DM769" s="303">
        <f>IF(LEFT(BT769,1)=" ",RIGHT(BT769,LEN(BT769)-1),BT769)</f>
        <v/>
      </c>
      <c r="DN769" s="138">
        <f>_xlfn.CONCAT(BS769,DM769,BU769,BV769)</f>
        <v/>
      </c>
      <c r="DO769" s="307" t="inlineStr">
        <is>
          <t>https://images.evo.com/imgp/250/197209/792880/line-skis-blend-skis-2022-.jpg</t>
        </is>
      </c>
    </row>
    <row r="770" ht="15.6" customHeight="1" s="184">
      <c r="B770" s="303">
        <f t="array" ref="B770">IF(OR(ISERROR(K770:P770)),FALSE,TRUE)</f>
        <v/>
      </c>
      <c r="C770" s="60">
        <f>OR(BR770=Driver!$G$50,Data!BR1171=Driver!$H$50)</f>
        <v/>
      </c>
      <c r="D770" s="60">
        <f>OR(BV770=Driver!$G$51,BV770=Driver!$H$51)</f>
        <v/>
      </c>
      <c r="E770" s="60">
        <f>AND(BX770&gt;Driver!$F$54,BX770&lt;Driver!$G$54)</f>
        <v/>
      </c>
      <c r="F770" s="60">
        <f>CL770&gt;Driver!$F$56</f>
        <v/>
      </c>
      <c r="G770" s="60">
        <f>AND(CB770&gt;Driver!$F$55,CB770&lt;Driver!$G$55)</f>
        <v/>
      </c>
      <c r="H770" s="60">
        <f>AND(B770:G770)</f>
        <v/>
      </c>
      <c r="I770" s="60">
        <f>COUNTIFS($H$9:$H$1273,TRUE,$BT$9:$BT$1273,BT770)</f>
        <v/>
      </c>
      <c r="J770" s="60">
        <f t="array" ref="J770">NOT(OR(($H$9:$H$1273=TRUE)*($I$9:$I$1273&gt;0)*($BT$9:$BT$1273=BT770)*($K$9:$K$1273&gt;K770)))</f>
        <v/>
      </c>
      <c r="K770" s="108">
        <f>IFERROR(1-AVERAGE(X770:Y770),"")</f>
        <v/>
      </c>
      <c r="L770" s="108">
        <f>1-X770</f>
        <v/>
      </c>
      <c r="M770" s="108">
        <f>1-Y770</f>
        <v/>
      </c>
      <c r="N770" s="108">
        <f>1-Z770</f>
        <v/>
      </c>
      <c r="O770" s="108">
        <f>1-AA770</f>
        <v/>
      </c>
      <c r="P770" s="108">
        <f>1-AB770</f>
        <v/>
      </c>
      <c r="Q770" s="108" t="n"/>
      <c r="R770" s="108" t="n"/>
      <c r="S770" s="108">
        <f>1-AE770</f>
        <v/>
      </c>
      <c r="T770" s="108">
        <f>1-AF770</f>
        <v/>
      </c>
      <c r="U770" s="108">
        <f>1-AG770</f>
        <v/>
      </c>
      <c r="V770" s="108">
        <f>1-AH770</f>
        <v/>
      </c>
      <c r="W770" s="108">
        <f>1-AI770</f>
        <v/>
      </c>
      <c r="X770" s="108">
        <f>ABS(AJ770-AJ$1)</f>
        <v/>
      </c>
      <c r="Y770" s="108">
        <f>AVERAGE(Z770:AB770)</f>
        <v/>
      </c>
      <c r="Z770" s="108">
        <f>ABS(AL770-AL$1)</f>
        <v/>
      </c>
      <c r="AA770" s="108">
        <f>ABS(AM770-AM$1)</f>
        <v/>
      </c>
      <c r="AB770" s="108">
        <f>ABS(AN770-AN$1)</f>
        <v/>
      </c>
      <c r="AC770" s="108" t="n"/>
      <c r="AD770" s="108" t="n"/>
      <c r="AE770" s="108">
        <f>ABS(AQ$1-AQ770)</f>
        <v/>
      </c>
      <c r="AF770" s="108">
        <f>ABS(AR$1-AR770)</f>
        <v/>
      </c>
      <c r="AG770" s="108">
        <f>ABS(AS$1-AS770)</f>
        <v/>
      </c>
      <c r="AH770" s="108">
        <f>ABS(AT$1-AT770)</f>
        <v/>
      </c>
      <c r="AI770" s="108">
        <f>ABS(AU$1-AU770)</f>
        <v/>
      </c>
      <c r="AJ770" s="108">
        <f>(AV770-Driver!$K$179)/(Driver!$L$179-Driver!$K$179)</f>
        <v/>
      </c>
      <c r="AK770" s="108">
        <f>(AW770-Driver!$K$180)/(Driver!$L$180-Driver!$K$180)</f>
        <v/>
      </c>
      <c r="AL770" s="108">
        <f>(AX770-Driver!$K$181)/(Driver!$L$181-Driver!$K$181)</f>
        <v/>
      </c>
      <c r="AM770" s="108">
        <f>(AY770-Driver!$K$182)/(Driver!$L$182-Driver!$K$182)</f>
        <v/>
      </c>
      <c r="AN770" s="108">
        <f>(AZ770-Driver!$K$183)/(Driver!$L$183-Driver!$K$183)</f>
        <v/>
      </c>
      <c r="AO770" s="108" t="n"/>
      <c r="AP770" s="108" t="n"/>
      <c r="AQ770" s="108">
        <f>(BC770-Driver!$K$188)/(Driver!$L$188-Driver!$K$188)</f>
        <v/>
      </c>
      <c r="AR770" s="108">
        <f>MIN((BD770-Driver!$K$189)/(Driver!$L$189-Driver!$K$189),100%)</f>
        <v/>
      </c>
      <c r="AS770" s="108">
        <f>(BE770-Driver!$K$190)/(Driver!$L$190-Driver!$K$190)</f>
        <v/>
      </c>
      <c r="AT770" s="108">
        <f>(BF770-Driver!$K$191)/(Driver!$L$191-Driver!$K$191)</f>
        <v/>
      </c>
      <c r="AU770" s="108">
        <f>(BG770-Driver!$K$192)/(Driver!$L$192-Driver!$K$192)</f>
        <v/>
      </c>
      <c r="AV770" s="105">
        <f>IFERROR(BM770*BJ770^1/4,"")</f>
        <v/>
      </c>
      <c r="AW770" s="105">
        <f>IFERROR(SUM(AX770:AZ770),"")</f>
        <v/>
      </c>
      <c r="AX770" s="105">
        <f>IFERROR(BH770,"")</f>
        <v/>
      </c>
      <c r="AY770" s="105">
        <f>IFERROR(Driver!$K$19/Data!BH770/Data!BI770*Data!BK770*Data!BL770,"")</f>
        <v/>
      </c>
      <c r="AZ770" s="105">
        <f>IFERROR(BI770*BN770,"")</f>
        <v/>
      </c>
      <c r="BA770" s="105" t="n"/>
      <c r="BB770" s="105" t="n"/>
      <c r="BC770" s="105">
        <f>IFERROR(BI770*BN770*BK770/BJ770^(1/2),"")</f>
        <v/>
      </c>
      <c r="BD770" s="105">
        <f>IFERROR(BH770*BM770*BL770/BJ770/BK770,"")</f>
        <v/>
      </c>
      <c r="BE770" s="105">
        <f>IFERROR(MIN(BI770/BQ770/BP770/BO770/BH770,$BE$1),"")</f>
        <v/>
      </c>
      <c r="BF770" s="105">
        <f>IFERROR(BJ770*BO770*BP770/BK770,"")</f>
        <v/>
      </c>
      <c r="BG770" s="105">
        <f>IFERROR(1/BM770/BH770*BQ770,"")</f>
        <v/>
      </c>
      <c r="BH770" s="102">
        <f>MAX((CE770-Driver!$F$200)/(Driver!$G$200-Driver!$F$200)*$BI$1,1)</f>
        <v/>
      </c>
      <c r="BI770" s="102">
        <f>MAX($BI$1*(BY770-Driver!$F$201)/(Driver!$G$201-Driver!$F$201),1)</f>
        <v/>
      </c>
      <c r="BJ770" s="102">
        <f>(CB770-Driver!$F$206)/(Driver!$G$206-Driver!$F$206)*$BI$1</f>
        <v/>
      </c>
      <c r="BK770" s="102">
        <f>(CD770-Driver!$F$203)/(Driver!$G$203-Driver!$F$203)*$BI$1</f>
        <v/>
      </c>
      <c r="BL770" s="102">
        <f>MAX((CR770-Driver!$F$202)/(Driver!$G$202-Driver!$F$202)*$BI$1,1)</f>
        <v/>
      </c>
      <c r="BM770" s="102">
        <f>MAX((CH770-Driver!$F$204)/(Driver!$G$204-Driver!$F$204)*$BI$1,1)</f>
        <v/>
      </c>
      <c r="BN770" s="102">
        <f>(CI770-Driver!$F$205)/(Driver!$G$205-Driver!$F$205)*$BI$1</f>
        <v/>
      </c>
      <c r="BO770" s="102">
        <f>(CK770-Driver!$F$207)/(Driver!$G$207-Driver!$F$207)*$BI$1</f>
        <v/>
      </c>
      <c r="BP770" s="102">
        <f>(CM770-Driver!$F$208)/(Driver!$G$208-Driver!$F$208)*$BI$1</f>
        <v/>
      </c>
      <c r="BQ770" s="102">
        <f>(CL770-Driver!$F$209)/(Driver!$G$209-Driver!$F$209)*$BI$1</f>
        <v/>
      </c>
      <c r="BR770" s="40" t="inlineStr">
        <is>
          <t>21/22</t>
        </is>
      </c>
      <c r="BS770" s="10" t="inlineStr">
        <is>
          <t xml:space="preserve"> Völkl</t>
        </is>
      </c>
      <c r="BT770" s="11" t="inlineStr">
        <is>
          <t>Blaze 94</t>
        </is>
      </c>
      <c r="BU770" s="13" t="n">
        <v>158</v>
      </c>
      <c r="BV770" s="11" t="inlineStr">
        <is>
          <t xml:space="preserve"> Unisex</t>
        </is>
      </c>
      <c r="BW770" s="13" t="n">
        <v>158</v>
      </c>
      <c r="BX770" s="13" t="n">
        <v>159.4</v>
      </c>
      <c r="BY770" s="13" t="n">
        <v>80</v>
      </c>
      <c r="BZ770" s="13" t="n">
        <v>135</v>
      </c>
      <c r="CA770" s="13" t="n">
        <v>133</v>
      </c>
      <c r="CB770" s="13" t="n">
        <v>93</v>
      </c>
      <c r="CC770" s="13" t="n">
        <v>115</v>
      </c>
      <c r="CD770" s="13" t="n">
        <v>13.6</v>
      </c>
      <c r="CE770" s="13" t="n">
        <v>1430</v>
      </c>
      <c r="CF770" s="13" t="n">
        <v>1.18</v>
      </c>
      <c r="CG770" s="13" t="n">
        <v>1692</v>
      </c>
      <c r="CH770" s="13" t="n">
        <v>169</v>
      </c>
      <c r="CI770" s="13" t="n">
        <v>90</v>
      </c>
      <c r="CJ770" s="13" t="n">
        <v>48</v>
      </c>
      <c r="CK770" s="13" t="n">
        <v>456</v>
      </c>
      <c r="CL770" s="13" t="n">
        <v>21</v>
      </c>
      <c r="CM770" s="13" t="n">
        <v>337</v>
      </c>
      <c r="CN770" s="13" t="n">
        <v>0.435</v>
      </c>
      <c r="CO770" s="13" t="n">
        <v>141</v>
      </c>
      <c r="CP770" s="13" t="n">
        <v>104</v>
      </c>
      <c r="CQ770" s="13" t="n">
        <v>315</v>
      </c>
      <c r="CR770" s="13" t="n">
        <v>1</v>
      </c>
      <c r="CS770" s="13" t="n">
        <v>12.3</v>
      </c>
      <c r="CT770" s="11" t="inlineStr">
        <is>
          <t xml:space="preserve"> Resort Freeride</t>
        </is>
      </c>
      <c r="CU770" s="11" t="inlineStr">
        <is>
          <t xml:space="preserve"> Touring</t>
        </is>
      </c>
      <c r="CV770" s="13" t="n"/>
      <c r="CW770" s="13" t="n"/>
      <c r="CX770">
        <f>INDEX('Data_Price '!AG$2:AG$1266,MATCH(Data!$DN770,'Data_Price '!$AT$2:$AT$1266,0))</f>
        <v/>
      </c>
      <c r="CY770">
        <f>INDEX('Data_Price '!AH$2:AH$1266,MATCH(Data!$DN770,'Data_Price '!$AT$2:$AT$1266,0))</f>
        <v/>
      </c>
      <c r="CZ770">
        <f>INDEX('Data_Price '!AI$2:AI$1266,MATCH(Data!$DN770,'Data_Price '!$AT$2:$AT$1266,0))</f>
        <v/>
      </c>
      <c r="DA770">
        <f>INDEX('Data_Price '!AJ$2:AJ$1266,MATCH(Data!$DN770,'Data_Price '!$AT$2:$AT$1266,0))</f>
        <v/>
      </c>
      <c r="DB770">
        <f>INDEX('Data_Price '!AK$2:AK$1266,MATCH(Data!$DN770,'Data_Price '!$AT$2:$AT$1266,0))</f>
        <v/>
      </c>
      <c r="DC770">
        <f>INDEX('Data_Price '!AL$2:AL$1266,MATCH(Data!$DN770,'Data_Price '!$AT$2:$AT$1266,0))</f>
        <v/>
      </c>
      <c r="DD770">
        <f>INDEX('Data_Price '!AM$2:AM$1266,MATCH(Data!$DN770,'Data_Price '!$AT$2:$AT$1266,0))</f>
        <v/>
      </c>
      <c r="DE770">
        <f>INDEX('Data_Price '!AN$2:AN$1266,MATCH(Data!$DN770,'Data_Price '!$AT$2:$AT$1266,0))</f>
        <v/>
      </c>
      <c r="DF770">
        <f>INDEX('Data_Price '!AO$2:AO$1266,MATCH(Data!$DN770,'Data_Price '!$AT$2:$AT$1266,0))</f>
        <v/>
      </c>
      <c r="DG770">
        <f>INDEX('Data_Price '!AP$2:AP$1266,MATCH(Data!$DN770,'Data_Price '!$AT$2:$AT$1266,0))</f>
        <v/>
      </c>
      <c r="DH770">
        <f>INDEX('Data_Price '!AQ$2:AQ$1266,MATCH(Data!$DN770,'Data_Price '!$AT$2:$AT$1266,0))</f>
        <v/>
      </c>
      <c r="DI770">
        <f>INDEX('Data_Price '!AR$2:AR$1266,MATCH(Data!$DN770,'Data_Price '!$AT$2:$AT$1266,0))</f>
        <v/>
      </c>
      <c r="DJ770" s="138">
        <f>DA770</f>
        <v/>
      </c>
      <c r="DK770" s="138">
        <f>DE770</f>
        <v/>
      </c>
      <c r="DL770" s="138">
        <f>DI770</f>
        <v/>
      </c>
      <c r="DM770" s="303">
        <f>IF(LEFT(BT770,1)=" ",RIGHT(BT770,LEN(BT770)-1),BT770)</f>
        <v/>
      </c>
      <c r="DN770" s="138">
        <f>_xlfn.CONCAT(BS770,DM770,BU770,BV770)</f>
        <v/>
      </c>
      <c r="DO770" s="307" t="inlineStr">
        <is>
          <t>https://images.evo.com/imgp/250/208354/837597/clone.jpg</t>
        </is>
      </c>
    </row>
    <row r="771" ht="15.6" customHeight="1" s="184">
      <c r="B771" s="303">
        <f t="array" ref="B771">IF(OR(ISERROR(K771:P771)),FALSE,TRUE)</f>
        <v/>
      </c>
      <c r="C771" s="60">
        <f>OR(BR771=Driver!$G$50,Data!BR442=Driver!$H$50)</f>
        <v/>
      </c>
      <c r="D771" s="60">
        <f>OR(BV771=Driver!$G$51,BV771=Driver!$H$51)</f>
        <v/>
      </c>
      <c r="E771" s="60">
        <f>AND(BX771&gt;Driver!$F$54,BX771&lt;Driver!$G$54)</f>
        <v/>
      </c>
      <c r="F771" s="60">
        <f>CL771&gt;Driver!$F$56</f>
        <v/>
      </c>
      <c r="G771" s="60">
        <f>AND(CB771&gt;Driver!$F$55,CB771&lt;Driver!$G$55)</f>
        <v/>
      </c>
      <c r="H771" s="60">
        <f>AND(B771:G771)</f>
        <v/>
      </c>
      <c r="I771" s="60">
        <f>COUNTIFS($H$9:$H$1273,TRUE,$BT$9:$BT$1273,BT771)</f>
        <v/>
      </c>
      <c r="J771" s="60">
        <f t="array" ref="J771">NOT(OR(($H$9:$H$1273=TRUE)*($I$9:$I$1273&gt;0)*($BT$9:$BT$1273=BT771)*($K$9:$K$1273&gt;K771)))</f>
        <v/>
      </c>
      <c r="K771" s="108">
        <f>IFERROR(1-AVERAGE(X771:Y771),"")</f>
        <v/>
      </c>
      <c r="L771" s="108">
        <f>1-X771</f>
        <v/>
      </c>
      <c r="M771" s="108">
        <f>1-Y771</f>
        <v/>
      </c>
      <c r="N771" s="108">
        <f>1-Z771</f>
        <v/>
      </c>
      <c r="O771" s="108">
        <f>1-AA771</f>
        <v/>
      </c>
      <c r="P771" s="108">
        <f>1-AB771</f>
        <v/>
      </c>
      <c r="Q771" s="108" t="n"/>
      <c r="R771" s="108" t="n"/>
      <c r="S771" s="108">
        <f>1-AE771</f>
        <v/>
      </c>
      <c r="T771" s="108">
        <f>1-AF771</f>
        <v/>
      </c>
      <c r="U771" s="108">
        <f>1-AG771</f>
        <v/>
      </c>
      <c r="V771" s="108">
        <f>1-AH771</f>
        <v/>
      </c>
      <c r="W771" s="108">
        <f>1-AI771</f>
        <v/>
      </c>
      <c r="X771" s="108">
        <f>ABS(AJ771-AJ$1)</f>
        <v/>
      </c>
      <c r="Y771" s="108">
        <f>AVERAGE(Z771:AB771)</f>
        <v/>
      </c>
      <c r="Z771" s="108">
        <f>ABS(AL771-AL$1)</f>
        <v/>
      </c>
      <c r="AA771" s="108">
        <f>ABS(AM771-AM$1)</f>
        <v/>
      </c>
      <c r="AB771" s="108">
        <f>ABS(AN771-AN$1)</f>
        <v/>
      </c>
      <c r="AC771" s="108" t="n"/>
      <c r="AD771" s="108" t="n"/>
      <c r="AE771" s="108">
        <f>ABS(AQ$1-AQ771)</f>
        <v/>
      </c>
      <c r="AF771" s="108">
        <f>ABS(AR$1-AR771)</f>
        <v/>
      </c>
      <c r="AG771" s="108">
        <f>ABS(AS$1-AS771)</f>
        <v/>
      </c>
      <c r="AH771" s="108">
        <f>ABS(AT$1-AT771)</f>
        <v/>
      </c>
      <c r="AI771" s="108">
        <f>ABS(AU$1-AU771)</f>
        <v/>
      </c>
      <c r="AJ771" s="108">
        <f>(AV771-Driver!$K$179)/(Driver!$L$179-Driver!$K$179)</f>
        <v/>
      </c>
      <c r="AK771" s="108">
        <f>(AW771-Driver!$K$180)/(Driver!$L$180-Driver!$K$180)</f>
        <v/>
      </c>
      <c r="AL771" s="108">
        <f>(AX771-Driver!$K$181)/(Driver!$L$181-Driver!$K$181)</f>
        <v/>
      </c>
      <c r="AM771" s="108">
        <f>(AY771-Driver!$K$182)/(Driver!$L$182-Driver!$K$182)</f>
        <v/>
      </c>
      <c r="AN771" s="108">
        <f>(AZ771-Driver!$K$183)/(Driver!$L$183-Driver!$K$183)</f>
        <v/>
      </c>
      <c r="AO771" s="108" t="n"/>
      <c r="AP771" s="108" t="n"/>
      <c r="AQ771" s="108">
        <f>(BC771-Driver!$K$188)/(Driver!$L$188-Driver!$K$188)</f>
        <v/>
      </c>
      <c r="AR771" s="108">
        <f>MIN((BD771-Driver!$K$189)/(Driver!$L$189-Driver!$K$189),100%)</f>
        <v/>
      </c>
      <c r="AS771" s="108">
        <f>(BE771-Driver!$K$190)/(Driver!$L$190-Driver!$K$190)</f>
        <v/>
      </c>
      <c r="AT771" s="108">
        <f>(BF771-Driver!$K$191)/(Driver!$L$191-Driver!$K$191)</f>
        <v/>
      </c>
      <c r="AU771" s="108">
        <f>(BG771-Driver!$K$192)/(Driver!$L$192-Driver!$K$192)</f>
        <v/>
      </c>
      <c r="AV771" s="105">
        <f>IFERROR(BM771*BJ771^1/4,"")</f>
        <v/>
      </c>
      <c r="AW771" s="105">
        <f>IFERROR(SUM(AX771:AZ771),"")</f>
        <v/>
      </c>
      <c r="AX771" s="105">
        <f>IFERROR(BH771,"")</f>
        <v/>
      </c>
      <c r="AY771" s="105">
        <f>IFERROR(Driver!$K$19/Data!BH771/Data!BI771*Data!BK771*Data!BL771,"")</f>
        <v/>
      </c>
      <c r="AZ771" s="105">
        <f>IFERROR(BI771*BN771,"")</f>
        <v/>
      </c>
      <c r="BA771" s="105" t="n"/>
      <c r="BB771" s="105" t="n"/>
      <c r="BC771" s="105">
        <f>IFERROR(BI771*BN771*BK771/BJ771^(1/2),"")</f>
        <v/>
      </c>
      <c r="BD771" s="105">
        <f>IFERROR(BH771*BM771*BL771/BJ771/BK771,"")</f>
        <v/>
      </c>
      <c r="BE771" s="105">
        <f>IFERROR(MIN(BI771/BQ771/BP771/BO771/BH771,$BE$1),"")</f>
        <v/>
      </c>
      <c r="BF771" s="105">
        <f>IFERROR(BJ771*BO771*BP771/BK771,"")</f>
        <v/>
      </c>
      <c r="BG771" s="105">
        <f>IFERROR(1/BM771/BH771*BQ771,"")</f>
        <v/>
      </c>
      <c r="BH771" s="102">
        <f>MAX((CE771-Driver!$F$200)/(Driver!$G$200-Driver!$F$200)*$BI$1,1)</f>
        <v/>
      </c>
      <c r="BI771" s="102">
        <f>MAX($BI$1*(BY771-Driver!$F$201)/(Driver!$G$201-Driver!$F$201),1)</f>
        <v/>
      </c>
      <c r="BJ771" s="102">
        <f>(CB771-Driver!$F$206)/(Driver!$G$206-Driver!$F$206)*$BI$1</f>
        <v/>
      </c>
      <c r="BK771" s="102">
        <f>(CD771-Driver!$F$203)/(Driver!$G$203-Driver!$F$203)*$BI$1</f>
        <v/>
      </c>
      <c r="BL771" s="102">
        <f>MAX((CR771-Driver!$F$202)/(Driver!$G$202-Driver!$F$202)*$BI$1,1)</f>
        <v/>
      </c>
      <c r="BM771" s="102">
        <f>MAX((CH771-Driver!$F$204)/(Driver!$G$204-Driver!$F$204)*$BI$1,1)</f>
        <v/>
      </c>
      <c r="BN771" s="102">
        <f>(CI771-Driver!$F$205)/(Driver!$G$205-Driver!$F$205)*$BI$1</f>
        <v/>
      </c>
      <c r="BO771" s="102">
        <f>(CK771-Driver!$F$207)/(Driver!$G$207-Driver!$F$207)*$BI$1</f>
        <v/>
      </c>
      <c r="BP771" s="102">
        <f>(CM771-Driver!$F$208)/(Driver!$G$208-Driver!$F$208)*$BI$1</f>
        <v/>
      </c>
      <c r="BQ771" s="102">
        <f>(CL771-Driver!$F$209)/(Driver!$G$209-Driver!$F$209)*$BI$1</f>
        <v/>
      </c>
      <c r="BR771" s="40" t="inlineStr">
        <is>
          <t>21/22</t>
        </is>
      </c>
      <c r="BS771" s="10" t="inlineStr">
        <is>
          <t xml:space="preserve"> Elan</t>
        </is>
      </c>
      <c r="BT771" s="11" t="inlineStr">
        <is>
          <t>Ripstick 102 W</t>
        </is>
      </c>
      <c r="BU771" s="13" t="n">
        <v>154</v>
      </c>
      <c r="BV771" s="11" t="inlineStr">
        <is>
          <t xml:space="preserve"> Women's</t>
        </is>
      </c>
      <c r="BW771" s="13" t="n">
        <v>154</v>
      </c>
      <c r="BX771" s="13" t="n">
        <v>154.8</v>
      </c>
      <c r="BY771" s="13" t="n">
        <v>109</v>
      </c>
      <c r="BZ771" s="13" t="n">
        <v>123</v>
      </c>
      <c r="CA771" s="13" t="n">
        <v>137</v>
      </c>
      <c r="CB771" s="13" t="n">
        <v>101</v>
      </c>
      <c r="CC771" s="13" t="n">
        <v>115</v>
      </c>
      <c r="CD771" s="13" t="n">
        <v>14.8</v>
      </c>
      <c r="CE771" s="13" t="n">
        <v>1507</v>
      </c>
      <c r="CF771" s="13" t="n">
        <v>1.15</v>
      </c>
      <c r="CG771" s="13" t="n">
        <v>1733</v>
      </c>
      <c r="CH771" s="13" t="n">
        <v>140</v>
      </c>
      <c r="CI771" s="13" t="n">
        <v>68</v>
      </c>
      <c r="CJ771" s="13" t="n">
        <v>49</v>
      </c>
      <c r="CK771" s="13" t="n">
        <v>296</v>
      </c>
      <c r="CL771" s="13" t="n">
        <v>15</v>
      </c>
      <c r="CM771" s="13" t="n">
        <v>159</v>
      </c>
      <c r="CN771" s="13" t="n">
        <v>0.298</v>
      </c>
      <c r="CO771" s="13" t="n">
        <v>166</v>
      </c>
      <c r="CP771" s="13" t="n">
        <v>156</v>
      </c>
      <c r="CQ771" s="13" t="n">
        <v>130</v>
      </c>
      <c r="CR771" s="13" t="n">
        <v>4</v>
      </c>
      <c r="CS771" s="13" t="n">
        <v>9.1</v>
      </c>
      <c r="CT771" s="11" t="inlineStr">
        <is>
          <t xml:space="preserve"> Resort Freeride</t>
        </is>
      </c>
      <c r="CU771" s="11" t="inlineStr">
        <is>
          <t xml:space="preserve"> Big Mountain</t>
        </is>
      </c>
      <c r="CV771" s="11" t="inlineStr">
        <is>
          <t xml:space="preserve"> Touring</t>
        </is>
      </c>
      <c r="CW771" s="13" t="n"/>
      <c r="CX771">
        <f>INDEX('Data_Price '!AG$2:AG$1266,MATCH(Data!$DN771,'Data_Price '!$AT$2:$AT$1266,0))</f>
        <v/>
      </c>
      <c r="CY771">
        <f>INDEX('Data_Price '!AH$2:AH$1266,MATCH(Data!$DN771,'Data_Price '!$AT$2:$AT$1266,0))</f>
        <v/>
      </c>
      <c r="CZ771">
        <f>INDEX('Data_Price '!AI$2:AI$1266,MATCH(Data!$DN771,'Data_Price '!$AT$2:$AT$1266,0))</f>
        <v/>
      </c>
      <c r="DA771">
        <f>INDEX('Data_Price '!AJ$2:AJ$1266,MATCH(Data!$DN771,'Data_Price '!$AT$2:$AT$1266,0))</f>
        <v/>
      </c>
      <c r="DB771">
        <f>INDEX('Data_Price '!AK$2:AK$1266,MATCH(Data!$DN771,'Data_Price '!$AT$2:$AT$1266,0))</f>
        <v/>
      </c>
      <c r="DC771">
        <f>INDEX('Data_Price '!AL$2:AL$1266,MATCH(Data!$DN771,'Data_Price '!$AT$2:$AT$1266,0))</f>
        <v/>
      </c>
      <c r="DD771">
        <f>INDEX('Data_Price '!AM$2:AM$1266,MATCH(Data!$DN771,'Data_Price '!$AT$2:$AT$1266,0))</f>
        <v/>
      </c>
      <c r="DE771">
        <f>INDEX('Data_Price '!AN$2:AN$1266,MATCH(Data!$DN771,'Data_Price '!$AT$2:$AT$1266,0))</f>
        <v/>
      </c>
      <c r="DF771">
        <f>INDEX('Data_Price '!AO$2:AO$1266,MATCH(Data!$DN771,'Data_Price '!$AT$2:$AT$1266,0))</f>
        <v/>
      </c>
      <c r="DG771">
        <f>INDEX('Data_Price '!AP$2:AP$1266,MATCH(Data!$DN771,'Data_Price '!$AT$2:$AT$1266,0))</f>
        <v/>
      </c>
      <c r="DH771">
        <f>INDEX('Data_Price '!AQ$2:AQ$1266,MATCH(Data!$DN771,'Data_Price '!$AT$2:$AT$1266,0))</f>
        <v/>
      </c>
      <c r="DI771">
        <f>INDEX('Data_Price '!AR$2:AR$1266,MATCH(Data!$DN771,'Data_Price '!$AT$2:$AT$1266,0))</f>
        <v/>
      </c>
      <c r="DJ771" s="138">
        <f>DA771</f>
        <v/>
      </c>
      <c r="DK771" s="138">
        <f>DE771</f>
        <v/>
      </c>
      <c r="DL771" s="138">
        <f>DI771</f>
        <v/>
      </c>
      <c r="DM771" s="303">
        <f>IF(LEFT(BT771,1)=" ",RIGHT(BT771,LEN(BT771)-1),BT771)</f>
        <v/>
      </c>
      <c r="DN771" s="138">
        <f>_xlfn.CONCAT(BS771,DM771,BU771,BV771)</f>
        <v/>
      </c>
      <c r="DO771" s="307" t="n"/>
    </row>
    <row r="772" ht="15.6" customHeight="1" s="184">
      <c r="B772" s="303">
        <f t="array" ref="B772">IF(OR(ISERROR(K772:P772)),FALSE,TRUE)</f>
        <v/>
      </c>
      <c r="C772" s="60">
        <f>OR(BR772=Driver!$G$50,Data!BR1034=Driver!$H$50)</f>
        <v/>
      </c>
      <c r="D772" s="60">
        <f>OR(BV772=Driver!$G$51,BV772=Driver!$H$51)</f>
        <v/>
      </c>
      <c r="E772" s="60">
        <f>AND(BX772&gt;Driver!$F$54,BX772&lt;Driver!$G$54)</f>
        <v/>
      </c>
      <c r="F772" s="60">
        <f>CL772&gt;Driver!$F$56</f>
        <v/>
      </c>
      <c r="G772" s="60">
        <f>AND(CB772&gt;Driver!$F$55,CB772&lt;Driver!$G$55)</f>
        <v/>
      </c>
      <c r="H772" s="60">
        <f>AND(B772:G772)</f>
        <v/>
      </c>
      <c r="I772" s="60">
        <f>COUNTIFS($H$9:$H$1273,TRUE,$BT$9:$BT$1273,BT772)</f>
        <v/>
      </c>
      <c r="J772" s="60">
        <f t="array" ref="J772">NOT(OR(($H$9:$H$1273=TRUE)*($I$9:$I$1273&gt;0)*($BT$9:$BT$1273=BT772)*($K$9:$K$1273&gt;K772)))</f>
        <v/>
      </c>
      <c r="K772" s="108">
        <f>IFERROR(1-AVERAGE(X772:Y772),"")</f>
        <v/>
      </c>
      <c r="L772" s="108">
        <f>1-X772</f>
        <v/>
      </c>
      <c r="M772" s="108">
        <f>1-Y772</f>
        <v/>
      </c>
      <c r="N772" s="108">
        <f>1-Z772</f>
        <v/>
      </c>
      <c r="O772" s="108">
        <f>1-AA772</f>
        <v/>
      </c>
      <c r="P772" s="108">
        <f>1-AB772</f>
        <v/>
      </c>
      <c r="Q772" s="108" t="n"/>
      <c r="R772" s="108" t="n"/>
      <c r="S772" s="108">
        <f>1-AE772</f>
        <v/>
      </c>
      <c r="T772" s="108">
        <f>1-AF772</f>
        <v/>
      </c>
      <c r="U772" s="108">
        <f>1-AG772</f>
        <v/>
      </c>
      <c r="V772" s="108">
        <f>1-AH772</f>
        <v/>
      </c>
      <c r="W772" s="108">
        <f>1-AI772</f>
        <v/>
      </c>
      <c r="X772" s="108">
        <f>ABS(AJ772-AJ$1)</f>
        <v/>
      </c>
      <c r="Y772" s="108">
        <f>AVERAGE(Z772:AB772)</f>
        <v/>
      </c>
      <c r="Z772" s="108">
        <f>ABS(AL772-AL$1)</f>
        <v/>
      </c>
      <c r="AA772" s="108">
        <f>ABS(AM772-AM$1)</f>
        <v/>
      </c>
      <c r="AB772" s="108">
        <f>ABS(AN772-AN$1)</f>
        <v/>
      </c>
      <c r="AC772" s="108" t="n"/>
      <c r="AD772" s="108" t="n"/>
      <c r="AE772" s="108">
        <f>ABS(AQ$1-AQ772)</f>
        <v/>
      </c>
      <c r="AF772" s="108">
        <f>ABS(AR$1-AR772)</f>
        <v/>
      </c>
      <c r="AG772" s="108">
        <f>ABS(AS$1-AS772)</f>
        <v/>
      </c>
      <c r="AH772" s="108">
        <f>ABS(AT$1-AT772)</f>
        <v/>
      </c>
      <c r="AI772" s="108">
        <f>ABS(AU$1-AU772)</f>
        <v/>
      </c>
      <c r="AJ772" s="108">
        <f>(AV772-Driver!$K$179)/(Driver!$L$179-Driver!$K$179)</f>
        <v/>
      </c>
      <c r="AK772" s="108">
        <f>(AW772-Driver!$K$180)/(Driver!$L$180-Driver!$K$180)</f>
        <v/>
      </c>
      <c r="AL772" s="108">
        <f>(AX772-Driver!$K$181)/(Driver!$L$181-Driver!$K$181)</f>
        <v/>
      </c>
      <c r="AM772" s="108">
        <f>(AY772-Driver!$K$182)/(Driver!$L$182-Driver!$K$182)</f>
        <v/>
      </c>
      <c r="AN772" s="108">
        <f>(AZ772-Driver!$K$183)/(Driver!$L$183-Driver!$K$183)</f>
        <v/>
      </c>
      <c r="AO772" s="108" t="n"/>
      <c r="AP772" s="108" t="n"/>
      <c r="AQ772" s="108">
        <f>(BC772-Driver!$K$188)/(Driver!$L$188-Driver!$K$188)</f>
        <v/>
      </c>
      <c r="AR772" s="108">
        <f>MIN((BD772-Driver!$K$189)/(Driver!$L$189-Driver!$K$189),100%)</f>
        <v/>
      </c>
      <c r="AS772" s="108">
        <f>(BE772-Driver!$K$190)/(Driver!$L$190-Driver!$K$190)</f>
        <v/>
      </c>
      <c r="AT772" s="108">
        <f>(BF772-Driver!$K$191)/(Driver!$L$191-Driver!$K$191)</f>
        <v/>
      </c>
      <c r="AU772" s="108">
        <f>(BG772-Driver!$K$192)/(Driver!$L$192-Driver!$K$192)</f>
        <v/>
      </c>
      <c r="AV772" s="105">
        <f>IFERROR(BM772*BJ772^1/4,"")</f>
        <v/>
      </c>
      <c r="AW772" s="105">
        <f>IFERROR(SUM(AX772:AZ772),"")</f>
        <v/>
      </c>
      <c r="AX772" s="105">
        <f>IFERROR(BH772,"")</f>
        <v/>
      </c>
      <c r="AY772" s="105">
        <f>IFERROR(Driver!$K$19/Data!BH772/Data!BI772*Data!BK772*Data!BL772,"")</f>
        <v/>
      </c>
      <c r="AZ772" s="105">
        <f>IFERROR(BI772*BN772,"")</f>
        <v/>
      </c>
      <c r="BA772" s="105" t="n"/>
      <c r="BB772" s="105" t="n"/>
      <c r="BC772" s="105">
        <f>IFERROR(BI772*BN772*BK772/BJ772^(1/2),"")</f>
        <v/>
      </c>
      <c r="BD772" s="105">
        <f>IFERROR(BH772*BM772*BL772/BJ772/BK772,"")</f>
        <v/>
      </c>
      <c r="BE772" s="105">
        <f>IFERROR(MIN(BI772/BQ772/BP772/BO772/BH772,$BE$1),"")</f>
        <v/>
      </c>
      <c r="BF772" s="105">
        <f>IFERROR(BJ772*BO772*BP772/BK772,"")</f>
        <v/>
      </c>
      <c r="BG772" s="105">
        <f>IFERROR(1/BM772/BH772*BQ772,"")</f>
        <v/>
      </c>
      <c r="BH772" s="102">
        <f>MAX((CE772-Driver!$F$200)/(Driver!$G$200-Driver!$F$200)*$BI$1,1)</f>
        <v/>
      </c>
      <c r="BI772" s="102">
        <f>MAX($BI$1*(BY772-Driver!$F$201)/(Driver!$G$201-Driver!$F$201),1)</f>
        <v/>
      </c>
      <c r="BJ772" s="102">
        <f>(CB772-Driver!$F$206)/(Driver!$G$206-Driver!$F$206)*$BI$1</f>
        <v/>
      </c>
      <c r="BK772" s="102">
        <f>(CD772-Driver!$F$203)/(Driver!$G$203-Driver!$F$203)*$BI$1</f>
        <v/>
      </c>
      <c r="BL772" s="102">
        <f>MAX((CR772-Driver!$F$202)/(Driver!$G$202-Driver!$F$202)*$BI$1,1)</f>
        <v/>
      </c>
      <c r="BM772" s="102">
        <f>MAX((CH772-Driver!$F$204)/(Driver!$G$204-Driver!$F$204)*$BI$1,1)</f>
        <v/>
      </c>
      <c r="BN772" s="102">
        <f>(CI772-Driver!$F$205)/(Driver!$G$205-Driver!$F$205)*$BI$1</f>
        <v/>
      </c>
      <c r="BO772" s="102">
        <f>(CK772-Driver!$F$207)/(Driver!$G$207-Driver!$F$207)*$BI$1</f>
        <v/>
      </c>
      <c r="BP772" s="102">
        <f>(CM772-Driver!$F$208)/(Driver!$G$208-Driver!$F$208)*$BI$1</f>
        <v/>
      </c>
      <c r="BQ772" s="102">
        <f>(CL772-Driver!$F$209)/(Driver!$G$209-Driver!$F$209)*$BI$1</f>
        <v/>
      </c>
      <c r="BR772" s="40" t="inlineStr">
        <is>
          <t>21/22</t>
        </is>
      </c>
      <c r="BS772" s="10" t="inlineStr">
        <is>
          <t xml:space="preserve"> Rossignol</t>
        </is>
      </c>
      <c r="BT772" s="11" t="inlineStr">
        <is>
          <t xml:space="preserve"> Hero Elite Short Turn Ti</t>
        </is>
      </c>
      <c r="BU772" s="13" t="n">
        <v>162</v>
      </c>
      <c r="BV772" s="11" t="inlineStr">
        <is>
          <t xml:space="preserve"> Unisex</t>
        </is>
      </c>
      <c r="BW772" s="13" t="n">
        <v>162</v>
      </c>
      <c r="BX772" s="13" t="n">
        <v>160.6</v>
      </c>
      <c r="BY772" s="13" t="n">
        <v>140</v>
      </c>
      <c r="BZ772" s="13" t="n">
        <v>146</v>
      </c>
      <c r="CA772" s="13" t="n">
        <v>121</v>
      </c>
      <c r="CB772" s="13" t="n">
        <v>67</v>
      </c>
      <c r="CC772" s="13" t="n">
        <v>102</v>
      </c>
      <c r="CD772" s="13" t="n">
        <v>11.6</v>
      </c>
      <c r="CE772" s="13" t="n">
        <v>1904</v>
      </c>
      <c r="CF772" s="13" t="n">
        <v>0.71</v>
      </c>
      <c r="CG772" s="13" t="n">
        <v>1351</v>
      </c>
      <c r="CH772" s="13" t="n">
        <v>199</v>
      </c>
      <c r="CI772" s="13" t="n">
        <v>87</v>
      </c>
      <c r="CJ772" s="13" t="n">
        <v>40</v>
      </c>
      <c r="CK772" s="13" t="n">
        <v>141</v>
      </c>
      <c r="CL772" s="13" t="n">
        <v>4</v>
      </c>
      <c r="CM772" s="13" t="n">
        <v>65</v>
      </c>
      <c r="CN772" s="13" t="n">
        <v>0.104</v>
      </c>
      <c r="CO772" s="13" t="n">
        <v>79</v>
      </c>
      <c r="CP772" s="13" t="n">
        <v>63</v>
      </c>
      <c r="CQ772" s="13" t="n">
        <v>62</v>
      </c>
      <c r="CR772" s="13" t="n">
        <v>12</v>
      </c>
      <c r="CS772" s="13" t="n">
        <v>8.9</v>
      </c>
      <c r="CT772" s="11" t="inlineStr">
        <is>
          <t xml:space="preserve"> On-Piste Carving</t>
        </is>
      </c>
      <c r="CU772" s="13" t="n"/>
      <c r="CV772" s="13" t="n"/>
      <c r="CW772" s="13" t="n"/>
      <c r="CX772">
        <f>INDEX('Data_Price '!AG$2:AG$1266,MATCH(Data!$DN772,'Data_Price '!$AT$2:$AT$1266,0))</f>
        <v/>
      </c>
      <c r="CY772">
        <f>INDEX('Data_Price '!AH$2:AH$1266,MATCH(Data!$DN772,'Data_Price '!$AT$2:$AT$1266,0))</f>
        <v/>
      </c>
      <c r="CZ772">
        <f>INDEX('Data_Price '!AI$2:AI$1266,MATCH(Data!$DN772,'Data_Price '!$AT$2:$AT$1266,0))</f>
        <v/>
      </c>
      <c r="DA772">
        <f>INDEX('Data_Price '!AJ$2:AJ$1266,MATCH(Data!$DN772,'Data_Price '!$AT$2:$AT$1266,0))</f>
        <v/>
      </c>
      <c r="DB772">
        <f>INDEX('Data_Price '!AK$2:AK$1266,MATCH(Data!$DN772,'Data_Price '!$AT$2:$AT$1266,0))</f>
        <v/>
      </c>
      <c r="DC772">
        <f>INDEX('Data_Price '!AL$2:AL$1266,MATCH(Data!$DN772,'Data_Price '!$AT$2:$AT$1266,0))</f>
        <v/>
      </c>
      <c r="DD772">
        <f>INDEX('Data_Price '!AM$2:AM$1266,MATCH(Data!$DN772,'Data_Price '!$AT$2:$AT$1266,0))</f>
        <v/>
      </c>
      <c r="DE772">
        <f>INDEX('Data_Price '!AN$2:AN$1266,MATCH(Data!$DN772,'Data_Price '!$AT$2:$AT$1266,0))</f>
        <v/>
      </c>
      <c r="DF772">
        <f>INDEX('Data_Price '!AO$2:AO$1266,MATCH(Data!$DN772,'Data_Price '!$AT$2:$AT$1266,0))</f>
        <v/>
      </c>
      <c r="DG772">
        <f>INDEX('Data_Price '!AP$2:AP$1266,MATCH(Data!$DN772,'Data_Price '!$AT$2:$AT$1266,0))</f>
        <v/>
      </c>
      <c r="DH772">
        <f>INDEX('Data_Price '!AQ$2:AQ$1266,MATCH(Data!$DN772,'Data_Price '!$AT$2:$AT$1266,0))</f>
        <v/>
      </c>
      <c r="DI772">
        <f>INDEX('Data_Price '!AR$2:AR$1266,MATCH(Data!$DN772,'Data_Price '!$AT$2:$AT$1266,0))</f>
        <v/>
      </c>
      <c r="DJ772" s="138">
        <f>DA772</f>
        <v/>
      </c>
      <c r="DK772" s="138">
        <f>DE772</f>
        <v/>
      </c>
      <c r="DL772" s="138">
        <f>DI772</f>
        <v/>
      </c>
      <c r="DM772" s="303">
        <f>IF(LEFT(BT772,1)=" ",RIGHT(BT772,LEN(BT772)-1),BT772)</f>
        <v/>
      </c>
      <c r="DN772" s="138">
        <f>_xlfn.CONCAT(BS772,DM772,BU772,BV772)</f>
        <v/>
      </c>
      <c r="DO772" s="307" t="n"/>
    </row>
    <row r="773" ht="15.6" customHeight="1" s="184">
      <c r="B773" s="303">
        <f t="array" ref="B773">IF(OR(ISERROR(K773:P773)),FALSE,TRUE)</f>
        <v/>
      </c>
      <c r="C773" s="60">
        <f>OR(BR773=Driver!$G$50,Data!BR697=Driver!$H$50)</f>
        <v/>
      </c>
      <c r="D773" s="60">
        <f>OR(BV773=Driver!$G$51,BV773=Driver!$H$51)</f>
        <v/>
      </c>
      <c r="E773" s="60">
        <f>AND(BX773&gt;Driver!$F$54,BX773&lt;Driver!$G$54)</f>
        <v/>
      </c>
      <c r="F773" s="60">
        <f>CL773&gt;Driver!$F$56</f>
        <v/>
      </c>
      <c r="G773" s="60">
        <f>AND(CB773&gt;Driver!$F$55,CB773&lt;Driver!$G$55)</f>
        <v/>
      </c>
      <c r="H773" s="60">
        <f>AND(B773:G773)</f>
        <v/>
      </c>
      <c r="I773" s="60">
        <f>COUNTIFS($H$9:$H$1273,TRUE,$BT$9:$BT$1273,BT773)</f>
        <v/>
      </c>
      <c r="J773" s="60">
        <f t="array" ref="J773">NOT(OR(($H$9:$H$1273=TRUE)*($I$9:$I$1273&gt;0)*($BT$9:$BT$1273=BT773)*($K$9:$K$1273&gt;K773)))</f>
        <v/>
      </c>
      <c r="K773" s="108">
        <f>IFERROR(1-AVERAGE(X773:Y773),"")</f>
        <v/>
      </c>
      <c r="L773" s="108">
        <f>1-X773</f>
        <v/>
      </c>
      <c r="M773" s="108">
        <f>1-Y773</f>
        <v/>
      </c>
      <c r="N773" s="108">
        <f>1-Z773</f>
        <v/>
      </c>
      <c r="O773" s="108">
        <f>1-AA773</f>
        <v/>
      </c>
      <c r="P773" s="108">
        <f>1-AB773</f>
        <v/>
      </c>
      <c r="Q773" s="108" t="n"/>
      <c r="R773" s="108" t="n"/>
      <c r="S773" s="108">
        <f>1-AE773</f>
        <v/>
      </c>
      <c r="T773" s="108">
        <f>1-AF773</f>
        <v/>
      </c>
      <c r="U773" s="108">
        <f>1-AG773</f>
        <v/>
      </c>
      <c r="V773" s="108">
        <f>1-AH773</f>
        <v/>
      </c>
      <c r="W773" s="108">
        <f>1-AI773</f>
        <v/>
      </c>
      <c r="X773" s="108">
        <f>ABS(AJ773-AJ$1)</f>
        <v/>
      </c>
      <c r="Y773" s="108">
        <f>AVERAGE(Z773:AB773)</f>
        <v/>
      </c>
      <c r="Z773" s="108">
        <f>ABS(AL773-AL$1)</f>
        <v/>
      </c>
      <c r="AA773" s="108">
        <f>ABS(AM773-AM$1)</f>
        <v/>
      </c>
      <c r="AB773" s="108">
        <f>ABS(AN773-AN$1)</f>
        <v/>
      </c>
      <c r="AC773" s="108" t="n"/>
      <c r="AD773" s="108" t="n"/>
      <c r="AE773" s="108">
        <f>ABS(AQ$1-AQ773)</f>
        <v/>
      </c>
      <c r="AF773" s="108">
        <f>ABS(AR$1-AR773)</f>
        <v/>
      </c>
      <c r="AG773" s="108">
        <f>ABS(AS$1-AS773)</f>
        <v/>
      </c>
      <c r="AH773" s="108">
        <f>ABS(AT$1-AT773)</f>
        <v/>
      </c>
      <c r="AI773" s="108">
        <f>ABS(AU$1-AU773)</f>
        <v/>
      </c>
      <c r="AJ773" s="108">
        <f>(AV773-Driver!$K$179)/(Driver!$L$179-Driver!$K$179)</f>
        <v/>
      </c>
      <c r="AK773" s="108">
        <f>(AW773-Driver!$K$180)/(Driver!$L$180-Driver!$K$180)</f>
        <v/>
      </c>
      <c r="AL773" s="108">
        <f>(AX773-Driver!$K$181)/(Driver!$L$181-Driver!$K$181)</f>
        <v/>
      </c>
      <c r="AM773" s="108">
        <f>(AY773-Driver!$K$182)/(Driver!$L$182-Driver!$K$182)</f>
        <v/>
      </c>
      <c r="AN773" s="108">
        <f>(AZ773-Driver!$K$183)/(Driver!$L$183-Driver!$K$183)</f>
        <v/>
      </c>
      <c r="AO773" s="108" t="n"/>
      <c r="AP773" s="108" t="n"/>
      <c r="AQ773" s="108">
        <f>(BC773-Driver!$K$188)/(Driver!$L$188-Driver!$K$188)</f>
        <v/>
      </c>
      <c r="AR773" s="108">
        <f>MIN((BD773-Driver!$K$189)/(Driver!$L$189-Driver!$K$189),100%)</f>
        <v/>
      </c>
      <c r="AS773" s="108">
        <f>(BE773-Driver!$K$190)/(Driver!$L$190-Driver!$K$190)</f>
        <v/>
      </c>
      <c r="AT773" s="108">
        <f>(BF773-Driver!$K$191)/(Driver!$L$191-Driver!$K$191)</f>
        <v/>
      </c>
      <c r="AU773" s="108">
        <f>(BG773-Driver!$K$192)/(Driver!$L$192-Driver!$K$192)</f>
        <v/>
      </c>
      <c r="AV773" s="105">
        <f>IFERROR(BM773*BJ773^1/4,"")</f>
        <v/>
      </c>
      <c r="AW773" s="105">
        <f>IFERROR(SUM(AX773:AZ773),"")</f>
        <v/>
      </c>
      <c r="AX773" s="105">
        <f>IFERROR(BH773,"")</f>
        <v/>
      </c>
      <c r="AY773" s="105">
        <f>IFERROR(Driver!$K$19/Data!BH773/Data!BI773*Data!BK773*Data!BL773,"")</f>
        <v/>
      </c>
      <c r="AZ773" s="105">
        <f>IFERROR(BI773*BN773,"")</f>
        <v/>
      </c>
      <c r="BA773" s="105" t="n"/>
      <c r="BB773" s="105" t="n"/>
      <c r="BC773" s="105">
        <f>IFERROR(BI773*BN773*BK773/BJ773^(1/2),"")</f>
        <v/>
      </c>
      <c r="BD773" s="105">
        <f>IFERROR(BH773*BM773*BL773/BJ773/BK773,"")</f>
        <v/>
      </c>
      <c r="BE773" s="105">
        <f>IFERROR(MIN(BI773/BQ773/BP773/BO773/BH773,$BE$1),"")</f>
        <v/>
      </c>
      <c r="BF773" s="105">
        <f>IFERROR(BJ773*BO773*BP773/BK773,"")</f>
        <v/>
      </c>
      <c r="BG773" s="105">
        <f>IFERROR(1/BM773/BH773*BQ773,"")</f>
        <v/>
      </c>
      <c r="BH773" s="102">
        <f>MAX((CE773-Driver!$F$200)/(Driver!$G$200-Driver!$F$200)*$BI$1,1)</f>
        <v/>
      </c>
      <c r="BI773" s="102">
        <f>MAX($BI$1*(BY773-Driver!$F$201)/(Driver!$G$201-Driver!$F$201),1)</f>
        <v/>
      </c>
      <c r="BJ773" s="102">
        <f>(CB773-Driver!$F$206)/(Driver!$G$206-Driver!$F$206)*$BI$1</f>
        <v/>
      </c>
      <c r="BK773" s="102">
        <f>(CD773-Driver!$F$203)/(Driver!$G$203-Driver!$F$203)*$BI$1</f>
        <v/>
      </c>
      <c r="BL773" s="102">
        <f>MAX((CR773-Driver!$F$202)/(Driver!$G$202-Driver!$F$202)*$BI$1,1)</f>
        <v/>
      </c>
      <c r="BM773" s="102">
        <f>MAX((CH773-Driver!$F$204)/(Driver!$G$204-Driver!$F$204)*$BI$1,1)</f>
        <v/>
      </c>
      <c r="BN773" s="102">
        <f>(CI773-Driver!$F$205)/(Driver!$G$205-Driver!$F$205)*$BI$1</f>
        <v/>
      </c>
      <c r="BO773" s="102">
        <f>(CK773-Driver!$F$207)/(Driver!$G$207-Driver!$F$207)*$BI$1</f>
        <v/>
      </c>
      <c r="BP773" s="102">
        <f>(CM773-Driver!$F$208)/(Driver!$G$208-Driver!$F$208)*$BI$1</f>
        <v/>
      </c>
      <c r="BQ773" s="102">
        <f>(CL773-Driver!$F$209)/(Driver!$G$209-Driver!$F$209)*$BI$1</f>
        <v/>
      </c>
      <c r="BR773" s="40" t="inlineStr">
        <is>
          <t>21/22</t>
        </is>
      </c>
      <c r="BS773" s="10" t="inlineStr">
        <is>
          <t xml:space="preserve"> J Skis</t>
        </is>
      </c>
      <c r="BT773" s="11" t="inlineStr">
        <is>
          <t xml:space="preserve"> The Masterblaster</t>
        </is>
      </c>
      <c r="BU773" s="13" t="n">
        <v>181</v>
      </c>
      <c r="BV773" s="11" t="inlineStr">
        <is>
          <t xml:space="preserve"> Unisex</t>
        </is>
      </c>
      <c r="BW773" s="13" t="n">
        <v>181</v>
      </c>
      <c r="BX773" s="13" t="n">
        <v>179</v>
      </c>
      <c r="BY773" s="13" t="n">
        <v>124</v>
      </c>
      <c r="BZ773" s="13" t="n">
        <v>151</v>
      </c>
      <c r="CA773" s="13" t="n">
        <v>132</v>
      </c>
      <c r="CB773" s="13" t="n">
        <v>98</v>
      </c>
      <c r="CC773" s="13" t="n">
        <v>117</v>
      </c>
      <c r="CD773" s="13" t="n">
        <v>19.3</v>
      </c>
      <c r="CE773" s="13" t="n">
        <v>2105</v>
      </c>
      <c r="CF773" s="13" t="n">
        <v>0.92</v>
      </c>
      <c r="CG773" s="13" t="n">
        <v>1944</v>
      </c>
      <c r="CH773" s="13" t="n">
        <v>232</v>
      </c>
      <c r="CI773" s="13" t="n">
        <v>126</v>
      </c>
      <c r="CJ773" s="13" t="n">
        <v>56</v>
      </c>
      <c r="CK773" s="13" t="n">
        <v>319</v>
      </c>
      <c r="CL773" s="13" t="n">
        <v>29</v>
      </c>
      <c r="CM773" s="13" t="n">
        <v>232</v>
      </c>
      <c r="CN773" s="13" t="n">
        <v>0.515</v>
      </c>
      <c r="CO773" s="13" t="n">
        <v>128</v>
      </c>
      <c r="CP773" s="13" t="n">
        <v>154</v>
      </c>
      <c r="CQ773" s="13" t="n">
        <v>192</v>
      </c>
      <c r="CR773" s="13" t="n">
        <v>4</v>
      </c>
      <c r="CS773" s="13" t="n">
        <v>8</v>
      </c>
      <c r="CT773" s="11" t="inlineStr">
        <is>
          <t xml:space="preserve"> Resort Freeride</t>
        </is>
      </c>
      <c r="CU773" s="13" t="n"/>
      <c r="CV773" s="13" t="n"/>
      <c r="CW773" s="13" t="n"/>
      <c r="CX773">
        <f>INDEX('Data_Price '!AG$2:AG$1266,MATCH(Data!$DN773,'Data_Price '!$AT$2:$AT$1266,0))</f>
        <v/>
      </c>
      <c r="CY773">
        <f>INDEX('Data_Price '!AH$2:AH$1266,MATCH(Data!$DN773,'Data_Price '!$AT$2:$AT$1266,0))</f>
        <v/>
      </c>
      <c r="CZ773">
        <f>INDEX('Data_Price '!AI$2:AI$1266,MATCH(Data!$DN773,'Data_Price '!$AT$2:$AT$1266,0))</f>
        <v/>
      </c>
      <c r="DA773">
        <f>INDEX('Data_Price '!AJ$2:AJ$1266,MATCH(Data!$DN773,'Data_Price '!$AT$2:$AT$1266,0))</f>
        <v/>
      </c>
      <c r="DB773">
        <f>INDEX('Data_Price '!AK$2:AK$1266,MATCH(Data!$DN773,'Data_Price '!$AT$2:$AT$1266,0))</f>
        <v/>
      </c>
      <c r="DC773">
        <f>INDEX('Data_Price '!AL$2:AL$1266,MATCH(Data!$DN773,'Data_Price '!$AT$2:$AT$1266,0))</f>
        <v/>
      </c>
      <c r="DD773">
        <f>INDEX('Data_Price '!AM$2:AM$1266,MATCH(Data!$DN773,'Data_Price '!$AT$2:$AT$1266,0))</f>
        <v/>
      </c>
      <c r="DE773">
        <f>INDEX('Data_Price '!AN$2:AN$1266,MATCH(Data!$DN773,'Data_Price '!$AT$2:$AT$1266,0))</f>
        <v/>
      </c>
      <c r="DF773">
        <f>INDEX('Data_Price '!AO$2:AO$1266,MATCH(Data!$DN773,'Data_Price '!$AT$2:$AT$1266,0))</f>
        <v/>
      </c>
      <c r="DG773">
        <f>INDEX('Data_Price '!AP$2:AP$1266,MATCH(Data!$DN773,'Data_Price '!$AT$2:$AT$1266,0))</f>
        <v/>
      </c>
      <c r="DH773">
        <f>INDEX('Data_Price '!AQ$2:AQ$1266,MATCH(Data!$DN773,'Data_Price '!$AT$2:$AT$1266,0))</f>
        <v/>
      </c>
      <c r="DI773">
        <f>INDEX('Data_Price '!AR$2:AR$1266,MATCH(Data!$DN773,'Data_Price '!$AT$2:$AT$1266,0))</f>
        <v/>
      </c>
      <c r="DJ773" s="138">
        <f>DA773</f>
        <v/>
      </c>
      <c r="DK773" s="138">
        <f>DE773</f>
        <v/>
      </c>
      <c r="DL773" s="138">
        <f>DI773</f>
        <v/>
      </c>
      <c r="DM773" s="303">
        <f>IF(LEFT(BT773,1)=" ",RIGHT(BT773,LEN(BT773)-1),BT773)</f>
        <v/>
      </c>
      <c r="DN773" s="138">
        <f>_xlfn.CONCAT(BS773,DM773,BU773,BV773)</f>
        <v/>
      </c>
      <c r="DO773" s="307" t="n"/>
    </row>
    <row r="774" ht="15.6" customHeight="1" s="184">
      <c r="B774" s="303">
        <f t="array" ref="B774">IF(OR(ISERROR(K774:P774)),FALSE,TRUE)</f>
        <v/>
      </c>
      <c r="C774" s="60">
        <f>OR(BR774=Driver!$G$50,Data!BR36=Driver!$H$50)</f>
        <v/>
      </c>
      <c r="D774" s="60">
        <f>OR(BV774=Driver!$G$51,BV774=Driver!$H$51)</f>
        <v/>
      </c>
      <c r="E774" s="60">
        <f>AND(BX774&gt;Driver!$F$54,BX774&lt;Driver!$G$54)</f>
        <v/>
      </c>
      <c r="F774" s="60">
        <f>CL774&gt;Driver!$F$56</f>
        <v/>
      </c>
      <c r="G774" s="60">
        <f>AND(CB774&gt;Driver!$F$55,CB774&lt;Driver!$G$55)</f>
        <v/>
      </c>
      <c r="H774" s="60">
        <f>AND(B774:G774)</f>
        <v/>
      </c>
      <c r="I774" s="60">
        <f>COUNTIFS($H$9:$H$1273,TRUE,$BT$9:$BT$1273,BT774)</f>
        <v/>
      </c>
      <c r="J774" s="60">
        <f t="array" ref="J774">NOT(OR(($H$9:$H$1273=TRUE)*($I$9:$I$1273&gt;0)*($BT$9:$BT$1273=BT774)*($K$9:$K$1273&gt;K774)))</f>
        <v/>
      </c>
      <c r="K774" s="108">
        <f>IFERROR(1-AVERAGE(X774:Y774),"")</f>
        <v/>
      </c>
      <c r="L774" s="108">
        <f>1-X774</f>
        <v/>
      </c>
      <c r="M774" s="108">
        <f>1-Y774</f>
        <v/>
      </c>
      <c r="N774" s="108">
        <f>1-Z774</f>
        <v/>
      </c>
      <c r="O774" s="108">
        <f>1-AA774</f>
        <v/>
      </c>
      <c r="P774" s="108">
        <f>1-AB774</f>
        <v/>
      </c>
      <c r="Q774" s="108" t="n"/>
      <c r="R774" s="108" t="n"/>
      <c r="S774" s="108">
        <f>1-AE774</f>
        <v/>
      </c>
      <c r="T774" s="108">
        <f>1-AF774</f>
        <v/>
      </c>
      <c r="U774" s="108">
        <f>1-AG774</f>
        <v/>
      </c>
      <c r="V774" s="108">
        <f>1-AH774</f>
        <v/>
      </c>
      <c r="W774" s="108">
        <f>1-AI774</f>
        <v/>
      </c>
      <c r="X774" s="108">
        <f>ABS(AJ774-AJ$1)</f>
        <v/>
      </c>
      <c r="Y774" s="108">
        <f>AVERAGE(Z774:AB774)</f>
        <v/>
      </c>
      <c r="Z774" s="108">
        <f>ABS(AL774-AL$1)</f>
        <v/>
      </c>
      <c r="AA774" s="108">
        <f>ABS(AM774-AM$1)</f>
        <v/>
      </c>
      <c r="AB774" s="108">
        <f>ABS(AN774-AN$1)</f>
        <v/>
      </c>
      <c r="AC774" s="108" t="n"/>
      <c r="AD774" s="108" t="n"/>
      <c r="AE774" s="108">
        <f>ABS(AQ$1-AQ774)</f>
        <v/>
      </c>
      <c r="AF774" s="108">
        <f>ABS(AR$1-AR774)</f>
        <v/>
      </c>
      <c r="AG774" s="108">
        <f>ABS(AS$1-AS774)</f>
        <v/>
      </c>
      <c r="AH774" s="108">
        <f>ABS(AT$1-AT774)</f>
        <v/>
      </c>
      <c r="AI774" s="108">
        <f>ABS(AU$1-AU774)</f>
        <v/>
      </c>
      <c r="AJ774" s="108">
        <f>(AV774-Driver!$K$179)/(Driver!$L$179-Driver!$K$179)</f>
        <v/>
      </c>
      <c r="AK774" s="108">
        <f>(AW774-Driver!$K$180)/(Driver!$L$180-Driver!$K$180)</f>
        <v/>
      </c>
      <c r="AL774" s="108">
        <f>(AX774-Driver!$K$181)/(Driver!$L$181-Driver!$K$181)</f>
        <v/>
      </c>
      <c r="AM774" s="108">
        <f>(AY774-Driver!$K$182)/(Driver!$L$182-Driver!$K$182)</f>
        <v/>
      </c>
      <c r="AN774" s="108">
        <f>(AZ774-Driver!$K$183)/(Driver!$L$183-Driver!$K$183)</f>
        <v/>
      </c>
      <c r="AO774" s="108" t="n"/>
      <c r="AP774" s="108" t="n"/>
      <c r="AQ774" s="108">
        <f>(BC774-Driver!$K$188)/(Driver!$L$188-Driver!$K$188)</f>
        <v/>
      </c>
      <c r="AR774" s="108">
        <f>MIN((BD774-Driver!$K$189)/(Driver!$L$189-Driver!$K$189),100%)</f>
        <v/>
      </c>
      <c r="AS774" s="108">
        <f>(BE774-Driver!$K$190)/(Driver!$L$190-Driver!$K$190)</f>
        <v/>
      </c>
      <c r="AT774" s="108">
        <f>(BF774-Driver!$K$191)/(Driver!$L$191-Driver!$K$191)</f>
        <v/>
      </c>
      <c r="AU774" s="108">
        <f>(BG774-Driver!$K$192)/(Driver!$L$192-Driver!$K$192)</f>
        <v/>
      </c>
      <c r="AV774" s="105">
        <f>IFERROR(BM774*BJ774^1/4,"")</f>
        <v/>
      </c>
      <c r="AW774" s="105">
        <f>IFERROR(SUM(AX774:AZ774),"")</f>
        <v/>
      </c>
      <c r="AX774" s="105">
        <f>IFERROR(BH774,"")</f>
        <v/>
      </c>
      <c r="AY774" s="105">
        <f>IFERROR(Driver!$K$19/Data!BH774/Data!BI774*Data!BK774*Data!BL774,"")</f>
        <v/>
      </c>
      <c r="AZ774" s="105">
        <f>IFERROR(BI774*BN774,"")</f>
        <v/>
      </c>
      <c r="BA774" s="105" t="n"/>
      <c r="BB774" s="105" t="n"/>
      <c r="BC774" s="105">
        <f>IFERROR(BI774*BN774*BK774/BJ774^(1/2),"")</f>
        <v/>
      </c>
      <c r="BD774" s="105">
        <f>IFERROR(BH774*BM774*BL774/BJ774/BK774,"")</f>
        <v/>
      </c>
      <c r="BE774" s="105">
        <f>IFERROR(MIN(BI774/BQ774/BP774/BO774/BH774,$BE$1),"")</f>
        <v/>
      </c>
      <c r="BF774" s="105">
        <f>IFERROR(BJ774*BO774*BP774/BK774,"")</f>
        <v/>
      </c>
      <c r="BG774" s="105">
        <f>IFERROR(1/BM774/BH774*BQ774,"")</f>
        <v/>
      </c>
      <c r="BH774" s="102">
        <f>MAX((CE774-Driver!$F$200)/(Driver!$G$200-Driver!$F$200)*$BI$1,1)</f>
        <v/>
      </c>
      <c r="BI774" s="102">
        <f>MAX($BI$1*(BY774-Driver!$F$201)/(Driver!$G$201-Driver!$F$201),1)</f>
        <v/>
      </c>
      <c r="BJ774" s="102">
        <f>(CB774-Driver!$F$206)/(Driver!$G$206-Driver!$F$206)*$BI$1</f>
        <v/>
      </c>
      <c r="BK774" s="102">
        <f>(CD774-Driver!$F$203)/(Driver!$G$203-Driver!$F$203)*$BI$1</f>
        <v/>
      </c>
      <c r="BL774" s="102">
        <f>MAX((CR774-Driver!$F$202)/(Driver!$G$202-Driver!$F$202)*$BI$1,1)</f>
        <v/>
      </c>
      <c r="BM774" s="102">
        <f>MAX((CH774-Driver!$F$204)/(Driver!$G$204-Driver!$F$204)*$BI$1,1)</f>
        <v/>
      </c>
      <c r="BN774" s="102">
        <f>(CI774-Driver!$F$205)/(Driver!$G$205-Driver!$F$205)*$BI$1</f>
        <v/>
      </c>
      <c r="BO774" s="102">
        <f>(CK774-Driver!$F$207)/(Driver!$G$207-Driver!$F$207)*$BI$1</f>
        <v/>
      </c>
      <c r="BP774" s="102">
        <f>(CM774-Driver!$F$208)/(Driver!$G$208-Driver!$F$208)*$BI$1</f>
        <v/>
      </c>
      <c r="BQ774" s="102">
        <f>(CL774-Driver!$F$209)/(Driver!$G$209-Driver!$F$209)*$BI$1</f>
        <v/>
      </c>
      <c r="BR774" s="40" t="inlineStr">
        <is>
          <t>21/22</t>
        </is>
      </c>
      <c r="BS774" s="10" t="inlineStr">
        <is>
          <t xml:space="preserve"> Armada</t>
        </is>
      </c>
      <c r="BT774" s="11" t="inlineStr">
        <is>
          <t>ARV 84</t>
        </is>
      </c>
      <c r="BU774" s="13" t="n">
        <v>171</v>
      </c>
      <c r="BV774" s="11" t="inlineStr">
        <is>
          <t xml:space="preserve"> Unisex</t>
        </is>
      </c>
      <c r="BW774" s="13" t="n">
        <v>171</v>
      </c>
      <c r="BX774" s="13" t="n">
        <v>169.7</v>
      </c>
      <c r="BY774" s="13" t="n">
        <v>120</v>
      </c>
      <c r="BZ774" s="13" t="n">
        <v>141</v>
      </c>
      <c r="CA774" s="13" t="n">
        <v>116</v>
      </c>
      <c r="CB774" s="13" t="n">
        <v>83</v>
      </c>
      <c r="CC774" s="13" t="n">
        <v>108</v>
      </c>
      <c r="CD774" s="13" t="n">
        <v>16.5</v>
      </c>
      <c r="CE774" s="13" t="n">
        <v>1790</v>
      </c>
      <c r="CF774" s="13" t="n">
        <v>0.9</v>
      </c>
      <c r="CG774" s="13" t="n">
        <v>1612</v>
      </c>
      <c r="CH774" s="13" t="n">
        <v>176</v>
      </c>
      <c r="CI774" s="13" t="n">
        <v>69</v>
      </c>
      <c r="CJ774" s="13" t="n">
        <v>49</v>
      </c>
      <c r="CK774" s="13" t="n">
        <v>283</v>
      </c>
      <c r="CL774" s="13" t="n">
        <v>37</v>
      </c>
      <c r="CM774" s="13" t="n">
        <v>214</v>
      </c>
      <c r="CN774" s="13" t="n">
        <v>0.749</v>
      </c>
      <c r="CO774" s="13" t="n">
        <v>159</v>
      </c>
      <c r="CP774" s="13" t="n">
        <v>128</v>
      </c>
      <c r="CQ774" s="13" t="n">
        <v>124</v>
      </c>
      <c r="CR774" s="13" t="n">
        <v>8</v>
      </c>
      <c r="CS774" s="13" t="n">
        <v>7.2</v>
      </c>
      <c r="CT774" s="11" t="inlineStr">
        <is>
          <t xml:space="preserve"> Resort Freeride</t>
        </is>
      </c>
      <c r="CU774" s="13" t="n"/>
      <c r="CV774" s="13" t="n"/>
      <c r="CW774" s="13" t="n"/>
      <c r="CX774">
        <f>INDEX('Data_Price '!AG$2:AG$1266,MATCH(Data!$DN774,'Data_Price '!$AT$2:$AT$1266,0))</f>
        <v/>
      </c>
      <c r="CY774">
        <f>INDEX('Data_Price '!AH$2:AH$1266,MATCH(Data!$DN774,'Data_Price '!$AT$2:$AT$1266,0))</f>
        <v/>
      </c>
      <c r="CZ774">
        <f>INDEX('Data_Price '!AI$2:AI$1266,MATCH(Data!$DN774,'Data_Price '!$AT$2:$AT$1266,0))</f>
        <v/>
      </c>
      <c r="DA774">
        <f>INDEX('Data_Price '!AJ$2:AJ$1266,MATCH(Data!$DN774,'Data_Price '!$AT$2:$AT$1266,0))</f>
        <v/>
      </c>
      <c r="DB774">
        <f>INDEX('Data_Price '!AK$2:AK$1266,MATCH(Data!$DN774,'Data_Price '!$AT$2:$AT$1266,0))</f>
        <v/>
      </c>
      <c r="DC774">
        <f>INDEX('Data_Price '!AL$2:AL$1266,MATCH(Data!$DN774,'Data_Price '!$AT$2:$AT$1266,0))</f>
        <v/>
      </c>
      <c r="DD774">
        <f>INDEX('Data_Price '!AM$2:AM$1266,MATCH(Data!$DN774,'Data_Price '!$AT$2:$AT$1266,0))</f>
        <v/>
      </c>
      <c r="DE774">
        <f>INDEX('Data_Price '!AN$2:AN$1266,MATCH(Data!$DN774,'Data_Price '!$AT$2:$AT$1266,0))</f>
        <v/>
      </c>
      <c r="DF774">
        <f>INDEX('Data_Price '!AO$2:AO$1266,MATCH(Data!$DN774,'Data_Price '!$AT$2:$AT$1266,0))</f>
        <v/>
      </c>
      <c r="DG774">
        <f>INDEX('Data_Price '!AP$2:AP$1266,MATCH(Data!$DN774,'Data_Price '!$AT$2:$AT$1266,0))</f>
        <v/>
      </c>
      <c r="DH774">
        <f>INDEX('Data_Price '!AQ$2:AQ$1266,MATCH(Data!$DN774,'Data_Price '!$AT$2:$AT$1266,0))</f>
        <v/>
      </c>
      <c r="DI774">
        <f>INDEX('Data_Price '!AR$2:AR$1266,MATCH(Data!$DN774,'Data_Price '!$AT$2:$AT$1266,0))</f>
        <v/>
      </c>
      <c r="DJ774" s="138">
        <f>DA774</f>
        <v/>
      </c>
      <c r="DK774" s="138">
        <f>DE774</f>
        <v/>
      </c>
      <c r="DL774" s="138">
        <f>DI774</f>
        <v/>
      </c>
      <c r="DM774" s="303">
        <f>IF(LEFT(BT774,1)=" ",RIGHT(BT774,LEN(BT774)-1),BT774)</f>
        <v/>
      </c>
      <c r="DN774" s="138">
        <f>_xlfn.CONCAT(BS774,DM774,BU774,BV774)</f>
        <v/>
      </c>
      <c r="DO774" s="307" t="inlineStr">
        <is>
          <t>https://images.evo.com/imgp/250/198697/839664/armada-arv-84-skis-boys-2022-.jpg</t>
        </is>
      </c>
    </row>
    <row r="775" ht="15.6" customHeight="1" s="184">
      <c r="B775" s="303">
        <f t="array" ref="B775">IF(OR(ISERROR(K775:P775)),FALSE,TRUE)</f>
        <v/>
      </c>
      <c r="C775" s="60">
        <f>OR(BR775=Driver!$G$50,Data!BR1197=Driver!$H$50)</f>
        <v/>
      </c>
      <c r="D775" s="60">
        <f>OR(BV775=Driver!$G$51,BV775=Driver!$H$51)</f>
        <v/>
      </c>
      <c r="E775" s="60">
        <f>AND(BX775&gt;Driver!$F$54,BX775&lt;Driver!$G$54)</f>
        <v/>
      </c>
      <c r="F775" s="60">
        <f>CL775&gt;Driver!$F$56</f>
        <v/>
      </c>
      <c r="G775" s="60">
        <f>AND(CB775&gt;Driver!$F$55,CB775&lt;Driver!$G$55)</f>
        <v/>
      </c>
      <c r="H775" s="60">
        <f>AND(B775:G775)</f>
        <v/>
      </c>
      <c r="I775" s="60">
        <f>COUNTIFS($H$9:$H$1273,TRUE,$BT$9:$BT$1273,BT775)</f>
        <v/>
      </c>
      <c r="J775" s="60">
        <f t="array" ref="J775">NOT(OR(($H$9:$H$1273=TRUE)*($I$9:$I$1273&gt;0)*($BT$9:$BT$1273=BT775)*($K$9:$K$1273&gt;K775)))</f>
        <v/>
      </c>
      <c r="K775" s="108">
        <f>IFERROR(1-AVERAGE(X775:Y775),"")</f>
        <v/>
      </c>
      <c r="L775" s="108">
        <f>1-X775</f>
        <v/>
      </c>
      <c r="M775" s="108">
        <f>1-Y775</f>
        <v/>
      </c>
      <c r="N775" s="108">
        <f>1-Z775</f>
        <v/>
      </c>
      <c r="O775" s="108">
        <f>1-AA775</f>
        <v/>
      </c>
      <c r="P775" s="108">
        <f>1-AB775</f>
        <v/>
      </c>
      <c r="Q775" s="108" t="n"/>
      <c r="R775" s="108" t="n"/>
      <c r="S775" s="108">
        <f>1-AE775</f>
        <v/>
      </c>
      <c r="T775" s="108">
        <f>1-AF775</f>
        <v/>
      </c>
      <c r="U775" s="108">
        <f>1-AG775</f>
        <v/>
      </c>
      <c r="V775" s="108">
        <f>1-AH775</f>
        <v/>
      </c>
      <c r="W775" s="108">
        <f>1-AI775</f>
        <v/>
      </c>
      <c r="X775" s="108">
        <f>ABS(AJ775-AJ$1)</f>
        <v/>
      </c>
      <c r="Y775" s="108">
        <f>AVERAGE(Z775:AB775)</f>
        <v/>
      </c>
      <c r="Z775" s="108">
        <f>ABS(AL775-AL$1)</f>
        <v/>
      </c>
      <c r="AA775" s="108">
        <f>ABS(AM775-AM$1)</f>
        <v/>
      </c>
      <c r="AB775" s="108">
        <f>ABS(AN775-AN$1)</f>
        <v/>
      </c>
      <c r="AC775" s="108" t="n"/>
      <c r="AD775" s="108" t="n"/>
      <c r="AE775" s="108">
        <f>ABS(AQ$1-AQ775)</f>
        <v/>
      </c>
      <c r="AF775" s="108">
        <f>ABS(AR$1-AR775)</f>
        <v/>
      </c>
      <c r="AG775" s="108">
        <f>ABS(AS$1-AS775)</f>
        <v/>
      </c>
      <c r="AH775" s="108">
        <f>ABS(AT$1-AT775)</f>
        <v/>
      </c>
      <c r="AI775" s="108">
        <f>ABS(AU$1-AU775)</f>
        <v/>
      </c>
      <c r="AJ775" s="108">
        <f>(AV775-Driver!$K$179)/(Driver!$L$179-Driver!$K$179)</f>
        <v/>
      </c>
      <c r="AK775" s="108">
        <f>(AW775-Driver!$K$180)/(Driver!$L$180-Driver!$K$180)</f>
        <v/>
      </c>
      <c r="AL775" s="108">
        <f>(AX775-Driver!$K$181)/(Driver!$L$181-Driver!$K$181)</f>
        <v/>
      </c>
      <c r="AM775" s="108">
        <f>(AY775-Driver!$K$182)/(Driver!$L$182-Driver!$K$182)</f>
        <v/>
      </c>
      <c r="AN775" s="108">
        <f>(AZ775-Driver!$K$183)/(Driver!$L$183-Driver!$K$183)</f>
        <v/>
      </c>
      <c r="AO775" s="108" t="n"/>
      <c r="AP775" s="108" t="n"/>
      <c r="AQ775" s="108">
        <f>(BC775-Driver!$K$188)/(Driver!$L$188-Driver!$K$188)</f>
        <v/>
      </c>
      <c r="AR775" s="108">
        <f>MIN((BD775-Driver!$K$189)/(Driver!$L$189-Driver!$K$189),100%)</f>
        <v/>
      </c>
      <c r="AS775" s="108">
        <f>(BE775-Driver!$K$190)/(Driver!$L$190-Driver!$K$190)</f>
        <v/>
      </c>
      <c r="AT775" s="108">
        <f>(BF775-Driver!$K$191)/(Driver!$L$191-Driver!$K$191)</f>
        <v/>
      </c>
      <c r="AU775" s="108">
        <f>(BG775-Driver!$K$192)/(Driver!$L$192-Driver!$K$192)</f>
        <v/>
      </c>
      <c r="AV775" s="105">
        <f>IFERROR(BM775*BJ775^1/4,"")</f>
        <v/>
      </c>
      <c r="AW775" s="105">
        <f>IFERROR(SUM(AX775:AZ775),"")</f>
        <v/>
      </c>
      <c r="AX775" s="105">
        <f>IFERROR(BH775,"")</f>
        <v/>
      </c>
      <c r="AY775" s="105">
        <f>IFERROR(Driver!$K$19/Data!BH775/Data!BI775*Data!BK775*Data!BL775,"")</f>
        <v/>
      </c>
      <c r="AZ775" s="105">
        <f>IFERROR(BI775*BN775,"")</f>
        <v/>
      </c>
      <c r="BA775" s="105" t="n"/>
      <c r="BB775" s="105" t="n"/>
      <c r="BC775" s="105">
        <f>IFERROR(BI775*BN775*BK775/BJ775^(1/2),"")</f>
        <v/>
      </c>
      <c r="BD775" s="105">
        <f>IFERROR(BH775*BM775*BL775/BJ775/BK775,"")</f>
        <v/>
      </c>
      <c r="BE775" s="105">
        <f>IFERROR(MIN(BI775/BQ775/BP775/BO775/BH775,$BE$1),"")</f>
        <v/>
      </c>
      <c r="BF775" s="105">
        <f>IFERROR(BJ775*BO775*BP775/BK775,"")</f>
        <v/>
      </c>
      <c r="BG775" s="105">
        <f>IFERROR(1/BM775/BH775*BQ775,"")</f>
        <v/>
      </c>
      <c r="BH775" s="102">
        <f>MAX((CE775-Driver!$F$200)/(Driver!$G$200-Driver!$F$200)*$BI$1,1)</f>
        <v/>
      </c>
      <c r="BI775" s="102">
        <f>MAX($BI$1*(BY775-Driver!$F$201)/(Driver!$G$201-Driver!$F$201),1)</f>
        <v/>
      </c>
      <c r="BJ775" s="102">
        <f>(CB775-Driver!$F$206)/(Driver!$G$206-Driver!$F$206)*$BI$1</f>
        <v/>
      </c>
      <c r="BK775" s="102">
        <f>(CD775-Driver!$F$203)/(Driver!$G$203-Driver!$F$203)*$BI$1</f>
        <v/>
      </c>
      <c r="BL775" s="102">
        <f>MAX((CR775-Driver!$F$202)/(Driver!$G$202-Driver!$F$202)*$BI$1,1)</f>
        <v/>
      </c>
      <c r="BM775" s="102">
        <f>MAX((CH775-Driver!$F$204)/(Driver!$G$204-Driver!$F$204)*$BI$1,1)</f>
        <v/>
      </c>
      <c r="BN775" s="102">
        <f>(CI775-Driver!$F$205)/(Driver!$G$205-Driver!$F$205)*$BI$1</f>
        <v/>
      </c>
      <c r="BO775" s="102">
        <f>(CK775-Driver!$F$207)/(Driver!$G$207-Driver!$F$207)*$BI$1</f>
        <v/>
      </c>
      <c r="BP775" s="102">
        <f>(CM775-Driver!$F$208)/(Driver!$G$208-Driver!$F$208)*$BI$1</f>
        <v/>
      </c>
      <c r="BQ775" s="102">
        <f>(CL775-Driver!$F$209)/(Driver!$G$209-Driver!$F$209)*$BI$1</f>
        <v/>
      </c>
      <c r="BR775" s="40" t="inlineStr">
        <is>
          <t>21/22</t>
        </is>
      </c>
      <c r="BS775" s="10" t="inlineStr">
        <is>
          <t xml:space="preserve"> Völkl</t>
        </is>
      </c>
      <c r="BT775" s="11" t="inlineStr">
        <is>
          <t xml:space="preserve"> Flair SC Carbon</t>
        </is>
      </c>
      <c r="BU775" s="13" t="n">
        <v>155</v>
      </c>
      <c r="BV775" s="11" t="inlineStr">
        <is>
          <t xml:space="preserve"> Women's</t>
        </is>
      </c>
      <c r="BW775" s="13" t="n">
        <v>155</v>
      </c>
      <c r="BX775" s="13" t="n">
        <v>154.5</v>
      </c>
      <c r="BY775" s="13" t="n">
        <v>132</v>
      </c>
      <c r="BZ775" s="13" t="n">
        <v>140</v>
      </c>
      <c r="CA775" s="13" t="n">
        <v>123</v>
      </c>
      <c r="CB775" s="13" t="n">
        <v>70</v>
      </c>
      <c r="CC775" s="13" t="n">
        <v>103</v>
      </c>
      <c r="CD775" s="13" t="n">
        <v>11.4</v>
      </c>
      <c r="CE775" s="13" t="n">
        <v>1587</v>
      </c>
      <c r="CF775" s="13" t="n">
        <v>0.84</v>
      </c>
      <c r="CG775" s="13" t="n">
        <v>1328</v>
      </c>
      <c r="CH775" s="13" t="n">
        <v>193</v>
      </c>
      <c r="CI775" s="13" t="n">
        <v>71</v>
      </c>
      <c r="CJ775" s="13" t="n">
        <v>47</v>
      </c>
      <c r="CK775" s="13" t="n">
        <v>168</v>
      </c>
      <c r="CL775" s="13" t="n">
        <v>6</v>
      </c>
      <c r="CM775" s="13" t="n">
        <v>57</v>
      </c>
      <c r="CN775" s="13" t="n">
        <v>0.129</v>
      </c>
      <c r="CO775" s="13" t="n">
        <v>70</v>
      </c>
      <c r="CP775" s="13" t="n">
        <v>77</v>
      </c>
      <c r="CQ775" s="13" t="n">
        <v>98</v>
      </c>
      <c r="CR775" s="13" t="n">
        <v>4</v>
      </c>
      <c r="CS775" s="13" t="n">
        <v>13.1</v>
      </c>
      <c r="CT775" s="11" t="inlineStr">
        <is>
          <t xml:space="preserve"> On-Piste Carving</t>
        </is>
      </c>
      <c r="CU775" s="13" t="n"/>
      <c r="CV775" s="13" t="n"/>
      <c r="CW775" s="13" t="n"/>
      <c r="CX775">
        <f>INDEX('Data_Price '!AG$2:AG$1266,MATCH(Data!$DN775,'Data_Price '!$AT$2:$AT$1266,0))</f>
        <v/>
      </c>
      <c r="CY775">
        <f>INDEX('Data_Price '!AH$2:AH$1266,MATCH(Data!$DN775,'Data_Price '!$AT$2:$AT$1266,0))</f>
        <v/>
      </c>
      <c r="CZ775">
        <f>INDEX('Data_Price '!AI$2:AI$1266,MATCH(Data!$DN775,'Data_Price '!$AT$2:$AT$1266,0))</f>
        <v/>
      </c>
      <c r="DA775">
        <f>INDEX('Data_Price '!AJ$2:AJ$1266,MATCH(Data!$DN775,'Data_Price '!$AT$2:$AT$1266,0))</f>
        <v/>
      </c>
      <c r="DB775">
        <f>INDEX('Data_Price '!AK$2:AK$1266,MATCH(Data!$DN775,'Data_Price '!$AT$2:$AT$1266,0))</f>
        <v/>
      </c>
      <c r="DC775">
        <f>INDEX('Data_Price '!AL$2:AL$1266,MATCH(Data!$DN775,'Data_Price '!$AT$2:$AT$1266,0))</f>
        <v/>
      </c>
      <c r="DD775">
        <f>INDEX('Data_Price '!AM$2:AM$1266,MATCH(Data!$DN775,'Data_Price '!$AT$2:$AT$1266,0))</f>
        <v/>
      </c>
      <c r="DE775">
        <f>INDEX('Data_Price '!AN$2:AN$1266,MATCH(Data!$DN775,'Data_Price '!$AT$2:$AT$1266,0))</f>
        <v/>
      </c>
      <c r="DF775">
        <f>INDEX('Data_Price '!AO$2:AO$1266,MATCH(Data!$DN775,'Data_Price '!$AT$2:$AT$1266,0))</f>
        <v/>
      </c>
      <c r="DG775">
        <f>INDEX('Data_Price '!AP$2:AP$1266,MATCH(Data!$DN775,'Data_Price '!$AT$2:$AT$1266,0))</f>
        <v/>
      </c>
      <c r="DH775">
        <f>INDEX('Data_Price '!AQ$2:AQ$1266,MATCH(Data!$DN775,'Data_Price '!$AT$2:$AT$1266,0))</f>
        <v/>
      </c>
      <c r="DI775">
        <f>INDEX('Data_Price '!AR$2:AR$1266,MATCH(Data!$DN775,'Data_Price '!$AT$2:$AT$1266,0))</f>
        <v/>
      </c>
      <c r="DJ775" s="138">
        <f>DA775</f>
        <v/>
      </c>
      <c r="DK775" s="138">
        <f>DE775</f>
        <v/>
      </c>
      <c r="DL775" s="138">
        <f>DI775</f>
        <v/>
      </c>
      <c r="DM775" s="303">
        <f>IF(LEFT(BT775,1)=" ",RIGHT(BT775,LEN(BT775)-1),BT775)</f>
        <v/>
      </c>
      <c r="DN775" s="138">
        <f>_xlfn.CONCAT(BS775,DM775,BU775,BV775)</f>
        <v/>
      </c>
      <c r="DO775" s="307" t="n"/>
    </row>
    <row r="776" ht="15.6" customHeight="1" s="184">
      <c r="B776" s="303">
        <f t="array" ref="B776">IF(OR(ISERROR(K776:P776)),FALSE,TRUE)</f>
        <v/>
      </c>
      <c r="C776" s="60">
        <f>OR(BR776=Driver!$G$50,Data!BR949=Driver!$H$50)</f>
        <v/>
      </c>
      <c r="D776" s="60">
        <f>OR(BV776=Driver!$G$51,BV776=Driver!$H$51)</f>
        <v/>
      </c>
      <c r="E776" s="60">
        <f>AND(BX776&gt;Driver!$F$54,BX776&lt;Driver!$G$54)</f>
        <v/>
      </c>
      <c r="F776" s="60">
        <f>CL776&gt;Driver!$F$56</f>
        <v/>
      </c>
      <c r="G776" s="60">
        <f>AND(CB776&gt;Driver!$F$55,CB776&lt;Driver!$G$55)</f>
        <v/>
      </c>
      <c r="H776" s="60">
        <f>AND(B776:G776)</f>
        <v/>
      </c>
      <c r="I776" s="60">
        <f>COUNTIFS($H$9:$H$1273,TRUE,$BT$9:$BT$1273,BT776)</f>
        <v/>
      </c>
      <c r="J776" s="60">
        <f t="array" ref="J776">NOT(OR(($H$9:$H$1273=TRUE)*($I$9:$I$1273&gt;0)*($BT$9:$BT$1273=BT776)*($K$9:$K$1273&gt;K776)))</f>
        <v/>
      </c>
      <c r="K776" s="108">
        <f>IFERROR(1-AVERAGE(X776:Y776),"")</f>
        <v/>
      </c>
      <c r="L776" s="108">
        <f>1-X776</f>
        <v/>
      </c>
      <c r="M776" s="108">
        <f>1-Y776</f>
        <v/>
      </c>
      <c r="N776" s="108">
        <f>1-Z776</f>
        <v/>
      </c>
      <c r="O776" s="108">
        <f>1-AA776</f>
        <v/>
      </c>
      <c r="P776" s="108">
        <f>1-AB776</f>
        <v/>
      </c>
      <c r="Q776" s="108" t="n"/>
      <c r="R776" s="108" t="n"/>
      <c r="S776" s="108">
        <f>1-AE776</f>
        <v/>
      </c>
      <c r="T776" s="108">
        <f>1-AF776</f>
        <v/>
      </c>
      <c r="U776" s="108">
        <f>1-AG776</f>
        <v/>
      </c>
      <c r="V776" s="108">
        <f>1-AH776</f>
        <v/>
      </c>
      <c r="W776" s="108">
        <f>1-AI776</f>
        <v/>
      </c>
      <c r="X776" s="108">
        <f>ABS(AJ776-AJ$1)</f>
        <v/>
      </c>
      <c r="Y776" s="108">
        <f>AVERAGE(Z776:AB776)</f>
        <v/>
      </c>
      <c r="Z776" s="108">
        <f>ABS(AL776-AL$1)</f>
        <v/>
      </c>
      <c r="AA776" s="108">
        <f>ABS(AM776-AM$1)</f>
        <v/>
      </c>
      <c r="AB776" s="108">
        <f>ABS(AN776-AN$1)</f>
        <v/>
      </c>
      <c r="AC776" s="108" t="n"/>
      <c r="AD776" s="108" t="n"/>
      <c r="AE776" s="108">
        <f>ABS(AQ$1-AQ776)</f>
        <v/>
      </c>
      <c r="AF776" s="108">
        <f>ABS(AR$1-AR776)</f>
        <v/>
      </c>
      <c r="AG776" s="108">
        <f>ABS(AS$1-AS776)</f>
        <v/>
      </c>
      <c r="AH776" s="108">
        <f>ABS(AT$1-AT776)</f>
        <v/>
      </c>
      <c r="AI776" s="108">
        <f>ABS(AU$1-AU776)</f>
        <v/>
      </c>
      <c r="AJ776" s="108">
        <f>(AV776-Driver!$K$179)/(Driver!$L$179-Driver!$K$179)</f>
        <v/>
      </c>
      <c r="AK776" s="108">
        <f>(AW776-Driver!$K$180)/(Driver!$L$180-Driver!$K$180)</f>
        <v/>
      </c>
      <c r="AL776" s="108">
        <f>(AX776-Driver!$K$181)/(Driver!$L$181-Driver!$K$181)</f>
        <v/>
      </c>
      <c r="AM776" s="108">
        <f>(AY776-Driver!$K$182)/(Driver!$L$182-Driver!$K$182)</f>
        <v/>
      </c>
      <c r="AN776" s="108">
        <f>(AZ776-Driver!$K$183)/(Driver!$L$183-Driver!$K$183)</f>
        <v/>
      </c>
      <c r="AO776" s="108" t="n"/>
      <c r="AP776" s="108" t="n"/>
      <c r="AQ776" s="108">
        <f>(BC776-Driver!$K$188)/(Driver!$L$188-Driver!$K$188)</f>
        <v/>
      </c>
      <c r="AR776" s="108">
        <f>MIN((BD776-Driver!$K$189)/(Driver!$L$189-Driver!$K$189),100%)</f>
        <v/>
      </c>
      <c r="AS776" s="108">
        <f>(BE776-Driver!$K$190)/(Driver!$L$190-Driver!$K$190)</f>
        <v/>
      </c>
      <c r="AT776" s="108">
        <f>(BF776-Driver!$K$191)/(Driver!$L$191-Driver!$K$191)</f>
        <v/>
      </c>
      <c r="AU776" s="108">
        <f>(BG776-Driver!$K$192)/(Driver!$L$192-Driver!$K$192)</f>
        <v/>
      </c>
      <c r="AV776" s="105">
        <f>IFERROR(BM776*BJ776^1/4,"")</f>
        <v/>
      </c>
      <c r="AW776" s="105">
        <f>IFERROR(SUM(AX776:AZ776),"")</f>
        <v/>
      </c>
      <c r="AX776" s="105">
        <f>IFERROR(BH776,"")</f>
        <v/>
      </c>
      <c r="AY776" s="105">
        <f>IFERROR(Driver!$K$19/Data!BH776/Data!BI776*Data!BK776*Data!BL776,"")</f>
        <v/>
      </c>
      <c r="AZ776" s="105">
        <f>IFERROR(BI776*BN776,"")</f>
        <v/>
      </c>
      <c r="BA776" s="105" t="n"/>
      <c r="BB776" s="105" t="n"/>
      <c r="BC776" s="105">
        <f>IFERROR(BI776*BN776*BK776/BJ776^(1/2),"")</f>
        <v/>
      </c>
      <c r="BD776" s="105">
        <f>IFERROR(BH776*BM776*BL776/BJ776/BK776,"")</f>
        <v/>
      </c>
      <c r="BE776" s="105">
        <f>IFERROR(MIN(BI776/BQ776/BP776/BO776/BH776,$BE$1),"")</f>
        <v/>
      </c>
      <c r="BF776" s="105">
        <f>IFERROR(BJ776*BO776*BP776/BK776,"")</f>
        <v/>
      </c>
      <c r="BG776" s="105">
        <f>IFERROR(1/BM776/BH776*BQ776,"")</f>
        <v/>
      </c>
      <c r="BH776" s="102">
        <f>MAX((CE776-Driver!$F$200)/(Driver!$G$200-Driver!$F$200)*$BI$1,1)</f>
        <v/>
      </c>
      <c r="BI776" s="102">
        <f>MAX($BI$1*(BY776-Driver!$F$201)/(Driver!$G$201-Driver!$F$201),1)</f>
        <v/>
      </c>
      <c r="BJ776" s="102">
        <f>(CB776-Driver!$F$206)/(Driver!$G$206-Driver!$F$206)*$BI$1</f>
        <v/>
      </c>
      <c r="BK776" s="102">
        <f>(CD776-Driver!$F$203)/(Driver!$G$203-Driver!$F$203)*$BI$1</f>
        <v/>
      </c>
      <c r="BL776" s="102">
        <f>MAX((CR776-Driver!$F$202)/(Driver!$G$202-Driver!$F$202)*$BI$1,1)</f>
        <v/>
      </c>
      <c r="BM776" s="102">
        <f>MAX((CH776-Driver!$F$204)/(Driver!$G$204-Driver!$F$204)*$BI$1,1)</f>
        <v/>
      </c>
      <c r="BN776" s="102">
        <f>(CI776-Driver!$F$205)/(Driver!$G$205-Driver!$F$205)*$BI$1</f>
        <v/>
      </c>
      <c r="BO776" s="102">
        <f>(CK776-Driver!$F$207)/(Driver!$G$207-Driver!$F$207)*$BI$1</f>
        <v/>
      </c>
      <c r="BP776" s="102">
        <f>(CM776-Driver!$F$208)/(Driver!$G$208-Driver!$F$208)*$BI$1</f>
        <v/>
      </c>
      <c r="BQ776" s="102">
        <f>(CL776-Driver!$F$209)/(Driver!$G$209-Driver!$F$209)*$BI$1</f>
        <v/>
      </c>
      <c r="BR776" s="40" t="inlineStr">
        <is>
          <t>21/22</t>
        </is>
      </c>
      <c r="BS776" s="10" t="inlineStr">
        <is>
          <t xml:space="preserve"> Raccoon</t>
        </is>
      </c>
      <c r="BT776" s="11" t="inlineStr">
        <is>
          <t>Chinook 108</t>
        </is>
      </c>
      <c r="BU776" s="13" t="n">
        <v>180</v>
      </c>
      <c r="BV776" s="11" t="inlineStr">
        <is>
          <t xml:space="preserve"> Unisex</t>
        </is>
      </c>
      <c r="BW776" s="13" t="n">
        <v>180</v>
      </c>
      <c r="BX776" s="13" t="n">
        <v>178.1</v>
      </c>
      <c r="BY776" s="13" t="n">
        <v>119</v>
      </c>
      <c r="BZ776" s="13" t="n">
        <v>149</v>
      </c>
      <c r="CA776" s="13" t="n">
        <v>137</v>
      </c>
      <c r="CB776" s="13" t="n">
        <v>108</v>
      </c>
      <c r="CC776" s="13" t="n">
        <v>128</v>
      </c>
      <c r="CD776" s="13" t="n">
        <v>19.4</v>
      </c>
      <c r="CE776" s="13" t="n">
        <v>1606</v>
      </c>
      <c r="CF776" s="13" t="n">
        <v>1.31</v>
      </c>
      <c r="CG776" s="13" t="n">
        <v>2103</v>
      </c>
      <c r="CH776" s="13" t="n">
        <v>226</v>
      </c>
      <c r="CI776" s="13" t="n">
        <v>55</v>
      </c>
      <c r="CJ776" s="13" t="n">
        <v>70</v>
      </c>
      <c r="CK776" s="13" t="n">
        <v>324</v>
      </c>
      <c r="CL776" s="13" t="n">
        <v>33</v>
      </c>
      <c r="CM776" s="13" t="n">
        <v>268</v>
      </c>
      <c r="CN776" s="13" t="n">
        <v>0.475</v>
      </c>
      <c r="CO776" s="13" t="n">
        <v>161</v>
      </c>
      <c r="CP776" s="13" t="n">
        <v>129</v>
      </c>
      <c r="CQ776" s="13" t="n">
        <v>163</v>
      </c>
      <c r="CR776" s="13" t="n">
        <v>6</v>
      </c>
      <c r="CS776" s="13" t="n">
        <v>11.5</v>
      </c>
      <c r="CT776" s="11" t="inlineStr">
        <is>
          <t xml:space="preserve"> Powder</t>
        </is>
      </c>
      <c r="CU776" s="11" t="inlineStr">
        <is>
          <t xml:space="preserve"> Touring</t>
        </is>
      </c>
      <c r="CV776" s="11" t="inlineStr">
        <is>
          <t xml:space="preserve"> Ultralight Touring</t>
        </is>
      </c>
      <c r="CW776" s="13" t="n"/>
      <c r="CX776">
        <f>INDEX('Data_Price '!AG$2:AG$1266,MATCH(Data!$DN776,'Data_Price '!$AT$2:$AT$1266,0))</f>
        <v/>
      </c>
      <c r="CY776">
        <f>INDEX('Data_Price '!AH$2:AH$1266,MATCH(Data!$DN776,'Data_Price '!$AT$2:$AT$1266,0))</f>
        <v/>
      </c>
      <c r="CZ776">
        <f>INDEX('Data_Price '!AI$2:AI$1266,MATCH(Data!$DN776,'Data_Price '!$AT$2:$AT$1266,0))</f>
        <v/>
      </c>
      <c r="DA776">
        <f>INDEX('Data_Price '!AJ$2:AJ$1266,MATCH(Data!$DN776,'Data_Price '!$AT$2:$AT$1266,0))</f>
        <v/>
      </c>
      <c r="DB776">
        <f>INDEX('Data_Price '!AK$2:AK$1266,MATCH(Data!$DN776,'Data_Price '!$AT$2:$AT$1266,0))</f>
        <v/>
      </c>
      <c r="DC776">
        <f>INDEX('Data_Price '!AL$2:AL$1266,MATCH(Data!$DN776,'Data_Price '!$AT$2:$AT$1266,0))</f>
        <v/>
      </c>
      <c r="DD776">
        <f>INDEX('Data_Price '!AM$2:AM$1266,MATCH(Data!$DN776,'Data_Price '!$AT$2:$AT$1266,0))</f>
        <v/>
      </c>
      <c r="DE776">
        <f>INDEX('Data_Price '!AN$2:AN$1266,MATCH(Data!$DN776,'Data_Price '!$AT$2:$AT$1266,0))</f>
        <v/>
      </c>
      <c r="DF776">
        <f>INDEX('Data_Price '!AO$2:AO$1266,MATCH(Data!$DN776,'Data_Price '!$AT$2:$AT$1266,0))</f>
        <v/>
      </c>
      <c r="DG776">
        <f>INDEX('Data_Price '!AP$2:AP$1266,MATCH(Data!$DN776,'Data_Price '!$AT$2:$AT$1266,0))</f>
        <v/>
      </c>
      <c r="DH776">
        <f>INDEX('Data_Price '!AQ$2:AQ$1266,MATCH(Data!$DN776,'Data_Price '!$AT$2:$AT$1266,0))</f>
        <v/>
      </c>
      <c r="DI776">
        <f>INDEX('Data_Price '!AR$2:AR$1266,MATCH(Data!$DN776,'Data_Price '!$AT$2:$AT$1266,0))</f>
        <v/>
      </c>
      <c r="DJ776" s="138">
        <f>DA776</f>
        <v/>
      </c>
      <c r="DK776" s="138">
        <f>DE776</f>
        <v/>
      </c>
      <c r="DL776" s="138">
        <f>DI776</f>
        <v/>
      </c>
      <c r="DM776" s="303">
        <f>IF(LEFT(BT776,1)=" ",RIGHT(BT776,LEN(BT776)-1),BT776)</f>
        <v/>
      </c>
      <c r="DN776" s="138">
        <f>_xlfn.CONCAT(BS776,DM776,BU776,BV776)</f>
        <v/>
      </c>
      <c r="DO776" s="307" t="n"/>
    </row>
    <row r="777" ht="15.6" customHeight="1" s="184">
      <c r="B777" s="303">
        <f t="array" ref="B777">IF(OR(ISERROR(K777:P777)),FALSE,TRUE)</f>
        <v/>
      </c>
      <c r="C777" s="60">
        <f>OR(BR777=Driver!$G$50,Data!BR525=Driver!$H$50)</f>
        <v/>
      </c>
      <c r="D777" s="60">
        <f>OR(BV777=Driver!$G$51,BV777=Driver!$H$51)</f>
        <v/>
      </c>
      <c r="E777" s="60">
        <f>AND(BX777&gt;Driver!$F$54,BX777&lt;Driver!$G$54)</f>
        <v/>
      </c>
      <c r="F777" s="60">
        <f>CL777&gt;Driver!$F$56</f>
        <v/>
      </c>
      <c r="G777" s="60">
        <f>AND(CB777&gt;Driver!$F$55,CB777&lt;Driver!$G$55)</f>
        <v/>
      </c>
      <c r="H777" s="60">
        <f>AND(B777:G777)</f>
        <v/>
      </c>
      <c r="I777" s="60">
        <f>COUNTIFS($H$9:$H$1273,TRUE,$BT$9:$BT$1273,BT777)</f>
        <v/>
      </c>
      <c r="J777" s="60">
        <f t="array" ref="J777">NOT(OR(($H$9:$H$1273=TRUE)*($I$9:$I$1273&gt;0)*($BT$9:$BT$1273=BT777)*($K$9:$K$1273&gt;K777)))</f>
        <v/>
      </c>
      <c r="K777" s="108">
        <f>IFERROR(1-AVERAGE(X777:Y777),"")</f>
        <v/>
      </c>
      <c r="L777" s="108">
        <f>1-X777</f>
        <v/>
      </c>
      <c r="M777" s="108">
        <f>1-Y777</f>
        <v/>
      </c>
      <c r="N777" s="108">
        <f>1-Z777</f>
        <v/>
      </c>
      <c r="O777" s="108">
        <f>1-AA777</f>
        <v/>
      </c>
      <c r="P777" s="108">
        <f>1-AB777</f>
        <v/>
      </c>
      <c r="Q777" s="108" t="n"/>
      <c r="R777" s="108" t="n"/>
      <c r="S777" s="108">
        <f>1-AE777</f>
        <v/>
      </c>
      <c r="T777" s="108">
        <f>1-AF777</f>
        <v/>
      </c>
      <c r="U777" s="108">
        <f>1-AG777</f>
        <v/>
      </c>
      <c r="V777" s="108">
        <f>1-AH777</f>
        <v/>
      </c>
      <c r="W777" s="108">
        <f>1-AI777</f>
        <v/>
      </c>
      <c r="X777" s="108">
        <f>ABS(AJ777-AJ$1)</f>
        <v/>
      </c>
      <c r="Y777" s="108">
        <f>AVERAGE(Z777:AB777)</f>
        <v/>
      </c>
      <c r="Z777" s="108">
        <f>ABS(AL777-AL$1)</f>
        <v/>
      </c>
      <c r="AA777" s="108">
        <f>ABS(AM777-AM$1)</f>
        <v/>
      </c>
      <c r="AB777" s="108">
        <f>ABS(AN777-AN$1)</f>
        <v/>
      </c>
      <c r="AC777" s="108" t="n"/>
      <c r="AD777" s="108" t="n"/>
      <c r="AE777" s="108">
        <f>ABS(AQ$1-AQ777)</f>
        <v/>
      </c>
      <c r="AF777" s="108">
        <f>ABS(AR$1-AR777)</f>
        <v/>
      </c>
      <c r="AG777" s="108">
        <f>ABS(AS$1-AS777)</f>
        <v/>
      </c>
      <c r="AH777" s="108">
        <f>ABS(AT$1-AT777)</f>
        <v/>
      </c>
      <c r="AI777" s="108">
        <f>ABS(AU$1-AU777)</f>
        <v/>
      </c>
      <c r="AJ777" s="108">
        <f>(AV777-Driver!$K$179)/(Driver!$L$179-Driver!$K$179)</f>
        <v/>
      </c>
      <c r="AK777" s="108">
        <f>(AW777-Driver!$K$180)/(Driver!$L$180-Driver!$K$180)</f>
        <v/>
      </c>
      <c r="AL777" s="108">
        <f>(AX777-Driver!$K$181)/(Driver!$L$181-Driver!$K$181)</f>
        <v/>
      </c>
      <c r="AM777" s="108">
        <f>(AY777-Driver!$K$182)/(Driver!$L$182-Driver!$K$182)</f>
        <v/>
      </c>
      <c r="AN777" s="108">
        <f>(AZ777-Driver!$K$183)/(Driver!$L$183-Driver!$K$183)</f>
        <v/>
      </c>
      <c r="AO777" s="108" t="n"/>
      <c r="AP777" s="108" t="n"/>
      <c r="AQ777" s="108">
        <f>(BC777-Driver!$K$188)/(Driver!$L$188-Driver!$K$188)</f>
        <v/>
      </c>
      <c r="AR777" s="108">
        <f>MIN((BD777-Driver!$K$189)/(Driver!$L$189-Driver!$K$189),100%)</f>
        <v/>
      </c>
      <c r="AS777" s="108">
        <f>(BE777-Driver!$K$190)/(Driver!$L$190-Driver!$K$190)</f>
        <v/>
      </c>
      <c r="AT777" s="108">
        <f>(BF777-Driver!$K$191)/(Driver!$L$191-Driver!$K$191)</f>
        <v/>
      </c>
      <c r="AU777" s="108">
        <f>(BG777-Driver!$K$192)/(Driver!$L$192-Driver!$K$192)</f>
        <v/>
      </c>
      <c r="AV777" s="105">
        <f>IFERROR(BM777*BJ777^1/4,"")</f>
        <v/>
      </c>
      <c r="AW777" s="105">
        <f>IFERROR(SUM(AX777:AZ777),"")</f>
        <v/>
      </c>
      <c r="AX777" s="105">
        <f>IFERROR(BH777,"")</f>
        <v/>
      </c>
      <c r="AY777" s="105">
        <f>IFERROR(Driver!$K$19/Data!BH777/Data!BI777*Data!BK777*Data!BL777,"")</f>
        <v/>
      </c>
      <c r="AZ777" s="105">
        <f>IFERROR(BI777*BN777,"")</f>
        <v/>
      </c>
      <c r="BA777" s="105" t="n"/>
      <c r="BB777" s="105" t="n"/>
      <c r="BC777" s="105">
        <f>IFERROR(BI777*BN777*BK777/BJ777^(1/2),"")</f>
        <v/>
      </c>
      <c r="BD777" s="105">
        <f>IFERROR(BH777*BM777*BL777/BJ777/BK777,"")</f>
        <v/>
      </c>
      <c r="BE777" s="105">
        <f>IFERROR(MIN(BI777/BQ777/BP777/BO777/BH777,$BE$1),"")</f>
        <v/>
      </c>
      <c r="BF777" s="105">
        <f>IFERROR(BJ777*BO777*BP777/BK777,"")</f>
        <v/>
      </c>
      <c r="BG777" s="105">
        <f>IFERROR(1/BM777/BH777*BQ777,"")</f>
        <v/>
      </c>
      <c r="BH777" s="102">
        <f>MAX((CE777-Driver!$F$200)/(Driver!$G$200-Driver!$F$200)*$BI$1,1)</f>
        <v/>
      </c>
      <c r="BI777" s="102">
        <f>MAX($BI$1*(BY777-Driver!$F$201)/(Driver!$G$201-Driver!$F$201),1)</f>
        <v/>
      </c>
      <c r="BJ777" s="102">
        <f>(CB777-Driver!$F$206)/(Driver!$G$206-Driver!$F$206)*$BI$1</f>
        <v/>
      </c>
      <c r="BK777" s="102">
        <f>(CD777-Driver!$F$203)/(Driver!$G$203-Driver!$F$203)*$BI$1</f>
        <v/>
      </c>
      <c r="BL777" s="102">
        <f>MAX((CR777-Driver!$F$202)/(Driver!$G$202-Driver!$F$202)*$BI$1,1)</f>
        <v/>
      </c>
      <c r="BM777" s="102">
        <f>MAX((CH777-Driver!$F$204)/(Driver!$G$204-Driver!$F$204)*$BI$1,1)</f>
        <v/>
      </c>
      <c r="BN777" s="102">
        <f>(CI777-Driver!$F$205)/(Driver!$G$205-Driver!$F$205)*$BI$1</f>
        <v/>
      </c>
      <c r="BO777" s="102">
        <f>(CK777-Driver!$F$207)/(Driver!$G$207-Driver!$F$207)*$BI$1</f>
        <v/>
      </c>
      <c r="BP777" s="102">
        <f>(CM777-Driver!$F$208)/(Driver!$G$208-Driver!$F$208)*$BI$1</f>
        <v/>
      </c>
      <c r="BQ777" s="102">
        <f>(CL777-Driver!$F$209)/(Driver!$G$209-Driver!$F$209)*$BI$1</f>
        <v/>
      </c>
      <c r="BR777" s="40" t="inlineStr">
        <is>
          <t>21/22</t>
        </is>
      </c>
      <c r="BS777" s="10" t="inlineStr">
        <is>
          <t xml:space="preserve"> Faction</t>
        </is>
      </c>
      <c r="BT777" s="11" t="inlineStr">
        <is>
          <t>Prodigy 0.0</t>
        </is>
      </c>
      <c r="BU777" s="13" t="n">
        <v>164</v>
      </c>
      <c r="BV777" s="11" t="inlineStr">
        <is>
          <t xml:space="preserve"> Unisex</t>
        </is>
      </c>
      <c r="BW777" s="13" t="n">
        <v>164</v>
      </c>
      <c r="BX777" s="13" t="n">
        <v>162.5</v>
      </c>
      <c r="BY777" s="13" t="n">
        <v>112</v>
      </c>
      <c r="BZ777" s="13" t="n">
        <v>138</v>
      </c>
      <c r="CA777" s="13" t="n">
        <v>117</v>
      </c>
      <c r="CB777" s="13" t="n">
        <v>84</v>
      </c>
      <c r="CC777" s="13" t="n">
        <v>109</v>
      </c>
      <c r="CD777" s="13" t="n">
        <v>14.7</v>
      </c>
      <c r="CE777" s="13" t="n">
        <v>1659</v>
      </c>
      <c r="CF777" s="13" t="n">
        <v>0.9399999999999999</v>
      </c>
      <c r="CG777" s="13" t="n">
        <v>1559</v>
      </c>
      <c r="CH777" s="13" t="n">
        <v>152</v>
      </c>
      <c r="CI777" s="13" t="n">
        <v>69</v>
      </c>
      <c r="CJ777" s="13" t="n">
        <v>49</v>
      </c>
      <c r="CK777" s="13" t="n">
        <v>282</v>
      </c>
      <c r="CL777" s="13" t="n">
        <v>36</v>
      </c>
      <c r="CM777" s="13" t="n">
        <v>221</v>
      </c>
      <c r="CN777" s="13" t="n">
        <v>0.728</v>
      </c>
      <c r="CO777" s="13" t="n">
        <v>136</v>
      </c>
      <c r="CP777" s="13" t="n">
        <v>114</v>
      </c>
      <c r="CQ777" s="13" t="n">
        <v>146</v>
      </c>
      <c r="CR777" s="13" t="n">
        <v>5</v>
      </c>
      <c r="CS777" s="13" t="n">
        <v>6.9</v>
      </c>
      <c r="CT777" s="11" t="inlineStr">
        <is>
          <t xml:space="preserve"> Resort Freeride</t>
        </is>
      </c>
      <c r="CU777" s="13" t="n"/>
      <c r="CV777" s="13" t="n"/>
      <c r="CW777" s="13" t="n"/>
      <c r="CX777">
        <f>INDEX('Data_Price '!AG$2:AG$1266,MATCH(Data!$DN777,'Data_Price '!$AT$2:$AT$1266,0))</f>
        <v/>
      </c>
      <c r="CY777">
        <f>INDEX('Data_Price '!AH$2:AH$1266,MATCH(Data!$DN777,'Data_Price '!$AT$2:$AT$1266,0))</f>
        <v/>
      </c>
      <c r="CZ777">
        <f>INDEX('Data_Price '!AI$2:AI$1266,MATCH(Data!$DN777,'Data_Price '!$AT$2:$AT$1266,0))</f>
        <v/>
      </c>
      <c r="DA777">
        <f>INDEX('Data_Price '!AJ$2:AJ$1266,MATCH(Data!$DN777,'Data_Price '!$AT$2:$AT$1266,0))</f>
        <v/>
      </c>
      <c r="DB777">
        <f>INDEX('Data_Price '!AK$2:AK$1266,MATCH(Data!$DN777,'Data_Price '!$AT$2:$AT$1266,0))</f>
        <v/>
      </c>
      <c r="DC777">
        <f>INDEX('Data_Price '!AL$2:AL$1266,MATCH(Data!$DN777,'Data_Price '!$AT$2:$AT$1266,0))</f>
        <v/>
      </c>
      <c r="DD777">
        <f>INDEX('Data_Price '!AM$2:AM$1266,MATCH(Data!$DN777,'Data_Price '!$AT$2:$AT$1266,0))</f>
        <v/>
      </c>
      <c r="DE777">
        <f>INDEX('Data_Price '!AN$2:AN$1266,MATCH(Data!$DN777,'Data_Price '!$AT$2:$AT$1266,0))</f>
        <v/>
      </c>
      <c r="DF777">
        <f>INDEX('Data_Price '!AO$2:AO$1266,MATCH(Data!$DN777,'Data_Price '!$AT$2:$AT$1266,0))</f>
        <v/>
      </c>
      <c r="DG777">
        <f>INDEX('Data_Price '!AP$2:AP$1266,MATCH(Data!$DN777,'Data_Price '!$AT$2:$AT$1266,0))</f>
        <v/>
      </c>
      <c r="DH777">
        <f>INDEX('Data_Price '!AQ$2:AQ$1266,MATCH(Data!$DN777,'Data_Price '!$AT$2:$AT$1266,0))</f>
        <v/>
      </c>
      <c r="DI777">
        <f>INDEX('Data_Price '!AR$2:AR$1266,MATCH(Data!$DN777,'Data_Price '!$AT$2:$AT$1266,0))</f>
        <v/>
      </c>
      <c r="DJ777" s="138">
        <f>DA777</f>
        <v/>
      </c>
      <c r="DK777" s="138">
        <f>DE777</f>
        <v/>
      </c>
      <c r="DL777" s="138">
        <f>DI777</f>
        <v/>
      </c>
      <c r="DM777" s="303">
        <f>IF(LEFT(BT777,1)=" ",RIGHT(BT777,LEN(BT777)-1),BT777)</f>
        <v/>
      </c>
      <c r="DN777" s="138">
        <f>_xlfn.CONCAT(BS777,DM777,BU777,BV777)</f>
        <v/>
      </c>
      <c r="DO777" s="307" t="n"/>
    </row>
    <row r="778" ht="15.6" customHeight="1" s="184">
      <c r="B778" s="303">
        <f t="array" ref="B778">IF(OR(ISERROR(K778:P778)),FALSE,TRUE)</f>
        <v/>
      </c>
      <c r="C778" s="60">
        <f>OR(BR778=Driver!$G$50,Data!BR1037=Driver!$H$50)</f>
        <v/>
      </c>
      <c r="D778" s="60">
        <f>OR(BV778=Driver!$G$51,BV778=Driver!$H$51)</f>
        <v/>
      </c>
      <c r="E778" s="60">
        <f>AND(BX778&gt;Driver!$F$54,BX778&lt;Driver!$G$54)</f>
        <v/>
      </c>
      <c r="F778" s="60">
        <f>CL778&gt;Driver!$F$56</f>
        <v/>
      </c>
      <c r="G778" s="60">
        <f>AND(CB778&gt;Driver!$F$55,CB778&lt;Driver!$G$55)</f>
        <v/>
      </c>
      <c r="H778" s="60">
        <f>AND(B778:G778)</f>
        <v/>
      </c>
      <c r="I778" s="60">
        <f>COUNTIFS($H$9:$H$1273,TRUE,$BT$9:$BT$1273,BT778)</f>
        <v/>
      </c>
      <c r="J778" s="60">
        <f t="array" ref="J778">NOT(OR(($H$9:$H$1273=TRUE)*($I$9:$I$1273&gt;0)*($BT$9:$BT$1273=BT778)*($K$9:$K$1273&gt;K778)))</f>
        <v/>
      </c>
      <c r="K778" s="108">
        <f>IFERROR(1-AVERAGE(X778:Y778),"")</f>
        <v/>
      </c>
      <c r="L778" s="108">
        <f>1-X778</f>
        <v/>
      </c>
      <c r="M778" s="108">
        <f>1-Y778</f>
        <v/>
      </c>
      <c r="N778" s="108">
        <f>1-Z778</f>
        <v/>
      </c>
      <c r="O778" s="108">
        <f>1-AA778</f>
        <v/>
      </c>
      <c r="P778" s="108">
        <f>1-AB778</f>
        <v/>
      </c>
      <c r="Q778" s="108" t="n"/>
      <c r="R778" s="108" t="n"/>
      <c r="S778" s="108">
        <f>1-AE778</f>
        <v/>
      </c>
      <c r="T778" s="108">
        <f>1-AF778</f>
        <v/>
      </c>
      <c r="U778" s="108">
        <f>1-AG778</f>
        <v/>
      </c>
      <c r="V778" s="108">
        <f>1-AH778</f>
        <v/>
      </c>
      <c r="W778" s="108">
        <f>1-AI778</f>
        <v/>
      </c>
      <c r="X778" s="108">
        <f>ABS(AJ778-AJ$1)</f>
        <v/>
      </c>
      <c r="Y778" s="108">
        <f>AVERAGE(Z778:AB778)</f>
        <v/>
      </c>
      <c r="Z778" s="108">
        <f>ABS(AL778-AL$1)</f>
        <v/>
      </c>
      <c r="AA778" s="108">
        <f>ABS(AM778-AM$1)</f>
        <v/>
      </c>
      <c r="AB778" s="108">
        <f>ABS(AN778-AN$1)</f>
        <v/>
      </c>
      <c r="AC778" s="108" t="n"/>
      <c r="AD778" s="108" t="n"/>
      <c r="AE778" s="108">
        <f>ABS(AQ$1-AQ778)</f>
        <v/>
      </c>
      <c r="AF778" s="108">
        <f>ABS(AR$1-AR778)</f>
        <v/>
      </c>
      <c r="AG778" s="108">
        <f>ABS(AS$1-AS778)</f>
        <v/>
      </c>
      <c r="AH778" s="108">
        <f>ABS(AT$1-AT778)</f>
        <v/>
      </c>
      <c r="AI778" s="108">
        <f>ABS(AU$1-AU778)</f>
        <v/>
      </c>
      <c r="AJ778" s="108">
        <f>(AV778-Driver!$K$179)/(Driver!$L$179-Driver!$K$179)</f>
        <v/>
      </c>
      <c r="AK778" s="108">
        <f>(AW778-Driver!$K$180)/(Driver!$L$180-Driver!$K$180)</f>
        <v/>
      </c>
      <c r="AL778" s="108">
        <f>(AX778-Driver!$K$181)/(Driver!$L$181-Driver!$K$181)</f>
        <v/>
      </c>
      <c r="AM778" s="108">
        <f>(AY778-Driver!$K$182)/(Driver!$L$182-Driver!$K$182)</f>
        <v/>
      </c>
      <c r="AN778" s="108">
        <f>(AZ778-Driver!$K$183)/(Driver!$L$183-Driver!$K$183)</f>
        <v/>
      </c>
      <c r="AO778" s="108" t="n"/>
      <c r="AP778" s="108" t="n"/>
      <c r="AQ778" s="108">
        <f>(BC778-Driver!$K$188)/(Driver!$L$188-Driver!$K$188)</f>
        <v/>
      </c>
      <c r="AR778" s="108">
        <f>MIN((BD778-Driver!$K$189)/(Driver!$L$189-Driver!$K$189),100%)</f>
        <v/>
      </c>
      <c r="AS778" s="108">
        <f>(BE778-Driver!$K$190)/(Driver!$L$190-Driver!$K$190)</f>
        <v/>
      </c>
      <c r="AT778" s="108">
        <f>(BF778-Driver!$K$191)/(Driver!$L$191-Driver!$K$191)</f>
        <v/>
      </c>
      <c r="AU778" s="108">
        <f>(BG778-Driver!$K$192)/(Driver!$L$192-Driver!$K$192)</f>
        <v/>
      </c>
      <c r="AV778" s="105">
        <f>IFERROR(BM778*BJ778^1/4,"")</f>
        <v/>
      </c>
      <c r="AW778" s="105">
        <f>IFERROR(SUM(AX778:AZ778),"")</f>
        <v/>
      </c>
      <c r="AX778" s="105">
        <f>IFERROR(BH778,"")</f>
        <v/>
      </c>
      <c r="AY778" s="105">
        <f>IFERROR(Driver!$K$19/Data!BH778/Data!BI778*Data!BK778*Data!BL778,"")</f>
        <v/>
      </c>
      <c r="AZ778" s="105">
        <f>IFERROR(BI778*BN778,"")</f>
        <v/>
      </c>
      <c r="BA778" s="105" t="n"/>
      <c r="BB778" s="105" t="n"/>
      <c r="BC778" s="105">
        <f>IFERROR(BI778*BN778*BK778/BJ778^(1/2),"")</f>
        <v/>
      </c>
      <c r="BD778" s="105">
        <f>IFERROR(BH778*BM778*BL778/BJ778/BK778,"")</f>
        <v/>
      </c>
      <c r="BE778" s="105">
        <f>IFERROR(MIN(BI778/BQ778/BP778/BO778/BH778,$BE$1),"")</f>
        <v/>
      </c>
      <c r="BF778" s="105">
        <f>IFERROR(BJ778*BO778*BP778/BK778,"")</f>
        <v/>
      </c>
      <c r="BG778" s="105">
        <f>IFERROR(1/BM778/BH778*BQ778,"")</f>
        <v/>
      </c>
      <c r="BH778" s="102">
        <f>MAX((CE778-Driver!$F$200)/(Driver!$G$200-Driver!$F$200)*$BI$1,1)</f>
        <v/>
      </c>
      <c r="BI778" s="102">
        <f>MAX($BI$1*(BY778-Driver!$F$201)/(Driver!$G$201-Driver!$F$201),1)</f>
        <v/>
      </c>
      <c r="BJ778" s="102">
        <f>(CB778-Driver!$F$206)/(Driver!$G$206-Driver!$F$206)*$BI$1</f>
        <v/>
      </c>
      <c r="BK778" s="102">
        <f>(CD778-Driver!$F$203)/(Driver!$G$203-Driver!$F$203)*$BI$1</f>
        <v/>
      </c>
      <c r="BL778" s="102">
        <f>MAX((CR778-Driver!$F$202)/(Driver!$G$202-Driver!$F$202)*$BI$1,1)</f>
        <v/>
      </c>
      <c r="BM778" s="102">
        <f>MAX((CH778-Driver!$F$204)/(Driver!$G$204-Driver!$F$204)*$BI$1,1)</f>
        <v/>
      </c>
      <c r="BN778" s="102">
        <f>(CI778-Driver!$F$205)/(Driver!$G$205-Driver!$F$205)*$BI$1</f>
        <v/>
      </c>
      <c r="BO778" s="102">
        <f>(CK778-Driver!$F$207)/(Driver!$G$207-Driver!$F$207)*$BI$1</f>
        <v/>
      </c>
      <c r="BP778" s="102">
        <f>(CM778-Driver!$F$208)/(Driver!$G$208-Driver!$F$208)*$BI$1</f>
        <v/>
      </c>
      <c r="BQ778" s="102">
        <f>(CL778-Driver!$F$209)/(Driver!$G$209-Driver!$F$209)*$BI$1</f>
        <v/>
      </c>
      <c r="BR778" s="40" t="inlineStr">
        <is>
          <t>21/22</t>
        </is>
      </c>
      <c r="BS778" s="10" t="inlineStr">
        <is>
          <t xml:space="preserve"> Rossignol</t>
        </is>
      </c>
      <c r="BT778" s="11" t="inlineStr">
        <is>
          <t>Hero Elite ST Ti (R22)</t>
        </is>
      </c>
      <c r="BU778" s="13" t="n">
        <v>157</v>
      </c>
      <c r="BV778" s="11" t="inlineStr">
        <is>
          <t xml:space="preserve"> Unisex</t>
        </is>
      </c>
      <c r="BW778" s="13" t="n">
        <v>157</v>
      </c>
      <c r="BX778" s="13" t="n">
        <v>155.4</v>
      </c>
      <c r="BY778" s="13" t="n">
        <v>135</v>
      </c>
      <c r="BZ778" s="13" t="n">
        <v>142</v>
      </c>
      <c r="CA778" s="13" t="n">
        <v>121</v>
      </c>
      <c r="CB778" s="13" t="n">
        <v>67</v>
      </c>
      <c r="CC778" s="13" t="n">
        <v>102</v>
      </c>
      <c r="CD778" s="13" t="n">
        <v>10.8</v>
      </c>
      <c r="CE778" s="13" t="n">
        <v>2008</v>
      </c>
      <c r="CF778" s="13" t="n">
        <v>0.65</v>
      </c>
      <c r="CG778" s="13" t="n">
        <v>1308</v>
      </c>
      <c r="CH778" s="13" t="n">
        <v>187</v>
      </c>
      <c r="CI778" s="13" t="n">
        <v>93</v>
      </c>
      <c r="CJ778" s="13" t="n">
        <v>39</v>
      </c>
      <c r="CK778" s="13" t="n">
        <v>137</v>
      </c>
      <c r="CL778" s="13" t="n">
        <v>4</v>
      </c>
      <c r="CM778" s="13" t="n">
        <v>66</v>
      </c>
      <c r="CN778" s="13" t="n">
        <v>0.114</v>
      </c>
      <c r="CO778" s="13" t="n">
        <v>74</v>
      </c>
      <c r="CP778" s="13" t="n">
        <v>62</v>
      </c>
      <c r="CQ778" s="13" t="n">
        <v>64</v>
      </c>
      <c r="CR778" s="13" t="n">
        <v>11</v>
      </c>
      <c r="CS778" s="13" t="n">
        <v>8.1</v>
      </c>
      <c r="CT778" s="11" t="inlineStr">
        <is>
          <t xml:space="preserve"> On-Piste Carving</t>
        </is>
      </c>
      <c r="CU778" s="13" t="n"/>
      <c r="CV778" s="13" t="n"/>
      <c r="CW778" s="13" t="n"/>
      <c r="CX778">
        <f>INDEX('Data_Price '!AG$2:AG$1266,MATCH(Data!$DN778,'Data_Price '!$AT$2:$AT$1266,0))</f>
        <v/>
      </c>
      <c r="CY778">
        <f>INDEX('Data_Price '!AH$2:AH$1266,MATCH(Data!$DN778,'Data_Price '!$AT$2:$AT$1266,0))</f>
        <v/>
      </c>
      <c r="CZ778">
        <f>INDEX('Data_Price '!AI$2:AI$1266,MATCH(Data!$DN778,'Data_Price '!$AT$2:$AT$1266,0))</f>
        <v/>
      </c>
      <c r="DA778">
        <f>INDEX('Data_Price '!AJ$2:AJ$1266,MATCH(Data!$DN778,'Data_Price '!$AT$2:$AT$1266,0))</f>
        <v/>
      </c>
      <c r="DB778">
        <f>INDEX('Data_Price '!AK$2:AK$1266,MATCH(Data!$DN778,'Data_Price '!$AT$2:$AT$1266,0))</f>
        <v/>
      </c>
      <c r="DC778">
        <f>INDEX('Data_Price '!AL$2:AL$1266,MATCH(Data!$DN778,'Data_Price '!$AT$2:$AT$1266,0))</f>
        <v/>
      </c>
      <c r="DD778">
        <f>INDEX('Data_Price '!AM$2:AM$1266,MATCH(Data!$DN778,'Data_Price '!$AT$2:$AT$1266,0))</f>
        <v/>
      </c>
      <c r="DE778">
        <f>INDEX('Data_Price '!AN$2:AN$1266,MATCH(Data!$DN778,'Data_Price '!$AT$2:$AT$1266,0))</f>
        <v/>
      </c>
      <c r="DF778">
        <f>INDEX('Data_Price '!AO$2:AO$1266,MATCH(Data!$DN778,'Data_Price '!$AT$2:$AT$1266,0))</f>
        <v/>
      </c>
      <c r="DG778">
        <f>INDEX('Data_Price '!AP$2:AP$1266,MATCH(Data!$DN778,'Data_Price '!$AT$2:$AT$1266,0))</f>
        <v/>
      </c>
      <c r="DH778">
        <f>INDEX('Data_Price '!AQ$2:AQ$1266,MATCH(Data!$DN778,'Data_Price '!$AT$2:$AT$1266,0))</f>
        <v/>
      </c>
      <c r="DI778">
        <f>INDEX('Data_Price '!AR$2:AR$1266,MATCH(Data!$DN778,'Data_Price '!$AT$2:$AT$1266,0))</f>
        <v/>
      </c>
      <c r="DJ778" s="138">
        <f>DA778</f>
        <v/>
      </c>
      <c r="DK778" s="138">
        <f>DE778</f>
        <v/>
      </c>
      <c r="DL778" s="138">
        <f>DI778</f>
        <v/>
      </c>
      <c r="DM778" s="303">
        <f>IF(LEFT(BT778,1)=" ",RIGHT(BT778,LEN(BT778)-1),BT778)</f>
        <v/>
      </c>
      <c r="DN778" s="138">
        <f>_xlfn.CONCAT(BS778,DM778,BU778,BV778)</f>
        <v/>
      </c>
      <c r="DO778" s="307" t="n"/>
    </row>
    <row r="779" ht="15.6" customHeight="1" s="184">
      <c r="B779" s="303">
        <f t="array" ref="B779">IF(OR(ISERROR(K779:P779)),FALSE,TRUE)</f>
        <v/>
      </c>
      <c r="C779" s="60">
        <f>OR(BR779=Driver!$G$50,Data!BR167=Driver!$H$50)</f>
        <v/>
      </c>
      <c r="D779" s="60">
        <f>OR(BV779=Driver!$G$51,BV779=Driver!$H$51)</f>
        <v/>
      </c>
      <c r="E779" s="60">
        <f>AND(BX779&gt;Driver!$F$54,BX779&lt;Driver!$G$54)</f>
        <v/>
      </c>
      <c r="F779" s="60">
        <f>CL779&gt;Driver!$F$56</f>
        <v/>
      </c>
      <c r="G779" s="60">
        <f>AND(CB779&gt;Driver!$F$55,CB779&lt;Driver!$G$55)</f>
        <v/>
      </c>
      <c r="H779" s="60">
        <f>AND(B779:G779)</f>
        <v/>
      </c>
      <c r="I779" s="60">
        <f>COUNTIFS($H$9:$H$1273,TRUE,$BT$9:$BT$1273,BT779)</f>
        <v/>
      </c>
      <c r="J779" s="60">
        <f t="array" ref="J779">NOT(OR(($H$9:$H$1273=TRUE)*($I$9:$I$1273&gt;0)*($BT$9:$BT$1273=BT779)*($K$9:$K$1273&gt;K779)))</f>
        <v/>
      </c>
      <c r="K779" s="108">
        <f>IFERROR(1-AVERAGE(X779:Y779),"")</f>
        <v/>
      </c>
      <c r="L779" s="108">
        <f>1-X779</f>
        <v/>
      </c>
      <c r="M779" s="108">
        <f>1-Y779</f>
        <v/>
      </c>
      <c r="N779" s="108">
        <f>1-Z779</f>
        <v/>
      </c>
      <c r="O779" s="108">
        <f>1-AA779</f>
        <v/>
      </c>
      <c r="P779" s="108">
        <f>1-AB779</f>
        <v/>
      </c>
      <c r="Q779" s="108" t="n"/>
      <c r="R779" s="108" t="n"/>
      <c r="S779" s="108">
        <f>1-AE779</f>
        <v/>
      </c>
      <c r="T779" s="108">
        <f>1-AF779</f>
        <v/>
      </c>
      <c r="U779" s="108">
        <f>1-AG779</f>
        <v/>
      </c>
      <c r="V779" s="108">
        <f>1-AH779</f>
        <v/>
      </c>
      <c r="W779" s="108">
        <f>1-AI779</f>
        <v/>
      </c>
      <c r="X779" s="108">
        <f>ABS(AJ779-AJ$1)</f>
        <v/>
      </c>
      <c r="Y779" s="108">
        <f>AVERAGE(Z779:AB779)</f>
        <v/>
      </c>
      <c r="Z779" s="108">
        <f>ABS(AL779-AL$1)</f>
        <v/>
      </c>
      <c r="AA779" s="108">
        <f>ABS(AM779-AM$1)</f>
        <v/>
      </c>
      <c r="AB779" s="108">
        <f>ABS(AN779-AN$1)</f>
        <v/>
      </c>
      <c r="AC779" s="108" t="n"/>
      <c r="AD779" s="108" t="n"/>
      <c r="AE779" s="108">
        <f>ABS(AQ$1-AQ779)</f>
        <v/>
      </c>
      <c r="AF779" s="108">
        <f>ABS(AR$1-AR779)</f>
        <v/>
      </c>
      <c r="AG779" s="108">
        <f>ABS(AS$1-AS779)</f>
        <v/>
      </c>
      <c r="AH779" s="108">
        <f>ABS(AT$1-AT779)</f>
        <v/>
      </c>
      <c r="AI779" s="108">
        <f>ABS(AU$1-AU779)</f>
        <v/>
      </c>
      <c r="AJ779" s="108">
        <f>(AV779-Driver!$K$179)/(Driver!$L$179-Driver!$K$179)</f>
        <v/>
      </c>
      <c r="AK779" s="108">
        <f>(AW779-Driver!$K$180)/(Driver!$L$180-Driver!$K$180)</f>
        <v/>
      </c>
      <c r="AL779" s="108">
        <f>(AX779-Driver!$K$181)/(Driver!$L$181-Driver!$K$181)</f>
        <v/>
      </c>
      <c r="AM779" s="108">
        <f>(AY779-Driver!$K$182)/(Driver!$L$182-Driver!$K$182)</f>
        <v/>
      </c>
      <c r="AN779" s="108">
        <f>(AZ779-Driver!$K$183)/(Driver!$L$183-Driver!$K$183)</f>
        <v/>
      </c>
      <c r="AO779" s="108" t="n"/>
      <c r="AP779" s="108" t="n"/>
      <c r="AQ779" s="108">
        <f>(BC779-Driver!$K$188)/(Driver!$L$188-Driver!$K$188)</f>
        <v/>
      </c>
      <c r="AR779" s="108">
        <f>MIN((BD779-Driver!$K$189)/(Driver!$L$189-Driver!$K$189),100%)</f>
        <v/>
      </c>
      <c r="AS779" s="108">
        <f>(BE779-Driver!$K$190)/(Driver!$L$190-Driver!$K$190)</f>
        <v/>
      </c>
      <c r="AT779" s="108">
        <f>(BF779-Driver!$K$191)/(Driver!$L$191-Driver!$K$191)</f>
        <v/>
      </c>
      <c r="AU779" s="108">
        <f>(BG779-Driver!$K$192)/(Driver!$L$192-Driver!$K$192)</f>
        <v/>
      </c>
      <c r="AV779" s="105">
        <f>IFERROR(BM779*BJ779^1/4,"")</f>
        <v/>
      </c>
      <c r="AW779" s="105">
        <f>IFERROR(SUM(AX779:AZ779),"")</f>
        <v/>
      </c>
      <c r="AX779" s="105">
        <f>IFERROR(BH779,"")</f>
        <v/>
      </c>
      <c r="AY779" s="105">
        <f>IFERROR(Driver!$K$19/Data!BH779/Data!BI779*Data!BK779*Data!BL779,"")</f>
        <v/>
      </c>
      <c r="AZ779" s="105">
        <f>IFERROR(BI779*BN779,"")</f>
        <v/>
      </c>
      <c r="BA779" s="105" t="n"/>
      <c r="BB779" s="105" t="n"/>
      <c r="BC779" s="105">
        <f>IFERROR(BI779*BN779*BK779/BJ779^(1/2),"")</f>
        <v/>
      </c>
      <c r="BD779" s="105">
        <f>IFERROR(BH779*BM779*BL779/BJ779/BK779,"")</f>
        <v/>
      </c>
      <c r="BE779" s="105">
        <f>IFERROR(MIN(BI779/BQ779/BP779/BO779/BH779,$BE$1),"")</f>
        <v/>
      </c>
      <c r="BF779" s="105">
        <f>IFERROR(BJ779*BO779*BP779/BK779,"")</f>
        <v/>
      </c>
      <c r="BG779" s="105">
        <f>IFERROR(1/BM779/BH779*BQ779,"")</f>
        <v/>
      </c>
      <c r="BH779" s="102">
        <f>MAX((CE779-Driver!$F$200)/(Driver!$G$200-Driver!$F$200)*$BI$1,1)</f>
        <v/>
      </c>
      <c r="BI779" s="102">
        <f>MAX($BI$1*(BY779-Driver!$F$201)/(Driver!$G$201-Driver!$F$201),1)</f>
        <v/>
      </c>
      <c r="BJ779" s="102">
        <f>(CB779-Driver!$F$206)/(Driver!$G$206-Driver!$F$206)*$BI$1</f>
        <v/>
      </c>
      <c r="BK779" s="102">
        <f>(CD779-Driver!$F$203)/(Driver!$G$203-Driver!$F$203)*$BI$1</f>
        <v/>
      </c>
      <c r="BL779" s="102">
        <f>MAX((CR779-Driver!$F$202)/(Driver!$G$202-Driver!$F$202)*$BI$1,1)</f>
        <v/>
      </c>
      <c r="BM779" s="102">
        <f>MAX((CH779-Driver!$F$204)/(Driver!$G$204-Driver!$F$204)*$BI$1,1)</f>
        <v/>
      </c>
      <c r="BN779" s="102">
        <f>(CI779-Driver!$F$205)/(Driver!$G$205-Driver!$F$205)*$BI$1</f>
        <v/>
      </c>
      <c r="BO779" s="102">
        <f>(CK779-Driver!$F$207)/(Driver!$G$207-Driver!$F$207)*$BI$1</f>
        <v/>
      </c>
      <c r="BP779" s="102">
        <f>(CM779-Driver!$F$208)/(Driver!$G$208-Driver!$F$208)*$BI$1</f>
        <v/>
      </c>
      <c r="BQ779" s="102">
        <f>(CL779-Driver!$F$209)/(Driver!$G$209-Driver!$F$209)*$BI$1</f>
        <v/>
      </c>
      <c r="BR779" s="40" t="inlineStr">
        <is>
          <t>21/22</t>
        </is>
      </c>
      <c r="BS779" s="10" t="inlineStr">
        <is>
          <t xml:space="preserve"> Atomic</t>
        </is>
      </c>
      <c r="BT779" s="11" t="inlineStr">
        <is>
          <t>Maverick 88 Ti</t>
        </is>
      </c>
      <c r="BU779" s="13" t="n">
        <v>176</v>
      </c>
      <c r="BV779" s="11" t="inlineStr">
        <is>
          <t xml:space="preserve"> Unisex</t>
        </is>
      </c>
      <c r="BW779" s="13" t="n">
        <v>176</v>
      </c>
      <c r="BX779" s="13" t="n">
        <v>175.1</v>
      </c>
      <c r="BY779" s="13" t="n">
        <v>132</v>
      </c>
      <c r="BZ779" s="13" t="n">
        <v>149</v>
      </c>
      <c r="CA779" s="13" t="n">
        <v>124</v>
      </c>
      <c r="CB779" s="13" t="n">
        <v>87</v>
      </c>
      <c r="CC779" s="13" t="n">
        <v>107</v>
      </c>
      <c r="CD779" s="13" t="n">
        <v>18.3</v>
      </c>
      <c r="CE779" s="13" t="n">
        <v>1694</v>
      </c>
      <c r="CF779" s="13" t="n">
        <v>1.02</v>
      </c>
      <c r="CG779" s="13" t="n">
        <v>1721</v>
      </c>
      <c r="CH779" s="13" t="n">
        <v>215</v>
      </c>
      <c r="CI779" s="13" t="n">
        <v>143</v>
      </c>
      <c r="CJ779" s="13" t="n">
        <v>46</v>
      </c>
      <c r="CK779" s="13" t="n">
        <v>253</v>
      </c>
      <c r="CL779" s="13" t="n">
        <v>11</v>
      </c>
      <c r="CM779" s="13" t="n">
        <v>176</v>
      </c>
      <c r="CN779" s="13" t="n">
        <v>0.238</v>
      </c>
      <c r="CO779" s="13" t="n">
        <v>155</v>
      </c>
      <c r="CP779" s="13" t="n">
        <v>111</v>
      </c>
      <c r="CQ779" s="13" t="n">
        <v>98</v>
      </c>
      <c r="CR779" s="13" t="n">
        <v>9</v>
      </c>
      <c r="CS779" s="13" t="n">
        <v>8.6</v>
      </c>
      <c r="CT779" s="11" t="inlineStr">
        <is>
          <t xml:space="preserve"> Resort Freeride</t>
        </is>
      </c>
      <c r="CU779" s="13" t="n"/>
      <c r="CV779" s="13" t="n"/>
      <c r="CW779" s="13" t="n"/>
      <c r="CX779">
        <f>INDEX('Data_Price '!AG$2:AG$1266,MATCH(Data!$DN779,'Data_Price '!$AT$2:$AT$1266,0))</f>
        <v/>
      </c>
      <c r="CY779">
        <f>INDEX('Data_Price '!AH$2:AH$1266,MATCH(Data!$DN779,'Data_Price '!$AT$2:$AT$1266,0))</f>
        <v/>
      </c>
      <c r="CZ779">
        <f>INDEX('Data_Price '!AI$2:AI$1266,MATCH(Data!$DN779,'Data_Price '!$AT$2:$AT$1266,0))</f>
        <v/>
      </c>
      <c r="DA779">
        <f>INDEX('Data_Price '!AJ$2:AJ$1266,MATCH(Data!$DN779,'Data_Price '!$AT$2:$AT$1266,0))</f>
        <v/>
      </c>
      <c r="DB779">
        <f>INDEX('Data_Price '!AK$2:AK$1266,MATCH(Data!$DN779,'Data_Price '!$AT$2:$AT$1266,0))</f>
        <v/>
      </c>
      <c r="DC779">
        <f>INDEX('Data_Price '!AL$2:AL$1266,MATCH(Data!$DN779,'Data_Price '!$AT$2:$AT$1266,0))</f>
        <v/>
      </c>
      <c r="DD779">
        <f>INDEX('Data_Price '!AM$2:AM$1266,MATCH(Data!$DN779,'Data_Price '!$AT$2:$AT$1266,0))</f>
        <v/>
      </c>
      <c r="DE779">
        <f>INDEX('Data_Price '!AN$2:AN$1266,MATCH(Data!$DN779,'Data_Price '!$AT$2:$AT$1266,0))</f>
        <v/>
      </c>
      <c r="DF779">
        <f>INDEX('Data_Price '!AO$2:AO$1266,MATCH(Data!$DN779,'Data_Price '!$AT$2:$AT$1266,0))</f>
        <v/>
      </c>
      <c r="DG779">
        <f>INDEX('Data_Price '!AP$2:AP$1266,MATCH(Data!$DN779,'Data_Price '!$AT$2:$AT$1266,0))</f>
        <v/>
      </c>
      <c r="DH779">
        <f>INDEX('Data_Price '!AQ$2:AQ$1266,MATCH(Data!$DN779,'Data_Price '!$AT$2:$AT$1266,0))</f>
        <v/>
      </c>
      <c r="DI779">
        <f>INDEX('Data_Price '!AR$2:AR$1266,MATCH(Data!$DN779,'Data_Price '!$AT$2:$AT$1266,0))</f>
        <v/>
      </c>
      <c r="DJ779" s="138">
        <f>DA779</f>
        <v/>
      </c>
      <c r="DK779" s="138">
        <f>DE779</f>
        <v/>
      </c>
      <c r="DL779" s="138">
        <f>DI779</f>
        <v/>
      </c>
      <c r="DM779" s="303">
        <f>IF(LEFT(BT779,1)=" ",RIGHT(BT779,LEN(BT779)-1),BT779)</f>
        <v/>
      </c>
      <c r="DN779" s="138">
        <f>_xlfn.CONCAT(BS779,DM779,BU779,BV779)</f>
        <v/>
      </c>
      <c r="DO779" s="307" t="inlineStr">
        <is>
          <t>https://images.evo.com/imgp/250/219393/902838/atomic-maverick-88-ti-skis-2023-.jpg</t>
        </is>
      </c>
    </row>
    <row r="780" ht="15.6" customHeight="1" s="184">
      <c r="B780" s="303">
        <f t="array" ref="B780">IF(OR(ISERROR(K780:P780)),FALSE,TRUE)</f>
        <v/>
      </c>
      <c r="C780" s="60">
        <f>OR(BR780=Driver!$G$50,Data!BR1056=Driver!$H$50)</f>
        <v/>
      </c>
      <c r="D780" s="60">
        <f>OR(BV780=Driver!$G$51,BV780=Driver!$H$51)</f>
        <v/>
      </c>
      <c r="E780" s="60">
        <f>AND(BX780&gt;Driver!$F$54,BX780&lt;Driver!$G$54)</f>
        <v/>
      </c>
      <c r="F780" s="60">
        <f>CL780&gt;Driver!$F$56</f>
        <v/>
      </c>
      <c r="G780" s="60">
        <f>AND(CB780&gt;Driver!$F$55,CB780&lt;Driver!$G$55)</f>
        <v/>
      </c>
      <c r="H780" s="60">
        <f>AND(B780:G780)</f>
        <v/>
      </c>
      <c r="I780" s="60">
        <f>COUNTIFS($H$9:$H$1273,TRUE,$BT$9:$BT$1273,BT780)</f>
        <v/>
      </c>
      <c r="J780" s="60">
        <f t="array" ref="J780">NOT(OR(($H$9:$H$1273=TRUE)*($I$9:$I$1273&gt;0)*($BT$9:$BT$1273=BT780)*($K$9:$K$1273&gt;K780)))</f>
        <v/>
      </c>
      <c r="K780" s="108">
        <f>IFERROR(1-AVERAGE(X780:Y780),"")</f>
        <v/>
      </c>
      <c r="L780" s="108">
        <f>1-X780</f>
        <v/>
      </c>
      <c r="M780" s="108">
        <f>1-Y780</f>
        <v/>
      </c>
      <c r="N780" s="108">
        <f>1-Z780</f>
        <v/>
      </c>
      <c r="O780" s="108">
        <f>1-AA780</f>
        <v/>
      </c>
      <c r="P780" s="108">
        <f>1-AB780</f>
        <v/>
      </c>
      <c r="Q780" s="108" t="n"/>
      <c r="R780" s="108" t="n"/>
      <c r="S780" s="108">
        <f>1-AE780</f>
        <v/>
      </c>
      <c r="T780" s="108">
        <f>1-AF780</f>
        <v/>
      </c>
      <c r="U780" s="108">
        <f>1-AG780</f>
        <v/>
      </c>
      <c r="V780" s="108">
        <f>1-AH780</f>
        <v/>
      </c>
      <c r="W780" s="108">
        <f>1-AI780</f>
        <v/>
      </c>
      <c r="X780" s="108">
        <f>ABS(AJ780-AJ$1)</f>
        <v/>
      </c>
      <c r="Y780" s="108">
        <f>AVERAGE(Z780:AB780)</f>
        <v/>
      </c>
      <c r="Z780" s="108">
        <f>ABS(AL780-AL$1)</f>
        <v/>
      </c>
      <c r="AA780" s="108">
        <f>ABS(AM780-AM$1)</f>
        <v/>
      </c>
      <c r="AB780" s="108">
        <f>ABS(AN780-AN$1)</f>
        <v/>
      </c>
      <c r="AC780" s="108" t="n"/>
      <c r="AD780" s="108" t="n"/>
      <c r="AE780" s="108">
        <f>ABS(AQ$1-AQ780)</f>
        <v/>
      </c>
      <c r="AF780" s="108">
        <f>ABS(AR$1-AR780)</f>
        <v/>
      </c>
      <c r="AG780" s="108">
        <f>ABS(AS$1-AS780)</f>
        <v/>
      </c>
      <c r="AH780" s="108">
        <f>ABS(AT$1-AT780)</f>
        <v/>
      </c>
      <c r="AI780" s="108">
        <f>ABS(AU$1-AU780)</f>
        <v/>
      </c>
      <c r="AJ780" s="108">
        <f>(AV780-Driver!$K$179)/(Driver!$L$179-Driver!$K$179)</f>
        <v/>
      </c>
      <c r="AK780" s="108">
        <f>(AW780-Driver!$K$180)/(Driver!$L$180-Driver!$K$180)</f>
        <v/>
      </c>
      <c r="AL780" s="108">
        <f>(AX780-Driver!$K$181)/(Driver!$L$181-Driver!$K$181)</f>
        <v/>
      </c>
      <c r="AM780" s="108">
        <f>(AY780-Driver!$K$182)/(Driver!$L$182-Driver!$K$182)</f>
        <v/>
      </c>
      <c r="AN780" s="108">
        <f>(AZ780-Driver!$K$183)/(Driver!$L$183-Driver!$K$183)</f>
        <v/>
      </c>
      <c r="AO780" s="108" t="n"/>
      <c r="AP780" s="108" t="n"/>
      <c r="AQ780" s="108">
        <f>(BC780-Driver!$K$188)/(Driver!$L$188-Driver!$K$188)</f>
        <v/>
      </c>
      <c r="AR780" s="108">
        <f>MIN((BD780-Driver!$K$189)/(Driver!$L$189-Driver!$K$189),100%)</f>
        <v/>
      </c>
      <c r="AS780" s="108">
        <f>(BE780-Driver!$K$190)/(Driver!$L$190-Driver!$K$190)</f>
        <v/>
      </c>
      <c r="AT780" s="108">
        <f>(BF780-Driver!$K$191)/(Driver!$L$191-Driver!$K$191)</f>
        <v/>
      </c>
      <c r="AU780" s="108">
        <f>(BG780-Driver!$K$192)/(Driver!$L$192-Driver!$K$192)</f>
        <v/>
      </c>
      <c r="AV780" s="105">
        <f>IFERROR(BM780*BJ780^1/4,"")</f>
        <v/>
      </c>
      <c r="AW780" s="105">
        <f>IFERROR(SUM(AX780:AZ780),"")</f>
        <v/>
      </c>
      <c r="AX780" s="105">
        <f>IFERROR(BH780,"")</f>
        <v/>
      </c>
      <c r="AY780" s="105">
        <f>IFERROR(Driver!$K$19/Data!BH780/Data!BI780*Data!BK780*Data!BL780,"")</f>
        <v/>
      </c>
      <c r="AZ780" s="105">
        <f>IFERROR(BI780*BN780,"")</f>
        <v/>
      </c>
      <c r="BA780" s="105" t="n"/>
      <c r="BB780" s="105" t="n"/>
      <c r="BC780" s="105">
        <f>IFERROR(BI780*BN780*BK780/BJ780^(1/2),"")</f>
        <v/>
      </c>
      <c r="BD780" s="105">
        <f>IFERROR(BH780*BM780*BL780/BJ780/BK780,"")</f>
        <v/>
      </c>
      <c r="BE780" s="105">
        <f>IFERROR(MIN(BI780/BQ780/BP780/BO780/BH780,$BE$1),"")</f>
        <v/>
      </c>
      <c r="BF780" s="105">
        <f>IFERROR(BJ780*BO780*BP780/BK780,"")</f>
        <v/>
      </c>
      <c r="BG780" s="105">
        <f>IFERROR(1/BM780/BH780*BQ780,"")</f>
        <v/>
      </c>
      <c r="BH780" s="102">
        <f>MAX((CE780-Driver!$F$200)/(Driver!$G$200-Driver!$F$200)*$BI$1,1)</f>
        <v/>
      </c>
      <c r="BI780" s="102">
        <f>MAX($BI$1*(BY780-Driver!$F$201)/(Driver!$G$201-Driver!$F$201),1)</f>
        <v/>
      </c>
      <c r="BJ780" s="102">
        <f>(CB780-Driver!$F$206)/(Driver!$G$206-Driver!$F$206)*$BI$1</f>
        <v/>
      </c>
      <c r="BK780" s="102">
        <f>(CD780-Driver!$F$203)/(Driver!$G$203-Driver!$F$203)*$BI$1</f>
        <v/>
      </c>
      <c r="BL780" s="102">
        <f>MAX((CR780-Driver!$F$202)/(Driver!$G$202-Driver!$F$202)*$BI$1,1)</f>
        <v/>
      </c>
      <c r="BM780" s="102">
        <f>MAX((CH780-Driver!$F$204)/(Driver!$G$204-Driver!$F$204)*$BI$1,1)</f>
        <v/>
      </c>
      <c r="BN780" s="102">
        <f>(CI780-Driver!$F$205)/(Driver!$G$205-Driver!$F$205)*$BI$1</f>
        <v/>
      </c>
      <c r="BO780" s="102">
        <f>(CK780-Driver!$F$207)/(Driver!$G$207-Driver!$F$207)*$BI$1</f>
        <v/>
      </c>
      <c r="BP780" s="102">
        <f>(CM780-Driver!$F$208)/(Driver!$G$208-Driver!$F$208)*$BI$1</f>
        <v/>
      </c>
      <c r="BQ780" s="102">
        <f>(CL780-Driver!$F$209)/(Driver!$G$209-Driver!$F$209)*$BI$1</f>
        <v/>
      </c>
      <c r="BR780" s="40" t="inlineStr">
        <is>
          <t>21/22</t>
        </is>
      </c>
      <c r="BS780" s="10" t="inlineStr">
        <is>
          <t xml:space="preserve"> Rossignol</t>
        </is>
      </c>
      <c r="BT780" s="11" t="inlineStr">
        <is>
          <t>React 6 Compact</t>
        </is>
      </c>
      <c r="BU780" s="13" t="n">
        <v>163</v>
      </c>
      <c r="BV780" s="11" t="inlineStr">
        <is>
          <t xml:space="preserve"> Unisex</t>
        </is>
      </c>
      <c r="BW780" s="13" t="n">
        <v>163</v>
      </c>
      <c r="BX780" s="13" t="n">
        <v>162.5</v>
      </c>
      <c r="BY780" s="13" t="n">
        <v>142</v>
      </c>
      <c r="BZ780" s="13" t="n">
        <v>149</v>
      </c>
      <c r="CA780" s="13" t="n">
        <v>122</v>
      </c>
      <c r="CB780" s="13" t="n">
        <v>73</v>
      </c>
      <c r="CC780" s="13" t="n">
        <v>108</v>
      </c>
      <c r="CD780" s="13" t="n">
        <v>13.1</v>
      </c>
      <c r="CE780" s="13" t="n">
        <v>1596</v>
      </c>
      <c r="CF780" s="13" t="n">
        <v>0.9</v>
      </c>
      <c r="CG780" s="13" t="n">
        <v>1441</v>
      </c>
      <c r="CH780" s="13" t="n">
        <v>172</v>
      </c>
      <c r="CI780" s="13" t="n">
        <v>63</v>
      </c>
      <c r="CJ780" s="13" t="n">
        <v>37</v>
      </c>
      <c r="CK780" s="13" t="n">
        <v>152</v>
      </c>
      <c r="CL780" s="13" t="n">
        <v>5</v>
      </c>
      <c r="CM780" s="13" t="n">
        <v>57</v>
      </c>
      <c r="CN780" s="13" t="n">
        <v>0.144</v>
      </c>
      <c r="CO780" s="13" t="n">
        <v>69</v>
      </c>
      <c r="CP780" s="13" t="n">
        <v>61</v>
      </c>
      <c r="CQ780" s="13" t="n">
        <v>83</v>
      </c>
      <c r="CR780" s="13" t="n">
        <v>9</v>
      </c>
      <c r="CS780" s="13" t="n">
        <v>10.2</v>
      </c>
      <c r="CT780" s="11" t="inlineStr">
        <is>
          <t xml:space="preserve"> On-Piste Carving</t>
        </is>
      </c>
      <c r="CU780" s="13" t="n"/>
      <c r="CV780" s="13" t="n"/>
      <c r="CW780" s="13" t="n"/>
      <c r="CX780">
        <f>INDEX('Data_Price '!AG$2:AG$1266,MATCH(Data!$DN780,'Data_Price '!$AT$2:$AT$1266,0))</f>
        <v/>
      </c>
      <c r="CY780">
        <f>INDEX('Data_Price '!AH$2:AH$1266,MATCH(Data!$DN780,'Data_Price '!$AT$2:$AT$1266,0))</f>
        <v/>
      </c>
      <c r="CZ780">
        <f>INDEX('Data_Price '!AI$2:AI$1266,MATCH(Data!$DN780,'Data_Price '!$AT$2:$AT$1266,0))</f>
        <v/>
      </c>
      <c r="DA780">
        <f>INDEX('Data_Price '!AJ$2:AJ$1266,MATCH(Data!$DN780,'Data_Price '!$AT$2:$AT$1266,0))</f>
        <v/>
      </c>
      <c r="DB780">
        <f>INDEX('Data_Price '!AK$2:AK$1266,MATCH(Data!$DN780,'Data_Price '!$AT$2:$AT$1266,0))</f>
        <v/>
      </c>
      <c r="DC780">
        <f>INDEX('Data_Price '!AL$2:AL$1266,MATCH(Data!$DN780,'Data_Price '!$AT$2:$AT$1266,0))</f>
        <v/>
      </c>
      <c r="DD780">
        <f>INDEX('Data_Price '!AM$2:AM$1266,MATCH(Data!$DN780,'Data_Price '!$AT$2:$AT$1266,0))</f>
        <v/>
      </c>
      <c r="DE780">
        <f>INDEX('Data_Price '!AN$2:AN$1266,MATCH(Data!$DN780,'Data_Price '!$AT$2:$AT$1266,0))</f>
        <v/>
      </c>
      <c r="DF780">
        <f>INDEX('Data_Price '!AO$2:AO$1266,MATCH(Data!$DN780,'Data_Price '!$AT$2:$AT$1266,0))</f>
        <v/>
      </c>
      <c r="DG780">
        <f>INDEX('Data_Price '!AP$2:AP$1266,MATCH(Data!$DN780,'Data_Price '!$AT$2:$AT$1266,0))</f>
        <v/>
      </c>
      <c r="DH780">
        <f>INDEX('Data_Price '!AQ$2:AQ$1266,MATCH(Data!$DN780,'Data_Price '!$AT$2:$AT$1266,0))</f>
        <v/>
      </c>
      <c r="DI780">
        <f>INDEX('Data_Price '!AR$2:AR$1266,MATCH(Data!$DN780,'Data_Price '!$AT$2:$AT$1266,0))</f>
        <v/>
      </c>
      <c r="DJ780" s="138">
        <f>DA780</f>
        <v/>
      </c>
      <c r="DK780" s="138">
        <f>DE780</f>
        <v/>
      </c>
      <c r="DL780" s="138">
        <f>DI780</f>
        <v/>
      </c>
      <c r="DM780" s="303">
        <f>IF(LEFT(BT780,1)=" ",RIGHT(BT780,LEN(BT780)-1),BT780)</f>
        <v/>
      </c>
      <c r="DN780" s="138">
        <f>_xlfn.CONCAT(BS780,DM780,BU780,BV780)</f>
        <v/>
      </c>
      <c r="DO780" s="307" t="n"/>
    </row>
    <row r="781" ht="15.6" customHeight="1" s="184">
      <c r="B781" s="303">
        <f t="array" ref="B781">IF(OR(ISERROR(K781:P781)),FALSE,TRUE)</f>
        <v/>
      </c>
      <c r="C781" s="60">
        <f>OR(BR781=Driver!$G$50,Data!BR642=Driver!$H$50)</f>
        <v/>
      </c>
      <c r="D781" s="60">
        <f>OR(BV781=Driver!$G$51,BV781=Driver!$H$51)</f>
        <v/>
      </c>
      <c r="E781" s="60">
        <f>AND(BX781&gt;Driver!$F$54,BX781&lt;Driver!$G$54)</f>
        <v/>
      </c>
      <c r="F781" s="60">
        <f>CL781&gt;Driver!$F$56</f>
        <v/>
      </c>
      <c r="G781" s="60">
        <f>AND(CB781&gt;Driver!$F$55,CB781&lt;Driver!$G$55)</f>
        <v/>
      </c>
      <c r="H781" s="60">
        <f>AND(B781:G781)</f>
        <v/>
      </c>
      <c r="I781" s="60">
        <f>COUNTIFS($H$9:$H$1273,TRUE,$BT$9:$BT$1273,BT781)</f>
        <v/>
      </c>
      <c r="J781" s="60">
        <f t="array" ref="J781">NOT(OR(($H$9:$H$1273=TRUE)*($I$9:$I$1273&gt;0)*($BT$9:$BT$1273=BT781)*($K$9:$K$1273&gt;K781)))</f>
        <v/>
      </c>
      <c r="K781" s="108">
        <f>IFERROR(1-AVERAGE(X781:Y781),"")</f>
        <v/>
      </c>
      <c r="L781" s="108">
        <f>1-X781</f>
        <v/>
      </c>
      <c r="M781" s="108">
        <f>1-Y781</f>
        <v/>
      </c>
      <c r="N781" s="108">
        <f>1-Z781</f>
        <v/>
      </c>
      <c r="O781" s="108">
        <f>1-AA781</f>
        <v/>
      </c>
      <c r="P781" s="108">
        <f>1-AB781</f>
        <v/>
      </c>
      <c r="Q781" s="108" t="n"/>
      <c r="R781" s="108" t="n"/>
      <c r="S781" s="108">
        <f>1-AE781</f>
        <v/>
      </c>
      <c r="T781" s="108">
        <f>1-AF781</f>
        <v/>
      </c>
      <c r="U781" s="108">
        <f>1-AG781</f>
        <v/>
      </c>
      <c r="V781" s="108">
        <f>1-AH781</f>
        <v/>
      </c>
      <c r="W781" s="108">
        <f>1-AI781</f>
        <v/>
      </c>
      <c r="X781" s="108">
        <f>ABS(AJ781-AJ$1)</f>
        <v/>
      </c>
      <c r="Y781" s="108">
        <f>AVERAGE(Z781:AB781)</f>
        <v/>
      </c>
      <c r="Z781" s="108">
        <f>ABS(AL781-AL$1)</f>
        <v/>
      </c>
      <c r="AA781" s="108">
        <f>ABS(AM781-AM$1)</f>
        <v/>
      </c>
      <c r="AB781" s="108">
        <f>ABS(AN781-AN$1)</f>
        <v/>
      </c>
      <c r="AC781" s="108" t="n"/>
      <c r="AD781" s="108" t="n"/>
      <c r="AE781" s="108">
        <f>ABS(AQ$1-AQ781)</f>
        <v/>
      </c>
      <c r="AF781" s="108">
        <f>ABS(AR$1-AR781)</f>
        <v/>
      </c>
      <c r="AG781" s="108">
        <f>ABS(AS$1-AS781)</f>
        <v/>
      </c>
      <c r="AH781" s="108">
        <f>ABS(AT$1-AT781)</f>
        <v/>
      </c>
      <c r="AI781" s="108">
        <f>ABS(AU$1-AU781)</f>
        <v/>
      </c>
      <c r="AJ781" s="108">
        <f>(AV781-Driver!$K$179)/(Driver!$L$179-Driver!$K$179)</f>
        <v/>
      </c>
      <c r="AK781" s="108">
        <f>(AW781-Driver!$K$180)/(Driver!$L$180-Driver!$K$180)</f>
        <v/>
      </c>
      <c r="AL781" s="108">
        <f>(AX781-Driver!$K$181)/(Driver!$L$181-Driver!$K$181)</f>
        <v/>
      </c>
      <c r="AM781" s="108">
        <f>(AY781-Driver!$K$182)/(Driver!$L$182-Driver!$K$182)</f>
        <v/>
      </c>
      <c r="AN781" s="108">
        <f>(AZ781-Driver!$K$183)/(Driver!$L$183-Driver!$K$183)</f>
        <v/>
      </c>
      <c r="AO781" s="108" t="n"/>
      <c r="AP781" s="108" t="n"/>
      <c r="AQ781" s="108">
        <f>(BC781-Driver!$K$188)/(Driver!$L$188-Driver!$K$188)</f>
        <v/>
      </c>
      <c r="AR781" s="108">
        <f>MIN((BD781-Driver!$K$189)/(Driver!$L$189-Driver!$K$189),100%)</f>
        <v/>
      </c>
      <c r="AS781" s="108">
        <f>(BE781-Driver!$K$190)/(Driver!$L$190-Driver!$K$190)</f>
        <v/>
      </c>
      <c r="AT781" s="108">
        <f>(BF781-Driver!$K$191)/(Driver!$L$191-Driver!$K$191)</f>
        <v/>
      </c>
      <c r="AU781" s="108">
        <f>(BG781-Driver!$K$192)/(Driver!$L$192-Driver!$K$192)</f>
        <v/>
      </c>
      <c r="AV781" s="105">
        <f>IFERROR(BM781*BJ781^1/4,"")</f>
        <v/>
      </c>
      <c r="AW781" s="105">
        <f>IFERROR(SUM(AX781:AZ781),"")</f>
        <v/>
      </c>
      <c r="AX781" s="105">
        <f>IFERROR(BH781,"")</f>
        <v/>
      </c>
      <c r="AY781" s="105">
        <f>IFERROR(Driver!$K$19/Data!BH781/Data!BI781*Data!BK781*Data!BL781,"")</f>
        <v/>
      </c>
      <c r="AZ781" s="105">
        <f>IFERROR(BI781*BN781,"")</f>
        <v/>
      </c>
      <c r="BA781" s="105" t="n"/>
      <c r="BB781" s="105" t="n"/>
      <c r="BC781" s="105">
        <f>IFERROR(BI781*BN781*BK781/BJ781^(1/2),"")</f>
        <v/>
      </c>
      <c r="BD781" s="105">
        <f>IFERROR(BH781*BM781*BL781/BJ781/BK781,"")</f>
        <v/>
      </c>
      <c r="BE781" s="105">
        <f>IFERROR(MIN(BI781/BQ781/BP781/BO781/BH781,$BE$1),"")</f>
        <v/>
      </c>
      <c r="BF781" s="105">
        <f>IFERROR(BJ781*BO781*BP781/BK781,"")</f>
        <v/>
      </c>
      <c r="BG781" s="105">
        <f>IFERROR(1/BM781/BH781*BQ781,"")</f>
        <v/>
      </c>
      <c r="BH781" s="102">
        <f>MAX((CE781-Driver!$F$200)/(Driver!$G$200-Driver!$F$200)*$BI$1,1)</f>
        <v/>
      </c>
      <c r="BI781" s="102">
        <f>MAX($BI$1*(BY781-Driver!$F$201)/(Driver!$G$201-Driver!$F$201),1)</f>
        <v/>
      </c>
      <c r="BJ781" s="102">
        <f>(CB781-Driver!$F$206)/(Driver!$G$206-Driver!$F$206)*$BI$1</f>
        <v/>
      </c>
      <c r="BK781" s="102">
        <f>(CD781-Driver!$F$203)/(Driver!$G$203-Driver!$F$203)*$BI$1</f>
        <v/>
      </c>
      <c r="BL781" s="102">
        <f>MAX((CR781-Driver!$F$202)/(Driver!$G$202-Driver!$F$202)*$BI$1,1)</f>
        <v/>
      </c>
      <c r="BM781" s="102">
        <f>MAX((CH781-Driver!$F$204)/(Driver!$G$204-Driver!$F$204)*$BI$1,1)</f>
        <v/>
      </c>
      <c r="BN781" s="102">
        <f>(CI781-Driver!$F$205)/(Driver!$G$205-Driver!$F$205)*$BI$1</f>
        <v/>
      </c>
      <c r="BO781" s="102">
        <f>(CK781-Driver!$F$207)/(Driver!$G$207-Driver!$F$207)*$BI$1</f>
        <v/>
      </c>
      <c r="BP781" s="102">
        <f>(CM781-Driver!$F$208)/(Driver!$G$208-Driver!$F$208)*$BI$1</f>
        <v/>
      </c>
      <c r="BQ781" s="102">
        <f>(CL781-Driver!$F$209)/(Driver!$G$209-Driver!$F$209)*$BI$1</f>
        <v/>
      </c>
      <c r="BR781" s="40" t="inlineStr">
        <is>
          <t>21/22</t>
        </is>
      </c>
      <c r="BS781" s="10" t="inlineStr">
        <is>
          <t xml:space="preserve"> Head</t>
        </is>
      </c>
      <c r="BT781" s="11" t="inlineStr">
        <is>
          <t xml:space="preserve"> Real Joy</t>
        </is>
      </c>
      <c r="BU781" s="13" t="n">
        <v>158</v>
      </c>
      <c r="BV781" s="11" t="inlineStr">
        <is>
          <t xml:space="preserve"> Women's</t>
        </is>
      </c>
      <c r="BW781" s="13" t="n">
        <v>158</v>
      </c>
      <c r="BX781" s="13" t="n">
        <v>157.4</v>
      </c>
      <c r="BY781" s="13" t="n">
        <v>137</v>
      </c>
      <c r="BZ781" s="13" t="n">
        <v>141</v>
      </c>
      <c r="CA781" s="13" t="n">
        <v>129</v>
      </c>
      <c r="CB781" s="13" t="n">
        <v>72</v>
      </c>
      <c r="CC781" s="13" t="n">
        <v>106</v>
      </c>
      <c r="CD781" s="13" t="n">
        <v>10.8</v>
      </c>
      <c r="CE781" s="13" t="n">
        <v>1680</v>
      </c>
      <c r="CF781" s="13" t="n">
        <v>0.84</v>
      </c>
      <c r="CG781" s="13" t="n">
        <v>1409</v>
      </c>
      <c r="CH781" s="13" t="n">
        <v>153</v>
      </c>
      <c r="CI781" s="13" t="n">
        <v>73</v>
      </c>
      <c r="CJ781" s="13" t="n">
        <v>34</v>
      </c>
      <c r="CK781" s="13" t="n">
        <v>135</v>
      </c>
      <c r="CL781" s="13" t="n">
        <v>11</v>
      </c>
      <c r="CM781" s="13" t="n">
        <v>73</v>
      </c>
      <c r="CN781" s="13" t="n">
        <v>0.329</v>
      </c>
      <c r="CO781" s="13" t="n">
        <v>104</v>
      </c>
      <c r="CP781" s="13" t="n">
        <v>55</v>
      </c>
      <c r="CQ781" s="13" t="n">
        <v>30</v>
      </c>
      <c r="CR781" s="13" t="n">
        <v>11</v>
      </c>
      <c r="CS781" s="13" t="n">
        <v>10.9</v>
      </c>
      <c r="CT781" s="11" t="inlineStr">
        <is>
          <t xml:space="preserve"> On-Piste Carving</t>
        </is>
      </c>
      <c r="CU781" s="11" t="inlineStr">
        <is>
          <t xml:space="preserve"> On-Piste All-Mountain</t>
        </is>
      </c>
      <c r="CV781" s="13" t="n"/>
      <c r="CW781" s="13" t="n"/>
      <c r="CX781">
        <f>INDEX('Data_Price '!AG$2:AG$1266,MATCH(Data!$DN781,'Data_Price '!$AT$2:$AT$1266,0))</f>
        <v/>
      </c>
      <c r="CY781">
        <f>INDEX('Data_Price '!AH$2:AH$1266,MATCH(Data!$DN781,'Data_Price '!$AT$2:$AT$1266,0))</f>
        <v/>
      </c>
      <c r="CZ781">
        <f>INDEX('Data_Price '!AI$2:AI$1266,MATCH(Data!$DN781,'Data_Price '!$AT$2:$AT$1266,0))</f>
        <v/>
      </c>
      <c r="DA781">
        <f>INDEX('Data_Price '!AJ$2:AJ$1266,MATCH(Data!$DN781,'Data_Price '!$AT$2:$AT$1266,0))</f>
        <v/>
      </c>
      <c r="DB781">
        <f>INDEX('Data_Price '!AK$2:AK$1266,MATCH(Data!$DN781,'Data_Price '!$AT$2:$AT$1266,0))</f>
        <v/>
      </c>
      <c r="DC781">
        <f>INDEX('Data_Price '!AL$2:AL$1266,MATCH(Data!$DN781,'Data_Price '!$AT$2:$AT$1266,0))</f>
        <v/>
      </c>
      <c r="DD781">
        <f>INDEX('Data_Price '!AM$2:AM$1266,MATCH(Data!$DN781,'Data_Price '!$AT$2:$AT$1266,0))</f>
        <v/>
      </c>
      <c r="DE781">
        <f>INDEX('Data_Price '!AN$2:AN$1266,MATCH(Data!$DN781,'Data_Price '!$AT$2:$AT$1266,0))</f>
        <v/>
      </c>
      <c r="DF781">
        <f>INDEX('Data_Price '!AO$2:AO$1266,MATCH(Data!$DN781,'Data_Price '!$AT$2:$AT$1266,0))</f>
        <v/>
      </c>
      <c r="DG781">
        <f>INDEX('Data_Price '!AP$2:AP$1266,MATCH(Data!$DN781,'Data_Price '!$AT$2:$AT$1266,0))</f>
        <v/>
      </c>
      <c r="DH781">
        <f>INDEX('Data_Price '!AQ$2:AQ$1266,MATCH(Data!$DN781,'Data_Price '!$AT$2:$AT$1266,0))</f>
        <v/>
      </c>
      <c r="DI781">
        <f>INDEX('Data_Price '!AR$2:AR$1266,MATCH(Data!$DN781,'Data_Price '!$AT$2:$AT$1266,0))</f>
        <v/>
      </c>
      <c r="DJ781" s="138">
        <f>DA781</f>
        <v/>
      </c>
      <c r="DK781" s="138">
        <f>DE781</f>
        <v/>
      </c>
      <c r="DL781" s="138">
        <f>DI781</f>
        <v/>
      </c>
      <c r="DM781" s="303">
        <f>IF(LEFT(BT781,1)=" ",RIGHT(BT781,LEN(BT781)-1),BT781)</f>
        <v/>
      </c>
      <c r="DN781" s="138">
        <f>_xlfn.CONCAT(BS781,DM781,BU781,BV781)</f>
        <v/>
      </c>
      <c r="DO781" s="307" t="n"/>
    </row>
    <row r="782" ht="15.6" customHeight="1" s="184">
      <c r="B782" s="303">
        <f t="array" ref="B782">IF(OR(ISERROR(K782:P782)),FALSE,TRUE)</f>
        <v/>
      </c>
      <c r="C782" s="60">
        <f>OR(BR782=Driver!$G$50,Data!BR1186=Driver!$H$50)</f>
        <v/>
      </c>
      <c r="D782" s="60">
        <f>OR(BV782=Driver!$G$51,BV782=Driver!$H$51)</f>
        <v/>
      </c>
      <c r="E782" s="60">
        <f>AND(BX782&gt;Driver!$F$54,BX782&lt;Driver!$G$54)</f>
        <v/>
      </c>
      <c r="F782" s="60">
        <f>CL782&gt;Driver!$F$56</f>
        <v/>
      </c>
      <c r="G782" s="60">
        <f>AND(CB782&gt;Driver!$F$55,CB782&lt;Driver!$G$55)</f>
        <v/>
      </c>
      <c r="H782" s="60">
        <f>AND(B782:G782)</f>
        <v/>
      </c>
      <c r="I782" s="60">
        <f>COUNTIFS($H$9:$H$1273,TRUE,$BT$9:$BT$1273,BT782)</f>
        <v/>
      </c>
      <c r="J782" s="60">
        <f t="array" ref="J782">NOT(OR(($H$9:$H$1273=TRUE)*($I$9:$I$1273&gt;0)*($BT$9:$BT$1273=BT782)*($K$9:$K$1273&gt;K782)))</f>
        <v/>
      </c>
      <c r="K782" s="108">
        <f>IFERROR(1-AVERAGE(X782:Y782),"")</f>
        <v/>
      </c>
      <c r="L782" s="108">
        <f>1-X782</f>
        <v/>
      </c>
      <c r="M782" s="108">
        <f>1-Y782</f>
        <v/>
      </c>
      <c r="N782" s="108">
        <f>1-Z782</f>
        <v/>
      </c>
      <c r="O782" s="108">
        <f>1-AA782</f>
        <v/>
      </c>
      <c r="P782" s="108">
        <f>1-AB782</f>
        <v/>
      </c>
      <c r="Q782" s="108" t="n"/>
      <c r="R782" s="108" t="n"/>
      <c r="S782" s="108">
        <f>1-AE782</f>
        <v/>
      </c>
      <c r="T782" s="108">
        <f>1-AF782</f>
        <v/>
      </c>
      <c r="U782" s="108">
        <f>1-AG782</f>
        <v/>
      </c>
      <c r="V782" s="108">
        <f>1-AH782</f>
        <v/>
      </c>
      <c r="W782" s="108">
        <f>1-AI782</f>
        <v/>
      </c>
      <c r="X782" s="108">
        <f>ABS(AJ782-AJ$1)</f>
        <v/>
      </c>
      <c r="Y782" s="108">
        <f>AVERAGE(Z782:AB782)</f>
        <v/>
      </c>
      <c r="Z782" s="108">
        <f>ABS(AL782-AL$1)</f>
        <v/>
      </c>
      <c r="AA782" s="108">
        <f>ABS(AM782-AM$1)</f>
        <v/>
      </c>
      <c r="AB782" s="108">
        <f>ABS(AN782-AN$1)</f>
        <v/>
      </c>
      <c r="AC782" s="108" t="n"/>
      <c r="AD782" s="108" t="n"/>
      <c r="AE782" s="108">
        <f>ABS(AQ$1-AQ782)</f>
        <v/>
      </c>
      <c r="AF782" s="108">
        <f>ABS(AR$1-AR782)</f>
        <v/>
      </c>
      <c r="AG782" s="108">
        <f>ABS(AS$1-AS782)</f>
        <v/>
      </c>
      <c r="AH782" s="108">
        <f>ABS(AT$1-AT782)</f>
        <v/>
      </c>
      <c r="AI782" s="108">
        <f>ABS(AU$1-AU782)</f>
        <v/>
      </c>
      <c r="AJ782" s="108">
        <f>(AV782-Driver!$K$179)/(Driver!$L$179-Driver!$K$179)</f>
        <v/>
      </c>
      <c r="AK782" s="108">
        <f>(AW782-Driver!$K$180)/(Driver!$L$180-Driver!$K$180)</f>
        <v/>
      </c>
      <c r="AL782" s="108">
        <f>(AX782-Driver!$K$181)/(Driver!$L$181-Driver!$K$181)</f>
        <v/>
      </c>
      <c r="AM782" s="108">
        <f>(AY782-Driver!$K$182)/(Driver!$L$182-Driver!$K$182)</f>
        <v/>
      </c>
      <c r="AN782" s="108">
        <f>(AZ782-Driver!$K$183)/(Driver!$L$183-Driver!$K$183)</f>
        <v/>
      </c>
      <c r="AO782" s="108" t="n"/>
      <c r="AP782" s="108" t="n"/>
      <c r="AQ782" s="108">
        <f>(BC782-Driver!$K$188)/(Driver!$L$188-Driver!$K$188)</f>
        <v/>
      </c>
      <c r="AR782" s="108">
        <f>MIN((BD782-Driver!$K$189)/(Driver!$L$189-Driver!$K$189),100%)</f>
        <v/>
      </c>
      <c r="AS782" s="108">
        <f>(BE782-Driver!$K$190)/(Driver!$L$190-Driver!$K$190)</f>
        <v/>
      </c>
      <c r="AT782" s="108">
        <f>(BF782-Driver!$K$191)/(Driver!$L$191-Driver!$K$191)</f>
        <v/>
      </c>
      <c r="AU782" s="108">
        <f>(BG782-Driver!$K$192)/(Driver!$L$192-Driver!$K$192)</f>
        <v/>
      </c>
      <c r="AV782" s="105">
        <f>IFERROR(BM782*BJ782^1/4,"")</f>
        <v/>
      </c>
      <c r="AW782" s="105">
        <f>IFERROR(SUM(AX782:AZ782),"")</f>
        <v/>
      </c>
      <c r="AX782" s="105">
        <f>IFERROR(BH782,"")</f>
        <v/>
      </c>
      <c r="AY782" s="105">
        <f>IFERROR(Driver!$K$19/Data!BH782/Data!BI782*Data!BK782*Data!BL782,"")</f>
        <v/>
      </c>
      <c r="AZ782" s="105">
        <f>IFERROR(BI782*BN782,"")</f>
        <v/>
      </c>
      <c r="BA782" s="105" t="n"/>
      <c r="BB782" s="105" t="n"/>
      <c r="BC782" s="105">
        <f>IFERROR(BI782*BN782*BK782/BJ782^(1/2),"")</f>
        <v/>
      </c>
      <c r="BD782" s="105">
        <f>IFERROR(BH782*BM782*BL782/BJ782/BK782,"")</f>
        <v/>
      </c>
      <c r="BE782" s="105">
        <f>IFERROR(MIN(BI782/BQ782/BP782/BO782/BH782,$BE$1),"")</f>
        <v/>
      </c>
      <c r="BF782" s="105">
        <f>IFERROR(BJ782*BO782*BP782/BK782,"")</f>
        <v/>
      </c>
      <c r="BG782" s="105">
        <f>IFERROR(1/BM782/BH782*BQ782,"")</f>
        <v/>
      </c>
      <c r="BH782" s="102">
        <f>MAX((CE782-Driver!$F$200)/(Driver!$G$200-Driver!$F$200)*$BI$1,1)</f>
        <v/>
      </c>
      <c r="BI782" s="102">
        <f>MAX($BI$1*(BY782-Driver!$F$201)/(Driver!$G$201-Driver!$F$201),1)</f>
        <v/>
      </c>
      <c r="BJ782" s="102">
        <f>(CB782-Driver!$F$206)/(Driver!$G$206-Driver!$F$206)*$BI$1</f>
        <v/>
      </c>
      <c r="BK782" s="102">
        <f>(CD782-Driver!$F$203)/(Driver!$G$203-Driver!$F$203)*$BI$1</f>
        <v/>
      </c>
      <c r="BL782" s="102">
        <f>MAX((CR782-Driver!$F$202)/(Driver!$G$202-Driver!$F$202)*$BI$1,1)</f>
        <v/>
      </c>
      <c r="BM782" s="102">
        <f>MAX((CH782-Driver!$F$204)/(Driver!$G$204-Driver!$F$204)*$BI$1,1)</f>
        <v/>
      </c>
      <c r="BN782" s="102">
        <f>(CI782-Driver!$F$205)/(Driver!$G$205-Driver!$F$205)*$BI$1</f>
        <v/>
      </c>
      <c r="BO782" s="102">
        <f>(CK782-Driver!$F$207)/(Driver!$G$207-Driver!$F$207)*$BI$1</f>
        <v/>
      </c>
      <c r="BP782" s="102">
        <f>(CM782-Driver!$F$208)/(Driver!$G$208-Driver!$F$208)*$BI$1</f>
        <v/>
      </c>
      <c r="BQ782" s="102">
        <f>(CL782-Driver!$F$209)/(Driver!$G$209-Driver!$F$209)*$BI$1</f>
        <v/>
      </c>
      <c r="BR782" s="40" t="inlineStr">
        <is>
          <t>21/22</t>
        </is>
      </c>
      <c r="BS782" s="10" t="inlineStr">
        <is>
          <t xml:space="preserve"> Völkl</t>
        </is>
      </c>
      <c r="BT782" s="11" t="inlineStr">
        <is>
          <t>Deacon 84</t>
        </is>
      </c>
      <c r="BU782" s="13" t="n">
        <v>172</v>
      </c>
      <c r="BV782" s="11" t="inlineStr">
        <is>
          <t xml:space="preserve"> Unisex</t>
        </is>
      </c>
      <c r="BW782" s="13" t="n">
        <v>172</v>
      </c>
      <c r="BX782" s="13" t="n">
        <v>171.7</v>
      </c>
      <c r="BY782" s="13" t="n">
        <v>137</v>
      </c>
      <c r="BZ782" s="13" t="n">
        <v>158</v>
      </c>
      <c r="CA782" s="13" t="n">
        <v>131</v>
      </c>
      <c r="CB782" s="13" t="n">
        <v>83</v>
      </c>
      <c r="CC782" s="13" t="n">
        <v>114</v>
      </c>
      <c r="CD782" s="13" t="n">
        <v>15.5</v>
      </c>
      <c r="CE782" s="13" t="n">
        <v>1982</v>
      </c>
      <c r="CF782" s="13" t="n">
        <v>0.85</v>
      </c>
      <c r="CG782" s="13" t="n">
        <v>1691</v>
      </c>
      <c r="CH782" s="13" t="n">
        <v>214</v>
      </c>
      <c r="CI782" s="13" t="n">
        <v>67</v>
      </c>
      <c r="CJ782" s="13" t="n">
        <v>42</v>
      </c>
      <c r="CK782" s="13" t="n">
        <v>218</v>
      </c>
      <c r="CL782" s="13" t="n">
        <v>8</v>
      </c>
      <c r="CM782" s="13" t="n">
        <v>128</v>
      </c>
      <c r="CN782" s="13" t="n">
        <v>0.201</v>
      </c>
      <c r="CO782" s="13" t="n">
        <v>73</v>
      </c>
      <c r="CP782" s="13" t="n">
        <v>62</v>
      </c>
      <c r="CQ782" s="13" t="n">
        <v>145</v>
      </c>
      <c r="CR782" s="13" t="n">
        <v>4</v>
      </c>
      <c r="CS782" s="13" t="n">
        <v>11</v>
      </c>
      <c r="CT782" s="11" t="inlineStr">
        <is>
          <t xml:space="preserve"> Resort Freeride</t>
        </is>
      </c>
      <c r="CU782" s="13" t="n"/>
      <c r="CV782" s="13" t="n"/>
      <c r="CW782" s="13" t="n"/>
      <c r="CX782">
        <f>INDEX('Data_Price '!AG$2:AG$1266,MATCH(Data!$DN782,'Data_Price '!$AT$2:$AT$1266,0))</f>
        <v/>
      </c>
      <c r="CY782">
        <f>INDEX('Data_Price '!AH$2:AH$1266,MATCH(Data!$DN782,'Data_Price '!$AT$2:$AT$1266,0))</f>
        <v/>
      </c>
      <c r="CZ782">
        <f>INDEX('Data_Price '!AI$2:AI$1266,MATCH(Data!$DN782,'Data_Price '!$AT$2:$AT$1266,0))</f>
        <v/>
      </c>
      <c r="DA782">
        <f>INDEX('Data_Price '!AJ$2:AJ$1266,MATCH(Data!$DN782,'Data_Price '!$AT$2:$AT$1266,0))</f>
        <v/>
      </c>
      <c r="DB782">
        <f>INDEX('Data_Price '!AK$2:AK$1266,MATCH(Data!$DN782,'Data_Price '!$AT$2:$AT$1266,0))</f>
        <v/>
      </c>
      <c r="DC782">
        <f>INDEX('Data_Price '!AL$2:AL$1266,MATCH(Data!$DN782,'Data_Price '!$AT$2:$AT$1266,0))</f>
        <v/>
      </c>
      <c r="DD782">
        <f>INDEX('Data_Price '!AM$2:AM$1266,MATCH(Data!$DN782,'Data_Price '!$AT$2:$AT$1266,0))</f>
        <v/>
      </c>
      <c r="DE782">
        <f>INDEX('Data_Price '!AN$2:AN$1266,MATCH(Data!$DN782,'Data_Price '!$AT$2:$AT$1266,0))</f>
        <v/>
      </c>
      <c r="DF782">
        <f>INDEX('Data_Price '!AO$2:AO$1266,MATCH(Data!$DN782,'Data_Price '!$AT$2:$AT$1266,0))</f>
        <v/>
      </c>
      <c r="DG782">
        <f>INDEX('Data_Price '!AP$2:AP$1266,MATCH(Data!$DN782,'Data_Price '!$AT$2:$AT$1266,0))</f>
        <v/>
      </c>
      <c r="DH782">
        <f>INDEX('Data_Price '!AQ$2:AQ$1266,MATCH(Data!$DN782,'Data_Price '!$AT$2:$AT$1266,0))</f>
        <v/>
      </c>
      <c r="DI782">
        <f>INDEX('Data_Price '!AR$2:AR$1266,MATCH(Data!$DN782,'Data_Price '!$AT$2:$AT$1266,0))</f>
        <v/>
      </c>
      <c r="DJ782" s="138">
        <f>DA782</f>
        <v/>
      </c>
      <c r="DK782" s="138">
        <f>DE782</f>
        <v/>
      </c>
      <c r="DL782" s="138">
        <f>DI782</f>
        <v/>
      </c>
      <c r="DM782" s="303">
        <f>IF(LEFT(BT782,1)=" ",RIGHT(BT782,LEN(BT782)-1),BT782)</f>
        <v/>
      </c>
      <c r="DN782" s="138">
        <f>_xlfn.CONCAT(BS782,DM782,BU782,BV782)</f>
        <v/>
      </c>
      <c r="DO782" s="307" t="n"/>
    </row>
    <row r="783" ht="15.6" customHeight="1" s="184">
      <c r="B783" s="303">
        <f t="array" ref="B783">IF(OR(ISERROR(K783:P783)),FALSE,TRUE)</f>
        <v/>
      </c>
      <c r="C783" s="60">
        <f>OR(BR783=Driver!$G$50,Data!BR278=Driver!$H$50)</f>
        <v/>
      </c>
      <c r="D783" s="60">
        <f>OR(BV783=Driver!$G$51,BV783=Driver!$H$51)</f>
        <v/>
      </c>
      <c r="E783" s="60">
        <f>AND(BX783&gt;Driver!$F$54,BX783&lt;Driver!$G$54)</f>
        <v/>
      </c>
      <c r="F783" s="60">
        <f>CL783&gt;Driver!$F$56</f>
        <v/>
      </c>
      <c r="G783" s="60">
        <f>AND(CB783&gt;Driver!$F$55,CB783&lt;Driver!$G$55)</f>
        <v/>
      </c>
      <c r="H783" s="60">
        <f>AND(B783:G783)</f>
        <v/>
      </c>
      <c r="I783" s="60">
        <f>COUNTIFS($H$9:$H$1273,TRUE,$BT$9:$BT$1273,BT783)</f>
        <v/>
      </c>
      <c r="J783" s="60">
        <f t="array" ref="J783">NOT(OR(($H$9:$H$1273=TRUE)*($I$9:$I$1273&gt;0)*($BT$9:$BT$1273=BT783)*($K$9:$K$1273&gt;K783)))</f>
        <v/>
      </c>
      <c r="K783" s="108">
        <f>IFERROR(1-AVERAGE(X783:Y783),"")</f>
        <v/>
      </c>
      <c r="L783" s="108">
        <f>1-X783</f>
        <v/>
      </c>
      <c r="M783" s="108">
        <f>1-Y783</f>
        <v/>
      </c>
      <c r="N783" s="108">
        <f>1-Z783</f>
        <v/>
      </c>
      <c r="O783" s="108">
        <f>1-AA783</f>
        <v/>
      </c>
      <c r="P783" s="108">
        <f>1-AB783</f>
        <v/>
      </c>
      <c r="Q783" s="108" t="n"/>
      <c r="R783" s="108" t="n"/>
      <c r="S783" s="108">
        <f>1-AE783</f>
        <v/>
      </c>
      <c r="T783" s="108">
        <f>1-AF783</f>
        <v/>
      </c>
      <c r="U783" s="108">
        <f>1-AG783</f>
        <v/>
      </c>
      <c r="V783" s="108">
        <f>1-AH783</f>
        <v/>
      </c>
      <c r="W783" s="108">
        <f>1-AI783</f>
        <v/>
      </c>
      <c r="X783" s="108">
        <f>ABS(AJ783-AJ$1)</f>
        <v/>
      </c>
      <c r="Y783" s="108">
        <f>AVERAGE(Z783:AB783)</f>
        <v/>
      </c>
      <c r="Z783" s="108">
        <f>ABS(AL783-AL$1)</f>
        <v/>
      </c>
      <c r="AA783" s="108">
        <f>ABS(AM783-AM$1)</f>
        <v/>
      </c>
      <c r="AB783" s="108">
        <f>ABS(AN783-AN$1)</f>
        <v/>
      </c>
      <c r="AC783" s="108" t="n"/>
      <c r="AD783" s="108" t="n"/>
      <c r="AE783" s="108">
        <f>ABS(AQ$1-AQ783)</f>
        <v/>
      </c>
      <c r="AF783" s="108">
        <f>ABS(AR$1-AR783)</f>
        <v/>
      </c>
      <c r="AG783" s="108">
        <f>ABS(AS$1-AS783)</f>
        <v/>
      </c>
      <c r="AH783" s="108">
        <f>ABS(AT$1-AT783)</f>
        <v/>
      </c>
      <c r="AI783" s="108">
        <f>ABS(AU$1-AU783)</f>
        <v/>
      </c>
      <c r="AJ783" s="108">
        <f>(AV783-Driver!$K$179)/(Driver!$L$179-Driver!$K$179)</f>
        <v/>
      </c>
      <c r="AK783" s="108">
        <f>(AW783-Driver!$K$180)/(Driver!$L$180-Driver!$K$180)</f>
        <v/>
      </c>
      <c r="AL783" s="108">
        <f>(AX783-Driver!$K$181)/(Driver!$L$181-Driver!$K$181)</f>
        <v/>
      </c>
      <c r="AM783" s="108">
        <f>(AY783-Driver!$K$182)/(Driver!$L$182-Driver!$K$182)</f>
        <v/>
      </c>
      <c r="AN783" s="108">
        <f>(AZ783-Driver!$K$183)/(Driver!$L$183-Driver!$K$183)</f>
        <v/>
      </c>
      <c r="AO783" s="108" t="n"/>
      <c r="AP783" s="108" t="n"/>
      <c r="AQ783" s="108">
        <f>(BC783-Driver!$K$188)/(Driver!$L$188-Driver!$K$188)</f>
        <v/>
      </c>
      <c r="AR783" s="108">
        <f>MIN((BD783-Driver!$K$189)/(Driver!$L$189-Driver!$K$189),100%)</f>
        <v/>
      </c>
      <c r="AS783" s="108">
        <f>(BE783-Driver!$K$190)/(Driver!$L$190-Driver!$K$190)</f>
        <v/>
      </c>
      <c r="AT783" s="108">
        <f>(BF783-Driver!$K$191)/(Driver!$L$191-Driver!$K$191)</f>
        <v/>
      </c>
      <c r="AU783" s="108">
        <f>(BG783-Driver!$K$192)/(Driver!$L$192-Driver!$K$192)</f>
        <v/>
      </c>
      <c r="AV783" s="105">
        <f>IFERROR(BM783*BJ783^1/4,"")</f>
        <v/>
      </c>
      <c r="AW783" s="105">
        <f>IFERROR(SUM(AX783:AZ783),"")</f>
        <v/>
      </c>
      <c r="AX783" s="105">
        <f>IFERROR(BH783,"")</f>
        <v/>
      </c>
      <c r="AY783" s="105">
        <f>IFERROR(Driver!$K$19/Data!BH783/Data!BI783*Data!BK783*Data!BL783,"")</f>
        <v/>
      </c>
      <c r="AZ783" s="105">
        <f>IFERROR(BI783*BN783,"")</f>
        <v/>
      </c>
      <c r="BA783" s="105" t="n"/>
      <c r="BB783" s="105" t="n"/>
      <c r="BC783" s="105">
        <f>IFERROR(BI783*BN783*BK783/BJ783^(1/2),"")</f>
        <v/>
      </c>
      <c r="BD783" s="105">
        <f>IFERROR(BH783*BM783*BL783/BJ783/BK783,"")</f>
        <v/>
      </c>
      <c r="BE783" s="105">
        <f>IFERROR(MIN(BI783/BQ783/BP783/BO783/BH783,$BE$1),"")</f>
        <v/>
      </c>
      <c r="BF783" s="105">
        <f>IFERROR(BJ783*BO783*BP783/BK783,"")</f>
        <v/>
      </c>
      <c r="BG783" s="105">
        <f>IFERROR(1/BM783/BH783*BQ783,"")</f>
        <v/>
      </c>
      <c r="BH783" s="102">
        <f>MAX((CE783-Driver!$F$200)/(Driver!$G$200-Driver!$F$200)*$BI$1,1)</f>
        <v/>
      </c>
      <c r="BI783" s="102">
        <f>MAX($BI$1*(BY783-Driver!$F$201)/(Driver!$G$201-Driver!$F$201),1)</f>
        <v/>
      </c>
      <c r="BJ783" s="102">
        <f>(CB783-Driver!$F$206)/(Driver!$G$206-Driver!$F$206)*$BI$1</f>
        <v/>
      </c>
      <c r="BK783" s="102">
        <f>(CD783-Driver!$F$203)/(Driver!$G$203-Driver!$F$203)*$BI$1</f>
        <v/>
      </c>
      <c r="BL783" s="102">
        <f>MAX((CR783-Driver!$F$202)/(Driver!$G$202-Driver!$F$202)*$BI$1,1)</f>
        <v/>
      </c>
      <c r="BM783" s="102">
        <f>MAX((CH783-Driver!$F$204)/(Driver!$G$204-Driver!$F$204)*$BI$1,1)</f>
        <v/>
      </c>
      <c r="BN783" s="102">
        <f>(CI783-Driver!$F$205)/(Driver!$G$205-Driver!$F$205)*$BI$1</f>
        <v/>
      </c>
      <c r="BO783" s="102">
        <f>(CK783-Driver!$F$207)/(Driver!$G$207-Driver!$F$207)*$BI$1</f>
        <v/>
      </c>
      <c r="BP783" s="102">
        <f>(CM783-Driver!$F$208)/(Driver!$G$208-Driver!$F$208)*$BI$1</f>
        <v/>
      </c>
      <c r="BQ783" s="102">
        <f>(CL783-Driver!$F$209)/(Driver!$G$209-Driver!$F$209)*$BI$1</f>
        <v/>
      </c>
      <c r="BR783" s="40" t="inlineStr">
        <is>
          <t>21/22</t>
        </is>
      </c>
      <c r="BS783" s="10" t="inlineStr">
        <is>
          <t xml:space="preserve"> Blizzard</t>
        </is>
      </c>
      <c r="BT783" s="11" t="inlineStr">
        <is>
          <t>Cochise 106</t>
        </is>
      </c>
      <c r="BU783" s="13" t="n">
        <v>177</v>
      </c>
      <c r="BV783" s="11" t="inlineStr">
        <is>
          <t xml:space="preserve"> Unisex</t>
        </is>
      </c>
      <c r="BW783" s="13" t="n">
        <v>177</v>
      </c>
      <c r="BX783" s="13" t="n">
        <v>175.1</v>
      </c>
      <c r="BY783" s="13" t="n">
        <v>114</v>
      </c>
      <c r="BZ783" s="13" t="n">
        <v>149</v>
      </c>
      <c r="CA783" s="13" t="n">
        <v>135</v>
      </c>
      <c r="CB783" s="13" t="n">
        <v>106</v>
      </c>
      <c r="CC783" s="13" t="n">
        <v>123</v>
      </c>
      <c r="CD783" s="13" t="n">
        <v>23.9</v>
      </c>
      <c r="CE783" s="13" t="n">
        <v>2214</v>
      </c>
      <c r="CF783" s="13" t="n">
        <v>0.9</v>
      </c>
      <c r="CG783" s="13" t="n">
        <v>2003</v>
      </c>
      <c r="CH783" s="13" t="n">
        <v>203</v>
      </c>
      <c r="CI783" s="13" t="n">
        <v>129</v>
      </c>
      <c r="CJ783" s="13" t="n">
        <v>47</v>
      </c>
      <c r="CK783" s="13" t="n">
        <v>316</v>
      </c>
      <c r="CL783" s="13" t="n">
        <v>16</v>
      </c>
      <c r="CM783" s="13" t="n">
        <v>291</v>
      </c>
      <c r="CN783" s="13" t="n">
        <v>0.348</v>
      </c>
      <c r="CO783" s="13" t="n">
        <v>151</v>
      </c>
      <c r="CP783" s="13" t="n">
        <v>114</v>
      </c>
      <c r="CQ783" s="13" t="n">
        <v>165</v>
      </c>
      <c r="CR783" s="13" t="n">
        <v>4</v>
      </c>
      <c r="CS783" s="13" t="n">
        <v>11.4</v>
      </c>
      <c r="CT783" s="11" t="inlineStr">
        <is>
          <t xml:space="preserve"> Big Mountain</t>
        </is>
      </c>
      <c r="CU783" s="13" t="n"/>
      <c r="CV783" s="13" t="n"/>
      <c r="CW783" s="13" t="n"/>
      <c r="CX783">
        <f>INDEX('Data_Price '!AG$2:AG$1266,MATCH(Data!$DN783,'Data_Price '!$AT$2:$AT$1266,0))</f>
        <v/>
      </c>
      <c r="CY783">
        <f>INDEX('Data_Price '!AH$2:AH$1266,MATCH(Data!$DN783,'Data_Price '!$AT$2:$AT$1266,0))</f>
        <v/>
      </c>
      <c r="CZ783">
        <f>INDEX('Data_Price '!AI$2:AI$1266,MATCH(Data!$DN783,'Data_Price '!$AT$2:$AT$1266,0))</f>
        <v/>
      </c>
      <c r="DA783">
        <f>INDEX('Data_Price '!AJ$2:AJ$1266,MATCH(Data!$DN783,'Data_Price '!$AT$2:$AT$1266,0))</f>
        <v/>
      </c>
      <c r="DB783">
        <f>INDEX('Data_Price '!AK$2:AK$1266,MATCH(Data!$DN783,'Data_Price '!$AT$2:$AT$1266,0))</f>
        <v/>
      </c>
      <c r="DC783">
        <f>INDEX('Data_Price '!AL$2:AL$1266,MATCH(Data!$DN783,'Data_Price '!$AT$2:$AT$1266,0))</f>
        <v/>
      </c>
      <c r="DD783">
        <f>INDEX('Data_Price '!AM$2:AM$1266,MATCH(Data!$DN783,'Data_Price '!$AT$2:$AT$1266,0))</f>
        <v/>
      </c>
      <c r="DE783">
        <f>INDEX('Data_Price '!AN$2:AN$1266,MATCH(Data!$DN783,'Data_Price '!$AT$2:$AT$1266,0))</f>
        <v/>
      </c>
      <c r="DF783">
        <f>INDEX('Data_Price '!AO$2:AO$1266,MATCH(Data!$DN783,'Data_Price '!$AT$2:$AT$1266,0))</f>
        <v/>
      </c>
      <c r="DG783">
        <f>INDEX('Data_Price '!AP$2:AP$1266,MATCH(Data!$DN783,'Data_Price '!$AT$2:$AT$1266,0))</f>
        <v/>
      </c>
      <c r="DH783">
        <f>INDEX('Data_Price '!AQ$2:AQ$1266,MATCH(Data!$DN783,'Data_Price '!$AT$2:$AT$1266,0))</f>
        <v/>
      </c>
      <c r="DI783">
        <f>INDEX('Data_Price '!AR$2:AR$1266,MATCH(Data!$DN783,'Data_Price '!$AT$2:$AT$1266,0))</f>
        <v/>
      </c>
      <c r="DJ783" s="138">
        <f>DA783</f>
        <v/>
      </c>
      <c r="DK783" s="138">
        <f>DE783</f>
        <v/>
      </c>
      <c r="DL783" s="138">
        <f>DI783</f>
        <v/>
      </c>
      <c r="DM783" s="303">
        <f>IF(LEFT(BT783,1)=" ",RIGHT(BT783,LEN(BT783)-1),BT783)</f>
        <v/>
      </c>
      <c r="DN783" s="138">
        <f>_xlfn.CONCAT(BS783,DM783,BU783,BV783)</f>
        <v/>
      </c>
      <c r="DO783" s="307" t="n"/>
    </row>
    <row r="784" ht="15.6" customHeight="1" s="184">
      <c r="B784" s="303">
        <f t="array" ref="B784">IF(OR(ISERROR(K784:P784)),FALSE,TRUE)</f>
        <v/>
      </c>
      <c r="C784" s="60">
        <f>OR(BR784=Driver!$G$50,Data!BR580=Driver!$H$50)</f>
        <v/>
      </c>
      <c r="D784" s="60">
        <f>OR(BV784=Driver!$G$51,BV784=Driver!$H$51)</f>
        <v/>
      </c>
      <c r="E784" s="60">
        <f>AND(BX784&gt;Driver!$F$54,BX784&lt;Driver!$G$54)</f>
        <v/>
      </c>
      <c r="F784" s="60">
        <f>CL784&gt;Driver!$F$56</f>
        <v/>
      </c>
      <c r="G784" s="60">
        <f>AND(CB784&gt;Driver!$F$55,CB784&lt;Driver!$G$55)</f>
        <v/>
      </c>
      <c r="H784" s="60">
        <f>AND(B784:G784)</f>
        <v/>
      </c>
      <c r="I784" s="60">
        <f>COUNTIFS($H$9:$H$1273,TRUE,$BT$9:$BT$1273,BT784)</f>
        <v/>
      </c>
      <c r="J784" s="60">
        <f t="array" ref="J784">NOT(OR(($H$9:$H$1273=TRUE)*($I$9:$I$1273&gt;0)*($BT$9:$BT$1273=BT784)*($K$9:$K$1273&gt;K784)))</f>
        <v/>
      </c>
      <c r="K784" s="108">
        <f>IFERROR(1-AVERAGE(X784:Y784),"")</f>
        <v/>
      </c>
      <c r="L784" s="108">
        <f>1-X784</f>
        <v/>
      </c>
      <c r="M784" s="108">
        <f>1-Y784</f>
        <v/>
      </c>
      <c r="N784" s="108">
        <f>1-Z784</f>
        <v/>
      </c>
      <c r="O784" s="108">
        <f>1-AA784</f>
        <v/>
      </c>
      <c r="P784" s="108">
        <f>1-AB784</f>
        <v/>
      </c>
      <c r="Q784" s="108" t="n"/>
      <c r="R784" s="108" t="n"/>
      <c r="S784" s="108">
        <f>1-AE784</f>
        <v/>
      </c>
      <c r="T784" s="108">
        <f>1-AF784</f>
        <v/>
      </c>
      <c r="U784" s="108">
        <f>1-AG784</f>
        <v/>
      </c>
      <c r="V784" s="108">
        <f>1-AH784</f>
        <v/>
      </c>
      <c r="W784" s="108">
        <f>1-AI784</f>
        <v/>
      </c>
      <c r="X784" s="108">
        <f>ABS(AJ784-AJ$1)</f>
        <v/>
      </c>
      <c r="Y784" s="108">
        <f>AVERAGE(Z784:AB784)</f>
        <v/>
      </c>
      <c r="Z784" s="108">
        <f>ABS(AL784-AL$1)</f>
        <v/>
      </c>
      <c r="AA784" s="108">
        <f>ABS(AM784-AM$1)</f>
        <v/>
      </c>
      <c r="AB784" s="108">
        <f>ABS(AN784-AN$1)</f>
        <v/>
      </c>
      <c r="AC784" s="108" t="n"/>
      <c r="AD784" s="108" t="n"/>
      <c r="AE784" s="108">
        <f>ABS(AQ$1-AQ784)</f>
        <v/>
      </c>
      <c r="AF784" s="108">
        <f>ABS(AR$1-AR784)</f>
        <v/>
      </c>
      <c r="AG784" s="108">
        <f>ABS(AS$1-AS784)</f>
        <v/>
      </c>
      <c r="AH784" s="108">
        <f>ABS(AT$1-AT784)</f>
        <v/>
      </c>
      <c r="AI784" s="108">
        <f>ABS(AU$1-AU784)</f>
        <v/>
      </c>
      <c r="AJ784" s="108">
        <f>(AV784-Driver!$K$179)/(Driver!$L$179-Driver!$K$179)</f>
        <v/>
      </c>
      <c r="AK784" s="108">
        <f>(AW784-Driver!$K$180)/(Driver!$L$180-Driver!$K$180)</f>
        <v/>
      </c>
      <c r="AL784" s="108">
        <f>(AX784-Driver!$K$181)/(Driver!$L$181-Driver!$K$181)</f>
        <v/>
      </c>
      <c r="AM784" s="108">
        <f>(AY784-Driver!$K$182)/(Driver!$L$182-Driver!$K$182)</f>
        <v/>
      </c>
      <c r="AN784" s="108">
        <f>(AZ784-Driver!$K$183)/(Driver!$L$183-Driver!$K$183)</f>
        <v/>
      </c>
      <c r="AO784" s="108" t="n"/>
      <c r="AP784" s="108" t="n"/>
      <c r="AQ784" s="108">
        <f>(BC784-Driver!$K$188)/(Driver!$L$188-Driver!$K$188)</f>
        <v/>
      </c>
      <c r="AR784" s="108">
        <f>MIN((BD784-Driver!$K$189)/(Driver!$L$189-Driver!$K$189),100%)</f>
        <v/>
      </c>
      <c r="AS784" s="108">
        <f>(BE784-Driver!$K$190)/(Driver!$L$190-Driver!$K$190)</f>
        <v/>
      </c>
      <c r="AT784" s="108">
        <f>(BF784-Driver!$K$191)/(Driver!$L$191-Driver!$K$191)</f>
        <v/>
      </c>
      <c r="AU784" s="108">
        <f>(BG784-Driver!$K$192)/(Driver!$L$192-Driver!$K$192)</f>
        <v/>
      </c>
      <c r="AV784" s="105">
        <f>IFERROR(BM784*BJ784^1/4,"")</f>
        <v/>
      </c>
      <c r="AW784" s="105">
        <f>IFERROR(SUM(AX784:AZ784),"")</f>
        <v/>
      </c>
      <c r="AX784" s="105">
        <f>IFERROR(BH784,"")</f>
        <v/>
      </c>
      <c r="AY784" s="105">
        <f>IFERROR(Driver!$K$19/Data!BH784/Data!BI784*Data!BK784*Data!BL784,"")</f>
        <v/>
      </c>
      <c r="AZ784" s="105">
        <f>IFERROR(BI784*BN784,"")</f>
        <v/>
      </c>
      <c r="BA784" s="105" t="n"/>
      <c r="BB784" s="105" t="n"/>
      <c r="BC784" s="105">
        <f>IFERROR(BI784*BN784*BK784/BJ784^(1/2),"")</f>
        <v/>
      </c>
      <c r="BD784" s="105">
        <f>IFERROR(BH784*BM784*BL784/BJ784/BK784,"")</f>
        <v/>
      </c>
      <c r="BE784" s="105">
        <f>IFERROR(MIN(BI784/BQ784/BP784/BO784/BH784,$BE$1),"")</f>
        <v/>
      </c>
      <c r="BF784" s="105">
        <f>IFERROR(BJ784*BO784*BP784/BK784,"")</f>
        <v/>
      </c>
      <c r="BG784" s="105">
        <f>IFERROR(1/BM784/BH784*BQ784,"")</f>
        <v/>
      </c>
      <c r="BH784" s="102">
        <f>MAX((CE784-Driver!$F$200)/(Driver!$G$200-Driver!$F$200)*$BI$1,1)</f>
        <v/>
      </c>
      <c r="BI784" s="102">
        <f>MAX($BI$1*(BY784-Driver!$F$201)/(Driver!$G$201-Driver!$F$201),1)</f>
        <v/>
      </c>
      <c r="BJ784" s="102">
        <f>(CB784-Driver!$F$206)/(Driver!$G$206-Driver!$F$206)*$BI$1</f>
        <v/>
      </c>
      <c r="BK784" s="102">
        <f>(CD784-Driver!$F$203)/(Driver!$G$203-Driver!$F$203)*$BI$1</f>
        <v/>
      </c>
      <c r="BL784" s="102">
        <f>MAX((CR784-Driver!$F$202)/(Driver!$G$202-Driver!$F$202)*$BI$1,1)</f>
        <v/>
      </c>
      <c r="BM784" s="102">
        <f>MAX((CH784-Driver!$F$204)/(Driver!$G$204-Driver!$F$204)*$BI$1,1)</f>
        <v/>
      </c>
      <c r="BN784" s="102">
        <f>(CI784-Driver!$F$205)/(Driver!$G$205-Driver!$F$205)*$BI$1</f>
        <v/>
      </c>
      <c r="BO784" s="102">
        <f>(CK784-Driver!$F$207)/(Driver!$G$207-Driver!$F$207)*$BI$1</f>
        <v/>
      </c>
      <c r="BP784" s="102">
        <f>(CM784-Driver!$F$208)/(Driver!$G$208-Driver!$F$208)*$BI$1</f>
        <v/>
      </c>
      <c r="BQ784" s="102">
        <f>(CL784-Driver!$F$209)/(Driver!$G$209-Driver!$F$209)*$BI$1</f>
        <v/>
      </c>
      <c r="BR784" s="40" t="inlineStr">
        <is>
          <t>21/22</t>
        </is>
      </c>
      <c r="BS784" s="10" t="inlineStr">
        <is>
          <t xml:space="preserve"> Fischer</t>
        </is>
      </c>
      <c r="BT784" s="11" t="inlineStr">
        <is>
          <t>Ranger 94 FR</t>
        </is>
      </c>
      <c r="BU784" s="13" t="n">
        <v>153</v>
      </c>
      <c r="BV784" s="11" t="inlineStr">
        <is>
          <t xml:space="preserve"> Unisex</t>
        </is>
      </c>
      <c r="BW784" s="13" t="n">
        <v>153</v>
      </c>
      <c r="BX784" s="13" t="n">
        <v>152.5</v>
      </c>
      <c r="BY784" s="13" t="n">
        <v>105</v>
      </c>
      <c r="BZ784" s="13" t="n">
        <v>126</v>
      </c>
      <c r="CA784" s="13" t="n">
        <v>121</v>
      </c>
      <c r="CB784" s="13" t="n">
        <v>88</v>
      </c>
      <c r="CC784" s="13" t="n">
        <v>111</v>
      </c>
      <c r="CD784" s="13" t="n">
        <v>11.9</v>
      </c>
      <c r="CE784" s="13" t="n">
        <v>1451</v>
      </c>
      <c r="CF784" s="13" t="n">
        <v>1.05</v>
      </c>
      <c r="CG784" s="13" t="n">
        <v>1525</v>
      </c>
      <c r="CH784" s="13" t="n">
        <v>152</v>
      </c>
      <c r="CI784" s="13" t="n">
        <v>79</v>
      </c>
      <c r="CJ784" s="13" t="n">
        <v>53</v>
      </c>
      <c r="CK784" s="13" t="n">
        <v>294</v>
      </c>
      <c r="CL784" s="13" t="n">
        <v>31</v>
      </c>
      <c r="CM784" s="13" t="n">
        <v>184</v>
      </c>
      <c r="CN784" s="13" t="n">
        <v>0.587</v>
      </c>
      <c r="CO784" s="13" t="n">
        <v>135</v>
      </c>
      <c r="CP784" s="13" t="n">
        <v>131</v>
      </c>
      <c r="CQ784" s="13" t="n">
        <v>159</v>
      </c>
      <c r="CR784" s="13" t="n">
        <v>5</v>
      </c>
      <c r="CS784" s="13" t="n">
        <v>6.8</v>
      </c>
      <c r="CT784" s="11" t="inlineStr">
        <is>
          <t xml:space="preserve"> Resort Freeride</t>
        </is>
      </c>
      <c r="CU784" s="11" t="inlineStr">
        <is>
          <t xml:space="preserve"> Touring</t>
        </is>
      </c>
      <c r="CV784" s="13" t="n"/>
      <c r="CW784" s="13" t="n"/>
      <c r="CX784">
        <f>INDEX('Data_Price '!AG$2:AG$1266,MATCH(Data!$DN784,'Data_Price '!$AT$2:$AT$1266,0))</f>
        <v/>
      </c>
      <c r="CY784">
        <f>INDEX('Data_Price '!AH$2:AH$1266,MATCH(Data!$DN784,'Data_Price '!$AT$2:$AT$1266,0))</f>
        <v/>
      </c>
      <c r="CZ784">
        <f>INDEX('Data_Price '!AI$2:AI$1266,MATCH(Data!$DN784,'Data_Price '!$AT$2:$AT$1266,0))</f>
        <v/>
      </c>
      <c r="DA784">
        <f>INDEX('Data_Price '!AJ$2:AJ$1266,MATCH(Data!$DN784,'Data_Price '!$AT$2:$AT$1266,0))</f>
        <v/>
      </c>
      <c r="DB784">
        <f>INDEX('Data_Price '!AK$2:AK$1266,MATCH(Data!$DN784,'Data_Price '!$AT$2:$AT$1266,0))</f>
        <v/>
      </c>
      <c r="DC784">
        <f>INDEX('Data_Price '!AL$2:AL$1266,MATCH(Data!$DN784,'Data_Price '!$AT$2:$AT$1266,0))</f>
        <v/>
      </c>
      <c r="DD784">
        <f>INDEX('Data_Price '!AM$2:AM$1266,MATCH(Data!$DN784,'Data_Price '!$AT$2:$AT$1266,0))</f>
        <v/>
      </c>
      <c r="DE784">
        <f>INDEX('Data_Price '!AN$2:AN$1266,MATCH(Data!$DN784,'Data_Price '!$AT$2:$AT$1266,0))</f>
        <v/>
      </c>
      <c r="DF784">
        <f>INDEX('Data_Price '!AO$2:AO$1266,MATCH(Data!$DN784,'Data_Price '!$AT$2:$AT$1266,0))</f>
        <v/>
      </c>
      <c r="DG784">
        <f>INDEX('Data_Price '!AP$2:AP$1266,MATCH(Data!$DN784,'Data_Price '!$AT$2:$AT$1266,0))</f>
        <v/>
      </c>
      <c r="DH784">
        <f>INDEX('Data_Price '!AQ$2:AQ$1266,MATCH(Data!$DN784,'Data_Price '!$AT$2:$AT$1266,0))</f>
        <v/>
      </c>
      <c r="DI784">
        <f>INDEX('Data_Price '!AR$2:AR$1266,MATCH(Data!$DN784,'Data_Price '!$AT$2:$AT$1266,0))</f>
        <v/>
      </c>
      <c r="DJ784" s="138">
        <f>DA784</f>
        <v/>
      </c>
      <c r="DK784" s="138">
        <f>DE784</f>
        <v/>
      </c>
      <c r="DL784" s="138">
        <f>DI784</f>
        <v/>
      </c>
      <c r="DM784" s="303">
        <f>IF(LEFT(BT784,1)=" ",RIGHT(BT784,LEN(BT784)-1),BT784)</f>
        <v/>
      </c>
      <c r="DN784" s="138">
        <f>_xlfn.CONCAT(BS784,DM784,BU784,BV784)</f>
        <v/>
      </c>
      <c r="DO784" s="307" t="n"/>
    </row>
    <row r="785" ht="15.6" customHeight="1" s="184">
      <c r="B785" s="303">
        <f t="array" ref="B785">IF(OR(ISERROR(K785:P785)),FALSE,TRUE)</f>
        <v/>
      </c>
      <c r="C785" s="60">
        <f>OR(BR785=Driver!$G$50,Data!BR433=Driver!$H$50)</f>
        <v/>
      </c>
      <c r="D785" s="60">
        <f>OR(BV785=Driver!$G$51,BV785=Driver!$H$51)</f>
        <v/>
      </c>
      <c r="E785" s="60">
        <f>AND(BX785&gt;Driver!$F$54,BX785&lt;Driver!$G$54)</f>
        <v/>
      </c>
      <c r="F785" s="60">
        <f>CL785&gt;Driver!$F$56</f>
        <v/>
      </c>
      <c r="G785" s="60">
        <f>AND(CB785&gt;Driver!$F$55,CB785&lt;Driver!$G$55)</f>
        <v/>
      </c>
      <c r="H785" s="60">
        <f>AND(B785:G785)</f>
        <v/>
      </c>
      <c r="I785" s="60">
        <f>COUNTIFS($H$9:$H$1273,TRUE,$BT$9:$BT$1273,BT785)</f>
        <v/>
      </c>
      <c r="J785" s="60">
        <f t="array" ref="J785">NOT(OR(($H$9:$H$1273=TRUE)*($I$9:$I$1273&gt;0)*($BT$9:$BT$1273=BT785)*($K$9:$K$1273&gt;K785)))</f>
        <v/>
      </c>
      <c r="K785" s="108">
        <f>IFERROR(1-AVERAGE(X785:Y785),"")</f>
        <v/>
      </c>
      <c r="L785" s="108">
        <f>1-X785</f>
        <v/>
      </c>
      <c r="M785" s="108">
        <f>1-Y785</f>
        <v/>
      </c>
      <c r="N785" s="108">
        <f>1-Z785</f>
        <v/>
      </c>
      <c r="O785" s="108">
        <f>1-AA785</f>
        <v/>
      </c>
      <c r="P785" s="108">
        <f>1-AB785</f>
        <v/>
      </c>
      <c r="Q785" s="108" t="n"/>
      <c r="R785" s="108" t="n"/>
      <c r="S785" s="108">
        <f>1-AE785</f>
        <v/>
      </c>
      <c r="T785" s="108">
        <f>1-AF785</f>
        <v/>
      </c>
      <c r="U785" s="108">
        <f>1-AG785</f>
        <v/>
      </c>
      <c r="V785" s="108">
        <f>1-AH785</f>
        <v/>
      </c>
      <c r="W785" s="108">
        <f>1-AI785</f>
        <v/>
      </c>
      <c r="X785" s="108">
        <f>ABS(AJ785-AJ$1)</f>
        <v/>
      </c>
      <c r="Y785" s="108">
        <f>AVERAGE(Z785:AB785)</f>
        <v/>
      </c>
      <c r="Z785" s="108">
        <f>ABS(AL785-AL$1)</f>
        <v/>
      </c>
      <c r="AA785" s="108">
        <f>ABS(AM785-AM$1)</f>
        <v/>
      </c>
      <c r="AB785" s="108">
        <f>ABS(AN785-AN$1)</f>
        <v/>
      </c>
      <c r="AC785" s="108" t="n"/>
      <c r="AD785" s="108" t="n"/>
      <c r="AE785" s="108">
        <f>ABS(AQ$1-AQ785)</f>
        <v/>
      </c>
      <c r="AF785" s="108">
        <f>ABS(AR$1-AR785)</f>
        <v/>
      </c>
      <c r="AG785" s="108">
        <f>ABS(AS$1-AS785)</f>
        <v/>
      </c>
      <c r="AH785" s="108">
        <f>ABS(AT$1-AT785)</f>
        <v/>
      </c>
      <c r="AI785" s="108">
        <f>ABS(AU$1-AU785)</f>
        <v/>
      </c>
      <c r="AJ785" s="108">
        <f>(AV785-Driver!$K$179)/(Driver!$L$179-Driver!$K$179)</f>
        <v/>
      </c>
      <c r="AK785" s="108">
        <f>(AW785-Driver!$K$180)/(Driver!$L$180-Driver!$K$180)</f>
        <v/>
      </c>
      <c r="AL785" s="108">
        <f>(AX785-Driver!$K$181)/(Driver!$L$181-Driver!$K$181)</f>
        <v/>
      </c>
      <c r="AM785" s="108">
        <f>(AY785-Driver!$K$182)/(Driver!$L$182-Driver!$K$182)</f>
        <v/>
      </c>
      <c r="AN785" s="108">
        <f>(AZ785-Driver!$K$183)/(Driver!$L$183-Driver!$K$183)</f>
        <v/>
      </c>
      <c r="AO785" s="108" t="n"/>
      <c r="AP785" s="108" t="n"/>
      <c r="AQ785" s="108">
        <f>(BC785-Driver!$K$188)/(Driver!$L$188-Driver!$K$188)</f>
        <v/>
      </c>
      <c r="AR785" s="108">
        <f>MIN((BD785-Driver!$K$189)/(Driver!$L$189-Driver!$K$189),100%)</f>
        <v/>
      </c>
      <c r="AS785" s="108">
        <f>(BE785-Driver!$K$190)/(Driver!$L$190-Driver!$K$190)</f>
        <v/>
      </c>
      <c r="AT785" s="108">
        <f>(BF785-Driver!$K$191)/(Driver!$L$191-Driver!$K$191)</f>
        <v/>
      </c>
      <c r="AU785" s="108">
        <f>(BG785-Driver!$K$192)/(Driver!$L$192-Driver!$K$192)</f>
        <v/>
      </c>
      <c r="AV785" s="105">
        <f>IFERROR(BM785*BJ785^1/4,"")</f>
        <v/>
      </c>
      <c r="AW785" s="105">
        <f>IFERROR(SUM(AX785:AZ785),"")</f>
        <v/>
      </c>
      <c r="AX785" s="105">
        <f>IFERROR(BH785,"")</f>
        <v/>
      </c>
      <c r="AY785" s="105">
        <f>IFERROR(Driver!$K$19/Data!BH785/Data!BI785*Data!BK785*Data!BL785,"")</f>
        <v/>
      </c>
      <c r="AZ785" s="105">
        <f>IFERROR(BI785*BN785,"")</f>
        <v/>
      </c>
      <c r="BA785" s="105" t="n"/>
      <c r="BB785" s="105" t="n"/>
      <c r="BC785" s="105">
        <f>IFERROR(BI785*BN785*BK785/BJ785^(1/2),"")</f>
        <v/>
      </c>
      <c r="BD785" s="105">
        <f>IFERROR(BH785*BM785*BL785/BJ785/BK785,"")</f>
        <v/>
      </c>
      <c r="BE785" s="105">
        <f>IFERROR(MIN(BI785/BQ785/BP785/BO785/BH785,$BE$1),"")</f>
        <v/>
      </c>
      <c r="BF785" s="105">
        <f>IFERROR(BJ785*BO785*BP785/BK785,"")</f>
        <v/>
      </c>
      <c r="BG785" s="105">
        <f>IFERROR(1/BM785/BH785*BQ785,"")</f>
        <v/>
      </c>
      <c r="BH785" s="102">
        <f>MAX((CE785-Driver!$F$200)/(Driver!$G$200-Driver!$F$200)*$BI$1,1)</f>
        <v/>
      </c>
      <c r="BI785" s="102">
        <f>MAX($BI$1*(BY785-Driver!$F$201)/(Driver!$G$201-Driver!$F$201),1)</f>
        <v/>
      </c>
      <c r="BJ785" s="102">
        <f>(CB785-Driver!$F$206)/(Driver!$G$206-Driver!$F$206)*$BI$1</f>
        <v/>
      </c>
      <c r="BK785" s="102">
        <f>(CD785-Driver!$F$203)/(Driver!$G$203-Driver!$F$203)*$BI$1</f>
        <v/>
      </c>
      <c r="BL785" s="102">
        <f>MAX((CR785-Driver!$F$202)/(Driver!$G$202-Driver!$F$202)*$BI$1,1)</f>
        <v/>
      </c>
      <c r="BM785" s="102">
        <f>MAX((CH785-Driver!$F$204)/(Driver!$G$204-Driver!$F$204)*$BI$1,1)</f>
        <v/>
      </c>
      <c r="BN785" s="102">
        <f>(CI785-Driver!$F$205)/(Driver!$G$205-Driver!$F$205)*$BI$1</f>
        <v/>
      </c>
      <c r="BO785" s="102">
        <f>(CK785-Driver!$F$207)/(Driver!$G$207-Driver!$F$207)*$BI$1</f>
        <v/>
      </c>
      <c r="BP785" s="102">
        <f>(CM785-Driver!$F$208)/(Driver!$G$208-Driver!$F$208)*$BI$1</f>
        <v/>
      </c>
      <c r="BQ785" s="102">
        <f>(CL785-Driver!$F$209)/(Driver!$G$209-Driver!$F$209)*$BI$1</f>
        <v/>
      </c>
      <c r="BR785" s="40" t="inlineStr">
        <is>
          <t>21/22</t>
        </is>
      </c>
      <c r="BS785" s="10" t="inlineStr">
        <is>
          <t xml:space="preserve"> Elan</t>
        </is>
      </c>
      <c r="BT785" s="11" t="inlineStr">
        <is>
          <t xml:space="preserve"> Element</t>
        </is>
      </c>
      <c r="BU785" s="13" t="n">
        <v>176</v>
      </c>
      <c r="BV785" s="11" t="inlineStr">
        <is>
          <t xml:space="preserve"> Unisex</t>
        </is>
      </c>
      <c r="BW785" s="13" t="n">
        <v>176</v>
      </c>
      <c r="BX785" s="13" t="n">
        <v>175.4</v>
      </c>
      <c r="BY785" s="13" t="n">
        <v>149</v>
      </c>
      <c r="BZ785" s="13" t="n">
        <v>161</v>
      </c>
      <c r="CA785" s="13" t="n">
        <v>128</v>
      </c>
      <c r="CB785" s="13" t="n">
        <v>77</v>
      </c>
      <c r="CC785" s="13" t="n">
        <v>104</v>
      </c>
      <c r="CD785" s="13" t="n">
        <v>16.8</v>
      </c>
      <c r="CE785" s="13" t="n">
        <v>1957</v>
      </c>
      <c r="CF785" s="13" t="n">
        <v>0.82</v>
      </c>
      <c r="CG785" s="13" t="n">
        <v>1604</v>
      </c>
      <c r="CH785" s="13" t="n">
        <v>220</v>
      </c>
      <c r="CI785" s="13" t="n">
        <v>73</v>
      </c>
      <c r="CJ785" s="13" t="n">
        <v>35</v>
      </c>
      <c r="CK785" s="13" t="n">
        <v>170</v>
      </c>
      <c r="CL785" s="13" t="n">
        <v>10</v>
      </c>
      <c r="CM785" s="13" t="n">
        <v>92</v>
      </c>
      <c r="CN785" s="13" t="n">
        <v>0.297</v>
      </c>
      <c r="CO785" s="13" t="n">
        <v>85</v>
      </c>
      <c r="CP785" s="13" t="n">
        <v>58</v>
      </c>
      <c r="CQ785" s="13" t="n">
        <v>85</v>
      </c>
      <c r="CR785" s="13" t="n">
        <v>5</v>
      </c>
      <c r="CS785" s="13" t="n">
        <v>11.2</v>
      </c>
      <c r="CT785" s="11" t="inlineStr">
        <is>
          <t xml:space="preserve"> On-Piste Carving</t>
        </is>
      </c>
      <c r="CU785" s="13" t="n"/>
      <c r="CV785" s="13" t="n"/>
      <c r="CW785" s="13" t="n"/>
      <c r="CX785">
        <f>INDEX('Data_Price '!AG$2:AG$1266,MATCH(Data!$DN785,'Data_Price '!$AT$2:$AT$1266,0))</f>
        <v/>
      </c>
      <c r="CY785">
        <f>INDEX('Data_Price '!AH$2:AH$1266,MATCH(Data!$DN785,'Data_Price '!$AT$2:$AT$1266,0))</f>
        <v/>
      </c>
      <c r="CZ785">
        <f>INDEX('Data_Price '!AI$2:AI$1266,MATCH(Data!$DN785,'Data_Price '!$AT$2:$AT$1266,0))</f>
        <v/>
      </c>
      <c r="DA785">
        <f>INDEX('Data_Price '!AJ$2:AJ$1266,MATCH(Data!$DN785,'Data_Price '!$AT$2:$AT$1266,0))</f>
        <v/>
      </c>
      <c r="DB785">
        <f>INDEX('Data_Price '!AK$2:AK$1266,MATCH(Data!$DN785,'Data_Price '!$AT$2:$AT$1266,0))</f>
        <v/>
      </c>
      <c r="DC785">
        <f>INDEX('Data_Price '!AL$2:AL$1266,MATCH(Data!$DN785,'Data_Price '!$AT$2:$AT$1266,0))</f>
        <v/>
      </c>
      <c r="DD785">
        <f>INDEX('Data_Price '!AM$2:AM$1266,MATCH(Data!$DN785,'Data_Price '!$AT$2:$AT$1266,0))</f>
        <v/>
      </c>
      <c r="DE785">
        <f>INDEX('Data_Price '!AN$2:AN$1266,MATCH(Data!$DN785,'Data_Price '!$AT$2:$AT$1266,0))</f>
        <v/>
      </c>
      <c r="DF785">
        <f>INDEX('Data_Price '!AO$2:AO$1266,MATCH(Data!$DN785,'Data_Price '!$AT$2:$AT$1266,0))</f>
        <v/>
      </c>
      <c r="DG785">
        <f>INDEX('Data_Price '!AP$2:AP$1266,MATCH(Data!$DN785,'Data_Price '!$AT$2:$AT$1266,0))</f>
        <v/>
      </c>
      <c r="DH785">
        <f>INDEX('Data_Price '!AQ$2:AQ$1266,MATCH(Data!$DN785,'Data_Price '!$AT$2:$AT$1266,0))</f>
        <v/>
      </c>
      <c r="DI785">
        <f>INDEX('Data_Price '!AR$2:AR$1266,MATCH(Data!$DN785,'Data_Price '!$AT$2:$AT$1266,0))</f>
        <v/>
      </c>
      <c r="DJ785" s="138">
        <f>DA785</f>
        <v/>
      </c>
      <c r="DK785" s="138">
        <f>DE785</f>
        <v/>
      </c>
      <c r="DL785" s="138">
        <f>DI785</f>
        <v/>
      </c>
      <c r="DM785" s="303">
        <f>IF(LEFT(BT785,1)=" ",RIGHT(BT785,LEN(BT785)-1),BT785)</f>
        <v/>
      </c>
      <c r="DN785" s="138">
        <f>_xlfn.CONCAT(BS785,DM785,BU785,BV785)</f>
        <v/>
      </c>
      <c r="DO785" s="307" t="n"/>
    </row>
    <row r="786" ht="15.6" customHeight="1" s="184">
      <c r="B786" s="303">
        <f t="array" ref="B786">IF(OR(ISERROR(K786:P786)),FALSE,TRUE)</f>
        <v/>
      </c>
      <c r="C786" s="60">
        <f>OR(BR786=Driver!$G$50,Data!BR1246=Driver!$H$50)</f>
        <v/>
      </c>
      <c r="D786" s="60">
        <f>OR(BV786=Driver!$G$51,BV786=Driver!$H$51)</f>
        <v/>
      </c>
      <c r="E786" s="60">
        <f>AND(BX786&gt;Driver!$F$54,BX786&lt;Driver!$G$54)</f>
        <v/>
      </c>
      <c r="F786" s="60">
        <f>CL786&gt;Driver!$F$56</f>
        <v/>
      </c>
      <c r="G786" s="60">
        <f>AND(CB786&gt;Driver!$F$55,CB786&lt;Driver!$G$55)</f>
        <v/>
      </c>
      <c r="H786" s="60">
        <f>AND(B786:G786)</f>
        <v/>
      </c>
      <c r="I786" s="60">
        <f>COUNTIFS($H$9:$H$1273,TRUE,$BT$9:$BT$1273,BT786)</f>
        <v/>
      </c>
      <c r="J786" s="60">
        <f t="array" ref="J786">NOT(OR(($H$9:$H$1273=TRUE)*($I$9:$I$1273&gt;0)*($BT$9:$BT$1273=BT786)*($K$9:$K$1273&gt;K786)))</f>
        <v/>
      </c>
      <c r="K786" s="108">
        <f>IFERROR(1-AVERAGE(X786:Y786),"")</f>
        <v/>
      </c>
      <c r="L786" s="108">
        <f>1-X786</f>
        <v/>
      </c>
      <c r="M786" s="108">
        <f>1-Y786</f>
        <v/>
      </c>
      <c r="N786" s="108">
        <f>1-Z786</f>
        <v/>
      </c>
      <c r="O786" s="108">
        <f>1-AA786</f>
        <v/>
      </c>
      <c r="P786" s="108">
        <f>1-AB786</f>
        <v/>
      </c>
      <c r="Q786" s="108" t="n"/>
      <c r="R786" s="108" t="n"/>
      <c r="S786" s="108">
        <f>1-AE786</f>
        <v/>
      </c>
      <c r="T786" s="108">
        <f>1-AF786</f>
        <v/>
      </c>
      <c r="U786" s="108">
        <f>1-AG786</f>
        <v/>
      </c>
      <c r="V786" s="108">
        <f>1-AH786</f>
        <v/>
      </c>
      <c r="W786" s="108">
        <f>1-AI786</f>
        <v/>
      </c>
      <c r="X786" s="108">
        <f>ABS(AJ786-AJ$1)</f>
        <v/>
      </c>
      <c r="Y786" s="108">
        <f>AVERAGE(Z786:AB786)</f>
        <v/>
      </c>
      <c r="Z786" s="108">
        <f>ABS(AL786-AL$1)</f>
        <v/>
      </c>
      <c r="AA786" s="108">
        <f>ABS(AM786-AM$1)</f>
        <v/>
      </c>
      <c r="AB786" s="108">
        <f>ABS(AN786-AN$1)</f>
        <v/>
      </c>
      <c r="AC786" s="108" t="n"/>
      <c r="AD786" s="108" t="n"/>
      <c r="AE786" s="108">
        <f>ABS(AQ$1-AQ786)</f>
        <v/>
      </c>
      <c r="AF786" s="108">
        <f>ABS(AR$1-AR786)</f>
        <v/>
      </c>
      <c r="AG786" s="108">
        <f>ABS(AS$1-AS786)</f>
        <v/>
      </c>
      <c r="AH786" s="108">
        <f>ABS(AT$1-AT786)</f>
        <v/>
      </c>
      <c r="AI786" s="108">
        <f>ABS(AU$1-AU786)</f>
        <v/>
      </c>
      <c r="AJ786" s="108">
        <f>(AV786-Driver!$K$179)/(Driver!$L$179-Driver!$K$179)</f>
        <v/>
      </c>
      <c r="AK786" s="108">
        <f>(AW786-Driver!$K$180)/(Driver!$L$180-Driver!$K$180)</f>
        <v/>
      </c>
      <c r="AL786" s="108">
        <f>(AX786-Driver!$K$181)/(Driver!$L$181-Driver!$K$181)</f>
        <v/>
      </c>
      <c r="AM786" s="108">
        <f>(AY786-Driver!$K$182)/(Driver!$L$182-Driver!$K$182)</f>
        <v/>
      </c>
      <c r="AN786" s="108">
        <f>(AZ786-Driver!$K$183)/(Driver!$L$183-Driver!$K$183)</f>
        <v/>
      </c>
      <c r="AO786" s="108" t="n"/>
      <c r="AP786" s="108" t="n"/>
      <c r="AQ786" s="108">
        <f>(BC786-Driver!$K$188)/(Driver!$L$188-Driver!$K$188)</f>
        <v/>
      </c>
      <c r="AR786" s="108">
        <f>MIN((BD786-Driver!$K$189)/(Driver!$L$189-Driver!$K$189),100%)</f>
        <v/>
      </c>
      <c r="AS786" s="108">
        <f>(BE786-Driver!$K$190)/(Driver!$L$190-Driver!$K$190)</f>
        <v/>
      </c>
      <c r="AT786" s="108">
        <f>(BF786-Driver!$K$191)/(Driver!$L$191-Driver!$K$191)</f>
        <v/>
      </c>
      <c r="AU786" s="108">
        <f>(BG786-Driver!$K$192)/(Driver!$L$192-Driver!$K$192)</f>
        <v/>
      </c>
      <c r="AV786" s="105">
        <f>IFERROR(BM786*BJ786^1/4,"")</f>
        <v/>
      </c>
      <c r="AW786" s="105">
        <f>IFERROR(SUM(AX786:AZ786),"")</f>
        <v/>
      </c>
      <c r="AX786" s="105">
        <f>IFERROR(BH786,"")</f>
        <v/>
      </c>
      <c r="AY786" s="105">
        <f>IFERROR(Driver!$K$19/Data!BH786/Data!BI786*Data!BK786*Data!BL786,"")</f>
        <v/>
      </c>
      <c r="AZ786" s="105">
        <f>IFERROR(BI786*BN786,"")</f>
        <v/>
      </c>
      <c r="BA786" s="105" t="n"/>
      <c r="BB786" s="105" t="n"/>
      <c r="BC786" s="105">
        <f>IFERROR(BI786*BN786*BK786/BJ786^(1/2),"")</f>
        <v/>
      </c>
      <c r="BD786" s="105">
        <f>IFERROR(BH786*BM786*BL786/BJ786/BK786,"")</f>
        <v/>
      </c>
      <c r="BE786" s="105">
        <f>IFERROR(MIN(BI786/BQ786/BP786/BO786/BH786,$BE$1),"")</f>
        <v/>
      </c>
      <c r="BF786" s="105">
        <f>IFERROR(BJ786*BO786*BP786/BK786,"")</f>
        <v/>
      </c>
      <c r="BG786" s="105">
        <f>IFERROR(1/BM786/BH786*BQ786,"")</f>
        <v/>
      </c>
      <c r="BH786" s="102">
        <f>MAX((CE786-Driver!$F$200)/(Driver!$G$200-Driver!$F$200)*$BI$1,1)</f>
        <v/>
      </c>
      <c r="BI786" s="102">
        <f>MAX($BI$1*(BY786-Driver!$F$201)/(Driver!$G$201-Driver!$F$201),1)</f>
        <v/>
      </c>
      <c r="BJ786" s="102">
        <f>(CB786-Driver!$F$206)/(Driver!$G$206-Driver!$F$206)*$BI$1</f>
        <v/>
      </c>
      <c r="BK786" s="102">
        <f>(CD786-Driver!$F$203)/(Driver!$G$203-Driver!$F$203)*$BI$1</f>
        <v/>
      </c>
      <c r="BL786" s="102">
        <f>MAX((CR786-Driver!$F$202)/(Driver!$G$202-Driver!$F$202)*$BI$1,1)</f>
        <v/>
      </c>
      <c r="BM786" s="102">
        <f>MAX((CH786-Driver!$F$204)/(Driver!$G$204-Driver!$F$204)*$BI$1,1)</f>
        <v/>
      </c>
      <c r="BN786" s="102">
        <f>(CI786-Driver!$F$205)/(Driver!$G$205-Driver!$F$205)*$BI$1</f>
        <v/>
      </c>
      <c r="BO786" s="102">
        <f>(CK786-Driver!$F$207)/(Driver!$G$207-Driver!$F$207)*$BI$1</f>
        <v/>
      </c>
      <c r="BP786" s="102">
        <f>(CM786-Driver!$F$208)/(Driver!$G$208-Driver!$F$208)*$BI$1</f>
        <v/>
      </c>
      <c r="BQ786" s="102">
        <f>(CL786-Driver!$F$209)/(Driver!$G$209-Driver!$F$209)*$BI$1</f>
        <v/>
      </c>
      <c r="BR786" s="40" t="inlineStr">
        <is>
          <t>21/22</t>
        </is>
      </c>
      <c r="BS786" s="10" t="inlineStr">
        <is>
          <t xml:space="preserve"> Völkl</t>
        </is>
      </c>
      <c r="BT786" s="11" t="inlineStr">
        <is>
          <t>Rise Above 88</t>
        </is>
      </c>
      <c r="BU786" s="13" t="n">
        <v>177</v>
      </c>
      <c r="BV786" s="11" t="inlineStr">
        <is>
          <t xml:space="preserve"> Unisex</t>
        </is>
      </c>
      <c r="BW786" s="13" t="n">
        <v>177</v>
      </c>
      <c r="BX786" s="13" t="n">
        <v>176.7</v>
      </c>
      <c r="BY786" s="13" t="n">
        <v>147</v>
      </c>
      <c r="BZ786" s="13" t="n">
        <v>156</v>
      </c>
      <c r="CA786" s="13" t="n">
        <v>130</v>
      </c>
      <c r="CB786" s="13" t="n">
        <v>87</v>
      </c>
      <c r="CC786" s="13" t="n">
        <v>111</v>
      </c>
      <c r="CD786" s="13" t="n">
        <v>17.5</v>
      </c>
      <c r="CE786" s="13" t="n">
        <v>1279</v>
      </c>
      <c r="CF786" s="13" t="n">
        <v>1.39</v>
      </c>
      <c r="CG786" s="13" t="n">
        <v>1773</v>
      </c>
      <c r="CH786" s="13" t="n">
        <v>171</v>
      </c>
      <c r="CI786" s="13" t="n">
        <v>76</v>
      </c>
      <c r="CJ786" s="13" t="n">
        <v>42</v>
      </c>
      <c r="CK786" s="13" t="n">
        <v>236</v>
      </c>
      <c r="CL786" s="13" t="n">
        <v>4</v>
      </c>
      <c r="CM786" s="13" t="n">
        <v>62</v>
      </c>
      <c r="CN786" s="13" t="n">
        <v>0.096</v>
      </c>
      <c r="CO786" s="13" t="n">
        <v>120</v>
      </c>
      <c r="CP786" s="13" t="n">
        <v>89</v>
      </c>
      <c r="CQ786" s="13" t="n">
        <v>116</v>
      </c>
      <c r="CR786" s="13" t="n">
        <v>6</v>
      </c>
      <c r="CS786" s="13" t="n">
        <v>12.2</v>
      </c>
      <c r="CT786" s="11" t="inlineStr">
        <is>
          <t xml:space="preserve"> Touring</t>
        </is>
      </c>
      <c r="CU786" s="11" t="inlineStr">
        <is>
          <t xml:space="preserve"> Ultralight Touring</t>
        </is>
      </c>
      <c r="CV786" s="13" t="n"/>
      <c r="CW786" s="13" t="n"/>
      <c r="CX786">
        <f>INDEX('Data_Price '!AG$2:AG$1266,MATCH(Data!$DN786,'Data_Price '!$AT$2:$AT$1266,0))</f>
        <v/>
      </c>
      <c r="CY786">
        <f>INDEX('Data_Price '!AH$2:AH$1266,MATCH(Data!$DN786,'Data_Price '!$AT$2:$AT$1266,0))</f>
        <v/>
      </c>
      <c r="CZ786">
        <f>INDEX('Data_Price '!AI$2:AI$1266,MATCH(Data!$DN786,'Data_Price '!$AT$2:$AT$1266,0))</f>
        <v/>
      </c>
      <c r="DA786">
        <f>INDEX('Data_Price '!AJ$2:AJ$1266,MATCH(Data!$DN786,'Data_Price '!$AT$2:$AT$1266,0))</f>
        <v/>
      </c>
      <c r="DB786">
        <f>INDEX('Data_Price '!AK$2:AK$1266,MATCH(Data!$DN786,'Data_Price '!$AT$2:$AT$1266,0))</f>
        <v/>
      </c>
      <c r="DC786">
        <f>INDEX('Data_Price '!AL$2:AL$1266,MATCH(Data!$DN786,'Data_Price '!$AT$2:$AT$1266,0))</f>
        <v/>
      </c>
      <c r="DD786">
        <f>INDEX('Data_Price '!AM$2:AM$1266,MATCH(Data!$DN786,'Data_Price '!$AT$2:$AT$1266,0))</f>
        <v/>
      </c>
      <c r="DE786">
        <f>INDEX('Data_Price '!AN$2:AN$1266,MATCH(Data!$DN786,'Data_Price '!$AT$2:$AT$1266,0))</f>
        <v/>
      </c>
      <c r="DF786">
        <f>INDEX('Data_Price '!AO$2:AO$1266,MATCH(Data!$DN786,'Data_Price '!$AT$2:$AT$1266,0))</f>
        <v/>
      </c>
      <c r="DG786">
        <f>INDEX('Data_Price '!AP$2:AP$1266,MATCH(Data!$DN786,'Data_Price '!$AT$2:$AT$1266,0))</f>
        <v/>
      </c>
      <c r="DH786">
        <f>INDEX('Data_Price '!AQ$2:AQ$1266,MATCH(Data!$DN786,'Data_Price '!$AT$2:$AT$1266,0))</f>
        <v/>
      </c>
      <c r="DI786">
        <f>INDEX('Data_Price '!AR$2:AR$1266,MATCH(Data!$DN786,'Data_Price '!$AT$2:$AT$1266,0))</f>
        <v/>
      </c>
      <c r="DJ786" s="138">
        <f>DA786</f>
        <v/>
      </c>
      <c r="DK786" s="138">
        <f>DE786</f>
        <v/>
      </c>
      <c r="DL786" s="138">
        <f>DI786</f>
        <v/>
      </c>
      <c r="DM786" s="303">
        <f>IF(LEFT(BT786,1)=" ",RIGHT(BT786,LEN(BT786)-1),BT786)</f>
        <v/>
      </c>
      <c r="DN786" s="138">
        <f>_xlfn.CONCAT(BS786,DM786,BU786,BV786)</f>
        <v/>
      </c>
      <c r="DO786" s="307" t="n"/>
    </row>
    <row r="787" ht="15.6" customHeight="1" s="184">
      <c r="B787" s="303">
        <f t="array" ref="B787">IF(OR(ISERROR(K787:P787)),FALSE,TRUE)</f>
        <v/>
      </c>
      <c r="C787" s="60">
        <f>OR(BR787=Driver!$G$50,Data!BR786=Driver!$H$50)</f>
        <v/>
      </c>
      <c r="D787" s="60">
        <f>OR(BV787=Driver!$G$51,BV787=Driver!$H$51)</f>
        <v/>
      </c>
      <c r="E787" s="60">
        <f>AND(BX787&gt;Driver!$F$54,BX787&lt;Driver!$G$54)</f>
        <v/>
      </c>
      <c r="F787" s="60">
        <f>CL787&gt;Driver!$F$56</f>
        <v/>
      </c>
      <c r="G787" s="60">
        <f>AND(CB787&gt;Driver!$F$55,CB787&lt;Driver!$G$55)</f>
        <v/>
      </c>
      <c r="H787" s="60">
        <f>AND(B787:G787)</f>
        <v/>
      </c>
      <c r="I787" s="60">
        <f>COUNTIFS($H$9:$H$1273,TRUE,$BT$9:$BT$1273,BT787)</f>
        <v/>
      </c>
      <c r="J787" s="60">
        <f t="array" ref="J787">NOT(OR(($H$9:$H$1273=TRUE)*($I$9:$I$1273&gt;0)*($BT$9:$BT$1273=BT787)*($K$9:$K$1273&gt;K787)))</f>
        <v/>
      </c>
      <c r="K787" s="108">
        <f>IFERROR(1-AVERAGE(X787:Y787),"")</f>
        <v/>
      </c>
      <c r="L787" s="108">
        <f>1-X787</f>
        <v/>
      </c>
      <c r="M787" s="108">
        <f>1-Y787</f>
        <v/>
      </c>
      <c r="N787" s="108">
        <f>1-Z787</f>
        <v/>
      </c>
      <c r="O787" s="108">
        <f>1-AA787</f>
        <v/>
      </c>
      <c r="P787" s="108">
        <f>1-AB787</f>
        <v/>
      </c>
      <c r="Q787" s="108" t="n"/>
      <c r="R787" s="108" t="n"/>
      <c r="S787" s="108">
        <f>1-AE787</f>
        <v/>
      </c>
      <c r="T787" s="108">
        <f>1-AF787</f>
        <v/>
      </c>
      <c r="U787" s="108">
        <f>1-AG787</f>
        <v/>
      </c>
      <c r="V787" s="108">
        <f>1-AH787</f>
        <v/>
      </c>
      <c r="W787" s="108">
        <f>1-AI787</f>
        <v/>
      </c>
      <c r="X787" s="108">
        <f>ABS(AJ787-AJ$1)</f>
        <v/>
      </c>
      <c r="Y787" s="108">
        <f>AVERAGE(Z787:AB787)</f>
        <v/>
      </c>
      <c r="Z787" s="108">
        <f>ABS(AL787-AL$1)</f>
        <v/>
      </c>
      <c r="AA787" s="108">
        <f>ABS(AM787-AM$1)</f>
        <v/>
      </c>
      <c r="AB787" s="108">
        <f>ABS(AN787-AN$1)</f>
        <v/>
      </c>
      <c r="AC787" s="108" t="n"/>
      <c r="AD787" s="108" t="n"/>
      <c r="AE787" s="108">
        <f>ABS(AQ$1-AQ787)</f>
        <v/>
      </c>
      <c r="AF787" s="108">
        <f>ABS(AR$1-AR787)</f>
        <v/>
      </c>
      <c r="AG787" s="108">
        <f>ABS(AS$1-AS787)</f>
        <v/>
      </c>
      <c r="AH787" s="108">
        <f>ABS(AT$1-AT787)</f>
        <v/>
      </c>
      <c r="AI787" s="108">
        <f>ABS(AU$1-AU787)</f>
        <v/>
      </c>
      <c r="AJ787" s="108">
        <f>(AV787-Driver!$K$179)/(Driver!$L$179-Driver!$K$179)</f>
        <v/>
      </c>
      <c r="AK787" s="108">
        <f>(AW787-Driver!$K$180)/(Driver!$L$180-Driver!$K$180)</f>
        <v/>
      </c>
      <c r="AL787" s="108">
        <f>(AX787-Driver!$K$181)/(Driver!$L$181-Driver!$K$181)</f>
        <v/>
      </c>
      <c r="AM787" s="108">
        <f>(AY787-Driver!$K$182)/(Driver!$L$182-Driver!$K$182)</f>
        <v/>
      </c>
      <c r="AN787" s="108">
        <f>(AZ787-Driver!$K$183)/(Driver!$L$183-Driver!$K$183)</f>
        <v/>
      </c>
      <c r="AO787" s="108" t="n"/>
      <c r="AP787" s="108" t="n"/>
      <c r="AQ787" s="108">
        <f>(BC787-Driver!$K$188)/(Driver!$L$188-Driver!$K$188)</f>
        <v/>
      </c>
      <c r="AR787" s="108">
        <f>MIN((BD787-Driver!$K$189)/(Driver!$L$189-Driver!$K$189),100%)</f>
        <v/>
      </c>
      <c r="AS787" s="108">
        <f>(BE787-Driver!$K$190)/(Driver!$L$190-Driver!$K$190)</f>
        <v/>
      </c>
      <c r="AT787" s="108">
        <f>(BF787-Driver!$K$191)/(Driver!$L$191-Driver!$K$191)</f>
        <v/>
      </c>
      <c r="AU787" s="108">
        <f>(BG787-Driver!$K$192)/(Driver!$L$192-Driver!$K$192)</f>
        <v/>
      </c>
      <c r="AV787" s="105">
        <f>IFERROR(BM787*BJ787^1/4,"")</f>
        <v/>
      </c>
      <c r="AW787" s="105">
        <f>IFERROR(SUM(AX787:AZ787),"")</f>
        <v/>
      </c>
      <c r="AX787" s="105">
        <f>IFERROR(BH787,"")</f>
        <v/>
      </c>
      <c r="AY787" s="105">
        <f>IFERROR(Driver!$K$19/Data!BH787/Data!BI787*Data!BK787*Data!BL787,"")</f>
        <v/>
      </c>
      <c r="AZ787" s="105">
        <f>IFERROR(BI787*BN787,"")</f>
        <v/>
      </c>
      <c r="BA787" s="105" t="n"/>
      <c r="BB787" s="105" t="n"/>
      <c r="BC787" s="105">
        <f>IFERROR(BI787*BN787*BK787/BJ787^(1/2),"")</f>
        <v/>
      </c>
      <c r="BD787" s="105">
        <f>IFERROR(BH787*BM787*BL787/BJ787/BK787,"")</f>
        <v/>
      </c>
      <c r="BE787" s="105">
        <f>IFERROR(MIN(BI787/BQ787/BP787/BO787/BH787,$BE$1),"")</f>
        <v/>
      </c>
      <c r="BF787" s="105">
        <f>IFERROR(BJ787*BO787*BP787/BK787,"")</f>
        <v/>
      </c>
      <c r="BG787" s="105">
        <f>IFERROR(1/BM787/BH787*BQ787,"")</f>
        <v/>
      </c>
      <c r="BH787" s="102">
        <f>MAX((CE787-Driver!$F$200)/(Driver!$G$200-Driver!$F$200)*$BI$1,1)</f>
        <v/>
      </c>
      <c r="BI787" s="102">
        <f>MAX($BI$1*(BY787-Driver!$F$201)/(Driver!$G$201-Driver!$F$201),1)</f>
        <v/>
      </c>
      <c r="BJ787" s="102">
        <f>(CB787-Driver!$F$206)/(Driver!$G$206-Driver!$F$206)*$BI$1</f>
        <v/>
      </c>
      <c r="BK787" s="102">
        <f>(CD787-Driver!$F$203)/(Driver!$G$203-Driver!$F$203)*$BI$1</f>
        <v/>
      </c>
      <c r="BL787" s="102">
        <f>MAX((CR787-Driver!$F$202)/(Driver!$G$202-Driver!$F$202)*$BI$1,1)</f>
        <v/>
      </c>
      <c r="BM787" s="102">
        <f>MAX((CH787-Driver!$F$204)/(Driver!$G$204-Driver!$F$204)*$BI$1,1)</f>
        <v/>
      </c>
      <c r="BN787" s="102">
        <f>(CI787-Driver!$F$205)/(Driver!$G$205-Driver!$F$205)*$BI$1</f>
        <v/>
      </c>
      <c r="BO787" s="102">
        <f>(CK787-Driver!$F$207)/(Driver!$G$207-Driver!$F$207)*$BI$1</f>
        <v/>
      </c>
      <c r="BP787" s="102">
        <f>(CM787-Driver!$F$208)/(Driver!$G$208-Driver!$F$208)*$BI$1</f>
        <v/>
      </c>
      <c r="BQ787" s="102">
        <f>(CL787-Driver!$F$209)/(Driver!$G$209-Driver!$F$209)*$BI$1</f>
        <v/>
      </c>
      <c r="BR787" s="40" t="inlineStr">
        <is>
          <t>21/22</t>
        </is>
      </c>
      <c r="BS787" s="10" t="inlineStr">
        <is>
          <t xml:space="preserve"> K2</t>
        </is>
      </c>
      <c r="BT787" s="11" t="inlineStr">
        <is>
          <t>Talkback 96</t>
        </is>
      </c>
      <c r="BU787" s="13" t="n">
        <v>170</v>
      </c>
      <c r="BV787" s="11" t="inlineStr">
        <is>
          <t xml:space="preserve"> Women's</t>
        </is>
      </c>
      <c r="BW787" s="13" t="n">
        <v>170</v>
      </c>
      <c r="BX787" s="13" t="n">
        <v>169.7</v>
      </c>
      <c r="BY787" s="13" t="n">
        <v>124</v>
      </c>
      <c r="BZ787" s="13" t="n">
        <v>143</v>
      </c>
      <c r="CA787" s="13" t="n">
        <v>127</v>
      </c>
      <c r="CB787" s="13" t="n">
        <v>95</v>
      </c>
      <c r="CC787" s="13" t="n">
        <v>114</v>
      </c>
      <c r="CD787" s="13" t="n">
        <v>19.8</v>
      </c>
      <c r="CE787" s="13" t="n">
        <v>1305</v>
      </c>
      <c r="CF787" s="13" t="n">
        <v>1.36</v>
      </c>
      <c r="CG787" s="13" t="n">
        <v>1773</v>
      </c>
      <c r="CH787" s="13" t="n">
        <v>173</v>
      </c>
      <c r="CI787" s="13" t="n">
        <v>80</v>
      </c>
      <c r="CJ787" s="13" t="n">
        <v>49</v>
      </c>
      <c r="CK787" s="13" t="n">
        <v>295</v>
      </c>
      <c r="CL787" s="13" t="n">
        <v>8</v>
      </c>
      <c r="CM787" s="13" t="n">
        <v>164</v>
      </c>
      <c r="CN787" s="13" t="n">
        <v>0.162</v>
      </c>
      <c r="CO787" s="13" t="n">
        <v>161</v>
      </c>
      <c r="CP787" s="13" t="n">
        <v>109</v>
      </c>
      <c r="CQ787" s="13" t="n">
        <v>134</v>
      </c>
      <c r="CR787" s="13" t="n">
        <v>5</v>
      </c>
      <c r="CS787" s="13" t="n">
        <v>11.7</v>
      </c>
      <c r="CT787" s="11" t="inlineStr">
        <is>
          <t xml:space="preserve"> Touring</t>
        </is>
      </c>
      <c r="CU787" s="11" t="inlineStr">
        <is>
          <t xml:space="preserve"> Ultralight Touring</t>
        </is>
      </c>
      <c r="CV787" s="13" t="n"/>
      <c r="CW787" s="13" t="n"/>
      <c r="CX787">
        <f>INDEX('Data_Price '!AG$2:AG$1266,MATCH(Data!$DN787,'Data_Price '!$AT$2:$AT$1266,0))</f>
        <v/>
      </c>
      <c r="CY787">
        <f>INDEX('Data_Price '!AH$2:AH$1266,MATCH(Data!$DN787,'Data_Price '!$AT$2:$AT$1266,0))</f>
        <v/>
      </c>
      <c r="CZ787">
        <f>INDEX('Data_Price '!AI$2:AI$1266,MATCH(Data!$DN787,'Data_Price '!$AT$2:$AT$1266,0))</f>
        <v/>
      </c>
      <c r="DA787">
        <f>INDEX('Data_Price '!AJ$2:AJ$1266,MATCH(Data!$DN787,'Data_Price '!$AT$2:$AT$1266,0))</f>
        <v/>
      </c>
      <c r="DB787">
        <f>INDEX('Data_Price '!AK$2:AK$1266,MATCH(Data!$DN787,'Data_Price '!$AT$2:$AT$1266,0))</f>
        <v/>
      </c>
      <c r="DC787">
        <f>INDEX('Data_Price '!AL$2:AL$1266,MATCH(Data!$DN787,'Data_Price '!$AT$2:$AT$1266,0))</f>
        <v/>
      </c>
      <c r="DD787">
        <f>INDEX('Data_Price '!AM$2:AM$1266,MATCH(Data!$DN787,'Data_Price '!$AT$2:$AT$1266,0))</f>
        <v/>
      </c>
      <c r="DE787">
        <f>INDEX('Data_Price '!AN$2:AN$1266,MATCH(Data!$DN787,'Data_Price '!$AT$2:$AT$1266,0))</f>
        <v/>
      </c>
      <c r="DF787">
        <f>INDEX('Data_Price '!AO$2:AO$1266,MATCH(Data!$DN787,'Data_Price '!$AT$2:$AT$1266,0))</f>
        <v/>
      </c>
      <c r="DG787">
        <f>INDEX('Data_Price '!AP$2:AP$1266,MATCH(Data!$DN787,'Data_Price '!$AT$2:$AT$1266,0))</f>
        <v/>
      </c>
      <c r="DH787">
        <f>INDEX('Data_Price '!AQ$2:AQ$1266,MATCH(Data!$DN787,'Data_Price '!$AT$2:$AT$1266,0))</f>
        <v/>
      </c>
      <c r="DI787">
        <f>INDEX('Data_Price '!AR$2:AR$1266,MATCH(Data!$DN787,'Data_Price '!$AT$2:$AT$1266,0))</f>
        <v/>
      </c>
      <c r="DJ787" s="138">
        <f>DA787</f>
        <v/>
      </c>
      <c r="DK787" s="138">
        <f>DE787</f>
        <v/>
      </c>
      <c r="DL787" s="138">
        <f>DI787</f>
        <v/>
      </c>
      <c r="DM787" s="303">
        <f>IF(LEFT(BT787,1)=" ",RIGHT(BT787,LEN(BT787)-1),BT787)</f>
        <v/>
      </c>
      <c r="DN787" s="138">
        <f>_xlfn.CONCAT(BS787,DM787,BU787,BV787)</f>
        <v/>
      </c>
      <c r="DO787" s="307" t="inlineStr">
        <is>
          <t>https://images.evo.com/imgp/250/192583/886393/k2-talkback-96-skis-women-s-2022-.jpg</t>
        </is>
      </c>
    </row>
    <row r="788" ht="15.6" customHeight="1" s="184">
      <c r="B788" s="303">
        <f t="array" ref="B788">IF(OR(ISERROR(K788:P788)),FALSE,TRUE)</f>
        <v/>
      </c>
      <c r="C788" s="60">
        <f>OR(BR788=Driver!$G$50,Data!BR425=Driver!$H$50)</f>
        <v/>
      </c>
      <c r="D788" s="60">
        <f>OR(BV788=Driver!$G$51,BV788=Driver!$H$51)</f>
        <v/>
      </c>
      <c r="E788" s="60">
        <f>AND(BX788&gt;Driver!$F$54,BX788&lt;Driver!$G$54)</f>
        <v/>
      </c>
      <c r="F788" s="60">
        <f>CL788&gt;Driver!$F$56</f>
        <v/>
      </c>
      <c r="G788" s="60">
        <f>AND(CB788&gt;Driver!$F$55,CB788&lt;Driver!$G$55)</f>
        <v/>
      </c>
      <c r="H788" s="60">
        <f>AND(B788:G788)</f>
        <v/>
      </c>
      <c r="I788" s="60">
        <f>COUNTIFS($H$9:$H$1273,TRUE,$BT$9:$BT$1273,BT788)</f>
        <v/>
      </c>
      <c r="J788" s="60">
        <f t="array" ref="J788">NOT(OR(($H$9:$H$1273=TRUE)*($I$9:$I$1273&gt;0)*($BT$9:$BT$1273=BT788)*($K$9:$K$1273&gt;K788)))</f>
        <v/>
      </c>
      <c r="K788" s="108">
        <f>IFERROR(1-AVERAGE(X788:Y788),"")</f>
        <v/>
      </c>
      <c r="L788" s="108">
        <f>1-X788</f>
        <v/>
      </c>
      <c r="M788" s="108">
        <f>1-Y788</f>
        <v/>
      </c>
      <c r="N788" s="108">
        <f>1-Z788</f>
        <v/>
      </c>
      <c r="O788" s="108">
        <f>1-AA788</f>
        <v/>
      </c>
      <c r="P788" s="108">
        <f>1-AB788</f>
        <v/>
      </c>
      <c r="Q788" s="108" t="n"/>
      <c r="R788" s="108" t="n"/>
      <c r="S788" s="108">
        <f>1-AE788</f>
        <v/>
      </c>
      <c r="T788" s="108">
        <f>1-AF788</f>
        <v/>
      </c>
      <c r="U788" s="108">
        <f>1-AG788</f>
        <v/>
      </c>
      <c r="V788" s="108">
        <f>1-AH788</f>
        <v/>
      </c>
      <c r="W788" s="108">
        <f>1-AI788</f>
        <v/>
      </c>
      <c r="X788" s="108">
        <f>ABS(AJ788-AJ$1)</f>
        <v/>
      </c>
      <c r="Y788" s="108">
        <f>AVERAGE(Z788:AB788)</f>
        <v/>
      </c>
      <c r="Z788" s="108">
        <f>ABS(AL788-AL$1)</f>
        <v/>
      </c>
      <c r="AA788" s="108">
        <f>ABS(AM788-AM$1)</f>
        <v/>
      </c>
      <c r="AB788" s="108">
        <f>ABS(AN788-AN$1)</f>
        <v/>
      </c>
      <c r="AC788" s="108" t="n"/>
      <c r="AD788" s="108" t="n"/>
      <c r="AE788" s="108">
        <f>ABS(AQ$1-AQ788)</f>
        <v/>
      </c>
      <c r="AF788" s="108">
        <f>ABS(AR$1-AR788)</f>
        <v/>
      </c>
      <c r="AG788" s="108">
        <f>ABS(AS$1-AS788)</f>
        <v/>
      </c>
      <c r="AH788" s="108">
        <f>ABS(AT$1-AT788)</f>
        <v/>
      </c>
      <c r="AI788" s="108">
        <f>ABS(AU$1-AU788)</f>
        <v/>
      </c>
      <c r="AJ788" s="108">
        <f>(AV788-Driver!$K$179)/(Driver!$L$179-Driver!$K$179)</f>
        <v/>
      </c>
      <c r="AK788" s="108">
        <f>(AW788-Driver!$K$180)/(Driver!$L$180-Driver!$K$180)</f>
        <v/>
      </c>
      <c r="AL788" s="108">
        <f>(AX788-Driver!$K$181)/(Driver!$L$181-Driver!$K$181)</f>
        <v/>
      </c>
      <c r="AM788" s="108">
        <f>(AY788-Driver!$K$182)/(Driver!$L$182-Driver!$K$182)</f>
        <v/>
      </c>
      <c r="AN788" s="108">
        <f>(AZ788-Driver!$K$183)/(Driver!$L$183-Driver!$K$183)</f>
        <v/>
      </c>
      <c r="AO788" s="108" t="n"/>
      <c r="AP788" s="108" t="n"/>
      <c r="AQ788" s="108">
        <f>(BC788-Driver!$K$188)/(Driver!$L$188-Driver!$K$188)</f>
        <v/>
      </c>
      <c r="AR788" s="108">
        <f>MIN((BD788-Driver!$K$189)/(Driver!$L$189-Driver!$K$189),100%)</f>
        <v/>
      </c>
      <c r="AS788" s="108">
        <f>(BE788-Driver!$K$190)/(Driver!$L$190-Driver!$K$190)</f>
        <v/>
      </c>
      <c r="AT788" s="108">
        <f>(BF788-Driver!$K$191)/(Driver!$L$191-Driver!$K$191)</f>
        <v/>
      </c>
      <c r="AU788" s="108">
        <f>(BG788-Driver!$K$192)/(Driver!$L$192-Driver!$K$192)</f>
        <v/>
      </c>
      <c r="AV788" s="105">
        <f>IFERROR(BM788*BJ788^1/4,"")</f>
        <v/>
      </c>
      <c r="AW788" s="105">
        <f>IFERROR(SUM(AX788:AZ788),"")</f>
        <v/>
      </c>
      <c r="AX788" s="105">
        <f>IFERROR(BH788,"")</f>
        <v/>
      </c>
      <c r="AY788" s="105">
        <f>IFERROR(Driver!$K$19/Data!BH788/Data!BI788*Data!BK788*Data!BL788,"")</f>
        <v/>
      </c>
      <c r="AZ788" s="105">
        <f>IFERROR(BI788*BN788,"")</f>
        <v/>
      </c>
      <c r="BA788" s="105" t="n"/>
      <c r="BB788" s="105" t="n"/>
      <c r="BC788" s="105">
        <f>IFERROR(BI788*BN788*BK788/BJ788^(1/2),"")</f>
        <v/>
      </c>
      <c r="BD788" s="105">
        <f>IFERROR(BH788*BM788*BL788/BJ788/BK788,"")</f>
        <v/>
      </c>
      <c r="BE788" s="105">
        <f>IFERROR(MIN(BI788/BQ788/BP788/BO788/BH788,$BE$1),"")</f>
        <v/>
      </c>
      <c r="BF788" s="105">
        <f>IFERROR(BJ788*BO788*BP788/BK788,"")</f>
        <v/>
      </c>
      <c r="BG788" s="105">
        <f>IFERROR(1/BM788/BH788*BQ788,"")</f>
        <v/>
      </c>
      <c r="BH788" s="102">
        <f>MAX((CE788-Driver!$F$200)/(Driver!$G$200-Driver!$F$200)*$BI$1,1)</f>
        <v/>
      </c>
      <c r="BI788" s="102">
        <f>MAX($BI$1*(BY788-Driver!$F$201)/(Driver!$G$201-Driver!$F$201),1)</f>
        <v/>
      </c>
      <c r="BJ788" s="102">
        <f>(CB788-Driver!$F$206)/(Driver!$G$206-Driver!$F$206)*$BI$1</f>
        <v/>
      </c>
      <c r="BK788" s="102">
        <f>(CD788-Driver!$F$203)/(Driver!$G$203-Driver!$F$203)*$BI$1</f>
        <v/>
      </c>
      <c r="BL788" s="102">
        <f>MAX((CR788-Driver!$F$202)/(Driver!$G$202-Driver!$F$202)*$BI$1,1)</f>
        <v/>
      </c>
      <c r="BM788" s="102">
        <f>MAX((CH788-Driver!$F$204)/(Driver!$G$204-Driver!$F$204)*$BI$1,1)</f>
        <v/>
      </c>
      <c r="BN788" s="102">
        <f>(CI788-Driver!$F$205)/(Driver!$G$205-Driver!$F$205)*$BI$1</f>
        <v/>
      </c>
      <c r="BO788" s="102">
        <f>(CK788-Driver!$F$207)/(Driver!$G$207-Driver!$F$207)*$BI$1</f>
        <v/>
      </c>
      <c r="BP788" s="102">
        <f>(CM788-Driver!$F$208)/(Driver!$G$208-Driver!$F$208)*$BI$1</f>
        <v/>
      </c>
      <c r="BQ788" s="102">
        <f>(CL788-Driver!$F$209)/(Driver!$G$209-Driver!$F$209)*$BI$1</f>
        <v/>
      </c>
      <c r="BR788" s="40" t="inlineStr">
        <is>
          <t>21/22</t>
        </is>
      </c>
      <c r="BS788" s="10" t="inlineStr">
        <is>
          <t xml:space="preserve"> Elan</t>
        </is>
      </c>
      <c r="BT788" s="11" t="inlineStr">
        <is>
          <t>Amphibio 14 Ti</t>
        </is>
      </c>
      <c r="BU788" s="13" t="n">
        <v>160</v>
      </c>
      <c r="BV788" s="11" t="inlineStr">
        <is>
          <t xml:space="preserve"> Unisex</t>
        </is>
      </c>
      <c r="BW788" s="13" t="n">
        <v>160</v>
      </c>
      <c r="BX788" s="13" t="n">
        <v>159.1</v>
      </c>
      <c r="BY788" s="13" t="n">
        <v>138</v>
      </c>
      <c r="BZ788" s="13" t="n">
        <v>143</v>
      </c>
      <c r="CA788" s="13" t="n">
        <v>125</v>
      </c>
      <c r="CB788" s="13" t="n">
        <v>76</v>
      </c>
      <c r="CC788" s="13" t="n">
        <v>104</v>
      </c>
      <c r="CD788" s="13" t="n">
        <v>13.2</v>
      </c>
      <c r="CE788" s="13" t="n">
        <v>1926</v>
      </c>
      <c r="CF788" s="13" t="n">
        <v>0.75</v>
      </c>
      <c r="CG788" s="13" t="n">
        <v>1448</v>
      </c>
      <c r="CH788" s="13" t="n">
        <v>176</v>
      </c>
      <c r="CI788" s="13" t="n">
        <v>79</v>
      </c>
      <c r="CJ788" s="13" t="n">
        <v>32</v>
      </c>
      <c r="CK788" s="13" t="n">
        <v>140</v>
      </c>
      <c r="CL788" s="13" t="n">
        <v>10</v>
      </c>
      <c r="CM788" s="13" t="n">
        <v>69</v>
      </c>
      <c r="CN788" s="13" t="n">
        <v>0.307</v>
      </c>
      <c r="CO788" s="13" t="n">
        <v>98</v>
      </c>
      <c r="CP788" s="13" t="n">
        <v>61</v>
      </c>
      <c r="CQ788" s="13" t="n">
        <v>42</v>
      </c>
      <c r="CR788" s="13" t="n">
        <v>11</v>
      </c>
      <c r="CS788" s="13" t="n">
        <v>9.5</v>
      </c>
      <c r="CT788" s="11" t="inlineStr">
        <is>
          <t xml:space="preserve"> On-Piste Carving</t>
        </is>
      </c>
      <c r="CU788" s="11" t="inlineStr">
        <is>
          <t xml:space="preserve"> On-Piste All-Mountain</t>
        </is>
      </c>
      <c r="CV788" s="13" t="n"/>
      <c r="CW788" s="13" t="n"/>
      <c r="CX788">
        <f>INDEX('Data_Price '!AG$2:AG$1266,MATCH(Data!$DN788,'Data_Price '!$AT$2:$AT$1266,0))</f>
        <v/>
      </c>
      <c r="CY788">
        <f>INDEX('Data_Price '!AH$2:AH$1266,MATCH(Data!$DN788,'Data_Price '!$AT$2:$AT$1266,0))</f>
        <v/>
      </c>
      <c r="CZ788">
        <f>INDEX('Data_Price '!AI$2:AI$1266,MATCH(Data!$DN788,'Data_Price '!$AT$2:$AT$1266,0))</f>
        <v/>
      </c>
      <c r="DA788">
        <f>INDEX('Data_Price '!AJ$2:AJ$1266,MATCH(Data!$DN788,'Data_Price '!$AT$2:$AT$1266,0))</f>
        <v/>
      </c>
      <c r="DB788">
        <f>INDEX('Data_Price '!AK$2:AK$1266,MATCH(Data!$DN788,'Data_Price '!$AT$2:$AT$1266,0))</f>
        <v/>
      </c>
      <c r="DC788">
        <f>INDEX('Data_Price '!AL$2:AL$1266,MATCH(Data!$DN788,'Data_Price '!$AT$2:$AT$1266,0))</f>
        <v/>
      </c>
      <c r="DD788">
        <f>INDEX('Data_Price '!AM$2:AM$1266,MATCH(Data!$DN788,'Data_Price '!$AT$2:$AT$1266,0))</f>
        <v/>
      </c>
      <c r="DE788">
        <f>INDEX('Data_Price '!AN$2:AN$1266,MATCH(Data!$DN788,'Data_Price '!$AT$2:$AT$1266,0))</f>
        <v/>
      </c>
      <c r="DF788">
        <f>INDEX('Data_Price '!AO$2:AO$1266,MATCH(Data!$DN788,'Data_Price '!$AT$2:$AT$1266,0))</f>
        <v/>
      </c>
      <c r="DG788">
        <f>INDEX('Data_Price '!AP$2:AP$1266,MATCH(Data!$DN788,'Data_Price '!$AT$2:$AT$1266,0))</f>
        <v/>
      </c>
      <c r="DH788">
        <f>INDEX('Data_Price '!AQ$2:AQ$1266,MATCH(Data!$DN788,'Data_Price '!$AT$2:$AT$1266,0))</f>
        <v/>
      </c>
      <c r="DI788">
        <f>INDEX('Data_Price '!AR$2:AR$1266,MATCH(Data!$DN788,'Data_Price '!$AT$2:$AT$1266,0))</f>
        <v/>
      </c>
      <c r="DJ788" s="138">
        <f>DA788</f>
        <v/>
      </c>
      <c r="DK788" s="138">
        <f>DE788</f>
        <v/>
      </c>
      <c r="DL788" s="138">
        <f>DI788</f>
        <v/>
      </c>
      <c r="DM788" s="303">
        <f>IF(LEFT(BT788,1)=" ",RIGHT(BT788,LEN(BT788)-1),BT788)</f>
        <v/>
      </c>
      <c r="DN788" s="138">
        <f>_xlfn.CONCAT(BS788,DM788,BU788,BV788)</f>
        <v/>
      </c>
      <c r="DO788" s="307" t="n"/>
    </row>
    <row r="789" ht="15.6" customHeight="1" s="184">
      <c r="B789" s="303">
        <f t="array" ref="B789">IF(OR(ISERROR(K789:P789)),FALSE,TRUE)</f>
        <v/>
      </c>
      <c r="C789" s="60">
        <f>OR(BR789=Driver!$G$50,Data!BR182=Driver!$H$50)</f>
        <v/>
      </c>
      <c r="D789" s="60">
        <f>OR(BV789=Driver!$G$51,BV789=Driver!$H$51)</f>
        <v/>
      </c>
      <c r="E789" s="60">
        <f>AND(BX789&gt;Driver!$F$54,BX789&lt;Driver!$G$54)</f>
        <v/>
      </c>
      <c r="F789" s="60">
        <f>CL789&gt;Driver!$F$56</f>
        <v/>
      </c>
      <c r="G789" s="60">
        <f>AND(CB789&gt;Driver!$F$55,CB789&lt;Driver!$G$55)</f>
        <v/>
      </c>
      <c r="H789" s="60">
        <f>AND(B789:G789)</f>
        <v/>
      </c>
      <c r="I789" s="60">
        <f>COUNTIFS($H$9:$H$1273,TRUE,$BT$9:$BT$1273,BT789)</f>
        <v/>
      </c>
      <c r="J789" s="60">
        <f t="array" ref="J789">NOT(OR(($H$9:$H$1273=TRUE)*($I$9:$I$1273&gt;0)*($BT$9:$BT$1273=BT789)*($K$9:$K$1273&gt;K789)))</f>
        <v/>
      </c>
      <c r="K789" s="108">
        <f>IFERROR(1-AVERAGE(X789:Y789),"")</f>
        <v/>
      </c>
      <c r="L789" s="108">
        <f>1-X789</f>
        <v/>
      </c>
      <c r="M789" s="108">
        <f>1-Y789</f>
        <v/>
      </c>
      <c r="N789" s="108">
        <f>1-Z789</f>
        <v/>
      </c>
      <c r="O789" s="108">
        <f>1-AA789</f>
        <v/>
      </c>
      <c r="P789" s="108">
        <f>1-AB789</f>
        <v/>
      </c>
      <c r="Q789" s="108" t="n"/>
      <c r="R789" s="108" t="n"/>
      <c r="S789" s="108">
        <f>1-AE789</f>
        <v/>
      </c>
      <c r="T789" s="108">
        <f>1-AF789</f>
        <v/>
      </c>
      <c r="U789" s="108">
        <f>1-AG789</f>
        <v/>
      </c>
      <c r="V789" s="108">
        <f>1-AH789</f>
        <v/>
      </c>
      <c r="W789" s="108">
        <f>1-AI789</f>
        <v/>
      </c>
      <c r="X789" s="108">
        <f>ABS(AJ789-AJ$1)</f>
        <v/>
      </c>
      <c r="Y789" s="108">
        <f>AVERAGE(Z789:AB789)</f>
        <v/>
      </c>
      <c r="Z789" s="108">
        <f>ABS(AL789-AL$1)</f>
        <v/>
      </c>
      <c r="AA789" s="108">
        <f>ABS(AM789-AM$1)</f>
        <v/>
      </c>
      <c r="AB789" s="108">
        <f>ABS(AN789-AN$1)</f>
        <v/>
      </c>
      <c r="AC789" s="108" t="n"/>
      <c r="AD789" s="108" t="n"/>
      <c r="AE789" s="108">
        <f>ABS(AQ$1-AQ789)</f>
        <v/>
      </c>
      <c r="AF789" s="108">
        <f>ABS(AR$1-AR789)</f>
        <v/>
      </c>
      <c r="AG789" s="108">
        <f>ABS(AS$1-AS789)</f>
        <v/>
      </c>
      <c r="AH789" s="108">
        <f>ABS(AT$1-AT789)</f>
        <v/>
      </c>
      <c r="AI789" s="108">
        <f>ABS(AU$1-AU789)</f>
        <v/>
      </c>
      <c r="AJ789" s="108">
        <f>(AV789-Driver!$K$179)/(Driver!$L$179-Driver!$K$179)</f>
        <v/>
      </c>
      <c r="AK789" s="108">
        <f>(AW789-Driver!$K$180)/(Driver!$L$180-Driver!$K$180)</f>
        <v/>
      </c>
      <c r="AL789" s="108">
        <f>(AX789-Driver!$K$181)/(Driver!$L$181-Driver!$K$181)</f>
        <v/>
      </c>
      <c r="AM789" s="108">
        <f>(AY789-Driver!$K$182)/(Driver!$L$182-Driver!$K$182)</f>
        <v/>
      </c>
      <c r="AN789" s="108">
        <f>(AZ789-Driver!$K$183)/(Driver!$L$183-Driver!$K$183)</f>
        <v/>
      </c>
      <c r="AO789" s="108" t="n"/>
      <c r="AP789" s="108" t="n"/>
      <c r="AQ789" s="108">
        <f>(BC789-Driver!$K$188)/(Driver!$L$188-Driver!$K$188)</f>
        <v/>
      </c>
      <c r="AR789" s="108">
        <f>MIN((BD789-Driver!$K$189)/(Driver!$L$189-Driver!$K$189),100%)</f>
        <v/>
      </c>
      <c r="AS789" s="108">
        <f>(BE789-Driver!$K$190)/(Driver!$L$190-Driver!$K$190)</f>
        <v/>
      </c>
      <c r="AT789" s="108">
        <f>(BF789-Driver!$K$191)/(Driver!$L$191-Driver!$K$191)</f>
        <v/>
      </c>
      <c r="AU789" s="108">
        <f>(BG789-Driver!$K$192)/(Driver!$L$192-Driver!$K$192)</f>
        <v/>
      </c>
      <c r="AV789" s="105">
        <f>IFERROR(BM789*BJ789^1/4,"")</f>
        <v/>
      </c>
      <c r="AW789" s="105">
        <f>IFERROR(SUM(AX789:AZ789),"")</f>
        <v/>
      </c>
      <c r="AX789" s="105">
        <f>IFERROR(BH789,"")</f>
        <v/>
      </c>
      <c r="AY789" s="105">
        <f>IFERROR(Driver!$K$19/Data!BH789/Data!BI789*Data!BK789*Data!BL789,"")</f>
        <v/>
      </c>
      <c r="AZ789" s="105">
        <f>IFERROR(BI789*BN789,"")</f>
        <v/>
      </c>
      <c r="BA789" s="105" t="n"/>
      <c r="BB789" s="105" t="n"/>
      <c r="BC789" s="105">
        <f>IFERROR(BI789*BN789*BK789/BJ789^(1/2),"")</f>
        <v/>
      </c>
      <c r="BD789" s="105">
        <f>IFERROR(BH789*BM789*BL789/BJ789/BK789,"")</f>
        <v/>
      </c>
      <c r="BE789" s="105">
        <f>IFERROR(MIN(BI789/BQ789/BP789/BO789/BH789,$BE$1),"")</f>
        <v/>
      </c>
      <c r="BF789" s="105">
        <f>IFERROR(BJ789*BO789*BP789/BK789,"")</f>
        <v/>
      </c>
      <c r="BG789" s="105">
        <f>IFERROR(1/BM789/BH789*BQ789,"")</f>
        <v/>
      </c>
      <c r="BH789" s="102">
        <f>MAX((CE789-Driver!$F$200)/(Driver!$G$200-Driver!$F$200)*$BI$1,1)</f>
        <v/>
      </c>
      <c r="BI789" s="102">
        <f>MAX($BI$1*(BY789-Driver!$F$201)/(Driver!$G$201-Driver!$F$201),1)</f>
        <v/>
      </c>
      <c r="BJ789" s="102">
        <f>(CB789-Driver!$F$206)/(Driver!$G$206-Driver!$F$206)*$BI$1</f>
        <v/>
      </c>
      <c r="BK789" s="102">
        <f>(CD789-Driver!$F$203)/(Driver!$G$203-Driver!$F$203)*$BI$1</f>
        <v/>
      </c>
      <c r="BL789" s="102">
        <f>MAX((CR789-Driver!$F$202)/(Driver!$G$202-Driver!$F$202)*$BI$1,1)</f>
        <v/>
      </c>
      <c r="BM789" s="102">
        <f>MAX((CH789-Driver!$F$204)/(Driver!$G$204-Driver!$F$204)*$BI$1,1)</f>
        <v/>
      </c>
      <c r="BN789" s="102">
        <f>(CI789-Driver!$F$205)/(Driver!$G$205-Driver!$F$205)*$BI$1</f>
        <v/>
      </c>
      <c r="BO789" s="102">
        <f>(CK789-Driver!$F$207)/(Driver!$G$207-Driver!$F$207)*$BI$1</f>
        <v/>
      </c>
      <c r="BP789" s="102">
        <f>(CM789-Driver!$F$208)/(Driver!$G$208-Driver!$F$208)*$BI$1</f>
        <v/>
      </c>
      <c r="BQ789" s="102">
        <f>(CL789-Driver!$F$209)/(Driver!$G$209-Driver!$F$209)*$BI$1</f>
        <v/>
      </c>
      <c r="BR789" s="40" t="inlineStr">
        <is>
          <t>21/22</t>
        </is>
      </c>
      <c r="BS789" s="10" t="inlineStr">
        <is>
          <t xml:space="preserve"> Atomic</t>
        </is>
      </c>
      <c r="BT789" s="11" t="inlineStr">
        <is>
          <t>Redster X5</t>
        </is>
      </c>
      <c r="BU789" s="13" t="n">
        <v>168</v>
      </c>
      <c r="BV789" s="11" t="inlineStr">
        <is>
          <t xml:space="preserve"> Unisex</t>
        </is>
      </c>
      <c r="BW789" s="13" t="n">
        <v>168</v>
      </c>
      <c r="BX789" s="13" t="n">
        <v>167.3</v>
      </c>
      <c r="BY789" s="13" t="n">
        <v>149</v>
      </c>
      <c r="BZ789" s="13" t="n">
        <v>153</v>
      </c>
      <c r="CA789" s="13" t="n">
        <v>119</v>
      </c>
      <c r="CB789" s="13" t="n">
        <v>70</v>
      </c>
      <c r="CC789" s="13" t="n">
        <v>102</v>
      </c>
      <c r="CD789" s="13" t="n">
        <v>14.1</v>
      </c>
      <c r="CE789" s="13" t="n">
        <v>1854</v>
      </c>
      <c r="CF789" s="13" t="n">
        <v>0.77</v>
      </c>
      <c r="CG789" s="13" t="n">
        <v>1428</v>
      </c>
      <c r="CH789" s="13" t="n">
        <v>211</v>
      </c>
      <c r="CI789" s="13" t="n">
        <v>105</v>
      </c>
      <c r="CJ789" s="13" t="n">
        <v>34</v>
      </c>
      <c r="CK789" s="13" t="n">
        <v>139</v>
      </c>
      <c r="CL789" s="13" t="n">
        <v>3</v>
      </c>
      <c r="CM789" s="13" t="n">
        <v>47</v>
      </c>
      <c r="CN789" s="13" t="n">
        <v>0.095</v>
      </c>
      <c r="CO789" s="13" t="n">
        <v>88</v>
      </c>
      <c r="CP789" s="13" t="n">
        <v>57</v>
      </c>
      <c r="CQ789" s="13" t="n">
        <v>51</v>
      </c>
      <c r="CR789" s="13" t="n">
        <v>12</v>
      </c>
      <c r="CS789" s="13" t="n">
        <v>13.1</v>
      </c>
      <c r="CT789" s="11" t="inlineStr">
        <is>
          <t xml:space="preserve"> On-Piste Carving</t>
        </is>
      </c>
      <c r="CU789" s="13" t="n"/>
      <c r="CV789" s="13" t="n"/>
      <c r="CW789" s="13" t="n"/>
      <c r="CX789">
        <f>INDEX('Data_Price '!AG$2:AG$1266,MATCH(Data!$DN789,'Data_Price '!$AT$2:$AT$1266,0))</f>
        <v/>
      </c>
      <c r="CY789">
        <f>INDEX('Data_Price '!AH$2:AH$1266,MATCH(Data!$DN789,'Data_Price '!$AT$2:$AT$1266,0))</f>
        <v/>
      </c>
      <c r="CZ789">
        <f>INDEX('Data_Price '!AI$2:AI$1266,MATCH(Data!$DN789,'Data_Price '!$AT$2:$AT$1266,0))</f>
        <v/>
      </c>
      <c r="DA789">
        <f>INDEX('Data_Price '!AJ$2:AJ$1266,MATCH(Data!$DN789,'Data_Price '!$AT$2:$AT$1266,0))</f>
        <v/>
      </c>
      <c r="DB789">
        <f>INDEX('Data_Price '!AK$2:AK$1266,MATCH(Data!$DN789,'Data_Price '!$AT$2:$AT$1266,0))</f>
        <v/>
      </c>
      <c r="DC789">
        <f>INDEX('Data_Price '!AL$2:AL$1266,MATCH(Data!$DN789,'Data_Price '!$AT$2:$AT$1266,0))</f>
        <v/>
      </c>
      <c r="DD789">
        <f>INDEX('Data_Price '!AM$2:AM$1266,MATCH(Data!$DN789,'Data_Price '!$AT$2:$AT$1266,0))</f>
        <v/>
      </c>
      <c r="DE789">
        <f>INDEX('Data_Price '!AN$2:AN$1266,MATCH(Data!$DN789,'Data_Price '!$AT$2:$AT$1266,0))</f>
        <v/>
      </c>
      <c r="DF789">
        <f>INDEX('Data_Price '!AO$2:AO$1266,MATCH(Data!$DN789,'Data_Price '!$AT$2:$AT$1266,0))</f>
        <v/>
      </c>
      <c r="DG789">
        <f>INDEX('Data_Price '!AP$2:AP$1266,MATCH(Data!$DN789,'Data_Price '!$AT$2:$AT$1266,0))</f>
        <v/>
      </c>
      <c r="DH789">
        <f>INDEX('Data_Price '!AQ$2:AQ$1266,MATCH(Data!$DN789,'Data_Price '!$AT$2:$AT$1266,0))</f>
        <v/>
      </c>
      <c r="DI789">
        <f>INDEX('Data_Price '!AR$2:AR$1266,MATCH(Data!$DN789,'Data_Price '!$AT$2:$AT$1266,0))</f>
        <v/>
      </c>
      <c r="DJ789" s="138">
        <f>DA789</f>
        <v/>
      </c>
      <c r="DK789" s="138">
        <f>DE789</f>
        <v/>
      </c>
      <c r="DL789" s="138">
        <f>DI789</f>
        <v/>
      </c>
      <c r="DM789" s="303">
        <f>IF(LEFT(BT789,1)=" ",RIGHT(BT789,LEN(BT789)-1),BT789)</f>
        <v/>
      </c>
      <c r="DN789" s="138">
        <f>_xlfn.CONCAT(BS789,DM789,BU789,BV789)</f>
        <v/>
      </c>
      <c r="DO789" s="307" t="n"/>
    </row>
    <row r="790" ht="15.6" customHeight="1" s="184">
      <c r="B790" s="303">
        <f t="array" ref="B790">IF(OR(ISERROR(K790:P790)),FALSE,TRUE)</f>
        <v/>
      </c>
      <c r="C790" s="60">
        <f>OR(BR790=Driver!$G$50,Data!BR634=Driver!$H$50)</f>
        <v/>
      </c>
      <c r="D790" s="60">
        <f>OR(BV790=Driver!$G$51,BV790=Driver!$H$51)</f>
        <v/>
      </c>
      <c r="E790" s="60">
        <f>AND(BX790&gt;Driver!$F$54,BX790&lt;Driver!$G$54)</f>
        <v/>
      </c>
      <c r="F790" s="60">
        <f>CL790&gt;Driver!$F$56</f>
        <v/>
      </c>
      <c r="G790" s="60">
        <f>AND(CB790&gt;Driver!$F$55,CB790&lt;Driver!$G$55)</f>
        <v/>
      </c>
      <c r="H790" s="60">
        <f>AND(B790:G790)</f>
        <v/>
      </c>
      <c r="I790" s="60">
        <f>COUNTIFS($H$9:$H$1273,TRUE,$BT$9:$BT$1273,BT790)</f>
        <v/>
      </c>
      <c r="J790" s="60">
        <f t="array" ref="J790">NOT(OR(($H$9:$H$1273=TRUE)*($I$9:$I$1273&gt;0)*($BT$9:$BT$1273=BT790)*($K$9:$K$1273&gt;K790)))</f>
        <v/>
      </c>
      <c r="K790" s="108">
        <f>IFERROR(1-AVERAGE(X790:Y790),"")</f>
        <v/>
      </c>
      <c r="L790" s="108">
        <f>1-X790</f>
        <v/>
      </c>
      <c r="M790" s="108">
        <f>1-Y790</f>
        <v/>
      </c>
      <c r="N790" s="108">
        <f>1-Z790</f>
        <v/>
      </c>
      <c r="O790" s="108">
        <f>1-AA790</f>
        <v/>
      </c>
      <c r="P790" s="108">
        <f>1-AB790</f>
        <v/>
      </c>
      <c r="Q790" s="108" t="n"/>
      <c r="R790" s="108" t="n"/>
      <c r="S790" s="108">
        <f>1-AE790</f>
        <v/>
      </c>
      <c r="T790" s="108">
        <f>1-AF790</f>
        <v/>
      </c>
      <c r="U790" s="108">
        <f>1-AG790</f>
        <v/>
      </c>
      <c r="V790" s="108">
        <f>1-AH790</f>
        <v/>
      </c>
      <c r="W790" s="108">
        <f>1-AI790</f>
        <v/>
      </c>
      <c r="X790" s="108">
        <f>ABS(AJ790-AJ$1)</f>
        <v/>
      </c>
      <c r="Y790" s="108">
        <f>AVERAGE(Z790:AB790)</f>
        <v/>
      </c>
      <c r="Z790" s="108">
        <f>ABS(AL790-AL$1)</f>
        <v/>
      </c>
      <c r="AA790" s="108">
        <f>ABS(AM790-AM$1)</f>
        <v/>
      </c>
      <c r="AB790" s="108">
        <f>ABS(AN790-AN$1)</f>
        <v/>
      </c>
      <c r="AC790" s="108" t="n"/>
      <c r="AD790" s="108" t="n"/>
      <c r="AE790" s="108">
        <f>ABS(AQ$1-AQ790)</f>
        <v/>
      </c>
      <c r="AF790" s="108">
        <f>ABS(AR$1-AR790)</f>
        <v/>
      </c>
      <c r="AG790" s="108">
        <f>ABS(AS$1-AS790)</f>
        <v/>
      </c>
      <c r="AH790" s="108">
        <f>ABS(AT$1-AT790)</f>
        <v/>
      </c>
      <c r="AI790" s="108">
        <f>ABS(AU$1-AU790)</f>
        <v/>
      </c>
      <c r="AJ790" s="108">
        <f>(AV790-Driver!$K$179)/(Driver!$L$179-Driver!$K$179)</f>
        <v/>
      </c>
      <c r="AK790" s="108">
        <f>(AW790-Driver!$K$180)/(Driver!$L$180-Driver!$K$180)</f>
        <v/>
      </c>
      <c r="AL790" s="108">
        <f>(AX790-Driver!$K$181)/(Driver!$L$181-Driver!$K$181)</f>
        <v/>
      </c>
      <c r="AM790" s="108">
        <f>(AY790-Driver!$K$182)/(Driver!$L$182-Driver!$K$182)</f>
        <v/>
      </c>
      <c r="AN790" s="108">
        <f>(AZ790-Driver!$K$183)/(Driver!$L$183-Driver!$K$183)</f>
        <v/>
      </c>
      <c r="AO790" s="108" t="n"/>
      <c r="AP790" s="108" t="n"/>
      <c r="AQ790" s="108">
        <f>(BC790-Driver!$K$188)/(Driver!$L$188-Driver!$K$188)</f>
        <v/>
      </c>
      <c r="AR790" s="108">
        <f>MIN((BD790-Driver!$K$189)/(Driver!$L$189-Driver!$K$189),100%)</f>
        <v/>
      </c>
      <c r="AS790" s="108">
        <f>(BE790-Driver!$K$190)/(Driver!$L$190-Driver!$K$190)</f>
        <v/>
      </c>
      <c r="AT790" s="108">
        <f>(BF790-Driver!$K$191)/(Driver!$L$191-Driver!$K$191)</f>
        <v/>
      </c>
      <c r="AU790" s="108">
        <f>(BG790-Driver!$K$192)/(Driver!$L$192-Driver!$K$192)</f>
        <v/>
      </c>
      <c r="AV790" s="105">
        <f>IFERROR(BM790*BJ790^1/4,"")</f>
        <v/>
      </c>
      <c r="AW790" s="105">
        <f>IFERROR(SUM(AX790:AZ790),"")</f>
        <v/>
      </c>
      <c r="AX790" s="105">
        <f>IFERROR(BH790,"")</f>
        <v/>
      </c>
      <c r="AY790" s="105">
        <f>IFERROR(Driver!$K$19/Data!BH790/Data!BI790*Data!BK790*Data!BL790,"")</f>
        <v/>
      </c>
      <c r="AZ790" s="105">
        <f>IFERROR(BI790*BN790,"")</f>
        <v/>
      </c>
      <c r="BA790" s="105" t="n"/>
      <c r="BB790" s="105" t="n"/>
      <c r="BC790" s="105">
        <f>IFERROR(BI790*BN790*BK790/BJ790^(1/2),"")</f>
        <v/>
      </c>
      <c r="BD790" s="105">
        <f>IFERROR(BH790*BM790*BL790/BJ790/BK790,"")</f>
        <v/>
      </c>
      <c r="BE790" s="105">
        <f>IFERROR(MIN(BI790/BQ790/BP790/BO790/BH790,$BE$1),"")</f>
        <v/>
      </c>
      <c r="BF790" s="105">
        <f>IFERROR(BJ790*BO790*BP790/BK790,"")</f>
        <v/>
      </c>
      <c r="BG790" s="105">
        <f>IFERROR(1/BM790/BH790*BQ790,"")</f>
        <v/>
      </c>
      <c r="BH790" s="102">
        <f>MAX((CE790-Driver!$F$200)/(Driver!$G$200-Driver!$F$200)*$BI$1,1)</f>
        <v/>
      </c>
      <c r="BI790" s="102">
        <f>MAX($BI$1*(BY790-Driver!$F$201)/(Driver!$G$201-Driver!$F$201),1)</f>
        <v/>
      </c>
      <c r="BJ790" s="102">
        <f>(CB790-Driver!$F$206)/(Driver!$G$206-Driver!$F$206)*$BI$1</f>
        <v/>
      </c>
      <c r="BK790" s="102">
        <f>(CD790-Driver!$F$203)/(Driver!$G$203-Driver!$F$203)*$BI$1</f>
        <v/>
      </c>
      <c r="BL790" s="102">
        <f>MAX((CR790-Driver!$F$202)/(Driver!$G$202-Driver!$F$202)*$BI$1,1)</f>
        <v/>
      </c>
      <c r="BM790" s="102">
        <f>MAX((CH790-Driver!$F$204)/(Driver!$G$204-Driver!$F$204)*$BI$1,1)</f>
        <v/>
      </c>
      <c r="BN790" s="102">
        <f>(CI790-Driver!$F$205)/(Driver!$G$205-Driver!$F$205)*$BI$1</f>
        <v/>
      </c>
      <c r="BO790" s="102">
        <f>(CK790-Driver!$F$207)/(Driver!$G$207-Driver!$F$207)*$BI$1</f>
        <v/>
      </c>
      <c r="BP790" s="102">
        <f>(CM790-Driver!$F$208)/(Driver!$G$208-Driver!$F$208)*$BI$1</f>
        <v/>
      </c>
      <c r="BQ790" s="102">
        <f>(CL790-Driver!$F$209)/(Driver!$G$209-Driver!$F$209)*$BI$1</f>
        <v/>
      </c>
      <c r="BR790" s="40" t="inlineStr">
        <is>
          <t>21/22</t>
        </is>
      </c>
      <c r="BS790" s="10" t="inlineStr">
        <is>
          <t xml:space="preserve"> Head</t>
        </is>
      </c>
      <c r="BT790" s="11" t="inlineStr">
        <is>
          <t>Oblivion 94</t>
        </is>
      </c>
      <c r="BU790" s="13" t="n">
        <v>163</v>
      </c>
      <c r="BV790" s="11" t="inlineStr">
        <is>
          <t xml:space="preserve"> Unisex</t>
        </is>
      </c>
      <c r="BW790" s="13" t="n">
        <v>163</v>
      </c>
      <c r="BX790" s="13" t="n">
        <v>161.1</v>
      </c>
      <c r="BY790" s="13" t="n">
        <v>123</v>
      </c>
      <c r="BZ790" s="13" t="n">
        <v>142</v>
      </c>
      <c r="CA790" s="13" t="n">
        <v>125</v>
      </c>
      <c r="CB790" s="13" t="n">
        <v>91</v>
      </c>
      <c r="CC790" s="13" t="n">
        <v>115</v>
      </c>
      <c r="CD790" s="13" t="n">
        <v>17.7</v>
      </c>
      <c r="CE790" s="13" t="n">
        <v>1584</v>
      </c>
      <c r="CF790" s="13" t="n">
        <v>1.03</v>
      </c>
      <c r="CG790" s="13" t="n">
        <v>1631</v>
      </c>
      <c r="CH790" s="13" t="n">
        <v>147</v>
      </c>
      <c r="CI790" s="13" t="n">
        <v>63</v>
      </c>
      <c r="CJ790" s="13" t="n">
        <v>51</v>
      </c>
      <c r="CK790" s="13" t="n">
        <v>243</v>
      </c>
      <c r="CL790" s="13" t="n">
        <v>37</v>
      </c>
      <c r="CM790" s="13" t="n">
        <v>133</v>
      </c>
      <c r="CN790" s="13" t="n">
        <v>0.716</v>
      </c>
      <c r="CO790" s="13" t="n">
        <v>100</v>
      </c>
      <c r="CP790" s="13" t="n">
        <v>88</v>
      </c>
      <c r="CQ790" s="13" t="n">
        <v>143</v>
      </c>
      <c r="CR790" s="13" t="n">
        <v>10</v>
      </c>
      <c r="CS790" s="13" t="n">
        <v>5.5</v>
      </c>
      <c r="CT790" s="11" t="inlineStr">
        <is>
          <t xml:space="preserve"> Resort Freeride</t>
        </is>
      </c>
      <c r="CU790" s="13" t="n"/>
      <c r="CV790" s="13" t="n"/>
      <c r="CW790" s="13" t="n"/>
      <c r="CX790">
        <f>INDEX('Data_Price '!AG$2:AG$1266,MATCH(Data!$DN790,'Data_Price '!$AT$2:$AT$1266,0))</f>
        <v/>
      </c>
      <c r="CY790">
        <f>INDEX('Data_Price '!AH$2:AH$1266,MATCH(Data!$DN790,'Data_Price '!$AT$2:$AT$1266,0))</f>
        <v/>
      </c>
      <c r="CZ790">
        <f>INDEX('Data_Price '!AI$2:AI$1266,MATCH(Data!$DN790,'Data_Price '!$AT$2:$AT$1266,0))</f>
        <v/>
      </c>
      <c r="DA790">
        <f>INDEX('Data_Price '!AJ$2:AJ$1266,MATCH(Data!$DN790,'Data_Price '!$AT$2:$AT$1266,0))</f>
        <v/>
      </c>
      <c r="DB790">
        <f>INDEX('Data_Price '!AK$2:AK$1266,MATCH(Data!$DN790,'Data_Price '!$AT$2:$AT$1266,0))</f>
        <v/>
      </c>
      <c r="DC790">
        <f>INDEX('Data_Price '!AL$2:AL$1266,MATCH(Data!$DN790,'Data_Price '!$AT$2:$AT$1266,0))</f>
        <v/>
      </c>
      <c r="DD790">
        <f>INDEX('Data_Price '!AM$2:AM$1266,MATCH(Data!$DN790,'Data_Price '!$AT$2:$AT$1266,0))</f>
        <v/>
      </c>
      <c r="DE790">
        <f>INDEX('Data_Price '!AN$2:AN$1266,MATCH(Data!$DN790,'Data_Price '!$AT$2:$AT$1266,0))</f>
        <v/>
      </c>
      <c r="DF790">
        <f>INDEX('Data_Price '!AO$2:AO$1266,MATCH(Data!$DN790,'Data_Price '!$AT$2:$AT$1266,0))</f>
        <v/>
      </c>
      <c r="DG790">
        <f>INDEX('Data_Price '!AP$2:AP$1266,MATCH(Data!$DN790,'Data_Price '!$AT$2:$AT$1266,0))</f>
        <v/>
      </c>
      <c r="DH790">
        <f>INDEX('Data_Price '!AQ$2:AQ$1266,MATCH(Data!$DN790,'Data_Price '!$AT$2:$AT$1266,0))</f>
        <v/>
      </c>
      <c r="DI790">
        <f>INDEX('Data_Price '!AR$2:AR$1266,MATCH(Data!$DN790,'Data_Price '!$AT$2:$AT$1266,0))</f>
        <v/>
      </c>
      <c r="DJ790" s="138">
        <f>DA790</f>
        <v/>
      </c>
      <c r="DK790" s="138">
        <f>DE790</f>
        <v/>
      </c>
      <c r="DL790" s="138">
        <f>DI790</f>
        <v/>
      </c>
      <c r="DM790" s="303">
        <f>IF(LEFT(BT790,1)=" ",RIGHT(BT790,LEN(BT790)-1),BT790)</f>
        <v/>
      </c>
      <c r="DN790" s="138">
        <f>_xlfn.CONCAT(BS790,DM790,BU790,BV790)</f>
        <v/>
      </c>
      <c r="DO790" s="307" t="inlineStr">
        <is>
          <t>https://images.evo.com/imgp/250/208282/832656/clone.jpg</t>
        </is>
      </c>
    </row>
    <row r="791" ht="15.6" customHeight="1" s="184">
      <c r="B791" s="303">
        <f t="array" ref="B791">IF(OR(ISERROR(K791:P791)),FALSE,TRUE)</f>
        <v/>
      </c>
      <c r="C791" s="60">
        <f>OR(BR791=Driver!$G$50,Data!BR1045=Driver!$H$50)</f>
        <v/>
      </c>
      <c r="D791" s="60">
        <f>OR(BV791=Driver!$G$51,BV791=Driver!$H$51)</f>
        <v/>
      </c>
      <c r="E791" s="60">
        <f>AND(BX791&gt;Driver!$F$54,BX791&lt;Driver!$G$54)</f>
        <v/>
      </c>
      <c r="F791" s="60">
        <f>CL791&gt;Driver!$F$56</f>
        <v/>
      </c>
      <c r="G791" s="60">
        <f>AND(CB791&gt;Driver!$F$55,CB791&lt;Driver!$G$55)</f>
        <v/>
      </c>
      <c r="H791" s="60">
        <f>AND(B791:G791)</f>
        <v/>
      </c>
      <c r="I791" s="60">
        <f>COUNTIFS($H$9:$H$1273,TRUE,$BT$9:$BT$1273,BT791)</f>
        <v/>
      </c>
      <c r="J791" s="60">
        <f t="array" ref="J791">NOT(OR(($H$9:$H$1273=TRUE)*($I$9:$I$1273&gt;0)*($BT$9:$BT$1273=BT791)*($K$9:$K$1273&gt;K791)))</f>
        <v/>
      </c>
      <c r="K791" s="108">
        <f>IFERROR(1-AVERAGE(X791:Y791),"")</f>
        <v/>
      </c>
      <c r="L791" s="108">
        <f>1-X791</f>
        <v/>
      </c>
      <c r="M791" s="108">
        <f>1-Y791</f>
        <v/>
      </c>
      <c r="N791" s="108">
        <f>1-Z791</f>
        <v/>
      </c>
      <c r="O791" s="108">
        <f>1-AA791</f>
        <v/>
      </c>
      <c r="P791" s="108">
        <f>1-AB791</f>
        <v/>
      </c>
      <c r="Q791" s="108" t="n"/>
      <c r="R791" s="108" t="n"/>
      <c r="S791" s="108">
        <f>1-AE791</f>
        <v/>
      </c>
      <c r="T791" s="108">
        <f>1-AF791</f>
        <v/>
      </c>
      <c r="U791" s="108">
        <f>1-AG791</f>
        <v/>
      </c>
      <c r="V791" s="108">
        <f>1-AH791</f>
        <v/>
      </c>
      <c r="W791" s="108">
        <f>1-AI791</f>
        <v/>
      </c>
      <c r="X791" s="108">
        <f>ABS(AJ791-AJ$1)</f>
        <v/>
      </c>
      <c r="Y791" s="108">
        <f>AVERAGE(Z791:AB791)</f>
        <v/>
      </c>
      <c r="Z791" s="108">
        <f>ABS(AL791-AL$1)</f>
        <v/>
      </c>
      <c r="AA791" s="108">
        <f>ABS(AM791-AM$1)</f>
        <v/>
      </c>
      <c r="AB791" s="108">
        <f>ABS(AN791-AN$1)</f>
        <v/>
      </c>
      <c r="AC791" s="108" t="n"/>
      <c r="AD791" s="108" t="n"/>
      <c r="AE791" s="108">
        <f>ABS(AQ$1-AQ791)</f>
        <v/>
      </c>
      <c r="AF791" s="108">
        <f>ABS(AR$1-AR791)</f>
        <v/>
      </c>
      <c r="AG791" s="108">
        <f>ABS(AS$1-AS791)</f>
        <v/>
      </c>
      <c r="AH791" s="108">
        <f>ABS(AT$1-AT791)</f>
        <v/>
      </c>
      <c r="AI791" s="108">
        <f>ABS(AU$1-AU791)</f>
        <v/>
      </c>
      <c r="AJ791" s="108">
        <f>(AV791-Driver!$K$179)/(Driver!$L$179-Driver!$K$179)</f>
        <v/>
      </c>
      <c r="AK791" s="108">
        <f>(AW791-Driver!$K$180)/(Driver!$L$180-Driver!$K$180)</f>
        <v/>
      </c>
      <c r="AL791" s="108">
        <f>(AX791-Driver!$K$181)/(Driver!$L$181-Driver!$K$181)</f>
        <v/>
      </c>
      <c r="AM791" s="108">
        <f>(AY791-Driver!$K$182)/(Driver!$L$182-Driver!$K$182)</f>
        <v/>
      </c>
      <c r="AN791" s="108">
        <f>(AZ791-Driver!$K$183)/(Driver!$L$183-Driver!$K$183)</f>
        <v/>
      </c>
      <c r="AO791" s="108" t="n"/>
      <c r="AP791" s="108" t="n"/>
      <c r="AQ791" s="108">
        <f>(BC791-Driver!$K$188)/(Driver!$L$188-Driver!$K$188)</f>
        <v/>
      </c>
      <c r="AR791" s="108">
        <f>MIN((BD791-Driver!$K$189)/(Driver!$L$189-Driver!$K$189),100%)</f>
        <v/>
      </c>
      <c r="AS791" s="108">
        <f>(BE791-Driver!$K$190)/(Driver!$L$190-Driver!$K$190)</f>
        <v/>
      </c>
      <c r="AT791" s="108">
        <f>(BF791-Driver!$K$191)/(Driver!$L$191-Driver!$K$191)</f>
        <v/>
      </c>
      <c r="AU791" s="108">
        <f>(BG791-Driver!$K$192)/(Driver!$L$192-Driver!$K$192)</f>
        <v/>
      </c>
      <c r="AV791" s="105">
        <f>IFERROR(BM791*BJ791^1/4,"")</f>
        <v/>
      </c>
      <c r="AW791" s="105">
        <f>IFERROR(SUM(AX791:AZ791),"")</f>
        <v/>
      </c>
      <c r="AX791" s="105">
        <f>IFERROR(BH791,"")</f>
        <v/>
      </c>
      <c r="AY791" s="105">
        <f>IFERROR(Driver!$K$19/Data!BH791/Data!BI791*Data!BK791*Data!BL791,"")</f>
        <v/>
      </c>
      <c r="AZ791" s="105">
        <f>IFERROR(BI791*BN791,"")</f>
        <v/>
      </c>
      <c r="BA791" s="105" t="n"/>
      <c r="BB791" s="105" t="n"/>
      <c r="BC791" s="105">
        <f>IFERROR(BI791*BN791*BK791/BJ791^(1/2),"")</f>
        <v/>
      </c>
      <c r="BD791" s="105">
        <f>IFERROR(BH791*BM791*BL791/BJ791/BK791,"")</f>
        <v/>
      </c>
      <c r="BE791" s="105">
        <f>IFERROR(MIN(BI791/BQ791/BP791/BO791/BH791,$BE$1),"")</f>
        <v/>
      </c>
      <c r="BF791" s="105">
        <f>IFERROR(BJ791*BO791*BP791/BK791,"")</f>
        <v/>
      </c>
      <c r="BG791" s="105">
        <f>IFERROR(1/BM791/BH791*BQ791,"")</f>
        <v/>
      </c>
      <c r="BH791" s="102">
        <f>MAX((CE791-Driver!$F$200)/(Driver!$G$200-Driver!$F$200)*$BI$1,1)</f>
        <v/>
      </c>
      <c r="BI791" s="102">
        <f>MAX($BI$1*(BY791-Driver!$F$201)/(Driver!$G$201-Driver!$F$201),1)</f>
        <v/>
      </c>
      <c r="BJ791" s="102">
        <f>(CB791-Driver!$F$206)/(Driver!$G$206-Driver!$F$206)*$BI$1</f>
        <v/>
      </c>
      <c r="BK791" s="102">
        <f>(CD791-Driver!$F$203)/(Driver!$G$203-Driver!$F$203)*$BI$1</f>
        <v/>
      </c>
      <c r="BL791" s="102">
        <f>MAX((CR791-Driver!$F$202)/(Driver!$G$202-Driver!$F$202)*$BI$1,1)</f>
        <v/>
      </c>
      <c r="BM791" s="102">
        <f>MAX((CH791-Driver!$F$204)/(Driver!$G$204-Driver!$F$204)*$BI$1,1)</f>
        <v/>
      </c>
      <c r="BN791" s="102">
        <f>(CI791-Driver!$F$205)/(Driver!$G$205-Driver!$F$205)*$BI$1</f>
        <v/>
      </c>
      <c r="BO791" s="102">
        <f>(CK791-Driver!$F$207)/(Driver!$G$207-Driver!$F$207)*$BI$1</f>
        <v/>
      </c>
      <c r="BP791" s="102">
        <f>(CM791-Driver!$F$208)/(Driver!$G$208-Driver!$F$208)*$BI$1</f>
        <v/>
      </c>
      <c r="BQ791" s="102">
        <f>(CL791-Driver!$F$209)/(Driver!$G$209-Driver!$F$209)*$BI$1</f>
        <v/>
      </c>
      <c r="BR791" s="40" t="inlineStr">
        <is>
          <t>21/22</t>
        </is>
      </c>
      <c r="BS791" s="10" t="inlineStr">
        <is>
          <t xml:space="preserve"> Rossignol</t>
        </is>
      </c>
      <c r="BT791" s="11" t="inlineStr">
        <is>
          <t>Nova 14 Ti</t>
        </is>
      </c>
      <c r="BU791" s="13" t="n">
        <v>160</v>
      </c>
      <c r="BV791" s="11" t="inlineStr">
        <is>
          <t xml:space="preserve"> Women's</t>
        </is>
      </c>
      <c r="BW791" s="13" t="n">
        <v>160</v>
      </c>
      <c r="BX791" s="13" t="n">
        <v>158.8</v>
      </c>
      <c r="BY791" s="13" t="n">
        <v>138</v>
      </c>
      <c r="BZ791" s="13" t="n">
        <v>145</v>
      </c>
      <c r="CA791" s="13" t="n">
        <v>122</v>
      </c>
      <c r="CB791" s="13" t="n">
        <v>73</v>
      </c>
      <c r="CC791" s="13" t="n">
        <v>108</v>
      </c>
      <c r="CD791" s="13" t="n">
        <v>12.4</v>
      </c>
      <c r="CE791" s="13" t="n">
        <v>1739</v>
      </c>
      <c r="CF791" s="13" t="n">
        <v>0.8100000000000001</v>
      </c>
      <c r="CG791" s="13" t="n">
        <v>1410</v>
      </c>
      <c r="CH791" s="13" t="n">
        <v>184</v>
      </c>
      <c r="CI791" s="13" t="n">
        <v>77</v>
      </c>
      <c r="CJ791" s="13" t="n">
        <v>37</v>
      </c>
      <c r="CK791" s="13" t="n">
        <v>141</v>
      </c>
      <c r="CL791" s="13" t="n">
        <v>5</v>
      </c>
      <c r="CM791" s="13" t="n">
        <v>65</v>
      </c>
      <c r="CN791" s="13" t="n">
        <v>0.125</v>
      </c>
      <c r="CO791" s="13" t="n">
        <v>81</v>
      </c>
      <c r="CP791" s="13" t="n">
        <v>59</v>
      </c>
      <c r="CQ791" s="13" t="n">
        <v>60</v>
      </c>
      <c r="CR791" s="13" t="n">
        <v>9</v>
      </c>
      <c r="CS791" s="13" t="n">
        <v>9.800000000000001</v>
      </c>
      <c r="CT791" s="11" t="inlineStr">
        <is>
          <t xml:space="preserve"> On-Piste Carving</t>
        </is>
      </c>
      <c r="CU791" s="13" t="n"/>
      <c r="CV791" s="13" t="n"/>
      <c r="CW791" s="13" t="n"/>
      <c r="CX791">
        <f>INDEX('Data_Price '!AG$2:AG$1266,MATCH(Data!$DN791,'Data_Price '!$AT$2:$AT$1266,0))</f>
        <v/>
      </c>
      <c r="CY791">
        <f>INDEX('Data_Price '!AH$2:AH$1266,MATCH(Data!$DN791,'Data_Price '!$AT$2:$AT$1266,0))</f>
        <v/>
      </c>
      <c r="CZ791">
        <f>INDEX('Data_Price '!AI$2:AI$1266,MATCH(Data!$DN791,'Data_Price '!$AT$2:$AT$1266,0))</f>
        <v/>
      </c>
      <c r="DA791">
        <f>INDEX('Data_Price '!AJ$2:AJ$1266,MATCH(Data!$DN791,'Data_Price '!$AT$2:$AT$1266,0))</f>
        <v/>
      </c>
      <c r="DB791">
        <f>INDEX('Data_Price '!AK$2:AK$1266,MATCH(Data!$DN791,'Data_Price '!$AT$2:$AT$1266,0))</f>
        <v/>
      </c>
      <c r="DC791">
        <f>INDEX('Data_Price '!AL$2:AL$1266,MATCH(Data!$DN791,'Data_Price '!$AT$2:$AT$1266,0))</f>
        <v/>
      </c>
      <c r="DD791">
        <f>INDEX('Data_Price '!AM$2:AM$1266,MATCH(Data!$DN791,'Data_Price '!$AT$2:$AT$1266,0))</f>
        <v/>
      </c>
      <c r="DE791">
        <f>INDEX('Data_Price '!AN$2:AN$1266,MATCH(Data!$DN791,'Data_Price '!$AT$2:$AT$1266,0))</f>
        <v/>
      </c>
      <c r="DF791">
        <f>INDEX('Data_Price '!AO$2:AO$1266,MATCH(Data!$DN791,'Data_Price '!$AT$2:$AT$1266,0))</f>
        <v/>
      </c>
      <c r="DG791">
        <f>INDEX('Data_Price '!AP$2:AP$1266,MATCH(Data!$DN791,'Data_Price '!$AT$2:$AT$1266,0))</f>
        <v/>
      </c>
      <c r="DH791">
        <f>INDEX('Data_Price '!AQ$2:AQ$1266,MATCH(Data!$DN791,'Data_Price '!$AT$2:$AT$1266,0))</f>
        <v/>
      </c>
      <c r="DI791">
        <f>INDEX('Data_Price '!AR$2:AR$1266,MATCH(Data!$DN791,'Data_Price '!$AT$2:$AT$1266,0))</f>
        <v/>
      </c>
      <c r="DJ791" s="138">
        <f>DA791</f>
        <v/>
      </c>
      <c r="DK791" s="138">
        <f>DE791</f>
        <v/>
      </c>
      <c r="DL791" s="138">
        <f>DI791</f>
        <v/>
      </c>
      <c r="DM791" s="303">
        <f>IF(LEFT(BT791,1)=" ",RIGHT(BT791,LEN(BT791)-1),BT791)</f>
        <v/>
      </c>
      <c r="DN791" s="138">
        <f>_xlfn.CONCAT(BS791,DM791,BU791,BV791)</f>
        <v/>
      </c>
      <c r="DO791" s="307" t="n"/>
    </row>
    <row r="792" ht="15.6" customHeight="1" s="184">
      <c r="B792" s="303">
        <f t="array" ref="B792">IF(OR(ISERROR(K792:P792)),FALSE,TRUE)</f>
        <v/>
      </c>
      <c r="C792" s="60">
        <f>OR(BR792=Driver!$G$50,Data!BR674=Driver!$H$50)</f>
        <v/>
      </c>
      <c r="D792" s="60">
        <f>OR(BV792=Driver!$G$51,BV792=Driver!$H$51)</f>
        <v/>
      </c>
      <c r="E792" s="60">
        <f>AND(BX792&gt;Driver!$F$54,BX792&lt;Driver!$G$54)</f>
        <v/>
      </c>
      <c r="F792" s="60">
        <f>CL792&gt;Driver!$F$56</f>
        <v/>
      </c>
      <c r="G792" s="60">
        <f>AND(CB792&gt;Driver!$F$55,CB792&lt;Driver!$G$55)</f>
        <v/>
      </c>
      <c r="H792" s="60">
        <f>AND(B792:G792)</f>
        <v/>
      </c>
      <c r="I792" s="60">
        <f>COUNTIFS($H$9:$H$1273,TRUE,$BT$9:$BT$1273,BT792)</f>
        <v/>
      </c>
      <c r="J792" s="60">
        <f t="array" ref="J792">NOT(OR(($H$9:$H$1273=TRUE)*($I$9:$I$1273&gt;0)*($BT$9:$BT$1273=BT792)*($K$9:$K$1273&gt;K792)))</f>
        <v/>
      </c>
      <c r="K792" s="108">
        <f>IFERROR(1-AVERAGE(X792:Y792),"")</f>
        <v/>
      </c>
      <c r="L792" s="108">
        <f>1-X792</f>
        <v/>
      </c>
      <c r="M792" s="108">
        <f>1-Y792</f>
        <v/>
      </c>
      <c r="N792" s="108">
        <f>1-Z792</f>
        <v/>
      </c>
      <c r="O792" s="108">
        <f>1-AA792</f>
        <v/>
      </c>
      <c r="P792" s="108">
        <f>1-AB792</f>
        <v/>
      </c>
      <c r="Q792" s="108" t="n"/>
      <c r="R792" s="108" t="n"/>
      <c r="S792" s="108">
        <f>1-AE792</f>
        <v/>
      </c>
      <c r="T792" s="108">
        <f>1-AF792</f>
        <v/>
      </c>
      <c r="U792" s="108">
        <f>1-AG792</f>
        <v/>
      </c>
      <c r="V792" s="108">
        <f>1-AH792</f>
        <v/>
      </c>
      <c r="W792" s="108">
        <f>1-AI792</f>
        <v/>
      </c>
      <c r="X792" s="108">
        <f>ABS(AJ792-AJ$1)</f>
        <v/>
      </c>
      <c r="Y792" s="108">
        <f>AVERAGE(Z792:AB792)</f>
        <v/>
      </c>
      <c r="Z792" s="108">
        <f>ABS(AL792-AL$1)</f>
        <v/>
      </c>
      <c r="AA792" s="108">
        <f>ABS(AM792-AM$1)</f>
        <v/>
      </c>
      <c r="AB792" s="108">
        <f>ABS(AN792-AN$1)</f>
        <v/>
      </c>
      <c r="AC792" s="108" t="n"/>
      <c r="AD792" s="108" t="n"/>
      <c r="AE792" s="108">
        <f>ABS(AQ$1-AQ792)</f>
        <v/>
      </c>
      <c r="AF792" s="108">
        <f>ABS(AR$1-AR792)</f>
        <v/>
      </c>
      <c r="AG792" s="108">
        <f>ABS(AS$1-AS792)</f>
        <v/>
      </c>
      <c r="AH792" s="108">
        <f>ABS(AT$1-AT792)</f>
        <v/>
      </c>
      <c r="AI792" s="108">
        <f>ABS(AU$1-AU792)</f>
        <v/>
      </c>
      <c r="AJ792" s="108">
        <f>(AV792-Driver!$K$179)/(Driver!$L$179-Driver!$K$179)</f>
        <v/>
      </c>
      <c r="AK792" s="108">
        <f>(AW792-Driver!$K$180)/(Driver!$L$180-Driver!$K$180)</f>
        <v/>
      </c>
      <c r="AL792" s="108">
        <f>(AX792-Driver!$K$181)/(Driver!$L$181-Driver!$K$181)</f>
        <v/>
      </c>
      <c r="AM792" s="108">
        <f>(AY792-Driver!$K$182)/(Driver!$L$182-Driver!$K$182)</f>
        <v/>
      </c>
      <c r="AN792" s="108">
        <f>(AZ792-Driver!$K$183)/(Driver!$L$183-Driver!$K$183)</f>
        <v/>
      </c>
      <c r="AO792" s="108" t="n"/>
      <c r="AP792" s="108" t="n"/>
      <c r="AQ792" s="108">
        <f>(BC792-Driver!$K$188)/(Driver!$L$188-Driver!$K$188)</f>
        <v/>
      </c>
      <c r="AR792" s="108">
        <f>MIN((BD792-Driver!$K$189)/(Driver!$L$189-Driver!$K$189),100%)</f>
        <v/>
      </c>
      <c r="AS792" s="108">
        <f>(BE792-Driver!$K$190)/(Driver!$L$190-Driver!$K$190)</f>
        <v/>
      </c>
      <c r="AT792" s="108">
        <f>(BF792-Driver!$K$191)/(Driver!$L$191-Driver!$K$191)</f>
        <v/>
      </c>
      <c r="AU792" s="108">
        <f>(BG792-Driver!$K$192)/(Driver!$L$192-Driver!$K$192)</f>
        <v/>
      </c>
      <c r="AV792" s="105">
        <f>IFERROR(BM792*BJ792^1/4,"")</f>
        <v/>
      </c>
      <c r="AW792" s="105">
        <f>IFERROR(SUM(AX792:AZ792),"")</f>
        <v/>
      </c>
      <c r="AX792" s="105">
        <f>IFERROR(BH792,"")</f>
        <v/>
      </c>
      <c r="AY792" s="105">
        <f>IFERROR(Driver!$K$19/Data!BH792/Data!BI792*Data!BK792*Data!BL792,"")</f>
        <v/>
      </c>
      <c r="AZ792" s="105">
        <f>IFERROR(BI792*BN792,"")</f>
        <v/>
      </c>
      <c r="BA792" s="105" t="n"/>
      <c r="BB792" s="105" t="n"/>
      <c r="BC792" s="105">
        <f>IFERROR(BI792*BN792*BK792/BJ792^(1/2),"")</f>
        <v/>
      </c>
      <c r="BD792" s="105">
        <f>IFERROR(BH792*BM792*BL792/BJ792/BK792,"")</f>
        <v/>
      </c>
      <c r="BE792" s="105">
        <f>IFERROR(MIN(BI792/BQ792/BP792/BO792/BH792,$BE$1),"")</f>
        <v/>
      </c>
      <c r="BF792" s="105">
        <f>IFERROR(BJ792*BO792*BP792/BK792,"")</f>
        <v/>
      </c>
      <c r="BG792" s="105">
        <f>IFERROR(1/BM792/BH792*BQ792,"")</f>
        <v/>
      </c>
      <c r="BH792" s="102">
        <f>MAX((CE792-Driver!$F$200)/(Driver!$G$200-Driver!$F$200)*$BI$1,1)</f>
        <v/>
      </c>
      <c r="BI792" s="102">
        <f>MAX($BI$1*(BY792-Driver!$F$201)/(Driver!$G$201-Driver!$F$201),1)</f>
        <v/>
      </c>
      <c r="BJ792" s="102">
        <f>(CB792-Driver!$F$206)/(Driver!$G$206-Driver!$F$206)*$BI$1</f>
        <v/>
      </c>
      <c r="BK792" s="102">
        <f>(CD792-Driver!$F$203)/(Driver!$G$203-Driver!$F$203)*$BI$1</f>
        <v/>
      </c>
      <c r="BL792" s="102">
        <f>MAX((CR792-Driver!$F$202)/(Driver!$G$202-Driver!$F$202)*$BI$1,1)</f>
        <v/>
      </c>
      <c r="BM792" s="102">
        <f>MAX((CH792-Driver!$F$204)/(Driver!$G$204-Driver!$F$204)*$BI$1,1)</f>
        <v/>
      </c>
      <c r="BN792" s="102">
        <f>(CI792-Driver!$F$205)/(Driver!$G$205-Driver!$F$205)*$BI$1</f>
        <v/>
      </c>
      <c r="BO792" s="102">
        <f>(CK792-Driver!$F$207)/(Driver!$G$207-Driver!$F$207)*$BI$1</f>
        <v/>
      </c>
      <c r="BP792" s="102">
        <f>(CM792-Driver!$F$208)/(Driver!$G$208-Driver!$F$208)*$BI$1</f>
        <v/>
      </c>
      <c r="BQ792" s="102">
        <f>(CL792-Driver!$F$209)/(Driver!$G$209-Driver!$F$209)*$BI$1</f>
        <v/>
      </c>
      <c r="BR792" s="40" t="inlineStr">
        <is>
          <t>21/22</t>
        </is>
      </c>
      <c r="BS792" s="10" t="inlineStr">
        <is>
          <t xml:space="preserve"> Icelantic</t>
        </is>
      </c>
      <c r="BT792" s="11" t="inlineStr">
        <is>
          <t>Maiden 91</t>
        </is>
      </c>
      <c r="BU792" s="13" t="n">
        <v>162</v>
      </c>
      <c r="BV792" s="11" t="inlineStr">
        <is>
          <t xml:space="preserve"> Women's</t>
        </is>
      </c>
      <c r="BW792" s="13" t="n">
        <v>162</v>
      </c>
      <c r="BX792" s="13" t="n">
        <v>159.8</v>
      </c>
      <c r="BY792" s="13" t="n">
        <v>91</v>
      </c>
      <c r="BZ792" s="13" t="n">
        <v>137</v>
      </c>
      <c r="CA792" s="13" t="n">
        <v>126</v>
      </c>
      <c r="CB792" s="13" t="n">
        <v>90</v>
      </c>
      <c r="CC792" s="13" t="n">
        <v>116</v>
      </c>
      <c r="CD792" s="13" t="n">
        <v>14.4</v>
      </c>
      <c r="CE792" s="13" t="n">
        <v>1490</v>
      </c>
      <c r="CF792" s="13" t="n">
        <v>1.09</v>
      </c>
      <c r="CG792" s="13" t="n">
        <v>1627</v>
      </c>
      <c r="CH792" s="13" t="n">
        <v>154</v>
      </c>
      <c r="CI792" s="13" t="n">
        <v>68</v>
      </c>
      <c r="CJ792" s="13" t="n">
        <v>58</v>
      </c>
      <c r="CK792" s="13" t="n">
        <v>364</v>
      </c>
      <c r="CL792" s="13" t="n">
        <v>59</v>
      </c>
      <c r="CM792" s="13" t="n">
        <v>320</v>
      </c>
      <c r="CN792" s="13" t="n">
        <v>1.02</v>
      </c>
      <c r="CO792" s="13" t="n">
        <v>105</v>
      </c>
      <c r="CP792" s="13" t="n">
        <v>125</v>
      </c>
      <c r="CQ792" s="13" t="n">
        <v>259</v>
      </c>
      <c r="CR792" s="13" t="n">
        <v>2</v>
      </c>
      <c r="CS792" s="13" t="n">
        <v>8</v>
      </c>
      <c r="CT792" s="11" t="inlineStr">
        <is>
          <t xml:space="preserve"> Freeski</t>
        </is>
      </c>
      <c r="CU792" s="11" t="inlineStr">
        <is>
          <t xml:space="preserve"> Touring</t>
        </is>
      </c>
      <c r="CV792" s="13" t="n"/>
      <c r="CW792" s="13" t="n"/>
      <c r="CX792">
        <f>INDEX('Data_Price '!AG$2:AG$1266,MATCH(Data!$DN792,'Data_Price '!$AT$2:$AT$1266,0))</f>
        <v/>
      </c>
      <c r="CY792">
        <f>INDEX('Data_Price '!AH$2:AH$1266,MATCH(Data!$DN792,'Data_Price '!$AT$2:$AT$1266,0))</f>
        <v/>
      </c>
      <c r="CZ792">
        <f>INDEX('Data_Price '!AI$2:AI$1266,MATCH(Data!$DN792,'Data_Price '!$AT$2:$AT$1266,0))</f>
        <v/>
      </c>
      <c r="DA792">
        <f>INDEX('Data_Price '!AJ$2:AJ$1266,MATCH(Data!$DN792,'Data_Price '!$AT$2:$AT$1266,0))</f>
        <v/>
      </c>
      <c r="DB792">
        <f>INDEX('Data_Price '!AK$2:AK$1266,MATCH(Data!$DN792,'Data_Price '!$AT$2:$AT$1266,0))</f>
        <v/>
      </c>
      <c r="DC792">
        <f>INDEX('Data_Price '!AL$2:AL$1266,MATCH(Data!$DN792,'Data_Price '!$AT$2:$AT$1266,0))</f>
        <v/>
      </c>
      <c r="DD792">
        <f>INDEX('Data_Price '!AM$2:AM$1266,MATCH(Data!$DN792,'Data_Price '!$AT$2:$AT$1266,0))</f>
        <v/>
      </c>
      <c r="DE792">
        <f>INDEX('Data_Price '!AN$2:AN$1266,MATCH(Data!$DN792,'Data_Price '!$AT$2:$AT$1266,0))</f>
        <v/>
      </c>
      <c r="DF792">
        <f>INDEX('Data_Price '!AO$2:AO$1266,MATCH(Data!$DN792,'Data_Price '!$AT$2:$AT$1266,0))</f>
        <v/>
      </c>
      <c r="DG792">
        <f>INDEX('Data_Price '!AP$2:AP$1266,MATCH(Data!$DN792,'Data_Price '!$AT$2:$AT$1266,0))</f>
        <v/>
      </c>
      <c r="DH792">
        <f>INDEX('Data_Price '!AQ$2:AQ$1266,MATCH(Data!$DN792,'Data_Price '!$AT$2:$AT$1266,0))</f>
        <v/>
      </c>
      <c r="DI792">
        <f>INDEX('Data_Price '!AR$2:AR$1266,MATCH(Data!$DN792,'Data_Price '!$AT$2:$AT$1266,0))</f>
        <v/>
      </c>
      <c r="DJ792" s="138">
        <f>DA792</f>
        <v/>
      </c>
      <c r="DK792" s="138">
        <f>DE792</f>
        <v/>
      </c>
      <c r="DL792" s="138">
        <f>DI792</f>
        <v/>
      </c>
      <c r="DM792" s="303">
        <f>IF(LEFT(BT792,1)=" ",RIGHT(BT792,LEN(BT792)-1),BT792)</f>
        <v/>
      </c>
      <c r="DN792" s="138">
        <f>_xlfn.CONCAT(BS792,DM792,BU792,BV792)</f>
        <v/>
      </c>
      <c r="DO792" s="307" t="inlineStr">
        <is>
          <t>https://images.evo.com/imgp/250/208412/833121/icelantic-maiden-91-skis-women-s-2022-.jpg</t>
        </is>
      </c>
    </row>
    <row r="793" ht="15.6" customHeight="1" s="184">
      <c r="B793" s="303">
        <f t="array" ref="B793">IF(OR(ISERROR(K793:P793)),FALSE,TRUE)</f>
        <v/>
      </c>
      <c r="C793" s="60">
        <f>OR(BR793=Driver!$G$50,Data!BR108=Driver!$H$50)</f>
        <v/>
      </c>
      <c r="D793" s="60">
        <f>OR(BV793=Driver!$G$51,BV793=Driver!$H$51)</f>
        <v/>
      </c>
      <c r="E793" s="60">
        <f>AND(BX793&gt;Driver!$F$54,BX793&lt;Driver!$G$54)</f>
        <v/>
      </c>
      <c r="F793" s="60">
        <f>CL793&gt;Driver!$F$56</f>
        <v/>
      </c>
      <c r="G793" s="60">
        <f>AND(CB793&gt;Driver!$F$55,CB793&lt;Driver!$G$55)</f>
        <v/>
      </c>
      <c r="H793" s="60">
        <f>AND(B793:G793)</f>
        <v/>
      </c>
      <c r="I793" s="60">
        <f>COUNTIFS($H$9:$H$1273,TRUE,$BT$9:$BT$1273,BT793)</f>
        <v/>
      </c>
      <c r="J793" s="60">
        <f t="array" ref="J793">NOT(OR(($H$9:$H$1273=TRUE)*($I$9:$I$1273&gt;0)*($BT$9:$BT$1273=BT793)*($K$9:$K$1273&gt;K793)))</f>
        <v/>
      </c>
      <c r="K793" s="108">
        <f>IFERROR(1-AVERAGE(X793:Y793),"")</f>
        <v/>
      </c>
      <c r="L793" s="108">
        <f>1-X793</f>
        <v/>
      </c>
      <c r="M793" s="108">
        <f>1-Y793</f>
        <v/>
      </c>
      <c r="N793" s="108">
        <f>1-Z793</f>
        <v/>
      </c>
      <c r="O793" s="108">
        <f>1-AA793</f>
        <v/>
      </c>
      <c r="P793" s="108">
        <f>1-AB793</f>
        <v/>
      </c>
      <c r="Q793" s="108" t="n"/>
      <c r="R793" s="108" t="n"/>
      <c r="S793" s="108">
        <f>1-AE793</f>
        <v/>
      </c>
      <c r="T793" s="108">
        <f>1-AF793</f>
        <v/>
      </c>
      <c r="U793" s="108">
        <f>1-AG793</f>
        <v/>
      </c>
      <c r="V793" s="108">
        <f>1-AH793</f>
        <v/>
      </c>
      <c r="W793" s="108">
        <f>1-AI793</f>
        <v/>
      </c>
      <c r="X793" s="108">
        <f>ABS(AJ793-AJ$1)</f>
        <v/>
      </c>
      <c r="Y793" s="108">
        <f>AVERAGE(Z793:AB793)</f>
        <v/>
      </c>
      <c r="Z793" s="108">
        <f>ABS(AL793-AL$1)</f>
        <v/>
      </c>
      <c r="AA793" s="108">
        <f>ABS(AM793-AM$1)</f>
        <v/>
      </c>
      <c r="AB793" s="108">
        <f>ABS(AN793-AN$1)</f>
        <v/>
      </c>
      <c r="AC793" s="108" t="n"/>
      <c r="AD793" s="108" t="n"/>
      <c r="AE793" s="108">
        <f>ABS(AQ$1-AQ793)</f>
        <v/>
      </c>
      <c r="AF793" s="108">
        <f>ABS(AR$1-AR793)</f>
        <v/>
      </c>
      <c r="AG793" s="108">
        <f>ABS(AS$1-AS793)</f>
        <v/>
      </c>
      <c r="AH793" s="108">
        <f>ABS(AT$1-AT793)</f>
        <v/>
      </c>
      <c r="AI793" s="108">
        <f>ABS(AU$1-AU793)</f>
        <v/>
      </c>
      <c r="AJ793" s="108">
        <f>(AV793-Driver!$K$179)/(Driver!$L$179-Driver!$K$179)</f>
        <v/>
      </c>
      <c r="AK793" s="108">
        <f>(AW793-Driver!$K$180)/(Driver!$L$180-Driver!$K$180)</f>
        <v/>
      </c>
      <c r="AL793" s="108">
        <f>(AX793-Driver!$K$181)/(Driver!$L$181-Driver!$K$181)</f>
        <v/>
      </c>
      <c r="AM793" s="108">
        <f>(AY793-Driver!$K$182)/(Driver!$L$182-Driver!$K$182)</f>
        <v/>
      </c>
      <c r="AN793" s="108">
        <f>(AZ793-Driver!$K$183)/(Driver!$L$183-Driver!$K$183)</f>
        <v/>
      </c>
      <c r="AO793" s="108" t="n"/>
      <c r="AP793" s="108" t="n"/>
      <c r="AQ793" s="108">
        <f>(BC793-Driver!$K$188)/(Driver!$L$188-Driver!$K$188)</f>
        <v/>
      </c>
      <c r="AR793" s="108">
        <f>MIN((BD793-Driver!$K$189)/(Driver!$L$189-Driver!$K$189),100%)</f>
        <v/>
      </c>
      <c r="AS793" s="108">
        <f>(BE793-Driver!$K$190)/(Driver!$L$190-Driver!$K$190)</f>
        <v/>
      </c>
      <c r="AT793" s="108">
        <f>(BF793-Driver!$K$191)/(Driver!$L$191-Driver!$K$191)</f>
        <v/>
      </c>
      <c r="AU793" s="108">
        <f>(BG793-Driver!$K$192)/(Driver!$L$192-Driver!$K$192)</f>
        <v/>
      </c>
      <c r="AV793" s="105">
        <f>IFERROR(BM793*BJ793^1/4,"")</f>
        <v/>
      </c>
      <c r="AW793" s="105">
        <f>IFERROR(SUM(AX793:AZ793),"")</f>
        <v/>
      </c>
      <c r="AX793" s="105">
        <f>IFERROR(BH793,"")</f>
        <v/>
      </c>
      <c r="AY793" s="105">
        <f>IFERROR(Driver!$K$19/Data!BH793/Data!BI793*Data!BK793*Data!BL793,"")</f>
        <v/>
      </c>
      <c r="AZ793" s="105">
        <f>IFERROR(BI793*BN793,"")</f>
        <v/>
      </c>
      <c r="BA793" s="105" t="n"/>
      <c r="BB793" s="105" t="n"/>
      <c r="BC793" s="105">
        <f>IFERROR(BI793*BN793*BK793/BJ793^(1/2),"")</f>
        <v/>
      </c>
      <c r="BD793" s="105">
        <f>IFERROR(BH793*BM793*BL793/BJ793/BK793,"")</f>
        <v/>
      </c>
      <c r="BE793" s="105">
        <f>IFERROR(MIN(BI793/BQ793/BP793/BO793/BH793,$BE$1),"")</f>
        <v/>
      </c>
      <c r="BF793" s="105">
        <f>IFERROR(BJ793*BO793*BP793/BK793,"")</f>
        <v/>
      </c>
      <c r="BG793" s="105">
        <f>IFERROR(1/BM793/BH793*BQ793,"")</f>
        <v/>
      </c>
      <c r="BH793" s="102">
        <f>MAX((CE793-Driver!$F$200)/(Driver!$G$200-Driver!$F$200)*$BI$1,1)</f>
        <v/>
      </c>
      <c r="BI793" s="102">
        <f>MAX($BI$1*(BY793-Driver!$F$201)/(Driver!$G$201-Driver!$F$201),1)</f>
        <v/>
      </c>
      <c r="BJ793" s="102">
        <f>(CB793-Driver!$F$206)/(Driver!$G$206-Driver!$F$206)*$BI$1</f>
        <v/>
      </c>
      <c r="BK793" s="102">
        <f>(CD793-Driver!$F$203)/(Driver!$G$203-Driver!$F$203)*$BI$1</f>
        <v/>
      </c>
      <c r="BL793" s="102">
        <f>MAX((CR793-Driver!$F$202)/(Driver!$G$202-Driver!$F$202)*$BI$1,1)</f>
        <v/>
      </c>
      <c r="BM793" s="102">
        <f>MAX((CH793-Driver!$F$204)/(Driver!$G$204-Driver!$F$204)*$BI$1,1)</f>
        <v/>
      </c>
      <c r="BN793" s="102">
        <f>(CI793-Driver!$F$205)/(Driver!$G$205-Driver!$F$205)*$BI$1</f>
        <v/>
      </c>
      <c r="BO793" s="102">
        <f>(CK793-Driver!$F$207)/(Driver!$G$207-Driver!$F$207)*$BI$1</f>
        <v/>
      </c>
      <c r="BP793" s="102">
        <f>(CM793-Driver!$F$208)/(Driver!$G$208-Driver!$F$208)*$BI$1</f>
        <v/>
      </c>
      <c r="BQ793" s="102">
        <f>(CL793-Driver!$F$209)/(Driver!$G$209-Driver!$F$209)*$BI$1</f>
        <v/>
      </c>
      <c r="BR793" s="40" t="inlineStr">
        <is>
          <t>21/22</t>
        </is>
      </c>
      <c r="BS793" s="10" t="inlineStr">
        <is>
          <t xml:space="preserve"> Armada</t>
        </is>
      </c>
      <c r="BT793" s="11" t="inlineStr">
        <is>
          <t>Tracer 88</t>
        </is>
      </c>
      <c r="BU793" s="13" t="n">
        <v>172</v>
      </c>
      <c r="BV793" s="11" t="inlineStr">
        <is>
          <t xml:space="preserve"> Unisex</t>
        </is>
      </c>
      <c r="BW793" s="13" t="n">
        <v>172</v>
      </c>
      <c r="BX793" s="13" t="n">
        <v>171.2</v>
      </c>
      <c r="BY793" s="13" t="n">
        <v>139</v>
      </c>
      <c r="BZ793" s="13" t="n">
        <v>143</v>
      </c>
      <c r="CA793" s="13" t="n">
        <v>115</v>
      </c>
      <c r="CB793" s="13" t="n">
        <v>87</v>
      </c>
      <c r="CC793" s="13" t="n">
        <v>107</v>
      </c>
      <c r="CD793" s="13" t="n">
        <v>20.6</v>
      </c>
      <c r="CE793" s="13" t="n">
        <v>1228</v>
      </c>
      <c r="CF793" s="13" t="n">
        <v>1.34</v>
      </c>
      <c r="CG793" s="13" t="n">
        <v>1641</v>
      </c>
      <c r="CH793" s="13" t="n">
        <v>192</v>
      </c>
      <c r="CI793" s="13" t="n">
        <v>76</v>
      </c>
      <c r="CJ793" s="13" t="n">
        <v>41</v>
      </c>
      <c r="CK793" s="13" t="n">
        <v>199</v>
      </c>
      <c r="CL793" s="13" t="n">
        <v>11</v>
      </c>
      <c r="CM793" s="13" t="n">
        <v>121</v>
      </c>
      <c r="CN793" s="13" t="n">
        <v>0.279</v>
      </c>
      <c r="CO793" s="13" t="n">
        <v>169</v>
      </c>
      <c r="CP793" s="13" t="n">
        <v>109</v>
      </c>
      <c r="CQ793" s="13" t="n">
        <v>30</v>
      </c>
      <c r="CR793" s="13" t="n">
        <v>6</v>
      </c>
      <c r="CS793" s="13" t="n">
        <v>7.3</v>
      </c>
      <c r="CT793" s="11" t="inlineStr">
        <is>
          <t xml:space="preserve"> Touring</t>
        </is>
      </c>
      <c r="CU793" s="11" t="inlineStr">
        <is>
          <t xml:space="preserve"> Ultralight Touring</t>
        </is>
      </c>
      <c r="CV793" s="13" t="n"/>
      <c r="CW793" s="13" t="n"/>
      <c r="CX793">
        <f>INDEX('Data_Price '!AG$2:AG$1266,MATCH(Data!$DN793,'Data_Price '!$AT$2:$AT$1266,0))</f>
        <v/>
      </c>
      <c r="CY793">
        <f>INDEX('Data_Price '!AH$2:AH$1266,MATCH(Data!$DN793,'Data_Price '!$AT$2:$AT$1266,0))</f>
        <v/>
      </c>
      <c r="CZ793">
        <f>INDEX('Data_Price '!AI$2:AI$1266,MATCH(Data!$DN793,'Data_Price '!$AT$2:$AT$1266,0))</f>
        <v/>
      </c>
      <c r="DA793">
        <f>INDEX('Data_Price '!AJ$2:AJ$1266,MATCH(Data!$DN793,'Data_Price '!$AT$2:$AT$1266,0))</f>
        <v/>
      </c>
      <c r="DB793">
        <f>INDEX('Data_Price '!AK$2:AK$1266,MATCH(Data!$DN793,'Data_Price '!$AT$2:$AT$1266,0))</f>
        <v/>
      </c>
      <c r="DC793">
        <f>INDEX('Data_Price '!AL$2:AL$1266,MATCH(Data!$DN793,'Data_Price '!$AT$2:$AT$1266,0))</f>
        <v/>
      </c>
      <c r="DD793">
        <f>INDEX('Data_Price '!AM$2:AM$1266,MATCH(Data!$DN793,'Data_Price '!$AT$2:$AT$1266,0))</f>
        <v/>
      </c>
      <c r="DE793">
        <f>INDEX('Data_Price '!AN$2:AN$1266,MATCH(Data!$DN793,'Data_Price '!$AT$2:$AT$1266,0))</f>
        <v/>
      </c>
      <c r="DF793">
        <f>INDEX('Data_Price '!AO$2:AO$1266,MATCH(Data!$DN793,'Data_Price '!$AT$2:$AT$1266,0))</f>
        <v/>
      </c>
      <c r="DG793">
        <f>INDEX('Data_Price '!AP$2:AP$1266,MATCH(Data!$DN793,'Data_Price '!$AT$2:$AT$1266,0))</f>
        <v/>
      </c>
      <c r="DH793">
        <f>INDEX('Data_Price '!AQ$2:AQ$1266,MATCH(Data!$DN793,'Data_Price '!$AT$2:$AT$1266,0))</f>
        <v/>
      </c>
      <c r="DI793">
        <f>INDEX('Data_Price '!AR$2:AR$1266,MATCH(Data!$DN793,'Data_Price '!$AT$2:$AT$1266,0))</f>
        <v/>
      </c>
      <c r="DJ793" s="138">
        <f>DA793</f>
        <v/>
      </c>
      <c r="DK793" s="138">
        <f>DE793</f>
        <v/>
      </c>
      <c r="DL793" s="138">
        <f>DI793</f>
        <v/>
      </c>
      <c r="DM793" s="303">
        <f>IF(LEFT(BT793,1)=" ",RIGHT(BT793,LEN(BT793)-1),BT793)</f>
        <v/>
      </c>
      <c r="DN793" s="138">
        <f>_xlfn.CONCAT(BS793,DM793,BU793,BV793)</f>
        <v/>
      </c>
      <c r="DO793" s="307" t="n"/>
    </row>
    <row r="794" ht="15.6" customHeight="1" s="184">
      <c r="B794" s="303">
        <f t="array" ref="B794">IF(OR(ISERROR(K794:P794)),FALSE,TRUE)</f>
        <v/>
      </c>
      <c r="C794" s="60">
        <f>OR(BR794=Driver!$G$50,Data!BR69=Driver!$H$50)</f>
        <v/>
      </c>
      <c r="D794" s="60">
        <f>OR(BV794=Driver!$G$51,BV794=Driver!$H$51)</f>
        <v/>
      </c>
      <c r="E794" s="60">
        <f>AND(BX794&gt;Driver!$F$54,BX794&lt;Driver!$G$54)</f>
        <v/>
      </c>
      <c r="F794" s="60">
        <f>CL794&gt;Driver!$F$56</f>
        <v/>
      </c>
      <c r="G794" s="60">
        <f>AND(CB794&gt;Driver!$F$55,CB794&lt;Driver!$G$55)</f>
        <v/>
      </c>
      <c r="H794" s="60">
        <f>AND(B794:G794)</f>
        <v/>
      </c>
      <c r="I794" s="60">
        <f>COUNTIFS($H$9:$H$1273,TRUE,$BT$9:$BT$1273,BT794)</f>
        <v/>
      </c>
      <c r="J794" s="60">
        <f t="array" ref="J794">NOT(OR(($H$9:$H$1273=TRUE)*($I$9:$I$1273&gt;0)*($BT$9:$BT$1273=BT794)*($K$9:$K$1273&gt;K794)))</f>
        <v/>
      </c>
      <c r="K794" s="108">
        <f>IFERROR(1-AVERAGE(X794:Y794),"")</f>
        <v/>
      </c>
      <c r="L794" s="108">
        <f>1-X794</f>
        <v/>
      </c>
      <c r="M794" s="108">
        <f>1-Y794</f>
        <v/>
      </c>
      <c r="N794" s="108">
        <f>1-Z794</f>
        <v/>
      </c>
      <c r="O794" s="108">
        <f>1-AA794</f>
        <v/>
      </c>
      <c r="P794" s="108">
        <f>1-AB794</f>
        <v/>
      </c>
      <c r="Q794" s="108" t="n"/>
      <c r="R794" s="108" t="n"/>
      <c r="S794" s="108">
        <f>1-AE794</f>
        <v/>
      </c>
      <c r="T794" s="108">
        <f>1-AF794</f>
        <v/>
      </c>
      <c r="U794" s="108">
        <f>1-AG794</f>
        <v/>
      </c>
      <c r="V794" s="108">
        <f>1-AH794</f>
        <v/>
      </c>
      <c r="W794" s="108">
        <f>1-AI794</f>
        <v/>
      </c>
      <c r="X794" s="108">
        <f>ABS(AJ794-AJ$1)</f>
        <v/>
      </c>
      <c r="Y794" s="108">
        <f>AVERAGE(Z794:AB794)</f>
        <v/>
      </c>
      <c r="Z794" s="108">
        <f>ABS(AL794-AL$1)</f>
        <v/>
      </c>
      <c r="AA794" s="108">
        <f>ABS(AM794-AM$1)</f>
        <v/>
      </c>
      <c r="AB794" s="108">
        <f>ABS(AN794-AN$1)</f>
        <v/>
      </c>
      <c r="AC794" s="108" t="n"/>
      <c r="AD794" s="108" t="n"/>
      <c r="AE794" s="108">
        <f>ABS(AQ$1-AQ794)</f>
        <v/>
      </c>
      <c r="AF794" s="108">
        <f>ABS(AR$1-AR794)</f>
        <v/>
      </c>
      <c r="AG794" s="108">
        <f>ABS(AS$1-AS794)</f>
        <v/>
      </c>
      <c r="AH794" s="108">
        <f>ABS(AT$1-AT794)</f>
        <v/>
      </c>
      <c r="AI794" s="108">
        <f>ABS(AU$1-AU794)</f>
        <v/>
      </c>
      <c r="AJ794" s="108">
        <f>(AV794-Driver!$K$179)/(Driver!$L$179-Driver!$K$179)</f>
        <v/>
      </c>
      <c r="AK794" s="108">
        <f>(AW794-Driver!$K$180)/(Driver!$L$180-Driver!$K$180)</f>
        <v/>
      </c>
      <c r="AL794" s="108">
        <f>(AX794-Driver!$K$181)/(Driver!$L$181-Driver!$K$181)</f>
        <v/>
      </c>
      <c r="AM794" s="108">
        <f>(AY794-Driver!$K$182)/(Driver!$L$182-Driver!$K$182)</f>
        <v/>
      </c>
      <c r="AN794" s="108">
        <f>(AZ794-Driver!$K$183)/(Driver!$L$183-Driver!$K$183)</f>
        <v/>
      </c>
      <c r="AO794" s="108" t="n"/>
      <c r="AP794" s="108" t="n"/>
      <c r="AQ794" s="108">
        <f>(BC794-Driver!$K$188)/(Driver!$L$188-Driver!$K$188)</f>
        <v/>
      </c>
      <c r="AR794" s="108">
        <f>MIN((BD794-Driver!$K$189)/(Driver!$L$189-Driver!$K$189),100%)</f>
        <v/>
      </c>
      <c r="AS794" s="108">
        <f>(BE794-Driver!$K$190)/(Driver!$L$190-Driver!$K$190)</f>
        <v/>
      </c>
      <c r="AT794" s="108">
        <f>(BF794-Driver!$K$191)/(Driver!$L$191-Driver!$K$191)</f>
        <v/>
      </c>
      <c r="AU794" s="108">
        <f>(BG794-Driver!$K$192)/(Driver!$L$192-Driver!$K$192)</f>
        <v/>
      </c>
      <c r="AV794" s="105">
        <f>IFERROR(BM794*BJ794^1/4,"")</f>
        <v/>
      </c>
      <c r="AW794" s="105">
        <f>IFERROR(SUM(AX794:AZ794),"")</f>
        <v/>
      </c>
      <c r="AX794" s="105">
        <f>IFERROR(BH794,"")</f>
        <v/>
      </c>
      <c r="AY794" s="105">
        <f>IFERROR(Driver!$K$19/Data!BH794/Data!BI794*Data!BK794*Data!BL794,"")</f>
        <v/>
      </c>
      <c r="AZ794" s="105">
        <f>IFERROR(BI794*BN794,"")</f>
        <v/>
      </c>
      <c r="BA794" s="105" t="n"/>
      <c r="BB794" s="105" t="n"/>
      <c r="BC794" s="105">
        <f>IFERROR(BI794*BN794*BK794/BJ794^(1/2),"")</f>
        <v/>
      </c>
      <c r="BD794" s="105">
        <f>IFERROR(BH794*BM794*BL794/BJ794/BK794,"")</f>
        <v/>
      </c>
      <c r="BE794" s="105">
        <f>IFERROR(MIN(BI794/BQ794/BP794/BO794/BH794,$BE$1),"")</f>
        <v/>
      </c>
      <c r="BF794" s="105">
        <f>IFERROR(BJ794*BO794*BP794/BK794,"")</f>
        <v/>
      </c>
      <c r="BG794" s="105">
        <f>IFERROR(1/BM794/BH794*BQ794,"")</f>
        <v/>
      </c>
      <c r="BH794" s="102">
        <f>MAX((CE794-Driver!$F$200)/(Driver!$G$200-Driver!$F$200)*$BI$1,1)</f>
        <v/>
      </c>
      <c r="BI794" s="102">
        <f>MAX($BI$1*(BY794-Driver!$F$201)/(Driver!$G$201-Driver!$F$201),1)</f>
        <v/>
      </c>
      <c r="BJ794" s="102">
        <f>(CB794-Driver!$F$206)/(Driver!$G$206-Driver!$F$206)*$BI$1</f>
        <v/>
      </c>
      <c r="BK794" s="102">
        <f>(CD794-Driver!$F$203)/(Driver!$G$203-Driver!$F$203)*$BI$1</f>
        <v/>
      </c>
      <c r="BL794" s="102">
        <f>MAX((CR794-Driver!$F$202)/(Driver!$G$202-Driver!$F$202)*$BI$1,1)</f>
        <v/>
      </c>
      <c r="BM794" s="102">
        <f>MAX((CH794-Driver!$F$204)/(Driver!$G$204-Driver!$F$204)*$BI$1,1)</f>
        <v/>
      </c>
      <c r="BN794" s="102">
        <f>(CI794-Driver!$F$205)/(Driver!$G$205-Driver!$F$205)*$BI$1</f>
        <v/>
      </c>
      <c r="BO794" s="102">
        <f>(CK794-Driver!$F$207)/(Driver!$G$207-Driver!$F$207)*$BI$1</f>
        <v/>
      </c>
      <c r="BP794" s="102">
        <f>(CM794-Driver!$F$208)/(Driver!$G$208-Driver!$F$208)*$BI$1</f>
        <v/>
      </c>
      <c r="BQ794" s="102">
        <f>(CL794-Driver!$F$209)/(Driver!$G$209-Driver!$F$209)*$BI$1</f>
        <v/>
      </c>
      <c r="BR794" s="40" t="inlineStr">
        <is>
          <t>21/22</t>
        </is>
      </c>
      <c r="BS794" s="10" t="inlineStr">
        <is>
          <t xml:space="preserve"> Armada</t>
        </is>
      </c>
      <c r="BT794" s="11" t="inlineStr">
        <is>
          <t>Declivity 82 Ti</t>
        </is>
      </c>
      <c r="BU794" s="13" t="n">
        <v>182</v>
      </c>
      <c r="BV794" s="11" t="inlineStr">
        <is>
          <t xml:space="preserve"> Unisex</t>
        </is>
      </c>
      <c r="BW794" s="13" t="n">
        <v>182</v>
      </c>
      <c r="BX794" s="13" t="n">
        <v>181.5</v>
      </c>
      <c r="BY794" s="13" t="n">
        <v>150</v>
      </c>
      <c r="BZ794" s="13" t="n">
        <v>161</v>
      </c>
      <c r="CA794" s="13" t="n">
        <v>129</v>
      </c>
      <c r="CB794" s="13" t="n">
        <v>81</v>
      </c>
      <c r="CC794" s="13" t="n">
        <v>110</v>
      </c>
      <c r="CD794" s="13" t="n">
        <v>16.7</v>
      </c>
      <c r="CE794" s="13" t="n">
        <v>1734</v>
      </c>
      <c r="CF794" s="13" t="n">
        <v>1</v>
      </c>
      <c r="CG794" s="13" t="n">
        <v>1742</v>
      </c>
      <c r="CH794" s="13" t="n">
        <v>245</v>
      </c>
      <c r="CI794" s="13" t="n">
        <v>129</v>
      </c>
      <c r="CJ794" s="13" t="n">
        <v>41</v>
      </c>
      <c r="CK794" s="13" t="n">
        <v>197</v>
      </c>
      <c r="CL794" s="13" t="n">
        <v>12</v>
      </c>
      <c r="CM794" s="13" t="n">
        <v>123</v>
      </c>
      <c r="CN794" s="13" t="n">
        <v>0.289</v>
      </c>
      <c r="CO794" s="13" t="n">
        <v>131</v>
      </c>
      <c r="CP794" s="13" t="n">
        <v>73</v>
      </c>
      <c r="CQ794" s="13" t="n">
        <v>66</v>
      </c>
      <c r="CR794" s="13" t="n">
        <v>9</v>
      </c>
      <c r="CS794" s="13" t="n">
        <v>9.6</v>
      </c>
      <c r="CT794" s="11" t="inlineStr">
        <is>
          <t xml:space="preserve"> On-Piste All-Mountain</t>
        </is>
      </c>
      <c r="CU794" s="11" t="inlineStr">
        <is>
          <t xml:space="preserve"> Resort Freeride</t>
        </is>
      </c>
      <c r="CV794" s="13" t="n"/>
      <c r="CW794" s="13" t="n"/>
      <c r="CX794">
        <f>INDEX('Data_Price '!AG$2:AG$1266,MATCH(Data!$DN794,'Data_Price '!$AT$2:$AT$1266,0))</f>
        <v/>
      </c>
      <c r="CY794">
        <f>INDEX('Data_Price '!AH$2:AH$1266,MATCH(Data!$DN794,'Data_Price '!$AT$2:$AT$1266,0))</f>
        <v/>
      </c>
      <c r="CZ794">
        <f>INDEX('Data_Price '!AI$2:AI$1266,MATCH(Data!$DN794,'Data_Price '!$AT$2:$AT$1266,0))</f>
        <v/>
      </c>
      <c r="DA794">
        <f>INDEX('Data_Price '!AJ$2:AJ$1266,MATCH(Data!$DN794,'Data_Price '!$AT$2:$AT$1266,0))</f>
        <v/>
      </c>
      <c r="DB794">
        <f>INDEX('Data_Price '!AK$2:AK$1266,MATCH(Data!$DN794,'Data_Price '!$AT$2:$AT$1266,0))</f>
        <v/>
      </c>
      <c r="DC794">
        <f>INDEX('Data_Price '!AL$2:AL$1266,MATCH(Data!$DN794,'Data_Price '!$AT$2:$AT$1266,0))</f>
        <v/>
      </c>
      <c r="DD794">
        <f>INDEX('Data_Price '!AM$2:AM$1266,MATCH(Data!$DN794,'Data_Price '!$AT$2:$AT$1266,0))</f>
        <v/>
      </c>
      <c r="DE794">
        <f>INDEX('Data_Price '!AN$2:AN$1266,MATCH(Data!$DN794,'Data_Price '!$AT$2:$AT$1266,0))</f>
        <v/>
      </c>
      <c r="DF794">
        <f>INDEX('Data_Price '!AO$2:AO$1266,MATCH(Data!$DN794,'Data_Price '!$AT$2:$AT$1266,0))</f>
        <v/>
      </c>
      <c r="DG794">
        <f>INDEX('Data_Price '!AP$2:AP$1266,MATCH(Data!$DN794,'Data_Price '!$AT$2:$AT$1266,0))</f>
        <v/>
      </c>
      <c r="DH794">
        <f>INDEX('Data_Price '!AQ$2:AQ$1266,MATCH(Data!$DN794,'Data_Price '!$AT$2:$AT$1266,0))</f>
        <v/>
      </c>
      <c r="DI794">
        <f>INDEX('Data_Price '!AR$2:AR$1266,MATCH(Data!$DN794,'Data_Price '!$AT$2:$AT$1266,0))</f>
        <v/>
      </c>
      <c r="DJ794" s="138">
        <f>DA794</f>
        <v/>
      </c>
      <c r="DK794" s="138">
        <f>DE794</f>
        <v/>
      </c>
      <c r="DL794" s="138">
        <f>DI794</f>
        <v/>
      </c>
      <c r="DM794" s="303">
        <f>IF(LEFT(BT794,1)=" ",RIGHT(BT794,LEN(BT794)-1),BT794)</f>
        <v/>
      </c>
      <c r="DN794" s="138">
        <f>_xlfn.CONCAT(BS794,DM794,BU794,BV794)</f>
        <v/>
      </c>
      <c r="DO794" s="307" t="n"/>
    </row>
    <row r="795" ht="15.6" customHeight="1" s="184">
      <c r="B795" s="303">
        <f t="array" ref="B795">IF(OR(ISERROR(K795:P795)),FALSE,TRUE)</f>
        <v/>
      </c>
      <c r="C795" s="60">
        <f>OR(BR795=Driver!$G$50,Data!BR1035=Driver!$H$50)</f>
        <v/>
      </c>
      <c r="D795" s="60">
        <f>OR(BV795=Driver!$G$51,BV795=Driver!$H$51)</f>
        <v/>
      </c>
      <c r="E795" s="60">
        <f>AND(BX795&gt;Driver!$F$54,BX795&lt;Driver!$G$54)</f>
        <v/>
      </c>
      <c r="F795" s="60">
        <f>CL795&gt;Driver!$F$56</f>
        <v/>
      </c>
      <c r="G795" s="60">
        <f>AND(CB795&gt;Driver!$F$55,CB795&lt;Driver!$G$55)</f>
        <v/>
      </c>
      <c r="H795" s="60">
        <f>AND(B795:G795)</f>
        <v/>
      </c>
      <c r="I795" s="60">
        <f>COUNTIFS($H$9:$H$1273,TRUE,$BT$9:$BT$1273,BT795)</f>
        <v/>
      </c>
      <c r="J795" s="60">
        <f t="array" ref="J795">NOT(OR(($H$9:$H$1273=TRUE)*($I$9:$I$1273&gt;0)*($BT$9:$BT$1273=BT795)*($K$9:$K$1273&gt;K795)))</f>
        <v/>
      </c>
      <c r="K795" s="108">
        <f>IFERROR(1-AVERAGE(X795:Y795),"")</f>
        <v/>
      </c>
      <c r="L795" s="108">
        <f>1-X795</f>
        <v/>
      </c>
      <c r="M795" s="108">
        <f>1-Y795</f>
        <v/>
      </c>
      <c r="N795" s="108">
        <f>1-Z795</f>
        <v/>
      </c>
      <c r="O795" s="108">
        <f>1-AA795</f>
        <v/>
      </c>
      <c r="P795" s="108">
        <f>1-AB795</f>
        <v/>
      </c>
      <c r="Q795" s="108" t="n"/>
      <c r="R795" s="108" t="n"/>
      <c r="S795" s="108">
        <f>1-AE795</f>
        <v/>
      </c>
      <c r="T795" s="108">
        <f>1-AF795</f>
        <v/>
      </c>
      <c r="U795" s="108">
        <f>1-AG795</f>
        <v/>
      </c>
      <c r="V795" s="108">
        <f>1-AH795</f>
        <v/>
      </c>
      <c r="W795" s="108">
        <f>1-AI795</f>
        <v/>
      </c>
      <c r="X795" s="108">
        <f>ABS(AJ795-AJ$1)</f>
        <v/>
      </c>
      <c r="Y795" s="108">
        <f>AVERAGE(Z795:AB795)</f>
        <v/>
      </c>
      <c r="Z795" s="108">
        <f>ABS(AL795-AL$1)</f>
        <v/>
      </c>
      <c r="AA795" s="108">
        <f>ABS(AM795-AM$1)</f>
        <v/>
      </c>
      <c r="AB795" s="108">
        <f>ABS(AN795-AN$1)</f>
        <v/>
      </c>
      <c r="AC795" s="108" t="n"/>
      <c r="AD795" s="108" t="n"/>
      <c r="AE795" s="108">
        <f>ABS(AQ$1-AQ795)</f>
        <v/>
      </c>
      <c r="AF795" s="108">
        <f>ABS(AR$1-AR795)</f>
        <v/>
      </c>
      <c r="AG795" s="108">
        <f>ABS(AS$1-AS795)</f>
        <v/>
      </c>
      <c r="AH795" s="108">
        <f>ABS(AT$1-AT795)</f>
        <v/>
      </c>
      <c r="AI795" s="108">
        <f>ABS(AU$1-AU795)</f>
        <v/>
      </c>
      <c r="AJ795" s="108">
        <f>(AV795-Driver!$K$179)/(Driver!$L$179-Driver!$K$179)</f>
        <v/>
      </c>
      <c r="AK795" s="108">
        <f>(AW795-Driver!$K$180)/(Driver!$L$180-Driver!$K$180)</f>
        <v/>
      </c>
      <c r="AL795" s="108">
        <f>(AX795-Driver!$K$181)/(Driver!$L$181-Driver!$K$181)</f>
        <v/>
      </c>
      <c r="AM795" s="108">
        <f>(AY795-Driver!$K$182)/(Driver!$L$182-Driver!$K$182)</f>
        <v/>
      </c>
      <c r="AN795" s="108">
        <f>(AZ795-Driver!$K$183)/(Driver!$L$183-Driver!$K$183)</f>
        <v/>
      </c>
      <c r="AO795" s="108" t="n"/>
      <c r="AP795" s="108" t="n"/>
      <c r="AQ795" s="108">
        <f>(BC795-Driver!$K$188)/(Driver!$L$188-Driver!$K$188)</f>
        <v/>
      </c>
      <c r="AR795" s="108">
        <f>MIN((BD795-Driver!$K$189)/(Driver!$L$189-Driver!$K$189),100%)</f>
        <v/>
      </c>
      <c r="AS795" s="108">
        <f>(BE795-Driver!$K$190)/(Driver!$L$190-Driver!$K$190)</f>
        <v/>
      </c>
      <c r="AT795" s="108">
        <f>(BF795-Driver!$K$191)/(Driver!$L$191-Driver!$K$191)</f>
        <v/>
      </c>
      <c r="AU795" s="108">
        <f>(BG795-Driver!$K$192)/(Driver!$L$192-Driver!$K$192)</f>
        <v/>
      </c>
      <c r="AV795" s="105">
        <f>IFERROR(BM795*BJ795^1/4,"")</f>
        <v/>
      </c>
      <c r="AW795" s="105">
        <f>IFERROR(SUM(AX795:AZ795),"")</f>
        <v/>
      </c>
      <c r="AX795" s="105">
        <f>IFERROR(BH795,"")</f>
        <v/>
      </c>
      <c r="AY795" s="105">
        <f>IFERROR(Driver!$K$19/Data!BH795/Data!BI795*Data!BK795*Data!BL795,"")</f>
        <v/>
      </c>
      <c r="AZ795" s="105">
        <f>IFERROR(BI795*BN795,"")</f>
        <v/>
      </c>
      <c r="BA795" s="105" t="n"/>
      <c r="BB795" s="105" t="n"/>
      <c r="BC795" s="105">
        <f>IFERROR(BI795*BN795*BK795/BJ795^(1/2),"")</f>
        <v/>
      </c>
      <c r="BD795" s="105">
        <f>IFERROR(BH795*BM795*BL795/BJ795/BK795,"")</f>
        <v/>
      </c>
      <c r="BE795" s="105">
        <f>IFERROR(MIN(BI795/BQ795/BP795/BO795/BH795,$BE$1),"")</f>
        <v/>
      </c>
      <c r="BF795" s="105">
        <f>IFERROR(BJ795*BO795*BP795/BK795,"")</f>
        <v/>
      </c>
      <c r="BG795" s="105">
        <f>IFERROR(1/BM795/BH795*BQ795,"")</f>
        <v/>
      </c>
      <c r="BH795" s="102">
        <f>MAX((CE795-Driver!$F$200)/(Driver!$G$200-Driver!$F$200)*$BI$1,1)</f>
        <v/>
      </c>
      <c r="BI795" s="102">
        <f>MAX($BI$1*(BY795-Driver!$F$201)/(Driver!$G$201-Driver!$F$201),1)</f>
        <v/>
      </c>
      <c r="BJ795" s="102">
        <f>(CB795-Driver!$F$206)/(Driver!$G$206-Driver!$F$206)*$BI$1</f>
        <v/>
      </c>
      <c r="BK795" s="102">
        <f>(CD795-Driver!$F$203)/(Driver!$G$203-Driver!$F$203)*$BI$1</f>
        <v/>
      </c>
      <c r="BL795" s="102">
        <f>MAX((CR795-Driver!$F$202)/(Driver!$G$202-Driver!$F$202)*$BI$1,1)</f>
        <v/>
      </c>
      <c r="BM795" s="102">
        <f>MAX((CH795-Driver!$F$204)/(Driver!$G$204-Driver!$F$204)*$BI$1,1)</f>
        <v/>
      </c>
      <c r="BN795" s="102">
        <f>(CI795-Driver!$F$205)/(Driver!$G$205-Driver!$F$205)*$BI$1</f>
        <v/>
      </c>
      <c r="BO795" s="102">
        <f>(CK795-Driver!$F$207)/(Driver!$G$207-Driver!$F$207)*$BI$1</f>
        <v/>
      </c>
      <c r="BP795" s="102">
        <f>(CM795-Driver!$F$208)/(Driver!$G$208-Driver!$F$208)*$BI$1</f>
        <v/>
      </c>
      <c r="BQ795" s="102">
        <f>(CL795-Driver!$F$209)/(Driver!$G$209-Driver!$F$209)*$BI$1</f>
        <v/>
      </c>
      <c r="BR795" s="40" t="inlineStr">
        <is>
          <t>21/22</t>
        </is>
      </c>
      <c r="BS795" s="10" t="inlineStr">
        <is>
          <t xml:space="preserve"> Rossignol</t>
        </is>
      </c>
      <c r="BT795" s="11" t="inlineStr">
        <is>
          <t xml:space="preserve"> Hero Elite Short Turn Ti</t>
        </is>
      </c>
      <c r="BU795" s="13" t="n">
        <v>167</v>
      </c>
      <c r="BV795" s="11" t="inlineStr">
        <is>
          <t xml:space="preserve"> Unisex</t>
        </is>
      </c>
      <c r="BW795" s="13" t="n">
        <v>167</v>
      </c>
      <c r="BX795" s="13" t="n">
        <v>165.5</v>
      </c>
      <c r="BY795" s="13" t="n">
        <v>143</v>
      </c>
      <c r="BZ795" s="13" t="n">
        <v>151</v>
      </c>
      <c r="CA795" s="13" t="n">
        <v>122</v>
      </c>
      <c r="CB795" s="13" t="n">
        <v>67</v>
      </c>
      <c r="CC795" s="13" t="n">
        <v>103</v>
      </c>
      <c r="CD795" s="13" t="n">
        <v>12.4</v>
      </c>
      <c r="CE795" s="13" t="n">
        <v>1963</v>
      </c>
      <c r="CF795" s="13" t="n">
        <v>0.71</v>
      </c>
      <c r="CG795" s="13" t="n">
        <v>1399</v>
      </c>
      <c r="CH795" s="13" t="n">
        <v>209</v>
      </c>
      <c r="CI795" s="13" t="n">
        <v>86</v>
      </c>
      <c r="CJ795" s="13" t="n">
        <v>40</v>
      </c>
      <c r="CK795" s="13" t="n">
        <v>157</v>
      </c>
      <c r="CL795" s="13" t="n">
        <v>5</v>
      </c>
      <c r="CM795" s="13" t="n">
        <v>70</v>
      </c>
      <c r="CN795" s="13" t="n">
        <v>0.129</v>
      </c>
      <c r="CO795" s="13" t="n">
        <v>76</v>
      </c>
      <c r="CP795" s="13" t="n">
        <v>66</v>
      </c>
      <c r="CQ795" s="13" t="n">
        <v>81</v>
      </c>
      <c r="CR795" s="13" t="n">
        <v>12</v>
      </c>
      <c r="CS795" s="13" t="n">
        <v>10.5</v>
      </c>
      <c r="CT795" s="11" t="inlineStr">
        <is>
          <t xml:space="preserve"> On-Piste Carving</t>
        </is>
      </c>
      <c r="CU795" s="13" t="n"/>
      <c r="CV795" s="13" t="n"/>
      <c r="CW795" s="13" t="n"/>
      <c r="CX795">
        <f>INDEX('Data_Price '!AG$2:AG$1266,MATCH(Data!$DN795,'Data_Price '!$AT$2:$AT$1266,0))</f>
        <v/>
      </c>
      <c r="CY795">
        <f>INDEX('Data_Price '!AH$2:AH$1266,MATCH(Data!$DN795,'Data_Price '!$AT$2:$AT$1266,0))</f>
        <v/>
      </c>
      <c r="CZ795">
        <f>INDEX('Data_Price '!AI$2:AI$1266,MATCH(Data!$DN795,'Data_Price '!$AT$2:$AT$1266,0))</f>
        <v/>
      </c>
      <c r="DA795">
        <f>INDEX('Data_Price '!AJ$2:AJ$1266,MATCH(Data!$DN795,'Data_Price '!$AT$2:$AT$1266,0))</f>
        <v/>
      </c>
      <c r="DB795">
        <f>INDEX('Data_Price '!AK$2:AK$1266,MATCH(Data!$DN795,'Data_Price '!$AT$2:$AT$1266,0))</f>
        <v/>
      </c>
      <c r="DC795">
        <f>INDEX('Data_Price '!AL$2:AL$1266,MATCH(Data!$DN795,'Data_Price '!$AT$2:$AT$1266,0))</f>
        <v/>
      </c>
      <c r="DD795">
        <f>INDEX('Data_Price '!AM$2:AM$1266,MATCH(Data!$DN795,'Data_Price '!$AT$2:$AT$1266,0))</f>
        <v/>
      </c>
      <c r="DE795">
        <f>INDEX('Data_Price '!AN$2:AN$1266,MATCH(Data!$DN795,'Data_Price '!$AT$2:$AT$1266,0))</f>
        <v/>
      </c>
      <c r="DF795">
        <f>INDEX('Data_Price '!AO$2:AO$1266,MATCH(Data!$DN795,'Data_Price '!$AT$2:$AT$1266,0))</f>
        <v/>
      </c>
      <c r="DG795">
        <f>INDEX('Data_Price '!AP$2:AP$1266,MATCH(Data!$DN795,'Data_Price '!$AT$2:$AT$1266,0))</f>
        <v/>
      </c>
      <c r="DH795">
        <f>INDEX('Data_Price '!AQ$2:AQ$1266,MATCH(Data!$DN795,'Data_Price '!$AT$2:$AT$1266,0))</f>
        <v/>
      </c>
      <c r="DI795">
        <f>INDEX('Data_Price '!AR$2:AR$1266,MATCH(Data!$DN795,'Data_Price '!$AT$2:$AT$1266,0))</f>
        <v/>
      </c>
      <c r="DJ795" s="138">
        <f>DA795</f>
        <v/>
      </c>
      <c r="DK795" s="138">
        <f>DE795</f>
        <v/>
      </c>
      <c r="DL795" s="138">
        <f>DI795</f>
        <v/>
      </c>
      <c r="DM795" s="303">
        <f>IF(LEFT(BT795,1)=" ",RIGHT(BT795,LEN(BT795)-1),BT795)</f>
        <v/>
      </c>
      <c r="DN795" s="138">
        <f>_xlfn.CONCAT(BS795,DM795,BU795,BV795)</f>
        <v/>
      </c>
      <c r="DO795" s="307" t="n"/>
    </row>
    <row r="796" ht="15.6" customHeight="1" s="184">
      <c r="B796" s="303">
        <f t="array" ref="B796">IF(OR(ISERROR(K796:P796)),FALSE,TRUE)</f>
        <v/>
      </c>
      <c r="C796" s="60">
        <f>OR(BR796=Driver!$G$50,Data!BR1135=Driver!$H$50)</f>
        <v/>
      </c>
      <c r="D796" s="60">
        <f>OR(BV796=Driver!$G$51,BV796=Driver!$H$51)</f>
        <v/>
      </c>
      <c r="E796" s="60">
        <f>AND(BX796&gt;Driver!$F$54,BX796&lt;Driver!$G$54)</f>
        <v/>
      </c>
      <c r="F796" s="60">
        <f>CL796&gt;Driver!$F$56</f>
        <v/>
      </c>
      <c r="G796" s="60">
        <f>AND(CB796&gt;Driver!$F$55,CB796&lt;Driver!$G$55)</f>
        <v/>
      </c>
      <c r="H796" s="60">
        <f>AND(B796:G796)</f>
        <v/>
      </c>
      <c r="I796" s="60">
        <f>COUNTIFS($H$9:$H$1273,TRUE,$BT$9:$BT$1273,BT796)</f>
        <v/>
      </c>
      <c r="J796" s="60">
        <f t="array" ref="J796">NOT(OR(($H$9:$H$1273=TRUE)*($I$9:$I$1273&gt;0)*($BT$9:$BT$1273=BT796)*($K$9:$K$1273&gt;K796)))</f>
        <v/>
      </c>
      <c r="K796" s="108">
        <f>IFERROR(1-AVERAGE(X796:Y796),"")</f>
        <v/>
      </c>
      <c r="L796" s="108">
        <f>1-X796</f>
        <v/>
      </c>
      <c r="M796" s="108">
        <f>1-Y796</f>
        <v/>
      </c>
      <c r="N796" s="108">
        <f>1-Z796</f>
        <v/>
      </c>
      <c r="O796" s="108">
        <f>1-AA796</f>
        <v/>
      </c>
      <c r="P796" s="108">
        <f>1-AB796</f>
        <v/>
      </c>
      <c r="Q796" s="108" t="n"/>
      <c r="R796" s="108" t="n"/>
      <c r="S796" s="108">
        <f>1-AE796</f>
        <v/>
      </c>
      <c r="T796" s="108">
        <f>1-AF796</f>
        <v/>
      </c>
      <c r="U796" s="108">
        <f>1-AG796</f>
        <v/>
      </c>
      <c r="V796" s="108">
        <f>1-AH796</f>
        <v/>
      </c>
      <c r="W796" s="108">
        <f>1-AI796</f>
        <v/>
      </c>
      <c r="X796" s="108">
        <f>ABS(AJ796-AJ$1)</f>
        <v/>
      </c>
      <c r="Y796" s="108">
        <f>AVERAGE(Z796:AB796)</f>
        <v/>
      </c>
      <c r="Z796" s="108">
        <f>ABS(AL796-AL$1)</f>
        <v/>
      </c>
      <c r="AA796" s="108">
        <f>ABS(AM796-AM$1)</f>
        <v/>
      </c>
      <c r="AB796" s="108">
        <f>ABS(AN796-AN$1)</f>
        <v/>
      </c>
      <c r="AC796" s="108" t="n"/>
      <c r="AD796" s="108" t="n"/>
      <c r="AE796" s="108">
        <f>ABS(AQ$1-AQ796)</f>
        <v/>
      </c>
      <c r="AF796" s="108">
        <f>ABS(AR$1-AR796)</f>
        <v/>
      </c>
      <c r="AG796" s="108">
        <f>ABS(AS$1-AS796)</f>
        <v/>
      </c>
      <c r="AH796" s="108">
        <f>ABS(AT$1-AT796)</f>
        <v/>
      </c>
      <c r="AI796" s="108">
        <f>ABS(AU$1-AU796)</f>
        <v/>
      </c>
      <c r="AJ796" s="108">
        <f>(AV796-Driver!$K$179)/(Driver!$L$179-Driver!$K$179)</f>
        <v/>
      </c>
      <c r="AK796" s="108">
        <f>(AW796-Driver!$K$180)/(Driver!$L$180-Driver!$K$180)</f>
        <v/>
      </c>
      <c r="AL796" s="108">
        <f>(AX796-Driver!$K$181)/(Driver!$L$181-Driver!$K$181)</f>
        <v/>
      </c>
      <c r="AM796" s="108">
        <f>(AY796-Driver!$K$182)/(Driver!$L$182-Driver!$K$182)</f>
        <v/>
      </c>
      <c r="AN796" s="108">
        <f>(AZ796-Driver!$K$183)/(Driver!$L$183-Driver!$K$183)</f>
        <v/>
      </c>
      <c r="AO796" s="108" t="n"/>
      <c r="AP796" s="108" t="n"/>
      <c r="AQ796" s="108">
        <f>(BC796-Driver!$K$188)/(Driver!$L$188-Driver!$K$188)</f>
        <v/>
      </c>
      <c r="AR796" s="108">
        <f>MIN((BD796-Driver!$K$189)/(Driver!$L$189-Driver!$K$189),100%)</f>
        <v/>
      </c>
      <c r="AS796" s="108">
        <f>(BE796-Driver!$K$190)/(Driver!$L$190-Driver!$K$190)</f>
        <v/>
      </c>
      <c r="AT796" s="108">
        <f>(BF796-Driver!$K$191)/(Driver!$L$191-Driver!$K$191)</f>
        <v/>
      </c>
      <c r="AU796" s="108">
        <f>(BG796-Driver!$K$192)/(Driver!$L$192-Driver!$K$192)</f>
        <v/>
      </c>
      <c r="AV796" s="105">
        <f>IFERROR(BM796*BJ796^1/4,"")</f>
        <v/>
      </c>
      <c r="AW796" s="105">
        <f>IFERROR(SUM(AX796:AZ796),"")</f>
        <v/>
      </c>
      <c r="AX796" s="105">
        <f>IFERROR(BH796,"")</f>
        <v/>
      </c>
      <c r="AY796" s="105">
        <f>IFERROR(Driver!$K$19/Data!BH796/Data!BI796*Data!BK796*Data!BL796,"")</f>
        <v/>
      </c>
      <c r="AZ796" s="105">
        <f>IFERROR(BI796*BN796,"")</f>
        <v/>
      </c>
      <c r="BA796" s="105" t="n"/>
      <c r="BB796" s="105" t="n"/>
      <c r="BC796" s="105">
        <f>IFERROR(BI796*BN796*BK796/BJ796^(1/2),"")</f>
        <v/>
      </c>
      <c r="BD796" s="105">
        <f>IFERROR(BH796*BM796*BL796/BJ796/BK796,"")</f>
        <v/>
      </c>
      <c r="BE796" s="105">
        <f>IFERROR(MIN(BI796/BQ796/BP796/BO796/BH796,$BE$1),"")</f>
        <v/>
      </c>
      <c r="BF796" s="105">
        <f>IFERROR(BJ796*BO796*BP796/BK796,"")</f>
        <v/>
      </c>
      <c r="BG796" s="105">
        <f>IFERROR(1/BM796/BH796*BQ796,"")</f>
        <v/>
      </c>
      <c r="BH796" s="102">
        <f>MAX((CE796-Driver!$F$200)/(Driver!$G$200-Driver!$F$200)*$BI$1,1)</f>
        <v/>
      </c>
      <c r="BI796" s="102">
        <f>MAX($BI$1*(BY796-Driver!$F$201)/(Driver!$G$201-Driver!$F$201),1)</f>
        <v/>
      </c>
      <c r="BJ796" s="102">
        <f>(CB796-Driver!$F$206)/(Driver!$G$206-Driver!$F$206)*$BI$1</f>
        <v/>
      </c>
      <c r="BK796" s="102">
        <f>(CD796-Driver!$F$203)/(Driver!$G$203-Driver!$F$203)*$BI$1</f>
        <v/>
      </c>
      <c r="BL796" s="102">
        <f>MAX((CR796-Driver!$F$202)/(Driver!$G$202-Driver!$F$202)*$BI$1,1)</f>
        <v/>
      </c>
      <c r="BM796" s="102">
        <f>MAX((CH796-Driver!$F$204)/(Driver!$G$204-Driver!$F$204)*$BI$1,1)</f>
        <v/>
      </c>
      <c r="BN796" s="102">
        <f>(CI796-Driver!$F$205)/(Driver!$G$205-Driver!$F$205)*$BI$1</f>
        <v/>
      </c>
      <c r="BO796" s="102">
        <f>(CK796-Driver!$F$207)/(Driver!$G$207-Driver!$F$207)*$BI$1</f>
        <v/>
      </c>
      <c r="BP796" s="102">
        <f>(CM796-Driver!$F$208)/(Driver!$G$208-Driver!$F$208)*$BI$1</f>
        <v/>
      </c>
      <c r="BQ796" s="102">
        <f>(CL796-Driver!$F$209)/(Driver!$G$209-Driver!$F$209)*$BI$1</f>
        <v/>
      </c>
      <c r="BR796" s="40" t="inlineStr">
        <is>
          <t>21/22</t>
        </is>
      </c>
      <c r="BS796" s="10" t="inlineStr">
        <is>
          <t xml:space="preserve"> Stöckli</t>
        </is>
      </c>
      <c r="BT796" s="11" t="inlineStr">
        <is>
          <t xml:space="preserve"> Laser SL</t>
        </is>
      </c>
      <c r="BU796" s="13" t="n">
        <v>160</v>
      </c>
      <c r="BV796" s="11" t="inlineStr">
        <is>
          <t xml:space="preserve"> Unisex</t>
        </is>
      </c>
      <c r="BW796" s="13" t="n">
        <v>160</v>
      </c>
      <c r="BX796" s="13" t="n">
        <v>159.1</v>
      </c>
      <c r="BY796" s="13" t="n">
        <v>137</v>
      </c>
      <c r="BZ796" s="13" t="n">
        <v>147</v>
      </c>
      <c r="CA796" s="13" t="n">
        <v>119</v>
      </c>
      <c r="CB796" s="13" t="n">
        <v>66</v>
      </c>
      <c r="CC796" s="13" t="n">
        <v>97</v>
      </c>
      <c r="CD796" s="13" t="n">
        <v>12.9</v>
      </c>
      <c r="CE796" s="13" t="n">
        <v>1666</v>
      </c>
      <c r="CF796" s="13" t="n">
        <v>0.78</v>
      </c>
      <c r="CG796" s="13" t="n">
        <v>1292</v>
      </c>
      <c r="CH796" s="13" t="n">
        <v>196</v>
      </c>
      <c r="CI796" s="13" t="n">
        <v>119</v>
      </c>
      <c r="CJ796" s="13" t="n">
        <v>40</v>
      </c>
      <c r="CK796" s="13" t="n">
        <v>156</v>
      </c>
      <c r="CL796" s="13" t="n">
        <v>7</v>
      </c>
      <c r="CM796" s="13" t="n">
        <v>63</v>
      </c>
      <c r="CN796" s="13" t="n">
        <v>0.162</v>
      </c>
      <c r="CO796" s="13" t="n">
        <v>67</v>
      </c>
      <c r="CP796" s="13" t="n">
        <v>50</v>
      </c>
      <c r="CQ796" s="13" t="n">
        <v>89</v>
      </c>
      <c r="CR796" s="13" t="n">
        <v>8</v>
      </c>
      <c r="CS796" s="13" t="n">
        <v>12.6</v>
      </c>
      <c r="CT796" s="11" t="inlineStr">
        <is>
          <t xml:space="preserve"> On-Piste Carving</t>
        </is>
      </c>
      <c r="CU796" s="13" t="n"/>
      <c r="CV796" s="13" t="n"/>
      <c r="CW796" s="13" t="n"/>
      <c r="CX796">
        <f>INDEX('Data_Price '!AG$2:AG$1266,MATCH(Data!$DN796,'Data_Price '!$AT$2:$AT$1266,0))</f>
        <v/>
      </c>
      <c r="CY796">
        <f>INDEX('Data_Price '!AH$2:AH$1266,MATCH(Data!$DN796,'Data_Price '!$AT$2:$AT$1266,0))</f>
        <v/>
      </c>
      <c r="CZ796">
        <f>INDEX('Data_Price '!AI$2:AI$1266,MATCH(Data!$DN796,'Data_Price '!$AT$2:$AT$1266,0))</f>
        <v/>
      </c>
      <c r="DA796">
        <f>INDEX('Data_Price '!AJ$2:AJ$1266,MATCH(Data!$DN796,'Data_Price '!$AT$2:$AT$1266,0))</f>
        <v/>
      </c>
      <c r="DB796">
        <f>INDEX('Data_Price '!AK$2:AK$1266,MATCH(Data!$DN796,'Data_Price '!$AT$2:$AT$1266,0))</f>
        <v/>
      </c>
      <c r="DC796">
        <f>INDEX('Data_Price '!AL$2:AL$1266,MATCH(Data!$DN796,'Data_Price '!$AT$2:$AT$1266,0))</f>
        <v/>
      </c>
      <c r="DD796">
        <f>INDEX('Data_Price '!AM$2:AM$1266,MATCH(Data!$DN796,'Data_Price '!$AT$2:$AT$1266,0))</f>
        <v/>
      </c>
      <c r="DE796">
        <f>INDEX('Data_Price '!AN$2:AN$1266,MATCH(Data!$DN796,'Data_Price '!$AT$2:$AT$1266,0))</f>
        <v/>
      </c>
      <c r="DF796">
        <f>INDEX('Data_Price '!AO$2:AO$1266,MATCH(Data!$DN796,'Data_Price '!$AT$2:$AT$1266,0))</f>
        <v/>
      </c>
      <c r="DG796">
        <f>INDEX('Data_Price '!AP$2:AP$1266,MATCH(Data!$DN796,'Data_Price '!$AT$2:$AT$1266,0))</f>
        <v/>
      </c>
      <c r="DH796">
        <f>INDEX('Data_Price '!AQ$2:AQ$1266,MATCH(Data!$DN796,'Data_Price '!$AT$2:$AT$1266,0))</f>
        <v/>
      </c>
      <c r="DI796">
        <f>INDEX('Data_Price '!AR$2:AR$1266,MATCH(Data!$DN796,'Data_Price '!$AT$2:$AT$1266,0))</f>
        <v/>
      </c>
      <c r="DJ796" s="138">
        <f>DA796</f>
        <v/>
      </c>
      <c r="DK796" s="138">
        <f>DE796</f>
        <v/>
      </c>
      <c r="DL796" s="138">
        <f>DI796</f>
        <v/>
      </c>
      <c r="DM796" s="303">
        <f>IF(LEFT(BT796,1)=" ",RIGHT(BT796,LEN(BT796)-1),BT796)</f>
        <v/>
      </c>
      <c r="DN796" s="138">
        <f>_xlfn.CONCAT(BS796,DM796,BU796,BV796)</f>
        <v/>
      </c>
      <c r="DO796" s="307" t="n"/>
    </row>
    <row r="797" ht="15.6" customHeight="1" s="184">
      <c r="B797" s="303">
        <f t="array" ref="B797">IF(OR(ISERROR(K797:P797)),FALSE,TRUE)</f>
        <v/>
      </c>
      <c r="C797" s="60">
        <f>OR(BR797=Driver!$G$50,Data!BR696=Driver!$H$50)</f>
        <v/>
      </c>
      <c r="D797" s="60">
        <f>OR(BV797=Driver!$G$51,BV797=Driver!$H$51)</f>
        <v/>
      </c>
      <c r="E797" s="60">
        <f>AND(BX797&gt;Driver!$F$54,BX797&lt;Driver!$G$54)</f>
        <v/>
      </c>
      <c r="F797" s="60">
        <f>CL797&gt;Driver!$F$56</f>
        <v/>
      </c>
      <c r="G797" s="60">
        <f>AND(CB797&gt;Driver!$F$55,CB797&lt;Driver!$G$55)</f>
        <v/>
      </c>
      <c r="H797" s="60">
        <f>AND(B797:G797)</f>
        <v/>
      </c>
      <c r="I797" s="60">
        <f>COUNTIFS($H$9:$H$1273,TRUE,$BT$9:$BT$1273,BT797)</f>
        <v/>
      </c>
      <c r="J797" s="60">
        <f t="array" ref="J797">NOT(OR(($H$9:$H$1273=TRUE)*($I$9:$I$1273&gt;0)*($BT$9:$BT$1273=BT797)*($K$9:$K$1273&gt;K797)))</f>
        <v/>
      </c>
      <c r="K797" s="108">
        <f>IFERROR(1-AVERAGE(X797:Y797),"")</f>
        <v/>
      </c>
      <c r="L797" s="108">
        <f>1-X797</f>
        <v/>
      </c>
      <c r="M797" s="108">
        <f>1-Y797</f>
        <v/>
      </c>
      <c r="N797" s="108">
        <f>1-Z797</f>
        <v/>
      </c>
      <c r="O797" s="108">
        <f>1-AA797</f>
        <v/>
      </c>
      <c r="P797" s="108">
        <f>1-AB797</f>
        <v/>
      </c>
      <c r="Q797" s="108" t="n"/>
      <c r="R797" s="108" t="n"/>
      <c r="S797" s="108">
        <f>1-AE797</f>
        <v/>
      </c>
      <c r="T797" s="108">
        <f>1-AF797</f>
        <v/>
      </c>
      <c r="U797" s="108">
        <f>1-AG797</f>
        <v/>
      </c>
      <c r="V797" s="108">
        <f>1-AH797</f>
        <v/>
      </c>
      <c r="W797" s="108">
        <f>1-AI797</f>
        <v/>
      </c>
      <c r="X797" s="108">
        <f>ABS(AJ797-AJ$1)</f>
        <v/>
      </c>
      <c r="Y797" s="108">
        <f>AVERAGE(Z797:AB797)</f>
        <v/>
      </c>
      <c r="Z797" s="108">
        <f>ABS(AL797-AL$1)</f>
        <v/>
      </c>
      <c r="AA797" s="108">
        <f>ABS(AM797-AM$1)</f>
        <v/>
      </c>
      <c r="AB797" s="108">
        <f>ABS(AN797-AN$1)</f>
        <v/>
      </c>
      <c r="AC797" s="108" t="n"/>
      <c r="AD797" s="108" t="n"/>
      <c r="AE797" s="108">
        <f>ABS(AQ$1-AQ797)</f>
        <v/>
      </c>
      <c r="AF797" s="108">
        <f>ABS(AR$1-AR797)</f>
        <v/>
      </c>
      <c r="AG797" s="108">
        <f>ABS(AS$1-AS797)</f>
        <v/>
      </c>
      <c r="AH797" s="108">
        <f>ABS(AT$1-AT797)</f>
        <v/>
      </c>
      <c r="AI797" s="108">
        <f>ABS(AU$1-AU797)</f>
        <v/>
      </c>
      <c r="AJ797" s="108">
        <f>(AV797-Driver!$K$179)/(Driver!$L$179-Driver!$K$179)</f>
        <v/>
      </c>
      <c r="AK797" s="108">
        <f>(AW797-Driver!$K$180)/(Driver!$L$180-Driver!$K$180)</f>
        <v/>
      </c>
      <c r="AL797" s="108">
        <f>(AX797-Driver!$K$181)/(Driver!$L$181-Driver!$K$181)</f>
        <v/>
      </c>
      <c r="AM797" s="108">
        <f>(AY797-Driver!$K$182)/(Driver!$L$182-Driver!$K$182)</f>
        <v/>
      </c>
      <c r="AN797" s="108">
        <f>(AZ797-Driver!$K$183)/(Driver!$L$183-Driver!$K$183)</f>
        <v/>
      </c>
      <c r="AO797" s="108" t="n"/>
      <c r="AP797" s="108" t="n"/>
      <c r="AQ797" s="108">
        <f>(BC797-Driver!$K$188)/(Driver!$L$188-Driver!$K$188)</f>
        <v/>
      </c>
      <c r="AR797" s="108">
        <f>MIN((BD797-Driver!$K$189)/(Driver!$L$189-Driver!$K$189),100%)</f>
        <v/>
      </c>
      <c r="AS797" s="108">
        <f>(BE797-Driver!$K$190)/(Driver!$L$190-Driver!$K$190)</f>
        <v/>
      </c>
      <c r="AT797" s="108">
        <f>(BF797-Driver!$K$191)/(Driver!$L$191-Driver!$K$191)</f>
        <v/>
      </c>
      <c r="AU797" s="108">
        <f>(BG797-Driver!$K$192)/(Driver!$L$192-Driver!$K$192)</f>
        <v/>
      </c>
      <c r="AV797" s="105">
        <f>IFERROR(BM797*BJ797^1/4,"")</f>
        <v/>
      </c>
      <c r="AW797" s="105">
        <f>IFERROR(SUM(AX797:AZ797),"")</f>
        <v/>
      </c>
      <c r="AX797" s="105">
        <f>IFERROR(BH797,"")</f>
        <v/>
      </c>
      <c r="AY797" s="105">
        <f>IFERROR(Driver!$K$19/Data!BH797/Data!BI797*Data!BK797*Data!BL797,"")</f>
        <v/>
      </c>
      <c r="AZ797" s="105">
        <f>IFERROR(BI797*BN797,"")</f>
        <v/>
      </c>
      <c r="BA797" s="105" t="n"/>
      <c r="BB797" s="105" t="n"/>
      <c r="BC797" s="105">
        <f>IFERROR(BI797*BN797*BK797/BJ797^(1/2),"")</f>
        <v/>
      </c>
      <c r="BD797" s="105">
        <f>IFERROR(BH797*BM797*BL797/BJ797/BK797,"")</f>
        <v/>
      </c>
      <c r="BE797" s="105">
        <f>IFERROR(MIN(BI797/BQ797/BP797/BO797/BH797,$BE$1),"")</f>
        <v/>
      </c>
      <c r="BF797" s="105">
        <f>IFERROR(BJ797*BO797*BP797/BK797,"")</f>
        <v/>
      </c>
      <c r="BG797" s="105">
        <f>IFERROR(1/BM797/BH797*BQ797,"")</f>
        <v/>
      </c>
      <c r="BH797" s="102">
        <f>MAX((CE797-Driver!$F$200)/(Driver!$G$200-Driver!$F$200)*$BI$1,1)</f>
        <v/>
      </c>
      <c r="BI797" s="102">
        <f>MAX($BI$1*(BY797-Driver!$F$201)/(Driver!$G$201-Driver!$F$201),1)</f>
        <v/>
      </c>
      <c r="BJ797" s="102">
        <f>(CB797-Driver!$F$206)/(Driver!$G$206-Driver!$F$206)*$BI$1</f>
        <v/>
      </c>
      <c r="BK797" s="102">
        <f>(CD797-Driver!$F$203)/(Driver!$G$203-Driver!$F$203)*$BI$1</f>
        <v/>
      </c>
      <c r="BL797" s="102">
        <f>MAX((CR797-Driver!$F$202)/(Driver!$G$202-Driver!$F$202)*$BI$1,1)</f>
        <v/>
      </c>
      <c r="BM797" s="102">
        <f>MAX((CH797-Driver!$F$204)/(Driver!$G$204-Driver!$F$204)*$BI$1,1)</f>
        <v/>
      </c>
      <c r="BN797" s="102">
        <f>(CI797-Driver!$F$205)/(Driver!$G$205-Driver!$F$205)*$BI$1</f>
        <v/>
      </c>
      <c r="BO797" s="102">
        <f>(CK797-Driver!$F$207)/(Driver!$G$207-Driver!$F$207)*$BI$1</f>
        <v/>
      </c>
      <c r="BP797" s="102">
        <f>(CM797-Driver!$F$208)/(Driver!$G$208-Driver!$F$208)*$BI$1</f>
        <v/>
      </c>
      <c r="BQ797" s="102">
        <f>(CL797-Driver!$F$209)/(Driver!$G$209-Driver!$F$209)*$BI$1</f>
        <v/>
      </c>
      <c r="BR797" s="40" t="inlineStr">
        <is>
          <t>21/22</t>
        </is>
      </c>
      <c r="BS797" s="10" t="inlineStr">
        <is>
          <t xml:space="preserve"> J Skis</t>
        </is>
      </c>
      <c r="BT797" s="11" t="inlineStr">
        <is>
          <t xml:space="preserve"> The Hotshot</t>
        </is>
      </c>
      <c r="BU797" s="13" t="n">
        <v>183</v>
      </c>
      <c r="BV797" s="11" t="inlineStr">
        <is>
          <t xml:space="preserve"> Unisex</t>
        </is>
      </c>
      <c r="BW797" s="13" t="n">
        <v>183</v>
      </c>
      <c r="BX797" s="13" t="n">
        <v>180.8</v>
      </c>
      <c r="BY797" s="13" t="n">
        <v>110</v>
      </c>
      <c r="BZ797" s="13" t="n">
        <v>145</v>
      </c>
      <c r="CA797" s="13" t="n">
        <v>134</v>
      </c>
      <c r="CB797" s="13" t="n">
        <v>106</v>
      </c>
      <c r="CC797" s="13" t="n">
        <v>124</v>
      </c>
      <c r="CD797" s="13" t="n">
        <v>18.8</v>
      </c>
      <c r="CE797" s="13" t="n">
        <v>2292</v>
      </c>
      <c r="CF797" s="13" t="n">
        <v>0.91</v>
      </c>
      <c r="CG797" s="13" t="n">
        <v>2087</v>
      </c>
      <c r="CH797" s="13" t="n">
        <v>227</v>
      </c>
      <c r="CI797" s="13" t="n">
        <v>117</v>
      </c>
      <c r="CJ797" s="13" t="n">
        <v>59</v>
      </c>
      <c r="CK797" s="13" t="n">
        <v>444</v>
      </c>
      <c r="CL797" s="13" t="n">
        <v>39</v>
      </c>
      <c r="CM797" s="13" t="n">
        <v>265</v>
      </c>
      <c r="CN797" s="13" t="n">
        <v>0.658</v>
      </c>
      <c r="CO797" s="13" t="n">
        <v>182</v>
      </c>
      <c r="CP797" s="13" t="n">
        <v>176</v>
      </c>
      <c r="CQ797" s="13" t="n">
        <v>262</v>
      </c>
      <c r="CR797" s="13" t="n">
        <v>3</v>
      </c>
      <c r="CS797" s="13" t="n">
        <v>7.6</v>
      </c>
      <c r="CT797" s="11" t="inlineStr">
        <is>
          <t xml:space="preserve"> Powder</t>
        </is>
      </c>
      <c r="CU797" s="13" t="n"/>
      <c r="CV797" s="13" t="n"/>
      <c r="CW797" s="13" t="n"/>
      <c r="CX797">
        <f>INDEX('Data_Price '!AG$2:AG$1266,MATCH(Data!$DN797,'Data_Price '!$AT$2:$AT$1266,0))</f>
        <v/>
      </c>
      <c r="CY797">
        <f>INDEX('Data_Price '!AH$2:AH$1266,MATCH(Data!$DN797,'Data_Price '!$AT$2:$AT$1266,0))</f>
        <v/>
      </c>
      <c r="CZ797">
        <f>INDEX('Data_Price '!AI$2:AI$1266,MATCH(Data!$DN797,'Data_Price '!$AT$2:$AT$1266,0))</f>
        <v/>
      </c>
      <c r="DA797">
        <f>INDEX('Data_Price '!AJ$2:AJ$1266,MATCH(Data!$DN797,'Data_Price '!$AT$2:$AT$1266,0))</f>
        <v/>
      </c>
      <c r="DB797">
        <f>INDEX('Data_Price '!AK$2:AK$1266,MATCH(Data!$DN797,'Data_Price '!$AT$2:$AT$1266,0))</f>
        <v/>
      </c>
      <c r="DC797">
        <f>INDEX('Data_Price '!AL$2:AL$1266,MATCH(Data!$DN797,'Data_Price '!$AT$2:$AT$1266,0))</f>
        <v/>
      </c>
      <c r="DD797">
        <f>INDEX('Data_Price '!AM$2:AM$1266,MATCH(Data!$DN797,'Data_Price '!$AT$2:$AT$1266,0))</f>
        <v/>
      </c>
      <c r="DE797">
        <f>INDEX('Data_Price '!AN$2:AN$1266,MATCH(Data!$DN797,'Data_Price '!$AT$2:$AT$1266,0))</f>
        <v/>
      </c>
      <c r="DF797">
        <f>INDEX('Data_Price '!AO$2:AO$1266,MATCH(Data!$DN797,'Data_Price '!$AT$2:$AT$1266,0))</f>
        <v/>
      </c>
      <c r="DG797">
        <f>INDEX('Data_Price '!AP$2:AP$1266,MATCH(Data!$DN797,'Data_Price '!$AT$2:$AT$1266,0))</f>
        <v/>
      </c>
      <c r="DH797">
        <f>INDEX('Data_Price '!AQ$2:AQ$1266,MATCH(Data!$DN797,'Data_Price '!$AT$2:$AT$1266,0))</f>
        <v/>
      </c>
      <c r="DI797">
        <f>INDEX('Data_Price '!AR$2:AR$1266,MATCH(Data!$DN797,'Data_Price '!$AT$2:$AT$1266,0))</f>
        <v/>
      </c>
      <c r="DJ797" s="138">
        <f>DA797</f>
        <v/>
      </c>
      <c r="DK797" s="138">
        <f>DE797</f>
        <v/>
      </c>
      <c r="DL797" s="138">
        <f>DI797</f>
        <v/>
      </c>
      <c r="DM797" s="303">
        <f>IF(LEFT(BT797,1)=" ",RIGHT(BT797,LEN(BT797)-1),BT797)</f>
        <v/>
      </c>
      <c r="DN797" s="138">
        <f>_xlfn.CONCAT(BS797,DM797,BU797,BV797)</f>
        <v/>
      </c>
      <c r="DO797" s="307" t="n"/>
    </row>
    <row r="798" ht="15.6" customHeight="1" s="184">
      <c r="B798" s="303">
        <f t="array" ref="B798">IF(OR(ISERROR(K798:P798)),FALSE,TRUE)</f>
        <v/>
      </c>
      <c r="C798" s="60">
        <f>OR(BR798=Driver!$G$50,Data!BR176=Driver!$H$50)</f>
        <v/>
      </c>
      <c r="D798" s="60">
        <f>OR(BV798=Driver!$G$51,BV798=Driver!$H$51)</f>
        <v/>
      </c>
      <c r="E798" s="60">
        <f>AND(BX798&gt;Driver!$F$54,BX798&lt;Driver!$G$54)</f>
        <v/>
      </c>
      <c r="F798" s="60">
        <f>CL798&gt;Driver!$F$56</f>
        <v/>
      </c>
      <c r="G798" s="60">
        <f>AND(CB798&gt;Driver!$F$55,CB798&lt;Driver!$G$55)</f>
        <v/>
      </c>
      <c r="H798" s="60">
        <f>AND(B798:G798)</f>
        <v/>
      </c>
      <c r="I798" s="60">
        <f>COUNTIFS($H$9:$H$1273,TRUE,$BT$9:$BT$1273,BT798)</f>
        <v/>
      </c>
      <c r="J798" s="60">
        <f t="array" ref="J798">NOT(OR(($H$9:$H$1273=TRUE)*($I$9:$I$1273&gt;0)*($BT$9:$BT$1273=BT798)*($K$9:$K$1273&gt;K798)))</f>
        <v/>
      </c>
      <c r="K798" s="108">
        <f>IFERROR(1-AVERAGE(X798:Y798),"")</f>
        <v/>
      </c>
      <c r="L798" s="108">
        <f>1-X798</f>
        <v/>
      </c>
      <c r="M798" s="108">
        <f>1-Y798</f>
        <v/>
      </c>
      <c r="N798" s="108">
        <f>1-Z798</f>
        <v/>
      </c>
      <c r="O798" s="108">
        <f>1-AA798</f>
        <v/>
      </c>
      <c r="P798" s="108">
        <f>1-AB798</f>
        <v/>
      </c>
      <c r="Q798" s="108" t="n"/>
      <c r="R798" s="108" t="n"/>
      <c r="S798" s="108">
        <f>1-AE798</f>
        <v/>
      </c>
      <c r="T798" s="108">
        <f>1-AF798</f>
        <v/>
      </c>
      <c r="U798" s="108">
        <f>1-AG798</f>
        <v/>
      </c>
      <c r="V798" s="108">
        <f>1-AH798</f>
        <v/>
      </c>
      <c r="W798" s="108">
        <f>1-AI798</f>
        <v/>
      </c>
      <c r="X798" s="108">
        <f>ABS(AJ798-AJ$1)</f>
        <v/>
      </c>
      <c r="Y798" s="108">
        <f>AVERAGE(Z798:AB798)</f>
        <v/>
      </c>
      <c r="Z798" s="108">
        <f>ABS(AL798-AL$1)</f>
        <v/>
      </c>
      <c r="AA798" s="108">
        <f>ABS(AM798-AM$1)</f>
        <v/>
      </c>
      <c r="AB798" s="108">
        <f>ABS(AN798-AN$1)</f>
        <v/>
      </c>
      <c r="AC798" s="108" t="n"/>
      <c r="AD798" s="108" t="n"/>
      <c r="AE798" s="108">
        <f>ABS(AQ$1-AQ798)</f>
        <v/>
      </c>
      <c r="AF798" s="108">
        <f>ABS(AR$1-AR798)</f>
        <v/>
      </c>
      <c r="AG798" s="108">
        <f>ABS(AS$1-AS798)</f>
        <v/>
      </c>
      <c r="AH798" s="108">
        <f>ABS(AT$1-AT798)</f>
        <v/>
      </c>
      <c r="AI798" s="108">
        <f>ABS(AU$1-AU798)</f>
        <v/>
      </c>
      <c r="AJ798" s="108">
        <f>(AV798-Driver!$K$179)/(Driver!$L$179-Driver!$K$179)</f>
        <v/>
      </c>
      <c r="AK798" s="108">
        <f>(AW798-Driver!$K$180)/(Driver!$L$180-Driver!$K$180)</f>
        <v/>
      </c>
      <c r="AL798" s="108">
        <f>(AX798-Driver!$K$181)/(Driver!$L$181-Driver!$K$181)</f>
        <v/>
      </c>
      <c r="AM798" s="108">
        <f>(AY798-Driver!$K$182)/(Driver!$L$182-Driver!$K$182)</f>
        <v/>
      </c>
      <c r="AN798" s="108">
        <f>(AZ798-Driver!$K$183)/(Driver!$L$183-Driver!$K$183)</f>
        <v/>
      </c>
      <c r="AO798" s="108" t="n"/>
      <c r="AP798" s="108" t="n"/>
      <c r="AQ798" s="108">
        <f>(BC798-Driver!$K$188)/(Driver!$L$188-Driver!$K$188)</f>
        <v/>
      </c>
      <c r="AR798" s="108">
        <f>MIN((BD798-Driver!$K$189)/(Driver!$L$189-Driver!$K$189),100%)</f>
        <v/>
      </c>
      <c r="AS798" s="108">
        <f>(BE798-Driver!$K$190)/(Driver!$L$190-Driver!$K$190)</f>
        <v/>
      </c>
      <c r="AT798" s="108">
        <f>(BF798-Driver!$K$191)/(Driver!$L$191-Driver!$K$191)</f>
        <v/>
      </c>
      <c r="AU798" s="108">
        <f>(BG798-Driver!$K$192)/(Driver!$L$192-Driver!$K$192)</f>
        <v/>
      </c>
      <c r="AV798" s="105">
        <f>IFERROR(BM798*BJ798^1/4,"")</f>
        <v/>
      </c>
      <c r="AW798" s="105">
        <f>IFERROR(SUM(AX798:AZ798),"")</f>
        <v/>
      </c>
      <c r="AX798" s="105">
        <f>IFERROR(BH798,"")</f>
        <v/>
      </c>
      <c r="AY798" s="105">
        <f>IFERROR(Driver!$K$19/Data!BH798/Data!BI798*Data!BK798*Data!BL798,"")</f>
        <v/>
      </c>
      <c r="AZ798" s="105">
        <f>IFERROR(BI798*BN798,"")</f>
        <v/>
      </c>
      <c r="BA798" s="105" t="n"/>
      <c r="BB798" s="105" t="n"/>
      <c r="BC798" s="105">
        <f>IFERROR(BI798*BN798*BK798/BJ798^(1/2),"")</f>
        <v/>
      </c>
      <c r="BD798" s="105">
        <f>IFERROR(BH798*BM798*BL798/BJ798/BK798,"")</f>
        <v/>
      </c>
      <c r="BE798" s="105">
        <f>IFERROR(MIN(BI798/BQ798/BP798/BO798/BH798,$BE$1),"")</f>
        <v/>
      </c>
      <c r="BF798" s="105">
        <f>IFERROR(BJ798*BO798*BP798/BK798,"")</f>
        <v/>
      </c>
      <c r="BG798" s="105">
        <f>IFERROR(1/BM798/BH798*BQ798,"")</f>
        <v/>
      </c>
      <c r="BH798" s="102">
        <f>MAX((CE798-Driver!$F$200)/(Driver!$G$200-Driver!$F$200)*$BI$1,1)</f>
        <v/>
      </c>
      <c r="BI798" s="102">
        <f>MAX($BI$1*(BY798-Driver!$F$201)/(Driver!$G$201-Driver!$F$201),1)</f>
        <v/>
      </c>
      <c r="BJ798" s="102">
        <f>(CB798-Driver!$F$206)/(Driver!$G$206-Driver!$F$206)*$BI$1</f>
        <v/>
      </c>
      <c r="BK798" s="102">
        <f>(CD798-Driver!$F$203)/(Driver!$G$203-Driver!$F$203)*$BI$1</f>
        <v/>
      </c>
      <c r="BL798" s="102">
        <f>MAX((CR798-Driver!$F$202)/(Driver!$G$202-Driver!$F$202)*$BI$1,1)</f>
        <v/>
      </c>
      <c r="BM798" s="102">
        <f>MAX((CH798-Driver!$F$204)/(Driver!$G$204-Driver!$F$204)*$BI$1,1)</f>
        <v/>
      </c>
      <c r="BN798" s="102">
        <f>(CI798-Driver!$F$205)/(Driver!$G$205-Driver!$F$205)*$BI$1</f>
        <v/>
      </c>
      <c r="BO798" s="102">
        <f>(CK798-Driver!$F$207)/(Driver!$G$207-Driver!$F$207)*$BI$1</f>
        <v/>
      </c>
      <c r="BP798" s="102">
        <f>(CM798-Driver!$F$208)/(Driver!$G$208-Driver!$F$208)*$BI$1</f>
        <v/>
      </c>
      <c r="BQ798" s="102">
        <f>(CL798-Driver!$F$209)/(Driver!$G$209-Driver!$F$209)*$BI$1</f>
        <v/>
      </c>
      <c r="BR798" s="40" t="inlineStr">
        <is>
          <t>21/22</t>
        </is>
      </c>
      <c r="BS798" s="10" t="inlineStr">
        <is>
          <t xml:space="preserve"> Atomic</t>
        </is>
      </c>
      <c r="BT798" s="11" t="inlineStr">
        <is>
          <t>Redster S9 Revo</t>
        </is>
      </c>
      <c r="BU798" s="13" t="n">
        <v>160</v>
      </c>
      <c r="BV798" s="11" t="inlineStr">
        <is>
          <t xml:space="preserve"> Unisex</t>
        </is>
      </c>
      <c r="BW798" s="13" t="n">
        <v>160</v>
      </c>
      <c r="BX798" s="13" t="n">
        <v>159.6</v>
      </c>
      <c r="BY798" s="13" t="n">
        <v>140</v>
      </c>
      <c r="BZ798" s="13" t="n">
        <v>146</v>
      </c>
      <c r="CA798" s="13" t="n">
        <v>115</v>
      </c>
      <c r="CB798" s="13" t="n">
        <v>67</v>
      </c>
      <c r="CC798" s="13" t="n">
        <v>101</v>
      </c>
      <c r="CD798" s="13" t="n">
        <v>12.5</v>
      </c>
      <c r="CE798" s="13" t="n">
        <v>1985</v>
      </c>
      <c r="CF798" s="13" t="n">
        <v>0.66</v>
      </c>
      <c r="CG798" s="13" t="n">
        <v>1316</v>
      </c>
      <c r="CH798" s="13" t="n">
        <v>196</v>
      </c>
      <c r="CI798" s="13" t="n">
        <v>97</v>
      </c>
      <c r="CJ798" s="13" t="n">
        <v>32</v>
      </c>
      <c r="CK798" s="13" t="n">
        <v>141</v>
      </c>
      <c r="CL798" s="13" t="n">
        <v>4</v>
      </c>
      <c r="CM798" s="13" t="n">
        <v>51</v>
      </c>
      <c r="CN798" s="13" t="n">
        <v>0.13</v>
      </c>
      <c r="CO798" s="13" t="n">
        <v>80</v>
      </c>
      <c r="CP798" s="13" t="n">
        <v>51</v>
      </c>
      <c r="CQ798" s="13" t="n">
        <v>60</v>
      </c>
      <c r="CR798" s="13" t="n">
        <v>11</v>
      </c>
      <c r="CS798" s="13" t="n">
        <v>13.6</v>
      </c>
      <c r="CT798" s="11" t="inlineStr">
        <is>
          <t xml:space="preserve"> On-Piste Carving</t>
        </is>
      </c>
      <c r="CU798" s="13" t="n"/>
      <c r="CV798" s="13" t="n"/>
      <c r="CW798" s="13" t="n"/>
      <c r="CX798">
        <f>INDEX('Data_Price '!AG$2:AG$1266,MATCH(Data!$DN798,'Data_Price '!$AT$2:$AT$1266,0))</f>
        <v/>
      </c>
      <c r="CY798">
        <f>INDEX('Data_Price '!AH$2:AH$1266,MATCH(Data!$DN798,'Data_Price '!$AT$2:$AT$1266,0))</f>
        <v/>
      </c>
      <c r="CZ798">
        <f>INDEX('Data_Price '!AI$2:AI$1266,MATCH(Data!$DN798,'Data_Price '!$AT$2:$AT$1266,0))</f>
        <v/>
      </c>
      <c r="DA798">
        <f>INDEX('Data_Price '!AJ$2:AJ$1266,MATCH(Data!$DN798,'Data_Price '!$AT$2:$AT$1266,0))</f>
        <v/>
      </c>
      <c r="DB798">
        <f>INDEX('Data_Price '!AK$2:AK$1266,MATCH(Data!$DN798,'Data_Price '!$AT$2:$AT$1266,0))</f>
        <v/>
      </c>
      <c r="DC798">
        <f>INDEX('Data_Price '!AL$2:AL$1266,MATCH(Data!$DN798,'Data_Price '!$AT$2:$AT$1266,0))</f>
        <v/>
      </c>
      <c r="DD798">
        <f>INDEX('Data_Price '!AM$2:AM$1266,MATCH(Data!$DN798,'Data_Price '!$AT$2:$AT$1266,0))</f>
        <v/>
      </c>
      <c r="DE798">
        <f>INDEX('Data_Price '!AN$2:AN$1266,MATCH(Data!$DN798,'Data_Price '!$AT$2:$AT$1266,0))</f>
        <v/>
      </c>
      <c r="DF798">
        <f>INDEX('Data_Price '!AO$2:AO$1266,MATCH(Data!$DN798,'Data_Price '!$AT$2:$AT$1266,0))</f>
        <v/>
      </c>
      <c r="DG798">
        <f>INDEX('Data_Price '!AP$2:AP$1266,MATCH(Data!$DN798,'Data_Price '!$AT$2:$AT$1266,0))</f>
        <v/>
      </c>
      <c r="DH798">
        <f>INDEX('Data_Price '!AQ$2:AQ$1266,MATCH(Data!$DN798,'Data_Price '!$AT$2:$AT$1266,0))</f>
        <v/>
      </c>
      <c r="DI798">
        <f>INDEX('Data_Price '!AR$2:AR$1266,MATCH(Data!$DN798,'Data_Price '!$AT$2:$AT$1266,0))</f>
        <v/>
      </c>
      <c r="DJ798" s="138">
        <f>DA798</f>
        <v/>
      </c>
      <c r="DK798" s="138">
        <f>DE798</f>
        <v/>
      </c>
      <c r="DL798" s="138">
        <f>DI798</f>
        <v/>
      </c>
      <c r="DM798" s="303">
        <f>IF(LEFT(BT798,1)=" ",RIGHT(BT798,LEN(BT798)-1),BT798)</f>
        <v/>
      </c>
      <c r="DN798" s="138">
        <f>_xlfn.CONCAT(BS798,DM798,BU798,BV798)</f>
        <v/>
      </c>
      <c r="DO798" s="307" t="n"/>
    </row>
    <row r="799" ht="15.6" customHeight="1" s="184">
      <c r="B799" s="303">
        <f t="array" ref="B799">IF(OR(ISERROR(K799:P799)),FALSE,TRUE)</f>
        <v/>
      </c>
      <c r="C799" s="60">
        <f>OR(BR799=Driver!$G$50,Data!BR744=Driver!$H$50)</f>
        <v/>
      </c>
      <c r="D799" s="60">
        <f>OR(BV799=Driver!$G$51,BV799=Driver!$H$51)</f>
        <v/>
      </c>
      <c r="E799" s="60">
        <f>AND(BX799&gt;Driver!$F$54,BX799&lt;Driver!$G$54)</f>
        <v/>
      </c>
      <c r="F799" s="60">
        <f>CL799&gt;Driver!$F$56</f>
        <v/>
      </c>
      <c r="G799" s="60">
        <f>AND(CB799&gt;Driver!$F$55,CB799&lt;Driver!$G$55)</f>
        <v/>
      </c>
      <c r="H799" s="60">
        <f>AND(B799:G799)</f>
        <v/>
      </c>
      <c r="I799" s="60">
        <f>COUNTIFS($H$9:$H$1273,TRUE,$BT$9:$BT$1273,BT799)</f>
        <v/>
      </c>
      <c r="J799" s="60">
        <f t="array" ref="J799">NOT(OR(($H$9:$H$1273=TRUE)*($I$9:$I$1273&gt;0)*($BT$9:$BT$1273=BT799)*($K$9:$K$1273&gt;K799)))</f>
        <v/>
      </c>
      <c r="K799" s="108">
        <f>IFERROR(1-AVERAGE(X799:Y799),"")</f>
        <v/>
      </c>
      <c r="L799" s="108">
        <f>1-X799</f>
        <v/>
      </c>
      <c r="M799" s="108">
        <f>1-Y799</f>
        <v/>
      </c>
      <c r="N799" s="108">
        <f>1-Z799</f>
        <v/>
      </c>
      <c r="O799" s="108">
        <f>1-AA799</f>
        <v/>
      </c>
      <c r="P799" s="108">
        <f>1-AB799</f>
        <v/>
      </c>
      <c r="Q799" s="108" t="n"/>
      <c r="R799" s="108" t="n"/>
      <c r="S799" s="108">
        <f>1-AE799</f>
        <v/>
      </c>
      <c r="T799" s="108">
        <f>1-AF799</f>
        <v/>
      </c>
      <c r="U799" s="108">
        <f>1-AG799</f>
        <v/>
      </c>
      <c r="V799" s="108">
        <f>1-AH799</f>
        <v/>
      </c>
      <c r="W799" s="108">
        <f>1-AI799</f>
        <v/>
      </c>
      <c r="X799" s="108">
        <f>ABS(AJ799-AJ$1)</f>
        <v/>
      </c>
      <c r="Y799" s="108">
        <f>AVERAGE(Z799:AB799)</f>
        <v/>
      </c>
      <c r="Z799" s="108">
        <f>ABS(AL799-AL$1)</f>
        <v/>
      </c>
      <c r="AA799" s="108">
        <f>ABS(AM799-AM$1)</f>
        <v/>
      </c>
      <c r="AB799" s="108">
        <f>ABS(AN799-AN$1)</f>
        <v/>
      </c>
      <c r="AC799" s="108" t="n"/>
      <c r="AD799" s="108" t="n"/>
      <c r="AE799" s="108">
        <f>ABS(AQ$1-AQ799)</f>
        <v/>
      </c>
      <c r="AF799" s="108">
        <f>ABS(AR$1-AR799)</f>
        <v/>
      </c>
      <c r="AG799" s="108">
        <f>ABS(AS$1-AS799)</f>
        <v/>
      </c>
      <c r="AH799" s="108">
        <f>ABS(AT$1-AT799)</f>
        <v/>
      </c>
      <c r="AI799" s="108">
        <f>ABS(AU$1-AU799)</f>
        <v/>
      </c>
      <c r="AJ799" s="108">
        <f>(AV799-Driver!$K$179)/(Driver!$L$179-Driver!$K$179)</f>
        <v/>
      </c>
      <c r="AK799" s="108">
        <f>(AW799-Driver!$K$180)/(Driver!$L$180-Driver!$K$180)</f>
        <v/>
      </c>
      <c r="AL799" s="108">
        <f>(AX799-Driver!$K$181)/(Driver!$L$181-Driver!$K$181)</f>
        <v/>
      </c>
      <c r="AM799" s="108">
        <f>(AY799-Driver!$K$182)/(Driver!$L$182-Driver!$K$182)</f>
        <v/>
      </c>
      <c r="AN799" s="108">
        <f>(AZ799-Driver!$K$183)/(Driver!$L$183-Driver!$K$183)</f>
        <v/>
      </c>
      <c r="AO799" s="108" t="n"/>
      <c r="AP799" s="108" t="n"/>
      <c r="AQ799" s="108">
        <f>(BC799-Driver!$K$188)/(Driver!$L$188-Driver!$K$188)</f>
        <v/>
      </c>
      <c r="AR799" s="108">
        <f>MIN((BD799-Driver!$K$189)/(Driver!$L$189-Driver!$K$189),100%)</f>
        <v/>
      </c>
      <c r="AS799" s="108">
        <f>(BE799-Driver!$K$190)/(Driver!$L$190-Driver!$K$190)</f>
        <v/>
      </c>
      <c r="AT799" s="108">
        <f>(BF799-Driver!$K$191)/(Driver!$L$191-Driver!$K$191)</f>
        <v/>
      </c>
      <c r="AU799" s="108">
        <f>(BG799-Driver!$K$192)/(Driver!$L$192-Driver!$K$192)</f>
        <v/>
      </c>
      <c r="AV799" s="105">
        <f>IFERROR(BM799*BJ799^1/4,"")</f>
        <v/>
      </c>
      <c r="AW799" s="105">
        <f>IFERROR(SUM(AX799:AZ799),"")</f>
        <v/>
      </c>
      <c r="AX799" s="105">
        <f>IFERROR(BH799,"")</f>
        <v/>
      </c>
      <c r="AY799" s="105">
        <f>IFERROR(Driver!$K$19/Data!BH799/Data!BI799*Data!BK799*Data!BL799,"")</f>
        <v/>
      </c>
      <c r="AZ799" s="105">
        <f>IFERROR(BI799*BN799,"")</f>
        <v/>
      </c>
      <c r="BA799" s="105" t="n"/>
      <c r="BB799" s="105" t="n"/>
      <c r="BC799" s="105">
        <f>IFERROR(BI799*BN799*BK799/BJ799^(1/2),"")</f>
        <v/>
      </c>
      <c r="BD799" s="105">
        <f>IFERROR(BH799*BM799*BL799/BJ799/BK799,"")</f>
        <v/>
      </c>
      <c r="BE799" s="105">
        <f>IFERROR(MIN(BI799/BQ799/BP799/BO799/BH799,$BE$1),"")</f>
        <v/>
      </c>
      <c r="BF799" s="105">
        <f>IFERROR(BJ799*BO799*BP799/BK799,"")</f>
        <v/>
      </c>
      <c r="BG799" s="105">
        <f>IFERROR(1/BM799/BH799*BQ799,"")</f>
        <v/>
      </c>
      <c r="BH799" s="102">
        <f>MAX((CE799-Driver!$F$200)/(Driver!$G$200-Driver!$F$200)*$BI$1,1)</f>
        <v/>
      </c>
      <c r="BI799" s="102">
        <f>MAX($BI$1*(BY799-Driver!$F$201)/(Driver!$G$201-Driver!$F$201),1)</f>
        <v/>
      </c>
      <c r="BJ799" s="102">
        <f>(CB799-Driver!$F$206)/(Driver!$G$206-Driver!$F$206)*$BI$1</f>
        <v/>
      </c>
      <c r="BK799" s="102">
        <f>(CD799-Driver!$F$203)/(Driver!$G$203-Driver!$F$203)*$BI$1</f>
        <v/>
      </c>
      <c r="BL799" s="102">
        <f>MAX((CR799-Driver!$F$202)/(Driver!$G$202-Driver!$F$202)*$BI$1,1)</f>
        <v/>
      </c>
      <c r="BM799" s="102">
        <f>MAX((CH799-Driver!$F$204)/(Driver!$G$204-Driver!$F$204)*$BI$1,1)</f>
        <v/>
      </c>
      <c r="BN799" s="102">
        <f>(CI799-Driver!$F$205)/(Driver!$G$205-Driver!$F$205)*$BI$1</f>
        <v/>
      </c>
      <c r="BO799" s="102">
        <f>(CK799-Driver!$F$207)/(Driver!$G$207-Driver!$F$207)*$BI$1</f>
        <v/>
      </c>
      <c r="BP799" s="102">
        <f>(CM799-Driver!$F$208)/(Driver!$G$208-Driver!$F$208)*$BI$1</f>
        <v/>
      </c>
      <c r="BQ799" s="102">
        <f>(CL799-Driver!$F$209)/(Driver!$G$209-Driver!$F$209)*$BI$1</f>
        <v/>
      </c>
      <c r="BR799" s="40" t="inlineStr">
        <is>
          <t>21/22</t>
        </is>
      </c>
      <c r="BS799" s="10" t="inlineStr">
        <is>
          <t xml:space="preserve"> K2</t>
        </is>
      </c>
      <c r="BT799" s="11" t="inlineStr">
        <is>
          <t>Mindbender 90C</t>
        </is>
      </c>
      <c r="BU799" s="13" t="n">
        <v>163</v>
      </c>
      <c r="BV799" s="11" t="inlineStr">
        <is>
          <t xml:space="preserve"> Unisex</t>
        </is>
      </c>
      <c r="BW799" s="13" t="n">
        <v>163</v>
      </c>
      <c r="BX799" s="13" t="n">
        <v>163.6</v>
      </c>
      <c r="BY799" s="13" t="n">
        <v>129</v>
      </c>
      <c r="BZ799" s="13" t="n">
        <v>137</v>
      </c>
      <c r="CA799" s="13" t="n">
        <v>126</v>
      </c>
      <c r="CB799" s="13" t="n">
        <v>89</v>
      </c>
      <c r="CC799" s="13" t="n">
        <v>112</v>
      </c>
      <c r="CD799" s="13" t="n">
        <v>14.6</v>
      </c>
      <c r="CE799" s="13" t="n">
        <v>1462</v>
      </c>
      <c r="CF799" s="13" t="n">
        <v>1.13</v>
      </c>
      <c r="CG799" s="13" t="n">
        <v>1659</v>
      </c>
      <c r="CH799" s="13" t="n">
        <v>131</v>
      </c>
      <c r="CI799" s="13" t="n">
        <v>68</v>
      </c>
      <c r="CJ799" s="13" t="n">
        <v>44</v>
      </c>
      <c r="CK799" s="13" t="n">
        <v>208</v>
      </c>
      <c r="CL799" s="13" t="n">
        <v>14</v>
      </c>
      <c r="CM799" s="13" t="n">
        <v>141</v>
      </c>
      <c r="CN799" s="13" t="n">
        <v>0.315</v>
      </c>
      <c r="CO799" s="13" t="n">
        <v>156</v>
      </c>
      <c r="CP799" s="13" t="n">
        <v>111</v>
      </c>
      <c r="CQ799" s="13" t="n">
        <v>52</v>
      </c>
      <c r="CR799" s="13" t="n">
        <v>8</v>
      </c>
      <c r="CS799" s="13" t="n">
        <v>10.3</v>
      </c>
      <c r="CT799" s="11" t="inlineStr">
        <is>
          <t xml:space="preserve"> Resort Freeride</t>
        </is>
      </c>
      <c r="CU799" s="11" t="inlineStr">
        <is>
          <t xml:space="preserve"> Touring</t>
        </is>
      </c>
      <c r="CV799" s="13" t="n"/>
      <c r="CW799" s="13" t="n"/>
      <c r="CX799">
        <f>INDEX('Data_Price '!AG$2:AG$1266,MATCH(Data!$DN799,'Data_Price '!$AT$2:$AT$1266,0))</f>
        <v/>
      </c>
      <c r="CY799">
        <f>INDEX('Data_Price '!AH$2:AH$1266,MATCH(Data!$DN799,'Data_Price '!$AT$2:$AT$1266,0))</f>
        <v/>
      </c>
      <c r="CZ799">
        <f>INDEX('Data_Price '!AI$2:AI$1266,MATCH(Data!$DN799,'Data_Price '!$AT$2:$AT$1266,0))</f>
        <v/>
      </c>
      <c r="DA799">
        <f>INDEX('Data_Price '!AJ$2:AJ$1266,MATCH(Data!$DN799,'Data_Price '!$AT$2:$AT$1266,0))</f>
        <v/>
      </c>
      <c r="DB799">
        <f>INDEX('Data_Price '!AK$2:AK$1266,MATCH(Data!$DN799,'Data_Price '!$AT$2:$AT$1266,0))</f>
        <v/>
      </c>
      <c r="DC799">
        <f>INDEX('Data_Price '!AL$2:AL$1266,MATCH(Data!$DN799,'Data_Price '!$AT$2:$AT$1266,0))</f>
        <v/>
      </c>
      <c r="DD799">
        <f>INDEX('Data_Price '!AM$2:AM$1266,MATCH(Data!$DN799,'Data_Price '!$AT$2:$AT$1266,0))</f>
        <v/>
      </c>
      <c r="DE799">
        <f>INDEX('Data_Price '!AN$2:AN$1266,MATCH(Data!$DN799,'Data_Price '!$AT$2:$AT$1266,0))</f>
        <v/>
      </c>
      <c r="DF799">
        <f>INDEX('Data_Price '!AO$2:AO$1266,MATCH(Data!$DN799,'Data_Price '!$AT$2:$AT$1266,0))</f>
        <v/>
      </c>
      <c r="DG799">
        <f>INDEX('Data_Price '!AP$2:AP$1266,MATCH(Data!$DN799,'Data_Price '!$AT$2:$AT$1266,0))</f>
        <v/>
      </c>
      <c r="DH799">
        <f>INDEX('Data_Price '!AQ$2:AQ$1266,MATCH(Data!$DN799,'Data_Price '!$AT$2:$AT$1266,0))</f>
        <v/>
      </c>
      <c r="DI799">
        <f>INDEX('Data_Price '!AR$2:AR$1266,MATCH(Data!$DN799,'Data_Price '!$AT$2:$AT$1266,0))</f>
        <v/>
      </c>
      <c r="DJ799" s="138">
        <f>DA799</f>
        <v/>
      </c>
      <c r="DK799" s="138">
        <f>DE799</f>
        <v/>
      </c>
      <c r="DL799" s="138">
        <f>DI799</f>
        <v/>
      </c>
      <c r="DM799" s="303">
        <f>IF(LEFT(BT799,1)=" ",RIGHT(BT799,LEN(BT799)-1),BT799)</f>
        <v/>
      </c>
      <c r="DN799" s="138">
        <f>_xlfn.CONCAT(BS799,DM799,BU799,BV799)</f>
        <v/>
      </c>
      <c r="DO799" s="307" t="inlineStr">
        <is>
          <t>https://images.evo.com/imgp/250/162811/645698/k2-mindbender-90c-skis-2020-.jpg</t>
        </is>
      </c>
    </row>
    <row r="800" ht="15.6" customHeight="1" s="184">
      <c r="B800" s="303">
        <f t="array" ref="B800">IF(OR(ISERROR(K800:P800)),FALSE,TRUE)</f>
        <v/>
      </c>
      <c r="C800" s="60">
        <f>OR(BR800=Driver!$G$50,Data!BR763=Driver!$H$50)</f>
        <v/>
      </c>
      <c r="D800" s="60">
        <f>OR(BV800=Driver!$G$51,BV800=Driver!$H$51)</f>
        <v/>
      </c>
      <c r="E800" s="60">
        <f>AND(BX800&gt;Driver!$F$54,BX800&lt;Driver!$G$54)</f>
        <v/>
      </c>
      <c r="F800" s="60">
        <f>CL800&gt;Driver!$F$56</f>
        <v/>
      </c>
      <c r="G800" s="60">
        <f>AND(CB800&gt;Driver!$F$55,CB800&lt;Driver!$G$55)</f>
        <v/>
      </c>
      <c r="H800" s="60">
        <f>AND(B800:G800)</f>
        <v/>
      </c>
      <c r="I800" s="60">
        <f>COUNTIFS($H$9:$H$1273,TRUE,$BT$9:$BT$1273,BT800)</f>
        <v/>
      </c>
      <c r="J800" s="60">
        <f t="array" ref="J800">NOT(OR(($H$9:$H$1273=TRUE)*($I$9:$I$1273&gt;0)*($BT$9:$BT$1273=BT800)*($K$9:$K$1273&gt;K800)))</f>
        <v/>
      </c>
      <c r="K800" s="108">
        <f>IFERROR(1-AVERAGE(X800:Y800),"")</f>
        <v/>
      </c>
      <c r="L800" s="108">
        <f>1-X800</f>
        <v/>
      </c>
      <c r="M800" s="108">
        <f>1-Y800</f>
        <v/>
      </c>
      <c r="N800" s="108">
        <f>1-Z800</f>
        <v/>
      </c>
      <c r="O800" s="108">
        <f>1-AA800</f>
        <v/>
      </c>
      <c r="P800" s="108">
        <f>1-AB800</f>
        <v/>
      </c>
      <c r="Q800" s="108" t="n"/>
      <c r="R800" s="108" t="n"/>
      <c r="S800" s="108">
        <f>1-AE800</f>
        <v/>
      </c>
      <c r="T800" s="108">
        <f>1-AF800</f>
        <v/>
      </c>
      <c r="U800" s="108">
        <f>1-AG800</f>
        <v/>
      </c>
      <c r="V800" s="108">
        <f>1-AH800</f>
        <v/>
      </c>
      <c r="W800" s="108">
        <f>1-AI800</f>
        <v/>
      </c>
      <c r="X800" s="108">
        <f>ABS(AJ800-AJ$1)</f>
        <v/>
      </c>
      <c r="Y800" s="108">
        <f>AVERAGE(Z800:AB800)</f>
        <v/>
      </c>
      <c r="Z800" s="108">
        <f>ABS(AL800-AL$1)</f>
        <v/>
      </c>
      <c r="AA800" s="108">
        <f>ABS(AM800-AM$1)</f>
        <v/>
      </c>
      <c r="AB800" s="108">
        <f>ABS(AN800-AN$1)</f>
        <v/>
      </c>
      <c r="AC800" s="108" t="n"/>
      <c r="AD800" s="108" t="n"/>
      <c r="AE800" s="108">
        <f>ABS(AQ$1-AQ800)</f>
        <v/>
      </c>
      <c r="AF800" s="108">
        <f>ABS(AR$1-AR800)</f>
        <v/>
      </c>
      <c r="AG800" s="108">
        <f>ABS(AS$1-AS800)</f>
        <v/>
      </c>
      <c r="AH800" s="108">
        <f>ABS(AT$1-AT800)</f>
        <v/>
      </c>
      <c r="AI800" s="108">
        <f>ABS(AU$1-AU800)</f>
        <v/>
      </c>
      <c r="AJ800" s="108">
        <f>(AV800-Driver!$K$179)/(Driver!$L$179-Driver!$K$179)</f>
        <v/>
      </c>
      <c r="AK800" s="108">
        <f>(AW800-Driver!$K$180)/(Driver!$L$180-Driver!$K$180)</f>
        <v/>
      </c>
      <c r="AL800" s="108">
        <f>(AX800-Driver!$K$181)/(Driver!$L$181-Driver!$K$181)</f>
        <v/>
      </c>
      <c r="AM800" s="108">
        <f>(AY800-Driver!$K$182)/(Driver!$L$182-Driver!$K$182)</f>
        <v/>
      </c>
      <c r="AN800" s="108">
        <f>(AZ800-Driver!$K$183)/(Driver!$L$183-Driver!$K$183)</f>
        <v/>
      </c>
      <c r="AO800" s="108" t="n"/>
      <c r="AP800" s="108" t="n"/>
      <c r="AQ800" s="108">
        <f>(BC800-Driver!$K$188)/(Driver!$L$188-Driver!$K$188)</f>
        <v/>
      </c>
      <c r="AR800" s="108">
        <f>MIN((BD800-Driver!$K$189)/(Driver!$L$189-Driver!$K$189),100%)</f>
        <v/>
      </c>
      <c r="AS800" s="108">
        <f>(BE800-Driver!$K$190)/(Driver!$L$190-Driver!$K$190)</f>
        <v/>
      </c>
      <c r="AT800" s="108">
        <f>(BF800-Driver!$K$191)/(Driver!$L$191-Driver!$K$191)</f>
        <v/>
      </c>
      <c r="AU800" s="108">
        <f>(BG800-Driver!$K$192)/(Driver!$L$192-Driver!$K$192)</f>
        <v/>
      </c>
      <c r="AV800" s="105">
        <f>IFERROR(BM800*BJ800^1/4,"")</f>
        <v/>
      </c>
      <c r="AW800" s="105">
        <f>IFERROR(SUM(AX800:AZ800),"")</f>
        <v/>
      </c>
      <c r="AX800" s="105">
        <f>IFERROR(BH800,"")</f>
        <v/>
      </c>
      <c r="AY800" s="105">
        <f>IFERROR(Driver!$K$19/Data!BH800/Data!BI800*Data!BK800*Data!BL800,"")</f>
        <v/>
      </c>
      <c r="AZ800" s="105">
        <f>IFERROR(BI800*BN800,"")</f>
        <v/>
      </c>
      <c r="BA800" s="105" t="n"/>
      <c r="BB800" s="105" t="n"/>
      <c r="BC800" s="105">
        <f>IFERROR(BI800*BN800*BK800/BJ800^(1/2),"")</f>
        <v/>
      </c>
      <c r="BD800" s="105">
        <f>IFERROR(BH800*BM800*BL800/BJ800/BK800,"")</f>
        <v/>
      </c>
      <c r="BE800" s="105">
        <f>IFERROR(MIN(BI800/BQ800/BP800/BO800/BH800,$BE$1),"")</f>
        <v/>
      </c>
      <c r="BF800" s="105">
        <f>IFERROR(BJ800*BO800*BP800/BK800,"")</f>
        <v/>
      </c>
      <c r="BG800" s="105">
        <f>IFERROR(1/BM800/BH800*BQ800,"")</f>
        <v/>
      </c>
      <c r="BH800" s="102">
        <f>MAX((CE800-Driver!$F$200)/(Driver!$G$200-Driver!$F$200)*$BI$1,1)</f>
        <v/>
      </c>
      <c r="BI800" s="102">
        <f>MAX($BI$1*(BY800-Driver!$F$201)/(Driver!$G$201-Driver!$F$201),1)</f>
        <v/>
      </c>
      <c r="BJ800" s="102">
        <f>(CB800-Driver!$F$206)/(Driver!$G$206-Driver!$F$206)*$BI$1</f>
        <v/>
      </c>
      <c r="BK800" s="102">
        <f>(CD800-Driver!$F$203)/(Driver!$G$203-Driver!$F$203)*$BI$1</f>
        <v/>
      </c>
      <c r="BL800" s="102">
        <f>MAX((CR800-Driver!$F$202)/(Driver!$G$202-Driver!$F$202)*$BI$1,1)</f>
        <v/>
      </c>
      <c r="BM800" s="102">
        <f>MAX((CH800-Driver!$F$204)/(Driver!$G$204-Driver!$F$204)*$BI$1,1)</f>
        <v/>
      </c>
      <c r="BN800" s="102">
        <f>(CI800-Driver!$F$205)/(Driver!$G$205-Driver!$F$205)*$BI$1</f>
        <v/>
      </c>
      <c r="BO800" s="102">
        <f>(CK800-Driver!$F$207)/(Driver!$G$207-Driver!$F$207)*$BI$1</f>
        <v/>
      </c>
      <c r="BP800" s="102">
        <f>(CM800-Driver!$F$208)/(Driver!$G$208-Driver!$F$208)*$BI$1</f>
        <v/>
      </c>
      <c r="BQ800" s="102">
        <f>(CL800-Driver!$F$209)/(Driver!$G$209-Driver!$F$209)*$BI$1</f>
        <v/>
      </c>
      <c r="BR800" s="40" t="inlineStr">
        <is>
          <t>21/22</t>
        </is>
      </c>
      <c r="BS800" s="10" t="inlineStr">
        <is>
          <t xml:space="preserve"> K2</t>
        </is>
      </c>
      <c r="BT800" s="11" t="inlineStr">
        <is>
          <t>Reckoner 102</t>
        </is>
      </c>
      <c r="BU800" s="13" t="n">
        <v>177</v>
      </c>
      <c r="BV800" s="11" t="inlineStr">
        <is>
          <t xml:space="preserve"> Unisex</t>
        </is>
      </c>
      <c r="BW800" s="13" t="n">
        <v>177</v>
      </c>
      <c r="BX800" s="13" t="n">
        <v>177</v>
      </c>
      <c r="BY800" s="13" t="n">
        <v>114</v>
      </c>
      <c r="BZ800" s="13" t="n">
        <v>148</v>
      </c>
      <c r="CA800" s="13" t="n">
        <v>133</v>
      </c>
      <c r="CB800" s="13" t="n">
        <v>101</v>
      </c>
      <c r="CC800" s="13" t="n">
        <v>126</v>
      </c>
      <c r="CD800" s="13" t="n">
        <v>18.1</v>
      </c>
      <c r="CE800" s="13" t="n">
        <v>1773</v>
      </c>
      <c r="CF800" s="13" t="n">
        <v>1.12</v>
      </c>
      <c r="CG800" s="13" t="n">
        <v>1989</v>
      </c>
      <c r="CH800" s="13" t="n">
        <v>168</v>
      </c>
      <c r="CI800" s="13" t="n">
        <v>69</v>
      </c>
      <c r="CJ800" s="13" t="n">
        <v>51</v>
      </c>
      <c r="CK800" s="13" t="n">
        <v>316</v>
      </c>
      <c r="CL800" s="13" t="n">
        <v>47</v>
      </c>
      <c r="CM800" s="13" t="n">
        <v>315</v>
      </c>
      <c r="CN800" s="13" t="n">
        <v>0.924</v>
      </c>
      <c r="CO800" s="13" t="n">
        <v>147</v>
      </c>
      <c r="CP800" s="13" t="n">
        <v>139</v>
      </c>
      <c r="CQ800" s="13" t="n">
        <v>169</v>
      </c>
      <c r="CR800" s="13" t="n">
        <v>6</v>
      </c>
      <c r="CS800" s="13" t="n">
        <v>4.4</v>
      </c>
      <c r="CT800" s="11" t="inlineStr">
        <is>
          <t xml:space="preserve"> Freeski</t>
        </is>
      </c>
      <c r="CU800" s="11" t="inlineStr">
        <is>
          <t xml:space="preserve"> Powder</t>
        </is>
      </c>
      <c r="CV800" s="11" t="inlineStr">
        <is>
          <t xml:space="preserve"> Touring</t>
        </is>
      </c>
      <c r="CW800" s="13" t="n"/>
      <c r="CX800">
        <f>INDEX('Data_Price '!AG$2:AG$1266,MATCH(Data!$DN800,'Data_Price '!$AT$2:$AT$1266,0))</f>
        <v/>
      </c>
      <c r="CY800">
        <f>INDEX('Data_Price '!AH$2:AH$1266,MATCH(Data!$DN800,'Data_Price '!$AT$2:$AT$1266,0))</f>
        <v/>
      </c>
      <c r="CZ800">
        <f>INDEX('Data_Price '!AI$2:AI$1266,MATCH(Data!$DN800,'Data_Price '!$AT$2:$AT$1266,0))</f>
        <v/>
      </c>
      <c r="DA800">
        <f>INDEX('Data_Price '!AJ$2:AJ$1266,MATCH(Data!$DN800,'Data_Price '!$AT$2:$AT$1266,0))</f>
        <v/>
      </c>
      <c r="DB800">
        <f>INDEX('Data_Price '!AK$2:AK$1266,MATCH(Data!$DN800,'Data_Price '!$AT$2:$AT$1266,0))</f>
        <v/>
      </c>
      <c r="DC800">
        <f>INDEX('Data_Price '!AL$2:AL$1266,MATCH(Data!$DN800,'Data_Price '!$AT$2:$AT$1266,0))</f>
        <v/>
      </c>
      <c r="DD800">
        <f>INDEX('Data_Price '!AM$2:AM$1266,MATCH(Data!$DN800,'Data_Price '!$AT$2:$AT$1266,0))</f>
        <v/>
      </c>
      <c r="DE800">
        <f>INDEX('Data_Price '!AN$2:AN$1266,MATCH(Data!$DN800,'Data_Price '!$AT$2:$AT$1266,0))</f>
        <v/>
      </c>
      <c r="DF800">
        <f>INDEX('Data_Price '!AO$2:AO$1266,MATCH(Data!$DN800,'Data_Price '!$AT$2:$AT$1266,0))</f>
        <v/>
      </c>
      <c r="DG800">
        <f>INDEX('Data_Price '!AP$2:AP$1266,MATCH(Data!$DN800,'Data_Price '!$AT$2:$AT$1266,0))</f>
        <v/>
      </c>
      <c r="DH800">
        <f>INDEX('Data_Price '!AQ$2:AQ$1266,MATCH(Data!$DN800,'Data_Price '!$AT$2:$AT$1266,0))</f>
        <v/>
      </c>
      <c r="DI800">
        <f>INDEX('Data_Price '!AR$2:AR$1266,MATCH(Data!$DN800,'Data_Price '!$AT$2:$AT$1266,0))</f>
        <v/>
      </c>
      <c r="DJ800" s="138">
        <f>DA800</f>
        <v/>
      </c>
      <c r="DK800" s="138">
        <f>DE800</f>
        <v/>
      </c>
      <c r="DL800" s="138">
        <f>DI800</f>
        <v/>
      </c>
      <c r="DM800" s="303">
        <f>IF(LEFT(BT800,1)=" ",RIGHT(BT800,LEN(BT800)-1),BT800)</f>
        <v/>
      </c>
      <c r="DN800" s="138">
        <f>_xlfn.CONCAT(BS800,DM800,BU800,BV800)</f>
        <v/>
      </c>
      <c r="DO800" s="307" t="inlineStr">
        <is>
          <t>https://images.evo.com/imgp/250/201066/825041/k2-reckoner-102-skis-2022-.jpg</t>
        </is>
      </c>
    </row>
    <row r="801" ht="15.6" customHeight="1" s="184">
      <c r="B801" s="303">
        <f t="array" ref="B801">IF(OR(ISERROR(K801:P801)),FALSE,TRUE)</f>
        <v/>
      </c>
      <c r="C801" s="60">
        <f>OR(BR801=Driver!$G$50,Data!BR592=Driver!$H$50)</f>
        <v/>
      </c>
      <c r="D801" s="60">
        <f>OR(BV801=Driver!$G$51,BV801=Driver!$H$51)</f>
        <v/>
      </c>
      <c r="E801" s="60">
        <f>AND(BX801&gt;Driver!$F$54,BX801&lt;Driver!$G$54)</f>
        <v/>
      </c>
      <c r="F801" s="60">
        <f>CL801&gt;Driver!$F$56</f>
        <v/>
      </c>
      <c r="G801" s="60">
        <f>AND(CB801&gt;Driver!$F$55,CB801&lt;Driver!$G$55)</f>
        <v/>
      </c>
      <c r="H801" s="60">
        <f>AND(B801:G801)</f>
        <v/>
      </c>
      <c r="I801" s="60">
        <f>COUNTIFS($H$9:$H$1273,TRUE,$BT$9:$BT$1273,BT801)</f>
        <v/>
      </c>
      <c r="J801" s="60">
        <f t="array" ref="J801">NOT(OR(($H$9:$H$1273=TRUE)*($I$9:$I$1273&gt;0)*($BT$9:$BT$1273=BT801)*($K$9:$K$1273&gt;K801)))</f>
        <v/>
      </c>
      <c r="K801" s="108">
        <f>IFERROR(1-AVERAGE(X801:Y801),"")</f>
        <v/>
      </c>
      <c r="L801" s="108">
        <f>1-X801</f>
        <v/>
      </c>
      <c r="M801" s="108">
        <f>1-Y801</f>
        <v/>
      </c>
      <c r="N801" s="108">
        <f>1-Z801</f>
        <v/>
      </c>
      <c r="O801" s="108">
        <f>1-AA801</f>
        <v/>
      </c>
      <c r="P801" s="108">
        <f>1-AB801</f>
        <v/>
      </c>
      <c r="Q801" s="108" t="n"/>
      <c r="R801" s="108" t="n"/>
      <c r="S801" s="108">
        <f>1-AE801</f>
        <v/>
      </c>
      <c r="T801" s="108">
        <f>1-AF801</f>
        <v/>
      </c>
      <c r="U801" s="108">
        <f>1-AG801</f>
        <v/>
      </c>
      <c r="V801" s="108">
        <f>1-AH801</f>
        <v/>
      </c>
      <c r="W801" s="108">
        <f>1-AI801</f>
        <v/>
      </c>
      <c r="X801" s="108">
        <f>ABS(AJ801-AJ$1)</f>
        <v/>
      </c>
      <c r="Y801" s="108">
        <f>AVERAGE(Z801:AB801)</f>
        <v/>
      </c>
      <c r="Z801" s="108">
        <f>ABS(AL801-AL$1)</f>
        <v/>
      </c>
      <c r="AA801" s="108">
        <f>ABS(AM801-AM$1)</f>
        <v/>
      </c>
      <c r="AB801" s="108">
        <f>ABS(AN801-AN$1)</f>
        <v/>
      </c>
      <c r="AC801" s="108" t="n"/>
      <c r="AD801" s="108" t="n"/>
      <c r="AE801" s="108">
        <f>ABS(AQ$1-AQ801)</f>
        <v/>
      </c>
      <c r="AF801" s="108">
        <f>ABS(AR$1-AR801)</f>
        <v/>
      </c>
      <c r="AG801" s="108">
        <f>ABS(AS$1-AS801)</f>
        <v/>
      </c>
      <c r="AH801" s="108">
        <f>ABS(AT$1-AT801)</f>
        <v/>
      </c>
      <c r="AI801" s="108">
        <f>ABS(AU$1-AU801)</f>
        <v/>
      </c>
      <c r="AJ801" s="108">
        <f>(AV801-Driver!$K$179)/(Driver!$L$179-Driver!$K$179)</f>
        <v/>
      </c>
      <c r="AK801" s="108">
        <f>(AW801-Driver!$K$180)/(Driver!$L$180-Driver!$K$180)</f>
        <v/>
      </c>
      <c r="AL801" s="108">
        <f>(AX801-Driver!$K$181)/(Driver!$L$181-Driver!$K$181)</f>
        <v/>
      </c>
      <c r="AM801" s="108">
        <f>(AY801-Driver!$K$182)/(Driver!$L$182-Driver!$K$182)</f>
        <v/>
      </c>
      <c r="AN801" s="108">
        <f>(AZ801-Driver!$K$183)/(Driver!$L$183-Driver!$K$183)</f>
        <v/>
      </c>
      <c r="AO801" s="108" t="n"/>
      <c r="AP801" s="108" t="n"/>
      <c r="AQ801" s="108">
        <f>(BC801-Driver!$K$188)/(Driver!$L$188-Driver!$K$188)</f>
        <v/>
      </c>
      <c r="AR801" s="108">
        <f>MIN((BD801-Driver!$K$189)/(Driver!$L$189-Driver!$K$189),100%)</f>
        <v/>
      </c>
      <c r="AS801" s="108">
        <f>(BE801-Driver!$K$190)/(Driver!$L$190-Driver!$K$190)</f>
        <v/>
      </c>
      <c r="AT801" s="108">
        <f>(BF801-Driver!$K$191)/(Driver!$L$191-Driver!$K$191)</f>
        <v/>
      </c>
      <c r="AU801" s="108">
        <f>(BG801-Driver!$K$192)/(Driver!$L$192-Driver!$K$192)</f>
        <v/>
      </c>
      <c r="AV801" s="105">
        <f>IFERROR(BM801*BJ801^1/4,"")</f>
        <v/>
      </c>
      <c r="AW801" s="105">
        <f>IFERROR(SUM(AX801:AZ801),"")</f>
        <v/>
      </c>
      <c r="AX801" s="105">
        <f>IFERROR(BH801,"")</f>
        <v/>
      </c>
      <c r="AY801" s="105">
        <f>IFERROR(Driver!$K$19/Data!BH801/Data!BI801*Data!BK801*Data!BL801,"")</f>
        <v/>
      </c>
      <c r="AZ801" s="105">
        <f>IFERROR(BI801*BN801,"")</f>
        <v/>
      </c>
      <c r="BA801" s="105" t="n"/>
      <c r="BB801" s="105" t="n"/>
      <c r="BC801" s="105">
        <f>IFERROR(BI801*BN801*BK801/BJ801^(1/2),"")</f>
        <v/>
      </c>
      <c r="BD801" s="105">
        <f>IFERROR(BH801*BM801*BL801/BJ801/BK801,"")</f>
        <v/>
      </c>
      <c r="BE801" s="105">
        <f>IFERROR(MIN(BI801/BQ801/BP801/BO801/BH801,$BE$1),"")</f>
        <v/>
      </c>
      <c r="BF801" s="105">
        <f>IFERROR(BJ801*BO801*BP801/BK801,"")</f>
        <v/>
      </c>
      <c r="BG801" s="105">
        <f>IFERROR(1/BM801/BH801*BQ801,"")</f>
        <v/>
      </c>
      <c r="BH801" s="102">
        <f>MAX((CE801-Driver!$F$200)/(Driver!$G$200-Driver!$F$200)*$BI$1,1)</f>
        <v/>
      </c>
      <c r="BI801" s="102">
        <f>MAX($BI$1*(BY801-Driver!$F$201)/(Driver!$G$201-Driver!$F$201),1)</f>
        <v/>
      </c>
      <c r="BJ801" s="102">
        <f>(CB801-Driver!$F$206)/(Driver!$G$206-Driver!$F$206)*$BI$1</f>
        <v/>
      </c>
      <c r="BK801" s="102">
        <f>(CD801-Driver!$F$203)/(Driver!$G$203-Driver!$F$203)*$BI$1</f>
        <v/>
      </c>
      <c r="BL801" s="102">
        <f>MAX((CR801-Driver!$F$202)/(Driver!$G$202-Driver!$F$202)*$BI$1,1)</f>
        <v/>
      </c>
      <c r="BM801" s="102">
        <f>MAX((CH801-Driver!$F$204)/(Driver!$G$204-Driver!$F$204)*$BI$1,1)</f>
        <v/>
      </c>
      <c r="BN801" s="102">
        <f>(CI801-Driver!$F$205)/(Driver!$G$205-Driver!$F$205)*$BI$1</f>
        <v/>
      </c>
      <c r="BO801" s="102">
        <f>(CK801-Driver!$F$207)/(Driver!$G$207-Driver!$F$207)*$BI$1</f>
        <v/>
      </c>
      <c r="BP801" s="102">
        <f>(CM801-Driver!$F$208)/(Driver!$G$208-Driver!$F$208)*$BI$1</f>
        <v/>
      </c>
      <c r="BQ801" s="102">
        <f>(CL801-Driver!$F$209)/(Driver!$G$209-Driver!$F$209)*$BI$1</f>
        <v/>
      </c>
      <c r="BR801" s="40" t="inlineStr">
        <is>
          <t>21/22</t>
        </is>
      </c>
      <c r="BS801" s="10" t="inlineStr">
        <is>
          <t xml:space="preserve"> Fischer</t>
        </is>
      </c>
      <c r="BT801" s="11" t="inlineStr">
        <is>
          <t>RC One 78 GT</t>
        </is>
      </c>
      <c r="BU801" s="13" t="n">
        <v>173</v>
      </c>
      <c r="BV801" s="11" t="inlineStr">
        <is>
          <t xml:space="preserve"> Unisex</t>
        </is>
      </c>
      <c r="BW801" s="13" t="n">
        <v>173</v>
      </c>
      <c r="BX801" s="13" t="n">
        <v>172</v>
      </c>
      <c r="BY801" s="13" t="n">
        <v>139</v>
      </c>
      <c r="BZ801" s="13" t="n">
        <v>157</v>
      </c>
      <c r="CA801" s="13" t="n">
        <v>125</v>
      </c>
      <c r="CB801" s="13" t="n">
        <v>80</v>
      </c>
      <c r="CC801" s="13" t="n">
        <v>111</v>
      </c>
      <c r="CD801" s="13" t="n">
        <v>15</v>
      </c>
      <c r="CE801" s="13" t="n">
        <v>2106</v>
      </c>
      <c r="CF801" s="13" t="n">
        <v>0.77</v>
      </c>
      <c r="CG801" s="13" t="n">
        <v>1622</v>
      </c>
      <c r="CH801" s="13" t="n">
        <v>233</v>
      </c>
      <c r="CI801" s="13" t="n">
        <v>79</v>
      </c>
      <c r="CJ801" s="13" t="n">
        <v>49</v>
      </c>
      <c r="CK801" s="13" t="n">
        <v>241</v>
      </c>
      <c r="CL801" s="13" t="n">
        <v>14</v>
      </c>
      <c r="CM801" s="13" t="n">
        <v>86</v>
      </c>
      <c r="CN801" s="13" t="n">
        <v>0.288</v>
      </c>
      <c r="CO801" s="13" t="n">
        <v>70</v>
      </c>
      <c r="CP801" s="13" t="n">
        <v>78</v>
      </c>
      <c r="CQ801" s="13" t="n">
        <v>172</v>
      </c>
      <c r="CR801" s="13" t="n">
        <v>7</v>
      </c>
      <c r="CS801" s="13" t="n">
        <v>8.5</v>
      </c>
      <c r="CT801" s="11" t="inlineStr">
        <is>
          <t xml:space="preserve"> On-Piste Carving</t>
        </is>
      </c>
      <c r="CU801" s="13" t="n"/>
      <c r="CV801" s="13" t="n"/>
      <c r="CW801" s="13" t="n"/>
      <c r="CX801">
        <f>INDEX('Data_Price '!AG$2:AG$1266,MATCH(Data!$DN801,'Data_Price '!$AT$2:$AT$1266,0))</f>
        <v/>
      </c>
      <c r="CY801">
        <f>INDEX('Data_Price '!AH$2:AH$1266,MATCH(Data!$DN801,'Data_Price '!$AT$2:$AT$1266,0))</f>
        <v/>
      </c>
      <c r="CZ801">
        <f>INDEX('Data_Price '!AI$2:AI$1266,MATCH(Data!$DN801,'Data_Price '!$AT$2:$AT$1266,0))</f>
        <v/>
      </c>
      <c r="DA801">
        <f>INDEX('Data_Price '!AJ$2:AJ$1266,MATCH(Data!$DN801,'Data_Price '!$AT$2:$AT$1266,0))</f>
        <v/>
      </c>
      <c r="DB801">
        <f>INDEX('Data_Price '!AK$2:AK$1266,MATCH(Data!$DN801,'Data_Price '!$AT$2:$AT$1266,0))</f>
        <v/>
      </c>
      <c r="DC801">
        <f>INDEX('Data_Price '!AL$2:AL$1266,MATCH(Data!$DN801,'Data_Price '!$AT$2:$AT$1266,0))</f>
        <v/>
      </c>
      <c r="DD801">
        <f>INDEX('Data_Price '!AM$2:AM$1266,MATCH(Data!$DN801,'Data_Price '!$AT$2:$AT$1266,0))</f>
        <v/>
      </c>
      <c r="DE801">
        <f>INDEX('Data_Price '!AN$2:AN$1266,MATCH(Data!$DN801,'Data_Price '!$AT$2:$AT$1266,0))</f>
        <v/>
      </c>
      <c r="DF801">
        <f>INDEX('Data_Price '!AO$2:AO$1266,MATCH(Data!$DN801,'Data_Price '!$AT$2:$AT$1266,0))</f>
        <v/>
      </c>
      <c r="DG801">
        <f>INDEX('Data_Price '!AP$2:AP$1266,MATCH(Data!$DN801,'Data_Price '!$AT$2:$AT$1266,0))</f>
        <v/>
      </c>
      <c r="DH801">
        <f>INDEX('Data_Price '!AQ$2:AQ$1266,MATCH(Data!$DN801,'Data_Price '!$AT$2:$AT$1266,0))</f>
        <v/>
      </c>
      <c r="DI801">
        <f>INDEX('Data_Price '!AR$2:AR$1266,MATCH(Data!$DN801,'Data_Price '!$AT$2:$AT$1266,0))</f>
        <v/>
      </c>
      <c r="DJ801" s="138">
        <f>DA801</f>
        <v/>
      </c>
      <c r="DK801" s="138">
        <f>DE801</f>
        <v/>
      </c>
      <c r="DL801" s="138">
        <f>DI801</f>
        <v/>
      </c>
      <c r="DM801" s="303">
        <f>IF(LEFT(BT801,1)=" ",RIGHT(BT801,LEN(BT801)-1),BT801)</f>
        <v/>
      </c>
      <c r="DN801" s="138">
        <f>_xlfn.CONCAT(BS801,DM801,BU801,BV801)</f>
        <v/>
      </c>
      <c r="DO801" s="307" t="n"/>
    </row>
    <row r="802" ht="15.6" customHeight="1" s="184">
      <c r="B802" s="303">
        <f t="array" ref="B802">IF(OR(ISERROR(K802:P802)),FALSE,TRUE)</f>
        <v/>
      </c>
      <c r="C802" s="60">
        <f>OR(BR802=Driver!$G$50,Data!BR397=Driver!$H$50)</f>
        <v/>
      </c>
      <c r="D802" s="60">
        <f>OR(BV802=Driver!$G$51,BV802=Driver!$H$51)</f>
        <v/>
      </c>
      <c r="E802" s="60">
        <f>AND(BX802&gt;Driver!$F$54,BX802&lt;Driver!$G$54)</f>
        <v/>
      </c>
      <c r="F802" s="60">
        <f>CL802&gt;Driver!$F$56</f>
        <v/>
      </c>
      <c r="G802" s="60">
        <f>AND(CB802&gt;Driver!$F$55,CB802&lt;Driver!$G$55)</f>
        <v/>
      </c>
      <c r="H802" s="60">
        <f>AND(B802:G802)</f>
        <v/>
      </c>
      <c r="I802" s="60">
        <f>COUNTIFS($H$9:$H$1273,TRUE,$BT$9:$BT$1273,BT802)</f>
        <v/>
      </c>
      <c r="J802" s="60">
        <f t="array" ref="J802">NOT(OR(($H$9:$H$1273=TRUE)*($I$9:$I$1273&gt;0)*($BT$9:$BT$1273=BT802)*($K$9:$K$1273&gt;K802)))</f>
        <v/>
      </c>
      <c r="K802" s="108">
        <f>IFERROR(1-AVERAGE(X802:Y802),"")</f>
        <v/>
      </c>
      <c r="L802" s="108">
        <f>1-X802</f>
        <v/>
      </c>
      <c r="M802" s="108">
        <f>1-Y802</f>
        <v/>
      </c>
      <c r="N802" s="108">
        <f>1-Z802</f>
        <v/>
      </c>
      <c r="O802" s="108">
        <f>1-AA802</f>
        <v/>
      </c>
      <c r="P802" s="108">
        <f>1-AB802</f>
        <v/>
      </c>
      <c r="Q802" s="108" t="n"/>
      <c r="R802" s="108" t="n"/>
      <c r="S802" s="108">
        <f>1-AE802</f>
        <v/>
      </c>
      <c r="T802" s="108">
        <f>1-AF802</f>
        <v/>
      </c>
      <c r="U802" s="108">
        <f>1-AG802</f>
        <v/>
      </c>
      <c r="V802" s="108">
        <f>1-AH802</f>
        <v/>
      </c>
      <c r="W802" s="108">
        <f>1-AI802</f>
        <v/>
      </c>
      <c r="X802" s="108">
        <f>ABS(AJ802-AJ$1)</f>
        <v/>
      </c>
      <c r="Y802" s="108">
        <f>AVERAGE(Z802:AB802)</f>
        <v/>
      </c>
      <c r="Z802" s="108">
        <f>ABS(AL802-AL$1)</f>
        <v/>
      </c>
      <c r="AA802" s="108">
        <f>ABS(AM802-AM$1)</f>
        <v/>
      </c>
      <c r="AB802" s="108">
        <f>ABS(AN802-AN$1)</f>
        <v/>
      </c>
      <c r="AC802" s="108" t="n"/>
      <c r="AD802" s="108" t="n"/>
      <c r="AE802" s="108">
        <f>ABS(AQ$1-AQ802)</f>
        <v/>
      </c>
      <c r="AF802" s="108">
        <f>ABS(AR$1-AR802)</f>
        <v/>
      </c>
      <c r="AG802" s="108">
        <f>ABS(AS$1-AS802)</f>
        <v/>
      </c>
      <c r="AH802" s="108">
        <f>ABS(AT$1-AT802)</f>
        <v/>
      </c>
      <c r="AI802" s="108">
        <f>ABS(AU$1-AU802)</f>
        <v/>
      </c>
      <c r="AJ802" s="108">
        <f>(AV802-Driver!$K$179)/(Driver!$L$179-Driver!$K$179)</f>
        <v/>
      </c>
      <c r="AK802" s="108">
        <f>(AW802-Driver!$K$180)/(Driver!$L$180-Driver!$K$180)</f>
        <v/>
      </c>
      <c r="AL802" s="108">
        <f>(AX802-Driver!$K$181)/(Driver!$L$181-Driver!$K$181)</f>
        <v/>
      </c>
      <c r="AM802" s="108">
        <f>(AY802-Driver!$K$182)/(Driver!$L$182-Driver!$K$182)</f>
        <v/>
      </c>
      <c r="AN802" s="108">
        <f>(AZ802-Driver!$K$183)/(Driver!$L$183-Driver!$K$183)</f>
        <v/>
      </c>
      <c r="AO802" s="108" t="n"/>
      <c r="AP802" s="108" t="n"/>
      <c r="AQ802" s="108">
        <f>(BC802-Driver!$K$188)/(Driver!$L$188-Driver!$K$188)</f>
        <v/>
      </c>
      <c r="AR802" s="108">
        <f>MIN((BD802-Driver!$K$189)/(Driver!$L$189-Driver!$K$189),100%)</f>
        <v/>
      </c>
      <c r="AS802" s="108">
        <f>(BE802-Driver!$K$190)/(Driver!$L$190-Driver!$K$190)</f>
        <v/>
      </c>
      <c r="AT802" s="108">
        <f>(BF802-Driver!$K$191)/(Driver!$L$191-Driver!$K$191)</f>
        <v/>
      </c>
      <c r="AU802" s="108">
        <f>(BG802-Driver!$K$192)/(Driver!$L$192-Driver!$K$192)</f>
        <v/>
      </c>
      <c r="AV802" s="105">
        <f>IFERROR(BM802*BJ802^1/4,"")</f>
        <v/>
      </c>
      <c r="AW802" s="105">
        <f>IFERROR(SUM(AX802:AZ802),"")</f>
        <v/>
      </c>
      <c r="AX802" s="105">
        <f>IFERROR(BH802,"")</f>
        <v/>
      </c>
      <c r="AY802" s="105">
        <f>IFERROR(Driver!$K$19/Data!BH802/Data!BI802*Data!BK802*Data!BL802,"")</f>
        <v/>
      </c>
      <c r="AZ802" s="105">
        <f>IFERROR(BI802*BN802,"")</f>
        <v/>
      </c>
      <c r="BA802" s="105" t="n"/>
      <c r="BB802" s="105" t="n"/>
      <c r="BC802" s="105">
        <f>IFERROR(BI802*BN802*BK802/BJ802^(1/2),"")</f>
        <v/>
      </c>
      <c r="BD802" s="105">
        <f>IFERROR(BH802*BM802*BL802/BJ802/BK802,"")</f>
        <v/>
      </c>
      <c r="BE802" s="105">
        <f>IFERROR(MIN(BI802/BQ802/BP802/BO802/BH802,$BE$1),"")</f>
        <v/>
      </c>
      <c r="BF802" s="105">
        <f>IFERROR(BJ802*BO802*BP802/BK802,"")</f>
        <v/>
      </c>
      <c r="BG802" s="105">
        <f>IFERROR(1/BM802/BH802*BQ802,"")</f>
        <v/>
      </c>
      <c r="BH802" s="102">
        <f>MAX((CE802-Driver!$F$200)/(Driver!$G$200-Driver!$F$200)*$BI$1,1)</f>
        <v/>
      </c>
      <c r="BI802" s="102">
        <f>MAX($BI$1*(BY802-Driver!$F$201)/(Driver!$G$201-Driver!$F$201),1)</f>
        <v/>
      </c>
      <c r="BJ802" s="102">
        <f>(CB802-Driver!$F$206)/(Driver!$G$206-Driver!$F$206)*$BI$1</f>
        <v/>
      </c>
      <c r="BK802" s="102">
        <f>(CD802-Driver!$F$203)/(Driver!$G$203-Driver!$F$203)*$BI$1</f>
        <v/>
      </c>
      <c r="BL802" s="102">
        <f>MAX((CR802-Driver!$F$202)/(Driver!$G$202-Driver!$F$202)*$BI$1,1)</f>
        <v/>
      </c>
      <c r="BM802" s="102">
        <f>MAX((CH802-Driver!$F$204)/(Driver!$G$204-Driver!$F$204)*$BI$1,1)</f>
        <v/>
      </c>
      <c r="BN802" s="102">
        <f>(CI802-Driver!$F$205)/(Driver!$G$205-Driver!$F$205)*$BI$1</f>
        <v/>
      </c>
      <c r="BO802" s="102">
        <f>(CK802-Driver!$F$207)/(Driver!$G$207-Driver!$F$207)*$BI$1</f>
        <v/>
      </c>
      <c r="BP802" s="102">
        <f>(CM802-Driver!$F$208)/(Driver!$G$208-Driver!$F$208)*$BI$1</f>
        <v/>
      </c>
      <c r="BQ802" s="102">
        <f>(CL802-Driver!$F$209)/(Driver!$G$209-Driver!$F$209)*$BI$1</f>
        <v/>
      </c>
      <c r="BR802" s="40" t="inlineStr">
        <is>
          <t>21/22</t>
        </is>
      </c>
      <c r="BS802" s="10" t="inlineStr">
        <is>
          <t xml:space="preserve"> Dynastar</t>
        </is>
      </c>
      <c r="BT802" s="11" t="inlineStr">
        <is>
          <t>M-Pro 84 W</t>
        </is>
      </c>
      <c r="BU802" s="13" t="n">
        <v>156</v>
      </c>
      <c r="BV802" s="11" t="inlineStr">
        <is>
          <t xml:space="preserve"> Women's</t>
        </is>
      </c>
      <c r="BW802" s="13" t="n">
        <v>156</v>
      </c>
      <c r="BX802" s="13" t="n">
        <v>156.7</v>
      </c>
      <c r="BY802" s="13" t="n">
        <v>124</v>
      </c>
      <c r="BZ802" s="13" t="n">
        <v>125</v>
      </c>
      <c r="CA802" s="13" t="n">
        <v>121</v>
      </c>
      <c r="CB802" s="13" t="n">
        <v>82</v>
      </c>
      <c r="CC802" s="13" t="n">
        <v>103</v>
      </c>
      <c r="CD802" s="13" t="n">
        <v>12.3</v>
      </c>
      <c r="CE802" s="13" t="n">
        <v>1435</v>
      </c>
      <c r="CF802" s="13" t="n">
        <v>1.03</v>
      </c>
      <c r="CG802" s="13" t="n">
        <v>1485</v>
      </c>
      <c r="CH802" s="13" t="n">
        <v>165</v>
      </c>
      <c r="CI802" s="13" t="n">
        <v>70</v>
      </c>
      <c r="CJ802" s="13" t="n">
        <v>40</v>
      </c>
      <c r="CK802" s="13" t="n">
        <v>266</v>
      </c>
      <c r="CL802" s="13" t="n">
        <v>5</v>
      </c>
      <c r="CM802" s="13" t="n">
        <v>62</v>
      </c>
      <c r="CN802" s="13" t="n">
        <v>0.124</v>
      </c>
      <c r="CO802" s="13" t="n">
        <v>169</v>
      </c>
      <c r="CP802" s="13" t="n">
        <v>143</v>
      </c>
      <c r="CQ802" s="13" t="n">
        <v>96</v>
      </c>
      <c r="CR802" s="13" t="n">
        <v>8</v>
      </c>
      <c r="CS802" s="13" t="n">
        <v>6</v>
      </c>
      <c r="CT802" s="11" t="inlineStr">
        <is>
          <t xml:space="preserve"> On-Piste All-Mountain</t>
        </is>
      </c>
      <c r="CU802" s="11" t="inlineStr">
        <is>
          <t xml:space="preserve"> Resort Freeride</t>
        </is>
      </c>
      <c r="CV802" s="13" t="n"/>
      <c r="CW802" s="13" t="n"/>
      <c r="CX802">
        <f>INDEX('Data_Price '!AG$2:AG$1266,MATCH(Data!$DN802,'Data_Price '!$AT$2:$AT$1266,0))</f>
        <v/>
      </c>
      <c r="CY802">
        <f>INDEX('Data_Price '!AH$2:AH$1266,MATCH(Data!$DN802,'Data_Price '!$AT$2:$AT$1266,0))</f>
        <v/>
      </c>
      <c r="CZ802">
        <f>INDEX('Data_Price '!AI$2:AI$1266,MATCH(Data!$DN802,'Data_Price '!$AT$2:$AT$1266,0))</f>
        <v/>
      </c>
      <c r="DA802">
        <f>INDEX('Data_Price '!AJ$2:AJ$1266,MATCH(Data!$DN802,'Data_Price '!$AT$2:$AT$1266,0))</f>
        <v/>
      </c>
      <c r="DB802">
        <f>INDEX('Data_Price '!AK$2:AK$1266,MATCH(Data!$DN802,'Data_Price '!$AT$2:$AT$1266,0))</f>
        <v/>
      </c>
      <c r="DC802">
        <f>INDEX('Data_Price '!AL$2:AL$1266,MATCH(Data!$DN802,'Data_Price '!$AT$2:$AT$1266,0))</f>
        <v/>
      </c>
      <c r="DD802">
        <f>INDEX('Data_Price '!AM$2:AM$1266,MATCH(Data!$DN802,'Data_Price '!$AT$2:$AT$1266,0))</f>
        <v/>
      </c>
      <c r="DE802">
        <f>INDEX('Data_Price '!AN$2:AN$1266,MATCH(Data!$DN802,'Data_Price '!$AT$2:$AT$1266,0))</f>
        <v/>
      </c>
      <c r="DF802">
        <f>INDEX('Data_Price '!AO$2:AO$1266,MATCH(Data!$DN802,'Data_Price '!$AT$2:$AT$1266,0))</f>
        <v/>
      </c>
      <c r="DG802">
        <f>INDEX('Data_Price '!AP$2:AP$1266,MATCH(Data!$DN802,'Data_Price '!$AT$2:$AT$1266,0))</f>
        <v/>
      </c>
      <c r="DH802">
        <f>INDEX('Data_Price '!AQ$2:AQ$1266,MATCH(Data!$DN802,'Data_Price '!$AT$2:$AT$1266,0))</f>
        <v/>
      </c>
      <c r="DI802">
        <f>INDEX('Data_Price '!AR$2:AR$1266,MATCH(Data!$DN802,'Data_Price '!$AT$2:$AT$1266,0))</f>
        <v/>
      </c>
      <c r="DJ802" s="138">
        <f>DA802</f>
        <v/>
      </c>
      <c r="DK802" s="138">
        <f>DE802</f>
        <v/>
      </c>
      <c r="DL802" s="138">
        <f>DI802</f>
        <v/>
      </c>
      <c r="DM802" s="303">
        <f>IF(LEFT(BT802,1)=" ",RIGHT(BT802,LEN(BT802)-1),BT802)</f>
        <v/>
      </c>
      <c r="DN802" s="138">
        <f>_xlfn.CONCAT(BS802,DM802,BU802,BV802)</f>
        <v/>
      </c>
      <c r="DO802" s="307" t="inlineStr">
        <is>
          <t>https://images.evo.com/imgp/250/198836/826149/dynastar-m-pro-84-w-skis-women-s-2022-.jpg</t>
        </is>
      </c>
    </row>
    <row r="803" ht="15.6" customHeight="1" s="184">
      <c r="B803" s="303">
        <f t="array" ref="B803">IF(OR(ISERROR(K803:P803)),FALSE,TRUE)</f>
        <v/>
      </c>
      <c r="C803" s="60">
        <f>OR(BR803=Driver!$G$50,Data!BR1002=Driver!$H$50)</f>
        <v/>
      </c>
      <c r="D803" s="60">
        <f>OR(BV803=Driver!$G$51,BV803=Driver!$H$51)</f>
        <v/>
      </c>
      <c r="E803" s="60">
        <f>AND(BX803&gt;Driver!$F$54,BX803&lt;Driver!$G$54)</f>
        <v/>
      </c>
      <c r="F803" s="60">
        <f>CL803&gt;Driver!$F$56</f>
        <v/>
      </c>
      <c r="G803" s="60">
        <f>AND(CB803&gt;Driver!$F$55,CB803&lt;Driver!$G$55)</f>
        <v/>
      </c>
      <c r="H803" s="60">
        <f>AND(B803:G803)</f>
        <v/>
      </c>
      <c r="I803" s="60">
        <f>COUNTIFS($H$9:$H$1273,TRUE,$BT$9:$BT$1273,BT803)</f>
        <v/>
      </c>
      <c r="J803" s="60">
        <f t="array" ref="J803">NOT(OR(($H$9:$H$1273=TRUE)*($I$9:$I$1273&gt;0)*($BT$9:$BT$1273=BT803)*($K$9:$K$1273&gt;K803)))</f>
        <v/>
      </c>
      <c r="K803" s="108">
        <f>IFERROR(1-AVERAGE(X803:Y803),"")</f>
        <v/>
      </c>
      <c r="L803" s="108">
        <f>1-X803</f>
        <v/>
      </c>
      <c r="M803" s="108">
        <f>1-Y803</f>
        <v/>
      </c>
      <c r="N803" s="108">
        <f>1-Z803</f>
        <v/>
      </c>
      <c r="O803" s="108">
        <f>1-AA803</f>
        <v/>
      </c>
      <c r="P803" s="108">
        <f>1-AB803</f>
        <v/>
      </c>
      <c r="Q803" s="108" t="n"/>
      <c r="R803" s="108" t="n"/>
      <c r="S803" s="108">
        <f>1-AE803</f>
        <v/>
      </c>
      <c r="T803" s="108">
        <f>1-AF803</f>
        <v/>
      </c>
      <c r="U803" s="108">
        <f>1-AG803</f>
        <v/>
      </c>
      <c r="V803" s="108">
        <f>1-AH803</f>
        <v/>
      </c>
      <c r="W803" s="108">
        <f>1-AI803</f>
        <v/>
      </c>
      <c r="X803" s="108">
        <f>ABS(AJ803-AJ$1)</f>
        <v/>
      </c>
      <c r="Y803" s="108">
        <f>AVERAGE(Z803:AB803)</f>
        <v/>
      </c>
      <c r="Z803" s="108">
        <f>ABS(AL803-AL$1)</f>
        <v/>
      </c>
      <c r="AA803" s="108">
        <f>ABS(AM803-AM$1)</f>
        <v/>
      </c>
      <c r="AB803" s="108">
        <f>ABS(AN803-AN$1)</f>
        <v/>
      </c>
      <c r="AC803" s="108" t="n"/>
      <c r="AD803" s="108" t="n"/>
      <c r="AE803" s="108">
        <f>ABS(AQ$1-AQ803)</f>
        <v/>
      </c>
      <c r="AF803" s="108">
        <f>ABS(AR$1-AR803)</f>
        <v/>
      </c>
      <c r="AG803" s="108">
        <f>ABS(AS$1-AS803)</f>
        <v/>
      </c>
      <c r="AH803" s="108">
        <f>ABS(AT$1-AT803)</f>
        <v/>
      </c>
      <c r="AI803" s="108">
        <f>ABS(AU$1-AU803)</f>
        <v/>
      </c>
      <c r="AJ803" s="108">
        <f>(AV803-Driver!$K$179)/(Driver!$L$179-Driver!$K$179)</f>
        <v/>
      </c>
      <c r="AK803" s="108">
        <f>(AW803-Driver!$K$180)/(Driver!$L$180-Driver!$K$180)</f>
        <v/>
      </c>
      <c r="AL803" s="108">
        <f>(AX803-Driver!$K$181)/(Driver!$L$181-Driver!$K$181)</f>
        <v/>
      </c>
      <c r="AM803" s="108">
        <f>(AY803-Driver!$K$182)/(Driver!$L$182-Driver!$K$182)</f>
        <v/>
      </c>
      <c r="AN803" s="108">
        <f>(AZ803-Driver!$K$183)/(Driver!$L$183-Driver!$K$183)</f>
        <v/>
      </c>
      <c r="AO803" s="108" t="n"/>
      <c r="AP803" s="108" t="n"/>
      <c r="AQ803" s="108">
        <f>(BC803-Driver!$K$188)/(Driver!$L$188-Driver!$K$188)</f>
        <v/>
      </c>
      <c r="AR803" s="108">
        <f>MIN((BD803-Driver!$K$189)/(Driver!$L$189-Driver!$K$189),100%)</f>
        <v/>
      </c>
      <c r="AS803" s="108">
        <f>(BE803-Driver!$K$190)/(Driver!$L$190-Driver!$K$190)</f>
        <v/>
      </c>
      <c r="AT803" s="108">
        <f>(BF803-Driver!$K$191)/(Driver!$L$191-Driver!$K$191)</f>
        <v/>
      </c>
      <c r="AU803" s="108">
        <f>(BG803-Driver!$K$192)/(Driver!$L$192-Driver!$K$192)</f>
        <v/>
      </c>
      <c r="AV803" s="105">
        <f>IFERROR(BM803*BJ803^1/4,"")</f>
        <v/>
      </c>
      <c r="AW803" s="105">
        <f>IFERROR(SUM(AX803:AZ803),"")</f>
        <v/>
      </c>
      <c r="AX803" s="105">
        <f>IFERROR(BH803,"")</f>
        <v/>
      </c>
      <c r="AY803" s="105">
        <f>IFERROR(Driver!$K$19/Data!BH803/Data!BI803*Data!BK803*Data!BL803,"")</f>
        <v/>
      </c>
      <c r="AZ803" s="105">
        <f>IFERROR(BI803*BN803,"")</f>
        <v/>
      </c>
      <c r="BA803" s="105" t="n"/>
      <c r="BB803" s="105" t="n"/>
      <c r="BC803" s="105">
        <f>IFERROR(BI803*BN803*BK803/BJ803^(1/2),"")</f>
        <v/>
      </c>
      <c r="BD803" s="105">
        <f>IFERROR(BH803*BM803*BL803/BJ803/BK803,"")</f>
        <v/>
      </c>
      <c r="BE803" s="105">
        <f>IFERROR(MIN(BI803/BQ803/BP803/BO803/BH803,$BE$1),"")</f>
        <v/>
      </c>
      <c r="BF803" s="105">
        <f>IFERROR(BJ803*BO803*BP803/BK803,"")</f>
        <v/>
      </c>
      <c r="BG803" s="105">
        <f>IFERROR(1/BM803/BH803*BQ803,"")</f>
        <v/>
      </c>
      <c r="BH803" s="102">
        <f>MAX((CE803-Driver!$F$200)/(Driver!$G$200-Driver!$F$200)*$BI$1,1)</f>
        <v/>
      </c>
      <c r="BI803" s="102">
        <f>MAX($BI$1*(BY803-Driver!$F$201)/(Driver!$G$201-Driver!$F$201),1)</f>
        <v/>
      </c>
      <c r="BJ803" s="102">
        <f>(CB803-Driver!$F$206)/(Driver!$G$206-Driver!$F$206)*$BI$1</f>
        <v/>
      </c>
      <c r="BK803" s="102">
        <f>(CD803-Driver!$F$203)/(Driver!$G$203-Driver!$F$203)*$BI$1</f>
        <v/>
      </c>
      <c r="BL803" s="102">
        <f>MAX((CR803-Driver!$F$202)/(Driver!$G$202-Driver!$F$202)*$BI$1,1)</f>
        <v/>
      </c>
      <c r="BM803" s="102">
        <f>MAX((CH803-Driver!$F$204)/(Driver!$G$204-Driver!$F$204)*$BI$1,1)</f>
        <v/>
      </c>
      <c r="BN803" s="102">
        <f>(CI803-Driver!$F$205)/(Driver!$G$205-Driver!$F$205)*$BI$1</f>
        <v/>
      </c>
      <c r="BO803" s="102">
        <f>(CK803-Driver!$F$207)/(Driver!$G$207-Driver!$F$207)*$BI$1</f>
        <v/>
      </c>
      <c r="BP803" s="102">
        <f>(CM803-Driver!$F$208)/(Driver!$G$208-Driver!$F$208)*$BI$1</f>
        <v/>
      </c>
      <c r="BQ803" s="102">
        <f>(CL803-Driver!$F$209)/(Driver!$G$209-Driver!$F$209)*$BI$1</f>
        <v/>
      </c>
      <c r="BR803" s="40" t="inlineStr">
        <is>
          <t>21/22</t>
        </is>
      </c>
      <c r="BS803" s="10" t="inlineStr">
        <is>
          <t xml:space="preserve"> Rossignol</t>
        </is>
      </c>
      <c r="BT803" s="11" t="inlineStr">
        <is>
          <t>Experience 76 W</t>
        </is>
      </c>
      <c r="BU803" s="13" t="n">
        <v>152</v>
      </c>
      <c r="BV803" s="11" t="inlineStr">
        <is>
          <t xml:space="preserve"> Women's</t>
        </is>
      </c>
      <c r="BW803" s="13" t="n">
        <v>152</v>
      </c>
      <c r="BX803" s="13" t="n">
        <v>152.4</v>
      </c>
      <c r="BY803" s="13" t="n">
        <v>131</v>
      </c>
      <c r="BZ803" s="13" t="n">
        <v>137</v>
      </c>
      <c r="CA803" s="13" t="n">
        <v>123</v>
      </c>
      <c r="CB803" s="13" t="n">
        <v>76</v>
      </c>
      <c r="CC803" s="13" t="n">
        <v>109</v>
      </c>
      <c r="CD803" s="13" t="n">
        <v>11.4</v>
      </c>
      <c r="CE803" s="13" t="n">
        <v>1534</v>
      </c>
      <c r="CF803" s="13" t="n">
        <v>0.91</v>
      </c>
      <c r="CG803" s="13" t="n">
        <v>1393</v>
      </c>
      <c r="CH803" s="13" t="n">
        <v>153</v>
      </c>
      <c r="CI803" s="13" t="n">
        <v>59</v>
      </c>
      <c r="CJ803" s="13" t="n">
        <v>35</v>
      </c>
      <c r="CK803" s="13" t="n">
        <v>146</v>
      </c>
      <c r="CL803" s="13" t="n">
        <v>6</v>
      </c>
      <c r="CM803" s="13" t="n">
        <v>71</v>
      </c>
      <c r="CN803" s="13" t="n">
        <v>0.166</v>
      </c>
      <c r="CO803" s="13" t="n">
        <v>71</v>
      </c>
      <c r="CP803" s="13" t="n">
        <v>82</v>
      </c>
      <c r="CQ803" s="13" t="n">
        <v>75</v>
      </c>
      <c r="CR803" s="13" t="n">
        <v>8</v>
      </c>
      <c r="CS803" s="13" t="n">
        <v>8.4</v>
      </c>
      <c r="CT803" s="11" t="inlineStr">
        <is>
          <t xml:space="preserve"> On-Piste Carving</t>
        </is>
      </c>
      <c r="CU803" s="11" t="inlineStr">
        <is>
          <t xml:space="preserve"> On-Piste All-Mountain</t>
        </is>
      </c>
      <c r="CV803" s="13" t="n"/>
      <c r="CW803" s="13" t="n"/>
      <c r="CX803">
        <f>INDEX('Data_Price '!AG$2:AG$1266,MATCH(Data!$DN803,'Data_Price '!$AT$2:$AT$1266,0))</f>
        <v/>
      </c>
      <c r="CY803">
        <f>INDEX('Data_Price '!AH$2:AH$1266,MATCH(Data!$DN803,'Data_Price '!$AT$2:$AT$1266,0))</f>
        <v/>
      </c>
      <c r="CZ803">
        <f>INDEX('Data_Price '!AI$2:AI$1266,MATCH(Data!$DN803,'Data_Price '!$AT$2:$AT$1266,0))</f>
        <v/>
      </c>
      <c r="DA803">
        <f>INDEX('Data_Price '!AJ$2:AJ$1266,MATCH(Data!$DN803,'Data_Price '!$AT$2:$AT$1266,0))</f>
        <v/>
      </c>
      <c r="DB803">
        <f>INDEX('Data_Price '!AK$2:AK$1266,MATCH(Data!$DN803,'Data_Price '!$AT$2:$AT$1266,0))</f>
        <v/>
      </c>
      <c r="DC803">
        <f>INDEX('Data_Price '!AL$2:AL$1266,MATCH(Data!$DN803,'Data_Price '!$AT$2:$AT$1266,0))</f>
        <v/>
      </c>
      <c r="DD803">
        <f>INDEX('Data_Price '!AM$2:AM$1266,MATCH(Data!$DN803,'Data_Price '!$AT$2:$AT$1266,0))</f>
        <v/>
      </c>
      <c r="DE803">
        <f>INDEX('Data_Price '!AN$2:AN$1266,MATCH(Data!$DN803,'Data_Price '!$AT$2:$AT$1266,0))</f>
        <v/>
      </c>
      <c r="DF803">
        <f>INDEX('Data_Price '!AO$2:AO$1266,MATCH(Data!$DN803,'Data_Price '!$AT$2:$AT$1266,0))</f>
        <v/>
      </c>
      <c r="DG803">
        <f>INDEX('Data_Price '!AP$2:AP$1266,MATCH(Data!$DN803,'Data_Price '!$AT$2:$AT$1266,0))</f>
        <v/>
      </c>
      <c r="DH803">
        <f>INDEX('Data_Price '!AQ$2:AQ$1266,MATCH(Data!$DN803,'Data_Price '!$AT$2:$AT$1266,0))</f>
        <v/>
      </c>
      <c r="DI803">
        <f>INDEX('Data_Price '!AR$2:AR$1266,MATCH(Data!$DN803,'Data_Price '!$AT$2:$AT$1266,0))</f>
        <v/>
      </c>
      <c r="DJ803" s="138">
        <f>DA803</f>
        <v/>
      </c>
      <c r="DK803" s="138">
        <f>DE803</f>
        <v/>
      </c>
      <c r="DL803" s="138">
        <f>DI803</f>
        <v/>
      </c>
      <c r="DM803" s="303">
        <f>IF(LEFT(BT803,1)=" ",RIGHT(BT803,LEN(BT803)-1),BT803)</f>
        <v/>
      </c>
      <c r="DN803" s="138">
        <f>_xlfn.CONCAT(BS803,DM803,BU803,BV803)</f>
        <v/>
      </c>
      <c r="DO803" s="307" t="n"/>
    </row>
    <row r="804" ht="15.6" customHeight="1" s="184">
      <c r="B804" s="303">
        <f t="array" ref="B804">IF(OR(ISERROR(K804:P804)),FALSE,TRUE)</f>
        <v/>
      </c>
      <c r="C804" s="60">
        <f>OR(BR804=Driver!$G$50,Data!BR206=Driver!$H$50)</f>
        <v/>
      </c>
      <c r="D804" s="60">
        <f>OR(BV804=Driver!$G$51,BV804=Driver!$H$51)</f>
        <v/>
      </c>
      <c r="E804" s="60">
        <f>AND(BX804&gt;Driver!$F$54,BX804&lt;Driver!$G$54)</f>
        <v/>
      </c>
      <c r="F804" s="60">
        <f>CL804&gt;Driver!$F$56</f>
        <v/>
      </c>
      <c r="G804" s="60">
        <f>AND(CB804&gt;Driver!$F$55,CB804&lt;Driver!$G$55)</f>
        <v/>
      </c>
      <c r="H804" s="60">
        <f>AND(B804:G804)</f>
        <v/>
      </c>
      <c r="I804" s="60">
        <f>COUNTIFS($H$9:$H$1273,TRUE,$BT$9:$BT$1273,BT804)</f>
        <v/>
      </c>
      <c r="J804" s="60">
        <f t="array" ref="J804">NOT(OR(($H$9:$H$1273=TRUE)*($I$9:$I$1273&gt;0)*($BT$9:$BT$1273=BT804)*($K$9:$K$1273&gt;K804)))</f>
        <v/>
      </c>
      <c r="K804" s="108">
        <f>IFERROR(1-AVERAGE(X804:Y804),"")</f>
        <v/>
      </c>
      <c r="L804" s="108">
        <f>1-X804</f>
        <v/>
      </c>
      <c r="M804" s="108">
        <f>1-Y804</f>
        <v/>
      </c>
      <c r="N804" s="108">
        <f>1-Z804</f>
        <v/>
      </c>
      <c r="O804" s="108">
        <f>1-AA804</f>
        <v/>
      </c>
      <c r="P804" s="108">
        <f>1-AB804</f>
        <v/>
      </c>
      <c r="Q804" s="108" t="n"/>
      <c r="R804" s="108" t="n"/>
      <c r="S804" s="108">
        <f>1-AE804</f>
        <v/>
      </c>
      <c r="T804" s="108">
        <f>1-AF804</f>
        <v/>
      </c>
      <c r="U804" s="108">
        <f>1-AG804</f>
        <v/>
      </c>
      <c r="V804" s="108">
        <f>1-AH804</f>
        <v/>
      </c>
      <c r="W804" s="108">
        <f>1-AI804</f>
        <v/>
      </c>
      <c r="X804" s="108">
        <f>ABS(AJ804-AJ$1)</f>
        <v/>
      </c>
      <c r="Y804" s="108">
        <f>AVERAGE(Z804:AB804)</f>
        <v/>
      </c>
      <c r="Z804" s="108">
        <f>ABS(AL804-AL$1)</f>
        <v/>
      </c>
      <c r="AA804" s="108">
        <f>ABS(AM804-AM$1)</f>
        <v/>
      </c>
      <c r="AB804" s="108">
        <f>ABS(AN804-AN$1)</f>
        <v/>
      </c>
      <c r="AC804" s="108" t="n"/>
      <c r="AD804" s="108" t="n"/>
      <c r="AE804" s="108">
        <f>ABS(AQ$1-AQ804)</f>
        <v/>
      </c>
      <c r="AF804" s="108">
        <f>ABS(AR$1-AR804)</f>
        <v/>
      </c>
      <c r="AG804" s="108">
        <f>ABS(AS$1-AS804)</f>
        <v/>
      </c>
      <c r="AH804" s="108">
        <f>ABS(AT$1-AT804)</f>
        <v/>
      </c>
      <c r="AI804" s="108">
        <f>ABS(AU$1-AU804)</f>
        <v/>
      </c>
      <c r="AJ804" s="108">
        <f>(AV804-Driver!$K$179)/(Driver!$L$179-Driver!$K$179)</f>
        <v/>
      </c>
      <c r="AK804" s="108">
        <f>(AW804-Driver!$K$180)/(Driver!$L$180-Driver!$K$180)</f>
        <v/>
      </c>
      <c r="AL804" s="108">
        <f>(AX804-Driver!$K$181)/(Driver!$L$181-Driver!$K$181)</f>
        <v/>
      </c>
      <c r="AM804" s="108">
        <f>(AY804-Driver!$K$182)/(Driver!$L$182-Driver!$K$182)</f>
        <v/>
      </c>
      <c r="AN804" s="108">
        <f>(AZ804-Driver!$K$183)/(Driver!$L$183-Driver!$K$183)</f>
        <v/>
      </c>
      <c r="AO804" s="108" t="n"/>
      <c r="AP804" s="108" t="n"/>
      <c r="AQ804" s="108">
        <f>(BC804-Driver!$K$188)/(Driver!$L$188-Driver!$K$188)</f>
        <v/>
      </c>
      <c r="AR804" s="108">
        <f>MIN((BD804-Driver!$K$189)/(Driver!$L$189-Driver!$K$189),100%)</f>
        <v/>
      </c>
      <c r="AS804" s="108">
        <f>(BE804-Driver!$K$190)/(Driver!$L$190-Driver!$K$190)</f>
        <v/>
      </c>
      <c r="AT804" s="108">
        <f>(BF804-Driver!$K$191)/(Driver!$L$191-Driver!$K$191)</f>
        <v/>
      </c>
      <c r="AU804" s="108">
        <f>(BG804-Driver!$K$192)/(Driver!$L$192-Driver!$K$192)</f>
        <v/>
      </c>
      <c r="AV804" s="105">
        <f>IFERROR(BM804*BJ804^1/4,"")</f>
        <v/>
      </c>
      <c r="AW804" s="105">
        <f>IFERROR(SUM(AX804:AZ804),"")</f>
        <v/>
      </c>
      <c r="AX804" s="105">
        <f>IFERROR(BH804,"")</f>
        <v/>
      </c>
      <c r="AY804" s="105">
        <f>IFERROR(Driver!$K$19/Data!BH804/Data!BI804*Data!BK804*Data!BL804,"")</f>
        <v/>
      </c>
      <c r="AZ804" s="105">
        <f>IFERROR(BI804*BN804,"")</f>
        <v/>
      </c>
      <c r="BA804" s="105" t="n"/>
      <c r="BB804" s="105" t="n"/>
      <c r="BC804" s="105">
        <f>IFERROR(BI804*BN804*BK804/BJ804^(1/2),"")</f>
        <v/>
      </c>
      <c r="BD804" s="105">
        <f>IFERROR(BH804*BM804*BL804/BJ804/BK804,"")</f>
        <v/>
      </c>
      <c r="BE804" s="105">
        <f>IFERROR(MIN(BI804/BQ804/BP804/BO804/BH804,$BE$1),"")</f>
        <v/>
      </c>
      <c r="BF804" s="105">
        <f>IFERROR(BJ804*BO804*BP804/BK804,"")</f>
        <v/>
      </c>
      <c r="BG804" s="105">
        <f>IFERROR(1/BM804/BH804*BQ804,"")</f>
        <v/>
      </c>
      <c r="BH804" s="102">
        <f>MAX((CE804-Driver!$F$200)/(Driver!$G$200-Driver!$F$200)*$BI$1,1)</f>
        <v/>
      </c>
      <c r="BI804" s="102">
        <f>MAX($BI$1*(BY804-Driver!$F$201)/(Driver!$G$201-Driver!$F$201),1)</f>
        <v/>
      </c>
      <c r="BJ804" s="102">
        <f>(CB804-Driver!$F$206)/(Driver!$G$206-Driver!$F$206)*$BI$1</f>
        <v/>
      </c>
      <c r="BK804" s="102">
        <f>(CD804-Driver!$F$203)/(Driver!$G$203-Driver!$F$203)*$BI$1</f>
        <v/>
      </c>
      <c r="BL804" s="102">
        <f>MAX((CR804-Driver!$F$202)/(Driver!$G$202-Driver!$F$202)*$BI$1,1)</f>
        <v/>
      </c>
      <c r="BM804" s="102">
        <f>MAX((CH804-Driver!$F$204)/(Driver!$G$204-Driver!$F$204)*$BI$1,1)</f>
        <v/>
      </c>
      <c r="BN804" s="102">
        <f>(CI804-Driver!$F$205)/(Driver!$G$205-Driver!$F$205)*$BI$1</f>
        <v/>
      </c>
      <c r="BO804" s="102">
        <f>(CK804-Driver!$F$207)/(Driver!$G$207-Driver!$F$207)*$BI$1</f>
        <v/>
      </c>
      <c r="BP804" s="102">
        <f>(CM804-Driver!$F$208)/(Driver!$G$208-Driver!$F$208)*$BI$1</f>
        <v/>
      </c>
      <c r="BQ804" s="102">
        <f>(CL804-Driver!$F$209)/(Driver!$G$209-Driver!$F$209)*$BI$1</f>
        <v/>
      </c>
      <c r="BR804" s="40" t="inlineStr">
        <is>
          <t>21/22</t>
        </is>
      </c>
      <c r="BS804" s="10" t="inlineStr">
        <is>
          <t xml:space="preserve"> Black Crows</t>
        </is>
      </c>
      <c r="BT804" s="11" t="inlineStr">
        <is>
          <t xml:space="preserve"> Camox Birdie</t>
        </is>
      </c>
      <c r="BU804" s="13" t="n">
        <v>156.1</v>
      </c>
      <c r="BV804" s="11" t="inlineStr">
        <is>
          <t xml:space="preserve"> Women's</t>
        </is>
      </c>
      <c r="BW804" s="13" t="n">
        <v>156.1</v>
      </c>
      <c r="BX804" s="13" t="n">
        <v>154.9</v>
      </c>
      <c r="BY804" s="13" t="n">
        <v>120</v>
      </c>
      <c r="BZ804" s="13" t="n">
        <v>136</v>
      </c>
      <c r="CA804" s="13" t="n">
        <v>126</v>
      </c>
      <c r="CB804" s="13" t="n">
        <v>95</v>
      </c>
      <c r="CC804" s="13" t="n">
        <v>114</v>
      </c>
      <c r="CD804" s="13" t="n">
        <v>18.4</v>
      </c>
      <c r="CE804" s="13" t="n">
        <v>1543</v>
      </c>
      <c r="CF804" s="13" t="n">
        <v>1.05</v>
      </c>
      <c r="CG804" s="13" t="n">
        <v>1616</v>
      </c>
      <c r="CH804" s="13" t="n">
        <v>148</v>
      </c>
      <c r="CI804" s="13" t="n">
        <v>61</v>
      </c>
      <c r="CJ804" s="13" t="n">
        <v>38</v>
      </c>
      <c r="CK804" s="13" t="n">
        <v>198</v>
      </c>
      <c r="CL804" s="13" t="n">
        <v>30</v>
      </c>
      <c r="CM804" s="13" t="n">
        <v>156</v>
      </c>
      <c r="CN804" s="13" t="n">
        <v>0.787</v>
      </c>
      <c r="CO804" s="13" t="n">
        <v>100</v>
      </c>
      <c r="CP804" s="13" t="n">
        <v>94</v>
      </c>
      <c r="CQ804" s="13" t="n">
        <v>98</v>
      </c>
      <c r="CR804" s="13" t="n">
        <v>14</v>
      </c>
      <c r="CS804" s="13" t="n">
        <v>6.6</v>
      </c>
      <c r="CT804" s="11" t="inlineStr">
        <is>
          <t xml:space="preserve"> Resort Freeride</t>
        </is>
      </c>
      <c r="CU804" s="13" t="n"/>
      <c r="CV804" s="13" t="n"/>
      <c r="CW804" s="13" t="n"/>
      <c r="CX804">
        <f>INDEX('Data_Price '!AG$2:AG$1266,MATCH(Data!$DN804,'Data_Price '!$AT$2:$AT$1266,0))</f>
        <v/>
      </c>
      <c r="CY804">
        <f>INDEX('Data_Price '!AH$2:AH$1266,MATCH(Data!$DN804,'Data_Price '!$AT$2:$AT$1266,0))</f>
        <v/>
      </c>
      <c r="CZ804">
        <f>INDEX('Data_Price '!AI$2:AI$1266,MATCH(Data!$DN804,'Data_Price '!$AT$2:$AT$1266,0))</f>
        <v/>
      </c>
      <c r="DA804">
        <f>INDEX('Data_Price '!AJ$2:AJ$1266,MATCH(Data!$DN804,'Data_Price '!$AT$2:$AT$1266,0))</f>
        <v/>
      </c>
      <c r="DB804">
        <f>INDEX('Data_Price '!AK$2:AK$1266,MATCH(Data!$DN804,'Data_Price '!$AT$2:$AT$1266,0))</f>
        <v/>
      </c>
      <c r="DC804">
        <f>INDEX('Data_Price '!AL$2:AL$1266,MATCH(Data!$DN804,'Data_Price '!$AT$2:$AT$1266,0))</f>
        <v/>
      </c>
      <c r="DD804">
        <f>INDEX('Data_Price '!AM$2:AM$1266,MATCH(Data!$DN804,'Data_Price '!$AT$2:$AT$1266,0))</f>
        <v/>
      </c>
      <c r="DE804">
        <f>INDEX('Data_Price '!AN$2:AN$1266,MATCH(Data!$DN804,'Data_Price '!$AT$2:$AT$1266,0))</f>
        <v/>
      </c>
      <c r="DF804">
        <f>INDEX('Data_Price '!AO$2:AO$1266,MATCH(Data!$DN804,'Data_Price '!$AT$2:$AT$1266,0))</f>
        <v/>
      </c>
      <c r="DG804">
        <f>INDEX('Data_Price '!AP$2:AP$1266,MATCH(Data!$DN804,'Data_Price '!$AT$2:$AT$1266,0))</f>
        <v/>
      </c>
      <c r="DH804">
        <f>INDEX('Data_Price '!AQ$2:AQ$1266,MATCH(Data!$DN804,'Data_Price '!$AT$2:$AT$1266,0))</f>
        <v/>
      </c>
      <c r="DI804">
        <f>INDEX('Data_Price '!AR$2:AR$1266,MATCH(Data!$DN804,'Data_Price '!$AT$2:$AT$1266,0))</f>
        <v/>
      </c>
      <c r="DJ804" s="138">
        <f>DA804</f>
        <v/>
      </c>
      <c r="DK804" s="138">
        <f>DE804</f>
        <v/>
      </c>
      <c r="DL804" s="138">
        <f>DI804</f>
        <v/>
      </c>
      <c r="DM804" s="303">
        <f>IF(LEFT(BT804,1)=" ",RIGHT(BT804,LEN(BT804)-1),BT804)</f>
        <v/>
      </c>
      <c r="DN804" s="138">
        <f>_xlfn.CONCAT(BS804,DM804,BU804,BV804)</f>
        <v/>
      </c>
      <c r="DO804" s="307" t="inlineStr">
        <is>
          <t>https://images.evo.com/imgp/250/181607/727257/black-crows-camox-birdie-skis-women-s-2022-.jpg</t>
        </is>
      </c>
    </row>
    <row r="805" ht="15.6" customHeight="1" s="184">
      <c r="B805" s="303">
        <f t="array" ref="B805">IF(OR(ISERROR(K805:P805)),FALSE,TRUE)</f>
        <v/>
      </c>
      <c r="C805" s="60">
        <f>OR(BR805=Driver!$G$50,Data!BR610=Driver!$H$50)</f>
        <v/>
      </c>
      <c r="D805" s="60">
        <f>OR(BV805=Driver!$G$51,BV805=Driver!$H$51)</f>
        <v/>
      </c>
      <c r="E805" s="60">
        <f>AND(BX805&gt;Driver!$F$54,BX805&lt;Driver!$G$54)</f>
        <v/>
      </c>
      <c r="F805" s="60">
        <f>CL805&gt;Driver!$F$56</f>
        <v/>
      </c>
      <c r="G805" s="60">
        <f>AND(CB805&gt;Driver!$F$55,CB805&lt;Driver!$G$55)</f>
        <v/>
      </c>
      <c r="H805" s="60">
        <f>AND(B805:G805)</f>
        <v/>
      </c>
      <c r="I805" s="60">
        <f>COUNTIFS($H$9:$H$1273,TRUE,$BT$9:$BT$1273,BT805)</f>
        <v/>
      </c>
      <c r="J805" s="60">
        <f t="array" ref="J805">NOT(OR(($H$9:$H$1273=TRUE)*($I$9:$I$1273&gt;0)*($BT$9:$BT$1273=BT805)*($K$9:$K$1273&gt;K805)))</f>
        <v/>
      </c>
      <c r="K805" s="108">
        <f>IFERROR(1-AVERAGE(X805:Y805),"")</f>
        <v/>
      </c>
      <c r="L805" s="108">
        <f>1-X805</f>
        <v/>
      </c>
      <c r="M805" s="108">
        <f>1-Y805</f>
        <v/>
      </c>
      <c r="N805" s="108">
        <f>1-Z805</f>
        <v/>
      </c>
      <c r="O805" s="108">
        <f>1-AA805</f>
        <v/>
      </c>
      <c r="P805" s="108">
        <f>1-AB805</f>
        <v/>
      </c>
      <c r="Q805" s="108" t="n"/>
      <c r="R805" s="108" t="n"/>
      <c r="S805" s="108">
        <f>1-AE805</f>
        <v/>
      </c>
      <c r="T805" s="108">
        <f>1-AF805</f>
        <v/>
      </c>
      <c r="U805" s="108">
        <f>1-AG805</f>
        <v/>
      </c>
      <c r="V805" s="108">
        <f>1-AH805</f>
        <v/>
      </c>
      <c r="W805" s="108">
        <f>1-AI805</f>
        <v/>
      </c>
      <c r="X805" s="108">
        <f>ABS(AJ805-AJ$1)</f>
        <v/>
      </c>
      <c r="Y805" s="108">
        <f>AVERAGE(Z805:AB805)</f>
        <v/>
      </c>
      <c r="Z805" s="108">
        <f>ABS(AL805-AL$1)</f>
        <v/>
      </c>
      <c r="AA805" s="108">
        <f>ABS(AM805-AM$1)</f>
        <v/>
      </c>
      <c r="AB805" s="108">
        <f>ABS(AN805-AN$1)</f>
        <v/>
      </c>
      <c r="AC805" s="108" t="n"/>
      <c r="AD805" s="108" t="n"/>
      <c r="AE805" s="108">
        <f>ABS(AQ$1-AQ805)</f>
        <v/>
      </c>
      <c r="AF805" s="108">
        <f>ABS(AR$1-AR805)</f>
        <v/>
      </c>
      <c r="AG805" s="108">
        <f>ABS(AS$1-AS805)</f>
        <v/>
      </c>
      <c r="AH805" s="108">
        <f>ABS(AT$1-AT805)</f>
        <v/>
      </c>
      <c r="AI805" s="108">
        <f>ABS(AU$1-AU805)</f>
        <v/>
      </c>
      <c r="AJ805" s="108">
        <f>(AV805-Driver!$K$179)/(Driver!$L$179-Driver!$K$179)</f>
        <v/>
      </c>
      <c r="AK805" s="108">
        <f>(AW805-Driver!$K$180)/(Driver!$L$180-Driver!$K$180)</f>
        <v/>
      </c>
      <c r="AL805" s="108">
        <f>(AX805-Driver!$K$181)/(Driver!$L$181-Driver!$K$181)</f>
        <v/>
      </c>
      <c r="AM805" s="108">
        <f>(AY805-Driver!$K$182)/(Driver!$L$182-Driver!$K$182)</f>
        <v/>
      </c>
      <c r="AN805" s="108">
        <f>(AZ805-Driver!$K$183)/(Driver!$L$183-Driver!$K$183)</f>
        <v/>
      </c>
      <c r="AO805" s="108" t="n"/>
      <c r="AP805" s="108" t="n"/>
      <c r="AQ805" s="108">
        <f>(BC805-Driver!$K$188)/(Driver!$L$188-Driver!$K$188)</f>
        <v/>
      </c>
      <c r="AR805" s="108">
        <f>MIN((BD805-Driver!$K$189)/(Driver!$L$189-Driver!$K$189),100%)</f>
        <v/>
      </c>
      <c r="AS805" s="108">
        <f>(BE805-Driver!$K$190)/(Driver!$L$190-Driver!$K$190)</f>
        <v/>
      </c>
      <c r="AT805" s="108">
        <f>(BF805-Driver!$K$191)/(Driver!$L$191-Driver!$K$191)</f>
        <v/>
      </c>
      <c r="AU805" s="108">
        <f>(BG805-Driver!$K$192)/(Driver!$L$192-Driver!$K$192)</f>
        <v/>
      </c>
      <c r="AV805" s="105">
        <f>IFERROR(BM805*BJ805^1/4,"")</f>
        <v/>
      </c>
      <c r="AW805" s="105">
        <f>IFERROR(SUM(AX805:AZ805),"")</f>
        <v/>
      </c>
      <c r="AX805" s="105">
        <f>IFERROR(BH805,"")</f>
        <v/>
      </c>
      <c r="AY805" s="105">
        <f>IFERROR(Driver!$K$19/Data!BH805/Data!BI805*Data!BK805*Data!BL805,"")</f>
        <v/>
      </c>
      <c r="AZ805" s="105">
        <f>IFERROR(BI805*BN805,"")</f>
        <v/>
      </c>
      <c r="BA805" s="105" t="n"/>
      <c r="BB805" s="105" t="n"/>
      <c r="BC805" s="105">
        <f>IFERROR(BI805*BN805*BK805/BJ805^(1/2),"")</f>
        <v/>
      </c>
      <c r="BD805" s="105">
        <f>IFERROR(BH805*BM805*BL805/BJ805/BK805,"")</f>
        <v/>
      </c>
      <c r="BE805" s="105">
        <f>IFERROR(MIN(BI805/BQ805/BP805/BO805/BH805,$BE$1),"")</f>
        <v/>
      </c>
      <c r="BF805" s="105">
        <f>IFERROR(BJ805*BO805*BP805/BK805,"")</f>
        <v/>
      </c>
      <c r="BG805" s="105">
        <f>IFERROR(1/BM805/BH805*BQ805,"")</f>
        <v/>
      </c>
      <c r="BH805" s="102">
        <f>MAX((CE805-Driver!$F$200)/(Driver!$G$200-Driver!$F$200)*$BI$1,1)</f>
        <v/>
      </c>
      <c r="BI805" s="102">
        <f>MAX($BI$1*(BY805-Driver!$F$201)/(Driver!$G$201-Driver!$F$201),1)</f>
        <v/>
      </c>
      <c r="BJ805" s="102">
        <f>(CB805-Driver!$F$206)/(Driver!$G$206-Driver!$F$206)*$BI$1</f>
        <v/>
      </c>
      <c r="BK805" s="102">
        <f>(CD805-Driver!$F$203)/(Driver!$G$203-Driver!$F$203)*$BI$1</f>
        <v/>
      </c>
      <c r="BL805" s="102">
        <f>MAX((CR805-Driver!$F$202)/(Driver!$G$202-Driver!$F$202)*$BI$1,1)</f>
        <v/>
      </c>
      <c r="BM805" s="102">
        <f>MAX((CH805-Driver!$F$204)/(Driver!$G$204-Driver!$F$204)*$BI$1,1)</f>
        <v/>
      </c>
      <c r="BN805" s="102">
        <f>(CI805-Driver!$F$205)/(Driver!$G$205-Driver!$F$205)*$BI$1</f>
        <v/>
      </c>
      <c r="BO805" s="102">
        <f>(CK805-Driver!$F$207)/(Driver!$G$207-Driver!$F$207)*$BI$1</f>
        <v/>
      </c>
      <c r="BP805" s="102">
        <f>(CM805-Driver!$F$208)/(Driver!$G$208-Driver!$F$208)*$BI$1</f>
        <v/>
      </c>
      <c r="BQ805" s="102">
        <f>(CL805-Driver!$F$209)/(Driver!$G$209-Driver!$F$209)*$BI$1</f>
        <v/>
      </c>
      <c r="BR805" s="40" t="inlineStr">
        <is>
          <t>21/22</t>
        </is>
      </c>
      <c r="BS805" s="10" t="inlineStr">
        <is>
          <t xml:space="preserve"> Head</t>
        </is>
      </c>
      <c r="BT805" s="11" t="inlineStr">
        <is>
          <t>Kore 80 X</t>
        </is>
      </c>
      <c r="BU805" s="13" t="n">
        <v>163</v>
      </c>
      <c r="BV805" s="11" t="inlineStr">
        <is>
          <t xml:space="preserve"> Unisex</t>
        </is>
      </c>
      <c r="BW805" s="13" t="n">
        <v>163</v>
      </c>
      <c r="BX805" s="13" t="n">
        <v>162.6</v>
      </c>
      <c r="BY805" s="13" t="n">
        <v>131</v>
      </c>
      <c r="BZ805" s="13" t="n">
        <v>138</v>
      </c>
      <c r="CA805" s="13" t="n">
        <v>124</v>
      </c>
      <c r="CB805" s="13" t="n">
        <v>78</v>
      </c>
      <c r="CC805" s="13" t="n">
        <v>103</v>
      </c>
      <c r="CD805" s="13" t="n">
        <v>12.1</v>
      </c>
      <c r="CE805" s="13" t="n">
        <v>1773</v>
      </c>
      <c r="CF805" s="13" t="n">
        <v>0.85</v>
      </c>
      <c r="CG805" s="13" t="n">
        <v>1510</v>
      </c>
      <c r="CH805" s="13" t="n">
        <v>148</v>
      </c>
      <c r="CI805" s="13" t="n">
        <v>76</v>
      </c>
      <c r="CJ805" s="13" t="n">
        <v>43</v>
      </c>
      <c r="CK805" s="13" t="n">
        <v>202</v>
      </c>
      <c r="CL805" s="13" t="n">
        <v>11</v>
      </c>
      <c r="CM805" s="13" t="n">
        <v>116</v>
      </c>
      <c r="CN805" s="13" t="n">
        <v>0.256</v>
      </c>
      <c r="CO805" s="13" t="n">
        <v>129</v>
      </c>
      <c r="CP805" s="13" t="n">
        <v>112</v>
      </c>
      <c r="CQ805" s="13" t="n">
        <v>73</v>
      </c>
      <c r="CR805" s="13" t="n">
        <v>10</v>
      </c>
      <c r="CS805" s="13" t="n">
        <v>10.4</v>
      </c>
      <c r="CT805" s="11" t="inlineStr">
        <is>
          <t xml:space="preserve"> On-Piste All-Mountain</t>
        </is>
      </c>
      <c r="CU805" s="13" t="n"/>
      <c r="CV805" s="13" t="n"/>
      <c r="CW805" s="13" t="n"/>
      <c r="CX805">
        <f>INDEX('Data_Price '!AG$2:AG$1266,MATCH(Data!$DN805,'Data_Price '!$AT$2:$AT$1266,0))</f>
        <v/>
      </c>
      <c r="CY805">
        <f>INDEX('Data_Price '!AH$2:AH$1266,MATCH(Data!$DN805,'Data_Price '!$AT$2:$AT$1266,0))</f>
        <v/>
      </c>
      <c r="CZ805">
        <f>INDEX('Data_Price '!AI$2:AI$1266,MATCH(Data!$DN805,'Data_Price '!$AT$2:$AT$1266,0))</f>
        <v/>
      </c>
      <c r="DA805">
        <f>INDEX('Data_Price '!AJ$2:AJ$1266,MATCH(Data!$DN805,'Data_Price '!$AT$2:$AT$1266,0))</f>
        <v/>
      </c>
      <c r="DB805">
        <f>INDEX('Data_Price '!AK$2:AK$1266,MATCH(Data!$DN805,'Data_Price '!$AT$2:$AT$1266,0))</f>
        <v/>
      </c>
      <c r="DC805">
        <f>INDEX('Data_Price '!AL$2:AL$1266,MATCH(Data!$DN805,'Data_Price '!$AT$2:$AT$1266,0))</f>
        <v/>
      </c>
      <c r="DD805">
        <f>INDEX('Data_Price '!AM$2:AM$1266,MATCH(Data!$DN805,'Data_Price '!$AT$2:$AT$1266,0))</f>
        <v/>
      </c>
      <c r="DE805">
        <f>INDEX('Data_Price '!AN$2:AN$1266,MATCH(Data!$DN805,'Data_Price '!$AT$2:$AT$1266,0))</f>
        <v/>
      </c>
      <c r="DF805">
        <f>INDEX('Data_Price '!AO$2:AO$1266,MATCH(Data!$DN805,'Data_Price '!$AT$2:$AT$1266,0))</f>
        <v/>
      </c>
      <c r="DG805">
        <f>INDEX('Data_Price '!AP$2:AP$1266,MATCH(Data!$DN805,'Data_Price '!$AT$2:$AT$1266,0))</f>
        <v/>
      </c>
      <c r="DH805">
        <f>INDEX('Data_Price '!AQ$2:AQ$1266,MATCH(Data!$DN805,'Data_Price '!$AT$2:$AT$1266,0))</f>
        <v/>
      </c>
      <c r="DI805">
        <f>INDEX('Data_Price '!AR$2:AR$1266,MATCH(Data!$DN805,'Data_Price '!$AT$2:$AT$1266,0))</f>
        <v/>
      </c>
      <c r="DJ805" s="138">
        <f>DA805</f>
        <v/>
      </c>
      <c r="DK805" s="138">
        <f>DE805</f>
        <v/>
      </c>
      <c r="DL805" s="138">
        <f>DI805</f>
        <v/>
      </c>
      <c r="DM805" s="303">
        <f>IF(LEFT(BT805,1)=" ",RIGHT(BT805,LEN(BT805)-1),BT805)</f>
        <v/>
      </c>
      <c r="DN805" s="138">
        <f>_xlfn.CONCAT(BS805,DM805,BU805,BV805)</f>
        <v/>
      </c>
      <c r="DO805" s="307" t="n"/>
    </row>
    <row r="806" ht="15.6" customHeight="1" s="184">
      <c r="B806" s="303">
        <f t="array" ref="B806">IF(OR(ISERROR(K806:P806)),FALSE,TRUE)</f>
        <v/>
      </c>
      <c r="C806" s="60">
        <f>OR(BR806=Driver!$G$50,Data!BR841=Driver!$H$50)</f>
        <v/>
      </c>
      <c r="D806" s="60">
        <f>OR(BV806=Driver!$G$51,BV806=Driver!$H$51)</f>
        <v/>
      </c>
      <c r="E806" s="60">
        <f>AND(BX806&gt;Driver!$F$54,BX806&lt;Driver!$G$54)</f>
        <v/>
      </c>
      <c r="F806" s="60">
        <f>CL806&gt;Driver!$F$56</f>
        <v/>
      </c>
      <c r="G806" s="60">
        <f>AND(CB806&gt;Driver!$F$55,CB806&lt;Driver!$G$55)</f>
        <v/>
      </c>
      <c r="H806" s="60">
        <f>AND(B806:G806)</f>
        <v/>
      </c>
      <c r="I806" s="60">
        <f>COUNTIFS($H$9:$H$1273,TRUE,$BT$9:$BT$1273,BT806)</f>
        <v/>
      </c>
      <c r="J806" s="60">
        <f t="array" ref="J806">NOT(OR(($H$9:$H$1273=TRUE)*($I$9:$I$1273&gt;0)*($BT$9:$BT$1273=BT806)*($K$9:$K$1273&gt;K806)))</f>
        <v/>
      </c>
      <c r="K806" s="108">
        <f>IFERROR(1-AVERAGE(X806:Y806),"")</f>
        <v/>
      </c>
      <c r="L806" s="108">
        <f>1-X806</f>
        <v/>
      </c>
      <c r="M806" s="108">
        <f>1-Y806</f>
        <v/>
      </c>
      <c r="N806" s="108">
        <f>1-Z806</f>
        <v/>
      </c>
      <c r="O806" s="108">
        <f>1-AA806</f>
        <v/>
      </c>
      <c r="P806" s="108">
        <f>1-AB806</f>
        <v/>
      </c>
      <c r="Q806" s="108" t="n"/>
      <c r="R806" s="108" t="n"/>
      <c r="S806" s="108">
        <f>1-AE806</f>
        <v/>
      </c>
      <c r="T806" s="108">
        <f>1-AF806</f>
        <v/>
      </c>
      <c r="U806" s="108">
        <f>1-AG806</f>
        <v/>
      </c>
      <c r="V806" s="108">
        <f>1-AH806</f>
        <v/>
      </c>
      <c r="W806" s="108">
        <f>1-AI806</f>
        <v/>
      </c>
      <c r="X806" s="108">
        <f>ABS(AJ806-AJ$1)</f>
        <v/>
      </c>
      <c r="Y806" s="108">
        <f>AVERAGE(Z806:AB806)</f>
        <v/>
      </c>
      <c r="Z806" s="108">
        <f>ABS(AL806-AL$1)</f>
        <v/>
      </c>
      <c r="AA806" s="108">
        <f>ABS(AM806-AM$1)</f>
        <v/>
      </c>
      <c r="AB806" s="108">
        <f>ABS(AN806-AN$1)</f>
        <v/>
      </c>
      <c r="AC806" s="108" t="n"/>
      <c r="AD806" s="108" t="n"/>
      <c r="AE806" s="108">
        <f>ABS(AQ$1-AQ806)</f>
        <v/>
      </c>
      <c r="AF806" s="108">
        <f>ABS(AR$1-AR806)</f>
        <v/>
      </c>
      <c r="AG806" s="108">
        <f>ABS(AS$1-AS806)</f>
        <v/>
      </c>
      <c r="AH806" s="108">
        <f>ABS(AT$1-AT806)</f>
        <v/>
      </c>
      <c r="AI806" s="108">
        <f>ABS(AU$1-AU806)</f>
        <v/>
      </c>
      <c r="AJ806" s="108">
        <f>(AV806-Driver!$K$179)/(Driver!$L$179-Driver!$K$179)</f>
        <v/>
      </c>
      <c r="AK806" s="108">
        <f>(AW806-Driver!$K$180)/(Driver!$L$180-Driver!$K$180)</f>
        <v/>
      </c>
      <c r="AL806" s="108">
        <f>(AX806-Driver!$K$181)/(Driver!$L$181-Driver!$K$181)</f>
        <v/>
      </c>
      <c r="AM806" s="108">
        <f>(AY806-Driver!$K$182)/(Driver!$L$182-Driver!$K$182)</f>
        <v/>
      </c>
      <c r="AN806" s="108">
        <f>(AZ806-Driver!$K$183)/(Driver!$L$183-Driver!$K$183)</f>
        <v/>
      </c>
      <c r="AO806" s="108" t="n"/>
      <c r="AP806" s="108" t="n"/>
      <c r="AQ806" s="108">
        <f>(BC806-Driver!$K$188)/(Driver!$L$188-Driver!$K$188)</f>
        <v/>
      </c>
      <c r="AR806" s="108">
        <f>MIN((BD806-Driver!$K$189)/(Driver!$L$189-Driver!$K$189),100%)</f>
        <v/>
      </c>
      <c r="AS806" s="108">
        <f>(BE806-Driver!$K$190)/(Driver!$L$190-Driver!$K$190)</f>
        <v/>
      </c>
      <c r="AT806" s="108">
        <f>(BF806-Driver!$K$191)/(Driver!$L$191-Driver!$K$191)</f>
        <v/>
      </c>
      <c r="AU806" s="108">
        <f>(BG806-Driver!$K$192)/(Driver!$L$192-Driver!$K$192)</f>
        <v/>
      </c>
      <c r="AV806" s="105">
        <f>IFERROR(BM806*BJ806^1/4,"")</f>
        <v/>
      </c>
      <c r="AW806" s="105">
        <f>IFERROR(SUM(AX806:AZ806),"")</f>
        <v/>
      </c>
      <c r="AX806" s="105">
        <f>IFERROR(BH806,"")</f>
        <v/>
      </c>
      <c r="AY806" s="105">
        <f>IFERROR(Driver!$K$19/Data!BH806/Data!BI806*Data!BK806*Data!BL806,"")</f>
        <v/>
      </c>
      <c r="AZ806" s="105">
        <f>IFERROR(BI806*BN806,"")</f>
        <v/>
      </c>
      <c r="BA806" s="105" t="n"/>
      <c r="BB806" s="105" t="n"/>
      <c r="BC806" s="105">
        <f>IFERROR(BI806*BN806*BK806/BJ806^(1/2),"")</f>
        <v/>
      </c>
      <c r="BD806" s="105">
        <f>IFERROR(BH806*BM806*BL806/BJ806/BK806,"")</f>
        <v/>
      </c>
      <c r="BE806" s="105">
        <f>IFERROR(MIN(BI806/BQ806/BP806/BO806/BH806,$BE$1),"")</f>
        <v/>
      </c>
      <c r="BF806" s="105">
        <f>IFERROR(BJ806*BO806*BP806/BK806,"")</f>
        <v/>
      </c>
      <c r="BG806" s="105">
        <f>IFERROR(1/BM806/BH806*BQ806,"")</f>
        <v/>
      </c>
      <c r="BH806" s="102">
        <f>MAX((CE806-Driver!$F$200)/(Driver!$G$200-Driver!$F$200)*$BI$1,1)</f>
        <v/>
      </c>
      <c r="BI806" s="102">
        <f>MAX($BI$1*(BY806-Driver!$F$201)/(Driver!$G$201-Driver!$F$201),1)</f>
        <v/>
      </c>
      <c r="BJ806" s="102">
        <f>(CB806-Driver!$F$206)/(Driver!$G$206-Driver!$F$206)*$BI$1</f>
        <v/>
      </c>
      <c r="BK806" s="102">
        <f>(CD806-Driver!$F$203)/(Driver!$G$203-Driver!$F$203)*$BI$1</f>
        <v/>
      </c>
      <c r="BL806" s="102">
        <f>MAX((CR806-Driver!$F$202)/(Driver!$G$202-Driver!$F$202)*$BI$1,1)</f>
        <v/>
      </c>
      <c r="BM806" s="102">
        <f>MAX((CH806-Driver!$F$204)/(Driver!$G$204-Driver!$F$204)*$BI$1,1)</f>
        <v/>
      </c>
      <c r="BN806" s="102">
        <f>(CI806-Driver!$F$205)/(Driver!$G$205-Driver!$F$205)*$BI$1</f>
        <v/>
      </c>
      <c r="BO806" s="102">
        <f>(CK806-Driver!$F$207)/(Driver!$G$207-Driver!$F$207)*$BI$1</f>
        <v/>
      </c>
      <c r="BP806" s="102">
        <f>(CM806-Driver!$F$208)/(Driver!$G$208-Driver!$F$208)*$BI$1</f>
        <v/>
      </c>
      <c r="BQ806" s="102">
        <f>(CL806-Driver!$F$209)/(Driver!$G$209-Driver!$F$209)*$BI$1</f>
        <v/>
      </c>
      <c r="BR806" s="40" t="inlineStr">
        <is>
          <t>21/22</t>
        </is>
      </c>
      <c r="BS806" s="10" t="inlineStr">
        <is>
          <t xml:space="preserve"> Line</t>
        </is>
      </c>
      <c r="BT806" s="11" t="inlineStr">
        <is>
          <t xml:space="preserve"> Outline</t>
        </is>
      </c>
      <c r="BU806" s="13" t="n">
        <v>178</v>
      </c>
      <c r="BV806" s="11" t="inlineStr">
        <is>
          <t xml:space="preserve"> Unisex</t>
        </is>
      </c>
      <c r="BW806" s="13" t="n">
        <v>178</v>
      </c>
      <c r="BX806" s="13" t="n">
        <v>176.2</v>
      </c>
      <c r="BY806" s="13" t="n">
        <v>94</v>
      </c>
      <c r="BZ806" s="13" t="n">
        <v>142</v>
      </c>
      <c r="CA806" s="13" t="n">
        <v>151</v>
      </c>
      <c r="CB806" s="13" t="n">
        <v>116</v>
      </c>
      <c r="CC806" s="13" t="n">
        <v>139</v>
      </c>
      <c r="CD806" s="13" t="n">
        <v>17.4</v>
      </c>
      <c r="CE806" s="13" t="n">
        <v>1842</v>
      </c>
      <c r="CF806" s="13" t="n">
        <v>1.18</v>
      </c>
      <c r="CG806" s="13" t="n">
        <v>2179</v>
      </c>
      <c r="CH806" s="13" t="n">
        <v>145</v>
      </c>
      <c r="CI806" s="13" t="n">
        <v>83</v>
      </c>
      <c r="CJ806" s="13" t="n">
        <v>70</v>
      </c>
      <c r="CK806" s="13" t="n">
        <v>413</v>
      </c>
      <c r="CL806" s="13" t="n">
        <v>64</v>
      </c>
      <c r="CM806" s="13" t="n">
        <v>407</v>
      </c>
      <c r="CN806" s="13" t="n">
        <v>0.921</v>
      </c>
      <c r="CO806" s="13" t="n">
        <v>164</v>
      </c>
      <c r="CP806" s="13" t="n">
        <v>176</v>
      </c>
      <c r="CQ806" s="13" t="n">
        <v>249</v>
      </c>
      <c r="CR806" s="13" t="n">
        <v>4</v>
      </c>
      <c r="CS806" s="13" t="n">
        <v>4.4</v>
      </c>
      <c r="CT806" s="11" t="inlineStr">
        <is>
          <t xml:space="preserve"> Freeski</t>
        </is>
      </c>
      <c r="CU806" s="11" t="inlineStr">
        <is>
          <t xml:space="preserve"> Powder</t>
        </is>
      </c>
      <c r="CV806" s="11" t="inlineStr">
        <is>
          <t xml:space="preserve"> Touring</t>
        </is>
      </c>
      <c r="CW806" s="13" t="n"/>
      <c r="CX806">
        <f>INDEX('Data_Price '!AG$2:AG$1266,MATCH(Data!$DN806,'Data_Price '!$AT$2:$AT$1266,0))</f>
        <v/>
      </c>
      <c r="CY806">
        <f>INDEX('Data_Price '!AH$2:AH$1266,MATCH(Data!$DN806,'Data_Price '!$AT$2:$AT$1266,0))</f>
        <v/>
      </c>
      <c r="CZ806">
        <f>INDEX('Data_Price '!AI$2:AI$1266,MATCH(Data!$DN806,'Data_Price '!$AT$2:$AT$1266,0))</f>
        <v/>
      </c>
      <c r="DA806">
        <f>INDEX('Data_Price '!AJ$2:AJ$1266,MATCH(Data!$DN806,'Data_Price '!$AT$2:$AT$1266,0))</f>
        <v/>
      </c>
      <c r="DB806">
        <f>INDEX('Data_Price '!AK$2:AK$1266,MATCH(Data!$DN806,'Data_Price '!$AT$2:$AT$1266,0))</f>
        <v/>
      </c>
      <c r="DC806">
        <f>INDEX('Data_Price '!AL$2:AL$1266,MATCH(Data!$DN806,'Data_Price '!$AT$2:$AT$1266,0))</f>
        <v/>
      </c>
      <c r="DD806">
        <f>INDEX('Data_Price '!AM$2:AM$1266,MATCH(Data!$DN806,'Data_Price '!$AT$2:$AT$1266,0))</f>
        <v/>
      </c>
      <c r="DE806">
        <f>INDEX('Data_Price '!AN$2:AN$1266,MATCH(Data!$DN806,'Data_Price '!$AT$2:$AT$1266,0))</f>
        <v/>
      </c>
      <c r="DF806">
        <f>INDEX('Data_Price '!AO$2:AO$1266,MATCH(Data!$DN806,'Data_Price '!$AT$2:$AT$1266,0))</f>
        <v/>
      </c>
      <c r="DG806">
        <f>INDEX('Data_Price '!AP$2:AP$1266,MATCH(Data!$DN806,'Data_Price '!$AT$2:$AT$1266,0))</f>
        <v/>
      </c>
      <c r="DH806">
        <f>INDEX('Data_Price '!AQ$2:AQ$1266,MATCH(Data!$DN806,'Data_Price '!$AT$2:$AT$1266,0))</f>
        <v/>
      </c>
      <c r="DI806">
        <f>INDEX('Data_Price '!AR$2:AR$1266,MATCH(Data!$DN806,'Data_Price '!$AT$2:$AT$1266,0))</f>
        <v/>
      </c>
      <c r="DJ806" s="138">
        <f>DA806</f>
        <v/>
      </c>
      <c r="DK806" s="138">
        <f>DE806</f>
        <v/>
      </c>
      <c r="DL806" s="138">
        <f>DI806</f>
        <v/>
      </c>
      <c r="DM806" s="303">
        <f>IF(LEFT(BT806,1)=" ",RIGHT(BT806,LEN(BT806)-1),BT806)</f>
        <v/>
      </c>
      <c r="DN806" s="138">
        <f>_xlfn.CONCAT(BS806,DM806,BU806,BV806)</f>
        <v/>
      </c>
      <c r="DO806" s="307" t="n"/>
    </row>
    <row r="807" ht="15.6" customHeight="1" s="184">
      <c r="B807" s="303">
        <f t="array" ref="B807">IF(OR(ISERROR(K807:P807)),FALSE,TRUE)</f>
        <v/>
      </c>
      <c r="C807" s="60">
        <f>OR(BR807=Driver!$G$50,Data!BR701=Driver!$H$50)</f>
        <v/>
      </c>
      <c r="D807" s="60">
        <f>OR(BV807=Driver!$G$51,BV807=Driver!$H$51)</f>
        <v/>
      </c>
      <c r="E807" s="60">
        <f>AND(BX807&gt;Driver!$F$54,BX807&lt;Driver!$G$54)</f>
        <v/>
      </c>
      <c r="F807" s="60">
        <f>CL807&gt;Driver!$F$56</f>
        <v/>
      </c>
      <c r="G807" s="60">
        <f>AND(CB807&gt;Driver!$F$55,CB807&lt;Driver!$G$55)</f>
        <v/>
      </c>
      <c r="H807" s="60">
        <f>AND(B807:G807)</f>
        <v/>
      </c>
      <c r="I807" s="60">
        <f>COUNTIFS($H$9:$H$1273,TRUE,$BT$9:$BT$1273,BT807)</f>
        <v/>
      </c>
      <c r="J807" s="60">
        <f t="array" ref="J807">NOT(OR(($H$9:$H$1273=TRUE)*($I$9:$I$1273&gt;0)*($BT$9:$BT$1273=BT807)*($K$9:$K$1273&gt;K807)))</f>
        <v/>
      </c>
      <c r="K807" s="108">
        <f>IFERROR(1-AVERAGE(X807:Y807),"")</f>
        <v/>
      </c>
      <c r="L807" s="108">
        <f>1-X807</f>
        <v/>
      </c>
      <c r="M807" s="108">
        <f>1-Y807</f>
        <v/>
      </c>
      <c r="N807" s="108">
        <f>1-Z807</f>
        <v/>
      </c>
      <c r="O807" s="108">
        <f>1-AA807</f>
        <v/>
      </c>
      <c r="P807" s="108">
        <f>1-AB807</f>
        <v/>
      </c>
      <c r="Q807" s="108" t="n"/>
      <c r="R807" s="108" t="n"/>
      <c r="S807" s="108">
        <f>1-AE807</f>
        <v/>
      </c>
      <c r="T807" s="108">
        <f>1-AF807</f>
        <v/>
      </c>
      <c r="U807" s="108">
        <f>1-AG807</f>
        <v/>
      </c>
      <c r="V807" s="108">
        <f>1-AH807</f>
        <v/>
      </c>
      <c r="W807" s="108">
        <f>1-AI807</f>
        <v/>
      </c>
      <c r="X807" s="108">
        <f>ABS(AJ807-AJ$1)</f>
        <v/>
      </c>
      <c r="Y807" s="108">
        <f>AVERAGE(Z807:AB807)</f>
        <v/>
      </c>
      <c r="Z807" s="108">
        <f>ABS(AL807-AL$1)</f>
        <v/>
      </c>
      <c r="AA807" s="108">
        <f>ABS(AM807-AM$1)</f>
        <v/>
      </c>
      <c r="AB807" s="108">
        <f>ABS(AN807-AN$1)</f>
        <v/>
      </c>
      <c r="AC807" s="108" t="n"/>
      <c r="AD807" s="108" t="n"/>
      <c r="AE807" s="108">
        <f>ABS(AQ$1-AQ807)</f>
        <v/>
      </c>
      <c r="AF807" s="108">
        <f>ABS(AR$1-AR807)</f>
        <v/>
      </c>
      <c r="AG807" s="108">
        <f>ABS(AS$1-AS807)</f>
        <v/>
      </c>
      <c r="AH807" s="108">
        <f>ABS(AT$1-AT807)</f>
        <v/>
      </c>
      <c r="AI807" s="108">
        <f>ABS(AU$1-AU807)</f>
        <v/>
      </c>
      <c r="AJ807" s="108">
        <f>(AV807-Driver!$K$179)/(Driver!$L$179-Driver!$K$179)</f>
        <v/>
      </c>
      <c r="AK807" s="108">
        <f>(AW807-Driver!$K$180)/(Driver!$L$180-Driver!$K$180)</f>
        <v/>
      </c>
      <c r="AL807" s="108">
        <f>(AX807-Driver!$K$181)/(Driver!$L$181-Driver!$K$181)</f>
        <v/>
      </c>
      <c r="AM807" s="108">
        <f>(AY807-Driver!$K$182)/(Driver!$L$182-Driver!$K$182)</f>
        <v/>
      </c>
      <c r="AN807" s="108">
        <f>(AZ807-Driver!$K$183)/(Driver!$L$183-Driver!$K$183)</f>
        <v/>
      </c>
      <c r="AO807" s="108" t="n"/>
      <c r="AP807" s="108" t="n"/>
      <c r="AQ807" s="108">
        <f>(BC807-Driver!$K$188)/(Driver!$L$188-Driver!$K$188)</f>
        <v/>
      </c>
      <c r="AR807" s="108">
        <f>MIN((BD807-Driver!$K$189)/(Driver!$L$189-Driver!$K$189),100%)</f>
        <v/>
      </c>
      <c r="AS807" s="108">
        <f>(BE807-Driver!$K$190)/(Driver!$L$190-Driver!$K$190)</f>
        <v/>
      </c>
      <c r="AT807" s="108">
        <f>(BF807-Driver!$K$191)/(Driver!$L$191-Driver!$K$191)</f>
        <v/>
      </c>
      <c r="AU807" s="108">
        <f>(BG807-Driver!$K$192)/(Driver!$L$192-Driver!$K$192)</f>
        <v/>
      </c>
      <c r="AV807" s="105">
        <f>IFERROR(BM807*BJ807^1/4,"")</f>
        <v/>
      </c>
      <c r="AW807" s="105">
        <f>IFERROR(SUM(AX807:AZ807),"")</f>
        <v/>
      </c>
      <c r="AX807" s="105">
        <f>IFERROR(BH807,"")</f>
        <v/>
      </c>
      <c r="AY807" s="105">
        <f>IFERROR(Driver!$K$19/Data!BH807/Data!BI807*Data!BK807*Data!BL807,"")</f>
        <v/>
      </c>
      <c r="AZ807" s="105">
        <f>IFERROR(BI807*BN807,"")</f>
        <v/>
      </c>
      <c r="BA807" s="105" t="n"/>
      <c r="BB807" s="105" t="n"/>
      <c r="BC807" s="105">
        <f>IFERROR(BI807*BN807*BK807/BJ807^(1/2),"")</f>
        <v/>
      </c>
      <c r="BD807" s="105">
        <f>IFERROR(BH807*BM807*BL807/BJ807/BK807,"")</f>
        <v/>
      </c>
      <c r="BE807" s="105">
        <f>IFERROR(MIN(BI807/BQ807/BP807/BO807/BH807,$BE$1),"")</f>
        <v/>
      </c>
      <c r="BF807" s="105">
        <f>IFERROR(BJ807*BO807*BP807/BK807,"")</f>
        <v/>
      </c>
      <c r="BG807" s="105">
        <f>IFERROR(1/BM807/BH807*BQ807,"")</f>
        <v/>
      </c>
      <c r="BH807" s="102">
        <f>MAX((CE807-Driver!$F$200)/(Driver!$G$200-Driver!$F$200)*$BI$1,1)</f>
        <v/>
      </c>
      <c r="BI807" s="102">
        <f>MAX($BI$1*(BY807-Driver!$F$201)/(Driver!$G$201-Driver!$F$201),1)</f>
        <v/>
      </c>
      <c r="BJ807" s="102">
        <f>(CB807-Driver!$F$206)/(Driver!$G$206-Driver!$F$206)*$BI$1</f>
        <v/>
      </c>
      <c r="BK807" s="102">
        <f>(CD807-Driver!$F$203)/(Driver!$G$203-Driver!$F$203)*$BI$1</f>
        <v/>
      </c>
      <c r="BL807" s="102">
        <f>MAX((CR807-Driver!$F$202)/(Driver!$G$202-Driver!$F$202)*$BI$1,1)</f>
        <v/>
      </c>
      <c r="BM807" s="102">
        <f>MAX((CH807-Driver!$F$204)/(Driver!$G$204-Driver!$F$204)*$BI$1,1)</f>
        <v/>
      </c>
      <c r="BN807" s="102">
        <f>(CI807-Driver!$F$205)/(Driver!$G$205-Driver!$F$205)*$BI$1</f>
        <v/>
      </c>
      <c r="BO807" s="102">
        <f>(CK807-Driver!$F$207)/(Driver!$G$207-Driver!$F$207)*$BI$1</f>
        <v/>
      </c>
      <c r="BP807" s="102">
        <f>(CM807-Driver!$F$208)/(Driver!$G$208-Driver!$F$208)*$BI$1</f>
        <v/>
      </c>
      <c r="BQ807" s="102">
        <f>(CL807-Driver!$F$209)/(Driver!$G$209-Driver!$F$209)*$BI$1</f>
        <v/>
      </c>
      <c r="BR807" s="40" t="inlineStr">
        <is>
          <t>21/22</t>
        </is>
      </c>
      <c r="BS807" s="10" t="inlineStr">
        <is>
          <t xml:space="preserve"> J Skis</t>
        </is>
      </c>
      <c r="BT807" s="11" t="inlineStr">
        <is>
          <t xml:space="preserve"> The Vacation</t>
        </is>
      </c>
      <c r="BU807" s="13" t="n">
        <v>186</v>
      </c>
      <c r="BV807" s="11" t="inlineStr">
        <is>
          <t xml:space="preserve"> Unisex</t>
        </is>
      </c>
      <c r="BW807" s="13" t="n">
        <v>186</v>
      </c>
      <c r="BX807" s="13" t="n">
        <v>183.7</v>
      </c>
      <c r="BY807" s="13" t="n">
        <v>114</v>
      </c>
      <c r="BZ807" s="13" t="n">
        <v>149</v>
      </c>
      <c r="CA807" s="13" t="n">
        <v>126</v>
      </c>
      <c r="CB807" s="13" t="n">
        <v>103</v>
      </c>
      <c r="CC807" s="13" t="n">
        <v>122</v>
      </c>
      <c r="CD807" s="13" t="n">
        <v>23</v>
      </c>
      <c r="CE807" s="13" t="n">
        <v>2069</v>
      </c>
      <c r="CF807" s="13" t="n">
        <v>0.99</v>
      </c>
      <c r="CG807" s="13" t="n">
        <v>2047</v>
      </c>
      <c r="CH807" s="13" t="n">
        <v>206</v>
      </c>
      <c r="CI807" s="13" t="n">
        <v>71</v>
      </c>
      <c r="CJ807" s="13" t="n">
        <v>57</v>
      </c>
      <c r="CK807" s="13" t="n">
        <v>477</v>
      </c>
      <c r="CL807" s="13" t="n">
        <v>42</v>
      </c>
      <c r="CM807" s="13" t="n">
        <v>223</v>
      </c>
      <c r="CN807" s="13" t="n">
        <v>0.73</v>
      </c>
      <c r="CO807" s="13" t="n">
        <v>177</v>
      </c>
      <c r="CP807" s="13" t="n">
        <v>168</v>
      </c>
      <c r="CQ807" s="13" t="n">
        <v>300</v>
      </c>
      <c r="CR807" s="13" t="n">
        <v>3</v>
      </c>
      <c r="CS807" s="13" t="n">
        <v>4.8</v>
      </c>
      <c r="CT807" s="11" t="inlineStr">
        <is>
          <t xml:space="preserve"> Resort Freeride</t>
        </is>
      </c>
      <c r="CU807" s="11" t="inlineStr">
        <is>
          <t xml:space="preserve"> Powder</t>
        </is>
      </c>
      <c r="CV807" s="13" t="n"/>
      <c r="CW807" s="13" t="n"/>
      <c r="CX807">
        <f>INDEX('Data_Price '!AG$2:AG$1266,MATCH(Data!$DN807,'Data_Price '!$AT$2:$AT$1266,0))</f>
        <v/>
      </c>
      <c r="CY807">
        <f>INDEX('Data_Price '!AH$2:AH$1266,MATCH(Data!$DN807,'Data_Price '!$AT$2:$AT$1266,0))</f>
        <v/>
      </c>
      <c r="CZ807">
        <f>INDEX('Data_Price '!AI$2:AI$1266,MATCH(Data!$DN807,'Data_Price '!$AT$2:$AT$1266,0))</f>
        <v/>
      </c>
      <c r="DA807">
        <f>INDEX('Data_Price '!AJ$2:AJ$1266,MATCH(Data!$DN807,'Data_Price '!$AT$2:$AT$1266,0))</f>
        <v/>
      </c>
      <c r="DB807">
        <f>INDEX('Data_Price '!AK$2:AK$1266,MATCH(Data!$DN807,'Data_Price '!$AT$2:$AT$1266,0))</f>
        <v/>
      </c>
      <c r="DC807">
        <f>INDEX('Data_Price '!AL$2:AL$1266,MATCH(Data!$DN807,'Data_Price '!$AT$2:$AT$1266,0))</f>
        <v/>
      </c>
      <c r="DD807">
        <f>INDEX('Data_Price '!AM$2:AM$1266,MATCH(Data!$DN807,'Data_Price '!$AT$2:$AT$1266,0))</f>
        <v/>
      </c>
      <c r="DE807">
        <f>INDEX('Data_Price '!AN$2:AN$1266,MATCH(Data!$DN807,'Data_Price '!$AT$2:$AT$1266,0))</f>
        <v/>
      </c>
      <c r="DF807">
        <f>INDEX('Data_Price '!AO$2:AO$1266,MATCH(Data!$DN807,'Data_Price '!$AT$2:$AT$1266,0))</f>
        <v/>
      </c>
      <c r="DG807">
        <f>INDEX('Data_Price '!AP$2:AP$1266,MATCH(Data!$DN807,'Data_Price '!$AT$2:$AT$1266,0))</f>
        <v/>
      </c>
      <c r="DH807">
        <f>INDEX('Data_Price '!AQ$2:AQ$1266,MATCH(Data!$DN807,'Data_Price '!$AT$2:$AT$1266,0))</f>
        <v/>
      </c>
      <c r="DI807">
        <f>INDEX('Data_Price '!AR$2:AR$1266,MATCH(Data!$DN807,'Data_Price '!$AT$2:$AT$1266,0))</f>
        <v/>
      </c>
      <c r="DJ807" s="138">
        <f>DA807</f>
        <v/>
      </c>
      <c r="DK807" s="138">
        <f>DE807</f>
        <v/>
      </c>
      <c r="DL807" s="138">
        <f>DI807</f>
        <v/>
      </c>
      <c r="DM807" s="303">
        <f>IF(LEFT(BT807,1)=" ",RIGHT(BT807,LEN(BT807)-1),BT807)</f>
        <v/>
      </c>
      <c r="DN807" s="138">
        <f>_xlfn.CONCAT(BS807,DM807,BU807,BV807)</f>
        <v/>
      </c>
      <c r="DO807" s="307" t="n"/>
    </row>
    <row r="808" ht="15.6" customHeight="1" s="184">
      <c r="B808" s="303">
        <f t="array" ref="B808">IF(OR(ISERROR(K808:P808)),FALSE,TRUE)</f>
        <v/>
      </c>
      <c r="C808" s="60">
        <f>OR(BR808=Driver!$G$50,Data!BR1218=Driver!$H$50)</f>
        <v/>
      </c>
      <c r="D808" s="60">
        <f>OR(BV808=Driver!$G$51,BV808=Driver!$H$51)</f>
        <v/>
      </c>
      <c r="E808" s="60">
        <f>AND(BX808&gt;Driver!$F$54,BX808&lt;Driver!$G$54)</f>
        <v/>
      </c>
      <c r="F808" s="60">
        <f>CL808&gt;Driver!$F$56</f>
        <v/>
      </c>
      <c r="G808" s="60">
        <f>AND(CB808&gt;Driver!$F$55,CB808&lt;Driver!$G$55)</f>
        <v/>
      </c>
      <c r="H808" s="60">
        <f>AND(B808:G808)</f>
        <v/>
      </c>
      <c r="I808" s="60">
        <f>COUNTIFS($H$9:$H$1273,TRUE,$BT$9:$BT$1273,BT808)</f>
        <v/>
      </c>
      <c r="J808" s="60">
        <f t="array" ref="J808">NOT(OR(($H$9:$H$1273=TRUE)*($I$9:$I$1273&gt;0)*($BT$9:$BT$1273=BT808)*($K$9:$K$1273&gt;K808)))</f>
        <v/>
      </c>
      <c r="K808" s="108">
        <f>IFERROR(1-AVERAGE(X808:Y808),"")</f>
        <v/>
      </c>
      <c r="L808" s="108">
        <f>1-X808</f>
        <v/>
      </c>
      <c r="M808" s="108">
        <f>1-Y808</f>
        <v/>
      </c>
      <c r="N808" s="108">
        <f>1-Z808</f>
        <v/>
      </c>
      <c r="O808" s="108">
        <f>1-AA808</f>
        <v/>
      </c>
      <c r="P808" s="108">
        <f>1-AB808</f>
        <v/>
      </c>
      <c r="Q808" s="108" t="n"/>
      <c r="R808" s="108" t="n"/>
      <c r="S808" s="108">
        <f>1-AE808</f>
        <v/>
      </c>
      <c r="T808" s="108">
        <f>1-AF808</f>
        <v/>
      </c>
      <c r="U808" s="108">
        <f>1-AG808</f>
        <v/>
      </c>
      <c r="V808" s="108">
        <f>1-AH808</f>
        <v/>
      </c>
      <c r="W808" s="108">
        <f>1-AI808</f>
        <v/>
      </c>
      <c r="X808" s="108">
        <f>ABS(AJ808-AJ$1)</f>
        <v/>
      </c>
      <c r="Y808" s="108">
        <f>AVERAGE(Z808:AB808)</f>
        <v/>
      </c>
      <c r="Z808" s="108">
        <f>ABS(AL808-AL$1)</f>
        <v/>
      </c>
      <c r="AA808" s="108">
        <f>ABS(AM808-AM$1)</f>
        <v/>
      </c>
      <c r="AB808" s="108">
        <f>ABS(AN808-AN$1)</f>
        <v/>
      </c>
      <c r="AC808" s="108" t="n"/>
      <c r="AD808" s="108" t="n"/>
      <c r="AE808" s="108">
        <f>ABS(AQ$1-AQ808)</f>
        <v/>
      </c>
      <c r="AF808" s="108">
        <f>ABS(AR$1-AR808)</f>
        <v/>
      </c>
      <c r="AG808" s="108">
        <f>ABS(AS$1-AS808)</f>
        <v/>
      </c>
      <c r="AH808" s="108">
        <f>ABS(AT$1-AT808)</f>
        <v/>
      </c>
      <c r="AI808" s="108">
        <f>ABS(AU$1-AU808)</f>
        <v/>
      </c>
      <c r="AJ808" s="108">
        <f>(AV808-Driver!$K$179)/(Driver!$L$179-Driver!$K$179)</f>
        <v/>
      </c>
      <c r="AK808" s="108">
        <f>(AW808-Driver!$K$180)/(Driver!$L$180-Driver!$K$180)</f>
        <v/>
      </c>
      <c r="AL808" s="108">
        <f>(AX808-Driver!$K$181)/(Driver!$L$181-Driver!$K$181)</f>
        <v/>
      </c>
      <c r="AM808" s="108">
        <f>(AY808-Driver!$K$182)/(Driver!$L$182-Driver!$K$182)</f>
        <v/>
      </c>
      <c r="AN808" s="108">
        <f>(AZ808-Driver!$K$183)/(Driver!$L$183-Driver!$K$183)</f>
        <v/>
      </c>
      <c r="AO808" s="108" t="n"/>
      <c r="AP808" s="108" t="n"/>
      <c r="AQ808" s="108">
        <f>(BC808-Driver!$K$188)/(Driver!$L$188-Driver!$K$188)</f>
        <v/>
      </c>
      <c r="AR808" s="108">
        <f>MIN((BD808-Driver!$K$189)/(Driver!$L$189-Driver!$K$189),100%)</f>
        <v/>
      </c>
      <c r="AS808" s="108">
        <f>(BE808-Driver!$K$190)/(Driver!$L$190-Driver!$K$190)</f>
        <v/>
      </c>
      <c r="AT808" s="108">
        <f>(BF808-Driver!$K$191)/(Driver!$L$191-Driver!$K$191)</f>
        <v/>
      </c>
      <c r="AU808" s="108">
        <f>(BG808-Driver!$K$192)/(Driver!$L$192-Driver!$K$192)</f>
        <v/>
      </c>
      <c r="AV808" s="105">
        <f>IFERROR(BM808*BJ808^1/4,"")</f>
        <v/>
      </c>
      <c r="AW808" s="105">
        <f>IFERROR(SUM(AX808:AZ808),"")</f>
        <v/>
      </c>
      <c r="AX808" s="105">
        <f>IFERROR(BH808,"")</f>
        <v/>
      </c>
      <c r="AY808" s="105">
        <f>IFERROR(Driver!$K$19/Data!BH808/Data!BI808*Data!BK808*Data!BL808,"")</f>
        <v/>
      </c>
      <c r="AZ808" s="105">
        <f>IFERROR(BI808*BN808,"")</f>
        <v/>
      </c>
      <c r="BA808" s="105" t="n"/>
      <c r="BB808" s="105" t="n"/>
      <c r="BC808" s="105">
        <f>IFERROR(BI808*BN808*BK808/BJ808^(1/2),"")</f>
        <v/>
      </c>
      <c r="BD808" s="105">
        <f>IFERROR(BH808*BM808*BL808/BJ808/BK808,"")</f>
        <v/>
      </c>
      <c r="BE808" s="105">
        <f>IFERROR(MIN(BI808/BQ808/BP808/BO808/BH808,$BE$1),"")</f>
        <v/>
      </c>
      <c r="BF808" s="105">
        <f>IFERROR(BJ808*BO808*BP808/BK808,"")</f>
        <v/>
      </c>
      <c r="BG808" s="105">
        <f>IFERROR(1/BM808/BH808*BQ808,"")</f>
        <v/>
      </c>
      <c r="BH808" s="102">
        <f>MAX((CE808-Driver!$F$200)/(Driver!$G$200-Driver!$F$200)*$BI$1,1)</f>
        <v/>
      </c>
      <c r="BI808" s="102">
        <f>MAX($BI$1*(BY808-Driver!$F$201)/(Driver!$G$201-Driver!$F$201),1)</f>
        <v/>
      </c>
      <c r="BJ808" s="102">
        <f>(CB808-Driver!$F$206)/(Driver!$G$206-Driver!$F$206)*$BI$1</f>
        <v/>
      </c>
      <c r="BK808" s="102">
        <f>(CD808-Driver!$F$203)/(Driver!$G$203-Driver!$F$203)*$BI$1</f>
        <v/>
      </c>
      <c r="BL808" s="102">
        <f>MAX((CR808-Driver!$F$202)/(Driver!$G$202-Driver!$F$202)*$BI$1,1)</f>
        <v/>
      </c>
      <c r="BM808" s="102">
        <f>MAX((CH808-Driver!$F$204)/(Driver!$G$204-Driver!$F$204)*$BI$1,1)</f>
        <v/>
      </c>
      <c r="BN808" s="102">
        <f>(CI808-Driver!$F$205)/(Driver!$G$205-Driver!$F$205)*$BI$1</f>
        <v/>
      </c>
      <c r="BO808" s="102">
        <f>(CK808-Driver!$F$207)/(Driver!$G$207-Driver!$F$207)*$BI$1</f>
        <v/>
      </c>
      <c r="BP808" s="102">
        <f>(CM808-Driver!$F$208)/(Driver!$G$208-Driver!$F$208)*$BI$1</f>
        <v/>
      </c>
      <c r="BQ808" s="102">
        <f>(CL808-Driver!$F$209)/(Driver!$G$209-Driver!$F$209)*$BI$1</f>
        <v/>
      </c>
      <c r="BR808" s="40" t="inlineStr">
        <is>
          <t>21/22</t>
        </is>
      </c>
      <c r="BS808" s="10" t="inlineStr">
        <is>
          <t xml:space="preserve"> Völkl</t>
        </is>
      </c>
      <c r="BT808" s="11" t="inlineStr">
        <is>
          <t>M6 Mantra</t>
        </is>
      </c>
      <c r="BU808" s="13" t="n">
        <v>177</v>
      </c>
      <c r="BV808" s="11" t="inlineStr">
        <is>
          <t xml:space="preserve"> Unisex</t>
        </is>
      </c>
      <c r="BW808" s="13" t="n">
        <v>177</v>
      </c>
      <c r="BX808" s="13" t="n">
        <v>178.6</v>
      </c>
      <c r="BY808" s="13" t="n">
        <v>141</v>
      </c>
      <c r="BZ808" s="13" t="n">
        <v>155</v>
      </c>
      <c r="CA808" s="13" t="n">
        <v>134</v>
      </c>
      <c r="CB808" s="13" t="n">
        <v>95</v>
      </c>
      <c r="CC808" s="13" t="n">
        <v>118</v>
      </c>
      <c r="CD808" s="13" t="n">
        <v>18.7</v>
      </c>
      <c r="CE808" s="13" t="n">
        <v>2102</v>
      </c>
      <c r="CF808" s="13" t="n">
        <v>0.91</v>
      </c>
      <c r="CG808" s="13" t="n">
        <v>1916</v>
      </c>
      <c r="CH808" s="13" t="n">
        <v>217</v>
      </c>
      <c r="CI808" s="13" t="n">
        <v>138</v>
      </c>
      <c r="CJ808" s="13" t="n">
        <v>42</v>
      </c>
      <c r="CK808" s="13" t="n">
        <v>227</v>
      </c>
      <c r="CL808" s="13" t="n">
        <v>14</v>
      </c>
      <c r="CM808" s="13" t="n">
        <v>146</v>
      </c>
      <c r="CN808" s="13" t="n">
        <v>0.336</v>
      </c>
      <c r="CO808" s="13" t="n">
        <v>135</v>
      </c>
      <c r="CP808" s="13" t="n">
        <v>103</v>
      </c>
      <c r="CQ808" s="13" t="n">
        <v>92</v>
      </c>
      <c r="CR808" s="13" t="n">
        <v>6</v>
      </c>
      <c r="CS808" s="13" t="n">
        <v>11.2</v>
      </c>
      <c r="CT808" s="11" t="inlineStr">
        <is>
          <t xml:space="preserve"> Resort Freeride</t>
        </is>
      </c>
      <c r="CU808" s="13" t="n"/>
      <c r="CV808" s="13" t="n"/>
      <c r="CW808" s="13" t="n"/>
      <c r="CX808">
        <f>INDEX('Data_Price '!AG$2:AG$1266,MATCH(Data!$DN808,'Data_Price '!$AT$2:$AT$1266,0))</f>
        <v/>
      </c>
      <c r="CY808">
        <f>INDEX('Data_Price '!AH$2:AH$1266,MATCH(Data!$DN808,'Data_Price '!$AT$2:$AT$1266,0))</f>
        <v/>
      </c>
      <c r="CZ808">
        <f>INDEX('Data_Price '!AI$2:AI$1266,MATCH(Data!$DN808,'Data_Price '!$AT$2:$AT$1266,0))</f>
        <v/>
      </c>
      <c r="DA808">
        <f>INDEX('Data_Price '!AJ$2:AJ$1266,MATCH(Data!$DN808,'Data_Price '!$AT$2:$AT$1266,0))</f>
        <v/>
      </c>
      <c r="DB808">
        <f>INDEX('Data_Price '!AK$2:AK$1266,MATCH(Data!$DN808,'Data_Price '!$AT$2:$AT$1266,0))</f>
        <v/>
      </c>
      <c r="DC808">
        <f>INDEX('Data_Price '!AL$2:AL$1266,MATCH(Data!$DN808,'Data_Price '!$AT$2:$AT$1266,0))</f>
        <v/>
      </c>
      <c r="DD808">
        <f>INDEX('Data_Price '!AM$2:AM$1266,MATCH(Data!$DN808,'Data_Price '!$AT$2:$AT$1266,0))</f>
        <v/>
      </c>
      <c r="DE808">
        <f>INDEX('Data_Price '!AN$2:AN$1266,MATCH(Data!$DN808,'Data_Price '!$AT$2:$AT$1266,0))</f>
        <v/>
      </c>
      <c r="DF808">
        <f>INDEX('Data_Price '!AO$2:AO$1266,MATCH(Data!$DN808,'Data_Price '!$AT$2:$AT$1266,0))</f>
        <v/>
      </c>
      <c r="DG808">
        <f>INDEX('Data_Price '!AP$2:AP$1266,MATCH(Data!$DN808,'Data_Price '!$AT$2:$AT$1266,0))</f>
        <v/>
      </c>
      <c r="DH808">
        <f>INDEX('Data_Price '!AQ$2:AQ$1266,MATCH(Data!$DN808,'Data_Price '!$AT$2:$AT$1266,0))</f>
        <v/>
      </c>
      <c r="DI808">
        <f>INDEX('Data_Price '!AR$2:AR$1266,MATCH(Data!$DN808,'Data_Price '!$AT$2:$AT$1266,0))</f>
        <v/>
      </c>
      <c r="DJ808" s="138">
        <f>DA808</f>
        <v/>
      </c>
      <c r="DK808" s="138">
        <f>DE808</f>
        <v/>
      </c>
      <c r="DL808" s="138">
        <f>DI808</f>
        <v/>
      </c>
      <c r="DM808" s="303">
        <f>IF(LEFT(BT808,1)=" ",RIGHT(BT808,LEN(BT808)-1),BT808)</f>
        <v/>
      </c>
      <c r="DN808" s="138">
        <f>_xlfn.CONCAT(BS808,DM808,BU808,BV808)</f>
        <v/>
      </c>
      <c r="DO808" s="307" t="inlineStr">
        <is>
          <t>https://images.evo.com/imgp/250/201958/795901/volkl-m6-mantra-skis-2022-.jpg</t>
        </is>
      </c>
    </row>
    <row r="809" ht="15.6" customHeight="1" s="184">
      <c r="B809" s="303">
        <f t="array" ref="B809">IF(OR(ISERROR(K809:P809)),FALSE,TRUE)</f>
        <v/>
      </c>
      <c r="C809" s="60">
        <f>OR(BR809=Driver!$G$50,Data!BR1261=Driver!$H$50)</f>
        <v/>
      </c>
      <c r="D809" s="60">
        <f>OR(BV809=Driver!$G$51,BV809=Driver!$H$51)</f>
        <v/>
      </c>
      <c r="E809" s="60">
        <f>AND(BX809&gt;Driver!$F$54,BX809&lt;Driver!$G$54)</f>
        <v/>
      </c>
      <c r="F809" s="60">
        <f>CL809&gt;Driver!$F$56</f>
        <v/>
      </c>
      <c r="G809" s="60">
        <f>AND(CB809&gt;Driver!$F$55,CB809&lt;Driver!$G$55)</f>
        <v/>
      </c>
      <c r="H809" s="60">
        <f>AND(B809:G809)</f>
        <v/>
      </c>
      <c r="I809" s="60">
        <f>COUNTIFS($H$9:$H$1273,TRUE,$BT$9:$BT$1273,BT809)</f>
        <v/>
      </c>
      <c r="J809" s="60">
        <f t="array" ref="J809">NOT(OR(($H$9:$H$1273=TRUE)*($I$9:$I$1273&gt;0)*($BT$9:$BT$1273=BT809)*($K$9:$K$1273&gt;K809)))</f>
        <v/>
      </c>
      <c r="K809" s="108">
        <f>IFERROR(1-AVERAGE(X809:Y809),"")</f>
        <v/>
      </c>
      <c r="L809" s="108">
        <f>1-X809</f>
        <v/>
      </c>
      <c r="M809" s="108">
        <f>1-Y809</f>
        <v/>
      </c>
      <c r="N809" s="108">
        <f>1-Z809</f>
        <v/>
      </c>
      <c r="O809" s="108">
        <f>1-AA809</f>
        <v/>
      </c>
      <c r="P809" s="108">
        <f>1-AB809</f>
        <v/>
      </c>
      <c r="Q809" s="108" t="n"/>
      <c r="R809" s="108" t="n"/>
      <c r="S809" s="108">
        <f>1-AE809</f>
        <v/>
      </c>
      <c r="T809" s="108">
        <f>1-AF809</f>
        <v/>
      </c>
      <c r="U809" s="108">
        <f>1-AG809</f>
        <v/>
      </c>
      <c r="V809" s="108">
        <f>1-AH809</f>
        <v/>
      </c>
      <c r="W809" s="108">
        <f>1-AI809</f>
        <v/>
      </c>
      <c r="X809" s="108">
        <f>ABS(AJ809-AJ$1)</f>
        <v/>
      </c>
      <c r="Y809" s="108">
        <f>AVERAGE(Z809:AB809)</f>
        <v/>
      </c>
      <c r="Z809" s="108">
        <f>ABS(AL809-AL$1)</f>
        <v/>
      </c>
      <c r="AA809" s="108">
        <f>ABS(AM809-AM$1)</f>
        <v/>
      </c>
      <c r="AB809" s="108">
        <f>ABS(AN809-AN$1)</f>
        <v/>
      </c>
      <c r="AC809" s="108" t="n"/>
      <c r="AD809" s="108" t="n"/>
      <c r="AE809" s="108">
        <f>ABS(AQ$1-AQ809)</f>
        <v/>
      </c>
      <c r="AF809" s="108">
        <f>ABS(AR$1-AR809)</f>
        <v/>
      </c>
      <c r="AG809" s="108">
        <f>ABS(AS$1-AS809)</f>
        <v/>
      </c>
      <c r="AH809" s="108">
        <f>ABS(AT$1-AT809)</f>
        <v/>
      </c>
      <c r="AI809" s="108">
        <f>ABS(AU$1-AU809)</f>
        <v/>
      </c>
      <c r="AJ809" s="108">
        <f>(AV809-Driver!$K$179)/(Driver!$L$179-Driver!$K$179)</f>
        <v/>
      </c>
      <c r="AK809" s="108">
        <f>(AW809-Driver!$K$180)/(Driver!$L$180-Driver!$K$180)</f>
        <v/>
      </c>
      <c r="AL809" s="108">
        <f>(AX809-Driver!$K$181)/(Driver!$L$181-Driver!$K$181)</f>
        <v/>
      </c>
      <c r="AM809" s="108">
        <f>(AY809-Driver!$K$182)/(Driver!$L$182-Driver!$K$182)</f>
        <v/>
      </c>
      <c r="AN809" s="108">
        <f>(AZ809-Driver!$K$183)/(Driver!$L$183-Driver!$K$183)</f>
        <v/>
      </c>
      <c r="AO809" s="108" t="n"/>
      <c r="AP809" s="108" t="n"/>
      <c r="AQ809" s="108">
        <f>(BC809-Driver!$K$188)/(Driver!$L$188-Driver!$K$188)</f>
        <v/>
      </c>
      <c r="AR809" s="108">
        <f>MIN((BD809-Driver!$K$189)/(Driver!$L$189-Driver!$K$189),100%)</f>
        <v/>
      </c>
      <c r="AS809" s="108">
        <f>(BE809-Driver!$K$190)/(Driver!$L$190-Driver!$K$190)</f>
        <v/>
      </c>
      <c r="AT809" s="108">
        <f>(BF809-Driver!$K$191)/(Driver!$L$191-Driver!$K$191)</f>
        <v/>
      </c>
      <c r="AU809" s="108">
        <f>(BG809-Driver!$K$192)/(Driver!$L$192-Driver!$K$192)</f>
        <v/>
      </c>
      <c r="AV809" s="105">
        <f>IFERROR(BM809*BJ809^1/4,"")</f>
        <v/>
      </c>
      <c r="AW809" s="105">
        <f>IFERROR(SUM(AX809:AZ809),"")</f>
        <v/>
      </c>
      <c r="AX809" s="105">
        <f>IFERROR(BH809,"")</f>
        <v/>
      </c>
      <c r="AY809" s="105">
        <f>IFERROR(Driver!$K$19/Data!BH809/Data!BI809*Data!BK809*Data!BL809,"")</f>
        <v/>
      </c>
      <c r="AZ809" s="105">
        <f>IFERROR(BI809*BN809,"")</f>
        <v/>
      </c>
      <c r="BA809" s="105" t="n"/>
      <c r="BB809" s="105" t="n"/>
      <c r="BC809" s="105">
        <f>IFERROR(BI809*BN809*BK809/BJ809^(1/2),"")</f>
        <v/>
      </c>
      <c r="BD809" s="105">
        <f>IFERROR(BH809*BM809*BL809/BJ809/BK809,"")</f>
        <v/>
      </c>
      <c r="BE809" s="105">
        <f>IFERROR(MIN(BI809/BQ809/BP809/BO809/BH809,$BE$1),"")</f>
        <v/>
      </c>
      <c r="BF809" s="105">
        <f>IFERROR(BJ809*BO809*BP809/BK809,"")</f>
        <v/>
      </c>
      <c r="BG809" s="105">
        <f>IFERROR(1/BM809/BH809*BQ809,"")</f>
        <v/>
      </c>
      <c r="BH809" s="102">
        <f>MAX((CE809-Driver!$F$200)/(Driver!$G$200-Driver!$F$200)*$BI$1,1)</f>
        <v/>
      </c>
      <c r="BI809" s="102">
        <f>MAX($BI$1*(BY809-Driver!$F$201)/(Driver!$G$201-Driver!$F$201),1)</f>
        <v/>
      </c>
      <c r="BJ809" s="102">
        <f>(CB809-Driver!$F$206)/(Driver!$G$206-Driver!$F$206)*$BI$1</f>
        <v/>
      </c>
      <c r="BK809" s="102">
        <f>(CD809-Driver!$F$203)/(Driver!$G$203-Driver!$F$203)*$BI$1</f>
        <v/>
      </c>
      <c r="BL809" s="102">
        <f>MAX((CR809-Driver!$F$202)/(Driver!$G$202-Driver!$F$202)*$BI$1,1)</f>
        <v/>
      </c>
      <c r="BM809" s="102">
        <f>MAX((CH809-Driver!$F$204)/(Driver!$G$204-Driver!$F$204)*$BI$1,1)</f>
        <v/>
      </c>
      <c r="BN809" s="102">
        <f>(CI809-Driver!$F$205)/(Driver!$G$205-Driver!$F$205)*$BI$1</f>
        <v/>
      </c>
      <c r="BO809" s="102">
        <f>(CK809-Driver!$F$207)/(Driver!$G$207-Driver!$F$207)*$BI$1</f>
        <v/>
      </c>
      <c r="BP809" s="102">
        <f>(CM809-Driver!$F$208)/(Driver!$G$208-Driver!$F$208)*$BI$1</f>
        <v/>
      </c>
      <c r="BQ809" s="102">
        <f>(CL809-Driver!$F$209)/(Driver!$G$209-Driver!$F$209)*$BI$1</f>
        <v/>
      </c>
      <c r="BR809" s="40" t="inlineStr">
        <is>
          <t>21/22</t>
        </is>
      </c>
      <c r="BS809" s="10" t="inlineStr">
        <is>
          <t xml:space="preserve"> Völkl</t>
        </is>
      </c>
      <c r="BT809" s="11" t="inlineStr">
        <is>
          <t>Secret 92</t>
        </is>
      </c>
      <c r="BU809" s="13" t="n">
        <v>163</v>
      </c>
      <c r="BV809" s="11" t="inlineStr">
        <is>
          <t xml:space="preserve"> Women's</t>
        </is>
      </c>
      <c r="BW809" s="13" t="n">
        <v>163</v>
      </c>
      <c r="BX809" s="13" t="n">
        <v>164.1</v>
      </c>
      <c r="BY809" s="13" t="n">
        <v>129</v>
      </c>
      <c r="BZ809" s="13" t="n">
        <v>140</v>
      </c>
      <c r="CA809" s="13" t="n">
        <v>129</v>
      </c>
      <c r="CB809" s="13" t="n">
        <v>91</v>
      </c>
      <c r="CC809" s="13" t="n">
        <v>112</v>
      </c>
      <c r="CD809" s="13" t="n">
        <v>16.1</v>
      </c>
      <c r="CE809" s="13" t="n">
        <v>1738</v>
      </c>
      <c r="CF809" s="13" t="n">
        <v>0.97</v>
      </c>
      <c r="CG809" s="13" t="n">
        <v>1690</v>
      </c>
      <c r="CH809" s="13" t="n">
        <v>193</v>
      </c>
      <c r="CI809" s="13" t="n">
        <v>135</v>
      </c>
      <c r="CJ809" s="13" t="n">
        <v>42</v>
      </c>
      <c r="CK809" s="13" t="n">
        <v>235</v>
      </c>
      <c r="CL809" s="13" t="n">
        <v>14</v>
      </c>
      <c r="CM809" s="13" t="n">
        <v>115</v>
      </c>
      <c r="CN809" s="13" t="n">
        <v>0.336</v>
      </c>
      <c r="CO809" s="13" t="n">
        <v>136</v>
      </c>
      <c r="CP809" s="13" t="n">
        <v>106</v>
      </c>
      <c r="CQ809" s="13" t="n">
        <v>99</v>
      </c>
      <c r="CR809" s="13" t="n">
        <v>4</v>
      </c>
      <c r="CS809" s="13" t="n">
        <v>10.6</v>
      </c>
      <c r="CT809" s="11" t="inlineStr">
        <is>
          <t xml:space="preserve"> Resort Freeride</t>
        </is>
      </c>
      <c r="CU809" s="13" t="n"/>
      <c r="CV809" s="13" t="n"/>
      <c r="CW809" s="13" t="n"/>
      <c r="CX809">
        <f>INDEX('Data_Price '!AG$2:AG$1266,MATCH(Data!$DN809,'Data_Price '!$AT$2:$AT$1266,0))</f>
        <v/>
      </c>
      <c r="CY809">
        <f>INDEX('Data_Price '!AH$2:AH$1266,MATCH(Data!$DN809,'Data_Price '!$AT$2:$AT$1266,0))</f>
        <v/>
      </c>
      <c r="CZ809">
        <f>INDEX('Data_Price '!AI$2:AI$1266,MATCH(Data!$DN809,'Data_Price '!$AT$2:$AT$1266,0))</f>
        <v/>
      </c>
      <c r="DA809">
        <f>INDEX('Data_Price '!AJ$2:AJ$1266,MATCH(Data!$DN809,'Data_Price '!$AT$2:$AT$1266,0))</f>
        <v/>
      </c>
      <c r="DB809">
        <f>INDEX('Data_Price '!AK$2:AK$1266,MATCH(Data!$DN809,'Data_Price '!$AT$2:$AT$1266,0))</f>
        <v/>
      </c>
      <c r="DC809">
        <f>INDEX('Data_Price '!AL$2:AL$1266,MATCH(Data!$DN809,'Data_Price '!$AT$2:$AT$1266,0))</f>
        <v/>
      </c>
      <c r="DD809">
        <f>INDEX('Data_Price '!AM$2:AM$1266,MATCH(Data!$DN809,'Data_Price '!$AT$2:$AT$1266,0))</f>
        <v/>
      </c>
      <c r="DE809">
        <f>INDEX('Data_Price '!AN$2:AN$1266,MATCH(Data!$DN809,'Data_Price '!$AT$2:$AT$1266,0))</f>
        <v/>
      </c>
      <c r="DF809">
        <f>INDEX('Data_Price '!AO$2:AO$1266,MATCH(Data!$DN809,'Data_Price '!$AT$2:$AT$1266,0))</f>
        <v/>
      </c>
      <c r="DG809">
        <f>INDEX('Data_Price '!AP$2:AP$1266,MATCH(Data!$DN809,'Data_Price '!$AT$2:$AT$1266,0))</f>
        <v/>
      </c>
      <c r="DH809">
        <f>INDEX('Data_Price '!AQ$2:AQ$1266,MATCH(Data!$DN809,'Data_Price '!$AT$2:$AT$1266,0))</f>
        <v/>
      </c>
      <c r="DI809">
        <f>INDEX('Data_Price '!AR$2:AR$1266,MATCH(Data!$DN809,'Data_Price '!$AT$2:$AT$1266,0))</f>
        <v/>
      </c>
      <c r="DJ809" s="138">
        <f>DA809</f>
        <v/>
      </c>
      <c r="DK809" s="138">
        <f>DE809</f>
        <v/>
      </c>
      <c r="DL809" s="138">
        <f>DI809</f>
        <v/>
      </c>
      <c r="DM809" s="303">
        <f>IF(LEFT(BT809,1)=" ",RIGHT(BT809,LEN(BT809)-1),BT809)</f>
        <v/>
      </c>
      <c r="DN809" s="138">
        <f>_xlfn.CONCAT(BS809,DM809,BU809,BV809)</f>
        <v/>
      </c>
      <c r="DO809" s="307" t="n"/>
    </row>
    <row r="810" ht="15.6" customHeight="1" s="184">
      <c r="B810" s="303">
        <f t="array" ref="B810">IF(OR(ISERROR(K810:P810)),FALSE,TRUE)</f>
        <v/>
      </c>
      <c r="C810" s="60">
        <f>OR(BR810=Driver!$G$50,Data!BR672=Driver!$H$50)</f>
        <v/>
      </c>
      <c r="D810" s="60">
        <f>OR(BV810=Driver!$G$51,BV810=Driver!$H$51)</f>
        <v/>
      </c>
      <c r="E810" s="60">
        <f>AND(BX810&gt;Driver!$F$54,BX810&lt;Driver!$G$54)</f>
        <v/>
      </c>
      <c r="F810" s="60">
        <f>CL810&gt;Driver!$F$56</f>
        <v/>
      </c>
      <c r="G810" s="60">
        <f>AND(CB810&gt;Driver!$F$55,CB810&lt;Driver!$G$55)</f>
        <v/>
      </c>
      <c r="H810" s="60">
        <f>AND(B810:G810)</f>
        <v/>
      </c>
      <c r="I810" s="60">
        <f>COUNTIFS($H$9:$H$1273,TRUE,$BT$9:$BT$1273,BT810)</f>
        <v/>
      </c>
      <c r="J810" s="60">
        <f t="array" ref="J810">NOT(OR(($H$9:$H$1273=TRUE)*($I$9:$I$1273&gt;0)*($BT$9:$BT$1273=BT810)*($K$9:$K$1273&gt;K810)))</f>
        <v/>
      </c>
      <c r="K810" s="108">
        <f>IFERROR(1-AVERAGE(X810:Y810),"")</f>
        <v/>
      </c>
      <c r="L810" s="108">
        <f>1-X810</f>
        <v/>
      </c>
      <c r="M810" s="108">
        <f>1-Y810</f>
        <v/>
      </c>
      <c r="N810" s="108">
        <f>1-Z810</f>
        <v/>
      </c>
      <c r="O810" s="108">
        <f>1-AA810</f>
        <v/>
      </c>
      <c r="P810" s="108">
        <f>1-AB810</f>
        <v/>
      </c>
      <c r="Q810" s="108" t="n"/>
      <c r="R810" s="108" t="n"/>
      <c r="S810" s="108">
        <f>1-AE810</f>
        <v/>
      </c>
      <c r="T810" s="108">
        <f>1-AF810</f>
        <v/>
      </c>
      <c r="U810" s="108">
        <f>1-AG810</f>
        <v/>
      </c>
      <c r="V810" s="108">
        <f>1-AH810</f>
        <v/>
      </c>
      <c r="W810" s="108">
        <f>1-AI810</f>
        <v/>
      </c>
      <c r="X810" s="108">
        <f>ABS(AJ810-AJ$1)</f>
        <v/>
      </c>
      <c r="Y810" s="108">
        <f>AVERAGE(Z810:AB810)</f>
        <v/>
      </c>
      <c r="Z810" s="108">
        <f>ABS(AL810-AL$1)</f>
        <v/>
      </c>
      <c r="AA810" s="108">
        <f>ABS(AM810-AM$1)</f>
        <v/>
      </c>
      <c r="AB810" s="108">
        <f>ABS(AN810-AN$1)</f>
        <v/>
      </c>
      <c r="AC810" s="108" t="n"/>
      <c r="AD810" s="108" t="n"/>
      <c r="AE810" s="108">
        <f>ABS(AQ$1-AQ810)</f>
        <v/>
      </c>
      <c r="AF810" s="108">
        <f>ABS(AR$1-AR810)</f>
        <v/>
      </c>
      <c r="AG810" s="108">
        <f>ABS(AS$1-AS810)</f>
        <v/>
      </c>
      <c r="AH810" s="108">
        <f>ABS(AT$1-AT810)</f>
        <v/>
      </c>
      <c r="AI810" s="108">
        <f>ABS(AU$1-AU810)</f>
        <v/>
      </c>
      <c r="AJ810" s="108">
        <f>(AV810-Driver!$K$179)/(Driver!$L$179-Driver!$K$179)</f>
        <v/>
      </c>
      <c r="AK810" s="108">
        <f>(AW810-Driver!$K$180)/(Driver!$L$180-Driver!$K$180)</f>
        <v/>
      </c>
      <c r="AL810" s="108">
        <f>(AX810-Driver!$K$181)/(Driver!$L$181-Driver!$K$181)</f>
        <v/>
      </c>
      <c r="AM810" s="108">
        <f>(AY810-Driver!$K$182)/(Driver!$L$182-Driver!$K$182)</f>
        <v/>
      </c>
      <c r="AN810" s="108">
        <f>(AZ810-Driver!$K$183)/(Driver!$L$183-Driver!$K$183)</f>
        <v/>
      </c>
      <c r="AO810" s="108" t="n"/>
      <c r="AP810" s="108" t="n"/>
      <c r="AQ810" s="108">
        <f>(BC810-Driver!$K$188)/(Driver!$L$188-Driver!$K$188)</f>
        <v/>
      </c>
      <c r="AR810" s="108">
        <f>MIN((BD810-Driver!$K$189)/(Driver!$L$189-Driver!$K$189),100%)</f>
        <v/>
      </c>
      <c r="AS810" s="108">
        <f>(BE810-Driver!$K$190)/(Driver!$L$190-Driver!$K$190)</f>
        <v/>
      </c>
      <c r="AT810" s="108">
        <f>(BF810-Driver!$K$191)/(Driver!$L$191-Driver!$K$191)</f>
        <v/>
      </c>
      <c r="AU810" s="108">
        <f>(BG810-Driver!$K$192)/(Driver!$L$192-Driver!$K$192)</f>
        <v/>
      </c>
      <c r="AV810" s="105">
        <f>IFERROR(BM810*BJ810^1/4,"")</f>
        <v/>
      </c>
      <c r="AW810" s="105">
        <f>IFERROR(SUM(AX810:AZ810),"")</f>
        <v/>
      </c>
      <c r="AX810" s="105">
        <f>IFERROR(BH810,"")</f>
        <v/>
      </c>
      <c r="AY810" s="105">
        <f>IFERROR(Driver!$K$19/Data!BH810/Data!BI810*Data!BK810*Data!BL810,"")</f>
        <v/>
      </c>
      <c r="AZ810" s="105">
        <f>IFERROR(BI810*BN810,"")</f>
        <v/>
      </c>
      <c r="BA810" s="105" t="n"/>
      <c r="BB810" s="105" t="n"/>
      <c r="BC810" s="105">
        <f>IFERROR(BI810*BN810*BK810/BJ810^(1/2),"")</f>
        <v/>
      </c>
      <c r="BD810" s="105">
        <f>IFERROR(BH810*BM810*BL810/BJ810/BK810,"")</f>
        <v/>
      </c>
      <c r="BE810" s="105">
        <f>IFERROR(MIN(BI810/BQ810/BP810/BO810/BH810,$BE$1),"")</f>
        <v/>
      </c>
      <c r="BF810" s="105">
        <f>IFERROR(BJ810*BO810*BP810/BK810,"")</f>
        <v/>
      </c>
      <c r="BG810" s="105">
        <f>IFERROR(1/BM810/BH810*BQ810,"")</f>
        <v/>
      </c>
      <c r="BH810" s="102">
        <f>MAX((CE810-Driver!$F$200)/(Driver!$G$200-Driver!$F$200)*$BI$1,1)</f>
        <v/>
      </c>
      <c r="BI810" s="102">
        <f>MAX($BI$1*(BY810-Driver!$F$201)/(Driver!$G$201-Driver!$F$201),1)</f>
        <v/>
      </c>
      <c r="BJ810" s="102">
        <f>(CB810-Driver!$F$206)/(Driver!$G$206-Driver!$F$206)*$BI$1</f>
        <v/>
      </c>
      <c r="BK810" s="102">
        <f>(CD810-Driver!$F$203)/(Driver!$G$203-Driver!$F$203)*$BI$1</f>
        <v/>
      </c>
      <c r="BL810" s="102">
        <f>MAX((CR810-Driver!$F$202)/(Driver!$G$202-Driver!$F$202)*$BI$1,1)</f>
        <v/>
      </c>
      <c r="BM810" s="102">
        <f>MAX((CH810-Driver!$F$204)/(Driver!$G$204-Driver!$F$204)*$BI$1,1)</f>
        <v/>
      </c>
      <c r="BN810" s="102">
        <f>(CI810-Driver!$F$205)/(Driver!$G$205-Driver!$F$205)*$BI$1</f>
        <v/>
      </c>
      <c r="BO810" s="102">
        <f>(CK810-Driver!$F$207)/(Driver!$G$207-Driver!$F$207)*$BI$1</f>
        <v/>
      </c>
      <c r="BP810" s="102">
        <f>(CM810-Driver!$F$208)/(Driver!$G$208-Driver!$F$208)*$BI$1</f>
        <v/>
      </c>
      <c r="BQ810" s="102">
        <f>(CL810-Driver!$F$209)/(Driver!$G$209-Driver!$F$209)*$BI$1</f>
        <v/>
      </c>
      <c r="BR810" s="40" t="inlineStr">
        <is>
          <t>21/22</t>
        </is>
      </c>
      <c r="BS810" s="10" t="inlineStr">
        <is>
          <t xml:space="preserve"> Head</t>
        </is>
      </c>
      <c r="BT810" s="11" t="inlineStr">
        <is>
          <t xml:space="preserve"> Worldcup Rebels I.SLR</t>
        </is>
      </c>
      <c r="BU810" s="13" t="n">
        <v>165</v>
      </c>
      <c r="BV810" s="11" t="inlineStr">
        <is>
          <t xml:space="preserve"> Unisex</t>
        </is>
      </c>
      <c r="BW810" s="13" t="n">
        <v>165</v>
      </c>
      <c r="BX810" s="13" t="n">
        <v>164.1</v>
      </c>
      <c r="BY810" s="13" t="n">
        <v>145</v>
      </c>
      <c r="BZ810" s="13" t="n">
        <v>150</v>
      </c>
      <c r="CA810" s="13" t="n">
        <v>121</v>
      </c>
      <c r="CB810" s="13" t="n">
        <v>65</v>
      </c>
      <c r="CC810" s="13" t="n">
        <v>106</v>
      </c>
      <c r="CD810" s="13" t="n">
        <v>11.5</v>
      </c>
      <c r="CE810" s="13" t="n">
        <v>1940</v>
      </c>
      <c r="CF810" s="13" t="n">
        <v>0.7</v>
      </c>
      <c r="CG810" s="13" t="n">
        <v>1363</v>
      </c>
      <c r="CH810" s="13" t="n">
        <v>153</v>
      </c>
      <c r="CI810" s="13" t="n">
        <v>79</v>
      </c>
      <c r="CJ810" s="13" t="n">
        <v>41</v>
      </c>
      <c r="CK810" s="13" t="n">
        <v>139</v>
      </c>
      <c r="CL810" s="13" t="n">
        <v>5</v>
      </c>
      <c r="CM810" s="13" t="n">
        <v>51</v>
      </c>
      <c r="CN810" s="13" t="n">
        <v>0.116</v>
      </c>
      <c r="CO810" s="13" t="n">
        <v>77</v>
      </c>
      <c r="CP810" s="13" t="n">
        <v>59</v>
      </c>
      <c r="CQ810" s="13" t="n">
        <v>62</v>
      </c>
      <c r="CR810" s="13" t="n">
        <v>11</v>
      </c>
      <c r="CS810" s="13" t="n">
        <v>12.8</v>
      </c>
      <c r="CT810" s="11" t="inlineStr">
        <is>
          <t xml:space="preserve"> On-Piste Carving</t>
        </is>
      </c>
      <c r="CU810" s="13" t="n"/>
      <c r="CV810" s="13" t="n"/>
      <c r="CW810" s="13" t="n"/>
      <c r="CX810">
        <f>INDEX('Data_Price '!AG$2:AG$1266,MATCH(Data!$DN810,'Data_Price '!$AT$2:$AT$1266,0))</f>
        <v/>
      </c>
      <c r="CY810">
        <f>INDEX('Data_Price '!AH$2:AH$1266,MATCH(Data!$DN810,'Data_Price '!$AT$2:$AT$1266,0))</f>
        <v/>
      </c>
      <c r="CZ810">
        <f>INDEX('Data_Price '!AI$2:AI$1266,MATCH(Data!$DN810,'Data_Price '!$AT$2:$AT$1266,0))</f>
        <v/>
      </c>
      <c r="DA810">
        <f>INDEX('Data_Price '!AJ$2:AJ$1266,MATCH(Data!$DN810,'Data_Price '!$AT$2:$AT$1266,0))</f>
        <v/>
      </c>
      <c r="DB810">
        <f>INDEX('Data_Price '!AK$2:AK$1266,MATCH(Data!$DN810,'Data_Price '!$AT$2:$AT$1266,0))</f>
        <v/>
      </c>
      <c r="DC810">
        <f>INDEX('Data_Price '!AL$2:AL$1266,MATCH(Data!$DN810,'Data_Price '!$AT$2:$AT$1266,0))</f>
        <v/>
      </c>
      <c r="DD810">
        <f>INDEX('Data_Price '!AM$2:AM$1266,MATCH(Data!$DN810,'Data_Price '!$AT$2:$AT$1266,0))</f>
        <v/>
      </c>
      <c r="DE810">
        <f>INDEX('Data_Price '!AN$2:AN$1266,MATCH(Data!$DN810,'Data_Price '!$AT$2:$AT$1266,0))</f>
        <v/>
      </c>
      <c r="DF810">
        <f>INDEX('Data_Price '!AO$2:AO$1266,MATCH(Data!$DN810,'Data_Price '!$AT$2:$AT$1266,0))</f>
        <v/>
      </c>
      <c r="DG810">
        <f>INDEX('Data_Price '!AP$2:AP$1266,MATCH(Data!$DN810,'Data_Price '!$AT$2:$AT$1266,0))</f>
        <v/>
      </c>
      <c r="DH810">
        <f>INDEX('Data_Price '!AQ$2:AQ$1266,MATCH(Data!$DN810,'Data_Price '!$AT$2:$AT$1266,0))</f>
        <v/>
      </c>
      <c r="DI810">
        <f>INDEX('Data_Price '!AR$2:AR$1266,MATCH(Data!$DN810,'Data_Price '!$AT$2:$AT$1266,0))</f>
        <v/>
      </c>
      <c r="DJ810" s="138">
        <f>DA810</f>
        <v/>
      </c>
      <c r="DK810" s="138">
        <f>DE810</f>
        <v/>
      </c>
      <c r="DL810" s="138">
        <f>DI810</f>
        <v/>
      </c>
      <c r="DM810" s="303">
        <f>IF(LEFT(BT810,1)=" ",RIGHT(BT810,LEN(BT810)-1),BT810)</f>
        <v/>
      </c>
      <c r="DN810" s="138">
        <f>_xlfn.CONCAT(BS810,DM810,BU810,BV810)</f>
        <v/>
      </c>
      <c r="DO810" s="307" t="n"/>
    </row>
    <row r="811" ht="15.6" customHeight="1" s="184">
      <c r="B811" s="303">
        <f t="array" ref="B811">IF(OR(ISERROR(K811:P811)),FALSE,TRUE)</f>
        <v/>
      </c>
      <c r="C811" s="60">
        <f>OR(BR811=Driver!$G$50,Data!BR1000=Driver!$H$50)</f>
        <v/>
      </c>
      <c r="D811" s="60">
        <f>OR(BV811=Driver!$G$51,BV811=Driver!$H$51)</f>
        <v/>
      </c>
      <c r="E811" s="60">
        <f>AND(BX811&gt;Driver!$F$54,BX811&lt;Driver!$G$54)</f>
        <v/>
      </c>
      <c r="F811" s="60">
        <f>CL811&gt;Driver!$F$56</f>
        <v/>
      </c>
      <c r="G811" s="60">
        <f>AND(CB811&gt;Driver!$F$55,CB811&lt;Driver!$G$55)</f>
        <v/>
      </c>
      <c r="H811" s="60">
        <f>AND(B811:G811)</f>
        <v/>
      </c>
      <c r="I811" s="60">
        <f>COUNTIFS($H$9:$H$1273,TRUE,$BT$9:$BT$1273,BT811)</f>
        <v/>
      </c>
      <c r="J811" s="60">
        <f t="array" ref="J811">NOT(OR(($H$9:$H$1273=TRUE)*($I$9:$I$1273&gt;0)*($BT$9:$BT$1273=BT811)*($K$9:$K$1273&gt;K811)))</f>
        <v/>
      </c>
      <c r="K811" s="108">
        <f>IFERROR(1-AVERAGE(X811:Y811),"")</f>
        <v/>
      </c>
      <c r="L811" s="108">
        <f>1-X811</f>
        <v/>
      </c>
      <c r="M811" s="108">
        <f>1-Y811</f>
        <v/>
      </c>
      <c r="N811" s="108">
        <f>1-Z811</f>
        <v/>
      </c>
      <c r="O811" s="108">
        <f>1-AA811</f>
        <v/>
      </c>
      <c r="P811" s="108">
        <f>1-AB811</f>
        <v/>
      </c>
      <c r="Q811" s="108" t="n"/>
      <c r="R811" s="108" t="n"/>
      <c r="S811" s="108">
        <f>1-AE811</f>
        <v/>
      </c>
      <c r="T811" s="108">
        <f>1-AF811</f>
        <v/>
      </c>
      <c r="U811" s="108">
        <f>1-AG811</f>
        <v/>
      </c>
      <c r="V811" s="108">
        <f>1-AH811</f>
        <v/>
      </c>
      <c r="W811" s="108">
        <f>1-AI811</f>
        <v/>
      </c>
      <c r="X811" s="108">
        <f>ABS(AJ811-AJ$1)</f>
        <v/>
      </c>
      <c r="Y811" s="108">
        <f>AVERAGE(Z811:AB811)</f>
        <v/>
      </c>
      <c r="Z811" s="108">
        <f>ABS(AL811-AL$1)</f>
        <v/>
      </c>
      <c r="AA811" s="108">
        <f>ABS(AM811-AM$1)</f>
        <v/>
      </c>
      <c r="AB811" s="108">
        <f>ABS(AN811-AN$1)</f>
        <v/>
      </c>
      <c r="AC811" s="108" t="n"/>
      <c r="AD811" s="108" t="n"/>
      <c r="AE811" s="108">
        <f>ABS(AQ$1-AQ811)</f>
        <v/>
      </c>
      <c r="AF811" s="108">
        <f>ABS(AR$1-AR811)</f>
        <v/>
      </c>
      <c r="AG811" s="108">
        <f>ABS(AS$1-AS811)</f>
        <v/>
      </c>
      <c r="AH811" s="108">
        <f>ABS(AT$1-AT811)</f>
        <v/>
      </c>
      <c r="AI811" s="108">
        <f>ABS(AU$1-AU811)</f>
        <v/>
      </c>
      <c r="AJ811" s="108">
        <f>(AV811-Driver!$K$179)/(Driver!$L$179-Driver!$K$179)</f>
        <v/>
      </c>
      <c r="AK811" s="108">
        <f>(AW811-Driver!$K$180)/(Driver!$L$180-Driver!$K$180)</f>
        <v/>
      </c>
      <c r="AL811" s="108">
        <f>(AX811-Driver!$K$181)/(Driver!$L$181-Driver!$K$181)</f>
        <v/>
      </c>
      <c r="AM811" s="108">
        <f>(AY811-Driver!$K$182)/(Driver!$L$182-Driver!$K$182)</f>
        <v/>
      </c>
      <c r="AN811" s="108">
        <f>(AZ811-Driver!$K$183)/(Driver!$L$183-Driver!$K$183)</f>
        <v/>
      </c>
      <c r="AO811" s="108" t="n"/>
      <c r="AP811" s="108" t="n"/>
      <c r="AQ811" s="108">
        <f>(BC811-Driver!$K$188)/(Driver!$L$188-Driver!$K$188)</f>
        <v/>
      </c>
      <c r="AR811" s="108">
        <f>MIN((BD811-Driver!$K$189)/(Driver!$L$189-Driver!$K$189),100%)</f>
        <v/>
      </c>
      <c r="AS811" s="108">
        <f>(BE811-Driver!$K$190)/(Driver!$L$190-Driver!$K$190)</f>
        <v/>
      </c>
      <c r="AT811" s="108">
        <f>(BF811-Driver!$K$191)/(Driver!$L$191-Driver!$K$191)</f>
        <v/>
      </c>
      <c r="AU811" s="108">
        <f>(BG811-Driver!$K$192)/(Driver!$L$192-Driver!$K$192)</f>
        <v/>
      </c>
      <c r="AV811" s="105">
        <f>IFERROR(BM811*BJ811^1/4,"")</f>
        <v/>
      </c>
      <c r="AW811" s="105">
        <f>IFERROR(SUM(AX811:AZ811),"")</f>
        <v/>
      </c>
      <c r="AX811" s="105">
        <f>IFERROR(BH811,"")</f>
        <v/>
      </c>
      <c r="AY811" s="105">
        <f>IFERROR(Driver!$K$19/Data!BH811/Data!BI811*Data!BK811*Data!BL811,"")</f>
        <v/>
      </c>
      <c r="AZ811" s="105">
        <f>IFERROR(BI811*BN811,"")</f>
        <v/>
      </c>
      <c r="BA811" s="105" t="n"/>
      <c r="BB811" s="105" t="n"/>
      <c r="BC811" s="105">
        <f>IFERROR(BI811*BN811*BK811/BJ811^(1/2),"")</f>
        <v/>
      </c>
      <c r="BD811" s="105">
        <f>IFERROR(BH811*BM811*BL811/BJ811/BK811,"")</f>
        <v/>
      </c>
      <c r="BE811" s="105">
        <f>IFERROR(MIN(BI811/BQ811/BP811/BO811/BH811,$BE$1),"")</f>
        <v/>
      </c>
      <c r="BF811" s="105">
        <f>IFERROR(BJ811*BO811*BP811/BK811,"")</f>
        <v/>
      </c>
      <c r="BG811" s="105">
        <f>IFERROR(1/BM811/BH811*BQ811,"")</f>
        <v/>
      </c>
      <c r="BH811" s="102">
        <f>MAX((CE811-Driver!$F$200)/(Driver!$G$200-Driver!$F$200)*$BI$1,1)</f>
        <v/>
      </c>
      <c r="BI811" s="102">
        <f>MAX($BI$1*(BY811-Driver!$F$201)/(Driver!$G$201-Driver!$F$201),1)</f>
        <v/>
      </c>
      <c r="BJ811" s="102">
        <f>(CB811-Driver!$F$206)/(Driver!$G$206-Driver!$F$206)*$BI$1</f>
        <v/>
      </c>
      <c r="BK811" s="102">
        <f>(CD811-Driver!$F$203)/(Driver!$G$203-Driver!$F$203)*$BI$1</f>
        <v/>
      </c>
      <c r="BL811" s="102">
        <f>MAX((CR811-Driver!$F$202)/(Driver!$G$202-Driver!$F$202)*$BI$1,1)</f>
        <v/>
      </c>
      <c r="BM811" s="102">
        <f>MAX((CH811-Driver!$F$204)/(Driver!$G$204-Driver!$F$204)*$BI$1,1)</f>
        <v/>
      </c>
      <c r="BN811" s="102">
        <f>(CI811-Driver!$F$205)/(Driver!$G$205-Driver!$F$205)*$BI$1</f>
        <v/>
      </c>
      <c r="BO811" s="102">
        <f>(CK811-Driver!$F$207)/(Driver!$G$207-Driver!$F$207)*$BI$1</f>
        <v/>
      </c>
      <c r="BP811" s="102">
        <f>(CM811-Driver!$F$208)/(Driver!$G$208-Driver!$F$208)*$BI$1</f>
        <v/>
      </c>
      <c r="BQ811" s="102">
        <f>(CL811-Driver!$F$209)/(Driver!$G$209-Driver!$F$209)*$BI$1</f>
        <v/>
      </c>
      <c r="BR811" s="40" t="inlineStr">
        <is>
          <t>21/22</t>
        </is>
      </c>
      <c r="BS811" s="10" t="inlineStr">
        <is>
          <t xml:space="preserve"> Rossignol</t>
        </is>
      </c>
      <c r="BT811" s="11" t="inlineStr">
        <is>
          <t>Experience 76</t>
        </is>
      </c>
      <c r="BU811" s="13" t="n">
        <v>176</v>
      </c>
      <c r="BV811" s="11" t="inlineStr">
        <is>
          <t xml:space="preserve"> Unisex</t>
        </is>
      </c>
      <c r="BW811" s="13" t="n">
        <v>176</v>
      </c>
      <c r="BX811" s="13" t="n">
        <v>176.4</v>
      </c>
      <c r="BY811" s="13" t="n">
        <v>155</v>
      </c>
      <c r="BZ811" s="13" t="n">
        <v>161</v>
      </c>
      <c r="CA811" s="13" t="n">
        <v>123</v>
      </c>
      <c r="CB811" s="13" t="n">
        <v>76</v>
      </c>
      <c r="CC811" s="13" t="n">
        <v>109</v>
      </c>
      <c r="CD811" s="13" t="n">
        <v>16</v>
      </c>
      <c r="CE811" s="13" t="n">
        <v>1737</v>
      </c>
      <c r="CF811" s="13" t="n">
        <v>0.93</v>
      </c>
      <c r="CG811" s="13" t="n">
        <v>1610</v>
      </c>
      <c r="CH811" s="13" t="n">
        <v>171</v>
      </c>
      <c r="CI811" s="13" t="n">
        <v>65</v>
      </c>
      <c r="CJ811" s="13" t="n">
        <v>36</v>
      </c>
      <c r="CK811" s="13" t="n">
        <v>145</v>
      </c>
      <c r="CL811" s="13" t="n">
        <v>5</v>
      </c>
      <c r="CM811" s="13" t="n">
        <v>66</v>
      </c>
      <c r="CN811" s="13" t="n">
        <v>0.144</v>
      </c>
      <c r="CO811" s="13" t="n">
        <v>75</v>
      </c>
      <c r="CP811" s="13" t="n">
        <v>81</v>
      </c>
      <c r="CQ811" s="13" t="n">
        <v>70</v>
      </c>
      <c r="CR811" s="13" t="n">
        <v>13</v>
      </c>
      <c r="CS811" s="13" t="n">
        <v>8.6</v>
      </c>
      <c r="CT811" s="11" t="inlineStr">
        <is>
          <t xml:space="preserve"> On-Piste Carving</t>
        </is>
      </c>
      <c r="CU811" s="13" t="n"/>
      <c r="CV811" s="13" t="n"/>
      <c r="CW811" s="13" t="n"/>
      <c r="CX811">
        <f>INDEX('Data_Price '!AG$2:AG$1266,MATCH(Data!$DN811,'Data_Price '!$AT$2:$AT$1266,0))</f>
        <v/>
      </c>
      <c r="CY811">
        <f>INDEX('Data_Price '!AH$2:AH$1266,MATCH(Data!$DN811,'Data_Price '!$AT$2:$AT$1266,0))</f>
        <v/>
      </c>
      <c r="CZ811">
        <f>INDEX('Data_Price '!AI$2:AI$1266,MATCH(Data!$DN811,'Data_Price '!$AT$2:$AT$1266,0))</f>
        <v/>
      </c>
      <c r="DA811">
        <f>INDEX('Data_Price '!AJ$2:AJ$1266,MATCH(Data!$DN811,'Data_Price '!$AT$2:$AT$1266,0))</f>
        <v/>
      </c>
      <c r="DB811">
        <f>INDEX('Data_Price '!AK$2:AK$1266,MATCH(Data!$DN811,'Data_Price '!$AT$2:$AT$1266,0))</f>
        <v/>
      </c>
      <c r="DC811">
        <f>INDEX('Data_Price '!AL$2:AL$1266,MATCH(Data!$DN811,'Data_Price '!$AT$2:$AT$1266,0))</f>
        <v/>
      </c>
      <c r="DD811">
        <f>INDEX('Data_Price '!AM$2:AM$1266,MATCH(Data!$DN811,'Data_Price '!$AT$2:$AT$1266,0))</f>
        <v/>
      </c>
      <c r="DE811">
        <f>INDEX('Data_Price '!AN$2:AN$1266,MATCH(Data!$DN811,'Data_Price '!$AT$2:$AT$1266,0))</f>
        <v/>
      </c>
      <c r="DF811">
        <f>INDEX('Data_Price '!AO$2:AO$1266,MATCH(Data!$DN811,'Data_Price '!$AT$2:$AT$1266,0))</f>
        <v/>
      </c>
      <c r="DG811">
        <f>INDEX('Data_Price '!AP$2:AP$1266,MATCH(Data!$DN811,'Data_Price '!$AT$2:$AT$1266,0))</f>
        <v/>
      </c>
      <c r="DH811">
        <f>INDEX('Data_Price '!AQ$2:AQ$1266,MATCH(Data!$DN811,'Data_Price '!$AT$2:$AT$1266,0))</f>
        <v/>
      </c>
      <c r="DI811">
        <f>INDEX('Data_Price '!AR$2:AR$1266,MATCH(Data!$DN811,'Data_Price '!$AT$2:$AT$1266,0))</f>
        <v/>
      </c>
      <c r="DJ811" s="138">
        <f>DA811</f>
        <v/>
      </c>
      <c r="DK811" s="138">
        <f>DE811</f>
        <v/>
      </c>
      <c r="DL811" s="138">
        <f>DI811</f>
        <v/>
      </c>
      <c r="DM811" s="303">
        <f>IF(LEFT(BT811,1)=" ",RIGHT(BT811,LEN(BT811)-1),BT811)</f>
        <v/>
      </c>
      <c r="DN811" s="138">
        <f>_xlfn.CONCAT(BS811,DM811,BU811,BV811)</f>
        <v/>
      </c>
      <c r="DO811" s="307" t="inlineStr">
        <is>
          <t>https://images.evo.com/imgp/250/201408/832772/clone.jpg</t>
        </is>
      </c>
    </row>
    <row r="812" ht="15.6" customHeight="1" s="184">
      <c r="B812" s="303">
        <f t="array" ref="B812">IF(OR(ISERROR(K812:P812)),FALSE,TRUE)</f>
        <v/>
      </c>
      <c r="C812" s="60">
        <f>OR(BR812=Driver!$G$50,Data!BR975=Driver!$H$50)</f>
        <v/>
      </c>
      <c r="D812" s="60">
        <f>OR(BV812=Driver!$G$51,BV812=Driver!$H$51)</f>
        <v/>
      </c>
      <c r="E812" s="60">
        <f>AND(BX812&gt;Driver!$F$54,BX812&lt;Driver!$G$54)</f>
        <v/>
      </c>
      <c r="F812" s="60">
        <f>CL812&gt;Driver!$F$56</f>
        <v/>
      </c>
      <c r="G812" s="60">
        <f>AND(CB812&gt;Driver!$F$55,CB812&lt;Driver!$G$55)</f>
        <v/>
      </c>
      <c r="H812" s="60">
        <f>AND(B812:G812)</f>
        <v/>
      </c>
      <c r="I812" s="60">
        <f>COUNTIFS($H$9:$H$1273,TRUE,$BT$9:$BT$1273,BT812)</f>
        <v/>
      </c>
      <c r="J812" s="60">
        <f t="array" ref="J812">NOT(OR(($H$9:$H$1273=TRUE)*($I$9:$I$1273&gt;0)*($BT$9:$BT$1273=BT812)*($K$9:$K$1273&gt;K812)))</f>
        <v/>
      </c>
      <c r="K812" s="108">
        <f>IFERROR(1-AVERAGE(X812:Y812),"")</f>
        <v/>
      </c>
      <c r="L812" s="108">
        <f>1-X812</f>
        <v/>
      </c>
      <c r="M812" s="108">
        <f>1-Y812</f>
        <v/>
      </c>
      <c r="N812" s="108">
        <f>1-Z812</f>
        <v/>
      </c>
      <c r="O812" s="108">
        <f>1-AA812</f>
        <v/>
      </c>
      <c r="P812" s="108">
        <f>1-AB812</f>
        <v/>
      </c>
      <c r="Q812" s="108" t="n"/>
      <c r="R812" s="108" t="n"/>
      <c r="S812" s="108">
        <f>1-AE812</f>
        <v/>
      </c>
      <c r="T812" s="108">
        <f>1-AF812</f>
        <v/>
      </c>
      <c r="U812" s="108">
        <f>1-AG812</f>
        <v/>
      </c>
      <c r="V812" s="108">
        <f>1-AH812</f>
        <v/>
      </c>
      <c r="W812" s="108">
        <f>1-AI812</f>
        <v/>
      </c>
      <c r="X812" s="108">
        <f>ABS(AJ812-AJ$1)</f>
        <v/>
      </c>
      <c r="Y812" s="108">
        <f>AVERAGE(Z812:AB812)</f>
        <v/>
      </c>
      <c r="Z812" s="108">
        <f>ABS(AL812-AL$1)</f>
        <v/>
      </c>
      <c r="AA812" s="108">
        <f>ABS(AM812-AM$1)</f>
        <v/>
      </c>
      <c r="AB812" s="108">
        <f>ABS(AN812-AN$1)</f>
        <v/>
      </c>
      <c r="AC812" s="108" t="n"/>
      <c r="AD812" s="108" t="n"/>
      <c r="AE812" s="108">
        <f>ABS(AQ$1-AQ812)</f>
        <v/>
      </c>
      <c r="AF812" s="108">
        <f>ABS(AR$1-AR812)</f>
        <v/>
      </c>
      <c r="AG812" s="108">
        <f>ABS(AS$1-AS812)</f>
        <v/>
      </c>
      <c r="AH812" s="108">
        <f>ABS(AT$1-AT812)</f>
        <v/>
      </c>
      <c r="AI812" s="108">
        <f>ABS(AU$1-AU812)</f>
        <v/>
      </c>
      <c r="AJ812" s="108">
        <f>(AV812-Driver!$K$179)/(Driver!$L$179-Driver!$K$179)</f>
        <v/>
      </c>
      <c r="AK812" s="108">
        <f>(AW812-Driver!$K$180)/(Driver!$L$180-Driver!$K$180)</f>
        <v/>
      </c>
      <c r="AL812" s="108">
        <f>(AX812-Driver!$K$181)/(Driver!$L$181-Driver!$K$181)</f>
        <v/>
      </c>
      <c r="AM812" s="108">
        <f>(AY812-Driver!$K$182)/(Driver!$L$182-Driver!$K$182)</f>
        <v/>
      </c>
      <c r="AN812" s="108">
        <f>(AZ812-Driver!$K$183)/(Driver!$L$183-Driver!$K$183)</f>
        <v/>
      </c>
      <c r="AO812" s="108" t="n"/>
      <c r="AP812" s="108" t="n"/>
      <c r="AQ812" s="108">
        <f>(BC812-Driver!$K$188)/(Driver!$L$188-Driver!$K$188)</f>
        <v/>
      </c>
      <c r="AR812" s="108">
        <f>MIN((BD812-Driver!$K$189)/(Driver!$L$189-Driver!$K$189),100%)</f>
        <v/>
      </c>
      <c r="AS812" s="108">
        <f>(BE812-Driver!$K$190)/(Driver!$L$190-Driver!$K$190)</f>
        <v/>
      </c>
      <c r="AT812" s="108">
        <f>(BF812-Driver!$K$191)/(Driver!$L$191-Driver!$K$191)</f>
        <v/>
      </c>
      <c r="AU812" s="108">
        <f>(BG812-Driver!$K$192)/(Driver!$L$192-Driver!$K$192)</f>
        <v/>
      </c>
      <c r="AV812" s="105">
        <f>IFERROR(BM812*BJ812^1/4,"")</f>
        <v/>
      </c>
      <c r="AW812" s="105">
        <f>IFERROR(SUM(AX812:AZ812),"")</f>
        <v/>
      </c>
      <c r="AX812" s="105">
        <f>IFERROR(BH812,"")</f>
        <v/>
      </c>
      <c r="AY812" s="105">
        <f>IFERROR(Driver!$K$19/Data!BH812/Data!BI812*Data!BK812*Data!BL812,"")</f>
        <v/>
      </c>
      <c r="AZ812" s="105">
        <f>IFERROR(BI812*BN812,"")</f>
        <v/>
      </c>
      <c r="BA812" s="105" t="n"/>
      <c r="BB812" s="105" t="n"/>
      <c r="BC812" s="105">
        <f>IFERROR(BI812*BN812*BK812/BJ812^(1/2),"")</f>
        <v/>
      </c>
      <c r="BD812" s="105">
        <f>IFERROR(BH812*BM812*BL812/BJ812/BK812,"")</f>
        <v/>
      </c>
      <c r="BE812" s="105">
        <f>IFERROR(MIN(BI812/BQ812/BP812/BO812/BH812,$BE$1),"")</f>
        <v/>
      </c>
      <c r="BF812" s="105">
        <f>IFERROR(BJ812*BO812*BP812/BK812,"")</f>
        <v/>
      </c>
      <c r="BG812" s="105">
        <f>IFERROR(1/BM812/BH812*BQ812,"")</f>
        <v/>
      </c>
      <c r="BH812" s="102">
        <f>MAX((CE812-Driver!$F$200)/(Driver!$G$200-Driver!$F$200)*$BI$1,1)</f>
        <v/>
      </c>
      <c r="BI812" s="102">
        <f>MAX($BI$1*(BY812-Driver!$F$201)/(Driver!$G$201-Driver!$F$201),1)</f>
        <v/>
      </c>
      <c r="BJ812" s="102">
        <f>(CB812-Driver!$F$206)/(Driver!$G$206-Driver!$F$206)*$BI$1</f>
        <v/>
      </c>
      <c r="BK812" s="102">
        <f>(CD812-Driver!$F$203)/(Driver!$G$203-Driver!$F$203)*$BI$1</f>
        <v/>
      </c>
      <c r="BL812" s="102">
        <f>MAX((CR812-Driver!$F$202)/(Driver!$G$202-Driver!$F$202)*$BI$1,1)</f>
        <v/>
      </c>
      <c r="BM812" s="102">
        <f>MAX((CH812-Driver!$F$204)/(Driver!$G$204-Driver!$F$204)*$BI$1,1)</f>
        <v/>
      </c>
      <c r="BN812" s="102">
        <f>(CI812-Driver!$F$205)/(Driver!$G$205-Driver!$F$205)*$BI$1</f>
        <v/>
      </c>
      <c r="BO812" s="102">
        <f>(CK812-Driver!$F$207)/(Driver!$G$207-Driver!$F$207)*$BI$1</f>
        <v/>
      </c>
      <c r="BP812" s="102">
        <f>(CM812-Driver!$F$208)/(Driver!$G$208-Driver!$F$208)*$BI$1</f>
        <v/>
      </c>
      <c r="BQ812" s="102">
        <f>(CL812-Driver!$F$209)/(Driver!$G$209-Driver!$F$209)*$BI$1</f>
        <v/>
      </c>
      <c r="BR812" s="40" t="inlineStr">
        <is>
          <t>21/22</t>
        </is>
      </c>
      <c r="BS812" s="10" t="inlineStr">
        <is>
          <t xml:space="preserve"> Rossignol</t>
        </is>
      </c>
      <c r="BT812" s="11" t="inlineStr">
        <is>
          <t xml:space="preserve"> Blackops Gamer</t>
        </is>
      </c>
      <c r="BU812" s="13" t="n">
        <v>176</v>
      </c>
      <c r="BV812" s="11" t="inlineStr">
        <is>
          <t xml:space="preserve"> Unisex</t>
        </is>
      </c>
      <c r="BW812" s="13" t="n">
        <v>176</v>
      </c>
      <c r="BX812" s="13" t="n">
        <v>174.7</v>
      </c>
      <c r="BY812" s="13" t="n">
        <v>102</v>
      </c>
      <c r="BZ812" s="13" t="n">
        <v>147</v>
      </c>
      <c r="CA812" s="13" t="n">
        <v>144</v>
      </c>
      <c r="CB812" s="13" t="n">
        <v>117</v>
      </c>
      <c r="CC812" s="13" t="n">
        <v>139</v>
      </c>
      <c r="CD812" s="13" t="n">
        <v>19.2</v>
      </c>
      <c r="CE812" s="13" t="n">
        <v>2255</v>
      </c>
      <c r="CF812" s="13" t="n">
        <v>0.98</v>
      </c>
      <c r="CG812" s="13" t="n">
        <v>2199</v>
      </c>
      <c r="CH812" s="13" t="n">
        <v>217</v>
      </c>
      <c r="CI812" s="13" t="n">
        <v>105</v>
      </c>
      <c r="CJ812" s="13" t="n">
        <v>69</v>
      </c>
      <c r="CK812" s="13" t="n">
        <v>368</v>
      </c>
      <c r="CL812" s="13" t="n">
        <v>53</v>
      </c>
      <c r="CM812" s="13" t="n">
        <v>355</v>
      </c>
      <c r="CN812" s="13" t="n">
        <v>0.766</v>
      </c>
      <c r="CO812" s="13" t="n">
        <v>149</v>
      </c>
      <c r="CP812" s="13" t="n">
        <v>130</v>
      </c>
      <c r="CQ812" s="13" t="n">
        <v>219</v>
      </c>
      <c r="CR812" s="13" t="n">
        <v>5</v>
      </c>
      <c r="CS812" s="13" t="n">
        <v>2.3</v>
      </c>
      <c r="CT812" s="11" t="inlineStr">
        <is>
          <t xml:space="preserve"> Powder</t>
        </is>
      </c>
      <c r="CU812" s="13" t="n"/>
      <c r="CV812" s="13" t="n"/>
      <c r="CW812" s="13" t="n"/>
      <c r="CX812">
        <f>INDEX('Data_Price '!AG$2:AG$1266,MATCH(Data!$DN812,'Data_Price '!$AT$2:$AT$1266,0))</f>
        <v/>
      </c>
      <c r="CY812">
        <f>INDEX('Data_Price '!AH$2:AH$1266,MATCH(Data!$DN812,'Data_Price '!$AT$2:$AT$1266,0))</f>
        <v/>
      </c>
      <c r="CZ812">
        <f>INDEX('Data_Price '!AI$2:AI$1266,MATCH(Data!$DN812,'Data_Price '!$AT$2:$AT$1266,0))</f>
        <v/>
      </c>
      <c r="DA812">
        <f>INDEX('Data_Price '!AJ$2:AJ$1266,MATCH(Data!$DN812,'Data_Price '!$AT$2:$AT$1266,0))</f>
        <v/>
      </c>
      <c r="DB812">
        <f>INDEX('Data_Price '!AK$2:AK$1266,MATCH(Data!$DN812,'Data_Price '!$AT$2:$AT$1266,0))</f>
        <v/>
      </c>
      <c r="DC812">
        <f>INDEX('Data_Price '!AL$2:AL$1266,MATCH(Data!$DN812,'Data_Price '!$AT$2:$AT$1266,0))</f>
        <v/>
      </c>
      <c r="DD812">
        <f>INDEX('Data_Price '!AM$2:AM$1266,MATCH(Data!$DN812,'Data_Price '!$AT$2:$AT$1266,0))</f>
        <v/>
      </c>
      <c r="DE812">
        <f>INDEX('Data_Price '!AN$2:AN$1266,MATCH(Data!$DN812,'Data_Price '!$AT$2:$AT$1266,0))</f>
        <v/>
      </c>
      <c r="DF812">
        <f>INDEX('Data_Price '!AO$2:AO$1266,MATCH(Data!$DN812,'Data_Price '!$AT$2:$AT$1266,0))</f>
        <v/>
      </c>
      <c r="DG812">
        <f>INDEX('Data_Price '!AP$2:AP$1266,MATCH(Data!$DN812,'Data_Price '!$AT$2:$AT$1266,0))</f>
        <v/>
      </c>
      <c r="DH812">
        <f>INDEX('Data_Price '!AQ$2:AQ$1266,MATCH(Data!$DN812,'Data_Price '!$AT$2:$AT$1266,0))</f>
        <v/>
      </c>
      <c r="DI812">
        <f>INDEX('Data_Price '!AR$2:AR$1266,MATCH(Data!$DN812,'Data_Price '!$AT$2:$AT$1266,0))</f>
        <v/>
      </c>
      <c r="DJ812" s="138">
        <f>DA812</f>
        <v/>
      </c>
      <c r="DK812" s="138">
        <f>DE812</f>
        <v/>
      </c>
      <c r="DL812" s="138">
        <f>DI812</f>
        <v/>
      </c>
      <c r="DM812" s="303">
        <f>IF(LEFT(BT812,1)=" ",RIGHT(BT812,LEN(BT812)-1),BT812)</f>
        <v/>
      </c>
      <c r="DN812" s="138">
        <f>_xlfn.CONCAT(BS812,DM812,BU812,BV812)</f>
        <v/>
      </c>
      <c r="DO812" s="307" t="n"/>
    </row>
    <row r="813" ht="15.6" customHeight="1" s="184">
      <c r="B813" s="303">
        <f t="array" ref="B813">IF(OR(ISERROR(K813:P813)),FALSE,TRUE)</f>
        <v/>
      </c>
      <c r="C813" s="60">
        <f>OR(BR813=Driver!$G$50,Data!BR896=Driver!$H$50)</f>
        <v/>
      </c>
      <c r="D813" s="60">
        <f>OR(BV813=Driver!$G$51,BV813=Driver!$H$51)</f>
        <v/>
      </c>
      <c r="E813" s="60">
        <f>AND(BX813&gt;Driver!$F$54,BX813&lt;Driver!$G$54)</f>
        <v/>
      </c>
      <c r="F813" s="60">
        <f>CL813&gt;Driver!$F$56</f>
        <v/>
      </c>
      <c r="G813" s="60">
        <f>AND(CB813&gt;Driver!$F$55,CB813&lt;Driver!$G$55)</f>
        <v/>
      </c>
      <c r="H813" s="60">
        <f>AND(B813:G813)</f>
        <v/>
      </c>
      <c r="I813" s="60">
        <f>COUNTIFS($H$9:$H$1273,TRUE,$BT$9:$BT$1273,BT813)</f>
        <v/>
      </c>
      <c r="J813" s="60">
        <f t="array" ref="J813">NOT(OR(($H$9:$H$1273=TRUE)*($I$9:$I$1273&gt;0)*($BT$9:$BT$1273=BT813)*($K$9:$K$1273&gt;K813)))</f>
        <v/>
      </c>
      <c r="K813" s="108">
        <f>IFERROR(1-AVERAGE(X813:Y813),"")</f>
        <v/>
      </c>
      <c r="L813" s="108">
        <f>1-X813</f>
        <v/>
      </c>
      <c r="M813" s="108">
        <f>1-Y813</f>
        <v/>
      </c>
      <c r="N813" s="108">
        <f>1-Z813</f>
        <v/>
      </c>
      <c r="O813" s="108">
        <f>1-AA813</f>
        <v/>
      </c>
      <c r="P813" s="108">
        <f>1-AB813</f>
        <v/>
      </c>
      <c r="Q813" s="108" t="n"/>
      <c r="R813" s="108" t="n"/>
      <c r="S813" s="108">
        <f>1-AE813</f>
        <v/>
      </c>
      <c r="T813" s="108">
        <f>1-AF813</f>
        <v/>
      </c>
      <c r="U813" s="108">
        <f>1-AG813</f>
        <v/>
      </c>
      <c r="V813" s="108">
        <f>1-AH813</f>
        <v/>
      </c>
      <c r="W813" s="108">
        <f>1-AI813</f>
        <v/>
      </c>
      <c r="X813" s="108">
        <f>ABS(AJ813-AJ$1)</f>
        <v/>
      </c>
      <c r="Y813" s="108">
        <f>AVERAGE(Z813:AB813)</f>
        <v/>
      </c>
      <c r="Z813" s="108">
        <f>ABS(AL813-AL$1)</f>
        <v/>
      </c>
      <c r="AA813" s="108">
        <f>ABS(AM813-AM$1)</f>
        <v/>
      </c>
      <c r="AB813" s="108">
        <f>ABS(AN813-AN$1)</f>
        <v/>
      </c>
      <c r="AC813" s="108" t="n"/>
      <c r="AD813" s="108" t="n"/>
      <c r="AE813" s="108">
        <f>ABS(AQ$1-AQ813)</f>
        <v/>
      </c>
      <c r="AF813" s="108">
        <f>ABS(AR$1-AR813)</f>
        <v/>
      </c>
      <c r="AG813" s="108">
        <f>ABS(AS$1-AS813)</f>
        <v/>
      </c>
      <c r="AH813" s="108">
        <f>ABS(AT$1-AT813)</f>
        <v/>
      </c>
      <c r="AI813" s="108">
        <f>ABS(AU$1-AU813)</f>
        <v/>
      </c>
      <c r="AJ813" s="108">
        <f>(AV813-Driver!$K$179)/(Driver!$L$179-Driver!$K$179)</f>
        <v/>
      </c>
      <c r="AK813" s="108">
        <f>(AW813-Driver!$K$180)/(Driver!$L$180-Driver!$K$180)</f>
        <v/>
      </c>
      <c r="AL813" s="108">
        <f>(AX813-Driver!$K$181)/(Driver!$L$181-Driver!$K$181)</f>
        <v/>
      </c>
      <c r="AM813" s="108">
        <f>(AY813-Driver!$K$182)/(Driver!$L$182-Driver!$K$182)</f>
        <v/>
      </c>
      <c r="AN813" s="108">
        <f>(AZ813-Driver!$K$183)/(Driver!$L$183-Driver!$K$183)</f>
        <v/>
      </c>
      <c r="AO813" s="108" t="n"/>
      <c r="AP813" s="108" t="n"/>
      <c r="AQ813" s="108">
        <f>(BC813-Driver!$K$188)/(Driver!$L$188-Driver!$K$188)</f>
        <v/>
      </c>
      <c r="AR813" s="108">
        <f>MIN((BD813-Driver!$K$189)/(Driver!$L$189-Driver!$K$189),100%)</f>
        <v/>
      </c>
      <c r="AS813" s="108">
        <f>(BE813-Driver!$K$190)/(Driver!$L$190-Driver!$K$190)</f>
        <v/>
      </c>
      <c r="AT813" s="108">
        <f>(BF813-Driver!$K$191)/(Driver!$L$191-Driver!$K$191)</f>
        <v/>
      </c>
      <c r="AU813" s="108">
        <f>(BG813-Driver!$K$192)/(Driver!$L$192-Driver!$K$192)</f>
        <v/>
      </c>
      <c r="AV813" s="105">
        <f>IFERROR(BM813*BJ813^1/4,"")</f>
        <v/>
      </c>
      <c r="AW813" s="105">
        <f>IFERROR(SUM(AX813:AZ813),"")</f>
        <v/>
      </c>
      <c r="AX813" s="105">
        <f>IFERROR(BH813,"")</f>
        <v/>
      </c>
      <c r="AY813" s="105">
        <f>IFERROR(Driver!$K$19/Data!BH813/Data!BI813*Data!BK813*Data!BL813,"")</f>
        <v/>
      </c>
      <c r="AZ813" s="105">
        <f>IFERROR(BI813*BN813,"")</f>
        <v/>
      </c>
      <c r="BA813" s="105" t="n"/>
      <c r="BB813" s="105" t="n"/>
      <c r="BC813" s="105">
        <f>IFERROR(BI813*BN813*BK813/BJ813^(1/2),"")</f>
        <v/>
      </c>
      <c r="BD813" s="105">
        <f>IFERROR(BH813*BM813*BL813/BJ813/BK813,"")</f>
        <v/>
      </c>
      <c r="BE813" s="105">
        <f>IFERROR(MIN(BI813/BQ813/BP813/BO813/BH813,$BE$1),"")</f>
        <v/>
      </c>
      <c r="BF813" s="105">
        <f>IFERROR(BJ813*BO813*BP813/BK813,"")</f>
        <v/>
      </c>
      <c r="BG813" s="105">
        <f>IFERROR(1/BM813/BH813*BQ813,"")</f>
        <v/>
      </c>
      <c r="BH813" s="102">
        <f>MAX((CE813-Driver!$F$200)/(Driver!$G$200-Driver!$F$200)*$BI$1,1)</f>
        <v/>
      </c>
      <c r="BI813" s="102">
        <f>MAX($BI$1*(BY813-Driver!$F$201)/(Driver!$G$201-Driver!$F$201),1)</f>
        <v/>
      </c>
      <c r="BJ813" s="102">
        <f>(CB813-Driver!$F$206)/(Driver!$G$206-Driver!$F$206)*$BI$1</f>
        <v/>
      </c>
      <c r="BK813" s="102">
        <f>(CD813-Driver!$F$203)/(Driver!$G$203-Driver!$F$203)*$BI$1</f>
        <v/>
      </c>
      <c r="BL813" s="102">
        <f>MAX((CR813-Driver!$F$202)/(Driver!$G$202-Driver!$F$202)*$BI$1,1)</f>
        <v/>
      </c>
      <c r="BM813" s="102">
        <f>MAX((CH813-Driver!$F$204)/(Driver!$G$204-Driver!$F$204)*$BI$1,1)</f>
        <v/>
      </c>
      <c r="BN813" s="102">
        <f>(CI813-Driver!$F$205)/(Driver!$G$205-Driver!$F$205)*$BI$1</f>
        <v/>
      </c>
      <c r="BO813" s="102">
        <f>(CK813-Driver!$F$207)/(Driver!$G$207-Driver!$F$207)*$BI$1</f>
        <v/>
      </c>
      <c r="BP813" s="102">
        <f>(CM813-Driver!$F$208)/(Driver!$G$208-Driver!$F$208)*$BI$1</f>
        <v/>
      </c>
      <c r="BQ813" s="102">
        <f>(CL813-Driver!$F$209)/(Driver!$G$209-Driver!$F$209)*$BI$1</f>
        <v/>
      </c>
      <c r="BR813" s="40" t="inlineStr">
        <is>
          <t>21/22</t>
        </is>
      </c>
      <c r="BS813" s="10" t="inlineStr">
        <is>
          <t xml:space="preserve"> Nordica</t>
        </is>
      </c>
      <c r="BT813" s="11" t="inlineStr">
        <is>
          <t>Enforcer 104 Free</t>
        </is>
      </c>
      <c r="BU813" s="13" t="n">
        <v>172</v>
      </c>
      <c r="BV813" s="11" t="inlineStr">
        <is>
          <t xml:space="preserve"> Unisex</t>
        </is>
      </c>
      <c r="BW813" s="13" t="n">
        <v>172</v>
      </c>
      <c r="BX813" s="13" t="n">
        <v>171.4</v>
      </c>
      <c r="BY813" s="13" t="n">
        <v>119</v>
      </c>
      <c r="BZ813" s="13" t="n">
        <v>140</v>
      </c>
      <c r="CA813" s="13" t="n">
        <v>135</v>
      </c>
      <c r="CB813" s="13" t="n">
        <v>104</v>
      </c>
      <c r="CC813" s="13" t="n">
        <v>125</v>
      </c>
      <c r="CD813" s="13" t="n">
        <v>16.4</v>
      </c>
      <c r="CE813" s="13" t="n">
        <v>2045</v>
      </c>
      <c r="CF813" s="13" t="n">
        <v>0.96</v>
      </c>
      <c r="CG813" s="13" t="n">
        <v>1954</v>
      </c>
      <c r="CH813" s="13" t="n">
        <v>203</v>
      </c>
      <c r="CI813" s="13" t="n">
        <v>141</v>
      </c>
      <c r="CJ813" s="13" t="n">
        <v>52</v>
      </c>
      <c r="CK813" s="13" t="n">
        <v>293</v>
      </c>
      <c r="CL813" s="13" t="n">
        <v>32</v>
      </c>
      <c r="CM813" s="13" t="n">
        <v>234</v>
      </c>
      <c r="CN813" s="13" t="n">
        <v>0.621</v>
      </c>
      <c r="CO813" s="13" t="n">
        <v>151</v>
      </c>
      <c r="CP813" s="13" t="n">
        <v>164</v>
      </c>
      <c r="CQ813" s="13" t="n">
        <v>142</v>
      </c>
      <c r="CR813" s="13" t="n">
        <v>7</v>
      </c>
      <c r="CS813" s="13" t="n">
        <v>8.800000000000001</v>
      </c>
      <c r="CT813" s="11" t="inlineStr">
        <is>
          <t xml:space="preserve"> Resort Freeride</t>
        </is>
      </c>
      <c r="CU813" s="11" t="inlineStr">
        <is>
          <t xml:space="preserve"> Powder</t>
        </is>
      </c>
      <c r="CV813" s="13" t="n"/>
      <c r="CW813" s="13" t="n"/>
      <c r="CX813">
        <f>INDEX('Data_Price '!AG$2:AG$1266,MATCH(Data!$DN813,'Data_Price '!$AT$2:$AT$1266,0))</f>
        <v/>
      </c>
      <c r="CY813">
        <f>INDEX('Data_Price '!AH$2:AH$1266,MATCH(Data!$DN813,'Data_Price '!$AT$2:$AT$1266,0))</f>
        <v/>
      </c>
      <c r="CZ813">
        <f>INDEX('Data_Price '!AI$2:AI$1266,MATCH(Data!$DN813,'Data_Price '!$AT$2:$AT$1266,0))</f>
        <v/>
      </c>
      <c r="DA813">
        <f>INDEX('Data_Price '!AJ$2:AJ$1266,MATCH(Data!$DN813,'Data_Price '!$AT$2:$AT$1266,0))</f>
        <v/>
      </c>
      <c r="DB813">
        <f>INDEX('Data_Price '!AK$2:AK$1266,MATCH(Data!$DN813,'Data_Price '!$AT$2:$AT$1266,0))</f>
        <v/>
      </c>
      <c r="DC813">
        <f>INDEX('Data_Price '!AL$2:AL$1266,MATCH(Data!$DN813,'Data_Price '!$AT$2:$AT$1266,0))</f>
        <v/>
      </c>
      <c r="DD813">
        <f>INDEX('Data_Price '!AM$2:AM$1266,MATCH(Data!$DN813,'Data_Price '!$AT$2:$AT$1266,0))</f>
        <v/>
      </c>
      <c r="DE813">
        <f>INDEX('Data_Price '!AN$2:AN$1266,MATCH(Data!$DN813,'Data_Price '!$AT$2:$AT$1266,0))</f>
        <v/>
      </c>
      <c r="DF813">
        <f>INDEX('Data_Price '!AO$2:AO$1266,MATCH(Data!$DN813,'Data_Price '!$AT$2:$AT$1266,0))</f>
        <v/>
      </c>
      <c r="DG813">
        <f>INDEX('Data_Price '!AP$2:AP$1266,MATCH(Data!$DN813,'Data_Price '!$AT$2:$AT$1266,0))</f>
        <v/>
      </c>
      <c r="DH813">
        <f>INDEX('Data_Price '!AQ$2:AQ$1266,MATCH(Data!$DN813,'Data_Price '!$AT$2:$AT$1266,0))</f>
        <v/>
      </c>
      <c r="DI813">
        <f>INDEX('Data_Price '!AR$2:AR$1266,MATCH(Data!$DN813,'Data_Price '!$AT$2:$AT$1266,0))</f>
        <v/>
      </c>
      <c r="DJ813" s="138">
        <f>DA813</f>
        <v/>
      </c>
      <c r="DK813" s="138">
        <f>DE813</f>
        <v/>
      </c>
      <c r="DL813" s="138">
        <f>DI813</f>
        <v/>
      </c>
      <c r="DM813" s="303">
        <f>IF(LEFT(BT813,1)=" ",RIGHT(BT813,LEN(BT813)-1),BT813)</f>
        <v/>
      </c>
      <c r="DN813" s="138">
        <f>_xlfn.CONCAT(BS813,DM813,BU813,BV813)</f>
        <v/>
      </c>
      <c r="DO813" s="307" t="inlineStr">
        <is>
          <t>https://images.evo.com/imgp/250/198260/792330/clone.jpg</t>
        </is>
      </c>
    </row>
    <row r="814" ht="15.6" customHeight="1" s="184">
      <c r="B814" s="303">
        <f t="array" ref="B814">IF(OR(ISERROR(K814:P814)),FALSE,TRUE)</f>
        <v/>
      </c>
      <c r="C814" s="60">
        <f>OR(BR814=Driver!$G$50,Data!BR792=Driver!$H$50)</f>
        <v/>
      </c>
      <c r="D814" s="60">
        <f>OR(BV814=Driver!$G$51,BV814=Driver!$H$51)</f>
        <v/>
      </c>
      <c r="E814" s="60">
        <f>AND(BX814&gt;Driver!$F$54,BX814&lt;Driver!$G$54)</f>
        <v/>
      </c>
      <c r="F814" s="60">
        <f>CL814&gt;Driver!$F$56</f>
        <v/>
      </c>
      <c r="G814" s="60">
        <f>AND(CB814&gt;Driver!$F$55,CB814&lt;Driver!$G$55)</f>
        <v/>
      </c>
      <c r="H814" s="60">
        <f>AND(B814:G814)</f>
        <v/>
      </c>
      <c r="I814" s="60">
        <f>COUNTIFS($H$9:$H$1273,TRUE,$BT$9:$BT$1273,BT814)</f>
        <v/>
      </c>
      <c r="J814" s="60">
        <f t="array" ref="J814">NOT(OR(($H$9:$H$1273=TRUE)*($I$9:$I$1273&gt;0)*($BT$9:$BT$1273=BT814)*($K$9:$K$1273&gt;K814)))</f>
        <v/>
      </c>
      <c r="K814" s="108">
        <f>IFERROR(1-AVERAGE(X814:Y814),"")</f>
        <v/>
      </c>
      <c r="L814" s="108">
        <f>1-X814</f>
        <v/>
      </c>
      <c r="M814" s="108">
        <f>1-Y814</f>
        <v/>
      </c>
      <c r="N814" s="108">
        <f>1-Z814</f>
        <v/>
      </c>
      <c r="O814" s="108">
        <f>1-AA814</f>
        <v/>
      </c>
      <c r="P814" s="108">
        <f>1-AB814</f>
        <v/>
      </c>
      <c r="Q814" s="108" t="n"/>
      <c r="R814" s="108" t="n"/>
      <c r="S814" s="108">
        <f>1-AE814</f>
        <v/>
      </c>
      <c r="T814" s="108">
        <f>1-AF814</f>
        <v/>
      </c>
      <c r="U814" s="108">
        <f>1-AG814</f>
        <v/>
      </c>
      <c r="V814" s="108">
        <f>1-AH814</f>
        <v/>
      </c>
      <c r="W814" s="108">
        <f>1-AI814</f>
        <v/>
      </c>
      <c r="X814" s="108">
        <f>ABS(AJ814-AJ$1)</f>
        <v/>
      </c>
      <c r="Y814" s="108">
        <f>AVERAGE(Z814:AB814)</f>
        <v/>
      </c>
      <c r="Z814" s="108">
        <f>ABS(AL814-AL$1)</f>
        <v/>
      </c>
      <c r="AA814" s="108">
        <f>ABS(AM814-AM$1)</f>
        <v/>
      </c>
      <c r="AB814" s="108">
        <f>ABS(AN814-AN$1)</f>
        <v/>
      </c>
      <c r="AC814" s="108" t="n"/>
      <c r="AD814" s="108" t="n"/>
      <c r="AE814" s="108">
        <f>ABS(AQ$1-AQ814)</f>
        <v/>
      </c>
      <c r="AF814" s="108">
        <f>ABS(AR$1-AR814)</f>
        <v/>
      </c>
      <c r="AG814" s="108">
        <f>ABS(AS$1-AS814)</f>
        <v/>
      </c>
      <c r="AH814" s="108">
        <f>ABS(AT$1-AT814)</f>
        <v/>
      </c>
      <c r="AI814" s="108">
        <f>ABS(AU$1-AU814)</f>
        <v/>
      </c>
      <c r="AJ814" s="108">
        <f>(AV814-Driver!$K$179)/(Driver!$L$179-Driver!$K$179)</f>
        <v/>
      </c>
      <c r="AK814" s="108">
        <f>(AW814-Driver!$K$180)/(Driver!$L$180-Driver!$K$180)</f>
        <v/>
      </c>
      <c r="AL814" s="108">
        <f>(AX814-Driver!$K$181)/(Driver!$L$181-Driver!$K$181)</f>
        <v/>
      </c>
      <c r="AM814" s="108">
        <f>(AY814-Driver!$K$182)/(Driver!$L$182-Driver!$K$182)</f>
        <v/>
      </c>
      <c r="AN814" s="108">
        <f>(AZ814-Driver!$K$183)/(Driver!$L$183-Driver!$K$183)</f>
        <v/>
      </c>
      <c r="AO814" s="108" t="n"/>
      <c r="AP814" s="108" t="n"/>
      <c r="AQ814" s="108">
        <f>(BC814-Driver!$K$188)/(Driver!$L$188-Driver!$K$188)</f>
        <v/>
      </c>
      <c r="AR814" s="108">
        <f>MIN((BD814-Driver!$K$189)/(Driver!$L$189-Driver!$K$189),100%)</f>
        <v/>
      </c>
      <c r="AS814" s="108">
        <f>(BE814-Driver!$K$190)/(Driver!$L$190-Driver!$K$190)</f>
        <v/>
      </c>
      <c r="AT814" s="108">
        <f>(BF814-Driver!$K$191)/(Driver!$L$191-Driver!$K$191)</f>
        <v/>
      </c>
      <c r="AU814" s="108">
        <f>(BG814-Driver!$K$192)/(Driver!$L$192-Driver!$K$192)</f>
        <v/>
      </c>
      <c r="AV814" s="105">
        <f>IFERROR(BM814*BJ814^1/4,"")</f>
        <v/>
      </c>
      <c r="AW814" s="105">
        <f>IFERROR(SUM(AX814:AZ814),"")</f>
        <v/>
      </c>
      <c r="AX814" s="105">
        <f>IFERROR(BH814,"")</f>
        <v/>
      </c>
      <c r="AY814" s="105">
        <f>IFERROR(Driver!$K$19/Data!BH814/Data!BI814*Data!BK814*Data!BL814,"")</f>
        <v/>
      </c>
      <c r="AZ814" s="105">
        <f>IFERROR(BI814*BN814,"")</f>
        <v/>
      </c>
      <c r="BA814" s="105" t="n"/>
      <c r="BB814" s="105" t="n"/>
      <c r="BC814" s="105">
        <f>IFERROR(BI814*BN814*BK814/BJ814^(1/2),"")</f>
        <v/>
      </c>
      <c r="BD814" s="105">
        <f>IFERROR(BH814*BM814*BL814/BJ814/BK814,"")</f>
        <v/>
      </c>
      <c r="BE814" s="105">
        <f>IFERROR(MIN(BI814/BQ814/BP814/BO814/BH814,$BE$1),"")</f>
        <v/>
      </c>
      <c r="BF814" s="105">
        <f>IFERROR(BJ814*BO814*BP814/BK814,"")</f>
        <v/>
      </c>
      <c r="BG814" s="105">
        <f>IFERROR(1/BM814/BH814*BQ814,"")</f>
        <v/>
      </c>
      <c r="BH814" s="102">
        <f>MAX((CE814-Driver!$F$200)/(Driver!$G$200-Driver!$F$200)*$BI$1,1)</f>
        <v/>
      </c>
      <c r="BI814" s="102">
        <f>MAX($BI$1*(BY814-Driver!$F$201)/(Driver!$G$201-Driver!$F$201),1)</f>
        <v/>
      </c>
      <c r="BJ814" s="102">
        <f>(CB814-Driver!$F$206)/(Driver!$G$206-Driver!$F$206)*$BI$1</f>
        <v/>
      </c>
      <c r="BK814" s="102">
        <f>(CD814-Driver!$F$203)/(Driver!$G$203-Driver!$F$203)*$BI$1</f>
        <v/>
      </c>
      <c r="BL814" s="102">
        <f>MAX((CR814-Driver!$F$202)/(Driver!$G$202-Driver!$F$202)*$BI$1,1)</f>
        <v/>
      </c>
      <c r="BM814" s="102">
        <f>MAX((CH814-Driver!$F$204)/(Driver!$G$204-Driver!$F$204)*$BI$1,1)</f>
        <v/>
      </c>
      <c r="BN814" s="102">
        <f>(CI814-Driver!$F$205)/(Driver!$G$205-Driver!$F$205)*$BI$1</f>
        <v/>
      </c>
      <c r="BO814" s="102">
        <f>(CK814-Driver!$F$207)/(Driver!$G$207-Driver!$F$207)*$BI$1</f>
        <v/>
      </c>
      <c r="BP814" s="102">
        <f>(CM814-Driver!$F$208)/(Driver!$G$208-Driver!$F$208)*$BI$1</f>
        <v/>
      </c>
      <c r="BQ814" s="102">
        <f>(CL814-Driver!$F$209)/(Driver!$G$209-Driver!$F$209)*$BI$1</f>
        <v/>
      </c>
      <c r="BR814" s="40" t="inlineStr">
        <is>
          <t>21/22</t>
        </is>
      </c>
      <c r="BS814" s="10" t="inlineStr">
        <is>
          <t xml:space="preserve"> K2</t>
        </is>
      </c>
      <c r="BT814" s="11" t="inlineStr">
        <is>
          <t>Wayback 88</t>
        </is>
      </c>
      <c r="BU814" s="13" t="n">
        <v>174</v>
      </c>
      <c r="BV814" s="11" t="inlineStr">
        <is>
          <t xml:space="preserve"> Unisex</t>
        </is>
      </c>
      <c r="BW814" s="13" t="n">
        <v>174</v>
      </c>
      <c r="BX814" s="13" t="n">
        <v>173.8</v>
      </c>
      <c r="BY814" s="13" t="n">
        <v>133</v>
      </c>
      <c r="BZ814" s="13" t="n">
        <v>148</v>
      </c>
      <c r="CA814" s="13" t="n">
        <v>120</v>
      </c>
      <c r="CB814" s="13" t="n">
        <v>87</v>
      </c>
      <c r="CC814" s="13" t="n">
        <v>108</v>
      </c>
      <c r="CD814" s="13" t="n">
        <v>19.7</v>
      </c>
      <c r="CE814" s="13" t="n">
        <v>1235</v>
      </c>
      <c r="CF814" s="13" t="n">
        <v>1.37</v>
      </c>
      <c r="CG814" s="13" t="n">
        <v>1691</v>
      </c>
      <c r="CH814" s="13" t="n">
        <v>179</v>
      </c>
      <c r="CI814" s="13" t="n">
        <v>75</v>
      </c>
      <c r="CJ814" s="13" t="n">
        <v>45</v>
      </c>
      <c r="CK814" s="13" t="n">
        <v>273</v>
      </c>
      <c r="CL814" s="13" t="n">
        <v>7</v>
      </c>
      <c r="CM814" s="13" t="n">
        <v>133</v>
      </c>
      <c r="CN814" s="13" t="n">
        <v>0.156</v>
      </c>
      <c r="CO814" s="13" t="n">
        <v>154</v>
      </c>
      <c r="CP814" s="13" t="n">
        <v>102</v>
      </c>
      <c r="CQ814" s="13" t="n">
        <v>118</v>
      </c>
      <c r="CR814" s="13" t="n">
        <v>7</v>
      </c>
      <c r="CS814" s="13" t="n">
        <v>11.4</v>
      </c>
      <c r="CT814" s="11" t="inlineStr">
        <is>
          <t xml:space="preserve"> Touring</t>
        </is>
      </c>
      <c r="CU814" s="11" t="inlineStr">
        <is>
          <t xml:space="preserve"> Ultralight Touring</t>
        </is>
      </c>
      <c r="CV814" s="13" t="n"/>
      <c r="CW814" s="13" t="n"/>
      <c r="CX814">
        <f>INDEX('Data_Price '!AG$2:AG$1266,MATCH(Data!$DN814,'Data_Price '!$AT$2:$AT$1266,0))</f>
        <v/>
      </c>
      <c r="CY814">
        <f>INDEX('Data_Price '!AH$2:AH$1266,MATCH(Data!$DN814,'Data_Price '!$AT$2:$AT$1266,0))</f>
        <v/>
      </c>
      <c r="CZ814">
        <f>INDEX('Data_Price '!AI$2:AI$1266,MATCH(Data!$DN814,'Data_Price '!$AT$2:$AT$1266,0))</f>
        <v/>
      </c>
      <c r="DA814">
        <f>INDEX('Data_Price '!AJ$2:AJ$1266,MATCH(Data!$DN814,'Data_Price '!$AT$2:$AT$1266,0))</f>
        <v/>
      </c>
      <c r="DB814">
        <f>INDEX('Data_Price '!AK$2:AK$1266,MATCH(Data!$DN814,'Data_Price '!$AT$2:$AT$1266,0))</f>
        <v/>
      </c>
      <c r="DC814">
        <f>INDEX('Data_Price '!AL$2:AL$1266,MATCH(Data!$DN814,'Data_Price '!$AT$2:$AT$1266,0))</f>
        <v/>
      </c>
      <c r="DD814">
        <f>INDEX('Data_Price '!AM$2:AM$1266,MATCH(Data!$DN814,'Data_Price '!$AT$2:$AT$1266,0))</f>
        <v/>
      </c>
      <c r="DE814">
        <f>INDEX('Data_Price '!AN$2:AN$1266,MATCH(Data!$DN814,'Data_Price '!$AT$2:$AT$1266,0))</f>
        <v/>
      </c>
      <c r="DF814">
        <f>INDEX('Data_Price '!AO$2:AO$1266,MATCH(Data!$DN814,'Data_Price '!$AT$2:$AT$1266,0))</f>
        <v/>
      </c>
      <c r="DG814">
        <f>INDEX('Data_Price '!AP$2:AP$1266,MATCH(Data!$DN814,'Data_Price '!$AT$2:$AT$1266,0))</f>
        <v/>
      </c>
      <c r="DH814">
        <f>INDEX('Data_Price '!AQ$2:AQ$1266,MATCH(Data!$DN814,'Data_Price '!$AT$2:$AT$1266,0))</f>
        <v/>
      </c>
      <c r="DI814">
        <f>INDEX('Data_Price '!AR$2:AR$1266,MATCH(Data!$DN814,'Data_Price '!$AT$2:$AT$1266,0))</f>
        <v/>
      </c>
      <c r="DJ814" s="138">
        <f>DA814</f>
        <v/>
      </c>
      <c r="DK814" s="138">
        <f>DE814</f>
        <v/>
      </c>
      <c r="DL814" s="138">
        <f>DI814</f>
        <v/>
      </c>
      <c r="DM814" s="303">
        <f>IF(LEFT(BT814,1)=" ",RIGHT(BT814,LEN(BT814)-1),BT814)</f>
        <v/>
      </c>
      <c r="DN814" s="138">
        <f>_xlfn.CONCAT(BS814,DM814,BU814,BV814)</f>
        <v/>
      </c>
      <c r="DO814" s="307" t="n"/>
    </row>
    <row r="815" ht="15.6" customHeight="1" s="184">
      <c r="B815" s="303">
        <f t="array" ref="B815">IF(OR(ISERROR(K815:P815)),FALSE,TRUE)</f>
        <v/>
      </c>
      <c r="C815" s="60">
        <f>OR(BR815=Driver!$G$50,Data!BR905=Driver!$H$50)</f>
        <v/>
      </c>
      <c r="D815" s="60">
        <f>OR(BV815=Driver!$G$51,BV815=Driver!$H$51)</f>
        <v/>
      </c>
      <c r="E815" s="60">
        <f>AND(BX815&gt;Driver!$F$54,BX815&lt;Driver!$G$54)</f>
        <v/>
      </c>
      <c r="F815" s="60">
        <f>CL815&gt;Driver!$F$56</f>
        <v/>
      </c>
      <c r="G815" s="60">
        <f>AND(CB815&gt;Driver!$F$55,CB815&lt;Driver!$G$55)</f>
        <v/>
      </c>
      <c r="H815" s="60">
        <f>AND(B815:G815)</f>
        <v/>
      </c>
      <c r="I815" s="60">
        <f>COUNTIFS($H$9:$H$1273,TRUE,$BT$9:$BT$1273,BT815)</f>
        <v/>
      </c>
      <c r="J815" s="60">
        <f t="array" ref="J815">NOT(OR(($H$9:$H$1273=TRUE)*($I$9:$I$1273&gt;0)*($BT$9:$BT$1273=BT815)*($K$9:$K$1273&gt;K815)))</f>
        <v/>
      </c>
      <c r="K815" s="108">
        <f>IFERROR(1-AVERAGE(X815:Y815),"")</f>
        <v/>
      </c>
      <c r="L815" s="108">
        <f>1-X815</f>
        <v/>
      </c>
      <c r="M815" s="108">
        <f>1-Y815</f>
        <v/>
      </c>
      <c r="N815" s="108">
        <f>1-Z815</f>
        <v/>
      </c>
      <c r="O815" s="108">
        <f>1-AA815</f>
        <v/>
      </c>
      <c r="P815" s="108">
        <f>1-AB815</f>
        <v/>
      </c>
      <c r="Q815" s="108" t="n"/>
      <c r="R815" s="108" t="n"/>
      <c r="S815" s="108">
        <f>1-AE815</f>
        <v/>
      </c>
      <c r="T815" s="108">
        <f>1-AF815</f>
        <v/>
      </c>
      <c r="U815" s="108">
        <f>1-AG815</f>
        <v/>
      </c>
      <c r="V815" s="108">
        <f>1-AH815</f>
        <v/>
      </c>
      <c r="W815" s="108">
        <f>1-AI815</f>
        <v/>
      </c>
      <c r="X815" s="108">
        <f>ABS(AJ815-AJ$1)</f>
        <v/>
      </c>
      <c r="Y815" s="108">
        <f>AVERAGE(Z815:AB815)</f>
        <v/>
      </c>
      <c r="Z815" s="108">
        <f>ABS(AL815-AL$1)</f>
        <v/>
      </c>
      <c r="AA815" s="108">
        <f>ABS(AM815-AM$1)</f>
        <v/>
      </c>
      <c r="AB815" s="108">
        <f>ABS(AN815-AN$1)</f>
        <v/>
      </c>
      <c r="AC815" s="108" t="n"/>
      <c r="AD815" s="108" t="n"/>
      <c r="AE815" s="108">
        <f>ABS(AQ$1-AQ815)</f>
        <v/>
      </c>
      <c r="AF815" s="108">
        <f>ABS(AR$1-AR815)</f>
        <v/>
      </c>
      <c r="AG815" s="108">
        <f>ABS(AS$1-AS815)</f>
        <v/>
      </c>
      <c r="AH815" s="108">
        <f>ABS(AT$1-AT815)</f>
        <v/>
      </c>
      <c r="AI815" s="108">
        <f>ABS(AU$1-AU815)</f>
        <v/>
      </c>
      <c r="AJ815" s="108">
        <f>(AV815-Driver!$K$179)/(Driver!$L$179-Driver!$K$179)</f>
        <v/>
      </c>
      <c r="AK815" s="108">
        <f>(AW815-Driver!$K$180)/(Driver!$L$180-Driver!$K$180)</f>
        <v/>
      </c>
      <c r="AL815" s="108">
        <f>(AX815-Driver!$K$181)/(Driver!$L$181-Driver!$K$181)</f>
        <v/>
      </c>
      <c r="AM815" s="108">
        <f>(AY815-Driver!$K$182)/(Driver!$L$182-Driver!$K$182)</f>
        <v/>
      </c>
      <c r="AN815" s="108">
        <f>(AZ815-Driver!$K$183)/(Driver!$L$183-Driver!$K$183)</f>
        <v/>
      </c>
      <c r="AO815" s="108" t="n"/>
      <c r="AP815" s="108" t="n"/>
      <c r="AQ815" s="108">
        <f>(BC815-Driver!$K$188)/(Driver!$L$188-Driver!$K$188)</f>
        <v/>
      </c>
      <c r="AR815" s="108">
        <f>MIN((BD815-Driver!$K$189)/(Driver!$L$189-Driver!$K$189),100%)</f>
        <v/>
      </c>
      <c r="AS815" s="108">
        <f>(BE815-Driver!$K$190)/(Driver!$L$190-Driver!$K$190)</f>
        <v/>
      </c>
      <c r="AT815" s="108">
        <f>(BF815-Driver!$K$191)/(Driver!$L$191-Driver!$K$191)</f>
        <v/>
      </c>
      <c r="AU815" s="108">
        <f>(BG815-Driver!$K$192)/(Driver!$L$192-Driver!$K$192)</f>
        <v/>
      </c>
      <c r="AV815" s="105">
        <f>IFERROR(BM815*BJ815^1/4,"")</f>
        <v/>
      </c>
      <c r="AW815" s="105">
        <f>IFERROR(SUM(AX815:AZ815),"")</f>
        <v/>
      </c>
      <c r="AX815" s="105">
        <f>IFERROR(BH815,"")</f>
        <v/>
      </c>
      <c r="AY815" s="105">
        <f>IFERROR(Driver!$K$19/Data!BH815/Data!BI815*Data!BK815*Data!BL815,"")</f>
        <v/>
      </c>
      <c r="AZ815" s="105">
        <f>IFERROR(BI815*BN815,"")</f>
        <v/>
      </c>
      <c r="BA815" s="105" t="n"/>
      <c r="BB815" s="105" t="n"/>
      <c r="BC815" s="105">
        <f>IFERROR(BI815*BN815*BK815/BJ815^(1/2),"")</f>
        <v/>
      </c>
      <c r="BD815" s="105">
        <f>IFERROR(BH815*BM815*BL815/BJ815/BK815,"")</f>
        <v/>
      </c>
      <c r="BE815" s="105">
        <f>IFERROR(MIN(BI815/BQ815/BP815/BO815/BH815,$BE$1),"")</f>
        <v/>
      </c>
      <c r="BF815" s="105">
        <f>IFERROR(BJ815*BO815*BP815/BK815,"")</f>
        <v/>
      </c>
      <c r="BG815" s="105">
        <f>IFERROR(1/BM815/BH815*BQ815,"")</f>
        <v/>
      </c>
      <c r="BH815" s="102">
        <f>MAX((CE815-Driver!$F$200)/(Driver!$G$200-Driver!$F$200)*$BI$1,1)</f>
        <v/>
      </c>
      <c r="BI815" s="102">
        <f>MAX($BI$1*(BY815-Driver!$F$201)/(Driver!$G$201-Driver!$F$201),1)</f>
        <v/>
      </c>
      <c r="BJ815" s="102">
        <f>(CB815-Driver!$F$206)/(Driver!$G$206-Driver!$F$206)*$BI$1</f>
        <v/>
      </c>
      <c r="BK815" s="102">
        <f>(CD815-Driver!$F$203)/(Driver!$G$203-Driver!$F$203)*$BI$1</f>
        <v/>
      </c>
      <c r="BL815" s="102">
        <f>MAX((CR815-Driver!$F$202)/(Driver!$G$202-Driver!$F$202)*$BI$1,1)</f>
        <v/>
      </c>
      <c r="BM815" s="102">
        <f>MAX((CH815-Driver!$F$204)/(Driver!$G$204-Driver!$F$204)*$BI$1,1)</f>
        <v/>
      </c>
      <c r="BN815" s="102">
        <f>(CI815-Driver!$F$205)/(Driver!$G$205-Driver!$F$205)*$BI$1</f>
        <v/>
      </c>
      <c r="BO815" s="102">
        <f>(CK815-Driver!$F$207)/(Driver!$G$207-Driver!$F$207)*$BI$1</f>
        <v/>
      </c>
      <c r="BP815" s="102">
        <f>(CM815-Driver!$F$208)/(Driver!$G$208-Driver!$F$208)*$BI$1</f>
        <v/>
      </c>
      <c r="BQ815" s="102">
        <f>(CL815-Driver!$F$209)/(Driver!$G$209-Driver!$F$209)*$BI$1</f>
        <v/>
      </c>
      <c r="BR815" s="40" t="inlineStr">
        <is>
          <t>21/22</t>
        </is>
      </c>
      <c r="BS815" s="10" t="inlineStr">
        <is>
          <t xml:space="preserve"> Nordica</t>
        </is>
      </c>
      <c r="BT815" s="11" t="inlineStr">
        <is>
          <t>Enforcer 88</t>
        </is>
      </c>
      <c r="BU815" s="13" t="n">
        <v>172</v>
      </c>
      <c r="BV815" s="11" t="inlineStr">
        <is>
          <t xml:space="preserve"> Unisex</t>
        </is>
      </c>
      <c r="BW815" s="13" t="n">
        <v>172</v>
      </c>
      <c r="BX815" s="13" t="n">
        <v>171.3</v>
      </c>
      <c r="BY815" s="13" t="n">
        <v>128</v>
      </c>
      <c r="BZ815" s="13" t="n">
        <v>144</v>
      </c>
      <c r="CA815" s="13" t="n">
        <v>123</v>
      </c>
      <c r="CB815" s="13" t="n">
        <v>87</v>
      </c>
      <c r="CC815" s="13" t="n">
        <v>109</v>
      </c>
      <c r="CD815" s="13" t="n">
        <v>15.6</v>
      </c>
      <c r="CE815" s="13" t="n">
        <v>1963</v>
      </c>
      <c r="CF815" s="13" t="n">
        <v>0.87</v>
      </c>
      <c r="CG815" s="13" t="n">
        <v>1704</v>
      </c>
      <c r="CH815" s="13" t="n">
        <v>200</v>
      </c>
      <c r="CI815" s="13" t="n">
        <v>125</v>
      </c>
      <c r="CJ815" s="13" t="n">
        <v>54</v>
      </c>
      <c r="CK815" s="13" t="n">
        <v>264</v>
      </c>
      <c r="CL815" s="13" t="n">
        <v>9</v>
      </c>
      <c r="CM815" s="13" t="n">
        <v>168</v>
      </c>
      <c r="CN815" s="13" t="n">
        <v>0.176</v>
      </c>
      <c r="CO815" s="13" t="n">
        <v>124</v>
      </c>
      <c r="CP815" s="13" t="n">
        <v>152</v>
      </c>
      <c r="CQ815" s="13" t="n">
        <v>140</v>
      </c>
      <c r="CR815" s="13" t="n">
        <v>9</v>
      </c>
      <c r="CS815" s="13" t="n">
        <v>7.9</v>
      </c>
      <c r="CT815" s="11" t="inlineStr">
        <is>
          <t xml:space="preserve"> Resort Freeride</t>
        </is>
      </c>
      <c r="CU815" s="13" t="n"/>
      <c r="CV815" s="13" t="n"/>
      <c r="CW815" s="13" t="n"/>
      <c r="CX815">
        <f>INDEX('Data_Price '!AG$2:AG$1266,MATCH(Data!$DN815,'Data_Price '!$AT$2:$AT$1266,0))</f>
        <v/>
      </c>
      <c r="CY815">
        <f>INDEX('Data_Price '!AH$2:AH$1266,MATCH(Data!$DN815,'Data_Price '!$AT$2:$AT$1266,0))</f>
        <v/>
      </c>
      <c r="CZ815">
        <f>INDEX('Data_Price '!AI$2:AI$1266,MATCH(Data!$DN815,'Data_Price '!$AT$2:$AT$1266,0))</f>
        <v/>
      </c>
      <c r="DA815">
        <f>INDEX('Data_Price '!AJ$2:AJ$1266,MATCH(Data!$DN815,'Data_Price '!$AT$2:$AT$1266,0))</f>
        <v/>
      </c>
      <c r="DB815">
        <f>INDEX('Data_Price '!AK$2:AK$1266,MATCH(Data!$DN815,'Data_Price '!$AT$2:$AT$1266,0))</f>
        <v/>
      </c>
      <c r="DC815">
        <f>INDEX('Data_Price '!AL$2:AL$1266,MATCH(Data!$DN815,'Data_Price '!$AT$2:$AT$1266,0))</f>
        <v/>
      </c>
      <c r="DD815">
        <f>INDEX('Data_Price '!AM$2:AM$1266,MATCH(Data!$DN815,'Data_Price '!$AT$2:$AT$1266,0))</f>
        <v/>
      </c>
      <c r="DE815">
        <f>INDEX('Data_Price '!AN$2:AN$1266,MATCH(Data!$DN815,'Data_Price '!$AT$2:$AT$1266,0))</f>
        <v/>
      </c>
      <c r="DF815">
        <f>INDEX('Data_Price '!AO$2:AO$1266,MATCH(Data!$DN815,'Data_Price '!$AT$2:$AT$1266,0))</f>
        <v/>
      </c>
      <c r="DG815">
        <f>INDEX('Data_Price '!AP$2:AP$1266,MATCH(Data!$DN815,'Data_Price '!$AT$2:$AT$1266,0))</f>
        <v/>
      </c>
      <c r="DH815">
        <f>INDEX('Data_Price '!AQ$2:AQ$1266,MATCH(Data!$DN815,'Data_Price '!$AT$2:$AT$1266,0))</f>
        <v/>
      </c>
      <c r="DI815">
        <f>INDEX('Data_Price '!AR$2:AR$1266,MATCH(Data!$DN815,'Data_Price '!$AT$2:$AT$1266,0))</f>
        <v/>
      </c>
      <c r="DJ815" s="138">
        <f>DA815</f>
        <v/>
      </c>
      <c r="DK815" s="138">
        <f>DE815</f>
        <v/>
      </c>
      <c r="DL815" s="138">
        <f>DI815</f>
        <v/>
      </c>
      <c r="DM815" s="303">
        <f>IF(LEFT(BT815,1)=" ",RIGHT(BT815,LEN(BT815)-1),BT815)</f>
        <v/>
      </c>
      <c r="DN815" s="138">
        <f>_xlfn.CONCAT(BS815,DM815,BU815,BV815)</f>
        <v/>
      </c>
      <c r="DO815" s="307" t="n"/>
    </row>
    <row r="816" ht="15.6" customHeight="1" s="184">
      <c r="B816" s="303">
        <f t="array" ref="B816">IF(OR(ISERROR(K816:P816)),FALSE,TRUE)</f>
        <v/>
      </c>
      <c r="C816" s="60">
        <f>OR(BR816=Driver!$G$50,Data!BR145=Driver!$H$50)</f>
        <v/>
      </c>
      <c r="D816" s="60">
        <f>OR(BV816=Driver!$G$51,BV816=Driver!$H$51)</f>
        <v/>
      </c>
      <c r="E816" s="60">
        <f>AND(BX816&gt;Driver!$F$54,BX816&lt;Driver!$G$54)</f>
        <v/>
      </c>
      <c r="F816" s="60">
        <f>CL816&gt;Driver!$F$56</f>
        <v/>
      </c>
      <c r="G816" s="60">
        <f>AND(CB816&gt;Driver!$F$55,CB816&lt;Driver!$G$55)</f>
        <v/>
      </c>
      <c r="H816" s="60">
        <f>AND(B816:G816)</f>
        <v/>
      </c>
      <c r="I816" s="60">
        <f>COUNTIFS($H$9:$H$1273,TRUE,$BT$9:$BT$1273,BT816)</f>
        <v/>
      </c>
      <c r="J816" s="60">
        <f t="array" ref="J816">NOT(OR(($H$9:$H$1273=TRUE)*($I$9:$I$1273&gt;0)*($BT$9:$BT$1273=BT816)*($K$9:$K$1273&gt;K816)))</f>
        <v/>
      </c>
      <c r="K816" s="108">
        <f>IFERROR(1-AVERAGE(X816:Y816),"")</f>
        <v/>
      </c>
      <c r="L816" s="108">
        <f>1-X816</f>
        <v/>
      </c>
      <c r="M816" s="108">
        <f>1-Y816</f>
        <v/>
      </c>
      <c r="N816" s="108">
        <f>1-Z816</f>
        <v/>
      </c>
      <c r="O816" s="108">
        <f>1-AA816</f>
        <v/>
      </c>
      <c r="P816" s="108">
        <f>1-AB816</f>
        <v/>
      </c>
      <c r="Q816" s="108" t="n"/>
      <c r="R816" s="108" t="n"/>
      <c r="S816" s="108">
        <f>1-AE816</f>
        <v/>
      </c>
      <c r="T816" s="108">
        <f>1-AF816</f>
        <v/>
      </c>
      <c r="U816" s="108">
        <f>1-AG816</f>
        <v/>
      </c>
      <c r="V816" s="108">
        <f>1-AH816</f>
        <v/>
      </c>
      <c r="W816" s="108">
        <f>1-AI816</f>
        <v/>
      </c>
      <c r="X816" s="108">
        <f>ABS(AJ816-AJ$1)</f>
        <v/>
      </c>
      <c r="Y816" s="108">
        <f>AVERAGE(Z816:AB816)</f>
        <v/>
      </c>
      <c r="Z816" s="108">
        <f>ABS(AL816-AL$1)</f>
        <v/>
      </c>
      <c r="AA816" s="108">
        <f>ABS(AM816-AM$1)</f>
        <v/>
      </c>
      <c r="AB816" s="108">
        <f>ABS(AN816-AN$1)</f>
        <v/>
      </c>
      <c r="AC816" s="108" t="n"/>
      <c r="AD816" s="108" t="n"/>
      <c r="AE816" s="108">
        <f>ABS(AQ$1-AQ816)</f>
        <v/>
      </c>
      <c r="AF816" s="108">
        <f>ABS(AR$1-AR816)</f>
        <v/>
      </c>
      <c r="AG816" s="108">
        <f>ABS(AS$1-AS816)</f>
        <v/>
      </c>
      <c r="AH816" s="108">
        <f>ABS(AT$1-AT816)</f>
        <v/>
      </c>
      <c r="AI816" s="108">
        <f>ABS(AU$1-AU816)</f>
        <v/>
      </c>
      <c r="AJ816" s="108">
        <f>(AV816-Driver!$K$179)/(Driver!$L$179-Driver!$K$179)</f>
        <v/>
      </c>
      <c r="AK816" s="108">
        <f>(AW816-Driver!$K$180)/(Driver!$L$180-Driver!$K$180)</f>
        <v/>
      </c>
      <c r="AL816" s="108">
        <f>(AX816-Driver!$K$181)/(Driver!$L$181-Driver!$K$181)</f>
        <v/>
      </c>
      <c r="AM816" s="108">
        <f>(AY816-Driver!$K$182)/(Driver!$L$182-Driver!$K$182)</f>
        <v/>
      </c>
      <c r="AN816" s="108">
        <f>(AZ816-Driver!$K$183)/(Driver!$L$183-Driver!$K$183)</f>
        <v/>
      </c>
      <c r="AO816" s="108" t="n"/>
      <c r="AP816" s="108" t="n"/>
      <c r="AQ816" s="108">
        <f>(BC816-Driver!$K$188)/(Driver!$L$188-Driver!$K$188)</f>
        <v/>
      </c>
      <c r="AR816" s="108">
        <f>MIN((BD816-Driver!$K$189)/(Driver!$L$189-Driver!$K$189),100%)</f>
        <v/>
      </c>
      <c r="AS816" s="108">
        <f>(BE816-Driver!$K$190)/(Driver!$L$190-Driver!$K$190)</f>
        <v/>
      </c>
      <c r="AT816" s="108">
        <f>(BF816-Driver!$K$191)/(Driver!$L$191-Driver!$K$191)</f>
        <v/>
      </c>
      <c r="AU816" s="108">
        <f>(BG816-Driver!$K$192)/(Driver!$L$192-Driver!$K$192)</f>
        <v/>
      </c>
      <c r="AV816" s="105">
        <f>IFERROR(BM816*BJ816^1/4,"")</f>
        <v/>
      </c>
      <c r="AW816" s="105">
        <f>IFERROR(SUM(AX816:AZ816),"")</f>
        <v/>
      </c>
      <c r="AX816" s="105">
        <f>IFERROR(BH816,"")</f>
        <v/>
      </c>
      <c r="AY816" s="105">
        <f>IFERROR(Driver!$K$19/Data!BH816/Data!BI816*Data!BK816*Data!BL816,"")</f>
        <v/>
      </c>
      <c r="AZ816" s="105">
        <f>IFERROR(BI816*BN816,"")</f>
        <v/>
      </c>
      <c r="BA816" s="105" t="n"/>
      <c r="BB816" s="105" t="n"/>
      <c r="BC816" s="105">
        <f>IFERROR(BI816*BN816*BK816/BJ816^(1/2),"")</f>
        <v/>
      </c>
      <c r="BD816" s="105">
        <f>IFERROR(BH816*BM816*BL816/BJ816/BK816,"")</f>
        <v/>
      </c>
      <c r="BE816" s="105">
        <f>IFERROR(MIN(BI816/BQ816/BP816/BO816/BH816,$BE$1),"")</f>
        <v/>
      </c>
      <c r="BF816" s="105">
        <f>IFERROR(BJ816*BO816*BP816/BK816,"")</f>
        <v/>
      </c>
      <c r="BG816" s="105">
        <f>IFERROR(1/BM816/BH816*BQ816,"")</f>
        <v/>
      </c>
      <c r="BH816" s="102">
        <f>MAX((CE816-Driver!$F$200)/(Driver!$G$200-Driver!$F$200)*$BI$1,1)</f>
        <v/>
      </c>
      <c r="BI816" s="102">
        <f>MAX($BI$1*(BY816-Driver!$F$201)/(Driver!$G$201-Driver!$F$201),1)</f>
        <v/>
      </c>
      <c r="BJ816" s="102">
        <f>(CB816-Driver!$F$206)/(Driver!$G$206-Driver!$F$206)*$BI$1</f>
        <v/>
      </c>
      <c r="BK816" s="102">
        <f>(CD816-Driver!$F$203)/(Driver!$G$203-Driver!$F$203)*$BI$1</f>
        <v/>
      </c>
      <c r="BL816" s="102">
        <f>MAX((CR816-Driver!$F$202)/(Driver!$G$202-Driver!$F$202)*$BI$1,1)</f>
        <v/>
      </c>
      <c r="BM816" s="102">
        <f>MAX((CH816-Driver!$F$204)/(Driver!$G$204-Driver!$F$204)*$BI$1,1)</f>
        <v/>
      </c>
      <c r="BN816" s="102">
        <f>(CI816-Driver!$F$205)/(Driver!$G$205-Driver!$F$205)*$BI$1</f>
        <v/>
      </c>
      <c r="BO816" s="102">
        <f>(CK816-Driver!$F$207)/(Driver!$G$207-Driver!$F$207)*$BI$1</f>
        <v/>
      </c>
      <c r="BP816" s="102">
        <f>(CM816-Driver!$F$208)/(Driver!$G$208-Driver!$F$208)*$BI$1</f>
        <v/>
      </c>
      <c r="BQ816" s="102">
        <f>(CL816-Driver!$F$209)/(Driver!$G$209-Driver!$F$209)*$BI$1</f>
        <v/>
      </c>
      <c r="BR816" s="40" t="inlineStr">
        <is>
          <t>21/22</t>
        </is>
      </c>
      <c r="BS816" s="10" t="inlineStr">
        <is>
          <t xml:space="preserve"> Atomic</t>
        </is>
      </c>
      <c r="BT816" s="11" t="inlineStr">
        <is>
          <t>Cloud C9</t>
        </is>
      </c>
      <c r="BU816" s="13" t="n">
        <v>150</v>
      </c>
      <c r="BV816" s="11" t="inlineStr">
        <is>
          <t xml:space="preserve"> Women's</t>
        </is>
      </c>
      <c r="BW816" s="13" t="n">
        <v>150</v>
      </c>
      <c r="BX816" s="13" t="n">
        <v>149.7</v>
      </c>
      <c r="BY816" s="13" t="n">
        <v>132</v>
      </c>
      <c r="BZ816" s="13" t="n">
        <v>135</v>
      </c>
      <c r="CA816" s="13" t="n">
        <v>110</v>
      </c>
      <c r="CB816" s="13" t="n">
        <v>71</v>
      </c>
      <c r="CC816" s="13" t="n">
        <v>96</v>
      </c>
      <c r="CD816" s="13" t="n">
        <v>14.2</v>
      </c>
      <c r="CE816" s="13" t="n">
        <v>1528</v>
      </c>
      <c r="CF816" s="13" t="n">
        <v>0.82</v>
      </c>
      <c r="CG816" s="13" t="n">
        <v>1247</v>
      </c>
      <c r="CH816" s="13" t="n">
        <v>128</v>
      </c>
      <c r="CI816" s="13" t="n">
        <v>67</v>
      </c>
      <c r="CJ816" s="13" t="n">
        <v>30</v>
      </c>
      <c r="CK816" s="13" t="n">
        <v>134</v>
      </c>
      <c r="CL816" s="13" t="n">
        <v>4</v>
      </c>
      <c r="CM816" s="13" t="n">
        <v>47</v>
      </c>
      <c r="CN816" s="13" t="n">
        <v>0.119</v>
      </c>
      <c r="CO816" s="13" t="n">
        <v>95</v>
      </c>
      <c r="CP816" s="13" t="n">
        <v>55</v>
      </c>
      <c r="CQ816" s="13" t="n">
        <v>38</v>
      </c>
      <c r="CR816" s="13" t="n">
        <v>11</v>
      </c>
      <c r="CS816" s="13" t="n">
        <v>12.1</v>
      </c>
      <c r="CT816" s="11" t="inlineStr">
        <is>
          <t xml:space="preserve"> On-Piste Carving</t>
        </is>
      </c>
      <c r="CU816" s="11" t="inlineStr">
        <is>
          <t xml:space="preserve"> On-Piste All-Mountain</t>
        </is>
      </c>
      <c r="CV816" s="13" t="n"/>
      <c r="CW816" s="13" t="n"/>
      <c r="CX816">
        <f>INDEX('Data_Price '!AG$2:AG$1266,MATCH(Data!$DN816,'Data_Price '!$AT$2:$AT$1266,0))</f>
        <v/>
      </c>
      <c r="CY816">
        <f>INDEX('Data_Price '!AH$2:AH$1266,MATCH(Data!$DN816,'Data_Price '!$AT$2:$AT$1266,0))</f>
        <v/>
      </c>
      <c r="CZ816">
        <f>INDEX('Data_Price '!AI$2:AI$1266,MATCH(Data!$DN816,'Data_Price '!$AT$2:$AT$1266,0))</f>
        <v/>
      </c>
      <c r="DA816">
        <f>INDEX('Data_Price '!AJ$2:AJ$1266,MATCH(Data!$DN816,'Data_Price '!$AT$2:$AT$1266,0))</f>
        <v/>
      </c>
      <c r="DB816">
        <f>INDEX('Data_Price '!AK$2:AK$1266,MATCH(Data!$DN816,'Data_Price '!$AT$2:$AT$1266,0))</f>
        <v/>
      </c>
      <c r="DC816">
        <f>INDEX('Data_Price '!AL$2:AL$1266,MATCH(Data!$DN816,'Data_Price '!$AT$2:$AT$1266,0))</f>
        <v/>
      </c>
      <c r="DD816">
        <f>INDEX('Data_Price '!AM$2:AM$1266,MATCH(Data!$DN816,'Data_Price '!$AT$2:$AT$1266,0))</f>
        <v/>
      </c>
      <c r="DE816">
        <f>INDEX('Data_Price '!AN$2:AN$1266,MATCH(Data!$DN816,'Data_Price '!$AT$2:$AT$1266,0))</f>
        <v/>
      </c>
      <c r="DF816">
        <f>INDEX('Data_Price '!AO$2:AO$1266,MATCH(Data!$DN816,'Data_Price '!$AT$2:$AT$1266,0))</f>
        <v/>
      </c>
      <c r="DG816">
        <f>INDEX('Data_Price '!AP$2:AP$1266,MATCH(Data!$DN816,'Data_Price '!$AT$2:$AT$1266,0))</f>
        <v/>
      </c>
      <c r="DH816">
        <f>INDEX('Data_Price '!AQ$2:AQ$1266,MATCH(Data!$DN816,'Data_Price '!$AT$2:$AT$1266,0))</f>
        <v/>
      </c>
      <c r="DI816">
        <f>INDEX('Data_Price '!AR$2:AR$1266,MATCH(Data!$DN816,'Data_Price '!$AT$2:$AT$1266,0))</f>
        <v/>
      </c>
      <c r="DJ816" s="138">
        <f>DA816</f>
        <v/>
      </c>
      <c r="DK816" s="138">
        <f>DE816</f>
        <v/>
      </c>
      <c r="DL816" s="138">
        <f>DI816</f>
        <v/>
      </c>
      <c r="DM816" s="303">
        <f>IF(LEFT(BT816,1)=" ",RIGHT(BT816,LEN(BT816)-1),BT816)</f>
        <v/>
      </c>
      <c r="DN816" s="138">
        <f>_xlfn.CONCAT(BS816,DM816,BU816,BV816)</f>
        <v/>
      </c>
      <c r="DO816" s="307" t="inlineStr">
        <is>
          <t>https://images.evo.com/imgp/250/183368/826768/clone.jpg</t>
        </is>
      </c>
    </row>
    <row r="817" ht="15.6" customHeight="1" s="184">
      <c r="B817" s="303">
        <f t="array" ref="B817">IF(OR(ISERROR(K817:P817)),FALSE,TRUE)</f>
        <v/>
      </c>
      <c r="C817" s="60">
        <f>OR(BR817=Driver!$G$50,Data!BR948=Driver!$H$50)</f>
        <v/>
      </c>
      <c r="D817" s="60">
        <f>OR(BV817=Driver!$G$51,BV817=Driver!$H$51)</f>
        <v/>
      </c>
      <c r="E817" s="60">
        <f>AND(BX817&gt;Driver!$F$54,BX817&lt;Driver!$G$54)</f>
        <v/>
      </c>
      <c r="F817" s="60">
        <f>CL817&gt;Driver!$F$56</f>
        <v/>
      </c>
      <c r="G817" s="60">
        <f>AND(CB817&gt;Driver!$F$55,CB817&lt;Driver!$G$55)</f>
        <v/>
      </c>
      <c r="H817" s="60">
        <f>AND(B817:G817)</f>
        <v/>
      </c>
      <c r="I817" s="60">
        <f>COUNTIFS($H$9:$H$1273,TRUE,$BT$9:$BT$1273,BT817)</f>
        <v/>
      </c>
      <c r="J817" s="60">
        <f t="array" ref="J817">NOT(OR(($H$9:$H$1273=TRUE)*($I$9:$I$1273&gt;0)*($BT$9:$BT$1273=BT817)*($K$9:$K$1273&gt;K817)))</f>
        <v/>
      </c>
      <c r="K817" s="108">
        <f>IFERROR(1-AVERAGE(X817:Y817),"")</f>
        <v/>
      </c>
      <c r="L817" s="108">
        <f>1-X817</f>
        <v/>
      </c>
      <c r="M817" s="108">
        <f>1-Y817</f>
        <v/>
      </c>
      <c r="N817" s="108">
        <f>1-Z817</f>
        <v/>
      </c>
      <c r="O817" s="108">
        <f>1-AA817</f>
        <v/>
      </c>
      <c r="P817" s="108">
        <f>1-AB817</f>
        <v/>
      </c>
      <c r="Q817" s="108" t="n"/>
      <c r="R817" s="108" t="n"/>
      <c r="S817" s="108">
        <f>1-AE817</f>
        <v/>
      </c>
      <c r="T817" s="108">
        <f>1-AF817</f>
        <v/>
      </c>
      <c r="U817" s="108">
        <f>1-AG817</f>
        <v/>
      </c>
      <c r="V817" s="108">
        <f>1-AH817</f>
        <v/>
      </c>
      <c r="W817" s="108">
        <f>1-AI817</f>
        <v/>
      </c>
      <c r="X817" s="108">
        <f>ABS(AJ817-AJ$1)</f>
        <v/>
      </c>
      <c r="Y817" s="108">
        <f>AVERAGE(Z817:AB817)</f>
        <v/>
      </c>
      <c r="Z817" s="108">
        <f>ABS(AL817-AL$1)</f>
        <v/>
      </c>
      <c r="AA817" s="108">
        <f>ABS(AM817-AM$1)</f>
        <v/>
      </c>
      <c r="AB817" s="108">
        <f>ABS(AN817-AN$1)</f>
        <v/>
      </c>
      <c r="AC817" s="108" t="n"/>
      <c r="AD817" s="108" t="n"/>
      <c r="AE817" s="108">
        <f>ABS(AQ$1-AQ817)</f>
        <v/>
      </c>
      <c r="AF817" s="108">
        <f>ABS(AR$1-AR817)</f>
        <v/>
      </c>
      <c r="AG817" s="108">
        <f>ABS(AS$1-AS817)</f>
        <v/>
      </c>
      <c r="AH817" s="108">
        <f>ABS(AT$1-AT817)</f>
        <v/>
      </c>
      <c r="AI817" s="108">
        <f>ABS(AU$1-AU817)</f>
        <v/>
      </c>
      <c r="AJ817" s="108">
        <f>(AV817-Driver!$K$179)/(Driver!$L$179-Driver!$K$179)</f>
        <v/>
      </c>
      <c r="AK817" s="108">
        <f>(AW817-Driver!$K$180)/(Driver!$L$180-Driver!$K$180)</f>
        <v/>
      </c>
      <c r="AL817" s="108">
        <f>(AX817-Driver!$K$181)/(Driver!$L$181-Driver!$K$181)</f>
        <v/>
      </c>
      <c r="AM817" s="108">
        <f>(AY817-Driver!$K$182)/(Driver!$L$182-Driver!$K$182)</f>
        <v/>
      </c>
      <c r="AN817" s="108">
        <f>(AZ817-Driver!$K$183)/(Driver!$L$183-Driver!$K$183)</f>
        <v/>
      </c>
      <c r="AO817" s="108" t="n"/>
      <c r="AP817" s="108" t="n"/>
      <c r="AQ817" s="108">
        <f>(BC817-Driver!$K$188)/(Driver!$L$188-Driver!$K$188)</f>
        <v/>
      </c>
      <c r="AR817" s="108">
        <f>MIN((BD817-Driver!$K$189)/(Driver!$L$189-Driver!$K$189),100%)</f>
        <v/>
      </c>
      <c r="AS817" s="108">
        <f>(BE817-Driver!$K$190)/(Driver!$L$190-Driver!$K$190)</f>
        <v/>
      </c>
      <c r="AT817" s="108">
        <f>(BF817-Driver!$K$191)/(Driver!$L$191-Driver!$K$191)</f>
        <v/>
      </c>
      <c r="AU817" s="108">
        <f>(BG817-Driver!$K$192)/(Driver!$L$192-Driver!$K$192)</f>
        <v/>
      </c>
      <c r="AV817" s="105">
        <f>IFERROR(BM817*BJ817^1/4,"")</f>
        <v/>
      </c>
      <c r="AW817" s="105">
        <f>IFERROR(SUM(AX817:AZ817),"")</f>
        <v/>
      </c>
      <c r="AX817" s="105">
        <f>IFERROR(BH817,"")</f>
        <v/>
      </c>
      <c r="AY817" s="105">
        <f>IFERROR(Driver!$K$19/Data!BH817/Data!BI817*Data!BK817*Data!BL817,"")</f>
        <v/>
      </c>
      <c r="AZ817" s="105">
        <f>IFERROR(BI817*BN817,"")</f>
        <v/>
      </c>
      <c r="BA817" s="105" t="n"/>
      <c r="BB817" s="105" t="n"/>
      <c r="BC817" s="105">
        <f>IFERROR(BI817*BN817*BK817/BJ817^(1/2),"")</f>
        <v/>
      </c>
      <c r="BD817" s="105">
        <f>IFERROR(BH817*BM817*BL817/BJ817/BK817,"")</f>
        <v/>
      </c>
      <c r="BE817" s="105">
        <f>IFERROR(MIN(BI817/BQ817/BP817/BO817/BH817,$BE$1),"")</f>
        <v/>
      </c>
      <c r="BF817" s="105">
        <f>IFERROR(BJ817*BO817*BP817/BK817,"")</f>
        <v/>
      </c>
      <c r="BG817" s="105">
        <f>IFERROR(1/BM817/BH817*BQ817,"")</f>
        <v/>
      </c>
      <c r="BH817" s="102">
        <f>MAX((CE817-Driver!$F$200)/(Driver!$G$200-Driver!$F$200)*$BI$1,1)</f>
        <v/>
      </c>
      <c r="BI817" s="102">
        <f>MAX($BI$1*(BY817-Driver!$F$201)/(Driver!$G$201-Driver!$F$201),1)</f>
        <v/>
      </c>
      <c r="BJ817" s="102">
        <f>(CB817-Driver!$F$206)/(Driver!$G$206-Driver!$F$206)*$BI$1</f>
        <v/>
      </c>
      <c r="BK817" s="102">
        <f>(CD817-Driver!$F$203)/(Driver!$G$203-Driver!$F$203)*$BI$1</f>
        <v/>
      </c>
      <c r="BL817" s="102">
        <f>MAX((CR817-Driver!$F$202)/(Driver!$G$202-Driver!$F$202)*$BI$1,1)</f>
        <v/>
      </c>
      <c r="BM817" s="102">
        <f>MAX((CH817-Driver!$F$204)/(Driver!$G$204-Driver!$F$204)*$BI$1,1)</f>
        <v/>
      </c>
      <c r="BN817" s="102">
        <f>(CI817-Driver!$F$205)/(Driver!$G$205-Driver!$F$205)*$BI$1</f>
        <v/>
      </c>
      <c r="BO817" s="102">
        <f>(CK817-Driver!$F$207)/(Driver!$G$207-Driver!$F$207)*$BI$1</f>
        <v/>
      </c>
      <c r="BP817" s="102">
        <f>(CM817-Driver!$F$208)/(Driver!$G$208-Driver!$F$208)*$BI$1</f>
        <v/>
      </c>
      <c r="BQ817" s="102">
        <f>(CL817-Driver!$F$209)/(Driver!$G$209-Driver!$F$209)*$BI$1</f>
        <v/>
      </c>
      <c r="BR817" s="40" t="inlineStr">
        <is>
          <t>21/22</t>
        </is>
      </c>
      <c r="BS817" s="10" t="inlineStr">
        <is>
          <t xml:space="preserve"> Nordica</t>
        </is>
      </c>
      <c r="BT817" s="11" t="inlineStr">
        <is>
          <t>Wild Belle 74</t>
        </is>
      </c>
      <c r="BU817" s="13" t="n">
        <v>162</v>
      </c>
      <c r="BV817" s="11" t="inlineStr">
        <is>
          <t xml:space="preserve"> Women's</t>
        </is>
      </c>
      <c r="BW817" s="13" t="n">
        <v>162</v>
      </c>
      <c r="BX817" s="13" t="n">
        <v>160.9</v>
      </c>
      <c r="BY817" s="13" t="n">
        <v>135</v>
      </c>
      <c r="BZ817" s="13" t="n">
        <v>148</v>
      </c>
      <c r="CA817" s="13" t="n">
        <v>124</v>
      </c>
      <c r="CB817" s="13" t="n">
        <v>74</v>
      </c>
      <c r="CC817" s="13" t="n">
        <v>104</v>
      </c>
      <c r="CD817" s="13" t="n">
        <v>13.8</v>
      </c>
      <c r="CE817" s="13" t="n">
        <v>1727</v>
      </c>
      <c r="CF817" s="13" t="n">
        <v>0.83</v>
      </c>
      <c r="CG817" s="13" t="n">
        <v>1433</v>
      </c>
      <c r="CH817" s="13" t="n">
        <v>196</v>
      </c>
      <c r="CI817" s="13" t="n">
        <v>71</v>
      </c>
      <c r="CJ817" s="13" t="n">
        <v>43</v>
      </c>
      <c r="CK817" s="13" t="n">
        <v>190</v>
      </c>
      <c r="CL817" s="13" t="n">
        <v>12</v>
      </c>
      <c r="CM817" s="13" t="n">
        <v>72</v>
      </c>
      <c r="CN817" s="13" t="n">
        <v>0.278</v>
      </c>
      <c r="CO817" s="13" t="n">
        <v>63</v>
      </c>
      <c r="CP817" s="13" t="n">
        <v>68</v>
      </c>
      <c r="CQ817" s="13" t="n">
        <v>128</v>
      </c>
      <c r="CR817" s="13" t="n">
        <v>6</v>
      </c>
      <c r="CS817" s="13" t="n">
        <v>9.300000000000001</v>
      </c>
      <c r="CT817" s="11" t="inlineStr">
        <is>
          <t xml:space="preserve"> On-Piste Carving</t>
        </is>
      </c>
      <c r="CU817" s="13" t="n"/>
      <c r="CV817" s="13" t="n"/>
      <c r="CW817" s="13" t="n"/>
      <c r="CX817">
        <f>INDEX('Data_Price '!AG$2:AG$1266,MATCH(Data!$DN817,'Data_Price '!$AT$2:$AT$1266,0))</f>
        <v/>
      </c>
      <c r="CY817">
        <f>INDEX('Data_Price '!AH$2:AH$1266,MATCH(Data!$DN817,'Data_Price '!$AT$2:$AT$1266,0))</f>
        <v/>
      </c>
      <c r="CZ817">
        <f>INDEX('Data_Price '!AI$2:AI$1266,MATCH(Data!$DN817,'Data_Price '!$AT$2:$AT$1266,0))</f>
        <v/>
      </c>
      <c r="DA817">
        <f>INDEX('Data_Price '!AJ$2:AJ$1266,MATCH(Data!$DN817,'Data_Price '!$AT$2:$AT$1266,0))</f>
        <v/>
      </c>
      <c r="DB817">
        <f>INDEX('Data_Price '!AK$2:AK$1266,MATCH(Data!$DN817,'Data_Price '!$AT$2:$AT$1266,0))</f>
        <v/>
      </c>
      <c r="DC817">
        <f>INDEX('Data_Price '!AL$2:AL$1266,MATCH(Data!$DN817,'Data_Price '!$AT$2:$AT$1266,0))</f>
        <v/>
      </c>
      <c r="DD817">
        <f>INDEX('Data_Price '!AM$2:AM$1266,MATCH(Data!$DN817,'Data_Price '!$AT$2:$AT$1266,0))</f>
        <v/>
      </c>
      <c r="DE817">
        <f>INDEX('Data_Price '!AN$2:AN$1266,MATCH(Data!$DN817,'Data_Price '!$AT$2:$AT$1266,0))</f>
        <v/>
      </c>
      <c r="DF817">
        <f>INDEX('Data_Price '!AO$2:AO$1266,MATCH(Data!$DN817,'Data_Price '!$AT$2:$AT$1266,0))</f>
        <v/>
      </c>
      <c r="DG817">
        <f>INDEX('Data_Price '!AP$2:AP$1266,MATCH(Data!$DN817,'Data_Price '!$AT$2:$AT$1266,0))</f>
        <v/>
      </c>
      <c r="DH817">
        <f>INDEX('Data_Price '!AQ$2:AQ$1266,MATCH(Data!$DN817,'Data_Price '!$AT$2:$AT$1266,0))</f>
        <v/>
      </c>
      <c r="DI817">
        <f>INDEX('Data_Price '!AR$2:AR$1266,MATCH(Data!$DN817,'Data_Price '!$AT$2:$AT$1266,0))</f>
        <v/>
      </c>
      <c r="DJ817" s="138">
        <f>DA817</f>
        <v/>
      </c>
      <c r="DK817" s="138">
        <f>DE817</f>
        <v/>
      </c>
      <c r="DL817" s="138">
        <f>DI817</f>
        <v/>
      </c>
      <c r="DM817" s="303">
        <f>IF(LEFT(BT817,1)=" ",RIGHT(BT817,LEN(BT817)-1),BT817)</f>
        <v/>
      </c>
      <c r="DN817" s="138">
        <f>_xlfn.CONCAT(BS817,DM817,BU817,BV817)</f>
        <v/>
      </c>
      <c r="DO817" s="307" t="n"/>
    </row>
    <row r="818" ht="15.6" customHeight="1" s="184">
      <c r="B818" s="303">
        <f t="array" ref="B818">IF(OR(ISERROR(K818:P818)),FALSE,TRUE)</f>
        <v/>
      </c>
      <c r="C818" s="60">
        <f>OR(BR818=Driver!$G$50,Data!BR482=Driver!$H$50)</f>
        <v/>
      </c>
      <c r="D818" s="60">
        <f>OR(BV818=Driver!$G$51,BV818=Driver!$H$51)</f>
        <v/>
      </c>
      <c r="E818" s="60">
        <f>AND(BX818&gt;Driver!$F$54,BX818&lt;Driver!$G$54)</f>
        <v/>
      </c>
      <c r="F818" s="60">
        <f>CL818&gt;Driver!$F$56</f>
        <v/>
      </c>
      <c r="G818" s="60">
        <f>AND(CB818&gt;Driver!$F$55,CB818&lt;Driver!$G$55)</f>
        <v/>
      </c>
      <c r="H818" s="60">
        <f>AND(B818:G818)</f>
        <v/>
      </c>
      <c r="I818" s="60">
        <f>COUNTIFS($H$9:$H$1273,TRUE,$BT$9:$BT$1273,BT818)</f>
        <v/>
      </c>
      <c r="J818" s="60">
        <f t="array" ref="J818">NOT(OR(($H$9:$H$1273=TRUE)*($I$9:$I$1273&gt;0)*($BT$9:$BT$1273=BT818)*($K$9:$K$1273&gt;K818)))</f>
        <v/>
      </c>
      <c r="K818" s="108">
        <f>IFERROR(1-AVERAGE(X818:Y818),"")</f>
        <v/>
      </c>
      <c r="L818" s="108">
        <f>1-X818</f>
        <v/>
      </c>
      <c r="M818" s="108">
        <f>1-Y818</f>
        <v/>
      </c>
      <c r="N818" s="108">
        <f>1-Z818</f>
        <v/>
      </c>
      <c r="O818" s="108">
        <f>1-AA818</f>
        <v/>
      </c>
      <c r="P818" s="108">
        <f>1-AB818</f>
        <v/>
      </c>
      <c r="Q818" s="108" t="n"/>
      <c r="R818" s="108" t="n"/>
      <c r="S818" s="108">
        <f>1-AE818</f>
        <v/>
      </c>
      <c r="T818" s="108">
        <f>1-AF818</f>
        <v/>
      </c>
      <c r="U818" s="108">
        <f>1-AG818</f>
        <v/>
      </c>
      <c r="V818" s="108">
        <f>1-AH818</f>
        <v/>
      </c>
      <c r="W818" s="108">
        <f>1-AI818</f>
        <v/>
      </c>
      <c r="X818" s="108">
        <f>ABS(AJ818-AJ$1)</f>
        <v/>
      </c>
      <c r="Y818" s="108">
        <f>AVERAGE(Z818:AB818)</f>
        <v/>
      </c>
      <c r="Z818" s="108">
        <f>ABS(AL818-AL$1)</f>
        <v/>
      </c>
      <c r="AA818" s="108">
        <f>ABS(AM818-AM$1)</f>
        <v/>
      </c>
      <c r="AB818" s="108">
        <f>ABS(AN818-AN$1)</f>
        <v/>
      </c>
      <c r="AC818" s="108" t="n"/>
      <c r="AD818" s="108" t="n"/>
      <c r="AE818" s="108">
        <f>ABS(AQ$1-AQ818)</f>
        <v/>
      </c>
      <c r="AF818" s="108">
        <f>ABS(AR$1-AR818)</f>
        <v/>
      </c>
      <c r="AG818" s="108">
        <f>ABS(AS$1-AS818)</f>
        <v/>
      </c>
      <c r="AH818" s="108">
        <f>ABS(AT$1-AT818)</f>
        <v/>
      </c>
      <c r="AI818" s="108">
        <f>ABS(AU$1-AU818)</f>
        <v/>
      </c>
      <c r="AJ818" s="108">
        <f>(AV818-Driver!$K$179)/(Driver!$L$179-Driver!$K$179)</f>
        <v/>
      </c>
      <c r="AK818" s="108">
        <f>(AW818-Driver!$K$180)/(Driver!$L$180-Driver!$K$180)</f>
        <v/>
      </c>
      <c r="AL818" s="108">
        <f>(AX818-Driver!$K$181)/(Driver!$L$181-Driver!$K$181)</f>
        <v/>
      </c>
      <c r="AM818" s="108">
        <f>(AY818-Driver!$K$182)/(Driver!$L$182-Driver!$K$182)</f>
        <v/>
      </c>
      <c r="AN818" s="108">
        <f>(AZ818-Driver!$K$183)/(Driver!$L$183-Driver!$K$183)</f>
        <v/>
      </c>
      <c r="AO818" s="108" t="n"/>
      <c r="AP818" s="108" t="n"/>
      <c r="AQ818" s="108">
        <f>(BC818-Driver!$K$188)/(Driver!$L$188-Driver!$K$188)</f>
        <v/>
      </c>
      <c r="AR818" s="108">
        <f>MIN((BD818-Driver!$K$189)/(Driver!$L$189-Driver!$K$189),100%)</f>
        <v/>
      </c>
      <c r="AS818" s="108">
        <f>(BE818-Driver!$K$190)/(Driver!$L$190-Driver!$K$190)</f>
        <v/>
      </c>
      <c r="AT818" s="108">
        <f>(BF818-Driver!$K$191)/(Driver!$L$191-Driver!$K$191)</f>
        <v/>
      </c>
      <c r="AU818" s="108">
        <f>(BG818-Driver!$K$192)/(Driver!$L$192-Driver!$K$192)</f>
        <v/>
      </c>
      <c r="AV818" s="105">
        <f>IFERROR(BM818*BJ818^1/4,"")</f>
        <v/>
      </c>
      <c r="AW818" s="105">
        <f>IFERROR(SUM(AX818:AZ818),"")</f>
        <v/>
      </c>
      <c r="AX818" s="105">
        <f>IFERROR(BH818,"")</f>
        <v/>
      </c>
      <c r="AY818" s="105">
        <f>IFERROR(Driver!$K$19/Data!BH818/Data!BI818*Data!BK818*Data!BL818,"")</f>
        <v/>
      </c>
      <c r="AZ818" s="105">
        <f>IFERROR(BI818*BN818,"")</f>
        <v/>
      </c>
      <c r="BA818" s="105" t="n"/>
      <c r="BB818" s="105" t="n"/>
      <c r="BC818" s="105">
        <f>IFERROR(BI818*BN818*BK818/BJ818^(1/2),"")</f>
        <v/>
      </c>
      <c r="BD818" s="105">
        <f>IFERROR(BH818*BM818*BL818/BJ818/BK818,"")</f>
        <v/>
      </c>
      <c r="BE818" s="105">
        <f>IFERROR(MIN(BI818/BQ818/BP818/BO818/BH818,$BE$1),"")</f>
        <v/>
      </c>
      <c r="BF818" s="105">
        <f>IFERROR(BJ818*BO818*BP818/BK818,"")</f>
        <v/>
      </c>
      <c r="BG818" s="105">
        <f>IFERROR(1/BM818/BH818*BQ818,"")</f>
        <v/>
      </c>
      <c r="BH818" s="102">
        <f>MAX((CE818-Driver!$F$200)/(Driver!$G$200-Driver!$F$200)*$BI$1,1)</f>
        <v/>
      </c>
      <c r="BI818" s="102">
        <f>MAX($BI$1*(BY818-Driver!$F$201)/(Driver!$G$201-Driver!$F$201),1)</f>
        <v/>
      </c>
      <c r="BJ818" s="102">
        <f>(CB818-Driver!$F$206)/(Driver!$G$206-Driver!$F$206)*$BI$1</f>
        <v/>
      </c>
      <c r="BK818" s="102">
        <f>(CD818-Driver!$F$203)/(Driver!$G$203-Driver!$F$203)*$BI$1</f>
        <v/>
      </c>
      <c r="BL818" s="102">
        <f>MAX((CR818-Driver!$F$202)/(Driver!$G$202-Driver!$F$202)*$BI$1,1)</f>
        <v/>
      </c>
      <c r="BM818" s="102">
        <f>MAX((CH818-Driver!$F$204)/(Driver!$G$204-Driver!$F$204)*$BI$1,1)</f>
        <v/>
      </c>
      <c r="BN818" s="102">
        <f>(CI818-Driver!$F$205)/(Driver!$G$205-Driver!$F$205)*$BI$1</f>
        <v/>
      </c>
      <c r="BO818" s="102">
        <f>(CK818-Driver!$F$207)/(Driver!$G$207-Driver!$F$207)*$BI$1</f>
        <v/>
      </c>
      <c r="BP818" s="102">
        <f>(CM818-Driver!$F$208)/(Driver!$G$208-Driver!$F$208)*$BI$1</f>
        <v/>
      </c>
      <c r="BQ818" s="102">
        <f>(CL818-Driver!$F$209)/(Driver!$G$209-Driver!$F$209)*$BI$1</f>
        <v/>
      </c>
      <c r="BR818" s="40" t="inlineStr">
        <is>
          <t>21/22</t>
        </is>
      </c>
      <c r="BS818" s="10" t="inlineStr">
        <is>
          <t xml:space="preserve"> Elan</t>
        </is>
      </c>
      <c r="BT818" s="11" t="inlineStr">
        <is>
          <t>Wingman 86 CTi</t>
        </is>
      </c>
      <c r="BU818" s="13" t="n">
        <v>178</v>
      </c>
      <c r="BV818" s="11" t="inlineStr">
        <is>
          <t xml:space="preserve"> Unisex</t>
        </is>
      </c>
      <c r="BW818" s="13" t="n">
        <v>178</v>
      </c>
      <c r="BX818" s="13" t="n">
        <v>177.5</v>
      </c>
      <c r="BY818" s="13" t="n">
        <v>144</v>
      </c>
      <c r="BZ818" s="13" t="n">
        <v>157</v>
      </c>
      <c r="CA818" s="13" t="n">
        <v>130</v>
      </c>
      <c r="CB818" s="13" t="n">
        <v>85</v>
      </c>
      <c r="CC818" s="13" t="n">
        <v>114</v>
      </c>
      <c r="CD818" s="13" t="n">
        <v>16.4</v>
      </c>
      <c r="CE818" s="13" t="n">
        <v>2172</v>
      </c>
      <c r="CF818" s="13" t="n">
        <v>0.8100000000000001</v>
      </c>
      <c r="CG818" s="13" t="n">
        <v>1765</v>
      </c>
      <c r="CH818" s="13" t="n">
        <v>250</v>
      </c>
      <c r="CI818" s="13" t="n">
        <v>106</v>
      </c>
      <c r="CJ818" s="13" t="n">
        <v>38</v>
      </c>
      <c r="CK818" s="13" t="n">
        <v>207</v>
      </c>
      <c r="CL818" s="13" t="n">
        <v>7</v>
      </c>
      <c r="CM818" s="13" t="n">
        <v>130</v>
      </c>
      <c r="CN818" s="13" t="n">
        <v>0.196</v>
      </c>
      <c r="CO818" s="13" t="n">
        <v>106</v>
      </c>
      <c r="CP818" s="13" t="n">
        <v>97</v>
      </c>
      <c r="CQ818" s="13" t="n">
        <v>100</v>
      </c>
      <c r="CR818" s="13" t="n">
        <v>9</v>
      </c>
      <c r="CS818" s="13" t="n">
        <v>9.199999999999999</v>
      </c>
      <c r="CT818" s="11" t="inlineStr">
        <is>
          <t xml:space="preserve"> Resort Freeride</t>
        </is>
      </c>
      <c r="CU818" s="13" t="n"/>
      <c r="CV818" s="13" t="n"/>
      <c r="CW818" s="13" t="n"/>
      <c r="CX818">
        <f>INDEX('Data_Price '!AG$2:AG$1266,MATCH(Data!$DN818,'Data_Price '!$AT$2:$AT$1266,0))</f>
        <v/>
      </c>
      <c r="CY818">
        <f>INDEX('Data_Price '!AH$2:AH$1266,MATCH(Data!$DN818,'Data_Price '!$AT$2:$AT$1266,0))</f>
        <v/>
      </c>
      <c r="CZ818">
        <f>INDEX('Data_Price '!AI$2:AI$1266,MATCH(Data!$DN818,'Data_Price '!$AT$2:$AT$1266,0))</f>
        <v/>
      </c>
      <c r="DA818">
        <f>INDEX('Data_Price '!AJ$2:AJ$1266,MATCH(Data!$DN818,'Data_Price '!$AT$2:$AT$1266,0))</f>
        <v/>
      </c>
      <c r="DB818">
        <f>INDEX('Data_Price '!AK$2:AK$1266,MATCH(Data!$DN818,'Data_Price '!$AT$2:$AT$1266,0))</f>
        <v/>
      </c>
      <c r="DC818">
        <f>INDEX('Data_Price '!AL$2:AL$1266,MATCH(Data!$DN818,'Data_Price '!$AT$2:$AT$1266,0))</f>
        <v/>
      </c>
      <c r="DD818">
        <f>INDEX('Data_Price '!AM$2:AM$1266,MATCH(Data!$DN818,'Data_Price '!$AT$2:$AT$1266,0))</f>
        <v/>
      </c>
      <c r="DE818">
        <f>INDEX('Data_Price '!AN$2:AN$1266,MATCH(Data!$DN818,'Data_Price '!$AT$2:$AT$1266,0))</f>
        <v/>
      </c>
      <c r="DF818">
        <f>INDEX('Data_Price '!AO$2:AO$1266,MATCH(Data!$DN818,'Data_Price '!$AT$2:$AT$1266,0))</f>
        <v/>
      </c>
      <c r="DG818">
        <f>INDEX('Data_Price '!AP$2:AP$1266,MATCH(Data!$DN818,'Data_Price '!$AT$2:$AT$1266,0))</f>
        <v/>
      </c>
      <c r="DH818">
        <f>INDEX('Data_Price '!AQ$2:AQ$1266,MATCH(Data!$DN818,'Data_Price '!$AT$2:$AT$1266,0))</f>
        <v/>
      </c>
      <c r="DI818">
        <f>INDEX('Data_Price '!AR$2:AR$1266,MATCH(Data!$DN818,'Data_Price '!$AT$2:$AT$1266,0))</f>
        <v/>
      </c>
      <c r="DJ818" s="138">
        <f>DA818</f>
        <v/>
      </c>
      <c r="DK818" s="138">
        <f>DE818</f>
        <v/>
      </c>
      <c r="DL818" s="138">
        <f>DI818</f>
        <v/>
      </c>
      <c r="DM818" s="303">
        <f>IF(LEFT(BT818,1)=" ",RIGHT(BT818,LEN(BT818)-1),BT818)</f>
        <v/>
      </c>
      <c r="DN818" s="138">
        <f>_xlfn.CONCAT(BS818,DM818,BU818,BV818)</f>
        <v/>
      </c>
      <c r="DO818" s="307" t="n"/>
    </row>
    <row r="819" ht="15.6" customHeight="1" s="184">
      <c r="B819" s="303">
        <f t="array" ref="B819">IF(OR(ISERROR(K819:P819)),FALSE,TRUE)</f>
        <v/>
      </c>
      <c r="C819" s="60">
        <f>OR(BR819=Driver!$G$50,Data!BR334=Driver!$H$50)</f>
        <v/>
      </c>
      <c r="D819" s="60">
        <f>OR(BV819=Driver!$G$51,BV819=Driver!$H$51)</f>
        <v/>
      </c>
      <c r="E819" s="60">
        <f>AND(BX819&gt;Driver!$F$54,BX819&lt;Driver!$G$54)</f>
        <v/>
      </c>
      <c r="F819" s="60">
        <f>CL819&gt;Driver!$F$56</f>
        <v/>
      </c>
      <c r="G819" s="60">
        <f>AND(CB819&gt;Driver!$F$55,CB819&lt;Driver!$G$55)</f>
        <v/>
      </c>
      <c r="H819" s="60">
        <f>AND(B819:G819)</f>
        <v/>
      </c>
      <c r="I819" s="60">
        <f>COUNTIFS($H$9:$H$1273,TRUE,$BT$9:$BT$1273,BT819)</f>
        <v/>
      </c>
      <c r="J819" s="60">
        <f t="array" ref="J819">NOT(OR(($H$9:$H$1273=TRUE)*($I$9:$I$1273&gt;0)*($BT$9:$BT$1273=BT819)*($K$9:$K$1273&gt;K819)))</f>
        <v/>
      </c>
      <c r="K819" s="108">
        <f>IFERROR(1-AVERAGE(X819:Y819),"")</f>
        <v/>
      </c>
      <c r="L819" s="108">
        <f>1-X819</f>
        <v/>
      </c>
      <c r="M819" s="108">
        <f>1-Y819</f>
        <v/>
      </c>
      <c r="N819" s="108">
        <f>1-Z819</f>
        <v/>
      </c>
      <c r="O819" s="108">
        <f>1-AA819</f>
        <v/>
      </c>
      <c r="P819" s="108">
        <f>1-AB819</f>
        <v/>
      </c>
      <c r="Q819" s="108" t="n"/>
      <c r="R819" s="108" t="n"/>
      <c r="S819" s="108">
        <f>1-AE819</f>
        <v/>
      </c>
      <c r="T819" s="108">
        <f>1-AF819</f>
        <v/>
      </c>
      <c r="U819" s="108">
        <f>1-AG819</f>
        <v/>
      </c>
      <c r="V819" s="108">
        <f>1-AH819</f>
        <v/>
      </c>
      <c r="W819" s="108">
        <f>1-AI819</f>
        <v/>
      </c>
      <c r="X819" s="108">
        <f>ABS(AJ819-AJ$1)</f>
        <v/>
      </c>
      <c r="Y819" s="108">
        <f>AVERAGE(Z819:AB819)</f>
        <v/>
      </c>
      <c r="Z819" s="108">
        <f>ABS(AL819-AL$1)</f>
        <v/>
      </c>
      <c r="AA819" s="108">
        <f>ABS(AM819-AM$1)</f>
        <v/>
      </c>
      <c r="AB819" s="108">
        <f>ABS(AN819-AN$1)</f>
        <v/>
      </c>
      <c r="AC819" s="108" t="n"/>
      <c r="AD819" s="108" t="n"/>
      <c r="AE819" s="108">
        <f>ABS(AQ$1-AQ819)</f>
        <v/>
      </c>
      <c r="AF819" s="108">
        <f>ABS(AR$1-AR819)</f>
        <v/>
      </c>
      <c r="AG819" s="108">
        <f>ABS(AS$1-AS819)</f>
        <v/>
      </c>
      <c r="AH819" s="108">
        <f>ABS(AT$1-AT819)</f>
        <v/>
      </c>
      <c r="AI819" s="108">
        <f>ABS(AU$1-AU819)</f>
        <v/>
      </c>
      <c r="AJ819" s="108">
        <f>(AV819-Driver!$K$179)/(Driver!$L$179-Driver!$K$179)</f>
        <v/>
      </c>
      <c r="AK819" s="108">
        <f>(AW819-Driver!$K$180)/(Driver!$L$180-Driver!$K$180)</f>
        <v/>
      </c>
      <c r="AL819" s="108">
        <f>(AX819-Driver!$K$181)/(Driver!$L$181-Driver!$K$181)</f>
        <v/>
      </c>
      <c r="AM819" s="108">
        <f>(AY819-Driver!$K$182)/(Driver!$L$182-Driver!$K$182)</f>
        <v/>
      </c>
      <c r="AN819" s="108">
        <f>(AZ819-Driver!$K$183)/(Driver!$L$183-Driver!$K$183)</f>
        <v/>
      </c>
      <c r="AO819" s="108" t="n"/>
      <c r="AP819" s="108" t="n"/>
      <c r="AQ819" s="108">
        <f>(BC819-Driver!$K$188)/(Driver!$L$188-Driver!$K$188)</f>
        <v/>
      </c>
      <c r="AR819" s="108">
        <f>MIN((BD819-Driver!$K$189)/(Driver!$L$189-Driver!$K$189),100%)</f>
        <v/>
      </c>
      <c r="AS819" s="108">
        <f>(BE819-Driver!$K$190)/(Driver!$L$190-Driver!$K$190)</f>
        <v/>
      </c>
      <c r="AT819" s="108">
        <f>(BF819-Driver!$K$191)/(Driver!$L$191-Driver!$K$191)</f>
        <v/>
      </c>
      <c r="AU819" s="108">
        <f>(BG819-Driver!$K$192)/(Driver!$L$192-Driver!$K$192)</f>
        <v/>
      </c>
      <c r="AV819" s="105">
        <f>IFERROR(BM819*BJ819^1/4,"")</f>
        <v/>
      </c>
      <c r="AW819" s="105">
        <f>IFERROR(SUM(AX819:AZ819),"")</f>
        <v/>
      </c>
      <c r="AX819" s="105">
        <f>IFERROR(BH819,"")</f>
        <v/>
      </c>
      <c r="AY819" s="105">
        <f>IFERROR(Driver!$K$19/Data!BH819/Data!BI819*Data!BK819*Data!BL819,"")</f>
        <v/>
      </c>
      <c r="AZ819" s="105">
        <f>IFERROR(BI819*BN819,"")</f>
        <v/>
      </c>
      <c r="BA819" s="105" t="n"/>
      <c r="BB819" s="105" t="n"/>
      <c r="BC819" s="105">
        <f>IFERROR(BI819*BN819*BK819/BJ819^(1/2),"")</f>
        <v/>
      </c>
      <c r="BD819" s="105">
        <f>IFERROR(BH819*BM819*BL819/BJ819/BK819,"")</f>
        <v/>
      </c>
      <c r="BE819" s="105">
        <f>IFERROR(MIN(BI819/BQ819/BP819/BO819/BH819,$BE$1),"")</f>
        <v/>
      </c>
      <c r="BF819" s="105">
        <f>IFERROR(BJ819*BO819*BP819/BK819,"")</f>
        <v/>
      </c>
      <c r="BG819" s="105">
        <f>IFERROR(1/BM819/BH819*BQ819,"")</f>
        <v/>
      </c>
      <c r="BH819" s="102">
        <f>MAX((CE819-Driver!$F$200)/(Driver!$G$200-Driver!$F$200)*$BI$1,1)</f>
        <v/>
      </c>
      <c r="BI819" s="102">
        <f>MAX($BI$1*(BY819-Driver!$F$201)/(Driver!$G$201-Driver!$F$201),1)</f>
        <v/>
      </c>
      <c r="BJ819" s="102">
        <f>(CB819-Driver!$F$206)/(Driver!$G$206-Driver!$F$206)*$BI$1</f>
        <v/>
      </c>
      <c r="BK819" s="102">
        <f>(CD819-Driver!$F$203)/(Driver!$G$203-Driver!$F$203)*$BI$1</f>
        <v/>
      </c>
      <c r="BL819" s="102">
        <f>MAX((CR819-Driver!$F$202)/(Driver!$G$202-Driver!$F$202)*$BI$1,1)</f>
        <v/>
      </c>
      <c r="BM819" s="102">
        <f>MAX((CH819-Driver!$F$204)/(Driver!$G$204-Driver!$F$204)*$BI$1,1)</f>
        <v/>
      </c>
      <c r="BN819" s="102">
        <f>(CI819-Driver!$F$205)/(Driver!$G$205-Driver!$F$205)*$BI$1</f>
        <v/>
      </c>
      <c r="BO819" s="102">
        <f>(CK819-Driver!$F$207)/(Driver!$G$207-Driver!$F$207)*$BI$1</f>
        <v/>
      </c>
      <c r="BP819" s="102">
        <f>(CM819-Driver!$F$208)/(Driver!$G$208-Driver!$F$208)*$BI$1</f>
        <v/>
      </c>
      <c r="BQ819" s="102">
        <f>(CL819-Driver!$F$209)/(Driver!$G$209-Driver!$F$209)*$BI$1</f>
        <v/>
      </c>
      <c r="BR819" s="40" t="inlineStr">
        <is>
          <t>21/22</t>
        </is>
      </c>
      <c r="BS819" s="10" t="inlineStr">
        <is>
          <t xml:space="preserve"> DPS</t>
        </is>
      </c>
      <c r="BT819" s="11" t="inlineStr">
        <is>
          <t>Foundation 103 Koala</t>
        </is>
      </c>
      <c r="BU819" s="13" t="n">
        <v>184</v>
      </c>
      <c r="BV819" s="11" t="inlineStr">
        <is>
          <t xml:space="preserve"> Unisex</t>
        </is>
      </c>
      <c r="BW819" s="13" t="n">
        <v>184</v>
      </c>
      <c r="BX819" s="13" t="n">
        <v>182.8</v>
      </c>
      <c r="BY819" s="13" t="n">
        <v>121</v>
      </c>
      <c r="BZ819" s="13" t="n">
        <v>149</v>
      </c>
      <c r="CA819" s="13" t="n">
        <v>132</v>
      </c>
      <c r="CB819" s="13" t="n">
        <v>103</v>
      </c>
      <c r="CC819" s="13" t="n">
        <v>121</v>
      </c>
      <c r="CD819" s="13" t="n">
        <v>18.5</v>
      </c>
      <c r="CE819" s="13" t="n">
        <v>2074</v>
      </c>
      <c r="CF819" s="13" t="n">
        <v>1</v>
      </c>
      <c r="CG819" s="13" t="n">
        <v>2076</v>
      </c>
      <c r="CH819" s="13" t="n">
        <v>264</v>
      </c>
      <c r="CI819" s="13" t="n">
        <v>120</v>
      </c>
      <c r="CJ819" s="13" t="n">
        <v>53</v>
      </c>
      <c r="CK819" s="13" t="n">
        <v>331</v>
      </c>
      <c r="CL819" s="13" t="n">
        <v>39</v>
      </c>
      <c r="CM819" s="13" t="n">
        <v>290</v>
      </c>
      <c r="CN819" s="13" t="n">
        <v>0.738</v>
      </c>
      <c r="CO819" s="13" t="n">
        <v>204</v>
      </c>
      <c r="CP819" s="13" t="n">
        <v>137</v>
      </c>
      <c r="CQ819" s="13" t="n">
        <v>128</v>
      </c>
      <c r="CR819" s="13" t="n">
        <v>7</v>
      </c>
      <c r="CS819" s="13" t="n">
        <v>6.9</v>
      </c>
      <c r="CT819" s="11" t="inlineStr">
        <is>
          <t xml:space="preserve"> Resort Freeride</t>
        </is>
      </c>
      <c r="CU819" s="11" t="inlineStr">
        <is>
          <t xml:space="preserve"> Powder</t>
        </is>
      </c>
      <c r="CV819" s="13" t="n"/>
      <c r="CW819" s="13" t="n"/>
      <c r="CX819">
        <f>INDEX('Data_Price '!AG$2:AG$1266,MATCH(Data!$DN819,'Data_Price '!$AT$2:$AT$1266,0))</f>
        <v/>
      </c>
      <c r="CY819">
        <f>INDEX('Data_Price '!AH$2:AH$1266,MATCH(Data!$DN819,'Data_Price '!$AT$2:$AT$1266,0))</f>
        <v/>
      </c>
      <c r="CZ819">
        <f>INDEX('Data_Price '!AI$2:AI$1266,MATCH(Data!$DN819,'Data_Price '!$AT$2:$AT$1266,0))</f>
        <v/>
      </c>
      <c r="DA819">
        <f>INDEX('Data_Price '!AJ$2:AJ$1266,MATCH(Data!$DN819,'Data_Price '!$AT$2:$AT$1266,0))</f>
        <v/>
      </c>
      <c r="DB819">
        <f>INDEX('Data_Price '!AK$2:AK$1266,MATCH(Data!$DN819,'Data_Price '!$AT$2:$AT$1266,0))</f>
        <v/>
      </c>
      <c r="DC819">
        <f>INDEX('Data_Price '!AL$2:AL$1266,MATCH(Data!$DN819,'Data_Price '!$AT$2:$AT$1266,0))</f>
        <v/>
      </c>
      <c r="DD819">
        <f>INDEX('Data_Price '!AM$2:AM$1266,MATCH(Data!$DN819,'Data_Price '!$AT$2:$AT$1266,0))</f>
        <v/>
      </c>
      <c r="DE819">
        <f>INDEX('Data_Price '!AN$2:AN$1266,MATCH(Data!$DN819,'Data_Price '!$AT$2:$AT$1266,0))</f>
        <v/>
      </c>
      <c r="DF819">
        <f>INDEX('Data_Price '!AO$2:AO$1266,MATCH(Data!$DN819,'Data_Price '!$AT$2:$AT$1266,0))</f>
        <v/>
      </c>
      <c r="DG819">
        <f>INDEX('Data_Price '!AP$2:AP$1266,MATCH(Data!$DN819,'Data_Price '!$AT$2:$AT$1266,0))</f>
        <v/>
      </c>
      <c r="DH819">
        <f>INDEX('Data_Price '!AQ$2:AQ$1266,MATCH(Data!$DN819,'Data_Price '!$AT$2:$AT$1266,0))</f>
        <v/>
      </c>
      <c r="DI819">
        <f>INDEX('Data_Price '!AR$2:AR$1266,MATCH(Data!$DN819,'Data_Price '!$AT$2:$AT$1266,0))</f>
        <v/>
      </c>
      <c r="DJ819" s="138">
        <f>DA819</f>
        <v/>
      </c>
      <c r="DK819" s="138">
        <f>DE819</f>
        <v/>
      </c>
      <c r="DL819" s="138">
        <f>DI819</f>
        <v/>
      </c>
      <c r="DM819" s="303">
        <f>IF(LEFT(BT819,1)=" ",RIGHT(BT819,LEN(BT819)-1),BT819)</f>
        <v/>
      </c>
      <c r="DN819" s="138">
        <f>_xlfn.CONCAT(BS819,DM819,BU819,BV819)</f>
        <v/>
      </c>
      <c r="DO819" s="307" t="n"/>
    </row>
    <row r="820" ht="15.6" customHeight="1" s="184">
      <c r="B820" s="303">
        <f t="array" ref="B820">IF(OR(ISERROR(K820:P820)),FALSE,TRUE)</f>
        <v/>
      </c>
      <c r="C820" s="60">
        <f>OR(BR820=Driver!$G$50,Data!BR612=Driver!$H$50)</f>
        <v/>
      </c>
      <c r="D820" s="60">
        <f>OR(BV820=Driver!$G$51,BV820=Driver!$H$51)</f>
        <v/>
      </c>
      <c r="E820" s="60">
        <f>AND(BX820&gt;Driver!$F$54,BX820&lt;Driver!$G$54)</f>
        <v/>
      </c>
      <c r="F820" s="60">
        <f>CL820&gt;Driver!$F$56</f>
        <v/>
      </c>
      <c r="G820" s="60">
        <f>AND(CB820&gt;Driver!$F$55,CB820&lt;Driver!$G$55)</f>
        <v/>
      </c>
      <c r="H820" s="60">
        <f>AND(B820:G820)</f>
        <v/>
      </c>
      <c r="I820" s="60">
        <f>COUNTIFS($H$9:$H$1273,TRUE,$BT$9:$BT$1273,BT820)</f>
        <v/>
      </c>
      <c r="J820" s="60">
        <f t="array" ref="J820">NOT(OR(($H$9:$H$1273=TRUE)*($I$9:$I$1273&gt;0)*($BT$9:$BT$1273=BT820)*($K$9:$K$1273&gt;K820)))</f>
        <v/>
      </c>
      <c r="K820" s="108">
        <f>IFERROR(1-AVERAGE(X820:Y820),"")</f>
        <v/>
      </c>
      <c r="L820" s="108">
        <f>1-X820</f>
        <v/>
      </c>
      <c r="M820" s="108">
        <f>1-Y820</f>
        <v/>
      </c>
      <c r="N820" s="108">
        <f>1-Z820</f>
        <v/>
      </c>
      <c r="O820" s="108">
        <f>1-AA820</f>
        <v/>
      </c>
      <c r="P820" s="108">
        <f>1-AB820</f>
        <v/>
      </c>
      <c r="Q820" s="108" t="n"/>
      <c r="R820" s="108" t="n"/>
      <c r="S820" s="108">
        <f>1-AE820</f>
        <v/>
      </c>
      <c r="T820" s="108">
        <f>1-AF820</f>
        <v/>
      </c>
      <c r="U820" s="108">
        <f>1-AG820</f>
        <v/>
      </c>
      <c r="V820" s="108">
        <f>1-AH820</f>
        <v/>
      </c>
      <c r="W820" s="108">
        <f>1-AI820</f>
        <v/>
      </c>
      <c r="X820" s="108">
        <f>ABS(AJ820-AJ$1)</f>
        <v/>
      </c>
      <c r="Y820" s="108">
        <f>AVERAGE(Z820:AB820)</f>
        <v/>
      </c>
      <c r="Z820" s="108">
        <f>ABS(AL820-AL$1)</f>
        <v/>
      </c>
      <c r="AA820" s="108">
        <f>ABS(AM820-AM$1)</f>
        <v/>
      </c>
      <c r="AB820" s="108">
        <f>ABS(AN820-AN$1)</f>
        <v/>
      </c>
      <c r="AC820" s="108" t="n"/>
      <c r="AD820" s="108" t="n"/>
      <c r="AE820" s="108">
        <f>ABS(AQ$1-AQ820)</f>
        <v/>
      </c>
      <c r="AF820" s="108">
        <f>ABS(AR$1-AR820)</f>
        <v/>
      </c>
      <c r="AG820" s="108">
        <f>ABS(AS$1-AS820)</f>
        <v/>
      </c>
      <c r="AH820" s="108">
        <f>ABS(AT$1-AT820)</f>
        <v/>
      </c>
      <c r="AI820" s="108">
        <f>ABS(AU$1-AU820)</f>
        <v/>
      </c>
      <c r="AJ820" s="108">
        <f>(AV820-Driver!$K$179)/(Driver!$L$179-Driver!$K$179)</f>
        <v/>
      </c>
      <c r="AK820" s="108">
        <f>(AW820-Driver!$K$180)/(Driver!$L$180-Driver!$K$180)</f>
        <v/>
      </c>
      <c r="AL820" s="108">
        <f>(AX820-Driver!$K$181)/(Driver!$L$181-Driver!$K$181)</f>
        <v/>
      </c>
      <c r="AM820" s="108">
        <f>(AY820-Driver!$K$182)/(Driver!$L$182-Driver!$K$182)</f>
        <v/>
      </c>
      <c r="AN820" s="108">
        <f>(AZ820-Driver!$K$183)/(Driver!$L$183-Driver!$K$183)</f>
        <v/>
      </c>
      <c r="AO820" s="108" t="n"/>
      <c r="AP820" s="108" t="n"/>
      <c r="AQ820" s="108">
        <f>(BC820-Driver!$K$188)/(Driver!$L$188-Driver!$K$188)</f>
        <v/>
      </c>
      <c r="AR820" s="108">
        <f>MIN((BD820-Driver!$K$189)/(Driver!$L$189-Driver!$K$189),100%)</f>
        <v/>
      </c>
      <c r="AS820" s="108">
        <f>(BE820-Driver!$K$190)/(Driver!$L$190-Driver!$K$190)</f>
        <v/>
      </c>
      <c r="AT820" s="108">
        <f>(BF820-Driver!$K$191)/(Driver!$L$191-Driver!$K$191)</f>
        <v/>
      </c>
      <c r="AU820" s="108">
        <f>(BG820-Driver!$K$192)/(Driver!$L$192-Driver!$K$192)</f>
        <v/>
      </c>
      <c r="AV820" s="105">
        <f>IFERROR(BM820*BJ820^1/4,"")</f>
        <v/>
      </c>
      <c r="AW820" s="105">
        <f>IFERROR(SUM(AX820:AZ820),"")</f>
        <v/>
      </c>
      <c r="AX820" s="105">
        <f>IFERROR(BH820,"")</f>
        <v/>
      </c>
      <c r="AY820" s="105">
        <f>IFERROR(Driver!$K$19/Data!BH820/Data!BI820*Data!BK820*Data!BL820,"")</f>
        <v/>
      </c>
      <c r="AZ820" s="105">
        <f>IFERROR(BI820*BN820,"")</f>
        <v/>
      </c>
      <c r="BA820" s="105" t="n"/>
      <c r="BB820" s="105" t="n"/>
      <c r="BC820" s="105">
        <f>IFERROR(BI820*BN820*BK820/BJ820^(1/2),"")</f>
        <v/>
      </c>
      <c r="BD820" s="105">
        <f>IFERROR(BH820*BM820*BL820/BJ820/BK820,"")</f>
        <v/>
      </c>
      <c r="BE820" s="105">
        <f>IFERROR(MIN(BI820/BQ820/BP820/BO820/BH820,$BE$1),"")</f>
        <v/>
      </c>
      <c r="BF820" s="105">
        <f>IFERROR(BJ820*BO820*BP820/BK820,"")</f>
        <v/>
      </c>
      <c r="BG820" s="105">
        <f>IFERROR(1/BM820/BH820*BQ820,"")</f>
        <v/>
      </c>
      <c r="BH820" s="102">
        <f>MAX((CE820-Driver!$F$200)/(Driver!$G$200-Driver!$F$200)*$BI$1,1)</f>
        <v/>
      </c>
      <c r="BI820" s="102">
        <f>MAX($BI$1*(BY820-Driver!$F$201)/(Driver!$G$201-Driver!$F$201),1)</f>
        <v/>
      </c>
      <c r="BJ820" s="102">
        <f>(CB820-Driver!$F$206)/(Driver!$G$206-Driver!$F$206)*$BI$1</f>
        <v/>
      </c>
      <c r="BK820" s="102">
        <f>(CD820-Driver!$F$203)/(Driver!$G$203-Driver!$F$203)*$BI$1</f>
        <v/>
      </c>
      <c r="BL820" s="102">
        <f>MAX((CR820-Driver!$F$202)/(Driver!$G$202-Driver!$F$202)*$BI$1,1)</f>
        <v/>
      </c>
      <c r="BM820" s="102">
        <f>MAX((CH820-Driver!$F$204)/(Driver!$G$204-Driver!$F$204)*$BI$1,1)</f>
        <v/>
      </c>
      <c r="BN820" s="102">
        <f>(CI820-Driver!$F$205)/(Driver!$G$205-Driver!$F$205)*$BI$1</f>
        <v/>
      </c>
      <c r="BO820" s="102">
        <f>(CK820-Driver!$F$207)/(Driver!$G$207-Driver!$F$207)*$BI$1</f>
        <v/>
      </c>
      <c r="BP820" s="102">
        <f>(CM820-Driver!$F$208)/(Driver!$G$208-Driver!$F$208)*$BI$1</f>
        <v/>
      </c>
      <c r="BQ820" s="102">
        <f>(CL820-Driver!$F$209)/(Driver!$G$209-Driver!$F$209)*$BI$1</f>
        <v/>
      </c>
      <c r="BR820" s="40" t="inlineStr">
        <is>
          <t>21/22</t>
        </is>
      </c>
      <c r="BS820" s="10" t="inlineStr">
        <is>
          <t xml:space="preserve"> Head</t>
        </is>
      </c>
      <c r="BT820" s="11" t="inlineStr">
        <is>
          <t>Kore 80 X</t>
        </is>
      </c>
      <c r="BU820" s="13" t="n">
        <v>177</v>
      </c>
      <c r="BV820" s="11" t="inlineStr">
        <is>
          <t xml:space="preserve"> Unisex</t>
        </is>
      </c>
      <c r="BW820" s="13" t="n">
        <v>177</v>
      </c>
      <c r="BX820" s="13" t="n">
        <v>176.3</v>
      </c>
      <c r="BY820" s="13" t="n">
        <v>147</v>
      </c>
      <c r="BZ820" s="13" t="n">
        <v>150</v>
      </c>
      <c r="CA820" s="13" t="n">
        <v>126</v>
      </c>
      <c r="CB820" s="13" t="n">
        <v>79</v>
      </c>
      <c r="CC820" s="13" t="n">
        <v>105</v>
      </c>
      <c r="CD820" s="13" t="n">
        <v>14.4</v>
      </c>
      <c r="CE820" s="13" t="n">
        <v>2084</v>
      </c>
      <c r="CF820" s="13" t="n">
        <v>0.8</v>
      </c>
      <c r="CG820" s="13" t="n">
        <v>1669</v>
      </c>
      <c r="CH820" s="13" t="n">
        <v>187</v>
      </c>
      <c r="CI820" s="13" t="n">
        <v>98</v>
      </c>
      <c r="CJ820" s="13" t="n">
        <v>40</v>
      </c>
      <c r="CK820" s="13" t="n">
        <v>200</v>
      </c>
      <c r="CL820" s="13" t="n">
        <v>7</v>
      </c>
      <c r="CM820" s="13" t="n">
        <v>96</v>
      </c>
      <c r="CN820" s="13" t="n">
        <v>0.178</v>
      </c>
      <c r="CO820" s="13" t="n">
        <v>135</v>
      </c>
      <c r="CP820" s="13" t="n">
        <v>124</v>
      </c>
      <c r="CQ820" s="13" t="n">
        <v>65</v>
      </c>
      <c r="CR820" s="13" t="n">
        <v>13</v>
      </c>
      <c r="CS820" s="13" t="n">
        <v>11.4</v>
      </c>
      <c r="CT820" s="11" t="inlineStr">
        <is>
          <t xml:space="preserve"> On-Piste Carving</t>
        </is>
      </c>
      <c r="CU820" s="11" t="inlineStr">
        <is>
          <t xml:space="preserve"> On-Piste All-Mountain</t>
        </is>
      </c>
      <c r="CV820" s="13" t="n"/>
      <c r="CW820" s="13" t="n"/>
      <c r="CX820">
        <f>INDEX('Data_Price '!AG$2:AG$1266,MATCH(Data!$DN820,'Data_Price '!$AT$2:$AT$1266,0))</f>
        <v/>
      </c>
      <c r="CY820">
        <f>INDEX('Data_Price '!AH$2:AH$1266,MATCH(Data!$DN820,'Data_Price '!$AT$2:$AT$1266,0))</f>
        <v/>
      </c>
      <c r="CZ820">
        <f>INDEX('Data_Price '!AI$2:AI$1266,MATCH(Data!$DN820,'Data_Price '!$AT$2:$AT$1266,0))</f>
        <v/>
      </c>
      <c r="DA820">
        <f>INDEX('Data_Price '!AJ$2:AJ$1266,MATCH(Data!$DN820,'Data_Price '!$AT$2:$AT$1266,0))</f>
        <v/>
      </c>
      <c r="DB820">
        <f>INDEX('Data_Price '!AK$2:AK$1266,MATCH(Data!$DN820,'Data_Price '!$AT$2:$AT$1266,0))</f>
        <v/>
      </c>
      <c r="DC820">
        <f>INDEX('Data_Price '!AL$2:AL$1266,MATCH(Data!$DN820,'Data_Price '!$AT$2:$AT$1266,0))</f>
        <v/>
      </c>
      <c r="DD820">
        <f>INDEX('Data_Price '!AM$2:AM$1266,MATCH(Data!$DN820,'Data_Price '!$AT$2:$AT$1266,0))</f>
        <v/>
      </c>
      <c r="DE820">
        <f>INDEX('Data_Price '!AN$2:AN$1266,MATCH(Data!$DN820,'Data_Price '!$AT$2:$AT$1266,0))</f>
        <v/>
      </c>
      <c r="DF820">
        <f>INDEX('Data_Price '!AO$2:AO$1266,MATCH(Data!$DN820,'Data_Price '!$AT$2:$AT$1266,0))</f>
        <v/>
      </c>
      <c r="DG820">
        <f>INDEX('Data_Price '!AP$2:AP$1266,MATCH(Data!$DN820,'Data_Price '!$AT$2:$AT$1266,0))</f>
        <v/>
      </c>
      <c r="DH820">
        <f>INDEX('Data_Price '!AQ$2:AQ$1266,MATCH(Data!$DN820,'Data_Price '!$AT$2:$AT$1266,0))</f>
        <v/>
      </c>
      <c r="DI820">
        <f>INDEX('Data_Price '!AR$2:AR$1266,MATCH(Data!$DN820,'Data_Price '!$AT$2:$AT$1266,0))</f>
        <v/>
      </c>
      <c r="DJ820" s="138">
        <f>DA820</f>
        <v/>
      </c>
      <c r="DK820" s="138">
        <f>DE820</f>
        <v/>
      </c>
      <c r="DL820" s="138">
        <f>DI820</f>
        <v/>
      </c>
      <c r="DM820" s="303">
        <f>IF(LEFT(BT820,1)=" ",RIGHT(BT820,LEN(BT820)-1),BT820)</f>
        <v/>
      </c>
      <c r="DN820" s="138">
        <f>_xlfn.CONCAT(BS820,DM820,BU820,BV820)</f>
        <v/>
      </c>
      <c r="DO820" s="307" t="n"/>
    </row>
    <row r="821" ht="15.6" customHeight="1" s="184">
      <c r="B821" s="303">
        <f t="array" ref="B821">IF(OR(ISERROR(K821:P821)),FALSE,TRUE)</f>
        <v/>
      </c>
      <c r="C821" s="60">
        <f>OR(BR821=Driver!$G$50,Data!BR822=Driver!$H$50)</f>
        <v/>
      </c>
      <c r="D821" s="60">
        <f>OR(BV821=Driver!$G$51,BV821=Driver!$H$51)</f>
        <v/>
      </c>
      <c r="E821" s="60">
        <f>AND(BX821&gt;Driver!$F$54,BX821&lt;Driver!$G$54)</f>
        <v/>
      </c>
      <c r="F821" s="60">
        <f>CL821&gt;Driver!$F$56</f>
        <v/>
      </c>
      <c r="G821" s="60">
        <f>AND(CB821&gt;Driver!$F$55,CB821&lt;Driver!$G$55)</f>
        <v/>
      </c>
      <c r="H821" s="60">
        <f>AND(B821:G821)</f>
        <v/>
      </c>
      <c r="I821" s="60">
        <f>COUNTIFS($H$9:$H$1273,TRUE,$BT$9:$BT$1273,BT821)</f>
        <v/>
      </c>
      <c r="J821" s="60">
        <f t="array" ref="J821">NOT(OR(($H$9:$H$1273=TRUE)*($I$9:$I$1273&gt;0)*($BT$9:$BT$1273=BT821)*($K$9:$K$1273&gt;K821)))</f>
        <v/>
      </c>
      <c r="K821" s="108">
        <f>IFERROR(1-AVERAGE(X821:Y821),"")</f>
        <v/>
      </c>
      <c r="L821" s="108">
        <f>1-X821</f>
        <v/>
      </c>
      <c r="M821" s="108">
        <f>1-Y821</f>
        <v/>
      </c>
      <c r="N821" s="108">
        <f>1-Z821</f>
        <v/>
      </c>
      <c r="O821" s="108">
        <f>1-AA821</f>
        <v/>
      </c>
      <c r="P821" s="108">
        <f>1-AB821</f>
        <v/>
      </c>
      <c r="Q821" s="108" t="n"/>
      <c r="R821" s="108" t="n"/>
      <c r="S821" s="108">
        <f>1-AE821</f>
        <v/>
      </c>
      <c r="T821" s="108">
        <f>1-AF821</f>
        <v/>
      </c>
      <c r="U821" s="108">
        <f>1-AG821</f>
        <v/>
      </c>
      <c r="V821" s="108">
        <f>1-AH821</f>
        <v/>
      </c>
      <c r="W821" s="108">
        <f>1-AI821</f>
        <v/>
      </c>
      <c r="X821" s="108">
        <f>ABS(AJ821-AJ$1)</f>
        <v/>
      </c>
      <c r="Y821" s="108">
        <f>AVERAGE(Z821:AB821)</f>
        <v/>
      </c>
      <c r="Z821" s="108">
        <f>ABS(AL821-AL$1)</f>
        <v/>
      </c>
      <c r="AA821" s="108">
        <f>ABS(AM821-AM$1)</f>
        <v/>
      </c>
      <c r="AB821" s="108">
        <f>ABS(AN821-AN$1)</f>
        <v/>
      </c>
      <c r="AC821" s="108" t="n"/>
      <c r="AD821" s="108" t="n"/>
      <c r="AE821" s="108">
        <f>ABS(AQ$1-AQ821)</f>
        <v/>
      </c>
      <c r="AF821" s="108">
        <f>ABS(AR$1-AR821)</f>
        <v/>
      </c>
      <c r="AG821" s="108">
        <f>ABS(AS$1-AS821)</f>
        <v/>
      </c>
      <c r="AH821" s="108">
        <f>ABS(AT$1-AT821)</f>
        <v/>
      </c>
      <c r="AI821" s="108">
        <f>ABS(AU$1-AU821)</f>
        <v/>
      </c>
      <c r="AJ821" s="108">
        <f>(AV821-Driver!$K$179)/(Driver!$L$179-Driver!$K$179)</f>
        <v/>
      </c>
      <c r="AK821" s="108">
        <f>(AW821-Driver!$K$180)/(Driver!$L$180-Driver!$K$180)</f>
        <v/>
      </c>
      <c r="AL821" s="108">
        <f>(AX821-Driver!$K$181)/(Driver!$L$181-Driver!$K$181)</f>
        <v/>
      </c>
      <c r="AM821" s="108">
        <f>(AY821-Driver!$K$182)/(Driver!$L$182-Driver!$K$182)</f>
        <v/>
      </c>
      <c r="AN821" s="108">
        <f>(AZ821-Driver!$K$183)/(Driver!$L$183-Driver!$K$183)</f>
        <v/>
      </c>
      <c r="AO821" s="108" t="n"/>
      <c r="AP821" s="108" t="n"/>
      <c r="AQ821" s="108">
        <f>(BC821-Driver!$K$188)/(Driver!$L$188-Driver!$K$188)</f>
        <v/>
      </c>
      <c r="AR821" s="108">
        <f>MIN((BD821-Driver!$K$189)/(Driver!$L$189-Driver!$K$189),100%)</f>
        <v/>
      </c>
      <c r="AS821" s="108">
        <f>(BE821-Driver!$K$190)/(Driver!$L$190-Driver!$K$190)</f>
        <v/>
      </c>
      <c r="AT821" s="108">
        <f>(BF821-Driver!$K$191)/(Driver!$L$191-Driver!$K$191)</f>
        <v/>
      </c>
      <c r="AU821" s="108">
        <f>(BG821-Driver!$K$192)/(Driver!$L$192-Driver!$K$192)</f>
        <v/>
      </c>
      <c r="AV821" s="105">
        <f>IFERROR(BM821*BJ821^1/4,"")</f>
        <v/>
      </c>
      <c r="AW821" s="105">
        <f>IFERROR(SUM(AX821:AZ821),"")</f>
        <v/>
      </c>
      <c r="AX821" s="105">
        <f>IFERROR(BH821,"")</f>
        <v/>
      </c>
      <c r="AY821" s="105">
        <f>IFERROR(Driver!$K$19/Data!BH821/Data!BI821*Data!BK821*Data!BL821,"")</f>
        <v/>
      </c>
      <c r="AZ821" s="105">
        <f>IFERROR(BI821*BN821,"")</f>
        <v/>
      </c>
      <c r="BA821" s="105" t="n"/>
      <c r="BB821" s="105" t="n"/>
      <c r="BC821" s="105">
        <f>IFERROR(BI821*BN821*BK821/BJ821^(1/2),"")</f>
        <v/>
      </c>
      <c r="BD821" s="105">
        <f>IFERROR(BH821*BM821*BL821/BJ821/BK821,"")</f>
        <v/>
      </c>
      <c r="BE821" s="105">
        <f>IFERROR(MIN(BI821/BQ821/BP821/BO821/BH821,$BE$1),"")</f>
        <v/>
      </c>
      <c r="BF821" s="105">
        <f>IFERROR(BJ821*BO821*BP821/BK821,"")</f>
        <v/>
      </c>
      <c r="BG821" s="105">
        <f>IFERROR(1/BM821/BH821*BQ821,"")</f>
        <v/>
      </c>
      <c r="BH821" s="102">
        <f>MAX((CE821-Driver!$F$200)/(Driver!$G$200-Driver!$F$200)*$BI$1,1)</f>
        <v/>
      </c>
      <c r="BI821" s="102">
        <f>MAX($BI$1*(BY821-Driver!$F$201)/(Driver!$G$201-Driver!$F$201),1)</f>
        <v/>
      </c>
      <c r="BJ821" s="102">
        <f>(CB821-Driver!$F$206)/(Driver!$G$206-Driver!$F$206)*$BI$1</f>
        <v/>
      </c>
      <c r="BK821" s="102">
        <f>(CD821-Driver!$F$203)/(Driver!$G$203-Driver!$F$203)*$BI$1</f>
        <v/>
      </c>
      <c r="BL821" s="102">
        <f>MAX((CR821-Driver!$F$202)/(Driver!$G$202-Driver!$F$202)*$BI$1,1)</f>
        <v/>
      </c>
      <c r="BM821" s="102">
        <f>MAX((CH821-Driver!$F$204)/(Driver!$G$204-Driver!$F$204)*$BI$1,1)</f>
        <v/>
      </c>
      <c r="BN821" s="102">
        <f>(CI821-Driver!$F$205)/(Driver!$G$205-Driver!$F$205)*$BI$1</f>
        <v/>
      </c>
      <c r="BO821" s="102">
        <f>(CK821-Driver!$F$207)/(Driver!$G$207-Driver!$F$207)*$BI$1</f>
        <v/>
      </c>
      <c r="BP821" s="102">
        <f>(CM821-Driver!$F$208)/(Driver!$G$208-Driver!$F$208)*$BI$1</f>
        <v/>
      </c>
      <c r="BQ821" s="102">
        <f>(CL821-Driver!$F$209)/(Driver!$G$209-Driver!$F$209)*$BI$1</f>
        <v/>
      </c>
      <c r="BR821" s="40" t="inlineStr">
        <is>
          <t>21/22</t>
        </is>
      </c>
      <c r="BS821" s="10" t="inlineStr">
        <is>
          <t xml:space="preserve"> Line</t>
        </is>
      </c>
      <c r="BT821" s="11" t="inlineStr">
        <is>
          <t xml:space="preserve"> Blade</t>
        </is>
      </c>
      <c r="BU821" s="13" t="n">
        <v>176</v>
      </c>
      <c r="BV821" s="11" t="inlineStr">
        <is>
          <t xml:space="preserve"> Unisex</t>
        </is>
      </c>
      <c r="BW821" s="13" t="n">
        <v>176</v>
      </c>
      <c r="BX821" s="13" t="n">
        <v>175</v>
      </c>
      <c r="BY821" s="13" t="n">
        <v>141</v>
      </c>
      <c r="BZ821" s="13" t="n">
        <v>160</v>
      </c>
      <c r="CA821" s="13" t="n">
        <v>154</v>
      </c>
      <c r="CB821" s="13" t="n">
        <v>94</v>
      </c>
      <c r="CC821" s="13" t="n">
        <v>124</v>
      </c>
      <c r="CD821" s="13" t="n">
        <v>13.6</v>
      </c>
      <c r="CE821" s="13" t="n">
        <v>1970</v>
      </c>
      <c r="CF821" s="13" t="n">
        <v>1</v>
      </c>
      <c r="CG821" s="13" t="n">
        <v>1975</v>
      </c>
      <c r="CH821" s="13" t="n">
        <v>166</v>
      </c>
      <c r="CI821" s="13" t="n">
        <v>114</v>
      </c>
      <c r="CJ821" s="13" t="n">
        <v>34</v>
      </c>
      <c r="CK821" s="13" t="n">
        <v>182</v>
      </c>
      <c r="CL821" s="13" t="n">
        <v>25</v>
      </c>
      <c r="CM821" s="13" t="n">
        <v>155</v>
      </c>
      <c r="CN821" s="13" t="n">
        <v>0.737</v>
      </c>
      <c r="CO821" s="13" t="n">
        <v>130</v>
      </c>
      <c r="CP821" s="13" t="n">
        <v>22</v>
      </c>
      <c r="CQ821" s="13" t="n">
        <v>52</v>
      </c>
      <c r="CR821" s="13" t="n">
        <v>10</v>
      </c>
      <c r="CS821" s="13" t="n">
        <v>6.7</v>
      </c>
      <c r="CT821" s="11" t="inlineStr">
        <is>
          <t xml:space="preserve"> Resort Freeride</t>
        </is>
      </c>
      <c r="CU821" s="13" t="n"/>
      <c r="CV821" s="13" t="n"/>
      <c r="CW821" s="13" t="n"/>
      <c r="CX821">
        <f>INDEX('Data_Price '!AG$2:AG$1266,MATCH(Data!$DN821,'Data_Price '!$AT$2:$AT$1266,0))</f>
        <v/>
      </c>
      <c r="CY821">
        <f>INDEX('Data_Price '!AH$2:AH$1266,MATCH(Data!$DN821,'Data_Price '!$AT$2:$AT$1266,0))</f>
        <v/>
      </c>
      <c r="CZ821">
        <f>INDEX('Data_Price '!AI$2:AI$1266,MATCH(Data!$DN821,'Data_Price '!$AT$2:$AT$1266,0))</f>
        <v/>
      </c>
      <c r="DA821">
        <f>INDEX('Data_Price '!AJ$2:AJ$1266,MATCH(Data!$DN821,'Data_Price '!$AT$2:$AT$1266,0))</f>
        <v/>
      </c>
      <c r="DB821">
        <f>INDEX('Data_Price '!AK$2:AK$1266,MATCH(Data!$DN821,'Data_Price '!$AT$2:$AT$1266,0))</f>
        <v/>
      </c>
      <c r="DC821">
        <f>INDEX('Data_Price '!AL$2:AL$1266,MATCH(Data!$DN821,'Data_Price '!$AT$2:$AT$1266,0))</f>
        <v/>
      </c>
      <c r="DD821">
        <f>INDEX('Data_Price '!AM$2:AM$1266,MATCH(Data!$DN821,'Data_Price '!$AT$2:$AT$1266,0))</f>
        <v/>
      </c>
      <c r="DE821">
        <f>INDEX('Data_Price '!AN$2:AN$1266,MATCH(Data!$DN821,'Data_Price '!$AT$2:$AT$1266,0))</f>
        <v/>
      </c>
      <c r="DF821">
        <f>INDEX('Data_Price '!AO$2:AO$1266,MATCH(Data!$DN821,'Data_Price '!$AT$2:$AT$1266,0))</f>
        <v/>
      </c>
      <c r="DG821">
        <f>INDEX('Data_Price '!AP$2:AP$1266,MATCH(Data!$DN821,'Data_Price '!$AT$2:$AT$1266,0))</f>
        <v/>
      </c>
      <c r="DH821">
        <f>INDEX('Data_Price '!AQ$2:AQ$1266,MATCH(Data!$DN821,'Data_Price '!$AT$2:$AT$1266,0))</f>
        <v/>
      </c>
      <c r="DI821">
        <f>INDEX('Data_Price '!AR$2:AR$1266,MATCH(Data!$DN821,'Data_Price '!$AT$2:$AT$1266,0))</f>
        <v/>
      </c>
      <c r="DJ821" s="138">
        <f>DA821</f>
        <v/>
      </c>
      <c r="DK821" s="138">
        <f>DE821</f>
        <v/>
      </c>
      <c r="DL821" s="138">
        <f>DI821</f>
        <v/>
      </c>
      <c r="DM821" s="303">
        <f>IF(LEFT(BT821,1)=" ",RIGHT(BT821,LEN(BT821)-1),BT821)</f>
        <v/>
      </c>
      <c r="DN821" s="138">
        <f>_xlfn.CONCAT(BS821,DM821,BU821,BV821)</f>
        <v/>
      </c>
      <c r="DO821" s="307" t="inlineStr">
        <is>
          <t>https://images.evo.com/imgp/250/198423/817632/clone.jpg</t>
        </is>
      </c>
    </row>
    <row r="822" ht="15.6" customHeight="1" s="184">
      <c r="B822" s="303">
        <f t="array" ref="B822">IF(OR(ISERROR(K822:P822)),FALSE,TRUE)</f>
        <v/>
      </c>
      <c r="C822" s="60">
        <f>OR(BR822=Driver!$G$50,Data!BR1048=Driver!$H$50)</f>
        <v/>
      </c>
      <c r="D822" s="60">
        <f>OR(BV822=Driver!$G$51,BV822=Driver!$H$51)</f>
        <v/>
      </c>
      <c r="E822" s="60">
        <f>AND(BX822&gt;Driver!$F$54,BX822&lt;Driver!$G$54)</f>
        <v/>
      </c>
      <c r="F822" s="60">
        <f>CL822&gt;Driver!$F$56</f>
        <v/>
      </c>
      <c r="G822" s="60">
        <f>AND(CB822&gt;Driver!$F$55,CB822&lt;Driver!$G$55)</f>
        <v/>
      </c>
      <c r="H822" s="60">
        <f>AND(B822:G822)</f>
        <v/>
      </c>
      <c r="I822" s="60">
        <f>COUNTIFS($H$9:$H$1273,TRUE,$BT$9:$BT$1273,BT822)</f>
        <v/>
      </c>
      <c r="J822" s="60">
        <f t="array" ref="J822">NOT(OR(($H$9:$H$1273=TRUE)*($I$9:$I$1273&gt;0)*($BT$9:$BT$1273=BT822)*($K$9:$K$1273&gt;K822)))</f>
        <v/>
      </c>
      <c r="K822" s="108">
        <f>IFERROR(1-AVERAGE(X822:Y822),"")</f>
        <v/>
      </c>
      <c r="L822" s="108">
        <f>1-X822</f>
        <v/>
      </c>
      <c r="M822" s="108">
        <f>1-Y822</f>
        <v/>
      </c>
      <c r="N822" s="108">
        <f>1-Z822</f>
        <v/>
      </c>
      <c r="O822" s="108">
        <f>1-AA822</f>
        <v/>
      </c>
      <c r="P822" s="108">
        <f>1-AB822</f>
        <v/>
      </c>
      <c r="Q822" s="108" t="n"/>
      <c r="R822" s="108" t="n"/>
      <c r="S822" s="108">
        <f>1-AE822</f>
        <v/>
      </c>
      <c r="T822" s="108">
        <f>1-AF822</f>
        <v/>
      </c>
      <c r="U822" s="108">
        <f>1-AG822</f>
        <v/>
      </c>
      <c r="V822" s="108">
        <f>1-AH822</f>
        <v/>
      </c>
      <c r="W822" s="108">
        <f>1-AI822</f>
        <v/>
      </c>
      <c r="X822" s="108">
        <f>ABS(AJ822-AJ$1)</f>
        <v/>
      </c>
      <c r="Y822" s="108">
        <f>AVERAGE(Z822:AB822)</f>
        <v/>
      </c>
      <c r="Z822" s="108">
        <f>ABS(AL822-AL$1)</f>
        <v/>
      </c>
      <c r="AA822" s="108">
        <f>ABS(AM822-AM$1)</f>
        <v/>
      </c>
      <c r="AB822" s="108">
        <f>ABS(AN822-AN$1)</f>
        <v/>
      </c>
      <c r="AC822" s="108" t="n"/>
      <c r="AD822" s="108" t="n"/>
      <c r="AE822" s="108">
        <f>ABS(AQ$1-AQ822)</f>
        <v/>
      </c>
      <c r="AF822" s="108">
        <f>ABS(AR$1-AR822)</f>
        <v/>
      </c>
      <c r="AG822" s="108">
        <f>ABS(AS$1-AS822)</f>
        <v/>
      </c>
      <c r="AH822" s="108">
        <f>ABS(AT$1-AT822)</f>
        <v/>
      </c>
      <c r="AI822" s="108">
        <f>ABS(AU$1-AU822)</f>
        <v/>
      </c>
      <c r="AJ822" s="108">
        <f>(AV822-Driver!$K$179)/(Driver!$L$179-Driver!$K$179)</f>
        <v/>
      </c>
      <c r="AK822" s="108">
        <f>(AW822-Driver!$K$180)/(Driver!$L$180-Driver!$K$180)</f>
        <v/>
      </c>
      <c r="AL822" s="108">
        <f>(AX822-Driver!$K$181)/(Driver!$L$181-Driver!$K$181)</f>
        <v/>
      </c>
      <c r="AM822" s="108">
        <f>(AY822-Driver!$K$182)/(Driver!$L$182-Driver!$K$182)</f>
        <v/>
      </c>
      <c r="AN822" s="108">
        <f>(AZ822-Driver!$K$183)/(Driver!$L$183-Driver!$K$183)</f>
        <v/>
      </c>
      <c r="AO822" s="108" t="n"/>
      <c r="AP822" s="108" t="n"/>
      <c r="AQ822" s="108">
        <f>(BC822-Driver!$K$188)/(Driver!$L$188-Driver!$K$188)</f>
        <v/>
      </c>
      <c r="AR822" s="108">
        <f>MIN((BD822-Driver!$K$189)/(Driver!$L$189-Driver!$K$189),100%)</f>
        <v/>
      </c>
      <c r="AS822" s="108">
        <f>(BE822-Driver!$K$190)/(Driver!$L$190-Driver!$K$190)</f>
        <v/>
      </c>
      <c r="AT822" s="108">
        <f>(BF822-Driver!$K$191)/(Driver!$L$191-Driver!$K$191)</f>
        <v/>
      </c>
      <c r="AU822" s="108">
        <f>(BG822-Driver!$K$192)/(Driver!$L$192-Driver!$K$192)</f>
        <v/>
      </c>
      <c r="AV822" s="105">
        <f>IFERROR(BM822*BJ822^1/4,"")</f>
        <v/>
      </c>
      <c r="AW822" s="105">
        <f>IFERROR(SUM(AX822:AZ822),"")</f>
        <v/>
      </c>
      <c r="AX822" s="105">
        <f>IFERROR(BH822,"")</f>
        <v/>
      </c>
      <c r="AY822" s="105">
        <f>IFERROR(Driver!$K$19/Data!BH822/Data!BI822*Data!BK822*Data!BL822,"")</f>
        <v/>
      </c>
      <c r="AZ822" s="105">
        <f>IFERROR(BI822*BN822,"")</f>
        <v/>
      </c>
      <c r="BA822" s="105" t="n"/>
      <c r="BB822" s="105" t="n"/>
      <c r="BC822" s="105">
        <f>IFERROR(BI822*BN822*BK822/BJ822^(1/2),"")</f>
        <v/>
      </c>
      <c r="BD822" s="105">
        <f>IFERROR(BH822*BM822*BL822/BJ822/BK822,"")</f>
        <v/>
      </c>
      <c r="BE822" s="105">
        <f>IFERROR(MIN(BI822/BQ822/BP822/BO822/BH822,$BE$1),"")</f>
        <v/>
      </c>
      <c r="BF822" s="105">
        <f>IFERROR(BJ822*BO822*BP822/BK822,"")</f>
        <v/>
      </c>
      <c r="BG822" s="105">
        <f>IFERROR(1/BM822/BH822*BQ822,"")</f>
        <v/>
      </c>
      <c r="BH822" s="102">
        <f>MAX((CE822-Driver!$F$200)/(Driver!$G$200-Driver!$F$200)*$BI$1,1)</f>
        <v/>
      </c>
      <c r="BI822" s="102">
        <f>MAX($BI$1*(BY822-Driver!$F$201)/(Driver!$G$201-Driver!$F$201),1)</f>
        <v/>
      </c>
      <c r="BJ822" s="102">
        <f>(CB822-Driver!$F$206)/(Driver!$G$206-Driver!$F$206)*$BI$1</f>
        <v/>
      </c>
      <c r="BK822" s="102">
        <f>(CD822-Driver!$F$203)/(Driver!$G$203-Driver!$F$203)*$BI$1</f>
        <v/>
      </c>
      <c r="BL822" s="102">
        <f>MAX((CR822-Driver!$F$202)/(Driver!$G$202-Driver!$F$202)*$BI$1,1)</f>
        <v/>
      </c>
      <c r="BM822" s="102">
        <f>MAX((CH822-Driver!$F$204)/(Driver!$G$204-Driver!$F$204)*$BI$1,1)</f>
        <v/>
      </c>
      <c r="BN822" s="102">
        <f>(CI822-Driver!$F$205)/(Driver!$G$205-Driver!$F$205)*$BI$1</f>
        <v/>
      </c>
      <c r="BO822" s="102">
        <f>(CK822-Driver!$F$207)/(Driver!$G$207-Driver!$F$207)*$BI$1</f>
        <v/>
      </c>
      <c r="BP822" s="102">
        <f>(CM822-Driver!$F$208)/(Driver!$G$208-Driver!$F$208)*$BI$1</f>
        <v/>
      </c>
      <c r="BQ822" s="102">
        <f>(CL822-Driver!$F$209)/(Driver!$G$209-Driver!$F$209)*$BI$1</f>
        <v/>
      </c>
      <c r="BR822" s="40" t="inlineStr">
        <is>
          <t>21/22</t>
        </is>
      </c>
      <c r="BS822" s="10" t="inlineStr">
        <is>
          <t xml:space="preserve"> Rossignol</t>
        </is>
      </c>
      <c r="BT822" s="11" t="inlineStr">
        <is>
          <t>Nova 2</t>
        </is>
      </c>
      <c r="BU822" s="13" t="n">
        <v>160</v>
      </c>
      <c r="BV822" s="11" t="inlineStr">
        <is>
          <t xml:space="preserve"> Women's</t>
        </is>
      </c>
      <c r="BW822" s="13" t="n">
        <v>160</v>
      </c>
      <c r="BX822" s="13" t="n">
        <v>160.5</v>
      </c>
      <c r="BY822" s="13" t="n">
        <v>139</v>
      </c>
      <c r="BZ822" s="13" t="n">
        <v>145</v>
      </c>
      <c r="CA822" s="13" t="n">
        <v>121</v>
      </c>
      <c r="CB822" s="13" t="n">
        <v>74</v>
      </c>
      <c r="CC822" s="13" t="n">
        <v>107</v>
      </c>
      <c r="CD822" s="13" t="n">
        <v>13</v>
      </c>
      <c r="CE822" s="13" t="n">
        <v>1546</v>
      </c>
      <c r="CF822" s="13" t="n">
        <v>0.92</v>
      </c>
      <c r="CG822" s="13" t="n">
        <v>1427</v>
      </c>
      <c r="CH822" s="13" t="n">
        <v>151</v>
      </c>
      <c r="CI822" s="13" t="n">
        <v>51</v>
      </c>
      <c r="CJ822" s="13" t="n">
        <v>38</v>
      </c>
      <c r="CK822" s="13" t="n">
        <v>148</v>
      </c>
      <c r="CL822" s="13" t="n">
        <v>5</v>
      </c>
      <c r="CM822" s="13" t="n">
        <v>71</v>
      </c>
      <c r="CN822" s="13" t="n">
        <v>0.139</v>
      </c>
      <c r="CO822" s="13" t="n">
        <v>81</v>
      </c>
      <c r="CP822" s="13" t="n">
        <v>79</v>
      </c>
      <c r="CQ822" s="13" t="n">
        <v>67</v>
      </c>
      <c r="CR822" s="13" t="n">
        <v>9</v>
      </c>
      <c r="CS822" s="13" t="n">
        <v>8.5</v>
      </c>
      <c r="CT822" s="11" t="inlineStr">
        <is>
          <t xml:space="preserve"> On-Piste Carving</t>
        </is>
      </c>
      <c r="CU822" s="13" t="n"/>
      <c r="CV822" s="13" t="n"/>
      <c r="CW822" s="13" t="n"/>
      <c r="CX822">
        <f>INDEX('Data_Price '!AG$2:AG$1266,MATCH(Data!$DN822,'Data_Price '!$AT$2:$AT$1266,0))</f>
        <v/>
      </c>
      <c r="CY822">
        <f>INDEX('Data_Price '!AH$2:AH$1266,MATCH(Data!$DN822,'Data_Price '!$AT$2:$AT$1266,0))</f>
        <v/>
      </c>
      <c r="CZ822">
        <f>INDEX('Data_Price '!AI$2:AI$1266,MATCH(Data!$DN822,'Data_Price '!$AT$2:$AT$1266,0))</f>
        <v/>
      </c>
      <c r="DA822">
        <f>INDEX('Data_Price '!AJ$2:AJ$1266,MATCH(Data!$DN822,'Data_Price '!$AT$2:$AT$1266,0))</f>
        <v/>
      </c>
      <c r="DB822">
        <f>INDEX('Data_Price '!AK$2:AK$1266,MATCH(Data!$DN822,'Data_Price '!$AT$2:$AT$1266,0))</f>
        <v/>
      </c>
      <c r="DC822">
        <f>INDEX('Data_Price '!AL$2:AL$1266,MATCH(Data!$DN822,'Data_Price '!$AT$2:$AT$1266,0))</f>
        <v/>
      </c>
      <c r="DD822">
        <f>INDEX('Data_Price '!AM$2:AM$1266,MATCH(Data!$DN822,'Data_Price '!$AT$2:$AT$1266,0))</f>
        <v/>
      </c>
      <c r="DE822">
        <f>INDEX('Data_Price '!AN$2:AN$1266,MATCH(Data!$DN822,'Data_Price '!$AT$2:$AT$1266,0))</f>
        <v/>
      </c>
      <c r="DF822">
        <f>INDEX('Data_Price '!AO$2:AO$1266,MATCH(Data!$DN822,'Data_Price '!$AT$2:$AT$1266,0))</f>
        <v/>
      </c>
      <c r="DG822">
        <f>INDEX('Data_Price '!AP$2:AP$1266,MATCH(Data!$DN822,'Data_Price '!$AT$2:$AT$1266,0))</f>
        <v/>
      </c>
      <c r="DH822">
        <f>INDEX('Data_Price '!AQ$2:AQ$1266,MATCH(Data!$DN822,'Data_Price '!$AT$2:$AT$1266,0))</f>
        <v/>
      </c>
      <c r="DI822">
        <f>INDEX('Data_Price '!AR$2:AR$1266,MATCH(Data!$DN822,'Data_Price '!$AT$2:$AT$1266,0))</f>
        <v/>
      </c>
      <c r="DJ822" s="138">
        <f>DA822</f>
        <v/>
      </c>
      <c r="DK822" s="138">
        <f>DE822</f>
        <v/>
      </c>
      <c r="DL822" s="138">
        <f>DI822</f>
        <v/>
      </c>
      <c r="DM822" s="303">
        <f>IF(LEFT(BT822,1)=" ",RIGHT(BT822,LEN(BT822)-1),BT822)</f>
        <v/>
      </c>
      <c r="DN822" s="138">
        <f>_xlfn.CONCAT(BS822,DM822,BU822,BV822)</f>
        <v/>
      </c>
      <c r="DO822" s="307" t="inlineStr">
        <is>
          <t>https://images.evo.com/imgp/250/185226/741469/clone.jpg</t>
        </is>
      </c>
    </row>
    <row r="823" ht="15.6" customHeight="1" s="184">
      <c r="B823" s="303">
        <f t="array" ref="B823">IF(OR(ISERROR(K823:P823)),FALSE,TRUE)</f>
        <v/>
      </c>
      <c r="C823" s="60">
        <f>OR(BR823=Driver!$G$50,Data!BR53=Driver!$H$50)</f>
        <v/>
      </c>
      <c r="D823" s="60">
        <f>OR(BV823=Driver!$G$51,BV823=Driver!$H$51)</f>
        <v/>
      </c>
      <c r="E823" s="60">
        <f>AND(BX823&gt;Driver!$F$54,BX823&lt;Driver!$G$54)</f>
        <v/>
      </c>
      <c r="F823" s="60">
        <f>CL823&gt;Driver!$F$56</f>
        <v/>
      </c>
      <c r="G823" s="60">
        <f>AND(CB823&gt;Driver!$F$55,CB823&lt;Driver!$G$55)</f>
        <v/>
      </c>
      <c r="H823" s="60">
        <f>AND(B823:G823)</f>
        <v/>
      </c>
      <c r="I823" s="60">
        <f>COUNTIFS($H$9:$H$1273,TRUE,$BT$9:$BT$1273,BT823)</f>
        <v/>
      </c>
      <c r="J823" s="60">
        <f t="array" ref="J823">NOT(OR(($H$9:$H$1273=TRUE)*($I$9:$I$1273&gt;0)*($BT$9:$BT$1273=BT823)*($K$9:$K$1273&gt;K823)))</f>
        <v/>
      </c>
      <c r="K823" s="108">
        <f>IFERROR(1-AVERAGE(X823:Y823),"")</f>
        <v/>
      </c>
      <c r="L823" s="108">
        <f>1-X823</f>
        <v/>
      </c>
      <c r="M823" s="108">
        <f>1-Y823</f>
        <v/>
      </c>
      <c r="N823" s="108">
        <f>1-Z823</f>
        <v/>
      </c>
      <c r="O823" s="108">
        <f>1-AA823</f>
        <v/>
      </c>
      <c r="P823" s="108">
        <f>1-AB823</f>
        <v/>
      </c>
      <c r="Q823" s="108" t="n"/>
      <c r="R823" s="108" t="n"/>
      <c r="S823" s="108">
        <f>1-AE823</f>
        <v/>
      </c>
      <c r="T823" s="108">
        <f>1-AF823</f>
        <v/>
      </c>
      <c r="U823" s="108">
        <f>1-AG823</f>
        <v/>
      </c>
      <c r="V823" s="108">
        <f>1-AH823</f>
        <v/>
      </c>
      <c r="W823" s="108">
        <f>1-AI823</f>
        <v/>
      </c>
      <c r="X823" s="108">
        <f>ABS(AJ823-AJ$1)</f>
        <v/>
      </c>
      <c r="Y823" s="108">
        <f>AVERAGE(Z823:AB823)</f>
        <v/>
      </c>
      <c r="Z823" s="108">
        <f>ABS(AL823-AL$1)</f>
        <v/>
      </c>
      <c r="AA823" s="108">
        <f>ABS(AM823-AM$1)</f>
        <v/>
      </c>
      <c r="AB823" s="108">
        <f>ABS(AN823-AN$1)</f>
        <v/>
      </c>
      <c r="AC823" s="108" t="n"/>
      <c r="AD823" s="108" t="n"/>
      <c r="AE823" s="108">
        <f>ABS(AQ$1-AQ823)</f>
        <v/>
      </c>
      <c r="AF823" s="108">
        <f>ABS(AR$1-AR823)</f>
        <v/>
      </c>
      <c r="AG823" s="108">
        <f>ABS(AS$1-AS823)</f>
        <v/>
      </c>
      <c r="AH823" s="108">
        <f>ABS(AT$1-AT823)</f>
        <v/>
      </c>
      <c r="AI823" s="108">
        <f>ABS(AU$1-AU823)</f>
        <v/>
      </c>
      <c r="AJ823" s="108">
        <f>(AV823-Driver!$K$179)/(Driver!$L$179-Driver!$K$179)</f>
        <v/>
      </c>
      <c r="AK823" s="108">
        <f>(AW823-Driver!$K$180)/(Driver!$L$180-Driver!$K$180)</f>
        <v/>
      </c>
      <c r="AL823" s="108">
        <f>(AX823-Driver!$K$181)/(Driver!$L$181-Driver!$K$181)</f>
        <v/>
      </c>
      <c r="AM823" s="108">
        <f>(AY823-Driver!$K$182)/(Driver!$L$182-Driver!$K$182)</f>
        <v/>
      </c>
      <c r="AN823" s="108">
        <f>(AZ823-Driver!$K$183)/(Driver!$L$183-Driver!$K$183)</f>
        <v/>
      </c>
      <c r="AO823" s="108" t="n"/>
      <c r="AP823" s="108" t="n"/>
      <c r="AQ823" s="108">
        <f>(BC823-Driver!$K$188)/(Driver!$L$188-Driver!$K$188)</f>
        <v/>
      </c>
      <c r="AR823" s="108">
        <f>MIN((BD823-Driver!$K$189)/(Driver!$L$189-Driver!$K$189),100%)</f>
        <v/>
      </c>
      <c r="AS823" s="108">
        <f>(BE823-Driver!$K$190)/(Driver!$L$190-Driver!$K$190)</f>
        <v/>
      </c>
      <c r="AT823" s="108">
        <f>(BF823-Driver!$K$191)/(Driver!$L$191-Driver!$K$191)</f>
        <v/>
      </c>
      <c r="AU823" s="108">
        <f>(BG823-Driver!$K$192)/(Driver!$L$192-Driver!$K$192)</f>
        <v/>
      </c>
      <c r="AV823" s="105">
        <f>IFERROR(BM823*BJ823^1/4,"")</f>
        <v/>
      </c>
      <c r="AW823" s="105">
        <f>IFERROR(SUM(AX823:AZ823),"")</f>
        <v/>
      </c>
      <c r="AX823" s="105">
        <f>IFERROR(BH823,"")</f>
        <v/>
      </c>
      <c r="AY823" s="105">
        <f>IFERROR(Driver!$K$19/Data!BH823/Data!BI823*Data!BK823*Data!BL823,"")</f>
        <v/>
      </c>
      <c r="AZ823" s="105">
        <f>IFERROR(BI823*BN823,"")</f>
        <v/>
      </c>
      <c r="BA823" s="105" t="n"/>
      <c r="BB823" s="105" t="n"/>
      <c r="BC823" s="105">
        <f>IFERROR(BI823*BN823*BK823/BJ823^(1/2),"")</f>
        <v/>
      </c>
      <c r="BD823" s="105">
        <f>IFERROR(BH823*BM823*BL823/BJ823/BK823,"")</f>
        <v/>
      </c>
      <c r="BE823" s="105">
        <f>IFERROR(MIN(BI823/BQ823/BP823/BO823/BH823,$BE$1),"")</f>
        <v/>
      </c>
      <c r="BF823" s="105">
        <f>IFERROR(BJ823*BO823*BP823/BK823,"")</f>
        <v/>
      </c>
      <c r="BG823" s="105">
        <f>IFERROR(1/BM823/BH823*BQ823,"")</f>
        <v/>
      </c>
      <c r="BH823" s="102">
        <f>MAX((CE823-Driver!$F$200)/(Driver!$G$200-Driver!$F$200)*$BI$1,1)</f>
        <v/>
      </c>
      <c r="BI823" s="102">
        <f>MAX($BI$1*(BY823-Driver!$F$201)/(Driver!$G$201-Driver!$F$201),1)</f>
        <v/>
      </c>
      <c r="BJ823" s="102">
        <f>(CB823-Driver!$F$206)/(Driver!$G$206-Driver!$F$206)*$BI$1</f>
        <v/>
      </c>
      <c r="BK823" s="102">
        <f>(CD823-Driver!$F$203)/(Driver!$G$203-Driver!$F$203)*$BI$1</f>
        <v/>
      </c>
      <c r="BL823" s="102">
        <f>MAX((CR823-Driver!$F$202)/(Driver!$G$202-Driver!$F$202)*$BI$1,1)</f>
        <v/>
      </c>
      <c r="BM823" s="102">
        <f>MAX((CH823-Driver!$F$204)/(Driver!$G$204-Driver!$F$204)*$BI$1,1)</f>
        <v/>
      </c>
      <c r="BN823" s="102">
        <f>(CI823-Driver!$F$205)/(Driver!$G$205-Driver!$F$205)*$BI$1</f>
        <v/>
      </c>
      <c r="BO823" s="102">
        <f>(CK823-Driver!$F$207)/(Driver!$G$207-Driver!$F$207)*$BI$1</f>
        <v/>
      </c>
      <c r="BP823" s="102">
        <f>(CM823-Driver!$F$208)/(Driver!$G$208-Driver!$F$208)*$BI$1</f>
        <v/>
      </c>
      <c r="BQ823" s="102">
        <f>(CL823-Driver!$F$209)/(Driver!$G$209-Driver!$F$209)*$BI$1</f>
        <v/>
      </c>
      <c r="BR823" s="40" t="inlineStr">
        <is>
          <t>21/22</t>
        </is>
      </c>
      <c r="BS823" s="10" t="inlineStr">
        <is>
          <t xml:space="preserve"> Armada</t>
        </is>
      </c>
      <c r="BT823" s="11" t="inlineStr">
        <is>
          <t>ARW 86</t>
        </is>
      </c>
      <c r="BU823" s="13" t="n">
        <v>156</v>
      </c>
      <c r="BV823" s="11" t="inlineStr">
        <is>
          <t xml:space="preserve"> Women's</t>
        </is>
      </c>
      <c r="BW823" s="13" t="n">
        <v>156</v>
      </c>
      <c r="BX823" s="13" t="n">
        <v>154</v>
      </c>
      <c r="BY823" s="13" t="n">
        <v>118</v>
      </c>
      <c r="BZ823" s="13" t="n">
        <v>132</v>
      </c>
      <c r="CA823" s="13" t="n">
        <v>111</v>
      </c>
      <c r="CB823" s="13" t="n">
        <v>85</v>
      </c>
      <c r="CC823" s="13" t="n">
        <v>106</v>
      </c>
      <c r="CD823" s="13" t="n">
        <v>16.5</v>
      </c>
      <c r="CE823" s="13" t="n">
        <v>1469</v>
      </c>
      <c r="CF823" s="13" t="n">
        <v>0.99</v>
      </c>
      <c r="CG823" s="13" t="n">
        <v>1455</v>
      </c>
      <c r="CH823" s="13" t="n">
        <v>136</v>
      </c>
      <c r="CI823" s="13" t="n">
        <v>72</v>
      </c>
      <c r="CJ823" s="13" t="n">
        <v>44</v>
      </c>
      <c r="CK823" s="13" t="n">
        <v>186</v>
      </c>
      <c r="CL823" s="13" t="n">
        <v>39</v>
      </c>
      <c r="CM823" s="13" t="n">
        <v>169</v>
      </c>
      <c r="CN823" s="13" t="n">
        <v>0.87</v>
      </c>
      <c r="CO823" s="13" t="n">
        <v>110</v>
      </c>
      <c r="CP823" s="13" t="n">
        <v>106</v>
      </c>
      <c r="CQ823" s="13" t="n">
        <v>76</v>
      </c>
      <c r="CR823" s="13" t="n">
        <v>9</v>
      </c>
      <c r="CS823" s="13" t="n">
        <v>4.2</v>
      </c>
      <c r="CT823" s="11" t="inlineStr">
        <is>
          <t xml:space="preserve"> Freeski</t>
        </is>
      </c>
      <c r="CU823" s="13" t="n"/>
      <c r="CV823" s="13" t="n"/>
      <c r="CW823" s="13" t="n"/>
      <c r="CX823">
        <f>INDEX('Data_Price '!AG$2:AG$1266,MATCH(Data!$DN823,'Data_Price '!$AT$2:$AT$1266,0))</f>
        <v/>
      </c>
      <c r="CY823">
        <f>INDEX('Data_Price '!AH$2:AH$1266,MATCH(Data!$DN823,'Data_Price '!$AT$2:$AT$1266,0))</f>
        <v/>
      </c>
      <c r="CZ823">
        <f>INDEX('Data_Price '!AI$2:AI$1266,MATCH(Data!$DN823,'Data_Price '!$AT$2:$AT$1266,0))</f>
        <v/>
      </c>
      <c r="DA823">
        <f>INDEX('Data_Price '!AJ$2:AJ$1266,MATCH(Data!$DN823,'Data_Price '!$AT$2:$AT$1266,0))</f>
        <v/>
      </c>
      <c r="DB823">
        <f>INDEX('Data_Price '!AK$2:AK$1266,MATCH(Data!$DN823,'Data_Price '!$AT$2:$AT$1266,0))</f>
        <v/>
      </c>
      <c r="DC823">
        <f>INDEX('Data_Price '!AL$2:AL$1266,MATCH(Data!$DN823,'Data_Price '!$AT$2:$AT$1266,0))</f>
        <v/>
      </c>
      <c r="DD823">
        <f>INDEX('Data_Price '!AM$2:AM$1266,MATCH(Data!$DN823,'Data_Price '!$AT$2:$AT$1266,0))</f>
        <v/>
      </c>
      <c r="DE823">
        <f>INDEX('Data_Price '!AN$2:AN$1266,MATCH(Data!$DN823,'Data_Price '!$AT$2:$AT$1266,0))</f>
        <v/>
      </c>
      <c r="DF823">
        <f>INDEX('Data_Price '!AO$2:AO$1266,MATCH(Data!$DN823,'Data_Price '!$AT$2:$AT$1266,0))</f>
        <v/>
      </c>
      <c r="DG823">
        <f>INDEX('Data_Price '!AP$2:AP$1266,MATCH(Data!$DN823,'Data_Price '!$AT$2:$AT$1266,0))</f>
        <v/>
      </c>
      <c r="DH823">
        <f>INDEX('Data_Price '!AQ$2:AQ$1266,MATCH(Data!$DN823,'Data_Price '!$AT$2:$AT$1266,0))</f>
        <v/>
      </c>
      <c r="DI823">
        <f>INDEX('Data_Price '!AR$2:AR$1266,MATCH(Data!$DN823,'Data_Price '!$AT$2:$AT$1266,0))</f>
        <v/>
      </c>
      <c r="DJ823" s="138">
        <f>DA823</f>
        <v/>
      </c>
      <c r="DK823" s="138">
        <f>DE823</f>
        <v/>
      </c>
      <c r="DL823" s="138">
        <f>DI823</f>
        <v/>
      </c>
      <c r="DM823" s="303">
        <f>IF(LEFT(BT823,1)=" ",RIGHT(BT823,LEN(BT823)-1),BT823)</f>
        <v/>
      </c>
      <c r="DN823" s="138">
        <f>_xlfn.CONCAT(BS823,DM823,BU823,BV823)</f>
        <v/>
      </c>
      <c r="DO823" s="307" t="inlineStr">
        <is>
          <t>https://images.evo.com/imgp/250/198713/839685/armada-arw-86-skis-women-s-2022-.jpg</t>
        </is>
      </c>
    </row>
    <row r="824" ht="15.6" customHeight="1" s="184">
      <c r="B824" s="303">
        <f t="array" ref="B824">IF(OR(ISERROR(K824:P824)),FALSE,TRUE)</f>
        <v/>
      </c>
      <c r="C824" s="60">
        <f>OR(BR824=Driver!$G$50,Data!BR534=Driver!$H$50)</f>
        <v/>
      </c>
      <c r="D824" s="60">
        <f>OR(BV824=Driver!$G$51,BV824=Driver!$H$51)</f>
        <v/>
      </c>
      <c r="E824" s="60">
        <f>AND(BX824&gt;Driver!$F$54,BX824&lt;Driver!$G$54)</f>
        <v/>
      </c>
      <c r="F824" s="60">
        <f>CL824&gt;Driver!$F$56</f>
        <v/>
      </c>
      <c r="G824" s="60">
        <f>AND(CB824&gt;Driver!$F$55,CB824&lt;Driver!$G$55)</f>
        <v/>
      </c>
      <c r="H824" s="60">
        <f>AND(B824:G824)</f>
        <v/>
      </c>
      <c r="I824" s="60">
        <f>COUNTIFS($H$9:$H$1273,TRUE,$BT$9:$BT$1273,BT824)</f>
        <v/>
      </c>
      <c r="J824" s="60">
        <f t="array" ref="J824">NOT(OR(($H$9:$H$1273=TRUE)*($I$9:$I$1273&gt;0)*($BT$9:$BT$1273=BT824)*($K$9:$K$1273&gt;K824)))</f>
        <v/>
      </c>
      <c r="K824" s="108">
        <f>IFERROR(1-AVERAGE(X824:Y824),"")</f>
        <v/>
      </c>
      <c r="L824" s="108">
        <f>1-X824</f>
        <v/>
      </c>
      <c r="M824" s="108">
        <f>1-Y824</f>
        <v/>
      </c>
      <c r="N824" s="108">
        <f>1-Z824</f>
        <v/>
      </c>
      <c r="O824" s="108">
        <f>1-AA824</f>
        <v/>
      </c>
      <c r="P824" s="108">
        <f>1-AB824</f>
        <v/>
      </c>
      <c r="Q824" s="108" t="n"/>
      <c r="R824" s="108" t="n"/>
      <c r="S824" s="108">
        <f>1-AE824</f>
        <v/>
      </c>
      <c r="T824" s="108">
        <f>1-AF824</f>
        <v/>
      </c>
      <c r="U824" s="108">
        <f>1-AG824</f>
        <v/>
      </c>
      <c r="V824" s="108">
        <f>1-AH824</f>
        <v/>
      </c>
      <c r="W824" s="108">
        <f>1-AI824</f>
        <v/>
      </c>
      <c r="X824" s="108">
        <f>ABS(AJ824-AJ$1)</f>
        <v/>
      </c>
      <c r="Y824" s="108">
        <f>AVERAGE(Z824:AB824)</f>
        <v/>
      </c>
      <c r="Z824" s="108">
        <f>ABS(AL824-AL$1)</f>
        <v/>
      </c>
      <c r="AA824" s="108">
        <f>ABS(AM824-AM$1)</f>
        <v/>
      </c>
      <c r="AB824" s="108">
        <f>ABS(AN824-AN$1)</f>
        <v/>
      </c>
      <c r="AC824" s="108" t="n"/>
      <c r="AD824" s="108" t="n"/>
      <c r="AE824" s="108">
        <f>ABS(AQ$1-AQ824)</f>
        <v/>
      </c>
      <c r="AF824" s="108">
        <f>ABS(AR$1-AR824)</f>
        <v/>
      </c>
      <c r="AG824" s="108">
        <f>ABS(AS$1-AS824)</f>
        <v/>
      </c>
      <c r="AH824" s="108">
        <f>ABS(AT$1-AT824)</f>
        <v/>
      </c>
      <c r="AI824" s="108">
        <f>ABS(AU$1-AU824)</f>
        <v/>
      </c>
      <c r="AJ824" s="108">
        <f>(AV824-Driver!$K$179)/(Driver!$L$179-Driver!$K$179)</f>
        <v/>
      </c>
      <c r="AK824" s="108">
        <f>(AW824-Driver!$K$180)/(Driver!$L$180-Driver!$K$180)</f>
        <v/>
      </c>
      <c r="AL824" s="108">
        <f>(AX824-Driver!$K$181)/(Driver!$L$181-Driver!$K$181)</f>
        <v/>
      </c>
      <c r="AM824" s="108">
        <f>(AY824-Driver!$K$182)/(Driver!$L$182-Driver!$K$182)</f>
        <v/>
      </c>
      <c r="AN824" s="108">
        <f>(AZ824-Driver!$K$183)/(Driver!$L$183-Driver!$K$183)</f>
        <v/>
      </c>
      <c r="AO824" s="108" t="n"/>
      <c r="AP824" s="108" t="n"/>
      <c r="AQ824" s="108">
        <f>(BC824-Driver!$K$188)/(Driver!$L$188-Driver!$K$188)</f>
        <v/>
      </c>
      <c r="AR824" s="108">
        <f>MIN((BD824-Driver!$K$189)/(Driver!$L$189-Driver!$K$189),100%)</f>
        <v/>
      </c>
      <c r="AS824" s="108">
        <f>(BE824-Driver!$K$190)/(Driver!$L$190-Driver!$K$190)</f>
        <v/>
      </c>
      <c r="AT824" s="108">
        <f>(BF824-Driver!$K$191)/(Driver!$L$191-Driver!$K$191)</f>
        <v/>
      </c>
      <c r="AU824" s="108">
        <f>(BG824-Driver!$K$192)/(Driver!$L$192-Driver!$K$192)</f>
        <v/>
      </c>
      <c r="AV824" s="105">
        <f>IFERROR(BM824*BJ824^1/4,"")</f>
        <v/>
      </c>
      <c r="AW824" s="105">
        <f>IFERROR(SUM(AX824:AZ824),"")</f>
        <v/>
      </c>
      <c r="AX824" s="105">
        <f>IFERROR(BH824,"")</f>
        <v/>
      </c>
      <c r="AY824" s="105">
        <f>IFERROR(Driver!$K$19/Data!BH824/Data!BI824*Data!BK824*Data!BL824,"")</f>
        <v/>
      </c>
      <c r="AZ824" s="105">
        <f>IFERROR(BI824*BN824,"")</f>
        <v/>
      </c>
      <c r="BA824" s="105" t="n"/>
      <c r="BB824" s="105" t="n"/>
      <c r="BC824" s="105">
        <f>IFERROR(BI824*BN824*BK824/BJ824^(1/2),"")</f>
        <v/>
      </c>
      <c r="BD824" s="105">
        <f>IFERROR(BH824*BM824*BL824/BJ824/BK824,"")</f>
        <v/>
      </c>
      <c r="BE824" s="105">
        <f>IFERROR(MIN(BI824/BQ824/BP824/BO824/BH824,$BE$1),"")</f>
        <v/>
      </c>
      <c r="BF824" s="105">
        <f>IFERROR(BJ824*BO824*BP824/BK824,"")</f>
        <v/>
      </c>
      <c r="BG824" s="105">
        <f>IFERROR(1/BM824/BH824*BQ824,"")</f>
        <v/>
      </c>
      <c r="BH824" s="102">
        <f>MAX((CE824-Driver!$F$200)/(Driver!$G$200-Driver!$F$200)*$BI$1,1)</f>
        <v/>
      </c>
      <c r="BI824" s="102">
        <f>MAX($BI$1*(BY824-Driver!$F$201)/(Driver!$G$201-Driver!$F$201),1)</f>
        <v/>
      </c>
      <c r="BJ824" s="102">
        <f>(CB824-Driver!$F$206)/(Driver!$G$206-Driver!$F$206)*$BI$1</f>
        <v/>
      </c>
      <c r="BK824" s="102">
        <f>(CD824-Driver!$F$203)/(Driver!$G$203-Driver!$F$203)*$BI$1</f>
        <v/>
      </c>
      <c r="BL824" s="102">
        <f>MAX((CR824-Driver!$F$202)/(Driver!$G$202-Driver!$F$202)*$BI$1,1)</f>
        <v/>
      </c>
      <c r="BM824" s="102">
        <f>MAX((CH824-Driver!$F$204)/(Driver!$G$204-Driver!$F$204)*$BI$1,1)</f>
        <v/>
      </c>
      <c r="BN824" s="102">
        <f>(CI824-Driver!$F$205)/(Driver!$G$205-Driver!$F$205)*$BI$1</f>
        <v/>
      </c>
      <c r="BO824" s="102">
        <f>(CK824-Driver!$F$207)/(Driver!$G$207-Driver!$F$207)*$BI$1</f>
        <v/>
      </c>
      <c r="BP824" s="102">
        <f>(CM824-Driver!$F$208)/(Driver!$G$208-Driver!$F$208)*$BI$1</f>
        <v/>
      </c>
      <c r="BQ824" s="102">
        <f>(CL824-Driver!$F$209)/(Driver!$G$209-Driver!$F$209)*$BI$1</f>
        <v/>
      </c>
      <c r="BR824" s="40" t="inlineStr">
        <is>
          <t>21/22</t>
        </is>
      </c>
      <c r="BS824" s="10" t="inlineStr">
        <is>
          <t xml:space="preserve"> Faction</t>
        </is>
      </c>
      <c r="BT824" s="11" t="inlineStr">
        <is>
          <t>Prodigy 1.0 X</t>
        </is>
      </c>
      <c r="BU824" s="13" t="n">
        <v>164</v>
      </c>
      <c r="BV824" s="11" t="inlineStr">
        <is>
          <t xml:space="preserve"> Women's</t>
        </is>
      </c>
      <c r="BW824" s="13" t="n">
        <v>164</v>
      </c>
      <c r="BX824" s="13" t="n">
        <v>162.1</v>
      </c>
      <c r="BY824" s="13" t="n">
        <v>118</v>
      </c>
      <c r="BZ824" s="13" t="n">
        <v>135</v>
      </c>
      <c r="CA824" s="13" t="n">
        <v>119</v>
      </c>
      <c r="CB824" s="13" t="n">
        <v>87</v>
      </c>
      <c r="CC824" s="13" t="n">
        <v>111</v>
      </c>
      <c r="CD824" s="13" t="n">
        <v>14.7</v>
      </c>
      <c r="CE824" s="13" t="n">
        <v>1614</v>
      </c>
      <c r="CF824" s="13" t="n">
        <v>0.99</v>
      </c>
      <c r="CG824" s="13" t="n">
        <v>1604</v>
      </c>
      <c r="CH824" s="13" t="n">
        <v>153</v>
      </c>
      <c r="CI824" s="13" t="n">
        <v>61</v>
      </c>
      <c r="CJ824" s="13" t="n">
        <v>53</v>
      </c>
      <c r="CK824" s="13" t="n">
        <v>259</v>
      </c>
      <c r="CL824" s="13" t="n">
        <v>37</v>
      </c>
      <c r="CM824" s="13" t="n">
        <v>179</v>
      </c>
      <c r="CN824" s="13" t="n">
        <v>0.697</v>
      </c>
      <c r="CO824" s="13" t="n">
        <v>143</v>
      </c>
      <c r="CP824" s="13" t="n">
        <v>129</v>
      </c>
      <c r="CQ824" s="13" t="n">
        <v>117</v>
      </c>
      <c r="CR824" s="13" t="n">
        <v>9</v>
      </c>
      <c r="CS824" s="13" t="n">
        <v>7.2</v>
      </c>
      <c r="CT824" s="11" t="inlineStr">
        <is>
          <t xml:space="preserve"> Resort Freeride</t>
        </is>
      </c>
      <c r="CU824" s="13" t="n"/>
      <c r="CV824" s="13" t="n"/>
      <c r="CW824" s="13" t="n"/>
      <c r="CX824">
        <f>INDEX('Data_Price '!AG$2:AG$1266,MATCH(Data!$DN824,'Data_Price '!$AT$2:$AT$1266,0))</f>
        <v/>
      </c>
      <c r="CY824">
        <f>INDEX('Data_Price '!AH$2:AH$1266,MATCH(Data!$DN824,'Data_Price '!$AT$2:$AT$1266,0))</f>
        <v/>
      </c>
      <c r="CZ824">
        <f>INDEX('Data_Price '!AI$2:AI$1266,MATCH(Data!$DN824,'Data_Price '!$AT$2:$AT$1266,0))</f>
        <v/>
      </c>
      <c r="DA824">
        <f>INDEX('Data_Price '!AJ$2:AJ$1266,MATCH(Data!$DN824,'Data_Price '!$AT$2:$AT$1266,0))</f>
        <v/>
      </c>
      <c r="DB824">
        <f>INDEX('Data_Price '!AK$2:AK$1266,MATCH(Data!$DN824,'Data_Price '!$AT$2:$AT$1266,0))</f>
        <v/>
      </c>
      <c r="DC824">
        <f>INDEX('Data_Price '!AL$2:AL$1266,MATCH(Data!$DN824,'Data_Price '!$AT$2:$AT$1266,0))</f>
        <v/>
      </c>
      <c r="DD824">
        <f>INDEX('Data_Price '!AM$2:AM$1266,MATCH(Data!$DN824,'Data_Price '!$AT$2:$AT$1266,0))</f>
        <v/>
      </c>
      <c r="DE824">
        <f>INDEX('Data_Price '!AN$2:AN$1266,MATCH(Data!$DN824,'Data_Price '!$AT$2:$AT$1266,0))</f>
        <v/>
      </c>
      <c r="DF824">
        <f>INDEX('Data_Price '!AO$2:AO$1266,MATCH(Data!$DN824,'Data_Price '!$AT$2:$AT$1266,0))</f>
        <v/>
      </c>
      <c r="DG824">
        <f>INDEX('Data_Price '!AP$2:AP$1266,MATCH(Data!$DN824,'Data_Price '!$AT$2:$AT$1266,0))</f>
        <v/>
      </c>
      <c r="DH824">
        <f>INDEX('Data_Price '!AQ$2:AQ$1266,MATCH(Data!$DN824,'Data_Price '!$AT$2:$AT$1266,0))</f>
        <v/>
      </c>
      <c r="DI824">
        <f>INDEX('Data_Price '!AR$2:AR$1266,MATCH(Data!$DN824,'Data_Price '!$AT$2:$AT$1266,0))</f>
        <v/>
      </c>
      <c r="DJ824" s="138">
        <f>DA824</f>
        <v/>
      </c>
      <c r="DK824" s="138">
        <f>DE824</f>
        <v/>
      </c>
      <c r="DL824" s="138">
        <f>DI824</f>
        <v/>
      </c>
      <c r="DM824" s="303">
        <f>IF(LEFT(BT824,1)=" ",RIGHT(BT824,LEN(BT824)-1),BT824)</f>
        <v/>
      </c>
      <c r="DN824" s="138">
        <f>_xlfn.CONCAT(BS824,DM824,BU824,BV824)</f>
        <v/>
      </c>
      <c r="DO824" s="307" t="n"/>
    </row>
    <row r="825" ht="15.6" customHeight="1" s="184">
      <c r="B825" s="303">
        <f t="array" ref="B825">IF(OR(ISERROR(K825:P825)),FALSE,TRUE)</f>
        <v/>
      </c>
      <c r="C825" s="60">
        <f>OR(BR825=Driver!$G$50,Data!BR970=Driver!$H$50)</f>
        <v/>
      </c>
      <c r="D825" s="60">
        <f>OR(BV825=Driver!$G$51,BV825=Driver!$H$51)</f>
        <v/>
      </c>
      <c r="E825" s="60">
        <f>AND(BX825&gt;Driver!$F$54,BX825&lt;Driver!$G$54)</f>
        <v/>
      </c>
      <c r="F825" s="60">
        <f>CL825&gt;Driver!$F$56</f>
        <v/>
      </c>
      <c r="G825" s="60">
        <f>AND(CB825&gt;Driver!$F$55,CB825&lt;Driver!$G$55)</f>
        <v/>
      </c>
      <c r="H825" s="60">
        <f>AND(B825:G825)</f>
        <v/>
      </c>
      <c r="I825" s="60">
        <f>COUNTIFS($H$9:$H$1273,TRUE,$BT$9:$BT$1273,BT825)</f>
        <v/>
      </c>
      <c r="J825" s="60">
        <f t="array" ref="J825">NOT(OR(($H$9:$H$1273=TRUE)*($I$9:$I$1273&gt;0)*($BT$9:$BT$1273=BT825)*($K$9:$K$1273&gt;K825)))</f>
        <v/>
      </c>
      <c r="K825" s="108">
        <f>IFERROR(1-AVERAGE(X825:Y825),"")</f>
        <v/>
      </c>
      <c r="L825" s="108">
        <f>1-X825</f>
        <v/>
      </c>
      <c r="M825" s="108">
        <f>1-Y825</f>
        <v/>
      </c>
      <c r="N825" s="108">
        <f>1-Z825</f>
        <v/>
      </c>
      <c r="O825" s="108">
        <f>1-AA825</f>
        <v/>
      </c>
      <c r="P825" s="108">
        <f>1-AB825</f>
        <v/>
      </c>
      <c r="Q825" s="108" t="n"/>
      <c r="R825" s="108" t="n"/>
      <c r="S825" s="108">
        <f>1-AE825</f>
        <v/>
      </c>
      <c r="T825" s="108">
        <f>1-AF825</f>
        <v/>
      </c>
      <c r="U825" s="108">
        <f>1-AG825</f>
        <v/>
      </c>
      <c r="V825" s="108">
        <f>1-AH825</f>
        <v/>
      </c>
      <c r="W825" s="108">
        <f>1-AI825</f>
        <v/>
      </c>
      <c r="X825" s="108">
        <f>ABS(AJ825-AJ$1)</f>
        <v/>
      </c>
      <c r="Y825" s="108">
        <f>AVERAGE(Z825:AB825)</f>
        <v/>
      </c>
      <c r="Z825" s="108">
        <f>ABS(AL825-AL$1)</f>
        <v/>
      </c>
      <c r="AA825" s="108">
        <f>ABS(AM825-AM$1)</f>
        <v/>
      </c>
      <c r="AB825" s="108">
        <f>ABS(AN825-AN$1)</f>
        <v/>
      </c>
      <c r="AC825" s="108" t="n"/>
      <c r="AD825" s="108" t="n"/>
      <c r="AE825" s="108">
        <f>ABS(AQ$1-AQ825)</f>
        <v/>
      </c>
      <c r="AF825" s="108">
        <f>ABS(AR$1-AR825)</f>
        <v/>
      </c>
      <c r="AG825" s="108">
        <f>ABS(AS$1-AS825)</f>
        <v/>
      </c>
      <c r="AH825" s="108">
        <f>ABS(AT$1-AT825)</f>
        <v/>
      </c>
      <c r="AI825" s="108">
        <f>ABS(AU$1-AU825)</f>
        <v/>
      </c>
      <c r="AJ825" s="108">
        <f>(AV825-Driver!$K$179)/(Driver!$L$179-Driver!$K$179)</f>
        <v/>
      </c>
      <c r="AK825" s="108">
        <f>(AW825-Driver!$K$180)/(Driver!$L$180-Driver!$K$180)</f>
        <v/>
      </c>
      <c r="AL825" s="108">
        <f>(AX825-Driver!$K$181)/(Driver!$L$181-Driver!$K$181)</f>
        <v/>
      </c>
      <c r="AM825" s="108">
        <f>(AY825-Driver!$K$182)/(Driver!$L$182-Driver!$K$182)</f>
        <v/>
      </c>
      <c r="AN825" s="108">
        <f>(AZ825-Driver!$K$183)/(Driver!$L$183-Driver!$K$183)</f>
        <v/>
      </c>
      <c r="AO825" s="108" t="n"/>
      <c r="AP825" s="108" t="n"/>
      <c r="AQ825" s="108">
        <f>(BC825-Driver!$K$188)/(Driver!$L$188-Driver!$K$188)</f>
        <v/>
      </c>
      <c r="AR825" s="108">
        <f>MIN((BD825-Driver!$K$189)/(Driver!$L$189-Driver!$K$189),100%)</f>
        <v/>
      </c>
      <c r="AS825" s="108">
        <f>(BE825-Driver!$K$190)/(Driver!$L$190-Driver!$K$190)</f>
        <v/>
      </c>
      <c r="AT825" s="108">
        <f>(BF825-Driver!$K$191)/(Driver!$L$191-Driver!$K$191)</f>
        <v/>
      </c>
      <c r="AU825" s="108">
        <f>(BG825-Driver!$K$192)/(Driver!$L$192-Driver!$K$192)</f>
        <v/>
      </c>
      <c r="AV825" s="105">
        <f>IFERROR(BM825*BJ825^1/4,"")</f>
        <v/>
      </c>
      <c r="AW825" s="105">
        <f>IFERROR(SUM(AX825:AZ825),"")</f>
        <v/>
      </c>
      <c r="AX825" s="105">
        <f>IFERROR(BH825,"")</f>
        <v/>
      </c>
      <c r="AY825" s="105">
        <f>IFERROR(Driver!$K$19/Data!BH825/Data!BI825*Data!BK825*Data!BL825,"")</f>
        <v/>
      </c>
      <c r="AZ825" s="105">
        <f>IFERROR(BI825*BN825,"")</f>
        <v/>
      </c>
      <c r="BA825" s="105" t="n"/>
      <c r="BB825" s="105" t="n"/>
      <c r="BC825" s="105">
        <f>IFERROR(BI825*BN825*BK825/BJ825^(1/2),"")</f>
        <v/>
      </c>
      <c r="BD825" s="105">
        <f>IFERROR(BH825*BM825*BL825/BJ825/BK825,"")</f>
        <v/>
      </c>
      <c r="BE825" s="105">
        <f>IFERROR(MIN(BI825/BQ825/BP825/BO825/BH825,$BE$1),"")</f>
        <v/>
      </c>
      <c r="BF825" s="105">
        <f>IFERROR(BJ825*BO825*BP825/BK825,"")</f>
        <v/>
      </c>
      <c r="BG825" s="105">
        <f>IFERROR(1/BM825/BH825*BQ825,"")</f>
        <v/>
      </c>
      <c r="BH825" s="102">
        <f>MAX((CE825-Driver!$F$200)/(Driver!$G$200-Driver!$F$200)*$BI$1,1)</f>
        <v/>
      </c>
      <c r="BI825" s="102">
        <f>MAX($BI$1*(BY825-Driver!$F$201)/(Driver!$G$201-Driver!$F$201),1)</f>
        <v/>
      </c>
      <c r="BJ825" s="102">
        <f>(CB825-Driver!$F$206)/(Driver!$G$206-Driver!$F$206)*$BI$1</f>
        <v/>
      </c>
      <c r="BK825" s="102">
        <f>(CD825-Driver!$F$203)/(Driver!$G$203-Driver!$F$203)*$BI$1</f>
        <v/>
      </c>
      <c r="BL825" s="102">
        <f>MAX((CR825-Driver!$F$202)/(Driver!$G$202-Driver!$F$202)*$BI$1,1)</f>
        <v/>
      </c>
      <c r="BM825" s="102">
        <f>MAX((CH825-Driver!$F$204)/(Driver!$G$204-Driver!$F$204)*$BI$1,1)</f>
        <v/>
      </c>
      <c r="BN825" s="102">
        <f>(CI825-Driver!$F$205)/(Driver!$G$205-Driver!$F$205)*$BI$1</f>
        <v/>
      </c>
      <c r="BO825" s="102">
        <f>(CK825-Driver!$F$207)/(Driver!$G$207-Driver!$F$207)*$BI$1</f>
        <v/>
      </c>
      <c r="BP825" s="102">
        <f>(CM825-Driver!$F$208)/(Driver!$G$208-Driver!$F$208)*$BI$1</f>
        <v/>
      </c>
      <c r="BQ825" s="102">
        <f>(CL825-Driver!$F$209)/(Driver!$G$209-Driver!$F$209)*$BI$1</f>
        <v/>
      </c>
      <c r="BR825" s="40" t="inlineStr">
        <is>
          <t>21/22</t>
        </is>
      </c>
      <c r="BS825" s="10" t="inlineStr">
        <is>
          <t xml:space="preserve"> Rossignol</t>
        </is>
      </c>
      <c r="BT825" s="11" t="inlineStr">
        <is>
          <t xml:space="preserve"> Blackops Escaper</t>
        </is>
      </c>
      <c r="BU825" s="13" t="n">
        <v>156</v>
      </c>
      <c r="BV825" s="11" t="inlineStr">
        <is>
          <t xml:space="preserve"> Unisex</t>
        </is>
      </c>
      <c r="BW825" s="13" t="n">
        <v>156</v>
      </c>
      <c r="BX825" s="13" t="n">
        <v>155</v>
      </c>
      <c r="BY825" s="13" t="n">
        <v>107</v>
      </c>
      <c r="BZ825" s="13" t="n">
        <v>129</v>
      </c>
      <c r="CA825" s="13" t="n">
        <v>125</v>
      </c>
      <c r="CB825" s="13" t="n">
        <v>89</v>
      </c>
      <c r="CC825" s="13" t="n">
        <v>116</v>
      </c>
      <c r="CD825" s="13" t="n">
        <v>11.7</v>
      </c>
      <c r="CE825" s="13" t="n">
        <v>1471</v>
      </c>
      <c r="CF825" s="13" t="n">
        <v>1.08</v>
      </c>
      <c r="CG825" s="13" t="n">
        <v>1590</v>
      </c>
      <c r="CH825" s="13" t="n">
        <v>153</v>
      </c>
      <c r="CI825" s="13" t="n">
        <v>75</v>
      </c>
      <c r="CJ825" s="13" t="n">
        <v>52</v>
      </c>
      <c r="CK825" s="13" t="n">
        <v>307</v>
      </c>
      <c r="CL825" s="13" t="n">
        <v>13</v>
      </c>
      <c r="CM825" s="13" t="n">
        <v>173</v>
      </c>
      <c r="CN825" s="13" t="n">
        <v>0.243</v>
      </c>
      <c r="CO825" s="13" t="n">
        <v>158</v>
      </c>
      <c r="CP825" s="13" t="n">
        <v>100</v>
      </c>
      <c r="CQ825" s="13" t="n">
        <v>149</v>
      </c>
      <c r="CR825" s="13" t="n">
        <v>6</v>
      </c>
      <c r="CS825" s="13" t="n">
        <v>5.5</v>
      </c>
      <c r="CT825" s="11" t="inlineStr">
        <is>
          <t xml:space="preserve"> Resort Freeride</t>
        </is>
      </c>
      <c r="CU825" s="11" t="inlineStr">
        <is>
          <t xml:space="preserve"> Touring</t>
        </is>
      </c>
      <c r="CV825" s="13" t="n"/>
      <c r="CW825" s="13" t="n"/>
      <c r="CX825">
        <f>INDEX('Data_Price '!AG$2:AG$1266,MATCH(Data!$DN825,'Data_Price '!$AT$2:$AT$1266,0))</f>
        <v/>
      </c>
      <c r="CY825">
        <f>INDEX('Data_Price '!AH$2:AH$1266,MATCH(Data!$DN825,'Data_Price '!$AT$2:$AT$1266,0))</f>
        <v/>
      </c>
      <c r="CZ825">
        <f>INDEX('Data_Price '!AI$2:AI$1266,MATCH(Data!$DN825,'Data_Price '!$AT$2:$AT$1266,0))</f>
        <v/>
      </c>
      <c r="DA825">
        <f>INDEX('Data_Price '!AJ$2:AJ$1266,MATCH(Data!$DN825,'Data_Price '!$AT$2:$AT$1266,0))</f>
        <v/>
      </c>
      <c r="DB825">
        <f>INDEX('Data_Price '!AK$2:AK$1266,MATCH(Data!$DN825,'Data_Price '!$AT$2:$AT$1266,0))</f>
        <v/>
      </c>
      <c r="DC825">
        <f>INDEX('Data_Price '!AL$2:AL$1266,MATCH(Data!$DN825,'Data_Price '!$AT$2:$AT$1266,0))</f>
        <v/>
      </c>
      <c r="DD825">
        <f>INDEX('Data_Price '!AM$2:AM$1266,MATCH(Data!$DN825,'Data_Price '!$AT$2:$AT$1266,0))</f>
        <v/>
      </c>
      <c r="DE825">
        <f>INDEX('Data_Price '!AN$2:AN$1266,MATCH(Data!$DN825,'Data_Price '!$AT$2:$AT$1266,0))</f>
        <v/>
      </c>
      <c r="DF825">
        <f>INDEX('Data_Price '!AO$2:AO$1266,MATCH(Data!$DN825,'Data_Price '!$AT$2:$AT$1266,0))</f>
        <v/>
      </c>
      <c r="DG825">
        <f>INDEX('Data_Price '!AP$2:AP$1266,MATCH(Data!$DN825,'Data_Price '!$AT$2:$AT$1266,0))</f>
        <v/>
      </c>
      <c r="DH825">
        <f>INDEX('Data_Price '!AQ$2:AQ$1266,MATCH(Data!$DN825,'Data_Price '!$AT$2:$AT$1266,0))</f>
        <v/>
      </c>
      <c r="DI825">
        <f>INDEX('Data_Price '!AR$2:AR$1266,MATCH(Data!$DN825,'Data_Price '!$AT$2:$AT$1266,0))</f>
        <v/>
      </c>
      <c r="DJ825" s="138">
        <f>DA825</f>
        <v/>
      </c>
      <c r="DK825" s="138">
        <f>DE825</f>
        <v/>
      </c>
      <c r="DL825" s="138">
        <f>DI825</f>
        <v/>
      </c>
      <c r="DM825" s="303">
        <f>IF(LEFT(BT825,1)=" ",RIGHT(BT825,LEN(BT825)-1),BT825)</f>
        <v/>
      </c>
      <c r="DN825" s="138">
        <f>_xlfn.CONCAT(BS825,DM825,BU825,BV825)</f>
        <v/>
      </c>
      <c r="DO825" s="307" t="n"/>
    </row>
    <row r="826" ht="15.6" customHeight="1" s="184">
      <c r="B826" s="303">
        <f t="array" ref="B826">IF(OR(ISERROR(K826:P826)),FALSE,TRUE)</f>
        <v/>
      </c>
      <c r="C826" s="60">
        <f>OR(BR826=Driver!$G$50,Data!BR149=Driver!$H$50)</f>
        <v/>
      </c>
      <c r="D826" s="60">
        <f>OR(BV826=Driver!$G$51,BV826=Driver!$H$51)</f>
        <v/>
      </c>
      <c r="E826" s="60">
        <f>AND(BX826&gt;Driver!$F$54,BX826&lt;Driver!$G$54)</f>
        <v/>
      </c>
      <c r="F826" s="60">
        <f>CL826&gt;Driver!$F$56</f>
        <v/>
      </c>
      <c r="G826" s="60">
        <f>AND(CB826&gt;Driver!$F$55,CB826&lt;Driver!$G$55)</f>
        <v/>
      </c>
      <c r="H826" s="60">
        <f>AND(B826:G826)</f>
        <v/>
      </c>
      <c r="I826" s="60">
        <f>COUNTIFS($H$9:$H$1273,TRUE,$BT$9:$BT$1273,BT826)</f>
        <v/>
      </c>
      <c r="J826" s="60">
        <f t="array" ref="J826">NOT(OR(($H$9:$H$1273=TRUE)*($I$9:$I$1273&gt;0)*($BT$9:$BT$1273=BT826)*($K$9:$K$1273&gt;K826)))</f>
        <v/>
      </c>
      <c r="K826" s="108">
        <f>IFERROR(1-AVERAGE(X826:Y826),"")</f>
        <v/>
      </c>
      <c r="L826" s="108">
        <f>1-X826</f>
        <v/>
      </c>
      <c r="M826" s="108">
        <f>1-Y826</f>
        <v/>
      </c>
      <c r="N826" s="108">
        <f>1-Z826</f>
        <v/>
      </c>
      <c r="O826" s="108">
        <f>1-AA826</f>
        <v/>
      </c>
      <c r="P826" s="108">
        <f>1-AB826</f>
        <v/>
      </c>
      <c r="Q826" s="108" t="n"/>
      <c r="R826" s="108" t="n"/>
      <c r="S826" s="108">
        <f>1-AE826</f>
        <v/>
      </c>
      <c r="T826" s="108">
        <f>1-AF826</f>
        <v/>
      </c>
      <c r="U826" s="108">
        <f>1-AG826</f>
        <v/>
      </c>
      <c r="V826" s="108">
        <f>1-AH826</f>
        <v/>
      </c>
      <c r="W826" s="108">
        <f>1-AI826</f>
        <v/>
      </c>
      <c r="X826" s="108">
        <f>ABS(AJ826-AJ$1)</f>
        <v/>
      </c>
      <c r="Y826" s="108">
        <f>AVERAGE(Z826:AB826)</f>
        <v/>
      </c>
      <c r="Z826" s="108">
        <f>ABS(AL826-AL$1)</f>
        <v/>
      </c>
      <c r="AA826" s="108">
        <f>ABS(AM826-AM$1)</f>
        <v/>
      </c>
      <c r="AB826" s="108">
        <f>ABS(AN826-AN$1)</f>
        <v/>
      </c>
      <c r="AC826" s="108" t="n"/>
      <c r="AD826" s="108" t="n"/>
      <c r="AE826" s="108">
        <f>ABS(AQ$1-AQ826)</f>
        <v/>
      </c>
      <c r="AF826" s="108">
        <f>ABS(AR$1-AR826)</f>
        <v/>
      </c>
      <c r="AG826" s="108">
        <f>ABS(AS$1-AS826)</f>
        <v/>
      </c>
      <c r="AH826" s="108">
        <f>ABS(AT$1-AT826)</f>
        <v/>
      </c>
      <c r="AI826" s="108">
        <f>ABS(AU$1-AU826)</f>
        <v/>
      </c>
      <c r="AJ826" s="108">
        <f>(AV826-Driver!$K$179)/(Driver!$L$179-Driver!$K$179)</f>
        <v/>
      </c>
      <c r="AK826" s="108">
        <f>(AW826-Driver!$K$180)/(Driver!$L$180-Driver!$K$180)</f>
        <v/>
      </c>
      <c r="AL826" s="108">
        <f>(AX826-Driver!$K$181)/(Driver!$L$181-Driver!$K$181)</f>
        <v/>
      </c>
      <c r="AM826" s="108">
        <f>(AY826-Driver!$K$182)/(Driver!$L$182-Driver!$K$182)</f>
        <v/>
      </c>
      <c r="AN826" s="108">
        <f>(AZ826-Driver!$K$183)/(Driver!$L$183-Driver!$K$183)</f>
        <v/>
      </c>
      <c r="AO826" s="108" t="n"/>
      <c r="AP826" s="108" t="n"/>
      <c r="AQ826" s="108">
        <f>(BC826-Driver!$K$188)/(Driver!$L$188-Driver!$K$188)</f>
        <v/>
      </c>
      <c r="AR826" s="108">
        <f>MIN((BD826-Driver!$K$189)/(Driver!$L$189-Driver!$K$189),100%)</f>
        <v/>
      </c>
      <c r="AS826" s="108">
        <f>(BE826-Driver!$K$190)/(Driver!$L$190-Driver!$K$190)</f>
        <v/>
      </c>
      <c r="AT826" s="108">
        <f>(BF826-Driver!$K$191)/(Driver!$L$191-Driver!$K$191)</f>
        <v/>
      </c>
      <c r="AU826" s="108">
        <f>(BG826-Driver!$K$192)/(Driver!$L$192-Driver!$K$192)</f>
        <v/>
      </c>
      <c r="AV826" s="105">
        <f>IFERROR(BM826*BJ826^1/4,"")</f>
        <v/>
      </c>
      <c r="AW826" s="105">
        <f>IFERROR(SUM(AX826:AZ826),"")</f>
        <v/>
      </c>
      <c r="AX826" s="105">
        <f>IFERROR(BH826,"")</f>
        <v/>
      </c>
      <c r="AY826" s="105">
        <f>IFERROR(Driver!$K$19/Data!BH826/Data!BI826*Data!BK826*Data!BL826,"")</f>
        <v/>
      </c>
      <c r="AZ826" s="105">
        <f>IFERROR(BI826*BN826,"")</f>
        <v/>
      </c>
      <c r="BA826" s="105" t="n"/>
      <c r="BB826" s="105" t="n"/>
      <c r="BC826" s="105">
        <f>IFERROR(BI826*BN826*BK826/BJ826^(1/2),"")</f>
        <v/>
      </c>
      <c r="BD826" s="105">
        <f>IFERROR(BH826*BM826*BL826/BJ826/BK826,"")</f>
        <v/>
      </c>
      <c r="BE826" s="105">
        <f>IFERROR(MIN(BI826/BQ826/BP826/BO826/BH826,$BE$1),"")</f>
        <v/>
      </c>
      <c r="BF826" s="105">
        <f>IFERROR(BJ826*BO826*BP826/BK826,"")</f>
        <v/>
      </c>
      <c r="BG826" s="105">
        <f>IFERROR(1/BM826/BH826*BQ826,"")</f>
        <v/>
      </c>
      <c r="BH826" s="102">
        <f>MAX((CE826-Driver!$F$200)/(Driver!$G$200-Driver!$F$200)*$BI$1,1)</f>
        <v/>
      </c>
      <c r="BI826" s="102">
        <f>MAX($BI$1*(BY826-Driver!$F$201)/(Driver!$G$201-Driver!$F$201),1)</f>
        <v/>
      </c>
      <c r="BJ826" s="102">
        <f>(CB826-Driver!$F$206)/(Driver!$G$206-Driver!$F$206)*$BI$1</f>
        <v/>
      </c>
      <c r="BK826" s="102">
        <f>(CD826-Driver!$F$203)/(Driver!$G$203-Driver!$F$203)*$BI$1</f>
        <v/>
      </c>
      <c r="BL826" s="102">
        <f>MAX((CR826-Driver!$F$202)/(Driver!$G$202-Driver!$F$202)*$BI$1,1)</f>
        <v/>
      </c>
      <c r="BM826" s="102">
        <f>MAX((CH826-Driver!$F$204)/(Driver!$G$204-Driver!$F$204)*$BI$1,1)</f>
        <v/>
      </c>
      <c r="BN826" s="102">
        <f>(CI826-Driver!$F$205)/(Driver!$G$205-Driver!$F$205)*$BI$1</f>
        <v/>
      </c>
      <c r="BO826" s="102">
        <f>(CK826-Driver!$F$207)/(Driver!$G$207-Driver!$F$207)*$BI$1</f>
        <v/>
      </c>
      <c r="BP826" s="102">
        <f>(CM826-Driver!$F$208)/(Driver!$G$208-Driver!$F$208)*$BI$1</f>
        <v/>
      </c>
      <c r="BQ826" s="102">
        <f>(CL826-Driver!$F$209)/(Driver!$G$209-Driver!$F$209)*$BI$1</f>
        <v/>
      </c>
      <c r="BR826" s="40" t="inlineStr">
        <is>
          <t>21/22</t>
        </is>
      </c>
      <c r="BS826" s="10" t="inlineStr">
        <is>
          <t xml:space="preserve"> Atomic</t>
        </is>
      </c>
      <c r="BT826" s="11" t="inlineStr">
        <is>
          <t>Maven 86</t>
        </is>
      </c>
      <c r="BU826" s="13" t="n">
        <v>153</v>
      </c>
      <c r="BV826" s="11" t="inlineStr">
        <is>
          <t xml:space="preserve"> Women's</t>
        </is>
      </c>
      <c r="BW826" s="13" t="n">
        <v>153</v>
      </c>
      <c r="BX826" s="13" t="n">
        <v>152.1</v>
      </c>
      <c r="BY826" s="13" t="n">
        <v>104</v>
      </c>
      <c r="BZ826" s="13" t="n">
        <v>127</v>
      </c>
      <c r="CA826" s="13" t="n">
        <v>120</v>
      </c>
      <c r="CB826" s="13" t="n">
        <v>86</v>
      </c>
      <c r="CC826" s="13" t="n">
        <v>103</v>
      </c>
      <c r="CD826" s="13" t="n">
        <v>14.2</v>
      </c>
      <c r="CE826" s="13" t="n">
        <v>1338</v>
      </c>
      <c r="CF826" s="13" t="n">
        <v>1.1</v>
      </c>
      <c r="CG826" s="13" t="n">
        <v>1467</v>
      </c>
      <c r="CH826" s="13" t="n">
        <v>184</v>
      </c>
      <c r="CI826" s="13" t="n">
        <v>76</v>
      </c>
      <c r="CJ826" s="13" t="n">
        <v>47</v>
      </c>
      <c r="CK826" s="13" t="n">
        <v>284</v>
      </c>
      <c r="CL826" s="13" t="n">
        <v>13</v>
      </c>
      <c r="CM826" s="13" t="n">
        <v>200</v>
      </c>
      <c r="CN826" s="13" t="n">
        <v>0.272</v>
      </c>
      <c r="CO826" s="13" t="n">
        <v>153</v>
      </c>
      <c r="CP826" s="13" t="n">
        <v>102</v>
      </c>
      <c r="CQ826" s="13" t="n">
        <v>131</v>
      </c>
      <c r="CR826" s="13" t="n">
        <v>3</v>
      </c>
      <c r="CS826" s="13" t="n">
        <v>8.300000000000001</v>
      </c>
      <c r="CT826" s="11" t="inlineStr">
        <is>
          <t xml:space="preserve"> Resort Freeride</t>
        </is>
      </c>
      <c r="CU826" s="11" t="inlineStr">
        <is>
          <t xml:space="preserve"> Touring</t>
        </is>
      </c>
      <c r="CV826" s="13" t="n"/>
      <c r="CW826" s="13" t="n"/>
      <c r="CX826">
        <f>INDEX('Data_Price '!AG$2:AG$1266,MATCH(Data!$DN826,'Data_Price '!$AT$2:$AT$1266,0))</f>
        <v/>
      </c>
      <c r="CY826">
        <f>INDEX('Data_Price '!AH$2:AH$1266,MATCH(Data!$DN826,'Data_Price '!$AT$2:$AT$1266,0))</f>
        <v/>
      </c>
      <c r="CZ826">
        <f>INDEX('Data_Price '!AI$2:AI$1266,MATCH(Data!$DN826,'Data_Price '!$AT$2:$AT$1266,0))</f>
        <v/>
      </c>
      <c r="DA826">
        <f>INDEX('Data_Price '!AJ$2:AJ$1266,MATCH(Data!$DN826,'Data_Price '!$AT$2:$AT$1266,0))</f>
        <v/>
      </c>
      <c r="DB826">
        <f>INDEX('Data_Price '!AK$2:AK$1266,MATCH(Data!$DN826,'Data_Price '!$AT$2:$AT$1266,0))</f>
        <v/>
      </c>
      <c r="DC826">
        <f>INDEX('Data_Price '!AL$2:AL$1266,MATCH(Data!$DN826,'Data_Price '!$AT$2:$AT$1266,0))</f>
        <v/>
      </c>
      <c r="DD826">
        <f>INDEX('Data_Price '!AM$2:AM$1266,MATCH(Data!$DN826,'Data_Price '!$AT$2:$AT$1266,0))</f>
        <v/>
      </c>
      <c r="DE826">
        <f>INDEX('Data_Price '!AN$2:AN$1266,MATCH(Data!$DN826,'Data_Price '!$AT$2:$AT$1266,0))</f>
        <v/>
      </c>
      <c r="DF826">
        <f>INDEX('Data_Price '!AO$2:AO$1266,MATCH(Data!$DN826,'Data_Price '!$AT$2:$AT$1266,0))</f>
        <v/>
      </c>
      <c r="DG826">
        <f>INDEX('Data_Price '!AP$2:AP$1266,MATCH(Data!$DN826,'Data_Price '!$AT$2:$AT$1266,0))</f>
        <v/>
      </c>
      <c r="DH826">
        <f>INDEX('Data_Price '!AQ$2:AQ$1266,MATCH(Data!$DN826,'Data_Price '!$AT$2:$AT$1266,0))</f>
        <v/>
      </c>
      <c r="DI826">
        <f>INDEX('Data_Price '!AR$2:AR$1266,MATCH(Data!$DN826,'Data_Price '!$AT$2:$AT$1266,0))</f>
        <v/>
      </c>
      <c r="DJ826" s="138">
        <f>DA826</f>
        <v/>
      </c>
      <c r="DK826" s="138">
        <f>DE826</f>
        <v/>
      </c>
      <c r="DL826" s="138">
        <f>DI826</f>
        <v/>
      </c>
      <c r="DM826" s="303">
        <f>IF(LEFT(BT826,1)=" ",RIGHT(BT826,LEN(BT826)-1),BT826)</f>
        <v/>
      </c>
      <c r="DN826" s="138">
        <f>_xlfn.CONCAT(BS826,DM826,BU826,BV826)</f>
        <v/>
      </c>
      <c r="DO826" s="307" t="inlineStr">
        <is>
          <t>https://images.evo.com/imgp/250/197734/826797/clone.jpg</t>
        </is>
      </c>
    </row>
    <row r="827" ht="15.6" customHeight="1" s="184">
      <c r="A827" s="303">
        <f>ROW()</f>
        <v/>
      </c>
      <c r="B827" s="303">
        <f t="array" ref="B827">IF(OR(ISERROR(K827:P827)),FALSE,TRUE)</f>
        <v/>
      </c>
      <c r="C827" s="60">
        <f>OR(BR827=Driver!$G$50,Data!BR298=Driver!$H$50)</f>
        <v/>
      </c>
      <c r="D827" s="60">
        <f>OR(BV827=Driver!$G$51,BV827=Driver!$H$51)</f>
        <v/>
      </c>
      <c r="E827" s="60">
        <f>AND(BX827&gt;Driver!$F$54,BX827&lt;Driver!$G$54)</f>
        <v/>
      </c>
      <c r="F827" s="60">
        <f>CL827&gt;Driver!$F$56</f>
        <v/>
      </c>
      <c r="G827" s="60">
        <f>AND(CB827&gt;Driver!$F$55,CB827&lt;Driver!$G$55)</f>
        <v/>
      </c>
      <c r="H827" s="60">
        <f>AND(B827:G827)</f>
        <v/>
      </c>
      <c r="I827" s="60">
        <f>COUNTIFS($H$9:$H$1273,TRUE,$BT$9:$BT$1273,BT827)</f>
        <v/>
      </c>
      <c r="J827" s="60">
        <f t="array" ref="J827">NOT(OR(($H$9:$H$1273=TRUE)*($I$9:$I$1273&gt;0)*($BT$9:$BT$1273=BT827)*($K$9:$K$1273&gt;K827)))</f>
        <v/>
      </c>
      <c r="K827" s="108">
        <f>IFERROR(1-AVERAGE(X827:Y827),"")</f>
        <v/>
      </c>
      <c r="L827" s="108">
        <f>1-X827</f>
        <v/>
      </c>
      <c r="M827" s="108">
        <f>1-Y827</f>
        <v/>
      </c>
      <c r="N827" s="108">
        <f>1-Z827</f>
        <v/>
      </c>
      <c r="O827" s="108">
        <f>1-AA827</f>
        <v/>
      </c>
      <c r="P827" s="108">
        <f>1-AB827</f>
        <v/>
      </c>
      <c r="Q827" s="108" t="n"/>
      <c r="R827" s="108" t="n"/>
      <c r="S827" s="108">
        <f>1-AE827</f>
        <v/>
      </c>
      <c r="T827" s="108">
        <f>1-AF827</f>
        <v/>
      </c>
      <c r="U827" s="108">
        <f>1-AG827</f>
        <v/>
      </c>
      <c r="V827" s="108">
        <f>1-AH827</f>
        <v/>
      </c>
      <c r="W827" s="108">
        <f>1-AI827</f>
        <v/>
      </c>
      <c r="X827" s="108">
        <f>ABS(AJ827-AJ$1)</f>
        <v/>
      </c>
      <c r="Y827" s="108">
        <f>AVERAGE(Z827:AB827)</f>
        <v/>
      </c>
      <c r="Z827" s="108">
        <f>ABS(AL827-AL$1)</f>
        <v/>
      </c>
      <c r="AA827" s="108">
        <f>ABS(AM827-AM$1)</f>
        <v/>
      </c>
      <c r="AB827" s="108">
        <f>ABS(AN827-AN$1)</f>
        <v/>
      </c>
      <c r="AC827" s="108" t="n"/>
      <c r="AD827" s="108" t="n"/>
      <c r="AE827" s="108">
        <f>ABS(AQ$1-AQ827)</f>
        <v/>
      </c>
      <c r="AF827" s="108">
        <f>ABS(AR$1-AR827)</f>
        <v/>
      </c>
      <c r="AG827" s="108">
        <f>ABS(AS$1-AS827)</f>
        <v/>
      </c>
      <c r="AH827" s="108">
        <f>ABS(AT$1-AT827)</f>
        <v/>
      </c>
      <c r="AI827" s="108">
        <f>ABS(AU$1-AU827)</f>
        <v/>
      </c>
      <c r="AJ827" s="108">
        <f>(AV827-Driver!$K$179)/(Driver!$L$179-Driver!$K$179)</f>
        <v/>
      </c>
      <c r="AK827" s="108">
        <f>(AW827-Driver!$K$180)/(Driver!$L$180-Driver!$K$180)</f>
        <v/>
      </c>
      <c r="AL827" s="108">
        <f>(AX827-Driver!$K$181)/(Driver!$L$181-Driver!$K$181)</f>
        <v/>
      </c>
      <c r="AM827" s="108">
        <f>(AY827-Driver!$K$182)/(Driver!$L$182-Driver!$K$182)</f>
        <v/>
      </c>
      <c r="AN827" s="108">
        <f>(AZ827-Driver!$K$183)/(Driver!$L$183-Driver!$K$183)</f>
        <v/>
      </c>
      <c r="AO827" s="108" t="n"/>
      <c r="AP827" s="108" t="n"/>
      <c r="AQ827" s="108">
        <f>(BC827-Driver!$K$188)/(Driver!$L$188-Driver!$K$188)</f>
        <v/>
      </c>
      <c r="AR827" s="108">
        <f>MIN((BD827-Driver!$K$189)/(Driver!$L$189-Driver!$K$189),100%)</f>
        <v/>
      </c>
      <c r="AS827" s="108">
        <f>(BE827-Driver!$K$190)/(Driver!$L$190-Driver!$K$190)</f>
        <v/>
      </c>
      <c r="AT827" s="108">
        <f>(BF827-Driver!$K$191)/(Driver!$L$191-Driver!$K$191)</f>
        <v/>
      </c>
      <c r="AU827" s="108">
        <f>(BG827-Driver!$K$192)/(Driver!$L$192-Driver!$K$192)</f>
        <v/>
      </c>
      <c r="AV827" s="105">
        <f>IFERROR(BM827*BJ827^1/4,"")</f>
        <v/>
      </c>
      <c r="AW827" s="105">
        <f>IFERROR(SUM(AX827:AZ827),"")</f>
        <v/>
      </c>
      <c r="AX827" s="105">
        <f>IFERROR(BH827,"")</f>
        <v/>
      </c>
      <c r="AY827" s="105">
        <f>IFERROR(Driver!$K$19/Data!BH705/Data!BI705*Data!BK705*Data!BL705,"")</f>
        <v/>
      </c>
      <c r="AZ827" s="105">
        <f>IFERROR(BI827*BN827,"")</f>
        <v/>
      </c>
      <c r="BA827" s="105" t="n"/>
      <c r="BB827" s="105" t="n"/>
      <c r="BC827" s="105">
        <f>IFERROR(BI827*BN827*BK827/BJ827^(1/2),"")</f>
        <v/>
      </c>
      <c r="BD827" s="105">
        <f>IFERROR(BH827*BM827*BL827/BJ827/BK827,"")</f>
        <v/>
      </c>
      <c r="BE827" s="105">
        <f>IFERROR(MIN(BI827/BQ827/BP827/BO827/BH827,$BE$1),"")</f>
        <v/>
      </c>
      <c r="BF827" s="105">
        <f>IFERROR(BJ827*BO827*BP827/BK827,"")</f>
        <v/>
      </c>
      <c r="BG827" s="105">
        <f>IFERROR(1/BM827/BH827*BQ827,"")</f>
        <v/>
      </c>
      <c r="BH827" s="102">
        <f>MAX((CE827-Driver!$F$200)/(Driver!$G$200-Driver!$F$200)*$BI$1,1)</f>
        <v/>
      </c>
      <c r="BI827" s="102">
        <f>MAX($BI$1*(BY827-Driver!$F$201)/(Driver!$G$201-Driver!$F$201),1)</f>
        <v/>
      </c>
      <c r="BJ827" s="102">
        <f>(CB827-Driver!$F$206)/(Driver!$G$206-Driver!$F$206)*$BI$1</f>
        <v/>
      </c>
      <c r="BK827" s="102">
        <f>(CD827-Driver!$F$203)/(Driver!$G$203-Driver!$F$203)*$BI$1</f>
        <v/>
      </c>
      <c r="BL827" s="102">
        <f>MAX((CR827-Driver!$F$202)/(Driver!$G$202-Driver!$F$202)*$BI$1,1)</f>
        <v/>
      </c>
      <c r="BM827" s="102">
        <f>MAX((CH827-Driver!$F$204)/(Driver!$G$204-Driver!$F$204)*$BI$1,1)</f>
        <v/>
      </c>
      <c r="BN827" s="102">
        <f>(CI827-Driver!$F$205)/(Driver!$G$205-Driver!$F$205)*$BI$1</f>
        <v/>
      </c>
      <c r="BO827" s="102">
        <f>(CK827-Driver!$F$207)/(Driver!$G$207-Driver!$F$207)*$BI$1</f>
        <v/>
      </c>
      <c r="BP827" s="102">
        <f>(CM827-Driver!$F$208)/(Driver!$G$208-Driver!$F$208)*$BI$1</f>
        <v/>
      </c>
      <c r="BQ827" s="102">
        <f>(CL827-Driver!$F$209)/(Driver!$G$209-Driver!$F$209)*$BI$1</f>
        <v/>
      </c>
      <c r="BR827" s="40" t="inlineStr">
        <is>
          <t>21/22</t>
        </is>
      </c>
      <c r="BS827" s="10" t="inlineStr">
        <is>
          <t xml:space="preserve"> Blizzard</t>
        </is>
      </c>
      <c r="BT827" s="11" t="inlineStr">
        <is>
          <t>Sheeva 10</t>
        </is>
      </c>
      <c r="BU827" s="13" t="n">
        <v>164</v>
      </c>
      <c r="BV827" s="11" t="inlineStr">
        <is>
          <t xml:space="preserve"> Women's</t>
        </is>
      </c>
      <c r="BW827" s="13" t="n">
        <v>164</v>
      </c>
      <c r="BX827" s="13" t="n">
        <v>162.4</v>
      </c>
      <c r="BY827" s="13" t="n">
        <v>98</v>
      </c>
      <c r="BZ827" s="13" t="n">
        <v>133</v>
      </c>
      <c r="CA827" s="13" t="n">
        <v>131</v>
      </c>
      <c r="CB827" s="13" t="n">
        <v>101</v>
      </c>
      <c r="CC827" s="13" t="n">
        <v>121</v>
      </c>
      <c r="CD827" s="13" t="n">
        <v>15.3</v>
      </c>
      <c r="CE827" s="13" t="n">
        <v>1807</v>
      </c>
      <c r="CF827" s="13" t="n">
        <v>1</v>
      </c>
      <c r="CG827" s="13" t="n">
        <v>1813</v>
      </c>
      <c r="CH827" s="13" t="n">
        <v>150</v>
      </c>
      <c r="CI827" s="13" t="n">
        <v>75</v>
      </c>
      <c r="CJ827" s="13" t="n">
        <v>68</v>
      </c>
      <c r="CK827" s="13" t="n">
        <v>359</v>
      </c>
      <c r="CL827" s="13" t="n">
        <v>35</v>
      </c>
      <c r="CM827" s="13" t="n">
        <v>280</v>
      </c>
      <c r="CN827" s="13" t="n">
        <v>0.509</v>
      </c>
      <c r="CO827" s="13" t="n">
        <v>156</v>
      </c>
      <c r="CP827" s="13" t="n">
        <v>139</v>
      </c>
      <c r="CQ827" s="13" t="n">
        <v>204</v>
      </c>
      <c r="CR827" s="13" t="n">
        <v>4</v>
      </c>
      <c r="CS827" s="13" t="n">
        <v>7</v>
      </c>
      <c r="CT827" s="11" t="inlineStr">
        <is>
          <t xml:space="preserve"> Resort Freeride</t>
        </is>
      </c>
      <c r="CU827" s="11" t="inlineStr">
        <is>
          <t xml:space="preserve"> Powder</t>
        </is>
      </c>
      <c r="CV827" s="13" t="n"/>
      <c r="CW827" s="13" t="n"/>
      <c r="CX827">
        <f>INDEX('Data_Price '!AG$2:AG$1266,MATCH(Data!$DN827,'Data_Price '!$AT$2:$AT$1266,0))</f>
        <v/>
      </c>
      <c r="CY827">
        <f>INDEX('Data_Price '!AH$2:AH$1266,MATCH(Data!$DN827,'Data_Price '!$AT$2:$AT$1266,0))</f>
        <v/>
      </c>
      <c r="CZ827">
        <f>INDEX('Data_Price '!AI$2:AI$1266,MATCH(Data!$DN827,'Data_Price '!$AT$2:$AT$1266,0))</f>
        <v/>
      </c>
      <c r="DA827">
        <f>INDEX('Data_Price '!AJ$2:AJ$1266,MATCH(Data!$DN827,'Data_Price '!$AT$2:$AT$1266,0))</f>
        <v/>
      </c>
      <c r="DB827">
        <f>INDEX('Data_Price '!AK$2:AK$1266,MATCH(Data!$DN827,'Data_Price '!$AT$2:$AT$1266,0))</f>
        <v/>
      </c>
      <c r="DC827">
        <f>INDEX('Data_Price '!AL$2:AL$1266,MATCH(Data!$DN827,'Data_Price '!$AT$2:$AT$1266,0))</f>
        <v/>
      </c>
      <c r="DD827">
        <f>INDEX('Data_Price '!AM$2:AM$1266,MATCH(Data!$DN827,'Data_Price '!$AT$2:$AT$1266,0))</f>
        <v/>
      </c>
      <c r="DE827">
        <f>INDEX('Data_Price '!AN$2:AN$1266,MATCH(Data!$DN827,'Data_Price '!$AT$2:$AT$1266,0))</f>
        <v/>
      </c>
      <c r="DF827">
        <f>INDEX('Data_Price '!AO$2:AO$1266,MATCH(Data!$DN827,'Data_Price '!$AT$2:$AT$1266,0))</f>
        <v/>
      </c>
      <c r="DG827">
        <f>INDEX('Data_Price '!AP$2:AP$1266,MATCH(Data!$DN827,'Data_Price '!$AT$2:$AT$1266,0))</f>
        <v/>
      </c>
      <c r="DH827">
        <f>INDEX('Data_Price '!AQ$2:AQ$1266,MATCH(Data!$DN827,'Data_Price '!$AT$2:$AT$1266,0))</f>
        <v/>
      </c>
      <c r="DI827">
        <f>INDEX('Data_Price '!AR$2:AR$1266,MATCH(Data!$DN827,'Data_Price '!$AT$2:$AT$1266,0))</f>
        <v/>
      </c>
      <c r="DJ827" s="138">
        <f>DA827</f>
        <v/>
      </c>
      <c r="DK827" s="138">
        <f>DE827</f>
        <v/>
      </c>
      <c r="DL827" s="138">
        <f>DI827</f>
        <v/>
      </c>
      <c r="DM827" s="303">
        <f>IF(LEFT(BT827,1)=" ",RIGHT(BT827,LEN(BT827)-1),BT827)</f>
        <v/>
      </c>
      <c r="DN827" s="138">
        <f>_xlfn.CONCAT(BS827,DM827,BU827,BV827)</f>
        <v/>
      </c>
      <c r="DO827" s="307" t="inlineStr">
        <is>
          <t>https://images.evo.com/imgp/250/198691/839655/armada-edollo-skis-2022-.jpg</t>
        </is>
      </c>
    </row>
    <row r="828" ht="15.6" customHeight="1" s="184">
      <c r="B828" s="303">
        <f t="array" ref="B828">IF(OR(ISERROR(K828:P828)),FALSE,TRUE)</f>
        <v/>
      </c>
      <c r="C828" s="60">
        <f>OR(BR828=Driver!$G$50,Data!BR593=Driver!$H$50)</f>
        <v/>
      </c>
      <c r="D828" s="60">
        <f>OR(BV828=Driver!$G$51,BV828=Driver!$H$51)</f>
        <v/>
      </c>
      <c r="E828" s="60">
        <f>AND(BX828&gt;Driver!$F$54,BX828&lt;Driver!$G$54)</f>
        <v/>
      </c>
      <c r="F828" s="60">
        <f>CL828&gt;Driver!$F$56</f>
        <v/>
      </c>
      <c r="G828" s="60">
        <f>AND(CB828&gt;Driver!$F$55,CB828&lt;Driver!$G$55)</f>
        <v/>
      </c>
      <c r="H828" s="60">
        <f>AND(B828:G828)</f>
        <v/>
      </c>
      <c r="I828" s="60">
        <f>COUNTIFS($H$9:$H$1273,TRUE,$BT$9:$BT$1273,BT828)</f>
        <v/>
      </c>
      <c r="J828" s="60">
        <f t="array" ref="J828">NOT(OR(($H$9:$H$1273=TRUE)*($I$9:$I$1273&gt;0)*($BT$9:$BT$1273=BT828)*($K$9:$K$1273&gt;K828)))</f>
        <v/>
      </c>
      <c r="K828" s="108">
        <f>IFERROR(1-AVERAGE(X828:Y828),"")</f>
        <v/>
      </c>
      <c r="L828" s="108">
        <f>1-X828</f>
        <v/>
      </c>
      <c r="M828" s="108">
        <f>1-Y828</f>
        <v/>
      </c>
      <c r="N828" s="108">
        <f>1-Z828</f>
        <v/>
      </c>
      <c r="O828" s="108">
        <f>1-AA828</f>
        <v/>
      </c>
      <c r="P828" s="108">
        <f>1-AB828</f>
        <v/>
      </c>
      <c r="Q828" s="108" t="n"/>
      <c r="R828" s="108" t="n"/>
      <c r="S828" s="108">
        <f>1-AE828</f>
        <v/>
      </c>
      <c r="T828" s="108">
        <f>1-AF828</f>
        <v/>
      </c>
      <c r="U828" s="108">
        <f>1-AG828</f>
        <v/>
      </c>
      <c r="V828" s="108">
        <f>1-AH828</f>
        <v/>
      </c>
      <c r="W828" s="108">
        <f>1-AI828</f>
        <v/>
      </c>
      <c r="X828" s="108">
        <f>ABS(AJ828-AJ$1)</f>
        <v/>
      </c>
      <c r="Y828" s="108">
        <f>AVERAGE(Z828:AB828)</f>
        <v/>
      </c>
      <c r="Z828" s="108">
        <f>ABS(AL828-AL$1)</f>
        <v/>
      </c>
      <c r="AA828" s="108">
        <f>ABS(AM828-AM$1)</f>
        <v/>
      </c>
      <c r="AB828" s="108">
        <f>ABS(AN828-AN$1)</f>
        <v/>
      </c>
      <c r="AC828" s="108" t="n"/>
      <c r="AD828" s="108" t="n"/>
      <c r="AE828" s="108">
        <f>ABS(AQ$1-AQ828)</f>
        <v/>
      </c>
      <c r="AF828" s="108">
        <f>ABS(AR$1-AR828)</f>
        <v/>
      </c>
      <c r="AG828" s="108">
        <f>ABS(AS$1-AS828)</f>
        <v/>
      </c>
      <c r="AH828" s="108">
        <f>ABS(AT$1-AT828)</f>
        <v/>
      </c>
      <c r="AI828" s="108">
        <f>ABS(AU$1-AU828)</f>
        <v/>
      </c>
      <c r="AJ828" s="108">
        <f>(AV828-Driver!$K$179)/(Driver!$L$179-Driver!$K$179)</f>
        <v/>
      </c>
      <c r="AK828" s="108">
        <f>(AW828-Driver!$K$180)/(Driver!$L$180-Driver!$K$180)</f>
        <v/>
      </c>
      <c r="AL828" s="108">
        <f>(AX828-Driver!$K$181)/(Driver!$L$181-Driver!$K$181)</f>
        <v/>
      </c>
      <c r="AM828" s="108">
        <f>(AY828-Driver!$K$182)/(Driver!$L$182-Driver!$K$182)</f>
        <v/>
      </c>
      <c r="AN828" s="108">
        <f>(AZ828-Driver!$K$183)/(Driver!$L$183-Driver!$K$183)</f>
        <v/>
      </c>
      <c r="AO828" s="108" t="n"/>
      <c r="AP828" s="108" t="n"/>
      <c r="AQ828" s="108">
        <f>(BC828-Driver!$K$188)/(Driver!$L$188-Driver!$K$188)</f>
        <v/>
      </c>
      <c r="AR828" s="108">
        <f>MIN((BD828-Driver!$K$189)/(Driver!$L$189-Driver!$K$189),100%)</f>
        <v/>
      </c>
      <c r="AS828" s="108">
        <f>(BE828-Driver!$K$190)/(Driver!$L$190-Driver!$K$190)</f>
        <v/>
      </c>
      <c r="AT828" s="108">
        <f>(BF828-Driver!$K$191)/(Driver!$L$191-Driver!$K$191)</f>
        <v/>
      </c>
      <c r="AU828" s="108">
        <f>(BG828-Driver!$K$192)/(Driver!$L$192-Driver!$K$192)</f>
        <v/>
      </c>
      <c r="AV828" s="105">
        <f>IFERROR(BM828*BJ828^1/4,"")</f>
        <v/>
      </c>
      <c r="AW828" s="105">
        <f>IFERROR(SUM(AX828:AZ828),"")</f>
        <v/>
      </c>
      <c r="AX828" s="105">
        <f>IFERROR(BH828,"")</f>
        <v/>
      </c>
      <c r="AY828" s="105">
        <f>IFERROR(Driver!$K$19/Data!BH828/Data!BI828*Data!BK828*Data!BL828,"")</f>
        <v/>
      </c>
      <c r="AZ828" s="105">
        <f>IFERROR(BI828*BN828,"")</f>
        <v/>
      </c>
      <c r="BA828" s="105" t="n"/>
      <c r="BB828" s="105" t="n"/>
      <c r="BC828" s="105">
        <f>IFERROR(BI828*BN828*BK828/BJ828^(1/2),"")</f>
        <v/>
      </c>
      <c r="BD828" s="105">
        <f>IFERROR(BH828*BM828*BL828/BJ828/BK828,"")</f>
        <v/>
      </c>
      <c r="BE828" s="105">
        <f>IFERROR(MIN(BI828/BQ828/BP828/BO828/BH828,$BE$1),"")</f>
        <v/>
      </c>
      <c r="BF828" s="105">
        <f>IFERROR(BJ828*BO828*BP828/BK828,"")</f>
        <v/>
      </c>
      <c r="BG828" s="105">
        <f>IFERROR(1/BM828/BH828*BQ828,"")</f>
        <v/>
      </c>
      <c r="BH828" s="102">
        <f>MAX((CE828-Driver!$F$200)/(Driver!$G$200-Driver!$F$200)*$BI$1,1)</f>
        <v/>
      </c>
      <c r="BI828" s="102">
        <f>MAX($BI$1*(BY828-Driver!$F$201)/(Driver!$G$201-Driver!$F$201),1)</f>
        <v/>
      </c>
      <c r="BJ828" s="102">
        <f>(CB828-Driver!$F$206)/(Driver!$G$206-Driver!$F$206)*$BI$1</f>
        <v/>
      </c>
      <c r="BK828" s="102">
        <f>(CD828-Driver!$F$203)/(Driver!$G$203-Driver!$F$203)*$BI$1</f>
        <v/>
      </c>
      <c r="BL828" s="102">
        <f>MAX((CR828-Driver!$F$202)/(Driver!$G$202-Driver!$F$202)*$BI$1,1)</f>
        <v/>
      </c>
      <c r="BM828" s="102">
        <f>MAX((CH828-Driver!$F$204)/(Driver!$G$204-Driver!$F$204)*$BI$1,1)</f>
        <v/>
      </c>
      <c r="BN828" s="102">
        <f>(CI828-Driver!$F$205)/(Driver!$G$205-Driver!$F$205)*$BI$1</f>
        <v/>
      </c>
      <c r="BO828" s="102">
        <f>(CK828-Driver!$F$207)/(Driver!$G$207-Driver!$F$207)*$BI$1</f>
        <v/>
      </c>
      <c r="BP828" s="102">
        <f>(CM828-Driver!$F$208)/(Driver!$G$208-Driver!$F$208)*$BI$1</f>
        <v/>
      </c>
      <c r="BQ828" s="102">
        <f>(CL828-Driver!$F$209)/(Driver!$G$209-Driver!$F$209)*$BI$1</f>
        <v/>
      </c>
      <c r="BR828" s="40" t="inlineStr">
        <is>
          <t>21/22</t>
        </is>
      </c>
      <c r="BS828" s="10" t="inlineStr">
        <is>
          <t xml:space="preserve"> Fischer</t>
        </is>
      </c>
      <c r="BT828" s="11" t="inlineStr">
        <is>
          <t>RC One 82 GT</t>
        </is>
      </c>
      <c r="BU828" s="13" t="n">
        <v>166</v>
      </c>
      <c r="BV828" s="11" t="inlineStr">
        <is>
          <t xml:space="preserve"> Unisex</t>
        </is>
      </c>
      <c r="BW828" s="13" t="n">
        <v>166</v>
      </c>
      <c r="BX828" s="13" t="n">
        <v>165.6</v>
      </c>
      <c r="BY828" s="13" t="n">
        <v>127</v>
      </c>
      <c r="BZ828" s="13" t="n">
        <v>148</v>
      </c>
      <c r="CA828" s="13" t="n">
        <v>125</v>
      </c>
      <c r="CB828" s="13" t="n">
        <v>82</v>
      </c>
      <c r="CC828" s="13" t="n">
        <v>111</v>
      </c>
      <c r="CD828" s="13" t="n">
        <v>13.8</v>
      </c>
      <c r="CE828" s="13" t="n">
        <v>1915</v>
      </c>
      <c r="CF828" s="13" t="n">
        <v>0.83</v>
      </c>
      <c r="CG828" s="13" t="n">
        <v>1583</v>
      </c>
      <c r="CH828" s="13" t="n">
        <v>215</v>
      </c>
      <c r="CI828" s="13" t="n">
        <v>123</v>
      </c>
      <c r="CJ828" s="13" t="n">
        <v>49</v>
      </c>
      <c r="CK828" s="13" t="n">
        <v>280</v>
      </c>
      <c r="CL828" s="13" t="n">
        <v>6</v>
      </c>
      <c r="CM828" s="13" t="n">
        <v>106</v>
      </c>
      <c r="CN828" s="13" t="n">
        <v>0.12</v>
      </c>
      <c r="CO828" s="13" t="n">
        <v>84</v>
      </c>
      <c r="CP828" s="13" t="n">
        <v>95</v>
      </c>
      <c r="CQ828" s="13" t="n">
        <v>197</v>
      </c>
      <c r="CR828" s="13" t="n">
        <v>4</v>
      </c>
      <c r="CS828" s="13" t="n">
        <v>9.300000000000001</v>
      </c>
      <c r="CT828" s="11" t="inlineStr">
        <is>
          <t xml:space="preserve"> On-Piste All-Mountain</t>
        </is>
      </c>
      <c r="CU828" s="11" t="inlineStr">
        <is>
          <t xml:space="preserve"> Resort Freeride</t>
        </is>
      </c>
      <c r="CV828" s="13" t="n"/>
      <c r="CW828" s="13" t="n"/>
      <c r="CX828">
        <f>INDEX('Data_Price '!AG$2:AG$1266,MATCH(Data!$DN828,'Data_Price '!$AT$2:$AT$1266,0))</f>
        <v/>
      </c>
      <c r="CY828">
        <f>INDEX('Data_Price '!AH$2:AH$1266,MATCH(Data!$DN828,'Data_Price '!$AT$2:$AT$1266,0))</f>
        <v/>
      </c>
      <c r="CZ828">
        <f>INDEX('Data_Price '!AI$2:AI$1266,MATCH(Data!$DN828,'Data_Price '!$AT$2:$AT$1266,0))</f>
        <v/>
      </c>
      <c r="DA828">
        <f>INDEX('Data_Price '!AJ$2:AJ$1266,MATCH(Data!$DN828,'Data_Price '!$AT$2:$AT$1266,0))</f>
        <v/>
      </c>
      <c r="DB828">
        <f>INDEX('Data_Price '!AK$2:AK$1266,MATCH(Data!$DN828,'Data_Price '!$AT$2:$AT$1266,0))</f>
        <v/>
      </c>
      <c r="DC828">
        <f>INDEX('Data_Price '!AL$2:AL$1266,MATCH(Data!$DN828,'Data_Price '!$AT$2:$AT$1266,0))</f>
        <v/>
      </c>
      <c r="DD828">
        <f>INDEX('Data_Price '!AM$2:AM$1266,MATCH(Data!$DN828,'Data_Price '!$AT$2:$AT$1266,0))</f>
        <v/>
      </c>
      <c r="DE828">
        <f>INDEX('Data_Price '!AN$2:AN$1266,MATCH(Data!$DN828,'Data_Price '!$AT$2:$AT$1266,0))</f>
        <v/>
      </c>
      <c r="DF828">
        <f>INDEX('Data_Price '!AO$2:AO$1266,MATCH(Data!$DN828,'Data_Price '!$AT$2:$AT$1266,0))</f>
        <v/>
      </c>
      <c r="DG828">
        <f>INDEX('Data_Price '!AP$2:AP$1266,MATCH(Data!$DN828,'Data_Price '!$AT$2:$AT$1266,0))</f>
        <v/>
      </c>
      <c r="DH828">
        <f>INDEX('Data_Price '!AQ$2:AQ$1266,MATCH(Data!$DN828,'Data_Price '!$AT$2:$AT$1266,0))</f>
        <v/>
      </c>
      <c r="DI828">
        <f>INDEX('Data_Price '!AR$2:AR$1266,MATCH(Data!$DN828,'Data_Price '!$AT$2:$AT$1266,0))</f>
        <v/>
      </c>
      <c r="DJ828" s="138">
        <f>DA828</f>
        <v/>
      </c>
      <c r="DK828" s="138">
        <f>DE828</f>
        <v/>
      </c>
      <c r="DL828" s="138">
        <f>DI828</f>
        <v/>
      </c>
      <c r="DM828" s="303">
        <f>IF(LEFT(BT828,1)=" ",RIGHT(BT828,LEN(BT828)-1),BT828)</f>
        <v/>
      </c>
      <c r="DN828" s="138">
        <f>_xlfn.CONCAT(BS828,DM828,BU828,BV828)</f>
        <v/>
      </c>
      <c r="DO828" s="307" t="n"/>
    </row>
    <row r="829" ht="15.6" customHeight="1" s="184">
      <c r="B829" s="303">
        <f t="array" ref="B829">IF(OR(ISERROR(K829:P829)),FALSE,TRUE)</f>
        <v/>
      </c>
      <c r="C829" s="60">
        <f>OR(BR829=Driver!$G$50,Data!BR830=Driver!$H$50)</f>
        <v/>
      </c>
      <c r="D829" s="60">
        <f>OR(BV829=Driver!$G$51,BV829=Driver!$H$51)</f>
        <v/>
      </c>
      <c r="E829" s="60">
        <f>AND(BX829&gt;Driver!$F$54,BX829&lt;Driver!$G$54)</f>
        <v/>
      </c>
      <c r="F829" s="60">
        <f>CL829&gt;Driver!$F$56</f>
        <v/>
      </c>
      <c r="G829" s="60">
        <f>AND(CB829&gt;Driver!$F$55,CB829&lt;Driver!$G$55)</f>
        <v/>
      </c>
      <c r="H829" s="60">
        <f>AND(B829:G829)</f>
        <v/>
      </c>
      <c r="I829" s="60">
        <f>COUNTIFS($H$9:$H$1273,TRUE,$BT$9:$BT$1273,BT829)</f>
        <v/>
      </c>
      <c r="J829" s="60">
        <f t="array" ref="J829">NOT(OR(($H$9:$H$1273=TRUE)*($I$9:$I$1273&gt;0)*($BT$9:$BT$1273=BT829)*($K$9:$K$1273&gt;K829)))</f>
        <v/>
      </c>
      <c r="K829" s="108">
        <f>IFERROR(1-AVERAGE(X829:Y829),"")</f>
        <v/>
      </c>
      <c r="L829" s="108">
        <f>1-X829</f>
        <v/>
      </c>
      <c r="M829" s="108">
        <f>1-Y829</f>
        <v/>
      </c>
      <c r="N829" s="108">
        <f>1-Z829</f>
        <v/>
      </c>
      <c r="O829" s="108">
        <f>1-AA829</f>
        <v/>
      </c>
      <c r="P829" s="108">
        <f>1-AB829</f>
        <v/>
      </c>
      <c r="Q829" s="108" t="n"/>
      <c r="R829" s="108" t="n"/>
      <c r="S829" s="108">
        <f>1-AE829</f>
        <v/>
      </c>
      <c r="T829" s="108">
        <f>1-AF829</f>
        <v/>
      </c>
      <c r="U829" s="108">
        <f>1-AG829</f>
        <v/>
      </c>
      <c r="V829" s="108">
        <f>1-AH829</f>
        <v/>
      </c>
      <c r="W829" s="108">
        <f>1-AI829</f>
        <v/>
      </c>
      <c r="X829" s="108">
        <f>ABS(AJ829-AJ$1)</f>
        <v/>
      </c>
      <c r="Y829" s="108">
        <f>AVERAGE(Z829:AB829)</f>
        <v/>
      </c>
      <c r="Z829" s="108">
        <f>ABS(AL829-AL$1)</f>
        <v/>
      </c>
      <c r="AA829" s="108">
        <f>ABS(AM829-AM$1)</f>
        <v/>
      </c>
      <c r="AB829" s="108">
        <f>ABS(AN829-AN$1)</f>
        <v/>
      </c>
      <c r="AC829" s="108" t="n"/>
      <c r="AD829" s="108" t="n"/>
      <c r="AE829" s="108">
        <f>ABS(AQ$1-AQ829)</f>
        <v/>
      </c>
      <c r="AF829" s="108">
        <f>ABS(AR$1-AR829)</f>
        <v/>
      </c>
      <c r="AG829" s="108">
        <f>ABS(AS$1-AS829)</f>
        <v/>
      </c>
      <c r="AH829" s="108">
        <f>ABS(AT$1-AT829)</f>
        <v/>
      </c>
      <c r="AI829" s="108">
        <f>ABS(AU$1-AU829)</f>
        <v/>
      </c>
      <c r="AJ829" s="108">
        <f>(AV829-Driver!$K$179)/(Driver!$L$179-Driver!$K$179)</f>
        <v/>
      </c>
      <c r="AK829" s="108">
        <f>(AW829-Driver!$K$180)/(Driver!$L$180-Driver!$K$180)</f>
        <v/>
      </c>
      <c r="AL829" s="108">
        <f>(AX829-Driver!$K$181)/(Driver!$L$181-Driver!$K$181)</f>
        <v/>
      </c>
      <c r="AM829" s="108">
        <f>(AY829-Driver!$K$182)/(Driver!$L$182-Driver!$K$182)</f>
        <v/>
      </c>
      <c r="AN829" s="108">
        <f>(AZ829-Driver!$K$183)/(Driver!$L$183-Driver!$K$183)</f>
        <v/>
      </c>
      <c r="AO829" s="108" t="n"/>
      <c r="AP829" s="108" t="n"/>
      <c r="AQ829" s="108">
        <f>(BC829-Driver!$K$188)/(Driver!$L$188-Driver!$K$188)</f>
        <v/>
      </c>
      <c r="AR829" s="108">
        <f>MIN((BD829-Driver!$K$189)/(Driver!$L$189-Driver!$K$189),100%)</f>
        <v/>
      </c>
      <c r="AS829" s="108">
        <f>(BE829-Driver!$K$190)/(Driver!$L$190-Driver!$K$190)</f>
        <v/>
      </c>
      <c r="AT829" s="108">
        <f>(BF829-Driver!$K$191)/(Driver!$L$191-Driver!$K$191)</f>
        <v/>
      </c>
      <c r="AU829" s="108">
        <f>(BG829-Driver!$K$192)/(Driver!$L$192-Driver!$K$192)</f>
        <v/>
      </c>
      <c r="AV829" s="105">
        <f>IFERROR(BM829*BJ829^1/4,"")</f>
        <v/>
      </c>
      <c r="AW829" s="105">
        <f>IFERROR(SUM(AX829:AZ829),"")</f>
        <v/>
      </c>
      <c r="AX829" s="105">
        <f>IFERROR(BH829,"")</f>
        <v/>
      </c>
      <c r="AY829" s="105">
        <f>IFERROR(Driver!$K$19/Data!BH829/Data!BI829*Data!BK829*Data!BL829,"")</f>
        <v/>
      </c>
      <c r="AZ829" s="105">
        <f>IFERROR(BI829*BN829,"")</f>
        <v/>
      </c>
      <c r="BA829" s="105" t="n"/>
      <c r="BB829" s="105" t="n"/>
      <c r="BC829" s="105">
        <f>IFERROR(BI829*BN829*BK829/BJ829^(1/2),"")</f>
        <v/>
      </c>
      <c r="BD829" s="105">
        <f>IFERROR(BH829*BM829*BL829/BJ829/BK829,"")</f>
        <v/>
      </c>
      <c r="BE829" s="105">
        <f>IFERROR(MIN(BI829/BQ829/BP829/BO829/BH829,$BE$1),"")</f>
        <v/>
      </c>
      <c r="BF829" s="105">
        <f>IFERROR(BJ829*BO829*BP829/BK829,"")</f>
        <v/>
      </c>
      <c r="BG829" s="105">
        <f>IFERROR(1/BM829/BH829*BQ829,"")</f>
        <v/>
      </c>
      <c r="BH829" s="102">
        <f>MAX((CE829-Driver!$F$200)/(Driver!$G$200-Driver!$F$200)*$BI$1,1)</f>
        <v/>
      </c>
      <c r="BI829" s="102">
        <f>MAX($BI$1*(BY829-Driver!$F$201)/(Driver!$G$201-Driver!$F$201),1)</f>
        <v/>
      </c>
      <c r="BJ829" s="102">
        <f>(CB829-Driver!$F$206)/(Driver!$G$206-Driver!$F$206)*$BI$1</f>
        <v/>
      </c>
      <c r="BK829" s="102">
        <f>(CD829-Driver!$F$203)/(Driver!$G$203-Driver!$F$203)*$BI$1</f>
        <v/>
      </c>
      <c r="BL829" s="102">
        <f>MAX((CR829-Driver!$F$202)/(Driver!$G$202-Driver!$F$202)*$BI$1,1)</f>
        <v/>
      </c>
      <c r="BM829" s="102">
        <f>MAX((CH829-Driver!$F$204)/(Driver!$G$204-Driver!$F$204)*$BI$1,1)</f>
        <v/>
      </c>
      <c r="BN829" s="102">
        <f>(CI829-Driver!$F$205)/(Driver!$G$205-Driver!$F$205)*$BI$1</f>
        <v/>
      </c>
      <c r="BO829" s="102">
        <f>(CK829-Driver!$F$207)/(Driver!$G$207-Driver!$F$207)*$BI$1</f>
        <v/>
      </c>
      <c r="BP829" s="102">
        <f>(CM829-Driver!$F$208)/(Driver!$G$208-Driver!$F$208)*$BI$1</f>
        <v/>
      </c>
      <c r="BQ829" s="102">
        <f>(CL829-Driver!$F$209)/(Driver!$G$209-Driver!$F$209)*$BI$1</f>
        <v/>
      </c>
      <c r="BR829" s="40" t="inlineStr">
        <is>
          <t>21/22</t>
        </is>
      </c>
      <c r="BS829" s="10" t="inlineStr">
        <is>
          <t xml:space="preserve"> Line</t>
        </is>
      </c>
      <c r="BT829" s="11" t="inlineStr">
        <is>
          <t xml:space="preserve"> Chronic</t>
        </is>
      </c>
      <c r="BU829" s="13" t="n">
        <v>164</v>
      </c>
      <c r="BV829" s="11" t="inlineStr">
        <is>
          <t xml:space="preserve"> Unisex</t>
        </is>
      </c>
      <c r="BW829" s="13" t="n">
        <v>164</v>
      </c>
      <c r="BX829" s="13" t="n">
        <v>164.8</v>
      </c>
      <c r="BY829" s="13" t="n">
        <v>132</v>
      </c>
      <c r="BZ829" s="13" t="n">
        <v>131</v>
      </c>
      <c r="CA829" s="13" t="n">
        <v>128</v>
      </c>
      <c r="CB829" s="13" t="n">
        <v>94</v>
      </c>
      <c r="CC829" s="13" t="n">
        <v>119</v>
      </c>
      <c r="CD829" s="13" t="n">
        <v>13.8</v>
      </c>
      <c r="CE829" s="13" t="n">
        <v>1581</v>
      </c>
      <c r="CF829" s="13" t="n">
        <v>1.1</v>
      </c>
      <c r="CG829" s="13" t="n">
        <v>1736</v>
      </c>
      <c r="CH829" s="13" t="n">
        <v>108</v>
      </c>
      <c r="CI829" s="13" t="n">
        <v>66</v>
      </c>
      <c r="CJ829" s="13" t="n">
        <v>36</v>
      </c>
      <c r="CK829" s="13" t="n">
        <v>161</v>
      </c>
      <c r="CL829" s="13" t="n">
        <v>34</v>
      </c>
      <c r="CM829" s="13" t="n">
        <v>165</v>
      </c>
      <c r="CN829" s="13" t="n">
        <v>0.963</v>
      </c>
      <c r="CO829" s="13" t="n">
        <v>165</v>
      </c>
      <c r="CP829" s="13" t="n">
        <v>178</v>
      </c>
      <c r="CQ829" s="13" t="n">
        <v>-4</v>
      </c>
      <c r="CR829" s="13" t="n">
        <v>9</v>
      </c>
      <c r="CS829" s="13" t="n">
        <v>3.6</v>
      </c>
      <c r="CT829" s="11" t="inlineStr">
        <is>
          <t xml:space="preserve"> Freeski</t>
        </is>
      </c>
      <c r="CU829" s="11" t="inlineStr">
        <is>
          <t xml:space="preserve"> Touring</t>
        </is>
      </c>
      <c r="CV829" s="13" t="n"/>
      <c r="CW829" s="13" t="n"/>
      <c r="CX829">
        <f>INDEX('Data_Price '!AG$2:AG$1266,MATCH(Data!$DN829,'Data_Price '!$AT$2:$AT$1266,0))</f>
        <v/>
      </c>
      <c r="CY829">
        <f>INDEX('Data_Price '!AH$2:AH$1266,MATCH(Data!$DN829,'Data_Price '!$AT$2:$AT$1266,0))</f>
        <v/>
      </c>
      <c r="CZ829">
        <f>INDEX('Data_Price '!AI$2:AI$1266,MATCH(Data!$DN829,'Data_Price '!$AT$2:$AT$1266,0))</f>
        <v/>
      </c>
      <c r="DA829">
        <f>INDEX('Data_Price '!AJ$2:AJ$1266,MATCH(Data!$DN829,'Data_Price '!$AT$2:$AT$1266,0))</f>
        <v/>
      </c>
      <c r="DB829">
        <f>INDEX('Data_Price '!AK$2:AK$1266,MATCH(Data!$DN829,'Data_Price '!$AT$2:$AT$1266,0))</f>
        <v/>
      </c>
      <c r="DC829">
        <f>INDEX('Data_Price '!AL$2:AL$1266,MATCH(Data!$DN829,'Data_Price '!$AT$2:$AT$1266,0))</f>
        <v/>
      </c>
      <c r="DD829">
        <f>INDEX('Data_Price '!AM$2:AM$1266,MATCH(Data!$DN829,'Data_Price '!$AT$2:$AT$1266,0))</f>
        <v/>
      </c>
      <c r="DE829">
        <f>INDEX('Data_Price '!AN$2:AN$1266,MATCH(Data!$DN829,'Data_Price '!$AT$2:$AT$1266,0))</f>
        <v/>
      </c>
      <c r="DF829">
        <f>INDEX('Data_Price '!AO$2:AO$1266,MATCH(Data!$DN829,'Data_Price '!$AT$2:$AT$1266,0))</f>
        <v/>
      </c>
      <c r="DG829">
        <f>INDEX('Data_Price '!AP$2:AP$1266,MATCH(Data!$DN829,'Data_Price '!$AT$2:$AT$1266,0))</f>
        <v/>
      </c>
      <c r="DH829">
        <f>INDEX('Data_Price '!AQ$2:AQ$1266,MATCH(Data!$DN829,'Data_Price '!$AT$2:$AT$1266,0))</f>
        <v/>
      </c>
      <c r="DI829">
        <f>INDEX('Data_Price '!AR$2:AR$1266,MATCH(Data!$DN829,'Data_Price '!$AT$2:$AT$1266,0))</f>
        <v/>
      </c>
      <c r="DJ829" s="138">
        <f>DA829</f>
        <v/>
      </c>
      <c r="DK829" s="138">
        <f>DE829</f>
        <v/>
      </c>
      <c r="DL829" s="138">
        <f>DI829</f>
        <v/>
      </c>
      <c r="DM829" s="303">
        <f>IF(LEFT(BT829,1)=" ",RIGHT(BT829,LEN(BT829)-1),BT829)</f>
        <v/>
      </c>
      <c r="DN829" s="138">
        <f>_xlfn.CONCAT(BS829,DM829,BU829,BV829)</f>
        <v/>
      </c>
      <c r="DO829" s="307" t="inlineStr">
        <is>
          <t>https://images.evo.com/imgp/250/198439/824792/clone.jpg</t>
        </is>
      </c>
    </row>
    <row r="830" ht="15.6" customHeight="1" s="184">
      <c r="B830" s="303">
        <f t="array" ref="B830">IF(OR(ISERROR(K830:P830)),FALSE,TRUE)</f>
        <v/>
      </c>
      <c r="C830" s="60">
        <f>OR(BR830=Driver!$G$50,Data!BR196=Driver!$H$50)</f>
        <v/>
      </c>
      <c r="D830" s="60">
        <f>OR(BV830=Driver!$G$51,BV830=Driver!$H$51)</f>
        <v/>
      </c>
      <c r="E830" s="60">
        <f>AND(BX830&gt;Driver!$F$54,BX830&lt;Driver!$G$54)</f>
        <v/>
      </c>
      <c r="F830" s="60">
        <f>CL830&gt;Driver!$F$56</f>
        <v/>
      </c>
      <c r="G830" s="60">
        <f>AND(CB830&gt;Driver!$F$55,CB830&lt;Driver!$G$55)</f>
        <v/>
      </c>
      <c r="H830" s="60">
        <f>AND(B830:G830)</f>
        <v/>
      </c>
      <c r="I830" s="60">
        <f>COUNTIFS($H$9:$H$1273,TRUE,$BT$9:$BT$1273,BT830)</f>
        <v/>
      </c>
      <c r="J830" s="60">
        <f t="array" ref="J830">NOT(OR(($H$9:$H$1273=TRUE)*($I$9:$I$1273&gt;0)*($BT$9:$BT$1273=BT830)*($K$9:$K$1273&gt;K830)))</f>
        <v/>
      </c>
      <c r="K830" s="108">
        <f>IFERROR(1-AVERAGE(X830:Y830),"")</f>
        <v/>
      </c>
      <c r="L830" s="108">
        <f>1-X830</f>
        <v/>
      </c>
      <c r="M830" s="108">
        <f>1-Y830</f>
        <v/>
      </c>
      <c r="N830" s="108">
        <f>1-Z830</f>
        <v/>
      </c>
      <c r="O830" s="108">
        <f>1-AA830</f>
        <v/>
      </c>
      <c r="P830" s="108">
        <f>1-AB830</f>
        <v/>
      </c>
      <c r="Q830" s="108" t="n"/>
      <c r="R830" s="108" t="n"/>
      <c r="S830" s="108">
        <f>1-AE830</f>
        <v/>
      </c>
      <c r="T830" s="108">
        <f>1-AF830</f>
        <v/>
      </c>
      <c r="U830" s="108">
        <f>1-AG830</f>
        <v/>
      </c>
      <c r="V830" s="108">
        <f>1-AH830</f>
        <v/>
      </c>
      <c r="W830" s="108">
        <f>1-AI830</f>
        <v/>
      </c>
      <c r="X830" s="108">
        <f>ABS(AJ830-AJ$1)</f>
        <v/>
      </c>
      <c r="Y830" s="108">
        <f>AVERAGE(Z830:AB830)</f>
        <v/>
      </c>
      <c r="Z830" s="108">
        <f>ABS(AL830-AL$1)</f>
        <v/>
      </c>
      <c r="AA830" s="108">
        <f>ABS(AM830-AM$1)</f>
        <v/>
      </c>
      <c r="AB830" s="108">
        <f>ABS(AN830-AN$1)</f>
        <v/>
      </c>
      <c r="AC830" s="108" t="n"/>
      <c r="AD830" s="108" t="n"/>
      <c r="AE830" s="108">
        <f>ABS(AQ$1-AQ830)</f>
        <v/>
      </c>
      <c r="AF830" s="108">
        <f>ABS(AR$1-AR830)</f>
        <v/>
      </c>
      <c r="AG830" s="108">
        <f>ABS(AS$1-AS830)</f>
        <v/>
      </c>
      <c r="AH830" s="108">
        <f>ABS(AT$1-AT830)</f>
        <v/>
      </c>
      <c r="AI830" s="108">
        <f>ABS(AU$1-AU830)</f>
        <v/>
      </c>
      <c r="AJ830" s="108">
        <f>(AV830-Driver!$K$179)/(Driver!$L$179-Driver!$K$179)</f>
        <v/>
      </c>
      <c r="AK830" s="108">
        <f>(AW830-Driver!$K$180)/(Driver!$L$180-Driver!$K$180)</f>
        <v/>
      </c>
      <c r="AL830" s="108">
        <f>(AX830-Driver!$K$181)/(Driver!$L$181-Driver!$K$181)</f>
        <v/>
      </c>
      <c r="AM830" s="108">
        <f>(AY830-Driver!$K$182)/(Driver!$L$182-Driver!$K$182)</f>
        <v/>
      </c>
      <c r="AN830" s="108">
        <f>(AZ830-Driver!$K$183)/(Driver!$L$183-Driver!$K$183)</f>
        <v/>
      </c>
      <c r="AO830" s="108" t="n"/>
      <c r="AP830" s="108" t="n"/>
      <c r="AQ830" s="108">
        <f>(BC830-Driver!$K$188)/(Driver!$L$188-Driver!$K$188)</f>
        <v/>
      </c>
      <c r="AR830" s="108">
        <f>MIN((BD830-Driver!$K$189)/(Driver!$L$189-Driver!$K$189),100%)</f>
        <v/>
      </c>
      <c r="AS830" s="108">
        <f>(BE830-Driver!$K$190)/(Driver!$L$190-Driver!$K$190)</f>
        <v/>
      </c>
      <c r="AT830" s="108">
        <f>(BF830-Driver!$K$191)/(Driver!$L$191-Driver!$K$191)</f>
        <v/>
      </c>
      <c r="AU830" s="108">
        <f>(BG830-Driver!$K$192)/(Driver!$L$192-Driver!$K$192)</f>
        <v/>
      </c>
      <c r="AV830" s="105">
        <f>IFERROR(BM830*BJ830^1/4,"")</f>
        <v/>
      </c>
      <c r="AW830" s="105">
        <f>IFERROR(SUM(AX830:AZ830),"")</f>
        <v/>
      </c>
      <c r="AX830" s="105">
        <f>IFERROR(BH830,"")</f>
        <v/>
      </c>
      <c r="AY830" s="105">
        <f>IFERROR(Driver!$K$19/Data!BH830/Data!BI830*Data!BK830*Data!BL830,"")</f>
        <v/>
      </c>
      <c r="AZ830" s="105">
        <f>IFERROR(BI830*BN830,"")</f>
        <v/>
      </c>
      <c r="BA830" s="105" t="n"/>
      <c r="BB830" s="105" t="n"/>
      <c r="BC830" s="105">
        <f>IFERROR(BI830*BN830*BK830/BJ830^(1/2),"")</f>
        <v/>
      </c>
      <c r="BD830" s="105">
        <f>IFERROR(BH830*BM830*BL830/BJ830/BK830,"")</f>
        <v/>
      </c>
      <c r="BE830" s="105">
        <f>IFERROR(MIN(BI830/BQ830/BP830/BO830/BH830,$BE$1),"")</f>
        <v/>
      </c>
      <c r="BF830" s="105">
        <f>IFERROR(BJ830*BO830*BP830/BK830,"")</f>
        <v/>
      </c>
      <c r="BG830" s="105">
        <f>IFERROR(1/BM830/BH830*BQ830,"")</f>
        <v/>
      </c>
      <c r="BH830" s="102">
        <f>MAX((CE830-Driver!$F$200)/(Driver!$G$200-Driver!$F$200)*$BI$1,1)</f>
        <v/>
      </c>
      <c r="BI830" s="102">
        <f>MAX($BI$1*(BY830-Driver!$F$201)/(Driver!$G$201-Driver!$F$201),1)</f>
        <v/>
      </c>
      <c r="BJ830" s="102">
        <f>(CB830-Driver!$F$206)/(Driver!$G$206-Driver!$F$206)*$BI$1</f>
        <v/>
      </c>
      <c r="BK830" s="102">
        <f>(CD830-Driver!$F$203)/(Driver!$G$203-Driver!$F$203)*$BI$1</f>
        <v/>
      </c>
      <c r="BL830" s="102">
        <f>MAX((CR830-Driver!$F$202)/(Driver!$G$202-Driver!$F$202)*$BI$1,1)</f>
        <v/>
      </c>
      <c r="BM830" s="102">
        <f>MAX((CH830-Driver!$F$204)/(Driver!$G$204-Driver!$F$204)*$BI$1,1)</f>
        <v/>
      </c>
      <c r="BN830" s="102">
        <f>(CI830-Driver!$F$205)/(Driver!$G$205-Driver!$F$205)*$BI$1</f>
        <v/>
      </c>
      <c r="BO830" s="102">
        <f>(CK830-Driver!$F$207)/(Driver!$G$207-Driver!$F$207)*$BI$1</f>
        <v/>
      </c>
      <c r="BP830" s="102">
        <f>(CM830-Driver!$F$208)/(Driver!$G$208-Driver!$F$208)*$BI$1</f>
        <v/>
      </c>
      <c r="BQ830" s="102">
        <f>(CL830-Driver!$F$209)/(Driver!$G$209-Driver!$F$209)*$BI$1</f>
        <v/>
      </c>
      <c r="BR830" s="40" t="inlineStr">
        <is>
          <t>21/22</t>
        </is>
      </c>
      <c r="BS830" s="10" t="inlineStr">
        <is>
          <t xml:space="preserve"> Black Crows</t>
        </is>
      </c>
      <c r="BT830" s="11" t="inlineStr">
        <is>
          <t xml:space="preserve"> Anima</t>
        </is>
      </c>
      <c r="BU830" s="13" t="n">
        <v>182.1</v>
      </c>
      <c r="BV830" s="11" t="inlineStr">
        <is>
          <t xml:space="preserve"> Unisex</t>
        </is>
      </c>
      <c r="BW830" s="13" t="n">
        <v>182.1</v>
      </c>
      <c r="BX830" s="13" t="n">
        <v>180.9</v>
      </c>
      <c r="BY830" s="13" t="n">
        <v>115</v>
      </c>
      <c r="BZ830" s="13" t="n">
        <v>148</v>
      </c>
      <c r="CA830" s="13" t="n">
        <v>145</v>
      </c>
      <c r="CB830" s="13" t="n">
        <v>114</v>
      </c>
      <c r="CC830" s="13" t="n">
        <v>134</v>
      </c>
      <c r="CD830" s="13" t="n">
        <v>19.3</v>
      </c>
      <c r="CE830" s="13" t="n">
        <v>2227</v>
      </c>
      <c r="CF830" s="13" t="n">
        <v>1.01</v>
      </c>
      <c r="CG830" s="13" t="n">
        <v>2241</v>
      </c>
      <c r="CH830" s="13" t="n">
        <v>230</v>
      </c>
      <c r="CI830" s="13" t="n">
        <v>107</v>
      </c>
      <c r="CJ830" s="13" t="n">
        <v>50</v>
      </c>
      <c r="CK830" s="13" t="n">
        <v>375</v>
      </c>
      <c r="CL830" s="13" t="n">
        <v>47</v>
      </c>
      <c r="CM830" s="13" t="n">
        <v>286</v>
      </c>
      <c r="CN830" s="13" t="n">
        <v>0.928</v>
      </c>
      <c r="CO830" s="13" t="n">
        <v>185</v>
      </c>
      <c r="CP830" s="13" t="n">
        <v>145</v>
      </c>
      <c r="CQ830" s="13" t="n">
        <v>191</v>
      </c>
      <c r="CR830" s="13" t="n">
        <v>7</v>
      </c>
      <c r="CS830" s="13" t="n">
        <v>7.1</v>
      </c>
      <c r="CT830" s="11" t="inlineStr">
        <is>
          <t xml:space="preserve"> Freeski</t>
        </is>
      </c>
      <c r="CU830" s="11" t="inlineStr">
        <is>
          <t xml:space="preserve"> Powder</t>
        </is>
      </c>
      <c r="CV830" s="13" t="n"/>
      <c r="CW830" s="13" t="n"/>
      <c r="CX830">
        <f>INDEX('Data_Price '!AG$2:AG$1266,MATCH(Data!$DN830,'Data_Price '!$AT$2:$AT$1266,0))</f>
        <v/>
      </c>
      <c r="CY830">
        <f>INDEX('Data_Price '!AH$2:AH$1266,MATCH(Data!$DN830,'Data_Price '!$AT$2:$AT$1266,0))</f>
        <v/>
      </c>
      <c r="CZ830">
        <f>INDEX('Data_Price '!AI$2:AI$1266,MATCH(Data!$DN830,'Data_Price '!$AT$2:$AT$1266,0))</f>
        <v/>
      </c>
      <c r="DA830">
        <f>INDEX('Data_Price '!AJ$2:AJ$1266,MATCH(Data!$DN830,'Data_Price '!$AT$2:$AT$1266,0))</f>
        <v/>
      </c>
      <c r="DB830">
        <f>INDEX('Data_Price '!AK$2:AK$1266,MATCH(Data!$DN830,'Data_Price '!$AT$2:$AT$1266,0))</f>
        <v/>
      </c>
      <c r="DC830">
        <f>INDEX('Data_Price '!AL$2:AL$1266,MATCH(Data!$DN830,'Data_Price '!$AT$2:$AT$1266,0))</f>
        <v/>
      </c>
      <c r="DD830">
        <f>INDEX('Data_Price '!AM$2:AM$1266,MATCH(Data!$DN830,'Data_Price '!$AT$2:$AT$1266,0))</f>
        <v/>
      </c>
      <c r="DE830">
        <f>INDEX('Data_Price '!AN$2:AN$1266,MATCH(Data!$DN830,'Data_Price '!$AT$2:$AT$1266,0))</f>
        <v/>
      </c>
      <c r="DF830">
        <f>INDEX('Data_Price '!AO$2:AO$1266,MATCH(Data!$DN830,'Data_Price '!$AT$2:$AT$1266,0))</f>
        <v/>
      </c>
      <c r="DG830">
        <f>INDEX('Data_Price '!AP$2:AP$1266,MATCH(Data!$DN830,'Data_Price '!$AT$2:$AT$1266,0))</f>
        <v/>
      </c>
      <c r="DH830">
        <f>INDEX('Data_Price '!AQ$2:AQ$1266,MATCH(Data!$DN830,'Data_Price '!$AT$2:$AT$1266,0))</f>
        <v/>
      </c>
      <c r="DI830">
        <f>INDEX('Data_Price '!AR$2:AR$1266,MATCH(Data!$DN830,'Data_Price '!$AT$2:$AT$1266,0))</f>
        <v/>
      </c>
      <c r="DJ830" s="138">
        <f>DA830</f>
        <v/>
      </c>
      <c r="DK830" s="138">
        <f>DE830</f>
        <v/>
      </c>
      <c r="DL830" s="138">
        <f>DI830</f>
        <v/>
      </c>
      <c r="DM830" s="303">
        <f>IF(LEFT(BT830,1)=" ",RIGHT(BT830,LEN(BT830)-1),BT830)</f>
        <v/>
      </c>
      <c r="DN830" s="138">
        <f>_xlfn.CONCAT(BS830,DM830,BU830,BV830)</f>
        <v/>
      </c>
      <c r="DO830" s="307" t="inlineStr">
        <is>
          <t>https://images.evo.com/imgp/250/181602/727247/clone.jpg</t>
        </is>
      </c>
    </row>
    <row r="831" ht="15.6" customHeight="1" s="184">
      <c r="B831" s="303">
        <f t="array" ref="B831">IF(OR(ISERROR(K831:P831)),FALSE,TRUE)</f>
        <v/>
      </c>
      <c r="C831" s="60">
        <f>OR(BR831=Driver!$G$50,Data!BR191=Driver!$H$50)</f>
        <v/>
      </c>
      <c r="D831" s="60">
        <f>OR(BV831=Driver!$G$51,BV831=Driver!$H$51)</f>
        <v/>
      </c>
      <c r="E831" s="60">
        <f>AND(BX831&gt;Driver!$F$54,BX831&lt;Driver!$G$54)</f>
        <v/>
      </c>
      <c r="F831" s="60">
        <f>CL831&gt;Driver!$F$56</f>
        <v/>
      </c>
      <c r="G831" s="60">
        <f>AND(CB831&gt;Driver!$F$55,CB831&lt;Driver!$G$55)</f>
        <v/>
      </c>
      <c r="H831" s="60">
        <f>AND(B831:G831)</f>
        <v/>
      </c>
      <c r="I831" s="60">
        <f>COUNTIFS($H$9:$H$1273,TRUE,$BT$9:$BT$1273,BT831)</f>
        <v/>
      </c>
      <c r="J831" s="60">
        <f t="array" ref="J831">NOT(OR(($H$9:$H$1273=TRUE)*($I$9:$I$1273&gt;0)*($BT$9:$BT$1273=BT831)*($K$9:$K$1273&gt;K831)))</f>
        <v/>
      </c>
      <c r="K831" s="108">
        <f>IFERROR(1-AVERAGE(X831:Y831),"")</f>
        <v/>
      </c>
      <c r="L831" s="108">
        <f>1-X831</f>
        <v/>
      </c>
      <c r="M831" s="108">
        <f>1-Y831</f>
        <v/>
      </c>
      <c r="N831" s="108">
        <f>1-Z831</f>
        <v/>
      </c>
      <c r="O831" s="108">
        <f>1-AA831</f>
        <v/>
      </c>
      <c r="P831" s="108">
        <f>1-AB831</f>
        <v/>
      </c>
      <c r="Q831" s="108" t="n"/>
      <c r="R831" s="108" t="n"/>
      <c r="S831" s="108">
        <f>1-AE831</f>
        <v/>
      </c>
      <c r="T831" s="108">
        <f>1-AF831</f>
        <v/>
      </c>
      <c r="U831" s="108">
        <f>1-AG831</f>
        <v/>
      </c>
      <c r="V831" s="108">
        <f>1-AH831</f>
        <v/>
      </c>
      <c r="W831" s="108">
        <f>1-AI831</f>
        <v/>
      </c>
      <c r="X831" s="108">
        <f>ABS(AJ831-AJ$1)</f>
        <v/>
      </c>
      <c r="Y831" s="108">
        <f>AVERAGE(Z831:AB831)</f>
        <v/>
      </c>
      <c r="Z831" s="108">
        <f>ABS(AL831-AL$1)</f>
        <v/>
      </c>
      <c r="AA831" s="108">
        <f>ABS(AM831-AM$1)</f>
        <v/>
      </c>
      <c r="AB831" s="108">
        <f>ABS(AN831-AN$1)</f>
        <v/>
      </c>
      <c r="AC831" s="108" t="n"/>
      <c r="AD831" s="108" t="n"/>
      <c r="AE831" s="108">
        <f>ABS(AQ$1-AQ831)</f>
        <v/>
      </c>
      <c r="AF831" s="108">
        <f>ABS(AR$1-AR831)</f>
        <v/>
      </c>
      <c r="AG831" s="108">
        <f>ABS(AS$1-AS831)</f>
        <v/>
      </c>
      <c r="AH831" s="108">
        <f>ABS(AT$1-AT831)</f>
        <v/>
      </c>
      <c r="AI831" s="108">
        <f>ABS(AU$1-AU831)</f>
        <v/>
      </c>
      <c r="AJ831" s="108">
        <f>(AV831-Driver!$K$179)/(Driver!$L$179-Driver!$K$179)</f>
        <v/>
      </c>
      <c r="AK831" s="108">
        <f>(AW831-Driver!$K$180)/(Driver!$L$180-Driver!$K$180)</f>
        <v/>
      </c>
      <c r="AL831" s="108">
        <f>(AX831-Driver!$K$181)/(Driver!$L$181-Driver!$K$181)</f>
        <v/>
      </c>
      <c r="AM831" s="108">
        <f>(AY831-Driver!$K$182)/(Driver!$L$182-Driver!$K$182)</f>
        <v/>
      </c>
      <c r="AN831" s="108">
        <f>(AZ831-Driver!$K$183)/(Driver!$L$183-Driver!$K$183)</f>
        <v/>
      </c>
      <c r="AO831" s="108" t="n"/>
      <c r="AP831" s="108" t="n"/>
      <c r="AQ831" s="108">
        <f>(BC831-Driver!$K$188)/(Driver!$L$188-Driver!$K$188)</f>
        <v/>
      </c>
      <c r="AR831" s="108">
        <f>MIN((BD831-Driver!$K$189)/(Driver!$L$189-Driver!$K$189),100%)</f>
        <v/>
      </c>
      <c r="AS831" s="108">
        <f>(BE831-Driver!$K$190)/(Driver!$L$190-Driver!$K$190)</f>
        <v/>
      </c>
      <c r="AT831" s="108">
        <f>(BF831-Driver!$K$191)/(Driver!$L$191-Driver!$K$191)</f>
        <v/>
      </c>
      <c r="AU831" s="108">
        <f>(BG831-Driver!$K$192)/(Driver!$L$192-Driver!$K$192)</f>
        <v/>
      </c>
      <c r="AV831" s="105">
        <f>IFERROR(BM831*BJ831^1/4,"")</f>
        <v/>
      </c>
      <c r="AW831" s="105">
        <f>IFERROR(SUM(AX831:AZ831),"")</f>
        <v/>
      </c>
      <c r="AX831" s="105">
        <f>IFERROR(BH831,"")</f>
        <v/>
      </c>
      <c r="AY831" s="105">
        <f>IFERROR(Driver!$K$19/Data!BH831/Data!BI831*Data!BK831*Data!BL831,"")</f>
        <v/>
      </c>
      <c r="AZ831" s="105">
        <f>IFERROR(BI831*BN831,"")</f>
        <v/>
      </c>
      <c r="BA831" s="105" t="n"/>
      <c r="BB831" s="105" t="n"/>
      <c r="BC831" s="105">
        <f>IFERROR(BI831*BN831*BK831/BJ831^(1/2),"")</f>
        <v/>
      </c>
      <c r="BD831" s="105">
        <f>IFERROR(BH831*BM831*BL831/BJ831/BK831,"")</f>
        <v/>
      </c>
      <c r="BE831" s="105">
        <f>IFERROR(MIN(BI831/BQ831/BP831/BO831/BH831,$BE$1),"")</f>
        <v/>
      </c>
      <c r="BF831" s="105">
        <f>IFERROR(BJ831*BO831*BP831/BK831,"")</f>
        <v/>
      </c>
      <c r="BG831" s="105">
        <f>IFERROR(1/BM831/BH831*BQ831,"")</f>
        <v/>
      </c>
      <c r="BH831" s="102">
        <f>MAX((CE831-Driver!$F$200)/(Driver!$G$200-Driver!$F$200)*$BI$1,1)</f>
        <v/>
      </c>
      <c r="BI831" s="102">
        <f>MAX($BI$1*(BY831-Driver!$F$201)/(Driver!$G$201-Driver!$F$201),1)</f>
        <v/>
      </c>
      <c r="BJ831" s="102">
        <f>(CB831-Driver!$F$206)/(Driver!$G$206-Driver!$F$206)*$BI$1</f>
        <v/>
      </c>
      <c r="BK831" s="102">
        <f>(CD831-Driver!$F$203)/(Driver!$G$203-Driver!$F$203)*$BI$1</f>
        <v/>
      </c>
      <c r="BL831" s="102">
        <f>MAX((CR831-Driver!$F$202)/(Driver!$G$202-Driver!$F$202)*$BI$1,1)</f>
        <v/>
      </c>
      <c r="BM831" s="102">
        <f>MAX((CH831-Driver!$F$204)/(Driver!$G$204-Driver!$F$204)*$BI$1,1)</f>
        <v/>
      </c>
      <c r="BN831" s="102">
        <f>(CI831-Driver!$F$205)/(Driver!$G$205-Driver!$F$205)*$BI$1</f>
        <v/>
      </c>
      <c r="BO831" s="102">
        <f>(CK831-Driver!$F$207)/(Driver!$G$207-Driver!$F$207)*$BI$1</f>
        <v/>
      </c>
      <c r="BP831" s="102">
        <f>(CM831-Driver!$F$208)/(Driver!$G$208-Driver!$F$208)*$BI$1</f>
        <v/>
      </c>
      <c r="BQ831" s="102">
        <f>(CL831-Driver!$F$209)/(Driver!$G$209-Driver!$F$209)*$BI$1</f>
        <v/>
      </c>
      <c r="BR831" s="40" t="inlineStr">
        <is>
          <t>21/22</t>
        </is>
      </c>
      <c r="BS831" s="10" t="inlineStr">
        <is>
          <t xml:space="preserve"> Atomic</t>
        </is>
      </c>
      <c r="BT831" s="11" t="inlineStr">
        <is>
          <t>Vantage 75 C</t>
        </is>
      </c>
      <c r="BU831" s="13" t="n">
        <v>161</v>
      </c>
      <c r="BV831" s="11" t="inlineStr">
        <is>
          <t xml:space="preserve"> Unisex</t>
        </is>
      </c>
      <c r="BW831" s="13" t="n">
        <v>161</v>
      </c>
      <c r="BX831" s="13" t="n">
        <v>160.4</v>
      </c>
      <c r="BY831" s="13" t="n">
        <v>135</v>
      </c>
      <c r="BZ831" s="13" t="n">
        <v>143</v>
      </c>
      <c r="CA831" s="13" t="n">
        <v>115</v>
      </c>
      <c r="CB831" s="13" t="n">
        <v>74</v>
      </c>
      <c r="CC831" s="13" t="n">
        <v>99</v>
      </c>
      <c r="CD831" s="13" t="n">
        <v>15.3</v>
      </c>
      <c r="CE831" s="13" t="n">
        <v>1731</v>
      </c>
      <c r="CF831" s="13" t="n">
        <v>0.8100000000000001</v>
      </c>
      <c r="CG831" s="13" t="n">
        <v>1394</v>
      </c>
      <c r="CH831" s="13" t="n">
        <v>156</v>
      </c>
      <c r="CI831" s="13" t="n">
        <v>67</v>
      </c>
      <c r="CJ831" s="13" t="n">
        <v>39</v>
      </c>
      <c r="CK831" s="13" t="n">
        <v>178</v>
      </c>
      <c r="CL831" s="13" t="n">
        <v>4</v>
      </c>
      <c r="CM831" s="13" t="n">
        <v>76</v>
      </c>
      <c r="CN831" s="13" t="n">
        <v>0.113</v>
      </c>
      <c r="CO831" s="13" t="n">
        <v>98</v>
      </c>
      <c r="CP831" s="13" t="n">
        <v>71</v>
      </c>
      <c r="CQ831" s="13" t="n">
        <v>79</v>
      </c>
      <c r="CR831" s="13" t="n">
        <v>10</v>
      </c>
      <c r="CS831" s="13" t="n">
        <v>10.4</v>
      </c>
      <c r="CT831" s="11" t="inlineStr">
        <is>
          <t xml:space="preserve"> On-Piste Carving</t>
        </is>
      </c>
      <c r="CU831" s="11" t="inlineStr">
        <is>
          <t xml:space="preserve"> On-Piste All-Mountain</t>
        </is>
      </c>
      <c r="CV831" s="13" t="n"/>
      <c r="CW831" s="13" t="n"/>
      <c r="CX831">
        <f>INDEX('Data_Price '!AG$2:AG$1266,MATCH(Data!$DN831,'Data_Price '!$AT$2:$AT$1266,0))</f>
        <v/>
      </c>
      <c r="CY831">
        <f>INDEX('Data_Price '!AH$2:AH$1266,MATCH(Data!$DN831,'Data_Price '!$AT$2:$AT$1266,0))</f>
        <v/>
      </c>
      <c r="CZ831">
        <f>INDEX('Data_Price '!AI$2:AI$1266,MATCH(Data!$DN831,'Data_Price '!$AT$2:$AT$1266,0))</f>
        <v/>
      </c>
      <c r="DA831">
        <f>INDEX('Data_Price '!AJ$2:AJ$1266,MATCH(Data!$DN831,'Data_Price '!$AT$2:$AT$1266,0))</f>
        <v/>
      </c>
      <c r="DB831">
        <f>INDEX('Data_Price '!AK$2:AK$1266,MATCH(Data!$DN831,'Data_Price '!$AT$2:$AT$1266,0))</f>
        <v/>
      </c>
      <c r="DC831">
        <f>INDEX('Data_Price '!AL$2:AL$1266,MATCH(Data!$DN831,'Data_Price '!$AT$2:$AT$1266,0))</f>
        <v/>
      </c>
      <c r="DD831">
        <f>INDEX('Data_Price '!AM$2:AM$1266,MATCH(Data!$DN831,'Data_Price '!$AT$2:$AT$1266,0))</f>
        <v/>
      </c>
      <c r="DE831">
        <f>INDEX('Data_Price '!AN$2:AN$1266,MATCH(Data!$DN831,'Data_Price '!$AT$2:$AT$1266,0))</f>
        <v/>
      </c>
      <c r="DF831">
        <f>INDEX('Data_Price '!AO$2:AO$1266,MATCH(Data!$DN831,'Data_Price '!$AT$2:$AT$1266,0))</f>
        <v/>
      </c>
      <c r="DG831">
        <f>INDEX('Data_Price '!AP$2:AP$1266,MATCH(Data!$DN831,'Data_Price '!$AT$2:$AT$1266,0))</f>
        <v/>
      </c>
      <c r="DH831">
        <f>INDEX('Data_Price '!AQ$2:AQ$1266,MATCH(Data!$DN831,'Data_Price '!$AT$2:$AT$1266,0))</f>
        <v/>
      </c>
      <c r="DI831">
        <f>INDEX('Data_Price '!AR$2:AR$1266,MATCH(Data!$DN831,'Data_Price '!$AT$2:$AT$1266,0))</f>
        <v/>
      </c>
      <c r="DJ831" s="138">
        <f>DA831</f>
        <v/>
      </c>
      <c r="DK831" s="138">
        <f>DE831</f>
        <v/>
      </c>
      <c r="DL831" s="138">
        <f>DI831</f>
        <v/>
      </c>
      <c r="DM831" s="303">
        <f>IF(LEFT(BT831,1)=" ",RIGHT(BT831,LEN(BT831)-1),BT831)</f>
        <v/>
      </c>
      <c r="DN831" s="138">
        <f>_xlfn.CONCAT(BS831,DM831,BU831,BV831)</f>
        <v/>
      </c>
      <c r="DO831" s="307" t="inlineStr">
        <is>
          <t>https://images.evo.com/imgp/250/183371/737590/clone.jpg</t>
        </is>
      </c>
    </row>
    <row r="832" ht="15.6" customHeight="1" s="184">
      <c r="B832" s="303">
        <f t="array" ref="B832">IF(OR(ISERROR(K832:P832)),FALSE,TRUE)</f>
        <v/>
      </c>
      <c r="C832" s="60">
        <f>OR(BR832=Driver!$G$50,Data!BR836=Driver!$H$50)</f>
        <v/>
      </c>
      <c r="D832" s="60">
        <f>OR(BV832=Driver!$G$51,BV832=Driver!$H$51)</f>
        <v/>
      </c>
      <c r="E832" s="60">
        <f>AND(BX832&gt;Driver!$F$54,BX832&lt;Driver!$G$54)</f>
        <v/>
      </c>
      <c r="F832" s="60">
        <f>CL832&gt;Driver!$F$56</f>
        <v/>
      </c>
      <c r="G832" s="60">
        <f>AND(CB832&gt;Driver!$F$55,CB832&lt;Driver!$G$55)</f>
        <v/>
      </c>
      <c r="H832" s="60">
        <f>AND(B832:G832)</f>
        <v/>
      </c>
      <c r="I832" s="60">
        <f>COUNTIFS($H$9:$H$1273,TRUE,$BT$9:$BT$1273,BT832)</f>
        <v/>
      </c>
      <c r="J832" s="60">
        <f t="array" ref="J832">NOT(OR(($H$9:$H$1273=TRUE)*($I$9:$I$1273&gt;0)*($BT$9:$BT$1273=BT832)*($K$9:$K$1273&gt;K832)))</f>
        <v/>
      </c>
      <c r="K832" s="108">
        <f>IFERROR(1-AVERAGE(X832:Y832),"")</f>
        <v/>
      </c>
      <c r="L832" s="108">
        <f>1-X832</f>
        <v/>
      </c>
      <c r="M832" s="108">
        <f>1-Y832</f>
        <v/>
      </c>
      <c r="N832" s="108">
        <f>1-Z832</f>
        <v/>
      </c>
      <c r="O832" s="108">
        <f>1-AA832</f>
        <v/>
      </c>
      <c r="P832" s="108">
        <f>1-AB832</f>
        <v/>
      </c>
      <c r="Q832" s="108" t="n"/>
      <c r="R832" s="108" t="n"/>
      <c r="S832" s="108">
        <f>1-AE832</f>
        <v/>
      </c>
      <c r="T832" s="108">
        <f>1-AF832</f>
        <v/>
      </c>
      <c r="U832" s="108">
        <f>1-AG832</f>
        <v/>
      </c>
      <c r="V832" s="108">
        <f>1-AH832</f>
        <v/>
      </c>
      <c r="W832" s="108">
        <f>1-AI832</f>
        <v/>
      </c>
      <c r="X832" s="108">
        <f>ABS(AJ832-AJ$1)</f>
        <v/>
      </c>
      <c r="Y832" s="108">
        <f>AVERAGE(Z832:AB832)</f>
        <v/>
      </c>
      <c r="Z832" s="108">
        <f>ABS(AL832-AL$1)</f>
        <v/>
      </c>
      <c r="AA832" s="108">
        <f>ABS(AM832-AM$1)</f>
        <v/>
      </c>
      <c r="AB832" s="108">
        <f>ABS(AN832-AN$1)</f>
        <v/>
      </c>
      <c r="AC832" s="108" t="n"/>
      <c r="AD832" s="108" t="n"/>
      <c r="AE832" s="108">
        <f>ABS(AQ$1-AQ832)</f>
        <v/>
      </c>
      <c r="AF832" s="108">
        <f>ABS(AR$1-AR832)</f>
        <v/>
      </c>
      <c r="AG832" s="108">
        <f>ABS(AS$1-AS832)</f>
        <v/>
      </c>
      <c r="AH832" s="108">
        <f>ABS(AT$1-AT832)</f>
        <v/>
      </c>
      <c r="AI832" s="108">
        <f>ABS(AU$1-AU832)</f>
        <v/>
      </c>
      <c r="AJ832" s="108">
        <f>(AV832-Driver!$K$179)/(Driver!$L$179-Driver!$K$179)</f>
        <v/>
      </c>
      <c r="AK832" s="108">
        <f>(AW832-Driver!$K$180)/(Driver!$L$180-Driver!$K$180)</f>
        <v/>
      </c>
      <c r="AL832" s="108">
        <f>(AX832-Driver!$K$181)/(Driver!$L$181-Driver!$K$181)</f>
        <v/>
      </c>
      <c r="AM832" s="108">
        <f>(AY832-Driver!$K$182)/(Driver!$L$182-Driver!$K$182)</f>
        <v/>
      </c>
      <c r="AN832" s="108">
        <f>(AZ832-Driver!$K$183)/(Driver!$L$183-Driver!$K$183)</f>
        <v/>
      </c>
      <c r="AO832" s="108" t="n"/>
      <c r="AP832" s="108" t="n"/>
      <c r="AQ832" s="108">
        <f>(BC832-Driver!$K$188)/(Driver!$L$188-Driver!$K$188)</f>
        <v/>
      </c>
      <c r="AR832" s="108">
        <f>MIN((BD832-Driver!$K$189)/(Driver!$L$189-Driver!$K$189),100%)</f>
        <v/>
      </c>
      <c r="AS832" s="108">
        <f>(BE832-Driver!$K$190)/(Driver!$L$190-Driver!$K$190)</f>
        <v/>
      </c>
      <c r="AT832" s="108">
        <f>(BF832-Driver!$K$191)/(Driver!$L$191-Driver!$K$191)</f>
        <v/>
      </c>
      <c r="AU832" s="108">
        <f>(BG832-Driver!$K$192)/(Driver!$L$192-Driver!$K$192)</f>
        <v/>
      </c>
      <c r="AV832" s="105">
        <f>IFERROR(BM832*BJ832^1/4,"")</f>
        <v/>
      </c>
      <c r="AW832" s="105">
        <f>IFERROR(SUM(AX832:AZ832),"")</f>
        <v/>
      </c>
      <c r="AX832" s="105">
        <f>IFERROR(BH832,"")</f>
        <v/>
      </c>
      <c r="AY832" s="105">
        <f>IFERROR(Driver!$K$19/Data!BH832/Data!BI832*Data!BK832*Data!BL832,"")</f>
        <v/>
      </c>
      <c r="AZ832" s="105">
        <f>IFERROR(BI832*BN832,"")</f>
        <v/>
      </c>
      <c r="BA832" s="105" t="n"/>
      <c r="BB832" s="105" t="n"/>
      <c r="BC832" s="105">
        <f>IFERROR(BI832*BN832*BK832/BJ832^(1/2),"")</f>
        <v/>
      </c>
      <c r="BD832" s="105">
        <f>IFERROR(BH832*BM832*BL832/BJ832/BK832,"")</f>
        <v/>
      </c>
      <c r="BE832" s="105">
        <f>IFERROR(MIN(BI832/BQ832/BP832/BO832/BH832,$BE$1),"")</f>
        <v/>
      </c>
      <c r="BF832" s="105">
        <f>IFERROR(BJ832*BO832*BP832/BK832,"")</f>
        <v/>
      </c>
      <c r="BG832" s="105">
        <f>IFERROR(1/BM832/BH832*BQ832,"")</f>
        <v/>
      </c>
      <c r="BH832" s="102">
        <f>MAX((CE832-Driver!$F$200)/(Driver!$G$200-Driver!$F$200)*$BI$1,1)</f>
        <v/>
      </c>
      <c r="BI832" s="102">
        <f>MAX($BI$1*(BY832-Driver!$F$201)/(Driver!$G$201-Driver!$F$201),1)</f>
        <v/>
      </c>
      <c r="BJ832" s="102">
        <f>(CB832-Driver!$F$206)/(Driver!$G$206-Driver!$F$206)*$BI$1</f>
        <v/>
      </c>
      <c r="BK832" s="102">
        <f>(CD832-Driver!$F$203)/(Driver!$G$203-Driver!$F$203)*$BI$1</f>
        <v/>
      </c>
      <c r="BL832" s="102">
        <f>MAX((CR832-Driver!$F$202)/(Driver!$G$202-Driver!$F$202)*$BI$1,1)</f>
        <v/>
      </c>
      <c r="BM832" s="102">
        <f>MAX((CH832-Driver!$F$204)/(Driver!$G$204-Driver!$F$204)*$BI$1,1)</f>
        <v/>
      </c>
      <c r="BN832" s="102">
        <f>(CI832-Driver!$F$205)/(Driver!$G$205-Driver!$F$205)*$BI$1</f>
        <v/>
      </c>
      <c r="BO832" s="102">
        <f>(CK832-Driver!$F$207)/(Driver!$G$207-Driver!$F$207)*$BI$1</f>
        <v/>
      </c>
      <c r="BP832" s="102">
        <f>(CM832-Driver!$F$208)/(Driver!$G$208-Driver!$F$208)*$BI$1</f>
        <v/>
      </c>
      <c r="BQ832" s="102">
        <f>(CL832-Driver!$F$209)/(Driver!$G$209-Driver!$F$209)*$BI$1</f>
        <v/>
      </c>
      <c r="BR832" s="40" t="inlineStr">
        <is>
          <t>21/22</t>
        </is>
      </c>
      <c r="BS832" s="10" t="inlineStr">
        <is>
          <t xml:space="preserve"> Line</t>
        </is>
      </c>
      <c r="BT832" s="11" t="inlineStr">
        <is>
          <t xml:space="preserve"> Honey Badger</t>
        </is>
      </c>
      <c r="BU832" s="13" t="n">
        <v>172</v>
      </c>
      <c r="BV832" s="11" t="inlineStr">
        <is>
          <t xml:space="preserve"> Unisex</t>
        </is>
      </c>
      <c r="BW832" s="13" t="n">
        <v>172</v>
      </c>
      <c r="BX832" s="13" t="n">
        <v>171.4</v>
      </c>
      <c r="BY832" s="13" t="n">
        <v>133</v>
      </c>
      <c r="BZ832" s="13" t="n">
        <v>147</v>
      </c>
      <c r="CA832" s="13" t="n">
        <v>120</v>
      </c>
      <c r="CB832" s="13" t="n">
        <v>91</v>
      </c>
      <c r="CC832" s="13" t="n">
        <v>117</v>
      </c>
      <c r="CD832" s="13" t="n">
        <v>18.9</v>
      </c>
      <c r="CE832" s="13" t="n">
        <v>1661</v>
      </c>
      <c r="CF832" s="13" t="n">
        <v>1.04</v>
      </c>
      <c r="CG832" s="13" t="n">
        <v>1728</v>
      </c>
      <c r="CH832" s="13" t="n">
        <v>141</v>
      </c>
      <c r="CI832" s="13" t="n">
        <v>63</v>
      </c>
      <c r="CJ832" s="13" t="n">
        <v>46</v>
      </c>
      <c r="CK832" s="13" t="n">
        <v>199</v>
      </c>
      <c r="CL832" s="13" t="n">
        <v>40</v>
      </c>
      <c r="CM832" s="13" t="n">
        <v>190</v>
      </c>
      <c r="CN832" s="13" t="n">
        <v>0.885</v>
      </c>
      <c r="CO832" s="13" t="n">
        <v>123</v>
      </c>
      <c r="CP832" s="13" t="n">
        <v>126</v>
      </c>
      <c r="CQ832" s="13" t="n">
        <v>76</v>
      </c>
      <c r="CR832" s="13" t="n">
        <v>7</v>
      </c>
      <c r="CS832" s="13" t="n">
        <v>3.4</v>
      </c>
      <c r="CT832" s="11" t="inlineStr">
        <is>
          <t xml:space="preserve"> Freeski</t>
        </is>
      </c>
      <c r="CU832" s="13" t="n"/>
      <c r="CV832" s="13" t="n"/>
      <c r="CW832" s="13" t="n"/>
      <c r="CX832">
        <f>INDEX('Data_Price '!AG$2:AG$1266,MATCH(Data!$DN832,'Data_Price '!$AT$2:$AT$1266,0))</f>
        <v/>
      </c>
      <c r="CY832">
        <f>INDEX('Data_Price '!AH$2:AH$1266,MATCH(Data!$DN832,'Data_Price '!$AT$2:$AT$1266,0))</f>
        <v/>
      </c>
      <c r="CZ832">
        <f>INDEX('Data_Price '!AI$2:AI$1266,MATCH(Data!$DN832,'Data_Price '!$AT$2:$AT$1266,0))</f>
        <v/>
      </c>
      <c r="DA832">
        <f>INDEX('Data_Price '!AJ$2:AJ$1266,MATCH(Data!$DN832,'Data_Price '!$AT$2:$AT$1266,0))</f>
        <v/>
      </c>
      <c r="DB832">
        <f>INDEX('Data_Price '!AK$2:AK$1266,MATCH(Data!$DN832,'Data_Price '!$AT$2:$AT$1266,0))</f>
        <v/>
      </c>
      <c r="DC832">
        <f>INDEX('Data_Price '!AL$2:AL$1266,MATCH(Data!$DN832,'Data_Price '!$AT$2:$AT$1266,0))</f>
        <v/>
      </c>
      <c r="DD832">
        <f>INDEX('Data_Price '!AM$2:AM$1266,MATCH(Data!$DN832,'Data_Price '!$AT$2:$AT$1266,0))</f>
        <v/>
      </c>
      <c r="DE832">
        <f>INDEX('Data_Price '!AN$2:AN$1266,MATCH(Data!$DN832,'Data_Price '!$AT$2:$AT$1266,0))</f>
        <v/>
      </c>
      <c r="DF832">
        <f>INDEX('Data_Price '!AO$2:AO$1266,MATCH(Data!$DN832,'Data_Price '!$AT$2:$AT$1266,0))</f>
        <v/>
      </c>
      <c r="DG832">
        <f>INDEX('Data_Price '!AP$2:AP$1266,MATCH(Data!$DN832,'Data_Price '!$AT$2:$AT$1266,0))</f>
        <v/>
      </c>
      <c r="DH832">
        <f>INDEX('Data_Price '!AQ$2:AQ$1266,MATCH(Data!$DN832,'Data_Price '!$AT$2:$AT$1266,0))</f>
        <v/>
      </c>
      <c r="DI832">
        <f>INDEX('Data_Price '!AR$2:AR$1266,MATCH(Data!$DN832,'Data_Price '!$AT$2:$AT$1266,0))</f>
        <v/>
      </c>
      <c r="DJ832" s="138">
        <f>DA832</f>
        <v/>
      </c>
      <c r="DK832" s="138">
        <f>DE832</f>
        <v/>
      </c>
      <c r="DL832" s="138">
        <f>DI832</f>
        <v/>
      </c>
      <c r="DM832" s="303">
        <f>IF(LEFT(BT832,1)=" ",RIGHT(BT832,LEN(BT832)-1),BT832)</f>
        <v/>
      </c>
      <c r="DN832" s="138">
        <f>_xlfn.CONCAT(BS832,DM832,BU832,BV832)</f>
        <v/>
      </c>
      <c r="DO832" s="307" t="inlineStr">
        <is>
          <t>https://images.evo.com/imgp/250/198441/817647/clone.jpg</t>
        </is>
      </c>
    </row>
    <row r="833" ht="15.6" customHeight="1" s="184">
      <c r="B833" s="303">
        <f t="array" ref="B833">IF(OR(ISERROR(K833:P833)),FALSE,TRUE)</f>
        <v/>
      </c>
      <c r="C833" s="60">
        <f>OR(BR833=Driver!$G$50,Data!BR888=Driver!$H$50)</f>
        <v/>
      </c>
      <c r="D833" s="60">
        <f>OR(BV833=Driver!$G$51,BV833=Driver!$H$51)</f>
        <v/>
      </c>
      <c r="E833" s="60">
        <f>AND(BX833&gt;Driver!$F$54,BX833&lt;Driver!$G$54)</f>
        <v/>
      </c>
      <c r="F833" s="60">
        <f>CL833&gt;Driver!$F$56</f>
        <v/>
      </c>
      <c r="G833" s="60">
        <f>AND(CB833&gt;Driver!$F$55,CB833&lt;Driver!$G$55)</f>
        <v/>
      </c>
      <c r="H833" s="60">
        <f>AND(B833:G833)</f>
        <v/>
      </c>
      <c r="I833" s="60">
        <f>COUNTIFS($H$9:$H$1273,TRUE,$BT$9:$BT$1273,BT833)</f>
        <v/>
      </c>
      <c r="J833" s="60">
        <f t="array" ref="J833">NOT(OR(($H$9:$H$1273=TRUE)*($I$9:$I$1273&gt;0)*($BT$9:$BT$1273=BT833)*($K$9:$K$1273&gt;K833)))</f>
        <v/>
      </c>
      <c r="K833" s="108">
        <f>IFERROR(1-AVERAGE(X833:Y833),"")</f>
        <v/>
      </c>
      <c r="L833" s="108">
        <f>1-X833</f>
        <v/>
      </c>
      <c r="M833" s="108">
        <f>1-Y833</f>
        <v/>
      </c>
      <c r="N833" s="108">
        <f>1-Z833</f>
        <v/>
      </c>
      <c r="O833" s="108">
        <f>1-AA833</f>
        <v/>
      </c>
      <c r="P833" s="108">
        <f>1-AB833</f>
        <v/>
      </c>
      <c r="Q833" s="108" t="n"/>
      <c r="R833" s="108" t="n"/>
      <c r="S833" s="108">
        <f>1-AE833</f>
        <v/>
      </c>
      <c r="T833" s="108">
        <f>1-AF833</f>
        <v/>
      </c>
      <c r="U833" s="108">
        <f>1-AG833</f>
        <v/>
      </c>
      <c r="V833" s="108">
        <f>1-AH833</f>
        <v/>
      </c>
      <c r="W833" s="108">
        <f>1-AI833</f>
        <v/>
      </c>
      <c r="X833" s="108">
        <f>ABS(AJ833-AJ$1)</f>
        <v/>
      </c>
      <c r="Y833" s="108">
        <f>AVERAGE(Z833:AB833)</f>
        <v/>
      </c>
      <c r="Z833" s="108">
        <f>ABS(AL833-AL$1)</f>
        <v/>
      </c>
      <c r="AA833" s="108">
        <f>ABS(AM833-AM$1)</f>
        <v/>
      </c>
      <c r="AB833" s="108">
        <f>ABS(AN833-AN$1)</f>
        <v/>
      </c>
      <c r="AC833" s="108" t="n"/>
      <c r="AD833" s="108" t="n"/>
      <c r="AE833" s="108">
        <f>ABS(AQ$1-AQ833)</f>
        <v/>
      </c>
      <c r="AF833" s="108">
        <f>ABS(AR$1-AR833)</f>
        <v/>
      </c>
      <c r="AG833" s="108">
        <f>ABS(AS$1-AS833)</f>
        <v/>
      </c>
      <c r="AH833" s="108">
        <f>ABS(AT$1-AT833)</f>
        <v/>
      </c>
      <c r="AI833" s="108">
        <f>ABS(AU$1-AU833)</f>
        <v/>
      </c>
      <c r="AJ833" s="108">
        <f>(AV833-Driver!$K$179)/(Driver!$L$179-Driver!$K$179)</f>
        <v/>
      </c>
      <c r="AK833" s="108">
        <f>(AW833-Driver!$K$180)/(Driver!$L$180-Driver!$K$180)</f>
        <v/>
      </c>
      <c r="AL833" s="108">
        <f>(AX833-Driver!$K$181)/(Driver!$L$181-Driver!$K$181)</f>
        <v/>
      </c>
      <c r="AM833" s="108">
        <f>(AY833-Driver!$K$182)/(Driver!$L$182-Driver!$K$182)</f>
        <v/>
      </c>
      <c r="AN833" s="108">
        <f>(AZ833-Driver!$K$183)/(Driver!$L$183-Driver!$K$183)</f>
        <v/>
      </c>
      <c r="AO833" s="108" t="n"/>
      <c r="AP833" s="108" t="n"/>
      <c r="AQ833" s="108">
        <f>(BC833-Driver!$K$188)/(Driver!$L$188-Driver!$K$188)</f>
        <v/>
      </c>
      <c r="AR833" s="108">
        <f>MIN((BD833-Driver!$K$189)/(Driver!$L$189-Driver!$K$189),100%)</f>
        <v/>
      </c>
      <c r="AS833" s="108">
        <f>(BE833-Driver!$K$190)/(Driver!$L$190-Driver!$K$190)</f>
        <v/>
      </c>
      <c r="AT833" s="108">
        <f>(BF833-Driver!$K$191)/(Driver!$L$191-Driver!$K$191)</f>
        <v/>
      </c>
      <c r="AU833" s="108">
        <f>(BG833-Driver!$K$192)/(Driver!$L$192-Driver!$K$192)</f>
        <v/>
      </c>
      <c r="AV833" s="105">
        <f>IFERROR(BM833*BJ833^1/4,"")</f>
        <v/>
      </c>
      <c r="AW833" s="105">
        <f>IFERROR(SUM(AX833:AZ833),"")</f>
        <v/>
      </c>
      <c r="AX833" s="105">
        <f>IFERROR(BH833,"")</f>
        <v/>
      </c>
      <c r="AY833" s="105">
        <f>IFERROR(Driver!$K$19/Data!BH833/Data!BI833*Data!BK833*Data!BL833,"")</f>
        <v/>
      </c>
      <c r="AZ833" s="105">
        <f>IFERROR(BI833*BN833,"")</f>
        <v/>
      </c>
      <c r="BA833" s="105" t="n"/>
      <c r="BB833" s="105" t="n"/>
      <c r="BC833" s="105">
        <f>IFERROR(BI833*BN833*BK833/BJ833^(1/2),"")</f>
        <v/>
      </c>
      <c r="BD833" s="105">
        <f>IFERROR(BH833*BM833*BL833/BJ833/BK833,"")</f>
        <v/>
      </c>
      <c r="BE833" s="105">
        <f>IFERROR(MIN(BI833/BQ833/BP833/BO833/BH833,$BE$1),"")</f>
        <v/>
      </c>
      <c r="BF833" s="105">
        <f>IFERROR(BJ833*BO833*BP833/BK833,"")</f>
        <v/>
      </c>
      <c r="BG833" s="105">
        <f>IFERROR(1/BM833/BH833*BQ833,"")</f>
        <v/>
      </c>
      <c r="BH833" s="102">
        <f>MAX((CE833-Driver!$F$200)/(Driver!$G$200-Driver!$F$200)*$BI$1,1)</f>
        <v/>
      </c>
      <c r="BI833" s="102">
        <f>MAX($BI$1*(BY833-Driver!$F$201)/(Driver!$G$201-Driver!$F$201),1)</f>
        <v/>
      </c>
      <c r="BJ833" s="102">
        <f>(CB833-Driver!$F$206)/(Driver!$G$206-Driver!$F$206)*$BI$1</f>
        <v/>
      </c>
      <c r="BK833" s="102">
        <f>(CD833-Driver!$F$203)/(Driver!$G$203-Driver!$F$203)*$BI$1</f>
        <v/>
      </c>
      <c r="BL833" s="102">
        <f>MAX((CR833-Driver!$F$202)/(Driver!$G$202-Driver!$F$202)*$BI$1,1)</f>
        <v/>
      </c>
      <c r="BM833" s="102">
        <f>MAX((CH833-Driver!$F$204)/(Driver!$G$204-Driver!$F$204)*$BI$1,1)</f>
        <v/>
      </c>
      <c r="BN833" s="102">
        <f>(CI833-Driver!$F$205)/(Driver!$G$205-Driver!$F$205)*$BI$1</f>
        <v/>
      </c>
      <c r="BO833" s="102">
        <f>(CK833-Driver!$F$207)/(Driver!$G$207-Driver!$F$207)*$BI$1</f>
        <v/>
      </c>
      <c r="BP833" s="102">
        <f>(CM833-Driver!$F$208)/(Driver!$G$208-Driver!$F$208)*$BI$1</f>
        <v/>
      </c>
      <c r="BQ833" s="102">
        <f>(CL833-Driver!$F$209)/(Driver!$G$209-Driver!$F$209)*$BI$1</f>
        <v/>
      </c>
      <c r="BR833" s="40" t="inlineStr">
        <is>
          <t>21/22</t>
        </is>
      </c>
      <c r="BS833" s="10" t="inlineStr">
        <is>
          <t xml:space="preserve"> Nordica</t>
        </is>
      </c>
      <c r="BT833" s="11" t="inlineStr">
        <is>
          <t>Belle 73</t>
        </is>
      </c>
      <c r="BU833" s="13" t="n">
        <v>156</v>
      </c>
      <c r="BV833" s="11" t="inlineStr">
        <is>
          <t xml:space="preserve"> Women's</t>
        </is>
      </c>
      <c r="BW833" s="13" t="n">
        <v>156</v>
      </c>
      <c r="BX833" s="13" t="n">
        <v>155.2</v>
      </c>
      <c r="BY833" s="13" t="n">
        <v>130</v>
      </c>
      <c r="BZ833" s="13" t="n">
        <v>141</v>
      </c>
      <c r="CA833" s="13" t="n">
        <v>122</v>
      </c>
      <c r="CB833" s="13" t="n">
        <v>73</v>
      </c>
      <c r="CC833" s="13" t="n">
        <v>99</v>
      </c>
      <c r="CD833" s="13" t="n">
        <v>12.6</v>
      </c>
      <c r="CE833" s="13" t="n">
        <v>1691</v>
      </c>
      <c r="CF833" s="13" t="n">
        <v>0.8</v>
      </c>
      <c r="CG833" s="13" t="n">
        <v>1346</v>
      </c>
      <c r="CH833" s="13" t="n">
        <v>164</v>
      </c>
      <c r="CI833" s="13" t="n">
        <v>65</v>
      </c>
      <c r="CJ833" s="13" t="n">
        <v>38</v>
      </c>
      <c r="CK833" s="13" t="n">
        <v>159</v>
      </c>
      <c r="CL833" s="13" t="n">
        <v>10</v>
      </c>
      <c r="CM833" s="13" t="n">
        <v>94</v>
      </c>
      <c r="CN833" s="13" t="n">
        <v>0.263</v>
      </c>
      <c r="CO833" s="13" t="n">
        <v>64</v>
      </c>
      <c r="CP833" s="13" t="n">
        <v>82</v>
      </c>
      <c r="CQ833" s="13" t="n">
        <v>95</v>
      </c>
      <c r="CR833" s="13" t="n">
        <v>5</v>
      </c>
      <c r="CS833" s="13" t="n">
        <v>9.1</v>
      </c>
      <c r="CT833" s="11" t="inlineStr">
        <is>
          <t xml:space="preserve"> Other</t>
        </is>
      </c>
      <c r="CU833" s="13" t="n"/>
      <c r="CV833" s="13" t="n"/>
      <c r="CW833" s="13" t="n"/>
      <c r="CX833">
        <f>INDEX('Data_Price '!AG$2:AG$1266,MATCH(Data!$DN833,'Data_Price '!$AT$2:$AT$1266,0))</f>
        <v/>
      </c>
      <c r="CY833">
        <f>INDEX('Data_Price '!AH$2:AH$1266,MATCH(Data!$DN833,'Data_Price '!$AT$2:$AT$1266,0))</f>
        <v/>
      </c>
      <c r="CZ833">
        <f>INDEX('Data_Price '!AI$2:AI$1266,MATCH(Data!$DN833,'Data_Price '!$AT$2:$AT$1266,0))</f>
        <v/>
      </c>
      <c r="DA833">
        <f>INDEX('Data_Price '!AJ$2:AJ$1266,MATCH(Data!$DN833,'Data_Price '!$AT$2:$AT$1266,0))</f>
        <v/>
      </c>
      <c r="DB833">
        <f>INDEX('Data_Price '!AK$2:AK$1266,MATCH(Data!$DN833,'Data_Price '!$AT$2:$AT$1266,0))</f>
        <v/>
      </c>
      <c r="DC833">
        <f>INDEX('Data_Price '!AL$2:AL$1266,MATCH(Data!$DN833,'Data_Price '!$AT$2:$AT$1266,0))</f>
        <v/>
      </c>
      <c r="DD833">
        <f>INDEX('Data_Price '!AM$2:AM$1266,MATCH(Data!$DN833,'Data_Price '!$AT$2:$AT$1266,0))</f>
        <v/>
      </c>
      <c r="DE833">
        <f>INDEX('Data_Price '!AN$2:AN$1266,MATCH(Data!$DN833,'Data_Price '!$AT$2:$AT$1266,0))</f>
        <v/>
      </c>
      <c r="DF833">
        <f>INDEX('Data_Price '!AO$2:AO$1266,MATCH(Data!$DN833,'Data_Price '!$AT$2:$AT$1266,0))</f>
        <v/>
      </c>
      <c r="DG833">
        <f>INDEX('Data_Price '!AP$2:AP$1266,MATCH(Data!$DN833,'Data_Price '!$AT$2:$AT$1266,0))</f>
        <v/>
      </c>
      <c r="DH833">
        <f>INDEX('Data_Price '!AQ$2:AQ$1266,MATCH(Data!$DN833,'Data_Price '!$AT$2:$AT$1266,0))</f>
        <v/>
      </c>
      <c r="DI833">
        <f>INDEX('Data_Price '!AR$2:AR$1266,MATCH(Data!$DN833,'Data_Price '!$AT$2:$AT$1266,0))</f>
        <v/>
      </c>
      <c r="DJ833" s="138">
        <f>DA833</f>
        <v/>
      </c>
      <c r="DK833" s="138">
        <f>DE833</f>
        <v/>
      </c>
      <c r="DL833" s="138">
        <f>DI833</f>
        <v/>
      </c>
      <c r="DM833" s="303">
        <f>IF(LEFT(BT833,1)=" ",RIGHT(BT833,LEN(BT833)-1),BT833)</f>
        <v/>
      </c>
      <c r="DN833" s="138">
        <f>_xlfn.CONCAT(BS833,DM833,BU833,BV833)</f>
        <v/>
      </c>
      <c r="DO833" s="307" t="n"/>
    </row>
    <row r="834" ht="15.6" customHeight="1" s="184">
      <c r="B834" s="303">
        <f t="array" ref="B834">IF(OR(ISERROR(K834:P834)),FALSE,TRUE)</f>
        <v/>
      </c>
      <c r="C834" s="60">
        <f>OR(BR834=Driver!$G$50,Data!BR918=Driver!$H$50)</f>
        <v/>
      </c>
      <c r="D834" s="60">
        <f>OR(BV834=Driver!$G$51,BV834=Driver!$H$51)</f>
        <v/>
      </c>
      <c r="E834" s="60">
        <f>AND(BX834&gt;Driver!$F$54,BX834&lt;Driver!$G$54)</f>
        <v/>
      </c>
      <c r="F834" s="60">
        <f>CL834&gt;Driver!$F$56</f>
        <v/>
      </c>
      <c r="G834" s="60">
        <f>AND(CB834&gt;Driver!$F$55,CB834&lt;Driver!$G$55)</f>
        <v/>
      </c>
      <c r="H834" s="60">
        <f>AND(B834:G834)</f>
        <v/>
      </c>
      <c r="I834" s="60">
        <f>COUNTIFS($H$9:$H$1273,TRUE,$BT$9:$BT$1273,BT834)</f>
        <v/>
      </c>
      <c r="J834" s="60">
        <f t="array" ref="J834">NOT(OR(($H$9:$H$1273=TRUE)*($I$9:$I$1273&gt;0)*($BT$9:$BT$1273=BT834)*($K$9:$K$1273&gt;K834)))</f>
        <v/>
      </c>
      <c r="K834" s="108">
        <f>IFERROR(1-AVERAGE(X834:Y834),"")</f>
        <v/>
      </c>
      <c r="L834" s="108">
        <f>1-X834</f>
        <v/>
      </c>
      <c r="M834" s="108">
        <f>1-Y834</f>
        <v/>
      </c>
      <c r="N834" s="108">
        <f>1-Z834</f>
        <v/>
      </c>
      <c r="O834" s="108">
        <f>1-AA834</f>
        <v/>
      </c>
      <c r="P834" s="108">
        <f>1-AB834</f>
        <v/>
      </c>
      <c r="Q834" s="108" t="n"/>
      <c r="R834" s="108" t="n"/>
      <c r="S834" s="108">
        <f>1-AE834</f>
        <v/>
      </c>
      <c r="T834" s="108">
        <f>1-AF834</f>
        <v/>
      </c>
      <c r="U834" s="108">
        <f>1-AG834</f>
        <v/>
      </c>
      <c r="V834" s="108">
        <f>1-AH834</f>
        <v/>
      </c>
      <c r="W834" s="108">
        <f>1-AI834</f>
        <v/>
      </c>
      <c r="X834" s="108">
        <f>ABS(AJ834-AJ$1)</f>
        <v/>
      </c>
      <c r="Y834" s="108">
        <f>AVERAGE(Z834:AB834)</f>
        <v/>
      </c>
      <c r="Z834" s="108">
        <f>ABS(AL834-AL$1)</f>
        <v/>
      </c>
      <c r="AA834" s="108">
        <f>ABS(AM834-AM$1)</f>
        <v/>
      </c>
      <c r="AB834" s="108">
        <f>ABS(AN834-AN$1)</f>
        <v/>
      </c>
      <c r="AC834" s="108" t="n"/>
      <c r="AD834" s="108" t="n"/>
      <c r="AE834" s="108">
        <f>ABS(AQ$1-AQ834)</f>
        <v/>
      </c>
      <c r="AF834" s="108">
        <f>ABS(AR$1-AR834)</f>
        <v/>
      </c>
      <c r="AG834" s="108">
        <f>ABS(AS$1-AS834)</f>
        <v/>
      </c>
      <c r="AH834" s="108">
        <f>ABS(AT$1-AT834)</f>
        <v/>
      </c>
      <c r="AI834" s="108">
        <f>ABS(AU$1-AU834)</f>
        <v/>
      </c>
      <c r="AJ834" s="108">
        <f>(AV834-Driver!$K$179)/(Driver!$L$179-Driver!$K$179)</f>
        <v/>
      </c>
      <c r="AK834" s="108">
        <f>(AW834-Driver!$K$180)/(Driver!$L$180-Driver!$K$180)</f>
        <v/>
      </c>
      <c r="AL834" s="108">
        <f>(AX834-Driver!$K$181)/(Driver!$L$181-Driver!$K$181)</f>
        <v/>
      </c>
      <c r="AM834" s="108">
        <f>(AY834-Driver!$K$182)/(Driver!$L$182-Driver!$K$182)</f>
        <v/>
      </c>
      <c r="AN834" s="108">
        <f>(AZ834-Driver!$K$183)/(Driver!$L$183-Driver!$K$183)</f>
        <v/>
      </c>
      <c r="AO834" s="108" t="n"/>
      <c r="AP834" s="108" t="n"/>
      <c r="AQ834" s="108">
        <f>(BC834-Driver!$K$188)/(Driver!$L$188-Driver!$K$188)</f>
        <v/>
      </c>
      <c r="AR834" s="108">
        <f>MIN((BD834-Driver!$K$189)/(Driver!$L$189-Driver!$K$189),100%)</f>
        <v/>
      </c>
      <c r="AS834" s="108">
        <f>(BE834-Driver!$K$190)/(Driver!$L$190-Driver!$K$190)</f>
        <v/>
      </c>
      <c r="AT834" s="108">
        <f>(BF834-Driver!$K$191)/(Driver!$L$191-Driver!$K$191)</f>
        <v/>
      </c>
      <c r="AU834" s="108">
        <f>(BG834-Driver!$K$192)/(Driver!$L$192-Driver!$K$192)</f>
        <v/>
      </c>
      <c r="AV834" s="105">
        <f>IFERROR(BM834*BJ834^1/4,"")</f>
        <v/>
      </c>
      <c r="AW834" s="105">
        <f>IFERROR(SUM(AX834:AZ834),"")</f>
        <v/>
      </c>
      <c r="AX834" s="105">
        <f>IFERROR(BH834,"")</f>
        <v/>
      </c>
      <c r="AY834" s="105">
        <f>IFERROR(Driver!$K$19/Data!BH834/Data!BI834*Data!BK834*Data!BL834,"")</f>
        <v/>
      </c>
      <c r="AZ834" s="105">
        <f>IFERROR(BI834*BN834,"")</f>
        <v/>
      </c>
      <c r="BA834" s="105" t="n"/>
      <c r="BB834" s="105" t="n"/>
      <c r="BC834" s="105">
        <f>IFERROR(BI834*BN834*BK834/BJ834^(1/2),"")</f>
        <v/>
      </c>
      <c r="BD834" s="105">
        <f>IFERROR(BH834*BM834*BL834/BJ834/BK834,"")</f>
        <v/>
      </c>
      <c r="BE834" s="105">
        <f>IFERROR(MIN(BI834/BQ834/BP834/BO834/BH834,$BE$1),"")</f>
        <v/>
      </c>
      <c r="BF834" s="105">
        <f>IFERROR(BJ834*BO834*BP834/BK834,"")</f>
        <v/>
      </c>
      <c r="BG834" s="105">
        <f>IFERROR(1/BM834/BH834*BQ834,"")</f>
        <v/>
      </c>
      <c r="BH834" s="102">
        <f>MAX((CE834-Driver!$F$200)/(Driver!$G$200-Driver!$F$200)*$BI$1,1)</f>
        <v/>
      </c>
      <c r="BI834" s="102">
        <f>MAX($BI$1*(BY834-Driver!$F$201)/(Driver!$G$201-Driver!$F$201),1)</f>
        <v/>
      </c>
      <c r="BJ834" s="102">
        <f>(CB834-Driver!$F$206)/(Driver!$G$206-Driver!$F$206)*$BI$1</f>
        <v/>
      </c>
      <c r="BK834" s="102">
        <f>(CD834-Driver!$F$203)/(Driver!$G$203-Driver!$F$203)*$BI$1</f>
        <v/>
      </c>
      <c r="BL834" s="102">
        <f>MAX((CR834-Driver!$F$202)/(Driver!$G$202-Driver!$F$202)*$BI$1,1)</f>
        <v/>
      </c>
      <c r="BM834" s="102">
        <f>MAX((CH834-Driver!$F$204)/(Driver!$G$204-Driver!$F$204)*$BI$1,1)</f>
        <v/>
      </c>
      <c r="BN834" s="102">
        <f>(CI834-Driver!$F$205)/(Driver!$G$205-Driver!$F$205)*$BI$1</f>
        <v/>
      </c>
      <c r="BO834" s="102">
        <f>(CK834-Driver!$F$207)/(Driver!$G$207-Driver!$F$207)*$BI$1</f>
        <v/>
      </c>
      <c r="BP834" s="102">
        <f>(CM834-Driver!$F$208)/(Driver!$G$208-Driver!$F$208)*$BI$1</f>
        <v/>
      </c>
      <c r="BQ834" s="102">
        <f>(CL834-Driver!$F$209)/(Driver!$G$209-Driver!$F$209)*$BI$1</f>
        <v/>
      </c>
      <c r="BR834" s="40" t="inlineStr">
        <is>
          <t>21/22</t>
        </is>
      </c>
      <c r="BS834" s="10" t="inlineStr">
        <is>
          <t xml:space="preserve"> Nordica</t>
        </is>
      </c>
      <c r="BT834" s="11" t="inlineStr">
        <is>
          <t>Santa Ana 84</t>
        </is>
      </c>
      <c r="BU834" s="13" t="n">
        <v>151</v>
      </c>
      <c r="BV834" s="11" t="inlineStr">
        <is>
          <t xml:space="preserve"> Women's</t>
        </is>
      </c>
      <c r="BW834" s="13" t="n">
        <v>151</v>
      </c>
      <c r="BX834" s="13" t="n">
        <v>149.7</v>
      </c>
      <c r="BY834" s="13" t="n">
        <v>109</v>
      </c>
      <c r="BZ834" s="13" t="n">
        <v>128</v>
      </c>
      <c r="CA834" s="13" t="n">
        <v>119</v>
      </c>
      <c r="CB834" s="13" t="n">
        <v>83</v>
      </c>
      <c r="CC834" s="13" t="n">
        <v>104</v>
      </c>
      <c r="CD834" s="13" t="n">
        <v>12.8</v>
      </c>
      <c r="CE834" s="13" t="n">
        <v>1399</v>
      </c>
      <c r="CF834" s="13" t="n">
        <v>1.02</v>
      </c>
      <c r="CG834" s="13" t="n">
        <v>1427</v>
      </c>
      <c r="CH834" s="13" t="n">
        <v>163</v>
      </c>
      <c r="CI834" s="13" t="n">
        <v>75</v>
      </c>
      <c r="CJ834" s="13" t="n">
        <v>60</v>
      </c>
      <c r="CK834" s="13" t="n">
        <v>257</v>
      </c>
      <c r="CL834" s="13" t="n">
        <v>17</v>
      </c>
      <c r="CM834" s="13" t="n">
        <v>150</v>
      </c>
      <c r="CN834" s="13" t="n">
        <v>0.29</v>
      </c>
      <c r="CO834" s="13" t="n">
        <v>129</v>
      </c>
      <c r="CP834" s="13" t="n">
        <v>91</v>
      </c>
      <c r="CQ834" s="13" t="n">
        <v>128</v>
      </c>
      <c r="CR834" s="13" t="n">
        <v>3</v>
      </c>
      <c r="CS834" s="13" t="n">
        <v>10</v>
      </c>
      <c r="CT834" s="11" t="inlineStr">
        <is>
          <t xml:space="preserve"> On-Piste All-Mountain</t>
        </is>
      </c>
      <c r="CU834" s="11" t="inlineStr">
        <is>
          <t xml:space="preserve"> Resort Freeride</t>
        </is>
      </c>
      <c r="CV834" s="13" t="n"/>
      <c r="CW834" s="13" t="n"/>
      <c r="CX834">
        <f>INDEX('Data_Price '!AG$2:AG$1266,MATCH(Data!$DN834,'Data_Price '!$AT$2:$AT$1266,0))</f>
        <v/>
      </c>
      <c r="CY834">
        <f>INDEX('Data_Price '!AH$2:AH$1266,MATCH(Data!$DN834,'Data_Price '!$AT$2:$AT$1266,0))</f>
        <v/>
      </c>
      <c r="CZ834">
        <f>INDEX('Data_Price '!AI$2:AI$1266,MATCH(Data!$DN834,'Data_Price '!$AT$2:$AT$1266,0))</f>
        <v/>
      </c>
      <c r="DA834">
        <f>INDEX('Data_Price '!AJ$2:AJ$1266,MATCH(Data!$DN834,'Data_Price '!$AT$2:$AT$1266,0))</f>
        <v/>
      </c>
      <c r="DB834">
        <f>INDEX('Data_Price '!AK$2:AK$1266,MATCH(Data!$DN834,'Data_Price '!$AT$2:$AT$1266,0))</f>
        <v/>
      </c>
      <c r="DC834">
        <f>INDEX('Data_Price '!AL$2:AL$1266,MATCH(Data!$DN834,'Data_Price '!$AT$2:$AT$1266,0))</f>
        <v/>
      </c>
      <c r="DD834">
        <f>INDEX('Data_Price '!AM$2:AM$1266,MATCH(Data!$DN834,'Data_Price '!$AT$2:$AT$1266,0))</f>
        <v/>
      </c>
      <c r="DE834">
        <f>INDEX('Data_Price '!AN$2:AN$1266,MATCH(Data!$DN834,'Data_Price '!$AT$2:$AT$1266,0))</f>
        <v/>
      </c>
      <c r="DF834">
        <f>INDEX('Data_Price '!AO$2:AO$1266,MATCH(Data!$DN834,'Data_Price '!$AT$2:$AT$1266,0))</f>
        <v/>
      </c>
      <c r="DG834">
        <f>INDEX('Data_Price '!AP$2:AP$1266,MATCH(Data!$DN834,'Data_Price '!$AT$2:$AT$1266,0))</f>
        <v/>
      </c>
      <c r="DH834">
        <f>INDEX('Data_Price '!AQ$2:AQ$1266,MATCH(Data!$DN834,'Data_Price '!$AT$2:$AT$1266,0))</f>
        <v/>
      </c>
      <c r="DI834">
        <f>INDEX('Data_Price '!AR$2:AR$1266,MATCH(Data!$DN834,'Data_Price '!$AT$2:$AT$1266,0))</f>
        <v/>
      </c>
      <c r="DJ834" s="138">
        <f>DA834</f>
        <v/>
      </c>
      <c r="DK834" s="138">
        <f>DE834</f>
        <v/>
      </c>
      <c r="DL834" s="138">
        <f>DI834</f>
        <v/>
      </c>
      <c r="DM834" s="303">
        <f>IF(LEFT(BT834,1)=" ",RIGHT(BT834,LEN(BT834)-1),BT834)</f>
        <v/>
      </c>
      <c r="DN834" s="138">
        <f>_xlfn.CONCAT(BS834,DM834,BU834,BV834)</f>
        <v/>
      </c>
      <c r="DO834" s="307" t="n"/>
    </row>
    <row r="835" ht="15.6" customHeight="1" s="184">
      <c r="B835" s="303">
        <f t="array" ref="B835">IF(OR(ISERROR(K835:P835)),FALSE,TRUE)</f>
        <v/>
      </c>
      <c r="C835" s="60">
        <f>OR(BR835=Driver!$G$50,Data!BR1272=Driver!$H$50)</f>
        <v/>
      </c>
      <c r="D835" s="60">
        <f>OR(BV835=Driver!$G$51,BV835=Driver!$H$51)</f>
        <v/>
      </c>
      <c r="E835" s="60">
        <f>AND(BX835&gt;Driver!$F$54,BX835&lt;Driver!$G$54)</f>
        <v/>
      </c>
      <c r="F835" s="60">
        <f>CL835&gt;Driver!$F$56</f>
        <v/>
      </c>
      <c r="G835" s="60">
        <f>AND(CB835&gt;Driver!$F$55,CB835&lt;Driver!$G$55)</f>
        <v/>
      </c>
      <c r="H835" s="60">
        <f>AND(B835:G835)</f>
        <v/>
      </c>
      <c r="I835" s="60">
        <f>COUNTIFS($H$9:$H$1273,TRUE,$BT$9:$BT$1273,BT835)</f>
        <v/>
      </c>
      <c r="J835" s="60">
        <f t="array" ref="J835">NOT(OR(($H$9:$H$1273=TRUE)*($I$9:$I$1273&gt;0)*($BT$9:$BT$1273=BT835)*($K$9:$K$1273&gt;K835)))</f>
        <v/>
      </c>
      <c r="K835" s="108">
        <f>IFERROR(1-AVERAGE(X835:Y835),"")</f>
        <v/>
      </c>
      <c r="L835" s="108">
        <f>1-X835</f>
        <v/>
      </c>
      <c r="M835" s="108">
        <f>1-Y835</f>
        <v/>
      </c>
      <c r="N835" s="108">
        <f>1-Z835</f>
        <v/>
      </c>
      <c r="O835" s="108">
        <f>1-AA835</f>
        <v/>
      </c>
      <c r="P835" s="108">
        <f>1-AB835</f>
        <v/>
      </c>
      <c r="Q835" s="108" t="n"/>
      <c r="R835" s="108" t="n"/>
      <c r="S835" s="108">
        <f>1-AE835</f>
        <v/>
      </c>
      <c r="T835" s="108">
        <f>1-AF835</f>
        <v/>
      </c>
      <c r="U835" s="108">
        <f>1-AG835</f>
        <v/>
      </c>
      <c r="V835" s="108">
        <f>1-AH835</f>
        <v/>
      </c>
      <c r="W835" s="108">
        <f>1-AI835</f>
        <v/>
      </c>
      <c r="X835" s="108">
        <f>ABS(AJ835-AJ$1)</f>
        <v/>
      </c>
      <c r="Y835" s="108">
        <f>AVERAGE(Z835:AB835)</f>
        <v/>
      </c>
      <c r="Z835" s="108">
        <f>ABS(AL835-AL$1)</f>
        <v/>
      </c>
      <c r="AA835" s="108">
        <f>ABS(AM835-AM$1)</f>
        <v/>
      </c>
      <c r="AB835" s="108">
        <f>ABS(AN835-AN$1)</f>
        <v/>
      </c>
      <c r="AC835" s="108" t="n"/>
      <c r="AD835" s="108" t="n"/>
      <c r="AE835" s="108">
        <f>ABS(AQ$1-AQ835)</f>
        <v/>
      </c>
      <c r="AF835" s="108">
        <f>ABS(AR$1-AR835)</f>
        <v/>
      </c>
      <c r="AG835" s="108">
        <f>ABS(AS$1-AS835)</f>
        <v/>
      </c>
      <c r="AH835" s="108">
        <f>ABS(AT$1-AT835)</f>
        <v/>
      </c>
      <c r="AI835" s="108">
        <f>ABS(AU$1-AU835)</f>
        <v/>
      </c>
      <c r="AJ835" s="108">
        <f>(AV835-Driver!$K$179)/(Driver!$L$179-Driver!$K$179)</f>
        <v/>
      </c>
      <c r="AK835" s="108">
        <f>(AW835-Driver!$K$180)/(Driver!$L$180-Driver!$K$180)</f>
        <v/>
      </c>
      <c r="AL835" s="108">
        <f>(AX835-Driver!$K$181)/(Driver!$L$181-Driver!$K$181)</f>
        <v/>
      </c>
      <c r="AM835" s="108">
        <f>(AY835-Driver!$K$182)/(Driver!$L$182-Driver!$K$182)</f>
        <v/>
      </c>
      <c r="AN835" s="108">
        <f>(AZ835-Driver!$K$183)/(Driver!$L$183-Driver!$K$183)</f>
        <v/>
      </c>
      <c r="AO835" s="108" t="n"/>
      <c r="AP835" s="108" t="n"/>
      <c r="AQ835" s="108">
        <f>(BC835-Driver!$K$188)/(Driver!$L$188-Driver!$K$188)</f>
        <v/>
      </c>
      <c r="AR835" s="108">
        <f>MIN((BD835-Driver!$K$189)/(Driver!$L$189-Driver!$K$189),100%)</f>
        <v/>
      </c>
      <c r="AS835" s="108">
        <f>(BE835-Driver!$K$190)/(Driver!$L$190-Driver!$K$190)</f>
        <v/>
      </c>
      <c r="AT835" s="108">
        <f>(BF835-Driver!$K$191)/(Driver!$L$191-Driver!$K$191)</f>
        <v/>
      </c>
      <c r="AU835" s="108">
        <f>(BG835-Driver!$K$192)/(Driver!$L$192-Driver!$K$192)</f>
        <v/>
      </c>
      <c r="AV835" s="105">
        <f>IFERROR(BM835*BJ835^1/4,"")</f>
        <v/>
      </c>
      <c r="AW835" s="105">
        <f>IFERROR(SUM(AX835:AZ835),"")</f>
        <v/>
      </c>
      <c r="AX835" s="105">
        <f>IFERROR(BH835,"")</f>
        <v/>
      </c>
      <c r="AY835" s="105">
        <f>IFERROR(Driver!$K$19/Data!BH835/Data!BI835*Data!BK835*Data!BL835,"")</f>
        <v/>
      </c>
      <c r="AZ835" s="105">
        <f>IFERROR(BI835*BN835,"")</f>
        <v/>
      </c>
      <c r="BA835" s="105" t="n"/>
      <c r="BB835" s="105" t="n"/>
      <c r="BC835" s="105">
        <f>IFERROR(BI835*BN835*BK835/BJ835^(1/2),"")</f>
        <v/>
      </c>
      <c r="BD835" s="105">
        <f>IFERROR(BH835*BM835*BL835/BJ835/BK835,"")</f>
        <v/>
      </c>
      <c r="BE835" s="105">
        <f>IFERROR(MIN(BI835/BQ835/BP835/BO835/BH835,$BE$1),"")</f>
        <v/>
      </c>
      <c r="BF835" s="105">
        <f>IFERROR(BJ835*BO835*BP835/BK835,"")</f>
        <v/>
      </c>
      <c r="BG835" s="105">
        <f>IFERROR(1/BM835/BH835*BQ835,"")</f>
        <v/>
      </c>
      <c r="BH835" s="102">
        <f>MAX((CE835-Driver!$F$200)/(Driver!$G$200-Driver!$F$200)*$BI$1,1)</f>
        <v/>
      </c>
      <c r="BI835" s="102">
        <f>MAX($BI$1*(BY835-Driver!$F$201)/(Driver!$G$201-Driver!$F$201),1)</f>
        <v/>
      </c>
      <c r="BJ835" s="102">
        <f>(CB835-Driver!$F$206)/(Driver!$G$206-Driver!$F$206)*$BI$1</f>
        <v/>
      </c>
      <c r="BK835" s="102">
        <f>(CD835-Driver!$F$203)/(Driver!$G$203-Driver!$F$203)*$BI$1</f>
        <v/>
      </c>
      <c r="BL835" s="102">
        <f>MAX((CR835-Driver!$F$202)/(Driver!$G$202-Driver!$F$202)*$BI$1,1)</f>
        <v/>
      </c>
      <c r="BM835" s="102">
        <f>MAX((CH835-Driver!$F$204)/(Driver!$G$204-Driver!$F$204)*$BI$1,1)</f>
        <v/>
      </c>
      <c r="BN835" s="102">
        <f>(CI835-Driver!$F$205)/(Driver!$G$205-Driver!$F$205)*$BI$1</f>
        <v/>
      </c>
      <c r="BO835" s="102">
        <f>(CK835-Driver!$F$207)/(Driver!$G$207-Driver!$F$207)*$BI$1</f>
        <v/>
      </c>
      <c r="BP835" s="102">
        <f>(CM835-Driver!$F$208)/(Driver!$G$208-Driver!$F$208)*$BI$1</f>
        <v/>
      </c>
      <c r="BQ835" s="102">
        <f>(CL835-Driver!$F$209)/(Driver!$G$209-Driver!$F$209)*$BI$1</f>
        <v/>
      </c>
      <c r="BR835" s="40" t="inlineStr">
        <is>
          <t>21/22</t>
        </is>
      </c>
      <c r="BS835" s="10" t="inlineStr">
        <is>
          <t xml:space="preserve"> Völkl</t>
        </is>
      </c>
      <c r="BT835" s="11" t="inlineStr">
        <is>
          <t>Yumi 84</t>
        </is>
      </c>
      <c r="BU835" s="13" t="n">
        <v>161</v>
      </c>
      <c r="BV835" s="11" t="inlineStr">
        <is>
          <t xml:space="preserve"> Women's</t>
        </is>
      </c>
      <c r="BW835" s="13" t="n">
        <v>161</v>
      </c>
      <c r="BX835" s="13" t="n">
        <v>161.3</v>
      </c>
      <c r="BY835" s="13" t="n">
        <v>122</v>
      </c>
      <c r="BZ835" s="13" t="n">
        <v>138</v>
      </c>
      <c r="CA835" s="13" t="n">
        <v>124</v>
      </c>
      <c r="CB835" s="13" t="n">
        <v>83</v>
      </c>
      <c r="CC835" s="13" t="n">
        <v>106</v>
      </c>
      <c r="CD835" s="13" t="n">
        <v>14.3</v>
      </c>
      <c r="CE835" s="13" t="n">
        <v>1411</v>
      </c>
      <c r="CF835" s="13" t="n">
        <v>1.1</v>
      </c>
      <c r="CG835" s="13" t="n">
        <v>1552</v>
      </c>
      <c r="CH835" s="13" t="n">
        <v>169</v>
      </c>
      <c r="CI835" s="13" t="n">
        <v>67</v>
      </c>
      <c r="CJ835" s="13" t="n">
        <v>38</v>
      </c>
      <c r="CK835" s="13" t="n">
        <v>211</v>
      </c>
      <c r="CL835" s="13" t="n">
        <v>14</v>
      </c>
      <c r="CM835" s="13" t="n">
        <v>183</v>
      </c>
      <c r="CN835" s="13" t="n">
        <v>0.365</v>
      </c>
      <c r="CO835" s="13" t="n">
        <v>130</v>
      </c>
      <c r="CP835" s="13" t="n">
        <v>106</v>
      </c>
      <c r="CQ835" s="13" t="n">
        <v>81</v>
      </c>
      <c r="CR835" s="13" t="n">
        <v>2</v>
      </c>
      <c r="CS835" s="13" t="n">
        <v>11.8</v>
      </c>
      <c r="CT835" s="11" t="inlineStr">
        <is>
          <t xml:space="preserve"> On-Piste All-Mountain</t>
        </is>
      </c>
      <c r="CU835" s="11" t="inlineStr">
        <is>
          <t xml:space="preserve"> Resort Freeride</t>
        </is>
      </c>
      <c r="CV835" s="11" t="inlineStr">
        <is>
          <t xml:space="preserve"> Touring</t>
        </is>
      </c>
      <c r="CW835" s="13" t="n"/>
      <c r="CX835">
        <f>INDEX('Data_Price '!AG$2:AG$1266,MATCH(Data!$DN835,'Data_Price '!$AT$2:$AT$1266,0))</f>
        <v/>
      </c>
      <c r="CY835">
        <f>INDEX('Data_Price '!AH$2:AH$1266,MATCH(Data!$DN835,'Data_Price '!$AT$2:$AT$1266,0))</f>
        <v/>
      </c>
      <c r="CZ835">
        <f>INDEX('Data_Price '!AI$2:AI$1266,MATCH(Data!$DN835,'Data_Price '!$AT$2:$AT$1266,0))</f>
        <v/>
      </c>
      <c r="DA835">
        <f>INDEX('Data_Price '!AJ$2:AJ$1266,MATCH(Data!$DN835,'Data_Price '!$AT$2:$AT$1266,0))</f>
        <v/>
      </c>
      <c r="DB835">
        <f>INDEX('Data_Price '!AK$2:AK$1266,MATCH(Data!$DN835,'Data_Price '!$AT$2:$AT$1266,0))</f>
        <v/>
      </c>
      <c r="DC835">
        <f>INDEX('Data_Price '!AL$2:AL$1266,MATCH(Data!$DN835,'Data_Price '!$AT$2:$AT$1266,0))</f>
        <v/>
      </c>
      <c r="DD835">
        <f>INDEX('Data_Price '!AM$2:AM$1266,MATCH(Data!$DN835,'Data_Price '!$AT$2:$AT$1266,0))</f>
        <v/>
      </c>
      <c r="DE835">
        <f>INDEX('Data_Price '!AN$2:AN$1266,MATCH(Data!$DN835,'Data_Price '!$AT$2:$AT$1266,0))</f>
        <v/>
      </c>
      <c r="DF835">
        <f>INDEX('Data_Price '!AO$2:AO$1266,MATCH(Data!$DN835,'Data_Price '!$AT$2:$AT$1266,0))</f>
        <v/>
      </c>
      <c r="DG835">
        <f>INDEX('Data_Price '!AP$2:AP$1266,MATCH(Data!$DN835,'Data_Price '!$AT$2:$AT$1266,0))</f>
        <v/>
      </c>
      <c r="DH835">
        <f>INDEX('Data_Price '!AQ$2:AQ$1266,MATCH(Data!$DN835,'Data_Price '!$AT$2:$AT$1266,0))</f>
        <v/>
      </c>
      <c r="DI835">
        <f>INDEX('Data_Price '!AR$2:AR$1266,MATCH(Data!$DN835,'Data_Price '!$AT$2:$AT$1266,0))</f>
        <v/>
      </c>
      <c r="DJ835" s="138">
        <f>DA835</f>
        <v/>
      </c>
      <c r="DK835" s="138">
        <f>DE835</f>
        <v/>
      </c>
      <c r="DL835" s="138">
        <f>DI835</f>
        <v/>
      </c>
      <c r="DM835" s="303">
        <f>IF(LEFT(BT835,1)=" ",RIGHT(BT835,LEN(BT835)-1),BT835)</f>
        <v/>
      </c>
      <c r="DN835" s="138">
        <f>_xlfn.CONCAT(BS835,DM835,BU835,BV835)</f>
        <v/>
      </c>
      <c r="DO835" s="307" t="inlineStr">
        <is>
          <t>https://images.evo.com/imgp/250/208364/837596/clone.jpg</t>
        </is>
      </c>
    </row>
    <row r="836" ht="15.6" customHeight="1" s="184">
      <c r="B836" s="303">
        <f t="array" ref="B836">IF(OR(ISERROR(K836:P836)),FALSE,TRUE)</f>
        <v/>
      </c>
      <c r="C836" s="60">
        <f>OR(BR836=Driver!$G$50,Data!BR436=Driver!$H$50)</f>
        <v/>
      </c>
      <c r="D836" s="60">
        <f>OR(BV836=Driver!$G$51,BV836=Driver!$H$51)</f>
        <v/>
      </c>
      <c r="E836" s="60">
        <f>AND(BX836&gt;Driver!$F$54,BX836&lt;Driver!$G$54)</f>
        <v/>
      </c>
      <c r="F836" s="60">
        <f>CL836&gt;Driver!$F$56</f>
        <v/>
      </c>
      <c r="G836" s="60">
        <f>AND(CB836&gt;Driver!$F$55,CB836&lt;Driver!$G$55)</f>
        <v/>
      </c>
      <c r="H836" s="60">
        <f>AND(B836:G836)</f>
        <v/>
      </c>
      <c r="I836" s="60">
        <f>COUNTIFS($H$9:$H$1273,TRUE,$BT$9:$BT$1273,BT836)</f>
        <v/>
      </c>
      <c r="J836" s="60">
        <f t="array" ref="J836">NOT(OR(($H$9:$H$1273=TRUE)*($I$9:$I$1273&gt;0)*($BT$9:$BT$1273=BT836)*($K$9:$K$1273&gt;K836)))</f>
        <v/>
      </c>
      <c r="K836" s="108">
        <f>IFERROR(1-AVERAGE(X836:Y836),"")</f>
        <v/>
      </c>
      <c r="L836" s="108">
        <f>1-X836</f>
        <v/>
      </c>
      <c r="M836" s="108">
        <f>1-Y836</f>
        <v/>
      </c>
      <c r="N836" s="108">
        <f>1-Z836</f>
        <v/>
      </c>
      <c r="O836" s="108">
        <f>1-AA836</f>
        <v/>
      </c>
      <c r="P836" s="108">
        <f>1-AB836</f>
        <v/>
      </c>
      <c r="Q836" s="108" t="n"/>
      <c r="R836" s="108" t="n"/>
      <c r="S836" s="108">
        <f>1-AE836</f>
        <v/>
      </c>
      <c r="T836" s="108">
        <f>1-AF836</f>
        <v/>
      </c>
      <c r="U836" s="108">
        <f>1-AG836</f>
        <v/>
      </c>
      <c r="V836" s="108">
        <f>1-AH836</f>
        <v/>
      </c>
      <c r="W836" s="108">
        <f>1-AI836</f>
        <v/>
      </c>
      <c r="X836" s="108">
        <f>ABS(AJ836-AJ$1)</f>
        <v/>
      </c>
      <c r="Y836" s="108">
        <f>AVERAGE(Z836:AB836)</f>
        <v/>
      </c>
      <c r="Z836" s="108">
        <f>ABS(AL836-AL$1)</f>
        <v/>
      </c>
      <c r="AA836" s="108">
        <f>ABS(AM836-AM$1)</f>
        <v/>
      </c>
      <c r="AB836" s="108">
        <f>ABS(AN836-AN$1)</f>
        <v/>
      </c>
      <c r="AC836" s="108" t="n"/>
      <c r="AD836" s="108" t="n"/>
      <c r="AE836" s="108">
        <f>ABS(AQ$1-AQ836)</f>
        <v/>
      </c>
      <c r="AF836" s="108">
        <f>ABS(AR$1-AR836)</f>
        <v/>
      </c>
      <c r="AG836" s="108">
        <f>ABS(AS$1-AS836)</f>
        <v/>
      </c>
      <c r="AH836" s="108">
        <f>ABS(AT$1-AT836)</f>
        <v/>
      </c>
      <c r="AI836" s="108">
        <f>ABS(AU$1-AU836)</f>
        <v/>
      </c>
      <c r="AJ836" s="108">
        <f>(AV836-Driver!$K$179)/(Driver!$L$179-Driver!$K$179)</f>
        <v/>
      </c>
      <c r="AK836" s="108">
        <f>(AW836-Driver!$K$180)/(Driver!$L$180-Driver!$K$180)</f>
        <v/>
      </c>
      <c r="AL836" s="108">
        <f>(AX836-Driver!$K$181)/(Driver!$L$181-Driver!$K$181)</f>
        <v/>
      </c>
      <c r="AM836" s="108">
        <f>(AY836-Driver!$K$182)/(Driver!$L$182-Driver!$K$182)</f>
        <v/>
      </c>
      <c r="AN836" s="108">
        <f>(AZ836-Driver!$K$183)/(Driver!$L$183-Driver!$K$183)</f>
        <v/>
      </c>
      <c r="AO836" s="108" t="n"/>
      <c r="AP836" s="108" t="n"/>
      <c r="AQ836" s="108">
        <f>(BC836-Driver!$K$188)/(Driver!$L$188-Driver!$K$188)</f>
        <v/>
      </c>
      <c r="AR836" s="108">
        <f>MIN((BD836-Driver!$K$189)/(Driver!$L$189-Driver!$K$189),100%)</f>
        <v/>
      </c>
      <c r="AS836" s="108">
        <f>(BE836-Driver!$K$190)/(Driver!$L$190-Driver!$K$190)</f>
        <v/>
      </c>
      <c r="AT836" s="108">
        <f>(BF836-Driver!$K$191)/(Driver!$L$191-Driver!$K$191)</f>
        <v/>
      </c>
      <c r="AU836" s="108">
        <f>(BG836-Driver!$K$192)/(Driver!$L$192-Driver!$K$192)</f>
        <v/>
      </c>
      <c r="AV836" s="105">
        <f>IFERROR(BM836*BJ836^1/4,"")</f>
        <v/>
      </c>
      <c r="AW836" s="105">
        <f>IFERROR(SUM(AX836:AZ836),"")</f>
        <v/>
      </c>
      <c r="AX836" s="105">
        <f>IFERROR(BH836,"")</f>
        <v/>
      </c>
      <c r="AY836" s="105">
        <f>IFERROR(Driver!$K$19/Data!BH836/Data!BI836*Data!BK836*Data!BL836,"")</f>
        <v/>
      </c>
      <c r="AZ836" s="105">
        <f>IFERROR(BI836*BN836,"")</f>
        <v/>
      </c>
      <c r="BA836" s="105" t="n"/>
      <c r="BB836" s="105" t="n"/>
      <c r="BC836" s="105">
        <f>IFERROR(BI836*BN836*BK836/BJ836^(1/2),"")</f>
        <v/>
      </c>
      <c r="BD836" s="105">
        <f>IFERROR(BH836*BM836*BL836/BJ836/BK836,"")</f>
        <v/>
      </c>
      <c r="BE836" s="105">
        <f>IFERROR(MIN(BI836/BQ836/BP836/BO836/BH836,$BE$1),"")</f>
        <v/>
      </c>
      <c r="BF836" s="105">
        <f>IFERROR(BJ836*BO836*BP836/BK836,"")</f>
        <v/>
      </c>
      <c r="BG836" s="105">
        <f>IFERROR(1/BM836/BH836*BQ836,"")</f>
        <v/>
      </c>
      <c r="BH836" s="102">
        <f>MAX((CE836-Driver!$F$200)/(Driver!$G$200-Driver!$F$200)*$BI$1,1)</f>
        <v/>
      </c>
      <c r="BI836" s="102">
        <f>MAX($BI$1*(BY836-Driver!$F$201)/(Driver!$G$201-Driver!$F$201),1)</f>
        <v/>
      </c>
      <c r="BJ836" s="102">
        <f>(CB836-Driver!$F$206)/(Driver!$G$206-Driver!$F$206)*$BI$1</f>
        <v/>
      </c>
      <c r="BK836" s="102">
        <f>(CD836-Driver!$F$203)/(Driver!$G$203-Driver!$F$203)*$BI$1</f>
        <v/>
      </c>
      <c r="BL836" s="102">
        <f>MAX((CR836-Driver!$F$202)/(Driver!$G$202-Driver!$F$202)*$BI$1,1)</f>
        <v/>
      </c>
      <c r="BM836" s="102">
        <f>MAX((CH836-Driver!$F$204)/(Driver!$G$204-Driver!$F$204)*$BI$1,1)</f>
        <v/>
      </c>
      <c r="BN836" s="102">
        <f>(CI836-Driver!$F$205)/(Driver!$G$205-Driver!$F$205)*$BI$1</f>
        <v/>
      </c>
      <c r="BO836" s="102">
        <f>(CK836-Driver!$F$207)/(Driver!$G$207-Driver!$F$207)*$BI$1</f>
        <v/>
      </c>
      <c r="BP836" s="102">
        <f>(CM836-Driver!$F$208)/(Driver!$G$208-Driver!$F$208)*$BI$1</f>
        <v/>
      </c>
      <c r="BQ836" s="102">
        <f>(CL836-Driver!$F$209)/(Driver!$G$209-Driver!$F$209)*$BI$1</f>
        <v/>
      </c>
      <c r="BR836" s="40" t="inlineStr">
        <is>
          <t>21/22</t>
        </is>
      </c>
      <c r="BS836" s="10" t="inlineStr">
        <is>
          <t xml:space="preserve"> Elan</t>
        </is>
      </c>
      <c r="BT836" s="11" t="inlineStr">
        <is>
          <t xml:space="preserve"> Element W</t>
        </is>
      </c>
      <c r="BU836" s="13" t="n">
        <v>168</v>
      </c>
      <c r="BV836" s="11" t="inlineStr">
        <is>
          <t xml:space="preserve"> Women's</t>
        </is>
      </c>
      <c r="BW836" s="13" t="n">
        <v>168</v>
      </c>
      <c r="BX836" s="13" t="n">
        <v>167.5</v>
      </c>
      <c r="BY836" s="13" t="n">
        <v>144</v>
      </c>
      <c r="BZ836" s="13" t="n">
        <v>153</v>
      </c>
      <c r="CA836" s="13" t="n">
        <v>127</v>
      </c>
      <c r="CB836" s="13" t="n">
        <v>75</v>
      </c>
      <c r="CC836" s="13" t="n">
        <v>102</v>
      </c>
      <c r="CD836" s="13" t="n">
        <v>15.1</v>
      </c>
      <c r="CE836" s="13" t="n">
        <v>1819</v>
      </c>
      <c r="CF836" s="13" t="n">
        <v>0.83</v>
      </c>
      <c r="CG836" s="13" t="n">
        <v>1513</v>
      </c>
      <c r="CH836" s="13" t="n">
        <v>203</v>
      </c>
      <c r="CI836" s="13" t="n">
        <v>70</v>
      </c>
      <c r="CJ836" s="13" t="n">
        <v>34</v>
      </c>
      <c r="CK836" s="13" t="n">
        <v>154</v>
      </c>
      <c r="CL836" s="13" t="n">
        <v>10</v>
      </c>
      <c r="CM836" s="13" t="n">
        <v>77</v>
      </c>
      <c r="CN836" s="13" t="n">
        <v>0.286</v>
      </c>
      <c r="CO836" s="13" t="n">
        <v>85</v>
      </c>
      <c r="CP836" s="13" t="n">
        <v>59</v>
      </c>
      <c r="CQ836" s="13" t="n">
        <v>69</v>
      </c>
      <c r="CR836" s="13" t="n">
        <v>8</v>
      </c>
      <c r="CS836" s="13" t="n">
        <v>10.5</v>
      </c>
      <c r="CT836" s="11" t="inlineStr">
        <is>
          <t xml:space="preserve"> On-Piste Carving</t>
        </is>
      </c>
      <c r="CU836" s="13" t="n"/>
      <c r="CV836" s="13" t="n"/>
      <c r="CW836" s="13" t="n"/>
      <c r="CX836">
        <f>INDEX('Data_Price '!AG$2:AG$1266,MATCH(Data!$DN836,'Data_Price '!$AT$2:$AT$1266,0))</f>
        <v/>
      </c>
      <c r="CY836">
        <f>INDEX('Data_Price '!AH$2:AH$1266,MATCH(Data!$DN836,'Data_Price '!$AT$2:$AT$1266,0))</f>
        <v/>
      </c>
      <c r="CZ836">
        <f>INDEX('Data_Price '!AI$2:AI$1266,MATCH(Data!$DN836,'Data_Price '!$AT$2:$AT$1266,0))</f>
        <v/>
      </c>
      <c r="DA836">
        <f>INDEX('Data_Price '!AJ$2:AJ$1266,MATCH(Data!$DN836,'Data_Price '!$AT$2:$AT$1266,0))</f>
        <v/>
      </c>
      <c r="DB836">
        <f>INDEX('Data_Price '!AK$2:AK$1266,MATCH(Data!$DN836,'Data_Price '!$AT$2:$AT$1266,0))</f>
        <v/>
      </c>
      <c r="DC836">
        <f>INDEX('Data_Price '!AL$2:AL$1266,MATCH(Data!$DN836,'Data_Price '!$AT$2:$AT$1266,0))</f>
        <v/>
      </c>
      <c r="DD836">
        <f>INDEX('Data_Price '!AM$2:AM$1266,MATCH(Data!$DN836,'Data_Price '!$AT$2:$AT$1266,0))</f>
        <v/>
      </c>
      <c r="DE836">
        <f>INDEX('Data_Price '!AN$2:AN$1266,MATCH(Data!$DN836,'Data_Price '!$AT$2:$AT$1266,0))</f>
        <v/>
      </c>
      <c r="DF836">
        <f>INDEX('Data_Price '!AO$2:AO$1266,MATCH(Data!$DN836,'Data_Price '!$AT$2:$AT$1266,0))</f>
        <v/>
      </c>
      <c r="DG836">
        <f>INDEX('Data_Price '!AP$2:AP$1266,MATCH(Data!$DN836,'Data_Price '!$AT$2:$AT$1266,0))</f>
        <v/>
      </c>
      <c r="DH836">
        <f>INDEX('Data_Price '!AQ$2:AQ$1266,MATCH(Data!$DN836,'Data_Price '!$AT$2:$AT$1266,0))</f>
        <v/>
      </c>
      <c r="DI836">
        <f>INDEX('Data_Price '!AR$2:AR$1266,MATCH(Data!$DN836,'Data_Price '!$AT$2:$AT$1266,0))</f>
        <v/>
      </c>
      <c r="DJ836" s="138">
        <f>DA836</f>
        <v/>
      </c>
      <c r="DK836" s="138">
        <f>DE836</f>
        <v/>
      </c>
      <c r="DL836" s="138">
        <f>DI836</f>
        <v/>
      </c>
      <c r="DM836" s="303">
        <f>IF(LEFT(BT836,1)=" ",RIGHT(BT836,LEN(BT836)-1),BT836)</f>
        <v/>
      </c>
      <c r="DN836" s="138">
        <f>_xlfn.CONCAT(BS836,DM836,BU836,BV836)</f>
        <v/>
      </c>
      <c r="DO836" s="307" t="n"/>
    </row>
    <row r="837" ht="15.6" customHeight="1" s="184">
      <c r="B837" s="303">
        <f t="array" ref="B837">IF(OR(ISERROR(K837:P837)),FALSE,TRUE)</f>
        <v/>
      </c>
      <c r="C837" s="60">
        <f>OR(BR837=Driver!$G$50,Data!BR92=Driver!$H$50)</f>
        <v/>
      </c>
      <c r="D837" s="60">
        <f>OR(BV837=Driver!$G$51,BV837=Driver!$H$51)</f>
        <v/>
      </c>
      <c r="E837" s="60">
        <f>AND(BX837&gt;Driver!$F$54,BX837&lt;Driver!$G$54)</f>
        <v/>
      </c>
      <c r="F837" s="60">
        <f>CL837&gt;Driver!$F$56</f>
        <v/>
      </c>
      <c r="G837" s="60">
        <f>AND(CB837&gt;Driver!$F$55,CB837&lt;Driver!$G$55)</f>
        <v/>
      </c>
      <c r="H837" s="60">
        <f>AND(B837:G837)</f>
        <v/>
      </c>
      <c r="I837" s="60">
        <f>COUNTIFS($H$9:$H$1273,TRUE,$BT$9:$BT$1273,BT837)</f>
        <v/>
      </c>
      <c r="J837" s="60">
        <f t="array" ref="J837">NOT(OR(($H$9:$H$1273=TRUE)*($I$9:$I$1273&gt;0)*($BT$9:$BT$1273=BT837)*($K$9:$K$1273&gt;K837)))</f>
        <v/>
      </c>
      <c r="K837" s="108">
        <f>IFERROR(1-AVERAGE(X837:Y837),"")</f>
        <v/>
      </c>
      <c r="L837" s="108">
        <f>1-X837</f>
        <v/>
      </c>
      <c r="M837" s="108">
        <f>1-Y837</f>
        <v/>
      </c>
      <c r="N837" s="108">
        <f>1-Z837</f>
        <v/>
      </c>
      <c r="O837" s="108">
        <f>1-AA837</f>
        <v/>
      </c>
      <c r="P837" s="108">
        <f>1-AB837</f>
        <v/>
      </c>
      <c r="Q837" s="108" t="n"/>
      <c r="R837" s="108" t="n"/>
      <c r="S837" s="108">
        <f>1-AE837</f>
        <v/>
      </c>
      <c r="T837" s="108">
        <f>1-AF837</f>
        <v/>
      </c>
      <c r="U837" s="108">
        <f>1-AG837</f>
        <v/>
      </c>
      <c r="V837" s="108">
        <f>1-AH837</f>
        <v/>
      </c>
      <c r="W837" s="108">
        <f>1-AI837</f>
        <v/>
      </c>
      <c r="X837" s="108">
        <f>ABS(AJ837-AJ$1)</f>
        <v/>
      </c>
      <c r="Y837" s="108">
        <f>AVERAGE(Z837:AB837)</f>
        <v/>
      </c>
      <c r="Z837" s="108">
        <f>ABS(AL837-AL$1)</f>
        <v/>
      </c>
      <c r="AA837" s="108">
        <f>ABS(AM837-AM$1)</f>
        <v/>
      </c>
      <c r="AB837" s="108">
        <f>ABS(AN837-AN$1)</f>
        <v/>
      </c>
      <c r="AC837" s="108" t="n"/>
      <c r="AD837" s="108" t="n"/>
      <c r="AE837" s="108">
        <f>ABS(AQ$1-AQ837)</f>
        <v/>
      </c>
      <c r="AF837" s="108">
        <f>ABS(AR$1-AR837)</f>
        <v/>
      </c>
      <c r="AG837" s="108">
        <f>ABS(AS$1-AS837)</f>
        <v/>
      </c>
      <c r="AH837" s="108">
        <f>ABS(AT$1-AT837)</f>
        <v/>
      </c>
      <c r="AI837" s="108">
        <f>ABS(AU$1-AU837)</f>
        <v/>
      </c>
      <c r="AJ837" s="108">
        <f>(AV837-Driver!$K$179)/(Driver!$L$179-Driver!$K$179)</f>
        <v/>
      </c>
      <c r="AK837" s="108">
        <f>(AW837-Driver!$K$180)/(Driver!$L$180-Driver!$K$180)</f>
        <v/>
      </c>
      <c r="AL837" s="108">
        <f>(AX837-Driver!$K$181)/(Driver!$L$181-Driver!$K$181)</f>
        <v/>
      </c>
      <c r="AM837" s="108">
        <f>(AY837-Driver!$K$182)/(Driver!$L$182-Driver!$K$182)</f>
        <v/>
      </c>
      <c r="AN837" s="108">
        <f>(AZ837-Driver!$K$183)/(Driver!$L$183-Driver!$K$183)</f>
        <v/>
      </c>
      <c r="AO837" s="108" t="n"/>
      <c r="AP837" s="108" t="n"/>
      <c r="AQ837" s="108">
        <f>(BC837-Driver!$K$188)/(Driver!$L$188-Driver!$K$188)</f>
        <v/>
      </c>
      <c r="AR837" s="108">
        <f>MIN((BD837-Driver!$K$189)/(Driver!$L$189-Driver!$K$189),100%)</f>
        <v/>
      </c>
      <c r="AS837" s="108">
        <f>(BE837-Driver!$K$190)/(Driver!$L$190-Driver!$K$190)</f>
        <v/>
      </c>
      <c r="AT837" s="108">
        <f>(BF837-Driver!$K$191)/(Driver!$L$191-Driver!$K$191)</f>
        <v/>
      </c>
      <c r="AU837" s="108">
        <f>(BG837-Driver!$K$192)/(Driver!$L$192-Driver!$K$192)</f>
        <v/>
      </c>
      <c r="AV837" s="105">
        <f>IFERROR(BM837*BJ837^1/4,"")</f>
        <v/>
      </c>
      <c r="AW837" s="105">
        <f>IFERROR(SUM(AX837:AZ837),"")</f>
        <v/>
      </c>
      <c r="AX837" s="105">
        <f>IFERROR(BH837,"")</f>
        <v/>
      </c>
      <c r="AY837" s="105">
        <f>IFERROR(Driver!$K$19/Data!BH837/Data!BI837*Data!BK837*Data!BL837,"")</f>
        <v/>
      </c>
      <c r="AZ837" s="105">
        <f>IFERROR(BI837*BN837,"")</f>
        <v/>
      </c>
      <c r="BA837" s="105" t="n"/>
      <c r="BB837" s="105" t="n"/>
      <c r="BC837" s="105">
        <f>IFERROR(BI837*BN837*BK837/BJ837^(1/2),"")</f>
        <v/>
      </c>
      <c r="BD837" s="105">
        <f>IFERROR(BH837*BM837*BL837/BJ837/BK837,"")</f>
        <v/>
      </c>
      <c r="BE837" s="105">
        <f>IFERROR(MIN(BI837/BQ837/BP837/BO837/BH837,$BE$1),"")</f>
        <v/>
      </c>
      <c r="BF837" s="105">
        <f>IFERROR(BJ837*BO837*BP837/BK837,"")</f>
        <v/>
      </c>
      <c r="BG837" s="105">
        <f>IFERROR(1/BM837/BH837*BQ837,"")</f>
        <v/>
      </c>
      <c r="BH837" s="102">
        <f>MAX((CE837-Driver!$F$200)/(Driver!$G$200-Driver!$F$200)*$BI$1,1)</f>
        <v/>
      </c>
      <c r="BI837" s="102">
        <f>MAX($BI$1*(BY837-Driver!$F$201)/(Driver!$G$201-Driver!$F$201),1)</f>
        <v/>
      </c>
      <c r="BJ837" s="102">
        <f>(CB837-Driver!$F$206)/(Driver!$G$206-Driver!$F$206)*$BI$1</f>
        <v/>
      </c>
      <c r="BK837" s="102">
        <f>(CD837-Driver!$F$203)/(Driver!$G$203-Driver!$F$203)*$BI$1</f>
        <v/>
      </c>
      <c r="BL837" s="102">
        <f>MAX((CR837-Driver!$F$202)/(Driver!$G$202-Driver!$F$202)*$BI$1,1)</f>
        <v/>
      </c>
      <c r="BM837" s="102">
        <f>MAX((CH837-Driver!$F$204)/(Driver!$G$204-Driver!$F$204)*$BI$1,1)</f>
        <v/>
      </c>
      <c r="BN837" s="102">
        <f>(CI837-Driver!$F$205)/(Driver!$G$205-Driver!$F$205)*$BI$1</f>
        <v/>
      </c>
      <c r="BO837" s="102">
        <f>(CK837-Driver!$F$207)/(Driver!$G$207-Driver!$F$207)*$BI$1</f>
        <v/>
      </c>
      <c r="BP837" s="102">
        <f>(CM837-Driver!$F$208)/(Driver!$G$208-Driver!$F$208)*$BI$1</f>
        <v/>
      </c>
      <c r="BQ837" s="102">
        <f>(CL837-Driver!$F$209)/(Driver!$G$209-Driver!$F$209)*$BI$1</f>
        <v/>
      </c>
      <c r="BR837" s="40" t="inlineStr">
        <is>
          <t>21/22</t>
        </is>
      </c>
      <c r="BS837" s="10" t="inlineStr">
        <is>
          <t xml:space="preserve"> Armada</t>
        </is>
      </c>
      <c r="BT837" s="11" t="inlineStr">
        <is>
          <t xml:space="preserve"> Stranger</t>
        </is>
      </c>
      <c r="BU837" s="13" t="n">
        <v>172</v>
      </c>
      <c r="BV837" s="11" t="inlineStr">
        <is>
          <t xml:space="preserve"> Unisex</t>
        </is>
      </c>
      <c r="BW837" s="13" t="n">
        <v>172</v>
      </c>
      <c r="BX837" s="13" t="n">
        <v>170.9</v>
      </c>
      <c r="BY837" s="13" t="n">
        <v>119</v>
      </c>
      <c r="BZ837" s="13" t="n">
        <v>140</v>
      </c>
      <c r="CA837" s="13" t="n">
        <v>138</v>
      </c>
      <c r="CB837" s="13" t="n">
        <v>99</v>
      </c>
      <c r="CC837" s="13" t="n">
        <v>119</v>
      </c>
      <c r="CD837" s="13" t="n">
        <v>15.2</v>
      </c>
      <c r="CE837" s="13" t="n">
        <v>2003</v>
      </c>
      <c r="CF837" s="13" t="n">
        <v>0.96</v>
      </c>
      <c r="CG837" s="13" t="n">
        <v>1924</v>
      </c>
      <c r="CH837" s="13" t="n">
        <v>163</v>
      </c>
      <c r="CI837" s="13" t="n">
        <v>75</v>
      </c>
      <c r="CJ837" s="13" t="n">
        <v>57</v>
      </c>
      <c r="CK837" s="13" t="n">
        <v>294</v>
      </c>
      <c r="CL837" s="13" t="n">
        <v>35</v>
      </c>
      <c r="CM837" s="13" t="n">
        <v>226</v>
      </c>
      <c r="CN837" s="13" t="n">
        <v>0.605</v>
      </c>
      <c r="CO837" s="13" t="n">
        <v>196</v>
      </c>
      <c r="CP837" s="13" t="n">
        <v>111</v>
      </c>
      <c r="CQ837" s="13" t="n">
        <v>97</v>
      </c>
      <c r="CR837" s="13" t="n">
        <v>8</v>
      </c>
      <c r="CS837" s="13" t="n">
        <v>10.1</v>
      </c>
      <c r="CT837" s="11" t="inlineStr">
        <is>
          <t xml:space="preserve"> Resort Freeride</t>
        </is>
      </c>
      <c r="CU837" s="13" t="n"/>
      <c r="CV837" s="13" t="n"/>
      <c r="CW837" s="13" t="n"/>
      <c r="CX837">
        <f>INDEX('Data_Price '!AG$2:AG$1266,MATCH(Data!$DN837,'Data_Price '!$AT$2:$AT$1266,0))</f>
        <v/>
      </c>
      <c r="CY837">
        <f>INDEX('Data_Price '!AH$2:AH$1266,MATCH(Data!$DN837,'Data_Price '!$AT$2:$AT$1266,0))</f>
        <v/>
      </c>
      <c r="CZ837">
        <f>INDEX('Data_Price '!AI$2:AI$1266,MATCH(Data!$DN837,'Data_Price '!$AT$2:$AT$1266,0))</f>
        <v/>
      </c>
      <c r="DA837">
        <f>INDEX('Data_Price '!AJ$2:AJ$1266,MATCH(Data!$DN837,'Data_Price '!$AT$2:$AT$1266,0))</f>
        <v/>
      </c>
      <c r="DB837">
        <f>INDEX('Data_Price '!AK$2:AK$1266,MATCH(Data!$DN837,'Data_Price '!$AT$2:$AT$1266,0))</f>
        <v/>
      </c>
      <c r="DC837">
        <f>INDEX('Data_Price '!AL$2:AL$1266,MATCH(Data!$DN837,'Data_Price '!$AT$2:$AT$1266,0))</f>
        <v/>
      </c>
      <c r="DD837">
        <f>INDEX('Data_Price '!AM$2:AM$1266,MATCH(Data!$DN837,'Data_Price '!$AT$2:$AT$1266,0))</f>
        <v/>
      </c>
      <c r="DE837">
        <f>INDEX('Data_Price '!AN$2:AN$1266,MATCH(Data!$DN837,'Data_Price '!$AT$2:$AT$1266,0))</f>
        <v/>
      </c>
      <c r="DF837">
        <f>INDEX('Data_Price '!AO$2:AO$1266,MATCH(Data!$DN837,'Data_Price '!$AT$2:$AT$1266,0))</f>
        <v/>
      </c>
      <c r="DG837">
        <f>INDEX('Data_Price '!AP$2:AP$1266,MATCH(Data!$DN837,'Data_Price '!$AT$2:$AT$1266,0))</f>
        <v/>
      </c>
      <c r="DH837">
        <f>INDEX('Data_Price '!AQ$2:AQ$1266,MATCH(Data!$DN837,'Data_Price '!$AT$2:$AT$1266,0))</f>
        <v/>
      </c>
      <c r="DI837">
        <f>INDEX('Data_Price '!AR$2:AR$1266,MATCH(Data!$DN837,'Data_Price '!$AT$2:$AT$1266,0))</f>
        <v/>
      </c>
      <c r="DJ837" s="138">
        <f>DA837</f>
        <v/>
      </c>
      <c r="DK837" s="138">
        <f>DE837</f>
        <v/>
      </c>
      <c r="DL837" s="138">
        <f>DI837</f>
        <v/>
      </c>
      <c r="DM837" s="303">
        <f>IF(LEFT(BT837,1)=" ",RIGHT(BT837,LEN(BT837)-1),BT837)</f>
        <v/>
      </c>
      <c r="DN837" s="138">
        <f>_xlfn.CONCAT(BS837,DM837,BU837,BV837)</f>
        <v/>
      </c>
      <c r="DO837" s="307" t="inlineStr">
        <is>
          <t>https://images.evo.com/imgp/250/198689/839653/armada-stranger-skis-2022-.jpg</t>
        </is>
      </c>
    </row>
    <row r="838" ht="15.6" customHeight="1" s="184">
      <c r="B838" s="303">
        <f t="array" ref="B838">IF(OR(ISERROR(K838:P838)),FALSE,TRUE)</f>
        <v/>
      </c>
      <c r="C838" s="60">
        <f>OR(BR838=Driver!$G$50,Data!BR568=Driver!$H$50)</f>
        <v/>
      </c>
      <c r="D838" s="60">
        <f>OR(BV838=Driver!$G$51,BV838=Driver!$H$51)</f>
        <v/>
      </c>
      <c r="E838" s="60">
        <f>AND(BX838&gt;Driver!$F$54,BX838&lt;Driver!$G$54)</f>
        <v/>
      </c>
      <c r="F838" s="60">
        <f>CL838&gt;Driver!$F$56</f>
        <v/>
      </c>
      <c r="G838" s="60">
        <f>AND(CB838&gt;Driver!$F$55,CB838&lt;Driver!$G$55)</f>
        <v/>
      </c>
      <c r="H838" s="60">
        <f>AND(B838:G838)</f>
        <v/>
      </c>
      <c r="I838" s="60">
        <f>COUNTIFS($H$9:$H$1273,TRUE,$BT$9:$BT$1273,BT838)</f>
        <v/>
      </c>
      <c r="J838" s="60">
        <f t="array" ref="J838">NOT(OR(($H$9:$H$1273=TRUE)*($I$9:$I$1273&gt;0)*($BT$9:$BT$1273=BT838)*($K$9:$K$1273&gt;K838)))</f>
        <v/>
      </c>
      <c r="K838" s="108">
        <f>IFERROR(1-AVERAGE(X838:Y838),"")</f>
        <v/>
      </c>
      <c r="L838" s="108">
        <f>1-X838</f>
        <v/>
      </c>
      <c r="M838" s="108">
        <f>1-Y838</f>
        <v/>
      </c>
      <c r="N838" s="108">
        <f>1-Z838</f>
        <v/>
      </c>
      <c r="O838" s="108">
        <f>1-AA838</f>
        <v/>
      </c>
      <c r="P838" s="108">
        <f>1-AB838</f>
        <v/>
      </c>
      <c r="Q838" s="108" t="n"/>
      <c r="R838" s="108" t="n"/>
      <c r="S838" s="108">
        <f>1-AE838</f>
        <v/>
      </c>
      <c r="T838" s="108">
        <f>1-AF838</f>
        <v/>
      </c>
      <c r="U838" s="108">
        <f>1-AG838</f>
        <v/>
      </c>
      <c r="V838" s="108">
        <f>1-AH838</f>
        <v/>
      </c>
      <c r="W838" s="108">
        <f>1-AI838</f>
        <v/>
      </c>
      <c r="X838" s="108">
        <f>ABS(AJ838-AJ$1)</f>
        <v/>
      </c>
      <c r="Y838" s="108">
        <f>AVERAGE(Z838:AB838)</f>
        <v/>
      </c>
      <c r="Z838" s="108">
        <f>ABS(AL838-AL$1)</f>
        <v/>
      </c>
      <c r="AA838" s="108">
        <f>ABS(AM838-AM$1)</f>
        <v/>
      </c>
      <c r="AB838" s="108">
        <f>ABS(AN838-AN$1)</f>
        <v/>
      </c>
      <c r="AC838" s="108" t="n"/>
      <c r="AD838" s="108" t="n"/>
      <c r="AE838" s="108">
        <f>ABS(AQ$1-AQ838)</f>
        <v/>
      </c>
      <c r="AF838" s="108">
        <f>ABS(AR$1-AR838)</f>
        <v/>
      </c>
      <c r="AG838" s="108">
        <f>ABS(AS$1-AS838)</f>
        <v/>
      </c>
      <c r="AH838" s="108">
        <f>ABS(AT$1-AT838)</f>
        <v/>
      </c>
      <c r="AI838" s="108">
        <f>ABS(AU$1-AU838)</f>
        <v/>
      </c>
      <c r="AJ838" s="108">
        <f>(AV838-Driver!$K$179)/(Driver!$L$179-Driver!$K$179)</f>
        <v/>
      </c>
      <c r="AK838" s="108">
        <f>(AW838-Driver!$K$180)/(Driver!$L$180-Driver!$K$180)</f>
        <v/>
      </c>
      <c r="AL838" s="108">
        <f>(AX838-Driver!$K$181)/(Driver!$L$181-Driver!$K$181)</f>
        <v/>
      </c>
      <c r="AM838" s="108">
        <f>(AY838-Driver!$K$182)/(Driver!$L$182-Driver!$K$182)</f>
        <v/>
      </c>
      <c r="AN838" s="108">
        <f>(AZ838-Driver!$K$183)/(Driver!$L$183-Driver!$K$183)</f>
        <v/>
      </c>
      <c r="AO838" s="108" t="n"/>
      <c r="AP838" s="108" t="n"/>
      <c r="AQ838" s="108">
        <f>(BC838-Driver!$K$188)/(Driver!$L$188-Driver!$K$188)</f>
        <v/>
      </c>
      <c r="AR838" s="108">
        <f>MIN((BD838-Driver!$K$189)/(Driver!$L$189-Driver!$K$189),100%)</f>
        <v/>
      </c>
      <c r="AS838" s="108">
        <f>(BE838-Driver!$K$190)/(Driver!$L$190-Driver!$K$190)</f>
        <v/>
      </c>
      <c r="AT838" s="108">
        <f>(BF838-Driver!$K$191)/(Driver!$L$191-Driver!$K$191)</f>
        <v/>
      </c>
      <c r="AU838" s="108">
        <f>(BG838-Driver!$K$192)/(Driver!$L$192-Driver!$K$192)</f>
        <v/>
      </c>
      <c r="AV838" s="105">
        <f>IFERROR(BM838*BJ838^1/4,"")</f>
        <v/>
      </c>
      <c r="AW838" s="105">
        <f>IFERROR(SUM(AX838:AZ838),"")</f>
        <v/>
      </c>
      <c r="AX838" s="105">
        <f>IFERROR(BH838,"")</f>
        <v/>
      </c>
      <c r="AY838" s="105">
        <f>IFERROR(Driver!$K$19/Data!BH838/Data!BI838*Data!BK838*Data!BL838,"")</f>
        <v/>
      </c>
      <c r="AZ838" s="105">
        <f>IFERROR(BI838*BN838,"")</f>
        <v/>
      </c>
      <c r="BA838" s="105" t="n"/>
      <c r="BB838" s="105" t="n"/>
      <c r="BC838" s="105">
        <f>IFERROR(BI838*BN838*BK838/BJ838^(1/2),"")</f>
        <v/>
      </c>
      <c r="BD838" s="105">
        <f>IFERROR(BH838*BM838*BL838/BJ838/BK838,"")</f>
        <v/>
      </c>
      <c r="BE838" s="105">
        <f>IFERROR(MIN(BI838/BQ838/BP838/BO838/BH838,$BE$1),"")</f>
        <v/>
      </c>
      <c r="BF838" s="105">
        <f>IFERROR(BJ838*BO838*BP838/BK838,"")</f>
        <v/>
      </c>
      <c r="BG838" s="105">
        <f>IFERROR(1/BM838/BH838*BQ838,"")</f>
        <v/>
      </c>
      <c r="BH838" s="102">
        <f>MAX((CE838-Driver!$F$200)/(Driver!$G$200-Driver!$F$200)*$BI$1,1)</f>
        <v/>
      </c>
      <c r="BI838" s="102">
        <f>MAX($BI$1*(BY838-Driver!$F$201)/(Driver!$G$201-Driver!$F$201),1)</f>
        <v/>
      </c>
      <c r="BJ838" s="102">
        <f>(CB838-Driver!$F$206)/(Driver!$G$206-Driver!$F$206)*$BI$1</f>
        <v/>
      </c>
      <c r="BK838" s="102">
        <f>(CD838-Driver!$F$203)/(Driver!$G$203-Driver!$F$203)*$BI$1</f>
        <v/>
      </c>
      <c r="BL838" s="102">
        <f>MAX((CR838-Driver!$F$202)/(Driver!$G$202-Driver!$F$202)*$BI$1,1)</f>
        <v/>
      </c>
      <c r="BM838" s="102">
        <f>MAX((CH838-Driver!$F$204)/(Driver!$G$204-Driver!$F$204)*$BI$1,1)</f>
        <v/>
      </c>
      <c r="BN838" s="102">
        <f>(CI838-Driver!$F$205)/(Driver!$G$205-Driver!$F$205)*$BI$1</f>
        <v/>
      </c>
      <c r="BO838" s="102">
        <f>(CK838-Driver!$F$207)/(Driver!$G$207-Driver!$F$207)*$BI$1</f>
        <v/>
      </c>
      <c r="BP838" s="102">
        <f>(CM838-Driver!$F$208)/(Driver!$G$208-Driver!$F$208)*$BI$1</f>
        <v/>
      </c>
      <c r="BQ838" s="102">
        <f>(CL838-Driver!$F$209)/(Driver!$G$209-Driver!$F$209)*$BI$1</f>
        <v/>
      </c>
      <c r="BR838" s="40" t="inlineStr">
        <is>
          <t>21/22</t>
        </is>
      </c>
      <c r="BS838" s="10" t="inlineStr">
        <is>
          <t xml:space="preserve"> Fischer</t>
        </is>
      </c>
      <c r="BT838" s="11" t="inlineStr">
        <is>
          <t>Ranger 102 FR W</t>
        </is>
      </c>
      <c r="BU838" s="13" t="n">
        <v>191</v>
      </c>
      <c r="BV838" s="11" t="inlineStr">
        <is>
          <t xml:space="preserve"> Women's</t>
        </is>
      </c>
      <c r="BW838" s="13" t="n">
        <v>191</v>
      </c>
      <c r="BX838" s="13" t="n">
        <v>190.3</v>
      </c>
      <c r="BY838" s="13" t="n">
        <v>131</v>
      </c>
      <c r="BZ838" s="13" t="n">
        <v>157</v>
      </c>
      <c r="CA838" s="13" t="n">
        <v>137</v>
      </c>
      <c r="CB838" s="13" t="n">
        <v>103</v>
      </c>
      <c r="CC838" s="13" t="n">
        <v>127</v>
      </c>
      <c r="CD838" s="13" t="n">
        <v>17.7</v>
      </c>
      <c r="CE838" s="13" t="n">
        <v>2039</v>
      </c>
      <c r="CF838" s="13" t="n">
        <v>1.08</v>
      </c>
      <c r="CG838" s="13" t="n">
        <v>2205</v>
      </c>
      <c r="CH838" s="13" t="n">
        <v>247</v>
      </c>
      <c r="CI838" s="13" t="n">
        <v>126</v>
      </c>
      <c r="CJ838" s="13" t="n">
        <v>49</v>
      </c>
      <c r="CK838" s="13" t="n">
        <v>379</v>
      </c>
      <c r="CL838" s="13" t="n">
        <v>27</v>
      </c>
      <c r="CM838" s="13" t="n">
        <v>212</v>
      </c>
      <c r="CN838" s="13" t="n">
        <v>0.551</v>
      </c>
      <c r="CO838" s="13" t="n">
        <v>174</v>
      </c>
      <c r="CP838" s="13" t="n">
        <v>155</v>
      </c>
      <c r="CQ838" s="13" t="n">
        <v>205</v>
      </c>
      <c r="CR838" s="13" t="n">
        <v>7</v>
      </c>
      <c r="CS838" s="13" t="n">
        <v>10.7</v>
      </c>
      <c r="CT838" s="11" t="inlineStr">
        <is>
          <t xml:space="preserve"> Resort Freeride</t>
        </is>
      </c>
      <c r="CU838" s="11" t="inlineStr">
        <is>
          <t xml:space="preserve"> Powder</t>
        </is>
      </c>
      <c r="CV838" s="11" t="inlineStr">
        <is>
          <t xml:space="preserve"> Touring</t>
        </is>
      </c>
      <c r="CW838" s="13" t="n"/>
      <c r="CX838">
        <f>INDEX('Data_Price '!AG$2:AG$1266,MATCH(Data!$DN838,'Data_Price '!$AT$2:$AT$1266,0))</f>
        <v/>
      </c>
      <c r="CY838">
        <f>INDEX('Data_Price '!AH$2:AH$1266,MATCH(Data!$DN838,'Data_Price '!$AT$2:$AT$1266,0))</f>
        <v/>
      </c>
      <c r="CZ838">
        <f>INDEX('Data_Price '!AI$2:AI$1266,MATCH(Data!$DN838,'Data_Price '!$AT$2:$AT$1266,0))</f>
        <v/>
      </c>
      <c r="DA838">
        <f>INDEX('Data_Price '!AJ$2:AJ$1266,MATCH(Data!$DN838,'Data_Price '!$AT$2:$AT$1266,0))</f>
        <v/>
      </c>
      <c r="DB838">
        <f>INDEX('Data_Price '!AK$2:AK$1266,MATCH(Data!$DN838,'Data_Price '!$AT$2:$AT$1266,0))</f>
        <v/>
      </c>
      <c r="DC838">
        <f>INDEX('Data_Price '!AL$2:AL$1266,MATCH(Data!$DN838,'Data_Price '!$AT$2:$AT$1266,0))</f>
        <v/>
      </c>
      <c r="DD838">
        <f>INDEX('Data_Price '!AM$2:AM$1266,MATCH(Data!$DN838,'Data_Price '!$AT$2:$AT$1266,0))</f>
        <v/>
      </c>
      <c r="DE838">
        <f>INDEX('Data_Price '!AN$2:AN$1266,MATCH(Data!$DN838,'Data_Price '!$AT$2:$AT$1266,0))</f>
        <v/>
      </c>
      <c r="DF838">
        <f>INDEX('Data_Price '!AO$2:AO$1266,MATCH(Data!$DN838,'Data_Price '!$AT$2:$AT$1266,0))</f>
        <v/>
      </c>
      <c r="DG838">
        <f>INDEX('Data_Price '!AP$2:AP$1266,MATCH(Data!$DN838,'Data_Price '!$AT$2:$AT$1266,0))</f>
        <v/>
      </c>
      <c r="DH838">
        <f>INDEX('Data_Price '!AQ$2:AQ$1266,MATCH(Data!$DN838,'Data_Price '!$AT$2:$AT$1266,0))</f>
        <v/>
      </c>
      <c r="DI838">
        <f>INDEX('Data_Price '!AR$2:AR$1266,MATCH(Data!$DN838,'Data_Price '!$AT$2:$AT$1266,0))</f>
        <v/>
      </c>
      <c r="DJ838" s="138">
        <f>DA838</f>
        <v/>
      </c>
      <c r="DK838" s="138">
        <f>DE838</f>
        <v/>
      </c>
      <c r="DL838" s="138">
        <f>DI838</f>
        <v/>
      </c>
      <c r="DM838" s="303">
        <f>IF(LEFT(BT838,1)=" ",RIGHT(BT838,LEN(BT838)-1),BT838)</f>
        <v/>
      </c>
      <c r="DN838" s="138">
        <f>_xlfn.CONCAT(BS838,DM838,BU838,BV838)</f>
        <v/>
      </c>
      <c r="DO838" s="307" t="n"/>
    </row>
    <row r="839" ht="15.6" customHeight="1" s="184">
      <c r="B839" s="303">
        <f t="array" ref="B839">IF(OR(ISERROR(K839:P839)),FALSE,TRUE)</f>
        <v/>
      </c>
      <c r="C839" s="60">
        <f>OR(BR839=Driver!$G$50,Data!BR1178=Driver!$H$50)</f>
        <v/>
      </c>
      <c r="D839" s="60">
        <f>OR(BV839=Driver!$G$51,BV839=Driver!$H$51)</f>
        <v/>
      </c>
      <c r="E839" s="60">
        <f>AND(BX839&gt;Driver!$F$54,BX839&lt;Driver!$G$54)</f>
        <v/>
      </c>
      <c r="F839" s="60">
        <f>CL839&gt;Driver!$F$56</f>
        <v/>
      </c>
      <c r="G839" s="60">
        <f>AND(CB839&gt;Driver!$F$55,CB839&lt;Driver!$G$55)</f>
        <v/>
      </c>
      <c r="H839" s="60">
        <f>AND(B839:G839)</f>
        <v/>
      </c>
      <c r="I839" s="60">
        <f>COUNTIFS($H$9:$H$1273,TRUE,$BT$9:$BT$1273,BT839)</f>
        <v/>
      </c>
      <c r="J839" s="60">
        <f t="array" ref="J839">NOT(OR(($H$9:$H$1273=TRUE)*($I$9:$I$1273&gt;0)*($BT$9:$BT$1273=BT839)*($K$9:$K$1273&gt;K839)))</f>
        <v/>
      </c>
      <c r="K839" s="108">
        <f>IFERROR(1-AVERAGE(X839:Y839),"")</f>
        <v/>
      </c>
      <c r="L839" s="108">
        <f>1-X839</f>
        <v/>
      </c>
      <c r="M839" s="108">
        <f>1-Y839</f>
        <v/>
      </c>
      <c r="N839" s="108">
        <f>1-Z839</f>
        <v/>
      </c>
      <c r="O839" s="108">
        <f>1-AA839</f>
        <v/>
      </c>
      <c r="P839" s="108">
        <f>1-AB839</f>
        <v/>
      </c>
      <c r="Q839" s="108" t="n"/>
      <c r="R839" s="108" t="n"/>
      <c r="S839" s="108">
        <f>1-AE839</f>
        <v/>
      </c>
      <c r="T839" s="108">
        <f>1-AF839</f>
        <v/>
      </c>
      <c r="U839" s="108">
        <f>1-AG839</f>
        <v/>
      </c>
      <c r="V839" s="108">
        <f>1-AH839</f>
        <v/>
      </c>
      <c r="W839" s="108">
        <f>1-AI839</f>
        <v/>
      </c>
      <c r="X839" s="108">
        <f>ABS(AJ839-AJ$1)</f>
        <v/>
      </c>
      <c r="Y839" s="108">
        <f>AVERAGE(Z839:AB839)</f>
        <v/>
      </c>
      <c r="Z839" s="108">
        <f>ABS(AL839-AL$1)</f>
        <v/>
      </c>
      <c r="AA839" s="108">
        <f>ABS(AM839-AM$1)</f>
        <v/>
      </c>
      <c r="AB839" s="108">
        <f>ABS(AN839-AN$1)</f>
        <v/>
      </c>
      <c r="AC839" s="108" t="n"/>
      <c r="AD839" s="108" t="n"/>
      <c r="AE839" s="108">
        <f>ABS(AQ$1-AQ839)</f>
        <v/>
      </c>
      <c r="AF839" s="108">
        <f>ABS(AR$1-AR839)</f>
        <v/>
      </c>
      <c r="AG839" s="108">
        <f>ABS(AS$1-AS839)</f>
        <v/>
      </c>
      <c r="AH839" s="108">
        <f>ABS(AT$1-AT839)</f>
        <v/>
      </c>
      <c r="AI839" s="108">
        <f>ABS(AU$1-AU839)</f>
        <v/>
      </c>
      <c r="AJ839" s="108">
        <f>(AV839-Driver!$K$179)/(Driver!$L$179-Driver!$K$179)</f>
        <v/>
      </c>
      <c r="AK839" s="108">
        <f>(AW839-Driver!$K$180)/(Driver!$L$180-Driver!$K$180)</f>
        <v/>
      </c>
      <c r="AL839" s="108">
        <f>(AX839-Driver!$K$181)/(Driver!$L$181-Driver!$K$181)</f>
        <v/>
      </c>
      <c r="AM839" s="108">
        <f>(AY839-Driver!$K$182)/(Driver!$L$182-Driver!$K$182)</f>
        <v/>
      </c>
      <c r="AN839" s="108">
        <f>(AZ839-Driver!$K$183)/(Driver!$L$183-Driver!$K$183)</f>
        <v/>
      </c>
      <c r="AO839" s="108" t="n"/>
      <c r="AP839" s="108" t="n"/>
      <c r="AQ839" s="108">
        <f>(BC839-Driver!$K$188)/(Driver!$L$188-Driver!$K$188)</f>
        <v/>
      </c>
      <c r="AR839" s="108">
        <f>MIN((BD839-Driver!$K$189)/(Driver!$L$189-Driver!$K$189),100%)</f>
        <v/>
      </c>
      <c r="AS839" s="108">
        <f>(BE839-Driver!$K$190)/(Driver!$L$190-Driver!$K$190)</f>
        <v/>
      </c>
      <c r="AT839" s="108">
        <f>(BF839-Driver!$K$191)/(Driver!$L$191-Driver!$K$191)</f>
        <v/>
      </c>
      <c r="AU839" s="108">
        <f>(BG839-Driver!$K$192)/(Driver!$L$192-Driver!$K$192)</f>
        <v/>
      </c>
      <c r="AV839" s="105">
        <f>IFERROR(BM839*BJ839^1/4,"")</f>
        <v/>
      </c>
      <c r="AW839" s="105">
        <f>IFERROR(SUM(AX839:AZ839),"")</f>
        <v/>
      </c>
      <c r="AX839" s="105">
        <f>IFERROR(BH839,"")</f>
        <v/>
      </c>
      <c r="AY839" s="105">
        <f>IFERROR(Driver!$K$19/Data!BH839/Data!BI839*Data!BK839*Data!BL839,"")</f>
        <v/>
      </c>
      <c r="AZ839" s="105">
        <f>IFERROR(BI839*BN839,"")</f>
        <v/>
      </c>
      <c r="BA839" s="105" t="n"/>
      <c r="BB839" s="105" t="n"/>
      <c r="BC839" s="105">
        <f>IFERROR(BI839*BN839*BK839/BJ839^(1/2),"")</f>
        <v/>
      </c>
      <c r="BD839" s="105">
        <f>IFERROR(BH839*BM839*BL839/BJ839/BK839,"")</f>
        <v/>
      </c>
      <c r="BE839" s="105">
        <f>IFERROR(MIN(BI839/BQ839/BP839/BO839/BH839,$BE$1),"")</f>
        <v/>
      </c>
      <c r="BF839" s="105">
        <f>IFERROR(BJ839*BO839*BP839/BK839,"")</f>
        <v/>
      </c>
      <c r="BG839" s="105">
        <f>IFERROR(1/BM839/BH839*BQ839,"")</f>
        <v/>
      </c>
      <c r="BH839" s="102">
        <f>MAX((CE839-Driver!$F$200)/(Driver!$G$200-Driver!$F$200)*$BI$1,1)</f>
        <v/>
      </c>
      <c r="BI839" s="102">
        <f>MAX($BI$1*(BY839-Driver!$F$201)/(Driver!$G$201-Driver!$F$201),1)</f>
        <v/>
      </c>
      <c r="BJ839" s="102">
        <f>(CB839-Driver!$F$206)/(Driver!$G$206-Driver!$F$206)*$BI$1</f>
        <v/>
      </c>
      <c r="BK839" s="102">
        <f>(CD839-Driver!$F$203)/(Driver!$G$203-Driver!$F$203)*$BI$1</f>
        <v/>
      </c>
      <c r="BL839" s="102">
        <f>MAX((CR839-Driver!$F$202)/(Driver!$G$202-Driver!$F$202)*$BI$1,1)</f>
        <v/>
      </c>
      <c r="BM839" s="102">
        <f>MAX((CH839-Driver!$F$204)/(Driver!$G$204-Driver!$F$204)*$BI$1,1)</f>
        <v/>
      </c>
      <c r="BN839" s="102">
        <f>(CI839-Driver!$F$205)/(Driver!$G$205-Driver!$F$205)*$BI$1</f>
        <v/>
      </c>
      <c r="BO839" s="102">
        <f>(CK839-Driver!$F$207)/(Driver!$G$207-Driver!$F$207)*$BI$1</f>
        <v/>
      </c>
      <c r="BP839" s="102">
        <f>(CM839-Driver!$F$208)/(Driver!$G$208-Driver!$F$208)*$BI$1</f>
        <v/>
      </c>
      <c r="BQ839" s="102">
        <f>(CL839-Driver!$F$209)/(Driver!$G$209-Driver!$F$209)*$BI$1</f>
        <v/>
      </c>
      <c r="BR839" s="40" t="inlineStr">
        <is>
          <t>21/22</t>
        </is>
      </c>
      <c r="BS839" s="10" t="inlineStr">
        <is>
          <t xml:space="preserve"> Völkl</t>
        </is>
      </c>
      <c r="BT839" s="11" t="inlineStr">
        <is>
          <t>Blaze 94 W</t>
        </is>
      </c>
      <c r="BU839" s="13" t="n">
        <v>165</v>
      </c>
      <c r="BV839" s="11" t="inlineStr">
        <is>
          <t xml:space="preserve"> Women's</t>
        </is>
      </c>
      <c r="BW839" s="13" t="n">
        <v>165</v>
      </c>
      <c r="BX839" s="13" t="n">
        <v>164.5</v>
      </c>
      <c r="BY839" s="13" t="n">
        <v>75</v>
      </c>
      <c r="BZ839" s="13" t="n">
        <v>140</v>
      </c>
      <c r="CA839" s="13" t="n">
        <v>133</v>
      </c>
      <c r="CB839" s="13" t="n">
        <v>93</v>
      </c>
      <c r="CC839" s="13" t="n">
        <v>115</v>
      </c>
      <c r="CD839" s="13" t="n">
        <v>15.1</v>
      </c>
      <c r="CE839" s="13" t="n">
        <v>1458</v>
      </c>
      <c r="CF839" s="13" t="n">
        <v>1.19</v>
      </c>
      <c r="CG839" s="13" t="n">
        <v>1740</v>
      </c>
      <c r="CH839" s="13" t="n">
        <v>177</v>
      </c>
      <c r="CI839" s="13" t="n">
        <v>86</v>
      </c>
      <c r="CJ839" s="13" t="n">
        <v>53</v>
      </c>
      <c r="CK839" s="13" t="n">
        <v>532</v>
      </c>
      <c r="CL839" s="13" t="n">
        <v>23</v>
      </c>
      <c r="CM839" s="13" t="n">
        <v>360</v>
      </c>
      <c r="CN839" s="13" t="n">
        <v>0.429</v>
      </c>
      <c r="CO839" s="13" t="n">
        <v>140</v>
      </c>
      <c r="CP839" s="13" t="n">
        <v>101</v>
      </c>
      <c r="CQ839" s="13" t="n">
        <v>391</v>
      </c>
      <c r="CR839" s="13" t="n">
        <v>1</v>
      </c>
      <c r="CS839" s="13" t="n">
        <v>11.9</v>
      </c>
      <c r="CT839" s="11" t="inlineStr">
        <is>
          <t xml:space="preserve"> Resort Freeride</t>
        </is>
      </c>
      <c r="CU839" s="11" t="inlineStr">
        <is>
          <t xml:space="preserve"> Touring</t>
        </is>
      </c>
      <c r="CV839" s="13" t="n"/>
      <c r="CW839" s="13" t="n"/>
      <c r="CX839">
        <f>INDEX('Data_Price '!AG$2:AG$1266,MATCH(Data!$DN839,'Data_Price '!$AT$2:$AT$1266,0))</f>
        <v/>
      </c>
      <c r="CY839">
        <f>INDEX('Data_Price '!AH$2:AH$1266,MATCH(Data!$DN839,'Data_Price '!$AT$2:$AT$1266,0))</f>
        <v/>
      </c>
      <c r="CZ839">
        <f>INDEX('Data_Price '!AI$2:AI$1266,MATCH(Data!$DN839,'Data_Price '!$AT$2:$AT$1266,0))</f>
        <v/>
      </c>
      <c r="DA839">
        <f>INDEX('Data_Price '!AJ$2:AJ$1266,MATCH(Data!$DN839,'Data_Price '!$AT$2:$AT$1266,0))</f>
        <v/>
      </c>
      <c r="DB839">
        <f>INDEX('Data_Price '!AK$2:AK$1266,MATCH(Data!$DN839,'Data_Price '!$AT$2:$AT$1266,0))</f>
        <v/>
      </c>
      <c r="DC839">
        <f>INDEX('Data_Price '!AL$2:AL$1266,MATCH(Data!$DN839,'Data_Price '!$AT$2:$AT$1266,0))</f>
        <v/>
      </c>
      <c r="DD839">
        <f>INDEX('Data_Price '!AM$2:AM$1266,MATCH(Data!$DN839,'Data_Price '!$AT$2:$AT$1266,0))</f>
        <v/>
      </c>
      <c r="DE839">
        <f>INDEX('Data_Price '!AN$2:AN$1266,MATCH(Data!$DN839,'Data_Price '!$AT$2:$AT$1266,0))</f>
        <v/>
      </c>
      <c r="DF839">
        <f>INDEX('Data_Price '!AO$2:AO$1266,MATCH(Data!$DN839,'Data_Price '!$AT$2:$AT$1266,0))</f>
        <v/>
      </c>
      <c r="DG839">
        <f>INDEX('Data_Price '!AP$2:AP$1266,MATCH(Data!$DN839,'Data_Price '!$AT$2:$AT$1266,0))</f>
        <v/>
      </c>
      <c r="DH839">
        <f>INDEX('Data_Price '!AQ$2:AQ$1266,MATCH(Data!$DN839,'Data_Price '!$AT$2:$AT$1266,0))</f>
        <v/>
      </c>
      <c r="DI839">
        <f>INDEX('Data_Price '!AR$2:AR$1266,MATCH(Data!$DN839,'Data_Price '!$AT$2:$AT$1266,0))</f>
        <v/>
      </c>
      <c r="DJ839" s="138">
        <f>DA839</f>
        <v/>
      </c>
      <c r="DK839" s="138">
        <f>DE839</f>
        <v/>
      </c>
      <c r="DL839" s="138">
        <f>DI839</f>
        <v/>
      </c>
      <c r="DM839" s="303">
        <f>IF(LEFT(BT839,1)=" ",RIGHT(BT839,LEN(BT839)-1),BT839)</f>
        <v/>
      </c>
      <c r="DN839" s="138">
        <f>_xlfn.CONCAT(BS839,DM839,BU839,BV839)</f>
        <v/>
      </c>
      <c r="DO839" s="307" t="inlineStr">
        <is>
          <t>https://images.evo.com/imgp/250/208356/837603/clone.jpg</t>
        </is>
      </c>
    </row>
    <row r="840" ht="15.6" customHeight="1" s="184">
      <c r="B840" s="303">
        <f t="array" ref="B840">IF(OR(ISERROR(K840:P840)),FALSE,TRUE)</f>
        <v/>
      </c>
      <c r="C840" s="60">
        <f>OR(BR840=Driver!$G$50,Data!BR1132=Driver!$H$50)</f>
        <v/>
      </c>
      <c r="D840" s="60">
        <f>OR(BV840=Driver!$G$51,BV840=Driver!$H$51)</f>
        <v/>
      </c>
      <c r="E840" s="60">
        <f>AND(BX840&gt;Driver!$F$54,BX840&lt;Driver!$G$54)</f>
        <v/>
      </c>
      <c r="F840" s="60">
        <f>CL840&gt;Driver!$F$56</f>
        <v/>
      </c>
      <c r="G840" s="60">
        <f>AND(CB840&gt;Driver!$F$55,CB840&lt;Driver!$G$55)</f>
        <v/>
      </c>
      <c r="H840" s="60">
        <f>AND(B840:G840)</f>
        <v/>
      </c>
      <c r="I840" s="60">
        <f>COUNTIFS($H$9:$H$1273,TRUE,$BT$9:$BT$1273,BT840)</f>
        <v/>
      </c>
      <c r="J840" s="60">
        <f t="array" ref="J840">NOT(OR(($H$9:$H$1273=TRUE)*($I$9:$I$1273&gt;0)*($BT$9:$BT$1273=BT840)*($K$9:$K$1273&gt;K840)))</f>
        <v/>
      </c>
      <c r="K840" s="108">
        <f>IFERROR(1-AVERAGE(X840:Y840),"")</f>
        <v/>
      </c>
      <c r="L840" s="108">
        <f>1-X840</f>
        <v/>
      </c>
      <c r="M840" s="108">
        <f>1-Y840</f>
        <v/>
      </c>
      <c r="N840" s="108">
        <f>1-Z840</f>
        <v/>
      </c>
      <c r="O840" s="108">
        <f>1-AA840</f>
        <v/>
      </c>
      <c r="P840" s="108">
        <f>1-AB840</f>
        <v/>
      </c>
      <c r="Q840" s="108" t="n"/>
      <c r="R840" s="108" t="n"/>
      <c r="S840" s="108">
        <f>1-AE840</f>
        <v/>
      </c>
      <c r="T840" s="108">
        <f>1-AF840</f>
        <v/>
      </c>
      <c r="U840" s="108">
        <f>1-AG840</f>
        <v/>
      </c>
      <c r="V840" s="108">
        <f>1-AH840</f>
        <v/>
      </c>
      <c r="W840" s="108">
        <f>1-AI840</f>
        <v/>
      </c>
      <c r="X840" s="108">
        <f>ABS(AJ840-AJ$1)</f>
        <v/>
      </c>
      <c r="Y840" s="108">
        <f>AVERAGE(Z840:AB840)</f>
        <v/>
      </c>
      <c r="Z840" s="108">
        <f>ABS(AL840-AL$1)</f>
        <v/>
      </c>
      <c r="AA840" s="108">
        <f>ABS(AM840-AM$1)</f>
        <v/>
      </c>
      <c r="AB840" s="108">
        <f>ABS(AN840-AN$1)</f>
        <v/>
      </c>
      <c r="AC840" s="108" t="n"/>
      <c r="AD840" s="108" t="n"/>
      <c r="AE840" s="108">
        <f>ABS(AQ$1-AQ840)</f>
        <v/>
      </c>
      <c r="AF840" s="108">
        <f>ABS(AR$1-AR840)</f>
        <v/>
      </c>
      <c r="AG840" s="108">
        <f>ABS(AS$1-AS840)</f>
        <v/>
      </c>
      <c r="AH840" s="108">
        <f>ABS(AT$1-AT840)</f>
        <v/>
      </c>
      <c r="AI840" s="108">
        <f>ABS(AU$1-AU840)</f>
        <v/>
      </c>
      <c r="AJ840" s="108">
        <f>(AV840-Driver!$K$179)/(Driver!$L$179-Driver!$K$179)</f>
        <v/>
      </c>
      <c r="AK840" s="108">
        <f>(AW840-Driver!$K$180)/(Driver!$L$180-Driver!$K$180)</f>
        <v/>
      </c>
      <c r="AL840" s="108">
        <f>(AX840-Driver!$K$181)/(Driver!$L$181-Driver!$K$181)</f>
        <v/>
      </c>
      <c r="AM840" s="108">
        <f>(AY840-Driver!$K$182)/(Driver!$L$182-Driver!$K$182)</f>
        <v/>
      </c>
      <c r="AN840" s="108">
        <f>(AZ840-Driver!$K$183)/(Driver!$L$183-Driver!$K$183)</f>
        <v/>
      </c>
      <c r="AO840" s="108" t="n"/>
      <c r="AP840" s="108" t="n"/>
      <c r="AQ840" s="108">
        <f>(BC840-Driver!$K$188)/(Driver!$L$188-Driver!$K$188)</f>
        <v/>
      </c>
      <c r="AR840" s="108">
        <f>MIN((BD840-Driver!$K$189)/(Driver!$L$189-Driver!$K$189),100%)</f>
        <v/>
      </c>
      <c r="AS840" s="108">
        <f>(BE840-Driver!$K$190)/(Driver!$L$190-Driver!$K$190)</f>
        <v/>
      </c>
      <c r="AT840" s="108">
        <f>(BF840-Driver!$K$191)/(Driver!$L$191-Driver!$K$191)</f>
        <v/>
      </c>
      <c r="AU840" s="108">
        <f>(BG840-Driver!$K$192)/(Driver!$L$192-Driver!$K$192)</f>
        <v/>
      </c>
      <c r="AV840" s="105">
        <f>IFERROR(BM840*BJ840^1/4,"")</f>
        <v/>
      </c>
      <c r="AW840" s="105">
        <f>IFERROR(SUM(AX840:AZ840),"")</f>
        <v/>
      </c>
      <c r="AX840" s="105">
        <f>IFERROR(BH840,"")</f>
        <v/>
      </c>
      <c r="AY840" s="105">
        <f>IFERROR(Driver!$K$19/Data!BH840/Data!BI840*Data!BK840*Data!BL840,"")</f>
        <v/>
      </c>
      <c r="AZ840" s="105">
        <f>IFERROR(BI840*BN840,"")</f>
        <v/>
      </c>
      <c r="BA840" s="105" t="n"/>
      <c r="BB840" s="105" t="n"/>
      <c r="BC840" s="105">
        <f>IFERROR(BI840*BN840*BK840/BJ840^(1/2),"")</f>
        <v/>
      </c>
      <c r="BD840" s="105">
        <f>IFERROR(BH840*BM840*BL840/BJ840/BK840,"")</f>
        <v/>
      </c>
      <c r="BE840" s="105">
        <f>IFERROR(MIN(BI840/BQ840/BP840/BO840/BH840,$BE$1),"")</f>
        <v/>
      </c>
      <c r="BF840" s="105">
        <f>IFERROR(BJ840*BO840*BP840/BK840,"")</f>
        <v/>
      </c>
      <c r="BG840" s="105">
        <f>IFERROR(1/BM840/BH840*BQ840,"")</f>
        <v/>
      </c>
      <c r="BH840" s="102">
        <f>MAX((CE840-Driver!$F$200)/(Driver!$G$200-Driver!$F$200)*$BI$1,1)</f>
        <v/>
      </c>
      <c r="BI840" s="102">
        <f>MAX($BI$1*(BY840-Driver!$F$201)/(Driver!$G$201-Driver!$F$201),1)</f>
        <v/>
      </c>
      <c r="BJ840" s="102">
        <f>(CB840-Driver!$F$206)/(Driver!$G$206-Driver!$F$206)*$BI$1</f>
        <v/>
      </c>
      <c r="BK840" s="102">
        <f>(CD840-Driver!$F$203)/(Driver!$G$203-Driver!$F$203)*$BI$1</f>
        <v/>
      </c>
      <c r="BL840" s="102">
        <f>MAX((CR840-Driver!$F$202)/(Driver!$G$202-Driver!$F$202)*$BI$1,1)</f>
        <v/>
      </c>
      <c r="BM840" s="102">
        <f>MAX((CH840-Driver!$F$204)/(Driver!$G$204-Driver!$F$204)*$BI$1,1)</f>
        <v/>
      </c>
      <c r="BN840" s="102">
        <f>(CI840-Driver!$F$205)/(Driver!$G$205-Driver!$F$205)*$BI$1</f>
        <v/>
      </c>
      <c r="BO840" s="102">
        <f>(CK840-Driver!$F$207)/(Driver!$G$207-Driver!$F$207)*$BI$1</f>
        <v/>
      </c>
      <c r="BP840" s="102">
        <f>(CM840-Driver!$F$208)/(Driver!$G$208-Driver!$F$208)*$BI$1</f>
        <v/>
      </c>
      <c r="BQ840" s="102">
        <f>(CL840-Driver!$F$209)/(Driver!$G$209-Driver!$F$209)*$BI$1</f>
        <v/>
      </c>
      <c r="BR840" s="40" t="inlineStr">
        <is>
          <t>21/22</t>
        </is>
      </c>
      <c r="BS840" s="10" t="inlineStr">
        <is>
          <t xml:space="preserve"> Stöckli</t>
        </is>
      </c>
      <c r="BT840" s="11" t="inlineStr">
        <is>
          <t xml:space="preserve"> Laser SC</t>
        </is>
      </c>
      <c r="BU840" s="13" t="n">
        <v>170</v>
      </c>
      <c r="BV840" s="11" t="inlineStr">
        <is>
          <t xml:space="preserve"> Unisex</t>
        </is>
      </c>
      <c r="BW840" s="13" t="n">
        <v>170</v>
      </c>
      <c r="BX840" s="13" t="n">
        <v>168.7</v>
      </c>
      <c r="BY840" s="13" t="n">
        <v>148</v>
      </c>
      <c r="BZ840" s="13" t="n">
        <v>156</v>
      </c>
      <c r="CA840" s="13" t="n">
        <v>122</v>
      </c>
      <c r="CB840" s="13" t="n">
        <v>71</v>
      </c>
      <c r="CC840" s="13" t="n">
        <v>103</v>
      </c>
      <c r="CD840" s="13" t="n">
        <v>14.7</v>
      </c>
      <c r="CE840" s="13" t="n">
        <v>1818</v>
      </c>
      <c r="CF840" s="13" t="n">
        <v>0.8</v>
      </c>
      <c r="CG840" s="13" t="n">
        <v>1463</v>
      </c>
      <c r="CH840" s="13" t="n">
        <v>206</v>
      </c>
      <c r="CI840" s="13" t="n">
        <v>114</v>
      </c>
      <c r="CJ840" s="13" t="n">
        <v>39</v>
      </c>
      <c r="CK840" s="13" t="n">
        <v>146</v>
      </c>
      <c r="CL840" s="13" t="n">
        <v>6</v>
      </c>
      <c r="CM840" s="13" t="n">
        <v>61</v>
      </c>
      <c r="CN840" s="13" t="n">
        <v>0.142</v>
      </c>
      <c r="CO840" s="13" t="n">
        <v>72</v>
      </c>
      <c r="CP840" s="13" t="n">
        <v>57</v>
      </c>
      <c r="CQ840" s="13" t="n">
        <v>74</v>
      </c>
      <c r="CR840" s="13" t="n">
        <v>8</v>
      </c>
      <c r="CS840" s="13" t="n">
        <v>12.2</v>
      </c>
      <c r="CT840" s="11" t="inlineStr">
        <is>
          <t xml:space="preserve"> On-Piste Carving</t>
        </is>
      </c>
      <c r="CU840" s="13" t="n"/>
      <c r="CV840" s="13" t="n"/>
      <c r="CW840" s="13" t="n"/>
      <c r="CX840">
        <f>INDEX('Data_Price '!AG$2:AG$1266,MATCH(Data!$DN840,'Data_Price '!$AT$2:$AT$1266,0))</f>
        <v/>
      </c>
      <c r="CY840">
        <f>INDEX('Data_Price '!AH$2:AH$1266,MATCH(Data!$DN840,'Data_Price '!$AT$2:$AT$1266,0))</f>
        <v/>
      </c>
      <c r="CZ840">
        <f>INDEX('Data_Price '!AI$2:AI$1266,MATCH(Data!$DN840,'Data_Price '!$AT$2:$AT$1266,0))</f>
        <v/>
      </c>
      <c r="DA840">
        <f>INDEX('Data_Price '!AJ$2:AJ$1266,MATCH(Data!$DN840,'Data_Price '!$AT$2:$AT$1266,0))</f>
        <v/>
      </c>
      <c r="DB840">
        <f>INDEX('Data_Price '!AK$2:AK$1266,MATCH(Data!$DN840,'Data_Price '!$AT$2:$AT$1266,0))</f>
        <v/>
      </c>
      <c r="DC840">
        <f>INDEX('Data_Price '!AL$2:AL$1266,MATCH(Data!$DN840,'Data_Price '!$AT$2:$AT$1266,0))</f>
        <v/>
      </c>
      <c r="DD840">
        <f>INDEX('Data_Price '!AM$2:AM$1266,MATCH(Data!$DN840,'Data_Price '!$AT$2:$AT$1266,0))</f>
        <v/>
      </c>
      <c r="DE840">
        <f>INDEX('Data_Price '!AN$2:AN$1266,MATCH(Data!$DN840,'Data_Price '!$AT$2:$AT$1266,0))</f>
        <v/>
      </c>
      <c r="DF840">
        <f>INDEX('Data_Price '!AO$2:AO$1266,MATCH(Data!$DN840,'Data_Price '!$AT$2:$AT$1266,0))</f>
        <v/>
      </c>
      <c r="DG840">
        <f>INDEX('Data_Price '!AP$2:AP$1266,MATCH(Data!$DN840,'Data_Price '!$AT$2:$AT$1266,0))</f>
        <v/>
      </c>
      <c r="DH840">
        <f>INDEX('Data_Price '!AQ$2:AQ$1266,MATCH(Data!$DN840,'Data_Price '!$AT$2:$AT$1266,0))</f>
        <v/>
      </c>
      <c r="DI840">
        <f>INDEX('Data_Price '!AR$2:AR$1266,MATCH(Data!$DN840,'Data_Price '!$AT$2:$AT$1266,0))</f>
        <v/>
      </c>
      <c r="DJ840" s="138">
        <f>DA840</f>
        <v/>
      </c>
      <c r="DK840" s="138">
        <f>DE840</f>
        <v/>
      </c>
      <c r="DL840" s="138">
        <f>DI840</f>
        <v/>
      </c>
      <c r="DM840" s="303">
        <f>IF(LEFT(BT840,1)=" ",RIGHT(BT840,LEN(BT840)-1),BT840)</f>
        <v/>
      </c>
      <c r="DN840" s="138">
        <f>_xlfn.CONCAT(BS840,DM840,BU840,BV840)</f>
        <v/>
      </c>
      <c r="DO840" s="307" t="n"/>
    </row>
    <row r="841" ht="15.6" customHeight="1" s="184">
      <c r="B841" s="303">
        <f t="array" ref="B841">IF(OR(ISERROR(K841:P841)),FALSE,TRUE)</f>
        <v/>
      </c>
      <c r="C841" s="60">
        <f>OR(BR841=Driver!$G$50,Data!BR1074=Driver!$H$50)</f>
        <v/>
      </c>
      <c r="D841" s="60">
        <f>OR(BV841=Driver!$G$51,BV841=Driver!$H$51)</f>
        <v/>
      </c>
      <c r="E841" s="60">
        <f>AND(BX841&gt;Driver!$F$54,BX841&lt;Driver!$G$54)</f>
        <v/>
      </c>
      <c r="F841" s="60">
        <f>CL841&gt;Driver!$F$56</f>
        <v/>
      </c>
      <c r="G841" s="60">
        <f>AND(CB841&gt;Driver!$F$55,CB841&lt;Driver!$G$55)</f>
        <v/>
      </c>
      <c r="H841" s="60">
        <f>AND(B841:G841)</f>
        <v/>
      </c>
      <c r="I841" s="60">
        <f>COUNTIFS($H$9:$H$1273,TRUE,$BT$9:$BT$1273,BT841)</f>
        <v/>
      </c>
      <c r="J841" s="60">
        <f t="array" ref="J841">NOT(OR(($H$9:$H$1273=TRUE)*($I$9:$I$1273&gt;0)*($BT$9:$BT$1273=BT841)*($K$9:$K$1273&gt;K841)))</f>
        <v/>
      </c>
      <c r="K841" s="108">
        <f>IFERROR(1-AVERAGE(X841:Y841),"")</f>
        <v/>
      </c>
      <c r="L841" s="108">
        <f>1-X841</f>
        <v/>
      </c>
      <c r="M841" s="108">
        <f>1-Y841</f>
        <v/>
      </c>
      <c r="N841" s="108">
        <f>1-Z841</f>
        <v/>
      </c>
      <c r="O841" s="108">
        <f>1-AA841</f>
        <v/>
      </c>
      <c r="P841" s="108">
        <f>1-AB841</f>
        <v/>
      </c>
      <c r="Q841" s="108" t="n"/>
      <c r="R841" s="108" t="n"/>
      <c r="S841" s="108">
        <f>1-AE841</f>
        <v/>
      </c>
      <c r="T841" s="108">
        <f>1-AF841</f>
        <v/>
      </c>
      <c r="U841" s="108">
        <f>1-AG841</f>
        <v/>
      </c>
      <c r="V841" s="108">
        <f>1-AH841</f>
        <v/>
      </c>
      <c r="W841" s="108">
        <f>1-AI841</f>
        <v/>
      </c>
      <c r="X841" s="108">
        <f>ABS(AJ841-AJ$1)</f>
        <v/>
      </c>
      <c r="Y841" s="108">
        <f>AVERAGE(Z841:AB841)</f>
        <v/>
      </c>
      <c r="Z841" s="108">
        <f>ABS(AL841-AL$1)</f>
        <v/>
      </c>
      <c r="AA841" s="108">
        <f>ABS(AM841-AM$1)</f>
        <v/>
      </c>
      <c r="AB841" s="108">
        <f>ABS(AN841-AN$1)</f>
        <v/>
      </c>
      <c r="AC841" s="108" t="n"/>
      <c r="AD841" s="108" t="n"/>
      <c r="AE841" s="108">
        <f>ABS(AQ$1-AQ841)</f>
        <v/>
      </c>
      <c r="AF841" s="108">
        <f>ABS(AR$1-AR841)</f>
        <v/>
      </c>
      <c r="AG841" s="108">
        <f>ABS(AS$1-AS841)</f>
        <v/>
      </c>
      <c r="AH841" s="108">
        <f>ABS(AT$1-AT841)</f>
        <v/>
      </c>
      <c r="AI841" s="108">
        <f>ABS(AU$1-AU841)</f>
        <v/>
      </c>
      <c r="AJ841" s="108">
        <f>(AV841-Driver!$K$179)/(Driver!$L$179-Driver!$K$179)</f>
        <v/>
      </c>
      <c r="AK841" s="108">
        <f>(AW841-Driver!$K$180)/(Driver!$L$180-Driver!$K$180)</f>
        <v/>
      </c>
      <c r="AL841" s="108">
        <f>(AX841-Driver!$K$181)/(Driver!$L$181-Driver!$K$181)</f>
        <v/>
      </c>
      <c r="AM841" s="108">
        <f>(AY841-Driver!$K$182)/(Driver!$L$182-Driver!$K$182)</f>
        <v/>
      </c>
      <c r="AN841" s="108">
        <f>(AZ841-Driver!$K$183)/(Driver!$L$183-Driver!$K$183)</f>
        <v/>
      </c>
      <c r="AO841" s="108" t="n"/>
      <c r="AP841" s="108" t="n"/>
      <c r="AQ841" s="108">
        <f>(BC841-Driver!$K$188)/(Driver!$L$188-Driver!$K$188)</f>
        <v/>
      </c>
      <c r="AR841" s="108">
        <f>MIN((BD841-Driver!$K$189)/(Driver!$L$189-Driver!$K$189),100%)</f>
        <v/>
      </c>
      <c r="AS841" s="108">
        <f>(BE841-Driver!$K$190)/(Driver!$L$190-Driver!$K$190)</f>
        <v/>
      </c>
      <c r="AT841" s="108">
        <f>(BF841-Driver!$K$191)/(Driver!$L$191-Driver!$K$191)</f>
        <v/>
      </c>
      <c r="AU841" s="108">
        <f>(BG841-Driver!$K$192)/(Driver!$L$192-Driver!$K$192)</f>
        <v/>
      </c>
      <c r="AV841" s="105">
        <f>IFERROR(BM841*BJ841^1/4,"")</f>
        <v/>
      </c>
      <c r="AW841" s="105">
        <f>IFERROR(SUM(AX841:AZ841),"")</f>
        <v/>
      </c>
      <c r="AX841" s="105">
        <f>IFERROR(BH841,"")</f>
        <v/>
      </c>
      <c r="AY841" s="105">
        <f>IFERROR(Driver!$K$19/Data!BH841/Data!BI841*Data!BK841*Data!BL841,"")</f>
        <v/>
      </c>
      <c r="AZ841" s="105">
        <f>IFERROR(BI841*BN841,"")</f>
        <v/>
      </c>
      <c r="BA841" s="105" t="n"/>
      <c r="BB841" s="105" t="n"/>
      <c r="BC841" s="105">
        <f>IFERROR(BI841*BN841*BK841/BJ841^(1/2),"")</f>
        <v/>
      </c>
      <c r="BD841" s="105">
        <f>IFERROR(BH841*BM841*BL841/BJ841/BK841,"")</f>
        <v/>
      </c>
      <c r="BE841" s="105">
        <f>IFERROR(MIN(BI841/BQ841/BP841/BO841/BH841,$BE$1),"")</f>
        <v/>
      </c>
      <c r="BF841" s="105">
        <f>IFERROR(BJ841*BO841*BP841/BK841,"")</f>
        <v/>
      </c>
      <c r="BG841" s="105">
        <f>IFERROR(1/BM841/BH841*BQ841,"")</f>
        <v/>
      </c>
      <c r="BH841" s="102">
        <f>MAX((CE841-Driver!$F$200)/(Driver!$G$200-Driver!$F$200)*$BI$1,1)</f>
        <v/>
      </c>
      <c r="BI841" s="102">
        <f>MAX($BI$1*(BY841-Driver!$F$201)/(Driver!$G$201-Driver!$F$201),1)</f>
        <v/>
      </c>
      <c r="BJ841" s="102">
        <f>(CB841-Driver!$F$206)/(Driver!$G$206-Driver!$F$206)*$BI$1</f>
        <v/>
      </c>
      <c r="BK841" s="102">
        <f>(CD841-Driver!$F$203)/(Driver!$G$203-Driver!$F$203)*$BI$1</f>
        <v/>
      </c>
      <c r="BL841" s="102">
        <f>MAX((CR841-Driver!$F$202)/(Driver!$G$202-Driver!$F$202)*$BI$1,1)</f>
        <v/>
      </c>
      <c r="BM841" s="102">
        <f>MAX((CH841-Driver!$F$204)/(Driver!$G$204-Driver!$F$204)*$BI$1,1)</f>
        <v/>
      </c>
      <c r="BN841" s="102">
        <f>(CI841-Driver!$F$205)/(Driver!$G$205-Driver!$F$205)*$BI$1</f>
        <v/>
      </c>
      <c r="BO841" s="102">
        <f>(CK841-Driver!$F$207)/(Driver!$G$207-Driver!$F$207)*$BI$1</f>
        <v/>
      </c>
      <c r="BP841" s="102">
        <f>(CM841-Driver!$F$208)/(Driver!$G$208-Driver!$F$208)*$BI$1</f>
        <v/>
      </c>
      <c r="BQ841" s="102">
        <f>(CL841-Driver!$F$209)/(Driver!$G$209-Driver!$F$209)*$BI$1</f>
        <v/>
      </c>
      <c r="BR841" s="40" t="inlineStr">
        <is>
          <t>21/22</t>
        </is>
      </c>
      <c r="BS841" s="10" t="inlineStr">
        <is>
          <t xml:space="preserve"> Salomon</t>
        </is>
      </c>
      <c r="BT841" s="11" t="inlineStr">
        <is>
          <t>QST 98</t>
        </is>
      </c>
      <c r="BU841" s="13" t="n">
        <v>169</v>
      </c>
      <c r="BV841" s="11" t="inlineStr">
        <is>
          <t xml:space="preserve"> Unisex</t>
        </is>
      </c>
      <c r="BW841" s="13" t="n">
        <v>169</v>
      </c>
      <c r="BX841" s="13" t="n">
        <v>168.8</v>
      </c>
      <c r="BY841" s="13" t="n">
        <v>94</v>
      </c>
      <c r="BZ841" s="13" t="n">
        <v>127</v>
      </c>
      <c r="CA841" s="13" t="n">
        <v>130</v>
      </c>
      <c r="CB841" s="13" t="n">
        <v>97</v>
      </c>
      <c r="CC841" s="13" t="n">
        <v>118</v>
      </c>
      <c r="CD841" s="13" t="n">
        <v>12.5</v>
      </c>
      <c r="CE841" s="13" t="n">
        <v>1813</v>
      </c>
      <c r="CF841" s="13" t="n">
        <v>1.01</v>
      </c>
      <c r="CG841" s="13" t="n">
        <v>1839</v>
      </c>
      <c r="CH841" s="13" t="n">
        <v>159</v>
      </c>
      <c r="CI841" s="13" t="n">
        <v>73</v>
      </c>
      <c r="CJ841" s="13" t="n">
        <v>58</v>
      </c>
      <c r="CK841" s="13" t="n">
        <v>389</v>
      </c>
      <c r="CL841" s="13" t="n">
        <v>32</v>
      </c>
      <c r="CM841" s="13" t="n">
        <v>363</v>
      </c>
      <c r="CN841" s="13" t="n">
        <v>0.541</v>
      </c>
      <c r="CO841" s="13" t="n">
        <v>241</v>
      </c>
      <c r="CP841" s="13" t="n">
        <v>180</v>
      </c>
      <c r="CQ841" s="13" t="n">
        <v>148</v>
      </c>
      <c r="CR841" s="13" t="n">
        <v>5</v>
      </c>
      <c r="CS841" s="13" t="n">
        <v>7.6</v>
      </c>
      <c r="CT841" s="11" t="inlineStr">
        <is>
          <t xml:space="preserve"> Resort Freeride</t>
        </is>
      </c>
      <c r="CU841" s="13" t="n"/>
      <c r="CV841" s="13" t="n"/>
      <c r="CW841" s="13" t="n"/>
      <c r="CX841">
        <f>INDEX('Data_Price '!AG$2:AG$1266,MATCH(Data!$DN841,'Data_Price '!$AT$2:$AT$1266,0))</f>
        <v/>
      </c>
      <c r="CY841">
        <f>INDEX('Data_Price '!AH$2:AH$1266,MATCH(Data!$DN841,'Data_Price '!$AT$2:$AT$1266,0))</f>
        <v/>
      </c>
      <c r="CZ841">
        <f>INDEX('Data_Price '!AI$2:AI$1266,MATCH(Data!$DN841,'Data_Price '!$AT$2:$AT$1266,0))</f>
        <v/>
      </c>
      <c r="DA841">
        <f>INDEX('Data_Price '!AJ$2:AJ$1266,MATCH(Data!$DN841,'Data_Price '!$AT$2:$AT$1266,0))</f>
        <v/>
      </c>
      <c r="DB841">
        <f>INDEX('Data_Price '!AK$2:AK$1266,MATCH(Data!$DN841,'Data_Price '!$AT$2:$AT$1266,0))</f>
        <v/>
      </c>
      <c r="DC841">
        <f>INDEX('Data_Price '!AL$2:AL$1266,MATCH(Data!$DN841,'Data_Price '!$AT$2:$AT$1266,0))</f>
        <v/>
      </c>
      <c r="DD841">
        <f>INDEX('Data_Price '!AM$2:AM$1266,MATCH(Data!$DN841,'Data_Price '!$AT$2:$AT$1266,0))</f>
        <v/>
      </c>
      <c r="DE841">
        <f>INDEX('Data_Price '!AN$2:AN$1266,MATCH(Data!$DN841,'Data_Price '!$AT$2:$AT$1266,0))</f>
        <v/>
      </c>
      <c r="DF841">
        <f>INDEX('Data_Price '!AO$2:AO$1266,MATCH(Data!$DN841,'Data_Price '!$AT$2:$AT$1266,0))</f>
        <v/>
      </c>
      <c r="DG841">
        <f>INDEX('Data_Price '!AP$2:AP$1266,MATCH(Data!$DN841,'Data_Price '!$AT$2:$AT$1266,0))</f>
        <v/>
      </c>
      <c r="DH841">
        <f>INDEX('Data_Price '!AQ$2:AQ$1266,MATCH(Data!$DN841,'Data_Price '!$AT$2:$AT$1266,0))</f>
        <v/>
      </c>
      <c r="DI841">
        <f>INDEX('Data_Price '!AR$2:AR$1266,MATCH(Data!$DN841,'Data_Price '!$AT$2:$AT$1266,0))</f>
        <v/>
      </c>
      <c r="DJ841" s="138">
        <f>DA841</f>
        <v/>
      </c>
      <c r="DK841" s="138">
        <f>DE841</f>
        <v/>
      </c>
      <c r="DL841" s="138">
        <f>DI841</f>
        <v/>
      </c>
      <c r="DM841" s="303">
        <f>IF(LEFT(BT841,1)=" ",RIGHT(BT841,LEN(BT841)-1),BT841)</f>
        <v/>
      </c>
      <c r="DN841" s="138">
        <f>_xlfn.CONCAT(BS841,DM841,BU841,BV841)</f>
        <v/>
      </c>
      <c r="DO841" s="307" t="inlineStr">
        <is>
          <t>https://images.evo.com/imgp/250/197273/812057/salomon-qst-98-skis-2022-.jpg</t>
        </is>
      </c>
    </row>
    <row r="842" ht="15.6" customHeight="1" s="184">
      <c r="B842" s="303">
        <f t="array" ref="B842">IF(OR(ISERROR(K842:P842)),FALSE,TRUE)</f>
        <v/>
      </c>
      <c r="C842" s="60">
        <f>OR(BR842=Driver!$G$50,Data!BR405=Driver!$H$50)</f>
        <v/>
      </c>
      <c r="D842" s="60">
        <f>OR(BV842=Driver!$G$51,BV842=Driver!$H$51)</f>
        <v/>
      </c>
      <c r="E842" s="60">
        <f>AND(BX842&gt;Driver!$F$54,BX842&lt;Driver!$G$54)</f>
        <v/>
      </c>
      <c r="F842" s="60">
        <f>CL842&gt;Driver!$F$56</f>
        <v/>
      </c>
      <c r="G842" s="60">
        <f>AND(CB842&gt;Driver!$F$55,CB842&lt;Driver!$G$55)</f>
        <v/>
      </c>
      <c r="H842" s="60">
        <f>AND(B842:G842)</f>
        <v/>
      </c>
      <c r="I842" s="60">
        <f>COUNTIFS($H$9:$H$1273,TRUE,$BT$9:$BT$1273,BT842)</f>
        <v/>
      </c>
      <c r="J842" s="60">
        <f t="array" ref="J842">NOT(OR(($H$9:$H$1273=TRUE)*($I$9:$I$1273&gt;0)*($BT$9:$BT$1273=BT842)*($K$9:$K$1273&gt;K842)))</f>
        <v/>
      </c>
      <c r="K842" s="108">
        <f>IFERROR(1-AVERAGE(X842:Y842),"")</f>
        <v/>
      </c>
      <c r="L842" s="108">
        <f>1-X842</f>
        <v/>
      </c>
      <c r="M842" s="108">
        <f>1-Y842</f>
        <v/>
      </c>
      <c r="N842" s="108">
        <f>1-Z842</f>
        <v/>
      </c>
      <c r="O842" s="108">
        <f>1-AA842</f>
        <v/>
      </c>
      <c r="P842" s="108">
        <f>1-AB842</f>
        <v/>
      </c>
      <c r="Q842" s="108" t="n"/>
      <c r="R842" s="108" t="n"/>
      <c r="S842" s="108">
        <f>1-AE842</f>
        <v/>
      </c>
      <c r="T842" s="108">
        <f>1-AF842</f>
        <v/>
      </c>
      <c r="U842" s="108">
        <f>1-AG842</f>
        <v/>
      </c>
      <c r="V842" s="108">
        <f>1-AH842</f>
        <v/>
      </c>
      <c r="W842" s="108">
        <f>1-AI842</f>
        <v/>
      </c>
      <c r="X842" s="108">
        <f>ABS(AJ842-AJ$1)</f>
        <v/>
      </c>
      <c r="Y842" s="108">
        <f>AVERAGE(Z842:AB842)</f>
        <v/>
      </c>
      <c r="Z842" s="108">
        <f>ABS(AL842-AL$1)</f>
        <v/>
      </c>
      <c r="AA842" s="108">
        <f>ABS(AM842-AM$1)</f>
        <v/>
      </c>
      <c r="AB842" s="108">
        <f>ABS(AN842-AN$1)</f>
        <v/>
      </c>
      <c r="AC842" s="108" t="n"/>
      <c r="AD842" s="108" t="n"/>
      <c r="AE842" s="108">
        <f>ABS(AQ$1-AQ842)</f>
        <v/>
      </c>
      <c r="AF842" s="108">
        <f>ABS(AR$1-AR842)</f>
        <v/>
      </c>
      <c r="AG842" s="108">
        <f>ABS(AS$1-AS842)</f>
        <v/>
      </c>
      <c r="AH842" s="108">
        <f>ABS(AT$1-AT842)</f>
        <v/>
      </c>
      <c r="AI842" s="108">
        <f>ABS(AU$1-AU842)</f>
        <v/>
      </c>
      <c r="AJ842" s="108">
        <f>(AV842-Driver!$K$179)/(Driver!$L$179-Driver!$K$179)</f>
        <v/>
      </c>
      <c r="AK842" s="108">
        <f>(AW842-Driver!$K$180)/(Driver!$L$180-Driver!$K$180)</f>
        <v/>
      </c>
      <c r="AL842" s="108">
        <f>(AX842-Driver!$K$181)/(Driver!$L$181-Driver!$K$181)</f>
        <v/>
      </c>
      <c r="AM842" s="108">
        <f>(AY842-Driver!$K$182)/(Driver!$L$182-Driver!$K$182)</f>
        <v/>
      </c>
      <c r="AN842" s="108">
        <f>(AZ842-Driver!$K$183)/(Driver!$L$183-Driver!$K$183)</f>
        <v/>
      </c>
      <c r="AO842" s="108" t="n"/>
      <c r="AP842" s="108" t="n"/>
      <c r="AQ842" s="108">
        <f>(BC842-Driver!$K$188)/(Driver!$L$188-Driver!$K$188)</f>
        <v/>
      </c>
      <c r="AR842" s="108">
        <f>MIN((BD842-Driver!$K$189)/(Driver!$L$189-Driver!$K$189),100%)</f>
        <v/>
      </c>
      <c r="AS842" s="108">
        <f>(BE842-Driver!$K$190)/(Driver!$L$190-Driver!$K$190)</f>
        <v/>
      </c>
      <c r="AT842" s="108">
        <f>(BF842-Driver!$K$191)/(Driver!$L$191-Driver!$K$191)</f>
        <v/>
      </c>
      <c r="AU842" s="108">
        <f>(BG842-Driver!$K$192)/(Driver!$L$192-Driver!$K$192)</f>
        <v/>
      </c>
      <c r="AV842" s="105">
        <f>IFERROR(BM842*BJ842^1/4,"")</f>
        <v/>
      </c>
      <c r="AW842" s="105">
        <f>IFERROR(SUM(AX842:AZ842),"")</f>
        <v/>
      </c>
      <c r="AX842" s="105">
        <f>IFERROR(BH842,"")</f>
        <v/>
      </c>
      <c r="AY842" s="105">
        <f>IFERROR(Driver!$K$19/Data!BH842/Data!BI842*Data!BK842*Data!BL842,"")</f>
        <v/>
      </c>
      <c r="AZ842" s="105">
        <f>IFERROR(BI842*BN842,"")</f>
        <v/>
      </c>
      <c r="BA842" s="105" t="n"/>
      <c r="BB842" s="105" t="n"/>
      <c r="BC842" s="105">
        <f>IFERROR(BI842*BN842*BK842/BJ842^(1/2),"")</f>
        <v/>
      </c>
      <c r="BD842" s="105">
        <f>IFERROR(BH842*BM842*BL842/BJ842/BK842,"")</f>
        <v/>
      </c>
      <c r="BE842" s="105">
        <f>IFERROR(MIN(BI842/BQ842/BP842/BO842/BH842,$BE$1),"")</f>
        <v/>
      </c>
      <c r="BF842" s="105">
        <f>IFERROR(BJ842*BO842*BP842/BK842,"")</f>
        <v/>
      </c>
      <c r="BG842" s="105">
        <f>IFERROR(1/BM842/BH842*BQ842,"")</f>
        <v/>
      </c>
      <c r="BH842" s="102">
        <f>MAX((CE842-Driver!$F$200)/(Driver!$G$200-Driver!$F$200)*$BI$1,1)</f>
        <v/>
      </c>
      <c r="BI842" s="102">
        <f>MAX($BI$1*(BY842-Driver!$F$201)/(Driver!$G$201-Driver!$F$201),1)</f>
        <v/>
      </c>
      <c r="BJ842" s="102">
        <f>(CB842-Driver!$F$206)/(Driver!$G$206-Driver!$F$206)*$BI$1</f>
        <v/>
      </c>
      <c r="BK842" s="102">
        <f>(CD842-Driver!$F$203)/(Driver!$G$203-Driver!$F$203)*$BI$1</f>
        <v/>
      </c>
      <c r="BL842" s="102">
        <f>MAX((CR842-Driver!$F$202)/(Driver!$G$202-Driver!$F$202)*$BI$1,1)</f>
        <v/>
      </c>
      <c r="BM842" s="102">
        <f>MAX((CH842-Driver!$F$204)/(Driver!$G$204-Driver!$F$204)*$BI$1,1)</f>
        <v/>
      </c>
      <c r="BN842" s="102">
        <f>(CI842-Driver!$F$205)/(Driver!$G$205-Driver!$F$205)*$BI$1</f>
        <v/>
      </c>
      <c r="BO842" s="102">
        <f>(CK842-Driver!$F$207)/(Driver!$G$207-Driver!$F$207)*$BI$1</f>
        <v/>
      </c>
      <c r="BP842" s="102">
        <f>(CM842-Driver!$F$208)/(Driver!$G$208-Driver!$F$208)*$BI$1</f>
        <v/>
      </c>
      <c r="BQ842" s="102">
        <f>(CL842-Driver!$F$209)/(Driver!$G$209-Driver!$F$209)*$BI$1</f>
        <v/>
      </c>
      <c r="BR842" s="40" t="inlineStr">
        <is>
          <t>21/22</t>
        </is>
      </c>
      <c r="BS842" s="10" t="inlineStr">
        <is>
          <t xml:space="preserve"> Dynastar</t>
        </is>
      </c>
      <c r="BT842" s="11" t="inlineStr">
        <is>
          <t>M-Pro 99</t>
        </is>
      </c>
      <c r="BU842" s="13" t="n">
        <v>186</v>
      </c>
      <c r="BV842" s="11" t="inlineStr">
        <is>
          <t xml:space="preserve"> Unisex</t>
        </is>
      </c>
      <c r="BW842" s="13" t="n">
        <v>186</v>
      </c>
      <c r="BX842" s="13" t="n">
        <v>185.2</v>
      </c>
      <c r="BY842" s="13" t="n">
        <v>136</v>
      </c>
      <c r="BZ842" s="13" t="n">
        <v>153</v>
      </c>
      <c r="CA842" s="13" t="n">
        <v>126</v>
      </c>
      <c r="CB842" s="13" t="n">
        <v>97</v>
      </c>
      <c r="CC842" s="13" t="n">
        <v>116</v>
      </c>
      <c r="CD842" s="13" t="n">
        <v>21.9</v>
      </c>
      <c r="CE842" s="13" t="n">
        <v>2038</v>
      </c>
      <c r="CF842" s="13" t="n">
        <v>0.97</v>
      </c>
      <c r="CG842" s="13" t="n">
        <v>1973</v>
      </c>
      <c r="CH842" s="13" t="n">
        <v>275</v>
      </c>
      <c r="CI842" s="13" t="n">
        <v>118</v>
      </c>
      <c r="CJ842" s="13" t="n">
        <v>61</v>
      </c>
      <c r="CK842" s="13" t="n">
        <v>330</v>
      </c>
      <c r="CL842" s="13" t="n">
        <v>16</v>
      </c>
      <c r="CM842" s="13" t="n">
        <v>162</v>
      </c>
      <c r="CN842" s="13" t="n">
        <v>0.271</v>
      </c>
      <c r="CO842" s="13" t="n">
        <v>202</v>
      </c>
      <c r="CP842" s="13" t="n">
        <v>123</v>
      </c>
      <c r="CQ842" s="13" t="n">
        <v>128</v>
      </c>
      <c r="CR842" s="13" t="n">
        <v>5</v>
      </c>
      <c r="CS842" s="13" t="n">
        <v>12.4</v>
      </c>
      <c r="CT842" s="11" t="inlineStr">
        <is>
          <t xml:space="preserve"> Resort Freeride</t>
        </is>
      </c>
      <c r="CU842" s="13" t="n"/>
      <c r="CV842" s="13" t="n"/>
      <c r="CW842" s="13" t="n"/>
      <c r="CX842">
        <f>INDEX('Data_Price '!AG$2:AG$1266,MATCH(Data!$DN842,'Data_Price '!$AT$2:$AT$1266,0))</f>
        <v/>
      </c>
      <c r="CY842">
        <f>INDEX('Data_Price '!AH$2:AH$1266,MATCH(Data!$DN842,'Data_Price '!$AT$2:$AT$1266,0))</f>
        <v/>
      </c>
      <c r="CZ842">
        <f>INDEX('Data_Price '!AI$2:AI$1266,MATCH(Data!$DN842,'Data_Price '!$AT$2:$AT$1266,0))</f>
        <v/>
      </c>
      <c r="DA842">
        <f>INDEX('Data_Price '!AJ$2:AJ$1266,MATCH(Data!$DN842,'Data_Price '!$AT$2:$AT$1266,0))</f>
        <v/>
      </c>
      <c r="DB842">
        <f>INDEX('Data_Price '!AK$2:AK$1266,MATCH(Data!$DN842,'Data_Price '!$AT$2:$AT$1266,0))</f>
        <v/>
      </c>
      <c r="DC842">
        <f>INDEX('Data_Price '!AL$2:AL$1266,MATCH(Data!$DN842,'Data_Price '!$AT$2:$AT$1266,0))</f>
        <v/>
      </c>
      <c r="DD842">
        <f>INDEX('Data_Price '!AM$2:AM$1266,MATCH(Data!$DN842,'Data_Price '!$AT$2:$AT$1266,0))</f>
        <v/>
      </c>
      <c r="DE842">
        <f>INDEX('Data_Price '!AN$2:AN$1266,MATCH(Data!$DN842,'Data_Price '!$AT$2:$AT$1266,0))</f>
        <v/>
      </c>
      <c r="DF842">
        <f>INDEX('Data_Price '!AO$2:AO$1266,MATCH(Data!$DN842,'Data_Price '!$AT$2:$AT$1266,0))</f>
        <v/>
      </c>
      <c r="DG842">
        <f>INDEX('Data_Price '!AP$2:AP$1266,MATCH(Data!$DN842,'Data_Price '!$AT$2:$AT$1266,0))</f>
        <v/>
      </c>
      <c r="DH842">
        <f>INDEX('Data_Price '!AQ$2:AQ$1266,MATCH(Data!$DN842,'Data_Price '!$AT$2:$AT$1266,0))</f>
        <v/>
      </c>
      <c r="DI842">
        <f>INDEX('Data_Price '!AR$2:AR$1266,MATCH(Data!$DN842,'Data_Price '!$AT$2:$AT$1266,0))</f>
        <v/>
      </c>
      <c r="DJ842" s="138">
        <f>DA842</f>
        <v/>
      </c>
      <c r="DK842" s="138">
        <f>DE842</f>
        <v/>
      </c>
      <c r="DL842" s="138">
        <f>DI842</f>
        <v/>
      </c>
      <c r="DM842" s="303">
        <f>IF(LEFT(BT842,1)=" ",RIGHT(BT842,LEN(BT842)-1),BT842)</f>
        <v/>
      </c>
      <c r="DN842" s="138">
        <f>_xlfn.CONCAT(BS842,DM842,BU842,BV842)</f>
        <v/>
      </c>
      <c r="DO842" s="307" t="inlineStr">
        <is>
          <t>https://images.evo.com/imgp/250/185150/736349/dynastar-m-pro-99-skis-2022-.jpg</t>
        </is>
      </c>
    </row>
    <row r="843" ht="15.6" customHeight="1" s="184">
      <c r="B843" s="303">
        <f t="array" ref="B843">IF(OR(ISERROR(K843:P843)),FALSE,TRUE)</f>
        <v/>
      </c>
      <c r="C843" s="60">
        <f>OR(BR843=Driver!$G$50,Data!BR1238=Driver!$H$50)</f>
        <v/>
      </c>
      <c r="D843" s="60">
        <f>OR(BV843=Driver!$G$51,BV843=Driver!$H$51)</f>
        <v/>
      </c>
      <c r="E843" s="60">
        <f>AND(BX843&gt;Driver!$F$54,BX843&lt;Driver!$G$54)</f>
        <v/>
      </c>
      <c r="F843" s="60">
        <f>CL843&gt;Driver!$F$56</f>
        <v/>
      </c>
      <c r="G843" s="60">
        <f>AND(CB843&gt;Driver!$F$55,CB843&lt;Driver!$G$55)</f>
        <v/>
      </c>
      <c r="H843" s="60">
        <f>AND(B843:G843)</f>
        <v/>
      </c>
      <c r="I843" s="60">
        <f>COUNTIFS($H$9:$H$1273,TRUE,$BT$9:$BT$1273,BT843)</f>
        <v/>
      </c>
      <c r="J843" s="60">
        <f t="array" ref="J843">NOT(OR(($H$9:$H$1273=TRUE)*($I$9:$I$1273&gt;0)*($BT$9:$BT$1273=BT843)*($K$9:$K$1273&gt;K843)))</f>
        <v/>
      </c>
      <c r="K843" s="108">
        <f>IFERROR(1-AVERAGE(X843:Y843),"")</f>
        <v/>
      </c>
      <c r="L843" s="108">
        <f>1-X843</f>
        <v/>
      </c>
      <c r="M843" s="108">
        <f>1-Y843</f>
        <v/>
      </c>
      <c r="N843" s="108">
        <f>1-Z843</f>
        <v/>
      </c>
      <c r="O843" s="108">
        <f>1-AA843</f>
        <v/>
      </c>
      <c r="P843" s="108">
        <f>1-AB843</f>
        <v/>
      </c>
      <c r="Q843" s="108" t="n"/>
      <c r="R843" s="108" t="n"/>
      <c r="S843" s="108">
        <f>1-AE843</f>
        <v/>
      </c>
      <c r="T843" s="108">
        <f>1-AF843</f>
        <v/>
      </c>
      <c r="U843" s="108">
        <f>1-AG843</f>
        <v/>
      </c>
      <c r="V843" s="108">
        <f>1-AH843</f>
        <v/>
      </c>
      <c r="W843" s="108">
        <f>1-AI843</f>
        <v/>
      </c>
      <c r="X843" s="108">
        <f>ABS(AJ843-AJ$1)</f>
        <v/>
      </c>
      <c r="Y843" s="108">
        <f>AVERAGE(Z843:AB843)</f>
        <v/>
      </c>
      <c r="Z843" s="108">
        <f>ABS(AL843-AL$1)</f>
        <v/>
      </c>
      <c r="AA843" s="108">
        <f>ABS(AM843-AM$1)</f>
        <v/>
      </c>
      <c r="AB843" s="108">
        <f>ABS(AN843-AN$1)</f>
        <v/>
      </c>
      <c r="AC843" s="108" t="n"/>
      <c r="AD843" s="108" t="n"/>
      <c r="AE843" s="108">
        <f>ABS(AQ$1-AQ843)</f>
        <v/>
      </c>
      <c r="AF843" s="108">
        <f>ABS(AR$1-AR843)</f>
        <v/>
      </c>
      <c r="AG843" s="108">
        <f>ABS(AS$1-AS843)</f>
        <v/>
      </c>
      <c r="AH843" s="108">
        <f>ABS(AT$1-AT843)</f>
        <v/>
      </c>
      <c r="AI843" s="108">
        <f>ABS(AU$1-AU843)</f>
        <v/>
      </c>
      <c r="AJ843" s="108">
        <f>(AV843-Driver!$K$179)/(Driver!$L$179-Driver!$K$179)</f>
        <v/>
      </c>
      <c r="AK843" s="108">
        <f>(AW843-Driver!$K$180)/(Driver!$L$180-Driver!$K$180)</f>
        <v/>
      </c>
      <c r="AL843" s="108">
        <f>(AX843-Driver!$K$181)/(Driver!$L$181-Driver!$K$181)</f>
        <v/>
      </c>
      <c r="AM843" s="108">
        <f>(AY843-Driver!$K$182)/(Driver!$L$182-Driver!$K$182)</f>
        <v/>
      </c>
      <c r="AN843" s="108">
        <f>(AZ843-Driver!$K$183)/(Driver!$L$183-Driver!$K$183)</f>
        <v/>
      </c>
      <c r="AO843" s="108" t="n"/>
      <c r="AP843" s="108" t="n"/>
      <c r="AQ843" s="108">
        <f>(BC843-Driver!$K$188)/(Driver!$L$188-Driver!$K$188)</f>
        <v/>
      </c>
      <c r="AR843" s="108">
        <f>MIN((BD843-Driver!$K$189)/(Driver!$L$189-Driver!$K$189),100%)</f>
        <v/>
      </c>
      <c r="AS843" s="108">
        <f>(BE843-Driver!$K$190)/(Driver!$L$190-Driver!$K$190)</f>
        <v/>
      </c>
      <c r="AT843" s="108">
        <f>(BF843-Driver!$K$191)/(Driver!$L$191-Driver!$K$191)</f>
        <v/>
      </c>
      <c r="AU843" s="108">
        <f>(BG843-Driver!$K$192)/(Driver!$L$192-Driver!$K$192)</f>
        <v/>
      </c>
      <c r="AV843" s="105">
        <f>IFERROR(BM843*BJ843^1/4,"")</f>
        <v/>
      </c>
      <c r="AW843" s="105">
        <f>IFERROR(SUM(AX843:AZ843),"")</f>
        <v/>
      </c>
      <c r="AX843" s="105">
        <f>IFERROR(BH843,"")</f>
        <v/>
      </c>
      <c r="AY843" s="105">
        <f>IFERROR(Driver!$K$19/Data!BH843/Data!BI843*Data!BK843*Data!BL843,"")</f>
        <v/>
      </c>
      <c r="AZ843" s="105">
        <f>IFERROR(BI843*BN843,"")</f>
        <v/>
      </c>
      <c r="BA843" s="105" t="n"/>
      <c r="BB843" s="105" t="n"/>
      <c r="BC843" s="105">
        <f>IFERROR(BI843*BN843*BK843/BJ843^(1/2),"")</f>
        <v/>
      </c>
      <c r="BD843" s="105">
        <f>IFERROR(BH843*BM843*BL843/BJ843/BK843,"")</f>
        <v/>
      </c>
      <c r="BE843" s="105">
        <f>IFERROR(MIN(BI843/BQ843/BP843/BO843/BH843,$BE$1),"")</f>
        <v/>
      </c>
      <c r="BF843" s="105">
        <f>IFERROR(BJ843*BO843*BP843/BK843,"")</f>
        <v/>
      </c>
      <c r="BG843" s="105">
        <f>IFERROR(1/BM843/BH843*BQ843,"")</f>
        <v/>
      </c>
      <c r="BH843" s="102">
        <f>MAX((CE843-Driver!$F$200)/(Driver!$G$200-Driver!$F$200)*$BI$1,1)</f>
        <v/>
      </c>
      <c r="BI843" s="102">
        <f>MAX($BI$1*(BY843-Driver!$F$201)/(Driver!$G$201-Driver!$F$201),1)</f>
        <v/>
      </c>
      <c r="BJ843" s="102">
        <f>(CB843-Driver!$F$206)/(Driver!$G$206-Driver!$F$206)*$BI$1</f>
        <v/>
      </c>
      <c r="BK843" s="102">
        <f>(CD843-Driver!$F$203)/(Driver!$G$203-Driver!$F$203)*$BI$1</f>
        <v/>
      </c>
      <c r="BL843" s="102">
        <f>MAX((CR843-Driver!$F$202)/(Driver!$G$202-Driver!$F$202)*$BI$1,1)</f>
        <v/>
      </c>
      <c r="BM843" s="102">
        <f>MAX((CH843-Driver!$F$204)/(Driver!$G$204-Driver!$F$204)*$BI$1,1)</f>
        <v/>
      </c>
      <c r="BN843" s="102">
        <f>(CI843-Driver!$F$205)/(Driver!$G$205-Driver!$F$205)*$BI$1</f>
        <v/>
      </c>
      <c r="BO843" s="102">
        <f>(CK843-Driver!$F$207)/(Driver!$G$207-Driver!$F$207)*$BI$1</f>
        <v/>
      </c>
      <c r="BP843" s="102">
        <f>(CM843-Driver!$F$208)/(Driver!$G$208-Driver!$F$208)*$BI$1</f>
        <v/>
      </c>
      <c r="BQ843" s="102">
        <f>(CL843-Driver!$F$209)/(Driver!$G$209-Driver!$F$209)*$BI$1</f>
        <v/>
      </c>
      <c r="BR843" s="40" t="inlineStr">
        <is>
          <t>21/22</t>
        </is>
      </c>
      <c r="BS843" s="10" t="inlineStr">
        <is>
          <t xml:space="preserve"> Völkl</t>
        </is>
      </c>
      <c r="BT843" s="11" t="inlineStr">
        <is>
          <t>Revolt 121</t>
        </is>
      </c>
      <c r="BU843" s="13" t="n">
        <v>177</v>
      </c>
      <c r="BV843" s="11" t="inlineStr">
        <is>
          <t xml:space="preserve"> Unisex</t>
        </is>
      </c>
      <c r="BW843" s="13" t="n">
        <v>177</v>
      </c>
      <c r="BX843" s="13" t="n">
        <v>177.4</v>
      </c>
      <c r="BY843" s="13" t="n">
        <v>82</v>
      </c>
      <c r="BZ843" s="13" t="n">
        <v>118</v>
      </c>
      <c r="CA843" s="13" t="n">
        <v>141</v>
      </c>
      <c r="CB843" s="13" t="n">
        <v>120</v>
      </c>
      <c r="CC843" s="13" t="n">
        <v>133</v>
      </c>
      <c r="CD843" s="13" t="n">
        <v>17.7</v>
      </c>
      <c r="CE843" s="13" t="n">
        <v>2158</v>
      </c>
      <c r="CF843" s="13" t="n">
        <v>1.04</v>
      </c>
      <c r="CG843" s="13" t="n">
        <v>2242</v>
      </c>
      <c r="CH843" s="13" t="n">
        <v>193</v>
      </c>
      <c r="CI843" s="13" t="n">
        <v>94</v>
      </c>
      <c r="CJ843" s="13" t="n">
        <v>77</v>
      </c>
      <c r="CK843" s="13" t="n">
        <v>487</v>
      </c>
      <c r="CL843" s="13" t="n">
        <v>45</v>
      </c>
      <c r="CM843" s="13" t="n">
        <v>465</v>
      </c>
      <c r="CN843" s="13" t="n">
        <v>0.585</v>
      </c>
      <c r="CO843" s="13" t="n">
        <v>298</v>
      </c>
      <c r="CP843" s="13" t="n">
        <v>298</v>
      </c>
      <c r="CQ843" s="13" t="n">
        <v>189</v>
      </c>
      <c r="CR843" s="13" t="n">
        <v>5</v>
      </c>
      <c r="CS843" s="13" t="n">
        <v>3.4</v>
      </c>
      <c r="CT843" s="11" t="inlineStr">
        <is>
          <t xml:space="preserve"> Powder</t>
        </is>
      </c>
      <c r="CU843" s="13" t="n"/>
      <c r="CV843" s="13" t="n"/>
      <c r="CW843" s="13" t="n"/>
      <c r="CX843">
        <f>INDEX('Data_Price '!AG$2:AG$1266,MATCH(Data!$DN843,'Data_Price '!$AT$2:$AT$1266,0))</f>
        <v/>
      </c>
      <c r="CY843">
        <f>INDEX('Data_Price '!AH$2:AH$1266,MATCH(Data!$DN843,'Data_Price '!$AT$2:$AT$1266,0))</f>
        <v/>
      </c>
      <c r="CZ843">
        <f>INDEX('Data_Price '!AI$2:AI$1266,MATCH(Data!$DN843,'Data_Price '!$AT$2:$AT$1266,0))</f>
        <v/>
      </c>
      <c r="DA843">
        <f>INDEX('Data_Price '!AJ$2:AJ$1266,MATCH(Data!$DN843,'Data_Price '!$AT$2:$AT$1266,0))</f>
        <v/>
      </c>
      <c r="DB843">
        <f>INDEX('Data_Price '!AK$2:AK$1266,MATCH(Data!$DN843,'Data_Price '!$AT$2:$AT$1266,0))</f>
        <v/>
      </c>
      <c r="DC843">
        <f>INDEX('Data_Price '!AL$2:AL$1266,MATCH(Data!$DN843,'Data_Price '!$AT$2:$AT$1266,0))</f>
        <v/>
      </c>
      <c r="DD843">
        <f>INDEX('Data_Price '!AM$2:AM$1266,MATCH(Data!$DN843,'Data_Price '!$AT$2:$AT$1266,0))</f>
        <v/>
      </c>
      <c r="DE843">
        <f>INDEX('Data_Price '!AN$2:AN$1266,MATCH(Data!$DN843,'Data_Price '!$AT$2:$AT$1266,0))</f>
        <v/>
      </c>
      <c r="DF843">
        <f>INDEX('Data_Price '!AO$2:AO$1266,MATCH(Data!$DN843,'Data_Price '!$AT$2:$AT$1266,0))</f>
        <v/>
      </c>
      <c r="DG843">
        <f>INDEX('Data_Price '!AP$2:AP$1266,MATCH(Data!$DN843,'Data_Price '!$AT$2:$AT$1266,0))</f>
        <v/>
      </c>
      <c r="DH843">
        <f>INDEX('Data_Price '!AQ$2:AQ$1266,MATCH(Data!$DN843,'Data_Price '!$AT$2:$AT$1266,0))</f>
        <v/>
      </c>
      <c r="DI843">
        <f>INDEX('Data_Price '!AR$2:AR$1266,MATCH(Data!$DN843,'Data_Price '!$AT$2:$AT$1266,0))</f>
        <v/>
      </c>
      <c r="DJ843" s="138">
        <f>DA843</f>
        <v/>
      </c>
      <c r="DK843" s="138">
        <f>DE843</f>
        <v/>
      </c>
      <c r="DL843" s="138">
        <f>DI843</f>
        <v/>
      </c>
      <c r="DM843" s="303">
        <f>IF(LEFT(BT843,1)=" ",RIGHT(BT843,LEN(BT843)-1),BT843)</f>
        <v/>
      </c>
      <c r="DN843" s="138">
        <f>_xlfn.CONCAT(BS843,DM843,BU843,BV843)</f>
        <v/>
      </c>
      <c r="DO843" s="307" t="inlineStr">
        <is>
          <t>https://images.evo.com/imgp/250/183427/726974/volkl-revolt-121-skis-2022-.jpg</t>
        </is>
      </c>
    </row>
    <row r="844" ht="15.6" customHeight="1" s="184">
      <c r="B844" s="303">
        <f t="array" ref="B844">IF(OR(ISERROR(K844:P844)),FALSE,TRUE)</f>
        <v/>
      </c>
      <c r="C844" s="60">
        <f>OR(BR844=Driver!$G$50,Data!BR229=Driver!$H$50)</f>
        <v/>
      </c>
      <c r="D844" s="60">
        <f>OR(BV844=Driver!$G$51,BV844=Driver!$H$51)</f>
        <v/>
      </c>
      <c r="E844" s="60">
        <f>AND(BX844&gt;Driver!$F$54,BX844&lt;Driver!$G$54)</f>
        <v/>
      </c>
      <c r="F844" s="60">
        <f>CL844&gt;Driver!$F$56</f>
        <v/>
      </c>
      <c r="G844" s="60">
        <f>AND(CB844&gt;Driver!$F$55,CB844&lt;Driver!$G$55)</f>
        <v/>
      </c>
      <c r="H844" s="60">
        <f>AND(B844:G844)</f>
        <v/>
      </c>
      <c r="I844" s="60">
        <f>COUNTIFS($H$9:$H$1273,TRUE,$BT$9:$BT$1273,BT844)</f>
        <v/>
      </c>
      <c r="J844" s="60">
        <f t="array" ref="J844">NOT(OR(($H$9:$H$1273=TRUE)*($I$9:$I$1273&gt;0)*($BT$9:$BT$1273=BT844)*($K$9:$K$1273&gt;K844)))</f>
        <v/>
      </c>
      <c r="K844" s="108">
        <f>IFERROR(1-AVERAGE(X844:Y844),"")</f>
        <v/>
      </c>
      <c r="L844" s="108">
        <f>1-X844</f>
        <v/>
      </c>
      <c r="M844" s="108">
        <f>1-Y844</f>
        <v/>
      </c>
      <c r="N844" s="108">
        <f>1-Z844</f>
        <v/>
      </c>
      <c r="O844" s="108">
        <f>1-AA844</f>
        <v/>
      </c>
      <c r="P844" s="108">
        <f>1-AB844</f>
        <v/>
      </c>
      <c r="Q844" s="108" t="n"/>
      <c r="R844" s="108" t="n"/>
      <c r="S844" s="108">
        <f>1-AE844</f>
        <v/>
      </c>
      <c r="T844" s="108">
        <f>1-AF844</f>
        <v/>
      </c>
      <c r="U844" s="108">
        <f>1-AG844</f>
        <v/>
      </c>
      <c r="V844" s="108">
        <f>1-AH844</f>
        <v/>
      </c>
      <c r="W844" s="108">
        <f>1-AI844</f>
        <v/>
      </c>
      <c r="X844" s="108">
        <f>ABS(AJ844-AJ$1)</f>
        <v/>
      </c>
      <c r="Y844" s="108">
        <f>AVERAGE(Z844:AB844)</f>
        <v/>
      </c>
      <c r="Z844" s="108">
        <f>ABS(AL844-AL$1)</f>
        <v/>
      </c>
      <c r="AA844" s="108">
        <f>ABS(AM844-AM$1)</f>
        <v/>
      </c>
      <c r="AB844" s="108">
        <f>ABS(AN844-AN$1)</f>
        <v/>
      </c>
      <c r="AC844" s="108" t="n"/>
      <c r="AD844" s="108" t="n"/>
      <c r="AE844" s="108">
        <f>ABS(AQ$1-AQ844)</f>
        <v/>
      </c>
      <c r="AF844" s="108">
        <f>ABS(AR$1-AR844)</f>
        <v/>
      </c>
      <c r="AG844" s="108">
        <f>ABS(AS$1-AS844)</f>
        <v/>
      </c>
      <c r="AH844" s="108">
        <f>ABS(AT$1-AT844)</f>
        <v/>
      </c>
      <c r="AI844" s="108">
        <f>ABS(AU$1-AU844)</f>
        <v/>
      </c>
      <c r="AJ844" s="108">
        <f>(AV844-Driver!$K$179)/(Driver!$L$179-Driver!$K$179)</f>
        <v/>
      </c>
      <c r="AK844" s="108">
        <f>(AW844-Driver!$K$180)/(Driver!$L$180-Driver!$K$180)</f>
        <v/>
      </c>
      <c r="AL844" s="108">
        <f>(AX844-Driver!$K$181)/(Driver!$L$181-Driver!$K$181)</f>
        <v/>
      </c>
      <c r="AM844" s="108">
        <f>(AY844-Driver!$K$182)/(Driver!$L$182-Driver!$K$182)</f>
        <v/>
      </c>
      <c r="AN844" s="108">
        <f>(AZ844-Driver!$K$183)/(Driver!$L$183-Driver!$K$183)</f>
        <v/>
      </c>
      <c r="AO844" s="108" t="n"/>
      <c r="AP844" s="108" t="n"/>
      <c r="AQ844" s="108">
        <f>(BC844-Driver!$K$188)/(Driver!$L$188-Driver!$K$188)</f>
        <v/>
      </c>
      <c r="AR844" s="108">
        <f>MIN((BD844-Driver!$K$189)/(Driver!$L$189-Driver!$K$189),100%)</f>
        <v/>
      </c>
      <c r="AS844" s="108">
        <f>(BE844-Driver!$K$190)/(Driver!$L$190-Driver!$K$190)</f>
        <v/>
      </c>
      <c r="AT844" s="108">
        <f>(BF844-Driver!$K$191)/(Driver!$L$191-Driver!$K$191)</f>
        <v/>
      </c>
      <c r="AU844" s="108">
        <f>(BG844-Driver!$K$192)/(Driver!$L$192-Driver!$K$192)</f>
        <v/>
      </c>
      <c r="AV844" s="105">
        <f>IFERROR(BM844*BJ844^1/4,"")</f>
        <v/>
      </c>
      <c r="AW844" s="105">
        <f>IFERROR(SUM(AX844:AZ844),"")</f>
        <v/>
      </c>
      <c r="AX844" s="105">
        <f>IFERROR(BH844,"")</f>
        <v/>
      </c>
      <c r="AY844" s="105">
        <f>IFERROR(Driver!$K$19/Data!BH844/Data!BI844*Data!BK844*Data!BL844,"")</f>
        <v/>
      </c>
      <c r="AZ844" s="105">
        <f>IFERROR(BI844*BN844,"")</f>
        <v/>
      </c>
      <c r="BA844" s="105" t="n"/>
      <c r="BB844" s="105" t="n"/>
      <c r="BC844" s="105">
        <f>IFERROR(BI844*BN844*BK844/BJ844^(1/2),"")</f>
        <v/>
      </c>
      <c r="BD844" s="105">
        <f>IFERROR(BH844*BM844*BL844/BJ844/BK844,"")</f>
        <v/>
      </c>
      <c r="BE844" s="105">
        <f>IFERROR(MIN(BI844/BQ844/BP844/BO844/BH844,$BE$1),"")</f>
        <v/>
      </c>
      <c r="BF844" s="105">
        <f>IFERROR(BJ844*BO844*BP844/BK844,"")</f>
        <v/>
      </c>
      <c r="BG844" s="105">
        <f>IFERROR(1/BM844/BH844*BQ844,"")</f>
        <v/>
      </c>
      <c r="BH844" s="102">
        <f>MAX((CE844-Driver!$F$200)/(Driver!$G$200-Driver!$F$200)*$BI$1,1)</f>
        <v/>
      </c>
      <c r="BI844" s="102">
        <f>MAX($BI$1*(BY844-Driver!$F$201)/(Driver!$G$201-Driver!$F$201),1)</f>
        <v/>
      </c>
      <c r="BJ844" s="102">
        <f>(CB844-Driver!$F$206)/(Driver!$G$206-Driver!$F$206)*$BI$1</f>
        <v/>
      </c>
      <c r="BK844" s="102">
        <f>(CD844-Driver!$F$203)/(Driver!$G$203-Driver!$F$203)*$BI$1</f>
        <v/>
      </c>
      <c r="BL844" s="102">
        <f>MAX((CR844-Driver!$F$202)/(Driver!$G$202-Driver!$F$202)*$BI$1,1)</f>
        <v/>
      </c>
      <c r="BM844" s="102">
        <f>MAX((CH844-Driver!$F$204)/(Driver!$G$204-Driver!$F$204)*$BI$1,1)</f>
        <v/>
      </c>
      <c r="BN844" s="102">
        <f>(CI844-Driver!$F$205)/(Driver!$G$205-Driver!$F$205)*$BI$1</f>
        <v/>
      </c>
      <c r="BO844" s="102">
        <f>(CK844-Driver!$F$207)/(Driver!$G$207-Driver!$F$207)*$BI$1</f>
        <v/>
      </c>
      <c r="BP844" s="102">
        <f>(CM844-Driver!$F$208)/(Driver!$G$208-Driver!$F$208)*$BI$1</f>
        <v/>
      </c>
      <c r="BQ844" s="102">
        <f>(CL844-Driver!$F$209)/(Driver!$G$209-Driver!$F$209)*$BI$1</f>
        <v/>
      </c>
      <c r="BR844" s="40" t="inlineStr">
        <is>
          <t>21/22</t>
        </is>
      </c>
      <c r="BS844" s="10" t="inlineStr">
        <is>
          <t xml:space="preserve"> Black Crows</t>
        </is>
      </c>
      <c r="BT844" s="11" t="inlineStr">
        <is>
          <t xml:space="preserve"> Justis</t>
        </is>
      </c>
      <c r="BU844" s="13" t="n">
        <v>183.1</v>
      </c>
      <c r="BV844" s="11" t="inlineStr">
        <is>
          <t xml:space="preserve"> Unisex</t>
        </is>
      </c>
      <c r="BW844" s="13" t="n">
        <v>183.1</v>
      </c>
      <c r="BX844" s="13" t="n">
        <v>182</v>
      </c>
      <c r="BY844" s="13" t="n">
        <v>109</v>
      </c>
      <c r="BZ844" s="13" t="n">
        <v>163</v>
      </c>
      <c r="CA844" s="13" t="n">
        <v>137</v>
      </c>
      <c r="CB844" s="13" t="n">
        <v>98</v>
      </c>
      <c r="CC844" s="13" t="n">
        <v>122</v>
      </c>
      <c r="CD844" s="13" t="n">
        <v>20.8</v>
      </c>
      <c r="CE844" s="13" t="n">
        <v>2045</v>
      </c>
      <c r="CF844" s="13" t="n">
        <v>0.98</v>
      </c>
      <c r="CG844" s="13" t="n">
        <v>1997</v>
      </c>
      <c r="CH844" s="13" t="n">
        <v>292</v>
      </c>
      <c r="CI844" s="13" t="n">
        <v>134</v>
      </c>
      <c r="CJ844" s="13" t="n">
        <v>48</v>
      </c>
      <c r="CK844" s="13" t="n">
        <v>428</v>
      </c>
      <c r="CL844" s="13" t="n">
        <v>33</v>
      </c>
      <c r="CM844" s="13" t="n">
        <v>299</v>
      </c>
      <c r="CN844" s="13" t="n">
        <v>0.677</v>
      </c>
      <c r="CO844" s="13" t="n">
        <v>107</v>
      </c>
      <c r="CP844" s="13" t="n">
        <v>86</v>
      </c>
      <c r="CQ844" s="13" t="n">
        <v>321</v>
      </c>
      <c r="CR844" s="13" t="n">
        <v>3</v>
      </c>
      <c r="CS844" s="13" t="n">
        <v>8.300000000000001</v>
      </c>
      <c r="CT844" s="11" t="inlineStr">
        <is>
          <t xml:space="preserve"> Resort Freeride</t>
        </is>
      </c>
      <c r="CU844" s="13" t="n"/>
      <c r="CV844" s="13" t="n"/>
      <c r="CW844" s="13" t="n"/>
      <c r="CX844">
        <f>INDEX('Data_Price '!AG$2:AG$1266,MATCH(Data!$DN844,'Data_Price '!$AT$2:$AT$1266,0))</f>
        <v/>
      </c>
      <c r="CY844">
        <f>INDEX('Data_Price '!AH$2:AH$1266,MATCH(Data!$DN844,'Data_Price '!$AT$2:$AT$1266,0))</f>
        <v/>
      </c>
      <c r="CZ844">
        <f>INDEX('Data_Price '!AI$2:AI$1266,MATCH(Data!$DN844,'Data_Price '!$AT$2:$AT$1266,0))</f>
        <v/>
      </c>
      <c r="DA844">
        <f>INDEX('Data_Price '!AJ$2:AJ$1266,MATCH(Data!$DN844,'Data_Price '!$AT$2:$AT$1266,0))</f>
        <v/>
      </c>
      <c r="DB844">
        <f>INDEX('Data_Price '!AK$2:AK$1266,MATCH(Data!$DN844,'Data_Price '!$AT$2:$AT$1266,0))</f>
        <v/>
      </c>
      <c r="DC844">
        <f>INDEX('Data_Price '!AL$2:AL$1266,MATCH(Data!$DN844,'Data_Price '!$AT$2:$AT$1266,0))</f>
        <v/>
      </c>
      <c r="DD844">
        <f>INDEX('Data_Price '!AM$2:AM$1266,MATCH(Data!$DN844,'Data_Price '!$AT$2:$AT$1266,0))</f>
        <v/>
      </c>
      <c r="DE844">
        <f>INDEX('Data_Price '!AN$2:AN$1266,MATCH(Data!$DN844,'Data_Price '!$AT$2:$AT$1266,0))</f>
        <v/>
      </c>
      <c r="DF844">
        <f>INDEX('Data_Price '!AO$2:AO$1266,MATCH(Data!$DN844,'Data_Price '!$AT$2:$AT$1266,0))</f>
        <v/>
      </c>
      <c r="DG844">
        <f>INDEX('Data_Price '!AP$2:AP$1266,MATCH(Data!$DN844,'Data_Price '!$AT$2:$AT$1266,0))</f>
        <v/>
      </c>
      <c r="DH844">
        <f>INDEX('Data_Price '!AQ$2:AQ$1266,MATCH(Data!$DN844,'Data_Price '!$AT$2:$AT$1266,0))</f>
        <v/>
      </c>
      <c r="DI844">
        <f>INDEX('Data_Price '!AR$2:AR$1266,MATCH(Data!$DN844,'Data_Price '!$AT$2:$AT$1266,0))</f>
        <v/>
      </c>
      <c r="DJ844" s="138">
        <f>DA844</f>
        <v/>
      </c>
      <c r="DK844" s="138">
        <f>DE844</f>
        <v/>
      </c>
      <c r="DL844" s="138">
        <f>DI844</f>
        <v/>
      </c>
      <c r="DM844" s="303">
        <f>IF(LEFT(BT844,1)=" ",RIGHT(BT844,LEN(BT844)-1),BT844)</f>
        <v/>
      </c>
      <c r="DN844" s="138">
        <f>_xlfn.CONCAT(BS844,DM844,BU844,BV844)</f>
        <v/>
      </c>
      <c r="DO844" s="307" t="inlineStr">
        <is>
          <t>https://images.evo.com/imgp/250/181598/727237/clone.jpg</t>
        </is>
      </c>
    </row>
    <row r="845" ht="15.6" customHeight="1" s="184">
      <c r="B845" s="303">
        <f t="array" ref="B845">IF(OR(ISERROR(K845:P845)),FALSE,TRUE)</f>
        <v/>
      </c>
      <c r="C845" s="60">
        <f>OR(BR845=Driver!$G$50,Data!BR1038=Driver!$H$50)</f>
        <v/>
      </c>
      <c r="D845" s="60">
        <f>OR(BV845=Driver!$G$51,BV845=Driver!$H$51)</f>
        <v/>
      </c>
      <c r="E845" s="60">
        <f>AND(BX845&gt;Driver!$F$54,BX845&lt;Driver!$G$54)</f>
        <v/>
      </c>
      <c r="F845" s="60">
        <f>CL845&gt;Driver!$F$56</f>
        <v/>
      </c>
      <c r="G845" s="60">
        <f>AND(CB845&gt;Driver!$F$55,CB845&lt;Driver!$G$55)</f>
        <v/>
      </c>
      <c r="H845" s="60">
        <f>AND(B845:G845)</f>
        <v/>
      </c>
      <c r="I845" s="60">
        <f>COUNTIFS($H$9:$H$1273,TRUE,$BT$9:$BT$1273,BT845)</f>
        <v/>
      </c>
      <c r="J845" s="60">
        <f t="array" ref="J845">NOT(OR(($H$9:$H$1273=TRUE)*($I$9:$I$1273&gt;0)*($BT$9:$BT$1273=BT845)*($K$9:$K$1273&gt;K845)))</f>
        <v/>
      </c>
      <c r="K845" s="108">
        <f>IFERROR(1-AVERAGE(X845:Y845),"")</f>
        <v/>
      </c>
      <c r="L845" s="108">
        <f>1-X845</f>
        <v/>
      </c>
      <c r="M845" s="108">
        <f>1-Y845</f>
        <v/>
      </c>
      <c r="N845" s="108">
        <f>1-Z845</f>
        <v/>
      </c>
      <c r="O845" s="108">
        <f>1-AA845</f>
        <v/>
      </c>
      <c r="P845" s="108">
        <f>1-AB845</f>
        <v/>
      </c>
      <c r="Q845" s="108" t="n"/>
      <c r="R845" s="108" t="n"/>
      <c r="S845" s="108">
        <f>1-AE845</f>
        <v/>
      </c>
      <c r="T845" s="108">
        <f>1-AF845</f>
        <v/>
      </c>
      <c r="U845" s="108">
        <f>1-AG845</f>
        <v/>
      </c>
      <c r="V845" s="108">
        <f>1-AH845</f>
        <v/>
      </c>
      <c r="W845" s="108">
        <f>1-AI845</f>
        <v/>
      </c>
      <c r="X845" s="108">
        <f>ABS(AJ845-AJ$1)</f>
        <v/>
      </c>
      <c r="Y845" s="108">
        <f>AVERAGE(Z845:AB845)</f>
        <v/>
      </c>
      <c r="Z845" s="108">
        <f>ABS(AL845-AL$1)</f>
        <v/>
      </c>
      <c r="AA845" s="108">
        <f>ABS(AM845-AM$1)</f>
        <v/>
      </c>
      <c r="AB845" s="108">
        <f>ABS(AN845-AN$1)</f>
        <v/>
      </c>
      <c r="AC845" s="108" t="n"/>
      <c r="AD845" s="108" t="n"/>
      <c r="AE845" s="108">
        <f>ABS(AQ$1-AQ845)</f>
        <v/>
      </c>
      <c r="AF845" s="108">
        <f>ABS(AR$1-AR845)</f>
        <v/>
      </c>
      <c r="AG845" s="108">
        <f>ABS(AS$1-AS845)</f>
        <v/>
      </c>
      <c r="AH845" s="108">
        <f>ABS(AT$1-AT845)</f>
        <v/>
      </c>
      <c r="AI845" s="108">
        <f>ABS(AU$1-AU845)</f>
        <v/>
      </c>
      <c r="AJ845" s="108">
        <f>(AV845-Driver!$K$179)/(Driver!$L$179-Driver!$K$179)</f>
        <v/>
      </c>
      <c r="AK845" s="108">
        <f>(AW845-Driver!$K$180)/(Driver!$L$180-Driver!$K$180)</f>
        <v/>
      </c>
      <c r="AL845" s="108">
        <f>(AX845-Driver!$K$181)/(Driver!$L$181-Driver!$K$181)</f>
        <v/>
      </c>
      <c r="AM845" s="108">
        <f>(AY845-Driver!$K$182)/(Driver!$L$182-Driver!$K$182)</f>
        <v/>
      </c>
      <c r="AN845" s="108">
        <f>(AZ845-Driver!$K$183)/(Driver!$L$183-Driver!$K$183)</f>
        <v/>
      </c>
      <c r="AO845" s="108" t="n"/>
      <c r="AP845" s="108" t="n"/>
      <c r="AQ845" s="108">
        <f>(BC845-Driver!$K$188)/(Driver!$L$188-Driver!$K$188)</f>
        <v/>
      </c>
      <c r="AR845" s="108">
        <f>MIN((BD845-Driver!$K$189)/(Driver!$L$189-Driver!$K$189),100%)</f>
        <v/>
      </c>
      <c r="AS845" s="108">
        <f>(BE845-Driver!$K$190)/(Driver!$L$190-Driver!$K$190)</f>
        <v/>
      </c>
      <c r="AT845" s="108">
        <f>(BF845-Driver!$K$191)/(Driver!$L$191-Driver!$K$191)</f>
        <v/>
      </c>
      <c r="AU845" s="108">
        <f>(BG845-Driver!$K$192)/(Driver!$L$192-Driver!$K$192)</f>
        <v/>
      </c>
      <c r="AV845" s="105">
        <f>IFERROR(BM845*BJ845^1/4,"")</f>
        <v/>
      </c>
      <c r="AW845" s="105">
        <f>IFERROR(SUM(AX845:AZ845),"")</f>
        <v/>
      </c>
      <c r="AX845" s="105">
        <f>IFERROR(BH845,"")</f>
        <v/>
      </c>
      <c r="AY845" s="105">
        <f>IFERROR(Driver!$K$19/Data!BH845/Data!BI845*Data!BK845*Data!BL845,"")</f>
        <v/>
      </c>
      <c r="AZ845" s="105">
        <f>IFERROR(BI845*BN845,"")</f>
        <v/>
      </c>
      <c r="BA845" s="105" t="n"/>
      <c r="BB845" s="105" t="n"/>
      <c r="BC845" s="105">
        <f>IFERROR(BI845*BN845*BK845/BJ845^(1/2),"")</f>
        <v/>
      </c>
      <c r="BD845" s="105">
        <f>IFERROR(BH845*BM845*BL845/BJ845/BK845,"")</f>
        <v/>
      </c>
      <c r="BE845" s="105">
        <f>IFERROR(MIN(BI845/BQ845/BP845/BO845/BH845,$BE$1),"")</f>
        <v/>
      </c>
      <c r="BF845" s="105">
        <f>IFERROR(BJ845*BO845*BP845/BK845,"")</f>
        <v/>
      </c>
      <c r="BG845" s="105">
        <f>IFERROR(1/BM845/BH845*BQ845,"")</f>
        <v/>
      </c>
      <c r="BH845" s="102">
        <f>MAX((CE845-Driver!$F$200)/(Driver!$G$200-Driver!$F$200)*$BI$1,1)</f>
        <v/>
      </c>
      <c r="BI845" s="102">
        <f>MAX($BI$1*(BY845-Driver!$F$201)/(Driver!$G$201-Driver!$F$201),1)</f>
        <v/>
      </c>
      <c r="BJ845" s="102">
        <f>(CB845-Driver!$F$206)/(Driver!$G$206-Driver!$F$206)*$BI$1</f>
        <v/>
      </c>
      <c r="BK845" s="102">
        <f>(CD845-Driver!$F$203)/(Driver!$G$203-Driver!$F$203)*$BI$1</f>
        <v/>
      </c>
      <c r="BL845" s="102">
        <f>MAX((CR845-Driver!$F$202)/(Driver!$G$202-Driver!$F$202)*$BI$1,1)</f>
        <v/>
      </c>
      <c r="BM845" s="102">
        <f>MAX((CH845-Driver!$F$204)/(Driver!$G$204-Driver!$F$204)*$BI$1,1)</f>
        <v/>
      </c>
      <c r="BN845" s="102">
        <f>(CI845-Driver!$F$205)/(Driver!$G$205-Driver!$F$205)*$BI$1</f>
        <v/>
      </c>
      <c r="BO845" s="102">
        <f>(CK845-Driver!$F$207)/(Driver!$G$207-Driver!$F$207)*$BI$1</f>
        <v/>
      </c>
      <c r="BP845" s="102">
        <f>(CM845-Driver!$F$208)/(Driver!$G$208-Driver!$F$208)*$BI$1</f>
        <v/>
      </c>
      <c r="BQ845" s="102">
        <f>(CL845-Driver!$F$209)/(Driver!$G$209-Driver!$F$209)*$BI$1</f>
        <v/>
      </c>
      <c r="BR845" s="40" t="inlineStr">
        <is>
          <t>21/22</t>
        </is>
      </c>
      <c r="BS845" s="10" t="inlineStr">
        <is>
          <t xml:space="preserve"> Rossignol</t>
        </is>
      </c>
      <c r="BT845" s="11" t="inlineStr">
        <is>
          <t>Hero Elite ST Ti (R22)</t>
        </is>
      </c>
      <c r="BU845" s="13" t="n">
        <v>162</v>
      </c>
      <c r="BV845" s="11" t="inlineStr">
        <is>
          <t xml:space="preserve"> Unisex</t>
        </is>
      </c>
      <c r="BW845" s="13" t="n">
        <v>162</v>
      </c>
      <c r="BX845" s="13" t="n">
        <v>160.6</v>
      </c>
      <c r="BY845" s="13" t="n">
        <v>140</v>
      </c>
      <c r="BZ845" s="13" t="n">
        <v>146</v>
      </c>
      <c r="CA845" s="13" t="n">
        <v>121</v>
      </c>
      <c r="CB845" s="13" t="n">
        <v>67</v>
      </c>
      <c r="CC845" s="13" t="n">
        <v>102</v>
      </c>
      <c r="CD845" s="13" t="n">
        <v>11.6</v>
      </c>
      <c r="CE845" s="13" t="n">
        <v>2056</v>
      </c>
      <c r="CF845" s="13" t="n">
        <v>0.66</v>
      </c>
      <c r="CG845" s="13" t="n">
        <v>1348</v>
      </c>
      <c r="CH845" s="13" t="n">
        <v>197</v>
      </c>
      <c r="CI845" s="13" t="n">
        <v>90</v>
      </c>
      <c r="CJ845" s="13" t="n">
        <v>39</v>
      </c>
      <c r="CK845" s="13" t="n">
        <v>137</v>
      </c>
      <c r="CL845" s="13" t="n">
        <v>4</v>
      </c>
      <c r="CM845" s="13" t="n">
        <v>65</v>
      </c>
      <c r="CN845" s="13" t="n">
        <v>0.111</v>
      </c>
      <c r="CO845" s="13" t="n">
        <v>78</v>
      </c>
      <c r="CP845" s="13" t="n">
        <v>63</v>
      </c>
      <c r="CQ845" s="13" t="n">
        <v>59</v>
      </c>
      <c r="CR845" s="13" t="n">
        <v>13</v>
      </c>
      <c r="CS845" s="13" t="n">
        <v>8.9</v>
      </c>
      <c r="CT845" s="11" t="inlineStr">
        <is>
          <t xml:space="preserve"> On-Piste Carving</t>
        </is>
      </c>
      <c r="CU845" s="13" t="n"/>
      <c r="CV845" s="13" t="n"/>
      <c r="CW845" s="13" t="n"/>
      <c r="CX845">
        <f>INDEX('Data_Price '!AG$2:AG$1266,MATCH(Data!$DN845,'Data_Price '!$AT$2:$AT$1266,0))</f>
        <v/>
      </c>
      <c r="CY845">
        <f>INDEX('Data_Price '!AH$2:AH$1266,MATCH(Data!$DN845,'Data_Price '!$AT$2:$AT$1266,0))</f>
        <v/>
      </c>
      <c r="CZ845">
        <f>INDEX('Data_Price '!AI$2:AI$1266,MATCH(Data!$DN845,'Data_Price '!$AT$2:$AT$1266,0))</f>
        <v/>
      </c>
      <c r="DA845">
        <f>INDEX('Data_Price '!AJ$2:AJ$1266,MATCH(Data!$DN845,'Data_Price '!$AT$2:$AT$1266,0))</f>
        <v/>
      </c>
      <c r="DB845">
        <f>INDEX('Data_Price '!AK$2:AK$1266,MATCH(Data!$DN845,'Data_Price '!$AT$2:$AT$1266,0))</f>
        <v/>
      </c>
      <c r="DC845">
        <f>INDEX('Data_Price '!AL$2:AL$1266,MATCH(Data!$DN845,'Data_Price '!$AT$2:$AT$1266,0))</f>
        <v/>
      </c>
      <c r="DD845">
        <f>INDEX('Data_Price '!AM$2:AM$1266,MATCH(Data!$DN845,'Data_Price '!$AT$2:$AT$1266,0))</f>
        <v/>
      </c>
      <c r="DE845">
        <f>INDEX('Data_Price '!AN$2:AN$1266,MATCH(Data!$DN845,'Data_Price '!$AT$2:$AT$1266,0))</f>
        <v/>
      </c>
      <c r="DF845">
        <f>INDEX('Data_Price '!AO$2:AO$1266,MATCH(Data!$DN845,'Data_Price '!$AT$2:$AT$1266,0))</f>
        <v/>
      </c>
      <c r="DG845">
        <f>INDEX('Data_Price '!AP$2:AP$1266,MATCH(Data!$DN845,'Data_Price '!$AT$2:$AT$1266,0))</f>
        <v/>
      </c>
      <c r="DH845">
        <f>INDEX('Data_Price '!AQ$2:AQ$1266,MATCH(Data!$DN845,'Data_Price '!$AT$2:$AT$1266,0))</f>
        <v/>
      </c>
      <c r="DI845">
        <f>INDEX('Data_Price '!AR$2:AR$1266,MATCH(Data!$DN845,'Data_Price '!$AT$2:$AT$1266,0))</f>
        <v/>
      </c>
      <c r="DJ845" s="138">
        <f>DA845</f>
        <v/>
      </c>
      <c r="DK845" s="138">
        <f>DE845</f>
        <v/>
      </c>
      <c r="DL845" s="138">
        <f>DI845</f>
        <v/>
      </c>
      <c r="DM845" s="303">
        <f>IF(LEFT(BT845,1)=" ",RIGHT(BT845,LEN(BT845)-1),BT845)</f>
        <v/>
      </c>
      <c r="DN845" s="138">
        <f>_xlfn.CONCAT(BS845,DM845,BU845,BV845)</f>
        <v/>
      </c>
      <c r="DO845" s="307" t="n"/>
    </row>
    <row r="846" ht="15.6" customHeight="1" s="184">
      <c r="B846" s="303">
        <f t="array" ref="B846">IF(OR(ISERROR(K846:P846)),FALSE,TRUE)</f>
        <v/>
      </c>
      <c r="C846" s="60">
        <f>OR(BR846=Driver!$G$50,Data!BR897=Driver!$H$50)</f>
        <v/>
      </c>
      <c r="D846" s="60">
        <f>OR(BV846=Driver!$G$51,BV846=Driver!$H$51)</f>
        <v/>
      </c>
      <c r="E846" s="60">
        <f>AND(BX846&gt;Driver!$F$54,BX846&lt;Driver!$G$54)</f>
        <v/>
      </c>
      <c r="F846" s="60">
        <f>CL846&gt;Driver!$F$56</f>
        <v/>
      </c>
      <c r="G846" s="60">
        <f>AND(CB846&gt;Driver!$F$55,CB846&lt;Driver!$G$55)</f>
        <v/>
      </c>
      <c r="H846" s="60">
        <f>AND(B846:G846)</f>
        <v/>
      </c>
      <c r="I846" s="60">
        <f>COUNTIFS($H$9:$H$1273,TRUE,$BT$9:$BT$1273,BT846)</f>
        <v/>
      </c>
      <c r="J846" s="60">
        <f t="array" ref="J846">NOT(OR(($H$9:$H$1273=TRUE)*($I$9:$I$1273&gt;0)*($BT$9:$BT$1273=BT846)*($K$9:$K$1273&gt;K846)))</f>
        <v/>
      </c>
      <c r="K846" s="108">
        <f>IFERROR(1-AVERAGE(X846:Y846),"")</f>
        <v/>
      </c>
      <c r="L846" s="108">
        <f>1-X846</f>
        <v/>
      </c>
      <c r="M846" s="108">
        <f>1-Y846</f>
        <v/>
      </c>
      <c r="N846" s="108">
        <f>1-Z846</f>
        <v/>
      </c>
      <c r="O846" s="108">
        <f>1-AA846</f>
        <v/>
      </c>
      <c r="P846" s="108">
        <f>1-AB846</f>
        <v/>
      </c>
      <c r="Q846" s="108" t="n"/>
      <c r="R846" s="108" t="n"/>
      <c r="S846" s="108">
        <f>1-AE846</f>
        <v/>
      </c>
      <c r="T846" s="108">
        <f>1-AF846</f>
        <v/>
      </c>
      <c r="U846" s="108">
        <f>1-AG846</f>
        <v/>
      </c>
      <c r="V846" s="108">
        <f>1-AH846</f>
        <v/>
      </c>
      <c r="W846" s="108">
        <f>1-AI846</f>
        <v/>
      </c>
      <c r="X846" s="108">
        <f>ABS(AJ846-AJ$1)</f>
        <v/>
      </c>
      <c r="Y846" s="108">
        <f>AVERAGE(Z846:AB846)</f>
        <v/>
      </c>
      <c r="Z846" s="108">
        <f>ABS(AL846-AL$1)</f>
        <v/>
      </c>
      <c r="AA846" s="108">
        <f>ABS(AM846-AM$1)</f>
        <v/>
      </c>
      <c r="AB846" s="108">
        <f>ABS(AN846-AN$1)</f>
        <v/>
      </c>
      <c r="AC846" s="108" t="n"/>
      <c r="AD846" s="108" t="n"/>
      <c r="AE846" s="108">
        <f>ABS(AQ$1-AQ846)</f>
        <v/>
      </c>
      <c r="AF846" s="108">
        <f>ABS(AR$1-AR846)</f>
        <v/>
      </c>
      <c r="AG846" s="108">
        <f>ABS(AS$1-AS846)</f>
        <v/>
      </c>
      <c r="AH846" s="108">
        <f>ABS(AT$1-AT846)</f>
        <v/>
      </c>
      <c r="AI846" s="108">
        <f>ABS(AU$1-AU846)</f>
        <v/>
      </c>
      <c r="AJ846" s="108">
        <f>(AV846-Driver!$K$179)/(Driver!$L$179-Driver!$K$179)</f>
        <v/>
      </c>
      <c r="AK846" s="108">
        <f>(AW846-Driver!$K$180)/(Driver!$L$180-Driver!$K$180)</f>
        <v/>
      </c>
      <c r="AL846" s="108">
        <f>(AX846-Driver!$K$181)/(Driver!$L$181-Driver!$K$181)</f>
        <v/>
      </c>
      <c r="AM846" s="108">
        <f>(AY846-Driver!$K$182)/(Driver!$L$182-Driver!$K$182)</f>
        <v/>
      </c>
      <c r="AN846" s="108">
        <f>(AZ846-Driver!$K$183)/(Driver!$L$183-Driver!$K$183)</f>
        <v/>
      </c>
      <c r="AO846" s="108" t="n"/>
      <c r="AP846" s="108" t="n"/>
      <c r="AQ846" s="108">
        <f>(BC846-Driver!$K$188)/(Driver!$L$188-Driver!$K$188)</f>
        <v/>
      </c>
      <c r="AR846" s="108">
        <f>MIN((BD846-Driver!$K$189)/(Driver!$L$189-Driver!$K$189),100%)</f>
        <v/>
      </c>
      <c r="AS846" s="108">
        <f>(BE846-Driver!$K$190)/(Driver!$L$190-Driver!$K$190)</f>
        <v/>
      </c>
      <c r="AT846" s="108">
        <f>(BF846-Driver!$K$191)/(Driver!$L$191-Driver!$K$191)</f>
        <v/>
      </c>
      <c r="AU846" s="108">
        <f>(BG846-Driver!$K$192)/(Driver!$L$192-Driver!$K$192)</f>
        <v/>
      </c>
      <c r="AV846" s="105">
        <f>IFERROR(BM846*BJ846^1/4,"")</f>
        <v/>
      </c>
      <c r="AW846" s="105">
        <f>IFERROR(SUM(AX846:AZ846),"")</f>
        <v/>
      </c>
      <c r="AX846" s="105">
        <f>IFERROR(BH846,"")</f>
        <v/>
      </c>
      <c r="AY846" s="105">
        <f>IFERROR(Driver!$K$19/Data!BH846/Data!BI846*Data!BK846*Data!BL846,"")</f>
        <v/>
      </c>
      <c r="AZ846" s="105">
        <f>IFERROR(BI846*BN846,"")</f>
        <v/>
      </c>
      <c r="BA846" s="105" t="n"/>
      <c r="BB846" s="105" t="n"/>
      <c r="BC846" s="105">
        <f>IFERROR(BI846*BN846*BK846/BJ846^(1/2),"")</f>
        <v/>
      </c>
      <c r="BD846" s="105">
        <f>IFERROR(BH846*BM846*BL846/BJ846/BK846,"")</f>
        <v/>
      </c>
      <c r="BE846" s="105">
        <f>IFERROR(MIN(BI846/BQ846/BP846/BO846/BH846,$BE$1),"")</f>
        <v/>
      </c>
      <c r="BF846" s="105">
        <f>IFERROR(BJ846*BO846*BP846/BK846,"")</f>
        <v/>
      </c>
      <c r="BG846" s="105">
        <f>IFERROR(1/BM846/BH846*BQ846,"")</f>
        <v/>
      </c>
      <c r="BH846" s="102">
        <f>MAX((CE846-Driver!$F$200)/(Driver!$G$200-Driver!$F$200)*$BI$1,1)</f>
        <v/>
      </c>
      <c r="BI846" s="102">
        <f>MAX($BI$1*(BY846-Driver!$F$201)/(Driver!$G$201-Driver!$F$201),1)</f>
        <v/>
      </c>
      <c r="BJ846" s="102">
        <f>(CB846-Driver!$F$206)/(Driver!$G$206-Driver!$F$206)*$BI$1</f>
        <v/>
      </c>
      <c r="BK846" s="102">
        <f>(CD846-Driver!$F$203)/(Driver!$G$203-Driver!$F$203)*$BI$1</f>
        <v/>
      </c>
      <c r="BL846" s="102">
        <f>MAX((CR846-Driver!$F$202)/(Driver!$G$202-Driver!$F$202)*$BI$1,1)</f>
        <v/>
      </c>
      <c r="BM846" s="102">
        <f>MAX((CH846-Driver!$F$204)/(Driver!$G$204-Driver!$F$204)*$BI$1,1)</f>
        <v/>
      </c>
      <c r="BN846" s="102">
        <f>(CI846-Driver!$F$205)/(Driver!$G$205-Driver!$F$205)*$BI$1</f>
        <v/>
      </c>
      <c r="BO846" s="102">
        <f>(CK846-Driver!$F$207)/(Driver!$G$207-Driver!$F$207)*$BI$1</f>
        <v/>
      </c>
      <c r="BP846" s="102">
        <f>(CM846-Driver!$F$208)/(Driver!$G$208-Driver!$F$208)*$BI$1</f>
        <v/>
      </c>
      <c r="BQ846" s="102">
        <f>(CL846-Driver!$F$209)/(Driver!$G$209-Driver!$F$209)*$BI$1</f>
        <v/>
      </c>
      <c r="BR846" s="40" t="inlineStr">
        <is>
          <t>21/22</t>
        </is>
      </c>
      <c r="BS846" s="10" t="inlineStr">
        <is>
          <t xml:space="preserve"> Nordica</t>
        </is>
      </c>
      <c r="BT846" s="11" t="inlineStr">
        <is>
          <t>Enforcer 104 Free</t>
        </is>
      </c>
      <c r="BU846" s="13" t="n">
        <v>179</v>
      </c>
      <c r="BV846" s="11" t="inlineStr">
        <is>
          <t xml:space="preserve"> Unisex</t>
        </is>
      </c>
      <c r="BW846" s="13" t="n">
        <v>179</v>
      </c>
      <c r="BX846" s="13" t="n">
        <v>178</v>
      </c>
      <c r="BY846" s="13" t="n">
        <v>123</v>
      </c>
      <c r="BZ846" s="13" t="n">
        <v>148</v>
      </c>
      <c r="CA846" s="13" t="n">
        <v>135</v>
      </c>
      <c r="CB846" s="13" t="n">
        <v>103</v>
      </c>
      <c r="CC846" s="13" t="n">
        <v>126</v>
      </c>
      <c r="CD846" s="13" t="n">
        <v>17.3</v>
      </c>
      <c r="CE846" s="13" t="n">
        <v>2115</v>
      </c>
      <c r="CF846" s="13" t="n">
        <v>0.96</v>
      </c>
      <c r="CG846" s="13" t="n">
        <v>2030</v>
      </c>
      <c r="CH846" s="13" t="n">
        <v>209</v>
      </c>
      <c r="CI846" s="13" t="n">
        <v>131</v>
      </c>
      <c r="CJ846" s="13" t="n">
        <v>53</v>
      </c>
      <c r="CK846" s="13" t="n">
        <v>304</v>
      </c>
      <c r="CL846" s="13" t="n">
        <v>36</v>
      </c>
      <c r="CM846" s="13" t="n">
        <v>248</v>
      </c>
      <c r="CN846" s="13" t="n">
        <v>0.669</v>
      </c>
      <c r="CO846" s="13" t="n">
        <v>150</v>
      </c>
      <c r="CP846" s="13" t="n">
        <v>148</v>
      </c>
      <c r="CQ846" s="13" t="n">
        <v>155</v>
      </c>
      <c r="CR846" s="13" t="n">
        <v>7</v>
      </c>
      <c r="CS846" s="13" t="n">
        <v>9</v>
      </c>
      <c r="CT846" s="11" t="inlineStr">
        <is>
          <t xml:space="preserve"> Resort Freeride</t>
        </is>
      </c>
      <c r="CU846" s="11" t="inlineStr">
        <is>
          <t xml:space="preserve"> Powder</t>
        </is>
      </c>
      <c r="CV846" s="13" t="n"/>
      <c r="CW846" s="13" t="n"/>
      <c r="CX846">
        <f>INDEX('Data_Price '!AG$2:AG$1266,MATCH(Data!$DN846,'Data_Price '!$AT$2:$AT$1266,0))</f>
        <v/>
      </c>
      <c r="CY846">
        <f>INDEX('Data_Price '!AH$2:AH$1266,MATCH(Data!$DN846,'Data_Price '!$AT$2:$AT$1266,0))</f>
        <v/>
      </c>
      <c r="CZ846">
        <f>INDEX('Data_Price '!AI$2:AI$1266,MATCH(Data!$DN846,'Data_Price '!$AT$2:$AT$1266,0))</f>
        <v/>
      </c>
      <c r="DA846">
        <f>INDEX('Data_Price '!AJ$2:AJ$1266,MATCH(Data!$DN846,'Data_Price '!$AT$2:$AT$1266,0))</f>
        <v/>
      </c>
      <c r="DB846">
        <f>INDEX('Data_Price '!AK$2:AK$1266,MATCH(Data!$DN846,'Data_Price '!$AT$2:$AT$1266,0))</f>
        <v/>
      </c>
      <c r="DC846">
        <f>INDEX('Data_Price '!AL$2:AL$1266,MATCH(Data!$DN846,'Data_Price '!$AT$2:$AT$1266,0))</f>
        <v/>
      </c>
      <c r="DD846">
        <f>INDEX('Data_Price '!AM$2:AM$1266,MATCH(Data!$DN846,'Data_Price '!$AT$2:$AT$1266,0))</f>
        <v/>
      </c>
      <c r="DE846">
        <f>INDEX('Data_Price '!AN$2:AN$1266,MATCH(Data!$DN846,'Data_Price '!$AT$2:$AT$1266,0))</f>
        <v/>
      </c>
      <c r="DF846">
        <f>INDEX('Data_Price '!AO$2:AO$1266,MATCH(Data!$DN846,'Data_Price '!$AT$2:$AT$1266,0))</f>
        <v/>
      </c>
      <c r="DG846">
        <f>INDEX('Data_Price '!AP$2:AP$1266,MATCH(Data!$DN846,'Data_Price '!$AT$2:$AT$1266,0))</f>
        <v/>
      </c>
      <c r="DH846">
        <f>INDEX('Data_Price '!AQ$2:AQ$1266,MATCH(Data!$DN846,'Data_Price '!$AT$2:$AT$1266,0))</f>
        <v/>
      </c>
      <c r="DI846">
        <f>INDEX('Data_Price '!AR$2:AR$1266,MATCH(Data!$DN846,'Data_Price '!$AT$2:$AT$1266,0))</f>
        <v/>
      </c>
      <c r="DJ846" s="138">
        <f>DA846</f>
        <v/>
      </c>
      <c r="DK846" s="138">
        <f>DE846</f>
        <v/>
      </c>
      <c r="DL846" s="138">
        <f>DI846</f>
        <v/>
      </c>
      <c r="DM846" s="303">
        <f>IF(LEFT(BT846,1)=" ",RIGHT(BT846,LEN(BT846)-1),BT846)</f>
        <v/>
      </c>
      <c r="DN846" s="138">
        <f>_xlfn.CONCAT(BS846,DM846,BU846,BV846)</f>
        <v/>
      </c>
      <c r="DO846" s="307" t="inlineStr">
        <is>
          <t>https://images.evo.com/imgp/250/198260/792330/clone.jpg</t>
        </is>
      </c>
    </row>
    <row r="847" ht="15.6" customHeight="1" s="184">
      <c r="B847" s="303">
        <f t="array" ref="B847">IF(OR(ISERROR(K847:P847)),FALSE,TRUE)</f>
        <v/>
      </c>
      <c r="C847" s="60">
        <f>OR(BR847=Driver!$G$50,Data!BR162=Driver!$H$50)</f>
        <v/>
      </c>
      <c r="D847" s="60">
        <f>OR(BV847=Driver!$G$51,BV847=Driver!$H$51)</f>
        <v/>
      </c>
      <c r="E847" s="60">
        <f>AND(BX847&gt;Driver!$F$54,BX847&lt;Driver!$G$54)</f>
        <v/>
      </c>
      <c r="F847" s="60">
        <f>CL847&gt;Driver!$F$56</f>
        <v/>
      </c>
      <c r="G847" s="60">
        <f>AND(CB847&gt;Driver!$F$55,CB847&lt;Driver!$G$55)</f>
        <v/>
      </c>
      <c r="H847" s="60">
        <f>AND(B847:G847)</f>
        <v/>
      </c>
      <c r="I847" s="60">
        <f>COUNTIFS($H$9:$H$1273,TRUE,$BT$9:$BT$1273,BT847)</f>
        <v/>
      </c>
      <c r="J847" s="60">
        <f t="array" ref="J847">NOT(OR(($H$9:$H$1273=TRUE)*($I$9:$I$1273&gt;0)*($BT$9:$BT$1273=BT847)*($K$9:$K$1273&gt;K847)))</f>
        <v/>
      </c>
      <c r="K847" s="108">
        <f>IFERROR(1-AVERAGE(X847:Y847),"")</f>
        <v/>
      </c>
      <c r="L847" s="108">
        <f>1-X847</f>
        <v/>
      </c>
      <c r="M847" s="108">
        <f>1-Y847</f>
        <v/>
      </c>
      <c r="N847" s="108">
        <f>1-Z847</f>
        <v/>
      </c>
      <c r="O847" s="108">
        <f>1-AA847</f>
        <v/>
      </c>
      <c r="P847" s="108">
        <f>1-AB847</f>
        <v/>
      </c>
      <c r="Q847" s="108" t="n"/>
      <c r="R847" s="108" t="n"/>
      <c r="S847" s="108">
        <f>1-AE847</f>
        <v/>
      </c>
      <c r="T847" s="108">
        <f>1-AF847</f>
        <v/>
      </c>
      <c r="U847" s="108">
        <f>1-AG847</f>
        <v/>
      </c>
      <c r="V847" s="108">
        <f>1-AH847</f>
        <v/>
      </c>
      <c r="W847" s="108">
        <f>1-AI847</f>
        <v/>
      </c>
      <c r="X847" s="108">
        <f>ABS(AJ847-AJ$1)</f>
        <v/>
      </c>
      <c r="Y847" s="108">
        <f>AVERAGE(Z847:AB847)</f>
        <v/>
      </c>
      <c r="Z847" s="108">
        <f>ABS(AL847-AL$1)</f>
        <v/>
      </c>
      <c r="AA847" s="108">
        <f>ABS(AM847-AM$1)</f>
        <v/>
      </c>
      <c r="AB847" s="108">
        <f>ABS(AN847-AN$1)</f>
        <v/>
      </c>
      <c r="AC847" s="108" t="n"/>
      <c r="AD847" s="108" t="n"/>
      <c r="AE847" s="108">
        <f>ABS(AQ$1-AQ847)</f>
        <v/>
      </c>
      <c r="AF847" s="108">
        <f>ABS(AR$1-AR847)</f>
        <v/>
      </c>
      <c r="AG847" s="108">
        <f>ABS(AS$1-AS847)</f>
        <v/>
      </c>
      <c r="AH847" s="108">
        <f>ABS(AT$1-AT847)</f>
        <v/>
      </c>
      <c r="AI847" s="108">
        <f>ABS(AU$1-AU847)</f>
        <v/>
      </c>
      <c r="AJ847" s="108">
        <f>(AV847-Driver!$K$179)/(Driver!$L$179-Driver!$K$179)</f>
        <v/>
      </c>
      <c r="AK847" s="108">
        <f>(AW847-Driver!$K$180)/(Driver!$L$180-Driver!$K$180)</f>
        <v/>
      </c>
      <c r="AL847" s="108">
        <f>(AX847-Driver!$K$181)/(Driver!$L$181-Driver!$K$181)</f>
        <v/>
      </c>
      <c r="AM847" s="108">
        <f>(AY847-Driver!$K$182)/(Driver!$L$182-Driver!$K$182)</f>
        <v/>
      </c>
      <c r="AN847" s="108">
        <f>(AZ847-Driver!$K$183)/(Driver!$L$183-Driver!$K$183)</f>
        <v/>
      </c>
      <c r="AO847" s="108" t="n"/>
      <c r="AP847" s="108" t="n"/>
      <c r="AQ847" s="108">
        <f>(BC847-Driver!$K$188)/(Driver!$L$188-Driver!$K$188)</f>
        <v/>
      </c>
      <c r="AR847" s="108">
        <f>MIN((BD847-Driver!$K$189)/(Driver!$L$189-Driver!$K$189),100%)</f>
        <v/>
      </c>
      <c r="AS847" s="108">
        <f>(BE847-Driver!$K$190)/(Driver!$L$190-Driver!$K$190)</f>
        <v/>
      </c>
      <c r="AT847" s="108">
        <f>(BF847-Driver!$K$191)/(Driver!$L$191-Driver!$K$191)</f>
        <v/>
      </c>
      <c r="AU847" s="108">
        <f>(BG847-Driver!$K$192)/(Driver!$L$192-Driver!$K$192)</f>
        <v/>
      </c>
      <c r="AV847" s="105">
        <f>IFERROR(BM847*BJ847^1/4,"")</f>
        <v/>
      </c>
      <c r="AW847" s="105">
        <f>IFERROR(SUM(AX847:AZ847),"")</f>
        <v/>
      </c>
      <c r="AX847" s="105">
        <f>IFERROR(BH847,"")</f>
        <v/>
      </c>
      <c r="AY847" s="105">
        <f>IFERROR(Driver!$K$19/Data!BH847/Data!BI847*Data!BK847*Data!BL847,"")</f>
        <v/>
      </c>
      <c r="AZ847" s="105">
        <f>IFERROR(BI847*BN847,"")</f>
        <v/>
      </c>
      <c r="BA847" s="105" t="n"/>
      <c r="BB847" s="105" t="n"/>
      <c r="BC847" s="105">
        <f>IFERROR(BI847*BN847*BK847/BJ847^(1/2),"")</f>
        <v/>
      </c>
      <c r="BD847" s="105">
        <f>IFERROR(BH847*BM847*BL847/BJ847/BK847,"")</f>
        <v/>
      </c>
      <c r="BE847" s="105">
        <f>IFERROR(MIN(BI847/BQ847/BP847/BO847/BH847,$BE$1),"")</f>
        <v/>
      </c>
      <c r="BF847" s="105">
        <f>IFERROR(BJ847*BO847*BP847/BK847,"")</f>
        <v/>
      </c>
      <c r="BG847" s="105">
        <f>IFERROR(1/BM847/BH847*BQ847,"")</f>
        <v/>
      </c>
      <c r="BH847" s="102">
        <f>MAX((CE847-Driver!$F$200)/(Driver!$G$200-Driver!$F$200)*$BI$1,1)</f>
        <v/>
      </c>
      <c r="BI847" s="102">
        <f>MAX($BI$1*(BY847-Driver!$F$201)/(Driver!$G$201-Driver!$F$201),1)</f>
        <v/>
      </c>
      <c r="BJ847" s="102">
        <f>(CB847-Driver!$F$206)/(Driver!$G$206-Driver!$F$206)*$BI$1</f>
        <v/>
      </c>
      <c r="BK847" s="102">
        <f>(CD847-Driver!$F$203)/(Driver!$G$203-Driver!$F$203)*$BI$1</f>
        <v/>
      </c>
      <c r="BL847" s="102">
        <f>MAX((CR847-Driver!$F$202)/(Driver!$G$202-Driver!$F$202)*$BI$1,1)</f>
        <v/>
      </c>
      <c r="BM847" s="102">
        <f>MAX((CH847-Driver!$F$204)/(Driver!$G$204-Driver!$F$204)*$BI$1,1)</f>
        <v/>
      </c>
      <c r="BN847" s="102">
        <f>(CI847-Driver!$F$205)/(Driver!$G$205-Driver!$F$205)*$BI$1</f>
        <v/>
      </c>
      <c r="BO847" s="102">
        <f>(CK847-Driver!$F$207)/(Driver!$G$207-Driver!$F$207)*$BI$1</f>
        <v/>
      </c>
      <c r="BP847" s="102">
        <f>(CM847-Driver!$F$208)/(Driver!$G$208-Driver!$F$208)*$BI$1</f>
        <v/>
      </c>
      <c r="BQ847" s="102">
        <f>(CL847-Driver!$F$209)/(Driver!$G$209-Driver!$F$209)*$BI$1</f>
        <v/>
      </c>
      <c r="BR847" s="40" t="inlineStr">
        <is>
          <t>21/22</t>
        </is>
      </c>
      <c r="BS847" s="10" t="inlineStr">
        <is>
          <t xml:space="preserve"> Atomic</t>
        </is>
      </c>
      <c r="BT847" s="11" t="inlineStr">
        <is>
          <t>Maverick 83</t>
        </is>
      </c>
      <c r="BU847" s="13" t="n">
        <v>181</v>
      </c>
      <c r="BV847" s="11" t="inlineStr">
        <is>
          <t xml:space="preserve"> Unisex</t>
        </is>
      </c>
      <c r="BW847" s="13" t="n">
        <v>181</v>
      </c>
      <c r="BX847" s="13" t="n">
        <v>179.6</v>
      </c>
      <c r="BY847" s="13" t="n">
        <v>151</v>
      </c>
      <c r="BZ847" s="13" t="n">
        <v>159</v>
      </c>
      <c r="CA847" s="13" t="n">
        <v>123</v>
      </c>
      <c r="CB847" s="13" t="n">
        <v>81</v>
      </c>
      <c r="CC847" s="13" t="n">
        <v>107</v>
      </c>
      <c r="CD847" s="13" t="n">
        <v>16.9</v>
      </c>
      <c r="CE847" s="13" t="n">
        <v>2079</v>
      </c>
      <c r="CF847" s="13" t="n">
        <v>0.82</v>
      </c>
      <c r="CG847" s="13" t="n">
        <v>1704</v>
      </c>
      <c r="CH847" s="13" t="n">
        <v>213</v>
      </c>
      <c r="CI847" s="13" t="n">
        <v>102</v>
      </c>
      <c r="CJ847" s="13" t="n">
        <v>42</v>
      </c>
      <c r="CK847" s="13" t="n">
        <v>178</v>
      </c>
      <c r="CL847" s="13" t="n">
        <v>21</v>
      </c>
      <c r="CM847" s="13" t="n">
        <v>111</v>
      </c>
      <c r="CN847" s="13" t="n">
        <v>0.495</v>
      </c>
      <c r="CO847" s="13" t="n">
        <v>112</v>
      </c>
      <c r="CP847" s="13" t="n">
        <v>91</v>
      </c>
      <c r="CQ847" s="13" t="n">
        <v>66</v>
      </c>
      <c r="CR847" s="13" t="n">
        <v>13</v>
      </c>
      <c r="CS847" s="13" t="n">
        <v>8.5</v>
      </c>
      <c r="CT847" s="11" t="inlineStr">
        <is>
          <t xml:space="preserve"> Resort Freeride</t>
        </is>
      </c>
      <c r="CU847" s="13" t="n"/>
      <c r="CV847" s="13" t="n"/>
      <c r="CW847" s="13" t="n"/>
      <c r="CX847">
        <f>INDEX('Data_Price '!AG$2:AG$1266,MATCH(Data!$DN847,'Data_Price '!$AT$2:$AT$1266,0))</f>
        <v/>
      </c>
      <c r="CY847">
        <f>INDEX('Data_Price '!AH$2:AH$1266,MATCH(Data!$DN847,'Data_Price '!$AT$2:$AT$1266,0))</f>
        <v/>
      </c>
      <c r="CZ847">
        <f>INDEX('Data_Price '!AI$2:AI$1266,MATCH(Data!$DN847,'Data_Price '!$AT$2:$AT$1266,0))</f>
        <v/>
      </c>
      <c r="DA847">
        <f>INDEX('Data_Price '!AJ$2:AJ$1266,MATCH(Data!$DN847,'Data_Price '!$AT$2:$AT$1266,0))</f>
        <v/>
      </c>
      <c r="DB847">
        <f>INDEX('Data_Price '!AK$2:AK$1266,MATCH(Data!$DN847,'Data_Price '!$AT$2:$AT$1266,0))</f>
        <v/>
      </c>
      <c r="DC847">
        <f>INDEX('Data_Price '!AL$2:AL$1266,MATCH(Data!$DN847,'Data_Price '!$AT$2:$AT$1266,0))</f>
        <v/>
      </c>
      <c r="DD847">
        <f>INDEX('Data_Price '!AM$2:AM$1266,MATCH(Data!$DN847,'Data_Price '!$AT$2:$AT$1266,0))</f>
        <v/>
      </c>
      <c r="DE847">
        <f>INDEX('Data_Price '!AN$2:AN$1266,MATCH(Data!$DN847,'Data_Price '!$AT$2:$AT$1266,0))</f>
        <v/>
      </c>
      <c r="DF847">
        <f>INDEX('Data_Price '!AO$2:AO$1266,MATCH(Data!$DN847,'Data_Price '!$AT$2:$AT$1266,0))</f>
        <v/>
      </c>
      <c r="DG847">
        <f>INDEX('Data_Price '!AP$2:AP$1266,MATCH(Data!$DN847,'Data_Price '!$AT$2:$AT$1266,0))</f>
        <v/>
      </c>
      <c r="DH847">
        <f>INDEX('Data_Price '!AQ$2:AQ$1266,MATCH(Data!$DN847,'Data_Price '!$AT$2:$AT$1266,0))</f>
        <v/>
      </c>
      <c r="DI847">
        <f>INDEX('Data_Price '!AR$2:AR$1266,MATCH(Data!$DN847,'Data_Price '!$AT$2:$AT$1266,0))</f>
        <v/>
      </c>
      <c r="DJ847" s="138">
        <f>DA847</f>
        <v/>
      </c>
      <c r="DK847" s="138">
        <f>DE847</f>
        <v/>
      </c>
      <c r="DL847" s="138">
        <f>DI847</f>
        <v/>
      </c>
      <c r="DM847" s="303">
        <f>IF(LEFT(BT847,1)=" ",RIGHT(BT847,LEN(BT847)-1),BT847)</f>
        <v/>
      </c>
      <c r="DN847" s="138">
        <f>_xlfn.CONCAT(BS847,DM847,BU847,BV847)</f>
        <v/>
      </c>
      <c r="DO847" s="307" t="inlineStr">
        <is>
          <t>https://images.evo.com/imgp/250/197826/826871/atomic-maverick-83-skis-m10-gw-bindings-2022-.jpg</t>
        </is>
      </c>
    </row>
    <row r="848" ht="15.6" customHeight="1" s="184">
      <c r="B848" s="303">
        <f t="array" ref="B848">IF(OR(ISERROR(K848:P848)),FALSE,TRUE)</f>
        <v/>
      </c>
      <c r="C848" s="60">
        <f>OR(BR848=Driver!$G$50,Data!BR640=Driver!$H$50)</f>
        <v/>
      </c>
      <c r="D848" s="60">
        <f>OR(BV848=Driver!$G$51,BV848=Driver!$H$51)</f>
        <v/>
      </c>
      <c r="E848" s="60">
        <f>AND(BX848&gt;Driver!$F$54,BX848&lt;Driver!$G$54)</f>
        <v/>
      </c>
      <c r="F848" s="60">
        <f>CL848&gt;Driver!$F$56</f>
        <v/>
      </c>
      <c r="G848" s="60">
        <f>AND(CB848&gt;Driver!$F$55,CB848&lt;Driver!$G$55)</f>
        <v/>
      </c>
      <c r="H848" s="60">
        <f>AND(B848:G848)</f>
        <v/>
      </c>
      <c r="I848" s="60">
        <f>COUNTIFS($H$9:$H$1273,TRUE,$BT$9:$BT$1273,BT848)</f>
        <v/>
      </c>
      <c r="J848" s="60">
        <f t="array" ref="J848">NOT(OR(($H$9:$H$1273=TRUE)*($I$9:$I$1273&gt;0)*($BT$9:$BT$1273=BT848)*($K$9:$K$1273&gt;K848)))</f>
        <v/>
      </c>
      <c r="K848" s="108">
        <f>IFERROR(1-AVERAGE(X848:Y848),"")</f>
        <v/>
      </c>
      <c r="L848" s="108">
        <f>1-X848</f>
        <v/>
      </c>
      <c r="M848" s="108">
        <f>1-Y848</f>
        <v/>
      </c>
      <c r="N848" s="108">
        <f>1-Z848</f>
        <v/>
      </c>
      <c r="O848" s="108">
        <f>1-AA848</f>
        <v/>
      </c>
      <c r="P848" s="108">
        <f>1-AB848</f>
        <v/>
      </c>
      <c r="Q848" s="108" t="n"/>
      <c r="R848" s="108" t="n"/>
      <c r="S848" s="108">
        <f>1-AE848</f>
        <v/>
      </c>
      <c r="T848" s="108">
        <f>1-AF848</f>
        <v/>
      </c>
      <c r="U848" s="108">
        <f>1-AG848</f>
        <v/>
      </c>
      <c r="V848" s="108">
        <f>1-AH848</f>
        <v/>
      </c>
      <c r="W848" s="108">
        <f>1-AI848</f>
        <v/>
      </c>
      <c r="X848" s="108">
        <f>ABS(AJ848-AJ$1)</f>
        <v/>
      </c>
      <c r="Y848" s="108">
        <f>AVERAGE(Z848:AB848)</f>
        <v/>
      </c>
      <c r="Z848" s="108">
        <f>ABS(AL848-AL$1)</f>
        <v/>
      </c>
      <c r="AA848" s="108">
        <f>ABS(AM848-AM$1)</f>
        <v/>
      </c>
      <c r="AB848" s="108">
        <f>ABS(AN848-AN$1)</f>
        <v/>
      </c>
      <c r="AC848" s="108" t="n"/>
      <c r="AD848" s="108" t="n"/>
      <c r="AE848" s="108">
        <f>ABS(AQ$1-AQ848)</f>
        <v/>
      </c>
      <c r="AF848" s="108">
        <f>ABS(AR$1-AR848)</f>
        <v/>
      </c>
      <c r="AG848" s="108">
        <f>ABS(AS$1-AS848)</f>
        <v/>
      </c>
      <c r="AH848" s="108">
        <f>ABS(AT$1-AT848)</f>
        <v/>
      </c>
      <c r="AI848" s="108">
        <f>ABS(AU$1-AU848)</f>
        <v/>
      </c>
      <c r="AJ848" s="108">
        <f>(AV848-Driver!$K$179)/(Driver!$L$179-Driver!$K$179)</f>
        <v/>
      </c>
      <c r="AK848" s="108">
        <f>(AW848-Driver!$K$180)/(Driver!$L$180-Driver!$K$180)</f>
        <v/>
      </c>
      <c r="AL848" s="108">
        <f>(AX848-Driver!$K$181)/(Driver!$L$181-Driver!$K$181)</f>
        <v/>
      </c>
      <c r="AM848" s="108">
        <f>(AY848-Driver!$K$182)/(Driver!$L$182-Driver!$K$182)</f>
        <v/>
      </c>
      <c r="AN848" s="108">
        <f>(AZ848-Driver!$K$183)/(Driver!$L$183-Driver!$K$183)</f>
        <v/>
      </c>
      <c r="AO848" s="108" t="n"/>
      <c r="AP848" s="108" t="n"/>
      <c r="AQ848" s="108">
        <f>(BC848-Driver!$K$188)/(Driver!$L$188-Driver!$K$188)</f>
        <v/>
      </c>
      <c r="AR848" s="108">
        <f>MIN((BD848-Driver!$K$189)/(Driver!$L$189-Driver!$K$189),100%)</f>
        <v/>
      </c>
      <c r="AS848" s="108">
        <f>(BE848-Driver!$K$190)/(Driver!$L$190-Driver!$K$190)</f>
        <v/>
      </c>
      <c r="AT848" s="108">
        <f>(BF848-Driver!$K$191)/(Driver!$L$191-Driver!$K$191)</f>
        <v/>
      </c>
      <c r="AU848" s="108">
        <f>(BG848-Driver!$K$192)/(Driver!$L$192-Driver!$K$192)</f>
        <v/>
      </c>
      <c r="AV848" s="105">
        <f>IFERROR(BM848*BJ848^1/4,"")</f>
        <v/>
      </c>
      <c r="AW848" s="105">
        <f>IFERROR(SUM(AX848:AZ848),"")</f>
        <v/>
      </c>
      <c r="AX848" s="105">
        <f>IFERROR(BH848,"")</f>
        <v/>
      </c>
      <c r="AY848" s="105">
        <f>IFERROR(Driver!$K$19/Data!BH848/Data!BI848*Data!BK848*Data!BL848,"")</f>
        <v/>
      </c>
      <c r="AZ848" s="105">
        <f>IFERROR(BI848*BN848,"")</f>
        <v/>
      </c>
      <c r="BA848" s="105" t="n"/>
      <c r="BB848" s="105" t="n"/>
      <c r="BC848" s="105">
        <f>IFERROR(BI848*BN848*BK848/BJ848^(1/2),"")</f>
        <v/>
      </c>
      <c r="BD848" s="105">
        <f>IFERROR(BH848*BM848*BL848/BJ848/BK848,"")</f>
        <v/>
      </c>
      <c r="BE848" s="105">
        <f>IFERROR(MIN(BI848/BQ848/BP848/BO848/BH848,$BE$1),"")</f>
        <v/>
      </c>
      <c r="BF848" s="105">
        <f>IFERROR(BJ848*BO848*BP848/BK848,"")</f>
        <v/>
      </c>
      <c r="BG848" s="105">
        <f>IFERROR(1/BM848/BH848*BQ848,"")</f>
        <v/>
      </c>
      <c r="BH848" s="102">
        <f>MAX((CE848-Driver!$F$200)/(Driver!$G$200-Driver!$F$200)*$BI$1,1)</f>
        <v/>
      </c>
      <c r="BI848" s="102">
        <f>MAX($BI$1*(BY848-Driver!$F$201)/(Driver!$G$201-Driver!$F$201),1)</f>
        <v/>
      </c>
      <c r="BJ848" s="102">
        <f>(CB848-Driver!$F$206)/(Driver!$G$206-Driver!$F$206)*$BI$1</f>
        <v/>
      </c>
      <c r="BK848" s="102">
        <f>(CD848-Driver!$F$203)/(Driver!$G$203-Driver!$F$203)*$BI$1</f>
        <v/>
      </c>
      <c r="BL848" s="102">
        <f>MAX((CR848-Driver!$F$202)/(Driver!$G$202-Driver!$F$202)*$BI$1,1)</f>
        <v/>
      </c>
      <c r="BM848" s="102">
        <f>MAX((CH848-Driver!$F$204)/(Driver!$G$204-Driver!$F$204)*$BI$1,1)</f>
        <v/>
      </c>
      <c r="BN848" s="102">
        <f>(CI848-Driver!$F$205)/(Driver!$G$205-Driver!$F$205)*$BI$1</f>
        <v/>
      </c>
      <c r="BO848" s="102">
        <f>(CK848-Driver!$F$207)/(Driver!$G$207-Driver!$F$207)*$BI$1</f>
        <v/>
      </c>
      <c r="BP848" s="102">
        <f>(CM848-Driver!$F$208)/(Driver!$G$208-Driver!$F$208)*$BI$1</f>
        <v/>
      </c>
      <c r="BQ848" s="102">
        <f>(CL848-Driver!$F$209)/(Driver!$G$209-Driver!$F$209)*$BI$1</f>
        <v/>
      </c>
      <c r="BR848" s="40" t="inlineStr">
        <is>
          <t>21/22</t>
        </is>
      </c>
      <c r="BS848" s="10" t="inlineStr">
        <is>
          <t xml:space="preserve"> Head</t>
        </is>
      </c>
      <c r="BT848" s="11" t="inlineStr">
        <is>
          <t xml:space="preserve"> Pure Joy</t>
        </is>
      </c>
      <c r="BU848" s="13" t="n">
        <v>153</v>
      </c>
      <c r="BV848" s="11" t="inlineStr">
        <is>
          <t xml:space="preserve"> Women's</t>
        </is>
      </c>
      <c r="BW848" s="13" t="n">
        <v>153</v>
      </c>
      <c r="BX848" s="13" t="n">
        <v>152.1</v>
      </c>
      <c r="BY848" s="13" t="n">
        <v>131</v>
      </c>
      <c r="BZ848" s="13" t="n">
        <v>136</v>
      </c>
      <c r="CA848" s="13" t="n">
        <v>129</v>
      </c>
      <c r="CB848" s="13" t="n">
        <v>72</v>
      </c>
      <c r="CC848" s="13" t="n">
        <v>106</v>
      </c>
      <c r="CD848" s="13" t="n">
        <v>10</v>
      </c>
      <c r="CE848" s="13" t="n">
        <v>1635</v>
      </c>
      <c r="CF848" s="13" t="n">
        <v>0.83</v>
      </c>
      <c r="CG848" s="13" t="n">
        <v>1364</v>
      </c>
      <c r="CH848" s="13" t="n">
        <v>137</v>
      </c>
      <c r="CI848" s="13" t="n">
        <v>66</v>
      </c>
      <c r="CJ848" s="13" t="n">
        <v>35</v>
      </c>
      <c r="CK848" s="13" t="n">
        <v>139</v>
      </c>
      <c r="CL848" s="13" t="n">
        <v>10</v>
      </c>
      <c r="CM848" s="13" t="n">
        <v>69</v>
      </c>
      <c r="CN848" s="13" t="n">
        <v>0.299</v>
      </c>
      <c r="CO848" s="13" t="n">
        <v>103</v>
      </c>
      <c r="CP848" s="13" t="n">
        <v>53</v>
      </c>
      <c r="CQ848" s="13" t="n">
        <v>36</v>
      </c>
      <c r="CR848" s="13" t="n">
        <v>11</v>
      </c>
      <c r="CS848" s="13" t="n">
        <v>11.4</v>
      </c>
      <c r="CT848" s="11" t="inlineStr">
        <is>
          <t xml:space="preserve"> On-Piste Carving</t>
        </is>
      </c>
      <c r="CU848" s="11" t="inlineStr">
        <is>
          <t xml:space="preserve"> On-Piste All-Mountain</t>
        </is>
      </c>
      <c r="CV848" s="13" t="n"/>
      <c r="CW848" s="13" t="n"/>
      <c r="CX848">
        <f>INDEX('Data_Price '!AG$2:AG$1266,MATCH(Data!$DN848,'Data_Price '!$AT$2:$AT$1266,0))</f>
        <v/>
      </c>
      <c r="CY848">
        <f>INDEX('Data_Price '!AH$2:AH$1266,MATCH(Data!$DN848,'Data_Price '!$AT$2:$AT$1266,0))</f>
        <v/>
      </c>
      <c r="CZ848">
        <f>INDEX('Data_Price '!AI$2:AI$1266,MATCH(Data!$DN848,'Data_Price '!$AT$2:$AT$1266,0))</f>
        <v/>
      </c>
      <c r="DA848">
        <f>INDEX('Data_Price '!AJ$2:AJ$1266,MATCH(Data!$DN848,'Data_Price '!$AT$2:$AT$1266,0))</f>
        <v/>
      </c>
      <c r="DB848">
        <f>INDEX('Data_Price '!AK$2:AK$1266,MATCH(Data!$DN848,'Data_Price '!$AT$2:$AT$1266,0))</f>
        <v/>
      </c>
      <c r="DC848">
        <f>INDEX('Data_Price '!AL$2:AL$1266,MATCH(Data!$DN848,'Data_Price '!$AT$2:$AT$1266,0))</f>
        <v/>
      </c>
      <c r="DD848">
        <f>INDEX('Data_Price '!AM$2:AM$1266,MATCH(Data!$DN848,'Data_Price '!$AT$2:$AT$1266,0))</f>
        <v/>
      </c>
      <c r="DE848">
        <f>INDEX('Data_Price '!AN$2:AN$1266,MATCH(Data!$DN848,'Data_Price '!$AT$2:$AT$1266,0))</f>
        <v/>
      </c>
      <c r="DF848">
        <f>INDEX('Data_Price '!AO$2:AO$1266,MATCH(Data!$DN848,'Data_Price '!$AT$2:$AT$1266,0))</f>
        <v/>
      </c>
      <c r="DG848">
        <f>INDEX('Data_Price '!AP$2:AP$1266,MATCH(Data!$DN848,'Data_Price '!$AT$2:$AT$1266,0))</f>
        <v/>
      </c>
      <c r="DH848">
        <f>INDEX('Data_Price '!AQ$2:AQ$1266,MATCH(Data!$DN848,'Data_Price '!$AT$2:$AT$1266,0))</f>
        <v/>
      </c>
      <c r="DI848">
        <f>INDEX('Data_Price '!AR$2:AR$1266,MATCH(Data!$DN848,'Data_Price '!$AT$2:$AT$1266,0))</f>
        <v/>
      </c>
      <c r="DJ848" s="138">
        <f>DA848</f>
        <v/>
      </c>
      <c r="DK848" s="138">
        <f>DE848</f>
        <v/>
      </c>
      <c r="DL848" s="138">
        <f>DI848</f>
        <v/>
      </c>
      <c r="DM848" s="303">
        <f>IF(LEFT(BT848,1)=" ",RIGHT(BT848,LEN(BT848)-1),BT848)</f>
        <v/>
      </c>
      <c r="DN848" s="138">
        <f>_xlfn.CONCAT(BS848,DM848,BU848,BV848)</f>
        <v/>
      </c>
      <c r="DO848" s="307" t="n"/>
    </row>
    <row r="849" ht="15.6" customHeight="1" s="184">
      <c r="B849" s="303">
        <f t="array" ref="B849">IF(OR(ISERROR(K849:P849)),FALSE,TRUE)</f>
        <v/>
      </c>
      <c r="C849" s="60">
        <f>OR(BR849=Driver!$G$50,Data!BR1233=Driver!$H$50)</f>
        <v/>
      </c>
      <c r="D849" s="60">
        <f>OR(BV849=Driver!$G$51,BV849=Driver!$H$51)</f>
        <v/>
      </c>
      <c r="E849" s="60">
        <f>AND(BX849&gt;Driver!$F$54,BX849&lt;Driver!$G$54)</f>
        <v/>
      </c>
      <c r="F849" s="60">
        <f>CL849&gt;Driver!$F$56</f>
        <v/>
      </c>
      <c r="G849" s="60">
        <f>AND(CB849&gt;Driver!$F$55,CB849&lt;Driver!$G$55)</f>
        <v/>
      </c>
      <c r="H849" s="60">
        <f>AND(B849:G849)</f>
        <v/>
      </c>
      <c r="I849" s="60">
        <f>COUNTIFS($H$9:$H$1273,TRUE,$BT$9:$BT$1273,BT849)</f>
        <v/>
      </c>
      <c r="J849" s="60">
        <f t="array" ref="J849">NOT(OR(($H$9:$H$1273=TRUE)*($I$9:$I$1273&gt;0)*($BT$9:$BT$1273=BT849)*($K$9:$K$1273&gt;K849)))</f>
        <v/>
      </c>
      <c r="K849" s="108">
        <f>IFERROR(1-AVERAGE(X849:Y849),"")</f>
        <v/>
      </c>
      <c r="L849" s="108">
        <f>1-X849</f>
        <v/>
      </c>
      <c r="M849" s="108">
        <f>1-Y849</f>
        <v/>
      </c>
      <c r="N849" s="108">
        <f>1-Z849</f>
        <v/>
      </c>
      <c r="O849" s="108">
        <f>1-AA849</f>
        <v/>
      </c>
      <c r="P849" s="108">
        <f>1-AB849</f>
        <v/>
      </c>
      <c r="Q849" s="108" t="n"/>
      <c r="R849" s="108" t="n"/>
      <c r="S849" s="108">
        <f>1-AE849</f>
        <v/>
      </c>
      <c r="T849" s="108">
        <f>1-AF849</f>
        <v/>
      </c>
      <c r="U849" s="108">
        <f>1-AG849</f>
        <v/>
      </c>
      <c r="V849" s="108">
        <f>1-AH849</f>
        <v/>
      </c>
      <c r="W849" s="108">
        <f>1-AI849</f>
        <v/>
      </c>
      <c r="X849" s="108">
        <f>ABS(AJ849-AJ$1)</f>
        <v/>
      </c>
      <c r="Y849" s="108">
        <f>AVERAGE(Z849:AB849)</f>
        <v/>
      </c>
      <c r="Z849" s="108">
        <f>ABS(AL849-AL$1)</f>
        <v/>
      </c>
      <c r="AA849" s="108">
        <f>ABS(AM849-AM$1)</f>
        <v/>
      </c>
      <c r="AB849" s="108">
        <f>ABS(AN849-AN$1)</f>
        <v/>
      </c>
      <c r="AC849" s="108" t="n"/>
      <c r="AD849" s="108" t="n"/>
      <c r="AE849" s="108">
        <f>ABS(AQ$1-AQ849)</f>
        <v/>
      </c>
      <c r="AF849" s="108">
        <f>ABS(AR$1-AR849)</f>
        <v/>
      </c>
      <c r="AG849" s="108">
        <f>ABS(AS$1-AS849)</f>
        <v/>
      </c>
      <c r="AH849" s="108">
        <f>ABS(AT$1-AT849)</f>
        <v/>
      </c>
      <c r="AI849" s="108">
        <f>ABS(AU$1-AU849)</f>
        <v/>
      </c>
      <c r="AJ849" s="108">
        <f>(AV849-Driver!$K$179)/(Driver!$L$179-Driver!$K$179)</f>
        <v/>
      </c>
      <c r="AK849" s="108">
        <f>(AW849-Driver!$K$180)/(Driver!$L$180-Driver!$K$180)</f>
        <v/>
      </c>
      <c r="AL849" s="108">
        <f>(AX849-Driver!$K$181)/(Driver!$L$181-Driver!$K$181)</f>
        <v/>
      </c>
      <c r="AM849" s="108">
        <f>(AY849-Driver!$K$182)/(Driver!$L$182-Driver!$K$182)</f>
        <v/>
      </c>
      <c r="AN849" s="108">
        <f>(AZ849-Driver!$K$183)/(Driver!$L$183-Driver!$K$183)</f>
        <v/>
      </c>
      <c r="AO849" s="108" t="n"/>
      <c r="AP849" s="108" t="n"/>
      <c r="AQ849" s="108">
        <f>(BC849-Driver!$K$188)/(Driver!$L$188-Driver!$K$188)</f>
        <v/>
      </c>
      <c r="AR849" s="108">
        <f>MIN((BD849-Driver!$K$189)/(Driver!$L$189-Driver!$K$189),100%)</f>
        <v/>
      </c>
      <c r="AS849" s="108">
        <f>(BE849-Driver!$K$190)/(Driver!$L$190-Driver!$K$190)</f>
        <v/>
      </c>
      <c r="AT849" s="108">
        <f>(BF849-Driver!$K$191)/(Driver!$L$191-Driver!$K$191)</f>
        <v/>
      </c>
      <c r="AU849" s="108">
        <f>(BG849-Driver!$K$192)/(Driver!$L$192-Driver!$K$192)</f>
        <v/>
      </c>
      <c r="AV849" s="105">
        <f>IFERROR(BM849*BJ849^1/4,"")</f>
        <v/>
      </c>
      <c r="AW849" s="105">
        <f>IFERROR(SUM(AX849:AZ849),"")</f>
        <v/>
      </c>
      <c r="AX849" s="105">
        <f>IFERROR(BH849,"")</f>
        <v/>
      </c>
      <c r="AY849" s="105">
        <f>IFERROR(Driver!$K$19/Data!BH849/Data!BI849*Data!BK849*Data!BL849,"")</f>
        <v/>
      </c>
      <c r="AZ849" s="105">
        <f>IFERROR(BI849*BN849,"")</f>
        <v/>
      </c>
      <c r="BA849" s="105" t="n"/>
      <c r="BB849" s="105" t="n"/>
      <c r="BC849" s="105">
        <f>IFERROR(BI849*BN849*BK849/BJ849^(1/2),"")</f>
        <v/>
      </c>
      <c r="BD849" s="105">
        <f>IFERROR(BH849*BM849*BL849/BJ849/BK849,"")</f>
        <v/>
      </c>
      <c r="BE849" s="105">
        <f>IFERROR(MIN(BI849/BQ849/BP849/BO849/BH849,$BE$1),"")</f>
        <v/>
      </c>
      <c r="BF849" s="105">
        <f>IFERROR(BJ849*BO849*BP849/BK849,"")</f>
        <v/>
      </c>
      <c r="BG849" s="105">
        <f>IFERROR(1/BM849/BH849*BQ849,"")</f>
        <v/>
      </c>
      <c r="BH849" s="102">
        <f>MAX((CE849-Driver!$F$200)/(Driver!$G$200-Driver!$F$200)*$BI$1,1)</f>
        <v/>
      </c>
      <c r="BI849" s="102">
        <f>MAX($BI$1*(BY849-Driver!$F$201)/(Driver!$G$201-Driver!$F$201),1)</f>
        <v/>
      </c>
      <c r="BJ849" s="102">
        <f>(CB849-Driver!$F$206)/(Driver!$G$206-Driver!$F$206)*$BI$1</f>
        <v/>
      </c>
      <c r="BK849" s="102">
        <f>(CD849-Driver!$F$203)/(Driver!$G$203-Driver!$F$203)*$BI$1</f>
        <v/>
      </c>
      <c r="BL849" s="102">
        <f>MAX((CR849-Driver!$F$202)/(Driver!$G$202-Driver!$F$202)*$BI$1,1)</f>
        <v/>
      </c>
      <c r="BM849" s="102">
        <f>MAX((CH849-Driver!$F$204)/(Driver!$G$204-Driver!$F$204)*$BI$1,1)</f>
        <v/>
      </c>
      <c r="BN849" s="102">
        <f>(CI849-Driver!$F$205)/(Driver!$G$205-Driver!$F$205)*$BI$1</f>
        <v/>
      </c>
      <c r="BO849" s="102">
        <f>(CK849-Driver!$F$207)/(Driver!$G$207-Driver!$F$207)*$BI$1</f>
        <v/>
      </c>
      <c r="BP849" s="102">
        <f>(CM849-Driver!$F$208)/(Driver!$G$208-Driver!$F$208)*$BI$1</f>
        <v/>
      </c>
      <c r="BQ849" s="102">
        <f>(CL849-Driver!$F$209)/(Driver!$G$209-Driver!$F$209)*$BI$1</f>
        <v/>
      </c>
      <c r="BR849" s="40" t="inlineStr">
        <is>
          <t>21/22</t>
        </is>
      </c>
      <c r="BS849" s="10" t="inlineStr">
        <is>
          <t xml:space="preserve"> Völkl</t>
        </is>
      </c>
      <c r="BT849" s="11" t="inlineStr">
        <is>
          <t xml:space="preserve"> Racetiger SL</t>
        </is>
      </c>
      <c r="BU849" s="13" t="n">
        <v>155</v>
      </c>
      <c r="BV849" s="11" t="inlineStr">
        <is>
          <t xml:space="preserve"> Unisex</t>
        </is>
      </c>
      <c r="BW849" s="13" t="n">
        <v>155</v>
      </c>
      <c r="BX849" s="13" t="n">
        <v>154.6</v>
      </c>
      <c r="BY849" s="13" t="n">
        <v>130</v>
      </c>
      <c r="BZ849" s="13" t="n">
        <v>144</v>
      </c>
      <c r="CA849" s="13" t="n">
        <v>126</v>
      </c>
      <c r="CB849" s="13" t="n">
        <v>67</v>
      </c>
      <c r="CC849" s="13" t="n">
        <v>102</v>
      </c>
      <c r="CD849" s="13" t="n">
        <v>11</v>
      </c>
      <c r="CE849" s="13" t="n">
        <v>1934</v>
      </c>
      <c r="CF849" s="13" t="n">
        <v>0.68</v>
      </c>
      <c r="CG849" s="13" t="n">
        <v>1306</v>
      </c>
      <c r="CH849" s="13" t="n">
        <v>190</v>
      </c>
      <c r="CI849" s="13" t="n">
        <v>124</v>
      </c>
      <c r="CJ849" s="13" t="n">
        <v>43</v>
      </c>
      <c r="CK849" s="13" t="n">
        <v>186</v>
      </c>
      <c r="CL849" s="13" t="n">
        <v>6</v>
      </c>
      <c r="CM849" s="13" t="n">
        <v>58</v>
      </c>
      <c r="CN849" s="13" t="n">
        <v>0.133</v>
      </c>
      <c r="CO849" s="13" t="n">
        <v>63</v>
      </c>
      <c r="CP849" s="13" t="n">
        <v>48</v>
      </c>
      <c r="CQ849" s="13" t="n">
        <v>123</v>
      </c>
      <c r="CR849" s="13" t="n">
        <v>4</v>
      </c>
      <c r="CS849" s="13" t="n">
        <v>13.2</v>
      </c>
      <c r="CT849" s="11" t="inlineStr">
        <is>
          <t xml:space="preserve"> On-Piste Carving</t>
        </is>
      </c>
      <c r="CU849" s="13" t="n"/>
      <c r="CV849" s="13" t="n"/>
      <c r="CW849" s="13" t="n"/>
      <c r="CX849">
        <f>INDEX('Data_Price '!AG$2:AG$1266,MATCH(Data!$DN849,'Data_Price '!$AT$2:$AT$1266,0))</f>
        <v/>
      </c>
      <c r="CY849">
        <f>INDEX('Data_Price '!AH$2:AH$1266,MATCH(Data!$DN849,'Data_Price '!$AT$2:$AT$1266,0))</f>
        <v/>
      </c>
      <c r="CZ849">
        <f>INDEX('Data_Price '!AI$2:AI$1266,MATCH(Data!$DN849,'Data_Price '!$AT$2:$AT$1266,0))</f>
        <v/>
      </c>
      <c r="DA849">
        <f>INDEX('Data_Price '!AJ$2:AJ$1266,MATCH(Data!$DN849,'Data_Price '!$AT$2:$AT$1266,0))</f>
        <v/>
      </c>
      <c r="DB849">
        <f>INDEX('Data_Price '!AK$2:AK$1266,MATCH(Data!$DN849,'Data_Price '!$AT$2:$AT$1266,0))</f>
        <v/>
      </c>
      <c r="DC849">
        <f>INDEX('Data_Price '!AL$2:AL$1266,MATCH(Data!$DN849,'Data_Price '!$AT$2:$AT$1266,0))</f>
        <v/>
      </c>
      <c r="DD849">
        <f>INDEX('Data_Price '!AM$2:AM$1266,MATCH(Data!$DN849,'Data_Price '!$AT$2:$AT$1266,0))</f>
        <v/>
      </c>
      <c r="DE849">
        <f>INDEX('Data_Price '!AN$2:AN$1266,MATCH(Data!$DN849,'Data_Price '!$AT$2:$AT$1266,0))</f>
        <v/>
      </c>
      <c r="DF849">
        <f>INDEX('Data_Price '!AO$2:AO$1266,MATCH(Data!$DN849,'Data_Price '!$AT$2:$AT$1266,0))</f>
        <v/>
      </c>
      <c r="DG849">
        <f>INDEX('Data_Price '!AP$2:AP$1266,MATCH(Data!$DN849,'Data_Price '!$AT$2:$AT$1266,0))</f>
        <v/>
      </c>
      <c r="DH849">
        <f>INDEX('Data_Price '!AQ$2:AQ$1266,MATCH(Data!$DN849,'Data_Price '!$AT$2:$AT$1266,0))</f>
        <v/>
      </c>
      <c r="DI849">
        <f>INDEX('Data_Price '!AR$2:AR$1266,MATCH(Data!$DN849,'Data_Price '!$AT$2:$AT$1266,0))</f>
        <v/>
      </c>
      <c r="DJ849" s="138">
        <f>DA849</f>
        <v/>
      </c>
      <c r="DK849" s="138">
        <f>DE849</f>
        <v/>
      </c>
      <c r="DL849" s="138">
        <f>DI849</f>
        <v/>
      </c>
      <c r="DM849" s="303">
        <f>IF(LEFT(BT849,1)=" ",RIGHT(BT849,LEN(BT849)-1),BT849)</f>
        <v/>
      </c>
      <c r="DN849" s="138">
        <f>_xlfn.CONCAT(BS849,DM849,BU849,BV849)</f>
        <v/>
      </c>
      <c r="DO849" s="307" t="n"/>
    </row>
    <row r="850" ht="15.6" customHeight="1" s="184">
      <c r="B850" s="303">
        <f t="array" ref="B850">IF(OR(ISERROR(K850:P850)),FALSE,TRUE)</f>
        <v/>
      </c>
      <c r="C850" s="60">
        <f>OR(BR850=Driver!$G$50,Data!BR380=Driver!$H$50)</f>
        <v/>
      </c>
      <c r="D850" s="60">
        <f>OR(BV850=Driver!$G$51,BV850=Driver!$H$51)</f>
        <v/>
      </c>
      <c r="E850" s="60">
        <f>AND(BX850&gt;Driver!$F$54,BX850&lt;Driver!$G$54)</f>
        <v/>
      </c>
      <c r="F850" s="60">
        <f>CL850&gt;Driver!$F$56</f>
        <v/>
      </c>
      <c r="G850" s="60">
        <f>AND(CB850&gt;Driver!$F$55,CB850&lt;Driver!$G$55)</f>
        <v/>
      </c>
      <c r="H850" s="60">
        <f>AND(B850:G850)</f>
        <v/>
      </c>
      <c r="I850" s="60">
        <f>COUNTIFS($H$9:$H$1273,TRUE,$BT$9:$BT$1273,BT850)</f>
        <v/>
      </c>
      <c r="J850" s="60">
        <f t="array" ref="J850">NOT(OR(($H$9:$H$1273=TRUE)*($I$9:$I$1273&gt;0)*($BT$9:$BT$1273=BT850)*($K$9:$K$1273&gt;K850)))</f>
        <v/>
      </c>
      <c r="K850" s="108">
        <f>IFERROR(1-AVERAGE(X850:Y850),"")</f>
        <v/>
      </c>
      <c r="L850" s="108">
        <f>1-X850</f>
        <v/>
      </c>
      <c r="M850" s="108">
        <f>1-Y850</f>
        <v/>
      </c>
      <c r="N850" s="108">
        <f>1-Z850</f>
        <v/>
      </c>
      <c r="O850" s="108">
        <f>1-AA850</f>
        <v/>
      </c>
      <c r="P850" s="108">
        <f>1-AB850</f>
        <v/>
      </c>
      <c r="Q850" s="108" t="n"/>
      <c r="R850" s="108" t="n"/>
      <c r="S850" s="108">
        <f>1-AE850</f>
        <v/>
      </c>
      <c r="T850" s="108">
        <f>1-AF850</f>
        <v/>
      </c>
      <c r="U850" s="108">
        <f>1-AG850</f>
        <v/>
      </c>
      <c r="V850" s="108">
        <f>1-AH850</f>
        <v/>
      </c>
      <c r="W850" s="108">
        <f>1-AI850</f>
        <v/>
      </c>
      <c r="X850" s="108">
        <f>ABS(AJ850-AJ$1)</f>
        <v/>
      </c>
      <c r="Y850" s="108">
        <f>AVERAGE(Z850:AB850)</f>
        <v/>
      </c>
      <c r="Z850" s="108">
        <f>ABS(AL850-AL$1)</f>
        <v/>
      </c>
      <c r="AA850" s="108">
        <f>ABS(AM850-AM$1)</f>
        <v/>
      </c>
      <c r="AB850" s="108">
        <f>ABS(AN850-AN$1)</f>
        <v/>
      </c>
      <c r="AC850" s="108" t="n"/>
      <c r="AD850" s="108" t="n"/>
      <c r="AE850" s="108">
        <f>ABS(AQ$1-AQ850)</f>
        <v/>
      </c>
      <c r="AF850" s="108">
        <f>ABS(AR$1-AR850)</f>
        <v/>
      </c>
      <c r="AG850" s="108">
        <f>ABS(AS$1-AS850)</f>
        <v/>
      </c>
      <c r="AH850" s="108">
        <f>ABS(AT$1-AT850)</f>
        <v/>
      </c>
      <c r="AI850" s="108">
        <f>ABS(AU$1-AU850)</f>
        <v/>
      </c>
      <c r="AJ850" s="108">
        <f>(AV850-Driver!$K$179)/(Driver!$L$179-Driver!$K$179)</f>
        <v/>
      </c>
      <c r="AK850" s="108">
        <f>(AW850-Driver!$K$180)/(Driver!$L$180-Driver!$K$180)</f>
        <v/>
      </c>
      <c r="AL850" s="108">
        <f>(AX850-Driver!$K$181)/(Driver!$L$181-Driver!$K$181)</f>
        <v/>
      </c>
      <c r="AM850" s="108">
        <f>(AY850-Driver!$K$182)/(Driver!$L$182-Driver!$K$182)</f>
        <v/>
      </c>
      <c r="AN850" s="108">
        <f>(AZ850-Driver!$K$183)/(Driver!$L$183-Driver!$K$183)</f>
        <v/>
      </c>
      <c r="AO850" s="108" t="n"/>
      <c r="AP850" s="108" t="n"/>
      <c r="AQ850" s="108">
        <f>(BC850-Driver!$K$188)/(Driver!$L$188-Driver!$K$188)</f>
        <v/>
      </c>
      <c r="AR850" s="108">
        <f>MIN((BD850-Driver!$K$189)/(Driver!$L$189-Driver!$K$189),100%)</f>
        <v/>
      </c>
      <c r="AS850" s="108">
        <f>(BE850-Driver!$K$190)/(Driver!$L$190-Driver!$K$190)</f>
        <v/>
      </c>
      <c r="AT850" s="108">
        <f>(BF850-Driver!$K$191)/(Driver!$L$191-Driver!$K$191)</f>
        <v/>
      </c>
      <c r="AU850" s="108">
        <f>(BG850-Driver!$K$192)/(Driver!$L$192-Driver!$K$192)</f>
        <v/>
      </c>
      <c r="AV850" s="105">
        <f>IFERROR(BM850*BJ850^1/4,"")</f>
        <v/>
      </c>
      <c r="AW850" s="105">
        <f>IFERROR(SUM(AX850:AZ850),"")</f>
        <v/>
      </c>
      <c r="AX850" s="105">
        <f>IFERROR(BH850,"")</f>
        <v/>
      </c>
      <c r="AY850" s="105">
        <f>IFERROR(Driver!$K$19/Data!BH850/Data!BI850*Data!BK850*Data!BL850,"")</f>
        <v/>
      </c>
      <c r="AZ850" s="105">
        <f>IFERROR(BI850*BN850,"")</f>
        <v/>
      </c>
      <c r="BA850" s="105" t="n"/>
      <c r="BB850" s="105" t="n"/>
      <c r="BC850" s="105">
        <f>IFERROR(BI850*BN850*BK850/BJ850^(1/2),"")</f>
        <v/>
      </c>
      <c r="BD850" s="105">
        <f>IFERROR(BH850*BM850*BL850/BJ850/BK850,"")</f>
        <v/>
      </c>
      <c r="BE850" s="105">
        <f>IFERROR(MIN(BI850/BQ850/BP850/BO850/BH850,$BE$1),"")</f>
        <v/>
      </c>
      <c r="BF850" s="105">
        <f>IFERROR(BJ850*BO850*BP850/BK850,"")</f>
        <v/>
      </c>
      <c r="BG850" s="105">
        <f>IFERROR(1/BM850/BH850*BQ850,"")</f>
        <v/>
      </c>
      <c r="BH850" s="102">
        <f>MAX((CE850-Driver!$F$200)/(Driver!$G$200-Driver!$F$200)*$BI$1,1)</f>
        <v/>
      </c>
      <c r="BI850" s="102">
        <f>MAX($BI$1*(BY850-Driver!$F$201)/(Driver!$G$201-Driver!$F$201),1)</f>
        <v/>
      </c>
      <c r="BJ850" s="102">
        <f>(CB850-Driver!$F$206)/(Driver!$G$206-Driver!$F$206)*$BI$1</f>
        <v/>
      </c>
      <c r="BK850" s="102">
        <f>(CD850-Driver!$F$203)/(Driver!$G$203-Driver!$F$203)*$BI$1</f>
        <v/>
      </c>
      <c r="BL850" s="102">
        <f>MAX((CR850-Driver!$F$202)/(Driver!$G$202-Driver!$F$202)*$BI$1,1)</f>
        <v/>
      </c>
      <c r="BM850" s="102">
        <f>MAX((CH850-Driver!$F$204)/(Driver!$G$204-Driver!$F$204)*$BI$1,1)</f>
        <v/>
      </c>
      <c r="BN850" s="102">
        <f>(CI850-Driver!$F$205)/(Driver!$G$205-Driver!$F$205)*$BI$1</f>
        <v/>
      </c>
      <c r="BO850" s="102">
        <f>(CK850-Driver!$F$207)/(Driver!$G$207-Driver!$F$207)*$BI$1</f>
        <v/>
      </c>
      <c r="BP850" s="102">
        <f>(CM850-Driver!$F$208)/(Driver!$G$208-Driver!$F$208)*$BI$1</f>
        <v/>
      </c>
      <c r="BQ850" s="102">
        <f>(CL850-Driver!$F$209)/(Driver!$G$209-Driver!$F$209)*$BI$1</f>
        <v/>
      </c>
      <c r="BR850" s="40" t="inlineStr">
        <is>
          <t>21/22</t>
        </is>
      </c>
      <c r="BS850" s="10" t="inlineStr">
        <is>
          <t xml:space="preserve"> Dynastar</t>
        </is>
      </c>
      <c r="BT850" s="11" t="inlineStr">
        <is>
          <t>E Lite 7</t>
        </is>
      </c>
      <c r="BU850" s="13" t="n">
        <v>162</v>
      </c>
      <c r="BV850" s="11" t="inlineStr">
        <is>
          <t xml:space="preserve"> Women's</t>
        </is>
      </c>
      <c r="BW850" s="13" t="n">
        <v>162</v>
      </c>
      <c r="BX850" s="13" t="n">
        <v>162.2</v>
      </c>
      <c r="BY850" s="13" t="n">
        <v>141</v>
      </c>
      <c r="BZ850" s="13" t="n">
        <v>148</v>
      </c>
      <c r="CA850" s="13" t="n">
        <v>123</v>
      </c>
      <c r="CB850" s="13" t="n">
        <v>74</v>
      </c>
      <c r="CC850" s="13" t="n">
        <v>109</v>
      </c>
      <c r="CD850" s="13" t="n">
        <v>13</v>
      </c>
      <c r="CE850" s="13" t="n">
        <v>1591</v>
      </c>
      <c r="CF850" s="13" t="n">
        <v>0.91</v>
      </c>
      <c r="CG850" s="13" t="n">
        <v>1445</v>
      </c>
      <c r="CH850" s="13" t="n">
        <v>170</v>
      </c>
      <c r="CI850" s="13" t="n">
        <v>62</v>
      </c>
      <c r="CJ850" s="13" t="n">
        <v>43</v>
      </c>
      <c r="CK850" s="13" t="n">
        <v>153</v>
      </c>
      <c r="CL850" s="13" t="n">
        <v>4</v>
      </c>
      <c r="CM850" s="13" t="n">
        <v>54</v>
      </c>
      <c r="CN850" s="13" t="n">
        <v>0.102</v>
      </c>
      <c r="CO850" s="13" t="n">
        <v>80</v>
      </c>
      <c r="CP850" s="13" t="n">
        <v>59</v>
      </c>
      <c r="CQ850" s="13" t="n">
        <v>73</v>
      </c>
      <c r="CR850" s="13" t="n">
        <v>12</v>
      </c>
      <c r="CS850" s="13" t="n">
        <v>10.1</v>
      </c>
      <c r="CT850" s="11" t="inlineStr">
        <is>
          <t xml:space="preserve"> On-Piste Carving</t>
        </is>
      </c>
      <c r="CU850" s="13" t="n"/>
      <c r="CV850" s="13" t="n"/>
      <c r="CW850" s="13" t="n"/>
      <c r="CX850">
        <f>INDEX('Data_Price '!AG$2:AG$1266,MATCH(Data!$DN850,'Data_Price '!$AT$2:$AT$1266,0))</f>
        <v/>
      </c>
      <c r="CY850">
        <f>INDEX('Data_Price '!AH$2:AH$1266,MATCH(Data!$DN850,'Data_Price '!$AT$2:$AT$1266,0))</f>
        <v/>
      </c>
      <c r="CZ850">
        <f>INDEX('Data_Price '!AI$2:AI$1266,MATCH(Data!$DN850,'Data_Price '!$AT$2:$AT$1266,0))</f>
        <v/>
      </c>
      <c r="DA850">
        <f>INDEX('Data_Price '!AJ$2:AJ$1266,MATCH(Data!$DN850,'Data_Price '!$AT$2:$AT$1266,0))</f>
        <v/>
      </c>
      <c r="DB850">
        <f>INDEX('Data_Price '!AK$2:AK$1266,MATCH(Data!$DN850,'Data_Price '!$AT$2:$AT$1266,0))</f>
        <v/>
      </c>
      <c r="DC850">
        <f>INDEX('Data_Price '!AL$2:AL$1266,MATCH(Data!$DN850,'Data_Price '!$AT$2:$AT$1266,0))</f>
        <v/>
      </c>
      <c r="DD850">
        <f>INDEX('Data_Price '!AM$2:AM$1266,MATCH(Data!$DN850,'Data_Price '!$AT$2:$AT$1266,0))</f>
        <v/>
      </c>
      <c r="DE850">
        <f>INDEX('Data_Price '!AN$2:AN$1266,MATCH(Data!$DN850,'Data_Price '!$AT$2:$AT$1266,0))</f>
        <v/>
      </c>
      <c r="DF850">
        <f>INDEX('Data_Price '!AO$2:AO$1266,MATCH(Data!$DN850,'Data_Price '!$AT$2:$AT$1266,0))</f>
        <v/>
      </c>
      <c r="DG850">
        <f>INDEX('Data_Price '!AP$2:AP$1266,MATCH(Data!$DN850,'Data_Price '!$AT$2:$AT$1266,0))</f>
        <v/>
      </c>
      <c r="DH850">
        <f>INDEX('Data_Price '!AQ$2:AQ$1266,MATCH(Data!$DN850,'Data_Price '!$AT$2:$AT$1266,0))</f>
        <v/>
      </c>
      <c r="DI850">
        <f>INDEX('Data_Price '!AR$2:AR$1266,MATCH(Data!$DN850,'Data_Price '!$AT$2:$AT$1266,0))</f>
        <v/>
      </c>
      <c r="DJ850" s="138">
        <f>DA850</f>
        <v/>
      </c>
      <c r="DK850" s="138">
        <f>DE850</f>
        <v/>
      </c>
      <c r="DL850" s="138">
        <f>DI850</f>
        <v/>
      </c>
      <c r="DM850" s="303">
        <f>IF(LEFT(BT850,1)=" ",RIGHT(BT850,LEN(BT850)-1),BT850)</f>
        <v/>
      </c>
      <c r="DN850" s="138">
        <f>_xlfn.CONCAT(BS850,DM850,BU850,BV850)</f>
        <v/>
      </c>
      <c r="DO850" s="307" t="n"/>
    </row>
    <row r="851" ht="15.6" customHeight="1" s="184">
      <c r="B851" s="303">
        <f t="array" ref="B851">IF(OR(ISERROR(K851:P851)),FALSE,TRUE)</f>
        <v/>
      </c>
      <c r="C851" s="60">
        <f>OR(BR851=Driver!$G$50,Data!BR1236=Driver!$H$50)</f>
        <v/>
      </c>
      <c r="D851" s="60">
        <f>OR(BV851=Driver!$G$51,BV851=Driver!$H$51)</f>
        <v/>
      </c>
      <c r="E851" s="60">
        <f>AND(BX851&gt;Driver!$F$54,BX851&lt;Driver!$G$54)</f>
        <v/>
      </c>
      <c r="F851" s="60">
        <f>CL851&gt;Driver!$F$56</f>
        <v/>
      </c>
      <c r="G851" s="60">
        <f>AND(CB851&gt;Driver!$F$55,CB851&lt;Driver!$G$55)</f>
        <v/>
      </c>
      <c r="H851" s="60">
        <f>AND(B851:G851)</f>
        <v/>
      </c>
      <c r="I851" s="60">
        <f>COUNTIFS($H$9:$H$1273,TRUE,$BT$9:$BT$1273,BT851)</f>
        <v/>
      </c>
      <c r="J851" s="60">
        <f t="array" ref="J851">NOT(OR(($H$9:$H$1273=TRUE)*($I$9:$I$1273&gt;0)*($BT$9:$BT$1273=BT851)*($K$9:$K$1273&gt;K851)))</f>
        <v/>
      </c>
      <c r="K851" s="108">
        <f>IFERROR(1-AVERAGE(X851:Y851),"")</f>
        <v/>
      </c>
      <c r="L851" s="108">
        <f>1-X851</f>
        <v/>
      </c>
      <c r="M851" s="108">
        <f>1-Y851</f>
        <v/>
      </c>
      <c r="N851" s="108">
        <f>1-Z851</f>
        <v/>
      </c>
      <c r="O851" s="108">
        <f>1-AA851</f>
        <v/>
      </c>
      <c r="P851" s="108">
        <f>1-AB851</f>
        <v/>
      </c>
      <c r="Q851" s="108" t="n"/>
      <c r="R851" s="108" t="n"/>
      <c r="S851" s="108">
        <f>1-AE851</f>
        <v/>
      </c>
      <c r="T851" s="108">
        <f>1-AF851</f>
        <v/>
      </c>
      <c r="U851" s="108">
        <f>1-AG851</f>
        <v/>
      </c>
      <c r="V851" s="108">
        <f>1-AH851</f>
        <v/>
      </c>
      <c r="W851" s="108">
        <f>1-AI851</f>
        <v/>
      </c>
      <c r="X851" s="108">
        <f>ABS(AJ851-AJ$1)</f>
        <v/>
      </c>
      <c r="Y851" s="108">
        <f>AVERAGE(Z851:AB851)</f>
        <v/>
      </c>
      <c r="Z851" s="108">
        <f>ABS(AL851-AL$1)</f>
        <v/>
      </c>
      <c r="AA851" s="108">
        <f>ABS(AM851-AM$1)</f>
        <v/>
      </c>
      <c r="AB851" s="108">
        <f>ABS(AN851-AN$1)</f>
        <v/>
      </c>
      <c r="AC851" s="108" t="n"/>
      <c r="AD851" s="108" t="n"/>
      <c r="AE851" s="108">
        <f>ABS(AQ$1-AQ851)</f>
        <v/>
      </c>
      <c r="AF851" s="108">
        <f>ABS(AR$1-AR851)</f>
        <v/>
      </c>
      <c r="AG851" s="108">
        <f>ABS(AS$1-AS851)</f>
        <v/>
      </c>
      <c r="AH851" s="108">
        <f>ABS(AT$1-AT851)</f>
        <v/>
      </c>
      <c r="AI851" s="108">
        <f>ABS(AU$1-AU851)</f>
        <v/>
      </c>
      <c r="AJ851" s="108">
        <f>(AV851-Driver!$K$179)/(Driver!$L$179-Driver!$K$179)</f>
        <v/>
      </c>
      <c r="AK851" s="108">
        <f>(AW851-Driver!$K$180)/(Driver!$L$180-Driver!$K$180)</f>
        <v/>
      </c>
      <c r="AL851" s="108">
        <f>(AX851-Driver!$K$181)/(Driver!$L$181-Driver!$K$181)</f>
        <v/>
      </c>
      <c r="AM851" s="108">
        <f>(AY851-Driver!$K$182)/(Driver!$L$182-Driver!$K$182)</f>
        <v/>
      </c>
      <c r="AN851" s="108">
        <f>(AZ851-Driver!$K$183)/(Driver!$L$183-Driver!$K$183)</f>
        <v/>
      </c>
      <c r="AO851" s="108" t="n"/>
      <c r="AP851" s="108" t="n"/>
      <c r="AQ851" s="108">
        <f>(BC851-Driver!$K$188)/(Driver!$L$188-Driver!$K$188)</f>
        <v/>
      </c>
      <c r="AR851" s="108">
        <f>MIN((BD851-Driver!$K$189)/(Driver!$L$189-Driver!$K$189),100%)</f>
        <v/>
      </c>
      <c r="AS851" s="108">
        <f>(BE851-Driver!$K$190)/(Driver!$L$190-Driver!$K$190)</f>
        <v/>
      </c>
      <c r="AT851" s="108">
        <f>(BF851-Driver!$K$191)/(Driver!$L$191-Driver!$K$191)</f>
        <v/>
      </c>
      <c r="AU851" s="108">
        <f>(BG851-Driver!$K$192)/(Driver!$L$192-Driver!$K$192)</f>
        <v/>
      </c>
      <c r="AV851" s="105">
        <f>IFERROR(BM851*BJ851^1/4,"")</f>
        <v/>
      </c>
      <c r="AW851" s="105">
        <f>IFERROR(SUM(AX851:AZ851),"")</f>
        <v/>
      </c>
      <c r="AX851" s="105">
        <f>IFERROR(BH851,"")</f>
        <v/>
      </c>
      <c r="AY851" s="105">
        <f>IFERROR(Driver!$K$19/Data!BH851/Data!BI851*Data!BK851*Data!BL851,"")</f>
        <v/>
      </c>
      <c r="AZ851" s="105">
        <f>IFERROR(BI851*BN851,"")</f>
        <v/>
      </c>
      <c r="BA851" s="105" t="n"/>
      <c r="BB851" s="105" t="n"/>
      <c r="BC851" s="105">
        <f>IFERROR(BI851*BN851*BK851/BJ851^(1/2),"")</f>
        <v/>
      </c>
      <c r="BD851" s="105">
        <f>IFERROR(BH851*BM851*BL851/BJ851/BK851,"")</f>
        <v/>
      </c>
      <c r="BE851" s="105">
        <f>IFERROR(MIN(BI851/BQ851/BP851/BO851/BH851,$BE$1),"")</f>
        <v/>
      </c>
      <c r="BF851" s="105">
        <f>IFERROR(BJ851*BO851*BP851/BK851,"")</f>
        <v/>
      </c>
      <c r="BG851" s="105">
        <f>IFERROR(1/BM851/BH851*BQ851,"")</f>
        <v/>
      </c>
      <c r="BH851" s="102">
        <f>MAX((CE851-Driver!$F$200)/(Driver!$G$200-Driver!$F$200)*$BI$1,1)</f>
        <v/>
      </c>
      <c r="BI851" s="102">
        <f>MAX($BI$1*(BY851-Driver!$F$201)/(Driver!$G$201-Driver!$F$201),1)</f>
        <v/>
      </c>
      <c r="BJ851" s="102">
        <f>(CB851-Driver!$F$206)/(Driver!$G$206-Driver!$F$206)*$BI$1</f>
        <v/>
      </c>
      <c r="BK851" s="102">
        <f>(CD851-Driver!$F$203)/(Driver!$G$203-Driver!$F$203)*$BI$1</f>
        <v/>
      </c>
      <c r="BL851" s="102">
        <f>MAX((CR851-Driver!$F$202)/(Driver!$G$202-Driver!$F$202)*$BI$1,1)</f>
        <v/>
      </c>
      <c r="BM851" s="102">
        <f>MAX((CH851-Driver!$F$204)/(Driver!$G$204-Driver!$F$204)*$BI$1,1)</f>
        <v/>
      </c>
      <c r="BN851" s="102">
        <f>(CI851-Driver!$F$205)/(Driver!$G$205-Driver!$F$205)*$BI$1</f>
        <v/>
      </c>
      <c r="BO851" s="102">
        <f>(CK851-Driver!$F$207)/(Driver!$G$207-Driver!$F$207)*$BI$1</f>
        <v/>
      </c>
      <c r="BP851" s="102">
        <f>(CM851-Driver!$F$208)/(Driver!$G$208-Driver!$F$208)*$BI$1</f>
        <v/>
      </c>
      <c r="BQ851" s="102">
        <f>(CL851-Driver!$F$209)/(Driver!$G$209-Driver!$F$209)*$BI$1</f>
        <v/>
      </c>
      <c r="BR851" s="40" t="inlineStr">
        <is>
          <t>21/22</t>
        </is>
      </c>
      <c r="BS851" s="10" t="inlineStr">
        <is>
          <t xml:space="preserve"> Völkl</t>
        </is>
      </c>
      <c r="BT851" s="11" t="inlineStr">
        <is>
          <t>Revolt 104</t>
        </is>
      </c>
      <c r="BU851" s="13" t="n">
        <v>180</v>
      </c>
      <c r="BV851" s="11" t="inlineStr">
        <is>
          <t xml:space="preserve"> Unisex</t>
        </is>
      </c>
      <c r="BW851" s="13" t="n">
        <v>180</v>
      </c>
      <c r="BX851" s="13" t="n">
        <v>179.9</v>
      </c>
      <c r="BY851" s="13" t="n">
        <v>96</v>
      </c>
      <c r="BZ851" s="13" t="n">
        <v>142</v>
      </c>
      <c r="CA851" s="13" t="n">
        <v>131</v>
      </c>
      <c r="CB851" s="13" t="n">
        <v>103</v>
      </c>
      <c r="CC851" s="13" t="n">
        <v>121</v>
      </c>
      <c r="CD851" s="13" t="n">
        <v>20.4</v>
      </c>
      <c r="CE851" s="13" t="n">
        <v>1958</v>
      </c>
      <c r="CF851" s="13" t="n">
        <v>1.03</v>
      </c>
      <c r="CG851" s="13" t="n">
        <v>2014</v>
      </c>
      <c r="CH851" s="13" t="n">
        <v>168</v>
      </c>
      <c r="CI851" s="13" t="n">
        <v>82</v>
      </c>
      <c r="CJ851" s="13" t="n">
        <v>56</v>
      </c>
      <c r="CK851" s="13" t="n">
        <v>462</v>
      </c>
      <c r="CL851" s="13" t="n">
        <v>39</v>
      </c>
      <c r="CM851" s="13" t="n">
        <v>374</v>
      </c>
      <c r="CN851" s="13" t="n">
        <v>0.704</v>
      </c>
      <c r="CO851" s="13" t="n">
        <v>172</v>
      </c>
      <c r="CP851" s="13" t="n">
        <v>209</v>
      </c>
      <c r="CQ851" s="13" t="n">
        <v>290</v>
      </c>
      <c r="CR851" s="13" t="n">
        <v>5</v>
      </c>
      <c r="CS851" s="13" t="n">
        <v>1.6</v>
      </c>
      <c r="CT851" s="11" t="inlineStr">
        <is>
          <t xml:space="preserve"> Resort Freeride</t>
        </is>
      </c>
      <c r="CU851" s="11" t="inlineStr">
        <is>
          <t xml:space="preserve"> Powder</t>
        </is>
      </c>
      <c r="CV851" s="13" t="n"/>
      <c r="CW851" s="13" t="n"/>
      <c r="CX851">
        <f>INDEX('Data_Price '!AG$2:AG$1266,MATCH(Data!$DN851,'Data_Price '!$AT$2:$AT$1266,0))</f>
        <v/>
      </c>
      <c r="CY851">
        <f>INDEX('Data_Price '!AH$2:AH$1266,MATCH(Data!$DN851,'Data_Price '!$AT$2:$AT$1266,0))</f>
        <v/>
      </c>
      <c r="CZ851">
        <f>INDEX('Data_Price '!AI$2:AI$1266,MATCH(Data!$DN851,'Data_Price '!$AT$2:$AT$1266,0))</f>
        <v/>
      </c>
      <c r="DA851">
        <f>INDEX('Data_Price '!AJ$2:AJ$1266,MATCH(Data!$DN851,'Data_Price '!$AT$2:$AT$1266,0))</f>
        <v/>
      </c>
      <c r="DB851">
        <f>INDEX('Data_Price '!AK$2:AK$1266,MATCH(Data!$DN851,'Data_Price '!$AT$2:$AT$1266,0))</f>
        <v/>
      </c>
      <c r="DC851">
        <f>INDEX('Data_Price '!AL$2:AL$1266,MATCH(Data!$DN851,'Data_Price '!$AT$2:$AT$1266,0))</f>
        <v/>
      </c>
      <c r="DD851">
        <f>INDEX('Data_Price '!AM$2:AM$1266,MATCH(Data!$DN851,'Data_Price '!$AT$2:$AT$1266,0))</f>
        <v/>
      </c>
      <c r="DE851">
        <f>INDEX('Data_Price '!AN$2:AN$1266,MATCH(Data!$DN851,'Data_Price '!$AT$2:$AT$1266,0))</f>
        <v/>
      </c>
      <c r="DF851">
        <f>INDEX('Data_Price '!AO$2:AO$1266,MATCH(Data!$DN851,'Data_Price '!$AT$2:$AT$1266,0))</f>
        <v/>
      </c>
      <c r="DG851">
        <f>INDEX('Data_Price '!AP$2:AP$1266,MATCH(Data!$DN851,'Data_Price '!$AT$2:$AT$1266,0))</f>
        <v/>
      </c>
      <c r="DH851">
        <f>INDEX('Data_Price '!AQ$2:AQ$1266,MATCH(Data!$DN851,'Data_Price '!$AT$2:$AT$1266,0))</f>
        <v/>
      </c>
      <c r="DI851">
        <f>INDEX('Data_Price '!AR$2:AR$1266,MATCH(Data!$DN851,'Data_Price '!$AT$2:$AT$1266,0))</f>
        <v/>
      </c>
      <c r="DJ851" s="138">
        <f>DA851</f>
        <v/>
      </c>
      <c r="DK851" s="138">
        <f>DE851</f>
        <v/>
      </c>
      <c r="DL851" s="138">
        <f>DI851</f>
        <v/>
      </c>
      <c r="DM851" s="303">
        <f>IF(LEFT(BT851,1)=" ",RIGHT(BT851,LEN(BT851)-1),BT851)</f>
        <v/>
      </c>
      <c r="DN851" s="138">
        <f>_xlfn.CONCAT(BS851,DM851,BU851,BV851)</f>
        <v/>
      </c>
      <c r="DO851" s="307" t="inlineStr">
        <is>
          <t>https://images.evo.com/imgp/250/183428/726981/volkl-revolt-104-skis-2022-.jpg</t>
        </is>
      </c>
    </row>
    <row r="852" ht="15.6" customHeight="1" s="184">
      <c r="B852" s="303">
        <f t="array" ref="B852">IF(OR(ISERROR(K852:P852)),FALSE,TRUE)</f>
        <v/>
      </c>
      <c r="C852" s="60">
        <f>OR(BR852=Driver!$G$50,Data!BR317=Driver!$H$50)</f>
        <v/>
      </c>
      <c r="D852" s="60">
        <f>OR(BV852=Driver!$G$51,BV852=Driver!$H$51)</f>
        <v/>
      </c>
      <c r="E852" s="60">
        <f>AND(BX852&gt;Driver!$F$54,BX852&lt;Driver!$G$54)</f>
        <v/>
      </c>
      <c r="F852" s="60">
        <f>CL852&gt;Driver!$F$56</f>
        <v/>
      </c>
      <c r="G852" s="60">
        <f>AND(CB852&gt;Driver!$F$55,CB852&lt;Driver!$G$55)</f>
        <v/>
      </c>
      <c r="H852" s="60">
        <f>AND(B852:G852)</f>
        <v/>
      </c>
      <c r="I852" s="60">
        <f>COUNTIFS($H$9:$H$1273,TRUE,$BT$9:$BT$1273,BT852)</f>
        <v/>
      </c>
      <c r="J852" s="60">
        <f t="array" ref="J852">NOT(OR(($H$9:$H$1273=TRUE)*($I$9:$I$1273&gt;0)*($BT$9:$BT$1273=BT852)*($K$9:$K$1273&gt;K852)))</f>
        <v/>
      </c>
      <c r="K852" s="108">
        <f>IFERROR(1-AVERAGE(X852:Y852),"")</f>
        <v/>
      </c>
      <c r="L852" s="108">
        <f>1-X852</f>
        <v/>
      </c>
      <c r="M852" s="108">
        <f>1-Y852</f>
        <v/>
      </c>
      <c r="N852" s="108">
        <f>1-Z852</f>
        <v/>
      </c>
      <c r="O852" s="108">
        <f>1-AA852</f>
        <v/>
      </c>
      <c r="P852" s="108">
        <f>1-AB852</f>
        <v/>
      </c>
      <c r="Q852" s="108" t="n"/>
      <c r="R852" s="108" t="n"/>
      <c r="S852" s="108">
        <f>1-AE852</f>
        <v/>
      </c>
      <c r="T852" s="108">
        <f>1-AF852</f>
        <v/>
      </c>
      <c r="U852" s="108">
        <f>1-AG852</f>
        <v/>
      </c>
      <c r="V852" s="108">
        <f>1-AH852</f>
        <v/>
      </c>
      <c r="W852" s="108">
        <f>1-AI852</f>
        <v/>
      </c>
      <c r="X852" s="108">
        <f>ABS(AJ852-AJ$1)</f>
        <v/>
      </c>
      <c r="Y852" s="108">
        <f>AVERAGE(Z852:AB852)</f>
        <v/>
      </c>
      <c r="Z852" s="108">
        <f>ABS(AL852-AL$1)</f>
        <v/>
      </c>
      <c r="AA852" s="108">
        <f>ABS(AM852-AM$1)</f>
        <v/>
      </c>
      <c r="AB852" s="108">
        <f>ABS(AN852-AN$1)</f>
        <v/>
      </c>
      <c r="AC852" s="108" t="n"/>
      <c r="AD852" s="108" t="n"/>
      <c r="AE852" s="108">
        <f>ABS(AQ$1-AQ852)</f>
        <v/>
      </c>
      <c r="AF852" s="108">
        <f>ABS(AR$1-AR852)</f>
        <v/>
      </c>
      <c r="AG852" s="108">
        <f>ABS(AS$1-AS852)</f>
        <v/>
      </c>
      <c r="AH852" s="108">
        <f>ABS(AT$1-AT852)</f>
        <v/>
      </c>
      <c r="AI852" s="108">
        <f>ABS(AU$1-AU852)</f>
        <v/>
      </c>
      <c r="AJ852" s="108">
        <f>(AV852-Driver!$K$179)/(Driver!$L$179-Driver!$K$179)</f>
        <v/>
      </c>
      <c r="AK852" s="108">
        <f>(AW852-Driver!$K$180)/(Driver!$L$180-Driver!$K$180)</f>
        <v/>
      </c>
      <c r="AL852" s="108">
        <f>(AX852-Driver!$K$181)/(Driver!$L$181-Driver!$K$181)</f>
        <v/>
      </c>
      <c r="AM852" s="108">
        <f>(AY852-Driver!$K$182)/(Driver!$L$182-Driver!$K$182)</f>
        <v/>
      </c>
      <c r="AN852" s="108">
        <f>(AZ852-Driver!$K$183)/(Driver!$L$183-Driver!$K$183)</f>
        <v/>
      </c>
      <c r="AO852" s="108" t="n"/>
      <c r="AP852" s="108" t="n"/>
      <c r="AQ852" s="108">
        <f>(BC852-Driver!$K$188)/(Driver!$L$188-Driver!$K$188)</f>
        <v/>
      </c>
      <c r="AR852" s="108">
        <f>MIN((BD852-Driver!$K$189)/(Driver!$L$189-Driver!$K$189),100%)</f>
        <v/>
      </c>
      <c r="AS852" s="108">
        <f>(BE852-Driver!$K$190)/(Driver!$L$190-Driver!$K$190)</f>
        <v/>
      </c>
      <c r="AT852" s="108">
        <f>(BF852-Driver!$K$191)/(Driver!$L$191-Driver!$K$191)</f>
        <v/>
      </c>
      <c r="AU852" s="108">
        <f>(BG852-Driver!$K$192)/(Driver!$L$192-Driver!$K$192)</f>
        <v/>
      </c>
      <c r="AV852" s="105">
        <f>IFERROR(BM852*BJ852^1/4,"")</f>
        <v/>
      </c>
      <c r="AW852" s="105">
        <f>IFERROR(SUM(AX852:AZ852),"")</f>
        <v/>
      </c>
      <c r="AX852" s="105">
        <f>IFERROR(BH852,"")</f>
        <v/>
      </c>
      <c r="AY852" s="105">
        <f>IFERROR(Driver!$K$19/Data!BH852/Data!BI852*Data!BK852*Data!BL852,"")</f>
        <v/>
      </c>
      <c r="AZ852" s="105">
        <f>IFERROR(BI852*BN852,"")</f>
        <v/>
      </c>
      <c r="BA852" s="105" t="n"/>
      <c r="BB852" s="105" t="n"/>
      <c r="BC852" s="105">
        <f>IFERROR(BI852*BN852*BK852/BJ852^(1/2),"")</f>
        <v/>
      </c>
      <c r="BD852" s="105">
        <f>IFERROR(BH852*BM852*BL852/BJ852/BK852,"")</f>
        <v/>
      </c>
      <c r="BE852" s="105">
        <f>IFERROR(MIN(BI852/BQ852/BP852/BO852/BH852,$BE$1),"")</f>
        <v/>
      </c>
      <c r="BF852" s="105">
        <f>IFERROR(BJ852*BO852*BP852/BK852,"")</f>
        <v/>
      </c>
      <c r="BG852" s="105">
        <f>IFERROR(1/BM852/BH852*BQ852,"")</f>
        <v/>
      </c>
      <c r="BH852" s="102">
        <f>MAX((CE852-Driver!$F$200)/(Driver!$G$200-Driver!$F$200)*$BI$1,1)</f>
        <v/>
      </c>
      <c r="BI852" s="102">
        <f>MAX($BI$1*(BY852-Driver!$F$201)/(Driver!$G$201-Driver!$F$201),1)</f>
        <v/>
      </c>
      <c r="BJ852" s="102">
        <f>(CB852-Driver!$F$206)/(Driver!$G$206-Driver!$F$206)*$BI$1</f>
        <v/>
      </c>
      <c r="BK852" s="102">
        <f>(CD852-Driver!$F$203)/(Driver!$G$203-Driver!$F$203)*$BI$1</f>
        <v/>
      </c>
      <c r="BL852" s="102">
        <f>MAX((CR852-Driver!$F$202)/(Driver!$G$202-Driver!$F$202)*$BI$1,1)</f>
        <v/>
      </c>
      <c r="BM852" s="102">
        <f>MAX((CH852-Driver!$F$204)/(Driver!$G$204-Driver!$F$204)*$BI$1,1)</f>
        <v/>
      </c>
      <c r="BN852" s="102">
        <f>(CI852-Driver!$F$205)/(Driver!$G$205-Driver!$F$205)*$BI$1</f>
        <v/>
      </c>
      <c r="BO852" s="102">
        <f>(CK852-Driver!$F$207)/(Driver!$G$207-Driver!$F$207)*$BI$1</f>
        <v/>
      </c>
      <c r="BP852" s="102">
        <f>(CM852-Driver!$F$208)/(Driver!$G$208-Driver!$F$208)*$BI$1</f>
        <v/>
      </c>
      <c r="BQ852" s="102">
        <f>(CL852-Driver!$F$209)/(Driver!$G$209-Driver!$F$209)*$BI$1</f>
        <v/>
      </c>
      <c r="BR852" s="40" t="inlineStr">
        <is>
          <t>21/22</t>
        </is>
      </c>
      <c r="BS852" s="10" t="inlineStr">
        <is>
          <t xml:space="preserve"> Blizzard</t>
        </is>
      </c>
      <c r="BT852" s="11" t="inlineStr">
        <is>
          <t xml:space="preserve"> Thunderbird Sport Ti</t>
        </is>
      </c>
      <c r="BU852" s="13" t="n">
        <v>170</v>
      </c>
      <c r="BV852" s="11" t="inlineStr">
        <is>
          <t xml:space="preserve"> Unisex</t>
        </is>
      </c>
      <c r="BW852" s="13" t="n">
        <v>170</v>
      </c>
      <c r="BX852" s="13" t="n">
        <v>169.1</v>
      </c>
      <c r="BY852" s="13" t="n">
        <v>148</v>
      </c>
      <c r="BZ852" s="13" t="n">
        <v>157</v>
      </c>
      <c r="CA852" s="13" t="n">
        <v>124</v>
      </c>
      <c r="CB852" s="13" t="n">
        <v>76</v>
      </c>
      <c r="CC852" s="13" t="n">
        <v>104</v>
      </c>
      <c r="CD852" s="13" t="n">
        <v>15.5</v>
      </c>
      <c r="CE852" s="13" t="n">
        <v>1971</v>
      </c>
      <c r="CF852" s="13" t="n">
        <v>0.77</v>
      </c>
      <c r="CG852" s="13" t="n">
        <v>1521</v>
      </c>
      <c r="CH852" s="13" t="n">
        <v>234</v>
      </c>
      <c r="CI852" s="13" t="n">
        <v>110</v>
      </c>
      <c r="CJ852" s="13" t="n">
        <v>41</v>
      </c>
      <c r="CK852" s="13" t="n">
        <v>163</v>
      </c>
      <c r="CL852" s="13" t="n">
        <v>5</v>
      </c>
      <c r="CM852" s="13" t="n">
        <v>51</v>
      </c>
      <c r="CN852" s="13" t="n">
        <v>0.131</v>
      </c>
      <c r="CO852" s="13" t="n">
        <v>71</v>
      </c>
      <c r="CP852" s="13" t="n">
        <v>55</v>
      </c>
      <c r="CQ852" s="13" t="n">
        <v>93</v>
      </c>
      <c r="CR852" s="13" t="n">
        <v>6</v>
      </c>
      <c r="CS852" s="13" t="n">
        <v>12.1</v>
      </c>
      <c r="CT852" s="11" t="inlineStr">
        <is>
          <t xml:space="preserve"> On-Piste Carving</t>
        </is>
      </c>
      <c r="CU852" s="13" t="n"/>
      <c r="CV852" s="13" t="n"/>
      <c r="CW852" s="13" t="n"/>
      <c r="CX852">
        <f>INDEX('Data_Price '!AG$2:AG$1266,MATCH(Data!$DN852,'Data_Price '!$AT$2:$AT$1266,0))</f>
        <v/>
      </c>
      <c r="CY852">
        <f>INDEX('Data_Price '!AH$2:AH$1266,MATCH(Data!$DN852,'Data_Price '!$AT$2:$AT$1266,0))</f>
        <v/>
      </c>
      <c r="CZ852">
        <f>INDEX('Data_Price '!AI$2:AI$1266,MATCH(Data!$DN852,'Data_Price '!$AT$2:$AT$1266,0))</f>
        <v/>
      </c>
      <c r="DA852">
        <f>INDEX('Data_Price '!AJ$2:AJ$1266,MATCH(Data!$DN852,'Data_Price '!$AT$2:$AT$1266,0))</f>
        <v/>
      </c>
      <c r="DB852">
        <f>INDEX('Data_Price '!AK$2:AK$1266,MATCH(Data!$DN852,'Data_Price '!$AT$2:$AT$1266,0))</f>
        <v/>
      </c>
      <c r="DC852">
        <f>INDEX('Data_Price '!AL$2:AL$1266,MATCH(Data!$DN852,'Data_Price '!$AT$2:$AT$1266,0))</f>
        <v/>
      </c>
      <c r="DD852">
        <f>INDEX('Data_Price '!AM$2:AM$1266,MATCH(Data!$DN852,'Data_Price '!$AT$2:$AT$1266,0))</f>
        <v/>
      </c>
      <c r="DE852">
        <f>INDEX('Data_Price '!AN$2:AN$1266,MATCH(Data!$DN852,'Data_Price '!$AT$2:$AT$1266,0))</f>
        <v/>
      </c>
      <c r="DF852">
        <f>INDEX('Data_Price '!AO$2:AO$1266,MATCH(Data!$DN852,'Data_Price '!$AT$2:$AT$1266,0))</f>
        <v/>
      </c>
      <c r="DG852">
        <f>INDEX('Data_Price '!AP$2:AP$1266,MATCH(Data!$DN852,'Data_Price '!$AT$2:$AT$1266,0))</f>
        <v/>
      </c>
      <c r="DH852">
        <f>INDEX('Data_Price '!AQ$2:AQ$1266,MATCH(Data!$DN852,'Data_Price '!$AT$2:$AT$1266,0))</f>
        <v/>
      </c>
      <c r="DI852">
        <f>INDEX('Data_Price '!AR$2:AR$1266,MATCH(Data!$DN852,'Data_Price '!$AT$2:$AT$1266,0))</f>
        <v/>
      </c>
      <c r="DJ852" s="138">
        <f>DA852</f>
        <v/>
      </c>
      <c r="DK852" s="138">
        <f>DE852</f>
        <v/>
      </c>
      <c r="DL852" s="138">
        <f>DI852</f>
        <v/>
      </c>
      <c r="DM852" s="303">
        <f>IF(LEFT(BT852,1)=" ",RIGHT(BT852,LEN(BT852)-1),BT852)</f>
        <v/>
      </c>
      <c r="DN852" s="138">
        <f>_xlfn.CONCAT(BS852,DM852,BU852,BV852)</f>
        <v/>
      </c>
      <c r="DO852" s="307" t="inlineStr">
        <is>
          <t>https://images.evo.com/imgp/250/197468/825183/clone.jpg</t>
        </is>
      </c>
    </row>
    <row r="853" ht="15.6" customHeight="1" s="184">
      <c r="B853" s="303">
        <f t="array" ref="B853">IF(OR(ISERROR(K853:P853)),FALSE,TRUE)</f>
        <v/>
      </c>
      <c r="C853" s="60">
        <f>OR(BR853=Driver!$G$50,Data!BR410=Driver!$H$50)</f>
        <v/>
      </c>
      <c r="D853" s="60">
        <f>OR(BV853=Driver!$G$51,BV853=Driver!$H$51)</f>
        <v/>
      </c>
      <c r="E853" s="60">
        <f>AND(BX853&gt;Driver!$F$54,BX853&lt;Driver!$G$54)</f>
        <v/>
      </c>
      <c r="F853" s="60">
        <f>CL853&gt;Driver!$F$56</f>
        <v/>
      </c>
      <c r="G853" s="60">
        <f>AND(CB853&gt;Driver!$F$55,CB853&lt;Driver!$G$55)</f>
        <v/>
      </c>
      <c r="H853" s="60">
        <f>AND(B853:G853)</f>
        <v/>
      </c>
      <c r="I853" s="60">
        <f>COUNTIFS($H$9:$H$1273,TRUE,$BT$9:$BT$1273,BT853)</f>
        <v/>
      </c>
      <c r="J853" s="60">
        <f t="array" ref="J853">NOT(OR(($H$9:$H$1273=TRUE)*($I$9:$I$1273&gt;0)*($BT$9:$BT$1273=BT853)*($K$9:$K$1273&gt;K853)))</f>
        <v/>
      </c>
      <c r="K853" s="108">
        <f>IFERROR(1-AVERAGE(X853:Y853),"")</f>
        <v/>
      </c>
      <c r="L853" s="108">
        <f>1-X853</f>
        <v/>
      </c>
      <c r="M853" s="108">
        <f>1-Y853</f>
        <v/>
      </c>
      <c r="N853" s="108">
        <f>1-Z853</f>
        <v/>
      </c>
      <c r="O853" s="108">
        <f>1-AA853</f>
        <v/>
      </c>
      <c r="P853" s="108">
        <f>1-AB853</f>
        <v/>
      </c>
      <c r="Q853" s="108" t="n"/>
      <c r="R853" s="108" t="n"/>
      <c r="S853" s="108">
        <f>1-AE853</f>
        <v/>
      </c>
      <c r="T853" s="108">
        <f>1-AF853</f>
        <v/>
      </c>
      <c r="U853" s="108">
        <f>1-AG853</f>
        <v/>
      </c>
      <c r="V853" s="108">
        <f>1-AH853</f>
        <v/>
      </c>
      <c r="W853" s="108">
        <f>1-AI853</f>
        <v/>
      </c>
      <c r="X853" s="108">
        <f>ABS(AJ853-AJ$1)</f>
        <v/>
      </c>
      <c r="Y853" s="108">
        <f>AVERAGE(Z853:AB853)</f>
        <v/>
      </c>
      <c r="Z853" s="108">
        <f>ABS(AL853-AL$1)</f>
        <v/>
      </c>
      <c r="AA853" s="108">
        <f>ABS(AM853-AM$1)</f>
        <v/>
      </c>
      <c r="AB853" s="108">
        <f>ABS(AN853-AN$1)</f>
        <v/>
      </c>
      <c r="AC853" s="108" t="n"/>
      <c r="AD853" s="108" t="n"/>
      <c r="AE853" s="108">
        <f>ABS(AQ$1-AQ853)</f>
        <v/>
      </c>
      <c r="AF853" s="108">
        <f>ABS(AR$1-AR853)</f>
        <v/>
      </c>
      <c r="AG853" s="108">
        <f>ABS(AS$1-AS853)</f>
        <v/>
      </c>
      <c r="AH853" s="108">
        <f>ABS(AT$1-AT853)</f>
        <v/>
      </c>
      <c r="AI853" s="108">
        <f>ABS(AU$1-AU853)</f>
        <v/>
      </c>
      <c r="AJ853" s="108">
        <f>(AV853-Driver!$K$179)/(Driver!$L$179-Driver!$K$179)</f>
        <v/>
      </c>
      <c r="AK853" s="108">
        <f>(AW853-Driver!$K$180)/(Driver!$L$180-Driver!$K$180)</f>
        <v/>
      </c>
      <c r="AL853" s="108">
        <f>(AX853-Driver!$K$181)/(Driver!$L$181-Driver!$K$181)</f>
        <v/>
      </c>
      <c r="AM853" s="108">
        <f>(AY853-Driver!$K$182)/(Driver!$L$182-Driver!$K$182)</f>
        <v/>
      </c>
      <c r="AN853" s="108">
        <f>(AZ853-Driver!$K$183)/(Driver!$L$183-Driver!$K$183)</f>
        <v/>
      </c>
      <c r="AO853" s="108" t="n"/>
      <c r="AP853" s="108" t="n"/>
      <c r="AQ853" s="108">
        <f>(BC853-Driver!$K$188)/(Driver!$L$188-Driver!$K$188)</f>
        <v/>
      </c>
      <c r="AR853" s="108">
        <f>MIN((BD853-Driver!$K$189)/(Driver!$L$189-Driver!$K$189),100%)</f>
        <v/>
      </c>
      <c r="AS853" s="108">
        <f>(BE853-Driver!$K$190)/(Driver!$L$190-Driver!$K$190)</f>
        <v/>
      </c>
      <c r="AT853" s="108">
        <f>(BF853-Driver!$K$191)/(Driver!$L$191-Driver!$K$191)</f>
        <v/>
      </c>
      <c r="AU853" s="108">
        <f>(BG853-Driver!$K$192)/(Driver!$L$192-Driver!$K$192)</f>
        <v/>
      </c>
      <c r="AV853" s="105">
        <f>IFERROR(BM853*BJ853^1/4,"")</f>
        <v/>
      </c>
      <c r="AW853" s="105">
        <f>IFERROR(SUM(AX853:AZ853),"")</f>
        <v/>
      </c>
      <c r="AX853" s="105">
        <f>IFERROR(BH853,"")</f>
        <v/>
      </c>
      <c r="AY853" s="105">
        <f>IFERROR(Driver!$K$19/Data!BH853/Data!BI853*Data!BK853*Data!BL853,"")</f>
        <v/>
      </c>
      <c r="AZ853" s="105">
        <f>IFERROR(BI853*BN853,"")</f>
        <v/>
      </c>
      <c r="BA853" s="105" t="n"/>
      <c r="BB853" s="105" t="n"/>
      <c r="BC853" s="105">
        <f>IFERROR(BI853*BN853*BK853/BJ853^(1/2),"")</f>
        <v/>
      </c>
      <c r="BD853" s="105">
        <f>IFERROR(BH853*BM853*BL853/BJ853/BK853,"")</f>
        <v/>
      </c>
      <c r="BE853" s="105">
        <f>IFERROR(MIN(BI853/BQ853/BP853/BO853/BH853,$BE$1),"")</f>
        <v/>
      </c>
      <c r="BF853" s="105">
        <f>IFERROR(BJ853*BO853*BP853/BK853,"")</f>
        <v/>
      </c>
      <c r="BG853" s="105">
        <f>IFERROR(1/BM853/BH853*BQ853,"")</f>
        <v/>
      </c>
      <c r="BH853" s="102">
        <f>MAX((CE853-Driver!$F$200)/(Driver!$G$200-Driver!$F$200)*$BI$1,1)</f>
        <v/>
      </c>
      <c r="BI853" s="102">
        <f>MAX($BI$1*(BY853-Driver!$F$201)/(Driver!$G$201-Driver!$F$201),1)</f>
        <v/>
      </c>
      <c r="BJ853" s="102">
        <f>(CB853-Driver!$F$206)/(Driver!$G$206-Driver!$F$206)*$BI$1</f>
        <v/>
      </c>
      <c r="BK853" s="102">
        <f>(CD853-Driver!$F$203)/(Driver!$G$203-Driver!$F$203)*$BI$1</f>
        <v/>
      </c>
      <c r="BL853" s="102">
        <f>MAX((CR853-Driver!$F$202)/(Driver!$G$202-Driver!$F$202)*$BI$1,1)</f>
        <v/>
      </c>
      <c r="BM853" s="102">
        <f>MAX((CH853-Driver!$F$204)/(Driver!$G$204-Driver!$F$204)*$BI$1,1)</f>
        <v/>
      </c>
      <c r="BN853" s="102">
        <f>(CI853-Driver!$F$205)/(Driver!$G$205-Driver!$F$205)*$BI$1</f>
        <v/>
      </c>
      <c r="BO853" s="102">
        <f>(CK853-Driver!$F$207)/(Driver!$G$207-Driver!$F$207)*$BI$1</f>
        <v/>
      </c>
      <c r="BP853" s="102">
        <f>(CM853-Driver!$F$208)/(Driver!$G$208-Driver!$F$208)*$BI$1</f>
        <v/>
      </c>
      <c r="BQ853" s="102">
        <f>(CL853-Driver!$F$209)/(Driver!$G$209-Driver!$F$209)*$BI$1</f>
        <v/>
      </c>
      <c r="BR853" s="40" t="inlineStr">
        <is>
          <t>21/22</t>
        </is>
      </c>
      <c r="BS853" s="10" t="inlineStr">
        <is>
          <t xml:space="preserve"> Dynastar</t>
        </is>
      </c>
      <c r="BT853" s="11" t="inlineStr">
        <is>
          <t>M-Tour 87 Ca</t>
        </is>
      </c>
      <c r="BU853" s="13" t="n">
        <v>171</v>
      </c>
      <c r="BV853" s="11" t="inlineStr">
        <is>
          <t xml:space="preserve"> Unisex</t>
        </is>
      </c>
      <c r="BW853" s="13" t="n">
        <v>171</v>
      </c>
      <c r="BX853" s="13" t="n">
        <v>170.5</v>
      </c>
      <c r="BY853" s="13" t="n">
        <v>130</v>
      </c>
      <c r="BZ853" s="13" t="n">
        <v>127</v>
      </c>
      <c r="CA853" s="13" t="n">
        <v>127</v>
      </c>
      <c r="CB853" s="13" t="n">
        <v>86</v>
      </c>
      <c r="CC853" s="13" t="n">
        <v>103</v>
      </c>
      <c r="CD853" s="13" t="n">
        <v>13.8</v>
      </c>
      <c r="CE853" s="13" t="n">
        <v>1250</v>
      </c>
      <c r="CF853" s="13" t="n">
        <v>1.34</v>
      </c>
      <c r="CG853" s="13" t="n">
        <v>1673</v>
      </c>
      <c r="CH853" s="13" t="n">
        <v>223</v>
      </c>
      <c r="CI853" s="13" t="n">
        <v>66</v>
      </c>
      <c r="CJ853" s="13" t="n">
        <v>74</v>
      </c>
      <c r="CK853" s="13" t="n">
        <v>353</v>
      </c>
      <c r="CL853" s="13" t="n">
        <v>4</v>
      </c>
      <c r="CM853" s="13" t="n">
        <v>49</v>
      </c>
      <c r="CN853" s="13" t="n">
        <v>0.048</v>
      </c>
      <c r="CO853" s="13" t="n">
        <v>198</v>
      </c>
      <c r="CP853" s="13" t="n">
        <v>240</v>
      </c>
      <c r="CQ853" s="13" t="n">
        <v>154</v>
      </c>
      <c r="CR853" s="13" t="n">
        <v>5</v>
      </c>
      <c r="CS853" s="13" t="n">
        <v>11.8</v>
      </c>
      <c r="CT853" s="11" t="inlineStr">
        <is>
          <t xml:space="preserve"> Touring</t>
        </is>
      </c>
      <c r="CU853" s="11" t="inlineStr">
        <is>
          <t xml:space="preserve"> Ultralight Touring</t>
        </is>
      </c>
      <c r="CV853" s="13" t="n"/>
      <c r="CW853" s="13" t="n"/>
      <c r="CX853">
        <f>INDEX('Data_Price '!AG$2:AG$1266,MATCH(Data!$DN853,'Data_Price '!$AT$2:$AT$1266,0))</f>
        <v/>
      </c>
      <c r="CY853">
        <f>INDEX('Data_Price '!AH$2:AH$1266,MATCH(Data!$DN853,'Data_Price '!$AT$2:$AT$1266,0))</f>
        <v/>
      </c>
      <c r="CZ853">
        <f>INDEX('Data_Price '!AI$2:AI$1266,MATCH(Data!$DN853,'Data_Price '!$AT$2:$AT$1266,0))</f>
        <v/>
      </c>
      <c r="DA853">
        <f>INDEX('Data_Price '!AJ$2:AJ$1266,MATCH(Data!$DN853,'Data_Price '!$AT$2:$AT$1266,0))</f>
        <v/>
      </c>
      <c r="DB853">
        <f>INDEX('Data_Price '!AK$2:AK$1266,MATCH(Data!$DN853,'Data_Price '!$AT$2:$AT$1266,0))</f>
        <v/>
      </c>
      <c r="DC853">
        <f>INDEX('Data_Price '!AL$2:AL$1266,MATCH(Data!$DN853,'Data_Price '!$AT$2:$AT$1266,0))</f>
        <v/>
      </c>
      <c r="DD853">
        <f>INDEX('Data_Price '!AM$2:AM$1266,MATCH(Data!$DN853,'Data_Price '!$AT$2:$AT$1266,0))</f>
        <v/>
      </c>
      <c r="DE853">
        <f>INDEX('Data_Price '!AN$2:AN$1266,MATCH(Data!$DN853,'Data_Price '!$AT$2:$AT$1266,0))</f>
        <v/>
      </c>
      <c r="DF853">
        <f>INDEX('Data_Price '!AO$2:AO$1266,MATCH(Data!$DN853,'Data_Price '!$AT$2:$AT$1266,0))</f>
        <v/>
      </c>
      <c r="DG853">
        <f>INDEX('Data_Price '!AP$2:AP$1266,MATCH(Data!$DN853,'Data_Price '!$AT$2:$AT$1266,0))</f>
        <v/>
      </c>
      <c r="DH853">
        <f>INDEX('Data_Price '!AQ$2:AQ$1266,MATCH(Data!$DN853,'Data_Price '!$AT$2:$AT$1266,0))</f>
        <v/>
      </c>
      <c r="DI853">
        <f>INDEX('Data_Price '!AR$2:AR$1266,MATCH(Data!$DN853,'Data_Price '!$AT$2:$AT$1266,0))</f>
        <v/>
      </c>
      <c r="DJ853" s="138">
        <f>DA853</f>
        <v/>
      </c>
      <c r="DK853" s="138">
        <f>DE853</f>
        <v/>
      </c>
      <c r="DL853" s="138">
        <f>DI853</f>
        <v/>
      </c>
      <c r="DM853" s="303">
        <f>IF(LEFT(BT853,1)=" ",RIGHT(BT853,LEN(BT853)-1),BT853)</f>
        <v/>
      </c>
      <c r="DN853" s="138">
        <f>_xlfn.CONCAT(BS853,DM853,BU853,BV853)</f>
        <v/>
      </c>
      <c r="DO853" s="307" t="n"/>
    </row>
    <row r="854" ht="15.6" customHeight="1" s="184">
      <c r="B854" s="303">
        <f t="array" ref="B854">IF(OR(ISERROR(K854:P854)),FALSE,TRUE)</f>
        <v/>
      </c>
      <c r="C854" s="60">
        <f>OR(BR854=Driver!$G$50,Data!BR139=Driver!$H$50)</f>
        <v/>
      </c>
      <c r="D854" s="60">
        <f>OR(BV854=Driver!$G$51,BV854=Driver!$H$51)</f>
        <v/>
      </c>
      <c r="E854" s="60">
        <f>AND(BX854&gt;Driver!$F$54,BX854&lt;Driver!$G$54)</f>
        <v/>
      </c>
      <c r="F854" s="60">
        <f>CL854&gt;Driver!$F$56</f>
        <v/>
      </c>
      <c r="G854" s="60">
        <f>AND(CB854&gt;Driver!$F$55,CB854&lt;Driver!$G$55)</f>
        <v/>
      </c>
      <c r="H854" s="60">
        <f>AND(B854:G854)</f>
        <v/>
      </c>
      <c r="I854" s="60">
        <f>COUNTIFS($H$9:$H$1273,TRUE,$BT$9:$BT$1273,BT854)</f>
        <v/>
      </c>
      <c r="J854" s="60">
        <f t="array" ref="J854">NOT(OR(($H$9:$H$1273=TRUE)*($I$9:$I$1273&gt;0)*($BT$9:$BT$1273=BT854)*($K$9:$K$1273&gt;K854)))</f>
        <v/>
      </c>
      <c r="K854" s="108">
        <f>IFERROR(1-AVERAGE(X854:Y854),"")</f>
        <v/>
      </c>
      <c r="L854" s="108">
        <f>1-X854</f>
        <v/>
      </c>
      <c r="M854" s="108">
        <f>1-Y854</f>
        <v/>
      </c>
      <c r="N854" s="108">
        <f>1-Z854</f>
        <v/>
      </c>
      <c r="O854" s="108">
        <f>1-AA854</f>
        <v/>
      </c>
      <c r="P854" s="108">
        <f>1-AB854</f>
        <v/>
      </c>
      <c r="Q854" s="108" t="n"/>
      <c r="R854" s="108" t="n"/>
      <c r="S854" s="108">
        <f>1-AE854</f>
        <v/>
      </c>
      <c r="T854" s="108">
        <f>1-AF854</f>
        <v/>
      </c>
      <c r="U854" s="108">
        <f>1-AG854</f>
        <v/>
      </c>
      <c r="V854" s="108">
        <f>1-AH854</f>
        <v/>
      </c>
      <c r="W854" s="108">
        <f>1-AI854</f>
        <v/>
      </c>
      <c r="X854" s="108">
        <f>ABS(AJ854-AJ$1)</f>
        <v/>
      </c>
      <c r="Y854" s="108">
        <f>AVERAGE(Z854:AB854)</f>
        <v/>
      </c>
      <c r="Z854" s="108">
        <f>ABS(AL854-AL$1)</f>
        <v/>
      </c>
      <c r="AA854" s="108">
        <f>ABS(AM854-AM$1)</f>
        <v/>
      </c>
      <c r="AB854" s="108">
        <f>ABS(AN854-AN$1)</f>
        <v/>
      </c>
      <c r="AC854" s="108" t="n"/>
      <c r="AD854" s="108" t="n"/>
      <c r="AE854" s="108">
        <f>ABS(AQ$1-AQ854)</f>
        <v/>
      </c>
      <c r="AF854" s="108">
        <f>ABS(AR$1-AR854)</f>
        <v/>
      </c>
      <c r="AG854" s="108">
        <f>ABS(AS$1-AS854)</f>
        <v/>
      </c>
      <c r="AH854" s="108">
        <f>ABS(AT$1-AT854)</f>
        <v/>
      </c>
      <c r="AI854" s="108">
        <f>ABS(AU$1-AU854)</f>
        <v/>
      </c>
      <c r="AJ854" s="108">
        <f>(AV854-Driver!$K$179)/(Driver!$L$179-Driver!$K$179)</f>
        <v/>
      </c>
      <c r="AK854" s="108">
        <f>(AW854-Driver!$K$180)/(Driver!$L$180-Driver!$K$180)</f>
        <v/>
      </c>
      <c r="AL854" s="108">
        <f>(AX854-Driver!$K$181)/(Driver!$L$181-Driver!$K$181)</f>
        <v/>
      </c>
      <c r="AM854" s="108">
        <f>(AY854-Driver!$K$182)/(Driver!$L$182-Driver!$K$182)</f>
        <v/>
      </c>
      <c r="AN854" s="108">
        <f>(AZ854-Driver!$K$183)/(Driver!$L$183-Driver!$K$183)</f>
        <v/>
      </c>
      <c r="AO854" s="108" t="n"/>
      <c r="AP854" s="108" t="n"/>
      <c r="AQ854" s="108">
        <f>(BC854-Driver!$K$188)/(Driver!$L$188-Driver!$K$188)</f>
        <v/>
      </c>
      <c r="AR854" s="108">
        <f>MIN((BD854-Driver!$K$189)/(Driver!$L$189-Driver!$K$189),100%)</f>
        <v/>
      </c>
      <c r="AS854" s="108">
        <f>(BE854-Driver!$K$190)/(Driver!$L$190-Driver!$K$190)</f>
        <v/>
      </c>
      <c r="AT854" s="108">
        <f>(BF854-Driver!$K$191)/(Driver!$L$191-Driver!$K$191)</f>
        <v/>
      </c>
      <c r="AU854" s="108">
        <f>(BG854-Driver!$K$192)/(Driver!$L$192-Driver!$K$192)</f>
        <v/>
      </c>
      <c r="AV854" s="105">
        <f>IFERROR(BM854*BJ854^1/4,"")</f>
        <v/>
      </c>
      <c r="AW854" s="105">
        <f>IFERROR(SUM(AX854:AZ854),"")</f>
        <v/>
      </c>
      <c r="AX854" s="105">
        <f>IFERROR(BH854,"")</f>
        <v/>
      </c>
      <c r="AY854" s="105">
        <f>IFERROR(Driver!$K$19/Data!BH854/Data!BI854*Data!BK854*Data!BL854,"")</f>
        <v/>
      </c>
      <c r="AZ854" s="105">
        <f>IFERROR(BI854*BN854,"")</f>
        <v/>
      </c>
      <c r="BA854" s="105" t="n"/>
      <c r="BB854" s="105" t="n"/>
      <c r="BC854" s="105">
        <f>IFERROR(BI854*BN854*BK854/BJ854^(1/2),"")</f>
        <v/>
      </c>
      <c r="BD854" s="105">
        <f>IFERROR(BH854*BM854*BL854/BJ854/BK854,"")</f>
        <v/>
      </c>
      <c r="BE854" s="105">
        <f>IFERROR(MIN(BI854/BQ854/BP854/BO854/BH854,$BE$1),"")</f>
        <v/>
      </c>
      <c r="BF854" s="105">
        <f>IFERROR(BJ854*BO854*BP854/BK854,"")</f>
        <v/>
      </c>
      <c r="BG854" s="105">
        <f>IFERROR(1/BM854/BH854*BQ854,"")</f>
        <v/>
      </c>
      <c r="BH854" s="102">
        <f>MAX((CE854-Driver!$F$200)/(Driver!$G$200-Driver!$F$200)*$BI$1,1)</f>
        <v/>
      </c>
      <c r="BI854" s="102">
        <f>MAX($BI$1*(BY854-Driver!$F$201)/(Driver!$G$201-Driver!$F$201),1)</f>
        <v/>
      </c>
      <c r="BJ854" s="102">
        <f>(CB854-Driver!$F$206)/(Driver!$G$206-Driver!$F$206)*$BI$1</f>
        <v/>
      </c>
      <c r="BK854" s="102">
        <f>(CD854-Driver!$F$203)/(Driver!$G$203-Driver!$F$203)*$BI$1</f>
        <v/>
      </c>
      <c r="BL854" s="102">
        <f>MAX((CR854-Driver!$F$202)/(Driver!$G$202-Driver!$F$202)*$BI$1,1)</f>
        <v/>
      </c>
      <c r="BM854" s="102">
        <f>MAX((CH854-Driver!$F$204)/(Driver!$G$204-Driver!$F$204)*$BI$1,1)</f>
        <v/>
      </c>
      <c r="BN854" s="102">
        <f>(CI854-Driver!$F$205)/(Driver!$G$205-Driver!$F$205)*$BI$1</f>
        <v/>
      </c>
      <c r="BO854" s="102">
        <f>(CK854-Driver!$F$207)/(Driver!$G$207-Driver!$F$207)*$BI$1</f>
        <v/>
      </c>
      <c r="BP854" s="102">
        <f>(CM854-Driver!$F$208)/(Driver!$G$208-Driver!$F$208)*$BI$1</f>
        <v/>
      </c>
      <c r="BQ854" s="102">
        <f>(CL854-Driver!$F$209)/(Driver!$G$209-Driver!$F$209)*$BI$1</f>
        <v/>
      </c>
      <c r="BR854" s="40" t="inlineStr">
        <is>
          <t>21/22</t>
        </is>
      </c>
      <c r="BS854" s="10" t="inlineStr">
        <is>
          <t xml:space="preserve"> Atomic</t>
        </is>
      </c>
      <c r="BT854" s="11" t="inlineStr">
        <is>
          <t xml:space="preserve"> Bent Chetler JR</t>
        </is>
      </c>
      <c r="BU854" s="13" t="n">
        <v>150</v>
      </c>
      <c r="BV854" s="11" t="inlineStr">
        <is>
          <t xml:space="preserve"> Junior</t>
        </is>
      </c>
      <c r="BW854" s="13" t="n">
        <v>150</v>
      </c>
      <c r="BX854" s="13" t="n">
        <v>149.8</v>
      </c>
      <c r="BY854" s="13" t="n">
        <v>118</v>
      </c>
      <c r="BZ854" s="13" t="n">
        <v>131</v>
      </c>
      <c r="CA854" s="13" t="n">
        <v>121</v>
      </c>
      <c r="CB854" s="13" t="n">
        <v>83</v>
      </c>
      <c r="CC854" s="13" t="n">
        <v>110</v>
      </c>
      <c r="CD854" s="13" t="n">
        <v>12.9</v>
      </c>
      <c r="CE854" s="13" t="n">
        <v>1631</v>
      </c>
      <c r="CF854" s="13" t="n">
        <v>0.87</v>
      </c>
      <c r="CG854" s="13" t="n">
        <v>1427</v>
      </c>
      <c r="CH854" s="13" t="n">
        <v>137</v>
      </c>
      <c r="CI854" s="13" t="n">
        <v>63</v>
      </c>
      <c r="CJ854" s="13" t="n">
        <v>41</v>
      </c>
      <c r="CK854" s="13" t="n">
        <v>182</v>
      </c>
      <c r="CL854" s="13" t="n">
        <v>29</v>
      </c>
      <c r="CM854" s="13" t="n">
        <v>133</v>
      </c>
      <c r="CN854" s="13" t="n">
        <v>0.699</v>
      </c>
      <c r="CO854" s="13" t="n">
        <v>89</v>
      </c>
      <c r="CP854" s="13" t="n">
        <v>98</v>
      </c>
      <c r="CQ854" s="13" t="n">
        <v>93</v>
      </c>
      <c r="CR854" s="13" t="n">
        <v>7</v>
      </c>
      <c r="CS854" s="13" t="n">
        <v>5</v>
      </c>
      <c r="CT854" s="11" t="inlineStr">
        <is>
          <t xml:space="preserve"> Resort Freeride</t>
        </is>
      </c>
      <c r="CU854" s="13" t="n"/>
      <c r="CV854" s="13" t="n"/>
      <c r="CW854" s="13" t="n"/>
      <c r="CX854">
        <f>INDEX('Data_Price '!AG$2:AG$1266,MATCH(Data!$DN854,'Data_Price '!$AT$2:$AT$1266,0))</f>
        <v/>
      </c>
      <c r="CY854">
        <f>INDEX('Data_Price '!AH$2:AH$1266,MATCH(Data!$DN854,'Data_Price '!$AT$2:$AT$1266,0))</f>
        <v/>
      </c>
      <c r="CZ854">
        <f>INDEX('Data_Price '!AI$2:AI$1266,MATCH(Data!$DN854,'Data_Price '!$AT$2:$AT$1266,0))</f>
        <v/>
      </c>
      <c r="DA854">
        <f>INDEX('Data_Price '!AJ$2:AJ$1266,MATCH(Data!$DN854,'Data_Price '!$AT$2:$AT$1266,0))</f>
        <v/>
      </c>
      <c r="DB854">
        <f>INDEX('Data_Price '!AK$2:AK$1266,MATCH(Data!$DN854,'Data_Price '!$AT$2:$AT$1266,0))</f>
        <v/>
      </c>
      <c r="DC854">
        <f>INDEX('Data_Price '!AL$2:AL$1266,MATCH(Data!$DN854,'Data_Price '!$AT$2:$AT$1266,0))</f>
        <v/>
      </c>
      <c r="DD854">
        <f>INDEX('Data_Price '!AM$2:AM$1266,MATCH(Data!$DN854,'Data_Price '!$AT$2:$AT$1266,0))</f>
        <v/>
      </c>
      <c r="DE854">
        <f>INDEX('Data_Price '!AN$2:AN$1266,MATCH(Data!$DN854,'Data_Price '!$AT$2:$AT$1266,0))</f>
        <v/>
      </c>
      <c r="DF854">
        <f>INDEX('Data_Price '!AO$2:AO$1266,MATCH(Data!$DN854,'Data_Price '!$AT$2:$AT$1266,0))</f>
        <v/>
      </c>
      <c r="DG854">
        <f>INDEX('Data_Price '!AP$2:AP$1266,MATCH(Data!$DN854,'Data_Price '!$AT$2:$AT$1266,0))</f>
        <v/>
      </c>
      <c r="DH854">
        <f>INDEX('Data_Price '!AQ$2:AQ$1266,MATCH(Data!$DN854,'Data_Price '!$AT$2:$AT$1266,0))</f>
        <v/>
      </c>
      <c r="DI854">
        <f>INDEX('Data_Price '!AR$2:AR$1266,MATCH(Data!$DN854,'Data_Price '!$AT$2:$AT$1266,0))</f>
        <v/>
      </c>
      <c r="DJ854" s="138">
        <f>DA854</f>
        <v/>
      </c>
      <c r="DK854" s="138">
        <f>DE854</f>
        <v/>
      </c>
      <c r="DL854" s="138">
        <f>DI854</f>
        <v/>
      </c>
      <c r="DM854" s="303">
        <f>IF(LEFT(BT854,1)=" ",RIGHT(BT854,LEN(BT854)-1),BT854)</f>
        <v/>
      </c>
      <c r="DN854" s="138">
        <f>_xlfn.CONCAT(BS854,DM854,BU854,BV854)</f>
        <v/>
      </c>
      <c r="DO854" s="307" t="inlineStr">
        <is>
          <t>https://images.evo.com/imgp/250/197742/826815/atomic-bent-chetler-jr-skis-kids-2022-.jpg</t>
        </is>
      </c>
    </row>
    <row r="855" ht="15.6" customHeight="1" s="184">
      <c r="B855" s="303">
        <f t="array" ref="B855">IF(OR(ISERROR(K855:P855)),FALSE,TRUE)</f>
        <v/>
      </c>
      <c r="C855" s="60">
        <f>OR(BR855=Driver!$G$50,Data!BR1265=Driver!$H$50)</f>
        <v/>
      </c>
      <c r="D855" s="60">
        <f>OR(BV855=Driver!$G$51,BV855=Driver!$H$51)</f>
        <v/>
      </c>
      <c r="E855" s="60">
        <f>AND(BX855&gt;Driver!$F$54,BX855&lt;Driver!$G$54)</f>
        <v/>
      </c>
      <c r="F855" s="60">
        <f>CL855&gt;Driver!$F$56</f>
        <v/>
      </c>
      <c r="G855" s="60">
        <f>AND(CB855&gt;Driver!$F$55,CB855&lt;Driver!$G$55)</f>
        <v/>
      </c>
      <c r="H855" s="60">
        <f>AND(B855:G855)</f>
        <v/>
      </c>
      <c r="I855" s="60">
        <f>COUNTIFS($H$9:$H$1273,TRUE,$BT$9:$BT$1273,BT855)</f>
        <v/>
      </c>
      <c r="J855" s="60">
        <f t="array" ref="J855">NOT(OR(($H$9:$H$1273=TRUE)*($I$9:$I$1273&gt;0)*($BT$9:$BT$1273=BT855)*($K$9:$K$1273&gt;K855)))</f>
        <v/>
      </c>
      <c r="K855" s="108">
        <f>IFERROR(1-AVERAGE(X855:Y855),"")</f>
        <v/>
      </c>
      <c r="L855" s="108">
        <f>1-X855</f>
        <v/>
      </c>
      <c r="M855" s="108">
        <f>1-Y855</f>
        <v/>
      </c>
      <c r="N855" s="108">
        <f>1-Z855</f>
        <v/>
      </c>
      <c r="O855" s="108">
        <f>1-AA855</f>
        <v/>
      </c>
      <c r="P855" s="108">
        <f>1-AB855</f>
        <v/>
      </c>
      <c r="Q855" s="108" t="n"/>
      <c r="R855" s="108" t="n"/>
      <c r="S855" s="108">
        <f>1-AE855</f>
        <v/>
      </c>
      <c r="T855" s="108">
        <f>1-AF855</f>
        <v/>
      </c>
      <c r="U855" s="108">
        <f>1-AG855</f>
        <v/>
      </c>
      <c r="V855" s="108">
        <f>1-AH855</f>
        <v/>
      </c>
      <c r="W855" s="108">
        <f>1-AI855</f>
        <v/>
      </c>
      <c r="X855" s="108">
        <f>ABS(AJ855-AJ$1)</f>
        <v/>
      </c>
      <c r="Y855" s="108">
        <f>AVERAGE(Z855:AB855)</f>
        <v/>
      </c>
      <c r="Z855" s="108">
        <f>ABS(AL855-AL$1)</f>
        <v/>
      </c>
      <c r="AA855" s="108">
        <f>ABS(AM855-AM$1)</f>
        <v/>
      </c>
      <c r="AB855" s="108">
        <f>ABS(AN855-AN$1)</f>
        <v/>
      </c>
      <c r="AC855" s="108" t="n"/>
      <c r="AD855" s="108" t="n"/>
      <c r="AE855" s="108">
        <f>ABS(AQ$1-AQ855)</f>
        <v/>
      </c>
      <c r="AF855" s="108">
        <f>ABS(AR$1-AR855)</f>
        <v/>
      </c>
      <c r="AG855" s="108">
        <f>ABS(AS$1-AS855)</f>
        <v/>
      </c>
      <c r="AH855" s="108">
        <f>ABS(AT$1-AT855)</f>
        <v/>
      </c>
      <c r="AI855" s="108">
        <f>ABS(AU$1-AU855)</f>
        <v/>
      </c>
      <c r="AJ855" s="108">
        <f>(AV855-Driver!$K$179)/(Driver!$L$179-Driver!$K$179)</f>
        <v/>
      </c>
      <c r="AK855" s="108">
        <f>(AW855-Driver!$K$180)/(Driver!$L$180-Driver!$K$180)</f>
        <v/>
      </c>
      <c r="AL855" s="108">
        <f>(AX855-Driver!$K$181)/(Driver!$L$181-Driver!$K$181)</f>
        <v/>
      </c>
      <c r="AM855" s="108">
        <f>(AY855-Driver!$K$182)/(Driver!$L$182-Driver!$K$182)</f>
        <v/>
      </c>
      <c r="AN855" s="108">
        <f>(AZ855-Driver!$K$183)/(Driver!$L$183-Driver!$K$183)</f>
        <v/>
      </c>
      <c r="AO855" s="108" t="n"/>
      <c r="AP855" s="108" t="n"/>
      <c r="AQ855" s="108">
        <f>(BC855-Driver!$K$188)/(Driver!$L$188-Driver!$K$188)</f>
        <v/>
      </c>
      <c r="AR855" s="108">
        <f>MIN((BD855-Driver!$K$189)/(Driver!$L$189-Driver!$K$189),100%)</f>
        <v/>
      </c>
      <c r="AS855" s="108">
        <f>(BE855-Driver!$K$190)/(Driver!$L$190-Driver!$K$190)</f>
        <v/>
      </c>
      <c r="AT855" s="108">
        <f>(BF855-Driver!$K$191)/(Driver!$L$191-Driver!$K$191)</f>
        <v/>
      </c>
      <c r="AU855" s="108">
        <f>(BG855-Driver!$K$192)/(Driver!$L$192-Driver!$K$192)</f>
        <v/>
      </c>
      <c r="AV855" s="105">
        <f>IFERROR(BM855*BJ855^1/4,"")</f>
        <v/>
      </c>
      <c r="AW855" s="105">
        <f>IFERROR(SUM(AX855:AZ855),"")</f>
        <v/>
      </c>
      <c r="AX855" s="105">
        <f>IFERROR(BH855,"")</f>
        <v/>
      </c>
      <c r="AY855" s="105">
        <f>IFERROR(Driver!$K$19/Data!BH855/Data!BI855*Data!BK855*Data!BL855,"")</f>
        <v/>
      </c>
      <c r="AZ855" s="105">
        <f>IFERROR(BI855*BN855,"")</f>
        <v/>
      </c>
      <c r="BA855" s="105" t="n"/>
      <c r="BB855" s="105" t="n"/>
      <c r="BC855" s="105">
        <f>IFERROR(BI855*BN855*BK855/BJ855^(1/2),"")</f>
        <v/>
      </c>
      <c r="BD855" s="105">
        <f>IFERROR(BH855*BM855*BL855/BJ855/BK855,"")</f>
        <v/>
      </c>
      <c r="BE855" s="105">
        <f>IFERROR(MIN(BI855/BQ855/BP855/BO855/BH855,$BE$1),"")</f>
        <v/>
      </c>
      <c r="BF855" s="105">
        <f>IFERROR(BJ855*BO855*BP855/BK855,"")</f>
        <v/>
      </c>
      <c r="BG855" s="105">
        <f>IFERROR(1/BM855/BH855*BQ855,"")</f>
        <v/>
      </c>
      <c r="BH855" s="102">
        <f>MAX((CE855-Driver!$F$200)/(Driver!$G$200-Driver!$F$200)*$BI$1,1)</f>
        <v/>
      </c>
      <c r="BI855" s="102">
        <f>MAX($BI$1*(BY855-Driver!$F$201)/(Driver!$G$201-Driver!$F$201),1)</f>
        <v/>
      </c>
      <c r="BJ855" s="102">
        <f>(CB855-Driver!$F$206)/(Driver!$G$206-Driver!$F$206)*$BI$1</f>
        <v/>
      </c>
      <c r="BK855" s="102">
        <f>(CD855-Driver!$F$203)/(Driver!$G$203-Driver!$F$203)*$BI$1</f>
        <v/>
      </c>
      <c r="BL855" s="102">
        <f>MAX((CR855-Driver!$F$202)/(Driver!$G$202-Driver!$F$202)*$BI$1,1)</f>
        <v/>
      </c>
      <c r="BM855" s="102">
        <f>MAX((CH855-Driver!$F$204)/(Driver!$G$204-Driver!$F$204)*$BI$1,1)</f>
        <v/>
      </c>
      <c r="BN855" s="102">
        <f>(CI855-Driver!$F$205)/(Driver!$G$205-Driver!$F$205)*$BI$1</f>
        <v/>
      </c>
      <c r="BO855" s="102">
        <f>(CK855-Driver!$F$207)/(Driver!$G$207-Driver!$F$207)*$BI$1</f>
        <v/>
      </c>
      <c r="BP855" s="102">
        <f>(CM855-Driver!$F$208)/(Driver!$G$208-Driver!$F$208)*$BI$1</f>
        <v/>
      </c>
      <c r="BQ855" s="102">
        <f>(CL855-Driver!$F$209)/(Driver!$G$209-Driver!$F$209)*$BI$1</f>
        <v/>
      </c>
      <c r="BR855" s="40" t="inlineStr">
        <is>
          <t>21/22</t>
        </is>
      </c>
      <c r="BS855" s="10" t="inlineStr">
        <is>
          <t xml:space="preserve"> Völkl</t>
        </is>
      </c>
      <c r="BT855" s="11" t="inlineStr">
        <is>
          <t>Secret 96</t>
        </is>
      </c>
      <c r="BU855" s="13" t="n">
        <v>170</v>
      </c>
      <c r="BV855" s="11" t="inlineStr">
        <is>
          <t xml:space="preserve"> Women's</t>
        </is>
      </c>
      <c r="BW855" s="13" t="n">
        <v>170</v>
      </c>
      <c r="BX855" s="13" t="n">
        <v>170.8</v>
      </c>
      <c r="BY855" s="13" t="n">
        <v>123</v>
      </c>
      <c r="BZ855" s="13" t="n">
        <v>147</v>
      </c>
      <c r="CA855" s="13" t="n">
        <v>134</v>
      </c>
      <c r="CB855" s="13" t="n">
        <v>95</v>
      </c>
      <c r="CC855" s="13" t="n">
        <v>118</v>
      </c>
      <c r="CD855" s="13" t="n">
        <v>16.7</v>
      </c>
      <c r="CE855" s="13" t="n">
        <v>1931</v>
      </c>
      <c r="CF855" s="13" t="n">
        <v>0.95</v>
      </c>
      <c r="CG855" s="13" t="n">
        <v>1838</v>
      </c>
      <c r="CH855" s="13" t="n">
        <v>203</v>
      </c>
      <c r="CI855" s="13" t="n">
        <v>140</v>
      </c>
      <c r="CJ855" s="13" t="n">
        <v>44</v>
      </c>
      <c r="CK855" s="13" t="n">
        <v>290</v>
      </c>
      <c r="CL855" s="13" t="n">
        <v>17</v>
      </c>
      <c r="CM855" s="13" t="n">
        <v>192</v>
      </c>
      <c r="CN855" s="13" t="n">
        <v>0.386</v>
      </c>
      <c r="CO855" s="13" t="n">
        <v>129</v>
      </c>
      <c r="CP855" s="13" t="n">
        <v>106</v>
      </c>
      <c r="CQ855" s="13" t="n">
        <v>161</v>
      </c>
      <c r="CR855" s="13" t="n">
        <v>2</v>
      </c>
      <c r="CS855" s="13" t="n">
        <v>11.7</v>
      </c>
      <c r="CT855" s="11" t="inlineStr">
        <is>
          <t xml:space="preserve"> Resort Freeride</t>
        </is>
      </c>
      <c r="CU855" s="13" t="n"/>
      <c r="CV855" s="13" t="n"/>
      <c r="CW855" s="13" t="n"/>
      <c r="CX855">
        <f>INDEX('Data_Price '!AG$2:AG$1266,MATCH(Data!$DN855,'Data_Price '!$AT$2:$AT$1266,0))</f>
        <v/>
      </c>
      <c r="CY855">
        <f>INDEX('Data_Price '!AH$2:AH$1266,MATCH(Data!$DN855,'Data_Price '!$AT$2:$AT$1266,0))</f>
        <v/>
      </c>
      <c r="CZ855">
        <f>INDEX('Data_Price '!AI$2:AI$1266,MATCH(Data!$DN855,'Data_Price '!$AT$2:$AT$1266,0))</f>
        <v/>
      </c>
      <c r="DA855">
        <f>INDEX('Data_Price '!AJ$2:AJ$1266,MATCH(Data!$DN855,'Data_Price '!$AT$2:$AT$1266,0))</f>
        <v/>
      </c>
      <c r="DB855">
        <f>INDEX('Data_Price '!AK$2:AK$1266,MATCH(Data!$DN855,'Data_Price '!$AT$2:$AT$1266,0))</f>
        <v/>
      </c>
      <c r="DC855">
        <f>INDEX('Data_Price '!AL$2:AL$1266,MATCH(Data!$DN855,'Data_Price '!$AT$2:$AT$1266,0))</f>
        <v/>
      </c>
      <c r="DD855">
        <f>INDEX('Data_Price '!AM$2:AM$1266,MATCH(Data!$DN855,'Data_Price '!$AT$2:$AT$1266,0))</f>
        <v/>
      </c>
      <c r="DE855">
        <f>INDEX('Data_Price '!AN$2:AN$1266,MATCH(Data!$DN855,'Data_Price '!$AT$2:$AT$1266,0))</f>
        <v/>
      </c>
      <c r="DF855">
        <f>INDEX('Data_Price '!AO$2:AO$1266,MATCH(Data!$DN855,'Data_Price '!$AT$2:$AT$1266,0))</f>
        <v/>
      </c>
      <c r="DG855">
        <f>INDEX('Data_Price '!AP$2:AP$1266,MATCH(Data!$DN855,'Data_Price '!$AT$2:$AT$1266,0))</f>
        <v/>
      </c>
      <c r="DH855">
        <f>INDEX('Data_Price '!AQ$2:AQ$1266,MATCH(Data!$DN855,'Data_Price '!$AT$2:$AT$1266,0))</f>
        <v/>
      </c>
      <c r="DI855">
        <f>INDEX('Data_Price '!AR$2:AR$1266,MATCH(Data!$DN855,'Data_Price '!$AT$2:$AT$1266,0))</f>
        <v/>
      </c>
      <c r="DJ855" s="138">
        <f>DA855</f>
        <v/>
      </c>
      <c r="DK855" s="138">
        <f>DE855</f>
        <v/>
      </c>
      <c r="DL855" s="138">
        <f>DI855</f>
        <v/>
      </c>
      <c r="DM855" s="303">
        <f>IF(LEFT(BT855,1)=" ",RIGHT(BT855,LEN(BT855)-1),BT855)</f>
        <v/>
      </c>
      <c r="DN855" s="138">
        <f>_xlfn.CONCAT(BS855,DM855,BU855,BV855)</f>
        <v/>
      </c>
      <c r="DO855" s="307" t="inlineStr">
        <is>
          <t>https://images.evo.com/imgp/250/201961/795907/volkl-secret-96-skis-women-s-2022-.jpg</t>
        </is>
      </c>
    </row>
    <row r="856" ht="15.6" customHeight="1" s="184">
      <c r="B856" s="303">
        <f t="array" ref="B856">IF(OR(ISERROR(K856:P856)),FALSE,TRUE)</f>
        <v/>
      </c>
      <c r="C856" s="60">
        <f>OR(BR856=Driver!$G$50,Data!BR604=Driver!$H$50)</f>
        <v/>
      </c>
      <c r="D856" s="60">
        <f>OR(BV856=Driver!$G$51,BV856=Driver!$H$51)</f>
        <v/>
      </c>
      <c r="E856" s="60">
        <f>AND(BX856&gt;Driver!$F$54,BX856&lt;Driver!$G$54)</f>
        <v/>
      </c>
      <c r="F856" s="60">
        <f>CL856&gt;Driver!$F$56</f>
        <v/>
      </c>
      <c r="G856" s="60">
        <f>AND(CB856&gt;Driver!$F$55,CB856&lt;Driver!$G$55)</f>
        <v/>
      </c>
      <c r="H856" s="60">
        <f>AND(B856:G856)</f>
        <v/>
      </c>
      <c r="I856" s="60">
        <f>COUNTIFS($H$9:$H$1273,TRUE,$BT$9:$BT$1273,BT856)</f>
        <v/>
      </c>
      <c r="J856" s="60">
        <f t="array" ref="J856">NOT(OR(($H$9:$H$1273=TRUE)*($I$9:$I$1273&gt;0)*($BT$9:$BT$1273=BT856)*($K$9:$K$1273&gt;K856)))</f>
        <v/>
      </c>
      <c r="K856" s="108">
        <f>IFERROR(1-AVERAGE(X856:Y856),"")</f>
        <v/>
      </c>
      <c r="L856" s="108">
        <f>1-X856</f>
        <v/>
      </c>
      <c r="M856" s="108">
        <f>1-Y856</f>
        <v/>
      </c>
      <c r="N856" s="108">
        <f>1-Z856</f>
        <v/>
      </c>
      <c r="O856" s="108">
        <f>1-AA856</f>
        <v/>
      </c>
      <c r="P856" s="108">
        <f>1-AB856</f>
        <v/>
      </c>
      <c r="Q856" s="108" t="n"/>
      <c r="R856" s="108" t="n"/>
      <c r="S856" s="108">
        <f>1-AE856</f>
        <v/>
      </c>
      <c r="T856" s="108">
        <f>1-AF856</f>
        <v/>
      </c>
      <c r="U856" s="108">
        <f>1-AG856</f>
        <v/>
      </c>
      <c r="V856" s="108">
        <f>1-AH856</f>
        <v/>
      </c>
      <c r="W856" s="108">
        <f>1-AI856</f>
        <v/>
      </c>
      <c r="X856" s="108">
        <f>ABS(AJ856-AJ$1)</f>
        <v/>
      </c>
      <c r="Y856" s="108">
        <f>AVERAGE(Z856:AB856)</f>
        <v/>
      </c>
      <c r="Z856" s="108">
        <f>ABS(AL856-AL$1)</f>
        <v/>
      </c>
      <c r="AA856" s="108">
        <f>ABS(AM856-AM$1)</f>
        <v/>
      </c>
      <c r="AB856" s="108">
        <f>ABS(AN856-AN$1)</f>
        <v/>
      </c>
      <c r="AC856" s="108" t="n"/>
      <c r="AD856" s="108" t="n"/>
      <c r="AE856" s="108">
        <f>ABS(AQ$1-AQ856)</f>
        <v/>
      </c>
      <c r="AF856" s="108">
        <f>ABS(AR$1-AR856)</f>
        <v/>
      </c>
      <c r="AG856" s="108">
        <f>ABS(AS$1-AS856)</f>
        <v/>
      </c>
      <c r="AH856" s="108">
        <f>ABS(AT$1-AT856)</f>
        <v/>
      </c>
      <c r="AI856" s="108">
        <f>ABS(AU$1-AU856)</f>
        <v/>
      </c>
      <c r="AJ856" s="108">
        <f>(AV856-Driver!$K$179)/(Driver!$L$179-Driver!$K$179)</f>
        <v/>
      </c>
      <c r="AK856" s="108">
        <f>(AW856-Driver!$K$180)/(Driver!$L$180-Driver!$K$180)</f>
        <v/>
      </c>
      <c r="AL856" s="108">
        <f>(AX856-Driver!$K$181)/(Driver!$L$181-Driver!$K$181)</f>
        <v/>
      </c>
      <c r="AM856" s="108">
        <f>(AY856-Driver!$K$182)/(Driver!$L$182-Driver!$K$182)</f>
        <v/>
      </c>
      <c r="AN856" s="108">
        <f>(AZ856-Driver!$K$183)/(Driver!$L$183-Driver!$K$183)</f>
        <v/>
      </c>
      <c r="AO856" s="108" t="n"/>
      <c r="AP856" s="108" t="n"/>
      <c r="AQ856" s="108">
        <f>(BC856-Driver!$K$188)/(Driver!$L$188-Driver!$K$188)</f>
        <v/>
      </c>
      <c r="AR856" s="108">
        <f>MIN((BD856-Driver!$K$189)/(Driver!$L$189-Driver!$K$189),100%)</f>
        <v/>
      </c>
      <c r="AS856" s="108">
        <f>(BE856-Driver!$K$190)/(Driver!$L$190-Driver!$K$190)</f>
        <v/>
      </c>
      <c r="AT856" s="108">
        <f>(BF856-Driver!$K$191)/(Driver!$L$191-Driver!$K$191)</f>
        <v/>
      </c>
      <c r="AU856" s="108">
        <f>(BG856-Driver!$K$192)/(Driver!$L$192-Driver!$K$192)</f>
        <v/>
      </c>
      <c r="AV856" s="105">
        <f>IFERROR(BM856*BJ856^1/4,"")</f>
        <v/>
      </c>
      <c r="AW856" s="105">
        <f>IFERROR(SUM(AX856:AZ856),"")</f>
        <v/>
      </c>
      <c r="AX856" s="105">
        <f>IFERROR(BH856,"")</f>
        <v/>
      </c>
      <c r="AY856" s="105">
        <f>IFERROR(Driver!$K$19/Data!BH856/Data!BI856*Data!BK856*Data!BL856,"")</f>
        <v/>
      </c>
      <c r="AZ856" s="105">
        <f>IFERROR(BI856*BN856,"")</f>
        <v/>
      </c>
      <c r="BA856" s="105" t="n"/>
      <c r="BB856" s="105" t="n"/>
      <c r="BC856" s="105">
        <f>IFERROR(BI856*BN856*BK856/BJ856^(1/2),"")</f>
        <v/>
      </c>
      <c r="BD856" s="105">
        <f>IFERROR(BH856*BM856*BL856/BJ856/BK856,"")</f>
        <v/>
      </c>
      <c r="BE856" s="105">
        <f>IFERROR(MIN(BI856/BQ856/BP856/BO856/BH856,$BE$1),"")</f>
        <v/>
      </c>
      <c r="BF856" s="105">
        <f>IFERROR(BJ856*BO856*BP856/BK856,"")</f>
        <v/>
      </c>
      <c r="BG856" s="105">
        <f>IFERROR(1/BM856/BH856*BQ856,"")</f>
        <v/>
      </c>
      <c r="BH856" s="102">
        <f>MAX((CE856-Driver!$F$200)/(Driver!$G$200-Driver!$F$200)*$BI$1,1)</f>
        <v/>
      </c>
      <c r="BI856" s="102">
        <f>MAX($BI$1*(BY856-Driver!$F$201)/(Driver!$G$201-Driver!$F$201),1)</f>
        <v/>
      </c>
      <c r="BJ856" s="102">
        <f>(CB856-Driver!$F$206)/(Driver!$G$206-Driver!$F$206)*$BI$1</f>
        <v/>
      </c>
      <c r="BK856" s="102">
        <f>(CD856-Driver!$F$203)/(Driver!$G$203-Driver!$F$203)*$BI$1</f>
        <v/>
      </c>
      <c r="BL856" s="102">
        <f>MAX((CR856-Driver!$F$202)/(Driver!$G$202-Driver!$F$202)*$BI$1,1)</f>
        <v/>
      </c>
      <c r="BM856" s="102">
        <f>MAX((CH856-Driver!$F$204)/(Driver!$G$204-Driver!$F$204)*$BI$1,1)</f>
        <v/>
      </c>
      <c r="BN856" s="102">
        <f>(CI856-Driver!$F$205)/(Driver!$G$205-Driver!$F$205)*$BI$1</f>
        <v/>
      </c>
      <c r="BO856" s="102">
        <f>(CK856-Driver!$F$207)/(Driver!$G$207-Driver!$F$207)*$BI$1</f>
        <v/>
      </c>
      <c r="BP856" s="102">
        <f>(CM856-Driver!$F$208)/(Driver!$G$208-Driver!$F$208)*$BI$1</f>
        <v/>
      </c>
      <c r="BQ856" s="102">
        <f>(CL856-Driver!$F$209)/(Driver!$G$209-Driver!$F$209)*$BI$1</f>
        <v/>
      </c>
      <c r="BR856" s="40" t="inlineStr">
        <is>
          <t>21/22</t>
        </is>
      </c>
      <c r="BS856" s="10" t="inlineStr">
        <is>
          <t xml:space="preserve"> Head</t>
        </is>
      </c>
      <c r="BT856" s="11" t="inlineStr">
        <is>
          <t>Kore 111</t>
        </is>
      </c>
      <c r="BU856" s="13" t="n">
        <v>177</v>
      </c>
      <c r="BV856" s="11" t="inlineStr">
        <is>
          <t xml:space="preserve"> Unisex</t>
        </is>
      </c>
      <c r="BW856" s="13" t="n">
        <v>177</v>
      </c>
      <c r="BX856" s="13" t="n">
        <v>176.5</v>
      </c>
      <c r="BY856" s="13" t="n">
        <v>123</v>
      </c>
      <c r="BZ856" s="13" t="n">
        <v>137</v>
      </c>
      <c r="CA856" s="13" t="n">
        <v>137</v>
      </c>
      <c r="CB856" s="13" t="n">
        <v>108</v>
      </c>
      <c r="CC856" s="13" t="n">
        <v>124</v>
      </c>
      <c r="CD856" s="13" t="n">
        <v>19.8</v>
      </c>
      <c r="CE856" s="13" t="n">
        <v>1737</v>
      </c>
      <c r="CF856" s="13" t="n">
        <v>1.2</v>
      </c>
      <c r="CG856" s="13" t="n">
        <v>2077</v>
      </c>
      <c r="CH856" s="13" t="n">
        <v>288</v>
      </c>
      <c r="CI856" s="13" t="n">
        <v>124</v>
      </c>
      <c r="CJ856" s="13" t="n">
        <v>56</v>
      </c>
      <c r="CK856" s="13" t="n">
        <v>281</v>
      </c>
      <c r="CL856" s="13" t="n">
        <v>20</v>
      </c>
      <c r="CM856" s="13" t="n">
        <v>259</v>
      </c>
      <c r="CN856" s="13" t="n">
        <v>0.358</v>
      </c>
      <c r="CO856" s="13" t="n">
        <v>241</v>
      </c>
      <c r="CP856" s="13" t="n">
        <v>156</v>
      </c>
      <c r="CQ856" s="13" t="n">
        <v>40</v>
      </c>
      <c r="CR856" s="13" t="n">
        <v>5</v>
      </c>
      <c r="CS856" s="13" t="n">
        <v>8.5</v>
      </c>
      <c r="CT856" s="11" t="inlineStr">
        <is>
          <t xml:space="preserve"> Powder</t>
        </is>
      </c>
      <c r="CU856" s="11" t="inlineStr">
        <is>
          <t xml:space="preserve"> Big Mountain</t>
        </is>
      </c>
      <c r="CV856" s="11" t="inlineStr">
        <is>
          <t xml:space="preserve"> Touring</t>
        </is>
      </c>
      <c r="CW856" s="13" t="n"/>
      <c r="CX856">
        <f>INDEX('Data_Price '!AG$2:AG$1266,MATCH(Data!$DN856,'Data_Price '!$AT$2:$AT$1266,0))</f>
        <v/>
      </c>
      <c r="CY856">
        <f>INDEX('Data_Price '!AH$2:AH$1266,MATCH(Data!$DN856,'Data_Price '!$AT$2:$AT$1266,0))</f>
        <v/>
      </c>
      <c r="CZ856">
        <f>INDEX('Data_Price '!AI$2:AI$1266,MATCH(Data!$DN856,'Data_Price '!$AT$2:$AT$1266,0))</f>
        <v/>
      </c>
      <c r="DA856">
        <f>INDEX('Data_Price '!AJ$2:AJ$1266,MATCH(Data!$DN856,'Data_Price '!$AT$2:$AT$1266,0))</f>
        <v/>
      </c>
      <c r="DB856">
        <f>INDEX('Data_Price '!AK$2:AK$1266,MATCH(Data!$DN856,'Data_Price '!$AT$2:$AT$1266,0))</f>
        <v/>
      </c>
      <c r="DC856">
        <f>INDEX('Data_Price '!AL$2:AL$1266,MATCH(Data!$DN856,'Data_Price '!$AT$2:$AT$1266,0))</f>
        <v/>
      </c>
      <c r="DD856">
        <f>INDEX('Data_Price '!AM$2:AM$1266,MATCH(Data!$DN856,'Data_Price '!$AT$2:$AT$1266,0))</f>
        <v/>
      </c>
      <c r="DE856">
        <f>INDEX('Data_Price '!AN$2:AN$1266,MATCH(Data!$DN856,'Data_Price '!$AT$2:$AT$1266,0))</f>
        <v/>
      </c>
      <c r="DF856">
        <f>INDEX('Data_Price '!AO$2:AO$1266,MATCH(Data!$DN856,'Data_Price '!$AT$2:$AT$1266,0))</f>
        <v/>
      </c>
      <c r="DG856">
        <f>INDEX('Data_Price '!AP$2:AP$1266,MATCH(Data!$DN856,'Data_Price '!$AT$2:$AT$1266,0))</f>
        <v/>
      </c>
      <c r="DH856">
        <f>INDEX('Data_Price '!AQ$2:AQ$1266,MATCH(Data!$DN856,'Data_Price '!$AT$2:$AT$1266,0))</f>
        <v/>
      </c>
      <c r="DI856">
        <f>INDEX('Data_Price '!AR$2:AR$1266,MATCH(Data!$DN856,'Data_Price '!$AT$2:$AT$1266,0))</f>
        <v/>
      </c>
      <c r="DJ856" s="138">
        <f>DA856</f>
        <v/>
      </c>
      <c r="DK856" s="138">
        <f>DE856</f>
        <v/>
      </c>
      <c r="DL856" s="138">
        <f>DI856</f>
        <v/>
      </c>
      <c r="DM856" s="303">
        <f>IF(LEFT(BT856,1)=" ",RIGHT(BT856,LEN(BT856)-1),BT856)</f>
        <v/>
      </c>
      <c r="DN856" s="138">
        <f>_xlfn.CONCAT(BS856,DM856,BU856,BV856)</f>
        <v/>
      </c>
      <c r="DO856" s="307" t="inlineStr">
        <is>
          <t>https://images.evo.com/imgp/250/208269/832637/head-kore-111-skis-2022-.jpg</t>
        </is>
      </c>
    </row>
    <row r="857" ht="15.6" customHeight="1" s="184">
      <c r="B857" s="303">
        <f t="array" ref="B857">IF(OR(ISERROR(K857:P857)),FALSE,TRUE)</f>
        <v/>
      </c>
      <c r="C857" s="60">
        <f>OR(BR857=Driver!$G$50,Data!BR908=Driver!$H$50)</f>
        <v/>
      </c>
      <c r="D857" s="60">
        <f>OR(BV857=Driver!$G$51,BV857=Driver!$H$51)</f>
        <v/>
      </c>
      <c r="E857" s="60">
        <f>AND(BX857&gt;Driver!$F$54,BX857&lt;Driver!$G$54)</f>
        <v/>
      </c>
      <c r="F857" s="60">
        <f>CL857&gt;Driver!$F$56</f>
        <v/>
      </c>
      <c r="G857" s="60">
        <f>AND(CB857&gt;Driver!$F$55,CB857&lt;Driver!$G$55)</f>
        <v/>
      </c>
      <c r="H857" s="60">
        <f>AND(B857:G857)</f>
        <v/>
      </c>
      <c r="I857" s="60">
        <f>COUNTIFS($H$9:$H$1273,TRUE,$BT$9:$BT$1273,BT857)</f>
        <v/>
      </c>
      <c r="J857" s="60">
        <f t="array" ref="J857">NOT(OR(($H$9:$H$1273=TRUE)*($I$9:$I$1273&gt;0)*($BT$9:$BT$1273=BT857)*($K$9:$K$1273&gt;K857)))</f>
        <v/>
      </c>
      <c r="K857" s="108">
        <f>IFERROR(1-AVERAGE(X857:Y857),"")</f>
        <v/>
      </c>
      <c r="L857" s="108">
        <f>1-X857</f>
        <v/>
      </c>
      <c r="M857" s="108">
        <f>1-Y857</f>
        <v/>
      </c>
      <c r="N857" s="108">
        <f>1-Z857</f>
        <v/>
      </c>
      <c r="O857" s="108">
        <f>1-AA857</f>
        <v/>
      </c>
      <c r="P857" s="108">
        <f>1-AB857</f>
        <v/>
      </c>
      <c r="Q857" s="108" t="n"/>
      <c r="R857" s="108" t="n"/>
      <c r="S857" s="108">
        <f>1-AE857</f>
        <v/>
      </c>
      <c r="T857" s="108">
        <f>1-AF857</f>
        <v/>
      </c>
      <c r="U857" s="108">
        <f>1-AG857</f>
        <v/>
      </c>
      <c r="V857" s="108">
        <f>1-AH857</f>
        <v/>
      </c>
      <c r="W857" s="108">
        <f>1-AI857</f>
        <v/>
      </c>
      <c r="X857" s="108">
        <f>ABS(AJ857-AJ$1)</f>
        <v/>
      </c>
      <c r="Y857" s="108">
        <f>AVERAGE(Z857:AB857)</f>
        <v/>
      </c>
      <c r="Z857" s="108">
        <f>ABS(AL857-AL$1)</f>
        <v/>
      </c>
      <c r="AA857" s="108">
        <f>ABS(AM857-AM$1)</f>
        <v/>
      </c>
      <c r="AB857" s="108">
        <f>ABS(AN857-AN$1)</f>
        <v/>
      </c>
      <c r="AC857" s="108" t="n"/>
      <c r="AD857" s="108" t="n"/>
      <c r="AE857" s="108">
        <f>ABS(AQ$1-AQ857)</f>
        <v/>
      </c>
      <c r="AF857" s="108">
        <f>ABS(AR$1-AR857)</f>
        <v/>
      </c>
      <c r="AG857" s="108">
        <f>ABS(AS$1-AS857)</f>
        <v/>
      </c>
      <c r="AH857" s="108">
        <f>ABS(AT$1-AT857)</f>
        <v/>
      </c>
      <c r="AI857" s="108">
        <f>ABS(AU$1-AU857)</f>
        <v/>
      </c>
      <c r="AJ857" s="108">
        <f>(AV857-Driver!$K$179)/(Driver!$L$179-Driver!$K$179)</f>
        <v/>
      </c>
      <c r="AK857" s="108">
        <f>(AW857-Driver!$K$180)/(Driver!$L$180-Driver!$K$180)</f>
        <v/>
      </c>
      <c r="AL857" s="108">
        <f>(AX857-Driver!$K$181)/(Driver!$L$181-Driver!$K$181)</f>
        <v/>
      </c>
      <c r="AM857" s="108">
        <f>(AY857-Driver!$K$182)/(Driver!$L$182-Driver!$K$182)</f>
        <v/>
      </c>
      <c r="AN857" s="108">
        <f>(AZ857-Driver!$K$183)/(Driver!$L$183-Driver!$K$183)</f>
        <v/>
      </c>
      <c r="AO857" s="108" t="n"/>
      <c r="AP857" s="108" t="n"/>
      <c r="AQ857" s="108">
        <f>(BC857-Driver!$K$188)/(Driver!$L$188-Driver!$K$188)</f>
        <v/>
      </c>
      <c r="AR857" s="108">
        <f>MIN((BD857-Driver!$K$189)/(Driver!$L$189-Driver!$K$189),100%)</f>
        <v/>
      </c>
      <c r="AS857" s="108">
        <f>(BE857-Driver!$K$190)/(Driver!$L$190-Driver!$K$190)</f>
        <v/>
      </c>
      <c r="AT857" s="108">
        <f>(BF857-Driver!$K$191)/(Driver!$L$191-Driver!$K$191)</f>
        <v/>
      </c>
      <c r="AU857" s="108">
        <f>(BG857-Driver!$K$192)/(Driver!$L$192-Driver!$K$192)</f>
        <v/>
      </c>
      <c r="AV857" s="105">
        <f>IFERROR(BM857*BJ857^1/4,"")</f>
        <v/>
      </c>
      <c r="AW857" s="105">
        <f>IFERROR(SUM(AX857:AZ857),"")</f>
        <v/>
      </c>
      <c r="AX857" s="105">
        <f>IFERROR(BH857,"")</f>
        <v/>
      </c>
      <c r="AY857" s="105">
        <f>IFERROR(Driver!$K$19/Data!BH857/Data!BI857*Data!BK857*Data!BL857,"")</f>
        <v/>
      </c>
      <c r="AZ857" s="105">
        <f>IFERROR(BI857*BN857,"")</f>
        <v/>
      </c>
      <c r="BA857" s="105" t="n"/>
      <c r="BB857" s="105" t="n"/>
      <c r="BC857" s="105">
        <f>IFERROR(BI857*BN857*BK857/BJ857^(1/2),"")</f>
        <v/>
      </c>
      <c r="BD857" s="105">
        <f>IFERROR(BH857*BM857*BL857/BJ857/BK857,"")</f>
        <v/>
      </c>
      <c r="BE857" s="105">
        <f>IFERROR(MIN(BI857/BQ857/BP857/BO857/BH857,$BE$1),"")</f>
        <v/>
      </c>
      <c r="BF857" s="105">
        <f>IFERROR(BJ857*BO857*BP857/BK857,"")</f>
        <v/>
      </c>
      <c r="BG857" s="105">
        <f>IFERROR(1/BM857/BH857*BQ857,"")</f>
        <v/>
      </c>
      <c r="BH857" s="102">
        <f>MAX((CE857-Driver!$F$200)/(Driver!$G$200-Driver!$F$200)*$BI$1,1)</f>
        <v/>
      </c>
      <c r="BI857" s="102">
        <f>MAX($BI$1*(BY857-Driver!$F$201)/(Driver!$G$201-Driver!$F$201),1)</f>
        <v/>
      </c>
      <c r="BJ857" s="102">
        <f>(CB857-Driver!$F$206)/(Driver!$G$206-Driver!$F$206)*$BI$1</f>
        <v/>
      </c>
      <c r="BK857" s="102">
        <f>(CD857-Driver!$F$203)/(Driver!$G$203-Driver!$F$203)*$BI$1</f>
        <v/>
      </c>
      <c r="BL857" s="102">
        <f>MAX((CR857-Driver!$F$202)/(Driver!$G$202-Driver!$F$202)*$BI$1,1)</f>
        <v/>
      </c>
      <c r="BM857" s="102">
        <f>MAX((CH857-Driver!$F$204)/(Driver!$G$204-Driver!$F$204)*$BI$1,1)</f>
        <v/>
      </c>
      <c r="BN857" s="102">
        <f>(CI857-Driver!$F$205)/(Driver!$G$205-Driver!$F$205)*$BI$1</f>
        <v/>
      </c>
      <c r="BO857" s="102">
        <f>(CK857-Driver!$F$207)/(Driver!$G$207-Driver!$F$207)*$BI$1</f>
        <v/>
      </c>
      <c r="BP857" s="102">
        <f>(CM857-Driver!$F$208)/(Driver!$G$208-Driver!$F$208)*$BI$1</f>
        <v/>
      </c>
      <c r="BQ857" s="102">
        <f>(CL857-Driver!$F$209)/(Driver!$G$209-Driver!$F$209)*$BI$1</f>
        <v/>
      </c>
      <c r="BR857" s="40" t="inlineStr">
        <is>
          <t>21/22</t>
        </is>
      </c>
      <c r="BS857" s="10" t="inlineStr">
        <is>
          <t xml:space="preserve"> Nordica</t>
        </is>
      </c>
      <c r="BT857" s="11" t="inlineStr">
        <is>
          <t>Enforcer 94</t>
        </is>
      </c>
      <c r="BU857" s="13" t="n">
        <v>165</v>
      </c>
      <c r="BV857" s="11" t="inlineStr">
        <is>
          <t xml:space="preserve"> Unisex</t>
        </is>
      </c>
      <c r="BW857" s="13" t="n">
        <v>165</v>
      </c>
      <c r="BX857" s="13" t="n">
        <v>164.6</v>
      </c>
      <c r="BY857" s="13" t="n">
        <v>118</v>
      </c>
      <c r="BZ857" s="13" t="n">
        <v>135</v>
      </c>
      <c r="CA857" s="13" t="n">
        <v>126</v>
      </c>
      <c r="CB857" s="13" t="n">
        <v>92</v>
      </c>
      <c r="CC857" s="13" t="n">
        <v>112</v>
      </c>
      <c r="CD857" s="13" t="n">
        <v>15.3</v>
      </c>
      <c r="CE857" s="13" t="n">
        <v>1927</v>
      </c>
      <c r="CF857" s="13" t="n">
        <v>0.88</v>
      </c>
      <c r="CG857" s="13" t="n">
        <v>1701</v>
      </c>
      <c r="CH857" s="13" t="n">
        <v>196</v>
      </c>
      <c r="CI857" s="13" t="n">
        <v>138</v>
      </c>
      <c r="CJ857" s="13" t="n">
        <v>53</v>
      </c>
      <c r="CK857" s="13" t="n">
        <v>280</v>
      </c>
      <c r="CL857" s="13" t="n">
        <v>12</v>
      </c>
      <c r="CM857" s="13" t="n">
        <v>190</v>
      </c>
      <c r="CN857" s="13" t="n">
        <v>0.226</v>
      </c>
      <c r="CO857" s="13" t="n">
        <v>142</v>
      </c>
      <c r="CP857" s="13" t="n">
        <v>154</v>
      </c>
      <c r="CQ857" s="13" t="n">
        <v>138</v>
      </c>
      <c r="CR857" s="13" t="n">
        <v>6</v>
      </c>
      <c r="CS857" s="13" t="n">
        <v>8.4</v>
      </c>
      <c r="CT857" s="11" t="inlineStr">
        <is>
          <t xml:space="preserve"> Resort Freeride</t>
        </is>
      </c>
      <c r="CU857" s="13" t="n"/>
      <c r="CV857" s="13" t="n"/>
      <c r="CW857" s="13" t="n"/>
      <c r="CX857">
        <f>INDEX('Data_Price '!AG$2:AG$1266,MATCH(Data!$DN857,'Data_Price '!$AT$2:$AT$1266,0))</f>
        <v/>
      </c>
      <c r="CY857">
        <f>INDEX('Data_Price '!AH$2:AH$1266,MATCH(Data!$DN857,'Data_Price '!$AT$2:$AT$1266,0))</f>
        <v/>
      </c>
      <c r="CZ857">
        <f>INDEX('Data_Price '!AI$2:AI$1266,MATCH(Data!$DN857,'Data_Price '!$AT$2:$AT$1266,0))</f>
        <v/>
      </c>
      <c r="DA857">
        <f>INDEX('Data_Price '!AJ$2:AJ$1266,MATCH(Data!$DN857,'Data_Price '!$AT$2:$AT$1266,0))</f>
        <v/>
      </c>
      <c r="DB857">
        <f>INDEX('Data_Price '!AK$2:AK$1266,MATCH(Data!$DN857,'Data_Price '!$AT$2:$AT$1266,0))</f>
        <v/>
      </c>
      <c r="DC857">
        <f>INDEX('Data_Price '!AL$2:AL$1266,MATCH(Data!$DN857,'Data_Price '!$AT$2:$AT$1266,0))</f>
        <v/>
      </c>
      <c r="DD857">
        <f>INDEX('Data_Price '!AM$2:AM$1266,MATCH(Data!$DN857,'Data_Price '!$AT$2:$AT$1266,0))</f>
        <v/>
      </c>
      <c r="DE857">
        <f>INDEX('Data_Price '!AN$2:AN$1266,MATCH(Data!$DN857,'Data_Price '!$AT$2:$AT$1266,0))</f>
        <v/>
      </c>
      <c r="DF857">
        <f>INDEX('Data_Price '!AO$2:AO$1266,MATCH(Data!$DN857,'Data_Price '!$AT$2:$AT$1266,0))</f>
        <v/>
      </c>
      <c r="DG857">
        <f>INDEX('Data_Price '!AP$2:AP$1266,MATCH(Data!$DN857,'Data_Price '!$AT$2:$AT$1266,0))</f>
        <v/>
      </c>
      <c r="DH857">
        <f>INDEX('Data_Price '!AQ$2:AQ$1266,MATCH(Data!$DN857,'Data_Price '!$AT$2:$AT$1266,0))</f>
        <v/>
      </c>
      <c r="DI857">
        <f>INDEX('Data_Price '!AR$2:AR$1266,MATCH(Data!$DN857,'Data_Price '!$AT$2:$AT$1266,0))</f>
        <v/>
      </c>
      <c r="DJ857" s="138">
        <f>DA857</f>
        <v/>
      </c>
      <c r="DK857" s="138">
        <f>DE857</f>
        <v/>
      </c>
      <c r="DL857" s="138">
        <f>DI857</f>
        <v/>
      </c>
      <c r="DM857" s="303">
        <f>IF(LEFT(BT857,1)=" ",RIGHT(BT857,LEN(BT857)-1),BT857)</f>
        <v/>
      </c>
      <c r="DN857" s="138">
        <f>_xlfn.CONCAT(BS857,DM857,BU857,BV857)</f>
        <v/>
      </c>
      <c r="DO857" s="307" t="inlineStr">
        <is>
          <t>https://images.evo.com/imgp/250/198254/792323/nordica-enforcer-94-skis-2022-.jpg</t>
        </is>
      </c>
    </row>
    <row r="858" ht="15.6" customHeight="1" s="184">
      <c r="B858" s="303">
        <f t="array" ref="B858">IF(OR(ISERROR(K858:P858)),FALSE,TRUE)</f>
        <v/>
      </c>
      <c r="C858" s="60">
        <f>OR(BR858=Driver!$G$50,Data!BR715=Driver!$H$50)</f>
        <v/>
      </c>
      <c r="D858" s="60">
        <f>OR(BV858=Driver!$G$51,BV858=Driver!$H$51)</f>
        <v/>
      </c>
      <c r="E858" s="60">
        <f>AND(BX858&gt;Driver!$F$54,BX858&lt;Driver!$G$54)</f>
        <v/>
      </c>
      <c r="F858" s="60">
        <f>CL858&gt;Driver!$F$56</f>
        <v/>
      </c>
      <c r="G858" s="60">
        <f>AND(CB858&gt;Driver!$F$55,CB858&lt;Driver!$G$55)</f>
        <v/>
      </c>
      <c r="H858" s="60">
        <f>AND(B858:G858)</f>
        <v/>
      </c>
      <c r="I858" s="60">
        <f>COUNTIFS($H$9:$H$1273,TRUE,$BT$9:$BT$1273,BT858)</f>
        <v/>
      </c>
      <c r="J858" s="60">
        <f t="array" ref="J858">NOT(OR(($H$9:$H$1273=TRUE)*($I$9:$I$1273&gt;0)*($BT$9:$BT$1273=BT858)*($K$9:$K$1273&gt;K858)))</f>
        <v/>
      </c>
      <c r="K858" s="108">
        <f>IFERROR(1-AVERAGE(X858:Y858),"")</f>
        <v/>
      </c>
      <c r="L858" s="108">
        <f>1-X858</f>
        <v/>
      </c>
      <c r="M858" s="108">
        <f>1-Y858</f>
        <v/>
      </c>
      <c r="N858" s="108">
        <f>1-Z858</f>
        <v/>
      </c>
      <c r="O858" s="108">
        <f>1-AA858</f>
        <v/>
      </c>
      <c r="P858" s="108">
        <f>1-AB858</f>
        <v/>
      </c>
      <c r="Q858" s="108" t="n"/>
      <c r="R858" s="108" t="n"/>
      <c r="S858" s="108">
        <f>1-AE858</f>
        <v/>
      </c>
      <c r="T858" s="108">
        <f>1-AF858</f>
        <v/>
      </c>
      <c r="U858" s="108">
        <f>1-AG858</f>
        <v/>
      </c>
      <c r="V858" s="108">
        <f>1-AH858</f>
        <v/>
      </c>
      <c r="W858" s="108">
        <f>1-AI858</f>
        <v/>
      </c>
      <c r="X858" s="108">
        <f>ABS(AJ858-AJ$1)</f>
        <v/>
      </c>
      <c r="Y858" s="108">
        <f>AVERAGE(Z858:AB858)</f>
        <v/>
      </c>
      <c r="Z858" s="108">
        <f>ABS(AL858-AL$1)</f>
        <v/>
      </c>
      <c r="AA858" s="108">
        <f>ABS(AM858-AM$1)</f>
        <v/>
      </c>
      <c r="AB858" s="108">
        <f>ABS(AN858-AN$1)</f>
        <v/>
      </c>
      <c r="AC858" s="108" t="n"/>
      <c r="AD858" s="108" t="n"/>
      <c r="AE858" s="108">
        <f>ABS(AQ$1-AQ858)</f>
        <v/>
      </c>
      <c r="AF858" s="108">
        <f>ABS(AR$1-AR858)</f>
        <v/>
      </c>
      <c r="AG858" s="108">
        <f>ABS(AS$1-AS858)</f>
        <v/>
      </c>
      <c r="AH858" s="108">
        <f>ABS(AT$1-AT858)</f>
        <v/>
      </c>
      <c r="AI858" s="108">
        <f>ABS(AU$1-AU858)</f>
        <v/>
      </c>
      <c r="AJ858" s="108">
        <f>(AV858-Driver!$K$179)/(Driver!$L$179-Driver!$K$179)</f>
        <v/>
      </c>
      <c r="AK858" s="108">
        <f>(AW858-Driver!$K$180)/(Driver!$L$180-Driver!$K$180)</f>
        <v/>
      </c>
      <c r="AL858" s="108">
        <f>(AX858-Driver!$K$181)/(Driver!$L$181-Driver!$K$181)</f>
        <v/>
      </c>
      <c r="AM858" s="108">
        <f>(AY858-Driver!$K$182)/(Driver!$L$182-Driver!$K$182)</f>
        <v/>
      </c>
      <c r="AN858" s="108">
        <f>(AZ858-Driver!$K$183)/(Driver!$L$183-Driver!$K$183)</f>
        <v/>
      </c>
      <c r="AO858" s="108" t="n"/>
      <c r="AP858" s="108" t="n"/>
      <c r="AQ858" s="108">
        <f>(BC858-Driver!$K$188)/(Driver!$L$188-Driver!$K$188)</f>
        <v/>
      </c>
      <c r="AR858" s="108">
        <f>MIN((BD858-Driver!$K$189)/(Driver!$L$189-Driver!$K$189),100%)</f>
        <v/>
      </c>
      <c r="AS858" s="108">
        <f>(BE858-Driver!$K$190)/(Driver!$L$190-Driver!$K$190)</f>
        <v/>
      </c>
      <c r="AT858" s="108">
        <f>(BF858-Driver!$K$191)/(Driver!$L$191-Driver!$K$191)</f>
        <v/>
      </c>
      <c r="AU858" s="108">
        <f>(BG858-Driver!$K$192)/(Driver!$L$192-Driver!$K$192)</f>
        <v/>
      </c>
      <c r="AV858" s="105">
        <f>IFERROR(BM858*BJ858^1/4,"")</f>
        <v/>
      </c>
      <c r="AW858" s="105">
        <f>IFERROR(SUM(AX858:AZ858),"")</f>
        <v/>
      </c>
      <c r="AX858" s="105">
        <f>IFERROR(BH858,"")</f>
        <v/>
      </c>
      <c r="AY858" s="105">
        <f>IFERROR(Driver!$K$19/Data!BH858/Data!BI858*Data!BK858*Data!BL858,"")</f>
        <v/>
      </c>
      <c r="AZ858" s="105">
        <f>IFERROR(BI858*BN858,"")</f>
        <v/>
      </c>
      <c r="BA858" s="105" t="n"/>
      <c r="BB858" s="105" t="n"/>
      <c r="BC858" s="105">
        <f>IFERROR(BI858*BN858*BK858/BJ858^(1/2),"")</f>
        <v/>
      </c>
      <c r="BD858" s="105">
        <f>IFERROR(BH858*BM858*BL858/BJ858/BK858,"")</f>
        <v/>
      </c>
      <c r="BE858" s="105">
        <f>IFERROR(MIN(BI858/BQ858/BP858/BO858/BH858,$BE$1),"")</f>
        <v/>
      </c>
      <c r="BF858" s="105">
        <f>IFERROR(BJ858*BO858*BP858/BK858,"")</f>
        <v/>
      </c>
      <c r="BG858" s="105">
        <f>IFERROR(1/BM858/BH858*BQ858,"")</f>
        <v/>
      </c>
      <c r="BH858" s="102">
        <f>MAX((CE858-Driver!$F$200)/(Driver!$G$200-Driver!$F$200)*$BI$1,1)</f>
        <v/>
      </c>
      <c r="BI858" s="102">
        <f>MAX($BI$1*(BY858-Driver!$F$201)/(Driver!$G$201-Driver!$F$201),1)</f>
        <v/>
      </c>
      <c r="BJ858" s="102">
        <f>(CB858-Driver!$F$206)/(Driver!$G$206-Driver!$F$206)*$BI$1</f>
        <v/>
      </c>
      <c r="BK858" s="102">
        <f>(CD858-Driver!$F$203)/(Driver!$G$203-Driver!$F$203)*$BI$1</f>
        <v/>
      </c>
      <c r="BL858" s="102">
        <f>MAX((CR858-Driver!$F$202)/(Driver!$G$202-Driver!$F$202)*$BI$1,1)</f>
        <v/>
      </c>
      <c r="BM858" s="102">
        <f>MAX((CH858-Driver!$F$204)/(Driver!$G$204-Driver!$F$204)*$BI$1,1)</f>
        <v/>
      </c>
      <c r="BN858" s="102">
        <f>(CI858-Driver!$F$205)/(Driver!$G$205-Driver!$F$205)*$BI$1</f>
        <v/>
      </c>
      <c r="BO858" s="102">
        <f>(CK858-Driver!$F$207)/(Driver!$G$207-Driver!$F$207)*$BI$1</f>
        <v/>
      </c>
      <c r="BP858" s="102">
        <f>(CM858-Driver!$F$208)/(Driver!$G$208-Driver!$F$208)*$BI$1</f>
        <v/>
      </c>
      <c r="BQ858" s="102">
        <f>(CL858-Driver!$F$209)/(Driver!$G$209-Driver!$F$209)*$BI$1</f>
        <v/>
      </c>
      <c r="BR858" s="40" t="inlineStr">
        <is>
          <t>21/22</t>
        </is>
      </c>
      <c r="BS858" s="10" t="inlineStr">
        <is>
          <t xml:space="preserve"> K2</t>
        </is>
      </c>
      <c r="BT858" s="11" t="inlineStr">
        <is>
          <t>Mindbender 106 C Alliance</t>
        </is>
      </c>
      <c r="BU858" s="13" t="n">
        <v>159</v>
      </c>
      <c r="BV858" s="11" t="inlineStr">
        <is>
          <t xml:space="preserve"> Women's</t>
        </is>
      </c>
      <c r="BW858" s="13" t="n">
        <v>159</v>
      </c>
      <c r="BX858" s="13" t="n">
        <v>159.8</v>
      </c>
      <c r="BY858" s="13" t="n">
        <v>101</v>
      </c>
      <c r="BZ858" s="13" t="n">
        <v>121</v>
      </c>
      <c r="CA858" s="13" t="n">
        <v>139</v>
      </c>
      <c r="CB858" s="13" t="n">
        <v>105</v>
      </c>
      <c r="CC858" s="13" t="n">
        <v>123</v>
      </c>
      <c r="CD858" s="13" t="n">
        <v>13.5</v>
      </c>
      <c r="CE858" s="13" t="n">
        <v>1535</v>
      </c>
      <c r="CF858" s="13" t="n">
        <v>1.2</v>
      </c>
      <c r="CG858" s="13" t="n">
        <v>1847</v>
      </c>
      <c r="CH858" s="13" t="n">
        <v>142</v>
      </c>
      <c r="CI858" s="13" t="n">
        <v>67</v>
      </c>
      <c r="CJ858" s="13" t="n">
        <v>47</v>
      </c>
      <c r="CK858" s="13" t="n">
        <v>329</v>
      </c>
      <c r="CL858" s="13" t="n">
        <v>25</v>
      </c>
      <c r="CM858" s="13" t="n">
        <v>263</v>
      </c>
      <c r="CN858" s="13" t="n">
        <v>0.537</v>
      </c>
      <c r="CO858" s="13" t="n">
        <v>190</v>
      </c>
      <c r="CP858" s="13" t="n">
        <v>196</v>
      </c>
      <c r="CQ858" s="13" t="n">
        <v>139</v>
      </c>
      <c r="CR858" s="13" t="n">
        <v>7</v>
      </c>
      <c r="CS858" s="13" t="n">
        <v>9.199999999999999</v>
      </c>
      <c r="CT858" s="11" t="inlineStr">
        <is>
          <t xml:space="preserve"> Powder</t>
        </is>
      </c>
      <c r="CU858" s="11" t="inlineStr">
        <is>
          <t xml:space="preserve"> Touring</t>
        </is>
      </c>
      <c r="CV858" s="13" t="n"/>
      <c r="CW858" s="13" t="n"/>
      <c r="CX858">
        <f>INDEX('Data_Price '!AG$2:AG$1266,MATCH(Data!$DN858,'Data_Price '!$AT$2:$AT$1266,0))</f>
        <v/>
      </c>
      <c r="CY858">
        <f>INDEX('Data_Price '!AH$2:AH$1266,MATCH(Data!$DN858,'Data_Price '!$AT$2:$AT$1266,0))</f>
        <v/>
      </c>
      <c r="CZ858">
        <f>INDEX('Data_Price '!AI$2:AI$1266,MATCH(Data!$DN858,'Data_Price '!$AT$2:$AT$1266,0))</f>
        <v/>
      </c>
      <c r="DA858">
        <f>INDEX('Data_Price '!AJ$2:AJ$1266,MATCH(Data!$DN858,'Data_Price '!$AT$2:$AT$1266,0))</f>
        <v/>
      </c>
      <c r="DB858">
        <f>INDEX('Data_Price '!AK$2:AK$1266,MATCH(Data!$DN858,'Data_Price '!$AT$2:$AT$1266,0))</f>
        <v/>
      </c>
      <c r="DC858">
        <f>INDEX('Data_Price '!AL$2:AL$1266,MATCH(Data!$DN858,'Data_Price '!$AT$2:$AT$1266,0))</f>
        <v/>
      </c>
      <c r="DD858">
        <f>INDEX('Data_Price '!AM$2:AM$1266,MATCH(Data!$DN858,'Data_Price '!$AT$2:$AT$1266,0))</f>
        <v/>
      </c>
      <c r="DE858">
        <f>INDEX('Data_Price '!AN$2:AN$1266,MATCH(Data!$DN858,'Data_Price '!$AT$2:$AT$1266,0))</f>
        <v/>
      </c>
      <c r="DF858">
        <f>INDEX('Data_Price '!AO$2:AO$1266,MATCH(Data!$DN858,'Data_Price '!$AT$2:$AT$1266,0))</f>
        <v/>
      </c>
      <c r="DG858">
        <f>INDEX('Data_Price '!AP$2:AP$1266,MATCH(Data!$DN858,'Data_Price '!$AT$2:$AT$1266,0))</f>
        <v/>
      </c>
      <c r="DH858">
        <f>INDEX('Data_Price '!AQ$2:AQ$1266,MATCH(Data!$DN858,'Data_Price '!$AT$2:$AT$1266,0))</f>
        <v/>
      </c>
      <c r="DI858">
        <f>INDEX('Data_Price '!AR$2:AR$1266,MATCH(Data!$DN858,'Data_Price '!$AT$2:$AT$1266,0))</f>
        <v/>
      </c>
      <c r="DJ858" s="138">
        <f>DA858</f>
        <v/>
      </c>
      <c r="DK858" s="138">
        <f>DE858</f>
        <v/>
      </c>
      <c r="DL858" s="138">
        <f>DI858</f>
        <v/>
      </c>
      <c r="DM858" s="303">
        <f>IF(LEFT(BT858,1)=" ",RIGHT(BT858,LEN(BT858)-1),BT858)</f>
        <v/>
      </c>
      <c r="DN858" s="138">
        <f>_xlfn.CONCAT(BS858,DM858,BU858,BV858)</f>
        <v/>
      </c>
      <c r="DO858" s="307" t="n"/>
    </row>
    <row r="859" ht="15.6" customHeight="1" s="184">
      <c r="B859" s="303">
        <f t="array" ref="B859">IF(OR(ISERROR(K859:P859)),FALSE,TRUE)</f>
        <v/>
      </c>
      <c r="C859" s="60">
        <f>OR(BR859=Driver!$G$50,Data!BR941=Driver!$H$50)</f>
        <v/>
      </c>
      <c r="D859" s="60">
        <f>OR(BV859=Driver!$G$51,BV859=Driver!$H$51)</f>
        <v/>
      </c>
      <c r="E859" s="60">
        <f>AND(BX859&gt;Driver!$F$54,BX859&lt;Driver!$G$54)</f>
        <v/>
      </c>
      <c r="F859" s="60">
        <f>CL859&gt;Driver!$F$56</f>
        <v/>
      </c>
      <c r="G859" s="60">
        <f>AND(CB859&gt;Driver!$F$55,CB859&lt;Driver!$G$55)</f>
        <v/>
      </c>
      <c r="H859" s="60">
        <f>AND(B859:G859)</f>
        <v/>
      </c>
      <c r="I859" s="60">
        <f>COUNTIFS($H$9:$H$1273,TRUE,$BT$9:$BT$1273,BT859)</f>
        <v/>
      </c>
      <c r="J859" s="60">
        <f t="array" ref="J859">NOT(OR(($H$9:$H$1273=TRUE)*($I$9:$I$1273&gt;0)*($BT$9:$BT$1273=BT859)*($K$9:$K$1273&gt;K859)))</f>
        <v/>
      </c>
      <c r="K859" s="108">
        <f>IFERROR(1-AVERAGE(X859:Y859),"")</f>
        <v/>
      </c>
      <c r="L859" s="108">
        <f>1-X859</f>
        <v/>
      </c>
      <c r="M859" s="108">
        <f>1-Y859</f>
        <v/>
      </c>
      <c r="N859" s="108">
        <f>1-Z859</f>
        <v/>
      </c>
      <c r="O859" s="108">
        <f>1-AA859</f>
        <v/>
      </c>
      <c r="P859" s="108">
        <f>1-AB859</f>
        <v/>
      </c>
      <c r="Q859" s="108" t="n"/>
      <c r="R859" s="108" t="n"/>
      <c r="S859" s="108">
        <f>1-AE859</f>
        <v/>
      </c>
      <c r="T859" s="108">
        <f>1-AF859</f>
        <v/>
      </c>
      <c r="U859" s="108">
        <f>1-AG859</f>
        <v/>
      </c>
      <c r="V859" s="108">
        <f>1-AH859</f>
        <v/>
      </c>
      <c r="W859" s="108">
        <f>1-AI859</f>
        <v/>
      </c>
      <c r="X859" s="108">
        <f>ABS(AJ859-AJ$1)</f>
        <v/>
      </c>
      <c r="Y859" s="108">
        <f>AVERAGE(Z859:AB859)</f>
        <v/>
      </c>
      <c r="Z859" s="108">
        <f>ABS(AL859-AL$1)</f>
        <v/>
      </c>
      <c r="AA859" s="108">
        <f>ABS(AM859-AM$1)</f>
        <v/>
      </c>
      <c r="AB859" s="108">
        <f>ABS(AN859-AN$1)</f>
        <v/>
      </c>
      <c r="AC859" s="108" t="n"/>
      <c r="AD859" s="108" t="n"/>
      <c r="AE859" s="108">
        <f>ABS(AQ$1-AQ859)</f>
        <v/>
      </c>
      <c r="AF859" s="108">
        <f>ABS(AR$1-AR859)</f>
        <v/>
      </c>
      <c r="AG859" s="108">
        <f>ABS(AS$1-AS859)</f>
        <v/>
      </c>
      <c r="AH859" s="108">
        <f>ABS(AT$1-AT859)</f>
        <v/>
      </c>
      <c r="AI859" s="108">
        <f>ABS(AU$1-AU859)</f>
        <v/>
      </c>
      <c r="AJ859" s="108">
        <f>(AV859-Driver!$K$179)/(Driver!$L$179-Driver!$K$179)</f>
        <v/>
      </c>
      <c r="AK859" s="108">
        <f>(AW859-Driver!$K$180)/(Driver!$L$180-Driver!$K$180)</f>
        <v/>
      </c>
      <c r="AL859" s="108">
        <f>(AX859-Driver!$K$181)/(Driver!$L$181-Driver!$K$181)</f>
        <v/>
      </c>
      <c r="AM859" s="108">
        <f>(AY859-Driver!$K$182)/(Driver!$L$182-Driver!$K$182)</f>
        <v/>
      </c>
      <c r="AN859" s="108">
        <f>(AZ859-Driver!$K$183)/(Driver!$L$183-Driver!$K$183)</f>
        <v/>
      </c>
      <c r="AO859" s="108" t="n"/>
      <c r="AP859" s="108" t="n"/>
      <c r="AQ859" s="108">
        <f>(BC859-Driver!$K$188)/(Driver!$L$188-Driver!$K$188)</f>
        <v/>
      </c>
      <c r="AR859" s="108">
        <f>MIN((BD859-Driver!$K$189)/(Driver!$L$189-Driver!$K$189),100%)</f>
        <v/>
      </c>
      <c r="AS859" s="108">
        <f>(BE859-Driver!$K$190)/(Driver!$L$190-Driver!$K$190)</f>
        <v/>
      </c>
      <c r="AT859" s="108">
        <f>(BF859-Driver!$K$191)/(Driver!$L$191-Driver!$K$191)</f>
        <v/>
      </c>
      <c r="AU859" s="108">
        <f>(BG859-Driver!$K$192)/(Driver!$L$192-Driver!$K$192)</f>
        <v/>
      </c>
      <c r="AV859" s="105">
        <f>IFERROR(BM859*BJ859^1/4,"")</f>
        <v/>
      </c>
      <c r="AW859" s="105">
        <f>IFERROR(SUM(AX859:AZ859),"")</f>
        <v/>
      </c>
      <c r="AX859" s="105">
        <f>IFERROR(BH859,"")</f>
        <v/>
      </c>
      <c r="AY859" s="105">
        <f>IFERROR(Driver!$K$19/Data!BH859/Data!BI859*Data!BK859*Data!BL859,"")</f>
        <v/>
      </c>
      <c r="AZ859" s="105">
        <f>IFERROR(BI859*BN859,"")</f>
        <v/>
      </c>
      <c r="BA859" s="105" t="n"/>
      <c r="BB859" s="105" t="n"/>
      <c r="BC859" s="105">
        <f>IFERROR(BI859*BN859*BK859/BJ859^(1/2),"")</f>
        <v/>
      </c>
      <c r="BD859" s="105">
        <f>IFERROR(BH859*BM859*BL859/BJ859/BK859,"")</f>
        <v/>
      </c>
      <c r="BE859" s="105">
        <f>IFERROR(MIN(BI859/BQ859/BP859/BO859/BH859,$BE$1),"")</f>
        <v/>
      </c>
      <c r="BF859" s="105">
        <f>IFERROR(BJ859*BO859*BP859/BK859,"")</f>
        <v/>
      </c>
      <c r="BG859" s="105">
        <f>IFERROR(1/BM859/BH859*BQ859,"")</f>
        <v/>
      </c>
      <c r="BH859" s="102">
        <f>MAX((CE859-Driver!$F$200)/(Driver!$G$200-Driver!$F$200)*$BI$1,1)</f>
        <v/>
      </c>
      <c r="BI859" s="102">
        <f>MAX($BI$1*(BY859-Driver!$F$201)/(Driver!$G$201-Driver!$F$201),1)</f>
        <v/>
      </c>
      <c r="BJ859" s="102">
        <f>(CB859-Driver!$F$206)/(Driver!$G$206-Driver!$F$206)*$BI$1</f>
        <v/>
      </c>
      <c r="BK859" s="102">
        <f>(CD859-Driver!$F$203)/(Driver!$G$203-Driver!$F$203)*$BI$1</f>
        <v/>
      </c>
      <c r="BL859" s="102">
        <f>MAX((CR859-Driver!$F$202)/(Driver!$G$202-Driver!$F$202)*$BI$1,1)</f>
        <v/>
      </c>
      <c r="BM859" s="102">
        <f>MAX((CH859-Driver!$F$204)/(Driver!$G$204-Driver!$F$204)*$BI$1,1)</f>
        <v/>
      </c>
      <c r="BN859" s="102">
        <f>(CI859-Driver!$F$205)/(Driver!$G$205-Driver!$F$205)*$BI$1</f>
        <v/>
      </c>
      <c r="BO859" s="102">
        <f>(CK859-Driver!$F$207)/(Driver!$G$207-Driver!$F$207)*$BI$1</f>
        <v/>
      </c>
      <c r="BP859" s="102">
        <f>(CM859-Driver!$F$208)/(Driver!$G$208-Driver!$F$208)*$BI$1</f>
        <v/>
      </c>
      <c r="BQ859" s="102">
        <f>(CL859-Driver!$F$209)/(Driver!$G$209-Driver!$F$209)*$BI$1</f>
        <v/>
      </c>
      <c r="BR859" s="40" t="inlineStr">
        <is>
          <t>21/22</t>
        </is>
      </c>
      <c r="BS859" s="10" t="inlineStr">
        <is>
          <t xml:space="preserve"> Nordica</t>
        </is>
      </c>
      <c r="BT859" s="11" t="inlineStr">
        <is>
          <t>Spitfire 70 Pro</t>
        </is>
      </c>
      <c r="BU859" s="13" t="n">
        <v>160</v>
      </c>
      <c r="BV859" s="11" t="inlineStr">
        <is>
          <t xml:space="preserve"> Unisex</t>
        </is>
      </c>
      <c r="BW859" s="13" t="n">
        <v>160</v>
      </c>
      <c r="BX859" s="13" t="n">
        <v>159.2</v>
      </c>
      <c r="BY859" s="13" t="n">
        <v>141</v>
      </c>
      <c r="BZ859" s="13" t="n">
        <v>148</v>
      </c>
      <c r="CA859" s="13" t="n">
        <v>117</v>
      </c>
      <c r="CB859" s="13" t="n">
        <v>69</v>
      </c>
      <c r="CC859" s="13" t="n">
        <v>98</v>
      </c>
      <c r="CD859" s="13" t="n">
        <v>14.2</v>
      </c>
      <c r="CE859" s="13" t="n">
        <v>1892</v>
      </c>
      <c r="CF859" s="13" t="n">
        <v>0.7</v>
      </c>
      <c r="CG859" s="13" t="n">
        <v>1328</v>
      </c>
      <c r="CH859" s="13" t="n">
        <v>168</v>
      </c>
      <c r="CI859" s="13" t="n">
        <v>103</v>
      </c>
      <c r="CJ859" s="13" t="n">
        <v>36</v>
      </c>
      <c r="CK859" s="13" t="n">
        <v>131</v>
      </c>
      <c r="CL859" s="13" t="n">
        <v>6</v>
      </c>
      <c r="CM859" s="13" t="n">
        <v>52</v>
      </c>
      <c r="CN859" s="13" t="n">
        <v>0.174</v>
      </c>
      <c r="CO859" s="13" t="n">
        <v>63</v>
      </c>
      <c r="CP859" s="13" t="n">
        <v>45</v>
      </c>
      <c r="CQ859" s="13" t="n">
        <v>68</v>
      </c>
      <c r="CR859" s="13" t="n">
        <v>8</v>
      </c>
      <c r="CS859" s="13" t="n">
        <v>12.6</v>
      </c>
      <c r="CT859" s="11" t="inlineStr">
        <is>
          <t xml:space="preserve"> On-Piste Carving</t>
        </is>
      </c>
      <c r="CU859" s="13" t="n"/>
      <c r="CV859" s="13" t="n"/>
      <c r="CW859" s="13" t="n"/>
      <c r="CX859">
        <f>INDEX('Data_Price '!AG$2:AG$1266,MATCH(Data!$DN859,'Data_Price '!$AT$2:$AT$1266,0))</f>
        <v/>
      </c>
      <c r="CY859">
        <f>INDEX('Data_Price '!AH$2:AH$1266,MATCH(Data!$DN859,'Data_Price '!$AT$2:$AT$1266,0))</f>
        <v/>
      </c>
      <c r="CZ859">
        <f>INDEX('Data_Price '!AI$2:AI$1266,MATCH(Data!$DN859,'Data_Price '!$AT$2:$AT$1266,0))</f>
        <v/>
      </c>
      <c r="DA859">
        <f>INDEX('Data_Price '!AJ$2:AJ$1266,MATCH(Data!$DN859,'Data_Price '!$AT$2:$AT$1266,0))</f>
        <v/>
      </c>
      <c r="DB859">
        <f>INDEX('Data_Price '!AK$2:AK$1266,MATCH(Data!$DN859,'Data_Price '!$AT$2:$AT$1266,0))</f>
        <v/>
      </c>
      <c r="DC859">
        <f>INDEX('Data_Price '!AL$2:AL$1266,MATCH(Data!$DN859,'Data_Price '!$AT$2:$AT$1266,0))</f>
        <v/>
      </c>
      <c r="DD859">
        <f>INDEX('Data_Price '!AM$2:AM$1266,MATCH(Data!$DN859,'Data_Price '!$AT$2:$AT$1266,0))</f>
        <v/>
      </c>
      <c r="DE859">
        <f>INDEX('Data_Price '!AN$2:AN$1266,MATCH(Data!$DN859,'Data_Price '!$AT$2:$AT$1266,0))</f>
        <v/>
      </c>
      <c r="DF859">
        <f>INDEX('Data_Price '!AO$2:AO$1266,MATCH(Data!$DN859,'Data_Price '!$AT$2:$AT$1266,0))</f>
        <v/>
      </c>
      <c r="DG859">
        <f>INDEX('Data_Price '!AP$2:AP$1266,MATCH(Data!$DN859,'Data_Price '!$AT$2:$AT$1266,0))</f>
        <v/>
      </c>
      <c r="DH859">
        <f>INDEX('Data_Price '!AQ$2:AQ$1266,MATCH(Data!$DN859,'Data_Price '!$AT$2:$AT$1266,0))</f>
        <v/>
      </c>
      <c r="DI859">
        <f>INDEX('Data_Price '!AR$2:AR$1266,MATCH(Data!$DN859,'Data_Price '!$AT$2:$AT$1266,0))</f>
        <v/>
      </c>
      <c r="DJ859" s="138">
        <f>DA859</f>
        <v/>
      </c>
      <c r="DK859" s="138">
        <f>DE859</f>
        <v/>
      </c>
      <c r="DL859" s="138">
        <f>DI859</f>
        <v/>
      </c>
      <c r="DM859" s="303">
        <f>IF(LEFT(BT859,1)=" ",RIGHT(BT859,LEN(BT859)-1),BT859)</f>
        <v/>
      </c>
      <c r="DN859" s="138">
        <f>_xlfn.CONCAT(BS859,DM859,BU859,BV859)</f>
        <v/>
      </c>
      <c r="DO859" s="307" t="n"/>
    </row>
    <row r="860" ht="15.6" customHeight="1" s="184">
      <c r="B860" s="303">
        <f t="array" ref="B860">IF(OR(ISERROR(K860:P860)),FALSE,TRUE)</f>
        <v/>
      </c>
      <c r="C860" s="60">
        <f>OR(BR860=Driver!$G$50,Data!BR937=Driver!$H$50)</f>
        <v/>
      </c>
      <c r="D860" s="60">
        <f>OR(BV860=Driver!$G$51,BV860=Driver!$H$51)</f>
        <v/>
      </c>
      <c r="E860" s="60">
        <f>AND(BX860&gt;Driver!$F$54,BX860&lt;Driver!$G$54)</f>
        <v/>
      </c>
      <c r="F860" s="60">
        <f>CL860&gt;Driver!$F$56</f>
        <v/>
      </c>
      <c r="G860" s="60">
        <f>AND(CB860&gt;Driver!$F$55,CB860&lt;Driver!$G$55)</f>
        <v/>
      </c>
      <c r="H860" s="60">
        <f>AND(B860:G860)</f>
        <v/>
      </c>
      <c r="I860" s="60">
        <f>COUNTIFS($H$9:$H$1273,TRUE,$BT$9:$BT$1273,BT860)</f>
        <v/>
      </c>
      <c r="J860" s="60">
        <f t="array" ref="J860">NOT(OR(($H$9:$H$1273=TRUE)*($I$9:$I$1273&gt;0)*($BT$9:$BT$1273=BT860)*($K$9:$K$1273&gt;K860)))</f>
        <v/>
      </c>
      <c r="K860" s="108">
        <f>IFERROR(1-AVERAGE(X860:Y860),"")</f>
        <v/>
      </c>
      <c r="L860" s="108">
        <f>1-X860</f>
        <v/>
      </c>
      <c r="M860" s="108">
        <f>1-Y860</f>
        <v/>
      </c>
      <c r="N860" s="108">
        <f>1-Z860</f>
        <v/>
      </c>
      <c r="O860" s="108">
        <f>1-AA860</f>
        <v/>
      </c>
      <c r="P860" s="108">
        <f>1-AB860</f>
        <v/>
      </c>
      <c r="Q860" s="108" t="n"/>
      <c r="R860" s="108" t="n"/>
      <c r="S860" s="108">
        <f>1-AE860</f>
        <v/>
      </c>
      <c r="T860" s="108">
        <f>1-AF860</f>
        <v/>
      </c>
      <c r="U860" s="108">
        <f>1-AG860</f>
        <v/>
      </c>
      <c r="V860" s="108">
        <f>1-AH860</f>
        <v/>
      </c>
      <c r="W860" s="108">
        <f>1-AI860</f>
        <v/>
      </c>
      <c r="X860" s="108">
        <f>ABS(AJ860-AJ$1)</f>
        <v/>
      </c>
      <c r="Y860" s="108">
        <f>AVERAGE(Z860:AB860)</f>
        <v/>
      </c>
      <c r="Z860" s="108">
        <f>ABS(AL860-AL$1)</f>
        <v/>
      </c>
      <c r="AA860" s="108">
        <f>ABS(AM860-AM$1)</f>
        <v/>
      </c>
      <c r="AB860" s="108">
        <f>ABS(AN860-AN$1)</f>
        <v/>
      </c>
      <c r="AC860" s="108" t="n"/>
      <c r="AD860" s="108" t="n"/>
      <c r="AE860" s="108">
        <f>ABS(AQ$1-AQ860)</f>
        <v/>
      </c>
      <c r="AF860" s="108">
        <f>ABS(AR$1-AR860)</f>
        <v/>
      </c>
      <c r="AG860" s="108">
        <f>ABS(AS$1-AS860)</f>
        <v/>
      </c>
      <c r="AH860" s="108">
        <f>ABS(AT$1-AT860)</f>
        <v/>
      </c>
      <c r="AI860" s="108">
        <f>ABS(AU$1-AU860)</f>
        <v/>
      </c>
      <c r="AJ860" s="108">
        <f>(AV860-Driver!$K$179)/(Driver!$L$179-Driver!$K$179)</f>
        <v/>
      </c>
      <c r="AK860" s="108">
        <f>(AW860-Driver!$K$180)/(Driver!$L$180-Driver!$K$180)</f>
        <v/>
      </c>
      <c r="AL860" s="108">
        <f>(AX860-Driver!$K$181)/(Driver!$L$181-Driver!$K$181)</f>
        <v/>
      </c>
      <c r="AM860" s="108">
        <f>(AY860-Driver!$K$182)/(Driver!$L$182-Driver!$K$182)</f>
        <v/>
      </c>
      <c r="AN860" s="108">
        <f>(AZ860-Driver!$K$183)/(Driver!$L$183-Driver!$K$183)</f>
        <v/>
      </c>
      <c r="AO860" s="108" t="n"/>
      <c r="AP860" s="108" t="n"/>
      <c r="AQ860" s="108">
        <f>(BC860-Driver!$K$188)/(Driver!$L$188-Driver!$K$188)</f>
        <v/>
      </c>
      <c r="AR860" s="108">
        <f>MIN((BD860-Driver!$K$189)/(Driver!$L$189-Driver!$K$189),100%)</f>
        <v/>
      </c>
      <c r="AS860" s="108">
        <f>(BE860-Driver!$K$190)/(Driver!$L$190-Driver!$K$190)</f>
        <v/>
      </c>
      <c r="AT860" s="108">
        <f>(BF860-Driver!$K$191)/(Driver!$L$191-Driver!$K$191)</f>
        <v/>
      </c>
      <c r="AU860" s="108">
        <f>(BG860-Driver!$K$192)/(Driver!$L$192-Driver!$K$192)</f>
        <v/>
      </c>
      <c r="AV860" s="105">
        <f>IFERROR(BM860*BJ860^1/4,"")</f>
        <v/>
      </c>
      <c r="AW860" s="105">
        <f>IFERROR(SUM(AX860:AZ860),"")</f>
        <v/>
      </c>
      <c r="AX860" s="105">
        <f>IFERROR(BH860,"")</f>
        <v/>
      </c>
      <c r="AY860" s="105">
        <f>IFERROR(Driver!$K$19/Data!BH860/Data!BI860*Data!BK860*Data!BL860,"")</f>
        <v/>
      </c>
      <c r="AZ860" s="105">
        <f>IFERROR(BI860*BN860,"")</f>
        <v/>
      </c>
      <c r="BA860" s="105" t="n"/>
      <c r="BB860" s="105" t="n"/>
      <c r="BC860" s="105">
        <f>IFERROR(BI860*BN860*BK860/BJ860^(1/2),"")</f>
        <v/>
      </c>
      <c r="BD860" s="105">
        <f>IFERROR(BH860*BM860*BL860/BJ860/BK860,"")</f>
        <v/>
      </c>
      <c r="BE860" s="105">
        <f>IFERROR(MIN(BI860/BQ860/BP860/BO860/BH860,$BE$1),"")</f>
        <v/>
      </c>
      <c r="BF860" s="105">
        <f>IFERROR(BJ860*BO860*BP860/BK860,"")</f>
        <v/>
      </c>
      <c r="BG860" s="105">
        <f>IFERROR(1/BM860/BH860*BQ860,"")</f>
        <v/>
      </c>
      <c r="BH860" s="102">
        <f>MAX((CE860-Driver!$F$200)/(Driver!$G$200-Driver!$F$200)*$BI$1,1)</f>
        <v/>
      </c>
      <c r="BI860" s="102">
        <f>MAX($BI$1*(BY860-Driver!$F$201)/(Driver!$G$201-Driver!$F$201),1)</f>
        <v/>
      </c>
      <c r="BJ860" s="102">
        <f>(CB860-Driver!$F$206)/(Driver!$G$206-Driver!$F$206)*$BI$1</f>
        <v/>
      </c>
      <c r="BK860" s="102">
        <f>(CD860-Driver!$F$203)/(Driver!$G$203-Driver!$F$203)*$BI$1</f>
        <v/>
      </c>
      <c r="BL860" s="102">
        <f>MAX((CR860-Driver!$F$202)/(Driver!$G$202-Driver!$F$202)*$BI$1,1)</f>
        <v/>
      </c>
      <c r="BM860" s="102">
        <f>MAX((CH860-Driver!$F$204)/(Driver!$G$204-Driver!$F$204)*$BI$1,1)</f>
        <v/>
      </c>
      <c r="BN860" s="102">
        <f>(CI860-Driver!$F$205)/(Driver!$G$205-Driver!$F$205)*$BI$1</f>
        <v/>
      </c>
      <c r="BO860" s="102">
        <f>(CK860-Driver!$F$207)/(Driver!$G$207-Driver!$F$207)*$BI$1</f>
        <v/>
      </c>
      <c r="BP860" s="102">
        <f>(CM860-Driver!$F$208)/(Driver!$G$208-Driver!$F$208)*$BI$1</f>
        <v/>
      </c>
      <c r="BQ860" s="102">
        <f>(CL860-Driver!$F$209)/(Driver!$G$209-Driver!$F$209)*$BI$1</f>
        <v/>
      </c>
      <c r="BR860" s="40" t="inlineStr">
        <is>
          <t>21/22</t>
        </is>
      </c>
      <c r="BS860" s="10" t="inlineStr">
        <is>
          <t xml:space="preserve"> Nordica</t>
        </is>
      </c>
      <c r="BT860" s="11" t="inlineStr">
        <is>
          <t>Soul Rider 87</t>
        </is>
      </c>
      <c r="BU860" s="13" t="n">
        <v>185</v>
      </c>
      <c r="BV860" s="11" t="inlineStr">
        <is>
          <t xml:space="preserve"> Unisex</t>
        </is>
      </c>
      <c r="BW860" s="13" t="n">
        <v>185</v>
      </c>
      <c r="BX860" s="13" t="n">
        <v>185</v>
      </c>
      <c r="BY860" s="13" t="n">
        <v>147</v>
      </c>
      <c r="BZ860" s="13" t="n">
        <v>160</v>
      </c>
      <c r="CA860" s="13" t="n">
        <v>124</v>
      </c>
      <c r="CB860" s="13" t="n">
        <v>86</v>
      </c>
      <c r="CC860" s="13" t="n">
        <v>114</v>
      </c>
      <c r="CD860" s="13" t="n">
        <v>18.5</v>
      </c>
      <c r="CE860" s="13" t="n">
        <v>2107</v>
      </c>
      <c r="CF860" s="13" t="n">
        <v>0.86</v>
      </c>
      <c r="CG860" s="13" t="n">
        <v>1819</v>
      </c>
      <c r="CH860" s="13" t="n">
        <v>239</v>
      </c>
      <c r="CI860" s="13" t="n">
        <v>106</v>
      </c>
      <c r="CJ860" s="13" t="n">
        <v>50</v>
      </c>
      <c r="CK860" s="13" t="n">
        <v>180</v>
      </c>
      <c r="CL860" s="13" t="n">
        <v>59</v>
      </c>
      <c r="CM860" s="13" t="n">
        <v>203</v>
      </c>
      <c r="CN860" s="13" t="n">
        <v>1.19</v>
      </c>
      <c r="CO860" s="13" t="n">
        <v>98</v>
      </c>
      <c r="CP860" s="13" t="n">
        <v>152</v>
      </c>
      <c r="CQ860" s="13" t="n">
        <v>83</v>
      </c>
      <c r="CR860" s="13" t="n">
        <v>11</v>
      </c>
      <c r="CS860" s="13" t="n">
        <v>5.9</v>
      </c>
      <c r="CT860" s="11" t="inlineStr">
        <is>
          <t xml:space="preserve"> Freeski</t>
        </is>
      </c>
      <c r="CU860" s="13" t="n"/>
      <c r="CV860" s="13" t="n"/>
      <c r="CW860" s="13" t="n"/>
      <c r="CX860">
        <f>INDEX('Data_Price '!AG$2:AG$1266,MATCH(Data!$DN860,'Data_Price '!$AT$2:$AT$1266,0))</f>
        <v/>
      </c>
      <c r="CY860">
        <f>INDEX('Data_Price '!AH$2:AH$1266,MATCH(Data!$DN860,'Data_Price '!$AT$2:$AT$1266,0))</f>
        <v/>
      </c>
      <c r="CZ860">
        <f>INDEX('Data_Price '!AI$2:AI$1266,MATCH(Data!$DN860,'Data_Price '!$AT$2:$AT$1266,0))</f>
        <v/>
      </c>
      <c r="DA860">
        <f>INDEX('Data_Price '!AJ$2:AJ$1266,MATCH(Data!$DN860,'Data_Price '!$AT$2:$AT$1266,0))</f>
        <v/>
      </c>
      <c r="DB860">
        <f>INDEX('Data_Price '!AK$2:AK$1266,MATCH(Data!$DN860,'Data_Price '!$AT$2:$AT$1266,0))</f>
        <v/>
      </c>
      <c r="DC860">
        <f>INDEX('Data_Price '!AL$2:AL$1266,MATCH(Data!$DN860,'Data_Price '!$AT$2:$AT$1266,0))</f>
        <v/>
      </c>
      <c r="DD860">
        <f>INDEX('Data_Price '!AM$2:AM$1266,MATCH(Data!$DN860,'Data_Price '!$AT$2:$AT$1266,0))</f>
        <v/>
      </c>
      <c r="DE860">
        <f>INDEX('Data_Price '!AN$2:AN$1266,MATCH(Data!$DN860,'Data_Price '!$AT$2:$AT$1266,0))</f>
        <v/>
      </c>
      <c r="DF860">
        <f>INDEX('Data_Price '!AO$2:AO$1266,MATCH(Data!$DN860,'Data_Price '!$AT$2:$AT$1266,0))</f>
        <v/>
      </c>
      <c r="DG860">
        <f>INDEX('Data_Price '!AP$2:AP$1266,MATCH(Data!$DN860,'Data_Price '!$AT$2:$AT$1266,0))</f>
        <v/>
      </c>
      <c r="DH860">
        <f>INDEX('Data_Price '!AQ$2:AQ$1266,MATCH(Data!$DN860,'Data_Price '!$AT$2:$AT$1266,0))</f>
        <v/>
      </c>
      <c r="DI860">
        <f>INDEX('Data_Price '!AR$2:AR$1266,MATCH(Data!$DN860,'Data_Price '!$AT$2:$AT$1266,0))</f>
        <v/>
      </c>
      <c r="DJ860" s="138">
        <f>DA860</f>
        <v/>
      </c>
      <c r="DK860" s="138">
        <f>DE860</f>
        <v/>
      </c>
      <c r="DL860" s="138">
        <f>DI860</f>
        <v/>
      </c>
      <c r="DM860" s="303">
        <f>IF(LEFT(BT860,1)=" ",RIGHT(BT860,LEN(BT860)-1),BT860)</f>
        <v/>
      </c>
      <c r="DN860" s="138">
        <f>_xlfn.CONCAT(BS860,DM860,BU860,BV860)</f>
        <v/>
      </c>
      <c r="DO860" s="307" t="n"/>
    </row>
    <row r="861" ht="15.6" customHeight="1" s="184">
      <c r="B861" s="303">
        <f t="array" ref="B861">IF(OR(ISERROR(K861:P861)),FALSE,TRUE)</f>
        <v/>
      </c>
      <c r="C861" s="60">
        <f>OR(BR861=Driver!$G$50,Data!BR1080=Driver!$H$50)</f>
        <v/>
      </c>
      <c r="D861" s="60">
        <f>OR(BV861=Driver!$G$51,BV861=Driver!$H$51)</f>
        <v/>
      </c>
      <c r="E861" s="60">
        <f>AND(BX861&gt;Driver!$F$54,BX861&lt;Driver!$G$54)</f>
        <v/>
      </c>
      <c r="F861" s="60">
        <f>CL861&gt;Driver!$F$56</f>
        <v/>
      </c>
      <c r="G861" s="60">
        <f>AND(CB861&gt;Driver!$F$55,CB861&lt;Driver!$G$55)</f>
        <v/>
      </c>
      <c r="H861" s="60">
        <f>AND(B861:G861)</f>
        <v/>
      </c>
      <c r="I861" s="60">
        <f>COUNTIFS($H$9:$H$1273,TRUE,$BT$9:$BT$1273,BT861)</f>
        <v/>
      </c>
      <c r="J861" s="60">
        <f t="array" ref="J861">NOT(OR(($H$9:$H$1273=TRUE)*($I$9:$I$1273&gt;0)*($BT$9:$BT$1273=BT861)*($K$9:$K$1273&gt;K861)))</f>
        <v/>
      </c>
      <c r="K861" s="108">
        <f>IFERROR(1-AVERAGE(X861:Y861),"")</f>
        <v/>
      </c>
      <c r="L861" s="108">
        <f>1-X861</f>
        <v/>
      </c>
      <c r="M861" s="108">
        <f>1-Y861</f>
        <v/>
      </c>
      <c r="N861" s="108">
        <f>1-Z861</f>
        <v/>
      </c>
      <c r="O861" s="108">
        <f>1-AA861</f>
        <v/>
      </c>
      <c r="P861" s="108">
        <f>1-AB861</f>
        <v/>
      </c>
      <c r="Q861" s="108" t="n"/>
      <c r="R861" s="108" t="n"/>
      <c r="S861" s="108">
        <f>1-AE861</f>
        <v/>
      </c>
      <c r="T861" s="108">
        <f>1-AF861</f>
        <v/>
      </c>
      <c r="U861" s="108">
        <f>1-AG861</f>
        <v/>
      </c>
      <c r="V861" s="108">
        <f>1-AH861</f>
        <v/>
      </c>
      <c r="W861" s="108">
        <f>1-AI861</f>
        <v/>
      </c>
      <c r="X861" s="108">
        <f>ABS(AJ861-AJ$1)</f>
        <v/>
      </c>
      <c r="Y861" s="108">
        <f>AVERAGE(Z861:AB861)</f>
        <v/>
      </c>
      <c r="Z861" s="108">
        <f>ABS(AL861-AL$1)</f>
        <v/>
      </c>
      <c r="AA861" s="108">
        <f>ABS(AM861-AM$1)</f>
        <v/>
      </c>
      <c r="AB861" s="108">
        <f>ABS(AN861-AN$1)</f>
        <v/>
      </c>
      <c r="AC861" s="108" t="n"/>
      <c r="AD861" s="108" t="n"/>
      <c r="AE861" s="108">
        <f>ABS(AQ$1-AQ861)</f>
        <v/>
      </c>
      <c r="AF861" s="108">
        <f>ABS(AR$1-AR861)</f>
        <v/>
      </c>
      <c r="AG861" s="108">
        <f>ABS(AS$1-AS861)</f>
        <v/>
      </c>
      <c r="AH861" s="108">
        <f>ABS(AT$1-AT861)</f>
        <v/>
      </c>
      <c r="AI861" s="108">
        <f>ABS(AU$1-AU861)</f>
        <v/>
      </c>
      <c r="AJ861" s="108">
        <f>(AV861-Driver!$K$179)/(Driver!$L$179-Driver!$K$179)</f>
        <v/>
      </c>
      <c r="AK861" s="108">
        <f>(AW861-Driver!$K$180)/(Driver!$L$180-Driver!$K$180)</f>
        <v/>
      </c>
      <c r="AL861" s="108">
        <f>(AX861-Driver!$K$181)/(Driver!$L$181-Driver!$K$181)</f>
        <v/>
      </c>
      <c r="AM861" s="108">
        <f>(AY861-Driver!$K$182)/(Driver!$L$182-Driver!$K$182)</f>
        <v/>
      </c>
      <c r="AN861" s="108">
        <f>(AZ861-Driver!$K$183)/(Driver!$L$183-Driver!$K$183)</f>
        <v/>
      </c>
      <c r="AO861" s="108" t="n"/>
      <c r="AP861" s="108" t="n"/>
      <c r="AQ861" s="108">
        <f>(BC861-Driver!$K$188)/(Driver!$L$188-Driver!$K$188)</f>
        <v/>
      </c>
      <c r="AR861" s="108">
        <f>MIN((BD861-Driver!$K$189)/(Driver!$L$189-Driver!$K$189),100%)</f>
        <v/>
      </c>
      <c r="AS861" s="108">
        <f>(BE861-Driver!$K$190)/(Driver!$L$190-Driver!$K$190)</f>
        <v/>
      </c>
      <c r="AT861" s="108">
        <f>(BF861-Driver!$K$191)/(Driver!$L$191-Driver!$K$191)</f>
        <v/>
      </c>
      <c r="AU861" s="108">
        <f>(BG861-Driver!$K$192)/(Driver!$L$192-Driver!$K$192)</f>
        <v/>
      </c>
      <c r="AV861" s="105">
        <f>IFERROR(BM861*BJ861^1/4,"")</f>
        <v/>
      </c>
      <c r="AW861" s="105">
        <f>IFERROR(SUM(AX861:AZ861),"")</f>
        <v/>
      </c>
      <c r="AX861" s="105">
        <f>IFERROR(BH861,"")</f>
        <v/>
      </c>
      <c r="AY861" s="105">
        <f>IFERROR(Driver!$K$19/Data!BH861/Data!BI861*Data!BK861*Data!BL861,"")</f>
        <v/>
      </c>
      <c r="AZ861" s="105">
        <f>IFERROR(BI861*BN861,"")</f>
        <v/>
      </c>
      <c r="BA861" s="105" t="n"/>
      <c r="BB861" s="105" t="n"/>
      <c r="BC861" s="105">
        <f>IFERROR(BI861*BN861*BK861/BJ861^(1/2),"")</f>
        <v/>
      </c>
      <c r="BD861" s="105">
        <f>IFERROR(BH861*BM861*BL861/BJ861/BK861,"")</f>
        <v/>
      </c>
      <c r="BE861" s="105">
        <f>IFERROR(MIN(BI861/BQ861/BP861/BO861/BH861,$BE$1),"")</f>
        <v/>
      </c>
      <c r="BF861" s="105">
        <f>IFERROR(BJ861*BO861*BP861/BK861,"")</f>
        <v/>
      </c>
      <c r="BG861" s="105">
        <f>IFERROR(1/BM861/BH861*BQ861,"")</f>
        <v/>
      </c>
      <c r="BH861" s="102">
        <f>MAX((CE861-Driver!$F$200)/(Driver!$G$200-Driver!$F$200)*$BI$1,1)</f>
        <v/>
      </c>
      <c r="BI861" s="102">
        <f>MAX($BI$1*(BY861-Driver!$F$201)/(Driver!$G$201-Driver!$F$201),1)</f>
        <v/>
      </c>
      <c r="BJ861" s="102">
        <f>(CB861-Driver!$F$206)/(Driver!$G$206-Driver!$F$206)*$BI$1</f>
        <v/>
      </c>
      <c r="BK861" s="102">
        <f>(CD861-Driver!$F$203)/(Driver!$G$203-Driver!$F$203)*$BI$1</f>
        <v/>
      </c>
      <c r="BL861" s="102">
        <f>MAX((CR861-Driver!$F$202)/(Driver!$G$202-Driver!$F$202)*$BI$1,1)</f>
        <v/>
      </c>
      <c r="BM861" s="102">
        <f>MAX((CH861-Driver!$F$204)/(Driver!$G$204-Driver!$F$204)*$BI$1,1)</f>
        <v/>
      </c>
      <c r="BN861" s="102">
        <f>(CI861-Driver!$F$205)/(Driver!$G$205-Driver!$F$205)*$BI$1</f>
        <v/>
      </c>
      <c r="BO861" s="102">
        <f>(CK861-Driver!$F$207)/(Driver!$G$207-Driver!$F$207)*$BI$1</f>
        <v/>
      </c>
      <c r="BP861" s="102">
        <f>(CM861-Driver!$F$208)/(Driver!$G$208-Driver!$F$208)*$BI$1</f>
        <v/>
      </c>
      <c r="BQ861" s="102">
        <f>(CL861-Driver!$F$209)/(Driver!$G$209-Driver!$F$209)*$BI$1</f>
        <v/>
      </c>
      <c r="BR861" s="40" t="inlineStr">
        <is>
          <t>21/22</t>
        </is>
      </c>
      <c r="BS861" s="10" t="inlineStr">
        <is>
          <t xml:space="preserve"> Salomon</t>
        </is>
      </c>
      <c r="BT861" s="11" t="inlineStr">
        <is>
          <t xml:space="preserve"> QST Blank</t>
        </is>
      </c>
      <c r="BU861" s="13" t="n">
        <v>186</v>
      </c>
      <c r="BV861" s="11" t="inlineStr">
        <is>
          <t xml:space="preserve"> Unisex</t>
        </is>
      </c>
      <c r="BW861" s="13" t="n">
        <v>186</v>
      </c>
      <c r="BX861" s="13" t="n">
        <v>185.2</v>
      </c>
      <c r="BY861" s="13" t="n">
        <v>86</v>
      </c>
      <c r="BZ861" s="13" t="n">
        <v>139</v>
      </c>
      <c r="CA861" s="13" t="n">
        <v>137</v>
      </c>
      <c r="CB861" s="13" t="n">
        <v>111</v>
      </c>
      <c r="CC861" s="13" t="n">
        <v>126</v>
      </c>
      <c r="CD861" s="13" t="n">
        <v>17.9</v>
      </c>
      <c r="CE861" s="13" t="n">
        <v>2172</v>
      </c>
      <c r="CF861" s="13" t="n">
        <v>1.03</v>
      </c>
      <c r="CG861" s="13" t="n">
        <v>2237</v>
      </c>
      <c r="CH861" s="13" t="n">
        <v>227</v>
      </c>
      <c r="CI861" s="13" t="n">
        <v>111</v>
      </c>
      <c r="CJ861" s="13" t="n">
        <v>62</v>
      </c>
      <c r="CK861" s="13" t="n">
        <v>489</v>
      </c>
      <c r="CL861" s="13" t="n">
        <v>33</v>
      </c>
      <c r="CM861" s="13" t="n">
        <v>500</v>
      </c>
      <c r="CN861" s="13" t="n">
        <v>0.544</v>
      </c>
      <c r="CO861" s="13" t="n">
        <v>209</v>
      </c>
      <c r="CP861" s="13" t="n">
        <v>256</v>
      </c>
      <c r="CQ861" s="13" t="n">
        <v>280</v>
      </c>
      <c r="CR861" s="13" t="n">
        <v>3</v>
      </c>
      <c r="CS861" s="13" t="n">
        <v>8.5</v>
      </c>
      <c r="CT861" s="11" t="inlineStr">
        <is>
          <t xml:space="preserve"> Powder</t>
        </is>
      </c>
      <c r="CU861" s="13" t="n"/>
      <c r="CV861" s="13" t="n"/>
      <c r="CW861" s="13" t="n"/>
      <c r="CX861">
        <f>INDEX('Data_Price '!AG$2:AG$1266,MATCH(Data!$DN861,'Data_Price '!$AT$2:$AT$1266,0))</f>
        <v/>
      </c>
      <c r="CY861">
        <f>INDEX('Data_Price '!AH$2:AH$1266,MATCH(Data!$DN861,'Data_Price '!$AT$2:$AT$1266,0))</f>
        <v/>
      </c>
      <c r="CZ861">
        <f>INDEX('Data_Price '!AI$2:AI$1266,MATCH(Data!$DN861,'Data_Price '!$AT$2:$AT$1266,0))</f>
        <v/>
      </c>
      <c r="DA861">
        <f>INDEX('Data_Price '!AJ$2:AJ$1266,MATCH(Data!$DN861,'Data_Price '!$AT$2:$AT$1266,0))</f>
        <v/>
      </c>
      <c r="DB861">
        <f>INDEX('Data_Price '!AK$2:AK$1266,MATCH(Data!$DN861,'Data_Price '!$AT$2:$AT$1266,0))</f>
        <v/>
      </c>
      <c r="DC861">
        <f>INDEX('Data_Price '!AL$2:AL$1266,MATCH(Data!$DN861,'Data_Price '!$AT$2:$AT$1266,0))</f>
        <v/>
      </c>
      <c r="DD861">
        <f>INDEX('Data_Price '!AM$2:AM$1266,MATCH(Data!$DN861,'Data_Price '!$AT$2:$AT$1266,0))</f>
        <v/>
      </c>
      <c r="DE861">
        <f>INDEX('Data_Price '!AN$2:AN$1266,MATCH(Data!$DN861,'Data_Price '!$AT$2:$AT$1266,0))</f>
        <v/>
      </c>
      <c r="DF861">
        <f>INDEX('Data_Price '!AO$2:AO$1266,MATCH(Data!$DN861,'Data_Price '!$AT$2:$AT$1266,0))</f>
        <v/>
      </c>
      <c r="DG861">
        <f>INDEX('Data_Price '!AP$2:AP$1266,MATCH(Data!$DN861,'Data_Price '!$AT$2:$AT$1266,0))</f>
        <v/>
      </c>
      <c r="DH861">
        <f>INDEX('Data_Price '!AQ$2:AQ$1266,MATCH(Data!$DN861,'Data_Price '!$AT$2:$AT$1266,0))</f>
        <v/>
      </c>
      <c r="DI861">
        <f>INDEX('Data_Price '!AR$2:AR$1266,MATCH(Data!$DN861,'Data_Price '!$AT$2:$AT$1266,0))</f>
        <v/>
      </c>
      <c r="DJ861" s="138">
        <f>DA861</f>
        <v/>
      </c>
      <c r="DK861" s="138">
        <f>DE861</f>
        <v/>
      </c>
      <c r="DL861" s="138">
        <f>DI861</f>
        <v/>
      </c>
      <c r="DM861" s="303">
        <f>IF(LEFT(BT861,1)=" ",RIGHT(BT861,LEN(BT861)-1),BT861)</f>
        <v/>
      </c>
      <c r="DN861" s="138">
        <f>_xlfn.CONCAT(BS861,DM861,BU861,BV861)</f>
        <v/>
      </c>
      <c r="DO861" s="307" t="inlineStr">
        <is>
          <t>https://images.evo.com/imgp/250/197270/802751/salomon-qst-blank-skis-2022-.jpg</t>
        </is>
      </c>
    </row>
    <row r="862" ht="15.6" customHeight="1" s="184">
      <c r="B862" s="303">
        <f t="array" ref="B862">IF(OR(ISERROR(K862:P862)),FALSE,TRUE)</f>
        <v/>
      </c>
      <c r="C862" s="60">
        <f>OR(BR862=Driver!$G$50,Data!BR101=Driver!$H$50)</f>
        <v/>
      </c>
      <c r="D862" s="60">
        <f>OR(BV862=Driver!$G$51,BV862=Driver!$H$51)</f>
        <v/>
      </c>
      <c r="E862" s="60">
        <f>AND(BX862&gt;Driver!$F$54,BX862&lt;Driver!$G$54)</f>
        <v/>
      </c>
      <c r="F862" s="60">
        <f>CL862&gt;Driver!$F$56</f>
        <v/>
      </c>
      <c r="G862" s="60">
        <f>AND(CB862&gt;Driver!$F$55,CB862&lt;Driver!$G$55)</f>
        <v/>
      </c>
      <c r="H862" s="60">
        <f>AND(B862:G862)</f>
        <v/>
      </c>
      <c r="I862" s="60">
        <f>COUNTIFS($H$9:$H$1273,TRUE,$BT$9:$BT$1273,BT862)</f>
        <v/>
      </c>
      <c r="J862" s="60">
        <f t="array" ref="J862">NOT(OR(($H$9:$H$1273=TRUE)*($I$9:$I$1273&gt;0)*($BT$9:$BT$1273=BT862)*($K$9:$K$1273&gt;K862)))</f>
        <v/>
      </c>
      <c r="K862" s="108">
        <f>IFERROR(1-AVERAGE(X862:Y862),"")</f>
        <v/>
      </c>
      <c r="L862" s="108">
        <f>1-X862</f>
        <v/>
      </c>
      <c r="M862" s="108">
        <f>1-Y862</f>
        <v/>
      </c>
      <c r="N862" s="108">
        <f>1-Z862</f>
        <v/>
      </c>
      <c r="O862" s="108">
        <f>1-AA862</f>
        <v/>
      </c>
      <c r="P862" s="108">
        <f>1-AB862</f>
        <v/>
      </c>
      <c r="Q862" s="108" t="n"/>
      <c r="R862" s="108" t="n"/>
      <c r="S862" s="108">
        <f>1-AE862</f>
        <v/>
      </c>
      <c r="T862" s="108">
        <f>1-AF862</f>
        <v/>
      </c>
      <c r="U862" s="108">
        <f>1-AG862</f>
        <v/>
      </c>
      <c r="V862" s="108">
        <f>1-AH862</f>
        <v/>
      </c>
      <c r="W862" s="108">
        <f>1-AI862</f>
        <v/>
      </c>
      <c r="X862" s="108">
        <f>ABS(AJ862-AJ$1)</f>
        <v/>
      </c>
      <c r="Y862" s="108">
        <f>AVERAGE(Z862:AB862)</f>
        <v/>
      </c>
      <c r="Z862" s="108">
        <f>ABS(AL862-AL$1)</f>
        <v/>
      </c>
      <c r="AA862" s="108">
        <f>ABS(AM862-AM$1)</f>
        <v/>
      </c>
      <c r="AB862" s="108">
        <f>ABS(AN862-AN$1)</f>
        <v/>
      </c>
      <c r="AC862" s="108" t="n"/>
      <c r="AD862" s="108" t="n"/>
      <c r="AE862" s="108">
        <f>ABS(AQ$1-AQ862)</f>
        <v/>
      </c>
      <c r="AF862" s="108">
        <f>ABS(AR$1-AR862)</f>
        <v/>
      </c>
      <c r="AG862" s="108">
        <f>ABS(AS$1-AS862)</f>
        <v/>
      </c>
      <c r="AH862" s="108">
        <f>ABS(AT$1-AT862)</f>
        <v/>
      </c>
      <c r="AI862" s="108">
        <f>ABS(AU$1-AU862)</f>
        <v/>
      </c>
      <c r="AJ862" s="108">
        <f>(AV862-Driver!$K$179)/(Driver!$L$179-Driver!$K$179)</f>
        <v/>
      </c>
      <c r="AK862" s="108">
        <f>(AW862-Driver!$K$180)/(Driver!$L$180-Driver!$K$180)</f>
        <v/>
      </c>
      <c r="AL862" s="108">
        <f>(AX862-Driver!$K$181)/(Driver!$L$181-Driver!$K$181)</f>
        <v/>
      </c>
      <c r="AM862" s="108">
        <f>(AY862-Driver!$K$182)/(Driver!$L$182-Driver!$K$182)</f>
        <v/>
      </c>
      <c r="AN862" s="108">
        <f>(AZ862-Driver!$K$183)/(Driver!$L$183-Driver!$K$183)</f>
        <v/>
      </c>
      <c r="AO862" s="108" t="n"/>
      <c r="AP862" s="108" t="n"/>
      <c r="AQ862" s="108">
        <f>(BC862-Driver!$K$188)/(Driver!$L$188-Driver!$K$188)</f>
        <v/>
      </c>
      <c r="AR862" s="108">
        <f>MIN((BD862-Driver!$K$189)/(Driver!$L$189-Driver!$K$189),100%)</f>
        <v/>
      </c>
      <c r="AS862" s="108">
        <f>(BE862-Driver!$K$190)/(Driver!$L$190-Driver!$K$190)</f>
        <v/>
      </c>
      <c r="AT862" s="108">
        <f>(BF862-Driver!$K$191)/(Driver!$L$191-Driver!$K$191)</f>
        <v/>
      </c>
      <c r="AU862" s="108">
        <f>(BG862-Driver!$K$192)/(Driver!$L$192-Driver!$K$192)</f>
        <v/>
      </c>
      <c r="AV862" s="105">
        <f>IFERROR(BM862*BJ862^1/4,"")</f>
        <v/>
      </c>
      <c r="AW862" s="105">
        <f>IFERROR(SUM(AX862:AZ862),"")</f>
        <v/>
      </c>
      <c r="AX862" s="105">
        <f>IFERROR(BH862,"")</f>
        <v/>
      </c>
      <c r="AY862" s="105">
        <f>IFERROR(Driver!$K$19/Data!BH862/Data!BI862*Data!BK862*Data!BL862,"")</f>
        <v/>
      </c>
      <c r="AZ862" s="105">
        <f>IFERROR(BI862*BN862,"")</f>
        <v/>
      </c>
      <c r="BA862" s="105" t="n"/>
      <c r="BB862" s="105" t="n"/>
      <c r="BC862" s="105">
        <f>IFERROR(BI862*BN862*BK862/BJ862^(1/2),"")</f>
        <v/>
      </c>
      <c r="BD862" s="105">
        <f>IFERROR(BH862*BM862*BL862/BJ862/BK862,"")</f>
        <v/>
      </c>
      <c r="BE862" s="105">
        <f>IFERROR(MIN(BI862/BQ862/BP862/BO862/BH862,$BE$1),"")</f>
        <v/>
      </c>
      <c r="BF862" s="105">
        <f>IFERROR(BJ862*BO862*BP862/BK862,"")</f>
        <v/>
      </c>
      <c r="BG862" s="105">
        <f>IFERROR(1/BM862/BH862*BQ862,"")</f>
        <v/>
      </c>
      <c r="BH862" s="102">
        <f>MAX((CE862-Driver!$F$200)/(Driver!$G$200-Driver!$F$200)*$BI$1,1)</f>
        <v/>
      </c>
      <c r="BI862" s="102">
        <f>MAX($BI$1*(BY862-Driver!$F$201)/(Driver!$G$201-Driver!$F$201),1)</f>
        <v/>
      </c>
      <c r="BJ862" s="102">
        <f>(CB862-Driver!$F$206)/(Driver!$G$206-Driver!$F$206)*$BI$1</f>
        <v/>
      </c>
      <c r="BK862" s="102">
        <f>(CD862-Driver!$F$203)/(Driver!$G$203-Driver!$F$203)*$BI$1</f>
        <v/>
      </c>
      <c r="BL862" s="102">
        <f>MAX((CR862-Driver!$F$202)/(Driver!$G$202-Driver!$F$202)*$BI$1,1)</f>
        <v/>
      </c>
      <c r="BM862" s="102">
        <f>MAX((CH862-Driver!$F$204)/(Driver!$G$204-Driver!$F$204)*$BI$1,1)</f>
        <v/>
      </c>
      <c r="BN862" s="102">
        <f>(CI862-Driver!$F$205)/(Driver!$G$205-Driver!$F$205)*$BI$1</f>
        <v/>
      </c>
      <c r="BO862" s="102">
        <f>(CK862-Driver!$F$207)/(Driver!$G$207-Driver!$F$207)*$BI$1</f>
        <v/>
      </c>
      <c r="BP862" s="102">
        <f>(CM862-Driver!$F$208)/(Driver!$G$208-Driver!$F$208)*$BI$1</f>
        <v/>
      </c>
      <c r="BQ862" s="102">
        <f>(CL862-Driver!$F$209)/(Driver!$G$209-Driver!$F$209)*$BI$1</f>
        <v/>
      </c>
      <c r="BR862" s="40" t="inlineStr">
        <is>
          <t>21/22</t>
        </is>
      </c>
      <c r="BS862" s="10" t="inlineStr">
        <is>
          <t xml:space="preserve"> Armada</t>
        </is>
      </c>
      <c r="BT862" s="11" t="inlineStr">
        <is>
          <t>Trace 98</t>
        </is>
      </c>
      <c r="BU862" s="13" t="n">
        <v>156</v>
      </c>
      <c r="BV862" s="11" t="inlineStr">
        <is>
          <t xml:space="preserve"> Women's</t>
        </is>
      </c>
      <c r="BW862" s="13" t="n">
        <v>156</v>
      </c>
      <c r="BX862" s="13" t="n">
        <v>155.7</v>
      </c>
      <c r="BY862" s="13" t="n">
        <v>116</v>
      </c>
      <c r="BZ862" s="13" t="n">
        <v>129</v>
      </c>
      <c r="CA862" s="13" t="n">
        <v>124</v>
      </c>
      <c r="CB862" s="13" t="n">
        <v>97</v>
      </c>
      <c r="CC862" s="13" t="n">
        <v>117</v>
      </c>
      <c r="CD862" s="13" t="n">
        <v>16.2</v>
      </c>
      <c r="CE862" s="13" t="n">
        <v>1337</v>
      </c>
      <c r="CF862" s="13" t="n">
        <v>1.23</v>
      </c>
      <c r="CG862" s="13" t="n">
        <v>1645</v>
      </c>
      <c r="CH862" s="13" t="n">
        <v>133</v>
      </c>
      <c r="CI862" s="13" t="n">
        <v>78</v>
      </c>
      <c r="CJ862" s="13" t="n">
        <v>37</v>
      </c>
      <c r="CK862" s="13" t="n">
        <v>240</v>
      </c>
      <c r="CL862" s="13" t="n">
        <v>16</v>
      </c>
      <c r="CM862" s="13" t="n">
        <v>153</v>
      </c>
      <c r="CN862" s="13" t="n">
        <v>0.432</v>
      </c>
      <c r="CO862" s="13" t="n">
        <v>165</v>
      </c>
      <c r="CP862" s="13" t="n">
        <v>103</v>
      </c>
      <c r="CQ862" s="13" t="n">
        <v>74</v>
      </c>
      <c r="CR862" s="13" t="n">
        <v>5</v>
      </c>
      <c r="CS862" s="13" t="n">
        <v>9</v>
      </c>
      <c r="CT862" s="11" t="inlineStr">
        <is>
          <t xml:space="preserve"> Resort Freeride</t>
        </is>
      </c>
      <c r="CU862" s="11" t="inlineStr">
        <is>
          <t xml:space="preserve"> Touring</t>
        </is>
      </c>
      <c r="CV862" s="13" t="n"/>
      <c r="CW862" s="13" t="n"/>
      <c r="CX862">
        <f>INDEX('Data_Price '!AG$2:AG$1266,MATCH(Data!$DN862,'Data_Price '!$AT$2:$AT$1266,0))</f>
        <v/>
      </c>
      <c r="CY862">
        <f>INDEX('Data_Price '!AH$2:AH$1266,MATCH(Data!$DN862,'Data_Price '!$AT$2:$AT$1266,0))</f>
        <v/>
      </c>
      <c r="CZ862">
        <f>INDEX('Data_Price '!AI$2:AI$1266,MATCH(Data!$DN862,'Data_Price '!$AT$2:$AT$1266,0))</f>
        <v/>
      </c>
      <c r="DA862">
        <f>INDEX('Data_Price '!AJ$2:AJ$1266,MATCH(Data!$DN862,'Data_Price '!$AT$2:$AT$1266,0))</f>
        <v/>
      </c>
      <c r="DB862">
        <f>INDEX('Data_Price '!AK$2:AK$1266,MATCH(Data!$DN862,'Data_Price '!$AT$2:$AT$1266,0))</f>
        <v/>
      </c>
      <c r="DC862">
        <f>INDEX('Data_Price '!AL$2:AL$1266,MATCH(Data!$DN862,'Data_Price '!$AT$2:$AT$1266,0))</f>
        <v/>
      </c>
      <c r="DD862">
        <f>INDEX('Data_Price '!AM$2:AM$1266,MATCH(Data!$DN862,'Data_Price '!$AT$2:$AT$1266,0))</f>
        <v/>
      </c>
      <c r="DE862">
        <f>INDEX('Data_Price '!AN$2:AN$1266,MATCH(Data!$DN862,'Data_Price '!$AT$2:$AT$1266,0))</f>
        <v/>
      </c>
      <c r="DF862">
        <f>INDEX('Data_Price '!AO$2:AO$1266,MATCH(Data!$DN862,'Data_Price '!$AT$2:$AT$1266,0))</f>
        <v/>
      </c>
      <c r="DG862">
        <f>INDEX('Data_Price '!AP$2:AP$1266,MATCH(Data!$DN862,'Data_Price '!$AT$2:$AT$1266,0))</f>
        <v/>
      </c>
      <c r="DH862">
        <f>INDEX('Data_Price '!AQ$2:AQ$1266,MATCH(Data!$DN862,'Data_Price '!$AT$2:$AT$1266,0))</f>
        <v/>
      </c>
      <c r="DI862">
        <f>INDEX('Data_Price '!AR$2:AR$1266,MATCH(Data!$DN862,'Data_Price '!$AT$2:$AT$1266,0))</f>
        <v/>
      </c>
      <c r="DJ862" s="138">
        <f>DA862</f>
        <v/>
      </c>
      <c r="DK862" s="138">
        <f>DE862</f>
        <v/>
      </c>
      <c r="DL862" s="138">
        <f>DI862</f>
        <v/>
      </c>
      <c r="DM862" s="303">
        <f>IF(LEFT(BT862,1)=" ",RIGHT(BT862,LEN(BT862)-1),BT862)</f>
        <v/>
      </c>
      <c r="DN862" s="138">
        <f>_xlfn.CONCAT(BS862,DM862,BU862,BV862)</f>
        <v/>
      </c>
      <c r="DO862" s="307" t="inlineStr">
        <is>
          <t>https://images.evo.com/imgp/250/198708/839678/armada-trace-98-skis-women-s-2022-.jpg</t>
        </is>
      </c>
    </row>
    <row r="863" ht="15.6" customHeight="1" s="184">
      <c r="B863" s="303">
        <f t="array" ref="B863">IF(OR(ISERROR(K863:P863)),FALSE,TRUE)</f>
        <v/>
      </c>
      <c r="C863" s="60">
        <f>OR(BR863=Driver!$G$50,Data!BR447=Driver!$H$50)</f>
        <v/>
      </c>
      <c r="D863" s="60">
        <f>OR(BV863=Driver!$G$51,BV863=Driver!$H$51)</f>
        <v/>
      </c>
      <c r="E863" s="60">
        <f>AND(BX863&gt;Driver!$F$54,BX863&lt;Driver!$G$54)</f>
        <v/>
      </c>
      <c r="F863" s="60">
        <f>CL863&gt;Driver!$F$56</f>
        <v/>
      </c>
      <c r="G863" s="60">
        <f>AND(CB863&gt;Driver!$F$55,CB863&lt;Driver!$G$55)</f>
        <v/>
      </c>
      <c r="H863" s="60">
        <f>AND(B863:G863)</f>
        <v/>
      </c>
      <c r="I863" s="60">
        <f>COUNTIFS($H$9:$H$1273,TRUE,$BT$9:$BT$1273,BT863)</f>
        <v/>
      </c>
      <c r="J863" s="60">
        <f t="array" ref="J863">NOT(OR(($H$9:$H$1273=TRUE)*($I$9:$I$1273&gt;0)*($BT$9:$BT$1273=BT863)*($K$9:$K$1273&gt;K863)))</f>
        <v/>
      </c>
      <c r="K863" s="108">
        <f>IFERROR(1-AVERAGE(X863:Y863),"")</f>
        <v/>
      </c>
      <c r="L863" s="108">
        <f>1-X863</f>
        <v/>
      </c>
      <c r="M863" s="108">
        <f>1-Y863</f>
        <v/>
      </c>
      <c r="N863" s="108">
        <f>1-Z863</f>
        <v/>
      </c>
      <c r="O863" s="108">
        <f>1-AA863</f>
        <v/>
      </c>
      <c r="P863" s="108">
        <f>1-AB863</f>
        <v/>
      </c>
      <c r="Q863" s="108" t="n"/>
      <c r="R863" s="108" t="n"/>
      <c r="S863" s="108">
        <f>1-AE863</f>
        <v/>
      </c>
      <c r="T863" s="108">
        <f>1-AF863</f>
        <v/>
      </c>
      <c r="U863" s="108">
        <f>1-AG863</f>
        <v/>
      </c>
      <c r="V863" s="108">
        <f>1-AH863</f>
        <v/>
      </c>
      <c r="W863" s="108">
        <f>1-AI863</f>
        <v/>
      </c>
      <c r="X863" s="108">
        <f>ABS(AJ863-AJ$1)</f>
        <v/>
      </c>
      <c r="Y863" s="108">
        <f>AVERAGE(Z863:AB863)</f>
        <v/>
      </c>
      <c r="Z863" s="108">
        <f>ABS(AL863-AL$1)</f>
        <v/>
      </c>
      <c r="AA863" s="108">
        <f>ABS(AM863-AM$1)</f>
        <v/>
      </c>
      <c r="AB863" s="108">
        <f>ABS(AN863-AN$1)</f>
        <v/>
      </c>
      <c r="AC863" s="108" t="n"/>
      <c r="AD863" s="108" t="n"/>
      <c r="AE863" s="108">
        <f>ABS(AQ$1-AQ863)</f>
        <v/>
      </c>
      <c r="AF863" s="108">
        <f>ABS(AR$1-AR863)</f>
        <v/>
      </c>
      <c r="AG863" s="108">
        <f>ABS(AS$1-AS863)</f>
        <v/>
      </c>
      <c r="AH863" s="108">
        <f>ABS(AT$1-AT863)</f>
        <v/>
      </c>
      <c r="AI863" s="108">
        <f>ABS(AU$1-AU863)</f>
        <v/>
      </c>
      <c r="AJ863" s="108">
        <f>(AV863-Driver!$K$179)/(Driver!$L$179-Driver!$K$179)</f>
        <v/>
      </c>
      <c r="AK863" s="108">
        <f>(AW863-Driver!$K$180)/(Driver!$L$180-Driver!$K$180)</f>
        <v/>
      </c>
      <c r="AL863" s="108">
        <f>(AX863-Driver!$K$181)/(Driver!$L$181-Driver!$K$181)</f>
        <v/>
      </c>
      <c r="AM863" s="108">
        <f>(AY863-Driver!$K$182)/(Driver!$L$182-Driver!$K$182)</f>
        <v/>
      </c>
      <c r="AN863" s="108">
        <f>(AZ863-Driver!$K$183)/(Driver!$L$183-Driver!$K$183)</f>
        <v/>
      </c>
      <c r="AO863" s="108" t="n"/>
      <c r="AP863" s="108" t="n"/>
      <c r="AQ863" s="108">
        <f>(BC863-Driver!$K$188)/(Driver!$L$188-Driver!$K$188)</f>
        <v/>
      </c>
      <c r="AR863" s="108">
        <f>MIN((BD863-Driver!$K$189)/(Driver!$L$189-Driver!$K$189),100%)</f>
        <v/>
      </c>
      <c r="AS863" s="108">
        <f>(BE863-Driver!$K$190)/(Driver!$L$190-Driver!$K$190)</f>
        <v/>
      </c>
      <c r="AT863" s="108">
        <f>(BF863-Driver!$K$191)/(Driver!$L$191-Driver!$K$191)</f>
        <v/>
      </c>
      <c r="AU863" s="108">
        <f>(BG863-Driver!$K$192)/(Driver!$L$192-Driver!$K$192)</f>
        <v/>
      </c>
      <c r="AV863" s="105">
        <f>IFERROR(BM863*BJ863^1/4,"")</f>
        <v/>
      </c>
      <c r="AW863" s="105">
        <f>IFERROR(SUM(AX863:AZ863),"")</f>
        <v/>
      </c>
      <c r="AX863" s="105">
        <f>IFERROR(BH863,"")</f>
        <v/>
      </c>
      <c r="AY863" s="105">
        <f>IFERROR(Driver!$K$19/Data!BH863/Data!BI863*Data!BK863*Data!BL863,"")</f>
        <v/>
      </c>
      <c r="AZ863" s="105">
        <f>IFERROR(BI863*BN863,"")</f>
        <v/>
      </c>
      <c r="BA863" s="105" t="n"/>
      <c r="BB863" s="105" t="n"/>
      <c r="BC863" s="105">
        <f>IFERROR(BI863*BN863*BK863/BJ863^(1/2),"")</f>
        <v/>
      </c>
      <c r="BD863" s="105">
        <f>IFERROR(BH863*BM863*BL863/BJ863/BK863,"")</f>
        <v/>
      </c>
      <c r="BE863" s="105">
        <f>IFERROR(MIN(BI863/BQ863/BP863/BO863/BH863,$BE$1),"")</f>
        <v/>
      </c>
      <c r="BF863" s="105">
        <f>IFERROR(BJ863*BO863*BP863/BK863,"")</f>
        <v/>
      </c>
      <c r="BG863" s="105">
        <f>IFERROR(1/BM863/BH863*BQ863,"")</f>
        <v/>
      </c>
      <c r="BH863" s="102">
        <f>MAX((CE863-Driver!$F$200)/(Driver!$G$200-Driver!$F$200)*$BI$1,1)</f>
        <v/>
      </c>
      <c r="BI863" s="102">
        <f>MAX($BI$1*(BY863-Driver!$F$201)/(Driver!$G$201-Driver!$F$201),1)</f>
        <v/>
      </c>
      <c r="BJ863" s="102">
        <f>(CB863-Driver!$F$206)/(Driver!$G$206-Driver!$F$206)*$BI$1</f>
        <v/>
      </c>
      <c r="BK863" s="102">
        <f>(CD863-Driver!$F$203)/(Driver!$G$203-Driver!$F$203)*$BI$1</f>
        <v/>
      </c>
      <c r="BL863" s="102">
        <f>MAX((CR863-Driver!$F$202)/(Driver!$G$202-Driver!$F$202)*$BI$1,1)</f>
        <v/>
      </c>
      <c r="BM863" s="102">
        <f>MAX((CH863-Driver!$F$204)/(Driver!$G$204-Driver!$F$204)*$BI$1,1)</f>
        <v/>
      </c>
      <c r="BN863" s="102">
        <f>(CI863-Driver!$F$205)/(Driver!$G$205-Driver!$F$205)*$BI$1</f>
        <v/>
      </c>
      <c r="BO863" s="102">
        <f>(CK863-Driver!$F$207)/(Driver!$G$207-Driver!$F$207)*$BI$1</f>
        <v/>
      </c>
      <c r="BP863" s="102">
        <f>(CM863-Driver!$F$208)/(Driver!$G$208-Driver!$F$208)*$BI$1</f>
        <v/>
      </c>
      <c r="BQ863" s="102">
        <f>(CL863-Driver!$F$209)/(Driver!$G$209-Driver!$F$209)*$BI$1</f>
        <v/>
      </c>
      <c r="BR863" s="40" t="inlineStr">
        <is>
          <t>21/22</t>
        </is>
      </c>
      <c r="BS863" s="10" t="inlineStr">
        <is>
          <t xml:space="preserve"> Elan</t>
        </is>
      </c>
      <c r="BT863" s="11" t="inlineStr">
        <is>
          <t>Ripstick 106</t>
        </is>
      </c>
      <c r="BU863" s="13" t="n">
        <v>188</v>
      </c>
      <c r="BV863" s="11" t="inlineStr">
        <is>
          <t xml:space="preserve"> Unisex</t>
        </is>
      </c>
      <c r="BW863" s="13" t="n">
        <v>188</v>
      </c>
      <c r="BX863" s="13" t="n">
        <v>184.7</v>
      </c>
      <c r="BY863" s="13" t="n">
        <v>134</v>
      </c>
      <c r="BZ863" s="13" t="n">
        <v>150</v>
      </c>
      <c r="CA863" s="13" t="n">
        <v>143</v>
      </c>
      <c r="CB863" s="13" t="n">
        <v>104</v>
      </c>
      <c r="CC863" s="13" t="n">
        <v>119</v>
      </c>
      <c r="CD863" s="13" t="n">
        <v>20.3</v>
      </c>
      <c r="CE863" s="13" t="n">
        <v>1959</v>
      </c>
      <c r="CF863" s="13" t="n">
        <v>1.09</v>
      </c>
      <c r="CG863" s="13" t="n">
        <v>2136</v>
      </c>
      <c r="CH863" s="13" t="n">
        <v>290</v>
      </c>
      <c r="CI863" s="13" t="n">
        <v>109</v>
      </c>
      <c r="CJ863" s="13" t="n">
        <v>49</v>
      </c>
      <c r="CK863" s="13" t="n">
        <v>235</v>
      </c>
      <c r="CL863" s="13" t="n">
        <v>18</v>
      </c>
      <c r="CM863" s="13" t="n">
        <v>274</v>
      </c>
      <c r="CN863" s="13" t="n">
        <v>0.361</v>
      </c>
      <c r="CO863" s="13" t="n">
        <v>179</v>
      </c>
      <c r="CP863" s="13" t="n">
        <v>173</v>
      </c>
      <c r="CQ863" s="13" t="n">
        <v>55</v>
      </c>
      <c r="CR863" s="13" t="n">
        <v>4</v>
      </c>
      <c r="CS863" s="13" t="n">
        <v>10.3</v>
      </c>
      <c r="CT863" s="11" t="inlineStr">
        <is>
          <t xml:space="preserve"> Resort Freeride</t>
        </is>
      </c>
      <c r="CU863" s="11" t="inlineStr">
        <is>
          <t xml:space="preserve"> Powder</t>
        </is>
      </c>
      <c r="CV863" s="11" t="inlineStr">
        <is>
          <t xml:space="preserve"> Big Mountain</t>
        </is>
      </c>
      <c r="CW863" s="11" t="inlineStr">
        <is>
          <t xml:space="preserve"> Touring</t>
        </is>
      </c>
      <c r="CX863">
        <f>INDEX('Data_Price '!AG$2:AG$1266,MATCH(Data!$DN863,'Data_Price '!$AT$2:$AT$1266,0))</f>
        <v/>
      </c>
      <c r="CY863">
        <f>INDEX('Data_Price '!AH$2:AH$1266,MATCH(Data!$DN863,'Data_Price '!$AT$2:$AT$1266,0))</f>
        <v/>
      </c>
      <c r="CZ863">
        <f>INDEX('Data_Price '!AI$2:AI$1266,MATCH(Data!$DN863,'Data_Price '!$AT$2:$AT$1266,0))</f>
        <v/>
      </c>
      <c r="DA863">
        <f>INDEX('Data_Price '!AJ$2:AJ$1266,MATCH(Data!$DN863,'Data_Price '!$AT$2:$AT$1266,0))</f>
        <v/>
      </c>
      <c r="DB863">
        <f>INDEX('Data_Price '!AK$2:AK$1266,MATCH(Data!$DN863,'Data_Price '!$AT$2:$AT$1266,0))</f>
        <v/>
      </c>
      <c r="DC863">
        <f>INDEX('Data_Price '!AL$2:AL$1266,MATCH(Data!$DN863,'Data_Price '!$AT$2:$AT$1266,0))</f>
        <v/>
      </c>
      <c r="DD863">
        <f>INDEX('Data_Price '!AM$2:AM$1266,MATCH(Data!$DN863,'Data_Price '!$AT$2:$AT$1266,0))</f>
        <v/>
      </c>
      <c r="DE863">
        <f>INDEX('Data_Price '!AN$2:AN$1266,MATCH(Data!$DN863,'Data_Price '!$AT$2:$AT$1266,0))</f>
        <v/>
      </c>
      <c r="DF863">
        <f>INDEX('Data_Price '!AO$2:AO$1266,MATCH(Data!$DN863,'Data_Price '!$AT$2:$AT$1266,0))</f>
        <v/>
      </c>
      <c r="DG863">
        <f>INDEX('Data_Price '!AP$2:AP$1266,MATCH(Data!$DN863,'Data_Price '!$AT$2:$AT$1266,0))</f>
        <v/>
      </c>
      <c r="DH863">
        <f>INDEX('Data_Price '!AQ$2:AQ$1266,MATCH(Data!$DN863,'Data_Price '!$AT$2:$AT$1266,0))</f>
        <v/>
      </c>
      <c r="DI863">
        <f>INDEX('Data_Price '!AR$2:AR$1266,MATCH(Data!$DN863,'Data_Price '!$AT$2:$AT$1266,0))</f>
        <v/>
      </c>
      <c r="DJ863" s="138">
        <f>DA863</f>
        <v/>
      </c>
      <c r="DK863" s="138">
        <f>DE863</f>
        <v/>
      </c>
      <c r="DL863" s="138">
        <f>DI863</f>
        <v/>
      </c>
      <c r="DM863" s="303">
        <f>IF(LEFT(BT863,1)=" ",RIGHT(BT863,LEN(BT863)-1),BT863)</f>
        <v/>
      </c>
      <c r="DN863" s="138">
        <f>_xlfn.CONCAT(BS863,DM863,BU863,BV863)</f>
        <v/>
      </c>
      <c r="DO863" s="307" t="inlineStr">
        <is>
          <t>https://images.evo.com/imgp/250/181074/737306/clone.jpg</t>
        </is>
      </c>
    </row>
    <row r="864" ht="15.6" customHeight="1" s="184">
      <c r="B864" s="303">
        <f t="array" ref="B864">IF(OR(ISERROR(K864:P864)),FALSE,TRUE)</f>
        <v/>
      </c>
      <c r="C864" s="60">
        <f>OR(BR864=Driver!$G$50,Data!BR691=Driver!$H$50)</f>
        <v/>
      </c>
      <c r="D864" s="60">
        <f>OR(BV864=Driver!$G$51,BV864=Driver!$H$51)</f>
        <v/>
      </c>
      <c r="E864" s="60">
        <f>AND(BX864&gt;Driver!$F$54,BX864&lt;Driver!$G$54)</f>
        <v/>
      </c>
      <c r="F864" s="60">
        <f>CL864&gt;Driver!$F$56</f>
        <v/>
      </c>
      <c r="G864" s="60">
        <f>AND(CB864&gt;Driver!$F$55,CB864&lt;Driver!$G$55)</f>
        <v/>
      </c>
      <c r="H864" s="60">
        <f>AND(B864:G864)</f>
        <v/>
      </c>
      <c r="I864" s="60">
        <f>COUNTIFS($H$9:$H$1273,TRUE,$BT$9:$BT$1273,BT864)</f>
        <v/>
      </c>
      <c r="J864" s="60">
        <f t="array" ref="J864">NOT(OR(($H$9:$H$1273=TRUE)*($I$9:$I$1273&gt;0)*($BT$9:$BT$1273=BT864)*($K$9:$K$1273&gt;K864)))</f>
        <v/>
      </c>
      <c r="K864" s="108">
        <f>IFERROR(1-AVERAGE(X864:Y864),"")</f>
        <v/>
      </c>
      <c r="L864" s="108">
        <f>1-X864</f>
        <v/>
      </c>
      <c r="M864" s="108">
        <f>1-Y864</f>
        <v/>
      </c>
      <c r="N864" s="108">
        <f>1-Z864</f>
        <v/>
      </c>
      <c r="O864" s="108">
        <f>1-AA864</f>
        <v/>
      </c>
      <c r="P864" s="108">
        <f>1-AB864</f>
        <v/>
      </c>
      <c r="Q864" s="108" t="n"/>
      <c r="R864" s="108" t="n"/>
      <c r="S864" s="108">
        <f>1-AE864</f>
        <v/>
      </c>
      <c r="T864" s="108">
        <f>1-AF864</f>
        <v/>
      </c>
      <c r="U864" s="108">
        <f>1-AG864</f>
        <v/>
      </c>
      <c r="V864" s="108">
        <f>1-AH864</f>
        <v/>
      </c>
      <c r="W864" s="108">
        <f>1-AI864</f>
        <v/>
      </c>
      <c r="X864" s="108">
        <f>ABS(AJ864-AJ$1)</f>
        <v/>
      </c>
      <c r="Y864" s="108">
        <f>AVERAGE(Z864:AB864)</f>
        <v/>
      </c>
      <c r="Z864" s="108">
        <f>ABS(AL864-AL$1)</f>
        <v/>
      </c>
      <c r="AA864" s="108">
        <f>ABS(AM864-AM$1)</f>
        <v/>
      </c>
      <c r="AB864" s="108">
        <f>ABS(AN864-AN$1)</f>
        <v/>
      </c>
      <c r="AC864" s="108" t="n"/>
      <c r="AD864" s="108" t="n"/>
      <c r="AE864" s="108">
        <f>ABS(AQ$1-AQ864)</f>
        <v/>
      </c>
      <c r="AF864" s="108">
        <f>ABS(AR$1-AR864)</f>
        <v/>
      </c>
      <c r="AG864" s="108">
        <f>ABS(AS$1-AS864)</f>
        <v/>
      </c>
      <c r="AH864" s="108">
        <f>ABS(AT$1-AT864)</f>
        <v/>
      </c>
      <c r="AI864" s="108">
        <f>ABS(AU$1-AU864)</f>
        <v/>
      </c>
      <c r="AJ864" s="108">
        <f>(AV864-Driver!$K$179)/(Driver!$L$179-Driver!$K$179)</f>
        <v/>
      </c>
      <c r="AK864" s="108">
        <f>(AW864-Driver!$K$180)/(Driver!$L$180-Driver!$K$180)</f>
        <v/>
      </c>
      <c r="AL864" s="108">
        <f>(AX864-Driver!$K$181)/(Driver!$L$181-Driver!$K$181)</f>
        <v/>
      </c>
      <c r="AM864" s="108">
        <f>(AY864-Driver!$K$182)/(Driver!$L$182-Driver!$K$182)</f>
        <v/>
      </c>
      <c r="AN864" s="108">
        <f>(AZ864-Driver!$K$183)/(Driver!$L$183-Driver!$K$183)</f>
        <v/>
      </c>
      <c r="AO864" s="108" t="n"/>
      <c r="AP864" s="108" t="n"/>
      <c r="AQ864" s="108">
        <f>(BC864-Driver!$K$188)/(Driver!$L$188-Driver!$K$188)</f>
        <v/>
      </c>
      <c r="AR864" s="108">
        <f>MIN((BD864-Driver!$K$189)/(Driver!$L$189-Driver!$K$189),100%)</f>
        <v/>
      </c>
      <c r="AS864" s="108">
        <f>(BE864-Driver!$K$190)/(Driver!$L$190-Driver!$K$190)</f>
        <v/>
      </c>
      <c r="AT864" s="108">
        <f>(BF864-Driver!$K$191)/(Driver!$L$191-Driver!$K$191)</f>
        <v/>
      </c>
      <c r="AU864" s="108">
        <f>(BG864-Driver!$K$192)/(Driver!$L$192-Driver!$K$192)</f>
        <v/>
      </c>
      <c r="AV864" s="105">
        <f>IFERROR(BM864*BJ864^1/4,"")</f>
        <v/>
      </c>
      <c r="AW864" s="105">
        <f>IFERROR(SUM(AX864:AZ864),"")</f>
        <v/>
      </c>
      <c r="AX864" s="105">
        <f>IFERROR(BH864,"")</f>
        <v/>
      </c>
      <c r="AY864" s="105">
        <f>IFERROR(Driver!$K$19/Data!BH864/Data!BI864*Data!BK864*Data!BL864,"")</f>
        <v/>
      </c>
      <c r="AZ864" s="105">
        <f>IFERROR(BI864*BN864,"")</f>
        <v/>
      </c>
      <c r="BA864" s="105" t="n"/>
      <c r="BB864" s="105" t="n"/>
      <c r="BC864" s="105">
        <f>IFERROR(BI864*BN864*BK864/BJ864^(1/2),"")</f>
        <v/>
      </c>
      <c r="BD864" s="105">
        <f>IFERROR(BH864*BM864*BL864/BJ864/BK864,"")</f>
        <v/>
      </c>
      <c r="BE864" s="105">
        <f>IFERROR(MIN(BI864/BQ864/BP864/BO864/BH864,$BE$1),"")</f>
        <v/>
      </c>
      <c r="BF864" s="105">
        <f>IFERROR(BJ864*BO864*BP864/BK864,"")</f>
        <v/>
      </c>
      <c r="BG864" s="105">
        <f>IFERROR(1/BM864/BH864*BQ864,"")</f>
        <v/>
      </c>
      <c r="BH864" s="102">
        <f>MAX((CE864-Driver!$F$200)/(Driver!$G$200-Driver!$F$200)*$BI$1,1)</f>
        <v/>
      </c>
      <c r="BI864" s="102">
        <f>MAX($BI$1*(BY864-Driver!$F$201)/(Driver!$G$201-Driver!$F$201),1)</f>
        <v/>
      </c>
      <c r="BJ864" s="102">
        <f>(CB864-Driver!$F$206)/(Driver!$G$206-Driver!$F$206)*$BI$1</f>
        <v/>
      </c>
      <c r="BK864" s="102">
        <f>(CD864-Driver!$F$203)/(Driver!$G$203-Driver!$F$203)*$BI$1</f>
        <v/>
      </c>
      <c r="BL864" s="102">
        <f>MAX((CR864-Driver!$F$202)/(Driver!$G$202-Driver!$F$202)*$BI$1,1)</f>
        <v/>
      </c>
      <c r="BM864" s="102">
        <f>MAX((CH864-Driver!$F$204)/(Driver!$G$204-Driver!$F$204)*$BI$1,1)</f>
        <v/>
      </c>
      <c r="BN864" s="102">
        <f>(CI864-Driver!$F$205)/(Driver!$G$205-Driver!$F$205)*$BI$1</f>
        <v/>
      </c>
      <c r="BO864" s="102">
        <f>(CK864-Driver!$F$207)/(Driver!$G$207-Driver!$F$207)*$BI$1</f>
        <v/>
      </c>
      <c r="BP864" s="102">
        <f>(CM864-Driver!$F$208)/(Driver!$G$208-Driver!$F$208)*$BI$1</f>
        <v/>
      </c>
      <c r="BQ864" s="102">
        <f>(CL864-Driver!$F$209)/(Driver!$G$209-Driver!$F$209)*$BI$1</f>
        <v/>
      </c>
      <c r="BR864" s="40" t="inlineStr">
        <is>
          <t>21/22</t>
        </is>
      </c>
      <c r="BS864" s="10" t="inlineStr">
        <is>
          <t xml:space="preserve"> Icelantic</t>
        </is>
      </c>
      <c r="BT864" s="11" t="inlineStr">
        <is>
          <t>Riveter 95</t>
        </is>
      </c>
      <c r="BU864" s="13" t="n">
        <v>155</v>
      </c>
      <c r="BV864" s="11" t="inlineStr">
        <is>
          <t xml:space="preserve"> Women's</t>
        </is>
      </c>
      <c r="BW864" s="13" t="n">
        <v>155</v>
      </c>
      <c r="BX864" s="13" t="n">
        <v>154.2</v>
      </c>
      <c r="BY864" s="13" t="n">
        <v>98</v>
      </c>
      <c r="BZ864" s="13" t="n">
        <v>125</v>
      </c>
      <c r="CA864" s="13" t="n">
        <v>130</v>
      </c>
      <c r="CB864" s="13" t="n">
        <v>95</v>
      </c>
      <c r="CC864" s="13" t="n">
        <v>117</v>
      </c>
      <c r="CD864" s="13" t="n">
        <v>13.1</v>
      </c>
      <c r="CE864" s="13" t="n">
        <v>1500</v>
      </c>
      <c r="CF864" s="13" t="n">
        <v>1.09</v>
      </c>
      <c r="CG864" s="13" t="n">
        <v>1641</v>
      </c>
      <c r="CH864" s="13" t="n">
        <v>165</v>
      </c>
      <c r="CI864" s="13" t="n">
        <v>70</v>
      </c>
      <c r="CJ864" s="13" t="n">
        <v>56</v>
      </c>
      <c r="CK864" s="13" t="n">
        <v>322</v>
      </c>
      <c r="CL864" s="13" t="n">
        <v>18</v>
      </c>
      <c r="CM864" s="13" t="n">
        <v>239</v>
      </c>
      <c r="CN864" s="13" t="n">
        <v>0.314</v>
      </c>
      <c r="CO864" s="13" t="n">
        <v>187</v>
      </c>
      <c r="CP864" s="13" t="n">
        <v>109</v>
      </c>
      <c r="CQ864" s="13" t="n">
        <v>135</v>
      </c>
      <c r="CR864" s="13" t="n">
        <v>4</v>
      </c>
      <c r="CS864" s="13" t="n">
        <v>8.199999999999999</v>
      </c>
      <c r="CT864" s="11" t="inlineStr">
        <is>
          <t xml:space="preserve"> Resort Freeride</t>
        </is>
      </c>
      <c r="CU864" s="11" t="inlineStr">
        <is>
          <t xml:space="preserve"> Touring</t>
        </is>
      </c>
      <c r="CV864" s="13" t="n"/>
      <c r="CW864" s="13" t="n"/>
      <c r="CX864">
        <f>INDEX('Data_Price '!AG$2:AG$1266,MATCH(Data!$DN864,'Data_Price '!$AT$2:$AT$1266,0))</f>
        <v/>
      </c>
      <c r="CY864">
        <f>INDEX('Data_Price '!AH$2:AH$1266,MATCH(Data!$DN864,'Data_Price '!$AT$2:$AT$1266,0))</f>
        <v/>
      </c>
      <c r="CZ864">
        <f>INDEX('Data_Price '!AI$2:AI$1266,MATCH(Data!$DN864,'Data_Price '!$AT$2:$AT$1266,0))</f>
        <v/>
      </c>
      <c r="DA864">
        <f>INDEX('Data_Price '!AJ$2:AJ$1266,MATCH(Data!$DN864,'Data_Price '!$AT$2:$AT$1266,0))</f>
        <v/>
      </c>
      <c r="DB864">
        <f>INDEX('Data_Price '!AK$2:AK$1266,MATCH(Data!$DN864,'Data_Price '!$AT$2:$AT$1266,0))</f>
        <v/>
      </c>
      <c r="DC864">
        <f>INDEX('Data_Price '!AL$2:AL$1266,MATCH(Data!$DN864,'Data_Price '!$AT$2:$AT$1266,0))</f>
        <v/>
      </c>
      <c r="DD864">
        <f>INDEX('Data_Price '!AM$2:AM$1266,MATCH(Data!$DN864,'Data_Price '!$AT$2:$AT$1266,0))</f>
        <v/>
      </c>
      <c r="DE864">
        <f>INDEX('Data_Price '!AN$2:AN$1266,MATCH(Data!$DN864,'Data_Price '!$AT$2:$AT$1266,0))</f>
        <v/>
      </c>
      <c r="DF864">
        <f>INDEX('Data_Price '!AO$2:AO$1266,MATCH(Data!$DN864,'Data_Price '!$AT$2:$AT$1266,0))</f>
        <v/>
      </c>
      <c r="DG864">
        <f>INDEX('Data_Price '!AP$2:AP$1266,MATCH(Data!$DN864,'Data_Price '!$AT$2:$AT$1266,0))</f>
        <v/>
      </c>
      <c r="DH864">
        <f>INDEX('Data_Price '!AQ$2:AQ$1266,MATCH(Data!$DN864,'Data_Price '!$AT$2:$AT$1266,0))</f>
        <v/>
      </c>
      <c r="DI864">
        <f>INDEX('Data_Price '!AR$2:AR$1266,MATCH(Data!$DN864,'Data_Price '!$AT$2:$AT$1266,0))</f>
        <v/>
      </c>
      <c r="DJ864" s="138">
        <f>DA864</f>
        <v/>
      </c>
      <c r="DK864" s="138">
        <f>DE864</f>
        <v/>
      </c>
      <c r="DL864" s="138">
        <f>DI864</f>
        <v/>
      </c>
      <c r="DM864" s="303">
        <f>IF(LEFT(BT864,1)=" ",RIGHT(BT864,LEN(BT864)-1),BT864)</f>
        <v/>
      </c>
      <c r="DN864" s="138">
        <f>_xlfn.CONCAT(BS864,DM864,BU864,BV864)</f>
        <v/>
      </c>
      <c r="DO864" s="307" t="inlineStr">
        <is>
          <t>https://images.evo.com/imgp/250/208407/833106/clone.jpg</t>
        </is>
      </c>
    </row>
    <row r="865" ht="15.6" customHeight="1" s="184">
      <c r="B865" s="303">
        <f t="array" ref="B865">IF(OR(ISERROR(K865:P865)),FALSE,TRUE)</f>
        <v/>
      </c>
      <c r="C865" s="60">
        <f>OR(BR865=Driver!$G$50,Data!BR509=Driver!$H$50)</f>
        <v/>
      </c>
      <c r="D865" s="60">
        <f>OR(BV865=Driver!$G$51,BV865=Driver!$H$51)</f>
        <v/>
      </c>
      <c r="E865" s="60">
        <f>AND(BX865&gt;Driver!$F$54,BX865&lt;Driver!$G$54)</f>
        <v/>
      </c>
      <c r="F865" s="60">
        <f>CL865&gt;Driver!$F$56</f>
        <v/>
      </c>
      <c r="G865" s="60">
        <f>AND(CB865&gt;Driver!$F$55,CB865&lt;Driver!$G$55)</f>
        <v/>
      </c>
      <c r="H865" s="60">
        <f>AND(B865:G865)</f>
        <v/>
      </c>
      <c r="I865" s="60">
        <f>COUNTIFS($H$9:$H$1273,TRUE,$BT$9:$BT$1273,BT865)</f>
        <v/>
      </c>
      <c r="J865" s="60">
        <f t="array" ref="J865">NOT(OR(($H$9:$H$1273=TRUE)*($I$9:$I$1273&gt;0)*($BT$9:$BT$1273=BT865)*($K$9:$K$1273&gt;K865)))</f>
        <v/>
      </c>
      <c r="K865" s="108">
        <f>IFERROR(1-AVERAGE(X865:Y865),"")</f>
        <v/>
      </c>
      <c r="L865" s="108">
        <f>1-X865</f>
        <v/>
      </c>
      <c r="M865" s="108">
        <f>1-Y865</f>
        <v/>
      </c>
      <c r="N865" s="108">
        <f>1-Z865</f>
        <v/>
      </c>
      <c r="O865" s="108">
        <f>1-AA865</f>
        <v/>
      </c>
      <c r="P865" s="108">
        <f>1-AB865</f>
        <v/>
      </c>
      <c r="Q865" s="108" t="n"/>
      <c r="R865" s="108" t="n"/>
      <c r="S865" s="108">
        <f>1-AE865</f>
        <v/>
      </c>
      <c r="T865" s="108">
        <f>1-AF865</f>
        <v/>
      </c>
      <c r="U865" s="108">
        <f>1-AG865</f>
        <v/>
      </c>
      <c r="V865" s="108">
        <f>1-AH865</f>
        <v/>
      </c>
      <c r="W865" s="108">
        <f>1-AI865</f>
        <v/>
      </c>
      <c r="X865" s="108">
        <f>ABS(AJ865-AJ$1)</f>
        <v/>
      </c>
      <c r="Y865" s="108">
        <f>AVERAGE(Z865:AB865)</f>
        <v/>
      </c>
      <c r="Z865" s="108">
        <f>ABS(AL865-AL$1)</f>
        <v/>
      </c>
      <c r="AA865" s="108">
        <f>ABS(AM865-AM$1)</f>
        <v/>
      </c>
      <c r="AB865" s="108">
        <f>ABS(AN865-AN$1)</f>
        <v/>
      </c>
      <c r="AC865" s="108" t="n"/>
      <c r="AD865" s="108" t="n"/>
      <c r="AE865" s="108">
        <f>ABS(AQ$1-AQ865)</f>
        <v/>
      </c>
      <c r="AF865" s="108">
        <f>ABS(AR$1-AR865)</f>
        <v/>
      </c>
      <c r="AG865" s="108">
        <f>ABS(AS$1-AS865)</f>
        <v/>
      </c>
      <c r="AH865" s="108">
        <f>ABS(AT$1-AT865)</f>
        <v/>
      </c>
      <c r="AI865" s="108">
        <f>ABS(AU$1-AU865)</f>
        <v/>
      </c>
      <c r="AJ865" s="108">
        <f>(AV865-Driver!$K$179)/(Driver!$L$179-Driver!$K$179)</f>
        <v/>
      </c>
      <c r="AK865" s="108">
        <f>(AW865-Driver!$K$180)/(Driver!$L$180-Driver!$K$180)</f>
        <v/>
      </c>
      <c r="AL865" s="108">
        <f>(AX865-Driver!$K$181)/(Driver!$L$181-Driver!$K$181)</f>
        <v/>
      </c>
      <c r="AM865" s="108">
        <f>(AY865-Driver!$K$182)/(Driver!$L$182-Driver!$K$182)</f>
        <v/>
      </c>
      <c r="AN865" s="108">
        <f>(AZ865-Driver!$K$183)/(Driver!$L$183-Driver!$K$183)</f>
        <v/>
      </c>
      <c r="AO865" s="108" t="n"/>
      <c r="AP865" s="108" t="n"/>
      <c r="AQ865" s="108">
        <f>(BC865-Driver!$K$188)/(Driver!$L$188-Driver!$K$188)</f>
        <v/>
      </c>
      <c r="AR865" s="108">
        <f>MIN((BD865-Driver!$K$189)/(Driver!$L$189-Driver!$K$189),100%)</f>
        <v/>
      </c>
      <c r="AS865" s="108">
        <f>(BE865-Driver!$K$190)/(Driver!$L$190-Driver!$K$190)</f>
        <v/>
      </c>
      <c r="AT865" s="108">
        <f>(BF865-Driver!$K$191)/(Driver!$L$191-Driver!$K$191)</f>
        <v/>
      </c>
      <c r="AU865" s="108">
        <f>(BG865-Driver!$K$192)/(Driver!$L$192-Driver!$K$192)</f>
        <v/>
      </c>
      <c r="AV865" s="105">
        <f>IFERROR(BM865*BJ865^1/4,"")</f>
        <v/>
      </c>
      <c r="AW865" s="105">
        <f>IFERROR(SUM(AX865:AZ865),"")</f>
        <v/>
      </c>
      <c r="AX865" s="105">
        <f>IFERROR(BH865,"")</f>
        <v/>
      </c>
      <c r="AY865" s="105">
        <f>IFERROR(Driver!$K$19/Data!BH865/Data!BI865*Data!BK865*Data!BL865,"")</f>
        <v/>
      </c>
      <c r="AZ865" s="105">
        <f>IFERROR(BI865*BN865,"")</f>
        <v/>
      </c>
      <c r="BA865" s="105" t="n"/>
      <c r="BB865" s="105" t="n"/>
      <c r="BC865" s="105">
        <f>IFERROR(BI865*BN865*BK865/BJ865^(1/2),"")</f>
        <v/>
      </c>
      <c r="BD865" s="105">
        <f>IFERROR(BH865*BM865*BL865/BJ865/BK865,"")</f>
        <v/>
      </c>
      <c r="BE865" s="105">
        <f>IFERROR(MIN(BI865/BQ865/BP865/BO865/BH865,$BE$1),"")</f>
        <v/>
      </c>
      <c r="BF865" s="105">
        <f>IFERROR(BJ865*BO865*BP865/BK865,"")</f>
        <v/>
      </c>
      <c r="BG865" s="105">
        <f>IFERROR(1/BM865/BH865*BQ865,"")</f>
        <v/>
      </c>
      <c r="BH865" s="102">
        <f>MAX((CE865-Driver!$F$200)/(Driver!$G$200-Driver!$F$200)*$BI$1,1)</f>
        <v/>
      </c>
      <c r="BI865" s="102">
        <f>MAX($BI$1*(BY865-Driver!$F$201)/(Driver!$G$201-Driver!$F$201),1)</f>
        <v/>
      </c>
      <c r="BJ865" s="102">
        <f>(CB865-Driver!$F$206)/(Driver!$G$206-Driver!$F$206)*$BI$1</f>
        <v/>
      </c>
      <c r="BK865" s="102">
        <f>(CD865-Driver!$F$203)/(Driver!$G$203-Driver!$F$203)*$BI$1</f>
        <v/>
      </c>
      <c r="BL865" s="102">
        <f>MAX((CR865-Driver!$F$202)/(Driver!$G$202-Driver!$F$202)*$BI$1,1)</f>
        <v/>
      </c>
      <c r="BM865" s="102">
        <f>MAX((CH865-Driver!$F$204)/(Driver!$G$204-Driver!$F$204)*$BI$1,1)</f>
        <v/>
      </c>
      <c r="BN865" s="102">
        <f>(CI865-Driver!$F$205)/(Driver!$G$205-Driver!$F$205)*$BI$1</f>
        <v/>
      </c>
      <c r="BO865" s="102">
        <f>(CK865-Driver!$F$207)/(Driver!$G$207-Driver!$F$207)*$BI$1</f>
        <v/>
      </c>
      <c r="BP865" s="102">
        <f>(CM865-Driver!$F$208)/(Driver!$G$208-Driver!$F$208)*$BI$1</f>
        <v/>
      </c>
      <c r="BQ865" s="102">
        <f>(CL865-Driver!$F$209)/(Driver!$G$209-Driver!$F$209)*$BI$1</f>
        <v/>
      </c>
      <c r="BR865" s="40" t="inlineStr">
        <is>
          <t>21/22</t>
        </is>
      </c>
      <c r="BS865" s="10" t="inlineStr">
        <is>
          <t xml:space="preserve"> Faction</t>
        </is>
      </c>
      <c r="BT865" s="11" t="inlineStr">
        <is>
          <t>Dictator 1.0</t>
        </is>
      </c>
      <c r="BU865" s="13" t="n">
        <v>178</v>
      </c>
      <c r="BV865" s="11" t="inlineStr">
        <is>
          <t xml:space="preserve"> Unisex</t>
        </is>
      </c>
      <c r="BW865" s="13" t="n">
        <v>178</v>
      </c>
      <c r="BX865" s="13" t="n">
        <v>176.4</v>
      </c>
      <c r="BY865" s="13" t="n">
        <v>135</v>
      </c>
      <c r="BZ865" s="13" t="n">
        <v>151</v>
      </c>
      <c r="CA865" s="13" t="n">
        <v>119</v>
      </c>
      <c r="CB865" s="13" t="n">
        <v>85</v>
      </c>
      <c r="CC865" s="13" t="n">
        <v>109</v>
      </c>
      <c r="CD865" s="13" t="n">
        <v>18.7</v>
      </c>
      <c r="CE865" s="13" t="n">
        <v>1694</v>
      </c>
      <c r="CF865" s="13" t="n">
        <v>1.01</v>
      </c>
      <c r="CG865" s="13" t="n">
        <v>1703</v>
      </c>
      <c r="CH865" s="13" t="n">
        <v>243</v>
      </c>
      <c r="CI865" s="13" t="n">
        <v>143</v>
      </c>
      <c r="CJ865" s="13" t="n">
        <v>51</v>
      </c>
      <c r="CK865" s="13" t="n">
        <v>247</v>
      </c>
      <c r="CL865" s="13" t="n">
        <v>20</v>
      </c>
      <c r="CM865" s="13" t="n">
        <v>166</v>
      </c>
      <c r="CN865" s="13" t="n">
        <v>0.39</v>
      </c>
      <c r="CO865" s="13" t="n">
        <v>155</v>
      </c>
      <c r="CP865" s="13" t="n">
        <v>97</v>
      </c>
      <c r="CQ865" s="13" t="n">
        <v>91</v>
      </c>
      <c r="CR865" s="13" t="n">
        <v>8</v>
      </c>
      <c r="CS865" s="13" t="n">
        <v>9.5</v>
      </c>
      <c r="CT865" s="11" t="inlineStr">
        <is>
          <t xml:space="preserve"> On-Piste All-Mountain</t>
        </is>
      </c>
      <c r="CU865" s="11" t="inlineStr">
        <is>
          <t xml:space="preserve"> Resort Freeride</t>
        </is>
      </c>
      <c r="CV865" s="13" t="n"/>
      <c r="CW865" s="13" t="n"/>
      <c r="CX865">
        <f>INDEX('Data_Price '!AG$2:AG$1266,MATCH(Data!$DN865,'Data_Price '!$AT$2:$AT$1266,0))</f>
        <v/>
      </c>
      <c r="CY865">
        <f>INDEX('Data_Price '!AH$2:AH$1266,MATCH(Data!$DN865,'Data_Price '!$AT$2:$AT$1266,0))</f>
        <v/>
      </c>
      <c r="CZ865">
        <f>INDEX('Data_Price '!AI$2:AI$1266,MATCH(Data!$DN865,'Data_Price '!$AT$2:$AT$1266,0))</f>
        <v/>
      </c>
      <c r="DA865">
        <f>INDEX('Data_Price '!AJ$2:AJ$1266,MATCH(Data!$DN865,'Data_Price '!$AT$2:$AT$1266,0))</f>
        <v/>
      </c>
      <c r="DB865">
        <f>INDEX('Data_Price '!AK$2:AK$1266,MATCH(Data!$DN865,'Data_Price '!$AT$2:$AT$1266,0))</f>
        <v/>
      </c>
      <c r="DC865">
        <f>INDEX('Data_Price '!AL$2:AL$1266,MATCH(Data!$DN865,'Data_Price '!$AT$2:$AT$1266,0))</f>
        <v/>
      </c>
      <c r="DD865">
        <f>INDEX('Data_Price '!AM$2:AM$1266,MATCH(Data!$DN865,'Data_Price '!$AT$2:$AT$1266,0))</f>
        <v/>
      </c>
      <c r="DE865">
        <f>INDEX('Data_Price '!AN$2:AN$1266,MATCH(Data!$DN865,'Data_Price '!$AT$2:$AT$1266,0))</f>
        <v/>
      </c>
      <c r="DF865">
        <f>INDEX('Data_Price '!AO$2:AO$1266,MATCH(Data!$DN865,'Data_Price '!$AT$2:$AT$1266,0))</f>
        <v/>
      </c>
      <c r="DG865">
        <f>INDEX('Data_Price '!AP$2:AP$1266,MATCH(Data!$DN865,'Data_Price '!$AT$2:$AT$1266,0))</f>
        <v/>
      </c>
      <c r="DH865">
        <f>INDEX('Data_Price '!AQ$2:AQ$1266,MATCH(Data!$DN865,'Data_Price '!$AT$2:$AT$1266,0))</f>
        <v/>
      </c>
      <c r="DI865">
        <f>INDEX('Data_Price '!AR$2:AR$1266,MATCH(Data!$DN865,'Data_Price '!$AT$2:$AT$1266,0))</f>
        <v/>
      </c>
      <c r="DJ865" s="138">
        <f>DA865</f>
        <v/>
      </c>
      <c r="DK865" s="138">
        <f>DE865</f>
        <v/>
      </c>
      <c r="DL865" s="138">
        <f>DI865</f>
        <v/>
      </c>
      <c r="DM865" s="303">
        <f>IF(LEFT(BT865,1)=" ",RIGHT(BT865,LEN(BT865)-1),BT865)</f>
        <v/>
      </c>
      <c r="DN865" s="138">
        <f>_xlfn.CONCAT(BS865,DM865,BU865,BV865)</f>
        <v/>
      </c>
      <c r="DO865" s="307" t="n"/>
    </row>
    <row r="866" ht="15.6" customHeight="1" s="184">
      <c r="B866" s="303">
        <f t="array" ref="B866">IF(OR(ISERROR(K866:P866)),FALSE,TRUE)</f>
        <v/>
      </c>
      <c r="C866" s="60">
        <f>OR(BR866=Driver!$G$50,Data!BR297=Driver!$H$50)</f>
        <v/>
      </c>
      <c r="D866" s="60">
        <f>OR(BV866=Driver!$G$51,BV866=Driver!$H$51)</f>
        <v/>
      </c>
      <c r="E866" s="60">
        <f>AND(BX866&gt;Driver!$F$54,BX866&lt;Driver!$G$54)</f>
        <v/>
      </c>
      <c r="F866" s="60">
        <f>CL866&gt;Driver!$F$56</f>
        <v/>
      </c>
      <c r="G866" s="60">
        <f>AND(CB866&gt;Driver!$F$55,CB866&lt;Driver!$G$55)</f>
        <v/>
      </c>
      <c r="H866" s="60">
        <f>AND(B866:G866)</f>
        <v/>
      </c>
      <c r="I866" s="60">
        <f>COUNTIFS($H$9:$H$1273,TRUE,$BT$9:$BT$1273,BT866)</f>
        <v/>
      </c>
      <c r="J866" s="60">
        <f t="array" ref="J866">NOT(OR(($H$9:$H$1273=TRUE)*($I$9:$I$1273&gt;0)*($BT$9:$BT$1273=BT866)*($K$9:$K$1273&gt;K866)))</f>
        <v/>
      </c>
      <c r="K866" s="108">
        <f>IFERROR(1-AVERAGE(X866:Y866),"")</f>
        <v/>
      </c>
      <c r="L866" s="108">
        <f>1-X866</f>
        <v/>
      </c>
      <c r="M866" s="108">
        <f>1-Y866</f>
        <v/>
      </c>
      <c r="N866" s="108">
        <f>1-Z866</f>
        <v/>
      </c>
      <c r="O866" s="108">
        <f>1-AA866</f>
        <v/>
      </c>
      <c r="P866" s="108">
        <f>1-AB866</f>
        <v/>
      </c>
      <c r="Q866" s="108" t="n"/>
      <c r="R866" s="108" t="n"/>
      <c r="S866" s="108">
        <f>1-AE866</f>
        <v/>
      </c>
      <c r="T866" s="108">
        <f>1-AF866</f>
        <v/>
      </c>
      <c r="U866" s="108">
        <f>1-AG866</f>
        <v/>
      </c>
      <c r="V866" s="108">
        <f>1-AH866</f>
        <v/>
      </c>
      <c r="W866" s="108">
        <f>1-AI866</f>
        <v/>
      </c>
      <c r="X866" s="108">
        <f>ABS(AJ866-AJ$1)</f>
        <v/>
      </c>
      <c r="Y866" s="108">
        <f>AVERAGE(Z866:AB866)</f>
        <v/>
      </c>
      <c r="Z866" s="108">
        <f>ABS(AL866-AL$1)</f>
        <v/>
      </c>
      <c r="AA866" s="108">
        <f>ABS(AM866-AM$1)</f>
        <v/>
      </c>
      <c r="AB866" s="108">
        <f>ABS(AN866-AN$1)</f>
        <v/>
      </c>
      <c r="AC866" s="108" t="n"/>
      <c r="AD866" s="108" t="n"/>
      <c r="AE866" s="108">
        <f>ABS(AQ$1-AQ866)</f>
        <v/>
      </c>
      <c r="AF866" s="108">
        <f>ABS(AR$1-AR866)</f>
        <v/>
      </c>
      <c r="AG866" s="108">
        <f>ABS(AS$1-AS866)</f>
        <v/>
      </c>
      <c r="AH866" s="108">
        <f>ABS(AT$1-AT866)</f>
        <v/>
      </c>
      <c r="AI866" s="108">
        <f>ABS(AU$1-AU866)</f>
        <v/>
      </c>
      <c r="AJ866" s="108">
        <f>(AV866-Driver!$K$179)/(Driver!$L$179-Driver!$K$179)</f>
        <v/>
      </c>
      <c r="AK866" s="108">
        <f>(AW866-Driver!$K$180)/(Driver!$L$180-Driver!$K$180)</f>
        <v/>
      </c>
      <c r="AL866" s="108">
        <f>(AX866-Driver!$K$181)/(Driver!$L$181-Driver!$K$181)</f>
        <v/>
      </c>
      <c r="AM866" s="108">
        <f>(AY866-Driver!$K$182)/(Driver!$L$182-Driver!$K$182)</f>
        <v/>
      </c>
      <c r="AN866" s="108">
        <f>(AZ866-Driver!$K$183)/(Driver!$L$183-Driver!$K$183)</f>
        <v/>
      </c>
      <c r="AO866" s="108" t="n"/>
      <c r="AP866" s="108" t="n"/>
      <c r="AQ866" s="108">
        <f>(BC866-Driver!$K$188)/(Driver!$L$188-Driver!$K$188)</f>
        <v/>
      </c>
      <c r="AR866" s="108">
        <f>MIN((BD866-Driver!$K$189)/(Driver!$L$189-Driver!$K$189),100%)</f>
        <v/>
      </c>
      <c r="AS866" s="108">
        <f>(BE866-Driver!$K$190)/(Driver!$L$190-Driver!$K$190)</f>
        <v/>
      </c>
      <c r="AT866" s="108">
        <f>(BF866-Driver!$K$191)/(Driver!$L$191-Driver!$K$191)</f>
        <v/>
      </c>
      <c r="AU866" s="108">
        <f>(BG866-Driver!$K$192)/(Driver!$L$192-Driver!$K$192)</f>
        <v/>
      </c>
      <c r="AV866" s="105">
        <f>IFERROR(BM866*BJ866^1/4,"")</f>
        <v/>
      </c>
      <c r="AW866" s="105">
        <f>IFERROR(SUM(AX866:AZ866),"")</f>
        <v/>
      </c>
      <c r="AX866" s="105">
        <f>IFERROR(BH866,"")</f>
        <v/>
      </c>
      <c r="AY866" s="105">
        <f>IFERROR(Driver!$K$19/Data!BH866/Data!BI866*Data!BK866*Data!BL866,"")</f>
        <v/>
      </c>
      <c r="AZ866" s="105">
        <f>IFERROR(BI866*BN866,"")</f>
        <v/>
      </c>
      <c r="BA866" s="105" t="n"/>
      <c r="BB866" s="105" t="n"/>
      <c r="BC866" s="105">
        <f>IFERROR(BI866*BN866*BK866/BJ866^(1/2),"")</f>
        <v/>
      </c>
      <c r="BD866" s="105">
        <f>IFERROR(BH866*BM866*BL866/BJ866/BK866,"")</f>
        <v/>
      </c>
      <c r="BE866" s="105">
        <f>IFERROR(MIN(BI866/BQ866/BP866/BO866/BH866,$BE$1),"")</f>
        <v/>
      </c>
      <c r="BF866" s="105">
        <f>IFERROR(BJ866*BO866*BP866/BK866,"")</f>
        <v/>
      </c>
      <c r="BG866" s="105">
        <f>IFERROR(1/BM866/BH866*BQ866,"")</f>
        <v/>
      </c>
      <c r="BH866" s="102">
        <f>MAX((CE866-Driver!$F$200)/(Driver!$G$200-Driver!$F$200)*$BI$1,1)</f>
        <v/>
      </c>
      <c r="BI866" s="102">
        <f>MAX($BI$1*(BY866-Driver!$F$201)/(Driver!$G$201-Driver!$F$201),1)</f>
        <v/>
      </c>
      <c r="BJ866" s="102">
        <f>(CB866-Driver!$F$206)/(Driver!$G$206-Driver!$F$206)*$BI$1</f>
        <v/>
      </c>
      <c r="BK866" s="102">
        <f>(CD866-Driver!$F$203)/(Driver!$G$203-Driver!$F$203)*$BI$1</f>
        <v/>
      </c>
      <c r="BL866" s="102">
        <f>MAX((CR866-Driver!$F$202)/(Driver!$G$202-Driver!$F$202)*$BI$1,1)</f>
        <v/>
      </c>
      <c r="BM866" s="102">
        <f>MAX((CH866-Driver!$F$204)/(Driver!$G$204-Driver!$F$204)*$BI$1,1)</f>
        <v/>
      </c>
      <c r="BN866" s="102">
        <f>(CI866-Driver!$F$205)/(Driver!$G$205-Driver!$F$205)*$BI$1</f>
        <v/>
      </c>
      <c r="BO866" s="102">
        <f>(CK866-Driver!$F$207)/(Driver!$G$207-Driver!$F$207)*$BI$1</f>
        <v/>
      </c>
      <c r="BP866" s="102">
        <f>(CM866-Driver!$F$208)/(Driver!$G$208-Driver!$F$208)*$BI$1</f>
        <v/>
      </c>
      <c r="BQ866" s="102">
        <f>(CL866-Driver!$F$209)/(Driver!$G$209-Driver!$F$209)*$BI$1</f>
        <v/>
      </c>
      <c r="BR866" s="40" t="inlineStr">
        <is>
          <t>21/22</t>
        </is>
      </c>
      <c r="BS866" s="10" t="inlineStr">
        <is>
          <t xml:space="preserve"> Blizzard</t>
        </is>
      </c>
      <c r="BT866" s="11" t="inlineStr">
        <is>
          <t>Sheeva 10</t>
        </is>
      </c>
      <c r="BU866" s="13" t="n">
        <v>156</v>
      </c>
      <c r="BV866" s="11" t="inlineStr">
        <is>
          <t xml:space="preserve"> Women's</t>
        </is>
      </c>
      <c r="BW866" s="13" t="n">
        <v>156</v>
      </c>
      <c r="BX866" s="13" t="n">
        <v>154.5</v>
      </c>
      <c r="BY866" s="13" t="n">
        <v>90</v>
      </c>
      <c r="BZ866" s="13" t="n">
        <v>126</v>
      </c>
      <c r="CA866" s="13" t="n">
        <v>131</v>
      </c>
      <c r="CB866" s="13" t="n">
        <v>101</v>
      </c>
      <c r="CC866" s="13" t="n">
        <v>120</v>
      </c>
      <c r="CD866" s="13" t="n">
        <v>14</v>
      </c>
      <c r="CE866" s="13" t="n">
        <v>1708</v>
      </c>
      <c r="CF866" s="13" t="n">
        <v>1.01</v>
      </c>
      <c r="CG866" s="13" t="n">
        <v>1721</v>
      </c>
      <c r="CH866" s="13" t="n">
        <v>134</v>
      </c>
      <c r="CI866" s="13" t="n">
        <v>72</v>
      </c>
      <c r="CJ866" s="13" t="n">
        <v>68</v>
      </c>
      <c r="CK866" s="13" t="n">
        <v>361</v>
      </c>
      <c r="CL866" s="13" t="n">
        <v>39</v>
      </c>
      <c r="CM866" s="13" t="n">
        <v>285</v>
      </c>
      <c r="CN866" s="13" t="n">
        <v>0.5669999999999999</v>
      </c>
      <c r="CO866" s="13" t="n">
        <v>157</v>
      </c>
      <c r="CP866" s="13" t="n">
        <v>130</v>
      </c>
      <c r="CQ866" s="13" t="n">
        <v>204</v>
      </c>
      <c r="CR866" s="13" t="n">
        <v>3</v>
      </c>
      <c r="CS866" s="13" t="n">
        <v>7.2</v>
      </c>
      <c r="CT866" s="11" t="inlineStr">
        <is>
          <t xml:space="preserve"> Resort Freeride</t>
        </is>
      </c>
      <c r="CU866" s="11" t="inlineStr">
        <is>
          <t xml:space="preserve"> Powder</t>
        </is>
      </c>
      <c r="CV866" s="13" t="n"/>
      <c r="CW866" s="13" t="n"/>
      <c r="CX866">
        <f>INDEX('Data_Price '!AG$2:AG$1266,MATCH(Data!$DN866,'Data_Price '!$AT$2:$AT$1266,0))</f>
        <v/>
      </c>
      <c r="CY866">
        <f>INDEX('Data_Price '!AH$2:AH$1266,MATCH(Data!$DN866,'Data_Price '!$AT$2:$AT$1266,0))</f>
        <v/>
      </c>
      <c r="CZ866">
        <f>INDEX('Data_Price '!AI$2:AI$1266,MATCH(Data!$DN866,'Data_Price '!$AT$2:$AT$1266,0))</f>
        <v/>
      </c>
      <c r="DA866">
        <f>INDEX('Data_Price '!AJ$2:AJ$1266,MATCH(Data!$DN866,'Data_Price '!$AT$2:$AT$1266,0))</f>
        <v/>
      </c>
      <c r="DB866">
        <f>INDEX('Data_Price '!AK$2:AK$1266,MATCH(Data!$DN866,'Data_Price '!$AT$2:$AT$1266,0))</f>
        <v/>
      </c>
      <c r="DC866">
        <f>INDEX('Data_Price '!AL$2:AL$1266,MATCH(Data!$DN866,'Data_Price '!$AT$2:$AT$1266,0))</f>
        <v/>
      </c>
      <c r="DD866">
        <f>INDEX('Data_Price '!AM$2:AM$1266,MATCH(Data!$DN866,'Data_Price '!$AT$2:$AT$1266,0))</f>
        <v/>
      </c>
      <c r="DE866">
        <f>INDEX('Data_Price '!AN$2:AN$1266,MATCH(Data!$DN866,'Data_Price '!$AT$2:$AT$1266,0))</f>
        <v/>
      </c>
      <c r="DF866">
        <f>INDEX('Data_Price '!AO$2:AO$1266,MATCH(Data!$DN866,'Data_Price '!$AT$2:$AT$1266,0))</f>
        <v/>
      </c>
      <c r="DG866">
        <f>INDEX('Data_Price '!AP$2:AP$1266,MATCH(Data!$DN866,'Data_Price '!$AT$2:$AT$1266,0))</f>
        <v/>
      </c>
      <c r="DH866">
        <f>INDEX('Data_Price '!AQ$2:AQ$1266,MATCH(Data!$DN866,'Data_Price '!$AT$2:$AT$1266,0))</f>
        <v/>
      </c>
      <c r="DI866">
        <f>INDEX('Data_Price '!AR$2:AR$1266,MATCH(Data!$DN866,'Data_Price '!$AT$2:$AT$1266,0))</f>
        <v/>
      </c>
      <c r="DJ866" s="138">
        <f>DA866</f>
        <v/>
      </c>
      <c r="DK866" s="138">
        <f>DE866</f>
        <v/>
      </c>
      <c r="DL866" s="138">
        <f>DI866</f>
        <v/>
      </c>
      <c r="DM866" s="303">
        <f>IF(LEFT(BT866,1)=" ",RIGHT(BT866,LEN(BT866)-1),BT866)</f>
        <v/>
      </c>
      <c r="DN866" s="138">
        <f>_xlfn.CONCAT(BS866,DM866,BU866,BV866)</f>
        <v/>
      </c>
      <c r="DO866" s="307" t="inlineStr">
        <is>
          <t>https://images.evo.com/imgp/250/176891/722699/blizzard-sheeva-10-skis-women-s-2022-.jpg</t>
        </is>
      </c>
    </row>
    <row r="867" ht="15.6" customHeight="1" s="184">
      <c r="B867" s="303">
        <f t="array" ref="B867">IF(OR(ISERROR(K867:P867)),FALSE,TRUE)</f>
        <v/>
      </c>
      <c r="C867" s="60">
        <f>OR(BR867=Driver!$G$50,Data!BR160=Driver!$H$50)</f>
        <v/>
      </c>
      <c r="D867" s="60">
        <f>OR(BV867=Driver!$G$51,BV867=Driver!$H$51)</f>
        <v/>
      </c>
      <c r="E867" s="60">
        <f>AND(BX867&gt;Driver!$F$54,BX867&lt;Driver!$G$54)</f>
        <v/>
      </c>
      <c r="F867" s="60">
        <f>CL867&gt;Driver!$F$56</f>
        <v/>
      </c>
      <c r="G867" s="60">
        <f>AND(CB867&gt;Driver!$F$55,CB867&lt;Driver!$G$55)</f>
        <v/>
      </c>
      <c r="H867" s="60">
        <f>AND(B867:G867)</f>
        <v/>
      </c>
      <c r="I867" s="60">
        <f>COUNTIFS($H$9:$H$1273,TRUE,$BT$9:$BT$1273,BT867)</f>
        <v/>
      </c>
      <c r="J867" s="60">
        <f t="array" ref="J867">NOT(OR(($H$9:$H$1273=TRUE)*($I$9:$I$1273&gt;0)*($BT$9:$BT$1273=BT867)*($K$9:$K$1273&gt;K867)))</f>
        <v/>
      </c>
      <c r="K867" s="108">
        <f>IFERROR(1-AVERAGE(X867:Y867),"")</f>
        <v/>
      </c>
      <c r="L867" s="108">
        <f>1-X867</f>
        <v/>
      </c>
      <c r="M867" s="108">
        <f>1-Y867</f>
        <v/>
      </c>
      <c r="N867" s="108">
        <f>1-Z867</f>
        <v/>
      </c>
      <c r="O867" s="108">
        <f>1-AA867</f>
        <v/>
      </c>
      <c r="P867" s="108">
        <f>1-AB867</f>
        <v/>
      </c>
      <c r="Q867" s="108" t="n"/>
      <c r="R867" s="108" t="n"/>
      <c r="S867" s="108">
        <f>1-AE867</f>
        <v/>
      </c>
      <c r="T867" s="108">
        <f>1-AF867</f>
        <v/>
      </c>
      <c r="U867" s="108">
        <f>1-AG867</f>
        <v/>
      </c>
      <c r="V867" s="108">
        <f>1-AH867</f>
        <v/>
      </c>
      <c r="W867" s="108">
        <f>1-AI867</f>
        <v/>
      </c>
      <c r="X867" s="108">
        <f>ABS(AJ867-AJ$1)</f>
        <v/>
      </c>
      <c r="Y867" s="108">
        <f>AVERAGE(Z867:AB867)</f>
        <v/>
      </c>
      <c r="Z867" s="108">
        <f>ABS(AL867-AL$1)</f>
        <v/>
      </c>
      <c r="AA867" s="108">
        <f>ABS(AM867-AM$1)</f>
        <v/>
      </c>
      <c r="AB867" s="108">
        <f>ABS(AN867-AN$1)</f>
        <v/>
      </c>
      <c r="AC867" s="108" t="n"/>
      <c r="AD867" s="108" t="n"/>
      <c r="AE867" s="108">
        <f>ABS(AQ$1-AQ867)</f>
        <v/>
      </c>
      <c r="AF867" s="108">
        <f>ABS(AR$1-AR867)</f>
        <v/>
      </c>
      <c r="AG867" s="108">
        <f>ABS(AS$1-AS867)</f>
        <v/>
      </c>
      <c r="AH867" s="108">
        <f>ABS(AT$1-AT867)</f>
        <v/>
      </c>
      <c r="AI867" s="108">
        <f>ABS(AU$1-AU867)</f>
        <v/>
      </c>
      <c r="AJ867" s="108">
        <f>(AV867-Driver!$K$179)/(Driver!$L$179-Driver!$K$179)</f>
        <v/>
      </c>
      <c r="AK867" s="108">
        <f>(AW867-Driver!$K$180)/(Driver!$L$180-Driver!$K$180)</f>
        <v/>
      </c>
      <c r="AL867" s="108">
        <f>(AX867-Driver!$K$181)/(Driver!$L$181-Driver!$K$181)</f>
        <v/>
      </c>
      <c r="AM867" s="108">
        <f>(AY867-Driver!$K$182)/(Driver!$L$182-Driver!$K$182)</f>
        <v/>
      </c>
      <c r="AN867" s="108">
        <f>(AZ867-Driver!$K$183)/(Driver!$L$183-Driver!$K$183)</f>
        <v/>
      </c>
      <c r="AO867" s="108" t="n"/>
      <c r="AP867" s="108" t="n"/>
      <c r="AQ867" s="108">
        <f>(BC867-Driver!$K$188)/(Driver!$L$188-Driver!$K$188)</f>
        <v/>
      </c>
      <c r="AR867" s="108">
        <f>MIN((BD867-Driver!$K$189)/(Driver!$L$189-Driver!$K$189),100%)</f>
        <v/>
      </c>
      <c r="AS867" s="108">
        <f>(BE867-Driver!$K$190)/(Driver!$L$190-Driver!$K$190)</f>
        <v/>
      </c>
      <c r="AT867" s="108">
        <f>(BF867-Driver!$K$191)/(Driver!$L$191-Driver!$K$191)</f>
        <v/>
      </c>
      <c r="AU867" s="108">
        <f>(BG867-Driver!$K$192)/(Driver!$L$192-Driver!$K$192)</f>
        <v/>
      </c>
      <c r="AV867" s="105">
        <f>IFERROR(BM867*BJ867^1/4,"")</f>
        <v/>
      </c>
      <c r="AW867" s="105">
        <f>IFERROR(SUM(AX867:AZ867),"")</f>
        <v/>
      </c>
      <c r="AX867" s="105">
        <f>IFERROR(BH867,"")</f>
        <v/>
      </c>
      <c r="AY867" s="105">
        <f>IFERROR(Driver!$K$19/Data!BH867/Data!BI867*Data!BK867*Data!BL867,"")</f>
        <v/>
      </c>
      <c r="AZ867" s="105">
        <f>IFERROR(BI867*BN867,"")</f>
        <v/>
      </c>
      <c r="BA867" s="105" t="n"/>
      <c r="BB867" s="105" t="n"/>
      <c r="BC867" s="105">
        <f>IFERROR(BI867*BN867*BK867/BJ867^(1/2),"")</f>
        <v/>
      </c>
      <c r="BD867" s="105">
        <f>IFERROR(BH867*BM867*BL867/BJ867/BK867,"")</f>
        <v/>
      </c>
      <c r="BE867" s="105">
        <f>IFERROR(MIN(BI867/BQ867/BP867/BO867/BH867,$BE$1),"")</f>
        <v/>
      </c>
      <c r="BF867" s="105">
        <f>IFERROR(BJ867*BO867*BP867/BK867,"")</f>
        <v/>
      </c>
      <c r="BG867" s="105">
        <f>IFERROR(1/BM867/BH867*BQ867,"")</f>
        <v/>
      </c>
      <c r="BH867" s="102">
        <f>MAX((CE867-Driver!$F$200)/(Driver!$G$200-Driver!$F$200)*$BI$1,1)</f>
        <v/>
      </c>
      <c r="BI867" s="102">
        <f>MAX($BI$1*(BY867-Driver!$F$201)/(Driver!$G$201-Driver!$F$201),1)</f>
        <v/>
      </c>
      <c r="BJ867" s="102">
        <f>(CB867-Driver!$F$206)/(Driver!$G$206-Driver!$F$206)*$BI$1</f>
        <v/>
      </c>
      <c r="BK867" s="102">
        <f>(CD867-Driver!$F$203)/(Driver!$G$203-Driver!$F$203)*$BI$1</f>
        <v/>
      </c>
      <c r="BL867" s="102">
        <f>MAX((CR867-Driver!$F$202)/(Driver!$G$202-Driver!$F$202)*$BI$1,1)</f>
        <v/>
      </c>
      <c r="BM867" s="102">
        <f>MAX((CH867-Driver!$F$204)/(Driver!$G$204-Driver!$F$204)*$BI$1,1)</f>
        <v/>
      </c>
      <c r="BN867" s="102">
        <f>(CI867-Driver!$F$205)/(Driver!$G$205-Driver!$F$205)*$BI$1</f>
        <v/>
      </c>
      <c r="BO867" s="102">
        <f>(CK867-Driver!$F$207)/(Driver!$G$207-Driver!$F$207)*$BI$1</f>
        <v/>
      </c>
      <c r="BP867" s="102">
        <f>(CM867-Driver!$F$208)/(Driver!$G$208-Driver!$F$208)*$BI$1</f>
        <v/>
      </c>
      <c r="BQ867" s="102">
        <f>(CL867-Driver!$F$209)/(Driver!$G$209-Driver!$F$209)*$BI$1</f>
        <v/>
      </c>
      <c r="BR867" s="40" t="inlineStr">
        <is>
          <t>21/22</t>
        </is>
      </c>
      <c r="BS867" s="10" t="inlineStr">
        <is>
          <t xml:space="preserve"> Atomic</t>
        </is>
      </c>
      <c r="BT867" s="11" t="inlineStr">
        <is>
          <t>Maverick 83</t>
        </is>
      </c>
      <c r="BU867" s="13" t="n">
        <v>165</v>
      </c>
      <c r="BV867" s="11" t="inlineStr">
        <is>
          <t xml:space="preserve"> Unisex</t>
        </is>
      </c>
      <c r="BW867" s="13" t="n">
        <v>165</v>
      </c>
      <c r="BX867" s="13" t="n">
        <v>163.8</v>
      </c>
      <c r="BY867" s="13" t="n">
        <v>132</v>
      </c>
      <c r="BZ867" s="13" t="n">
        <v>142</v>
      </c>
      <c r="CA867" s="13" t="n">
        <v>121</v>
      </c>
      <c r="CB867" s="13" t="n">
        <v>81</v>
      </c>
      <c r="CC867" s="13" t="n">
        <v>105</v>
      </c>
      <c r="CD867" s="13" t="n">
        <v>14.9</v>
      </c>
      <c r="CE867" s="13" t="n">
        <v>1825</v>
      </c>
      <c r="CF867" s="13" t="n">
        <v>0.84</v>
      </c>
      <c r="CG867" s="13" t="n">
        <v>1542</v>
      </c>
      <c r="CH867" s="13" t="n">
        <v>165</v>
      </c>
      <c r="CI867" s="13" t="n">
        <v>71</v>
      </c>
      <c r="CJ867" s="13" t="n">
        <v>44</v>
      </c>
      <c r="CK867" s="13" t="n">
        <v>196</v>
      </c>
      <c r="CL867" s="13" t="n">
        <v>23</v>
      </c>
      <c r="CM867" s="13" t="n">
        <v>118</v>
      </c>
      <c r="CN867" s="13" t="n">
        <v>0.517</v>
      </c>
      <c r="CO867" s="13" t="n">
        <v>124</v>
      </c>
      <c r="CP867" s="13" t="n">
        <v>90</v>
      </c>
      <c r="CQ867" s="13" t="n">
        <v>73</v>
      </c>
      <c r="CR867" s="13" t="n">
        <v>8</v>
      </c>
      <c r="CS867" s="13" t="n">
        <v>8.1</v>
      </c>
      <c r="CT867" s="11" t="inlineStr">
        <is>
          <t xml:space="preserve"> Resort Freeride</t>
        </is>
      </c>
      <c r="CU867" s="13" t="n"/>
      <c r="CV867" s="13" t="n"/>
      <c r="CW867" s="13" t="n"/>
      <c r="CX867">
        <f>INDEX('Data_Price '!AG$2:AG$1266,MATCH(Data!$DN867,'Data_Price '!$AT$2:$AT$1266,0))</f>
        <v/>
      </c>
      <c r="CY867">
        <f>INDEX('Data_Price '!AH$2:AH$1266,MATCH(Data!$DN867,'Data_Price '!$AT$2:$AT$1266,0))</f>
        <v/>
      </c>
      <c r="CZ867">
        <f>INDEX('Data_Price '!AI$2:AI$1266,MATCH(Data!$DN867,'Data_Price '!$AT$2:$AT$1266,0))</f>
        <v/>
      </c>
      <c r="DA867">
        <f>INDEX('Data_Price '!AJ$2:AJ$1266,MATCH(Data!$DN867,'Data_Price '!$AT$2:$AT$1266,0))</f>
        <v/>
      </c>
      <c r="DB867">
        <f>INDEX('Data_Price '!AK$2:AK$1266,MATCH(Data!$DN867,'Data_Price '!$AT$2:$AT$1266,0))</f>
        <v/>
      </c>
      <c r="DC867">
        <f>INDEX('Data_Price '!AL$2:AL$1266,MATCH(Data!$DN867,'Data_Price '!$AT$2:$AT$1266,0))</f>
        <v/>
      </c>
      <c r="DD867">
        <f>INDEX('Data_Price '!AM$2:AM$1266,MATCH(Data!$DN867,'Data_Price '!$AT$2:$AT$1266,0))</f>
        <v/>
      </c>
      <c r="DE867">
        <f>INDEX('Data_Price '!AN$2:AN$1266,MATCH(Data!$DN867,'Data_Price '!$AT$2:$AT$1266,0))</f>
        <v/>
      </c>
      <c r="DF867">
        <f>INDEX('Data_Price '!AO$2:AO$1266,MATCH(Data!$DN867,'Data_Price '!$AT$2:$AT$1266,0))</f>
        <v/>
      </c>
      <c r="DG867">
        <f>INDEX('Data_Price '!AP$2:AP$1266,MATCH(Data!$DN867,'Data_Price '!$AT$2:$AT$1266,0))</f>
        <v/>
      </c>
      <c r="DH867">
        <f>INDEX('Data_Price '!AQ$2:AQ$1266,MATCH(Data!$DN867,'Data_Price '!$AT$2:$AT$1266,0))</f>
        <v/>
      </c>
      <c r="DI867">
        <f>INDEX('Data_Price '!AR$2:AR$1266,MATCH(Data!$DN867,'Data_Price '!$AT$2:$AT$1266,0))</f>
        <v/>
      </c>
      <c r="DJ867" s="138">
        <f>DA867</f>
        <v/>
      </c>
      <c r="DK867" s="138">
        <f>DE867</f>
        <v/>
      </c>
      <c r="DL867" s="138">
        <f>DI867</f>
        <v/>
      </c>
      <c r="DM867" s="303">
        <f>IF(LEFT(BT867,1)=" ",RIGHT(BT867,LEN(BT867)-1),BT867)</f>
        <v/>
      </c>
      <c r="DN867" s="138">
        <f>_xlfn.CONCAT(BS867,DM867,BU867,BV867)</f>
        <v/>
      </c>
      <c r="DO867" s="307" t="inlineStr">
        <is>
          <t>https://images.evo.com/imgp/250/197826/826871/atomic-maverick-83-skis-m10-gw-bindings-2022-.jpg</t>
        </is>
      </c>
    </row>
    <row r="868" ht="15.6" customHeight="1" s="184">
      <c r="B868" s="303">
        <f t="array" ref="B868">IF(OR(ISERROR(K868:P868)),FALSE,TRUE)</f>
        <v/>
      </c>
      <c r="C868" s="60">
        <f>OR(BR868=Driver!$G$50,Data!BR1184=Driver!$H$50)</f>
        <v/>
      </c>
      <c r="D868" s="60">
        <f>OR(BV868=Driver!$G$51,BV868=Driver!$H$51)</f>
        <v/>
      </c>
      <c r="E868" s="60">
        <f>AND(BX868&gt;Driver!$F$54,BX868&lt;Driver!$G$54)</f>
        <v/>
      </c>
      <c r="F868" s="60">
        <f>CL868&gt;Driver!$F$56</f>
        <v/>
      </c>
      <c r="G868" s="60">
        <f>AND(CB868&gt;Driver!$F$55,CB868&lt;Driver!$G$55)</f>
        <v/>
      </c>
      <c r="H868" s="60">
        <f>AND(B868:G868)</f>
        <v/>
      </c>
      <c r="I868" s="60">
        <f>COUNTIFS($H$9:$H$1273,TRUE,$BT$9:$BT$1273,BT868)</f>
        <v/>
      </c>
      <c r="J868" s="60">
        <f t="array" ref="J868">NOT(OR(($H$9:$H$1273=TRUE)*($I$9:$I$1273&gt;0)*($BT$9:$BT$1273=BT868)*($K$9:$K$1273&gt;K868)))</f>
        <v/>
      </c>
      <c r="K868" s="108">
        <f>IFERROR(1-AVERAGE(X868:Y868),"")</f>
        <v/>
      </c>
      <c r="L868" s="108">
        <f>1-X868</f>
        <v/>
      </c>
      <c r="M868" s="108">
        <f>1-Y868</f>
        <v/>
      </c>
      <c r="N868" s="108">
        <f>1-Z868</f>
        <v/>
      </c>
      <c r="O868" s="108">
        <f>1-AA868</f>
        <v/>
      </c>
      <c r="P868" s="108">
        <f>1-AB868</f>
        <v/>
      </c>
      <c r="Q868" s="108" t="n"/>
      <c r="R868" s="108" t="n"/>
      <c r="S868" s="108">
        <f>1-AE868</f>
        <v/>
      </c>
      <c r="T868" s="108">
        <f>1-AF868</f>
        <v/>
      </c>
      <c r="U868" s="108">
        <f>1-AG868</f>
        <v/>
      </c>
      <c r="V868" s="108">
        <f>1-AH868</f>
        <v/>
      </c>
      <c r="W868" s="108">
        <f>1-AI868</f>
        <v/>
      </c>
      <c r="X868" s="108">
        <f>ABS(AJ868-AJ$1)</f>
        <v/>
      </c>
      <c r="Y868" s="108">
        <f>AVERAGE(Z868:AB868)</f>
        <v/>
      </c>
      <c r="Z868" s="108">
        <f>ABS(AL868-AL$1)</f>
        <v/>
      </c>
      <c r="AA868" s="108">
        <f>ABS(AM868-AM$1)</f>
        <v/>
      </c>
      <c r="AB868" s="108">
        <f>ABS(AN868-AN$1)</f>
        <v/>
      </c>
      <c r="AC868" s="108" t="n"/>
      <c r="AD868" s="108" t="n"/>
      <c r="AE868" s="108">
        <f>ABS(AQ$1-AQ868)</f>
        <v/>
      </c>
      <c r="AF868" s="108">
        <f>ABS(AR$1-AR868)</f>
        <v/>
      </c>
      <c r="AG868" s="108">
        <f>ABS(AS$1-AS868)</f>
        <v/>
      </c>
      <c r="AH868" s="108">
        <f>ABS(AT$1-AT868)</f>
        <v/>
      </c>
      <c r="AI868" s="108">
        <f>ABS(AU$1-AU868)</f>
        <v/>
      </c>
      <c r="AJ868" s="108">
        <f>(AV868-Driver!$K$179)/(Driver!$L$179-Driver!$K$179)</f>
        <v/>
      </c>
      <c r="AK868" s="108">
        <f>(AW868-Driver!$K$180)/(Driver!$L$180-Driver!$K$180)</f>
        <v/>
      </c>
      <c r="AL868" s="108">
        <f>(AX868-Driver!$K$181)/(Driver!$L$181-Driver!$K$181)</f>
        <v/>
      </c>
      <c r="AM868" s="108">
        <f>(AY868-Driver!$K$182)/(Driver!$L$182-Driver!$K$182)</f>
        <v/>
      </c>
      <c r="AN868" s="108">
        <f>(AZ868-Driver!$K$183)/(Driver!$L$183-Driver!$K$183)</f>
        <v/>
      </c>
      <c r="AO868" s="108" t="n"/>
      <c r="AP868" s="108" t="n"/>
      <c r="AQ868" s="108">
        <f>(BC868-Driver!$K$188)/(Driver!$L$188-Driver!$K$188)</f>
        <v/>
      </c>
      <c r="AR868" s="108">
        <f>MIN((BD868-Driver!$K$189)/(Driver!$L$189-Driver!$K$189),100%)</f>
        <v/>
      </c>
      <c r="AS868" s="108">
        <f>(BE868-Driver!$K$190)/(Driver!$L$190-Driver!$K$190)</f>
        <v/>
      </c>
      <c r="AT868" s="108">
        <f>(BF868-Driver!$K$191)/(Driver!$L$191-Driver!$K$191)</f>
        <v/>
      </c>
      <c r="AU868" s="108">
        <f>(BG868-Driver!$K$192)/(Driver!$L$192-Driver!$K$192)</f>
        <v/>
      </c>
      <c r="AV868" s="105">
        <f>IFERROR(BM868*BJ868^1/4,"")</f>
        <v/>
      </c>
      <c r="AW868" s="105">
        <f>IFERROR(SUM(AX868:AZ868),"")</f>
        <v/>
      </c>
      <c r="AX868" s="105">
        <f>IFERROR(BH868,"")</f>
        <v/>
      </c>
      <c r="AY868" s="105">
        <f>IFERROR(Driver!$K$19/Data!BH868/Data!BI868*Data!BK868*Data!BL868,"")</f>
        <v/>
      </c>
      <c r="AZ868" s="105">
        <f>IFERROR(BI868*BN868,"")</f>
        <v/>
      </c>
      <c r="BA868" s="105" t="n"/>
      <c r="BB868" s="105" t="n"/>
      <c r="BC868" s="105">
        <f>IFERROR(BI868*BN868*BK868/BJ868^(1/2),"")</f>
        <v/>
      </c>
      <c r="BD868" s="105">
        <f>IFERROR(BH868*BM868*BL868/BJ868/BK868,"")</f>
        <v/>
      </c>
      <c r="BE868" s="105">
        <f>IFERROR(MIN(BI868/BQ868/BP868/BO868/BH868,$BE$1),"")</f>
        <v/>
      </c>
      <c r="BF868" s="105">
        <f>IFERROR(BJ868*BO868*BP868/BK868,"")</f>
        <v/>
      </c>
      <c r="BG868" s="105">
        <f>IFERROR(1/BM868/BH868*BQ868,"")</f>
        <v/>
      </c>
      <c r="BH868" s="102">
        <f>MAX((CE868-Driver!$F$200)/(Driver!$G$200-Driver!$F$200)*$BI$1,1)</f>
        <v/>
      </c>
      <c r="BI868" s="102">
        <f>MAX($BI$1*(BY868-Driver!$F$201)/(Driver!$G$201-Driver!$F$201),1)</f>
        <v/>
      </c>
      <c r="BJ868" s="102">
        <f>(CB868-Driver!$F$206)/(Driver!$G$206-Driver!$F$206)*$BI$1</f>
        <v/>
      </c>
      <c r="BK868" s="102">
        <f>(CD868-Driver!$F$203)/(Driver!$G$203-Driver!$F$203)*$BI$1</f>
        <v/>
      </c>
      <c r="BL868" s="102">
        <f>MAX((CR868-Driver!$F$202)/(Driver!$G$202-Driver!$F$202)*$BI$1,1)</f>
        <v/>
      </c>
      <c r="BM868" s="102">
        <f>MAX((CH868-Driver!$F$204)/(Driver!$G$204-Driver!$F$204)*$BI$1,1)</f>
        <v/>
      </c>
      <c r="BN868" s="102">
        <f>(CI868-Driver!$F$205)/(Driver!$G$205-Driver!$F$205)*$BI$1</f>
        <v/>
      </c>
      <c r="BO868" s="102">
        <f>(CK868-Driver!$F$207)/(Driver!$G$207-Driver!$F$207)*$BI$1</f>
        <v/>
      </c>
      <c r="BP868" s="102">
        <f>(CM868-Driver!$F$208)/(Driver!$G$208-Driver!$F$208)*$BI$1</f>
        <v/>
      </c>
      <c r="BQ868" s="102">
        <f>(CL868-Driver!$F$209)/(Driver!$G$209-Driver!$F$209)*$BI$1</f>
        <v/>
      </c>
      <c r="BR868" s="40" t="inlineStr">
        <is>
          <t>21/22</t>
        </is>
      </c>
      <c r="BS868" s="10" t="inlineStr">
        <is>
          <t xml:space="preserve"> Völkl</t>
        </is>
      </c>
      <c r="BT868" s="11" t="inlineStr">
        <is>
          <t>Deacon 80</t>
        </is>
      </c>
      <c r="BU868" s="13" t="n">
        <v>172</v>
      </c>
      <c r="BV868" s="11" t="inlineStr">
        <is>
          <t xml:space="preserve"> Unisex</t>
        </is>
      </c>
      <c r="BW868" s="13" t="n">
        <v>172</v>
      </c>
      <c r="BX868" s="13" t="n">
        <v>171.9</v>
      </c>
      <c r="BY868" s="13" t="n">
        <v>152</v>
      </c>
      <c r="BZ868" s="13" t="n">
        <v>159</v>
      </c>
      <c r="CA868" s="13" t="n">
        <v>127</v>
      </c>
      <c r="CB868" s="13" t="n">
        <v>79</v>
      </c>
      <c r="CC868" s="13" t="n">
        <v>110</v>
      </c>
      <c r="CD868" s="13" t="n">
        <v>15.5</v>
      </c>
      <c r="CE868" s="13" t="n">
        <v>1962</v>
      </c>
      <c r="CF868" s="13" t="n">
        <v>0.83</v>
      </c>
      <c r="CG868" s="13" t="n">
        <v>1626</v>
      </c>
      <c r="CH868" s="13" t="n">
        <v>219</v>
      </c>
      <c r="CI868" s="13" t="n">
        <v>68</v>
      </c>
      <c r="CJ868" s="13" t="n">
        <v>40</v>
      </c>
      <c r="CK868" s="13" t="n">
        <v>139</v>
      </c>
      <c r="CL868" s="13" t="n">
        <v>7</v>
      </c>
      <c r="CM868" s="13" t="n">
        <v>65</v>
      </c>
      <c r="CN868" s="13" t="n">
        <v>0.174</v>
      </c>
      <c r="CO868" s="13" t="n">
        <v>71</v>
      </c>
      <c r="CP868" s="13" t="n">
        <v>62</v>
      </c>
      <c r="CQ868" s="13" t="n">
        <v>67</v>
      </c>
      <c r="CR868" s="13" t="n">
        <v>5</v>
      </c>
      <c r="CS868" s="13" t="n">
        <v>10.1</v>
      </c>
      <c r="CT868" s="11" t="inlineStr">
        <is>
          <t xml:space="preserve"> On-Piste Carving</t>
        </is>
      </c>
      <c r="CU868" s="13" t="n"/>
      <c r="CV868" s="13" t="n"/>
      <c r="CW868" s="13" t="n"/>
      <c r="CX868">
        <f>INDEX('Data_Price '!AG$2:AG$1266,MATCH(Data!$DN868,'Data_Price '!$AT$2:$AT$1266,0))</f>
        <v/>
      </c>
      <c r="CY868">
        <f>INDEX('Data_Price '!AH$2:AH$1266,MATCH(Data!$DN868,'Data_Price '!$AT$2:$AT$1266,0))</f>
        <v/>
      </c>
      <c r="CZ868">
        <f>INDEX('Data_Price '!AI$2:AI$1266,MATCH(Data!$DN868,'Data_Price '!$AT$2:$AT$1266,0))</f>
        <v/>
      </c>
      <c r="DA868">
        <f>INDEX('Data_Price '!AJ$2:AJ$1266,MATCH(Data!$DN868,'Data_Price '!$AT$2:$AT$1266,0))</f>
        <v/>
      </c>
      <c r="DB868">
        <f>INDEX('Data_Price '!AK$2:AK$1266,MATCH(Data!$DN868,'Data_Price '!$AT$2:$AT$1266,0))</f>
        <v/>
      </c>
      <c r="DC868">
        <f>INDEX('Data_Price '!AL$2:AL$1266,MATCH(Data!$DN868,'Data_Price '!$AT$2:$AT$1266,0))</f>
        <v/>
      </c>
      <c r="DD868">
        <f>INDEX('Data_Price '!AM$2:AM$1266,MATCH(Data!$DN868,'Data_Price '!$AT$2:$AT$1266,0))</f>
        <v/>
      </c>
      <c r="DE868">
        <f>INDEX('Data_Price '!AN$2:AN$1266,MATCH(Data!$DN868,'Data_Price '!$AT$2:$AT$1266,0))</f>
        <v/>
      </c>
      <c r="DF868">
        <f>INDEX('Data_Price '!AO$2:AO$1266,MATCH(Data!$DN868,'Data_Price '!$AT$2:$AT$1266,0))</f>
        <v/>
      </c>
      <c r="DG868">
        <f>INDEX('Data_Price '!AP$2:AP$1266,MATCH(Data!$DN868,'Data_Price '!$AT$2:$AT$1266,0))</f>
        <v/>
      </c>
      <c r="DH868">
        <f>INDEX('Data_Price '!AQ$2:AQ$1266,MATCH(Data!$DN868,'Data_Price '!$AT$2:$AT$1266,0))</f>
        <v/>
      </c>
      <c r="DI868">
        <f>INDEX('Data_Price '!AR$2:AR$1266,MATCH(Data!$DN868,'Data_Price '!$AT$2:$AT$1266,0))</f>
        <v/>
      </c>
      <c r="DJ868" s="138">
        <f>DA868</f>
        <v/>
      </c>
      <c r="DK868" s="138">
        <f>DE868</f>
        <v/>
      </c>
      <c r="DL868" s="138">
        <f>DI868</f>
        <v/>
      </c>
      <c r="DM868" s="303">
        <f>IF(LEFT(BT868,1)=" ",RIGHT(BT868,LEN(BT868)-1),BT868)</f>
        <v/>
      </c>
      <c r="DN868" s="138">
        <f>_xlfn.CONCAT(BS868,DM868,BU868,BV868)</f>
        <v/>
      </c>
      <c r="DO868" s="307" t="n"/>
    </row>
    <row r="869" ht="15.6" customHeight="1" s="184">
      <c r="B869" s="303">
        <f t="array" ref="B869">IF(OR(ISERROR(K869:P869)),FALSE,TRUE)</f>
        <v/>
      </c>
      <c r="C869" s="60">
        <f>OR(BR869=Driver!$G$50,Data!BR268=Driver!$H$50)</f>
        <v/>
      </c>
      <c r="D869" s="60">
        <f>OR(BV869=Driver!$G$51,BV869=Driver!$H$51)</f>
        <v/>
      </c>
      <c r="E869" s="60">
        <f>AND(BX869&gt;Driver!$F$54,BX869&lt;Driver!$G$54)</f>
        <v/>
      </c>
      <c r="F869" s="60">
        <f>CL869&gt;Driver!$F$56</f>
        <v/>
      </c>
      <c r="G869" s="60">
        <f>AND(CB869&gt;Driver!$F$55,CB869&lt;Driver!$G$55)</f>
        <v/>
      </c>
      <c r="H869" s="60">
        <f>AND(B869:G869)</f>
        <v/>
      </c>
      <c r="I869" s="60">
        <f>COUNTIFS($H$9:$H$1273,TRUE,$BT$9:$BT$1273,BT869)</f>
        <v/>
      </c>
      <c r="J869" s="60">
        <f t="array" ref="J869">NOT(OR(($H$9:$H$1273=TRUE)*($I$9:$I$1273&gt;0)*($BT$9:$BT$1273=BT869)*($K$9:$K$1273&gt;K869)))</f>
        <v/>
      </c>
      <c r="K869" s="108">
        <f>IFERROR(1-AVERAGE(X869:Y869),"")</f>
        <v/>
      </c>
      <c r="L869" s="108">
        <f>1-X869</f>
        <v/>
      </c>
      <c r="M869" s="108">
        <f>1-Y869</f>
        <v/>
      </c>
      <c r="N869" s="108">
        <f>1-Z869</f>
        <v/>
      </c>
      <c r="O869" s="108">
        <f>1-AA869</f>
        <v/>
      </c>
      <c r="P869" s="108">
        <f>1-AB869</f>
        <v/>
      </c>
      <c r="Q869" s="108" t="n"/>
      <c r="R869" s="108" t="n"/>
      <c r="S869" s="108">
        <f>1-AE869</f>
        <v/>
      </c>
      <c r="T869" s="108">
        <f>1-AF869</f>
        <v/>
      </c>
      <c r="U869" s="108">
        <f>1-AG869</f>
        <v/>
      </c>
      <c r="V869" s="108">
        <f>1-AH869</f>
        <v/>
      </c>
      <c r="W869" s="108">
        <f>1-AI869</f>
        <v/>
      </c>
      <c r="X869" s="108">
        <f>ABS(AJ869-AJ$1)</f>
        <v/>
      </c>
      <c r="Y869" s="108">
        <f>AVERAGE(Z869:AB869)</f>
        <v/>
      </c>
      <c r="Z869" s="108">
        <f>ABS(AL869-AL$1)</f>
        <v/>
      </c>
      <c r="AA869" s="108">
        <f>ABS(AM869-AM$1)</f>
        <v/>
      </c>
      <c r="AB869" s="108">
        <f>ABS(AN869-AN$1)</f>
        <v/>
      </c>
      <c r="AC869" s="108" t="n"/>
      <c r="AD869" s="108" t="n"/>
      <c r="AE869" s="108">
        <f>ABS(AQ$1-AQ869)</f>
        <v/>
      </c>
      <c r="AF869" s="108">
        <f>ABS(AR$1-AR869)</f>
        <v/>
      </c>
      <c r="AG869" s="108">
        <f>ABS(AS$1-AS869)</f>
        <v/>
      </c>
      <c r="AH869" s="108">
        <f>ABS(AT$1-AT869)</f>
        <v/>
      </c>
      <c r="AI869" s="108">
        <f>ABS(AU$1-AU869)</f>
        <v/>
      </c>
      <c r="AJ869" s="108">
        <f>(AV869-Driver!$K$179)/(Driver!$L$179-Driver!$K$179)</f>
        <v/>
      </c>
      <c r="AK869" s="108">
        <f>(AW869-Driver!$K$180)/(Driver!$L$180-Driver!$K$180)</f>
        <v/>
      </c>
      <c r="AL869" s="108">
        <f>(AX869-Driver!$K$181)/(Driver!$L$181-Driver!$K$181)</f>
        <v/>
      </c>
      <c r="AM869" s="108">
        <f>(AY869-Driver!$K$182)/(Driver!$L$182-Driver!$K$182)</f>
        <v/>
      </c>
      <c r="AN869" s="108">
        <f>(AZ869-Driver!$K$183)/(Driver!$L$183-Driver!$K$183)</f>
        <v/>
      </c>
      <c r="AO869" s="108" t="n"/>
      <c r="AP869" s="108" t="n"/>
      <c r="AQ869" s="108">
        <f>(BC869-Driver!$K$188)/(Driver!$L$188-Driver!$K$188)</f>
        <v/>
      </c>
      <c r="AR869" s="108">
        <f>MIN((BD869-Driver!$K$189)/(Driver!$L$189-Driver!$K$189),100%)</f>
        <v/>
      </c>
      <c r="AS869" s="108">
        <f>(BE869-Driver!$K$190)/(Driver!$L$190-Driver!$K$190)</f>
        <v/>
      </c>
      <c r="AT869" s="108">
        <f>(BF869-Driver!$K$191)/(Driver!$L$191-Driver!$K$191)</f>
        <v/>
      </c>
      <c r="AU869" s="108">
        <f>(BG869-Driver!$K$192)/(Driver!$L$192-Driver!$K$192)</f>
        <v/>
      </c>
      <c r="AV869" s="105">
        <f>IFERROR(BM869*BJ869^1/4,"")</f>
        <v/>
      </c>
      <c r="AW869" s="105">
        <f>IFERROR(SUM(AX869:AZ869),"")</f>
        <v/>
      </c>
      <c r="AX869" s="105">
        <f>IFERROR(BH869,"")</f>
        <v/>
      </c>
      <c r="AY869" s="105">
        <f>IFERROR(Driver!$K$19/Data!BH869/Data!BI869*Data!BK869*Data!BL869,"")</f>
        <v/>
      </c>
      <c r="AZ869" s="105">
        <f>IFERROR(BI869*BN869,"")</f>
        <v/>
      </c>
      <c r="BA869" s="105" t="n"/>
      <c r="BB869" s="105" t="n"/>
      <c r="BC869" s="105">
        <f>IFERROR(BI869*BN869*BK869/BJ869^(1/2),"")</f>
        <v/>
      </c>
      <c r="BD869" s="105">
        <f>IFERROR(BH869*BM869*BL869/BJ869/BK869,"")</f>
        <v/>
      </c>
      <c r="BE869" s="105">
        <f>IFERROR(MIN(BI869/BQ869/BP869/BO869/BH869,$BE$1),"")</f>
        <v/>
      </c>
      <c r="BF869" s="105">
        <f>IFERROR(BJ869*BO869*BP869/BK869,"")</f>
        <v/>
      </c>
      <c r="BG869" s="105">
        <f>IFERROR(1/BM869/BH869*BQ869,"")</f>
        <v/>
      </c>
      <c r="BH869" s="102">
        <f>MAX((CE869-Driver!$F$200)/(Driver!$G$200-Driver!$F$200)*$BI$1,1)</f>
        <v/>
      </c>
      <c r="BI869" s="102">
        <f>MAX($BI$1*(BY869-Driver!$F$201)/(Driver!$G$201-Driver!$F$201),1)</f>
        <v/>
      </c>
      <c r="BJ869" s="102">
        <f>(CB869-Driver!$F$206)/(Driver!$G$206-Driver!$F$206)*$BI$1</f>
        <v/>
      </c>
      <c r="BK869" s="102">
        <f>(CD869-Driver!$F$203)/(Driver!$G$203-Driver!$F$203)*$BI$1</f>
        <v/>
      </c>
      <c r="BL869" s="102">
        <f>MAX((CR869-Driver!$F$202)/(Driver!$G$202-Driver!$F$202)*$BI$1,1)</f>
        <v/>
      </c>
      <c r="BM869" s="102">
        <f>MAX((CH869-Driver!$F$204)/(Driver!$G$204-Driver!$F$204)*$BI$1,1)</f>
        <v/>
      </c>
      <c r="BN869" s="102">
        <f>(CI869-Driver!$F$205)/(Driver!$G$205-Driver!$F$205)*$BI$1</f>
        <v/>
      </c>
      <c r="BO869" s="102">
        <f>(CK869-Driver!$F$207)/(Driver!$G$207-Driver!$F$207)*$BI$1</f>
        <v/>
      </c>
      <c r="BP869" s="102">
        <f>(CM869-Driver!$F$208)/(Driver!$G$208-Driver!$F$208)*$BI$1</f>
        <v/>
      </c>
      <c r="BQ869" s="102">
        <f>(CL869-Driver!$F$209)/(Driver!$G$209-Driver!$F$209)*$BI$1</f>
        <v/>
      </c>
      <c r="BR869" s="40" t="inlineStr">
        <is>
          <t>21/22</t>
        </is>
      </c>
      <c r="BS869" s="10" t="inlineStr">
        <is>
          <t xml:space="preserve"> Blizzard</t>
        </is>
      </c>
      <c r="BT869" s="11" t="inlineStr">
        <is>
          <t>Bonafide 97</t>
        </is>
      </c>
      <c r="BU869" s="13" t="n">
        <v>171</v>
      </c>
      <c r="BV869" s="11" t="inlineStr">
        <is>
          <t xml:space="preserve"> Unisex</t>
        </is>
      </c>
      <c r="BW869" s="13" t="n">
        <v>171</v>
      </c>
      <c r="BX869" s="13" t="n">
        <v>169.8</v>
      </c>
      <c r="BY869" s="13" t="n">
        <v>140</v>
      </c>
      <c r="BZ869" s="13" t="n">
        <v>146</v>
      </c>
      <c r="CA869" s="13" t="n">
        <v>136</v>
      </c>
      <c r="CB869" s="13" t="n">
        <v>96</v>
      </c>
      <c r="CC869" s="13" t="n">
        <v>117</v>
      </c>
      <c r="CD869" s="13" t="n">
        <v>16.7</v>
      </c>
      <c r="CE869" s="13" t="n">
        <v>2154</v>
      </c>
      <c r="CF869" s="13" t="n">
        <v>0.85</v>
      </c>
      <c r="CG869" s="13" t="n">
        <v>1824</v>
      </c>
      <c r="CH869" s="13" t="n">
        <v>170</v>
      </c>
      <c r="CI869" s="13" t="n">
        <v>107</v>
      </c>
      <c r="CJ869" s="13" t="n">
        <v>51</v>
      </c>
      <c r="CK869" s="13" t="n">
        <v>195</v>
      </c>
      <c r="CL869" s="13" t="n">
        <v>7</v>
      </c>
      <c r="CM869" s="13" t="n">
        <v>98</v>
      </c>
      <c r="CN869" s="13" t="n">
        <v>0.132</v>
      </c>
      <c r="CO869" s="13" t="n">
        <v>129</v>
      </c>
      <c r="CP869" s="13" t="n">
        <v>105</v>
      </c>
      <c r="CQ869" s="13" t="n">
        <v>66</v>
      </c>
      <c r="CR869" s="13" t="n">
        <v>9</v>
      </c>
      <c r="CS869" s="13" t="n">
        <v>11.5</v>
      </c>
      <c r="CT869" s="11" t="inlineStr">
        <is>
          <t xml:space="preserve"> Resort Freeride</t>
        </is>
      </c>
      <c r="CU869" s="13" t="n"/>
      <c r="CV869" s="13" t="n"/>
      <c r="CW869" s="13" t="n"/>
      <c r="CX869">
        <f>INDEX('Data_Price '!AG$2:AG$1266,MATCH(Data!$DN869,'Data_Price '!$AT$2:$AT$1266,0))</f>
        <v/>
      </c>
      <c r="CY869">
        <f>INDEX('Data_Price '!AH$2:AH$1266,MATCH(Data!$DN869,'Data_Price '!$AT$2:$AT$1266,0))</f>
        <v/>
      </c>
      <c r="CZ869">
        <f>INDEX('Data_Price '!AI$2:AI$1266,MATCH(Data!$DN869,'Data_Price '!$AT$2:$AT$1266,0))</f>
        <v/>
      </c>
      <c r="DA869">
        <f>INDEX('Data_Price '!AJ$2:AJ$1266,MATCH(Data!$DN869,'Data_Price '!$AT$2:$AT$1266,0))</f>
        <v/>
      </c>
      <c r="DB869">
        <f>INDEX('Data_Price '!AK$2:AK$1266,MATCH(Data!$DN869,'Data_Price '!$AT$2:$AT$1266,0))</f>
        <v/>
      </c>
      <c r="DC869">
        <f>INDEX('Data_Price '!AL$2:AL$1266,MATCH(Data!$DN869,'Data_Price '!$AT$2:$AT$1266,0))</f>
        <v/>
      </c>
      <c r="DD869">
        <f>INDEX('Data_Price '!AM$2:AM$1266,MATCH(Data!$DN869,'Data_Price '!$AT$2:$AT$1266,0))</f>
        <v/>
      </c>
      <c r="DE869">
        <f>INDEX('Data_Price '!AN$2:AN$1266,MATCH(Data!$DN869,'Data_Price '!$AT$2:$AT$1266,0))</f>
        <v/>
      </c>
      <c r="DF869">
        <f>INDEX('Data_Price '!AO$2:AO$1266,MATCH(Data!$DN869,'Data_Price '!$AT$2:$AT$1266,0))</f>
        <v/>
      </c>
      <c r="DG869">
        <f>INDEX('Data_Price '!AP$2:AP$1266,MATCH(Data!$DN869,'Data_Price '!$AT$2:$AT$1266,0))</f>
        <v/>
      </c>
      <c r="DH869">
        <f>INDEX('Data_Price '!AQ$2:AQ$1266,MATCH(Data!$DN869,'Data_Price '!$AT$2:$AT$1266,0))</f>
        <v/>
      </c>
      <c r="DI869">
        <f>INDEX('Data_Price '!AR$2:AR$1266,MATCH(Data!$DN869,'Data_Price '!$AT$2:$AT$1266,0))</f>
        <v/>
      </c>
      <c r="DJ869" s="138">
        <f>DA869</f>
        <v/>
      </c>
      <c r="DK869" s="138">
        <f>DE869</f>
        <v/>
      </c>
      <c r="DL869" s="138">
        <f>DI869</f>
        <v/>
      </c>
      <c r="DM869" s="303">
        <f>IF(LEFT(BT869,1)=" ",RIGHT(BT869,LEN(BT869)-1),BT869)</f>
        <v/>
      </c>
      <c r="DN869" s="138">
        <f>_xlfn.CONCAT(BS869,DM869,BU869,BV869)</f>
        <v/>
      </c>
      <c r="DO869" s="307" t="inlineStr">
        <is>
          <t>https://images.evo.com/imgp/250/176879/722688/blizzard-bonafide-97-skis-2022-.jpg</t>
        </is>
      </c>
    </row>
    <row r="870" ht="15.6" customHeight="1" s="184">
      <c r="B870" s="303">
        <f t="array" ref="B870">IF(OR(ISERROR(K870:P870)),FALSE,TRUE)</f>
        <v/>
      </c>
      <c r="C870" s="60">
        <f>OR(BR870=Driver!$G$50,Data!BR614=Driver!$H$50)</f>
        <v/>
      </c>
      <c r="D870" s="60">
        <f>OR(BV870=Driver!$G$51,BV870=Driver!$H$51)</f>
        <v/>
      </c>
      <c r="E870" s="60">
        <f>AND(BX870&gt;Driver!$F$54,BX870&lt;Driver!$G$54)</f>
        <v/>
      </c>
      <c r="F870" s="60">
        <f>CL870&gt;Driver!$F$56</f>
        <v/>
      </c>
      <c r="G870" s="60">
        <f>AND(CB870&gt;Driver!$F$55,CB870&lt;Driver!$G$55)</f>
        <v/>
      </c>
      <c r="H870" s="60">
        <f>AND(B870:G870)</f>
        <v/>
      </c>
      <c r="I870" s="60">
        <f>COUNTIFS($H$9:$H$1273,TRUE,$BT$9:$BT$1273,BT870)</f>
        <v/>
      </c>
      <c r="J870" s="60">
        <f t="array" ref="J870">NOT(OR(($H$9:$H$1273=TRUE)*($I$9:$I$1273&gt;0)*($BT$9:$BT$1273=BT870)*($K$9:$K$1273&gt;K870)))</f>
        <v/>
      </c>
      <c r="K870" s="108">
        <f>IFERROR(1-AVERAGE(X870:Y870),"")</f>
        <v/>
      </c>
      <c r="L870" s="108">
        <f>1-X870</f>
        <v/>
      </c>
      <c r="M870" s="108">
        <f>1-Y870</f>
        <v/>
      </c>
      <c r="N870" s="108">
        <f>1-Z870</f>
        <v/>
      </c>
      <c r="O870" s="108">
        <f>1-AA870</f>
        <v/>
      </c>
      <c r="P870" s="108">
        <f>1-AB870</f>
        <v/>
      </c>
      <c r="Q870" s="108" t="n"/>
      <c r="R870" s="108" t="n"/>
      <c r="S870" s="108">
        <f>1-AE870</f>
        <v/>
      </c>
      <c r="T870" s="108">
        <f>1-AF870</f>
        <v/>
      </c>
      <c r="U870" s="108">
        <f>1-AG870</f>
        <v/>
      </c>
      <c r="V870" s="108">
        <f>1-AH870</f>
        <v/>
      </c>
      <c r="W870" s="108">
        <f>1-AI870</f>
        <v/>
      </c>
      <c r="X870" s="108">
        <f>ABS(AJ870-AJ$1)</f>
        <v/>
      </c>
      <c r="Y870" s="108">
        <f>AVERAGE(Z870:AB870)</f>
        <v/>
      </c>
      <c r="Z870" s="108">
        <f>ABS(AL870-AL$1)</f>
        <v/>
      </c>
      <c r="AA870" s="108">
        <f>ABS(AM870-AM$1)</f>
        <v/>
      </c>
      <c r="AB870" s="108">
        <f>ABS(AN870-AN$1)</f>
        <v/>
      </c>
      <c r="AC870" s="108" t="n"/>
      <c r="AD870" s="108" t="n"/>
      <c r="AE870" s="108">
        <f>ABS(AQ$1-AQ870)</f>
        <v/>
      </c>
      <c r="AF870" s="108">
        <f>ABS(AR$1-AR870)</f>
        <v/>
      </c>
      <c r="AG870" s="108">
        <f>ABS(AS$1-AS870)</f>
        <v/>
      </c>
      <c r="AH870" s="108">
        <f>ABS(AT$1-AT870)</f>
        <v/>
      </c>
      <c r="AI870" s="108">
        <f>ABS(AU$1-AU870)</f>
        <v/>
      </c>
      <c r="AJ870" s="108">
        <f>(AV870-Driver!$K$179)/(Driver!$L$179-Driver!$K$179)</f>
        <v/>
      </c>
      <c r="AK870" s="108">
        <f>(AW870-Driver!$K$180)/(Driver!$L$180-Driver!$K$180)</f>
        <v/>
      </c>
      <c r="AL870" s="108">
        <f>(AX870-Driver!$K$181)/(Driver!$L$181-Driver!$K$181)</f>
        <v/>
      </c>
      <c r="AM870" s="108">
        <f>(AY870-Driver!$K$182)/(Driver!$L$182-Driver!$K$182)</f>
        <v/>
      </c>
      <c r="AN870" s="108">
        <f>(AZ870-Driver!$K$183)/(Driver!$L$183-Driver!$K$183)</f>
        <v/>
      </c>
      <c r="AO870" s="108" t="n"/>
      <c r="AP870" s="108" t="n"/>
      <c r="AQ870" s="108">
        <f>(BC870-Driver!$K$188)/(Driver!$L$188-Driver!$K$188)</f>
        <v/>
      </c>
      <c r="AR870" s="108">
        <f>MIN((BD870-Driver!$K$189)/(Driver!$L$189-Driver!$K$189),100%)</f>
        <v/>
      </c>
      <c r="AS870" s="108">
        <f>(BE870-Driver!$K$190)/(Driver!$L$190-Driver!$K$190)</f>
        <v/>
      </c>
      <c r="AT870" s="108">
        <f>(BF870-Driver!$K$191)/(Driver!$L$191-Driver!$K$191)</f>
        <v/>
      </c>
      <c r="AU870" s="108">
        <f>(BG870-Driver!$K$192)/(Driver!$L$192-Driver!$K$192)</f>
        <v/>
      </c>
      <c r="AV870" s="105">
        <f>IFERROR(BM870*BJ870^1/4,"")</f>
        <v/>
      </c>
      <c r="AW870" s="105">
        <f>IFERROR(SUM(AX870:AZ870),"")</f>
        <v/>
      </c>
      <c r="AX870" s="105">
        <f>IFERROR(BH870,"")</f>
        <v/>
      </c>
      <c r="AY870" s="105">
        <f>IFERROR(Driver!$K$19/Data!BH870/Data!BI870*Data!BK870*Data!BL870,"")</f>
        <v/>
      </c>
      <c r="AZ870" s="105">
        <f>IFERROR(BI870*BN870,"")</f>
        <v/>
      </c>
      <c r="BA870" s="105" t="n"/>
      <c r="BB870" s="105" t="n"/>
      <c r="BC870" s="105">
        <f>IFERROR(BI870*BN870*BK870/BJ870^(1/2),"")</f>
        <v/>
      </c>
      <c r="BD870" s="105">
        <f>IFERROR(BH870*BM870*BL870/BJ870/BK870,"")</f>
        <v/>
      </c>
      <c r="BE870" s="105">
        <f>IFERROR(MIN(BI870/BQ870/BP870/BO870/BH870,$BE$1),"")</f>
        <v/>
      </c>
      <c r="BF870" s="105">
        <f>IFERROR(BJ870*BO870*BP870/BK870,"")</f>
        <v/>
      </c>
      <c r="BG870" s="105">
        <f>IFERROR(1/BM870/BH870*BQ870,"")</f>
        <v/>
      </c>
      <c r="BH870" s="102">
        <f>MAX((CE870-Driver!$F$200)/(Driver!$G$200-Driver!$F$200)*$BI$1,1)</f>
        <v/>
      </c>
      <c r="BI870" s="102">
        <f>MAX($BI$1*(BY870-Driver!$F$201)/(Driver!$G$201-Driver!$F$201),1)</f>
        <v/>
      </c>
      <c r="BJ870" s="102">
        <f>(CB870-Driver!$F$206)/(Driver!$G$206-Driver!$F$206)*$BI$1</f>
        <v/>
      </c>
      <c r="BK870" s="102">
        <f>(CD870-Driver!$F$203)/(Driver!$G$203-Driver!$F$203)*$BI$1</f>
        <v/>
      </c>
      <c r="BL870" s="102">
        <f>MAX((CR870-Driver!$F$202)/(Driver!$G$202-Driver!$F$202)*$BI$1,1)</f>
        <v/>
      </c>
      <c r="BM870" s="102">
        <f>MAX((CH870-Driver!$F$204)/(Driver!$G$204-Driver!$F$204)*$BI$1,1)</f>
        <v/>
      </c>
      <c r="BN870" s="102">
        <f>(CI870-Driver!$F$205)/(Driver!$G$205-Driver!$F$205)*$BI$1</f>
        <v/>
      </c>
      <c r="BO870" s="102">
        <f>(CK870-Driver!$F$207)/(Driver!$G$207-Driver!$F$207)*$BI$1</f>
        <v/>
      </c>
      <c r="BP870" s="102">
        <f>(CM870-Driver!$F$208)/(Driver!$G$208-Driver!$F$208)*$BI$1</f>
        <v/>
      </c>
      <c r="BQ870" s="102">
        <f>(CL870-Driver!$F$209)/(Driver!$G$209-Driver!$F$209)*$BI$1</f>
        <v/>
      </c>
      <c r="BR870" s="40" t="inlineStr">
        <is>
          <t>21/22</t>
        </is>
      </c>
      <c r="BS870" s="10" t="inlineStr">
        <is>
          <t xml:space="preserve"> Head</t>
        </is>
      </c>
      <c r="BT870" s="11" t="inlineStr">
        <is>
          <t>Kore 90 X</t>
        </is>
      </c>
      <c r="BU870" s="13" t="n">
        <v>156</v>
      </c>
      <c r="BV870" s="11" t="inlineStr">
        <is>
          <t xml:space="preserve"> Unisex</t>
        </is>
      </c>
      <c r="BW870" s="13" t="n">
        <v>156</v>
      </c>
      <c r="BX870" s="13" t="n">
        <v>157.3</v>
      </c>
      <c r="BY870" s="13" t="n">
        <v>121</v>
      </c>
      <c r="BZ870" s="13" t="n">
        <v>125</v>
      </c>
      <c r="CA870" s="13" t="n">
        <v>124</v>
      </c>
      <c r="CB870" s="13" t="n">
        <v>87</v>
      </c>
      <c r="CC870" s="13" t="n">
        <v>107</v>
      </c>
      <c r="CD870" s="13" t="n">
        <v>12.1</v>
      </c>
      <c r="CE870" s="13" t="n">
        <v>1473</v>
      </c>
      <c r="CF870" s="13" t="n">
        <v>1.06</v>
      </c>
      <c r="CG870" s="13" t="n">
        <v>1557</v>
      </c>
      <c r="CH870" s="13" t="n">
        <v>156</v>
      </c>
      <c r="CI870" s="13" t="n">
        <v>71</v>
      </c>
      <c r="CJ870" s="13" t="n">
        <v>48</v>
      </c>
      <c r="CK870" s="13" t="n">
        <v>209</v>
      </c>
      <c r="CL870" s="13" t="n">
        <v>15</v>
      </c>
      <c r="CM870" s="13" t="n">
        <v>152</v>
      </c>
      <c r="CN870" s="13" t="n">
        <v>0.308</v>
      </c>
      <c r="CO870" s="13" t="n">
        <v>152</v>
      </c>
      <c r="CP870" s="13" t="n">
        <v>169</v>
      </c>
      <c r="CQ870" s="13" t="n">
        <v>57</v>
      </c>
      <c r="CR870" s="13" t="n">
        <v>7</v>
      </c>
      <c r="CS870" s="13" t="n">
        <v>9.199999999999999</v>
      </c>
      <c r="CT870" s="11" t="inlineStr">
        <is>
          <t xml:space="preserve"> Resort Freeride</t>
        </is>
      </c>
      <c r="CU870" s="11" t="inlineStr">
        <is>
          <t xml:space="preserve"> Touring</t>
        </is>
      </c>
      <c r="CV870" s="13" t="n"/>
      <c r="CW870" s="13" t="n"/>
      <c r="CX870">
        <f>INDEX('Data_Price '!AG$2:AG$1266,MATCH(Data!$DN870,'Data_Price '!$AT$2:$AT$1266,0))</f>
        <v/>
      </c>
      <c r="CY870">
        <f>INDEX('Data_Price '!AH$2:AH$1266,MATCH(Data!$DN870,'Data_Price '!$AT$2:$AT$1266,0))</f>
        <v/>
      </c>
      <c r="CZ870">
        <f>INDEX('Data_Price '!AI$2:AI$1266,MATCH(Data!$DN870,'Data_Price '!$AT$2:$AT$1266,0))</f>
        <v/>
      </c>
      <c r="DA870">
        <f>INDEX('Data_Price '!AJ$2:AJ$1266,MATCH(Data!$DN870,'Data_Price '!$AT$2:$AT$1266,0))</f>
        <v/>
      </c>
      <c r="DB870">
        <f>INDEX('Data_Price '!AK$2:AK$1266,MATCH(Data!$DN870,'Data_Price '!$AT$2:$AT$1266,0))</f>
        <v/>
      </c>
      <c r="DC870">
        <f>INDEX('Data_Price '!AL$2:AL$1266,MATCH(Data!$DN870,'Data_Price '!$AT$2:$AT$1266,0))</f>
        <v/>
      </c>
      <c r="DD870">
        <f>INDEX('Data_Price '!AM$2:AM$1266,MATCH(Data!$DN870,'Data_Price '!$AT$2:$AT$1266,0))</f>
        <v/>
      </c>
      <c r="DE870">
        <f>INDEX('Data_Price '!AN$2:AN$1266,MATCH(Data!$DN870,'Data_Price '!$AT$2:$AT$1266,0))</f>
        <v/>
      </c>
      <c r="DF870">
        <f>INDEX('Data_Price '!AO$2:AO$1266,MATCH(Data!$DN870,'Data_Price '!$AT$2:$AT$1266,0))</f>
        <v/>
      </c>
      <c r="DG870">
        <f>INDEX('Data_Price '!AP$2:AP$1266,MATCH(Data!$DN870,'Data_Price '!$AT$2:$AT$1266,0))</f>
        <v/>
      </c>
      <c r="DH870">
        <f>INDEX('Data_Price '!AQ$2:AQ$1266,MATCH(Data!$DN870,'Data_Price '!$AT$2:$AT$1266,0))</f>
        <v/>
      </c>
      <c r="DI870">
        <f>INDEX('Data_Price '!AR$2:AR$1266,MATCH(Data!$DN870,'Data_Price '!$AT$2:$AT$1266,0))</f>
        <v/>
      </c>
      <c r="DJ870" s="138">
        <f>DA870</f>
        <v/>
      </c>
      <c r="DK870" s="138">
        <f>DE870</f>
        <v/>
      </c>
      <c r="DL870" s="138">
        <f>DI870</f>
        <v/>
      </c>
      <c r="DM870" s="303">
        <f>IF(LEFT(BT870,1)=" ",RIGHT(BT870,LEN(BT870)-1),BT870)</f>
        <v/>
      </c>
      <c r="DN870" s="138">
        <f>_xlfn.CONCAT(BS870,DM870,BU870,BV870)</f>
        <v/>
      </c>
      <c r="DO870" s="307" t="inlineStr">
        <is>
          <t>https://images.evo.com/imgp/250/218718/886395/head-kore-90-x-skis-2022-.jpg</t>
        </is>
      </c>
    </row>
    <row r="871" ht="15.6" customHeight="1" s="184">
      <c r="B871" s="303">
        <f t="array" ref="B871">IF(OR(ISERROR(K871:P871)),FALSE,TRUE)</f>
        <v/>
      </c>
      <c r="C871" s="60">
        <f>OR(BR871=Driver!$G$50,Data!BR550=Driver!$H$50)</f>
        <v/>
      </c>
      <c r="D871" s="60">
        <f>OR(BV871=Driver!$G$51,BV871=Driver!$H$51)</f>
        <v/>
      </c>
      <c r="E871" s="60">
        <f>AND(BX871&gt;Driver!$F$54,BX871&lt;Driver!$G$54)</f>
        <v/>
      </c>
      <c r="F871" s="60">
        <f>CL871&gt;Driver!$F$56</f>
        <v/>
      </c>
      <c r="G871" s="60">
        <f>AND(CB871&gt;Driver!$F$55,CB871&lt;Driver!$G$55)</f>
        <v/>
      </c>
      <c r="H871" s="60">
        <f>AND(B871:G871)</f>
        <v/>
      </c>
      <c r="I871" s="60">
        <f>COUNTIFS($H$9:$H$1273,TRUE,$BT$9:$BT$1273,BT871)</f>
        <v/>
      </c>
      <c r="J871" s="60">
        <f t="array" ref="J871">NOT(OR(($H$9:$H$1273=TRUE)*($I$9:$I$1273&gt;0)*($BT$9:$BT$1273=BT871)*($K$9:$K$1273&gt;K871)))</f>
        <v/>
      </c>
      <c r="K871" s="108">
        <f>IFERROR(1-AVERAGE(X871:Y871),"")</f>
        <v/>
      </c>
      <c r="L871" s="108">
        <f>1-X871</f>
        <v/>
      </c>
      <c r="M871" s="108">
        <f>1-Y871</f>
        <v/>
      </c>
      <c r="N871" s="108">
        <f>1-Z871</f>
        <v/>
      </c>
      <c r="O871" s="108">
        <f>1-AA871</f>
        <v/>
      </c>
      <c r="P871" s="108">
        <f>1-AB871</f>
        <v/>
      </c>
      <c r="Q871" s="108" t="n"/>
      <c r="R871" s="108" t="n"/>
      <c r="S871" s="108">
        <f>1-AE871</f>
        <v/>
      </c>
      <c r="T871" s="108">
        <f>1-AF871</f>
        <v/>
      </c>
      <c r="U871" s="108">
        <f>1-AG871</f>
        <v/>
      </c>
      <c r="V871" s="108">
        <f>1-AH871</f>
        <v/>
      </c>
      <c r="W871" s="108">
        <f>1-AI871</f>
        <v/>
      </c>
      <c r="X871" s="108">
        <f>ABS(AJ871-AJ$1)</f>
        <v/>
      </c>
      <c r="Y871" s="108">
        <f>AVERAGE(Z871:AB871)</f>
        <v/>
      </c>
      <c r="Z871" s="108">
        <f>ABS(AL871-AL$1)</f>
        <v/>
      </c>
      <c r="AA871" s="108">
        <f>ABS(AM871-AM$1)</f>
        <v/>
      </c>
      <c r="AB871" s="108">
        <f>ABS(AN871-AN$1)</f>
        <v/>
      </c>
      <c r="AC871" s="108" t="n"/>
      <c r="AD871" s="108" t="n"/>
      <c r="AE871" s="108">
        <f>ABS(AQ$1-AQ871)</f>
        <v/>
      </c>
      <c r="AF871" s="108">
        <f>ABS(AR$1-AR871)</f>
        <v/>
      </c>
      <c r="AG871" s="108">
        <f>ABS(AS$1-AS871)</f>
        <v/>
      </c>
      <c r="AH871" s="108">
        <f>ABS(AT$1-AT871)</f>
        <v/>
      </c>
      <c r="AI871" s="108">
        <f>ABS(AU$1-AU871)</f>
        <v/>
      </c>
      <c r="AJ871" s="108">
        <f>(AV871-Driver!$K$179)/(Driver!$L$179-Driver!$K$179)</f>
        <v/>
      </c>
      <c r="AK871" s="108">
        <f>(AW871-Driver!$K$180)/(Driver!$L$180-Driver!$K$180)</f>
        <v/>
      </c>
      <c r="AL871" s="108">
        <f>(AX871-Driver!$K$181)/(Driver!$L$181-Driver!$K$181)</f>
        <v/>
      </c>
      <c r="AM871" s="108">
        <f>(AY871-Driver!$K$182)/(Driver!$L$182-Driver!$K$182)</f>
        <v/>
      </c>
      <c r="AN871" s="108">
        <f>(AZ871-Driver!$K$183)/(Driver!$L$183-Driver!$K$183)</f>
        <v/>
      </c>
      <c r="AO871" s="108" t="n"/>
      <c r="AP871" s="108" t="n"/>
      <c r="AQ871" s="108">
        <f>(BC871-Driver!$K$188)/(Driver!$L$188-Driver!$K$188)</f>
        <v/>
      </c>
      <c r="AR871" s="108">
        <f>MIN((BD871-Driver!$K$189)/(Driver!$L$189-Driver!$K$189),100%)</f>
        <v/>
      </c>
      <c r="AS871" s="108">
        <f>(BE871-Driver!$K$190)/(Driver!$L$190-Driver!$K$190)</f>
        <v/>
      </c>
      <c r="AT871" s="108">
        <f>(BF871-Driver!$K$191)/(Driver!$L$191-Driver!$K$191)</f>
        <v/>
      </c>
      <c r="AU871" s="108">
        <f>(BG871-Driver!$K$192)/(Driver!$L$192-Driver!$K$192)</f>
        <v/>
      </c>
      <c r="AV871" s="105">
        <f>IFERROR(BM871*BJ871^1/4,"")</f>
        <v/>
      </c>
      <c r="AW871" s="105">
        <f>IFERROR(SUM(AX871:AZ871),"")</f>
        <v/>
      </c>
      <c r="AX871" s="105">
        <f>IFERROR(BH871,"")</f>
        <v/>
      </c>
      <c r="AY871" s="105">
        <f>IFERROR(Driver!$K$19/Data!BH871/Data!BI871*Data!BK871*Data!BL871,"")</f>
        <v/>
      </c>
      <c r="AZ871" s="105">
        <f>IFERROR(BI871*BN871,"")</f>
        <v/>
      </c>
      <c r="BA871" s="105" t="n"/>
      <c r="BB871" s="105" t="n"/>
      <c r="BC871" s="105">
        <f>IFERROR(BI871*BN871*BK871/BJ871^(1/2),"")</f>
        <v/>
      </c>
      <c r="BD871" s="105">
        <f>IFERROR(BH871*BM871*BL871/BJ871/BK871,"")</f>
        <v/>
      </c>
      <c r="BE871" s="105">
        <f>IFERROR(MIN(BI871/BQ871/BP871/BO871/BH871,$BE$1),"")</f>
        <v/>
      </c>
      <c r="BF871" s="105">
        <f>IFERROR(BJ871*BO871*BP871/BK871,"")</f>
        <v/>
      </c>
      <c r="BG871" s="105">
        <f>IFERROR(1/BM871/BH871*BQ871,"")</f>
        <v/>
      </c>
      <c r="BH871" s="102">
        <f>MAX((CE871-Driver!$F$200)/(Driver!$G$200-Driver!$F$200)*$BI$1,1)</f>
        <v/>
      </c>
      <c r="BI871" s="102">
        <f>MAX($BI$1*(BY871-Driver!$F$201)/(Driver!$G$201-Driver!$F$201),1)</f>
        <v/>
      </c>
      <c r="BJ871" s="102">
        <f>(CB871-Driver!$F$206)/(Driver!$G$206-Driver!$F$206)*$BI$1</f>
        <v/>
      </c>
      <c r="BK871" s="102">
        <f>(CD871-Driver!$F$203)/(Driver!$G$203-Driver!$F$203)*$BI$1</f>
        <v/>
      </c>
      <c r="BL871" s="102">
        <f>MAX((CR871-Driver!$F$202)/(Driver!$G$202-Driver!$F$202)*$BI$1,1)</f>
        <v/>
      </c>
      <c r="BM871" s="102">
        <f>MAX((CH871-Driver!$F$204)/(Driver!$G$204-Driver!$F$204)*$BI$1,1)</f>
        <v/>
      </c>
      <c r="BN871" s="102">
        <f>(CI871-Driver!$F$205)/(Driver!$G$205-Driver!$F$205)*$BI$1</f>
        <v/>
      </c>
      <c r="BO871" s="102">
        <f>(CK871-Driver!$F$207)/(Driver!$G$207-Driver!$F$207)*$BI$1</f>
        <v/>
      </c>
      <c r="BP871" s="102">
        <f>(CM871-Driver!$F$208)/(Driver!$G$208-Driver!$F$208)*$BI$1</f>
        <v/>
      </c>
      <c r="BQ871" s="102">
        <f>(CL871-Driver!$F$209)/(Driver!$G$209-Driver!$F$209)*$BI$1</f>
        <v/>
      </c>
      <c r="BR871" s="40" t="inlineStr">
        <is>
          <t>21/22</t>
        </is>
      </c>
      <c r="BS871" s="10" t="inlineStr">
        <is>
          <t xml:space="preserve"> Ferreol</t>
        </is>
      </c>
      <c r="BT871" s="11" t="inlineStr">
        <is>
          <t>Zigzag 92</t>
        </is>
      </c>
      <c r="BU871" s="13" t="n">
        <v>177</v>
      </c>
      <c r="BV871" s="11" t="inlineStr">
        <is>
          <t xml:space="preserve"> Unisex</t>
        </is>
      </c>
      <c r="BW871" s="13" t="n">
        <v>177</v>
      </c>
      <c r="BX871" s="13" t="n">
        <v>175.8</v>
      </c>
      <c r="BY871" s="13" t="n">
        <v>117</v>
      </c>
      <c r="BZ871" s="13" t="n">
        <v>155</v>
      </c>
      <c r="CA871" s="13" t="n">
        <v>127</v>
      </c>
      <c r="CB871" s="13" t="n">
        <v>91</v>
      </c>
      <c r="CC871" s="13" t="n">
        <v>124</v>
      </c>
      <c r="CD871" s="13" t="n">
        <v>16.4</v>
      </c>
      <c r="CE871" s="13" t="n">
        <v>1863</v>
      </c>
      <c r="CF871" s="13" t="n">
        <v>0.98</v>
      </c>
      <c r="CG871" s="13" t="n">
        <v>1825</v>
      </c>
      <c r="CH871" s="13" t="n">
        <v>186</v>
      </c>
      <c r="CI871" s="13" t="n">
        <v>68</v>
      </c>
      <c r="CJ871" s="13" t="n">
        <v>46</v>
      </c>
      <c r="CK871" s="13" t="n">
        <v>267</v>
      </c>
      <c r="CL871" s="13" t="n">
        <v>41</v>
      </c>
      <c r="CM871" s="13" t="n">
        <v>325</v>
      </c>
      <c r="CN871" s="13" t="n">
        <v>0.892</v>
      </c>
      <c r="CO871" s="13" t="n">
        <v>125</v>
      </c>
      <c r="CP871" s="13" t="n">
        <v>82</v>
      </c>
      <c r="CQ871" s="13" t="n">
        <v>142</v>
      </c>
      <c r="CR871" s="13" t="n">
        <v>7</v>
      </c>
      <c r="CS871" s="13" t="n">
        <v>3.5</v>
      </c>
      <c r="CT871" s="11" t="inlineStr">
        <is>
          <t xml:space="preserve"> Freeski</t>
        </is>
      </c>
      <c r="CU871" s="13" t="n"/>
      <c r="CV871" s="13" t="n"/>
      <c r="CW871" s="13" t="n"/>
      <c r="CX871">
        <f>INDEX('Data_Price '!AG$2:AG$1266,MATCH(Data!$DN871,'Data_Price '!$AT$2:$AT$1266,0))</f>
        <v/>
      </c>
      <c r="CY871">
        <f>INDEX('Data_Price '!AH$2:AH$1266,MATCH(Data!$DN871,'Data_Price '!$AT$2:$AT$1266,0))</f>
        <v/>
      </c>
      <c r="CZ871">
        <f>INDEX('Data_Price '!AI$2:AI$1266,MATCH(Data!$DN871,'Data_Price '!$AT$2:$AT$1266,0))</f>
        <v/>
      </c>
      <c r="DA871">
        <f>INDEX('Data_Price '!AJ$2:AJ$1266,MATCH(Data!$DN871,'Data_Price '!$AT$2:$AT$1266,0))</f>
        <v/>
      </c>
      <c r="DB871">
        <f>INDEX('Data_Price '!AK$2:AK$1266,MATCH(Data!$DN871,'Data_Price '!$AT$2:$AT$1266,0))</f>
        <v/>
      </c>
      <c r="DC871">
        <f>INDEX('Data_Price '!AL$2:AL$1266,MATCH(Data!$DN871,'Data_Price '!$AT$2:$AT$1266,0))</f>
        <v/>
      </c>
      <c r="DD871">
        <f>INDEX('Data_Price '!AM$2:AM$1266,MATCH(Data!$DN871,'Data_Price '!$AT$2:$AT$1266,0))</f>
        <v/>
      </c>
      <c r="DE871">
        <f>INDEX('Data_Price '!AN$2:AN$1266,MATCH(Data!$DN871,'Data_Price '!$AT$2:$AT$1266,0))</f>
        <v/>
      </c>
      <c r="DF871">
        <f>INDEX('Data_Price '!AO$2:AO$1266,MATCH(Data!$DN871,'Data_Price '!$AT$2:$AT$1266,0))</f>
        <v/>
      </c>
      <c r="DG871">
        <f>INDEX('Data_Price '!AP$2:AP$1266,MATCH(Data!$DN871,'Data_Price '!$AT$2:$AT$1266,0))</f>
        <v/>
      </c>
      <c r="DH871">
        <f>INDEX('Data_Price '!AQ$2:AQ$1266,MATCH(Data!$DN871,'Data_Price '!$AT$2:$AT$1266,0))</f>
        <v/>
      </c>
      <c r="DI871">
        <f>INDEX('Data_Price '!AR$2:AR$1266,MATCH(Data!$DN871,'Data_Price '!$AT$2:$AT$1266,0))</f>
        <v/>
      </c>
      <c r="DJ871" s="138">
        <f>DA871</f>
        <v/>
      </c>
      <c r="DK871" s="138">
        <f>DE871</f>
        <v/>
      </c>
      <c r="DL871" s="138">
        <f>DI871</f>
        <v/>
      </c>
      <c r="DM871" s="303">
        <f>IF(LEFT(BT871,1)=" ",RIGHT(BT871,LEN(BT871)-1),BT871)</f>
        <v/>
      </c>
      <c r="DN871" s="138">
        <f>_xlfn.CONCAT(BS871,DM871,BU871,BV871)</f>
        <v/>
      </c>
      <c r="DO871" s="307" t="n"/>
    </row>
    <row r="872" ht="15.6" customHeight="1" s="184">
      <c r="B872" s="303">
        <f t="array" ref="B872">IF(OR(ISERROR(K872:P872)),FALSE,TRUE)</f>
        <v/>
      </c>
      <c r="C872" s="60">
        <f>OR(BR872=Driver!$G$50,Data!BR1164=Driver!$H$50)</f>
        <v/>
      </c>
      <c r="D872" s="60">
        <f>OR(BV872=Driver!$G$51,BV872=Driver!$H$51)</f>
        <v/>
      </c>
      <c r="E872" s="60">
        <f>AND(BX872&gt;Driver!$F$54,BX872&lt;Driver!$G$54)</f>
        <v/>
      </c>
      <c r="F872" s="60">
        <f>CL872&gt;Driver!$F$56</f>
        <v/>
      </c>
      <c r="G872" s="60">
        <f>AND(CB872&gt;Driver!$F$55,CB872&lt;Driver!$G$55)</f>
        <v/>
      </c>
      <c r="H872" s="60">
        <f>AND(B872:G872)</f>
        <v/>
      </c>
      <c r="I872" s="60">
        <f>COUNTIFS($H$9:$H$1273,TRUE,$BT$9:$BT$1273,BT872)</f>
        <v/>
      </c>
      <c r="J872" s="60">
        <f t="array" ref="J872">NOT(OR(($H$9:$H$1273=TRUE)*($I$9:$I$1273&gt;0)*($BT$9:$BT$1273=BT872)*($K$9:$K$1273&gt;K872)))</f>
        <v/>
      </c>
      <c r="K872" s="108">
        <f>IFERROR(1-AVERAGE(X872:Y872),"")</f>
        <v/>
      </c>
      <c r="L872" s="108">
        <f>1-X872</f>
        <v/>
      </c>
      <c r="M872" s="108">
        <f>1-Y872</f>
        <v/>
      </c>
      <c r="N872" s="108">
        <f>1-Z872</f>
        <v/>
      </c>
      <c r="O872" s="108">
        <f>1-AA872</f>
        <v/>
      </c>
      <c r="P872" s="108">
        <f>1-AB872</f>
        <v/>
      </c>
      <c r="Q872" s="108" t="n"/>
      <c r="R872" s="108" t="n"/>
      <c r="S872" s="108">
        <f>1-AE872</f>
        <v/>
      </c>
      <c r="T872" s="108">
        <f>1-AF872</f>
        <v/>
      </c>
      <c r="U872" s="108">
        <f>1-AG872</f>
        <v/>
      </c>
      <c r="V872" s="108">
        <f>1-AH872</f>
        <v/>
      </c>
      <c r="W872" s="108">
        <f>1-AI872</f>
        <v/>
      </c>
      <c r="X872" s="108">
        <f>ABS(AJ872-AJ$1)</f>
        <v/>
      </c>
      <c r="Y872" s="108">
        <f>AVERAGE(Z872:AB872)</f>
        <v/>
      </c>
      <c r="Z872" s="108">
        <f>ABS(AL872-AL$1)</f>
        <v/>
      </c>
      <c r="AA872" s="108">
        <f>ABS(AM872-AM$1)</f>
        <v/>
      </c>
      <c r="AB872" s="108">
        <f>ABS(AN872-AN$1)</f>
        <v/>
      </c>
      <c r="AC872" s="108" t="n"/>
      <c r="AD872" s="108" t="n"/>
      <c r="AE872" s="108">
        <f>ABS(AQ$1-AQ872)</f>
        <v/>
      </c>
      <c r="AF872" s="108">
        <f>ABS(AR$1-AR872)</f>
        <v/>
      </c>
      <c r="AG872" s="108">
        <f>ABS(AS$1-AS872)</f>
        <v/>
      </c>
      <c r="AH872" s="108">
        <f>ABS(AT$1-AT872)</f>
        <v/>
      </c>
      <c r="AI872" s="108">
        <f>ABS(AU$1-AU872)</f>
        <v/>
      </c>
      <c r="AJ872" s="108">
        <f>(AV872-Driver!$K$179)/(Driver!$L$179-Driver!$K$179)</f>
        <v/>
      </c>
      <c r="AK872" s="108">
        <f>(AW872-Driver!$K$180)/(Driver!$L$180-Driver!$K$180)</f>
        <v/>
      </c>
      <c r="AL872" s="108">
        <f>(AX872-Driver!$K$181)/(Driver!$L$181-Driver!$K$181)</f>
        <v/>
      </c>
      <c r="AM872" s="108">
        <f>(AY872-Driver!$K$182)/(Driver!$L$182-Driver!$K$182)</f>
        <v/>
      </c>
      <c r="AN872" s="108">
        <f>(AZ872-Driver!$K$183)/(Driver!$L$183-Driver!$K$183)</f>
        <v/>
      </c>
      <c r="AO872" s="108" t="n"/>
      <c r="AP872" s="108" t="n"/>
      <c r="AQ872" s="108">
        <f>(BC872-Driver!$K$188)/(Driver!$L$188-Driver!$K$188)</f>
        <v/>
      </c>
      <c r="AR872" s="108">
        <f>MIN((BD872-Driver!$K$189)/(Driver!$L$189-Driver!$K$189),100%)</f>
        <v/>
      </c>
      <c r="AS872" s="108">
        <f>(BE872-Driver!$K$190)/(Driver!$L$190-Driver!$K$190)</f>
        <v/>
      </c>
      <c r="AT872" s="108">
        <f>(BF872-Driver!$K$191)/(Driver!$L$191-Driver!$K$191)</f>
        <v/>
      </c>
      <c r="AU872" s="108">
        <f>(BG872-Driver!$K$192)/(Driver!$L$192-Driver!$K$192)</f>
        <v/>
      </c>
      <c r="AV872" s="105">
        <f>IFERROR(BM872*BJ872^1/4,"")</f>
        <v/>
      </c>
      <c r="AW872" s="105">
        <f>IFERROR(SUM(AX872:AZ872),"")</f>
        <v/>
      </c>
      <c r="AX872" s="105">
        <f>IFERROR(BH872,"")</f>
        <v/>
      </c>
      <c r="AY872" s="105">
        <f>IFERROR(Driver!$K$19/Data!BH872/Data!BI872*Data!BK872*Data!BL872,"")</f>
        <v/>
      </c>
      <c r="AZ872" s="105">
        <f>IFERROR(BI872*BN872,"")</f>
        <v/>
      </c>
      <c r="BA872" s="105" t="n"/>
      <c r="BB872" s="105" t="n"/>
      <c r="BC872" s="105">
        <f>IFERROR(BI872*BN872*BK872/BJ872^(1/2),"")</f>
        <v/>
      </c>
      <c r="BD872" s="105">
        <f>IFERROR(BH872*BM872*BL872/BJ872/BK872,"")</f>
        <v/>
      </c>
      <c r="BE872" s="105">
        <f>IFERROR(MIN(BI872/BQ872/BP872/BO872/BH872,$BE$1),"")</f>
        <v/>
      </c>
      <c r="BF872" s="105">
        <f>IFERROR(BJ872*BO872*BP872/BK872,"")</f>
        <v/>
      </c>
      <c r="BG872" s="105">
        <f>IFERROR(1/BM872/BH872*BQ872,"")</f>
        <v/>
      </c>
      <c r="BH872" s="102">
        <f>MAX((CE872-Driver!$F$200)/(Driver!$G$200-Driver!$F$200)*$BI$1,1)</f>
        <v/>
      </c>
      <c r="BI872" s="102">
        <f>MAX($BI$1*(BY872-Driver!$F$201)/(Driver!$G$201-Driver!$F$201),1)</f>
        <v/>
      </c>
      <c r="BJ872" s="102">
        <f>(CB872-Driver!$F$206)/(Driver!$G$206-Driver!$F$206)*$BI$1</f>
        <v/>
      </c>
      <c r="BK872" s="102">
        <f>(CD872-Driver!$F$203)/(Driver!$G$203-Driver!$F$203)*$BI$1</f>
        <v/>
      </c>
      <c r="BL872" s="102">
        <f>MAX((CR872-Driver!$F$202)/(Driver!$G$202-Driver!$F$202)*$BI$1,1)</f>
        <v/>
      </c>
      <c r="BM872" s="102">
        <f>MAX((CH872-Driver!$F$204)/(Driver!$G$204-Driver!$F$204)*$BI$1,1)</f>
        <v/>
      </c>
      <c r="BN872" s="102">
        <f>(CI872-Driver!$F$205)/(Driver!$G$205-Driver!$F$205)*$BI$1</f>
        <v/>
      </c>
      <c r="BO872" s="102">
        <f>(CK872-Driver!$F$207)/(Driver!$G$207-Driver!$F$207)*$BI$1</f>
        <v/>
      </c>
      <c r="BP872" s="102">
        <f>(CM872-Driver!$F$208)/(Driver!$G$208-Driver!$F$208)*$BI$1</f>
        <v/>
      </c>
      <c r="BQ872" s="102">
        <f>(CL872-Driver!$F$209)/(Driver!$G$209-Driver!$F$209)*$BI$1</f>
        <v/>
      </c>
      <c r="BR872" s="40" t="inlineStr">
        <is>
          <t>21/22</t>
        </is>
      </c>
      <c r="BS872" s="10" t="inlineStr">
        <is>
          <t xml:space="preserve"> Völkl</t>
        </is>
      </c>
      <c r="BT872" s="11" t="inlineStr">
        <is>
          <t>Blaze 86</t>
        </is>
      </c>
      <c r="BU872" s="13" t="n">
        <v>166</v>
      </c>
      <c r="BV872" s="11" t="inlineStr">
        <is>
          <t xml:space="preserve"> Unisex</t>
        </is>
      </c>
      <c r="BW872" s="13" t="n">
        <v>166</v>
      </c>
      <c r="BX872" s="13" t="n">
        <v>167.2</v>
      </c>
      <c r="BY872" s="13" t="n">
        <v>121</v>
      </c>
      <c r="BZ872" s="13" t="n">
        <v>143</v>
      </c>
      <c r="CA872" s="13" t="n">
        <v>128</v>
      </c>
      <c r="CB872" s="13" t="n">
        <v>86</v>
      </c>
      <c r="CC872" s="13" t="n">
        <v>110</v>
      </c>
      <c r="CD872" s="13" t="n">
        <v>14.2</v>
      </c>
      <c r="CE872" s="13" t="n">
        <v>1380</v>
      </c>
      <c r="CF872" s="13" t="n">
        <v>1.2</v>
      </c>
      <c r="CG872" s="13" t="n">
        <v>1662</v>
      </c>
      <c r="CH872" s="13" t="n">
        <v>163</v>
      </c>
      <c r="CI872" s="13" t="n">
        <v>74</v>
      </c>
      <c r="CJ872" s="13" t="n">
        <v>45</v>
      </c>
      <c r="CK872" s="13" t="n">
        <v>286</v>
      </c>
      <c r="CL872" s="13" t="n">
        <v>18</v>
      </c>
      <c r="CM872" s="13" t="n">
        <v>177</v>
      </c>
      <c r="CN872" s="13" t="n">
        <v>0.39</v>
      </c>
      <c r="CO872" s="13" t="n">
        <v>146</v>
      </c>
      <c r="CP872" s="13" t="n">
        <v>100</v>
      </c>
      <c r="CQ872" s="13" t="n">
        <v>140</v>
      </c>
      <c r="CR872" s="13" t="n">
        <v>3</v>
      </c>
      <c r="CS872" s="13" t="n">
        <v>11.9</v>
      </c>
      <c r="CT872" s="11" t="inlineStr">
        <is>
          <t xml:space="preserve"> Resort Freeride</t>
        </is>
      </c>
      <c r="CU872" s="11" t="inlineStr">
        <is>
          <t xml:space="preserve"> Touring</t>
        </is>
      </c>
      <c r="CV872" s="13" t="n"/>
      <c r="CW872" s="13" t="n"/>
      <c r="CX872">
        <f>INDEX('Data_Price '!AG$2:AG$1266,MATCH(Data!$DN872,'Data_Price '!$AT$2:$AT$1266,0))</f>
        <v/>
      </c>
      <c r="CY872">
        <f>INDEX('Data_Price '!AH$2:AH$1266,MATCH(Data!$DN872,'Data_Price '!$AT$2:$AT$1266,0))</f>
        <v/>
      </c>
      <c r="CZ872">
        <f>INDEX('Data_Price '!AI$2:AI$1266,MATCH(Data!$DN872,'Data_Price '!$AT$2:$AT$1266,0))</f>
        <v/>
      </c>
      <c r="DA872">
        <f>INDEX('Data_Price '!AJ$2:AJ$1266,MATCH(Data!$DN872,'Data_Price '!$AT$2:$AT$1266,0))</f>
        <v/>
      </c>
      <c r="DB872">
        <f>INDEX('Data_Price '!AK$2:AK$1266,MATCH(Data!$DN872,'Data_Price '!$AT$2:$AT$1266,0))</f>
        <v/>
      </c>
      <c r="DC872">
        <f>INDEX('Data_Price '!AL$2:AL$1266,MATCH(Data!$DN872,'Data_Price '!$AT$2:$AT$1266,0))</f>
        <v/>
      </c>
      <c r="DD872">
        <f>INDEX('Data_Price '!AM$2:AM$1266,MATCH(Data!$DN872,'Data_Price '!$AT$2:$AT$1266,0))</f>
        <v/>
      </c>
      <c r="DE872">
        <f>INDEX('Data_Price '!AN$2:AN$1266,MATCH(Data!$DN872,'Data_Price '!$AT$2:$AT$1266,0))</f>
        <v/>
      </c>
      <c r="DF872">
        <f>INDEX('Data_Price '!AO$2:AO$1266,MATCH(Data!$DN872,'Data_Price '!$AT$2:$AT$1266,0))</f>
        <v/>
      </c>
      <c r="DG872">
        <f>INDEX('Data_Price '!AP$2:AP$1266,MATCH(Data!$DN872,'Data_Price '!$AT$2:$AT$1266,0))</f>
        <v/>
      </c>
      <c r="DH872">
        <f>INDEX('Data_Price '!AQ$2:AQ$1266,MATCH(Data!$DN872,'Data_Price '!$AT$2:$AT$1266,0))</f>
        <v/>
      </c>
      <c r="DI872">
        <f>INDEX('Data_Price '!AR$2:AR$1266,MATCH(Data!$DN872,'Data_Price '!$AT$2:$AT$1266,0))</f>
        <v/>
      </c>
      <c r="DJ872" s="138">
        <f>DA872</f>
        <v/>
      </c>
      <c r="DK872" s="138">
        <f>DE872</f>
        <v/>
      </c>
      <c r="DL872" s="138">
        <f>DI872</f>
        <v/>
      </c>
      <c r="DM872" s="303">
        <f>IF(LEFT(BT872,1)=" ",RIGHT(BT872,LEN(BT872)-1),BT872)</f>
        <v/>
      </c>
      <c r="DN872" s="138">
        <f>_xlfn.CONCAT(BS872,DM872,BU872,BV872)</f>
        <v/>
      </c>
      <c r="DO872" s="307" t="inlineStr">
        <is>
          <t>https://images.evo.com/imgp/250/208358/837604/clone.jpg</t>
        </is>
      </c>
    </row>
    <row r="873" ht="15.6" customHeight="1" s="184">
      <c r="B873" s="303">
        <f t="array" ref="B873">IF(OR(ISERROR(K873:P873)),FALSE,TRUE)</f>
        <v/>
      </c>
      <c r="C873" s="60">
        <f>OR(BR873=Driver!$G$50,Data!BR254=Driver!$H$50)</f>
        <v/>
      </c>
      <c r="D873" s="60">
        <f>OR(BV873=Driver!$G$51,BV873=Driver!$H$51)</f>
        <v/>
      </c>
      <c r="E873" s="60">
        <f>AND(BX873&gt;Driver!$F$54,BX873&lt;Driver!$G$54)</f>
        <v/>
      </c>
      <c r="F873" s="60">
        <f>CL873&gt;Driver!$F$56</f>
        <v/>
      </c>
      <c r="G873" s="60">
        <f>AND(CB873&gt;Driver!$F$55,CB873&lt;Driver!$G$55)</f>
        <v/>
      </c>
      <c r="H873" s="60">
        <f>AND(B873:G873)</f>
        <v/>
      </c>
      <c r="I873" s="60">
        <f>COUNTIFS($H$9:$H$1273,TRUE,$BT$9:$BT$1273,BT873)</f>
        <v/>
      </c>
      <c r="J873" s="60">
        <f t="array" ref="J873">NOT(OR(($H$9:$H$1273=TRUE)*($I$9:$I$1273&gt;0)*($BT$9:$BT$1273=BT873)*($K$9:$K$1273&gt;K873)))</f>
        <v/>
      </c>
      <c r="K873" s="108">
        <f>IFERROR(1-AVERAGE(X873:Y873),"")</f>
        <v/>
      </c>
      <c r="L873" s="108">
        <f>1-X873</f>
        <v/>
      </c>
      <c r="M873" s="108">
        <f>1-Y873</f>
        <v/>
      </c>
      <c r="N873" s="108">
        <f>1-Z873</f>
        <v/>
      </c>
      <c r="O873" s="108">
        <f>1-AA873</f>
        <v/>
      </c>
      <c r="P873" s="108">
        <f>1-AB873</f>
        <v/>
      </c>
      <c r="Q873" s="108" t="n"/>
      <c r="R873" s="108" t="n"/>
      <c r="S873" s="108">
        <f>1-AE873</f>
        <v/>
      </c>
      <c r="T873" s="108">
        <f>1-AF873</f>
        <v/>
      </c>
      <c r="U873" s="108">
        <f>1-AG873</f>
        <v/>
      </c>
      <c r="V873" s="108">
        <f>1-AH873</f>
        <v/>
      </c>
      <c r="W873" s="108">
        <f>1-AI873</f>
        <v/>
      </c>
      <c r="X873" s="108">
        <f>ABS(AJ873-AJ$1)</f>
        <v/>
      </c>
      <c r="Y873" s="108">
        <f>AVERAGE(Z873:AB873)</f>
        <v/>
      </c>
      <c r="Z873" s="108">
        <f>ABS(AL873-AL$1)</f>
        <v/>
      </c>
      <c r="AA873" s="108">
        <f>ABS(AM873-AM$1)</f>
        <v/>
      </c>
      <c r="AB873" s="108">
        <f>ABS(AN873-AN$1)</f>
        <v/>
      </c>
      <c r="AC873" s="108" t="n"/>
      <c r="AD873" s="108" t="n"/>
      <c r="AE873" s="108">
        <f>ABS(AQ$1-AQ873)</f>
        <v/>
      </c>
      <c r="AF873" s="108">
        <f>ABS(AR$1-AR873)</f>
        <v/>
      </c>
      <c r="AG873" s="108">
        <f>ABS(AS$1-AS873)</f>
        <v/>
      </c>
      <c r="AH873" s="108">
        <f>ABS(AT$1-AT873)</f>
        <v/>
      </c>
      <c r="AI873" s="108">
        <f>ABS(AU$1-AU873)</f>
        <v/>
      </c>
      <c r="AJ873" s="108">
        <f>(AV873-Driver!$K$179)/(Driver!$L$179-Driver!$K$179)</f>
        <v/>
      </c>
      <c r="AK873" s="108">
        <f>(AW873-Driver!$K$180)/(Driver!$L$180-Driver!$K$180)</f>
        <v/>
      </c>
      <c r="AL873" s="108">
        <f>(AX873-Driver!$K$181)/(Driver!$L$181-Driver!$K$181)</f>
        <v/>
      </c>
      <c r="AM873" s="108">
        <f>(AY873-Driver!$K$182)/(Driver!$L$182-Driver!$K$182)</f>
        <v/>
      </c>
      <c r="AN873" s="108">
        <f>(AZ873-Driver!$K$183)/(Driver!$L$183-Driver!$K$183)</f>
        <v/>
      </c>
      <c r="AO873" s="108" t="n"/>
      <c r="AP873" s="108" t="n"/>
      <c r="AQ873" s="108">
        <f>(BC873-Driver!$K$188)/(Driver!$L$188-Driver!$K$188)</f>
        <v/>
      </c>
      <c r="AR873" s="108">
        <f>MIN((BD873-Driver!$K$189)/(Driver!$L$189-Driver!$K$189),100%)</f>
        <v/>
      </c>
      <c r="AS873" s="108">
        <f>(BE873-Driver!$K$190)/(Driver!$L$190-Driver!$K$190)</f>
        <v/>
      </c>
      <c r="AT873" s="108">
        <f>(BF873-Driver!$K$191)/(Driver!$L$191-Driver!$K$191)</f>
        <v/>
      </c>
      <c r="AU873" s="108">
        <f>(BG873-Driver!$K$192)/(Driver!$L$192-Driver!$K$192)</f>
        <v/>
      </c>
      <c r="AV873" s="105">
        <f>IFERROR(BM873*BJ873^1/4,"")</f>
        <v/>
      </c>
      <c r="AW873" s="105">
        <f>IFERROR(SUM(AX873:AZ873),"")</f>
        <v/>
      </c>
      <c r="AX873" s="105">
        <f>IFERROR(BH873,"")</f>
        <v/>
      </c>
      <c r="AY873" s="105">
        <f>IFERROR(Driver!$K$19/Data!BH873/Data!BI873*Data!BK873*Data!BL873,"")</f>
        <v/>
      </c>
      <c r="AZ873" s="105">
        <f>IFERROR(BI873*BN873,"")</f>
        <v/>
      </c>
      <c r="BA873" s="105" t="n"/>
      <c r="BB873" s="105" t="n"/>
      <c r="BC873" s="105">
        <f>IFERROR(BI873*BN873*BK873/BJ873^(1/2),"")</f>
        <v/>
      </c>
      <c r="BD873" s="105">
        <f>IFERROR(BH873*BM873*BL873/BJ873/BK873,"")</f>
        <v/>
      </c>
      <c r="BE873" s="105">
        <f>IFERROR(MIN(BI873/BQ873/BP873/BO873/BH873,$BE$1),"")</f>
        <v/>
      </c>
      <c r="BF873" s="105">
        <f>IFERROR(BJ873*BO873*BP873/BK873,"")</f>
        <v/>
      </c>
      <c r="BG873" s="105">
        <f>IFERROR(1/BM873/BH873*BQ873,"")</f>
        <v/>
      </c>
      <c r="BH873" s="102">
        <f>MAX((CE873-Driver!$F$200)/(Driver!$G$200-Driver!$F$200)*$BI$1,1)</f>
        <v/>
      </c>
      <c r="BI873" s="102">
        <f>MAX($BI$1*(BY873-Driver!$F$201)/(Driver!$G$201-Driver!$F$201),1)</f>
        <v/>
      </c>
      <c r="BJ873" s="102">
        <f>(CB873-Driver!$F$206)/(Driver!$G$206-Driver!$F$206)*$BI$1</f>
        <v/>
      </c>
      <c r="BK873" s="102">
        <f>(CD873-Driver!$F$203)/(Driver!$G$203-Driver!$F$203)*$BI$1</f>
        <v/>
      </c>
      <c r="BL873" s="102">
        <f>MAX((CR873-Driver!$F$202)/(Driver!$G$202-Driver!$F$202)*$BI$1,1)</f>
        <v/>
      </c>
      <c r="BM873" s="102">
        <f>MAX((CH873-Driver!$F$204)/(Driver!$G$204-Driver!$F$204)*$BI$1,1)</f>
        <v/>
      </c>
      <c r="BN873" s="102">
        <f>(CI873-Driver!$F$205)/(Driver!$G$205-Driver!$F$205)*$BI$1</f>
        <v/>
      </c>
      <c r="BO873" s="102">
        <f>(CK873-Driver!$F$207)/(Driver!$G$207-Driver!$F$207)*$BI$1</f>
        <v/>
      </c>
      <c r="BP873" s="102">
        <f>(CM873-Driver!$F$208)/(Driver!$G$208-Driver!$F$208)*$BI$1</f>
        <v/>
      </c>
      <c r="BQ873" s="102">
        <f>(CL873-Driver!$F$209)/(Driver!$G$209-Driver!$F$209)*$BI$1</f>
        <v/>
      </c>
      <c r="BR873" s="40" t="inlineStr">
        <is>
          <t>21/22</t>
        </is>
      </c>
      <c r="BS873" s="10" t="inlineStr">
        <is>
          <t xml:space="preserve"> Blizzard</t>
        </is>
      </c>
      <c r="BT873" s="11" t="inlineStr">
        <is>
          <t>Black Pearl 82</t>
        </is>
      </c>
      <c r="BU873" s="13" t="n">
        <v>152</v>
      </c>
      <c r="BV873" s="11" t="inlineStr">
        <is>
          <t xml:space="preserve"> Women's</t>
        </is>
      </c>
      <c r="BW873" s="13" t="n">
        <v>152</v>
      </c>
      <c r="BX873" s="13" t="n">
        <v>150.1</v>
      </c>
      <c r="BY873" s="13" t="n">
        <v>114</v>
      </c>
      <c r="BZ873" s="13" t="n">
        <v>129</v>
      </c>
      <c r="CA873" s="13" t="n">
        <v>118</v>
      </c>
      <c r="CB873" s="13" t="n">
        <v>81</v>
      </c>
      <c r="CC873" s="13" t="n">
        <v>102</v>
      </c>
      <c r="CD873" s="13" t="n">
        <v>13.4</v>
      </c>
      <c r="CE873" s="13" t="n">
        <v>1479</v>
      </c>
      <c r="CF873" s="13" t="n">
        <v>0.9399999999999999</v>
      </c>
      <c r="CG873" s="13" t="n">
        <v>1391</v>
      </c>
      <c r="CH873" s="13" t="n">
        <v>154</v>
      </c>
      <c r="CI873" s="13" t="n">
        <v>73</v>
      </c>
      <c r="CJ873" s="13" t="n">
        <v>54</v>
      </c>
      <c r="CK873" s="13" t="n">
        <v>252</v>
      </c>
      <c r="CL873" s="13" t="n">
        <v>7</v>
      </c>
      <c r="CM873" s="13" t="n">
        <v>109</v>
      </c>
      <c r="CN873" s="13" t="n">
        <v>0.132</v>
      </c>
      <c r="CO873" s="13" t="n">
        <v>114</v>
      </c>
      <c r="CP873" s="13" t="n">
        <v>99</v>
      </c>
      <c r="CQ873" s="13" t="n">
        <v>138</v>
      </c>
      <c r="CR873" s="13" t="n">
        <v>3</v>
      </c>
      <c r="CS873" s="13" t="n">
        <v>10.9</v>
      </c>
      <c r="CT873" s="11" t="inlineStr">
        <is>
          <t xml:space="preserve"> On-Piste All-Mountain</t>
        </is>
      </c>
      <c r="CU873" s="11" t="inlineStr">
        <is>
          <t xml:space="preserve"> Resort Freeride</t>
        </is>
      </c>
      <c r="CV873" s="13" t="n"/>
      <c r="CW873" s="13" t="n"/>
      <c r="CX873">
        <f>INDEX('Data_Price '!AG$2:AG$1266,MATCH(Data!$DN873,'Data_Price '!$AT$2:$AT$1266,0))</f>
        <v/>
      </c>
      <c r="CY873">
        <f>INDEX('Data_Price '!AH$2:AH$1266,MATCH(Data!$DN873,'Data_Price '!$AT$2:$AT$1266,0))</f>
        <v/>
      </c>
      <c r="CZ873">
        <f>INDEX('Data_Price '!AI$2:AI$1266,MATCH(Data!$DN873,'Data_Price '!$AT$2:$AT$1266,0))</f>
        <v/>
      </c>
      <c r="DA873">
        <f>INDEX('Data_Price '!AJ$2:AJ$1266,MATCH(Data!$DN873,'Data_Price '!$AT$2:$AT$1266,0))</f>
        <v/>
      </c>
      <c r="DB873">
        <f>INDEX('Data_Price '!AK$2:AK$1266,MATCH(Data!$DN873,'Data_Price '!$AT$2:$AT$1266,0))</f>
        <v/>
      </c>
      <c r="DC873">
        <f>INDEX('Data_Price '!AL$2:AL$1266,MATCH(Data!$DN873,'Data_Price '!$AT$2:$AT$1266,0))</f>
        <v/>
      </c>
      <c r="DD873">
        <f>INDEX('Data_Price '!AM$2:AM$1266,MATCH(Data!$DN873,'Data_Price '!$AT$2:$AT$1266,0))</f>
        <v/>
      </c>
      <c r="DE873">
        <f>INDEX('Data_Price '!AN$2:AN$1266,MATCH(Data!$DN873,'Data_Price '!$AT$2:$AT$1266,0))</f>
        <v/>
      </c>
      <c r="DF873">
        <f>INDEX('Data_Price '!AO$2:AO$1266,MATCH(Data!$DN873,'Data_Price '!$AT$2:$AT$1266,0))</f>
        <v/>
      </c>
      <c r="DG873">
        <f>INDEX('Data_Price '!AP$2:AP$1266,MATCH(Data!$DN873,'Data_Price '!$AT$2:$AT$1266,0))</f>
        <v/>
      </c>
      <c r="DH873">
        <f>INDEX('Data_Price '!AQ$2:AQ$1266,MATCH(Data!$DN873,'Data_Price '!$AT$2:$AT$1266,0))</f>
        <v/>
      </c>
      <c r="DI873">
        <f>INDEX('Data_Price '!AR$2:AR$1266,MATCH(Data!$DN873,'Data_Price '!$AT$2:$AT$1266,0))</f>
        <v/>
      </c>
      <c r="DJ873" s="138">
        <f>DA873</f>
        <v/>
      </c>
      <c r="DK873" s="138">
        <f>DE873</f>
        <v/>
      </c>
      <c r="DL873" s="138">
        <f>DI873</f>
        <v/>
      </c>
      <c r="DM873" s="303">
        <f>IF(LEFT(BT873,1)=" ",RIGHT(BT873,LEN(BT873)-1),BT873)</f>
        <v/>
      </c>
      <c r="DN873" s="138">
        <f>_xlfn.CONCAT(BS873,DM873,BU873,BV873)</f>
        <v/>
      </c>
      <c r="DO873" s="307" t="inlineStr">
        <is>
          <t>https://images.evo.com/imgp/250/197473/825189/blizzard-black-pearl-82-skis-women-s-2022-.jpg</t>
        </is>
      </c>
    </row>
    <row r="874" ht="15.6" customHeight="1" s="184">
      <c r="B874" s="303">
        <f t="array" ref="B874">IF(OR(ISERROR(K874:P874)),FALSE,TRUE)</f>
        <v/>
      </c>
      <c r="C874" s="60">
        <f>OR(BR874=Driver!$G$50,Data!BR590=Driver!$H$50)</f>
        <v/>
      </c>
      <c r="D874" s="60">
        <f>OR(BV874=Driver!$G$51,BV874=Driver!$H$51)</f>
        <v/>
      </c>
      <c r="E874" s="60">
        <f>AND(BX874&gt;Driver!$F$54,BX874&lt;Driver!$G$54)</f>
        <v/>
      </c>
      <c r="F874" s="60">
        <f>CL874&gt;Driver!$F$56</f>
        <v/>
      </c>
      <c r="G874" s="60">
        <f>AND(CB874&gt;Driver!$F$55,CB874&lt;Driver!$G$55)</f>
        <v/>
      </c>
      <c r="H874" s="60">
        <f>AND(B874:G874)</f>
        <v/>
      </c>
      <c r="I874" s="60">
        <f>COUNTIFS($H$9:$H$1273,TRUE,$BT$9:$BT$1273,BT874)</f>
        <v/>
      </c>
      <c r="J874" s="60">
        <f t="array" ref="J874">NOT(OR(($H$9:$H$1273=TRUE)*($I$9:$I$1273&gt;0)*($BT$9:$BT$1273=BT874)*($K$9:$K$1273&gt;K874)))</f>
        <v/>
      </c>
      <c r="K874" s="108">
        <f>IFERROR(1-AVERAGE(X874:Y874),"")</f>
        <v/>
      </c>
      <c r="L874" s="108">
        <f>1-X874</f>
        <v/>
      </c>
      <c r="M874" s="108">
        <f>1-Y874</f>
        <v/>
      </c>
      <c r="N874" s="108">
        <f>1-Z874</f>
        <v/>
      </c>
      <c r="O874" s="108">
        <f>1-AA874</f>
        <v/>
      </c>
      <c r="P874" s="108">
        <f>1-AB874</f>
        <v/>
      </c>
      <c r="Q874" s="108" t="n"/>
      <c r="R874" s="108" t="n"/>
      <c r="S874" s="108">
        <f>1-AE874</f>
        <v/>
      </c>
      <c r="T874" s="108">
        <f>1-AF874</f>
        <v/>
      </c>
      <c r="U874" s="108">
        <f>1-AG874</f>
        <v/>
      </c>
      <c r="V874" s="108">
        <f>1-AH874</f>
        <v/>
      </c>
      <c r="W874" s="108">
        <f>1-AI874</f>
        <v/>
      </c>
      <c r="X874" s="108">
        <f>ABS(AJ874-AJ$1)</f>
        <v/>
      </c>
      <c r="Y874" s="108">
        <f>AVERAGE(Z874:AB874)</f>
        <v/>
      </c>
      <c r="Z874" s="108">
        <f>ABS(AL874-AL$1)</f>
        <v/>
      </c>
      <c r="AA874" s="108">
        <f>ABS(AM874-AM$1)</f>
        <v/>
      </c>
      <c r="AB874" s="108">
        <f>ABS(AN874-AN$1)</f>
        <v/>
      </c>
      <c r="AC874" s="108" t="n"/>
      <c r="AD874" s="108" t="n"/>
      <c r="AE874" s="108">
        <f>ABS(AQ$1-AQ874)</f>
        <v/>
      </c>
      <c r="AF874" s="108">
        <f>ABS(AR$1-AR874)</f>
        <v/>
      </c>
      <c r="AG874" s="108">
        <f>ABS(AS$1-AS874)</f>
        <v/>
      </c>
      <c r="AH874" s="108">
        <f>ABS(AT$1-AT874)</f>
        <v/>
      </c>
      <c r="AI874" s="108">
        <f>ABS(AU$1-AU874)</f>
        <v/>
      </c>
      <c r="AJ874" s="108">
        <f>(AV874-Driver!$K$179)/(Driver!$L$179-Driver!$K$179)</f>
        <v/>
      </c>
      <c r="AK874" s="108">
        <f>(AW874-Driver!$K$180)/(Driver!$L$180-Driver!$K$180)</f>
        <v/>
      </c>
      <c r="AL874" s="108">
        <f>(AX874-Driver!$K$181)/(Driver!$L$181-Driver!$K$181)</f>
        <v/>
      </c>
      <c r="AM874" s="108">
        <f>(AY874-Driver!$K$182)/(Driver!$L$182-Driver!$K$182)</f>
        <v/>
      </c>
      <c r="AN874" s="108">
        <f>(AZ874-Driver!$K$183)/(Driver!$L$183-Driver!$K$183)</f>
        <v/>
      </c>
      <c r="AO874" s="108" t="n"/>
      <c r="AP874" s="108" t="n"/>
      <c r="AQ874" s="108">
        <f>(BC874-Driver!$K$188)/(Driver!$L$188-Driver!$K$188)</f>
        <v/>
      </c>
      <c r="AR874" s="108">
        <f>MIN((BD874-Driver!$K$189)/(Driver!$L$189-Driver!$K$189),100%)</f>
        <v/>
      </c>
      <c r="AS874" s="108">
        <f>(BE874-Driver!$K$190)/(Driver!$L$190-Driver!$K$190)</f>
        <v/>
      </c>
      <c r="AT874" s="108">
        <f>(BF874-Driver!$K$191)/(Driver!$L$191-Driver!$K$191)</f>
        <v/>
      </c>
      <c r="AU874" s="108">
        <f>(BG874-Driver!$K$192)/(Driver!$L$192-Driver!$K$192)</f>
        <v/>
      </c>
      <c r="AV874" s="105">
        <f>IFERROR(BM874*BJ874^1/4,"")</f>
        <v/>
      </c>
      <c r="AW874" s="105">
        <f>IFERROR(SUM(AX874:AZ874),"")</f>
        <v/>
      </c>
      <c r="AX874" s="105">
        <f>IFERROR(BH874,"")</f>
        <v/>
      </c>
      <c r="AY874" s="105">
        <f>IFERROR(Driver!$K$19/Data!BH874/Data!BI874*Data!BK874*Data!BL874,"")</f>
        <v/>
      </c>
      <c r="AZ874" s="105">
        <f>IFERROR(BI874*BN874,"")</f>
        <v/>
      </c>
      <c r="BA874" s="105" t="n"/>
      <c r="BB874" s="105" t="n"/>
      <c r="BC874" s="105">
        <f>IFERROR(BI874*BN874*BK874/BJ874^(1/2),"")</f>
        <v/>
      </c>
      <c r="BD874" s="105">
        <f>IFERROR(BH874*BM874*BL874/BJ874/BK874,"")</f>
        <v/>
      </c>
      <c r="BE874" s="105">
        <f>IFERROR(MIN(BI874/BQ874/BP874/BO874/BH874,$BE$1),"")</f>
        <v/>
      </c>
      <c r="BF874" s="105">
        <f>IFERROR(BJ874*BO874*BP874/BK874,"")</f>
        <v/>
      </c>
      <c r="BG874" s="105">
        <f>IFERROR(1/BM874/BH874*BQ874,"")</f>
        <v/>
      </c>
      <c r="BH874" s="102">
        <f>MAX((CE874-Driver!$F$200)/(Driver!$G$200-Driver!$F$200)*$BI$1,1)</f>
        <v/>
      </c>
      <c r="BI874" s="102">
        <f>MAX($BI$1*(BY874-Driver!$F$201)/(Driver!$G$201-Driver!$F$201),1)</f>
        <v/>
      </c>
      <c r="BJ874" s="102">
        <f>(CB874-Driver!$F$206)/(Driver!$G$206-Driver!$F$206)*$BI$1</f>
        <v/>
      </c>
      <c r="BK874" s="102">
        <f>(CD874-Driver!$F$203)/(Driver!$G$203-Driver!$F$203)*$BI$1</f>
        <v/>
      </c>
      <c r="BL874" s="102">
        <f>MAX((CR874-Driver!$F$202)/(Driver!$G$202-Driver!$F$202)*$BI$1,1)</f>
        <v/>
      </c>
      <c r="BM874" s="102">
        <f>MAX((CH874-Driver!$F$204)/(Driver!$G$204-Driver!$F$204)*$BI$1,1)</f>
        <v/>
      </c>
      <c r="BN874" s="102">
        <f>(CI874-Driver!$F$205)/(Driver!$G$205-Driver!$F$205)*$BI$1</f>
        <v/>
      </c>
      <c r="BO874" s="102">
        <f>(CK874-Driver!$F$207)/(Driver!$G$207-Driver!$F$207)*$BI$1</f>
        <v/>
      </c>
      <c r="BP874" s="102">
        <f>(CM874-Driver!$F$208)/(Driver!$G$208-Driver!$F$208)*$BI$1</f>
        <v/>
      </c>
      <c r="BQ874" s="102">
        <f>(CL874-Driver!$F$209)/(Driver!$G$209-Driver!$F$209)*$BI$1</f>
        <v/>
      </c>
      <c r="BR874" s="40" t="inlineStr">
        <is>
          <t>21/22</t>
        </is>
      </c>
      <c r="BS874" s="10" t="inlineStr">
        <is>
          <t xml:space="preserve"> Fischer</t>
        </is>
      </c>
      <c r="BT874" s="11" t="inlineStr">
        <is>
          <t>RC One 78 GT</t>
        </is>
      </c>
      <c r="BU874" s="13" t="n">
        <v>159</v>
      </c>
      <c r="BV874" s="11" t="inlineStr">
        <is>
          <t xml:space="preserve"> Unisex</t>
        </is>
      </c>
      <c r="BW874" s="13" t="n">
        <v>159</v>
      </c>
      <c r="BX874" s="13" t="n">
        <v>158.2</v>
      </c>
      <c r="BY874" s="13" t="n">
        <v>129</v>
      </c>
      <c r="BZ874" s="13" t="n">
        <v>143</v>
      </c>
      <c r="CA874" s="13" t="n">
        <v>124</v>
      </c>
      <c r="CB874" s="13" t="n">
        <v>78</v>
      </c>
      <c r="CC874" s="13" t="n">
        <v>109</v>
      </c>
      <c r="CD874" s="13" t="n">
        <v>12.4</v>
      </c>
      <c r="CE874" s="13" t="n">
        <v>1912</v>
      </c>
      <c r="CF874" s="13" t="n">
        <v>0.77</v>
      </c>
      <c r="CG874" s="13" t="n">
        <v>1475</v>
      </c>
      <c r="CH874" s="13" t="n">
        <v>208</v>
      </c>
      <c r="CI874" s="13" t="n">
        <v>73</v>
      </c>
      <c r="CJ874" s="13" t="n">
        <v>43</v>
      </c>
      <c r="CK874" s="13" t="n">
        <v>208</v>
      </c>
      <c r="CL874" s="13" t="n">
        <v>14</v>
      </c>
      <c r="CM874" s="13" t="n">
        <v>85</v>
      </c>
      <c r="CN874" s="13" t="n">
        <v>0.33</v>
      </c>
      <c r="CO874" s="13" t="n">
        <v>71</v>
      </c>
      <c r="CP874" s="13" t="n">
        <v>78</v>
      </c>
      <c r="CQ874" s="13" t="n">
        <v>136</v>
      </c>
      <c r="CR874" s="13" t="n">
        <v>8</v>
      </c>
      <c r="CS874" s="13" t="n">
        <v>8.6</v>
      </c>
      <c r="CT874" s="11" t="inlineStr">
        <is>
          <t xml:space="preserve"> On-Piste Carving</t>
        </is>
      </c>
      <c r="CU874" s="13" t="n"/>
      <c r="CV874" s="13" t="n"/>
      <c r="CW874" s="13" t="n"/>
      <c r="CX874">
        <f>INDEX('Data_Price '!AG$2:AG$1266,MATCH(Data!$DN874,'Data_Price '!$AT$2:$AT$1266,0))</f>
        <v/>
      </c>
      <c r="CY874">
        <f>INDEX('Data_Price '!AH$2:AH$1266,MATCH(Data!$DN874,'Data_Price '!$AT$2:$AT$1266,0))</f>
        <v/>
      </c>
      <c r="CZ874">
        <f>INDEX('Data_Price '!AI$2:AI$1266,MATCH(Data!$DN874,'Data_Price '!$AT$2:$AT$1266,0))</f>
        <v/>
      </c>
      <c r="DA874">
        <f>INDEX('Data_Price '!AJ$2:AJ$1266,MATCH(Data!$DN874,'Data_Price '!$AT$2:$AT$1266,0))</f>
        <v/>
      </c>
      <c r="DB874">
        <f>INDEX('Data_Price '!AK$2:AK$1266,MATCH(Data!$DN874,'Data_Price '!$AT$2:$AT$1266,0))</f>
        <v/>
      </c>
      <c r="DC874">
        <f>INDEX('Data_Price '!AL$2:AL$1266,MATCH(Data!$DN874,'Data_Price '!$AT$2:$AT$1266,0))</f>
        <v/>
      </c>
      <c r="DD874">
        <f>INDEX('Data_Price '!AM$2:AM$1266,MATCH(Data!$DN874,'Data_Price '!$AT$2:$AT$1266,0))</f>
        <v/>
      </c>
      <c r="DE874">
        <f>INDEX('Data_Price '!AN$2:AN$1266,MATCH(Data!$DN874,'Data_Price '!$AT$2:$AT$1266,0))</f>
        <v/>
      </c>
      <c r="DF874">
        <f>INDEX('Data_Price '!AO$2:AO$1266,MATCH(Data!$DN874,'Data_Price '!$AT$2:$AT$1266,0))</f>
        <v/>
      </c>
      <c r="DG874">
        <f>INDEX('Data_Price '!AP$2:AP$1266,MATCH(Data!$DN874,'Data_Price '!$AT$2:$AT$1266,0))</f>
        <v/>
      </c>
      <c r="DH874">
        <f>INDEX('Data_Price '!AQ$2:AQ$1266,MATCH(Data!$DN874,'Data_Price '!$AT$2:$AT$1266,0))</f>
        <v/>
      </c>
      <c r="DI874">
        <f>INDEX('Data_Price '!AR$2:AR$1266,MATCH(Data!$DN874,'Data_Price '!$AT$2:$AT$1266,0))</f>
        <v/>
      </c>
      <c r="DJ874" s="138">
        <f>DA874</f>
        <v/>
      </c>
      <c r="DK874" s="138">
        <f>DE874</f>
        <v/>
      </c>
      <c r="DL874" s="138">
        <f>DI874</f>
        <v/>
      </c>
      <c r="DM874" s="303">
        <f>IF(LEFT(BT874,1)=" ",RIGHT(BT874,LEN(BT874)-1),BT874)</f>
        <v/>
      </c>
      <c r="DN874" s="138">
        <f>_xlfn.CONCAT(BS874,DM874,BU874,BV874)</f>
        <v/>
      </c>
      <c r="DO874" s="307" t="n"/>
    </row>
    <row r="875" ht="15.6" customHeight="1" s="184">
      <c r="B875" s="303">
        <f t="array" ref="B875">IF(OR(ISERROR(K875:P875)),FALSE,TRUE)</f>
        <v/>
      </c>
      <c r="C875" s="60">
        <f>OR(BR875=Driver!$G$50,Data!BR64=Driver!$H$50)</f>
        <v/>
      </c>
      <c r="D875" s="60">
        <f>OR(BV875=Driver!$G$51,BV875=Driver!$H$51)</f>
        <v/>
      </c>
      <c r="E875" s="60">
        <f>AND(BX875&gt;Driver!$F$54,BX875&lt;Driver!$G$54)</f>
        <v/>
      </c>
      <c r="F875" s="60">
        <f>CL875&gt;Driver!$F$56</f>
        <v/>
      </c>
      <c r="G875" s="60">
        <f>AND(CB875&gt;Driver!$F$55,CB875&lt;Driver!$G$55)</f>
        <v/>
      </c>
      <c r="H875" s="60">
        <f>AND(B875:G875)</f>
        <v/>
      </c>
      <c r="I875" s="60">
        <f>COUNTIFS($H$9:$H$1273,TRUE,$BT$9:$BT$1273,BT875)</f>
        <v/>
      </c>
      <c r="J875" s="60">
        <f t="array" ref="J875">NOT(OR(($H$9:$H$1273=TRUE)*($I$9:$I$1273&gt;0)*($BT$9:$BT$1273=BT875)*($K$9:$K$1273&gt;K875)))</f>
        <v/>
      </c>
      <c r="K875" s="108">
        <f>IFERROR(1-AVERAGE(X875:Y875),"")</f>
        <v/>
      </c>
      <c r="L875" s="108">
        <f>1-X875</f>
        <v/>
      </c>
      <c r="M875" s="108">
        <f>1-Y875</f>
        <v/>
      </c>
      <c r="N875" s="108">
        <f>1-Z875</f>
        <v/>
      </c>
      <c r="O875" s="108">
        <f>1-AA875</f>
        <v/>
      </c>
      <c r="P875" s="108">
        <f>1-AB875</f>
        <v/>
      </c>
      <c r="Q875" s="108" t="n"/>
      <c r="R875" s="108" t="n"/>
      <c r="S875" s="108">
        <f>1-AE875</f>
        <v/>
      </c>
      <c r="T875" s="108">
        <f>1-AF875</f>
        <v/>
      </c>
      <c r="U875" s="108">
        <f>1-AG875</f>
        <v/>
      </c>
      <c r="V875" s="108">
        <f>1-AH875</f>
        <v/>
      </c>
      <c r="W875" s="108">
        <f>1-AI875</f>
        <v/>
      </c>
      <c r="X875" s="108">
        <f>ABS(AJ875-AJ$1)</f>
        <v/>
      </c>
      <c r="Y875" s="108">
        <f>AVERAGE(Z875:AB875)</f>
        <v/>
      </c>
      <c r="Z875" s="108">
        <f>ABS(AL875-AL$1)</f>
        <v/>
      </c>
      <c r="AA875" s="108">
        <f>ABS(AM875-AM$1)</f>
        <v/>
      </c>
      <c r="AB875" s="108">
        <f>ABS(AN875-AN$1)</f>
        <v/>
      </c>
      <c r="AC875" s="108" t="n"/>
      <c r="AD875" s="108" t="n"/>
      <c r="AE875" s="108">
        <f>ABS(AQ$1-AQ875)</f>
        <v/>
      </c>
      <c r="AF875" s="108">
        <f>ABS(AR$1-AR875)</f>
        <v/>
      </c>
      <c r="AG875" s="108">
        <f>ABS(AS$1-AS875)</f>
        <v/>
      </c>
      <c r="AH875" s="108">
        <f>ABS(AT$1-AT875)</f>
        <v/>
      </c>
      <c r="AI875" s="108">
        <f>ABS(AU$1-AU875)</f>
        <v/>
      </c>
      <c r="AJ875" s="108">
        <f>(AV875-Driver!$K$179)/(Driver!$L$179-Driver!$K$179)</f>
        <v/>
      </c>
      <c r="AK875" s="108">
        <f>(AW875-Driver!$K$180)/(Driver!$L$180-Driver!$K$180)</f>
        <v/>
      </c>
      <c r="AL875" s="108">
        <f>(AX875-Driver!$K$181)/(Driver!$L$181-Driver!$K$181)</f>
        <v/>
      </c>
      <c r="AM875" s="108">
        <f>(AY875-Driver!$K$182)/(Driver!$L$182-Driver!$K$182)</f>
        <v/>
      </c>
      <c r="AN875" s="108">
        <f>(AZ875-Driver!$K$183)/(Driver!$L$183-Driver!$K$183)</f>
        <v/>
      </c>
      <c r="AO875" s="108" t="n"/>
      <c r="AP875" s="108" t="n"/>
      <c r="AQ875" s="108">
        <f>(BC875-Driver!$K$188)/(Driver!$L$188-Driver!$K$188)</f>
        <v/>
      </c>
      <c r="AR875" s="108">
        <f>MIN((BD875-Driver!$K$189)/(Driver!$L$189-Driver!$K$189),100%)</f>
        <v/>
      </c>
      <c r="AS875" s="108">
        <f>(BE875-Driver!$K$190)/(Driver!$L$190-Driver!$K$190)</f>
        <v/>
      </c>
      <c r="AT875" s="108">
        <f>(BF875-Driver!$K$191)/(Driver!$L$191-Driver!$K$191)</f>
        <v/>
      </c>
      <c r="AU875" s="108">
        <f>(BG875-Driver!$K$192)/(Driver!$L$192-Driver!$K$192)</f>
        <v/>
      </c>
      <c r="AV875" s="105">
        <f>IFERROR(BM875*BJ875^1/4,"")</f>
        <v/>
      </c>
      <c r="AW875" s="105">
        <f>IFERROR(SUM(AX875:AZ875),"")</f>
        <v/>
      </c>
      <c r="AX875" s="105">
        <f>IFERROR(BH875,"")</f>
        <v/>
      </c>
      <c r="AY875" s="105">
        <f>IFERROR(Driver!$K$19/Data!BH875/Data!BI875*Data!BK875*Data!BL875,"")</f>
        <v/>
      </c>
      <c r="AZ875" s="105">
        <f>IFERROR(BI875*BN875,"")</f>
        <v/>
      </c>
      <c r="BA875" s="105" t="n"/>
      <c r="BB875" s="105" t="n"/>
      <c r="BC875" s="105">
        <f>IFERROR(BI875*BN875*BK875/BJ875^(1/2),"")</f>
        <v/>
      </c>
      <c r="BD875" s="105">
        <f>IFERROR(BH875*BM875*BL875/BJ875/BK875,"")</f>
        <v/>
      </c>
      <c r="BE875" s="105">
        <f>IFERROR(MIN(BI875/BQ875/BP875/BO875/BH875,$BE$1),"")</f>
        <v/>
      </c>
      <c r="BF875" s="105">
        <f>IFERROR(BJ875*BO875*BP875/BK875,"")</f>
        <v/>
      </c>
      <c r="BG875" s="105">
        <f>IFERROR(1/BM875/BH875*BQ875,"")</f>
        <v/>
      </c>
      <c r="BH875" s="102">
        <f>MAX((CE875-Driver!$F$200)/(Driver!$G$200-Driver!$F$200)*$BI$1,1)</f>
        <v/>
      </c>
      <c r="BI875" s="102">
        <f>MAX($BI$1*(BY875-Driver!$F$201)/(Driver!$G$201-Driver!$F$201),1)</f>
        <v/>
      </c>
      <c r="BJ875" s="102">
        <f>(CB875-Driver!$F$206)/(Driver!$G$206-Driver!$F$206)*$BI$1</f>
        <v/>
      </c>
      <c r="BK875" s="102">
        <f>(CD875-Driver!$F$203)/(Driver!$G$203-Driver!$F$203)*$BI$1</f>
        <v/>
      </c>
      <c r="BL875" s="102">
        <f>MAX((CR875-Driver!$F$202)/(Driver!$G$202-Driver!$F$202)*$BI$1,1)</f>
        <v/>
      </c>
      <c r="BM875" s="102">
        <f>MAX((CH875-Driver!$F$204)/(Driver!$G$204-Driver!$F$204)*$BI$1,1)</f>
        <v/>
      </c>
      <c r="BN875" s="102">
        <f>(CI875-Driver!$F$205)/(Driver!$G$205-Driver!$F$205)*$BI$1</f>
        <v/>
      </c>
      <c r="BO875" s="102">
        <f>(CK875-Driver!$F$207)/(Driver!$G$207-Driver!$F$207)*$BI$1</f>
        <v/>
      </c>
      <c r="BP875" s="102">
        <f>(CM875-Driver!$F$208)/(Driver!$G$208-Driver!$F$208)*$BI$1</f>
        <v/>
      </c>
      <c r="BQ875" s="102">
        <f>(CL875-Driver!$F$209)/(Driver!$G$209-Driver!$F$209)*$BI$1</f>
        <v/>
      </c>
      <c r="BR875" s="40" t="inlineStr">
        <is>
          <t>21/22</t>
        </is>
      </c>
      <c r="BS875" s="10" t="inlineStr">
        <is>
          <t xml:space="preserve"> Armada</t>
        </is>
      </c>
      <c r="BT875" s="11" t="inlineStr">
        <is>
          <t>Declivity 102 Ti</t>
        </is>
      </c>
      <c r="BU875" s="13" t="n">
        <v>180</v>
      </c>
      <c r="BV875" s="11" t="inlineStr">
        <is>
          <t xml:space="preserve"> Unisex</t>
        </is>
      </c>
      <c r="BW875" s="13" t="n">
        <v>180</v>
      </c>
      <c r="BX875" s="13" t="n">
        <v>179.5</v>
      </c>
      <c r="BY875" s="13" t="n">
        <v>131</v>
      </c>
      <c r="BZ875" s="13" t="n">
        <v>147</v>
      </c>
      <c r="CA875" s="13" t="n">
        <v>134</v>
      </c>
      <c r="CB875" s="13" t="n">
        <v>101</v>
      </c>
      <c r="CC875" s="13" t="n">
        <v>123</v>
      </c>
      <c r="CD875" s="13" t="n">
        <v>18.5</v>
      </c>
      <c r="CE875" s="13" t="n">
        <v>1958</v>
      </c>
      <c r="CF875" s="13" t="n">
        <v>1.03</v>
      </c>
      <c r="CG875" s="13" t="n">
        <v>2011</v>
      </c>
      <c r="CH875" s="13" t="n">
        <v>219</v>
      </c>
      <c r="CI875" s="13" t="n">
        <v>136</v>
      </c>
      <c r="CJ875" s="13" t="n">
        <v>57</v>
      </c>
      <c r="CK875" s="13" t="n">
        <v>308</v>
      </c>
      <c r="CL875" s="13" t="n">
        <v>19</v>
      </c>
      <c r="CM875" s="13" t="n">
        <v>180</v>
      </c>
      <c r="CN875" s="13" t="n">
        <v>0.339</v>
      </c>
      <c r="CO875" s="13" t="n">
        <v>188</v>
      </c>
      <c r="CP875" s="13" t="n">
        <v>139</v>
      </c>
      <c r="CQ875" s="13" t="n">
        <v>121</v>
      </c>
      <c r="CR875" s="13" t="n">
        <v>8</v>
      </c>
      <c r="CS875" s="13" t="n">
        <v>8.800000000000001</v>
      </c>
      <c r="CT875" s="11" t="inlineStr">
        <is>
          <t xml:space="preserve"> Resort Freeride</t>
        </is>
      </c>
      <c r="CU875" s="11" t="inlineStr">
        <is>
          <t xml:space="preserve"> Big Mountain</t>
        </is>
      </c>
      <c r="CV875" s="13" t="n"/>
      <c r="CW875" s="13" t="n"/>
      <c r="CX875">
        <f>INDEX('Data_Price '!AG$2:AG$1266,MATCH(Data!$DN875,'Data_Price '!$AT$2:$AT$1266,0))</f>
        <v/>
      </c>
      <c r="CY875">
        <f>INDEX('Data_Price '!AH$2:AH$1266,MATCH(Data!$DN875,'Data_Price '!$AT$2:$AT$1266,0))</f>
        <v/>
      </c>
      <c r="CZ875">
        <f>INDEX('Data_Price '!AI$2:AI$1266,MATCH(Data!$DN875,'Data_Price '!$AT$2:$AT$1266,0))</f>
        <v/>
      </c>
      <c r="DA875">
        <f>INDEX('Data_Price '!AJ$2:AJ$1266,MATCH(Data!$DN875,'Data_Price '!$AT$2:$AT$1266,0))</f>
        <v/>
      </c>
      <c r="DB875">
        <f>INDEX('Data_Price '!AK$2:AK$1266,MATCH(Data!$DN875,'Data_Price '!$AT$2:$AT$1266,0))</f>
        <v/>
      </c>
      <c r="DC875">
        <f>INDEX('Data_Price '!AL$2:AL$1266,MATCH(Data!$DN875,'Data_Price '!$AT$2:$AT$1266,0))</f>
        <v/>
      </c>
      <c r="DD875">
        <f>INDEX('Data_Price '!AM$2:AM$1266,MATCH(Data!$DN875,'Data_Price '!$AT$2:$AT$1266,0))</f>
        <v/>
      </c>
      <c r="DE875">
        <f>INDEX('Data_Price '!AN$2:AN$1266,MATCH(Data!$DN875,'Data_Price '!$AT$2:$AT$1266,0))</f>
        <v/>
      </c>
      <c r="DF875">
        <f>INDEX('Data_Price '!AO$2:AO$1266,MATCH(Data!$DN875,'Data_Price '!$AT$2:$AT$1266,0))</f>
        <v/>
      </c>
      <c r="DG875">
        <f>INDEX('Data_Price '!AP$2:AP$1266,MATCH(Data!$DN875,'Data_Price '!$AT$2:$AT$1266,0))</f>
        <v/>
      </c>
      <c r="DH875">
        <f>INDEX('Data_Price '!AQ$2:AQ$1266,MATCH(Data!$DN875,'Data_Price '!$AT$2:$AT$1266,0))</f>
        <v/>
      </c>
      <c r="DI875">
        <f>INDEX('Data_Price '!AR$2:AR$1266,MATCH(Data!$DN875,'Data_Price '!$AT$2:$AT$1266,0))</f>
        <v/>
      </c>
      <c r="DJ875" s="138">
        <f>DA875</f>
        <v/>
      </c>
      <c r="DK875" s="138">
        <f>DE875</f>
        <v/>
      </c>
      <c r="DL875" s="138">
        <f>DI875</f>
        <v/>
      </c>
      <c r="DM875" s="303">
        <f>IF(LEFT(BT875,1)=" ",RIGHT(BT875,LEN(BT875)-1),BT875)</f>
        <v/>
      </c>
      <c r="DN875" s="138">
        <f>_xlfn.CONCAT(BS875,DM875,BU875,BV875)</f>
        <v/>
      </c>
      <c r="DO875" s="307" t="inlineStr">
        <is>
          <t>https://images.evo.com/imgp/250/181505/736822/armada-declivity-102-ti-skis-2022-.jpg</t>
        </is>
      </c>
    </row>
    <row r="876" ht="15.6" customHeight="1" s="184">
      <c r="B876" s="303">
        <f t="array" ref="B876">IF(OR(ISERROR(K876:P876)),FALSE,TRUE)</f>
        <v/>
      </c>
      <c r="C876" s="60">
        <f>OR(BR876=Driver!$G$50,Data!BR60=Driver!$H$50)</f>
        <v/>
      </c>
      <c r="D876" s="60">
        <f>OR(BV876=Driver!$G$51,BV876=Driver!$H$51)</f>
        <v/>
      </c>
      <c r="E876" s="60">
        <f>AND(BX876&gt;Driver!$F$54,BX876&lt;Driver!$G$54)</f>
        <v/>
      </c>
      <c r="F876" s="60">
        <f>CL876&gt;Driver!$F$56</f>
        <v/>
      </c>
      <c r="G876" s="60">
        <f>AND(CB876&gt;Driver!$F$55,CB876&lt;Driver!$G$55)</f>
        <v/>
      </c>
      <c r="H876" s="60">
        <f>AND(B876:G876)</f>
        <v/>
      </c>
      <c r="I876" s="60">
        <f>COUNTIFS($H$9:$H$1273,TRUE,$BT$9:$BT$1273,BT876)</f>
        <v/>
      </c>
      <c r="J876" s="60">
        <f t="array" ref="J876">NOT(OR(($H$9:$H$1273=TRUE)*($I$9:$I$1273&gt;0)*($BT$9:$BT$1273=BT876)*($K$9:$K$1273&gt;K876)))</f>
        <v/>
      </c>
      <c r="K876" s="108">
        <f>IFERROR(1-AVERAGE(X876:Y876),"")</f>
        <v/>
      </c>
      <c r="L876" s="108">
        <f>1-X876</f>
        <v/>
      </c>
      <c r="M876" s="108">
        <f>1-Y876</f>
        <v/>
      </c>
      <c r="N876" s="108">
        <f>1-Z876</f>
        <v/>
      </c>
      <c r="O876" s="108">
        <f>1-AA876</f>
        <v/>
      </c>
      <c r="P876" s="108">
        <f>1-AB876</f>
        <v/>
      </c>
      <c r="Q876" s="108" t="n"/>
      <c r="R876" s="108" t="n"/>
      <c r="S876" s="108">
        <f>1-AE876</f>
        <v/>
      </c>
      <c r="T876" s="108">
        <f>1-AF876</f>
        <v/>
      </c>
      <c r="U876" s="108">
        <f>1-AG876</f>
        <v/>
      </c>
      <c r="V876" s="108">
        <f>1-AH876</f>
        <v/>
      </c>
      <c r="W876" s="108">
        <f>1-AI876</f>
        <v/>
      </c>
      <c r="X876" s="108">
        <f>ABS(AJ876-AJ$1)</f>
        <v/>
      </c>
      <c r="Y876" s="108">
        <f>AVERAGE(Z876:AB876)</f>
        <v/>
      </c>
      <c r="Z876" s="108">
        <f>ABS(AL876-AL$1)</f>
        <v/>
      </c>
      <c r="AA876" s="108">
        <f>ABS(AM876-AM$1)</f>
        <v/>
      </c>
      <c r="AB876" s="108">
        <f>ABS(AN876-AN$1)</f>
        <v/>
      </c>
      <c r="AC876" s="108" t="n"/>
      <c r="AD876" s="108" t="n"/>
      <c r="AE876" s="108">
        <f>ABS(AQ$1-AQ876)</f>
        <v/>
      </c>
      <c r="AF876" s="108">
        <f>ABS(AR$1-AR876)</f>
        <v/>
      </c>
      <c r="AG876" s="108">
        <f>ABS(AS$1-AS876)</f>
        <v/>
      </c>
      <c r="AH876" s="108">
        <f>ABS(AT$1-AT876)</f>
        <v/>
      </c>
      <c r="AI876" s="108">
        <f>ABS(AU$1-AU876)</f>
        <v/>
      </c>
      <c r="AJ876" s="108">
        <f>(AV876-Driver!$K$179)/(Driver!$L$179-Driver!$K$179)</f>
        <v/>
      </c>
      <c r="AK876" s="108">
        <f>(AW876-Driver!$K$180)/(Driver!$L$180-Driver!$K$180)</f>
        <v/>
      </c>
      <c r="AL876" s="108">
        <f>(AX876-Driver!$K$181)/(Driver!$L$181-Driver!$K$181)</f>
        <v/>
      </c>
      <c r="AM876" s="108">
        <f>(AY876-Driver!$K$182)/(Driver!$L$182-Driver!$K$182)</f>
        <v/>
      </c>
      <c r="AN876" s="108">
        <f>(AZ876-Driver!$K$183)/(Driver!$L$183-Driver!$K$183)</f>
        <v/>
      </c>
      <c r="AO876" s="108" t="n"/>
      <c r="AP876" s="108" t="n"/>
      <c r="AQ876" s="108">
        <f>(BC876-Driver!$K$188)/(Driver!$L$188-Driver!$K$188)</f>
        <v/>
      </c>
      <c r="AR876" s="108">
        <f>MIN((BD876-Driver!$K$189)/(Driver!$L$189-Driver!$K$189),100%)</f>
        <v/>
      </c>
      <c r="AS876" s="108">
        <f>(BE876-Driver!$K$190)/(Driver!$L$190-Driver!$K$190)</f>
        <v/>
      </c>
      <c r="AT876" s="108">
        <f>(BF876-Driver!$K$191)/(Driver!$L$191-Driver!$K$191)</f>
        <v/>
      </c>
      <c r="AU876" s="108">
        <f>(BG876-Driver!$K$192)/(Driver!$L$192-Driver!$K$192)</f>
        <v/>
      </c>
      <c r="AV876" s="105">
        <f>IFERROR(BM876*BJ876^1/4,"")</f>
        <v/>
      </c>
      <c r="AW876" s="105">
        <f>IFERROR(SUM(AX876:AZ876),"")</f>
        <v/>
      </c>
      <c r="AX876" s="105">
        <f>IFERROR(BH876,"")</f>
        <v/>
      </c>
      <c r="AY876" s="105">
        <f>IFERROR(Driver!$K$19/Data!BH876/Data!BI876*Data!BK876*Data!BL876,"")</f>
        <v/>
      </c>
      <c r="AZ876" s="105">
        <f>IFERROR(BI876*BN876,"")</f>
        <v/>
      </c>
      <c r="BA876" s="105" t="n"/>
      <c r="BB876" s="105" t="n"/>
      <c r="BC876" s="105">
        <f>IFERROR(BI876*BN876*BK876/BJ876^(1/2),"")</f>
        <v/>
      </c>
      <c r="BD876" s="105">
        <f>IFERROR(BH876*BM876*BL876/BJ876/BK876,"")</f>
        <v/>
      </c>
      <c r="BE876" s="105">
        <f>IFERROR(MIN(BI876/BQ876/BP876/BO876/BH876,$BE$1),"")</f>
        <v/>
      </c>
      <c r="BF876" s="105">
        <f>IFERROR(BJ876*BO876*BP876/BK876,"")</f>
        <v/>
      </c>
      <c r="BG876" s="105">
        <f>IFERROR(1/BM876/BH876*BQ876,"")</f>
        <v/>
      </c>
      <c r="BH876" s="102">
        <f>MAX((CE876-Driver!$F$200)/(Driver!$G$200-Driver!$F$200)*$BI$1,1)</f>
        <v/>
      </c>
      <c r="BI876" s="102">
        <f>MAX($BI$1*(BY876-Driver!$F$201)/(Driver!$G$201-Driver!$F$201),1)</f>
        <v/>
      </c>
      <c r="BJ876" s="102">
        <f>(CB876-Driver!$F$206)/(Driver!$G$206-Driver!$F$206)*$BI$1</f>
        <v/>
      </c>
      <c r="BK876" s="102">
        <f>(CD876-Driver!$F$203)/(Driver!$G$203-Driver!$F$203)*$BI$1</f>
        <v/>
      </c>
      <c r="BL876" s="102">
        <f>MAX((CR876-Driver!$F$202)/(Driver!$G$202-Driver!$F$202)*$BI$1,1)</f>
        <v/>
      </c>
      <c r="BM876" s="102">
        <f>MAX((CH876-Driver!$F$204)/(Driver!$G$204-Driver!$F$204)*$BI$1,1)</f>
        <v/>
      </c>
      <c r="BN876" s="102">
        <f>(CI876-Driver!$F$205)/(Driver!$G$205-Driver!$F$205)*$BI$1</f>
        <v/>
      </c>
      <c r="BO876" s="102">
        <f>(CK876-Driver!$F$207)/(Driver!$G$207-Driver!$F$207)*$BI$1</f>
        <v/>
      </c>
      <c r="BP876" s="102">
        <f>(CM876-Driver!$F$208)/(Driver!$G$208-Driver!$F$208)*$BI$1</f>
        <v/>
      </c>
      <c r="BQ876" s="102">
        <f>(CL876-Driver!$F$209)/(Driver!$G$209-Driver!$F$209)*$BI$1</f>
        <v/>
      </c>
      <c r="BR876" s="40" t="inlineStr">
        <is>
          <t>21/22</t>
        </is>
      </c>
      <c r="BS876" s="10" t="inlineStr">
        <is>
          <t xml:space="preserve"> Armada</t>
        </is>
      </c>
      <c r="BT876" s="11" t="inlineStr">
        <is>
          <t xml:space="preserve"> Bdog</t>
        </is>
      </c>
      <c r="BU876" s="13" t="n">
        <v>172</v>
      </c>
      <c r="BV876" s="11" t="inlineStr">
        <is>
          <t xml:space="preserve"> Unisex</t>
        </is>
      </c>
      <c r="BW876" s="13" t="n">
        <v>172</v>
      </c>
      <c r="BX876" s="13" t="n">
        <v>170.8</v>
      </c>
      <c r="BY876" s="13" t="n">
        <v>117</v>
      </c>
      <c r="BZ876" s="13" t="n">
        <v>135</v>
      </c>
      <c r="CA876" s="13" t="n">
        <v>121</v>
      </c>
      <c r="CB876" s="13" t="n">
        <v>93</v>
      </c>
      <c r="CC876" s="13" t="n">
        <v>116</v>
      </c>
      <c r="CD876" s="13" t="n">
        <v>13.9</v>
      </c>
      <c r="CE876" s="13" t="n">
        <v>1975</v>
      </c>
      <c r="CF876" s="13" t="n">
        <v>0.91</v>
      </c>
      <c r="CG876" s="13" t="n">
        <v>1795</v>
      </c>
      <c r="CH876" s="13" t="n">
        <v>175</v>
      </c>
      <c r="CI876" s="13" t="n">
        <v>69</v>
      </c>
      <c r="CJ876" s="13" t="n">
        <v>44</v>
      </c>
      <c r="CK876" s="13" t="n">
        <v>271</v>
      </c>
      <c r="CL876" s="13" t="n">
        <v>42</v>
      </c>
      <c r="CM876" s="13" t="n">
        <v>267</v>
      </c>
      <c r="CN876" s="13" t="n">
        <v>0.959</v>
      </c>
      <c r="CO876" s="13" t="n">
        <v>196</v>
      </c>
      <c r="CP876" s="13" t="n">
        <v>162</v>
      </c>
      <c r="CQ876" s="13" t="n">
        <v>75</v>
      </c>
      <c r="CR876" s="13" t="n">
        <v>9</v>
      </c>
      <c r="CS876" s="13" t="n">
        <v>0.7</v>
      </c>
      <c r="CT876" s="11" t="inlineStr">
        <is>
          <t xml:space="preserve"> Freeski</t>
        </is>
      </c>
      <c r="CU876" s="13" t="n"/>
      <c r="CV876" s="13" t="n"/>
      <c r="CW876" s="13" t="n"/>
      <c r="CX876">
        <f>INDEX('Data_Price '!AG$2:AG$1266,MATCH(Data!$DN876,'Data_Price '!$AT$2:$AT$1266,0))</f>
        <v/>
      </c>
      <c r="CY876">
        <f>INDEX('Data_Price '!AH$2:AH$1266,MATCH(Data!$DN876,'Data_Price '!$AT$2:$AT$1266,0))</f>
        <v/>
      </c>
      <c r="CZ876">
        <f>INDEX('Data_Price '!AI$2:AI$1266,MATCH(Data!$DN876,'Data_Price '!$AT$2:$AT$1266,0))</f>
        <v/>
      </c>
      <c r="DA876">
        <f>INDEX('Data_Price '!AJ$2:AJ$1266,MATCH(Data!$DN876,'Data_Price '!$AT$2:$AT$1266,0))</f>
        <v/>
      </c>
      <c r="DB876">
        <f>INDEX('Data_Price '!AK$2:AK$1266,MATCH(Data!$DN876,'Data_Price '!$AT$2:$AT$1266,0))</f>
        <v/>
      </c>
      <c r="DC876">
        <f>INDEX('Data_Price '!AL$2:AL$1266,MATCH(Data!$DN876,'Data_Price '!$AT$2:$AT$1266,0))</f>
        <v/>
      </c>
      <c r="DD876">
        <f>INDEX('Data_Price '!AM$2:AM$1266,MATCH(Data!$DN876,'Data_Price '!$AT$2:$AT$1266,0))</f>
        <v/>
      </c>
      <c r="DE876">
        <f>INDEX('Data_Price '!AN$2:AN$1266,MATCH(Data!$DN876,'Data_Price '!$AT$2:$AT$1266,0))</f>
        <v/>
      </c>
      <c r="DF876">
        <f>INDEX('Data_Price '!AO$2:AO$1266,MATCH(Data!$DN876,'Data_Price '!$AT$2:$AT$1266,0))</f>
        <v/>
      </c>
      <c r="DG876">
        <f>INDEX('Data_Price '!AP$2:AP$1266,MATCH(Data!$DN876,'Data_Price '!$AT$2:$AT$1266,0))</f>
        <v/>
      </c>
      <c r="DH876">
        <f>INDEX('Data_Price '!AQ$2:AQ$1266,MATCH(Data!$DN876,'Data_Price '!$AT$2:$AT$1266,0))</f>
        <v/>
      </c>
      <c r="DI876">
        <f>INDEX('Data_Price '!AR$2:AR$1266,MATCH(Data!$DN876,'Data_Price '!$AT$2:$AT$1266,0))</f>
        <v/>
      </c>
      <c r="DJ876" s="138">
        <f>DA876</f>
        <v/>
      </c>
      <c r="DK876" s="138">
        <f>DE876</f>
        <v/>
      </c>
      <c r="DL876" s="138">
        <f>DI876</f>
        <v/>
      </c>
      <c r="DM876" s="303">
        <f>IF(LEFT(BT876,1)=" ",RIGHT(BT876,LEN(BT876)-1),BT876)</f>
        <v/>
      </c>
      <c r="DN876" s="138">
        <f>_xlfn.CONCAT(BS876,DM876,BU876,BV876)</f>
        <v/>
      </c>
      <c r="DO876" s="307" t="inlineStr">
        <is>
          <t>https://images.evo.com/imgp/250/162921/736809/armada-bdog-edgeless-skis-2022-.jpg</t>
        </is>
      </c>
    </row>
    <row r="877" ht="15.6" customHeight="1" s="184">
      <c r="B877" s="303">
        <f t="array" ref="B877">IF(OR(ISERROR(K877:P877)),FALSE,TRUE)</f>
        <v/>
      </c>
      <c r="C877" s="60">
        <f>OR(BR877=Driver!$G$50,Data!BR437=Driver!$H$50)</f>
        <v/>
      </c>
      <c r="D877" s="60">
        <f>OR(BV877=Driver!$G$51,BV877=Driver!$H$51)</f>
        <v/>
      </c>
      <c r="E877" s="60">
        <f>AND(BX877&gt;Driver!$F$54,BX877&lt;Driver!$G$54)</f>
        <v/>
      </c>
      <c r="F877" s="60">
        <f>CL877&gt;Driver!$F$56</f>
        <v/>
      </c>
      <c r="G877" s="60">
        <f>AND(CB877&gt;Driver!$F$55,CB877&lt;Driver!$G$55)</f>
        <v/>
      </c>
      <c r="H877" s="60">
        <f>AND(B877:G877)</f>
        <v/>
      </c>
      <c r="I877" s="60">
        <f>COUNTIFS($H$9:$H$1273,TRUE,$BT$9:$BT$1273,BT877)</f>
        <v/>
      </c>
      <c r="J877" s="60">
        <f t="array" ref="J877">NOT(OR(($H$9:$H$1273=TRUE)*($I$9:$I$1273&gt;0)*($BT$9:$BT$1273=BT877)*($K$9:$K$1273&gt;K877)))</f>
        <v/>
      </c>
      <c r="K877" s="108">
        <f>IFERROR(1-AVERAGE(X877:Y877),"")</f>
        <v/>
      </c>
      <c r="L877" s="108">
        <f>1-X877</f>
        <v/>
      </c>
      <c r="M877" s="108">
        <f>1-Y877</f>
        <v/>
      </c>
      <c r="N877" s="108">
        <f>1-Z877</f>
        <v/>
      </c>
      <c r="O877" s="108">
        <f>1-AA877</f>
        <v/>
      </c>
      <c r="P877" s="108">
        <f>1-AB877</f>
        <v/>
      </c>
      <c r="Q877" s="108" t="n"/>
      <c r="R877" s="108" t="n"/>
      <c r="S877" s="108">
        <f>1-AE877</f>
        <v/>
      </c>
      <c r="T877" s="108">
        <f>1-AF877</f>
        <v/>
      </c>
      <c r="U877" s="108">
        <f>1-AG877</f>
        <v/>
      </c>
      <c r="V877" s="108">
        <f>1-AH877</f>
        <v/>
      </c>
      <c r="W877" s="108">
        <f>1-AI877</f>
        <v/>
      </c>
      <c r="X877" s="108">
        <f>ABS(AJ877-AJ$1)</f>
        <v/>
      </c>
      <c r="Y877" s="108">
        <f>AVERAGE(Z877:AB877)</f>
        <v/>
      </c>
      <c r="Z877" s="108">
        <f>ABS(AL877-AL$1)</f>
        <v/>
      </c>
      <c r="AA877" s="108">
        <f>ABS(AM877-AM$1)</f>
        <v/>
      </c>
      <c r="AB877" s="108">
        <f>ABS(AN877-AN$1)</f>
        <v/>
      </c>
      <c r="AC877" s="108" t="n"/>
      <c r="AD877" s="108" t="n"/>
      <c r="AE877" s="108">
        <f>ABS(AQ$1-AQ877)</f>
        <v/>
      </c>
      <c r="AF877" s="108">
        <f>ABS(AR$1-AR877)</f>
        <v/>
      </c>
      <c r="AG877" s="108">
        <f>ABS(AS$1-AS877)</f>
        <v/>
      </c>
      <c r="AH877" s="108">
        <f>ABS(AT$1-AT877)</f>
        <v/>
      </c>
      <c r="AI877" s="108">
        <f>ABS(AU$1-AU877)</f>
        <v/>
      </c>
      <c r="AJ877" s="108">
        <f>(AV877-Driver!$K$179)/(Driver!$L$179-Driver!$K$179)</f>
        <v/>
      </c>
      <c r="AK877" s="108">
        <f>(AW877-Driver!$K$180)/(Driver!$L$180-Driver!$K$180)</f>
        <v/>
      </c>
      <c r="AL877" s="108">
        <f>(AX877-Driver!$K$181)/(Driver!$L$181-Driver!$K$181)</f>
        <v/>
      </c>
      <c r="AM877" s="108">
        <f>(AY877-Driver!$K$182)/(Driver!$L$182-Driver!$K$182)</f>
        <v/>
      </c>
      <c r="AN877" s="108">
        <f>(AZ877-Driver!$K$183)/(Driver!$L$183-Driver!$K$183)</f>
        <v/>
      </c>
      <c r="AO877" s="108" t="n"/>
      <c r="AP877" s="108" t="n"/>
      <c r="AQ877" s="108">
        <f>(BC877-Driver!$K$188)/(Driver!$L$188-Driver!$K$188)</f>
        <v/>
      </c>
      <c r="AR877" s="108">
        <f>MIN((BD877-Driver!$K$189)/(Driver!$L$189-Driver!$K$189),100%)</f>
        <v/>
      </c>
      <c r="AS877" s="108">
        <f>(BE877-Driver!$K$190)/(Driver!$L$190-Driver!$K$190)</f>
        <v/>
      </c>
      <c r="AT877" s="108">
        <f>(BF877-Driver!$K$191)/(Driver!$L$191-Driver!$K$191)</f>
        <v/>
      </c>
      <c r="AU877" s="108">
        <f>(BG877-Driver!$K$192)/(Driver!$L$192-Driver!$K$192)</f>
        <v/>
      </c>
      <c r="AV877" s="105">
        <f>IFERROR(BM877*BJ877^1/4,"")</f>
        <v/>
      </c>
      <c r="AW877" s="105">
        <f>IFERROR(SUM(AX877:AZ877),"")</f>
        <v/>
      </c>
      <c r="AX877" s="105">
        <f>IFERROR(BH877,"")</f>
        <v/>
      </c>
      <c r="AY877" s="105">
        <f>IFERROR(Driver!$K$19/Data!BH877/Data!BI877*Data!BK877*Data!BL877,"")</f>
        <v/>
      </c>
      <c r="AZ877" s="105">
        <f>IFERROR(BI877*BN877,"")</f>
        <v/>
      </c>
      <c r="BA877" s="105" t="n"/>
      <c r="BB877" s="105" t="n"/>
      <c r="BC877" s="105">
        <f>IFERROR(BI877*BN877*BK877/BJ877^(1/2),"")</f>
        <v/>
      </c>
      <c r="BD877" s="105">
        <f>IFERROR(BH877*BM877*BL877/BJ877/BK877,"")</f>
        <v/>
      </c>
      <c r="BE877" s="105">
        <f>IFERROR(MIN(BI877/BQ877/BP877/BO877/BH877,$BE$1),"")</f>
        <v/>
      </c>
      <c r="BF877" s="105">
        <f>IFERROR(BJ877*BO877*BP877/BK877,"")</f>
        <v/>
      </c>
      <c r="BG877" s="105">
        <f>IFERROR(1/BM877/BH877*BQ877,"")</f>
        <v/>
      </c>
      <c r="BH877" s="102">
        <f>MAX((CE877-Driver!$F$200)/(Driver!$G$200-Driver!$F$200)*$BI$1,1)</f>
        <v/>
      </c>
      <c r="BI877" s="102">
        <f>MAX($BI$1*(BY877-Driver!$F$201)/(Driver!$G$201-Driver!$F$201),1)</f>
        <v/>
      </c>
      <c r="BJ877" s="102">
        <f>(CB877-Driver!$F$206)/(Driver!$G$206-Driver!$F$206)*$BI$1</f>
        <v/>
      </c>
      <c r="BK877" s="102">
        <f>(CD877-Driver!$F$203)/(Driver!$G$203-Driver!$F$203)*$BI$1</f>
        <v/>
      </c>
      <c r="BL877" s="102">
        <f>MAX((CR877-Driver!$F$202)/(Driver!$G$202-Driver!$F$202)*$BI$1,1)</f>
        <v/>
      </c>
      <c r="BM877" s="102">
        <f>MAX((CH877-Driver!$F$204)/(Driver!$G$204-Driver!$F$204)*$BI$1,1)</f>
        <v/>
      </c>
      <c r="BN877" s="102">
        <f>(CI877-Driver!$F$205)/(Driver!$G$205-Driver!$F$205)*$BI$1</f>
        <v/>
      </c>
      <c r="BO877" s="102">
        <f>(CK877-Driver!$F$207)/(Driver!$G$207-Driver!$F$207)*$BI$1</f>
        <v/>
      </c>
      <c r="BP877" s="102">
        <f>(CM877-Driver!$F$208)/(Driver!$G$208-Driver!$F$208)*$BI$1</f>
        <v/>
      </c>
      <c r="BQ877" s="102">
        <f>(CL877-Driver!$F$209)/(Driver!$G$209-Driver!$F$209)*$BI$1</f>
        <v/>
      </c>
      <c r="BR877" s="40" t="inlineStr">
        <is>
          <t>21/22</t>
        </is>
      </c>
      <c r="BS877" s="10" t="inlineStr">
        <is>
          <t xml:space="preserve"> Elan</t>
        </is>
      </c>
      <c r="BT877" s="11" t="inlineStr">
        <is>
          <t>Insomnia 12 C</t>
        </is>
      </c>
      <c r="BU877" s="13" t="n">
        <v>158</v>
      </c>
      <c r="BV877" s="11" t="inlineStr">
        <is>
          <t xml:space="preserve"> Women's</t>
        </is>
      </c>
      <c r="BW877" s="13" t="n">
        <v>158</v>
      </c>
      <c r="BX877" s="13" t="n">
        <v>159.1</v>
      </c>
      <c r="BY877" s="13" t="n">
        <v>138</v>
      </c>
      <c r="BZ877" s="13" t="n">
        <v>144</v>
      </c>
      <c r="CA877" s="13" t="n">
        <v>125</v>
      </c>
      <c r="CB877" s="13" t="n">
        <v>76</v>
      </c>
      <c r="CC877" s="13" t="n">
        <v>105</v>
      </c>
      <c r="CD877" s="13" t="n">
        <v>13.1</v>
      </c>
      <c r="CE877" s="13" t="n">
        <v>1731</v>
      </c>
      <c r="CF877" s="13" t="n">
        <v>0.84</v>
      </c>
      <c r="CG877" s="13" t="n">
        <v>1451</v>
      </c>
      <c r="CH877" s="13" t="n">
        <v>161</v>
      </c>
      <c r="CI877" s="13" t="n">
        <v>62</v>
      </c>
      <c r="CJ877" s="13" t="n">
        <v>32</v>
      </c>
      <c r="CK877" s="13" t="n">
        <v>142</v>
      </c>
      <c r="CL877" s="13" t="n">
        <v>10</v>
      </c>
      <c r="CM877" s="13" t="n">
        <v>70</v>
      </c>
      <c r="CN877" s="13" t="n">
        <v>0.302</v>
      </c>
      <c r="CO877" s="13" t="n">
        <v>93</v>
      </c>
      <c r="CP877" s="13" t="n">
        <v>60</v>
      </c>
      <c r="CQ877" s="13" t="n">
        <v>49</v>
      </c>
      <c r="CR877" s="13" t="n">
        <v>8</v>
      </c>
      <c r="CS877" s="13" t="n">
        <v>8.699999999999999</v>
      </c>
      <c r="CT877" s="11" t="inlineStr">
        <is>
          <t xml:space="preserve"> On-Piste Carving</t>
        </is>
      </c>
      <c r="CU877" s="13" t="n"/>
      <c r="CV877" s="13" t="n"/>
      <c r="CW877" s="13" t="n"/>
      <c r="CX877">
        <f>INDEX('Data_Price '!AG$2:AG$1266,MATCH(Data!$DN877,'Data_Price '!$AT$2:$AT$1266,0))</f>
        <v/>
      </c>
      <c r="CY877">
        <f>INDEX('Data_Price '!AH$2:AH$1266,MATCH(Data!$DN877,'Data_Price '!$AT$2:$AT$1266,0))</f>
        <v/>
      </c>
      <c r="CZ877">
        <f>INDEX('Data_Price '!AI$2:AI$1266,MATCH(Data!$DN877,'Data_Price '!$AT$2:$AT$1266,0))</f>
        <v/>
      </c>
      <c r="DA877">
        <f>INDEX('Data_Price '!AJ$2:AJ$1266,MATCH(Data!$DN877,'Data_Price '!$AT$2:$AT$1266,0))</f>
        <v/>
      </c>
      <c r="DB877">
        <f>INDEX('Data_Price '!AK$2:AK$1266,MATCH(Data!$DN877,'Data_Price '!$AT$2:$AT$1266,0))</f>
        <v/>
      </c>
      <c r="DC877">
        <f>INDEX('Data_Price '!AL$2:AL$1266,MATCH(Data!$DN877,'Data_Price '!$AT$2:$AT$1266,0))</f>
        <v/>
      </c>
      <c r="DD877">
        <f>INDEX('Data_Price '!AM$2:AM$1266,MATCH(Data!$DN877,'Data_Price '!$AT$2:$AT$1266,0))</f>
        <v/>
      </c>
      <c r="DE877">
        <f>INDEX('Data_Price '!AN$2:AN$1266,MATCH(Data!$DN877,'Data_Price '!$AT$2:$AT$1266,0))</f>
        <v/>
      </c>
      <c r="DF877">
        <f>INDEX('Data_Price '!AO$2:AO$1266,MATCH(Data!$DN877,'Data_Price '!$AT$2:$AT$1266,0))</f>
        <v/>
      </c>
      <c r="DG877">
        <f>INDEX('Data_Price '!AP$2:AP$1266,MATCH(Data!$DN877,'Data_Price '!$AT$2:$AT$1266,0))</f>
        <v/>
      </c>
      <c r="DH877">
        <f>INDEX('Data_Price '!AQ$2:AQ$1266,MATCH(Data!$DN877,'Data_Price '!$AT$2:$AT$1266,0))</f>
        <v/>
      </c>
      <c r="DI877">
        <f>INDEX('Data_Price '!AR$2:AR$1266,MATCH(Data!$DN877,'Data_Price '!$AT$2:$AT$1266,0))</f>
        <v/>
      </c>
      <c r="DJ877" s="138">
        <f>DA877</f>
        <v/>
      </c>
      <c r="DK877" s="138">
        <f>DE877</f>
        <v/>
      </c>
      <c r="DL877" s="138">
        <f>DI877</f>
        <v/>
      </c>
      <c r="DM877" s="303">
        <f>IF(LEFT(BT877,1)=" ",RIGHT(BT877,LEN(BT877)-1),BT877)</f>
        <v/>
      </c>
      <c r="DN877" s="138">
        <f>_xlfn.CONCAT(BS877,DM877,BU877,BV877)</f>
        <v/>
      </c>
      <c r="DO877" s="307" t="n"/>
    </row>
    <row r="878" ht="15.6" customHeight="1" s="184">
      <c r="B878" s="303">
        <f t="array" ref="B878">IF(OR(ISERROR(K878:P878)),FALSE,TRUE)</f>
        <v/>
      </c>
      <c r="C878" s="60">
        <f>OR(BR878=Driver!$G$50,Data!BR944=Driver!$H$50)</f>
        <v/>
      </c>
      <c r="D878" s="60">
        <f>OR(BV878=Driver!$G$51,BV878=Driver!$H$51)</f>
        <v/>
      </c>
      <c r="E878" s="60">
        <f>AND(BX878&gt;Driver!$F$54,BX878&lt;Driver!$G$54)</f>
        <v/>
      </c>
      <c r="F878" s="60">
        <f>CL878&gt;Driver!$F$56</f>
        <v/>
      </c>
      <c r="G878" s="60">
        <f>AND(CB878&gt;Driver!$F$55,CB878&lt;Driver!$G$55)</f>
        <v/>
      </c>
      <c r="H878" s="60">
        <f>AND(B878:G878)</f>
        <v/>
      </c>
      <c r="I878" s="60">
        <f>COUNTIFS($H$9:$H$1273,TRUE,$BT$9:$BT$1273,BT878)</f>
        <v/>
      </c>
      <c r="J878" s="60">
        <f t="array" ref="J878">NOT(OR(($H$9:$H$1273=TRUE)*($I$9:$I$1273&gt;0)*($BT$9:$BT$1273=BT878)*($K$9:$K$1273&gt;K878)))</f>
        <v/>
      </c>
      <c r="K878" s="108">
        <f>IFERROR(1-AVERAGE(X878:Y878),"")</f>
        <v/>
      </c>
      <c r="L878" s="108">
        <f>1-X878</f>
        <v/>
      </c>
      <c r="M878" s="108">
        <f>1-Y878</f>
        <v/>
      </c>
      <c r="N878" s="108">
        <f>1-Z878</f>
        <v/>
      </c>
      <c r="O878" s="108">
        <f>1-AA878</f>
        <v/>
      </c>
      <c r="P878" s="108">
        <f>1-AB878</f>
        <v/>
      </c>
      <c r="Q878" s="108" t="n"/>
      <c r="R878" s="108" t="n"/>
      <c r="S878" s="108">
        <f>1-AE878</f>
        <v/>
      </c>
      <c r="T878" s="108">
        <f>1-AF878</f>
        <v/>
      </c>
      <c r="U878" s="108">
        <f>1-AG878</f>
        <v/>
      </c>
      <c r="V878" s="108">
        <f>1-AH878</f>
        <v/>
      </c>
      <c r="W878" s="108">
        <f>1-AI878</f>
        <v/>
      </c>
      <c r="X878" s="108">
        <f>ABS(AJ878-AJ$1)</f>
        <v/>
      </c>
      <c r="Y878" s="108">
        <f>AVERAGE(Z878:AB878)</f>
        <v/>
      </c>
      <c r="Z878" s="108">
        <f>ABS(AL878-AL$1)</f>
        <v/>
      </c>
      <c r="AA878" s="108">
        <f>ABS(AM878-AM$1)</f>
        <v/>
      </c>
      <c r="AB878" s="108">
        <f>ABS(AN878-AN$1)</f>
        <v/>
      </c>
      <c r="AC878" s="108" t="n"/>
      <c r="AD878" s="108" t="n"/>
      <c r="AE878" s="108">
        <f>ABS(AQ$1-AQ878)</f>
        <v/>
      </c>
      <c r="AF878" s="108">
        <f>ABS(AR$1-AR878)</f>
        <v/>
      </c>
      <c r="AG878" s="108">
        <f>ABS(AS$1-AS878)</f>
        <v/>
      </c>
      <c r="AH878" s="108">
        <f>ABS(AT$1-AT878)</f>
        <v/>
      </c>
      <c r="AI878" s="108">
        <f>ABS(AU$1-AU878)</f>
        <v/>
      </c>
      <c r="AJ878" s="108">
        <f>(AV878-Driver!$K$179)/(Driver!$L$179-Driver!$K$179)</f>
        <v/>
      </c>
      <c r="AK878" s="108">
        <f>(AW878-Driver!$K$180)/(Driver!$L$180-Driver!$K$180)</f>
        <v/>
      </c>
      <c r="AL878" s="108">
        <f>(AX878-Driver!$K$181)/(Driver!$L$181-Driver!$K$181)</f>
        <v/>
      </c>
      <c r="AM878" s="108">
        <f>(AY878-Driver!$K$182)/(Driver!$L$182-Driver!$K$182)</f>
        <v/>
      </c>
      <c r="AN878" s="108">
        <f>(AZ878-Driver!$K$183)/(Driver!$L$183-Driver!$K$183)</f>
        <v/>
      </c>
      <c r="AO878" s="108" t="n"/>
      <c r="AP878" s="108" t="n"/>
      <c r="AQ878" s="108">
        <f>(BC878-Driver!$K$188)/(Driver!$L$188-Driver!$K$188)</f>
        <v/>
      </c>
      <c r="AR878" s="108">
        <f>MIN((BD878-Driver!$K$189)/(Driver!$L$189-Driver!$K$189),100%)</f>
        <v/>
      </c>
      <c r="AS878" s="108">
        <f>(BE878-Driver!$K$190)/(Driver!$L$190-Driver!$K$190)</f>
        <v/>
      </c>
      <c r="AT878" s="108">
        <f>(BF878-Driver!$K$191)/(Driver!$L$191-Driver!$K$191)</f>
        <v/>
      </c>
      <c r="AU878" s="108">
        <f>(BG878-Driver!$K$192)/(Driver!$L$192-Driver!$K$192)</f>
        <v/>
      </c>
      <c r="AV878" s="105">
        <f>IFERROR(BM878*BJ878^1/4,"")</f>
        <v/>
      </c>
      <c r="AW878" s="105">
        <f>IFERROR(SUM(AX878:AZ878),"")</f>
        <v/>
      </c>
      <c r="AX878" s="105">
        <f>IFERROR(BH878,"")</f>
        <v/>
      </c>
      <c r="AY878" s="105">
        <f>IFERROR(Driver!$K$19/Data!BH878/Data!BI878*Data!BK878*Data!BL878,"")</f>
        <v/>
      </c>
      <c r="AZ878" s="105">
        <f>IFERROR(BI878*BN878,"")</f>
        <v/>
      </c>
      <c r="BA878" s="105" t="n"/>
      <c r="BB878" s="105" t="n"/>
      <c r="BC878" s="105">
        <f>IFERROR(BI878*BN878*BK878/BJ878^(1/2),"")</f>
        <v/>
      </c>
      <c r="BD878" s="105">
        <f>IFERROR(BH878*BM878*BL878/BJ878/BK878,"")</f>
        <v/>
      </c>
      <c r="BE878" s="105">
        <f>IFERROR(MIN(BI878/BQ878/BP878/BO878/BH878,$BE$1),"")</f>
        <v/>
      </c>
      <c r="BF878" s="105">
        <f>IFERROR(BJ878*BO878*BP878/BK878,"")</f>
        <v/>
      </c>
      <c r="BG878" s="105">
        <f>IFERROR(1/BM878/BH878*BQ878,"")</f>
        <v/>
      </c>
      <c r="BH878" s="102">
        <f>MAX((CE878-Driver!$F$200)/(Driver!$G$200-Driver!$F$200)*$BI$1,1)</f>
        <v/>
      </c>
      <c r="BI878" s="102">
        <f>MAX($BI$1*(BY878-Driver!$F$201)/(Driver!$G$201-Driver!$F$201),1)</f>
        <v/>
      </c>
      <c r="BJ878" s="102">
        <f>(CB878-Driver!$F$206)/(Driver!$G$206-Driver!$F$206)*$BI$1</f>
        <v/>
      </c>
      <c r="BK878" s="102">
        <f>(CD878-Driver!$F$203)/(Driver!$G$203-Driver!$F$203)*$BI$1</f>
        <v/>
      </c>
      <c r="BL878" s="102">
        <f>MAX((CR878-Driver!$F$202)/(Driver!$G$202-Driver!$F$202)*$BI$1,1)</f>
        <v/>
      </c>
      <c r="BM878" s="102">
        <f>MAX((CH878-Driver!$F$204)/(Driver!$G$204-Driver!$F$204)*$BI$1,1)</f>
        <v/>
      </c>
      <c r="BN878" s="102">
        <f>(CI878-Driver!$F$205)/(Driver!$G$205-Driver!$F$205)*$BI$1</f>
        <v/>
      </c>
      <c r="BO878" s="102">
        <f>(CK878-Driver!$F$207)/(Driver!$G$207-Driver!$F$207)*$BI$1</f>
        <v/>
      </c>
      <c r="BP878" s="102">
        <f>(CM878-Driver!$F$208)/(Driver!$G$208-Driver!$F$208)*$BI$1</f>
        <v/>
      </c>
      <c r="BQ878" s="102">
        <f>(CL878-Driver!$F$209)/(Driver!$G$209-Driver!$F$209)*$BI$1</f>
        <v/>
      </c>
      <c r="BR878" s="40" t="inlineStr">
        <is>
          <t>21/22</t>
        </is>
      </c>
      <c r="BS878" s="10" t="inlineStr">
        <is>
          <t xml:space="preserve"> Nordica</t>
        </is>
      </c>
      <c r="BT878" s="11" t="inlineStr">
        <is>
          <t>Spitfire 70 Ti</t>
        </is>
      </c>
      <c r="BU878" s="13" t="n">
        <v>165</v>
      </c>
      <c r="BV878" s="11" t="inlineStr">
        <is>
          <t xml:space="preserve"> Unisex</t>
        </is>
      </c>
      <c r="BW878" s="13" t="n">
        <v>165</v>
      </c>
      <c r="BX878" s="13" t="n">
        <v>164.2</v>
      </c>
      <c r="BY878" s="13" t="n">
        <v>146</v>
      </c>
      <c r="BZ878" s="13" t="n">
        <v>154</v>
      </c>
      <c r="CA878" s="13" t="n">
        <v>119</v>
      </c>
      <c r="CB878" s="13" t="n">
        <v>70</v>
      </c>
      <c r="CC878" s="13" t="n">
        <v>98</v>
      </c>
      <c r="CD878" s="13" t="n">
        <v>15</v>
      </c>
      <c r="CE878" s="13" t="n">
        <v>1954</v>
      </c>
      <c r="CF878" s="13" t="n">
        <v>0.71</v>
      </c>
      <c r="CG878" s="13" t="n">
        <v>1380</v>
      </c>
      <c r="CH878" s="13" t="n">
        <v>185</v>
      </c>
      <c r="CI878" s="13" t="n">
        <v>98</v>
      </c>
      <c r="CJ878" s="13" t="n">
        <v>36</v>
      </c>
      <c r="CK878" s="13" t="n">
        <v>131</v>
      </c>
      <c r="CL878" s="13" t="n">
        <v>5</v>
      </c>
      <c r="CM878" s="13" t="n">
        <v>49</v>
      </c>
      <c r="CN878" s="13" t="n">
        <v>0.145</v>
      </c>
      <c r="CO878" s="13" t="n">
        <v>62</v>
      </c>
      <c r="CP878" s="13" t="n">
        <v>44</v>
      </c>
      <c r="CQ878" s="13" t="n">
        <v>69</v>
      </c>
      <c r="CR878" s="13" t="n">
        <v>9</v>
      </c>
      <c r="CS878" s="13" t="n">
        <v>13.1</v>
      </c>
      <c r="CT878" s="11" t="inlineStr">
        <is>
          <t xml:space="preserve"> On-Piste Carving</t>
        </is>
      </c>
      <c r="CU878" s="13" t="n"/>
      <c r="CV878" s="13" t="n"/>
      <c r="CW878" s="13" t="n"/>
      <c r="CX878">
        <f>INDEX('Data_Price '!AG$2:AG$1266,MATCH(Data!$DN878,'Data_Price '!$AT$2:$AT$1266,0))</f>
        <v/>
      </c>
      <c r="CY878">
        <f>INDEX('Data_Price '!AH$2:AH$1266,MATCH(Data!$DN878,'Data_Price '!$AT$2:$AT$1266,0))</f>
        <v/>
      </c>
      <c r="CZ878">
        <f>INDEX('Data_Price '!AI$2:AI$1266,MATCH(Data!$DN878,'Data_Price '!$AT$2:$AT$1266,0))</f>
        <v/>
      </c>
      <c r="DA878">
        <f>INDEX('Data_Price '!AJ$2:AJ$1266,MATCH(Data!$DN878,'Data_Price '!$AT$2:$AT$1266,0))</f>
        <v/>
      </c>
      <c r="DB878">
        <f>INDEX('Data_Price '!AK$2:AK$1266,MATCH(Data!$DN878,'Data_Price '!$AT$2:$AT$1266,0))</f>
        <v/>
      </c>
      <c r="DC878">
        <f>INDEX('Data_Price '!AL$2:AL$1266,MATCH(Data!$DN878,'Data_Price '!$AT$2:$AT$1266,0))</f>
        <v/>
      </c>
      <c r="DD878">
        <f>INDEX('Data_Price '!AM$2:AM$1266,MATCH(Data!$DN878,'Data_Price '!$AT$2:$AT$1266,0))</f>
        <v/>
      </c>
      <c r="DE878">
        <f>INDEX('Data_Price '!AN$2:AN$1266,MATCH(Data!$DN878,'Data_Price '!$AT$2:$AT$1266,0))</f>
        <v/>
      </c>
      <c r="DF878">
        <f>INDEX('Data_Price '!AO$2:AO$1266,MATCH(Data!$DN878,'Data_Price '!$AT$2:$AT$1266,0))</f>
        <v/>
      </c>
      <c r="DG878">
        <f>INDEX('Data_Price '!AP$2:AP$1266,MATCH(Data!$DN878,'Data_Price '!$AT$2:$AT$1266,0))</f>
        <v/>
      </c>
      <c r="DH878">
        <f>INDEX('Data_Price '!AQ$2:AQ$1266,MATCH(Data!$DN878,'Data_Price '!$AT$2:$AT$1266,0))</f>
        <v/>
      </c>
      <c r="DI878">
        <f>INDEX('Data_Price '!AR$2:AR$1266,MATCH(Data!$DN878,'Data_Price '!$AT$2:$AT$1266,0))</f>
        <v/>
      </c>
      <c r="DJ878" s="138">
        <f>DA878</f>
        <v/>
      </c>
      <c r="DK878" s="138">
        <f>DE878</f>
        <v/>
      </c>
      <c r="DL878" s="138">
        <f>DI878</f>
        <v/>
      </c>
      <c r="DM878" s="303">
        <f>IF(LEFT(BT878,1)=" ",RIGHT(BT878,LEN(BT878)-1),BT878)</f>
        <v/>
      </c>
      <c r="DN878" s="138">
        <f>_xlfn.CONCAT(BS878,DM878,BU878,BV878)</f>
        <v/>
      </c>
      <c r="DO878" s="307" t="n"/>
    </row>
    <row r="879" ht="15.6" customHeight="1" s="184">
      <c r="B879" s="303">
        <f t="array" ref="B879">IF(OR(ISERROR(K879:P879)),FALSE,TRUE)</f>
        <v/>
      </c>
      <c r="C879" s="60">
        <f>OR(BR879=Driver!$G$50,Data!BR1101=Driver!$H$50)</f>
        <v/>
      </c>
      <c r="D879" s="60">
        <f>OR(BV879=Driver!$G$51,BV879=Driver!$H$51)</f>
        <v/>
      </c>
      <c r="E879" s="60">
        <f>AND(BX879&gt;Driver!$F$54,BX879&lt;Driver!$G$54)</f>
        <v/>
      </c>
      <c r="F879" s="60">
        <f>CL879&gt;Driver!$F$56</f>
        <v/>
      </c>
      <c r="G879" s="60">
        <f>AND(CB879&gt;Driver!$F$55,CB879&lt;Driver!$G$55)</f>
        <v/>
      </c>
      <c r="H879" s="60">
        <f>AND(B879:G879)</f>
        <v/>
      </c>
      <c r="I879" s="60">
        <f>COUNTIFS($H$9:$H$1273,TRUE,$BT$9:$BT$1273,BT879)</f>
        <v/>
      </c>
      <c r="J879" s="60">
        <f t="array" ref="J879">NOT(OR(($H$9:$H$1273=TRUE)*($I$9:$I$1273&gt;0)*($BT$9:$BT$1273=BT879)*($K$9:$K$1273&gt;K879)))</f>
        <v/>
      </c>
      <c r="K879" s="108">
        <f>IFERROR(1-AVERAGE(X879:Y879),"")</f>
        <v/>
      </c>
      <c r="L879" s="108">
        <f>1-X879</f>
        <v/>
      </c>
      <c r="M879" s="108">
        <f>1-Y879</f>
        <v/>
      </c>
      <c r="N879" s="108">
        <f>1-Z879</f>
        <v/>
      </c>
      <c r="O879" s="108">
        <f>1-AA879</f>
        <v/>
      </c>
      <c r="P879" s="108">
        <f>1-AB879</f>
        <v/>
      </c>
      <c r="Q879" s="108" t="n"/>
      <c r="R879" s="108" t="n"/>
      <c r="S879" s="108">
        <f>1-AE879</f>
        <v/>
      </c>
      <c r="T879" s="108">
        <f>1-AF879</f>
        <v/>
      </c>
      <c r="U879" s="108">
        <f>1-AG879</f>
        <v/>
      </c>
      <c r="V879" s="108">
        <f>1-AH879</f>
        <v/>
      </c>
      <c r="W879" s="108">
        <f>1-AI879</f>
        <v/>
      </c>
      <c r="X879" s="108">
        <f>ABS(AJ879-AJ$1)</f>
        <v/>
      </c>
      <c r="Y879" s="108">
        <f>AVERAGE(Z879:AB879)</f>
        <v/>
      </c>
      <c r="Z879" s="108">
        <f>ABS(AL879-AL$1)</f>
        <v/>
      </c>
      <c r="AA879" s="108">
        <f>ABS(AM879-AM$1)</f>
        <v/>
      </c>
      <c r="AB879" s="108">
        <f>ABS(AN879-AN$1)</f>
        <v/>
      </c>
      <c r="AC879" s="108" t="n"/>
      <c r="AD879" s="108" t="n"/>
      <c r="AE879" s="108">
        <f>ABS(AQ$1-AQ879)</f>
        <v/>
      </c>
      <c r="AF879" s="108">
        <f>ABS(AR$1-AR879)</f>
        <v/>
      </c>
      <c r="AG879" s="108">
        <f>ABS(AS$1-AS879)</f>
        <v/>
      </c>
      <c r="AH879" s="108">
        <f>ABS(AT$1-AT879)</f>
        <v/>
      </c>
      <c r="AI879" s="108">
        <f>ABS(AU$1-AU879)</f>
        <v/>
      </c>
      <c r="AJ879" s="108">
        <f>(AV879-Driver!$K$179)/(Driver!$L$179-Driver!$K$179)</f>
        <v/>
      </c>
      <c r="AK879" s="108">
        <f>(AW879-Driver!$K$180)/(Driver!$L$180-Driver!$K$180)</f>
        <v/>
      </c>
      <c r="AL879" s="108">
        <f>(AX879-Driver!$K$181)/(Driver!$L$181-Driver!$K$181)</f>
        <v/>
      </c>
      <c r="AM879" s="108">
        <f>(AY879-Driver!$K$182)/(Driver!$L$182-Driver!$K$182)</f>
        <v/>
      </c>
      <c r="AN879" s="108">
        <f>(AZ879-Driver!$K$183)/(Driver!$L$183-Driver!$K$183)</f>
        <v/>
      </c>
      <c r="AO879" s="108" t="n"/>
      <c r="AP879" s="108" t="n"/>
      <c r="AQ879" s="108">
        <f>(BC879-Driver!$K$188)/(Driver!$L$188-Driver!$K$188)</f>
        <v/>
      </c>
      <c r="AR879" s="108">
        <f>MIN((BD879-Driver!$K$189)/(Driver!$L$189-Driver!$K$189),100%)</f>
        <v/>
      </c>
      <c r="AS879" s="108">
        <f>(BE879-Driver!$K$190)/(Driver!$L$190-Driver!$K$190)</f>
        <v/>
      </c>
      <c r="AT879" s="108">
        <f>(BF879-Driver!$K$191)/(Driver!$L$191-Driver!$K$191)</f>
        <v/>
      </c>
      <c r="AU879" s="108">
        <f>(BG879-Driver!$K$192)/(Driver!$L$192-Driver!$K$192)</f>
        <v/>
      </c>
      <c r="AV879" s="105">
        <f>IFERROR(BM879*BJ879^1/4,"")</f>
        <v/>
      </c>
      <c r="AW879" s="105">
        <f>IFERROR(SUM(AX879:AZ879),"")</f>
        <v/>
      </c>
      <c r="AX879" s="105">
        <f>IFERROR(BH879,"")</f>
        <v/>
      </c>
      <c r="AY879" s="105">
        <f>IFERROR(Driver!$K$19/Data!BH879/Data!BI879*Data!BK879*Data!BL879,"")</f>
        <v/>
      </c>
      <c r="AZ879" s="105">
        <f>IFERROR(BI879*BN879,"")</f>
        <v/>
      </c>
      <c r="BA879" s="105" t="n"/>
      <c r="BB879" s="105" t="n"/>
      <c r="BC879" s="105">
        <f>IFERROR(BI879*BN879*BK879/BJ879^(1/2),"")</f>
        <v/>
      </c>
      <c r="BD879" s="105">
        <f>IFERROR(BH879*BM879*BL879/BJ879/BK879,"")</f>
        <v/>
      </c>
      <c r="BE879" s="105">
        <f>IFERROR(MIN(BI879/BQ879/BP879/BO879/BH879,$BE$1),"")</f>
        <v/>
      </c>
      <c r="BF879" s="105">
        <f>IFERROR(BJ879*BO879*BP879/BK879,"")</f>
        <v/>
      </c>
      <c r="BG879" s="105">
        <f>IFERROR(1/BM879/BH879*BQ879,"")</f>
        <v/>
      </c>
      <c r="BH879" s="102">
        <f>MAX((CE879-Driver!$F$200)/(Driver!$G$200-Driver!$F$200)*$BI$1,1)</f>
        <v/>
      </c>
      <c r="BI879" s="102">
        <f>MAX($BI$1*(BY879-Driver!$F$201)/(Driver!$G$201-Driver!$F$201),1)</f>
        <v/>
      </c>
      <c r="BJ879" s="102">
        <f>(CB879-Driver!$F$206)/(Driver!$G$206-Driver!$F$206)*$BI$1</f>
        <v/>
      </c>
      <c r="BK879" s="102">
        <f>(CD879-Driver!$F$203)/(Driver!$G$203-Driver!$F$203)*$BI$1</f>
        <v/>
      </c>
      <c r="BL879" s="102">
        <f>MAX((CR879-Driver!$F$202)/(Driver!$G$202-Driver!$F$202)*$BI$1,1)</f>
        <v/>
      </c>
      <c r="BM879" s="102">
        <f>MAX((CH879-Driver!$F$204)/(Driver!$G$204-Driver!$F$204)*$BI$1,1)</f>
        <v/>
      </c>
      <c r="BN879" s="102">
        <f>(CI879-Driver!$F$205)/(Driver!$G$205-Driver!$F$205)*$BI$1</f>
        <v/>
      </c>
      <c r="BO879" s="102">
        <f>(CK879-Driver!$F$207)/(Driver!$G$207-Driver!$F$207)*$BI$1</f>
        <v/>
      </c>
      <c r="BP879" s="102">
        <f>(CM879-Driver!$F$208)/(Driver!$G$208-Driver!$F$208)*$BI$1</f>
        <v/>
      </c>
      <c r="BQ879" s="102">
        <f>(CL879-Driver!$F$209)/(Driver!$G$209-Driver!$F$209)*$BI$1</f>
        <v/>
      </c>
      <c r="BR879" s="40" t="inlineStr">
        <is>
          <t>21/22</t>
        </is>
      </c>
      <c r="BS879" s="10" t="inlineStr">
        <is>
          <t xml:space="preserve"> Salomon</t>
        </is>
      </c>
      <c r="BT879" s="11" t="inlineStr">
        <is>
          <t>Stance 84</t>
        </is>
      </c>
      <c r="BU879" s="13" t="n">
        <v>161</v>
      </c>
      <c r="BV879" s="11" t="inlineStr">
        <is>
          <t xml:space="preserve"> Unisex</t>
        </is>
      </c>
      <c r="BW879" s="13" t="n">
        <v>161</v>
      </c>
      <c r="BX879" s="13" t="n">
        <v>160</v>
      </c>
      <c r="BY879" s="13" t="n">
        <v>121</v>
      </c>
      <c r="BZ879" s="13" t="n">
        <v>132</v>
      </c>
      <c r="CA879" s="13" t="n">
        <v>120</v>
      </c>
      <c r="CB879" s="13" t="n">
        <v>83</v>
      </c>
      <c r="CC879" s="13" t="n">
        <v>104</v>
      </c>
      <c r="CD879" s="13" t="n">
        <v>13.7</v>
      </c>
      <c r="CE879" s="13" t="n">
        <v>1417</v>
      </c>
      <c r="CF879" s="13" t="n">
        <v>1.09</v>
      </c>
      <c r="CG879" s="13" t="n">
        <v>1542</v>
      </c>
      <c r="CH879" s="13" t="n">
        <v>157</v>
      </c>
      <c r="CI879" s="13" t="n">
        <v>71</v>
      </c>
      <c r="CJ879" s="13" t="n">
        <v>51</v>
      </c>
      <c r="CK879" s="13" t="n">
        <v>216</v>
      </c>
      <c r="CL879" s="13" t="n">
        <v>9</v>
      </c>
      <c r="CM879" s="13" t="n">
        <v>170</v>
      </c>
      <c r="CN879" s="13" t="n">
        <v>0.176</v>
      </c>
      <c r="CO879" s="13" t="n">
        <v>162</v>
      </c>
      <c r="CP879" s="13" t="n">
        <v>118</v>
      </c>
      <c r="CQ879" s="13" t="n">
        <v>54</v>
      </c>
      <c r="CR879" s="13" t="n">
        <v>6</v>
      </c>
      <c r="CS879" s="13" t="n">
        <v>8.9</v>
      </c>
      <c r="CT879" s="11" t="inlineStr">
        <is>
          <t xml:space="preserve"> On-Piste All-Mountain</t>
        </is>
      </c>
      <c r="CU879" s="11" t="inlineStr">
        <is>
          <t xml:space="preserve"> Resort Freeride</t>
        </is>
      </c>
      <c r="CV879" s="11" t="inlineStr">
        <is>
          <t xml:space="preserve"> Touring</t>
        </is>
      </c>
      <c r="CW879" s="13" t="n"/>
      <c r="CX879">
        <f>INDEX('Data_Price '!AG$2:AG$1266,MATCH(Data!$DN879,'Data_Price '!$AT$2:$AT$1266,0))</f>
        <v/>
      </c>
      <c r="CY879">
        <f>INDEX('Data_Price '!AH$2:AH$1266,MATCH(Data!$DN879,'Data_Price '!$AT$2:$AT$1266,0))</f>
        <v/>
      </c>
      <c r="CZ879">
        <f>INDEX('Data_Price '!AI$2:AI$1266,MATCH(Data!$DN879,'Data_Price '!$AT$2:$AT$1266,0))</f>
        <v/>
      </c>
      <c r="DA879">
        <f>INDEX('Data_Price '!AJ$2:AJ$1266,MATCH(Data!$DN879,'Data_Price '!$AT$2:$AT$1266,0))</f>
        <v/>
      </c>
      <c r="DB879">
        <f>INDEX('Data_Price '!AK$2:AK$1266,MATCH(Data!$DN879,'Data_Price '!$AT$2:$AT$1266,0))</f>
        <v/>
      </c>
      <c r="DC879">
        <f>INDEX('Data_Price '!AL$2:AL$1266,MATCH(Data!$DN879,'Data_Price '!$AT$2:$AT$1266,0))</f>
        <v/>
      </c>
      <c r="DD879">
        <f>INDEX('Data_Price '!AM$2:AM$1266,MATCH(Data!$DN879,'Data_Price '!$AT$2:$AT$1266,0))</f>
        <v/>
      </c>
      <c r="DE879">
        <f>INDEX('Data_Price '!AN$2:AN$1266,MATCH(Data!$DN879,'Data_Price '!$AT$2:$AT$1266,0))</f>
        <v/>
      </c>
      <c r="DF879">
        <f>INDEX('Data_Price '!AO$2:AO$1266,MATCH(Data!$DN879,'Data_Price '!$AT$2:$AT$1266,0))</f>
        <v/>
      </c>
      <c r="DG879">
        <f>INDEX('Data_Price '!AP$2:AP$1266,MATCH(Data!$DN879,'Data_Price '!$AT$2:$AT$1266,0))</f>
        <v/>
      </c>
      <c r="DH879">
        <f>INDEX('Data_Price '!AQ$2:AQ$1266,MATCH(Data!$DN879,'Data_Price '!$AT$2:$AT$1266,0))</f>
        <v/>
      </c>
      <c r="DI879">
        <f>INDEX('Data_Price '!AR$2:AR$1266,MATCH(Data!$DN879,'Data_Price '!$AT$2:$AT$1266,0))</f>
        <v/>
      </c>
      <c r="DJ879" s="138">
        <f>DA879</f>
        <v/>
      </c>
      <c r="DK879" s="138">
        <f>DE879</f>
        <v/>
      </c>
      <c r="DL879" s="138">
        <f>DI879</f>
        <v/>
      </c>
      <c r="DM879" s="303">
        <f>IF(LEFT(BT879,1)=" ",RIGHT(BT879,LEN(BT879)-1),BT879)</f>
        <v/>
      </c>
      <c r="DN879" s="138">
        <f>_xlfn.CONCAT(BS879,DM879,BU879,BV879)</f>
        <v/>
      </c>
      <c r="DO879" s="307" t="inlineStr">
        <is>
          <t>https://images.evo.com/imgp/250/197287/812033/clone.jpg</t>
        </is>
      </c>
    </row>
    <row r="880" ht="15.6" customHeight="1" s="184">
      <c r="B880" s="303">
        <f t="array" ref="B880">IF(OR(ISERROR(K880:P880)),FALSE,TRUE)</f>
        <v/>
      </c>
      <c r="C880" s="60">
        <f>OR(BR880=Driver!$G$50,Data!BR35=Driver!$H$50)</f>
        <v/>
      </c>
      <c r="D880" s="60">
        <f>OR(BV880=Driver!$G$51,BV880=Driver!$H$51)</f>
        <v/>
      </c>
      <c r="E880" s="60">
        <f>AND(BX880&gt;Driver!$F$54,BX880&lt;Driver!$G$54)</f>
        <v/>
      </c>
      <c r="F880" s="60">
        <f>CL880&gt;Driver!$F$56</f>
        <v/>
      </c>
      <c r="G880" s="60">
        <f>AND(CB880&gt;Driver!$F$55,CB880&lt;Driver!$G$55)</f>
        <v/>
      </c>
      <c r="H880" s="60">
        <f>AND(B880:G880)</f>
        <v/>
      </c>
      <c r="I880" s="60">
        <f>COUNTIFS($H$9:$H$1273,TRUE,$BT$9:$BT$1273,BT880)</f>
        <v/>
      </c>
      <c r="J880" s="60">
        <f t="array" ref="J880">NOT(OR(($H$9:$H$1273=TRUE)*($I$9:$I$1273&gt;0)*($BT$9:$BT$1273=BT880)*($K$9:$K$1273&gt;K880)))</f>
        <v/>
      </c>
      <c r="K880" s="108">
        <f>IFERROR(1-AVERAGE(X880:Y880),"")</f>
        <v/>
      </c>
      <c r="L880" s="108">
        <f>1-X880</f>
        <v/>
      </c>
      <c r="M880" s="108">
        <f>1-Y880</f>
        <v/>
      </c>
      <c r="N880" s="108">
        <f>1-Z880</f>
        <v/>
      </c>
      <c r="O880" s="108">
        <f>1-AA880</f>
        <v/>
      </c>
      <c r="P880" s="108">
        <f>1-AB880</f>
        <v/>
      </c>
      <c r="Q880" s="108" t="n"/>
      <c r="R880" s="108" t="n"/>
      <c r="S880" s="108">
        <f>1-AE880</f>
        <v/>
      </c>
      <c r="T880" s="108">
        <f>1-AF880</f>
        <v/>
      </c>
      <c r="U880" s="108">
        <f>1-AG880</f>
        <v/>
      </c>
      <c r="V880" s="108">
        <f>1-AH880</f>
        <v/>
      </c>
      <c r="W880" s="108">
        <f>1-AI880</f>
        <v/>
      </c>
      <c r="X880" s="108">
        <f>ABS(AJ880-AJ$1)</f>
        <v/>
      </c>
      <c r="Y880" s="108">
        <f>AVERAGE(Z880:AB880)</f>
        <v/>
      </c>
      <c r="Z880" s="108">
        <f>ABS(AL880-AL$1)</f>
        <v/>
      </c>
      <c r="AA880" s="108">
        <f>ABS(AM880-AM$1)</f>
        <v/>
      </c>
      <c r="AB880" s="108">
        <f>ABS(AN880-AN$1)</f>
        <v/>
      </c>
      <c r="AC880" s="108" t="n"/>
      <c r="AD880" s="108" t="n"/>
      <c r="AE880" s="108">
        <f>ABS(AQ$1-AQ880)</f>
        <v/>
      </c>
      <c r="AF880" s="108">
        <f>ABS(AR$1-AR880)</f>
        <v/>
      </c>
      <c r="AG880" s="108">
        <f>ABS(AS$1-AS880)</f>
        <v/>
      </c>
      <c r="AH880" s="108">
        <f>ABS(AT$1-AT880)</f>
        <v/>
      </c>
      <c r="AI880" s="108">
        <f>ABS(AU$1-AU880)</f>
        <v/>
      </c>
      <c r="AJ880" s="108">
        <f>(AV880-Driver!$K$179)/(Driver!$L$179-Driver!$K$179)</f>
        <v/>
      </c>
      <c r="AK880" s="108">
        <f>(AW880-Driver!$K$180)/(Driver!$L$180-Driver!$K$180)</f>
        <v/>
      </c>
      <c r="AL880" s="108">
        <f>(AX880-Driver!$K$181)/(Driver!$L$181-Driver!$K$181)</f>
        <v/>
      </c>
      <c r="AM880" s="108">
        <f>(AY880-Driver!$K$182)/(Driver!$L$182-Driver!$K$182)</f>
        <v/>
      </c>
      <c r="AN880" s="108">
        <f>(AZ880-Driver!$K$183)/(Driver!$L$183-Driver!$K$183)</f>
        <v/>
      </c>
      <c r="AO880" s="108" t="n"/>
      <c r="AP880" s="108" t="n"/>
      <c r="AQ880" s="108">
        <f>(BC880-Driver!$K$188)/(Driver!$L$188-Driver!$K$188)</f>
        <v/>
      </c>
      <c r="AR880" s="108">
        <f>MIN((BD880-Driver!$K$189)/(Driver!$L$189-Driver!$K$189),100%)</f>
        <v/>
      </c>
      <c r="AS880" s="108">
        <f>(BE880-Driver!$K$190)/(Driver!$L$190-Driver!$K$190)</f>
        <v/>
      </c>
      <c r="AT880" s="108">
        <f>(BF880-Driver!$K$191)/(Driver!$L$191-Driver!$K$191)</f>
        <v/>
      </c>
      <c r="AU880" s="108">
        <f>(BG880-Driver!$K$192)/(Driver!$L$192-Driver!$K$192)</f>
        <v/>
      </c>
      <c r="AV880" s="105">
        <f>IFERROR(BM880*BJ880^1/4,"")</f>
        <v/>
      </c>
      <c r="AW880" s="105">
        <f>IFERROR(SUM(AX880:AZ880),"")</f>
        <v/>
      </c>
      <c r="AX880" s="105">
        <f>IFERROR(BH880,"")</f>
        <v/>
      </c>
      <c r="AY880" s="105">
        <f>IFERROR(Driver!$K$19/Data!BH880/Data!BI880*Data!BK880*Data!BL880,"")</f>
        <v/>
      </c>
      <c r="AZ880" s="105">
        <f>IFERROR(BI880*BN880,"")</f>
        <v/>
      </c>
      <c r="BA880" s="105" t="n"/>
      <c r="BB880" s="105" t="n"/>
      <c r="BC880" s="105">
        <f>IFERROR(BI880*BN880*BK880/BJ880^(1/2),"")</f>
        <v/>
      </c>
      <c r="BD880" s="105">
        <f>IFERROR(BH880*BM880*BL880/BJ880/BK880,"")</f>
        <v/>
      </c>
      <c r="BE880" s="105">
        <f>IFERROR(MIN(BI880/BQ880/BP880/BO880/BH880,$BE$1),"")</f>
        <v/>
      </c>
      <c r="BF880" s="105">
        <f>IFERROR(BJ880*BO880*BP880/BK880,"")</f>
        <v/>
      </c>
      <c r="BG880" s="105">
        <f>IFERROR(1/BM880/BH880*BQ880,"")</f>
        <v/>
      </c>
      <c r="BH880" s="102">
        <f>MAX((CE880-Driver!$F$200)/(Driver!$G$200-Driver!$F$200)*$BI$1,1)</f>
        <v/>
      </c>
      <c r="BI880" s="102">
        <f>MAX($BI$1*(BY880-Driver!$F$201)/(Driver!$G$201-Driver!$F$201),1)</f>
        <v/>
      </c>
      <c r="BJ880" s="102">
        <f>(CB880-Driver!$F$206)/(Driver!$G$206-Driver!$F$206)*$BI$1</f>
        <v/>
      </c>
      <c r="BK880" s="102">
        <f>(CD880-Driver!$F$203)/(Driver!$G$203-Driver!$F$203)*$BI$1</f>
        <v/>
      </c>
      <c r="BL880" s="102">
        <f>MAX((CR880-Driver!$F$202)/(Driver!$G$202-Driver!$F$202)*$BI$1,1)</f>
        <v/>
      </c>
      <c r="BM880" s="102">
        <f>MAX((CH880-Driver!$F$204)/(Driver!$G$204-Driver!$F$204)*$BI$1,1)</f>
        <v/>
      </c>
      <c r="BN880" s="102">
        <f>(CI880-Driver!$F$205)/(Driver!$G$205-Driver!$F$205)*$BI$1</f>
        <v/>
      </c>
      <c r="BO880" s="102">
        <f>(CK880-Driver!$F$207)/(Driver!$G$207-Driver!$F$207)*$BI$1</f>
        <v/>
      </c>
      <c r="BP880" s="102">
        <f>(CM880-Driver!$F$208)/(Driver!$G$208-Driver!$F$208)*$BI$1</f>
        <v/>
      </c>
      <c r="BQ880" s="102">
        <f>(CL880-Driver!$F$209)/(Driver!$G$209-Driver!$F$209)*$BI$1</f>
        <v/>
      </c>
      <c r="BR880" s="40" t="inlineStr">
        <is>
          <t>21/22</t>
        </is>
      </c>
      <c r="BS880" s="10" t="inlineStr">
        <is>
          <t xml:space="preserve"> Armada</t>
        </is>
      </c>
      <c r="BT880" s="11" t="inlineStr">
        <is>
          <t>ARV 84</t>
        </is>
      </c>
      <c r="BU880" s="13" t="n">
        <v>164</v>
      </c>
      <c r="BV880" s="11" t="inlineStr">
        <is>
          <t xml:space="preserve"> Unisex</t>
        </is>
      </c>
      <c r="BW880" s="13" t="n">
        <v>164</v>
      </c>
      <c r="BX880" s="13" t="n">
        <v>162.4</v>
      </c>
      <c r="BY880" s="13" t="n">
        <v>116</v>
      </c>
      <c r="BZ880" s="13" t="n">
        <v>137</v>
      </c>
      <c r="CA880" s="13" t="n">
        <v>117</v>
      </c>
      <c r="CB880" s="13" t="n">
        <v>84</v>
      </c>
      <c r="CC880" s="13" t="n">
        <v>108</v>
      </c>
      <c r="CD880" s="13" t="n">
        <v>15.1</v>
      </c>
      <c r="CE880" s="13" t="n">
        <v>1673</v>
      </c>
      <c r="CF880" s="13" t="n">
        <v>0.93</v>
      </c>
      <c r="CG880" s="13" t="n">
        <v>1556</v>
      </c>
      <c r="CH880" s="13" t="n">
        <v>151</v>
      </c>
      <c r="CI880" s="13" t="n">
        <v>59</v>
      </c>
      <c r="CJ880" s="13" t="n">
        <v>46</v>
      </c>
      <c r="CK880" s="13" t="n">
        <v>267</v>
      </c>
      <c r="CL880" s="13" t="n">
        <v>35</v>
      </c>
      <c r="CM880" s="13" t="n">
        <v>200</v>
      </c>
      <c r="CN880" s="13" t="n">
        <v>0.756</v>
      </c>
      <c r="CO880" s="13" t="n">
        <v>137</v>
      </c>
      <c r="CP880" s="13" t="n">
        <v>117</v>
      </c>
      <c r="CQ880" s="13" t="n">
        <v>130</v>
      </c>
      <c r="CR880" s="13" t="n">
        <v>7</v>
      </c>
      <c r="CS880" s="13" t="n">
        <v>7.1</v>
      </c>
      <c r="CT880" s="11" t="inlineStr">
        <is>
          <t xml:space="preserve"> Resort Freeride</t>
        </is>
      </c>
      <c r="CU880" s="13" t="n"/>
      <c r="CV880" s="13" t="n"/>
      <c r="CW880" s="13" t="n"/>
      <c r="CX880">
        <f>INDEX('Data_Price '!AG$2:AG$1266,MATCH(Data!$DN880,'Data_Price '!$AT$2:$AT$1266,0))</f>
        <v/>
      </c>
      <c r="CY880">
        <f>INDEX('Data_Price '!AH$2:AH$1266,MATCH(Data!$DN880,'Data_Price '!$AT$2:$AT$1266,0))</f>
        <v/>
      </c>
      <c r="CZ880">
        <f>INDEX('Data_Price '!AI$2:AI$1266,MATCH(Data!$DN880,'Data_Price '!$AT$2:$AT$1266,0))</f>
        <v/>
      </c>
      <c r="DA880">
        <f>INDEX('Data_Price '!AJ$2:AJ$1266,MATCH(Data!$DN880,'Data_Price '!$AT$2:$AT$1266,0))</f>
        <v/>
      </c>
      <c r="DB880">
        <f>INDEX('Data_Price '!AK$2:AK$1266,MATCH(Data!$DN880,'Data_Price '!$AT$2:$AT$1266,0))</f>
        <v/>
      </c>
      <c r="DC880">
        <f>INDEX('Data_Price '!AL$2:AL$1266,MATCH(Data!$DN880,'Data_Price '!$AT$2:$AT$1266,0))</f>
        <v/>
      </c>
      <c r="DD880">
        <f>INDEX('Data_Price '!AM$2:AM$1266,MATCH(Data!$DN880,'Data_Price '!$AT$2:$AT$1266,0))</f>
        <v/>
      </c>
      <c r="DE880">
        <f>INDEX('Data_Price '!AN$2:AN$1266,MATCH(Data!$DN880,'Data_Price '!$AT$2:$AT$1266,0))</f>
        <v/>
      </c>
      <c r="DF880">
        <f>INDEX('Data_Price '!AO$2:AO$1266,MATCH(Data!$DN880,'Data_Price '!$AT$2:$AT$1266,0))</f>
        <v/>
      </c>
      <c r="DG880">
        <f>INDEX('Data_Price '!AP$2:AP$1266,MATCH(Data!$DN880,'Data_Price '!$AT$2:$AT$1266,0))</f>
        <v/>
      </c>
      <c r="DH880">
        <f>INDEX('Data_Price '!AQ$2:AQ$1266,MATCH(Data!$DN880,'Data_Price '!$AT$2:$AT$1266,0))</f>
        <v/>
      </c>
      <c r="DI880">
        <f>INDEX('Data_Price '!AR$2:AR$1266,MATCH(Data!$DN880,'Data_Price '!$AT$2:$AT$1266,0))</f>
        <v/>
      </c>
      <c r="DJ880" s="138">
        <f>DA880</f>
        <v/>
      </c>
      <c r="DK880" s="138">
        <f>DE880</f>
        <v/>
      </c>
      <c r="DL880" s="138">
        <f>DI880</f>
        <v/>
      </c>
      <c r="DM880" s="303">
        <f>IF(LEFT(BT880,1)=" ",RIGHT(BT880,LEN(BT880)-1),BT880)</f>
        <v/>
      </c>
      <c r="DN880" s="138">
        <f>_xlfn.CONCAT(BS880,DM880,BU880,BV880)</f>
        <v/>
      </c>
      <c r="DO880" s="307" t="inlineStr">
        <is>
          <t>https://images.evo.com/imgp/250/198697/839664/armada-arv-84-skis-boys-2022-.jpg</t>
        </is>
      </c>
    </row>
    <row r="881" ht="15.6" customHeight="1" s="184">
      <c r="B881" s="303">
        <f t="array" ref="B881">IF(OR(ISERROR(K881:P881)),FALSE,TRUE)</f>
        <v/>
      </c>
      <c r="C881" s="60">
        <f>OR(BR881=Driver!$G$50,Data!BR772=Driver!$H$50)</f>
        <v/>
      </c>
      <c r="D881" s="60">
        <f>OR(BV881=Driver!$G$51,BV881=Driver!$H$51)</f>
        <v/>
      </c>
      <c r="E881" s="60">
        <f>AND(BX881&gt;Driver!$F$54,BX881&lt;Driver!$G$54)</f>
        <v/>
      </c>
      <c r="F881" s="60">
        <f>CL881&gt;Driver!$F$56</f>
        <v/>
      </c>
      <c r="G881" s="60">
        <f>AND(CB881&gt;Driver!$F$55,CB881&lt;Driver!$G$55)</f>
        <v/>
      </c>
      <c r="H881" s="60">
        <f>AND(B881:G881)</f>
        <v/>
      </c>
      <c r="I881" s="60">
        <f>COUNTIFS($H$9:$H$1273,TRUE,$BT$9:$BT$1273,BT881)</f>
        <v/>
      </c>
      <c r="J881" s="60">
        <f t="array" ref="J881">NOT(OR(($H$9:$H$1273=TRUE)*($I$9:$I$1273&gt;0)*($BT$9:$BT$1273=BT881)*($K$9:$K$1273&gt;K881)))</f>
        <v/>
      </c>
      <c r="K881" s="108">
        <f>IFERROR(1-AVERAGE(X881:Y881),"")</f>
        <v/>
      </c>
      <c r="L881" s="108">
        <f>1-X881</f>
        <v/>
      </c>
      <c r="M881" s="108">
        <f>1-Y881</f>
        <v/>
      </c>
      <c r="N881" s="108">
        <f>1-Z881</f>
        <v/>
      </c>
      <c r="O881" s="108">
        <f>1-AA881</f>
        <v/>
      </c>
      <c r="P881" s="108">
        <f>1-AB881</f>
        <v/>
      </c>
      <c r="Q881" s="108" t="n"/>
      <c r="R881" s="108" t="n"/>
      <c r="S881" s="108">
        <f>1-AE881</f>
        <v/>
      </c>
      <c r="T881" s="108">
        <f>1-AF881</f>
        <v/>
      </c>
      <c r="U881" s="108">
        <f>1-AG881</f>
        <v/>
      </c>
      <c r="V881" s="108">
        <f>1-AH881</f>
        <v/>
      </c>
      <c r="W881" s="108">
        <f>1-AI881</f>
        <v/>
      </c>
      <c r="X881" s="108">
        <f>ABS(AJ881-AJ$1)</f>
        <v/>
      </c>
      <c r="Y881" s="108">
        <f>AVERAGE(Z881:AB881)</f>
        <v/>
      </c>
      <c r="Z881" s="108">
        <f>ABS(AL881-AL$1)</f>
        <v/>
      </c>
      <c r="AA881" s="108">
        <f>ABS(AM881-AM$1)</f>
        <v/>
      </c>
      <c r="AB881" s="108">
        <f>ABS(AN881-AN$1)</f>
        <v/>
      </c>
      <c r="AC881" s="108" t="n"/>
      <c r="AD881" s="108" t="n"/>
      <c r="AE881" s="108">
        <f>ABS(AQ$1-AQ881)</f>
        <v/>
      </c>
      <c r="AF881" s="108">
        <f>ABS(AR$1-AR881)</f>
        <v/>
      </c>
      <c r="AG881" s="108">
        <f>ABS(AS$1-AS881)</f>
        <v/>
      </c>
      <c r="AH881" s="108">
        <f>ABS(AT$1-AT881)</f>
        <v/>
      </c>
      <c r="AI881" s="108">
        <f>ABS(AU$1-AU881)</f>
        <v/>
      </c>
      <c r="AJ881" s="108">
        <f>(AV881-Driver!$K$179)/(Driver!$L$179-Driver!$K$179)</f>
        <v/>
      </c>
      <c r="AK881" s="108">
        <f>(AW881-Driver!$K$180)/(Driver!$L$180-Driver!$K$180)</f>
        <v/>
      </c>
      <c r="AL881" s="108">
        <f>(AX881-Driver!$K$181)/(Driver!$L$181-Driver!$K$181)</f>
        <v/>
      </c>
      <c r="AM881" s="108">
        <f>(AY881-Driver!$K$182)/(Driver!$L$182-Driver!$K$182)</f>
        <v/>
      </c>
      <c r="AN881" s="108">
        <f>(AZ881-Driver!$K$183)/(Driver!$L$183-Driver!$K$183)</f>
        <v/>
      </c>
      <c r="AO881" s="108" t="n"/>
      <c r="AP881" s="108" t="n"/>
      <c r="AQ881" s="108">
        <f>(BC881-Driver!$K$188)/(Driver!$L$188-Driver!$K$188)</f>
        <v/>
      </c>
      <c r="AR881" s="108">
        <f>MIN((BD881-Driver!$K$189)/(Driver!$L$189-Driver!$K$189),100%)</f>
        <v/>
      </c>
      <c r="AS881" s="108">
        <f>(BE881-Driver!$K$190)/(Driver!$L$190-Driver!$K$190)</f>
        <v/>
      </c>
      <c r="AT881" s="108">
        <f>(BF881-Driver!$K$191)/(Driver!$L$191-Driver!$K$191)</f>
        <v/>
      </c>
      <c r="AU881" s="108">
        <f>(BG881-Driver!$K$192)/(Driver!$L$192-Driver!$K$192)</f>
        <v/>
      </c>
      <c r="AV881" s="105">
        <f>IFERROR(BM881*BJ881^1/4,"")</f>
        <v/>
      </c>
      <c r="AW881" s="105">
        <f>IFERROR(SUM(AX881:AZ881),"")</f>
        <v/>
      </c>
      <c r="AX881" s="105">
        <f>IFERROR(BH881,"")</f>
        <v/>
      </c>
      <c r="AY881" s="105">
        <f>IFERROR(Driver!$K$19/Data!BH881/Data!BI881*Data!BK881*Data!BL881,"")</f>
        <v/>
      </c>
      <c r="AZ881" s="105">
        <f>IFERROR(BI881*BN881,"")</f>
        <v/>
      </c>
      <c r="BA881" s="105" t="n"/>
      <c r="BB881" s="105" t="n"/>
      <c r="BC881" s="105">
        <f>IFERROR(BI881*BN881*BK881/BJ881^(1/2),"")</f>
        <v/>
      </c>
      <c r="BD881" s="105">
        <f>IFERROR(BH881*BM881*BL881/BJ881/BK881,"")</f>
        <v/>
      </c>
      <c r="BE881" s="105">
        <f>IFERROR(MIN(BI881/BQ881/BP881/BO881/BH881,$BE$1),"")</f>
        <v/>
      </c>
      <c r="BF881" s="105">
        <f>IFERROR(BJ881*BO881*BP881/BK881,"")</f>
        <v/>
      </c>
      <c r="BG881" s="105">
        <f>IFERROR(1/BM881/BH881*BQ881,"")</f>
        <v/>
      </c>
      <c r="BH881" s="102">
        <f>MAX((CE881-Driver!$F$200)/(Driver!$G$200-Driver!$F$200)*$BI$1,1)</f>
        <v/>
      </c>
      <c r="BI881" s="102">
        <f>MAX($BI$1*(BY881-Driver!$F$201)/(Driver!$G$201-Driver!$F$201),1)</f>
        <v/>
      </c>
      <c r="BJ881" s="102">
        <f>(CB881-Driver!$F$206)/(Driver!$G$206-Driver!$F$206)*$BI$1</f>
        <v/>
      </c>
      <c r="BK881" s="102">
        <f>(CD881-Driver!$F$203)/(Driver!$G$203-Driver!$F$203)*$BI$1</f>
        <v/>
      </c>
      <c r="BL881" s="102">
        <f>MAX((CR881-Driver!$F$202)/(Driver!$G$202-Driver!$F$202)*$BI$1,1)</f>
        <v/>
      </c>
      <c r="BM881" s="102">
        <f>MAX((CH881-Driver!$F$204)/(Driver!$G$204-Driver!$F$204)*$BI$1,1)</f>
        <v/>
      </c>
      <c r="BN881" s="102">
        <f>(CI881-Driver!$F$205)/(Driver!$G$205-Driver!$F$205)*$BI$1</f>
        <v/>
      </c>
      <c r="BO881" s="102">
        <f>(CK881-Driver!$F$207)/(Driver!$G$207-Driver!$F$207)*$BI$1</f>
        <v/>
      </c>
      <c r="BP881" s="102">
        <f>(CM881-Driver!$F$208)/(Driver!$G$208-Driver!$F$208)*$BI$1</f>
        <v/>
      </c>
      <c r="BQ881" s="102">
        <f>(CL881-Driver!$F$209)/(Driver!$G$209-Driver!$F$209)*$BI$1</f>
        <v/>
      </c>
      <c r="BR881" s="40" t="inlineStr">
        <is>
          <t>21/22</t>
        </is>
      </c>
      <c r="BS881" s="10" t="inlineStr">
        <is>
          <t xml:space="preserve"> K2</t>
        </is>
      </c>
      <c r="BT881" s="11" t="inlineStr">
        <is>
          <t>Reckoner 92</t>
        </is>
      </c>
      <c r="BU881" s="13" t="n">
        <v>159</v>
      </c>
      <c r="BV881" s="11" t="inlineStr">
        <is>
          <t xml:space="preserve"> Unisex</t>
        </is>
      </c>
      <c r="BW881" s="13" t="n">
        <v>159</v>
      </c>
      <c r="BX881" s="13" t="n">
        <v>158.8</v>
      </c>
      <c r="BY881" s="13" t="n">
        <v>104</v>
      </c>
      <c r="BZ881" s="13" t="n">
        <v>133</v>
      </c>
      <c r="CA881" s="13" t="n">
        <v>123</v>
      </c>
      <c r="CB881" s="13" t="n">
        <v>91</v>
      </c>
      <c r="CC881" s="13" t="n">
        <v>113</v>
      </c>
      <c r="CD881" s="13" t="n">
        <v>14.8</v>
      </c>
      <c r="CE881" s="13" t="n">
        <v>1522</v>
      </c>
      <c r="CF881" s="13" t="n">
        <v>1.06</v>
      </c>
      <c r="CG881" s="13" t="n">
        <v>1615</v>
      </c>
      <c r="CH881" s="13" t="n">
        <v>150</v>
      </c>
      <c r="CI881" s="13" t="n">
        <v>68</v>
      </c>
      <c r="CJ881" s="13" t="n">
        <v>49</v>
      </c>
      <c r="CK881" s="13" t="n">
        <v>278</v>
      </c>
      <c r="CL881" s="13" t="n">
        <v>42</v>
      </c>
      <c r="CM881" s="13" t="n">
        <v>274</v>
      </c>
      <c r="CN881" s="13" t="n">
        <v>0.865</v>
      </c>
      <c r="CO881" s="13" t="n">
        <v>113</v>
      </c>
      <c r="CP881" s="13" t="n">
        <v>143</v>
      </c>
      <c r="CQ881" s="13" t="n">
        <v>165</v>
      </c>
      <c r="CR881" s="13" t="n">
        <v>5</v>
      </c>
      <c r="CS881" s="13" t="n">
        <v>4.3</v>
      </c>
      <c r="CT881" s="11" t="inlineStr">
        <is>
          <t xml:space="preserve"> Freeski</t>
        </is>
      </c>
      <c r="CU881" s="11" t="inlineStr">
        <is>
          <t xml:space="preserve"> Touring</t>
        </is>
      </c>
      <c r="CV881" s="13" t="n"/>
      <c r="CW881" s="13" t="n"/>
      <c r="CX881">
        <f>INDEX('Data_Price '!AG$2:AG$1266,MATCH(Data!$DN881,'Data_Price '!$AT$2:$AT$1266,0))</f>
        <v/>
      </c>
      <c r="CY881">
        <f>INDEX('Data_Price '!AH$2:AH$1266,MATCH(Data!$DN881,'Data_Price '!$AT$2:$AT$1266,0))</f>
        <v/>
      </c>
      <c r="CZ881">
        <f>INDEX('Data_Price '!AI$2:AI$1266,MATCH(Data!$DN881,'Data_Price '!$AT$2:$AT$1266,0))</f>
        <v/>
      </c>
      <c r="DA881">
        <f>INDEX('Data_Price '!AJ$2:AJ$1266,MATCH(Data!$DN881,'Data_Price '!$AT$2:$AT$1266,0))</f>
        <v/>
      </c>
      <c r="DB881">
        <f>INDEX('Data_Price '!AK$2:AK$1266,MATCH(Data!$DN881,'Data_Price '!$AT$2:$AT$1266,0))</f>
        <v/>
      </c>
      <c r="DC881">
        <f>INDEX('Data_Price '!AL$2:AL$1266,MATCH(Data!$DN881,'Data_Price '!$AT$2:$AT$1266,0))</f>
        <v/>
      </c>
      <c r="DD881">
        <f>INDEX('Data_Price '!AM$2:AM$1266,MATCH(Data!$DN881,'Data_Price '!$AT$2:$AT$1266,0))</f>
        <v/>
      </c>
      <c r="DE881">
        <f>INDEX('Data_Price '!AN$2:AN$1266,MATCH(Data!$DN881,'Data_Price '!$AT$2:$AT$1266,0))</f>
        <v/>
      </c>
      <c r="DF881">
        <f>INDEX('Data_Price '!AO$2:AO$1266,MATCH(Data!$DN881,'Data_Price '!$AT$2:$AT$1266,0))</f>
        <v/>
      </c>
      <c r="DG881">
        <f>INDEX('Data_Price '!AP$2:AP$1266,MATCH(Data!$DN881,'Data_Price '!$AT$2:$AT$1266,0))</f>
        <v/>
      </c>
      <c r="DH881">
        <f>INDEX('Data_Price '!AQ$2:AQ$1266,MATCH(Data!$DN881,'Data_Price '!$AT$2:$AT$1266,0))</f>
        <v/>
      </c>
      <c r="DI881">
        <f>INDEX('Data_Price '!AR$2:AR$1266,MATCH(Data!$DN881,'Data_Price '!$AT$2:$AT$1266,0))</f>
        <v/>
      </c>
      <c r="DJ881" s="138">
        <f>DA881</f>
        <v/>
      </c>
      <c r="DK881" s="138">
        <f>DE881</f>
        <v/>
      </c>
      <c r="DL881" s="138">
        <f>DI881</f>
        <v/>
      </c>
      <c r="DM881" s="303">
        <f>IF(LEFT(BT881,1)=" ",RIGHT(BT881,LEN(BT881)-1),BT881)</f>
        <v/>
      </c>
      <c r="DN881" s="138">
        <f>_xlfn.CONCAT(BS881,DM881,BU881,BV881)</f>
        <v/>
      </c>
      <c r="DO881" s="307" t="inlineStr">
        <is>
          <t>https://images.evo.com/imgp/250/201067/825046/k2-reckoner-92-skis-2022-.jpg</t>
        </is>
      </c>
    </row>
    <row r="882" ht="15.6" customHeight="1" s="184">
      <c r="B882" s="303">
        <f t="array" ref="B882">IF(OR(ISERROR(K882:P882)),FALSE,TRUE)</f>
        <v/>
      </c>
      <c r="C882" s="60">
        <f>OR(BR882=Driver!$G$50,Data!BR1144=Driver!$H$50)</f>
        <v/>
      </c>
      <c r="D882" s="60">
        <f>OR(BV882=Driver!$G$51,BV882=Driver!$H$51)</f>
        <v/>
      </c>
      <c r="E882" s="60">
        <f>AND(BX882&gt;Driver!$F$54,BX882&lt;Driver!$G$54)</f>
        <v/>
      </c>
      <c r="F882" s="60">
        <f>CL882&gt;Driver!$F$56</f>
        <v/>
      </c>
      <c r="G882" s="60">
        <f>AND(CB882&gt;Driver!$F$55,CB882&lt;Driver!$G$55)</f>
        <v/>
      </c>
      <c r="H882" s="60">
        <f>AND(B882:G882)</f>
        <v/>
      </c>
      <c r="I882" s="60">
        <f>COUNTIFS($H$9:$H$1273,TRUE,$BT$9:$BT$1273,BT882)</f>
        <v/>
      </c>
      <c r="J882" s="60">
        <f t="array" ref="J882">NOT(OR(($H$9:$H$1273=TRUE)*($I$9:$I$1273&gt;0)*($BT$9:$BT$1273=BT882)*($K$9:$K$1273&gt;K882)))</f>
        <v/>
      </c>
      <c r="K882" s="108">
        <f>IFERROR(1-AVERAGE(X882:Y882),"")</f>
        <v/>
      </c>
      <c r="L882" s="108">
        <f>1-X882</f>
        <v/>
      </c>
      <c r="M882" s="108">
        <f>1-Y882</f>
        <v/>
      </c>
      <c r="N882" s="108">
        <f>1-Z882</f>
        <v/>
      </c>
      <c r="O882" s="108">
        <f>1-AA882</f>
        <v/>
      </c>
      <c r="P882" s="108">
        <f>1-AB882</f>
        <v/>
      </c>
      <c r="Q882" s="108" t="n"/>
      <c r="R882" s="108" t="n"/>
      <c r="S882" s="108">
        <f>1-AE882</f>
        <v/>
      </c>
      <c r="T882" s="108">
        <f>1-AF882</f>
        <v/>
      </c>
      <c r="U882" s="108">
        <f>1-AG882</f>
        <v/>
      </c>
      <c r="V882" s="108">
        <f>1-AH882</f>
        <v/>
      </c>
      <c r="W882" s="108">
        <f>1-AI882</f>
        <v/>
      </c>
      <c r="X882" s="108">
        <f>ABS(AJ882-AJ$1)</f>
        <v/>
      </c>
      <c r="Y882" s="108">
        <f>AVERAGE(Z882:AB882)</f>
        <v/>
      </c>
      <c r="Z882" s="108">
        <f>ABS(AL882-AL$1)</f>
        <v/>
      </c>
      <c r="AA882" s="108">
        <f>ABS(AM882-AM$1)</f>
        <v/>
      </c>
      <c r="AB882" s="108">
        <f>ABS(AN882-AN$1)</f>
        <v/>
      </c>
      <c r="AC882" s="108" t="n"/>
      <c r="AD882" s="108" t="n"/>
      <c r="AE882" s="108">
        <f>ABS(AQ$1-AQ882)</f>
        <v/>
      </c>
      <c r="AF882" s="108">
        <f>ABS(AR$1-AR882)</f>
        <v/>
      </c>
      <c r="AG882" s="108">
        <f>ABS(AS$1-AS882)</f>
        <v/>
      </c>
      <c r="AH882" s="108">
        <f>ABS(AT$1-AT882)</f>
        <v/>
      </c>
      <c r="AI882" s="108">
        <f>ABS(AU$1-AU882)</f>
        <v/>
      </c>
      <c r="AJ882" s="108">
        <f>(AV882-Driver!$K$179)/(Driver!$L$179-Driver!$K$179)</f>
        <v/>
      </c>
      <c r="AK882" s="108">
        <f>(AW882-Driver!$K$180)/(Driver!$L$180-Driver!$K$180)</f>
        <v/>
      </c>
      <c r="AL882" s="108">
        <f>(AX882-Driver!$K$181)/(Driver!$L$181-Driver!$K$181)</f>
        <v/>
      </c>
      <c r="AM882" s="108">
        <f>(AY882-Driver!$K$182)/(Driver!$L$182-Driver!$K$182)</f>
        <v/>
      </c>
      <c r="AN882" s="108">
        <f>(AZ882-Driver!$K$183)/(Driver!$L$183-Driver!$K$183)</f>
        <v/>
      </c>
      <c r="AO882" s="108" t="n"/>
      <c r="AP882" s="108" t="n"/>
      <c r="AQ882" s="108">
        <f>(BC882-Driver!$K$188)/(Driver!$L$188-Driver!$K$188)</f>
        <v/>
      </c>
      <c r="AR882" s="108">
        <f>MIN((BD882-Driver!$K$189)/(Driver!$L$189-Driver!$K$189),100%)</f>
        <v/>
      </c>
      <c r="AS882" s="108">
        <f>(BE882-Driver!$K$190)/(Driver!$L$190-Driver!$K$190)</f>
        <v/>
      </c>
      <c r="AT882" s="108">
        <f>(BF882-Driver!$K$191)/(Driver!$L$191-Driver!$K$191)</f>
        <v/>
      </c>
      <c r="AU882" s="108">
        <f>(BG882-Driver!$K$192)/(Driver!$L$192-Driver!$K$192)</f>
        <v/>
      </c>
      <c r="AV882" s="105">
        <f>IFERROR(BM882*BJ882^1/4,"")</f>
        <v/>
      </c>
      <c r="AW882" s="105">
        <f>IFERROR(SUM(AX882:AZ882),"")</f>
        <v/>
      </c>
      <c r="AX882" s="105">
        <f>IFERROR(BH882,"")</f>
        <v/>
      </c>
      <c r="AY882" s="105">
        <f>IFERROR(Driver!$K$19/Data!BH882/Data!BI882*Data!BK882*Data!BL882,"")</f>
        <v/>
      </c>
      <c r="AZ882" s="105">
        <f>IFERROR(BI882*BN882,"")</f>
        <v/>
      </c>
      <c r="BA882" s="105" t="n"/>
      <c r="BB882" s="105" t="n"/>
      <c r="BC882" s="105">
        <f>IFERROR(BI882*BN882*BK882/BJ882^(1/2),"")</f>
        <v/>
      </c>
      <c r="BD882" s="105">
        <f>IFERROR(BH882*BM882*BL882/BJ882/BK882,"")</f>
        <v/>
      </c>
      <c r="BE882" s="105">
        <f>IFERROR(MIN(BI882/BQ882/BP882/BO882/BH882,$BE$1),"")</f>
        <v/>
      </c>
      <c r="BF882" s="105">
        <f>IFERROR(BJ882*BO882*BP882/BK882,"")</f>
        <v/>
      </c>
      <c r="BG882" s="105">
        <f>IFERROR(1/BM882/BH882*BQ882,"")</f>
        <v/>
      </c>
      <c r="BH882" s="102">
        <f>MAX((CE882-Driver!$F$200)/(Driver!$G$200-Driver!$F$200)*$BI$1,1)</f>
        <v/>
      </c>
      <c r="BI882" s="102">
        <f>MAX($BI$1*(BY882-Driver!$F$201)/(Driver!$G$201-Driver!$F$201),1)</f>
        <v/>
      </c>
      <c r="BJ882" s="102">
        <f>(CB882-Driver!$F$206)/(Driver!$G$206-Driver!$F$206)*$BI$1</f>
        <v/>
      </c>
      <c r="BK882" s="102">
        <f>(CD882-Driver!$F$203)/(Driver!$G$203-Driver!$F$203)*$BI$1</f>
        <v/>
      </c>
      <c r="BL882" s="102">
        <f>MAX((CR882-Driver!$F$202)/(Driver!$G$202-Driver!$F$202)*$BI$1,1)</f>
        <v/>
      </c>
      <c r="BM882" s="102">
        <f>MAX((CH882-Driver!$F$204)/(Driver!$G$204-Driver!$F$204)*$BI$1,1)</f>
        <v/>
      </c>
      <c r="BN882" s="102">
        <f>(CI882-Driver!$F$205)/(Driver!$G$205-Driver!$F$205)*$BI$1</f>
        <v/>
      </c>
      <c r="BO882" s="102">
        <f>(CK882-Driver!$F$207)/(Driver!$G$207-Driver!$F$207)*$BI$1</f>
        <v/>
      </c>
      <c r="BP882" s="102">
        <f>(CM882-Driver!$F$208)/(Driver!$G$208-Driver!$F$208)*$BI$1</f>
        <v/>
      </c>
      <c r="BQ882" s="102">
        <f>(CL882-Driver!$F$209)/(Driver!$G$209-Driver!$F$209)*$BI$1</f>
        <v/>
      </c>
      <c r="BR882" s="40" t="inlineStr">
        <is>
          <t>21/22</t>
        </is>
      </c>
      <c r="BS882" s="10" t="inlineStr">
        <is>
          <t xml:space="preserve"> Völkl</t>
        </is>
      </c>
      <c r="BT882" s="11" t="inlineStr">
        <is>
          <t>Bash 81</t>
        </is>
      </c>
      <c r="BU882" s="13" t="n">
        <v>148</v>
      </c>
      <c r="BV882" s="11" t="inlineStr">
        <is>
          <t xml:space="preserve"> Unisex</t>
        </is>
      </c>
      <c r="BW882" s="13" t="n">
        <v>148</v>
      </c>
      <c r="BX882" s="13" t="n">
        <v>146.9</v>
      </c>
      <c r="BY882" s="13" t="n">
        <v>117</v>
      </c>
      <c r="BZ882" s="13" t="n">
        <v>125</v>
      </c>
      <c r="CA882" s="13" t="n">
        <v>111</v>
      </c>
      <c r="CB882" s="13" t="n">
        <v>80</v>
      </c>
      <c r="CC882" s="13" t="n">
        <v>104</v>
      </c>
      <c r="CD882" s="13" t="n">
        <v>13.8</v>
      </c>
      <c r="CE882" s="13" t="n">
        <v>1433</v>
      </c>
      <c r="CF882" s="13" t="n">
        <v>0.93</v>
      </c>
      <c r="CG882" s="13" t="n">
        <v>1329</v>
      </c>
      <c r="CH882" s="13" t="n">
        <v>154</v>
      </c>
      <c r="CI882" s="13" t="n">
        <v>77</v>
      </c>
      <c r="CJ882" s="13" t="n">
        <v>46</v>
      </c>
      <c r="CK882" s="13" t="n">
        <v>160</v>
      </c>
      <c r="CL882" s="13" t="n">
        <v>38</v>
      </c>
      <c r="CM882" s="13" t="n">
        <v>140</v>
      </c>
      <c r="CN882" s="13" t="n">
        <v>0.8179999999999999</v>
      </c>
      <c r="CO882" s="13" t="n">
        <v>86</v>
      </c>
      <c r="CP882" s="13" t="n">
        <v>130</v>
      </c>
      <c r="CQ882" s="13" t="n">
        <v>74</v>
      </c>
      <c r="CR882" s="13" t="n">
        <v>5</v>
      </c>
      <c r="CS882" s="13" t="n">
        <v>1.9</v>
      </c>
      <c r="CT882" s="11" t="inlineStr">
        <is>
          <t xml:space="preserve"> Resort Freeride</t>
        </is>
      </c>
      <c r="CU882" s="11" t="inlineStr">
        <is>
          <t xml:space="preserve"> Freeski</t>
        </is>
      </c>
      <c r="CV882" s="13" t="n"/>
      <c r="CW882" s="13" t="n"/>
      <c r="CX882">
        <f>INDEX('Data_Price '!AG$2:AG$1266,MATCH(Data!$DN882,'Data_Price '!$AT$2:$AT$1266,0))</f>
        <v/>
      </c>
      <c r="CY882">
        <f>INDEX('Data_Price '!AH$2:AH$1266,MATCH(Data!$DN882,'Data_Price '!$AT$2:$AT$1266,0))</f>
        <v/>
      </c>
      <c r="CZ882">
        <f>INDEX('Data_Price '!AI$2:AI$1266,MATCH(Data!$DN882,'Data_Price '!$AT$2:$AT$1266,0))</f>
        <v/>
      </c>
      <c r="DA882">
        <f>INDEX('Data_Price '!AJ$2:AJ$1266,MATCH(Data!$DN882,'Data_Price '!$AT$2:$AT$1266,0))</f>
        <v/>
      </c>
      <c r="DB882">
        <f>INDEX('Data_Price '!AK$2:AK$1266,MATCH(Data!$DN882,'Data_Price '!$AT$2:$AT$1266,0))</f>
        <v/>
      </c>
      <c r="DC882">
        <f>INDEX('Data_Price '!AL$2:AL$1266,MATCH(Data!$DN882,'Data_Price '!$AT$2:$AT$1266,0))</f>
        <v/>
      </c>
      <c r="DD882">
        <f>INDEX('Data_Price '!AM$2:AM$1266,MATCH(Data!$DN882,'Data_Price '!$AT$2:$AT$1266,0))</f>
        <v/>
      </c>
      <c r="DE882">
        <f>INDEX('Data_Price '!AN$2:AN$1266,MATCH(Data!$DN882,'Data_Price '!$AT$2:$AT$1266,0))</f>
        <v/>
      </c>
      <c r="DF882">
        <f>INDEX('Data_Price '!AO$2:AO$1266,MATCH(Data!$DN882,'Data_Price '!$AT$2:$AT$1266,0))</f>
        <v/>
      </c>
      <c r="DG882">
        <f>INDEX('Data_Price '!AP$2:AP$1266,MATCH(Data!$DN882,'Data_Price '!$AT$2:$AT$1266,0))</f>
        <v/>
      </c>
      <c r="DH882">
        <f>INDEX('Data_Price '!AQ$2:AQ$1266,MATCH(Data!$DN882,'Data_Price '!$AT$2:$AT$1266,0))</f>
        <v/>
      </c>
      <c r="DI882">
        <f>INDEX('Data_Price '!AR$2:AR$1266,MATCH(Data!$DN882,'Data_Price '!$AT$2:$AT$1266,0))</f>
        <v/>
      </c>
      <c r="DJ882" s="138">
        <f>DA882</f>
        <v/>
      </c>
      <c r="DK882" s="138">
        <f>DE882</f>
        <v/>
      </c>
      <c r="DL882" s="138">
        <f>DI882</f>
        <v/>
      </c>
      <c r="DM882" s="303">
        <f>IF(LEFT(BT882,1)=" ",RIGHT(BT882,LEN(BT882)-1),BT882)</f>
        <v/>
      </c>
      <c r="DN882" s="138">
        <f>_xlfn.CONCAT(BS882,DM882,BU882,BV882)</f>
        <v/>
      </c>
      <c r="DO882" s="307" t="inlineStr">
        <is>
          <t>https://images.evo.com/imgp/250/183432/726762/clone.jpg</t>
        </is>
      </c>
    </row>
    <row r="883" ht="15.6" customHeight="1" s="184">
      <c r="B883" s="303">
        <f t="array" ref="B883">IF(OR(ISERROR(K883:P883)),FALSE,TRUE)</f>
        <v/>
      </c>
      <c r="C883" s="60">
        <f>OR(BR883=Driver!$G$50,Data!BR209=Driver!$H$50)</f>
        <v/>
      </c>
      <c r="D883" s="60">
        <f>OR(BV883=Driver!$G$51,BV883=Driver!$H$51)</f>
        <v/>
      </c>
      <c r="E883" s="60">
        <f>AND(BX883&gt;Driver!$F$54,BX883&lt;Driver!$G$54)</f>
        <v/>
      </c>
      <c r="F883" s="60">
        <f>CL883&gt;Driver!$F$56</f>
        <v/>
      </c>
      <c r="G883" s="60">
        <f>AND(CB883&gt;Driver!$F$55,CB883&lt;Driver!$G$55)</f>
        <v/>
      </c>
      <c r="H883" s="60">
        <f>AND(B883:G883)</f>
        <v/>
      </c>
      <c r="I883" s="60">
        <f>COUNTIFS($H$9:$H$1273,TRUE,$BT$9:$BT$1273,BT883)</f>
        <v/>
      </c>
      <c r="J883" s="60">
        <f t="array" ref="J883">NOT(OR(($H$9:$H$1273=TRUE)*($I$9:$I$1273&gt;0)*($BT$9:$BT$1273=BT883)*($K$9:$K$1273&gt;K883)))</f>
        <v/>
      </c>
      <c r="K883" s="108">
        <f>IFERROR(1-AVERAGE(X883:Y883),"")</f>
        <v/>
      </c>
      <c r="L883" s="108">
        <f>1-X883</f>
        <v/>
      </c>
      <c r="M883" s="108">
        <f>1-Y883</f>
        <v/>
      </c>
      <c r="N883" s="108">
        <f>1-Z883</f>
        <v/>
      </c>
      <c r="O883" s="108">
        <f>1-AA883</f>
        <v/>
      </c>
      <c r="P883" s="108">
        <f>1-AB883</f>
        <v/>
      </c>
      <c r="Q883" s="108" t="n"/>
      <c r="R883" s="108" t="n"/>
      <c r="S883" s="108">
        <f>1-AE883</f>
        <v/>
      </c>
      <c r="T883" s="108">
        <f>1-AF883</f>
        <v/>
      </c>
      <c r="U883" s="108">
        <f>1-AG883</f>
        <v/>
      </c>
      <c r="V883" s="108">
        <f>1-AH883</f>
        <v/>
      </c>
      <c r="W883" s="108">
        <f>1-AI883</f>
        <v/>
      </c>
      <c r="X883" s="108">
        <f>ABS(AJ883-AJ$1)</f>
        <v/>
      </c>
      <c r="Y883" s="108">
        <f>AVERAGE(Z883:AB883)</f>
        <v/>
      </c>
      <c r="Z883" s="108">
        <f>ABS(AL883-AL$1)</f>
        <v/>
      </c>
      <c r="AA883" s="108">
        <f>ABS(AM883-AM$1)</f>
        <v/>
      </c>
      <c r="AB883" s="108">
        <f>ABS(AN883-AN$1)</f>
        <v/>
      </c>
      <c r="AC883" s="108" t="n"/>
      <c r="AD883" s="108" t="n"/>
      <c r="AE883" s="108">
        <f>ABS(AQ$1-AQ883)</f>
        <v/>
      </c>
      <c r="AF883" s="108">
        <f>ABS(AR$1-AR883)</f>
        <v/>
      </c>
      <c r="AG883" s="108">
        <f>ABS(AS$1-AS883)</f>
        <v/>
      </c>
      <c r="AH883" s="108">
        <f>ABS(AT$1-AT883)</f>
        <v/>
      </c>
      <c r="AI883" s="108">
        <f>ABS(AU$1-AU883)</f>
        <v/>
      </c>
      <c r="AJ883" s="108">
        <f>(AV883-Driver!$K$179)/(Driver!$L$179-Driver!$K$179)</f>
        <v/>
      </c>
      <c r="AK883" s="108">
        <f>(AW883-Driver!$K$180)/(Driver!$L$180-Driver!$K$180)</f>
        <v/>
      </c>
      <c r="AL883" s="108">
        <f>(AX883-Driver!$K$181)/(Driver!$L$181-Driver!$K$181)</f>
        <v/>
      </c>
      <c r="AM883" s="108">
        <f>(AY883-Driver!$K$182)/(Driver!$L$182-Driver!$K$182)</f>
        <v/>
      </c>
      <c r="AN883" s="108">
        <f>(AZ883-Driver!$K$183)/(Driver!$L$183-Driver!$K$183)</f>
        <v/>
      </c>
      <c r="AO883" s="108" t="n"/>
      <c r="AP883" s="108" t="n"/>
      <c r="AQ883" s="108">
        <f>(BC883-Driver!$K$188)/(Driver!$L$188-Driver!$K$188)</f>
        <v/>
      </c>
      <c r="AR883" s="108">
        <f>MIN((BD883-Driver!$K$189)/(Driver!$L$189-Driver!$K$189),100%)</f>
        <v/>
      </c>
      <c r="AS883" s="108">
        <f>(BE883-Driver!$K$190)/(Driver!$L$190-Driver!$K$190)</f>
        <v/>
      </c>
      <c r="AT883" s="108">
        <f>(BF883-Driver!$K$191)/(Driver!$L$191-Driver!$K$191)</f>
        <v/>
      </c>
      <c r="AU883" s="108">
        <f>(BG883-Driver!$K$192)/(Driver!$L$192-Driver!$K$192)</f>
        <v/>
      </c>
      <c r="AV883" s="105">
        <f>IFERROR(BM883*BJ883^1/4,"")</f>
        <v/>
      </c>
      <c r="AW883" s="105">
        <f>IFERROR(SUM(AX883:AZ883),"")</f>
        <v/>
      </c>
      <c r="AX883" s="105">
        <f>IFERROR(BH883,"")</f>
        <v/>
      </c>
      <c r="AY883" s="105">
        <f>IFERROR(Driver!$K$19/Data!BH883/Data!BI883*Data!BK883*Data!BL883,"")</f>
        <v/>
      </c>
      <c r="AZ883" s="105">
        <f>IFERROR(BI883*BN883,"")</f>
        <v/>
      </c>
      <c r="BA883" s="105" t="n"/>
      <c r="BB883" s="105" t="n"/>
      <c r="BC883" s="105">
        <f>IFERROR(BI883*BN883*BK883/BJ883^(1/2),"")</f>
        <v/>
      </c>
      <c r="BD883" s="105">
        <f>IFERROR(BH883*BM883*BL883/BJ883/BK883,"")</f>
        <v/>
      </c>
      <c r="BE883" s="105">
        <f>IFERROR(MIN(BI883/BQ883/BP883/BO883/BH883,$BE$1),"")</f>
        <v/>
      </c>
      <c r="BF883" s="105">
        <f>IFERROR(BJ883*BO883*BP883/BK883,"")</f>
        <v/>
      </c>
      <c r="BG883" s="105">
        <f>IFERROR(1/BM883/BH883*BQ883,"")</f>
        <v/>
      </c>
      <c r="BH883" s="102">
        <f>MAX((CE883-Driver!$F$200)/(Driver!$G$200-Driver!$F$200)*$BI$1,1)</f>
        <v/>
      </c>
      <c r="BI883" s="102">
        <f>MAX($BI$1*(BY883-Driver!$F$201)/(Driver!$G$201-Driver!$F$201),1)</f>
        <v/>
      </c>
      <c r="BJ883" s="102">
        <f>(CB883-Driver!$F$206)/(Driver!$G$206-Driver!$F$206)*$BI$1</f>
        <v/>
      </c>
      <c r="BK883" s="102">
        <f>(CD883-Driver!$F$203)/(Driver!$G$203-Driver!$F$203)*$BI$1</f>
        <v/>
      </c>
      <c r="BL883" s="102">
        <f>MAX((CR883-Driver!$F$202)/(Driver!$G$202-Driver!$F$202)*$BI$1,1)</f>
        <v/>
      </c>
      <c r="BM883" s="102">
        <f>MAX((CH883-Driver!$F$204)/(Driver!$G$204-Driver!$F$204)*$BI$1,1)</f>
        <v/>
      </c>
      <c r="BN883" s="102">
        <f>(CI883-Driver!$F$205)/(Driver!$G$205-Driver!$F$205)*$BI$1</f>
        <v/>
      </c>
      <c r="BO883" s="102">
        <f>(CK883-Driver!$F$207)/(Driver!$G$207-Driver!$F$207)*$BI$1</f>
        <v/>
      </c>
      <c r="BP883" s="102">
        <f>(CM883-Driver!$F$208)/(Driver!$G$208-Driver!$F$208)*$BI$1</f>
        <v/>
      </c>
      <c r="BQ883" s="102">
        <f>(CL883-Driver!$F$209)/(Driver!$G$209-Driver!$F$209)*$BI$1</f>
        <v/>
      </c>
      <c r="BR883" s="40" t="inlineStr">
        <is>
          <t>21/22</t>
        </is>
      </c>
      <c r="BS883" s="10" t="inlineStr">
        <is>
          <t xml:space="preserve"> Black Crows</t>
        </is>
      </c>
      <c r="BT883" s="11" t="inlineStr">
        <is>
          <t xml:space="preserve"> Camox Freebird</t>
        </is>
      </c>
      <c r="BU883" s="13" t="n">
        <v>160.2</v>
      </c>
      <c r="BV883" s="11" t="inlineStr">
        <is>
          <t xml:space="preserve"> Unisex</t>
        </is>
      </c>
      <c r="BW883" s="13" t="n">
        <v>160.2</v>
      </c>
      <c r="BX883" s="13" t="n">
        <v>159.8</v>
      </c>
      <c r="BY883" s="13" t="n">
        <v>114</v>
      </c>
      <c r="BZ883" s="13" t="n">
        <v>135</v>
      </c>
      <c r="CA883" s="13" t="n">
        <v>128</v>
      </c>
      <c r="CB883" s="13" t="n">
        <v>95</v>
      </c>
      <c r="CC883" s="13" t="n">
        <v>112</v>
      </c>
      <c r="CD883" s="13" t="n">
        <v>17.3</v>
      </c>
      <c r="CE883" s="13" t="n">
        <v>1331</v>
      </c>
      <c r="CF883" s="13" t="n">
        <v>1.26</v>
      </c>
      <c r="CG883" s="13" t="n">
        <v>1675</v>
      </c>
      <c r="CH883" s="13" t="n">
        <v>155</v>
      </c>
      <c r="CI883" s="13" t="n">
        <v>77</v>
      </c>
      <c r="CJ883" s="13" t="n">
        <v>52</v>
      </c>
      <c r="CK883" s="13" t="n">
        <v>307</v>
      </c>
      <c r="CL883" s="13" t="n">
        <v>15</v>
      </c>
      <c r="CM883" s="13" t="n">
        <v>155</v>
      </c>
      <c r="CN883" s="13" t="n">
        <v>0.291</v>
      </c>
      <c r="CO883" s="13" t="n">
        <v>149</v>
      </c>
      <c r="CP883" s="13" t="n">
        <v>104</v>
      </c>
      <c r="CQ883" s="13" t="n">
        <v>158</v>
      </c>
      <c r="CR883" s="13" t="n">
        <v>3</v>
      </c>
      <c r="CS883" s="13" t="n">
        <v>8.1</v>
      </c>
      <c r="CT883" s="11" t="inlineStr">
        <is>
          <t xml:space="preserve"> Resort Freeride</t>
        </is>
      </c>
      <c r="CU883" s="11" t="inlineStr">
        <is>
          <t xml:space="preserve"> Touring</t>
        </is>
      </c>
      <c r="CV883" s="11" t="inlineStr">
        <is>
          <t xml:space="preserve"> Ultralight Touring</t>
        </is>
      </c>
      <c r="CW883" s="13" t="n"/>
      <c r="CX883">
        <f>INDEX('Data_Price '!AG$2:AG$1266,MATCH(Data!$DN883,'Data_Price '!$AT$2:$AT$1266,0))</f>
        <v/>
      </c>
      <c r="CY883">
        <f>INDEX('Data_Price '!AH$2:AH$1266,MATCH(Data!$DN883,'Data_Price '!$AT$2:$AT$1266,0))</f>
        <v/>
      </c>
      <c r="CZ883">
        <f>INDEX('Data_Price '!AI$2:AI$1266,MATCH(Data!$DN883,'Data_Price '!$AT$2:$AT$1266,0))</f>
        <v/>
      </c>
      <c r="DA883">
        <f>INDEX('Data_Price '!AJ$2:AJ$1266,MATCH(Data!$DN883,'Data_Price '!$AT$2:$AT$1266,0))</f>
        <v/>
      </c>
      <c r="DB883">
        <f>INDEX('Data_Price '!AK$2:AK$1266,MATCH(Data!$DN883,'Data_Price '!$AT$2:$AT$1266,0))</f>
        <v/>
      </c>
      <c r="DC883">
        <f>INDEX('Data_Price '!AL$2:AL$1266,MATCH(Data!$DN883,'Data_Price '!$AT$2:$AT$1266,0))</f>
        <v/>
      </c>
      <c r="DD883">
        <f>INDEX('Data_Price '!AM$2:AM$1266,MATCH(Data!$DN883,'Data_Price '!$AT$2:$AT$1266,0))</f>
        <v/>
      </c>
      <c r="DE883">
        <f>INDEX('Data_Price '!AN$2:AN$1266,MATCH(Data!$DN883,'Data_Price '!$AT$2:$AT$1266,0))</f>
        <v/>
      </c>
      <c r="DF883">
        <f>INDEX('Data_Price '!AO$2:AO$1266,MATCH(Data!$DN883,'Data_Price '!$AT$2:$AT$1266,0))</f>
        <v/>
      </c>
      <c r="DG883">
        <f>INDEX('Data_Price '!AP$2:AP$1266,MATCH(Data!$DN883,'Data_Price '!$AT$2:$AT$1266,0))</f>
        <v/>
      </c>
      <c r="DH883">
        <f>INDEX('Data_Price '!AQ$2:AQ$1266,MATCH(Data!$DN883,'Data_Price '!$AT$2:$AT$1266,0))</f>
        <v/>
      </c>
      <c r="DI883">
        <f>INDEX('Data_Price '!AR$2:AR$1266,MATCH(Data!$DN883,'Data_Price '!$AT$2:$AT$1266,0))</f>
        <v/>
      </c>
      <c r="DJ883" s="138">
        <f>DA883</f>
        <v/>
      </c>
      <c r="DK883" s="138">
        <f>DE883</f>
        <v/>
      </c>
      <c r="DL883" s="138">
        <f>DI883</f>
        <v/>
      </c>
      <c r="DM883" s="303">
        <f>IF(LEFT(BT883,1)=" ",RIGHT(BT883,LEN(BT883)-1),BT883)</f>
        <v/>
      </c>
      <c r="DN883" s="138">
        <f>_xlfn.CONCAT(BS883,DM883,BU883,BV883)</f>
        <v/>
      </c>
      <c r="DO883" s="307" t="inlineStr">
        <is>
          <t>https://images.evo.com/imgp/250/164658/659367/black-crows-camox-freebird-skis-2022-.jpg</t>
        </is>
      </c>
    </row>
    <row r="884" ht="15.6" customHeight="1" s="184">
      <c r="B884" s="303">
        <f t="array" ref="B884">IF(OR(ISERROR(K884:P884)),FALSE,TRUE)</f>
        <v/>
      </c>
      <c r="C884" s="60">
        <f>OR(BR884=Driver!$G$50,Data!BR1273=Driver!$H$50)</f>
        <v/>
      </c>
      <c r="D884" s="60">
        <f>OR(BV884=Driver!$G$51,BV884=Driver!$H$51)</f>
        <v/>
      </c>
      <c r="E884" s="60">
        <f>AND(BX884&gt;Driver!$F$54,BX884&lt;Driver!$G$54)</f>
        <v/>
      </c>
      <c r="F884" s="60">
        <f>CL884&gt;Driver!$F$56</f>
        <v/>
      </c>
      <c r="G884" s="60">
        <f>AND(CB884&gt;Driver!$F$55,CB884&lt;Driver!$G$55)</f>
        <v/>
      </c>
      <c r="H884" s="60">
        <f>AND(B884:G884)</f>
        <v/>
      </c>
      <c r="I884" s="60">
        <f>COUNTIFS($H$9:$H$1273,TRUE,$BT$9:$BT$1273,BT884)</f>
        <v/>
      </c>
      <c r="J884" s="60">
        <f t="array" ref="J884">NOT(OR(($H$9:$H$1273=TRUE)*($I$9:$I$1273&gt;0)*($BT$9:$BT$1273=BT884)*($K$9:$K$1273&gt;K884)))</f>
        <v/>
      </c>
      <c r="K884" s="108">
        <f>IFERROR(1-AVERAGE(X884:Y884),"")</f>
        <v/>
      </c>
      <c r="L884" s="108">
        <f>1-X884</f>
        <v/>
      </c>
      <c r="M884" s="108">
        <f>1-Y884</f>
        <v/>
      </c>
      <c r="N884" s="108">
        <f>1-Z884</f>
        <v/>
      </c>
      <c r="O884" s="108">
        <f>1-AA884</f>
        <v/>
      </c>
      <c r="P884" s="108">
        <f>1-AB884</f>
        <v/>
      </c>
      <c r="Q884" s="108" t="n"/>
      <c r="R884" s="108" t="n"/>
      <c r="S884" s="108">
        <f>1-AE884</f>
        <v/>
      </c>
      <c r="T884" s="108">
        <f>1-AF884</f>
        <v/>
      </c>
      <c r="U884" s="108">
        <f>1-AG884</f>
        <v/>
      </c>
      <c r="V884" s="108">
        <f>1-AH884</f>
        <v/>
      </c>
      <c r="W884" s="108">
        <f>1-AI884</f>
        <v/>
      </c>
      <c r="X884" s="108">
        <f>ABS(AJ884-AJ$1)</f>
        <v/>
      </c>
      <c r="Y884" s="108">
        <f>AVERAGE(Z884:AB884)</f>
        <v/>
      </c>
      <c r="Z884" s="108">
        <f>ABS(AL884-AL$1)</f>
        <v/>
      </c>
      <c r="AA884" s="108">
        <f>ABS(AM884-AM$1)</f>
        <v/>
      </c>
      <c r="AB884" s="108">
        <f>ABS(AN884-AN$1)</f>
        <v/>
      </c>
      <c r="AC884" s="108" t="n"/>
      <c r="AD884" s="108" t="n"/>
      <c r="AE884" s="108">
        <f>ABS(AQ$1-AQ884)</f>
        <v/>
      </c>
      <c r="AF884" s="108">
        <f>ABS(AR$1-AR884)</f>
        <v/>
      </c>
      <c r="AG884" s="108">
        <f>ABS(AS$1-AS884)</f>
        <v/>
      </c>
      <c r="AH884" s="108">
        <f>ABS(AT$1-AT884)</f>
        <v/>
      </c>
      <c r="AI884" s="108">
        <f>ABS(AU$1-AU884)</f>
        <v/>
      </c>
      <c r="AJ884" s="108">
        <f>(AV884-Driver!$K$179)/(Driver!$L$179-Driver!$K$179)</f>
        <v/>
      </c>
      <c r="AK884" s="108">
        <f>(AW884-Driver!$K$180)/(Driver!$L$180-Driver!$K$180)</f>
        <v/>
      </c>
      <c r="AL884" s="108">
        <f>(AX884-Driver!$K$181)/(Driver!$L$181-Driver!$K$181)</f>
        <v/>
      </c>
      <c r="AM884" s="108">
        <f>(AY884-Driver!$K$182)/(Driver!$L$182-Driver!$K$182)</f>
        <v/>
      </c>
      <c r="AN884" s="108">
        <f>(AZ884-Driver!$K$183)/(Driver!$L$183-Driver!$K$183)</f>
        <v/>
      </c>
      <c r="AO884" s="108" t="n"/>
      <c r="AP884" s="108" t="n"/>
      <c r="AQ884" s="108">
        <f>(BC884-Driver!$K$188)/(Driver!$L$188-Driver!$K$188)</f>
        <v/>
      </c>
      <c r="AR884" s="108">
        <f>MIN((BD884-Driver!$K$189)/(Driver!$L$189-Driver!$K$189),100%)</f>
        <v/>
      </c>
      <c r="AS884" s="108">
        <f>(BE884-Driver!$K$190)/(Driver!$L$190-Driver!$K$190)</f>
        <v/>
      </c>
      <c r="AT884" s="108">
        <f>(BF884-Driver!$K$191)/(Driver!$L$191-Driver!$K$191)</f>
        <v/>
      </c>
      <c r="AU884" s="108">
        <f>(BG884-Driver!$K$192)/(Driver!$L$192-Driver!$K$192)</f>
        <v/>
      </c>
      <c r="AV884" s="105">
        <f>IFERROR(BM884*BJ884^1/4,"")</f>
        <v/>
      </c>
      <c r="AW884" s="105">
        <f>IFERROR(SUM(AX884:AZ884),"")</f>
        <v/>
      </c>
      <c r="AX884" s="105">
        <f>IFERROR(BH884,"")</f>
        <v/>
      </c>
      <c r="AY884" s="105">
        <f>IFERROR(Driver!$K$19/Data!BH884/Data!BI884*Data!BK884*Data!BL884,"")</f>
        <v/>
      </c>
      <c r="AZ884" s="105">
        <f>IFERROR(BI884*BN884,"")</f>
        <v/>
      </c>
      <c r="BA884" s="105" t="n"/>
      <c r="BB884" s="105" t="n"/>
      <c r="BC884" s="105">
        <f>IFERROR(BI884*BN884*BK884/BJ884^(1/2),"")</f>
        <v/>
      </c>
      <c r="BD884" s="105">
        <f>IFERROR(BH884*BM884*BL884/BJ884/BK884,"")</f>
        <v/>
      </c>
      <c r="BE884" s="105">
        <f>IFERROR(MIN(BI884/BQ884/BP884/BO884/BH884,$BE$1),"")</f>
        <v/>
      </c>
      <c r="BF884" s="105">
        <f>IFERROR(BJ884*BO884*BP884/BK884,"")</f>
        <v/>
      </c>
      <c r="BG884" s="105">
        <f>IFERROR(1/BM884/BH884*BQ884,"")</f>
        <v/>
      </c>
      <c r="BH884" s="102">
        <f>MAX((CE884-Driver!$F$200)/(Driver!$G$200-Driver!$F$200)*$BI$1,1)</f>
        <v/>
      </c>
      <c r="BI884" s="102">
        <f>MAX($BI$1*(BY884-Driver!$F$201)/(Driver!$G$201-Driver!$F$201),1)</f>
        <v/>
      </c>
      <c r="BJ884" s="102">
        <f>(CB884-Driver!$F$206)/(Driver!$G$206-Driver!$F$206)*$BI$1</f>
        <v/>
      </c>
      <c r="BK884" s="102">
        <f>(CD884-Driver!$F$203)/(Driver!$G$203-Driver!$F$203)*$BI$1</f>
        <v/>
      </c>
      <c r="BL884" s="102">
        <f>MAX((CR884-Driver!$F$202)/(Driver!$G$202-Driver!$F$202)*$BI$1,1)</f>
        <v/>
      </c>
      <c r="BM884" s="102">
        <f>MAX((CH884-Driver!$F$204)/(Driver!$G$204-Driver!$F$204)*$BI$1,1)</f>
        <v/>
      </c>
      <c r="BN884" s="102">
        <f>(CI884-Driver!$F$205)/(Driver!$G$205-Driver!$F$205)*$BI$1</f>
        <v/>
      </c>
      <c r="BO884" s="102">
        <f>(CK884-Driver!$F$207)/(Driver!$G$207-Driver!$F$207)*$BI$1</f>
        <v/>
      </c>
      <c r="BP884" s="102">
        <f>(CM884-Driver!$F$208)/(Driver!$G$208-Driver!$F$208)*$BI$1</f>
        <v/>
      </c>
      <c r="BQ884" s="102">
        <f>(CL884-Driver!$F$209)/(Driver!$G$209-Driver!$F$209)*$BI$1</f>
        <v/>
      </c>
      <c r="BR884" s="40" t="inlineStr">
        <is>
          <t>21/22</t>
        </is>
      </c>
      <c r="BS884" s="10" t="inlineStr">
        <is>
          <t xml:space="preserve"> Völkl</t>
        </is>
      </c>
      <c r="BT884" s="11" t="inlineStr">
        <is>
          <t>Yumi 84</t>
        </is>
      </c>
      <c r="BU884" s="13" t="n">
        <v>168</v>
      </c>
      <c r="BV884" s="11" t="inlineStr">
        <is>
          <t xml:space="preserve"> Women's</t>
        </is>
      </c>
      <c r="BW884" s="13" t="n">
        <v>168</v>
      </c>
      <c r="BX884" s="13" t="n">
        <v>168.5</v>
      </c>
      <c r="BY884" s="13" t="n">
        <v>115</v>
      </c>
      <c r="BZ884" s="13" t="n">
        <v>145</v>
      </c>
      <c r="CA884" s="13" t="n">
        <v>124</v>
      </c>
      <c r="CB884" s="13" t="n">
        <v>83</v>
      </c>
      <c r="CC884" s="13" t="n">
        <v>106</v>
      </c>
      <c r="CD884" s="13" t="n">
        <v>15.8</v>
      </c>
      <c r="CE884" s="13" t="n">
        <v>1464</v>
      </c>
      <c r="CF884" s="13" t="n">
        <v>1.11</v>
      </c>
      <c r="CG884" s="13" t="n">
        <v>1623</v>
      </c>
      <c r="CH884" s="13" t="n">
        <v>176</v>
      </c>
      <c r="CI884" s="13" t="n">
        <v>65</v>
      </c>
      <c r="CJ884" s="13" t="n">
        <v>38</v>
      </c>
      <c r="CK884" s="13" t="n">
        <v>312</v>
      </c>
      <c r="CL884" s="13" t="n">
        <v>15</v>
      </c>
      <c r="CM884" s="13" t="n">
        <v>220</v>
      </c>
      <c r="CN884" s="13" t="n">
        <v>0.387</v>
      </c>
      <c r="CO884" s="13" t="n">
        <v>134</v>
      </c>
      <c r="CP884" s="13" t="n">
        <v>103</v>
      </c>
      <c r="CQ884" s="13" t="n">
        <v>178</v>
      </c>
      <c r="CR884" s="13" t="n">
        <v>2</v>
      </c>
      <c r="CS884" s="13" t="n">
        <v>11.8</v>
      </c>
      <c r="CT884" s="11" t="inlineStr">
        <is>
          <t xml:space="preserve"> On-Piste All-Mountain</t>
        </is>
      </c>
      <c r="CU884" s="11" t="inlineStr">
        <is>
          <t xml:space="preserve"> Resort Freeride</t>
        </is>
      </c>
      <c r="CV884" s="11" t="inlineStr">
        <is>
          <t xml:space="preserve"> Touring</t>
        </is>
      </c>
      <c r="CW884" s="13" t="n"/>
      <c r="CX884">
        <f>INDEX('Data_Price '!AG$2:AG$1266,MATCH(Data!$DN884,'Data_Price '!$AT$2:$AT$1266,0))</f>
        <v/>
      </c>
      <c r="CY884">
        <f>INDEX('Data_Price '!AH$2:AH$1266,MATCH(Data!$DN884,'Data_Price '!$AT$2:$AT$1266,0))</f>
        <v/>
      </c>
      <c r="CZ884">
        <f>INDEX('Data_Price '!AI$2:AI$1266,MATCH(Data!$DN884,'Data_Price '!$AT$2:$AT$1266,0))</f>
        <v/>
      </c>
      <c r="DA884">
        <f>INDEX('Data_Price '!AJ$2:AJ$1266,MATCH(Data!$DN884,'Data_Price '!$AT$2:$AT$1266,0))</f>
        <v/>
      </c>
      <c r="DB884">
        <f>INDEX('Data_Price '!AK$2:AK$1266,MATCH(Data!$DN884,'Data_Price '!$AT$2:$AT$1266,0))</f>
        <v/>
      </c>
      <c r="DC884">
        <f>INDEX('Data_Price '!AL$2:AL$1266,MATCH(Data!$DN884,'Data_Price '!$AT$2:$AT$1266,0))</f>
        <v/>
      </c>
      <c r="DD884">
        <f>INDEX('Data_Price '!AM$2:AM$1266,MATCH(Data!$DN884,'Data_Price '!$AT$2:$AT$1266,0))</f>
        <v/>
      </c>
      <c r="DE884">
        <f>INDEX('Data_Price '!AN$2:AN$1266,MATCH(Data!$DN884,'Data_Price '!$AT$2:$AT$1266,0))</f>
        <v/>
      </c>
      <c r="DF884">
        <f>INDEX('Data_Price '!AO$2:AO$1266,MATCH(Data!$DN884,'Data_Price '!$AT$2:$AT$1266,0))</f>
        <v/>
      </c>
      <c r="DG884">
        <f>INDEX('Data_Price '!AP$2:AP$1266,MATCH(Data!$DN884,'Data_Price '!$AT$2:$AT$1266,0))</f>
        <v/>
      </c>
      <c r="DH884">
        <f>INDEX('Data_Price '!AQ$2:AQ$1266,MATCH(Data!$DN884,'Data_Price '!$AT$2:$AT$1266,0))</f>
        <v/>
      </c>
      <c r="DI884">
        <f>INDEX('Data_Price '!AR$2:AR$1266,MATCH(Data!$DN884,'Data_Price '!$AT$2:$AT$1266,0))</f>
        <v/>
      </c>
      <c r="DJ884" s="138">
        <f>DA884</f>
        <v/>
      </c>
      <c r="DK884" s="138">
        <f>DE884</f>
        <v/>
      </c>
      <c r="DL884" s="138">
        <f>DI884</f>
        <v/>
      </c>
      <c r="DM884" s="303">
        <f>IF(LEFT(BT884,1)=" ",RIGHT(BT884,LEN(BT884)-1),BT884)</f>
        <v/>
      </c>
      <c r="DN884" s="138">
        <f>_xlfn.CONCAT(BS884,DM884,BU884,BV884)</f>
        <v/>
      </c>
      <c r="DO884" s="307" t="inlineStr">
        <is>
          <t>https://images.evo.com/imgp/250/208364/837596/clone.jpg</t>
        </is>
      </c>
    </row>
    <row r="885" ht="15.6" customHeight="1" s="184">
      <c r="B885" s="303">
        <f t="array" ref="B885">IF(OR(ISERROR(K885:P885)),FALSE,TRUE)</f>
        <v/>
      </c>
      <c r="C885" s="60">
        <f>OR(BR885=Driver!$G$50,Data!BR417=Driver!$H$50)</f>
        <v/>
      </c>
      <c r="D885" s="60">
        <f>OR(BV885=Driver!$G$51,BV885=Driver!$H$51)</f>
        <v/>
      </c>
      <c r="E885" s="60">
        <f>AND(BX885&gt;Driver!$F$54,BX885&lt;Driver!$G$54)</f>
        <v/>
      </c>
      <c r="F885" s="60">
        <f>CL885&gt;Driver!$F$56</f>
        <v/>
      </c>
      <c r="G885" s="60">
        <f>AND(CB885&gt;Driver!$F$55,CB885&lt;Driver!$G$55)</f>
        <v/>
      </c>
      <c r="H885" s="60">
        <f>AND(B885:G885)</f>
        <v/>
      </c>
      <c r="I885" s="60">
        <f>COUNTIFS($H$9:$H$1273,TRUE,$BT$9:$BT$1273,BT885)</f>
        <v/>
      </c>
      <c r="J885" s="60">
        <f t="array" ref="J885">NOT(OR(($H$9:$H$1273=TRUE)*($I$9:$I$1273&gt;0)*($BT$9:$BT$1273=BT885)*($K$9:$K$1273&gt;K885)))</f>
        <v/>
      </c>
      <c r="K885" s="108">
        <f>IFERROR(1-AVERAGE(X885:Y885),"")</f>
        <v/>
      </c>
      <c r="L885" s="108">
        <f>1-X885</f>
        <v/>
      </c>
      <c r="M885" s="108">
        <f>1-Y885</f>
        <v/>
      </c>
      <c r="N885" s="108">
        <f>1-Z885</f>
        <v/>
      </c>
      <c r="O885" s="108">
        <f>1-AA885</f>
        <v/>
      </c>
      <c r="P885" s="108">
        <f>1-AB885</f>
        <v/>
      </c>
      <c r="Q885" s="108" t="n"/>
      <c r="R885" s="108" t="n"/>
      <c r="S885" s="108">
        <f>1-AE885</f>
        <v/>
      </c>
      <c r="T885" s="108">
        <f>1-AF885</f>
        <v/>
      </c>
      <c r="U885" s="108">
        <f>1-AG885</f>
        <v/>
      </c>
      <c r="V885" s="108">
        <f>1-AH885</f>
        <v/>
      </c>
      <c r="W885" s="108">
        <f>1-AI885</f>
        <v/>
      </c>
      <c r="X885" s="108">
        <f>ABS(AJ885-AJ$1)</f>
        <v/>
      </c>
      <c r="Y885" s="108">
        <f>AVERAGE(Z885:AB885)</f>
        <v/>
      </c>
      <c r="Z885" s="108">
        <f>ABS(AL885-AL$1)</f>
        <v/>
      </c>
      <c r="AA885" s="108">
        <f>ABS(AM885-AM$1)</f>
        <v/>
      </c>
      <c r="AB885" s="108">
        <f>ABS(AN885-AN$1)</f>
        <v/>
      </c>
      <c r="AC885" s="108" t="n"/>
      <c r="AD885" s="108" t="n"/>
      <c r="AE885" s="108">
        <f>ABS(AQ$1-AQ885)</f>
        <v/>
      </c>
      <c r="AF885" s="108">
        <f>ABS(AR$1-AR885)</f>
        <v/>
      </c>
      <c r="AG885" s="108">
        <f>ABS(AS$1-AS885)</f>
        <v/>
      </c>
      <c r="AH885" s="108">
        <f>ABS(AT$1-AT885)</f>
        <v/>
      </c>
      <c r="AI885" s="108">
        <f>ABS(AU$1-AU885)</f>
        <v/>
      </c>
      <c r="AJ885" s="108">
        <f>(AV885-Driver!$K$179)/(Driver!$L$179-Driver!$K$179)</f>
        <v/>
      </c>
      <c r="AK885" s="108">
        <f>(AW885-Driver!$K$180)/(Driver!$L$180-Driver!$K$180)</f>
        <v/>
      </c>
      <c r="AL885" s="108">
        <f>(AX885-Driver!$K$181)/(Driver!$L$181-Driver!$K$181)</f>
        <v/>
      </c>
      <c r="AM885" s="108">
        <f>(AY885-Driver!$K$182)/(Driver!$L$182-Driver!$K$182)</f>
        <v/>
      </c>
      <c r="AN885" s="108">
        <f>(AZ885-Driver!$K$183)/(Driver!$L$183-Driver!$K$183)</f>
        <v/>
      </c>
      <c r="AO885" s="108" t="n"/>
      <c r="AP885" s="108" t="n"/>
      <c r="AQ885" s="108">
        <f>(BC885-Driver!$K$188)/(Driver!$L$188-Driver!$K$188)</f>
        <v/>
      </c>
      <c r="AR885" s="108">
        <f>MIN((BD885-Driver!$K$189)/(Driver!$L$189-Driver!$K$189),100%)</f>
        <v/>
      </c>
      <c r="AS885" s="108">
        <f>(BE885-Driver!$K$190)/(Driver!$L$190-Driver!$K$190)</f>
        <v/>
      </c>
      <c r="AT885" s="108">
        <f>(BF885-Driver!$K$191)/(Driver!$L$191-Driver!$K$191)</f>
        <v/>
      </c>
      <c r="AU885" s="108">
        <f>(BG885-Driver!$K$192)/(Driver!$L$192-Driver!$K$192)</f>
        <v/>
      </c>
      <c r="AV885" s="105">
        <f>IFERROR(BM885*BJ885^1/4,"")</f>
        <v/>
      </c>
      <c r="AW885" s="105">
        <f>IFERROR(SUM(AX885:AZ885),"")</f>
        <v/>
      </c>
      <c r="AX885" s="105">
        <f>IFERROR(BH885,"")</f>
        <v/>
      </c>
      <c r="AY885" s="105">
        <f>IFERROR(Driver!$K$19/Data!BH885/Data!BI885*Data!BK885*Data!BL885,"")</f>
        <v/>
      </c>
      <c r="AZ885" s="105">
        <f>IFERROR(BI885*BN885,"")</f>
        <v/>
      </c>
      <c r="BA885" s="105" t="n"/>
      <c r="BB885" s="105" t="n"/>
      <c r="BC885" s="105">
        <f>IFERROR(BI885*BN885*BK885/BJ885^(1/2),"")</f>
        <v/>
      </c>
      <c r="BD885" s="105">
        <f>IFERROR(BH885*BM885*BL885/BJ885/BK885,"")</f>
        <v/>
      </c>
      <c r="BE885" s="105">
        <f>IFERROR(MIN(BI885/BQ885/BP885/BO885/BH885,$BE$1),"")</f>
        <v/>
      </c>
      <c r="BF885" s="105">
        <f>IFERROR(BJ885*BO885*BP885/BK885,"")</f>
        <v/>
      </c>
      <c r="BG885" s="105">
        <f>IFERROR(1/BM885/BH885*BQ885,"")</f>
        <v/>
      </c>
      <c r="BH885" s="102">
        <f>MAX((CE885-Driver!$F$200)/(Driver!$G$200-Driver!$F$200)*$BI$1,1)</f>
        <v/>
      </c>
      <c r="BI885" s="102">
        <f>MAX($BI$1*(BY885-Driver!$F$201)/(Driver!$G$201-Driver!$F$201),1)</f>
        <v/>
      </c>
      <c r="BJ885" s="102">
        <f>(CB885-Driver!$F$206)/(Driver!$G$206-Driver!$F$206)*$BI$1</f>
        <v/>
      </c>
      <c r="BK885" s="102">
        <f>(CD885-Driver!$F$203)/(Driver!$G$203-Driver!$F$203)*$BI$1</f>
        <v/>
      </c>
      <c r="BL885" s="102">
        <f>MAX((CR885-Driver!$F$202)/(Driver!$G$202-Driver!$F$202)*$BI$1,1)</f>
        <v/>
      </c>
      <c r="BM885" s="102">
        <f>MAX((CH885-Driver!$F$204)/(Driver!$G$204-Driver!$F$204)*$BI$1,1)</f>
        <v/>
      </c>
      <c r="BN885" s="102">
        <f>(CI885-Driver!$F$205)/(Driver!$G$205-Driver!$F$205)*$BI$1</f>
        <v/>
      </c>
      <c r="BO885" s="102">
        <f>(CK885-Driver!$F$207)/(Driver!$G$207-Driver!$F$207)*$BI$1</f>
        <v/>
      </c>
      <c r="BP885" s="102">
        <f>(CM885-Driver!$F$208)/(Driver!$G$208-Driver!$F$208)*$BI$1</f>
        <v/>
      </c>
      <c r="BQ885" s="102">
        <f>(CL885-Driver!$F$209)/(Driver!$G$209-Driver!$F$209)*$BI$1</f>
        <v/>
      </c>
      <c r="BR885" s="40" t="inlineStr">
        <is>
          <t>21/22</t>
        </is>
      </c>
      <c r="BS885" s="10" t="inlineStr">
        <is>
          <t xml:space="preserve"> Dynastar</t>
        </is>
      </c>
      <c r="BT885" s="11" t="inlineStr">
        <is>
          <t>Speed 763</t>
        </is>
      </c>
      <c r="BU885" s="13" t="n">
        <v>158</v>
      </c>
      <c r="BV885" s="11" t="inlineStr">
        <is>
          <t xml:space="preserve"> Unisex</t>
        </is>
      </c>
      <c r="BW885" s="13" t="n">
        <v>158</v>
      </c>
      <c r="BX885" s="13" t="n">
        <v>157.5</v>
      </c>
      <c r="BY885" s="13" t="n">
        <v>136</v>
      </c>
      <c r="BZ885" s="13" t="n">
        <v>143</v>
      </c>
      <c r="CA885" s="13" t="n">
        <v>121</v>
      </c>
      <c r="CB885" s="13" t="n">
        <v>72</v>
      </c>
      <c r="CC885" s="13" t="n">
        <v>106</v>
      </c>
      <c r="CD885" s="13" t="n">
        <v>12.1</v>
      </c>
      <c r="CE885" s="13" t="n">
        <v>1913</v>
      </c>
      <c r="CF885" s="13" t="n">
        <v>0.72</v>
      </c>
      <c r="CG885" s="13" t="n">
        <v>1372</v>
      </c>
      <c r="CH885" s="13" t="n">
        <v>220</v>
      </c>
      <c r="CI885" s="13" t="n">
        <v>115</v>
      </c>
      <c r="CJ885" s="13" t="n">
        <v>40</v>
      </c>
      <c r="CK885" s="13" t="n">
        <v>151</v>
      </c>
      <c r="CL885" s="13" t="n">
        <v>7</v>
      </c>
      <c r="CM885" s="13" t="n">
        <v>62</v>
      </c>
      <c r="CN885" s="13" t="n">
        <v>0.189</v>
      </c>
      <c r="CO885" s="13" t="n">
        <v>84</v>
      </c>
      <c r="CP885" s="13" t="n">
        <v>64</v>
      </c>
      <c r="CQ885" s="13" t="n">
        <v>67</v>
      </c>
      <c r="CR885" s="13" t="n">
        <v>10</v>
      </c>
      <c r="CS885" s="13" t="n">
        <v>11.1</v>
      </c>
      <c r="CT885" s="11" t="inlineStr">
        <is>
          <t xml:space="preserve"> On-Piste Carving</t>
        </is>
      </c>
      <c r="CU885" s="13" t="n"/>
      <c r="CV885" s="13" t="n"/>
      <c r="CW885" s="13" t="n"/>
      <c r="CX885">
        <f>INDEX('Data_Price '!AG$2:AG$1266,MATCH(Data!$DN885,'Data_Price '!$AT$2:$AT$1266,0))</f>
        <v/>
      </c>
      <c r="CY885">
        <f>INDEX('Data_Price '!AH$2:AH$1266,MATCH(Data!$DN885,'Data_Price '!$AT$2:$AT$1266,0))</f>
        <v/>
      </c>
      <c r="CZ885">
        <f>INDEX('Data_Price '!AI$2:AI$1266,MATCH(Data!$DN885,'Data_Price '!$AT$2:$AT$1266,0))</f>
        <v/>
      </c>
      <c r="DA885">
        <f>INDEX('Data_Price '!AJ$2:AJ$1266,MATCH(Data!$DN885,'Data_Price '!$AT$2:$AT$1266,0))</f>
        <v/>
      </c>
      <c r="DB885">
        <f>INDEX('Data_Price '!AK$2:AK$1266,MATCH(Data!$DN885,'Data_Price '!$AT$2:$AT$1266,0))</f>
        <v/>
      </c>
      <c r="DC885">
        <f>INDEX('Data_Price '!AL$2:AL$1266,MATCH(Data!$DN885,'Data_Price '!$AT$2:$AT$1266,0))</f>
        <v/>
      </c>
      <c r="DD885">
        <f>INDEX('Data_Price '!AM$2:AM$1266,MATCH(Data!$DN885,'Data_Price '!$AT$2:$AT$1266,0))</f>
        <v/>
      </c>
      <c r="DE885">
        <f>INDEX('Data_Price '!AN$2:AN$1266,MATCH(Data!$DN885,'Data_Price '!$AT$2:$AT$1266,0))</f>
        <v/>
      </c>
      <c r="DF885">
        <f>INDEX('Data_Price '!AO$2:AO$1266,MATCH(Data!$DN885,'Data_Price '!$AT$2:$AT$1266,0))</f>
        <v/>
      </c>
      <c r="DG885">
        <f>INDEX('Data_Price '!AP$2:AP$1266,MATCH(Data!$DN885,'Data_Price '!$AT$2:$AT$1266,0))</f>
        <v/>
      </c>
      <c r="DH885">
        <f>INDEX('Data_Price '!AQ$2:AQ$1266,MATCH(Data!$DN885,'Data_Price '!$AT$2:$AT$1266,0))</f>
        <v/>
      </c>
      <c r="DI885">
        <f>INDEX('Data_Price '!AR$2:AR$1266,MATCH(Data!$DN885,'Data_Price '!$AT$2:$AT$1266,0))</f>
        <v/>
      </c>
      <c r="DJ885" s="138">
        <f>DA885</f>
        <v/>
      </c>
      <c r="DK885" s="138">
        <f>DE885</f>
        <v/>
      </c>
      <c r="DL885" s="138">
        <f>DI885</f>
        <v/>
      </c>
      <c r="DM885" s="303">
        <f>IF(LEFT(BT885,1)=" ",RIGHT(BT885,LEN(BT885)-1),BT885)</f>
        <v/>
      </c>
      <c r="DN885" s="138">
        <f>_xlfn.CONCAT(BS885,DM885,BU885,BV885)</f>
        <v/>
      </c>
      <c r="DO885" s="307" t="n"/>
    </row>
    <row r="886" ht="15.6" customHeight="1" s="184">
      <c r="B886" s="303">
        <f t="array" ref="B886">IF(OR(ISERROR(K886:P886)),FALSE,TRUE)</f>
        <v/>
      </c>
      <c r="C886" s="60">
        <f>OR(BR886=Driver!$G$50,Data!BR576=Driver!$H$50)</f>
        <v/>
      </c>
      <c r="D886" s="60">
        <f>OR(BV886=Driver!$G$51,BV886=Driver!$H$51)</f>
        <v/>
      </c>
      <c r="E886" s="60">
        <f>AND(BX886&gt;Driver!$F$54,BX886&lt;Driver!$G$54)</f>
        <v/>
      </c>
      <c r="F886" s="60">
        <f>CL886&gt;Driver!$F$56</f>
        <v/>
      </c>
      <c r="G886" s="60">
        <f>AND(CB886&gt;Driver!$F$55,CB886&lt;Driver!$G$55)</f>
        <v/>
      </c>
      <c r="H886" s="60">
        <f>AND(B886:G886)</f>
        <v/>
      </c>
      <c r="I886" s="60">
        <f>COUNTIFS($H$9:$H$1273,TRUE,$BT$9:$BT$1273,BT886)</f>
        <v/>
      </c>
      <c r="J886" s="60">
        <f t="array" ref="J886">NOT(OR(($H$9:$H$1273=TRUE)*($I$9:$I$1273&gt;0)*($BT$9:$BT$1273=BT886)*($K$9:$K$1273&gt;K886)))</f>
        <v/>
      </c>
      <c r="K886" s="108">
        <f>IFERROR(1-AVERAGE(X886:Y886),"")</f>
        <v/>
      </c>
      <c r="L886" s="108">
        <f>1-X886</f>
        <v/>
      </c>
      <c r="M886" s="108">
        <f>1-Y886</f>
        <v/>
      </c>
      <c r="N886" s="108">
        <f>1-Z886</f>
        <v/>
      </c>
      <c r="O886" s="108">
        <f>1-AA886</f>
        <v/>
      </c>
      <c r="P886" s="108">
        <f>1-AB886</f>
        <v/>
      </c>
      <c r="Q886" s="108" t="n"/>
      <c r="R886" s="108" t="n"/>
      <c r="S886" s="108">
        <f>1-AE886</f>
        <v/>
      </c>
      <c r="T886" s="108">
        <f>1-AF886</f>
        <v/>
      </c>
      <c r="U886" s="108">
        <f>1-AG886</f>
        <v/>
      </c>
      <c r="V886" s="108">
        <f>1-AH886</f>
        <v/>
      </c>
      <c r="W886" s="108">
        <f>1-AI886</f>
        <v/>
      </c>
      <c r="X886" s="108">
        <f>ABS(AJ886-AJ$1)</f>
        <v/>
      </c>
      <c r="Y886" s="108">
        <f>AVERAGE(Z886:AB886)</f>
        <v/>
      </c>
      <c r="Z886" s="108">
        <f>ABS(AL886-AL$1)</f>
        <v/>
      </c>
      <c r="AA886" s="108">
        <f>ABS(AM886-AM$1)</f>
        <v/>
      </c>
      <c r="AB886" s="108">
        <f>ABS(AN886-AN$1)</f>
        <v/>
      </c>
      <c r="AC886" s="108" t="n"/>
      <c r="AD886" s="108" t="n"/>
      <c r="AE886" s="108">
        <f>ABS(AQ$1-AQ886)</f>
        <v/>
      </c>
      <c r="AF886" s="108">
        <f>ABS(AR$1-AR886)</f>
        <v/>
      </c>
      <c r="AG886" s="108">
        <f>ABS(AS$1-AS886)</f>
        <v/>
      </c>
      <c r="AH886" s="108">
        <f>ABS(AT$1-AT886)</f>
        <v/>
      </c>
      <c r="AI886" s="108">
        <f>ABS(AU$1-AU886)</f>
        <v/>
      </c>
      <c r="AJ886" s="108">
        <f>(AV886-Driver!$K$179)/(Driver!$L$179-Driver!$K$179)</f>
        <v/>
      </c>
      <c r="AK886" s="108">
        <f>(AW886-Driver!$K$180)/(Driver!$L$180-Driver!$K$180)</f>
        <v/>
      </c>
      <c r="AL886" s="108">
        <f>(AX886-Driver!$K$181)/(Driver!$L$181-Driver!$K$181)</f>
        <v/>
      </c>
      <c r="AM886" s="108">
        <f>(AY886-Driver!$K$182)/(Driver!$L$182-Driver!$K$182)</f>
        <v/>
      </c>
      <c r="AN886" s="108">
        <f>(AZ886-Driver!$K$183)/(Driver!$L$183-Driver!$K$183)</f>
        <v/>
      </c>
      <c r="AO886" s="108" t="n"/>
      <c r="AP886" s="108" t="n"/>
      <c r="AQ886" s="108">
        <f>(BC886-Driver!$K$188)/(Driver!$L$188-Driver!$K$188)</f>
        <v/>
      </c>
      <c r="AR886" s="108">
        <f>MIN((BD886-Driver!$K$189)/(Driver!$L$189-Driver!$K$189),100%)</f>
        <v/>
      </c>
      <c r="AS886" s="108">
        <f>(BE886-Driver!$K$190)/(Driver!$L$190-Driver!$K$190)</f>
        <v/>
      </c>
      <c r="AT886" s="108">
        <f>(BF886-Driver!$K$191)/(Driver!$L$191-Driver!$K$191)</f>
        <v/>
      </c>
      <c r="AU886" s="108">
        <f>(BG886-Driver!$K$192)/(Driver!$L$192-Driver!$K$192)</f>
        <v/>
      </c>
      <c r="AV886" s="105">
        <f>IFERROR(BM886*BJ886^1/4,"")</f>
        <v/>
      </c>
      <c r="AW886" s="105">
        <f>IFERROR(SUM(AX886:AZ886),"")</f>
        <v/>
      </c>
      <c r="AX886" s="105">
        <f>IFERROR(BH886,"")</f>
        <v/>
      </c>
      <c r="AY886" s="105">
        <f>IFERROR(Driver!$K$19/Data!BH886/Data!BI886*Data!BK886*Data!BL886,"")</f>
        <v/>
      </c>
      <c r="AZ886" s="105">
        <f>IFERROR(BI886*BN886,"")</f>
        <v/>
      </c>
      <c r="BA886" s="105" t="n"/>
      <c r="BB886" s="105" t="n"/>
      <c r="BC886" s="105">
        <f>IFERROR(BI886*BN886*BK886/BJ886^(1/2),"")</f>
        <v/>
      </c>
      <c r="BD886" s="105">
        <f>IFERROR(BH886*BM886*BL886/BJ886/BK886,"")</f>
        <v/>
      </c>
      <c r="BE886" s="105">
        <f>IFERROR(MIN(BI886/BQ886/BP886/BO886/BH886,$BE$1),"")</f>
        <v/>
      </c>
      <c r="BF886" s="105">
        <f>IFERROR(BJ886*BO886*BP886/BK886,"")</f>
        <v/>
      </c>
      <c r="BG886" s="105">
        <f>IFERROR(1/BM886/BH886*BQ886,"")</f>
        <v/>
      </c>
      <c r="BH886" s="102">
        <f>MAX((CE886-Driver!$F$200)/(Driver!$G$200-Driver!$F$200)*$BI$1,1)</f>
        <v/>
      </c>
      <c r="BI886" s="102">
        <f>MAX($BI$1*(BY886-Driver!$F$201)/(Driver!$G$201-Driver!$F$201),1)</f>
        <v/>
      </c>
      <c r="BJ886" s="102">
        <f>(CB886-Driver!$F$206)/(Driver!$G$206-Driver!$F$206)*$BI$1</f>
        <v/>
      </c>
      <c r="BK886" s="102">
        <f>(CD886-Driver!$F$203)/(Driver!$G$203-Driver!$F$203)*$BI$1</f>
        <v/>
      </c>
      <c r="BL886" s="102">
        <f>MAX((CR886-Driver!$F$202)/(Driver!$G$202-Driver!$F$202)*$BI$1,1)</f>
        <v/>
      </c>
      <c r="BM886" s="102">
        <f>MAX((CH886-Driver!$F$204)/(Driver!$G$204-Driver!$F$204)*$BI$1,1)</f>
        <v/>
      </c>
      <c r="BN886" s="102">
        <f>(CI886-Driver!$F$205)/(Driver!$G$205-Driver!$F$205)*$BI$1</f>
        <v/>
      </c>
      <c r="BO886" s="102">
        <f>(CK886-Driver!$F$207)/(Driver!$G$207-Driver!$F$207)*$BI$1</f>
        <v/>
      </c>
      <c r="BP886" s="102">
        <f>(CM886-Driver!$F$208)/(Driver!$G$208-Driver!$F$208)*$BI$1</f>
        <v/>
      </c>
      <c r="BQ886" s="102">
        <f>(CL886-Driver!$F$209)/(Driver!$G$209-Driver!$F$209)*$BI$1</f>
        <v/>
      </c>
      <c r="BR886" s="40" t="inlineStr">
        <is>
          <t>21/22</t>
        </is>
      </c>
      <c r="BS886" s="10" t="inlineStr">
        <is>
          <t xml:space="preserve"> Fischer</t>
        </is>
      </c>
      <c r="BT886" s="11" t="inlineStr">
        <is>
          <t>Ranger 92 Ti</t>
        </is>
      </c>
      <c r="BU886" s="13" t="n">
        <v>185</v>
      </c>
      <c r="BV886" s="11" t="inlineStr">
        <is>
          <t xml:space="preserve"> Unisex</t>
        </is>
      </c>
      <c r="BW886" s="13" t="n">
        <v>185</v>
      </c>
      <c r="BX886" s="13" t="n">
        <v>184.5</v>
      </c>
      <c r="BY886" s="13" t="n">
        <v>131</v>
      </c>
      <c r="BZ886" s="13" t="n">
        <v>155</v>
      </c>
      <c r="CA886" s="13" t="n">
        <v>126</v>
      </c>
      <c r="CB886" s="13" t="n">
        <v>91</v>
      </c>
      <c r="CC886" s="13" t="n">
        <v>117</v>
      </c>
      <c r="CD886" s="13" t="n">
        <v>16.6</v>
      </c>
      <c r="CE886" s="13" t="n">
        <v>1851</v>
      </c>
      <c r="CF886" s="13" t="n">
        <v>1.04</v>
      </c>
      <c r="CG886" s="13" t="n">
        <v>1932</v>
      </c>
      <c r="CH886" s="13" t="n">
        <v>266</v>
      </c>
      <c r="CI886" s="13" t="n">
        <v>141</v>
      </c>
      <c r="CJ886" s="13" t="n">
        <v>49</v>
      </c>
      <c r="CK886" s="13" t="n">
        <v>312</v>
      </c>
      <c r="CL886" s="13" t="n">
        <v>19</v>
      </c>
      <c r="CM886" s="13" t="n">
        <v>227</v>
      </c>
      <c r="CN886" s="13" t="n">
        <v>0.393</v>
      </c>
      <c r="CO886" s="13" t="n">
        <v>140</v>
      </c>
      <c r="CP886" s="13" t="n">
        <v>150</v>
      </c>
      <c r="CQ886" s="13" t="n">
        <v>172</v>
      </c>
      <c r="CR886" s="13" t="n">
        <v>5</v>
      </c>
      <c r="CS886" s="13" t="n">
        <v>10.5</v>
      </c>
      <c r="CT886" s="11" t="inlineStr">
        <is>
          <t xml:space="preserve"> Resort Freeride</t>
        </is>
      </c>
      <c r="CU886" s="13" t="n"/>
      <c r="CV886" s="13" t="n"/>
      <c r="CW886" s="13" t="n"/>
      <c r="CX886">
        <f>INDEX('Data_Price '!AG$2:AG$1266,MATCH(Data!$DN886,'Data_Price '!$AT$2:$AT$1266,0))</f>
        <v/>
      </c>
      <c r="CY886">
        <f>INDEX('Data_Price '!AH$2:AH$1266,MATCH(Data!$DN886,'Data_Price '!$AT$2:$AT$1266,0))</f>
        <v/>
      </c>
      <c r="CZ886">
        <f>INDEX('Data_Price '!AI$2:AI$1266,MATCH(Data!$DN886,'Data_Price '!$AT$2:$AT$1266,0))</f>
        <v/>
      </c>
      <c r="DA886">
        <f>INDEX('Data_Price '!AJ$2:AJ$1266,MATCH(Data!$DN886,'Data_Price '!$AT$2:$AT$1266,0))</f>
        <v/>
      </c>
      <c r="DB886">
        <f>INDEX('Data_Price '!AK$2:AK$1266,MATCH(Data!$DN886,'Data_Price '!$AT$2:$AT$1266,0))</f>
        <v/>
      </c>
      <c r="DC886">
        <f>INDEX('Data_Price '!AL$2:AL$1266,MATCH(Data!$DN886,'Data_Price '!$AT$2:$AT$1266,0))</f>
        <v/>
      </c>
      <c r="DD886">
        <f>INDEX('Data_Price '!AM$2:AM$1266,MATCH(Data!$DN886,'Data_Price '!$AT$2:$AT$1266,0))</f>
        <v/>
      </c>
      <c r="DE886">
        <f>INDEX('Data_Price '!AN$2:AN$1266,MATCH(Data!$DN886,'Data_Price '!$AT$2:$AT$1266,0))</f>
        <v/>
      </c>
      <c r="DF886">
        <f>INDEX('Data_Price '!AO$2:AO$1266,MATCH(Data!$DN886,'Data_Price '!$AT$2:$AT$1266,0))</f>
        <v/>
      </c>
      <c r="DG886">
        <f>INDEX('Data_Price '!AP$2:AP$1266,MATCH(Data!$DN886,'Data_Price '!$AT$2:$AT$1266,0))</f>
        <v/>
      </c>
      <c r="DH886">
        <f>INDEX('Data_Price '!AQ$2:AQ$1266,MATCH(Data!$DN886,'Data_Price '!$AT$2:$AT$1266,0))</f>
        <v/>
      </c>
      <c r="DI886">
        <f>INDEX('Data_Price '!AR$2:AR$1266,MATCH(Data!$DN886,'Data_Price '!$AT$2:$AT$1266,0))</f>
        <v/>
      </c>
      <c r="DJ886" s="138">
        <f>DA886</f>
        <v/>
      </c>
      <c r="DK886" s="138">
        <f>DE886</f>
        <v/>
      </c>
      <c r="DL886" s="138">
        <f>DI886</f>
        <v/>
      </c>
      <c r="DM886" s="303">
        <f>IF(LEFT(BT886,1)=" ",RIGHT(BT886,LEN(BT886)-1),BT886)</f>
        <v/>
      </c>
      <c r="DN886" s="138">
        <f>_xlfn.CONCAT(BS886,DM886,BU886,BV886)</f>
        <v/>
      </c>
      <c r="DO886" s="307" t="n"/>
    </row>
    <row r="887" ht="15.6" customHeight="1" s="184">
      <c r="B887" s="303">
        <f t="array" ref="B887">IF(OR(ISERROR(K887:P887)),FALSE,TRUE)</f>
        <v/>
      </c>
      <c r="C887" s="60">
        <f>OR(BR887=Driver!$G$50,Data!BR173=Driver!$H$50)</f>
        <v/>
      </c>
      <c r="D887" s="60">
        <f>OR(BV887=Driver!$G$51,BV887=Driver!$H$51)</f>
        <v/>
      </c>
      <c r="E887" s="60">
        <f>AND(BX887&gt;Driver!$F$54,BX887&lt;Driver!$G$54)</f>
        <v/>
      </c>
      <c r="F887" s="60">
        <f>CL887&gt;Driver!$F$56</f>
        <v/>
      </c>
      <c r="G887" s="60">
        <f>AND(CB887&gt;Driver!$F$55,CB887&lt;Driver!$G$55)</f>
        <v/>
      </c>
      <c r="H887" s="60">
        <f>AND(B887:G887)</f>
        <v/>
      </c>
      <c r="I887" s="60">
        <f>COUNTIFS($H$9:$H$1273,TRUE,$BT$9:$BT$1273,BT887)</f>
        <v/>
      </c>
      <c r="J887" s="60">
        <f t="array" ref="J887">NOT(OR(($H$9:$H$1273=TRUE)*($I$9:$I$1273&gt;0)*($BT$9:$BT$1273=BT887)*($K$9:$K$1273&gt;K887)))</f>
        <v/>
      </c>
      <c r="K887" s="108">
        <f>IFERROR(1-AVERAGE(X887:Y887),"")</f>
        <v/>
      </c>
      <c r="L887" s="108">
        <f>1-X887</f>
        <v/>
      </c>
      <c r="M887" s="108">
        <f>1-Y887</f>
        <v/>
      </c>
      <c r="N887" s="108">
        <f>1-Z887</f>
        <v/>
      </c>
      <c r="O887" s="108">
        <f>1-AA887</f>
        <v/>
      </c>
      <c r="P887" s="108">
        <f>1-AB887</f>
        <v/>
      </c>
      <c r="Q887" s="108" t="n"/>
      <c r="R887" s="108" t="n"/>
      <c r="S887" s="108">
        <f>1-AE887</f>
        <v/>
      </c>
      <c r="T887" s="108">
        <f>1-AF887</f>
        <v/>
      </c>
      <c r="U887" s="108">
        <f>1-AG887</f>
        <v/>
      </c>
      <c r="V887" s="108">
        <f>1-AH887</f>
        <v/>
      </c>
      <c r="W887" s="108">
        <f>1-AI887</f>
        <v/>
      </c>
      <c r="X887" s="108">
        <f>ABS(AJ887-AJ$1)</f>
        <v/>
      </c>
      <c r="Y887" s="108">
        <f>AVERAGE(Z887:AB887)</f>
        <v/>
      </c>
      <c r="Z887" s="108">
        <f>ABS(AL887-AL$1)</f>
        <v/>
      </c>
      <c r="AA887" s="108">
        <f>ABS(AM887-AM$1)</f>
        <v/>
      </c>
      <c r="AB887" s="108">
        <f>ABS(AN887-AN$1)</f>
        <v/>
      </c>
      <c r="AC887" s="108" t="n"/>
      <c r="AD887" s="108" t="n"/>
      <c r="AE887" s="108">
        <f>ABS(AQ$1-AQ887)</f>
        <v/>
      </c>
      <c r="AF887" s="108">
        <f>ABS(AR$1-AR887)</f>
        <v/>
      </c>
      <c r="AG887" s="108">
        <f>ABS(AS$1-AS887)</f>
        <v/>
      </c>
      <c r="AH887" s="108">
        <f>ABS(AT$1-AT887)</f>
        <v/>
      </c>
      <c r="AI887" s="108">
        <f>ABS(AU$1-AU887)</f>
        <v/>
      </c>
      <c r="AJ887" s="108">
        <f>(AV887-Driver!$K$179)/(Driver!$L$179-Driver!$K$179)</f>
        <v/>
      </c>
      <c r="AK887" s="108">
        <f>(AW887-Driver!$K$180)/(Driver!$L$180-Driver!$K$180)</f>
        <v/>
      </c>
      <c r="AL887" s="108">
        <f>(AX887-Driver!$K$181)/(Driver!$L$181-Driver!$K$181)</f>
        <v/>
      </c>
      <c r="AM887" s="108">
        <f>(AY887-Driver!$K$182)/(Driver!$L$182-Driver!$K$182)</f>
        <v/>
      </c>
      <c r="AN887" s="108">
        <f>(AZ887-Driver!$K$183)/(Driver!$L$183-Driver!$K$183)</f>
        <v/>
      </c>
      <c r="AO887" s="108" t="n"/>
      <c r="AP887" s="108" t="n"/>
      <c r="AQ887" s="108">
        <f>(BC887-Driver!$K$188)/(Driver!$L$188-Driver!$K$188)</f>
        <v/>
      </c>
      <c r="AR887" s="108">
        <f>MIN((BD887-Driver!$K$189)/(Driver!$L$189-Driver!$K$189),100%)</f>
        <v/>
      </c>
      <c r="AS887" s="108">
        <f>(BE887-Driver!$K$190)/(Driver!$L$190-Driver!$K$190)</f>
        <v/>
      </c>
      <c r="AT887" s="108">
        <f>(BF887-Driver!$K$191)/(Driver!$L$191-Driver!$K$191)</f>
        <v/>
      </c>
      <c r="AU887" s="108">
        <f>(BG887-Driver!$K$192)/(Driver!$L$192-Driver!$K$192)</f>
        <v/>
      </c>
      <c r="AV887" s="105">
        <f>IFERROR(BM887*BJ887^1/4,"")</f>
        <v/>
      </c>
      <c r="AW887" s="105">
        <f>IFERROR(SUM(AX887:AZ887),"")</f>
        <v/>
      </c>
      <c r="AX887" s="105">
        <f>IFERROR(BH887,"")</f>
        <v/>
      </c>
      <c r="AY887" s="105">
        <f>IFERROR(Driver!$K$19/Data!BH887/Data!BI887*Data!BK887*Data!BL887,"")</f>
        <v/>
      </c>
      <c r="AZ887" s="105">
        <f>IFERROR(BI887*BN887,"")</f>
        <v/>
      </c>
      <c r="BA887" s="105" t="n"/>
      <c r="BB887" s="105" t="n"/>
      <c r="BC887" s="105">
        <f>IFERROR(BI887*BN887*BK887/BJ887^(1/2),"")</f>
        <v/>
      </c>
      <c r="BD887" s="105">
        <f>IFERROR(BH887*BM887*BL887/BJ887/BK887,"")</f>
        <v/>
      </c>
      <c r="BE887" s="105">
        <f>IFERROR(MIN(BI887/BQ887/BP887/BO887/BH887,$BE$1),"")</f>
        <v/>
      </c>
      <c r="BF887" s="105">
        <f>IFERROR(BJ887*BO887*BP887/BK887,"")</f>
        <v/>
      </c>
      <c r="BG887" s="105">
        <f>IFERROR(1/BM887/BH887*BQ887,"")</f>
        <v/>
      </c>
      <c r="BH887" s="102">
        <f>MAX((CE887-Driver!$F$200)/(Driver!$G$200-Driver!$F$200)*$BI$1,1)</f>
        <v/>
      </c>
      <c r="BI887" s="102">
        <f>MAX($BI$1*(BY887-Driver!$F$201)/(Driver!$G$201-Driver!$F$201),1)</f>
        <v/>
      </c>
      <c r="BJ887" s="102">
        <f>(CB887-Driver!$F$206)/(Driver!$G$206-Driver!$F$206)*$BI$1</f>
        <v/>
      </c>
      <c r="BK887" s="102">
        <f>(CD887-Driver!$F$203)/(Driver!$G$203-Driver!$F$203)*$BI$1</f>
        <v/>
      </c>
      <c r="BL887" s="102">
        <f>MAX((CR887-Driver!$F$202)/(Driver!$G$202-Driver!$F$202)*$BI$1,1)</f>
        <v/>
      </c>
      <c r="BM887" s="102">
        <f>MAX((CH887-Driver!$F$204)/(Driver!$G$204-Driver!$F$204)*$BI$1,1)</f>
        <v/>
      </c>
      <c r="BN887" s="102">
        <f>(CI887-Driver!$F$205)/(Driver!$G$205-Driver!$F$205)*$BI$1</f>
        <v/>
      </c>
      <c r="BO887" s="102">
        <f>(CK887-Driver!$F$207)/(Driver!$G$207-Driver!$F$207)*$BI$1</f>
        <v/>
      </c>
      <c r="BP887" s="102">
        <f>(CM887-Driver!$F$208)/(Driver!$G$208-Driver!$F$208)*$BI$1</f>
        <v/>
      </c>
      <c r="BQ887" s="102">
        <f>(CL887-Driver!$F$209)/(Driver!$G$209-Driver!$F$209)*$BI$1</f>
        <v/>
      </c>
      <c r="BR887" s="40" t="inlineStr">
        <is>
          <t>21/22</t>
        </is>
      </c>
      <c r="BS887" s="10" t="inlineStr">
        <is>
          <t xml:space="preserve"> Atomic</t>
        </is>
      </c>
      <c r="BT887" s="11" t="inlineStr">
        <is>
          <t>Redster S7</t>
        </is>
      </c>
      <c r="BU887" s="13" t="n">
        <v>149</v>
      </c>
      <c r="BV887" s="11" t="inlineStr">
        <is>
          <t xml:space="preserve"> Unisex</t>
        </is>
      </c>
      <c r="BW887" s="13" t="n">
        <v>149</v>
      </c>
      <c r="BX887" s="13" t="n">
        <v>146</v>
      </c>
      <c r="BY887" s="13" t="n">
        <v>125</v>
      </c>
      <c r="BZ887" s="13" t="n">
        <v>133</v>
      </c>
      <c r="CA887" s="13" t="n">
        <v>108</v>
      </c>
      <c r="CB887" s="13" t="n">
        <v>69</v>
      </c>
      <c r="CC887" s="13" t="n">
        <v>96</v>
      </c>
      <c r="CD887" s="13" t="n">
        <v>13</v>
      </c>
      <c r="CE887" s="13" t="n">
        <v>1474</v>
      </c>
      <c r="CF887" s="13" t="n">
        <v>0.8100000000000001</v>
      </c>
      <c r="CG887" s="13" t="n">
        <v>1195</v>
      </c>
      <c r="CH887" s="13" t="n">
        <v>153</v>
      </c>
      <c r="CI887" s="13" t="n">
        <v>69</v>
      </c>
      <c r="CJ887" s="13" t="n">
        <v>40</v>
      </c>
      <c r="CK887" s="13" t="n">
        <v>151</v>
      </c>
      <c r="CL887" s="13" t="n">
        <v>5</v>
      </c>
      <c r="CM887" s="13" t="n">
        <v>58</v>
      </c>
      <c r="CN887" s="13" t="n">
        <v>0.122</v>
      </c>
      <c r="CO887" s="13" t="n">
        <v>83</v>
      </c>
      <c r="CP887" s="13" t="n">
        <v>52</v>
      </c>
      <c r="CQ887" s="13" t="n">
        <v>68</v>
      </c>
      <c r="CR887" s="13" t="n">
        <v>6</v>
      </c>
      <c r="CS887" s="13" t="n">
        <v>12.4</v>
      </c>
      <c r="CT887" s="11" t="inlineStr">
        <is>
          <t xml:space="preserve"> On-Piste Carving</t>
        </is>
      </c>
      <c r="CU887" s="13" t="n"/>
      <c r="CV887" s="13" t="n"/>
      <c r="CW887" s="13" t="n"/>
      <c r="CX887">
        <f>INDEX('Data_Price '!AG$2:AG$1266,MATCH(Data!$DN887,'Data_Price '!$AT$2:$AT$1266,0))</f>
        <v/>
      </c>
      <c r="CY887">
        <f>INDEX('Data_Price '!AH$2:AH$1266,MATCH(Data!$DN887,'Data_Price '!$AT$2:$AT$1266,0))</f>
        <v/>
      </c>
      <c r="CZ887">
        <f>INDEX('Data_Price '!AI$2:AI$1266,MATCH(Data!$DN887,'Data_Price '!$AT$2:$AT$1266,0))</f>
        <v/>
      </c>
      <c r="DA887">
        <f>INDEX('Data_Price '!AJ$2:AJ$1266,MATCH(Data!$DN887,'Data_Price '!$AT$2:$AT$1266,0))</f>
        <v/>
      </c>
      <c r="DB887">
        <f>INDEX('Data_Price '!AK$2:AK$1266,MATCH(Data!$DN887,'Data_Price '!$AT$2:$AT$1266,0))</f>
        <v/>
      </c>
      <c r="DC887">
        <f>INDEX('Data_Price '!AL$2:AL$1266,MATCH(Data!$DN887,'Data_Price '!$AT$2:$AT$1266,0))</f>
        <v/>
      </c>
      <c r="DD887">
        <f>INDEX('Data_Price '!AM$2:AM$1266,MATCH(Data!$DN887,'Data_Price '!$AT$2:$AT$1266,0))</f>
        <v/>
      </c>
      <c r="DE887">
        <f>INDEX('Data_Price '!AN$2:AN$1266,MATCH(Data!$DN887,'Data_Price '!$AT$2:$AT$1266,0))</f>
        <v/>
      </c>
      <c r="DF887">
        <f>INDEX('Data_Price '!AO$2:AO$1266,MATCH(Data!$DN887,'Data_Price '!$AT$2:$AT$1266,0))</f>
        <v/>
      </c>
      <c r="DG887">
        <f>INDEX('Data_Price '!AP$2:AP$1266,MATCH(Data!$DN887,'Data_Price '!$AT$2:$AT$1266,0))</f>
        <v/>
      </c>
      <c r="DH887">
        <f>INDEX('Data_Price '!AQ$2:AQ$1266,MATCH(Data!$DN887,'Data_Price '!$AT$2:$AT$1266,0))</f>
        <v/>
      </c>
      <c r="DI887">
        <f>INDEX('Data_Price '!AR$2:AR$1266,MATCH(Data!$DN887,'Data_Price '!$AT$2:$AT$1266,0))</f>
        <v/>
      </c>
      <c r="DJ887" s="138">
        <f>DA887</f>
        <v/>
      </c>
      <c r="DK887" s="138">
        <f>DE887</f>
        <v/>
      </c>
      <c r="DL887" s="138">
        <f>DI887</f>
        <v/>
      </c>
      <c r="DM887" s="303">
        <f>IF(LEFT(BT887,1)=" ",RIGHT(BT887,LEN(BT887)-1),BT887)</f>
        <v/>
      </c>
      <c r="DN887" s="138">
        <f>_xlfn.CONCAT(BS887,DM887,BU887,BV887)</f>
        <v/>
      </c>
      <c r="DO887" s="307" t="n"/>
    </row>
    <row r="888" ht="15.6" customHeight="1" s="184">
      <c r="B888" s="303">
        <f t="array" ref="B888">IF(OR(ISERROR(K888:P888)),FALSE,TRUE)</f>
        <v/>
      </c>
      <c r="C888" s="60">
        <f>OR(BR888=Driver!$G$50,Data!BR599=Driver!$H$50)</f>
        <v/>
      </c>
      <c r="D888" s="60">
        <f>OR(BV888=Driver!$G$51,BV888=Driver!$H$51)</f>
        <v/>
      </c>
      <c r="E888" s="60">
        <f>AND(BX888&gt;Driver!$F$54,BX888&lt;Driver!$G$54)</f>
        <v/>
      </c>
      <c r="F888" s="60">
        <f>CL888&gt;Driver!$F$56</f>
        <v/>
      </c>
      <c r="G888" s="60">
        <f>AND(CB888&gt;Driver!$F$55,CB888&lt;Driver!$G$55)</f>
        <v/>
      </c>
      <c r="H888" s="60">
        <f>AND(B888:G888)</f>
        <v/>
      </c>
      <c r="I888" s="60">
        <f>COUNTIFS($H$9:$H$1273,TRUE,$BT$9:$BT$1273,BT888)</f>
        <v/>
      </c>
      <c r="J888" s="60">
        <f t="array" ref="J888">NOT(OR(($H$9:$H$1273=TRUE)*($I$9:$I$1273&gt;0)*($BT$9:$BT$1273=BT888)*($K$9:$K$1273&gt;K888)))</f>
        <v/>
      </c>
      <c r="K888" s="108">
        <f>IFERROR(1-AVERAGE(X888:Y888),"")</f>
        <v/>
      </c>
      <c r="L888" s="108">
        <f>1-X888</f>
        <v/>
      </c>
      <c r="M888" s="108">
        <f>1-Y888</f>
        <v/>
      </c>
      <c r="N888" s="108">
        <f>1-Z888</f>
        <v/>
      </c>
      <c r="O888" s="108">
        <f>1-AA888</f>
        <v/>
      </c>
      <c r="P888" s="108">
        <f>1-AB888</f>
        <v/>
      </c>
      <c r="Q888" s="108" t="n"/>
      <c r="R888" s="108" t="n"/>
      <c r="S888" s="108">
        <f>1-AE888</f>
        <v/>
      </c>
      <c r="T888" s="108">
        <f>1-AF888</f>
        <v/>
      </c>
      <c r="U888" s="108">
        <f>1-AG888</f>
        <v/>
      </c>
      <c r="V888" s="108">
        <f>1-AH888</f>
        <v/>
      </c>
      <c r="W888" s="108">
        <f>1-AI888</f>
        <v/>
      </c>
      <c r="X888" s="108">
        <f>ABS(AJ888-AJ$1)</f>
        <v/>
      </c>
      <c r="Y888" s="108">
        <f>AVERAGE(Z888:AB888)</f>
        <v/>
      </c>
      <c r="Z888" s="108">
        <f>ABS(AL888-AL$1)</f>
        <v/>
      </c>
      <c r="AA888" s="108">
        <f>ABS(AM888-AM$1)</f>
        <v/>
      </c>
      <c r="AB888" s="108">
        <f>ABS(AN888-AN$1)</f>
        <v/>
      </c>
      <c r="AC888" s="108" t="n"/>
      <c r="AD888" s="108" t="n"/>
      <c r="AE888" s="108">
        <f>ABS(AQ$1-AQ888)</f>
        <v/>
      </c>
      <c r="AF888" s="108">
        <f>ABS(AR$1-AR888)</f>
        <v/>
      </c>
      <c r="AG888" s="108">
        <f>ABS(AS$1-AS888)</f>
        <v/>
      </c>
      <c r="AH888" s="108">
        <f>ABS(AT$1-AT888)</f>
        <v/>
      </c>
      <c r="AI888" s="108">
        <f>ABS(AU$1-AU888)</f>
        <v/>
      </c>
      <c r="AJ888" s="108">
        <f>(AV888-Driver!$K$179)/(Driver!$L$179-Driver!$K$179)</f>
        <v/>
      </c>
      <c r="AK888" s="108">
        <f>(AW888-Driver!$K$180)/(Driver!$L$180-Driver!$K$180)</f>
        <v/>
      </c>
      <c r="AL888" s="108">
        <f>(AX888-Driver!$K$181)/(Driver!$L$181-Driver!$K$181)</f>
        <v/>
      </c>
      <c r="AM888" s="108">
        <f>(AY888-Driver!$K$182)/(Driver!$L$182-Driver!$K$182)</f>
        <v/>
      </c>
      <c r="AN888" s="108">
        <f>(AZ888-Driver!$K$183)/(Driver!$L$183-Driver!$K$183)</f>
        <v/>
      </c>
      <c r="AO888" s="108" t="n"/>
      <c r="AP888" s="108" t="n"/>
      <c r="AQ888" s="108">
        <f>(BC888-Driver!$K$188)/(Driver!$L$188-Driver!$K$188)</f>
        <v/>
      </c>
      <c r="AR888" s="108">
        <f>MIN((BD888-Driver!$K$189)/(Driver!$L$189-Driver!$K$189),100%)</f>
        <v/>
      </c>
      <c r="AS888" s="108">
        <f>(BE888-Driver!$K$190)/(Driver!$L$190-Driver!$K$190)</f>
        <v/>
      </c>
      <c r="AT888" s="108">
        <f>(BF888-Driver!$K$191)/(Driver!$L$191-Driver!$K$191)</f>
        <v/>
      </c>
      <c r="AU888" s="108">
        <f>(BG888-Driver!$K$192)/(Driver!$L$192-Driver!$K$192)</f>
        <v/>
      </c>
      <c r="AV888" s="105">
        <f>IFERROR(BM888*BJ888^1/4,"")</f>
        <v/>
      </c>
      <c r="AW888" s="105">
        <f>IFERROR(SUM(AX888:AZ888),"")</f>
        <v/>
      </c>
      <c r="AX888" s="105">
        <f>IFERROR(BH888,"")</f>
        <v/>
      </c>
      <c r="AY888" s="105">
        <f>IFERROR(Driver!$K$19/Data!BH888/Data!BI888*Data!BK888*Data!BL888,"")</f>
        <v/>
      </c>
      <c r="AZ888" s="105">
        <f>IFERROR(BI888*BN888,"")</f>
        <v/>
      </c>
      <c r="BA888" s="105" t="n"/>
      <c r="BB888" s="105" t="n"/>
      <c r="BC888" s="105">
        <f>IFERROR(BI888*BN888*BK888/BJ888^(1/2),"")</f>
        <v/>
      </c>
      <c r="BD888" s="105">
        <f>IFERROR(BH888*BM888*BL888/BJ888/BK888,"")</f>
        <v/>
      </c>
      <c r="BE888" s="105">
        <f>IFERROR(MIN(BI888/BQ888/BP888/BO888/BH888,$BE$1),"")</f>
        <v/>
      </c>
      <c r="BF888" s="105">
        <f>IFERROR(BJ888*BO888*BP888/BK888,"")</f>
        <v/>
      </c>
      <c r="BG888" s="105">
        <f>IFERROR(1/BM888/BH888*BQ888,"")</f>
        <v/>
      </c>
      <c r="BH888" s="102">
        <f>MAX((CE888-Driver!$F$200)/(Driver!$G$200-Driver!$F$200)*$BI$1,1)</f>
        <v/>
      </c>
      <c r="BI888" s="102">
        <f>MAX($BI$1*(BY888-Driver!$F$201)/(Driver!$G$201-Driver!$F$201),1)</f>
        <v/>
      </c>
      <c r="BJ888" s="102">
        <f>(CB888-Driver!$F$206)/(Driver!$G$206-Driver!$F$206)*$BI$1</f>
        <v/>
      </c>
      <c r="BK888" s="102">
        <f>(CD888-Driver!$F$203)/(Driver!$G$203-Driver!$F$203)*$BI$1</f>
        <v/>
      </c>
      <c r="BL888" s="102">
        <f>MAX((CR888-Driver!$F$202)/(Driver!$G$202-Driver!$F$202)*$BI$1,1)</f>
        <v/>
      </c>
      <c r="BM888" s="102">
        <f>MAX((CH888-Driver!$F$204)/(Driver!$G$204-Driver!$F$204)*$BI$1,1)</f>
        <v/>
      </c>
      <c r="BN888" s="102">
        <f>(CI888-Driver!$F$205)/(Driver!$G$205-Driver!$F$205)*$BI$1</f>
        <v/>
      </c>
      <c r="BO888" s="102">
        <f>(CK888-Driver!$F$207)/(Driver!$G$207-Driver!$F$207)*$BI$1</f>
        <v/>
      </c>
      <c r="BP888" s="102">
        <f>(CM888-Driver!$F$208)/(Driver!$G$208-Driver!$F$208)*$BI$1</f>
        <v/>
      </c>
      <c r="BQ888" s="102">
        <f>(CL888-Driver!$F$209)/(Driver!$G$209-Driver!$F$209)*$BI$1</f>
        <v/>
      </c>
      <c r="BR888" s="40" t="inlineStr">
        <is>
          <t>21/22</t>
        </is>
      </c>
      <c r="BS888" s="10" t="inlineStr">
        <is>
          <t xml:space="preserve"> Head</t>
        </is>
      </c>
      <c r="BT888" s="11" t="inlineStr">
        <is>
          <t xml:space="preserve"> Absolut Joy</t>
        </is>
      </c>
      <c r="BU888" s="13" t="n">
        <v>153</v>
      </c>
      <c r="BV888" s="11" t="inlineStr">
        <is>
          <t xml:space="preserve"> Women's</t>
        </is>
      </c>
      <c r="BW888" s="13" t="n">
        <v>153</v>
      </c>
      <c r="BX888" s="13" t="n">
        <v>152.3</v>
      </c>
      <c r="BY888" s="13" t="n">
        <v>131</v>
      </c>
      <c r="BZ888" s="13" t="n">
        <v>135</v>
      </c>
      <c r="CA888" s="13" t="n">
        <v>130</v>
      </c>
      <c r="CB888" s="13" t="n">
        <v>78</v>
      </c>
      <c r="CC888" s="13" t="n">
        <v>108</v>
      </c>
      <c r="CD888" s="13" t="n">
        <v>11.2</v>
      </c>
      <c r="CE888" s="13" t="n">
        <v>1604</v>
      </c>
      <c r="CF888" s="13" t="n">
        <v>0.89</v>
      </c>
      <c r="CG888" s="13" t="n">
        <v>1425</v>
      </c>
      <c r="CH888" s="13" t="n">
        <v>122</v>
      </c>
      <c r="CI888" s="13" t="n">
        <v>65</v>
      </c>
      <c r="CJ888" s="13" t="n">
        <v>34</v>
      </c>
      <c r="CK888" s="13" t="n">
        <v>136</v>
      </c>
      <c r="CL888" s="13" t="n">
        <v>11</v>
      </c>
      <c r="CM888" s="13" t="n">
        <v>73</v>
      </c>
      <c r="CN888" s="13" t="n">
        <v>0.338</v>
      </c>
      <c r="CO888" s="13" t="n">
        <v>111</v>
      </c>
      <c r="CP888" s="13" t="n">
        <v>62</v>
      </c>
      <c r="CQ888" s="13" t="n">
        <v>25</v>
      </c>
      <c r="CR888" s="13" t="n">
        <v>11</v>
      </c>
      <c r="CS888" s="13" t="n">
        <v>10.8</v>
      </c>
      <c r="CT888" s="11" t="inlineStr">
        <is>
          <t xml:space="preserve"> On-Piste Carving</t>
        </is>
      </c>
      <c r="CU888" s="11" t="inlineStr">
        <is>
          <t xml:space="preserve"> On-Piste All-Mountain</t>
        </is>
      </c>
      <c r="CV888" s="13" t="n"/>
      <c r="CW888" s="13" t="n"/>
      <c r="CX888">
        <f>INDEX('Data_Price '!AG$2:AG$1266,MATCH(Data!$DN888,'Data_Price '!$AT$2:$AT$1266,0))</f>
        <v/>
      </c>
      <c r="CY888">
        <f>INDEX('Data_Price '!AH$2:AH$1266,MATCH(Data!$DN888,'Data_Price '!$AT$2:$AT$1266,0))</f>
        <v/>
      </c>
      <c r="CZ888">
        <f>INDEX('Data_Price '!AI$2:AI$1266,MATCH(Data!$DN888,'Data_Price '!$AT$2:$AT$1266,0))</f>
        <v/>
      </c>
      <c r="DA888">
        <f>INDEX('Data_Price '!AJ$2:AJ$1266,MATCH(Data!$DN888,'Data_Price '!$AT$2:$AT$1266,0))</f>
        <v/>
      </c>
      <c r="DB888">
        <f>INDEX('Data_Price '!AK$2:AK$1266,MATCH(Data!$DN888,'Data_Price '!$AT$2:$AT$1266,0))</f>
        <v/>
      </c>
      <c r="DC888">
        <f>INDEX('Data_Price '!AL$2:AL$1266,MATCH(Data!$DN888,'Data_Price '!$AT$2:$AT$1266,0))</f>
        <v/>
      </c>
      <c r="DD888">
        <f>INDEX('Data_Price '!AM$2:AM$1266,MATCH(Data!$DN888,'Data_Price '!$AT$2:$AT$1266,0))</f>
        <v/>
      </c>
      <c r="DE888">
        <f>INDEX('Data_Price '!AN$2:AN$1266,MATCH(Data!$DN888,'Data_Price '!$AT$2:$AT$1266,0))</f>
        <v/>
      </c>
      <c r="DF888">
        <f>INDEX('Data_Price '!AO$2:AO$1266,MATCH(Data!$DN888,'Data_Price '!$AT$2:$AT$1266,0))</f>
        <v/>
      </c>
      <c r="DG888">
        <f>INDEX('Data_Price '!AP$2:AP$1266,MATCH(Data!$DN888,'Data_Price '!$AT$2:$AT$1266,0))</f>
        <v/>
      </c>
      <c r="DH888">
        <f>INDEX('Data_Price '!AQ$2:AQ$1266,MATCH(Data!$DN888,'Data_Price '!$AT$2:$AT$1266,0))</f>
        <v/>
      </c>
      <c r="DI888">
        <f>INDEX('Data_Price '!AR$2:AR$1266,MATCH(Data!$DN888,'Data_Price '!$AT$2:$AT$1266,0))</f>
        <v/>
      </c>
      <c r="DJ888" s="138">
        <f>DA888</f>
        <v/>
      </c>
      <c r="DK888" s="138">
        <f>DE888</f>
        <v/>
      </c>
      <c r="DL888" s="138">
        <f>DI888</f>
        <v/>
      </c>
      <c r="DM888" s="303">
        <f>IF(LEFT(BT888,1)=" ",RIGHT(BT888,LEN(BT888)-1),BT888)</f>
        <v/>
      </c>
      <c r="DN888" s="138">
        <f>_xlfn.CONCAT(BS888,DM888,BU888,BV888)</f>
        <v/>
      </c>
      <c r="DO888" s="307" t="n"/>
    </row>
    <row r="889" ht="15.6" customHeight="1" s="184">
      <c r="B889" s="303">
        <f t="array" ref="B889">IF(OR(ISERROR(K889:P889)),FALSE,TRUE)</f>
        <v/>
      </c>
      <c r="C889" s="60">
        <f>OR(BR889=Driver!$G$50,Data!BR827=Driver!$H$50)</f>
        <v/>
      </c>
      <c r="D889" s="60">
        <f>OR(BV889=Driver!$G$51,BV889=Driver!$H$51)</f>
        <v/>
      </c>
      <c r="E889" s="60">
        <f>AND(BX889&gt;Driver!$F$54,BX889&lt;Driver!$G$54)</f>
        <v/>
      </c>
      <c r="F889" s="60">
        <f>CL889&gt;Driver!$F$56</f>
        <v/>
      </c>
      <c r="G889" s="60">
        <f>AND(CB889&gt;Driver!$F$55,CB889&lt;Driver!$G$55)</f>
        <v/>
      </c>
      <c r="H889" s="60">
        <f>AND(B889:G889)</f>
        <v/>
      </c>
      <c r="I889" s="60">
        <f>COUNTIFS($H$9:$H$1273,TRUE,$BT$9:$BT$1273,BT889)</f>
        <v/>
      </c>
      <c r="J889" s="60">
        <f t="array" ref="J889">NOT(OR(($H$9:$H$1273=TRUE)*($I$9:$I$1273&gt;0)*($BT$9:$BT$1273=BT889)*($K$9:$K$1273&gt;K889)))</f>
        <v/>
      </c>
      <c r="K889" s="108">
        <f>IFERROR(1-AVERAGE(X889:Y889),"")</f>
        <v/>
      </c>
      <c r="L889" s="108">
        <f>1-X889</f>
        <v/>
      </c>
      <c r="M889" s="108">
        <f>1-Y889</f>
        <v/>
      </c>
      <c r="N889" s="108">
        <f>1-Z889</f>
        <v/>
      </c>
      <c r="O889" s="108">
        <f>1-AA889</f>
        <v/>
      </c>
      <c r="P889" s="108">
        <f>1-AB889</f>
        <v/>
      </c>
      <c r="Q889" s="108" t="n"/>
      <c r="R889" s="108" t="n"/>
      <c r="S889" s="108">
        <f>1-AE889</f>
        <v/>
      </c>
      <c r="T889" s="108">
        <f>1-AF889</f>
        <v/>
      </c>
      <c r="U889" s="108">
        <f>1-AG889</f>
        <v/>
      </c>
      <c r="V889" s="108">
        <f>1-AH889</f>
        <v/>
      </c>
      <c r="W889" s="108">
        <f>1-AI889</f>
        <v/>
      </c>
      <c r="X889" s="108">
        <f>ABS(AJ889-AJ$1)</f>
        <v/>
      </c>
      <c r="Y889" s="108">
        <f>AVERAGE(Z889:AB889)</f>
        <v/>
      </c>
      <c r="Z889" s="108">
        <f>ABS(AL889-AL$1)</f>
        <v/>
      </c>
      <c r="AA889" s="108">
        <f>ABS(AM889-AM$1)</f>
        <v/>
      </c>
      <c r="AB889" s="108">
        <f>ABS(AN889-AN$1)</f>
        <v/>
      </c>
      <c r="AC889" s="108" t="n"/>
      <c r="AD889" s="108" t="n"/>
      <c r="AE889" s="108">
        <f>ABS(AQ$1-AQ889)</f>
        <v/>
      </c>
      <c r="AF889" s="108">
        <f>ABS(AR$1-AR889)</f>
        <v/>
      </c>
      <c r="AG889" s="108">
        <f>ABS(AS$1-AS889)</f>
        <v/>
      </c>
      <c r="AH889" s="108">
        <f>ABS(AT$1-AT889)</f>
        <v/>
      </c>
      <c r="AI889" s="108">
        <f>ABS(AU$1-AU889)</f>
        <v/>
      </c>
      <c r="AJ889" s="108">
        <f>(AV889-Driver!$K$179)/(Driver!$L$179-Driver!$K$179)</f>
        <v/>
      </c>
      <c r="AK889" s="108">
        <f>(AW889-Driver!$K$180)/(Driver!$L$180-Driver!$K$180)</f>
        <v/>
      </c>
      <c r="AL889" s="108">
        <f>(AX889-Driver!$K$181)/(Driver!$L$181-Driver!$K$181)</f>
        <v/>
      </c>
      <c r="AM889" s="108">
        <f>(AY889-Driver!$K$182)/(Driver!$L$182-Driver!$K$182)</f>
        <v/>
      </c>
      <c r="AN889" s="108">
        <f>(AZ889-Driver!$K$183)/(Driver!$L$183-Driver!$K$183)</f>
        <v/>
      </c>
      <c r="AO889" s="108" t="n"/>
      <c r="AP889" s="108" t="n"/>
      <c r="AQ889" s="108">
        <f>(BC889-Driver!$K$188)/(Driver!$L$188-Driver!$K$188)</f>
        <v/>
      </c>
      <c r="AR889" s="108">
        <f>MIN((BD889-Driver!$K$189)/(Driver!$L$189-Driver!$K$189),100%)</f>
        <v/>
      </c>
      <c r="AS889" s="108">
        <f>(BE889-Driver!$K$190)/(Driver!$L$190-Driver!$K$190)</f>
        <v/>
      </c>
      <c r="AT889" s="108">
        <f>(BF889-Driver!$K$191)/(Driver!$L$191-Driver!$K$191)</f>
        <v/>
      </c>
      <c r="AU889" s="108">
        <f>(BG889-Driver!$K$192)/(Driver!$L$192-Driver!$K$192)</f>
        <v/>
      </c>
      <c r="AV889" s="105">
        <f>IFERROR(BM889*BJ889^1/4,"")</f>
        <v/>
      </c>
      <c r="AW889" s="105">
        <f>IFERROR(SUM(AX889:AZ889),"")</f>
        <v/>
      </c>
      <c r="AX889" s="105">
        <f>IFERROR(BH889,"")</f>
        <v/>
      </c>
      <c r="AY889" s="105">
        <f>IFERROR(Driver!$K$19/Data!BH889/Data!BI889*Data!BK889*Data!BL889,"")</f>
        <v/>
      </c>
      <c r="AZ889" s="105">
        <f>IFERROR(BI889*BN889,"")</f>
        <v/>
      </c>
      <c r="BA889" s="105" t="n"/>
      <c r="BB889" s="105" t="n"/>
      <c r="BC889" s="105">
        <f>IFERROR(BI889*BN889*BK889/BJ889^(1/2),"")</f>
        <v/>
      </c>
      <c r="BD889" s="105">
        <f>IFERROR(BH889*BM889*BL889/BJ889/BK889,"")</f>
        <v/>
      </c>
      <c r="BE889" s="105">
        <f>IFERROR(MIN(BI889/BQ889/BP889/BO889/BH889,$BE$1),"")</f>
        <v/>
      </c>
      <c r="BF889" s="105">
        <f>IFERROR(BJ889*BO889*BP889/BK889,"")</f>
        <v/>
      </c>
      <c r="BG889" s="105">
        <f>IFERROR(1/BM889/BH889*BQ889,"")</f>
        <v/>
      </c>
      <c r="BH889" s="102">
        <f>MAX((CE889-Driver!$F$200)/(Driver!$G$200-Driver!$F$200)*$BI$1,1)</f>
        <v/>
      </c>
      <c r="BI889" s="102">
        <f>MAX($BI$1*(BY889-Driver!$F$201)/(Driver!$G$201-Driver!$F$201),1)</f>
        <v/>
      </c>
      <c r="BJ889" s="102">
        <f>(CB889-Driver!$F$206)/(Driver!$G$206-Driver!$F$206)*$BI$1</f>
        <v/>
      </c>
      <c r="BK889" s="102">
        <f>(CD889-Driver!$F$203)/(Driver!$G$203-Driver!$F$203)*$BI$1</f>
        <v/>
      </c>
      <c r="BL889" s="102">
        <f>MAX((CR889-Driver!$F$202)/(Driver!$G$202-Driver!$F$202)*$BI$1,1)</f>
        <v/>
      </c>
      <c r="BM889" s="102">
        <f>MAX((CH889-Driver!$F$204)/(Driver!$G$204-Driver!$F$204)*$BI$1,1)</f>
        <v/>
      </c>
      <c r="BN889" s="102">
        <f>(CI889-Driver!$F$205)/(Driver!$G$205-Driver!$F$205)*$BI$1</f>
        <v/>
      </c>
      <c r="BO889" s="102">
        <f>(CK889-Driver!$F$207)/(Driver!$G$207-Driver!$F$207)*$BI$1</f>
        <v/>
      </c>
      <c r="BP889" s="102">
        <f>(CM889-Driver!$F$208)/(Driver!$G$208-Driver!$F$208)*$BI$1</f>
        <v/>
      </c>
      <c r="BQ889" s="102">
        <f>(CL889-Driver!$F$209)/(Driver!$G$209-Driver!$F$209)*$BI$1</f>
        <v/>
      </c>
      <c r="BR889" s="40" t="inlineStr">
        <is>
          <t>21/22</t>
        </is>
      </c>
      <c r="BS889" s="10" t="inlineStr">
        <is>
          <t xml:space="preserve"> Line</t>
        </is>
      </c>
      <c r="BT889" s="11" t="inlineStr">
        <is>
          <t xml:space="preserve"> Blend</t>
        </is>
      </c>
      <c r="BU889" s="13" t="n">
        <v>171</v>
      </c>
      <c r="BV889" s="11" t="inlineStr">
        <is>
          <t xml:space="preserve"> Unisex</t>
        </is>
      </c>
      <c r="BW889" s="13" t="n">
        <v>171</v>
      </c>
      <c r="BX889" s="13" t="n">
        <v>171.7</v>
      </c>
      <c r="BY889" s="13" t="n">
        <v>119</v>
      </c>
      <c r="BZ889" s="13" t="n">
        <v>147</v>
      </c>
      <c r="CA889" s="13" t="n">
        <v>132</v>
      </c>
      <c r="CB889" s="13" t="n">
        <v>99</v>
      </c>
      <c r="CC889" s="13" t="n">
        <v>122</v>
      </c>
      <c r="CD889" s="13" t="n">
        <v>18.7</v>
      </c>
      <c r="CE889" s="13" t="n">
        <v>1651</v>
      </c>
      <c r="CF889" s="13" t="n">
        <v>1.14</v>
      </c>
      <c r="CG889" s="13" t="n">
        <v>1881</v>
      </c>
      <c r="CH889" s="13" t="n">
        <v>130</v>
      </c>
      <c r="CI889" s="13" t="n">
        <v>58</v>
      </c>
      <c r="CJ889" s="13" t="n">
        <v>41</v>
      </c>
      <c r="CK889" s="13" t="n">
        <v>249</v>
      </c>
      <c r="CL889" s="13" t="n">
        <v>38</v>
      </c>
      <c r="CM889" s="13" t="n">
        <v>276</v>
      </c>
      <c r="CN889" s="13" t="n">
        <v>0.9370000000000001</v>
      </c>
      <c r="CO889" s="13" t="n">
        <v>106</v>
      </c>
      <c r="CP889" s="13" t="n">
        <v>137</v>
      </c>
      <c r="CQ889" s="13" t="n">
        <v>143</v>
      </c>
      <c r="CR889" s="13" t="n">
        <v>6</v>
      </c>
      <c r="CS889" s="13" t="n">
        <v>4.5</v>
      </c>
      <c r="CT889" s="11" t="inlineStr">
        <is>
          <t xml:space="preserve"> Freeski</t>
        </is>
      </c>
      <c r="CU889" s="11" t="inlineStr">
        <is>
          <t xml:space="preserve"> Touring</t>
        </is>
      </c>
      <c r="CV889" s="13" t="n"/>
      <c r="CW889" s="13" t="n"/>
      <c r="CX889">
        <f>INDEX('Data_Price '!AG$2:AG$1266,MATCH(Data!$DN889,'Data_Price '!$AT$2:$AT$1266,0))</f>
        <v/>
      </c>
      <c r="CY889">
        <f>INDEX('Data_Price '!AH$2:AH$1266,MATCH(Data!$DN889,'Data_Price '!$AT$2:$AT$1266,0))</f>
        <v/>
      </c>
      <c r="CZ889">
        <f>INDEX('Data_Price '!AI$2:AI$1266,MATCH(Data!$DN889,'Data_Price '!$AT$2:$AT$1266,0))</f>
        <v/>
      </c>
      <c r="DA889">
        <f>INDEX('Data_Price '!AJ$2:AJ$1266,MATCH(Data!$DN889,'Data_Price '!$AT$2:$AT$1266,0))</f>
        <v/>
      </c>
      <c r="DB889">
        <f>INDEX('Data_Price '!AK$2:AK$1266,MATCH(Data!$DN889,'Data_Price '!$AT$2:$AT$1266,0))</f>
        <v/>
      </c>
      <c r="DC889">
        <f>INDEX('Data_Price '!AL$2:AL$1266,MATCH(Data!$DN889,'Data_Price '!$AT$2:$AT$1266,0))</f>
        <v/>
      </c>
      <c r="DD889">
        <f>INDEX('Data_Price '!AM$2:AM$1266,MATCH(Data!$DN889,'Data_Price '!$AT$2:$AT$1266,0))</f>
        <v/>
      </c>
      <c r="DE889">
        <f>INDEX('Data_Price '!AN$2:AN$1266,MATCH(Data!$DN889,'Data_Price '!$AT$2:$AT$1266,0))</f>
        <v/>
      </c>
      <c r="DF889">
        <f>INDEX('Data_Price '!AO$2:AO$1266,MATCH(Data!$DN889,'Data_Price '!$AT$2:$AT$1266,0))</f>
        <v/>
      </c>
      <c r="DG889">
        <f>INDEX('Data_Price '!AP$2:AP$1266,MATCH(Data!$DN889,'Data_Price '!$AT$2:$AT$1266,0))</f>
        <v/>
      </c>
      <c r="DH889">
        <f>INDEX('Data_Price '!AQ$2:AQ$1266,MATCH(Data!$DN889,'Data_Price '!$AT$2:$AT$1266,0))</f>
        <v/>
      </c>
      <c r="DI889">
        <f>INDEX('Data_Price '!AR$2:AR$1266,MATCH(Data!$DN889,'Data_Price '!$AT$2:$AT$1266,0))</f>
        <v/>
      </c>
      <c r="DJ889" s="138">
        <f>DA889</f>
        <v/>
      </c>
      <c r="DK889" s="138">
        <f>DE889</f>
        <v/>
      </c>
      <c r="DL889" s="138">
        <f>DI889</f>
        <v/>
      </c>
      <c r="DM889" s="303">
        <f>IF(LEFT(BT889,1)=" ",RIGHT(BT889,LEN(BT889)-1),BT889)</f>
        <v/>
      </c>
      <c r="DN889" s="138">
        <f>_xlfn.CONCAT(BS889,DM889,BU889,BV889)</f>
        <v/>
      </c>
      <c r="DO889" s="307" t="inlineStr">
        <is>
          <t>https://images.evo.com/imgp/250/197209/792880/line-skis-blend-skis-2022-.jpg</t>
        </is>
      </c>
    </row>
    <row r="890" ht="15.6" customHeight="1" s="184">
      <c r="B890" s="303">
        <f t="array" ref="B890">IF(OR(ISERROR(K890:P890)),FALSE,TRUE)</f>
        <v/>
      </c>
      <c r="C890" s="60">
        <f>OR(BR890=Driver!$G$50,Data!BR655=Driver!$H$50)</f>
        <v/>
      </c>
      <c r="D890" s="60">
        <f>OR(BV890=Driver!$G$51,BV890=Driver!$H$51)</f>
        <v/>
      </c>
      <c r="E890" s="60">
        <f>AND(BX890&gt;Driver!$F$54,BX890&lt;Driver!$G$54)</f>
        <v/>
      </c>
      <c r="F890" s="60">
        <f>CL890&gt;Driver!$F$56</f>
        <v/>
      </c>
      <c r="G890" s="60">
        <f>AND(CB890&gt;Driver!$F$55,CB890&lt;Driver!$G$55)</f>
        <v/>
      </c>
      <c r="H890" s="60">
        <f>AND(B890:G890)</f>
        <v/>
      </c>
      <c r="I890" s="60">
        <f>COUNTIFS($H$9:$H$1273,TRUE,$BT$9:$BT$1273,BT890)</f>
        <v/>
      </c>
      <c r="J890" s="60">
        <f t="array" ref="J890">NOT(OR(($H$9:$H$1273=TRUE)*($I$9:$I$1273&gt;0)*($BT$9:$BT$1273=BT890)*($K$9:$K$1273&gt;K890)))</f>
        <v/>
      </c>
      <c r="K890" s="108">
        <f>IFERROR(1-AVERAGE(X890:Y890),"")</f>
        <v/>
      </c>
      <c r="L890" s="108">
        <f>1-X890</f>
        <v/>
      </c>
      <c r="M890" s="108">
        <f>1-Y890</f>
        <v/>
      </c>
      <c r="N890" s="108">
        <f>1-Z890</f>
        <v/>
      </c>
      <c r="O890" s="108">
        <f>1-AA890</f>
        <v/>
      </c>
      <c r="P890" s="108">
        <f>1-AB890</f>
        <v/>
      </c>
      <c r="Q890" s="108" t="n"/>
      <c r="R890" s="108" t="n"/>
      <c r="S890" s="108">
        <f>1-AE890</f>
        <v/>
      </c>
      <c r="T890" s="108">
        <f>1-AF890</f>
        <v/>
      </c>
      <c r="U890" s="108">
        <f>1-AG890</f>
        <v/>
      </c>
      <c r="V890" s="108">
        <f>1-AH890</f>
        <v/>
      </c>
      <c r="W890" s="108">
        <f>1-AI890</f>
        <v/>
      </c>
      <c r="X890" s="108">
        <f>ABS(AJ890-AJ$1)</f>
        <v/>
      </c>
      <c r="Y890" s="108">
        <f>AVERAGE(Z890:AB890)</f>
        <v/>
      </c>
      <c r="Z890" s="108">
        <f>ABS(AL890-AL$1)</f>
        <v/>
      </c>
      <c r="AA890" s="108">
        <f>ABS(AM890-AM$1)</f>
        <v/>
      </c>
      <c r="AB890" s="108">
        <f>ABS(AN890-AN$1)</f>
        <v/>
      </c>
      <c r="AC890" s="108" t="n"/>
      <c r="AD890" s="108" t="n"/>
      <c r="AE890" s="108">
        <f>ABS(AQ$1-AQ890)</f>
        <v/>
      </c>
      <c r="AF890" s="108">
        <f>ABS(AR$1-AR890)</f>
        <v/>
      </c>
      <c r="AG890" s="108">
        <f>ABS(AS$1-AS890)</f>
        <v/>
      </c>
      <c r="AH890" s="108">
        <f>ABS(AT$1-AT890)</f>
        <v/>
      </c>
      <c r="AI890" s="108">
        <f>ABS(AU$1-AU890)</f>
        <v/>
      </c>
      <c r="AJ890" s="108">
        <f>(AV890-Driver!$K$179)/(Driver!$L$179-Driver!$K$179)</f>
        <v/>
      </c>
      <c r="AK890" s="108">
        <f>(AW890-Driver!$K$180)/(Driver!$L$180-Driver!$K$180)</f>
        <v/>
      </c>
      <c r="AL890" s="108">
        <f>(AX890-Driver!$K$181)/(Driver!$L$181-Driver!$K$181)</f>
        <v/>
      </c>
      <c r="AM890" s="108">
        <f>(AY890-Driver!$K$182)/(Driver!$L$182-Driver!$K$182)</f>
        <v/>
      </c>
      <c r="AN890" s="108">
        <f>(AZ890-Driver!$K$183)/(Driver!$L$183-Driver!$K$183)</f>
        <v/>
      </c>
      <c r="AO890" s="108" t="n"/>
      <c r="AP890" s="108" t="n"/>
      <c r="AQ890" s="108">
        <f>(BC890-Driver!$K$188)/(Driver!$L$188-Driver!$K$188)</f>
        <v/>
      </c>
      <c r="AR890" s="108">
        <f>MIN((BD890-Driver!$K$189)/(Driver!$L$189-Driver!$K$189),100%)</f>
        <v/>
      </c>
      <c r="AS890" s="108">
        <f>(BE890-Driver!$K$190)/(Driver!$L$190-Driver!$K$190)</f>
        <v/>
      </c>
      <c r="AT890" s="108">
        <f>(BF890-Driver!$K$191)/(Driver!$L$191-Driver!$K$191)</f>
        <v/>
      </c>
      <c r="AU890" s="108">
        <f>(BG890-Driver!$K$192)/(Driver!$L$192-Driver!$K$192)</f>
        <v/>
      </c>
      <c r="AV890" s="105">
        <f>IFERROR(BM890*BJ890^1/4,"")</f>
        <v/>
      </c>
      <c r="AW890" s="105">
        <f>IFERROR(SUM(AX890:AZ890),"")</f>
        <v/>
      </c>
      <c r="AX890" s="105">
        <f>IFERROR(BH890,"")</f>
        <v/>
      </c>
      <c r="AY890" s="105">
        <f>IFERROR(Driver!$K$19/Data!BH890/Data!BI890*Data!BK890*Data!BL890,"")</f>
        <v/>
      </c>
      <c r="AZ890" s="105">
        <f>IFERROR(BI890*BN890,"")</f>
        <v/>
      </c>
      <c r="BA890" s="105" t="n"/>
      <c r="BB890" s="105" t="n"/>
      <c r="BC890" s="105">
        <f>IFERROR(BI890*BN890*BK890/BJ890^(1/2),"")</f>
        <v/>
      </c>
      <c r="BD890" s="105">
        <f>IFERROR(BH890*BM890*BL890/BJ890/BK890,"")</f>
        <v/>
      </c>
      <c r="BE890" s="105">
        <f>IFERROR(MIN(BI890/BQ890/BP890/BO890/BH890,$BE$1),"")</f>
        <v/>
      </c>
      <c r="BF890" s="105">
        <f>IFERROR(BJ890*BO890*BP890/BK890,"")</f>
        <v/>
      </c>
      <c r="BG890" s="105">
        <f>IFERROR(1/BM890/BH890*BQ890,"")</f>
        <v/>
      </c>
      <c r="BH890" s="102">
        <f>MAX((CE890-Driver!$F$200)/(Driver!$G$200-Driver!$F$200)*$BI$1,1)</f>
        <v/>
      </c>
      <c r="BI890" s="102">
        <f>MAX($BI$1*(BY890-Driver!$F$201)/(Driver!$G$201-Driver!$F$201),1)</f>
        <v/>
      </c>
      <c r="BJ890" s="102">
        <f>(CB890-Driver!$F$206)/(Driver!$G$206-Driver!$F$206)*$BI$1</f>
        <v/>
      </c>
      <c r="BK890" s="102">
        <f>(CD890-Driver!$F$203)/(Driver!$G$203-Driver!$F$203)*$BI$1</f>
        <v/>
      </c>
      <c r="BL890" s="102">
        <f>MAX((CR890-Driver!$F$202)/(Driver!$G$202-Driver!$F$202)*$BI$1,1)</f>
        <v/>
      </c>
      <c r="BM890" s="102">
        <f>MAX((CH890-Driver!$F$204)/(Driver!$G$204-Driver!$F$204)*$BI$1,1)</f>
        <v/>
      </c>
      <c r="BN890" s="102">
        <f>(CI890-Driver!$F$205)/(Driver!$G$205-Driver!$F$205)*$BI$1</f>
        <v/>
      </c>
      <c r="BO890" s="102">
        <f>(CK890-Driver!$F$207)/(Driver!$G$207-Driver!$F$207)*$BI$1</f>
        <v/>
      </c>
      <c r="BP890" s="102">
        <f>(CM890-Driver!$F$208)/(Driver!$G$208-Driver!$F$208)*$BI$1</f>
        <v/>
      </c>
      <c r="BQ890" s="102">
        <f>(CL890-Driver!$F$209)/(Driver!$G$209-Driver!$F$209)*$BI$1</f>
        <v/>
      </c>
      <c r="BR890" s="40" t="inlineStr">
        <is>
          <t>21/22</t>
        </is>
      </c>
      <c r="BS890" s="10" t="inlineStr">
        <is>
          <t xml:space="preserve"> Head</t>
        </is>
      </c>
      <c r="BT890" s="11" t="inlineStr">
        <is>
          <t>V-Shape V4</t>
        </is>
      </c>
      <c r="BU890" s="13" t="n">
        <v>156</v>
      </c>
      <c r="BV890" s="11" t="inlineStr">
        <is>
          <t xml:space="preserve"> Unisex</t>
        </is>
      </c>
      <c r="BW890" s="13" t="n">
        <v>156</v>
      </c>
      <c r="BX890" s="13" t="n">
        <v>155.2</v>
      </c>
      <c r="BY890" s="13" t="n">
        <v>136</v>
      </c>
      <c r="BZ890" s="13" t="n">
        <v>142</v>
      </c>
      <c r="CA890" s="13" t="n">
        <v>131</v>
      </c>
      <c r="CB890" s="13" t="n">
        <v>72</v>
      </c>
      <c r="CC890" s="13" t="n">
        <v>111</v>
      </c>
      <c r="CD890" s="13" t="n">
        <v>10.3</v>
      </c>
      <c r="CE890" s="13" t="n">
        <v>1682</v>
      </c>
      <c r="CF890" s="13" t="n">
        <v>0.84</v>
      </c>
      <c r="CG890" s="13" t="n">
        <v>1410</v>
      </c>
      <c r="CH890" s="13" t="n">
        <v>135</v>
      </c>
      <c r="CI890" s="13" t="n">
        <v>69</v>
      </c>
      <c r="CJ890" s="13" t="n">
        <v>33</v>
      </c>
      <c r="CK890" s="13" t="n">
        <v>138</v>
      </c>
      <c r="CL890" s="13" t="n">
        <v>6</v>
      </c>
      <c r="CM890" s="13" t="n">
        <v>54</v>
      </c>
      <c r="CN890" s="13" t="n">
        <v>0.173</v>
      </c>
      <c r="CO890" s="13" t="n">
        <v>83</v>
      </c>
      <c r="CP890" s="13" t="n">
        <v>45</v>
      </c>
      <c r="CQ890" s="13" t="n">
        <v>55</v>
      </c>
      <c r="CR890" s="13" t="n">
        <v>13</v>
      </c>
      <c r="CS890" s="13" t="n">
        <v>12.2</v>
      </c>
      <c r="CT890" s="11" t="inlineStr">
        <is>
          <t xml:space="preserve"> On-Piste Carving</t>
        </is>
      </c>
      <c r="CU890" s="13" t="n"/>
      <c r="CV890" s="13" t="n"/>
      <c r="CW890" s="13" t="n"/>
      <c r="CX890">
        <f>INDEX('Data_Price '!AG$2:AG$1266,MATCH(Data!$DN890,'Data_Price '!$AT$2:$AT$1266,0))</f>
        <v/>
      </c>
      <c r="CY890">
        <f>INDEX('Data_Price '!AH$2:AH$1266,MATCH(Data!$DN890,'Data_Price '!$AT$2:$AT$1266,0))</f>
        <v/>
      </c>
      <c r="CZ890">
        <f>INDEX('Data_Price '!AI$2:AI$1266,MATCH(Data!$DN890,'Data_Price '!$AT$2:$AT$1266,0))</f>
        <v/>
      </c>
      <c r="DA890">
        <f>INDEX('Data_Price '!AJ$2:AJ$1266,MATCH(Data!$DN890,'Data_Price '!$AT$2:$AT$1266,0))</f>
        <v/>
      </c>
      <c r="DB890">
        <f>INDEX('Data_Price '!AK$2:AK$1266,MATCH(Data!$DN890,'Data_Price '!$AT$2:$AT$1266,0))</f>
        <v/>
      </c>
      <c r="DC890">
        <f>INDEX('Data_Price '!AL$2:AL$1266,MATCH(Data!$DN890,'Data_Price '!$AT$2:$AT$1266,0))</f>
        <v/>
      </c>
      <c r="DD890">
        <f>INDEX('Data_Price '!AM$2:AM$1266,MATCH(Data!$DN890,'Data_Price '!$AT$2:$AT$1266,0))</f>
        <v/>
      </c>
      <c r="DE890">
        <f>INDEX('Data_Price '!AN$2:AN$1266,MATCH(Data!$DN890,'Data_Price '!$AT$2:$AT$1266,0))</f>
        <v/>
      </c>
      <c r="DF890">
        <f>INDEX('Data_Price '!AO$2:AO$1266,MATCH(Data!$DN890,'Data_Price '!$AT$2:$AT$1266,0))</f>
        <v/>
      </c>
      <c r="DG890">
        <f>INDEX('Data_Price '!AP$2:AP$1266,MATCH(Data!$DN890,'Data_Price '!$AT$2:$AT$1266,0))</f>
        <v/>
      </c>
      <c r="DH890">
        <f>INDEX('Data_Price '!AQ$2:AQ$1266,MATCH(Data!$DN890,'Data_Price '!$AT$2:$AT$1266,0))</f>
        <v/>
      </c>
      <c r="DI890">
        <f>INDEX('Data_Price '!AR$2:AR$1266,MATCH(Data!$DN890,'Data_Price '!$AT$2:$AT$1266,0))</f>
        <v/>
      </c>
      <c r="DJ890" s="138">
        <f>DA890</f>
        <v/>
      </c>
      <c r="DK890" s="138">
        <f>DE890</f>
        <v/>
      </c>
      <c r="DL890" s="138">
        <f>DI890</f>
        <v/>
      </c>
      <c r="DM890" s="303">
        <f>IF(LEFT(BT890,1)=" ",RIGHT(BT890,LEN(BT890)-1),BT890)</f>
        <v/>
      </c>
      <c r="DN890" s="138">
        <f>_xlfn.CONCAT(BS890,DM890,BU890,BV890)</f>
        <v/>
      </c>
      <c r="DO890" s="307" t="n"/>
    </row>
    <row r="891" ht="15.6" customHeight="1" s="184">
      <c r="B891" s="303">
        <f t="array" ref="B891">IF(OR(ISERROR(K891:P891)),FALSE,TRUE)</f>
        <v/>
      </c>
      <c r="C891" s="60">
        <f>OR(BR891=Driver!$G$50,Data!BR179=Driver!$H$50)</f>
        <v/>
      </c>
      <c r="D891" s="60">
        <f>OR(BV891=Driver!$G$51,BV891=Driver!$H$51)</f>
        <v/>
      </c>
      <c r="E891" s="60">
        <f>AND(BX891&gt;Driver!$F$54,BX891&lt;Driver!$G$54)</f>
        <v/>
      </c>
      <c r="F891" s="60">
        <f>CL891&gt;Driver!$F$56</f>
        <v/>
      </c>
      <c r="G891" s="60">
        <f>AND(CB891&gt;Driver!$F$55,CB891&lt;Driver!$G$55)</f>
        <v/>
      </c>
      <c r="H891" s="60">
        <f>AND(B891:G891)</f>
        <v/>
      </c>
      <c r="I891" s="60">
        <f>COUNTIFS($H$9:$H$1273,TRUE,$BT$9:$BT$1273,BT891)</f>
        <v/>
      </c>
      <c r="J891" s="60">
        <f t="array" ref="J891">NOT(OR(($H$9:$H$1273=TRUE)*($I$9:$I$1273&gt;0)*($BT$9:$BT$1273=BT891)*($K$9:$K$1273&gt;K891)))</f>
        <v/>
      </c>
      <c r="K891" s="108">
        <f>IFERROR(1-AVERAGE(X891:Y891),"")</f>
        <v/>
      </c>
      <c r="L891" s="108">
        <f>1-X891</f>
        <v/>
      </c>
      <c r="M891" s="108">
        <f>1-Y891</f>
        <v/>
      </c>
      <c r="N891" s="108">
        <f>1-Z891</f>
        <v/>
      </c>
      <c r="O891" s="108">
        <f>1-AA891</f>
        <v/>
      </c>
      <c r="P891" s="108">
        <f>1-AB891</f>
        <v/>
      </c>
      <c r="Q891" s="108" t="n"/>
      <c r="R891" s="108" t="n"/>
      <c r="S891" s="108">
        <f>1-AE891</f>
        <v/>
      </c>
      <c r="T891" s="108">
        <f>1-AF891</f>
        <v/>
      </c>
      <c r="U891" s="108">
        <f>1-AG891</f>
        <v/>
      </c>
      <c r="V891" s="108">
        <f>1-AH891</f>
        <v/>
      </c>
      <c r="W891" s="108">
        <f>1-AI891</f>
        <v/>
      </c>
      <c r="X891" s="108">
        <f>ABS(AJ891-AJ$1)</f>
        <v/>
      </c>
      <c r="Y891" s="108">
        <f>AVERAGE(Z891:AB891)</f>
        <v/>
      </c>
      <c r="Z891" s="108">
        <f>ABS(AL891-AL$1)</f>
        <v/>
      </c>
      <c r="AA891" s="108">
        <f>ABS(AM891-AM$1)</f>
        <v/>
      </c>
      <c r="AB891" s="108">
        <f>ABS(AN891-AN$1)</f>
        <v/>
      </c>
      <c r="AC891" s="108" t="n"/>
      <c r="AD891" s="108" t="n"/>
      <c r="AE891" s="108">
        <f>ABS(AQ$1-AQ891)</f>
        <v/>
      </c>
      <c r="AF891" s="108">
        <f>ABS(AR$1-AR891)</f>
        <v/>
      </c>
      <c r="AG891" s="108">
        <f>ABS(AS$1-AS891)</f>
        <v/>
      </c>
      <c r="AH891" s="108">
        <f>ABS(AT$1-AT891)</f>
        <v/>
      </c>
      <c r="AI891" s="108">
        <f>ABS(AU$1-AU891)</f>
        <v/>
      </c>
      <c r="AJ891" s="108">
        <f>(AV891-Driver!$K$179)/(Driver!$L$179-Driver!$K$179)</f>
        <v/>
      </c>
      <c r="AK891" s="108">
        <f>(AW891-Driver!$K$180)/(Driver!$L$180-Driver!$K$180)</f>
        <v/>
      </c>
      <c r="AL891" s="108">
        <f>(AX891-Driver!$K$181)/(Driver!$L$181-Driver!$K$181)</f>
        <v/>
      </c>
      <c r="AM891" s="108">
        <f>(AY891-Driver!$K$182)/(Driver!$L$182-Driver!$K$182)</f>
        <v/>
      </c>
      <c r="AN891" s="108">
        <f>(AZ891-Driver!$K$183)/(Driver!$L$183-Driver!$K$183)</f>
        <v/>
      </c>
      <c r="AO891" s="108" t="n"/>
      <c r="AP891" s="108" t="n"/>
      <c r="AQ891" s="108">
        <f>(BC891-Driver!$K$188)/(Driver!$L$188-Driver!$K$188)</f>
        <v/>
      </c>
      <c r="AR891" s="108">
        <f>MIN((BD891-Driver!$K$189)/(Driver!$L$189-Driver!$K$189),100%)</f>
        <v/>
      </c>
      <c r="AS891" s="108">
        <f>(BE891-Driver!$K$190)/(Driver!$L$190-Driver!$K$190)</f>
        <v/>
      </c>
      <c r="AT891" s="108">
        <f>(BF891-Driver!$K$191)/(Driver!$L$191-Driver!$K$191)</f>
        <v/>
      </c>
      <c r="AU891" s="108">
        <f>(BG891-Driver!$K$192)/(Driver!$L$192-Driver!$K$192)</f>
        <v/>
      </c>
      <c r="AV891" s="105">
        <f>IFERROR(BM891*BJ891^1/4,"")</f>
        <v/>
      </c>
      <c r="AW891" s="105">
        <f>IFERROR(SUM(AX891:AZ891),"")</f>
        <v/>
      </c>
      <c r="AX891" s="105">
        <f>IFERROR(BH891,"")</f>
        <v/>
      </c>
      <c r="AY891" s="105">
        <f>IFERROR(Driver!$K$19/Data!BH891/Data!BI891*Data!BK891*Data!BL891,"")</f>
        <v/>
      </c>
      <c r="AZ891" s="105">
        <f>IFERROR(BI891*BN891,"")</f>
        <v/>
      </c>
      <c r="BA891" s="105" t="n"/>
      <c r="BB891" s="105" t="n"/>
      <c r="BC891" s="105">
        <f>IFERROR(BI891*BN891*BK891/BJ891^(1/2),"")</f>
        <v/>
      </c>
      <c r="BD891" s="105">
        <f>IFERROR(BH891*BM891*BL891/BJ891/BK891,"")</f>
        <v/>
      </c>
      <c r="BE891" s="105">
        <f>IFERROR(MIN(BI891/BQ891/BP891/BO891/BH891,$BE$1),"")</f>
        <v/>
      </c>
      <c r="BF891" s="105">
        <f>IFERROR(BJ891*BO891*BP891/BK891,"")</f>
        <v/>
      </c>
      <c r="BG891" s="105">
        <f>IFERROR(1/BM891/BH891*BQ891,"")</f>
        <v/>
      </c>
      <c r="BH891" s="102">
        <f>MAX((CE891-Driver!$F$200)/(Driver!$G$200-Driver!$F$200)*$BI$1,1)</f>
        <v/>
      </c>
      <c r="BI891" s="102">
        <f>MAX($BI$1*(BY891-Driver!$F$201)/(Driver!$G$201-Driver!$F$201),1)</f>
        <v/>
      </c>
      <c r="BJ891" s="102">
        <f>(CB891-Driver!$F$206)/(Driver!$G$206-Driver!$F$206)*$BI$1</f>
        <v/>
      </c>
      <c r="BK891" s="102">
        <f>(CD891-Driver!$F$203)/(Driver!$G$203-Driver!$F$203)*$BI$1</f>
        <v/>
      </c>
      <c r="BL891" s="102">
        <f>MAX((CR891-Driver!$F$202)/(Driver!$G$202-Driver!$F$202)*$BI$1,1)</f>
        <v/>
      </c>
      <c r="BM891" s="102">
        <f>MAX((CH891-Driver!$F$204)/(Driver!$G$204-Driver!$F$204)*$BI$1,1)</f>
        <v/>
      </c>
      <c r="BN891" s="102">
        <f>(CI891-Driver!$F$205)/(Driver!$G$205-Driver!$F$205)*$BI$1</f>
        <v/>
      </c>
      <c r="BO891" s="102">
        <f>(CK891-Driver!$F$207)/(Driver!$G$207-Driver!$F$207)*$BI$1</f>
        <v/>
      </c>
      <c r="BP891" s="102">
        <f>(CM891-Driver!$F$208)/(Driver!$G$208-Driver!$F$208)*$BI$1</f>
        <v/>
      </c>
      <c r="BQ891" s="102">
        <f>(CL891-Driver!$F$209)/(Driver!$G$209-Driver!$F$209)*$BI$1</f>
        <v/>
      </c>
      <c r="BR891" s="40" t="inlineStr">
        <is>
          <t>21/22</t>
        </is>
      </c>
      <c r="BS891" s="10" t="inlineStr">
        <is>
          <t xml:space="preserve"> Atomic</t>
        </is>
      </c>
      <c r="BT891" s="11" t="inlineStr">
        <is>
          <t>Redster S9 Servo</t>
        </is>
      </c>
      <c r="BU891" s="13" t="n">
        <v>159</v>
      </c>
      <c r="BV891" s="11" t="inlineStr">
        <is>
          <t xml:space="preserve"> Unisex</t>
        </is>
      </c>
      <c r="BW891" s="13" t="n">
        <v>159</v>
      </c>
      <c r="BX891" s="13" t="n">
        <v>158</v>
      </c>
      <c r="BY891" s="13" t="n">
        <v>137</v>
      </c>
      <c r="BZ891" s="13" t="n">
        <v>145</v>
      </c>
      <c r="CA891" s="13" t="n">
        <v>117</v>
      </c>
      <c r="CB891" s="13" t="n">
        <v>69</v>
      </c>
      <c r="CC891" s="13" t="n">
        <v>103</v>
      </c>
      <c r="CD891" s="13" t="n">
        <v>12.1</v>
      </c>
      <c r="CE891" s="13" t="n">
        <v>2069</v>
      </c>
      <c r="CF891" s="13" t="n">
        <v>0.64</v>
      </c>
      <c r="CG891" s="13" t="n">
        <v>1334</v>
      </c>
      <c r="CH891" s="13" t="n">
        <v>206</v>
      </c>
      <c r="CI891" s="13" t="n">
        <v>102</v>
      </c>
      <c r="CJ891" s="13" t="n">
        <v>33</v>
      </c>
      <c r="CK891" s="13" t="n">
        <v>153</v>
      </c>
      <c r="CL891" s="13" t="n">
        <v>6</v>
      </c>
      <c r="CM891" s="13" t="n">
        <v>53</v>
      </c>
      <c r="CN891" s="13" t="n">
        <v>0.171</v>
      </c>
      <c r="CO891" s="13" t="n">
        <v>81</v>
      </c>
      <c r="CP891" s="13" t="n">
        <v>54</v>
      </c>
      <c r="CQ891" s="13" t="n">
        <v>72</v>
      </c>
      <c r="CR891" s="13" t="n">
        <v>10</v>
      </c>
      <c r="CS891" s="13" t="n">
        <v>13.7</v>
      </c>
      <c r="CT891" s="11" t="inlineStr">
        <is>
          <t xml:space="preserve"> On-Piste Carving</t>
        </is>
      </c>
      <c r="CU891" s="13" t="n"/>
      <c r="CV891" s="13" t="n"/>
      <c r="CW891" s="13" t="n"/>
      <c r="CX891">
        <f>INDEX('Data_Price '!AG$2:AG$1266,MATCH(Data!$DN891,'Data_Price '!$AT$2:$AT$1266,0))</f>
        <v/>
      </c>
      <c r="CY891">
        <f>INDEX('Data_Price '!AH$2:AH$1266,MATCH(Data!$DN891,'Data_Price '!$AT$2:$AT$1266,0))</f>
        <v/>
      </c>
      <c r="CZ891">
        <f>INDEX('Data_Price '!AI$2:AI$1266,MATCH(Data!$DN891,'Data_Price '!$AT$2:$AT$1266,0))</f>
        <v/>
      </c>
      <c r="DA891">
        <f>INDEX('Data_Price '!AJ$2:AJ$1266,MATCH(Data!$DN891,'Data_Price '!$AT$2:$AT$1266,0))</f>
        <v/>
      </c>
      <c r="DB891">
        <f>INDEX('Data_Price '!AK$2:AK$1266,MATCH(Data!$DN891,'Data_Price '!$AT$2:$AT$1266,0))</f>
        <v/>
      </c>
      <c r="DC891">
        <f>INDEX('Data_Price '!AL$2:AL$1266,MATCH(Data!$DN891,'Data_Price '!$AT$2:$AT$1266,0))</f>
        <v/>
      </c>
      <c r="DD891">
        <f>INDEX('Data_Price '!AM$2:AM$1266,MATCH(Data!$DN891,'Data_Price '!$AT$2:$AT$1266,0))</f>
        <v/>
      </c>
      <c r="DE891">
        <f>INDEX('Data_Price '!AN$2:AN$1266,MATCH(Data!$DN891,'Data_Price '!$AT$2:$AT$1266,0))</f>
        <v/>
      </c>
      <c r="DF891">
        <f>INDEX('Data_Price '!AO$2:AO$1266,MATCH(Data!$DN891,'Data_Price '!$AT$2:$AT$1266,0))</f>
        <v/>
      </c>
      <c r="DG891">
        <f>INDEX('Data_Price '!AP$2:AP$1266,MATCH(Data!$DN891,'Data_Price '!$AT$2:$AT$1266,0))</f>
        <v/>
      </c>
      <c r="DH891">
        <f>INDEX('Data_Price '!AQ$2:AQ$1266,MATCH(Data!$DN891,'Data_Price '!$AT$2:$AT$1266,0))</f>
        <v/>
      </c>
      <c r="DI891">
        <f>INDEX('Data_Price '!AR$2:AR$1266,MATCH(Data!$DN891,'Data_Price '!$AT$2:$AT$1266,0))</f>
        <v/>
      </c>
      <c r="DJ891" s="138">
        <f>DA891</f>
        <v/>
      </c>
      <c r="DK891" s="138">
        <f>DE891</f>
        <v/>
      </c>
      <c r="DL891" s="138">
        <f>DI891</f>
        <v/>
      </c>
      <c r="DM891" s="303">
        <f>IF(LEFT(BT891,1)=" ",RIGHT(BT891,LEN(BT891)-1),BT891)</f>
        <v/>
      </c>
      <c r="DN891" s="138">
        <f>_xlfn.CONCAT(BS891,DM891,BU891,BV891)</f>
        <v/>
      </c>
      <c r="DO891" s="307" t="n"/>
    </row>
    <row r="892" ht="15.6" customHeight="1" s="184">
      <c r="B892" s="303">
        <f t="array" ref="B892">IF(OR(ISERROR(K892:P892)),FALSE,TRUE)</f>
        <v/>
      </c>
      <c r="C892" s="60">
        <f>OR(BR892=Driver!$G$50,Data!BR364=Driver!$H$50)</f>
        <v/>
      </c>
      <c r="D892" s="60">
        <f>OR(BV892=Driver!$G$51,BV892=Driver!$H$51)</f>
        <v/>
      </c>
      <c r="E892" s="60">
        <f>AND(BX892&gt;Driver!$F$54,BX892&lt;Driver!$G$54)</f>
        <v/>
      </c>
      <c r="F892" s="60">
        <f>CL892&gt;Driver!$F$56</f>
        <v/>
      </c>
      <c r="G892" s="60">
        <f>AND(CB892&gt;Driver!$F$55,CB892&lt;Driver!$G$55)</f>
        <v/>
      </c>
      <c r="H892" s="60">
        <f>AND(B892:G892)</f>
        <v/>
      </c>
      <c r="I892" s="60">
        <f>COUNTIFS($H$9:$H$1273,TRUE,$BT$9:$BT$1273,BT892)</f>
        <v/>
      </c>
      <c r="J892" s="60">
        <f t="array" ref="J892">NOT(OR(($H$9:$H$1273=TRUE)*($I$9:$I$1273&gt;0)*($BT$9:$BT$1273=BT892)*($K$9:$K$1273&gt;K892)))</f>
        <v/>
      </c>
      <c r="K892" s="108">
        <f>IFERROR(1-AVERAGE(X892:Y892),"")</f>
        <v/>
      </c>
      <c r="L892" s="108">
        <f>1-X892</f>
        <v/>
      </c>
      <c r="M892" s="108">
        <f>1-Y892</f>
        <v/>
      </c>
      <c r="N892" s="108">
        <f>1-Z892</f>
        <v/>
      </c>
      <c r="O892" s="108">
        <f>1-AA892</f>
        <v/>
      </c>
      <c r="P892" s="108">
        <f>1-AB892</f>
        <v/>
      </c>
      <c r="Q892" s="108" t="n"/>
      <c r="R892" s="108" t="n"/>
      <c r="S892" s="108">
        <f>1-AE892</f>
        <v/>
      </c>
      <c r="T892" s="108">
        <f>1-AF892</f>
        <v/>
      </c>
      <c r="U892" s="108">
        <f>1-AG892</f>
        <v/>
      </c>
      <c r="V892" s="108">
        <f>1-AH892</f>
        <v/>
      </c>
      <c r="W892" s="108">
        <f>1-AI892</f>
        <v/>
      </c>
      <c r="X892" s="108">
        <f>ABS(AJ892-AJ$1)</f>
        <v/>
      </c>
      <c r="Y892" s="108">
        <f>AVERAGE(Z892:AB892)</f>
        <v/>
      </c>
      <c r="Z892" s="108">
        <f>ABS(AL892-AL$1)</f>
        <v/>
      </c>
      <c r="AA892" s="108">
        <f>ABS(AM892-AM$1)</f>
        <v/>
      </c>
      <c r="AB892" s="108">
        <f>ABS(AN892-AN$1)</f>
        <v/>
      </c>
      <c r="AC892" s="108" t="n"/>
      <c r="AD892" s="108" t="n"/>
      <c r="AE892" s="108">
        <f>ABS(AQ$1-AQ892)</f>
        <v/>
      </c>
      <c r="AF892" s="108">
        <f>ABS(AR$1-AR892)</f>
        <v/>
      </c>
      <c r="AG892" s="108">
        <f>ABS(AS$1-AS892)</f>
        <v/>
      </c>
      <c r="AH892" s="108">
        <f>ABS(AT$1-AT892)</f>
        <v/>
      </c>
      <c r="AI892" s="108">
        <f>ABS(AU$1-AU892)</f>
        <v/>
      </c>
      <c r="AJ892" s="108">
        <f>(AV892-Driver!$K$179)/(Driver!$L$179-Driver!$K$179)</f>
        <v/>
      </c>
      <c r="AK892" s="108">
        <f>(AW892-Driver!$K$180)/(Driver!$L$180-Driver!$K$180)</f>
        <v/>
      </c>
      <c r="AL892" s="108">
        <f>(AX892-Driver!$K$181)/(Driver!$L$181-Driver!$K$181)</f>
        <v/>
      </c>
      <c r="AM892" s="108">
        <f>(AY892-Driver!$K$182)/(Driver!$L$182-Driver!$K$182)</f>
        <v/>
      </c>
      <c r="AN892" s="108">
        <f>(AZ892-Driver!$K$183)/(Driver!$L$183-Driver!$K$183)</f>
        <v/>
      </c>
      <c r="AO892" s="108" t="n"/>
      <c r="AP892" s="108" t="n"/>
      <c r="AQ892" s="108">
        <f>(BC892-Driver!$K$188)/(Driver!$L$188-Driver!$K$188)</f>
        <v/>
      </c>
      <c r="AR892" s="108">
        <f>MIN((BD892-Driver!$K$189)/(Driver!$L$189-Driver!$K$189),100%)</f>
        <v/>
      </c>
      <c r="AS892" s="108">
        <f>(BE892-Driver!$K$190)/(Driver!$L$190-Driver!$K$190)</f>
        <v/>
      </c>
      <c r="AT892" s="108">
        <f>(BF892-Driver!$K$191)/(Driver!$L$191-Driver!$K$191)</f>
        <v/>
      </c>
      <c r="AU892" s="108">
        <f>(BG892-Driver!$K$192)/(Driver!$L$192-Driver!$K$192)</f>
        <v/>
      </c>
      <c r="AV892" s="105">
        <f>IFERROR(BM892*BJ892^1/4,"")</f>
        <v/>
      </c>
      <c r="AW892" s="105">
        <f>IFERROR(SUM(AX892:AZ892),"")</f>
        <v/>
      </c>
      <c r="AX892" s="105">
        <f>IFERROR(BH892,"")</f>
        <v/>
      </c>
      <c r="AY892" s="105">
        <f>IFERROR(Driver!$K$19/Data!BH892/Data!BI892*Data!BK892*Data!BL892,"")</f>
        <v/>
      </c>
      <c r="AZ892" s="105">
        <f>IFERROR(BI892*BN892,"")</f>
        <v/>
      </c>
      <c r="BA892" s="105" t="n"/>
      <c r="BB892" s="105" t="n"/>
      <c r="BC892" s="105">
        <f>IFERROR(BI892*BN892*BK892/BJ892^(1/2),"")</f>
        <v/>
      </c>
      <c r="BD892" s="105">
        <f>IFERROR(BH892*BM892*BL892/BJ892/BK892,"")</f>
        <v/>
      </c>
      <c r="BE892" s="105">
        <f>IFERROR(MIN(BI892/BQ892/BP892/BO892/BH892,$BE$1),"")</f>
        <v/>
      </c>
      <c r="BF892" s="105">
        <f>IFERROR(BJ892*BO892*BP892/BK892,"")</f>
        <v/>
      </c>
      <c r="BG892" s="105">
        <f>IFERROR(1/BM892/BH892*BQ892,"")</f>
        <v/>
      </c>
      <c r="BH892" s="102">
        <f>MAX((CE892-Driver!$F$200)/(Driver!$G$200-Driver!$F$200)*$BI$1,1)</f>
        <v/>
      </c>
      <c r="BI892" s="102">
        <f>MAX($BI$1*(BY892-Driver!$F$201)/(Driver!$G$201-Driver!$F$201),1)</f>
        <v/>
      </c>
      <c r="BJ892" s="102">
        <f>(CB892-Driver!$F$206)/(Driver!$G$206-Driver!$F$206)*$BI$1</f>
        <v/>
      </c>
      <c r="BK892" s="102">
        <f>(CD892-Driver!$F$203)/(Driver!$G$203-Driver!$F$203)*$BI$1</f>
        <v/>
      </c>
      <c r="BL892" s="102">
        <f>MAX((CR892-Driver!$F$202)/(Driver!$G$202-Driver!$F$202)*$BI$1,1)</f>
        <v/>
      </c>
      <c r="BM892" s="102">
        <f>MAX((CH892-Driver!$F$204)/(Driver!$G$204-Driver!$F$204)*$BI$1,1)</f>
        <v/>
      </c>
      <c r="BN892" s="102">
        <f>(CI892-Driver!$F$205)/(Driver!$G$205-Driver!$F$205)*$BI$1</f>
        <v/>
      </c>
      <c r="BO892" s="102">
        <f>(CK892-Driver!$F$207)/(Driver!$G$207-Driver!$F$207)*$BI$1</f>
        <v/>
      </c>
      <c r="BP892" s="102">
        <f>(CM892-Driver!$F$208)/(Driver!$G$208-Driver!$F$208)*$BI$1</f>
        <v/>
      </c>
      <c r="BQ892" s="102">
        <f>(CL892-Driver!$F$209)/(Driver!$G$209-Driver!$F$209)*$BI$1</f>
        <v/>
      </c>
      <c r="BR892" s="40" t="inlineStr">
        <is>
          <t>21/22</t>
        </is>
      </c>
      <c r="BS892" s="10" t="inlineStr">
        <is>
          <t xml:space="preserve"> Dynafit</t>
        </is>
      </c>
      <c r="BT892" s="11" t="inlineStr">
        <is>
          <t>Beast 98</t>
        </is>
      </c>
      <c r="BU892" s="13" t="n">
        <v>170</v>
      </c>
      <c r="BV892" s="11" t="inlineStr">
        <is>
          <t xml:space="preserve"> Unisex</t>
        </is>
      </c>
      <c r="BW892" s="13" t="n">
        <v>170</v>
      </c>
      <c r="BX892" s="13" t="n">
        <v>169</v>
      </c>
      <c r="BY892" s="13" t="n">
        <v>108</v>
      </c>
      <c r="BZ892" s="13" t="n">
        <v>136</v>
      </c>
      <c r="CA892" s="13" t="n">
        <v>123</v>
      </c>
      <c r="CB892" s="13" t="n">
        <v>95</v>
      </c>
      <c r="CC892" s="13" t="n">
        <v>112</v>
      </c>
      <c r="CD892" s="13" t="n">
        <v>17.2</v>
      </c>
      <c r="CE892" s="13" t="n">
        <v>1326</v>
      </c>
      <c r="CF892" s="13" t="n">
        <v>1.33</v>
      </c>
      <c r="CG892" s="13" t="n">
        <v>1760</v>
      </c>
      <c r="CH892" s="13" t="n">
        <v>154</v>
      </c>
      <c r="CI892" s="13" t="n">
        <v>74</v>
      </c>
      <c r="CJ892" s="13" t="n">
        <v>62</v>
      </c>
      <c r="CK892" s="13" t="n">
        <v>382</v>
      </c>
      <c r="CL892" s="13" t="n">
        <v>14</v>
      </c>
      <c r="CM892" s="13" t="n">
        <v>229</v>
      </c>
      <c r="CN892" s="13" t="n">
        <v>0.233</v>
      </c>
      <c r="CO892" s="13" t="n">
        <v>172</v>
      </c>
      <c r="CP892" s="13" t="n">
        <v>155</v>
      </c>
      <c r="CQ892" s="13" t="n">
        <v>210</v>
      </c>
      <c r="CR892" s="13" t="n">
        <v>3</v>
      </c>
      <c r="CS892" s="13" t="n">
        <v>8.6</v>
      </c>
      <c r="CT892" s="11" t="inlineStr">
        <is>
          <t xml:space="preserve"> Touring</t>
        </is>
      </c>
      <c r="CU892" s="11" t="inlineStr">
        <is>
          <t xml:space="preserve"> Ultralight Touring</t>
        </is>
      </c>
      <c r="CV892" s="13" t="n"/>
      <c r="CW892" s="13" t="n"/>
      <c r="CX892">
        <f>INDEX('Data_Price '!AG$2:AG$1266,MATCH(Data!$DN892,'Data_Price '!$AT$2:$AT$1266,0))</f>
        <v/>
      </c>
      <c r="CY892">
        <f>INDEX('Data_Price '!AH$2:AH$1266,MATCH(Data!$DN892,'Data_Price '!$AT$2:$AT$1266,0))</f>
        <v/>
      </c>
      <c r="CZ892">
        <f>INDEX('Data_Price '!AI$2:AI$1266,MATCH(Data!$DN892,'Data_Price '!$AT$2:$AT$1266,0))</f>
        <v/>
      </c>
      <c r="DA892">
        <f>INDEX('Data_Price '!AJ$2:AJ$1266,MATCH(Data!$DN892,'Data_Price '!$AT$2:$AT$1266,0))</f>
        <v/>
      </c>
      <c r="DB892">
        <f>INDEX('Data_Price '!AK$2:AK$1266,MATCH(Data!$DN892,'Data_Price '!$AT$2:$AT$1266,0))</f>
        <v/>
      </c>
      <c r="DC892">
        <f>INDEX('Data_Price '!AL$2:AL$1266,MATCH(Data!$DN892,'Data_Price '!$AT$2:$AT$1266,0))</f>
        <v/>
      </c>
      <c r="DD892">
        <f>INDEX('Data_Price '!AM$2:AM$1266,MATCH(Data!$DN892,'Data_Price '!$AT$2:$AT$1266,0))</f>
        <v/>
      </c>
      <c r="DE892">
        <f>INDEX('Data_Price '!AN$2:AN$1266,MATCH(Data!$DN892,'Data_Price '!$AT$2:$AT$1266,0))</f>
        <v/>
      </c>
      <c r="DF892">
        <f>INDEX('Data_Price '!AO$2:AO$1266,MATCH(Data!$DN892,'Data_Price '!$AT$2:$AT$1266,0))</f>
        <v/>
      </c>
      <c r="DG892">
        <f>INDEX('Data_Price '!AP$2:AP$1266,MATCH(Data!$DN892,'Data_Price '!$AT$2:$AT$1266,0))</f>
        <v/>
      </c>
      <c r="DH892">
        <f>INDEX('Data_Price '!AQ$2:AQ$1266,MATCH(Data!$DN892,'Data_Price '!$AT$2:$AT$1266,0))</f>
        <v/>
      </c>
      <c r="DI892">
        <f>INDEX('Data_Price '!AR$2:AR$1266,MATCH(Data!$DN892,'Data_Price '!$AT$2:$AT$1266,0))</f>
        <v/>
      </c>
      <c r="DJ892" s="138">
        <f>DA892</f>
        <v/>
      </c>
      <c r="DK892" s="138">
        <f>DE892</f>
        <v/>
      </c>
      <c r="DL892" s="138">
        <f>DI892</f>
        <v/>
      </c>
      <c r="DM892" s="303">
        <f>IF(LEFT(BT892,1)=" ",RIGHT(BT892,LEN(BT892)-1),BT892)</f>
        <v/>
      </c>
      <c r="DN892" s="138">
        <f>_xlfn.CONCAT(BS892,DM892,BU892,BV892)</f>
        <v/>
      </c>
      <c r="DO892" s="307" t="n"/>
    </row>
    <row r="893" ht="15.6" customHeight="1" s="184">
      <c r="B893" s="303">
        <f t="array" ref="B893">IF(OR(ISERROR(K893:P893)),FALSE,TRUE)</f>
        <v/>
      </c>
      <c r="C893" s="60">
        <f>OR(BR893=Driver!$G$50,Data!BR378=Driver!$H$50)</f>
        <v/>
      </c>
      <c r="D893" s="60">
        <f>OR(BV893=Driver!$G$51,BV893=Driver!$H$51)</f>
        <v/>
      </c>
      <c r="E893" s="60">
        <f>AND(BX893&gt;Driver!$F$54,BX893&lt;Driver!$G$54)</f>
        <v/>
      </c>
      <c r="F893" s="60">
        <f>CL893&gt;Driver!$F$56</f>
        <v/>
      </c>
      <c r="G893" s="60">
        <f>AND(CB893&gt;Driver!$F$55,CB893&lt;Driver!$G$55)</f>
        <v/>
      </c>
      <c r="H893" s="60">
        <f>AND(B893:G893)</f>
        <v/>
      </c>
      <c r="I893" s="60">
        <f>COUNTIFS($H$9:$H$1273,TRUE,$BT$9:$BT$1273,BT893)</f>
        <v/>
      </c>
      <c r="J893" s="60">
        <f t="array" ref="J893">NOT(OR(($H$9:$H$1273=TRUE)*($I$9:$I$1273&gt;0)*($BT$9:$BT$1273=BT893)*($K$9:$K$1273&gt;K893)))</f>
        <v/>
      </c>
      <c r="K893" s="108">
        <f>IFERROR(1-AVERAGE(X893:Y893),"")</f>
        <v/>
      </c>
      <c r="L893" s="108">
        <f>1-X893</f>
        <v/>
      </c>
      <c r="M893" s="108">
        <f>1-Y893</f>
        <v/>
      </c>
      <c r="N893" s="108">
        <f>1-Z893</f>
        <v/>
      </c>
      <c r="O893" s="108">
        <f>1-AA893</f>
        <v/>
      </c>
      <c r="P893" s="108">
        <f>1-AB893</f>
        <v/>
      </c>
      <c r="Q893" s="108" t="n"/>
      <c r="R893" s="108" t="n"/>
      <c r="S893" s="108">
        <f>1-AE893</f>
        <v/>
      </c>
      <c r="T893" s="108">
        <f>1-AF893</f>
        <v/>
      </c>
      <c r="U893" s="108">
        <f>1-AG893</f>
        <v/>
      </c>
      <c r="V893" s="108">
        <f>1-AH893</f>
        <v/>
      </c>
      <c r="W893" s="108">
        <f>1-AI893</f>
        <v/>
      </c>
      <c r="X893" s="108">
        <f>ABS(AJ893-AJ$1)</f>
        <v/>
      </c>
      <c r="Y893" s="108">
        <f>AVERAGE(Z893:AB893)</f>
        <v/>
      </c>
      <c r="Z893" s="108">
        <f>ABS(AL893-AL$1)</f>
        <v/>
      </c>
      <c r="AA893" s="108">
        <f>ABS(AM893-AM$1)</f>
        <v/>
      </c>
      <c r="AB893" s="108">
        <f>ABS(AN893-AN$1)</f>
        <v/>
      </c>
      <c r="AC893" s="108" t="n"/>
      <c r="AD893" s="108" t="n"/>
      <c r="AE893" s="108">
        <f>ABS(AQ$1-AQ893)</f>
        <v/>
      </c>
      <c r="AF893" s="108">
        <f>ABS(AR$1-AR893)</f>
        <v/>
      </c>
      <c r="AG893" s="108">
        <f>ABS(AS$1-AS893)</f>
        <v/>
      </c>
      <c r="AH893" s="108">
        <f>ABS(AT$1-AT893)</f>
        <v/>
      </c>
      <c r="AI893" s="108">
        <f>ABS(AU$1-AU893)</f>
        <v/>
      </c>
      <c r="AJ893" s="108">
        <f>(AV893-Driver!$K$179)/(Driver!$L$179-Driver!$K$179)</f>
        <v/>
      </c>
      <c r="AK893" s="108">
        <f>(AW893-Driver!$K$180)/(Driver!$L$180-Driver!$K$180)</f>
        <v/>
      </c>
      <c r="AL893" s="108">
        <f>(AX893-Driver!$K$181)/(Driver!$L$181-Driver!$K$181)</f>
        <v/>
      </c>
      <c r="AM893" s="108">
        <f>(AY893-Driver!$K$182)/(Driver!$L$182-Driver!$K$182)</f>
        <v/>
      </c>
      <c r="AN893" s="108">
        <f>(AZ893-Driver!$K$183)/(Driver!$L$183-Driver!$K$183)</f>
        <v/>
      </c>
      <c r="AO893" s="108" t="n"/>
      <c r="AP893" s="108" t="n"/>
      <c r="AQ893" s="108">
        <f>(BC893-Driver!$K$188)/(Driver!$L$188-Driver!$K$188)</f>
        <v/>
      </c>
      <c r="AR893" s="108">
        <f>MIN((BD893-Driver!$K$189)/(Driver!$L$189-Driver!$K$189),100%)</f>
        <v/>
      </c>
      <c r="AS893" s="108">
        <f>(BE893-Driver!$K$190)/(Driver!$L$190-Driver!$K$190)</f>
        <v/>
      </c>
      <c r="AT893" s="108">
        <f>(BF893-Driver!$K$191)/(Driver!$L$191-Driver!$K$191)</f>
        <v/>
      </c>
      <c r="AU893" s="108">
        <f>(BG893-Driver!$K$192)/(Driver!$L$192-Driver!$K$192)</f>
        <v/>
      </c>
      <c r="AV893" s="105">
        <f>IFERROR(BM893*BJ893^1/4,"")</f>
        <v/>
      </c>
      <c r="AW893" s="105">
        <f>IFERROR(SUM(AX893:AZ893),"")</f>
        <v/>
      </c>
      <c r="AX893" s="105">
        <f>IFERROR(BH893,"")</f>
        <v/>
      </c>
      <c r="AY893" s="105">
        <f>IFERROR(Driver!$K$19/Data!BH893/Data!BI893*Data!BK893*Data!BL893,"")</f>
        <v/>
      </c>
      <c r="AZ893" s="105">
        <f>IFERROR(BI893*BN893,"")</f>
        <v/>
      </c>
      <c r="BA893" s="105" t="n"/>
      <c r="BB893" s="105" t="n"/>
      <c r="BC893" s="105">
        <f>IFERROR(BI893*BN893*BK893/BJ893^(1/2),"")</f>
        <v/>
      </c>
      <c r="BD893" s="105">
        <f>IFERROR(BH893*BM893*BL893/BJ893/BK893,"")</f>
        <v/>
      </c>
      <c r="BE893" s="105">
        <f>IFERROR(MIN(BI893/BQ893/BP893/BO893/BH893,$BE$1),"")</f>
        <v/>
      </c>
      <c r="BF893" s="105">
        <f>IFERROR(BJ893*BO893*BP893/BK893,"")</f>
        <v/>
      </c>
      <c r="BG893" s="105">
        <f>IFERROR(1/BM893/BH893*BQ893,"")</f>
        <v/>
      </c>
      <c r="BH893" s="102">
        <f>MAX((CE893-Driver!$F$200)/(Driver!$G$200-Driver!$F$200)*$BI$1,1)</f>
        <v/>
      </c>
      <c r="BI893" s="102">
        <f>MAX($BI$1*(BY893-Driver!$F$201)/(Driver!$G$201-Driver!$F$201),1)</f>
        <v/>
      </c>
      <c r="BJ893" s="102">
        <f>(CB893-Driver!$F$206)/(Driver!$G$206-Driver!$F$206)*$BI$1</f>
        <v/>
      </c>
      <c r="BK893" s="102">
        <f>(CD893-Driver!$F$203)/(Driver!$G$203-Driver!$F$203)*$BI$1</f>
        <v/>
      </c>
      <c r="BL893" s="102">
        <f>MAX((CR893-Driver!$F$202)/(Driver!$G$202-Driver!$F$202)*$BI$1,1)</f>
        <v/>
      </c>
      <c r="BM893" s="102">
        <f>MAX((CH893-Driver!$F$204)/(Driver!$G$204-Driver!$F$204)*$BI$1,1)</f>
        <v/>
      </c>
      <c r="BN893" s="102">
        <f>(CI893-Driver!$F$205)/(Driver!$G$205-Driver!$F$205)*$BI$1</f>
        <v/>
      </c>
      <c r="BO893" s="102">
        <f>(CK893-Driver!$F$207)/(Driver!$G$207-Driver!$F$207)*$BI$1</f>
        <v/>
      </c>
      <c r="BP893" s="102">
        <f>(CM893-Driver!$F$208)/(Driver!$G$208-Driver!$F$208)*$BI$1</f>
        <v/>
      </c>
      <c r="BQ893" s="102">
        <f>(CL893-Driver!$F$209)/(Driver!$G$209-Driver!$F$209)*$BI$1</f>
        <v/>
      </c>
      <c r="BR893" s="40" t="inlineStr">
        <is>
          <t>21/22</t>
        </is>
      </c>
      <c r="BS893" s="10" t="inlineStr">
        <is>
          <t xml:space="preserve"> Dynafit</t>
        </is>
      </c>
      <c r="BT893" s="11" t="inlineStr">
        <is>
          <t xml:space="preserve"> Seven Summits</t>
        </is>
      </c>
      <c r="BU893" s="13" t="n">
        <v>166</v>
      </c>
      <c r="BV893" s="11" t="inlineStr">
        <is>
          <t xml:space="preserve"> Unisex</t>
        </is>
      </c>
      <c r="BW893" s="13" t="n">
        <v>166</v>
      </c>
      <c r="BX893" s="13" t="n">
        <v>165.4</v>
      </c>
      <c r="BY893" s="13" t="n">
        <v>132</v>
      </c>
      <c r="BZ893" s="13" t="n">
        <v>139</v>
      </c>
      <c r="CA893" s="13" t="n">
        <v>113</v>
      </c>
      <c r="CB893" s="13" t="n">
        <v>83</v>
      </c>
      <c r="CC893" s="13" t="n">
        <v>103</v>
      </c>
      <c r="CD893" s="13" t="n">
        <v>18.2</v>
      </c>
      <c r="CE893" s="13" t="n">
        <v>1911</v>
      </c>
      <c r="CF893" s="13" t="n">
        <v>0.8100000000000001</v>
      </c>
      <c r="CG893" s="13" t="n">
        <v>1544</v>
      </c>
      <c r="CH893" s="13" t="n">
        <v>176</v>
      </c>
      <c r="CI893" s="13" t="n">
        <v>72</v>
      </c>
      <c r="CJ893" s="13" t="n">
        <v>47</v>
      </c>
      <c r="CK893" s="13" t="n">
        <v>247</v>
      </c>
      <c r="CL893" s="13" t="n">
        <v>7</v>
      </c>
      <c r="CM893" s="13" t="n">
        <v>84</v>
      </c>
      <c r="CN893" s="13" t="n">
        <v>0.149</v>
      </c>
      <c r="CO893" s="13" t="n">
        <v>185</v>
      </c>
      <c r="CP893" s="13" t="n">
        <v>79</v>
      </c>
      <c r="CQ893" s="13" t="n">
        <v>62</v>
      </c>
      <c r="CR893" s="13" t="n">
        <v>6</v>
      </c>
      <c r="CS893" s="13" t="n">
        <v>11.8</v>
      </c>
      <c r="CT893" s="11" t="inlineStr">
        <is>
          <t xml:space="preserve"> On-Piste Carving</t>
        </is>
      </c>
      <c r="CU893" s="11" t="inlineStr">
        <is>
          <t xml:space="preserve"> On-Piste All-Mountain</t>
        </is>
      </c>
      <c r="CV893" s="11" t="inlineStr">
        <is>
          <t xml:space="preserve"> Resort Freeride</t>
        </is>
      </c>
      <c r="CW893" s="13" t="n"/>
      <c r="CX893">
        <f>INDEX('Data_Price '!AG$2:AG$1266,MATCH(Data!$DN893,'Data_Price '!$AT$2:$AT$1266,0))</f>
        <v/>
      </c>
      <c r="CY893">
        <f>INDEX('Data_Price '!AH$2:AH$1266,MATCH(Data!$DN893,'Data_Price '!$AT$2:$AT$1266,0))</f>
        <v/>
      </c>
      <c r="CZ893">
        <f>INDEX('Data_Price '!AI$2:AI$1266,MATCH(Data!$DN893,'Data_Price '!$AT$2:$AT$1266,0))</f>
        <v/>
      </c>
      <c r="DA893">
        <f>INDEX('Data_Price '!AJ$2:AJ$1266,MATCH(Data!$DN893,'Data_Price '!$AT$2:$AT$1266,0))</f>
        <v/>
      </c>
      <c r="DB893">
        <f>INDEX('Data_Price '!AK$2:AK$1266,MATCH(Data!$DN893,'Data_Price '!$AT$2:$AT$1266,0))</f>
        <v/>
      </c>
      <c r="DC893">
        <f>INDEX('Data_Price '!AL$2:AL$1266,MATCH(Data!$DN893,'Data_Price '!$AT$2:$AT$1266,0))</f>
        <v/>
      </c>
      <c r="DD893">
        <f>INDEX('Data_Price '!AM$2:AM$1266,MATCH(Data!$DN893,'Data_Price '!$AT$2:$AT$1266,0))</f>
        <v/>
      </c>
      <c r="DE893">
        <f>INDEX('Data_Price '!AN$2:AN$1266,MATCH(Data!$DN893,'Data_Price '!$AT$2:$AT$1266,0))</f>
        <v/>
      </c>
      <c r="DF893">
        <f>INDEX('Data_Price '!AO$2:AO$1266,MATCH(Data!$DN893,'Data_Price '!$AT$2:$AT$1266,0))</f>
        <v/>
      </c>
      <c r="DG893">
        <f>INDEX('Data_Price '!AP$2:AP$1266,MATCH(Data!$DN893,'Data_Price '!$AT$2:$AT$1266,0))</f>
        <v/>
      </c>
      <c r="DH893">
        <f>INDEX('Data_Price '!AQ$2:AQ$1266,MATCH(Data!$DN893,'Data_Price '!$AT$2:$AT$1266,0))</f>
        <v/>
      </c>
      <c r="DI893">
        <f>INDEX('Data_Price '!AR$2:AR$1266,MATCH(Data!$DN893,'Data_Price '!$AT$2:$AT$1266,0))</f>
        <v/>
      </c>
      <c r="DJ893" s="138">
        <f>DA893</f>
        <v/>
      </c>
      <c r="DK893" s="138">
        <f>DE893</f>
        <v/>
      </c>
      <c r="DL893" s="138">
        <f>DI893</f>
        <v/>
      </c>
      <c r="DM893" s="303">
        <f>IF(LEFT(BT893,1)=" ",RIGHT(BT893,LEN(BT893)-1),BT893)</f>
        <v/>
      </c>
      <c r="DN893" s="138">
        <f>_xlfn.CONCAT(BS893,DM893,BU893,BV893)</f>
        <v/>
      </c>
      <c r="DO893" s="307" t="inlineStr">
        <is>
          <t>https://images.evo.com/imgp/250/183669/751830/clone.jpg</t>
        </is>
      </c>
    </row>
    <row r="894" ht="15.6" customHeight="1" s="184">
      <c r="B894" s="303">
        <f t="array" ref="B894">IF(OR(ISERROR(K894:P894)),FALSE,TRUE)</f>
        <v/>
      </c>
      <c r="C894" s="60">
        <f>OR(BR894=Driver!$G$50,Data!BR793=Driver!$H$50)</f>
        <v/>
      </c>
      <c r="D894" s="60">
        <f>OR(BV894=Driver!$G$51,BV894=Driver!$H$51)</f>
        <v/>
      </c>
      <c r="E894" s="60">
        <f>AND(BX894&gt;Driver!$F$54,BX894&lt;Driver!$G$54)</f>
        <v/>
      </c>
      <c r="F894" s="60">
        <f>CL894&gt;Driver!$F$56</f>
        <v/>
      </c>
      <c r="G894" s="60">
        <f>AND(CB894&gt;Driver!$F$55,CB894&lt;Driver!$G$55)</f>
        <v/>
      </c>
      <c r="H894" s="60">
        <f>AND(B894:G894)</f>
        <v/>
      </c>
      <c r="I894" s="60">
        <f>COUNTIFS($H$9:$H$1273,TRUE,$BT$9:$BT$1273,BT894)</f>
        <v/>
      </c>
      <c r="J894" s="60">
        <f t="array" ref="J894">NOT(OR(($H$9:$H$1273=TRUE)*($I$9:$I$1273&gt;0)*($BT$9:$BT$1273=BT894)*($K$9:$K$1273&gt;K894)))</f>
        <v/>
      </c>
      <c r="K894" s="108">
        <f>IFERROR(1-AVERAGE(X894:Y894),"")</f>
        <v/>
      </c>
      <c r="L894" s="108">
        <f>1-X894</f>
        <v/>
      </c>
      <c r="M894" s="108">
        <f>1-Y894</f>
        <v/>
      </c>
      <c r="N894" s="108">
        <f>1-Z894</f>
        <v/>
      </c>
      <c r="O894" s="108">
        <f>1-AA894</f>
        <v/>
      </c>
      <c r="P894" s="108">
        <f>1-AB894</f>
        <v/>
      </c>
      <c r="Q894" s="108" t="n"/>
      <c r="R894" s="108" t="n"/>
      <c r="S894" s="108">
        <f>1-AE894</f>
        <v/>
      </c>
      <c r="T894" s="108">
        <f>1-AF894</f>
        <v/>
      </c>
      <c r="U894" s="108">
        <f>1-AG894</f>
        <v/>
      </c>
      <c r="V894" s="108">
        <f>1-AH894</f>
        <v/>
      </c>
      <c r="W894" s="108">
        <f>1-AI894</f>
        <v/>
      </c>
      <c r="X894" s="108">
        <f>ABS(AJ894-AJ$1)</f>
        <v/>
      </c>
      <c r="Y894" s="108">
        <f>AVERAGE(Z894:AB894)</f>
        <v/>
      </c>
      <c r="Z894" s="108">
        <f>ABS(AL894-AL$1)</f>
        <v/>
      </c>
      <c r="AA894" s="108">
        <f>ABS(AM894-AM$1)</f>
        <v/>
      </c>
      <c r="AB894" s="108">
        <f>ABS(AN894-AN$1)</f>
        <v/>
      </c>
      <c r="AC894" s="108" t="n"/>
      <c r="AD894" s="108" t="n"/>
      <c r="AE894" s="108">
        <f>ABS(AQ$1-AQ894)</f>
        <v/>
      </c>
      <c r="AF894" s="108">
        <f>ABS(AR$1-AR894)</f>
        <v/>
      </c>
      <c r="AG894" s="108">
        <f>ABS(AS$1-AS894)</f>
        <v/>
      </c>
      <c r="AH894" s="108">
        <f>ABS(AT$1-AT894)</f>
        <v/>
      </c>
      <c r="AI894" s="108">
        <f>ABS(AU$1-AU894)</f>
        <v/>
      </c>
      <c r="AJ894" s="108">
        <f>(AV894-Driver!$K$179)/(Driver!$L$179-Driver!$K$179)</f>
        <v/>
      </c>
      <c r="AK894" s="108">
        <f>(AW894-Driver!$K$180)/(Driver!$L$180-Driver!$K$180)</f>
        <v/>
      </c>
      <c r="AL894" s="108">
        <f>(AX894-Driver!$K$181)/(Driver!$L$181-Driver!$K$181)</f>
        <v/>
      </c>
      <c r="AM894" s="108">
        <f>(AY894-Driver!$K$182)/(Driver!$L$182-Driver!$K$182)</f>
        <v/>
      </c>
      <c r="AN894" s="108">
        <f>(AZ894-Driver!$K$183)/(Driver!$L$183-Driver!$K$183)</f>
        <v/>
      </c>
      <c r="AO894" s="108" t="n"/>
      <c r="AP894" s="108" t="n"/>
      <c r="AQ894" s="108">
        <f>(BC894-Driver!$K$188)/(Driver!$L$188-Driver!$K$188)</f>
        <v/>
      </c>
      <c r="AR894" s="108">
        <f>MIN((BD894-Driver!$K$189)/(Driver!$L$189-Driver!$K$189),100%)</f>
        <v/>
      </c>
      <c r="AS894" s="108">
        <f>(BE894-Driver!$K$190)/(Driver!$L$190-Driver!$K$190)</f>
        <v/>
      </c>
      <c r="AT894" s="108">
        <f>(BF894-Driver!$K$191)/(Driver!$L$191-Driver!$K$191)</f>
        <v/>
      </c>
      <c r="AU894" s="108">
        <f>(BG894-Driver!$K$192)/(Driver!$L$192-Driver!$K$192)</f>
        <v/>
      </c>
      <c r="AV894" s="105">
        <f>IFERROR(BM894*BJ894^1/4,"")</f>
        <v/>
      </c>
      <c r="AW894" s="105">
        <f>IFERROR(SUM(AX894:AZ894),"")</f>
        <v/>
      </c>
      <c r="AX894" s="105">
        <f>IFERROR(BH894,"")</f>
        <v/>
      </c>
      <c r="AY894" s="105">
        <f>IFERROR(Driver!$K$19/Data!BH894/Data!BI894*Data!BK894*Data!BL894,"")</f>
        <v/>
      </c>
      <c r="AZ894" s="105">
        <f>IFERROR(BI894*BN894,"")</f>
        <v/>
      </c>
      <c r="BA894" s="105" t="n"/>
      <c r="BB894" s="105" t="n"/>
      <c r="BC894" s="105">
        <f>IFERROR(BI894*BN894*BK894/BJ894^(1/2),"")</f>
        <v/>
      </c>
      <c r="BD894" s="105">
        <f>IFERROR(BH894*BM894*BL894/BJ894/BK894,"")</f>
        <v/>
      </c>
      <c r="BE894" s="105">
        <f>IFERROR(MIN(BI894/BQ894/BP894/BO894/BH894,$BE$1),"")</f>
        <v/>
      </c>
      <c r="BF894" s="105">
        <f>IFERROR(BJ894*BO894*BP894/BK894,"")</f>
        <v/>
      </c>
      <c r="BG894" s="105">
        <f>IFERROR(1/BM894/BH894*BQ894,"")</f>
        <v/>
      </c>
      <c r="BH894" s="102">
        <f>MAX((CE894-Driver!$F$200)/(Driver!$G$200-Driver!$F$200)*$BI$1,1)</f>
        <v/>
      </c>
      <c r="BI894" s="102">
        <f>MAX($BI$1*(BY894-Driver!$F$201)/(Driver!$G$201-Driver!$F$201),1)</f>
        <v/>
      </c>
      <c r="BJ894" s="102">
        <f>(CB894-Driver!$F$206)/(Driver!$G$206-Driver!$F$206)*$BI$1</f>
        <v/>
      </c>
      <c r="BK894" s="102">
        <f>(CD894-Driver!$F$203)/(Driver!$G$203-Driver!$F$203)*$BI$1</f>
        <v/>
      </c>
      <c r="BL894" s="102">
        <f>MAX((CR894-Driver!$F$202)/(Driver!$G$202-Driver!$F$202)*$BI$1,1)</f>
        <v/>
      </c>
      <c r="BM894" s="102">
        <f>MAX((CH894-Driver!$F$204)/(Driver!$G$204-Driver!$F$204)*$BI$1,1)</f>
        <v/>
      </c>
      <c r="BN894" s="102">
        <f>(CI894-Driver!$F$205)/(Driver!$G$205-Driver!$F$205)*$BI$1</f>
        <v/>
      </c>
      <c r="BO894" s="102">
        <f>(CK894-Driver!$F$207)/(Driver!$G$207-Driver!$F$207)*$BI$1</f>
        <v/>
      </c>
      <c r="BP894" s="102">
        <f>(CM894-Driver!$F$208)/(Driver!$G$208-Driver!$F$208)*$BI$1</f>
        <v/>
      </c>
      <c r="BQ894" s="102">
        <f>(CL894-Driver!$F$209)/(Driver!$G$209-Driver!$F$209)*$BI$1</f>
        <v/>
      </c>
      <c r="BR894" s="40" t="inlineStr">
        <is>
          <t>21/22</t>
        </is>
      </c>
      <c r="BS894" s="10" t="inlineStr">
        <is>
          <t xml:space="preserve"> K2</t>
        </is>
      </c>
      <c r="BT894" s="11" t="inlineStr">
        <is>
          <t>Wayback 96</t>
        </is>
      </c>
      <c r="BU894" s="13" t="n">
        <v>170</v>
      </c>
      <c r="BV894" s="11" t="inlineStr">
        <is>
          <t xml:space="preserve"> Unisex</t>
        </is>
      </c>
      <c r="BW894" s="13" t="n">
        <v>170</v>
      </c>
      <c r="BX894" s="13" t="n">
        <v>169.8</v>
      </c>
      <c r="BY894" s="13" t="n">
        <v>124</v>
      </c>
      <c r="BZ894" s="13" t="n">
        <v>143</v>
      </c>
      <c r="CA894" s="13" t="n">
        <v>127</v>
      </c>
      <c r="CB894" s="13" t="n">
        <v>95</v>
      </c>
      <c r="CC894" s="13" t="n">
        <v>114</v>
      </c>
      <c r="CD894" s="13" t="n">
        <v>19.7</v>
      </c>
      <c r="CE894" s="13" t="n">
        <v>1266</v>
      </c>
      <c r="CF894" s="13" t="n">
        <v>1.4</v>
      </c>
      <c r="CG894" s="13" t="n">
        <v>1773</v>
      </c>
      <c r="CH894" s="13" t="n">
        <v>170</v>
      </c>
      <c r="CI894" s="13" t="n">
        <v>78</v>
      </c>
      <c r="CJ894" s="13" t="n">
        <v>49</v>
      </c>
      <c r="CK894" s="13" t="n">
        <v>310</v>
      </c>
      <c r="CL894" s="13" t="n">
        <v>6</v>
      </c>
      <c r="CM894" s="13" t="n">
        <v>152</v>
      </c>
      <c r="CN894" s="13" t="n">
        <v>0.119</v>
      </c>
      <c r="CO894" s="13" t="n">
        <v>157</v>
      </c>
      <c r="CP894" s="13" t="n">
        <v>107</v>
      </c>
      <c r="CQ894" s="13" t="n">
        <v>154</v>
      </c>
      <c r="CR894" s="13" t="n">
        <v>4</v>
      </c>
      <c r="CS894" s="13" t="n">
        <v>12.4</v>
      </c>
      <c r="CT894" s="11" t="inlineStr">
        <is>
          <t xml:space="preserve"> Touring</t>
        </is>
      </c>
      <c r="CU894" s="11" t="inlineStr">
        <is>
          <t xml:space="preserve"> Ultralight Touring</t>
        </is>
      </c>
      <c r="CV894" s="13" t="n"/>
      <c r="CW894" s="13" t="n"/>
      <c r="CX894">
        <f>INDEX('Data_Price '!AG$2:AG$1266,MATCH(Data!$DN894,'Data_Price '!$AT$2:$AT$1266,0))</f>
        <v/>
      </c>
      <c r="CY894">
        <f>INDEX('Data_Price '!AH$2:AH$1266,MATCH(Data!$DN894,'Data_Price '!$AT$2:$AT$1266,0))</f>
        <v/>
      </c>
      <c r="CZ894">
        <f>INDEX('Data_Price '!AI$2:AI$1266,MATCH(Data!$DN894,'Data_Price '!$AT$2:$AT$1266,0))</f>
        <v/>
      </c>
      <c r="DA894">
        <f>INDEX('Data_Price '!AJ$2:AJ$1266,MATCH(Data!$DN894,'Data_Price '!$AT$2:$AT$1266,0))</f>
        <v/>
      </c>
      <c r="DB894">
        <f>INDEX('Data_Price '!AK$2:AK$1266,MATCH(Data!$DN894,'Data_Price '!$AT$2:$AT$1266,0))</f>
        <v/>
      </c>
      <c r="DC894">
        <f>INDEX('Data_Price '!AL$2:AL$1266,MATCH(Data!$DN894,'Data_Price '!$AT$2:$AT$1266,0))</f>
        <v/>
      </c>
      <c r="DD894">
        <f>INDEX('Data_Price '!AM$2:AM$1266,MATCH(Data!$DN894,'Data_Price '!$AT$2:$AT$1266,0))</f>
        <v/>
      </c>
      <c r="DE894">
        <f>INDEX('Data_Price '!AN$2:AN$1266,MATCH(Data!$DN894,'Data_Price '!$AT$2:$AT$1266,0))</f>
        <v/>
      </c>
      <c r="DF894">
        <f>INDEX('Data_Price '!AO$2:AO$1266,MATCH(Data!$DN894,'Data_Price '!$AT$2:$AT$1266,0))</f>
        <v/>
      </c>
      <c r="DG894">
        <f>INDEX('Data_Price '!AP$2:AP$1266,MATCH(Data!$DN894,'Data_Price '!$AT$2:$AT$1266,0))</f>
        <v/>
      </c>
      <c r="DH894">
        <f>INDEX('Data_Price '!AQ$2:AQ$1266,MATCH(Data!$DN894,'Data_Price '!$AT$2:$AT$1266,0))</f>
        <v/>
      </c>
      <c r="DI894">
        <f>INDEX('Data_Price '!AR$2:AR$1266,MATCH(Data!$DN894,'Data_Price '!$AT$2:$AT$1266,0))</f>
        <v/>
      </c>
      <c r="DJ894" s="138">
        <f>DA894</f>
        <v/>
      </c>
      <c r="DK894" s="138">
        <f>DE894</f>
        <v/>
      </c>
      <c r="DL894" s="138">
        <f>DI894</f>
        <v/>
      </c>
      <c r="DM894" s="303">
        <f>IF(LEFT(BT894,1)=" ",RIGHT(BT894,LEN(BT894)-1),BT894)</f>
        <v/>
      </c>
      <c r="DN894" s="138">
        <f>_xlfn.CONCAT(BS894,DM894,BU894,BV894)</f>
        <v/>
      </c>
      <c r="DO894" s="307" t="inlineStr">
        <is>
          <t>https://images.evo.com/imgp/250/182122/886389/k2-wayback-96-skis-2021-.jpg</t>
        </is>
      </c>
    </row>
    <row r="895" ht="15.6" customHeight="1" s="184">
      <c r="B895" s="303">
        <f t="array" ref="B895">IF(OR(ISERROR(K895:P895)),FALSE,TRUE)</f>
        <v/>
      </c>
      <c r="C895" s="60">
        <f>OR(BR895=Driver!$G$50,Data!BR448=Driver!$H$50)</f>
        <v/>
      </c>
      <c r="D895" s="60">
        <f>OR(BV895=Driver!$G$51,BV895=Driver!$H$51)</f>
        <v/>
      </c>
      <c r="E895" s="60">
        <f>AND(BX895&gt;Driver!$F$54,BX895&lt;Driver!$G$54)</f>
        <v/>
      </c>
      <c r="F895" s="60">
        <f>CL895&gt;Driver!$F$56</f>
        <v/>
      </c>
      <c r="G895" s="60">
        <f>AND(CB895&gt;Driver!$F$55,CB895&lt;Driver!$G$55)</f>
        <v/>
      </c>
      <c r="H895" s="60">
        <f>AND(B895:G895)</f>
        <v/>
      </c>
      <c r="I895" s="60">
        <f>COUNTIFS($H$9:$H$1273,TRUE,$BT$9:$BT$1273,BT895)</f>
        <v/>
      </c>
      <c r="J895" s="60">
        <f t="array" ref="J895">NOT(OR(($H$9:$H$1273=TRUE)*($I$9:$I$1273&gt;0)*($BT$9:$BT$1273=BT895)*($K$9:$K$1273&gt;K895)))</f>
        <v/>
      </c>
      <c r="K895" s="108">
        <f>IFERROR(1-AVERAGE(X895:Y895),"")</f>
        <v/>
      </c>
      <c r="L895" s="108">
        <f>1-X895</f>
        <v/>
      </c>
      <c r="M895" s="108">
        <f>1-Y895</f>
        <v/>
      </c>
      <c r="N895" s="108">
        <f>1-Z895</f>
        <v/>
      </c>
      <c r="O895" s="108">
        <f>1-AA895</f>
        <v/>
      </c>
      <c r="P895" s="108">
        <f>1-AB895</f>
        <v/>
      </c>
      <c r="Q895" s="108" t="n"/>
      <c r="R895" s="108" t="n"/>
      <c r="S895" s="108">
        <f>1-AE895</f>
        <v/>
      </c>
      <c r="T895" s="108">
        <f>1-AF895</f>
        <v/>
      </c>
      <c r="U895" s="108">
        <f>1-AG895</f>
        <v/>
      </c>
      <c r="V895" s="108">
        <f>1-AH895</f>
        <v/>
      </c>
      <c r="W895" s="108">
        <f>1-AI895</f>
        <v/>
      </c>
      <c r="X895" s="108">
        <f>ABS(AJ895-AJ$1)</f>
        <v/>
      </c>
      <c r="Y895" s="108">
        <f>AVERAGE(Z895:AB895)</f>
        <v/>
      </c>
      <c r="Z895" s="108">
        <f>ABS(AL895-AL$1)</f>
        <v/>
      </c>
      <c r="AA895" s="108">
        <f>ABS(AM895-AM$1)</f>
        <v/>
      </c>
      <c r="AB895" s="108">
        <f>ABS(AN895-AN$1)</f>
        <v/>
      </c>
      <c r="AC895" s="108" t="n"/>
      <c r="AD895" s="108" t="n"/>
      <c r="AE895" s="108">
        <f>ABS(AQ$1-AQ895)</f>
        <v/>
      </c>
      <c r="AF895" s="108">
        <f>ABS(AR$1-AR895)</f>
        <v/>
      </c>
      <c r="AG895" s="108">
        <f>ABS(AS$1-AS895)</f>
        <v/>
      </c>
      <c r="AH895" s="108">
        <f>ABS(AT$1-AT895)</f>
        <v/>
      </c>
      <c r="AI895" s="108">
        <f>ABS(AU$1-AU895)</f>
        <v/>
      </c>
      <c r="AJ895" s="108">
        <f>(AV895-Driver!$K$179)/(Driver!$L$179-Driver!$K$179)</f>
        <v/>
      </c>
      <c r="AK895" s="108">
        <f>(AW895-Driver!$K$180)/(Driver!$L$180-Driver!$K$180)</f>
        <v/>
      </c>
      <c r="AL895" s="108">
        <f>(AX895-Driver!$K$181)/(Driver!$L$181-Driver!$K$181)</f>
        <v/>
      </c>
      <c r="AM895" s="108">
        <f>(AY895-Driver!$K$182)/(Driver!$L$182-Driver!$K$182)</f>
        <v/>
      </c>
      <c r="AN895" s="108">
        <f>(AZ895-Driver!$K$183)/(Driver!$L$183-Driver!$K$183)</f>
        <v/>
      </c>
      <c r="AO895" s="108" t="n"/>
      <c r="AP895" s="108" t="n"/>
      <c r="AQ895" s="108">
        <f>(BC895-Driver!$K$188)/(Driver!$L$188-Driver!$K$188)</f>
        <v/>
      </c>
      <c r="AR895" s="108">
        <f>MIN((BD895-Driver!$K$189)/(Driver!$L$189-Driver!$K$189),100%)</f>
        <v/>
      </c>
      <c r="AS895" s="108">
        <f>(BE895-Driver!$K$190)/(Driver!$L$190-Driver!$K$190)</f>
        <v/>
      </c>
      <c r="AT895" s="108">
        <f>(BF895-Driver!$K$191)/(Driver!$L$191-Driver!$K$191)</f>
        <v/>
      </c>
      <c r="AU895" s="108">
        <f>(BG895-Driver!$K$192)/(Driver!$L$192-Driver!$K$192)</f>
        <v/>
      </c>
      <c r="AV895" s="105">
        <f>IFERROR(BM895*BJ895^1/4,"")</f>
        <v/>
      </c>
      <c r="AW895" s="105">
        <f>IFERROR(SUM(AX895:AZ895),"")</f>
        <v/>
      </c>
      <c r="AX895" s="105">
        <f>IFERROR(BH895,"")</f>
        <v/>
      </c>
      <c r="AY895" s="105">
        <f>IFERROR(Driver!$K$19/Data!BH895/Data!BI895*Data!BK895*Data!BL895,"")</f>
        <v/>
      </c>
      <c r="AZ895" s="105">
        <f>IFERROR(BI895*BN895,"")</f>
        <v/>
      </c>
      <c r="BA895" s="105" t="n"/>
      <c r="BB895" s="105" t="n"/>
      <c r="BC895" s="105">
        <f>IFERROR(BI895*BN895*BK895/BJ895^(1/2),"")</f>
        <v/>
      </c>
      <c r="BD895" s="105">
        <f>IFERROR(BH895*BM895*BL895/BJ895/BK895,"")</f>
        <v/>
      </c>
      <c r="BE895" s="105">
        <f>IFERROR(MIN(BI895/BQ895/BP895/BO895/BH895,$BE$1),"")</f>
        <v/>
      </c>
      <c r="BF895" s="105">
        <f>IFERROR(BJ895*BO895*BP895/BK895,"")</f>
        <v/>
      </c>
      <c r="BG895" s="105">
        <f>IFERROR(1/BM895/BH895*BQ895,"")</f>
        <v/>
      </c>
      <c r="BH895" s="102">
        <f>MAX((CE895-Driver!$F$200)/(Driver!$G$200-Driver!$F$200)*$BI$1,1)</f>
        <v/>
      </c>
      <c r="BI895" s="102">
        <f>MAX($BI$1*(BY895-Driver!$F$201)/(Driver!$G$201-Driver!$F$201),1)</f>
        <v/>
      </c>
      <c r="BJ895" s="102">
        <f>(CB895-Driver!$F$206)/(Driver!$G$206-Driver!$F$206)*$BI$1</f>
        <v/>
      </c>
      <c r="BK895" s="102">
        <f>(CD895-Driver!$F$203)/(Driver!$G$203-Driver!$F$203)*$BI$1</f>
        <v/>
      </c>
      <c r="BL895" s="102">
        <f>MAX((CR895-Driver!$F$202)/(Driver!$G$202-Driver!$F$202)*$BI$1,1)</f>
        <v/>
      </c>
      <c r="BM895" s="102">
        <f>MAX((CH895-Driver!$F$204)/(Driver!$G$204-Driver!$F$204)*$BI$1,1)</f>
        <v/>
      </c>
      <c r="BN895" s="102">
        <f>(CI895-Driver!$F$205)/(Driver!$G$205-Driver!$F$205)*$BI$1</f>
        <v/>
      </c>
      <c r="BO895" s="102">
        <f>(CK895-Driver!$F$207)/(Driver!$G$207-Driver!$F$207)*$BI$1</f>
        <v/>
      </c>
      <c r="BP895" s="102">
        <f>(CM895-Driver!$F$208)/(Driver!$G$208-Driver!$F$208)*$BI$1</f>
        <v/>
      </c>
      <c r="BQ895" s="102">
        <f>(CL895-Driver!$F$209)/(Driver!$G$209-Driver!$F$209)*$BI$1</f>
        <v/>
      </c>
      <c r="BR895" s="40" t="inlineStr">
        <is>
          <t>21/22</t>
        </is>
      </c>
      <c r="BS895" s="10" t="inlineStr">
        <is>
          <t xml:space="preserve"> Elan</t>
        </is>
      </c>
      <c r="BT895" s="11" t="inlineStr">
        <is>
          <t>Ripstick 106 Black Edition</t>
        </is>
      </c>
      <c r="BU895" s="13" t="n">
        <v>180</v>
      </c>
      <c r="BV895" s="11" t="inlineStr">
        <is>
          <t xml:space="preserve"> Unisex</t>
        </is>
      </c>
      <c r="BW895" s="13" t="n">
        <v>180</v>
      </c>
      <c r="BX895" s="13" t="n">
        <v>177.3</v>
      </c>
      <c r="BY895" s="13" t="n">
        <v>134</v>
      </c>
      <c r="BZ895" s="13" t="n">
        <v>143</v>
      </c>
      <c r="CA895" s="13" t="n">
        <v>142</v>
      </c>
      <c r="CB895" s="13" t="n">
        <v>104</v>
      </c>
      <c r="CC895" s="13" t="n">
        <v>120</v>
      </c>
      <c r="CD895" s="13" t="n">
        <v>18.5</v>
      </c>
      <c r="CE895" s="13" t="n">
        <v>1929</v>
      </c>
      <c r="CF895" s="13" t="n">
        <v>1.06</v>
      </c>
      <c r="CG895" s="13" t="n">
        <v>2054</v>
      </c>
      <c r="CH895" s="13" t="n">
        <v>272</v>
      </c>
      <c r="CI895" s="13" t="n">
        <v>120</v>
      </c>
      <c r="CJ895" s="13" t="n">
        <v>48</v>
      </c>
      <c r="CK895" s="13" t="n">
        <v>269</v>
      </c>
      <c r="CL895" s="13" t="n">
        <v>14</v>
      </c>
      <c r="CM895" s="13" t="n">
        <v>165</v>
      </c>
      <c r="CN895" s="13" t="n">
        <v>0.304</v>
      </c>
      <c r="CO895" s="13" t="n">
        <v>174</v>
      </c>
      <c r="CP895" s="13" t="n">
        <v>173</v>
      </c>
      <c r="CQ895" s="13" t="n">
        <v>95</v>
      </c>
      <c r="CR895" s="13" t="n">
        <v>5</v>
      </c>
      <c r="CS895" s="13" t="n">
        <v>10.1</v>
      </c>
      <c r="CT895" s="11" t="inlineStr">
        <is>
          <t xml:space="preserve"> Resort Freeride</t>
        </is>
      </c>
      <c r="CU895" s="11" t="inlineStr">
        <is>
          <t xml:space="preserve"> Big Mountain</t>
        </is>
      </c>
      <c r="CV895" s="11" t="inlineStr">
        <is>
          <t xml:space="preserve"> Touring</t>
        </is>
      </c>
      <c r="CW895" s="13" t="n"/>
      <c r="CX895">
        <f>INDEX('Data_Price '!AG$2:AG$1266,MATCH(Data!$DN895,'Data_Price '!$AT$2:$AT$1266,0))</f>
        <v/>
      </c>
      <c r="CY895">
        <f>INDEX('Data_Price '!AH$2:AH$1266,MATCH(Data!$DN895,'Data_Price '!$AT$2:$AT$1266,0))</f>
        <v/>
      </c>
      <c r="CZ895">
        <f>INDEX('Data_Price '!AI$2:AI$1266,MATCH(Data!$DN895,'Data_Price '!$AT$2:$AT$1266,0))</f>
        <v/>
      </c>
      <c r="DA895">
        <f>INDEX('Data_Price '!AJ$2:AJ$1266,MATCH(Data!$DN895,'Data_Price '!$AT$2:$AT$1266,0))</f>
        <v/>
      </c>
      <c r="DB895">
        <f>INDEX('Data_Price '!AK$2:AK$1266,MATCH(Data!$DN895,'Data_Price '!$AT$2:$AT$1266,0))</f>
        <v/>
      </c>
      <c r="DC895">
        <f>INDEX('Data_Price '!AL$2:AL$1266,MATCH(Data!$DN895,'Data_Price '!$AT$2:$AT$1266,0))</f>
        <v/>
      </c>
      <c r="DD895">
        <f>INDEX('Data_Price '!AM$2:AM$1266,MATCH(Data!$DN895,'Data_Price '!$AT$2:$AT$1266,0))</f>
        <v/>
      </c>
      <c r="DE895">
        <f>INDEX('Data_Price '!AN$2:AN$1266,MATCH(Data!$DN895,'Data_Price '!$AT$2:$AT$1266,0))</f>
        <v/>
      </c>
      <c r="DF895">
        <f>INDEX('Data_Price '!AO$2:AO$1266,MATCH(Data!$DN895,'Data_Price '!$AT$2:$AT$1266,0))</f>
        <v/>
      </c>
      <c r="DG895">
        <f>INDEX('Data_Price '!AP$2:AP$1266,MATCH(Data!$DN895,'Data_Price '!$AT$2:$AT$1266,0))</f>
        <v/>
      </c>
      <c r="DH895">
        <f>INDEX('Data_Price '!AQ$2:AQ$1266,MATCH(Data!$DN895,'Data_Price '!$AT$2:$AT$1266,0))</f>
        <v/>
      </c>
      <c r="DI895">
        <f>INDEX('Data_Price '!AR$2:AR$1266,MATCH(Data!$DN895,'Data_Price '!$AT$2:$AT$1266,0))</f>
        <v/>
      </c>
      <c r="DJ895" s="138">
        <f>DA895</f>
        <v/>
      </c>
      <c r="DK895" s="138">
        <f>DE895</f>
        <v/>
      </c>
      <c r="DL895" s="138">
        <f>DI895</f>
        <v/>
      </c>
      <c r="DM895" s="303">
        <f>IF(LEFT(BT895,1)=" ",RIGHT(BT895,LEN(BT895)-1),BT895)</f>
        <v/>
      </c>
      <c r="DN895" s="138">
        <f>_xlfn.CONCAT(BS895,DM895,BU895,BV895)</f>
        <v/>
      </c>
      <c r="DO895" s="307" t="inlineStr">
        <is>
          <t>https://images.evo.com/imgp/250/198222/788813/clone.jpg</t>
        </is>
      </c>
    </row>
    <row r="896" ht="15.6" customHeight="1" s="184">
      <c r="B896" s="303">
        <f t="array" ref="B896">IF(OR(ISERROR(K896:P896)),FALSE,TRUE)</f>
        <v/>
      </c>
      <c r="C896" s="60">
        <f>OR(BR896=Driver!$G$50,Data!BR690=Driver!$H$50)</f>
        <v/>
      </c>
      <c r="D896" s="60">
        <f>OR(BV896=Driver!$G$51,BV896=Driver!$H$51)</f>
        <v/>
      </c>
      <c r="E896" s="60">
        <f>AND(BX896&gt;Driver!$F$54,BX896&lt;Driver!$G$54)</f>
        <v/>
      </c>
      <c r="F896" s="60">
        <f>CL896&gt;Driver!$F$56</f>
        <v/>
      </c>
      <c r="G896" s="60">
        <f>AND(CB896&gt;Driver!$F$55,CB896&lt;Driver!$G$55)</f>
        <v/>
      </c>
      <c r="H896" s="60">
        <f>AND(B896:G896)</f>
        <v/>
      </c>
      <c r="I896" s="60">
        <f>COUNTIFS($H$9:$H$1273,TRUE,$BT$9:$BT$1273,BT896)</f>
        <v/>
      </c>
      <c r="J896" s="60">
        <f t="array" ref="J896">NOT(OR(($H$9:$H$1273=TRUE)*($I$9:$I$1273&gt;0)*($BT$9:$BT$1273=BT896)*($K$9:$K$1273&gt;K896)))</f>
        <v/>
      </c>
      <c r="K896" s="108">
        <f>IFERROR(1-AVERAGE(X896:Y896),"")</f>
        <v/>
      </c>
      <c r="L896" s="108">
        <f>1-X896</f>
        <v/>
      </c>
      <c r="M896" s="108">
        <f>1-Y896</f>
        <v/>
      </c>
      <c r="N896" s="108">
        <f>1-Z896</f>
        <v/>
      </c>
      <c r="O896" s="108">
        <f>1-AA896</f>
        <v/>
      </c>
      <c r="P896" s="108">
        <f>1-AB896</f>
        <v/>
      </c>
      <c r="Q896" s="108" t="n"/>
      <c r="R896" s="108" t="n"/>
      <c r="S896" s="108">
        <f>1-AE896</f>
        <v/>
      </c>
      <c r="T896" s="108">
        <f>1-AF896</f>
        <v/>
      </c>
      <c r="U896" s="108">
        <f>1-AG896</f>
        <v/>
      </c>
      <c r="V896" s="108">
        <f>1-AH896</f>
        <v/>
      </c>
      <c r="W896" s="108">
        <f>1-AI896</f>
        <v/>
      </c>
      <c r="X896" s="108">
        <f>ABS(AJ896-AJ$1)</f>
        <v/>
      </c>
      <c r="Y896" s="108">
        <f>AVERAGE(Z896:AB896)</f>
        <v/>
      </c>
      <c r="Z896" s="108">
        <f>ABS(AL896-AL$1)</f>
        <v/>
      </c>
      <c r="AA896" s="108">
        <f>ABS(AM896-AM$1)</f>
        <v/>
      </c>
      <c r="AB896" s="108">
        <f>ABS(AN896-AN$1)</f>
        <v/>
      </c>
      <c r="AC896" s="108" t="n"/>
      <c r="AD896" s="108" t="n"/>
      <c r="AE896" s="108">
        <f>ABS(AQ$1-AQ896)</f>
        <v/>
      </c>
      <c r="AF896" s="108">
        <f>ABS(AR$1-AR896)</f>
        <v/>
      </c>
      <c r="AG896" s="108">
        <f>ABS(AS$1-AS896)</f>
        <v/>
      </c>
      <c r="AH896" s="108">
        <f>ABS(AT$1-AT896)</f>
        <v/>
      </c>
      <c r="AI896" s="108">
        <f>ABS(AU$1-AU896)</f>
        <v/>
      </c>
      <c r="AJ896" s="108">
        <f>(AV896-Driver!$K$179)/(Driver!$L$179-Driver!$K$179)</f>
        <v/>
      </c>
      <c r="AK896" s="108">
        <f>(AW896-Driver!$K$180)/(Driver!$L$180-Driver!$K$180)</f>
        <v/>
      </c>
      <c r="AL896" s="108">
        <f>(AX896-Driver!$K$181)/(Driver!$L$181-Driver!$K$181)</f>
        <v/>
      </c>
      <c r="AM896" s="108">
        <f>(AY896-Driver!$K$182)/(Driver!$L$182-Driver!$K$182)</f>
        <v/>
      </c>
      <c r="AN896" s="108">
        <f>(AZ896-Driver!$K$183)/(Driver!$L$183-Driver!$K$183)</f>
        <v/>
      </c>
      <c r="AO896" s="108" t="n"/>
      <c r="AP896" s="108" t="n"/>
      <c r="AQ896" s="108">
        <f>(BC896-Driver!$K$188)/(Driver!$L$188-Driver!$K$188)</f>
        <v/>
      </c>
      <c r="AR896" s="108">
        <f>MIN((BD896-Driver!$K$189)/(Driver!$L$189-Driver!$K$189),100%)</f>
        <v/>
      </c>
      <c r="AS896" s="108">
        <f>(BE896-Driver!$K$190)/(Driver!$L$190-Driver!$K$190)</f>
        <v/>
      </c>
      <c r="AT896" s="108">
        <f>(BF896-Driver!$K$191)/(Driver!$L$191-Driver!$K$191)</f>
        <v/>
      </c>
      <c r="AU896" s="108">
        <f>(BG896-Driver!$K$192)/(Driver!$L$192-Driver!$K$192)</f>
        <v/>
      </c>
      <c r="AV896" s="105">
        <f>IFERROR(BM896*BJ896^1/4,"")</f>
        <v/>
      </c>
      <c r="AW896" s="105">
        <f>IFERROR(SUM(AX896:AZ896),"")</f>
        <v/>
      </c>
      <c r="AX896" s="105">
        <f>IFERROR(BH896,"")</f>
        <v/>
      </c>
      <c r="AY896" s="105">
        <f>IFERROR(Driver!$K$19/Data!BH896/Data!BI896*Data!BK896*Data!BL896,"")</f>
        <v/>
      </c>
      <c r="AZ896" s="105">
        <f>IFERROR(BI896*BN896,"")</f>
        <v/>
      </c>
      <c r="BA896" s="105" t="n"/>
      <c r="BB896" s="105" t="n"/>
      <c r="BC896" s="105">
        <f>IFERROR(BI896*BN896*BK896/BJ896^(1/2),"")</f>
        <v/>
      </c>
      <c r="BD896" s="105">
        <f>IFERROR(BH896*BM896*BL896/BJ896/BK896,"")</f>
        <v/>
      </c>
      <c r="BE896" s="105">
        <f>IFERROR(MIN(BI896/BQ896/BP896/BO896/BH896,$BE$1),"")</f>
        <v/>
      </c>
      <c r="BF896" s="105">
        <f>IFERROR(BJ896*BO896*BP896/BK896,"")</f>
        <v/>
      </c>
      <c r="BG896" s="105">
        <f>IFERROR(1/BM896/BH896*BQ896,"")</f>
        <v/>
      </c>
      <c r="BH896" s="102">
        <f>MAX((CE896-Driver!$F$200)/(Driver!$G$200-Driver!$F$200)*$BI$1,1)</f>
        <v/>
      </c>
      <c r="BI896" s="102">
        <f>MAX($BI$1*(BY896-Driver!$F$201)/(Driver!$G$201-Driver!$F$201),1)</f>
        <v/>
      </c>
      <c r="BJ896" s="102">
        <f>(CB896-Driver!$F$206)/(Driver!$G$206-Driver!$F$206)*$BI$1</f>
        <v/>
      </c>
      <c r="BK896" s="102">
        <f>(CD896-Driver!$F$203)/(Driver!$G$203-Driver!$F$203)*$BI$1</f>
        <v/>
      </c>
      <c r="BL896" s="102">
        <f>MAX((CR896-Driver!$F$202)/(Driver!$G$202-Driver!$F$202)*$BI$1,1)</f>
        <v/>
      </c>
      <c r="BM896" s="102">
        <f>MAX((CH896-Driver!$F$204)/(Driver!$G$204-Driver!$F$204)*$BI$1,1)</f>
        <v/>
      </c>
      <c r="BN896" s="102">
        <f>(CI896-Driver!$F$205)/(Driver!$G$205-Driver!$F$205)*$BI$1</f>
        <v/>
      </c>
      <c r="BO896" s="102">
        <f>(CK896-Driver!$F$207)/(Driver!$G$207-Driver!$F$207)*$BI$1</f>
        <v/>
      </c>
      <c r="BP896" s="102">
        <f>(CM896-Driver!$F$208)/(Driver!$G$208-Driver!$F$208)*$BI$1</f>
        <v/>
      </c>
      <c r="BQ896" s="102">
        <f>(CL896-Driver!$F$209)/(Driver!$G$209-Driver!$F$209)*$BI$1</f>
        <v/>
      </c>
      <c r="BR896" s="40" t="inlineStr">
        <is>
          <t>21/22</t>
        </is>
      </c>
      <c r="BS896" s="10" t="inlineStr">
        <is>
          <t xml:space="preserve"> Icelantic</t>
        </is>
      </c>
      <c r="BT896" s="11" t="inlineStr">
        <is>
          <t>Riveter 85</t>
        </is>
      </c>
      <c r="BU896" s="13" t="n">
        <v>162</v>
      </c>
      <c r="BV896" s="11" t="inlineStr">
        <is>
          <t xml:space="preserve"> Women's</t>
        </is>
      </c>
      <c r="BW896" s="13" t="n">
        <v>162</v>
      </c>
      <c r="BX896" s="13" t="n">
        <v>161.1</v>
      </c>
      <c r="BY896" s="13" t="n">
        <v>106</v>
      </c>
      <c r="BZ896" s="13" t="n">
        <v>131</v>
      </c>
      <c r="CA896" s="13" t="n">
        <v>120</v>
      </c>
      <c r="CB896" s="13" t="n">
        <v>84</v>
      </c>
      <c r="CC896" s="13" t="n">
        <v>107</v>
      </c>
      <c r="CD896" s="13" t="n">
        <v>14.6</v>
      </c>
      <c r="CE896" s="13" t="n">
        <v>1465</v>
      </c>
      <c r="CF896" s="13" t="n">
        <v>1.05</v>
      </c>
      <c r="CG896" s="13" t="n">
        <v>1542</v>
      </c>
      <c r="CH896" s="13" t="n">
        <v>162</v>
      </c>
      <c r="CI896" s="13" t="n">
        <v>73</v>
      </c>
      <c r="CJ896" s="13" t="n">
        <v>57</v>
      </c>
      <c r="CK896" s="13" t="n">
        <v>321</v>
      </c>
      <c r="CL896" s="13" t="n">
        <v>18</v>
      </c>
      <c r="CM896" s="13" t="n">
        <v>234</v>
      </c>
      <c r="CN896" s="13" t="n">
        <v>0.322</v>
      </c>
      <c r="CO896" s="13" t="n">
        <v>190</v>
      </c>
      <c r="CP896" s="13" t="n">
        <v>108</v>
      </c>
      <c r="CQ896" s="13" t="n">
        <v>131</v>
      </c>
      <c r="CR896" s="13" t="n">
        <v>5</v>
      </c>
      <c r="CS896" s="13" t="n">
        <v>8.4</v>
      </c>
      <c r="CT896" s="11" t="inlineStr">
        <is>
          <t xml:space="preserve"> On-Piste All-Mountain</t>
        </is>
      </c>
      <c r="CU896" s="11" t="inlineStr">
        <is>
          <t xml:space="preserve"> Resort Freeride</t>
        </is>
      </c>
      <c r="CV896" s="11" t="inlineStr">
        <is>
          <t xml:space="preserve"> Touring</t>
        </is>
      </c>
      <c r="CW896" s="13" t="n"/>
      <c r="CX896">
        <f>INDEX('Data_Price '!AG$2:AG$1266,MATCH(Data!$DN896,'Data_Price '!$AT$2:$AT$1266,0))</f>
        <v/>
      </c>
      <c r="CY896">
        <f>INDEX('Data_Price '!AH$2:AH$1266,MATCH(Data!$DN896,'Data_Price '!$AT$2:$AT$1266,0))</f>
        <v/>
      </c>
      <c r="CZ896">
        <f>INDEX('Data_Price '!AI$2:AI$1266,MATCH(Data!$DN896,'Data_Price '!$AT$2:$AT$1266,0))</f>
        <v/>
      </c>
      <c r="DA896">
        <f>INDEX('Data_Price '!AJ$2:AJ$1266,MATCH(Data!$DN896,'Data_Price '!$AT$2:$AT$1266,0))</f>
        <v/>
      </c>
      <c r="DB896">
        <f>INDEX('Data_Price '!AK$2:AK$1266,MATCH(Data!$DN896,'Data_Price '!$AT$2:$AT$1266,0))</f>
        <v/>
      </c>
      <c r="DC896">
        <f>INDEX('Data_Price '!AL$2:AL$1266,MATCH(Data!$DN896,'Data_Price '!$AT$2:$AT$1266,0))</f>
        <v/>
      </c>
      <c r="DD896">
        <f>INDEX('Data_Price '!AM$2:AM$1266,MATCH(Data!$DN896,'Data_Price '!$AT$2:$AT$1266,0))</f>
        <v/>
      </c>
      <c r="DE896">
        <f>INDEX('Data_Price '!AN$2:AN$1266,MATCH(Data!$DN896,'Data_Price '!$AT$2:$AT$1266,0))</f>
        <v/>
      </c>
      <c r="DF896">
        <f>INDEX('Data_Price '!AO$2:AO$1266,MATCH(Data!$DN896,'Data_Price '!$AT$2:$AT$1266,0))</f>
        <v/>
      </c>
      <c r="DG896">
        <f>INDEX('Data_Price '!AP$2:AP$1266,MATCH(Data!$DN896,'Data_Price '!$AT$2:$AT$1266,0))</f>
        <v/>
      </c>
      <c r="DH896">
        <f>INDEX('Data_Price '!AQ$2:AQ$1266,MATCH(Data!$DN896,'Data_Price '!$AT$2:$AT$1266,0))</f>
        <v/>
      </c>
      <c r="DI896">
        <f>INDEX('Data_Price '!AR$2:AR$1266,MATCH(Data!$DN896,'Data_Price '!$AT$2:$AT$1266,0))</f>
        <v/>
      </c>
      <c r="DJ896" s="138">
        <f>DA896</f>
        <v/>
      </c>
      <c r="DK896" s="138">
        <f>DE896</f>
        <v/>
      </c>
      <c r="DL896" s="138">
        <f>DI896</f>
        <v/>
      </c>
      <c r="DM896" s="303">
        <f>IF(LEFT(BT896,1)=" ",RIGHT(BT896,LEN(BT896)-1),BT896)</f>
        <v/>
      </c>
      <c r="DN896" s="138">
        <f>_xlfn.CONCAT(BS896,DM896,BU896,BV896)</f>
        <v/>
      </c>
      <c r="DO896" s="307" t="inlineStr">
        <is>
          <t>https://images.evo.com/imgp/250/208409/833112/clone.jpg</t>
        </is>
      </c>
    </row>
    <row r="897" ht="15.6" customHeight="1" s="184">
      <c r="B897" s="303">
        <f t="array" ref="B897">IF(OR(ISERROR(K897:P897)),FALSE,TRUE)</f>
        <v/>
      </c>
      <c r="C897" s="60">
        <f>OR(BR897=Driver!$G$50,Data!BR359=Driver!$H$50)</f>
        <v/>
      </c>
      <c r="D897" s="60">
        <f>OR(BV897=Driver!$G$51,BV897=Driver!$H$51)</f>
        <v/>
      </c>
      <c r="E897" s="60">
        <f>AND(BX897&gt;Driver!$F$54,BX897&lt;Driver!$G$54)</f>
        <v/>
      </c>
      <c r="F897" s="60">
        <f>CL897&gt;Driver!$F$56</f>
        <v/>
      </c>
      <c r="G897" s="60">
        <f>AND(CB897&gt;Driver!$F$55,CB897&lt;Driver!$G$55)</f>
        <v/>
      </c>
      <c r="H897" s="60">
        <f>AND(B897:G897)</f>
        <v/>
      </c>
      <c r="I897" s="60">
        <f>COUNTIFS($H$9:$H$1273,TRUE,$BT$9:$BT$1273,BT897)</f>
        <v/>
      </c>
      <c r="J897" s="60">
        <f t="array" ref="J897">NOT(OR(($H$9:$H$1273=TRUE)*($I$9:$I$1273&gt;0)*($BT$9:$BT$1273=BT897)*($K$9:$K$1273&gt;K897)))</f>
        <v/>
      </c>
      <c r="K897" s="108">
        <f>IFERROR(1-AVERAGE(X897:Y897),"")</f>
        <v/>
      </c>
      <c r="L897" s="108">
        <f>1-X897</f>
        <v/>
      </c>
      <c r="M897" s="108">
        <f>1-Y897</f>
        <v/>
      </c>
      <c r="N897" s="108">
        <f>1-Z897</f>
        <v/>
      </c>
      <c r="O897" s="108">
        <f>1-AA897</f>
        <v/>
      </c>
      <c r="P897" s="108">
        <f>1-AB897</f>
        <v/>
      </c>
      <c r="Q897" s="108" t="n"/>
      <c r="R897" s="108" t="n"/>
      <c r="S897" s="108">
        <f>1-AE897</f>
        <v/>
      </c>
      <c r="T897" s="108">
        <f>1-AF897</f>
        <v/>
      </c>
      <c r="U897" s="108">
        <f>1-AG897</f>
        <v/>
      </c>
      <c r="V897" s="108">
        <f>1-AH897</f>
        <v/>
      </c>
      <c r="W897" s="108">
        <f>1-AI897</f>
        <v/>
      </c>
      <c r="X897" s="108">
        <f>ABS(AJ897-AJ$1)</f>
        <v/>
      </c>
      <c r="Y897" s="108">
        <f>AVERAGE(Z897:AB897)</f>
        <v/>
      </c>
      <c r="Z897" s="108">
        <f>ABS(AL897-AL$1)</f>
        <v/>
      </c>
      <c r="AA897" s="108">
        <f>ABS(AM897-AM$1)</f>
        <v/>
      </c>
      <c r="AB897" s="108">
        <f>ABS(AN897-AN$1)</f>
        <v/>
      </c>
      <c r="AC897" s="108" t="n"/>
      <c r="AD897" s="108" t="n"/>
      <c r="AE897" s="108">
        <f>ABS(AQ$1-AQ897)</f>
        <v/>
      </c>
      <c r="AF897" s="108">
        <f>ABS(AR$1-AR897)</f>
        <v/>
      </c>
      <c r="AG897" s="108">
        <f>ABS(AS$1-AS897)</f>
        <v/>
      </c>
      <c r="AH897" s="108">
        <f>ABS(AT$1-AT897)</f>
        <v/>
      </c>
      <c r="AI897" s="108">
        <f>ABS(AU$1-AU897)</f>
        <v/>
      </c>
      <c r="AJ897" s="108">
        <f>(AV897-Driver!$K$179)/(Driver!$L$179-Driver!$K$179)</f>
        <v/>
      </c>
      <c r="AK897" s="108">
        <f>(AW897-Driver!$K$180)/(Driver!$L$180-Driver!$K$180)</f>
        <v/>
      </c>
      <c r="AL897" s="108">
        <f>(AX897-Driver!$K$181)/(Driver!$L$181-Driver!$K$181)</f>
        <v/>
      </c>
      <c r="AM897" s="108">
        <f>(AY897-Driver!$K$182)/(Driver!$L$182-Driver!$K$182)</f>
        <v/>
      </c>
      <c r="AN897" s="108">
        <f>(AZ897-Driver!$K$183)/(Driver!$L$183-Driver!$K$183)</f>
        <v/>
      </c>
      <c r="AO897" s="108" t="n"/>
      <c r="AP897" s="108" t="n"/>
      <c r="AQ897" s="108">
        <f>(BC897-Driver!$K$188)/(Driver!$L$188-Driver!$K$188)</f>
        <v/>
      </c>
      <c r="AR897" s="108">
        <f>MIN((BD897-Driver!$K$189)/(Driver!$L$189-Driver!$K$189),100%)</f>
        <v/>
      </c>
      <c r="AS897" s="108">
        <f>(BE897-Driver!$K$190)/(Driver!$L$190-Driver!$K$190)</f>
        <v/>
      </c>
      <c r="AT897" s="108">
        <f>(BF897-Driver!$K$191)/(Driver!$L$191-Driver!$K$191)</f>
        <v/>
      </c>
      <c r="AU897" s="108">
        <f>(BG897-Driver!$K$192)/(Driver!$L$192-Driver!$K$192)</f>
        <v/>
      </c>
      <c r="AV897" s="105">
        <f>IFERROR(BM897*BJ897^1/4,"")</f>
        <v/>
      </c>
      <c r="AW897" s="105">
        <f>IFERROR(SUM(AX897:AZ897),"")</f>
        <v/>
      </c>
      <c r="AX897" s="105">
        <f>IFERROR(BH897,"")</f>
        <v/>
      </c>
      <c r="AY897" s="105">
        <f>IFERROR(Driver!$K$19/Data!BH897/Data!BI897*Data!BK897*Data!BL897,"")</f>
        <v/>
      </c>
      <c r="AZ897" s="105">
        <f>IFERROR(BI897*BN897,"")</f>
        <v/>
      </c>
      <c r="BA897" s="105" t="n"/>
      <c r="BB897" s="105" t="n"/>
      <c r="BC897" s="105">
        <f>IFERROR(BI897*BN897*BK897/BJ897^(1/2),"")</f>
        <v/>
      </c>
      <c r="BD897" s="105">
        <f>IFERROR(BH897*BM897*BL897/BJ897/BK897,"")</f>
        <v/>
      </c>
      <c r="BE897" s="105">
        <f>IFERROR(MIN(BI897/BQ897/BP897/BO897/BH897,$BE$1),"")</f>
        <v/>
      </c>
      <c r="BF897" s="105">
        <f>IFERROR(BJ897*BO897*BP897/BK897,"")</f>
        <v/>
      </c>
      <c r="BG897" s="105">
        <f>IFERROR(1/BM897/BH897*BQ897,"")</f>
        <v/>
      </c>
      <c r="BH897" s="102">
        <f>MAX((CE897-Driver!$F$200)/(Driver!$G$200-Driver!$F$200)*$BI$1,1)</f>
        <v/>
      </c>
      <c r="BI897" s="102">
        <f>MAX($BI$1*(BY897-Driver!$F$201)/(Driver!$G$201-Driver!$F$201),1)</f>
        <v/>
      </c>
      <c r="BJ897" s="102">
        <f>(CB897-Driver!$F$206)/(Driver!$G$206-Driver!$F$206)*$BI$1</f>
        <v/>
      </c>
      <c r="BK897" s="102">
        <f>(CD897-Driver!$F$203)/(Driver!$G$203-Driver!$F$203)*$BI$1</f>
        <v/>
      </c>
      <c r="BL897" s="102">
        <f>MAX((CR897-Driver!$F$202)/(Driver!$G$202-Driver!$F$202)*$BI$1,1)</f>
        <v/>
      </c>
      <c r="BM897" s="102">
        <f>MAX((CH897-Driver!$F$204)/(Driver!$G$204-Driver!$F$204)*$BI$1,1)</f>
        <v/>
      </c>
      <c r="BN897" s="102">
        <f>(CI897-Driver!$F$205)/(Driver!$G$205-Driver!$F$205)*$BI$1</f>
        <v/>
      </c>
      <c r="BO897" s="102">
        <f>(CK897-Driver!$F$207)/(Driver!$G$207-Driver!$F$207)*$BI$1</f>
        <v/>
      </c>
      <c r="BP897" s="102">
        <f>(CM897-Driver!$F$208)/(Driver!$G$208-Driver!$F$208)*$BI$1</f>
        <v/>
      </c>
      <c r="BQ897" s="102">
        <f>(CL897-Driver!$F$209)/(Driver!$G$209-Driver!$F$209)*$BI$1</f>
        <v/>
      </c>
      <c r="BR897" s="40" t="inlineStr">
        <is>
          <t>21/22</t>
        </is>
      </c>
      <c r="BS897" s="10" t="inlineStr">
        <is>
          <t xml:space="preserve"> DPS</t>
        </is>
      </c>
      <c r="BT897" s="11" t="inlineStr">
        <is>
          <t>Pagoda Tour 112 RP</t>
        </is>
      </c>
      <c r="BU897" s="13" t="n">
        <v>158</v>
      </c>
      <c r="BV897" s="11" t="inlineStr">
        <is>
          <t xml:space="preserve"> Unisex</t>
        </is>
      </c>
      <c r="BW897" s="13" t="n">
        <v>158</v>
      </c>
      <c r="BX897" s="13" t="n">
        <v>156.5</v>
      </c>
      <c r="BY897" s="13" t="n">
        <v>91</v>
      </c>
      <c r="BZ897" s="13" t="n">
        <v>104</v>
      </c>
      <c r="CA897" s="13" t="n">
        <v>133</v>
      </c>
      <c r="CB897" s="13" t="n">
        <v>111</v>
      </c>
      <c r="CC897" s="13" t="n">
        <v>121</v>
      </c>
      <c r="CD897" s="13" t="n">
        <v>15.2</v>
      </c>
      <c r="CE897" s="13" t="n">
        <v>1294</v>
      </c>
      <c r="CF897" s="13" t="n">
        <v>1.42</v>
      </c>
      <c r="CG897" s="13" t="n">
        <v>1841</v>
      </c>
      <c r="CH897" s="13" t="n">
        <v>153</v>
      </c>
      <c r="CI897" s="13" t="n">
        <v>86</v>
      </c>
      <c r="CJ897" s="13" t="n">
        <v>62</v>
      </c>
      <c r="CK897" s="13" t="n">
        <v>374</v>
      </c>
      <c r="CL897" s="13" t="n">
        <v>31</v>
      </c>
      <c r="CM897" s="13" t="n">
        <v>282</v>
      </c>
      <c r="CN897" s="13" t="n">
        <v>0.491</v>
      </c>
      <c r="CO897" s="13" t="n">
        <v>312</v>
      </c>
      <c r="CP897" s="13" t="n">
        <v>212</v>
      </c>
      <c r="CQ897" s="13" t="n">
        <v>62</v>
      </c>
      <c r="CR897" s="13" t="n">
        <v>4</v>
      </c>
      <c r="CS897" s="13" t="n">
        <v>13.5</v>
      </c>
      <c r="CT897" s="11" t="inlineStr">
        <is>
          <t xml:space="preserve"> Powder</t>
        </is>
      </c>
      <c r="CU897" s="11" t="inlineStr">
        <is>
          <t xml:space="preserve"> Touring</t>
        </is>
      </c>
      <c r="CV897" s="11" t="inlineStr">
        <is>
          <t xml:space="preserve"> Ultralight Touring</t>
        </is>
      </c>
      <c r="CW897" s="13" t="n"/>
      <c r="CX897">
        <f>INDEX('Data_Price '!AG$2:AG$1266,MATCH(Data!$DN897,'Data_Price '!$AT$2:$AT$1266,0))</f>
        <v/>
      </c>
      <c r="CY897">
        <f>INDEX('Data_Price '!AH$2:AH$1266,MATCH(Data!$DN897,'Data_Price '!$AT$2:$AT$1266,0))</f>
        <v/>
      </c>
      <c r="CZ897">
        <f>INDEX('Data_Price '!AI$2:AI$1266,MATCH(Data!$DN897,'Data_Price '!$AT$2:$AT$1266,0))</f>
        <v/>
      </c>
      <c r="DA897">
        <f>INDEX('Data_Price '!AJ$2:AJ$1266,MATCH(Data!$DN897,'Data_Price '!$AT$2:$AT$1266,0))</f>
        <v/>
      </c>
      <c r="DB897">
        <f>INDEX('Data_Price '!AK$2:AK$1266,MATCH(Data!$DN897,'Data_Price '!$AT$2:$AT$1266,0))</f>
        <v/>
      </c>
      <c r="DC897">
        <f>INDEX('Data_Price '!AL$2:AL$1266,MATCH(Data!$DN897,'Data_Price '!$AT$2:$AT$1266,0))</f>
        <v/>
      </c>
      <c r="DD897">
        <f>INDEX('Data_Price '!AM$2:AM$1266,MATCH(Data!$DN897,'Data_Price '!$AT$2:$AT$1266,0))</f>
        <v/>
      </c>
      <c r="DE897">
        <f>INDEX('Data_Price '!AN$2:AN$1266,MATCH(Data!$DN897,'Data_Price '!$AT$2:$AT$1266,0))</f>
        <v/>
      </c>
      <c r="DF897">
        <f>INDEX('Data_Price '!AO$2:AO$1266,MATCH(Data!$DN897,'Data_Price '!$AT$2:$AT$1266,0))</f>
        <v/>
      </c>
      <c r="DG897">
        <f>INDEX('Data_Price '!AP$2:AP$1266,MATCH(Data!$DN897,'Data_Price '!$AT$2:$AT$1266,0))</f>
        <v/>
      </c>
      <c r="DH897">
        <f>INDEX('Data_Price '!AQ$2:AQ$1266,MATCH(Data!$DN897,'Data_Price '!$AT$2:$AT$1266,0))</f>
        <v/>
      </c>
      <c r="DI897">
        <f>INDEX('Data_Price '!AR$2:AR$1266,MATCH(Data!$DN897,'Data_Price '!$AT$2:$AT$1266,0))</f>
        <v/>
      </c>
      <c r="DJ897" s="138">
        <f>DA897</f>
        <v/>
      </c>
      <c r="DK897" s="138">
        <f>DE897</f>
        <v/>
      </c>
      <c r="DL897" s="138">
        <f>DI897</f>
        <v/>
      </c>
      <c r="DM897" s="303">
        <f>IF(LEFT(BT897,1)=" ",RIGHT(BT897,LEN(BT897)-1),BT897)</f>
        <v/>
      </c>
      <c r="DN897" s="138">
        <f>_xlfn.CONCAT(BS897,DM897,BU897,BV897)</f>
        <v/>
      </c>
      <c r="DO897" s="307" t="inlineStr">
        <is>
          <t>https://images.evo.com/imgp/250/183639/728542/dps-pagoda-tour-112-rp-skis-2022-.jpg</t>
        </is>
      </c>
    </row>
    <row r="898" ht="15.6" customHeight="1" s="184">
      <c r="B898" s="303">
        <f t="array" ref="B898">IF(OR(ISERROR(K898:P898)),FALSE,TRUE)</f>
        <v/>
      </c>
      <c r="C898" s="60">
        <f>OR(BR898=Driver!$G$50,Data!BR969=Driver!$H$50)</f>
        <v/>
      </c>
      <c r="D898" s="60">
        <f>OR(BV898=Driver!$G$51,BV898=Driver!$H$51)</f>
        <v/>
      </c>
      <c r="E898" s="60">
        <f>AND(BX898&gt;Driver!$F$54,BX898&lt;Driver!$G$54)</f>
        <v/>
      </c>
      <c r="F898" s="60">
        <f>CL898&gt;Driver!$F$56</f>
        <v/>
      </c>
      <c r="G898" s="60">
        <f>AND(CB898&gt;Driver!$F$55,CB898&lt;Driver!$G$55)</f>
        <v/>
      </c>
      <c r="H898" s="60">
        <f>AND(B898:G898)</f>
        <v/>
      </c>
      <c r="I898" s="60">
        <f>COUNTIFS($H$9:$H$1273,TRUE,$BT$9:$BT$1273,BT898)</f>
        <v/>
      </c>
      <c r="J898" s="60">
        <f t="array" ref="J898">NOT(OR(($H$9:$H$1273=TRUE)*($I$9:$I$1273&gt;0)*($BT$9:$BT$1273=BT898)*($K$9:$K$1273&gt;K898)))</f>
        <v/>
      </c>
      <c r="K898" s="108">
        <f>IFERROR(1-AVERAGE(X898:Y898),"")</f>
        <v/>
      </c>
      <c r="L898" s="108">
        <f>1-X898</f>
        <v/>
      </c>
      <c r="M898" s="108">
        <f>1-Y898</f>
        <v/>
      </c>
      <c r="N898" s="108">
        <f>1-Z898</f>
        <v/>
      </c>
      <c r="O898" s="108">
        <f>1-AA898</f>
        <v/>
      </c>
      <c r="P898" s="108">
        <f>1-AB898</f>
        <v/>
      </c>
      <c r="Q898" s="108" t="n"/>
      <c r="R898" s="108" t="n"/>
      <c r="S898" s="108">
        <f>1-AE898</f>
        <v/>
      </c>
      <c r="T898" s="108">
        <f>1-AF898</f>
        <v/>
      </c>
      <c r="U898" s="108">
        <f>1-AG898</f>
        <v/>
      </c>
      <c r="V898" s="108">
        <f>1-AH898</f>
        <v/>
      </c>
      <c r="W898" s="108">
        <f>1-AI898</f>
        <v/>
      </c>
      <c r="X898" s="108">
        <f>ABS(AJ898-AJ$1)</f>
        <v/>
      </c>
      <c r="Y898" s="108">
        <f>AVERAGE(Z898:AB898)</f>
        <v/>
      </c>
      <c r="Z898" s="108">
        <f>ABS(AL898-AL$1)</f>
        <v/>
      </c>
      <c r="AA898" s="108">
        <f>ABS(AM898-AM$1)</f>
        <v/>
      </c>
      <c r="AB898" s="108">
        <f>ABS(AN898-AN$1)</f>
        <v/>
      </c>
      <c r="AC898" s="108" t="n"/>
      <c r="AD898" s="108" t="n"/>
      <c r="AE898" s="108">
        <f>ABS(AQ$1-AQ898)</f>
        <v/>
      </c>
      <c r="AF898" s="108">
        <f>ABS(AR$1-AR898)</f>
        <v/>
      </c>
      <c r="AG898" s="108">
        <f>ABS(AS$1-AS898)</f>
        <v/>
      </c>
      <c r="AH898" s="108">
        <f>ABS(AT$1-AT898)</f>
        <v/>
      </c>
      <c r="AI898" s="108">
        <f>ABS(AU$1-AU898)</f>
        <v/>
      </c>
      <c r="AJ898" s="108">
        <f>(AV898-Driver!$K$179)/(Driver!$L$179-Driver!$K$179)</f>
        <v/>
      </c>
      <c r="AK898" s="108">
        <f>(AW898-Driver!$K$180)/(Driver!$L$180-Driver!$K$180)</f>
        <v/>
      </c>
      <c r="AL898" s="108">
        <f>(AX898-Driver!$K$181)/(Driver!$L$181-Driver!$K$181)</f>
        <v/>
      </c>
      <c r="AM898" s="108">
        <f>(AY898-Driver!$K$182)/(Driver!$L$182-Driver!$K$182)</f>
        <v/>
      </c>
      <c r="AN898" s="108">
        <f>(AZ898-Driver!$K$183)/(Driver!$L$183-Driver!$K$183)</f>
        <v/>
      </c>
      <c r="AO898" s="108" t="n"/>
      <c r="AP898" s="108" t="n"/>
      <c r="AQ898" s="108">
        <f>(BC898-Driver!$K$188)/(Driver!$L$188-Driver!$K$188)</f>
        <v/>
      </c>
      <c r="AR898" s="108">
        <f>MIN((BD898-Driver!$K$189)/(Driver!$L$189-Driver!$K$189),100%)</f>
        <v/>
      </c>
      <c r="AS898" s="108">
        <f>(BE898-Driver!$K$190)/(Driver!$L$190-Driver!$K$190)</f>
        <v/>
      </c>
      <c r="AT898" s="108">
        <f>(BF898-Driver!$K$191)/(Driver!$L$191-Driver!$K$191)</f>
        <v/>
      </c>
      <c r="AU898" s="108">
        <f>(BG898-Driver!$K$192)/(Driver!$L$192-Driver!$K$192)</f>
        <v/>
      </c>
      <c r="AV898" s="105">
        <f>IFERROR(BM898*BJ898^1/4,"")</f>
        <v/>
      </c>
      <c r="AW898" s="105">
        <f>IFERROR(SUM(AX898:AZ898),"")</f>
        <v/>
      </c>
      <c r="AX898" s="105">
        <f>IFERROR(BH898,"")</f>
        <v/>
      </c>
      <c r="AY898" s="105">
        <f>IFERROR(Driver!$K$19/Data!BH898/Data!BI898*Data!BK898*Data!BL898,"")</f>
        <v/>
      </c>
      <c r="AZ898" s="105">
        <f>IFERROR(BI898*BN898,"")</f>
        <v/>
      </c>
      <c r="BA898" s="105" t="n"/>
      <c r="BB898" s="105" t="n"/>
      <c r="BC898" s="105">
        <f>IFERROR(BI898*BN898*BK898/BJ898^(1/2),"")</f>
        <v/>
      </c>
      <c r="BD898" s="105">
        <f>IFERROR(BH898*BM898*BL898/BJ898/BK898,"")</f>
        <v/>
      </c>
      <c r="BE898" s="105">
        <f>IFERROR(MIN(BI898/BQ898/BP898/BO898/BH898,$BE$1),"")</f>
        <v/>
      </c>
      <c r="BF898" s="105">
        <f>IFERROR(BJ898*BO898*BP898/BK898,"")</f>
        <v/>
      </c>
      <c r="BG898" s="105">
        <f>IFERROR(1/BM898/BH898*BQ898,"")</f>
        <v/>
      </c>
      <c r="BH898" s="102">
        <f>MAX((CE898-Driver!$F$200)/(Driver!$G$200-Driver!$F$200)*$BI$1,1)</f>
        <v/>
      </c>
      <c r="BI898" s="102">
        <f>MAX($BI$1*(BY898-Driver!$F$201)/(Driver!$G$201-Driver!$F$201),1)</f>
        <v/>
      </c>
      <c r="BJ898" s="102">
        <f>(CB898-Driver!$F$206)/(Driver!$G$206-Driver!$F$206)*$BI$1</f>
        <v/>
      </c>
      <c r="BK898" s="102">
        <f>(CD898-Driver!$F$203)/(Driver!$G$203-Driver!$F$203)*$BI$1</f>
        <v/>
      </c>
      <c r="BL898" s="102">
        <f>MAX((CR898-Driver!$F$202)/(Driver!$G$202-Driver!$F$202)*$BI$1,1)</f>
        <v/>
      </c>
      <c r="BM898" s="102">
        <f>MAX((CH898-Driver!$F$204)/(Driver!$G$204-Driver!$F$204)*$BI$1,1)</f>
        <v/>
      </c>
      <c r="BN898" s="102">
        <f>(CI898-Driver!$F$205)/(Driver!$G$205-Driver!$F$205)*$BI$1</f>
        <v/>
      </c>
      <c r="BO898" s="102">
        <f>(CK898-Driver!$F$207)/(Driver!$G$207-Driver!$F$207)*$BI$1</f>
        <v/>
      </c>
      <c r="BP898" s="102">
        <f>(CM898-Driver!$F$208)/(Driver!$G$208-Driver!$F$208)*$BI$1</f>
        <v/>
      </c>
      <c r="BQ898" s="102">
        <f>(CL898-Driver!$F$209)/(Driver!$G$209-Driver!$F$209)*$BI$1</f>
        <v/>
      </c>
      <c r="BR898" s="40" t="inlineStr">
        <is>
          <t>21/22</t>
        </is>
      </c>
      <c r="BS898" s="10" t="inlineStr">
        <is>
          <t xml:space="preserve"> Rossignol</t>
        </is>
      </c>
      <c r="BT898" s="11" t="inlineStr">
        <is>
          <t xml:space="preserve"> Blackops Dreamer W</t>
        </is>
      </c>
      <c r="BU898" s="13" t="n">
        <v>160</v>
      </c>
      <c r="BV898" s="11" t="inlineStr">
        <is>
          <t xml:space="preserve"> Women's</t>
        </is>
      </c>
      <c r="BW898" s="13" t="n">
        <v>160</v>
      </c>
      <c r="BX898" s="13" t="n">
        <v>158.5</v>
      </c>
      <c r="BY898" s="13" t="n">
        <v>111</v>
      </c>
      <c r="BZ898" s="13" t="n">
        <v>133</v>
      </c>
      <c r="CA898" s="13" t="n">
        <v>117</v>
      </c>
      <c r="CB898" s="13" t="n">
        <v>89</v>
      </c>
      <c r="CC898" s="13" t="n">
        <v>107</v>
      </c>
      <c r="CD898" s="13" t="n">
        <v>20.8</v>
      </c>
      <c r="CE898" s="13" t="n">
        <v>1764</v>
      </c>
      <c r="CF898" s="13" t="n">
        <v>0.87</v>
      </c>
      <c r="CG898" s="13" t="n">
        <v>1541</v>
      </c>
      <c r="CH898" s="13" t="n">
        <v>153</v>
      </c>
      <c r="CI898" s="13" t="n">
        <v>59</v>
      </c>
      <c r="CJ898" s="13" t="n">
        <v>51</v>
      </c>
      <c r="CK898" s="13" t="n">
        <v>261</v>
      </c>
      <c r="CL898" s="13" t="n">
        <v>29</v>
      </c>
      <c r="CM898" s="13" t="n">
        <v>214</v>
      </c>
      <c r="CN898" s="13" t="n">
        <v>0.5669999999999999</v>
      </c>
      <c r="CO898" s="13" t="n">
        <v>126</v>
      </c>
      <c r="CP898" s="13" t="n">
        <v>133</v>
      </c>
      <c r="CQ898" s="13" t="n">
        <v>135</v>
      </c>
      <c r="CR898" s="13" t="n">
        <v>7</v>
      </c>
      <c r="CS898" s="13" t="n">
        <v>5.3</v>
      </c>
      <c r="CT898" s="11" t="inlineStr">
        <is>
          <t xml:space="preserve"> Resort Freeride</t>
        </is>
      </c>
      <c r="CU898" s="13" t="n"/>
      <c r="CV898" s="13" t="n"/>
      <c r="CW898" s="13" t="n"/>
      <c r="CX898">
        <f>INDEX('Data_Price '!AG$2:AG$1266,MATCH(Data!$DN898,'Data_Price '!$AT$2:$AT$1266,0))</f>
        <v/>
      </c>
      <c r="CY898">
        <f>INDEX('Data_Price '!AH$2:AH$1266,MATCH(Data!$DN898,'Data_Price '!$AT$2:$AT$1266,0))</f>
        <v/>
      </c>
      <c r="CZ898">
        <f>INDEX('Data_Price '!AI$2:AI$1266,MATCH(Data!$DN898,'Data_Price '!$AT$2:$AT$1266,0))</f>
        <v/>
      </c>
      <c r="DA898">
        <f>INDEX('Data_Price '!AJ$2:AJ$1266,MATCH(Data!$DN898,'Data_Price '!$AT$2:$AT$1266,0))</f>
        <v/>
      </c>
      <c r="DB898">
        <f>INDEX('Data_Price '!AK$2:AK$1266,MATCH(Data!$DN898,'Data_Price '!$AT$2:$AT$1266,0))</f>
        <v/>
      </c>
      <c r="DC898">
        <f>INDEX('Data_Price '!AL$2:AL$1266,MATCH(Data!$DN898,'Data_Price '!$AT$2:$AT$1266,0))</f>
        <v/>
      </c>
      <c r="DD898">
        <f>INDEX('Data_Price '!AM$2:AM$1266,MATCH(Data!$DN898,'Data_Price '!$AT$2:$AT$1266,0))</f>
        <v/>
      </c>
      <c r="DE898">
        <f>INDEX('Data_Price '!AN$2:AN$1266,MATCH(Data!$DN898,'Data_Price '!$AT$2:$AT$1266,0))</f>
        <v/>
      </c>
      <c r="DF898">
        <f>INDEX('Data_Price '!AO$2:AO$1266,MATCH(Data!$DN898,'Data_Price '!$AT$2:$AT$1266,0))</f>
        <v/>
      </c>
      <c r="DG898">
        <f>INDEX('Data_Price '!AP$2:AP$1266,MATCH(Data!$DN898,'Data_Price '!$AT$2:$AT$1266,0))</f>
        <v/>
      </c>
      <c r="DH898">
        <f>INDEX('Data_Price '!AQ$2:AQ$1266,MATCH(Data!$DN898,'Data_Price '!$AT$2:$AT$1266,0))</f>
        <v/>
      </c>
      <c r="DI898">
        <f>INDEX('Data_Price '!AR$2:AR$1266,MATCH(Data!$DN898,'Data_Price '!$AT$2:$AT$1266,0))</f>
        <v/>
      </c>
      <c r="DJ898" s="138">
        <f>DA898</f>
        <v/>
      </c>
      <c r="DK898" s="138">
        <f>DE898</f>
        <v/>
      </c>
      <c r="DL898" s="138">
        <f>DI898</f>
        <v/>
      </c>
      <c r="DM898" s="303">
        <f>IF(LEFT(BT898,1)=" ",RIGHT(BT898,LEN(BT898)-1),BT898)</f>
        <v/>
      </c>
      <c r="DN898" s="138">
        <f>_xlfn.CONCAT(BS898,DM898,BU898,BV898)</f>
        <v/>
      </c>
      <c r="DO898" s="307" t="n"/>
    </row>
    <row r="899" ht="15.6" customHeight="1" s="184">
      <c r="B899" s="303">
        <f t="array" ref="B899">IF(OR(ISERROR(K899:P899)),FALSE,TRUE)</f>
        <v/>
      </c>
      <c r="C899" s="60">
        <f>OR(BR899=Driver!$G$50,Data!BR275=Driver!$H$50)</f>
        <v/>
      </c>
      <c r="D899" s="60">
        <f>OR(BV899=Driver!$G$51,BV899=Driver!$H$51)</f>
        <v/>
      </c>
      <c r="E899" s="60">
        <f>AND(BX899&gt;Driver!$F$54,BX899&lt;Driver!$G$54)</f>
        <v/>
      </c>
      <c r="F899" s="60">
        <f>CL899&gt;Driver!$F$56</f>
        <v/>
      </c>
      <c r="G899" s="60">
        <f>AND(CB899&gt;Driver!$F$55,CB899&lt;Driver!$G$55)</f>
        <v/>
      </c>
      <c r="H899" s="60">
        <f>AND(B899:G899)</f>
        <v/>
      </c>
      <c r="I899" s="60">
        <f>COUNTIFS($H$9:$H$1273,TRUE,$BT$9:$BT$1273,BT899)</f>
        <v/>
      </c>
      <c r="J899" s="60">
        <f t="array" ref="J899">NOT(OR(($H$9:$H$1273=TRUE)*($I$9:$I$1273&gt;0)*($BT$9:$BT$1273=BT899)*($K$9:$K$1273&gt;K899)))</f>
        <v/>
      </c>
      <c r="K899" s="108">
        <f>IFERROR(1-AVERAGE(X899:Y899),"")</f>
        <v/>
      </c>
      <c r="L899" s="108">
        <f>1-X899</f>
        <v/>
      </c>
      <c r="M899" s="108">
        <f>1-Y899</f>
        <v/>
      </c>
      <c r="N899" s="108">
        <f>1-Z899</f>
        <v/>
      </c>
      <c r="O899" s="108">
        <f>1-AA899</f>
        <v/>
      </c>
      <c r="P899" s="108">
        <f>1-AB899</f>
        <v/>
      </c>
      <c r="Q899" s="108" t="n"/>
      <c r="R899" s="108" t="n"/>
      <c r="S899" s="108">
        <f>1-AE899</f>
        <v/>
      </c>
      <c r="T899" s="108">
        <f>1-AF899</f>
        <v/>
      </c>
      <c r="U899" s="108">
        <f>1-AG899</f>
        <v/>
      </c>
      <c r="V899" s="108">
        <f>1-AH899</f>
        <v/>
      </c>
      <c r="W899" s="108">
        <f>1-AI899</f>
        <v/>
      </c>
      <c r="X899" s="108">
        <f>ABS(AJ899-AJ$1)</f>
        <v/>
      </c>
      <c r="Y899" s="108">
        <f>AVERAGE(Z899:AB899)</f>
        <v/>
      </c>
      <c r="Z899" s="108">
        <f>ABS(AL899-AL$1)</f>
        <v/>
      </c>
      <c r="AA899" s="108">
        <f>ABS(AM899-AM$1)</f>
        <v/>
      </c>
      <c r="AB899" s="108">
        <f>ABS(AN899-AN$1)</f>
        <v/>
      </c>
      <c r="AC899" s="108" t="n"/>
      <c r="AD899" s="108" t="n"/>
      <c r="AE899" s="108">
        <f>ABS(AQ$1-AQ899)</f>
        <v/>
      </c>
      <c r="AF899" s="108">
        <f>ABS(AR$1-AR899)</f>
        <v/>
      </c>
      <c r="AG899" s="108">
        <f>ABS(AS$1-AS899)</f>
        <v/>
      </c>
      <c r="AH899" s="108">
        <f>ABS(AT$1-AT899)</f>
        <v/>
      </c>
      <c r="AI899" s="108">
        <f>ABS(AU$1-AU899)</f>
        <v/>
      </c>
      <c r="AJ899" s="108">
        <f>(AV899-Driver!$K$179)/(Driver!$L$179-Driver!$K$179)</f>
        <v/>
      </c>
      <c r="AK899" s="108">
        <f>(AW899-Driver!$K$180)/(Driver!$L$180-Driver!$K$180)</f>
        <v/>
      </c>
      <c r="AL899" s="108">
        <f>(AX899-Driver!$K$181)/(Driver!$L$181-Driver!$K$181)</f>
        <v/>
      </c>
      <c r="AM899" s="108">
        <f>(AY899-Driver!$K$182)/(Driver!$L$182-Driver!$K$182)</f>
        <v/>
      </c>
      <c r="AN899" s="108">
        <f>(AZ899-Driver!$K$183)/(Driver!$L$183-Driver!$K$183)</f>
        <v/>
      </c>
      <c r="AO899" s="108" t="n"/>
      <c r="AP899" s="108" t="n"/>
      <c r="AQ899" s="108">
        <f>(BC899-Driver!$K$188)/(Driver!$L$188-Driver!$K$188)</f>
        <v/>
      </c>
      <c r="AR899" s="108">
        <f>MIN((BD899-Driver!$K$189)/(Driver!$L$189-Driver!$K$189),100%)</f>
        <v/>
      </c>
      <c r="AS899" s="108">
        <f>(BE899-Driver!$K$190)/(Driver!$L$190-Driver!$K$190)</f>
        <v/>
      </c>
      <c r="AT899" s="108">
        <f>(BF899-Driver!$K$191)/(Driver!$L$191-Driver!$K$191)</f>
        <v/>
      </c>
      <c r="AU899" s="108">
        <f>(BG899-Driver!$K$192)/(Driver!$L$192-Driver!$K$192)</f>
        <v/>
      </c>
      <c r="AV899" s="105">
        <f>IFERROR(BM899*BJ899^1/4,"")</f>
        <v/>
      </c>
      <c r="AW899" s="105">
        <f>IFERROR(SUM(AX899:AZ899),"")</f>
        <v/>
      </c>
      <c r="AX899" s="105">
        <f>IFERROR(BH899,"")</f>
        <v/>
      </c>
      <c r="AY899" s="105">
        <f>IFERROR(Driver!$K$19/Data!BH899/Data!BI899*Data!BK899*Data!BL899,"")</f>
        <v/>
      </c>
      <c r="AZ899" s="105">
        <f>IFERROR(BI899*BN899,"")</f>
        <v/>
      </c>
      <c r="BA899" s="105" t="n"/>
      <c r="BB899" s="105" t="n"/>
      <c r="BC899" s="105">
        <f>IFERROR(BI899*BN899*BK899/BJ899^(1/2),"")</f>
        <v/>
      </c>
      <c r="BD899" s="105">
        <f>IFERROR(BH899*BM899*BL899/BJ899/BK899,"")</f>
        <v/>
      </c>
      <c r="BE899" s="105">
        <f>IFERROR(MIN(BI899/BQ899/BP899/BO899/BH899,$BE$1),"")</f>
        <v/>
      </c>
      <c r="BF899" s="105">
        <f>IFERROR(BJ899*BO899*BP899/BK899,"")</f>
        <v/>
      </c>
      <c r="BG899" s="105">
        <f>IFERROR(1/BM899/BH899*BQ899,"")</f>
        <v/>
      </c>
      <c r="BH899" s="102">
        <f>MAX((CE899-Driver!$F$200)/(Driver!$G$200-Driver!$F$200)*$BI$1,1)</f>
        <v/>
      </c>
      <c r="BI899" s="102">
        <f>MAX($BI$1*(BY899-Driver!$F$201)/(Driver!$G$201-Driver!$F$201),1)</f>
        <v/>
      </c>
      <c r="BJ899" s="102">
        <f>(CB899-Driver!$F$206)/(Driver!$G$206-Driver!$F$206)*$BI$1</f>
        <v/>
      </c>
      <c r="BK899" s="102">
        <f>(CD899-Driver!$F$203)/(Driver!$G$203-Driver!$F$203)*$BI$1</f>
        <v/>
      </c>
      <c r="BL899" s="102">
        <f>MAX((CR899-Driver!$F$202)/(Driver!$G$202-Driver!$F$202)*$BI$1,1)</f>
        <v/>
      </c>
      <c r="BM899" s="102">
        <f>MAX((CH899-Driver!$F$204)/(Driver!$G$204-Driver!$F$204)*$BI$1,1)</f>
        <v/>
      </c>
      <c r="BN899" s="102">
        <f>(CI899-Driver!$F$205)/(Driver!$G$205-Driver!$F$205)*$BI$1</f>
        <v/>
      </c>
      <c r="BO899" s="102">
        <f>(CK899-Driver!$F$207)/(Driver!$G$207-Driver!$F$207)*$BI$1</f>
        <v/>
      </c>
      <c r="BP899" s="102">
        <f>(CM899-Driver!$F$208)/(Driver!$G$208-Driver!$F$208)*$BI$1</f>
        <v/>
      </c>
      <c r="BQ899" s="102">
        <f>(CL899-Driver!$F$209)/(Driver!$G$209-Driver!$F$209)*$BI$1</f>
        <v/>
      </c>
      <c r="BR899" s="40" t="inlineStr">
        <is>
          <t>21/22</t>
        </is>
      </c>
      <c r="BS899" s="10" t="inlineStr">
        <is>
          <t xml:space="preserve"> Blizzard</t>
        </is>
      </c>
      <c r="BT899" s="11" t="inlineStr">
        <is>
          <t>Brahma 88</t>
        </is>
      </c>
      <c r="BU899" s="13" t="n">
        <v>177</v>
      </c>
      <c r="BV899" s="11" t="inlineStr">
        <is>
          <t xml:space="preserve"> Unisex</t>
        </is>
      </c>
      <c r="BW899" s="13" t="n">
        <v>177</v>
      </c>
      <c r="BX899" s="13" t="n">
        <v>175.9</v>
      </c>
      <c r="BY899" s="13" t="n">
        <v>144</v>
      </c>
      <c r="BZ899" s="13" t="n">
        <v>154</v>
      </c>
      <c r="CA899" s="13" t="n">
        <v>128</v>
      </c>
      <c r="CB899" s="13" t="n">
        <v>86</v>
      </c>
      <c r="CC899" s="13" t="n">
        <v>109</v>
      </c>
      <c r="CD899" s="13" t="n">
        <v>17.3</v>
      </c>
      <c r="CE899" s="13" t="n">
        <v>2133</v>
      </c>
      <c r="CF899" s="13" t="n">
        <v>0.8100000000000001</v>
      </c>
      <c r="CG899" s="13" t="n">
        <v>1735</v>
      </c>
      <c r="CH899" s="13" t="n">
        <v>219</v>
      </c>
      <c r="CI899" s="13" t="n">
        <v>115</v>
      </c>
      <c r="CJ899" s="13" t="n">
        <v>53</v>
      </c>
      <c r="CK899" s="13" t="n">
        <v>211</v>
      </c>
      <c r="CL899" s="13" t="n">
        <v>8</v>
      </c>
      <c r="CM899" s="13" t="n">
        <v>112</v>
      </c>
      <c r="CN899" s="13" t="n">
        <v>0.147</v>
      </c>
      <c r="CO899" s="13" t="n">
        <v>119</v>
      </c>
      <c r="CP899" s="13" t="n">
        <v>99</v>
      </c>
      <c r="CQ899" s="13" t="n">
        <v>92</v>
      </c>
      <c r="CR899" s="13" t="n">
        <v>5</v>
      </c>
      <c r="CS899" s="13" t="n">
        <v>11.1</v>
      </c>
      <c r="CT899" s="11" t="inlineStr">
        <is>
          <t xml:space="preserve"> Resort Freeride</t>
        </is>
      </c>
      <c r="CU899" s="13" t="n"/>
      <c r="CV899" s="13" t="n"/>
      <c r="CW899" s="13" t="n"/>
      <c r="CX899">
        <f>INDEX('Data_Price '!AG$2:AG$1266,MATCH(Data!$DN899,'Data_Price '!$AT$2:$AT$1266,0))</f>
        <v/>
      </c>
      <c r="CY899">
        <f>INDEX('Data_Price '!AH$2:AH$1266,MATCH(Data!$DN899,'Data_Price '!$AT$2:$AT$1266,0))</f>
        <v/>
      </c>
      <c r="CZ899">
        <f>INDEX('Data_Price '!AI$2:AI$1266,MATCH(Data!$DN899,'Data_Price '!$AT$2:$AT$1266,0))</f>
        <v/>
      </c>
      <c r="DA899">
        <f>INDEX('Data_Price '!AJ$2:AJ$1266,MATCH(Data!$DN899,'Data_Price '!$AT$2:$AT$1266,0))</f>
        <v/>
      </c>
      <c r="DB899">
        <f>INDEX('Data_Price '!AK$2:AK$1266,MATCH(Data!$DN899,'Data_Price '!$AT$2:$AT$1266,0))</f>
        <v/>
      </c>
      <c r="DC899">
        <f>INDEX('Data_Price '!AL$2:AL$1266,MATCH(Data!$DN899,'Data_Price '!$AT$2:$AT$1266,0))</f>
        <v/>
      </c>
      <c r="DD899">
        <f>INDEX('Data_Price '!AM$2:AM$1266,MATCH(Data!$DN899,'Data_Price '!$AT$2:$AT$1266,0))</f>
        <v/>
      </c>
      <c r="DE899">
        <f>INDEX('Data_Price '!AN$2:AN$1266,MATCH(Data!$DN899,'Data_Price '!$AT$2:$AT$1266,0))</f>
        <v/>
      </c>
      <c r="DF899">
        <f>INDEX('Data_Price '!AO$2:AO$1266,MATCH(Data!$DN899,'Data_Price '!$AT$2:$AT$1266,0))</f>
        <v/>
      </c>
      <c r="DG899">
        <f>INDEX('Data_Price '!AP$2:AP$1266,MATCH(Data!$DN899,'Data_Price '!$AT$2:$AT$1266,0))</f>
        <v/>
      </c>
      <c r="DH899">
        <f>INDEX('Data_Price '!AQ$2:AQ$1266,MATCH(Data!$DN899,'Data_Price '!$AT$2:$AT$1266,0))</f>
        <v/>
      </c>
      <c r="DI899">
        <f>INDEX('Data_Price '!AR$2:AR$1266,MATCH(Data!$DN899,'Data_Price '!$AT$2:$AT$1266,0))</f>
        <v/>
      </c>
      <c r="DJ899" s="138">
        <f>DA899</f>
        <v/>
      </c>
      <c r="DK899" s="138">
        <f>DE899</f>
        <v/>
      </c>
      <c r="DL899" s="138">
        <f>DI899</f>
        <v/>
      </c>
      <c r="DM899" s="303">
        <f>IF(LEFT(BT899,1)=" ",RIGHT(BT899,LEN(BT899)-1),BT899)</f>
        <v/>
      </c>
      <c r="DN899" s="138">
        <f>_xlfn.CONCAT(BS899,DM899,BU899,BV899)</f>
        <v/>
      </c>
      <c r="DO899" s="307" t="n"/>
    </row>
    <row r="900" ht="15.6" customHeight="1" s="184">
      <c r="B900" s="303">
        <f t="array" ref="B900">IF(OR(ISERROR(K900:P900)),FALSE,TRUE)</f>
        <v/>
      </c>
      <c r="C900" s="60">
        <f>OR(BR900=Driver!$G$50,Data!BR1170=Driver!$H$50)</f>
        <v/>
      </c>
      <c r="D900" s="60">
        <f>OR(BV900=Driver!$G$51,BV900=Driver!$H$51)</f>
        <v/>
      </c>
      <c r="E900" s="60">
        <f>AND(BX900&gt;Driver!$F$54,BX900&lt;Driver!$G$54)</f>
        <v/>
      </c>
      <c r="F900" s="60">
        <f>CL900&gt;Driver!$F$56</f>
        <v/>
      </c>
      <c r="G900" s="60">
        <f>AND(CB900&gt;Driver!$F$55,CB900&lt;Driver!$G$55)</f>
        <v/>
      </c>
      <c r="H900" s="60">
        <f>AND(B900:G900)</f>
        <v/>
      </c>
      <c r="I900" s="60">
        <f>COUNTIFS($H$9:$H$1273,TRUE,$BT$9:$BT$1273,BT900)</f>
        <v/>
      </c>
      <c r="J900" s="60">
        <f t="array" ref="J900">NOT(OR(($H$9:$H$1273=TRUE)*($I$9:$I$1273&gt;0)*($BT$9:$BT$1273=BT900)*($K$9:$K$1273&gt;K900)))</f>
        <v/>
      </c>
      <c r="K900" s="108">
        <f>IFERROR(1-AVERAGE(X900:Y900),"")</f>
        <v/>
      </c>
      <c r="L900" s="108">
        <f>1-X900</f>
        <v/>
      </c>
      <c r="M900" s="108">
        <f>1-Y900</f>
        <v/>
      </c>
      <c r="N900" s="108">
        <f>1-Z900</f>
        <v/>
      </c>
      <c r="O900" s="108">
        <f>1-AA900</f>
        <v/>
      </c>
      <c r="P900" s="108">
        <f>1-AB900</f>
        <v/>
      </c>
      <c r="Q900" s="108" t="n"/>
      <c r="R900" s="108" t="n"/>
      <c r="S900" s="108">
        <f>1-AE900</f>
        <v/>
      </c>
      <c r="T900" s="108">
        <f>1-AF900</f>
        <v/>
      </c>
      <c r="U900" s="108">
        <f>1-AG900</f>
        <v/>
      </c>
      <c r="V900" s="108">
        <f>1-AH900</f>
        <v/>
      </c>
      <c r="W900" s="108">
        <f>1-AI900</f>
        <v/>
      </c>
      <c r="X900" s="108">
        <f>ABS(AJ900-AJ$1)</f>
        <v/>
      </c>
      <c r="Y900" s="108">
        <f>AVERAGE(Z900:AB900)</f>
        <v/>
      </c>
      <c r="Z900" s="108">
        <f>ABS(AL900-AL$1)</f>
        <v/>
      </c>
      <c r="AA900" s="108">
        <f>ABS(AM900-AM$1)</f>
        <v/>
      </c>
      <c r="AB900" s="108">
        <f>ABS(AN900-AN$1)</f>
        <v/>
      </c>
      <c r="AC900" s="108" t="n"/>
      <c r="AD900" s="108" t="n"/>
      <c r="AE900" s="108">
        <f>ABS(AQ$1-AQ900)</f>
        <v/>
      </c>
      <c r="AF900" s="108">
        <f>ABS(AR$1-AR900)</f>
        <v/>
      </c>
      <c r="AG900" s="108">
        <f>ABS(AS$1-AS900)</f>
        <v/>
      </c>
      <c r="AH900" s="108">
        <f>ABS(AT$1-AT900)</f>
        <v/>
      </c>
      <c r="AI900" s="108">
        <f>ABS(AU$1-AU900)</f>
        <v/>
      </c>
      <c r="AJ900" s="108">
        <f>(AV900-Driver!$K$179)/(Driver!$L$179-Driver!$K$179)</f>
        <v/>
      </c>
      <c r="AK900" s="108">
        <f>(AW900-Driver!$K$180)/(Driver!$L$180-Driver!$K$180)</f>
        <v/>
      </c>
      <c r="AL900" s="108">
        <f>(AX900-Driver!$K$181)/(Driver!$L$181-Driver!$K$181)</f>
        <v/>
      </c>
      <c r="AM900" s="108">
        <f>(AY900-Driver!$K$182)/(Driver!$L$182-Driver!$K$182)</f>
        <v/>
      </c>
      <c r="AN900" s="108">
        <f>(AZ900-Driver!$K$183)/(Driver!$L$183-Driver!$K$183)</f>
        <v/>
      </c>
      <c r="AO900" s="108" t="n"/>
      <c r="AP900" s="108" t="n"/>
      <c r="AQ900" s="108">
        <f>(BC900-Driver!$K$188)/(Driver!$L$188-Driver!$K$188)</f>
        <v/>
      </c>
      <c r="AR900" s="108">
        <f>MIN((BD900-Driver!$K$189)/(Driver!$L$189-Driver!$K$189),100%)</f>
        <v/>
      </c>
      <c r="AS900" s="108">
        <f>(BE900-Driver!$K$190)/(Driver!$L$190-Driver!$K$190)</f>
        <v/>
      </c>
      <c r="AT900" s="108">
        <f>(BF900-Driver!$K$191)/(Driver!$L$191-Driver!$K$191)</f>
        <v/>
      </c>
      <c r="AU900" s="108">
        <f>(BG900-Driver!$K$192)/(Driver!$L$192-Driver!$K$192)</f>
        <v/>
      </c>
      <c r="AV900" s="105">
        <f>IFERROR(BM900*BJ900^1/4,"")</f>
        <v/>
      </c>
      <c r="AW900" s="105">
        <f>IFERROR(SUM(AX900:AZ900),"")</f>
        <v/>
      </c>
      <c r="AX900" s="105">
        <f>IFERROR(BH900,"")</f>
        <v/>
      </c>
      <c r="AY900" s="105">
        <f>IFERROR(Driver!$K$19/Data!BH900/Data!BI900*Data!BK900*Data!BL900,"")</f>
        <v/>
      </c>
      <c r="AZ900" s="105">
        <f>IFERROR(BI900*BN900,"")</f>
        <v/>
      </c>
      <c r="BA900" s="105" t="n"/>
      <c r="BB900" s="105" t="n"/>
      <c r="BC900" s="105">
        <f>IFERROR(BI900*BN900*BK900/BJ900^(1/2),"")</f>
        <v/>
      </c>
      <c r="BD900" s="105">
        <f>IFERROR(BH900*BM900*BL900/BJ900/BK900,"")</f>
        <v/>
      </c>
      <c r="BE900" s="105">
        <f>IFERROR(MIN(BI900/BQ900/BP900/BO900/BH900,$BE$1),"")</f>
        <v/>
      </c>
      <c r="BF900" s="105">
        <f>IFERROR(BJ900*BO900*BP900/BK900,"")</f>
        <v/>
      </c>
      <c r="BG900" s="105">
        <f>IFERROR(1/BM900/BH900*BQ900,"")</f>
        <v/>
      </c>
      <c r="BH900" s="102">
        <f>MAX((CE900-Driver!$F$200)/(Driver!$G$200-Driver!$F$200)*$BI$1,1)</f>
        <v/>
      </c>
      <c r="BI900" s="102">
        <f>MAX($BI$1*(BY900-Driver!$F$201)/(Driver!$G$201-Driver!$F$201),1)</f>
        <v/>
      </c>
      <c r="BJ900" s="102">
        <f>(CB900-Driver!$F$206)/(Driver!$G$206-Driver!$F$206)*$BI$1</f>
        <v/>
      </c>
      <c r="BK900" s="102">
        <f>(CD900-Driver!$F$203)/(Driver!$G$203-Driver!$F$203)*$BI$1</f>
        <v/>
      </c>
      <c r="BL900" s="102">
        <f>MAX((CR900-Driver!$F$202)/(Driver!$G$202-Driver!$F$202)*$BI$1,1)</f>
        <v/>
      </c>
      <c r="BM900" s="102">
        <f>MAX((CH900-Driver!$F$204)/(Driver!$G$204-Driver!$F$204)*$BI$1,1)</f>
        <v/>
      </c>
      <c r="BN900" s="102">
        <f>(CI900-Driver!$F$205)/(Driver!$G$205-Driver!$F$205)*$BI$1</f>
        <v/>
      </c>
      <c r="BO900" s="102">
        <f>(CK900-Driver!$F$207)/(Driver!$G$207-Driver!$F$207)*$BI$1</f>
        <v/>
      </c>
      <c r="BP900" s="102">
        <f>(CM900-Driver!$F$208)/(Driver!$G$208-Driver!$F$208)*$BI$1</f>
        <v/>
      </c>
      <c r="BQ900" s="102">
        <f>(CL900-Driver!$F$209)/(Driver!$G$209-Driver!$F$209)*$BI$1</f>
        <v/>
      </c>
      <c r="BR900" s="40" t="inlineStr">
        <is>
          <t>21/22</t>
        </is>
      </c>
      <c r="BS900" s="10" t="inlineStr">
        <is>
          <t xml:space="preserve"> Völkl</t>
        </is>
      </c>
      <c r="BT900" s="11" t="inlineStr">
        <is>
          <t>Blaze 86 W</t>
        </is>
      </c>
      <c r="BU900" s="13" t="n">
        <v>166</v>
      </c>
      <c r="BV900" s="11" t="inlineStr">
        <is>
          <t xml:space="preserve"> Women's</t>
        </is>
      </c>
      <c r="BW900" s="13" t="n">
        <v>166</v>
      </c>
      <c r="BX900" s="13" t="n">
        <v>167.3</v>
      </c>
      <c r="BY900" s="13" t="n">
        <v>97</v>
      </c>
      <c r="BZ900" s="13" t="n">
        <v>143</v>
      </c>
      <c r="CA900" s="13" t="n">
        <v>128</v>
      </c>
      <c r="CB900" s="13" t="n">
        <v>85</v>
      </c>
      <c r="CC900" s="13" t="n">
        <v>110</v>
      </c>
      <c r="CD900" s="13" t="n">
        <v>14.2</v>
      </c>
      <c r="CE900" s="13" t="n">
        <v>1411</v>
      </c>
      <c r="CF900" s="13" t="n">
        <v>1.18</v>
      </c>
      <c r="CG900" s="13" t="n">
        <v>1660</v>
      </c>
      <c r="CH900" s="13" t="n">
        <v>170</v>
      </c>
      <c r="CI900" s="13" t="n">
        <v>79</v>
      </c>
      <c r="CJ900" s="13" t="n">
        <v>48</v>
      </c>
      <c r="CK900" s="13" t="n">
        <v>408</v>
      </c>
      <c r="CL900" s="13" t="n">
        <v>18</v>
      </c>
      <c r="CM900" s="13" t="n">
        <v>295</v>
      </c>
      <c r="CN900" s="13" t="n">
        <v>0.375</v>
      </c>
      <c r="CO900" s="13" t="n">
        <v>144</v>
      </c>
      <c r="CP900" s="13" t="n">
        <v>100</v>
      </c>
      <c r="CQ900" s="13" t="n">
        <v>265</v>
      </c>
      <c r="CR900" s="13" t="n">
        <v>1</v>
      </c>
      <c r="CS900" s="13" t="n">
        <v>11.7</v>
      </c>
      <c r="CT900" s="11" t="inlineStr">
        <is>
          <t xml:space="preserve"> Resort Freeride</t>
        </is>
      </c>
      <c r="CU900" s="11" t="inlineStr">
        <is>
          <t xml:space="preserve"> Touring</t>
        </is>
      </c>
      <c r="CV900" s="13" t="n"/>
      <c r="CW900" s="13" t="n"/>
      <c r="CX900">
        <f>INDEX('Data_Price '!AG$2:AG$1266,MATCH(Data!$DN900,'Data_Price '!$AT$2:$AT$1266,0))</f>
        <v/>
      </c>
      <c r="CY900">
        <f>INDEX('Data_Price '!AH$2:AH$1266,MATCH(Data!$DN900,'Data_Price '!$AT$2:$AT$1266,0))</f>
        <v/>
      </c>
      <c r="CZ900">
        <f>INDEX('Data_Price '!AI$2:AI$1266,MATCH(Data!$DN900,'Data_Price '!$AT$2:$AT$1266,0))</f>
        <v/>
      </c>
      <c r="DA900">
        <f>INDEX('Data_Price '!AJ$2:AJ$1266,MATCH(Data!$DN900,'Data_Price '!$AT$2:$AT$1266,0))</f>
        <v/>
      </c>
      <c r="DB900">
        <f>INDEX('Data_Price '!AK$2:AK$1266,MATCH(Data!$DN900,'Data_Price '!$AT$2:$AT$1266,0))</f>
        <v/>
      </c>
      <c r="DC900">
        <f>INDEX('Data_Price '!AL$2:AL$1266,MATCH(Data!$DN900,'Data_Price '!$AT$2:$AT$1266,0))</f>
        <v/>
      </c>
      <c r="DD900">
        <f>INDEX('Data_Price '!AM$2:AM$1266,MATCH(Data!$DN900,'Data_Price '!$AT$2:$AT$1266,0))</f>
        <v/>
      </c>
      <c r="DE900">
        <f>INDEX('Data_Price '!AN$2:AN$1266,MATCH(Data!$DN900,'Data_Price '!$AT$2:$AT$1266,0))</f>
        <v/>
      </c>
      <c r="DF900">
        <f>INDEX('Data_Price '!AO$2:AO$1266,MATCH(Data!$DN900,'Data_Price '!$AT$2:$AT$1266,0))</f>
        <v/>
      </c>
      <c r="DG900">
        <f>INDEX('Data_Price '!AP$2:AP$1266,MATCH(Data!$DN900,'Data_Price '!$AT$2:$AT$1266,0))</f>
        <v/>
      </c>
      <c r="DH900">
        <f>INDEX('Data_Price '!AQ$2:AQ$1266,MATCH(Data!$DN900,'Data_Price '!$AT$2:$AT$1266,0))</f>
        <v/>
      </c>
      <c r="DI900">
        <f>INDEX('Data_Price '!AR$2:AR$1266,MATCH(Data!$DN900,'Data_Price '!$AT$2:$AT$1266,0))</f>
        <v/>
      </c>
      <c r="DJ900" s="138">
        <f>DA900</f>
        <v/>
      </c>
      <c r="DK900" s="138">
        <f>DE900</f>
        <v/>
      </c>
      <c r="DL900" s="138">
        <f>DI900</f>
        <v/>
      </c>
      <c r="DM900" s="303">
        <f>IF(LEFT(BT900,1)=" ",RIGHT(BT900,LEN(BT900)-1),BT900)</f>
        <v/>
      </c>
      <c r="DN900" s="138">
        <f>_xlfn.CONCAT(BS900,DM900,BU900,BV900)</f>
        <v/>
      </c>
      <c r="DO900" s="307" t="inlineStr">
        <is>
          <t>https://images.evo.com/imgp/250/208358/837604/clone.jpg</t>
        </is>
      </c>
    </row>
    <row r="901" ht="15.6" customHeight="1" s="184">
      <c r="B901" s="303">
        <f t="array" ref="B901">IF(OR(ISERROR(K901:P901)),FALSE,TRUE)</f>
        <v/>
      </c>
      <c r="C901" s="60">
        <f>OR(BR901=Driver!$G$50,Data!BR797=Driver!$H$50)</f>
        <v/>
      </c>
      <c r="D901" s="60">
        <f>OR(BV901=Driver!$G$51,BV901=Driver!$H$51)</f>
        <v/>
      </c>
      <c r="E901" s="60">
        <f>AND(BX901&gt;Driver!$F$54,BX901&lt;Driver!$G$54)</f>
        <v/>
      </c>
      <c r="F901" s="60">
        <f>CL901&gt;Driver!$F$56</f>
        <v/>
      </c>
      <c r="G901" s="60">
        <f>AND(CB901&gt;Driver!$F$55,CB901&lt;Driver!$G$55)</f>
        <v/>
      </c>
      <c r="H901" s="60">
        <f>AND(B901:G901)</f>
        <v/>
      </c>
      <c r="I901" s="60">
        <f>COUNTIFS($H$9:$H$1273,TRUE,$BT$9:$BT$1273,BT901)</f>
        <v/>
      </c>
      <c r="J901" s="60">
        <f t="array" ref="J901">NOT(OR(($H$9:$H$1273=TRUE)*($I$9:$I$1273&gt;0)*($BT$9:$BT$1273=BT901)*($K$9:$K$1273&gt;K901)))</f>
        <v/>
      </c>
      <c r="K901" s="108">
        <f>IFERROR(1-AVERAGE(X901:Y901),"")</f>
        <v/>
      </c>
      <c r="L901" s="108">
        <f>1-X901</f>
        <v/>
      </c>
      <c r="M901" s="108">
        <f>1-Y901</f>
        <v/>
      </c>
      <c r="N901" s="108">
        <f>1-Z901</f>
        <v/>
      </c>
      <c r="O901" s="108">
        <f>1-AA901</f>
        <v/>
      </c>
      <c r="P901" s="108">
        <f>1-AB901</f>
        <v/>
      </c>
      <c r="Q901" s="108" t="n"/>
      <c r="R901" s="108" t="n"/>
      <c r="S901" s="108">
        <f>1-AE901</f>
        <v/>
      </c>
      <c r="T901" s="108">
        <f>1-AF901</f>
        <v/>
      </c>
      <c r="U901" s="108">
        <f>1-AG901</f>
        <v/>
      </c>
      <c r="V901" s="108">
        <f>1-AH901</f>
        <v/>
      </c>
      <c r="W901" s="108">
        <f>1-AI901</f>
        <v/>
      </c>
      <c r="X901" s="108">
        <f>ABS(AJ901-AJ$1)</f>
        <v/>
      </c>
      <c r="Y901" s="108">
        <f>AVERAGE(Z901:AB901)</f>
        <v/>
      </c>
      <c r="Z901" s="108">
        <f>ABS(AL901-AL$1)</f>
        <v/>
      </c>
      <c r="AA901" s="108">
        <f>ABS(AM901-AM$1)</f>
        <v/>
      </c>
      <c r="AB901" s="108">
        <f>ABS(AN901-AN$1)</f>
        <v/>
      </c>
      <c r="AC901" s="108" t="n"/>
      <c r="AD901" s="108" t="n"/>
      <c r="AE901" s="108">
        <f>ABS(AQ$1-AQ901)</f>
        <v/>
      </c>
      <c r="AF901" s="108">
        <f>ABS(AR$1-AR901)</f>
        <v/>
      </c>
      <c r="AG901" s="108">
        <f>ABS(AS$1-AS901)</f>
        <v/>
      </c>
      <c r="AH901" s="108">
        <f>ABS(AT$1-AT901)</f>
        <v/>
      </c>
      <c r="AI901" s="108">
        <f>ABS(AU$1-AU901)</f>
        <v/>
      </c>
      <c r="AJ901" s="108">
        <f>(AV901-Driver!$K$179)/(Driver!$L$179-Driver!$K$179)</f>
        <v/>
      </c>
      <c r="AK901" s="108">
        <f>(AW901-Driver!$K$180)/(Driver!$L$180-Driver!$K$180)</f>
        <v/>
      </c>
      <c r="AL901" s="108">
        <f>(AX901-Driver!$K$181)/(Driver!$L$181-Driver!$K$181)</f>
        <v/>
      </c>
      <c r="AM901" s="108">
        <f>(AY901-Driver!$K$182)/(Driver!$L$182-Driver!$K$182)</f>
        <v/>
      </c>
      <c r="AN901" s="108">
        <f>(AZ901-Driver!$K$183)/(Driver!$L$183-Driver!$K$183)</f>
        <v/>
      </c>
      <c r="AO901" s="108" t="n"/>
      <c r="AP901" s="108" t="n"/>
      <c r="AQ901" s="108">
        <f>(BC901-Driver!$K$188)/(Driver!$L$188-Driver!$K$188)</f>
        <v/>
      </c>
      <c r="AR901" s="108">
        <f>MIN((BD901-Driver!$K$189)/(Driver!$L$189-Driver!$K$189),100%)</f>
        <v/>
      </c>
      <c r="AS901" s="108">
        <f>(BE901-Driver!$K$190)/(Driver!$L$190-Driver!$K$190)</f>
        <v/>
      </c>
      <c r="AT901" s="108">
        <f>(BF901-Driver!$K$191)/(Driver!$L$191-Driver!$K$191)</f>
        <v/>
      </c>
      <c r="AU901" s="108">
        <f>(BG901-Driver!$K$192)/(Driver!$L$192-Driver!$K$192)</f>
        <v/>
      </c>
      <c r="AV901" s="105">
        <f>IFERROR(BM901*BJ901^1/4,"")</f>
        <v/>
      </c>
      <c r="AW901" s="105">
        <f>IFERROR(SUM(AX901:AZ901),"")</f>
        <v/>
      </c>
      <c r="AX901" s="105">
        <f>IFERROR(BH901,"")</f>
        <v/>
      </c>
      <c r="AY901" s="105">
        <f>IFERROR(Driver!$K$19/Data!BH901/Data!BI901*Data!BK901*Data!BL901,"")</f>
        <v/>
      </c>
      <c r="AZ901" s="105">
        <f>IFERROR(BI901*BN901,"")</f>
        <v/>
      </c>
      <c r="BA901" s="105" t="n"/>
      <c r="BB901" s="105" t="n"/>
      <c r="BC901" s="105">
        <f>IFERROR(BI901*BN901*BK901/BJ901^(1/2),"")</f>
        <v/>
      </c>
      <c r="BD901" s="105">
        <f>IFERROR(BH901*BM901*BL901/BJ901/BK901,"")</f>
        <v/>
      </c>
      <c r="BE901" s="105">
        <f>IFERROR(MIN(BI901/BQ901/BP901/BO901/BH901,$BE$1),"")</f>
        <v/>
      </c>
      <c r="BF901" s="105">
        <f>IFERROR(BJ901*BO901*BP901/BK901,"")</f>
        <v/>
      </c>
      <c r="BG901" s="105">
        <f>IFERROR(1/BM901/BH901*BQ901,"")</f>
        <v/>
      </c>
      <c r="BH901" s="102">
        <f>MAX((CE901-Driver!$F$200)/(Driver!$G$200-Driver!$F$200)*$BI$1,1)</f>
        <v/>
      </c>
      <c r="BI901" s="102">
        <f>MAX($BI$1*(BY901-Driver!$F$201)/(Driver!$G$201-Driver!$F$201),1)</f>
        <v/>
      </c>
      <c r="BJ901" s="102">
        <f>(CB901-Driver!$F$206)/(Driver!$G$206-Driver!$F$206)*$BI$1</f>
        <v/>
      </c>
      <c r="BK901" s="102">
        <f>(CD901-Driver!$F$203)/(Driver!$G$203-Driver!$F$203)*$BI$1</f>
        <v/>
      </c>
      <c r="BL901" s="102">
        <f>MAX((CR901-Driver!$F$202)/(Driver!$G$202-Driver!$F$202)*$BI$1,1)</f>
        <v/>
      </c>
      <c r="BM901" s="102">
        <f>MAX((CH901-Driver!$F$204)/(Driver!$G$204-Driver!$F$204)*$BI$1,1)</f>
        <v/>
      </c>
      <c r="BN901" s="102">
        <f>(CI901-Driver!$F$205)/(Driver!$G$205-Driver!$F$205)*$BI$1</f>
        <v/>
      </c>
      <c r="BO901" s="102">
        <f>(CK901-Driver!$F$207)/(Driver!$G$207-Driver!$F$207)*$BI$1</f>
        <v/>
      </c>
      <c r="BP901" s="102">
        <f>(CM901-Driver!$F$208)/(Driver!$G$208-Driver!$F$208)*$BI$1</f>
        <v/>
      </c>
      <c r="BQ901" s="102">
        <f>(CL901-Driver!$F$209)/(Driver!$G$209-Driver!$F$209)*$BI$1</f>
        <v/>
      </c>
      <c r="BR901" s="40" t="inlineStr">
        <is>
          <t>21/22</t>
        </is>
      </c>
      <c r="BS901" s="10" t="inlineStr">
        <is>
          <t xml:space="preserve"> Liberty</t>
        </is>
      </c>
      <c r="BT901" s="11" t="inlineStr">
        <is>
          <t>Evolv 100</t>
        </is>
      </c>
      <c r="BU901" s="13" t="n">
        <v>179</v>
      </c>
      <c r="BV901" s="11" t="inlineStr">
        <is>
          <t xml:space="preserve"> Unisex</t>
        </is>
      </c>
      <c r="BW901" s="13" t="n">
        <v>179</v>
      </c>
      <c r="BX901" s="13" t="n">
        <v>178.9</v>
      </c>
      <c r="BY901" s="13" t="n">
        <v>145</v>
      </c>
      <c r="BZ901" s="13" t="n">
        <v>158</v>
      </c>
      <c r="CA901" s="13" t="n">
        <v>138</v>
      </c>
      <c r="CB901" s="13" t="n">
        <v>99</v>
      </c>
      <c r="CC901" s="13" t="n">
        <v>121</v>
      </c>
      <c r="CD901" s="13" t="n">
        <v>19.1</v>
      </c>
      <c r="CE901" s="13" t="n">
        <v>1983</v>
      </c>
      <c r="CF901" s="13" t="n">
        <v>1</v>
      </c>
      <c r="CG901" s="13" t="n">
        <v>1978</v>
      </c>
      <c r="CH901" s="13" t="n">
        <v>239</v>
      </c>
      <c r="CI901" s="13" t="n">
        <v>124</v>
      </c>
      <c r="CJ901" s="13" t="n">
        <v>36</v>
      </c>
      <c r="CK901" s="13" t="n">
        <v>204</v>
      </c>
      <c r="CL901" s="13" t="n">
        <v>10</v>
      </c>
      <c r="CM901" s="13" t="n">
        <v>133</v>
      </c>
      <c r="CN901" s="13" t="n">
        <v>0.287</v>
      </c>
      <c r="CO901" s="13" t="n">
        <v>116</v>
      </c>
      <c r="CP901" s="13" t="n">
        <v>88</v>
      </c>
      <c r="CQ901" s="13" t="n">
        <v>88</v>
      </c>
      <c r="CR901" s="13" t="n">
        <v>10</v>
      </c>
      <c r="CS901" s="13" t="n">
        <v>10.4</v>
      </c>
      <c r="CT901" s="11" t="inlineStr">
        <is>
          <t xml:space="preserve"> Resort Freeride</t>
        </is>
      </c>
      <c r="CU901" s="13" t="n"/>
      <c r="CV901" s="13" t="n"/>
      <c r="CW901" s="13" t="n"/>
      <c r="CX901">
        <f>INDEX('Data_Price '!AG$2:AG$1266,MATCH(Data!$DN901,'Data_Price '!$AT$2:$AT$1266,0))</f>
        <v/>
      </c>
      <c r="CY901">
        <f>INDEX('Data_Price '!AH$2:AH$1266,MATCH(Data!$DN901,'Data_Price '!$AT$2:$AT$1266,0))</f>
        <v/>
      </c>
      <c r="CZ901">
        <f>INDEX('Data_Price '!AI$2:AI$1266,MATCH(Data!$DN901,'Data_Price '!$AT$2:$AT$1266,0))</f>
        <v/>
      </c>
      <c r="DA901">
        <f>INDEX('Data_Price '!AJ$2:AJ$1266,MATCH(Data!$DN901,'Data_Price '!$AT$2:$AT$1266,0))</f>
        <v/>
      </c>
      <c r="DB901">
        <f>INDEX('Data_Price '!AK$2:AK$1266,MATCH(Data!$DN901,'Data_Price '!$AT$2:$AT$1266,0))</f>
        <v/>
      </c>
      <c r="DC901">
        <f>INDEX('Data_Price '!AL$2:AL$1266,MATCH(Data!$DN901,'Data_Price '!$AT$2:$AT$1266,0))</f>
        <v/>
      </c>
      <c r="DD901">
        <f>INDEX('Data_Price '!AM$2:AM$1266,MATCH(Data!$DN901,'Data_Price '!$AT$2:$AT$1266,0))</f>
        <v/>
      </c>
      <c r="DE901">
        <f>INDEX('Data_Price '!AN$2:AN$1266,MATCH(Data!$DN901,'Data_Price '!$AT$2:$AT$1266,0))</f>
        <v/>
      </c>
      <c r="DF901">
        <f>INDEX('Data_Price '!AO$2:AO$1266,MATCH(Data!$DN901,'Data_Price '!$AT$2:$AT$1266,0))</f>
        <v/>
      </c>
      <c r="DG901">
        <f>INDEX('Data_Price '!AP$2:AP$1266,MATCH(Data!$DN901,'Data_Price '!$AT$2:$AT$1266,0))</f>
        <v/>
      </c>
      <c r="DH901">
        <f>INDEX('Data_Price '!AQ$2:AQ$1266,MATCH(Data!$DN901,'Data_Price '!$AT$2:$AT$1266,0))</f>
        <v/>
      </c>
      <c r="DI901">
        <f>INDEX('Data_Price '!AR$2:AR$1266,MATCH(Data!$DN901,'Data_Price '!$AT$2:$AT$1266,0))</f>
        <v/>
      </c>
      <c r="DJ901" s="138">
        <f>DA901</f>
        <v/>
      </c>
      <c r="DK901" s="138">
        <f>DE901</f>
        <v/>
      </c>
      <c r="DL901" s="138">
        <f>DI901</f>
        <v/>
      </c>
      <c r="DM901" s="303">
        <f>IF(LEFT(BT901,1)=" ",RIGHT(BT901,LEN(BT901)-1),BT901)</f>
        <v/>
      </c>
      <c r="DN901" s="138">
        <f>_xlfn.CONCAT(BS901,DM901,BU901,BV901)</f>
        <v/>
      </c>
      <c r="DO901" s="307" t="n"/>
    </row>
    <row r="902" ht="15.6" customHeight="1" s="184">
      <c r="B902" s="303">
        <f t="array" ref="B902">IF(OR(ISERROR(K902:P902)),FALSE,TRUE)</f>
        <v/>
      </c>
      <c r="C902" s="60">
        <f>OR(BR902=Driver!$G$50,Data!BR968=Driver!$H$50)</f>
        <v/>
      </c>
      <c r="D902" s="60">
        <f>OR(BV902=Driver!$G$51,BV902=Driver!$H$51)</f>
        <v/>
      </c>
      <c r="E902" s="60">
        <f>AND(BX902&gt;Driver!$F$54,BX902&lt;Driver!$G$54)</f>
        <v/>
      </c>
      <c r="F902" s="60">
        <f>CL902&gt;Driver!$F$56</f>
        <v/>
      </c>
      <c r="G902" s="60">
        <f>AND(CB902&gt;Driver!$F$55,CB902&lt;Driver!$G$55)</f>
        <v/>
      </c>
      <c r="H902" s="60">
        <f>AND(B902:G902)</f>
        <v/>
      </c>
      <c r="I902" s="60">
        <f>COUNTIFS($H$9:$H$1273,TRUE,$BT$9:$BT$1273,BT902)</f>
        <v/>
      </c>
      <c r="J902" s="60">
        <f t="array" ref="J902">NOT(OR(($H$9:$H$1273=TRUE)*($I$9:$I$1273&gt;0)*($BT$9:$BT$1273=BT902)*($K$9:$K$1273&gt;K902)))</f>
        <v/>
      </c>
      <c r="K902" s="108">
        <f>IFERROR(1-AVERAGE(X902:Y902),"")</f>
        <v/>
      </c>
      <c r="L902" s="108">
        <f>1-X902</f>
        <v/>
      </c>
      <c r="M902" s="108">
        <f>1-Y902</f>
        <v/>
      </c>
      <c r="N902" s="108">
        <f>1-Z902</f>
        <v/>
      </c>
      <c r="O902" s="108">
        <f>1-AA902</f>
        <v/>
      </c>
      <c r="P902" s="108">
        <f>1-AB902</f>
        <v/>
      </c>
      <c r="Q902" s="108" t="n"/>
      <c r="R902" s="108" t="n"/>
      <c r="S902" s="108">
        <f>1-AE902</f>
        <v/>
      </c>
      <c r="T902" s="108">
        <f>1-AF902</f>
        <v/>
      </c>
      <c r="U902" s="108">
        <f>1-AG902</f>
        <v/>
      </c>
      <c r="V902" s="108">
        <f>1-AH902</f>
        <v/>
      </c>
      <c r="W902" s="108">
        <f>1-AI902</f>
        <v/>
      </c>
      <c r="X902" s="108">
        <f>ABS(AJ902-AJ$1)</f>
        <v/>
      </c>
      <c r="Y902" s="108">
        <f>AVERAGE(Z902:AB902)</f>
        <v/>
      </c>
      <c r="Z902" s="108">
        <f>ABS(AL902-AL$1)</f>
        <v/>
      </c>
      <c r="AA902" s="108">
        <f>ABS(AM902-AM$1)</f>
        <v/>
      </c>
      <c r="AB902" s="108">
        <f>ABS(AN902-AN$1)</f>
        <v/>
      </c>
      <c r="AC902" s="108" t="n"/>
      <c r="AD902" s="108" t="n"/>
      <c r="AE902" s="108">
        <f>ABS(AQ$1-AQ902)</f>
        <v/>
      </c>
      <c r="AF902" s="108">
        <f>ABS(AR$1-AR902)</f>
        <v/>
      </c>
      <c r="AG902" s="108">
        <f>ABS(AS$1-AS902)</f>
        <v/>
      </c>
      <c r="AH902" s="108">
        <f>ABS(AT$1-AT902)</f>
        <v/>
      </c>
      <c r="AI902" s="108">
        <f>ABS(AU$1-AU902)</f>
        <v/>
      </c>
      <c r="AJ902" s="108">
        <f>(AV902-Driver!$K$179)/(Driver!$L$179-Driver!$K$179)</f>
        <v/>
      </c>
      <c r="AK902" s="108">
        <f>(AW902-Driver!$K$180)/(Driver!$L$180-Driver!$K$180)</f>
        <v/>
      </c>
      <c r="AL902" s="108">
        <f>(AX902-Driver!$K$181)/(Driver!$L$181-Driver!$K$181)</f>
        <v/>
      </c>
      <c r="AM902" s="108">
        <f>(AY902-Driver!$K$182)/(Driver!$L$182-Driver!$K$182)</f>
        <v/>
      </c>
      <c r="AN902" s="108">
        <f>(AZ902-Driver!$K$183)/(Driver!$L$183-Driver!$K$183)</f>
        <v/>
      </c>
      <c r="AO902" s="108" t="n"/>
      <c r="AP902" s="108" t="n"/>
      <c r="AQ902" s="108">
        <f>(BC902-Driver!$K$188)/(Driver!$L$188-Driver!$K$188)</f>
        <v/>
      </c>
      <c r="AR902" s="108">
        <f>MIN((BD902-Driver!$K$189)/(Driver!$L$189-Driver!$K$189),100%)</f>
        <v/>
      </c>
      <c r="AS902" s="108">
        <f>(BE902-Driver!$K$190)/(Driver!$L$190-Driver!$K$190)</f>
        <v/>
      </c>
      <c r="AT902" s="108">
        <f>(BF902-Driver!$K$191)/(Driver!$L$191-Driver!$K$191)</f>
        <v/>
      </c>
      <c r="AU902" s="108">
        <f>(BG902-Driver!$K$192)/(Driver!$L$192-Driver!$K$192)</f>
        <v/>
      </c>
      <c r="AV902" s="105">
        <f>IFERROR(BM902*BJ902^1/4,"")</f>
        <v/>
      </c>
      <c r="AW902" s="105">
        <f>IFERROR(SUM(AX902:AZ902),"")</f>
        <v/>
      </c>
      <c r="AX902" s="105">
        <f>IFERROR(BH902,"")</f>
        <v/>
      </c>
      <c r="AY902" s="105">
        <f>IFERROR(Driver!$K$19/Data!BH902/Data!BI902*Data!BK902*Data!BL902,"")</f>
        <v/>
      </c>
      <c r="AZ902" s="105">
        <f>IFERROR(BI902*BN902,"")</f>
        <v/>
      </c>
      <c r="BA902" s="105" t="n"/>
      <c r="BB902" s="105" t="n"/>
      <c r="BC902" s="105">
        <f>IFERROR(BI902*BN902*BK902/BJ902^(1/2),"")</f>
        <v/>
      </c>
      <c r="BD902" s="105">
        <f>IFERROR(BH902*BM902*BL902/BJ902/BK902,"")</f>
        <v/>
      </c>
      <c r="BE902" s="105">
        <f>IFERROR(MIN(BI902/BQ902/BP902/BO902/BH902,$BE$1),"")</f>
        <v/>
      </c>
      <c r="BF902" s="105">
        <f>IFERROR(BJ902*BO902*BP902/BK902,"")</f>
        <v/>
      </c>
      <c r="BG902" s="105">
        <f>IFERROR(1/BM902/BH902*BQ902,"")</f>
        <v/>
      </c>
      <c r="BH902" s="102">
        <f>MAX((CE902-Driver!$F$200)/(Driver!$G$200-Driver!$F$200)*$BI$1,1)</f>
        <v/>
      </c>
      <c r="BI902" s="102">
        <f>MAX($BI$1*(BY902-Driver!$F$201)/(Driver!$G$201-Driver!$F$201),1)</f>
        <v/>
      </c>
      <c r="BJ902" s="102">
        <f>(CB902-Driver!$F$206)/(Driver!$G$206-Driver!$F$206)*$BI$1</f>
        <v/>
      </c>
      <c r="BK902" s="102">
        <f>(CD902-Driver!$F$203)/(Driver!$G$203-Driver!$F$203)*$BI$1</f>
        <v/>
      </c>
      <c r="BL902" s="102">
        <f>MAX((CR902-Driver!$F$202)/(Driver!$G$202-Driver!$F$202)*$BI$1,1)</f>
        <v/>
      </c>
      <c r="BM902" s="102">
        <f>MAX((CH902-Driver!$F$204)/(Driver!$G$204-Driver!$F$204)*$BI$1,1)</f>
        <v/>
      </c>
      <c r="BN902" s="102">
        <f>(CI902-Driver!$F$205)/(Driver!$G$205-Driver!$F$205)*$BI$1</f>
        <v/>
      </c>
      <c r="BO902" s="102">
        <f>(CK902-Driver!$F$207)/(Driver!$G$207-Driver!$F$207)*$BI$1</f>
        <v/>
      </c>
      <c r="BP902" s="102">
        <f>(CM902-Driver!$F$208)/(Driver!$G$208-Driver!$F$208)*$BI$1</f>
        <v/>
      </c>
      <c r="BQ902" s="102">
        <f>(CL902-Driver!$F$209)/(Driver!$G$209-Driver!$F$209)*$BI$1</f>
        <v/>
      </c>
      <c r="BR902" s="40" t="inlineStr">
        <is>
          <t>21/22</t>
        </is>
      </c>
      <c r="BS902" s="10" t="inlineStr">
        <is>
          <t xml:space="preserve"> Rossignol</t>
        </is>
      </c>
      <c r="BT902" s="11" t="inlineStr">
        <is>
          <t xml:space="preserve"> Blackops Dreamer W</t>
        </is>
      </c>
      <c r="BU902" s="13" t="n">
        <v>150</v>
      </c>
      <c r="BV902" s="11" t="inlineStr">
        <is>
          <t xml:space="preserve"> Women's</t>
        </is>
      </c>
      <c r="BW902" s="13" t="n">
        <v>150</v>
      </c>
      <c r="BX902" s="13" t="n">
        <v>148.5</v>
      </c>
      <c r="BY902" s="13" t="n">
        <v>100</v>
      </c>
      <c r="BZ902" s="13" t="n">
        <v>125</v>
      </c>
      <c r="CA902" s="13" t="n">
        <v>117</v>
      </c>
      <c r="CB902" s="13" t="n">
        <v>89</v>
      </c>
      <c r="CC902" s="13" t="n">
        <v>107</v>
      </c>
      <c r="CD902" s="13" t="n">
        <v>16.8</v>
      </c>
      <c r="CE902" s="13" t="n">
        <v>1628</v>
      </c>
      <c r="CF902" s="13" t="n">
        <v>0.89</v>
      </c>
      <c r="CG902" s="13" t="n">
        <v>1448</v>
      </c>
      <c r="CH902" s="13" t="n">
        <v>148</v>
      </c>
      <c r="CI902" s="13" t="n">
        <v>57</v>
      </c>
      <c r="CJ902" s="13" t="n">
        <v>50</v>
      </c>
      <c r="CK902" s="13" t="n">
        <v>259</v>
      </c>
      <c r="CL902" s="13" t="n">
        <v>32</v>
      </c>
      <c r="CM902" s="13" t="n">
        <v>222</v>
      </c>
      <c r="CN902" s="13" t="n">
        <v>0.638</v>
      </c>
      <c r="CO902" s="13" t="n">
        <v>110</v>
      </c>
      <c r="CP902" s="13" t="n">
        <v>128</v>
      </c>
      <c r="CQ902" s="13" t="n">
        <v>149</v>
      </c>
      <c r="CR902" s="13" t="n">
        <v>5</v>
      </c>
      <c r="CS902" s="13" t="n">
        <v>5</v>
      </c>
      <c r="CT902" s="11" t="inlineStr">
        <is>
          <t xml:space="preserve"> Resort Freeride</t>
        </is>
      </c>
      <c r="CU902" s="13" t="n"/>
      <c r="CV902" s="13" t="n"/>
      <c r="CW902" s="13" t="n"/>
      <c r="CX902">
        <f>INDEX('Data_Price '!AG$2:AG$1266,MATCH(Data!$DN902,'Data_Price '!$AT$2:$AT$1266,0))</f>
        <v/>
      </c>
      <c r="CY902">
        <f>INDEX('Data_Price '!AH$2:AH$1266,MATCH(Data!$DN902,'Data_Price '!$AT$2:$AT$1266,0))</f>
        <v/>
      </c>
      <c r="CZ902">
        <f>INDEX('Data_Price '!AI$2:AI$1266,MATCH(Data!$DN902,'Data_Price '!$AT$2:$AT$1266,0))</f>
        <v/>
      </c>
      <c r="DA902">
        <f>INDEX('Data_Price '!AJ$2:AJ$1266,MATCH(Data!$DN902,'Data_Price '!$AT$2:$AT$1266,0))</f>
        <v/>
      </c>
      <c r="DB902">
        <f>INDEX('Data_Price '!AK$2:AK$1266,MATCH(Data!$DN902,'Data_Price '!$AT$2:$AT$1266,0))</f>
        <v/>
      </c>
      <c r="DC902">
        <f>INDEX('Data_Price '!AL$2:AL$1266,MATCH(Data!$DN902,'Data_Price '!$AT$2:$AT$1266,0))</f>
        <v/>
      </c>
      <c r="DD902">
        <f>INDEX('Data_Price '!AM$2:AM$1266,MATCH(Data!$DN902,'Data_Price '!$AT$2:$AT$1266,0))</f>
        <v/>
      </c>
      <c r="DE902">
        <f>INDEX('Data_Price '!AN$2:AN$1266,MATCH(Data!$DN902,'Data_Price '!$AT$2:$AT$1266,0))</f>
        <v/>
      </c>
      <c r="DF902">
        <f>INDEX('Data_Price '!AO$2:AO$1266,MATCH(Data!$DN902,'Data_Price '!$AT$2:$AT$1266,0))</f>
        <v/>
      </c>
      <c r="DG902">
        <f>INDEX('Data_Price '!AP$2:AP$1266,MATCH(Data!$DN902,'Data_Price '!$AT$2:$AT$1266,0))</f>
        <v/>
      </c>
      <c r="DH902">
        <f>INDEX('Data_Price '!AQ$2:AQ$1266,MATCH(Data!$DN902,'Data_Price '!$AT$2:$AT$1266,0))</f>
        <v/>
      </c>
      <c r="DI902">
        <f>INDEX('Data_Price '!AR$2:AR$1266,MATCH(Data!$DN902,'Data_Price '!$AT$2:$AT$1266,0))</f>
        <v/>
      </c>
      <c r="DJ902" s="138">
        <f>DA902</f>
        <v/>
      </c>
      <c r="DK902" s="138">
        <f>DE902</f>
        <v/>
      </c>
      <c r="DL902" s="138">
        <f>DI902</f>
        <v/>
      </c>
      <c r="DM902" s="303">
        <f>IF(LEFT(BT902,1)=" ",RIGHT(BT902,LEN(BT902)-1),BT902)</f>
        <v/>
      </c>
      <c r="DN902" s="138">
        <f>_xlfn.CONCAT(BS902,DM902,BU902,BV902)</f>
        <v/>
      </c>
      <c r="DO902" s="307" t="n"/>
    </row>
    <row r="903" ht="15.6" customHeight="1" s="184">
      <c r="B903" s="303">
        <f t="array" ref="B903">IF(OR(ISERROR(K903:P903)),FALSE,TRUE)</f>
        <v/>
      </c>
      <c r="C903" s="60">
        <f>OR(BR903=Driver!$G$50,Data!BR435=Driver!$H$50)</f>
        <v/>
      </c>
      <c r="D903" s="60">
        <f>OR(BV903=Driver!$G$51,BV903=Driver!$H$51)</f>
        <v/>
      </c>
      <c r="E903" s="60">
        <f>AND(BX903&gt;Driver!$F$54,BX903&lt;Driver!$G$54)</f>
        <v/>
      </c>
      <c r="F903" s="60">
        <f>CL903&gt;Driver!$F$56</f>
        <v/>
      </c>
      <c r="G903" s="60">
        <f>AND(CB903&gt;Driver!$F$55,CB903&lt;Driver!$G$55)</f>
        <v/>
      </c>
      <c r="H903" s="60">
        <f>AND(B903:G903)</f>
        <v/>
      </c>
      <c r="I903" s="60">
        <f>COUNTIFS($H$9:$H$1273,TRUE,$BT$9:$BT$1273,BT903)</f>
        <v/>
      </c>
      <c r="J903" s="60">
        <f t="array" ref="J903">NOT(OR(($H$9:$H$1273=TRUE)*($I$9:$I$1273&gt;0)*($BT$9:$BT$1273=BT903)*($K$9:$K$1273&gt;K903)))</f>
        <v/>
      </c>
      <c r="K903" s="108">
        <f>IFERROR(1-AVERAGE(X903:Y903),"")</f>
        <v/>
      </c>
      <c r="L903" s="108">
        <f>1-X903</f>
        <v/>
      </c>
      <c r="M903" s="108">
        <f>1-Y903</f>
        <v/>
      </c>
      <c r="N903" s="108">
        <f>1-Z903</f>
        <v/>
      </c>
      <c r="O903" s="108">
        <f>1-AA903</f>
        <v/>
      </c>
      <c r="P903" s="108">
        <f>1-AB903</f>
        <v/>
      </c>
      <c r="Q903" s="108" t="n"/>
      <c r="R903" s="108" t="n"/>
      <c r="S903" s="108">
        <f>1-AE903</f>
        <v/>
      </c>
      <c r="T903" s="108">
        <f>1-AF903</f>
        <v/>
      </c>
      <c r="U903" s="108">
        <f>1-AG903</f>
        <v/>
      </c>
      <c r="V903" s="108">
        <f>1-AH903</f>
        <v/>
      </c>
      <c r="W903" s="108">
        <f>1-AI903</f>
        <v/>
      </c>
      <c r="X903" s="108">
        <f>ABS(AJ903-AJ$1)</f>
        <v/>
      </c>
      <c r="Y903" s="108">
        <f>AVERAGE(Z903:AB903)</f>
        <v/>
      </c>
      <c r="Z903" s="108">
        <f>ABS(AL903-AL$1)</f>
        <v/>
      </c>
      <c r="AA903" s="108">
        <f>ABS(AM903-AM$1)</f>
        <v/>
      </c>
      <c r="AB903" s="108">
        <f>ABS(AN903-AN$1)</f>
        <v/>
      </c>
      <c r="AC903" s="108" t="n"/>
      <c r="AD903" s="108" t="n"/>
      <c r="AE903" s="108">
        <f>ABS(AQ$1-AQ903)</f>
        <v/>
      </c>
      <c r="AF903" s="108">
        <f>ABS(AR$1-AR903)</f>
        <v/>
      </c>
      <c r="AG903" s="108">
        <f>ABS(AS$1-AS903)</f>
        <v/>
      </c>
      <c r="AH903" s="108">
        <f>ABS(AT$1-AT903)</f>
        <v/>
      </c>
      <c r="AI903" s="108">
        <f>ABS(AU$1-AU903)</f>
        <v/>
      </c>
      <c r="AJ903" s="108">
        <f>(AV903-Driver!$K$179)/(Driver!$L$179-Driver!$K$179)</f>
        <v/>
      </c>
      <c r="AK903" s="108">
        <f>(AW903-Driver!$K$180)/(Driver!$L$180-Driver!$K$180)</f>
        <v/>
      </c>
      <c r="AL903" s="108">
        <f>(AX903-Driver!$K$181)/(Driver!$L$181-Driver!$K$181)</f>
        <v/>
      </c>
      <c r="AM903" s="108">
        <f>(AY903-Driver!$K$182)/(Driver!$L$182-Driver!$K$182)</f>
        <v/>
      </c>
      <c r="AN903" s="108">
        <f>(AZ903-Driver!$K$183)/(Driver!$L$183-Driver!$K$183)</f>
        <v/>
      </c>
      <c r="AO903" s="108" t="n"/>
      <c r="AP903" s="108" t="n"/>
      <c r="AQ903" s="108">
        <f>(BC903-Driver!$K$188)/(Driver!$L$188-Driver!$K$188)</f>
        <v/>
      </c>
      <c r="AR903" s="108">
        <f>MIN((BD903-Driver!$K$189)/(Driver!$L$189-Driver!$K$189),100%)</f>
        <v/>
      </c>
      <c r="AS903" s="108">
        <f>(BE903-Driver!$K$190)/(Driver!$L$190-Driver!$K$190)</f>
        <v/>
      </c>
      <c r="AT903" s="108">
        <f>(BF903-Driver!$K$191)/(Driver!$L$191-Driver!$K$191)</f>
        <v/>
      </c>
      <c r="AU903" s="108">
        <f>(BG903-Driver!$K$192)/(Driver!$L$192-Driver!$K$192)</f>
        <v/>
      </c>
      <c r="AV903" s="105">
        <f>IFERROR(BM903*BJ903^1/4,"")</f>
        <v/>
      </c>
      <c r="AW903" s="105">
        <f>IFERROR(SUM(AX903:AZ903),"")</f>
        <v/>
      </c>
      <c r="AX903" s="105">
        <f>IFERROR(BH903,"")</f>
        <v/>
      </c>
      <c r="AY903" s="105">
        <f>IFERROR(Driver!$K$19/Data!BH903/Data!BI903*Data!BK903*Data!BL903,"")</f>
        <v/>
      </c>
      <c r="AZ903" s="105">
        <f>IFERROR(BI903*BN903,"")</f>
        <v/>
      </c>
      <c r="BA903" s="105" t="n"/>
      <c r="BB903" s="105" t="n"/>
      <c r="BC903" s="105">
        <f>IFERROR(BI903*BN903*BK903/BJ903^(1/2),"")</f>
        <v/>
      </c>
      <c r="BD903" s="105">
        <f>IFERROR(BH903*BM903*BL903/BJ903/BK903,"")</f>
        <v/>
      </c>
      <c r="BE903" s="105">
        <f>IFERROR(MIN(BI903/BQ903/BP903/BO903/BH903,$BE$1),"")</f>
        <v/>
      </c>
      <c r="BF903" s="105">
        <f>IFERROR(BJ903*BO903*BP903/BK903,"")</f>
        <v/>
      </c>
      <c r="BG903" s="105">
        <f>IFERROR(1/BM903/BH903*BQ903,"")</f>
        <v/>
      </c>
      <c r="BH903" s="102">
        <f>MAX((CE903-Driver!$F$200)/(Driver!$G$200-Driver!$F$200)*$BI$1,1)</f>
        <v/>
      </c>
      <c r="BI903" s="102">
        <f>MAX($BI$1*(BY903-Driver!$F$201)/(Driver!$G$201-Driver!$F$201),1)</f>
        <v/>
      </c>
      <c r="BJ903" s="102">
        <f>(CB903-Driver!$F$206)/(Driver!$G$206-Driver!$F$206)*$BI$1</f>
        <v/>
      </c>
      <c r="BK903" s="102">
        <f>(CD903-Driver!$F$203)/(Driver!$G$203-Driver!$F$203)*$BI$1</f>
        <v/>
      </c>
      <c r="BL903" s="102">
        <f>MAX((CR903-Driver!$F$202)/(Driver!$G$202-Driver!$F$202)*$BI$1,1)</f>
        <v/>
      </c>
      <c r="BM903" s="102">
        <f>MAX((CH903-Driver!$F$204)/(Driver!$G$204-Driver!$F$204)*$BI$1,1)</f>
        <v/>
      </c>
      <c r="BN903" s="102">
        <f>(CI903-Driver!$F$205)/(Driver!$G$205-Driver!$F$205)*$BI$1</f>
        <v/>
      </c>
      <c r="BO903" s="102">
        <f>(CK903-Driver!$F$207)/(Driver!$G$207-Driver!$F$207)*$BI$1</f>
        <v/>
      </c>
      <c r="BP903" s="102">
        <f>(CM903-Driver!$F$208)/(Driver!$G$208-Driver!$F$208)*$BI$1</f>
        <v/>
      </c>
      <c r="BQ903" s="102">
        <f>(CL903-Driver!$F$209)/(Driver!$G$209-Driver!$F$209)*$BI$1</f>
        <v/>
      </c>
      <c r="BR903" s="40" t="inlineStr">
        <is>
          <t>21/22</t>
        </is>
      </c>
      <c r="BS903" s="10" t="inlineStr">
        <is>
          <t xml:space="preserve"> Elan</t>
        </is>
      </c>
      <c r="BT903" s="11" t="inlineStr">
        <is>
          <t xml:space="preserve"> Element W</t>
        </is>
      </c>
      <c r="BU903" s="13" t="n">
        <v>160</v>
      </c>
      <c r="BV903" s="11" t="inlineStr">
        <is>
          <t xml:space="preserve"> Women's</t>
        </is>
      </c>
      <c r="BW903" s="13" t="n">
        <v>160</v>
      </c>
      <c r="BX903" s="13" t="n">
        <v>159.5</v>
      </c>
      <c r="BY903" s="13" t="n">
        <v>136</v>
      </c>
      <c r="BZ903" s="13" t="n">
        <v>145</v>
      </c>
      <c r="CA903" s="13" t="n">
        <v>127</v>
      </c>
      <c r="CB903" s="13" t="n">
        <v>75</v>
      </c>
      <c r="CC903" s="13" t="n">
        <v>102</v>
      </c>
      <c r="CD903" s="13" t="n">
        <v>13.4</v>
      </c>
      <c r="CE903" s="13" t="n">
        <v>1737</v>
      </c>
      <c r="CF903" s="13" t="n">
        <v>0.83</v>
      </c>
      <c r="CG903" s="13" t="n">
        <v>1440</v>
      </c>
      <c r="CH903" s="13" t="n">
        <v>176</v>
      </c>
      <c r="CI903" s="13" t="n">
        <v>61</v>
      </c>
      <c r="CJ903" s="13" t="n">
        <v>37</v>
      </c>
      <c r="CK903" s="13" t="n">
        <v>164</v>
      </c>
      <c r="CL903" s="13" t="n">
        <v>10</v>
      </c>
      <c r="CM903" s="13" t="n">
        <v>73</v>
      </c>
      <c r="CN903" s="13" t="n">
        <v>0.268</v>
      </c>
      <c r="CO903" s="13" t="n">
        <v>82</v>
      </c>
      <c r="CP903" s="13" t="n">
        <v>59</v>
      </c>
      <c r="CQ903" s="13" t="n">
        <v>82</v>
      </c>
      <c r="CR903" s="13" t="n">
        <v>8</v>
      </c>
      <c r="CS903" s="13" t="n">
        <v>10.5</v>
      </c>
      <c r="CT903" s="11" t="inlineStr">
        <is>
          <t xml:space="preserve"> On-Piste Carving</t>
        </is>
      </c>
      <c r="CU903" s="13" t="n"/>
      <c r="CV903" s="13" t="n"/>
      <c r="CW903" s="13" t="n"/>
      <c r="CX903">
        <f>INDEX('Data_Price '!AG$2:AG$1266,MATCH(Data!$DN903,'Data_Price '!$AT$2:$AT$1266,0))</f>
        <v/>
      </c>
      <c r="CY903">
        <f>INDEX('Data_Price '!AH$2:AH$1266,MATCH(Data!$DN903,'Data_Price '!$AT$2:$AT$1266,0))</f>
        <v/>
      </c>
      <c r="CZ903">
        <f>INDEX('Data_Price '!AI$2:AI$1266,MATCH(Data!$DN903,'Data_Price '!$AT$2:$AT$1266,0))</f>
        <v/>
      </c>
      <c r="DA903">
        <f>INDEX('Data_Price '!AJ$2:AJ$1266,MATCH(Data!$DN903,'Data_Price '!$AT$2:$AT$1266,0))</f>
        <v/>
      </c>
      <c r="DB903">
        <f>INDEX('Data_Price '!AK$2:AK$1266,MATCH(Data!$DN903,'Data_Price '!$AT$2:$AT$1266,0))</f>
        <v/>
      </c>
      <c r="DC903">
        <f>INDEX('Data_Price '!AL$2:AL$1266,MATCH(Data!$DN903,'Data_Price '!$AT$2:$AT$1266,0))</f>
        <v/>
      </c>
      <c r="DD903">
        <f>INDEX('Data_Price '!AM$2:AM$1266,MATCH(Data!$DN903,'Data_Price '!$AT$2:$AT$1266,0))</f>
        <v/>
      </c>
      <c r="DE903">
        <f>INDEX('Data_Price '!AN$2:AN$1266,MATCH(Data!$DN903,'Data_Price '!$AT$2:$AT$1266,0))</f>
        <v/>
      </c>
      <c r="DF903">
        <f>INDEX('Data_Price '!AO$2:AO$1266,MATCH(Data!$DN903,'Data_Price '!$AT$2:$AT$1266,0))</f>
        <v/>
      </c>
      <c r="DG903">
        <f>INDEX('Data_Price '!AP$2:AP$1266,MATCH(Data!$DN903,'Data_Price '!$AT$2:$AT$1266,0))</f>
        <v/>
      </c>
      <c r="DH903">
        <f>INDEX('Data_Price '!AQ$2:AQ$1266,MATCH(Data!$DN903,'Data_Price '!$AT$2:$AT$1266,0))</f>
        <v/>
      </c>
      <c r="DI903">
        <f>INDEX('Data_Price '!AR$2:AR$1266,MATCH(Data!$DN903,'Data_Price '!$AT$2:$AT$1266,0))</f>
        <v/>
      </c>
      <c r="DJ903" s="138">
        <f>DA903</f>
        <v/>
      </c>
      <c r="DK903" s="138">
        <f>DE903</f>
        <v/>
      </c>
      <c r="DL903" s="138">
        <f>DI903</f>
        <v/>
      </c>
      <c r="DM903" s="303">
        <f>IF(LEFT(BT903,1)=" ",RIGHT(BT903,LEN(BT903)-1),BT903)</f>
        <v/>
      </c>
      <c r="DN903" s="138">
        <f>_xlfn.CONCAT(BS903,DM903,BU903,BV903)</f>
        <v/>
      </c>
      <c r="DO903" s="307" t="n"/>
    </row>
    <row r="904" ht="15.6" customHeight="1" s="184">
      <c r="B904" s="303">
        <f t="array" ref="B904">IF(OR(ISERROR(K904:P904)),FALSE,TRUE)</f>
        <v/>
      </c>
      <c r="C904" s="60">
        <f>OR(BR904=Driver!$G$50,Data!BR1268=Driver!$H$50)</f>
        <v/>
      </c>
      <c r="D904" s="60">
        <f>OR(BV904=Driver!$G$51,BV904=Driver!$H$51)</f>
        <v/>
      </c>
      <c r="E904" s="60">
        <f>AND(BX904&gt;Driver!$F$54,BX904&lt;Driver!$G$54)</f>
        <v/>
      </c>
      <c r="F904" s="60">
        <f>CL904&gt;Driver!$F$56</f>
        <v/>
      </c>
      <c r="G904" s="60">
        <f>AND(CB904&gt;Driver!$F$55,CB904&lt;Driver!$G$55)</f>
        <v/>
      </c>
      <c r="H904" s="60">
        <f>AND(B904:G904)</f>
        <v/>
      </c>
      <c r="I904" s="60">
        <f>COUNTIFS($H$9:$H$1273,TRUE,$BT$9:$BT$1273,BT904)</f>
        <v/>
      </c>
      <c r="J904" s="60">
        <f t="array" ref="J904">NOT(OR(($H$9:$H$1273=TRUE)*($I$9:$I$1273&gt;0)*($BT$9:$BT$1273=BT904)*($K$9:$K$1273&gt;K904)))</f>
        <v/>
      </c>
      <c r="K904" s="108">
        <f>IFERROR(1-AVERAGE(X904:Y904),"")</f>
        <v/>
      </c>
      <c r="L904" s="108">
        <f>1-X904</f>
        <v/>
      </c>
      <c r="M904" s="108">
        <f>1-Y904</f>
        <v/>
      </c>
      <c r="N904" s="108">
        <f>1-Z904</f>
        <v/>
      </c>
      <c r="O904" s="108">
        <f>1-AA904</f>
        <v/>
      </c>
      <c r="P904" s="108">
        <f>1-AB904</f>
        <v/>
      </c>
      <c r="Q904" s="108" t="n"/>
      <c r="R904" s="108" t="n"/>
      <c r="S904" s="108">
        <f>1-AE904</f>
        <v/>
      </c>
      <c r="T904" s="108">
        <f>1-AF904</f>
        <v/>
      </c>
      <c r="U904" s="108">
        <f>1-AG904</f>
        <v/>
      </c>
      <c r="V904" s="108">
        <f>1-AH904</f>
        <v/>
      </c>
      <c r="W904" s="108">
        <f>1-AI904</f>
        <v/>
      </c>
      <c r="X904" s="108">
        <f>ABS(AJ904-AJ$1)</f>
        <v/>
      </c>
      <c r="Y904" s="108">
        <f>AVERAGE(Z904:AB904)</f>
        <v/>
      </c>
      <c r="Z904" s="108">
        <f>ABS(AL904-AL$1)</f>
        <v/>
      </c>
      <c r="AA904" s="108">
        <f>ABS(AM904-AM$1)</f>
        <v/>
      </c>
      <c r="AB904" s="108">
        <f>ABS(AN904-AN$1)</f>
        <v/>
      </c>
      <c r="AC904" s="108" t="n"/>
      <c r="AD904" s="108" t="n"/>
      <c r="AE904" s="108">
        <f>ABS(AQ$1-AQ904)</f>
        <v/>
      </c>
      <c r="AF904" s="108">
        <f>ABS(AR$1-AR904)</f>
        <v/>
      </c>
      <c r="AG904" s="108">
        <f>ABS(AS$1-AS904)</f>
        <v/>
      </c>
      <c r="AH904" s="108">
        <f>ABS(AT$1-AT904)</f>
        <v/>
      </c>
      <c r="AI904" s="108">
        <f>ABS(AU$1-AU904)</f>
        <v/>
      </c>
      <c r="AJ904" s="108">
        <f>(AV904-Driver!$K$179)/(Driver!$L$179-Driver!$K$179)</f>
        <v/>
      </c>
      <c r="AK904" s="108">
        <f>(AW904-Driver!$K$180)/(Driver!$L$180-Driver!$K$180)</f>
        <v/>
      </c>
      <c r="AL904" s="108">
        <f>(AX904-Driver!$K$181)/(Driver!$L$181-Driver!$K$181)</f>
        <v/>
      </c>
      <c r="AM904" s="108">
        <f>(AY904-Driver!$K$182)/(Driver!$L$182-Driver!$K$182)</f>
        <v/>
      </c>
      <c r="AN904" s="108">
        <f>(AZ904-Driver!$K$183)/(Driver!$L$183-Driver!$K$183)</f>
        <v/>
      </c>
      <c r="AO904" s="108" t="n"/>
      <c r="AP904" s="108" t="n"/>
      <c r="AQ904" s="108">
        <f>(BC904-Driver!$K$188)/(Driver!$L$188-Driver!$K$188)</f>
        <v/>
      </c>
      <c r="AR904" s="108">
        <f>MIN((BD904-Driver!$K$189)/(Driver!$L$189-Driver!$K$189),100%)</f>
        <v/>
      </c>
      <c r="AS904" s="108">
        <f>(BE904-Driver!$K$190)/(Driver!$L$190-Driver!$K$190)</f>
        <v/>
      </c>
      <c r="AT904" s="108">
        <f>(BF904-Driver!$K$191)/(Driver!$L$191-Driver!$K$191)</f>
        <v/>
      </c>
      <c r="AU904" s="108">
        <f>(BG904-Driver!$K$192)/(Driver!$L$192-Driver!$K$192)</f>
        <v/>
      </c>
      <c r="AV904" s="105">
        <f>IFERROR(BM904*BJ904^1/4,"")</f>
        <v/>
      </c>
      <c r="AW904" s="105">
        <f>IFERROR(SUM(AX904:AZ904),"")</f>
        <v/>
      </c>
      <c r="AX904" s="105">
        <f>IFERROR(BH904,"")</f>
        <v/>
      </c>
      <c r="AY904" s="105">
        <f>IFERROR(Driver!$K$19/Data!BH904/Data!BI904*Data!BK904*Data!BL904,"")</f>
        <v/>
      </c>
      <c r="AZ904" s="105">
        <f>IFERROR(BI904*BN904,"")</f>
        <v/>
      </c>
      <c r="BA904" s="105" t="n"/>
      <c r="BB904" s="105" t="n"/>
      <c r="BC904" s="105">
        <f>IFERROR(BI904*BN904*BK904/BJ904^(1/2),"")</f>
        <v/>
      </c>
      <c r="BD904" s="105">
        <f>IFERROR(BH904*BM904*BL904/BJ904/BK904,"")</f>
        <v/>
      </c>
      <c r="BE904" s="105">
        <f>IFERROR(MIN(BI904/BQ904/BP904/BO904/BH904,$BE$1),"")</f>
        <v/>
      </c>
      <c r="BF904" s="105">
        <f>IFERROR(BJ904*BO904*BP904/BK904,"")</f>
        <v/>
      </c>
      <c r="BG904" s="105">
        <f>IFERROR(1/BM904/BH904*BQ904,"")</f>
        <v/>
      </c>
      <c r="BH904" s="102">
        <f>MAX((CE904-Driver!$F$200)/(Driver!$G$200-Driver!$F$200)*$BI$1,1)</f>
        <v/>
      </c>
      <c r="BI904" s="102">
        <f>MAX($BI$1*(BY904-Driver!$F$201)/(Driver!$G$201-Driver!$F$201),1)</f>
        <v/>
      </c>
      <c r="BJ904" s="102">
        <f>(CB904-Driver!$F$206)/(Driver!$G$206-Driver!$F$206)*$BI$1</f>
        <v/>
      </c>
      <c r="BK904" s="102">
        <f>(CD904-Driver!$F$203)/(Driver!$G$203-Driver!$F$203)*$BI$1</f>
        <v/>
      </c>
      <c r="BL904" s="102">
        <f>MAX((CR904-Driver!$F$202)/(Driver!$G$202-Driver!$F$202)*$BI$1,1)</f>
        <v/>
      </c>
      <c r="BM904" s="102">
        <f>MAX((CH904-Driver!$F$204)/(Driver!$G$204-Driver!$F$204)*$BI$1,1)</f>
        <v/>
      </c>
      <c r="BN904" s="102">
        <f>(CI904-Driver!$F$205)/(Driver!$G$205-Driver!$F$205)*$BI$1</f>
        <v/>
      </c>
      <c r="BO904" s="102">
        <f>(CK904-Driver!$F$207)/(Driver!$G$207-Driver!$F$207)*$BI$1</f>
        <v/>
      </c>
      <c r="BP904" s="102">
        <f>(CM904-Driver!$F$208)/(Driver!$G$208-Driver!$F$208)*$BI$1</f>
        <v/>
      </c>
      <c r="BQ904" s="102">
        <f>(CL904-Driver!$F$209)/(Driver!$G$209-Driver!$F$209)*$BI$1</f>
        <v/>
      </c>
      <c r="BR904" s="40" t="inlineStr">
        <is>
          <t>21/22</t>
        </is>
      </c>
      <c r="BS904" s="10" t="inlineStr">
        <is>
          <t xml:space="preserve"> Völkl</t>
        </is>
      </c>
      <c r="BT904" s="11" t="inlineStr">
        <is>
          <t>Yumi 80</t>
        </is>
      </c>
      <c r="BU904" s="13" t="n">
        <v>161</v>
      </c>
      <c r="BV904" s="11" t="inlineStr">
        <is>
          <t xml:space="preserve"> Women's</t>
        </is>
      </c>
      <c r="BW904" s="13" t="n">
        <v>161</v>
      </c>
      <c r="BX904" s="13" t="n">
        <v>161.3</v>
      </c>
      <c r="BY904" s="13" t="n">
        <v>124</v>
      </c>
      <c r="BZ904" s="13" t="n">
        <v>137</v>
      </c>
      <c r="CA904" s="13" t="n">
        <v>120</v>
      </c>
      <c r="CB904" s="13" t="n">
        <v>79</v>
      </c>
      <c r="CC904" s="13" t="n">
        <v>102</v>
      </c>
      <c r="CD904" s="13" t="n">
        <v>14.3</v>
      </c>
      <c r="CE904" s="13" t="n">
        <v>1359</v>
      </c>
      <c r="CF904" s="13" t="n">
        <v>1.09</v>
      </c>
      <c r="CG904" s="13" t="n">
        <v>1488</v>
      </c>
      <c r="CH904" s="13" t="n">
        <v>156</v>
      </c>
      <c r="CI904" s="13" t="n">
        <v>71</v>
      </c>
      <c r="CJ904" s="13" t="n">
        <v>38</v>
      </c>
      <c r="CK904" s="13" t="n">
        <v>208</v>
      </c>
      <c r="CL904" s="13" t="n">
        <v>13</v>
      </c>
      <c r="CM904" s="13" t="n">
        <v>161</v>
      </c>
      <c r="CN904" s="13" t="n">
        <v>0.348</v>
      </c>
      <c r="CO904" s="13" t="n">
        <v>136</v>
      </c>
      <c r="CP904" s="13" t="n">
        <v>103</v>
      </c>
      <c r="CQ904" s="13" t="n">
        <v>72</v>
      </c>
      <c r="CR904" s="13" t="n">
        <v>3</v>
      </c>
      <c r="CS904" s="13" t="n">
        <v>11.7</v>
      </c>
      <c r="CT904" s="11" t="inlineStr">
        <is>
          <t xml:space="preserve"> On-Piste All-Mountain</t>
        </is>
      </c>
      <c r="CU904" s="11" t="inlineStr">
        <is>
          <t xml:space="preserve"> Touring</t>
        </is>
      </c>
      <c r="CV904" s="13" t="n"/>
      <c r="CW904" s="13" t="n"/>
      <c r="CX904">
        <f>INDEX('Data_Price '!AG$2:AG$1266,MATCH(Data!$DN904,'Data_Price '!$AT$2:$AT$1266,0))</f>
        <v/>
      </c>
      <c r="CY904">
        <f>INDEX('Data_Price '!AH$2:AH$1266,MATCH(Data!$DN904,'Data_Price '!$AT$2:$AT$1266,0))</f>
        <v/>
      </c>
      <c r="CZ904">
        <f>INDEX('Data_Price '!AI$2:AI$1266,MATCH(Data!$DN904,'Data_Price '!$AT$2:$AT$1266,0))</f>
        <v/>
      </c>
      <c r="DA904">
        <f>INDEX('Data_Price '!AJ$2:AJ$1266,MATCH(Data!$DN904,'Data_Price '!$AT$2:$AT$1266,0))</f>
        <v/>
      </c>
      <c r="DB904">
        <f>INDEX('Data_Price '!AK$2:AK$1266,MATCH(Data!$DN904,'Data_Price '!$AT$2:$AT$1266,0))</f>
        <v/>
      </c>
      <c r="DC904">
        <f>INDEX('Data_Price '!AL$2:AL$1266,MATCH(Data!$DN904,'Data_Price '!$AT$2:$AT$1266,0))</f>
        <v/>
      </c>
      <c r="DD904">
        <f>INDEX('Data_Price '!AM$2:AM$1266,MATCH(Data!$DN904,'Data_Price '!$AT$2:$AT$1266,0))</f>
        <v/>
      </c>
      <c r="DE904">
        <f>INDEX('Data_Price '!AN$2:AN$1266,MATCH(Data!$DN904,'Data_Price '!$AT$2:$AT$1266,0))</f>
        <v/>
      </c>
      <c r="DF904">
        <f>INDEX('Data_Price '!AO$2:AO$1266,MATCH(Data!$DN904,'Data_Price '!$AT$2:$AT$1266,0))</f>
        <v/>
      </c>
      <c r="DG904">
        <f>INDEX('Data_Price '!AP$2:AP$1266,MATCH(Data!$DN904,'Data_Price '!$AT$2:$AT$1266,0))</f>
        <v/>
      </c>
      <c r="DH904">
        <f>INDEX('Data_Price '!AQ$2:AQ$1266,MATCH(Data!$DN904,'Data_Price '!$AT$2:$AT$1266,0))</f>
        <v/>
      </c>
      <c r="DI904">
        <f>INDEX('Data_Price '!AR$2:AR$1266,MATCH(Data!$DN904,'Data_Price '!$AT$2:$AT$1266,0))</f>
        <v/>
      </c>
      <c r="DJ904" s="138">
        <f>DA904</f>
        <v/>
      </c>
      <c r="DK904" s="138">
        <f>DE904</f>
        <v/>
      </c>
      <c r="DL904" s="138">
        <f>DI904</f>
        <v/>
      </c>
      <c r="DM904" s="303">
        <f>IF(LEFT(BT904,1)=" ",RIGHT(BT904,LEN(BT904)-1),BT904)</f>
        <v/>
      </c>
      <c r="DN904" s="138">
        <f>_xlfn.CONCAT(BS904,DM904,BU904,BV904)</f>
        <v/>
      </c>
      <c r="DO904" s="307" t="n"/>
    </row>
    <row r="905" ht="15.6" customHeight="1" s="184">
      <c r="B905" s="303">
        <f t="array" ref="B905">IF(OR(ISERROR(K905:P905)),FALSE,TRUE)</f>
        <v/>
      </c>
      <c r="C905" s="60">
        <f>OR(BR905=Driver!$G$50,Data!BR947=Driver!$H$50)</f>
        <v/>
      </c>
      <c r="D905" s="60">
        <f>OR(BV905=Driver!$G$51,BV905=Driver!$H$51)</f>
        <v/>
      </c>
      <c r="E905" s="60">
        <f>AND(BX905&gt;Driver!$F$54,BX905&lt;Driver!$G$54)</f>
        <v/>
      </c>
      <c r="F905" s="60">
        <f>CL905&gt;Driver!$F$56</f>
        <v/>
      </c>
      <c r="G905" s="60">
        <f>AND(CB905&gt;Driver!$F$55,CB905&lt;Driver!$G$55)</f>
        <v/>
      </c>
      <c r="H905" s="60">
        <f>AND(B905:G905)</f>
        <v/>
      </c>
      <c r="I905" s="60">
        <f>COUNTIFS($H$9:$H$1273,TRUE,$BT$9:$BT$1273,BT905)</f>
        <v/>
      </c>
      <c r="J905" s="60">
        <f t="array" ref="J905">NOT(OR(($H$9:$H$1273=TRUE)*($I$9:$I$1273&gt;0)*($BT$9:$BT$1273=BT905)*($K$9:$K$1273&gt;K905)))</f>
        <v/>
      </c>
      <c r="K905" s="108">
        <f>IFERROR(1-AVERAGE(X905:Y905),"")</f>
        <v/>
      </c>
      <c r="L905" s="108">
        <f>1-X905</f>
        <v/>
      </c>
      <c r="M905" s="108">
        <f>1-Y905</f>
        <v/>
      </c>
      <c r="N905" s="108">
        <f>1-Z905</f>
        <v/>
      </c>
      <c r="O905" s="108">
        <f>1-AA905</f>
        <v/>
      </c>
      <c r="P905" s="108">
        <f>1-AB905</f>
        <v/>
      </c>
      <c r="Q905" s="108" t="n"/>
      <c r="R905" s="108" t="n"/>
      <c r="S905" s="108">
        <f>1-AE905</f>
        <v/>
      </c>
      <c r="T905" s="108">
        <f>1-AF905</f>
        <v/>
      </c>
      <c r="U905" s="108">
        <f>1-AG905</f>
        <v/>
      </c>
      <c r="V905" s="108">
        <f>1-AH905</f>
        <v/>
      </c>
      <c r="W905" s="108">
        <f>1-AI905</f>
        <v/>
      </c>
      <c r="X905" s="108">
        <f>ABS(AJ905-AJ$1)</f>
        <v/>
      </c>
      <c r="Y905" s="108">
        <f>AVERAGE(Z905:AB905)</f>
        <v/>
      </c>
      <c r="Z905" s="108">
        <f>ABS(AL905-AL$1)</f>
        <v/>
      </c>
      <c r="AA905" s="108">
        <f>ABS(AM905-AM$1)</f>
        <v/>
      </c>
      <c r="AB905" s="108">
        <f>ABS(AN905-AN$1)</f>
        <v/>
      </c>
      <c r="AC905" s="108" t="n"/>
      <c r="AD905" s="108" t="n"/>
      <c r="AE905" s="108">
        <f>ABS(AQ$1-AQ905)</f>
        <v/>
      </c>
      <c r="AF905" s="108">
        <f>ABS(AR$1-AR905)</f>
        <v/>
      </c>
      <c r="AG905" s="108">
        <f>ABS(AS$1-AS905)</f>
        <v/>
      </c>
      <c r="AH905" s="108">
        <f>ABS(AT$1-AT905)</f>
        <v/>
      </c>
      <c r="AI905" s="108">
        <f>ABS(AU$1-AU905)</f>
        <v/>
      </c>
      <c r="AJ905" s="108">
        <f>(AV905-Driver!$K$179)/(Driver!$L$179-Driver!$K$179)</f>
        <v/>
      </c>
      <c r="AK905" s="108">
        <f>(AW905-Driver!$K$180)/(Driver!$L$180-Driver!$K$180)</f>
        <v/>
      </c>
      <c r="AL905" s="108">
        <f>(AX905-Driver!$K$181)/(Driver!$L$181-Driver!$K$181)</f>
        <v/>
      </c>
      <c r="AM905" s="108">
        <f>(AY905-Driver!$K$182)/(Driver!$L$182-Driver!$K$182)</f>
        <v/>
      </c>
      <c r="AN905" s="108">
        <f>(AZ905-Driver!$K$183)/(Driver!$L$183-Driver!$K$183)</f>
        <v/>
      </c>
      <c r="AO905" s="108" t="n"/>
      <c r="AP905" s="108" t="n"/>
      <c r="AQ905" s="108">
        <f>(BC905-Driver!$K$188)/(Driver!$L$188-Driver!$K$188)</f>
        <v/>
      </c>
      <c r="AR905" s="108">
        <f>MIN((BD905-Driver!$K$189)/(Driver!$L$189-Driver!$K$189),100%)</f>
        <v/>
      </c>
      <c r="AS905" s="108">
        <f>(BE905-Driver!$K$190)/(Driver!$L$190-Driver!$K$190)</f>
        <v/>
      </c>
      <c r="AT905" s="108">
        <f>(BF905-Driver!$K$191)/(Driver!$L$191-Driver!$K$191)</f>
        <v/>
      </c>
      <c r="AU905" s="108">
        <f>(BG905-Driver!$K$192)/(Driver!$L$192-Driver!$K$192)</f>
        <v/>
      </c>
      <c r="AV905" s="105">
        <f>IFERROR(BM905*BJ905^1/4,"")</f>
        <v/>
      </c>
      <c r="AW905" s="105">
        <f>IFERROR(SUM(AX905:AZ905),"")</f>
        <v/>
      </c>
      <c r="AX905" s="105">
        <f>IFERROR(BH905,"")</f>
        <v/>
      </c>
      <c r="AY905" s="105">
        <f>IFERROR(Driver!$K$19/Data!BH905/Data!BI905*Data!BK905*Data!BL905,"")</f>
        <v/>
      </c>
      <c r="AZ905" s="105">
        <f>IFERROR(BI905*BN905,"")</f>
        <v/>
      </c>
      <c r="BA905" s="105" t="n"/>
      <c r="BB905" s="105" t="n"/>
      <c r="BC905" s="105">
        <f>IFERROR(BI905*BN905*BK905/BJ905^(1/2),"")</f>
        <v/>
      </c>
      <c r="BD905" s="105">
        <f>IFERROR(BH905*BM905*BL905/BJ905/BK905,"")</f>
        <v/>
      </c>
      <c r="BE905" s="105">
        <f>IFERROR(MIN(BI905/BQ905/BP905/BO905/BH905,$BE$1),"")</f>
        <v/>
      </c>
      <c r="BF905" s="105">
        <f>IFERROR(BJ905*BO905*BP905/BK905,"")</f>
        <v/>
      </c>
      <c r="BG905" s="105">
        <f>IFERROR(1/BM905/BH905*BQ905,"")</f>
        <v/>
      </c>
      <c r="BH905" s="102">
        <f>MAX((CE905-Driver!$F$200)/(Driver!$G$200-Driver!$F$200)*$BI$1,1)</f>
        <v/>
      </c>
      <c r="BI905" s="102">
        <f>MAX($BI$1*(BY905-Driver!$F$201)/(Driver!$G$201-Driver!$F$201),1)</f>
        <v/>
      </c>
      <c r="BJ905" s="102">
        <f>(CB905-Driver!$F$206)/(Driver!$G$206-Driver!$F$206)*$BI$1</f>
        <v/>
      </c>
      <c r="BK905" s="102">
        <f>(CD905-Driver!$F$203)/(Driver!$G$203-Driver!$F$203)*$BI$1</f>
        <v/>
      </c>
      <c r="BL905" s="102">
        <f>MAX((CR905-Driver!$F$202)/(Driver!$G$202-Driver!$F$202)*$BI$1,1)</f>
        <v/>
      </c>
      <c r="BM905" s="102">
        <f>MAX((CH905-Driver!$F$204)/(Driver!$G$204-Driver!$F$204)*$BI$1,1)</f>
        <v/>
      </c>
      <c r="BN905" s="102">
        <f>(CI905-Driver!$F$205)/(Driver!$G$205-Driver!$F$205)*$BI$1</f>
        <v/>
      </c>
      <c r="BO905" s="102">
        <f>(CK905-Driver!$F$207)/(Driver!$G$207-Driver!$F$207)*$BI$1</f>
        <v/>
      </c>
      <c r="BP905" s="102">
        <f>(CM905-Driver!$F$208)/(Driver!$G$208-Driver!$F$208)*$BI$1</f>
        <v/>
      </c>
      <c r="BQ905" s="102">
        <f>(CL905-Driver!$F$209)/(Driver!$G$209-Driver!$F$209)*$BI$1</f>
        <v/>
      </c>
      <c r="BR905" s="40" t="inlineStr">
        <is>
          <t>21/22</t>
        </is>
      </c>
      <c r="BS905" s="10" t="inlineStr">
        <is>
          <t xml:space="preserve"> Nordica</t>
        </is>
      </c>
      <c r="BT905" s="11" t="inlineStr">
        <is>
          <t>Wild Belle 74</t>
        </is>
      </c>
      <c r="BU905" s="13" t="n">
        <v>156</v>
      </c>
      <c r="BV905" s="11" t="inlineStr">
        <is>
          <t xml:space="preserve"> Women's</t>
        </is>
      </c>
      <c r="BW905" s="13" t="n">
        <v>156</v>
      </c>
      <c r="BX905" s="13" t="n">
        <v>155</v>
      </c>
      <c r="BY905" s="13" t="n">
        <v>132</v>
      </c>
      <c r="BZ905" s="13" t="n">
        <v>141</v>
      </c>
      <c r="CA905" s="13" t="n">
        <v>124</v>
      </c>
      <c r="CB905" s="13" t="n">
        <v>74</v>
      </c>
      <c r="CC905" s="13" t="n">
        <v>103</v>
      </c>
      <c r="CD905" s="13" t="n">
        <v>12.6</v>
      </c>
      <c r="CE905" s="13" t="n">
        <v>1654</v>
      </c>
      <c r="CF905" s="13" t="n">
        <v>0.83</v>
      </c>
      <c r="CG905" s="13" t="n">
        <v>1379</v>
      </c>
      <c r="CH905" s="13" t="n">
        <v>165</v>
      </c>
      <c r="CI905" s="13" t="n">
        <v>65</v>
      </c>
      <c r="CJ905" s="13" t="n">
        <v>39</v>
      </c>
      <c r="CK905" s="13" t="n">
        <v>164</v>
      </c>
      <c r="CL905" s="13" t="n">
        <v>12</v>
      </c>
      <c r="CM905" s="13" t="n">
        <v>68</v>
      </c>
      <c r="CN905" s="13" t="n">
        <v>0.301</v>
      </c>
      <c r="CO905" s="13" t="n">
        <v>65</v>
      </c>
      <c r="CP905" s="13" t="n">
        <v>70</v>
      </c>
      <c r="CQ905" s="13" t="n">
        <v>98</v>
      </c>
      <c r="CR905" s="13" t="n">
        <v>7</v>
      </c>
      <c r="CS905" s="13" t="n">
        <v>9.699999999999999</v>
      </c>
      <c r="CT905" s="11" t="inlineStr">
        <is>
          <t xml:space="preserve"> On-Piste Carving</t>
        </is>
      </c>
      <c r="CU905" s="13" t="n"/>
      <c r="CV905" s="13" t="n"/>
      <c r="CW905" s="13" t="n"/>
      <c r="CX905">
        <f>INDEX('Data_Price '!AG$2:AG$1266,MATCH(Data!$DN905,'Data_Price '!$AT$2:$AT$1266,0))</f>
        <v/>
      </c>
      <c r="CY905">
        <f>INDEX('Data_Price '!AH$2:AH$1266,MATCH(Data!$DN905,'Data_Price '!$AT$2:$AT$1266,0))</f>
        <v/>
      </c>
      <c r="CZ905">
        <f>INDEX('Data_Price '!AI$2:AI$1266,MATCH(Data!$DN905,'Data_Price '!$AT$2:$AT$1266,0))</f>
        <v/>
      </c>
      <c r="DA905">
        <f>INDEX('Data_Price '!AJ$2:AJ$1266,MATCH(Data!$DN905,'Data_Price '!$AT$2:$AT$1266,0))</f>
        <v/>
      </c>
      <c r="DB905">
        <f>INDEX('Data_Price '!AK$2:AK$1266,MATCH(Data!$DN905,'Data_Price '!$AT$2:$AT$1266,0))</f>
        <v/>
      </c>
      <c r="DC905">
        <f>INDEX('Data_Price '!AL$2:AL$1266,MATCH(Data!$DN905,'Data_Price '!$AT$2:$AT$1266,0))</f>
        <v/>
      </c>
      <c r="DD905">
        <f>INDEX('Data_Price '!AM$2:AM$1266,MATCH(Data!$DN905,'Data_Price '!$AT$2:$AT$1266,0))</f>
        <v/>
      </c>
      <c r="DE905">
        <f>INDEX('Data_Price '!AN$2:AN$1266,MATCH(Data!$DN905,'Data_Price '!$AT$2:$AT$1266,0))</f>
        <v/>
      </c>
      <c r="DF905">
        <f>INDEX('Data_Price '!AO$2:AO$1266,MATCH(Data!$DN905,'Data_Price '!$AT$2:$AT$1266,0))</f>
        <v/>
      </c>
      <c r="DG905">
        <f>INDEX('Data_Price '!AP$2:AP$1266,MATCH(Data!$DN905,'Data_Price '!$AT$2:$AT$1266,0))</f>
        <v/>
      </c>
      <c r="DH905">
        <f>INDEX('Data_Price '!AQ$2:AQ$1266,MATCH(Data!$DN905,'Data_Price '!$AT$2:$AT$1266,0))</f>
        <v/>
      </c>
      <c r="DI905">
        <f>INDEX('Data_Price '!AR$2:AR$1266,MATCH(Data!$DN905,'Data_Price '!$AT$2:$AT$1266,0))</f>
        <v/>
      </c>
      <c r="DJ905" s="138">
        <f>DA905</f>
        <v/>
      </c>
      <c r="DK905" s="138">
        <f>DE905</f>
        <v/>
      </c>
      <c r="DL905" s="138">
        <f>DI905</f>
        <v/>
      </c>
      <c r="DM905" s="303">
        <f>IF(LEFT(BT905,1)=" ",RIGHT(BT905,LEN(BT905)-1),BT905)</f>
        <v/>
      </c>
      <c r="DN905" s="138">
        <f>_xlfn.CONCAT(BS905,DM905,BU905,BV905)</f>
        <v/>
      </c>
      <c r="DO905" s="307" t="n"/>
    </row>
    <row r="906" ht="15.6" customHeight="1" s="184">
      <c r="B906" s="303">
        <f t="array" ref="B906">IF(OR(ISERROR(K906:P906)),FALSE,TRUE)</f>
        <v/>
      </c>
      <c r="C906" s="60">
        <f>OR(BR906=Driver!$G$50,Data!BR738=Driver!$H$50)</f>
        <v/>
      </c>
      <c r="D906" s="60">
        <f>OR(BV906=Driver!$G$51,BV906=Driver!$H$51)</f>
        <v/>
      </c>
      <c r="E906" s="60">
        <f>AND(BX906&gt;Driver!$F$54,BX906&lt;Driver!$G$54)</f>
        <v/>
      </c>
      <c r="F906" s="60">
        <f>CL906&gt;Driver!$F$56</f>
        <v/>
      </c>
      <c r="G906" s="60">
        <f>AND(CB906&gt;Driver!$F$55,CB906&lt;Driver!$G$55)</f>
        <v/>
      </c>
      <c r="H906" s="60">
        <f>AND(B906:G906)</f>
        <v/>
      </c>
      <c r="I906" s="60">
        <f>COUNTIFS($H$9:$H$1273,TRUE,$BT$9:$BT$1273,BT906)</f>
        <v/>
      </c>
      <c r="J906" s="60">
        <f t="array" ref="J906">NOT(OR(($H$9:$H$1273=TRUE)*($I$9:$I$1273&gt;0)*($BT$9:$BT$1273=BT906)*($K$9:$K$1273&gt;K906)))</f>
        <v/>
      </c>
      <c r="K906" s="108">
        <f>IFERROR(1-AVERAGE(X906:Y906),"")</f>
        <v/>
      </c>
      <c r="L906" s="108">
        <f>1-X906</f>
        <v/>
      </c>
      <c r="M906" s="108">
        <f>1-Y906</f>
        <v/>
      </c>
      <c r="N906" s="108">
        <f>1-Z906</f>
        <v/>
      </c>
      <c r="O906" s="108">
        <f>1-AA906</f>
        <v/>
      </c>
      <c r="P906" s="108">
        <f>1-AB906</f>
        <v/>
      </c>
      <c r="Q906" s="108" t="n"/>
      <c r="R906" s="108" t="n"/>
      <c r="S906" s="108">
        <f>1-AE906</f>
        <v/>
      </c>
      <c r="T906" s="108">
        <f>1-AF906</f>
        <v/>
      </c>
      <c r="U906" s="108">
        <f>1-AG906</f>
        <v/>
      </c>
      <c r="V906" s="108">
        <f>1-AH906</f>
        <v/>
      </c>
      <c r="W906" s="108">
        <f>1-AI906</f>
        <v/>
      </c>
      <c r="X906" s="108">
        <f>ABS(AJ906-AJ$1)</f>
        <v/>
      </c>
      <c r="Y906" s="108">
        <f>AVERAGE(Z906:AB906)</f>
        <v/>
      </c>
      <c r="Z906" s="108">
        <f>ABS(AL906-AL$1)</f>
        <v/>
      </c>
      <c r="AA906" s="108">
        <f>ABS(AM906-AM$1)</f>
        <v/>
      </c>
      <c r="AB906" s="108">
        <f>ABS(AN906-AN$1)</f>
        <v/>
      </c>
      <c r="AC906" s="108" t="n"/>
      <c r="AD906" s="108" t="n"/>
      <c r="AE906" s="108">
        <f>ABS(AQ$1-AQ906)</f>
        <v/>
      </c>
      <c r="AF906" s="108">
        <f>ABS(AR$1-AR906)</f>
        <v/>
      </c>
      <c r="AG906" s="108">
        <f>ABS(AS$1-AS906)</f>
        <v/>
      </c>
      <c r="AH906" s="108">
        <f>ABS(AT$1-AT906)</f>
        <v/>
      </c>
      <c r="AI906" s="108">
        <f>ABS(AU$1-AU906)</f>
        <v/>
      </c>
      <c r="AJ906" s="108">
        <f>(AV906-Driver!$K$179)/(Driver!$L$179-Driver!$K$179)</f>
        <v/>
      </c>
      <c r="AK906" s="108">
        <f>(AW906-Driver!$K$180)/(Driver!$L$180-Driver!$K$180)</f>
        <v/>
      </c>
      <c r="AL906" s="108">
        <f>(AX906-Driver!$K$181)/(Driver!$L$181-Driver!$K$181)</f>
        <v/>
      </c>
      <c r="AM906" s="108">
        <f>(AY906-Driver!$K$182)/(Driver!$L$182-Driver!$K$182)</f>
        <v/>
      </c>
      <c r="AN906" s="108">
        <f>(AZ906-Driver!$K$183)/(Driver!$L$183-Driver!$K$183)</f>
        <v/>
      </c>
      <c r="AO906" s="108" t="n"/>
      <c r="AP906" s="108" t="n"/>
      <c r="AQ906" s="108">
        <f>(BC906-Driver!$K$188)/(Driver!$L$188-Driver!$K$188)</f>
        <v/>
      </c>
      <c r="AR906" s="108">
        <f>MIN((BD906-Driver!$K$189)/(Driver!$L$189-Driver!$K$189),100%)</f>
        <v/>
      </c>
      <c r="AS906" s="108">
        <f>(BE906-Driver!$K$190)/(Driver!$L$190-Driver!$K$190)</f>
        <v/>
      </c>
      <c r="AT906" s="108">
        <f>(BF906-Driver!$K$191)/(Driver!$L$191-Driver!$K$191)</f>
        <v/>
      </c>
      <c r="AU906" s="108">
        <f>(BG906-Driver!$K$192)/(Driver!$L$192-Driver!$K$192)</f>
        <v/>
      </c>
      <c r="AV906" s="105">
        <f>IFERROR(BM906*BJ906^1/4,"")</f>
        <v/>
      </c>
      <c r="AW906" s="105">
        <f>IFERROR(SUM(AX906:AZ906),"")</f>
        <v/>
      </c>
      <c r="AX906" s="105">
        <f>IFERROR(BH906,"")</f>
        <v/>
      </c>
      <c r="AY906" s="105">
        <f>IFERROR(Driver!$K$19/Data!BH906/Data!BI906*Data!BK906*Data!BL906,"")</f>
        <v/>
      </c>
      <c r="AZ906" s="105">
        <f>IFERROR(BI906*BN906,"")</f>
        <v/>
      </c>
      <c r="BA906" s="105" t="n"/>
      <c r="BB906" s="105" t="n"/>
      <c r="BC906" s="105">
        <f>IFERROR(BI906*BN906*BK906/BJ906^(1/2),"")</f>
        <v/>
      </c>
      <c r="BD906" s="105">
        <f>IFERROR(BH906*BM906*BL906/BJ906/BK906,"")</f>
        <v/>
      </c>
      <c r="BE906" s="105">
        <f>IFERROR(MIN(BI906/BQ906/BP906/BO906/BH906,$BE$1),"")</f>
        <v/>
      </c>
      <c r="BF906" s="105">
        <f>IFERROR(BJ906*BO906*BP906/BK906,"")</f>
        <v/>
      </c>
      <c r="BG906" s="105">
        <f>IFERROR(1/BM906/BH906*BQ906,"")</f>
        <v/>
      </c>
      <c r="BH906" s="102">
        <f>MAX((CE906-Driver!$F$200)/(Driver!$G$200-Driver!$F$200)*$BI$1,1)</f>
        <v/>
      </c>
      <c r="BI906" s="102">
        <f>MAX($BI$1*(BY906-Driver!$F$201)/(Driver!$G$201-Driver!$F$201),1)</f>
        <v/>
      </c>
      <c r="BJ906" s="102">
        <f>(CB906-Driver!$F$206)/(Driver!$G$206-Driver!$F$206)*$BI$1</f>
        <v/>
      </c>
      <c r="BK906" s="102">
        <f>(CD906-Driver!$F$203)/(Driver!$G$203-Driver!$F$203)*$BI$1</f>
        <v/>
      </c>
      <c r="BL906" s="102">
        <f>MAX((CR906-Driver!$F$202)/(Driver!$G$202-Driver!$F$202)*$BI$1,1)</f>
        <v/>
      </c>
      <c r="BM906" s="102">
        <f>MAX((CH906-Driver!$F$204)/(Driver!$G$204-Driver!$F$204)*$BI$1,1)</f>
        <v/>
      </c>
      <c r="BN906" s="102">
        <f>(CI906-Driver!$F$205)/(Driver!$G$205-Driver!$F$205)*$BI$1</f>
        <v/>
      </c>
      <c r="BO906" s="102">
        <f>(CK906-Driver!$F$207)/(Driver!$G$207-Driver!$F$207)*$BI$1</f>
        <v/>
      </c>
      <c r="BP906" s="102">
        <f>(CM906-Driver!$F$208)/(Driver!$G$208-Driver!$F$208)*$BI$1</f>
        <v/>
      </c>
      <c r="BQ906" s="102">
        <f>(CL906-Driver!$F$209)/(Driver!$G$209-Driver!$F$209)*$BI$1</f>
        <v/>
      </c>
      <c r="BR906" s="40" t="inlineStr">
        <is>
          <t>21/22</t>
        </is>
      </c>
      <c r="BS906" s="10" t="inlineStr">
        <is>
          <t xml:space="preserve"> K2</t>
        </is>
      </c>
      <c r="BT906" s="11" t="inlineStr">
        <is>
          <t>Mindbender 90 C Alliance</t>
        </is>
      </c>
      <c r="BU906" s="13" t="n">
        <v>163</v>
      </c>
      <c r="BV906" s="11" t="inlineStr">
        <is>
          <t xml:space="preserve"> Women's</t>
        </is>
      </c>
      <c r="BW906" s="13" t="n">
        <v>163</v>
      </c>
      <c r="BX906" s="13" t="n">
        <v>163.4</v>
      </c>
      <c r="BY906" s="13" t="n">
        <v>124</v>
      </c>
      <c r="BZ906" s="13" t="n">
        <v>138</v>
      </c>
      <c r="CA906" s="13" t="n">
        <v>126</v>
      </c>
      <c r="CB906" s="13" t="n">
        <v>89</v>
      </c>
      <c r="CC906" s="13" t="n">
        <v>112</v>
      </c>
      <c r="CD906" s="13" t="n">
        <v>14.7</v>
      </c>
      <c r="CE906" s="13" t="n">
        <v>1490</v>
      </c>
      <c r="CF906" s="13" t="n">
        <v>1.12</v>
      </c>
      <c r="CG906" s="13" t="n">
        <v>1662</v>
      </c>
      <c r="CH906" s="13" t="n">
        <v>135</v>
      </c>
      <c r="CI906" s="13" t="n">
        <v>66</v>
      </c>
      <c r="CJ906" s="13" t="n">
        <v>45</v>
      </c>
      <c r="CK906" s="13" t="n">
        <v>229</v>
      </c>
      <c r="CL906" s="13" t="n">
        <v>15</v>
      </c>
      <c r="CM906" s="13" t="n">
        <v>169</v>
      </c>
      <c r="CN906" s="13" t="n">
        <v>0.332</v>
      </c>
      <c r="CO906" s="13" t="n">
        <v>142</v>
      </c>
      <c r="CP906" s="13" t="n">
        <v>114</v>
      </c>
      <c r="CQ906" s="13" t="n">
        <v>86</v>
      </c>
      <c r="CR906" s="13" t="n">
        <v>6</v>
      </c>
      <c r="CS906" s="13" t="n">
        <v>10</v>
      </c>
      <c r="CT906" s="11" t="inlineStr">
        <is>
          <t xml:space="preserve"> Resort Freeride</t>
        </is>
      </c>
      <c r="CU906" s="11" t="inlineStr">
        <is>
          <t xml:space="preserve"> Touring</t>
        </is>
      </c>
      <c r="CV906" s="13" t="n"/>
      <c r="CW906" s="13" t="n"/>
      <c r="CX906">
        <f>INDEX('Data_Price '!AG$2:AG$1266,MATCH(Data!$DN906,'Data_Price '!$AT$2:$AT$1266,0))</f>
        <v/>
      </c>
      <c r="CY906">
        <f>INDEX('Data_Price '!AH$2:AH$1266,MATCH(Data!$DN906,'Data_Price '!$AT$2:$AT$1266,0))</f>
        <v/>
      </c>
      <c r="CZ906">
        <f>INDEX('Data_Price '!AI$2:AI$1266,MATCH(Data!$DN906,'Data_Price '!$AT$2:$AT$1266,0))</f>
        <v/>
      </c>
      <c r="DA906">
        <f>INDEX('Data_Price '!AJ$2:AJ$1266,MATCH(Data!$DN906,'Data_Price '!$AT$2:$AT$1266,0))</f>
        <v/>
      </c>
      <c r="DB906">
        <f>INDEX('Data_Price '!AK$2:AK$1266,MATCH(Data!$DN906,'Data_Price '!$AT$2:$AT$1266,0))</f>
        <v/>
      </c>
      <c r="DC906">
        <f>INDEX('Data_Price '!AL$2:AL$1266,MATCH(Data!$DN906,'Data_Price '!$AT$2:$AT$1266,0))</f>
        <v/>
      </c>
      <c r="DD906">
        <f>INDEX('Data_Price '!AM$2:AM$1266,MATCH(Data!$DN906,'Data_Price '!$AT$2:$AT$1266,0))</f>
        <v/>
      </c>
      <c r="DE906">
        <f>INDEX('Data_Price '!AN$2:AN$1266,MATCH(Data!$DN906,'Data_Price '!$AT$2:$AT$1266,0))</f>
        <v/>
      </c>
      <c r="DF906">
        <f>INDEX('Data_Price '!AO$2:AO$1266,MATCH(Data!$DN906,'Data_Price '!$AT$2:$AT$1266,0))</f>
        <v/>
      </c>
      <c r="DG906">
        <f>INDEX('Data_Price '!AP$2:AP$1266,MATCH(Data!$DN906,'Data_Price '!$AT$2:$AT$1266,0))</f>
        <v/>
      </c>
      <c r="DH906">
        <f>INDEX('Data_Price '!AQ$2:AQ$1266,MATCH(Data!$DN906,'Data_Price '!$AT$2:$AT$1266,0))</f>
        <v/>
      </c>
      <c r="DI906">
        <f>INDEX('Data_Price '!AR$2:AR$1266,MATCH(Data!$DN906,'Data_Price '!$AT$2:$AT$1266,0))</f>
        <v/>
      </c>
      <c r="DJ906" s="138">
        <f>DA906</f>
        <v/>
      </c>
      <c r="DK906" s="138">
        <f>DE906</f>
        <v/>
      </c>
      <c r="DL906" s="138">
        <f>DI906</f>
        <v/>
      </c>
      <c r="DM906" s="303">
        <f>IF(LEFT(BT906,1)=" ",RIGHT(BT906,LEN(BT906)-1),BT906)</f>
        <v/>
      </c>
      <c r="DN906" s="138">
        <f>_xlfn.CONCAT(BS906,DM906,BU906,BV906)</f>
        <v/>
      </c>
      <c r="DO906" s="307" t="n"/>
    </row>
    <row r="907" ht="15.6" customHeight="1" s="184">
      <c r="B907" s="303">
        <f t="array" ref="B907">IF(OR(ISERROR(K907:P907)),FALSE,TRUE)</f>
        <v/>
      </c>
      <c r="C907" s="60">
        <f>OR(BR907=Driver!$G$50,Data!BR730=Driver!$H$50)</f>
        <v/>
      </c>
      <c r="D907" s="60">
        <f>OR(BV907=Driver!$G$51,BV907=Driver!$H$51)</f>
        <v/>
      </c>
      <c r="E907" s="60">
        <f>AND(BX907&gt;Driver!$F$54,BX907&lt;Driver!$G$54)</f>
        <v/>
      </c>
      <c r="F907" s="60">
        <f>CL907&gt;Driver!$F$56</f>
        <v/>
      </c>
      <c r="G907" s="60">
        <f>AND(CB907&gt;Driver!$F$55,CB907&lt;Driver!$G$55)</f>
        <v/>
      </c>
      <c r="H907" s="60">
        <f>AND(B907:G907)</f>
        <v/>
      </c>
      <c r="I907" s="60">
        <f>COUNTIFS($H$9:$H$1273,TRUE,$BT$9:$BT$1273,BT907)</f>
        <v/>
      </c>
      <c r="J907" s="60">
        <f t="array" ref="J907">NOT(OR(($H$9:$H$1273=TRUE)*($I$9:$I$1273&gt;0)*($BT$9:$BT$1273=BT907)*($K$9:$K$1273&gt;K907)))</f>
        <v/>
      </c>
      <c r="K907" s="108">
        <f>IFERROR(1-AVERAGE(X907:Y907),"")</f>
        <v/>
      </c>
      <c r="L907" s="108">
        <f>1-X907</f>
        <v/>
      </c>
      <c r="M907" s="108">
        <f>1-Y907</f>
        <v/>
      </c>
      <c r="N907" s="108">
        <f>1-Z907</f>
        <v/>
      </c>
      <c r="O907" s="108">
        <f>1-AA907</f>
        <v/>
      </c>
      <c r="P907" s="108">
        <f>1-AB907</f>
        <v/>
      </c>
      <c r="Q907" s="108" t="n"/>
      <c r="R907" s="108" t="n"/>
      <c r="S907" s="108">
        <f>1-AE907</f>
        <v/>
      </c>
      <c r="T907" s="108">
        <f>1-AF907</f>
        <v/>
      </c>
      <c r="U907" s="108">
        <f>1-AG907</f>
        <v/>
      </c>
      <c r="V907" s="108">
        <f>1-AH907</f>
        <v/>
      </c>
      <c r="W907" s="108">
        <f>1-AI907</f>
        <v/>
      </c>
      <c r="X907" s="108">
        <f>ABS(AJ907-AJ$1)</f>
        <v/>
      </c>
      <c r="Y907" s="108">
        <f>AVERAGE(Z907:AB907)</f>
        <v/>
      </c>
      <c r="Z907" s="108">
        <f>ABS(AL907-AL$1)</f>
        <v/>
      </c>
      <c r="AA907" s="108">
        <f>ABS(AM907-AM$1)</f>
        <v/>
      </c>
      <c r="AB907" s="108">
        <f>ABS(AN907-AN$1)</f>
        <v/>
      </c>
      <c r="AC907" s="108" t="n"/>
      <c r="AD907" s="108" t="n"/>
      <c r="AE907" s="108">
        <f>ABS(AQ$1-AQ907)</f>
        <v/>
      </c>
      <c r="AF907" s="108">
        <f>ABS(AR$1-AR907)</f>
        <v/>
      </c>
      <c r="AG907" s="108">
        <f>ABS(AS$1-AS907)</f>
        <v/>
      </c>
      <c r="AH907" s="108">
        <f>ABS(AT$1-AT907)</f>
        <v/>
      </c>
      <c r="AI907" s="108">
        <f>ABS(AU$1-AU907)</f>
        <v/>
      </c>
      <c r="AJ907" s="108">
        <f>(AV907-Driver!$K$179)/(Driver!$L$179-Driver!$K$179)</f>
        <v/>
      </c>
      <c r="AK907" s="108">
        <f>(AW907-Driver!$K$180)/(Driver!$L$180-Driver!$K$180)</f>
        <v/>
      </c>
      <c r="AL907" s="108">
        <f>(AX907-Driver!$K$181)/(Driver!$L$181-Driver!$K$181)</f>
        <v/>
      </c>
      <c r="AM907" s="108">
        <f>(AY907-Driver!$K$182)/(Driver!$L$182-Driver!$K$182)</f>
        <v/>
      </c>
      <c r="AN907" s="108">
        <f>(AZ907-Driver!$K$183)/(Driver!$L$183-Driver!$K$183)</f>
        <v/>
      </c>
      <c r="AO907" s="108" t="n"/>
      <c r="AP907" s="108" t="n"/>
      <c r="AQ907" s="108">
        <f>(BC907-Driver!$K$188)/(Driver!$L$188-Driver!$K$188)</f>
        <v/>
      </c>
      <c r="AR907" s="108">
        <f>MIN((BD907-Driver!$K$189)/(Driver!$L$189-Driver!$K$189),100%)</f>
        <v/>
      </c>
      <c r="AS907" s="108">
        <f>(BE907-Driver!$K$190)/(Driver!$L$190-Driver!$K$190)</f>
        <v/>
      </c>
      <c r="AT907" s="108">
        <f>(BF907-Driver!$K$191)/(Driver!$L$191-Driver!$K$191)</f>
        <v/>
      </c>
      <c r="AU907" s="108">
        <f>(BG907-Driver!$K$192)/(Driver!$L$192-Driver!$K$192)</f>
        <v/>
      </c>
      <c r="AV907" s="105">
        <f>IFERROR(BM907*BJ907^1/4,"")</f>
        <v/>
      </c>
      <c r="AW907" s="105">
        <f>IFERROR(SUM(AX907:AZ907),"")</f>
        <v/>
      </c>
      <c r="AX907" s="105">
        <f>IFERROR(BH907,"")</f>
        <v/>
      </c>
      <c r="AY907" s="105">
        <f>IFERROR(Driver!$K$19/Data!BH907/Data!BI907*Data!BK907*Data!BL907,"")</f>
        <v/>
      </c>
      <c r="AZ907" s="105">
        <f>IFERROR(BI907*BN907,"")</f>
        <v/>
      </c>
      <c r="BA907" s="105" t="n"/>
      <c r="BB907" s="105" t="n"/>
      <c r="BC907" s="105">
        <f>IFERROR(BI907*BN907*BK907/BJ907^(1/2),"")</f>
        <v/>
      </c>
      <c r="BD907" s="105">
        <f>IFERROR(BH907*BM907*BL907/BJ907/BK907,"")</f>
        <v/>
      </c>
      <c r="BE907" s="105">
        <f>IFERROR(MIN(BI907/BQ907/BP907/BO907/BH907,$BE$1),"")</f>
        <v/>
      </c>
      <c r="BF907" s="105">
        <f>IFERROR(BJ907*BO907*BP907/BK907,"")</f>
        <v/>
      </c>
      <c r="BG907" s="105">
        <f>IFERROR(1/BM907/BH907*BQ907,"")</f>
        <v/>
      </c>
      <c r="BH907" s="102">
        <f>MAX((CE907-Driver!$F$200)/(Driver!$G$200-Driver!$F$200)*$BI$1,1)</f>
        <v/>
      </c>
      <c r="BI907" s="102">
        <f>MAX($BI$1*(BY907-Driver!$F$201)/(Driver!$G$201-Driver!$F$201),1)</f>
        <v/>
      </c>
      <c r="BJ907" s="102">
        <f>(CB907-Driver!$F$206)/(Driver!$G$206-Driver!$F$206)*$BI$1</f>
        <v/>
      </c>
      <c r="BK907" s="102">
        <f>(CD907-Driver!$F$203)/(Driver!$G$203-Driver!$F$203)*$BI$1</f>
        <v/>
      </c>
      <c r="BL907" s="102">
        <f>MAX((CR907-Driver!$F$202)/(Driver!$G$202-Driver!$F$202)*$BI$1,1)</f>
        <v/>
      </c>
      <c r="BM907" s="102">
        <f>MAX((CH907-Driver!$F$204)/(Driver!$G$204-Driver!$F$204)*$BI$1,1)</f>
        <v/>
      </c>
      <c r="BN907" s="102">
        <f>(CI907-Driver!$F$205)/(Driver!$G$205-Driver!$F$205)*$BI$1</f>
        <v/>
      </c>
      <c r="BO907" s="102">
        <f>(CK907-Driver!$F$207)/(Driver!$G$207-Driver!$F$207)*$BI$1</f>
        <v/>
      </c>
      <c r="BP907" s="102">
        <f>(CM907-Driver!$F$208)/(Driver!$G$208-Driver!$F$208)*$BI$1</f>
        <v/>
      </c>
      <c r="BQ907" s="102">
        <f>(CL907-Driver!$F$209)/(Driver!$G$209-Driver!$F$209)*$BI$1</f>
        <v/>
      </c>
      <c r="BR907" s="40" t="inlineStr">
        <is>
          <t>21/22</t>
        </is>
      </c>
      <c r="BS907" s="10" t="inlineStr">
        <is>
          <t xml:space="preserve"> K2</t>
        </is>
      </c>
      <c r="BT907" s="11" t="inlineStr">
        <is>
          <t>Mindbender 85 Alliance</t>
        </is>
      </c>
      <c r="BU907" s="13" t="n">
        <v>159</v>
      </c>
      <c r="BV907" s="11" t="inlineStr">
        <is>
          <t xml:space="preserve"> Women's</t>
        </is>
      </c>
      <c r="BW907" s="13" t="n">
        <v>159</v>
      </c>
      <c r="BX907" s="13" t="n">
        <v>156.9</v>
      </c>
      <c r="BY907" s="13" t="n">
        <v>122</v>
      </c>
      <c r="BZ907" s="13" t="n">
        <v>128</v>
      </c>
      <c r="CA907" s="13" t="n">
        <v>129</v>
      </c>
      <c r="CB907" s="13" t="n">
        <v>84</v>
      </c>
      <c r="CC907" s="13" t="n">
        <v>112</v>
      </c>
      <c r="CD907" s="13" t="n">
        <v>10.7</v>
      </c>
      <c r="CE907" s="13" t="n">
        <v>1508</v>
      </c>
      <c r="CF907" s="13" t="n">
        <v>1.03</v>
      </c>
      <c r="CG907" s="13" t="n">
        <v>1555</v>
      </c>
      <c r="CH907" s="13" t="n">
        <v>125</v>
      </c>
      <c r="CI907" s="13" t="n">
        <v>72</v>
      </c>
      <c r="CJ907" s="13" t="n">
        <v>40</v>
      </c>
      <c r="CK907" s="13" t="n">
        <v>243</v>
      </c>
      <c r="CL907" s="13" t="n">
        <v>10</v>
      </c>
      <c r="CM907" s="13" t="n">
        <v>102</v>
      </c>
      <c r="CN907" s="13" t="n">
        <v>0.26</v>
      </c>
      <c r="CO907" s="13" t="n">
        <v>176</v>
      </c>
      <c r="CP907" s="13" t="n">
        <v>111</v>
      </c>
      <c r="CQ907" s="13" t="n">
        <v>67</v>
      </c>
      <c r="CR907" s="13" t="n">
        <v>8</v>
      </c>
      <c r="CS907" s="13" t="n">
        <v>10.5</v>
      </c>
      <c r="CT907" s="11" t="inlineStr">
        <is>
          <t xml:space="preserve"> On-Piste All-Mountain</t>
        </is>
      </c>
      <c r="CU907" s="11" t="inlineStr">
        <is>
          <t xml:space="preserve"> Resort Freeride</t>
        </is>
      </c>
      <c r="CV907" s="13" t="n"/>
      <c r="CW907" s="13" t="n"/>
      <c r="CX907">
        <f>INDEX('Data_Price '!AG$2:AG$1266,MATCH(Data!$DN907,'Data_Price '!$AT$2:$AT$1266,0))</f>
        <v/>
      </c>
      <c r="CY907">
        <f>INDEX('Data_Price '!AH$2:AH$1266,MATCH(Data!$DN907,'Data_Price '!$AT$2:$AT$1266,0))</f>
        <v/>
      </c>
      <c r="CZ907">
        <f>INDEX('Data_Price '!AI$2:AI$1266,MATCH(Data!$DN907,'Data_Price '!$AT$2:$AT$1266,0))</f>
        <v/>
      </c>
      <c r="DA907">
        <f>INDEX('Data_Price '!AJ$2:AJ$1266,MATCH(Data!$DN907,'Data_Price '!$AT$2:$AT$1266,0))</f>
        <v/>
      </c>
      <c r="DB907">
        <f>INDEX('Data_Price '!AK$2:AK$1266,MATCH(Data!$DN907,'Data_Price '!$AT$2:$AT$1266,0))</f>
        <v/>
      </c>
      <c r="DC907">
        <f>INDEX('Data_Price '!AL$2:AL$1266,MATCH(Data!$DN907,'Data_Price '!$AT$2:$AT$1266,0))</f>
        <v/>
      </c>
      <c r="DD907">
        <f>INDEX('Data_Price '!AM$2:AM$1266,MATCH(Data!$DN907,'Data_Price '!$AT$2:$AT$1266,0))</f>
        <v/>
      </c>
      <c r="DE907">
        <f>INDEX('Data_Price '!AN$2:AN$1266,MATCH(Data!$DN907,'Data_Price '!$AT$2:$AT$1266,0))</f>
        <v/>
      </c>
      <c r="DF907">
        <f>INDEX('Data_Price '!AO$2:AO$1266,MATCH(Data!$DN907,'Data_Price '!$AT$2:$AT$1266,0))</f>
        <v/>
      </c>
      <c r="DG907">
        <f>INDEX('Data_Price '!AP$2:AP$1266,MATCH(Data!$DN907,'Data_Price '!$AT$2:$AT$1266,0))</f>
        <v/>
      </c>
      <c r="DH907">
        <f>INDEX('Data_Price '!AQ$2:AQ$1266,MATCH(Data!$DN907,'Data_Price '!$AT$2:$AT$1266,0))</f>
        <v/>
      </c>
      <c r="DI907">
        <f>INDEX('Data_Price '!AR$2:AR$1266,MATCH(Data!$DN907,'Data_Price '!$AT$2:$AT$1266,0))</f>
        <v/>
      </c>
      <c r="DJ907" s="138">
        <f>DA907</f>
        <v/>
      </c>
      <c r="DK907" s="138">
        <f>DE907</f>
        <v/>
      </c>
      <c r="DL907" s="138">
        <f>DI907</f>
        <v/>
      </c>
      <c r="DM907" s="303">
        <f>IF(LEFT(BT907,1)=" ",RIGHT(BT907,LEN(BT907)-1),BT907)</f>
        <v/>
      </c>
      <c r="DN907" s="138">
        <f>_xlfn.CONCAT(BS907,DM907,BU907,BV907)</f>
        <v/>
      </c>
      <c r="DO907" s="307" t="inlineStr">
        <is>
          <t>https://images.evo.com/imgp/250/201051/825019/k2-mindbender-85-alliance-skis-women-s-2022-.jpg</t>
        </is>
      </c>
    </row>
    <row r="908" ht="15.6" customHeight="1" s="184">
      <c r="B908" s="303">
        <f t="array" ref="B908">IF(OR(ISERROR(K908:P908)),FALSE,TRUE)</f>
        <v/>
      </c>
      <c r="C908" s="60">
        <f>OR(BR908=Driver!$G$50,Data!BR671=Driver!$H$50)</f>
        <v/>
      </c>
      <c r="D908" s="60">
        <f>OR(BV908=Driver!$G$51,BV908=Driver!$H$51)</f>
        <v/>
      </c>
      <c r="E908" s="60">
        <f>AND(BX908&gt;Driver!$F$54,BX908&lt;Driver!$G$54)</f>
        <v/>
      </c>
      <c r="F908" s="60">
        <f>CL908&gt;Driver!$F$56</f>
        <v/>
      </c>
      <c r="G908" s="60">
        <f>AND(CB908&gt;Driver!$F$55,CB908&lt;Driver!$G$55)</f>
        <v/>
      </c>
      <c r="H908" s="60">
        <f>AND(B908:G908)</f>
        <v/>
      </c>
      <c r="I908" s="60">
        <f>COUNTIFS($H$9:$H$1273,TRUE,$BT$9:$BT$1273,BT908)</f>
        <v/>
      </c>
      <c r="J908" s="60">
        <f t="array" ref="J908">NOT(OR(($H$9:$H$1273=TRUE)*($I$9:$I$1273&gt;0)*($BT$9:$BT$1273=BT908)*($K$9:$K$1273&gt;K908)))</f>
        <v/>
      </c>
      <c r="K908" s="108">
        <f>IFERROR(1-AVERAGE(X908:Y908),"")</f>
        <v/>
      </c>
      <c r="L908" s="108">
        <f>1-X908</f>
        <v/>
      </c>
      <c r="M908" s="108">
        <f>1-Y908</f>
        <v/>
      </c>
      <c r="N908" s="108">
        <f>1-Z908</f>
        <v/>
      </c>
      <c r="O908" s="108">
        <f>1-AA908</f>
        <v/>
      </c>
      <c r="P908" s="108">
        <f>1-AB908</f>
        <v/>
      </c>
      <c r="Q908" s="108" t="n"/>
      <c r="R908" s="108" t="n"/>
      <c r="S908" s="108">
        <f>1-AE908</f>
        <v/>
      </c>
      <c r="T908" s="108">
        <f>1-AF908</f>
        <v/>
      </c>
      <c r="U908" s="108">
        <f>1-AG908</f>
        <v/>
      </c>
      <c r="V908" s="108">
        <f>1-AH908</f>
        <v/>
      </c>
      <c r="W908" s="108">
        <f>1-AI908</f>
        <v/>
      </c>
      <c r="X908" s="108">
        <f>ABS(AJ908-AJ$1)</f>
        <v/>
      </c>
      <c r="Y908" s="108">
        <f>AVERAGE(Z908:AB908)</f>
        <v/>
      </c>
      <c r="Z908" s="108">
        <f>ABS(AL908-AL$1)</f>
        <v/>
      </c>
      <c r="AA908" s="108">
        <f>ABS(AM908-AM$1)</f>
        <v/>
      </c>
      <c r="AB908" s="108">
        <f>ABS(AN908-AN$1)</f>
        <v/>
      </c>
      <c r="AC908" s="108" t="n"/>
      <c r="AD908" s="108" t="n"/>
      <c r="AE908" s="108">
        <f>ABS(AQ$1-AQ908)</f>
        <v/>
      </c>
      <c r="AF908" s="108">
        <f>ABS(AR$1-AR908)</f>
        <v/>
      </c>
      <c r="AG908" s="108">
        <f>ABS(AS$1-AS908)</f>
        <v/>
      </c>
      <c r="AH908" s="108">
        <f>ABS(AT$1-AT908)</f>
        <v/>
      </c>
      <c r="AI908" s="108">
        <f>ABS(AU$1-AU908)</f>
        <v/>
      </c>
      <c r="AJ908" s="108">
        <f>(AV908-Driver!$K$179)/(Driver!$L$179-Driver!$K$179)</f>
        <v/>
      </c>
      <c r="AK908" s="108">
        <f>(AW908-Driver!$K$180)/(Driver!$L$180-Driver!$K$180)</f>
        <v/>
      </c>
      <c r="AL908" s="108">
        <f>(AX908-Driver!$K$181)/(Driver!$L$181-Driver!$K$181)</f>
        <v/>
      </c>
      <c r="AM908" s="108">
        <f>(AY908-Driver!$K$182)/(Driver!$L$182-Driver!$K$182)</f>
        <v/>
      </c>
      <c r="AN908" s="108">
        <f>(AZ908-Driver!$K$183)/(Driver!$L$183-Driver!$K$183)</f>
        <v/>
      </c>
      <c r="AO908" s="108" t="n"/>
      <c r="AP908" s="108" t="n"/>
      <c r="AQ908" s="108">
        <f>(BC908-Driver!$K$188)/(Driver!$L$188-Driver!$K$188)</f>
        <v/>
      </c>
      <c r="AR908" s="108">
        <f>MIN((BD908-Driver!$K$189)/(Driver!$L$189-Driver!$K$189),100%)</f>
        <v/>
      </c>
      <c r="AS908" s="108">
        <f>(BE908-Driver!$K$190)/(Driver!$L$190-Driver!$K$190)</f>
        <v/>
      </c>
      <c r="AT908" s="108">
        <f>(BF908-Driver!$K$191)/(Driver!$L$191-Driver!$K$191)</f>
        <v/>
      </c>
      <c r="AU908" s="108">
        <f>(BG908-Driver!$K$192)/(Driver!$L$192-Driver!$K$192)</f>
        <v/>
      </c>
      <c r="AV908" s="105">
        <f>IFERROR(BM908*BJ908^1/4,"")</f>
        <v/>
      </c>
      <c r="AW908" s="105">
        <f>IFERROR(SUM(AX908:AZ908),"")</f>
        <v/>
      </c>
      <c r="AX908" s="105">
        <f>IFERROR(BH908,"")</f>
        <v/>
      </c>
      <c r="AY908" s="105">
        <f>IFERROR(Driver!$K$19/Data!BH908/Data!BI908*Data!BK908*Data!BL908,"")</f>
        <v/>
      </c>
      <c r="AZ908" s="105">
        <f>IFERROR(BI908*BN908,"")</f>
        <v/>
      </c>
      <c r="BA908" s="105" t="n"/>
      <c r="BB908" s="105" t="n"/>
      <c r="BC908" s="105">
        <f>IFERROR(BI908*BN908*BK908/BJ908^(1/2),"")</f>
        <v/>
      </c>
      <c r="BD908" s="105">
        <f>IFERROR(BH908*BM908*BL908/BJ908/BK908,"")</f>
        <v/>
      </c>
      <c r="BE908" s="105">
        <f>IFERROR(MIN(BI908/BQ908/BP908/BO908/BH908,$BE$1),"")</f>
        <v/>
      </c>
      <c r="BF908" s="105">
        <f>IFERROR(BJ908*BO908*BP908/BK908,"")</f>
        <v/>
      </c>
      <c r="BG908" s="105">
        <f>IFERROR(1/BM908/BH908*BQ908,"")</f>
        <v/>
      </c>
      <c r="BH908" s="102">
        <f>MAX((CE908-Driver!$F$200)/(Driver!$G$200-Driver!$F$200)*$BI$1,1)</f>
        <v/>
      </c>
      <c r="BI908" s="102">
        <f>MAX($BI$1*(BY908-Driver!$F$201)/(Driver!$G$201-Driver!$F$201),1)</f>
        <v/>
      </c>
      <c r="BJ908" s="102">
        <f>(CB908-Driver!$F$206)/(Driver!$G$206-Driver!$F$206)*$BI$1</f>
        <v/>
      </c>
      <c r="BK908" s="102">
        <f>(CD908-Driver!$F$203)/(Driver!$G$203-Driver!$F$203)*$BI$1</f>
        <v/>
      </c>
      <c r="BL908" s="102">
        <f>MAX((CR908-Driver!$F$202)/(Driver!$G$202-Driver!$F$202)*$BI$1,1)</f>
        <v/>
      </c>
      <c r="BM908" s="102">
        <f>MAX((CH908-Driver!$F$204)/(Driver!$G$204-Driver!$F$204)*$BI$1,1)</f>
        <v/>
      </c>
      <c r="BN908" s="102">
        <f>(CI908-Driver!$F$205)/(Driver!$G$205-Driver!$F$205)*$BI$1</f>
        <v/>
      </c>
      <c r="BO908" s="102">
        <f>(CK908-Driver!$F$207)/(Driver!$G$207-Driver!$F$207)*$BI$1</f>
        <v/>
      </c>
      <c r="BP908" s="102">
        <f>(CM908-Driver!$F$208)/(Driver!$G$208-Driver!$F$208)*$BI$1</f>
        <v/>
      </c>
      <c r="BQ908" s="102">
        <f>(CL908-Driver!$F$209)/(Driver!$G$209-Driver!$F$209)*$BI$1</f>
        <v/>
      </c>
      <c r="BR908" s="40" t="inlineStr">
        <is>
          <t>21/22</t>
        </is>
      </c>
      <c r="BS908" s="10" t="inlineStr">
        <is>
          <t xml:space="preserve"> Head</t>
        </is>
      </c>
      <c r="BT908" s="11" t="inlineStr">
        <is>
          <t xml:space="preserve"> Worldcup Rebels I.SLR</t>
        </is>
      </c>
      <c r="BU908" s="13" t="n">
        <v>160</v>
      </c>
      <c r="BV908" s="11" t="inlineStr">
        <is>
          <t xml:space="preserve"> Unisex</t>
        </is>
      </c>
      <c r="BW908" s="13" t="n">
        <v>160</v>
      </c>
      <c r="BX908" s="13" t="n">
        <v>159.2</v>
      </c>
      <c r="BY908" s="13" t="n">
        <v>140</v>
      </c>
      <c r="BZ908" s="13" t="n">
        <v>145</v>
      </c>
      <c r="CA908" s="13" t="n">
        <v>121</v>
      </c>
      <c r="CB908" s="13" t="n">
        <v>65</v>
      </c>
      <c r="CC908" s="13" t="n">
        <v>106</v>
      </c>
      <c r="CD908" s="13" t="n">
        <v>11</v>
      </c>
      <c r="CE908" s="13" t="n">
        <v>1871</v>
      </c>
      <c r="CF908" s="13" t="n">
        <v>0.7</v>
      </c>
      <c r="CG908" s="13" t="n">
        <v>1318</v>
      </c>
      <c r="CH908" s="13" t="n">
        <v>159</v>
      </c>
      <c r="CI908" s="13" t="n">
        <v>79</v>
      </c>
      <c r="CJ908" s="13" t="n">
        <v>40</v>
      </c>
      <c r="CK908" s="13" t="n">
        <v>143</v>
      </c>
      <c r="CL908" s="13" t="n">
        <v>5</v>
      </c>
      <c r="CM908" s="13" t="n">
        <v>52</v>
      </c>
      <c r="CN908" s="13" t="n">
        <v>0.125</v>
      </c>
      <c r="CO908" s="13" t="n">
        <v>80</v>
      </c>
      <c r="CP908" s="13" t="n">
        <v>60</v>
      </c>
      <c r="CQ908" s="13" t="n">
        <v>63</v>
      </c>
      <c r="CR908" s="13" t="n">
        <v>9</v>
      </c>
      <c r="CS908" s="13" t="n">
        <v>12.8</v>
      </c>
      <c r="CT908" s="11" t="inlineStr">
        <is>
          <t xml:space="preserve"> On-Piste Carving</t>
        </is>
      </c>
      <c r="CU908" s="13" t="n"/>
      <c r="CV908" s="13" t="n"/>
      <c r="CW908" s="13" t="n"/>
      <c r="CX908">
        <f>INDEX('Data_Price '!AG$2:AG$1266,MATCH(Data!$DN908,'Data_Price '!$AT$2:$AT$1266,0))</f>
        <v/>
      </c>
      <c r="CY908">
        <f>INDEX('Data_Price '!AH$2:AH$1266,MATCH(Data!$DN908,'Data_Price '!$AT$2:$AT$1266,0))</f>
        <v/>
      </c>
      <c r="CZ908">
        <f>INDEX('Data_Price '!AI$2:AI$1266,MATCH(Data!$DN908,'Data_Price '!$AT$2:$AT$1266,0))</f>
        <v/>
      </c>
      <c r="DA908">
        <f>INDEX('Data_Price '!AJ$2:AJ$1266,MATCH(Data!$DN908,'Data_Price '!$AT$2:$AT$1266,0))</f>
        <v/>
      </c>
      <c r="DB908">
        <f>INDEX('Data_Price '!AK$2:AK$1266,MATCH(Data!$DN908,'Data_Price '!$AT$2:$AT$1266,0))</f>
        <v/>
      </c>
      <c r="DC908">
        <f>INDEX('Data_Price '!AL$2:AL$1266,MATCH(Data!$DN908,'Data_Price '!$AT$2:$AT$1266,0))</f>
        <v/>
      </c>
      <c r="DD908">
        <f>INDEX('Data_Price '!AM$2:AM$1266,MATCH(Data!$DN908,'Data_Price '!$AT$2:$AT$1266,0))</f>
        <v/>
      </c>
      <c r="DE908">
        <f>INDEX('Data_Price '!AN$2:AN$1266,MATCH(Data!$DN908,'Data_Price '!$AT$2:$AT$1266,0))</f>
        <v/>
      </c>
      <c r="DF908">
        <f>INDEX('Data_Price '!AO$2:AO$1266,MATCH(Data!$DN908,'Data_Price '!$AT$2:$AT$1266,0))</f>
        <v/>
      </c>
      <c r="DG908">
        <f>INDEX('Data_Price '!AP$2:AP$1266,MATCH(Data!$DN908,'Data_Price '!$AT$2:$AT$1266,0))</f>
        <v/>
      </c>
      <c r="DH908">
        <f>INDEX('Data_Price '!AQ$2:AQ$1266,MATCH(Data!$DN908,'Data_Price '!$AT$2:$AT$1266,0))</f>
        <v/>
      </c>
      <c r="DI908">
        <f>INDEX('Data_Price '!AR$2:AR$1266,MATCH(Data!$DN908,'Data_Price '!$AT$2:$AT$1266,0))</f>
        <v/>
      </c>
      <c r="DJ908" s="138">
        <f>DA908</f>
        <v/>
      </c>
      <c r="DK908" s="138">
        <f>DE908</f>
        <v/>
      </c>
      <c r="DL908" s="138">
        <f>DI908</f>
        <v/>
      </c>
      <c r="DM908" s="303">
        <f>IF(LEFT(BT908,1)=" ",RIGHT(BT908,LEN(BT908)-1),BT908)</f>
        <v/>
      </c>
      <c r="DN908" s="138">
        <f>_xlfn.CONCAT(BS908,DM908,BU908,BV908)</f>
        <v/>
      </c>
      <c r="DO908" s="307" t="n"/>
    </row>
    <row r="909" ht="15.6" customHeight="1" s="184">
      <c r="B909" s="303">
        <f t="array" ref="B909">IF(OR(ISERROR(K909:P909)),FALSE,TRUE)</f>
        <v/>
      </c>
      <c r="C909" s="60">
        <f>OR(BR909=Driver!$G$50,Data!BR151=Driver!$H$50)</f>
        <v/>
      </c>
      <c r="D909" s="60">
        <f>OR(BV909=Driver!$G$51,BV909=Driver!$H$51)</f>
        <v/>
      </c>
      <c r="E909" s="60">
        <f>AND(BX909&gt;Driver!$F$54,BX909&lt;Driver!$G$54)</f>
        <v/>
      </c>
      <c r="F909" s="60">
        <f>CL909&gt;Driver!$F$56</f>
        <v/>
      </c>
      <c r="G909" s="60">
        <f>AND(CB909&gt;Driver!$F$55,CB909&lt;Driver!$G$55)</f>
        <v/>
      </c>
      <c r="H909" s="60">
        <f>AND(B909:G909)</f>
        <v/>
      </c>
      <c r="I909" s="60">
        <f>COUNTIFS($H$9:$H$1273,TRUE,$BT$9:$BT$1273,BT909)</f>
        <v/>
      </c>
      <c r="J909" s="60">
        <f t="array" ref="J909">NOT(OR(($H$9:$H$1273=TRUE)*($I$9:$I$1273&gt;0)*($BT$9:$BT$1273=BT909)*($K$9:$K$1273&gt;K909)))</f>
        <v/>
      </c>
      <c r="K909" s="108">
        <f>IFERROR(1-AVERAGE(X909:Y909),"")</f>
        <v/>
      </c>
      <c r="L909" s="108">
        <f>1-X909</f>
        <v/>
      </c>
      <c r="M909" s="108">
        <f>1-Y909</f>
        <v/>
      </c>
      <c r="N909" s="108">
        <f>1-Z909</f>
        <v/>
      </c>
      <c r="O909" s="108">
        <f>1-AA909</f>
        <v/>
      </c>
      <c r="P909" s="108">
        <f>1-AB909</f>
        <v/>
      </c>
      <c r="Q909" s="108" t="n"/>
      <c r="R909" s="108" t="n"/>
      <c r="S909" s="108">
        <f>1-AE909</f>
        <v/>
      </c>
      <c r="T909" s="108">
        <f>1-AF909</f>
        <v/>
      </c>
      <c r="U909" s="108">
        <f>1-AG909</f>
        <v/>
      </c>
      <c r="V909" s="108">
        <f>1-AH909</f>
        <v/>
      </c>
      <c r="W909" s="108">
        <f>1-AI909</f>
        <v/>
      </c>
      <c r="X909" s="108">
        <f>ABS(AJ909-AJ$1)</f>
        <v/>
      </c>
      <c r="Y909" s="108">
        <f>AVERAGE(Z909:AB909)</f>
        <v/>
      </c>
      <c r="Z909" s="108">
        <f>ABS(AL909-AL$1)</f>
        <v/>
      </c>
      <c r="AA909" s="108">
        <f>ABS(AM909-AM$1)</f>
        <v/>
      </c>
      <c r="AB909" s="108">
        <f>ABS(AN909-AN$1)</f>
        <v/>
      </c>
      <c r="AC909" s="108" t="n"/>
      <c r="AD909" s="108" t="n"/>
      <c r="AE909" s="108">
        <f>ABS(AQ$1-AQ909)</f>
        <v/>
      </c>
      <c r="AF909" s="108">
        <f>ABS(AR$1-AR909)</f>
        <v/>
      </c>
      <c r="AG909" s="108">
        <f>ABS(AS$1-AS909)</f>
        <v/>
      </c>
      <c r="AH909" s="108">
        <f>ABS(AT$1-AT909)</f>
        <v/>
      </c>
      <c r="AI909" s="108">
        <f>ABS(AU$1-AU909)</f>
        <v/>
      </c>
      <c r="AJ909" s="108">
        <f>(AV909-Driver!$K$179)/(Driver!$L$179-Driver!$K$179)</f>
        <v/>
      </c>
      <c r="AK909" s="108">
        <f>(AW909-Driver!$K$180)/(Driver!$L$180-Driver!$K$180)</f>
        <v/>
      </c>
      <c r="AL909" s="108">
        <f>(AX909-Driver!$K$181)/(Driver!$L$181-Driver!$K$181)</f>
        <v/>
      </c>
      <c r="AM909" s="108">
        <f>(AY909-Driver!$K$182)/(Driver!$L$182-Driver!$K$182)</f>
        <v/>
      </c>
      <c r="AN909" s="108">
        <f>(AZ909-Driver!$K$183)/(Driver!$L$183-Driver!$K$183)</f>
        <v/>
      </c>
      <c r="AO909" s="108" t="n"/>
      <c r="AP909" s="108" t="n"/>
      <c r="AQ909" s="108">
        <f>(BC909-Driver!$K$188)/(Driver!$L$188-Driver!$K$188)</f>
        <v/>
      </c>
      <c r="AR909" s="108">
        <f>MIN((BD909-Driver!$K$189)/(Driver!$L$189-Driver!$K$189),100%)</f>
        <v/>
      </c>
      <c r="AS909" s="108">
        <f>(BE909-Driver!$K$190)/(Driver!$L$190-Driver!$K$190)</f>
        <v/>
      </c>
      <c r="AT909" s="108">
        <f>(BF909-Driver!$K$191)/(Driver!$L$191-Driver!$K$191)</f>
        <v/>
      </c>
      <c r="AU909" s="108">
        <f>(BG909-Driver!$K$192)/(Driver!$L$192-Driver!$K$192)</f>
        <v/>
      </c>
      <c r="AV909" s="105">
        <f>IFERROR(BM909*BJ909^1/4,"")</f>
        <v/>
      </c>
      <c r="AW909" s="105">
        <f>IFERROR(SUM(AX909:AZ909),"")</f>
        <v/>
      </c>
      <c r="AX909" s="105">
        <f>IFERROR(BH909,"")</f>
        <v/>
      </c>
      <c r="AY909" s="105">
        <f>IFERROR(Driver!$K$19/Data!BH909/Data!BI909*Data!BK909*Data!BL909,"")</f>
        <v/>
      </c>
      <c r="AZ909" s="105">
        <f>IFERROR(BI909*BN909,"")</f>
        <v/>
      </c>
      <c r="BA909" s="105" t="n"/>
      <c r="BB909" s="105" t="n"/>
      <c r="BC909" s="105">
        <f>IFERROR(BI909*BN909*BK909/BJ909^(1/2),"")</f>
        <v/>
      </c>
      <c r="BD909" s="105">
        <f>IFERROR(BH909*BM909*BL909/BJ909/BK909,"")</f>
        <v/>
      </c>
      <c r="BE909" s="105">
        <f>IFERROR(MIN(BI909/BQ909/BP909/BO909/BH909,$BE$1),"")</f>
        <v/>
      </c>
      <c r="BF909" s="105">
        <f>IFERROR(BJ909*BO909*BP909/BK909,"")</f>
        <v/>
      </c>
      <c r="BG909" s="105">
        <f>IFERROR(1/BM909/BH909*BQ909,"")</f>
        <v/>
      </c>
      <c r="BH909" s="102">
        <f>MAX((CE909-Driver!$F$200)/(Driver!$G$200-Driver!$F$200)*$BI$1,1)</f>
        <v/>
      </c>
      <c r="BI909" s="102">
        <f>MAX($BI$1*(BY909-Driver!$F$201)/(Driver!$G$201-Driver!$F$201),1)</f>
        <v/>
      </c>
      <c r="BJ909" s="102">
        <f>(CB909-Driver!$F$206)/(Driver!$G$206-Driver!$F$206)*$BI$1</f>
        <v/>
      </c>
      <c r="BK909" s="102">
        <f>(CD909-Driver!$F$203)/(Driver!$G$203-Driver!$F$203)*$BI$1</f>
        <v/>
      </c>
      <c r="BL909" s="102">
        <f>MAX((CR909-Driver!$F$202)/(Driver!$G$202-Driver!$F$202)*$BI$1,1)</f>
        <v/>
      </c>
      <c r="BM909" s="102">
        <f>MAX((CH909-Driver!$F$204)/(Driver!$G$204-Driver!$F$204)*$BI$1,1)</f>
        <v/>
      </c>
      <c r="BN909" s="102">
        <f>(CI909-Driver!$F$205)/(Driver!$G$205-Driver!$F$205)*$BI$1</f>
        <v/>
      </c>
      <c r="BO909" s="102">
        <f>(CK909-Driver!$F$207)/(Driver!$G$207-Driver!$F$207)*$BI$1</f>
        <v/>
      </c>
      <c r="BP909" s="102">
        <f>(CM909-Driver!$F$208)/(Driver!$G$208-Driver!$F$208)*$BI$1</f>
        <v/>
      </c>
      <c r="BQ909" s="102">
        <f>(CL909-Driver!$F$209)/(Driver!$G$209-Driver!$F$209)*$BI$1</f>
        <v/>
      </c>
      <c r="BR909" s="40" t="inlineStr">
        <is>
          <t>21/22</t>
        </is>
      </c>
      <c r="BS909" s="10" t="inlineStr">
        <is>
          <t xml:space="preserve"> Atomic</t>
        </is>
      </c>
      <c r="BT909" s="11" t="inlineStr">
        <is>
          <t>Maven 86 C</t>
        </is>
      </c>
      <c r="BU909" s="13" t="n">
        <v>153</v>
      </c>
      <c r="BV909" s="11" t="inlineStr">
        <is>
          <t xml:space="preserve"> Women's</t>
        </is>
      </c>
      <c r="BW909" s="13" t="n">
        <v>153</v>
      </c>
      <c r="BX909" s="13" t="n">
        <v>152</v>
      </c>
      <c r="BY909" s="13" t="n">
        <v>102</v>
      </c>
      <c r="BZ909" s="13" t="n">
        <v>126</v>
      </c>
      <c r="CA909" s="13" t="n">
        <v>120</v>
      </c>
      <c r="CB909" s="13" t="n">
        <v>86</v>
      </c>
      <c r="CC909" s="13" t="n">
        <v>103</v>
      </c>
      <c r="CD909" s="13" t="n">
        <v>14.1</v>
      </c>
      <c r="CE909" s="13" t="n">
        <v>1332</v>
      </c>
      <c r="CF909" s="13" t="n">
        <v>1.1</v>
      </c>
      <c r="CG909" s="13" t="n">
        <v>1465</v>
      </c>
      <c r="CH909" s="13" t="n">
        <v>178</v>
      </c>
      <c r="CI909" s="13" t="n">
        <v>75</v>
      </c>
      <c r="CJ909" s="13" t="n">
        <v>49</v>
      </c>
      <c r="CK909" s="13" t="n">
        <v>292</v>
      </c>
      <c r="CL909" s="13" t="n">
        <v>13</v>
      </c>
      <c r="CM909" s="13" t="n">
        <v>205</v>
      </c>
      <c r="CN909" s="13" t="n">
        <v>0.271</v>
      </c>
      <c r="CO909" s="13" t="n">
        <v>157</v>
      </c>
      <c r="CP909" s="13" t="n">
        <v>103</v>
      </c>
      <c r="CQ909" s="13" t="n">
        <v>135</v>
      </c>
      <c r="CR909" s="13" t="n">
        <v>2</v>
      </c>
      <c r="CS909" s="13" t="n">
        <v>8.5</v>
      </c>
      <c r="CT909" s="11" t="inlineStr">
        <is>
          <t xml:space="preserve"> Resort Freeride</t>
        </is>
      </c>
      <c r="CU909" s="11" t="inlineStr">
        <is>
          <t xml:space="preserve"> Touring</t>
        </is>
      </c>
      <c r="CV909" s="13" t="n"/>
      <c r="CW909" s="13" t="n"/>
      <c r="CX909">
        <f>INDEX('Data_Price '!AG$2:AG$1266,MATCH(Data!$DN909,'Data_Price '!$AT$2:$AT$1266,0))</f>
        <v/>
      </c>
      <c r="CY909">
        <f>INDEX('Data_Price '!AH$2:AH$1266,MATCH(Data!$DN909,'Data_Price '!$AT$2:$AT$1266,0))</f>
        <v/>
      </c>
      <c r="CZ909">
        <f>INDEX('Data_Price '!AI$2:AI$1266,MATCH(Data!$DN909,'Data_Price '!$AT$2:$AT$1266,0))</f>
        <v/>
      </c>
      <c r="DA909">
        <f>INDEX('Data_Price '!AJ$2:AJ$1266,MATCH(Data!$DN909,'Data_Price '!$AT$2:$AT$1266,0))</f>
        <v/>
      </c>
      <c r="DB909">
        <f>INDEX('Data_Price '!AK$2:AK$1266,MATCH(Data!$DN909,'Data_Price '!$AT$2:$AT$1266,0))</f>
        <v/>
      </c>
      <c r="DC909">
        <f>INDEX('Data_Price '!AL$2:AL$1266,MATCH(Data!$DN909,'Data_Price '!$AT$2:$AT$1266,0))</f>
        <v/>
      </c>
      <c r="DD909">
        <f>INDEX('Data_Price '!AM$2:AM$1266,MATCH(Data!$DN909,'Data_Price '!$AT$2:$AT$1266,0))</f>
        <v/>
      </c>
      <c r="DE909">
        <f>INDEX('Data_Price '!AN$2:AN$1266,MATCH(Data!$DN909,'Data_Price '!$AT$2:$AT$1266,0))</f>
        <v/>
      </c>
      <c r="DF909">
        <f>INDEX('Data_Price '!AO$2:AO$1266,MATCH(Data!$DN909,'Data_Price '!$AT$2:$AT$1266,0))</f>
        <v/>
      </c>
      <c r="DG909">
        <f>INDEX('Data_Price '!AP$2:AP$1266,MATCH(Data!$DN909,'Data_Price '!$AT$2:$AT$1266,0))</f>
        <v/>
      </c>
      <c r="DH909">
        <f>INDEX('Data_Price '!AQ$2:AQ$1266,MATCH(Data!$DN909,'Data_Price '!$AT$2:$AT$1266,0))</f>
        <v/>
      </c>
      <c r="DI909">
        <f>INDEX('Data_Price '!AR$2:AR$1266,MATCH(Data!$DN909,'Data_Price '!$AT$2:$AT$1266,0))</f>
        <v/>
      </c>
      <c r="DJ909" s="138">
        <f>DA909</f>
        <v/>
      </c>
      <c r="DK909" s="138">
        <f>DE909</f>
        <v/>
      </c>
      <c r="DL909" s="138">
        <f>DI909</f>
        <v/>
      </c>
      <c r="DM909" s="303">
        <f>IF(LEFT(BT909,1)=" ",RIGHT(BT909,LEN(BT909)-1),BT909)</f>
        <v/>
      </c>
      <c r="DN909" s="138">
        <f>_xlfn.CONCAT(BS909,DM909,BU909,BV909)</f>
        <v/>
      </c>
      <c r="DO909" s="307" t="inlineStr">
        <is>
          <t>https://images.evo.com/imgp/250/197734/826797/clone.jpg</t>
        </is>
      </c>
    </row>
    <row r="910" ht="15.6" customHeight="1" s="184">
      <c r="B910" s="303">
        <f t="array" ref="B910">IF(OR(ISERROR(K910:P910)),FALSE,TRUE)</f>
        <v/>
      </c>
      <c r="C910" s="60">
        <f>OR(BR910=Driver!$G$50,Data!BR496=Driver!$H$50)</f>
        <v/>
      </c>
      <c r="D910" s="60">
        <f>OR(BV910=Driver!$G$51,BV910=Driver!$H$51)</f>
        <v/>
      </c>
      <c r="E910" s="60">
        <f>AND(BX910&gt;Driver!$F$54,BX910&lt;Driver!$G$54)</f>
        <v/>
      </c>
      <c r="F910" s="60">
        <f>CL910&gt;Driver!$F$56</f>
        <v/>
      </c>
      <c r="G910" s="60">
        <f>AND(CB910&gt;Driver!$F$55,CB910&lt;Driver!$G$55)</f>
        <v/>
      </c>
      <c r="H910" s="60">
        <f>AND(B910:G910)</f>
        <v/>
      </c>
      <c r="I910" s="60">
        <f>COUNTIFS($H$9:$H$1273,TRUE,$BT$9:$BT$1273,BT910)</f>
        <v/>
      </c>
      <c r="J910" s="60">
        <f t="array" ref="J910">NOT(OR(($H$9:$H$1273=TRUE)*($I$9:$I$1273&gt;0)*($BT$9:$BT$1273=BT910)*($K$9:$K$1273&gt;K910)))</f>
        <v/>
      </c>
      <c r="K910" s="108">
        <f>IFERROR(1-AVERAGE(X910:Y910),"")</f>
        <v/>
      </c>
      <c r="L910" s="108">
        <f>1-X910</f>
        <v/>
      </c>
      <c r="M910" s="108">
        <f>1-Y910</f>
        <v/>
      </c>
      <c r="N910" s="108">
        <f>1-Z910</f>
        <v/>
      </c>
      <c r="O910" s="108">
        <f>1-AA910</f>
        <v/>
      </c>
      <c r="P910" s="108">
        <f>1-AB910</f>
        <v/>
      </c>
      <c r="Q910" s="108" t="n"/>
      <c r="R910" s="108" t="n"/>
      <c r="S910" s="108">
        <f>1-AE910</f>
        <v/>
      </c>
      <c r="T910" s="108">
        <f>1-AF910</f>
        <v/>
      </c>
      <c r="U910" s="108">
        <f>1-AG910</f>
        <v/>
      </c>
      <c r="V910" s="108">
        <f>1-AH910</f>
        <v/>
      </c>
      <c r="W910" s="108">
        <f>1-AI910</f>
        <v/>
      </c>
      <c r="X910" s="108">
        <f>ABS(AJ910-AJ$1)</f>
        <v/>
      </c>
      <c r="Y910" s="108">
        <f>AVERAGE(Z910:AB910)</f>
        <v/>
      </c>
      <c r="Z910" s="108">
        <f>ABS(AL910-AL$1)</f>
        <v/>
      </c>
      <c r="AA910" s="108">
        <f>ABS(AM910-AM$1)</f>
        <v/>
      </c>
      <c r="AB910" s="108">
        <f>ABS(AN910-AN$1)</f>
        <v/>
      </c>
      <c r="AC910" s="108" t="n"/>
      <c r="AD910" s="108" t="n"/>
      <c r="AE910" s="108">
        <f>ABS(AQ$1-AQ910)</f>
        <v/>
      </c>
      <c r="AF910" s="108">
        <f>ABS(AR$1-AR910)</f>
        <v/>
      </c>
      <c r="AG910" s="108">
        <f>ABS(AS$1-AS910)</f>
        <v/>
      </c>
      <c r="AH910" s="108">
        <f>ABS(AT$1-AT910)</f>
        <v/>
      </c>
      <c r="AI910" s="108">
        <f>ABS(AU$1-AU910)</f>
        <v/>
      </c>
      <c r="AJ910" s="108">
        <f>(AV910-Driver!$K$179)/(Driver!$L$179-Driver!$K$179)</f>
        <v/>
      </c>
      <c r="AK910" s="108">
        <f>(AW910-Driver!$K$180)/(Driver!$L$180-Driver!$K$180)</f>
        <v/>
      </c>
      <c r="AL910" s="108">
        <f>(AX910-Driver!$K$181)/(Driver!$L$181-Driver!$K$181)</f>
        <v/>
      </c>
      <c r="AM910" s="108">
        <f>(AY910-Driver!$K$182)/(Driver!$L$182-Driver!$K$182)</f>
        <v/>
      </c>
      <c r="AN910" s="108">
        <f>(AZ910-Driver!$K$183)/(Driver!$L$183-Driver!$K$183)</f>
        <v/>
      </c>
      <c r="AO910" s="108" t="n"/>
      <c r="AP910" s="108" t="n"/>
      <c r="AQ910" s="108">
        <f>(BC910-Driver!$K$188)/(Driver!$L$188-Driver!$K$188)</f>
        <v/>
      </c>
      <c r="AR910" s="108">
        <f>MIN((BD910-Driver!$K$189)/(Driver!$L$189-Driver!$K$189),100%)</f>
        <v/>
      </c>
      <c r="AS910" s="108">
        <f>(BE910-Driver!$K$190)/(Driver!$L$190-Driver!$K$190)</f>
        <v/>
      </c>
      <c r="AT910" s="108">
        <f>(BF910-Driver!$K$191)/(Driver!$L$191-Driver!$K$191)</f>
        <v/>
      </c>
      <c r="AU910" s="108">
        <f>(BG910-Driver!$K$192)/(Driver!$L$192-Driver!$K$192)</f>
        <v/>
      </c>
      <c r="AV910" s="105">
        <f>IFERROR(BM910*BJ910^1/4,"")</f>
        <v/>
      </c>
      <c r="AW910" s="105">
        <f>IFERROR(SUM(AX910:AZ910),"")</f>
        <v/>
      </c>
      <c r="AX910" s="105">
        <f>IFERROR(BH910,"")</f>
        <v/>
      </c>
      <c r="AY910" s="105">
        <f>IFERROR(Driver!$K$19/Data!BH910/Data!BI910*Data!BK910*Data!BL910,"")</f>
        <v/>
      </c>
      <c r="AZ910" s="105">
        <f>IFERROR(BI910*BN910,"")</f>
        <v/>
      </c>
      <c r="BA910" s="105" t="n"/>
      <c r="BB910" s="105" t="n"/>
      <c r="BC910" s="105">
        <f>IFERROR(BI910*BN910*BK910/BJ910^(1/2),"")</f>
        <v/>
      </c>
      <c r="BD910" s="105">
        <f>IFERROR(BH910*BM910*BL910/BJ910/BK910,"")</f>
        <v/>
      </c>
      <c r="BE910" s="105">
        <f>IFERROR(MIN(BI910/BQ910/BP910/BO910/BH910,$BE$1),"")</f>
        <v/>
      </c>
      <c r="BF910" s="105">
        <f>IFERROR(BJ910*BO910*BP910/BK910,"")</f>
        <v/>
      </c>
      <c r="BG910" s="105">
        <f>IFERROR(1/BM910/BH910*BQ910,"")</f>
        <v/>
      </c>
      <c r="BH910" s="102">
        <f>MAX((CE910-Driver!$F$200)/(Driver!$G$200-Driver!$F$200)*$BI$1,1)</f>
        <v/>
      </c>
      <c r="BI910" s="102">
        <f>MAX($BI$1*(BY910-Driver!$F$201)/(Driver!$G$201-Driver!$F$201),1)</f>
        <v/>
      </c>
      <c r="BJ910" s="102">
        <f>(CB910-Driver!$F$206)/(Driver!$G$206-Driver!$F$206)*$BI$1</f>
        <v/>
      </c>
      <c r="BK910" s="102">
        <f>(CD910-Driver!$F$203)/(Driver!$G$203-Driver!$F$203)*$BI$1</f>
        <v/>
      </c>
      <c r="BL910" s="102">
        <f>MAX((CR910-Driver!$F$202)/(Driver!$G$202-Driver!$F$202)*$BI$1,1)</f>
        <v/>
      </c>
      <c r="BM910" s="102">
        <f>MAX((CH910-Driver!$F$204)/(Driver!$G$204-Driver!$F$204)*$BI$1,1)</f>
        <v/>
      </c>
      <c r="BN910" s="102">
        <f>(CI910-Driver!$F$205)/(Driver!$G$205-Driver!$F$205)*$BI$1</f>
        <v/>
      </c>
      <c r="BO910" s="102">
        <f>(CK910-Driver!$F$207)/(Driver!$G$207-Driver!$F$207)*$BI$1</f>
        <v/>
      </c>
      <c r="BP910" s="102">
        <f>(CM910-Driver!$F$208)/(Driver!$G$208-Driver!$F$208)*$BI$1</f>
        <v/>
      </c>
      <c r="BQ910" s="102">
        <f>(CL910-Driver!$F$209)/(Driver!$G$209-Driver!$F$209)*$BI$1</f>
        <v/>
      </c>
      <c r="BR910" s="40" t="inlineStr">
        <is>
          <t>21/22</t>
        </is>
      </c>
      <c r="BS910" s="10" t="inlineStr">
        <is>
          <t xml:space="preserve"> Faction</t>
        </is>
      </c>
      <c r="BT910" s="11" t="inlineStr">
        <is>
          <t>Agent 3.0</t>
        </is>
      </c>
      <c r="BU910" s="13" t="n">
        <v>188</v>
      </c>
      <c r="BV910" s="11" t="inlineStr">
        <is>
          <t xml:space="preserve"> Unisex</t>
        </is>
      </c>
      <c r="BW910" s="13" t="n">
        <v>188</v>
      </c>
      <c r="BX910" s="13" t="n">
        <v>186.5</v>
      </c>
      <c r="BY910" s="13" t="n">
        <v>130</v>
      </c>
      <c r="BZ910" s="13" t="n">
        <v>156</v>
      </c>
      <c r="CA910" s="13" t="n">
        <v>133</v>
      </c>
      <c r="CB910" s="13" t="n">
        <v>105</v>
      </c>
      <c r="CC910" s="13" t="n">
        <v>123</v>
      </c>
      <c r="CD910" s="13" t="n">
        <v>23.5</v>
      </c>
      <c r="CE910" s="13" t="n">
        <v>1873</v>
      </c>
      <c r="CF910" s="13" t="n">
        <v>1.14</v>
      </c>
      <c r="CG910" s="13" t="n">
        <v>2138</v>
      </c>
      <c r="CH910" s="13" t="n">
        <v>262</v>
      </c>
      <c r="CI910" s="13" t="n">
        <v>127</v>
      </c>
      <c r="CJ910" s="13" t="n">
        <v>55</v>
      </c>
      <c r="CK910" s="13" t="n">
        <v>339</v>
      </c>
      <c r="CL910" s="13" t="n">
        <v>23</v>
      </c>
      <c r="CM910" s="13" t="n">
        <v>227</v>
      </c>
      <c r="CN910" s="13" t="n">
        <v>0.42</v>
      </c>
      <c r="CO910" s="13" t="n">
        <v>191</v>
      </c>
      <c r="CP910" s="13" t="n">
        <v>114</v>
      </c>
      <c r="CQ910" s="13" t="n">
        <v>148</v>
      </c>
      <c r="CR910" s="13" t="n">
        <v>4</v>
      </c>
      <c r="CS910" s="13" t="n">
        <v>11.7</v>
      </c>
      <c r="CT910" s="11" t="inlineStr">
        <is>
          <t xml:space="preserve"> Powder</t>
        </is>
      </c>
      <c r="CU910" s="11" t="inlineStr">
        <is>
          <t xml:space="preserve"> Touring</t>
        </is>
      </c>
      <c r="CV910" s="13" t="n"/>
      <c r="CW910" s="13" t="n"/>
      <c r="CX910">
        <f>INDEX('Data_Price '!AG$2:AG$1266,MATCH(Data!$DN910,'Data_Price '!$AT$2:$AT$1266,0))</f>
        <v/>
      </c>
      <c r="CY910">
        <f>INDEX('Data_Price '!AH$2:AH$1266,MATCH(Data!$DN910,'Data_Price '!$AT$2:$AT$1266,0))</f>
        <v/>
      </c>
      <c r="CZ910">
        <f>INDEX('Data_Price '!AI$2:AI$1266,MATCH(Data!$DN910,'Data_Price '!$AT$2:$AT$1266,0))</f>
        <v/>
      </c>
      <c r="DA910">
        <f>INDEX('Data_Price '!AJ$2:AJ$1266,MATCH(Data!$DN910,'Data_Price '!$AT$2:$AT$1266,0))</f>
        <v/>
      </c>
      <c r="DB910">
        <f>INDEX('Data_Price '!AK$2:AK$1266,MATCH(Data!$DN910,'Data_Price '!$AT$2:$AT$1266,0))</f>
        <v/>
      </c>
      <c r="DC910">
        <f>INDEX('Data_Price '!AL$2:AL$1266,MATCH(Data!$DN910,'Data_Price '!$AT$2:$AT$1266,0))</f>
        <v/>
      </c>
      <c r="DD910">
        <f>INDEX('Data_Price '!AM$2:AM$1266,MATCH(Data!$DN910,'Data_Price '!$AT$2:$AT$1266,0))</f>
        <v/>
      </c>
      <c r="DE910">
        <f>INDEX('Data_Price '!AN$2:AN$1266,MATCH(Data!$DN910,'Data_Price '!$AT$2:$AT$1266,0))</f>
        <v/>
      </c>
      <c r="DF910">
        <f>INDEX('Data_Price '!AO$2:AO$1266,MATCH(Data!$DN910,'Data_Price '!$AT$2:$AT$1266,0))</f>
        <v/>
      </c>
      <c r="DG910">
        <f>INDEX('Data_Price '!AP$2:AP$1266,MATCH(Data!$DN910,'Data_Price '!$AT$2:$AT$1266,0))</f>
        <v/>
      </c>
      <c r="DH910">
        <f>INDEX('Data_Price '!AQ$2:AQ$1266,MATCH(Data!$DN910,'Data_Price '!$AT$2:$AT$1266,0))</f>
        <v/>
      </c>
      <c r="DI910">
        <f>INDEX('Data_Price '!AR$2:AR$1266,MATCH(Data!$DN910,'Data_Price '!$AT$2:$AT$1266,0))</f>
        <v/>
      </c>
      <c r="DJ910" s="138">
        <f>DA910</f>
        <v/>
      </c>
      <c r="DK910" s="138">
        <f>DE910</f>
        <v/>
      </c>
      <c r="DL910" s="138">
        <f>DI910</f>
        <v/>
      </c>
      <c r="DM910" s="303">
        <f>IF(LEFT(BT910,1)=" ",RIGHT(BT910,LEN(BT910)-1),BT910)</f>
        <v/>
      </c>
      <c r="DN910" s="138">
        <f>_xlfn.CONCAT(BS910,DM910,BU910,BV910)</f>
        <v/>
      </c>
      <c r="DO910" s="307" t="inlineStr">
        <is>
          <t>https://images.evo.com/imgp/250/181980/733532/faction-agent-3-0-skis-2022-.jpg</t>
        </is>
      </c>
    </row>
    <row r="911" ht="15.6" customHeight="1" s="184">
      <c r="B911" s="303">
        <f t="array" ref="B911">IF(OR(ISERROR(K911:P911)),FALSE,TRUE)</f>
        <v/>
      </c>
      <c r="C911" s="60">
        <f>OR(BR911=Driver!$G$50,Data!BR1001=Driver!$H$50)</f>
        <v/>
      </c>
      <c r="D911" s="60">
        <f>OR(BV911=Driver!$G$51,BV911=Driver!$H$51)</f>
        <v/>
      </c>
      <c r="E911" s="60">
        <f>AND(BX911&gt;Driver!$F$54,BX911&lt;Driver!$G$54)</f>
        <v/>
      </c>
      <c r="F911" s="60">
        <f>CL911&gt;Driver!$F$56</f>
        <v/>
      </c>
      <c r="G911" s="60">
        <f>AND(CB911&gt;Driver!$F$55,CB911&lt;Driver!$G$55)</f>
        <v/>
      </c>
      <c r="H911" s="60">
        <f>AND(B911:G911)</f>
        <v/>
      </c>
      <c r="I911" s="60">
        <f>COUNTIFS($H$9:$H$1273,TRUE,$BT$9:$BT$1273,BT911)</f>
        <v/>
      </c>
      <c r="J911" s="60">
        <f t="array" ref="J911">NOT(OR(($H$9:$H$1273=TRUE)*($I$9:$I$1273&gt;0)*($BT$9:$BT$1273=BT911)*($K$9:$K$1273&gt;K911)))</f>
        <v/>
      </c>
      <c r="K911" s="108">
        <f>IFERROR(1-AVERAGE(X911:Y911),"")</f>
        <v/>
      </c>
      <c r="L911" s="108">
        <f>1-X911</f>
        <v/>
      </c>
      <c r="M911" s="108">
        <f>1-Y911</f>
        <v/>
      </c>
      <c r="N911" s="108">
        <f>1-Z911</f>
        <v/>
      </c>
      <c r="O911" s="108">
        <f>1-AA911</f>
        <v/>
      </c>
      <c r="P911" s="108">
        <f>1-AB911</f>
        <v/>
      </c>
      <c r="Q911" s="108" t="n"/>
      <c r="R911" s="108" t="n"/>
      <c r="S911" s="108">
        <f>1-AE911</f>
        <v/>
      </c>
      <c r="T911" s="108">
        <f>1-AF911</f>
        <v/>
      </c>
      <c r="U911" s="108">
        <f>1-AG911</f>
        <v/>
      </c>
      <c r="V911" s="108">
        <f>1-AH911</f>
        <v/>
      </c>
      <c r="W911" s="108">
        <f>1-AI911</f>
        <v/>
      </c>
      <c r="X911" s="108">
        <f>ABS(AJ911-AJ$1)</f>
        <v/>
      </c>
      <c r="Y911" s="108">
        <f>AVERAGE(Z911:AB911)</f>
        <v/>
      </c>
      <c r="Z911" s="108">
        <f>ABS(AL911-AL$1)</f>
        <v/>
      </c>
      <c r="AA911" s="108">
        <f>ABS(AM911-AM$1)</f>
        <v/>
      </c>
      <c r="AB911" s="108">
        <f>ABS(AN911-AN$1)</f>
        <v/>
      </c>
      <c r="AC911" s="108" t="n"/>
      <c r="AD911" s="108" t="n"/>
      <c r="AE911" s="108">
        <f>ABS(AQ$1-AQ911)</f>
        <v/>
      </c>
      <c r="AF911" s="108">
        <f>ABS(AR$1-AR911)</f>
        <v/>
      </c>
      <c r="AG911" s="108">
        <f>ABS(AS$1-AS911)</f>
        <v/>
      </c>
      <c r="AH911" s="108">
        <f>ABS(AT$1-AT911)</f>
        <v/>
      </c>
      <c r="AI911" s="108">
        <f>ABS(AU$1-AU911)</f>
        <v/>
      </c>
      <c r="AJ911" s="108">
        <f>(AV911-Driver!$K$179)/(Driver!$L$179-Driver!$K$179)</f>
        <v/>
      </c>
      <c r="AK911" s="108">
        <f>(AW911-Driver!$K$180)/(Driver!$L$180-Driver!$K$180)</f>
        <v/>
      </c>
      <c r="AL911" s="108">
        <f>(AX911-Driver!$K$181)/(Driver!$L$181-Driver!$K$181)</f>
        <v/>
      </c>
      <c r="AM911" s="108">
        <f>(AY911-Driver!$K$182)/(Driver!$L$182-Driver!$K$182)</f>
        <v/>
      </c>
      <c r="AN911" s="108">
        <f>(AZ911-Driver!$K$183)/(Driver!$L$183-Driver!$K$183)</f>
        <v/>
      </c>
      <c r="AO911" s="108" t="n"/>
      <c r="AP911" s="108" t="n"/>
      <c r="AQ911" s="108">
        <f>(BC911-Driver!$K$188)/(Driver!$L$188-Driver!$K$188)</f>
        <v/>
      </c>
      <c r="AR911" s="108">
        <f>MIN((BD911-Driver!$K$189)/(Driver!$L$189-Driver!$K$189),100%)</f>
        <v/>
      </c>
      <c r="AS911" s="108">
        <f>(BE911-Driver!$K$190)/(Driver!$L$190-Driver!$K$190)</f>
        <v/>
      </c>
      <c r="AT911" s="108">
        <f>(BF911-Driver!$K$191)/(Driver!$L$191-Driver!$K$191)</f>
        <v/>
      </c>
      <c r="AU911" s="108">
        <f>(BG911-Driver!$K$192)/(Driver!$L$192-Driver!$K$192)</f>
        <v/>
      </c>
      <c r="AV911" s="105">
        <f>IFERROR(BM911*BJ911^1/4,"")</f>
        <v/>
      </c>
      <c r="AW911" s="105">
        <f>IFERROR(SUM(AX911:AZ911),"")</f>
        <v/>
      </c>
      <c r="AX911" s="105">
        <f>IFERROR(BH911,"")</f>
        <v/>
      </c>
      <c r="AY911" s="105">
        <f>IFERROR(Driver!$K$19/Data!BH911/Data!BI911*Data!BK911*Data!BL911,"")</f>
        <v/>
      </c>
      <c r="AZ911" s="105">
        <f>IFERROR(BI911*BN911,"")</f>
        <v/>
      </c>
      <c r="BA911" s="105" t="n"/>
      <c r="BB911" s="105" t="n"/>
      <c r="BC911" s="105">
        <f>IFERROR(BI911*BN911*BK911/BJ911^(1/2),"")</f>
        <v/>
      </c>
      <c r="BD911" s="105">
        <f>IFERROR(BH911*BM911*BL911/BJ911/BK911,"")</f>
        <v/>
      </c>
      <c r="BE911" s="105">
        <f>IFERROR(MIN(BI911/BQ911/BP911/BO911/BH911,$BE$1),"")</f>
        <v/>
      </c>
      <c r="BF911" s="105">
        <f>IFERROR(BJ911*BO911*BP911/BK911,"")</f>
        <v/>
      </c>
      <c r="BG911" s="105">
        <f>IFERROR(1/BM911/BH911*BQ911,"")</f>
        <v/>
      </c>
      <c r="BH911" s="102">
        <f>MAX((CE911-Driver!$F$200)/(Driver!$G$200-Driver!$F$200)*$BI$1,1)</f>
        <v/>
      </c>
      <c r="BI911" s="102">
        <f>MAX($BI$1*(BY911-Driver!$F$201)/(Driver!$G$201-Driver!$F$201),1)</f>
        <v/>
      </c>
      <c r="BJ911" s="102">
        <f>(CB911-Driver!$F$206)/(Driver!$G$206-Driver!$F$206)*$BI$1</f>
        <v/>
      </c>
      <c r="BK911" s="102">
        <f>(CD911-Driver!$F$203)/(Driver!$G$203-Driver!$F$203)*$BI$1</f>
        <v/>
      </c>
      <c r="BL911" s="102">
        <f>MAX((CR911-Driver!$F$202)/(Driver!$G$202-Driver!$F$202)*$BI$1,1)</f>
        <v/>
      </c>
      <c r="BM911" s="102">
        <f>MAX((CH911-Driver!$F$204)/(Driver!$G$204-Driver!$F$204)*$BI$1,1)</f>
        <v/>
      </c>
      <c r="BN911" s="102">
        <f>(CI911-Driver!$F$205)/(Driver!$G$205-Driver!$F$205)*$BI$1</f>
        <v/>
      </c>
      <c r="BO911" s="102">
        <f>(CK911-Driver!$F$207)/(Driver!$G$207-Driver!$F$207)*$BI$1</f>
        <v/>
      </c>
      <c r="BP911" s="102">
        <f>(CM911-Driver!$F$208)/(Driver!$G$208-Driver!$F$208)*$BI$1</f>
        <v/>
      </c>
      <c r="BQ911" s="102">
        <f>(CL911-Driver!$F$209)/(Driver!$G$209-Driver!$F$209)*$BI$1</f>
        <v/>
      </c>
      <c r="BR911" s="40" t="inlineStr">
        <is>
          <t>21/22</t>
        </is>
      </c>
      <c r="BS911" s="10" t="inlineStr">
        <is>
          <t xml:space="preserve"> Rossignol</t>
        </is>
      </c>
      <c r="BT911" s="11" t="inlineStr">
        <is>
          <t>Experience 76 W</t>
        </is>
      </c>
      <c r="BU911" s="13" t="n">
        <v>144</v>
      </c>
      <c r="BV911" s="11" t="inlineStr">
        <is>
          <t xml:space="preserve"> Women's</t>
        </is>
      </c>
      <c r="BW911" s="13" t="n">
        <v>144</v>
      </c>
      <c r="BX911" s="13" t="n">
        <v>144.3</v>
      </c>
      <c r="BY911" s="13" t="n">
        <v>118</v>
      </c>
      <c r="BZ911" s="13" t="n">
        <v>129</v>
      </c>
      <c r="CA911" s="13" t="n">
        <v>123</v>
      </c>
      <c r="CB911" s="13" t="n">
        <v>76</v>
      </c>
      <c r="CC911" s="13" t="n">
        <v>109</v>
      </c>
      <c r="CD911" s="13" t="n">
        <v>9.9</v>
      </c>
      <c r="CE911" s="13" t="n">
        <v>1483</v>
      </c>
      <c r="CF911" s="13" t="n">
        <v>0.89</v>
      </c>
      <c r="CG911" s="13" t="n">
        <v>1325</v>
      </c>
      <c r="CH911" s="13" t="n">
        <v>162</v>
      </c>
      <c r="CI911" s="13" t="n">
        <v>60</v>
      </c>
      <c r="CJ911" s="13" t="n">
        <v>38</v>
      </c>
      <c r="CK911" s="13" t="n">
        <v>186</v>
      </c>
      <c r="CL911" s="13" t="n">
        <v>6</v>
      </c>
      <c r="CM911" s="13" t="n">
        <v>73</v>
      </c>
      <c r="CN911" s="13" t="n">
        <v>0.157</v>
      </c>
      <c r="CO911" s="13" t="n">
        <v>72</v>
      </c>
      <c r="CP911" s="13" t="n">
        <v>83</v>
      </c>
      <c r="CQ911" s="13" t="n">
        <v>114</v>
      </c>
      <c r="CR911" s="13" t="n">
        <v>6</v>
      </c>
      <c r="CS911" s="13" t="n">
        <v>8</v>
      </c>
      <c r="CT911" s="11" t="inlineStr">
        <is>
          <t xml:space="preserve"> On-Piste Carving</t>
        </is>
      </c>
      <c r="CU911" s="11" t="inlineStr">
        <is>
          <t xml:space="preserve"> On-Piste All-Mountain</t>
        </is>
      </c>
      <c r="CV911" s="13" t="n"/>
      <c r="CW911" s="13" t="n"/>
      <c r="CX911">
        <f>INDEX('Data_Price '!AG$2:AG$1266,MATCH(Data!$DN911,'Data_Price '!$AT$2:$AT$1266,0))</f>
        <v/>
      </c>
      <c r="CY911">
        <f>INDEX('Data_Price '!AH$2:AH$1266,MATCH(Data!$DN911,'Data_Price '!$AT$2:$AT$1266,0))</f>
        <v/>
      </c>
      <c r="CZ911">
        <f>INDEX('Data_Price '!AI$2:AI$1266,MATCH(Data!$DN911,'Data_Price '!$AT$2:$AT$1266,0))</f>
        <v/>
      </c>
      <c r="DA911">
        <f>INDEX('Data_Price '!AJ$2:AJ$1266,MATCH(Data!$DN911,'Data_Price '!$AT$2:$AT$1266,0))</f>
        <v/>
      </c>
      <c r="DB911">
        <f>INDEX('Data_Price '!AK$2:AK$1266,MATCH(Data!$DN911,'Data_Price '!$AT$2:$AT$1266,0))</f>
        <v/>
      </c>
      <c r="DC911">
        <f>INDEX('Data_Price '!AL$2:AL$1266,MATCH(Data!$DN911,'Data_Price '!$AT$2:$AT$1266,0))</f>
        <v/>
      </c>
      <c r="DD911">
        <f>INDEX('Data_Price '!AM$2:AM$1266,MATCH(Data!$DN911,'Data_Price '!$AT$2:$AT$1266,0))</f>
        <v/>
      </c>
      <c r="DE911">
        <f>INDEX('Data_Price '!AN$2:AN$1266,MATCH(Data!$DN911,'Data_Price '!$AT$2:$AT$1266,0))</f>
        <v/>
      </c>
      <c r="DF911">
        <f>INDEX('Data_Price '!AO$2:AO$1266,MATCH(Data!$DN911,'Data_Price '!$AT$2:$AT$1266,0))</f>
        <v/>
      </c>
      <c r="DG911">
        <f>INDEX('Data_Price '!AP$2:AP$1266,MATCH(Data!$DN911,'Data_Price '!$AT$2:$AT$1266,0))</f>
        <v/>
      </c>
      <c r="DH911">
        <f>INDEX('Data_Price '!AQ$2:AQ$1266,MATCH(Data!$DN911,'Data_Price '!$AT$2:$AT$1266,0))</f>
        <v/>
      </c>
      <c r="DI911">
        <f>INDEX('Data_Price '!AR$2:AR$1266,MATCH(Data!$DN911,'Data_Price '!$AT$2:$AT$1266,0))</f>
        <v/>
      </c>
      <c r="DJ911" s="138">
        <f>DA911</f>
        <v/>
      </c>
      <c r="DK911" s="138">
        <f>DE911</f>
        <v/>
      </c>
      <c r="DL911" s="138">
        <f>DI911</f>
        <v/>
      </c>
      <c r="DM911" s="303">
        <f>IF(LEFT(BT911,1)=" ",RIGHT(BT911,LEN(BT911)-1),BT911)</f>
        <v/>
      </c>
      <c r="DN911" s="138">
        <f>_xlfn.CONCAT(BS911,DM911,BU911,BV911)</f>
        <v/>
      </c>
      <c r="DO911" s="307" t="n"/>
    </row>
    <row r="912" ht="15.6" customHeight="1" s="184">
      <c r="B912" s="303">
        <f t="array" ref="B912">IF(OR(ISERROR(K912:P912)),FALSE,TRUE)</f>
        <v/>
      </c>
      <c r="C912" s="60">
        <f>OR(BR912=Driver!$G$50,Data!BR653=Driver!$H$50)</f>
        <v/>
      </c>
      <c r="D912" s="60">
        <f>OR(BV912=Driver!$G$51,BV912=Driver!$H$51)</f>
        <v/>
      </c>
      <c r="E912" s="60">
        <f>AND(BX912&gt;Driver!$F$54,BX912&lt;Driver!$G$54)</f>
        <v/>
      </c>
      <c r="F912" s="60">
        <f>CL912&gt;Driver!$F$56</f>
        <v/>
      </c>
      <c r="G912" s="60">
        <f>AND(CB912&gt;Driver!$F$55,CB912&lt;Driver!$G$55)</f>
        <v/>
      </c>
      <c r="H912" s="60">
        <f>AND(B912:G912)</f>
        <v/>
      </c>
      <c r="I912" s="60">
        <f>COUNTIFS($H$9:$H$1273,TRUE,$BT$9:$BT$1273,BT912)</f>
        <v/>
      </c>
      <c r="J912" s="60">
        <f t="array" ref="J912">NOT(OR(($H$9:$H$1273=TRUE)*($I$9:$I$1273&gt;0)*($BT$9:$BT$1273=BT912)*($K$9:$K$1273&gt;K912)))</f>
        <v/>
      </c>
      <c r="K912" s="108">
        <f>IFERROR(1-AVERAGE(X912:Y912),"")</f>
        <v/>
      </c>
      <c r="L912" s="108">
        <f>1-X912</f>
        <v/>
      </c>
      <c r="M912" s="108">
        <f>1-Y912</f>
        <v/>
      </c>
      <c r="N912" s="108">
        <f>1-Z912</f>
        <v/>
      </c>
      <c r="O912" s="108">
        <f>1-AA912</f>
        <v/>
      </c>
      <c r="P912" s="108">
        <f>1-AB912</f>
        <v/>
      </c>
      <c r="Q912" s="108" t="n"/>
      <c r="R912" s="108" t="n"/>
      <c r="S912" s="108">
        <f>1-AE912</f>
        <v/>
      </c>
      <c r="T912" s="108">
        <f>1-AF912</f>
        <v/>
      </c>
      <c r="U912" s="108">
        <f>1-AG912</f>
        <v/>
      </c>
      <c r="V912" s="108">
        <f>1-AH912</f>
        <v/>
      </c>
      <c r="W912" s="108">
        <f>1-AI912</f>
        <v/>
      </c>
      <c r="X912" s="108">
        <f>ABS(AJ912-AJ$1)</f>
        <v/>
      </c>
      <c r="Y912" s="108">
        <f>AVERAGE(Z912:AB912)</f>
        <v/>
      </c>
      <c r="Z912" s="108">
        <f>ABS(AL912-AL$1)</f>
        <v/>
      </c>
      <c r="AA912" s="108">
        <f>ABS(AM912-AM$1)</f>
        <v/>
      </c>
      <c r="AB912" s="108">
        <f>ABS(AN912-AN$1)</f>
        <v/>
      </c>
      <c r="AC912" s="108" t="n"/>
      <c r="AD912" s="108" t="n"/>
      <c r="AE912" s="108">
        <f>ABS(AQ$1-AQ912)</f>
        <v/>
      </c>
      <c r="AF912" s="108">
        <f>ABS(AR$1-AR912)</f>
        <v/>
      </c>
      <c r="AG912" s="108">
        <f>ABS(AS$1-AS912)</f>
        <v/>
      </c>
      <c r="AH912" s="108">
        <f>ABS(AT$1-AT912)</f>
        <v/>
      </c>
      <c r="AI912" s="108">
        <f>ABS(AU$1-AU912)</f>
        <v/>
      </c>
      <c r="AJ912" s="108">
        <f>(AV912-Driver!$K$179)/(Driver!$L$179-Driver!$K$179)</f>
        <v/>
      </c>
      <c r="AK912" s="108">
        <f>(AW912-Driver!$K$180)/(Driver!$L$180-Driver!$K$180)</f>
        <v/>
      </c>
      <c r="AL912" s="108">
        <f>(AX912-Driver!$K$181)/(Driver!$L$181-Driver!$K$181)</f>
        <v/>
      </c>
      <c r="AM912" s="108">
        <f>(AY912-Driver!$K$182)/(Driver!$L$182-Driver!$K$182)</f>
        <v/>
      </c>
      <c r="AN912" s="108">
        <f>(AZ912-Driver!$K$183)/(Driver!$L$183-Driver!$K$183)</f>
        <v/>
      </c>
      <c r="AO912" s="108" t="n"/>
      <c r="AP912" s="108" t="n"/>
      <c r="AQ912" s="108">
        <f>(BC912-Driver!$K$188)/(Driver!$L$188-Driver!$K$188)</f>
        <v/>
      </c>
      <c r="AR912" s="108">
        <f>MIN((BD912-Driver!$K$189)/(Driver!$L$189-Driver!$K$189),100%)</f>
        <v/>
      </c>
      <c r="AS912" s="108">
        <f>(BE912-Driver!$K$190)/(Driver!$L$190-Driver!$K$190)</f>
        <v/>
      </c>
      <c r="AT912" s="108">
        <f>(BF912-Driver!$K$191)/(Driver!$L$191-Driver!$K$191)</f>
        <v/>
      </c>
      <c r="AU912" s="108">
        <f>(BG912-Driver!$K$192)/(Driver!$L$192-Driver!$K$192)</f>
        <v/>
      </c>
      <c r="AV912" s="105">
        <f>IFERROR(BM912*BJ912^1/4,"")</f>
        <v/>
      </c>
      <c r="AW912" s="105">
        <f>IFERROR(SUM(AX912:AZ912),"")</f>
        <v/>
      </c>
      <c r="AX912" s="105">
        <f>IFERROR(BH912,"")</f>
        <v/>
      </c>
      <c r="AY912" s="105">
        <f>IFERROR(Driver!$K$19/Data!BH912/Data!BI912*Data!BK912*Data!BL912,"")</f>
        <v/>
      </c>
      <c r="AZ912" s="105">
        <f>IFERROR(BI912*BN912,"")</f>
        <v/>
      </c>
      <c r="BA912" s="105" t="n"/>
      <c r="BB912" s="105" t="n"/>
      <c r="BC912" s="105">
        <f>IFERROR(BI912*BN912*BK912/BJ912^(1/2),"")</f>
        <v/>
      </c>
      <c r="BD912" s="105">
        <f>IFERROR(BH912*BM912*BL912/BJ912/BK912,"")</f>
        <v/>
      </c>
      <c r="BE912" s="105">
        <f>IFERROR(MIN(BI912/BQ912/BP912/BO912/BH912,$BE$1),"")</f>
        <v/>
      </c>
      <c r="BF912" s="105">
        <f>IFERROR(BJ912*BO912*BP912/BK912,"")</f>
        <v/>
      </c>
      <c r="BG912" s="105">
        <f>IFERROR(1/BM912/BH912*BQ912,"")</f>
        <v/>
      </c>
      <c r="BH912" s="102">
        <f>MAX((CE912-Driver!$F$200)/(Driver!$G$200-Driver!$F$200)*$BI$1,1)</f>
        <v/>
      </c>
      <c r="BI912" s="102">
        <f>MAX($BI$1*(BY912-Driver!$F$201)/(Driver!$G$201-Driver!$F$201),1)</f>
        <v/>
      </c>
      <c r="BJ912" s="102">
        <f>(CB912-Driver!$F$206)/(Driver!$G$206-Driver!$F$206)*$BI$1</f>
        <v/>
      </c>
      <c r="BK912" s="102">
        <f>(CD912-Driver!$F$203)/(Driver!$G$203-Driver!$F$203)*$BI$1</f>
        <v/>
      </c>
      <c r="BL912" s="102">
        <f>MAX((CR912-Driver!$F$202)/(Driver!$G$202-Driver!$F$202)*$BI$1,1)</f>
        <v/>
      </c>
      <c r="BM912" s="102">
        <f>MAX((CH912-Driver!$F$204)/(Driver!$G$204-Driver!$F$204)*$BI$1,1)</f>
        <v/>
      </c>
      <c r="BN912" s="102">
        <f>(CI912-Driver!$F$205)/(Driver!$G$205-Driver!$F$205)*$BI$1</f>
        <v/>
      </c>
      <c r="BO912" s="102">
        <f>(CK912-Driver!$F$207)/(Driver!$G$207-Driver!$F$207)*$BI$1</f>
        <v/>
      </c>
      <c r="BP912" s="102">
        <f>(CM912-Driver!$F$208)/(Driver!$G$208-Driver!$F$208)*$BI$1</f>
        <v/>
      </c>
      <c r="BQ912" s="102">
        <f>(CL912-Driver!$F$209)/(Driver!$G$209-Driver!$F$209)*$BI$1</f>
        <v/>
      </c>
      <c r="BR912" s="40" t="inlineStr">
        <is>
          <t>21/22</t>
        </is>
      </c>
      <c r="BS912" s="10" t="inlineStr">
        <is>
          <t xml:space="preserve"> Head</t>
        </is>
      </c>
      <c r="BT912" s="11" t="inlineStr">
        <is>
          <t>V-Shape V10</t>
        </is>
      </c>
      <c r="BU912" s="13" t="n">
        <v>170</v>
      </c>
      <c r="BV912" s="11" t="inlineStr">
        <is>
          <t xml:space="preserve"> Unisex</t>
        </is>
      </c>
      <c r="BW912" s="13" t="n">
        <v>170</v>
      </c>
      <c r="BX912" s="13" t="n">
        <v>169.1</v>
      </c>
      <c r="BY912" s="13" t="n">
        <v>147</v>
      </c>
      <c r="BZ912" s="13" t="n">
        <v>155</v>
      </c>
      <c r="CA912" s="13" t="n">
        <v>138</v>
      </c>
      <c r="CB912" s="13" t="n">
        <v>84</v>
      </c>
      <c r="CC912" s="13" t="n">
        <v>120</v>
      </c>
      <c r="CD912" s="13" t="n">
        <v>13.6</v>
      </c>
      <c r="CE912" s="13" t="n">
        <v>1782</v>
      </c>
      <c r="CF912" s="13" t="n">
        <v>0.95</v>
      </c>
      <c r="CG912" s="13" t="n">
        <v>1695</v>
      </c>
      <c r="CH912" s="13" t="n">
        <v>208</v>
      </c>
      <c r="CI912" s="13" t="n">
        <v>56</v>
      </c>
      <c r="CJ912" s="13" t="n">
        <v>44</v>
      </c>
      <c r="CK912" s="13" t="n">
        <v>160</v>
      </c>
      <c r="CL912" s="13" t="n">
        <v>8</v>
      </c>
      <c r="CM912" s="13" t="n">
        <v>59</v>
      </c>
      <c r="CN912" s="13" t="n">
        <v>0.188</v>
      </c>
      <c r="CO912" s="13" t="n">
        <v>85</v>
      </c>
      <c r="CP912" s="13" t="n">
        <v>55</v>
      </c>
      <c r="CQ912" s="13" t="n">
        <v>76</v>
      </c>
      <c r="CR912" s="13" t="n">
        <v>11</v>
      </c>
      <c r="CS912" s="13" t="n">
        <v>13.1</v>
      </c>
      <c r="CT912" s="11" t="inlineStr">
        <is>
          <t xml:space="preserve"> On-Piste Carving</t>
        </is>
      </c>
      <c r="CU912" s="11" t="inlineStr">
        <is>
          <t xml:space="preserve"> Resort Freeride</t>
        </is>
      </c>
      <c r="CV912" s="13" t="n"/>
      <c r="CW912" s="13" t="n"/>
      <c r="CX912">
        <f>INDEX('Data_Price '!AG$2:AG$1266,MATCH(Data!$DN912,'Data_Price '!$AT$2:$AT$1266,0))</f>
        <v/>
      </c>
      <c r="CY912">
        <f>INDEX('Data_Price '!AH$2:AH$1266,MATCH(Data!$DN912,'Data_Price '!$AT$2:$AT$1266,0))</f>
        <v/>
      </c>
      <c r="CZ912">
        <f>INDEX('Data_Price '!AI$2:AI$1266,MATCH(Data!$DN912,'Data_Price '!$AT$2:$AT$1266,0))</f>
        <v/>
      </c>
      <c r="DA912">
        <f>INDEX('Data_Price '!AJ$2:AJ$1266,MATCH(Data!$DN912,'Data_Price '!$AT$2:$AT$1266,0))</f>
        <v/>
      </c>
      <c r="DB912">
        <f>INDEX('Data_Price '!AK$2:AK$1266,MATCH(Data!$DN912,'Data_Price '!$AT$2:$AT$1266,0))</f>
        <v/>
      </c>
      <c r="DC912">
        <f>INDEX('Data_Price '!AL$2:AL$1266,MATCH(Data!$DN912,'Data_Price '!$AT$2:$AT$1266,0))</f>
        <v/>
      </c>
      <c r="DD912">
        <f>INDEX('Data_Price '!AM$2:AM$1266,MATCH(Data!$DN912,'Data_Price '!$AT$2:$AT$1266,0))</f>
        <v/>
      </c>
      <c r="DE912">
        <f>INDEX('Data_Price '!AN$2:AN$1266,MATCH(Data!$DN912,'Data_Price '!$AT$2:$AT$1266,0))</f>
        <v/>
      </c>
      <c r="DF912">
        <f>INDEX('Data_Price '!AO$2:AO$1266,MATCH(Data!$DN912,'Data_Price '!$AT$2:$AT$1266,0))</f>
        <v/>
      </c>
      <c r="DG912">
        <f>INDEX('Data_Price '!AP$2:AP$1266,MATCH(Data!$DN912,'Data_Price '!$AT$2:$AT$1266,0))</f>
        <v/>
      </c>
      <c r="DH912">
        <f>INDEX('Data_Price '!AQ$2:AQ$1266,MATCH(Data!$DN912,'Data_Price '!$AT$2:$AT$1266,0))</f>
        <v/>
      </c>
      <c r="DI912">
        <f>INDEX('Data_Price '!AR$2:AR$1266,MATCH(Data!$DN912,'Data_Price '!$AT$2:$AT$1266,0))</f>
        <v/>
      </c>
      <c r="DJ912" s="138">
        <f>DA912</f>
        <v/>
      </c>
      <c r="DK912" s="138">
        <f>DE912</f>
        <v/>
      </c>
      <c r="DL912" s="138">
        <f>DI912</f>
        <v/>
      </c>
      <c r="DM912" s="303">
        <f>IF(LEFT(BT912,1)=" ",RIGHT(BT912,LEN(BT912)-1),BT912)</f>
        <v/>
      </c>
      <c r="DN912" s="138">
        <f>_xlfn.CONCAT(BS912,DM912,BU912,BV912)</f>
        <v/>
      </c>
      <c r="DO912" s="307" t="n"/>
    </row>
    <row r="913" ht="15.6" customHeight="1" s="184">
      <c r="B913" s="303">
        <f t="array" ref="B913">IF(OR(ISERROR(K913:P913)),FALSE,TRUE)</f>
        <v/>
      </c>
      <c r="C913" s="60">
        <f>OR(BR913=Driver!$G$50,Data!BR48=Driver!$H$50)</f>
        <v/>
      </c>
      <c r="D913" s="60">
        <f>OR(BV913=Driver!$G$51,BV913=Driver!$H$51)</f>
        <v/>
      </c>
      <c r="E913" s="60">
        <f>AND(BX913&gt;Driver!$F$54,BX913&lt;Driver!$G$54)</f>
        <v/>
      </c>
      <c r="F913" s="60">
        <f>CL913&gt;Driver!$F$56</f>
        <v/>
      </c>
      <c r="G913" s="60">
        <f>AND(CB913&gt;Driver!$F$55,CB913&lt;Driver!$G$55)</f>
        <v/>
      </c>
      <c r="H913" s="60">
        <f>AND(B913:G913)</f>
        <v/>
      </c>
      <c r="I913" s="60">
        <f>COUNTIFS($H$9:$H$1273,TRUE,$BT$9:$BT$1273,BT913)</f>
        <v/>
      </c>
      <c r="J913" s="60">
        <f t="array" ref="J913">NOT(OR(($H$9:$H$1273=TRUE)*($I$9:$I$1273&gt;0)*($BT$9:$BT$1273=BT913)*($K$9:$K$1273&gt;K913)))</f>
        <v/>
      </c>
      <c r="K913" s="108">
        <f>IFERROR(1-AVERAGE(X913:Y913),"")</f>
        <v/>
      </c>
      <c r="L913" s="108">
        <f>1-X913</f>
        <v/>
      </c>
      <c r="M913" s="108">
        <f>1-Y913</f>
        <v/>
      </c>
      <c r="N913" s="108">
        <f>1-Z913</f>
        <v/>
      </c>
      <c r="O913" s="108">
        <f>1-AA913</f>
        <v/>
      </c>
      <c r="P913" s="108">
        <f>1-AB913</f>
        <v/>
      </c>
      <c r="Q913" s="108" t="n"/>
      <c r="R913" s="108" t="n"/>
      <c r="S913" s="108">
        <f>1-AE913</f>
        <v/>
      </c>
      <c r="T913" s="108">
        <f>1-AF913</f>
        <v/>
      </c>
      <c r="U913" s="108">
        <f>1-AG913</f>
        <v/>
      </c>
      <c r="V913" s="108">
        <f>1-AH913</f>
        <v/>
      </c>
      <c r="W913" s="108">
        <f>1-AI913</f>
        <v/>
      </c>
      <c r="X913" s="108">
        <f>ABS(AJ913-AJ$1)</f>
        <v/>
      </c>
      <c r="Y913" s="108">
        <f>AVERAGE(Z913:AB913)</f>
        <v/>
      </c>
      <c r="Z913" s="108">
        <f>ABS(AL913-AL$1)</f>
        <v/>
      </c>
      <c r="AA913" s="108">
        <f>ABS(AM913-AM$1)</f>
        <v/>
      </c>
      <c r="AB913" s="108">
        <f>ABS(AN913-AN$1)</f>
        <v/>
      </c>
      <c r="AC913" s="108" t="n"/>
      <c r="AD913" s="108" t="n"/>
      <c r="AE913" s="108">
        <f>ABS(AQ$1-AQ913)</f>
        <v/>
      </c>
      <c r="AF913" s="108">
        <f>ABS(AR$1-AR913)</f>
        <v/>
      </c>
      <c r="AG913" s="108">
        <f>ABS(AS$1-AS913)</f>
        <v/>
      </c>
      <c r="AH913" s="108">
        <f>ABS(AT$1-AT913)</f>
        <v/>
      </c>
      <c r="AI913" s="108">
        <f>ABS(AU$1-AU913)</f>
        <v/>
      </c>
      <c r="AJ913" s="108">
        <f>(AV913-Driver!$K$179)/(Driver!$L$179-Driver!$K$179)</f>
        <v/>
      </c>
      <c r="AK913" s="108">
        <f>(AW913-Driver!$K$180)/(Driver!$L$180-Driver!$K$180)</f>
        <v/>
      </c>
      <c r="AL913" s="108">
        <f>(AX913-Driver!$K$181)/(Driver!$L$181-Driver!$K$181)</f>
        <v/>
      </c>
      <c r="AM913" s="108">
        <f>(AY913-Driver!$K$182)/(Driver!$L$182-Driver!$K$182)</f>
        <v/>
      </c>
      <c r="AN913" s="108">
        <f>(AZ913-Driver!$K$183)/(Driver!$L$183-Driver!$K$183)</f>
        <v/>
      </c>
      <c r="AO913" s="108" t="n"/>
      <c r="AP913" s="108" t="n"/>
      <c r="AQ913" s="108">
        <f>(BC913-Driver!$K$188)/(Driver!$L$188-Driver!$K$188)</f>
        <v/>
      </c>
      <c r="AR913" s="108">
        <f>MIN((BD913-Driver!$K$189)/(Driver!$L$189-Driver!$K$189),100%)</f>
        <v/>
      </c>
      <c r="AS913" s="108">
        <f>(BE913-Driver!$K$190)/(Driver!$L$190-Driver!$K$190)</f>
        <v/>
      </c>
      <c r="AT913" s="108">
        <f>(BF913-Driver!$K$191)/(Driver!$L$191-Driver!$K$191)</f>
        <v/>
      </c>
      <c r="AU913" s="108">
        <f>(BG913-Driver!$K$192)/(Driver!$L$192-Driver!$K$192)</f>
        <v/>
      </c>
      <c r="AV913" s="105">
        <f>IFERROR(BM913*BJ913^1/4,"")</f>
        <v/>
      </c>
      <c r="AW913" s="105">
        <f>IFERROR(SUM(AX913:AZ913),"")</f>
        <v/>
      </c>
      <c r="AX913" s="105">
        <f>IFERROR(BH913,"")</f>
        <v/>
      </c>
      <c r="AY913" s="105">
        <f>IFERROR(Driver!$K$19/Data!BH913/Data!BI913*Data!BK913*Data!BL913,"")</f>
        <v/>
      </c>
      <c r="AZ913" s="105">
        <f>IFERROR(BI913*BN913,"")</f>
        <v/>
      </c>
      <c r="BA913" s="105" t="n"/>
      <c r="BB913" s="105" t="n"/>
      <c r="BC913" s="105">
        <f>IFERROR(BI913*BN913*BK913/BJ913^(1/2),"")</f>
        <v/>
      </c>
      <c r="BD913" s="105">
        <f>IFERROR(BH913*BM913*BL913/BJ913/BK913,"")</f>
        <v/>
      </c>
      <c r="BE913" s="105">
        <f>IFERROR(MIN(BI913/BQ913/BP913/BO913/BH913,$BE$1),"")</f>
        <v/>
      </c>
      <c r="BF913" s="105">
        <f>IFERROR(BJ913*BO913*BP913/BK913,"")</f>
        <v/>
      </c>
      <c r="BG913" s="105">
        <f>IFERROR(1/BM913/BH913*BQ913,"")</f>
        <v/>
      </c>
      <c r="BH913" s="102">
        <f>MAX((CE913-Driver!$F$200)/(Driver!$G$200-Driver!$F$200)*$BI$1,1)</f>
        <v/>
      </c>
      <c r="BI913" s="102">
        <f>MAX($BI$1*(BY913-Driver!$F$201)/(Driver!$G$201-Driver!$F$201),1)</f>
        <v/>
      </c>
      <c r="BJ913" s="102">
        <f>(CB913-Driver!$F$206)/(Driver!$G$206-Driver!$F$206)*$BI$1</f>
        <v/>
      </c>
      <c r="BK913" s="102">
        <f>(CD913-Driver!$F$203)/(Driver!$G$203-Driver!$F$203)*$BI$1</f>
        <v/>
      </c>
      <c r="BL913" s="102">
        <f>MAX((CR913-Driver!$F$202)/(Driver!$G$202-Driver!$F$202)*$BI$1,1)</f>
        <v/>
      </c>
      <c r="BM913" s="102">
        <f>MAX((CH913-Driver!$F$204)/(Driver!$G$204-Driver!$F$204)*$BI$1,1)</f>
        <v/>
      </c>
      <c r="BN913" s="102">
        <f>(CI913-Driver!$F$205)/(Driver!$G$205-Driver!$F$205)*$BI$1</f>
        <v/>
      </c>
      <c r="BO913" s="102">
        <f>(CK913-Driver!$F$207)/(Driver!$G$207-Driver!$F$207)*$BI$1</f>
        <v/>
      </c>
      <c r="BP913" s="102">
        <f>(CM913-Driver!$F$208)/(Driver!$G$208-Driver!$F$208)*$BI$1</f>
        <v/>
      </c>
      <c r="BQ913" s="102">
        <f>(CL913-Driver!$F$209)/(Driver!$G$209-Driver!$F$209)*$BI$1</f>
        <v/>
      </c>
      <c r="BR913" s="40" t="inlineStr">
        <is>
          <t>21/22</t>
        </is>
      </c>
      <c r="BS913" s="10" t="inlineStr">
        <is>
          <t xml:space="preserve"> Armada</t>
        </is>
      </c>
      <c r="BT913" s="11" t="inlineStr">
        <is>
          <t>ARW 106 UL</t>
        </is>
      </c>
      <c r="BU913" s="13" t="n">
        <v>188</v>
      </c>
      <c r="BV913" s="11" t="inlineStr">
        <is>
          <t xml:space="preserve"> Women's</t>
        </is>
      </c>
      <c r="BW913" s="13" t="n">
        <v>188</v>
      </c>
      <c r="BX913" s="13" t="n">
        <v>183.1</v>
      </c>
      <c r="BY913" s="13" t="n">
        <v>129</v>
      </c>
      <c r="BZ913" s="13" t="n">
        <v>150</v>
      </c>
      <c r="CA913" s="13" t="n">
        <v>136</v>
      </c>
      <c r="CB913" s="13" t="n">
        <v>105</v>
      </c>
      <c r="CC913" s="13" t="n">
        <v>125</v>
      </c>
      <c r="CD913" s="13" t="n">
        <v>21.8</v>
      </c>
      <c r="CE913" s="13" t="n">
        <v>1953</v>
      </c>
      <c r="CF913" s="13" t="n">
        <v>1.07</v>
      </c>
      <c r="CG913" s="13" t="n">
        <v>2093</v>
      </c>
      <c r="CH913" s="13" t="n">
        <v>266</v>
      </c>
      <c r="CI913" s="13" t="n">
        <v>129</v>
      </c>
      <c r="CJ913" s="13" t="n">
        <v>58</v>
      </c>
      <c r="CK913" s="13" t="n">
        <v>308</v>
      </c>
      <c r="CL913" s="13" t="n">
        <v>34</v>
      </c>
      <c r="CM913" s="13" t="n">
        <v>236</v>
      </c>
      <c r="CN913" s="13" t="n">
        <v>0.59</v>
      </c>
      <c r="CO913" s="13" t="n">
        <v>176</v>
      </c>
      <c r="CP913" s="13" t="n">
        <v>151</v>
      </c>
      <c r="CQ913" s="13" t="n">
        <v>132</v>
      </c>
      <c r="CR913" s="13" t="n">
        <v>6</v>
      </c>
      <c r="CS913" s="13" t="n">
        <v>4.1</v>
      </c>
      <c r="CT913" s="11" t="inlineStr">
        <is>
          <t xml:space="preserve"> Resort Freeride</t>
        </is>
      </c>
      <c r="CU913" s="11" t="inlineStr">
        <is>
          <t xml:space="preserve"> Powder</t>
        </is>
      </c>
      <c r="CV913" s="11" t="inlineStr">
        <is>
          <t xml:space="preserve"> Touring</t>
        </is>
      </c>
      <c r="CW913" s="13" t="n"/>
      <c r="CX913">
        <f>INDEX('Data_Price '!AG$2:AG$1266,MATCH(Data!$DN913,'Data_Price '!$AT$2:$AT$1266,0))</f>
        <v/>
      </c>
      <c r="CY913">
        <f>INDEX('Data_Price '!AH$2:AH$1266,MATCH(Data!$DN913,'Data_Price '!$AT$2:$AT$1266,0))</f>
        <v/>
      </c>
      <c r="CZ913">
        <f>INDEX('Data_Price '!AI$2:AI$1266,MATCH(Data!$DN913,'Data_Price '!$AT$2:$AT$1266,0))</f>
        <v/>
      </c>
      <c r="DA913">
        <f>INDEX('Data_Price '!AJ$2:AJ$1266,MATCH(Data!$DN913,'Data_Price '!$AT$2:$AT$1266,0))</f>
        <v/>
      </c>
      <c r="DB913">
        <f>INDEX('Data_Price '!AK$2:AK$1266,MATCH(Data!$DN913,'Data_Price '!$AT$2:$AT$1266,0))</f>
        <v/>
      </c>
      <c r="DC913">
        <f>INDEX('Data_Price '!AL$2:AL$1266,MATCH(Data!$DN913,'Data_Price '!$AT$2:$AT$1266,0))</f>
        <v/>
      </c>
      <c r="DD913">
        <f>INDEX('Data_Price '!AM$2:AM$1266,MATCH(Data!$DN913,'Data_Price '!$AT$2:$AT$1266,0))</f>
        <v/>
      </c>
      <c r="DE913">
        <f>INDEX('Data_Price '!AN$2:AN$1266,MATCH(Data!$DN913,'Data_Price '!$AT$2:$AT$1266,0))</f>
        <v/>
      </c>
      <c r="DF913">
        <f>INDEX('Data_Price '!AO$2:AO$1266,MATCH(Data!$DN913,'Data_Price '!$AT$2:$AT$1266,0))</f>
        <v/>
      </c>
      <c r="DG913">
        <f>INDEX('Data_Price '!AP$2:AP$1266,MATCH(Data!$DN913,'Data_Price '!$AT$2:$AT$1266,0))</f>
        <v/>
      </c>
      <c r="DH913">
        <f>INDEX('Data_Price '!AQ$2:AQ$1266,MATCH(Data!$DN913,'Data_Price '!$AT$2:$AT$1266,0))</f>
        <v/>
      </c>
      <c r="DI913">
        <f>INDEX('Data_Price '!AR$2:AR$1266,MATCH(Data!$DN913,'Data_Price '!$AT$2:$AT$1266,0))</f>
        <v/>
      </c>
      <c r="DJ913" s="138">
        <f>DA913</f>
        <v/>
      </c>
      <c r="DK913" s="138">
        <f>DE913</f>
        <v/>
      </c>
      <c r="DL913" s="138">
        <f>DI913</f>
        <v/>
      </c>
      <c r="DM913" s="303">
        <f>IF(LEFT(BT913,1)=" ",RIGHT(BT913,LEN(BT913)-1),BT913)</f>
        <v/>
      </c>
      <c r="DN913" s="138">
        <f>_xlfn.CONCAT(BS913,DM913,BU913,BV913)</f>
        <v/>
      </c>
      <c r="DO913" s="307" t="inlineStr">
        <is>
          <t>https://images.evo.com/imgp/250/198715/839687/armada-arw-106-ul-skis-2022-.jpg</t>
        </is>
      </c>
    </row>
    <row r="914" ht="15.6" customHeight="1" s="184">
      <c r="B914" s="303">
        <f t="array" ref="B914">IF(OR(ISERROR(K914:P914)),FALSE,TRUE)</f>
        <v/>
      </c>
      <c r="C914" s="60">
        <f>OR(BR914=Driver!$G$50,Data!BR868=Driver!$H$50)</f>
        <v/>
      </c>
      <c r="D914" s="60">
        <f>OR(BV914=Driver!$G$51,BV914=Driver!$H$51)</f>
        <v/>
      </c>
      <c r="E914" s="60">
        <f>AND(BX914&gt;Driver!$F$54,BX914&lt;Driver!$G$54)</f>
        <v/>
      </c>
      <c r="F914" s="60">
        <f>CL914&gt;Driver!$F$56</f>
        <v/>
      </c>
      <c r="G914" s="60">
        <f>AND(CB914&gt;Driver!$F$55,CB914&lt;Driver!$G$55)</f>
        <v/>
      </c>
      <c r="H914" s="60">
        <f>AND(B914:G914)</f>
        <v/>
      </c>
      <c r="I914" s="60">
        <f>COUNTIFS($H$9:$H$1273,TRUE,$BT$9:$BT$1273,BT914)</f>
        <v/>
      </c>
      <c r="J914" s="60">
        <f t="array" ref="J914">NOT(OR(($H$9:$H$1273=TRUE)*($I$9:$I$1273&gt;0)*($BT$9:$BT$1273=BT914)*($K$9:$K$1273&gt;K914)))</f>
        <v/>
      </c>
      <c r="K914" s="108">
        <f>IFERROR(1-AVERAGE(X914:Y914),"")</f>
        <v/>
      </c>
      <c r="L914" s="108">
        <f>1-X914</f>
        <v/>
      </c>
      <c r="M914" s="108">
        <f>1-Y914</f>
        <v/>
      </c>
      <c r="N914" s="108">
        <f>1-Z914</f>
        <v/>
      </c>
      <c r="O914" s="108">
        <f>1-AA914</f>
        <v/>
      </c>
      <c r="P914" s="108">
        <f>1-AB914</f>
        <v/>
      </c>
      <c r="Q914" s="108" t="n"/>
      <c r="R914" s="108" t="n"/>
      <c r="S914" s="108">
        <f>1-AE914</f>
        <v/>
      </c>
      <c r="T914" s="108">
        <f>1-AF914</f>
        <v/>
      </c>
      <c r="U914" s="108">
        <f>1-AG914</f>
        <v/>
      </c>
      <c r="V914" s="108">
        <f>1-AH914</f>
        <v/>
      </c>
      <c r="W914" s="108">
        <f>1-AI914</f>
        <v/>
      </c>
      <c r="X914" s="108">
        <f>ABS(AJ914-AJ$1)</f>
        <v/>
      </c>
      <c r="Y914" s="108">
        <f>AVERAGE(Z914:AB914)</f>
        <v/>
      </c>
      <c r="Z914" s="108">
        <f>ABS(AL914-AL$1)</f>
        <v/>
      </c>
      <c r="AA914" s="108">
        <f>ABS(AM914-AM$1)</f>
        <v/>
      </c>
      <c r="AB914" s="108">
        <f>ABS(AN914-AN$1)</f>
        <v/>
      </c>
      <c r="AC914" s="108" t="n"/>
      <c r="AD914" s="108" t="n"/>
      <c r="AE914" s="108">
        <f>ABS(AQ$1-AQ914)</f>
        <v/>
      </c>
      <c r="AF914" s="108">
        <f>ABS(AR$1-AR914)</f>
        <v/>
      </c>
      <c r="AG914" s="108">
        <f>ABS(AS$1-AS914)</f>
        <v/>
      </c>
      <c r="AH914" s="108">
        <f>ABS(AT$1-AT914)</f>
        <v/>
      </c>
      <c r="AI914" s="108">
        <f>ABS(AU$1-AU914)</f>
        <v/>
      </c>
      <c r="AJ914" s="108">
        <f>(AV914-Driver!$K$179)/(Driver!$L$179-Driver!$K$179)</f>
        <v/>
      </c>
      <c r="AK914" s="108">
        <f>(AW914-Driver!$K$180)/(Driver!$L$180-Driver!$K$180)</f>
        <v/>
      </c>
      <c r="AL914" s="108">
        <f>(AX914-Driver!$K$181)/(Driver!$L$181-Driver!$K$181)</f>
        <v/>
      </c>
      <c r="AM914" s="108">
        <f>(AY914-Driver!$K$182)/(Driver!$L$182-Driver!$K$182)</f>
        <v/>
      </c>
      <c r="AN914" s="108">
        <f>(AZ914-Driver!$K$183)/(Driver!$L$183-Driver!$K$183)</f>
        <v/>
      </c>
      <c r="AO914" s="108" t="n"/>
      <c r="AP914" s="108" t="n"/>
      <c r="AQ914" s="108">
        <f>(BC914-Driver!$K$188)/(Driver!$L$188-Driver!$K$188)</f>
        <v/>
      </c>
      <c r="AR914" s="108">
        <f>MIN((BD914-Driver!$K$189)/(Driver!$L$189-Driver!$K$189),100%)</f>
        <v/>
      </c>
      <c r="AS914" s="108">
        <f>(BE914-Driver!$K$190)/(Driver!$L$190-Driver!$K$190)</f>
        <v/>
      </c>
      <c r="AT914" s="108">
        <f>(BF914-Driver!$K$191)/(Driver!$L$191-Driver!$K$191)</f>
        <v/>
      </c>
      <c r="AU914" s="108">
        <f>(BG914-Driver!$K$192)/(Driver!$L$192-Driver!$K$192)</f>
        <v/>
      </c>
      <c r="AV914" s="105">
        <f>IFERROR(BM914*BJ914^1/4,"")</f>
        <v/>
      </c>
      <c r="AW914" s="105">
        <f>IFERROR(SUM(AX914:AZ914),"")</f>
        <v/>
      </c>
      <c r="AX914" s="105">
        <f>IFERROR(BH914,"")</f>
        <v/>
      </c>
      <c r="AY914" s="105">
        <f>IFERROR(Driver!$K$19/Data!BH914/Data!BI914*Data!BK914*Data!BL914,"")</f>
        <v/>
      </c>
      <c r="AZ914" s="105">
        <f>IFERROR(BI914*BN914,"")</f>
        <v/>
      </c>
      <c r="BA914" s="105" t="n"/>
      <c r="BB914" s="105" t="n"/>
      <c r="BC914" s="105">
        <f>IFERROR(BI914*BN914*BK914/BJ914^(1/2),"")</f>
        <v/>
      </c>
      <c r="BD914" s="105">
        <f>IFERROR(BH914*BM914*BL914/BJ914/BK914,"")</f>
        <v/>
      </c>
      <c r="BE914" s="105">
        <f>IFERROR(MIN(BI914/BQ914/BP914/BO914/BH914,$BE$1),"")</f>
        <v/>
      </c>
      <c r="BF914" s="105">
        <f>IFERROR(BJ914*BO914*BP914/BK914,"")</f>
        <v/>
      </c>
      <c r="BG914" s="105">
        <f>IFERROR(1/BM914/BH914*BQ914,"")</f>
        <v/>
      </c>
      <c r="BH914" s="102">
        <f>MAX((CE914-Driver!$F$200)/(Driver!$G$200-Driver!$F$200)*$BI$1,1)</f>
        <v/>
      </c>
      <c r="BI914" s="102">
        <f>MAX($BI$1*(BY914-Driver!$F$201)/(Driver!$G$201-Driver!$F$201),1)</f>
        <v/>
      </c>
      <c r="BJ914" s="102">
        <f>(CB914-Driver!$F$206)/(Driver!$G$206-Driver!$F$206)*$BI$1</f>
        <v/>
      </c>
      <c r="BK914" s="102">
        <f>(CD914-Driver!$F$203)/(Driver!$G$203-Driver!$F$203)*$BI$1</f>
        <v/>
      </c>
      <c r="BL914" s="102">
        <f>MAX((CR914-Driver!$F$202)/(Driver!$G$202-Driver!$F$202)*$BI$1,1)</f>
        <v/>
      </c>
      <c r="BM914" s="102">
        <f>MAX((CH914-Driver!$F$204)/(Driver!$G$204-Driver!$F$204)*$BI$1,1)</f>
        <v/>
      </c>
      <c r="BN914" s="102">
        <f>(CI914-Driver!$F$205)/(Driver!$G$205-Driver!$F$205)*$BI$1</f>
        <v/>
      </c>
      <c r="BO914" s="102">
        <f>(CK914-Driver!$F$207)/(Driver!$G$207-Driver!$F$207)*$BI$1</f>
        <v/>
      </c>
      <c r="BP914" s="102">
        <f>(CM914-Driver!$F$208)/(Driver!$G$208-Driver!$F$208)*$BI$1</f>
        <v/>
      </c>
      <c r="BQ914" s="102">
        <f>(CL914-Driver!$F$209)/(Driver!$G$209-Driver!$F$209)*$BI$1</f>
        <v/>
      </c>
      <c r="BR914" s="40" t="inlineStr">
        <is>
          <t>21/22</t>
        </is>
      </c>
      <c r="BS914" s="10" t="inlineStr">
        <is>
          <t xml:space="preserve"> Line</t>
        </is>
      </c>
      <c r="BT914" s="11" t="inlineStr">
        <is>
          <t xml:space="preserve"> Sir Francis Bacon</t>
        </is>
      </c>
      <c r="BU914" s="13" t="n">
        <v>176</v>
      </c>
      <c r="BV914" s="11" t="inlineStr">
        <is>
          <t xml:space="preserve"> Unisex</t>
        </is>
      </c>
      <c r="BW914" s="13" t="n">
        <v>176</v>
      </c>
      <c r="BX914" s="13" t="n">
        <v>175</v>
      </c>
      <c r="BY914" s="13" t="n">
        <v>101</v>
      </c>
      <c r="BZ914" s="13" t="n">
        <v>143</v>
      </c>
      <c r="CA914" s="13" t="n">
        <v>142</v>
      </c>
      <c r="CB914" s="13" t="n">
        <v>106</v>
      </c>
      <c r="CC914" s="13" t="n">
        <v>138</v>
      </c>
      <c r="CD914" s="13" t="n">
        <v>14.9</v>
      </c>
      <c r="CE914" s="13" t="n">
        <v>1738</v>
      </c>
      <c r="CF914" s="13" t="n">
        <v>1.16</v>
      </c>
      <c r="CG914" s="13" t="n">
        <v>2020</v>
      </c>
      <c r="CH914" s="13" t="n">
        <v>135</v>
      </c>
      <c r="CI914" s="13" t="n">
        <v>69</v>
      </c>
      <c r="CJ914" s="13" t="n">
        <v>47</v>
      </c>
      <c r="CK914" s="13" t="n">
        <v>397</v>
      </c>
      <c r="CL914" s="13" t="n">
        <v>47</v>
      </c>
      <c r="CM914" s="13" t="n">
        <v>347</v>
      </c>
      <c r="CN914" s="13" t="n">
        <v>1.004</v>
      </c>
      <c r="CO914" s="13" t="n">
        <v>159</v>
      </c>
      <c r="CP914" s="13" t="n">
        <v>161</v>
      </c>
      <c r="CQ914" s="13" t="n">
        <v>238</v>
      </c>
      <c r="CR914" s="13" t="n">
        <v>3</v>
      </c>
      <c r="CS914" s="13" t="n">
        <v>2.3</v>
      </c>
      <c r="CT914" s="11" t="inlineStr">
        <is>
          <t xml:space="preserve"> Freeski</t>
        </is>
      </c>
      <c r="CU914" s="11" t="inlineStr">
        <is>
          <t xml:space="preserve"> Powder</t>
        </is>
      </c>
      <c r="CV914" s="11" t="inlineStr">
        <is>
          <t xml:space="preserve"> Touring</t>
        </is>
      </c>
      <c r="CW914" s="13" t="n"/>
      <c r="CX914">
        <f>INDEX('Data_Price '!AG$2:AG$1266,MATCH(Data!$DN914,'Data_Price '!$AT$2:$AT$1266,0))</f>
        <v/>
      </c>
      <c r="CY914">
        <f>INDEX('Data_Price '!AH$2:AH$1266,MATCH(Data!$DN914,'Data_Price '!$AT$2:$AT$1266,0))</f>
        <v/>
      </c>
      <c r="CZ914">
        <f>INDEX('Data_Price '!AI$2:AI$1266,MATCH(Data!$DN914,'Data_Price '!$AT$2:$AT$1266,0))</f>
        <v/>
      </c>
      <c r="DA914">
        <f>INDEX('Data_Price '!AJ$2:AJ$1266,MATCH(Data!$DN914,'Data_Price '!$AT$2:$AT$1266,0))</f>
        <v/>
      </c>
      <c r="DB914">
        <f>INDEX('Data_Price '!AK$2:AK$1266,MATCH(Data!$DN914,'Data_Price '!$AT$2:$AT$1266,0))</f>
        <v/>
      </c>
      <c r="DC914">
        <f>INDEX('Data_Price '!AL$2:AL$1266,MATCH(Data!$DN914,'Data_Price '!$AT$2:$AT$1266,0))</f>
        <v/>
      </c>
      <c r="DD914">
        <f>INDEX('Data_Price '!AM$2:AM$1266,MATCH(Data!$DN914,'Data_Price '!$AT$2:$AT$1266,0))</f>
        <v/>
      </c>
      <c r="DE914">
        <f>INDEX('Data_Price '!AN$2:AN$1266,MATCH(Data!$DN914,'Data_Price '!$AT$2:$AT$1266,0))</f>
        <v/>
      </c>
      <c r="DF914">
        <f>INDEX('Data_Price '!AO$2:AO$1266,MATCH(Data!$DN914,'Data_Price '!$AT$2:$AT$1266,0))</f>
        <v/>
      </c>
      <c r="DG914">
        <f>INDEX('Data_Price '!AP$2:AP$1266,MATCH(Data!$DN914,'Data_Price '!$AT$2:$AT$1266,0))</f>
        <v/>
      </c>
      <c r="DH914">
        <f>INDEX('Data_Price '!AQ$2:AQ$1266,MATCH(Data!$DN914,'Data_Price '!$AT$2:$AT$1266,0))</f>
        <v/>
      </c>
      <c r="DI914">
        <f>INDEX('Data_Price '!AR$2:AR$1266,MATCH(Data!$DN914,'Data_Price '!$AT$2:$AT$1266,0))</f>
        <v/>
      </c>
      <c r="DJ914" s="138">
        <f>DA914</f>
        <v/>
      </c>
      <c r="DK914" s="138">
        <f>DE914</f>
        <v/>
      </c>
      <c r="DL914" s="138">
        <f>DI914</f>
        <v/>
      </c>
      <c r="DM914" s="303">
        <f>IF(LEFT(BT914,1)=" ",RIGHT(BT914,LEN(BT914)-1),BT914)</f>
        <v/>
      </c>
      <c r="DN914" s="138">
        <f>_xlfn.CONCAT(BS914,DM914,BU914,BV914)</f>
        <v/>
      </c>
      <c r="DO914" s="307" t="inlineStr">
        <is>
          <t>https://images.evo.com/imgp/250/197208/792879/line-skis-sir-francis-bacon-skis-2022-.jpg</t>
        </is>
      </c>
    </row>
    <row r="915" ht="15.6" customHeight="1" s="184">
      <c r="B915" s="303">
        <f t="array" ref="B915">IF(OR(ISERROR(K915:P915)),FALSE,TRUE)</f>
        <v/>
      </c>
      <c r="C915" s="60">
        <f>OR(BR915=Driver!$G$50,Data!BR901=Driver!$H$50)</f>
        <v/>
      </c>
      <c r="D915" s="60">
        <f>OR(BV915=Driver!$G$51,BV915=Driver!$H$51)</f>
        <v/>
      </c>
      <c r="E915" s="60">
        <f>AND(BX915&gt;Driver!$F$54,BX915&lt;Driver!$G$54)</f>
        <v/>
      </c>
      <c r="F915" s="60">
        <f>CL915&gt;Driver!$F$56</f>
        <v/>
      </c>
      <c r="G915" s="60">
        <f>AND(CB915&gt;Driver!$F$55,CB915&lt;Driver!$G$55)</f>
        <v/>
      </c>
      <c r="H915" s="60">
        <f>AND(B915:G915)</f>
        <v/>
      </c>
      <c r="I915" s="60">
        <f>COUNTIFS($H$9:$H$1273,TRUE,$BT$9:$BT$1273,BT915)</f>
        <v/>
      </c>
      <c r="J915" s="60">
        <f t="array" ref="J915">NOT(OR(($H$9:$H$1273=TRUE)*($I$9:$I$1273&gt;0)*($BT$9:$BT$1273=BT915)*($K$9:$K$1273&gt;K915)))</f>
        <v/>
      </c>
      <c r="K915" s="108">
        <f>IFERROR(1-AVERAGE(X915:Y915),"")</f>
        <v/>
      </c>
      <c r="L915" s="108">
        <f>1-X915</f>
        <v/>
      </c>
      <c r="M915" s="108">
        <f>1-Y915</f>
        <v/>
      </c>
      <c r="N915" s="108">
        <f>1-Z915</f>
        <v/>
      </c>
      <c r="O915" s="108">
        <f>1-AA915</f>
        <v/>
      </c>
      <c r="P915" s="108">
        <f>1-AB915</f>
        <v/>
      </c>
      <c r="Q915" s="108" t="n"/>
      <c r="R915" s="108" t="n"/>
      <c r="S915" s="108">
        <f>1-AE915</f>
        <v/>
      </c>
      <c r="T915" s="108">
        <f>1-AF915</f>
        <v/>
      </c>
      <c r="U915" s="108">
        <f>1-AG915</f>
        <v/>
      </c>
      <c r="V915" s="108">
        <f>1-AH915</f>
        <v/>
      </c>
      <c r="W915" s="108">
        <f>1-AI915</f>
        <v/>
      </c>
      <c r="X915" s="108">
        <f>ABS(AJ915-AJ$1)</f>
        <v/>
      </c>
      <c r="Y915" s="108">
        <f>AVERAGE(Z915:AB915)</f>
        <v/>
      </c>
      <c r="Z915" s="108">
        <f>ABS(AL915-AL$1)</f>
        <v/>
      </c>
      <c r="AA915" s="108">
        <f>ABS(AM915-AM$1)</f>
        <v/>
      </c>
      <c r="AB915" s="108">
        <f>ABS(AN915-AN$1)</f>
        <v/>
      </c>
      <c r="AC915" s="108" t="n"/>
      <c r="AD915" s="108" t="n"/>
      <c r="AE915" s="108">
        <f>ABS(AQ$1-AQ915)</f>
        <v/>
      </c>
      <c r="AF915" s="108">
        <f>ABS(AR$1-AR915)</f>
        <v/>
      </c>
      <c r="AG915" s="108">
        <f>ABS(AS$1-AS915)</f>
        <v/>
      </c>
      <c r="AH915" s="108">
        <f>ABS(AT$1-AT915)</f>
        <v/>
      </c>
      <c r="AI915" s="108">
        <f>ABS(AU$1-AU915)</f>
        <v/>
      </c>
      <c r="AJ915" s="108">
        <f>(AV915-Driver!$K$179)/(Driver!$L$179-Driver!$K$179)</f>
        <v/>
      </c>
      <c r="AK915" s="108">
        <f>(AW915-Driver!$K$180)/(Driver!$L$180-Driver!$K$180)</f>
        <v/>
      </c>
      <c r="AL915" s="108">
        <f>(AX915-Driver!$K$181)/(Driver!$L$181-Driver!$K$181)</f>
        <v/>
      </c>
      <c r="AM915" s="108">
        <f>(AY915-Driver!$K$182)/(Driver!$L$182-Driver!$K$182)</f>
        <v/>
      </c>
      <c r="AN915" s="108">
        <f>(AZ915-Driver!$K$183)/(Driver!$L$183-Driver!$K$183)</f>
        <v/>
      </c>
      <c r="AO915" s="108" t="n"/>
      <c r="AP915" s="108" t="n"/>
      <c r="AQ915" s="108">
        <f>(BC915-Driver!$K$188)/(Driver!$L$188-Driver!$K$188)</f>
        <v/>
      </c>
      <c r="AR915" s="108">
        <f>MIN((BD915-Driver!$K$189)/(Driver!$L$189-Driver!$K$189),100%)</f>
        <v/>
      </c>
      <c r="AS915" s="108">
        <f>(BE915-Driver!$K$190)/(Driver!$L$190-Driver!$K$190)</f>
        <v/>
      </c>
      <c r="AT915" s="108">
        <f>(BF915-Driver!$K$191)/(Driver!$L$191-Driver!$K$191)</f>
        <v/>
      </c>
      <c r="AU915" s="108">
        <f>(BG915-Driver!$K$192)/(Driver!$L$192-Driver!$K$192)</f>
        <v/>
      </c>
      <c r="AV915" s="105">
        <f>IFERROR(BM915*BJ915^1/4,"")</f>
        <v/>
      </c>
      <c r="AW915" s="105">
        <f>IFERROR(SUM(AX915:AZ915),"")</f>
        <v/>
      </c>
      <c r="AX915" s="105">
        <f>IFERROR(BH915,"")</f>
        <v/>
      </c>
      <c r="AY915" s="105">
        <f>IFERROR(Driver!$K$19/Data!BH915/Data!BI915*Data!BK915*Data!BL915,"")</f>
        <v/>
      </c>
      <c r="AZ915" s="105">
        <f>IFERROR(BI915*BN915,"")</f>
        <v/>
      </c>
      <c r="BA915" s="105" t="n"/>
      <c r="BB915" s="105" t="n"/>
      <c r="BC915" s="105">
        <f>IFERROR(BI915*BN915*BK915/BJ915^(1/2),"")</f>
        <v/>
      </c>
      <c r="BD915" s="105">
        <f>IFERROR(BH915*BM915*BL915/BJ915/BK915,"")</f>
        <v/>
      </c>
      <c r="BE915" s="105">
        <f>IFERROR(MIN(BI915/BQ915/BP915/BO915/BH915,$BE$1),"")</f>
        <v/>
      </c>
      <c r="BF915" s="105">
        <f>IFERROR(BJ915*BO915*BP915/BK915,"")</f>
        <v/>
      </c>
      <c r="BG915" s="105">
        <f>IFERROR(1/BM915/BH915*BQ915,"")</f>
        <v/>
      </c>
      <c r="BH915" s="102">
        <f>MAX((CE915-Driver!$F$200)/(Driver!$G$200-Driver!$F$200)*$BI$1,1)</f>
        <v/>
      </c>
      <c r="BI915" s="102">
        <f>MAX($BI$1*(BY915-Driver!$F$201)/(Driver!$G$201-Driver!$F$201),1)</f>
        <v/>
      </c>
      <c r="BJ915" s="102">
        <f>(CB915-Driver!$F$206)/(Driver!$G$206-Driver!$F$206)*$BI$1</f>
        <v/>
      </c>
      <c r="BK915" s="102">
        <f>(CD915-Driver!$F$203)/(Driver!$G$203-Driver!$F$203)*$BI$1</f>
        <v/>
      </c>
      <c r="BL915" s="102">
        <f>MAX((CR915-Driver!$F$202)/(Driver!$G$202-Driver!$F$202)*$BI$1,1)</f>
        <v/>
      </c>
      <c r="BM915" s="102">
        <f>MAX((CH915-Driver!$F$204)/(Driver!$G$204-Driver!$F$204)*$BI$1,1)</f>
        <v/>
      </c>
      <c r="BN915" s="102">
        <f>(CI915-Driver!$F$205)/(Driver!$G$205-Driver!$F$205)*$BI$1</f>
        <v/>
      </c>
      <c r="BO915" s="102">
        <f>(CK915-Driver!$F$207)/(Driver!$G$207-Driver!$F$207)*$BI$1</f>
        <v/>
      </c>
      <c r="BP915" s="102">
        <f>(CM915-Driver!$F$208)/(Driver!$G$208-Driver!$F$208)*$BI$1</f>
        <v/>
      </c>
      <c r="BQ915" s="102">
        <f>(CL915-Driver!$F$209)/(Driver!$G$209-Driver!$F$209)*$BI$1</f>
        <v/>
      </c>
      <c r="BR915" s="40" t="inlineStr">
        <is>
          <t>21/22</t>
        </is>
      </c>
      <c r="BS915" s="10" t="inlineStr">
        <is>
          <t xml:space="preserve"> Nordica</t>
        </is>
      </c>
      <c r="BT915" s="11" t="inlineStr">
        <is>
          <t>Enforcer 110 Free</t>
        </is>
      </c>
      <c r="BU915" s="13" t="n">
        <v>177</v>
      </c>
      <c r="BV915" s="11" t="inlineStr">
        <is>
          <t xml:space="preserve"> Unisex</t>
        </is>
      </c>
      <c r="BW915" s="13" t="n">
        <v>177</v>
      </c>
      <c r="BX915" s="13" t="n">
        <v>176.4</v>
      </c>
      <c r="BY915" s="13" t="n">
        <v>119</v>
      </c>
      <c r="BZ915" s="13" t="n">
        <v>145</v>
      </c>
      <c r="CA915" s="13" t="n">
        <v>140</v>
      </c>
      <c r="CB915" s="13" t="n">
        <v>109</v>
      </c>
      <c r="CC915" s="13" t="n">
        <v>130</v>
      </c>
      <c r="CD915" s="13" t="n">
        <v>16.9</v>
      </c>
      <c r="CE915" s="13" t="n">
        <v>2155</v>
      </c>
      <c r="CF915" s="13" t="n">
        <v>0.97</v>
      </c>
      <c r="CG915" s="13" t="n">
        <v>2101</v>
      </c>
      <c r="CH915" s="13" t="n">
        <v>190</v>
      </c>
      <c r="CI915" s="13" t="n">
        <v>139</v>
      </c>
      <c r="CJ915" s="13" t="n">
        <v>56</v>
      </c>
      <c r="CK915" s="13" t="n">
        <v>314</v>
      </c>
      <c r="CL915" s="13" t="n">
        <v>37</v>
      </c>
      <c r="CM915" s="13" t="n">
        <v>257</v>
      </c>
      <c r="CN915" s="13" t="n">
        <v>0.656</v>
      </c>
      <c r="CO915" s="13" t="n">
        <v>159</v>
      </c>
      <c r="CP915" s="13" t="n">
        <v>152</v>
      </c>
      <c r="CQ915" s="13" t="n">
        <v>155</v>
      </c>
      <c r="CR915" s="13" t="n">
        <v>7</v>
      </c>
      <c r="CS915" s="13" t="n">
        <v>8.4</v>
      </c>
      <c r="CT915" s="11" t="inlineStr">
        <is>
          <t xml:space="preserve"> Powder</t>
        </is>
      </c>
      <c r="CU915" s="13" t="n"/>
      <c r="CV915" s="13" t="n"/>
      <c r="CW915" s="13" t="n"/>
      <c r="CX915">
        <f>INDEX('Data_Price '!AG$2:AG$1266,MATCH(Data!$DN915,'Data_Price '!$AT$2:$AT$1266,0))</f>
        <v/>
      </c>
      <c r="CY915">
        <f>INDEX('Data_Price '!AH$2:AH$1266,MATCH(Data!$DN915,'Data_Price '!$AT$2:$AT$1266,0))</f>
        <v/>
      </c>
      <c r="CZ915">
        <f>INDEX('Data_Price '!AI$2:AI$1266,MATCH(Data!$DN915,'Data_Price '!$AT$2:$AT$1266,0))</f>
        <v/>
      </c>
      <c r="DA915">
        <f>INDEX('Data_Price '!AJ$2:AJ$1266,MATCH(Data!$DN915,'Data_Price '!$AT$2:$AT$1266,0))</f>
        <v/>
      </c>
      <c r="DB915">
        <f>INDEX('Data_Price '!AK$2:AK$1266,MATCH(Data!$DN915,'Data_Price '!$AT$2:$AT$1266,0))</f>
        <v/>
      </c>
      <c r="DC915">
        <f>INDEX('Data_Price '!AL$2:AL$1266,MATCH(Data!$DN915,'Data_Price '!$AT$2:$AT$1266,0))</f>
        <v/>
      </c>
      <c r="DD915">
        <f>INDEX('Data_Price '!AM$2:AM$1266,MATCH(Data!$DN915,'Data_Price '!$AT$2:$AT$1266,0))</f>
        <v/>
      </c>
      <c r="DE915">
        <f>INDEX('Data_Price '!AN$2:AN$1266,MATCH(Data!$DN915,'Data_Price '!$AT$2:$AT$1266,0))</f>
        <v/>
      </c>
      <c r="DF915">
        <f>INDEX('Data_Price '!AO$2:AO$1266,MATCH(Data!$DN915,'Data_Price '!$AT$2:$AT$1266,0))</f>
        <v/>
      </c>
      <c r="DG915">
        <f>INDEX('Data_Price '!AP$2:AP$1266,MATCH(Data!$DN915,'Data_Price '!$AT$2:$AT$1266,0))</f>
        <v/>
      </c>
      <c r="DH915">
        <f>INDEX('Data_Price '!AQ$2:AQ$1266,MATCH(Data!$DN915,'Data_Price '!$AT$2:$AT$1266,0))</f>
        <v/>
      </c>
      <c r="DI915">
        <f>INDEX('Data_Price '!AR$2:AR$1266,MATCH(Data!$DN915,'Data_Price '!$AT$2:$AT$1266,0))</f>
        <v/>
      </c>
      <c r="DJ915" s="138">
        <f>DA915</f>
        <v/>
      </c>
      <c r="DK915" s="138">
        <f>DE915</f>
        <v/>
      </c>
      <c r="DL915" s="138">
        <f>DI915</f>
        <v/>
      </c>
      <c r="DM915" s="303">
        <f>IF(LEFT(BT915,1)=" ",RIGHT(BT915,LEN(BT915)-1),BT915)</f>
        <v/>
      </c>
      <c r="DN915" s="138">
        <f>_xlfn.CONCAT(BS915,DM915,BU915,BV915)</f>
        <v/>
      </c>
      <c r="DO915" s="307" t="inlineStr">
        <is>
          <t>https://images.evo.com/imgp/250/198258/835767/nordica-enforcer-110-free-skis-2022-.jpg</t>
        </is>
      </c>
    </row>
    <row r="916" ht="15.6" customHeight="1" s="184">
      <c r="B916" s="303">
        <f t="array" ref="B916">IF(OR(ISERROR(K916:P916)),FALSE,TRUE)</f>
        <v/>
      </c>
      <c r="C916" s="60">
        <f>OR(BR916=Driver!$G$50,Data!BR159=Driver!$H$50)</f>
        <v/>
      </c>
      <c r="D916" s="60">
        <f>OR(BV916=Driver!$G$51,BV916=Driver!$H$51)</f>
        <v/>
      </c>
      <c r="E916" s="60">
        <f>AND(BX916&gt;Driver!$F$54,BX916&lt;Driver!$G$54)</f>
        <v/>
      </c>
      <c r="F916" s="60">
        <f>CL916&gt;Driver!$F$56</f>
        <v/>
      </c>
      <c r="G916" s="60">
        <f>AND(CB916&gt;Driver!$F$55,CB916&lt;Driver!$G$55)</f>
        <v/>
      </c>
      <c r="H916" s="60">
        <f>AND(B916:G916)</f>
        <v/>
      </c>
      <c r="I916" s="60">
        <f>COUNTIFS($H$9:$H$1273,TRUE,$BT$9:$BT$1273,BT916)</f>
        <v/>
      </c>
      <c r="J916" s="60">
        <f t="array" ref="J916">NOT(OR(($H$9:$H$1273=TRUE)*($I$9:$I$1273&gt;0)*($BT$9:$BT$1273=BT916)*($K$9:$K$1273&gt;K916)))</f>
        <v/>
      </c>
      <c r="K916" s="108">
        <f>IFERROR(1-AVERAGE(X916:Y916),"")</f>
        <v/>
      </c>
      <c r="L916" s="108">
        <f>1-X916</f>
        <v/>
      </c>
      <c r="M916" s="108">
        <f>1-Y916</f>
        <v/>
      </c>
      <c r="N916" s="108">
        <f>1-Z916</f>
        <v/>
      </c>
      <c r="O916" s="108">
        <f>1-AA916</f>
        <v/>
      </c>
      <c r="P916" s="108">
        <f>1-AB916</f>
        <v/>
      </c>
      <c r="Q916" s="108" t="n"/>
      <c r="R916" s="108" t="n"/>
      <c r="S916" s="108">
        <f>1-AE916</f>
        <v/>
      </c>
      <c r="T916" s="108">
        <f>1-AF916</f>
        <v/>
      </c>
      <c r="U916" s="108">
        <f>1-AG916</f>
        <v/>
      </c>
      <c r="V916" s="108">
        <f>1-AH916</f>
        <v/>
      </c>
      <c r="W916" s="108">
        <f>1-AI916</f>
        <v/>
      </c>
      <c r="X916" s="108">
        <f>ABS(AJ916-AJ$1)</f>
        <v/>
      </c>
      <c r="Y916" s="108">
        <f>AVERAGE(Z916:AB916)</f>
        <v/>
      </c>
      <c r="Z916" s="108">
        <f>ABS(AL916-AL$1)</f>
        <v/>
      </c>
      <c r="AA916" s="108">
        <f>ABS(AM916-AM$1)</f>
        <v/>
      </c>
      <c r="AB916" s="108">
        <f>ABS(AN916-AN$1)</f>
        <v/>
      </c>
      <c r="AC916" s="108" t="n"/>
      <c r="AD916" s="108" t="n"/>
      <c r="AE916" s="108">
        <f>ABS(AQ$1-AQ916)</f>
        <v/>
      </c>
      <c r="AF916" s="108">
        <f>ABS(AR$1-AR916)</f>
        <v/>
      </c>
      <c r="AG916" s="108">
        <f>ABS(AS$1-AS916)</f>
        <v/>
      </c>
      <c r="AH916" s="108">
        <f>ABS(AT$1-AT916)</f>
        <v/>
      </c>
      <c r="AI916" s="108">
        <f>ABS(AU$1-AU916)</f>
        <v/>
      </c>
      <c r="AJ916" s="108">
        <f>(AV916-Driver!$K$179)/(Driver!$L$179-Driver!$K$179)</f>
        <v/>
      </c>
      <c r="AK916" s="108">
        <f>(AW916-Driver!$K$180)/(Driver!$L$180-Driver!$K$180)</f>
        <v/>
      </c>
      <c r="AL916" s="108">
        <f>(AX916-Driver!$K$181)/(Driver!$L$181-Driver!$K$181)</f>
        <v/>
      </c>
      <c r="AM916" s="108">
        <f>(AY916-Driver!$K$182)/(Driver!$L$182-Driver!$K$182)</f>
        <v/>
      </c>
      <c r="AN916" s="108">
        <f>(AZ916-Driver!$K$183)/(Driver!$L$183-Driver!$K$183)</f>
        <v/>
      </c>
      <c r="AO916" s="108" t="n"/>
      <c r="AP916" s="108" t="n"/>
      <c r="AQ916" s="108">
        <f>(BC916-Driver!$K$188)/(Driver!$L$188-Driver!$K$188)</f>
        <v/>
      </c>
      <c r="AR916" s="108">
        <f>MIN((BD916-Driver!$K$189)/(Driver!$L$189-Driver!$K$189),100%)</f>
        <v/>
      </c>
      <c r="AS916" s="108">
        <f>(BE916-Driver!$K$190)/(Driver!$L$190-Driver!$K$190)</f>
        <v/>
      </c>
      <c r="AT916" s="108">
        <f>(BF916-Driver!$K$191)/(Driver!$L$191-Driver!$K$191)</f>
        <v/>
      </c>
      <c r="AU916" s="108">
        <f>(BG916-Driver!$K$192)/(Driver!$L$192-Driver!$K$192)</f>
        <v/>
      </c>
      <c r="AV916" s="105">
        <f>IFERROR(BM916*BJ916^1/4,"")</f>
        <v/>
      </c>
      <c r="AW916" s="105">
        <f>IFERROR(SUM(AX916:AZ916),"")</f>
        <v/>
      </c>
      <c r="AX916" s="105">
        <f>IFERROR(BH916,"")</f>
        <v/>
      </c>
      <c r="AY916" s="105">
        <f>IFERROR(Driver!$K$19/Data!BH916/Data!BI916*Data!BK916*Data!BL916,"")</f>
        <v/>
      </c>
      <c r="AZ916" s="105">
        <f>IFERROR(BI916*BN916,"")</f>
        <v/>
      </c>
      <c r="BA916" s="105" t="n"/>
      <c r="BB916" s="105" t="n"/>
      <c r="BC916" s="105">
        <f>IFERROR(BI916*BN916*BK916/BJ916^(1/2),"")</f>
        <v/>
      </c>
      <c r="BD916" s="105">
        <f>IFERROR(BH916*BM916*BL916/BJ916/BK916,"")</f>
        <v/>
      </c>
      <c r="BE916" s="105">
        <f>IFERROR(MIN(BI916/BQ916/BP916/BO916/BH916,$BE$1),"")</f>
        <v/>
      </c>
      <c r="BF916" s="105">
        <f>IFERROR(BJ916*BO916*BP916/BK916,"")</f>
        <v/>
      </c>
      <c r="BG916" s="105">
        <f>IFERROR(1/BM916/BH916*BQ916,"")</f>
        <v/>
      </c>
      <c r="BH916" s="102">
        <f>MAX((CE916-Driver!$F$200)/(Driver!$G$200-Driver!$F$200)*$BI$1,1)</f>
        <v/>
      </c>
      <c r="BI916" s="102">
        <f>MAX($BI$1*(BY916-Driver!$F$201)/(Driver!$G$201-Driver!$F$201),1)</f>
        <v/>
      </c>
      <c r="BJ916" s="102">
        <f>(CB916-Driver!$F$206)/(Driver!$G$206-Driver!$F$206)*$BI$1</f>
        <v/>
      </c>
      <c r="BK916" s="102">
        <f>(CD916-Driver!$F$203)/(Driver!$G$203-Driver!$F$203)*$BI$1</f>
        <v/>
      </c>
      <c r="BL916" s="102">
        <f>MAX((CR916-Driver!$F$202)/(Driver!$G$202-Driver!$F$202)*$BI$1,1)</f>
        <v/>
      </c>
      <c r="BM916" s="102">
        <f>MAX((CH916-Driver!$F$204)/(Driver!$G$204-Driver!$F$204)*$BI$1,1)</f>
        <v/>
      </c>
      <c r="BN916" s="102">
        <f>(CI916-Driver!$F$205)/(Driver!$G$205-Driver!$F$205)*$BI$1</f>
        <v/>
      </c>
      <c r="BO916" s="102">
        <f>(CK916-Driver!$F$207)/(Driver!$G$207-Driver!$F$207)*$BI$1</f>
        <v/>
      </c>
      <c r="BP916" s="102">
        <f>(CM916-Driver!$F$208)/(Driver!$G$208-Driver!$F$208)*$BI$1</f>
        <v/>
      </c>
      <c r="BQ916" s="102">
        <f>(CL916-Driver!$F$209)/(Driver!$G$209-Driver!$F$209)*$BI$1</f>
        <v/>
      </c>
      <c r="BR916" s="40" t="inlineStr">
        <is>
          <t>21/22</t>
        </is>
      </c>
      <c r="BS916" s="10" t="inlineStr">
        <is>
          <t xml:space="preserve"> Atomic</t>
        </is>
      </c>
      <c r="BT916" s="11" t="inlineStr">
        <is>
          <t>Maverick 83</t>
        </is>
      </c>
      <c r="BU916" s="13" t="n">
        <v>157</v>
      </c>
      <c r="BV916" s="11" t="inlineStr">
        <is>
          <t xml:space="preserve"> Unisex</t>
        </is>
      </c>
      <c r="BW916" s="13" t="n">
        <v>157</v>
      </c>
      <c r="BX916" s="13" t="n">
        <v>155.8</v>
      </c>
      <c r="BY916" s="13" t="n">
        <v>127</v>
      </c>
      <c r="BZ916" s="13" t="n">
        <v>136</v>
      </c>
      <c r="CA916" s="13" t="n">
        <v>119</v>
      </c>
      <c r="CB916" s="13" t="n">
        <v>82</v>
      </c>
      <c r="CC916" s="13" t="n">
        <v>103</v>
      </c>
      <c r="CD916" s="13" t="n">
        <v>14.3</v>
      </c>
      <c r="CE916" s="13" t="n">
        <v>1696</v>
      </c>
      <c r="CF916" s="13" t="n">
        <v>0.86</v>
      </c>
      <c r="CG916" s="13" t="n">
        <v>1459</v>
      </c>
      <c r="CH916" s="13" t="n">
        <v>152</v>
      </c>
      <c r="CI916" s="13" t="n">
        <v>63</v>
      </c>
      <c r="CJ916" s="13" t="n">
        <v>42</v>
      </c>
      <c r="CK916" s="13" t="n">
        <v>177</v>
      </c>
      <c r="CL916" s="13" t="n">
        <v>21</v>
      </c>
      <c r="CM916" s="13" t="n">
        <v>113</v>
      </c>
      <c r="CN916" s="13" t="n">
        <v>0.504</v>
      </c>
      <c r="CO916" s="13" t="n">
        <v>113</v>
      </c>
      <c r="CP916" s="13" t="n">
        <v>88</v>
      </c>
      <c r="CQ916" s="13" t="n">
        <v>63</v>
      </c>
      <c r="CR916" s="13" t="n">
        <v>11</v>
      </c>
      <c r="CS916" s="13" t="n">
        <v>8.199999999999999</v>
      </c>
      <c r="CT916" s="11" t="inlineStr">
        <is>
          <t xml:space="preserve"> Resort Freeride</t>
        </is>
      </c>
      <c r="CU916" s="13" t="n"/>
      <c r="CV916" s="13" t="n"/>
      <c r="CW916" s="13" t="n"/>
      <c r="CX916">
        <f>INDEX('Data_Price '!AG$2:AG$1266,MATCH(Data!$DN916,'Data_Price '!$AT$2:$AT$1266,0))</f>
        <v/>
      </c>
      <c r="CY916">
        <f>INDEX('Data_Price '!AH$2:AH$1266,MATCH(Data!$DN916,'Data_Price '!$AT$2:$AT$1266,0))</f>
        <v/>
      </c>
      <c r="CZ916">
        <f>INDEX('Data_Price '!AI$2:AI$1266,MATCH(Data!$DN916,'Data_Price '!$AT$2:$AT$1266,0))</f>
        <v/>
      </c>
      <c r="DA916">
        <f>INDEX('Data_Price '!AJ$2:AJ$1266,MATCH(Data!$DN916,'Data_Price '!$AT$2:$AT$1266,0))</f>
        <v/>
      </c>
      <c r="DB916">
        <f>INDEX('Data_Price '!AK$2:AK$1266,MATCH(Data!$DN916,'Data_Price '!$AT$2:$AT$1266,0))</f>
        <v/>
      </c>
      <c r="DC916">
        <f>INDEX('Data_Price '!AL$2:AL$1266,MATCH(Data!$DN916,'Data_Price '!$AT$2:$AT$1266,0))</f>
        <v/>
      </c>
      <c r="DD916">
        <f>INDEX('Data_Price '!AM$2:AM$1266,MATCH(Data!$DN916,'Data_Price '!$AT$2:$AT$1266,0))</f>
        <v/>
      </c>
      <c r="DE916">
        <f>INDEX('Data_Price '!AN$2:AN$1266,MATCH(Data!$DN916,'Data_Price '!$AT$2:$AT$1266,0))</f>
        <v/>
      </c>
      <c r="DF916">
        <f>INDEX('Data_Price '!AO$2:AO$1266,MATCH(Data!$DN916,'Data_Price '!$AT$2:$AT$1266,0))</f>
        <v/>
      </c>
      <c r="DG916">
        <f>INDEX('Data_Price '!AP$2:AP$1266,MATCH(Data!$DN916,'Data_Price '!$AT$2:$AT$1266,0))</f>
        <v/>
      </c>
      <c r="DH916">
        <f>INDEX('Data_Price '!AQ$2:AQ$1266,MATCH(Data!$DN916,'Data_Price '!$AT$2:$AT$1266,0))</f>
        <v/>
      </c>
      <c r="DI916">
        <f>INDEX('Data_Price '!AR$2:AR$1266,MATCH(Data!$DN916,'Data_Price '!$AT$2:$AT$1266,0))</f>
        <v/>
      </c>
      <c r="DJ916" s="138">
        <f>DA916</f>
        <v/>
      </c>
      <c r="DK916" s="138">
        <f>DE916</f>
        <v/>
      </c>
      <c r="DL916" s="138">
        <f>DI916</f>
        <v/>
      </c>
      <c r="DM916" s="303">
        <f>IF(LEFT(BT916,1)=" ",RIGHT(BT916,LEN(BT916)-1),BT916)</f>
        <v/>
      </c>
      <c r="DN916" s="138">
        <f>_xlfn.CONCAT(BS916,DM916,BU916,BV916)</f>
        <v/>
      </c>
      <c r="DO916" s="307" t="inlineStr">
        <is>
          <t>https://images.evo.com/imgp/250/197826/826871/atomic-maverick-83-skis-m10-gw-bindings-2022-.jpg</t>
        </is>
      </c>
    </row>
    <row r="917" ht="15.6" customHeight="1" s="184">
      <c r="B917" s="303">
        <f t="array" ref="B917">IF(OR(ISERROR(K917:P917)),FALSE,TRUE)</f>
        <v/>
      </c>
      <c r="C917" s="60">
        <f>OR(BR917=Driver!$G$50,Data!BR479=Driver!$H$50)</f>
        <v/>
      </c>
      <c r="D917" s="60">
        <f>OR(BV917=Driver!$G$51,BV917=Driver!$H$51)</f>
        <v/>
      </c>
      <c r="E917" s="60">
        <f>AND(BX917&gt;Driver!$F$54,BX917&lt;Driver!$G$54)</f>
        <v/>
      </c>
      <c r="F917" s="60">
        <f>CL917&gt;Driver!$F$56</f>
        <v/>
      </c>
      <c r="G917" s="60">
        <f>AND(CB917&gt;Driver!$F$55,CB917&lt;Driver!$G$55)</f>
        <v/>
      </c>
      <c r="H917" s="60">
        <f>AND(B917:G917)</f>
        <v/>
      </c>
      <c r="I917" s="60">
        <f>COUNTIFS($H$9:$H$1273,TRUE,$BT$9:$BT$1273,BT917)</f>
        <v/>
      </c>
      <c r="J917" s="60">
        <f t="array" ref="J917">NOT(OR(($H$9:$H$1273=TRUE)*($I$9:$I$1273&gt;0)*($BT$9:$BT$1273=BT917)*($K$9:$K$1273&gt;K917)))</f>
        <v/>
      </c>
      <c r="K917" s="108">
        <f>IFERROR(1-AVERAGE(X917:Y917),"")</f>
        <v/>
      </c>
      <c r="L917" s="108">
        <f>1-X917</f>
        <v/>
      </c>
      <c r="M917" s="108">
        <f>1-Y917</f>
        <v/>
      </c>
      <c r="N917" s="108">
        <f>1-Z917</f>
        <v/>
      </c>
      <c r="O917" s="108">
        <f>1-AA917</f>
        <v/>
      </c>
      <c r="P917" s="108">
        <f>1-AB917</f>
        <v/>
      </c>
      <c r="Q917" s="108" t="n"/>
      <c r="R917" s="108" t="n"/>
      <c r="S917" s="108">
        <f>1-AE917</f>
        <v/>
      </c>
      <c r="T917" s="108">
        <f>1-AF917</f>
        <v/>
      </c>
      <c r="U917" s="108">
        <f>1-AG917</f>
        <v/>
      </c>
      <c r="V917" s="108">
        <f>1-AH917</f>
        <v/>
      </c>
      <c r="W917" s="108">
        <f>1-AI917</f>
        <v/>
      </c>
      <c r="X917" s="108">
        <f>ABS(AJ917-AJ$1)</f>
        <v/>
      </c>
      <c r="Y917" s="108">
        <f>AVERAGE(Z917:AB917)</f>
        <v/>
      </c>
      <c r="Z917" s="108">
        <f>ABS(AL917-AL$1)</f>
        <v/>
      </c>
      <c r="AA917" s="108">
        <f>ABS(AM917-AM$1)</f>
        <v/>
      </c>
      <c r="AB917" s="108">
        <f>ABS(AN917-AN$1)</f>
        <v/>
      </c>
      <c r="AC917" s="108" t="n"/>
      <c r="AD917" s="108" t="n"/>
      <c r="AE917" s="108">
        <f>ABS(AQ$1-AQ917)</f>
        <v/>
      </c>
      <c r="AF917" s="108">
        <f>ABS(AR$1-AR917)</f>
        <v/>
      </c>
      <c r="AG917" s="108">
        <f>ABS(AS$1-AS917)</f>
        <v/>
      </c>
      <c r="AH917" s="108">
        <f>ABS(AT$1-AT917)</f>
        <v/>
      </c>
      <c r="AI917" s="108">
        <f>ABS(AU$1-AU917)</f>
        <v/>
      </c>
      <c r="AJ917" s="108">
        <f>(AV917-Driver!$K$179)/(Driver!$L$179-Driver!$K$179)</f>
        <v/>
      </c>
      <c r="AK917" s="108">
        <f>(AW917-Driver!$K$180)/(Driver!$L$180-Driver!$K$180)</f>
        <v/>
      </c>
      <c r="AL917" s="108">
        <f>(AX917-Driver!$K$181)/(Driver!$L$181-Driver!$K$181)</f>
        <v/>
      </c>
      <c r="AM917" s="108">
        <f>(AY917-Driver!$K$182)/(Driver!$L$182-Driver!$K$182)</f>
        <v/>
      </c>
      <c r="AN917" s="108">
        <f>(AZ917-Driver!$K$183)/(Driver!$L$183-Driver!$K$183)</f>
        <v/>
      </c>
      <c r="AO917" s="108" t="n"/>
      <c r="AP917" s="108" t="n"/>
      <c r="AQ917" s="108">
        <f>(BC917-Driver!$K$188)/(Driver!$L$188-Driver!$K$188)</f>
        <v/>
      </c>
      <c r="AR917" s="108">
        <f>MIN((BD917-Driver!$K$189)/(Driver!$L$189-Driver!$K$189),100%)</f>
        <v/>
      </c>
      <c r="AS917" s="108">
        <f>(BE917-Driver!$K$190)/(Driver!$L$190-Driver!$K$190)</f>
        <v/>
      </c>
      <c r="AT917" s="108">
        <f>(BF917-Driver!$K$191)/(Driver!$L$191-Driver!$K$191)</f>
        <v/>
      </c>
      <c r="AU917" s="108">
        <f>(BG917-Driver!$K$192)/(Driver!$L$192-Driver!$K$192)</f>
        <v/>
      </c>
      <c r="AV917" s="105">
        <f>IFERROR(BM917*BJ917^1/4,"")</f>
        <v/>
      </c>
      <c r="AW917" s="105">
        <f>IFERROR(SUM(AX917:AZ917),"")</f>
        <v/>
      </c>
      <c r="AX917" s="105">
        <f>IFERROR(BH917,"")</f>
        <v/>
      </c>
      <c r="AY917" s="105">
        <f>IFERROR(Driver!$K$19/Data!BH917/Data!BI917*Data!BK917*Data!BL917,"")</f>
        <v/>
      </c>
      <c r="AZ917" s="105">
        <f>IFERROR(BI917*BN917,"")</f>
        <v/>
      </c>
      <c r="BA917" s="105" t="n"/>
      <c r="BB917" s="105" t="n"/>
      <c r="BC917" s="105">
        <f>IFERROR(BI917*BN917*BK917/BJ917^(1/2),"")</f>
        <v/>
      </c>
      <c r="BD917" s="105">
        <f>IFERROR(BH917*BM917*BL917/BJ917/BK917,"")</f>
        <v/>
      </c>
      <c r="BE917" s="105">
        <f>IFERROR(MIN(BI917/BQ917/BP917/BO917/BH917,$BE$1),"")</f>
        <v/>
      </c>
      <c r="BF917" s="105">
        <f>IFERROR(BJ917*BO917*BP917/BK917,"")</f>
        <v/>
      </c>
      <c r="BG917" s="105">
        <f>IFERROR(1/BM917/BH917*BQ917,"")</f>
        <v/>
      </c>
      <c r="BH917" s="102">
        <f>MAX((CE917-Driver!$F$200)/(Driver!$G$200-Driver!$F$200)*$BI$1,1)</f>
        <v/>
      </c>
      <c r="BI917" s="102">
        <f>MAX($BI$1*(BY917-Driver!$F$201)/(Driver!$G$201-Driver!$F$201),1)</f>
        <v/>
      </c>
      <c r="BJ917" s="102">
        <f>(CB917-Driver!$F$206)/(Driver!$G$206-Driver!$F$206)*$BI$1</f>
        <v/>
      </c>
      <c r="BK917" s="102">
        <f>(CD917-Driver!$F$203)/(Driver!$G$203-Driver!$F$203)*$BI$1</f>
        <v/>
      </c>
      <c r="BL917" s="102">
        <f>MAX((CR917-Driver!$F$202)/(Driver!$G$202-Driver!$F$202)*$BI$1,1)</f>
        <v/>
      </c>
      <c r="BM917" s="102">
        <f>MAX((CH917-Driver!$F$204)/(Driver!$G$204-Driver!$F$204)*$BI$1,1)</f>
        <v/>
      </c>
      <c r="BN917" s="102">
        <f>(CI917-Driver!$F$205)/(Driver!$G$205-Driver!$F$205)*$BI$1</f>
        <v/>
      </c>
      <c r="BO917" s="102">
        <f>(CK917-Driver!$F$207)/(Driver!$G$207-Driver!$F$207)*$BI$1</f>
        <v/>
      </c>
      <c r="BP917" s="102">
        <f>(CM917-Driver!$F$208)/(Driver!$G$208-Driver!$F$208)*$BI$1</f>
        <v/>
      </c>
      <c r="BQ917" s="102">
        <f>(CL917-Driver!$F$209)/(Driver!$G$209-Driver!$F$209)*$BI$1</f>
        <v/>
      </c>
      <c r="BR917" s="40" t="inlineStr">
        <is>
          <t>21/22</t>
        </is>
      </c>
      <c r="BS917" s="10" t="inlineStr">
        <is>
          <t xml:space="preserve"> Elan</t>
        </is>
      </c>
      <c r="BT917" s="11" t="inlineStr">
        <is>
          <t>Wingman 82 CTi</t>
        </is>
      </c>
      <c r="BU917" s="13" t="n">
        <v>172</v>
      </c>
      <c r="BV917" s="11" t="inlineStr">
        <is>
          <t xml:space="preserve"> Unisex</t>
        </is>
      </c>
      <c r="BW917" s="13" t="n">
        <v>172</v>
      </c>
      <c r="BX917" s="13" t="n">
        <v>171.3</v>
      </c>
      <c r="BY917" s="13" t="n">
        <v>142</v>
      </c>
      <c r="BZ917" s="13" t="n">
        <v>151</v>
      </c>
      <c r="CA917" s="13" t="n">
        <v>128</v>
      </c>
      <c r="CB917" s="13" t="n">
        <v>81</v>
      </c>
      <c r="CC917" s="13" t="n">
        <v>111</v>
      </c>
      <c r="CD917" s="13" t="n">
        <v>14.2</v>
      </c>
      <c r="CE917" s="13" t="n">
        <v>2130</v>
      </c>
      <c r="CF917" s="13" t="n">
        <v>0.78</v>
      </c>
      <c r="CG917" s="13" t="n">
        <v>1653</v>
      </c>
      <c r="CH917" s="13" t="n">
        <v>261</v>
      </c>
      <c r="CI917" s="13" t="n">
        <v>113</v>
      </c>
      <c r="CJ917" s="13" t="n">
        <v>39</v>
      </c>
      <c r="CK917" s="13" t="n">
        <v>175</v>
      </c>
      <c r="CL917" s="13" t="n">
        <v>10</v>
      </c>
      <c r="CM917" s="13" t="n">
        <v>120</v>
      </c>
      <c r="CN917" s="13" t="n">
        <v>0.258</v>
      </c>
      <c r="CO917" s="13" t="n">
        <v>110</v>
      </c>
      <c r="CP917" s="13" t="n">
        <v>92</v>
      </c>
      <c r="CQ917" s="13" t="n">
        <v>66</v>
      </c>
      <c r="CR917" s="13" t="n">
        <v>9</v>
      </c>
      <c r="CS917" s="13" t="n">
        <v>10</v>
      </c>
      <c r="CT917" s="11" t="inlineStr">
        <is>
          <t xml:space="preserve"> On-Piste All-Mountain</t>
        </is>
      </c>
      <c r="CU917" s="11" t="inlineStr">
        <is>
          <t xml:space="preserve"> Resort Freeride</t>
        </is>
      </c>
      <c r="CV917" s="13" t="n"/>
      <c r="CW917" s="13" t="n"/>
      <c r="CX917">
        <f>INDEX('Data_Price '!AG$2:AG$1266,MATCH(Data!$DN917,'Data_Price '!$AT$2:$AT$1266,0))</f>
        <v/>
      </c>
      <c r="CY917">
        <f>INDEX('Data_Price '!AH$2:AH$1266,MATCH(Data!$DN917,'Data_Price '!$AT$2:$AT$1266,0))</f>
        <v/>
      </c>
      <c r="CZ917">
        <f>INDEX('Data_Price '!AI$2:AI$1266,MATCH(Data!$DN917,'Data_Price '!$AT$2:$AT$1266,0))</f>
        <v/>
      </c>
      <c r="DA917">
        <f>INDEX('Data_Price '!AJ$2:AJ$1266,MATCH(Data!$DN917,'Data_Price '!$AT$2:$AT$1266,0))</f>
        <v/>
      </c>
      <c r="DB917">
        <f>INDEX('Data_Price '!AK$2:AK$1266,MATCH(Data!$DN917,'Data_Price '!$AT$2:$AT$1266,0))</f>
        <v/>
      </c>
      <c r="DC917">
        <f>INDEX('Data_Price '!AL$2:AL$1266,MATCH(Data!$DN917,'Data_Price '!$AT$2:$AT$1266,0))</f>
        <v/>
      </c>
      <c r="DD917">
        <f>INDEX('Data_Price '!AM$2:AM$1266,MATCH(Data!$DN917,'Data_Price '!$AT$2:$AT$1266,0))</f>
        <v/>
      </c>
      <c r="DE917">
        <f>INDEX('Data_Price '!AN$2:AN$1266,MATCH(Data!$DN917,'Data_Price '!$AT$2:$AT$1266,0))</f>
        <v/>
      </c>
      <c r="DF917">
        <f>INDEX('Data_Price '!AO$2:AO$1266,MATCH(Data!$DN917,'Data_Price '!$AT$2:$AT$1266,0))</f>
        <v/>
      </c>
      <c r="DG917">
        <f>INDEX('Data_Price '!AP$2:AP$1266,MATCH(Data!$DN917,'Data_Price '!$AT$2:$AT$1266,0))</f>
        <v/>
      </c>
      <c r="DH917">
        <f>INDEX('Data_Price '!AQ$2:AQ$1266,MATCH(Data!$DN917,'Data_Price '!$AT$2:$AT$1266,0))</f>
        <v/>
      </c>
      <c r="DI917">
        <f>INDEX('Data_Price '!AR$2:AR$1266,MATCH(Data!$DN917,'Data_Price '!$AT$2:$AT$1266,0))</f>
        <v/>
      </c>
      <c r="DJ917" s="138">
        <f>DA917</f>
        <v/>
      </c>
      <c r="DK917" s="138">
        <f>DE917</f>
        <v/>
      </c>
      <c r="DL917" s="138">
        <f>DI917</f>
        <v/>
      </c>
      <c r="DM917" s="303">
        <f>IF(LEFT(BT917,1)=" ",RIGHT(BT917,LEN(BT917)-1),BT917)</f>
        <v/>
      </c>
      <c r="DN917" s="138">
        <f>_xlfn.CONCAT(BS917,DM917,BU917,BV917)</f>
        <v/>
      </c>
      <c r="DO917" s="307" t="n"/>
    </row>
    <row r="918" ht="15.6" customHeight="1" s="184">
      <c r="B918" s="303">
        <f t="array" ref="B918">IF(OR(ISERROR(K918:P918)),FALSE,TRUE)</f>
        <v/>
      </c>
      <c r="C918" s="60">
        <f>OR(BR918=Driver!$G$50,Data!BR431=Driver!$H$50)</f>
        <v/>
      </c>
      <c r="D918" s="60">
        <f>OR(BV918=Driver!$G$51,BV918=Driver!$H$51)</f>
        <v/>
      </c>
      <c r="E918" s="60">
        <f>AND(BX918&gt;Driver!$F$54,BX918&lt;Driver!$G$54)</f>
        <v/>
      </c>
      <c r="F918" s="60">
        <f>CL918&gt;Driver!$F$56</f>
        <v/>
      </c>
      <c r="G918" s="60">
        <f>AND(CB918&gt;Driver!$F$55,CB918&lt;Driver!$G$55)</f>
        <v/>
      </c>
      <c r="H918" s="60">
        <f>AND(B918:G918)</f>
        <v/>
      </c>
      <c r="I918" s="60">
        <f>COUNTIFS($H$9:$H$1273,TRUE,$BT$9:$BT$1273,BT918)</f>
        <v/>
      </c>
      <c r="J918" s="60">
        <f t="array" ref="J918">NOT(OR(($H$9:$H$1273=TRUE)*($I$9:$I$1273&gt;0)*($BT$9:$BT$1273=BT918)*($K$9:$K$1273&gt;K918)))</f>
        <v/>
      </c>
      <c r="K918" s="108">
        <f>IFERROR(1-AVERAGE(X918:Y918),"")</f>
        <v/>
      </c>
      <c r="L918" s="108">
        <f>1-X918</f>
        <v/>
      </c>
      <c r="M918" s="108">
        <f>1-Y918</f>
        <v/>
      </c>
      <c r="N918" s="108">
        <f>1-Z918</f>
        <v/>
      </c>
      <c r="O918" s="108">
        <f>1-AA918</f>
        <v/>
      </c>
      <c r="P918" s="108">
        <f>1-AB918</f>
        <v/>
      </c>
      <c r="Q918" s="108" t="n"/>
      <c r="R918" s="108" t="n"/>
      <c r="S918" s="108">
        <f>1-AE918</f>
        <v/>
      </c>
      <c r="T918" s="108">
        <f>1-AF918</f>
        <v/>
      </c>
      <c r="U918" s="108">
        <f>1-AG918</f>
        <v/>
      </c>
      <c r="V918" s="108">
        <f>1-AH918</f>
        <v/>
      </c>
      <c r="W918" s="108">
        <f>1-AI918</f>
        <v/>
      </c>
      <c r="X918" s="108">
        <f>ABS(AJ918-AJ$1)</f>
        <v/>
      </c>
      <c r="Y918" s="108">
        <f>AVERAGE(Z918:AB918)</f>
        <v/>
      </c>
      <c r="Z918" s="108">
        <f>ABS(AL918-AL$1)</f>
        <v/>
      </c>
      <c r="AA918" s="108">
        <f>ABS(AM918-AM$1)</f>
        <v/>
      </c>
      <c r="AB918" s="108">
        <f>ABS(AN918-AN$1)</f>
        <v/>
      </c>
      <c r="AC918" s="108" t="n"/>
      <c r="AD918" s="108" t="n"/>
      <c r="AE918" s="108">
        <f>ABS(AQ$1-AQ918)</f>
        <v/>
      </c>
      <c r="AF918" s="108">
        <f>ABS(AR$1-AR918)</f>
        <v/>
      </c>
      <c r="AG918" s="108">
        <f>ABS(AS$1-AS918)</f>
        <v/>
      </c>
      <c r="AH918" s="108">
        <f>ABS(AT$1-AT918)</f>
        <v/>
      </c>
      <c r="AI918" s="108">
        <f>ABS(AU$1-AU918)</f>
        <v/>
      </c>
      <c r="AJ918" s="108">
        <f>(AV918-Driver!$K$179)/(Driver!$L$179-Driver!$K$179)</f>
        <v/>
      </c>
      <c r="AK918" s="108">
        <f>(AW918-Driver!$K$180)/(Driver!$L$180-Driver!$K$180)</f>
        <v/>
      </c>
      <c r="AL918" s="108">
        <f>(AX918-Driver!$K$181)/(Driver!$L$181-Driver!$K$181)</f>
        <v/>
      </c>
      <c r="AM918" s="108">
        <f>(AY918-Driver!$K$182)/(Driver!$L$182-Driver!$K$182)</f>
        <v/>
      </c>
      <c r="AN918" s="108">
        <f>(AZ918-Driver!$K$183)/(Driver!$L$183-Driver!$K$183)</f>
        <v/>
      </c>
      <c r="AO918" s="108" t="n"/>
      <c r="AP918" s="108" t="n"/>
      <c r="AQ918" s="108">
        <f>(BC918-Driver!$K$188)/(Driver!$L$188-Driver!$K$188)</f>
        <v/>
      </c>
      <c r="AR918" s="108">
        <f>MIN((BD918-Driver!$K$189)/(Driver!$L$189-Driver!$K$189),100%)</f>
        <v/>
      </c>
      <c r="AS918" s="108">
        <f>(BE918-Driver!$K$190)/(Driver!$L$190-Driver!$K$190)</f>
        <v/>
      </c>
      <c r="AT918" s="108">
        <f>(BF918-Driver!$K$191)/(Driver!$L$191-Driver!$K$191)</f>
        <v/>
      </c>
      <c r="AU918" s="108">
        <f>(BG918-Driver!$K$192)/(Driver!$L$192-Driver!$K$192)</f>
        <v/>
      </c>
      <c r="AV918" s="105">
        <f>IFERROR(BM918*BJ918^1/4,"")</f>
        <v/>
      </c>
      <c r="AW918" s="105">
        <f>IFERROR(SUM(AX918:AZ918),"")</f>
        <v/>
      </c>
      <c r="AX918" s="105">
        <f>IFERROR(BH918,"")</f>
        <v/>
      </c>
      <c r="AY918" s="105">
        <f>IFERROR(Driver!$K$19/Data!BH918/Data!BI918*Data!BK918*Data!BL918,"")</f>
        <v/>
      </c>
      <c r="AZ918" s="105">
        <f>IFERROR(BI918*BN918,"")</f>
        <v/>
      </c>
      <c r="BA918" s="105" t="n"/>
      <c r="BB918" s="105" t="n"/>
      <c r="BC918" s="105">
        <f>IFERROR(BI918*BN918*BK918/BJ918^(1/2),"")</f>
        <v/>
      </c>
      <c r="BD918" s="105">
        <f>IFERROR(BH918*BM918*BL918/BJ918/BK918,"")</f>
        <v/>
      </c>
      <c r="BE918" s="105">
        <f>IFERROR(MIN(BI918/BQ918/BP918/BO918/BH918,$BE$1),"")</f>
        <v/>
      </c>
      <c r="BF918" s="105">
        <f>IFERROR(BJ918*BO918*BP918/BK918,"")</f>
        <v/>
      </c>
      <c r="BG918" s="105">
        <f>IFERROR(1/BM918/BH918*BQ918,"")</f>
        <v/>
      </c>
      <c r="BH918" s="102">
        <f>MAX((CE918-Driver!$F$200)/(Driver!$G$200-Driver!$F$200)*$BI$1,1)</f>
        <v/>
      </c>
      <c r="BI918" s="102">
        <f>MAX($BI$1*(BY918-Driver!$F$201)/(Driver!$G$201-Driver!$F$201),1)</f>
        <v/>
      </c>
      <c r="BJ918" s="102">
        <f>(CB918-Driver!$F$206)/(Driver!$G$206-Driver!$F$206)*$BI$1</f>
        <v/>
      </c>
      <c r="BK918" s="102">
        <f>(CD918-Driver!$F$203)/(Driver!$G$203-Driver!$F$203)*$BI$1</f>
        <v/>
      </c>
      <c r="BL918" s="102">
        <f>MAX((CR918-Driver!$F$202)/(Driver!$G$202-Driver!$F$202)*$BI$1,1)</f>
        <v/>
      </c>
      <c r="BM918" s="102">
        <f>MAX((CH918-Driver!$F$204)/(Driver!$G$204-Driver!$F$204)*$BI$1,1)</f>
        <v/>
      </c>
      <c r="BN918" s="102">
        <f>(CI918-Driver!$F$205)/(Driver!$G$205-Driver!$F$205)*$BI$1</f>
        <v/>
      </c>
      <c r="BO918" s="102">
        <f>(CK918-Driver!$F$207)/(Driver!$G$207-Driver!$F$207)*$BI$1</f>
        <v/>
      </c>
      <c r="BP918" s="102">
        <f>(CM918-Driver!$F$208)/(Driver!$G$208-Driver!$F$208)*$BI$1</f>
        <v/>
      </c>
      <c r="BQ918" s="102">
        <f>(CL918-Driver!$F$209)/(Driver!$G$209-Driver!$F$209)*$BI$1</f>
        <v/>
      </c>
      <c r="BR918" s="40" t="inlineStr">
        <is>
          <t>21/22</t>
        </is>
      </c>
      <c r="BS918" s="10" t="inlineStr">
        <is>
          <t xml:space="preserve"> Elan</t>
        </is>
      </c>
      <c r="BT918" s="11" t="inlineStr">
        <is>
          <t xml:space="preserve"> Element</t>
        </is>
      </c>
      <c r="BU918" s="13" t="n">
        <v>160</v>
      </c>
      <c r="BV918" s="11" t="inlineStr">
        <is>
          <t xml:space="preserve"> Unisex</t>
        </is>
      </c>
      <c r="BW918" s="13" t="n">
        <v>160</v>
      </c>
      <c r="BX918" s="13" t="n">
        <v>159.5</v>
      </c>
      <c r="BY918" s="13" t="n">
        <v>135</v>
      </c>
      <c r="BZ918" s="13" t="n">
        <v>146</v>
      </c>
      <c r="CA918" s="13" t="n">
        <v>126</v>
      </c>
      <c r="CB918" s="13" t="n">
        <v>75</v>
      </c>
      <c r="CC918" s="13" t="n">
        <v>101</v>
      </c>
      <c r="CD918" s="13" t="n">
        <v>13.5</v>
      </c>
      <c r="CE918" s="13" t="n">
        <v>1710</v>
      </c>
      <c r="CF918" s="13" t="n">
        <v>0.84</v>
      </c>
      <c r="CG918" s="13" t="n">
        <v>1435</v>
      </c>
      <c r="CH918" s="13" t="n">
        <v>172</v>
      </c>
      <c r="CI918" s="13" t="n">
        <v>63</v>
      </c>
      <c r="CJ918" s="13" t="n">
        <v>38</v>
      </c>
      <c r="CK918" s="13" t="n">
        <v>167</v>
      </c>
      <c r="CL918" s="13" t="n">
        <v>10</v>
      </c>
      <c r="CM918" s="13" t="n">
        <v>74</v>
      </c>
      <c r="CN918" s="13" t="n">
        <v>0.258</v>
      </c>
      <c r="CO918" s="13" t="n">
        <v>80</v>
      </c>
      <c r="CP918" s="13" t="n">
        <v>56</v>
      </c>
      <c r="CQ918" s="13" t="n">
        <v>87</v>
      </c>
      <c r="CR918" s="13" t="n">
        <v>6</v>
      </c>
      <c r="CS918" s="13" t="n">
        <v>11.3</v>
      </c>
      <c r="CT918" s="11" t="inlineStr">
        <is>
          <t xml:space="preserve"> On-Piste Carving</t>
        </is>
      </c>
      <c r="CU918" s="13" t="n"/>
      <c r="CV918" s="13" t="n"/>
      <c r="CW918" s="13" t="n"/>
      <c r="CX918">
        <f>INDEX('Data_Price '!AG$2:AG$1266,MATCH(Data!$DN918,'Data_Price '!$AT$2:$AT$1266,0))</f>
        <v/>
      </c>
      <c r="CY918">
        <f>INDEX('Data_Price '!AH$2:AH$1266,MATCH(Data!$DN918,'Data_Price '!$AT$2:$AT$1266,0))</f>
        <v/>
      </c>
      <c r="CZ918">
        <f>INDEX('Data_Price '!AI$2:AI$1266,MATCH(Data!$DN918,'Data_Price '!$AT$2:$AT$1266,0))</f>
        <v/>
      </c>
      <c r="DA918">
        <f>INDEX('Data_Price '!AJ$2:AJ$1266,MATCH(Data!$DN918,'Data_Price '!$AT$2:$AT$1266,0))</f>
        <v/>
      </c>
      <c r="DB918">
        <f>INDEX('Data_Price '!AK$2:AK$1266,MATCH(Data!$DN918,'Data_Price '!$AT$2:$AT$1266,0))</f>
        <v/>
      </c>
      <c r="DC918">
        <f>INDEX('Data_Price '!AL$2:AL$1266,MATCH(Data!$DN918,'Data_Price '!$AT$2:$AT$1266,0))</f>
        <v/>
      </c>
      <c r="DD918">
        <f>INDEX('Data_Price '!AM$2:AM$1266,MATCH(Data!$DN918,'Data_Price '!$AT$2:$AT$1266,0))</f>
        <v/>
      </c>
      <c r="DE918">
        <f>INDEX('Data_Price '!AN$2:AN$1266,MATCH(Data!$DN918,'Data_Price '!$AT$2:$AT$1266,0))</f>
        <v/>
      </c>
      <c r="DF918">
        <f>INDEX('Data_Price '!AO$2:AO$1266,MATCH(Data!$DN918,'Data_Price '!$AT$2:$AT$1266,0))</f>
        <v/>
      </c>
      <c r="DG918">
        <f>INDEX('Data_Price '!AP$2:AP$1266,MATCH(Data!$DN918,'Data_Price '!$AT$2:$AT$1266,0))</f>
        <v/>
      </c>
      <c r="DH918">
        <f>INDEX('Data_Price '!AQ$2:AQ$1266,MATCH(Data!$DN918,'Data_Price '!$AT$2:$AT$1266,0))</f>
        <v/>
      </c>
      <c r="DI918">
        <f>INDEX('Data_Price '!AR$2:AR$1266,MATCH(Data!$DN918,'Data_Price '!$AT$2:$AT$1266,0))</f>
        <v/>
      </c>
      <c r="DJ918" s="138">
        <f>DA918</f>
        <v/>
      </c>
      <c r="DK918" s="138">
        <f>DE918</f>
        <v/>
      </c>
      <c r="DL918" s="138">
        <f>DI918</f>
        <v/>
      </c>
      <c r="DM918" s="303">
        <f>IF(LEFT(BT918,1)=" ",RIGHT(BT918,LEN(BT918)-1),BT918)</f>
        <v/>
      </c>
      <c r="DN918" s="138">
        <f>_xlfn.CONCAT(BS918,DM918,BU918,BV918)</f>
        <v/>
      </c>
      <c r="DO918" s="307" t="n"/>
    </row>
    <row r="919" ht="15.6" customHeight="1" s="184">
      <c r="B919" s="303">
        <f t="array" ref="B919">IF(OR(ISERROR(K919:P919)),FALSE,TRUE)</f>
        <v/>
      </c>
      <c r="C919" s="60">
        <f>OR(BR919=Driver!$G$50,Data!BR485=Driver!$H$50)</f>
        <v/>
      </c>
      <c r="D919" s="60">
        <f>OR(BV919=Driver!$G$51,BV919=Driver!$H$51)</f>
        <v/>
      </c>
      <c r="E919" s="60">
        <f>AND(BX919&gt;Driver!$F$54,BX919&lt;Driver!$G$54)</f>
        <v/>
      </c>
      <c r="F919" s="60">
        <f>CL919&gt;Driver!$F$56</f>
        <v/>
      </c>
      <c r="G919" s="60">
        <f>AND(CB919&gt;Driver!$F$55,CB919&lt;Driver!$G$55)</f>
        <v/>
      </c>
      <c r="H919" s="60">
        <f>AND(B919:G919)</f>
        <v/>
      </c>
      <c r="I919" s="60">
        <f>COUNTIFS($H$9:$H$1273,TRUE,$BT$9:$BT$1273,BT919)</f>
        <v/>
      </c>
      <c r="J919" s="60">
        <f t="array" ref="J919">NOT(OR(($H$9:$H$1273=TRUE)*($I$9:$I$1273&gt;0)*($BT$9:$BT$1273=BT919)*($K$9:$K$1273&gt;K919)))</f>
        <v/>
      </c>
      <c r="K919" s="108">
        <f>IFERROR(1-AVERAGE(X919:Y919),"")</f>
        <v/>
      </c>
      <c r="L919" s="108">
        <f>1-X919</f>
        <v/>
      </c>
      <c r="M919" s="108">
        <f>1-Y919</f>
        <v/>
      </c>
      <c r="N919" s="108">
        <f>1-Z919</f>
        <v/>
      </c>
      <c r="O919" s="108">
        <f>1-AA919</f>
        <v/>
      </c>
      <c r="P919" s="108">
        <f>1-AB919</f>
        <v/>
      </c>
      <c r="Q919" s="108" t="n"/>
      <c r="R919" s="108" t="n"/>
      <c r="S919" s="108">
        <f>1-AE919</f>
        <v/>
      </c>
      <c r="T919" s="108">
        <f>1-AF919</f>
        <v/>
      </c>
      <c r="U919" s="108">
        <f>1-AG919</f>
        <v/>
      </c>
      <c r="V919" s="108">
        <f>1-AH919</f>
        <v/>
      </c>
      <c r="W919" s="108">
        <f>1-AI919</f>
        <v/>
      </c>
      <c r="X919" s="108">
        <f>ABS(AJ919-AJ$1)</f>
        <v/>
      </c>
      <c r="Y919" s="108">
        <f>AVERAGE(Z919:AB919)</f>
        <v/>
      </c>
      <c r="Z919" s="108">
        <f>ABS(AL919-AL$1)</f>
        <v/>
      </c>
      <c r="AA919" s="108">
        <f>ABS(AM919-AM$1)</f>
        <v/>
      </c>
      <c r="AB919" s="108">
        <f>ABS(AN919-AN$1)</f>
        <v/>
      </c>
      <c r="AC919" s="108" t="n"/>
      <c r="AD919" s="108" t="n"/>
      <c r="AE919" s="108">
        <f>ABS(AQ$1-AQ919)</f>
        <v/>
      </c>
      <c r="AF919" s="108">
        <f>ABS(AR$1-AR919)</f>
        <v/>
      </c>
      <c r="AG919" s="108">
        <f>ABS(AS$1-AS919)</f>
        <v/>
      </c>
      <c r="AH919" s="108">
        <f>ABS(AT$1-AT919)</f>
        <v/>
      </c>
      <c r="AI919" s="108">
        <f>ABS(AU$1-AU919)</f>
        <v/>
      </c>
      <c r="AJ919" s="108">
        <f>(AV919-Driver!$K$179)/(Driver!$L$179-Driver!$K$179)</f>
        <v/>
      </c>
      <c r="AK919" s="108">
        <f>(AW919-Driver!$K$180)/(Driver!$L$180-Driver!$K$180)</f>
        <v/>
      </c>
      <c r="AL919" s="108">
        <f>(AX919-Driver!$K$181)/(Driver!$L$181-Driver!$K$181)</f>
        <v/>
      </c>
      <c r="AM919" s="108">
        <f>(AY919-Driver!$K$182)/(Driver!$L$182-Driver!$K$182)</f>
        <v/>
      </c>
      <c r="AN919" s="108">
        <f>(AZ919-Driver!$K$183)/(Driver!$L$183-Driver!$K$183)</f>
        <v/>
      </c>
      <c r="AO919" s="108" t="n"/>
      <c r="AP919" s="108" t="n"/>
      <c r="AQ919" s="108">
        <f>(BC919-Driver!$K$188)/(Driver!$L$188-Driver!$K$188)</f>
        <v/>
      </c>
      <c r="AR919" s="108">
        <f>MIN((BD919-Driver!$K$189)/(Driver!$L$189-Driver!$K$189),100%)</f>
        <v/>
      </c>
      <c r="AS919" s="108">
        <f>(BE919-Driver!$K$190)/(Driver!$L$190-Driver!$K$190)</f>
        <v/>
      </c>
      <c r="AT919" s="108">
        <f>(BF919-Driver!$K$191)/(Driver!$L$191-Driver!$K$191)</f>
        <v/>
      </c>
      <c r="AU919" s="108">
        <f>(BG919-Driver!$K$192)/(Driver!$L$192-Driver!$K$192)</f>
        <v/>
      </c>
      <c r="AV919" s="105">
        <f>IFERROR(BM919*BJ919^1/4,"")</f>
        <v/>
      </c>
      <c r="AW919" s="105">
        <f>IFERROR(SUM(AX919:AZ919),"")</f>
        <v/>
      </c>
      <c r="AX919" s="105">
        <f>IFERROR(BH919,"")</f>
        <v/>
      </c>
      <c r="AY919" s="105">
        <f>IFERROR(Driver!$K$19/Data!BH919/Data!BI919*Data!BK919*Data!BL919,"")</f>
        <v/>
      </c>
      <c r="AZ919" s="105">
        <f>IFERROR(BI919*BN919,"")</f>
        <v/>
      </c>
      <c r="BA919" s="105" t="n"/>
      <c r="BB919" s="105" t="n"/>
      <c r="BC919" s="105">
        <f>IFERROR(BI919*BN919*BK919/BJ919^(1/2),"")</f>
        <v/>
      </c>
      <c r="BD919" s="105">
        <f>IFERROR(BH919*BM919*BL919/BJ919/BK919,"")</f>
        <v/>
      </c>
      <c r="BE919" s="105">
        <f>IFERROR(MIN(BI919/BQ919/BP919/BO919/BH919,$BE$1),"")</f>
        <v/>
      </c>
      <c r="BF919" s="105">
        <f>IFERROR(BJ919*BO919*BP919/BK919,"")</f>
        <v/>
      </c>
      <c r="BG919" s="105">
        <f>IFERROR(1/BM919/BH919*BQ919,"")</f>
        <v/>
      </c>
      <c r="BH919" s="102">
        <f>MAX((CE919-Driver!$F$200)/(Driver!$G$200-Driver!$F$200)*$BI$1,1)</f>
        <v/>
      </c>
      <c r="BI919" s="102">
        <f>MAX($BI$1*(BY919-Driver!$F$201)/(Driver!$G$201-Driver!$F$201),1)</f>
        <v/>
      </c>
      <c r="BJ919" s="102">
        <f>(CB919-Driver!$F$206)/(Driver!$G$206-Driver!$F$206)*$BI$1</f>
        <v/>
      </c>
      <c r="BK919" s="102">
        <f>(CD919-Driver!$F$203)/(Driver!$G$203-Driver!$F$203)*$BI$1</f>
        <v/>
      </c>
      <c r="BL919" s="102">
        <f>MAX((CR919-Driver!$F$202)/(Driver!$G$202-Driver!$F$202)*$BI$1,1)</f>
        <v/>
      </c>
      <c r="BM919" s="102">
        <f>MAX((CH919-Driver!$F$204)/(Driver!$G$204-Driver!$F$204)*$BI$1,1)</f>
        <v/>
      </c>
      <c r="BN919" s="102">
        <f>(CI919-Driver!$F$205)/(Driver!$G$205-Driver!$F$205)*$BI$1</f>
        <v/>
      </c>
      <c r="BO919" s="102">
        <f>(CK919-Driver!$F$207)/(Driver!$G$207-Driver!$F$207)*$BI$1</f>
        <v/>
      </c>
      <c r="BP919" s="102">
        <f>(CM919-Driver!$F$208)/(Driver!$G$208-Driver!$F$208)*$BI$1</f>
        <v/>
      </c>
      <c r="BQ919" s="102">
        <f>(CL919-Driver!$F$209)/(Driver!$G$209-Driver!$F$209)*$BI$1</f>
        <v/>
      </c>
      <c r="BR919" s="40" t="inlineStr">
        <is>
          <t>21/22</t>
        </is>
      </c>
      <c r="BS919" s="10" t="inlineStr">
        <is>
          <t xml:space="preserve"> Elan</t>
        </is>
      </c>
      <c r="BT919" s="11" t="inlineStr">
        <is>
          <t>Wingman 86 Ti</t>
        </is>
      </c>
      <c r="BU919" s="13" t="n">
        <v>178</v>
      </c>
      <c r="BV919" s="11" t="inlineStr">
        <is>
          <t xml:space="preserve"> Unisex</t>
        </is>
      </c>
      <c r="BW919" s="13" t="n">
        <v>178</v>
      </c>
      <c r="BX919" s="13" t="n">
        <v>177.4</v>
      </c>
      <c r="BY919" s="13" t="n">
        <v>143</v>
      </c>
      <c r="BZ919" s="13" t="n">
        <v>158</v>
      </c>
      <c r="CA919" s="13" t="n">
        <v>130</v>
      </c>
      <c r="CB919" s="13" t="n">
        <v>86</v>
      </c>
      <c r="CC919" s="13" t="n">
        <v>114</v>
      </c>
      <c r="CD919" s="13" t="n">
        <v>16.4</v>
      </c>
      <c r="CE919" s="13" t="n">
        <v>2178</v>
      </c>
      <c r="CF919" s="13" t="n">
        <v>0.8100000000000001</v>
      </c>
      <c r="CG919" s="13" t="n">
        <v>1770</v>
      </c>
      <c r="CH919" s="13" t="n">
        <v>222</v>
      </c>
      <c r="CI919" s="13" t="n">
        <v>110</v>
      </c>
      <c r="CJ919" s="13" t="n">
        <v>39</v>
      </c>
      <c r="CK919" s="13" t="n">
        <v>213</v>
      </c>
      <c r="CL919" s="13" t="n">
        <v>8</v>
      </c>
      <c r="CM919" s="13" t="n">
        <v>128</v>
      </c>
      <c r="CN919" s="13" t="n">
        <v>0.205</v>
      </c>
      <c r="CO919" s="13" t="n">
        <v>100</v>
      </c>
      <c r="CP919" s="13" t="n">
        <v>96</v>
      </c>
      <c r="CQ919" s="13" t="n">
        <v>113</v>
      </c>
      <c r="CR919" s="13" t="n">
        <v>8</v>
      </c>
      <c r="CS919" s="13" t="n">
        <v>9</v>
      </c>
      <c r="CT919" s="11" t="inlineStr">
        <is>
          <t xml:space="preserve"> Resort Freeride</t>
        </is>
      </c>
      <c r="CU919" s="13" t="n"/>
      <c r="CV919" s="13" t="n"/>
      <c r="CW919" s="13" t="n"/>
      <c r="CX919">
        <f>INDEX('Data_Price '!AG$2:AG$1266,MATCH(Data!$DN919,'Data_Price '!$AT$2:$AT$1266,0))</f>
        <v/>
      </c>
      <c r="CY919">
        <f>INDEX('Data_Price '!AH$2:AH$1266,MATCH(Data!$DN919,'Data_Price '!$AT$2:$AT$1266,0))</f>
        <v/>
      </c>
      <c r="CZ919">
        <f>INDEX('Data_Price '!AI$2:AI$1266,MATCH(Data!$DN919,'Data_Price '!$AT$2:$AT$1266,0))</f>
        <v/>
      </c>
      <c r="DA919">
        <f>INDEX('Data_Price '!AJ$2:AJ$1266,MATCH(Data!$DN919,'Data_Price '!$AT$2:$AT$1266,0))</f>
        <v/>
      </c>
      <c r="DB919">
        <f>INDEX('Data_Price '!AK$2:AK$1266,MATCH(Data!$DN919,'Data_Price '!$AT$2:$AT$1266,0))</f>
        <v/>
      </c>
      <c r="DC919">
        <f>INDEX('Data_Price '!AL$2:AL$1266,MATCH(Data!$DN919,'Data_Price '!$AT$2:$AT$1266,0))</f>
        <v/>
      </c>
      <c r="DD919">
        <f>INDEX('Data_Price '!AM$2:AM$1266,MATCH(Data!$DN919,'Data_Price '!$AT$2:$AT$1266,0))</f>
        <v/>
      </c>
      <c r="DE919">
        <f>INDEX('Data_Price '!AN$2:AN$1266,MATCH(Data!$DN919,'Data_Price '!$AT$2:$AT$1266,0))</f>
        <v/>
      </c>
      <c r="DF919">
        <f>INDEX('Data_Price '!AO$2:AO$1266,MATCH(Data!$DN919,'Data_Price '!$AT$2:$AT$1266,0))</f>
        <v/>
      </c>
      <c r="DG919">
        <f>INDEX('Data_Price '!AP$2:AP$1266,MATCH(Data!$DN919,'Data_Price '!$AT$2:$AT$1266,0))</f>
        <v/>
      </c>
      <c r="DH919">
        <f>INDEX('Data_Price '!AQ$2:AQ$1266,MATCH(Data!$DN919,'Data_Price '!$AT$2:$AT$1266,0))</f>
        <v/>
      </c>
      <c r="DI919">
        <f>INDEX('Data_Price '!AR$2:AR$1266,MATCH(Data!$DN919,'Data_Price '!$AT$2:$AT$1266,0))</f>
        <v/>
      </c>
      <c r="DJ919" s="138">
        <f>DA919</f>
        <v/>
      </c>
      <c r="DK919" s="138">
        <f>DE919</f>
        <v/>
      </c>
      <c r="DL919" s="138">
        <f>DI919</f>
        <v/>
      </c>
      <c r="DM919" s="303">
        <f>IF(LEFT(BT919,1)=" ",RIGHT(BT919,LEN(BT919)-1),BT919)</f>
        <v/>
      </c>
      <c r="DN919" s="138">
        <f>_xlfn.CONCAT(BS919,DM919,BU919,BV919)</f>
        <v/>
      </c>
      <c r="DO919" s="307" t="n"/>
    </row>
    <row r="920" ht="15.6" customHeight="1" s="184">
      <c r="B920" s="303">
        <f t="array" ref="B920">IF(OR(ISERROR(K920:P920)),FALSE,TRUE)</f>
        <v/>
      </c>
      <c r="C920" s="60">
        <f>OR(BR920=Driver!$G$50,Data!BR1097=Driver!$H$50)</f>
        <v/>
      </c>
      <c r="D920" s="60">
        <f>OR(BV920=Driver!$G$51,BV920=Driver!$H$51)</f>
        <v/>
      </c>
      <c r="E920" s="60">
        <f>AND(BX920&gt;Driver!$F$54,BX920&lt;Driver!$G$54)</f>
        <v/>
      </c>
      <c r="F920" s="60">
        <f>CL920&gt;Driver!$F$56</f>
        <v/>
      </c>
      <c r="G920" s="60">
        <f>AND(CB920&gt;Driver!$F$55,CB920&lt;Driver!$G$55)</f>
        <v/>
      </c>
      <c r="H920" s="60">
        <f>AND(B920:G920)</f>
        <v/>
      </c>
      <c r="I920" s="60">
        <f>COUNTIFS($H$9:$H$1273,TRUE,$BT$9:$BT$1273,BT920)</f>
        <v/>
      </c>
      <c r="J920" s="60">
        <f t="array" ref="J920">NOT(OR(($H$9:$H$1273=TRUE)*($I$9:$I$1273&gt;0)*($BT$9:$BT$1273=BT920)*($K$9:$K$1273&gt;K920)))</f>
        <v/>
      </c>
      <c r="K920" s="108">
        <f>IFERROR(1-AVERAGE(X920:Y920),"")</f>
        <v/>
      </c>
      <c r="L920" s="108">
        <f>1-X920</f>
        <v/>
      </c>
      <c r="M920" s="108">
        <f>1-Y920</f>
        <v/>
      </c>
      <c r="N920" s="108">
        <f>1-Z920</f>
        <v/>
      </c>
      <c r="O920" s="108">
        <f>1-AA920</f>
        <v/>
      </c>
      <c r="P920" s="108">
        <f>1-AB920</f>
        <v/>
      </c>
      <c r="Q920" s="108" t="n"/>
      <c r="R920" s="108" t="n"/>
      <c r="S920" s="108">
        <f>1-AE920</f>
        <v/>
      </c>
      <c r="T920" s="108">
        <f>1-AF920</f>
        <v/>
      </c>
      <c r="U920" s="108">
        <f>1-AG920</f>
        <v/>
      </c>
      <c r="V920" s="108">
        <f>1-AH920</f>
        <v/>
      </c>
      <c r="W920" s="108">
        <f>1-AI920</f>
        <v/>
      </c>
      <c r="X920" s="108">
        <f>ABS(AJ920-AJ$1)</f>
        <v/>
      </c>
      <c r="Y920" s="108">
        <f>AVERAGE(Z920:AB920)</f>
        <v/>
      </c>
      <c r="Z920" s="108">
        <f>ABS(AL920-AL$1)</f>
        <v/>
      </c>
      <c r="AA920" s="108">
        <f>ABS(AM920-AM$1)</f>
        <v/>
      </c>
      <c r="AB920" s="108">
        <f>ABS(AN920-AN$1)</f>
        <v/>
      </c>
      <c r="AC920" s="108" t="n"/>
      <c r="AD920" s="108" t="n"/>
      <c r="AE920" s="108">
        <f>ABS(AQ$1-AQ920)</f>
        <v/>
      </c>
      <c r="AF920" s="108">
        <f>ABS(AR$1-AR920)</f>
        <v/>
      </c>
      <c r="AG920" s="108">
        <f>ABS(AS$1-AS920)</f>
        <v/>
      </c>
      <c r="AH920" s="108">
        <f>ABS(AT$1-AT920)</f>
        <v/>
      </c>
      <c r="AI920" s="108">
        <f>ABS(AU$1-AU920)</f>
        <v/>
      </c>
      <c r="AJ920" s="108">
        <f>(AV920-Driver!$K$179)/(Driver!$L$179-Driver!$K$179)</f>
        <v/>
      </c>
      <c r="AK920" s="108">
        <f>(AW920-Driver!$K$180)/(Driver!$L$180-Driver!$K$180)</f>
        <v/>
      </c>
      <c r="AL920" s="108">
        <f>(AX920-Driver!$K$181)/(Driver!$L$181-Driver!$K$181)</f>
        <v/>
      </c>
      <c r="AM920" s="108">
        <f>(AY920-Driver!$K$182)/(Driver!$L$182-Driver!$K$182)</f>
        <v/>
      </c>
      <c r="AN920" s="108">
        <f>(AZ920-Driver!$K$183)/(Driver!$L$183-Driver!$K$183)</f>
        <v/>
      </c>
      <c r="AO920" s="108" t="n"/>
      <c r="AP920" s="108" t="n"/>
      <c r="AQ920" s="108">
        <f>(BC920-Driver!$K$188)/(Driver!$L$188-Driver!$K$188)</f>
        <v/>
      </c>
      <c r="AR920" s="108">
        <f>MIN((BD920-Driver!$K$189)/(Driver!$L$189-Driver!$K$189),100%)</f>
        <v/>
      </c>
      <c r="AS920" s="108">
        <f>(BE920-Driver!$K$190)/(Driver!$L$190-Driver!$K$190)</f>
        <v/>
      </c>
      <c r="AT920" s="108">
        <f>(BF920-Driver!$K$191)/(Driver!$L$191-Driver!$K$191)</f>
        <v/>
      </c>
      <c r="AU920" s="108">
        <f>(BG920-Driver!$K$192)/(Driver!$L$192-Driver!$K$192)</f>
        <v/>
      </c>
      <c r="AV920" s="105">
        <f>IFERROR(BM920*BJ920^1/4,"")</f>
        <v/>
      </c>
      <c r="AW920" s="105">
        <f>IFERROR(SUM(AX920:AZ920),"")</f>
        <v/>
      </c>
      <c r="AX920" s="105">
        <f>IFERROR(BH920,"")</f>
        <v/>
      </c>
      <c r="AY920" s="105">
        <f>IFERROR(Driver!$K$19/Data!BH920/Data!BI920*Data!BK920*Data!BL920,"")</f>
        <v/>
      </c>
      <c r="AZ920" s="105">
        <f>IFERROR(BI920*BN920,"")</f>
        <v/>
      </c>
      <c r="BA920" s="105" t="n"/>
      <c r="BB920" s="105" t="n"/>
      <c r="BC920" s="105">
        <f>IFERROR(BI920*BN920*BK920/BJ920^(1/2),"")</f>
        <v/>
      </c>
      <c r="BD920" s="105">
        <f>IFERROR(BH920*BM920*BL920/BJ920/BK920,"")</f>
        <v/>
      </c>
      <c r="BE920" s="105">
        <f>IFERROR(MIN(BI920/BQ920/BP920/BO920/BH920,$BE$1),"")</f>
        <v/>
      </c>
      <c r="BF920" s="105">
        <f>IFERROR(BJ920*BO920*BP920/BK920,"")</f>
        <v/>
      </c>
      <c r="BG920" s="105">
        <f>IFERROR(1/BM920/BH920*BQ920,"")</f>
        <v/>
      </c>
      <c r="BH920" s="102">
        <f>MAX((CE920-Driver!$F$200)/(Driver!$G$200-Driver!$F$200)*$BI$1,1)</f>
        <v/>
      </c>
      <c r="BI920" s="102">
        <f>MAX($BI$1*(BY920-Driver!$F$201)/(Driver!$G$201-Driver!$F$201),1)</f>
        <v/>
      </c>
      <c r="BJ920" s="102">
        <f>(CB920-Driver!$F$206)/(Driver!$G$206-Driver!$F$206)*$BI$1</f>
        <v/>
      </c>
      <c r="BK920" s="102">
        <f>(CD920-Driver!$F$203)/(Driver!$G$203-Driver!$F$203)*$BI$1</f>
        <v/>
      </c>
      <c r="BL920" s="102">
        <f>MAX((CR920-Driver!$F$202)/(Driver!$G$202-Driver!$F$202)*$BI$1,1)</f>
        <v/>
      </c>
      <c r="BM920" s="102">
        <f>MAX((CH920-Driver!$F$204)/(Driver!$G$204-Driver!$F$204)*$BI$1,1)</f>
        <v/>
      </c>
      <c r="BN920" s="102">
        <f>(CI920-Driver!$F$205)/(Driver!$G$205-Driver!$F$205)*$BI$1</f>
        <v/>
      </c>
      <c r="BO920" s="102">
        <f>(CK920-Driver!$F$207)/(Driver!$G$207-Driver!$F$207)*$BI$1</f>
        <v/>
      </c>
      <c r="BP920" s="102">
        <f>(CM920-Driver!$F$208)/(Driver!$G$208-Driver!$F$208)*$BI$1</f>
        <v/>
      </c>
      <c r="BQ920" s="102">
        <f>(CL920-Driver!$F$209)/(Driver!$G$209-Driver!$F$209)*$BI$1</f>
        <v/>
      </c>
      <c r="BR920" s="40" t="inlineStr">
        <is>
          <t>21/22</t>
        </is>
      </c>
      <c r="BS920" s="10" t="inlineStr">
        <is>
          <t xml:space="preserve"> Salomon</t>
        </is>
      </c>
      <c r="BT920" s="11" t="inlineStr">
        <is>
          <t>S/Max 8</t>
        </is>
      </c>
      <c r="BU920" s="13" t="n">
        <v>170</v>
      </c>
      <c r="BV920" s="11" t="inlineStr">
        <is>
          <t xml:space="preserve"> Unisex</t>
        </is>
      </c>
      <c r="BW920" s="13" t="n">
        <v>170</v>
      </c>
      <c r="BX920" s="13" t="n">
        <v>169.4</v>
      </c>
      <c r="BY920" s="13" t="n">
        <v>149</v>
      </c>
      <c r="BZ920" s="13" t="n">
        <v>158</v>
      </c>
      <c r="CA920" s="13" t="n">
        <v>121</v>
      </c>
      <c r="CB920" s="13" t="n">
        <v>72</v>
      </c>
      <c r="CC920" s="13" t="n">
        <v>104</v>
      </c>
      <c r="CD920" s="13" t="n">
        <v>14.6</v>
      </c>
      <c r="CE920" s="13" t="n">
        <v>2037</v>
      </c>
      <c r="CF920" s="13" t="n">
        <v>0.73</v>
      </c>
      <c r="CG920" s="13" t="n">
        <v>1494</v>
      </c>
      <c r="CH920" s="13" t="n">
        <v>234</v>
      </c>
      <c r="CI920" s="13" t="n">
        <v>102</v>
      </c>
      <c r="CJ920" s="13" t="n">
        <v>30</v>
      </c>
      <c r="CK920" s="13" t="n">
        <v>130</v>
      </c>
      <c r="CL920" s="13" t="n">
        <v>4</v>
      </c>
      <c r="CM920" s="13" t="n">
        <v>71</v>
      </c>
      <c r="CN920" s="13" t="n">
        <v>0.146</v>
      </c>
      <c r="CO920" s="13" t="n">
        <v>81</v>
      </c>
      <c r="CP920" s="13" t="n">
        <v>38</v>
      </c>
      <c r="CQ920" s="13" t="n">
        <v>49</v>
      </c>
      <c r="CR920" s="13" t="n">
        <v>11</v>
      </c>
      <c r="CS920" s="13" t="n">
        <v>11.4</v>
      </c>
      <c r="CT920" s="11" t="inlineStr">
        <is>
          <t xml:space="preserve"> On-Piste Carving</t>
        </is>
      </c>
      <c r="CU920" s="13" t="n"/>
      <c r="CV920" s="13" t="n"/>
      <c r="CW920" s="13" t="n"/>
      <c r="CX920">
        <f>INDEX('Data_Price '!AG$2:AG$1266,MATCH(Data!$DN920,'Data_Price '!$AT$2:$AT$1266,0))</f>
        <v/>
      </c>
      <c r="CY920">
        <f>INDEX('Data_Price '!AH$2:AH$1266,MATCH(Data!$DN920,'Data_Price '!$AT$2:$AT$1266,0))</f>
        <v/>
      </c>
      <c r="CZ920">
        <f>INDEX('Data_Price '!AI$2:AI$1266,MATCH(Data!$DN920,'Data_Price '!$AT$2:$AT$1266,0))</f>
        <v/>
      </c>
      <c r="DA920">
        <f>INDEX('Data_Price '!AJ$2:AJ$1266,MATCH(Data!$DN920,'Data_Price '!$AT$2:$AT$1266,0))</f>
        <v/>
      </c>
      <c r="DB920">
        <f>INDEX('Data_Price '!AK$2:AK$1266,MATCH(Data!$DN920,'Data_Price '!$AT$2:$AT$1266,0))</f>
        <v/>
      </c>
      <c r="DC920">
        <f>INDEX('Data_Price '!AL$2:AL$1266,MATCH(Data!$DN920,'Data_Price '!$AT$2:$AT$1266,0))</f>
        <v/>
      </c>
      <c r="DD920">
        <f>INDEX('Data_Price '!AM$2:AM$1266,MATCH(Data!$DN920,'Data_Price '!$AT$2:$AT$1266,0))</f>
        <v/>
      </c>
      <c r="DE920">
        <f>INDEX('Data_Price '!AN$2:AN$1266,MATCH(Data!$DN920,'Data_Price '!$AT$2:$AT$1266,0))</f>
        <v/>
      </c>
      <c r="DF920">
        <f>INDEX('Data_Price '!AO$2:AO$1266,MATCH(Data!$DN920,'Data_Price '!$AT$2:$AT$1266,0))</f>
        <v/>
      </c>
      <c r="DG920">
        <f>INDEX('Data_Price '!AP$2:AP$1266,MATCH(Data!$DN920,'Data_Price '!$AT$2:$AT$1266,0))</f>
        <v/>
      </c>
      <c r="DH920">
        <f>INDEX('Data_Price '!AQ$2:AQ$1266,MATCH(Data!$DN920,'Data_Price '!$AT$2:$AT$1266,0))</f>
        <v/>
      </c>
      <c r="DI920">
        <f>INDEX('Data_Price '!AR$2:AR$1266,MATCH(Data!$DN920,'Data_Price '!$AT$2:$AT$1266,0))</f>
        <v/>
      </c>
      <c r="DJ920" s="138">
        <f>DA920</f>
        <v/>
      </c>
      <c r="DK920" s="138">
        <f>DE920</f>
        <v/>
      </c>
      <c r="DL920" s="138">
        <f>DI920</f>
        <v/>
      </c>
      <c r="DM920" s="303">
        <f>IF(LEFT(BT920,1)=" ",RIGHT(BT920,LEN(BT920)-1),BT920)</f>
        <v/>
      </c>
      <c r="DN920" s="138">
        <f>_xlfn.CONCAT(BS920,DM920,BU920,BV920)</f>
        <v/>
      </c>
      <c r="DO920" s="307" t="n"/>
    </row>
    <row r="921" ht="15.6" customHeight="1" s="184">
      <c r="B921" s="303">
        <f t="array" ref="B921">IF(OR(ISERROR(K921:P921)),FALSE,TRUE)</f>
        <v/>
      </c>
      <c r="C921" s="60">
        <f>OR(BR921=Driver!$G$50,Data!BR556=Driver!$H$50)</f>
        <v/>
      </c>
      <c r="D921" s="60">
        <f>OR(BV921=Driver!$G$51,BV921=Driver!$H$51)</f>
        <v/>
      </c>
      <c r="E921" s="60">
        <f>AND(BX921&gt;Driver!$F$54,BX921&lt;Driver!$G$54)</f>
        <v/>
      </c>
      <c r="F921" s="60">
        <f>CL921&gt;Driver!$F$56</f>
        <v/>
      </c>
      <c r="G921" s="60">
        <f>AND(CB921&gt;Driver!$F$55,CB921&lt;Driver!$G$55)</f>
        <v/>
      </c>
      <c r="H921" s="60">
        <f>AND(B921:G921)</f>
        <v/>
      </c>
      <c r="I921" s="60">
        <f>COUNTIFS($H$9:$H$1273,TRUE,$BT$9:$BT$1273,BT921)</f>
        <v/>
      </c>
      <c r="J921" s="60">
        <f t="array" ref="J921">NOT(OR(($H$9:$H$1273=TRUE)*($I$9:$I$1273&gt;0)*($BT$9:$BT$1273=BT921)*($K$9:$K$1273&gt;K921)))</f>
        <v/>
      </c>
      <c r="K921" s="108">
        <f>IFERROR(1-AVERAGE(X921:Y921),"")</f>
        <v/>
      </c>
      <c r="L921" s="108">
        <f>1-X921</f>
        <v/>
      </c>
      <c r="M921" s="108">
        <f>1-Y921</f>
        <v/>
      </c>
      <c r="N921" s="108">
        <f>1-Z921</f>
        <v/>
      </c>
      <c r="O921" s="108">
        <f>1-AA921</f>
        <v/>
      </c>
      <c r="P921" s="108">
        <f>1-AB921</f>
        <v/>
      </c>
      <c r="Q921" s="108" t="n"/>
      <c r="R921" s="108" t="n"/>
      <c r="S921" s="108">
        <f>1-AE921</f>
        <v/>
      </c>
      <c r="T921" s="108">
        <f>1-AF921</f>
        <v/>
      </c>
      <c r="U921" s="108">
        <f>1-AG921</f>
        <v/>
      </c>
      <c r="V921" s="108">
        <f>1-AH921</f>
        <v/>
      </c>
      <c r="W921" s="108">
        <f>1-AI921</f>
        <v/>
      </c>
      <c r="X921" s="108">
        <f>ABS(AJ921-AJ$1)</f>
        <v/>
      </c>
      <c r="Y921" s="108">
        <f>AVERAGE(Z921:AB921)</f>
        <v/>
      </c>
      <c r="Z921" s="108">
        <f>ABS(AL921-AL$1)</f>
        <v/>
      </c>
      <c r="AA921" s="108">
        <f>ABS(AM921-AM$1)</f>
        <v/>
      </c>
      <c r="AB921" s="108">
        <f>ABS(AN921-AN$1)</f>
        <v/>
      </c>
      <c r="AC921" s="108" t="n"/>
      <c r="AD921" s="108" t="n"/>
      <c r="AE921" s="108">
        <f>ABS(AQ$1-AQ921)</f>
        <v/>
      </c>
      <c r="AF921" s="108">
        <f>ABS(AR$1-AR921)</f>
        <v/>
      </c>
      <c r="AG921" s="108">
        <f>ABS(AS$1-AS921)</f>
        <v/>
      </c>
      <c r="AH921" s="108">
        <f>ABS(AT$1-AT921)</f>
        <v/>
      </c>
      <c r="AI921" s="108">
        <f>ABS(AU$1-AU921)</f>
        <v/>
      </c>
      <c r="AJ921" s="108">
        <f>(AV921-Driver!$K$179)/(Driver!$L$179-Driver!$K$179)</f>
        <v/>
      </c>
      <c r="AK921" s="108">
        <f>(AW921-Driver!$K$180)/(Driver!$L$180-Driver!$K$180)</f>
        <v/>
      </c>
      <c r="AL921" s="108">
        <f>(AX921-Driver!$K$181)/(Driver!$L$181-Driver!$K$181)</f>
        <v/>
      </c>
      <c r="AM921" s="108">
        <f>(AY921-Driver!$K$182)/(Driver!$L$182-Driver!$K$182)</f>
        <v/>
      </c>
      <c r="AN921" s="108">
        <f>(AZ921-Driver!$K$183)/(Driver!$L$183-Driver!$K$183)</f>
        <v/>
      </c>
      <c r="AO921" s="108" t="n"/>
      <c r="AP921" s="108" t="n"/>
      <c r="AQ921" s="108">
        <f>(BC921-Driver!$K$188)/(Driver!$L$188-Driver!$K$188)</f>
        <v/>
      </c>
      <c r="AR921" s="108">
        <f>MIN((BD921-Driver!$K$189)/(Driver!$L$189-Driver!$K$189),100%)</f>
        <v/>
      </c>
      <c r="AS921" s="108">
        <f>(BE921-Driver!$K$190)/(Driver!$L$190-Driver!$K$190)</f>
        <v/>
      </c>
      <c r="AT921" s="108">
        <f>(BF921-Driver!$K$191)/(Driver!$L$191-Driver!$K$191)</f>
        <v/>
      </c>
      <c r="AU921" s="108">
        <f>(BG921-Driver!$K$192)/(Driver!$L$192-Driver!$K$192)</f>
        <v/>
      </c>
      <c r="AV921" s="105">
        <f>IFERROR(BM921*BJ921^1/4,"")</f>
        <v/>
      </c>
      <c r="AW921" s="105">
        <f>IFERROR(SUM(AX921:AZ921),"")</f>
        <v/>
      </c>
      <c r="AX921" s="105">
        <f>IFERROR(BH921,"")</f>
        <v/>
      </c>
      <c r="AY921" s="105">
        <f>IFERROR(Driver!$K$19/Data!BH921/Data!BI921*Data!BK921*Data!BL921,"")</f>
        <v/>
      </c>
      <c r="AZ921" s="105">
        <f>IFERROR(BI921*BN921,"")</f>
        <v/>
      </c>
      <c r="BA921" s="105" t="n"/>
      <c r="BB921" s="105" t="n"/>
      <c r="BC921" s="105">
        <f>IFERROR(BI921*BN921*BK921/BJ921^(1/2),"")</f>
        <v/>
      </c>
      <c r="BD921" s="105">
        <f>IFERROR(BH921*BM921*BL921/BJ921/BK921,"")</f>
        <v/>
      </c>
      <c r="BE921" s="105">
        <f>IFERROR(MIN(BI921/BQ921/BP921/BO921/BH921,$BE$1),"")</f>
        <v/>
      </c>
      <c r="BF921" s="105">
        <f>IFERROR(BJ921*BO921*BP921/BK921,"")</f>
        <v/>
      </c>
      <c r="BG921" s="105">
        <f>IFERROR(1/BM921/BH921*BQ921,"")</f>
        <v/>
      </c>
      <c r="BH921" s="102">
        <f>MAX((CE921-Driver!$F$200)/(Driver!$G$200-Driver!$F$200)*$BI$1,1)</f>
        <v/>
      </c>
      <c r="BI921" s="102">
        <f>MAX($BI$1*(BY921-Driver!$F$201)/(Driver!$G$201-Driver!$F$201),1)</f>
        <v/>
      </c>
      <c r="BJ921" s="102">
        <f>(CB921-Driver!$F$206)/(Driver!$G$206-Driver!$F$206)*$BI$1</f>
        <v/>
      </c>
      <c r="BK921" s="102">
        <f>(CD921-Driver!$F$203)/(Driver!$G$203-Driver!$F$203)*$BI$1</f>
        <v/>
      </c>
      <c r="BL921" s="102">
        <f>MAX((CR921-Driver!$F$202)/(Driver!$G$202-Driver!$F$202)*$BI$1,1)</f>
        <v/>
      </c>
      <c r="BM921" s="102">
        <f>MAX((CH921-Driver!$F$204)/(Driver!$G$204-Driver!$F$204)*$BI$1,1)</f>
        <v/>
      </c>
      <c r="BN921" s="102">
        <f>(CI921-Driver!$F$205)/(Driver!$G$205-Driver!$F$205)*$BI$1</f>
        <v/>
      </c>
      <c r="BO921" s="102">
        <f>(CK921-Driver!$F$207)/(Driver!$G$207-Driver!$F$207)*$BI$1</f>
        <v/>
      </c>
      <c r="BP921" s="102">
        <f>(CM921-Driver!$F$208)/(Driver!$G$208-Driver!$F$208)*$BI$1</f>
        <v/>
      </c>
      <c r="BQ921" s="102">
        <f>(CL921-Driver!$F$209)/(Driver!$G$209-Driver!$F$209)*$BI$1</f>
        <v/>
      </c>
      <c r="BR921" s="40" t="inlineStr">
        <is>
          <t>21/22</t>
        </is>
      </c>
      <c r="BS921" s="10" t="inlineStr">
        <is>
          <t xml:space="preserve"> Fischer</t>
        </is>
      </c>
      <c r="BT921" s="11" t="inlineStr">
        <is>
          <t>Hannibal 96</t>
        </is>
      </c>
      <c r="BU921" s="13" t="n">
        <v>176</v>
      </c>
      <c r="BV921" s="11" t="inlineStr">
        <is>
          <t xml:space="preserve"> Unisex</t>
        </is>
      </c>
      <c r="BW921" s="13" t="n">
        <v>176</v>
      </c>
      <c r="BX921" s="13" t="n">
        <v>174.7</v>
      </c>
      <c r="BY921" s="13" t="n">
        <v>130</v>
      </c>
      <c r="BZ921" s="13" t="n">
        <v>150</v>
      </c>
      <c r="CA921" s="13" t="n">
        <v>126</v>
      </c>
      <c r="CB921" s="13" t="n">
        <v>95</v>
      </c>
      <c r="CC921" s="13" t="n">
        <v>112</v>
      </c>
      <c r="CD921" s="13" t="n">
        <v>21</v>
      </c>
      <c r="CE921" s="13" t="n">
        <v>1265</v>
      </c>
      <c r="CF921" s="13" t="n">
        <v>1.44</v>
      </c>
      <c r="CG921" s="13" t="n">
        <v>1824</v>
      </c>
      <c r="CH921" s="13" t="n">
        <v>155</v>
      </c>
      <c r="CI921" s="13" t="n">
        <v>66</v>
      </c>
      <c r="CJ921" s="13" t="n">
        <v>65</v>
      </c>
      <c r="CK921" s="13" t="n">
        <v>301</v>
      </c>
      <c r="CL921" s="13" t="n">
        <v>5</v>
      </c>
      <c r="CM921" s="13" t="n">
        <v>149</v>
      </c>
      <c r="CN921" s="13" t="n">
        <v>0.076</v>
      </c>
      <c r="CO921" s="13" t="n">
        <v>161</v>
      </c>
      <c r="CP921" s="13" t="n">
        <v>90</v>
      </c>
      <c r="CQ921" s="13" t="n">
        <v>140</v>
      </c>
      <c r="CR921" s="13" t="n">
        <v>5</v>
      </c>
      <c r="CS921" s="13" t="n">
        <v>9.300000000000001</v>
      </c>
      <c r="CT921" s="11" t="inlineStr">
        <is>
          <t xml:space="preserve"> Touring</t>
        </is>
      </c>
      <c r="CU921" s="11" t="inlineStr">
        <is>
          <t xml:space="preserve"> Ultralight Touring</t>
        </is>
      </c>
      <c r="CV921" s="13" t="n"/>
      <c r="CW921" s="13" t="n"/>
      <c r="CX921">
        <f>INDEX('Data_Price '!AG$2:AG$1266,MATCH(Data!$DN921,'Data_Price '!$AT$2:$AT$1266,0))</f>
        <v/>
      </c>
      <c r="CY921">
        <f>INDEX('Data_Price '!AH$2:AH$1266,MATCH(Data!$DN921,'Data_Price '!$AT$2:$AT$1266,0))</f>
        <v/>
      </c>
      <c r="CZ921">
        <f>INDEX('Data_Price '!AI$2:AI$1266,MATCH(Data!$DN921,'Data_Price '!$AT$2:$AT$1266,0))</f>
        <v/>
      </c>
      <c r="DA921">
        <f>INDEX('Data_Price '!AJ$2:AJ$1266,MATCH(Data!$DN921,'Data_Price '!$AT$2:$AT$1266,0))</f>
        <v/>
      </c>
      <c r="DB921">
        <f>INDEX('Data_Price '!AK$2:AK$1266,MATCH(Data!$DN921,'Data_Price '!$AT$2:$AT$1266,0))</f>
        <v/>
      </c>
      <c r="DC921">
        <f>INDEX('Data_Price '!AL$2:AL$1266,MATCH(Data!$DN921,'Data_Price '!$AT$2:$AT$1266,0))</f>
        <v/>
      </c>
      <c r="DD921">
        <f>INDEX('Data_Price '!AM$2:AM$1266,MATCH(Data!$DN921,'Data_Price '!$AT$2:$AT$1266,0))</f>
        <v/>
      </c>
      <c r="DE921">
        <f>INDEX('Data_Price '!AN$2:AN$1266,MATCH(Data!$DN921,'Data_Price '!$AT$2:$AT$1266,0))</f>
        <v/>
      </c>
      <c r="DF921">
        <f>INDEX('Data_Price '!AO$2:AO$1266,MATCH(Data!$DN921,'Data_Price '!$AT$2:$AT$1266,0))</f>
        <v/>
      </c>
      <c r="DG921">
        <f>INDEX('Data_Price '!AP$2:AP$1266,MATCH(Data!$DN921,'Data_Price '!$AT$2:$AT$1266,0))</f>
        <v/>
      </c>
      <c r="DH921">
        <f>INDEX('Data_Price '!AQ$2:AQ$1266,MATCH(Data!$DN921,'Data_Price '!$AT$2:$AT$1266,0))</f>
        <v/>
      </c>
      <c r="DI921">
        <f>INDEX('Data_Price '!AR$2:AR$1266,MATCH(Data!$DN921,'Data_Price '!$AT$2:$AT$1266,0))</f>
        <v/>
      </c>
      <c r="DJ921" s="138">
        <f>DA921</f>
        <v/>
      </c>
      <c r="DK921" s="138">
        <f>DE921</f>
        <v/>
      </c>
      <c r="DL921" s="138">
        <f>DI921</f>
        <v/>
      </c>
      <c r="DM921" s="303">
        <f>IF(LEFT(BT921,1)=" ",RIGHT(BT921,LEN(BT921)-1),BT921)</f>
        <v/>
      </c>
      <c r="DN921" s="138">
        <f>_xlfn.CONCAT(BS921,DM921,BU921,BV921)</f>
        <v/>
      </c>
      <c r="DO921" s="307" t="inlineStr">
        <is>
          <t>https://images.evo.com/imgp/250/209040/846563/fischer-hannibal-96-carbon-skis-2022-.jpg</t>
        </is>
      </c>
    </row>
    <row r="922" ht="15.6" customHeight="1" s="184">
      <c r="B922" s="303">
        <f t="array" ref="B922">IF(OR(ISERROR(K922:P922)),FALSE,TRUE)</f>
        <v/>
      </c>
      <c r="C922" s="60">
        <f>OR(BR922=Driver!$G$50,Data!BR881=Driver!$H$50)</f>
        <v/>
      </c>
      <c r="D922" s="60">
        <f>OR(BV922=Driver!$G$51,BV922=Driver!$H$51)</f>
        <v/>
      </c>
      <c r="E922" s="60">
        <f>AND(BX922&gt;Driver!$F$54,BX922&lt;Driver!$G$54)</f>
        <v/>
      </c>
      <c r="F922" s="60">
        <f>CL922&gt;Driver!$F$56</f>
        <v/>
      </c>
      <c r="G922" s="60">
        <f>AND(CB922&gt;Driver!$F$55,CB922&lt;Driver!$G$55)</f>
        <v/>
      </c>
      <c r="H922" s="60">
        <f>AND(B922:G922)</f>
        <v/>
      </c>
      <c r="I922" s="60">
        <f>COUNTIFS($H$9:$H$1273,TRUE,$BT$9:$BT$1273,BT922)</f>
        <v/>
      </c>
      <c r="J922" s="60">
        <f t="array" ref="J922">NOT(OR(($H$9:$H$1273=TRUE)*($I$9:$I$1273&gt;0)*($BT$9:$BT$1273=BT922)*($K$9:$K$1273&gt;K922)))</f>
        <v/>
      </c>
      <c r="K922" s="108">
        <f>IFERROR(1-AVERAGE(X922:Y922),"")</f>
        <v/>
      </c>
      <c r="L922" s="108">
        <f>1-X922</f>
        <v/>
      </c>
      <c r="M922" s="108">
        <f>1-Y922</f>
        <v/>
      </c>
      <c r="N922" s="108">
        <f>1-Z922</f>
        <v/>
      </c>
      <c r="O922" s="108">
        <f>1-AA922</f>
        <v/>
      </c>
      <c r="P922" s="108">
        <f>1-AB922</f>
        <v/>
      </c>
      <c r="Q922" s="108" t="n"/>
      <c r="R922" s="108" t="n"/>
      <c r="S922" s="108">
        <f>1-AE922</f>
        <v/>
      </c>
      <c r="T922" s="108">
        <f>1-AF922</f>
        <v/>
      </c>
      <c r="U922" s="108">
        <f>1-AG922</f>
        <v/>
      </c>
      <c r="V922" s="108">
        <f>1-AH922</f>
        <v/>
      </c>
      <c r="W922" s="108">
        <f>1-AI922</f>
        <v/>
      </c>
      <c r="X922" s="108">
        <f>ABS(AJ922-AJ$1)</f>
        <v/>
      </c>
      <c r="Y922" s="108">
        <f>AVERAGE(Z922:AB922)</f>
        <v/>
      </c>
      <c r="Z922" s="108">
        <f>ABS(AL922-AL$1)</f>
        <v/>
      </c>
      <c r="AA922" s="108">
        <f>ABS(AM922-AM$1)</f>
        <v/>
      </c>
      <c r="AB922" s="108">
        <f>ABS(AN922-AN$1)</f>
        <v/>
      </c>
      <c r="AC922" s="108" t="n"/>
      <c r="AD922" s="108" t="n"/>
      <c r="AE922" s="108">
        <f>ABS(AQ$1-AQ922)</f>
        <v/>
      </c>
      <c r="AF922" s="108">
        <f>ABS(AR$1-AR922)</f>
        <v/>
      </c>
      <c r="AG922" s="108">
        <f>ABS(AS$1-AS922)</f>
        <v/>
      </c>
      <c r="AH922" s="108">
        <f>ABS(AT$1-AT922)</f>
        <v/>
      </c>
      <c r="AI922" s="108">
        <f>ABS(AU$1-AU922)</f>
        <v/>
      </c>
      <c r="AJ922" s="108">
        <f>(AV922-Driver!$K$179)/(Driver!$L$179-Driver!$K$179)</f>
        <v/>
      </c>
      <c r="AK922" s="108">
        <f>(AW922-Driver!$K$180)/(Driver!$L$180-Driver!$K$180)</f>
        <v/>
      </c>
      <c r="AL922" s="108">
        <f>(AX922-Driver!$K$181)/(Driver!$L$181-Driver!$K$181)</f>
        <v/>
      </c>
      <c r="AM922" s="108">
        <f>(AY922-Driver!$K$182)/(Driver!$L$182-Driver!$K$182)</f>
        <v/>
      </c>
      <c r="AN922" s="108">
        <f>(AZ922-Driver!$K$183)/(Driver!$L$183-Driver!$K$183)</f>
        <v/>
      </c>
      <c r="AO922" s="108" t="n"/>
      <c r="AP922" s="108" t="n"/>
      <c r="AQ922" s="108">
        <f>(BC922-Driver!$K$188)/(Driver!$L$188-Driver!$K$188)</f>
        <v/>
      </c>
      <c r="AR922" s="108">
        <f>MIN((BD922-Driver!$K$189)/(Driver!$L$189-Driver!$K$189),100%)</f>
        <v/>
      </c>
      <c r="AS922" s="108">
        <f>(BE922-Driver!$K$190)/(Driver!$L$190-Driver!$K$190)</f>
        <v/>
      </c>
      <c r="AT922" s="108">
        <f>(BF922-Driver!$K$191)/(Driver!$L$191-Driver!$K$191)</f>
        <v/>
      </c>
      <c r="AU922" s="108">
        <f>(BG922-Driver!$K$192)/(Driver!$L$192-Driver!$K$192)</f>
        <v/>
      </c>
      <c r="AV922" s="105">
        <f>IFERROR(BM922*BJ922^1/4,"")</f>
        <v/>
      </c>
      <c r="AW922" s="105">
        <f>IFERROR(SUM(AX922:AZ922),"")</f>
        <v/>
      </c>
      <c r="AX922" s="105">
        <f>IFERROR(BH922,"")</f>
        <v/>
      </c>
      <c r="AY922" s="105">
        <f>IFERROR(Driver!$K$19/Data!BH922/Data!BI922*Data!BK922*Data!BL922,"")</f>
        <v/>
      </c>
      <c r="AZ922" s="105">
        <f>IFERROR(BI922*BN922,"")</f>
        <v/>
      </c>
      <c r="BA922" s="105" t="n"/>
      <c r="BB922" s="105" t="n"/>
      <c r="BC922" s="105">
        <f>IFERROR(BI922*BN922*BK922/BJ922^(1/2),"")</f>
        <v/>
      </c>
      <c r="BD922" s="105">
        <f>IFERROR(BH922*BM922*BL922/BJ922/BK922,"")</f>
        <v/>
      </c>
      <c r="BE922" s="105">
        <f>IFERROR(MIN(BI922/BQ922/BP922/BO922/BH922,$BE$1),"")</f>
        <v/>
      </c>
      <c r="BF922" s="105">
        <f>IFERROR(BJ922*BO922*BP922/BK922,"")</f>
        <v/>
      </c>
      <c r="BG922" s="105">
        <f>IFERROR(1/BM922/BH922*BQ922,"")</f>
        <v/>
      </c>
      <c r="BH922" s="102">
        <f>MAX((CE922-Driver!$F$200)/(Driver!$G$200-Driver!$F$200)*$BI$1,1)</f>
        <v/>
      </c>
      <c r="BI922" s="102">
        <f>MAX($BI$1*(BY922-Driver!$F$201)/(Driver!$G$201-Driver!$F$201),1)</f>
        <v/>
      </c>
      <c r="BJ922" s="102">
        <f>(CB922-Driver!$F$206)/(Driver!$G$206-Driver!$F$206)*$BI$1</f>
        <v/>
      </c>
      <c r="BK922" s="102">
        <f>(CD922-Driver!$F$203)/(Driver!$G$203-Driver!$F$203)*$BI$1</f>
        <v/>
      </c>
      <c r="BL922" s="102">
        <f>MAX((CR922-Driver!$F$202)/(Driver!$G$202-Driver!$F$202)*$BI$1,1)</f>
        <v/>
      </c>
      <c r="BM922" s="102">
        <f>MAX((CH922-Driver!$F$204)/(Driver!$G$204-Driver!$F$204)*$BI$1,1)</f>
        <v/>
      </c>
      <c r="BN922" s="102">
        <f>(CI922-Driver!$F$205)/(Driver!$G$205-Driver!$F$205)*$BI$1</f>
        <v/>
      </c>
      <c r="BO922" s="102">
        <f>(CK922-Driver!$F$207)/(Driver!$G$207-Driver!$F$207)*$BI$1</f>
        <v/>
      </c>
      <c r="BP922" s="102">
        <f>(CM922-Driver!$F$208)/(Driver!$G$208-Driver!$F$208)*$BI$1</f>
        <v/>
      </c>
      <c r="BQ922" s="102">
        <f>(CL922-Driver!$F$209)/(Driver!$G$209-Driver!$F$209)*$BI$1</f>
        <v/>
      </c>
      <c r="BR922" s="40" t="inlineStr">
        <is>
          <t>21/22</t>
        </is>
      </c>
      <c r="BS922" s="10" t="inlineStr">
        <is>
          <t xml:space="preserve"> Line</t>
        </is>
      </c>
      <c r="BT922" s="11" t="inlineStr">
        <is>
          <t>Vision 98</t>
        </is>
      </c>
      <c r="BU922" s="13" t="n">
        <v>172</v>
      </c>
      <c r="BV922" s="11" t="inlineStr">
        <is>
          <t xml:space="preserve"> Unisex</t>
        </is>
      </c>
      <c r="BW922" s="13" t="n">
        <v>172</v>
      </c>
      <c r="BX922" s="13" t="n">
        <v>171.9</v>
      </c>
      <c r="BY922" s="13" t="n">
        <v>111</v>
      </c>
      <c r="BZ922" s="13" t="n">
        <v>138</v>
      </c>
      <c r="CA922" s="13" t="n">
        <v>130</v>
      </c>
      <c r="CB922" s="13" t="n">
        <v>97</v>
      </c>
      <c r="CC922" s="13" t="n">
        <v>117</v>
      </c>
      <c r="CD922" s="13" t="n">
        <v>16.5</v>
      </c>
      <c r="CE922" s="13" t="n">
        <v>1347</v>
      </c>
      <c r="CF922" s="13" t="n">
        <v>1.37</v>
      </c>
      <c r="CG922" s="13" t="n">
        <v>1840</v>
      </c>
      <c r="CH922" s="13" t="n">
        <v>156</v>
      </c>
      <c r="CI922" s="13" t="n">
        <v>64</v>
      </c>
      <c r="CJ922" s="13" t="n">
        <v>51</v>
      </c>
      <c r="CK922" s="13" t="n">
        <v>333</v>
      </c>
      <c r="CL922" s="13" t="n">
        <v>33</v>
      </c>
      <c r="CM922" s="13" t="n">
        <v>280</v>
      </c>
      <c r="CN922" s="13" t="n">
        <v>0.65</v>
      </c>
      <c r="CO922" s="13" t="n">
        <v>167</v>
      </c>
      <c r="CP922" s="13" t="n">
        <v>173</v>
      </c>
      <c r="CQ922" s="13" t="n">
        <v>166</v>
      </c>
      <c r="CR922" s="13" t="n">
        <v>4</v>
      </c>
      <c r="CS922" s="13" t="n">
        <v>6.3</v>
      </c>
      <c r="CT922" s="11" t="inlineStr">
        <is>
          <t xml:space="preserve"> Touring</t>
        </is>
      </c>
      <c r="CU922" s="11" t="inlineStr">
        <is>
          <t xml:space="preserve"> Ultralight Touring</t>
        </is>
      </c>
      <c r="CV922" s="13" t="n"/>
      <c r="CW922" s="13" t="n"/>
      <c r="CX922">
        <f>INDEX('Data_Price '!AG$2:AG$1266,MATCH(Data!$DN922,'Data_Price '!$AT$2:$AT$1266,0))</f>
        <v/>
      </c>
      <c r="CY922">
        <f>INDEX('Data_Price '!AH$2:AH$1266,MATCH(Data!$DN922,'Data_Price '!$AT$2:$AT$1266,0))</f>
        <v/>
      </c>
      <c r="CZ922">
        <f>INDEX('Data_Price '!AI$2:AI$1266,MATCH(Data!$DN922,'Data_Price '!$AT$2:$AT$1266,0))</f>
        <v/>
      </c>
      <c r="DA922">
        <f>INDEX('Data_Price '!AJ$2:AJ$1266,MATCH(Data!$DN922,'Data_Price '!$AT$2:$AT$1266,0))</f>
        <v/>
      </c>
      <c r="DB922">
        <f>INDEX('Data_Price '!AK$2:AK$1266,MATCH(Data!$DN922,'Data_Price '!$AT$2:$AT$1266,0))</f>
        <v/>
      </c>
      <c r="DC922">
        <f>INDEX('Data_Price '!AL$2:AL$1266,MATCH(Data!$DN922,'Data_Price '!$AT$2:$AT$1266,0))</f>
        <v/>
      </c>
      <c r="DD922">
        <f>INDEX('Data_Price '!AM$2:AM$1266,MATCH(Data!$DN922,'Data_Price '!$AT$2:$AT$1266,0))</f>
        <v/>
      </c>
      <c r="DE922">
        <f>INDEX('Data_Price '!AN$2:AN$1266,MATCH(Data!$DN922,'Data_Price '!$AT$2:$AT$1266,0))</f>
        <v/>
      </c>
      <c r="DF922">
        <f>INDEX('Data_Price '!AO$2:AO$1266,MATCH(Data!$DN922,'Data_Price '!$AT$2:$AT$1266,0))</f>
        <v/>
      </c>
      <c r="DG922">
        <f>INDEX('Data_Price '!AP$2:AP$1266,MATCH(Data!$DN922,'Data_Price '!$AT$2:$AT$1266,0))</f>
        <v/>
      </c>
      <c r="DH922">
        <f>INDEX('Data_Price '!AQ$2:AQ$1266,MATCH(Data!$DN922,'Data_Price '!$AT$2:$AT$1266,0))</f>
        <v/>
      </c>
      <c r="DI922">
        <f>INDEX('Data_Price '!AR$2:AR$1266,MATCH(Data!$DN922,'Data_Price '!$AT$2:$AT$1266,0))</f>
        <v/>
      </c>
      <c r="DJ922" s="138">
        <f>DA922</f>
        <v/>
      </c>
      <c r="DK922" s="138">
        <f>DE922</f>
        <v/>
      </c>
      <c r="DL922" s="138">
        <f>DI922</f>
        <v/>
      </c>
      <c r="DM922" s="303">
        <f>IF(LEFT(BT922,1)=" ",RIGHT(BT922,LEN(BT922)-1),BT922)</f>
        <v/>
      </c>
      <c r="DN922" s="138">
        <f>_xlfn.CONCAT(BS922,DM922,BU922,BV922)</f>
        <v/>
      </c>
      <c r="DO922" s="307" t="inlineStr">
        <is>
          <t>https://images.evo.com/imgp/250/198428/817630/line-skis-vision-98-skis-2022-.jpg</t>
        </is>
      </c>
    </row>
    <row r="923" ht="15.6" customHeight="1" s="184">
      <c r="B923" s="303">
        <f t="array" ref="B923">IF(OR(ISERROR(K923:P923)),FALSE,TRUE)</f>
        <v/>
      </c>
      <c r="C923" s="60">
        <f>OR(BR923=Driver!$G$50,Data!BR638=Driver!$H$50)</f>
        <v/>
      </c>
      <c r="D923" s="60">
        <f>OR(BV923=Driver!$G$51,BV923=Driver!$H$51)</f>
        <v/>
      </c>
      <c r="E923" s="60">
        <f>AND(BX923&gt;Driver!$F$54,BX923&lt;Driver!$G$54)</f>
        <v/>
      </c>
      <c r="F923" s="60">
        <f>CL923&gt;Driver!$F$56</f>
        <v/>
      </c>
      <c r="G923" s="60">
        <f>AND(CB923&gt;Driver!$F$55,CB923&lt;Driver!$G$55)</f>
        <v/>
      </c>
      <c r="H923" s="60">
        <f>AND(B923:G923)</f>
        <v/>
      </c>
      <c r="I923" s="60">
        <f>COUNTIFS($H$9:$H$1273,TRUE,$BT$9:$BT$1273,BT923)</f>
        <v/>
      </c>
      <c r="J923" s="60">
        <f t="array" ref="J923">NOT(OR(($H$9:$H$1273=TRUE)*($I$9:$I$1273&gt;0)*($BT$9:$BT$1273=BT923)*($K$9:$K$1273&gt;K923)))</f>
        <v/>
      </c>
      <c r="K923" s="108">
        <f>IFERROR(1-AVERAGE(X923:Y923),"")</f>
        <v/>
      </c>
      <c r="L923" s="108">
        <f>1-X923</f>
        <v/>
      </c>
      <c r="M923" s="108">
        <f>1-Y923</f>
        <v/>
      </c>
      <c r="N923" s="108">
        <f>1-Z923</f>
        <v/>
      </c>
      <c r="O923" s="108">
        <f>1-AA923</f>
        <v/>
      </c>
      <c r="P923" s="108">
        <f>1-AB923</f>
        <v/>
      </c>
      <c r="Q923" s="108" t="n"/>
      <c r="R923" s="108" t="n"/>
      <c r="S923" s="108">
        <f>1-AE923</f>
        <v/>
      </c>
      <c r="T923" s="108">
        <f>1-AF923</f>
        <v/>
      </c>
      <c r="U923" s="108">
        <f>1-AG923</f>
        <v/>
      </c>
      <c r="V923" s="108">
        <f>1-AH923</f>
        <v/>
      </c>
      <c r="W923" s="108">
        <f>1-AI923</f>
        <v/>
      </c>
      <c r="X923" s="108">
        <f>ABS(AJ923-AJ$1)</f>
        <v/>
      </c>
      <c r="Y923" s="108">
        <f>AVERAGE(Z923:AB923)</f>
        <v/>
      </c>
      <c r="Z923" s="108">
        <f>ABS(AL923-AL$1)</f>
        <v/>
      </c>
      <c r="AA923" s="108">
        <f>ABS(AM923-AM$1)</f>
        <v/>
      </c>
      <c r="AB923" s="108">
        <f>ABS(AN923-AN$1)</f>
        <v/>
      </c>
      <c r="AC923" s="108" t="n"/>
      <c r="AD923" s="108" t="n"/>
      <c r="AE923" s="108">
        <f>ABS(AQ$1-AQ923)</f>
        <v/>
      </c>
      <c r="AF923" s="108">
        <f>ABS(AR$1-AR923)</f>
        <v/>
      </c>
      <c r="AG923" s="108">
        <f>ABS(AS$1-AS923)</f>
        <v/>
      </c>
      <c r="AH923" s="108">
        <f>ABS(AT$1-AT923)</f>
        <v/>
      </c>
      <c r="AI923" s="108">
        <f>ABS(AU$1-AU923)</f>
        <v/>
      </c>
      <c r="AJ923" s="108">
        <f>(AV923-Driver!$K$179)/(Driver!$L$179-Driver!$K$179)</f>
        <v/>
      </c>
      <c r="AK923" s="108">
        <f>(AW923-Driver!$K$180)/(Driver!$L$180-Driver!$K$180)</f>
        <v/>
      </c>
      <c r="AL923" s="108">
        <f>(AX923-Driver!$K$181)/(Driver!$L$181-Driver!$K$181)</f>
        <v/>
      </c>
      <c r="AM923" s="108">
        <f>(AY923-Driver!$K$182)/(Driver!$L$182-Driver!$K$182)</f>
        <v/>
      </c>
      <c r="AN923" s="108">
        <f>(AZ923-Driver!$K$183)/(Driver!$L$183-Driver!$K$183)</f>
        <v/>
      </c>
      <c r="AO923" s="108" t="n"/>
      <c r="AP923" s="108" t="n"/>
      <c r="AQ923" s="108">
        <f>(BC923-Driver!$K$188)/(Driver!$L$188-Driver!$K$188)</f>
        <v/>
      </c>
      <c r="AR923" s="108">
        <f>MIN((BD923-Driver!$K$189)/(Driver!$L$189-Driver!$K$189),100%)</f>
        <v/>
      </c>
      <c r="AS923" s="108">
        <f>(BE923-Driver!$K$190)/(Driver!$L$190-Driver!$K$190)</f>
        <v/>
      </c>
      <c r="AT923" s="108">
        <f>(BF923-Driver!$K$191)/(Driver!$L$191-Driver!$K$191)</f>
        <v/>
      </c>
      <c r="AU923" s="108">
        <f>(BG923-Driver!$K$192)/(Driver!$L$192-Driver!$K$192)</f>
        <v/>
      </c>
      <c r="AV923" s="105">
        <f>IFERROR(BM923*BJ923^1/4,"")</f>
        <v/>
      </c>
      <c r="AW923" s="105">
        <f>IFERROR(SUM(AX923:AZ923),"")</f>
        <v/>
      </c>
      <c r="AX923" s="105">
        <f>IFERROR(BH923,"")</f>
        <v/>
      </c>
      <c r="AY923" s="105">
        <f>IFERROR(Driver!$K$19/Data!BH923/Data!BI923*Data!BK923*Data!BL923,"")</f>
        <v/>
      </c>
      <c r="AZ923" s="105">
        <f>IFERROR(BI923*BN923,"")</f>
        <v/>
      </c>
      <c r="BA923" s="105" t="n"/>
      <c r="BB923" s="105" t="n"/>
      <c r="BC923" s="105">
        <f>IFERROR(BI923*BN923*BK923/BJ923^(1/2),"")</f>
        <v/>
      </c>
      <c r="BD923" s="105">
        <f>IFERROR(BH923*BM923*BL923/BJ923/BK923,"")</f>
        <v/>
      </c>
      <c r="BE923" s="105">
        <f>IFERROR(MIN(BI923/BQ923/BP923/BO923/BH923,$BE$1),"")</f>
        <v/>
      </c>
      <c r="BF923" s="105">
        <f>IFERROR(BJ923*BO923*BP923/BK923,"")</f>
        <v/>
      </c>
      <c r="BG923" s="105">
        <f>IFERROR(1/BM923/BH923*BQ923,"")</f>
        <v/>
      </c>
      <c r="BH923" s="102">
        <f>MAX((CE923-Driver!$F$200)/(Driver!$G$200-Driver!$F$200)*$BI$1,1)</f>
        <v/>
      </c>
      <c r="BI923" s="102">
        <f>MAX($BI$1*(BY923-Driver!$F$201)/(Driver!$G$201-Driver!$F$201),1)</f>
        <v/>
      </c>
      <c r="BJ923" s="102">
        <f>(CB923-Driver!$F$206)/(Driver!$G$206-Driver!$F$206)*$BI$1</f>
        <v/>
      </c>
      <c r="BK923" s="102">
        <f>(CD923-Driver!$F$203)/(Driver!$G$203-Driver!$F$203)*$BI$1</f>
        <v/>
      </c>
      <c r="BL923" s="102">
        <f>MAX((CR923-Driver!$F$202)/(Driver!$G$202-Driver!$F$202)*$BI$1,1)</f>
        <v/>
      </c>
      <c r="BM923" s="102">
        <f>MAX((CH923-Driver!$F$204)/(Driver!$G$204-Driver!$F$204)*$BI$1,1)</f>
        <v/>
      </c>
      <c r="BN923" s="102">
        <f>(CI923-Driver!$F$205)/(Driver!$G$205-Driver!$F$205)*$BI$1</f>
        <v/>
      </c>
      <c r="BO923" s="102">
        <f>(CK923-Driver!$F$207)/(Driver!$G$207-Driver!$F$207)*$BI$1</f>
        <v/>
      </c>
      <c r="BP923" s="102">
        <f>(CM923-Driver!$F$208)/(Driver!$G$208-Driver!$F$208)*$BI$1</f>
        <v/>
      </c>
      <c r="BQ923" s="102">
        <f>(CL923-Driver!$F$209)/(Driver!$G$209-Driver!$F$209)*$BI$1</f>
        <v/>
      </c>
      <c r="BR923" s="40" t="inlineStr">
        <is>
          <t>21/22</t>
        </is>
      </c>
      <c r="BS923" s="10" t="inlineStr">
        <is>
          <t xml:space="preserve"> Head</t>
        </is>
      </c>
      <c r="BT923" s="11" t="inlineStr">
        <is>
          <t xml:space="preserve"> Power Joy</t>
        </is>
      </c>
      <c r="BU923" s="13" t="n">
        <v>153</v>
      </c>
      <c r="BV923" s="11" t="inlineStr">
        <is>
          <t xml:space="preserve"> Women's</t>
        </is>
      </c>
      <c r="BW923" s="13" t="n">
        <v>153</v>
      </c>
      <c r="BX923" s="13" t="n">
        <v>152.5</v>
      </c>
      <c r="BY923" s="13" t="n">
        <v>132</v>
      </c>
      <c r="BZ923" s="13" t="n">
        <v>137</v>
      </c>
      <c r="CA923" s="13" t="n">
        <v>121</v>
      </c>
      <c r="CB923" s="13" t="n">
        <v>67</v>
      </c>
      <c r="CC923" s="13" t="n">
        <v>100</v>
      </c>
      <c r="CD923" s="13" t="n">
        <v>11</v>
      </c>
      <c r="CE923" s="13" t="n">
        <v>1721</v>
      </c>
      <c r="CF923" s="13" t="n">
        <v>0.74</v>
      </c>
      <c r="CG923" s="13" t="n">
        <v>1269</v>
      </c>
      <c r="CH923" s="13" t="n">
        <v>123</v>
      </c>
      <c r="CI923" s="13" t="n">
        <v>60</v>
      </c>
      <c r="CJ923" s="13" t="n">
        <v>39</v>
      </c>
      <c r="CK923" s="13" t="n">
        <v>134</v>
      </c>
      <c r="CL923" s="13" t="n">
        <v>12</v>
      </c>
      <c r="CM923" s="13" t="n">
        <v>72</v>
      </c>
      <c r="CN923" s="13" t="n">
        <v>0.308</v>
      </c>
      <c r="CO923" s="13" t="n">
        <v>89</v>
      </c>
      <c r="CP923" s="13" t="n">
        <v>62</v>
      </c>
      <c r="CQ923" s="13" t="n">
        <v>45</v>
      </c>
      <c r="CR923" s="13" t="n">
        <v>10</v>
      </c>
      <c r="CS923" s="13" t="n">
        <v>9.4</v>
      </c>
      <c r="CT923" s="11" t="inlineStr">
        <is>
          <t xml:space="preserve"> On-Piste Carving</t>
        </is>
      </c>
      <c r="CU923" s="13" t="n"/>
      <c r="CV923" s="13" t="n"/>
      <c r="CW923" s="13" t="n"/>
      <c r="CX923">
        <f>INDEX('Data_Price '!AG$2:AG$1266,MATCH(Data!$DN923,'Data_Price '!$AT$2:$AT$1266,0))</f>
        <v/>
      </c>
      <c r="CY923">
        <f>INDEX('Data_Price '!AH$2:AH$1266,MATCH(Data!$DN923,'Data_Price '!$AT$2:$AT$1266,0))</f>
        <v/>
      </c>
      <c r="CZ923">
        <f>INDEX('Data_Price '!AI$2:AI$1266,MATCH(Data!$DN923,'Data_Price '!$AT$2:$AT$1266,0))</f>
        <v/>
      </c>
      <c r="DA923">
        <f>INDEX('Data_Price '!AJ$2:AJ$1266,MATCH(Data!$DN923,'Data_Price '!$AT$2:$AT$1266,0))</f>
        <v/>
      </c>
      <c r="DB923">
        <f>INDEX('Data_Price '!AK$2:AK$1266,MATCH(Data!$DN923,'Data_Price '!$AT$2:$AT$1266,0))</f>
        <v/>
      </c>
      <c r="DC923">
        <f>INDEX('Data_Price '!AL$2:AL$1266,MATCH(Data!$DN923,'Data_Price '!$AT$2:$AT$1266,0))</f>
        <v/>
      </c>
      <c r="DD923">
        <f>INDEX('Data_Price '!AM$2:AM$1266,MATCH(Data!$DN923,'Data_Price '!$AT$2:$AT$1266,0))</f>
        <v/>
      </c>
      <c r="DE923">
        <f>INDEX('Data_Price '!AN$2:AN$1266,MATCH(Data!$DN923,'Data_Price '!$AT$2:$AT$1266,0))</f>
        <v/>
      </c>
      <c r="DF923">
        <f>INDEX('Data_Price '!AO$2:AO$1266,MATCH(Data!$DN923,'Data_Price '!$AT$2:$AT$1266,0))</f>
        <v/>
      </c>
      <c r="DG923">
        <f>INDEX('Data_Price '!AP$2:AP$1266,MATCH(Data!$DN923,'Data_Price '!$AT$2:$AT$1266,0))</f>
        <v/>
      </c>
      <c r="DH923">
        <f>INDEX('Data_Price '!AQ$2:AQ$1266,MATCH(Data!$DN923,'Data_Price '!$AT$2:$AT$1266,0))</f>
        <v/>
      </c>
      <c r="DI923">
        <f>INDEX('Data_Price '!AR$2:AR$1266,MATCH(Data!$DN923,'Data_Price '!$AT$2:$AT$1266,0))</f>
        <v/>
      </c>
      <c r="DJ923" s="138">
        <f>DA923</f>
        <v/>
      </c>
      <c r="DK923" s="138">
        <f>DE923</f>
        <v/>
      </c>
      <c r="DL923" s="138">
        <f>DI923</f>
        <v/>
      </c>
      <c r="DM923" s="303">
        <f>IF(LEFT(BT923,1)=" ",RIGHT(BT923,LEN(BT923)-1),BT923)</f>
        <v/>
      </c>
      <c r="DN923" s="138">
        <f>_xlfn.CONCAT(BS923,DM923,BU923,BV923)</f>
        <v/>
      </c>
      <c r="DO923" s="307" t="n"/>
    </row>
    <row r="924" ht="15.6" customHeight="1" s="184">
      <c r="B924" s="303">
        <f t="array" ref="B924">IF(OR(ISERROR(K924:P924)),FALSE,TRUE)</f>
        <v/>
      </c>
      <c r="C924" s="60">
        <f>OR(BR924=Driver!$G$50,Data!BR725=Driver!$H$50)</f>
        <v/>
      </c>
      <c r="D924" s="60">
        <f>OR(BV924=Driver!$G$51,BV924=Driver!$H$51)</f>
        <v/>
      </c>
      <c r="E924" s="60">
        <f>AND(BX924&gt;Driver!$F$54,BX924&lt;Driver!$G$54)</f>
        <v/>
      </c>
      <c r="F924" s="60">
        <f>CL924&gt;Driver!$F$56</f>
        <v/>
      </c>
      <c r="G924" s="60">
        <f>AND(CB924&gt;Driver!$F$55,CB924&lt;Driver!$G$55)</f>
        <v/>
      </c>
      <c r="H924" s="60">
        <f>AND(B924:G924)</f>
        <v/>
      </c>
      <c r="I924" s="60">
        <f>COUNTIFS($H$9:$H$1273,TRUE,$BT$9:$BT$1273,BT924)</f>
        <v/>
      </c>
      <c r="J924" s="60">
        <f t="array" ref="J924">NOT(OR(($H$9:$H$1273=TRUE)*($I$9:$I$1273&gt;0)*($BT$9:$BT$1273=BT924)*($K$9:$K$1273&gt;K924)))</f>
        <v/>
      </c>
      <c r="K924" s="108">
        <f>IFERROR(1-AVERAGE(X924:Y924),"")</f>
        <v/>
      </c>
      <c r="L924" s="108">
        <f>1-X924</f>
        <v/>
      </c>
      <c r="M924" s="108">
        <f>1-Y924</f>
        <v/>
      </c>
      <c r="N924" s="108">
        <f>1-Z924</f>
        <v/>
      </c>
      <c r="O924" s="108">
        <f>1-AA924</f>
        <v/>
      </c>
      <c r="P924" s="108">
        <f>1-AB924</f>
        <v/>
      </c>
      <c r="Q924" s="108" t="n"/>
      <c r="R924" s="108" t="n"/>
      <c r="S924" s="108">
        <f>1-AE924</f>
        <v/>
      </c>
      <c r="T924" s="108">
        <f>1-AF924</f>
        <v/>
      </c>
      <c r="U924" s="108">
        <f>1-AG924</f>
        <v/>
      </c>
      <c r="V924" s="108">
        <f>1-AH924</f>
        <v/>
      </c>
      <c r="W924" s="108">
        <f>1-AI924</f>
        <v/>
      </c>
      <c r="X924" s="108">
        <f>ABS(AJ924-AJ$1)</f>
        <v/>
      </c>
      <c r="Y924" s="108">
        <f>AVERAGE(Z924:AB924)</f>
        <v/>
      </c>
      <c r="Z924" s="108">
        <f>ABS(AL924-AL$1)</f>
        <v/>
      </c>
      <c r="AA924" s="108">
        <f>ABS(AM924-AM$1)</f>
        <v/>
      </c>
      <c r="AB924" s="108">
        <f>ABS(AN924-AN$1)</f>
        <v/>
      </c>
      <c r="AC924" s="108" t="n"/>
      <c r="AD924" s="108" t="n"/>
      <c r="AE924" s="108">
        <f>ABS(AQ$1-AQ924)</f>
        <v/>
      </c>
      <c r="AF924" s="108">
        <f>ABS(AR$1-AR924)</f>
        <v/>
      </c>
      <c r="AG924" s="108">
        <f>ABS(AS$1-AS924)</f>
        <v/>
      </c>
      <c r="AH924" s="108">
        <f>ABS(AT$1-AT924)</f>
        <v/>
      </c>
      <c r="AI924" s="108">
        <f>ABS(AU$1-AU924)</f>
        <v/>
      </c>
      <c r="AJ924" s="108">
        <f>(AV924-Driver!$K$179)/(Driver!$L$179-Driver!$K$179)</f>
        <v/>
      </c>
      <c r="AK924" s="108">
        <f>(AW924-Driver!$K$180)/(Driver!$L$180-Driver!$K$180)</f>
        <v/>
      </c>
      <c r="AL924" s="108">
        <f>(AX924-Driver!$K$181)/(Driver!$L$181-Driver!$K$181)</f>
        <v/>
      </c>
      <c r="AM924" s="108">
        <f>(AY924-Driver!$K$182)/(Driver!$L$182-Driver!$K$182)</f>
        <v/>
      </c>
      <c r="AN924" s="108">
        <f>(AZ924-Driver!$K$183)/(Driver!$L$183-Driver!$K$183)</f>
        <v/>
      </c>
      <c r="AO924" s="108" t="n"/>
      <c r="AP924" s="108" t="n"/>
      <c r="AQ924" s="108">
        <f>(BC924-Driver!$K$188)/(Driver!$L$188-Driver!$K$188)</f>
        <v/>
      </c>
      <c r="AR924" s="108">
        <f>MIN((BD924-Driver!$K$189)/(Driver!$L$189-Driver!$K$189),100%)</f>
        <v/>
      </c>
      <c r="AS924" s="108">
        <f>(BE924-Driver!$K$190)/(Driver!$L$190-Driver!$K$190)</f>
        <v/>
      </c>
      <c r="AT924" s="108">
        <f>(BF924-Driver!$K$191)/(Driver!$L$191-Driver!$K$191)</f>
        <v/>
      </c>
      <c r="AU924" s="108">
        <f>(BG924-Driver!$K$192)/(Driver!$L$192-Driver!$K$192)</f>
        <v/>
      </c>
      <c r="AV924" s="105">
        <f>IFERROR(BM924*BJ924^1/4,"")</f>
        <v/>
      </c>
      <c r="AW924" s="105">
        <f>IFERROR(SUM(AX924:AZ924),"")</f>
        <v/>
      </c>
      <c r="AX924" s="105">
        <f>IFERROR(BH924,"")</f>
        <v/>
      </c>
      <c r="AY924" s="105">
        <f>IFERROR(Driver!$K$19/Data!BH924/Data!BI924*Data!BK924*Data!BL924,"")</f>
        <v/>
      </c>
      <c r="AZ924" s="105">
        <f>IFERROR(BI924*BN924,"")</f>
        <v/>
      </c>
      <c r="BA924" s="105" t="n"/>
      <c r="BB924" s="105" t="n"/>
      <c r="BC924" s="105">
        <f>IFERROR(BI924*BN924*BK924/BJ924^(1/2),"")</f>
        <v/>
      </c>
      <c r="BD924" s="105">
        <f>IFERROR(BH924*BM924*BL924/BJ924/BK924,"")</f>
        <v/>
      </c>
      <c r="BE924" s="105">
        <f>IFERROR(MIN(BI924/BQ924/BP924/BO924/BH924,$BE$1),"")</f>
        <v/>
      </c>
      <c r="BF924" s="105">
        <f>IFERROR(BJ924*BO924*BP924/BK924,"")</f>
        <v/>
      </c>
      <c r="BG924" s="105">
        <f>IFERROR(1/BM924/BH924*BQ924,"")</f>
        <v/>
      </c>
      <c r="BH924" s="102">
        <f>MAX((CE924-Driver!$F$200)/(Driver!$G$200-Driver!$F$200)*$BI$1,1)</f>
        <v/>
      </c>
      <c r="BI924" s="102">
        <f>MAX($BI$1*(BY924-Driver!$F$201)/(Driver!$G$201-Driver!$F$201),1)</f>
        <v/>
      </c>
      <c r="BJ924" s="102">
        <f>(CB924-Driver!$F$206)/(Driver!$G$206-Driver!$F$206)*$BI$1</f>
        <v/>
      </c>
      <c r="BK924" s="102">
        <f>(CD924-Driver!$F$203)/(Driver!$G$203-Driver!$F$203)*$BI$1</f>
        <v/>
      </c>
      <c r="BL924" s="102">
        <f>MAX((CR924-Driver!$F$202)/(Driver!$G$202-Driver!$F$202)*$BI$1,1)</f>
        <v/>
      </c>
      <c r="BM924" s="102">
        <f>MAX((CH924-Driver!$F$204)/(Driver!$G$204-Driver!$F$204)*$BI$1,1)</f>
        <v/>
      </c>
      <c r="BN924" s="102">
        <f>(CI924-Driver!$F$205)/(Driver!$G$205-Driver!$F$205)*$BI$1</f>
        <v/>
      </c>
      <c r="BO924" s="102">
        <f>(CK924-Driver!$F$207)/(Driver!$G$207-Driver!$F$207)*$BI$1</f>
        <v/>
      </c>
      <c r="BP924" s="102">
        <f>(CM924-Driver!$F$208)/(Driver!$G$208-Driver!$F$208)*$BI$1</f>
        <v/>
      </c>
      <c r="BQ924" s="102">
        <f>(CL924-Driver!$F$209)/(Driver!$G$209-Driver!$F$209)*$BI$1</f>
        <v/>
      </c>
      <c r="BR924" s="40" t="inlineStr">
        <is>
          <t>21/22</t>
        </is>
      </c>
      <c r="BS924" s="10" t="inlineStr">
        <is>
          <t xml:space="preserve"> K2</t>
        </is>
      </c>
      <c r="BT924" s="11" t="inlineStr">
        <is>
          <t>Mindbender 85</t>
        </is>
      </c>
      <c r="BU924" s="13" t="n">
        <v>156</v>
      </c>
      <c r="BV924" s="11" t="inlineStr">
        <is>
          <t xml:space="preserve"> Unisex</t>
        </is>
      </c>
      <c r="BW924" s="13" t="n">
        <v>156</v>
      </c>
      <c r="BX924" s="13" t="n">
        <v>156.7</v>
      </c>
      <c r="BY924" s="13" t="n">
        <v>115</v>
      </c>
      <c r="BZ924" s="13" t="n">
        <v>128</v>
      </c>
      <c r="CA924" s="13" t="n">
        <v>129</v>
      </c>
      <c r="CB924" s="13" t="n">
        <v>84</v>
      </c>
      <c r="CC924" s="13" t="n">
        <v>112</v>
      </c>
      <c r="CD924" s="13" t="n">
        <v>10.8</v>
      </c>
      <c r="CE924" s="13" t="n">
        <v>1534</v>
      </c>
      <c r="CF924" s="13" t="n">
        <v>1.02</v>
      </c>
      <c r="CG924" s="13" t="n">
        <v>1558</v>
      </c>
      <c r="CH924" s="13" t="n">
        <v>125</v>
      </c>
      <c r="CI924" s="13" t="n">
        <v>74</v>
      </c>
      <c r="CJ924" s="13" t="n">
        <v>42</v>
      </c>
      <c r="CK924" s="13" t="n">
        <v>252</v>
      </c>
      <c r="CL924" s="13" t="n">
        <v>12</v>
      </c>
      <c r="CM924" s="13" t="n">
        <v>165</v>
      </c>
      <c r="CN924" s="13" t="n">
        <v>0.292</v>
      </c>
      <c r="CO924" s="13" t="n">
        <v>176</v>
      </c>
      <c r="CP924" s="13" t="n">
        <v>112</v>
      </c>
      <c r="CQ924" s="13" t="n">
        <v>76</v>
      </c>
      <c r="CR924" s="13" t="n">
        <v>10</v>
      </c>
      <c r="CS924" s="13" t="n">
        <v>10.3</v>
      </c>
      <c r="CT924" s="11" t="inlineStr">
        <is>
          <t xml:space="preserve"> On-Piste All-Mountain</t>
        </is>
      </c>
      <c r="CU924" s="11" t="inlineStr">
        <is>
          <t xml:space="preserve"> Resort Freeride</t>
        </is>
      </c>
      <c r="CV924" s="13" t="n"/>
      <c r="CW924" s="13" t="n"/>
      <c r="CX924">
        <f>INDEX('Data_Price '!AG$2:AG$1266,MATCH(Data!$DN924,'Data_Price '!$AT$2:$AT$1266,0))</f>
        <v/>
      </c>
      <c r="CY924">
        <f>INDEX('Data_Price '!AH$2:AH$1266,MATCH(Data!$DN924,'Data_Price '!$AT$2:$AT$1266,0))</f>
        <v/>
      </c>
      <c r="CZ924">
        <f>INDEX('Data_Price '!AI$2:AI$1266,MATCH(Data!$DN924,'Data_Price '!$AT$2:$AT$1266,0))</f>
        <v/>
      </c>
      <c r="DA924">
        <f>INDEX('Data_Price '!AJ$2:AJ$1266,MATCH(Data!$DN924,'Data_Price '!$AT$2:$AT$1266,0))</f>
        <v/>
      </c>
      <c r="DB924">
        <f>INDEX('Data_Price '!AK$2:AK$1266,MATCH(Data!$DN924,'Data_Price '!$AT$2:$AT$1266,0))</f>
        <v/>
      </c>
      <c r="DC924">
        <f>INDEX('Data_Price '!AL$2:AL$1266,MATCH(Data!$DN924,'Data_Price '!$AT$2:$AT$1266,0))</f>
        <v/>
      </c>
      <c r="DD924">
        <f>INDEX('Data_Price '!AM$2:AM$1266,MATCH(Data!$DN924,'Data_Price '!$AT$2:$AT$1266,0))</f>
        <v/>
      </c>
      <c r="DE924">
        <f>INDEX('Data_Price '!AN$2:AN$1266,MATCH(Data!$DN924,'Data_Price '!$AT$2:$AT$1266,0))</f>
        <v/>
      </c>
      <c r="DF924">
        <f>INDEX('Data_Price '!AO$2:AO$1266,MATCH(Data!$DN924,'Data_Price '!$AT$2:$AT$1266,0))</f>
        <v/>
      </c>
      <c r="DG924">
        <f>INDEX('Data_Price '!AP$2:AP$1266,MATCH(Data!$DN924,'Data_Price '!$AT$2:$AT$1266,0))</f>
        <v/>
      </c>
      <c r="DH924">
        <f>INDEX('Data_Price '!AQ$2:AQ$1266,MATCH(Data!$DN924,'Data_Price '!$AT$2:$AT$1266,0))</f>
        <v/>
      </c>
      <c r="DI924">
        <f>INDEX('Data_Price '!AR$2:AR$1266,MATCH(Data!$DN924,'Data_Price '!$AT$2:$AT$1266,0))</f>
        <v/>
      </c>
      <c r="DJ924" s="138">
        <f>DA924</f>
        <v/>
      </c>
      <c r="DK924" s="138">
        <f>DE924</f>
        <v/>
      </c>
      <c r="DL924" s="138">
        <f>DI924</f>
        <v/>
      </c>
      <c r="DM924" s="303">
        <f>IF(LEFT(BT924,1)=" ",RIGHT(BT924,LEN(BT924)-1),BT924)</f>
        <v/>
      </c>
      <c r="DN924" s="138">
        <f>_xlfn.CONCAT(BS924,DM924,BU924,BV924)</f>
        <v/>
      </c>
      <c r="DO924" s="307" t="inlineStr">
        <is>
          <t>https://images.evo.com/imgp/250/201044/824992/clone.jpg</t>
        </is>
      </c>
    </row>
    <row r="925" ht="15.6" customHeight="1" s="184">
      <c r="B925" s="303">
        <f t="array" ref="B925">IF(OR(ISERROR(K925:P925)),FALSE,TRUE)</f>
        <v/>
      </c>
      <c r="C925" s="60">
        <f>OR(BR925=Driver!$G$50,Data!BR1252=Driver!$H$50)</f>
        <v/>
      </c>
      <c r="D925" s="60">
        <f>OR(BV925=Driver!$G$51,BV925=Driver!$H$51)</f>
        <v/>
      </c>
      <c r="E925" s="60">
        <f>AND(BX925&gt;Driver!$F$54,BX925&lt;Driver!$G$54)</f>
        <v/>
      </c>
      <c r="F925" s="60">
        <f>CL925&gt;Driver!$F$56</f>
        <v/>
      </c>
      <c r="G925" s="60">
        <f>AND(CB925&gt;Driver!$F$55,CB925&lt;Driver!$G$55)</f>
        <v/>
      </c>
      <c r="H925" s="60">
        <f>AND(B925:G925)</f>
        <v/>
      </c>
      <c r="I925" s="60">
        <f>COUNTIFS($H$9:$H$1273,TRUE,$BT$9:$BT$1273,BT925)</f>
        <v/>
      </c>
      <c r="J925" s="60">
        <f t="array" ref="J925">NOT(OR(($H$9:$H$1273=TRUE)*($I$9:$I$1273&gt;0)*($BT$9:$BT$1273=BT925)*($K$9:$K$1273&gt;K925)))</f>
        <v/>
      </c>
      <c r="K925" s="108">
        <f>IFERROR(1-AVERAGE(X925:Y925),"")</f>
        <v/>
      </c>
      <c r="L925" s="108">
        <f>1-X925</f>
        <v/>
      </c>
      <c r="M925" s="108">
        <f>1-Y925</f>
        <v/>
      </c>
      <c r="N925" s="108">
        <f>1-Z925</f>
        <v/>
      </c>
      <c r="O925" s="108">
        <f>1-AA925</f>
        <v/>
      </c>
      <c r="P925" s="108">
        <f>1-AB925</f>
        <v/>
      </c>
      <c r="Q925" s="108" t="n"/>
      <c r="R925" s="108" t="n"/>
      <c r="S925" s="108">
        <f>1-AE925</f>
        <v/>
      </c>
      <c r="T925" s="108">
        <f>1-AF925</f>
        <v/>
      </c>
      <c r="U925" s="108">
        <f>1-AG925</f>
        <v/>
      </c>
      <c r="V925" s="108">
        <f>1-AH925</f>
        <v/>
      </c>
      <c r="W925" s="108">
        <f>1-AI925</f>
        <v/>
      </c>
      <c r="X925" s="108">
        <f>ABS(AJ925-AJ$1)</f>
        <v/>
      </c>
      <c r="Y925" s="108">
        <f>AVERAGE(Z925:AB925)</f>
        <v/>
      </c>
      <c r="Z925" s="108">
        <f>ABS(AL925-AL$1)</f>
        <v/>
      </c>
      <c r="AA925" s="108">
        <f>ABS(AM925-AM$1)</f>
        <v/>
      </c>
      <c r="AB925" s="108">
        <f>ABS(AN925-AN$1)</f>
        <v/>
      </c>
      <c r="AC925" s="108" t="n"/>
      <c r="AD925" s="108" t="n"/>
      <c r="AE925" s="108">
        <f>ABS(AQ$1-AQ925)</f>
        <v/>
      </c>
      <c r="AF925" s="108">
        <f>ABS(AR$1-AR925)</f>
        <v/>
      </c>
      <c r="AG925" s="108">
        <f>ABS(AS$1-AS925)</f>
        <v/>
      </c>
      <c r="AH925" s="108">
        <f>ABS(AT$1-AT925)</f>
        <v/>
      </c>
      <c r="AI925" s="108">
        <f>ABS(AU$1-AU925)</f>
        <v/>
      </c>
      <c r="AJ925" s="108">
        <f>(AV925-Driver!$K$179)/(Driver!$L$179-Driver!$K$179)</f>
        <v/>
      </c>
      <c r="AK925" s="108">
        <f>(AW925-Driver!$K$180)/(Driver!$L$180-Driver!$K$180)</f>
        <v/>
      </c>
      <c r="AL925" s="108">
        <f>(AX925-Driver!$K$181)/(Driver!$L$181-Driver!$K$181)</f>
        <v/>
      </c>
      <c r="AM925" s="108">
        <f>(AY925-Driver!$K$182)/(Driver!$L$182-Driver!$K$182)</f>
        <v/>
      </c>
      <c r="AN925" s="108">
        <f>(AZ925-Driver!$K$183)/(Driver!$L$183-Driver!$K$183)</f>
        <v/>
      </c>
      <c r="AO925" s="108" t="n"/>
      <c r="AP925" s="108" t="n"/>
      <c r="AQ925" s="108">
        <f>(BC925-Driver!$K$188)/(Driver!$L$188-Driver!$K$188)</f>
        <v/>
      </c>
      <c r="AR925" s="108">
        <f>MIN((BD925-Driver!$K$189)/(Driver!$L$189-Driver!$K$189),100%)</f>
        <v/>
      </c>
      <c r="AS925" s="108">
        <f>(BE925-Driver!$K$190)/(Driver!$L$190-Driver!$K$190)</f>
        <v/>
      </c>
      <c r="AT925" s="108">
        <f>(BF925-Driver!$K$191)/(Driver!$L$191-Driver!$K$191)</f>
        <v/>
      </c>
      <c r="AU925" s="108">
        <f>(BG925-Driver!$K$192)/(Driver!$L$192-Driver!$K$192)</f>
        <v/>
      </c>
      <c r="AV925" s="105">
        <f>IFERROR(BM925*BJ925^1/4,"")</f>
        <v/>
      </c>
      <c r="AW925" s="105">
        <f>IFERROR(SUM(AX925:AZ925),"")</f>
        <v/>
      </c>
      <c r="AX925" s="105">
        <f>IFERROR(BH925,"")</f>
        <v/>
      </c>
      <c r="AY925" s="105">
        <f>IFERROR(Driver!$K$19/Data!BH925/Data!BI925*Data!BK925*Data!BL925,"")</f>
        <v/>
      </c>
      <c r="AZ925" s="105">
        <f>IFERROR(BI925*BN925,"")</f>
        <v/>
      </c>
      <c r="BA925" s="105" t="n"/>
      <c r="BB925" s="105" t="n"/>
      <c r="BC925" s="105">
        <f>IFERROR(BI925*BN925*BK925/BJ925^(1/2),"")</f>
        <v/>
      </c>
      <c r="BD925" s="105">
        <f>IFERROR(BH925*BM925*BL925/BJ925/BK925,"")</f>
        <v/>
      </c>
      <c r="BE925" s="105">
        <f>IFERROR(MIN(BI925/BQ925/BP925/BO925/BH925,$BE$1),"")</f>
        <v/>
      </c>
      <c r="BF925" s="105">
        <f>IFERROR(BJ925*BO925*BP925/BK925,"")</f>
        <v/>
      </c>
      <c r="BG925" s="105">
        <f>IFERROR(1/BM925/BH925*BQ925,"")</f>
        <v/>
      </c>
      <c r="BH925" s="102">
        <f>MAX((CE925-Driver!$F$200)/(Driver!$G$200-Driver!$F$200)*$BI$1,1)</f>
        <v/>
      </c>
      <c r="BI925" s="102">
        <f>MAX($BI$1*(BY925-Driver!$F$201)/(Driver!$G$201-Driver!$F$201),1)</f>
        <v/>
      </c>
      <c r="BJ925" s="102">
        <f>(CB925-Driver!$F$206)/(Driver!$G$206-Driver!$F$206)*$BI$1</f>
        <v/>
      </c>
      <c r="BK925" s="102">
        <f>(CD925-Driver!$F$203)/(Driver!$G$203-Driver!$F$203)*$BI$1</f>
        <v/>
      </c>
      <c r="BL925" s="102">
        <f>MAX((CR925-Driver!$F$202)/(Driver!$G$202-Driver!$F$202)*$BI$1,1)</f>
        <v/>
      </c>
      <c r="BM925" s="102">
        <f>MAX((CH925-Driver!$F$204)/(Driver!$G$204-Driver!$F$204)*$BI$1,1)</f>
        <v/>
      </c>
      <c r="BN925" s="102">
        <f>(CI925-Driver!$F$205)/(Driver!$G$205-Driver!$F$205)*$BI$1</f>
        <v/>
      </c>
      <c r="BO925" s="102">
        <f>(CK925-Driver!$F$207)/(Driver!$G$207-Driver!$F$207)*$BI$1</f>
        <v/>
      </c>
      <c r="BP925" s="102">
        <f>(CM925-Driver!$F$208)/(Driver!$G$208-Driver!$F$208)*$BI$1</f>
        <v/>
      </c>
      <c r="BQ925" s="102">
        <f>(CL925-Driver!$F$209)/(Driver!$G$209-Driver!$F$209)*$BI$1</f>
        <v/>
      </c>
      <c r="BR925" s="40" t="inlineStr">
        <is>
          <t>21/22</t>
        </is>
      </c>
      <c r="BS925" s="10" t="inlineStr">
        <is>
          <t xml:space="preserve"> Völkl</t>
        </is>
      </c>
      <c r="BT925" s="11" t="inlineStr">
        <is>
          <t>Rise Beyond 96</t>
        </is>
      </c>
      <c r="BU925" s="13" t="n">
        <v>170</v>
      </c>
      <c r="BV925" s="11" t="inlineStr">
        <is>
          <t xml:space="preserve"> Unisex</t>
        </is>
      </c>
      <c r="BW925" s="13" t="n">
        <v>170</v>
      </c>
      <c r="BX925" s="13" t="n">
        <v>169.5</v>
      </c>
      <c r="BY925" s="13" t="n">
        <v>130</v>
      </c>
      <c r="BZ925" s="13" t="n">
        <v>148</v>
      </c>
      <c r="CA925" s="13" t="n">
        <v>137</v>
      </c>
      <c r="CB925" s="13" t="n">
        <v>95</v>
      </c>
      <c r="CC925" s="13" t="n">
        <v>118</v>
      </c>
      <c r="CD925" s="13" t="n">
        <v>15.9</v>
      </c>
      <c r="CE925" s="13" t="n">
        <v>1260</v>
      </c>
      <c r="CF925" s="13" t="n">
        <v>1.45</v>
      </c>
      <c r="CG925" s="13" t="n">
        <v>1830</v>
      </c>
      <c r="CH925" s="13" t="n">
        <v>155</v>
      </c>
      <c r="CI925" s="13" t="n">
        <v>70</v>
      </c>
      <c r="CJ925" s="13" t="n">
        <v>39</v>
      </c>
      <c r="CK925" s="13" t="n">
        <v>326</v>
      </c>
      <c r="CL925" s="13" t="n">
        <v>5</v>
      </c>
      <c r="CM925" s="13" t="n">
        <v>72</v>
      </c>
      <c r="CN925" s="13" t="n">
        <v>0.135</v>
      </c>
      <c r="CO925" s="13" t="n">
        <v>123</v>
      </c>
      <c r="CP925" s="13" t="n">
        <v>89</v>
      </c>
      <c r="CQ925" s="13" t="n">
        <v>204</v>
      </c>
      <c r="CR925" s="13" t="n">
        <v>3</v>
      </c>
      <c r="CS925" s="13" t="n">
        <v>11.3</v>
      </c>
      <c r="CT925" s="11" t="inlineStr">
        <is>
          <t xml:space="preserve"> Touring</t>
        </is>
      </c>
      <c r="CU925" s="11" t="inlineStr">
        <is>
          <t xml:space="preserve"> Ultralight Touring</t>
        </is>
      </c>
      <c r="CV925" s="13" t="n"/>
      <c r="CW925" s="13" t="n"/>
      <c r="CX925">
        <f>INDEX('Data_Price '!AG$2:AG$1266,MATCH(Data!$DN925,'Data_Price '!$AT$2:$AT$1266,0))</f>
        <v/>
      </c>
      <c r="CY925">
        <f>INDEX('Data_Price '!AH$2:AH$1266,MATCH(Data!$DN925,'Data_Price '!$AT$2:$AT$1266,0))</f>
        <v/>
      </c>
      <c r="CZ925">
        <f>INDEX('Data_Price '!AI$2:AI$1266,MATCH(Data!$DN925,'Data_Price '!$AT$2:$AT$1266,0))</f>
        <v/>
      </c>
      <c r="DA925">
        <f>INDEX('Data_Price '!AJ$2:AJ$1266,MATCH(Data!$DN925,'Data_Price '!$AT$2:$AT$1266,0))</f>
        <v/>
      </c>
      <c r="DB925">
        <f>INDEX('Data_Price '!AK$2:AK$1266,MATCH(Data!$DN925,'Data_Price '!$AT$2:$AT$1266,0))</f>
        <v/>
      </c>
      <c r="DC925">
        <f>INDEX('Data_Price '!AL$2:AL$1266,MATCH(Data!$DN925,'Data_Price '!$AT$2:$AT$1266,0))</f>
        <v/>
      </c>
      <c r="DD925">
        <f>INDEX('Data_Price '!AM$2:AM$1266,MATCH(Data!$DN925,'Data_Price '!$AT$2:$AT$1266,0))</f>
        <v/>
      </c>
      <c r="DE925">
        <f>INDEX('Data_Price '!AN$2:AN$1266,MATCH(Data!$DN925,'Data_Price '!$AT$2:$AT$1266,0))</f>
        <v/>
      </c>
      <c r="DF925">
        <f>INDEX('Data_Price '!AO$2:AO$1266,MATCH(Data!$DN925,'Data_Price '!$AT$2:$AT$1266,0))</f>
        <v/>
      </c>
      <c r="DG925">
        <f>INDEX('Data_Price '!AP$2:AP$1266,MATCH(Data!$DN925,'Data_Price '!$AT$2:$AT$1266,0))</f>
        <v/>
      </c>
      <c r="DH925">
        <f>INDEX('Data_Price '!AQ$2:AQ$1266,MATCH(Data!$DN925,'Data_Price '!$AT$2:$AT$1266,0))</f>
        <v/>
      </c>
      <c r="DI925">
        <f>INDEX('Data_Price '!AR$2:AR$1266,MATCH(Data!$DN925,'Data_Price '!$AT$2:$AT$1266,0))</f>
        <v/>
      </c>
      <c r="DJ925" s="138">
        <f>DA925</f>
        <v/>
      </c>
      <c r="DK925" s="138">
        <f>DE925</f>
        <v/>
      </c>
      <c r="DL925" s="138">
        <f>DI925</f>
        <v/>
      </c>
      <c r="DM925" s="303">
        <f>IF(LEFT(BT925,1)=" ",RIGHT(BT925,LEN(BT925)-1),BT925)</f>
        <v/>
      </c>
      <c r="DN925" s="138">
        <f>_xlfn.CONCAT(BS925,DM925,BU925,BV925)</f>
        <v/>
      </c>
      <c r="DO925" s="307" t="n"/>
    </row>
    <row r="926" ht="15.6" customHeight="1" s="184">
      <c r="B926" s="303">
        <f t="array" ref="B926">IF(OR(ISERROR(K926:P926)),FALSE,TRUE)</f>
        <v/>
      </c>
      <c r="C926" s="60">
        <f>OR(BR926=Driver!$G$50,Data!BR843=Driver!$H$50)</f>
        <v/>
      </c>
      <c r="D926" s="60">
        <f>OR(BV926=Driver!$G$51,BV926=Driver!$H$51)</f>
        <v/>
      </c>
      <c r="E926" s="60">
        <f>AND(BX926&gt;Driver!$F$54,BX926&lt;Driver!$G$54)</f>
        <v/>
      </c>
      <c r="F926" s="60">
        <f>CL926&gt;Driver!$F$56</f>
        <v/>
      </c>
      <c r="G926" s="60">
        <f>AND(CB926&gt;Driver!$F$55,CB926&lt;Driver!$G$55)</f>
        <v/>
      </c>
      <c r="H926" s="60">
        <f>AND(B926:G926)</f>
        <v/>
      </c>
      <c r="I926" s="60">
        <f>COUNTIFS($H$9:$H$1273,TRUE,$BT$9:$BT$1273,BT926)</f>
        <v/>
      </c>
      <c r="J926" s="60">
        <f t="array" ref="J926">NOT(OR(($H$9:$H$1273=TRUE)*($I$9:$I$1273&gt;0)*($BT$9:$BT$1273=BT926)*($K$9:$K$1273&gt;K926)))</f>
        <v/>
      </c>
      <c r="K926" s="108">
        <f>IFERROR(1-AVERAGE(X926:Y926),"")</f>
        <v/>
      </c>
      <c r="L926" s="108">
        <f>1-X926</f>
        <v/>
      </c>
      <c r="M926" s="108">
        <f>1-Y926</f>
        <v/>
      </c>
      <c r="N926" s="108">
        <f>1-Z926</f>
        <v/>
      </c>
      <c r="O926" s="108">
        <f>1-AA926</f>
        <v/>
      </c>
      <c r="P926" s="108">
        <f>1-AB926</f>
        <v/>
      </c>
      <c r="Q926" s="108" t="n"/>
      <c r="R926" s="108" t="n"/>
      <c r="S926" s="108">
        <f>1-AE926</f>
        <v/>
      </c>
      <c r="T926" s="108">
        <f>1-AF926</f>
        <v/>
      </c>
      <c r="U926" s="108">
        <f>1-AG926</f>
        <v/>
      </c>
      <c r="V926" s="108">
        <f>1-AH926</f>
        <v/>
      </c>
      <c r="W926" s="108">
        <f>1-AI926</f>
        <v/>
      </c>
      <c r="X926" s="108">
        <f>ABS(AJ926-AJ$1)</f>
        <v/>
      </c>
      <c r="Y926" s="108">
        <f>AVERAGE(Z926:AB926)</f>
        <v/>
      </c>
      <c r="Z926" s="108">
        <f>ABS(AL926-AL$1)</f>
        <v/>
      </c>
      <c r="AA926" s="108">
        <f>ABS(AM926-AM$1)</f>
        <v/>
      </c>
      <c r="AB926" s="108">
        <f>ABS(AN926-AN$1)</f>
        <v/>
      </c>
      <c r="AC926" s="108" t="n"/>
      <c r="AD926" s="108" t="n"/>
      <c r="AE926" s="108">
        <f>ABS(AQ$1-AQ926)</f>
        <v/>
      </c>
      <c r="AF926" s="108">
        <f>ABS(AR$1-AR926)</f>
        <v/>
      </c>
      <c r="AG926" s="108">
        <f>ABS(AS$1-AS926)</f>
        <v/>
      </c>
      <c r="AH926" s="108">
        <f>ABS(AT$1-AT926)</f>
        <v/>
      </c>
      <c r="AI926" s="108">
        <f>ABS(AU$1-AU926)</f>
        <v/>
      </c>
      <c r="AJ926" s="108">
        <f>(AV926-Driver!$K$179)/(Driver!$L$179-Driver!$K$179)</f>
        <v/>
      </c>
      <c r="AK926" s="108">
        <f>(AW926-Driver!$K$180)/(Driver!$L$180-Driver!$K$180)</f>
        <v/>
      </c>
      <c r="AL926" s="108">
        <f>(AX926-Driver!$K$181)/(Driver!$L$181-Driver!$K$181)</f>
        <v/>
      </c>
      <c r="AM926" s="108">
        <f>(AY926-Driver!$K$182)/(Driver!$L$182-Driver!$K$182)</f>
        <v/>
      </c>
      <c r="AN926" s="108">
        <f>(AZ926-Driver!$K$183)/(Driver!$L$183-Driver!$K$183)</f>
        <v/>
      </c>
      <c r="AO926" s="108" t="n"/>
      <c r="AP926" s="108" t="n"/>
      <c r="AQ926" s="108">
        <f>(BC926-Driver!$K$188)/(Driver!$L$188-Driver!$K$188)</f>
        <v/>
      </c>
      <c r="AR926" s="108">
        <f>MIN((BD926-Driver!$K$189)/(Driver!$L$189-Driver!$K$189),100%)</f>
        <v/>
      </c>
      <c r="AS926" s="108">
        <f>(BE926-Driver!$K$190)/(Driver!$L$190-Driver!$K$190)</f>
        <v/>
      </c>
      <c r="AT926" s="108">
        <f>(BF926-Driver!$K$191)/(Driver!$L$191-Driver!$K$191)</f>
        <v/>
      </c>
      <c r="AU926" s="108">
        <f>(BG926-Driver!$K$192)/(Driver!$L$192-Driver!$K$192)</f>
        <v/>
      </c>
      <c r="AV926" s="105">
        <f>IFERROR(BM926*BJ926^1/4,"")</f>
        <v/>
      </c>
      <c r="AW926" s="105">
        <f>IFERROR(SUM(AX926:AZ926),"")</f>
        <v/>
      </c>
      <c r="AX926" s="105">
        <f>IFERROR(BH926,"")</f>
        <v/>
      </c>
      <c r="AY926" s="105">
        <f>IFERROR(Driver!$K$19/Data!BH926/Data!BI926*Data!BK926*Data!BL926,"")</f>
        <v/>
      </c>
      <c r="AZ926" s="105">
        <f>IFERROR(BI926*BN926,"")</f>
        <v/>
      </c>
      <c r="BA926" s="105" t="n"/>
      <c r="BB926" s="105" t="n"/>
      <c r="BC926" s="105">
        <f>IFERROR(BI926*BN926*BK926/BJ926^(1/2),"")</f>
        <v/>
      </c>
      <c r="BD926" s="105">
        <f>IFERROR(BH926*BM926*BL926/BJ926/BK926,"")</f>
        <v/>
      </c>
      <c r="BE926" s="105">
        <f>IFERROR(MIN(BI926/BQ926/BP926/BO926/BH926,$BE$1),"")</f>
        <v/>
      </c>
      <c r="BF926" s="105">
        <f>IFERROR(BJ926*BO926*BP926/BK926,"")</f>
        <v/>
      </c>
      <c r="BG926" s="105">
        <f>IFERROR(1/BM926/BH926*BQ926,"")</f>
        <v/>
      </c>
      <c r="BH926" s="102">
        <f>MAX((CE926-Driver!$F$200)/(Driver!$G$200-Driver!$F$200)*$BI$1,1)</f>
        <v/>
      </c>
      <c r="BI926" s="102">
        <f>MAX($BI$1*(BY926-Driver!$F$201)/(Driver!$G$201-Driver!$F$201),1)</f>
        <v/>
      </c>
      <c r="BJ926" s="102">
        <f>(CB926-Driver!$F$206)/(Driver!$G$206-Driver!$F$206)*$BI$1</f>
        <v/>
      </c>
      <c r="BK926" s="102">
        <f>(CD926-Driver!$F$203)/(Driver!$G$203-Driver!$F$203)*$BI$1</f>
        <v/>
      </c>
      <c r="BL926" s="102">
        <f>MAX((CR926-Driver!$F$202)/(Driver!$G$202-Driver!$F$202)*$BI$1,1)</f>
        <v/>
      </c>
      <c r="BM926" s="102">
        <f>MAX((CH926-Driver!$F$204)/(Driver!$G$204-Driver!$F$204)*$BI$1,1)</f>
        <v/>
      </c>
      <c r="BN926" s="102">
        <f>(CI926-Driver!$F$205)/(Driver!$G$205-Driver!$F$205)*$BI$1</f>
        <v/>
      </c>
      <c r="BO926" s="102">
        <f>(CK926-Driver!$F$207)/(Driver!$G$207-Driver!$F$207)*$BI$1</f>
        <v/>
      </c>
      <c r="BP926" s="102">
        <f>(CM926-Driver!$F$208)/(Driver!$G$208-Driver!$F$208)*$BI$1</f>
        <v/>
      </c>
      <c r="BQ926" s="102">
        <f>(CL926-Driver!$F$209)/(Driver!$G$209-Driver!$F$209)*$BI$1</f>
        <v/>
      </c>
      <c r="BR926" s="40" t="inlineStr">
        <is>
          <t>21/22</t>
        </is>
      </c>
      <c r="BS926" s="10" t="inlineStr">
        <is>
          <t xml:space="preserve"> Line</t>
        </is>
      </c>
      <c r="BT926" s="11" t="inlineStr">
        <is>
          <t>Pandora 104</t>
        </is>
      </c>
      <c r="BU926" s="13" t="n">
        <v>158</v>
      </c>
      <c r="BV926" s="11" t="inlineStr">
        <is>
          <t xml:space="preserve"> Women's</t>
        </is>
      </c>
      <c r="BW926" s="13" t="n">
        <v>158</v>
      </c>
      <c r="BX926" s="13" t="n">
        <v>158.2</v>
      </c>
      <c r="BY926" s="13" t="n">
        <v>112</v>
      </c>
      <c r="BZ926" s="13" t="n">
        <v>122</v>
      </c>
      <c r="CA926" s="13" t="n">
        <v>136</v>
      </c>
      <c r="CB926" s="13" t="n">
        <v>103</v>
      </c>
      <c r="CC926" s="13" t="n">
        <v>121</v>
      </c>
      <c r="CD926" s="13" t="n">
        <v>13.5</v>
      </c>
      <c r="CE926" s="13" t="n">
        <v>1478</v>
      </c>
      <c r="CF926" s="13" t="n">
        <v>1.21</v>
      </c>
      <c r="CG926" s="13" t="n">
        <v>1792</v>
      </c>
      <c r="CH926" s="13" t="n">
        <v>122</v>
      </c>
      <c r="CI926" s="13" t="n">
        <v>69</v>
      </c>
      <c r="CJ926" s="13" t="n">
        <v>46</v>
      </c>
      <c r="CK926" s="13" t="n">
        <v>295</v>
      </c>
      <c r="CL926" s="13" t="n">
        <v>14</v>
      </c>
      <c r="CM926" s="13" t="n">
        <v>164</v>
      </c>
      <c r="CN926" s="13" t="n">
        <v>0.305</v>
      </c>
      <c r="CO926" s="13" t="n">
        <v>185</v>
      </c>
      <c r="CP926" s="13" t="n">
        <v>181</v>
      </c>
      <c r="CQ926" s="13" t="n">
        <v>109</v>
      </c>
      <c r="CR926" s="13" t="n">
        <v>6</v>
      </c>
      <c r="CS926" s="13" t="n">
        <v>9.6</v>
      </c>
      <c r="CT926" s="11" t="inlineStr">
        <is>
          <t xml:space="preserve"> Resort Freeride</t>
        </is>
      </c>
      <c r="CU926" s="11" t="inlineStr">
        <is>
          <t xml:space="preserve"> Big Mountain</t>
        </is>
      </c>
      <c r="CV926" s="11" t="inlineStr">
        <is>
          <t xml:space="preserve"> Touring</t>
        </is>
      </c>
      <c r="CW926" s="13" t="n"/>
      <c r="CX926">
        <f>INDEX('Data_Price '!AG$2:AG$1266,MATCH(Data!$DN926,'Data_Price '!$AT$2:$AT$1266,0))</f>
        <v/>
      </c>
      <c r="CY926">
        <f>INDEX('Data_Price '!AH$2:AH$1266,MATCH(Data!$DN926,'Data_Price '!$AT$2:$AT$1266,0))</f>
        <v/>
      </c>
      <c r="CZ926">
        <f>INDEX('Data_Price '!AI$2:AI$1266,MATCH(Data!$DN926,'Data_Price '!$AT$2:$AT$1266,0))</f>
        <v/>
      </c>
      <c r="DA926">
        <f>INDEX('Data_Price '!AJ$2:AJ$1266,MATCH(Data!$DN926,'Data_Price '!$AT$2:$AT$1266,0))</f>
        <v/>
      </c>
      <c r="DB926">
        <f>INDEX('Data_Price '!AK$2:AK$1266,MATCH(Data!$DN926,'Data_Price '!$AT$2:$AT$1266,0))</f>
        <v/>
      </c>
      <c r="DC926">
        <f>INDEX('Data_Price '!AL$2:AL$1266,MATCH(Data!$DN926,'Data_Price '!$AT$2:$AT$1266,0))</f>
        <v/>
      </c>
      <c r="DD926">
        <f>INDEX('Data_Price '!AM$2:AM$1266,MATCH(Data!$DN926,'Data_Price '!$AT$2:$AT$1266,0))</f>
        <v/>
      </c>
      <c r="DE926">
        <f>INDEX('Data_Price '!AN$2:AN$1266,MATCH(Data!$DN926,'Data_Price '!$AT$2:$AT$1266,0))</f>
        <v/>
      </c>
      <c r="DF926">
        <f>INDEX('Data_Price '!AO$2:AO$1266,MATCH(Data!$DN926,'Data_Price '!$AT$2:$AT$1266,0))</f>
        <v/>
      </c>
      <c r="DG926">
        <f>INDEX('Data_Price '!AP$2:AP$1266,MATCH(Data!$DN926,'Data_Price '!$AT$2:$AT$1266,0))</f>
        <v/>
      </c>
      <c r="DH926">
        <f>INDEX('Data_Price '!AQ$2:AQ$1266,MATCH(Data!$DN926,'Data_Price '!$AT$2:$AT$1266,0))</f>
        <v/>
      </c>
      <c r="DI926">
        <f>INDEX('Data_Price '!AR$2:AR$1266,MATCH(Data!$DN926,'Data_Price '!$AT$2:$AT$1266,0))</f>
        <v/>
      </c>
      <c r="DJ926" s="138">
        <f>DA926</f>
        <v/>
      </c>
      <c r="DK926" s="138">
        <f>DE926</f>
        <v/>
      </c>
      <c r="DL926" s="138">
        <f>DI926</f>
        <v/>
      </c>
      <c r="DM926" s="303">
        <f>IF(LEFT(BT926,1)=" ",RIGHT(BT926,LEN(BT926)-1),BT926)</f>
        <v/>
      </c>
      <c r="DN926" s="138">
        <f>_xlfn.CONCAT(BS926,DM926,BU926,BV926)</f>
        <v/>
      </c>
      <c r="DO926" s="307" t="inlineStr">
        <is>
          <t>https://images.evo.com/imgp/250/198430/817631/line-skis-pandora-104-skis-women-s-2022-.jpg</t>
        </is>
      </c>
    </row>
    <row r="927" ht="15.6" customHeight="1" s="184">
      <c r="B927" s="303">
        <f t="array" ref="B927">IF(OR(ISERROR(K927:P927)),FALSE,TRUE)</f>
        <v/>
      </c>
      <c r="C927" s="60">
        <f>OR(BR927=Driver!$G$50,Data!BR952=Driver!$H$50)</f>
        <v/>
      </c>
      <c r="D927" s="60">
        <f>OR(BV927=Driver!$G$51,BV927=Driver!$H$51)</f>
        <v/>
      </c>
      <c r="E927" s="60">
        <f>AND(BX927&gt;Driver!$F$54,BX927&lt;Driver!$G$54)</f>
        <v/>
      </c>
      <c r="F927" s="60">
        <f>CL927&gt;Driver!$F$56</f>
        <v/>
      </c>
      <c r="G927" s="60">
        <f>AND(CB927&gt;Driver!$F$55,CB927&lt;Driver!$G$55)</f>
        <v/>
      </c>
      <c r="H927" s="60">
        <f>AND(B927:G927)</f>
        <v/>
      </c>
      <c r="I927" s="60">
        <f>COUNTIFS($H$9:$H$1273,TRUE,$BT$9:$BT$1273,BT927)</f>
        <v/>
      </c>
      <c r="J927" s="60">
        <f t="array" ref="J927">NOT(OR(($H$9:$H$1273=TRUE)*($I$9:$I$1273&gt;0)*($BT$9:$BT$1273=BT927)*($K$9:$K$1273&gt;K927)))</f>
        <v/>
      </c>
      <c r="K927" s="108">
        <f>IFERROR(1-AVERAGE(X927:Y927),"")</f>
        <v/>
      </c>
      <c r="L927" s="108">
        <f>1-X927</f>
        <v/>
      </c>
      <c r="M927" s="108">
        <f>1-Y927</f>
        <v/>
      </c>
      <c r="N927" s="108">
        <f>1-Z927</f>
        <v/>
      </c>
      <c r="O927" s="108">
        <f>1-AA927</f>
        <v/>
      </c>
      <c r="P927" s="108">
        <f>1-AB927</f>
        <v/>
      </c>
      <c r="Q927" s="108" t="n"/>
      <c r="R927" s="108" t="n"/>
      <c r="S927" s="108">
        <f>1-AE927</f>
        <v/>
      </c>
      <c r="T927" s="108">
        <f>1-AF927</f>
        <v/>
      </c>
      <c r="U927" s="108">
        <f>1-AG927</f>
        <v/>
      </c>
      <c r="V927" s="108">
        <f>1-AH927</f>
        <v/>
      </c>
      <c r="W927" s="108">
        <f>1-AI927</f>
        <v/>
      </c>
      <c r="X927" s="108">
        <f>ABS(AJ927-AJ$1)</f>
        <v/>
      </c>
      <c r="Y927" s="108">
        <f>AVERAGE(Z927:AB927)</f>
        <v/>
      </c>
      <c r="Z927" s="108">
        <f>ABS(AL927-AL$1)</f>
        <v/>
      </c>
      <c r="AA927" s="108">
        <f>ABS(AM927-AM$1)</f>
        <v/>
      </c>
      <c r="AB927" s="108">
        <f>ABS(AN927-AN$1)</f>
        <v/>
      </c>
      <c r="AC927" s="108" t="n"/>
      <c r="AD927" s="108" t="n"/>
      <c r="AE927" s="108">
        <f>ABS(AQ$1-AQ927)</f>
        <v/>
      </c>
      <c r="AF927" s="108">
        <f>ABS(AR$1-AR927)</f>
        <v/>
      </c>
      <c r="AG927" s="108">
        <f>ABS(AS$1-AS927)</f>
        <v/>
      </c>
      <c r="AH927" s="108">
        <f>ABS(AT$1-AT927)</f>
        <v/>
      </c>
      <c r="AI927" s="108">
        <f>ABS(AU$1-AU927)</f>
        <v/>
      </c>
      <c r="AJ927" s="108">
        <f>(AV927-Driver!$K$179)/(Driver!$L$179-Driver!$K$179)</f>
        <v/>
      </c>
      <c r="AK927" s="108">
        <f>(AW927-Driver!$K$180)/(Driver!$L$180-Driver!$K$180)</f>
        <v/>
      </c>
      <c r="AL927" s="108">
        <f>(AX927-Driver!$K$181)/(Driver!$L$181-Driver!$K$181)</f>
        <v/>
      </c>
      <c r="AM927" s="108">
        <f>(AY927-Driver!$K$182)/(Driver!$L$182-Driver!$K$182)</f>
        <v/>
      </c>
      <c r="AN927" s="108">
        <f>(AZ927-Driver!$K$183)/(Driver!$L$183-Driver!$K$183)</f>
        <v/>
      </c>
      <c r="AO927" s="108" t="n"/>
      <c r="AP927" s="108" t="n"/>
      <c r="AQ927" s="108">
        <f>(BC927-Driver!$K$188)/(Driver!$L$188-Driver!$K$188)</f>
        <v/>
      </c>
      <c r="AR927" s="108">
        <f>MIN((BD927-Driver!$K$189)/(Driver!$L$189-Driver!$K$189),100%)</f>
        <v/>
      </c>
      <c r="AS927" s="108">
        <f>(BE927-Driver!$K$190)/(Driver!$L$190-Driver!$K$190)</f>
        <v/>
      </c>
      <c r="AT927" s="108">
        <f>(BF927-Driver!$K$191)/(Driver!$L$191-Driver!$K$191)</f>
        <v/>
      </c>
      <c r="AU927" s="108">
        <f>(BG927-Driver!$K$192)/(Driver!$L$192-Driver!$K$192)</f>
        <v/>
      </c>
      <c r="AV927" s="105">
        <f>IFERROR(BM927*BJ927^1/4,"")</f>
        <v/>
      </c>
      <c r="AW927" s="105">
        <f>IFERROR(SUM(AX927:AZ927),"")</f>
        <v/>
      </c>
      <c r="AX927" s="105">
        <f>IFERROR(BH927,"")</f>
        <v/>
      </c>
      <c r="AY927" s="105">
        <f>IFERROR(Driver!$K$19/Data!BH927/Data!BI927*Data!BK927*Data!BL927,"")</f>
        <v/>
      </c>
      <c r="AZ927" s="105">
        <f>IFERROR(BI927*BN927,"")</f>
        <v/>
      </c>
      <c r="BA927" s="105" t="n"/>
      <c r="BB927" s="105" t="n"/>
      <c r="BC927" s="105">
        <f>IFERROR(BI927*BN927*BK927/BJ927^(1/2),"")</f>
        <v/>
      </c>
      <c r="BD927" s="105">
        <f>IFERROR(BH927*BM927*BL927/BJ927/BK927,"")</f>
        <v/>
      </c>
      <c r="BE927" s="105">
        <f>IFERROR(MIN(BI927/BQ927/BP927/BO927/BH927,$BE$1),"")</f>
        <v/>
      </c>
      <c r="BF927" s="105">
        <f>IFERROR(BJ927*BO927*BP927/BK927,"")</f>
        <v/>
      </c>
      <c r="BG927" s="105">
        <f>IFERROR(1/BM927/BH927*BQ927,"")</f>
        <v/>
      </c>
      <c r="BH927" s="102">
        <f>MAX((CE927-Driver!$F$200)/(Driver!$G$200-Driver!$F$200)*$BI$1,1)</f>
        <v/>
      </c>
      <c r="BI927" s="102">
        <f>MAX($BI$1*(BY927-Driver!$F$201)/(Driver!$G$201-Driver!$F$201),1)</f>
        <v/>
      </c>
      <c r="BJ927" s="102">
        <f>(CB927-Driver!$F$206)/(Driver!$G$206-Driver!$F$206)*$BI$1</f>
        <v/>
      </c>
      <c r="BK927" s="102">
        <f>(CD927-Driver!$F$203)/(Driver!$G$203-Driver!$F$203)*$BI$1</f>
        <v/>
      </c>
      <c r="BL927" s="102">
        <f>MAX((CR927-Driver!$F$202)/(Driver!$G$202-Driver!$F$202)*$BI$1,1)</f>
        <v/>
      </c>
      <c r="BM927" s="102">
        <f>MAX((CH927-Driver!$F$204)/(Driver!$G$204-Driver!$F$204)*$BI$1,1)</f>
        <v/>
      </c>
      <c r="BN927" s="102">
        <f>(CI927-Driver!$F$205)/(Driver!$G$205-Driver!$F$205)*$BI$1</f>
        <v/>
      </c>
      <c r="BO927" s="102">
        <f>(CK927-Driver!$F$207)/(Driver!$G$207-Driver!$F$207)*$BI$1</f>
        <v/>
      </c>
      <c r="BP927" s="102">
        <f>(CM927-Driver!$F$208)/(Driver!$G$208-Driver!$F$208)*$BI$1</f>
        <v/>
      </c>
      <c r="BQ927" s="102">
        <f>(CL927-Driver!$F$209)/(Driver!$G$209-Driver!$F$209)*$BI$1</f>
        <v/>
      </c>
      <c r="BR927" s="40" t="inlineStr">
        <is>
          <t>21/22</t>
        </is>
      </c>
      <c r="BS927" s="10" t="inlineStr">
        <is>
          <t xml:space="preserve"> Raccoon</t>
        </is>
      </c>
      <c r="BT927" s="11" t="inlineStr">
        <is>
          <t>Chinook 99</t>
        </is>
      </c>
      <c r="BU927" s="13" t="n">
        <v>172</v>
      </c>
      <c r="BV927" s="11" t="inlineStr">
        <is>
          <t xml:space="preserve"> Unisex</t>
        </is>
      </c>
      <c r="BW927" s="13" t="n">
        <v>172</v>
      </c>
      <c r="BX927" s="13" t="n">
        <v>170.3</v>
      </c>
      <c r="BY927" s="13" t="n">
        <v>105</v>
      </c>
      <c r="BZ927" s="13" t="n">
        <v>142</v>
      </c>
      <c r="CA927" s="13" t="n">
        <v>129</v>
      </c>
      <c r="CB927" s="13" t="n">
        <v>98</v>
      </c>
      <c r="CC927" s="13" t="n">
        <v>120</v>
      </c>
      <c r="CD927" s="13" t="n">
        <v>17.5</v>
      </c>
      <c r="CE927" s="13" t="n">
        <v>1483</v>
      </c>
      <c r="CF927" s="13" t="n">
        <v>1.26</v>
      </c>
      <c r="CG927" s="13" t="n">
        <v>1862</v>
      </c>
      <c r="CH927" s="13" t="n">
        <v>196</v>
      </c>
      <c r="CI927" s="13" t="n">
        <v>48</v>
      </c>
      <c r="CJ927" s="13" t="n">
        <v>73</v>
      </c>
      <c r="CK927" s="13" t="n">
        <v>405</v>
      </c>
      <c r="CL927" s="13" t="n">
        <v>29</v>
      </c>
      <c r="CM927" s="13" t="n">
        <v>248</v>
      </c>
      <c r="CN927" s="13" t="n">
        <v>0.399</v>
      </c>
      <c r="CO927" s="13" t="n">
        <v>155</v>
      </c>
      <c r="CP927" s="13" t="n">
        <v>131</v>
      </c>
      <c r="CQ927" s="13" t="n">
        <v>249</v>
      </c>
      <c r="CR927" s="13" t="n">
        <v>5</v>
      </c>
      <c r="CS927" s="13" t="n">
        <v>10.8</v>
      </c>
      <c r="CT927" s="11" t="inlineStr">
        <is>
          <t xml:space="preserve"> Resort Freeride</t>
        </is>
      </c>
      <c r="CU927" s="11" t="inlineStr">
        <is>
          <t xml:space="preserve"> Touring</t>
        </is>
      </c>
      <c r="CV927" s="11" t="inlineStr">
        <is>
          <t xml:space="preserve"> Ultralight Touring</t>
        </is>
      </c>
      <c r="CW927" s="13" t="n"/>
      <c r="CX927">
        <f>INDEX('Data_Price '!AG$2:AG$1266,MATCH(Data!$DN927,'Data_Price '!$AT$2:$AT$1266,0))</f>
        <v/>
      </c>
      <c r="CY927">
        <f>INDEX('Data_Price '!AH$2:AH$1266,MATCH(Data!$DN927,'Data_Price '!$AT$2:$AT$1266,0))</f>
        <v/>
      </c>
      <c r="CZ927">
        <f>INDEX('Data_Price '!AI$2:AI$1266,MATCH(Data!$DN927,'Data_Price '!$AT$2:$AT$1266,0))</f>
        <v/>
      </c>
      <c r="DA927">
        <f>INDEX('Data_Price '!AJ$2:AJ$1266,MATCH(Data!$DN927,'Data_Price '!$AT$2:$AT$1266,0))</f>
        <v/>
      </c>
      <c r="DB927">
        <f>INDEX('Data_Price '!AK$2:AK$1266,MATCH(Data!$DN927,'Data_Price '!$AT$2:$AT$1266,0))</f>
        <v/>
      </c>
      <c r="DC927">
        <f>INDEX('Data_Price '!AL$2:AL$1266,MATCH(Data!$DN927,'Data_Price '!$AT$2:$AT$1266,0))</f>
        <v/>
      </c>
      <c r="DD927">
        <f>INDEX('Data_Price '!AM$2:AM$1266,MATCH(Data!$DN927,'Data_Price '!$AT$2:$AT$1266,0))</f>
        <v/>
      </c>
      <c r="DE927">
        <f>INDEX('Data_Price '!AN$2:AN$1266,MATCH(Data!$DN927,'Data_Price '!$AT$2:$AT$1266,0))</f>
        <v/>
      </c>
      <c r="DF927">
        <f>INDEX('Data_Price '!AO$2:AO$1266,MATCH(Data!$DN927,'Data_Price '!$AT$2:$AT$1266,0))</f>
        <v/>
      </c>
      <c r="DG927">
        <f>INDEX('Data_Price '!AP$2:AP$1266,MATCH(Data!$DN927,'Data_Price '!$AT$2:$AT$1266,0))</f>
        <v/>
      </c>
      <c r="DH927">
        <f>INDEX('Data_Price '!AQ$2:AQ$1266,MATCH(Data!$DN927,'Data_Price '!$AT$2:$AT$1266,0))</f>
        <v/>
      </c>
      <c r="DI927">
        <f>INDEX('Data_Price '!AR$2:AR$1266,MATCH(Data!$DN927,'Data_Price '!$AT$2:$AT$1266,0))</f>
        <v/>
      </c>
      <c r="DJ927" s="138">
        <f>DA927</f>
        <v/>
      </c>
      <c r="DK927" s="138">
        <f>DE927</f>
        <v/>
      </c>
      <c r="DL927" s="138">
        <f>DI927</f>
        <v/>
      </c>
      <c r="DM927" s="303">
        <f>IF(LEFT(BT927,1)=" ",RIGHT(BT927,LEN(BT927)-1),BT927)</f>
        <v/>
      </c>
      <c r="DN927" s="138">
        <f>_xlfn.CONCAT(BS927,DM927,BU927,BV927)</f>
        <v/>
      </c>
      <c r="DO927" s="307" t="n"/>
    </row>
    <row r="928" ht="15.6" customHeight="1" s="184">
      <c r="B928" s="303">
        <f t="array" ref="B928">IF(OR(ISERROR(K928:P928)),FALSE,TRUE)</f>
        <v/>
      </c>
      <c r="C928" s="60">
        <f>OR(BR928=Driver!$G$50,Data!BR1179=Driver!$H$50)</f>
        <v/>
      </c>
      <c r="D928" s="60">
        <f>OR(BV928=Driver!$G$51,BV928=Driver!$H$51)</f>
        <v/>
      </c>
      <c r="E928" s="60">
        <f>AND(BX928&gt;Driver!$F$54,BX928&lt;Driver!$G$54)</f>
        <v/>
      </c>
      <c r="F928" s="60">
        <f>CL928&gt;Driver!$F$56</f>
        <v/>
      </c>
      <c r="G928" s="60">
        <f>AND(CB928&gt;Driver!$F$55,CB928&lt;Driver!$G$55)</f>
        <v/>
      </c>
      <c r="H928" s="60">
        <f>AND(B928:G928)</f>
        <v/>
      </c>
      <c r="I928" s="60">
        <f>COUNTIFS($H$9:$H$1273,TRUE,$BT$9:$BT$1273,BT928)</f>
        <v/>
      </c>
      <c r="J928" s="60">
        <f t="array" ref="J928">NOT(OR(($H$9:$H$1273=TRUE)*($I$9:$I$1273&gt;0)*($BT$9:$BT$1273=BT928)*($K$9:$K$1273&gt;K928)))</f>
        <v/>
      </c>
      <c r="K928" s="108">
        <f>IFERROR(1-AVERAGE(X928:Y928),"")</f>
        <v/>
      </c>
      <c r="L928" s="108">
        <f>1-X928</f>
        <v/>
      </c>
      <c r="M928" s="108">
        <f>1-Y928</f>
        <v/>
      </c>
      <c r="N928" s="108">
        <f>1-Z928</f>
        <v/>
      </c>
      <c r="O928" s="108">
        <f>1-AA928</f>
        <v/>
      </c>
      <c r="P928" s="108">
        <f>1-AB928</f>
        <v/>
      </c>
      <c r="Q928" s="108" t="n"/>
      <c r="R928" s="108" t="n"/>
      <c r="S928" s="108">
        <f>1-AE928</f>
        <v/>
      </c>
      <c r="T928" s="108">
        <f>1-AF928</f>
        <v/>
      </c>
      <c r="U928" s="108">
        <f>1-AG928</f>
        <v/>
      </c>
      <c r="V928" s="108">
        <f>1-AH928</f>
        <v/>
      </c>
      <c r="W928" s="108">
        <f>1-AI928</f>
        <v/>
      </c>
      <c r="X928" s="108">
        <f>ABS(AJ928-AJ$1)</f>
        <v/>
      </c>
      <c r="Y928" s="108">
        <f>AVERAGE(Z928:AB928)</f>
        <v/>
      </c>
      <c r="Z928" s="108">
        <f>ABS(AL928-AL$1)</f>
        <v/>
      </c>
      <c r="AA928" s="108">
        <f>ABS(AM928-AM$1)</f>
        <v/>
      </c>
      <c r="AB928" s="108">
        <f>ABS(AN928-AN$1)</f>
        <v/>
      </c>
      <c r="AC928" s="108" t="n"/>
      <c r="AD928" s="108" t="n"/>
      <c r="AE928" s="108">
        <f>ABS(AQ$1-AQ928)</f>
        <v/>
      </c>
      <c r="AF928" s="108">
        <f>ABS(AR$1-AR928)</f>
        <v/>
      </c>
      <c r="AG928" s="108">
        <f>ABS(AS$1-AS928)</f>
        <v/>
      </c>
      <c r="AH928" s="108">
        <f>ABS(AT$1-AT928)</f>
        <v/>
      </c>
      <c r="AI928" s="108">
        <f>ABS(AU$1-AU928)</f>
        <v/>
      </c>
      <c r="AJ928" s="108">
        <f>(AV928-Driver!$K$179)/(Driver!$L$179-Driver!$K$179)</f>
        <v/>
      </c>
      <c r="AK928" s="108">
        <f>(AW928-Driver!$K$180)/(Driver!$L$180-Driver!$K$180)</f>
        <v/>
      </c>
      <c r="AL928" s="108">
        <f>(AX928-Driver!$K$181)/(Driver!$L$181-Driver!$K$181)</f>
        <v/>
      </c>
      <c r="AM928" s="108">
        <f>(AY928-Driver!$K$182)/(Driver!$L$182-Driver!$K$182)</f>
        <v/>
      </c>
      <c r="AN928" s="108">
        <f>(AZ928-Driver!$K$183)/(Driver!$L$183-Driver!$K$183)</f>
        <v/>
      </c>
      <c r="AO928" s="108" t="n"/>
      <c r="AP928" s="108" t="n"/>
      <c r="AQ928" s="108">
        <f>(BC928-Driver!$K$188)/(Driver!$L$188-Driver!$K$188)</f>
        <v/>
      </c>
      <c r="AR928" s="108">
        <f>MIN((BD928-Driver!$K$189)/(Driver!$L$189-Driver!$K$189),100%)</f>
        <v/>
      </c>
      <c r="AS928" s="108">
        <f>(BE928-Driver!$K$190)/(Driver!$L$190-Driver!$K$190)</f>
        <v/>
      </c>
      <c r="AT928" s="108">
        <f>(BF928-Driver!$K$191)/(Driver!$L$191-Driver!$K$191)</f>
        <v/>
      </c>
      <c r="AU928" s="108">
        <f>(BG928-Driver!$K$192)/(Driver!$L$192-Driver!$K$192)</f>
        <v/>
      </c>
      <c r="AV928" s="105">
        <f>IFERROR(BM928*BJ928^1/4,"")</f>
        <v/>
      </c>
      <c r="AW928" s="105">
        <f>IFERROR(SUM(AX928:AZ928),"")</f>
        <v/>
      </c>
      <c r="AX928" s="105">
        <f>IFERROR(BH928,"")</f>
        <v/>
      </c>
      <c r="AY928" s="105">
        <f>IFERROR(Driver!$K$19/Data!BH928/Data!BI928*Data!BK928*Data!BL928,"")</f>
        <v/>
      </c>
      <c r="AZ928" s="105">
        <f>IFERROR(BI928*BN928,"")</f>
        <v/>
      </c>
      <c r="BA928" s="105" t="n"/>
      <c r="BB928" s="105" t="n"/>
      <c r="BC928" s="105">
        <f>IFERROR(BI928*BN928*BK928/BJ928^(1/2),"")</f>
        <v/>
      </c>
      <c r="BD928" s="105">
        <f>IFERROR(BH928*BM928*BL928/BJ928/BK928,"")</f>
        <v/>
      </c>
      <c r="BE928" s="105">
        <f>IFERROR(MIN(BI928/BQ928/BP928/BO928/BH928,$BE$1),"")</f>
        <v/>
      </c>
      <c r="BF928" s="105">
        <f>IFERROR(BJ928*BO928*BP928/BK928,"")</f>
        <v/>
      </c>
      <c r="BG928" s="105">
        <f>IFERROR(1/BM928/BH928*BQ928,"")</f>
        <v/>
      </c>
      <c r="BH928" s="102">
        <f>MAX((CE928-Driver!$F$200)/(Driver!$G$200-Driver!$F$200)*$BI$1,1)</f>
        <v/>
      </c>
      <c r="BI928" s="102">
        <f>MAX($BI$1*(BY928-Driver!$F$201)/(Driver!$G$201-Driver!$F$201),1)</f>
        <v/>
      </c>
      <c r="BJ928" s="102">
        <f>(CB928-Driver!$F$206)/(Driver!$G$206-Driver!$F$206)*$BI$1</f>
        <v/>
      </c>
      <c r="BK928" s="102">
        <f>(CD928-Driver!$F$203)/(Driver!$G$203-Driver!$F$203)*$BI$1</f>
        <v/>
      </c>
      <c r="BL928" s="102">
        <f>MAX((CR928-Driver!$F$202)/(Driver!$G$202-Driver!$F$202)*$BI$1,1)</f>
        <v/>
      </c>
      <c r="BM928" s="102">
        <f>MAX((CH928-Driver!$F$204)/(Driver!$G$204-Driver!$F$204)*$BI$1,1)</f>
        <v/>
      </c>
      <c r="BN928" s="102">
        <f>(CI928-Driver!$F$205)/(Driver!$G$205-Driver!$F$205)*$BI$1</f>
        <v/>
      </c>
      <c r="BO928" s="102">
        <f>(CK928-Driver!$F$207)/(Driver!$G$207-Driver!$F$207)*$BI$1</f>
        <v/>
      </c>
      <c r="BP928" s="102">
        <f>(CM928-Driver!$F$208)/(Driver!$G$208-Driver!$F$208)*$BI$1</f>
        <v/>
      </c>
      <c r="BQ928" s="102">
        <f>(CL928-Driver!$F$209)/(Driver!$G$209-Driver!$F$209)*$BI$1</f>
        <v/>
      </c>
      <c r="BR928" s="40" t="inlineStr">
        <is>
          <t>21/22</t>
        </is>
      </c>
      <c r="BS928" s="10" t="inlineStr">
        <is>
          <t xml:space="preserve"> Völkl</t>
        </is>
      </c>
      <c r="BT928" s="11" t="inlineStr">
        <is>
          <t>Blaze 94 W</t>
        </is>
      </c>
      <c r="BU928" s="13" t="n">
        <v>172</v>
      </c>
      <c r="BV928" s="11" t="inlineStr">
        <is>
          <t xml:space="preserve"> Women's</t>
        </is>
      </c>
      <c r="BW928" s="13" t="n">
        <v>172</v>
      </c>
      <c r="BX928" s="13" t="n">
        <v>171.9</v>
      </c>
      <c r="BY928" s="13" t="n">
        <v>70</v>
      </c>
      <c r="BZ928" s="13" t="n">
        <v>148</v>
      </c>
      <c r="CA928" s="13" t="n">
        <v>133</v>
      </c>
      <c r="CB928" s="13" t="n">
        <v>93</v>
      </c>
      <c r="CC928" s="13" t="n">
        <v>115</v>
      </c>
      <c r="CD928" s="13" t="n">
        <v>16.8</v>
      </c>
      <c r="CE928" s="13" t="n">
        <v>1508</v>
      </c>
      <c r="CF928" s="13" t="n">
        <v>1.21</v>
      </c>
      <c r="CG928" s="13" t="n">
        <v>1817</v>
      </c>
      <c r="CH928" s="13" t="n">
        <v>164</v>
      </c>
      <c r="CI928" s="13" t="n">
        <v>81</v>
      </c>
      <c r="CJ928" s="13" t="n">
        <v>53</v>
      </c>
      <c r="CK928" s="13" t="n">
        <v>589</v>
      </c>
      <c r="CL928" s="13" t="n">
        <v>23</v>
      </c>
      <c r="CM928" s="13" t="n">
        <v>432</v>
      </c>
      <c r="CN928" s="13" t="n">
        <v>0.437</v>
      </c>
      <c r="CO928" s="13" t="n">
        <v>136</v>
      </c>
      <c r="CP928" s="13" t="n">
        <v>104</v>
      </c>
      <c r="CQ928" s="13" t="n">
        <v>453</v>
      </c>
      <c r="CR928" s="13" t="n">
        <v>1</v>
      </c>
      <c r="CS928" s="13" t="n">
        <v>11</v>
      </c>
      <c r="CT928" s="11" t="inlineStr">
        <is>
          <t xml:space="preserve"> Resort Freeride</t>
        </is>
      </c>
      <c r="CU928" s="11" t="inlineStr">
        <is>
          <t xml:space="preserve"> Touring</t>
        </is>
      </c>
      <c r="CV928" s="13" t="n"/>
      <c r="CW928" s="13" t="n"/>
      <c r="CX928">
        <f>INDEX('Data_Price '!AG$2:AG$1266,MATCH(Data!$DN928,'Data_Price '!$AT$2:$AT$1266,0))</f>
        <v/>
      </c>
      <c r="CY928">
        <f>INDEX('Data_Price '!AH$2:AH$1266,MATCH(Data!$DN928,'Data_Price '!$AT$2:$AT$1266,0))</f>
        <v/>
      </c>
      <c r="CZ928">
        <f>INDEX('Data_Price '!AI$2:AI$1266,MATCH(Data!$DN928,'Data_Price '!$AT$2:$AT$1266,0))</f>
        <v/>
      </c>
      <c r="DA928">
        <f>INDEX('Data_Price '!AJ$2:AJ$1266,MATCH(Data!$DN928,'Data_Price '!$AT$2:$AT$1266,0))</f>
        <v/>
      </c>
      <c r="DB928">
        <f>INDEX('Data_Price '!AK$2:AK$1266,MATCH(Data!$DN928,'Data_Price '!$AT$2:$AT$1266,0))</f>
        <v/>
      </c>
      <c r="DC928">
        <f>INDEX('Data_Price '!AL$2:AL$1266,MATCH(Data!$DN928,'Data_Price '!$AT$2:$AT$1266,0))</f>
        <v/>
      </c>
      <c r="DD928">
        <f>INDEX('Data_Price '!AM$2:AM$1266,MATCH(Data!$DN928,'Data_Price '!$AT$2:$AT$1266,0))</f>
        <v/>
      </c>
      <c r="DE928">
        <f>INDEX('Data_Price '!AN$2:AN$1266,MATCH(Data!$DN928,'Data_Price '!$AT$2:$AT$1266,0))</f>
        <v/>
      </c>
      <c r="DF928">
        <f>INDEX('Data_Price '!AO$2:AO$1266,MATCH(Data!$DN928,'Data_Price '!$AT$2:$AT$1266,0))</f>
        <v/>
      </c>
      <c r="DG928">
        <f>INDEX('Data_Price '!AP$2:AP$1266,MATCH(Data!$DN928,'Data_Price '!$AT$2:$AT$1266,0))</f>
        <v/>
      </c>
      <c r="DH928">
        <f>INDEX('Data_Price '!AQ$2:AQ$1266,MATCH(Data!$DN928,'Data_Price '!$AT$2:$AT$1266,0))</f>
        <v/>
      </c>
      <c r="DI928">
        <f>INDEX('Data_Price '!AR$2:AR$1266,MATCH(Data!$DN928,'Data_Price '!$AT$2:$AT$1266,0))</f>
        <v/>
      </c>
      <c r="DJ928" s="138">
        <f>DA928</f>
        <v/>
      </c>
      <c r="DK928" s="138">
        <f>DE928</f>
        <v/>
      </c>
      <c r="DL928" s="138">
        <f>DI928</f>
        <v/>
      </c>
      <c r="DM928" s="303">
        <f>IF(LEFT(BT928,1)=" ",RIGHT(BT928,LEN(BT928)-1),BT928)</f>
        <v/>
      </c>
      <c r="DN928" s="138">
        <f>_xlfn.CONCAT(BS928,DM928,BU928,BV928)</f>
        <v/>
      </c>
      <c r="DO928" s="307" t="inlineStr">
        <is>
          <t>https://images.evo.com/imgp/250/208356/837603/clone.jpg</t>
        </is>
      </c>
    </row>
    <row r="929" ht="15.6" customHeight="1" s="184">
      <c r="B929" s="303">
        <f t="array" ref="B929">IF(OR(ISERROR(K929:P929)),FALSE,TRUE)</f>
        <v/>
      </c>
      <c r="C929" s="60">
        <f>OR(BR929=Driver!$G$50,Data!BR391=Driver!$H$50)</f>
        <v/>
      </c>
      <c r="D929" s="60">
        <f>OR(BV929=Driver!$G$51,BV929=Driver!$H$51)</f>
        <v/>
      </c>
      <c r="E929" s="60">
        <f>AND(BX929&gt;Driver!$F$54,BX929&lt;Driver!$G$54)</f>
        <v/>
      </c>
      <c r="F929" s="60">
        <f>CL929&gt;Driver!$F$56</f>
        <v/>
      </c>
      <c r="G929" s="60">
        <f>AND(CB929&gt;Driver!$F$55,CB929&lt;Driver!$G$55)</f>
        <v/>
      </c>
      <c r="H929" s="60">
        <f>AND(B929:G929)</f>
        <v/>
      </c>
      <c r="I929" s="60">
        <f>COUNTIFS($H$9:$H$1273,TRUE,$BT$9:$BT$1273,BT929)</f>
        <v/>
      </c>
      <c r="J929" s="60">
        <f t="array" ref="J929">NOT(OR(($H$9:$H$1273=TRUE)*($I$9:$I$1273&gt;0)*($BT$9:$BT$1273=BT929)*($K$9:$K$1273&gt;K929)))</f>
        <v/>
      </c>
      <c r="K929" s="108">
        <f>IFERROR(1-AVERAGE(X929:Y929),"")</f>
        <v/>
      </c>
      <c r="L929" s="108">
        <f>1-X929</f>
        <v/>
      </c>
      <c r="M929" s="108">
        <f>1-Y929</f>
        <v/>
      </c>
      <c r="N929" s="108">
        <f>1-Z929</f>
        <v/>
      </c>
      <c r="O929" s="108">
        <f>1-AA929</f>
        <v/>
      </c>
      <c r="P929" s="108">
        <f>1-AB929</f>
        <v/>
      </c>
      <c r="Q929" s="108" t="n"/>
      <c r="R929" s="108" t="n"/>
      <c r="S929" s="108">
        <f>1-AE929</f>
        <v/>
      </c>
      <c r="T929" s="108">
        <f>1-AF929</f>
        <v/>
      </c>
      <c r="U929" s="108">
        <f>1-AG929</f>
        <v/>
      </c>
      <c r="V929" s="108">
        <f>1-AH929</f>
        <v/>
      </c>
      <c r="W929" s="108">
        <f>1-AI929</f>
        <v/>
      </c>
      <c r="X929" s="108">
        <f>ABS(AJ929-AJ$1)</f>
        <v/>
      </c>
      <c r="Y929" s="108">
        <f>AVERAGE(Z929:AB929)</f>
        <v/>
      </c>
      <c r="Z929" s="108">
        <f>ABS(AL929-AL$1)</f>
        <v/>
      </c>
      <c r="AA929" s="108">
        <f>ABS(AM929-AM$1)</f>
        <v/>
      </c>
      <c r="AB929" s="108">
        <f>ABS(AN929-AN$1)</f>
        <v/>
      </c>
      <c r="AC929" s="108" t="n"/>
      <c r="AD929" s="108" t="n"/>
      <c r="AE929" s="108">
        <f>ABS(AQ$1-AQ929)</f>
        <v/>
      </c>
      <c r="AF929" s="108">
        <f>ABS(AR$1-AR929)</f>
        <v/>
      </c>
      <c r="AG929" s="108">
        <f>ABS(AS$1-AS929)</f>
        <v/>
      </c>
      <c r="AH929" s="108">
        <f>ABS(AT$1-AT929)</f>
        <v/>
      </c>
      <c r="AI929" s="108">
        <f>ABS(AU$1-AU929)</f>
        <v/>
      </c>
      <c r="AJ929" s="108">
        <f>(AV929-Driver!$K$179)/(Driver!$L$179-Driver!$K$179)</f>
        <v/>
      </c>
      <c r="AK929" s="108">
        <f>(AW929-Driver!$K$180)/(Driver!$L$180-Driver!$K$180)</f>
        <v/>
      </c>
      <c r="AL929" s="108">
        <f>(AX929-Driver!$K$181)/(Driver!$L$181-Driver!$K$181)</f>
        <v/>
      </c>
      <c r="AM929" s="108">
        <f>(AY929-Driver!$K$182)/(Driver!$L$182-Driver!$K$182)</f>
        <v/>
      </c>
      <c r="AN929" s="108">
        <f>(AZ929-Driver!$K$183)/(Driver!$L$183-Driver!$K$183)</f>
        <v/>
      </c>
      <c r="AO929" s="108" t="n"/>
      <c r="AP929" s="108" t="n"/>
      <c r="AQ929" s="108">
        <f>(BC929-Driver!$K$188)/(Driver!$L$188-Driver!$K$188)</f>
        <v/>
      </c>
      <c r="AR929" s="108">
        <f>MIN((BD929-Driver!$K$189)/(Driver!$L$189-Driver!$K$189),100%)</f>
        <v/>
      </c>
      <c r="AS929" s="108">
        <f>(BE929-Driver!$K$190)/(Driver!$L$190-Driver!$K$190)</f>
        <v/>
      </c>
      <c r="AT929" s="108">
        <f>(BF929-Driver!$K$191)/(Driver!$L$191-Driver!$K$191)</f>
        <v/>
      </c>
      <c r="AU929" s="108">
        <f>(BG929-Driver!$K$192)/(Driver!$L$192-Driver!$K$192)</f>
        <v/>
      </c>
      <c r="AV929" s="105">
        <f>IFERROR(BM929*BJ929^1/4,"")</f>
        <v/>
      </c>
      <c r="AW929" s="105">
        <f>IFERROR(SUM(AX929:AZ929),"")</f>
        <v/>
      </c>
      <c r="AX929" s="105">
        <f>IFERROR(BH929,"")</f>
        <v/>
      </c>
      <c r="AY929" s="105">
        <f>IFERROR(Driver!$K$19/Data!BH929/Data!BI929*Data!BK929*Data!BL929,"")</f>
        <v/>
      </c>
      <c r="AZ929" s="105">
        <f>IFERROR(BI929*BN929,"")</f>
        <v/>
      </c>
      <c r="BA929" s="105" t="n"/>
      <c r="BB929" s="105" t="n"/>
      <c r="BC929" s="105">
        <f>IFERROR(BI929*BN929*BK929/BJ929^(1/2),"")</f>
        <v/>
      </c>
      <c r="BD929" s="105">
        <f>IFERROR(BH929*BM929*BL929/BJ929/BK929,"")</f>
        <v/>
      </c>
      <c r="BE929" s="105">
        <f>IFERROR(MIN(BI929/BQ929/BP929/BO929/BH929,$BE$1),"")</f>
        <v/>
      </c>
      <c r="BF929" s="105">
        <f>IFERROR(BJ929*BO929*BP929/BK929,"")</f>
        <v/>
      </c>
      <c r="BG929" s="105">
        <f>IFERROR(1/BM929/BH929*BQ929,"")</f>
        <v/>
      </c>
      <c r="BH929" s="102">
        <f>MAX((CE929-Driver!$F$200)/(Driver!$G$200-Driver!$F$200)*$BI$1,1)</f>
        <v/>
      </c>
      <c r="BI929" s="102">
        <f>MAX($BI$1*(BY929-Driver!$F$201)/(Driver!$G$201-Driver!$F$201),1)</f>
        <v/>
      </c>
      <c r="BJ929" s="102">
        <f>(CB929-Driver!$F$206)/(Driver!$G$206-Driver!$F$206)*$BI$1</f>
        <v/>
      </c>
      <c r="BK929" s="102">
        <f>(CD929-Driver!$F$203)/(Driver!$G$203-Driver!$F$203)*$BI$1</f>
        <v/>
      </c>
      <c r="BL929" s="102">
        <f>MAX((CR929-Driver!$F$202)/(Driver!$G$202-Driver!$F$202)*$BI$1,1)</f>
        <v/>
      </c>
      <c r="BM929" s="102">
        <f>MAX((CH929-Driver!$F$204)/(Driver!$G$204-Driver!$F$204)*$BI$1,1)</f>
        <v/>
      </c>
      <c r="BN929" s="102">
        <f>(CI929-Driver!$F$205)/(Driver!$G$205-Driver!$F$205)*$BI$1</f>
        <v/>
      </c>
      <c r="BO929" s="102">
        <f>(CK929-Driver!$F$207)/(Driver!$G$207-Driver!$F$207)*$BI$1</f>
        <v/>
      </c>
      <c r="BP929" s="102">
        <f>(CM929-Driver!$F$208)/(Driver!$G$208-Driver!$F$208)*$BI$1</f>
        <v/>
      </c>
      <c r="BQ929" s="102">
        <f>(CL929-Driver!$F$209)/(Driver!$G$209-Driver!$F$209)*$BI$1</f>
        <v/>
      </c>
      <c r="BR929" s="40" t="inlineStr">
        <is>
          <t>21/22</t>
        </is>
      </c>
      <c r="BS929" s="10" t="inlineStr">
        <is>
          <t xml:space="preserve"> Dynastar</t>
        </is>
      </c>
      <c r="BT929" s="11" t="inlineStr">
        <is>
          <t>M-Menace 90</t>
        </is>
      </c>
      <c r="BU929" s="13" t="n">
        <v>160</v>
      </c>
      <c r="BV929" s="11" t="inlineStr">
        <is>
          <t xml:space="preserve"> Unisex</t>
        </is>
      </c>
      <c r="BW929" s="13" t="n">
        <v>160</v>
      </c>
      <c r="BX929" s="13" t="n">
        <v>158.5</v>
      </c>
      <c r="BY929" s="13" t="n">
        <v>112</v>
      </c>
      <c r="BZ929" s="13" t="n">
        <v>134</v>
      </c>
      <c r="CA929" s="13" t="n">
        <v>117</v>
      </c>
      <c r="CB929" s="13" t="n">
        <v>89</v>
      </c>
      <c r="CC929" s="13" t="n">
        <v>107</v>
      </c>
      <c r="CD929" s="13" t="n">
        <v>20.5</v>
      </c>
      <c r="CE929" s="13" t="n">
        <v>1535</v>
      </c>
      <c r="CF929" s="13" t="n">
        <v>1.01</v>
      </c>
      <c r="CG929" s="13" t="n">
        <v>1545</v>
      </c>
      <c r="CH929" s="13" t="n">
        <v>157</v>
      </c>
      <c r="CI929" s="13" t="n">
        <v>59</v>
      </c>
      <c r="CJ929" s="13" t="n">
        <v>48</v>
      </c>
      <c r="CK929" s="13" t="n">
        <v>257</v>
      </c>
      <c r="CL929" s="13" t="n">
        <v>29</v>
      </c>
      <c r="CM929" s="13" t="n">
        <v>212</v>
      </c>
      <c r="CN929" s="13" t="n">
        <v>0.601</v>
      </c>
      <c r="CO929" s="13" t="n">
        <v>117</v>
      </c>
      <c r="CP929" s="13" t="n">
        <v>126</v>
      </c>
      <c r="CQ929" s="13" t="n">
        <v>140</v>
      </c>
      <c r="CR929" s="13" t="n">
        <v>5</v>
      </c>
      <c r="CS929" s="13" t="n">
        <v>7.2</v>
      </c>
      <c r="CT929" s="11" t="inlineStr">
        <is>
          <t xml:space="preserve"> Resort Freeride</t>
        </is>
      </c>
      <c r="CU929" s="13" t="n"/>
      <c r="CV929" s="13" t="n"/>
      <c r="CW929" s="13" t="n"/>
      <c r="CX929">
        <f>INDEX('Data_Price '!AG$2:AG$1266,MATCH(Data!$DN929,'Data_Price '!$AT$2:$AT$1266,0))</f>
        <v/>
      </c>
      <c r="CY929">
        <f>INDEX('Data_Price '!AH$2:AH$1266,MATCH(Data!$DN929,'Data_Price '!$AT$2:$AT$1266,0))</f>
        <v/>
      </c>
      <c r="CZ929">
        <f>INDEX('Data_Price '!AI$2:AI$1266,MATCH(Data!$DN929,'Data_Price '!$AT$2:$AT$1266,0))</f>
        <v/>
      </c>
      <c r="DA929">
        <f>INDEX('Data_Price '!AJ$2:AJ$1266,MATCH(Data!$DN929,'Data_Price '!$AT$2:$AT$1266,0))</f>
        <v/>
      </c>
      <c r="DB929">
        <f>INDEX('Data_Price '!AK$2:AK$1266,MATCH(Data!$DN929,'Data_Price '!$AT$2:$AT$1266,0))</f>
        <v/>
      </c>
      <c r="DC929">
        <f>INDEX('Data_Price '!AL$2:AL$1266,MATCH(Data!$DN929,'Data_Price '!$AT$2:$AT$1266,0))</f>
        <v/>
      </c>
      <c r="DD929">
        <f>INDEX('Data_Price '!AM$2:AM$1266,MATCH(Data!$DN929,'Data_Price '!$AT$2:$AT$1266,0))</f>
        <v/>
      </c>
      <c r="DE929">
        <f>INDEX('Data_Price '!AN$2:AN$1266,MATCH(Data!$DN929,'Data_Price '!$AT$2:$AT$1266,0))</f>
        <v/>
      </c>
      <c r="DF929">
        <f>INDEX('Data_Price '!AO$2:AO$1266,MATCH(Data!$DN929,'Data_Price '!$AT$2:$AT$1266,0))</f>
        <v/>
      </c>
      <c r="DG929">
        <f>INDEX('Data_Price '!AP$2:AP$1266,MATCH(Data!$DN929,'Data_Price '!$AT$2:$AT$1266,0))</f>
        <v/>
      </c>
      <c r="DH929">
        <f>INDEX('Data_Price '!AQ$2:AQ$1266,MATCH(Data!$DN929,'Data_Price '!$AT$2:$AT$1266,0))</f>
        <v/>
      </c>
      <c r="DI929">
        <f>INDEX('Data_Price '!AR$2:AR$1266,MATCH(Data!$DN929,'Data_Price '!$AT$2:$AT$1266,0))</f>
        <v/>
      </c>
      <c r="DJ929" s="138">
        <f>DA929</f>
        <v/>
      </c>
      <c r="DK929" s="138">
        <f>DE929</f>
        <v/>
      </c>
      <c r="DL929" s="138">
        <f>DI929</f>
        <v/>
      </c>
      <c r="DM929" s="303">
        <f>IF(LEFT(BT929,1)=" ",RIGHT(BT929,LEN(BT929)-1),BT929)</f>
        <v/>
      </c>
      <c r="DN929" s="138">
        <f>_xlfn.CONCAT(BS929,DM929,BU929,BV929)</f>
        <v/>
      </c>
      <c r="DO929" s="307" t="n"/>
    </row>
    <row r="930" ht="15.6" customHeight="1" s="184">
      <c r="B930" s="303">
        <f t="array" ref="B930">IF(OR(ISERROR(K930:P930)),FALSE,TRUE)</f>
        <v/>
      </c>
      <c r="C930" s="60">
        <f>OR(BR930=Driver!$G$50,Data!BR68=Driver!$H$50)</f>
        <v/>
      </c>
      <c r="D930" s="60">
        <f>OR(BV930=Driver!$G$51,BV930=Driver!$H$51)</f>
        <v/>
      </c>
      <c r="E930" s="60">
        <f>AND(BX930&gt;Driver!$F$54,BX930&lt;Driver!$G$54)</f>
        <v/>
      </c>
      <c r="F930" s="60">
        <f>CL930&gt;Driver!$F$56</f>
        <v/>
      </c>
      <c r="G930" s="60">
        <f>AND(CB930&gt;Driver!$F$55,CB930&lt;Driver!$G$55)</f>
        <v/>
      </c>
      <c r="H930" s="60">
        <f>AND(B930:G930)</f>
        <v/>
      </c>
      <c r="I930" s="60">
        <f>COUNTIFS($H$9:$H$1273,TRUE,$BT$9:$BT$1273,BT930)</f>
        <v/>
      </c>
      <c r="J930" s="60">
        <f t="array" ref="J930">NOT(OR(($H$9:$H$1273=TRUE)*($I$9:$I$1273&gt;0)*($BT$9:$BT$1273=BT930)*($K$9:$K$1273&gt;K930)))</f>
        <v/>
      </c>
      <c r="K930" s="108">
        <f>IFERROR(1-AVERAGE(X930:Y930),"")</f>
        <v/>
      </c>
      <c r="L930" s="108">
        <f>1-X930</f>
        <v/>
      </c>
      <c r="M930" s="108">
        <f>1-Y930</f>
        <v/>
      </c>
      <c r="N930" s="108">
        <f>1-Z930</f>
        <v/>
      </c>
      <c r="O930" s="108">
        <f>1-AA930</f>
        <v/>
      </c>
      <c r="P930" s="108">
        <f>1-AB930</f>
        <v/>
      </c>
      <c r="Q930" s="108" t="n"/>
      <c r="R930" s="108" t="n"/>
      <c r="S930" s="108">
        <f>1-AE930</f>
        <v/>
      </c>
      <c r="T930" s="108">
        <f>1-AF930</f>
        <v/>
      </c>
      <c r="U930" s="108">
        <f>1-AG930</f>
        <v/>
      </c>
      <c r="V930" s="108">
        <f>1-AH930</f>
        <v/>
      </c>
      <c r="W930" s="108">
        <f>1-AI930</f>
        <v/>
      </c>
      <c r="X930" s="108">
        <f>ABS(AJ930-AJ$1)</f>
        <v/>
      </c>
      <c r="Y930" s="108">
        <f>AVERAGE(Z930:AB930)</f>
        <v/>
      </c>
      <c r="Z930" s="108">
        <f>ABS(AL930-AL$1)</f>
        <v/>
      </c>
      <c r="AA930" s="108">
        <f>ABS(AM930-AM$1)</f>
        <v/>
      </c>
      <c r="AB930" s="108">
        <f>ABS(AN930-AN$1)</f>
        <v/>
      </c>
      <c r="AC930" s="108" t="n"/>
      <c r="AD930" s="108" t="n"/>
      <c r="AE930" s="108">
        <f>ABS(AQ$1-AQ930)</f>
        <v/>
      </c>
      <c r="AF930" s="108">
        <f>ABS(AR$1-AR930)</f>
        <v/>
      </c>
      <c r="AG930" s="108">
        <f>ABS(AS$1-AS930)</f>
        <v/>
      </c>
      <c r="AH930" s="108">
        <f>ABS(AT$1-AT930)</f>
        <v/>
      </c>
      <c r="AI930" s="108">
        <f>ABS(AU$1-AU930)</f>
        <v/>
      </c>
      <c r="AJ930" s="108">
        <f>(AV930-Driver!$K$179)/(Driver!$L$179-Driver!$K$179)</f>
        <v/>
      </c>
      <c r="AK930" s="108">
        <f>(AW930-Driver!$K$180)/(Driver!$L$180-Driver!$K$180)</f>
        <v/>
      </c>
      <c r="AL930" s="108">
        <f>(AX930-Driver!$K$181)/(Driver!$L$181-Driver!$K$181)</f>
        <v/>
      </c>
      <c r="AM930" s="108">
        <f>(AY930-Driver!$K$182)/(Driver!$L$182-Driver!$K$182)</f>
        <v/>
      </c>
      <c r="AN930" s="108">
        <f>(AZ930-Driver!$K$183)/(Driver!$L$183-Driver!$K$183)</f>
        <v/>
      </c>
      <c r="AO930" s="108" t="n"/>
      <c r="AP930" s="108" t="n"/>
      <c r="AQ930" s="108">
        <f>(BC930-Driver!$K$188)/(Driver!$L$188-Driver!$K$188)</f>
        <v/>
      </c>
      <c r="AR930" s="108">
        <f>MIN((BD930-Driver!$K$189)/(Driver!$L$189-Driver!$K$189),100%)</f>
        <v/>
      </c>
      <c r="AS930" s="108">
        <f>(BE930-Driver!$K$190)/(Driver!$L$190-Driver!$K$190)</f>
        <v/>
      </c>
      <c r="AT930" s="108">
        <f>(BF930-Driver!$K$191)/(Driver!$L$191-Driver!$K$191)</f>
        <v/>
      </c>
      <c r="AU930" s="108">
        <f>(BG930-Driver!$K$192)/(Driver!$L$192-Driver!$K$192)</f>
        <v/>
      </c>
      <c r="AV930" s="105">
        <f>IFERROR(BM930*BJ930^1/4,"")</f>
        <v/>
      </c>
      <c r="AW930" s="105">
        <f>IFERROR(SUM(AX930:AZ930),"")</f>
        <v/>
      </c>
      <c r="AX930" s="105">
        <f>IFERROR(BH930,"")</f>
        <v/>
      </c>
      <c r="AY930" s="105">
        <f>IFERROR(Driver!$K$19/Data!BH930/Data!BI930*Data!BK930*Data!BL930,"")</f>
        <v/>
      </c>
      <c r="AZ930" s="105">
        <f>IFERROR(BI930*BN930,"")</f>
        <v/>
      </c>
      <c r="BA930" s="105" t="n"/>
      <c r="BB930" s="105" t="n"/>
      <c r="BC930" s="105">
        <f>IFERROR(BI930*BN930*BK930/BJ930^(1/2),"")</f>
        <v/>
      </c>
      <c r="BD930" s="105">
        <f>IFERROR(BH930*BM930*BL930/BJ930/BK930,"")</f>
        <v/>
      </c>
      <c r="BE930" s="105">
        <f>IFERROR(MIN(BI930/BQ930/BP930/BO930/BH930,$BE$1),"")</f>
        <v/>
      </c>
      <c r="BF930" s="105">
        <f>IFERROR(BJ930*BO930*BP930/BK930,"")</f>
        <v/>
      </c>
      <c r="BG930" s="105">
        <f>IFERROR(1/BM930/BH930*BQ930,"")</f>
        <v/>
      </c>
      <c r="BH930" s="102">
        <f>MAX((CE930-Driver!$F$200)/(Driver!$G$200-Driver!$F$200)*$BI$1,1)</f>
        <v/>
      </c>
      <c r="BI930" s="102">
        <f>MAX($BI$1*(BY930-Driver!$F$201)/(Driver!$G$201-Driver!$F$201),1)</f>
        <v/>
      </c>
      <c r="BJ930" s="102">
        <f>(CB930-Driver!$F$206)/(Driver!$G$206-Driver!$F$206)*$BI$1</f>
        <v/>
      </c>
      <c r="BK930" s="102">
        <f>(CD930-Driver!$F$203)/(Driver!$G$203-Driver!$F$203)*$BI$1</f>
        <v/>
      </c>
      <c r="BL930" s="102">
        <f>MAX((CR930-Driver!$F$202)/(Driver!$G$202-Driver!$F$202)*$BI$1,1)</f>
        <v/>
      </c>
      <c r="BM930" s="102">
        <f>MAX((CH930-Driver!$F$204)/(Driver!$G$204-Driver!$F$204)*$BI$1,1)</f>
        <v/>
      </c>
      <c r="BN930" s="102">
        <f>(CI930-Driver!$F$205)/(Driver!$G$205-Driver!$F$205)*$BI$1</f>
        <v/>
      </c>
      <c r="BO930" s="102">
        <f>(CK930-Driver!$F$207)/(Driver!$G$207-Driver!$F$207)*$BI$1</f>
        <v/>
      </c>
      <c r="BP930" s="102">
        <f>(CM930-Driver!$F$208)/(Driver!$G$208-Driver!$F$208)*$BI$1</f>
        <v/>
      </c>
      <c r="BQ930" s="102">
        <f>(CL930-Driver!$F$209)/(Driver!$G$209-Driver!$F$209)*$BI$1</f>
        <v/>
      </c>
      <c r="BR930" s="40" t="inlineStr">
        <is>
          <t>21/22</t>
        </is>
      </c>
      <c r="BS930" s="10" t="inlineStr">
        <is>
          <t xml:space="preserve"> Armada</t>
        </is>
      </c>
      <c r="BT930" s="11" t="inlineStr">
        <is>
          <t>Declivity 82 Ti</t>
        </is>
      </c>
      <c r="BU930" s="13" t="n">
        <v>174</v>
      </c>
      <c r="BV930" s="11" t="inlineStr">
        <is>
          <t xml:space="preserve"> Unisex</t>
        </is>
      </c>
      <c r="BW930" s="13" t="n">
        <v>174</v>
      </c>
      <c r="BX930" s="13" t="n">
        <v>173.5</v>
      </c>
      <c r="BY930" s="13" t="n">
        <v>142</v>
      </c>
      <c r="BZ930" s="13" t="n">
        <v>154</v>
      </c>
      <c r="CA930" s="13" t="n">
        <v>127</v>
      </c>
      <c r="CB930" s="13" t="n">
        <v>81</v>
      </c>
      <c r="CC930" s="13" t="n">
        <v>109</v>
      </c>
      <c r="CD930" s="13" t="n">
        <v>15.9</v>
      </c>
      <c r="CE930" s="13" t="n">
        <v>1648</v>
      </c>
      <c r="CF930" s="13" t="n">
        <v>1.01</v>
      </c>
      <c r="CG930" s="13" t="n">
        <v>1659</v>
      </c>
      <c r="CH930" s="13" t="n">
        <v>230</v>
      </c>
      <c r="CI930" s="13" t="n">
        <v>139</v>
      </c>
      <c r="CJ930" s="13" t="n">
        <v>42</v>
      </c>
      <c r="CK930" s="13" t="n">
        <v>198</v>
      </c>
      <c r="CL930" s="13" t="n">
        <v>12</v>
      </c>
      <c r="CM930" s="13" t="n">
        <v>121</v>
      </c>
      <c r="CN930" s="13" t="n">
        <v>0.291</v>
      </c>
      <c r="CO930" s="13" t="n">
        <v>120</v>
      </c>
      <c r="CP930" s="13" t="n">
        <v>72</v>
      </c>
      <c r="CQ930" s="13" t="n">
        <v>78</v>
      </c>
      <c r="CR930" s="13" t="n">
        <v>7</v>
      </c>
      <c r="CS930" s="13" t="n">
        <v>9.4</v>
      </c>
      <c r="CT930" s="11" t="inlineStr">
        <is>
          <t xml:space="preserve"> On-Piste All-Mountain</t>
        </is>
      </c>
      <c r="CU930" s="11" t="inlineStr">
        <is>
          <t xml:space="preserve"> Resort Freeride</t>
        </is>
      </c>
      <c r="CV930" s="13" t="n"/>
      <c r="CW930" s="13" t="n"/>
      <c r="CX930">
        <f>INDEX('Data_Price '!AG$2:AG$1266,MATCH(Data!$DN930,'Data_Price '!$AT$2:$AT$1266,0))</f>
        <v/>
      </c>
      <c r="CY930">
        <f>INDEX('Data_Price '!AH$2:AH$1266,MATCH(Data!$DN930,'Data_Price '!$AT$2:$AT$1266,0))</f>
        <v/>
      </c>
      <c r="CZ930">
        <f>INDEX('Data_Price '!AI$2:AI$1266,MATCH(Data!$DN930,'Data_Price '!$AT$2:$AT$1266,0))</f>
        <v/>
      </c>
      <c r="DA930">
        <f>INDEX('Data_Price '!AJ$2:AJ$1266,MATCH(Data!$DN930,'Data_Price '!$AT$2:$AT$1266,0))</f>
        <v/>
      </c>
      <c r="DB930">
        <f>INDEX('Data_Price '!AK$2:AK$1266,MATCH(Data!$DN930,'Data_Price '!$AT$2:$AT$1266,0))</f>
        <v/>
      </c>
      <c r="DC930">
        <f>INDEX('Data_Price '!AL$2:AL$1266,MATCH(Data!$DN930,'Data_Price '!$AT$2:$AT$1266,0))</f>
        <v/>
      </c>
      <c r="DD930">
        <f>INDEX('Data_Price '!AM$2:AM$1266,MATCH(Data!$DN930,'Data_Price '!$AT$2:$AT$1266,0))</f>
        <v/>
      </c>
      <c r="DE930">
        <f>INDEX('Data_Price '!AN$2:AN$1266,MATCH(Data!$DN930,'Data_Price '!$AT$2:$AT$1266,0))</f>
        <v/>
      </c>
      <c r="DF930">
        <f>INDEX('Data_Price '!AO$2:AO$1266,MATCH(Data!$DN930,'Data_Price '!$AT$2:$AT$1266,0))</f>
        <v/>
      </c>
      <c r="DG930">
        <f>INDEX('Data_Price '!AP$2:AP$1266,MATCH(Data!$DN930,'Data_Price '!$AT$2:$AT$1266,0))</f>
        <v/>
      </c>
      <c r="DH930">
        <f>INDEX('Data_Price '!AQ$2:AQ$1266,MATCH(Data!$DN930,'Data_Price '!$AT$2:$AT$1266,0))</f>
        <v/>
      </c>
      <c r="DI930">
        <f>INDEX('Data_Price '!AR$2:AR$1266,MATCH(Data!$DN930,'Data_Price '!$AT$2:$AT$1266,0))</f>
        <v/>
      </c>
      <c r="DJ930" s="138">
        <f>DA930</f>
        <v/>
      </c>
      <c r="DK930" s="138">
        <f>DE930</f>
        <v/>
      </c>
      <c r="DL930" s="138">
        <f>DI930</f>
        <v/>
      </c>
      <c r="DM930" s="303">
        <f>IF(LEFT(BT930,1)=" ",RIGHT(BT930,LEN(BT930)-1),BT930)</f>
        <v/>
      </c>
      <c r="DN930" s="138">
        <f>_xlfn.CONCAT(BS930,DM930,BU930,BV930)</f>
        <v/>
      </c>
      <c r="DO930" s="307" t="n"/>
    </row>
    <row r="931" ht="15.6" customHeight="1" s="184">
      <c r="B931" s="303">
        <f t="array" ref="B931">IF(OR(ISERROR(K931:P931)),FALSE,TRUE)</f>
        <v/>
      </c>
      <c r="C931" s="60">
        <f>OR(BR931=Driver!$G$50,Data!BR1192=Driver!$H$50)</f>
        <v/>
      </c>
      <c r="D931" s="60">
        <f>OR(BV931=Driver!$G$51,BV931=Driver!$H$51)</f>
        <v/>
      </c>
      <c r="E931" s="60">
        <f>AND(BX931&gt;Driver!$F$54,BX931&lt;Driver!$G$54)</f>
        <v/>
      </c>
      <c r="F931" s="60">
        <f>CL931&gt;Driver!$F$56</f>
        <v/>
      </c>
      <c r="G931" s="60">
        <f>AND(CB931&gt;Driver!$F$55,CB931&lt;Driver!$G$55)</f>
        <v/>
      </c>
      <c r="H931" s="60">
        <f>AND(B931:G931)</f>
        <v/>
      </c>
      <c r="I931" s="60">
        <f>COUNTIFS($H$9:$H$1273,TRUE,$BT$9:$BT$1273,BT931)</f>
        <v/>
      </c>
      <c r="J931" s="60">
        <f t="array" ref="J931">NOT(OR(($H$9:$H$1273=TRUE)*($I$9:$I$1273&gt;0)*($BT$9:$BT$1273=BT931)*($K$9:$K$1273&gt;K931)))</f>
        <v/>
      </c>
      <c r="K931" s="108">
        <f>IFERROR(1-AVERAGE(X931:Y931),"")</f>
        <v/>
      </c>
      <c r="L931" s="108">
        <f>1-X931</f>
        <v/>
      </c>
      <c r="M931" s="108">
        <f>1-Y931</f>
        <v/>
      </c>
      <c r="N931" s="108">
        <f>1-Z931</f>
        <v/>
      </c>
      <c r="O931" s="108">
        <f>1-AA931</f>
        <v/>
      </c>
      <c r="P931" s="108">
        <f>1-AB931</f>
        <v/>
      </c>
      <c r="Q931" s="108" t="n"/>
      <c r="R931" s="108" t="n"/>
      <c r="S931" s="108">
        <f>1-AE931</f>
        <v/>
      </c>
      <c r="T931" s="108">
        <f>1-AF931</f>
        <v/>
      </c>
      <c r="U931" s="108">
        <f>1-AG931</f>
        <v/>
      </c>
      <c r="V931" s="108">
        <f>1-AH931</f>
        <v/>
      </c>
      <c r="W931" s="108">
        <f>1-AI931</f>
        <v/>
      </c>
      <c r="X931" s="108">
        <f>ABS(AJ931-AJ$1)</f>
        <v/>
      </c>
      <c r="Y931" s="108">
        <f>AVERAGE(Z931:AB931)</f>
        <v/>
      </c>
      <c r="Z931" s="108">
        <f>ABS(AL931-AL$1)</f>
        <v/>
      </c>
      <c r="AA931" s="108">
        <f>ABS(AM931-AM$1)</f>
        <v/>
      </c>
      <c r="AB931" s="108">
        <f>ABS(AN931-AN$1)</f>
        <v/>
      </c>
      <c r="AC931" s="108" t="n"/>
      <c r="AD931" s="108" t="n"/>
      <c r="AE931" s="108">
        <f>ABS(AQ$1-AQ931)</f>
        <v/>
      </c>
      <c r="AF931" s="108">
        <f>ABS(AR$1-AR931)</f>
        <v/>
      </c>
      <c r="AG931" s="108">
        <f>ABS(AS$1-AS931)</f>
        <v/>
      </c>
      <c r="AH931" s="108">
        <f>ABS(AT$1-AT931)</f>
        <v/>
      </c>
      <c r="AI931" s="108">
        <f>ABS(AU$1-AU931)</f>
        <v/>
      </c>
      <c r="AJ931" s="108">
        <f>(AV931-Driver!$K$179)/(Driver!$L$179-Driver!$K$179)</f>
        <v/>
      </c>
      <c r="AK931" s="108">
        <f>(AW931-Driver!$K$180)/(Driver!$L$180-Driver!$K$180)</f>
        <v/>
      </c>
      <c r="AL931" s="108">
        <f>(AX931-Driver!$K$181)/(Driver!$L$181-Driver!$K$181)</f>
        <v/>
      </c>
      <c r="AM931" s="108">
        <f>(AY931-Driver!$K$182)/(Driver!$L$182-Driver!$K$182)</f>
        <v/>
      </c>
      <c r="AN931" s="108">
        <f>(AZ931-Driver!$K$183)/(Driver!$L$183-Driver!$K$183)</f>
        <v/>
      </c>
      <c r="AO931" s="108" t="n"/>
      <c r="AP931" s="108" t="n"/>
      <c r="AQ931" s="108">
        <f>(BC931-Driver!$K$188)/(Driver!$L$188-Driver!$K$188)</f>
        <v/>
      </c>
      <c r="AR931" s="108">
        <f>MIN((BD931-Driver!$K$189)/(Driver!$L$189-Driver!$K$189),100%)</f>
        <v/>
      </c>
      <c r="AS931" s="108">
        <f>(BE931-Driver!$K$190)/(Driver!$L$190-Driver!$K$190)</f>
        <v/>
      </c>
      <c r="AT931" s="108">
        <f>(BF931-Driver!$K$191)/(Driver!$L$191-Driver!$K$191)</f>
        <v/>
      </c>
      <c r="AU931" s="108">
        <f>(BG931-Driver!$K$192)/(Driver!$L$192-Driver!$K$192)</f>
        <v/>
      </c>
      <c r="AV931" s="105">
        <f>IFERROR(BM931*BJ931^1/4,"")</f>
        <v/>
      </c>
      <c r="AW931" s="105">
        <f>IFERROR(SUM(AX931:AZ931),"")</f>
        <v/>
      </c>
      <c r="AX931" s="105">
        <f>IFERROR(BH931,"")</f>
        <v/>
      </c>
      <c r="AY931" s="105">
        <f>IFERROR(Driver!$K$19/Data!BH931/Data!BI931*Data!BK931*Data!BL931,"")</f>
        <v/>
      </c>
      <c r="AZ931" s="105">
        <f>IFERROR(BI931*BN931,"")</f>
        <v/>
      </c>
      <c r="BA931" s="105" t="n"/>
      <c r="BB931" s="105" t="n"/>
      <c r="BC931" s="105">
        <f>IFERROR(BI931*BN931*BK931/BJ931^(1/2),"")</f>
        <v/>
      </c>
      <c r="BD931" s="105">
        <f>IFERROR(BH931*BM931*BL931/BJ931/BK931,"")</f>
        <v/>
      </c>
      <c r="BE931" s="105">
        <f>IFERROR(MIN(BI931/BQ931/BP931/BO931/BH931,$BE$1),"")</f>
        <v/>
      </c>
      <c r="BF931" s="105">
        <f>IFERROR(BJ931*BO931*BP931/BK931,"")</f>
        <v/>
      </c>
      <c r="BG931" s="105">
        <f>IFERROR(1/BM931/BH931*BQ931,"")</f>
        <v/>
      </c>
      <c r="BH931" s="102">
        <f>MAX((CE931-Driver!$F$200)/(Driver!$G$200-Driver!$F$200)*$BI$1,1)</f>
        <v/>
      </c>
      <c r="BI931" s="102">
        <f>MAX($BI$1*(BY931-Driver!$F$201)/(Driver!$G$201-Driver!$F$201),1)</f>
        <v/>
      </c>
      <c r="BJ931" s="102">
        <f>(CB931-Driver!$F$206)/(Driver!$G$206-Driver!$F$206)*$BI$1</f>
        <v/>
      </c>
      <c r="BK931" s="102">
        <f>(CD931-Driver!$F$203)/(Driver!$G$203-Driver!$F$203)*$BI$1</f>
        <v/>
      </c>
      <c r="BL931" s="102">
        <f>MAX((CR931-Driver!$F$202)/(Driver!$G$202-Driver!$F$202)*$BI$1,1)</f>
        <v/>
      </c>
      <c r="BM931" s="102">
        <f>MAX((CH931-Driver!$F$204)/(Driver!$G$204-Driver!$F$204)*$BI$1,1)</f>
        <v/>
      </c>
      <c r="BN931" s="102">
        <f>(CI931-Driver!$F$205)/(Driver!$G$205-Driver!$F$205)*$BI$1</f>
        <v/>
      </c>
      <c r="BO931" s="102">
        <f>(CK931-Driver!$F$207)/(Driver!$G$207-Driver!$F$207)*$BI$1</f>
        <v/>
      </c>
      <c r="BP931" s="102">
        <f>(CM931-Driver!$F$208)/(Driver!$G$208-Driver!$F$208)*$BI$1</f>
        <v/>
      </c>
      <c r="BQ931" s="102">
        <f>(CL931-Driver!$F$209)/(Driver!$G$209-Driver!$F$209)*$BI$1</f>
        <v/>
      </c>
      <c r="BR931" s="40" t="inlineStr">
        <is>
          <t>21/22</t>
        </is>
      </c>
      <c r="BS931" s="10" t="inlineStr">
        <is>
          <t xml:space="preserve"> Völkl</t>
        </is>
      </c>
      <c r="BT931" s="11" t="inlineStr">
        <is>
          <t>Flair 75</t>
        </is>
      </c>
      <c r="BU931" s="13" t="n">
        <v>161</v>
      </c>
      <c r="BV931" s="11" t="inlineStr">
        <is>
          <t xml:space="preserve"> Women's</t>
        </is>
      </c>
      <c r="BW931" s="13" t="n">
        <v>161</v>
      </c>
      <c r="BX931" s="13" t="n">
        <v>160.5</v>
      </c>
      <c r="BY931" s="13" t="n">
        <v>141</v>
      </c>
      <c r="BZ931" s="13" t="n">
        <v>148</v>
      </c>
      <c r="CA931" s="13" t="n">
        <v>125</v>
      </c>
      <c r="CB931" s="13" t="n">
        <v>74</v>
      </c>
      <c r="CC931" s="13" t="n">
        <v>105</v>
      </c>
      <c r="CD931" s="13" t="n">
        <v>13.6</v>
      </c>
      <c r="CE931" s="13" t="n">
        <v>1793</v>
      </c>
      <c r="CF931" s="13" t="n">
        <v>0.8</v>
      </c>
      <c r="CG931" s="13" t="n">
        <v>1433</v>
      </c>
      <c r="CH931" s="13" t="n">
        <v>162</v>
      </c>
      <c r="CI931" s="13" t="n">
        <v>69</v>
      </c>
      <c r="CJ931" s="13" t="n">
        <v>35</v>
      </c>
      <c r="CK931" s="13" t="n">
        <v>133</v>
      </c>
      <c r="CL931" s="13" t="n">
        <v>5</v>
      </c>
      <c r="CM931" s="13" t="n">
        <v>61</v>
      </c>
      <c r="CN931" s="13" t="n">
        <v>0.147</v>
      </c>
      <c r="CO931" s="13" t="n">
        <v>71</v>
      </c>
      <c r="CP931" s="13" t="n">
        <v>58</v>
      </c>
      <c r="CQ931" s="13" t="n">
        <v>62</v>
      </c>
      <c r="CR931" s="13" t="n">
        <v>4</v>
      </c>
      <c r="CS931" s="13" t="n">
        <v>11.7</v>
      </c>
      <c r="CT931" s="11" t="inlineStr">
        <is>
          <t xml:space="preserve"> On-Piste Carving</t>
        </is>
      </c>
      <c r="CU931" s="13" t="n"/>
      <c r="CV931" s="13" t="n"/>
      <c r="CW931" s="13" t="n"/>
      <c r="CX931">
        <f>INDEX('Data_Price '!AG$2:AG$1266,MATCH(Data!$DN931,'Data_Price '!$AT$2:$AT$1266,0))</f>
        <v/>
      </c>
      <c r="CY931">
        <f>INDEX('Data_Price '!AH$2:AH$1266,MATCH(Data!$DN931,'Data_Price '!$AT$2:$AT$1266,0))</f>
        <v/>
      </c>
      <c r="CZ931">
        <f>INDEX('Data_Price '!AI$2:AI$1266,MATCH(Data!$DN931,'Data_Price '!$AT$2:$AT$1266,0))</f>
        <v/>
      </c>
      <c r="DA931">
        <f>INDEX('Data_Price '!AJ$2:AJ$1266,MATCH(Data!$DN931,'Data_Price '!$AT$2:$AT$1266,0))</f>
        <v/>
      </c>
      <c r="DB931">
        <f>INDEX('Data_Price '!AK$2:AK$1266,MATCH(Data!$DN931,'Data_Price '!$AT$2:$AT$1266,0))</f>
        <v/>
      </c>
      <c r="DC931">
        <f>INDEX('Data_Price '!AL$2:AL$1266,MATCH(Data!$DN931,'Data_Price '!$AT$2:$AT$1266,0))</f>
        <v/>
      </c>
      <c r="DD931">
        <f>INDEX('Data_Price '!AM$2:AM$1266,MATCH(Data!$DN931,'Data_Price '!$AT$2:$AT$1266,0))</f>
        <v/>
      </c>
      <c r="DE931">
        <f>INDEX('Data_Price '!AN$2:AN$1266,MATCH(Data!$DN931,'Data_Price '!$AT$2:$AT$1266,0))</f>
        <v/>
      </c>
      <c r="DF931">
        <f>INDEX('Data_Price '!AO$2:AO$1266,MATCH(Data!$DN931,'Data_Price '!$AT$2:$AT$1266,0))</f>
        <v/>
      </c>
      <c r="DG931">
        <f>INDEX('Data_Price '!AP$2:AP$1266,MATCH(Data!$DN931,'Data_Price '!$AT$2:$AT$1266,0))</f>
        <v/>
      </c>
      <c r="DH931">
        <f>INDEX('Data_Price '!AQ$2:AQ$1266,MATCH(Data!$DN931,'Data_Price '!$AT$2:$AT$1266,0))</f>
        <v/>
      </c>
      <c r="DI931">
        <f>INDEX('Data_Price '!AR$2:AR$1266,MATCH(Data!$DN931,'Data_Price '!$AT$2:$AT$1266,0))</f>
        <v/>
      </c>
      <c r="DJ931" s="138">
        <f>DA931</f>
        <v/>
      </c>
      <c r="DK931" s="138">
        <f>DE931</f>
        <v/>
      </c>
      <c r="DL931" s="138">
        <f>DI931</f>
        <v/>
      </c>
      <c r="DM931" s="303">
        <f>IF(LEFT(BT931,1)=" ",RIGHT(BT931,LEN(BT931)-1),BT931)</f>
        <v/>
      </c>
      <c r="DN931" s="138">
        <f>_xlfn.CONCAT(BS931,DM931,BU931,BV931)</f>
        <v/>
      </c>
      <c r="DO931" s="307" t="n"/>
    </row>
    <row r="932" ht="15.6" customHeight="1" s="184">
      <c r="B932" s="303">
        <f t="array" ref="B932">IF(OR(ISERROR(K932:P932)),FALSE,TRUE)</f>
        <v/>
      </c>
      <c r="C932" s="60">
        <f>OR(BR932=Driver!$G$50,Data!BR1191=Driver!$H$50)</f>
        <v/>
      </c>
      <c r="D932" s="60">
        <f>OR(BV932=Driver!$G$51,BV932=Driver!$H$51)</f>
        <v/>
      </c>
      <c r="E932" s="60">
        <f>AND(BX932&gt;Driver!$F$54,BX932&lt;Driver!$G$54)</f>
        <v/>
      </c>
      <c r="F932" s="60">
        <f>CL932&gt;Driver!$F$56</f>
        <v/>
      </c>
      <c r="G932" s="60">
        <f>AND(CB932&gt;Driver!$F$55,CB932&lt;Driver!$G$55)</f>
        <v/>
      </c>
      <c r="H932" s="60">
        <f>AND(B932:G932)</f>
        <v/>
      </c>
      <c r="I932" s="60">
        <f>COUNTIFS($H$9:$H$1273,TRUE,$BT$9:$BT$1273,BT932)</f>
        <v/>
      </c>
      <c r="J932" s="60">
        <f t="array" ref="J932">NOT(OR(($H$9:$H$1273=TRUE)*($I$9:$I$1273&gt;0)*($BT$9:$BT$1273=BT932)*($K$9:$K$1273&gt;K932)))</f>
        <v/>
      </c>
      <c r="K932" s="108">
        <f>IFERROR(1-AVERAGE(X932:Y932),"")</f>
        <v/>
      </c>
      <c r="L932" s="108">
        <f>1-X932</f>
        <v/>
      </c>
      <c r="M932" s="108">
        <f>1-Y932</f>
        <v/>
      </c>
      <c r="N932" s="108">
        <f>1-Z932</f>
        <v/>
      </c>
      <c r="O932" s="108">
        <f>1-AA932</f>
        <v/>
      </c>
      <c r="P932" s="108">
        <f>1-AB932</f>
        <v/>
      </c>
      <c r="Q932" s="108" t="n"/>
      <c r="R932" s="108" t="n"/>
      <c r="S932" s="108">
        <f>1-AE932</f>
        <v/>
      </c>
      <c r="T932" s="108">
        <f>1-AF932</f>
        <v/>
      </c>
      <c r="U932" s="108">
        <f>1-AG932</f>
        <v/>
      </c>
      <c r="V932" s="108">
        <f>1-AH932</f>
        <v/>
      </c>
      <c r="W932" s="108">
        <f>1-AI932</f>
        <v/>
      </c>
      <c r="X932" s="108">
        <f>ABS(AJ932-AJ$1)</f>
        <v/>
      </c>
      <c r="Y932" s="108">
        <f>AVERAGE(Z932:AB932)</f>
        <v/>
      </c>
      <c r="Z932" s="108">
        <f>ABS(AL932-AL$1)</f>
        <v/>
      </c>
      <c r="AA932" s="108">
        <f>ABS(AM932-AM$1)</f>
        <v/>
      </c>
      <c r="AB932" s="108">
        <f>ABS(AN932-AN$1)</f>
        <v/>
      </c>
      <c r="AC932" s="108" t="n"/>
      <c r="AD932" s="108" t="n"/>
      <c r="AE932" s="108">
        <f>ABS(AQ$1-AQ932)</f>
        <v/>
      </c>
      <c r="AF932" s="108">
        <f>ABS(AR$1-AR932)</f>
        <v/>
      </c>
      <c r="AG932" s="108">
        <f>ABS(AS$1-AS932)</f>
        <v/>
      </c>
      <c r="AH932" s="108">
        <f>ABS(AT$1-AT932)</f>
        <v/>
      </c>
      <c r="AI932" s="108">
        <f>ABS(AU$1-AU932)</f>
        <v/>
      </c>
      <c r="AJ932" s="108">
        <f>(AV932-Driver!$K$179)/(Driver!$L$179-Driver!$K$179)</f>
        <v/>
      </c>
      <c r="AK932" s="108">
        <f>(AW932-Driver!$K$180)/(Driver!$L$180-Driver!$K$180)</f>
        <v/>
      </c>
      <c r="AL932" s="108">
        <f>(AX932-Driver!$K$181)/(Driver!$L$181-Driver!$K$181)</f>
        <v/>
      </c>
      <c r="AM932" s="108">
        <f>(AY932-Driver!$K$182)/(Driver!$L$182-Driver!$K$182)</f>
        <v/>
      </c>
      <c r="AN932" s="108">
        <f>(AZ932-Driver!$K$183)/(Driver!$L$183-Driver!$K$183)</f>
        <v/>
      </c>
      <c r="AO932" s="108" t="n"/>
      <c r="AP932" s="108" t="n"/>
      <c r="AQ932" s="108">
        <f>(BC932-Driver!$K$188)/(Driver!$L$188-Driver!$K$188)</f>
        <v/>
      </c>
      <c r="AR932" s="108">
        <f>MIN((BD932-Driver!$K$189)/(Driver!$L$189-Driver!$K$189),100%)</f>
        <v/>
      </c>
      <c r="AS932" s="108">
        <f>(BE932-Driver!$K$190)/(Driver!$L$190-Driver!$K$190)</f>
        <v/>
      </c>
      <c r="AT932" s="108">
        <f>(BF932-Driver!$K$191)/(Driver!$L$191-Driver!$K$191)</f>
        <v/>
      </c>
      <c r="AU932" s="108">
        <f>(BG932-Driver!$K$192)/(Driver!$L$192-Driver!$K$192)</f>
        <v/>
      </c>
      <c r="AV932" s="105">
        <f>IFERROR(BM932*BJ932^1/4,"")</f>
        <v/>
      </c>
      <c r="AW932" s="105">
        <f>IFERROR(SUM(AX932:AZ932),"")</f>
        <v/>
      </c>
      <c r="AX932" s="105">
        <f>IFERROR(BH932,"")</f>
        <v/>
      </c>
      <c r="AY932" s="105">
        <f>IFERROR(Driver!$K$19/Data!BH932/Data!BI932*Data!BK932*Data!BL932,"")</f>
        <v/>
      </c>
      <c r="AZ932" s="105">
        <f>IFERROR(BI932*BN932,"")</f>
        <v/>
      </c>
      <c r="BA932" s="105" t="n"/>
      <c r="BB932" s="105" t="n"/>
      <c r="BC932" s="105">
        <f>IFERROR(BI932*BN932*BK932/BJ932^(1/2),"")</f>
        <v/>
      </c>
      <c r="BD932" s="105">
        <f>IFERROR(BH932*BM932*BL932/BJ932/BK932,"")</f>
        <v/>
      </c>
      <c r="BE932" s="105">
        <f>IFERROR(MIN(BI932/BQ932/BP932/BO932/BH932,$BE$1),"")</f>
        <v/>
      </c>
      <c r="BF932" s="105">
        <f>IFERROR(BJ932*BO932*BP932/BK932,"")</f>
        <v/>
      </c>
      <c r="BG932" s="105">
        <f>IFERROR(1/BM932/BH932*BQ932,"")</f>
        <v/>
      </c>
      <c r="BH932" s="102">
        <f>MAX((CE932-Driver!$F$200)/(Driver!$G$200-Driver!$F$200)*$BI$1,1)</f>
        <v/>
      </c>
      <c r="BI932" s="102">
        <f>MAX($BI$1*(BY932-Driver!$F$201)/(Driver!$G$201-Driver!$F$201),1)</f>
        <v/>
      </c>
      <c r="BJ932" s="102">
        <f>(CB932-Driver!$F$206)/(Driver!$G$206-Driver!$F$206)*$BI$1</f>
        <v/>
      </c>
      <c r="BK932" s="102">
        <f>(CD932-Driver!$F$203)/(Driver!$G$203-Driver!$F$203)*$BI$1</f>
        <v/>
      </c>
      <c r="BL932" s="102">
        <f>MAX((CR932-Driver!$F$202)/(Driver!$G$202-Driver!$F$202)*$BI$1,1)</f>
        <v/>
      </c>
      <c r="BM932" s="102">
        <f>MAX((CH932-Driver!$F$204)/(Driver!$G$204-Driver!$F$204)*$BI$1,1)</f>
        <v/>
      </c>
      <c r="BN932" s="102">
        <f>(CI932-Driver!$F$205)/(Driver!$G$205-Driver!$F$205)*$BI$1</f>
        <v/>
      </c>
      <c r="BO932" s="102">
        <f>(CK932-Driver!$F$207)/(Driver!$G$207-Driver!$F$207)*$BI$1</f>
        <v/>
      </c>
      <c r="BP932" s="102">
        <f>(CM932-Driver!$F$208)/(Driver!$G$208-Driver!$F$208)*$BI$1</f>
        <v/>
      </c>
      <c r="BQ932" s="102">
        <f>(CL932-Driver!$F$209)/(Driver!$G$209-Driver!$F$209)*$BI$1</f>
        <v/>
      </c>
      <c r="BR932" s="40" t="inlineStr">
        <is>
          <t>21/22</t>
        </is>
      </c>
      <c r="BS932" s="10" t="inlineStr">
        <is>
          <t xml:space="preserve"> Völkl</t>
        </is>
      </c>
      <c r="BT932" s="11" t="inlineStr">
        <is>
          <t>Flair 75</t>
        </is>
      </c>
      <c r="BU932" s="13" t="n">
        <v>154</v>
      </c>
      <c r="BV932" s="11" t="inlineStr">
        <is>
          <t xml:space="preserve"> Women's</t>
        </is>
      </c>
      <c r="BW932" s="13" t="n">
        <v>154</v>
      </c>
      <c r="BX932" s="13" t="n">
        <v>153</v>
      </c>
      <c r="BY932" s="13" t="n">
        <v>135</v>
      </c>
      <c r="BZ932" s="13" t="n">
        <v>140</v>
      </c>
      <c r="CA932" s="13" t="n">
        <v>125</v>
      </c>
      <c r="CB932" s="13" t="n">
        <v>74</v>
      </c>
      <c r="CC932" s="13" t="n">
        <v>104</v>
      </c>
      <c r="CD932" s="13" t="n">
        <v>12.2</v>
      </c>
      <c r="CE932" s="13" t="n">
        <v>1683</v>
      </c>
      <c r="CF932" s="13" t="n">
        <v>0.8100000000000001</v>
      </c>
      <c r="CG932" s="13" t="n">
        <v>1365</v>
      </c>
      <c r="CH932" s="13" t="n">
        <v>166</v>
      </c>
      <c r="CI932" s="13" t="n">
        <v>63</v>
      </c>
      <c r="CJ932" s="13" t="n">
        <v>33</v>
      </c>
      <c r="CK932" s="13" t="n">
        <v>122</v>
      </c>
      <c r="CL932" s="13" t="n">
        <v>5</v>
      </c>
      <c r="CM932" s="13" t="n">
        <v>54</v>
      </c>
      <c r="CN932" s="13" t="n">
        <v>0.136</v>
      </c>
      <c r="CO932" s="13" t="n">
        <v>69</v>
      </c>
      <c r="CP932" s="13" t="n">
        <v>59</v>
      </c>
      <c r="CQ932" s="13" t="n">
        <v>53</v>
      </c>
      <c r="CR932" s="13" t="n">
        <v>7</v>
      </c>
      <c r="CS932" s="13" t="n">
        <v>11.4</v>
      </c>
      <c r="CT932" s="11" t="inlineStr">
        <is>
          <t xml:space="preserve"> On-Piste Carving</t>
        </is>
      </c>
      <c r="CU932" s="13" t="n"/>
      <c r="CV932" s="13" t="n"/>
      <c r="CW932" s="13" t="n"/>
      <c r="CX932">
        <f>INDEX('Data_Price '!AG$2:AG$1266,MATCH(Data!$DN932,'Data_Price '!$AT$2:$AT$1266,0))</f>
        <v/>
      </c>
      <c r="CY932">
        <f>INDEX('Data_Price '!AH$2:AH$1266,MATCH(Data!$DN932,'Data_Price '!$AT$2:$AT$1266,0))</f>
        <v/>
      </c>
      <c r="CZ932">
        <f>INDEX('Data_Price '!AI$2:AI$1266,MATCH(Data!$DN932,'Data_Price '!$AT$2:$AT$1266,0))</f>
        <v/>
      </c>
      <c r="DA932">
        <f>INDEX('Data_Price '!AJ$2:AJ$1266,MATCH(Data!$DN932,'Data_Price '!$AT$2:$AT$1266,0))</f>
        <v/>
      </c>
      <c r="DB932">
        <f>INDEX('Data_Price '!AK$2:AK$1266,MATCH(Data!$DN932,'Data_Price '!$AT$2:$AT$1266,0))</f>
        <v/>
      </c>
      <c r="DC932">
        <f>INDEX('Data_Price '!AL$2:AL$1266,MATCH(Data!$DN932,'Data_Price '!$AT$2:$AT$1266,0))</f>
        <v/>
      </c>
      <c r="DD932">
        <f>INDEX('Data_Price '!AM$2:AM$1266,MATCH(Data!$DN932,'Data_Price '!$AT$2:$AT$1266,0))</f>
        <v/>
      </c>
      <c r="DE932">
        <f>INDEX('Data_Price '!AN$2:AN$1266,MATCH(Data!$DN932,'Data_Price '!$AT$2:$AT$1266,0))</f>
        <v/>
      </c>
      <c r="DF932">
        <f>INDEX('Data_Price '!AO$2:AO$1266,MATCH(Data!$DN932,'Data_Price '!$AT$2:$AT$1266,0))</f>
        <v/>
      </c>
      <c r="DG932">
        <f>INDEX('Data_Price '!AP$2:AP$1266,MATCH(Data!$DN932,'Data_Price '!$AT$2:$AT$1266,0))</f>
        <v/>
      </c>
      <c r="DH932">
        <f>INDEX('Data_Price '!AQ$2:AQ$1266,MATCH(Data!$DN932,'Data_Price '!$AT$2:$AT$1266,0))</f>
        <v/>
      </c>
      <c r="DI932">
        <f>INDEX('Data_Price '!AR$2:AR$1266,MATCH(Data!$DN932,'Data_Price '!$AT$2:$AT$1266,0))</f>
        <v/>
      </c>
      <c r="DJ932" s="138">
        <f>DA932</f>
        <v/>
      </c>
      <c r="DK932" s="138">
        <f>DE932</f>
        <v/>
      </c>
      <c r="DL932" s="138">
        <f>DI932</f>
        <v/>
      </c>
      <c r="DM932" s="303">
        <f>IF(LEFT(BT932,1)=" ",RIGHT(BT932,LEN(BT932)-1),BT932)</f>
        <v/>
      </c>
      <c r="DN932" s="138">
        <f>_xlfn.CONCAT(BS932,DM932,BU932,BV932)</f>
        <v/>
      </c>
      <c r="DO932" s="307" t="n"/>
    </row>
    <row r="933" ht="15.6" customHeight="1" s="184">
      <c r="B933" s="303">
        <f t="array" ref="B933">IF(OR(ISERROR(K933:P933)),FALSE,TRUE)</f>
        <v/>
      </c>
      <c r="C933" s="60">
        <f>OR(BR933=Driver!$G$50,Data!BR1180=Driver!$H$50)</f>
        <v/>
      </c>
      <c r="D933" s="60">
        <f>OR(BV933=Driver!$G$51,BV933=Driver!$H$51)</f>
        <v/>
      </c>
      <c r="E933" s="60">
        <f>AND(BX933&gt;Driver!$F$54,BX933&lt;Driver!$G$54)</f>
        <v/>
      </c>
      <c r="F933" s="60">
        <f>CL933&gt;Driver!$F$56</f>
        <v/>
      </c>
      <c r="G933" s="60">
        <f>AND(CB933&gt;Driver!$F$55,CB933&lt;Driver!$G$55)</f>
        <v/>
      </c>
      <c r="H933" s="60">
        <f>AND(B933:G933)</f>
        <v/>
      </c>
      <c r="I933" s="60">
        <f>COUNTIFS($H$9:$H$1273,TRUE,$BT$9:$BT$1273,BT933)</f>
        <v/>
      </c>
      <c r="J933" s="60">
        <f t="array" ref="J933">NOT(OR(($H$9:$H$1273=TRUE)*($I$9:$I$1273&gt;0)*($BT$9:$BT$1273=BT933)*($K$9:$K$1273&gt;K933)))</f>
        <v/>
      </c>
      <c r="K933" s="108">
        <f>IFERROR(1-AVERAGE(X933:Y933),"")</f>
        <v/>
      </c>
      <c r="L933" s="108">
        <f>1-X933</f>
        <v/>
      </c>
      <c r="M933" s="108">
        <f>1-Y933</f>
        <v/>
      </c>
      <c r="N933" s="108">
        <f>1-Z933</f>
        <v/>
      </c>
      <c r="O933" s="108">
        <f>1-AA933</f>
        <v/>
      </c>
      <c r="P933" s="108">
        <f>1-AB933</f>
        <v/>
      </c>
      <c r="Q933" s="108" t="n"/>
      <c r="R933" s="108" t="n"/>
      <c r="S933" s="108">
        <f>1-AE933</f>
        <v/>
      </c>
      <c r="T933" s="108">
        <f>1-AF933</f>
        <v/>
      </c>
      <c r="U933" s="108">
        <f>1-AG933</f>
        <v/>
      </c>
      <c r="V933" s="108">
        <f>1-AH933</f>
        <v/>
      </c>
      <c r="W933" s="108">
        <f>1-AI933</f>
        <v/>
      </c>
      <c r="X933" s="108">
        <f>ABS(AJ933-AJ$1)</f>
        <v/>
      </c>
      <c r="Y933" s="108">
        <f>AVERAGE(Z933:AB933)</f>
        <v/>
      </c>
      <c r="Z933" s="108">
        <f>ABS(AL933-AL$1)</f>
        <v/>
      </c>
      <c r="AA933" s="108">
        <f>ABS(AM933-AM$1)</f>
        <v/>
      </c>
      <c r="AB933" s="108">
        <f>ABS(AN933-AN$1)</f>
        <v/>
      </c>
      <c r="AC933" s="108" t="n"/>
      <c r="AD933" s="108" t="n"/>
      <c r="AE933" s="108">
        <f>ABS(AQ$1-AQ933)</f>
        <v/>
      </c>
      <c r="AF933" s="108">
        <f>ABS(AR$1-AR933)</f>
        <v/>
      </c>
      <c r="AG933" s="108">
        <f>ABS(AS$1-AS933)</f>
        <v/>
      </c>
      <c r="AH933" s="108">
        <f>ABS(AT$1-AT933)</f>
        <v/>
      </c>
      <c r="AI933" s="108">
        <f>ABS(AU$1-AU933)</f>
        <v/>
      </c>
      <c r="AJ933" s="108">
        <f>(AV933-Driver!$K$179)/(Driver!$L$179-Driver!$K$179)</f>
        <v/>
      </c>
      <c r="AK933" s="108">
        <f>(AW933-Driver!$K$180)/(Driver!$L$180-Driver!$K$180)</f>
        <v/>
      </c>
      <c r="AL933" s="108">
        <f>(AX933-Driver!$K$181)/(Driver!$L$181-Driver!$K$181)</f>
        <v/>
      </c>
      <c r="AM933" s="108">
        <f>(AY933-Driver!$K$182)/(Driver!$L$182-Driver!$K$182)</f>
        <v/>
      </c>
      <c r="AN933" s="108">
        <f>(AZ933-Driver!$K$183)/(Driver!$L$183-Driver!$K$183)</f>
        <v/>
      </c>
      <c r="AO933" s="108" t="n"/>
      <c r="AP933" s="108" t="n"/>
      <c r="AQ933" s="108">
        <f>(BC933-Driver!$K$188)/(Driver!$L$188-Driver!$K$188)</f>
        <v/>
      </c>
      <c r="AR933" s="108">
        <f>MIN((BD933-Driver!$K$189)/(Driver!$L$189-Driver!$K$189),100%)</f>
        <v/>
      </c>
      <c r="AS933" s="108">
        <f>(BE933-Driver!$K$190)/(Driver!$L$190-Driver!$K$190)</f>
        <v/>
      </c>
      <c r="AT933" s="108">
        <f>(BF933-Driver!$K$191)/(Driver!$L$191-Driver!$K$191)</f>
        <v/>
      </c>
      <c r="AU933" s="108">
        <f>(BG933-Driver!$K$192)/(Driver!$L$192-Driver!$K$192)</f>
        <v/>
      </c>
      <c r="AV933" s="105">
        <f>IFERROR(BM933*BJ933^1/4,"")</f>
        <v/>
      </c>
      <c r="AW933" s="105">
        <f>IFERROR(SUM(AX933:AZ933),"")</f>
        <v/>
      </c>
      <c r="AX933" s="105">
        <f>IFERROR(BH933,"")</f>
        <v/>
      </c>
      <c r="AY933" s="105">
        <f>IFERROR(Driver!$K$19/Data!BH933/Data!BI933*Data!BK933*Data!BL933,"")</f>
        <v/>
      </c>
      <c r="AZ933" s="105">
        <f>IFERROR(BI933*BN933,"")</f>
        <v/>
      </c>
      <c r="BA933" s="105" t="n"/>
      <c r="BB933" s="105" t="n"/>
      <c r="BC933" s="105">
        <f>IFERROR(BI933*BN933*BK933/BJ933^(1/2),"")</f>
        <v/>
      </c>
      <c r="BD933" s="105">
        <f>IFERROR(BH933*BM933*BL933/BJ933/BK933,"")</f>
        <v/>
      </c>
      <c r="BE933" s="105">
        <f>IFERROR(MIN(BI933/BQ933/BP933/BO933/BH933,$BE$1),"")</f>
        <v/>
      </c>
      <c r="BF933" s="105">
        <f>IFERROR(BJ933*BO933*BP933/BK933,"")</f>
        <v/>
      </c>
      <c r="BG933" s="105">
        <f>IFERROR(1/BM933/BH933*BQ933,"")</f>
        <v/>
      </c>
      <c r="BH933" s="102">
        <f>MAX((CE933-Driver!$F$200)/(Driver!$G$200-Driver!$F$200)*$BI$1,1)</f>
        <v/>
      </c>
      <c r="BI933" s="102">
        <f>MAX($BI$1*(BY933-Driver!$F$201)/(Driver!$G$201-Driver!$F$201),1)</f>
        <v/>
      </c>
      <c r="BJ933" s="102">
        <f>(CB933-Driver!$F$206)/(Driver!$G$206-Driver!$F$206)*$BI$1</f>
        <v/>
      </c>
      <c r="BK933" s="102">
        <f>(CD933-Driver!$F$203)/(Driver!$G$203-Driver!$F$203)*$BI$1</f>
        <v/>
      </c>
      <c r="BL933" s="102">
        <f>MAX((CR933-Driver!$F$202)/(Driver!$G$202-Driver!$F$202)*$BI$1,1)</f>
        <v/>
      </c>
      <c r="BM933" s="102">
        <f>MAX((CH933-Driver!$F$204)/(Driver!$G$204-Driver!$F$204)*$BI$1,1)</f>
        <v/>
      </c>
      <c r="BN933" s="102">
        <f>(CI933-Driver!$F$205)/(Driver!$G$205-Driver!$F$205)*$BI$1</f>
        <v/>
      </c>
      <c r="BO933" s="102">
        <f>(CK933-Driver!$F$207)/(Driver!$G$207-Driver!$F$207)*$BI$1</f>
        <v/>
      </c>
      <c r="BP933" s="102">
        <f>(CM933-Driver!$F$208)/(Driver!$G$208-Driver!$F$208)*$BI$1</f>
        <v/>
      </c>
      <c r="BQ933" s="102">
        <f>(CL933-Driver!$F$209)/(Driver!$G$209-Driver!$F$209)*$BI$1</f>
        <v/>
      </c>
      <c r="BR933" s="40" t="inlineStr">
        <is>
          <t>21/22</t>
        </is>
      </c>
      <c r="BS933" s="10" t="inlineStr">
        <is>
          <t xml:space="preserve"> Völkl</t>
        </is>
      </c>
      <c r="BT933" s="11" t="inlineStr">
        <is>
          <t>BMT109</t>
        </is>
      </c>
      <c r="BU933" s="13" t="n">
        <v>186</v>
      </c>
      <c r="BV933" s="11" t="inlineStr">
        <is>
          <t xml:space="preserve"> Unisex</t>
        </is>
      </c>
      <c r="BW933" s="13" t="n">
        <v>186</v>
      </c>
      <c r="BX933" s="13" t="n">
        <v>187.2</v>
      </c>
      <c r="BY933" s="13" t="n">
        <v>0</v>
      </c>
      <c r="BZ933" s="13" t="n">
        <v>146</v>
      </c>
      <c r="CA933" s="13" t="n">
        <v>133</v>
      </c>
      <c r="CB933" s="13" t="n">
        <v>108</v>
      </c>
      <c r="CC933" s="13" t="n">
        <v>118</v>
      </c>
      <c r="CD933" s="13" t="n">
        <v>27.1</v>
      </c>
      <c r="CE933" s="13" t="n">
        <v>1741</v>
      </c>
      <c r="CF933" s="13" t="n">
        <v>1.25</v>
      </c>
      <c r="CG933" s="13" t="n">
        <v>2170</v>
      </c>
      <c r="CH933" s="13" t="n">
        <v>207</v>
      </c>
      <c r="CI933" s="13" t="n">
        <v>138</v>
      </c>
      <c r="CJ933" s="13" t="n">
        <v>52</v>
      </c>
      <c r="CK933" s="13" t="n">
        <v>1038</v>
      </c>
      <c r="CL933" s="13" t="n">
        <v>28</v>
      </c>
      <c r="CM933" s="13" t="n">
        <v>834</v>
      </c>
      <c r="CN933" s="13" t="n">
        <v>0.528</v>
      </c>
      <c r="CO933" s="13" t="n">
        <v>205</v>
      </c>
      <c r="CP933" s="13" t="n">
        <v>210</v>
      </c>
      <c r="CQ933" s="13" t="n">
        <v>833</v>
      </c>
      <c r="CR933" s="13" t="n">
        <v>-6</v>
      </c>
      <c r="CS933" s="13" t="n">
        <v>10.2</v>
      </c>
      <c r="CT933" s="11" t="inlineStr">
        <is>
          <t xml:space="preserve"> Powder</t>
        </is>
      </c>
      <c r="CU933" s="11" t="inlineStr">
        <is>
          <t xml:space="preserve"> Touring</t>
        </is>
      </c>
      <c r="CV933" s="13" t="n"/>
      <c r="CW933" s="13" t="n"/>
      <c r="CX933">
        <f>INDEX('Data_Price '!AG$2:AG$1266,MATCH(Data!$DN933,'Data_Price '!$AT$2:$AT$1266,0))</f>
        <v/>
      </c>
      <c r="CY933">
        <f>INDEX('Data_Price '!AH$2:AH$1266,MATCH(Data!$DN933,'Data_Price '!$AT$2:$AT$1266,0))</f>
        <v/>
      </c>
      <c r="CZ933">
        <f>INDEX('Data_Price '!AI$2:AI$1266,MATCH(Data!$DN933,'Data_Price '!$AT$2:$AT$1266,0))</f>
        <v/>
      </c>
      <c r="DA933">
        <f>INDEX('Data_Price '!AJ$2:AJ$1266,MATCH(Data!$DN933,'Data_Price '!$AT$2:$AT$1266,0))</f>
        <v/>
      </c>
      <c r="DB933">
        <f>INDEX('Data_Price '!AK$2:AK$1266,MATCH(Data!$DN933,'Data_Price '!$AT$2:$AT$1266,0))</f>
        <v/>
      </c>
      <c r="DC933">
        <f>INDEX('Data_Price '!AL$2:AL$1266,MATCH(Data!$DN933,'Data_Price '!$AT$2:$AT$1266,0))</f>
        <v/>
      </c>
      <c r="DD933">
        <f>INDEX('Data_Price '!AM$2:AM$1266,MATCH(Data!$DN933,'Data_Price '!$AT$2:$AT$1266,0))</f>
        <v/>
      </c>
      <c r="DE933">
        <f>INDEX('Data_Price '!AN$2:AN$1266,MATCH(Data!$DN933,'Data_Price '!$AT$2:$AT$1266,0))</f>
        <v/>
      </c>
      <c r="DF933">
        <f>INDEX('Data_Price '!AO$2:AO$1266,MATCH(Data!$DN933,'Data_Price '!$AT$2:$AT$1266,0))</f>
        <v/>
      </c>
      <c r="DG933">
        <f>INDEX('Data_Price '!AP$2:AP$1266,MATCH(Data!$DN933,'Data_Price '!$AT$2:$AT$1266,0))</f>
        <v/>
      </c>
      <c r="DH933">
        <f>INDEX('Data_Price '!AQ$2:AQ$1266,MATCH(Data!$DN933,'Data_Price '!$AT$2:$AT$1266,0))</f>
        <v/>
      </c>
      <c r="DI933">
        <f>INDEX('Data_Price '!AR$2:AR$1266,MATCH(Data!$DN933,'Data_Price '!$AT$2:$AT$1266,0))</f>
        <v/>
      </c>
      <c r="DJ933" s="138">
        <f>DA933</f>
        <v/>
      </c>
      <c r="DK933" s="138">
        <f>DE933</f>
        <v/>
      </c>
      <c r="DL933" s="138">
        <f>DI933</f>
        <v/>
      </c>
      <c r="DM933" s="303">
        <f>IF(LEFT(BT933,1)=" ",RIGHT(BT933,LEN(BT933)-1),BT933)</f>
        <v/>
      </c>
      <c r="DN933" s="138">
        <f>_xlfn.CONCAT(BS933,DM933,BU933,BV933)</f>
        <v/>
      </c>
      <c r="DO933" s="307" t="n"/>
    </row>
    <row r="934" ht="15.6" customHeight="1" s="184">
      <c r="B934" s="303">
        <f t="array" ref="B934">IF(OR(ISERROR(K934:P934)),FALSE,TRUE)</f>
        <v/>
      </c>
      <c r="C934" s="60">
        <f>OR(BR934=Driver!$G$50,Data!BR847=Driver!$H$50)</f>
        <v/>
      </c>
      <c r="D934" s="60">
        <f>OR(BV934=Driver!$G$51,BV934=Driver!$H$51)</f>
        <v/>
      </c>
      <c r="E934" s="60">
        <f>AND(BX934&gt;Driver!$F$54,BX934&lt;Driver!$G$54)</f>
        <v/>
      </c>
      <c r="F934" s="60">
        <f>CL934&gt;Driver!$F$56</f>
        <v/>
      </c>
      <c r="G934" s="60">
        <f>AND(CB934&gt;Driver!$F$55,CB934&lt;Driver!$G$55)</f>
        <v/>
      </c>
      <c r="H934" s="60">
        <f>AND(B934:G934)</f>
        <v/>
      </c>
      <c r="I934" s="60">
        <f>COUNTIFS($H$9:$H$1273,TRUE,$BT$9:$BT$1273,BT934)</f>
        <v/>
      </c>
      <c r="J934" s="60">
        <f t="array" ref="J934">NOT(OR(($H$9:$H$1273=TRUE)*($I$9:$I$1273&gt;0)*($BT$9:$BT$1273=BT934)*($K$9:$K$1273&gt;K934)))</f>
        <v/>
      </c>
      <c r="K934" s="108">
        <f>IFERROR(1-AVERAGE(X934:Y934),"")</f>
        <v/>
      </c>
      <c r="L934" s="108">
        <f>1-X934</f>
        <v/>
      </c>
      <c r="M934" s="108">
        <f>1-Y934</f>
        <v/>
      </c>
      <c r="N934" s="108">
        <f>1-Z934</f>
        <v/>
      </c>
      <c r="O934" s="108">
        <f>1-AA934</f>
        <v/>
      </c>
      <c r="P934" s="108">
        <f>1-AB934</f>
        <v/>
      </c>
      <c r="Q934" s="108" t="n"/>
      <c r="R934" s="108" t="n"/>
      <c r="S934" s="108">
        <f>1-AE934</f>
        <v/>
      </c>
      <c r="T934" s="108">
        <f>1-AF934</f>
        <v/>
      </c>
      <c r="U934" s="108">
        <f>1-AG934</f>
        <v/>
      </c>
      <c r="V934" s="108">
        <f>1-AH934</f>
        <v/>
      </c>
      <c r="W934" s="108">
        <f>1-AI934</f>
        <v/>
      </c>
      <c r="X934" s="108">
        <f>ABS(AJ934-AJ$1)</f>
        <v/>
      </c>
      <c r="Y934" s="108">
        <f>AVERAGE(Z934:AB934)</f>
        <v/>
      </c>
      <c r="Z934" s="108">
        <f>ABS(AL934-AL$1)</f>
        <v/>
      </c>
      <c r="AA934" s="108">
        <f>ABS(AM934-AM$1)</f>
        <v/>
      </c>
      <c r="AB934" s="108">
        <f>ABS(AN934-AN$1)</f>
        <v/>
      </c>
      <c r="AC934" s="108" t="n"/>
      <c r="AD934" s="108" t="n"/>
      <c r="AE934" s="108">
        <f>ABS(AQ$1-AQ934)</f>
        <v/>
      </c>
      <c r="AF934" s="108">
        <f>ABS(AR$1-AR934)</f>
        <v/>
      </c>
      <c r="AG934" s="108">
        <f>ABS(AS$1-AS934)</f>
        <v/>
      </c>
      <c r="AH934" s="108">
        <f>ABS(AT$1-AT934)</f>
        <v/>
      </c>
      <c r="AI934" s="108">
        <f>ABS(AU$1-AU934)</f>
        <v/>
      </c>
      <c r="AJ934" s="108">
        <f>(AV934-Driver!$K$179)/(Driver!$L$179-Driver!$K$179)</f>
        <v/>
      </c>
      <c r="AK934" s="108">
        <f>(AW934-Driver!$K$180)/(Driver!$L$180-Driver!$K$180)</f>
        <v/>
      </c>
      <c r="AL934" s="108">
        <f>(AX934-Driver!$K$181)/(Driver!$L$181-Driver!$K$181)</f>
        <v/>
      </c>
      <c r="AM934" s="108">
        <f>(AY934-Driver!$K$182)/(Driver!$L$182-Driver!$K$182)</f>
        <v/>
      </c>
      <c r="AN934" s="108">
        <f>(AZ934-Driver!$K$183)/(Driver!$L$183-Driver!$K$183)</f>
        <v/>
      </c>
      <c r="AO934" s="108" t="n"/>
      <c r="AP934" s="108" t="n"/>
      <c r="AQ934" s="108">
        <f>(BC934-Driver!$K$188)/(Driver!$L$188-Driver!$K$188)</f>
        <v/>
      </c>
      <c r="AR934" s="108">
        <f>MIN((BD934-Driver!$K$189)/(Driver!$L$189-Driver!$K$189),100%)</f>
        <v/>
      </c>
      <c r="AS934" s="108">
        <f>(BE934-Driver!$K$190)/(Driver!$L$190-Driver!$K$190)</f>
        <v/>
      </c>
      <c r="AT934" s="108">
        <f>(BF934-Driver!$K$191)/(Driver!$L$191-Driver!$K$191)</f>
        <v/>
      </c>
      <c r="AU934" s="108">
        <f>(BG934-Driver!$K$192)/(Driver!$L$192-Driver!$K$192)</f>
        <v/>
      </c>
      <c r="AV934" s="105">
        <f>IFERROR(BM934*BJ934^1/4,"")</f>
        <v/>
      </c>
      <c r="AW934" s="105">
        <f>IFERROR(SUM(AX934:AZ934),"")</f>
        <v/>
      </c>
      <c r="AX934" s="105">
        <f>IFERROR(BH934,"")</f>
        <v/>
      </c>
      <c r="AY934" s="105">
        <f>IFERROR(Driver!$K$19/Data!BH934/Data!BI934*Data!BK934*Data!BL934,"")</f>
        <v/>
      </c>
      <c r="AZ934" s="105">
        <f>IFERROR(BI934*BN934,"")</f>
        <v/>
      </c>
      <c r="BA934" s="105" t="n"/>
      <c r="BB934" s="105" t="n"/>
      <c r="BC934" s="105">
        <f>IFERROR(BI934*BN934*BK934/BJ934^(1/2),"")</f>
        <v/>
      </c>
      <c r="BD934" s="105">
        <f>IFERROR(BH934*BM934*BL934/BJ934/BK934,"")</f>
        <v/>
      </c>
      <c r="BE934" s="105">
        <f>IFERROR(MIN(BI934/BQ934/BP934/BO934/BH934,$BE$1),"")</f>
        <v/>
      </c>
      <c r="BF934" s="105">
        <f>IFERROR(BJ934*BO934*BP934/BK934,"")</f>
        <v/>
      </c>
      <c r="BG934" s="105">
        <f>IFERROR(1/BM934/BH934*BQ934,"")</f>
        <v/>
      </c>
      <c r="BH934" s="102">
        <f>MAX((CE934-Driver!$F$200)/(Driver!$G$200-Driver!$F$200)*$BI$1,1)</f>
        <v/>
      </c>
      <c r="BI934" s="102">
        <f>MAX($BI$1*(BY934-Driver!$F$201)/(Driver!$G$201-Driver!$F$201),1)</f>
        <v/>
      </c>
      <c r="BJ934" s="102">
        <f>(CB934-Driver!$F$206)/(Driver!$G$206-Driver!$F$206)*$BI$1</f>
        <v/>
      </c>
      <c r="BK934" s="102">
        <f>(CD934-Driver!$F$203)/(Driver!$G$203-Driver!$F$203)*$BI$1</f>
        <v/>
      </c>
      <c r="BL934" s="102">
        <f>MAX((CR934-Driver!$F$202)/(Driver!$G$202-Driver!$F$202)*$BI$1,1)</f>
        <v/>
      </c>
      <c r="BM934" s="102">
        <f>MAX((CH934-Driver!$F$204)/(Driver!$G$204-Driver!$F$204)*$BI$1,1)</f>
        <v/>
      </c>
      <c r="BN934" s="102">
        <f>(CI934-Driver!$F$205)/(Driver!$G$205-Driver!$F$205)*$BI$1</f>
        <v/>
      </c>
      <c r="BO934" s="102">
        <f>(CK934-Driver!$F$207)/(Driver!$G$207-Driver!$F$207)*$BI$1</f>
        <v/>
      </c>
      <c r="BP934" s="102">
        <f>(CM934-Driver!$F$208)/(Driver!$G$208-Driver!$F$208)*$BI$1</f>
        <v/>
      </c>
      <c r="BQ934" s="102">
        <f>(CL934-Driver!$F$209)/(Driver!$G$209-Driver!$F$209)*$BI$1</f>
        <v/>
      </c>
      <c r="BR934" s="40" t="inlineStr">
        <is>
          <t>21/22</t>
        </is>
      </c>
      <c r="BS934" s="10" t="inlineStr">
        <is>
          <t xml:space="preserve"> Line</t>
        </is>
      </c>
      <c r="BT934" s="11" t="inlineStr">
        <is>
          <t>Pandora 110</t>
        </is>
      </c>
      <c r="BU934" s="13" t="n">
        <v>170</v>
      </c>
      <c r="BV934" s="11" t="inlineStr">
        <is>
          <t xml:space="preserve"> Women's</t>
        </is>
      </c>
      <c r="BW934" s="13" t="n">
        <v>170</v>
      </c>
      <c r="BX934" s="13" t="n">
        <v>169.7</v>
      </c>
      <c r="BY934" s="13" t="n">
        <v>108</v>
      </c>
      <c r="BZ934" s="13" t="n">
        <v>137</v>
      </c>
      <c r="CA934" s="13" t="n">
        <v>143</v>
      </c>
      <c r="CB934" s="13" t="n">
        <v>109</v>
      </c>
      <c r="CC934" s="13" t="n">
        <v>129</v>
      </c>
      <c r="CD934" s="13" t="n">
        <v>16.2</v>
      </c>
      <c r="CE934" s="13" t="n">
        <v>1410</v>
      </c>
      <c r="CF934" s="13" t="n">
        <v>1.43</v>
      </c>
      <c r="CG934" s="13" t="n">
        <v>2019</v>
      </c>
      <c r="CH934" s="13" t="n">
        <v>147</v>
      </c>
      <c r="CI934" s="13" t="n">
        <v>67</v>
      </c>
      <c r="CJ934" s="13" t="n">
        <v>52</v>
      </c>
      <c r="CK934" s="13" t="n">
        <v>342</v>
      </c>
      <c r="CL934" s="13" t="n">
        <v>33</v>
      </c>
      <c r="CM934" s="13" t="n">
        <v>273</v>
      </c>
      <c r="CN934" s="13" t="n">
        <v>0.63</v>
      </c>
      <c r="CO934" s="13" t="n">
        <v>160</v>
      </c>
      <c r="CP934" s="13" t="n">
        <v>167</v>
      </c>
      <c r="CQ934" s="13" t="n">
        <v>181</v>
      </c>
      <c r="CR934" s="13" t="n">
        <v>6</v>
      </c>
      <c r="CS934" s="13" t="n">
        <v>6.4</v>
      </c>
      <c r="CT934" s="11" t="inlineStr">
        <is>
          <t xml:space="preserve"> Powder</t>
        </is>
      </c>
      <c r="CU934" s="11" t="inlineStr">
        <is>
          <t xml:space="preserve"> Touring</t>
        </is>
      </c>
      <c r="CV934" s="11" t="inlineStr">
        <is>
          <t xml:space="preserve"> Ultralight Touring</t>
        </is>
      </c>
      <c r="CW934" s="13" t="n"/>
      <c r="CX934">
        <f>INDEX('Data_Price '!AG$2:AG$1266,MATCH(Data!$DN934,'Data_Price '!$AT$2:$AT$1266,0))</f>
        <v/>
      </c>
      <c r="CY934">
        <f>INDEX('Data_Price '!AH$2:AH$1266,MATCH(Data!$DN934,'Data_Price '!$AT$2:$AT$1266,0))</f>
        <v/>
      </c>
      <c r="CZ934">
        <f>INDEX('Data_Price '!AI$2:AI$1266,MATCH(Data!$DN934,'Data_Price '!$AT$2:$AT$1266,0))</f>
        <v/>
      </c>
      <c r="DA934">
        <f>INDEX('Data_Price '!AJ$2:AJ$1266,MATCH(Data!$DN934,'Data_Price '!$AT$2:$AT$1266,0))</f>
        <v/>
      </c>
      <c r="DB934">
        <f>INDEX('Data_Price '!AK$2:AK$1266,MATCH(Data!$DN934,'Data_Price '!$AT$2:$AT$1266,0))</f>
        <v/>
      </c>
      <c r="DC934">
        <f>INDEX('Data_Price '!AL$2:AL$1266,MATCH(Data!$DN934,'Data_Price '!$AT$2:$AT$1266,0))</f>
        <v/>
      </c>
      <c r="DD934">
        <f>INDEX('Data_Price '!AM$2:AM$1266,MATCH(Data!$DN934,'Data_Price '!$AT$2:$AT$1266,0))</f>
        <v/>
      </c>
      <c r="DE934">
        <f>INDEX('Data_Price '!AN$2:AN$1266,MATCH(Data!$DN934,'Data_Price '!$AT$2:$AT$1266,0))</f>
        <v/>
      </c>
      <c r="DF934">
        <f>INDEX('Data_Price '!AO$2:AO$1266,MATCH(Data!$DN934,'Data_Price '!$AT$2:$AT$1266,0))</f>
        <v/>
      </c>
      <c r="DG934">
        <f>INDEX('Data_Price '!AP$2:AP$1266,MATCH(Data!$DN934,'Data_Price '!$AT$2:$AT$1266,0))</f>
        <v/>
      </c>
      <c r="DH934">
        <f>INDEX('Data_Price '!AQ$2:AQ$1266,MATCH(Data!$DN934,'Data_Price '!$AT$2:$AT$1266,0))</f>
        <v/>
      </c>
      <c r="DI934">
        <f>INDEX('Data_Price '!AR$2:AR$1266,MATCH(Data!$DN934,'Data_Price '!$AT$2:$AT$1266,0))</f>
        <v/>
      </c>
      <c r="DJ934" s="138">
        <f>DA934</f>
        <v/>
      </c>
      <c r="DK934" s="138">
        <f>DE934</f>
        <v/>
      </c>
      <c r="DL934" s="138">
        <f>DI934</f>
        <v/>
      </c>
      <c r="DM934" s="303">
        <f>IF(LEFT(BT934,1)=" ",RIGHT(BT934,LEN(BT934)-1),BT934)</f>
        <v/>
      </c>
      <c r="DN934" s="138">
        <f>_xlfn.CONCAT(BS934,DM934,BU934,BV934)</f>
        <v/>
      </c>
      <c r="DO934" s="307" t="inlineStr">
        <is>
          <t>https://images.evo.com/imgp/250/198429/817633/line-skis-pandora-110-skis-women-s-2022-.jpg</t>
        </is>
      </c>
    </row>
    <row r="935" ht="15.6" customHeight="1" s="184">
      <c r="B935" s="303">
        <f t="array" ref="B935">IF(OR(ISERROR(K935:P935)),FALSE,TRUE)</f>
        <v/>
      </c>
      <c r="C935" s="60">
        <f>OR(BR935=Driver!$G$50,Data!BR1003=Driver!$H$50)</f>
        <v/>
      </c>
      <c r="D935" s="60">
        <f>OR(BV935=Driver!$G$51,BV935=Driver!$H$51)</f>
        <v/>
      </c>
      <c r="E935" s="60">
        <f>AND(BX935&gt;Driver!$F$54,BX935&lt;Driver!$G$54)</f>
        <v/>
      </c>
      <c r="F935" s="60">
        <f>CL935&gt;Driver!$F$56</f>
        <v/>
      </c>
      <c r="G935" s="60">
        <f>AND(CB935&gt;Driver!$F$55,CB935&lt;Driver!$G$55)</f>
        <v/>
      </c>
      <c r="H935" s="60">
        <f>AND(B935:G935)</f>
        <v/>
      </c>
      <c r="I935" s="60">
        <f>COUNTIFS($H$9:$H$1273,TRUE,$BT$9:$BT$1273,BT935)</f>
        <v/>
      </c>
      <c r="J935" s="60">
        <f t="array" ref="J935">NOT(OR(($H$9:$H$1273=TRUE)*($I$9:$I$1273&gt;0)*($BT$9:$BT$1273=BT935)*($K$9:$K$1273&gt;K935)))</f>
        <v/>
      </c>
      <c r="K935" s="108">
        <f>IFERROR(1-AVERAGE(X935:Y935),"")</f>
        <v/>
      </c>
      <c r="L935" s="108">
        <f>1-X935</f>
        <v/>
      </c>
      <c r="M935" s="108">
        <f>1-Y935</f>
        <v/>
      </c>
      <c r="N935" s="108">
        <f>1-Z935</f>
        <v/>
      </c>
      <c r="O935" s="108">
        <f>1-AA935</f>
        <v/>
      </c>
      <c r="P935" s="108">
        <f>1-AB935</f>
        <v/>
      </c>
      <c r="Q935" s="108" t="n"/>
      <c r="R935" s="108" t="n"/>
      <c r="S935" s="108">
        <f>1-AE935</f>
        <v/>
      </c>
      <c r="T935" s="108">
        <f>1-AF935</f>
        <v/>
      </c>
      <c r="U935" s="108">
        <f>1-AG935</f>
        <v/>
      </c>
      <c r="V935" s="108">
        <f>1-AH935</f>
        <v/>
      </c>
      <c r="W935" s="108">
        <f>1-AI935</f>
        <v/>
      </c>
      <c r="X935" s="108">
        <f>ABS(AJ935-AJ$1)</f>
        <v/>
      </c>
      <c r="Y935" s="108">
        <f>AVERAGE(Z935:AB935)</f>
        <v/>
      </c>
      <c r="Z935" s="108">
        <f>ABS(AL935-AL$1)</f>
        <v/>
      </c>
      <c r="AA935" s="108">
        <f>ABS(AM935-AM$1)</f>
        <v/>
      </c>
      <c r="AB935" s="108">
        <f>ABS(AN935-AN$1)</f>
        <v/>
      </c>
      <c r="AC935" s="108" t="n"/>
      <c r="AD935" s="108" t="n"/>
      <c r="AE935" s="108">
        <f>ABS(AQ$1-AQ935)</f>
        <v/>
      </c>
      <c r="AF935" s="108">
        <f>ABS(AR$1-AR935)</f>
        <v/>
      </c>
      <c r="AG935" s="108">
        <f>ABS(AS$1-AS935)</f>
        <v/>
      </c>
      <c r="AH935" s="108">
        <f>ABS(AT$1-AT935)</f>
        <v/>
      </c>
      <c r="AI935" s="108">
        <f>ABS(AU$1-AU935)</f>
        <v/>
      </c>
      <c r="AJ935" s="108">
        <f>(AV935-Driver!$K$179)/(Driver!$L$179-Driver!$K$179)</f>
        <v/>
      </c>
      <c r="AK935" s="108">
        <f>(AW935-Driver!$K$180)/(Driver!$L$180-Driver!$K$180)</f>
        <v/>
      </c>
      <c r="AL935" s="108">
        <f>(AX935-Driver!$K$181)/(Driver!$L$181-Driver!$K$181)</f>
        <v/>
      </c>
      <c r="AM935" s="108">
        <f>(AY935-Driver!$K$182)/(Driver!$L$182-Driver!$K$182)</f>
        <v/>
      </c>
      <c r="AN935" s="108">
        <f>(AZ935-Driver!$K$183)/(Driver!$L$183-Driver!$K$183)</f>
        <v/>
      </c>
      <c r="AO935" s="108" t="n"/>
      <c r="AP935" s="108" t="n"/>
      <c r="AQ935" s="108">
        <f>(BC935-Driver!$K$188)/(Driver!$L$188-Driver!$K$188)</f>
        <v/>
      </c>
      <c r="AR935" s="108">
        <f>MIN((BD935-Driver!$K$189)/(Driver!$L$189-Driver!$K$189),100%)</f>
        <v/>
      </c>
      <c r="AS935" s="108">
        <f>(BE935-Driver!$K$190)/(Driver!$L$190-Driver!$K$190)</f>
        <v/>
      </c>
      <c r="AT935" s="108">
        <f>(BF935-Driver!$K$191)/(Driver!$L$191-Driver!$K$191)</f>
        <v/>
      </c>
      <c r="AU935" s="108">
        <f>(BG935-Driver!$K$192)/(Driver!$L$192-Driver!$K$192)</f>
        <v/>
      </c>
      <c r="AV935" s="105">
        <f>IFERROR(BM935*BJ935^1/4,"")</f>
        <v/>
      </c>
      <c r="AW935" s="105">
        <f>IFERROR(SUM(AX935:AZ935),"")</f>
        <v/>
      </c>
      <c r="AX935" s="105">
        <f>IFERROR(BH935,"")</f>
        <v/>
      </c>
      <c r="AY935" s="105">
        <f>IFERROR(Driver!$K$19/Data!BH935/Data!BI935*Data!BK935*Data!BL935,"")</f>
        <v/>
      </c>
      <c r="AZ935" s="105">
        <f>IFERROR(BI935*BN935,"")</f>
        <v/>
      </c>
      <c r="BA935" s="105" t="n"/>
      <c r="BB935" s="105" t="n"/>
      <c r="BC935" s="105">
        <f>IFERROR(BI935*BN935*BK935/BJ935^(1/2),"")</f>
        <v/>
      </c>
      <c r="BD935" s="105">
        <f>IFERROR(BH935*BM935*BL935/BJ935/BK935,"")</f>
        <v/>
      </c>
      <c r="BE935" s="105">
        <f>IFERROR(MIN(BI935/BQ935/BP935/BO935/BH935,$BE$1),"")</f>
        <v/>
      </c>
      <c r="BF935" s="105">
        <f>IFERROR(BJ935*BO935*BP935/BK935,"")</f>
        <v/>
      </c>
      <c r="BG935" s="105">
        <f>IFERROR(1/BM935/BH935*BQ935,"")</f>
        <v/>
      </c>
      <c r="BH935" s="102">
        <f>MAX((CE935-Driver!$F$200)/(Driver!$G$200-Driver!$F$200)*$BI$1,1)</f>
        <v/>
      </c>
      <c r="BI935" s="102">
        <f>MAX($BI$1*(BY935-Driver!$F$201)/(Driver!$G$201-Driver!$F$201),1)</f>
        <v/>
      </c>
      <c r="BJ935" s="102">
        <f>(CB935-Driver!$F$206)/(Driver!$G$206-Driver!$F$206)*$BI$1</f>
        <v/>
      </c>
      <c r="BK935" s="102">
        <f>(CD935-Driver!$F$203)/(Driver!$G$203-Driver!$F$203)*$BI$1</f>
        <v/>
      </c>
      <c r="BL935" s="102">
        <f>MAX((CR935-Driver!$F$202)/(Driver!$G$202-Driver!$F$202)*$BI$1,1)</f>
        <v/>
      </c>
      <c r="BM935" s="102">
        <f>MAX((CH935-Driver!$F$204)/(Driver!$G$204-Driver!$F$204)*$BI$1,1)</f>
        <v/>
      </c>
      <c r="BN935" s="102">
        <f>(CI935-Driver!$F$205)/(Driver!$G$205-Driver!$F$205)*$BI$1</f>
        <v/>
      </c>
      <c r="BO935" s="102">
        <f>(CK935-Driver!$F$207)/(Driver!$G$207-Driver!$F$207)*$BI$1</f>
        <v/>
      </c>
      <c r="BP935" s="102">
        <f>(CM935-Driver!$F$208)/(Driver!$G$208-Driver!$F$208)*$BI$1</f>
        <v/>
      </c>
      <c r="BQ935" s="102">
        <f>(CL935-Driver!$F$209)/(Driver!$G$209-Driver!$F$209)*$BI$1</f>
        <v/>
      </c>
      <c r="BR935" s="40" t="inlineStr">
        <is>
          <t>21/22</t>
        </is>
      </c>
      <c r="BS935" s="10" t="inlineStr">
        <is>
          <t xml:space="preserve"> Rossignol</t>
        </is>
      </c>
      <c r="BT935" s="11" t="inlineStr">
        <is>
          <t>Experience 76 W</t>
        </is>
      </c>
      <c r="BU935" s="13" t="n">
        <v>160</v>
      </c>
      <c r="BV935" s="11" t="inlineStr">
        <is>
          <t xml:space="preserve"> Women's</t>
        </is>
      </c>
      <c r="BW935" s="13" t="n">
        <v>160</v>
      </c>
      <c r="BX935" s="13" t="n">
        <v>160.3</v>
      </c>
      <c r="BY935" s="13" t="n">
        <v>139</v>
      </c>
      <c r="BZ935" s="13" t="n">
        <v>145</v>
      </c>
      <c r="CA935" s="13" t="n">
        <v>124</v>
      </c>
      <c r="CB935" s="13" t="n">
        <v>77</v>
      </c>
      <c r="CC935" s="13" t="n">
        <v>110</v>
      </c>
      <c r="CD935" s="13" t="n">
        <v>12.7</v>
      </c>
      <c r="CE935" s="13" t="n">
        <v>1624</v>
      </c>
      <c r="CF935" s="13" t="n">
        <v>0.91</v>
      </c>
      <c r="CG935" s="13" t="n">
        <v>1471</v>
      </c>
      <c r="CH935" s="13" t="n">
        <v>151</v>
      </c>
      <c r="CI935" s="13" t="n">
        <v>56</v>
      </c>
      <c r="CJ935" s="13" t="n">
        <v>35</v>
      </c>
      <c r="CK935" s="13" t="n">
        <v>144</v>
      </c>
      <c r="CL935" s="13" t="n">
        <v>5</v>
      </c>
      <c r="CM935" s="13" t="n">
        <v>68</v>
      </c>
      <c r="CN935" s="13" t="n">
        <v>0.155</v>
      </c>
      <c r="CO935" s="13" t="n">
        <v>77</v>
      </c>
      <c r="CP935" s="13" t="n">
        <v>80</v>
      </c>
      <c r="CQ935" s="13" t="n">
        <v>66</v>
      </c>
      <c r="CR935" s="13" t="n">
        <v>12</v>
      </c>
      <c r="CS935" s="13" t="n">
        <v>8.199999999999999</v>
      </c>
      <c r="CT935" s="11" t="inlineStr">
        <is>
          <t xml:space="preserve"> On-Piste Carving</t>
        </is>
      </c>
      <c r="CU935" s="13" t="n"/>
      <c r="CV935" s="13" t="n"/>
      <c r="CW935" s="13" t="n"/>
      <c r="CX935">
        <f>INDEX('Data_Price '!AG$2:AG$1266,MATCH(Data!$DN935,'Data_Price '!$AT$2:$AT$1266,0))</f>
        <v/>
      </c>
      <c r="CY935">
        <f>INDEX('Data_Price '!AH$2:AH$1266,MATCH(Data!$DN935,'Data_Price '!$AT$2:$AT$1266,0))</f>
        <v/>
      </c>
      <c r="CZ935">
        <f>INDEX('Data_Price '!AI$2:AI$1266,MATCH(Data!$DN935,'Data_Price '!$AT$2:$AT$1266,0))</f>
        <v/>
      </c>
      <c r="DA935">
        <f>INDEX('Data_Price '!AJ$2:AJ$1266,MATCH(Data!$DN935,'Data_Price '!$AT$2:$AT$1266,0))</f>
        <v/>
      </c>
      <c r="DB935">
        <f>INDEX('Data_Price '!AK$2:AK$1266,MATCH(Data!$DN935,'Data_Price '!$AT$2:$AT$1266,0))</f>
        <v/>
      </c>
      <c r="DC935">
        <f>INDEX('Data_Price '!AL$2:AL$1266,MATCH(Data!$DN935,'Data_Price '!$AT$2:$AT$1266,0))</f>
        <v/>
      </c>
      <c r="DD935">
        <f>INDEX('Data_Price '!AM$2:AM$1266,MATCH(Data!$DN935,'Data_Price '!$AT$2:$AT$1266,0))</f>
        <v/>
      </c>
      <c r="DE935">
        <f>INDEX('Data_Price '!AN$2:AN$1266,MATCH(Data!$DN935,'Data_Price '!$AT$2:$AT$1266,0))</f>
        <v/>
      </c>
      <c r="DF935">
        <f>INDEX('Data_Price '!AO$2:AO$1266,MATCH(Data!$DN935,'Data_Price '!$AT$2:$AT$1266,0))</f>
        <v/>
      </c>
      <c r="DG935">
        <f>INDEX('Data_Price '!AP$2:AP$1266,MATCH(Data!$DN935,'Data_Price '!$AT$2:$AT$1266,0))</f>
        <v/>
      </c>
      <c r="DH935">
        <f>INDEX('Data_Price '!AQ$2:AQ$1266,MATCH(Data!$DN935,'Data_Price '!$AT$2:$AT$1266,0))</f>
        <v/>
      </c>
      <c r="DI935">
        <f>INDEX('Data_Price '!AR$2:AR$1266,MATCH(Data!$DN935,'Data_Price '!$AT$2:$AT$1266,0))</f>
        <v/>
      </c>
      <c r="DJ935" s="138">
        <f>DA935</f>
        <v/>
      </c>
      <c r="DK935" s="138">
        <f>DE935</f>
        <v/>
      </c>
      <c r="DL935" s="138">
        <f>DI935</f>
        <v/>
      </c>
      <c r="DM935" s="303">
        <f>IF(LEFT(BT935,1)=" ",RIGHT(BT935,LEN(BT935)-1),BT935)</f>
        <v/>
      </c>
      <c r="DN935" s="138">
        <f>_xlfn.CONCAT(BS935,DM935,BU935,BV935)</f>
        <v/>
      </c>
      <c r="DO935" s="307" t="n"/>
    </row>
    <row r="936" ht="15.6" customHeight="1" s="184">
      <c r="B936" s="303">
        <f t="array" ref="B936">IF(OR(ISERROR(K936:P936)),FALSE,TRUE)</f>
        <v/>
      </c>
      <c r="C936" s="60">
        <f>OR(BR936=Driver!$G$50,Data!BR148=Driver!$H$50)</f>
        <v/>
      </c>
      <c r="D936" s="60">
        <f>OR(BV936=Driver!$G$51,BV936=Driver!$H$51)</f>
        <v/>
      </c>
      <c r="E936" s="60">
        <f>AND(BX936&gt;Driver!$F$54,BX936&lt;Driver!$G$54)</f>
        <v/>
      </c>
      <c r="F936" s="60">
        <f>CL936&gt;Driver!$F$56</f>
        <v/>
      </c>
      <c r="G936" s="60">
        <f>AND(CB936&gt;Driver!$F$55,CB936&lt;Driver!$G$55)</f>
        <v/>
      </c>
      <c r="H936" s="60">
        <f>AND(B936:G936)</f>
        <v/>
      </c>
      <c r="I936" s="60">
        <f>COUNTIFS($H$9:$H$1273,TRUE,$BT$9:$BT$1273,BT936)</f>
        <v/>
      </c>
      <c r="J936" s="60">
        <f t="array" ref="J936">NOT(OR(($H$9:$H$1273=TRUE)*($I$9:$I$1273&gt;0)*($BT$9:$BT$1273=BT936)*($K$9:$K$1273&gt;K936)))</f>
        <v/>
      </c>
      <c r="K936" s="108">
        <f>IFERROR(1-AVERAGE(X936:Y936),"")</f>
        <v/>
      </c>
      <c r="L936" s="108">
        <f>1-X936</f>
        <v/>
      </c>
      <c r="M936" s="108">
        <f>1-Y936</f>
        <v/>
      </c>
      <c r="N936" s="108">
        <f>1-Z936</f>
        <v/>
      </c>
      <c r="O936" s="108">
        <f>1-AA936</f>
        <v/>
      </c>
      <c r="P936" s="108">
        <f>1-AB936</f>
        <v/>
      </c>
      <c r="Q936" s="108" t="n"/>
      <c r="R936" s="108" t="n"/>
      <c r="S936" s="108">
        <f>1-AE936</f>
        <v/>
      </c>
      <c r="T936" s="108">
        <f>1-AF936</f>
        <v/>
      </c>
      <c r="U936" s="108">
        <f>1-AG936</f>
        <v/>
      </c>
      <c r="V936" s="108">
        <f>1-AH936</f>
        <v/>
      </c>
      <c r="W936" s="108">
        <f>1-AI936</f>
        <v/>
      </c>
      <c r="X936" s="108">
        <f>ABS(AJ936-AJ$1)</f>
        <v/>
      </c>
      <c r="Y936" s="108">
        <f>AVERAGE(Z936:AB936)</f>
        <v/>
      </c>
      <c r="Z936" s="108">
        <f>ABS(AL936-AL$1)</f>
        <v/>
      </c>
      <c r="AA936" s="108">
        <f>ABS(AM936-AM$1)</f>
        <v/>
      </c>
      <c r="AB936" s="108">
        <f>ABS(AN936-AN$1)</f>
        <v/>
      </c>
      <c r="AC936" s="108" t="n"/>
      <c r="AD936" s="108" t="n"/>
      <c r="AE936" s="108">
        <f>ABS(AQ$1-AQ936)</f>
        <v/>
      </c>
      <c r="AF936" s="108">
        <f>ABS(AR$1-AR936)</f>
        <v/>
      </c>
      <c r="AG936" s="108">
        <f>ABS(AS$1-AS936)</f>
        <v/>
      </c>
      <c r="AH936" s="108">
        <f>ABS(AT$1-AT936)</f>
        <v/>
      </c>
      <c r="AI936" s="108">
        <f>ABS(AU$1-AU936)</f>
        <v/>
      </c>
      <c r="AJ936" s="108">
        <f>(AV936-Driver!$K$179)/(Driver!$L$179-Driver!$K$179)</f>
        <v/>
      </c>
      <c r="AK936" s="108">
        <f>(AW936-Driver!$K$180)/(Driver!$L$180-Driver!$K$180)</f>
        <v/>
      </c>
      <c r="AL936" s="108">
        <f>(AX936-Driver!$K$181)/(Driver!$L$181-Driver!$K$181)</f>
        <v/>
      </c>
      <c r="AM936" s="108">
        <f>(AY936-Driver!$K$182)/(Driver!$L$182-Driver!$K$182)</f>
        <v/>
      </c>
      <c r="AN936" s="108">
        <f>(AZ936-Driver!$K$183)/(Driver!$L$183-Driver!$K$183)</f>
        <v/>
      </c>
      <c r="AO936" s="108" t="n"/>
      <c r="AP936" s="108" t="n"/>
      <c r="AQ936" s="108">
        <f>(BC936-Driver!$K$188)/(Driver!$L$188-Driver!$K$188)</f>
        <v/>
      </c>
      <c r="AR936" s="108">
        <f>MIN((BD936-Driver!$K$189)/(Driver!$L$189-Driver!$K$189),100%)</f>
        <v/>
      </c>
      <c r="AS936" s="108">
        <f>(BE936-Driver!$K$190)/(Driver!$L$190-Driver!$K$190)</f>
        <v/>
      </c>
      <c r="AT936" s="108">
        <f>(BF936-Driver!$K$191)/(Driver!$L$191-Driver!$K$191)</f>
        <v/>
      </c>
      <c r="AU936" s="108">
        <f>(BG936-Driver!$K$192)/(Driver!$L$192-Driver!$K$192)</f>
        <v/>
      </c>
      <c r="AV936" s="105">
        <f>IFERROR(BM936*BJ936^1/4,"")</f>
        <v/>
      </c>
      <c r="AW936" s="105">
        <f>IFERROR(SUM(AX936:AZ936),"")</f>
        <v/>
      </c>
      <c r="AX936" s="105">
        <f>IFERROR(BH936,"")</f>
        <v/>
      </c>
      <c r="AY936" s="105">
        <f>IFERROR(Driver!$K$19/Data!BH936/Data!BI936*Data!BK936*Data!BL936,"")</f>
        <v/>
      </c>
      <c r="AZ936" s="105">
        <f>IFERROR(BI936*BN936,"")</f>
        <v/>
      </c>
      <c r="BA936" s="105" t="n"/>
      <c r="BB936" s="105" t="n"/>
      <c r="BC936" s="105">
        <f>IFERROR(BI936*BN936*BK936/BJ936^(1/2),"")</f>
        <v/>
      </c>
      <c r="BD936" s="105">
        <f>IFERROR(BH936*BM936*BL936/BJ936/BK936,"")</f>
        <v/>
      </c>
      <c r="BE936" s="105">
        <f>IFERROR(MIN(BI936/BQ936/BP936/BO936/BH936,$BE$1),"")</f>
        <v/>
      </c>
      <c r="BF936" s="105">
        <f>IFERROR(BJ936*BO936*BP936/BK936,"")</f>
        <v/>
      </c>
      <c r="BG936" s="105">
        <f>IFERROR(1/BM936/BH936*BQ936,"")</f>
        <v/>
      </c>
      <c r="BH936" s="102">
        <f>MAX((CE936-Driver!$F$200)/(Driver!$G$200-Driver!$F$200)*$BI$1,1)</f>
        <v/>
      </c>
      <c r="BI936" s="102">
        <f>MAX($BI$1*(BY936-Driver!$F$201)/(Driver!$G$201-Driver!$F$201),1)</f>
        <v/>
      </c>
      <c r="BJ936" s="102">
        <f>(CB936-Driver!$F$206)/(Driver!$G$206-Driver!$F$206)*$BI$1</f>
        <v/>
      </c>
      <c r="BK936" s="102">
        <f>(CD936-Driver!$F$203)/(Driver!$G$203-Driver!$F$203)*$BI$1</f>
        <v/>
      </c>
      <c r="BL936" s="102">
        <f>MAX((CR936-Driver!$F$202)/(Driver!$G$202-Driver!$F$202)*$BI$1,1)</f>
        <v/>
      </c>
      <c r="BM936" s="102">
        <f>MAX((CH936-Driver!$F$204)/(Driver!$G$204-Driver!$F$204)*$BI$1,1)</f>
        <v/>
      </c>
      <c r="BN936" s="102">
        <f>(CI936-Driver!$F$205)/(Driver!$G$205-Driver!$F$205)*$BI$1</f>
        <v/>
      </c>
      <c r="BO936" s="102">
        <f>(CK936-Driver!$F$207)/(Driver!$G$207-Driver!$F$207)*$BI$1</f>
        <v/>
      </c>
      <c r="BP936" s="102">
        <f>(CM936-Driver!$F$208)/(Driver!$G$208-Driver!$F$208)*$BI$1</f>
        <v/>
      </c>
      <c r="BQ936" s="102">
        <f>(CL936-Driver!$F$209)/(Driver!$G$209-Driver!$F$209)*$BI$1</f>
        <v/>
      </c>
      <c r="BR936" s="40" t="inlineStr">
        <is>
          <t>21/22</t>
        </is>
      </c>
      <c r="BS936" s="10" t="inlineStr">
        <is>
          <t xml:space="preserve"> Atomic</t>
        </is>
      </c>
      <c r="BT936" s="11" t="inlineStr">
        <is>
          <t>Maven 86</t>
        </is>
      </c>
      <c r="BU936" s="13" t="n">
        <v>147</v>
      </c>
      <c r="BV936" s="11" t="inlineStr">
        <is>
          <t xml:space="preserve"> Women's</t>
        </is>
      </c>
      <c r="BW936" s="13" t="n">
        <v>147</v>
      </c>
      <c r="BX936" s="13" t="n">
        <v>146</v>
      </c>
      <c r="BY936" s="13" t="n">
        <v>95</v>
      </c>
      <c r="BZ936" s="13" t="n">
        <v>121</v>
      </c>
      <c r="CA936" s="13" t="n">
        <v>118</v>
      </c>
      <c r="CB936" s="13" t="n">
        <v>85</v>
      </c>
      <c r="CC936" s="13" t="n">
        <v>101</v>
      </c>
      <c r="CD936" s="13" t="n">
        <v>13.6</v>
      </c>
      <c r="CE936" s="13" t="n">
        <v>1280</v>
      </c>
      <c r="CF936" s="13" t="n">
        <v>1.09</v>
      </c>
      <c r="CG936" s="13" t="n">
        <v>1391</v>
      </c>
      <c r="CH936" s="13" t="n">
        <v>173</v>
      </c>
      <c r="CI936" s="13" t="n">
        <v>73</v>
      </c>
      <c r="CJ936" s="13" t="n">
        <v>52</v>
      </c>
      <c r="CK936" s="13" t="n">
        <v>303</v>
      </c>
      <c r="CL936" s="13" t="n">
        <v>14</v>
      </c>
      <c r="CM936" s="13" t="n">
        <v>206</v>
      </c>
      <c r="CN936" s="13" t="n">
        <v>0.273</v>
      </c>
      <c r="CO936" s="13" t="n">
        <v>158</v>
      </c>
      <c r="CP936" s="13" t="n">
        <v>94</v>
      </c>
      <c r="CQ936" s="13" t="n">
        <v>144</v>
      </c>
      <c r="CR936" s="13" t="n">
        <v>2</v>
      </c>
      <c r="CS936" s="13" t="n">
        <v>8.300000000000001</v>
      </c>
      <c r="CT936" s="11" t="inlineStr">
        <is>
          <t xml:space="preserve"> On-Piste All-Mountain</t>
        </is>
      </c>
      <c r="CU936" s="11" t="inlineStr">
        <is>
          <t xml:space="preserve"> Resort Freeride</t>
        </is>
      </c>
      <c r="CV936" s="11" t="inlineStr">
        <is>
          <t xml:space="preserve"> Touring</t>
        </is>
      </c>
      <c r="CW936" s="13" t="n"/>
      <c r="CX936">
        <f>INDEX('Data_Price '!AG$2:AG$1266,MATCH(Data!$DN936,'Data_Price '!$AT$2:$AT$1266,0))</f>
        <v/>
      </c>
      <c r="CY936">
        <f>INDEX('Data_Price '!AH$2:AH$1266,MATCH(Data!$DN936,'Data_Price '!$AT$2:$AT$1266,0))</f>
        <v/>
      </c>
      <c r="CZ936">
        <f>INDEX('Data_Price '!AI$2:AI$1266,MATCH(Data!$DN936,'Data_Price '!$AT$2:$AT$1266,0))</f>
        <v/>
      </c>
      <c r="DA936">
        <f>INDEX('Data_Price '!AJ$2:AJ$1266,MATCH(Data!$DN936,'Data_Price '!$AT$2:$AT$1266,0))</f>
        <v/>
      </c>
      <c r="DB936">
        <f>INDEX('Data_Price '!AK$2:AK$1266,MATCH(Data!$DN936,'Data_Price '!$AT$2:$AT$1266,0))</f>
        <v/>
      </c>
      <c r="DC936">
        <f>INDEX('Data_Price '!AL$2:AL$1266,MATCH(Data!$DN936,'Data_Price '!$AT$2:$AT$1266,0))</f>
        <v/>
      </c>
      <c r="DD936">
        <f>INDEX('Data_Price '!AM$2:AM$1266,MATCH(Data!$DN936,'Data_Price '!$AT$2:$AT$1266,0))</f>
        <v/>
      </c>
      <c r="DE936">
        <f>INDEX('Data_Price '!AN$2:AN$1266,MATCH(Data!$DN936,'Data_Price '!$AT$2:$AT$1266,0))</f>
        <v/>
      </c>
      <c r="DF936">
        <f>INDEX('Data_Price '!AO$2:AO$1266,MATCH(Data!$DN936,'Data_Price '!$AT$2:$AT$1266,0))</f>
        <v/>
      </c>
      <c r="DG936">
        <f>INDEX('Data_Price '!AP$2:AP$1266,MATCH(Data!$DN936,'Data_Price '!$AT$2:$AT$1266,0))</f>
        <v/>
      </c>
      <c r="DH936">
        <f>INDEX('Data_Price '!AQ$2:AQ$1266,MATCH(Data!$DN936,'Data_Price '!$AT$2:$AT$1266,0))</f>
        <v/>
      </c>
      <c r="DI936">
        <f>INDEX('Data_Price '!AR$2:AR$1266,MATCH(Data!$DN936,'Data_Price '!$AT$2:$AT$1266,0))</f>
        <v/>
      </c>
      <c r="DJ936" s="138">
        <f>DA936</f>
        <v/>
      </c>
      <c r="DK936" s="138">
        <f>DE936</f>
        <v/>
      </c>
      <c r="DL936" s="138">
        <f>DI936</f>
        <v/>
      </c>
      <c r="DM936" s="303">
        <f>IF(LEFT(BT936,1)=" ",RIGHT(BT936,LEN(BT936)-1),BT936)</f>
        <v/>
      </c>
      <c r="DN936" s="138">
        <f>_xlfn.CONCAT(BS936,DM936,BU936,BV936)</f>
        <v/>
      </c>
      <c r="DO936" s="307" t="inlineStr">
        <is>
          <t>https://images.evo.com/imgp/250/197734/826797/clone.jpg</t>
        </is>
      </c>
    </row>
    <row r="937" ht="15.6" customHeight="1" s="184">
      <c r="B937" s="303">
        <f t="array" ref="B937">IF(OR(ISERROR(K937:P937)),FALSE,TRUE)</f>
        <v/>
      </c>
      <c r="C937" s="60">
        <f>OR(BR937=Driver!$G$50,Data!BR652=Driver!$H$50)</f>
        <v/>
      </c>
      <c r="D937" s="60">
        <f>OR(BV937=Driver!$G$51,BV937=Driver!$H$51)</f>
        <v/>
      </c>
      <c r="E937" s="60">
        <f>AND(BX937&gt;Driver!$F$54,BX937&lt;Driver!$G$54)</f>
        <v/>
      </c>
      <c r="F937" s="60">
        <f>CL937&gt;Driver!$F$56</f>
        <v/>
      </c>
      <c r="G937" s="60">
        <f>AND(CB937&gt;Driver!$F$55,CB937&lt;Driver!$G$55)</f>
        <v/>
      </c>
      <c r="H937" s="60">
        <f>AND(B937:G937)</f>
        <v/>
      </c>
      <c r="I937" s="60">
        <f>COUNTIFS($H$9:$H$1273,TRUE,$BT$9:$BT$1273,BT937)</f>
        <v/>
      </c>
      <c r="J937" s="60">
        <f t="array" ref="J937">NOT(OR(($H$9:$H$1273=TRUE)*($I$9:$I$1273&gt;0)*($BT$9:$BT$1273=BT937)*($K$9:$K$1273&gt;K937)))</f>
        <v/>
      </c>
      <c r="K937" s="108">
        <f>IFERROR(1-AVERAGE(X937:Y937),"")</f>
        <v/>
      </c>
      <c r="L937" s="108">
        <f>1-X937</f>
        <v/>
      </c>
      <c r="M937" s="108">
        <f>1-Y937</f>
        <v/>
      </c>
      <c r="N937" s="108">
        <f>1-Z937</f>
        <v/>
      </c>
      <c r="O937" s="108">
        <f>1-AA937</f>
        <v/>
      </c>
      <c r="P937" s="108">
        <f>1-AB937</f>
        <v/>
      </c>
      <c r="Q937" s="108" t="n"/>
      <c r="R937" s="108" t="n"/>
      <c r="S937" s="108">
        <f>1-AE937</f>
        <v/>
      </c>
      <c r="T937" s="108">
        <f>1-AF937</f>
        <v/>
      </c>
      <c r="U937" s="108">
        <f>1-AG937</f>
        <v/>
      </c>
      <c r="V937" s="108">
        <f>1-AH937</f>
        <v/>
      </c>
      <c r="W937" s="108">
        <f>1-AI937</f>
        <v/>
      </c>
      <c r="X937" s="108">
        <f>ABS(AJ937-AJ$1)</f>
        <v/>
      </c>
      <c r="Y937" s="108">
        <f>AVERAGE(Z937:AB937)</f>
        <v/>
      </c>
      <c r="Z937" s="108">
        <f>ABS(AL937-AL$1)</f>
        <v/>
      </c>
      <c r="AA937" s="108">
        <f>ABS(AM937-AM$1)</f>
        <v/>
      </c>
      <c r="AB937" s="108">
        <f>ABS(AN937-AN$1)</f>
        <v/>
      </c>
      <c r="AC937" s="108" t="n"/>
      <c r="AD937" s="108" t="n"/>
      <c r="AE937" s="108">
        <f>ABS(AQ$1-AQ937)</f>
        <v/>
      </c>
      <c r="AF937" s="108">
        <f>ABS(AR$1-AR937)</f>
        <v/>
      </c>
      <c r="AG937" s="108">
        <f>ABS(AS$1-AS937)</f>
        <v/>
      </c>
      <c r="AH937" s="108">
        <f>ABS(AT$1-AT937)</f>
        <v/>
      </c>
      <c r="AI937" s="108">
        <f>ABS(AU$1-AU937)</f>
        <v/>
      </c>
      <c r="AJ937" s="108">
        <f>(AV937-Driver!$K$179)/(Driver!$L$179-Driver!$K$179)</f>
        <v/>
      </c>
      <c r="AK937" s="108">
        <f>(AW937-Driver!$K$180)/(Driver!$L$180-Driver!$K$180)</f>
        <v/>
      </c>
      <c r="AL937" s="108">
        <f>(AX937-Driver!$K$181)/(Driver!$L$181-Driver!$K$181)</f>
        <v/>
      </c>
      <c r="AM937" s="108">
        <f>(AY937-Driver!$K$182)/(Driver!$L$182-Driver!$K$182)</f>
        <v/>
      </c>
      <c r="AN937" s="108">
        <f>(AZ937-Driver!$K$183)/(Driver!$L$183-Driver!$K$183)</f>
        <v/>
      </c>
      <c r="AO937" s="108" t="n"/>
      <c r="AP937" s="108" t="n"/>
      <c r="AQ937" s="108">
        <f>(BC937-Driver!$K$188)/(Driver!$L$188-Driver!$K$188)</f>
        <v/>
      </c>
      <c r="AR937" s="108">
        <f>MIN((BD937-Driver!$K$189)/(Driver!$L$189-Driver!$K$189),100%)</f>
        <v/>
      </c>
      <c r="AS937" s="108">
        <f>(BE937-Driver!$K$190)/(Driver!$L$190-Driver!$K$190)</f>
        <v/>
      </c>
      <c r="AT937" s="108">
        <f>(BF937-Driver!$K$191)/(Driver!$L$191-Driver!$K$191)</f>
        <v/>
      </c>
      <c r="AU937" s="108">
        <f>(BG937-Driver!$K$192)/(Driver!$L$192-Driver!$K$192)</f>
        <v/>
      </c>
      <c r="AV937" s="105">
        <f>IFERROR(BM937*BJ937^1/4,"")</f>
        <v/>
      </c>
      <c r="AW937" s="105">
        <f>IFERROR(SUM(AX937:AZ937),"")</f>
        <v/>
      </c>
      <c r="AX937" s="105">
        <f>IFERROR(BH937,"")</f>
        <v/>
      </c>
      <c r="AY937" s="105">
        <f>IFERROR(Driver!$K$19/Data!BH937/Data!BI937*Data!BK937*Data!BL937,"")</f>
        <v/>
      </c>
      <c r="AZ937" s="105">
        <f>IFERROR(BI937*BN937,"")</f>
        <v/>
      </c>
      <c r="BA937" s="105" t="n"/>
      <c r="BB937" s="105" t="n"/>
      <c r="BC937" s="105">
        <f>IFERROR(BI937*BN937*BK937/BJ937^(1/2),"")</f>
        <v/>
      </c>
      <c r="BD937" s="105">
        <f>IFERROR(BH937*BM937*BL937/BJ937/BK937,"")</f>
        <v/>
      </c>
      <c r="BE937" s="105">
        <f>IFERROR(MIN(BI937/BQ937/BP937/BO937/BH937,$BE$1),"")</f>
        <v/>
      </c>
      <c r="BF937" s="105">
        <f>IFERROR(BJ937*BO937*BP937/BK937,"")</f>
        <v/>
      </c>
      <c r="BG937" s="105">
        <f>IFERROR(1/BM937/BH937*BQ937,"")</f>
        <v/>
      </c>
      <c r="BH937" s="102">
        <f>MAX((CE937-Driver!$F$200)/(Driver!$G$200-Driver!$F$200)*$BI$1,1)</f>
        <v/>
      </c>
      <c r="BI937" s="102">
        <f>MAX($BI$1*(BY937-Driver!$F$201)/(Driver!$G$201-Driver!$F$201),1)</f>
        <v/>
      </c>
      <c r="BJ937" s="102">
        <f>(CB937-Driver!$F$206)/(Driver!$G$206-Driver!$F$206)*$BI$1</f>
        <v/>
      </c>
      <c r="BK937" s="102">
        <f>(CD937-Driver!$F$203)/(Driver!$G$203-Driver!$F$203)*$BI$1</f>
        <v/>
      </c>
      <c r="BL937" s="102">
        <f>MAX((CR937-Driver!$F$202)/(Driver!$G$202-Driver!$F$202)*$BI$1,1)</f>
        <v/>
      </c>
      <c r="BM937" s="102">
        <f>MAX((CH937-Driver!$F$204)/(Driver!$G$204-Driver!$F$204)*$BI$1,1)</f>
        <v/>
      </c>
      <c r="BN937" s="102">
        <f>(CI937-Driver!$F$205)/(Driver!$G$205-Driver!$F$205)*$BI$1</f>
        <v/>
      </c>
      <c r="BO937" s="102">
        <f>(CK937-Driver!$F$207)/(Driver!$G$207-Driver!$F$207)*$BI$1</f>
        <v/>
      </c>
      <c r="BP937" s="102">
        <f>(CM937-Driver!$F$208)/(Driver!$G$208-Driver!$F$208)*$BI$1</f>
        <v/>
      </c>
      <c r="BQ937" s="102">
        <f>(CL937-Driver!$F$209)/(Driver!$G$209-Driver!$F$209)*$BI$1</f>
        <v/>
      </c>
      <c r="BR937" s="40" t="inlineStr">
        <is>
          <t>21/22</t>
        </is>
      </c>
      <c r="BS937" s="10" t="inlineStr">
        <is>
          <t xml:space="preserve"> Head</t>
        </is>
      </c>
      <c r="BT937" s="11" t="inlineStr">
        <is>
          <t>V-Shape V10</t>
        </is>
      </c>
      <c r="BU937" s="13" t="n">
        <v>163</v>
      </c>
      <c r="BV937" s="11" t="inlineStr">
        <is>
          <t xml:space="preserve"> Unisex</t>
        </is>
      </c>
      <c r="BW937" s="13" t="n">
        <v>163</v>
      </c>
      <c r="BX937" s="13" t="n">
        <v>162.4</v>
      </c>
      <c r="BY937" s="13" t="n">
        <v>140</v>
      </c>
      <c r="BZ937" s="13" t="n">
        <v>148</v>
      </c>
      <c r="CA937" s="13" t="n">
        <v>138</v>
      </c>
      <c r="CB937" s="13" t="n">
        <v>84</v>
      </c>
      <c r="CC937" s="13" t="n">
        <v>120</v>
      </c>
      <c r="CD937" s="13" t="n">
        <v>12.3</v>
      </c>
      <c r="CE937" s="13" t="n">
        <v>1729</v>
      </c>
      <c r="CF937" s="13" t="n">
        <v>0.9399999999999999</v>
      </c>
      <c r="CG937" s="13" t="n">
        <v>1630</v>
      </c>
      <c r="CH937" s="13" t="n">
        <v>207</v>
      </c>
      <c r="CI937" s="13" t="n">
        <v>53</v>
      </c>
      <c r="CJ937" s="13" t="n">
        <v>42</v>
      </c>
      <c r="CK937" s="13" t="n">
        <v>156</v>
      </c>
      <c r="CL937" s="13" t="n">
        <v>9</v>
      </c>
      <c r="CM937" s="13" t="n">
        <v>64</v>
      </c>
      <c r="CN937" s="13" t="n">
        <v>0.22</v>
      </c>
      <c r="CO937" s="13" t="n">
        <v>87</v>
      </c>
      <c r="CP937" s="13" t="n">
        <v>54</v>
      </c>
      <c r="CQ937" s="13" t="n">
        <v>69</v>
      </c>
      <c r="CR937" s="13" t="n">
        <v>10</v>
      </c>
      <c r="CS937" s="13" t="n">
        <v>12.1</v>
      </c>
      <c r="CT937" s="11" t="inlineStr">
        <is>
          <t xml:space="preserve"> On-Piste Carving</t>
        </is>
      </c>
      <c r="CU937" s="11" t="inlineStr">
        <is>
          <t xml:space="preserve"> Resort Freeride</t>
        </is>
      </c>
      <c r="CV937" s="13" t="n"/>
      <c r="CW937" s="13" t="n"/>
      <c r="CX937">
        <f>INDEX('Data_Price '!AG$2:AG$1266,MATCH(Data!$DN937,'Data_Price '!$AT$2:$AT$1266,0))</f>
        <v/>
      </c>
      <c r="CY937">
        <f>INDEX('Data_Price '!AH$2:AH$1266,MATCH(Data!$DN937,'Data_Price '!$AT$2:$AT$1266,0))</f>
        <v/>
      </c>
      <c r="CZ937">
        <f>INDEX('Data_Price '!AI$2:AI$1266,MATCH(Data!$DN937,'Data_Price '!$AT$2:$AT$1266,0))</f>
        <v/>
      </c>
      <c r="DA937">
        <f>INDEX('Data_Price '!AJ$2:AJ$1266,MATCH(Data!$DN937,'Data_Price '!$AT$2:$AT$1266,0))</f>
        <v/>
      </c>
      <c r="DB937">
        <f>INDEX('Data_Price '!AK$2:AK$1266,MATCH(Data!$DN937,'Data_Price '!$AT$2:$AT$1266,0))</f>
        <v/>
      </c>
      <c r="DC937">
        <f>INDEX('Data_Price '!AL$2:AL$1266,MATCH(Data!$DN937,'Data_Price '!$AT$2:$AT$1266,0))</f>
        <v/>
      </c>
      <c r="DD937">
        <f>INDEX('Data_Price '!AM$2:AM$1266,MATCH(Data!$DN937,'Data_Price '!$AT$2:$AT$1266,0))</f>
        <v/>
      </c>
      <c r="DE937">
        <f>INDEX('Data_Price '!AN$2:AN$1266,MATCH(Data!$DN937,'Data_Price '!$AT$2:$AT$1266,0))</f>
        <v/>
      </c>
      <c r="DF937">
        <f>INDEX('Data_Price '!AO$2:AO$1266,MATCH(Data!$DN937,'Data_Price '!$AT$2:$AT$1266,0))</f>
        <v/>
      </c>
      <c r="DG937">
        <f>INDEX('Data_Price '!AP$2:AP$1266,MATCH(Data!$DN937,'Data_Price '!$AT$2:$AT$1266,0))</f>
        <v/>
      </c>
      <c r="DH937">
        <f>INDEX('Data_Price '!AQ$2:AQ$1266,MATCH(Data!$DN937,'Data_Price '!$AT$2:$AT$1266,0))</f>
        <v/>
      </c>
      <c r="DI937">
        <f>INDEX('Data_Price '!AR$2:AR$1266,MATCH(Data!$DN937,'Data_Price '!$AT$2:$AT$1266,0))</f>
        <v/>
      </c>
      <c r="DJ937" s="138">
        <f>DA937</f>
        <v/>
      </c>
      <c r="DK937" s="138">
        <f>DE937</f>
        <v/>
      </c>
      <c r="DL937" s="138">
        <f>DI937</f>
        <v/>
      </c>
      <c r="DM937" s="303">
        <f>IF(LEFT(BT937,1)=" ",RIGHT(BT937,LEN(BT937)-1),BT937)</f>
        <v/>
      </c>
      <c r="DN937" s="138">
        <f>_xlfn.CONCAT(BS937,DM937,BU937,BV937)</f>
        <v/>
      </c>
      <c r="DO937" s="307" t="n"/>
    </row>
    <row r="938" ht="15.6" customHeight="1" s="184">
      <c r="B938" s="303">
        <f t="array" ref="B938">IF(OR(ISERROR(K938:P938)),FALSE,TRUE)</f>
        <v/>
      </c>
      <c r="C938" s="60">
        <f>OR(BR938=Driver!$G$50,Data!BR798=Driver!$H$50)</f>
        <v/>
      </c>
      <c r="D938" s="60">
        <f>OR(BV938=Driver!$G$51,BV938=Driver!$H$51)</f>
        <v/>
      </c>
      <c r="E938" s="60">
        <f>AND(BX938&gt;Driver!$F$54,BX938&lt;Driver!$G$54)</f>
        <v/>
      </c>
      <c r="F938" s="60">
        <f>CL938&gt;Driver!$F$56</f>
        <v/>
      </c>
      <c r="G938" s="60">
        <f>AND(CB938&gt;Driver!$F$55,CB938&lt;Driver!$G$55)</f>
        <v/>
      </c>
      <c r="H938" s="60">
        <f>AND(B938:G938)</f>
        <v/>
      </c>
      <c r="I938" s="60">
        <f>COUNTIFS($H$9:$H$1273,TRUE,$BT$9:$BT$1273,BT938)</f>
        <v/>
      </c>
      <c r="J938" s="60">
        <f t="array" ref="J938">NOT(OR(($H$9:$H$1273=TRUE)*($I$9:$I$1273&gt;0)*($BT$9:$BT$1273=BT938)*($K$9:$K$1273&gt;K938)))</f>
        <v/>
      </c>
      <c r="K938" s="108">
        <f>IFERROR(1-AVERAGE(X938:Y938),"")</f>
        <v/>
      </c>
      <c r="L938" s="108">
        <f>1-X938</f>
        <v/>
      </c>
      <c r="M938" s="108">
        <f>1-Y938</f>
        <v/>
      </c>
      <c r="N938" s="108">
        <f>1-Z938</f>
        <v/>
      </c>
      <c r="O938" s="108">
        <f>1-AA938</f>
        <v/>
      </c>
      <c r="P938" s="108">
        <f>1-AB938</f>
        <v/>
      </c>
      <c r="Q938" s="108" t="n"/>
      <c r="R938" s="108" t="n"/>
      <c r="S938" s="108">
        <f>1-AE938</f>
        <v/>
      </c>
      <c r="T938" s="108">
        <f>1-AF938</f>
        <v/>
      </c>
      <c r="U938" s="108">
        <f>1-AG938</f>
        <v/>
      </c>
      <c r="V938" s="108">
        <f>1-AH938</f>
        <v/>
      </c>
      <c r="W938" s="108">
        <f>1-AI938</f>
        <v/>
      </c>
      <c r="X938" s="108">
        <f>ABS(AJ938-AJ$1)</f>
        <v/>
      </c>
      <c r="Y938" s="108">
        <f>AVERAGE(Z938:AB938)</f>
        <v/>
      </c>
      <c r="Z938" s="108">
        <f>ABS(AL938-AL$1)</f>
        <v/>
      </c>
      <c r="AA938" s="108">
        <f>ABS(AM938-AM$1)</f>
        <v/>
      </c>
      <c r="AB938" s="108">
        <f>ABS(AN938-AN$1)</f>
        <v/>
      </c>
      <c r="AC938" s="108" t="n"/>
      <c r="AD938" s="108" t="n"/>
      <c r="AE938" s="108">
        <f>ABS(AQ$1-AQ938)</f>
        <v/>
      </c>
      <c r="AF938" s="108">
        <f>ABS(AR$1-AR938)</f>
        <v/>
      </c>
      <c r="AG938" s="108">
        <f>ABS(AS$1-AS938)</f>
        <v/>
      </c>
      <c r="AH938" s="108">
        <f>ABS(AT$1-AT938)</f>
        <v/>
      </c>
      <c r="AI938" s="108">
        <f>ABS(AU$1-AU938)</f>
        <v/>
      </c>
      <c r="AJ938" s="108">
        <f>(AV938-Driver!$K$179)/(Driver!$L$179-Driver!$K$179)</f>
        <v/>
      </c>
      <c r="AK938" s="108">
        <f>(AW938-Driver!$K$180)/(Driver!$L$180-Driver!$K$180)</f>
        <v/>
      </c>
      <c r="AL938" s="108">
        <f>(AX938-Driver!$K$181)/(Driver!$L$181-Driver!$K$181)</f>
        <v/>
      </c>
      <c r="AM938" s="108">
        <f>(AY938-Driver!$K$182)/(Driver!$L$182-Driver!$K$182)</f>
        <v/>
      </c>
      <c r="AN938" s="108">
        <f>(AZ938-Driver!$K$183)/(Driver!$L$183-Driver!$K$183)</f>
        <v/>
      </c>
      <c r="AO938" s="108" t="n"/>
      <c r="AP938" s="108" t="n"/>
      <c r="AQ938" s="108">
        <f>(BC938-Driver!$K$188)/(Driver!$L$188-Driver!$K$188)</f>
        <v/>
      </c>
      <c r="AR938" s="108">
        <f>MIN((BD938-Driver!$K$189)/(Driver!$L$189-Driver!$K$189),100%)</f>
        <v/>
      </c>
      <c r="AS938" s="108">
        <f>(BE938-Driver!$K$190)/(Driver!$L$190-Driver!$K$190)</f>
        <v/>
      </c>
      <c r="AT938" s="108">
        <f>(BF938-Driver!$K$191)/(Driver!$L$191-Driver!$K$191)</f>
        <v/>
      </c>
      <c r="AU938" s="108">
        <f>(BG938-Driver!$K$192)/(Driver!$L$192-Driver!$K$192)</f>
        <v/>
      </c>
      <c r="AV938" s="105">
        <f>IFERROR(BM938*BJ938^1/4,"")</f>
        <v/>
      </c>
      <c r="AW938" s="105">
        <f>IFERROR(SUM(AX938:AZ938),"")</f>
        <v/>
      </c>
      <c r="AX938" s="105">
        <f>IFERROR(BH938,"")</f>
        <v/>
      </c>
      <c r="AY938" s="105">
        <f>IFERROR(Driver!$K$19/Data!BH938/Data!BI938*Data!BK938*Data!BL938,"")</f>
        <v/>
      </c>
      <c r="AZ938" s="105">
        <f>IFERROR(BI938*BN938,"")</f>
        <v/>
      </c>
      <c r="BA938" s="105" t="n"/>
      <c r="BB938" s="105" t="n"/>
      <c r="BC938" s="105">
        <f>IFERROR(BI938*BN938*BK938/BJ938^(1/2),"")</f>
        <v/>
      </c>
      <c r="BD938" s="105">
        <f>IFERROR(BH938*BM938*BL938/BJ938/BK938,"")</f>
        <v/>
      </c>
      <c r="BE938" s="105">
        <f>IFERROR(MIN(BI938/BQ938/BP938/BO938/BH938,$BE$1),"")</f>
        <v/>
      </c>
      <c r="BF938" s="105">
        <f>IFERROR(BJ938*BO938*BP938/BK938,"")</f>
        <v/>
      </c>
      <c r="BG938" s="105">
        <f>IFERROR(1/BM938/BH938*BQ938,"")</f>
        <v/>
      </c>
      <c r="BH938" s="102">
        <f>MAX((CE938-Driver!$F$200)/(Driver!$G$200-Driver!$F$200)*$BI$1,1)</f>
        <v/>
      </c>
      <c r="BI938" s="102">
        <f>MAX($BI$1*(BY938-Driver!$F$201)/(Driver!$G$201-Driver!$F$201),1)</f>
        <v/>
      </c>
      <c r="BJ938" s="102">
        <f>(CB938-Driver!$F$206)/(Driver!$G$206-Driver!$F$206)*$BI$1</f>
        <v/>
      </c>
      <c r="BK938" s="102">
        <f>(CD938-Driver!$F$203)/(Driver!$G$203-Driver!$F$203)*$BI$1</f>
        <v/>
      </c>
      <c r="BL938" s="102">
        <f>MAX((CR938-Driver!$F$202)/(Driver!$G$202-Driver!$F$202)*$BI$1,1)</f>
        <v/>
      </c>
      <c r="BM938" s="102">
        <f>MAX((CH938-Driver!$F$204)/(Driver!$G$204-Driver!$F$204)*$BI$1,1)</f>
        <v/>
      </c>
      <c r="BN938" s="102">
        <f>(CI938-Driver!$F$205)/(Driver!$G$205-Driver!$F$205)*$BI$1</f>
        <v/>
      </c>
      <c r="BO938" s="102">
        <f>(CK938-Driver!$F$207)/(Driver!$G$207-Driver!$F$207)*$BI$1</f>
        <v/>
      </c>
      <c r="BP938" s="102">
        <f>(CM938-Driver!$F$208)/(Driver!$G$208-Driver!$F$208)*$BI$1</f>
        <v/>
      </c>
      <c r="BQ938" s="102">
        <f>(CL938-Driver!$F$209)/(Driver!$G$209-Driver!$F$209)*$BI$1</f>
        <v/>
      </c>
      <c r="BR938" s="40" t="inlineStr">
        <is>
          <t>21/22</t>
        </is>
      </c>
      <c r="BS938" s="10" t="inlineStr">
        <is>
          <t xml:space="preserve"> Liberty</t>
        </is>
      </c>
      <c r="BT938" s="11" t="inlineStr">
        <is>
          <t>Evolv 100</t>
        </is>
      </c>
      <c r="BU938" s="13" t="n">
        <v>186</v>
      </c>
      <c r="BV938" s="11" t="inlineStr">
        <is>
          <t xml:space="preserve"> Unisex</t>
        </is>
      </c>
      <c r="BW938" s="13" t="n">
        <v>186</v>
      </c>
      <c r="BX938" s="13" t="n">
        <v>185.9</v>
      </c>
      <c r="BY938" s="13" t="n">
        <v>150</v>
      </c>
      <c r="BZ938" s="13" t="n">
        <v>165</v>
      </c>
      <c r="CA938" s="13" t="n">
        <v>137</v>
      </c>
      <c r="CB938" s="13" t="n">
        <v>99</v>
      </c>
      <c r="CC938" s="13" t="n">
        <v>121</v>
      </c>
      <c r="CD938" s="13" t="n">
        <v>21.5</v>
      </c>
      <c r="CE938" s="13" t="n">
        <v>1980</v>
      </c>
      <c r="CF938" s="13" t="n">
        <v>1.04</v>
      </c>
      <c r="CG938" s="13" t="n">
        <v>2055</v>
      </c>
      <c r="CH938" s="13" t="n">
        <v>240</v>
      </c>
      <c r="CI938" s="13" t="n">
        <v>121</v>
      </c>
      <c r="CJ938" s="13" t="n">
        <v>38</v>
      </c>
      <c r="CK938" s="13" t="n">
        <v>218</v>
      </c>
      <c r="CL938" s="13" t="n">
        <v>11</v>
      </c>
      <c r="CM938" s="13" t="n">
        <v>141</v>
      </c>
      <c r="CN938" s="13" t="n">
        <v>0.3</v>
      </c>
      <c r="CO938" s="13" t="n">
        <v>119</v>
      </c>
      <c r="CP938" s="13" t="n">
        <v>92</v>
      </c>
      <c r="CQ938" s="13" t="n">
        <v>99</v>
      </c>
      <c r="CR938" s="13" t="n">
        <v>10</v>
      </c>
      <c r="CS938" s="13" t="n">
        <v>10.6</v>
      </c>
      <c r="CT938" s="11" t="inlineStr">
        <is>
          <t xml:space="preserve"> Resort Freeride</t>
        </is>
      </c>
      <c r="CU938" s="13" t="n"/>
      <c r="CV938" s="13" t="n"/>
      <c r="CW938" s="13" t="n"/>
      <c r="CX938">
        <f>INDEX('Data_Price '!AG$2:AG$1266,MATCH(Data!$DN938,'Data_Price '!$AT$2:$AT$1266,0))</f>
        <v/>
      </c>
      <c r="CY938">
        <f>INDEX('Data_Price '!AH$2:AH$1266,MATCH(Data!$DN938,'Data_Price '!$AT$2:$AT$1266,0))</f>
        <v/>
      </c>
      <c r="CZ938">
        <f>INDEX('Data_Price '!AI$2:AI$1266,MATCH(Data!$DN938,'Data_Price '!$AT$2:$AT$1266,0))</f>
        <v/>
      </c>
      <c r="DA938">
        <f>INDEX('Data_Price '!AJ$2:AJ$1266,MATCH(Data!$DN938,'Data_Price '!$AT$2:$AT$1266,0))</f>
        <v/>
      </c>
      <c r="DB938">
        <f>INDEX('Data_Price '!AK$2:AK$1266,MATCH(Data!$DN938,'Data_Price '!$AT$2:$AT$1266,0))</f>
        <v/>
      </c>
      <c r="DC938">
        <f>INDEX('Data_Price '!AL$2:AL$1266,MATCH(Data!$DN938,'Data_Price '!$AT$2:$AT$1266,0))</f>
        <v/>
      </c>
      <c r="DD938">
        <f>INDEX('Data_Price '!AM$2:AM$1266,MATCH(Data!$DN938,'Data_Price '!$AT$2:$AT$1266,0))</f>
        <v/>
      </c>
      <c r="DE938">
        <f>INDEX('Data_Price '!AN$2:AN$1266,MATCH(Data!$DN938,'Data_Price '!$AT$2:$AT$1266,0))</f>
        <v/>
      </c>
      <c r="DF938">
        <f>INDEX('Data_Price '!AO$2:AO$1266,MATCH(Data!$DN938,'Data_Price '!$AT$2:$AT$1266,0))</f>
        <v/>
      </c>
      <c r="DG938">
        <f>INDEX('Data_Price '!AP$2:AP$1266,MATCH(Data!$DN938,'Data_Price '!$AT$2:$AT$1266,0))</f>
        <v/>
      </c>
      <c r="DH938">
        <f>INDEX('Data_Price '!AQ$2:AQ$1266,MATCH(Data!$DN938,'Data_Price '!$AT$2:$AT$1266,0))</f>
        <v/>
      </c>
      <c r="DI938">
        <f>INDEX('Data_Price '!AR$2:AR$1266,MATCH(Data!$DN938,'Data_Price '!$AT$2:$AT$1266,0))</f>
        <v/>
      </c>
      <c r="DJ938" s="138">
        <f>DA938</f>
        <v/>
      </c>
      <c r="DK938" s="138">
        <f>DE938</f>
        <v/>
      </c>
      <c r="DL938" s="138">
        <f>DI938</f>
        <v/>
      </c>
      <c r="DM938" s="303">
        <f>IF(LEFT(BT938,1)=" ",RIGHT(BT938,LEN(BT938)-1),BT938)</f>
        <v/>
      </c>
      <c r="DN938" s="138">
        <f>_xlfn.CONCAT(BS938,DM938,BU938,BV938)</f>
        <v/>
      </c>
      <c r="DO938" s="307" t="n"/>
    </row>
    <row r="939" ht="15.6" customHeight="1" s="184">
      <c r="B939" s="303">
        <f t="array" ref="B939">IF(OR(ISERROR(K939:P939)),FALSE,TRUE)</f>
        <v/>
      </c>
      <c r="C939" s="60">
        <f>OR(BR939=Driver!$G$50,Data!BR1139=Driver!$H$50)</f>
        <v/>
      </c>
      <c r="D939" s="60">
        <f>OR(BV939=Driver!$G$51,BV939=Driver!$H$51)</f>
        <v/>
      </c>
      <c r="E939" s="60">
        <f>AND(BX939&gt;Driver!$F$54,BX939&lt;Driver!$G$54)</f>
        <v/>
      </c>
      <c r="F939" s="60">
        <f>CL939&gt;Driver!$F$56</f>
        <v/>
      </c>
      <c r="G939" s="60">
        <f>AND(CB939&gt;Driver!$F$55,CB939&lt;Driver!$G$55)</f>
        <v/>
      </c>
      <c r="H939" s="60">
        <f>AND(B939:G939)</f>
        <v/>
      </c>
      <c r="I939" s="60">
        <f>COUNTIFS($H$9:$H$1273,TRUE,$BT$9:$BT$1273,BT939)</f>
        <v/>
      </c>
      <c r="J939" s="60">
        <f t="array" ref="J939">NOT(OR(($H$9:$H$1273=TRUE)*($I$9:$I$1273&gt;0)*($BT$9:$BT$1273=BT939)*($K$9:$K$1273&gt;K939)))</f>
        <v/>
      </c>
      <c r="K939" s="108">
        <f>IFERROR(1-AVERAGE(X939:Y939),"")</f>
        <v/>
      </c>
      <c r="L939" s="108">
        <f>1-X939</f>
        <v/>
      </c>
      <c r="M939" s="108">
        <f>1-Y939</f>
        <v/>
      </c>
      <c r="N939" s="108">
        <f>1-Z939</f>
        <v/>
      </c>
      <c r="O939" s="108">
        <f>1-AA939</f>
        <v/>
      </c>
      <c r="P939" s="108">
        <f>1-AB939</f>
        <v/>
      </c>
      <c r="Q939" s="108" t="n"/>
      <c r="R939" s="108" t="n"/>
      <c r="S939" s="108">
        <f>1-AE939</f>
        <v/>
      </c>
      <c r="T939" s="108">
        <f>1-AF939</f>
        <v/>
      </c>
      <c r="U939" s="108">
        <f>1-AG939</f>
        <v/>
      </c>
      <c r="V939" s="108">
        <f>1-AH939</f>
        <v/>
      </c>
      <c r="W939" s="108">
        <f>1-AI939</f>
        <v/>
      </c>
      <c r="X939" s="108">
        <f>ABS(AJ939-AJ$1)</f>
        <v/>
      </c>
      <c r="Y939" s="108">
        <f>AVERAGE(Z939:AB939)</f>
        <v/>
      </c>
      <c r="Z939" s="108">
        <f>ABS(AL939-AL$1)</f>
        <v/>
      </c>
      <c r="AA939" s="108">
        <f>ABS(AM939-AM$1)</f>
        <v/>
      </c>
      <c r="AB939" s="108">
        <f>ABS(AN939-AN$1)</f>
        <v/>
      </c>
      <c r="AC939" s="108" t="n"/>
      <c r="AD939" s="108" t="n"/>
      <c r="AE939" s="108">
        <f>ABS(AQ$1-AQ939)</f>
        <v/>
      </c>
      <c r="AF939" s="108">
        <f>ABS(AR$1-AR939)</f>
        <v/>
      </c>
      <c r="AG939" s="108">
        <f>ABS(AS$1-AS939)</f>
        <v/>
      </c>
      <c r="AH939" s="108">
        <f>ABS(AT$1-AT939)</f>
        <v/>
      </c>
      <c r="AI939" s="108">
        <f>ABS(AU$1-AU939)</f>
        <v/>
      </c>
      <c r="AJ939" s="108">
        <f>(AV939-Driver!$K$179)/(Driver!$L$179-Driver!$K$179)</f>
        <v/>
      </c>
      <c r="AK939" s="108">
        <f>(AW939-Driver!$K$180)/(Driver!$L$180-Driver!$K$180)</f>
        <v/>
      </c>
      <c r="AL939" s="108">
        <f>(AX939-Driver!$K$181)/(Driver!$L$181-Driver!$K$181)</f>
        <v/>
      </c>
      <c r="AM939" s="108">
        <f>(AY939-Driver!$K$182)/(Driver!$L$182-Driver!$K$182)</f>
        <v/>
      </c>
      <c r="AN939" s="108">
        <f>(AZ939-Driver!$K$183)/(Driver!$L$183-Driver!$K$183)</f>
        <v/>
      </c>
      <c r="AO939" s="108" t="n"/>
      <c r="AP939" s="108" t="n"/>
      <c r="AQ939" s="108">
        <f>(BC939-Driver!$K$188)/(Driver!$L$188-Driver!$K$188)</f>
        <v/>
      </c>
      <c r="AR939" s="108">
        <f>MIN((BD939-Driver!$K$189)/(Driver!$L$189-Driver!$K$189),100%)</f>
        <v/>
      </c>
      <c r="AS939" s="108">
        <f>(BE939-Driver!$K$190)/(Driver!$L$190-Driver!$K$190)</f>
        <v/>
      </c>
      <c r="AT939" s="108">
        <f>(BF939-Driver!$K$191)/(Driver!$L$191-Driver!$K$191)</f>
        <v/>
      </c>
      <c r="AU939" s="108">
        <f>(BG939-Driver!$K$192)/(Driver!$L$192-Driver!$K$192)</f>
        <v/>
      </c>
      <c r="AV939" s="105">
        <f>IFERROR(BM939*BJ939^1/4,"")</f>
        <v/>
      </c>
      <c r="AW939" s="105">
        <f>IFERROR(SUM(AX939:AZ939),"")</f>
        <v/>
      </c>
      <c r="AX939" s="105">
        <f>IFERROR(BH939,"")</f>
        <v/>
      </c>
      <c r="AY939" s="105">
        <f>IFERROR(Driver!$K$19/Data!BH939/Data!BI939*Data!BK939*Data!BL939,"")</f>
        <v/>
      </c>
      <c r="AZ939" s="105">
        <f>IFERROR(BI939*BN939,"")</f>
        <v/>
      </c>
      <c r="BA939" s="105" t="n"/>
      <c r="BB939" s="105" t="n"/>
      <c r="BC939" s="105">
        <f>IFERROR(BI939*BN939*BK939/BJ939^(1/2),"")</f>
        <v/>
      </c>
      <c r="BD939" s="105">
        <f>IFERROR(BH939*BM939*BL939/BJ939/BK939,"")</f>
        <v/>
      </c>
      <c r="BE939" s="105">
        <f>IFERROR(MIN(BI939/BQ939/BP939/BO939/BH939,$BE$1),"")</f>
        <v/>
      </c>
      <c r="BF939" s="105">
        <f>IFERROR(BJ939*BO939*BP939/BK939,"")</f>
        <v/>
      </c>
      <c r="BG939" s="105">
        <f>IFERROR(1/BM939/BH939*BQ939,"")</f>
        <v/>
      </c>
      <c r="BH939" s="102">
        <f>MAX((CE939-Driver!$F$200)/(Driver!$G$200-Driver!$F$200)*$BI$1,1)</f>
        <v/>
      </c>
      <c r="BI939" s="102">
        <f>MAX($BI$1*(BY939-Driver!$F$201)/(Driver!$G$201-Driver!$F$201),1)</f>
        <v/>
      </c>
      <c r="BJ939" s="102">
        <f>(CB939-Driver!$F$206)/(Driver!$G$206-Driver!$F$206)*$BI$1</f>
        <v/>
      </c>
      <c r="BK939" s="102">
        <f>(CD939-Driver!$F$203)/(Driver!$G$203-Driver!$F$203)*$BI$1</f>
        <v/>
      </c>
      <c r="BL939" s="102">
        <f>MAX((CR939-Driver!$F$202)/(Driver!$G$202-Driver!$F$202)*$BI$1,1)</f>
        <v/>
      </c>
      <c r="BM939" s="102">
        <f>MAX((CH939-Driver!$F$204)/(Driver!$G$204-Driver!$F$204)*$BI$1,1)</f>
        <v/>
      </c>
      <c r="BN939" s="102">
        <f>(CI939-Driver!$F$205)/(Driver!$G$205-Driver!$F$205)*$BI$1</f>
        <v/>
      </c>
      <c r="BO939" s="102">
        <f>(CK939-Driver!$F$207)/(Driver!$G$207-Driver!$F$207)*$BI$1</f>
        <v/>
      </c>
      <c r="BP939" s="102">
        <f>(CM939-Driver!$F$208)/(Driver!$G$208-Driver!$F$208)*$BI$1</f>
        <v/>
      </c>
      <c r="BQ939" s="102">
        <f>(CL939-Driver!$F$209)/(Driver!$G$209-Driver!$F$209)*$BI$1</f>
        <v/>
      </c>
      <c r="BR939" s="40" t="inlineStr">
        <is>
          <t>21/22</t>
        </is>
      </c>
      <c r="BS939" s="10" t="inlineStr">
        <is>
          <t xml:space="preserve"> Stöckli</t>
        </is>
      </c>
      <c r="BT939" s="11" t="inlineStr">
        <is>
          <t>Nela 96</t>
        </is>
      </c>
      <c r="BU939" s="13" t="n">
        <v>164</v>
      </c>
      <c r="BV939" s="11" t="inlineStr">
        <is>
          <t xml:space="preserve"> Women's</t>
        </is>
      </c>
      <c r="BW939" s="13" t="n">
        <v>164</v>
      </c>
      <c r="BX939" s="13" t="n">
        <v>163.4</v>
      </c>
      <c r="BY939" s="13" t="n">
        <v>135</v>
      </c>
      <c r="BZ939" s="13" t="n">
        <v>141</v>
      </c>
      <c r="CA939" s="13" t="n">
        <v>133</v>
      </c>
      <c r="CB939" s="13" t="n">
        <v>96</v>
      </c>
      <c r="CC939" s="13" t="n">
        <v>121</v>
      </c>
      <c r="CD939" s="13" t="n">
        <v>15.3</v>
      </c>
      <c r="CE939" s="13" t="n">
        <v>1665</v>
      </c>
      <c r="CF939" s="13" t="n">
        <v>1.06</v>
      </c>
      <c r="CG939" s="13" t="n">
        <v>1760</v>
      </c>
      <c r="CH939" s="13" t="n">
        <v>169</v>
      </c>
      <c r="CI939" s="13" t="n">
        <v>102</v>
      </c>
      <c r="CJ939" s="13" t="n">
        <v>45</v>
      </c>
      <c r="CK939" s="13" t="n">
        <v>204</v>
      </c>
      <c r="CL939" s="13" t="n">
        <v>8</v>
      </c>
      <c r="CM939" s="13" t="n">
        <v>78</v>
      </c>
      <c r="CN939" s="13" t="n">
        <v>0.189</v>
      </c>
      <c r="CO939" s="13" t="n">
        <v>160</v>
      </c>
      <c r="CP939" s="13" t="n">
        <v>59</v>
      </c>
      <c r="CQ939" s="13" t="n">
        <v>44</v>
      </c>
      <c r="CR939" s="13" t="n">
        <v>6</v>
      </c>
      <c r="CS939" s="13" t="n">
        <v>13</v>
      </c>
      <c r="CT939" s="11" t="inlineStr">
        <is>
          <t xml:space="preserve"> Resort Freeride</t>
        </is>
      </c>
      <c r="CU939" s="11" t="inlineStr">
        <is>
          <t xml:space="preserve"> Touring</t>
        </is>
      </c>
      <c r="CV939" s="13" t="n"/>
      <c r="CW939" s="13" t="n"/>
      <c r="CX939">
        <f>INDEX('Data_Price '!AG$2:AG$1266,MATCH(Data!$DN939,'Data_Price '!$AT$2:$AT$1266,0))</f>
        <v/>
      </c>
      <c r="CY939">
        <f>INDEX('Data_Price '!AH$2:AH$1266,MATCH(Data!$DN939,'Data_Price '!$AT$2:$AT$1266,0))</f>
        <v/>
      </c>
      <c r="CZ939">
        <f>INDEX('Data_Price '!AI$2:AI$1266,MATCH(Data!$DN939,'Data_Price '!$AT$2:$AT$1266,0))</f>
        <v/>
      </c>
      <c r="DA939">
        <f>INDEX('Data_Price '!AJ$2:AJ$1266,MATCH(Data!$DN939,'Data_Price '!$AT$2:$AT$1266,0))</f>
        <v/>
      </c>
      <c r="DB939">
        <f>INDEX('Data_Price '!AK$2:AK$1266,MATCH(Data!$DN939,'Data_Price '!$AT$2:$AT$1266,0))</f>
        <v/>
      </c>
      <c r="DC939">
        <f>INDEX('Data_Price '!AL$2:AL$1266,MATCH(Data!$DN939,'Data_Price '!$AT$2:$AT$1266,0))</f>
        <v/>
      </c>
      <c r="DD939">
        <f>INDEX('Data_Price '!AM$2:AM$1266,MATCH(Data!$DN939,'Data_Price '!$AT$2:$AT$1266,0))</f>
        <v/>
      </c>
      <c r="DE939">
        <f>INDEX('Data_Price '!AN$2:AN$1266,MATCH(Data!$DN939,'Data_Price '!$AT$2:$AT$1266,0))</f>
        <v/>
      </c>
      <c r="DF939">
        <f>INDEX('Data_Price '!AO$2:AO$1266,MATCH(Data!$DN939,'Data_Price '!$AT$2:$AT$1266,0))</f>
        <v/>
      </c>
      <c r="DG939">
        <f>INDEX('Data_Price '!AP$2:AP$1266,MATCH(Data!$DN939,'Data_Price '!$AT$2:$AT$1266,0))</f>
        <v/>
      </c>
      <c r="DH939">
        <f>INDEX('Data_Price '!AQ$2:AQ$1266,MATCH(Data!$DN939,'Data_Price '!$AT$2:$AT$1266,0))</f>
        <v/>
      </c>
      <c r="DI939">
        <f>INDEX('Data_Price '!AR$2:AR$1266,MATCH(Data!$DN939,'Data_Price '!$AT$2:$AT$1266,0))</f>
        <v/>
      </c>
      <c r="DJ939" s="138">
        <f>DA939</f>
        <v/>
      </c>
      <c r="DK939" s="138">
        <f>DE939</f>
        <v/>
      </c>
      <c r="DL939" s="138">
        <f>DI939</f>
        <v/>
      </c>
      <c r="DM939" s="303">
        <f>IF(LEFT(BT939,1)=" ",RIGHT(BT939,LEN(BT939)-1),BT939)</f>
        <v/>
      </c>
      <c r="DN939" s="138">
        <f>_xlfn.CONCAT(BS939,DM939,BU939,BV939)</f>
        <v/>
      </c>
      <c r="DO939" s="307" t="inlineStr">
        <is>
          <t>https://images.evo.com/imgp/250/208927/857955/stockli-nela-96-skis-women-s-2022-.jpg</t>
        </is>
      </c>
    </row>
    <row r="940" ht="15.6" customHeight="1" s="184">
      <c r="B940" s="303">
        <f t="array" ref="B940">IF(OR(ISERROR(K940:P940)),FALSE,TRUE)</f>
        <v/>
      </c>
      <c r="C940" s="60">
        <f>OR(BR940=Driver!$G$50,Data!BR382=Driver!$H$50)</f>
        <v/>
      </c>
      <c r="D940" s="60">
        <f>OR(BV940=Driver!$G$51,BV940=Driver!$H$51)</f>
        <v/>
      </c>
      <c r="E940" s="60">
        <f>AND(BX940&gt;Driver!$F$54,BX940&lt;Driver!$G$54)</f>
        <v/>
      </c>
      <c r="F940" s="60">
        <f>CL940&gt;Driver!$F$56</f>
        <v/>
      </c>
      <c r="G940" s="60">
        <f>AND(CB940&gt;Driver!$F$55,CB940&lt;Driver!$G$55)</f>
        <v/>
      </c>
      <c r="H940" s="60">
        <f>AND(B940:G940)</f>
        <v/>
      </c>
      <c r="I940" s="60">
        <f>COUNTIFS($H$9:$H$1273,TRUE,$BT$9:$BT$1273,BT940)</f>
        <v/>
      </c>
      <c r="J940" s="60">
        <f t="array" ref="J940">NOT(OR(($H$9:$H$1273=TRUE)*($I$9:$I$1273&gt;0)*($BT$9:$BT$1273=BT940)*($K$9:$K$1273&gt;K940)))</f>
        <v/>
      </c>
      <c r="K940" s="108">
        <f>IFERROR(1-AVERAGE(X940:Y940),"")</f>
        <v/>
      </c>
      <c r="L940" s="108">
        <f>1-X940</f>
        <v/>
      </c>
      <c r="M940" s="108">
        <f>1-Y940</f>
        <v/>
      </c>
      <c r="N940" s="108">
        <f>1-Z940</f>
        <v/>
      </c>
      <c r="O940" s="108">
        <f>1-AA940</f>
        <v/>
      </c>
      <c r="P940" s="108">
        <f>1-AB940</f>
        <v/>
      </c>
      <c r="Q940" s="108" t="n"/>
      <c r="R940" s="108" t="n"/>
      <c r="S940" s="108">
        <f>1-AE940</f>
        <v/>
      </c>
      <c r="T940" s="108">
        <f>1-AF940</f>
        <v/>
      </c>
      <c r="U940" s="108">
        <f>1-AG940</f>
        <v/>
      </c>
      <c r="V940" s="108">
        <f>1-AH940</f>
        <v/>
      </c>
      <c r="W940" s="108">
        <f>1-AI940</f>
        <v/>
      </c>
      <c r="X940" s="108">
        <f>ABS(AJ940-AJ$1)</f>
        <v/>
      </c>
      <c r="Y940" s="108">
        <f>AVERAGE(Z940:AB940)</f>
        <v/>
      </c>
      <c r="Z940" s="108">
        <f>ABS(AL940-AL$1)</f>
        <v/>
      </c>
      <c r="AA940" s="108">
        <f>ABS(AM940-AM$1)</f>
        <v/>
      </c>
      <c r="AB940" s="108">
        <f>ABS(AN940-AN$1)</f>
        <v/>
      </c>
      <c r="AC940" s="108" t="n"/>
      <c r="AD940" s="108" t="n"/>
      <c r="AE940" s="108">
        <f>ABS(AQ$1-AQ940)</f>
        <v/>
      </c>
      <c r="AF940" s="108">
        <f>ABS(AR$1-AR940)</f>
        <v/>
      </c>
      <c r="AG940" s="108">
        <f>ABS(AS$1-AS940)</f>
        <v/>
      </c>
      <c r="AH940" s="108">
        <f>ABS(AT$1-AT940)</f>
        <v/>
      </c>
      <c r="AI940" s="108">
        <f>ABS(AU$1-AU940)</f>
        <v/>
      </c>
      <c r="AJ940" s="108">
        <f>(AV940-Driver!$K$179)/(Driver!$L$179-Driver!$K$179)</f>
        <v/>
      </c>
      <c r="AK940" s="108">
        <f>(AW940-Driver!$K$180)/(Driver!$L$180-Driver!$K$180)</f>
        <v/>
      </c>
      <c r="AL940" s="108">
        <f>(AX940-Driver!$K$181)/(Driver!$L$181-Driver!$K$181)</f>
        <v/>
      </c>
      <c r="AM940" s="108">
        <f>(AY940-Driver!$K$182)/(Driver!$L$182-Driver!$K$182)</f>
        <v/>
      </c>
      <c r="AN940" s="108">
        <f>(AZ940-Driver!$K$183)/(Driver!$L$183-Driver!$K$183)</f>
        <v/>
      </c>
      <c r="AO940" s="108" t="n"/>
      <c r="AP940" s="108" t="n"/>
      <c r="AQ940" s="108">
        <f>(BC940-Driver!$K$188)/(Driver!$L$188-Driver!$K$188)</f>
        <v/>
      </c>
      <c r="AR940" s="108">
        <f>MIN((BD940-Driver!$K$189)/(Driver!$L$189-Driver!$K$189),100%)</f>
        <v/>
      </c>
      <c r="AS940" s="108">
        <f>(BE940-Driver!$K$190)/(Driver!$L$190-Driver!$K$190)</f>
        <v/>
      </c>
      <c r="AT940" s="108">
        <f>(BF940-Driver!$K$191)/(Driver!$L$191-Driver!$K$191)</f>
        <v/>
      </c>
      <c r="AU940" s="108">
        <f>(BG940-Driver!$K$192)/(Driver!$L$192-Driver!$K$192)</f>
        <v/>
      </c>
      <c r="AV940" s="105">
        <f>IFERROR(BM940*BJ940^1/4,"")</f>
        <v/>
      </c>
      <c r="AW940" s="105">
        <f>IFERROR(SUM(AX940:AZ940),"")</f>
        <v/>
      </c>
      <c r="AX940" s="105">
        <f>IFERROR(BH940,"")</f>
        <v/>
      </c>
      <c r="AY940" s="105">
        <f>IFERROR(Driver!$K$19/Data!BH940/Data!BI940*Data!BK940*Data!BL940,"")</f>
        <v/>
      </c>
      <c r="AZ940" s="105">
        <f>IFERROR(BI940*BN940,"")</f>
        <v/>
      </c>
      <c r="BA940" s="105" t="n"/>
      <c r="BB940" s="105" t="n"/>
      <c r="BC940" s="105">
        <f>IFERROR(BI940*BN940*BK940/BJ940^(1/2),"")</f>
        <v/>
      </c>
      <c r="BD940" s="105">
        <f>IFERROR(BH940*BM940*BL940/BJ940/BK940,"")</f>
        <v/>
      </c>
      <c r="BE940" s="105">
        <f>IFERROR(MIN(BI940/BQ940/BP940/BO940/BH940,$BE$1),"")</f>
        <v/>
      </c>
      <c r="BF940" s="105">
        <f>IFERROR(BJ940*BO940*BP940/BK940,"")</f>
        <v/>
      </c>
      <c r="BG940" s="105">
        <f>IFERROR(1/BM940/BH940*BQ940,"")</f>
        <v/>
      </c>
      <c r="BH940" s="102">
        <f>MAX((CE940-Driver!$F$200)/(Driver!$G$200-Driver!$F$200)*$BI$1,1)</f>
        <v/>
      </c>
      <c r="BI940" s="102">
        <f>MAX($BI$1*(BY940-Driver!$F$201)/(Driver!$G$201-Driver!$F$201),1)</f>
        <v/>
      </c>
      <c r="BJ940" s="102">
        <f>(CB940-Driver!$F$206)/(Driver!$G$206-Driver!$F$206)*$BI$1</f>
        <v/>
      </c>
      <c r="BK940" s="102">
        <f>(CD940-Driver!$F$203)/(Driver!$G$203-Driver!$F$203)*$BI$1</f>
        <v/>
      </c>
      <c r="BL940" s="102">
        <f>MAX((CR940-Driver!$F$202)/(Driver!$G$202-Driver!$F$202)*$BI$1,1)</f>
        <v/>
      </c>
      <c r="BM940" s="102">
        <f>MAX((CH940-Driver!$F$204)/(Driver!$G$204-Driver!$F$204)*$BI$1,1)</f>
        <v/>
      </c>
      <c r="BN940" s="102">
        <f>(CI940-Driver!$F$205)/(Driver!$G$205-Driver!$F$205)*$BI$1</f>
        <v/>
      </c>
      <c r="BO940" s="102">
        <f>(CK940-Driver!$F$207)/(Driver!$G$207-Driver!$F$207)*$BI$1</f>
        <v/>
      </c>
      <c r="BP940" s="102">
        <f>(CM940-Driver!$F$208)/(Driver!$G$208-Driver!$F$208)*$BI$1</f>
        <v/>
      </c>
      <c r="BQ940" s="102">
        <f>(CL940-Driver!$F$209)/(Driver!$G$209-Driver!$F$209)*$BI$1</f>
        <v/>
      </c>
      <c r="BR940" s="40" t="inlineStr">
        <is>
          <t>21/22</t>
        </is>
      </c>
      <c r="BS940" s="10" t="inlineStr">
        <is>
          <t xml:space="preserve"> Dynastar</t>
        </is>
      </c>
      <c r="BT940" s="11" t="inlineStr">
        <is>
          <t>M-Free 108</t>
        </is>
      </c>
      <c r="BU940" s="13" t="n">
        <v>182</v>
      </c>
      <c r="BV940" s="11" t="inlineStr">
        <is>
          <t xml:space="preserve"> Unisex</t>
        </is>
      </c>
      <c r="BW940" s="13" t="n">
        <v>182</v>
      </c>
      <c r="BX940" s="13" t="n">
        <v>181.7</v>
      </c>
      <c r="BY940" s="13" t="n">
        <v>116</v>
      </c>
      <c r="BZ940" s="13" t="n">
        <v>145</v>
      </c>
      <c r="CA940" s="13" t="n">
        <v>136</v>
      </c>
      <c r="CB940" s="13" t="n">
        <v>107</v>
      </c>
      <c r="CC940" s="13" t="n">
        <v>127</v>
      </c>
      <c r="CD940" s="13" t="n">
        <v>18.3</v>
      </c>
      <c r="CE940" s="13" t="n">
        <v>2192</v>
      </c>
      <c r="CF940" s="13" t="n">
        <v>0.97</v>
      </c>
      <c r="CG940" s="13" t="n">
        <v>2122</v>
      </c>
      <c r="CH940" s="13" t="n">
        <v>260</v>
      </c>
      <c r="CI940" s="13" t="n">
        <v>117</v>
      </c>
      <c r="CJ940" s="13" t="n">
        <v>58</v>
      </c>
      <c r="CK940" s="13" t="n">
        <v>316</v>
      </c>
      <c r="CL940" s="13" t="n">
        <v>41</v>
      </c>
      <c r="CM940" s="13" t="n">
        <v>340</v>
      </c>
      <c r="CN940" s="13" t="n">
        <v>0.716</v>
      </c>
      <c r="CO940" s="13" t="n">
        <v>189</v>
      </c>
      <c r="CP940" s="13" t="n">
        <v>180</v>
      </c>
      <c r="CQ940" s="13" t="n">
        <v>127</v>
      </c>
      <c r="CR940" s="13" t="n">
        <v>7</v>
      </c>
      <c r="CS940" s="13" t="n">
        <v>8.4</v>
      </c>
      <c r="CT940" s="11" t="inlineStr">
        <is>
          <t xml:space="preserve"> Powder</t>
        </is>
      </c>
      <c r="CU940" s="13" t="n"/>
      <c r="CV940" s="13" t="n"/>
      <c r="CW940" s="13" t="n"/>
      <c r="CX940">
        <f>INDEX('Data_Price '!AG$2:AG$1266,MATCH(Data!$DN940,'Data_Price '!$AT$2:$AT$1266,0))</f>
        <v/>
      </c>
      <c r="CY940">
        <f>INDEX('Data_Price '!AH$2:AH$1266,MATCH(Data!$DN940,'Data_Price '!$AT$2:$AT$1266,0))</f>
        <v/>
      </c>
      <c r="CZ940">
        <f>INDEX('Data_Price '!AI$2:AI$1266,MATCH(Data!$DN940,'Data_Price '!$AT$2:$AT$1266,0))</f>
        <v/>
      </c>
      <c r="DA940">
        <f>INDEX('Data_Price '!AJ$2:AJ$1266,MATCH(Data!$DN940,'Data_Price '!$AT$2:$AT$1266,0))</f>
        <v/>
      </c>
      <c r="DB940">
        <f>INDEX('Data_Price '!AK$2:AK$1266,MATCH(Data!$DN940,'Data_Price '!$AT$2:$AT$1266,0))</f>
        <v/>
      </c>
      <c r="DC940">
        <f>INDEX('Data_Price '!AL$2:AL$1266,MATCH(Data!$DN940,'Data_Price '!$AT$2:$AT$1266,0))</f>
        <v/>
      </c>
      <c r="DD940">
        <f>INDEX('Data_Price '!AM$2:AM$1266,MATCH(Data!$DN940,'Data_Price '!$AT$2:$AT$1266,0))</f>
        <v/>
      </c>
      <c r="DE940">
        <f>INDEX('Data_Price '!AN$2:AN$1266,MATCH(Data!$DN940,'Data_Price '!$AT$2:$AT$1266,0))</f>
        <v/>
      </c>
      <c r="DF940">
        <f>INDEX('Data_Price '!AO$2:AO$1266,MATCH(Data!$DN940,'Data_Price '!$AT$2:$AT$1266,0))</f>
        <v/>
      </c>
      <c r="DG940">
        <f>INDEX('Data_Price '!AP$2:AP$1266,MATCH(Data!$DN940,'Data_Price '!$AT$2:$AT$1266,0))</f>
        <v/>
      </c>
      <c r="DH940">
        <f>INDEX('Data_Price '!AQ$2:AQ$1266,MATCH(Data!$DN940,'Data_Price '!$AT$2:$AT$1266,0))</f>
        <v/>
      </c>
      <c r="DI940">
        <f>INDEX('Data_Price '!AR$2:AR$1266,MATCH(Data!$DN940,'Data_Price '!$AT$2:$AT$1266,0))</f>
        <v/>
      </c>
      <c r="DJ940" s="138">
        <f>DA940</f>
        <v/>
      </c>
      <c r="DK940" s="138">
        <f>DE940</f>
        <v/>
      </c>
      <c r="DL940" s="138">
        <f>DI940</f>
        <v/>
      </c>
      <c r="DM940" s="303">
        <f>IF(LEFT(BT940,1)=" ",RIGHT(BT940,LEN(BT940)-1),BT940)</f>
        <v/>
      </c>
      <c r="DN940" s="138">
        <f>_xlfn.CONCAT(BS940,DM940,BU940,BV940)</f>
        <v/>
      </c>
      <c r="DO940" s="307" t="inlineStr">
        <is>
          <t>https://images.evo.com/imgp/250/180346/710820/dynastar-m-free-108-skis-2022-.jpg</t>
        </is>
      </c>
    </row>
    <row r="941" ht="15.6" customHeight="1" s="184">
      <c r="B941" s="303">
        <f t="array" ref="B941">IF(OR(ISERROR(K941:P941)),FALSE,TRUE)</f>
        <v/>
      </c>
      <c r="C941" s="60">
        <f>OR(BR941=Driver!$G$50,Data!BR810=Driver!$H$50)</f>
        <v/>
      </c>
      <c r="D941" s="60">
        <f>OR(BV941=Driver!$G$51,BV941=Driver!$H$51)</f>
        <v/>
      </c>
      <c r="E941" s="60">
        <f>AND(BX941&gt;Driver!$F$54,BX941&lt;Driver!$G$54)</f>
        <v/>
      </c>
      <c r="F941" s="60">
        <f>CL941&gt;Driver!$F$56</f>
        <v/>
      </c>
      <c r="G941" s="60">
        <f>AND(CB941&gt;Driver!$F$55,CB941&lt;Driver!$G$55)</f>
        <v/>
      </c>
      <c r="H941" s="60">
        <f>AND(B941:G941)</f>
        <v/>
      </c>
      <c r="I941" s="60">
        <f>COUNTIFS($H$9:$H$1273,TRUE,$BT$9:$BT$1273,BT941)</f>
        <v/>
      </c>
      <c r="J941" s="60">
        <f t="array" ref="J941">NOT(OR(($H$9:$H$1273=TRUE)*($I$9:$I$1273&gt;0)*($BT$9:$BT$1273=BT941)*($K$9:$K$1273&gt;K941)))</f>
        <v/>
      </c>
      <c r="K941" s="108">
        <f>IFERROR(1-AVERAGE(X941:Y941),"")</f>
        <v/>
      </c>
      <c r="L941" s="108">
        <f>1-X941</f>
        <v/>
      </c>
      <c r="M941" s="108">
        <f>1-Y941</f>
        <v/>
      </c>
      <c r="N941" s="108">
        <f>1-Z941</f>
        <v/>
      </c>
      <c r="O941" s="108">
        <f>1-AA941</f>
        <v/>
      </c>
      <c r="P941" s="108">
        <f>1-AB941</f>
        <v/>
      </c>
      <c r="Q941" s="108" t="n"/>
      <c r="R941" s="108" t="n"/>
      <c r="S941" s="108">
        <f>1-AE941</f>
        <v/>
      </c>
      <c r="T941" s="108">
        <f>1-AF941</f>
        <v/>
      </c>
      <c r="U941" s="108">
        <f>1-AG941</f>
        <v/>
      </c>
      <c r="V941" s="108">
        <f>1-AH941</f>
        <v/>
      </c>
      <c r="W941" s="108">
        <f>1-AI941</f>
        <v/>
      </c>
      <c r="X941" s="108">
        <f>ABS(AJ941-AJ$1)</f>
        <v/>
      </c>
      <c r="Y941" s="108">
        <f>AVERAGE(Z941:AB941)</f>
        <v/>
      </c>
      <c r="Z941" s="108">
        <f>ABS(AL941-AL$1)</f>
        <v/>
      </c>
      <c r="AA941" s="108">
        <f>ABS(AM941-AM$1)</f>
        <v/>
      </c>
      <c r="AB941" s="108">
        <f>ABS(AN941-AN$1)</f>
        <v/>
      </c>
      <c r="AC941" s="108" t="n"/>
      <c r="AD941" s="108" t="n"/>
      <c r="AE941" s="108">
        <f>ABS(AQ$1-AQ941)</f>
        <v/>
      </c>
      <c r="AF941" s="108">
        <f>ABS(AR$1-AR941)</f>
        <v/>
      </c>
      <c r="AG941" s="108">
        <f>ABS(AS$1-AS941)</f>
        <v/>
      </c>
      <c r="AH941" s="108">
        <f>ABS(AT$1-AT941)</f>
        <v/>
      </c>
      <c r="AI941" s="108">
        <f>ABS(AU$1-AU941)</f>
        <v/>
      </c>
      <c r="AJ941" s="108">
        <f>(AV941-Driver!$K$179)/(Driver!$L$179-Driver!$K$179)</f>
        <v/>
      </c>
      <c r="AK941" s="108">
        <f>(AW941-Driver!$K$180)/(Driver!$L$180-Driver!$K$180)</f>
        <v/>
      </c>
      <c r="AL941" s="108">
        <f>(AX941-Driver!$K$181)/(Driver!$L$181-Driver!$K$181)</f>
        <v/>
      </c>
      <c r="AM941" s="108">
        <f>(AY941-Driver!$K$182)/(Driver!$L$182-Driver!$K$182)</f>
        <v/>
      </c>
      <c r="AN941" s="108">
        <f>(AZ941-Driver!$K$183)/(Driver!$L$183-Driver!$K$183)</f>
        <v/>
      </c>
      <c r="AO941" s="108" t="n"/>
      <c r="AP941" s="108" t="n"/>
      <c r="AQ941" s="108">
        <f>(BC941-Driver!$K$188)/(Driver!$L$188-Driver!$K$188)</f>
        <v/>
      </c>
      <c r="AR941" s="108">
        <f>MIN((BD941-Driver!$K$189)/(Driver!$L$189-Driver!$K$189),100%)</f>
        <v/>
      </c>
      <c r="AS941" s="108">
        <f>(BE941-Driver!$K$190)/(Driver!$L$190-Driver!$K$190)</f>
        <v/>
      </c>
      <c r="AT941" s="108">
        <f>(BF941-Driver!$K$191)/(Driver!$L$191-Driver!$K$191)</f>
        <v/>
      </c>
      <c r="AU941" s="108">
        <f>(BG941-Driver!$K$192)/(Driver!$L$192-Driver!$K$192)</f>
        <v/>
      </c>
      <c r="AV941" s="105">
        <f>IFERROR(BM941*BJ941^1/4,"")</f>
        <v/>
      </c>
      <c r="AW941" s="105">
        <f>IFERROR(SUM(AX941:AZ941),"")</f>
        <v/>
      </c>
      <c r="AX941" s="105">
        <f>IFERROR(BH941,"")</f>
        <v/>
      </c>
      <c r="AY941" s="105">
        <f>IFERROR(Driver!$K$19/Data!BH941/Data!BI941*Data!BK941*Data!BL941,"")</f>
        <v/>
      </c>
      <c r="AZ941" s="105">
        <f>IFERROR(BI941*BN941,"")</f>
        <v/>
      </c>
      <c r="BA941" s="105" t="n"/>
      <c r="BB941" s="105" t="n"/>
      <c r="BC941" s="105">
        <f>IFERROR(BI941*BN941*BK941/BJ941^(1/2),"")</f>
        <v/>
      </c>
      <c r="BD941" s="105">
        <f>IFERROR(BH941*BM941*BL941/BJ941/BK941,"")</f>
        <v/>
      </c>
      <c r="BE941" s="105">
        <f>IFERROR(MIN(BI941/BQ941/BP941/BO941/BH941,$BE$1),"")</f>
        <v/>
      </c>
      <c r="BF941" s="105">
        <f>IFERROR(BJ941*BO941*BP941/BK941,"")</f>
        <v/>
      </c>
      <c r="BG941" s="105">
        <f>IFERROR(1/BM941/BH941*BQ941,"")</f>
        <v/>
      </c>
      <c r="BH941" s="102">
        <f>MAX((CE941-Driver!$F$200)/(Driver!$G$200-Driver!$F$200)*$BI$1,1)</f>
        <v/>
      </c>
      <c r="BI941" s="102">
        <f>MAX($BI$1*(BY941-Driver!$F$201)/(Driver!$G$201-Driver!$F$201),1)</f>
        <v/>
      </c>
      <c r="BJ941" s="102">
        <f>(CB941-Driver!$F$206)/(Driver!$G$206-Driver!$F$206)*$BI$1</f>
        <v/>
      </c>
      <c r="BK941" s="102">
        <f>(CD941-Driver!$F$203)/(Driver!$G$203-Driver!$F$203)*$BI$1</f>
        <v/>
      </c>
      <c r="BL941" s="102">
        <f>MAX((CR941-Driver!$F$202)/(Driver!$G$202-Driver!$F$202)*$BI$1,1)</f>
        <v/>
      </c>
      <c r="BM941" s="102">
        <f>MAX((CH941-Driver!$F$204)/(Driver!$G$204-Driver!$F$204)*$BI$1,1)</f>
        <v/>
      </c>
      <c r="BN941" s="102">
        <f>(CI941-Driver!$F$205)/(Driver!$G$205-Driver!$F$205)*$BI$1</f>
        <v/>
      </c>
      <c r="BO941" s="102">
        <f>(CK941-Driver!$F$207)/(Driver!$G$207-Driver!$F$207)*$BI$1</f>
        <v/>
      </c>
      <c r="BP941" s="102">
        <f>(CM941-Driver!$F$208)/(Driver!$G$208-Driver!$F$208)*$BI$1</f>
        <v/>
      </c>
      <c r="BQ941" s="102">
        <f>(CL941-Driver!$F$209)/(Driver!$G$209-Driver!$F$209)*$BI$1</f>
        <v/>
      </c>
      <c r="BR941" s="40" t="inlineStr">
        <is>
          <t>21/22</t>
        </is>
      </c>
      <c r="BS941" s="10" t="inlineStr">
        <is>
          <t xml:space="preserve"> Liberty</t>
        </is>
      </c>
      <c r="BT941" s="11" t="inlineStr">
        <is>
          <t>Genesis 90</t>
        </is>
      </c>
      <c r="BU941" s="13" t="n">
        <v>158</v>
      </c>
      <c r="BV941" s="11" t="inlineStr">
        <is>
          <t xml:space="preserve"> Women's</t>
        </is>
      </c>
      <c r="BW941" s="13" t="n">
        <v>158</v>
      </c>
      <c r="BX941" s="13" t="n">
        <v>157.1</v>
      </c>
      <c r="BY941" s="13" t="n">
        <v>97</v>
      </c>
      <c r="BZ941" s="13" t="n">
        <v>127</v>
      </c>
      <c r="CA941" s="13" t="n">
        <v>125</v>
      </c>
      <c r="CB941" s="13" t="n">
        <v>89</v>
      </c>
      <c r="CC941" s="13" t="n">
        <v>111</v>
      </c>
      <c r="CD941" s="13" t="n">
        <v>13</v>
      </c>
      <c r="CE941" s="13" t="n">
        <v>1431</v>
      </c>
      <c r="CF941" s="13" t="n">
        <v>1.1</v>
      </c>
      <c r="CG941" s="13" t="n">
        <v>1572</v>
      </c>
      <c r="CH941" s="13" t="n">
        <v>162</v>
      </c>
      <c r="CI941" s="13" t="n">
        <v>75</v>
      </c>
      <c r="CJ941" s="13" t="n">
        <v>44</v>
      </c>
      <c r="CK941" s="13" t="n">
        <v>352</v>
      </c>
      <c r="CL941" s="13" t="n">
        <v>23</v>
      </c>
      <c r="CM941" s="13" t="n">
        <v>246</v>
      </c>
      <c r="CN941" s="13" t="n">
        <v>0.518</v>
      </c>
      <c r="CO941" s="13" t="n">
        <v>136</v>
      </c>
      <c r="CP941" s="13" t="n">
        <v>160</v>
      </c>
      <c r="CQ941" s="13" t="n">
        <v>216</v>
      </c>
      <c r="CR941" s="13" t="n">
        <v>4</v>
      </c>
      <c r="CS941" s="13" t="n">
        <v>8.300000000000001</v>
      </c>
      <c r="CT941" s="11" t="inlineStr">
        <is>
          <t xml:space="preserve"> Resort Freeride</t>
        </is>
      </c>
      <c r="CU941" s="11" t="inlineStr">
        <is>
          <t xml:space="preserve"> Touring</t>
        </is>
      </c>
      <c r="CV941" s="13" t="n"/>
      <c r="CW941" s="13" t="n"/>
      <c r="CX941">
        <f>INDEX('Data_Price '!AG$2:AG$1266,MATCH(Data!$DN941,'Data_Price '!$AT$2:$AT$1266,0))</f>
        <v/>
      </c>
      <c r="CY941">
        <f>INDEX('Data_Price '!AH$2:AH$1266,MATCH(Data!$DN941,'Data_Price '!$AT$2:$AT$1266,0))</f>
        <v/>
      </c>
      <c r="CZ941">
        <f>INDEX('Data_Price '!AI$2:AI$1266,MATCH(Data!$DN941,'Data_Price '!$AT$2:$AT$1266,0))</f>
        <v/>
      </c>
      <c r="DA941">
        <f>INDEX('Data_Price '!AJ$2:AJ$1266,MATCH(Data!$DN941,'Data_Price '!$AT$2:$AT$1266,0))</f>
        <v/>
      </c>
      <c r="DB941">
        <f>INDEX('Data_Price '!AK$2:AK$1266,MATCH(Data!$DN941,'Data_Price '!$AT$2:$AT$1266,0))</f>
        <v/>
      </c>
      <c r="DC941">
        <f>INDEX('Data_Price '!AL$2:AL$1266,MATCH(Data!$DN941,'Data_Price '!$AT$2:$AT$1266,0))</f>
        <v/>
      </c>
      <c r="DD941">
        <f>INDEX('Data_Price '!AM$2:AM$1266,MATCH(Data!$DN941,'Data_Price '!$AT$2:$AT$1266,0))</f>
        <v/>
      </c>
      <c r="DE941">
        <f>INDEX('Data_Price '!AN$2:AN$1266,MATCH(Data!$DN941,'Data_Price '!$AT$2:$AT$1266,0))</f>
        <v/>
      </c>
      <c r="DF941">
        <f>INDEX('Data_Price '!AO$2:AO$1266,MATCH(Data!$DN941,'Data_Price '!$AT$2:$AT$1266,0))</f>
        <v/>
      </c>
      <c r="DG941">
        <f>INDEX('Data_Price '!AP$2:AP$1266,MATCH(Data!$DN941,'Data_Price '!$AT$2:$AT$1266,0))</f>
        <v/>
      </c>
      <c r="DH941">
        <f>INDEX('Data_Price '!AQ$2:AQ$1266,MATCH(Data!$DN941,'Data_Price '!$AT$2:$AT$1266,0))</f>
        <v/>
      </c>
      <c r="DI941">
        <f>INDEX('Data_Price '!AR$2:AR$1266,MATCH(Data!$DN941,'Data_Price '!$AT$2:$AT$1266,0))</f>
        <v/>
      </c>
      <c r="DJ941" s="138">
        <f>DA941</f>
        <v/>
      </c>
      <c r="DK941" s="138">
        <f>DE941</f>
        <v/>
      </c>
      <c r="DL941" s="138">
        <f>DI941</f>
        <v/>
      </c>
      <c r="DM941" s="303">
        <f>IF(LEFT(BT941,1)=" ",RIGHT(BT941,LEN(BT941)-1),BT941)</f>
        <v/>
      </c>
      <c r="DN941" s="138">
        <f>_xlfn.CONCAT(BS941,DM941,BU941,BV941)</f>
        <v/>
      </c>
      <c r="DO941" s="307" t="n"/>
    </row>
    <row r="942" ht="15.6" customHeight="1" s="184">
      <c r="B942" s="303">
        <f t="array" ref="B942">IF(OR(ISERROR(K942:P942)),FALSE,TRUE)</f>
        <v/>
      </c>
      <c r="C942" s="60">
        <f>OR(BR942=Driver!$G$50,Data!BR74=Driver!$H$50)</f>
        <v/>
      </c>
      <c r="D942" s="60">
        <f>OR(BV942=Driver!$G$51,BV942=Driver!$H$51)</f>
        <v/>
      </c>
      <c r="E942" s="60">
        <f>AND(BX942&gt;Driver!$F$54,BX942&lt;Driver!$G$54)</f>
        <v/>
      </c>
      <c r="F942" s="60">
        <f>CL942&gt;Driver!$F$56</f>
        <v/>
      </c>
      <c r="G942" s="60">
        <f>AND(CB942&gt;Driver!$F$55,CB942&lt;Driver!$G$55)</f>
        <v/>
      </c>
      <c r="H942" s="60">
        <f>AND(B942:G942)</f>
        <v/>
      </c>
      <c r="I942" s="60">
        <f>COUNTIFS($H$9:$H$1273,TRUE,$BT$9:$BT$1273,BT942)</f>
        <v/>
      </c>
      <c r="J942" s="60">
        <f t="array" ref="J942">NOT(OR(($H$9:$H$1273=TRUE)*($I$9:$I$1273&gt;0)*($BT$9:$BT$1273=BT942)*($K$9:$K$1273&gt;K942)))</f>
        <v/>
      </c>
      <c r="K942" s="108">
        <f>IFERROR(1-AVERAGE(X942:Y942),"")</f>
        <v/>
      </c>
      <c r="L942" s="108">
        <f>1-X942</f>
        <v/>
      </c>
      <c r="M942" s="108">
        <f>1-Y942</f>
        <v/>
      </c>
      <c r="N942" s="108">
        <f>1-Z942</f>
        <v/>
      </c>
      <c r="O942" s="108">
        <f>1-AA942</f>
        <v/>
      </c>
      <c r="P942" s="108">
        <f>1-AB942</f>
        <v/>
      </c>
      <c r="Q942" s="108" t="n"/>
      <c r="R942" s="108" t="n"/>
      <c r="S942" s="108">
        <f>1-AE942</f>
        <v/>
      </c>
      <c r="T942" s="108">
        <f>1-AF942</f>
        <v/>
      </c>
      <c r="U942" s="108">
        <f>1-AG942</f>
        <v/>
      </c>
      <c r="V942" s="108">
        <f>1-AH942</f>
        <v/>
      </c>
      <c r="W942" s="108">
        <f>1-AI942</f>
        <v/>
      </c>
      <c r="X942" s="108">
        <f>ABS(AJ942-AJ$1)</f>
        <v/>
      </c>
      <c r="Y942" s="108">
        <f>AVERAGE(Z942:AB942)</f>
        <v/>
      </c>
      <c r="Z942" s="108">
        <f>ABS(AL942-AL$1)</f>
        <v/>
      </c>
      <c r="AA942" s="108">
        <f>ABS(AM942-AM$1)</f>
        <v/>
      </c>
      <c r="AB942" s="108">
        <f>ABS(AN942-AN$1)</f>
        <v/>
      </c>
      <c r="AC942" s="108" t="n"/>
      <c r="AD942" s="108" t="n"/>
      <c r="AE942" s="108">
        <f>ABS(AQ$1-AQ942)</f>
        <v/>
      </c>
      <c r="AF942" s="108">
        <f>ABS(AR$1-AR942)</f>
        <v/>
      </c>
      <c r="AG942" s="108">
        <f>ABS(AS$1-AS942)</f>
        <v/>
      </c>
      <c r="AH942" s="108">
        <f>ABS(AT$1-AT942)</f>
        <v/>
      </c>
      <c r="AI942" s="108">
        <f>ABS(AU$1-AU942)</f>
        <v/>
      </c>
      <c r="AJ942" s="108">
        <f>(AV942-Driver!$K$179)/(Driver!$L$179-Driver!$K$179)</f>
        <v/>
      </c>
      <c r="AK942" s="108">
        <f>(AW942-Driver!$K$180)/(Driver!$L$180-Driver!$K$180)</f>
        <v/>
      </c>
      <c r="AL942" s="108">
        <f>(AX942-Driver!$K$181)/(Driver!$L$181-Driver!$K$181)</f>
        <v/>
      </c>
      <c r="AM942" s="108">
        <f>(AY942-Driver!$K$182)/(Driver!$L$182-Driver!$K$182)</f>
        <v/>
      </c>
      <c r="AN942" s="108">
        <f>(AZ942-Driver!$K$183)/(Driver!$L$183-Driver!$K$183)</f>
        <v/>
      </c>
      <c r="AO942" s="108" t="n"/>
      <c r="AP942" s="108" t="n"/>
      <c r="AQ942" s="108">
        <f>(BC942-Driver!$K$188)/(Driver!$L$188-Driver!$K$188)</f>
        <v/>
      </c>
      <c r="AR942" s="108">
        <f>MIN((BD942-Driver!$K$189)/(Driver!$L$189-Driver!$K$189),100%)</f>
        <v/>
      </c>
      <c r="AS942" s="108">
        <f>(BE942-Driver!$K$190)/(Driver!$L$190-Driver!$K$190)</f>
        <v/>
      </c>
      <c r="AT942" s="108">
        <f>(BF942-Driver!$K$191)/(Driver!$L$191-Driver!$K$191)</f>
        <v/>
      </c>
      <c r="AU942" s="108">
        <f>(BG942-Driver!$K$192)/(Driver!$L$192-Driver!$K$192)</f>
        <v/>
      </c>
      <c r="AV942" s="105">
        <f>IFERROR(BM942*BJ942^1/4,"")</f>
        <v/>
      </c>
      <c r="AW942" s="105">
        <f>IFERROR(SUM(AX942:AZ942),"")</f>
        <v/>
      </c>
      <c r="AX942" s="105">
        <f>IFERROR(BH942,"")</f>
        <v/>
      </c>
      <c r="AY942" s="105">
        <f>IFERROR(Driver!$K$19/Data!BH942/Data!BI942*Data!BK942*Data!BL942,"")</f>
        <v/>
      </c>
      <c r="AZ942" s="105">
        <f>IFERROR(BI942*BN942,"")</f>
        <v/>
      </c>
      <c r="BA942" s="105" t="n"/>
      <c r="BB942" s="105" t="n"/>
      <c r="BC942" s="105">
        <f>IFERROR(BI942*BN942*BK942/BJ942^(1/2),"")</f>
        <v/>
      </c>
      <c r="BD942" s="105">
        <f>IFERROR(BH942*BM942*BL942/BJ942/BK942,"")</f>
        <v/>
      </c>
      <c r="BE942" s="105">
        <f>IFERROR(MIN(BI942/BQ942/BP942/BO942/BH942,$BE$1),"")</f>
        <v/>
      </c>
      <c r="BF942" s="105">
        <f>IFERROR(BJ942*BO942*BP942/BK942,"")</f>
        <v/>
      </c>
      <c r="BG942" s="105">
        <f>IFERROR(1/BM942/BH942*BQ942,"")</f>
        <v/>
      </c>
      <c r="BH942" s="102">
        <f>MAX((CE942-Driver!$F$200)/(Driver!$G$200-Driver!$F$200)*$BI$1,1)</f>
        <v/>
      </c>
      <c r="BI942" s="102">
        <f>MAX($BI$1*(BY942-Driver!$F$201)/(Driver!$G$201-Driver!$F$201),1)</f>
        <v/>
      </c>
      <c r="BJ942" s="102">
        <f>(CB942-Driver!$F$206)/(Driver!$G$206-Driver!$F$206)*$BI$1</f>
        <v/>
      </c>
      <c r="BK942" s="102">
        <f>(CD942-Driver!$F$203)/(Driver!$G$203-Driver!$F$203)*$BI$1</f>
        <v/>
      </c>
      <c r="BL942" s="102">
        <f>MAX((CR942-Driver!$F$202)/(Driver!$G$202-Driver!$F$202)*$BI$1,1)</f>
        <v/>
      </c>
      <c r="BM942" s="102">
        <f>MAX((CH942-Driver!$F$204)/(Driver!$G$204-Driver!$F$204)*$BI$1,1)</f>
        <v/>
      </c>
      <c r="BN942" s="102">
        <f>(CI942-Driver!$F$205)/(Driver!$G$205-Driver!$F$205)*$BI$1</f>
        <v/>
      </c>
      <c r="BO942" s="102">
        <f>(CK942-Driver!$F$207)/(Driver!$G$207-Driver!$F$207)*$BI$1</f>
        <v/>
      </c>
      <c r="BP942" s="102">
        <f>(CM942-Driver!$F$208)/(Driver!$G$208-Driver!$F$208)*$BI$1</f>
        <v/>
      </c>
      <c r="BQ942" s="102">
        <f>(CL942-Driver!$F$209)/(Driver!$G$209-Driver!$F$209)*$BI$1</f>
        <v/>
      </c>
      <c r="BR942" s="40" t="inlineStr">
        <is>
          <t>21/22</t>
        </is>
      </c>
      <c r="BS942" s="10" t="inlineStr">
        <is>
          <t xml:space="preserve"> Armada</t>
        </is>
      </c>
      <c r="BT942" s="11" t="inlineStr">
        <is>
          <t>Declivity 92 Ti</t>
        </is>
      </c>
      <c r="BU942" s="13" t="n">
        <v>180</v>
      </c>
      <c r="BV942" s="11" t="inlineStr">
        <is>
          <t xml:space="preserve"> Unisex</t>
        </is>
      </c>
      <c r="BW942" s="13" t="n">
        <v>180</v>
      </c>
      <c r="BX942" s="13" t="n">
        <v>179.8</v>
      </c>
      <c r="BY942" s="13" t="n">
        <v>141</v>
      </c>
      <c r="BZ942" s="13" t="n">
        <v>154</v>
      </c>
      <c r="CA942" s="13" t="n">
        <v>130</v>
      </c>
      <c r="CB942" s="13" t="n">
        <v>91</v>
      </c>
      <c r="CC942" s="13" t="n">
        <v>116</v>
      </c>
      <c r="CD942" s="13" t="n">
        <v>17.9</v>
      </c>
      <c r="CE942" s="13" t="n">
        <v>1858</v>
      </c>
      <c r="CF942" s="13" t="n">
        <v>1.01</v>
      </c>
      <c r="CG942" s="13" t="n">
        <v>1871</v>
      </c>
      <c r="CH942" s="13" t="n">
        <v>240</v>
      </c>
      <c r="CI942" s="13" t="n">
        <v>141</v>
      </c>
      <c r="CJ942" s="13" t="n">
        <v>45</v>
      </c>
      <c r="CK942" s="13" t="n">
        <v>243</v>
      </c>
      <c r="CL942" s="13" t="n">
        <v>16</v>
      </c>
      <c r="CM942" s="13" t="n">
        <v>143</v>
      </c>
      <c r="CN942" s="13" t="n">
        <v>0.356</v>
      </c>
      <c r="CO942" s="13" t="n">
        <v>159</v>
      </c>
      <c r="CP942" s="13" t="n">
        <v>95</v>
      </c>
      <c r="CQ942" s="13" t="n">
        <v>84</v>
      </c>
      <c r="CR942" s="13" t="n">
        <v>10</v>
      </c>
      <c r="CS942" s="13" t="n">
        <v>10.5</v>
      </c>
      <c r="CT942" s="11" t="inlineStr">
        <is>
          <t xml:space="preserve"> Resort Freeride</t>
        </is>
      </c>
      <c r="CU942" s="13" t="n"/>
      <c r="CV942" s="13" t="n"/>
      <c r="CW942" s="13" t="n"/>
      <c r="CX942">
        <f>INDEX('Data_Price '!AG$2:AG$1266,MATCH(Data!$DN942,'Data_Price '!$AT$2:$AT$1266,0))</f>
        <v/>
      </c>
      <c r="CY942">
        <f>INDEX('Data_Price '!AH$2:AH$1266,MATCH(Data!$DN942,'Data_Price '!$AT$2:$AT$1266,0))</f>
        <v/>
      </c>
      <c r="CZ942">
        <f>INDEX('Data_Price '!AI$2:AI$1266,MATCH(Data!$DN942,'Data_Price '!$AT$2:$AT$1266,0))</f>
        <v/>
      </c>
      <c r="DA942">
        <f>INDEX('Data_Price '!AJ$2:AJ$1266,MATCH(Data!$DN942,'Data_Price '!$AT$2:$AT$1266,0))</f>
        <v/>
      </c>
      <c r="DB942">
        <f>INDEX('Data_Price '!AK$2:AK$1266,MATCH(Data!$DN942,'Data_Price '!$AT$2:$AT$1266,0))</f>
        <v/>
      </c>
      <c r="DC942">
        <f>INDEX('Data_Price '!AL$2:AL$1266,MATCH(Data!$DN942,'Data_Price '!$AT$2:$AT$1266,0))</f>
        <v/>
      </c>
      <c r="DD942">
        <f>INDEX('Data_Price '!AM$2:AM$1266,MATCH(Data!$DN942,'Data_Price '!$AT$2:$AT$1266,0))</f>
        <v/>
      </c>
      <c r="DE942">
        <f>INDEX('Data_Price '!AN$2:AN$1266,MATCH(Data!$DN942,'Data_Price '!$AT$2:$AT$1266,0))</f>
        <v/>
      </c>
      <c r="DF942">
        <f>INDEX('Data_Price '!AO$2:AO$1266,MATCH(Data!$DN942,'Data_Price '!$AT$2:$AT$1266,0))</f>
        <v/>
      </c>
      <c r="DG942">
        <f>INDEX('Data_Price '!AP$2:AP$1266,MATCH(Data!$DN942,'Data_Price '!$AT$2:$AT$1266,0))</f>
        <v/>
      </c>
      <c r="DH942">
        <f>INDEX('Data_Price '!AQ$2:AQ$1266,MATCH(Data!$DN942,'Data_Price '!$AT$2:$AT$1266,0))</f>
        <v/>
      </c>
      <c r="DI942">
        <f>INDEX('Data_Price '!AR$2:AR$1266,MATCH(Data!$DN942,'Data_Price '!$AT$2:$AT$1266,0))</f>
        <v/>
      </c>
      <c r="DJ942" s="138">
        <f>DA942</f>
        <v/>
      </c>
      <c r="DK942" s="138">
        <f>DE942</f>
        <v/>
      </c>
      <c r="DL942" s="138">
        <f>DI942</f>
        <v/>
      </c>
      <c r="DM942" s="303">
        <f>IF(LEFT(BT942,1)=" ",RIGHT(BT942,LEN(BT942)-1),BT942)</f>
        <v/>
      </c>
      <c r="DN942" s="138">
        <f>_xlfn.CONCAT(BS942,DM942,BU942,BV942)</f>
        <v/>
      </c>
      <c r="DO942" s="307" t="inlineStr">
        <is>
          <t>https://images.evo.com/imgp/250/181506/736829/armada-declivity-92-ti-skis-2022-.jpg</t>
        </is>
      </c>
    </row>
    <row r="943" ht="15.6" customHeight="1" s="184">
      <c r="B943" s="303">
        <f t="array" ref="B943">IF(OR(ISERROR(K943:P943)),FALSE,TRUE)</f>
        <v/>
      </c>
      <c r="C943" s="60">
        <f>OR(BR943=Driver!$G$50,Data!BR1012=Driver!$H$50)</f>
        <v/>
      </c>
      <c r="D943" s="60">
        <f>OR(BV943=Driver!$G$51,BV943=Driver!$H$51)</f>
        <v/>
      </c>
      <c r="E943" s="60">
        <f>AND(BX943&gt;Driver!$F$54,BX943&lt;Driver!$G$54)</f>
        <v/>
      </c>
      <c r="F943" s="60">
        <f>CL943&gt;Driver!$F$56</f>
        <v/>
      </c>
      <c r="G943" s="60">
        <f>AND(CB943&gt;Driver!$F$55,CB943&lt;Driver!$G$55)</f>
        <v/>
      </c>
      <c r="H943" s="60">
        <f>AND(B943:G943)</f>
        <v/>
      </c>
      <c r="I943" s="60">
        <f>COUNTIFS($H$9:$H$1273,TRUE,$BT$9:$BT$1273,BT943)</f>
        <v/>
      </c>
      <c r="J943" s="60">
        <f t="array" ref="J943">NOT(OR(($H$9:$H$1273=TRUE)*($I$9:$I$1273&gt;0)*($BT$9:$BT$1273=BT943)*($K$9:$K$1273&gt;K943)))</f>
        <v/>
      </c>
      <c r="K943" s="108">
        <f>IFERROR(1-AVERAGE(X943:Y943),"")</f>
        <v/>
      </c>
      <c r="L943" s="108">
        <f>1-X943</f>
        <v/>
      </c>
      <c r="M943" s="108">
        <f>1-Y943</f>
        <v/>
      </c>
      <c r="N943" s="108">
        <f>1-Z943</f>
        <v/>
      </c>
      <c r="O943" s="108">
        <f>1-AA943</f>
        <v/>
      </c>
      <c r="P943" s="108">
        <f>1-AB943</f>
        <v/>
      </c>
      <c r="Q943" s="108" t="n"/>
      <c r="R943" s="108" t="n"/>
      <c r="S943" s="108">
        <f>1-AE943</f>
        <v/>
      </c>
      <c r="T943" s="108">
        <f>1-AF943</f>
        <v/>
      </c>
      <c r="U943" s="108">
        <f>1-AG943</f>
        <v/>
      </c>
      <c r="V943" s="108">
        <f>1-AH943</f>
        <v/>
      </c>
      <c r="W943" s="108">
        <f>1-AI943</f>
        <v/>
      </c>
      <c r="X943" s="108">
        <f>ABS(AJ943-AJ$1)</f>
        <v/>
      </c>
      <c r="Y943" s="108">
        <f>AVERAGE(Z943:AB943)</f>
        <v/>
      </c>
      <c r="Z943" s="108">
        <f>ABS(AL943-AL$1)</f>
        <v/>
      </c>
      <c r="AA943" s="108">
        <f>ABS(AM943-AM$1)</f>
        <v/>
      </c>
      <c r="AB943" s="108">
        <f>ABS(AN943-AN$1)</f>
        <v/>
      </c>
      <c r="AC943" s="108" t="n"/>
      <c r="AD943" s="108" t="n"/>
      <c r="AE943" s="108">
        <f>ABS(AQ$1-AQ943)</f>
        <v/>
      </c>
      <c r="AF943" s="108">
        <f>ABS(AR$1-AR943)</f>
        <v/>
      </c>
      <c r="AG943" s="108">
        <f>ABS(AS$1-AS943)</f>
        <v/>
      </c>
      <c r="AH943" s="108">
        <f>ABS(AT$1-AT943)</f>
        <v/>
      </c>
      <c r="AI943" s="108">
        <f>ABS(AU$1-AU943)</f>
        <v/>
      </c>
      <c r="AJ943" s="108">
        <f>(AV943-Driver!$K$179)/(Driver!$L$179-Driver!$K$179)</f>
        <v/>
      </c>
      <c r="AK943" s="108">
        <f>(AW943-Driver!$K$180)/(Driver!$L$180-Driver!$K$180)</f>
        <v/>
      </c>
      <c r="AL943" s="108">
        <f>(AX943-Driver!$K$181)/(Driver!$L$181-Driver!$K$181)</f>
        <v/>
      </c>
      <c r="AM943" s="108">
        <f>(AY943-Driver!$K$182)/(Driver!$L$182-Driver!$K$182)</f>
        <v/>
      </c>
      <c r="AN943" s="108">
        <f>(AZ943-Driver!$K$183)/(Driver!$L$183-Driver!$K$183)</f>
        <v/>
      </c>
      <c r="AO943" s="108" t="n"/>
      <c r="AP943" s="108" t="n"/>
      <c r="AQ943" s="108">
        <f>(BC943-Driver!$K$188)/(Driver!$L$188-Driver!$K$188)</f>
        <v/>
      </c>
      <c r="AR943" s="108">
        <f>MIN((BD943-Driver!$K$189)/(Driver!$L$189-Driver!$K$189),100%)</f>
        <v/>
      </c>
      <c r="AS943" s="108">
        <f>(BE943-Driver!$K$190)/(Driver!$L$190-Driver!$K$190)</f>
        <v/>
      </c>
      <c r="AT943" s="108">
        <f>(BF943-Driver!$K$191)/(Driver!$L$191-Driver!$K$191)</f>
        <v/>
      </c>
      <c r="AU943" s="108">
        <f>(BG943-Driver!$K$192)/(Driver!$L$192-Driver!$K$192)</f>
        <v/>
      </c>
      <c r="AV943" s="105">
        <f>IFERROR(BM943*BJ943^1/4,"")</f>
        <v/>
      </c>
      <c r="AW943" s="105">
        <f>IFERROR(SUM(AX943:AZ943),"")</f>
        <v/>
      </c>
      <c r="AX943" s="105">
        <f>IFERROR(BH943,"")</f>
        <v/>
      </c>
      <c r="AY943" s="105">
        <f>IFERROR(Driver!$K$19/Data!BH943/Data!BI943*Data!BK943*Data!BL943,"")</f>
        <v/>
      </c>
      <c r="AZ943" s="105">
        <f>IFERROR(BI943*BN943,"")</f>
        <v/>
      </c>
      <c r="BA943" s="105" t="n"/>
      <c r="BB943" s="105" t="n"/>
      <c r="BC943" s="105">
        <f>IFERROR(BI943*BN943*BK943/BJ943^(1/2),"")</f>
        <v/>
      </c>
      <c r="BD943" s="105">
        <f>IFERROR(BH943*BM943*BL943/BJ943/BK943,"")</f>
        <v/>
      </c>
      <c r="BE943" s="105">
        <f>IFERROR(MIN(BI943/BQ943/BP943/BO943/BH943,$BE$1),"")</f>
        <v/>
      </c>
      <c r="BF943" s="105">
        <f>IFERROR(BJ943*BO943*BP943/BK943,"")</f>
        <v/>
      </c>
      <c r="BG943" s="105">
        <f>IFERROR(1/BM943/BH943*BQ943,"")</f>
        <v/>
      </c>
      <c r="BH943" s="102">
        <f>MAX((CE943-Driver!$F$200)/(Driver!$G$200-Driver!$F$200)*$BI$1,1)</f>
        <v/>
      </c>
      <c r="BI943" s="102">
        <f>MAX($BI$1*(BY943-Driver!$F$201)/(Driver!$G$201-Driver!$F$201),1)</f>
        <v/>
      </c>
      <c r="BJ943" s="102">
        <f>(CB943-Driver!$F$206)/(Driver!$G$206-Driver!$F$206)*$BI$1</f>
        <v/>
      </c>
      <c r="BK943" s="102">
        <f>(CD943-Driver!$F$203)/(Driver!$G$203-Driver!$F$203)*$BI$1</f>
        <v/>
      </c>
      <c r="BL943" s="102">
        <f>MAX((CR943-Driver!$F$202)/(Driver!$G$202-Driver!$F$202)*$BI$1,1)</f>
        <v/>
      </c>
      <c r="BM943" s="102">
        <f>MAX((CH943-Driver!$F$204)/(Driver!$G$204-Driver!$F$204)*$BI$1,1)</f>
        <v/>
      </c>
      <c r="BN943" s="102">
        <f>(CI943-Driver!$F$205)/(Driver!$G$205-Driver!$F$205)*$BI$1</f>
        <v/>
      </c>
      <c r="BO943" s="102">
        <f>(CK943-Driver!$F$207)/(Driver!$G$207-Driver!$F$207)*$BI$1</f>
        <v/>
      </c>
      <c r="BP943" s="102">
        <f>(CM943-Driver!$F$208)/(Driver!$G$208-Driver!$F$208)*$BI$1</f>
        <v/>
      </c>
      <c r="BQ943" s="102">
        <f>(CL943-Driver!$F$209)/(Driver!$G$209-Driver!$F$209)*$BI$1</f>
        <v/>
      </c>
      <c r="BR943" s="40" t="inlineStr">
        <is>
          <t>21/22</t>
        </is>
      </c>
      <c r="BS943" s="10" t="inlineStr">
        <is>
          <t xml:space="preserve"> Rossignol</t>
        </is>
      </c>
      <c r="BT943" s="11" t="inlineStr">
        <is>
          <t>Experience 82 Basalt W</t>
        </is>
      </c>
      <c r="BU943" s="13" t="n">
        <v>151</v>
      </c>
      <c r="BV943" s="11" t="inlineStr">
        <is>
          <t xml:space="preserve"> Women's</t>
        </is>
      </c>
      <c r="BW943" s="13" t="n">
        <v>151</v>
      </c>
      <c r="BX943" s="13" t="n">
        <v>150.4</v>
      </c>
      <c r="BY943" s="13" t="n">
        <v>111</v>
      </c>
      <c r="BZ943" s="13" t="n">
        <v>136</v>
      </c>
      <c r="CA943" s="13" t="n">
        <v>125</v>
      </c>
      <c r="CB943" s="13" t="n">
        <v>80</v>
      </c>
      <c r="CC943" s="13" t="n">
        <v>113</v>
      </c>
      <c r="CD943" s="13" t="n">
        <v>11.4</v>
      </c>
      <c r="CE943" s="13" t="n">
        <v>1601</v>
      </c>
      <c r="CF943" s="13" t="n">
        <v>0.89</v>
      </c>
      <c r="CG943" s="13" t="n">
        <v>1425</v>
      </c>
      <c r="CH943" s="13" t="n">
        <v>174</v>
      </c>
      <c r="CI943" s="13" t="n">
        <v>61</v>
      </c>
      <c r="CJ943" s="13" t="n">
        <v>49</v>
      </c>
      <c r="CK943" s="13" t="n">
        <v>263</v>
      </c>
      <c r="CL943" s="13" t="n">
        <v>13</v>
      </c>
      <c r="CM943" s="13" t="n">
        <v>127</v>
      </c>
      <c r="CN943" s="13" t="n">
        <v>0.259</v>
      </c>
      <c r="CO943" s="13" t="n">
        <v>76</v>
      </c>
      <c r="CP943" s="13" t="n">
        <v>68</v>
      </c>
      <c r="CQ943" s="13" t="n">
        <v>187</v>
      </c>
      <c r="CR943" s="13" t="n">
        <v>8</v>
      </c>
      <c r="CS943" s="13" t="n">
        <v>6.8</v>
      </c>
      <c r="CT943" s="11" t="inlineStr">
        <is>
          <t xml:space="preserve"> Other</t>
        </is>
      </c>
      <c r="CU943" s="13" t="n"/>
      <c r="CV943" s="13" t="n"/>
      <c r="CW943" s="13" t="n"/>
      <c r="CX943">
        <f>INDEX('Data_Price '!AG$2:AG$1266,MATCH(Data!$DN943,'Data_Price '!$AT$2:$AT$1266,0))</f>
        <v/>
      </c>
      <c r="CY943">
        <f>INDEX('Data_Price '!AH$2:AH$1266,MATCH(Data!$DN943,'Data_Price '!$AT$2:$AT$1266,0))</f>
        <v/>
      </c>
      <c r="CZ943">
        <f>INDEX('Data_Price '!AI$2:AI$1266,MATCH(Data!$DN943,'Data_Price '!$AT$2:$AT$1266,0))</f>
        <v/>
      </c>
      <c r="DA943">
        <f>INDEX('Data_Price '!AJ$2:AJ$1266,MATCH(Data!$DN943,'Data_Price '!$AT$2:$AT$1266,0))</f>
        <v/>
      </c>
      <c r="DB943">
        <f>INDEX('Data_Price '!AK$2:AK$1266,MATCH(Data!$DN943,'Data_Price '!$AT$2:$AT$1266,0))</f>
        <v/>
      </c>
      <c r="DC943">
        <f>INDEX('Data_Price '!AL$2:AL$1266,MATCH(Data!$DN943,'Data_Price '!$AT$2:$AT$1266,0))</f>
        <v/>
      </c>
      <c r="DD943">
        <f>INDEX('Data_Price '!AM$2:AM$1266,MATCH(Data!$DN943,'Data_Price '!$AT$2:$AT$1266,0))</f>
        <v/>
      </c>
      <c r="DE943">
        <f>INDEX('Data_Price '!AN$2:AN$1266,MATCH(Data!$DN943,'Data_Price '!$AT$2:$AT$1266,0))</f>
        <v/>
      </c>
      <c r="DF943">
        <f>INDEX('Data_Price '!AO$2:AO$1266,MATCH(Data!$DN943,'Data_Price '!$AT$2:$AT$1266,0))</f>
        <v/>
      </c>
      <c r="DG943">
        <f>INDEX('Data_Price '!AP$2:AP$1266,MATCH(Data!$DN943,'Data_Price '!$AT$2:$AT$1266,0))</f>
        <v/>
      </c>
      <c r="DH943">
        <f>INDEX('Data_Price '!AQ$2:AQ$1266,MATCH(Data!$DN943,'Data_Price '!$AT$2:$AT$1266,0))</f>
        <v/>
      </c>
      <c r="DI943">
        <f>INDEX('Data_Price '!AR$2:AR$1266,MATCH(Data!$DN943,'Data_Price '!$AT$2:$AT$1266,0))</f>
        <v/>
      </c>
      <c r="DJ943" s="138">
        <f>DA943</f>
        <v/>
      </c>
      <c r="DK943" s="138">
        <f>DE943</f>
        <v/>
      </c>
      <c r="DL943" s="138">
        <f>DI943</f>
        <v/>
      </c>
      <c r="DM943" s="303">
        <f>IF(LEFT(BT943,1)=" ",RIGHT(BT943,LEN(BT943)-1),BT943)</f>
        <v/>
      </c>
      <c r="DN943" s="138">
        <f>_xlfn.CONCAT(BS943,DM943,BU943,BV943)</f>
        <v/>
      </c>
      <c r="DO943" s="307" t="n"/>
    </row>
    <row r="944" ht="15.6" customHeight="1" s="184">
      <c r="B944" s="303">
        <f t="array" ref="B944">IF(OR(ISERROR(K944:P944)),FALSE,TRUE)</f>
        <v/>
      </c>
      <c r="C944" s="60">
        <f>OR(BR944=Driver!$G$50,Data!BR486=Driver!$H$50)</f>
        <v/>
      </c>
      <c r="D944" s="60">
        <f>OR(BV944=Driver!$G$51,BV944=Driver!$H$51)</f>
        <v/>
      </c>
      <c r="E944" s="60">
        <f>AND(BX944&gt;Driver!$F$54,BX944&lt;Driver!$G$54)</f>
        <v/>
      </c>
      <c r="F944" s="60">
        <f>CL944&gt;Driver!$F$56</f>
        <v/>
      </c>
      <c r="G944" s="60">
        <f>AND(CB944&gt;Driver!$F$55,CB944&lt;Driver!$G$55)</f>
        <v/>
      </c>
      <c r="H944" s="60">
        <f>AND(B944:G944)</f>
        <v/>
      </c>
      <c r="I944" s="60">
        <f>COUNTIFS($H$9:$H$1273,TRUE,$BT$9:$BT$1273,BT944)</f>
        <v/>
      </c>
      <c r="J944" s="60">
        <f t="array" ref="J944">NOT(OR(($H$9:$H$1273=TRUE)*($I$9:$I$1273&gt;0)*($BT$9:$BT$1273=BT944)*($K$9:$K$1273&gt;K944)))</f>
        <v/>
      </c>
      <c r="K944" s="108">
        <f>IFERROR(1-AVERAGE(X944:Y944),"")</f>
        <v/>
      </c>
      <c r="L944" s="108">
        <f>1-X944</f>
        <v/>
      </c>
      <c r="M944" s="108">
        <f>1-Y944</f>
        <v/>
      </c>
      <c r="N944" s="108">
        <f>1-Z944</f>
        <v/>
      </c>
      <c r="O944" s="108">
        <f>1-AA944</f>
        <v/>
      </c>
      <c r="P944" s="108">
        <f>1-AB944</f>
        <v/>
      </c>
      <c r="Q944" s="108" t="n"/>
      <c r="R944" s="108" t="n"/>
      <c r="S944" s="108">
        <f>1-AE944</f>
        <v/>
      </c>
      <c r="T944" s="108">
        <f>1-AF944</f>
        <v/>
      </c>
      <c r="U944" s="108">
        <f>1-AG944</f>
        <v/>
      </c>
      <c r="V944" s="108">
        <f>1-AH944</f>
        <v/>
      </c>
      <c r="W944" s="108">
        <f>1-AI944</f>
        <v/>
      </c>
      <c r="X944" s="108">
        <f>ABS(AJ944-AJ$1)</f>
        <v/>
      </c>
      <c r="Y944" s="108">
        <f>AVERAGE(Z944:AB944)</f>
        <v/>
      </c>
      <c r="Z944" s="108">
        <f>ABS(AL944-AL$1)</f>
        <v/>
      </c>
      <c r="AA944" s="108">
        <f>ABS(AM944-AM$1)</f>
        <v/>
      </c>
      <c r="AB944" s="108">
        <f>ABS(AN944-AN$1)</f>
        <v/>
      </c>
      <c r="AC944" s="108" t="n"/>
      <c r="AD944" s="108" t="n"/>
      <c r="AE944" s="108">
        <f>ABS(AQ$1-AQ944)</f>
        <v/>
      </c>
      <c r="AF944" s="108">
        <f>ABS(AR$1-AR944)</f>
        <v/>
      </c>
      <c r="AG944" s="108">
        <f>ABS(AS$1-AS944)</f>
        <v/>
      </c>
      <c r="AH944" s="108">
        <f>ABS(AT$1-AT944)</f>
        <v/>
      </c>
      <c r="AI944" s="108">
        <f>ABS(AU$1-AU944)</f>
        <v/>
      </c>
      <c r="AJ944" s="108">
        <f>(AV944-Driver!$K$179)/(Driver!$L$179-Driver!$K$179)</f>
        <v/>
      </c>
      <c r="AK944" s="108">
        <f>(AW944-Driver!$K$180)/(Driver!$L$180-Driver!$K$180)</f>
        <v/>
      </c>
      <c r="AL944" s="108">
        <f>(AX944-Driver!$K$181)/(Driver!$L$181-Driver!$K$181)</f>
        <v/>
      </c>
      <c r="AM944" s="108">
        <f>(AY944-Driver!$K$182)/(Driver!$L$182-Driver!$K$182)</f>
        <v/>
      </c>
      <c r="AN944" s="108">
        <f>(AZ944-Driver!$K$183)/(Driver!$L$183-Driver!$K$183)</f>
        <v/>
      </c>
      <c r="AO944" s="108" t="n"/>
      <c r="AP944" s="108" t="n"/>
      <c r="AQ944" s="108">
        <f>(BC944-Driver!$K$188)/(Driver!$L$188-Driver!$K$188)</f>
        <v/>
      </c>
      <c r="AR944" s="108">
        <f>MIN((BD944-Driver!$K$189)/(Driver!$L$189-Driver!$K$189),100%)</f>
        <v/>
      </c>
      <c r="AS944" s="108">
        <f>(BE944-Driver!$K$190)/(Driver!$L$190-Driver!$K$190)</f>
        <v/>
      </c>
      <c r="AT944" s="108">
        <f>(BF944-Driver!$K$191)/(Driver!$L$191-Driver!$K$191)</f>
        <v/>
      </c>
      <c r="AU944" s="108">
        <f>(BG944-Driver!$K$192)/(Driver!$L$192-Driver!$K$192)</f>
        <v/>
      </c>
      <c r="AV944" s="105">
        <f>IFERROR(BM944*BJ944^1/4,"")</f>
        <v/>
      </c>
      <c r="AW944" s="105">
        <f>IFERROR(SUM(AX944:AZ944),"")</f>
        <v/>
      </c>
      <c r="AX944" s="105">
        <f>IFERROR(BH944,"")</f>
        <v/>
      </c>
      <c r="AY944" s="105">
        <f>IFERROR(Driver!$K$19/Data!BH944/Data!BI944*Data!BK944*Data!BL944,"")</f>
        <v/>
      </c>
      <c r="AZ944" s="105">
        <f>IFERROR(BI944*BN944,"")</f>
        <v/>
      </c>
      <c r="BA944" s="105" t="n"/>
      <c r="BB944" s="105" t="n"/>
      <c r="BC944" s="105">
        <f>IFERROR(BI944*BN944*BK944/BJ944^(1/2),"")</f>
        <v/>
      </c>
      <c r="BD944" s="105">
        <f>IFERROR(BH944*BM944*BL944/BJ944/BK944,"")</f>
        <v/>
      </c>
      <c r="BE944" s="105">
        <f>IFERROR(MIN(BI944/BQ944/BP944/BO944/BH944,$BE$1),"")</f>
        <v/>
      </c>
      <c r="BF944" s="105">
        <f>IFERROR(BJ944*BO944*BP944/BK944,"")</f>
        <v/>
      </c>
      <c r="BG944" s="105">
        <f>IFERROR(1/BM944/BH944*BQ944,"")</f>
        <v/>
      </c>
      <c r="BH944" s="102">
        <f>MAX((CE944-Driver!$F$200)/(Driver!$G$200-Driver!$F$200)*$BI$1,1)</f>
        <v/>
      </c>
      <c r="BI944" s="102">
        <f>MAX($BI$1*(BY944-Driver!$F$201)/(Driver!$G$201-Driver!$F$201),1)</f>
        <v/>
      </c>
      <c r="BJ944" s="102">
        <f>(CB944-Driver!$F$206)/(Driver!$G$206-Driver!$F$206)*$BI$1</f>
        <v/>
      </c>
      <c r="BK944" s="102">
        <f>(CD944-Driver!$F$203)/(Driver!$G$203-Driver!$F$203)*$BI$1</f>
        <v/>
      </c>
      <c r="BL944" s="102">
        <f>MAX((CR944-Driver!$F$202)/(Driver!$G$202-Driver!$F$202)*$BI$1,1)</f>
        <v/>
      </c>
      <c r="BM944" s="102">
        <f>MAX((CH944-Driver!$F$204)/(Driver!$G$204-Driver!$F$204)*$BI$1,1)</f>
        <v/>
      </c>
      <c r="BN944" s="102">
        <f>(CI944-Driver!$F$205)/(Driver!$G$205-Driver!$F$205)*$BI$1</f>
        <v/>
      </c>
      <c r="BO944" s="102">
        <f>(CK944-Driver!$F$207)/(Driver!$G$207-Driver!$F$207)*$BI$1</f>
        <v/>
      </c>
      <c r="BP944" s="102">
        <f>(CM944-Driver!$F$208)/(Driver!$G$208-Driver!$F$208)*$BI$1</f>
        <v/>
      </c>
      <c r="BQ944" s="102">
        <f>(CL944-Driver!$F$209)/(Driver!$G$209-Driver!$F$209)*$BI$1</f>
        <v/>
      </c>
      <c r="BR944" s="40" t="inlineStr">
        <is>
          <t>21/22</t>
        </is>
      </c>
      <c r="BS944" s="10" t="inlineStr">
        <is>
          <t xml:space="preserve"> Faction</t>
        </is>
      </c>
      <c r="BT944" s="11" t="inlineStr">
        <is>
          <t>Agent 1.0 X</t>
        </is>
      </c>
      <c r="BU944" s="13" t="n">
        <v>154</v>
      </c>
      <c r="BV944" s="11" t="inlineStr">
        <is>
          <t xml:space="preserve"> Women's</t>
        </is>
      </c>
      <c r="BW944" s="13" t="n">
        <v>154</v>
      </c>
      <c r="BX944" s="13" t="n">
        <v>152.2</v>
      </c>
      <c r="BY944" s="13" t="n">
        <v>118</v>
      </c>
      <c r="BZ944" s="13" t="n">
        <v>129</v>
      </c>
      <c r="CA944" s="13" t="n">
        <v>119</v>
      </c>
      <c r="CB944" s="13" t="n">
        <v>85</v>
      </c>
      <c r="CC944" s="13" t="n">
        <v>109</v>
      </c>
      <c r="CD944" s="13" t="n">
        <v>13.2</v>
      </c>
      <c r="CE944" s="13" t="n">
        <v>1297</v>
      </c>
      <c r="CF944" s="13" t="n">
        <v>1.14</v>
      </c>
      <c r="CG944" s="13" t="n">
        <v>1476</v>
      </c>
      <c r="CH944" s="13" t="n">
        <v>172</v>
      </c>
      <c r="CI944" s="13" t="n">
        <v>76</v>
      </c>
      <c r="CJ944" s="13" t="n">
        <v>51</v>
      </c>
      <c r="CK944" s="13" t="n">
        <v>206</v>
      </c>
      <c r="CL944" s="13" t="n">
        <v>19</v>
      </c>
      <c r="CM944" s="13" t="n">
        <v>133</v>
      </c>
      <c r="CN944" s="13" t="n">
        <v>0.376</v>
      </c>
      <c r="CO944" s="13" t="n">
        <v>138</v>
      </c>
      <c r="CP944" s="13" t="n">
        <v>96</v>
      </c>
      <c r="CQ944" s="13" t="n">
        <v>68</v>
      </c>
      <c r="CR944" s="13" t="n">
        <v>6</v>
      </c>
      <c r="CS944" s="13" t="n">
        <v>9.199999999999999</v>
      </c>
      <c r="CT944" s="11" t="inlineStr">
        <is>
          <t xml:space="preserve"> Resort Freeride</t>
        </is>
      </c>
      <c r="CU944" s="11" t="inlineStr">
        <is>
          <t xml:space="preserve"> Touring</t>
        </is>
      </c>
      <c r="CV944" s="13" t="n"/>
      <c r="CW944" s="13" t="n"/>
      <c r="CX944">
        <f>INDEX('Data_Price '!AG$2:AG$1266,MATCH(Data!$DN944,'Data_Price '!$AT$2:$AT$1266,0))</f>
        <v/>
      </c>
      <c r="CY944">
        <f>INDEX('Data_Price '!AH$2:AH$1266,MATCH(Data!$DN944,'Data_Price '!$AT$2:$AT$1266,0))</f>
        <v/>
      </c>
      <c r="CZ944">
        <f>INDEX('Data_Price '!AI$2:AI$1266,MATCH(Data!$DN944,'Data_Price '!$AT$2:$AT$1266,0))</f>
        <v/>
      </c>
      <c r="DA944">
        <f>INDEX('Data_Price '!AJ$2:AJ$1266,MATCH(Data!$DN944,'Data_Price '!$AT$2:$AT$1266,0))</f>
        <v/>
      </c>
      <c r="DB944">
        <f>INDEX('Data_Price '!AK$2:AK$1266,MATCH(Data!$DN944,'Data_Price '!$AT$2:$AT$1266,0))</f>
        <v/>
      </c>
      <c r="DC944">
        <f>INDEX('Data_Price '!AL$2:AL$1266,MATCH(Data!$DN944,'Data_Price '!$AT$2:$AT$1266,0))</f>
        <v/>
      </c>
      <c r="DD944">
        <f>INDEX('Data_Price '!AM$2:AM$1266,MATCH(Data!$DN944,'Data_Price '!$AT$2:$AT$1266,0))</f>
        <v/>
      </c>
      <c r="DE944">
        <f>INDEX('Data_Price '!AN$2:AN$1266,MATCH(Data!$DN944,'Data_Price '!$AT$2:$AT$1266,0))</f>
        <v/>
      </c>
      <c r="DF944">
        <f>INDEX('Data_Price '!AO$2:AO$1266,MATCH(Data!$DN944,'Data_Price '!$AT$2:$AT$1266,0))</f>
        <v/>
      </c>
      <c r="DG944">
        <f>INDEX('Data_Price '!AP$2:AP$1266,MATCH(Data!$DN944,'Data_Price '!$AT$2:$AT$1266,0))</f>
        <v/>
      </c>
      <c r="DH944">
        <f>INDEX('Data_Price '!AQ$2:AQ$1266,MATCH(Data!$DN944,'Data_Price '!$AT$2:$AT$1266,0))</f>
        <v/>
      </c>
      <c r="DI944">
        <f>INDEX('Data_Price '!AR$2:AR$1266,MATCH(Data!$DN944,'Data_Price '!$AT$2:$AT$1266,0))</f>
        <v/>
      </c>
      <c r="DJ944" s="138">
        <f>DA944</f>
        <v/>
      </c>
      <c r="DK944" s="138">
        <f>DE944</f>
        <v/>
      </c>
      <c r="DL944" s="138">
        <f>DI944</f>
        <v/>
      </c>
      <c r="DM944" s="303">
        <f>IF(LEFT(BT944,1)=" ",RIGHT(BT944,LEN(BT944)-1),BT944)</f>
        <v/>
      </c>
      <c r="DN944" s="138">
        <f>_xlfn.CONCAT(BS944,DM944,BU944,BV944)</f>
        <v/>
      </c>
      <c r="DO944" s="307" t="n"/>
    </row>
    <row r="945" ht="15.6" customHeight="1" s="184">
      <c r="B945" s="303">
        <f t="array" ref="B945">IF(OR(ISERROR(K945:P945)),FALSE,TRUE)</f>
        <v/>
      </c>
      <c r="C945" s="60">
        <f>OR(BR945=Driver!$G$50,Data!BR1059=Driver!$H$50)</f>
        <v/>
      </c>
      <c r="D945" s="60">
        <f>OR(BV945=Driver!$G$51,BV945=Driver!$H$51)</f>
        <v/>
      </c>
      <c r="E945" s="60">
        <f>AND(BX945&gt;Driver!$F$54,BX945&lt;Driver!$G$54)</f>
        <v/>
      </c>
      <c r="F945" s="60">
        <f>CL945&gt;Driver!$F$56</f>
        <v/>
      </c>
      <c r="G945" s="60">
        <f>AND(CB945&gt;Driver!$F$55,CB945&lt;Driver!$G$55)</f>
        <v/>
      </c>
      <c r="H945" s="60">
        <f>AND(B945:G945)</f>
        <v/>
      </c>
      <c r="I945" s="60">
        <f>COUNTIFS($H$9:$H$1273,TRUE,$BT$9:$BT$1273,BT945)</f>
        <v/>
      </c>
      <c r="J945" s="60">
        <f t="array" ref="J945">NOT(OR(($H$9:$H$1273=TRUE)*($I$9:$I$1273&gt;0)*($BT$9:$BT$1273=BT945)*($K$9:$K$1273&gt;K945)))</f>
        <v/>
      </c>
      <c r="K945" s="108">
        <f>IFERROR(1-AVERAGE(X945:Y945),"")</f>
        <v/>
      </c>
      <c r="L945" s="108">
        <f>1-X945</f>
        <v/>
      </c>
      <c r="M945" s="108">
        <f>1-Y945</f>
        <v/>
      </c>
      <c r="N945" s="108">
        <f>1-Z945</f>
        <v/>
      </c>
      <c r="O945" s="108">
        <f>1-AA945</f>
        <v/>
      </c>
      <c r="P945" s="108">
        <f>1-AB945</f>
        <v/>
      </c>
      <c r="Q945" s="108" t="n"/>
      <c r="R945" s="108" t="n"/>
      <c r="S945" s="108">
        <f>1-AE945</f>
        <v/>
      </c>
      <c r="T945" s="108">
        <f>1-AF945</f>
        <v/>
      </c>
      <c r="U945" s="108">
        <f>1-AG945</f>
        <v/>
      </c>
      <c r="V945" s="108">
        <f>1-AH945</f>
        <v/>
      </c>
      <c r="W945" s="108">
        <f>1-AI945</f>
        <v/>
      </c>
      <c r="X945" s="108">
        <f>ABS(AJ945-AJ$1)</f>
        <v/>
      </c>
      <c r="Y945" s="108">
        <f>AVERAGE(Z945:AB945)</f>
        <v/>
      </c>
      <c r="Z945" s="108">
        <f>ABS(AL945-AL$1)</f>
        <v/>
      </c>
      <c r="AA945" s="108">
        <f>ABS(AM945-AM$1)</f>
        <v/>
      </c>
      <c r="AB945" s="108">
        <f>ABS(AN945-AN$1)</f>
        <v/>
      </c>
      <c r="AC945" s="108" t="n"/>
      <c r="AD945" s="108" t="n"/>
      <c r="AE945" s="108">
        <f>ABS(AQ$1-AQ945)</f>
        <v/>
      </c>
      <c r="AF945" s="108">
        <f>ABS(AR$1-AR945)</f>
        <v/>
      </c>
      <c r="AG945" s="108">
        <f>ABS(AS$1-AS945)</f>
        <v/>
      </c>
      <c r="AH945" s="108">
        <f>ABS(AT$1-AT945)</f>
        <v/>
      </c>
      <c r="AI945" s="108">
        <f>ABS(AU$1-AU945)</f>
        <v/>
      </c>
      <c r="AJ945" s="108">
        <f>(AV945-Driver!$K$179)/(Driver!$L$179-Driver!$K$179)</f>
        <v/>
      </c>
      <c r="AK945" s="108">
        <f>(AW945-Driver!$K$180)/(Driver!$L$180-Driver!$K$180)</f>
        <v/>
      </c>
      <c r="AL945" s="108">
        <f>(AX945-Driver!$K$181)/(Driver!$L$181-Driver!$K$181)</f>
        <v/>
      </c>
      <c r="AM945" s="108">
        <f>(AY945-Driver!$K$182)/(Driver!$L$182-Driver!$K$182)</f>
        <v/>
      </c>
      <c r="AN945" s="108">
        <f>(AZ945-Driver!$K$183)/(Driver!$L$183-Driver!$K$183)</f>
        <v/>
      </c>
      <c r="AO945" s="108" t="n"/>
      <c r="AP945" s="108" t="n"/>
      <c r="AQ945" s="108">
        <f>(BC945-Driver!$K$188)/(Driver!$L$188-Driver!$K$188)</f>
        <v/>
      </c>
      <c r="AR945" s="108">
        <f>MIN((BD945-Driver!$K$189)/(Driver!$L$189-Driver!$K$189),100%)</f>
        <v/>
      </c>
      <c r="AS945" s="108">
        <f>(BE945-Driver!$K$190)/(Driver!$L$190-Driver!$K$190)</f>
        <v/>
      </c>
      <c r="AT945" s="108">
        <f>(BF945-Driver!$K$191)/(Driver!$L$191-Driver!$K$191)</f>
        <v/>
      </c>
      <c r="AU945" s="108">
        <f>(BG945-Driver!$K$192)/(Driver!$L$192-Driver!$K$192)</f>
        <v/>
      </c>
      <c r="AV945" s="105">
        <f>IFERROR(BM945*BJ945^1/4,"")</f>
        <v/>
      </c>
      <c r="AW945" s="105">
        <f>IFERROR(SUM(AX945:AZ945),"")</f>
        <v/>
      </c>
      <c r="AX945" s="105">
        <f>IFERROR(BH945,"")</f>
        <v/>
      </c>
      <c r="AY945" s="105">
        <f>IFERROR(Driver!$K$19/Data!BH945/Data!BI945*Data!BK945*Data!BL945,"")</f>
        <v/>
      </c>
      <c r="AZ945" s="105">
        <f>IFERROR(BI945*BN945,"")</f>
        <v/>
      </c>
      <c r="BA945" s="105" t="n"/>
      <c r="BB945" s="105" t="n"/>
      <c r="BC945" s="105">
        <f>IFERROR(BI945*BN945*BK945/BJ945^(1/2),"")</f>
        <v/>
      </c>
      <c r="BD945" s="105">
        <f>IFERROR(BH945*BM945*BL945/BJ945/BK945,"")</f>
        <v/>
      </c>
      <c r="BE945" s="105">
        <f>IFERROR(MIN(BI945/BQ945/BP945/BO945/BH945,$BE$1),"")</f>
        <v/>
      </c>
      <c r="BF945" s="105">
        <f>IFERROR(BJ945*BO945*BP945/BK945,"")</f>
        <v/>
      </c>
      <c r="BG945" s="105">
        <f>IFERROR(1/BM945/BH945*BQ945,"")</f>
        <v/>
      </c>
      <c r="BH945" s="102">
        <f>MAX((CE945-Driver!$F$200)/(Driver!$G$200-Driver!$F$200)*$BI$1,1)</f>
        <v/>
      </c>
      <c r="BI945" s="102">
        <f>MAX($BI$1*(BY945-Driver!$F$201)/(Driver!$G$201-Driver!$F$201),1)</f>
        <v/>
      </c>
      <c r="BJ945" s="102">
        <f>(CB945-Driver!$F$206)/(Driver!$G$206-Driver!$F$206)*$BI$1</f>
        <v/>
      </c>
      <c r="BK945" s="102">
        <f>(CD945-Driver!$F$203)/(Driver!$G$203-Driver!$F$203)*$BI$1</f>
        <v/>
      </c>
      <c r="BL945" s="102">
        <f>MAX((CR945-Driver!$F$202)/(Driver!$G$202-Driver!$F$202)*$BI$1,1)</f>
        <v/>
      </c>
      <c r="BM945" s="102">
        <f>MAX((CH945-Driver!$F$204)/(Driver!$G$204-Driver!$F$204)*$BI$1,1)</f>
        <v/>
      </c>
      <c r="BN945" s="102">
        <f>(CI945-Driver!$F$205)/(Driver!$G$205-Driver!$F$205)*$BI$1</f>
        <v/>
      </c>
      <c r="BO945" s="102">
        <f>(CK945-Driver!$F$207)/(Driver!$G$207-Driver!$F$207)*$BI$1</f>
        <v/>
      </c>
      <c r="BP945" s="102">
        <f>(CM945-Driver!$F$208)/(Driver!$G$208-Driver!$F$208)*$BI$1</f>
        <v/>
      </c>
      <c r="BQ945" s="102">
        <f>(CL945-Driver!$F$209)/(Driver!$G$209-Driver!$F$209)*$BI$1</f>
        <v/>
      </c>
      <c r="BR945" s="40" t="inlineStr">
        <is>
          <t>21/22</t>
        </is>
      </c>
      <c r="BS945" s="10" t="inlineStr">
        <is>
          <t xml:space="preserve"> Salomon</t>
        </is>
      </c>
      <c r="BT945" s="11" t="inlineStr">
        <is>
          <t>MTN Explore 88</t>
        </is>
      </c>
      <c r="BU945" s="13" t="n">
        <v>169</v>
      </c>
      <c r="BV945" s="11" t="inlineStr">
        <is>
          <t xml:space="preserve"> Unisex</t>
        </is>
      </c>
      <c r="BW945" s="13" t="n">
        <v>169</v>
      </c>
      <c r="BX945" s="13" t="n">
        <v>167.7</v>
      </c>
      <c r="BY945" s="13" t="n">
        <v>134</v>
      </c>
      <c r="BZ945" s="13" t="n">
        <v>146</v>
      </c>
      <c r="CA945" s="13" t="n">
        <v>123</v>
      </c>
      <c r="CB945" s="13" t="n">
        <v>88</v>
      </c>
      <c r="CC945" s="13" t="n">
        <v>109</v>
      </c>
      <c r="CD945" s="13" t="n">
        <v>18.4</v>
      </c>
      <c r="CE945" s="13" t="n">
        <v>1319</v>
      </c>
      <c r="CF945" s="13" t="n">
        <v>1.27</v>
      </c>
      <c r="CG945" s="13" t="n">
        <v>1673</v>
      </c>
      <c r="CH945" s="13" t="n">
        <v>169</v>
      </c>
      <c r="CI945" s="13" t="n">
        <v>66</v>
      </c>
      <c r="CJ945" s="13" t="n">
        <v>50</v>
      </c>
      <c r="CK945" s="13" t="n">
        <v>204</v>
      </c>
      <c r="CL945" s="13" t="n">
        <v>14</v>
      </c>
      <c r="CM945" s="13" t="n">
        <v>138</v>
      </c>
      <c r="CN945" s="13" t="n">
        <v>0.283</v>
      </c>
      <c r="CO945" s="13" t="n">
        <v>137</v>
      </c>
      <c r="CP945" s="13" t="n">
        <v>76</v>
      </c>
      <c r="CQ945" s="13" t="n">
        <v>66</v>
      </c>
      <c r="CR945" s="13" t="n">
        <v>8</v>
      </c>
      <c r="CS945" s="13" t="n">
        <v>11.6</v>
      </c>
      <c r="CT945" s="11" t="inlineStr">
        <is>
          <t xml:space="preserve"> Resort Freeride</t>
        </is>
      </c>
      <c r="CU945" s="11" t="inlineStr">
        <is>
          <t xml:space="preserve"> Touring</t>
        </is>
      </c>
      <c r="CV945" s="11" t="inlineStr">
        <is>
          <t xml:space="preserve"> Ultralight Touring</t>
        </is>
      </c>
      <c r="CW945" s="13" t="n"/>
      <c r="CX945">
        <f>INDEX('Data_Price '!AG$2:AG$1266,MATCH(Data!$DN945,'Data_Price '!$AT$2:$AT$1266,0))</f>
        <v/>
      </c>
      <c r="CY945">
        <f>INDEX('Data_Price '!AH$2:AH$1266,MATCH(Data!$DN945,'Data_Price '!$AT$2:$AT$1266,0))</f>
        <v/>
      </c>
      <c r="CZ945">
        <f>INDEX('Data_Price '!AI$2:AI$1266,MATCH(Data!$DN945,'Data_Price '!$AT$2:$AT$1266,0))</f>
        <v/>
      </c>
      <c r="DA945">
        <f>INDEX('Data_Price '!AJ$2:AJ$1266,MATCH(Data!$DN945,'Data_Price '!$AT$2:$AT$1266,0))</f>
        <v/>
      </c>
      <c r="DB945">
        <f>INDEX('Data_Price '!AK$2:AK$1266,MATCH(Data!$DN945,'Data_Price '!$AT$2:$AT$1266,0))</f>
        <v/>
      </c>
      <c r="DC945">
        <f>INDEX('Data_Price '!AL$2:AL$1266,MATCH(Data!$DN945,'Data_Price '!$AT$2:$AT$1266,0))</f>
        <v/>
      </c>
      <c r="DD945">
        <f>INDEX('Data_Price '!AM$2:AM$1266,MATCH(Data!$DN945,'Data_Price '!$AT$2:$AT$1266,0))</f>
        <v/>
      </c>
      <c r="DE945">
        <f>INDEX('Data_Price '!AN$2:AN$1266,MATCH(Data!$DN945,'Data_Price '!$AT$2:$AT$1266,0))</f>
        <v/>
      </c>
      <c r="DF945">
        <f>INDEX('Data_Price '!AO$2:AO$1266,MATCH(Data!$DN945,'Data_Price '!$AT$2:$AT$1266,0))</f>
        <v/>
      </c>
      <c r="DG945">
        <f>INDEX('Data_Price '!AP$2:AP$1266,MATCH(Data!$DN945,'Data_Price '!$AT$2:$AT$1266,0))</f>
        <v/>
      </c>
      <c r="DH945">
        <f>INDEX('Data_Price '!AQ$2:AQ$1266,MATCH(Data!$DN945,'Data_Price '!$AT$2:$AT$1266,0))</f>
        <v/>
      </c>
      <c r="DI945">
        <f>INDEX('Data_Price '!AR$2:AR$1266,MATCH(Data!$DN945,'Data_Price '!$AT$2:$AT$1266,0))</f>
        <v/>
      </c>
      <c r="DJ945" s="138">
        <f>DA945</f>
        <v/>
      </c>
      <c r="DK945" s="138">
        <f>DE945</f>
        <v/>
      </c>
      <c r="DL945" s="138">
        <f>DI945</f>
        <v/>
      </c>
      <c r="DM945" s="303">
        <f>IF(LEFT(BT945,1)=" ",RIGHT(BT945,LEN(BT945)-1),BT945)</f>
        <v/>
      </c>
      <c r="DN945" s="138">
        <f>_xlfn.CONCAT(BS945,DM945,BU945,BV945)</f>
        <v/>
      </c>
      <c r="DO945" s="307" t="inlineStr">
        <is>
          <t>https://images.evo.com/imgp/250/197285/812041/clone.jpg</t>
        </is>
      </c>
    </row>
    <row r="946" ht="15.6" customHeight="1" s="184">
      <c r="B946" s="303">
        <f t="array" ref="B946">IF(OR(ISERROR(K946:P946)),FALSE,TRUE)</f>
        <v/>
      </c>
      <c r="C946" s="60">
        <f>OR(BR946=Driver!$G$50,Data!BR1051=Driver!$H$50)</f>
        <v/>
      </c>
      <c r="D946" s="60">
        <f>OR(BV946=Driver!$G$51,BV946=Driver!$H$51)</f>
        <v/>
      </c>
      <c r="E946" s="60">
        <f>AND(BX946&gt;Driver!$F$54,BX946&lt;Driver!$G$54)</f>
        <v/>
      </c>
      <c r="F946" s="60">
        <f>CL946&gt;Driver!$F$56</f>
        <v/>
      </c>
      <c r="G946" s="60">
        <f>AND(CB946&gt;Driver!$F$55,CB946&lt;Driver!$G$55)</f>
        <v/>
      </c>
      <c r="H946" s="60">
        <f>AND(B946:G946)</f>
        <v/>
      </c>
      <c r="I946" s="60">
        <f>COUNTIFS($H$9:$H$1273,TRUE,$BT$9:$BT$1273,BT946)</f>
        <v/>
      </c>
      <c r="J946" s="60">
        <f t="array" ref="J946">NOT(OR(($H$9:$H$1273=TRUE)*($I$9:$I$1273&gt;0)*($BT$9:$BT$1273=BT946)*($K$9:$K$1273&gt;K946)))</f>
        <v/>
      </c>
      <c r="K946" s="108">
        <f>IFERROR(1-AVERAGE(X946:Y946),"")</f>
        <v/>
      </c>
      <c r="L946" s="108">
        <f>1-X946</f>
        <v/>
      </c>
      <c r="M946" s="108">
        <f>1-Y946</f>
        <v/>
      </c>
      <c r="N946" s="108">
        <f>1-Z946</f>
        <v/>
      </c>
      <c r="O946" s="108">
        <f>1-AA946</f>
        <v/>
      </c>
      <c r="P946" s="108">
        <f>1-AB946</f>
        <v/>
      </c>
      <c r="Q946" s="108" t="n"/>
      <c r="R946" s="108" t="n"/>
      <c r="S946" s="108">
        <f>1-AE946</f>
        <v/>
      </c>
      <c r="T946" s="108">
        <f>1-AF946</f>
        <v/>
      </c>
      <c r="U946" s="108">
        <f>1-AG946</f>
        <v/>
      </c>
      <c r="V946" s="108">
        <f>1-AH946</f>
        <v/>
      </c>
      <c r="W946" s="108">
        <f>1-AI946</f>
        <v/>
      </c>
      <c r="X946" s="108">
        <f>ABS(AJ946-AJ$1)</f>
        <v/>
      </c>
      <c r="Y946" s="108">
        <f>AVERAGE(Z946:AB946)</f>
        <v/>
      </c>
      <c r="Z946" s="108">
        <f>ABS(AL946-AL$1)</f>
        <v/>
      </c>
      <c r="AA946" s="108">
        <f>ABS(AM946-AM$1)</f>
        <v/>
      </c>
      <c r="AB946" s="108">
        <f>ABS(AN946-AN$1)</f>
        <v/>
      </c>
      <c r="AC946" s="108" t="n"/>
      <c r="AD946" s="108" t="n"/>
      <c r="AE946" s="108">
        <f>ABS(AQ$1-AQ946)</f>
        <v/>
      </c>
      <c r="AF946" s="108">
        <f>ABS(AR$1-AR946)</f>
        <v/>
      </c>
      <c r="AG946" s="108">
        <f>ABS(AS$1-AS946)</f>
        <v/>
      </c>
      <c r="AH946" s="108">
        <f>ABS(AT$1-AT946)</f>
        <v/>
      </c>
      <c r="AI946" s="108">
        <f>ABS(AU$1-AU946)</f>
        <v/>
      </c>
      <c r="AJ946" s="108">
        <f>(AV946-Driver!$K$179)/(Driver!$L$179-Driver!$K$179)</f>
        <v/>
      </c>
      <c r="AK946" s="108">
        <f>(AW946-Driver!$K$180)/(Driver!$L$180-Driver!$K$180)</f>
        <v/>
      </c>
      <c r="AL946" s="108">
        <f>(AX946-Driver!$K$181)/(Driver!$L$181-Driver!$K$181)</f>
        <v/>
      </c>
      <c r="AM946" s="108">
        <f>(AY946-Driver!$K$182)/(Driver!$L$182-Driver!$K$182)</f>
        <v/>
      </c>
      <c r="AN946" s="108">
        <f>(AZ946-Driver!$K$183)/(Driver!$L$183-Driver!$K$183)</f>
        <v/>
      </c>
      <c r="AO946" s="108" t="n"/>
      <c r="AP946" s="108" t="n"/>
      <c r="AQ946" s="108">
        <f>(BC946-Driver!$K$188)/(Driver!$L$188-Driver!$K$188)</f>
        <v/>
      </c>
      <c r="AR946" s="108">
        <f>MIN((BD946-Driver!$K$189)/(Driver!$L$189-Driver!$K$189),100%)</f>
        <v/>
      </c>
      <c r="AS946" s="108">
        <f>(BE946-Driver!$K$190)/(Driver!$L$190-Driver!$K$190)</f>
        <v/>
      </c>
      <c r="AT946" s="108">
        <f>(BF946-Driver!$K$191)/(Driver!$L$191-Driver!$K$191)</f>
        <v/>
      </c>
      <c r="AU946" s="108">
        <f>(BG946-Driver!$K$192)/(Driver!$L$192-Driver!$K$192)</f>
        <v/>
      </c>
      <c r="AV946" s="105">
        <f>IFERROR(BM946*BJ946^1/4,"")</f>
        <v/>
      </c>
      <c r="AW946" s="105">
        <f>IFERROR(SUM(AX946:AZ946),"")</f>
        <v/>
      </c>
      <c r="AX946" s="105">
        <f>IFERROR(BH946,"")</f>
        <v/>
      </c>
      <c r="AY946" s="105">
        <f>IFERROR(Driver!$K$19/Data!BH946/Data!BI946*Data!BK946*Data!BL946,"")</f>
        <v/>
      </c>
      <c r="AZ946" s="105">
        <f>IFERROR(BI946*BN946,"")</f>
        <v/>
      </c>
      <c r="BA946" s="105" t="n"/>
      <c r="BB946" s="105" t="n"/>
      <c r="BC946" s="105">
        <f>IFERROR(BI946*BN946*BK946/BJ946^(1/2),"")</f>
        <v/>
      </c>
      <c r="BD946" s="105">
        <f>IFERROR(BH946*BM946*BL946/BJ946/BK946,"")</f>
        <v/>
      </c>
      <c r="BE946" s="105">
        <f>IFERROR(MIN(BI946/BQ946/BP946/BO946/BH946,$BE$1),"")</f>
        <v/>
      </c>
      <c r="BF946" s="105">
        <f>IFERROR(BJ946*BO946*BP946/BK946,"")</f>
        <v/>
      </c>
      <c r="BG946" s="105">
        <f>IFERROR(1/BM946/BH946*BQ946,"")</f>
        <v/>
      </c>
      <c r="BH946" s="102">
        <f>MAX((CE946-Driver!$F$200)/(Driver!$G$200-Driver!$F$200)*$BI$1,1)</f>
        <v/>
      </c>
      <c r="BI946" s="102">
        <f>MAX($BI$1*(BY946-Driver!$F$201)/(Driver!$G$201-Driver!$F$201),1)</f>
        <v/>
      </c>
      <c r="BJ946" s="102">
        <f>(CB946-Driver!$F$206)/(Driver!$G$206-Driver!$F$206)*$BI$1</f>
        <v/>
      </c>
      <c r="BK946" s="102">
        <f>(CD946-Driver!$F$203)/(Driver!$G$203-Driver!$F$203)*$BI$1</f>
        <v/>
      </c>
      <c r="BL946" s="102">
        <f>MAX((CR946-Driver!$F$202)/(Driver!$G$202-Driver!$F$202)*$BI$1,1)</f>
        <v/>
      </c>
      <c r="BM946" s="102">
        <f>MAX((CH946-Driver!$F$204)/(Driver!$G$204-Driver!$F$204)*$BI$1,1)</f>
        <v/>
      </c>
      <c r="BN946" s="102">
        <f>(CI946-Driver!$F$205)/(Driver!$G$205-Driver!$F$205)*$BI$1</f>
        <v/>
      </c>
      <c r="BO946" s="102">
        <f>(CK946-Driver!$F$207)/(Driver!$G$207-Driver!$F$207)*$BI$1</f>
        <v/>
      </c>
      <c r="BP946" s="102">
        <f>(CM946-Driver!$F$208)/(Driver!$G$208-Driver!$F$208)*$BI$1</f>
        <v/>
      </c>
      <c r="BQ946" s="102">
        <f>(CL946-Driver!$F$209)/(Driver!$G$209-Driver!$F$209)*$BI$1</f>
        <v/>
      </c>
      <c r="BR946" s="40" t="inlineStr">
        <is>
          <t>21/22</t>
        </is>
      </c>
      <c r="BS946" s="10" t="inlineStr">
        <is>
          <t xml:space="preserve"> Rossignol</t>
        </is>
      </c>
      <c r="BT946" s="11" t="inlineStr">
        <is>
          <t>Nova 6</t>
        </is>
      </c>
      <c r="BU946" s="13" t="n">
        <v>163</v>
      </c>
      <c r="BV946" s="11" t="inlineStr">
        <is>
          <t xml:space="preserve"> Women's</t>
        </is>
      </c>
      <c r="BW946" s="13" t="n">
        <v>163</v>
      </c>
      <c r="BX946" s="13" t="n">
        <v>162.5</v>
      </c>
      <c r="BY946" s="13" t="n">
        <v>142</v>
      </c>
      <c r="BZ946" s="13" t="n">
        <v>150</v>
      </c>
      <c r="CA946" s="13" t="n">
        <v>123</v>
      </c>
      <c r="CB946" s="13" t="n">
        <v>73</v>
      </c>
      <c r="CC946" s="13" t="n">
        <v>109</v>
      </c>
      <c r="CD946" s="13" t="n">
        <v>13</v>
      </c>
      <c r="CE946" s="13" t="n">
        <v>1615</v>
      </c>
      <c r="CF946" s="13" t="n">
        <v>0.89</v>
      </c>
      <c r="CG946" s="13" t="n">
        <v>1444</v>
      </c>
      <c r="CH946" s="13" t="n">
        <v>149</v>
      </c>
      <c r="CI946" s="13" t="n">
        <v>60</v>
      </c>
      <c r="CJ946" s="13" t="n">
        <v>38</v>
      </c>
      <c r="CK946" s="13" t="n">
        <v>154</v>
      </c>
      <c r="CL946" s="13" t="n">
        <v>4</v>
      </c>
      <c r="CM946" s="13" t="n">
        <v>54</v>
      </c>
      <c r="CN946" s="13" t="n">
        <v>0.118</v>
      </c>
      <c r="CO946" s="13" t="n">
        <v>69</v>
      </c>
      <c r="CP946" s="13" t="n">
        <v>61</v>
      </c>
      <c r="CQ946" s="13" t="n">
        <v>85</v>
      </c>
      <c r="CR946" s="13" t="n">
        <v>12</v>
      </c>
      <c r="CS946" s="13" t="n">
        <v>9.5</v>
      </c>
      <c r="CT946" s="11" t="inlineStr">
        <is>
          <t xml:space="preserve"> On-Piste Carving</t>
        </is>
      </c>
      <c r="CU946" s="13" t="n"/>
      <c r="CV946" s="13" t="n"/>
      <c r="CW946" s="13" t="n"/>
      <c r="CX946">
        <f>INDEX('Data_Price '!AG$2:AG$1266,MATCH(Data!$DN946,'Data_Price '!$AT$2:$AT$1266,0))</f>
        <v/>
      </c>
      <c r="CY946">
        <f>INDEX('Data_Price '!AH$2:AH$1266,MATCH(Data!$DN946,'Data_Price '!$AT$2:$AT$1266,0))</f>
        <v/>
      </c>
      <c r="CZ946">
        <f>INDEX('Data_Price '!AI$2:AI$1266,MATCH(Data!$DN946,'Data_Price '!$AT$2:$AT$1266,0))</f>
        <v/>
      </c>
      <c r="DA946">
        <f>INDEX('Data_Price '!AJ$2:AJ$1266,MATCH(Data!$DN946,'Data_Price '!$AT$2:$AT$1266,0))</f>
        <v/>
      </c>
      <c r="DB946">
        <f>INDEX('Data_Price '!AK$2:AK$1266,MATCH(Data!$DN946,'Data_Price '!$AT$2:$AT$1266,0))</f>
        <v/>
      </c>
      <c r="DC946">
        <f>INDEX('Data_Price '!AL$2:AL$1266,MATCH(Data!$DN946,'Data_Price '!$AT$2:$AT$1266,0))</f>
        <v/>
      </c>
      <c r="DD946">
        <f>INDEX('Data_Price '!AM$2:AM$1266,MATCH(Data!$DN946,'Data_Price '!$AT$2:$AT$1266,0))</f>
        <v/>
      </c>
      <c r="DE946">
        <f>INDEX('Data_Price '!AN$2:AN$1266,MATCH(Data!$DN946,'Data_Price '!$AT$2:$AT$1266,0))</f>
        <v/>
      </c>
      <c r="DF946">
        <f>INDEX('Data_Price '!AO$2:AO$1266,MATCH(Data!$DN946,'Data_Price '!$AT$2:$AT$1266,0))</f>
        <v/>
      </c>
      <c r="DG946">
        <f>INDEX('Data_Price '!AP$2:AP$1266,MATCH(Data!$DN946,'Data_Price '!$AT$2:$AT$1266,0))</f>
        <v/>
      </c>
      <c r="DH946">
        <f>INDEX('Data_Price '!AQ$2:AQ$1266,MATCH(Data!$DN946,'Data_Price '!$AT$2:$AT$1266,0))</f>
        <v/>
      </c>
      <c r="DI946">
        <f>INDEX('Data_Price '!AR$2:AR$1266,MATCH(Data!$DN946,'Data_Price '!$AT$2:$AT$1266,0))</f>
        <v/>
      </c>
      <c r="DJ946" s="138">
        <f>DA946</f>
        <v/>
      </c>
      <c r="DK946" s="138">
        <f>DE946</f>
        <v/>
      </c>
      <c r="DL946" s="138">
        <f>DI946</f>
        <v/>
      </c>
      <c r="DM946" s="303">
        <f>IF(LEFT(BT946,1)=" ",RIGHT(BT946,LEN(BT946)-1),BT946)</f>
        <v/>
      </c>
      <c r="DN946" s="138">
        <f>_xlfn.CONCAT(BS946,DM946,BU946,BV946)</f>
        <v/>
      </c>
      <c r="DO946" s="307" t="inlineStr">
        <is>
          <t>https://images.evo.com/imgp/250/185226/741469/clone.jpg</t>
        </is>
      </c>
    </row>
    <row r="947" ht="15.6" customHeight="1" s="184">
      <c r="B947" s="303">
        <f t="array" ref="B947">IF(OR(ISERROR(K947:P947)),FALSE,TRUE)</f>
        <v/>
      </c>
      <c r="C947" s="60">
        <f>OR(BR947=Driver!$G$50,Data!BR932=Driver!$H$50)</f>
        <v/>
      </c>
      <c r="D947" s="60">
        <f>OR(BV947=Driver!$G$51,BV947=Driver!$H$51)</f>
        <v/>
      </c>
      <c r="E947" s="60">
        <f>AND(BX947&gt;Driver!$F$54,BX947&lt;Driver!$G$54)</f>
        <v/>
      </c>
      <c r="F947" s="60">
        <f>CL947&gt;Driver!$F$56</f>
        <v/>
      </c>
      <c r="G947" s="60">
        <f>AND(CB947&gt;Driver!$F$55,CB947&lt;Driver!$G$55)</f>
        <v/>
      </c>
      <c r="H947" s="60">
        <f>AND(B947:G947)</f>
        <v/>
      </c>
      <c r="I947" s="60">
        <f>COUNTIFS($H$9:$H$1273,TRUE,$BT$9:$BT$1273,BT947)</f>
        <v/>
      </c>
      <c r="J947" s="60">
        <f t="array" ref="J947">NOT(OR(($H$9:$H$1273=TRUE)*($I$9:$I$1273&gt;0)*($BT$9:$BT$1273=BT947)*($K$9:$K$1273&gt;K947)))</f>
        <v/>
      </c>
      <c r="K947" s="108">
        <f>IFERROR(1-AVERAGE(X947:Y947),"")</f>
        <v/>
      </c>
      <c r="L947" s="108">
        <f>1-X947</f>
        <v/>
      </c>
      <c r="M947" s="108">
        <f>1-Y947</f>
        <v/>
      </c>
      <c r="N947" s="108">
        <f>1-Z947</f>
        <v/>
      </c>
      <c r="O947" s="108">
        <f>1-AA947</f>
        <v/>
      </c>
      <c r="P947" s="108">
        <f>1-AB947</f>
        <v/>
      </c>
      <c r="Q947" s="108" t="n"/>
      <c r="R947" s="108" t="n"/>
      <c r="S947" s="108">
        <f>1-AE947</f>
        <v/>
      </c>
      <c r="T947" s="108">
        <f>1-AF947</f>
        <v/>
      </c>
      <c r="U947" s="108">
        <f>1-AG947</f>
        <v/>
      </c>
      <c r="V947" s="108">
        <f>1-AH947</f>
        <v/>
      </c>
      <c r="W947" s="108">
        <f>1-AI947</f>
        <v/>
      </c>
      <c r="X947" s="108">
        <f>ABS(AJ947-AJ$1)</f>
        <v/>
      </c>
      <c r="Y947" s="108">
        <f>AVERAGE(Z947:AB947)</f>
        <v/>
      </c>
      <c r="Z947" s="108">
        <f>ABS(AL947-AL$1)</f>
        <v/>
      </c>
      <c r="AA947" s="108">
        <f>ABS(AM947-AM$1)</f>
        <v/>
      </c>
      <c r="AB947" s="108">
        <f>ABS(AN947-AN$1)</f>
        <v/>
      </c>
      <c r="AC947" s="108" t="n"/>
      <c r="AD947" s="108" t="n"/>
      <c r="AE947" s="108">
        <f>ABS(AQ$1-AQ947)</f>
        <v/>
      </c>
      <c r="AF947" s="108">
        <f>ABS(AR$1-AR947)</f>
        <v/>
      </c>
      <c r="AG947" s="108">
        <f>ABS(AS$1-AS947)</f>
        <v/>
      </c>
      <c r="AH947" s="108">
        <f>ABS(AT$1-AT947)</f>
        <v/>
      </c>
      <c r="AI947" s="108">
        <f>ABS(AU$1-AU947)</f>
        <v/>
      </c>
      <c r="AJ947" s="108">
        <f>(AV947-Driver!$K$179)/(Driver!$L$179-Driver!$K$179)</f>
        <v/>
      </c>
      <c r="AK947" s="108">
        <f>(AW947-Driver!$K$180)/(Driver!$L$180-Driver!$K$180)</f>
        <v/>
      </c>
      <c r="AL947" s="108">
        <f>(AX947-Driver!$K$181)/(Driver!$L$181-Driver!$K$181)</f>
        <v/>
      </c>
      <c r="AM947" s="108">
        <f>(AY947-Driver!$K$182)/(Driver!$L$182-Driver!$K$182)</f>
        <v/>
      </c>
      <c r="AN947" s="108">
        <f>(AZ947-Driver!$K$183)/(Driver!$L$183-Driver!$K$183)</f>
        <v/>
      </c>
      <c r="AO947" s="108" t="n"/>
      <c r="AP947" s="108" t="n"/>
      <c r="AQ947" s="108">
        <f>(BC947-Driver!$K$188)/(Driver!$L$188-Driver!$K$188)</f>
        <v/>
      </c>
      <c r="AR947" s="108">
        <f>MIN((BD947-Driver!$K$189)/(Driver!$L$189-Driver!$K$189),100%)</f>
        <v/>
      </c>
      <c r="AS947" s="108">
        <f>(BE947-Driver!$K$190)/(Driver!$L$190-Driver!$K$190)</f>
        <v/>
      </c>
      <c r="AT947" s="108">
        <f>(BF947-Driver!$K$191)/(Driver!$L$191-Driver!$K$191)</f>
        <v/>
      </c>
      <c r="AU947" s="108">
        <f>(BG947-Driver!$K$192)/(Driver!$L$192-Driver!$K$192)</f>
        <v/>
      </c>
      <c r="AV947" s="105">
        <f>IFERROR(BM947*BJ947^1/4,"")</f>
        <v/>
      </c>
      <c r="AW947" s="105">
        <f>IFERROR(SUM(AX947:AZ947),"")</f>
        <v/>
      </c>
      <c r="AX947" s="105">
        <f>IFERROR(BH947,"")</f>
        <v/>
      </c>
      <c r="AY947" s="105">
        <f>IFERROR(Driver!$K$19/Data!BH947/Data!BI947*Data!BK947*Data!BL947,"")</f>
        <v/>
      </c>
      <c r="AZ947" s="105">
        <f>IFERROR(BI947*BN947,"")</f>
        <v/>
      </c>
      <c r="BA947" s="105" t="n"/>
      <c r="BB947" s="105" t="n"/>
      <c r="BC947" s="105">
        <f>IFERROR(BI947*BN947*BK947/BJ947^(1/2),"")</f>
        <v/>
      </c>
      <c r="BD947" s="105">
        <f>IFERROR(BH947*BM947*BL947/BJ947/BK947,"")</f>
        <v/>
      </c>
      <c r="BE947" s="105">
        <f>IFERROR(MIN(BI947/BQ947/BP947/BO947/BH947,$BE$1),"")</f>
        <v/>
      </c>
      <c r="BF947" s="105">
        <f>IFERROR(BJ947*BO947*BP947/BK947,"")</f>
        <v/>
      </c>
      <c r="BG947" s="105">
        <f>IFERROR(1/BM947/BH947*BQ947,"")</f>
        <v/>
      </c>
      <c r="BH947" s="102">
        <f>MAX((CE947-Driver!$F$200)/(Driver!$G$200-Driver!$F$200)*$BI$1,1)</f>
        <v/>
      </c>
      <c r="BI947" s="102">
        <f>MAX($BI$1*(BY947-Driver!$F$201)/(Driver!$G$201-Driver!$F$201),1)</f>
        <v/>
      </c>
      <c r="BJ947" s="102">
        <f>(CB947-Driver!$F$206)/(Driver!$G$206-Driver!$F$206)*$BI$1</f>
        <v/>
      </c>
      <c r="BK947" s="102">
        <f>(CD947-Driver!$F$203)/(Driver!$G$203-Driver!$F$203)*$BI$1</f>
        <v/>
      </c>
      <c r="BL947" s="102">
        <f>MAX((CR947-Driver!$F$202)/(Driver!$G$202-Driver!$F$202)*$BI$1,1)</f>
        <v/>
      </c>
      <c r="BM947" s="102">
        <f>MAX((CH947-Driver!$F$204)/(Driver!$G$204-Driver!$F$204)*$BI$1,1)</f>
        <v/>
      </c>
      <c r="BN947" s="102">
        <f>(CI947-Driver!$F$205)/(Driver!$G$205-Driver!$F$205)*$BI$1</f>
        <v/>
      </c>
      <c r="BO947" s="102">
        <f>(CK947-Driver!$F$207)/(Driver!$G$207-Driver!$F$207)*$BI$1</f>
        <v/>
      </c>
      <c r="BP947" s="102">
        <f>(CM947-Driver!$F$208)/(Driver!$G$208-Driver!$F$208)*$BI$1</f>
        <v/>
      </c>
      <c r="BQ947" s="102">
        <f>(CL947-Driver!$F$209)/(Driver!$G$209-Driver!$F$209)*$BI$1</f>
        <v/>
      </c>
      <c r="BR947" s="40" t="inlineStr">
        <is>
          <t>21/22</t>
        </is>
      </c>
      <c r="BS947" s="10" t="inlineStr">
        <is>
          <t xml:space="preserve"> Nordica</t>
        </is>
      </c>
      <c r="BT947" s="11" t="inlineStr">
        <is>
          <t>Soul Rider 84</t>
        </is>
      </c>
      <c r="BU947" s="13" t="n">
        <v>156</v>
      </c>
      <c r="BV947" s="11" t="inlineStr">
        <is>
          <t xml:space="preserve"> Unisex</t>
        </is>
      </c>
      <c r="BW947" s="13" t="n">
        <v>156</v>
      </c>
      <c r="BX947" s="13" t="n">
        <v>154.4</v>
      </c>
      <c r="BY947" s="13" t="n">
        <v>124</v>
      </c>
      <c r="BZ947" s="13" t="n">
        <v>138</v>
      </c>
      <c r="CA947" s="13" t="n">
        <v>115</v>
      </c>
      <c r="CB947" s="13" t="n">
        <v>81</v>
      </c>
      <c r="CC947" s="13" t="n">
        <v>106</v>
      </c>
      <c r="CD947" s="13" t="n">
        <v>15.9</v>
      </c>
      <c r="CE947" s="13" t="n">
        <v>1426</v>
      </c>
      <c r="CF947" s="13" t="n">
        <v>0.99</v>
      </c>
      <c r="CG947" s="13" t="n">
        <v>1417</v>
      </c>
      <c r="CH947" s="13" t="n">
        <v>135</v>
      </c>
      <c r="CI947" s="13" t="n">
        <v>69</v>
      </c>
      <c r="CJ947" s="13" t="n">
        <v>48</v>
      </c>
      <c r="CK947" s="13" t="n">
        <v>154</v>
      </c>
      <c r="CL947" s="13" t="n">
        <v>41</v>
      </c>
      <c r="CM947" s="13" t="n">
        <v>148</v>
      </c>
      <c r="CN947" s="13" t="n">
        <v>0.855</v>
      </c>
      <c r="CO947" s="13" t="n">
        <v>92</v>
      </c>
      <c r="CP947" s="13" t="n">
        <v>72</v>
      </c>
      <c r="CQ947" s="13" t="n">
        <v>62</v>
      </c>
      <c r="CR947" s="13" t="n">
        <v>10</v>
      </c>
      <c r="CS947" s="13" t="n">
        <v>8.699999999999999</v>
      </c>
      <c r="CT947" s="11" t="inlineStr">
        <is>
          <t xml:space="preserve"> Resort Freeride</t>
        </is>
      </c>
      <c r="CU947" s="11" t="inlineStr">
        <is>
          <t xml:space="preserve"> Freeski</t>
        </is>
      </c>
      <c r="CV947" s="13" t="n"/>
      <c r="CW947" s="13" t="n"/>
      <c r="CX947">
        <f>INDEX('Data_Price '!AG$2:AG$1266,MATCH(Data!$DN947,'Data_Price '!$AT$2:$AT$1266,0))</f>
        <v/>
      </c>
      <c r="CY947">
        <f>INDEX('Data_Price '!AH$2:AH$1266,MATCH(Data!$DN947,'Data_Price '!$AT$2:$AT$1266,0))</f>
        <v/>
      </c>
      <c r="CZ947">
        <f>INDEX('Data_Price '!AI$2:AI$1266,MATCH(Data!$DN947,'Data_Price '!$AT$2:$AT$1266,0))</f>
        <v/>
      </c>
      <c r="DA947">
        <f>INDEX('Data_Price '!AJ$2:AJ$1266,MATCH(Data!$DN947,'Data_Price '!$AT$2:$AT$1266,0))</f>
        <v/>
      </c>
      <c r="DB947">
        <f>INDEX('Data_Price '!AK$2:AK$1266,MATCH(Data!$DN947,'Data_Price '!$AT$2:$AT$1266,0))</f>
        <v/>
      </c>
      <c r="DC947">
        <f>INDEX('Data_Price '!AL$2:AL$1266,MATCH(Data!$DN947,'Data_Price '!$AT$2:$AT$1266,0))</f>
        <v/>
      </c>
      <c r="DD947">
        <f>INDEX('Data_Price '!AM$2:AM$1266,MATCH(Data!$DN947,'Data_Price '!$AT$2:$AT$1266,0))</f>
        <v/>
      </c>
      <c r="DE947">
        <f>INDEX('Data_Price '!AN$2:AN$1266,MATCH(Data!$DN947,'Data_Price '!$AT$2:$AT$1266,0))</f>
        <v/>
      </c>
      <c r="DF947">
        <f>INDEX('Data_Price '!AO$2:AO$1266,MATCH(Data!$DN947,'Data_Price '!$AT$2:$AT$1266,0))</f>
        <v/>
      </c>
      <c r="DG947">
        <f>INDEX('Data_Price '!AP$2:AP$1266,MATCH(Data!$DN947,'Data_Price '!$AT$2:$AT$1266,0))</f>
        <v/>
      </c>
      <c r="DH947">
        <f>INDEX('Data_Price '!AQ$2:AQ$1266,MATCH(Data!$DN947,'Data_Price '!$AT$2:$AT$1266,0))</f>
        <v/>
      </c>
      <c r="DI947">
        <f>INDEX('Data_Price '!AR$2:AR$1266,MATCH(Data!$DN947,'Data_Price '!$AT$2:$AT$1266,0))</f>
        <v/>
      </c>
      <c r="DJ947" s="138">
        <f>DA947</f>
        <v/>
      </c>
      <c r="DK947" s="138">
        <f>DE947</f>
        <v/>
      </c>
      <c r="DL947" s="138">
        <f>DI947</f>
        <v/>
      </c>
      <c r="DM947" s="303">
        <f>IF(LEFT(BT947,1)=" ",RIGHT(BT947,LEN(BT947)-1),BT947)</f>
        <v/>
      </c>
      <c r="DN947" s="138">
        <f>_xlfn.CONCAT(BS947,DM947,BU947,BV947)</f>
        <v/>
      </c>
      <c r="DO947" s="307" t="n"/>
    </row>
    <row r="948" ht="15.6" customHeight="1" s="184">
      <c r="B948" s="303">
        <f t="array" ref="B948">IF(OR(ISERROR(K948:P948)),FALSE,TRUE)</f>
        <v/>
      </c>
      <c r="C948" s="60">
        <f>OR(BR948=Driver!$G$50,Data!BR1221=Driver!$H$50)</f>
        <v/>
      </c>
      <c r="D948" s="60">
        <f>OR(BV948=Driver!$G$51,BV948=Driver!$H$51)</f>
        <v/>
      </c>
      <c r="E948" s="60">
        <f>AND(BX948&gt;Driver!$F$54,BX948&lt;Driver!$G$54)</f>
        <v/>
      </c>
      <c r="F948" s="60">
        <f>CL948&gt;Driver!$F$56</f>
        <v/>
      </c>
      <c r="G948" s="60">
        <f>AND(CB948&gt;Driver!$F$55,CB948&lt;Driver!$G$55)</f>
        <v/>
      </c>
      <c r="H948" s="60">
        <f>AND(B948:G948)</f>
        <v/>
      </c>
      <c r="I948" s="60">
        <f>COUNTIFS($H$9:$H$1273,TRUE,$BT$9:$BT$1273,BT948)</f>
        <v/>
      </c>
      <c r="J948" s="60">
        <f t="array" ref="J948">NOT(OR(($H$9:$H$1273=TRUE)*($I$9:$I$1273&gt;0)*($BT$9:$BT$1273=BT948)*($K$9:$K$1273&gt;K948)))</f>
        <v/>
      </c>
      <c r="K948" s="108">
        <f>IFERROR(1-AVERAGE(X948:Y948),"")</f>
        <v/>
      </c>
      <c r="L948" s="108">
        <f>1-X948</f>
        <v/>
      </c>
      <c r="M948" s="108">
        <f>1-Y948</f>
        <v/>
      </c>
      <c r="N948" s="108">
        <f>1-Z948</f>
        <v/>
      </c>
      <c r="O948" s="108">
        <f>1-AA948</f>
        <v/>
      </c>
      <c r="P948" s="108">
        <f>1-AB948</f>
        <v/>
      </c>
      <c r="Q948" s="108" t="n"/>
      <c r="R948" s="108" t="n"/>
      <c r="S948" s="108">
        <f>1-AE948</f>
        <v/>
      </c>
      <c r="T948" s="108">
        <f>1-AF948</f>
        <v/>
      </c>
      <c r="U948" s="108">
        <f>1-AG948</f>
        <v/>
      </c>
      <c r="V948" s="108">
        <f>1-AH948</f>
        <v/>
      </c>
      <c r="W948" s="108">
        <f>1-AI948</f>
        <v/>
      </c>
      <c r="X948" s="108">
        <f>ABS(AJ948-AJ$1)</f>
        <v/>
      </c>
      <c r="Y948" s="108">
        <f>AVERAGE(Z948:AB948)</f>
        <v/>
      </c>
      <c r="Z948" s="108">
        <f>ABS(AL948-AL$1)</f>
        <v/>
      </c>
      <c r="AA948" s="108">
        <f>ABS(AM948-AM$1)</f>
        <v/>
      </c>
      <c r="AB948" s="108">
        <f>ABS(AN948-AN$1)</f>
        <v/>
      </c>
      <c r="AC948" s="108" t="n"/>
      <c r="AD948" s="108" t="n"/>
      <c r="AE948" s="108">
        <f>ABS(AQ$1-AQ948)</f>
        <v/>
      </c>
      <c r="AF948" s="108">
        <f>ABS(AR$1-AR948)</f>
        <v/>
      </c>
      <c r="AG948" s="108">
        <f>ABS(AS$1-AS948)</f>
        <v/>
      </c>
      <c r="AH948" s="108">
        <f>ABS(AT$1-AT948)</f>
        <v/>
      </c>
      <c r="AI948" s="108">
        <f>ABS(AU$1-AU948)</f>
        <v/>
      </c>
      <c r="AJ948" s="108">
        <f>(AV948-Driver!$K$179)/(Driver!$L$179-Driver!$K$179)</f>
        <v/>
      </c>
      <c r="AK948" s="108">
        <f>(AW948-Driver!$K$180)/(Driver!$L$180-Driver!$K$180)</f>
        <v/>
      </c>
      <c r="AL948" s="108">
        <f>(AX948-Driver!$K$181)/(Driver!$L$181-Driver!$K$181)</f>
        <v/>
      </c>
      <c r="AM948" s="108">
        <f>(AY948-Driver!$K$182)/(Driver!$L$182-Driver!$K$182)</f>
        <v/>
      </c>
      <c r="AN948" s="108">
        <f>(AZ948-Driver!$K$183)/(Driver!$L$183-Driver!$K$183)</f>
        <v/>
      </c>
      <c r="AO948" s="108" t="n"/>
      <c r="AP948" s="108" t="n"/>
      <c r="AQ948" s="108">
        <f>(BC948-Driver!$K$188)/(Driver!$L$188-Driver!$K$188)</f>
        <v/>
      </c>
      <c r="AR948" s="108">
        <f>MIN((BD948-Driver!$K$189)/(Driver!$L$189-Driver!$K$189),100%)</f>
        <v/>
      </c>
      <c r="AS948" s="108">
        <f>(BE948-Driver!$K$190)/(Driver!$L$190-Driver!$K$190)</f>
        <v/>
      </c>
      <c r="AT948" s="108">
        <f>(BF948-Driver!$K$191)/(Driver!$L$191-Driver!$K$191)</f>
        <v/>
      </c>
      <c r="AU948" s="108">
        <f>(BG948-Driver!$K$192)/(Driver!$L$192-Driver!$K$192)</f>
        <v/>
      </c>
      <c r="AV948" s="105">
        <f>IFERROR(BM948*BJ948^1/4,"")</f>
        <v/>
      </c>
      <c r="AW948" s="105">
        <f>IFERROR(SUM(AX948:AZ948),"")</f>
        <v/>
      </c>
      <c r="AX948" s="105">
        <f>IFERROR(BH948,"")</f>
        <v/>
      </c>
      <c r="AY948" s="105">
        <f>IFERROR(Driver!$K$19/Data!BH948/Data!BI948*Data!BK948*Data!BL948,"")</f>
        <v/>
      </c>
      <c r="AZ948" s="105">
        <f>IFERROR(BI948*BN948,"")</f>
        <v/>
      </c>
      <c r="BA948" s="105" t="n"/>
      <c r="BB948" s="105" t="n"/>
      <c r="BC948" s="105">
        <f>IFERROR(BI948*BN948*BK948/BJ948^(1/2),"")</f>
        <v/>
      </c>
      <c r="BD948" s="105">
        <f>IFERROR(BH948*BM948*BL948/BJ948/BK948,"")</f>
        <v/>
      </c>
      <c r="BE948" s="105">
        <f>IFERROR(MIN(BI948/BQ948/BP948/BO948/BH948,$BE$1),"")</f>
        <v/>
      </c>
      <c r="BF948" s="105">
        <f>IFERROR(BJ948*BO948*BP948/BK948,"")</f>
        <v/>
      </c>
      <c r="BG948" s="105">
        <f>IFERROR(1/BM948/BH948*BQ948,"")</f>
        <v/>
      </c>
      <c r="BH948" s="102">
        <f>MAX((CE948-Driver!$F$200)/(Driver!$G$200-Driver!$F$200)*$BI$1,1)</f>
        <v/>
      </c>
      <c r="BI948" s="102">
        <f>MAX($BI$1*(BY948-Driver!$F$201)/(Driver!$G$201-Driver!$F$201),1)</f>
        <v/>
      </c>
      <c r="BJ948" s="102">
        <f>(CB948-Driver!$F$206)/(Driver!$G$206-Driver!$F$206)*$BI$1</f>
        <v/>
      </c>
      <c r="BK948" s="102">
        <f>(CD948-Driver!$F$203)/(Driver!$G$203-Driver!$F$203)*$BI$1</f>
        <v/>
      </c>
      <c r="BL948" s="102">
        <f>MAX((CR948-Driver!$F$202)/(Driver!$G$202-Driver!$F$202)*$BI$1,1)</f>
        <v/>
      </c>
      <c r="BM948" s="102">
        <f>MAX((CH948-Driver!$F$204)/(Driver!$G$204-Driver!$F$204)*$BI$1,1)</f>
        <v/>
      </c>
      <c r="BN948" s="102">
        <f>(CI948-Driver!$F$205)/(Driver!$G$205-Driver!$F$205)*$BI$1</f>
        <v/>
      </c>
      <c r="BO948" s="102">
        <f>(CK948-Driver!$F$207)/(Driver!$G$207-Driver!$F$207)*$BI$1</f>
        <v/>
      </c>
      <c r="BP948" s="102">
        <f>(CM948-Driver!$F$208)/(Driver!$G$208-Driver!$F$208)*$BI$1</f>
        <v/>
      </c>
      <c r="BQ948" s="102">
        <f>(CL948-Driver!$F$209)/(Driver!$G$209-Driver!$F$209)*$BI$1</f>
        <v/>
      </c>
      <c r="BR948" s="40" t="inlineStr">
        <is>
          <t>21/22</t>
        </is>
      </c>
      <c r="BS948" s="10" t="inlineStr">
        <is>
          <t xml:space="preserve"> Völkl</t>
        </is>
      </c>
      <c r="BT948" s="11" t="inlineStr">
        <is>
          <t>Mantra 102</t>
        </is>
      </c>
      <c r="BU948" s="13" t="n">
        <v>170</v>
      </c>
      <c r="BV948" s="11" t="inlineStr">
        <is>
          <t xml:space="preserve"> Unisex</t>
        </is>
      </c>
      <c r="BW948" s="13" t="n">
        <v>170</v>
      </c>
      <c r="BX948" s="13" t="n">
        <v>171</v>
      </c>
      <c r="BY948" s="13" t="n">
        <v>121</v>
      </c>
      <c r="BZ948" s="13" t="n">
        <v>148</v>
      </c>
      <c r="CA948" s="13" t="n">
        <v>139</v>
      </c>
      <c r="CB948" s="13" t="n">
        <v>101</v>
      </c>
      <c r="CC948" s="13" t="n">
        <v>122</v>
      </c>
      <c r="CD948" s="13" t="n">
        <v>18.1</v>
      </c>
      <c r="CE948" s="13" t="n">
        <v>2065</v>
      </c>
      <c r="CF948" s="13" t="n">
        <v>0.93</v>
      </c>
      <c r="CG948" s="13" t="n">
        <v>1928</v>
      </c>
      <c r="CH948" s="13" t="n">
        <v>235</v>
      </c>
      <c r="CI948" s="13" t="n">
        <v>161</v>
      </c>
      <c r="CJ948" s="13" t="n">
        <v>46</v>
      </c>
      <c r="CK948" s="13" t="n">
        <v>283</v>
      </c>
      <c r="CL948" s="13" t="n">
        <v>19</v>
      </c>
      <c r="CM948" s="13" t="n">
        <v>220</v>
      </c>
      <c r="CN948" s="13" t="n">
        <v>0.421</v>
      </c>
      <c r="CO948" s="13" t="n">
        <v>130</v>
      </c>
      <c r="CP948" s="13" t="n">
        <v>100</v>
      </c>
      <c r="CQ948" s="13" t="n">
        <v>152</v>
      </c>
      <c r="CR948" s="13" t="n">
        <v>5</v>
      </c>
      <c r="CS948" s="13" t="n">
        <v>11.3</v>
      </c>
      <c r="CT948" s="11" t="inlineStr">
        <is>
          <t xml:space="preserve"> Resort Freeride</t>
        </is>
      </c>
      <c r="CU948" s="11" t="inlineStr">
        <is>
          <t xml:space="preserve"> Powder</t>
        </is>
      </c>
      <c r="CV948" s="13" t="n"/>
      <c r="CW948" s="13" t="n"/>
      <c r="CX948">
        <f>INDEX('Data_Price '!AG$2:AG$1266,MATCH(Data!$DN948,'Data_Price '!$AT$2:$AT$1266,0))</f>
        <v/>
      </c>
      <c r="CY948">
        <f>INDEX('Data_Price '!AH$2:AH$1266,MATCH(Data!$DN948,'Data_Price '!$AT$2:$AT$1266,0))</f>
        <v/>
      </c>
      <c r="CZ948">
        <f>INDEX('Data_Price '!AI$2:AI$1266,MATCH(Data!$DN948,'Data_Price '!$AT$2:$AT$1266,0))</f>
        <v/>
      </c>
      <c r="DA948">
        <f>INDEX('Data_Price '!AJ$2:AJ$1266,MATCH(Data!$DN948,'Data_Price '!$AT$2:$AT$1266,0))</f>
        <v/>
      </c>
      <c r="DB948">
        <f>INDEX('Data_Price '!AK$2:AK$1266,MATCH(Data!$DN948,'Data_Price '!$AT$2:$AT$1266,0))</f>
        <v/>
      </c>
      <c r="DC948">
        <f>INDEX('Data_Price '!AL$2:AL$1266,MATCH(Data!$DN948,'Data_Price '!$AT$2:$AT$1266,0))</f>
        <v/>
      </c>
      <c r="DD948">
        <f>INDEX('Data_Price '!AM$2:AM$1266,MATCH(Data!$DN948,'Data_Price '!$AT$2:$AT$1266,0))</f>
        <v/>
      </c>
      <c r="DE948">
        <f>INDEX('Data_Price '!AN$2:AN$1266,MATCH(Data!$DN948,'Data_Price '!$AT$2:$AT$1266,0))</f>
        <v/>
      </c>
      <c r="DF948">
        <f>INDEX('Data_Price '!AO$2:AO$1266,MATCH(Data!$DN948,'Data_Price '!$AT$2:$AT$1266,0))</f>
        <v/>
      </c>
      <c r="DG948">
        <f>INDEX('Data_Price '!AP$2:AP$1266,MATCH(Data!$DN948,'Data_Price '!$AT$2:$AT$1266,0))</f>
        <v/>
      </c>
      <c r="DH948">
        <f>INDEX('Data_Price '!AQ$2:AQ$1266,MATCH(Data!$DN948,'Data_Price '!$AT$2:$AT$1266,0))</f>
        <v/>
      </c>
      <c r="DI948">
        <f>INDEX('Data_Price '!AR$2:AR$1266,MATCH(Data!$DN948,'Data_Price '!$AT$2:$AT$1266,0))</f>
        <v/>
      </c>
      <c r="DJ948" s="138">
        <f>DA948</f>
        <v/>
      </c>
      <c r="DK948" s="138">
        <f>DE948</f>
        <v/>
      </c>
      <c r="DL948" s="138">
        <f>DI948</f>
        <v/>
      </c>
      <c r="DM948" s="303">
        <f>IF(LEFT(BT948,1)=" ",RIGHT(BT948,LEN(BT948)-1),BT948)</f>
        <v/>
      </c>
      <c r="DN948" s="138">
        <f>_xlfn.CONCAT(BS948,DM948,BU948,BV948)</f>
        <v/>
      </c>
      <c r="DO948" s="307" t="inlineStr">
        <is>
          <t>https://images.evo.com/imgp/250/208360/837592/volkl-mantra-102-skis-2022-.jpg</t>
        </is>
      </c>
    </row>
    <row r="949" ht="15.6" customHeight="1" s="184">
      <c r="B949" s="303">
        <f t="array" ref="B949">IF(OR(ISERROR(K949:P949)),FALSE,TRUE)</f>
        <v/>
      </c>
      <c r="C949" s="60">
        <f>OR(BR949=Driver!$G$50,Data!BR663=Driver!$H$50)</f>
        <v/>
      </c>
      <c r="D949" s="60">
        <f>OR(BV949=Driver!$G$51,BV949=Driver!$H$51)</f>
        <v/>
      </c>
      <c r="E949" s="60">
        <f>AND(BX949&gt;Driver!$F$54,BX949&lt;Driver!$G$54)</f>
        <v/>
      </c>
      <c r="F949" s="60">
        <f>CL949&gt;Driver!$F$56</f>
        <v/>
      </c>
      <c r="G949" s="60">
        <f>AND(CB949&gt;Driver!$F$55,CB949&lt;Driver!$G$55)</f>
        <v/>
      </c>
      <c r="H949" s="60">
        <f>AND(B949:G949)</f>
        <v/>
      </c>
      <c r="I949" s="60">
        <f>COUNTIFS($H$9:$H$1273,TRUE,$BT$9:$BT$1273,BT949)</f>
        <v/>
      </c>
      <c r="J949" s="60">
        <f t="array" ref="J949">NOT(OR(($H$9:$H$1273=TRUE)*($I$9:$I$1273&gt;0)*($BT$9:$BT$1273=BT949)*($K$9:$K$1273&gt;K949)))</f>
        <v/>
      </c>
      <c r="K949" s="108">
        <f>IFERROR(1-AVERAGE(X949:Y949),"")</f>
        <v/>
      </c>
      <c r="L949" s="108">
        <f>1-X949</f>
        <v/>
      </c>
      <c r="M949" s="108">
        <f>1-Y949</f>
        <v/>
      </c>
      <c r="N949" s="108">
        <f>1-Z949</f>
        <v/>
      </c>
      <c r="O949" s="108">
        <f>1-AA949</f>
        <v/>
      </c>
      <c r="P949" s="108">
        <f>1-AB949</f>
        <v/>
      </c>
      <c r="Q949" s="108" t="n"/>
      <c r="R949" s="108" t="n"/>
      <c r="S949" s="108">
        <f>1-AE949</f>
        <v/>
      </c>
      <c r="T949" s="108">
        <f>1-AF949</f>
        <v/>
      </c>
      <c r="U949" s="108">
        <f>1-AG949</f>
        <v/>
      </c>
      <c r="V949" s="108">
        <f>1-AH949</f>
        <v/>
      </c>
      <c r="W949" s="108">
        <f>1-AI949</f>
        <v/>
      </c>
      <c r="X949" s="108">
        <f>ABS(AJ949-AJ$1)</f>
        <v/>
      </c>
      <c r="Y949" s="108">
        <f>AVERAGE(Z949:AB949)</f>
        <v/>
      </c>
      <c r="Z949" s="108">
        <f>ABS(AL949-AL$1)</f>
        <v/>
      </c>
      <c r="AA949" s="108">
        <f>ABS(AM949-AM$1)</f>
        <v/>
      </c>
      <c r="AB949" s="108">
        <f>ABS(AN949-AN$1)</f>
        <v/>
      </c>
      <c r="AC949" s="108" t="n"/>
      <c r="AD949" s="108" t="n"/>
      <c r="AE949" s="108">
        <f>ABS(AQ$1-AQ949)</f>
        <v/>
      </c>
      <c r="AF949" s="108">
        <f>ABS(AR$1-AR949)</f>
        <v/>
      </c>
      <c r="AG949" s="108">
        <f>ABS(AS$1-AS949)</f>
        <v/>
      </c>
      <c r="AH949" s="108">
        <f>ABS(AT$1-AT949)</f>
        <v/>
      </c>
      <c r="AI949" s="108">
        <f>ABS(AU$1-AU949)</f>
        <v/>
      </c>
      <c r="AJ949" s="108">
        <f>(AV949-Driver!$K$179)/(Driver!$L$179-Driver!$K$179)</f>
        <v/>
      </c>
      <c r="AK949" s="108">
        <f>(AW949-Driver!$K$180)/(Driver!$L$180-Driver!$K$180)</f>
        <v/>
      </c>
      <c r="AL949" s="108">
        <f>(AX949-Driver!$K$181)/(Driver!$L$181-Driver!$K$181)</f>
        <v/>
      </c>
      <c r="AM949" s="108">
        <f>(AY949-Driver!$K$182)/(Driver!$L$182-Driver!$K$182)</f>
        <v/>
      </c>
      <c r="AN949" s="108">
        <f>(AZ949-Driver!$K$183)/(Driver!$L$183-Driver!$K$183)</f>
        <v/>
      </c>
      <c r="AO949" s="108" t="n"/>
      <c r="AP949" s="108" t="n"/>
      <c r="AQ949" s="108">
        <f>(BC949-Driver!$K$188)/(Driver!$L$188-Driver!$K$188)</f>
        <v/>
      </c>
      <c r="AR949" s="108">
        <f>MIN((BD949-Driver!$K$189)/(Driver!$L$189-Driver!$K$189),100%)</f>
        <v/>
      </c>
      <c r="AS949" s="108">
        <f>(BE949-Driver!$K$190)/(Driver!$L$190-Driver!$K$190)</f>
        <v/>
      </c>
      <c r="AT949" s="108">
        <f>(BF949-Driver!$K$191)/(Driver!$L$191-Driver!$K$191)</f>
        <v/>
      </c>
      <c r="AU949" s="108">
        <f>(BG949-Driver!$K$192)/(Driver!$L$192-Driver!$K$192)</f>
        <v/>
      </c>
      <c r="AV949" s="105">
        <f>IFERROR(BM949*BJ949^1/4,"")</f>
        <v/>
      </c>
      <c r="AW949" s="105">
        <f>IFERROR(SUM(AX949:AZ949),"")</f>
        <v/>
      </c>
      <c r="AX949" s="105">
        <f>IFERROR(BH949,"")</f>
        <v/>
      </c>
      <c r="AY949" s="105">
        <f>IFERROR(Driver!$K$19/Data!BH949/Data!BI949*Data!BK949*Data!BL949,"")</f>
        <v/>
      </c>
      <c r="AZ949" s="105">
        <f>IFERROR(BI949*BN949,"")</f>
        <v/>
      </c>
      <c r="BA949" s="105" t="n"/>
      <c r="BB949" s="105" t="n"/>
      <c r="BC949" s="105">
        <f>IFERROR(BI949*BN949*BK949/BJ949^(1/2),"")</f>
        <v/>
      </c>
      <c r="BD949" s="105">
        <f>IFERROR(BH949*BM949*BL949/BJ949/BK949,"")</f>
        <v/>
      </c>
      <c r="BE949" s="105">
        <f>IFERROR(MIN(BI949/BQ949/BP949/BO949/BH949,$BE$1),"")</f>
        <v/>
      </c>
      <c r="BF949" s="105">
        <f>IFERROR(BJ949*BO949*BP949/BK949,"")</f>
        <v/>
      </c>
      <c r="BG949" s="105">
        <f>IFERROR(1/BM949/BH949*BQ949,"")</f>
        <v/>
      </c>
      <c r="BH949" s="102">
        <f>MAX((CE949-Driver!$F$200)/(Driver!$G$200-Driver!$F$200)*$BI$1,1)</f>
        <v/>
      </c>
      <c r="BI949" s="102">
        <f>MAX($BI$1*(BY949-Driver!$F$201)/(Driver!$G$201-Driver!$F$201),1)</f>
        <v/>
      </c>
      <c r="BJ949" s="102">
        <f>(CB949-Driver!$F$206)/(Driver!$G$206-Driver!$F$206)*$BI$1</f>
        <v/>
      </c>
      <c r="BK949" s="102">
        <f>(CD949-Driver!$F$203)/(Driver!$G$203-Driver!$F$203)*$BI$1</f>
        <v/>
      </c>
      <c r="BL949" s="102">
        <f>MAX((CR949-Driver!$F$202)/(Driver!$G$202-Driver!$F$202)*$BI$1,1)</f>
        <v/>
      </c>
      <c r="BM949" s="102">
        <f>MAX((CH949-Driver!$F$204)/(Driver!$G$204-Driver!$F$204)*$BI$1,1)</f>
        <v/>
      </c>
      <c r="BN949" s="102">
        <f>(CI949-Driver!$F$205)/(Driver!$G$205-Driver!$F$205)*$BI$1</f>
        <v/>
      </c>
      <c r="BO949" s="102">
        <f>(CK949-Driver!$F$207)/(Driver!$G$207-Driver!$F$207)*$BI$1</f>
        <v/>
      </c>
      <c r="BP949" s="102">
        <f>(CM949-Driver!$F$208)/(Driver!$G$208-Driver!$F$208)*$BI$1</f>
        <v/>
      </c>
      <c r="BQ949" s="102">
        <f>(CL949-Driver!$F$209)/(Driver!$G$209-Driver!$F$209)*$BI$1</f>
        <v/>
      </c>
      <c r="BR949" s="40" t="inlineStr">
        <is>
          <t>21/22</t>
        </is>
      </c>
      <c r="BS949" s="10" t="inlineStr">
        <is>
          <t xml:space="preserve"> Head</t>
        </is>
      </c>
      <c r="BT949" s="11" t="inlineStr">
        <is>
          <t>V-Shape V8</t>
        </is>
      </c>
      <c r="BU949" s="13" t="n">
        <v>170</v>
      </c>
      <c r="BV949" s="11" t="inlineStr">
        <is>
          <t xml:space="preserve"> Unisex</t>
        </is>
      </c>
      <c r="BW949" s="13" t="n">
        <v>170</v>
      </c>
      <c r="BX949" s="13" t="n">
        <v>169.4</v>
      </c>
      <c r="BY949" s="13" t="n">
        <v>148</v>
      </c>
      <c r="BZ949" s="13" t="n">
        <v>155</v>
      </c>
      <c r="CA949" s="13" t="n">
        <v>129</v>
      </c>
      <c r="CB949" s="13" t="n">
        <v>74</v>
      </c>
      <c r="CC949" s="13" t="n">
        <v>110</v>
      </c>
      <c r="CD949" s="13" t="n">
        <v>13.3</v>
      </c>
      <c r="CE949" s="13" t="n">
        <v>1634</v>
      </c>
      <c r="CF949" s="13" t="n">
        <v>0.9399999999999999</v>
      </c>
      <c r="CG949" s="13" t="n">
        <v>1534</v>
      </c>
      <c r="CH949" s="13" t="n">
        <v>201</v>
      </c>
      <c r="CI949" s="13" t="n">
        <v>51</v>
      </c>
      <c r="CJ949" s="13" t="n">
        <v>38</v>
      </c>
      <c r="CK949" s="13" t="n">
        <v>147</v>
      </c>
      <c r="CL949" s="13" t="n">
        <v>8</v>
      </c>
      <c r="CM949" s="13" t="n">
        <v>63</v>
      </c>
      <c r="CN949" s="13" t="n">
        <v>0.219</v>
      </c>
      <c r="CO949" s="13" t="n">
        <v>84</v>
      </c>
      <c r="CP949" s="13" t="n">
        <v>55</v>
      </c>
      <c r="CQ949" s="13" t="n">
        <v>62</v>
      </c>
      <c r="CR949" s="13" t="n">
        <v>9</v>
      </c>
      <c r="CS949" s="13" t="n">
        <v>13.5</v>
      </c>
      <c r="CT949" s="11" t="inlineStr">
        <is>
          <t xml:space="preserve"> On-Piste Carving</t>
        </is>
      </c>
      <c r="CU949" s="13" t="n"/>
      <c r="CV949" s="13" t="n"/>
      <c r="CW949" s="13" t="n"/>
      <c r="CX949">
        <f>INDEX('Data_Price '!AG$2:AG$1266,MATCH(Data!$DN949,'Data_Price '!$AT$2:$AT$1266,0))</f>
        <v/>
      </c>
      <c r="CY949">
        <f>INDEX('Data_Price '!AH$2:AH$1266,MATCH(Data!$DN949,'Data_Price '!$AT$2:$AT$1266,0))</f>
        <v/>
      </c>
      <c r="CZ949">
        <f>INDEX('Data_Price '!AI$2:AI$1266,MATCH(Data!$DN949,'Data_Price '!$AT$2:$AT$1266,0))</f>
        <v/>
      </c>
      <c r="DA949">
        <f>INDEX('Data_Price '!AJ$2:AJ$1266,MATCH(Data!$DN949,'Data_Price '!$AT$2:$AT$1266,0))</f>
        <v/>
      </c>
      <c r="DB949">
        <f>INDEX('Data_Price '!AK$2:AK$1266,MATCH(Data!$DN949,'Data_Price '!$AT$2:$AT$1266,0))</f>
        <v/>
      </c>
      <c r="DC949">
        <f>INDEX('Data_Price '!AL$2:AL$1266,MATCH(Data!$DN949,'Data_Price '!$AT$2:$AT$1266,0))</f>
        <v/>
      </c>
      <c r="DD949">
        <f>INDEX('Data_Price '!AM$2:AM$1266,MATCH(Data!$DN949,'Data_Price '!$AT$2:$AT$1266,0))</f>
        <v/>
      </c>
      <c r="DE949">
        <f>INDEX('Data_Price '!AN$2:AN$1266,MATCH(Data!$DN949,'Data_Price '!$AT$2:$AT$1266,0))</f>
        <v/>
      </c>
      <c r="DF949">
        <f>INDEX('Data_Price '!AO$2:AO$1266,MATCH(Data!$DN949,'Data_Price '!$AT$2:$AT$1266,0))</f>
        <v/>
      </c>
      <c r="DG949">
        <f>INDEX('Data_Price '!AP$2:AP$1266,MATCH(Data!$DN949,'Data_Price '!$AT$2:$AT$1266,0))</f>
        <v/>
      </c>
      <c r="DH949">
        <f>INDEX('Data_Price '!AQ$2:AQ$1266,MATCH(Data!$DN949,'Data_Price '!$AT$2:$AT$1266,0))</f>
        <v/>
      </c>
      <c r="DI949">
        <f>INDEX('Data_Price '!AR$2:AR$1266,MATCH(Data!$DN949,'Data_Price '!$AT$2:$AT$1266,0))</f>
        <v/>
      </c>
      <c r="DJ949" s="138">
        <f>DA949</f>
        <v/>
      </c>
      <c r="DK949" s="138">
        <f>DE949</f>
        <v/>
      </c>
      <c r="DL949" s="138">
        <f>DI949</f>
        <v/>
      </c>
      <c r="DM949" s="303">
        <f>IF(LEFT(BT949,1)=" ",RIGHT(BT949,LEN(BT949)-1),BT949)</f>
        <v/>
      </c>
      <c r="DN949" s="138">
        <f>_xlfn.CONCAT(BS949,DM949,BU949,BV949)</f>
        <v/>
      </c>
      <c r="DO949" s="307" t="n"/>
    </row>
    <row r="950" ht="15.6" customHeight="1" s="184">
      <c r="B950" s="303">
        <f t="array" ref="B950">IF(OR(ISERROR(K950:P950)),FALSE,TRUE)</f>
        <v/>
      </c>
      <c r="C950" s="60">
        <f>OR(BR950=Driver!$G$50,Data!BR460=Driver!$H$50)</f>
        <v/>
      </c>
      <c r="D950" s="60">
        <f>OR(BV950=Driver!$G$51,BV950=Driver!$H$51)</f>
        <v/>
      </c>
      <c r="E950" s="60">
        <f>AND(BX950&gt;Driver!$F$54,BX950&lt;Driver!$G$54)</f>
        <v/>
      </c>
      <c r="F950" s="60">
        <f>CL950&gt;Driver!$F$56</f>
        <v/>
      </c>
      <c r="G950" s="60">
        <f>AND(CB950&gt;Driver!$F$55,CB950&lt;Driver!$G$55)</f>
        <v/>
      </c>
      <c r="H950" s="60">
        <f>AND(B950:G950)</f>
        <v/>
      </c>
      <c r="I950" s="60">
        <f>COUNTIFS($H$9:$H$1273,TRUE,$BT$9:$BT$1273,BT950)</f>
        <v/>
      </c>
      <c r="J950" s="60">
        <f t="array" ref="J950">NOT(OR(($H$9:$H$1273=TRUE)*($I$9:$I$1273&gt;0)*($BT$9:$BT$1273=BT950)*($K$9:$K$1273&gt;K950)))</f>
        <v/>
      </c>
      <c r="K950" s="108">
        <f>IFERROR(1-AVERAGE(X950:Y950),"")</f>
        <v/>
      </c>
      <c r="L950" s="108">
        <f>1-X950</f>
        <v/>
      </c>
      <c r="M950" s="108">
        <f>1-Y950</f>
        <v/>
      </c>
      <c r="N950" s="108">
        <f>1-Z950</f>
        <v/>
      </c>
      <c r="O950" s="108">
        <f>1-AA950</f>
        <v/>
      </c>
      <c r="P950" s="108">
        <f>1-AB950</f>
        <v/>
      </c>
      <c r="Q950" s="108" t="n"/>
      <c r="R950" s="108" t="n"/>
      <c r="S950" s="108">
        <f>1-AE950</f>
        <v/>
      </c>
      <c r="T950" s="108">
        <f>1-AF950</f>
        <v/>
      </c>
      <c r="U950" s="108">
        <f>1-AG950</f>
        <v/>
      </c>
      <c r="V950" s="108">
        <f>1-AH950</f>
        <v/>
      </c>
      <c r="W950" s="108">
        <f>1-AI950</f>
        <v/>
      </c>
      <c r="X950" s="108">
        <f>ABS(AJ950-AJ$1)</f>
        <v/>
      </c>
      <c r="Y950" s="108">
        <f>AVERAGE(Z950:AB950)</f>
        <v/>
      </c>
      <c r="Z950" s="108">
        <f>ABS(AL950-AL$1)</f>
        <v/>
      </c>
      <c r="AA950" s="108">
        <f>ABS(AM950-AM$1)</f>
        <v/>
      </c>
      <c r="AB950" s="108">
        <f>ABS(AN950-AN$1)</f>
        <v/>
      </c>
      <c r="AC950" s="108" t="n"/>
      <c r="AD950" s="108" t="n"/>
      <c r="AE950" s="108">
        <f>ABS(AQ$1-AQ950)</f>
        <v/>
      </c>
      <c r="AF950" s="108">
        <f>ABS(AR$1-AR950)</f>
        <v/>
      </c>
      <c r="AG950" s="108">
        <f>ABS(AS$1-AS950)</f>
        <v/>
      </c>
      <c r="AH950" s="108">
        <f>ABS(AT$1-AT950)</f>
        <v/>
      </c>
      <c r="AI950" s="108">
        <f>ABS(AU$1-AU950)</f>
        <v/>
      </c>
      <c r="AJ950" s="108">
        <f>(AV950-Driver!$K$179)/(Driver!$L$179-Driver!$K$179)</f>
        <v/>
      </c>
      <c r="AK950" s="108">
        <f>(AW950-Driver!$K$180)/(Driver!$L$180-Driver!$K$180)</f>
        <v/>
      </c>
      <c r="AL950" s="108">
        <f>(AX950-Driver!$K$181)/(Driver!$L$181-Driver!$K$181)</f>
        <v/>
      </c>
      <c r="AM950" s="108">
        <f>(AY950-Driver!$K$182)/(Driver!$L$182-Driver!$K$182)</f>
        <v/>
      </c>
      <c r="AN950" s="108">
        <f>(AZ950-Driver!$K$183)/(Driver!$L$183-Driver!$K$183)</f>
        <v/>
      </c>
      <c r="AO950" s="108" t="n"/>
      <c r="AP950" s="108" t="n"/>
      <c r="AQ950" s="108">
        <f>(BC950-Driver!$K$188)/(Driver!$L$188-Driver!$K$188)</f>
        <v/>
      </c>
      <c r="AR950" s="108">
        <f>MIN((BD950-Driver!$K$189)/(Driver!$L$189-Driver!$K$189),100%)</f>
        <v/>
      </c>
      <c r="AS950" s="108">
        <f>(BE950-Driver!$K$190)/(Driver!$L$190-Driver!$K$190)</f>
        <v/>
      </c>
      <c r="AT950" s="108">
        <f>(BF950-Driver!$K$191)/(Driver!$L$191-Driver!$K$191)</f>
        <v/>
      </c>
      <c r="AU950" s="108">
        <f>(BG950-Driver!$K$192)/(Driver!$L$192-Driver!$K$192)</f>
        <v/>
      </c>
      <c r="AV950" s="105">
        <f>IFERROR(BM950*BJ950^1/4,"")</f>
        <v/>
      </c>
      <c r="AW950" s="105">
        <f>IFERROR(SUM(AX950:AZ950),"")</f>
        <v/>
      </c>
      <c r="AX950" s="105">
        <f>IFERROR(BH950,"")</f>
        <v/>
      </c>
      <c r="AY950" s="105">
        <f>IFERROR(Driver!$K$19/Data!BH950/Data!BI950*Data!BK950*Data!BL950,"")</f>
        <v/>
      </c>
      <c r="AZ950" s="105">
        <f>IFERROR(BI950*BN950,"")</f>
        <v/>
      </c>
      <c r="BA950" s="105" t="n"/>
      <c r="BB950" s="105" t="n"/>
      <c r="BC950" s="105">
        <f>IFERROR(BI950*BN950*BK950/BJ950^(1/2),"")</f>
        <v/>
      </c>
      <c r="BD950" s="105">
        <f>IFERROR(BH950*BM950*BL950/BJ950/BK950,"")</f>
        <v/>
      </c>
      <c r="BE950" s="105">
        <f>IFERROR(MIN(BI950/BQ950/BP950/BO950/BH950,$BE$1),"")</f>
        <v/>
      </c>
      <c r="BF950" s="105">
        <f>IFERROR(BJ950*BO950*BP950/BK950,"")</f>
        <v/>
      </c>
      <c r="BG950" s="105">
        <f>IFERROR(1/BM950/BH950*BQ950,"")</f>
        <v/>
      </c>
      <c r="BH950" s="102">
        <f>MAX((CE950-Driver!$F$200)/(Driver!$G$200-Driver!$F$200)*$BI$1,1)</f>
        <v/>
      </c>
      <c r="BI950" s="102">
        <f>MAX($BI$1*(BY950-Driver!$F$201)/(Driver!$G$201-Driver!$F$201),1)</f>
        <v/>
      </c>
      <c r="BJ950" s="102">
        <f>(CB950-Driver!$F$206)/(Driver!$G$206-Driver!$F$206)*$BI$1</f>
        <v/>
      </c>
      <c r="BK950" s="102">
        <f>(CD950-Driver!$F$203)/(Driver!$G$203-Driver!$F$203)*$BI$1</f>
        <v/>
      </c>
      <c r="BL950" s="102">
        <f>MAX((CR950-Driver!$F$202)/(Driver!$G$202-Driver!$F$202)*$BI$1,1)</f>
        <v/>
      </c>
      <c r="BM950" s="102">
        <f>MAX((CH950-Driver!$F$204)/(Driver!$G$204-Driver!$F$204)*$BI$1,1)</f>
        <v/>
      </c>
      <c r="BN950" s="102">
        <f>(CI950-Driver!$F$205)/(Driver!$G$205-Driver!$F$205)*$BI$1</f>
        <v/>
      </c>
      <c r="BO950" s="102">
        <f>(CK950-Driver!$F$207)/(Driver!$G$207-Driver!$F$207)*$BI$1</f>
        <v/>
      </c>
      <c r="BP950" s="102">
        <f>(CM950-Driver!$F$208)/(Driver!$G$208-Driver!$F$208)*$BI$1</f>
        <v/>
      </c>
      <c r="BQ950" s="102">
        <f>(CL950-Driver!$F$209)/(Driver!$G$209-Driver!$F$209)*$BI$1</f>
        <v/>
      </c>
      <c r="BR950" s="40" t="inlineStr">
        <is>
          <t>21/22</t>
        </is>
      </c>
      <c r="BS950" s="10" t="inlineStr">
        <is>
          <t xml:space="preserve"> Elan</t>
        </is>
      </c>
      <c r="BT950" s="11" t="inlineStr">
        <is>
          <t>Ripstick 94 W</t>
        </is>
      </c>
      <c r="BU950" s="13" t="n">
        <v>162</v>
      </c>
      <c r="BV950" s="11" t="inlineStr">
        <is>
          <t xml:space="preserve"> Women's</t>
        </is>
      </c>
      <c r="BW950" s="13" t="n">
        <v>162</v>
      </c>
      <c r="BX950" s="13" t="n">
        <v>162.1</v>
      </c>
      <c r="BY950" s="13" t="n">
        <v>116</v>
      </c>
      <c r="BZ950" s="13" t="n">
        <v>129</v>
      </c>
      <c r="CA950" s="13" t="n">
        <v>133</v>
      </c>
      <c r="CB950" s="13" t="n">
        <v>94</v>
      </c>
      <c r="CC950" s="13" t="n">
        <v>108</v>
      </c>
      <c r="CD950" s="13" t="n">
        <v>14.9</v>
      </c>
      <c r="CE950" s="13" t="n">
        <v>1451</v>
      </c>
      <c r="CF950" s="13" t="n">
        <v>1.18</v>
      </c>
      <c r="CG950" s="13" t="n">
        <v>1717</v>
      </c>
      <c r="CH950" s="13" t="n">
        <v>156</v>
      </c>
      <c r="CI950" s="13" t="n">
        <v>60</v>
      </c>
      <c r="CJ950" s="13" t="n">
        <v>45</v>
      </c>
      <c r="CK950" s="13" t="n">
        <v>279</v>
      </c>
      <c r="CL950" s="13" t="n">
        <v>14</v>
      </c>
      <c r="CM950" s="13" t="n">
        <v>183</v>
      </c>
      <c r="CN950" s="13" t="n">
        <v>0.31</v>
      </c>
      <c r="CO950" s="13" t="n">
        <v>166</v>
      </c>
      <c r="CP950" s="13" t="n">
        <v>162</v>
      </c>
      <c r="CQ950" s="13" t="n">
        <v>113</v>
      </c>
      <c r="CR950" s="13" t="n">
        <v>5</v>
      </c>
      <c r="CS950" s="13" t="n">
        <v>7.2</v>
      </c>
      <c r="CT950" s="11" t="inlineStr">
        <is>
          <t xml:space="preserve"> Resort Freeride</t>
        </is>
      </c>
      <c r="CU950" s="11" t="inlineStr">
        <is>
          <t xml:space="preserve"> Touring</t>
        </is>
      </c>
      <c r="CV950" s="13" t="n"/>
      <c r="CW950" s="13" t="n"/>
      <c r="CX950">
        <f>INDEX('Data_Price '!AG$2:AG$1266,MATCH(Data!$DN950,'Data_Price '!$AT$2:$AT$1266,0))</f>
        <v/>
      </c>
      <c r="CY950">
        <f>INDEX('Data_Price '!AH$2:AH$1266,MATCH(Data!$DN950,'Data_Price '!$AT$2:$AT$1266,0))</f>
        <v/>
      </c>
      <c r="CZ950">
        <f>INDEX('Data_Price '!AI$2:AI$1266,MATCH(Data!$DN950,'Data_Price '!$AT$2:$AT$1266,0))</f>
        <v/>
      </c>
      <c r="DA950">
        <f>INDEX('Data_Price '!AJ$2:AJ$1266,MATCH(Data!$DN950,'Data_Price '!$AT$2:$AT$1266,0))</f>
        <v/>
      </c>
      <c r="DB950">
        <f>INDEX('Data_Price '!AK$2:AK$1266,MATCH(Data!$DN950,'Data_Price '!$AT$2:$AT$1266,0))</f>
        <v/>
      </c>
      <c r="DC950">
        <f>INDEX('Data_Price '!AL$2:AL$1266,MATCH(Data!$DN950,'Data_Price '!$AT$2:$AT$1266,0))</f>
        <v/>
      </c>
      <c r="DD950">
        <f>INDEX('Data_Price '!AM$2:AM$1266,MATCH(Data!$DN950,'Data_Price '!$AT$2:$AT$1266,0))</f>
        <v/>
      </c>
      <c r="DE950">
        <f>INDEX('Data_Price '!AN$2:AN$1266,MATCH(Data!$DN950,'Data_Price '!$AT$2:$AT$1266,0))</f>
        <v/>
      </c>
      <c r="DF950">
        <f>INDEX('Data_Price '!AO$2:AO$1266,MATCH(Data!$DN950,'Data_Price '!$AT$2:$AT$1266,0))</f>
        <v/>
      </c>
      <c r="DG950">
        <f>INDEX('Data_Price '!AP$2:AP$1266,MATCH(Data!$DN950,'Data_Price '!$AT$2:$AT$1266,0))</f>
        <v/>
      </c>
      <c r="DH950">
        <f>INDEX('Data_Price '!AQ$2:AQ$1266,MATCH(Data!$DN950,'Data_Price '!$AT$2:$AT$1266,0))</f>
        <v/>
      </c>
      <c r="DI950">
        <f>INDEX('Data_Price '!AR$2:AR$1266,MATCH(Data!$DN950,'Data_Price '!$AT$2:$AT$1266,0))</f>
        <v/>
      </c>
      <c r="DJ950" s="138">
        <f>DA950</f>
        <v/>
      </c>
      <c r="DK950" s="138">
        <f>DE950</f>
        <v/>
      </c>
      <c r="DL950" s="138">
        <f>DI950</f>
        <v/>
      </c>
      <c r="DM950" s="303">
        <f>IF(LEFT(BT950,1)=" ",RIGHT(BT950,LEN(BT950)-1),BT950)</f>
        <v/>
      </c>
      <c r="DN950" s="138">
        <f>_xlfn.CONCAT(BS950,DM950,BU950,BV950)</f>
        <v/>
      </c>
      <c r="DO950" s="307" t="inlineStr">
        <is>
          <t>https://images.evo.com/imgp/250/181077/718564/elan-ripstick-94-w-skis-women-s-2022-.jpg</t>
        </is>
      </c>
    </row>
    <row r="951" ht="15.6" customHeight="1" s="184">
      <c r="B951" s="303">
        <f t="array" ref="B951">IF(OR(ISERROR(K951:P951)),FALSE,TRUE)</f>
        <v/>
      </c>
      <c r="C951" s="60">
        <f>OR(BR951=Driver!$G$50,Data!BR517=Driver!$H$50)</f>
        <v/>
      </c>
      <c r="D951" s="60">
        <f>OR(BV951=Driver!$G$51,BV951=Driver!$H$51)</f>
        <v/>
      </c>
      <c r="E951" s="60">
        <f>AND(BX951&gt;Driver!$F$54,BX951&lt;Driver!$G$54)</f>
        <v/>
      </c>
      <c r="F951" s="60">
        <f>CL951&gt;Driver!$F$56</f>
        <v/>
      </c>
      <c r="G951" s="60">
        <f>AND(CB951&gt;Driver!$F$55,CB951&lt;Driver!$G$55)</f>
        <v/>
      </c>
      <c r="H951" s="60">
        <f>AND(B951:G951)</f>
        <v/>
      </c>
      <c r="I951" s="60">
        <f>COUNTIFS($H$9:$H$1273,TRUE,$BT$9:$BT$1273,BT951)</f>
        <v/>
      </c>
      <c r="J951" s="60">
        <f t="array" ref="J951">NOT(OR(($H$9:$H$1273=TRUE)*($I$9:$I$1273&gt;0)*($BT$9:$BT$1273=BT951)*($K$9:$K$1273&gt;K951)))</f>
        <v/>
      </c>
      <c r="K951" s="108">
        <f>IFERROR(1-AVERAGE(X951:Y951),"")</f>
        <v/>
      </c>
      <c r="L951" s="108">
        <f>1-X951</f>
        <v/>
      </c>
      <c r="M951" s="108">
        <f>1-Y951</f>
        <v/>
      </c>
      <c r="N951" s="108">
        <f>1-Z951</f>
        <v/>
      </c>
      <c r="O951" s="108">
        <f>1-AA951</f>
        <v/>
      </c>
      <c r="P951" s="108">
        <f>1-AB951</f>
        <v/>
      </c>
      <c r="Q951" s="108" t="n"/>
      <c r="R951" s="108" t="n"/>
      <c r="S951" s="108">
        <f>1-AE951</f>
        <v/>
      </c>
      <c r="T951" s="108">
        <f>1-AF951</f>
        <v/>
      </c>
      <c r="U951" s="108">
        <f>1-AG951</f>
        <v/>
      </c>
      <c r="V951" s="108">
        <f>1-AH951</f>
        <v/>
      </c>
      <c r="W951" s="108">
        <f>1-AI951</f>
        <v/>
      </c>
      <c r="X951" s="108">
        <f>ABS(AJ951-AJ$1)</f>
        <v/>
      </c>
      <c r="Y951" s="108">
        <f>AVERAGE(Z951:AB951)</f>
        <v/>
      </c>
      <c r="Z951" s="108">
        <f>ABS(AL951-AL$1)</f>
        <v/>
      </c>
      <c r="AA951" s="108">
        <f>ABS(AM951-AM$1)</f>
        <v/>
      </c>
      <c r="AB951" s="108">
        <f>ABS(AN951-AN$1)</f>
        <v/>
      </c>
      <c r="AC951" s="108" t="n"/>
      <c r="AD951" s="108" t="n"/>
      <c r="AE951" s="108">
        <f>ABS(AQ$1-AQ951)</f>
        <v/>
      </c>
      <c r="AF951" s="108">
        <f>ABS(AR$1-AR951)</f>
        <v/>
      </c>
      <c r="AG951" s="108">
        <f>ABS(AS$1-AS951)</f>
        <v/>
      </c>
      <c r="AH951" s="108">
        <f>ABS(AT$1-AT951)</f>
        <v/>
      </c>
      <c r="AI951" s="108">
        <f>ABS(AU$1-AU951)</f>
        <v/>
      </c>
      <c r="AJ951" s="108">
        <f>(AV951-Driver!$K$179)/(Driver!$L$179-Driver!$K$179)</f>
        <v/>
      </c>
      <c r="AK951" s="108">
        <f>(AW951-Driver!$K$180)/(Driver!$L$180-Driver!$K$180)</f>
        <v/>
      </c>
      <c r="AL951" s="108">
        <f>(AX951-Driver!$K$181)/(Driver!$L$181-Driver!$K$181)</f>
        <v/>
      </c>
      <c r="AM951" s="108">
        <f>(AY951-Driver!$K$182)/(Driver!$L$182-Driver!$K$182)</f>
        <v/>
      </c>
      <c r="AN951" s="108">
        <f>(AZ951-Driver!$K$183)/(Driver!$L$183-Driver!$K$183)</f>
        <v/>
      </c>
      <c r="AO951" s="108" t="n"/>
      <c r="AP951" s="108" t="n"/>
      <c r="AQ951" s="108">
        <f>(BC951-Driver!$K$188)/(Driver!$L$188-Driver!$K$188)</f>
        <v/>
      </c>
      <c r="AR951" s="108">
        <f>MIN((BD951-Driver!$K$189)/(Driver!$L$189-Driver!$K$189),100%)</f>
        <v/>
      </c>
      <c r="AS951" s="108">
        <f>(BE951-Driver!$K$190)/(Driver!$L$190-Driver!$K$190)</f>
        <v/>
      </c>
      <c r="AT951" s="108">
        <f>(BF951-Driver!$K$191)/(Driver!$L$191-Driver!$K$191)</f>
        <v/>
      </c>
      <c r="AU951" s="108">
        <f>(BG951-Driver!$K$192)/(Driver!$L$192-Driver!$K$192)</f>
        <v/>
      </c>
      <c r="AV951" s="105">
        <f>IFERROR(BM951*BJ951^1/4,"")</f>
        <v/>
      </c>
      <c r="AW951" s="105">
        <f>IFERROR(SUM(AX951:AZ951),"")</f>
        <v/>
      </c>
      <c r="AX951" s="105">
        <f>IFERROR(BH951,"")</f>
        <v/>
      </c>
      <c r="AY951" s="105">
        <f>IFERROR(Driver!$K$19/Data!BH951/Data!BI951*Data!BK951*Data!BL951,"")</f>
        <v/>
      </c>
      <c r="AZ951" s="105">
        <f>IFERROR(BI951*BN951,"")</f>
        <v/>
      </c>
      <c r="BA951" s="105" t="n"/>
      <c r="BB951" s="105" t="n"/>
      <c r="BC951" s="105">
        <f>IFERROR(BI951*BN951*BK951/BJ951^(1/2),"")</f>
        <v/>
      </c>
      <c r="BD951" s="105">
        <f>IFERROR(BH951*BM951*BL951/BJ951/BK951,"")</f>
        <v/>
      </c>
      <c r="BE951" s="105">
        <f>IFERROR(MIN(BI951/BQ951/BP951/BO951/BH951,$BE$1),"")</f>
        <v/>
      </c>
      <c r="BF951" s="105">
        <f>IFERROR(BJ951*BO951*BP951/BK951,"")</f>
        <v/>
      </c>
      <c r="BG951" s="105">
        <f>IFERROR(1/BM951/BH951*BQ951,"")</f>
        <v/>
      </c>
      <c r="BH951" s="102">
        <f>MAX((CE951-Driver!$F$200)/(Driver!$G$200-Driver!$F$200)*$BI$1,1)</f>
        <v/>
      </c>
      <c r="BI951" s="102">
        <f>MAX($BI$1*(BY951-Driver!$F$201)/(Driver!$G$201-Driver!$F$201),1)</f>
        <v/>
      </c>
      <c r="BJ951" s="102">
        <f>(CB951-Driver!$F$206)/(Driver!$G$206-Driver!$F$206)*$BI$1</f>
        <v/>
      </c>
      <c r="BK951" s="102">
        <f>(CD951-Driver!$F$203)/(Driver!$G$203-Driver!$F$203)*$BI$1</f>
        <v/>
      </c>
      <c r="BL951" s="102">
        <f>MAX((CR951-Driver!$F$202)/(Driver!$G$202-Driver!$F$202)*$BI$1,1)</f>
        <v/>
      </c>
      <c r="BM951" s="102">
        <f>MAX((CH951-Driver!$F$204)/(Driver!$G$204-Driver!$F$204)*$BI$1,1)</f>
        <v/>
      </c>
      <c r="BN951" s="102">
        <f>(CI951-Driver!$F$205)/(Driver!$G$205-Driver!$F$205)*$BI$1</f>
        <v/>
      </c>
      <c r="BO951" s="102">
        <f>(CK951-Driver!$F$207)/(Driver!$G$207-Driver!$F$207)*$BI$1</f>
        <v/>
      </c>
      <c r="BP951" s="102">
        <f>(CM951-Driver!$F$208)/(Driver!$G$208-Driver!$F$208)*$BI$1</f>
        <v/>
      </c>
      <c r="BQ951" s="102">
        <f>(CL951-Driver!$F$209)/(Driver!$G$209-Driver!$F$209)*$BI$1</f>
        <v/>
      </c>
      <c r="BR951" s="40" t="inlineStr">
        <is>
          <t>21/22</t>
        </is>
      </c>
      <c r="BS951" s="10" t="inlineStr">
        <is>
          <t xml:space="preserve"> Faction</t>
        </is>
      </c>
      <c r="BT951" s="11" t="inlineStr">
        <is>
          <t>Dictator FG 1.0</t>
        </is>
      </c>
      <c r="BU951" s="13" t="n">
        <v>154</v>
      </c>
      <c r="BV951" s="11" t="inlineStr">
        <is>
          <t xml:space="preserve"> Unisex</t>
        </is>
      </c>
      <c r="BW951" s="13" t="n">
        <v>154</v>
      </c>
      <c r="BX951" s="13" t="n">
        <v>152.3</v>
      </c>
      <c r="BY951" s="13" t="n">
        <v>118</v>
      </c>
      <c r="BZ951" s="13" t="n">
        <v>128</v>
      </c>
      <c r="CA951" s="13" t="n">
        <v>119</v>
      </c>
      <c r="CB951" s="13" t="n">
        <v>85</v>
      </c>
      <c r="CC951" s="13" t="n">
        <v>109</v>
      </c>
      <c r="CD951" s="13" t="n">
        <v>13.2</v>
      </c>
      <c r="CE951" s="13" t="n">
        <v>1380</v>
      </c>
      <c r="CF951" s="13" t="n">
        <v>1.07</v>
      </c>
      <c r="CG951" s="13" t="n">
        <v>1471</v>
      </c>
      <c r="CH951" s="13" t="n">
        <v>144</v>
      </c>
      <c r="CI951" s="13" t="n">
        <v>66</v>
      </c>
      <c r="CJ951" s="13" t="n">
        <v>48</v>
      </c>
      <c r="CK951" s="13" t="n">
        <v>211</v>
      </c>
      <c r="CL951" s="13" t="n">
        <v>18</v>
      </c>
      <c r="CM951" s="13" t="n">
        <v>132</v>
      </c>
      <c r="CN951" s="13" t="n">
        <v>0.382</v>
      </c>
      <c r="CO951" s="13" t="n">
        <v>151</v>
      </c>
      <c r="CP951" s="13" t="n">
        <v>95</v>
      </c>
      <c r="CQ951" s="13" t="n">
        <v>59</v>
      </c>
      <c r="CR951" s="13" t="n">
        <v>10</v>
      </c>
      <c r="CS951" s="13" t="n">
        <v>9.1</v>
      </c>
      <c r="CT951" s="11" t="inlineStr">
        <is>
          <t xml:space="preserve"> On-Piste All-Mountain</t>
        </is>
      </c>
      <c r="CU951" s="11" t="inlineStr">
        <is>
          <t xml:space="preserve"> Resort Freeride</t>
        </is>
      </c>
      <c r="CV951" s="11" t="inlineStr">
        <is>
          <t xml:space="preserve"> Touring</t>
        </is>
      </c>
      <c r="CW951" s="13" t="n"/>
      <c r="CX951">
        <f>INDEX('Data_Price '!AG$2:AG$1266,MATCH(Data!$DN951,'Data_Price '!$AT$2:$AT$1266,0))</f>
        <v/>
      </c>
      <c r="CY951">
        <f>INDEX('Data_Price '!AH$2:AH$1266,MATCH(Data!$DN951,'Data_Price '!$AT$2:$AT$1266,0))</f>
        <v/>
      </c>
      <c r="CZ951">
        <f>INDEX('Data_Price '!AI$2:AI$1266,MATCH(Data!$DN951,'Data_Price '!$AT$2:$AT$1266,0))</f>
        <v/>
      </c>
      <c r="DA951">
        <f>INDEX('Data_Price '!AJ$2:AJ$1266,MATCH(Data!$DN951,'Data_Price '!$AT$2:$AT$1266,0))</f>
        <v/>
      </c>
      <c r="DB951">
        <f>INDEX('Data_Price '!AK$2:AK$1266,MATCH(Data!$DN951,'Data_Price '!$AT$2:$AT$1266,0))</f>
        <v/>
      </c>
      <c r="DC951">
        <f>INDEX('Data_Price '!AL$2:AL$1266,MATCH(Data!$DN951,'Data_Price '!$AT$2:$AT$1266,0))</f>
        <v/>
      </c>
      <c r="DD951">
        <f>INDEX('Data_Price '!AM$2:AM$1266,MATCH(Data!$DN951,'Data_Price '!$AT$2:$AT$1266,0))</f>
        <v/>
      </c>
      <c r="DE951">
        <f>INDEX('Data_Price '!AN$2:AN$1266,MATCH(Data!$DN951,'Data_Price '!$AT$2:$AT$1266,0))</f>
        <v/>
      </c>
      <c r="DF951">
        <f>INDEX('Data_Price '!AO$2:AO$1266,MATCH(Data!$DN951,'Data_Price '!$AT$2:$AT$1266,0))</f>
        <v/>
      </c>
      <c r="DG951">
        <f>INDEX('Data_Price '!AP$2:AP$1266,MATCH(Data!$DN951,'Data_Price '!$AT$2:$AT$1266,0))</f>
        <v/>
      </c>
      <c r="DH951">
        <f>INDEX('Data_Price '!AQ$2:AQ$1266,MATCH(Data!$DN951,'Data_Price '!$AT$2:$AT$1266,0))</f>
        <v/>
      </c>
      <c r="DI951">
        <f>INDEX('Data_Price '!AR$2:AR$1266,MATCH(Data!$DN951,'Data_Price '!$AT$2:$AT$1266,0))</f>
        <v/>
      </c>
      <c r="DJ951" s="138">
        <f>DA951</f>
        <v/>
      </c>
      <c r="DK951" s="138">
        <f>DE951</f>
        <v/>
      </c>
      <c r="DL951" s="138">
        <f>DI951</f>
        <v/>
      </c>
      <c r="DM951" s="303">
        <f>IF(LEFT(BT951,1)=" ",RIGHT(BT951,LEN(BT951)-1),BT951)</f>
        <v/>
      </c>
      <c r="DN951" s="138">
        <f>_xlfn.CONCAT(BS951,DM951,BU951,BV951)</f>
        <v/>
      </c>
      <c r="DO951" s="307" t="n"/>
    </row>
    <row r="952" ht="15.6" customHeight="1" s="184">
      <c r="B952" s="303">
        <f t="array" ref="B952">IF(OR(ISERROR(K952:P952)),FALSE,TRUE)</f>
        <v/>
      </c>
      <c r="C952" s="60">
        <f>OR(BR952=Driver!$G$50,Data!BR384=Driver!$H$50)</f>
        <v/>
      </c>
      <c r="D952" s="60">
        <f>OR(BV952=Driver!$G$51,BV952=Driver!$H$51)</f>
        <v/>
      </c>
      <c r="E952" s="60">
        <f>AND(BX952&gt;Driver!$F$54,BX952&lt;Driver!$G$54)</f>
        <v/>
      </c>
      <c r="F952" s="60">
        <f>CL952&gt;Driver!$F$56</f>
        <v/>
      </c>
      <c r="G952" s="60">
        <f>AND(CB952&gt;Driver!$F$55,CB952&lt;Driver!$G$55)</f>
        <v/>
      </c>
      <c r="H952" s="60">
        <f>AND(B952:G952)</f>
        <v/>
      </c>
      <c r="I952" s="60">
        <f>COUNTIFS($H$9:$H$1273,TRUE,$BT$9:$BT$1273,BT952)</f>
        <v/>
      </c>
      <c r="J952" s="60">
        <f t="array" ref="J952">NOT(OR(($H$9:$H$1273=TRUE)*($I$9:$I$1273&gt;0)*($BT$9:$BT$1273=BT952)*($K$9:$K$1273&gt;K952)))</f>
        <v/>
      </c>
      <c r="K952" s="108">
        <f>IFERROR(1-AVERAGE(X952:Y952),"")</f>
        <v/>
      </c>
      <c r="L952" s="108">
        <f>1-X952</f>
        <v/>
      </c>
      <c r="M952" s="108">
        <f>1-Y952</f>
        <v/>
      </c>
      <c r="N952" s="108">
        <f>1-Z952</f>
        <v/>
      </c>
      <c r="O952" s="108">
        <f>1-AA952</f>
        <v/>
      </c>
      <c r="P952" s="108">
        <f>1-AB952</f>
        <v/>
      </c>
      <c r="Q952" s="108" t="n"/>
      <c r="R952" s="108" t="n"/>
      <c r="S952" s="108">
        <f>1-AE952</f>
        <v/>
      </c>
      <c r="T952" s="108">
        <f>1-AF952</f>
        <v/>
      </c>
      <c r="U952" s="108">
        <f>1-AG952</f>
        <v/>
      </c>
      <c r="V952" s="108">
        <f>1-AH952</f>
        <v/>
      </c>
      <c r="W952" s="108">
        <f>1-AI952</f>
        <v/>
      </c>
      <c r="X952" s="108">
        <f>ABS(AJ952-AJ$1)</f>
        <v/>
      </c>
      <c r="Y952" s="108">
        <f>AVERAGE(Z952:AB952)</f>
        <v/>
      </c>
      <c r="Z952" s="108">
        <f>ABS(AL952-AL$1)</f>
        <v/>
      </c>
      <c r="AA952" s="108">
        <f>ABS(AM952-AM$1)</f>
        <v/>
      </c>
      <c r="AB952" s="108">
        <f>ABS(AN952-AN$1)</f>
        <v/>
      </c>
      <c r="AC952" s="108" t="n"/>
      <c r="AD952" s="108" t="n"/>
      <c r="AE952" s="108">
        <f>ABS(AQ$1-AQ952)</f>
        <v/>
      </c>
      <c r="AF952" s="108">
        <f>ABS(AR$1-AR952)</f>
        <v/>
      </c>
      <c r="AG952" s="108">
        <f>ABS(AS$1-AS952)</f>
        <v/>
      </c>
      <c r="AH952" s="108">
        <f>ABS(AT$1-AT952)</f>
        <v/>
      </c>
      <c r="AI952" s="108">
        <f>ABS(AU$1-AU952)</f>
        <v/>
      </c>
      <c r="AJ952" s="108">
        <f>(AV952-Driver!$K$179)/(Driver!$L$179-Driver!$K$179)</f>
        <v/>
      </c>
      <c r="AK952" s="108">
        <f>(AW952-Driver!$K$180)/(Driver!$L$180-Driver!$K$180)</f>
        <v/>
      </c>
      <c r="AL952" s="108">
        <f>(AX952-Driver!$K$181)/(Driver!$L$181-Driver!$K$181)</f>
        <v/>
      </c>
      <c r="AM952" s="108">
        <f>(AY952-Driver!$K$182)/(Driver!$L$182-Driver!$K$182)</f>
        <v/>
      </c>
      <c r="AN952" s="108">
        <f>(AZ952-Driver!$K$183)/(Driver!$L$183-Driver!$K$183)</f>
        <v/>
      </c>
      <c r="AO952" s="108" t="n"/>
      <c r="AP952" s="108" t="n"/>
      <c r="AQ952" s="108">
        <f>(BC952-Driver!$K$188)/(Driver!$L$188-Driver!$K$188)</f>
        <v/>
      </c>
      <c r="AR952" s="108">
        <f>MIN((BD952-Driver!$K$189)/(Driver!$L$189-Driver!$K$189),100%)</f>
        <v/>
      </c>
      <c r="AS952" s="108">
        <f>(BE952-Driver!$K$190)/(Driver!$L$190-Driver!$K$190)</f>
        <v/>
      </c>
      <c r="AT952" s="108">
        <f>(BF952-Driver!$K$191)/(Driver!$L$191-Driver!$K$191)</f>
        <v/>
      </c>
      <c r="AU952" s="108">
        <f>(BG952-Driver!$K$192)/(Driver!$L$192-Driver!$K$192)</f>
        <v/>
      </c>
      <c r="AV952" s="105">
        <f>IFERROR(BM952*BJ952^1/4,"")</f>
        <v/>
      </c>
      <c r="AW952" s="105">
        <f>IFERROR(SUM(AX952:AZ952),"")</f>
        <v/>
      </c>
      <c r="AX952" s="105">
        <f>IFERROR(BH952,"")</f>
        <v/>
      </c>
      <c r="AY952" s="105">
        <f>IFERROR(Driver!$K$19/Data!BH952/Data!BI952*Data!BK952*Data!BL952,"")</f>
        <v/>
      </c>
      <c r="AZ952" s="105">
        <f>IFERROR(BI952*BN952,"")</f>
        <v/>
      </c>
      <c r="BA952" s="105" t="n"/>
      <c r="BB952" s="105" t="n"/>
      <c r="BC952" s="105">
        <f>IFERROR(BI952*BN952*BK952/BJ952^(1/2),"")</f>
        <v/>
      </c>
      <c r="BD952" s="105">
        <f>IFERROR(BH952*BM952*BL952/BJ952/BK952,"")</f>
        <v/>
      </c>
      <c r="BE952" s="105">
        <f>IFERROR(MIN(BI952/BQ952/BP952/BO952/BH952,$BE$1),"")</f>
        <v/>
      </c>
      <c r="BF952" s="105">
        <f>IFERROR(BJ952*BO952*BP952/BK952,"")</f>
        <v/>
      </c>
      <c r="BG952" s="105">
        <f>IFERROR(1/BM952/BH952*BQ952,"")</f>
        <v/>
      </c>
      <c r="BH952" s="102">
        <f>MAX((CE952-Driver!$F$200)/(Driver!$G$200-Driver!$F$200)*$BI$1,1)</f>
        <v/>
      </c>
      <c r="BI952" s="102">
        <f>MAX($BI$1*(BY952-Driver!$F$201)/(Driver!$G$201-Driver!$F$201),1)</f>
        <v/>
      </c>
      <c r="BJ952" s="102">
        <f>(CB952-Driver!$F$206)/(Driver!$G$206-Driver!$F$206)*$BI$1</f>
        <v/>
      </c>
      <c r="BK952" s="102">
        <f>(CD952-Driver!$F$203)/(Driver!$G$203-Driver!$F$203)*$BI$1</f>
        <v/>
      </c>
      <c r="BL952" s="102">
        <f>MAX((CR952-Driver!$F$202)/(Driver!$G$202-Driver!$F$202)*$BI$1,1)</f>
        <v/>
      </c>
      <c r="BM952" s="102">
        <f>MAX((CH952-Driver!$F$204)/(Driver!$G$204-Driver!$F$204)*$BI$1,1)</f>
        <v/>
      </c>
      <c r="BN952" s="102">
        <f>(CI952-Driver!$F$205)/(Driver!$G$205-Driver!$F$205)*$BI$1</f>
        <v/>
      </c>
      <c r="BO952" s="102">
        <f>(CK952-Driver!$F$207)/(Driver!$G$207-Driver!$F$207)*$BI$1</f>
        <v/>
      </c>
      <c r="BP952" s="102">
        <f>(CM952-Driver!$F$208)/(Driver!$G$208-Driver!$F$208)*$BI$1</f>
        <v/>
      </c>
      <c r="BQ952" s="102">
        <f>(CL952-Driver!$F$209)/(Driver!$G$209-Driver!$F$209)*$BI$1</f>
        <v/>
      </c>
      <c r="BR952" s="40" t="inlineStr">
        <is>
          <t>21/22</t>
        </is>
      </c>
      <c r="BS952" s="10" t="inlineStr">
        <is>
          <t xml:space="preserve"> Dynastar</t>
        </is>
      </c>
      <c r="BT952" s="11" t="inlineStr">
        <is>
          <t>M-Free 118</t>
        </is>
      </c>
      <c r="BU952" s="13" t="n">
        <v>180</v>
      </c>
      <c r="BV952" s="11" t="inlineStr">
        <is>
          <t xml:space="preserve"> Unisex</t>
        </is>
      </c>
      <c r="BW952" s="13" t="n">
        <v>180</v>
      </c>
      <c r="BX952" s="13" t="n">
        <v>179.3</v>
      </c>
      <c r="BY952" s="13" t="n">
        <v>117</v>
      </c>
      <c r="BZ952" s="13" t="n">
        <v>135</v>
      </c>
      <c r="CA952" s="13" t="n">
        <v>144</v>
      </c>
      <c r="CB952" s="13" t="n">
        <v>117</v>
      </c>
      <c r="CC952" s="13" t="n">
        <v>134</v>
      </c>
      <c r="CD952" s="13" t="n">
        <v>18.4</v>
      </c>
      <c r="CE952" s="13" t="n">
        <v>2269</v>
      </c>
      <c r="CF952" s="13" t="n">
        <v>0.99</v>
      </c>
      <c r="CG952" s="13" t="n">
        <v>2240</v>
      </c>
      <c r="CH952" s="13" t="n">
        <v>226</v>
      </c>
      <c r="CI952" s="13" t="n">
        <v>101</v>
      </c>
      <c r="CJ952" s="13" t="n">
        <v>56</v>
      </c>
      <c r="CK952" s="13" t="n">
        <v>338</v>
      </c>
      <c r="CL952" s="13" t="n">
        <v>32</v>
      </c>
      <c r="CM952" s="13" t="n">
        <v>287</v>
      </c>
      <c r="CN952" s="13" t="n">
        <v>0.577</v>
      </c>
      <c r="CO952" s="13" t="n">
        <v>264</v>
      </c>
      <c r="CP952" s="13" t="n">
        <v>182</v>
      </c>
      <c r="CQ952" s="13" t="n">
        <v>74</v>
      </c>
      <c r="CR952" s="13" t="n">
        <v>8</v>
      </c>
      <c r="CS952" s="13" t="n">
        <v>9.4</v>
      </c>
      <c r="CT952" s="11" t="inlineStr">
        <is>
          <t xml:space="preserve"> Powder</t>
        </is>
      </c>
      <c r="CU952" s="13" t="n"/>
      <c r="CV952" s="13" t="n"/>
      <c r="CW952" s="13" t="n"/>
      <c r="CX952">
        <f>INDEX('Data_Price '!AG$2:AG$1266,MATCH(Data!$DN952,'Data_Price '!$AT$2:$AT$1266,0))</f>
        <v/>
      </c>
      <c r="CY952">
        <f>INDEX('Data_Price '!AH$2:AH$1266,MATCH(Data!$DN952,'Data_Price '!$AT$2:$AT$1266,0))</f>
        <v/>
      </c>
      <c r="CZ952">
        <f>INDEX('Data_Price '!AI$2:AI$1266,MATCH(Data!$DN952,'Data_Price '!$AT$2:$AT$1266,0))</f>
        <v/>
      </c>
      <c r="DA952">
        <f>INDEX('Data_Price '!AJ$2:AJ$1266,MATCH(Data!$DN952,'Data_Price '!$AT$2:$AT$1266,0))</f>
        <v/>
      </c>
      <c r="DB952">
        <f>INDEX('Data_Price '!AK$2:AK$1266,MATCH(Data!$DN952,'Data_Price '!$AT$2:$AT$1266,0))</f>
        <v/>
      </c>
      <c r="DC952">
        <f>INDEX('Data_Price '!AL$2:AL$1266,MATCH(Data!$DN952,'Data_Price '!$AT$2:$AT$1266,0))</f>
        <v/>
      </c>
      <c r="DD952">
        <f>INDEX('Data_Price '!AM$2:AM$1266,MATCH(Data!$DN952,'Data_Price '!$AT$2:$AT$1266,0))</f>
        <v/>
      </c>
      <c r="DE952">
        <f>INDEX('Data_Price '!AN$2:AN$1266,MATCH(Data!$DN952,'Data_Price '!$AT$2:$AT$1266,0))</f>
        <v/>
      </c>
      <c r="DF952">
        <f>INDEX('Data_Price '!AO$2:AO$1266,MATCH(Data!$DN952,'Data_Price '!$AT$2:$AT$1266,0))</f>
        <v/>
      </c>
      <c r="DG952">
        <f>INDEX('Data_Price '!AP$2:AP$1266,MATCH(Data!$DN952,'Data_Price '!$AT$2:$AT$1266,0))</f>
        <v/>
      </c>
      <c r="DH952">
        <f>INDEX('Data_Price '!AQ$2:AQ$1266,MATCH(Data!$DN952,'Data_Price '!$AT$2:$AT$1266,0))</f>
        <v/>
      </c>
      <c r="DI952">
        <f>INDEX('Data_Price '!AR$2:AR$1266,MATCH(Data!$DN952,'Data_Price '!$AT$2:$AT$1266,0))</f>
        <v/>
      </c>
      <c r="DJ952" s="138">
        <f>DA952</f>
        <v/>
      </c>
      <c r="DK952" s="138">
        <f>DE952</f>
        <v/>
      </c>
      <c r="DL952" s="138">
        <f>DI952</f>
        <v/>
      </c>
      <c r="DM952" s="303">
        <f>IF(LEFT(BT952,1)=" ",RIGHT(BT952,LEN(BT952)-1),BT952)</f>
        <v/>
      </c>
      <c r="DN952" s="138">
        <f>_xlfn.CONCAT(BS952,DM952,BU952,BV952)</f>
        <v/>
      </c>
      <c r="DO952" s="307" t="inlineStr">
        <is>
          <t>https://images.evo.com/imgp/250/185153/736341/dynastar-m-free-118-skis-2022-.jpg</t>
        </is>
      </c>
    </row>
    <row r="953" ht="15.6" customHeight="1" s="184">
      <c r="B953" s="303">
        <f t="array" ref="B953">IF(OR(ISERROR(K953:P953)),FALSE,TRUE)</f>
        <v/>
      </c>
      <c r="C953" s="60">
        <f>OR(BR953=Driver!$G$50,Data!BR467=Driver!$H$50)</f>
        <v/>
      </c>
      <c r="D953" s="60">
        <f>OR(BV953=Driver!$G$51,BV953=Driver!$H$51)</f>
        <v/>
      </c>
      <c r="E953" s="60">
        <f>AND(BX953&gt;Driver!$F$54,BX953&lt;Driver!$G$54)</f>
        <v/>
      </c>
      <c r="F953" s="60">
        <f>CL953&gt;Driver!$F$56</f>
        <v/>
      </c>
      <c r="G953" s="60">
        <f>AND(CB953&gt;Driver!$F$55,CB953&lt;Driver!$G$55)</f>
        <v/>
      </c>
      <c r="H953" s="60">
        <f>AND(B953:G953)</f>
        <v/>
      </c>
      <c r="I953" s="60">
        <f>COUNTIFS($H$9:$H$1273,TRUE,$BT$9:$BT$1273,BT953)</f>
        <v/>
      </c>
      <c r="J953" s="60">
        <f t="array" ref="J953">NOT(OR(($H$9:$H$1273=TRUE)*($I$9:$I$1273&gt;0)*($BT$9:$BT$1273=BT953)*($K$9:$K$1273&gt;K953)))</f>
        <v/>
      </c>
      <c r="K953" s="108">
        <f>IFERROR(1-AVERAGE(X953:Y953),"")</f>
        <v/>
      </c>
      <c r="L953" s="108">
        <f>1-X953</f>
        <v/>
      </c>
      <c r="M953" s="108">
        <f>1-Y953</f>
        <v/>
      </c>
      <c r="N953" s="108">
        <f>1-Z953</f>
        <v/>
      </c>
      <c r="O953" s="108">
        <f>1-AA953</f>
        <v/>
      </c>
      <c r="P953" s="108">
        <f>1-AB953</f>
        <v/>
      </c>
      <c r="Q953" s="108" t="n"/>
      <c r="R953" s="108" t="n"/>
      <c r="S953" s="108">
        <f>1-AE953</f>
        <v/>
      </c>
      <c r="T953" s="108">
        <f>1-AF953</f>
        <v/>
      </c>
      <c r="U953" s="108">
        <f>1-AG953</f>
        <v/>
      </c>
      <c r="V953" s="108">
        <f>1-AH953</f>
        <v/>
      </c>
      <c r="W953" s="108">
        <f>1-AI953</f>
        <v/>
      </c>
      <c r="X953" s="108">
        <f>ABS(AJ953-AJ$1)</f>
        <v/>
      </c>
      <c r="Y953" s="108">
        <f>AVERAGE(Z953:AB953)</f>
        <v/>
      </c>
      <c r="Z953" s="108">
        <f>ABS(AL953-AL$1)</f>
        <v/>
      </c>
      <c r="AA953" s="108">
        <f>ABS(AM953-AM$1)</f>
        <v/>
      </c>
      <c r="AB953" s="108">
        <f>ABS(AN953-AN$1)</f>
        <v/>
      </c>
      <c r="AC953" s="108" t="n"/>
      <c r="AD953" s="108" t="n"/>
      <c r="AE953" s="108">
        <f>ABS(AQ$1-AQ953)</f>
        <v/>
      </c>
      <c r="AF953" s="108">
        <f>ABS(AR$1-AR953)</f>
        <v/>
      </c>
      <c r="AG953" s="108">
        <f>ABS(AS$1-AS953)</f>
        <v/>
      </c>
      <c r="AH953" s="108">
        <f>ABS(AT$1-AT953)</f>
        <v/>
      </c>
      <c r="AI953" s="108">
        <f>ABS(AU$1-AU953)</f>
        <v/>
      </c>
      <c r="AJ953" s="108">
        <f>(AV953-Driver!$K$179)/(Driver!$L$179-Driver!$K$179)</f>
        <v/>
      </c>
      <c r="AK953" s="108">
        <f>(AW953-Driver!$K$180)/(Driver!$L$180-Driver!$K$180)</f>
        <v/>
      </c>
      <c r="AL953" s="108">
        <f>(AX953-Driver!$K$181)/(Driver!$L$181-Driver!$K$181)</f>
        <v/>
      </c>
      <c r="AM953" s="108">
        <f>(AY953-Driver!$K$182)/(Driver!$L$182-Driver!$K$182)</f>
        <v/>
      </c>
      <c r="AN953" s="108">
        <f>(AZ953-Driver!$K$183)/(Driver!$L$183-Driver!$K$183)</f>
        <v/>
      </c>
      <c r="AO953" s="108" t="n"/>
      <c r="AP953" s="108" t="n"/>
      <c r="AQ953" s="108">
        <f>(BC953-Driver!$K$188)/(Driver!$L$188-Driver!$K$188)</f>
        <v/>
      </c>
      <c r="AR953" s="108">
        <f>MIN((BD953-Driver!$K$189)/(Driver!$L$189-Driver!$K$189),100%)</f>
        <v/>
      </c>
      <c r="AS953" s="108">
        <f>(BE953-Driver!$K$190)/(Driver!$L$190-Driver!$K$190)</f>
        <v/>
      </c>
      <c r="AT953" s="108">
        <f>(BF953-Driver!$K$191)/(Driver!$L$191-Driver!$K$191)</f>
        <v/>
      </c>
      <c r="AU953" s="108">
        <f>(BG953-Driver!$K$192)/(Driver!$L$192-Driver!$K$192)</f>
        <v/>
      </c>
      <c r="AV953" s="105">
        <f>IFERROR(BM953*BJ953^1/4,"")</f>
        <v/>
      </c>
      <c r="AW953" s="105">
        <f>IFERROR(SUM(AX953:AZ953),"")</f>
        <v/>
      </c>
      <c r="AX953" s="105">
        <f>IFERROR(BH953,"")</f>
        <v/>
      </c>
      <c r="AY953" s="105">
        <f>IFERROR(Driver!$K$19/Data!BH953/Data!BI953*Data!BK953*Data!BL953,"")</f>
        <v/>
      </c>
      <c r="AZ953" s="105">
        <f>IFERROR(BI953*BN953,"")</f>
        <v/>
      </c>
      <c r="BA953" s="105" t="n"/>
      <c r="BB953" s="105" t="n"/>
      <c r="BC953" s="105">
        <f>IFERROR(BI953*BN953*BK953/BJ953^(1/2),"")</f>
        <v/>
      </c>
      <c r="BD953" s="105">
        <f>IFERROR(BH953*BM953*BL953/BJ953/BK953,"")</f>
        <v/>
      </c>
      <c r="BE953" s="105">
        <f>IFERROR(MIN(BI953/BQ953/BP953/BO953/BH953,$BE$1),"")</f>
        <v/>
      </c>
      <c r="BF953" s="105">
        <f>IFERROR(BJ953*BO953*BP953/BK953,"")</f>
        <v/>
      </c>
      <c r="BG953" s="105">
        <f>IFERROR(1/BM953/BH953*BQ953,"")</f>
        <v/>
      </c>
      <c r="BH953" s="102">
        <f>MAX((CE953-Driver!$F$200)/(Driver!$G$200-Driver!$F$200)*$BI$1,1)</f>
        <v/>
      </c>
      <c r="BI953" s="102">
        <f>MAX($BI$1*(BY953-Driver!$F$201)/(Driver!$G$201-Driver!$F$201),1)</f>
        <v/>
      </c>
      <c r="BJ953" s="102">
        <f>(CB953-Driver!$F$206)/(Driver!$G$206-Driver!$F$206)*$BI$1</f>
        <v/>
      </c>
      <c r="BK953" s="102">
        <f>(CD953-Driver!$F$203)/(Driver!$G$203-Driver!$F$203)*$BI$1</f>
        <v/>
      </c>
      <c r="BL953" s="102">
        <f>MAX((CR953-Driver!$F$202)/(Driver!$G$202-Driver!$F$202)*$BI$1,1)</f>
        <v/>
      </c>
      <c r="BM953" s="102">
        <f>MAX((CH953-Driver!$F$204)/(Driver!$G$204-Driver!$F$204)*$BI$1,1)</f>
        <v/>
      </c>
      <c r="BN953" s="102">
        <f>(CI953-Driver!$F$205)/(Driver!$G$205-Driver!$F$205)*$BI$1</f>
        <v/>
      </c>
      <c r="BO953" s="102">
        <f>(CK953-Driver!$F$207)/(Driver!$G$207-Driver!$F$207)*$BI$1</f>
        <v/>
      </c>
      <c r="BP953" s="102">
        <f>(CM953-Driver!$F$208)/(Driver!$G$208-Driver!$F$208)*$BI$1</f>
        <v/>
      </c>
      <c r="BQ953" s="102">
        <f>(CL953-Driver!$F$209)/(Driver!$G$209-Driver!$F$209)*$BI$1</f>
        <v/>
      </c>
      <c r="BR953" s="40" t="inlineStr">
        <is>
          <t>21/22</t>
        </is>
      </c>
      <c r="BS953" s="10" t="inlineStr">
        <is>
          <t xml:space="preserve"> Elan</t>
        </is>
      </c>
      <c r="BT953" s="11" t="inlineStr">
        <is>
          <t xml:space="preserve"> Snow Black</t>
        </is>
      </c>
      <c r="BU953" s="13" t="n">
        <v>158</v>
      </c>
      <c r="BV953" s="11" t="inlineStr">
        <is>
          <t xml:space="preserve"> Women's</t>
        </is>
      </c>
      <c r="BW953" s="13" t="n">
        <v>158</v>
      </c>
      <c r="BX953" s="13" t="n">
        <v>159.2</v>
      </c>
      <c r="BY953" s="13" t="n">
        <v>138</v>
      </c>
      <c r="BZ953" s="13" t="n">
        <v>147</v>
      </c>
      <c r="CA953" s="13" t="n">
        <v>122</v>
      </c>
      <c r="CB953" s="13" t="n">
        <v>74</v>
      </c>
      <c r="CC953" s="13" t="n">
        <v>103</v>
      </c>
      <c r="CD953" s="13" t="n">
        <v>13.9</v>
      </c>
      <c r="CE953" s="13" t="n">
        <v>1522</v>
      </c>
      <c r="CF953" s="13" t="n">
        <v>0.92</v>
      </c>
      <c r="CG953" s="13" t="n">
        <v>1401</v>
      </c>
      <c r="CH953" s="13" t="n">
        <v>187</v>
      </c>
      <c r="CI953" s="13" t="n">
        <v>60</v>
      </c>
      <c r="CJ953" s="13" t="n">
        <v>34</v>
      </c>
      <c r="CK953" s="13" t="n">
        <v>141</v>
      </c>
      <c r="CL953" s="13" t="n">
        <v>6</v>
      </c>
      <c r="CM953" s="13" t="n">
        <v>71</v>
      </c>
      <c r="CN953" s="13" t="n">
        <v>0.186</v>
      </c>
      <c r="CO953" s="13" t="n">
        <v>79</v>
      </c>
      <c r="CP953" s="13" t="n">
        <v>39</v>
      </c>
      <c r="CQ953" s="13" t="n">
        <v>62</v>
      </c>
      <c r="CR953" s="13" t="n">
        <v>9</v>
      </c>
      <c r="CS953" s="13" t="n">
        <v>9.1</v>
      </c>
      <c r="CT953" s="11" t="inlineStr">
        <is>
          <t xml:space="preserve"> On-Piste Carving</t>
        </is>
      </c>
      <c r="CU953" s="13" t="n"/>
      <c r="CV953" s="13" t="n"/>
      <c r="CW953" s="13" t="n"/>
      <c r="CX953">
        <f>INDEX('Data_Price '!AG$2:AG$1266,MATCH(Data!$DN953,'Data_Price '!$AT$2:$AT$1266,0))</f>
        <v/>
      </c>
      <c r="CY953">
        <f>INDEX('Data_Price '!AH$2:AH$1266,MATCH(Data!$DN953,'Data_Price '!$AT$2:$AT$1266,0))</f>
        <v/>
      </c>
      <c r="CZ953">
        <f>INDEX('Data_Price '!AI$2:AI$1266,MATCH(Data!$DN953,'Data_Price '!$AT$2:$AT$1266,0))</f>
        <v/>
      </c>
      <c r="DA953">
        <f>INDEX('Data_Price '!AJ$2:AJ$1266,MATCH(Data!$DN953,'Data_Price '!$AT$2:$AT$1266,0))</f>
        <v/>
      </c>
      <c r="DB953">
        <f>INDEX('Data_Price '!AK$2:AK$1266,MATCH(Data!$DN953,'Data_Price '!$AT$2:$AT$1266,0))</f>
        <v/>
      </c>
      <c r="DC953">
        <f>INDEX('Data_Price '!AL$2:AL$1266,MATCH(Data!$DN953,'Data_Price '!$AT$2:$AT$1266,0))</f>
        <v/>
      </c>
      <c r="DD953">
        <f>INDEX('Data_Price '!AM$2:AM$1266,MATCH(Data!$DN953,'Data_Price '!$AT$2:$AT$1266,0))</f>
        <v/>
      </c>
      <c r="DE953">
        <f>INDEX('Data_Price '!AN$2:AN$1266,MATCH(Data!$DN953,'Data_Price '!$AT$2:$AT$1266,0))</f>
        <v/>
      </c>
      <c r="DF953">
        <f>INDEX('Data_Price '!AO$2:AO$1266,MATCH(Data!$DN953,'Data_Price '!$AT$2:$AT$1266,0))</f>
        <v/>
      </c>
      <c r="DG953">
        <f>INDEX('Data_Price '!AP$2:AP$1266,MATCH(Data!$DN953,'Data_Price '!$AT$2:$AT$1266,0))</f>
        <v/>
      </c>
      <c r="DH953">
        <f>INDEX('Data_Price '!AQ$2:AQ$1266,MATCH(Data!$DN953,'Data_Price '!$AT$2:$AT$1266,0))</f>
        <v/>
      </c>
      <c r="DI953">
        <f>INDEX('Data_Price '!AR$2:AR$1266,MATCH(Data!$DN953,'Data_Price '!$AT$2:$AT$1266,0))</f>
        <v/>
      </c>
      <c r="DJ953" s="138">
        <f>DA953</f>
        <v/>
      </c>
      <c r="DK953" s="138">
        <f>DE953</f>
        <v/>
      </c>
      <c r="DL953" s="138">
        <f>DI953</f>
        <v/>
      </c>
      <c r="DM953" s="303">
        <f>IF(LEFT(BT953,1)=" ",RIGHT(BT953,LEN(BT953)-1),BT953)</f>
        <v/>
      </c>
      <c r="DN953" s="138">
        <f>_xlfn.CONCAT(BS953,DM953,BU953,BV953)</f>
        <v/>
      </c>
      <c r="DO953" s="307" t="n"/>
    </row>
    <row r="954" ht="15.6" customHeight="1" s="184">
      <c r="B954" s="303">
        <f t="array" ref="B954">IF(OR(ISERROR(K954:P954)),FALSE,TRUE)</f>
        <v/>
      </c>
      <c r="C954" s="60">
        <f>OR(BR954=Driver!$G$50,Data!BR523=Driver!$H$50)</f>
        <v/>
      </c>
      <c r="D954" s="60">
        <f>OR(BV954=Driver!$G$51,BV954=Driver!$H$51)</f>
        <v/>
      </c>
      <c r="E954" s="60">
        <f>AND(BX954&gt;Driver!$F$54,BX954&lt;Driver!$G$54)</f>
        <v/>
      </c>
      <c r="F954" s="60">
        <f>CL954&gt;Driver!$F$56</f>
        <v/>
      </c>
      <c r="G954" s="60">
        <f>AND(CB954&gt;Driver!$F$55,CB954&lt;Driver!$G$55)</f>
        <v/>
      </c>
      <c r="H954" s="60">
        <f>AND(B954:G954)</f>
        <v/>
      </c>
      <c r="I954" s="60">
        <f>COUNTIFS($H$9:$H$1273,TRUE,$BT$9:$BT$1273,BT954)</f>
        <v/>
      </c>
      <c r="J954" s="60">
        <f t="array" ref="J954">NOT(OR(($H$9:$H$1273=TRUE)*($I$9:$I$1273&gt;0)*($BT$9:$BT$1273=BT954)*($K$9:$K$1273&gt;K954)))</f>
        <v/>
      </c>
      <c r="K954" s="108">
        <f>IFERROR(1-AVERAGE(X954:Y954),"")</f>
        <v/>
      </c>
      <c r="L954" s="108">
        <f>1-X954</f>
        <v/>
      </c>
      <c r="M954" s="108">
        <f>1-Y954</f>
        <v/>
      </c>
      <c r="N954" s="108">
        <f>1-Z954</f>
        <v/>
      </c>
      <c r="O954" s="108">
        <f>1-AA954</f>
        <v/>
      </c>
      <c r="P954" s="108">
        <f>1-AB954</f>
        <v/>
      </c>
      <c r="Q954" s="108" t="n"/>
      <c r="R954" s="108" t="n"/>
      <c r="S954" s="108">
        <f>1-AE954</f>
        <v/>
      </c>
      <c r="T954" s="108">
        <f>1-AF954</f>
        <v/>
      </c>
      <c r="U954" s="108">
        <f>1-AG954</f>
        <v/>
      </c>
      <c r="V954" s="108">
        <f>1-AH954</f>
        <v/>
      </c>
      <c r="W954" s="108">
        <f>1-AI954</f>
        <v/>
      </c>
      <c r="X954" s="108">
        <f>ABS(AJ954-AJ$1)</f>
        <v/>
      </c>
      <c r="Y954" s="108">
        <f>AVERAGE(Z954:AB954)</f>
        <v/>
      </c>
      <c r="Z954" s="108">
        <f>ABS(AL954-AL$1)</f>
        <v/>
      </c>
      <c r="AA954" s="108">
        <f>ABS(AM954-AM$1)</f>
        <v/>
      </c>
      <c r="AB954" s="108">
        <f>ABS(AN954-AN$1)</f>
        <v/>
      </c>
      <c r="AC954" s="108" t="n"/>
      <c r="AD954" s="108" t="n"/>
      <c r="AE954" s="108">
        <f>ABS(AQ$1-AQ954)</f>
        <v/>
      </c>
      <c r="AF954" s="108">
        <f>ABS(AR$1-AR954)</f>
        <v/>
      </c>
      <c r="AG954" s="108">
        <f>ABS(AS$1-AS954)</f>
        <v/>
      </c>
      <c r="AH954" s="108">
        <f>ABS(AT$1-AT954)</f>
        <v/>
      </c>
      <c r="AI954" s="108">
        <f>ABS(AU$1-AU954)</f>
        <v/>
      </c>
      <c r="AJ954" s="108">
        <f>(AV954-Driver!$K$179)/(Driver!$L$179-Driver!$K$179)</f>
        <v/>
      </c>
      <c r="AK954" s="108">
        <f>(AW954-Driver!$K$180)/(Driver!$L$180-Driver!$K$180)</f>
        <v/>
      </c>
      <c r="AL954" s="108">
        <f>(AX954-Driver!$K$181)/(Driver!$L$181-Driver!$K$181)</f>
        <v/>
      </c>
      <c r="AM954" s="108">
        <f>(AY954-Driver!$K$182)/(Driver!$L$182-Driver!$K$182)</f>
        <v/>
      </c>
      <c r="AN954" s="108">
        <f>(AZ954-Driver!$K$183)/(Driver!$L$183-Driver!$K$183)</f>
        <v/>
      </c>
      <c r="AO954" s="108" t="n"/>
      <c r="AP954" s="108" t="n"/>
      <c r="AQ954" s="108">
        <f>(BC954-Driver!$K$188)/(Driver!$L$188-Driver!$K$188)</f>
        <v/>
      </c>
      <c r="AR954" s="108">
        <f>MIN((BD954-Driver!$K$189)/(Driver!$L$189-Driver!$K$189),100%)</f>
        <v/>
      </c>
      <c r="AS954" s="108">
        <f>(BE954-Driver!$K$190)/(Driver!$L$190-Driver!$K$190)</f>
        <v/>
      </c>
      <c r="AT954" s="108">
        <f>(BF954-Driver!$K$191)/(Driver!$L$191-Driver!$K$191)</f>
        <v/>
      </c>
      <c r="AU954" s="108">
        <f>(BG954-Driver!$K$192)/(Driver!$L$192-Driver!$K$192)</f>
        <v/>
      </c>
      <c r="AV954" s="105">
        <f>IFERROR(BM954*BJ954^1/4,"")</f>
        <v/>
      </c>
      <c r="AW954" s="105">
        <f>IFERROR(SUM(AX954:AZ954),"")</f>
        <v/>
      </c>
      <c r="AX954" s="105">
        <f>IFERROR(BH954,"")</f>
        <v/>
      </c>
      <c r="AY954" s="105">
        <f>IFERROR(Driver!$K$19/Data!BH954/Data!BI954*Data!BK954*Data!BL954,"")</f>
        <v/>
      </c>
      <c r="AZ954" s="105">
        <f>IFERROR(BI954*BN954,"")</f>
        <v/>
      </c>
      <c r="BA954" s="105" t="n"/>
      <c r="BB954" s="105" t="n"/>
      <c r="BC954" s="105">
        <f>IFERROR(BI954*BN954*BK954/BJ954^(1/2),"")</f>
        <v/>
      </c>
      <c r="BD954" s="105">
        <f>IFERROR(BH954*BM954*BL954/BJ954/BK954,"")</f>
        <v/>
      </c>
      <c r="BE954" s="105">
        <f>IFERROR(MIN(BI954/BQ954/BP954/BO954/BH954,$BE$1),"")</f>
        <v/>
      </c>
      <c r="BF954" s="105">
        <f>IFERROR(BJ954*BO954*BP954/BK954,"")</f>
        <v/>
      </c>
      <c r="BG954" s="105">
        <f>IFERROR(1/BM954/BH954*BQ954,"")</f>
        <v/>
      </c>
      <c r="BH954" s="102">
        <f>MAX((CE954-Driver!$F$200)/(Driver!$G$200-Driver!$F$200)*$BI$1,1)</f>
        <v/>
      </c>
      <c r="BI954" s="102">
        <f>MAX($BI$1*(BY954-Driver!$F$201)/(Driver!$G$201-Driver!$F$201),1)</f>
        <v/>
      </c>
      <c r="BJ954" s="102">
        <f>(CB954-Driver!$F$206)/(Driver!$G$206-Driver!$F$206)*$BI$1</f>
        <v/>
      </c>
      <c r="BK954" s="102">
        <f>(CD954-Driver!$F$203)/(Driver!$G$203-Driver!$F$203)*$BI$1</f>
        <v/>
      </c>
      <c r="BL954" s="102">
        <f>MAX((CR954-Driver!$F$202)/(Driver!$G$202-Driver!$F$202)*$BI$1,1)</f>
        <v/>
      </c>
      <c r="BM954" s="102">
        <f>MAX((CH954-Driver!$F$204)/(Driver!$G$204-Driver!$F$204)*$BI$1,1)</f>
        <v/>
      </c>
      <c r="BN954" s="102">
        <f>(CI954-Driver!$F$205)/(Driver!$G$205-Driver!$F$205)*$BI$1</f>
        <v/>
      </c>
      <c r="BO954" s="102">
        <f>(CK954-Driver!$F$207)/(Driver!$G$207-Driver!$F$207)*$BI$1</f>
        <v/>
      </c>
      <c r="BP954" s="102">
        <f>(CM954-Driver!$F$208)/(Driver!$G$208-Driver!$F$208)*$BI$1</f>
        <v/>
      </c>
      <c r="BQ954" s="102">
        <f>(CL954-Driver!$F$209)/(Driver!$G$209-Driver!$F$209)*$BI$1</f>
        <v/>
      </c>
      <c r="BR954" s="40" t="inlineStr">
        <is>
          <t>21/22</t>
        </is>
      </c>
      <c r="BS954" s="10" t="inlineStr">
        <is>
          <t xml:space="preserve"> Faction</t>
        </is>
      </c>
      <c r="BT954" s="11" t="inlineStr">
        <is>
          <t>Prodigy 0.0</t>
        </is>
      </c>
      <c r="BU954" s="13" t="n">
        <v>150</v>
      </c>
      <c r="BV954" s="11" t="inlineStr">
        <is>
          <t xml:space="preserve"> Unisex</t>
        </is>
      </c>
      <c r="BW954" s="13" t="n">
        <v>150</v>
      </c>
      <c r="BX954" s="13" t="n">
        <v>148.1</v>
      </c>
      <c r="BY954" s="13" t="n">
        <v>102</v>
      </c>
      <c r="BZ954" s="13" t="n">
        <v>124</v>
      </c>
      <c r="CA954" s="13" t="n">
        <v>116</v>
      </c>
      <c r="CB954" s="13" t="n">
        <v>84</v>
      </c>
      <c r="CC954" s="13" t="n">
        <v>108</v>
      </c>
      <c r="CD954" s="13" t="n">
        <v>11.9</v>
      </c>
      <c r="CE954" s="13" t="n">
        <v>1453</v>
      </c>
      <c r="CF954" s="13" t="n">
        <v>0.97</v>
      </c>
      <c r="CG954" s="13" t="n">
        <v>1415</v>
      </c>
      <c r="CH954" s="13" t="n">
        <v>123</v>
      </c>
      <c r="CI954" s="13" t="n">
        <v>54</v>
      </c>
      <c r="CJ954" s="13" t="n">
        <v>50</v>
      </c>
      <c r="CK954" s="13" t="n">
        <v>262</v>
      </c>
      <c r="CL954" s="13" t="n">
        <v>37</v>
      </c>
      <c r="CM954" s="13" t="n">
        <v>203</v>
      </c>
      <c r="CN954" s="13" t="n">
        <v>0.743</v>
      </c>
      <c r="CO954" s="13" t="n">
        <v>131</v>
      </c>
      <c r="CP954" s="13" t="n">
        <v>112</v>
      </c>
      <c r="CQ954" s="13" t="n">
        <v>130</v>
      </c>
      <c r="CR954" s="13" t="n">
        <v>5</v>
      </c>
      <c r="CS954" s="13" t="n">
        <v>5.7</v>
      </c>
      <c r="CT954" s="11" t="inlineStr">
        <is>
          <t xml:space="preserve"> Resort Freeride</t>
        </is>
      </c>
      <c r="CU954" s="13" t="n"/>
      <c r="CV954" s="13" t="n"/>
      <c r="CW954" s="13" t="n"/>
      <c r="CX954">
        <f>INDEX('Data_Price '!AG$2:AG$1266,MATCH(Data!$DN954,'Data_Price '!$AT$2:$AT$1266,0))</f>
        <v/>
      </c>
      <c r="CY954">
        <f>INDEX('Data_Price '!AH$2:AH$1266,MATCH(Data!$DN954,'Data_Price '!$AT$2:$AT$1266,0))</f>
        <v/>
      </c>
      <c r="CZ954">
        <f>INDEX('Data_Price '!AI$2:AI$1266,MATCH(Data!$DN954,'Data_Price '!$AT$2:$AT$1266,0))</f>
        <v/>
      </c>
      <c r="DA954">
        <f>INDEX('Data_Price '!AJ$2:AJ$1266,MATCH(Data!$DN954,'Data_Price '!$AT$2:$AT$1266,0))</f>
        <v/>
      </c>
      <c r="DB954">
        <f>INDEX('Data_Price '!AK$2:AK$1266,MATCH(Data!$DN954,'Data_Price '!$AT$2:$AT$1266,0))</f>
        <v/>
      </c>
      <c r="DC954">
        <f>INDEX('Data_Price '!AL$2:AL$1266,MATCH(Data!$DN954,'Data_Price '!$AT$2:$AT$1266,0))</f>
        <v/>
      </c>
      <c r="DD954">
        <f>INDEX('Data_Price '!AM$2:AM$1266,MATCH(Data!$DN954,'Data_Price '!$AT$2:$AT$1266,0))</f>
        <v/>
      </c>
      <c r="DE954">
        <f>INDEX('Data_Price '!AN$2:AN$1266,MATCH(Data!$DN954,'Data_Price '!$AT$2:$AT$1266,0))</f>
        <v/>
      </c>
      <c r="DF954">
        <f>INDEX('Data_Price '!AO$2:AO$1266,MATCH(Data!$DN954,'Data_Price '!$AT$2:$AT$1266,0))</f>
        <v/>
      </c>
      <c r="DG954">
        <f>INDEX('Data_Price '!AP$2:AP$1266,MATCH(Data!$DN954,'Data_Price '!$AT$2:$AT$1266,0))</f>
        <v/>
      </c>
      <c r="DH954">
        <f>INDEX('Data_Price '!AQ$2:AQ$1266,MATCH(Data!$DN954,'Data_Price '!$AT$2:$AT$1266,0))</f>
        <v/>
      </c>
      <c r="DI954">
        <f>INDEX('Data_Price '!AR$2:AR$1266,MATCH(Data!$DN954,'Data_Price '!$AT$2:$AT$1266,0))</f>
        <v/>
      </c>
      <c r="DJ954" s="138">
        <f>DA954</f>
        <v/>
      </c>
      <c r="DK954" s="138">
        <f>DE954</f>
        <v/>
      </c>
      <c r="DL954" s="138">
        <f>DI954</f>
        <v/>
      </c>
      <c r="DM954" s="303">
        <f>IF(LEFT(BT954,1)=" ",RIGHT(BT954,LEN(BT954)-1),BT954)</f>
        <v/>
      </c>
      <c r="DN954" s="138">
        <f>_xlfn.CONCAT(BS954,DM954,BU954,BV954)</f>
        <v/>
      </c>
      <c r="DO954" s="307" t="n"/>
    </row>
    <row r="955" ht="15.6" customHeight="1" s="184">
      <c r="B955" s="303">
        <f t="array" ref="B955">IF(OR(ISERROR(K955:P955)),FALSE,TRUE)</f>
        <v/>
      </c>
      <c r="C955" s="60">
        <f>OR(BR955=Driver!$G$50,Data!BR887=Driver!$H$50)</f>
        <v/>
      </c>
      <c r="D955" s="60">
        <f>OR(BV955=Driver!$G$51,BV955=Driver!$H$51)</f>
        <v/>
      </c>
      <c r="E955" s="60">
        <f>AND(BX955&gt;Driver!$F$54,BX955&lt;Driver!$G$54)</f>
        <v/>
      </c>
      <c r="F955" s="60">
        <f>CL955&gt;Driver!$F$56</f>
        <v/>
      </c>
      <c r="G955" s="60">
        <f>AND(CB955&gt;Driver!$F$55,CB955&lt;Driver!$G$55)</f>
        <v/>
      </c>
      <c r="H955" s="60">
        <f>AND(B955:G955)</f>
        <v/>
      </c>
      <c r="I955" s="60">
        <f>COUNTIFS($H$9:$H$1273,TRUE,$BT$9:$BT$1273,BT955)</f>
        <v/>
      </c>
      <c r="J955" s="60">
        <f t="array" ref="J955">NOT(OR(($H$9:$H$1273=TRUE)*($I$9:$I$1273&gt;0)*($BT$9:$BT$1273=BT955)*($K$9:$K$1273&gt;K955)))</f>
        <v/>
      </c>
      <c r="K955" s="108">
        <f>IFERROR(1-AVERAGE(X955:Y955),"")</f>
        <v/>
      </c>
      <c r="L955" s="108">
        <f>1-X955</f>
        <v/>
      </c>
      <c r="M955" s="108">
        <f>1-Y955</f>
        <v/>
      </c>
      <c r="N955" s="108">
        <f>1-Z955</f>
        <v/>
      </c>
      <c r="O955" s="108">
        <f>1-AA955</f>
        <v/>
      </c>
      <c r="P955" s="108">
        <f>1-AB955</f>
        <v/>
      </c>
      <c r="Q955" s="108" t="n"/>
      <c r="R955" s="108" t="n"/>
      <c r="S955" s="108">
        <f>1-AE955</f>
        <v/>
      </c>
      <c r="T955" s="108">
        <f>1-AF955</f>
        <v/>
      </c>
      <c r="U955" s="108">
        <f>1-AG955</f>
        <v/>
      </c>
      <c r="V955" s="108">
        <f>1-AH955</f>
        <v/>
      </c>
      <c r="W955" s="108">
        <f>1-AI955</f>
        <v/>
      </c>
      <c r="X955" s="108">
        <f>ABS(AJ955-AJ$1)</f>
        <v/>
      </c>
      <c r="Y955" s="108">
        <f>AVERAGE(Z955:AB955)</f>
        <v/>
      </c>
      <c r="Z955" s="108">
        <f>ABS(AL955-AL$1)</f>
        <v/>
      </c>
      <c r="AA955" s="108">
        <f>ABS(AM955-AM$1)</f>
        <v/>
      </c>
      <c r="AB955" s="108">
        <f>ABS(AN955-AN$1)</f>
        <v/>
      </c>
      <c r="AC955" s="108" t="n"/>
      <c r="AD955" s="108" t="n"/>
      <c r="AE955" s="108">
        <f>ABS(AQ$1-AQ955)</f>
        <v/>
      </c>
      <c r="AF955" s="108">
        <f>ABS(AR$1-AR955)</f>
        <v/>
      </c>
      <c r="AG955" s="108">
        <f>ABS(AS$1-AS955)</f>
        <v/>
      </c>
      <c r="AH955" s="108">
        <f>ABS(AT$1-AT955)</f>
        <v/>
      </c>
      <c r="AI955" s="108">
        <f>ABS(AU$1-AU955)</f>
        <v/>
      </c>
      <c r="AJ955" s="108">
        <f>(AV955-Driver!$K$179)/(Driver!$L$179-Driver!$K$179)</f>
        <v/>
      </c>
      <c r="AK955" s="108">
        <f>(AW955-Driver!$K$180)/(Driver!$L$180-Driver!$K$180)</f>
        <v/>
      </c>
      <c r="AL955" s="108">
        <f>(AX955-Driver!$K$181)/(Driver!$L$181-Driver!$K$181)</f>
        <v/>
      </c>
      <c r="AM955" s="108">
        <f>(AY955-Driver!$K$182)/(Driver!$L$182-Driver!$K$182)</f>
        <v/>
      </c>
      <c r="AN955" s="108">
        <f>(AZ955-Driver!$K$183)/(Driver!$L$183-Driver!$K$183)</f>
        <v/>
      </c>
      <c r="AO955" s="108" t="n"/>
      <c r="AP955" s="108" t="n"/>
      <c r="AQ955" s="108">
        <f>(BC955-Driver!$K$188)/(Driver!$L$188-Driver!$K$188)</f>
        <v/>
      </c>
      <c r="AR955" s="108">
        <f>MIN((BD955-Driver!$K$189)/(Driver!$L$189-Driver!$K$189),100%)</f>
        <v/>
      </c>
      <c r="AS955" s="108">
        <f>(BE955-Driver!$K$190)/(Driver!$L$190-Driver!$K$190)</f>
        <v/>
      </c>
      <c r="AT955" s="108">
        <f>(BF955-Driver!$K$191)/(Driver!$L$191-Driver!$K$191)</f>
        <v/>
      </c>
      <c r="AU955" s="108">
        <f>(BG955-Driver!$K$192)/(Driver!$L$192-Driver!$K$192)</f>
        <v/>
      </c>
      <c r="AV955" s="105">
        <f>IFERROR(BM955*BJ955^1/4,"")</f>
        <v/>
      </c>
      <c r="AW955" s="105">
        <f>IFERROR(SUM(AX955:AZ955),"")</f>
        <v/>
      </c>
      <c r="AX955" s="105">
        <f>IFERROR(BH955,"")</f>
        <v/>
      </c>
      <c r="AY955" s="105">
        <f>IFERROR(Driver!$K$19/Data!BH955/Data!BI955*Data!BK955*Data!BL955,"")</f>
        <v/>
      </c>
      <c r="AZ955" s="105">
        <f>IFERROR(BI955*BN955,"")</f>
        <v/>
      </c>
      <c r="BA955" s="105" t="n"/>
      <c r="BB955" s="105" t="n"/>
      <c r="BC955" s="105">
        <f>IFERROR(BI955*BN955*BK955/BJ955^(1/2),"")</f>
        <v/>
      </c>
      <c r="BD955" s="105">
        <f>IFERROR(BH955*BM955*BL955/BJ955/BK955,"")</f>
        <v/>
      </c>
      <c r="BE955" s="105">
        <f>IFERROR(MIN(BI955/BQ955/BP955/BO955/BH955,$BE$1),"")</f>
        <v/>
      </c>
      <c r="BF955" s="105">
        <f>IFERROR(BJ955*BO955*BP955/BK955,"")</f>
        <v/>
      </c>
      <c r="BG955" s="105">
        <f>IFERROR(1/BM955/BH955*BQ955,"")</f>
        <v/>
      </c>
      <c r="BH955" s="102">
        <f>MAX((CE955-Driver!$F$200)/(Driver!$G$200-Driver!$F$200)*$BI$1,1)</f>
        <v/>
      </c>
      <c r="BI955" s="102">
        <f>MAX($BI$1*(BY955-Driver!$F$201)/(Driver!$G$201-Driver!$F$201),1)</f>
        <v/>
      </c>
      <c r="BJ955" s="102">
        <f>(CB955-Driver!$F$206)/(Driver!$G$206-Driver!$F$206)*$BI$1</f>
        <v/>
      </c>
      <c r="BK955" s="102">
        <f>(CD955-Driver!$F$203)/(Driver!$G$203-Driver!$F$203)*$BI$1</f>
        <v/>
      </c>
      <c r="BL955" s="102">
        <f>MAX((CR955-Driver!$F$202)/(Driver!$G$202-Driver!$F$202)*$BI$1,1)</f>
        <v/>
      </c>
      <c r="BM955" s="102">
        <f>MAX((CH955-Driver!$F$204)/(Driver!$G$204-Driver!$F$204)*$BI$1,1)</f>
        <v/>
      </c>
      <c r="BN955" s="102">
        <f>(CI955-Driver!$F$205)/(Driver!$G$205-Driver!$F$205)*$BI$1</f>
        <v/>
      </c>
      <c r="BO955" s="102">
        <f>(CK955-Driver!$F$207)/(Driver!$G$207-Driver!$F$207)*$BI$1</f>
        <v/>
      </c>
      <c r="BP955" s="102">
        <f>(CM955-Driver!$F$208)/(Driver!$G$208-Driver!$F$208)*$BI$1</f>
        <v/>
      </c>
      <c r="BQ955" s="102">
        <f>(CL955-Driver!$F$209)/(Driver!$G$209-Driver!$F$209)*$BI$1</f>
        <v/>
      </c>
      <c r="BR955" s="40" t="inlineStr">
        <is>
          <t>21/22</t>
        </is>
      </c>
      <c r="BS955" s="10" t="inlineStr">
        <is>
          <t xml:space="preserve"> Nordica</t>
        </is>
      </c>
      <c r="BT955" s="11" t="inlineStr">
        <is>
          <t>Belle 73</t>
        </is>
      </c>
      <c r="BU955" s="13" t="n">
        <v>150</v>
      </c>
      <c r="BV955" s="11" t="inlineStr">
        <is>
          <t xml:space="preserve"> Women's</t>
        </is>
      </c>
      <c r="BW955" s="13" t="n">
        <v>150</v>
      </c>
      <c r="BX955" s="13" t="n">
        <v>149.2</v>
      </c>
      <c r="BY955" s="13" t="n">
        <v>127</v>
      </c>
      <c r="BZ955" s="13" t="n">
        <v>135</v>
      </c>
      <c r="CA955" s="13" t="n">
        <v>121</v>
      </c>
      <c r="CB955" s="13" t="n">
        <v>72</v>
      </c>
      <c r="CC955" s="13" t="n">
        <v>98</v>
      </c>
      <c r="CD955" s="13" t="n">
        <v>12.1</v>
      </c>
      <c r="CE955" s="13" t="n">
        <v>1601</v>
      </c>
      <c r="CF955" s="13" t="n">
        <v>0.8</v>
      </c>
      <c r="CG955" s="13" t="n">
        <v>1287</v>
      </c>
      <c r="CH955" s="13" t="n">
        <v>141</v>
      </c>
      <c r="CI955" s="13" t="n">
        <v>57</v>
      </c>
      <c r="CJ955" s="13" t="n">
        <v>36</v>
      </c>
      <c r="CK955" s="13" t="n">
        <v>137</v>
      </c>
      <c r="CL955" s="13" t="n">
        <v>9</v>
      </c>
      <c r="CM955" s="13" t="n">
        <v>87</v>
      </c>
      <c r="CN955" s="13" t="n">
        <v>0.255</v>
      </c>
      <c r="CO955" s="13" t="n">
        <v>65</v>
      </c>
      <c r="CP955" s="13" t="n">
        <v>82</v>
      </c>
      <c r="CQ955" s="13" t="n">
        <v>72</v>
      </c>
      <c r="CR955" s="13" t="n">
        <v>7</v>
      </c>
      <c r="CS955" s="13" t="n">
        <v>9.199999999999999</v>
      </c>
      <c r="CT955" s="11" t="inlineStr">
        <is>
          <t xml:space="preserve"> On-Piste Carving</t>
        </is>
      </c>
      <c r="CU955" s="13" t="n"/>
      <c r="CV955" s="13" t="n"/>
      <c r="CW955" s="13" t="n"/>
      <c r="CX955">
        <f>INDEX('Data_Price '!AG$2:AG$1266,MATCH(Data!$DN955,'Data_Price '!$AT$2:$AT$1266,0))</f>
        <v/>
      </c>
      <c r="CY955">
        <f>INDEX('Data_Price '!AH$2:AH$1266,MATCH(Data!$DN955,'Data_Price '!$AT$2:$AT$1266,0))</f>
        <v/>
      </c>
      <c r="CZ955">
        <f>INDEX('Data_Price '!AI$2:AI$1266,MATCH(Data!$DN955,'Data_Price '!$AT$2:$AT$1266,0))</f>
        <v/>
      </c>
      <c r="DA955">
        <f>INDEX('Data_Price '!AJ$2:AJ$1266,MATCH(Data!$DN955,'Data_Price '!$AT$2:$AT$1266,0))</f>
        <v/>
      </c>
      <c r="DB955">
        <f>INDEX('Data_Price '!AK$2:AK$1266,MATCH(Data!$DN955,'Data_Price '!$AT$2:$AT$1266,0))</f>
        <v/>
      </c>
      <c r="DC955">
        <f>INDEX('Data_Price '!AL$2:AL$1266,MATCH(Data!$DN955,'Data_Price '!$AT$2:$AT$1266,0))</f>
        <v/>
      </c>
      <c r="DD955">
        <f>INDEX('Data_Price '!AM$2:AM$1266,MATCH(Data!$DN955,'Data_Price '!$AT$2:$AT$1266,0))</f>
        <v/>
      </c>
      <c r="DE955">
        <f>INDEX('Data_Price '!AN$2:AN$1266,MATCH(Data!$DN955,'Data_Price '!$AT$2:$AT$1266,0))</f>
        <v/>
      </c>
      <c r="DF955">
        <f>INDEX('Data_Price '!AO$2:AO$1266,MATCH(Data!$DN955,'Data_Price '!$AT$2:$AT$1266,0))</f>
        <v/>
      </c>
      <c r="DG955">
        <f>INDEX('Data_Price '!AP$2:AP$1266,MATCH(Data!$DN955,'Data_Price '!$AT$2:$AT$1266,0))</f>
        <v/>
      </c>
      <c r="DH955">
        <f>INDEX('Data_Price '!AQ$2:AQ$1266,MATCH(Data!$DN955,'Data_Price '!$AT$2:$AT$1266,0))</f>
        <v/>
      </c>
      <c r="DI955">
        <f>INDEX('Data_Price '!AR$2:AR$1266,MATCH(Data!$DN955,'Data_Price '!$AT$2:$AT$1266,0))</f>
        <v/>
      </c>
      <c r="DJ955" s="138">
        <f>DA955</f>
        <v/>
      </c>
      <c r="DK955" s="138">
        <f>DE955</f>
        <v/>
      </c>
      <c r="DL955" s="138">
        <f>DI955</f>
        <v/>
      </c>
      <c r="DM955" s="303">
        <f>IF(LEFT(BT955,1)=" ",RIGHT(BT955,LEN(BT955)-1),BT955)</f>
        <v/>
      </c>
      <c r="DN955" s="138">
        <f>_xlfn.CONCAT(BS955,DM955,BU955,BV955)</f>
        <v/>
      </c>
      <c r="DO955" s="307" t="n"/>
    </row>
    <row r="956" ht="15.6" customHeight="1" s="184">
      <c r="B956" s="303">
        <f t="array" ref="B956">IF(OR(ISERROR(K956:P956)),FALSE,TRUE)</f>
        <v/>
      </c>
      <c r="C956" s="60">
        <f>OR(BR956=Driver!$G$50,Data!BR418=Driver!$H$50)</f>
        <v/>
      </c>
      <c r="D956" s="60">
        <f>OR(BV956=Driver!$G$51,BV956=Driver!$H$51)</f>
        <v/>
      </c>
      <c r="E956" s="60">
        <f>AND(BX956&gt;Driver!$F$54,BX956&lt;Driver!$G$54)</f>
        <v/>
      </c>
      <c r="F956" s="60">
        <f>CL956&gt;Driver!$F$56</f>
        <v/>
      </c>
      <c r="G956" s="60">
        <f>AND(CB956&gt;Driver!$F$55,CB956&lt;Driver!$G$55)</f>
        <v/>
      </c>
      <c r="H956" s="60">
        <f>AND(B956:G956)</f>
        <v/>
      </c>
      <c r="I956" s="60">
        <f>COUNTIFS($H$9:$H$1273,TRUE,$BT$9:$BT$1273,BT956)</f>
        <v/>
      </c>
      <c r="J956" s="60">
        <f t="array" ref="J956">NOT(OR(($H$9:$H$1273=TRUE)*($I$9:$I$1273&gt;0)*($BT$9:$BT$1273=BT956)*($K$9:$K$1273&gt;K956)))</f>
        <v/>
      </c>
      <c r="K956" s="108">
        <f>IFERROR(1-AVERAGE(X956:Y956),"")</f>
        <v/>
      </c>
      <c r="L956" s="108">
        <f>1-X956</f>
        <v/>
      </c>
      <c r="M956" s="108">
        <f>1-Y956</f>
        <v/>
      </c>
      <c r="N956" s="108">
        <f>1-Z956</f>
        <v/>
      </c>
      <c r="O956" s="108">
        <f>1-AA956</f>
        <v/>
      </c>
      <c r="P956" s="108">
        <f>1-AB956</f>
        <v/>
      </c>
      <c r="Q956" s="108" t="n"/>
      <c r="R956" s="108" t="n"/>
      <c r="S956" s="108">
        <f>1-AE956</f>
        <v/>
      </c>
      <c r="T956" s="108">
        <f>1-AF956</f>
        <v/>
      </c>
      <c r="U956" s="108">
        <f>1-AG956</f>
        <v/>
      </c>
      <c r="V956" s="108">
        <f>1-AH956</f>
        <v/>
      </c>
      <c r="W956" s="108">
        <f>1-AI956</f>
        <v/>
      </c>
      <c r="X956" s="108">
        <f>ABS(AJ956-AJ$1)</f>
        <v/>
      </c>
      <c r="Y956" s="108">
        <f>AVERAGE(Z956:AB956)</f>
        <v/>
      </c>
      <c r="Z956" s="108">
        <f>ABS(AL956-AL$1)</f>
        <v/>
      </c>
      <c r="AA956" s="108">
        <f>ABS(AM956-AM$1)</f>
        <v/>
      </c>
      <c r="AB956" s="108">
        <f>ABS(AN956-AN$1)</f>
        <v/>
      </c>
      <c r="AC956" s="108" t="n"/>
      <c r="AD956" s="108" t="n"/>
      <c r="AE956" s="108">
        <f>ABS(AQ$1-AQ956)</f>
        <v/>
      </c>
      <c r="AF956" s="108">
        <f>ABS(AR$1-AR956)</f>
        <v/>
      </c>
      <c r="AG956" s="108">
        <f>ABS(AS$1-AS956)</f>
        <v/>
      </c>
      <c r="AH956" s="108">
        <f>ABS(AT$1-AT956)</f>
        <v/>
      </c>
      <c r="AI956" s="108">
        <f>ABS(AU$1-AU956)</f>
        <v/>
      </c>
      <c r="AJ956" s="108">
        <f>(AV956-Driver!$K$179)/(Driver!$L$179-Driver!$K$179)</f>
        <v/>
      </c>
      <c r="AK956" s="108">
        <f>(AW956-Driver!$K$180)/(Driver!$L$180-Driver!$K$180)</f>
        <v/>
      </c>
      <c r="AL956" s="108">
        <f>(AX956-Driver!$K$181)/(Driver!$L$181-Driver!$K$181)</f>
        <v/>
      </c>
      <c r="AM956" s="108">
        <f>(AY956-Driver!$K$182)/(Driver!$L$182-Driver!$K$182)</f>
        <v/>
      </c>
      <c r="AN956" s="108">
        <f>(AZ956-Driver!$K$183)/(Driver!$L$183-Driver!$K$183)</f>
        <v/>
      </c>
      <c r="AO956" s="108" t="n"/>
      <c r="AP956" s="108" t="n"/>
      <c r="AQ956" s="108">
        <f>(BC956-Driver!$K$188)/(Driver!$L$188-Driver!$K$188)</f>
        <v/>
      </c>
      <c r="AR956" s="108">
        <f>MIN((BD956-Driver!$K$189)/(Driver!$L$189-Driver!$K$189),100%)</f>
        <v/>
      </c>
      <c r="AS956" s="108">
        <f>(BE956-Driver!$K$190)/(Driver!$L$190-Driver!$K$190)</f>
        <v/>
      </c>
      <c r="AT956" s="108">
        <f>(BF956-Driver!$K$191)/(Driver!$L$191-Driver!$K$191)</f>
        <v/>
      </c>
      <c r="AU956" s="108">
        <f>(BG956-Driver!$K$192)/(Driver!$L$192-Driver!$K$192)</f>
        <v/>
      </c>
      <c r="AV956" s="105">
        <f>IFERROR(BM956*BJ956^1/4,"")</f>
        <v/>
      </c>
      <c r="AW956" s="105">
        <f>IFERROR(SUM(AX956:AZ956),"")</f>
        <v/>
      </c>
      <c r="AX956" s="105">
        <f>IFERROR(BH956,"")</f>
        <v/>
      </c>
      <c r="AY956" s="105">
        <f>IFERROR(Driver!$K$19/Data!BH956/Data!BI956*Data!BK956*Data!BL956,"")</f>
        <v/>
      </c>
      <c r="AZ956" s="105">
        <f>IFERROR(BI956*BN956,"")</f>
        <v/>
      </c>
      <c r="BA956" s="105" t="n"/>
      <c r="BB956" s="105" t="n"/>
      <c r="BC956" s="105">
        <f>IFERROR(BI956*BN956*BK956/BJ956^(1/2),"")</f>
        <v/>
      </c>
      <c r="BD956" s="105">
        <f>IFERROR(BH956*BM956*BL956/BJ956/BK956,"")</f>
        <v/>
      </c>
      <c r="BE956" s="105">
        <f>IFERROR(MIN(BI956/BQ956/BP956/BO956/BH956,$BE$1),"")</f>
        <v/>
      </c>
      <c r="BF956" s="105">
        <f>IFERROR(BJ956*BO956*BP956/BK956,"")</f>
        <v/>
      </c>
      <c r="BG956" s="105">
        <f>IFERROR(1/BM956/BH956*BQ956,"")</f>
        <v/>
      </c>
      <c r="BH956" s="102">
        <f>MAX((CE956-Driver!$F$200)/(Driver!$G$200-Driver!$F$200)*$BI$1,1)</f>
        <v/>
      </c>
      <c r="BI956" s="102">
        <f>MAX($BI$1*(BY956-Driver!$F$201)/(Driver!$G$201-Driver!$F$201),1)</f>
        <v/>
      </c>
      <c r="BJ956" s="102">
        <f>(CB956-Driver!$F$206)/(Driver!$G$206-Driver!$F$206)*$BI$1</f>
        <v/>
      </c>
      <c r="BK956" s="102">
        <f>(CD956-Driver!$F$203)/(Driver!$G$203-Driver!$F$203)*$BI$1</f>
        <v/>
      </c>
      <c r="BL956" s="102">
        <f>MAX((CR956-Driver!$F$202)/(Driver!$G$202-Driver!$F$202)*$BI$1,1)</f>
        <v/>
      </c>
      <c r="BM956" s="102">
        <f>MAX((CH956-Driver!$F$204)/(Driver!$G$204-Driver!$F$204)*$BI$1,1)</f>
        <v/>
      </c>
      <c r="BN956" s="102">
        <f>(CI956-Driver!$F$205)/(Driver!$G$205-Driver!$F$205)*$BI$1</f>
        <v/>
      </c>
      <c r="BO956" s="102">
        <f>(CK956-Driver!$F$207)/(Driver!$G$207-Driver!$F$207)*$BI$1</f>
        <v/>
      </c>
      <c r="BP956" s="102">
        <f>(CM956-Driver!$F$208)/(Driver!$G$208-Driver!$F$208)*$BI$1</f>
        <v/>
      </c>
      <c r="BQ956" s="102">
        <f>(CL956-Driver!$F$209)/(Driver!$G$209-Driver!$F$209)*$BI$1</f>
        <v/>
      </c>
      <c r="BR956" s="40" t="inlineStr">
        <is>
          <t>21/22</t>
        </is>
      </c>
      <c r="BS956" s="10" t="inlineStr">
        <is>
          <t xml:space="preserve"> Dynastar</t>
        </is>
      </c>
      <c r="BT956" s="11" t="inlineStr">
        <is>
          <t>Speed 763</t>
        </is>
      </c>
      <c r="BU956" s="13" t="n">
        <v>166</v>
      </c>
      <c r="BV956" s="11" t="inlineStr">
        <is>
          <t xml:space="preserve"> Unisex</t>
        </is>
      </c>
      <c r="BW956" s="13" t="n">
        <v>166</v>
      </c>
      <c r="BX956" s="13" t="n">
        <v>165.1</v>
      </c>
      <c r="BY956" s="13" t="n">
        <v>144</v>
      </c>
      <c r="BZ956" s="13" t="n">
        <v>150</v>
      </c>
      <c r="CA956" s="13" t="n">
        <v>120</v>
      </c>
      <c r="CB956" s="13" t="n">
        <v>72</v>
      </c>
      <c r="CC956" s="13" t="n">
        <v>106</v>
      </c>
      <c r="CD956" s="13" t="n">
        <v>13.5</v>
      </c>
      <c r="CE956" s="13" t="n">
        <v>1994</v>
      </c>
      <c r="CF956" s="13" t="n">
        <v>0.72</v>
      </c>
      <c r="CG956" s="13" t="n">
        <v>1439</v>
      </c>
      <c r="CH956" s="13" t="n">
        <v>213</v>
      </c>
      <c r="CI956" s="13" t="n">
        <v>106</v>
      </c>
      <c r="CJ956" s="13" t="n">
        <v>41</v>
      </c>
      <c r="CK956" s="13" t="n">
        <v>153</v>
      </c>
      <c r="CL956" s="13" t="n">
        <v>7</v>
      </c>
      <c r="CM956" s="13" t="n">
        <v>58</v>
      </c>
      <c r="CN956" s="13" t="n">
        <v>0.164</v>
      </c>
      <c r="CO956" s="13" t="n">
        <v>87</v>
      </c>
      <c r="CP956" s="13" t="n">
        <v>62</v>
      </c>
      <c r="CQ956" s="13" t="n">
        <v>66</v>
      </c>
      <c r="CR956" s="13" t="n">
        <v>11</v>
      </c>
      <c r="CS956" s="13" t="n">
        <v>11.5</v>
      </c>
      <c r="CT956" s="11" t="inlineStr">
        <is>
          <t xml:space="preserve"> On-Piste Carving</t>
        </is>
      </c>
      <c r="CU956" s="13" t="n"/>
      <c r="CV956" s="13" t="n"/>
      <c r="CW956" s="13" t="n"/>
      <c r="CX956">
        <f>INDEX('Data_Price '!AG$2:AG$1266,MATCH(Data!$DN956,'Data_Price '!$AT$2:$AT$1266,0))</f>
        <v/>
      </c>
      <c r="CY956">
        <f>INDEX('Data_Price '!AH$2:AH$1266,MATCH(Data!$DN956,'Data_Price '!$AT$2:$AT$1266,0))</f>
        <v/>
      </c>
      <c r="CZ956">
        <f>INDEX('Data_Price '!AI$2:AI$1266,MATCH(Data!$DN956,'Data_Price '!$AT$2:$AT$1266,0))</f>
        <v/>
      </c>
      <c r="DA956">
        <f>INDEX('Data_Price '!AJ$2:AJ$1266,MATCH(Data!$DN956,'Data_Price '!$AT$2:$AT$1266,0))</f>
        <v/>
      </c>
      <c r="DB956">
        <f>INDEX('Data_Price '!AK$2:AK$1266,MATCH(Data!$DN956,'Data_Price '!$AT$2:$AT$1266,0))</f>
        <v/>
      </c>
      <c r="DC956">
        <f>INDEX('Data_Price '!AL$2:AL$1266,MATCH(Data!$DN956,'Data_Price '!$AT$2:$AT$1266,0))</f>
        <v/>
      </c>
      <c r="DD956">
        <f>INDEX('Data_Price '!AM$2:AM$1266,MATCH(Data!$DN956,'Data_Price '!$AT$2:$AT$1266,0))</f>
        <v/>
      </c>
      <c r="DE956">
        <f>INDEX('Data_Price '!AN$2:AN$1266,MATCH(Data!$DN956,'Data_Price '!$AT$2:$AT$1266,0))</f>
        <v/>
      </c>
      <c r="DF956">
        <f>INDEX('Data_Price '!AO$2:AO$1266,MATCH(Data!$DN956,'Data_Price '!$AT$2:$AT$1266,0))</f>
        <v/>
      </c>
      <c r="DG956">
        <f>INDEX('Data_Price '!AP$2:AP$1266,MATCH(Data!$DN956,'Data_Price '!$AT$2:$AT$1266,0))</f>
        <v/>
      </c>
      <c r="DH956">
        <f>INDEX('Data_Price '!AQ$2:AQ$1266,MATCH(Data!$DN956,'Data_Price '!$AT$2:$AT$1266,0))</f>
        <v/>
      </c>
      <c r="DI956">
        <f>INDEX('Data_Price '!AR$2:AR$1266,MATCH(Data!$DN956,'Data_Price '!$AT$2:$AT$1266,0))</f>
        <v/>
      </c>
      <c r="DJ956" s="138">
        <f>DA956</f>
        <v/>
      </c>
      <c r="DK956" s="138">
        <f>DE956</f>
        <v/>
      </c>
      <c r="DL956" s="138">
        <f>DI956</f>
        <v/>
      </c>
      <c r="DM956" s="303">
        <f>IF(LEFT(BT956,1)=" ",RIGHT(BT956,LEN(BT956)-1),BT956)</f>
        <v/>
      </c>
      <c r="DN956" s="138">
        <f>_xlfn.CONCAT(BS956,DM956,BU956,BV956)</f>
        <v/>
      </c>
      <c r="DO956" s="307" t="n"/>
    </row>
    <row r="957" ht="15.6" customHeight="1" s="184">
      <c r="B957" s="303">
        <f t="array" ref="B957">IF(OR(ISERROR(K957:P957)),FALSE,TRUE)</f>
        <v/>
      </c>
      <c r="C957" s="60">
        <f>OR(BR957=Driver!$G$50,Data!BR997=Driver!$H$50)</f>
        <v/>
      </c>
      <c r="D957" s="60">
        <f>OR(BV957=Driver!$G$51,BV957=Driver!$H$51)</f>
        <v/>
      </c>
      <c r="E957" s="60">
        <f>AND(BX957&gt;Driver!$F$54,BX957&lt;Driver!$G$54)</f>
        <v/>
      </c>
      <c r="F957" s="60">
        <f>CL957&gt;Driver!$F$56</f>
        <v/>
      </c>
      <c r="G957" s="60">
        <f>AND(CB957&gt;Driver!$F$55,CB957&lt;Driver!$G$55)</f>
        <v/>
      </c>
      <c r="H957" s="60">
        <f>AND(B957:G957)</f>
        <v/>
      </c>
      <c r="I957" s="60">
        <f>COUNTIFS($H$9:$H$1273,TRUE,$BT$9:$BT$1273,BT957)</f>
        <v/>
      </c>
      <c r="J957" s="60">
        <f t="array" ref="J957">NOT(OR(($H$9:$H$1273=TRUE)*($I$9:$I$1273&gt;0)*($BT$9:$BT$1273=BT957)*($K$9:$K$1273&gt;K957)))</f>
        <v/>
      </c>
      <c r="K957" s="108">
        <f>IFERROR(1-AVERAGE(X957:Y957),"")</f>
        <v/>
      </c>
      <c r="L957" s="108">
        <f>1-X957</f>
        <v/>
      </c>
      <c r="M957" s="108">
        <f>1-Y957</f>
        <v/>
      </c>
      <c r="N957" s="108">
        <f>1-Z957</f>
        <v/>
      </c>
      <c r="O957" s="108">
        <f>1-AA957</f>
        <v/>
      </c>
      <c r="P957" s="108">
        <f>1-AB957</f>
        <v/>
      </c>
      <c r="Q957" s="108" t="n"/>
      <c r="R957" s="108" t="n"/>
      <c r="S957" s="108">
        <f>1-AE957</f>
        <v/>
      </c>
      <c r="T957" s="108">
        <f>1-AF957</f>
        <v/>
      </c>
      <c r="U957" s="108">
        <f>1-AG957</f>
        <v/>
      </c>
      <c r="V957" s="108">
        <f>1-AH957</f>
        <v/>
      </c>
      <c r="W957" s="108">
        <f>1-AI957</f>
        <v/>
      </c>
      <c r="X957" s="108">
        <f>ABS(AJ957-AJ$1)</f>
        <v/>
      </c>
      <c r="Y957" s="108">
        <f>AVERAGE(Z957:AB957)</f>
        <v/>
      </c>
      <c r="Z957" s="108">
        <f>ABS(AL957-AL$1)</f>
        <v/>
      </c>
      <c r="AA957" s="108">
        <f>ABS(AM957-AM$1)</f>
        <v/>
      </c>
      <c r="AB957" s="108">
        <f>ABS(AN957-AN$1)</f>
        <v/>
      </c>
      <c r="AC957" s="108" t="n"/>
      <c r="AD957" s="108" t="n"/>
      <c r="AE957" s="108">
        <f>ABS(AQ$1-AQ957)</f>
        <v/>
      </c>
      <c r="AF957" s="108">
        <f>ABS(AR$1-AR957)</f>
        <v/>
      </c>
      <c r="AG957" s="108">
        <f>ABS(AS$1-AS957)</f>
        <v/>
      </c>
      <c r="AH957" s="108">
        <f>ABS(AT$1-AT957)</f>
        <v/>
      </c>
      <c r="AI957" s="108">
        <f>ABS(AU$1-AU957)</f>
        <v/>
      </c>
      <c r="AJ957" s="108">
        <f>(AV957-Driver!$K$179)/(Driver!$L$179-Driver!$K$179)</f>
        <v/>
      </c>
      <c r="AK957" s="108">
        <f>(AW957-Driver!$K$180)/(Driver!$L$180-Driver!$K$180)</f>
        <v/>
      </c>
      <c r="AL957" s="108">
        <f>(AX957-Driver!$K$181)/(Driver!$L$181-Driver!$K$181)</f>
        <v/>
      </c>
      <c r="AM957" s="108">
        <f>(AY957-Driver!$K$182)/(Driver!$L$182-Driver!$K$182)</f>
        <v/>
      </c>
      <c r="AN957" s="108">
        <f>(AZ957-Driver!$K$183)/(Driver!$L$183-Driver!$K$183)</f>
        <v/>
      </c>
      <c r="AO957" s="108" t="n"/>
      <c r="AP957" s="108" t="n"/>
      <c r="AQ957" s="108">
        <f>(BC957-Driver!$K$188)/(Driver!$L$188-Driver!$K$188)</f>
        <v/>
      </c>
      <c r="AR957" s="108">
        <f>MIN((BD957-Driver!$K$189)/(Driver!$L$189-Driver!$K$189),100%)</f>
        <v/>
      </c>
      <c r="AS957" s="108">
        <f>(BE957-Driver!$K$190)/(Driver!$L$190-Driver!$K$190)</f>
        <v/>
      </c>
      <c r="AT957" s="108">
        <f>(BF957-Driver!$K$191)/(Driver!$L$191-Driver!$K$191)</f>
        <v/>
      </c>
      <c r="AU957" s="108">
        <f>(BG957-Driver!$K$192)/(Driver!$L$192-Driver!$K$192)</f>
        <v/>
      </c>
      <c r="AV957" s="105">
        <f>IFERROR(BM957*BJ957^1/4,"")</f>
        <v/>
      </c>
      <c r="AW957" s="105">
        <f>IFERROR(SUM(AX957:AZ957),"")</f>
        <v/>
      </c>
      <c r="AX957" s="105">
        <f>IFERROR(BH957,"")</f>
        <v/>
      </c>
      <c r="AY957" s="105">
        <f>IFERROR(Driver!$K$19/Data!BH957/Data!BI957*Data!BK957*Data!BL957,"")</f>
        <v/>
      </c>
      <c r="AZ957" s="105">
        <f>IFERROR(BI957*BN957,"")</f>
        <v/>
      </c>
      <c r="BA957" s="105" t="n"/>
      <c r="BB957" s="105" t="n"/>
      <c r="BC957" s="105">
        <f>IFERROR(BI957*BN957*BK957/BJ957^(1/2),"")</f>
        <v/>
      </c>
      <c r="BD957" s="105">
        <f>IFERROR(BH957*BM957*BL957/BJ957/BK957,"")</f>
        <v/>
      </c>
      <c r="BE957" s="105">
        <f>IFERROR(MIN(BI957/BQ957/BP957/BO957/BH957,$BE$1),"")</f>
        <v/>
      </c>
      <c r="BF957" s="105">
        <f>IFERROR(BJ957*BO957*BP957/BK957,"")</f>
        <v/>
      </c>
      <c r="BG957" s="105">
        <f>IFERROR(1/BM957/BH957*BQ957,"")</f>
        <v/>
      </c>
      <c r="BH957" s="102">
        <f>MAX((CE957-Driver!$F$200)/(Driver!$G$200-Driver!$F$200)*$BI$1,1)</f>
        <v/>
      </c>
      <c r="BI957" s="102">
        <f>MAX($BI$1*(BY957-Driver!$F$201)/(Driver!$G$201-Driver!$F$201),1)</f>
        <v/>
      </c>
      <c r="BJ957" s="102">
        <f>(CB957-Driver!$F$206)/(Driver!$G$206-Driver!$F$206)*$BI$1</f>
        <v/>
      </c>
      <c r="BK957" s="102">
        <f>(CD957-Driver!$F$203)/(Driver!$G$203-Driver!$F$203)*$BI$1</f>
        <v/>
      </c>
      <c r="BL957" s="102">
        <f>MAX((CR957-Driver!$F$202)/(Driver!$G$202-Driver!$F$202)*$BI$1,1)</f>
        <v/>
      </c>
      <c r="BM957" s="102">
        <f>MAX((CH957-Driver!$F$204)/(Driver!$G$204-Driver!$F$204)*$BI$1,1)</f>
        <v/>
      </c>
      <c r="BN957" s="102">
        <f>(CI957-Driver!$F$205)/(Driver!$G$205-Driver!$F$205)*$BI$1</f>
        <v/>
      </c>
      <c r="BO957" s="102">
        <f>(CK957-Driver!$F$207)/(Driver!$G$207-Driver!$F$207)*$BI$1</f>
        <v/>
      </c>
      <c r="BP957" s="102">
        <f>(CM957-Driver!$F$208)/(Driver!$G$208-Driver!$F$208)*$BI$1</f>
        <v/>
      </c>
      <c r="BQ957" s="102">
        <f>(CL957-Driver!$F$209)/(Driver!$G$209-Driver!$F$209)*$BI$1</f>
        <v/>
      </c>
      <c r="BR957" s="40" t="inlineStr">
        <is>
          <t>21/22</t>
        </is>
      </c>
      <c r="BS957" s="10" t="inlineStr">
        <is>
          <t xml:space="preserve"> Rossignol</t>
        </is>
      </c>
      <c r="BT957" s="11" t="inlineStr">
        <is>
          <t>Experience 76</t>
        </is>
      </c>
      <c r="BU957" s="13" t="n">
        <v>152</v>
      </c>
      <c r="BV957" s="11" t="inlineStr">
        <is>
          <t xml:space="preserve"> Unisex</t>
        </is>
      </c>
      <c r="BW957" s="13" t="n">
        <v>152</v>
      </c>
      <c r="BX957" s="13" t="n">
        <v>152.3</v>
      </c>
      <c r="BY957" s="13" t="n">
        <v>131</v>
      </c>
      <c r="BZ957" s="13" t="n">
        <v>137</v>
      </c>
      <c r="CA957" s="13" t="n">
        <v>123</v>
      </c>
      <c r="CB957" s="13" t="n">
        <v>76</v>
      </c>
      <c r="CC957" s="13" t="n">
        <v>110</v>
      </c>
      <c r="CD957" s="13" t="n">
        <v>11.2</v>
      </c>
      <c r="CE957" s="13" t="n">
        <v>1525</v>
      </c>
      <c r="CF957" s="13" t="n">
        <v>0.92</v>
      </c>
      <c r="CG957" s="13" t="n">
        <v>1397</v>
      </c>
      <c r="CH957" s="13" t="n">
        <v>160</v>
      </c>
      <c r="CI957" s="13" t="n">
        <v>59</v>
      </c>
      <c r="CJ957" s="13" t="n">
        <v>36</v>
      </c>
      <c r="CK957" s="13" t="n">
        <v>146</v>
      </c>
      <c r="CL957" s="13" t="n">
        <v>5</v>
      </c>
      <c r="CM957" s="13" t="n">
        <v>67</v>
      </c>
      <c r="CN957" s="13" t="n">
        <v>0.143</v>
      </c>
      <c r="CO957" s="13" t="n">
        <v>73</v>
      </c>
      <c r="CP957" s="13" t="n">
        <v>83</v>
      </c>
      <c r="CQ957" s="13" t="n">
        <v>73</v>
      </c>
      <c r="CR957" s="13" t="n">
        <v>10</v>
      </c>
      <c r="CS957" s="13" t="n">
        <v>7.6</v>
      </c>
      <c r="CT957" s="11" t="inlineStr">
        <is>
          <t xml:space="preserve"> On-Piste Carving</t>
        </is>
      </c>
      <c r="CU957" s="11" t="inlineStr">
        <is>
          <t xml:space="preserve"> On-Piste All-Mountain</t>
        </is>
      </c>
      <c r="CV957" s="13" t="n"/>
      <c r="CW957" s="13" t="n"/>
      <c r="CX957">
        <f>INDEX('Data_Price '!AG$2:AG$1266,MATCH(Data!$DN957,'Data_Price '!$AT$2:$AT$1266,0))</f>
        <v/>
      </c>
      <c r="CY957">
        <f>INDEX('Data_Price '!AH$2:AH$1266,MATCH(Data!$DN957,'Data_Price '!$AT$2:$AT$1266,0))</f>
        <v/>
      </c>
      <c r="CZ957">
        <f>INDEX('Data_Price '!AI$2:AI$1266,MATCH(Data!$DN957,'Data_Price '!$AT$2:$AT$1266,0))</f>
        <v/>
      </c>
      <c r="DA957">
        <f>INDEX('Data_Price '!AJ$2:AJ$1266,MATCH(Data!$DN957,'Data_Price '!$AT$2:$AT$1266,0))</f>
        <v/>
      </c>
      <c r="DB957">
        <f>INDEX('Data_Price '!AK$2:AK$1266,MATCH(Data!$DN957,'Data_Price '!$AT$2:$AT$1266,0))</f>
        <v/>
      </c>
      <c r="DC957">
        <f>INDEX('Data_Price '!AL$2:AL$1266,MATCH(Data!$DN957,'Data_Price '!$AT$2:$AT$1266,0))</f>
        <v/>
      </c>
      <c r="DD957">
        <f>INDEX('Data_Price '!AM$2:AM$1266,MATCH(Data!$DN957,'Data_Price '!$AT$2:$AT$1266,0))</f>
        <v/>
      </c>
      <c r="DE957">
        <f>INDEX('Data_Price '!AN$2:AN$1266,MATCH(Data!$DN957,'Data_Price '!$AT$2:$AT$1266,0))</f>
        <v/>
      </c>
      <c r="DF957">
        <f>INDEX('Data_Price '!AO$2:AO$1266,MATCH(Data!$DN957,'Data_Price '!$AT$2:$AT$1266,0))</f>
        <v/>
      </c>
      <c r="DG957">
        <f>INDEX('Data_Price '!AP$2:AP$1266,MATCH(Data!$DN957,'Data_Price '!$AT$2:$AT$1266,0))</f>
        <v/>
      </c>
      <c r="DH957">
        <f>INDEX('Data_Price '!AQ$2:AQ$1266,MATCH(Data!$DN957,'Data_Price '!$AT$2:$AT$1266,0))</f>
        <v/>
      </c>
      <c r="DI957">
        <f>INDEX('Data_Price '!AR$2:AR$1266,MATCH(Data!$DN957,'Data_Price '!$AT$2:$AT$1266,0))</f>
        <v/>
      </c>
      <c r="DJ957" s="138">
        <f>DA957</f>
        <v/>
      </c>
      <c r="DK957" s="138">
        <f>DE957</f>
        <v/>
      </c>
      <c r="DL957" s="138">
        <f>DI957</f>
        <v/>
      </c>
      <c r="DM957" s="303">
        <f>IF(LEFT(BT957,1)=" ",RIGHT(BT957,LEN(BT957)-1),BT957)</f>
        <v/>
      </c>
      <c r="DN957" s="138">
        <f>_xlfn.CONCAT(BS957,DM957,BU957,BV957)</f>
        <v/>
      </c>
      <c r="DO957" s="307" t="inlineStr">
        <is>
          <t>https://images.evo.com/imgp/250/201408/832772/clone.jpg</t>
        </is>
      </c>
    </row>
    <row r="958" ht="15.6" customHeight="1" s="184">
      <c r="B958" s="303">
        <f t="array" ref="B958">IF(OR(ISERROR(K958:P958)),FALSE,TRUE)</f>
        <v/>
      </c>
      <c r="C958" s="60">
        <f>OR(BR958=Driver!$G$50,Data!BR1225=Driver!$H$50)</f>
        <v/>
      </c>
      <c r="D958" s="60">
        <f>OR(BV958=Driver!$G$51,BV958=Driver!$H$51)</f>
        <v/>
      </c>
      <c r="E958" s="60">
        <f>AND(BX958&gt;Driver!$F$54,BX958&lt;Driver!$G$54)</f>
        <v/>
      </c>
      <c r="F958" s="60">
        <f>CL958&gt;Driver!$F$56</f>
        <v/>
      </c>
      <c r="G958" s="60">
        <f>AND(CB958&gt;Driver!$F$55,CB958&lt;Driver!$G$55)</f>
        <v/>
      </c>
      <c r="H958" s="60">
        <f>AND(B958:G958)</f>
        <v/>
      </c>
      <c r="I958" s="60">
        <f>COUNTIFS($H$9:$H$1273,TRUE,$BT$9:$BT$1273,BT958)</f>
        <v/>
      </c>
      <c r="J958" s="60">
        <f t="array" ref="J958">NOT(OR(($H$9:$H$1273=TRUE)*($I$9:$I$1273&gt;0)*($BT$9:$BT$1273=BT958)*($K$9:$K$1273&gt;K958)))</f>
        <v/>
      </c>
      <c r="K958" s="108">
        <f>IFERROR(1-AVERAGE(X958:Y958),"")</f>
        <v/>
      </c>
      <c r="L958" s="108">
        <f>1-X958</f>
        <v/>
      </c>
      <c r="M958" s="108">
        <f>1-Y958</f>
        <v/>
      </c>
      <c r="N958" s="108">
        <f>1-Z958</f>
        <v/>
      </c>
      <c r="O958" s="108">
        <f>1-AA958</f>
        <v/>
      </c>
      <c r="P958" s="108">
        <f>1-AB958</f>
        <v/>
      </c>
      <c r="Q958" s="108" t="n"/>
      <c r="R958" s="108" t="n"/>
      <c r="S958" s="108">
        <f>1-AE958</f>
        <v/>
      </c>
      <c r="T958" s="108">
        <f>1-AF958</f>
        <v/>
      </c>
      <c r="U958" s="108">
        <f>1-AG958</f>
        <v/>
      </c>
      <c r="V958" s="108">
        <f>1-AH958</f>
        <v/>
      </c>
      <c r="W958" s="108">
        <f>1-AI958</f>
        <v/>
      </c>
      <c r="X958" s="108">
        <f>ABS(AJ958-AJ$1)</f>
        <v/>
      </c>
      <c r="Y958" s="108">
        <f>AVERAGE(Z958:AB958)</f>
        <v/>
      </c>
      <c r="Z958" s="108">
        <f>ABS(AL958-AL$1)</f>
        <v/>
      </c>
      <c r="AA958" s="108">
        <f>ABS(AM958-AM$1)</f>
        <v/>
      </c>
      <c r="AB958" s="108">
        <f>ABS(AN958-AN$1)</f>
        <v/>
      </c>
      <c r="AC958" s="108" t="n"/>
      <c r="AD958" s="108" t="n"/>
      <c r="AE958" s="108">
        <f>ABS(AQ$1-AQ958)</f>
        <v/>
      </c>
      <c r="AF958" s="108">
        <f>ABS(AR$1-AR958)</f>
        <v/>
      </c>
      <c r="AG958" s="108">
        <f>ABS(AS$1-AS958)</f>
        <v/>
      </c>
      <c r="AH958" s="108">
        <f>ABS(AT$1-AT958)</f>
        <v/>
      </c>
      <c r="AI958" s="108">
        <f>ABS(AU$1-AU958)</f>
        <v/>
      </c>
      <c r="AJ958" s="108">
        <f>(AV958-Driver!$K$179)/(Driver!$L$179-Driver!$K$179)</f>
        <v/>
      </c>
      <c r="AK958" s="108">
        <f>(AW958-Driver!$K$180)/(Driver!$L$180-Driver!$K$180)</f>
        <v/>
      </c>
      <c r="AL958" s="108">
        <f>(AX958-Driver!$K$181)/(Driver!$L$181-Driver!$K$181)</f>
        <v/>
      </c>
      <c r="AM958" s="108">
        <f>(AY958-Driver!$K$182)/(Driver!$L$182-Driver!$K$182)</f>
        <v/>
      </c>
      <c r="AN958" s="108">
        <f>(AZ958-Driver!$K$183)/(Driver!$L$183-Driver!$K$183)</f>
        <v/>
      </c>
      <c r="AO958" s="108" t="n"/>
      <c r="AP958" s="108" t="n"/>
      <c r="AQ958" s="108">
        <f>(BC958-Driver!$K$188)/(Driver!$L$188-Driver!$K$188)</f>
        <v/>
      </c>
      <c r="AR958" s="108">
        <f>MIN((BD958-Driver!$K$189)/(Driver!$L$189-Driver!$K$189),100%)</f>
        <v/>
      </c>
      <c r="AS958" s="108">
        <f>(BE958-Driver!$K$190)/(Driver!$L$190-Driver!$K$190)</f>
        <v/>
      </c>
      <c r="AT958" s="108">
        <f>(BF958-Driver!$K$191)/(Driver!$L$191-Driver!$K$191)</f>
        <v/>
      </c>
      <c r="AU958" s="108">
        <f>(BG958-Driver!$K$192)/(Driver!$L$192-Driver!$K$192)</f>
        <v/>
      </c>
      <c r="AV958" s="105">
        <f>IFERROR(BM958*BJ958^1/4,"")</f>
        <v/>
      </c>
      <c r="AW958" s="105">
        <f>IFERROR(SUM(AX958:AZ958),"")</f>
        <v/>
      </c>
      <c r="AX958" s="105">
        <f>IFERROR(BH958,"")</f>
        <v/>
      </c>
      <c r="AY958" s="105">
        <f>IFERROR(Driver!$K$19/Data!BH958/Data!BI958*Data!BK958*Data!BL958,"")</f>
        <v/>
      </c>
      <c r="AZ958" s="105">
        <f>IFERROR(BI958*BN958,"")</f>
        <v/>
      </c>
      <c r="BA958" s="105" t="n"/>
      <c r="BB958" s="105" t="n"/>
      <c r="BC958" s="105">
        <f>IFERROR(BI958*BN958*BK958/BJ958^(1/2),"")</f>
        <v/>
      </c>
      <c r="BD958" s="105">
        <f>IFERROR(BH958*BM958*BL958/BJ958/BK958,"")</f>
        <v/>
      </c>
      <c r="BE958" s="105">
        <f>IFERROR(MIN(BI958/BQ958/BP958/BO958/BH958,$BE$1),"")</f>
        <v/>
      </c>
      <c r="BF958" s="105">
        <f>IFERROR(BJ958*BO958*BP958/BK958,"")</f>
        <v/>
      </c>
      <c r="BG958" s="105">
        <f>IFERROR(1/BM958/BH958*BQ958,"")</f>
        <v/>
      </c>
      <c r="BH958" s="102">
        <f>MAX((CE958-Driver!$F$200)/(Driver!$G$200-Driver!$F$200)*$BI$1,1)</f>
        <v/>
      </c>
      <c r="BI958" s="102">
        <f>MAX($BI$1*(BY958-Driver!$F$201)/(Driver!$G$201-Driver!$F$201),1)</f>
        <v/>
      </c>
      <c r="BJ958" s="102">
        <f>(CB958-Driver!$F$206)/(Driver!$G$206-Driver!$F$206)*$BI$1</f>
        <v/>
      </c>
      <c r="BK958" s="102">
        <f>(CD958-Driver!$F$203)/(Driver!$G$203-Driver!$F$203)*$BI$1</f>
        <v/>
      </c>
      <c r="BL958" s="102">
        <f>MAX((CR958-Driver!$F$202)/(Driver!$G$202-Driver!$F$202)*$BI$1,1)</f>
        <v/>
      </c>
      <c r="BM958" s="102">
        <f>MAX((CH958-Driver!$F$204)/(Driver!$G$204-Driver!$F$204)*$BI$1,1)</f>
        <v/>
      </c>
      <c r="BN958" s="102">
        <f>(CI958-Driver!$F$205)/(Driver!$G$205-Driver!$F$205)*$BI$1</f>
        <v/>
      </c>
      <c r="BO958" s="102">
        <f>(CK958-Driver!$F$207)/(Driver!$G$207-Driver!$F$207)*$BI$1</f>
        <v/>
      </c>
      <c r="BP958" s="102">
        <f>(CM958-Driver!$F$208)/(Driver!$G$208-Driver!$F$208)*$BI$1</f>
        <v/>
      </c>
      <c r="BQ958" s="102">
        <f>(CL958-Driver!$F$209)/(Driver!$G$209-Driver!$F$209)*$BI$1</f>
        <v/>
      </c>
      <c r="BR958" s="40" t="inlineStr">
        <is>
          <t>21/22</t>
        </is>
      </c>
      <c r="BS958" s="10" t="inlineStr">
        <is>
          <t xml:space="preserve"> Völkl</t>
        </is>
      </c>
      <c r="BT958" s="11" t="inlineStr">
        <is>
          <t>Mantra M5</t>
        </is>
      </c>
      <c r="BU958" s="13" t="n">
        <v>170</v>
      </c>
      <c r="BV958" s="11" t="inlineStr">
        <is>
          <t xml:space="preserve"> Unisex</t>
        </is>
      </c>
      <c r="BW958" s="13" t="n">
        <v>170</v>
      </c>
      <c r="BX958" s="13" t="n">
        <v>171.3</v>
      </c>
      <c r="BY958" s="13" t="n">
        <v>129</v>
      </c>
      <c r="BZ958" s="13" t="n">
        <v>148</v>
      </c>
      <c r="CA958" s="13" t="n">
        <v>133</v>
      </c>
      <c r="CB958" s="13" t="n">
        <v>95</v>
      </c>
      <c r="CC958" s="13" t="n">
        <v>116</v>
      </c>
      <c r="CD958" s="13" t="n">
        <v>18</v>
      </c>
      <c r="CE958" s="13" t="n">
        <v>1971</v>
      </c>
      <c r="CF958" s="13" t="n">
        <v>0.93</v>
      </c>
      <c r="CG958" s="13" t="n">
        <v>1826</v>
      </c>
      <c r="CH958" s="13" t="n">
        <v>223</v>
      </c>
      <c r="CI958" s="13" t="n">
        <v>150</v>
      </c>
      <c r="CJ958" s="13" t="n">
        <v>45</v>
      </c>
      <c r="CK958" s="13" t="n">
        <v>245</v>
      </c>
      <c r="CL958" s="13" t="n">
        <v>16</v>
      </c>
      <c r="CM958" s="13" t="n">
        <v>176</v>
      </c>
      <c r="CN958" s="13" t="n">
        <v>0.351</v>
      </c>
      <c r="CO958" s="13" t="n">
        <v>127</v>
      </c>
      <c r="CP958" s="13" t="n">
        <v>103</v>
      </c>
      <c r="CQ958" s="13" t="n">
        <v>117</v>
      </c>
      <c r="CR958" s="13" t="n">
        <v>4</v>
      </c>
      <c r="CS958" s="13" t="n">
        <v>11.7</v>
      </c>
      <c r="CT958" s="11" t="inlineStr">
        <is>
          <t xml:space="preserve"> Resort Freeride</t>
        </is>
      </c>
      <c r="CU958" s="13" t="n"/>
      <c r="CV958" s="13" t="n"/>
      <c r="CW958" s="13" t="n"/>
      <c r="CX958">
        <f>INDEX('Data_Price '!AG$2:AG$1266,MATCH(Data!$DN958,'Data_Price '!$AT$2:$AT$1266,0))</f>
        <v/>
      </c>
      <c r="CY958">
        <f>INDEX('Data_Price '!AH$2:AH$1266,MATCH(Data!$DN958,'Data_Price '!$AT$2:$AT$1266,0))</f>
        <v/>
      </c>
      <c r="CZ958">
        <f>INDEX('Data_Price '!AI$2:AI$1266,MATCH(Data!$DN958,'Data_Price '!$AT$2:$AT$1266,0))</f>
        <v/>
      </c>
      <c r="DA958">
        <f>INDEX('Data_Price '!AJ$2:AJ$1266,MATCH(Data!$DN958,'Data_Price '!$AT$2:$AT$1266,0))</f>
        <v/>
      </c>
      <c r="DB958">
        <f>INDEX('Data_Price '!AK$2:AK$1266,MATCH(Data!$DN958,'Data_Price '!$AT$2:$AT$1266,0))</f>
        <v/>
      </c>
      <c r="DC958">
        <f>INDEX('Data_Price '!AL$2:AL$1266,MATCH(Data!$DN958,'Data_Price '!$AT$2:$AT$1266,0))</f>
        <v/>
      </c>
      <c r="DD958">
        <f>INDEX('Data_Price '!AM$2:AM$1266,MATCH(Data!$DN958,'Data_Price '!$AT$2:$AT$1266,0))</f>
        <v/>
      </c>
      <c r="DE958">
        <f>INDEX('Data_Price '!AN$2:AN$1266,MATCH(Data!$DN958,'Data_Price '!$AT$2:$AT$1266,0))</f>
        <v/>
      </c>
      <c r="DF958">
        <f>INDEX('Data_Price '!AO$2:AO$1266,MATCH(Data!$DN958,'Data_Price '!$AT$2:$AT$1266,0))</f>
        <v/>
      </c>
      <c r="DG958">
        <f>INDEX('Data_Price '!AP$2:AP$1266,MATCH(Data!$DN958,'Data_Price '!$AT$2:$AT$1266,0))</f>
        <v/>
      </c>
      <c r="DH958">
        <f>INDEX('Data_Price '!AQ$2:AQ$1266,MATCH(Data!$DN958,'Data_Price '!$AT$2:$AT$1266,0))</f>
        <v/>
      </c>
      <c r="DI958">
        <f>INDEX('Data_Price '!AR$2:AR$1266,MATCH(Data!$DN958,'Data_Price '!$AT$2:$AT$1266,0))</f>
        <v/>
      </c>
      <c r="DJ958" s="138">
        <f>DA958</f>
        <v/>
      </c>
      <c r="DK958" s="138">
        <f>DE958</f>
        <v/>
      </c>
      <c r="DL958" s="138">
        <f>DI958</f>
        <v/>
      </c>
      <c r="DM958" s="303">
        <f>IF(LEFT(BT958,1)=" ",RIGHT(BT958,LEN(BT958)-1),BT958)</f>
        <v/>
      </c>
      <c r="DN958" s="138">
        <f>_xlfn.CONCAT(BS958,DM958,BU958,BV958)</f>
        <v/>
      </c>
      <c r="DO958" s="307" t="n"/>
    </row>
    <row r="959" ht="15.6" customHeight="1" s="184">
      <c r="B959" s="303">
        <f t="array" ref="B959">IF(OR(ISERROR(K959:P959)),FALSE,TRUE)</f>
        <v/>
      </c>
      <c r="C959" s="60">
        <f>OR(BR959=Driver!$G$50,Data!BR271=Driver!$H$50)</f>
        <v/>
      </c>
      <c r="D959" s="60">
        <f>OR(BV959=Driver!$G$51,BV959=Driver!$H$51)</f>
        <v/>
      </c>
      <c r="E959" s="60">
        <f>AND(BX959&gt;Driver!$F$54,BX959&lt;Driver!$G$54)</f>
        <v/>
      </c>
      <c r="F959" s="60">
        <f>CL959&gt;Driver!$F$56</f>
        <v/>
      </c>
      <c r="G959" s="60">
        <f>AND(CB959&gt;Driver!$F$55,CB959&lt;Driver!$G$55)</f>
        <v/>
      </c>
      <c r="H959" s="60">
        <f>AND(B959:G959)</f>
        <v/>
      </c>
      <c r="I959" s="60">
        <f>COUNTIFS($H$9:$H$1273,TRUE,$BT$9:$BT$1273,BT959)</f>
        <v/>
      </c>
      <c r="J959" s="60">
        <f t="array" ref="J959">NOT(OR(($H$9:$H$1273=TRUE)*($I$9:$I$1273&gt;0)*($BT$9:$BT$1273=BT959)*($K$9:$K$1273&gt;K959)))</f>
        <v/>
      </c>
      <c r="K959" s="108">
        <f>IFERROR(1-AVERAGE(X959:Y959),"")</f>
        <v/>
      </c>
      <c r="L959" s="108">
        <f>1-X959</f>
        <v/>
      </c>
      <c r="M959" s="108">
        <f>1-Y959</f>
        <v/>
      </c>
      <c r="N959" s="108">
        <f>1-Z959</f>
        <v/>
      </c>
      <c r="O959" s="108">
        <f>1-AA959</f>
        <v/>
      </c>
      <c r="P959" s="108">
        <f>1-AB959</f>
        <v/>
      </c>
      <c r="Q959" s="108" t="n"/>
      <c r="R959" s="108" t="n"/>
      <c r="S959" s="108">
        <f>1-AE959</f>
        <v/>
      </c>
      <c r="T959" s="108">
        <f>1-AF959</f>
        <v/>
      </c>
      <c r="U959" s="108">
        <f>1-AG959</f>
        <v/>
      </c>
      <c r="V959" s="108">
        <f>1-AH959</f>
        <v/>
      </c>
      <c r="W959" s="108">
        <f>1-AI959</f>
        <v/>
      </c>
      <c r="X959" s="108">
        <f>ABS(AJ959-AJ$1)</f>
        <v/>
      </c>
      <c r="Y959" s="108">
        <f>AVERAGE(Z959:AB959)</f>
        <v/>
      </c>
      <c r="Z959" s="108">
        <f>ABS(AL959-AL$1)</f>
        <v/>
      </c>
      <c r="AA959" s="108">
        <f>ABS(AM959-AM$1)</f>
        <v/>
      </c>
      <c r="AB959" s="108">
        <f>ABS(AN959-AN$1)</f>
        <v/>
      </c>
      <c r="AC959" s="108" t="n"/>
      <c r="AD959" s="108" t="n"/>
      <c r="AE959" s="108">
        <f>ABS(AQ$1-AQ959)</f>
        <v/>
      </c>
      <c r="AF959" s="108">
        <f>ABS(AR$1-AR959)</f>
        <v/>
      </c>
      <c r="AG959" s="108">
        <f>ABS(AS$1-AS959)</f>
        <v/>
      </c>
      <c r="AH959" s="108">
        <f>ABS(AT$1-AT959)</f>
        <v/>
      </c>
      <c r="AI959" s="108">
        <f>ABS(AU$1-AU959)</f>
        <v/>
      </c>
      <c r="AJ959" s="108">
        <f>(AV959-Driver!$K$179)/(Driver!$L$179-Driver!$K$179)</f>
        <v/>
      </c>
      <c r="AK959" s="108">
        <f>(AW959-Driver!$K$180)/(Driver!$L$180-Driver!$K$180)</f>
        <v/>
      </c>
      <c r="AL959" s="108">
        <f>(AX959-Driver!$K$181)/(Driver!$L$181-Driver!$K$181)</f>
        <v/>
      </c>
      <c r="AM959" s="108">
        <f>(AY959-Driver!$K$182)/(Driver!$L$182-Driver!$K$182)</f>
        <v/>
      </c>
      <c r="AN959" s="108">
        <f>(AZ959-Driver!$K$183)/(Driver!$L$183-Driver!$K$183)</f>
        <v/>
      </c>
      <c r="AO959" s="108" t="n"/>
      <c r="AP959" s="108" t="n"/>
      <c r="AQ959" s="108">
        <f>(BC959-Driver!$K$188)/(Driver!$L$188-Driver!$K$188)</f>
        <v/>
      </c>
      <c r="AR959" s="108">
        <f>MIN((BD959-Driver!$K$189)/(Driver!$L$189-Driver!$K$189),100%)</f>
        <v/>
      </c>
      <c r="AS959" s="108">
        <f>(BE959-Driver!$K$190)/(Driver!$L$190-Driver!$K$190)</f>
        <v/>
      </c>
      <c r="AT959" s="108">
        <f>(BF959-Driver!$K$191)/(Driver!$L$191-Driver!$K$191)</f>
        <v/>
      </c>
      <c r="AU959" s="108">
        <f>(BG959-Driver!$K$192)/(Driver!$L$192-Driver!$K$192)</f>
        <v/>
      </c>
      <c r="AV959" s="105">
        <f>IFERROR(BM959*BJ959^1/4,"")</f>
        <v/>
      </c>
      <c r="AW959" s="105">
        <f>IFERROR(SUM(AX959:AZ959),"")</f>
        <v/>
      </c>
      <c r="AX959" s="105">
        <f>IFERROR(BH959,"")</f>
        <v/>
      </c>
      <c r="AY959" s="105">
        <f>IFERROR(Driver!$K$19/Data!BH959/Data!BI959*Data!BK959*Data!BL959,"")</f>
        <v/>
      </c>
      <c r="AZ959" s="105">
        <f>IFERROR(BI959*BN959,"")</f>
        <v/>
      </c>
      <c r="BA959" s="105" t="n"/>
      <c r="BB959" s="105" t="n"/>
      <c r="BC959" s="105">
        <f>IFERROR(BI959*BN959*BK959/BJ959^(1/2),"")</f>
        <v/>
      </c>
      <c r="BD959" s="105">
        <f>IFERROR(BH959*BM959*BL959/BJ959/BK959,"")</f>
        <v/>
      </c>
      <c r="BE959" s="105">
        <f>IFERROR(MIN(BI959/BQ959/BP959/BO959/BH959,$BE$1),"")</f>
        <v/>
      </c>
      <c r="BF959" s="105">
        <f>IFERROR(BJ959*BO959*BP959/BK959,"")</f>
        <v/>
      </c>
      <c r="BG959" s="105">
        <f>IFERROR(1/BM959/BH959*BQ959,"")</f>
        <v/>
      </c>
      <c r="BH959" s="102">
        <f>MAX((CE959-Driver!$F$200)/(Driver!$G$200-Driver!$F$200)*$BI$1,1)</f>
        <v/>
      </c>
      <c r="BI959" s="102">
        <f>MAX($BI$1*(BY959-Driver!$F$201)/(Driver!$G$201-Driver!$F$201),1)</f>
        <v/>
      </c>
      <c r="BJ959" s="102">
        <f>(CB959-Driver!$F$206)/(Driver!$G$206-Driver!$F$206)*$BI$1</f>
        <v/>
      </c>
      <c r="BK959" s="102">
        <f>(CD959-Driver!$F$203)/(Driver!$G$203-Driver!$F$203)*$BI$1</f>
        <v/>
      </c>
      <c r="BL959" s="102">
        <f>MAX((CR959-Driver!$F$202)/(Driver!$G$202-Driver!$F$202)*$BI$1,1)</f>
        <v/>
      </c>
      <c r="BM959" s="102">
        <f>MAX((CH959-Driver!$F$204)/(Driver!$G$204-Driver!$F$204)*$BI$1,1)</f>
        <v/>
      </c>
      <c r="BN959" s="102">
        <f>(CI959-Driver!$F$205)/(Driver!$G$205-Driver!$F$205)*$BI$1</f>
        <v/>
      </c>
      <c r="BO959" s="102">
        <f>(CK959-Driver!$F$207)/(Driver!$G$207-Driver!$F$207)*$BI$1</f>
        <v/>
      </c>
      <c r="BP959" s="102">
        <f>(CM959-Driver!$F$208)/(Driver!$G$208-Driver!$F$208)*$BI$1</f>
        <v/>
      </c>
      <c r="BQ959" s="102">
        <f>(CL959-Driver!$F$209)/(Driver!$G$209-Driver!$F$209)*$BI$1</f>
        <v/>
      </c>
      <c r="BR959" s="40" t="inlineStr">
        <is>
          <t>21/22</t>
        </is>
      </c>
      <c r="BS959" s="10" t="inlineStr">
        <is>
          <t xml:space="preserve"> Blizzard</t>
        </is>
      </c>
      <c r="BT959" s="11" t="inlineStr">
        <is>
          <t>Brahma 82</t>
        </is>
      </c>
      <c r="BU959" s="13" t="n">
        <v>173</v>
      </c>
      <c r="BV959" s="11" t="inlineStr">
        <is>
          <t xml:space="preserve"> Unisex</t>
        </is>
      </c>
      <c r="BW959" s="13" t="n">
        <v>173</v>
      </c>
      <c r="BX959" s="13" t="n">
        <v>171.1</v>
      </c>
      <c r="BY959" s="13" t="n">
        <v>136</v>
      </c>
      <c r="BZ959" s="13" t="n">
        <v>147</v>
      </c>
      <c r="CA959" s="13" t="n">
        <v>121</v>
      </c>
      <c r="CB959" s="13" t="n">
        <v>81</v>
      </c>
      <c r="CC959" s="13" t="n">
        <v>104</v>
      </c>
      <c r="CD959" s="13" t="n">
        <v>17</v>
      </c>
      <c r="CE959" s="13" t="n">
        <v>1888</v>
      </c>
      <c r="CF959" s="13" t="n">
        <v>0.85</v>
      </c>
      <c r="CG959" s="13" t="n">
        <v>1600</v>
      </c>
      <c r="CH959" s="13" t="n">
        <v>190</v>
      </c>
      <c r="CI959" s="13" t="n">
        <v>122</v>
      </c>
      <c r="CJ959" s="13" t="n">
        <v>53</v>
      </c>
      <c r="CK959" s="13" t="n">
        <v>251</v>
      </c>
      <c r="CL959" s="13" t="n">
        <v>5</v>
      </c>
      <c r="CM959" s="13" t="n">
        <v>97</v>
      </c>
      <c r="CN959" s="13" t="n">
        <v>0.103</v>
      </c>
      <c r="CO959" s="13" t="n">
        <v>126</v>
      </c>
      <c r="CP959" s="13" t="n">
        <v>112</v>
      </c>
      <c r="CQ959" s="13" t="n">
        <v>125</v>
      </c>
      <c r="CR959" s="13" t="n">
        <v>4</v>
      </c>
      <c r="CS959" s="13" t="n">
        <v>10.6</v>
      </c>
      <c r="CT959" s="11" t="inlineStr">
        <is>
          <t xml:space="preserve"> On-Piste Carving</t>
        </is>
      </c>
      <c r="CU959" s="11" t="inlineStr">
        <is>
          <t xml:space="preserve"> On-Piste All-Mountain</t>
        </is>
      </c>
      <c r="CV959" s="11" t="inlineStr">
        <is>
          <t xml:space="preserve"> Resort Freeride</t>
        </is>
      </c>
      <c r="CW959" s="13" t="n"/>
      <c r="CX959">
        <f>INDEX('Data_Price '!AG$2:AG$1266,MATCH(Data!$DN959,'Data_Price '!$AT$2:$AT$1266,0))</f>
        <v/>
      </c>
      <c r="CY959">
        <f>INDEX('Data_Price '!AH$2:AH$1266,MATCH(Data!$DN959,'Data_Price '!$AT$2:$AT$1266,0))</f>
        <v/>
      </c>
      <c r="CZ959">
        <f>INDEX('Data_Price '!AI$2:AI$1266,MATCH(Data!$DN959,'Data_Price '!$AT$2:$AT$1266,0))</f>
        <v/>
      </c>
      <c r="DA959">
        <f>INDEX('Data_Price '!AJ$2:AJ$1266,MATCH(Data!$DN959,'Data_Price '!$AT$2:$AT$1266,0))</f>
        <v/>
      </c>
      <c r="DB959">
        <f>INDEX('Data_Price '!AK$2:AK$1266,MATCH(Data!$DN959,'Data_Price '!$AT$2:$AT$1266,0))</f>
        <v/>
      </c>
      <c r="DC959">
        <f>INDEX('Data_Price '!AL$2:AL$1266,MATCH(Data!$DN959,'Data_Price '!$AT$2:$AT$1266,0))</f>
        <v/>
      </c>
      <c r="DD959">
        <f>INDEX('Data_Price '!AM$2:AM$1266,MATCH(Data!$DN959,'Data_Price '!$AT$2:$AT$1266,0))</f>
        <v/>
      </c>
      <c r="DE959">
        <f>INDEX('Data_Price '!AN$2:AN$1266,MATCH(Data!$DN959,'Data_Price '!$AT$2:$AT$1266,0))</f>
        <v/>
      </c>
      <c r="DF959">
        <f>INDEX('Data_Price '!AO$2:AO$1266,MATCH(Data!$DN959,'Data_Price '!$AT$2:$AT$1266,0))</f>
        <v/>
      </c>
      <c r="DG959">
        <f>INDEX('Data_Price '!AP$2:AP$1266,MATCH(Data!$DN959,'Data_Price '!$AT$2:$AT$1266,0))</f>
        <v/>
      </c>
      <c r="DH959">
        <f>INDEX('Data_Price '!AQ$2:AQ$1266,MATCH(Data!$DN959,'Data_Price '!$AT$2:$AT$1266,0))</f>
        <v/>
      </c>
      <c r="DI959">
        <f>INDEX('Data_Price '!AR$2:AR$1266,MATCH(Data!$DN959,'Data_Price '!$AT$2:$AT$1266,0))</f>
        <v/>
      </c>
      <c r="DJ959" s="138">
        <f>DA959</f>
        <v/>
      </c>
      <c r="DK959" s="138">
        <f>DE959</f>
        <v/>
      </c>
      <c r="DL959" s="138">
        <f>DI959</f>
        <v/>
      </c>
      <c r="DM959" s="303">
        <f>IF(LEFT(BT959,1)=" ",RIGHT(BT959,LEN(BT959)-1),BT959)</f>
        <v/>
      </c>
      <c r="DN959" s="138">
        <f>_xlfn.CONCAT(BS959,DM959,BU959,BV959)</f>
        <v/>
      </c>
      <c r="DO959" s="307" t="inlineStr">
        <is>
          <t>https://images.evo.com/imgp/250/197472/825187/clone.jpg</t>
        </is>
      </c>
    </row>
    <row r="960" ht="15.6" customHeight="1" s="184">
      <c r="B960" s="303">
        <f t="array" ref="B960">IF(OR(ISERROR(K960:P960)),FALSE,TRUE)</f>
        <v/>
      </c>
      <c r="C960" s="60">
        <f>OR(BR960=Driver!$G$50,Data!BR693=Driver!$H$50)</f>
        <v/>
      </c>
      <c r="D960" s="60">
        <f>OR(BV960=Driver!$G$51,BV960=Driver!$H$51)</f>
        <v/>
      </c>
      <c r="E960" s="60">
        <f>AND(BX960&gt;Driver!$F$54,BX960&lt;Driver!$G$54)</f>
        <v/>
      </c>
      <c r="F960" s="60">
        <f>CL960&gt;Driver!$F$56</f>
        <v/>
      </c>
      <c r="G960" s="60">
        <f>AND(CB960&gt;Driver!$F$55,CB960&lt;Driver!$G$55)</f>
        <v/>
      </c>
      <c r="H960" s="60">
        <f>AND(B960:G960)</f>
        <v/>
      </c>
      <c r="I960" s="60">
        <f>COUNTIFS($H$9:$H$1273,TRUE,$BT$9:$BT$1273,BT960)</f>
        <v/>
      </c>
      <c r="J960" s="60">
        <f t="array" ref="J960">NOT(OR(($H$9:$H$1273=TRUE)*($I$9:$I$1273&gt;0)*($BT$9:$BT$1273=BT960)*($K$9:$K$1273&gt;K960)))</f>
        <v/>
      </c>
      <c r="K960" s="108">
        <f>IFERROR(1-AVERAGE(X960:Y960),"")</f>
        <v/>
      </c>
      <c r="L960" s="108">
        <f>1-X960</f>
        <v/>
      </c>
      <c r="M960" s="108">
        <f>1-Y960</f>
        <v/>
      </c>
      <c r="N960" s="108">
        <f>1-Z960</f>
        <v/>
      </c>
      <c r="O960" s="108">
        <f>1-AA960</f>
        <v/>
      </c>
      <c r="P960" s="108">
        <f>1-AB960</f>
        <v/>
      </c>
      <c r="Q960" s="108" t="n"/>
      <c r="R960" s="108" t="n"/>
      <c r="S960" s="108">
        <f>1-AE960</f>
        <v/>
      </c>
      <c r="T960" s="108">
        <f>1-AF960</f>
        <v/>
      </c>
      <c r="U960" s="108">
        <f>1-AG960</f>
        <v/>
      </c>
      <c r="V960" s="108">
        <f>1-AH960</f>
        <v/>
      </c>
      <c r="W960" s="108">
        <f>1-AI960</f>
        <v/>
      </c>
      <c r="X960" s="108">
        <f>ABS(AJ960-AJ$1)</f>
        <v/>
      </c>
      <c r="Y960" s="108">
        <f>AVERAGE(Z960:AB960)</f>
        <v/>
      </c>
      <c r="Z960" s="108">
        <f>ABS(AL960-AL$1)</f>
        <v/>
      </c>
      <c r="AA960" s="108">
        <f>ABS(AM960-AM$1)</f>
        <v/>
      </c>
      <c r="AB960" s="108">
        <f>ABS(AN960-AN$1)</f>
        <v/>
      </c>
      <c r="AC960" s="108" t="n"/>
      <c r="AD960" s="108" t="n"/>
      <c r="AE960" s="108">
        <f>ABS(AQ$1-AQ960)</f>
        <v/>
      </c>
      <c r="AF960" s="108">
        <f>ABS(AR$1-AR960)</f>
        <v/>
      </c>
      <c r="AG960" s="108">
        <f>ABS(AS$1-AS960)</f>
        <v/>
      </c>
      <c r="AH960" s="108">
        <f>ABS(AT$1-AT960)</f>
        <v/>
      </c>
      <c r="AI960" s="108">
        <f>ABS(AU$1-AU960)</f>
        <v/>
      </c>
      <c r="AJ960" s="108">
        <f>(AV960-Driver!$K$179)/(Driver!$L$179-Driver!$K$179)</f>
        <v/>
      </c>
      <c r="AK960" s="108">
        <f>(AW960-Driver!$K$180)/(Driver!$L$180-Driver!$K$180)</f>
        <v/>
      </c>
      <c r="AL960" s="108">
        <f>(AX960-Driver!$K$181)/(Driver!$L$181-Driver!$K$181)</f>
        <v/>
      </c>
      <c r="AM960" s="108">
        <f>(AY960-Driver!$K$182)/(Driver!$L$182-Driver!$K$182)</f>
        <v/>
      </c>
      <c r="AN960" s="108">
        <f>(AZ960-Driver!$K$183)/(Driver!$L$183-Driver!$K$183)</f>
        <v/>
      </c>
      <c r="AO960" s="108" t="n"/>
      <c r="AP960" s="108" t="n"/>
      <c r="AQ960" s="108">
        <f>(BC960-Driver!$K$188)/(Driver!$L$188-Driver!$K$188)</f>
        <v/>
      </c>
      <c r="AR960" s="108">
        <f>MIN((BD960-Driver!$K$189)/(Driver!$L$189-Driver!$K$189),100%)</f>
        <v/>
      </c>
      <c r="AS960" s="108">
        <f>(BE960-Driver!$K$190)/(Driver!$L$190-Driver!$K$190)</f>
        <v/>
      </c>
      <c r="AT960" s="108">
        <f>(BF960-Driver!$K$191)/(Driver!$L$191-Driver!$K$191)</f>
        <v/>
      </c>
      <c r="AU960" s="108">
        <f>(BG960-Driver!$K$192)/(Driver!$L$192-Driver!$K$192)</f>
        <v/>
      </c>
      <c r="AV960" s="105">
        <f>IFERROR(BM960*BJ960^1/4,"")</f>
        <v/>
      </c>
      <c r="AW960" s="105">
        <f>IFERROR(SUM(AX960:AZ960),"")</f>
        <v/>
      </c>
      <c r="AX960" s="105">
        <f>IFERROR(BH960,"")</f>
        <v/>
      </c>
      <c r="AY960" s="105">
        <f>IFERROR(Driver!$K$19/Data!BH960/Data!BI960*Data!BK960*Data!BL960,"")</f>
        <v/>
      </c>
      <c r="AZ960" s="105">
        <f>IFERROR(BI960*BN960,"")</f>
        <v/>
      </c>
      <c r="BA960" s="105" t="n"/>
      <c r="BB960" s="105" t="n"/>
      <c r="BC960" s="105">
        <f>IFERROR(BI960*BN960*BK960/BJ960^(1/2),"")</f>
        <v/>
      </c>
      <c r="BD960" s="105">
        <f>IFERROR(BH960*BM960*BL960/BJ960/BK960,"")</f>
        <v/>
      </c>
      <c r="BE960" s="105">
        <f>IFERROR(MIN(BI960/BQ960/BP960/BO960/BH960,$BE$1),"")</f>
        <v/>
      </c>
      <c r="BF960" s="105">
        <f>IFERROR(BJ960*BO960*BP960/BK960,"")</f>
        <v/>
      </c>
      <c r="BG960" s="105">
        <f>IFERROR(1/BM960/BH960*BQ960,"")</f>
        <v/>
      </c>
      <c r="BH960" s="102">
        <f>MAX((CE960-Driver!$F$200)/(Driver!$G$200-Driver!$F$200)*$BI$1,1)</f>
        <v/>
      </c>
      <c r="BI960" s="102">
        <f>MAX($BI$1*(BY960-Driver!$F$201)/(Driver!$G$201-Driver!$F$201),1)</f>
        <v/>
      </c>
      <c r="BJ960" s="102">
        <f>(CB960-Driver!$F$206)/(Driver!$G$206-Driver!$F$206)*$BI$1</f>
        <v/>
      </c>
      <c r="BK960" s="102">
        <f>(CD960-Driver!$F$203)/(Driver!$G$203-Driver!$F$203)*$BI$1</f>
        <v/>
      </c>
      <c r="BL960" s="102">
        <f>MAX((CR960-Driver!$F$202)/(Driver!$G$202-Driver!$F$202)*$BI$1,1)</f>
        <v/>
      </c>
      <c r="BM960" s="102">
        <f>MAX((CH960-Driver!$F$204)/(Driver!$G$204-Driver!$F$204)*$BI$1,1)</f>
        <v/>
      </c>
      <c r="BN960" s="102">
        <f>(CI960-Driver!$F$205)/(Driver!$G$205-Driver!$F$205)*$BI$1</f>
        <v/>
      </c>
      <c r="BO960" s="102">
        <f>(CK960-Driver!$F$207)/(Driver!$G$207-Driver!$F$207)*$BI$1</f>
        <v/>
      </c>
      <c r="BP960" s="102">
        <f>(CM960-Driver!$F$208)/(Driver!$G$208-Driver!$F$208)*$BI$1</f>
        <v/>
      </c>
      <c r="BQ960" s="102">
        <f>(CL960-Driver!$F$209)/(Driver!$G$209-Driver!$F$209)*$BI$1</f>
        <v/>
      </c>
      <c r="BR960" s="40" t="inlineStr">
        <is>
          <t>21/22</t>
        </is>
      </c>
      <c r="BS960" s="10" t="inlineStr">
        <is>
          <t xml:space="preserve"> J Skis</t>
        </is>
      </c>
      <c r="BT960" s="11" t="inlineStr">
        <is>
          <t xml:space="preserve"> The Allplay</t>
        </is>
      </c>
      <c r="BU960" s="13" t="n">
        <v>178</v>
      </c>
      <c r="BV960" s="11" t="inlineStr">
        <is>
          <t xml:space="preserve"> Unisex</t>
        </is>
      </c>
      <c r="BW960" s="13" t="n">
        <v>178</v>
      </c>
      <c r="BX960" s="13" t="n">
        <v>176</v>
      </c>
      <c r="BY960" s="13" t="n">
        <v>130</v>
      </c>
      <c r="BZ960" s="13" t="n">
        <v>143</v>
      </c>
      <c r="CA960" s="13" t="n">
        <v>118</v>
      </c>
      <c r="CB960" s="13" t="n">
        <v>97</v>
      </c>
      <c r="CC960" s="13" t="n">
        <v>117</v>
      </c>
      <c r="CD960" s="13" t="n">
        <v>20.9</v>
      </c>
      <c r="CE960" s="13" t="n">
        <v>1901</v>
      </c>
      <c r="CF960" s="13" t="n">
        <v>0.97</v>
      </c>
      <c r="CG960" s="13" t="n">
        <v>1852</v>
      </c>
      <c r="CH960" s="13" t="n">
        <v>167</v>
      </c>
      <c r="CI960" s="13" t="n">
        <v>58</v>
      </c>
      <c r="CJ960" s="13" t="n">
        <v>43</v>
      </c>
      <c r="CK960" s="13" t="n">
        <v>224</v>
      </c>
      <c r="CL960" s="13" t="n">
        <v>45</v>
      </c>
      <c r="CM960" s="13" t="n">
        <v>237</v>
      </c>
      <c r="CN960" s="13" t="n">
        <v>1.042</v>
      </c>
      <c r="CO960" s="13" t="n">
        <v>188</v>
      </c>
      <c r="CP960" s="13" t="n">
        <v>140</v>
      </c>
      <c r="CQ960" s="13" t="n">
        <v>36</v>
      </c>
      <c r="CR960" s="13" t="n">
        <v>8</v>
      </c>
      <c r="CS960" s="13" t="n">
        <v>4.5</v>
      </c>
      <c r="CT960" s="11" t="inlineStr">
        <is>
          <t xml:space="preserve"> Freeski</t>
        </is>
      </c>
      <c r="CU960" s="13" t="n"/>
      <c r="CV960" s="13" t="n"/>
      <c r="CW960" s="13" t="n"/>
      <c r="CX960">
        <f>INDEX('Data_Price '!AG$2:AG$1266,MATCH(Data!$DN960,'Data_Price '!$AT$2:$AT$1266,0))</f>
        <v/>
      </c>
      <c r="CY960">
        <f>INDEX('Data_Price '!AH$2:AH$1266,MATCH(Data!$DN960,'Data_Price '!$AT$2:$AT$1266,0))</f>
        <v/>
      </c>
      <c r="CZ960">
        <f>INDEX('Data_Price '!AI$2:AI$1266,MATCH(Data!$DN960,'Data_Price '!$AT$2:$AT$1266,0))</f>
        <v/>
      </c>
      <c r="DA960">
        <f>INDEX('Data_Price '!AJ$2:AJ$1266,MATCH(Data!$DN960,'Data_Price '!$AT$2:$AT$1266,0))</f>
        <v/>
      </c>
      <c r="DB960">
        <f>INDEX('Data_Price '!AK$2:AK$1266,MATCH(Data!$DN960,'Data_Price '!$AT$2:$AT$1266,0))</f>
        <v/>
      </c>
      <c r="DC960">
        <f>INDEX('Data_Price '!AL$2:AL$1266,MATCH(Data!$DN960,'Data_Price '!$AT$2:$AT$1266,0))</f>
        <v/>
      </c>
      <c r="DD960">
        <f>INDEX('Data_Price '!AM$2:AM$1266,MATCH(Data!$DN960,'Data_Price '!$AT$2:$AT$1266,0))</f>
        <v/>
      </c>
      <c r="DE960">
        <f>INDEX('Data_Price '!AN$2:AN$1266,MATCH(Data!$DN960,'Data_Price '!$AT$2:$AT$1266,0))</f>
        <v/>
      </c>
      <c r="DF960">
        <f>INDEX('Data_Price '!AO$2:AO$1266,MATCH(Data!$DN960,'Data_Price '!$AT$2:$AT$1266,0))</f>
        <v/>
      </c>
      <c r="DG960">
        <f>INDEX('Data_Price '!AP$2:AP$1266,MATCH(Data!$DN960,'Data_Price '!$AT$2:$AT$1266,0))</f>
        <v/>
      </c>
      <c r="DH960">
        <f>INDEX('Data_Price '!AQ$2:AQ$1266,MATCH(Data!$DN960,'Data_Price '!$AT$2:$AT$1266,0))</f>
        <v/>
      </c>
      <c r="DI960">
        <f>INDEX('Data_Price '!AR$2:AR$1266,MATCH(Data!$DN960,'Data_Price '!$AT$2:$AT$1266,0))</f>
        <v/>
      </c>
      <c r="DJ960" s="138">
        <f>DA960</f>
        <v/>
      </c>
      <c r="DK960" s="138">
        <f>DE960</f>
        <v/>
      </c>
      <c r="DL960" s="138">
        <f>DI960</f>
        <v/>
      </c>
      <c r="DM960" s="303">
        <f>IF(LEFT(BT960,1)=" ",RIGHT(BT960,LEN(BT960)-1),BT960)</f>
        <v/>
      </c>
      <c r="DN960" s="138">
        <f>_xlfn.CONCAT(BS960,DM960,BU960,BV960)</f>
        <v/>
      </c>
      <c r="DO960" s="307" t="n"/>
    </row>
    <row r="961" ht="15.6" customHeight="1" s="184">
      <c r="B961" s="303">
        <f t="array" ref="B961">IF(OR(ISERROR(K961:P961)),FALSE,TRUE)</f>
        <v/>
      </c>
      <c r="C961" s="60">
        <f>OR(BR961=Driver!$G$50,Data!BR1232=Driver!$H$50)</f>
        <v/>
      </c>
      <c r="D961" s="60">
        <f>OR(BV961=Driver!$G$51,BV961=Driver!$H$51)</f>
        <v/>
      </c>
      <c r="E961" s="60">
        <f>AND(BX961&gt;Driver!$F$54,BX961&lt;Driver!$G$54)</f>
        <v/>
      </c>
      <c r="F961" s="60">
        <f>CL961&gt;Driver!$F$56</f>
        <v/>
      </c>
      <c r="G961" s="60">
        <f>AND(CB961&gt;Driver!$F$55,CB961&lt;Driver!$G$55)</f>
        <v/>
      </c>
      <c r="H961" s="60">
        <f>AND(B961:G961)</f>
        <v/>
      </c>
      <c r="I961" s="60">
        <f>COUNTIFS($H$9:$H$1273,TRUE,$BT$9:$BT$1273,BT961)</f>
        <v/>
      </c>
      <c r="J961" s="60">
        <f t="array" ref="J961">NOT(OR(($H$9:$H$1273=TRUE)*($I$9:$I$1273&gt;0)*($BT$9:$BT$1273=BT961)*($K$9:$K$1273&gt;K961)))</f>
        <v/>
      </c>
      <c r="K961" s="108">
        <f>IFERROR(1-AVERAGE(X961:Y961),"")</f>
        <v/>
      </c>
      <c r="L961" s="108">
        <f>1-X961</f>
        <v/>
      </c>
      <c r="M961" s="108">
        <f>1-Y961</f>
        <v/>
      </c>
      <c r="N961" s="108">
        <f>1-Z961</f>
        <v/>
      </c>
      <c r="O961" s="108">
        <f>1-AA961</f>
        <v/>
      </c>
      <c r="P961" s="108">
        <f>1-AB961</f>
        <v/>
      </c>
      <c r="Q961" s="108" t="n"/>
      <c r="R961" s="108" t="n"/>
      <c r="S961" s="108">
        <f>1-AE961</f>
        <v/>
      </c>
      <c r="T961" s="108">
        <f>1-AF961</f>
        <v/>
      </c>
      <c r="U961" s="108">
        <f>1-AG961</f>
        <v/>
      </c>
      <c r="V961" s="108">
        <f>1-AH961</f>
        <v/>
      </c>
      <c r="W961" s="108">
        <f>1-AI961</f>
        <v/>
      </c>
      <c r="X961" s="108">
        <f>ABS(AJ961-AJ$1)</f>
        <v/>
      </c>
      <c r="Y961" s="108">
        <f>AVERAGE(Z961:AB961)</f>
        <v/>
      </c>
      <c r="Z961" s="108">
        <f>ABS(AL961-AL$1)</f>
        <v/>
      </c>
      <c r="AA961" s="108">
        <f>ABS(AM961-AM$1)</f>
        <v/>
      </c>
      <c r="AB961" s="108">
        <f>ABS(AN961-AN$1)</f>
        <v/>
      </c>
      <c r="AC961" s="108" t="n"/>
      <c r="AD961" s="108" t="n"/>
      <c r="AE961" s="108">
        <f>ABS(AQ$1-AQ961)</f>
        <v/>
      </c>
      <c r="AF961" s="108">
        <f>ABS(AR$1-AR961)</f>
        <v/>
      </c>
      <c r="AG961" s="108">
        <f>ABS(AS$1-AS961)</f>
        <v/>
      </c>
      <c r="AH961" s="108">
        <f>ABS(AT$1-AT961)</f>
        <v/>
      </c>
      <c r="AI961" s="108">
        <f>ABS(AU$1-AU961)</f>
        <v/>
      </c>
      <c r="AJ961" s="108">
        <f>(AV961-Driver!$K$179)/(Driver!$L$179-Driver!$K$179)</f>
        <v/>
      </c>
      <c r="AK961" s="108">
        <f>(AW961-Driver!$K$180)/(Driver!$L$180-Driver!$K$180)</f>
        <v/>
      </c>
      <c r="AL961" s="108">
        <f>(AX961-Driver!$K$181)/(Driver!$L$181-Driver!$K$181)</f>
        <v/>
      </c>
      <c r="AM961" s="108">
        <f>(AY961-Driver!$K$182)/(Driver!$L$182-Driver!$K$182)</f>
        <v/>
      </c>
      <c r="AN961" s="108">
        <f>(AZ961-Driver!$K$183)/(Driver!$L$183-Driver!$K$183)</f>
        <v/>
      </c>
      <c r="AO961" s="108" t="n"/>
      <c r="AP961" s="108" t="n"/>
      <c r="AQ961" s="108">
        <f>(BC961-Driver!$K$188)/(Driver!$L$188-Driver!$K$188)</f>
        <v/>
      </c>
      <c r="AR961" s="108">
        <f>MIN((BD961-Driver!$K$189)/(Driver!$L$189-Driver!$K$189),100%)</f>
        <v/>
      </c>
      <c r="AS961" s="108">
        <f>(BE961-Driver!$K$190)/(Driver!$L$190-Driver!$K$190)</f>
        <v/>
      </c>
      <c r="AT961" s="108">
        <f>(BF961-Driver!$K$191)/(Driver!$L$191-Driver!$K$191)</f>
        <v/>
      </c>
      <c r="AU961" s="108">
        <f>(BG961-Driver!$K$192)/(Driver!$L$192-Driver!$K$192)</f>
        <v/>
      </c>
      <c r="AV961" s="105">
        <f>IFERROR(BM961*BJ961^1/4,"")</f>
        <v/>
      </c>
      <c r="AW961" s="105">
        <f>IFERROR(SUM(AX961:AZ961),"")</f>
        <v/>
      </c>
      <c r="AX961" s="105">
        <f>IFERROR(BH961,"")</f>
        <v/>
      </c>
      <c r="AY961" s="105">
        <f>IFERROR(Driver!$K$19/Data!BH961/Data!BI961*Data!BK961*Data!BL961,"")</f>
        <v/>
      </c>
      <c r="AZ961" s="105">
        <f>IFERROR(BI961*BN961,"")</f>
        <v/>
      </c>
      <c r="BA961" s="105" t="n"/>
      <c r="BB961" s="105" t="n"/>
      <c r="BC961" s="105">
        <f>IFERROR(BI961*BN961*BK961/BJ961^(1/2),"")</f>
        <v/>
      </c>
      <c r="BD961" s="105">
        <f>IFERROR(BH961*BM961*BL961/BJ961/BK961,"")</f>
        <v/>
      </c>
      <c r="BE961" s="105">
        <f>IFERROR(MIN(BI961/BQ961/BP961/BO961/BH961,$BE$1),"")</f>
        <v/>
      </c>
      <c r="BF961" s="105">
        <f>IFERROR(BJ961*BO961*BP961/BK961,"")</f>
        <v/>
      </c>
      <c r="BG961" s="105">
        <f>IFERROR(1/BM961/BH961*BQ961,"")</f>
        <v/>
      </c>
      <c r="BH961" s="102">
        <f>MAX((CE961-Driver!$F$200)/(Driver!$G$200-Driver!$F$200)*$BI$1,1)</f>
        <v/>
      </c>
      <c r="BI961" s="102">
        <f>MAX($BI$1*(BY961-Driver!$F$201)/(Driver!$G$201-Driver!$F$201),1)</f>
        <v/>
      </c>
      <c r="BJ961" s="102">
        <f>(CB961-Driver!$F$206)/(Driver!$G$206-Driver!$F$206)*$BI$1</f>
        <v/>
      </c>
      <c r="BK961" s="102">
        <f>(CD961-Driver!$F$203)/(Driver!$G$203-Driver!$F$203)*$BI$1</f>
        <v/>
      </c>
      <c r="BL961" s="102">
        <f>MAX((CR961-Driver!$F$202)/(Driver!$G$202-Driver!$F$202)*$BI$1,1)</f>
        <v/>
      </c>
      <c r="BM961" s="102">
        <f>MAX((CH961-Driver!$F$204)/(Driver!$G$204-Driver!$F$204)*$BI$1,1)</f>
        <v/>
      </c>
      <c r="BN961" s="102">
        <f>(CI961-Driver!$F$205)/(Driver!$G$205-Driver!$F$205)*$BI$1</f>
        <v/>
      </c>
      <c r="BO961" s="102">
        <f>(CK961-Driver!$F$207)/(Driver!$G$207-Driver!$F$207)*$BI$1</f>
        <v/>
      </c>
      <c r="BP961" s="102">
        <f>(CM961-Driver!$F$208)/(Driver!$G$208-Driver!$F$208)*$BI$1</f>
        <v/>
      </c>
      <c r="BQ961" s="102">
        <f>(CL961-Driver!$F$209)/(Driver!$G$209-Driver!$F$209)*$BI$1</f>
        <v/>
      </c>
      <c r="BR961" s="40" t="inlineStr">
        <is>
          <t>21/22</t>
        </is>
      </c>
      <c r="BS961" s="10" t="inlineStr">
        <is>
          <t xml:space="preserve"> Völkl</t>
        </is>
      </c>
      <c r="BT961" s="11" t="inlineStr">
        <is>
          <t xml:space="preserve"> Racetiger SC</t>
        </is>
      </c>
      <c r="BU961" s="13" t="n">
        <v>170</v>
      </c>
      <c r="BV961" s="11" t="inlineStr">
        <is>
          <t xml:space="preserve"> Unisex</t>
        </is>
      </c>
      <c r="BW961" s="13" t="n">
        <v>170</v>
      </c>
      <c r="BX961" s="13" t="n">
        <v>169.3</v>
      </c>
      <c r="BY961" s="13" t="n">
        <v>149</v>
      </c>
      <c r="BZ961" s="13" t="n">
        <v>154</v>
      </c>
      <c r="CA961" s="13" t="n">
        <v>122</v>
      </c>
      <c r="CB961" s="13" t="n">
        <v>69</v>
      </c>
      <c r="CC961" s="13" t="n">
        <v>102</v>
      </c>
      <c r="CD961" s="13" t="n">
        <v>13.9</v>
      </c>
      <c r="CE961" s="13" t="n">
        <v>1987</v>
      </c>
      <c r="CF961" s="13" t="n">
        <v>0.73</v>
      </c>
      <c r="CG961" s="13" t="n">
        <v>1441</v>
      </c>
      <c r="CH961" s="13" t="n">
        <v>244</v>
      </c>
      <c r="CI961" s="13" t="n">
        <v>102</v>
      </c>
      <c r="CJ961" s="13" t="n">
        <v>41</v>
      </c>
      <c r="CK961" s="13" t="n">
        <v>149</v>
      </c>
      <c r="CL961" s="13" t="n">
        <v>6</v>
      </c>
      <c r="CM961" s="13" t="n">
        <v>53</v>
      </c>
      <c r="CN961" s="13" t="n">
        <v>0.141</v>
      </c>
      <c r="CO961" s="13" t="n">
        <v>71</v>
      </c>
      <c r="CP961" s="13" t="n">
        <v>79</v>
      </c>
      <c r="CQ961" s="13" t="n">
        <v>78</v>
      </c>
      <c r="CR961" s="13" t="n">
        <v>6</v>
      </c>
      <c r="CS961" s="13" t="n">
        <v>11.5</v>
      </c>
      <c r="CT961" s="11" t="inlineStr">
        <is>
          <t xml:space="preserve"> On-Piste Carving</t>
        </is>
      </c>
      <c r="CU961" s="13" t="n"/>
      <c r="CV961" s="13" t="n"/>
      <c r="CW961" s="13" t="n"/>
      <c r="CX961">
        <f>INDEX('Data_Price '!AG$2:AG$1266,MATCH(Data!$DN961,'Data_Price '!$AT$2:$AT$1266,0))</f>
        <v/>
      </c>
      <c r="CY961">
        <f>INDEX('Data_Price '!AH$2:AH$1266,MATCH(Data!$DN961,'Data_Price '!$AT$2:$AT$1266,0))</f>
        <v/>
      </c>
      <c r="CZ961">
        <f>INDEX('Data_Price '!AI$2:AI$1266,MATCH(Data!$DN961,'Data_Price '!$AT$2:$AT$1266,0))</f>
        <v/>
      </c>
      <c r="DA961">
        <f>INDEX('Data_Price '!AJ$2:AJ$1266,MATCH(Data!$DN961,'Data_Price '!$AT$2:$AT$1266,0))</f>
        <v/>
      </c>
      <c r="DB961">
        <f>INDEX('Data_Price '!AK$2:AK$1266,MATCH(Data!$DN961,'Data_Price '!$AT$2:$AT$1266,0))</f>
        <v/>
      </c>
      <c r="DC961">
        <f>INDEX('Data_Price '!AL$2:AL$1266,MATCH(Data!$DN961,'Data_Price '!$AT$2:$AT$1266,0))</f>
        <v/>
      </c>
      <c r="DD961">
        <f>INDEX('Data_Price '!AM$2:AM$1266,MATCH(Data!$DN961,'Data_Price '!$AT$2:$AT$1266,0))</f>
        <v/>
      </c>
      <c r="DE961">
        <f>INDEX('Data_Price '!AN$2:AN$1266,MATCH(Data!$DN961,'Data_Price '!$AT$2:$AT$1266,0))</f>
        <v/>
      </c>
      <c r="DF961">
        <f>INDEX('Data_Price '!AO$2:AO$1266,MATCH(Data!$DN961,'Data_Price '!$AT$2:$AT$1266,0))</f>
        <v/>
      </c>
      <c r="DG961">
        <f>INDEX('Data_Price '!AP$2:AP$1266,MATCH(Data!$DN961,'Data_Price '!$AT$2:$AT$1266,0))</f>
        <v/>
      </c>
      <c r="DH961">
        <f>INDEX('Data_Price '!AQ$2:AQ$1266,MATCH(Data!$DN961,'Data_Price '!$AT$2:$AT$1266,0))</f>
        <v/>
      </c>
      <c r="DI961">
        <f>INDEX('Data_Price '!AR$2:AR$1266,MATCH(Data!$DN961,'Data_Price '!$AT$2:$AT$1266,0))</f>
        <v/>
      </c>
      <c r="DJ961" s="138">
        <f>DA961</f>
        <v/>
      </c>
      <c r="DK961" s="138">
        <f>DE961</f>
        <v/>
      </c>
      <c r="DL961" s="138">
        <f>DI961</f>
        <v/>
      </c>
      <c r="DM961" s="303">
        <f>IF(LEFT(BT961,1)=" ",RIGHT(BT961,LEN(BT961)-1),BT961)</f>
        <v/>
      </c>
      <c r="DN961" s="138">
        <f>_xlfn.CONCAT(BS961,DM961,BU961,BV961)</f>
        <v/>
      </c>
      <c r="DO961" s="307" t="n"/>
    </row>
    <row r="962" ht="15.6" customHeight="1" s="184">
      <c r="B962" s="303">
        <f t="array" ref="B962">IF(OR(ISERROR(K962:P962)),FALSE,TRUE)</f>
        <v/>
      </c>
      <c r="C962" s="60">
        <f>OR(BR962=Driver!$G$50,Data!BR122=Driver!$H$50)</f>
        <v/>
      </c>
      <c r="D962" s="60">
        <f>OR(BV962=Driver!$G$51,BV962=Driver!$H$51)</f>
        <v/>
      </c>
      <c r="E962" s="60">
        <f>AND(BX962&gt;Driver!$F$54,BX962&lt;Driver!$G$54)</f>
        <v/>
      </c>
      <c r="F962" s="60">
        <f>CL962&gt;Driver!$F$56</f>
        <v/>
      </c>
      <c r="G962" s="60">
        <f>AND(CB962&gt;Driver!$F$55,CB962&lt;Driver!$G$55)</f>
        <v/>
      </c>
      <c r="H962" s="60">
        <f>AND(B962:G962)</f>
        <v/>
      </c>
      <c r="I962" s="60">
        <f>COUNTIFS($H$9:$H$1273,TRUE,$BT$9:$BT$1273,BT962)</f>
        <v/>
      </c>
      <c r="J962" s="60">
        <f t="array" ref="J962">NOT(OR(($H$9:$H$1273=TRUE)*($I$9:$I$1273&gt;0)*($BT$9:$BT$1273=BT962)*($K$9:$K$1273&gt;K962)))</f>
        <v/>
      </c>
      <c r="K962" s="108">
        <f>IFERROR(1-AVERAGE(X962:Y962),"")</f>
        <v/>
      </c>
      <c r="L962" s="108">
        <f>1-X962</f>
        <v/>
      </c>
      <c r="M962" s="108">
        <f>1-Y962</f>
        <v/>
      </c>
      <c r="N962" s="108">
        <f>1-Z962</f>
        <v/>
      </c>
      <c r="O962" s="108">
        <f>1-AA962</f>
        <v/>
      </c>
      <c r="P962" s="108">
        <f>1-AB962</f>
        <v/>
      </c>
      <c r="Q962" s="108" t="n"/>
      <c r="R962" s="108" t="n"/>
      <c r="S962" s="108">
        <f>1-AE962</f>
        <v/>
      </c>
      <c r="T962" s="108">
        <f>1-AF962</f>
        <v/>
      </c>
      <c r="U962" s="108">
        <f>1-AG962</f>
        <v/>
      </c>
      <c r="V962" s="108">
        <f>1-AH962</f>
        <v/>
      </c>
      <c r="W962" s="108">
        <f>1-AI962</f>
        <v/>
      </c>
      <c r="X962" s="108">
        <f>ABS(AJ962-AJ$1)</f>
        <v/>
      </c>
      <c r="Y962" s="108">
        <f>AVERAGE(Z962:AB962)</f>
        <v/>
      </c>
      <c r="Z962" s="108">
        <f>ABS(AL962-AL$1)</f>
        <v/>
      </c>
      <c r="AA962" s="108">
        <f>ABS(AM962-AM$1)</f>
        <v/>
      </c>
      <c r="AB962" s="108">
        <f>ABS(AN962-AN$1)</f>
        <v/>
      </c>
      <c r="AC962" s="108" t="n"/>
      <c r="AD962" s="108" t="n"/>
      <c r="AE962" s="108">
        <f>ABS(AQ$1-AQ962)</f>
        <v/>
      </c>
      <c r="AF962" s="108">
        <f>ABS(AR$1-AR962)</f>
        <v/>
      </c>
      <c r="AG962" s="108">
        <f>ABS(AS$1-AS962)</f>
        <v/>
      </c>
      <c r="AH962" s="108">
        <f>ABS(AT$1-AT962)</f>
        <v/>
      </c>
      <c r="AI962" s="108">
        <f>ABS(AU$1-AU962)</f>
        <v/>
      </c>
      <c r="AJ962" s="108">
        <f>(AV962-Driver!$K$179)/(Driver!$L$179-Driver!$K$179)</f>
        <v/>
      </c>
      <c r="AK962" s="108">
        <f>(AW962-Driver!$K$180)/(Driver!$L$180-Driver!$K$180)</f>
        <v/>
      </c>
      <c r="AL962" s="108">
        <f>(AX962-Driver!$K$181)/(Driver!$L$181-Driver!$K$181)</f>
        <v/>
      </c>
      <c r="AM962" s="108">
        <f>(AY962-Driver!$K$182)/(Driver!$L$182-Driver!$K$182)</f>
        <v/>
      </c>
      <c r="AN962" s="108">
        <f>(AZ962-Driver!$K$183)/(Driver!$L$183-Driver!$K$183)</f>
        <v/>
      </c>
      <c r="AO962" s="108" t="n"/>
      <c r="AP962" s="108" t="n"/>
      <c r="AQ962" s="108">
        <f>(BC962-Driver!$K$188)/(Driver!$L$188-Driver!$K$188)</f>
        <v/>
      </c>
      <c r="AR962" s="108">
        <f>MIN((BD962-Driver!$K$189)/(Driver!$L$189-Driver!$K$189),100%)</f>
        <v/>
      </c>
      <c r="AS962" s="108">
        <f>(BE962-Driver!$K$190)/(Driver!$L$190-Driver!$K$190)</f>
        <v/>
      </c>
      <c r="AT962" s="108">
        <f>(BF962-Driver!$K$191)/(Driver!$L$191-Driver!$K$191)</f>
        <v/>
      </c>
      <c r="AU962" s="108">
        <f>(BG962-Driver!$K$192)/(Driver!$L$192-Driver!$K$192)</f>
        <v/>
      </c>
      <c r="AV962" s="105">
        <f>IFERROR(BM962*BJ962^1/4,"")</f>
        <v/>
      </c>
      <c r="AW962" s="105">
        <f>IFERROR(SUM(AX962:AZ962),"")</f>
        <v/>
      </c>
      <c r="AX962" s="105">
        <f>IFERROR(BH962,"")</f>
        <v/>
      </c>
      <c r="AY962" s="105">
        <f>IFERROR(Driver!$K$19/Data!BH962/Data!BI962*Data!BK962*Data!BL962,"")</f>
        <v/>
      </c>
      <c r="AZ962" s="105">
        <f>IFERROR(BI962*BN962,"")</f>
        <v/>
      </c>
      <c r="BA962" s="105" t="n"/>
      <c r="BB962" s="105" t="n"/>
      <c r="BC962" s="105">
        <f>IFERROR(BI962*BN962*BK962/BJ962^(1/2),"")</f>
        <v/>
      </c>
      <c r="BD962" s="105">
        <f>IFERROR(BH962*BM962*BL962/BJ962/BK962,"")</f>
        <v/>
      </c>
      <c r="BE962" s="105">
        <f>IFERROR(MIN(BI962/BQ962/BP962/BO962/BH962,$BE$1),"")</f>
        <v/>
      </c>
      <c r="BF962" s="105">
        <f>IFERROR(BJ962*BO962*BP962/BK962,"")</f>
        <v/>
      </c>
      <c r="BG962" s="105">
        <f>IFERROR(1/BM962/BH962*BQ962,"")</f>
        <v/>
      </c>
      <c r="BH962" s="102">
        <f>MAX((CE962-Driver!$F$200)/(Driver!$G$200-Driver!$F$200)*$BI$1,1)</f>
        <v/>
      </c>
      <c r="BI962" s="102">
        <f>MAX($BI$1*(BY962-Driver!$F$201)/(Driver!$G$201-Driver!$F$201),1)</f>
        <v/>
      </c>
      <c r="BJ962" s="102">
        <f>(CB962-Driver!$F$206)/(Driver!$G$206-Driver!$F$206)*$BI$1</f>
        <v/>
      </c>
      <c r="BK962" s="102">
        <f>(CD962-Driver!$F$203)/(Driver!$G$203-Driver!$F$203)*$BI$1</f>
        <v/>
      </c>
      <c r="BL962" s="102">
        <f>MAX((CR962-Driver!$F$202)/(Driver!$G$202-Driver!$F$202)*$BI$1,1)</f>
        <v/>
      </c>
      <c r="BM962" s="102">
        <f>MAX((CH962-Driver!$F$204)/(Driver!$G$204-Driver!$F$204)*$BI$1,1)</f>
        <v/>
      </c>
      <c r="BN962" s="102">
        <f>(CI962-Driver!$F$205)/(Driver!$G$205-Driver!$F$205)*$BI$1</f>
        <v/>
      </c>
      <c r="BO962" s="102">
        <f>(CK962-Driver!$F$207)/(Driver!$G$207-Driver!$F$207)*$BI$1</f>
        <v/>
      </c>
      <c r="BP962" s="102">
        <f>(CM962-Driver!$F$208)/(Driver!$G$208-Driver!$F$208)*$BI$1</f>
        <v/>
      </c>
      <c r="BQ962" s="102">
        <f>(CL962-Driver!$F$209)/(Driver!$G$209-Driver!$F$209)*$BI$1</f>
        <v/>
      </c>
      <c r="BR962" s="40" t="inlineStr">
        <is>
          <t>21/22</t>
        </is>
      </c>
      <c r="BS962" s="10" t="inlineStr">
        <is>
          <t xml:space="preserve"> Atomic</t>
        </is>
      </c>
      <c r="BT962" s="11" t="inlineStr">
        <is>
          <t>Backland 107 W</t>
        </is>
      </c>
      <c r="BU962" s="13" t="n">
        <v>159</v>
      </c>
      <c r="BV962" s="11" t="inlineStr">
        <is>
          <t xml:space="preserve"> Unisex</t>
        </is>
      </c>
      <c r="BW962" s="13" t="n">
        <v>159</v>
      </c>
      <c r="BX962" s="13" t="n">
        <v>158.7</v>
      </c>
      <c r="BY962" s="13" t="n">
        <v>102</v>
      </c>
      <c r="BZ962" s="13" t="n">
        <v>121</v>
      </c>
      <c r="CA962" s="13" t="n">
        <v>133</v>
      </c>
      <c r="CB962" s="13" t="n">
        <v>107</v>
      </c>
      <c r="CC962" s="13" t="n">
        <v>120</v>
      </c>
      <c r="CD962" s="13" t="n">
        <v>15.4</v>
      </c>
      <c r="CE962" s="13" t="n">
        <v>1350</v>
      </c>
      <c r="CF962" s="13" t="n">
        <v>1.34</v>
      </c>
      <c r="CG962" s="13" t="n">
        <v>1816</v>
      </c>
      <c r="CH962" s="13" t="n">
        <v>139</v>
      </c>
      <c r="CI962" s="13" t="n">
        <v>74</v>
      </c>
      <c r="CJ962" s="13" t="n">
        <v>46</v>
      </c>
      <c r="CK962" s="13" t="n">
        <v>354</v>
      </c>
      <c r="CL962" s="13" t="n">
        <v>13</v>
      </c>
      <c r="CM962" s="13" t="n">
        <v>213</v>
      </c>
      <c r="CN962" s="13" t="n">
        <v>0.288</v>
      </c>
      <c r="CO962" s="13" t="n">
        <v>207</v>
      </c>
      <c r="CP962" s="13" t="n">
        <v>171</v>
      </c>
      <c r="CQ962" s="13" t="n">
        <v>147</v>
      </c>
      <c r="CR962" s="13" t="n">
        <v>5</v>
      </c>
      <c r="CS962" s="13" t="n">
        <v>9.5</v>
      </c>
      <c r="CT962" s="11" t="inlineStr">
        <is>
          <t xml:space="preserve"> Big Mountain</t>
        </is>
      </c>
      <c r="CU962" s="11" t="inlineStr">
        <is>
          <t xml:space="preserve"> Touring</t>
        </is>
      </c>
      <c r="CV962" s="11" t="inlineStr">
        <is>
          <t xml:space="preserve"> Ultralight Touring</t>
        </is>
      </c>
      <c r="CW962" s="13" t="n"/>
      <c r="CX962">
        <f>INDEX('Data_Price '!AG$2:AG$1266,MATCH(Data!$DN962,'Data_Price '!$AT$2:$AT$1266,0))</f>
        <v/>
      </c>
      <c r="CY962">
        <f>INDEX('Data_Price '!AH$2:AH$1266,MATCH(Data!$DN962,'Data_Price '!$AT$2:$AT$1266,0))</f>
        <v/>
      </c>
      <c r="CZ962">
        <f>INDEX('Data_Price '!AI$2:AI$1266,MATCH(Data!$DN962,'Data_Price '!$AT$2:$AT$1266,0))</f>
        <v/>
      </c>
      <c r="DA962">
        <f>INDEX('Data_Price '!AJ$2:AJ$1266,MATCH(Data!$DN962,'Data_Price '!$AT$2:$AT$1266,0))</f>
        <v/>
      </c>
      <c r="DB962">
        <f>INDEX('Data_Price '!AK$2:AK$1266,MATCH(Data!$DN962,'Data_Price '!$AT$2:$AT$1266,0))</f>
        <v/>
      </c>
      <c r="DC962">
        <f>INDEX('Data_Price '!AL$2:AL$1266,MATCH(Data!$DN962,'Data_Price '!$AT$2:$AT$1266,0))</f>
        <v/>
      </c>
      <c r="DD962">
        <f>INDEX('Data_Price '!AM$2:AM$1266,MATCH(Data!$DN962,'Data_Price '!$AT$2:$AT$1266,0))</f>
        <v/>
      </c>
      <c r="DE962">
        <f>INDEX('Data_Price '!AN$2:AN$1266,MATCH(Data!$DN962,'Data_Price '!$AT$2:$AT$1266,0))</f>
        <v/>
      </c>
      <c r="DF962">
        <f>INDEX('Data_Price '!AO$2:AO$1266,MATCH(Data!$DN962,'Data_Price '!$AT$2:$AT$1266,0))</f>
        <v/>
      </c>
      <c r="DG962">
        <f>INDEX('Data_Price '!AP$2:AP$1266,MATCH(Data!$DN962,'Data_Price '!$AT$2:$AT$1266,0))</f>
        <v/>
      </c>
      <c r="DH962">
        <f>INDEX('Data_Price '!AQ$2:AQ$1266,MATCH(Data!$DN962,'Data_Price '!$AT$2:$AT$1266,0))</f>
        <v/>
      </c>
      <c r="DI962">
        <f>INDEX('Data_Price '!AR$2:AR$1266,MATCH(Data!$DN962,'Data_Price '!$AT$2:$AT$1266,0))</f>
        <v/>
      </c>
      <c r="DJ962" s="138">
        <f>DA962</f>
        <v/>
      </c>
      <c r="DK962" s="138">
        <f>DE962</f>
        <v/>
      </c>
      <c r="DL962" s="138">
        <f>DI962</f>
        <v/>
      </c>
      <c r="DM962" s="303">
        <f>IF(LEFT(BT962,1)=" ",RIGHT(BT962,LEN(BT962)-1),BT962)</f>
        <v/>
      </c>
      <c r="DN962" s="138">
        <f>_xlfn.CONCAT(BS962,DM962,BU962,BV962)</f>
        <v/>
      </c>
      <c r="DO962" s="307" t="inlineStr">
        <is>
          <t>https://images.evo.com/imgp/250/169213/703425/clone.jpg</t>
        </is>
      </c>
    </row>
    <row r="963" ht="15.6" customHeight="1" s="184">
      <c r="B963" s="303">
        <f t="array" ref="B963">IF(OR(ISERROR(K963:P963)),FALSE,TRUE)</f>
        <v/>
      </c>
      <c r="C963" s="60">
        <f>OR(BR963=Driver!$G$50,Data!BR670=Driver!$H$50)</f>
        <v/>
      </c>
      <c r="D963" s="60">
        <f>OR(BV963=Driver!$G$51,BV963=Driver!$H$51)</f>
        <v/>
      </c>
      <c r="E963" s="60">
        <f>AND(BX963&gt;Driver!$F$54,BX963&lt;Driver!$G$54)</f>
        <v/>
      </c>
      <c r="F963" s="60">
        <f>CL963&gt;Driver!$F$56</f>
        <v/>
      </c>
      <c r="G963" s="60">
        <f>AND(CB963&gt;Driver!$F$55,CB963&lt;Driver!$G$55)</f>
        <v/>
      </c>
      <c r="H963" s="60">
        <f>AND(B963:G963)</f>
        <v/>
      </c>
      <c r="I963" s="60">
        <f>COUNTIFS($H$9:$H$1273,TRUE,$BT$9:$BT$1273,BT963)</f>
        <v/>
      </c>
      <c r="J963" s="60">
        <f t="array" ref="J963">NOT(OR(($H$9:$H$1273=TRUE)*($I$9:$I$1273&gt;0)*($BT$9:$BT$1273=BT963)*($K$9:$K$1273&gt;K963)))</f>
        <v/>
      </c>
      <c r="K963" s="108">
        <f>IFERROR(1-AVERAGE(X963:Y963),"")</f>
        <v/>
      </c>
      <c r="L963" s="108">
        <f>1-X963</f>
        <v/>
      </c>
      <c r="M963" s="108">
        <f>1-Y963</f>
        <v/>
      </c>
      <c r="N963" s="108">
        <f>1-Z963</f>
        <v/>
      </c>
      <c r="O963" s="108">
        <f>1-AA963</f>
        <v/>
      </c>
      <c r="P963" s="108">
        <f>1-AB963</f>
        <v/>
      </c>
      <c r="Q963" s="108" t="n"/>
      <c r="R963" s="108" t="n"/>
      <c r="S963" s="108">
        <f>1-AE963</f>
        <v/>
      </c>
      <c r="T963" s="108">
        <f>1-AF963</f>
        <v/>
      </c>
      <c r="U963" s="108">
        <f>1-AG963</f>
        <v/>
      </c>
      <c r="V963" s="108">
        <f>1-AH963</f>
        <v/>
      </c>
      <c r="W963" s="108">
        <f>1-AI963</f>
        <v/>
      </c>
      <c r="X963" s="108">
        <f>ABS(AJ963-AJ$1)</f>
        <v/>
      </c>
      <c r="Y963" s="108">
        <f>AVERAGE(Z963:AB963)</f>
        <v/>
      </c>
      <c r="Z963" s="108">
        <f>ABS(AL963-AL$1)</f>
        <v/>
      </c>
      <c r="AA963" s="108">
        <f>ABS(AM963-AM$1)</f>
        <v/>
      </c>
      <c r="AB963" s="108">
        <f>ABS(AN963-AN$1)</f>
        <v/>
      </c>
      <c r="AC963" s="108" t="n"/>
      <c r="AD963" s="108" t="n"/>
      <c r="AE963" s="108">
        <f>ABS(AQ$1-AQ963)</f>
        <v/>
      </c>
      <c r="AF963" s="108">
        <f>ABS(AR$1-AR963)</f>
        <v/>
      </c>
      <c r="AG963" s="108">
        <f>ABS(AS$1-AS963)</f>
        <v/>
      </c>
      <c r="AH963" s="108">
        <f>ABS(AT$1-AT963)</f>
        <v/>
      </c>
      <c r="AI963" s="108">
        <f>ABS(AU$1-AU963)</f>
        <v/>
      </c>
      <c r="AJ963" s="108">
        <f>(AV963-Driver!$K$179)/(Driver!$L$179-Driver!$K$179)</f>
        <v/>
      </c>
      <c r="AK963" s="108">
        <f>(AW963-Driver!$K$180)/(Driver!$L$180-Driver!$K$180)</f>
        <v/>
      </c>
      <c r="AL963" s="108">
        <f>(AX963-Driver!$K$181)/(Driver!$L$181-Driver!$K$181)</f>
        <v/>
      </c>
      <c r="AM963" s="108">
        <f>(AY963-Driver!$K$182)/(Driver!$L$182-Driver!$K$182)</f>
        <v/>
      </c>
      <c r="AN963" s="108">
        <f>(AZ963-Driver!$K$183)/(Driver!$L$183-Driver!$K$183)</f>
        <v/>
      </c>
      <c r="AO963" s="108" t="n"/>
      <c r="AP963" s="108" t="n"/>
      <c r="AQ963" s="108">
        <f>(BC963-Driver!$K$188)/(Driver!$L$188-Driver!$K$188)</f>
        <v/>
      </c>
      <c r="AR963" s="108">
        <f>MIN((BD963-Driver!$K$189)/(Driver!$L$189-Driver!$K$189),100%)</f>
        <v/>
      </c>
      <c r="AS963" s="108">
        <f>(BE963-Driver!$K$190)/(Driver!$L$190-Driver!$K$190)</f>
        <v/>
      </c>
      <c r="AT963" s="108">
        <f>(BF963-Driver!$K$191)/(Driver!$L$191-Driver!$K$191)</f>
        <v/>
      </c>
      <c r="AU963" s="108">
        <f>(BG963-Driver!$K$192)/(Driver!$L$192-Driver!$K$192)</f>
        <v/>
      </c>
      <c r="AV963" s="105">
        <f>IFERROR(BM963*BJ963^1/4,"")</f>
        <v/>
      </c>
      <c r="AW963" s="105">
        <f>IFERROR(SUM(AX963:AZ963),"")</f>
        <v/>
      </c>
      <c r="AX963" s="105">
        <f>IFERROR(BH963,"")</f>
        <v/>
      </c>
      <c r="AY963" s="105">
        <f>IFERROR(Driver!$K$19/Data!BH963/Data!BI963*Data!BK963*Data!BL963,"")</f>
        <v/>
      </c>
      <c r="AZ963" s="105">
        <f>IFERROR(BI963*BN963,"")</f>
        <v/>
      </c>
      <c r="BA963" s="105" t="n"/>
      <c r="BB963" s="105" t="n"/>
      <c r="BC963" s="105">
        <f>IFERROR(BI963*BN963*BK963/BJ963^(1/2),"")</f>
        <v/>
      </c>
      <c r="BD963" s="105">
        <f>IFERROR(BH963*BM963*BL963/BJ963/BK963,"")</f>
        <v/>
      </c>
      <c r="BE963" s="105">
        <f>IFERROR(MIN(BI963/BQ963/BP963/BO963/BH963,$BE$1),"")</f>
        <v/>
      </c>
      <c r="BF963" s="105">
        <f>IFERROR(BJ963*BO963*BP963/BK963,"")</f>
        <v/>
      </c>
      <c r="BG963" s="105">
        <f>IFERROR(1/BM963/BH963*BQ963,"")</f>
        <v/>
      </c>
      <c r="BH963" s="102">
        <f>MAX((CE963-Driver!$F$200)/(Driver!$G$200-Driver!$F$200)*$BI$1,1)</f>
        <v/>
      </c>
      <c r="BI963" s="102">
        <f>MAX($BI$1*(BY963-Driver!$F$201)/(Driver!$G$201-Driver!$F$201),1)</f>
        <v/>
      </c>
      <c r="BJ963" s="102">
        <f>(CB963-Driver!$F$206)/(Driver!$G$206-Driver!$F$206)*$BI$1</f>
        <v/>
      </c>
      <c r="BK963" s="102">
        <f>(CD963-Driver!$F$203)/(Driver!$G$203-Driver!$F$203)*$BI$1</f>
        <v/>
      </c>
      <c r="BL963" s="102">
        <f>MAX((CR963-Driver!$F$202)/(Driver!$G$202-Driver!$F$202)*$BI$1,1)</f>
        <v/>
      </c>
      <c r="BM963" s="102">
        <f>MAX((CH963-Driver!$F$204)/(Driver!$G$204-Driver!$F$204)*$BI$1,1)</f>
        <v/>
      </c>
      <c r="BN963" s="102">
        <f>(CI963-Driver!$F$205)/(Driver!$G$205-Driver!$F$205)*$BI$1</f>
        <v/>
      </c>
      <c r="BO963" s="102">
        <f>(CK963-Driver!$F$207)/(Driver!$G$207-Driver!$F$207)*$BI$1</f>
        <v/>
      </c>
      <c r="BP963" s="102">
        <f>(CM963-Driver!$F$208)/(Driver!$G$208-Driver!$F$208)*$BI$1</f>
        <v/>
      </c>
      <c r="BQ963" s="102">
        <f>(CL963-Driver!$F$209)/(Driver!$G$209-Driver!$F$209)*$BI$1</f>
        <v/>
      </c>
      <c r="BR963" s="40" t="inlineStr">
        <is>
          <t>21/22</t>
        </is>
      </c>
      <c r="BS963" s="10" t="inlineStr">
        <is>
          <t xml:space="preserve"> Head</t>
        </is>
      </c>
      <c r="BT963" s="11" t="inlineStr">
        <is>
          <t xml:space="preserve"> Worldcup Rebels I.SLR</t>
        </is>
      </c>
      <c r="BU963" s="13" t="n">
        <v>155</v>
      </c>
      <c r="BV963" s="11" t="inlineStr">
        <is>
          <t xml:space="preserve"> Unisex</t>
        </is>
      </c>
      <c r="BW963" s="13" t="n">
        <v>155</v>
      </c>
      <c r="BX963" s="13" t="n">
        <v>154.3</v>
      </c>
      <c r="BY963" s="13" t="n">
        <v>135</v>
      </c>
      <c r="BZ963" s="13" t="n">
        <v>140</v>
      </c>
      <c r="CA963" s="13" t="n">
        <v>120</v>
      </c>
      <c r="CB963" s="13" t="n">
        <v>65</v>
      </c>
      <c r="CC963" s="13" t="n">
        <v>105</v>
      </c>
      <c r="CD963" s="13" t="n">
        <v>10.1</v>
      </c>
      <c r="CE963" s="13" t="n">
        <v>1796</v>
      </c>
      <c r="CF963" s="13" t="n">
        <v>0.71</v>
      </c>
      <c r="CG963" s="13" t="n">
        <v>1273</v>
      </c>
      <c r="CH963" s="13" t="n">
        <v>135</v>
      </c>
      <c r="CI963" s="13" t="n">
        <v>65</v>
      </c>
      <c r="CJ963" s="13" t="n">
        <v>44</v>
      </c>
      <c r="CK963" s="13" t="n">
        <v>141</v>
      </c>
      <c r="CL963" s="13" t="n">
        <v>6</v>
      </c>
      <c r="CM963" s="13" t="n">
        <v>56</v>
      </c>
      <c r="CN963" s="13" t="n">
        <v>0.125</v>
      </c>
      <c r="CO963" s="13" t="n">
        <v>78</v>
      </c>
      <c r="CP963" s="13" t="n">
        <v>65</v>
      </c>
      <c r="CQ963" s="13" t="n">
        <v>63</v>
      </c>
      <c r="CR963" s="13" t="n">
        <v>10</v>
      </c>
      <c r="CS963" s="13" t="n">
        <v>12.4</v>
      </c>
      <c r="CT963" s="11" t="inlineStr">
        <is>
          <t xml:space="preserve"> On-Piste Carving</t>
        </is>
      </c>
      <c r="CU963" s="13" t="n"/>
      <c r="CV963" s="13" t="n"/>
      <c r="CW963" s="13" t="n"/>
      <c r="CX963">
        <f>INDEX('Data_Price '!AG$2:AG$1266,MATCH(Data!$DN963,'Data_Price '!$AT$2:$AT$1266,0))</f>
        <v/>
      </c>
      <c r="CY963">
        <f>INDEX('Data_Price '!AH$2:AH$1266,MATCH(Data!$DN963,'Data_Price '!$AT$2:$AT$1266,0))</f>
        <v/>
      </c>
      <c r="CZ963">
        <f>INDEX('Data_Price '!AI$2:AI$1266,MATCH(Data!$DN963,'Data_Price '!$AT$2:$AT$1266,0))</f>
        <v/>
      </c>
      <c r="DA963">
        <f>INDEX('Data_Price '!AJ$2:AJ$1266,MATCH(Data!$DN963,'Data_Price '!$AT$2:$AT$1266,0))</f>
        <v/>
      </c>
      <c r="DB963">
        <f>INDEX('Data_Price '!AK$2:AK$1266,MATCH(Data!$DN963,'Data_Price '!$AT$2:$AT$1266,0))</f>
        <v/>
      </c>
      <c r="DC963">
        <f>INDEX('Data_Price '!AL$2:AL$1266,MATCH(Data!$DN963,'Data_Price '!$AT$2:$AT$1266,0))</f>
        <v/>
      </c>
      <c r="DD963">
        <f>INDEX('Data_Price '!AM$2:AM$1266,MATCH(Data!$DN963,'Data_Price '!$AT$2:$AT$1266,0))</f>
        <v/>
      </c>
      <c r="DE963">
        <f>INDEX('Data_Price '!AN$2:AN$1266,MATCH(Data!$DN963,'Data_Price '!$AT$2:$AT$1266,0))</f>
        <v/>
      </c>
      <c r="DF963">
        <f>INDEX('Data_Price '!AO$2:AO$1266,MATCH(Data!$DN963,'Data_Price '!$AT$2:$AT$1266,0))</f>
        <v/>
      </c>
      <c r="DG963">
        <f>INDEX('Data_Price '!AP$2:AP$1266,MATCH(Data!$DN963,'Data_Price '!$AT$2:$AT$1266,0))</f>
        <v/>
      </c>
      <c r="DH963">
        <f>INDEX('Data_Price '!AQ$2:AQ$1266,MATCH(Data!$DN963,'Data_Price '!$AT$2:$AT$1266,0))</f>
        <v/>
      </c>
      <c r="DI963">
        <f>INDEX('Data_Price '!AR$2:AR$1266,MATCH(Data!$DN963,'Data_Price '!$AT$2:$AT$1266,0))</f>
        <v/>
      </c>
      <c r="DJ963" s="138">
        <f>DA963</f>
        <v/>
      </c>
      <c r="DK963" s="138">
        <f>DE963</f>
        <v/>
      </c>
      <c r="DL963" s="138">
        <f>DI963</f>
        <v/>
      </c>
      <c r="DM963" s="303">
        <f>IF(LEFT(BT963,1)=" ",RIGHT(BT963,LEN(BT963)-1),BT963)</f>
        <v/>
      </c>
      <c r="DN963" s="138">
        <f>_xlfn.CONCAT(BS963,DM963,BU963,BV963)</f>
        <v/>
      </c>
      <c r="DO963" s="307" t="n"/>
    </row>
    <row r="964" ht="15.6" customHeight="1" s="184">
      <c r="B964" s="303">
        <f t="array" ref="B964">IF(OR(ISERROR(K964:P964)),FALSE,TRUE)</f>
        <v/>
      </c>
      <c r="C964" s="60">
        <f>OR(BR964=Driver!$G$50,Data!BR239=Driver!$H$50)</f>
        <v/>
      </c>
      <c r="D964" s="60">
        <f>OR(BV964=Driver!$G$51,BV964=Driver!$H$51)</f>
        <v/>
      </c>
      <c r="E964" s="60">
        <f>AND(BX964&gt;Driver!$F$54,BX964&lt;Driver!$G$54)</f>
        <v/>
      </c>
      <c r="F964" s="60">
        <f>CL964&gt;Driver!$F$56</f>
        <v/>
      </c>
      <c r="G964" s="60">
        <f>AND(CB964&gt;Driver!$F$55,CB964&lt;Driver!$G$55)</f>
        <v/>
      </c>
      <c r="H964" s="60">
        <f>AND(B964:G964)</f>
        <v/>
      </c>
      <c r="I964" s="60">
        <f>COUNTIFS($H$9:$H$1273,TRUE,$BT$9:$BT$1273,BT964)</f>
        <v/>
      </c>
      <c r="J964" s="60">
        <f t="array" ref="J964">NOT(OR(($H$9:$H$1273=TRUE)*($I$9:$I$1273&gt;0)*($BT$9:$BT$1273=BT964)*($K$9:$K$1273&gt;K964)))</f>
        <v/>
      </c>
      <c r="K964" s="108">
        <f>IFERROR(1-AVERAGE(X964:Y964),"")</f>
        <v/>
      </c>
      <c r="L964" s="108">
        <f>1-X964</f>
        <v/>
      </c>
      <c r="M964" s="108">
        <f>1-Y964</f>
        <v/>
      </c>
      <c r="N964" s="108">
        <f>1-Z964</f>
        <v/>
      </c>
      <c r="O964" s="108">
        <f>1-AA964</f>
        <v/>
      </c>
      <c r="P964" s="108">
        <f>1-AB964</f>
        <v/>
      </c>
      <c r="Q964" s="108" t="n"/>
      <c r="R964" s="108" t="n"/>
      <c r="S964" s="108">
        <f>1-AE964</f>
        <v/>
      </c>
      <c r="T964" s="108">
        <f>1-AF964</f>
        <v/>
      </c>
      <c r="U964" s="108">
        <f>1-AG964</f>
        <v/>
      </c>
      <c r="V964" s="108">
        <f>1-AH964</f>
        <v/>
      </c>
      <c r="W964" s="108">
        <f>1-AI964</f>
        <v/>
      </c>
      <c r="X964" s="108">
        <f>ABS(AJ964-AJ$1)</f>
        <v/>
      </c>
      <c r="Y964" s="108">
        <f>AVERAGE(Z964:AB964)</f>
        <v/>
      </c>
      <c r="Z964" s="108">
        <f>ABS(AL964-AL$1)</f>
        <v/>
      </c>
      <c r="AA964" s="108">
        <f>ABS(AM964-AM$1)</f>
        <v/>
      </c>
      <c r="AB964" s="108">
        <f>ABS(AN964-AN$1)</f>
        <v/>
      </c>
      <c r="AC964" s="108" t="n"/>
      <c r="AD964" s="108" t="n"/>
      <c r="AE964" s="108">
        <f>ABS(AQ$1-AQ964)</f>
        <v/>
      </c>
      <c r="AF964" s="108">
        <f>ABS(AR$1-AR964)</f>
        <v/>
      </c>
      <c r="AG964" s="108">
        <f>ABS(AS$1-AS964)</f>
        <v/>
      </c>
      <c r="AH964" s="108">
        <f>ABS(AT$1-AT964)</f>
        <v/>
      </c>
      <c r="AI964" s="108">
        <f>ABS(AU$1-AU964)</f>
        <v/>
      </c>
      <c r="AJ964" s="108">
        <f>(AV964-Driver!$K$179)/(Driver!$L$179-Driver!$K$179)</f>
        <v/>
      </c>
      <c r="AK964" s="108">
        <f>(AW964-Driver!$K$180)/(Driver!$L$180-Driver!$K$180)</f>
        <v/>
      </c>
      <c r="AL964" s="108">
        <f>(AX964-Driver!$K$181)/(Driver!$L$181-Driver!$K$181)</f>
        <v/>
      </c>
      <c r="AM964" s="108">
        <f>(AY964-Driver!$K$182)/(Driver!$L$182-Driver!$K$182)</f>
        <v/>
      </c>
      <c r="AN964" s="108">
        <f>(AZ964-Driver!$K$183)/(Driver!$L$183-Driver!$K$183)</f>
        <v/>
      </c>
      <c r="AO964" s="108" t="n"/>
      <c r="AP964" s="108" t="n"/>
      <c r="AQ964" s="108">
        <f>(BC964-Driver!$K$188)/(Driver!$L$188-Driver!$K$188)</f>
        <v/>
      </c>
      <c r="AR964" s="108">
        <f>MIN((BD964-Driver!$K$189)/(Driver!$L$189-Driver!$K$189),100%)</f>
        <v/>
      </c>
      <c r="AS964" s="108">
        <f>(BE964-Driver!$K$190)/(Driver!$L$190-Driver!$K$190)</f>
        <v/>
      </c>
      <c r="AT964" s="108">
        <f>(BF964-Driver!$K$191)/(Driver!$L$191-Driver!$K$191)</f>
        <v/>
      </c>
      <c r="AU964" s="108">
        <f>(BG964-Driver!$K$192)/(Driver!$L$192-Driver!$K$192)</f>
        <v/>
      </c>
      <c r="AV964" s="105">
        <f>IFERROR(BM964*BJ964^1/4,"")</f>
        <v/>
      </c>
      <c r="AW964" s="105">
        <f>IFERROR(SUM(AX964:AZ964),"")</f>
        <v/>
      </c>
      <c r="AX964" s="105">
        <f>IFERROR(BH964,"")</f>
        <v/>
      </c>
      <c r="AY964" s="105">
        <f>IFERROR(Driver!$K$19/Data!BH964/Data!BI964*Data!BK964*Data!BL964,"")</f>
        <v/>
      </c>
      <c r="AZ964" s="105">
        <f>IFERROR(BI964*BN964,"")</f>
        <v/>
      </c>
      <c r="BA964" s="105" t="n"/>
      <c r="BB964" s="105" t="n"/>
      <c r="BC964" s="105">
        <f>IFERROR(BI964*BN964*BK964/BJ964^(1/2),"")</f>
        <v/>
      </c>
      <c r="BD964" s="105">
        <f>IFERROR(BH964*BM964*BL964/BJ964/BK964,"")</f>
        <v/>
      </c>
      <c r="BE964" s="105">
        <f>IFERROR(MIN(BI964/BQ964/BP964/BO964/BH964,$BE$1),"")</f>
        <v/>
      </c>
      <c r="BF964" s="105">
        <f>IFERROR(BJ964*BO964*BP964/BK964,"")</f>
        <v/>
      </c>
      <c r="BG964" s="105">
        <f>IFERROR(1/BM964/BH964*BQ964,"")</f>
        <v/>
      </c>
      <c r="BH964" s="102">
        <f>MAX((CE964-Driver!$F$200)/(Driver!$G$200-Driver!$F$200)*$BI$1,1)</f>
        <v/>
      </c>
      <c r="BI964" s="102">
        <f>MAX($BI$1*(BY964-Driver!$F$201)/(Driver!$G$201-Driver!$F$201),1)</f>
        <v/>
      </c>
      <c r="BJ964" s="102">
        <f>(CB964-Driver!$F$206)/(Driver!$G$206-Driver!$F$206)*$BI$1</f>
        <v/>
      </c>
      <c r="BK964" s="102">
        <f>(CD964-Driver!$F$203)/(Driver!$G$203-Driver!$F$203)*$BI$1</f>
        <v/>
      </c>
      <c r="BL964" s="102">
        <f>MAX((CR964-Driver!$F$202)/(Driver!$G$202-Driver!$F$202)*$BI$1,1)</f>
        <v/>
      </c>
      <c r="BM964" s="102">
        <f>MAX((CH964-Driver!$F$204)/(Driver!$G$204-Driver!$F$204)*$BI$1,1)</f>
        <v/>
      </c>
      <c r="BN964" s="102">
        <f>(CI964-Driver!$F$205)/(Driver!$G$205-Driver!$F$205)*$BI$1</f>
        <v/>
      </c>
      <c r="BO964" s="102">
        <f>(CK964-Driver!$F$207)/(Driver!$G$207-Driver!$F$207)*$BI$1</f>
        <v/>
      </c>
      <c r="BP964" s="102">
        <f>(CM964-Driver!$F$208)/(Driver!$G$208-Driver!$F$208)*$BI$1</f>
        <v/>
      </c>
      <c r="BQ964" s="102">
        <f>(CL964-Driver!$F$209)/(Driver!$G$209-Driver!$F$209)*$BI$1</f>
        <v/>
      </c>
      <c r="BR964" s="40" t="inlineStr">
        <is>
          <t>21/22</t>
        </is>
      </c>
      <c r="BS964" s="10" t="inlineStr">
        <is>
          <t xml:space="preserve"> Black Crows</t>
        </is>
      </c>
      <c r="BT964" s="11" t="inlineStr">
        <is>
          <t xml:space="preserve"> Orb Freebird</t>
        </is>
      </c>
      <c r="BU964" s="13" t="n">
        <v>167.2</v>
      </c>
      <c r="BV964" s="11" t="inlineStr">
        <is>
          <t xml:space="preserve"> Unisex</t>
        </is>
      </c>
      <c r="BW964" s="13" t="n">
        <v>167.2</v>
      </c>
      <c r="BX964" s="13" t="n">
        <v>166.1</v>
      </c>
      <c r="BY964" s="13" t="n">
        <v>127</v>
      </c>
      <c r="BZ964" s="13" t="n">
        <v>146</v>
      </c>
      <c r="CA964" s="13" t="n">
        <v>124</v>
      </c>
      <c r="CB964" s="13" t="n">
        <v>88</v>
      </c>
      <c r="CC964" s="13" t="n">
        <v>110</v>
      </c>
      <c r="CD964" s="13" t="n">
        <v>17.5</v>
      </c>
      <c r="CE964" s="13" t="n">
        <v>1306</v>
      </c>
      <c r="CF964" s="13" t="n">
        <v>1.27</v>
      </c>
      <c r="CG964" s="13" t="n">
        <v>1656</v>
      </c>
      <c r="CH964" s="13" t="n">
        <v>144</v>
      </c>
      <c r="CI964" s="13" t="n">
        <v>71</v>
      </c>
      <c r="CJ964" s="13" t="n">
        <v>40</v>
      </c>
      <c r="CK964" s="13" t="n">
        <v>245</v>
      </c>
      <c r="CL964" s="13" t="n">
        <v>10</v>
      </c>
      <c r="CM964" s="13" t="n">
        <v>142</v>
      </c>
      <c r="CN964" s="13" t="n">
        <v>0.251</v>
      </c>
      <c r="CO964" s="13" t="n">
        <v>96</v>
      </c>
      <c r="CP964" s="13" t="n">
        <v>103</v>
      </c>
      <c r="CQ964" s="13" t="n">
        <v>148</v>
      </c>
      <c r="CR964" s="13" t="n">
        <v>7</v>
      </c>
      <c r="CS964" s="13" t="n">
        <v>10.3</v>
      </c>
      <c r="CT964" s="11" t="inlineStr">
        <is>
          <t xml:space="preserve"> Resort Freeride</t>
        </is>
      </c>
      <c r="CU964" s="11" t="inlineStr">
        <is>
          <t xml:space="preserve"> Touring</t>
        </is>
      </c>
      <c r="CV964" s="11" t="inlineStr">
        <is>
          <t xml:space="preserve"> Ultralight Touring</t>
        </is>
      </c>
      <c r="CW964" s="13" t="n"/>
      <c r="CX964">
        <f>INDEX('Data_Price '!AG$2:AG$1266,MATCH(Data!$DN964,'Data_Price '!$AT$2:$AT$1266,0))</f>
        <v/>
      </c>
      <c r="CY964">
        <f>INDEX('Data_Price '!AH$2:AH$1266,MATCH(Data!$DN964,'Data_Price '!$AT$2:$AT$1266,0))</f>
        <v/>
      </c>
      <c r="CZ964">
        <f>INDEX('Data_Price '!AI$2:AI$1266,MATCH(Data!$DN964,'Data_Price '!$AT$2:$AT$1266,0))</f>
        <v/>
      </c>
      <c r="DA964">
        <f>INDEX('Data_Price '!AJ$2:AJ$1266,MATCH(Data!$DN964,'Data_Price '!$AT$2:$AT$1266,0))</f>
        <v/>
      </c>
      <c r="DB964">
        <f>INDEX('Data_Price '!AK$2:AK$1266,MATCH(Data!$DN964,'Data_Price '!$AT$2:$AT$1266,0))</f>
        <v/>
      </c>
      <c r="DC964">
        <f>INDEX('Data_Price '!AL$2:AL$1266,MATCH(Data!$DN964,'Data_Price '!$AT$2:$AT$1266,0))</f>
        <v/>
      </c>
      <c r="DD964">
        <f>INDEX('Data_Price '!AM$2:AM$1266,MATCH(Data!$DN964,'Data_Price '!$AT$2:$AT$1266,0))</f>
        <v/>
      </c>
      <c r="DE964">
        <f>INDEX('Data_Price '!AN$2:AN$1266,MATCH(Data!$DN964,'Data_Price '!$AT$2:$AT$1266,0))</f>
        <v/>
      </c>
      <c r="DF964">
        <f>INDEX('Data_Price '!AO$2:AO$1266,MATCH(Data!$DN964,'Data_Price '!$AT$2:$AT$1266,0))</f>
        <v/>
      </c>
      <c r="DG964">
        <f>INDEX('Data_Price '!AP$2:AP$1266,MATCH(Data!$DN964,'Data_Price '!$AT$2:$AT$1266,0))</f>
        <v/>
      </c>
      <c r="DH964">
        <f>INDEX('Data_Price '!AQ$2:AQ$1266,MATCH(Data!$DN964,'Data_Price '!$AT$2:$AT$1266,0))</f>
        <v/>
      </c>
      <c r="DI964">
        <f>INDEX('Data_Price '!AR$2:AR$1266,MATCH(Data!$DN964,'Data_Price '!$AT$2:$AT$1266,0))</f>
        <v/>
      </c>
      <c r="DJ964" s="138">
        <f>DA964</f>
        <v/>
      </c>
      <c r="DK964" s="138">
        <f>DE964</f>
        <v/>
      </c>
      <c r="DL964" s="138">
        <f>DI964</f>
        <v/>
      </c>
      <c r="DM964" s="303">
        <f>IF(LEFT(BT964,1)=" ",RIGHT(BT964,LEN(BT964)-1),BT964)</f>
        <v/>
      </c>
      <c r="DN964" s="138">
        <f>_xlfn.CONCAT(BS964,DM964,BU964,BV964)</f>
        <v/>
      </c>
      <c r="DO964" s="307" t="inlineStr">
        <is>
          <t>https://images.evo.com/imgp/250/181610/748869/black-crows-orb-freebird-skis-2022-.jpg</t>
        </is>
      </c>
    </row>
    <row r="965" ht="15.6" customHeight="1" s="184">
      <c r="B965" s="303">
        <f t="array" ref="B965">IF(OR(ISERROR(K965:P965)),FALSE,TRUE)</f>
        <v/>
      </c>
      <c r="C965" s="60">
        <f>OR(BR965=Driver!$G$50,Data!BR591=Driver!$H$50)</f>
        <v/>
      </c>
      <c r="D965" s="60">
        <f>OR(BV965=Driver!$G$51,BV965=Driver!$H$51)</f>
        <v/>
      </c>
      <c r="E965" s="60">
        <f>AND(BX965&gt;Driver!$F$54,BX965&lt;Driver!$G$54)</f>
        <v/>
      </c>
      <c r="F965" s="60">
        <f>CL965&gt;Driver!$F$56</f>
        <v/>
      </c>
      <c r="G965" s="60">
        <f>AND(CB965&gt;Driver!$F$55,CB965&lt;Driver!$G$55)</f>
        <v/>
      </c>
      <c r="H965" s="60">
        <f>AND(B965:G965)</f>
        <v/>
      </c>
      <c r="I965" s="60">
        <f>COUNTIFS($H$9:$H$1273,TRUE,$BT$9:$BT$1273,BT965)</f>
        <v/>
      </c>
      <c r="J965" s="60">
        <f t="array" ref="J965">NOT(OR(($H$9:$H$1273=TRUE)*($I$9:$I$1273&gt;0)*($BT$9:$BT$1273=BT965)*($K$9:$K$1273&gt;K965)))</f>
        <v/>
      </c>
      <c r="K965" s="108">
        <f>IFERROR(1-AVERAGE(X965:Y965),"")</f>
        <v/>
      </c>
      <c r="L965" s="108">
        <f>1-X965</f>
        <v/>
      </c>
      <c r="M965" s="108">
        <f>1-Y965</f>
        <v/>
      </c>
      <c r="N965" s="108">
        <f>1-Z965</f>
        <v/>
      </c>
      <c r="O965" s="108">
        <f>1-AA965</f>
        <v/>
      </c>
      <c r="P965" s="108">
        <f>1-AB965</f>
        <v/>
      </c>
      <c r="Q965" s="108" t="n"/>
      <c r="R965" s="108" t="n"/>
      <c r="S965" s="108">
        <f>1-AE965</f>
        <v/>
      </c>
      <c r="T965" s="108">
        <f>1-AF965</f>
        <v/>
      </c>
      <c r="U965" s="108">
        <f>1-AG965</f>
        <v/>
      </c>
      <c r="V965" s="108">
        <f>1-AH965</f>
        <v/>
      </c>
      <c r="W965" s="108">
        <f>1-AI965</f>
        <v/>
      </c>
      <c r="X965" s="108">
        <f>ABS(AJ965-AJ$1)</f>
        <v/>
      </c>
      <c r="Y965" s="108">
        <f>AVERAGE(Z965:AB965)</f>
        <v/>
      </c>
      <c r="Z965" s="108">
        <f>ABS(AL965-AL$1)</f>
        <v/>
      </c>
      <c r="AA965" s="108">
        <f>ABS(AM965-AM$1)</f>
        <v/>
      </c>
      <c r="AB965" s="108">
        <f>ABS(AN965-AN$1)</f>
        <v/>
      </c>
      <c r="AC965" s="108" t="n"/>
      <c r="AD965" s="108" t="n"/>
      <c r="AE965" s="108">
        <f>ABS(AQ$1-AQ965)</f>
        <v/>
      </c>
      <c r="AF965" s="108">
        <f>ABS(AR$1-AR965)</f>
        <v/>
      </c>
      <c r="AG965" s="108">
        <f>ABS(AS$1-AS965)</f>
        <v/>
      </c>
      <c r="AH965" s="108">
        <f>ABS(AT$1-AT965)</f>
        <v/>
      </c>
      <c r="AI965" s="108">
        <f>ABS(AU$1-AU965)</f>
        <v/>
      </c>
      <c r="AJ965" s="108">
        <f>(AV965-Driver!$K$179)/(Driver!$L$179-Driver!$K$179)</f>
        <v/>
      </c>
      <c r="AK965" s="108">
        <f>(AW965-Driver!$K$180)/(Driver!$L$180-Driver!$K$180)</f>
        <v/>
      </c>
      <c r="AL965" s="108">
        <f>(AX965-Driver!$K$181)/(Driver!$L$181-Driver!$K$181)</f>
        <v/>
      </c>
      <c r="AM965" s="108">
        <f>(AY965-Driver!$K$182)/(Driver!$L$182-Driver!$K$182)</f>
        <v/>
      </c>
      <c r="AN965" s="108">
        <f>(AZ965-Driver!$K$183)/(Driver!$L$183-Driver!$K$183)</f>
        <v/>
      </c>
      <c r="AO965" s="108" t="n"/>
      <c r="AP965" s="108" t="n"/>
      <c r="AQ965" s="108">
        <f>(BC965-Driver!$K$188)/(Driver!$L$188-Driver!$K$188)</f>
        <v/>
      </c>
      <c r="AR965" s="108">
        <f>MIN((BD965-Driver!$K$189)/(Driver!$L$189-Driver!$K$189),100%)</f>
        <v/>
      </c>
      <c r="AS965" s="108">
        <f>(BE965-Driver!$K$190)/(Driver!$L$190-Driver!$K$190)</f>
        <v/>
      </c>
      <c r="AT965" s="108">
        <f>(BF965-Driver!$K$191)/(Driver!$L$191-Driver!$K$191)</f>
        <v/>
      </c>
      <c r="AU965" s="108">
        <f>(BG965-Driver!$K$192)/(Driver!$L$192-Driver!$K$192)</f>
        <v/>
      </c>
      <c r="AV965" s="105">
        <f>IFERROR(BM965*BJ965^1/4,"")</f>
        <v/>
      </c>
      <c r="AW965" s="105">
        <f>IFERROR(SUM(AX965:AZ965),"")</f>
        <v/>
      </c>
      <c r="AX965" s="105">
        <f>IFERROR(BH965,"")</f>
        <v/>
      </c>
      <c r="AY965" s="105">
        <f>IFERROR(Driver!$K$19/Data!BH965/Data!BI965*Data!BK965*Data!BL965,"")</f>
        <v/>
      </c>
      <c r="AZ965" s="105">
        <f>IFERROR(BI965*BN965,"")</f>
        <v/>
      </c>
      <c r="BA965" s="105" t="n"/>
      <c r="BB965" s="105" t="n"/>
      <c r="BC965" s="105">
        <f>IFERROR(BI965*BN965*BK965/BJ965^(1/2),"")</f>
        <v/>
      </c>
      <c r="BD965" s="105">
        <f>IFERROR(BH965*BM965*BL965/BJ965/BK965,"")</f>
        <v/>
      </c>
      <c r="BE965" s="105">
        <f>IFERROR(MIN(BI965/BQ965/BP965/BO965/BH965,$BE$1),"")</f>
        <v/>
      </c>
      <c r="BF965" s="105">
        <f>IFERROR(BJ965*BO965*BP965/BK965,"")</f>
        <v/>
      </c>
      <c r="BG965" s="105">
        <f>IFERROR(1/BM965/BH965*BQ965,"")</f>
        <v/>
      </c>
      <c r="BH965" s="102">
        <f>MAX((CE965-Driver!$F$200)/(Driver!$G$200-Driver!$F$200)*$BI$1,1)</f>
        <v/>
      </c>
      <c r="BI965" s="102">
        <f>MAX($BI$1*(BY965-Driver!$F$201)/(Driver!$G$201-Driver!$F$201),1)</f>
        <v/>
      </c>
      <c r="BJ965" s="102">
        <f>(CB965-Driver!$F$206)/(Driver!$G$206-Driver!$F$206)*$BI$1</f>
        <v/>
      </c>
      <c r="BK965" s="102">
        <f>(CD965-Driver!$F$203)/(Driver!$G$203-Driver!$F$203)*$BI$1</f>
        <v/>
      </c>
      <c r="BL965" s="102">
        <f>MAX((CR965-Driver!$F$202)/(Driver!$G$202-Driver!$F$202)*$BI$1,1)</f>
        <v/>
      </c>
      <c r="BM965" s="102">
        <f>MAX((CH965-Driver!$F$204)/(Driver!$G$204-Driver!$F$204)*$BI$1,1)</f>
        <v/>
      </c>
      <c r="BN965" s="102">
        <f>(CI965-Driver!$F$205)/(Driver!$G$205-Driver!$F$205)*$BI$1</f>
        <v/>
      </c>
      <c r="BO965" s="102">
        <f>(CK965-Driver!$F$207)/(Driver!$G$207-Driver!$F$207)*$BI$1</f>
        <v/>
      </c>
      <c r="BP965" s="102">
        <f>(CM965-Driver!$F$208)/(Driver!$G$208-Driver!$F$208)*$BI$1</f>
        <v/>
      </c>
      <c r="BQ965" s="102">
        <f>(CL965-Driver!$F$209)/(Driver!$G$209-Driver!$F$209)*$BI$1</f>
        <v/>
      </c>
      <c r="BR965" s="40" t="inlineStr">
        <is>
          <t>21/22</t>
        </is>
      </c>
      <c r="BS965" s="10" t="inlineStr">
        <is>
          <t xml:space="preserve"> Fischer</t>
        </is>
      </c>
      <c r="BT965" s="11" t="inlineStr">
        <is>
          <t>RC One 78 GT</t>
        </is>
      </c>
      <c r="BU965" s="13" t="n">
        <v>166</v>
      </c>
      <c r="BV965" s="11" t="inlineStr">
        <is>
          <t xml:space="preserve"> Unisex</t>
        </is>
      </c>
      <c r="BW965" s="13" t="n">
        <v>166</v>
      </c>
      <c r="BX965" s="13" t="n">
        <v>167.4</v>
      </c>
      <c r="BY965" s="13" t="n">
        <v>132</v>
      </c>
      <c r="BZ965" s="13" t="n">
        <v>151</v>
      </c>
      <c r="CA965" s="13" t="n">
        <v>123</v>
      </c>
      <c r="CB965" s="13" t="n">
        <v>78</v>
      </c>
      <c r="CC965" s="13" t="n">
        <v>109</v>
      </c>
      <c r="CD965" s="13" t="n">
        <v>13.7</v>
      </c>
      <c r="CE965" s="13" t="n">
        <v>1950</v>
      </c>
      <c r="CF965" s="13" t="n">
        <v>0.8</v>
      </c>
      <c r="CG965" s="13" t="n">
        <v>1556</v>
      </c>
      <c r="CH965" s="13" t="n">
        <v>211</v>
      </c>
      <c r="CI965" s="13" t="n">
        <v>69</v>
      </c>
      <c r="CJ965" s="13" t="n">
        <v>50</v>
      </c>
      <c r="CK965" s="13" t="n">
        <v>243</v>
      </c>
      <c r="CL965" s="13" t="n">
        <v>20</v>
      </c>
      <c r="CM965" s="13" t="n">
        <v>109</v>
      </c>
      <c r="CN965" s="13" t="n">
        <v>0.408</v>
      </c>
      <c r="CO965" s="13" t="n">
        <v>68</v>
      </c>
      <c r="CP965" s="13" t="n">
        <v>96</v>
      </c>
      <c r="CQ965" s="13" t="n">
        <v>175</v>
      </c>
      <c r="CR965" s="13" t="n">
        <v>9</v>
      </c>
      <c r="CS965" s="13" t="n">
        <v>7</v>
      </c>
      <c r="CT965" s="11" t="inlineStr">
        <is>
          <t xml:space="preserve"> Other</t>
        </is>
      </c>
      <c r="CU965" s="13" t="n"/>
      <c r="CV965" s="13" t="n"/>
      <c r="CW965" s="13" t="n"/>
      <c r="CX965">
        <f>INDEX('Data_Price '!AG$2:AG$1266,MATCH(Data!$DN965,'Data_Price '!$AT$2:$AT$1266,0))</f>
        <v/>
      </c>
      <c r="CY965">
        <f>INDEX('Data_Price '!AH$2:AH$1266,MATCH(Data!$DN965,'Data_Price '!$AT$2:$AT$1266,0))</f>
        <v/>
      </c>
      <c r="CZ965">
        <f>INDEX('Data_Price '!AI$2:AI$1266,MATCH(Data!$DN965,'Data_Price '!$AT$2:$AT$1266,0))</f>
        <v/>
      </c>
      <c r="DA965">
        <f>INDEX('Data_Price '!AJ$2:AJ$1266,MATCH(Data!$DN965,'Data_Price '!$AT$2:$AT$1266,0))</f>
        <v/>
      </c>
      <c r="DB965">
        <f>INDEX('Data_Price '!AK$2:AK$1266,MATCH(Data!$DN965,'Data_Price '!$AT$2:$AT$1266,0))</f>
        <v/>
      </c>
      <c r="DC965">
        <f>INDEX('Data_Price '!AL$2:AL$1266,MATCH(Data!$DN965,'Data_Price '!$AT$2:$AT$1266,0))</f>
        <v/>
      </c>
      <c r="DD965">
        <f>INDEX('Data_Price '!AM$2:AM$1266,MATCH(Data!$DN965,'Data_Price '!$AT$2:$AT$1266,0))</f>
        <v/>
      </c>
      <c r="DE965">
        <f>INDEX('Data_Price '!AN$2:AN$1266,MATCH(Data!$DN965,'Data_Price '!$AT$2:$AT$1266,0))</f>
        <v/>
      </c>
      <c r="DF965">
        <f>INDEX('Data_Price '!AO$2:AO$1266,MATCH(Data!$DN965,'Data_Price '!$AT$2:$AT$1266,0))</f>
        <v/>
      </c>
      <c r="DG965">
        <f>INDEX('Data_Price '!AP$2:AP$1266,MATCH(Data!$DN965,'Data_Price '!$AT$2:$AT$1266,0))</f>
        <v/>
      </c>
      <c r="DH965">
        <f>INDEX('Data_Price '!AQ$2:AQ$1266,MATCH(Data!$DN965,'Data_Price '!$AT$2:$AT$1266,0))</f>
        <v/>
      </c>
      <c r="DI965">
        <f>INDEX('Data_Price '!AR$2:AR$1266,MATCH(Data!$DN965,'Data_Price '!$AT$2:$AT$1266,0))</f>
        <v/>
      </c>
      <c r="DJ965" s="138">
        <f>DA965</f>
        <v/>
      </c>
      <c r="DK965" s="138">
        <f>DE965</f>
        <v/>
      </c>
      <c r="DL965" s="138">
        <f>DI965</f>
        <v/>
      </c>
      <c r="DM965" s="303">
        <f>IF(LEFT(BT965,1)=" ",RIGHT(BT965,LEN(BT965)-1),BT965)</f>
        <v/>
      </c>
      <c r="DN965" s="138">
        <f>_xlfn.CONCAT(BS965,DM965,BU965,BV965)</f>
        <v/>
      </c>
      <c r="DO965" s="307" t="n"/>
    </row>
    <row r="966" ht="15.6" customHeight="1" s="184">
      <c r="B966" s="303">
        <f t="array" ref="B966">IF(OR(ISERROR(K966:P966)),FALSE,TRUE)</f>
        <v/>
      </c>
      <c r="C966" s="60">
        <f>OR(BR966=Driver!$G$50,Data!BR854=Driver!$H$50)</f>
        <v/>
      </c>
      <c r="D966" s="60">
        <f>OR(BV966=Driver!$G$51,BV966=Driver!$H$51)</f>
        <v/>
      </c>
      <c r="E966" s="60">
        <f>AND(BX966&gt;Driver!$F$54,BX966&lt;Driver!$G$54)</f>
        <v/>
      </c>
      <c r="F966" s="60">
        <f>CL966&gt;Driver!$F$56</f>
        <v/>
      </c>
      <c r="G966" s="60">
        <f>AND(CB966&gt;Driver!$F$55,CB966&lt;Driver!$G$55)</f>
        <v/>
      </c>
      <c r="H966" s="60">
        <f>AND(B966:G966)</f>
        <v/>
      </c>
      <c r="I966" s="60">
        <f>COUNTIFS($H$9:$H$1273,TRUE,$BT$9:$BT$1273,BT966)</f>
        <v/>
      </c>
      <c r="J966" s="60">
        <f t="array" ref="J966">NOT(OR(($H$9:$H$1273=TRUE)*($I$9:$I$1273&gt;0)*($BT$9:$BT$1273=BT966)*($K$9:$K$1273&gt;K966)))</f>
        <v/>
      </c>
      <c r="K966" s="108">
        <f>IFERROR(1-AVERAGE(X966:Y966),"")</f>
        <v/>
      </c>
      <c r="L966" s="108">
        <f>1-X966</f>
        <v/>
      </c>
      <c r="M966" s="108">
        <f>1-Y966</f>
        <v/>
      </c>
      <c r="N966" s="108">
        <f>1-Z966</f>
        <v/>
      </c>
      <c r="O966" s="108">
        <f>1-AA966</f>
        <v/>
      </c>
      <c r="P966" s="108">
        <f>1-AB966</f>
        <v/>
      </c>
      <c r="Q966" s="108" t="n"/>
      <c r="R966" s="108" t="n"/>
      <c r="S966" s="108">
        <f>1-AE966</f>
        <v/>
      </c>
      <c r="T966" s="108">
        <f>1-AF966</f>
        <v/>
      </c>
      <c r="U966" s="108">
        <f>1-AG966</f>
        <v/>
      </c>
      <c r="V966" s="108">
        <f>1-AH966</f>
        <v/>
      </c>
      <c r="W966" s="108">
        <f>1-AI966</f>
        <v/>
      </c>
      <c r="X966" s="108">
        <f>ABS(AJ966-AJ$1)</f>
        <v/>
      </c>
      <c r="Y966" s="108">
        <f>AVERAGE(Z966:AB966)</f>
        <v/>
      </c>
      <c r="Z966" s="108">
        <f>ABS(AL966-AL$1)</f>
        <v/>
      </c>
      <c r="AA966" s="108">
        <f>ABS(AM966-AM$1)</f>
        <v/>
      </c>
      <c r="AB966" s="108">
        <f>ABS(AN966-AN$1)</f>
        <v/>
      </c>
      <c r="AC966" s="108" t="n"/>
      <c r="AD966" s="108" t="n"/>
      <c r="AE966" s="108">
        <f>ABS(AQ$1-AQ966)</f>
        <v/>
      </c>
      <c r="AF966" s="108">
        <f>ABS(AR$1-AR966)</f>
        <v/>
      </c>
      <c r="AG966" s="108">
        <f>ABS(AS$1-AS966)</f>
        <v/>
      </c>
      <c r="AH966" s="108">
        <f>ABS(AT$1-AT966)</f>
        <v/>
      </c>
      <c r="AI966" s="108">
        <f>ABS(AU$1-AU966)</f>
        <v/>
      </c>
      <c r="AJ966" s="108">
        <f>(AV966-Driver!$K$179)/(Driver!$L$179-Driver!$K$179)</f>
        <v/>
      </c>
      <c r="AK966" s="108">
        <f>(AW966-Driver!$K$180)/(Driver!$L$180-Driver!$K$180)</f>
        <v/>
      </c>
      <c r="AL966" s="108">
        <f>(AX966-Driver!$K$181)/(Driver!$L$181-Driver!$K$181)</f>
        <v/>
      </c>
      <c r="AM966" s="108">
        <f>(AY966-Driver!$K$182)/(Driver!$L$182-Driver!$K$182)</f>
        <v/>
      </c>
      <c r="AN966" s="108">
        <f>(AZ966-Driver!$K$183)/(Driver!$L$183-Driver!$K$183)</f>
        <v/>
      </c>
      <c r="AO966" s="108" t="n"/>
      <c r="AP966" s="108" t="n"/>
      <c r="AQ966" s="108">
        <f>(BC966-Driver!$K$188)/(Driver!$L$188-Driver!$K$188)</f>
        <v/>
      </c>
      <c r="AR966" s="108">
        <f>MIN((BD966-Driver!$K$189)/(Driver!$L$189-Driver!$K$189),100%)</f>
        <v/>
      </c>
      <c r="AS966" s="108">
        <f>(BE966-Driver!$K$190)/(Driver!$L$190-Driver!$K$190)</f>
        <v/>
      </c>
      <c r="AT966" s="108">
        <f>(BF966-Driver!$K$191)/(Driver!$L$191-Driver!$K$191)</f>
        <v/>
      </c>
      <c r="AU966" s="108">
        <f>(BG966-Driver!$K$192)/(Driver!$L$192-Driver!$K$192)</f>
        <v/>
      </c>
      <c r="AV966" s="105">
        <f>IFERROR(BM966*BJ966^1/4,"")</f>
        <v/>
      </c>
      <c r="AW966" s="105">
        <f>IFERROR(SUM(AX966:AZ966),"")</f>
        <v/>
      </c>
      <c r="AX966" s="105">
        <f>IFERROR(BH966,"")</f>
        <v/>
      </c>
      <c r="AY966" s="105">
        <f>IFERROR(Driver!$K$19/Data!BH966/Data!BI966*Data!BK966*Data!BL966,"")</f>
        <v/>
      </c>
      <c r="AZ966" s="105">
        <f>IFERROR(BI966*BN966,"")</f>
        <v/>
      </c>
      <c r="BA966" s="105" t="n"/>
      <c r="BB966" s="105" t="n"/>
      <c r="BC966" s="105">
        <f>IFERROR(BI966*BN966*BK966/BJ966^(1/2),"")</f>
        <v/>
      </c>
      <c r="BD966" s="105">
        <f>IFERROR(BH966*BM966*BL966/BJ966/BK966,"")</f>
        <v/>
      </c>
      <c r="BE966" s="105">
        <f>IFERROR(MIN(BI966/BQ966/BP966/BO966/BH966,$BE$1),"")</f>
        <v/>
      </c>
      <c r="BF966" s="105">
        <f>IFERROR(BJ966*BO966*BP966/BK966,"")</f>
        <v/>
      </c>
      <c r="BG966" s="105">
        <f>IFERROR(1/BM966/BH966*BQ966,"")</f>
        <v/>
      </c>
      <c r="BH966" s="102">
        <f>MAX((CE966-Driver!$F$200)/(Driver!$G$200-Driver!$F$200)*$BI$1,1)</f>
        <v/>
      </c>
      <c r="BI966" s="102">
        <f>MAX($BI$1*(BY966-Driver!$F$201)/(Driver!$G$201-Driver!$F$201),1)</f>
        <v/>
      </c>
      <c r="BJ966" s="102">
        <f>(CB966-Driver!$F$206)/(Driver!$G$206-Driver!$F$206)*$BI$1</f>
        <v/>
      </c>
      <c r="BK966" s="102">
        <f>(CD966-Driver!$F$203)/(Driver!$G$203-Driver!$F$203)*$BI$1</f>
        <v/>
      </c>
      <c r="BL966" s="102">
        <f>MAX((CR966-Driver!$F$202)/(Driver!$G$202-Driver!$F$202)*$BI$1,1)</f>
        <v/>
      </c>
      <c r="BM966" s="102">
        <f>MAX((CH966-Driver!$F$204)/(Driver!$G$204-Driver!$F$204)*$BI$1,1)</f>
        <v/>
      </c>
      <c r="BN966" s="102">
        <f>(CI966-Driver!$F$205)/(Driver!$G$205-Driver!$F$205)*$BI$1</f>
        <v/>
      </c>
      <c r="BO966" s="102">
        <f>(CK966-Driver!$F$207)/(Driver!$G$207-Driver!$F$207)*$BI$1</f>
        <v/>
      </c>
      <c r="BP966" s="102">
        <f>(CM966-Driver!$F$208)/(Driver!$G$208-Driver!$F$208)*$BI$1</f>
        <v/>
      </c>
      <c r="BQ966" s="102">
        <f>(CL966-Driver!$F$209)/(Driver!$G$209-Driver!$F$209)*$BI$1</f>
        <v/>
      </c>
      <c r="BR966" s="40" t="inlineStr">
        <is>
          <t>21/22</t>
        </is>
      </c>
      <c r="BS966" s="10" t="inlineStr">
        <is>
          <t xml:space="preserve"> Line</t>
        </is>
      </c>
      <c r="BT966" s="11" t="inlineStr">
        <is>
          <t>Pandora 94</t>
        </is>
      </c>
      <c r="BU966" s="13" t="n">
        <v>165</v>
      </c>
      <c r="BV966" s="11" t="inlineStr">
        <is>
          <t xml:space="preserve"> Women's</t>
        </is>
      </c>
      <c r="BW966" s="13" t="n">
        <v>165</v>
      </c>
      <c r="BX966" s="13" t="n">
        <v>165</v>
      </c>
      <c r="BY966" s="13" t="n">
        <v>122</v>
      </c>
      <c r="BZ966" s="13" t="n">
        <v>138</v>
      </c>
      <c r="CA966" s="13" t="n">
        <v>130</v>
      </c>
      <c r="CB966" s="13" t="n">
        <v>93</v>
      </c>
      <c r="CC966" s="13" t="n">
        <v>116</v>
      </c>
      <c r="CD966" s="13" t="n">
        <v>14.8</v>
      </c>
      <c r="CE966" s="13" t="n">
        <v>1441</v>
      </c>
      <c r="CF966" s="13" t="n">
        <v>1.2</v>
      </c>
      <c r="CG966" s="13" t="n">
        <v>1736</v>
      </c>
      <c r="CH966" s="13" t="n">
        <v>129</v>
      </c>
      <c r="CI966" s="13" t="n">
        <v>65</v>
      </c>
      <c r="CJ966" s="13" t="n">
        <v>47</v>
      </c>
      <c r="CK966" s="13" t="n">
        <v>306</v>
      </c>
      <c r="CL966" s="13" t="n">
        <v>15</v>
      </c>
      <c r="CM966" s="13" t="n">
        <v>128</v>
      </c>
      <c r="CN966" s="13" t="n">
        <v>0.318</v>
      </c>
      <c r="CO966" s="13" t="n">
        <v>146</v>
      </c>
      <c r="CP966" s="13" t="n">
        <v>125</v>
      </c>
      <c r="CQ966" s="13" t="n">
        <v>160</v>
      </c>
      <c r="CR966" s="13" t="n">
        <v>6</v>
      </c>
      <c r="CS966" s="13" t="n">
        <v>9.1</v>
      </c>
      <c r="CT966" s="11" t="inlineStr">
        <is>
          <t xml:space="preserve"> Resort Freeride</t>
        </is>
      </c>
      <c r="CU966" s="11" t="inlineStr">
        <is>
          <t xml:space="preserve"> Touring</t>
        </is>
      </c>
      <c r="CV966" s="13" t="n"/>
      <c r="CW966" s="13" t="n"/>
      <c r="CX966">
        <f>INDEX('Data_Price '!AG$2:AG$1266,MATCH(Data!$DN966,'Data_Price '!$AT$2:$AT$1266,0))</f>
        <v/>
      </c>
      <c r="CY966">
        <f>INDEX('Data_Price '!AH$2:AH$1266,MATCH(Data!$DN966,'Data_Price '!$AT$2:$AT$1266,0))</f>
        <v/>
      </c>
      <c r="CZ966">
        <f>INDEX('Data_Price '!AI$2:AI$1266,MATCH(Data!$DN966,'Data_Price '!$AT$2:$AT$1266,0))</f>
        <v/>
      </c>
      <c r="DA966">
        <f>INDEX('Data_Price '!AJ$2:AJ$1266,MATCH(Data!$DN966,'Data_Price '!$AT$2:$AT$1266,0))</f>
        <v/>
      </c>
      <c r="DB966">
        <f>INDEX('Data_Price '!AK$2:AK$1266,MATCH(Data!$DN966,'Data_Price '!$AT$2:$AT$1266,0))</f>
        <v/>
      </c>
      <c r="DC966">
        <f>INDEX('Data_Price '!AL$2:AL$1266,MATCH(Data!$DN966,'Data_Price '!$AT$2:$AT$1266,0))</f>
        <v/>
      </c>
      <c r="DD966">
        <f>INDEX('Data_Price '!AM$2:AM$1266,MATCH(Data!$DN966,'Data_Price '!$AT$2:$AT$1266,0))</f>
        <v/>
      </c>
      <c r="DE966">
        <f>INDEX('Data_Price '!AN$2:AN$1266,MATCH(Data!$DN966,'Data_Price '!$AT$2:$AT$1266,0))</f>
        <v/>
      </c>
      <c r="DF966">
        <f>INDEX('Data_Price '!AO$2:AO$1266,MATCH(Data!$DN966,'Data_Price '!$AT$2:$AT$1266,0))</f>
        <v/>
      </c>
      <c r="DG966">
        <f>INDEX('Data_Price '!AP$2:AP$1266,MATCH(Data!$DN966,'Data_Price '!$AT$2:$AT$1266,0))</f>
        <v/>
      </c>
      <c r="DH966">
        <f>INDEX('Data_Price '!AQ$2:AQ$1266,MATCH(Data!$DN966,'Data_Price '!$AT$2:$AT$1266,0))</f>
        <v/>
      </c>
      <c r="DI966">
        <f>INDEX('Data_Price '!AR$2:AR$1266,MATCH(Data!$DN966,'Data_Price '!$AT$2:$AT$1266,0))</f>
        <v/>
      </c>
      <c r="DJ966" s="138">
        <f>DA966</f>
        <v/>
      </c>
      <c r="DK966" s="138">
        <f>DE966</f>
        <v/>
      </c>
      <c r="DL966" s="138">
        <f>DI966</f>
        <v/>
      </c>
      <c r="DM966" s="303">
        <f>IF(LEFT(BT966,1)=" ",RIGHT(BT966,LEN(BT966)-1),BT966)</f>
        <v/>
      </c>
      <c r="DN966" s="138">
        <f>_xlfn.CONCAT(BS966,DM966,BU966,BV966)</f>
        <v/>
      </c>
      <c r="DO966" s="307" t="inlineStr">
        <is>
          <t>https://images.evo.com/imgp/250/197210/792887/line-skis-pandora-94-skis-women-s-2022-.jpg</t>
        </is>
      </c>
    </row>
    <row r="967" ht="15.6" customHeight="1" s="184">
      <c r="B967" s="303">
        <f t="array" ref="B967">IF(OR(ISERROR(K967:P967)),FALSE,TRUE)</f>
        <v/>
      </c>
      <c r="C967" s="60">
        <f>OR(BR967=Driver!$G$50,Data!BR59=Driver!$H$50)</f>
        <v/>
      </c>
      <c r="D967" s="60">
        <f>OR(BV967=Driver!$G$51,BV967=Driver!$H$51)</f>
        <v/>
      </c>
      <c r="E967" s="60">
        <f>AND(BX967&gt;Driver!$F$54,BX967&lt;Driver!$G$54)</f>
        <v/>
      </c>
      <c r="F967" s="60">
        <f>CL967&gt;Driver!$F$56</f>
        <v/>
      </c>
      <c r="G967" s="60">
        <f>AND(CB967&gt;Driver!$F$55,CB967&lt;Driver!$G$55)</f>
        <v/>
      </c>
      <c r="H967" s="60">
        <f>AND(B967:G967)</f>
        <v/>
      </c>
      <c r="I967" s="60">
        <f>COUNTIFS($H$9:$H$1273,TRUE,$BT$9:$BT$1273,BT967)</f>
        <v/>
      </c>
      <c r="J967" s="60">
        <f t="array" ref="J967">NOT(OR(($H$9:$H$1273=TRUE)*($I$9:$I$1273&gt;0)*($BT$9:$BT$1273=BT967)*($K$9:$K$1273&gt;K967)))</f>
        <v/>
      </c>
      <c r="K967" s="108">
        <f>IFERROR(1-AVERAGE(X967:Y967),"")</f>
        <v/>
      </c>
      <c r="L967" s="108">
        <f>1-X967</f>
        <v/>
      </c>
      <c r="M967" s="108">
        <f>1-Y967</f>
        <v/>
      </c>
      <c r="N967" s="108">
        <f>1-Z967</f>
        <v/>
      </c>
      <c r="O967" s="108">
        <f>1-AA967</f>
        <v/>
      </c>
      <c r="P967" s="108">
        <f>1-AB967</f>
        <v/>
      </c>
      <c r="Q967" s="108" t="n"/>
      <c r="R967" s="108" t="n"/>
      <c r="S967" s="108">
        <f>1-AE967</f>
        <v/>
      </c>
      <c r="T967" s="108">
        <f>1-AF967</f>
        <v/>
      </c>
      <c r="U967" s="108">
        <f>1-AG967</f>
        <v/>
      </c>
      <c r="V967" s="108">
        <f>1-AH967</f>
        <v/>
      </c>
      <c r="W967" s="108">
        <f>1-AI967</f>
        <v/>
      </c>
      <c r="X967" s="108">
        <f>ABS(AJ967-AJ$1)</f>
        <v/>
      </c>
      <c r="Y967" s="108">
        <f>AVERAGE(Z967:AB967)</f>
        <v/>
      </c>
      <c r="Z967" s="108">
        <f>ABS(AL967-AL$1)</f>
        <v/>
      </c>
      <c r="AA967" s="108">
        <f>ABS(AM967-AM$1)</f>
        <v/>
      </c>
      <c r="AB967" s="108">
        <f>ABS(AN967-AN$1)</f>
        <v/>
      </c>
      <c r="AC967" s="108" t="n"/>
      <c r="AD967" s="108" t="n"/>
      <c r="AE967" s="108">
        <f>ABS(AQ$1-AQ967)</f>
        <v/>
      </c>
      <c r="AF967" s="108">
        <f>ABS(AR$1-AR967)</f>
        <v/>
      </c>
      <c r="AG967" s="108">
        <f>ABS(AS$1-AS967)</f>
        <v/>
      </c>
      <c r="AH967" s="108">
        <f>ABS(AT$1-AT967)</f>
        <v/>
      </c>
      <c r="AI967" s="108">
        <f>ABS(AU$1-AU967)</f>
        <v/>
      </c>
      <c r="AJ967" s="108">
        <f>(AV967-Driver!$K$179)/(Driver!$L$179-Driver!$K$179)</f>
        <v/>
      </c>
      <c r="AK967" s="108">
        <f>(AW967-Driver!$K$180)/(Driver!$L$180-Driver!$K$180)</f>
        <v/>
      </c>
      <c r="AL967" s="108">
        <f>(AX967-Driver!$K$181)/(Driver!$L$181-Driver!$K$181)</f>
        <v/>
      </c>
      <c r="AM967" s="108">
        <f>(AY967-Driver!$K$182)/(Driver!$L$182-Driver!$K$182)</f>
        <v/>
      </c>
      <c r="AN967" s="108">
        <f>(AZ967-Driver!$K$183)/(Driver!$L$183-Driver!$K$183)</f>
        <v/>
      </c>
      <c r="AO967" s="108" t="n"/>
      <c r="AP967" s="108" t="n"/>
      <c r="AQ967" s="108">
        <f>(BC967-Driver!$K$188)/(Driver!$L$188-Driver!$K$188)</f>
        <v/>
      </c>
      <c r="AR967" s="108">
        <f>MIN((BD967-Driver!$K$189)/(Driver!$L$189-Driver!$K$189),100%)</f>
        <v/>
      </c>
      <c r="AS967" s="108">
        <f>(BE967-Driver!$K$190)/(Driver!$L$190-Driver!$K$190)</f>
        <v/>
      </c>
      <c r="AT967" s="108">
        <f>(BF967-Driver!$K$191)/(Driver!$L$191-Driver!$K$191)</f>
        <v/>
      </c>
      <c r="AU967" s="108">
        <f>(BG967-Driver!$K$192)/(Driver!$L$192-Driver!$K$192)</f>
        <v/>
      </c>
      <c r="AV967" s="105">
        <f>IFERROR(BM967*BJ967^1/4,"")</f>
        <v/>
      </c>
      <c r="AW967" s="105">
        <f>IFERROR(SUM(AX967:AZ967),"")</f>
        <v/>
      </c>
      <c r="AX967" s="105">
        <f>IFERROR(BH967,"")</f>
        <v/>
      </c>
      <c r="AY967" s="105">
        <f>IFERROR(Driver!$K$19/Data!BH967/Data!BI967*Data!BK967*Data!BL967,"")</f>
        <v/>
      </c>
      <c r="AZ967" s="105">
        <f>IFERROR(BI967*BN967,"")</f>
        <v/>
      </c>
      <c r="BA967" s="105" t="n"/>
      <c r="BB967" s="105" t="n"/>
      <c r="BC967" s="105">
        <f>IFERROR(BI967*BN967*BK967/BJ967^(1/2),"")</f>
        <v/>
      </c>
      <c r="BD967" s="105">
        <f>IFERROR(BH967*BM967*BL967/BJ967/BK967,"")</f>
        <v/>
      </c>
      <c r="BE967" s="105">
        <f>IFERROR(MIN(BI967/BQ967/BP967/BO967/BH967,$BE$1),"")</f>
        <v/>
      </c>
      <c r="BF967" s="105">
        <f>IFERROR(BJ967*BO967*BP967/BK967,"")</f>
        <v/>
      </c>
      <c r="BG967" s="105">
        <f>IFERROR(1/BM967/BH967*BQ967,"")</f>
        <v/>
      </c>
      <c r="BH967" s="102">
        <f>MAX((CE967-Driver!$F$200)/(Driver!$G$200-Driver!$F$200)*$BI$1,1)</f>
        <v/>
      </c>
      <c r="BI967" s="102">
        <f>MAX($BI$1*(BY967-Driver!$F$201)/(Driver!$G$201-Driver!$F$201),1)</f>
        <v/>
      </c>
      <c r="BJ967" s="102">
        <f>(CB967-Driver!$F$206)/(Driver!$G$206-Driver!$F$206)*$BI$1</f>
        <v/>
      </c>
      <c r="BK967" s="102">
        <f>(CD967-Driver!$F$203)/(Driver!$G$203-Driver!$F$203)*$BI$1</f>
        <v/>
      </c>
      <c r="BL967" s="102">
        <f>MAX((CR967-Driver!$F$202)/(Driver!$G$202-Driver!$F$202)*$BI$1,1)</f>
        <v/>
      </c>
      <c r="BM967" s="102">
        <f>MAX((CH967-Driver!$F$204)/(Driver!$G$204-Driver!$F$204)*$BI$1,1)</f>
        <v/>
      </c>
      <c r="BN967" s="102">
        <f>(CI967-Driver!$F$205)/(Driver!$G$205-Driver!$F$205)*$BI$1</f>
        <v/>
      </c>
      <c r="BO967" s="102">
        <f>(CK967-Driver!$F$207)/(Driver!$G$207-Driver!$F$207)*$BI$1</f>
        <v/>
      </c>
      <c r="BP967" s="102">
        <f>(CM967-Driver!$F$208)/(Driver!$G$208-Driver!$F$208)*$BI$1</f>
        <v/>
      </c>
      <c r="BQ967" s="102">
        <f>(CL967-Driver!$F$209)/(Driver!$G$209-Driver!$F$209)*$BI$1</f>
        <v/>
      </c>
      <c r="BR967" s="40" t="inlineStr">
        <is>
          <t>21/22</t>
        </is>
      </c>
      <c r="BS967" s="10" t="inlineStr">
        <is>
          <t xml:space="preserve"> Armada</t>
        </is>
      </c>
      <c r="BT967" s="11" t="inlineStr">
        <is>
          <t xml:space="preserve"> Bdog</t>
        </is>
      </c>
      <c r="BU967" s="13" t="n">
        <v>164</v>
      </c>
      <c r="BV967" s="11" t="inlineStr">
        <is>
          <t xml:space="preserve"> Unisex</t>
        </is>
      </c>
      <c r="BW967" s="13" t="n">
        <v>164</v>
      </c>
      <c r="BX967" s="13" t="n">
        <v>162.7</v>
      </c>
      <c r="BY967" s="13" t="n">
        <v>111</v>
      </c>
      <c r="BZ967" s="13" t="n">
        <v>133</v>
      </c>
      <c r="CA967" s="13" t="n">
        <v>121</v>
      </c>
      <c r="CB967" s="13" t="n">
        <v>93</v>
      </c>
      <c r="CC967" s="13" t="n">
        <v>116</v>
      </c>
      <c r="CD967" s="13" t="n">
        <v>14.9</v>
      </c>
      <c r="CE967" s="13" t="n">
        <v>1792</v>
      </c>
      <c r="CF967" s="13" t="n">
        <v>0.9399999999999999</v>
      </c>
      <c r="CG967" s="13" t="n">
        <v>1693</v>
      </c>
      <c r="CH967" s="13" t="n">
        <v>152</v>
      </c>
      <c r="CI967" s="13" t="n">
        <v>59</v>
      </c>
      <c r="CJ967" s="13" t="n">
        <v>43</v>
      </c>
      <c r="CK967" s="13" t="n">
        <v>262</v>
      </c>
      <c r="CL967" s="13" t="n">
        <v>39</v>
      </c>
      <c r="CM967" s="13" t="n">
        <v>250</v>
      </c>
      <c r="CN967" s="13" t="n">
        <v>0.895</v>
      </c>
      <c r="CO967" s="13" t="n">
        <v>165</v>
      </c>
      <c r="CP967" s="13" t="n">
        <v>131</v>
      </c>
      <c r="CQ967" s="13" t="n">
        <v>98</v>
      </c>
      <c r="CR967" s="13" t="n">
        <v>7</v>
      </c>
      <c r="CS967" s="13" t="n">
        <v>0.2</v>
      </c>
      <c r="CT967" s="11" t="inlineStr">
        <is>
          <t xml:space="preserve"> Freeski</t>
        </is>
      </c>
      <c r="CU967" s="13" t="n"/>
      <c r="CV967" s="13" t="n"/>
      <c r="CW967" s="13" t="n"/>
      <c r="CX967">
        <f>INDEX('Data_Price '!AG$2:AG$1266,MATCH(Data!$DN967,'Data_Price '!$AT$2:$AT$1266,0))</f>
        <v/>
      </c>
      <c r="CY967">
        <f>INDEX('Data_Price '!AH$2:AH$1266,MATCH(Data!$DN967,'Data_Price '!$AT$2:$AT$1266,0))</f>
        <v/>
      </c>
      <c r="CZ967">
        <f>INDEX('Data_Price '!AI$2:AI$1266,MATCH(Data!$DN967,'Data_Price '!$AT$2:$AT$1266,0))</f>
        <v/>
      </c>
      <c r="DA967">
        <f>INDEX('Data_Price '!AJ$2:AJ$1266,MATCH(Data!$DN967,'Data_Price '!$AT$2:$AT$1266,0))</f>
        <v/>
      </c>
      <c r="DB967">
        <f>INDEX('Data_Price '!AK$2:AK$1266,MATCH(Data!$DN967,'Data_Price '!$AT$2:$AT$1266,0))</f>
        <v/>
      </c>
      <c r="DC967">
        <f>INDEX('Data_Price '!AL$2:AL$1266,MATCH(Data!$DN967,'Data_Price '!$AT$2:$AT$1266,0))</f>
        <v/>
      </c>
      <c r="DD967">
        <f>INDEX('Data_Price '!AM$2:AM$1266,MATCH(Data!$DN967,'Data_Price '!$AT$2:$AT$1266,0))</f>
        <v/>
      </c>
      <c r="DE967">
        <f>INDEX('Data_Price '!AN$2:AN$1266,MATCH(Data!$DN967,'Data_Price '!$AT$2:$AT$1266,0))</f>
        <v/>
      </c>
      <c r="DF967">
        <f>INDEX('Data_Price '!AO$2:AO$1266,MATCH(Data!$DN967,'Data_Price '!$AT$2:$AT$1266,0))</f>
        <v/>
      </c>
      <c r="DG967">
        <f>INDEX('Data_Price '!AP$2:AP$1266,MATCH(Data!$DN967,'Data_Price '!$AT$2:$AT$1266,0))</f>
        <v/>
      </c>
      <c r="DH967">
        <f>INDEX('Data_Price '!AQ$2:AQ$1266,MATCH(Data!$DN967,'Data_Price '!$AT$2:$AT$1266,0))</f>
        <v/>
      </c>
      <c r="DI967">
        <f>INDEX('Data_Price '!AR$2:AR$1266,MATCH(Data!$DN967,'Data_Price '!$AT$2:$AT$1266,0))</f>
        <v/>
      </c>
      <c r="DJ967" s="138">
        <f>DA967</f>
        <v/>
      </c>
      <c r="DK967" s="138">
        <f>DE967</f>
        <v/>
      </c>
      <c r="DL967" s="138">
        <f>DI967</f>
        <v/>
      </c>
      <c r="DM967" s="303">
        <f>IF(LEFT(BT967,1)=" ",RIGHT(BT967,LEN(BT967)-1),BT967)</f>
        <v/>
      </c>
      <c r="DN967" s="138">
        <f>_xlfn.CONCAT(BS967,DM967,BU967,BV967)</f>
        <v/>
      </c>
      <c r="DO967" s="307" t="inlineStr">
        <is>
          <t>https://images.evo.com/imgp/250/162921/736809/armada-bdog-edgeless-skis-2022-.jpg</t>
        </is>
      </c>
    </row>
    <row r="968" ht="15.6" customHeight="1" s="184">
      <c r="B968" s="303">
        <f t="array" ref="B968">IF(OR(ISERROR(K968:P968)),FALSE,TRUE)</f>
        <v/>
      </c>
      <c r="C968" s="60">
        <f>OR(BR968=Driver!$G$50,Data!BR850=Driver!$H$50)</f>
        <v/>
      </c>
      <c r="D968" s="60">
        <f>OR(BV968=Driver!$G$51,BV968=Driver!$H$51)</f>
        <v/>
      </c>
      <c r="E968" s="60">
        <f>AND(BX968&gt;Driver!$F$54,BX968&lt;Driver!$G$54)</f>
        <v/>
      </c>
      <c r="F968" s="60">
        <f>CL968&gt;Driver!$F$56</f>
        <v/>
      </c>
      <c r="G968" s="60">
        <f>AND(CB968&gt;Driver!$F$55,CB968&lt;Driver!$G$55)</f>
        <v/>
      </c>
      <c r="H968" s="60">
        <f>AND(B968:G968)</f>
        <v/>
      </c>
      <c r="I968" s="60">
        <f>COUNTIFS($H$9:$H$1273,TRUE,$BT$9:$BT$1273,BT968)</f>
        <v/>
      </c>
      <c r="J968" s="60">
        <f t="array" ref="J968">NOT(OR(($H$9:$H$1273=TRUE)*($I$9:$I$1273&gt;0)*($BT$9:$BT$1273=BT968)*($K$9:$K$1273&gt;K968)))</f>
        <v/>
      </c>
      <c r="K968" s="108">
        <f>IFERROR(1-AVERAGE(X968:Y968),"")</f>
        <v/>
      </c>
      <c r="L968" s="108">
        <f>1-X968</f>
        <v/>
      </c>
      <c r="M968" s="108">
        <f>1-Y968</f>
        <v/>
      </c>
      <c r="N968" s="108">
        <f>1-Z968</f>
        <v/>
      </c>
      <c r="O968" s="108">
        <f>1-AA968</f>
        <v/>
      </c>
      <c r="P968" s="108">
        <f>1-AB968</f>
        <v/>
      </c>
      <c r="Q968" s="108" t="n"/>
      <c r="R968" s="108" t="n"/>
      <c r="S968" s="108">
        <f>1-AE968</f>
        <v/>
      </c>
      <c r="T968" s="108">
        <f>1-AF968</f>
        <v/>
      </c>
      <c r="U968" s="108">
        <f>1-AG968</f>
        <v/>
      </c>
      <c r="V968" s="108">
        <f>1-AH968</f>
        <v/>
      </c>
      <c r="W968" s="108">
        <f>1-AI968</f>
        <v/>
      </c>
      <c r="X968" s="108">
        <f>ABS(AJ968-AJ$1)</f>
        <v/>
      </c>
      <c r="Y968" s="108">
        <f>AVERAGE(Z968:AB968)</f>
        <v/>
      </c>
      <c r="Z968" s="108">
        <f>ABS(AL968-AL$1)</f>
        <v/>
      </c>
      <c r="AA968" s="108">
        <f>ABS(AM968-AM$1)</f>
        <v/>
      </c>
      <c r="AB968" s="108">
        <f>ABS(AN968-AN$1)</f>
        <v/>
      </c>
      <c r="AC968" s="108" t="n"/>
      <c r="AD968" s="108" t="n"/>
      <c r="AE968" s="108">
        <f>ABS(AQ$1-AQ968)</f>
        <v/>
      </c>
      <c r="AF968" s="108">
        <f>ABS(AR$1-AR968)</f>
        <v/>
      </c>
      <c r="AG968" s="108">
        <f>ABS(AS$1-AS968)</f>
        <v/>
      </c>
      <c r="AH968" s="108">
        <f>ABS(AT$1-AT968)</f>
        <v/>
      </c>
      <c r="AI968" s="108">
        <f>ABS(AU$1-AU968)</f>
        <v/>
      </c>
      <c r="AJ968" s="108">
        <f>(AV968-Driver!$K$179)/(Driver!$L$179-Driver!$K$179)</f>
        <v/>
      </c>
      <c r="AK968" s="108">
        <f>(AW968-Driver!$K$180)/(Driver!$L$180-Driver!$K$180)</f>
        <v/>
      </c>
      <c r="AL968" s="108">
        <f>(AX968-Driver!$K$181)/(Driver!$L$181-Driver!$K$181)</f>
        <v/>
      </c>
      <c r="AM968" s="108">
        <f>(AY968-Driver!$K$182)/(Driver!$L$182-Driver!$K$182)</f>
        <v/>
      </c>
      <c r="AN968" s="108">
        <f>(AZ968-Driver!$K$183)/(Driver!$L$183-Driver!$K$183)</f>
        <v/>
      </c>
      <c r="AO968" s="108" t="n"/>
      <c r="AP968" s="108" t="n"/>
      <c r="AQ968" s="108">
        <f>(BC968-Driver!$K$188)/(Driver!$L$188-Driver!$K$188)</f>
        <v/>
      </c>
      <c r="AR968" s="108">
        <f>MIN((BD968-Driver!$K$189)/(Driver!$L$189-Driver!$K$189),100%)</f>
        <v/>
      </c>
      <c r="AS968" s="108">
        <f>(BE968-Driver!$K$190)/(Driver!$L$190-Driver!$K$190)</f>
        <v/>
      </c>
      <c r="AT968" s="108">
        <f>(BF968-Driver!$K$191)/(Driver!$L$191-Driver!$K$191)</f>
        <v/>
      </c>
      <c r="AU968" s="108">
        <f>(BG968-Driver!$K$192)/(Driver!$L$192-Driver!$K$192)</f>
        <v/>
      </c>
      <c r="AV968" s="105">
        <f>IFERROR(BM968*BJ968^1/4,"")</f>
        <v/>
      </c>
      <c r="AW968" s="105">
        <f>IFERROR(SUM(AX968:AZ968),"")</f>
        <v/>
      </c>
      <c r="AX968" s="105">
        <f>IFERROR(BH968,"")</f>
        <v/>
      </c>
      <c r="AY968" s="105">
        <f>IFERROR(Driver!$K$19/Data!BH968/Data!BI968*Data!BK968*Data!BL968,"")</f>
        <v/>
      </c>
      <c r="AZ968" s="105">
        <f>IFERROR(BI968*BN968,"")</f>
        <v/>
      </c>
      <c r="BA968" s="105" t="n"/>
      <c r="BB968" s="105" t="n"/>
      <c r="BC968" s="105">
        <f>IFERROR(BI968*BN968*BK968/BJ968^(1/2),"")</f>
        <v/>
      </c>
      <c r="BD968" s="105">
        <f>IFERROR(BH968*BM968*BL968/BJ968/BK968,"")</f>
        <v/>
      </c>
      <c r="BE968" s="105">
        <f>IFERROR(MIN(BI968/BQ968/BP968/BO968/BH968,$BE$1),"")</f>
        <v/>
      </c>
      <c r="BF968" s="105">
        <f>IFERROR(BJ968*BO968*BP968/BK968,"")</f>
        <v/>
      </c>
      <c r="BG968" s="105">
        <f>IFERROR(1/BM968/BH968*BQ968,"")</f>
        <v/>
      </c>
      <c r="BH968" s="102">
        <f>MAX((CE968-Driver!$F$200)/(Driver!$G$200-Driver!$F$200)*$BI$1,1)</f>
        <v/>
      </c>
      <c r="BI968" s="102">
        <f>MAX($BI$1*(BY968-Driver!$F$201)/(Driver!$G$201-Driver!$F$201),1)</f>
        <v/>
      </c>
      <c r="BJ968" s="102">
        <f>(CB968-Driver!$F$206)/(Driver!$G$206-Driver!$F$206)*$BI$1</f>
        <v/>
      </c>
      <c r="BK968" s="102">
        <f>(CD968-Driver!$F$203)/(Driver!$G$203-Driver!$F$203)*$BI$1</f>
        <v/>
      </c>
      <c r="BL968" s="102">
        <f>MAX((CR968-Driver!$F$202)/(Driver!$G$202-Driver!$F$202)*$BI$1,1)</f>
        <v/>
      </c>
      <c r="BM968" s="102">
        <f>MAX((CH968-Driver!$F$204)/(Driver!$G$204-Driver!$F$204)*$BI$1,1)</f>
        <v/>
      </c>
      <c r="BN968" s="102">
        <f>(CI968-Driver!$F$205)/(Driver!$G$205-Driver!$F$205)*$BI$1</f>
        <v/>
      </c>
      <c r="BO968" s="102">
        <f>(CK968-Driver!$F$207)/(Driver!$G$207-Driver!$F$207)*$BI$1</f>
        <v/>
      </c>
      <c r="BP968" s="102">
        <f>(CM968-Driver!$F$208)/(Driver!$G$208-Driver!$F$208)*$BI$1</f>
        <v/>
      </c>
      <c r="BQ968" s="102">
        <f>(CL968-Driver!$F$209)/(Driver!$G$209-Driver!$F$209)*$BI$1</f>
        <v/>
      </c>
      <c r="BR968" s="40" t="inlineStr">
        <is>
          <t>21/22</t>
        </is>
      </c>
      <c r="BS968" s="10" t="inlineStr">
        <is>
          <t xml:space="preserve"> Line</t>
        </is>
      </c>
      <c r="BT968" s="11" t="inlineStr">
        <is>
          <t>Pandora 84</t>
        </is>
      </c>
      <c r="BU968" s="13" t="n">
        <v>158</v>
      </c>
      <c r="BV968" s="11" t="inlineStr">
        <is>
          <t xml:space="preserve"> Women's</t>
        </is>
      </c>
      <c r="BW968" s="13" t="n">
        <v>158</v>
      </c>
      <c r="BX968" s="13" t="n">
        <v>157.6</v>
      </c>
      <c r="BY968" s="13" t="n">
        <v>128</v>
      </c>
      <c r="BZ968" s="13" t="n">
        <v>135</v>
      </c>
      <c r="CA968" s="13" t="n">
        <v>121</v>
      </c>
      <c r="CB968" s="13" t="n">
        <v>83</v>
      </c>
      <c r="CC968" s="13" t="n">
        <v>109</v>
      </c>
      <c r="CD968" s="13" t="n">
        <v>13.4</v>
      </c>
      <c r="CE968" s="13" t="n">
        <v>1343</v>
      </c>
      <c r="CF968" s="13" t="n">
        <v>1.12</v>
      </c>
      <c r="CG968" s="13" t="n">
        <v>1509</v>
      </c>
      <c r="CH968" s="13" t="n">
        <v>116</v>
      </c>
      <c r="CI968" s="13" t="n">
        <v>69</v>
      </c>
      <c r="CJ968" s="13" t="n">
        <v>44</v>
      </c>
      <c r="CK968" s="13" t="n">
        <v>187</v>
      </c>
      <c r="CL968" s="13" t="n">
        <v>16</v>
      </c>
      <c r="CM968" s="13" t="n">
        <v>112</v>
      </c>
      <c r="CN968" s="13" t="n">
        <v>0.358</v>
      </c>
      <c r="CO968" s="13" t="n">
        <v>132</v>
      </c>
      <c r="CP968" s="13" t="n">
        <v>96</v>
      </c>
      <c r="CQ968" s="13" t="n">
        <v>55</v>
      </c>
      <c r="CR968" s="13" t="n">
        <v>6</v>
      </c>
      <c r="CS968" s="13" t="n">
        <v>9.300000000000001</v>
      </c>
      <c r="CT968" s="11" t="inlineStr">
        <is>
          <t xml:space="preserve"> On-Piste All-Mountain</t>
        </is>
      </c>
      <c r="CU968" s="11" t="inlineStr">
        <is>
          <t xml:space="preserve"> Resort Freeride</t>
        </is>
      </c>
      <c r="CV968" s="11" t="inlineStr">
        <is>
          <t xml:space="preserve"> Touring</t>
        </is>
      </c>
      <c r="CW968" s="13" t="n"/>
      <c r="CX968">
        <f>INDEX('Data_Price '!AG$2:AG$1266,MATCH(Data!$DN968,'Data_Price '!$AT$2:$AT$1266,0))</f>
        <v/>
      </c>
      <c r="CY968">
        <f>INDEX('Data_Price '!AH$2:AH$1266,MATCH(Data!$DN968,'Data_Price '!$AT$2:$AT$1266,0))</f>
        <v/>
      </c>
      <c r="CZ968">
        <f>INDEX('Data_Price '!AI$2:AI$1266,MATCH(Data!$DN968,'Data_Price '!$AT$2:$AT$1266,0))</f>
        <v/>
      </c>
      <c r="DA968">
        <f>INDEX('Data_Price '!AJ$2:AJ$1266,MATCH(Data!$DN968,'Data_Price '!$AT$2:$AT$1266,0))</f>
        <v/>
      </c>
      <c r="DB968">
        <f>INDEX('Data_Price '!AK$2:AK$1266,MATCH(Data!$DN968,'Data_Price '!$AT$2:$AT$1266,0))</f>
        <v/>
      </c>
      <c r="DC968">
        <f>INDEX('Data_Price '!AL$2:AL$1266,MATCH(Data!$DN968,'Data_Price '!$AT$2:$AT$1266,0))</f>
        <v/>
      </c>
      <c r="DD968">
        <f>INDEX('Data_Price '!AM$2:AM$1266,MATCH(Data!$DN968,'Data_Price '!$AT$2:$AT$1266,0))</f>
        <v/>
      </c>
      <c r="DE968">
        <f>INDEX('Data_Price '!AN$2:AN$1266,MATCH(Data!$DN968,'Data_Price '!$AT$2:$AT$1266,0))</f>
        <v/>
      </c>
      <c r="DF968">
        <f>INDEX('Data_Price '!AO$2:AO$1266,MATCH(Data!$DN968,'Data_Price '!$AT$2:$AT$1266,0))</f>
        <v/>
      </c>
      <c r="DG968">
        <f>INDEX('Data_Price '!AP$2:AP$1266,MATCH(Data!$DN968,'Data_Price '!$AT$2:$AT$1266,0))</f>
        <v/>
      </c>
      <c r="DH968">
        <f>INDEX('Data_Price '!AQ$2:AQ$1266,MATCH(Data!$DN968,'Data_Price '!$AT$2:$AT$1266,0))</f>
        <v/>
      </c>
      <c r="DI968">
        <f>INDEX('Data_Price '!AR$2:AR$1266,MATCH(Data!$DN968,'Data_Price '!$AT$2:$AT$1266,0))</f>
        <v/>
      </c>
      <c r="DJ968" s="138">
        <f>DA968</f>
        <v/>
      </c>
      <c r="DK968" s="138">
        <f>DE968</f>
        <v/>
      </c>
      <c r="DL968" s="138">
        <f>DI968</f>
        <v/>
      </c>
      <c r="DM968" s="303">
        <f>IF(LEFT(BT968,1)=" ",RIGHT(BT968,LEN(BT968)-1),BT968)</f>
        <v/>
      </c>
      <c r="DN968" s="138">
        <f>_xlfn.CONCAT(BS968,DM968,BU968,BV968)</f>
        <v/>
      </c>
      <c r="DO968" s="307" t="inlineStr">
        <is>
          <t>https://images.evo.com/imgp/250/198431/817635/line-skis-pandora-84-skis-women-s-2022-.jpg</t>
        </is>
      </c>
    </row>
    <row r="969" ht="15.6" customHeight="1" s="184">
      <c r="B969" s="303">
        <f t="array" ref="B969">IF(OR(ISERROR(K969:P969)),FALSE,TRUE)</f>
        <v/>
      </c>
      <c r="C969" s="60">
        <f>OR(BR969=Driver!$G$50,Data!BR134=Driver!$H$50)</f>
        <v/>
      </c>
      <c r="D969" s="60">
        <f>OR(BV969=Driver!$G$51,BV969=Driver!$H$51)</f>
        <v/>
      </c>
      <c r="E969" s="60">
        <f>AND(BX969&gt;Driver!$F$54,BX969&lt;Driver!$G$54)</f>
        <v/>
      </c>
      <c r="F969" s="60">
        <f>CL969&gt;Driver!$F$56</f>
        <v/>
      </c>
      <c r="G969" s="60">
        <f>AND(CB969&gt;Driver!$F$55,CB969&lt;Driver!$G$55)</f>
        <v/>
      </c>
      <c r="H969" s="60">
        <f>AND(B969:G969)</f>
        <v/>
      </c>
      <c r="I969" s="60">
        <f>COUNTIFS($H$9:$H$1273,TRUE,$BT$9:$BT$1273,BT969)</f>
        <v/>
      </c>
      <c r="J969" s="60">
        <f t="array" ref="J969">NOT(OR(($H$9:$H$1273=TRUE)*($I$9:$I$1273&gt;0)*($BT$9:$BT$1273=BT969)*($K$9:$K$1273&gt;K969)))</f>
        <v/>
      </c>
      <c r="K969" s="108">
        <f>IFERROR(1-AVERAGE(X969:Y969),"")</f>
        <v/>
      </c>
      <c r="L969" s="108">
        <f>1-X969</f>
        <v/>
      </c>
      <c r="M969" s="108">
        <f>1-Y969</f>
        <v/>
      </c>
      <c r="N969" s="108">
        <f>1-Z969</f>
        <v/>
      </c>
      <c r="O969" s="108">
        <f>1-AA969</f>
        <v/>
      </c>
      <c r="P969" s="108">
        <f>1-AB969</f>
        <v/>
      </c>
      <c r="Q969" s="108" t="n"/>
      <c r="R969" s="108" t="n"/>
      <c r="S969" s="108">
        <f>1-AE969</f>
        <v/>
      </c>
      <c r="T969" s="108">
        <f>1-AF969</f>
        <v/>
      </c>
      <c r="U969" s="108">
        <f>1-AG969</f>
        <v/>
      </c>
      <c r="V969" s="108">
        <f>1-AH969</f>
        <v/>
      </c>
      <c r="W969" s="108">
        <f>1-AI969</f>
        <v/>
      </c>
      <c r="X969" s="108">
        <f>ABS(AJ969-AJ$1)</f>
        <v/>
      </c>
      <c r="Y969" s="108">
        <f>AVERAGE(Z969:AB969)</f>
        <v/>
      </c>
      <c r="Z969" s="108">
        <f>ABS(AL969-AL$1)</f>
        <v/>
      </c>
      <c r="AA969" s="108">
        <f>ABS(AM969-AM$1)</f>
        <v/>
      </c>
      <c r="AB969" s="108">
        <f>ABS(AN969-AN$1)</f>
        <v/>
      </c>
      <c r="AC969" s="108" t="n"/>
      <c r="AD969" s="108" t="n"/>
      <c r="AE969" s="108">
        <f>ABS(AQ$1-AQ969)</f>
        <v/>
      </c>
      <c r="AF969" s="108">
        <f>ABS(AR$1-AR969)</f>
        <v/>
      </c>
      <c r="AG969" s="108">
        <f>ABS(AS$1-AS969)</f>
        <v/>
      </c>
      <c r="AH969" s="108">
        <f>ABS(AT$1-AT969)</f>
        <v/>
      </c>
      <c r="AI969" s="108">
        <f>ABS(AU$1-AU969)</f>
        <v/>
      </c>
      <c r="AJ969" s="108">
        <f>(AV969-Driver!$K$179)/(Driver!$L$179-Driver!$K$179)</f>
        <v/>
      </c>
      <c r="AK969" s="108">
        <f>(AW969-Driver!$K$180)/(Driver!$L$180-Driver!$K$180)</f>
        <v/>
      </c>
      <c r="AL969" s="108">
        <f>(AX969-Driver!$K$181)/(Driver!$L$181-Driver!$K$181)</f>
        <v/>
      </c>
      <c r="AM969" s="108">
        <f>(AY969-Driver!$K$182)/(Driver!$L$182-Driver!$K$182)</f>
        <v/>
      </c>
      <c r="AN969" s="108">
        <f>(AZ969-Driver!$K$183)/(Driver!$L$183-Driver!$K$183)</f>
        <v/>
      </c>
      <c r="AO969" s="108" t="n"/>
      <c r="AP969" s="108" t="n"/>
      <c r="AQ969" s="108">
        <f>(BC969-Driver!$K$188)/(Driver!$L$188-Driver!$K$188)</f>
        <v/>
      </c>
      <c r="AR969" s="108">
        <f>MIN((BD969-Driver!$K$189)/(Driver!$L$189-Driver!$K$189),100%)</f>
        <v/>
      </c>
      <c r="AS969" s="108">
        <f>(BE969-Driver!$K$190)/(Driver!$L$190-Driver!$K$190)</f>
        <v/>
      </c>
      <c r="AT969" s="108">
        <f>(BF969-Driver!$K$191)/(Driver!$L$191-Driver!$K$191)</f>
        <v/>
      </c>
      <c r="AU969" s="108">
        <f>(BG969-Driver!$K$192)/(Driver!$L$192-Driver!$K$192)</f>
        <v/>
      </c>
      <c r="AV969" s="105">
        <f>IFERROR(BM969*BJ969^1/4,"")</f>
        <v/>
      </c>
      <c r="AW969" s="105">
        <f>IFERROR(SUM(AX969:AZ969),"")</f>
        <v/>
      </c>
      <c r="AX969" s="105">
        <f>IFERROR(BH969,"")</f>
        <v/>
      </c>
      <c r="AY969" s="105">
        <f>IFERROR(Driver!$K$19/Data!BH969/Data!BI969*Data!BK969*Data!BL969,"")</f>
        <v/>
      </c>
      <c r="AZ969" s="105">
        <f>IFERROR(BI969*BN969,"")</f>
        <v/>
      </c>
      <c r="BA969" s="105" t="n"/>
      <c r="BB969" s="105" t="n"/>
      <c r="BC969" s="105">
        <f>IFERROR(BI969*BN969*BK969/BJ969^(1/2),"")</f>
        <v/>
      </c>
      <c r="BD969" s="105">
        <f>IFERROR(BH969*BM969*BL969/BJ969/BK969,"")</f>
        <v/>
      </c>
      <c r="BE969" s="105">
        <f>IFERROR(MIN(BI969/BQ969/BP969/BO969/BH969,$BE$1),"")</f>
        <v/>
      </c>
      <c r="BF969" s="105">
        <f>IFERROR(BJ969*BO969*BP969/BK969,"")</f>
        <v/>
      </c>
      <c r="BG969" s="105">
        <f>IFERROR(1/BM969/BH969*BQ969,"")</f>
        <v/>
      </c>
      <c r="BH969" s="102">
        <f>MAX((CE969-Driver!$F$200)/(Driver!$G$200-Driver!$F$200)*$BI$1,1)</f>
        <v/>
      </c>
      <c r="BI969" s="102">
        <f>MAX($BI$1*(BY969-Driver!$F$201)/(Driver!$G$201-Driver!$F$201),1)</f>
        <v/>
      </c>
      <c r="BJ969" s="102">
        <f>(CB969-Driver!$F$206)/(Driver!$G$206-Driver!$F$206)*$BI$1</f>
        <v/>
      </c>
      <c r="BK969" s="102">
        <f>(CD969-Driver!$F$203)/(Driver!$G$203-Driver!$F$203)*$BI$1</f>
        <v/>
      </c>
      <c r="BL969" s="102">
        <f>MAX((CR969-Driver!$F$202)/(Driver!$G$202-Driver!$F$202)*$BI$1,1)</f>
        <v/>
      </c>
      <c r="BM969" s="102">
        <f>MAX((CH969-Driver!$F$204)/(Driver!$G$204-Driver!$F$204)*$BI$1,1)</f>
        <v/>
      </c>
      <c r="BN969" s="102">
        <f>(CI969-Driver!$F$205)/(Driver!$G$205-Driver!$F$205)*$BI$1</f>
        <v/>
      </c>
      <c r="BO969" s="102">
        <f>(CK969-Driver!$F$207)/(Driver!$G$207-Driver!$F$207)*$BI$1</f>
        <v/>
      </c>
      <c r="BP969" s="102">
        <f>(CM969-Driver!$F$208)/(Driver!$G$208-Driver!$F$208)*$BI$1</f>
        <v/>
      </c>
      <c r="BQ969" s="102">
        <f>(CL969-Driver!$F$209)/(Driver!$G$209-Driver!$F$209)*$BI$1</f>
        <v/>
      </c>
      <c r="BR969" s="40" t="inlineStr">
        <is>
          <t>21/22</t>
        </is>
      </c>
      <c r="BS969" s="10" t="inlineStr">
        <is>
          <t xml:space="preserve"> Atomic</t>
        </is>
      </c>
      <c r="BT969" s="11" t="inlineStr">
        <is>
          <t>Bent Chetler 100</t>
        </is>
      </c>
      <c r="BU969" s="13" t="n">
        <v>188</v>
      </c>
      <c r="BV969" s="11" t="inlineStr">
        <is>
          <t xml:space="preserve"> Unisex</t>
        </is>
      </c>
      <c r="BW969" s="13" t="n">
        <v>188</v>
      </c>
      <c r="BX969" s="13" t="n">
        <v>187.2</v>
      </c>
      <c r="BY969" s="13" t="n">
        <v>144</v>
      </c>
      <c r="BZ969" s="13" t="n">
        <v>155</v>
      </c>
      <c r="CA969" s="13" t="n">
        <v>130</v>
      </c>
      <c r="CB969" s="13" t="n">
        <v>99</v>
      </c>
      <c r="CC969" s="13" t="n">
        <v>120</v>
      </c>
      <c r="CD969" s="13" t="n">
        <v>21</v>
      </c>
      <c r="CE969" s="13" t="n">
        <v>1877</v>
      </c>
      <c r="CF969" s="13" t="n">
        <v>1.07</v>
      </c>
      <c r="CG969" s="13" t="n">
        <v>2007</v>
      </c>
      <c r="CH969" s="13" t="n">
        <v>234</v>
      </c>
      <c r="CI969" s="13" t="n">
        <v>135</v>
      </c>
      <c r="CJ969" s="13" t="n">
        <v>41</v>
      </c>
      <c r="CK969" s="13" t="n">
        <v>270</v>
      </c>
      <c r="CL969" s="13" t="n">
        <v>27</v>
      </c>
      <c r="CM969" s="13" t="n">
        <v>165</v>
      </c>
      <c r="CN969" s="13" t="n">
        <v>0.665</v>
      </c>
      <c r="CO969" s="13" t="n">
        <v>176</v>
      </c>
      <c r="CP969" s="13" t="n">
        <v>149</v>
      </c>
      <c r="CQ969" s="13" t="n">
        <v>94</v>
      </c>
      <c r="CR969" s="13" t="n">
        <v>11</v>
      </c>
      <c r="CS969" s="13" t="n">
        <v>8.1</v>
      </c>
      <c r="CT969" s="11" t="inlineStr">
        <is>
          <t xml:space="preserve"> Resort Freeride</t>
        </is>
      </c>
      <c r="CU969" s="11" t="inlineStr">
        <is>
          <t xml:space="preserve"> Touring</t>
        </is>
      </c>
      <c r="CV969" s="13" t="n"/>
      <c r="CW969" s="13" t="n"/>
      <c r="CX969">
        <f>INDEX('Data_Price '!AG$2:AG$1266,MATCH(Data!$DN969,'Data_Price '!$AT$2:$AT$1266,0))</f>
        <v/>
      </c>
      <c r="CY969">
        <f>INDEX('Data_Price '!AH$2:AH$1266,MATCH(Data!$DN969,'Data_Price '!$AT$2:$AT$1266,0))</f>
        <v/>
      </c>
      <c r="CZ969">
        <f>INDEX('Data_Price '!AI$2:AI$1266,MATCH(Data!$DN969,'Data_Price '!$AT$2:$AT$1266,0))</f>
        <v/>
      </c>
      <c r="DA969">
        <f>INDEX('Data_Price '!AJ$2:AJ$1266,MATCH(Data!$DN969,'Data_Price '!$AT$2:$AT$1266,0))</f>
        <v/>
      </c>
      <c r="DB969">
        <f>INDEX('Data_Price '!AK$2:AK$1266,MATCH(Data!$DN969,'Data_Price '!$AT$2:$AT$1266,0))</f>
        <v/>
      </c>
      <c r="DC969">
        <f>INDEX('Data_Price '!AL$2:AL$1266,MATCH(Data!$DN969,'Data_Price '!$AT$2:$AT$1266,0))</f>
        <v/>
      </c>
      <c r="DD969">
        <f>INDEX('Data_Price '!AM$2:AM$1266,MATCH(Data!$DN969,'Data_Price '!$AT$2:$AT$1266,0))</f>
        <v/>
      </c>
      <c r="DE969">
        <f>INDEX('Data_Price '!AN$2:AN$1266,MATCH(Data!$DN969,'Data_Price '!$AT$2:$AT$1266,0))</f>
        <v/>
      </c>
      <c r="DF969">
        <f>INDEX('Data_Price '!AO$2:AO$1266,MATCH(Data!$DN969,'Data_Price '!$AT$2:$AT$1266,0))</f>
        <v/>
      </c>
      <c r="DG969">
        <f>INDEX('Data_Price '!AP$2:AP$1266,MATCH(Data!$DN969,'Data_Price '!$AT$2:$AT$1266,0))</f>
        <v/>
      </c>
      <c r="DH969">
        <f>INDEX('Data_Price '!AQ$2:AQ$1266,MATCH(Data!$DN969,'Data_Price '!$AT$2:$AT$1266,0))</f>
        <v/>
      </c>
      <c r="DI969">
        <f>INDEX('Data_Price '!AR$2:AR$1266,MATCH(Data!$DN969,'Data_Price '!$AT$2:$AT$1266,0))</f>
        <v/>
      </c>
      <c r="DJ969" s="138">
        <f>DA969</f>
        <v/>
      </c>
      <c r="DK969" s="138">
        <f>DE969</f>
        <v/>
      </c>
      <c r="DL969" s="138">
        <f>DI969</f>
        <v/>
      </c>
      <c r="DM969" s="303">
        <f>IF(LEFT(BT969,1)=" ",RIGHT(BT969,LEN(BT969)-1),BT969)</f>
        <v/>
      </c>
      <c r="DN969" s="138">
        <f>_xlfn.CONCAT(BS969,DM969,BU969,BV969)</f>
        <v/>
      </c>
      <c r="DO969" s="307" t="inlineStr">
        <is>
          <t>https://images.evo.com/imgp/250/197747/826833/atomic-bent-chetler-100-skis-2022-.jpg</t>
        </is>
      </c>
    </row>
    <row r="970" ht="15.6" customHeight="1" s="184">
      <c r="B970" s="303">
        <f t="array" ref="B970">IF(OR(ISERROR(K970:P970)),FALSE,TRUE)</f>
        <v/>
      </c>
      <c r="C970" s="60">
        <f>OR(BR970=Driver!$G$50,Data!BR609=Driver!$H$50)</f>
        <v/>
      </c>
      <c r="D970" s="60">
        <f>OR(BV970=Driver!$G$51,BV970=Driver!$H$51)</f>
        <v/>
      </c>
      <c r="E970" s="60">
        <f>AND(BX970&gt;Driver!$F$54,BX970&lt;Driver!$G$54)</f>
        <v/>
      </c>
      <c r="F970" s="60">
        <f>CL970&gt;Driver!$F$56</f>
        <v/>
      </c>
      <c r="G970" s="60">
        <f>AND(CB970&gt;Driver!$F$55,CB970&lt;Driver!$G$55)</f>
        <v/>
      </c>
      <c r="H970" s="60">
        <f>AND(B970:G970)</f>
        <v/>
      </c>
      <c r="I970" s="60">
        <f>COUNTIFS($H$9:$H$1273,TRUE,$BT$9:$BT$1273,BT970)</f>
        <v/>
      </c>
      <c r="J970" s="60">
        <f t="array" ref="J970">NOT(OR(($H$9:$H$1273=TRUE)*($I$9:$I$1273&gt;0)*($BT$9:$BT$1273=BT970)*($K$9:$K$1273&gt;K970)))</f>
        <v/>
      </c>
      <c r="K970" s="108">
        <f>IFERROR(1-AVERAGE(X970:Y970),"")</f>
        <v/>
      </c>
      <c r="L970" s="108">
        <f>1-X970</f>
        <v/>
      </c>
      <c r="M970" s="108">
        <f>1-Y970</f>
        <v/>
      </c>
      <c r="N970" s="108">
        <f>1-Z970</f>
        <v/>
      </c>
      <c r="O970" s="108">
        <f>1-AA970</f>
        <v/>
      </c>
      <c r="P970" s="108">
        <f>1-AB970</f>
        <v/>
      </c>
      <c r="Q970" s="108" t="n"/>
      <c r="R970" s="108" t="n"/>
      <c r="S970" s="108">
        <f>1-AE970</f>
        <v/>
      </c>
      <c r="T970" s="108">
        <f>1-AF970</f>
        <v/>
      </c>
      <c r="U970" s="108">
        <f>1-AG970</f>
        <v/>
      </c>
      <c r="V970" s="108">
        <f>1-AH970</f>
        <v/>
      </c>
      <c r="W970" s="108">
        <f>1-AI970</f>
        <v/>
      </c>
      <c r="X970" s="108">
        <f>ABS(AJ970-AJ$1)</f>
        <v/>
      </c>
      <c r="Y970" s="108">
        <f>AVERAGE(Z970:AB970)</f>
        <v/>
      </c>
      <c r="Z970" s="108">
        <f>ABS(AL970-AL$1)</f>
        <v/>
      </c>
      <c r="AA970" s="108">
        <f>ABS(AM970-AM$1)</f>
        <v/>
      </c>
      <c r="AB970" s="108">
        <f>ABS(AN970-AN$1)</f>
        <v/>
      </c>
      <c r="AC970" s="108" t="n"/>
      <c r="AD970" s="108" t="n"/>
      <c r="AE970" s="108">
        <f>ABS(AQ$1-AQ970)</f>
        <v/>
      </c>
      <c r="AF970" s="108">
        <f>ABS(AR$1-AR970)</f>
        <v/>
      </c>
      <c r="AG970" s="108">
        <f>ABS(AS$1-AS970)</f>
        <v/>
      </c>
      <c r="AH970" s="108">
        <f>ABS(AT$1-AT970)</f>
        <v/>
      </c>
      <c r="AI970" s="108">
        <f>ABS(AU$1-AU970)</f>
        <v/>
      </c>
      <c r="AJ970" s="108">
        <f>(AV970-Driver!$K$179)/(Driver!$L$179-Driver!$K$179)</f>
        <v/>
      </c>
      <c r="AK970" s="108">
        <f>(AW970-Driver!$K$180)/(Driver!$L$180-Driver!$K$180)</f>
        <v/>
      </c>
      <c r="AL970" s="108">
        <f>(AX970-Driver!$K$181)/(Driver!$L$181-Driver!$K$181)</f>
        <v/>
      </c>
      <c r="AM970" s="108">
        <f>(AY970-Driver!$K$182)/(Driver!$L$182-Driver!$K$182)</f>
        <v/>
      </c>
      <c r="AN970" s="108">
        <f>(AZ970-Driver!$K$183)/(Driver!$L$183-Driver!$K$183)</f>
        <v/>
      </c>
      <c r="AO970" s="108" t="n"/>
      <c r="AP970" s="108" t="n"/>
      <c r="AQ970" s="108">
        <f>(BC970-Driver!$K$188)/(Driver!$L$188-Driver!$K$188)</f>
        <v/>
      </c>
      <c r="AR970" s="108">
        <f>MIN((BD970-Driver!$K$189)/(Driver!$L$189-Driver!$K$189),100%)</f>
        <v/>
      </c>
      <c r="AS970" s="108">
        <f>(BE970-Driver!$K$190)/(Driver!$L$190-Driver!$K$190)</f>
        <v/>
      </c>
      <c r="AT970" s="108">
        <f>(BF970-Driver!$K$191)/(Driver!$L$191-Driver!$K$191)</f>
        <v/>
      </c>
      <c r="AU970" s="108">
        <f>(BG970-Driver!$K$192)/(Driver!$L$192-Driver!$K$192)</f>
        <v/>
      </c>
      <c r="AV970" s="105">
        <f>IFERROR(BM970*BJ970^1/4,"")</f>
        <v/>
      </c>
      <c r="AW970" s="105">
        <f>IFERROR(SUM(AX970:AZ970),"")</f>
        <v/>
      </c>
      <c r="AX970" s="105">
        <f>IFERROR(BH970,"")</f>
        <v/>
      </c>
      <c r="AY970" s="105">
        <f>IFERROR(Driver!$K$19/Data!BH970/Data!BI970*Data!BK970*Data!BL970,"")</f>
        <v/>
      </c>
      <c r="AZ970" s="105">
        <f>IFERROR(BI970*BN970,"")</f>
        <v/>
      </c>
      <c r="BA970" s="105" t="n"/>
      <c r="BB970" s="105" t="n"/>
      <c r="BC970" s="105">
        <f>IFERROR(BI970*BN970*BK970/BJ970^(1/2),"")</f>
        <v/>
      </c>
      <c r="BD970" s="105">
        <f>IFERROR(BH970*BM970*BL970/BJ970/BK970,"")</f>
        <v/>
      </c>
      <c r="BE970" s="105">
        <f>IFERROR(MIN(BI970/BQ970/BP970/BO970/BH970,$BE$1),"")</f>
        <v/>
      </c>
      <c r="BF970" s="105">
        <f>IFERROR(BJ970*BO970*BP970/BK970,"")</f>
        <v/>
      </c>
      <c r="BG970" s="105">
        <f>IFERROR(1/BM970/BH970*BQ970,"")</f>
        <v/>
      </c>
      <c r="BH970" s="102">
        <f>MAX((CE970-Driver!$F$200)/(Driver!$G$200-Driver!$F$200)*$BI$1,1)</f>
        <v/>
      </c>
      <c r="BI970" s="102">
        <f>MAX($BI$1*(BY970-Driver!$F$201)/(Driver!$G$201-Driver!$F$201),1)</f>
        <v/>
      </c>
      <c r="BJ970" s="102">
        <f>(CB970-Driver!$F$206)/(Driver!$G$206-Driver!$F$206)*$BI$1</f>
        <v/>
      </c>
      <c r="BK970" s="102">
        <f>(CD970-Driver!$F$203)/(Driver!$G$203-Driver!$F$203)*$BI$1</f>
        <v/>
      </c>
      <c r="BL970" s="102">
        <f>MAX((CR970-Driver!$F$202)/(Driver!$G$202-Driver!$F$202)*$BI$1,1)</f>
        <v/>
      </c>
      <c r="BM970" s="102">
        <f>MAX((CH970-Driver!$F$204)/(Driver!$G$204-Driver!$F$204)*$BI$1,1)</f>
        <v/>
      </c>
      <c r="BN970" s="102">
        <f>(CI970-Driver!$F$205)/(Driver!$G$205-Driver!$F$205)*$BI$1</f>
        <v/>
      </c>
      <c r="BO970" s="102">
        <f>(CK970-Driver!$F$207)/(Driver!$G$207-Driver!$F$207)*$BI$1</f>
        <v/>
      </c>
      <c r="BP970" s="102">
        <f>(CM970-Driver!$F$208)/(Driver!$G$208-Driver!$F$208)*$BI$1</f>
        <v/>
      </c>
      <c r="BQ970" s="102">
        <f>(CL970-Driver!$F$209)/(Driver!$G$209-Driver!$F$209)*$BI$1</f>
        <v/>
      </c>
      <c r="BR970" s="40" t="inlineStr">
        <is>
          <t>21/22</t>
        </is>
      </c>
      <c r="BS970" s="10" t="inlineStr">
        <is>
          <t xml:space="preserve"> Head</t>
        </is>
      </c>
      <c r="BT970" s="11" t="inlineStr">
        <is>
          <t>Kore 80 X</t>
        </is>
      </c>
      <c r="BU970" s="13" t="n">
        <v>156</v>
      </c>
      <c r="BV970" s="11" t="inlineStr">
        <is>
          <t xml:space="preserve"> Unisex</t>
        </is>
      </c>
      <c r="BW970" s="13" t="n">
        <v>156</v>
      </c>
      <c r="BX970" s="13" t="n">
        <v>155.1</v>
      </c>
      <c r="BY970" s="13" t="n">
        <v>127</v>
      </c>
      <c r="BZ970" s="13" t="n">
        <v>131</v>
      </c>
      <c r="CA970" s="13" t="n">
        <v>122</v>
      </c>
      <c r="CB970" s="13" t="n">
        <v>77</v>
      </c>
      <c r="CC970" s="13" t="n">
        <v>102</v>
      </c>
      <c r="CD970" s="13" t="n">
        <v>10.9</v>
      </c>
      <c r="CE970" s="13" t="n">
        <v>1671</v>
      </c>
      <c r="CF970" s="13" t="n">
        <v>0.86</v>
      </c>
      <c r="CG970" s="13" t="n">
        <v>1429</v>
      </c>
      <c r="CH970" s="13" t="n">
        <v>124</v>
      </c>
      <c r="CI970" s="13" t="n">
        <v>65</v>
      </c>
      <c r="CJ970" s="13" t="n">
        <v>41</v>
      </c>
      <c r="CK970" s="13" t="n">
        <v>200</v>
      </c>
      <c r="CL970" s="13" t="n">
        <v>7</v>
      </c>
      <c r="CM970" s="13" t="n">
        <v>84</v>
      </c>
      <c r="CN970" s="13" t="n">
        <v>0.171</v>
      </c>
      <c r="CO970" s="13" t="n">
        <v>126</v>
      </c>
      <c r="CP970" s="13" t="n">
        <v>114</v>
      </c>
      <c r="CQ970" s="13" t="n">
        <v>73</v>
      </c>
      <c r="CR970" s="13" t="n">
        <v>12</v>
      </c>
      <c r="CS970" s="13" t="n">
        <v>9.300000000000001</v>
      </c>
      <c r="CT970" s="11" t="inlineStr">
        <is>
          <t xml:space="preserve"> On-Piste Carving</t>
        </is>
      </c>
      <c r="CU970" s="11" t="inlineStr">
        <is>
          <t xml:space="preserve"> On-Piste All-Mountain</t>
        </is>
      </c>
      <c r="CV970" s="13" t="n"/>
      <c r="CW970" s="13" t="n"/>
      <c r="CX970">
        <f>INDEX('Data_Price '!AG$2:AG$1266,MATCH(Data!$DN970,'Data_Price '!$AT$2:$AT$1266,0))</f>
        <v/>
      </c>
      <c r="CY970">
        <f>INDEX('Data_Price '!AH$2:AH$1266,MATCH(Data!$DN970,'Data_Price '!$AT$2:$AT$1266,0))</f>
        <v/>
      </c>
      <c r="CZ970">
        <f>INDEX('Data_Price '!AI$2:AI$1266,MATCH(Data!$DN970,'Data_Price '!$AT$2:$AT$1266,0))</f>
        <v/>
      </c>
      <c r="DA970">
        <f>INDEX('Data_Price '!AJ$2:AJ$1266,MATCH(Data!$DN970,'Data_Price '!$AT$2:$AT$1266,0))</f>
        <v/>
      </c>
      <c r="DB970">
        <f>INDEX('Data_Price '!AK$2:AK$1266,MATCH(Data!$DN970,'Data_Price '!$AT$2:$AT$1266,0))</f>
        <v/>
      </c>
      <c r="DC970">
        <f>INDEX('Data_Price '!AL$2:AL$1266,MATCH(Data!$DN970,'Data_Price '!$AT$2:$AT$1266,0))</f>
        <v/>
      </c>
      <c r="DD970">
        <f>INDEX('Data_Price '!AM$2:AM$1266,MATCH(Data!$DN970,'Data_Price '!$AT$2:$AT$1266,0))</f>
        <v/>
      </c>
      <c r="DE970">
        <f>INDEX('Data_Price '!AN$2:AN$1266,MATCH(Data!$DN970,'Data_Price '!$AT$2:$AT$1266,0))</f>
        <v/>
      </c>
      <c r="DF970">
        <f>INDEX('Data_Price '!AO$2:AO$1266,MATCH(Data!$DN970,'Data_Price '!$AT$2:$AT$1266,0))</f>
        <v/>
      </c>
      <c r="DG970">
        <f>INDEX('Data_Price '!AP$2:AP$1266,MATCH(Data!$DN970,'Data_Price '!$AT$2:$AT$1266,0))</f>
        <v/>
      </c>
      <c r="DH970">
        <f>INDEX('Data_Price '!AQ$2:AQ$1266,MATCH(Data!$DN970,'Data_Price '!$AT$2:$AT$1266,0))</f>
        <v/>
      </c>
      <c r="DI970">
        <f>INDEX('Data_Price '!AR$2:AR$1266,MATCH(Data!$DN970,'Data_Price '!$AT$2:$AT$1266,0))</f>
        <v/>
      </c>
      <c r="DJ970" s="138">
        <f>DA970</f>
        <v/>
      </c>
      <c r="DK970" s="138">
        <f>DE970</f>
        <v/>
      </c>
      <c r="DL970" s="138">
        <f>DI970</f>
        <v/>
      </c>
      <c r="DM970" s="303">
        <f>IF(LEFT(BT970,1)=" ",RIGHT(BT970,LEN(BT970)-1),BT970)</f>
        <v/>
      </c>
      <c r="DN970" s="138">
        <f>_xlfn.CONCAT(BS970,DM970,BU970,BV970)</f>
        <v/>
      </c>
      <c r="DO970" s="307" t="n"/>
    </row>
    <row r="971" ht="15.6" customHeight="1" s="184">
      <c r="B971" s="303">
        <f t="array" ref="B971">IF(OR(ISERROR(K971:P971)),FALSE,TRUE)</f>
        <v/>
      </c>
      <c r="C971" s="60">
        <f>OR(BR971=Driver!$G$50,Data!BR220=Driver!$H$50)</f>
        <v/>
      </c>
      <c r="D971" s="60">
        <f>OR(BV971=Driver!$G$51,BV971=Driver!$H$51)</f>
        <v/>
      </c>
      <c r="E971" s="60">
        <f>AND(BX971&gt;Driver!$F$54,BX971&lt;Driver!$G$54)</f>
        <v/>
      </c>
      <c r="F971" s="60">
        <f>CL971&gt;Driver!$F$56</f>
        <v/>
      </c>
      <c r="G971" s="60">
        <f>AND(CB971&gt;Driver!$F$55,CB971&lt;Driver!$G$55)</f>
        <v/>
      </c>
      <c r="H971" s="60">
        <f>AND(B971:G971)</f>
        <v/>
      </c>
      <c r="I971" s="60">
        <f>COUNTIFS($H$9:$H$1273,TRUE,$BT$9:$BT$1273,BT971)</f>
        <v/>
      </c>
      <c r="J971" s="60">
        <f t="array" ref="J971">NOT(OR(($H$9:$H$1273=TRUE)*($I$9:$I$1273&gt;0)*($BT$9:$BT$1273=BT971)*($K$9:$K$1273&gt;K971)))</f>
        <v/>
      </c>
      <c r="K971" s="108">
        <f>IFERROR(1-AVERAGE(X971:Y971),"")</f>
        <v/>
      </c>
      <c r="L971" s="108">
        <f>1-X971</f>
        <v/>
      </c>
      <c r="M971" s="108">
        <f>1-Y971</f>
        <v/>
      </c>
      <c r="N971" s="108">
        <f>1-Z971</f>
        <v/>
      </c>
      <c r="O971" s="108">
        <f>1-AA971</f>
        <v/>
      </c>
      <c r="P971" s="108">
        <f>1-AB971</f>
        <v/>
      </c>
      <c r="Q971" s="108" t="n"/>
      <c r="R971" s="108" t="n"/>
      <c r="S971" s="108">
        <f>1-AE971</f>
        <v/>
      </c>
      <c r="T971" s="108">
        <f>1-AF971</f>
        <v/>
      </c>
      <c r="U971" s="108">
        <f>1-AG971</f>
        <v/>
      </c>
      <c r="V971" s="108">
        <f>1-AH971</f>
        <v/>
      </c>
      <c r="W971" s="108">
        <f>1-AI971</f>
        <v/>
      </c>
      <c r="X971" s="108">
        <f>ABS(AJ971-AJ$1)</f>
        <v/>
      </c>
      <c r="Y971" s="108">
        <f>AVERAGE(Z971:AB971)</f>
        <v/>
      </c>
      <c r="Z971" s="108">
        <f>ABS(AL971-AL$1)</f>
        <v/>
      </c>
      <c r="AA971" s="108">
        <f>ABS(AM971-AM$1)</f>
        <v/>
      </c>
      <c r="AB971" s="108">
        <f>ABS(AN971-AN$1)</f>
        <v/>
      </c>
      <c r="AC971" s="108" t="n"/>
      <c r="AD971" s="108" t="n"/>
      <c r="AE971" s="108">
        <f>ABS(AQ$1-AQ971)</f>
        <v/>
      </c>
      <c r="AF971" s="108">
        <f>ABS(AR$1-AR971)</f>
        <v/>
      </c>
      <c r="AG971" s="108">
        <f>ABS(AS$1-AS971)</f>
        <v/>
      </c>
      <c r="AH971" s="108">
        <f>ABS(AT$1-AT971)</f>
        <v/>
      </c>
      <c r="AI971" s="108">
        <f>ABS(AU$1-AU971)</f>
        <v/>
      </c>
      <c r="AJ971" s="108">
        <f>(AV971-Driver!$K$179)/(Driver!$L$179-Driver!$K$179)</f>
        <v/>
      </c>
      <c r="AK971" s="108">
        <f>(AW971-Driver!$K$180)/(Driver!$L$180-Driver!$K$180)</f>
        <v/>
      </c>
      <c r="AL971" s="108">
        <f>(AX971-Driver!$K$181)/(Driver!$L$181-Driver!$K$181)</f>
        <v/>
      </c>
      <c r="AM971" s="108">
        <f>(AY971-Driver!$K$182)/(Driver!$L$182-Driver!$K$182)</f>
        <v/>
      </c>
      <c r="AN971" s="108">
        <f>(AZ971-Driver!$K$183)/(Driver!$L$183-Driver!$K$183)</f>
        <v/>
      </c>
      <c r="AO971" s="108" t="n"/>
      <c r="AP971" s="108" t="n"/>
      <c r="AQ971" s="108">
        <f>(BC971-Driver!$K$188)/(Driver!$L$188-Driver!$K$188)</f>
        <v/>
      </c>
      <c r="AR971" s="108">
        <f>MIN((BD971-Driver!$K$189)/(Driver!$L$189-Driver!$K$189),100%)</f>
        <v/>
      </c>
      <c r="AS971" s="108">
        <f>(BE971-Driver!$K$190)/(Driver!$L$190-Driver!$K$190)</f>
        <v/>
      </c>
      <c r="AT971" s="108">
        <f>(BF971-Driver!$K$191)/(Driver!$L$191-Driver!$K$191)</f>
        <v/>
      </c>
      <c r="AU971" s="108">
        <f>(BG971-Driver!$K$192)/(Driver!$L$192-Driver!$K$192)</f>
        <v/>
      </c>
      <c r="AV971" s="105">
        <f>IFERROR(BM971*BJ971^1/4,"")</f>
        <v/>
      </c>
      <c r="AW971" s="105">
        <f>IFERROR(SUM(AX971:AZ971),"")</f>
        <v/>
      </c>
      <c r="AX971" s="105">
        <f>IFERROR(BH971,"")</f>
        <v/>
      </c>
      <c r="AY971" s="105">
        <f>IFERROR(Driver!$K$19/Data!BH971/Data!BI971*Data!BK971*Data!BL971,"")</f>
        <v/>
      </c>
      <c r="AZ971" s="105">
        <f>IFERROR(BI971*BN971,"")</f>
        <v/>
      </c>
      <c r="BA971" s="105" t="n"/>
      <c r="BB971" s="105" t="n"/>
      <c r="BC971" s="105">
        <f>IFERROR(BI971*BN971*BK971/BJ971^(1/2),"")</f>
        <v/>
      </c>
      <c r="BD971" s="105">
        <f>IFERROR(BH971*BM971*BL971/BJ971/BK971,"")</f>
        <v/>
      </c>
      <c r="BE971" s="105">
        <f>IFERROR(MIN(BI971/BQ971/BP971/BO971/BH971,$BE$1),"")</f>
        <v/>
      </c>
      <c r="BF971" s="105">
        <f>IFERROR(BJ971*BO971*BP971/BK971,"")</f>
        <v/>
      </c>
      <c r="BG971" s="105">
        <f>IFERROR(1/BM971/BH971*BQ971,"")</f>
        <v/>
      </c>
      <c r="BH971" s="102">
        <f>MAX((CE971-Driver!$F$200)/(Driver!$G$200-Driver!$F$200)*$BI$1,1)</f>
        <v/>
      </c>
      <c r="BI971" s="102">
        <f>MAX($BI$1*(BY971-Driver!$F$201)/(Driver!$G$201-Driver!$F$201),1)</f>
        <v/>
      </c>
      <c r="BJ971" s="102">
        <f>(CB971-Driver!$F$206)/(Driver!$G$206-Driver!$F$206)*$BI$1</f>
        <v/>
      </c>
      <c r="BK971" s="102">
        <f>(CD971-Driver!$F$203)/(Driver!$G$203-Driver!$F$203)*$BI$1</f>
        <v/>
      </c>
      <c r="BL971" s="102">
        <f>MAX((CR971-Driver!$F$202)/(Driver!$G$202-Driver!$F$202)*$BI$1,1)</f>
        <v/>
      </c>
      <c r="BM971" s="102">
        <f>MAX((CH971-Driver!$F$204)/(Driver!$G$204-Driver!$F$204)*$BI$1,1)</f>
        <v/>
      </c>
      <c r="BN971" s="102">
        <f>(CI971-Driver!$F$205)/(Driver!$G$205-Driver!$F$205)*$BI$1</f>
        <v/>
      </c>
      <c r="BO971" s="102">
        <f>(CK971-Driver!$F$207)/(Driver!$G$207-Driver!$F$207)*$BI$1</f>
        <v/>
      </c>
      <c r="BP971" s="102">
        <f>(CM971-Driver!$F$208)/(Driver!$G$208-Driver!$F$208)*$BI$1</f>
        <v/>
      </c>
      <c r="BQ971" s="102">
        <f>(CL971-Driver!$F$209)/(Driver!$G$209-Driver!$F$209)*$BI$1</f>
        <v/>
      </c>
      <c r="BR971" s="40" t="inlineStr">
        <is>
          <t>21/22</t>
        </is>
      </c>
      <c r="BS971" s="10" t="inlineStr">
        <is>
          <t xml:space="preserve"> Black Crows</t>
        </is>
      </c>
      <c r="BT971" s="11" t="inlineStr">
        <is>
          <t xml:space="preserve"> Corvus Freebird</t>
        </is>
      </c>
      <c r="BU971" s="13" t="n">
        <v>188.2</v>
      </c>
      <c r="BV971" s="11" t="inlineStr">
        <is>
          <t xml:space="preserve"> Unisex</t>
        </is>
      </c>
      <c r="BW971" s="13" t="n">
        <v>188.2</v>
      </c>
      <c r="BX971" s="13" t="n">
        <v>187.1</v>
      </c>
      <c r="BY971" s="13" t="n">
        <v>153</v>
      </c>
      <c r="BZ971" s="13" t="n">
        <v>151</v>
      </c>
      <c r="CA971" s="13" t="n">
        <v>142</v>
      </c>
      <c r="CB971" s="13" t="n">
        <v>105</v>
      </c>
      <c r="CC971" s="13" t="n">
        <v>119</v>
      </c>
      <c r="CD971" s="13" t="n">
        <v>21.2</v>
      </c>
      <c r="CE971" s="13" t="n">
        <v>1929</v>
      </c>
      <c r="CF971" s="13" t="n">
        <v>1.13</v>
      </c>
      <c r="CG971" s="13" t="n">
        <v>2173</v>
      </c>
      <c r="CH971" s="13" t="n">
        <v>228</v>
      </c>
      <c r="CI971" s="13" t="n">
        <v>126</v>
      </c>
      <c r="CJ971" s="13" t="n">
        <v>44</v>
      </c>
      <c r="CK971" s="13" t="n">
        <v>279</v>
      </c>
      <c r="CL971" s="13" t="n">
        <v>2</v>
      </c>
      <c r="CM971" s="13" t="n">
        <v>66</v>
      </c>
      <c r="CN971" s="13" t="n">
        <v>0.055</v>
      </c>
      <c r="CO971" s="13" t="n">
        <v>205</v>
      </c>
      <c r="CP971" s="13" t="n">
        <v>156</v>
      </c>
      <c r="CQ971" s="13" t="n">
        <v>74</v>
      </c>
      <c r="CR971" s="13" t="n">
        <v>9</v>
      </c>
      <c r="CS971" s="13" t="n">
        <v>10.6</v>
      </c>
      <c r="CT971" s="11" t="inlineStr">
        <is>
          <t xml:space="preserve"> Big Mountain</t>
        </is>
      </c>
      <c r="CU971" s="11" t="inlineStr">
        <is>
          <t xml:space="preserve"> Touring</t>
        </is>
      </c>
      <c r="CV971" s="13" t="n"/>
      <c r="CW971" s="13" t="n"/>
      <c r="CX971">
        <f>INDEX('Data_Price '!AG$2:AG$1266,MATCH(Data!$DN971,'Data_Price '!$AT$2:$AT$1266,0))</f>
        <v/>
      </c>
      <c r="CY971">
        <f>INDEX('Data_Price '!AH$2:AH$1266,MATCH(Data!$DN971,'Data_Price '!$AT$2:$AT$1266,0))</f>
        <v/>
      </c>
      <c r="CZ971">
        <f>INDEX('Data_Price '!AI$2:AI$1266,MATCH(Data!$DN971,'Data_Price '!$AT$2:$AT$1266,0))</f>
        <v/>
      </c>
      <c r="DA971">
        <f>INDEX('Data_Price '!AJ$2:AJ$1266,MATCH(Data!$DN971,'Data_Price '!$AT$2:$AT$1266,0))</f>
        <v/>
      </c>
      <c r="DB971">
        <f>INDEX('Data_Price '!AK$2:AK$1266,MATCH(Data!$DN971,'Data_Price '!$AT$2:$AT$1266,0))</f>
        <v/>
      </c>
      <c r="DC971">
        <f>INDEX('Data_Price '!AL$2:AL$1266,MATCH(Data!$DN971,'Data_Price '!$AT$2:$AT$1266,0))</f>
        <v/>
      </c>
      <c r="DD971">
        <f>INDEX('Data_Price '!AM$2:AM$1266,MATCH(Data!$DN971,'Data_Price '!$AT$2:$AT$1266,0))</f>
        <v/>
      </c>
      <c r="DE971">
        <f>INDEX('Data_Price '!AN$2:AN$1266,MATCH(Data!$DN971,'Data_Price '!$AT$2:$AT$1266,0))</f>
        <v/>
      </c>
      <c r="DF971">
        <f>INDEX('Data_Price '!AO$2:AO$1266,MATCH(Data!$DN971,'Data_Price '!$AT$2:$AT$1266,0))</f>
        <v/>
      </c>
      <c r="DG971">
        <f>INDEX('Data_Price '!AP$2:AP$1266,MATCH(Data!$DN971,'Data_Price '!$AT$2:$AT$1266,0))</f>
        <v/>
      </c>
      <c r="DH971">
        <f>INDEX('Data_Price '!AQ$2:AQ$1266,MATCH(Data!$DN971,'Data_Price '!$AT$2:$AT$1266,0))</f>
        <v/>
      </c>
      <c r="DI971">
        <f>INDEX('Data_Price '!AR$2:AR$1266,MATCH(Data!$DN971,'Data_Price '!$AT$2:$AT$1266,0))</f>
        <v/>
      </c>
      <c r="DJ971" s="138">
        <f>DA971</f>
        <v/>
      </c>
      <c r="DK971" s="138">
        <f>DE971</f>
        <v/>
      </c>
      <c r="DL971" s="138">
        <f>DI971</f>
        <v/>
      </c>
      <c r="DM971" s="303">
        <f>IF(LEFT(BT971,1)=" ",RIGHT(BT971,LEN(BT971)-1),BT971)</f>
        <v/>
      </c>
      <c r="DN971" s="138">
        <f>_xlfn.CONCAT(BS971,DM971,BU971,BV971)</f>
        <v/>
      </c>
      <c r="DO971" s="307" t="inlineStr">
        <is>
          <t>https://images.evo.com/imgp/250/181609/727269/black-crows-corvus-freebird-skis-2022-.jpg</t>
        </is>
      </c>
    </row>
    <row r="972" ht="15.6" customHeight="1" s="184">
      <c r="B972" s="303">
        <f t="array" ref="B972">IF(OR(ISERROR(K972:P972)),FALSE,TRUE)</f>
        <v/>
      </c>
      <c r="C972" s="60">
        <f>OR(BR972=Driver!$G$50,Data!BR458=Driver!$H$50)</f>
        <v/>
      </c>
      <c r="D972" s="60">
        <f>OR(BV972=Driver!$G$51,BV972=Driver!$H$51)</f>
        <v/>
      </c>
      <c r="E972" s="60">
        <f>AND(BX972&gt;Driver!$F$54,BX972&lt;Driver!$G$54)</f>
        <v/>
      </c>
      <c r="F972" s="60">
        <f>CL972&gt;Driver!$F$56</f>
        <v/>
      </c>
      <c r="G972" s="60">
        <f>AND(CB972&gt;Driver!$F$55,CB972&lt;Driver!$G$55)</f>
        <v/>
      </c>
      <c r="H972" s="60">
        <f>AND(B972:G972)</f>
        <v/>
      </c>
      <c r="I972" s="60">
        <f>COUNTIFS($H$9:$H$1273,TRUE,$BT$9:$BT$1273,BT972)</f>
        <v/>
      </c>
      <c r="J972" s="60">
        <f t="array" ref="J972">NOT(OR(($H$9:$H$1273=TRUE)*($I$9:$I$1273&gt;0)*($BT$9:$BT$1273=BT972)*($K$9:$K$1273&gt;K972)))</f>
        <v/>
      </c>
      <c r="K972" s="108">
        <f>IFERROR(1-AVERAGE(X972:Y972),"")</f>
        <v/>
      </c>
      <c r="L972" s="108">
        <f>1-X972</f>
        <v/>
      </c>
      <c r="M972" s="108">
        <f>1-Y972</f>
        <v/>
      </c>
      <c r="N972" s="108">
        <f>1-Z972</f>
        <v/>
      </c>
      <c r="O972" s="108">
        <f>1-AA972</f>
        <v/>
      </c>
      <c r="P972" s="108">
        <f>1-AB972</f>
        <v/>
      </c>
      <c r="Q972" s="108" t="n"/>
      <c r="R972" s="108" t="n"/>
      <c r="S972" s="108">
        <f>1-AE972</f>
        <v/>
      </c>
      <c r="T972" s="108">
        <f>1-AF972</f>
        <v/>
      </c>
      <c r="U972" s="108">
        <f>1-AG972</f>
        <v/>
      </c>
      <c r="V972" s="108">
        <f>1-AH972</f>
        <v/>
      </c>
      <c r="W972" s="108">
        <f>1-AI972</f>
        <v/>
      </c>
      <c r="X972" s="108">
        <f>ABS(AJ972-AJ$1)</f>
        <v/>
      </c>
      <c r="Y972" s="108">
        <f>AVERAGE(Z972:AB972)</f>
        <v/>
      </c>
      <c r="Z972" s="108">
        <f>ABS(AL972-AL$1)</f>
        <v/>
      </c>
      <c r="AA972" s="108">
        <f>ABS(AM972-AM$1)</f>
        <v/>
      </c>
      <c r="AB972" s="108">
        <f>ABS(AN972-AN$1)</f>
        <v/>
      </c>
      <c r="AC972" s="108" t="n"/>
      <c r="AD972" s="108" t="n"/>
      <c r="AE972" s="108">
        <f>ABS(AQ$1-AQ972)</f>
        <v/>
      </c>
      <c r="AF972" s="108">
        <f>ABS(AR$1-AR972)</f>
        <v/>
      </c>
      <c r="AG972" s="108">
        <f>ABS(AS$1-AS972)</f>
        <v/>
      </c>
      <c r="AH972" s="108">
        <f>ABS(AT$1-AT972)</f>
        <v/>
      </c>
      <c r="AI972" s="108">
        <f>ABS(AU$1-AU972)</f>
        <v/>
      </c>
      <c r="AJ972" s="108">
        <f>(AV972-Driver!$K$179)/(Driver!$L$179-Driver!$K$179)</f>
        <v/>
      </c>
      <c r="AK972" s="108">
        <f>(AW972-Driver!$K$180)/(Driver!$L$180-Driver!$K$180)</f>
        <v/>
      </c>
      <c r="AL972" s="108">
        <f>(AX972-Driver!$K$181)/(Driver!$L$181-Driver!$K$181)</f>
        <v/>
      </c>
      <c r="AM972" s="108">
        <f>(AY972-Driver!$K$182)/(Driver!$L$182-Driver!$K$182)</f>
        <v/>
      </c>
      <c r="AN972" s="108">
        <f>(AZ972-Driver!$K$183)/(Driver!$L$183-Driver!$K$183)</f>
        <v/>
      </c>
      <c r="AO972" s="108" t="n"/>
      <c r="AP972" s="108" t="n"/>
      <c r="AQ972" s="108">
        <f>(BC972-Driver!$K$188)/(Driver!$L$188-Driver!$K$188)</f>
        <v/>
      </c>
      <c r="AR972" s="108">
        <f>MIN((BD972-Driver!$K$189)/(Driver!$L$189-Driver!$K$189),100%)</f>
        <v/>
      </c>
      <c r="AS972" s="108">
        <f>(BE972-Driver!$K$190)/(Driver!$L$190-Driver!$K$190)</f>
        <v/>
      </c>
      <c r="AT972" s="108">
        <f>(BF972-Driver!$K$191)/(Driver!$L$191-Driver!$K$191)</f>
        <v/>
      </c>
      <c r="AU972" s="108">
        <f>(BG972-Driver!$K$192)/(Driver!$L$192-Driver!$K$192)</f>
        <v/>
      </c>
      <c r="AV972" s="105">
        <f>IFERROR(BM972*BJ972^1/4,"")</f>
        <v/>
      </c>
      <c r="AW972" s="105">
        <f>IFERROR(SUM(AX972:AZ972),"")</f>
        <v/>
      </c>
      <c r="AX972" s="105">
        <f>IFERROR(BH972,"")</f>
        <v/>
      </c>
      <c r="AY972" s="105">
        <f>IFERROR(Driver!$K$19/Data!BH972/Data!BI972*Data!BK972*Data!BL972,"")</f>
        <v/>
      </c>
      <c r="AZ972" s="105">
        <f>IFERROR(BI972*BN972,"")</f>
        <v/>
      </c>
      <c r="BA972" s="105" t="n"/>
      <c r="BB972" s="105" t="n"/>
      <c r="BC972" s="105">
        <f>IFERROR(BI972*BN972*BK972/BJ972^(1/2),"")</f>
        <v/>
      </c>
      <c r="BD972" s="105">
        <f>IFERROR(BH972*BM972*BL972/BJ972/BK972,"")</f>
        <v/>
      </c>
      <c r="BE972" s="105">
        <f>IFERROR(MIN(BI972/BQ972/BP972/BO972/BH972,$BE$1),"")</f>
        <v/>
      </c>
      <c r="BF972" s="105">
        <f>IFERROR(BJ972*BO972*BP972/BK972,"")</f>
        <v/>
      </c>
      <c r="BG972" s="105">
        <f>IFERROR(1/BM972/BH972*BQ972,"")</f>
        <v/>
      </c>
      <c r="BH972" s="102">
        <f>MAX((CE972-Driver!$F$200)/(Driver!$G$200-Driver!$F$200)*$BI$1,1)</f>
        <v/>
      </c>
      <c r="BI972" s="102">
        <f>MAX($BI$1*(BY972-Driver!$F$201)/(Driver!$G$201-Driver!$F$201),1)</f>
        <v/>
      </c>
      <c r="BJ972" s="102">
        <f>(CB972-Driver!$F$206)/(Driver!$G$206-Driver!$F$206)*$BI$1</f>
        <v/>
      </c>
      <c r="BK972" s="102">
        <f>(CD972-Driver!$F$203)/(Driver!$G$203-Driver!$F$203)*$BI$1</f>
        <v/>
      </c>
      <c r="BL972" s="102">
        <f>MAX((CR972-Driver!$F$202)/(Driver!$G$202-Driver!$F$202)*$BI$1,1)</f>
        <v/>
      </c>
      <c r="BM972" s="102">
        <f>MAX((CH972-Driver!$F$204)/(Driver!$G$204-Driver!$F$204)*$BI$1,1)</f>
        <v/>
      </c>
      <c r="BN972" s="102">
        <f>(CI972-Driver!$F$205)/(Driver!$G$205-Driver!$F$205)*$BI$1</f>
        <v/>
      </c>
      <c r="BO972" s="102">
        <f>(CK972-Driver!$F$207)/(Driver!$G$207-Driver!$F$207)*$BI$1</f>
        <v/>
      </c>
      <c r="BP972" s="102">
        <f>(CM972-Driver!$F$208)/(Driver!$G$208-Driver!$F$208)*$BI$1</f>
        <v/>
      </c>
      <c r="BQ972" s="102">
        <f>(CL972-Driver!$F$209)/(Driver!$G$209-Driver!$F$209)*$BI$1</f>
        <v/>
      </c>
      <c r="BR972" s="40" t="inlineStr">
        <is>
          <t>21/22</t>
        </is>
      </c>
      <c r="BS972" s="10" t="inlineStr">
        <is>
          <t xml:space="preserve"> Elan</t>
        </is>
      </c>
      <c r="BT972" s="11" t="inlineStr">
        <is>
          <t>Ripstick 88 W</t>
        </is>
      </c>
      <c r="BU972" s="13" t="n">
        <v>170</v>
      </c>
      <c r="BV972" s="11" t="inlineStr">
        <is>
          <t xml:space="preserve"> Women's</t>
        </is>
      </c>
      <c r="BW972" s="13" t="n">
        <v>170</v>
      </c>
      <c r="BX972" s="13" t="n">
        <v>170.5</v>
      </c>
      <c r="BY972" s="13" t="n">
        <v>128</v>
      </c>
      <c r="BZ972" s="13" t="n">
        <v>138</v>
      </c>
      <c r="CA972" s="13" t="n">
        <v>129</v>
      </c>
      <c r="CB972" s="13" t="n">
        <v>88</v>
      </c>
      <c r="CC972" s="13" t="n">
        <v>105</v>
      </c>
      <c r="CD972" s="13" t="n">
        <v>15.4</v>
      </c>
      <c r="CE972" s="13" t="n">
        <v>1501</v>
      </c>
      <c r="CF972" s="13" t="n">
        <v>1.14</v>
      </c>
      <c r="CG972" s="13" t="n">
        <v>1718</v>
      </c>
      <c r="CH972" s="13" t="n">
        <v>157</v>
      </c>
      <c r="CI972" s="13" t="n">
        <v>60</v>
      </c>
      <c r="CJ972" s="13" t="n">
        <v>49</v>
      </c>
      <c r="CK972" s="13" t="n">
        <v>231</v>
      </c>
      <c r="CL972" s="13" t="n">
        <v>16</v>
      </c>
      <c r="CM972" s="13" t="n">
        <v>198</v>
      </c>
      <c r="CN972" s="13" t="n">
        <v>0.338</v>
      </c>
      <c r="CO972" s="13" t="n">
        <v>157</v>
      </c>
      <c r="CP972" s="13" t="n">
        <v>168</v>
      </c>
      <c r="CQ972" s="13" t="n">
        <v>74</v>
      </c>
      <c r="CR972" s="13" t="n">
        <v>4</v>
      </c>
      <c r="CS972" s="13" t="n">
        <v>8.699999999999999</v>
      </c>
      <c r="CT972" s="11" t="inlineStr">
        <is>
          <t xml:space="preserve"> Resort Freeride</t>
        </is>
      </c>
      <c r="CU972" s="11" t="inlineStr">
        <is>
          <t xml:space="preserve"> Touring</t>
        </is>
      </c>
      <c r="CV972" s="13" t="n"/>
      <c r="CW972" s="13" t="n"/>
      <c r="CX972">
        <f>INDEX('Data_Price '!AG$2:AG$1266,MATCH(Data!$DN972,'Data_Price '!$AT$2:$AT$1266,0))</f>
        <v/>
      </c>
      <c r="CY972">
        <f>INDEX('Data_Price '!AH$2:AH$1266,MATCH(Data!$DN972,'Data_Price '!$AT$2:$AT$1266,0))</f>
        <v/>
      </c>
      <c r="CZ972">
        <f>INDEX('Data_Price '!AI$2:AI$1266,MATCH(Data!$DN972,'Data_Price '!$AT$2:$AT$1266,0))</f>
        <v/>
      </c>
      <c r="DA972">
        <f>INDEX('Data_Price '!AJ$2:AJ$1266,MATCH(Data!$DN972,'Data_Price '!$AT$2:$AT$1266,0))</f>
        <v/>
      </c>
      <c r="DB972">
        <f>INDEX('Data_Price '!AK$2:AK$1266,MATCH(Data!$DN972,'Data_Price '!$AT$2:$AT$1266,0))</f>
        <v/>
      </c>
      <c r="DC972">
        <f>INDEX('Data_Price '!AL$2:AL$1266,MATCH(Data!$DN972,'Data_Price '!$AT$2:$AT$1266,0))</f>
        <v/>
      </c>
      <c r="DD972">
        <f>INDEX('Data_Price '!AM$2:AM$1266,MATCH(Data!$DN972,'Data_Price '!$AT$2:$AT$1266,0))</f>
        <v/>
      </c>
      <c r="DE972">
        <f>INDEX('Data_Price '!AN$2:AN$1266,MATCH(Data!$DN972,'Data_Price '!$AT$2:$AT$1266,0))</f>
        <v/>
      </c>
      <c r="DF972">
        <f>INDEX('Data_Price '!AO$2:AO$1266,MATCH(Data!$DN972,'Data_Price '!$AT$2:$AT$1266,0))</f>
        <v/>
      </c>
      <c r="DG972">
        <f>INDEX('Data_Price '!AP$2:AP$1266,MATCH(Data!$DN972,'Data_Price '!$AT$2:$AT$1266,0))</f>
        <v/>
      </c>
      <c r="DH972">
        <f>INDEX('Data_Price '!AQ$2:AQ$1266,MATCH(Data!$DN972,'Data_Price '!$AT$2:$AT$1266,0))</f>
        <v/>
      </c>
      <c r="DI972">
        <f>INDEX('Data_Price '!AR$2:AR$1266,MATCH(Data!$DN972,'Data_Price '!$AT$2:$AT$1266,0))</f>
        <v/>
      </c>
      <c r="DJ972" s="138">
        <f>DA972</f>
        <v/>
      </c>
      <c r="DK972" s="138">
        <f>DE972</f>
        <v/>
      </c>
      <c r="DL972" s="138">
        <f>DI972</f>
        <v/>
      </c>
      <c r="DM972" s="303">
        <f>IF(LEFT(BT972,1)=" ",RIGHT(BT972,LEN(BT972)-1),BT972)</f>
        <v/>
      </c>
      <c r="DN972" s="138">
        <f>_xlfn.CONCAT(BS972,DM972,BU972,BV972)</f>
        <v/>
      </c>
      <c r="DO972" s="307" t="inlineStr">
        <is>
          <t>https://images.evo.com/imgp/250/185141/744749/elan-ripstick-88-w-skis-women-s-2022-.jpg</t>
        </is>
      </c>
    </row>
    <row r="973" ht="15.6" customHeight="1" s="184">
      <c r="B973" s="303">
        <f t="array" ref="B973">IF(OR(ISERROR(K973:P973)),FALSE,TRUE)</f>
        <v/>
      </c>
      <c r="C973" s="60">
        <f>OR(BR973=Driver!$G$50,Data!BR851=Driver!$H$50)</f>
        <v/>
      </c>
      <c r="D973" s="60">
        <f>OR(BV973=Driver!$G$51,BV973=Driver!$H$51)</f>
        <v/>
      </c>
      <c r="E973" s="60">
        <f>AND(BX973&gt;Driver!$F$54,BX973&lt;Driver!$G$54)</f>
        <v/>
      </c>
      <c r="F973" s="60">
        <f>CL973&gt;Driver!$F$56</f>
        <v/>
      </c>
      <c r="G973" s="60">
        <f>AND(CB973&gt;Driver!$F$55,CB973&lt;Driver!$G$55)</f>
        <v/>
      </c>
      <c r="H973" s="60">
        <f>AND(B973:G973)</f>
        <v/>
      </c>
      <c r="I973" s="60">
        <f>COUNTIFS($H$9:$H$1273,TRUE,$BT$9:$BT$1273,BT973)</f>
        <v/>
      </c>
      <c r="J973" s="60">
        <f t="array" ref="J973">NOT(OR(($H$9:$H$1273=TRUE)*($I$9:$I$1273&gt;0)*($BT$9:$BT$1273=BT973)*($K$9:$K$1273&gt;K973)))</f>
        <v/>
      </c>
      <c r="K973" s="108">
        <f>IFERROR(1-AVERAGE(X973:Y973),"")</f>
        <v/>
      </c>
      <c r="L973" s="108">
        <f>1-X973</f>
        <v/>
      </c>
      <c r="M973" s="108">
        <f>1-Y973</f>
        <v/>
      </c>
      <c r="N973" s="108">
        <f>1-Z973</f>
        <v/>
      </c>
      <c r="O973" s="108">
        <f>1-AA973</f>
        <v/>
      </c>
      <c r="P973" s="108">
        <f>1-AB973</f>
        <v/>
      </c>
      <c r="Q973" s="108" t="n"/>
      <c r="R973" s="108" t="n"/>
      <c r="S973" s="108">
        <f>1-AE973</f>
        <v/>
      </c>
      <c r="T973" s="108">
        <f>1-AF973</f>
        <v/>
      </c>
      <c r="U973" s="108">
        <f>1-AG973</f>
        <v/>
      </c>
      <c r="V973" s="108">
        <f>1-AH973</f>
        <v/>
      </c>
      <c r="W973" s="108">
        <f>1-AI973</f>
        <v/>
      </c>
      <c r="X973" s="108">
        <f>ABS(AJ973-AJ$1)</f>
        <v/>
      </c>
      <c r="Y973" s="108">
        <f>AVERAGE(Z973:AB973)</f>
        <v/>
      </c>
      <c r="Z973" s="108">
        <f>ABS(AL973-AL$1)</f>
        <v/>
      </c>
      <c r="AA973" s="108">
        <f>ABS(AM973-AM$1)</f>
        <v/>
      </c>
      <c r="AB973" s="108">
        <f>ABS(AN973-AN$1)</f>
        <v/>
      </c>
      <c r="AC973" s="108" t="n"/>
      <c r="AD973" s="108" t="n"/>
      <c r="AE973" s="108">
        <f>ABS(AQ$1-AQ973)</f>
        <v/>
      </c>
      <c r="AF973" s="108">
        <f>ABS(AR$1-AR973)</f>
        <v/>
      </c>
      <c r="AG973" s="108">
        <f>ABS(AS$1-AS973)</f>
        <v/>
      </c>
      <c r="AH973" s="108">
        <f>ABS(AT$1-AT973)</f>
        <v/>
      </c>
      <c r="AI973" s="108">
        <f>ABS(AU$1-AU973)</f>
        <v/>
      </c>
      <c r="AJ973" s="108">
        <f>(AV973-Driver!$K$179)/(Driver!$L$179-Driver!$K$179)</f>
        <v/>
      </c>
      <c r="AK973" s="108">
        <f>(AW973-Driver!$K$180)/(Driver!$L$180-Driver!$K$180)</f>
        <v/>
      </c>
      <c r="AL973" s="108">
        <f>(AX973-Driver!$K$181)/(Driver!$L$181-Driver!$K$181)</f>
        <v/>
      </c>
      <c r="AM973" s="108">
        <f>(AY973-Driver!$K$182)/(Driver!$L$182-Driver!$K$182)</f>
        <v/>
      </c>
      <c r="AN973" s="108">
        <f>(AZ973-Driver!$K$183)/(Driver!$L$183-Driver!$K$183)</f>
        <v/>
      </c>
      <c r="AO973" s="108" t="n"/>
      <c r="AP973" s="108" t="n"/>
      <c r="AQ973" s="108">
        <f>(BC973-Driver!$K$188)/(Driver!$L$188-Driver!$K$188)</f>
        <v/>
      </c>
      <c r="AR973" s="108">
        <f>MIN((BD973-Driver!$K$189)/(Driver!$L$189-Driver!$K$189),100%)</f>
        <v/>
      </c>
      <c r="AS973" s="108">
        <f>(BE973-Driver!$K$190)/(Driver!$L$190-Driver!$K$190)</f>
        <v/>
      </c>
      <c r="AT973" s="108">
        <f>(BF973-Driver!$K$191)/(Driver!$L$191-Driver!$K$191)</f>
        <v/>
      </c>
      <c r="AU973" s="108">
        <f>(BG973-Driver!$K$192)/(Driver!$L$192-Driver!$K$192)</f>
        <v/>
      </c>
      <c r="AV973" s="105">
        <f>IFERROR(BM973*BJ973^1/4,"")</f>
        <v/>
      </c>
      <c r="AW973" s="105">
        <f>IFERROR(SUM(AX973:AZ973),"")</f>
        <v/>
      </c>
      <c r="AX973" s="105">
        <f>IFERROR(BH973,"")</f>
        <v/>
      </c>
      <c r="AY973" s="105">
        <f>IFERROR(Driver!$K$19/Data!BH973/Data!BI973*Data!BK973*Data!BL973,"")</f>
        <v/>
      </c>
      <c r="AZ973" s="105">
        <f>IFERROR(BI973*BN973,"")</f>
        <v/>
      </c>
      <c r="BA973" s="105" t="n"/>
      <c r="BB973" s="105" t="n"/>
      <c r="BC973" s="105">
        <f>IFERROR(BI973*BN973*BK973/BJ973^(1/2),"")</f>
        <v/>
      </c>
      <c r="BD973" s="105">
        <f>IFERROR(BH973*BM973*BL973/BJ973/BK973,"")</f>
        <v/>
      </c>
      <c r="BE973" s="105">
        <f>IFERROR(MIN(BI973/BQ973/BP973/BO973/BH973,$BE$1),"")</f>
        <v/>
      </c>
      <c r="BF973" s="105">
        <f>IFERROR(BJ973*BO973*BP973/BK973,"")</f>
        <v/>
      </c>
      <c r="BG973" s="105">
        <f>IFERROR(1/BM973/BH973*BQ973,"")</f>
        <v/>
      </c>
      <c r="BH973" s="102">
        <f>MAX((CE973-Driver!$F$200)/(Driver!$G$200-Driver!$F$200)*$BI$1,1)</f>
        <v/>
      </c>
      <c r="BI973" s="102">
        <f>MAX($BI$1*(BY973-Driver!$F$201)/(Driver!$G$201-Driver!$F$201),1)</f>
        <v/>
      </c>
      <c r="BJ973" s="102">
        <f>(CB973-Driver!$F$206)/(Driver!$G$206-Driver!$F$206)*$BI$1</f>
        <v/>
      </c>
      <c r="BK973" s="102">
        <f>(CD973-Driver!$F$203)/(Driver!$G$203-Driver!$F$203)*$BI$1</f>
        <v/>
      </c>
      <c r="BL973" s="102">
        <f>MAX((CR973-Driver!$F$202)/(Driver!$G$202-Driver!$F$202)*$BI$1,1)</f>
        <v/>
      </c>
      <c r="BM973" s="102">
        <f>MAX((CH973-Driver!$F$204)/(Driver!$G$204-Driver!$F$204)*$BI$1,1)</f>
        <v/>
      </c>
      <c r="BN973" s="102">
        <f>(CI973-Driver!$F$205)/(Driver!$G$205-Driver!$F$205)*$BI$1</f>
        <v/>
      </c>
      <c r="BO973" s="102">
        <f>(CK973-Driver!$F$207)/(Driver!$G$207-Driver!$F$207)*$BI$1</f>
        <v/>
      </c>
      <c r="BP973" s="102">
        <f>(CM973-Driver!$F$208)/(Driver!$G$208-Driver!$F$208)*$BI$1</f>
        <v/>
      </c>
      <c r="BQ973" s="102">
        <f>(CL973-Driver!$F$209)/(Driver!$G$209-Driver!$F$209)*$BI$1</f>
        <v/>
      </c>
      <c r="BR973" s="40" t="inlineStr">
        <is>
          <t>21/22</t>
        </is>
      </c>
      <c r="BS973" s="10" t="inlineStr">
        <is>
          <t xml:space="preserve"> Line</t>
        </is>
      </c>
      <c r="BT973" s="11" t="inlineStr">
        <is>
          <t>Pandora 84</t>
        </is>
      </c>
      <c r="BU973" s="13" t="n">
        <v>165</v>
      </c>
      <c r="BV973" s="11" t="inlineStr">
        <is>
          <t xml:space="preserve"> Women's</t>
        </is>
      </c>
      <c r="BW973" s="13" t="n">
        <v>165</v>
      </c>
      <c r="BX973" s="13" t="n">
        <v>164.6</v>
      </c>
      <c r="BY973" s="13" t="n">
        <v>130</v>
      </c>
      <c r="BZ973" s="13" t="n">
        <v>139</v>
      </c>
      <c r="CA973" s="13" t="n">
        <v>121</v>
      </c>
      <c r="CB973" s="13" t="n">
        <v>83</v>
      </c>
      <c r="CC973" s="13" t="n">
        <v>109</v>
      </c>
      <c r="CD973" s="13" t="n">
        <v>14.8</v>
      </c>
      <c r="CE973" s="13" t="n">
        <v>1404</v>
      </c>
      <c r="CF973" s="13" t="n">
        <v>1.12</v>
      </c>
      <c r="CG973" s="13" t="n">
        <v>1574</v>
      </c>
      <c r="CH973" s="13" t="n">
        <v>143</v>
      </c>
      <c r="CI973" s="13" t="n">
        <v>65</v>
      </c>
      <c r="CJ973" s="13" t="n">
        <v>45</v>
      </c>
      <c r="CK973" s="13" t="n">
        <v>210</v>
      </c>
      <c r="CL973" s="13" t="n">
        <v>19</v>
      </c>
      <c r="CM973" s="13" t="n">
        <v>140</v>
      </c>
      <c r="CN973" s="13" t="n">
        <v>0.423</v>
      </c>
      <c r="CO973" s="13" t="n">
        <v>146</v>
      </c>
      <c r="CP973" s="13" t="n">
        <v>108</v>
      </c>
      <c r="CQ973" s="13" t="n">
        <v>64</v>
      </c>
      <c r="CR973" s="13" t="n">
        <v>7</v>
      </c>
      <c r="CS973" s="13" t="n">
        <v>9.1</v>
      </c>
      <c r="CT973" s="11" t="inlineStr">
        <is>
          <t xml:space="preserve"> On-Piste All-Mountain</t>
        </is>
      </c>
      <c r="CU973" s="11" t="inlineStr">
        <is>
          <t xml:space="preserve"> Resort Freeride</t>
        </is>
      </c>
      <c r="CV973" s="11" t="inlineStr">
        <is>
          <t xml:space="preserve"> Touring</t>
        </is>
      </c>
      <c r="CW973" s="13" t="n"/>
      <c r="CX973">
        <f>INDEX('Data_Price '!AG$2:AG$1266,MATCH(Data!$DN973,'Data_Price '!$AT$2:$AT$1266,0))</f>
        <v/>
      </c>
      <c r="CY973">
        <f>INDEX('Data_Price '!AH$2:AH$1266,MATCH(Data!$DN973,'Data_Price '!$AT$2:$AT$1266,0))</f>
        <v/>
      </c>
      <c r="CZ973">
        <f>INDEX('Data_Price '!AI$2:AI$1266,MATCH(Data!$DN973,'Data_Price '!$AT$2:$AT$1266,0))</f>
        <v/>
      </c>
      <c r="DA973">
        <f>INDEX('Data_Price '!AJ$2:AJ$1266,MATCH(Data!$DN973,'Data_Price '!$AT$2:$AT$1266,0))</f>
        <v/>
      </c>
      <c r="DB973">
        <f>INDEX('Data_Price '!AK$2:AK$1266,MATCH(Data!$DN973,'Data_Price '!$AT$2:$AT$1266,0))</f>
        <v/>
      </c>
      <c r="DC973">
        <f>INDEX('Data_Price '!AL$2:AL$1266,MATCH(Data!$DN973,'Data_Price '!$AT$2:$AT$1266,0))</f>
        <v/>
      </c>
      <c r="DD973">
        <f>INDEX('Data_Price '!AM$2:AM$1266,MATCH(Data!$DN973,'Data_Price '!$AT$2:$AT$1266,0))</f>
        <v/>
      </c>
      <c r="DE973">
        <f>INDEX('Data_Price '!AN$2:AN$1266,MATCH(Data!$DN973,'Data_Price '!$AT$2:$AT$1266,0))</f>
        <v/>
      </c>
      <c r="DF973">
        <f>INDEX('Data_Price '!AO$2:AO$1266,MATCH(Data!$DN973,'Data_Price '!$AT$2:$AT$1266,0))</f>
        <v/>
      </c>
      <c r="DG973">
        <f>INDEX('Data_Price '!AP$2:AP$1266,MATCH(Data!$DN973,'Data_Price '!$AT$2:$AT$1266,0))</f>
        <v/>
      </c>
      <c r="DH973">
        <f>INDEX('Data_Price '!AQ$2:AQ$1266,MATCH(Data!$DN973,'Data_Price '!$AT$2:$AT$1266,0))</f>
        <v/>
      </c>
      <c r="DI973">
        <f>INDEX('Data_Price '!AR$2:AR$1266,MATCH(Data!$DN973,'Data_Price '!$AT$2:$AT$1266,0))</f>
        <v/>
      </c>
      <c r="DJ973" s="138">
        <f>DA973</f>
        <v/>
      </c>
      <c r="DK973" s="138">
        <f>DE973</f>
        <v/>
      </c>
      <c r="DL973" s="138">
        <f>DI973</f>
        <v/>
      </c>
      <c r="DM973" s="303">
        <f>IF(LEFT(BT973,1)=" ",RIGHT(BT973,LEN(BT973)-1),BT973)</f>
        <v/>
      </c>
      <c r="DN973" s="138">
        <f>_xlfn.CONCAT(BS973,DM973,BU973,BV973)</f>
        <v/>
      </c>
      <c r="DO973" s="307" t="inlineStr">
        <is>
          <t>https://images.evo.com/imgp/250/198431/817635/line-skis-pandora-84-skis-women-s-2022-.jpg</t>
        </is>
      </c>
    </row>
    <row r="974" ht="15.6" customHeight="1" s="184">
      <c r="B974" s="303">
        <f t="array" ref="B974">IF(OR(ISERROR(K974:P974)),FALSE,TRUE)</f>
        <v/>
      </c>
      <c r="C974" s="60">
        <f>OR(BR974=Driver!$G$50,Data!BR1199=Driver!$H$50)</f>
        <v/>
      </c>
      <c r="D974" s="60">
        <f>OR(BV974=Driver!$G$51,BV974=Driver!$H$51)</f>
        <v/>
      </c>
      <c r="E974" s="60">
        <f>AND(BX974&gt;Driver!$F$54,BX974&lt;Driver!$G$54)</f>
        <v/>
      </c>
      <c r="F974" s="60">
        <f>CL974&gt;Driver!$F$56</f>
        <v/>
      </c>
      <c r="G974" s="60">
        <f>AND(CB974&gt;Driver!$F$55,CB974&lt;Driver!$G$55)</f>
        <v/>
      </c>
      <c r="H974" s="60">
        <f>AND(B974:G974)</f>
        <v/>
      </c>
      <c r="I974" s="60">
        <f>COUNTIFS($H$9:$H$1273,TRUE,$BT$9:$BT$1273,BT974)</f>
        <v/>
      </c>
      <c r="J974" s="60">
        <f t="array" ref="J974">NOT(OR(($H$9:$H$1273=TRUE)*($I$9:$I$1273&gt;0)*($BT$9:$BT$1273=BT974)*($K$9:$K$1273&gt;K974)))</f>
        <v/>
      </c>
      <c r="K974" s="108">
        <f>IFERROR(1-AVERAGE(X974:Y974),"")</f>
        <v/>
      </c>
      <c r="L974" s="108">
        <f>1-X974</f>
        <v/>
      </c>
      <c r="M974" s="108">
        <f>1-Y974</f>
        <v/>
      </c>
      <c r="N974" s="108">
        <f>1-Z974</f>
        <v/>
      </c>
      <c r="O974" s="108">
        <f>1-AA974</f>
        <v/>
      </c>
      <c r="P974" s="108">
        <f>1-AB974</f>
        <v/>
      </c>
      <c r="Q974" s="108" t="n"/>
      <c r="R974" s="108" t="n"/>
      <c r="S974" s="108">
        <f>1-AE974</f>
        <v/>
      </c>
      <c r="T974" s="108">
        <f>1-AF974</f>
        <v/>
      </c>
      <c r="U974" s="108">
        <f>1-AG974</f>
        <v/>
      </c>
      <c r="V974" s="108">
        <f>1-AH974</f>
        <v/>
      </c>
      <c r="W974" s="108">
        <f>1-AI974</f>
        <v/>
      </c>
      <c r="X974" s="108">
        <f>ABS(AJ974-AJ$1)</f>
        <v/>
      </c>
      <c r="Y974" s="108">
        <f>AVERAGE(Z974:AB974)</f>
        <v/>
      </c>
      <c r="Z974" s="108">
        <f>ABS(AL974-AL$1)</f>
        <v/>
      </c>
      <c r="AA974" s="108">
        <f>ABS(AM974-AM$1)</f>
        <v/>
      </c>
      <c r="AB974" s="108">
        <f>ABS(AN974-AN$1)</f>
        <v/>
      </c>
      <c r="AC974" s="108" t="n"/>
      <c r="AD974" s="108" t="n"/>
      <c r="AE974" s="108">
        <f>ABS(AQ$1-AQ974)</f>
        <v/>
      </c>
      <c r="AF974" s="108">
        <f>ABS(AR$1-AR974)</f>
        <v/>
      </c>
      <c r="AG974" s="108">
        <f>ABS(AS$1-AS974)</f>
        <v/>
      </c>
      <c r="AH974" s="108">
        <f>ABS(AT$1-AT974)</f>
        <v/>
      </c>
      <c r="AI974" s="108">
        <f>ABS(AU$1-AU974)</f>
        <v/>
      </c>
      <c r="AJ974" s="108">
        <f>(AV974-Driver!$K$179)/(Driver!$L$179-Driver!$K$179)</f>
        <v/>
      </c>
      <c r="AK974" s="108">
        <f>(AW974-Driver!$K$180)/(Driver!$L$180-Driver!$K$180)</f>
        <v/>
      </c>
      <c r="AL974" s="108">
        <f>(AX974-Driver!$K$181)/(Driver!$L$181-Driver!$K$181)</f>
        <v/>
      </c>
      <c r="AM974" s="108">
        <f>(AY974-Driver!$K$182)/(Driver!$L$182-Driver!$K$182)</f>
        <v/>
      </c>
      <c r="AN974" s="108">
        <f>(AZ974-Driver!$K$183)/(Driver!$L$183-Driver!$K$183)</f>
        <v/>
      </c>
      <c r="AO974" s="108" t="n"/>
      <c r="AP974" s="108" t="n"/>
      <c r="AQ974" s="108">
        <f>(BC974-Driver!$K$188)/(Driver!$L$188-Driver!$K$188)</f>
        <v/>
      </c>
      <c r="AR974" s="108">
        <f>MIN((BD974-Driver!$K$189)/(Driver!$L$189-Driver!$K$189),100%)</f>
        <v/>
      </c>
      <c r="AS974" s="108">
        <f>(BE974-Driver!$K$190)/(Driver!$L$190-Driver!$K$190)</f>
        <v/>
      </c>
      <c r="AT974" s="108">
        <f>(BF974-Driver!$K$191)/(Driver!$L$191-Driver!$K$191)</f>
        <v/>
      </c>
      <c r="AU974" s="108">
        <f>(BG974-Driver!$K$192)/(Driver!$L$192-Driver!$K$192)</f>
        <v/>
      </c>
      <c r="AV974" s="105">
        <f>IFERROR(BM974*BJ974^1/4,"")</f>
        <v/>
      </c>
      <c r="AW974" s="105">
        <f>IFERROR(SUM(AX974:AZ974),"")</f>
        <v/>
      </c>
      <c r="AX974" s="105">
        <f>IFERROR(BH974,"")</f>
        <v/>
      </c>
      <c r="AY974" s="105">
        <f>IFERROR(Driver!$K$19/Data!BH974/Data!BI974*Data!BK974*Data!BL974,"")</f>
        <v/>
      </c>
      <c r="AZ974" s="105">
        <f>IFERROR(BI974*BN974,"")</f>
        <v/>
      </c>
      <c r="BA974" s="105" t="n"/>
      <c r="BB974" s="105" t="n"/>
      <c r="BC974" s="105">
        <f>IFERROR(BI974*BN974*BK974/BJ974^(1/2),"")</f>
        <v/>
      </c>
      <c r="BD974" s="105">
        <f>IFERROR(BH974*BM974*BL974/BJ974/BK974,"")</f>
        <v/>
      </c>
      <c r="BE974" s="105">
        <f>IFERROR(MIN(BI974/BQ974/BP974/BO974/BH974,$BE$1),"")</f>
        <v/>
      </c>
      <c r="BF974" s="105">
        <f>IFERROR(BJ974*BO974*BP974/BK974,"")</f>
        <v/>
      </c>
      <c r="BG974" s="105">
        <f>IFERROR(1/BM974/BH974*BQ974,"")</f>
        <v/>
      </c>
      <c r="BH974" s="102">
        <f>MAX((CE974-Driver!$F$200)/(Driver!$G$200-Driver!$F$200)*$BI$1,1)</f>
        <v/>
      </c>
      <c r="BI974" s="102">
        <f>MAX($BI$1*(BY974-Driver!$F$201)/(Driver!$G$201-Driver!$F$201),1)</f>
        <v/>
      </c>
      <c r="BJ974" s="102">
        <f>(CB974-Driver!$F$206)/(Driver!$G$206-Driver!$F$206)*$BI$1</f>
        <v/>
      </c>
      <c r="BK974" s="102">
        <f>(CD974-Driver!$F$203)/(Driver!$G$203-Driver!$F$203)*$BI$1</f>
        <v/>
      </c>
      <c r="BL974" s="102">
        <f>MAX((CR974-Driver!$F$202)/(Driver!$G$202-Driver!$F$202)*$BI$1,1)</f>
        <v/>
      </c>
      <c r="BM974" s="102">
        <f>MAX((CH974-Driver!$F$204)/(Driver!$G$204-Driver!$F$204)*$BI$1,1)</f>
        <v/>
      </c>
      <c r="BN974" s="102">
        <f>(CI974-Driver!$F$205)/(Driver!$G$205-Driver!$F$205)*$BI$1</f>
        <v/>
      </c>
      <c r="BO974" s="102">
        <f>(CK974-Driver!$F$207)/(Driver!$G$207-Driver!$F$207)*$BI$1</f>
        <v/>
      </c>
      <c r="BP974" s="102">
        <f>(CM974-Driver!$F$208)/(Driver!$G$208-Driver!$F$208)*$BI$1</f>
        <v/>
      </c>
      <c r="BQ974" s="102">
        <f>(CL974-Driver!$F$209)/(Driver!$G$209-Driver!$F$209)*$BI$1</f>
        <v/>
      </c>
      <c r="BR974" s="40" t="inlineStr">
        <is>
          <t>21/22</t>
        </is>
      </c>
      <c r="BS974" s="10" t="inlineStr">
        <is>
          <t xml:space="preserve"> Völkl</t>
        </is>
      </c>
      <c r="BT974" s="11" t="inlineStr">
        <is>
          <t>Kanjo 84</t>
        </is>
      </c>
      <c r="BU974" s="13" t="n">
        <v>161</v>
      </c>
      <c r="BV974" s="11" t="inlineStr">
        <is>
          <t xml:space="preserve"> Unisex</t>
        </is>
      </c>
      <c r="BW974" s="13" t="n">
        <v>161</v>
      </c>
      <c r="BX974" s="13" t="n">
        <v>161.2</v>
      </c>
      <c r="BY974" s="13" t="n">
        <v>115</v>
      </c>
      <c r="BZ974" s="13" t="n">
        <v>137</v>
      </c>
      <c r="CA974" s="13" t="n">
        <v>124</v>
      </c>
      <c r="CB974" s="13" t="n">
        <v>83</v>
      </c>
      <c r="CC974" s="13" t="n">
        <v>106</v>
      </c>
      <c r="CD974" s="13" t="n">
        <v>14.2</v>
      </c>
      <c r="CE974" s="13" t="n">
        <v>1402</v>
      </c>
      <c r="CF974" s="13" t="n">
        <v>1.11</v>
      </c>
      <c r="CG974" s="13" t="n">
        <v>1549</v>
      </c>
      <c r="CH974" s="13" t="n">
        <v>176</v>
      </c>
      <c r="CI974" s="13" t="n">
        <v>70</v>
      </c>
      <c r="CJ974" s="13" t="n">
        <v>38</v>
      </c>
      <c r="CK974" s="13" t="n">
        <v>279</v>
      </c>
      <c r="CL974" s="13" t="n">
        <v>13</v>
      </c>
      <c r="CM974" s="13" t="n">
        <v>185</v>
      </c>
      <c r="CN974" s="13" t="n">
        <v>0.349</v>
      </c>
      <c r="CO974" s="13" t="n">
        <v>132</v>
      </c>
      <c r="CP974" s="13" t="n">
        <v>108</v>
      </c>
      <c r="CQ974" s="13" t="n">
        <v>147</v>
      </c>
      <c r="CR974" s="13" t="n">
        <v>3</v>
      </c>
      <c r="CS974" s="13" t="n">
        <v>11.8</v>
      </c>
      <c r="CT974" s="11" t="inlineStr">
        <is>
          <t xml:space="preserve"> On-Piste All-Mountain</t>
        </is>
      </c>
      <c r="CU974" s="11" t="inlineStr">
        <is>
          <t xml:space="preserve"> Resort Freeride</t>
        </is>
      </c>
      <c r="CV974" s="11" t="inlineStr">
        <is>
          <t xml:space="preserve"> Touring</t>
        </is>
      </c>
      <c r="CW974" s="13" t="n"/>
      <c r="CX974">
        <f>INDEX('Data_Price '!AG$2:AG$1266,MATCH(Data!$DN974,'Data_Price '!$AT$2:$AT$1266,0))</f>
        <v/>
      </c>
      <c r="CY974">
        <f>INDEX('Data_Price '!AH$2:AH$1266,MATCH(Data!$DN974,'Data_Price '!$AT$2:$AT$1266,0))</f>
        <v/>
      </c>
      <c r="CZ974">
        <f>INDEX('Data_Price '!AI$2:AI$1266,MATCH(Data!$DN974,'Data_Price '!$AT$2:$AT$1266,0))</f>
        <v/>
      </c>
      <c r="DA974">
        <f>INDEX('Data_Price '!AJ$2:AJ$1266,MATCH(Data!$DN974,'Data_Price '!$AT$2:$AT$1266,0))</f>
        <v/>
      </c>
      <c r="DB974">
        <f>INDEX('Data_Price '!AK$2:AK$1266,MATCH(Data!$DN974,'Data_Price '!$AT$2:$AT$1266,0))</f>
        <v/>
      </c>
      <c r="DC974">
        <f>INDEX('Data_Price '!AL$2:AL$1266,MATCH(Data!$DN974,'Data_Price '!$AT$2:$AT$1266,0))</f>
        <v/>
      </c>
      <c r="DD974">
        <f>INDEX('Data_Price '!AM$2:AM$1266,MATCH(Data!$DN974,'Data_Price '!$AT$2:$AT$1266,0))</f>
        <v/>
      </c>
      <c r="DE974">
        <f>INDEX('Data_Price '!AN$2:AN$1266,MATCH(Data!$DN974,'Data_Price '!$AT$2:$AT$1266,0))</f>
        <v/>
      </c>
      <c r="DF974">
        <f>INDEX('Data_Price '!AO$2:AO$1266,MATCH(Data!$DN974,'Data_Price '!$AT$2:$AT$1266,0))</f>
        <v/>
      </c>
      <c r="DG974">
        <f>INDEX('Data_Price '!AP$2:AP$1266,MATCH(Data!$DN974,'Data_Price '!$AT$2:$AT$1266,0))</f>
        <v/>
      </c>
      <c r="DH974">
        <f>INDEX('Data_Price '!AQ$2:AQ$1266,MATCH(Data!$DN974,'Data_Price '!$AT$2:$AT$1266,0))</f>
        <v/>
      </c>
      <c r="DI974">
        <f>INDEX('Data_Price '!AR$2:AR$1266,MATCH(Data!$DN974,'Data_Price '!$AT$2:$AT$1266,0))</f>
        <v/>
      </c>
      <c r="DJ974" s="138">
        <f>DA974</f>
        <v/>
      </c>
      <c r="DK974" s="138">
        <f>DE974</f>
        <v/>
      </c>
      <c r="DL974" s="138">
        <f>DI974</f>
        <v/>
      </c>
      <c r="DM974" s="303">
        <f>IF(LEFT(BT974,1)=" ",RIGHT(BT974,LEN(BT974)-1),BT974)</f>
        <v/>
      </c>
      <c r="DN974" s="138">
        <f>_xlfn.CONCAT(BS974,DM974,BU974,BV974)</f>
        <v/>
      </c>
      <c r="DO974" s="307" t="n"/>
    </row>
    <row r="975" ht="15.6" customHeight="1" s="184">
      <c r="B975" s="303">
        <f t="array" ref="B975">IF(OR(ISERROR(K975:P975)),FALSE,TRUE)</f>
        <v/>
      </c>
      <c r="C975" s="60">
        <f>OR(BR975=Driver!$G$50,Data!BR177=Driver!$H$50)</f>
        <v/>
      </c>
      <c r="D975" s="60">
        <f>OR(BV975=Driver!$G$51,BV975=Driver!$H$51)</f>
        <v/>
      </c>
      <c r="E975" s="60">
        <f>AND(BX975&gt;Driver!$F$54,BX975&lt;Driver!$G$54)</f>
        <v/>
      </c>
      <c r="F975" s="60">
        <f>CL975&gt;Driver!$F$56</f>
        <v/>
      </c>
      <c r="G975" s="60">
        <f>AND(CB975&gt;Driver!$F$55,CB975&lt;Driver!$G$55)</f>
        <v/>
      </c>
      <c r="H975" s="60">
        <f>AND(B975:G975)</f>
        <v/>
      </c>
      <c r="I975" s="60">
        <f>COUNTIFS($H$9:$H$1273,TRUE,$BT$9:$BT$1273,BT975)</f>
        <v/>
      </c>
      <c r="J975" s="60">
        <f t="array" ref="J975">NOT(OR(($H$9:$H$1273=TRUE)*($I$9:$I$1273&gt;0)*($BT$9:$BT$1273=BT975)*($K$9:$K$1273&gt;K975)))</f>
        <v/>
      </c>
      <c r="K975" s="108">
        <f>IFERROR(1-AVERAGE(X975:Y975),"")</f>
        <v/>
      </c>
      <c r="L975" s="108">
        <f>1-X975</f>
        <v/>
      </c>
      <c r="M975" s="108">
        <f>1-Y975</f>
        <v/>
      </c>
      <c r="N975" s="108">
        <f>1-Z975</f>
        <v/>
      </c>
      <c r="O975" s="108">
        <f>1-AA975</f>
        <v/>
      </c>
      <c r="P975" s="108">
        <f>1-AB975</f>
        <v/>
      </c>
      <c r="Q975" s="108" t="n"/>
      <c r="R975" s="108" t="n"/>
      <c r="S975" s="108">
        <f>1-AE975</f>
        <v/>
      </c>
      <c r="T975" s="108">
        <f>1-AF975</f>
        <v/>
      </c>
      <c r="U975" s="108">
        <f>1-AG975</f>
        <v/>
      </c>
      <c r="V975" s="108">
        <f>1-AH975</f>
        <v/>
      </c>
      <c r="W975" s="108">
        <f>1-AI975</f>
        <v/>
      </c>
      <c r="X975" s="108">
        <f>ABS(AJ975-AJ$1)</f>
        <v/>
      </c>
      <c r="Y975" s="108">
        <f>AVERAGE(Z975:AB975)</f>
        <v/>
      </c>
      <c r="Z975" s="108">
        <f>ABS(AL975-AL$1)</f>
        <v/>
      </c>
      <c r="AA975" s="108">
        <f>ABS(AM975-AM$1)</f>
        <v/>
      </c>
      <c r="AB975" s="108">
        <f>ABS(AN975-AN$1)</f>
        <v/>
      </c>
      <c r="AC975" s="108" t="n"/>
      <c r="AD975" s="108" t="n"/>
      <c r="AE975" s="108">
        <f>ABS(AQ$1-AQ975)</f>
        <v/>
      </c>
      <c r="AF975" s="108">
        <f>ABS(AR$1-AR975)</f>
        <v/>
      </c>
      <c r="AG975" s="108">
        <f>ABS(AS$1-AS975)</f>
        <v/>
      </c>
      <c r="AH975" s="108">
        <f>ABS(AT$1-AT975)</f>
        <v/>
      </c>
      <c r="AI975" s="108">
        <f>ABS(AU$1-AU975)</f>
        <v/>
      </c>
      <c r="AJ975" s="108">
        <f>(AV975-Driver!$K$179)/(Driver!$L$179-Driver!$K$179)</f>
        <v/>
      </c>
      <c r="AK975" s="108">
        <f>(AW975-Driver!$K$180)/(Driver!$L$180-Driver!$K$180)</f>
        <v/>
      </c>
      <c r="AL975" s="108">
        <f>(AX975-Driver!$K$181)/(Driver!$L$181-Driver!$K$181)</f>
        <v/>
      </c>
      <c r="AM975" s="108">
        <f>(AY975-Driver!$K$182)/(Driver!$L$182-Driver!$K$182)</f>
        <v/>
      </c>
      <c r="AN975" s="108">
        <f>(AZ975-Driver!$K$183)/(Driver!$L$183-Driver!$K$183)</f>
        <v/>
      </c>
      <c r="AO975" s="108" t="n"/>
      <c r="AP975" s="108" t="n"/>
      <c r="AQ975" s="108">
        <f>(BC975-Driver!$K$188)/(Driver!$L$188-Driver!$K$188)</f>
        <v/>
      </c>
      <c r="AR975" s="108">
        <f>MIN((BD975-Driver!$K$189)/(Driver!$L$189-Driver!$K$189),100%)</f>
        <v/>
      </c>
      <c r="AS975" s="108">
        <f>(BE975-Driver!$K$190)/(Driver!$L$190-Driver!$K$190)</f>
        <v/>
      </c>
      <c r="AT975" s="108">
        <f>(BF975-Driver!$K$191)/(Driver!$L$191-Driver!$K$191)</f>
        <v/>
      </c>
      <c r="AU975" s="108">
        <f>(BG975-Driver!$K$192)/(Driver!$L$192-Driver!$K$192)</f>
        <v/>
      </c>
      <c r="AV975" s="105">
        <f>IFERROR(BM975*BJ975^1/4,"")</f>
        <v/>
      </c>
      <c r="AW975" s="105">
        <f>IFERROR(SUM(AX975:AZ975),"")</f>
        <v/>
      </c>
      <c r="AX975" s="105">
        <f>IFERROR(BH975,"")</f>
        <v/>
      </c>
      <c r="AY975" s="105">
        <f>IFERROR(Driver!$K$19/Data!BH975/Data!BI975*Data!BK975*Data!BL975,"")</f>
        <v/>
      </c>
      <c r="AZ975" s="105">
        <f>IFERROR(BI975*BN975,"")</f>
        <v/>
      </c>
      <c r="BA975" s="105" t="n"/>
      <c r="BB975" s="105" t="n"/>
      <c r="BC975" s="105">
        <f>IFERROR(BI975*BN975*BK975/BJ975^(1/2),"")</f>
        <v/>
      </c>
      <c r="BD975" s="105">
        <f>IFERROR(BH975*BM975*BL975/BJ975/BK975,"")</f>
        <v/>
      </c>
      <c r="BE975" s="105">
        <f>IFERROR(MIN(BI975/BQ975/BP975/BO975/BH975,$BE$1),"")</f>
        <v/>
      </c>
      <c r="BF975" s="105">
        <f>IFERROR(BJ975*BO975*BP975/BK975,"")</f>
        <v/>
      </c>
      <c r="BG975" s="105">
        <f>IFERROR(1/BM975/BH975*BQ975,"")</f>
        <v/>
      </c>
      <c r="BH975" s="102">
        <f>MAX((CE975-Driver!$F$200)/(Driver!$G$200-Driver!$F$200)*$BI$1,1)</f>
        <v/>
      </c>
      <c r="BI975" s="102">
        <f>MAX($BI$1*(BY975-Driver!$F$201)/(Driver!$G$201-Driver!$F$201),1)</f>
        <v/>
      </c>
      <c r="BJ975" s="102">
        <f>(CB975-Driver!$F$206)/(Driver!$G$206-Driver!$F$206)*$BI$1</f>
        <v/>
      </c>
      <c r="BK975" s="102">
        <f>(CD975-Driver!$F$203)/(Driver!$G$203-Driver!$F$203)*$BI$1</f>
        <v/>
      </c>
      <c r="BL975" s="102">
        <f>MAX((CR975-Driver!$F$202)/(Driver!$G$202-Driver!$F$202)*$BI$1,1)</f>
        <v/>
      </c>
      <c r="BM975" s="102">
        <f>MAX((CH975-Driver!$F$204)/(Driver!$G$204-Driver!$F$204)*$BI$1,1)</f>
        <v/>
      </c>
      <c r="BN975" s="102">
        <f>(CI975-Driver!$F$205)/(Driver!$G$205-Driver!$F$205)*$BI$1</f>
        <v/>
      </c>
      <c r="BO975" s="102">
        <f>(CK975-Driver!$F$207)/(Driver!$G$207-Driver!$F$207)*$BI$1</f>
        <v/>
      </c>
      <c r="BP975" s="102">
        <f>(CM975-Driver!$F$208)/(Driver!$G$208-Driver!$F$208)*$BI$1</f>
        <v/>
      </c>
      <c r="BQ975" s="102">
        <f>(CL975-Driver!$F$209)/(Driver!$G$209-Driver!$F$209)*$BI$1</f>
        <v/>
      </c>
      <c r="BR975" s="40" t="inlineStr">
        <is>
          <t>21/22</t>
        </is>
      </c>
      <c r="BS975" s="10" t="inlineStr">
        <is>
          <t xml:space="preserve"> Atomic</t>
        </is>
      </c>
      <c r="BT975" s="11" t="inlineStr">
        <is>
          <t>Redster S9 Revo</t>
        </is>
      </c>
      <c r="BU975" s="13" t="n">
        <v>165</v>
      </c>
      <c r="BV975" s="11" t="inlineStr">
        <is>
          <t xml:space="preserve"> Unisex</t>
        </is>
      </c>
      <c r="BW975" s="13" t="n">
        <v>165</v>
      </c>
      <c r="BX975" s="13" t="n">
        <v>164.7</v>
      </c>
      <c r="BY975" s="13" t="n">
        <v>145</v>
      </c>
      <c r="BZ975" s="13" t="n">
        <v>151</v>
      </c>
      <c r="CA975" s="13" t="n">
        <v>116</v>
      </c>
      <c r="CB975" s="13" t="n">
        <v>67</v>
      </c>
      <c r="CC975" s="13" t="n">
        <v>102</v>
      </c>
      <c r="CD975" s="13" t="n">
        <v>13.1</v>
      </c>
      <c r="CE975" s="13" t="n">
        <v>2072</v>
      </c>
      <c r="CF975" s="13" t="n">
        <v>0.66</v>
      </c>
      <c r="CG975" s="13" t="n">
        <v>1364</v>
      </c>
      <c r="CH975" s="13" t="n">
        <v>220</v>
      </c>
      <c r="CI975" s="13" t="n">
        <v>101</v>
      </c>
      <c r="CJ975" s="13" t="n">
        <v>33</v>
      </c>
      <c r="CK975" s="13" t="n">
        <v>143</v>
      </c>
      <c r="CL975" s="13" t="n">
        <v>4</v>
      </c>
      <c r="CM975" s="13" t="n">
        <v>49</v>
      </c>
      <c r="CN975" s="13" t="n">
        <v>0.131</v>
      </c>
      <c r="CO975" s="13" t="n">
        <v>82</v>
      </c>
      <c r="CP975" s="13" t="n">
        <v>56</v>
      </c>
      <c r="CQ975" s="13" t="n">
        <v>61</v>
      </c>
      <c r="CR975" s="13" t="n">
        <v>13</v>
      </c>
      <c r="CS975" s="13" t="n">
        <v>13.8</v>
      </c>
      <c r="CT975" s="11" t="inlineStr">
        <is>
          <t xml:space="preserve"> On-Piste Carving</t>
        </is>
      </c>
      <c r="CU975" s="13" t="n"/>
      <c r="CV975" s="13" t="n"/>
      <c r="CW975" s="13" t="n"/>
      <c r="CX975">
        <f>INDEX('Data_Price '!AG$2:AG$1266,MATCH(Data!$DN975,'Data_Price '!$AT$2:$AT$1266,0))</f>
        <v/>
      </c>
      <c r="CY975">
        <f>INDEX('Data_Price '!AH$2:AH$1266,MATCH(Data!$DN975,'Data_Price '!$AT$2:$AT$1266,0))</f>
        <v/>
      </c>
      <c r="CZ975">
        <f>INDEX('Data_Price '!AI$2:AI$1266,MATCH(Data!$DN975,'Data_Price '!$AT$2:$AT$1266,0))</f>
        <v/>
      </c>
      <c r="DA975">
        <f>INDEX('Data_Price '!AJ$2:AJ$1266,MATCH(Data!$DN975,'Data_Price '!$AT$2:$AT$1266,0))</f>
        <v/>
      </c>
      <c r="DB975">
        <f>INDEX('Data_Price '!AK$2:AK$1266,MATCH(Data!$DN975,'Data_Price '!$AT$2:$AT$1266,0))</f>
        <v/>
      </c>
      <c r="DC975">
        <f>INDEX('Data_Price '!AL$2:AL$1266,MATCH(Data!$DN975,'Data_Price '!$AT$2:$AT$1266,0))</f>
        <v/>
      </c>
      <c r="DD975">
        <f>INDEX('Data_Price '!AM$2:AM$1266,MATCH(Data!$DN975,'Data_Price '!$AT$2:$AT$1266,0))</f>
        <v/>
      </c>
      <c r="DE975">
        <f>INDEX('Data_Price '!AN$2:AN$1266,MATCH(Data!$DN975,'Data_Price '!$AT$2:$AT$1266,0))</f>
        <v/>
      </c>
      <c r="DF975">
        <f>INDEX('Data_Price '!AO$2:AO$1266,MATCH(Data!$DN975,'Data_Price '!$AT$2:$AT$1266,0))</f>
        <v/>
      </c>
      <c r="DG975">
        <f>INDEX('Data_Price '!AP$2:AP$1266,MATCH(Data!$DN975,'Data_Price '!$AT$2:$AT$1266,0))</f>
        <v/>
      </c>
      <c r="DH975">
        <f>INDEX('Data_Price '!AQ$2:AQ$1266,MATCH(Data!$DN975,'Data_Price '!$AT$2:$AT$1266,0))</f>
        <v/>
      </c>
      <c r="DI975">
        <f>INDEX('Data_Price '!AR$2:AR$1266,MATCH(Data!$DN975,'Data_Price '!$AT$2:$AT$1266,0))</f>
        <v/>
      </c>
      <c r="DJ975" s="138">
        <f>DA975</f>
        <v/>
      </c>
      <c r="DK975" s="138">
        <f>DE975</f>
        <v/>
      </c>
      <c r="DL975" s="138">
        <f>DI975</f>
        <v/>
      </c>
      <c r="DM975" s="303">
        <f>IF(LEFT(BT975,1)=" ",RIGHT(BT975,LEN(BT975)-1),BT975)</f>
        <v/>
      </c>
      <c r="DN975" s="138">
        <f>_xlfn.CONCAT(BS975,DM975,BU975,BV975)</f>
        <v/>
      </c>
      <c r="DO975" s="307" t="n"/>
    </row>
    <row r="976" ht="15.6" customHeight="1" s="184">
      <c r="B976" s="303">
        <f t="array" ref="B976">IF(OR(ISERROR(K976:P976)),FALSE,TRUE)</f>
        <v/>
      </c>
      <c r="C976" s="60">
        <f>OR(BR976=Driver!$G$50,Data!BR729=Driver!$H$50)</f>
        <v/>
      </c>
      <c r="D976" s="60">
        <f>OR(BV976=Driver!$G$51,BV976=Driver!$H$51)</f>
        <v/>
      </c>
      <c r="E976" s="60">
        <f>AND(BX976&gt;Driver!$F$54,BX976&lt;Driver!$G$54)</f>
        <v/>
      </c>
      <c r="F976" s="60">
        <f>CL976&gt;Driver!$F$56</f>
        <v/>
      </c>
      <c r="G976" s="60">
        <f>AND(CB976&gt;Driver!$F$55,CB976&lt;Driver!$G$55)</f>
        <v/>
      </c>
      <c r="H976" s="60">
        <f>AND(B976:G976)</f>
        <v/>
      </c>
      <c r="I976" s="60">
        <f>COUNTIFS($H$9:$H$1273,TRUE,$BT$9:$BT$1273,BT976)</f>
        <v/>
      </c>
      <c r="J976" s="60">
        <f t="array" ref="J976">NOT(OR(($H$9:$H$1273=TRUE)*($I$9:$I$1273&gt;0)*($BT$9:$BT$1273=BT976)*($K$9:$K$1273&gt;K976)))</f>
        <v/>
      </c>
      <c r="K976" s="108">
        <f>IFERROR(1-AVERAGE(X976:Y976),"")</f>
        <v/>
      </c>
      <c r="L976" s="108">
        <f>1-X976</f>
        <v/>
      </c>
      <c r="M976" s="108">
        <f>1-Y976</f>
        <v/>
      </c>
      <c r="N976" s="108">
        <f>1-Z976</f>
        <v/>
      </c>
      <c r="O976" s="108">
        <f>1-AA976</f>
        <v/>
      </c>
      <c r="P976" s="108">
        <f>1-AB976</f>
        <v/>
      </c>
      <c r="Q976" s="108" t="n"/>
      <c r="R976" s="108" t="n"/>
      <c r="S976" s="108">
        <f>1-AE976</f>
        <v/>
      </c>
      <c r="T976" s="108">
        <f>1-AF976</f>
        <v/>
      </c>
      <c r="U976" s="108">
        <f>1-AG976</f>
        <v/>
      </c>
      <c r="V976" s="108">
        <f>1-AH976</f>
        <v/>
      </c>
      <c r="W976" s="108">
        <f>1-AI976</f>
        <v/>
      </c>
      <c r="X976" s="108">
        <f>ABS(AJ976-AJ$1)</f>
        <v/>
      </c>
      <c r="Y976" s="108">
        <f>AVERAGE(Z976:AB976)</f>
        <v/>
      </c>
      <c r="Z976" s="108">
        <f>ABS(AL976-AL$1)</f>
        <v/>
      </c>
      <c r="AA976" s="108">
        <f>ABS(AM976-AM$1)</f>
        <v/>
      </c>
      <c r="AB976" s="108">
        <f>ABS(AN976-AN$1)</f>
        <v/>
      </c>
      <c r="AC976" s="108" t="n"/>
      <c r="AD976" s="108" t="n"/>
      <c r="AE976" s="108">
        <f>ABS(AQ$1-AQ976)</f>
        <v/>
      </c>
      <c r="AF976" s="108">
        <f>ABS(AR$1-AR976)</f>
        <v/>
      </c>
      <c r="AG976" s="108">
        <f>ABS(AS$1-AS976)</f>
        <v/>
      </c>
      <c r="AH976" s="108">
        <f>ABS(AT$1-AT976)</f>
        <v/>
      </c>
      <c r="AI976" s="108">
        <f>ABS(AU$1-AU976)</f>
        <v/>
      </c>
      <c r="AJ976" s="108">
        <f>(AV976-Driver!$K$179)/(Driver!$L$179-Driver!$K$179)</f>
        <v/>
      </c>
      <c r="AK976" s="108">
        <f>(AW976-Driver!$K$180)/(Driver!$L$180-Driver!$K$180)</f>
        <v/>
      </c>
      <c r="AL976" s="108">
        <f>(AX976-Driver!$K$181)/(Driver!$L$181-Driver!$K$181)</f>
        <v/>
      </c>
      <c r="AM976" s="108">
        <f>(AY976-Driver!$K$182)/(Driver!$L$182-Driver!$K$182)</f>
        <v/>
      </c>
      <c r="AN976" s="108">
        <f>(AZ976-Driver!$K$183)/(Driver!$L$183-Driver!$K$183)</f>
        <v/>
      </c>
      <c r="AO976" s="108" t="n"/>
      <c r="AP976" s="108" t="n"/>
      <c r="AQ976" s="108">
        <f>(BC976-Driver!$K$188)/(Driver!$L$188-Driver!$K$188)</f>
        <v/>
      </c>
      <c r="AR976" s="108">
        <f>MIN((BD976-Driver!$K$189)/(Driver!$L$189-Driver!$K$189),100%)</f>
        <v/>
      </c>
      <c r="AS976" s="108">
        <f>(BE976-Driver!$K$190)/(Driver!$L$190-Driver!$K$190)</f>
        <v/>
      </c>
      <c r="AT976" s="108">
        <f>(BF976-Driver!$K$191)/(Driver!$L$191-Driver!$K$191)</f>
        <v/>
      </c>
      <c r="AU976" s="108">
        <f>(BG976-Driver!$K$192)/(Driver!$L$192-Driver!$K$192)</f>
        <v/>
      </c>
      <c r="AV976" s="105">
        <f>IFERROR(BM976*BJ976^1/4,"")</f>
        <v/>
      </c>
      <c r="AW976" s="105">
        <f>IFERROR(SUM(AX976:AZ976),"")</f>
        <v/>
      </c>
      <c r="AX976" s="105">
        <f>IFERROR(BH976,"")</f>
        <v/>
      </c>
      <c r="AY976" s="105">
        <f>IFERROR(Driver!$K$19/Data!BH976/Data!BI976*Data!BK976*Data!BL976,"")</f>
        <v/>
      </c>
      <c r="AZ976" s="105">
        <f>IFERROR(BI976*BN976,"")</f>
        <v/>
      </c>
      <c r="BA976" s="105" t="n"/>
      <c r="BB976" s="105" t="n"/>
      <c r="BC976" s="105">
        <f>IFERROR(BI976*BN976*BK976/BJ976^(1/2),"")</f>
        <v/>
      </c>
      <c r="BD976" s="105">
        <f>IFERROR(BH976*BM976*BL976/BJ976/BK976,"")</f>
        <v/>
      </c>
      <c r="BE976" s="105">
        <f>IFERROR(MIN(BI976/BQ976/BP976/BO976/BH976,$BE$1),"")</f>
        <v/>
      </c>
      <c r="BF976" s="105">
        <f>IFERROR(BJ976*BO976*BP976/BK976,"")</f>
        <v/>
      </c>
      <c r="BG976" s="105">
        <f>IFERROR(1/BM976/BH976*BQ976,"")</f>
        <v/>
      </c>
      <c r="BH976" s="102">
        <f>MAX((CE976-Driver!$F$200)/(Driver!$G$200-Driver!$F$200)*$BI$1,1)</f>
        <v/>
      </c>
      <c r="BI976" s="102">
        <f>MAX($BI$1*(BY976-Driver!$F$201)/(Driver!$G$201-Driver!$F$201),1)</f>
        <v/>
      </c>
      <c r="BJ976" s="102">
        <f>(CB976-Driver!$F$206)/(Driver!$G$206-Driver!$F$206)*$BI$1</f>
        <v/>
      </c>
      <c r="BK976" s="102">
        <f>(CD976-Driver!$F$203)/(Driver!$G$203-Driver!$F$203)*$BI$1</f>
        <v/>
      </c>
      <c r="BL976" s="102">
        <f>MAX((CR976-Driver!$F$202)/(Driver!$G$202-Driver!$F$202)*$BI$1,1)</f>
        <v/>
      </c>
      <c r="BM976" s="102">
        <f>MAX((CH976-Driver!$F$204)/(Driver!$G$204-Driver!$F$204)*$BI$1,1)</f>
        <v/>
      </c>
      <c r="BN976" s="102">
        <f>(CI976-Driver!$F$205)/(Driver!$G$205-Driver!$F$205)*$BI$1</f>
        <v/>
      </c>
      <c r="BO976" s="102">
        <f>(CK976-Driver!$F$207)/(Driver!$G$207-Driver!$F$207)*$BI$1</f>
        <v/>
      </c>
      <c r="BP976" s="102">
        <f>(CM976-Driver!$F$208)/(Driver!$G$208-Driver!$F$208)*$BI$1</f>
        <v/>
      </c>
      <c r="BQ976" s="102">
        <f>(CL976-Driver!$F$209)/(Driver!$G$209-Driver!$F$209)*$BI$1</f>
        <v/>
      </c>
      <c r="BR976" s="40" t="inlineStr">
        <is>
          <t>21/22</t>
        </is>
      </c>
      <c r="BS976" s="10" t="inlineStr">
        <is>
          <t xml:space="preserve"> K2</t>
        </is>
      </c>
      <c r="BT976" s="11" t="inlineStr">
        <is>
          <t>Mindbender 85 Alliance</t>
        </is>
      </c>
      <c r="BU976" s="13" t="n">
        <v>149</v>
      </c>
      <c r="BV976" s="11" t="inlineStr">
        <is>
          <t xml:space="preserve"> Women's</t>
        </is>
      </c>
      <c r="BW976" s="13" t="n">
        <v>149</v>
      </c>
      <c r="BX976" s="13" t="n">
        <v>149.9</v>
      </c>
      <c r="BY976" s="13" t="n">
        <v>116</v>
      </c>
      <c r="BZ976" s="13" t="n">
        <v>122</v>
      </c>
      <c r="CA976" s="13" t="n">
        <v>129</v>
      </c>
      <c r="CB976" s="13" t="n">
        <v>84</v>
      </c>
      <c r="CC976" s="13" t="n">
        <v>112</v>
      </c>
      <c r="CD976" s="13" t="n">
        <v>9.6</v>
      </c>
      <c r="CE976" s="13" t="n">
        <v>1426</v>
      </c>
      <c r="CF976" s="13" t="n">
        <v>1.04</v>
      </c>
      <c r="CG976" s="13" t="n">
        <v>1489</v>
      </c>
      <c r="CH976" s="13" t="n">
        <v>109</v>
      </c>
      <c r="CI976" s="13" t="n">
        <v>66</v>
      </c>
      <c r="CJ976" s="13" t="n">
        <v>40</v>
      </c>
      <c r="CK976" s="13" t="n">
        <v>238</v>
      </c>
      <c r="CL976" s="13" t="n">
        <v>10</v>
      </c>
      <c r="CM976" s="13" t="n">
        <v>100</v>
      </c>
      <c r="CN976" s="13" t="n">
        <v>0.248</v>
      </c>
      <c r="CO976" s="13" t="n">
        <v>169</v>
      </c>
      <c r="CP976" s="13" t="n">
        <v>106</v>
      </c>
      <c r="CQ976" s="13" t="n">
        <v>69</v>
      </c>
      <c r="CR976" s="13" t="n">
        <v>10</v>
      </c>
      <c r="CS976" s="13" t="n">
        <v>10.2</v>
      </c>
      <c r="CT976" s="11" t="inlineStr">
        <is>
          <t xml:space="preserve"> On-Piste All-Mountain</t>
        </is>
      </c>
      <c r="CU976" s="11" t="inlineStr">
        <is>
          <t xml:space="preserve"> Resort Freeride</t>
        </is>
      </c>
      <c r="CV976" s="13" t="n"/>
      <c r="CW976" s="13" t="n"/>
      <c r="CX976">
        <f>INDEX('Data_Price '!AG$2:AG$1266,MATCH(Data!$DN976,'Data_Price '!$AT$2:$AT$1266,0))</f>
        <v/>
      </c>
      <c r="CY976">
        <f>INDEX('Data_Price '!AH$2:AH$1266,MATCH(Data!$DN976,'Data_Price '!$AT$2:$AT$1266,0))</f>
        <v/>
      </c>
      <c r="CZ976">
        <f>INDEX('Data_Price '!AI$2:AI$1266,MATCH(Data!$DN976,'Data_Price '!$AT$2:$AT$1266,0))</f>
        <v/>
      </c>
      <c r="DA976">
        <f>INDEX('Data_Price '!AJ$2:AJ$1266,MATCH(Data!$DN976,'Data_Price '!$AT$2:$AT$1266,0))</f>
        <v/>
      </c>
      <c r="DB976">
        <f>INDEX('Data_Price '!AK$2:AK$1266,MATCH(Data!$DN976,'Data_Price '!$AT$2:$AT$1266,0))</f>
        <v/>
      </c>
      <c r="DC976">
        <f>INDEX('Data_Price '!AL$2:AL$1266,MATCH(Data!$DN976,'Data_Price '!$AT$2:$AT$1266,0))</f>
        <v/>
      </c>
      <c r="DD976">
        <f>INDEX('Data_Price '!AM$2:AM$1266,MATCH(Data!$DN976,'Data_Price '!$AT$2:$AT$1266,0))</f>
        <v/>
      </c>
      <c r="DE976">
        <f>INDEX('Data_Price '!AN$2:AN$1266,MATCH(Data!$DN976,'Data_Price '!$AT$2:$AT$1266,0))</f>
        <v/>
      </c>
      <c r="DF976">
        <f>INDEX('Data_Price '!AO$2:AO$1266,MATCH(Data!$DN976,'Data_Price '!$AT$2:$AT$1266,0))</f>
        <v/>
      </c>
      <c r="DG976">
        <f>INDEX('Data_Price '!AP$2:AP$1266,MATCH(Data!$DN976,'Data_Price '!$AT$2:$AT$1266,0))</f>
        <v/>
      </c>
      <c r="DH976">
        <f>INDEX('Data_Price '!AQ$2:AQ$1266,MATCH(Data!$DN976,'Data_Price '!$AT$2:$AT$1266,0))</f>
        <v/>
      </c>
      <c r="DI976">
        <f>INDEX('Data_Price '!AR$2:AR$1266,MATCH(Data!$DN976,'Data_Price '!$AT$2:$AT$1266,0))</f>
        <v/>
      </c>
      <c r="DJ976" s="138">
        <f>DA976</f>
        <v/>
      </c>
      <c r="DK976" s="138">
        <f>DE976</f>
        <v/>
      </c>
      <c r="DL976" s="138">
        <f>DI976</f>
        <v/>
      </c>
      <c r="DM976" s="303">
        <f>IF(LEFT(BT976,1)=" ",RIGHT(BT976,LEN(BT976)-1),BT976)</f>
        <v/>
      </c>
      <c r="DN976" s="138">
        <f>_xlfn.CONCAT(BS976,DM976,BU976,BV976)</f>
        <v/>
      </c>
      <c r="DO976" s="307" t="inlineStr">
        <is>
          <t>https://images.evo.com/imgp/250/201051/825019/k2-mindbender-85-alliance-skis-women-s-2022-.jpg</t>
        </is>
      </c>
    </row>
    <row r="977" ht="15.6" customHeight="1" s="184">
      <c r="B977" s="303">
        <f t="array" ref="B977">IF(OR(ISERROR(K977:P977)),FALSE,TRUE)</f>
        <v/>
      </c>
      <c r="C977" s="60">
        <f>OR(BR977=Driver!$G$50,Data!BR909=Driver!$H$50)</f>
        <v/>
      </c>
      <c r="D977" s="60">
        <f>OR(BV977=Driver!$G$51,BV977=Driver!$H$51)</f>
        <v/>
      </c>
      <c r="E977" s="60">
        <f>AND(BX977&gt;Driver!$F$54,BX977&lt;Driver!$G$54)</f>
        <v/>
      </c>
      <c r="F977" s="60">
        <f>CL977&gt;Driver!$F$56</f>
        <v/>
      </c>
      <c r="G977" s="60">
        <f>AND(CB977&gt;Driver!$F$55,CB977&lt;Driver!$G$55)</f>
        <v/>
      </c>
      <c r="H977" s="60">
        <f>AND(B977:G977)</f>
        <v/>
      </c>
      <c r="I977" s="60">
        <f>COUNTIFS($H$9:$H$1273,TRUE,$BT$9:$BT$1273,BT977)</f>
        <v/>
      </c>
      <c r="J977" s="60">
        <f t="array" ref="J977">NOT(OR(($H$9:$H$1273=TRUE)*($I$9:$I$1273&gt;0)*($BT$9:$BT$1273=BT977)*($K$9:$K$1273&gt;K977)))</f>
        <v/>
      </c>
      <c r="K977" s="108">
        <f>IFERROR(1-AVERAGE(X977:Y977),"")</f>
        <v/>
      </c>
      <c r="L977" s="108">
        <f>1-X977</f>
        <v/>
      </c>
      <c r="M977" s="108">
        <f>1-Y977</f>
        <v/>
      </c>
      <c r="N977" s="108">
        <f>1-Z977</f>
        <v/>
      </c>
      <c r="O977" s="108">
        <f>1-AA977</f>
        <v/>
      </c>
      <c r="P977" s="108">
        <f>1-AB977</f>
        <v/>
      </c>
      <c r="Q977" s="108" t="n"/>
      <c r="R977" s="108" t="n"/>
      <c r="S977" s="108">
        <f>1-AE977</f>
        <v/>
      </c>
      <c r="T977" s="108">
        <f>1-AF977</f>
        <v/>
      </c>
      <c r="U977" s="108">
        <f>1-AG977</f>
        <v/>
      </c>
      <c r="V977" s="108">
        <f>1-AH977</f>
        <v/>
      </c>
      <c r="W977" s="108">
        <f>1-AI977</f>
        <v/>
      </c>
      <c r="X977" s="108">
        <f>ABS(AJ977-AJ$1)</f>
        <v/>
      </c>
      <c r="Y977" s="108">
        <f>AVERAGE(Z977:AB977)</f>
        <v/>
      </c>
      <c r="Z977" s="108">
        <f>ABS(AL977-AL$1)</f>
        <v/>
      </c>
      <c r="AA977" s="108">
        <f>ABS(AM977-AM$1)</f>
        <v/>
      </c>
      <c r="AB977" s="108">
        <f>ABS(AN977-AN$1)</f>
        <v/>
      </c>
      <c r="AC977" s="108" t="n"/>
      <c r="AD977" s="108" t="n"/>
      <c r="AE977" s="108">
        <f>ABS(AQ$1-AQ977)</f>
        <v/>
      </c>
      <c r="AF977" s="108">
        <f>ABS(AR$1-AR977)</f>
        <v/>
      </c>
      <c r="AG977" s="108">
        <f>ABS(AS$1-AS977)</f>
        <v/>
      </c>
      <c r="AH977" s="108">
        <f>ABS(AT$1-AT977)</f>
        <v/>
      </c>
      <c r="AI977" s="108">
        <f>ABS(AU$1-AU977)</f>
        <v/>
      </c>
      <c r="AJ977" s="108">
        <f>(AV977-Driver!$K$179)/(Driver!$L$179-Driver!$K$179)</f>
        <v/>
      </c>
      <c r="AK977" s="108">
        <f>(AW977-Driver!$K$180)/(Driver!$L$180-Driver!$K$180)</f>
        <v/>
      </c>
      <c r="AL977" s="108">
        <f>(AX977-Driver!$K$181)/(Driver!$L$181-Driver!$K$181)</f>
        <v/>
      </c>
      <c r="AM977" s="108">
        <f>(AY977-Driver!$K$182)/(Driver!$L$182-Driver!$K$182)</f>
        <v/>
      </c>
      <c r="AN977" s="108">
        <f>(AZ977-Driver!$K$183)/(Driver!$L$183-Driver!$K$183)</f>
        <v/>
      </c>
      <c r="AO977" s="108" t="n"/>
      <c r="AP977" s="108" t="n"/>
      <c r="AQ977" s="108">
        <f>(BC977-Driver!$K$188)/(Driver!$L$188-Driver!$K$188)</f>
        <v/>
      </c>
      <c r="AR977" s="108">
        <f>MIN((BD977-Driver!$K$189)/(Driver!$L$189-Driver!$K$189),100%)</f>
        <v/>
      </c>
      <c r="AS977" s="108">
        <f>(BE977-Driver!$K$190)/(Driver!$L$190-Driver!$K$190)</f>
        <v/>
      </c>
      <c r="AT977" s="108">
        <f>(BF977-Driver!$K$191)/(Driver!$L$191-Driver!$K$191)</f>
        <v/>
      </c>
      <c r="AU977" s="108">
        <f>(BG977-Driver!$K$192)/(Driver!$L$192-Driver!$K$192)</f>
        <v/>
      </c>
      <c r="AV977" s="105">
        <f>IFERROR(BM977*BJ977^1/4,"")</f>
        <v/>
      </c>
      <c r="AW977" s="105">
        <f>IFERROR(SUM(AX977:AZ977),"")</f>
        <v/>
      </c>
      <c r="AX977" s="105">
        <f>IFERROR(BH977,"")</f>
        <v/>
      </c>
      <c r="AY977" s="105">
        <f>IFERROR(Driver!$K$19/Data!BH977/Data!BI977*Data!BK977*Data!BL977,"")</f>
        <v/>
      </c>
      <c r="AZ977" s="105">
        <f>IFERROR(BI977*BN977,"")</f>
        <v/>
      </c>
      <c r="BA977" s="105" t="n"/>
      <c r="BB977" s="105" t="n"/>
      <c r="BC977" s="105">
        <f>IFERROR(BI977*BN977*BK977/BJ977^(1/2),"")</f>
        <v/>
      </c>
      <c r="BD977" s="105">
        <f>IFERROR(BH977*BM977*BL977/BJ977/BK977,"")</f>
        <v/>
      </c>
      <c r="BE977" s="105">
        <f>IFERROR(MIN(BI977/BQ977/BP977/BO977/BH977,$BE$1),"")</f>
        <v/>
      </c>
      <c r="BF977" s="105">
        <f>IFERROR(BJ977*BO977*BP977/BK977,"")</f>
        <v/>
      </c>
      <c r="BG977" s="105">
        <f>IFERROR(1/BM977/BH977*BQ977,"")</f>
        <v/>
      </c>
      <c r="BH977" s="102">
        <f>MAX((CE977-Driver!$F$200)/(Driver!$G$200-Driver!$F$200)*$BI$1,1)</f>
        <v/>
      </c>
      <c r="BI977" s="102">
        <f>MAX($BI$1*(BY977-Driver!$F$201)/(Driver!$G$201-Driver!$F$201),1)</f>
        <v/>
      </c>
      <c r="BJ977" s="102">
        <f>(CB977-Driver!$F$206)/(Driver!$G$206-Driver!$F$206)*$BI$1</f>
        <v/>
      </c>
      <c r="BK977" s="102">
        <f>(CD977-Driver!$F$203)/(Driver!$G$203-Driver!$F$203)*$BI$1</f>
        <v/>
      </c>
      <c r="BL977" s="102">
        <f>MAX((CR977-Driver!$F$202)/(Driver!$G$202-Driver!$F$202)*$BI$1,1)</f>
        <v/>
      </c>
      <c r="BM977" s="102">
        <f>MAX((CH977-Driver!$F$204)/(Driver!$G$204-Driver!$F$204)*$BI$1,1)</f>
        <v/>
      </c>
      <c r="BN977" s="102">
        <f>(CI977-Driver!$F$205)/(Driver!$G$205-Driver!$F$205)*$BI$1</f>
        <v/>
      </c>
      <c r="BO977" s="102">
        <f>(CK977-Driver!$F$207)/(Driver!$G$207-Driver!$F$207)*$BI$1</f>
        <v/>
      </c>
      <c r="BP977" s="102">
        <f>(CM977-Driver!$F$208)/(Driver!$G$208-Driver!$F$208)*$BI$1</f>
        <v/>
      </c>
      <c r="BQ977" s="102">
        <f>(CL977-Driver!$F$209)/(Driver!$G$209-Driver!$F$209)*$BI$1</f>
        <v/>
      </c>
      <c r="BR977" s="40" t="inlineStr">
        <is>
          <t>21/22</t>
        </is>
      </c>
      <c r="BS977" s="10" t="inlineStr">
        <is>
          <t xml:space="preserve"> Nordica</t>
        </is>
      </c>
      <c r="BT977" s="11" t="inlineStr">
        <is>
          <t>Enforcer 94</t>
        </is>
      </c>
      <c r="BU977" s="13" t="n">
        <v>172</v>
      </c>
      <c r="BV977" s="11" t="inlineStr">
        <is>
          <t xml:space="preserve"> Unisex</t>
        </is>
      </c>
      <c r="BW977" s="13" t="n">
        <v>172</v>
      </c>
      <c r="BX977" s="13" t="n">
        <v>171.3</v>
      </c>
      <c r="BY977" s="13" t="n">
        <v>124</v>
      </c>
      <c r="BZ977" s="13" t="n">
        <v>143</v>
      </c>
      <c r="CA977" s="13" t="n">
        <v>127</v>
      </c>
      <c r="CB977" s="13" t="n">
        <v>92</v>
      </c>
      <c r="CC977" s="13" t="n">
        <v>113</v>
      </c>
      <c r="CD977" s="13" t="n">
        <v>15.9</v>
      </c>
      <c r="CE977" s="13" t="n">
        <v>2044</v>
      </c>
      <c r="CF977" s="13" t="n">
        <v>0.87</v>
      </c>
      <c r="CG977" s="13" t="n">
        <v>1774</v>
      </c>
      <c r="CH977" s="13" t="n">
        <v>226</v>
      </c>
      <c r="CI977" s="13" t="n">
        <v>144</v>
      </c>
      <c r="CJ977" s="13" t="n">
        <v>54</v>
      </c>
      <c r="CK977" s="13" t="n">
        <v>276</v>
      </c>
      <c r="CL977" s="13" t="n">
        <v>15</v>
      </c>
      <c r="CM977" s="13" t="n">
        <v>196</v>
      </c>
      <c r="CN977" s="13" t="n">
        <v>0.279</v>
      </c>
      <c r="CO977" s="13" t="n">
        <v>132</v>
      </c>
      <c r="CP977" s="13" t="n">
        <v>150</v>
      </c>
      <c r="CQ977" s="13" t="n">
        <v>144</v>
      </c>
      <c r="CR977" s="13" t="n">
        <v>6</v>
      </c>
      <c r="CS977" s="13" t="n">
        <v>9.1</v>
      </c>
      <c r="CT977" s="11" t="inlineStr">
        <is>
          <t xml:space="preserve"> Resort Freeride</t>
        </is>
      </c>
      <c r="CU977" s="13" t="n"/>
      <c r="CV977" s="13" t="n"/>
      <c r="CW977" s="13" t="n"/>
      <c r="CX977">
        <f>INDEX('Data_Price '!AG$2:AG$1266,MATCH(Data!$DN977,'Data_Price '!$AT$2:$AT$1266,0))</f>
        <v/>
      </c>
      <c r="CY977">
        <f>INDEX('Data_Price '!AH$2:AH$1266,MATCH(Data!$DN977,'Data_Price '!$AT$2:$AT$1266,0))</f>
        <v/>
      </c>
      <c r="CZ977">
        <f>INDEX('Data_Price '!AI$2:AI$1266,MATCH(Data!$DN977,'Data_Price '!$AT$2:$AT$1266,0))</f>
        <v/>
      </c>
      <c r="DA977">
        <f>INDEX('Data_Price '!AJ$2:AJ$1266,MATCH(Data!$DN977,'Data_Price '!$AT$2:$AT$1266,0))</f>
        <v/>
      </c>
      <c r="DB977">
        <f>INDEX('Data_Price '!AK$2:AK$1266,MATCH(Data!$DN977,'Data_Price '!$AT$2:$AT$1266,0))</f>
        <v/>
      </c>
      <c r="DC977">
        <f>INDEX('Data_Price '!AL$2:AL$1266,MATCH(Data!$DN977,'Data_Price '!$AT$2:$AT$1266,0))</f>
        <v/>
      </c>
      <c r="DD977">
        <f>INDEX('Data_Price '!AM$2:AM$1266,MATCH(Data!$DN977,'Data_Price '!$AT$2:$AT$1266,0))</f>
        <v/>
      </c>
      <c r="DE977">
        <f>INDEX('Data_Price '!AN$2:AN$1266,MATCH(Data!$DN977,'Data_Price '!$AT$2:$AT$1266,0))</f>
        <v/>
      </c>
      <c r="DF977">
        <f>INDEX('Data_Price '!AO$2:AO$1266,MATCH(Data!$DN977,'Data_Price '!$AT$2:$AT$1266,0))</f>
        <v/>
      </c>
      <c r="DG977">
        <f>INDEX('Data_Price '!AP$2:AP$1266,MATCH(Data!$DN977,'Data_Price '!$AT$2:$AT$1266,0))</f>
        <v/>
      </c>
      <c r="DH977">
        <f>INDEX('Data_Price '!AQ$2:AQ$1266,MATCH(Data!$DN977,'Data_Price '!$AT$2:$AT$1266,0))</f>
        <v/>
      </c>
      <c r="DI977">
        <f>INDEX('Data_Price '!AR$2:AR$1266,MATCH(Data!$DN977,'Data_Price '!$AT$2:$AT$1266,0))</f>
        <v/>
      </c>
      <c r="DJ977" s="138">
        <f>DA977</f>
        <v/>
      </c>
      <c r="DK977" s="138">
        <f>DE977</f>
        <v/>
      </c>
      <c r="DL977" s="138">
        <f>DI977</f>
        <v/>
      </c>
      <c r="DM977" s="303">
        <f>IF(LEFT(BT977,1)=" ",RIGHT(BT977,LEN(BT977)-1),BT977)</f>
        <v/>
      </c>
      <c r="DN977" s="138">
        <f>_xlfn.CONCAT(BS977,DM977,BU977,BV977)</f>
        <v/>
      </c>
      <c r="DO977" s="307" t="inlineStr">
        <is>
          <t>https://images.evo.com/imgp/250/198254/792323/nordica-enforcer-94-skis-2022-.jpg</t>
        </is>
      </c>
    </row>
    <row r="978" ht="15.6" customHeight="1" s="184">
      <c r="B978" s="303">
        <f t="array" ref="B978">IF(OR(ISERROR(K978:P978)),FALSE,TRUE)</f>
        <v/>
      </c>
      <c r="C978" s="60">
        <f>OR(BR978=Driver!$G$50,Data!BR974=Driver!$H$50)</f>
        <v/>
      </c>
      <c r="D978" s="60">
        <f>OR(BV978=Driver!$G$51,BV978=Driver!$H$51)</f>
        <v/>
      </c>
      <c r="E978" s="60">
        <f>AND(BX978&gt;Driver!$F$54,BX978&lt;Driver!$G$54)</f>
        <v/>
      </c>
      <c r="F978" s="60">
        <f>CL978&gt;Driver!$F$56</f>
        <v/>
      </c>
      <c r="G978" s="60">
        <f>AND(CB978&gt;Driver!$F$55,CB978&lt;Driver!$G$55)</f>
        <v/>
      </c>
      <c r="H978" s="60">
        <f>AND(B978:G978)</f>
        <v/>
      </c>
      <c r="I978" s="60">
        <f>COUNTIFS($H$9:$H$1273,TRUE,$BT$9:$BT$1273,BT978)</f>
        <v/>
      </c>
      <c r="J978" s="60">
        <f t="array" ref="J978">NOT(OR(($H$9:$H$1273=TRUE)*($I$9:$I$1273&gt;0)*($BT$9:$BT$1273=BT978)*($K$9:$K$1273&gt;K978)))</f>
        <v/>
      </c>
      <c r="K978" s="108">
        <f>IFERROR(1-AVERAGE(X978:Y978),"")</f>
        <v/>
      </c>
      <c r="L978" s="108">
        <f>1-X978</f>
        <v/>
      </c>
      <c r="M978" s="108">
        <f>1-Y978</f>
        <v/>
      </c>
      <c r="N978" s="108">
        <f>1-Z978</f>
        <v/>
      </c>
      <c r="O978" s="108">
        <f>1-AA978</f>
        <v/>
      </c>
      <c r="P978" s="108">
        <f>1-AB978</f>
        <v/>
      </c>
      <c r="Q978" s="108" t="n"/>
      <c r="R978" s="108" t="n"/>
      <c r="S978" s="108">
        <f>1-AE978</f>
        <v/>
      </c>
      <c r="T978" s="108">
        <f>1-AF978</f>
        <v/>
      </c>
      <c r="U978" s="108">
        <f>1-AG978</f>
        <v/>
      </c>
      <c r="V978" s="108">
        <f>1-AH978</f>
        <v/>
      </c>
      <c r="W978" s="108">
        <f>1-AI978</f>
        <v/>
      </c>
      <c r="X978" s="108">
        <f>ABS(AJ978-AJ$1)</f>
        <v/>
      </c>
      <c r="Y978" s="108">
        <f>AVERAGE(Z978:AB978)</f>
        <v/>
      </c>
      <c r="Z978" s="108">
        <f>ABS(AL978-AL$1)</f>
        <v/>
      </c>
      <c r="AA978" s="108">
        <f>ABS(AM978-AM$1)</f>
        <v/>
      </c>
      <c r="AB978" s="108">
        <f>ABS(AN978-AN$1)</f>
        <v/>
      </c>
      <c r="AC978" s="108" t="n"/>
      <c r="AD978" s="108" t="n"/>
      <c r="AE978" s="108">
        <f>ABS(AQ$1-AQ978)</f>
        <v/>
      </c>
      <c r="AF978" s="108">
        <f>ABS(AR$1-AR978)</f>
        <v/>
      </c>
      <c r="AG978" s="108">
        <f>ABS(AS$1-AS978)</f>
        <v/>
      </c>
      <c r="AH978" s="108">
        <f>ABS(AT$1-AT978)</f>
        <v/>
      </c>
      <c r="AI978" s="108">
        <f>ABS(AU$1-AU978)</f>
        <v/>
      </c>
      <c r="AJ978" s="108">
        <f>(AV978-Driver!$K$179)/(Driver!$L$179-Driver!$K$179)</f>
        <v/>
      </c>
      <c r="AK978" s="108">
        <f>(AW978-Driver!$K$180)/(Driver!$L$180-Driver!$K$180)</f>
        <v/>
      </c>
      <c r="AL978" s="108">
        <f>(AX978-Driver!$K$181)/(Driver!$L$181-Driver!$K$181)</f>
        <v/>
      </c>
      <c r="AM978" s="108">
        <f>(AY978-Driver!$K$182)/(Driver!$L$182-Driver!$K$182)</f>
        <v/>
      </c>
      <c r="AN978" s="108">
        <f>(AZ978-Driver!$K$183)/(Driver!$L$183-Driver!$K$183)</f>
        <v/>
      </c>
      <c r="AO978" s="108" t="n"/>
      <c r="AP978" s="108" t="n"/>
      <c r="AQ978" s="108">
        <f>(BC978-Driver!$K$188)/(Driver!$L$188-Driver!$K$188)</f>
        <v/>
      </c>
      <c r="AR978" s="108">
        <f>MIN((BD978-Driver!$K$189)/(Driver!$L$189-Driver!$K$189),100%)</f>
        <v/>
      </c>
      <c r="AS978" s="108">
        <f>(BE978-Driver!$K$190)/(Driver!$L$190-Driver!$K$190)</f>
        <v/>
      </c>
      <c r="AT978" s="108">
        <f>(BF978-Driver!$K$191)/(Driver!$L$191-Driver!$K$191)</f>
        <v/>
      </c>
      <c r="AU978" s="108">
        <f>(BG978-Driver!$K$192)/(Driver!$L$192-Driver!$K$192)</f>
        <v/>
      </c>
      <c r="AV978" s="105">
        <f>IFERROR(BM978*BJ978^1/4,"")</f>
        <v/>
      </c>
      <c r="AW978" s="105">
        <f>IFERROR(SUM(AX978:AZ978),"")</f>
        <v/>
      </c>
      <c r="AX978" s="105">
        <f>IFERROR(BH978,"")</f>
        <v/>
      </c>
      <c r="AY978" s="105">
        <f>IFERROR(Driver!$K$19/Data!BH978/Data!BI978*Data!BK978*Data!BL978,"")</f>
        <v/>
      </c>
      <c r="AZ978" s="105">
        <f>IFERROR(BI978*BN978,"")</f>
        <v/>
      </c>
      <c r="BA978" s="105" t="n"/>
      <c r="BB978" s="105" t="n"/>
      <c r="BC978" s="105">
        <f>IFERROR(BI978*BN978*BK978/BJ978^(1/2),"")</f>
        <v/>
      </c>
      <c r="BD978" s="105">
        <f>IFERROR(BH978*BM978*BL978/BJ978/BK978,"")</f>
        <v/>
      </c>
      <c r="BE978" s="105">
        <f>IFERROR(MIN(BI978/BQ978/BP978/BO978/BH978,$BE$1),"")</f>
        <v/>
      </c>
      <c r="BF978" s="105">
        <f>IFERROR(BJ978*BO978*BP978/BK978,"")</f>
        <v/>
      </c>
      <c r="BG978" s="105">
        <f>IFERROR(1/BM978/BH978*BQ978,"")</f>
        <v/>
      </c>
      <c r="BH978" s="102">
        <f>MAX((CE978-Driver!$F$200)/(Driver!$G$200-Driver!$F$200)*$BI$1,1)</f>
        <v/>
      </c>
      <c r="BI978" s="102">
        <f>MAX($BI$1*(BY978-Driver!$F$201)/(Driver!$G$201-Driver!$F$201),1)</f>
        <v/>
      </c>
      <c r="BJ978" s="102">
        <f>(CB978-Driver!$F$206)/(Driver!$G$206-Driver!$F$206)*$BI$1</f>
        <v/>
      </c>
      <c r="BK978" s="102">
        <f>(CD978-Driver!$F$203)/(Driver!$G$203-Driver!$F$203)*$BI$1</f>
        <v/>
      </c>
      <c r="BL978" s="102">
        <f>MAX((CR978-Driver!$F$202)/(Driver!$G$202-Driver!$F$202)*$BI$1,1)</f>
        <v/>
      </c>
      <c r="BM978" s="102">
        <f>MAX((CH978-Driver!$F$204)/(Driver!$G$204-Driver!$F$204)*$BI$1,1)</f>
        <v/>
      </c>
      <c r="BN978" s="102">
        <f>(CI978-Driver!$F$205)/(Driver!$G$205-Driver!$F$205)*$BI$1</f>
        <v/>
      </c>
      <c r="BO978" s="102">
        <f>(CK978-Driver!$F$207)/(Driver!$G$207-Driver!$F$207)*$BI$1</f>
        <v/>
      </c>
      <c r="BP978" s="102">
        <f>(CM978-Driver!$F$208)/(Driver!$G$208-Driver!$F$208)*$BI$1</f>
        <v/>
      </c>
      <c r="BQ978" s="102">
        <f>(CL978-Driver!$F$209)/(Driver!$G$209-Driver!$F$209)*$BI$1</f>
        <v/>
      </c>
      <c r="BR978" s="40" t="inlineStr">
        <is>
          <t>21/22</t>
        </is>
      </c>
      <c r="BS978" s="10" t="inlineStr">
        <is>
          <t xml:space="preserve"> Rossignol</t>
        </is>
      </c>
      <c r="BT978" s="11" t="inlineStr">
        <is>
          <t xml:space="preserve"> Blackops Escaper</t>
        </is>
      </c>
      <c r="BU978" s="13" t="n">
        <v>186</v>
      </c>
      <c r="BV978" s="11" t="inlineStr">
        <is>
          <t xml:space="preserve"> Unisex</t>
        </is>
      </c>
      <c r="BW978" s="13" t="n">
        <v>186</v>
      </c>
      <c r="BX978" s="13" t="n">
        <v>186.5</v>
      </c>
      <c r="BY978" s="13" t="n">
        <v>140</v>
      </c>
      <c r="BZ978" s="13" t="n">
        <v>161</v>
      </c>
      <c r="CA978" s="13" t="n">
        <v>126</v>
      </c>
      <c r="CB978" s="13" t="n">
        <v>93</v>
      </c>
      <c r="CC978" s="13" t="n">
        <v>116</v>
      </c>
      <c r="CD978" s="13" t="n">
        <v>21.4</v>
      </c>
      <c r="CE978" s="13" t="n">
        <v>1870</v>
      </c>
      <c r="CF978" s="13" t="n">
        <v>1.04</v>
      </c>
      <c r="CG978" s="13" t="n">
        <v>1948</v>
      </c>
      <c r="CH978" s="13" t="n">
        <v>295</v>
      </c>
      <c r="CI978" s="13" t="n">
        <v>138</v>
      </c>
      <c r="CJ978" s="13" t="n">
        <v>46</v>
      </c>
      <c r="CK978" s="13" t="n">
        <v>286</v>
      </c>
      <c r="CL978" s="13" t="n">
        <v>14</v>
      </c>
      <c r="CM978" s="13" t="n">
        <v>178</v>
      </c>
      <c r="CN978" s="13" t="n">
        <v>0.31</v>
      </c>
      <c r="CO978" s="13" t="n">
        <v>148</v>
      </c>
      <c r="CP978" s="13" t="n">
        <v>103</v>
      </c>
      <c r="CQ978" s="13" t="n">
        <v>138</v>
      </c>
      <c r="CR978" s="13" t="n">
        <v>7</v>
      </c>
      <c r="CS978" s="13" t="n">
        <v>8.300000000000001</v>
      </c>
      <c r="CT978" s="11" t="inlineStr">
        <is>
          <t xml:space="preserve"> Resort Freeride</t>
        </is>
      </c>
      <c r="CU978" s="13" t="n"/>
      <c r="CV978" s="13" t="n"/>
      <c r="CW978" s="13" t="n"/>
      <c r="CX978">
        <f>INDEX('Data_Price '!AG$2:AG$1266,MATCH(Data!$DN978,'Data_Price '!$AT$2:$AT$1266,0))</f>
        <v/>
      </c>
      <c r="CY978">
        <f>INDEX('Data_Price '!AH$2:AH$1266,MATCH(Data!$DN978,'Data_Price '!$AT$2:$AT$1266,0))</f>
        <v/>
      </c>
      <c r="CZ978">
        <f>INDEX('Data_Price '!AI$2:AI$1266,MATCH(Data!$DN978,'Data_Price '!$AT$2:$AT$1266,0))</f>
        <v/>
      </c>
      <c r="DA978">
        <f>INDEX('Data_Price '!AJ$2:AJ$1266,MATCH(Data!$DN978,'Data_Price '!$AT$2:$AT$1266,0))</f>
        <v/>
      </c>
      <c r="DB978">
        <f>INDEX('Data_Price '!AK$2:AK$1266,MATCH(Data!$DN978,'Data_Price '!$AT$2:$AT$1266,0))</f>
        <v/>
      </c>
      <c r="DC978">
        <f>INDEX('Data_Price '!AL$2:AL$1266,MATCH(Data!$DN978,'Data_Price '!$AT$2:$AT$1266,0))</f>
        <v/>
      </c>
      <c r="DD978">
        <f>INDEX('Data_Price '!AM$2:AM$1266,MATCH(Data!$DN978,'Data_Price '!$AT$2:$AT$1266,0))</f>
        <v/>
      </c>
      <c r="DE978">
        <f>INDEX('Data_Price '!AN$2:AN$1266,MATCH(Data!$DN978,'Data_Price '!$AT$2:$AT$1266,0))</f>
        <v/>
      </c>
      <c r="DF978">
        <f>INDEX('Data_Price '!AO$2:AO$1266,MATCH(Data!$DN978,'Data_Price '!$AT$2:$AT$1266,0))</f>
        <v/>
      </c>
      <c r="DG978">
        <f>INDEX('Data_Price '!AP$2:AP$1266,MATCH(Data!$DN978,'Data_Price '!$AT$2:$AT$1266,0))</f>
        <v/>
      </c>
      <c r="DH978">
        <f>INDEX('Data_Price '!AQ$2:AQ$1266,MATCH(Data!$DN978,'Data_Price '!$AT$2:$AT$1266,0))</f>
        <v/>
      </c>
      <c r="DI978">
        <f>INDEX('Data_Price '!AR$2:AR$1266,MATCH(Data!$DN978,'Data_Price '!$AT$2:$AT$1266,0))</f>
        <v/>
      </c>
      <c r="DJ978" s="138">
        <f>DA978</f>
        <v/>
      </c>
      <c r="DK978" s="138">
        <f>DE978</f>
        <v/>
      </c>
      <c r="DL978" s="138">
        <f>DI978</f>
        <v/>
      </c>
      <c r="DM978" s="303">
        <f>IF(LEFT(BT978,1)=" ",RIGHT(BT978,LEN(BT978)-1),BT978)</f>
        <v/>
      </c>
      <c r="DN978" s="138">
        <f>_xlfn.CONCAT(BS978,DM978,BU978,BV978)</f>
        <v/>
      </c>
      <c r="DO978" s="307" t="n"/>
    </row>
    <row r="979" ht="15.6" customHeight="1" s="184">
      <c r="B979" s="303">
        <f t="array" ref="B979">IF(OR(ISERROR(K979:P979)),FALSE,TRUE)</f>
        <v/>
      </c>
      <c r="C979" s="60">
        <f>OR(BR979=Driver!$G$50,Data!BR707=Driver!$H$50)</f>
        <v/>
      </c>
      <c r="D979" s="60">
        <f>OR(BV979=Driver!$G$51,BV979=Driver!$H$51)</f>
        <v/>
      </c>
      <c r="E979" s="60">
        <f>AND(BX979&gt;Driver!$F$54,BX979&lt;Driver!$G$54)</f>
        <v/>
      </c>
      <c r="F979" s="60">
        <f>CL979&gt;Driver!$F$56</f>
        <v/>
      </c>
      <c r="G979" s="60">
        <f>AND(CB979&gt;Driver!$F$55,CB979&lt;Driver!$G$55)</f>
        <v/>
      </c>
      <c r="H979" s="60">
        <f>AND(B979:G979)</f>
        <v/>
      </c>
      <c r="I979" s="60">
        <f>COUNTIFS($H$9:$H$1273,TRUE,$BT$9:$BT$1273,BT979)</f>
        <v/>
      </c>
      <c r="J979" s="60">
        <f t="array" ref="J979">NOT(OR(($H$9:$H$1273=TRUE)*($I$9:$I$1273&gt;0)*($BT$9:$BT$1273=BT979)*($K$9:$K$1273&gt;K979)))</f>
        <v/>
      </c>
      <c r="K979" s="108">
        <f>IFERROR(1-AVERAGE(X979:Y979),"")</f>
        <v/>
      </c>
      <c r="L979" s="108">
        <f>1-X979</f>
        <v/>
      </c>
      <c r="M979" s="108">
        <f>1-Y979</f>
        <v/>
      </c>
      <c r="N979" s="108">
        <f>1-Z979</f>
        <v/>
      </c>
      <c r="O979" s="108">
        <f>1-AA979</f>
        <v/>
      </c>
      <c r="P979" s="108">
        <f>1-AB979</f>
        <v/>
      </c>
      <c r="Q979" s="108" t="n"/>
      <c r="R979" s="108" t="n"/>
      <c r="S979" s="108">
        <f>1-AE979</f>
        <v/>
      </c>
      <c r="T979" s="108">
        <f>1-AF979</f>
        <v/>
      </c>
      <c r="U979" s="108">
        <f>1-AG979</f>
        <v/>
      </c>
      <c r="V979" s="108">
        <f>1-AH979</f>
        <v/>
      </c>
      <c r="W979" s="108">
        <f>1-AI979</f>
        <v/>
      </c>
      <c r="X979" s="108">
        <f>ABS(AJ979-AJ$1)</f>
        <v/>
      </c>
      <c r="Y979" s="108">
        <f>AVERAGE(Z979:AB979)</f>
        <v/>
      </c>
      <c r="Z979" s="108">
        <f>ABS(AL979-AL$1)</f>
        <v/>
      </c>
      <c r="AA979" s="108">
        <f>ABS(AM979-AM$1)</f>
        <v/>
      </c>
      <c r="AB979" s="108">
        <f>ABS(AN979-AN$1)</f>
        <v/>
      </c>
      <c r="AC979" s="108" t="n"/>
      <c r="AD979" s="108" t="n"/>
      <c r="AE979" s="108">
        <f>ABS(AQ$1-AQ979)</f>
        <v/>
      </c>
      <c r="AF979" s="108">
        <f>ABS(AR$1-AR979)</f>
        <v/>
      </c>
      <c r="AG979" s="108">
        <f>ABS(AS$1-AS979)</f>
        <v/>
      </c>
      <c r="AH979" s="108">
        <f>ABS(AT$1-AT979)</f>
        <v/>
      </c>
      <c r="AI979" s="108">
        <f>ABS(AU$1-AU979)</f>
        <v/>
      </c>
      <c r="AJ979" s="108">
        <f>(AV979-Driver!$K$179)/(Driver!$L$179-Driver!$K$179)</f>
        <v/>
      </c>
      <c r="AK979" s="108">
        <f>(AW979-Driver!$K$180)/(Driver!$L$180-Driver!$K$180)</f>
        <v/>
      </c>
      <c r="AL979" s="108">
        <f>(AX979-Driver!$K$181)/(Driver!$L$181-Driver!$K$181)</f>
        <v/>
      </c>
      <c r="AM979" s="108">
        <f>(AY979-Driver!$K$182)/(Driver!$L$182-Driver!$K$182)</f>
        <v/>
      </c>
      <c r="AN979" s="108">
        <f>(AZ979-Driver!$K$183)/(Driver!$L$183-Driver!$K$183)</f>
        <v/>
      </c>
      <c r="AO979" s="108" t="n"/>
      <c r="AP979" s="108" t="n"/>
      <c r="AQ979" s="108">
        <f>(BC979-Driver!$K$188)/(Driver!$L$188-Driver!$K$188)</f>
        <v/>
      </c>
      <c r="AR979" s="108">
        <f>MIN((BD979-Driver!$K$189)/(Driver!$L$189-Driver!$K$189),100%)</f>
        <v/>
      </c>
      <c r="AS979" s="108">
        <f>(BE979-Driver!$K$190)/(Driver!$L$190-Driver!$K$190)</f>
        <v/>
      </c>
      <c r="AT979" s="108">
        <f>(BF979-Driver!$K$191)/(Driver!$L$191-Driver!$K$191)</f>
        <v/>
      </c>
      <c r="AU979" s="108">
        <f>(BG979-Driver!$K$192)/(Driver!$L$192-Driver!$K$192)</f>
        <v/>
      </c>
      <c r="AV979" s="105">
        <f>IFERROR(BM979*BJ979^1/4,"")</f>
        <v/>
      </c>
      <c r="AW979" s="105">
        <f>IFERROR(SUM(AX979:AZ979),"")</f>
        <v/>
      </c>
      <c r="AX979" s="105">
        <f>IFERROR(BH979,"")</f>
        <v/>
      </c>
      <c r="AY979" s="105">
        <f>IFERROR(Driver!$K$19/Data!BH979/Data!BI979*Data!BK979*Data!BL979,"")</f>
        <v/>
      </c>
      <c r="AZ979" s="105">
        <f>IFERROR(BI979*BN979,"")</f>
        <v/>
      </c>
      <c r="BA979" s="105" t="n"/>
      <c r="BB979" s="105" t="n"/>
      <c r="BC979" s="105">
        <f>IFERROR(BI979*BN979*BK979/BJ979^(1/2),"")</f>
        <v/>
      </c>
      <c r="BD979" s="105">
        <f>IFERROR(BH979*BM979*BL979/BJ979/BK979,"")</f>
        <v/>
      </c>
      <c r="BE979" s="105">
        <f>IFERROR(MIN(BI979/BQ979/BP979/BO979/BH979,$BE$1),"")</f>
        <v/>
      </c>
      <c r="BF979" s="105">
        <f>IFERROR(BJ979*BO979*BP979/BK979,"")</f>
        <v/>
      </c>
      <c r="BG979" s="105">
        <f>IFERROR(1/BM979/BH979*BQ979,"")</f>
        <v/>
      </c>
      <c r="BH979" s="102">
        <f>MAX((CE979-Driver!$F$200)/(Driver!$G$200-Driver!$F$200)*$BI$1,1)</f>
        <v/>
      </c>
      <c r="BI979" s="102">
        <f>MAX($BI$1*(BY979-Driver!$F$201)/(Driver!$G$201-Driver!$F$201),1)</f>
        <v/>
      </c>
      <c r="BJ979" s="102">
        <f>(CB979-Driver!$F$206)/(Driver!$G$206-Driver!$F$206)*$BI$1</f>
        <v/>
      </c>
      <c r="BK979" s="102">
        <f>(CD979-Driver!$F$203)/(Driver!$G$203-Driver!$F$203)*$BI$1</f>
        <v/>
      </c>
      <c r="BL979" s="102">
        <f>MAX((CR979-Driver!$F$202)/(Driver!$G$202-Driver!$F$202)*$BI$1,1)</f>
        <v/>
      </c>
      <c r="BM979" s="102">
        <f>MAX((CH979-Driver!$F$204)/(Driver!$G$204-Driver!$F$204)*$BI$1,1)</f>
        <v/>
      </c>
      <c r="BN979" s="102">
        <f>(CI979-Driver!$F$205)/(Driver!$G$205-Driver!$F$205)*$BI$1</f>
        <v/>
      </c>
      <c r="BO979" s="102">
        <f>(CK979-Driver!$F$207)/(Driver!$G$207-Driver!$F$207)*$BI$1</f>
        <v/>
      </c>
      <c r="BP979" s="102">
        <f>(CM979-Driver!$F$208)/(Driver!$G$208-Driver!$F$208)*$BI$1</f>
        <v/>
      </c>
      <c r="BQ979" s="102">
        <f>(CL979-Driver!$F$209)/(Driver!$G$209-Driver!$F$209)*$BI$1</f>
        <v/>
      </c>
      <c r="BR979" s="40" t="inlineStr">
        <is>
          <t>21/22</t>
        </is>
      </c>
      <c r="BS979" s="10" t="inlineStr">
        <is>
          <t xml:space="preserve"> K2</t>
        </is>
      </c>
      <c r="BT979" s="11" t="inlineStr">
        <is>
          <t>Disruption 78C</t>
        </is>
      </c>
      <c r="BU979" s="13" t="n">
        <v>177</v>
      </c>
      <c r="BV979" s="11" t="inlineStr">
        <is>
          <t xml:space="preserve"> Unisex</t>
        </is>
      </c>
      <c r="BW979" s="13" t="n">
        <v>177</v>
      </c>
      <c r="BX979" s="13" t="n">
        <v>177.8</v>
      </c>
      <c r="BY979" s="13" t="n">
        <v>159</v>
      </c>
      <c r="BZ979" s="13" t="n">
        <v>166</v>
      </c>
      <c r="CA979" s="13" t="n">
        <v>124</v>
      </c>
      <c r="CB979" s="13" t="n">
        <v>77</v>
      </c>
      <c r="CC979" s="13" t="n">
        <v>110</v>
      </c>
      <c r="CD979" s="13" t="n">
        <v>16.9</v>
      </c>
      <c r="CE979" s="13" t="n">
        <v>2051</v>
      </c>
      <c r="CF979" s="13" t="n">
        <v>0.79</v>
      </c>
      <c r="CG979" s="13" t="n">
        <v>1627</v>
      </c>
      <c r="CH979" s="13" t="n">
        <v>230</v>
      </c>
      <c r="CI979" s="13" t="n">
        <v>102</v>
      </c>
      <c r="CJ979" s="13" t="n">
        <v>33</v>
      </c>
      <c r="CK979" s="13" t="n">
        <v>135</v>
      </c>
      <c r="CL979" s="13" t="n">
        <v>6</v>
      </c>
      <c r="CM979" s="13" t="n">
        <v>57</v>
      </c>
      <c r="CN979" s="13" t="n">
        <v>0.191</v>
      </c>
      <c r="CO979" s="13" t="n">
        <v>81</v>
      </c>
      <c r="CP979" s="13" t="n">
        <v>42</v>
      </c>
      <c r="CQ979" s="13" t="n">
        <v>54</v>
      </c>
      <c r="CR979" s="13" t="n">
        <v>12</v>
      </c>
      <c r="CS979" s="13" t="n">
        <v>10.4</v>
      </c>
      <c r="CT979" s="11" t="inlineStr">
        <is>
          <t xml:space="preserve"> On-Piste Carving</t>
        </is>
      </c>
      <c r="CU979" s="13" t="n"/>
      <c r="CV979" s="13" t="n"/>
      <c r="CW979" s="13" t="n"/>
      <c r="CX979">
        <f>INDEX('Data_Price '!AG$2:AG$1266,MATCH(Data!$DN979,'Data_Price '!$AT$2:$AT$1266,0))</f>
        <v/>
      </c>
      <c r="CY979">
        <f>INDEX('Data_Price '!AH$2:AH$1266,MATCH(Data!$DN979,'Data_Price '!$AT$2:$AT$1266,0))</f>
        <v/>
      </c>
      <c r="CZ979">
        <f>INDEX('Data_Price '!AI$2:AI$1266,MATCH(Data!$DN979,'Data_Price '!$AT$2:$AT$1266,0))</f>
        <v/>
      </c>
      <c r="DA979">
        <f>INDEX('Data_Price '!AJ$2:AJ$1266,MATCH(Data!$DN979,'Data_Price '!$AT$2:$AT$1266,0))</f>
        <v/>
      </c>
      <c r="DB979">
        <f>INDEX('Data_Price '!AK$2:AK$1266,MATCH(Data!$DN979,'Data_Price '!$AT$2:$AT$1266,0))</f>
        <v/>
      </c>
      <c r="DC979">
        <f>INDEX('Data_Price '!AL$2:AL$1266,MATCH(Data!$DN979,'Data_Price '!$AT$2:$AT$1266,0))</f>
        <v/>
      </c>
      <c r="DD979">
        <f>INDEX('Data_Price '!AM$2:AM$1266,MATCH(Data!$DN979,'Data_Price '!$AT$2:$AT$1266,0))</f>
        <v/>
      </c>
      <c r="DE979">
        <f>INDEX('Data_Price '!AN$2:AN$1266,MATCH(Data!$DN979,'Data_Price '!$AT$2:$AT$1266,0))</f>
        <v/>
      </c>
      <c r="DF979">
        <f>INDEX('Data_Price '!AO$2:AO$1266,MATCH(Data!$DN979,'Data_Price '!$AT$2:$AT$1266,0))</f>
        <v/>
      </c>
      <c r="DG979">
        <f>INDEX('Data_Price '!AP$2:AP$1266,MATCH(Data!$DN979,'Data_Price '!$AT$2:$AT$1266,0))</f>
        <v/>
      </c>
      <c r="DH979">
        <f>INDEX('Data_Price '!AQ$2:AQ$1266,MATCH(Data!$DN979,'Data_Price '!$AT$2:$AT$1266,0))</f>
        <v/>
      </c>
      <c r="DI979">
        <f>INDEX('Data_Price '!AR$2:AR$1266,MATCH(Data!$DN979,'Data_Price '!$AT$2:$AT$1266,0))</f>
        <v/>
      </c>
      <c r="DJ979" s="138">
        <f>DA979</f>
        <v/>
      </c>
      <c r="DK979" s="138">
        <f>DE979</f>
        <v/>
      </c>
      <c r="DL979" s="138">
        <f>DI979</f>
        <v/>
      </c>
      <c r="DM979" s="303">
        <f>IF(LEFT(BT979,1)=" ",RIGHT(BT979,LEN(BT979)-1),BT979)</f>
        <v/>
      </c>
      <c r="DN979" s="138">
        <f>_xlfn.CONCAT(BS979,DM979,BU979,BV979)</f>
        <v/>
      </c>
      <c r="DO979" s="307" t="inlineStr">
        <is>
          <t>https://images.evo.com/imgp/250/201028/826361/clone.jpg</t>
        </is>
      </c>
    </row>
    <row r="980" ht="15.6" customHeight="1" s="184">
      <c r="B980" s="303">
        <f t="array" ref="B980">IF(OR(ISERROR(K980:P980)),FALSE,TRUE)</f>
        <v/>
      </c>
      <c r="C980" s="60">
        <f>OR(BR980=Driver!$G$50,Data!BR258=Driver!$H$50)</f>
        <v/>
      </c>
      <c r="D980" s="60">
        <f>OR(BV980=Driver!$G$51,BV980=Driver!$H$51)</f>
        <v/>
      </c>
      <c r="E980" s="60">
        <f>AND(BX980&gt;Driver!$F$54,BX980&lt;Driver!$G$54)</f>
        <v/>
      </c>
      <c r="F980" s="60">
        <f>CL980&gt;Driver!$F$56</f>
        <v/>
      </c>
      <c r="G980" s="60">
        <f>AND(CB980&gt;Driver!$F$55,CB980&lt;Driver!$G$55)</f>
        <v/>
      </c>
      <c r="H980" s="60">
        <f>AND(B980:G980)</f>
        <v/>
      </c>
      <c r="I980" s="60">
        <f>COUNTIFS($H$9:$H$1273,TRUE,$BT$9:$BT$1273,BT980)</f>
        <v/>
      </c>
      <c r="J980" s="60">
        <f t="array" ref="J980">NOT(OR(($H$9:$H$1273=TRUE)*($I$9:$I$1273&gt;0)*($BT$9:$BT$1273=BT980)*($K$9:$K$1273&gt;K980)))</f>
        <v/>
      </c>
      <c r="K980" s="108">
        <f>IFERROR(1-AVERAGE(X980:Y980),"")</f>
        <v/>
      </c>
      <c r="L980" s="108">
        <f>1-X980</f>
        <v/>
      </c>
      <c r="M980" s="108">
        <f>1-Y980</f>
        <v/>
      </c>
      <c r="N980" s="108">
        <f>1-Z980</f>
        <v/>
      </c>
      <c r="O980" s="108">
        <f>1-AA980</f>
        <v/>
      </c>
      <c r="P980" s="108">
        <f>1-AB980</f>
        <v/>
      </c>
      <c r="Q980" s="108" t="n"/>
      <c r="R980" s="108" t="n"/>
      <c r="S980" s="108">
        <f>1-AE980</f>
        <v/>
      </c>
      <c r="T980" s="108">
        <f>1-AF980</f>
        <v/>
      </c>
      <c r="U980" s="108">
        <f>1-AG980</f>
        <v/>
      </c>
      <c r="V980" s="108">
        <f>1-AH980</f>
        <v/>
      </c>
      <c r="W980" s="108">
        <f>1-AI980</f>
        <v/>
      </c>
      <c r="X980" s="108">
        <f>ABS(AJ980-AJ$1)</f>
        <v/>
      </c>
      <c r="Y980" s="108">
        <f>AVERAGE(Z980:AB980)</f>
        <v/>
      </c>
      <c r="Z980" s="108">
        <f>ABS(AL980-AL$1)</f>
        <v/>
      </c>
      <c r="AA980" s="108">
        <f>ABS(AM980-AM$1)</f>
        <v/>
      </c>
      <c r="AB980" s="108">
        <f>ABS(AN980-AN$1)</f>
        <v/>
      </c>
      <c r="AC980" s="108" t="n"/>
      <c r="AD980" s="108" t="n"/>
      <c r="AE980" s="108">
        <f>ABS(AQ$1-AQ980)</f>
        <v/>
      </c>
      <c r="AF980" s="108">
        <f>ABS(AR$1-AR980)</f>
        <v/>
      </c>
      <c r="AG980" s="108">
        <f>ABS(AS$1-AS980)</f>
        <v/>
      </c>
      <c r="AH980" s="108">
        <f>ABS(AT$1-AT980)</f>
        <v/>
      </c>
      <c r="AI980" s="108">
        <f>ABS(AU$1-AU980)</f>
        <v/>
      </c>
      <c r="AJ980" s="108">
        <f>(AV980-Driver!$K$179)/(Driver!$L$179-Driver!$K$179)</f>
        <v/>
      </c>
      <c r="AK980" s="108">
        <f>(AW980-Driver!$K$180)/(Driver!$L$180-Driver!$K$180)</f>
        <v/>
      </c>
      <c r="AL980" s="108">
        <f>(AX980-Driver!$K$181)/(Driver!$L$181-Driver!$K$181)</f>
        <v/>
      </c>
      <c r="AM980" s="108">
        <f>(AY980-Driver!$K$182)/(Driver!$L$182-Driver!$K$182)</f>
        <v/>
      </c>
      <c r="AN980" s="108">
        <f>(AZ980-Driver!$K$183)/(Driver!$L$183-Driver!$K$183)</f>
        <v/>
      </c>
      <c r="AO980" s="108" t="n"/>
      <c r="AP980" s="108" t="n"/>
      <c r="AQ980" s="108">
        <f>(BC980-Driver!$K$188)/(Driver!$L$188-Driver!$K$188)</f>
        <v/>
      </c>
      <c r="AR980" s="108">
        <f>MIN((BD980-Driver!$K$189)/(Driver!$L$189-Driver!$K$189),100%)</f>
        <v/>
      </c>
      <c r="AS980" s="108">
        <f>(BE980-Driver!$K$190)/(Driver!$L$190-Driver!$K$190)</f>
        <v/>
      </c>
      <c r="AT980" s="108">
        <f>(BF980-Driver!$K$191)/(Driver!$L$191-Driver!$K$191)</f>
        <v/>
      </c>
      <c r="AU980" s="108">
        <f>(BG980-Driver!$K$192)/(Driver!$L$192-Driver!$K$192)</f>
        <v/>
      </c>
      <c r="AV980" s="105">
        <f>IFERROR(BM980*BJ980^1/4,"")</f>
        <v/>
      </c>
      <c r="AW980" s="105">
        <f>IFERROR(SUM(AX980:AZ980),"")</f>
        <v/>
      </c>
      <c r="AX980" s="105">
        <f>IFERROR(BH980,"")</f>
        <v/>
      </c>
      <c r="AY980" s="105">
        <f>IFERROR(Driver!$K$19/Data!BH980/Data!BI980*Data!BK980*Data!BL980,"")</f>
        <v/>
      </c>
      <c r="AZ980" s="105">
        <f>IFERROR(BI980*BN980,"")</f>
        <v/>
      </c>
      <c r="BA980" s="105" t="n"/>
      <c r="BB980" s="105" t="n"/>
      <c r="BC980" s="105">
        <f>IFERROR(BI980*BN980*BK980/BJ980^(1/2),"")</f>
        <v/>
      </c>
      <c r="BD980" s="105">
        <f>IFERROR(BH980*BM980*BL980/BJ980/BK980,"")</f>
        <v/>
      </c>
      <c r="BE980" s="105">
        <f>IFERROR(MIN(BI980/BQ980/BP980/BO980/BH980,$BE$1),"")</f>
        <v/>
      </c>
      <c r="BF980" s="105">
        <f>IFERROR(BJ980*BO980*BP980/BK980,"")</f>
        <v/>
      </c>
      <c r="BG980" s="105">
        <f>IFERROR(1/BM980/BH980*BQ980,"")</f>
        <v/>
      </c>
      <c r="BH980" s="102">
        <f>MAX((CE980-Driver!$F$200)/(Driver!$G$200-Driver!$F$200)*$BI$1,1)</f>
        <v/>
      </c>
      <c r="BI980" s="102">
        <f>MAX($BI$1*(BY980-Driver!$F$201)/(Driver!$G$201-Driver!$F$201),1)</f>
        <v/>
      </c>
      <c r="BJ980" s="102">
        <f>(CB980-Driver!$F$206)/(Driver!$G$206-Driver!$F$206)*$BI$1</f>
        <v/>
      </c>
      <c r="BK980" s="102">
        <f>(CD980-Driver!$F$203)/(Driver!$G$203-Driver!$F$203)*$BI$1</f>
        <v/>
      </c>
      <c r="BL980" s="102">
        <f>MAX((CR980-Driver!$F$202)/(Driver!$G$202-Driver!$F$202)*$BI$1,1)</f>
        <v/>
      </c>
      <c r="BM980" s="102">
        <f>MAX((CH980-Driver!$F$204)/(Driver!$G$204-Driver!$F$204)*$BI$1,1)</f>
        <v/>
      </c>
      <c r="BN980" s="102">
        <f>(CI980-Driver!$F$205)/(Driver!$G$205-Driver!$F$205)*$BI$1</f>
        <v/>
      </c>
      <c r="BO980" s="102">
        <f>(CK980-Driver!$F$207)/(Driver!$G$207-Driver!$F$207)*$BI$1</f>
        <v/>
      </c>
      <c r="BP980" s="102">
        <f>(CM980-Driver!$F$208)/(Driver!$G$208-Driver!$F$208)*$BI$1</f>
        <v/>
      </c>
      <c r="BQ980" s="102">
        <f>(CL980-Driver!$F$209)/(Driver!$G$209-Driver!$F$209)*$BI$1</f>
        <v/>
      </c>
      <c r="BR980" s="40" t="inlineStr">
        <is>
          <t>21/22</t>
        </is>
      </c>
      <c r="BS980" s="10" t="inlineStr">
        <is>
          <t xml:space="preserve"> Blizzard</t>
        </is>
      </c>
      <c r="BT980" s="11" t="inlineStr">
        <is>
          <t>Black Pearl 88</t>
        </is>
      </c>
      <c r="BU980" s="13" t="n">
        <v>147</v>
      </c>
      <c r="BV980" s="11" t="inlineStr">
        <is>
          <t xml:space="preserve"> Women's</t>
        </is>
      </c>
      <c r="BW980" s="13" t="n">
        <v>147</v>
      </c>
      <c r="BX980" s="13" t="n">
        <v>145.4</v>
      </c>
      <c r="BY980" s="13" t="n">
        <v>114</v>
      </c>
      <c r="BZ980" s="13" t="n">
        <v>124</v>
      </c>
      <c r="CA980" s="13" t="n">
        <v>125</v>
      </c>
      <c r="CB980" s="13" t="n">
        <v>86</v>
      </c>
      <c r="CC980" s="13" t="n">
        <v>107</v>
      </c>
      <c r="CD980" s="13" t="n">
        <v>11.8</v>
      </c>
      <c r="CE980" s="13" t="n">
        <v>1483</v>
      </c>
      <c r="CF980" s="13" t="n">
        <v>0.96</v>
      </c>
      <c r="CG980" s="13" t="n">
        <v>1422</v>
      </c>
      <c r="CH980" s="13" t="n">
        <v>127</v>
      </c>
      <c r="CI980" s="13" t="n">
        <v>62</v>
      </c>
      <c r="CJ980" s="13" t="n">
        <v>62</v>
      </c>
      <c r="CK980" s="13" t="n">
        <v>207</v>
      </c>
      <c r="CL980" s="13" t="n">
        <v>7</v>
      </c>
      <c r="CM980" s="13" t="n">
        <v>106</v>
      </c>
      <c r="CN980" s="13" t="n">
        <v>0.112</v>
      </c>
      <c r="CO980" s="13" t="n">
        <v>113</v>
      </c>
      <c r="CP980" s="13" t="n">
        <v>104</v>
      </c>
      <c r="CQ980" s="13" t="n">
        <v>95</v>
      </c>
      <c r="CR980" s="13" t="n">
        <v>6</v>
      </c>
      <c r="CS980" s="13" t="n">
        <v>11.1</v>
      </c>
      <c r="CT980" s="11" t="inlineStr">
        <is>
          <t xml:space="preserve"> Resort Freeride</t>
        </is>
      </c>
      <c r="CU980" s="13" t="n"/>
      <c r="CV980" s="13" t="n"/>
      <c r="CW980" s="13" t="n"/>
      <c r="CX980">
        <f>INDEX('Data_Price '!AG$2:AG$1266,MATCH(Data!$DN980,'Data_Price '!$AT$2:$AT$1266,0))</f>
        <v/>
      </c>
      <c r="CY980">
        <f>INDEX('Data_Price '!AH$2:AH$1266,MATCH(Data!$DN980,'Data_Price '!$AT$2:$AT$1266,0))</f>
        <v/>
      </c>
      <c r="CZ980">
        <f>INDEX('Data_Price '!AI$2:AI$1266,MATCH(Data!$DN980,'Data_Price '!$AT$2:$AT$1266,0))</f>
        <v/>
      </c>
      <c r="DA980">
        <f>INDEX('Data_Price '!AJ$2:AJ$1266,MATCH(Data!$DN980,'Data_Price '!$AT$2:$AT$1266,0))</f>
        <v/>
      </c>
      <c r="DB980">
        <f>INDEX('Data_Price '!AK$2:AK$1266,MATCH(Data!$DN980,'Data_Price '!$AT$2:$AT$1266,0))</f>
        <v/>
      </c>
      <c r="DC980">
        <f>INDEX('Data_Price '!AL$2:AL$1266,MATCH(Data!$DN980,'Data_Price '!$AT$2:$AT$1266,0))</f>
        <v/>
      </c>
      <c r="DD980">
        <f>INDEX('Data_Price '!AM$2:AM$1266,MATCH(Data!$DN980,'Data_Price '!$AT$2:$AT$1266,0))</f>
        <v/>
      </c>
      <c r="DE980">
        <f>INDEX('Data_Price '!AN$2:AN$1266,MATCH(Data!$DN980,'Data_Price '!$AT$2:$AT$1266,0))</f>
        <v/>
      </c>
      <c r="DF980">
        <f>INDEX('Data_Price '!AO$2:AO$1266,MATCH(Data!$DN980,'Data_Price '!$AT$2:$AT$1266,0))</f>
        <v/>
      </c>
      <c r="DG980">
        <f>INDEX('Data_Price '!AP$2:AP$1266,MATCH(Data!$DN980,'Data_Price '!$AT$2:$AT$1266,0))</f>
        <v/>
      </c>
      <c r="DH980">
        <f>INDEX('Data_Price '!AQ$2:AQ$1266,MATCH(Data!$DN980,'Data_Price '!$AT$2:$AT$1266,0))</f>
        <v/>
      </c>
      <c r="DI980">
        <f>INDEX('Data_Price '!AR$2:AR$1266,MATCH(Data!$DN980,'Data_Price '!$AT$2:$AT$1266,0))</f>
        <v/>
      </c>
      <c r="DJ980" s="138">
        <f>DA980</f>
        <v/>
      </c>
      <c r="DK980" s="138">
        <f>DE980</f>
        <v/>
      </c>
      <c r="DL980" s="138">
        <f>DI980</f>
        <v/>
      </c>
      <c r="DM980" s="303">
        <f>IF(LEFT(BT980,1)=" ",RIGHT(BT980,LEN(BT980)-1),BT980)</f>
        <v/>
      </c>
      <c r="DN980" s="138">
        <f>_xlfn.CONCAT(BS980,DM980,BU980,BV980)</f>
        <v/>
      </c>
      <c r="DO980" s="307" t="inlineStr">
        <is>
          <t>https://images.evo.com/imgp/250/176883/876087/blizzard-black-pearl-88-skis-women-s-.jpg</t>
        </is>
      </c>
    </row>
    <row r="981" ht="15.6" customHeight="1" s="184">
      <c r="B981" s="303">
        <f t="array" ref="B981">IF(OR(ISERROR(K981:P981)),FALSE,TRUE)</f>
        <v/>
      </c>
      <c r="C981" s="60">
        <f>OR(BR981=Driver!$G$50,Data!BR955=Driver!$H$50)</f>
        <v/>
      </c>
      <c r="D981" s="60">
        <f>OR(BV981=Driver!$G$51,BV981=Driver!$H$51)</f>
        <v/>
      </c>
      <c r="E981" s="60">
        <f>AND(BX981&gt;Driver!$F$54,BX981&lt;Driver!$G$54)</f>
        <v/>
      </c>
      <c r="F981" s="60">
        <f>CL981&gt;Driver!$F$56</f>
        <v/>
      </c>
      <c r="G981" s="60">
        <f>AND(CB981&gt;Driver!$F$55,CB981&lt;Driver!$G$55)</f>
        <v/>
      </c>
      <c r="H981" s="60">
        <f>AND(B981:G981)</f>
        <v/>
      </c>
      <c r="I981" s="60">
        <f>COUNTIFS($H$9:$H$1273,TRUE,$BT$9:$BT$1273,BT981)</f>
        <v/>
      </c>
      <c r="J981" s="60">
        <f t="array" ref="J981">NOT(OR(($H$9:$H$1273=TRUE)*($I$9:$I$1273&gt;0)*($BT$9:$BT$1273=BT981)*($K$9:$K$1273&gt;K981)))</f>
        <v/>
      </c>
      <c r="K981" s="108">
        <f>IFERROR(1-AVERAGE(X981:Y981),"")</f>
        <v/>
      </c>
      <c r="L981" s="108">
        <f>1-X981</f>
        <v/>
      </c>
      <c r="M981" s="108">
        <f>1-Y981</f>
        <v/>
      </c>
      <c r="N981" s="108">
        <f>1-Z981</f>
        <v/>
      </c>
      <c r="O981" s="108">
        <f>1-AA981</f>
        <v/>
      </c>
      <c r="P981" s="108">
        <f>1-AB981</f>
        <v/>
      </c>
      <c r="Q981" s="108" t="n"/>
      <c r="R981" s="108" t="n"/>
      <c r="S981" s="108">
        <f>1-AE981</f>
        <v/>
      </c>
      <c r="T981" s="108">
        <f>1-AF981</f>
        <v/>
      </c>
      <c r="U981" s="108">
        <f>1-AG981</f>
        <v/>
      </c>
      <c r="V981" s="108">
        <f>1-AH981</f>
        <v/>
      </c>
      <c r="W981" s="108">
        <f>1-AI981</f>
        <v/>
      </c>
      <c r="X981" s="108">
        <f>ABS(AJ981-AJ$1)</f>
        <v/>
      </c>
      <c r="Y981" s="108">
        <f>AVERAGE(Z981:AB981)</f>
        <v/>
      </c>
      <c r="Z981" s="108">
        <f>ABS(AL981-AL$1)</f>
        <v/>
      </c>
      <c r="AA981" s="108">
        <f>ABS(AM981-AM$1)</f>
        <v/>
      </c>
      <c r="AB981" s="108">
        <f>ABS(AN981-AN$1)</f>
        <v/>
      </c>
      <c r="AC981" s="108" t="n"/>
      <c r="AD981" s="108" t="n"/>
      <c r="AE981" s="108">
        <f>ABS(AQ$1-AQ981)</f>
        <v/>
      </c>
      <c r="AF981" s="108">
        <f>ABS(AR$1-AR981)</f>
        <v/>
      </c>
      <c r="AG981" s="108">
        <f>ABS(AS$1-AS981)</f>
        <v/>
      </c>
      <c r="AH981" s="108">
        <f>ABS(AT$1-AT981)</f>
        <v/>
      </c>
      <c r="AI981" s="108">
        <f>ABS(AU$1-AU981)</f>
        <v/>
      </c>
      <c r="AJ981" s="108">
        <f>(AV981-Driver!$K$179)/(Driver!$L$179-Driver!$K$179)</f>
        <v/>
      </c>
      <c r="AK981" s="108">
        <f>(AW981-Driver!$K$180)/(Driver!$L$180-Driver!$K$180)</f>
        <v/>
      </c>
      <c r="AL981" s="108">
        <f>(AX981-Driver!$K$181)/(Driver!$L$181-Driver!$K$181)</f>
        <v/>
      </c>
      <c r="AM981" s="108">
        <f>(AY981-Driver!$K$182)/(Driver!$L$182-Driver!$K$182)</f>
        <v/>
      </c>
      <c r="AN981" s="108">
        <f>(AZ981-Driver!$K$183)/(Driver!$L$183-Driver!$K$183)</f>
        <v/>
      </c>
      <c r="AO981" s="108" t="n"/>
      <c r="AP981" s="108" t="n"/>
      <c r="AQ981" s="108">
        <f>(BC981-Driver!$K$188)/(Driver!$L$188-Driver!$K$188)</f>
        <v/>
      </c>
      <c r="AR981" s="108">
        <f>MIN((BD981-Driver!$K$189)/(Driver!$L$189-Driver!$K$189),100%)</f>
        <v/>
      </c>
      <c r="AS981" s="108">
        <f>(BE981-Driver!$K$190)/(Driver!$L$190-Driver!$K$190)</f>
        <v/>
      </c>
      <c r="AT981" s="108">
        <f>(BF981-Driver!$K$191)/(Driver!$L$191-Driver!$K$191)</f>
        <v/>
      </c>
      <c r="AU981" s="108">
        <f>(BG981-Driver!$K$192)/(Driver!$L$192-Driver!$K$192)</f>
        <v/>
      </c>
      <c r="AV981" s="105">
        <f>IFERROR(BM981*BJ981^1/4,"")</f>
        <v/>
      </c>
      <c r="AW981" s="105">
        <f>IFERROR(SUM(AX981:AZ981),"")</f>
        <v/>
      </c>
      <c r="AX981" s="105">
        <f>IFERROR(BH981,"")</f>
        <v/>
      </c>
      <c r="AY981" s="105">
        <f>IFERROR(Driver!$K$19/Data!BH981/Data!BI981*Data!BK981*Data!BL981,"")</f>
        <v/>
      </c>
      <c r="AZ981" s="105">
        <f>IFERROR(BI981*BN981,"")</f>
        <v/>
      </c>
      <c r="BA981" s="105" t="n"/>
      <c r="BB981" s="105" t="n"/>
      <c r="BC981" s="105">
        <f>IFERROR(BI981*BN981*BK981/BJ981^(1/2),"")</f>
        <v/>
      </c>
      <c r="BD981" s="105">
        <f>IFERROR(BH981*BM981*BL981/BJ981/BK981,"")</f>
        <v/>
      </c>
      <c r="BE981" s="105">
        <f>IFERROR(MIN(BI981/BQ981/BP981/BO981/BH981,$BE$1),"")</f>
        <v/>
      </c>
      <c r="BF981" s="105">
        <f>IFERROR(BJ981*BO981*BP981/BK981,"")</f>
        <v/>
      </c>
      <c r="BG981" s="105">
        <f>IFERROR(1/BM981/BH981*BQ981,"")</f>
        <v/>
      </c>
      <c r="BH981" s="102">
        <f>MAX((CE981-Driver!$F$200)/(Driver!$G$200-Driver!$F$200)*$BI$1,1)</f>
        <v/>
      </c>
      <c r="BI981" s="102">
        <f>MAX($BI$1*(BY981-Driver!$F$201)/(Driver!$G$201-Driver!$F$201),1)</f>
        <v/>
      </c>
      <c r="BJ981" s="102">
        <f>(CB981-Driver!$F$206)/(Driver!$G$206-Driver!$F$206)*$BI$1</f>
        <v/>
      </c>
      <c r="BK981" s="102">
        <f>(CD981-Driver!$F$203)/(Driver!$G$203-Driver!$F$203)*$BI$1</f>
        <v/>
      </c>
      <c r="BL981" s="102">
        <f>MAX((CR981-Driver!$F$202)/(Driver!$G$202-Driver!$F$202)*$BI$1,1)</f>
        <v/>
      </c>
      <c r="BM981" s="102">
        <f>MAX((CH981-Driver!$F$204)/(Driver!$G$204-Driver!$F$204)*$BI$1,1)</f>
        <v/>
      </c>
      <c r="BN981" s="102">
        <f>(CI981-Driver!$F$205)/(Driver!$G$205-Driver!$F$205)*$BI$1</f>
        <v/>
      </c>
      <c r="BO981" s="102">
        <f>(CK981-Driver!$F$207)/(Driver!$G$207-Driver!$F$207)*$BI$1</f>
        <v/>
      </c>
      <c r="BP981" s="102">
        <f>(CM981-Driver!$F$208)/(Driver!$G$208-Driver!$F$208)*$BI$1</f>
        <v/>
      </c>
      <c r="BQ981" s="102">
        <f>(CL981-Driver!$F$209)/(Driver!$G$209-Driver!$F$209)*$BI$1</f>
        <v/>
      </c>
      <c r="BR981" s="40" t="inlineStr">
        <is>
          <t>21/22</t>
        </is>
      </c>
      <c r="BS981" s="10" t="inlineStr">
        <is>
          <t xml:space="preserve"> Raccoon</t>
        </is>
      </c>
      <c r="BT981" s="11" t="inlineStr">
        <is>
          <t xml:space="preserve"> Le Condor Ti</t>
        </is>
      </c>
      <c r="BU981" s="13" t="n">
        <v>171</v>
      </c>
      <c r="BV981" s="11" t="inlineStr">
        <is>
          <t xml:space="preserve"> Unisex</t>
        </is>
      </c>
      <c r="BW981" s="13" t="n">
        <v>171</v>
      </c>
      <c r="BX981" s="13" t="n">
        <v>169.6</v>
      </c>
      <c r="BY981" s="13" t="n">
        <v>142</v>
      </c>
      <c r="BZ981" s="13" t="n">
        <v>160</v>
      </c>
      <c r="CA981" s="13" t="n">
        <v>131</v>
      </c>
      <c r="CB981" s="13" t="n">
        <v>75</v>
      </c>
      <c r="CC981" s="13" t="n">
        <v>115</v>
      </c>
      <c r="CD981" s="13" t="n">
        <v>13.4</v>
      </c>
      <c r="CE981" s="13" t="n">
        <v>1759</v>
      </c>
      <c r="CF981" s="13" t="n">
        <v>0.89</v>
      </c>
      <c r="CG981" s="13" t="n">
        <v>1567</v>
      </c>
      <c r="CH981" s="13" t="n">
        <v>212</v>
      </c>
      <c r="CI981" s="13" t="n">
        <v>128</v>
      </c>
      <c r="CJ981" s="13" t="n">
        <v>49</v>
      </c>
      <c r="CK981" s="13" t="n">
        <v>207</v>
      </c>
      <c r="CL981" s="13" t="n">
        <v>7</v>
      </c>
      <c r="CM981" s="13" t="n">
        <v>72</v>
      </c>
      <c r="CN981" s="13" t="n">
        <v>0.138</v>
      </c>
      <c r="CO981" s="13" t="n">
        <v>51</v>
      </c>
      <c r="CP981" s="13" t="n">
        <v>42</v>
      </c>
      <c r="CQ981" s="13" t="n">
        <v>156</v>
      </c>
      <c r="CR981" s="13" t="n">
        <v>8</v>
      </c>
      <c r="CS981" s="13" t="n">
        <v>12.2</v>
      </c>
      <c r="CT981" s="11" t="inlineStr">
        <is>
          <t xml:space="preserve"> On-Piste Carving</t>
        </is>
      </c>
      <c r="CU981" s="13" t="n"/>
      <c r="CV981" s="13" t="n"/>
      <c r="CW981" s="13" t="n"/>
      <c r="CX981">
        <f>INDEX('Data_Price '!AG$2:AG$1266,MATCH(Data!$DN981,'Data_Price '!$AT$2:$AT$1266,0))</f>
        <v/>
      </c>
      <c r="CY981">
        <f>INDEX('Data_Price '!AH$2:AH$1266,MATCH(Data!$DN981,'Data_Price '!$AT$2:$AT$1266,0))</f>
        <v/>
      </c>
      <c r="CZ981">
        <f>INDEX('Data_Price '!AI$2:AI$1266,MATCH(Data!$DN981,'Data_Price '!$AT$2:$AT$1266,0))</f>
        <v/>
      </c>
      <c r="DA981">
        <f>INDEX('Data_Price '!AJ$2:AJ$1266,MATCH(Data!$DN981,'Data_Price '!$AT$2:$AT$1266,0))</f>
        <v/>
      </c>
      <c r="DB981">
        <f>INDEX('Data_Price '!AK$2:AK$1266,MATCH(Data!$DN981,'Data_Price '!$AT$2:$AT$1266,0))</f>
        <v/>
      </c>
      <c r="DC981">
        <f>INDEX('Data_Price '!AL$2:AL$1266,MATCH(Data!$DN981,'Data_Price '!$AT$2:$AT$1266,0))</f>
        <v/>
      </c>
      <c r="DD981">
        <f>INDEX('Data_Price '!AM$2:AM$1266,MATCH(Data!$DN981,'Data_Price '!$AT$2:$AT$1266,0))</f>
        <v/>
      </c>
      <c r="DE981">
        <f>INDEX('Data_Price '!AN$2:AN$1266,MATCH(Data!$DN981,'Data_Price '!$AT$2:$AT$1266,0))</f>
        <v/>
      </c>
      <c r="DF981">
        <f>INDEX('Data_Price '!AO$2:AO$1266,MATCH(Data!$DN981,'Data_Price '!$AT$2:$AT$1266,0))</f>
        <v/>
      </c>
      <c r="DG981">
        <f>INDEX('Data_Price '!AP$2:AP$1266,MATCH(Data!$DN981,'Data_Price '!$AT$2:$AT$1266,0))</f>
        <v/>
      </c>
      <c r="DH981">
        <f>INDEX('Data_Price '!AQ$2:AQ$1266,MATCH(Data!$DN981,'Data_Price '!$AT$2:$AT$1266,0))</f>
        <v/>
      </c>
      <c r="DI981">
        <f>INDEX('Data_Price '!AR$2:AR$1266,MATCH(Data!$DN981,'Data_Price '!$AT$2:$AT$1266,0))</f>
        <v/>
      </c>
      <c r="DJ981" s="138">
        <f>DA981</f>
        <v/>
      </c>
      <c r="DK981" s="138">
        <f>DE981</f>
        <v/>
      </c>
      <c r="DL981" s="138">
        <f>DI981</f>
        <v/>
      </c>
      <c r="DM981" s="303">
        <f>IF(LEFT(BT981,1)=" ",RIGHT(BT981,LEN(BT981)-1),BT981)</f>
        <v/>
      </c>
      <c r="DN981" s="138">
        <f>_xlfn.CONCAT(BS981,DM981,BU981,BV981)</f>
        <v/>
      </c>
      <c r="DO981" s="307" t="n"/>
    </row>
    <row r="982" ht="15.6" customHeight="1" s="184">
      <c r="B982" s="303">
        <f t="array" ref="B982">IF(OR(ISERROR(K982:P982)),FALSE,TRUE)</f>
        <v/>
      </c>
      <c r="C982" s="60">
        <f>OR(BR982=Driver!$G$50,Data!BR157=Driver!$H$50)</f>
        <v/>
      </c>
      <c r="D982" s="60">
        <f>OR(BV982=Driver!$G$51,BV982=Driver!$H$51)</f>
        <v/>
      </c>
      <c r="E982" s="60">
        <f>AND(BX982&gt;Driver!$F$54,BX982&lt;Driver!$G$54)</f>
        <v/>
      </c>
      <c r="F982" s="60">
        <f>CL982&gt;Driver!$F$56</f>
        <v/>
      </c>
      <c r="G982" s="60">
        <f>AND(CB982&gt;Driver!$F$55,CB982&lt;Driver!$G$55)</f>
        <v/>
      </c>
      <c r="H982" s="60">
        <f>AND(B982:G982)</f>
        <v/>
      </c>
      <c r="I982" s="60">
        <f>COUNTIFS($H$9:$H$1273,TRUE,$BT$9:$BT$1273,BT982)</f>
        <v/>
      </c>
      <c r="J982" s="60">
        <f t="array" ref="J982">NOT(OR(($H$9:$H$1273=TRUE)*($I$9:$I$1273&gt;0)*($BT$9:$BT$1273=BT982)*($K$9:$K$1273&gt;K982)))</f>
        <v/>
      </c>
      <c r="K982" s="108">
        <f>IFERROR(1-AVERAGE(X982:Y982),"")</f>
        <v/>
      </c>
      <c r="L982" s="108">
        <f>1-X982</f>
        <v/>
      </c>
      <c r="M982" s="108">
        <f>1-Y982</f>
        <v/>
      </c>
      <c r="N982" s="108">
        <f>1-Z982</f>
        <v/>
      </c>
      <c r="O982" s="108">
        <f>1-AA982</f>
        <v/>
      </c>
      <c r="P982" s="108">
        <f>1-AB982</f>
        <v/>
      </c>
      <c r="Q982" s="108" t="n"/>
      <c r="R982" s="108" t="n"/>
      <c r="S982" s="108">
        <f>1-AE982</f>
        <v/>
      </c>
      <c r="T982" s="108">
        <f>1-AF982</f>
        <v/>
      </c>
      <c r="U982" s="108">
        <f>1-AG982</f>
        <v/>
      </c>
      <c r="V982" s="108">
        <f>1-AH982</f>
        <v/>
      </c>
      <c r="W982" s="108">
        <f>1-AI982</f>
        <v/>
      </c>
      <c r="X982" s="108">
        <f>ABS(AJ982-AJ$1)</f>
        <v/>
      </c>
      <c r="Y982" s="108">
        <f>AVERAGE(Z982:AB982)</f>
        <v/>
      </c>
      <c r="Z982" s="108">
        <f>ABS(AL982-AL$1)</f>
        <v/>
      </c>
      <c r="AA982" s="108">
        <f>ABS(AM982-AM$1)</f>
        <v/>
      </c>
      <c r="AB982" s="108">
        <f>ABS(AN982-AN$1)</f>
        <v/>
      </c>
      <c r="AC982" s="108" t="n"/>
      <c r="AD982" s="108" t="n"/>
      <c r="AE982" s="108">
        <f>ABS(AQ$1-AQ982)</f>
        <v/>
      </c>
      <c r="AF982" s="108">
        <f>ABS(AR$1-AR982)</f>
        <v/>
      </c>
      <c r="AG982" s="108">
        <f>ABS(AS$1-AS982)</f>
        <v/>
      </c>
      <c r="AH982" s="108">
        <f>ABS(AT$1-AT982)</f>
        <v/>
      </c>
      <c r="AI982" s="108">
        <f>ABS(AU$1-AU982)</f>
        <v/>
      </c>
      <c r="AJ982" s="108">
        <f>(AV982-Driver!$K$179)/(Driver!$L$179-Driver!$K$179)</f>
        <v/>
      </c>
      <c r="AK982" s="108">
        <f>(AW982-Driver!$K$180)/(Driver!$L$180-Driver!$K$180)</f>
        <v/>
      </c>
      <c r="AL982" s="108">
        <f>(AX982-Driver!$K$181)/(Driver!$L$181-Driver!$K$181)</f>
        <v/>
      </c>
      <c r="AM982" s="108">
        <f>(AY982-Driver!$K$182)/(Driver!$L$182-Driver!$K$182)</f>
        <v/>
      </c>
      <c r="AN982" s="108">
        <f>(AZ982-Driver!$K$183)/(Driver!$L$183-Driver!$K$183)</f>
        <v/>
      </c>
      <c r="AO982" s="108" t="n"/>
      <c r="AP982" s="108" t="n"/>
      <c r="AQ982" s="108">
        <f>(BC982-Driver!$K$188)/(Driver!$L$188-Driver!$K$188)</f>
        <v/>
      </c>
      <c r="AR982" s="108">
        <f>MIN((BD982-Driver!$K$189)/(Driver!$L$189-Driver!$K$189),100%)</f>
        <v/>
      </c>
      <c r="AS982" s="108">
        <f>(BE982-Driver!$K$190)/(Driver!$L$190-Driver!$K$190)</f>
        <v/>
      </c>
      <c r="AT982" s="108">
        <f>(BF982-Driver!$K$191)/(Driver!$L$191-Driver!$K$191)</f>
        <v/>
      </c>
      <c r="AU982" s="108">
        <f>(BG982-Driver!$K$192)/(Driver!$L$192-Driver!$K$192)</f>
        <v/>
      </c>
      <c r="AV982" s="105">
        <f>IFERROR(BM982*BJ982^1/4,"")</f>
        <v/>
      </c>
      <c r="AW982" s="105">
        <f>IFERROR(SUM(AX982:AZ982),"")</f>
        <v/>
      </c>
      <c r="AX982" s="105">
        <f>IFERROR(BH982,"")</f>
        <v/>
      </c>
      <c r="AY982" s="105">
        <f>IFERROR(Driver!$K$19/Data!BH982/Data!BI982*Data!BK982*Data!BL982,"")</f>
        <v/>
      </c>
      <c r="AZ982" s="105">
        <f>IFERROR(BI982*BN982,"")</f>
        <v/>
      </c>
      <c r="BA982" s="105" t="n"/>
      <c r="BB982" s="105" t="n"/>
      <c r="BC982" s="105">
        <f>IFERROR(BI982*BN982*BK982/BJ982^(1/2),"")</f>
        <v/>
      </c>
      <c r="BD982" s="105">
        <f>IFERROR(BH982*BM982*BL982/BJ982/BK982,"")</f>
        <v/>
      </c>
      <c r="BE982" s="105">
        <f>IFERROR(MIN(BI982/BQ982/BP982/BO982/BH982,$BE$1),"")</f>
        <v/>
      </c>
      <c r="BF982" s="105">
        <f>IFERROR(BJ982*BO982*BP982/BK982,"")</f>
        <v/>
      </c>
      <c r="BG982" s="105">
        <f>IFERROR(1/BM982/BH982*BQ982,"")</f>
        <v/>
      </c>
      <c r="BH982" s="102">
        <f>MAX((CE982-Driver!$F$200)/(Driver!$G$200-Driver!$F$200)*$BI$1,1)</f>
        <v/>
      </c>
      <c r="BI982" s="102">
        <f>MAX($BI$1*(BY982-Driver!$F$201)/(Driver!$G$201-Driver!$F$201),1)</f>
        <v/>
      </c>
      <c r="BJ982" s="102">
        <f>(CB982-Driver!$F$206)/(Driver!$G$206-Driver!$F$206)*$BI$1</f>
        <v/>
      </c>
      <c r="BK982" s="102">
        <f>(CD982-Driver!$F$203)/(Driver!$G$203-Driver!$F$203)*$BI$1</f>
        <v/>
      </c>
      <c r="BL982" s="102">
        <f>MAX((CR982-Driver!$F$202)/(Driver!$G$202-Driver!$F$202)*$BI$1,1)</f>
        <v/>
      </c>
      <c r="BM982" s="102">
        <f>MAX((CH982-Driver!$F$204)/(Driver!$G$204-Driver!$F$204)*$BI$1,1)</f>
        <v/>
      </c>
      <c r="BN982" s="102">
        <f>(CI982-Driver!$F$205)/(Driver!$G$205-Driver!$F$205)*$BI$1</f>
        <v/>
      </c>
      <c r="BO982" s="102">
        <f>(CK982-Driver!$F$207)/(Driver!$G$207-Driver!$F$207)*$BI$1</f>
        <v/>
      </c>
      <c r="BP982" s="102">
        <f>(CM982-Driver!$F$208)/(Driver!$G$208-Driver!$F$208)*$BI$1</f>
        <v/>
      </c>
      <c r="BQ982" s="102">
        <f>(CL982-Driver!$F$209)/(Driver!$G$209-Driver!$F$209)*$BI$1</f>
        <v/>
      </c>
      <c r="BR982" s="40" t="inlineStr">
        <is>
          <t>21/22</t>
        </is>
      </c>
      <c r="BS982" s="10" t="inlineStr">
        <is>
          <t xml:space="preserve"> Atomic</t>
        </is>
      </c>
      <c r="BT982" s="11" t="inlineStr">
        <is>
          <t>Maverick 100 Ti</t>
        </is>
      </c>
      <c r="BU982" s="13" t="n">
        <v>180</v>
      </c>
      <c r="BV982" s="11" t="inlineStr">
        <is>
          <t xml:space="preserve"> Unisex</t>
        </is>
      </c>
      <c r="BW982" s="13" t="n">
        <v>180</v>
      </c>
      <c r="BX982" s="13" t="n">
        <v>178</v>
      </c>
      <c r="BY982" s="13" t="n">
        <v>129</v>
      </c>
      <c r="BZ982" s="13" t="n">
        <v>144</v>
      </c>
      <c r="CA982" s="13" t="n">
        <v>128</v>
      </c>
      <c r="CB982" s="13" t="n">
        <v>99</v>
      </c>
      <c r="CC982" s="13" t="n">
        <v>118</v>
      </c>
      <c r="CD982" s="13" t="n">
        <v>19.8</v>
      </c>
      <c r="CE982" s="13" t="n">
        <v>1744</v>
      </c>
      <c r="CF982" s="13" t="n">
        <v>1.1</v>
      </c>
      <c r="CG982" s="13" t="n">
        <v>1914</v>
      </c>
      <c r="CH982" s="13" t="n">
        <v>227</v>
      </c>
      <c r="CI982" s="13" t="n">
        <v>166</v>
      </c>
      <c r="CJ982" s="13" t="n">
        <v>60</v>
      </c>
      <c r="CK982" s="13" t="n">
        <v>293</v>
      </c>
      <c r="CL982" s="13" t="n">
        <v>18</v>
      </c>
      <c r="CM982" s="13" t="n">
        <v>199</v>
      </c>
      <c r="CN982" s="13" t="n">
        <v>0.299</v>
      </c>
      <c r="CO982" s="13" t="n">
        <v>180</v>
      </c>
      <c r="CP982" s="13" t="n">
        <v>163</v>
      </c>
      <c r="CQ982" s="13" t="n">
        <v>114</v>
      </c>
      <c r="CR982" s="13" t="n">
        <v>7</v>
      </c>
      <c r="CS982" s="13" t="n">
        <v>9.199999999999999</v>
      </c>
      <c r="CT982" s="11" t="inlineStr">
        <is>
          <t xml:space="preserve"> Resort Freeride</t>
        </is>
      </c>
      <c r="CU982" s="11" t="inlineStr">
        <is>
          <t xml:space="preserve"> Touring</t>
        </is>
      </c>
      <c r="CV982" s="13" t="n"/>
      <c r="CW982" s="13" t="n"/>
      <c r="CX982">
        <f>INDEX('Data_Price '!AG$2:AG$1266,MATCH(Data!$DN982,'Data_Price '!$AT$2:$AT$1266,0))</f>
        <v/>
      </c>
      <c r="CY982">
        <f>INDEX('Data_Price '!AH$2:AH$1266,MATCH(Data!$DN982,'Data_Price '!$AT$2:$AT$1266,0))</f>
        <v/>
      </c>
      <c r="CZ982">
        <f>INDEX('Data_Price '!AI$2:AI$1266,MATCH(Data!$DN982,'Data_Price '!$AT$2:$AT$1266,0))</f>
        <v/>
      </c>
      <c r="DA982">
        <f>INDEX('Data_Price '!AJ$2:AJ$1266,MATCH(Data!$DN982,'Data_Price '!$AT$2:$AT$1266,0))</f>
        <v/>
      </c>
      <c r="DB982">
        <f>INDEX('Data_Price '!AK$2:AK$1266,MATCH(Data!$DN982,'Data_Price '!$AT$2:$AT$1266,0))</f>
        <v/>
      </c>
      <c r="DC982">
        <f>INDEX('Data_Price '!AL$2:AL$1266,MATCH(Data!$DN982,'Data_Price '!$AT$2:$AT$1266,0))</f>
        <v/>
      </c>
      <c r="DD982">
        <f>INDEX('Data_Price '!AM$2:AM$1266,MATCH(Data!$DN982,'Data_Price '!$AT$2:$AT$1266,0))</f>
        <v/>
      </c>
      <c r="DE982">
        <f>INDEX('Data_Price '!AN$2:AN$1266,MATCH(Data!$DN982,'Data_Price '!$AT$2:$AT$1266,0))</f>
        <v/>
      </c>
      <c r="DF982">
        <f>INDEX('Data_Price '!AO$2:AO$1266,MATCH(Data!$DN982,'Data_Price '!$AT$2:$AT$1266,0))</f>
        <v/>
      </c>
      <c r="DG982">
        <f>INDEX('Data_Price '!AP$2:AP$1266,MATCH(Data!$DN982,'Data_Price '!$AT$2:$AT$1266,0))</f>
        <v/>
      </c>
      <c r="DH982">
        <f>INDEX('Data_Price '!AQ$2:AQ$1266,MATCH(Data!$DN982,'Data_Price '!$AT$2:$AT$1266,0))</f>
        <v/>
      </c>
      <c r="DI982">
        <f>INDEX('Data_Price '!AR$2:AR$1266,MATCH(Data!$DN982,'Data_Price '!$AT$2:$AT$1266,0))</f>
        <v/>
      </c>
      <c r="DJ982" s="138">
        <f>DA982</f>
        <v/>
      </c>
      <c r="DK982" s="138">
        <f>DE982</f>
        <v/>
      </c>
      <c r="DL982" s="138">
        <f>DI982</f>
        <v/>
      </c>
      <c r="DM982" s="303">
        <f>IF(LEFT(BT982,1)=" ",RIGHT(BT982,LEN(BT982)-1),BT982)</f>
        <v/>
      </c>
      <c r="DN982" s="138">
        <f>_xlfn.CONCAT(BS982,DM982,BU982,BV982)</f>
        <v/>
      </c>
      <c r="DO982" s="307" t="inlineStr">
        <is>
          <t>https://images.evo.com/imgp/250/219680/902841/atomic-maverick-100-ti-skis-2023-.jpg</t>
        </is>
      </c>
    </row>
    <row r="983" ht="15.6" customHeight="1" s="184">
      <c r="B983" s="303">
        <f t="array" ref="B983">IF(OR(ISERROR(K983:P983)),FALSE,TRUE)</f>
        <v/>
      </c>
      <c r="C983" s="60">
        <f>OR(BR983=Driver!$G$50,Data!BR1269=Driver!$H$50)</f>
        <v/>
      </c>
      <c r="D983" s="60">
        <f>OR(BV983=Driver!$G$51,BV983=Driver!$H$51)</f>
        <v/>
      </c>
      <c r="E983" s="60">
        <f>AND(BX983&gt;Driver!$F$54,BX983&lt;Driver!$G$54)</f>
        <v/>
      </c>
      <c r="F983" s="60">
        <f>CL983&gt;Driver!$F$56</f>
        <v/>
      </c>
      <c r="G983" s="60">
        <f>AND(CB983&gt;Driver!$F$55,CB983&lt;Driver!$G$55)</f>
        <v/>
      </c>
      <c r="H983" s="60">
        <f>AND(B983:G983)</f>
        <v/>
      </c>
      <c r="I983" s="60">
        <f>COUNTIFS($H$9:$H$1273,TRUE,$BT$9:$BT$1273,BT983)</f>
        <v/>
      </c>
      <c r="J983" s="60">
        <f t="array" ref="J983">NOT(OR(($H$9:$H$1273=TRUE)*($I$9:$I$1273&gt;0)*($BT$9:$BT$1273=BT983)*($K$9:$K$1273&gt;K983)))</f>
        <v/>
      </c>
      <c r="K983" s="108">
        <f>IFERROR(1-AVERAGE(X983:Y983),"")</f>
        <v/>
      </c>
      <c r="L983" s="108">
        <f>1-X983</f>
        <v/>
      </c>
      <c r="M983" s="108">
        <f>1-Y983</f>
        <v/>
      </c>
      <c r="N983" s="108">
        <f>1-Z983</f>
        <v/>
      </c>
      <c r="O983" s="108">
        <f>1-AA983</f>
        <v/>
      </c>
      <c r="P983" s="108">
        <f>1-AB983</f>
        <v/>
      </c>
      <c r="Q983" s="108" t="n"/>
      <c r="R983" s="108" t="n"/>
      <c r="S983" s="108">
        <f>1-AE983</f>
        <v/>
      </c>
      <c r="T983" s="108">
        <f>1-AF983</f>
        <v/>
      </c>
      <c r="U983" s="108">
        <f>1-AG983</f>
        <v/>
      </c>
      <c r="V983" s="108">
        <f>1-AH983</f>
        <v/>
      </c>
      <c r="W983" s="108">
        <f>1-AI983</f>
        <v/>
      </c>
      <c r="X983" s="108">
        <f>ABS(AJ983-AJ$1)</f>
        <v/>
      </c>
      <c r="Y983" s="108">
        <f>AVERAGE(Z983:AB983)</f>
        <v/>
      </c>
      <c r="Z983" s="108">
        <f>ABS(AL983-AL$1)</f>
        <v/>
      </c>
      <c r="AA983" s="108">
        <f>ABS(AM983-AM$1)</f>
        <v/>
      </c>
      <c r="AB983" s="108">
        <f>ABS(AN983-AN$1)</f>
        <v/>
      </c>
      <c r="AC983" s="108" t="n"/>
      <c r="AD983" s="108" t="n"/>
      <c r="AE983" s="108">
        <f>ABS(AQ$1-AQ983)</f>
        <v/>
      </c>
      <c r="AF983" s="108">
        <f>ABS(AR$1-AR983)</f>
        <v/>
      </c>
      <c r="AG983" s="108">
        <f>ABS(AS$1-AS983)</f>
        <v/>
      </c>
      <c r="AH983" s="108">
        <f>ABS(AT$1-AT983)</f>
        <v/>
      </c>
      <c r="AI983" s="108">
        <f>ABS(AU$1-AU983)</f>
        <v/>
      </c>
      <c r="AJ983" s="108">
        <f>(AV983-Driver!$K$179)/(Driver!$L$179-Driver!$K$179)</f>
        <v/>
      </c>
      <c r="AK983" s="108">
        <f>(AW983-Driver!$K$180)/(Driver!$L$180-Driver!$K$180)</f>
        <v/>
      </c>
      <c r="AL983" s="108">
        <f>(AX983-Driver!$K$181)/(Driver!$L$181-Driver!$K$181)</f>
        <v/>
      </c>
      <c r="AM983" s="108">
        <f>(AY983-Driver!$K$182)/(Driver!$L$182-Driver!$K$182)</f>
        <v/>
      </c>
      <c r="AN983" s="108">
        <f>(AZ983-Driver!$K$183)/(Driver!$L$183-Driver!$K$183)</f>
        <v/>
      </c>
      <c r="AO983" s="108" t="n"/>
      <c r="AP983" s="108" t="n"/>
      <c r="AQ983" s="108">
        <f>(BC983-Driver!$K$188)/(Driver!$L$188-Driver!$K$188)</f>
        <v/>
      </c>
      <c r="AR983" s="108">
        <f>MIN((BD983-Driver!$K$189)/(Driver!$L$189-Driver!$K$189),100%)</f>
        <v/>
      </c>
      <c r="AS983" s="108">
        <f>(BE983-Driver!$K$190)/(Driver!$L$190-Driver!$K$190)</f>
        <v/>
      </c>
      <c r="AT983" s="108">
        <f>(BF983-Driver!$K$191)/(Driver!$L$191-Driver!$K$191)</f>
        <v/>
      </c>
      <c r="AU983" s="108">
        <f>(BG983-Driver!$K$192)/(Driver!$L$192-Driver!$K$192)</f>
        <v/>
      </c>
      <c r="AV983" s="105">
        <f>IFERROR(BM983*BJ983^1/4,"")</f>
        <v/>
      </c>
      <c r="AW983" s="105">
        <f>IFERROR(SUM(AX983:AZ983),"")</f>
        <v/>
      </c>
      <c r="AX983" s="105">
        <f>IFERROR(BH983,"")</f>
        <v/>
      </c>
      <c r="AY983" s="105">
        <f>IFERROR(Driver!$K$19/Data!BH983/Data!BI983*Data!BK983*Data!BL983,"")</f>
        <v/>
      </c>
      <c r="AZ983" s="105">
        <f>IFERROR(BI983*BN983,"")</f>
        <v/>
      </c>
      <c r="BA983" s="105" t="n"/>
      <c r="BB983" s="105" t="n"/>
      <c r="BC983" s="105">
        <f>IFERROR(BI983*BN983*BK983/BJ983^(1/2),"")</f>
        <v/>
      </c>
      <c r="BD983" s="105">
        <f>IFERROR(BH983*BM983*BL983/BJ983/BK983,"")</f>
        <v/>
      </c>
      <c r="BE983" s="105">
        <f>IFERROR(MIN(BI983/BQ983/BP983/BO983/BH983,$BE$1),"")</f>
        <v/>
      </c>
      <c r="BF983" s="105">
        <f>IFERROR(BJ983*BO983*BP983/BK983,"")</f>
        <v/>
      </c>
      <c r="BG983" s="105">
        <f>IFERROR(1/BM983/BH983*BQ983,"")</f>
        <v/>
      </c>
      <c r="BH983" s="102">
        <f>MAX((CE983-Driver!$F$200)/(Driver!$G$200-Driver!$F$200)*$BI$1,1)</f>
        <v/>
      </c>
      <c r="BI983" s="102">
        <f>MAX($BI$1*(BY983-Driver!$F$201)/(Driver!$G$201-Driver!$F$201),1)</f>
        <v/>
      </c>
      <c r="BJ983" s="102">
        <f>(CB983-Driver!$F$206)/(Driver!$G$206-Driver!$F$206)*$BI$1</f>
        <v/>
      </c>
      <c r="BK983" s="102">
        <f>(CD983-Driver!$F$203)/(Driver!$G$203-Driver!$F$203)*$BI$1</f>
        <v/>
      </c>
      <c r="BL983" s="102">
        <f>MAX((CR983-Driver!$F$202)/(Driver!$G$202-Driver!$F$202)*$BI$1,1)</f>
        <v/>
      </c>
      <c r="BM983" s="102">
        <f>MAX((CH983-Driver!$F$204)/(Driver!$G$204-Driver!$F$204)*$BI$1,1)</f>
        <v/>
      </c>
      <c r="BN983" s="102">
        <f>(CI983-Driver!$F$205)/(Driver!$G$205-Driver!$F$205)*$BI$1</f>
        <v/>
      </c>
      <c r="BO983" s="102">
        <f>(CK983-Driver!$F$207)/(Driver!$G$207-Driver!$F$207)*$BI$1</f>
        <v/>
      </c>
      <c r="BP983" s="102">
        <f>(CM983-Driver!$F$208)/(Driver!$G$208-Driver!$F$208)*$BI$1</f>
        <v/>
      </c>
      <c r="BQ983" s="102">
        <f>(CL983-Driver!$F$209)/(Driver!$G$209-Driver!$F$209)*$BI$1</f>
        <v/>
      </c>
      <c r="BR983" s="40" t="inlineStr">
        <is>
          <t>21/22</t>
        </is>
      </c>
      <c r="BS983" s="10" t="inlineStr">
        <is>
          <t xml:space="preserve"> Völkl</t>
        </is>
      </c>
      <c r="BT983" s="11" t="inlineStr">
        <is>
          <t>Yumi 80</t>
        </is>
      </c>
      <c r="BU983" s="13" t="n">
        <v>168</v>
      </c>
      <c r="BV983" s="11" t="inlineStr">
        <is>
          <t xml:space="preserve"> Women's</t>
        </is>
      </c>
      <c r="BW983" s="13" t="n">
        <v>168</v>
      </c>
      <c r="BX983" s="13" t="n">
        <v>168.7</v>
      </c>
      <c r="BY983" s="13" t="n">
        <v>114</v>
      </c>
      <c r="BZ983" s="13" t="n">
        <v>144</v>
      </c>
      <c r="CA983" s="13" t="n">
        <v>120</v>
      </c>
      <c r="CB983" s="13" t="n">
        <v>79</v>
      </c>
      <c r="CC983" s="13" t="n">
        <v>102</v>
      </c>
      <c r="CD983" s="13" t="n">
        <v>15.9</v>
      </c>
      <c r="CE983" s="13" t="n">
        <v>1435</v>
      </c>
      <c r="CF983" s="13" t="n">
        <v>1.08</v>
      </c>
      <c r="CG983" s="13" t="n">
        <v>1556</v>
      </c>
      <c r="CH983" s="13" t="n">
        <v>172</v>
      </c>
      <c r="CI983" s="13" t="n">
        <v>65</v>
      </c>
      <c r="CJ983" s="13" t="n">
        <v>40</v>
      </c>
      <c r="CK983" s="13" t="n">
        <v>336</v>
      </c>
      <c r="CL983" s="13" t="n">
        <v>14</v>
      </c>
      <c r="CM983" s="13" t="n">
        <v>209</v>
      </c>
      <c r="CN983" s="13" t="n">
        <v>0.354</v>
      </c>
      <c r="CO983" s="13" t="n">
        <v>137</v>
      </c>
      <c r="CP983" s="13" t="n">
        <v>108</v>
      </c>
      <c r="CQ983" s="13" t="n">
        <v>200</v>
      </c>
      <c r="CR983" s="13" t="n">
        <v>1</v>
      </c>
      <c r="CS983" s="13" t="n">
        <v>12</v>
      </c>
      <c r="CT983" s="11" t="inlineStr">
        <is>
          <t xml:space="preserve"> On-Piste All-Mountain</t>
        </is>
      </c>
      <c r="CU983" s="11" t="inlineStr">
        <is>
          <t xml:space="preserve"> Touring</t>
        </is>
      </c>
      <c r="CV983" s="13" t="n"/>
      <c r="CW983" s="13" t="n"/>
      <c r="CX983">
        <f>INDEX('Data_Price '!AG$2:AG$1266,MATCH(Data!$DN983,'Data_Price '!$AT$2:$AT$1266,0))</f>
        <v/>
      </c>
      <c r="CY983">
        <f>INDEX('Data_Price '!AH$2:AH$1266,MATCH(Data!$DN983,'Data_Price '!$AT$2:$AT$1266,0))</f>
        <v/>
      </c>
      <c r="CZ983">
        <f>INDEX('Data_Price '!AI$2:AI$1266,MATCH(Data!$DN983,'Data_Price '!$AT$2:$AT$1266,0))</f>
        <v/>
      </c>
      <c r="DA983">
        <f>INDEX('Data_Price '!AJ$2:AJ$1266,MATCH(Data!$DN983,'Data_Price '!$AT$2:$AT$1266,0))</f>
        <v/>
      </c>
      <c r="DB983">
        <f>INDEX('Data_Price '!AK$2:AK$1266,MATCH(Data!$DN983,'Data_Price '!$AT$2:$AT$1266,0))</f>
        <v/>
      </c>
      <c r="DC983">
        <f>INDEX('Data_Price '!AL$2:AL$1266,MATCH(Data!$DN983,'Data_Price '!$AT$2:$AT$1266,0))</f>
        <v/>
      </c>
      <c r="DD983">
        <f>INDEX('Data_Price '!AM$2:AM$1266,MATCH(Data!$DN983,'Data_Price '!$AT$2:$AT$1266,0))</f>
        <v/>
      </c>
      <c r="DE983">
        <f>INDEX('Data_Price '!AN$2:AN$1266,MATCH(Data!$DN983,'Data_Price '!$AT$2:$AT$1266,0))</f>
        <v/>
      </c>
      <c r="DF983">
        <f>INDEX('Data_Price '!AO$2:AO$1266,MATCH(Data!$DN983,'Data_Price '!$AT$2:$AT$1266,0))</f>
        <v/>
      </c>
      <c r="DG983">
        <f>INDEX('Data_Price '!AP$2:AP$1266,MATCH(Data!$DN983,'Data_Price '!$AT$2:$AT$1266,0))</f>
        <v/>
      </c>
      <c r="DH983">
        <f>INDEX('Data_Price '!AQ$2:AQ$1266,MATCH(Data!$DN983,'Data_Price '!$AT$2:$AT$1266,0))</f>
        <v/>
      </c>
      <c r="DI983">
        <f>INDEX('Data_Price '!AR$2:AR$1266,MATCH(Data!$DN983,'Data_Price '!$AT$2:$AT$1266,0))</f>
        <v/>
      </c>
      <c r="DJ983" s="138">
        <f>DA983</f>
        <v/>
      </c>
      <c r="DK983" s="138">
        <f>DE983</f>
        <v/>
      </c>
      <c r="DL983" s="138">
        <f>DI983</f>
        <v/>
      </c>
      <c r="DM983" s="303">
        <f>IF(LEFT(BT983,1)=" ",RIGHT(BT983,LEN(BT983)-1),BT983)</f>
        <v/>
      </c>
      <c r="DN983" s="138">
        <f>_xlfn.CONCAT(BS983,DM983,BU983,BV983)</f>
        <v/>
      </c>
      <c r="DO983" s="307" t="n"/>
    </row>
    <row r="984" ht="15.6" customHeight="1" s="184">
      <c r="B984" s="303">
        <f t="array" ref="B984">IF(OR(ISERROR(K984:P984)),FALSE,TRUE)</f>
        <v/>
      </c>
      <c r="C984" s="60">
        <f>OR(BR984=Driver!$G$50,Data!BR1231=Driver!$H$50)</f>
        <v/>
      </c>
      <c r="D984" s="60">
        <f>OR(BV984=Driver!$G$51,BV984=Driver!$H$51)</f>
        <v/>
      </c>
      <c r="E984" s="60">
        <f>AND(BX984&gt;Driver!$F$54,BX984&lt;Driver!$G$54)</f>
        <v/>
      </c>
      <c r="F984" s="60">
        <f>CL984&gt;Driver!$F$56</f>
        <v/>
      </c>
      <c r="G984" s="60">
        <f>AND(CB984&gt;Driver!$F$55,CB984&lt;Driver!$G$55)</f>
        <v/>
      </c>
      <c r="H984" s="60">
        <f>AND(B984:G984)</f>
        <v/>
      </c>
      <c r="I984" s="60">
        <f>COUNTIFS($H$9:$H$1273,TRUE,$BT$9:$BT$1273,BT984)</f>
        <v/>
      </c>
      <c r="J984" s="60">
        <f t="array" ref="J984">NOT(OR(($H$9:$H$1273=TRUE)*($I$9:$I$1273&gt;0)*($BT$9:$BT$1273=BT984)*($K$9:$K$1273&gt;K984)))</f>
        <v/>
      </c>
      <c r="K984" s="108">
        <f>IFERROR(1-AVERAGE(X984:Y984),"")</f>
        <v/>
      </c>
      <c r="L984" s="108">
        <f>1-X984</f>
        <v/>
      </c>
      <c r="M984" s="108">
        <f>1-Y984</f>
        <v/>
      </c>
      <c r="N984" s="108">
        <f>1-Z984</f>
        <v/>
      </c>
      <c r="O984" s="108">
        <f>1-AA984</f>
        <v/>
      </c>
      <c r="P984" s="108">
        <f>1-AB984</f>
        <v/>
      </c>
      <c r="Q984" s="108" t="n"/>
      <c r="R984" s="108" t="n"/>
      <c r="S984" s="108">
        <f>1-AE984</f>
        <v/>
      </c>
      <c r="T984" s="108">
        <f>1-AF984</f>
        <v/>
      </c>
      <c r="U984" s="108">
        <f>1-AG984</f>
        <v/>
      </c>
      <c r="V984" s="108">
        <f>1-AH984</f>
        <v/>
      </c>
      <c r="W984" s="108">
        <f>1-AI984</f>
        <v/>
      </c>
      <c r="X984" s="108">
        <f>ABS(AJ984-AJ$1)</f>
        <v/>
      </c>
      <c r="Y984" s="108">
        <f>AVERAGE(Z984:AB984)</f>
        <v/>
      </c>
      <c r="Z984" s="108">
        <f>ABS(AL984-AL$1)</f>
        <v/>
      </c>
      <c r="AA984" s="108">
        <f>ABS(AM984-AM$1)</f>
        <v/>
      </c>
      <c r="AB984" s="108">
        <f>ABS(AN984-AN$1)</f>
        <v/>
      </c>
      <c r="AC984" s="108" t="n"/>
      <c r="AD984" s="108" t="n"/>
      <c r="AE984" s="108">
        <f>ABS(AQ$1-AQ984)</f>
        <v/>
      </c>
      <c r="AF984" s="108">
        <f>ABS(AR$1-AR984)</f>
        <v/>
      </c>
      <c r="AG984" s="108">
        <f>ABS(AS$1-AS984)</f>
        <v/>
      </c>
      <c r="AH984" s="108">
        <f>ABS(AT$1-AT984)</f>
        <v/>
      </c>
      <c r="AI984" s="108">
        <f>ABS(AU$1-AU984)</f>
        <v/>
      </c>
      <c r="AJ984" s="108">
        <f>(AV984-Driver!$K$179)/(Driver!$L$179-Driver!$K$179)</f>
        <v/>
      </c>
      <c r="AK984" s="108">
        <f>(AW984-Driver!$K$180)/(Driver!$L$180-Driver!$K$180)</f>
        <v/>
      </c>
      <c r="AL984" s="108">
        <f>(AX984-Driver!$K$181)/(Driver!$L$181-Driver!$K$181)</f>
        <v/>
      </c>
      <c r="AM984" s="108">
        <f>(AY984-Driver!$K$182)/(Driver!$L$182-Driver!$K$182)</f>
        <v/>
      </c>
      <c r="AN984" s="108">
        <f>(AZ984-Driver!$K$183)/(Driver!$L$183-Driver!$K$183)</f>
        <v/>
      </c>
      <c r="AO984" s="108" t="n"/>
      <c r="AP984" s="108" t="n"/>
      <c r="AQ984" s="108">
        <f>(BC984-Driver!$K$188)/(Driver!$L$188-Driver!$K$188)</f>
        <v/>
      </c>
      <c r="AR984" s="108">
        <f>MIN((BD984-Driver!$K$189)/(Driver!$L$189-Driver!$K$189),100%)</f>
        <v/>
      </c>
      <c r="AS984" s="108">
        <f>(BE984-Driver!$K$190)/(Driver!$L$190-Driver!$K$190)</f>
        <v/>
      </c>
      <c r="AT984" s="108">
        <f>(BF984-Driver!$K$191)/(Driver!$L$191-Driver!$K$191)</f>
        <v/>
      </c>
      <c r="AU984" s="108">
        <f>(BG984-Driver!$K$192)/(Driver!$L$192-Driver!$K$192)</f>
        <v/>
      </c>
      <c r="AV984" s="105">
        <f>IFERROR(BM984*BJ984^1/4,"")</f>
        <v/>
      </c>
      <c r="AW984" s="105">
        <f>IFERROR(SUM(AX984:AZ984),"")</f>
        <v/>
      </c>
      <c r="AX984" s="105">
        <f>IFERROR(BH984,"")</f>
        <v/>
      </c>
      <c r="AY984" s="105">
        <f>IFERROR(Driver!$K$19/Data!BH984/Data!BI984*Data!BK984*Data!BL984,"")</f>
        <v/>
      </c>
      <c r="AZ984" s="105">
        <f>IFERROR(BI984*BN984,"")</f>
        <v/>
      </c>
      <c r="BA984" s="105" t="n"/>
      <c r="BB984" s="105" t="n"/>
      <c r="BC984" s="105">
        <f>IFERROR(BI984*BN984*BK984/BJ984^(1/2),"")</f>
        <v/>
      </c>
      <c r="BD984" s="105">
        <f>IFERROR(BH984*BM984*BL984/BJ984/BK984,"")</f>
        <v/>
      </c>
      <c r="BE984" s="105">
        <f>IFERROR(MIN(BI984/BQ984/BP984/BO984/BH984,$BE$1),"")</f>
        <v/>
      </c>
      <c r="BF984" s="105">
        <f>IFERROR(BJ984*BO984*BP984/BK984,"")</f>
        <v/>
      </c>
      <c r="BG984" s="105">
        <f>IFERROR(1/BM984/BH984*BQ984,"")</f>
        <v/>
      </c>
      <c r="BH984" s="102">
        <f>MAX((CE984-Driver!$F$200)/(Driver!$G$200-Driver!$F$200)*$BI$1,1)</f>
        <v/>
      </c>
      <c r="BI984" s="102">
        <f>MAX($BI$1*(BY984-Driver!$F$201)/(Driver!$G$201-Driver!$F$201),1)</f>
        <v/>
      </c>
      <c r="BJ984" s="102">
        <f>(CB984-Driver!$F$206)/(Driver!$G$206-Driver!$F$206)*$BI$1</f>
        <v/>
      </c>
      <c r="BK984" s="102">
        <f>(CD984-Driver!$F$203)/(Driver!$G$203-Driver!$F$203)*$BI$1</f>
        <v/>
      </c>
      <c r="BL984" s="102">
        <f>MAX((CR984-Driver!$F$202)/(Driver!$G$202-Driver!$F$202)*$BI$1,1)</f>
        <v/>
      </c>
      <c r="BM984" s="102">
        <f>MAX((CH984-Driver!$F$204)/(Driver!$G$204-Driver!$F$204)*$BI$1,1)</f>
        <v/>
      </c>
      <c r="BN984" s="102">
        <f>(CI984-Driver!$F$205)/(Driver!$G$205-Driver!$F$205)*$BI$1</f>
        <v/>
      </c>
      <c r="BO984" s="102">
        <f>(CK984-Driver!$F$207)/(Driver!$G$207-Driver!$F$207)*$BI$1</f>
        <v/>
      </c>
      <c r="BP984" s="102">
        <f>(CM984-Driver!$F$208)/(Driver!$G$208-Driver!$F$208)*$BI$1</f>
        <v/>
      </c>
      <c r="BQ984" s="102">
        <f>(CL984-Driver!$F$209)/(Driver!$G$209-Driver!$F$209)*$BI$1</f>
        <v/>
      </c>
      <c r="BR984" s="40" t="inlineStr">
        <is>
          <t>21/22</t>
        </is>
      </c>
      <c r="BS984" s="10" t="inlineStr">
        <is>
          <t xml:space="preserve"> Völkl</t>
        </is>
      </c>
      <c r="BT984" s="11" t="inlineStr">
        <is>
          <t xml:space="preserve"> Mantra V.Werks</t>
        </is>
      </c>
      <c r="BU984" s="13" t="n">
        <v>186</v>
      </c>
      <c r="BV984" s="11" t="inlineStr">
        <is>
          <t xml:space="preserve"> Unisex</t>
        </is>
      </c>
      <c r="BW984" s="13" t="n">
        <v>186</v>
      </c>
      <c r="BX984" s="13" t="n">
        <v>187.1</v>
      </c>
      <c r="BY984" s="13" t="n">
        <v>131</v>
      </c>
      <c r="BZ984" s="13" t="n">
        <v>159</v>
      </c>
      <c r="CA984" s="13" t="n">
        <v>134</v>
      </c>
      <c r="CB984" s="13" t="n">
        <v>98</v>
      </c>
      <c r="CC984" s="13" t="n">
        <v>116</v>
      </c>
      <c r="CD984" s="13" t="n">
        <v>23.4</v>
      </c>
      <c r="CE984" s="13" t="n">
        <v>1775</v>
      </c>
      <c r="CF984" s="13" t="n">
        <v>1.15</v>
      </c>
      <c r="CG984" s="13" t="n">
        <v>2038</v>
      </c>
      <c r="CH984" s="13" t="n">
        <v>190</v>
      </c>
      <c r="CI984" s="13" t="n">
        <v>147</v>
      </c>
      <c r="CJ984" s="13" t="n">
        <v>49</v>
      </c>
      <c r="CK984" s="13" t="n">
        <v>327</v>
      </c>
      <c r="CL984" s="13" t="n">
        <v>18</v>
      </c>
      <c r="CM984" s="13" t="n">
        <v>235</v>
      </c>
      <c r="CN984" s="13" t="n">
        <v>0.367</v>
      </c>
      <c r="CO984" s="13" t="n">
        <v>151</v>
      </c>
      <c r="CP984" s="13" t="n">
        <v>126</v>
      </c>
      <c r="CQ984" s="13" t="n">
        <v>177</v>
      </c>
      <c r="CR984" s="13" t="n">
        <v>3</v>
      </c>
      <c r="CS984" s="13" t="n">
        <v>10.7</v>
      </c>
      <c r="CT984" s="11" t="inlineStr">
        <is>
          <t xml:space="preserve"> Resort Freeride</t>
        </is>
      </c>
      <c r="CU984" s="11" t="inlineStr">
        <is>
          <t xml:space="preserve"> Touring</t>
        </is>
      </c>
      <c r="CV984" s="13" t="n"/>
      <c r="CW984" s="13" t="n"/>
      <c r="CX984">
        <f>INDEX('Data_Price '!AG$2:AG$1266,MATCH(Data!$DN984,'Data_Price '!$AT$2:$AT$1266,0))</f>
        <v/>
      </c>
      <c r="CY984">
        <f>INDEX('Data_Price '!AH$2:AH$1266,MATCH(Data!$DN984,'Data_Price '!$AT$2:$AT$1266,0))</f>
        <v/>
      </c>
      <c r="CZ984">
        <f>INDEX('Data_Price '!AI$2:AI$1266,MATCH(Data!$DN984,'Data_Price '!$AT$2:$AT$1266,0))</f>
        <v/>
      </c>
      <c r="DA984">
        <f>INDEX('Data_Price '!AJ$2:AJ$1266,MATCH(Data!$DN984,'Data_Price '!$AT$2:$AT$1266,0))</f>
        <v/>
      </c>
      <c r="DB984">
        <f>INDEX('Data_Price '!AK$2:AK$1266,MATCH(Data!$DN984,'Data_Price '!$AT$2:$AT$1266,0))</f>
        <v/>
      </c>
      <c r="DC984">
        <f>INDEX('Data_Price '!AL$2:AL$1266,MATCH(Data!$DN984,'Data_Price '!$AT$2:$AT$1266,0))</f>
        <v/>
      </c>
      <c r="DD984">
        <f>INDEX('Data_Price '!AM$2:AM$1266,MATCH(Data!$DN984,'Data_Price '!$AT$2:$AT$1266,0))</f>
        <v/>
      </c>
      <c r="DE984">
        <f>INDEX('Data_Price '!AN$2:AN$1266,MATCH(Data!$DN984,'Data_Price '!$AT$2:$AT$1266,0))</f>
        <v/>
      </c>
      <c r="DF984">
        <f>INDEX('Data_Price '!AO$2:AO$1266,MATCH(Data!$DN984,'Data_Price '!$AT$2:$AT$1266,0))</f>
        <v/>
      </c>
      <c r="DG984">
        <f>INDEX('Data_Price '!AP$2:AP$1266,MATCH(Data!$DN984,'Data_Price '!$AT$2:$AT$1266,0))</f>
        <v/>
      </c>
      <c r="DH984">
        <f>INDEX('Data_Price '!AQ$2:AQ$1266,MATCH(Data!$DN984,'Data_Price '!$AT$2:$AT$1266,0))</f>
        <v/>
      </c>
      <c r="DI984">
        <f>INDEX('Data_Price '!AR$2:AR$1266,MATCH(Data!$DN984,'Data_Price '!$AT$2:$AT$1266,0))</f>
        <v/>
      </c>
      <c r="DJ984" s="138">
        <f>DA984</f>
        <v/>
      </c>
      <c r="DK984" s="138">
        <f>DE984</f>
        <v/>
      </c>
      <c r="DL984" s="138">
        <f>DI984</f>
        <v/>
      </c>
      <c r="DM984" s="303">
        <f>IF(LEFT(BT984,1)=" ",RIGHT(BT984,LEN(BT984)-1),BT984)</f>
        <v/>
      </c>
      <c r="DN984" s="138">
        <f>_xlfn.CONCAT(BS984,DM984,BU984,BV984)</f>
        <v/>
      </c>
      <c r="DO984" s="307" t="n"/>
    </row>
    <row r="985" ht="15.6" customHeight="1" s="184">
      <c r="B985" s="303">
        <f t="array" ref="B985">IF(OR(ISERROR(K985:P985)),FALSE,TRUE)</f>
        <v/>
      </c>
      <c r="C985" s="60">
        <f>OR(BR985=Driver!$G$50,Data!BR885=Driver!$H$50)</f>
        <v/>
      </c>
      <c r="D985" s="60">
        <f>OR(BV985=Driver!$G$51,BV985=Driver!$H$51)</f>
        <v/>
      </c>
      <c r="E985" s="60">
        <f>AND(BX985&gt;Driver!$F$54,BX985&lt;Driver!$G$54)</f>
        <v/>
      </c>
      <c r="F985" s="60">
        <f>CL985&gt;Driver!$F$56</f>
        <v/>
      </c>
      <c r="G985" s="60">
        <f>AND(CB985&gt;Driver!$F$55,CB985&lt;Driver!$G$55)</f>
        <v/>
      </c>
      <c r="H985" s="60">
        <f>AND(B985:G985)</f>
        <v/>
      </c>
      <c r="I985" s="60">
        <f>COUNTIFS($H$9:$H$1273,TRUE,$BT$9:$BT$1273,BT985)</f>
        <v/>
      </c>
      <c r="J985" s="60">
        <f t="array" ref="J985">NOT(OR(($H$9:$H$1273=TRUE)*($I$9:$I$1273&gt;0)*($BT$9:$BT$1273=BT985)*($K$9:$K$1273&gt;K985)))</f>
        <v/>
      </c>
      <c r="K985" s="108">
        <f>IFERROR(1-AVERAGE(X985:Y985),"")</f>
        <v/>
      </c>
      <c r="L985" s="108">
        <f>1-X985</f>
        <v/>
      </c>
      <c r="M985" s="108">
        <f>1-Y985</f>
        <v/>
      </c>
      <c r="N985" s="108">
        <f>1-Z985</f>
        <v/>
      </c>
      <c r="O985" s="108">
        <f>1-AA985</f>
        <v/>
      </c>
      <c r="P985" s="108">
        <f>1-AB985</f>
        <v/>
      </c>
      <c r="Q985" s="108" t="n"/>
      <c r="R985" s="108" t="n"/>
      <c r="S985" s="108">
        <f>1-AE985</f>
        <v/>
      </c>
      <c r="T985" s="108">
        <f>1-AF985</f>
        <v/>
      </c>
      <c r="U985" s="108">
        <f>1-AG985</f>
        <v/>
      </c>
      <c r="V985" s="108">
        <f>1-AH985</f>
        <v/>
      </c>
      <c r="W985" s="108">
        <f>1-AI985</f>
        <v/>
      </c>
      <c r="X985" s="108">
        <f>ABS(AJ985-AJ$1)</f>
        <v/>
      </c>
      <c r="Y985" s="108">
        <f>AVERAGE(Z985:AB985)</f>
        <v/>
      </c>
      <c r="Z985" s="108">
        <f>ABS(AL985-AL$1)</f>
        <v/>
      </c>
      <c r="AA985" s="108">
        <f>ABS(AM985-AM$1)</f>
        <v/>
      </c>
      <c r="AB985" s="108">
        <f>ABS(AN985-AN$1)</f>
        <v/>
      </c>
      <c r="AC985" s="108" t="n"/>
      <c r="AD985" s="108" t="n"/>
      <c r="AE985" s="108">
        <f>ABS(AQ$1-AQ985)</f>
        <v/>
      </c>
      <c r="AF985" s="108">
        <f>ABS(AR$1-AR985)</f>
        <v/>
      </c>
      <c r="AG985" s="108">
        <f>ABS(AS$1-AS985)</f>
        <v/>
      </c>
      <c r="AH985" s="108">
        <f>ABS(AT$1-AT985)</f>
        <v/>
      </c>
      <c r="AI985" s="108">
        <f>ABS(AU$1-AU985)</f>
        <v/>
      </c>
      <c r="AJ985" s="108">
        <f>(AV985-Driver!$K$179)/(Driver!$L$179-Driver!$K$179)</f>
        <v/>
      </c>
      <c r="AK985" s="108">
        <f>(AW985-Driver!$K$180)/(Driver!$L$180-Driver!$K$180)</f>
        <v/>
      </c>
      <c r="AL985" s="108">
        <f>(AX985-Driver!$K$181)/(Driver!$L$181-Driver!$K$181)</f>
        <v/>
      </c>
      <c r="AM985" s="108">
        <f>(AY985-Driver!$K$182)/(Driver!$L$182-Driver!$K$182)</f>
        <v/>
      </c>
      <c r="AN985" s="108">
        <f>(AZ985-Driver!$K$183)/(Driver!$L$183-Driver!$K$183)</f>
        <v/>
      </c>
      <c r="AO985" s="108" t="n"/>
      <c r="AP985" s="108" t="n"/>
      <c r="AQ985" s="108">
        <f>(BC985-Driver!$K$188)/(Driver!$L$188-Driver!$K$188)</f>
        <v/>
      </c>
      <c r="AR985" s="108">
        <f>MIN((BD985-Driver!$K$189)/(Driver!$L$189-Driver!$K$189),100%)</f>
        <v/>
      </c>
      <c r="AS985" s="108">
        <f>(BE985-Driver!$K$190)/(Driver!$L$190-Driver!$K$190)</f>
        <v/>
      </c>
      <c r="AT985" s="108">
        <f>(BF985-Driver!$K$191)/(Driver!$L$191-Driver!$K$191)</f>
        <v/>
      </c>
      <c r="AU985" s="108">
        <f>(BG985-Driver!$K$192)/(Driver!$L$192-Driver!$K$192)</f>
        <v/>
      </c>
      <c r="AV985" s="105">
        <f>IFERROR(BM985*BJ985^1/4,"")</f>
        <v/>
      </c>
      <c r="AW985" s="105">
        <f>IFERROR(SUM(AX985:AZ985),"")</f>
        <v/>
      </c>
      <c r="AX985" s="105">
        <f>IFERROR(BH985,"")</f>
        <v/>
      </c>
      <c r="AY985" s="105">
        <f>IFERROR(Driver!$K$19/Data!BH985/Data!BI985*Data!BK985*Data!BL985,"")</f>
        <v/>
      </c>
      <c r="AZ985" s="105">
        <f>IFERROR(BI985*BN985,"")</f>
        <v/>
      </c>
      <c r="BA985" s="105" t="n"/>
      <c r="BB985" s="105" t="n"/>
      <c r="BC985" s="105">
        <f>IFERROR(BI985*BN985*BK985/BJ985^(1/2),"")</f>
        <v/>
      </c>
      <c r="BD985" s="105">
        <f>IFERROR(BH985*BM985*BL985/BJ985/BK985,"")</f>
        <v/>
      </c>
      <c r="BE985" s="105">
        <f>IFERROR(MIN(BI985/BQ985/BP985/BO985/BH985,$BE$1),"")</f>
        <v/>
      </c>
      <c r="BF985" s="105">
        <f>IFERROR(BJ985*BO985*BP985/BK985,"")</f>
        <v/>
      </c>
      <c r="BG985" s="105">
        <f>IFERROR(1/BM985/BH985*BQ985,"")</f>
        <v/>
      </c>
      <c r="BH985" s="102">
        <f>MAX((CE985-Driver!$F$200)/(Driver!$G$200-Driver!$F$200)*$BI$1,1)</f>
        <v/>
      </c>
      <c r="BI985" s="102">
        <f>MAX($BI$1*(BY985-Driver!$F$201)/(Driver!$G$201-Driver!$F$201),1)</f>
        <v/>
      </c>
      <c r="BJ985" s="102">
        <f>(CB985-Driver!$F$206)/(Driver!$G$206-Driver!$F$206)*$BI$1</f>
        <v/>
      </c>
      <c r="BK985" s="102">
        <f>(CD985-Driver!$F$203)/(Driver!$G$203-Driver!$F$203)*$BI$1</f>
        <v/>
      </c>
      <c r="BL985" s="102">
        <f>MAX((CR985-Driver!$F$202)/(Driver!$G$202-Driver!$F$202)*$BI$1,1)</f>
        <v/>
      </c>
      <c r="BM985" s="102">
        <f>MAX((CH985-Driver!$F$204)/(Driver!$G$204-Driver!$F$204)*$BI$1,1)</f>
        <v/>
      </c>
      <c r="BN985" s="102">
        <f>(CI985-Driver!$F$205)/(Driver!$G$205-Driver!$F$205)*$BI$1</f>
        <v/>
      </c>
      <c r="BO985" s="102">
        <f>(CK985-Driver!$F$207)/(Driver!$G$207-Driver!$F$207)*$BI$1</f>
        <v/>
      </c>
      <c r="BP985" s="102">
        <f>(CM985-Driver!$F$208)/(Driver!$G$208-Driver!$F$208)*$BI$1</f>
        <v/>
      </c>
      <c r="BQ985" s="102">
        <f>(CL985-Driver!$F$209)/(Driver!$G$209-Driver!$F$209)*$BI$1</f>
        <v/>
      </c>
      <c r="BR985" s="40" t="inlineStr">
        <is>
          <t>21/22</t>
        </is>
      </c>
      <c r="BS985" s="10" t="inlineStr">
        <is>
          <t xml:space="preserve"> Nordica</t>
        </is>
      </c>
      <c r="BT985" s="11" t="inlineStr">
        <is>
          <t>Belle 72 Ca</t>
        </is>
      </c>
      <c r="BU985" s="13" t="n">
        <v>162</v>
      </c>
      <c r="BV985" s="11" t="inlineStr">
        <is>
          <t xml:space="preserve"> Women's</t>
        </is>
      </c>
      <c r="BW985" s="13" t="n">
        <v>162</v>
      </c>
      <c r="BX985" s="13" t="n">
        <v>161.3</v>
      </c>
      <c r="BY985" s="13" t="n">
        <v>137</v>
      </c>
      <c r="BZ985" s="13" t="n">
        <v>146</v>
      </c>
      <c r="CA985" s="13" t="n">
        <v>120</v>
      </c>
      <c r="CB985" s="13" t="n">
        <v>71</v>
      </c>
      <c r="CC985" s="13" t="n">
        <v>99</v>
      </c>
      <c r="CD985" s="13" t="n">
        <v>13.5</v>
      </c>
      <c r="CE985" s="13" t="n">
        <v>1813</v>
      </c>
      <c r="CF985" s="13" t="n">
        <v>0.76</v>
      </c>
      <c r="CG985" s="13" t="n">
        <v>1384</v>
      </c>
      <c r="CH985" s="13" t="n">
        <v>190</v>
      </c>
      <c r="CI985" s="13" t="n">
        <v>63</v>
      </c>
      <c r="CJ985" s="13" t="n">
        <v>39</v>
      </c>
      <c r="CK985" s="13" t="n">
        <v>164</v>
      </c>
      <c r="CL985" s="13" t="n">
        <v>8</v>
      </c>
      <c r="CM985" s="13" t="n">
        <v>84</v>
      </c>
      <c r="CN985" s="13" t="n">
        <v>0.214</v>
      </c>
      <c r="CO985" s="13" t="n">
        <v>64</v>
      </c>
      <c r="CP985" s="13" t="n">
        <v>86</v>
      </c>
      <c r="CQ985" s="13" t="n">
        <v>99</v>
      </c>
      <c r="CR985" s="13" t="n">
        <v>8</v>
      </c>
      <c r="CS985" s="13" t="n">
        <v>9.1</v>
      </c>
      <c r="CT985" s="11" t="inlineStr">
        <is>
          <t xml:space="preserve"> On-Piste Carving</t>
        </is>
      </c>
      <c r="CU985" s="13" t="n"/>
      <c r="CV985" s="13" t="n"/>
      <c r="CW985" s="13" t="n"/>
      <c r="CX985">
        <f>INDEX('Data_Price '!AG$2:AG$1266,MATCH(Data!$DN985,'Data_Price '!$AT$2:$AT$1266,0))</f>
        <v/>
      </c>
      <c r="CY985">
        <f>INDEX('Data_Price '!AH$2:AH$1266,MATCH(Data!$DN985,'Data_Price '!$AT$2:$AT$1266,0))</f>
        <v/>
      </c>
      <c r="CZ985">
        <f>INDEX('Data_Price '!AI$2:AI$1266,MATCH(Data!$DN985,'Data_Price '!$AT$2:$AT$1266,0))</f>
        <v/>
      </c>
      <c r="DA985">
        <f>INDEX('Data_Price '!AJ$2:AJ$1266,MATCH(Data!$DN985,'Data_Price '!$AT$2:$AT$1266,0))</f>
        <v/>
      </c>
      <c r="DB985">
        <f>INDEX('Data_Price '!AK$2:AK$1266,MATCH(Data!$DN985,'Data_Price '!$AT$2:$AT$1266,0))</f>
        <v/>
      </c>
      <c r="DC985">
        <f>INDEX('Data_Price '!AL$2:AL$1266,MATCH(Data!$DN985,'Data_Price '!$AT$2:$AT$1266,0))</f>
        <v/>
      </c>
      <c r="DD985">
        <f>INDEX('Data_Price '!AM$2:AM$1266,MATCH(Data!$DN985,'Data_Price '!$AT$2:$AT$1266,0))</f>
        <v/>
      </c>
      <c r="DE985">
        <f>INDEX('Data_Price '!AN$2:AN$1266,MATCH(Data!$DN985,'Data_Price '!$AT$2:$AT$1266,0))</f>
        <v/>
      </c>
      <c r="DF985">
        <f>INDEX('Data_Price '!AO$2:AO$1266,MATCH(Data!$DN985,'Data_Price '!$AT$2:$AT$1266,0))</f>
        <v/>
      </c>
      <c r="DG985">
        <f>INDEX('Data_Price '!AP$2:AP$1266,MATCH(Data!$DN985,'Data_Price '!$AT$2:$AT$1266,0))</f>
        <v/>
      </c>
      <c r="DH985">
        <f>INDEX('Data_Price '!AQ$2:AQ$1266,MATCH(Data!$DN985,'Data_Price '!$AT$2:$AT$1266,0))</f>
        <v/>
      </c>
      <c r="DI985">
        <f>INDEX('Data_Price '!AR$2:AR$1266,MATCH(Data!$DN985,'Data_Price '!$AT$2:$AT$1266,0))</f>
        <v/>
      </c>
      <c r="DJ985" s="138">
        <f>DA985</f>
        <v/>
      </c>
      <c r="DK985" s="138">
        <f>DE985</f>
        <v/>
      </c>
      <c r="DL985" s="138">
        <f>DI985</f>
        <v/>
      </c>
      <c r="DM985" s="303">
        <f>IF(LEFT(BT985,1)=" ",RIGHT(BT985,LEN(BT985)-1),BT985)</f>
        <v/>
      </c>
      <c r="DN985" s="138">
        <f>_xlfn.CONCAT(BS985,DM985,BU985,BV985)</f>
        <v/>
      </c>
      <c r="DO985" s="307" t="n"/>
    </row>
    <row r="986" ht="15.6" customHeight="1" s="184">
      <c r="B986" s="303">
        <f t="array" ref="B986">IF(OR(ISERROR(K986:P986)),FALSE,TRUE)</f>
        <v/>
      </c>
      <c r="C986" s="60">
        <f>OR(BR986=Driver!$G$50,Data!BR200=Driver!$H$50)</f>
        <v/>
      </c>
      <c r="D986" s="60">
        <f>OR(BV986=Driver!$G$51,BV986=Driver!$H$51)</f>
        <v/>
      </c>
      <c r="E986" s="60">
        <f>AND(BX986&gt;Driver!$F$54,BX986&lt;Driver!$G$54)</f>
        <v/>
      </c>
      <c r="F986" s="60">
        <f>CL986&gt;Driver!$F$56</f>
        <v/>
      </c>
      <c r="G986" s="60">
        <f>AND(CB986&gt;Driver!$F$55,CB986&lt;Driver!$G$55)</f>
        <v/>
      </c>
      <c r="H986" s="60">
        <f>AND(B986:G986)</f>
        <v/>
      </c>
      <c r="I986" s="60">
        <f>COUNTIFS($H$9:$H$1273,TRUE,$BT$9:$BT$1273,BT986)</f>
        <v/>
      </c>
      <c r="J986" s="60">
        <f t="array" ref="J986">NOT(OR(($H$9:$H$1273=TRUE)*($I$9:$I$1273&gt;0)*($BT$9:$BT$1273=BT986)*($K$9:$K$1273&gt;K986)))</f>
        <v/>
      </c>
      <c r="K986" s="108">
        <f>IFERROR(1-AVERAGE(X986:Y986),"")</f>
        <v/>
      </c>
      <c r="L986" s="108">
        <f>1-X986</f>
        <v/>
      </c>
      <c r="M986" s="108">
        <f>1-Y986</f>
        <v/>
      </c>
      <c r="N986" s="108">
        <f>1-Z986</f>
        <v/>
      </c>
      <c r="O986" s="108">
        <f>1-AA986</f>
        <v/>
      </c>
      <c r="P986" s="108">
        <f>1-AB986</f>
        <v/>
      </c>
      <c r="Q986" s="108" t="n"/>
      <c r="R986" s="108" t="n"/>
      <c r="S986" s="108">
        <f>1-AE986</f>
        <v/>
      </c>
      <c r="T986" s="108">
        <f>1-AF986</f>
        <v/>
      </c>
      <c r="U986" s="108">
        <f>1-AG986</f>
        <v/>
      </c>
      <c r="V986" s="108">
        <f>1-AH986</f>
        <v/>
      </c>
      <c r="W986" s="108">
        <f>1-AI986</f>
        <v/>
      </c>
      <c r="X986" s="108">
        <f>ABS(AJ986-AJ$1)</f>
        <v/>
      </c>
      <c r="Y986" s="108">
        <f>AVERAGE(Z986:AB986)</f>
        <v/>
      </c>
      <c r="Z986" s="108">
        <f>ABS(AL986-AL$1)</f>
        <v/>
      </c>
      <c r="AA986" s="108">
        <f>ABS(AM986-AM$1)</f>
        <v/>
      </c>
      <c r="AB986" s="108">
        <f>ABS(AN986-AN$1)</f>
        <v/>
      </c>
      <c r="AC986" s="108" t="n"/>
      <c r="AD986" s="108" t="n"/>
      <c r="AE986" s="108">
        <f>ABS(AQ$1-AQ986)</f>
        <v/>
      </c>
      <c r="AF986" s="108">
        <f>ABS(AR$1-AR986)</f>
        <v/>
      </c>
      <c r="AG986" s="108">
        <f>ABS(AS$1-AS986)</f>
        <v/>
      </c>
      <c r="AH986" s="108">
        <f>ABS(AT$1-AT986)</f>
        <v/>
      </c>
      <c r="AI986" s="108">
        <f>ABS(AU$1-AU986)</f>
        <v/>
      </c>
      <c r="AJ986" s="108">
        <f>(AV986-Driver!$K$179)/(Driver!$L$179-Driver!$K$179)</f>
        <v/>
      </c>
      <c r="AK986" s="108">
        <f>(AW986-Driver!$K$180)/(Driver!$L$180-Driver!$K$180)</f>
        <v/>
      </c>
      <c r="AL986" s="108">
        <f>(AX986-Driver!$K$181)/(Driver!$L$181-Driver!$K$181)</f>
        <v/>
      </c>
      <c r="AM986" s="108">
        <f>(AY986-Driver!$K$182)/(Driver!$L$182-Driver!$K$182)</f>
        <v/>
      </c>
      <c r="AN986" s="108">
        <f>(AZ986-Driver!$K$183)/(Driver!$L$183-Driver!$K$183)</f>
        <v/>
      </c>
      <c r="AO986" s="108" t="n"/>
      <c r="AP986" s="108" t="n"/>
      <c r="AQ986" s="108">
        <f>(BC986-Driver!$K$188)/(Driver!$L$188-Driver!$K$188)</f>
        <v/>
      </c>
      <c r="AR986" s="108">
        <f>MIN((BD986-Driver!$K$189)/(Driver!$L$189-Driver!$K$189),100%)</f>
        <v/>
      </c>
      <c r="AS986" s="108">
        <f>(BE986-Driver!$K$190)/(Driver!$L$190-Driver!$K$190)</f>
        <v/>
      </c>
      <c r="AT986" s="108">
        <f>(BF986-Driver!$K$191)/(Driver!$L$191-Driver!$K$191)</f>
        <v/>
      </c>
      <c r="AU986" s="108">
        <f>(BG986-Driver!$K$192)/(Driver!$L$192-Driver!$K$192)</f>
        <v/>
      </c>
      <c r="AV986" s="105">
        <f>IFERROR(BM986*BJ986^1/4,"")</f>
        <v/>
      </c>
      <c r="AW986" s="105">
        <f>IFERROR(SUM(AX986:AZ986),"")</f>
        <v/>
      </c>
      <c r="AX986" s="105">
        <f>IFERROR(BH986,"")</f>
        <v/>
      </c>
      <c r="AY986" s="105">
        <f>IFERROR(Driver!$K$19/Data!BH986/Data!BI986*Data!BK986*Data!BL986,"")</f>
        <v/>
      </c>
      <c r="AZ986" s="105">
        <f>IFERROR(BI986*BN986,"")</f>
        <v/>
      </c>
      <c r="BA986" s="105" t="n"/>
      <c r="BB986" s="105" t="n"/>
      <c r="BC986" s="105">
        <f>IFERROR(BI986*BN986*BK986/BJ986^(1/2),"")</f>
        <v/>
      </c>
      <c r="BD986" s="105">
        <f>IFERROR(BH986*BM986*BL986/BJ986/BK986,"")</f>
        <v/>
      </c>
      <c r="BE986" s="105">
        <f>IFERROR(MIN(BI986/BQ986/BP986/BO986/BH986,$BE$1),"")</f>
        <v/>
      </c>
      <c r="BF986" s="105">
        <f>IFERROR(BJ986*BO986*BP986/BK986,"")</f>
        <v/>
      </c>
      <c r="BG986" s="105">
        <f>IFERROR(1/BM986/BH986*BQ986,"")</f>
        <v/>
      </c>
      <c r="BH986" s="102">
        <f>MAX((CE986-Driver!$F$200)/(Driver!$G$200-Driver!$F$200)*$BI$1,1)</f>
        <v/>
      </c>
      <c r="BI986" s="102">
        <f>MAX($BI$1*(BY986-Driver!$F$201)/(Driver!$G$201-Driver!$F$201),1)</f>
        <v/>
      </c>
      <c r="BJ986" s="102">
        <f>(CB986-Driver!$F$206)/(Driver!$G$206-Driver!$F$206)*$BI$1</f>
        <v/>
      </c>
      <c r="BK986" s="102">
        <f>(CD986-Driver!$F$203)/(Driver!$G$203-Driver!$F$203)*$BI$1</f>
        <v/>
      </c>
      <c r="BL986" s="102">
        <f>MAX((CR986-Driver!$F$202)/(Driver!$G$202-Driver!$F$202)*$BI$1,1)</f>
        <v/>
      </c>
      <c r="BM986" s="102">
        <f>MAX((CH986-Driver!$F$204)/(Driver!$G$204-Driver!$F$204)*$BI$1,1)</f>
        <v/>
      </c>
      <c r="BN986" s="102">
        <f>(CI986-Driver!$F$205)/(Driver!$G$205-Driver!$F$205)*$BI$1</f>
        <v/>
      </c>
      <c r="BO986" s="102">
        <f>(CK986-Driver!$F$207)/(Driver!$G$207-Driver!$F$207)*$BI$1</f>
        <v/>
      </c>
      <c r="BP986" s="102">
        <f>(CM986-Driver!$F$208)/(Driver!$G$208-Driver!$F$208)*$BI$1</f>
        <v/>
      </c>
      <c r="BQ986" s="102">
        <f>(CL986-Driver!$F$209)/(Driver!$G$209-Driver!$F$209)*$BI$1</f>
        <v/>
      </c>
      <c r="BR986" s="40" t="inlineStr">
        <is>
          <t>21/22</t>
        </is>
      </c>
      <c r="BS986" s="10" t="inlineStr">
        <is>
          <t xml:space="preserve"> Black Crows</t>
        </is>
      </c>
      <c r="BT986" s="11" t="inlineStr">
        <is>
          <t xml:space="preserve"> Atris Birdie</t>
        </is>
      </c>
      <c r="BU986" s="13" t="n">
        <v>160.1</v>
      </c>
      <c r="BV986" s="11" t="inlineStr">
        <is>
          <t xml:space="preserve"> Women's</t>
        </is>
      </c>
      <c r="BW986" s="13" t="n">
        <v>160.1</v>
      </c>
      <c r="BX986" s="13" t="n">
        <v>158.9</v>
      </c>
      <c r="BY986" s="13" t="n">
        <v>112</v>
      </c>
      <c r="BZ986" s="13" t="n">
        <v>133</v>
      </c>
      <c r="CA986" s="13" t="n">
        <v>135</v>
      </c>
      <c r="CB986" s="13" t="n">
        <v>106</v>
      </c>
      <c r="CC986" s="13" t="n">
        <v>121</v>
      </c>
      <c r="CD986" s="13" t="n">
        <v>19.2</v>
      </c>
      <c r="CE986" s="13" t="n">
        <v>1649</v>
      </c>
      <c r="CF986" s="13" t="n">
        <v>1.11</v>
      </c>
      <c r="CG986" s="13" t="n">
        <v>1831</v>
      </c>
      <c r="CH986" s="13" t="n">
        <v>121</v>
      </c>
      <c r="CI986" s="13" t="n">
        <v>57</v>
      </c>
      <c r="CJ986" s="13" t="n">
        <v>50</v>
      </c>
      <c r="CK986" s="13" t="n">
        <v>283</v>
      </c>
      <c r="CL986" s="13" t="n">
        <v>30</v>
      </c>
      <c r="CM986" s="13" t="n">
        <v>184</v>
      </c>
      <c r="CN986" s="13" t="n">
        <v>0.604</v>
      </c>
      <c r="CO986" s="13" t="n">
        <v>155</v>
      </c>
      <c r="CP986" s="13" t="n">
        <v>100</v>
      </c>
      <c r="CQ986" s="13" t="n">
        <v>128</v>
      </c>
      <c r="CR986" s="13" t="n">
        <v>7</v>
      </c>
      <c r="CS986" s="13" t="n">
        <v>8.5</v>
      </c>
      <c r="CT986" s="11" t="inlineStr">
        <is>
          <t xml:space="preserve"> Powder</t>
        </is>
      </c>
      <c r="CU986" s="11" t="inlineStr">
        <is>
          <t xml:space="preserve"> Touring</t>
        </is>
      </c>
      <c r="CV986" s="13" t="n"/>
      <c r="CW986" s="13" t="n"/>
      <c r="CX986">
        <f>INDEX('Data_Price '!AG$2:AG$1266,MATCH(Data!$DN986,'Data_Price '!$AT$2:$AT$1266,0))</f>
        <v/>
      </c>
      <c r="CY986">
        <f>INDEX('Data_Price '!AH$2:AH$1266,MATCH(Data!$DN986,'Data_Price '!$AT$2:$AT$1266,0))</f>
        <v/>
      </c>
      <c r="CZ986">
        <f>INDEX('Data_Price '!AI$2:AI$1266,MATCH(Data!$DN986,'Data_Price '!$AT$2:$AT$1266,0))</f>
        <v/>
      </c>
      <c r="DA986">
        <f>INDEX('Data_Price '!AJ$2:AJ$1266,MATCH(Data!$DN986,'Data_Price '!$AT$2:$AT$1266,0))</f>
        <v/>
      </c>
      <c r="DB986">
        <f>INDEX('Data_Price '!AK$2:AK$1266,MATCH(Data!$DN986,'Data_Price '!$AT$2:$AT$1266,0))</f>
        <v/>
      </c>
      <c r="DC986">
        <f>INDEX('Data_Price '!AL$2:AL$1266,MATCH(Data!$DN986,'Data_Price '!$AT$2:$AT$1266,0))</f>
        <v/>
      </c>
      <c r="DD986">
        <f>INDEX('Data_Price '!AM$2:AM$1266,MATCH(Data!$DN986,'Data_Price '!$AT$2:$AT$1266,0))</f>
        <v/>
      </c>
      <c r="DE986">
        <f>INDEX('Data_Price '!AN$2:AN$1266,MATCH(Data!$DN986,'Data_Price '!$AT$2:$AT$1266,0))</f>
        <v/>
      </c>
      <c r="DF986">
        <f>INDEX('Data_Price '!AO$2:AO$1266,MATCH(Data!$DN986,'Data_Price '!$AT$2:$AT$1266,0))</f>
        <v/>
      </c>
      <c r="DG986">
        <f>INDEX('Data_Price '!AP$2:AP$1266,MATCH(Data!$DN986,'Data_Price '!$AT$2:$AT$1266,0))</f>
        <v/>
      </c>
      <c r="DH986">
        <f>INDEX('Data_Price '!AQ$2:AQ$1266,MATCH(Data!$DN986,'Data_Price '!$AT$2:$AT$1266,0))</f>
        <v/>
      </c>
      <c r="DI986">
        <f>INDEX('Data_Price '!AR$2:AR$1266,MATCH(Data!$DN986,'Data_Price '!$AT$2:$AT$1266,0))</f>
        <v/>
      </c>
      <c r="DJ986" s="138">
        <f>DA986</f>
        <v/>
      </c>
      <c r="DK986" s="138">
        <f>DE986</f>
        <v/>
      </c>
      <c r="DL986" s="138">
        <f>DI986</f>
        <v/>
      </c>
      <c r="DM986" s="303">
        <f>IF(LEFT(BT986,1)=" ",RIGHT(BT986,LEN(BT986)-1),BT986)</f>
        <v/>
      </c>
      <c r="DN986" s="138">
        <f>_xlfn.CONCAT(BS986,DM986,BU986,BV986)</f>
        <v/>
      </c>
      <c r="DO986" s="307" t="inlineStr">
        <is>
          <t>https://images.evo.com/imgp/250/181605/727261/black-crows-atris-birdie-skis-women-s-2022-.jpg</t>
        </is>
      </c>
    </row>
    <row r="987" ht="15.6" customHeight="1" s="184">
      <c r="B987" s="303">
        <f t="array" ref="B987">IF(OR(ISERROR(K987:P987)),FALSE,TRUE)</f>
        <v/>
      </c>
      <c r="C987" s="60">
        <f>OR(BR987=Driver!$G$50,Data!BR1177=Driver!$H$50)</f>
        <v/>
      </c>
      <c r="D987" s="60">
        <f>OR(BV987=Driver!$G$51,BV987=Driver!$H$51)</f>
        <v/>
      </c>
      <c r="E987" s="60">
        <f>AND(BX987&gt;Driver!$F$54,BX987&lt;Driver!$G$54)</f>
        <v/>
      </c>
      <c r="F987" s="60">
        <f>CL987&gt;Driver!$F$56</f>
        <v/>
      </c>
      <c r="G987" s="60">
        <f>AND(CB987&gt;Driver!$F$55,CB987&lt;Driver!$G$55)</f>
        <v/>
      </c>
      <c r="H987" s="60">
        <f>AND(B987:G987)</f>
        <v/>
      </c>
      <c r="I987" s="60">
        <f>COUNTIFS($H$9:$H$1273,TRUE,$BT$9:$BT$1273,BT987)</f>
        <v/>
      </c>
      <c r="J987" s="60">
        <f t="array" ref="J987">NOT(OR(($H$9:$H$1273=TRUE)*($I$9:$I$1273&gt;0)*($BT$9:$BT$1273=BT987)*($K$9:$K$1273&gt;K987)))</f>
        <v/>
      </c>
      <c r="K987" s="108">
        <f>IFERROR(1-AVERAGE(X987:Y987),"")</f>
        <v/>
      </c>
      <c r="L987" s="108">
        <f>1-X987</f>
        <v/>
      </c>
      <c r="M987" s="108">
        <f>1-Y987</f>
        <v/>
      </c>
      <c r="N987" s="108">
        <f>1-Z987</f>
        <v/>
      </c>
      <c r="O987" s="108">
        <f>1-AA987</f>
        <v/>
      </c>
      <c r="P987" s="108">
        <f>1-AB987</f>
        <v/>
      </c>
      <c r="Q987" s="108" t="n"/>
      <c r="R987" s="108" t="n"/>
      <c r="S987" s="108">
        <f>1-AE987</f>
        <v/>
      </c>
      <c r="T987" s="108">
        <f>1-AF987</f>
        <v/>
      </c>
      <c r="U987" s="108">
        <f>1-AG987</f>
        <v/>
      </c>
      <c r="V987" s="108">
        <f>1-AH987</f>
        <v/>
      </c>
      <c r="W987" s="108">
        <f>1-AI987</f>
        <v/>
      </c>
      <c r="X987" s="108">
        <f>ABS(AJ987-AJ$1)</f>
        <v/>
      </c>
      <c r="Y987" s="108">
        <f>AVERAGE(Z987:AB987)</f>
        <v/>
      </c>
      <c r="Z987" s="108">
        <f>ABS(AL987-AL$1)</f>
        <v/>
      </c>
      <c r="AA987" s="108">
        <f>ABS(AM987-AM$1)</f>
        <v/>
      </c>
      <c r="AB987" s="108">
        <f>ABS(AN987-AN$1)</f>
        <v/>
      </c>
      <c r="AC987" s="108" t="n"/>
      <c r="AD987" s="108" t="n"/>
      <c r="AE987" s="108">
        <f>ABS(AQ$1-AQ987)</f>
        <v/>
      </c>
      <c r="AF987" s="108">
        <f>ABS(AR$1-AR987)</f>
        <v/>
      </c>
      <c r="AG987" s="108">
        <f>ABS(AS$1-AS987)</f>
        <v/>
      </c>
      <c r="AH987" s="108">
        <f>ABS(AT$1-AT987)</f>
        <v/>
      </c>
      <c r="AI987" s="108">
        <f>ABS(AU$1-AU987)</f>
        <v/>
      </c>
      <c r="AJ987" s="108">
        <f>(AV987-Driver!$K$179)/(Driver!$L$179-Driver!$K$179)</f>
        <v/>
      </c>
      <c r="AK987" s="108">
        <f>(AW987-Driver!$K$180)/(Driver!$L$180-Driver!$K$180)</f>
        <v/>
      </c>
      <c r="AL987" s="108">
        <f>(AX987-Driver!$K$181)/(Driver!$L$181-Driver!$K$181)</f>
        <v/>
      </c>
      <c r="AM987" s="108">
        <f>(AY987-Driver!$K$182)/(Driver!$L$182-Driver!$K$182)</f>
        <v/>
      </c>
      <c r="AN987" s="108">
        <f>(AZ987-Driver!$K$183)/(Driver!$L$183-Driver!$K$183)</f>
        <v/>
      </c>
      <c r="AO987" s="108" t="n"/>
      <c r="AP987" s="108" t="n"/>
      <c r="AQ987" s="108">
        <f>(BC987-Driver!$K$188)/(Driver!$L$188-Driver!$K$188)</f>
        <v/>
      </c>
      <c r="AR987" s="108">
        <f>MIN((BD987-Driver!$K$189)/(Driver!$L$189-Driver!$K$189),100%)</f>
        <v/>
      </c>
      <c r="AS987" s="108">
        <f>(BE987-Driver!$K$190)/(Driver!$L$190-Driver!$K$190)</f>
        <v/>
      </c>
      <c r="AT987" s="108">
        <f>(BF987-Driver!$K$191)/(Driver!$L$191-Driver!$K$191)</f>
        <v/>
      </c>
      <c r="AU987" s="108">
        <f>(BG987-Driver!$K$192)/(Driver!$L$192-Driver!$K$192)</f>
        <v/>
      </c>
      <c r="AV987" s="105">
        <f>IFERROR(BM987*BJ987^1/4,"")</f>
        <v/>
      </c>
      <c r="AW987" s="105">
        <f>IFERROR(SUM(AX987:AZ987),"")</f>
        <v/>
      </c>
      <c r="AX987" s="105">
        <f>IFERROR(BH987,"")</f>
        <v/>
      </c>
      <c r="AY987" s="105">
        <f>IFERROR(Driver!$K$19/Data!BH987/Data!BI987*Data!BK987*Data!BL987,"")</f>
        <v/>
      </c>
      <c r="AZ987" s="105">
        <f>IFERROR(BI987*BN987,"")</f>
        <v/>
      </c>
      <c r="BA987" s="105" t="n"/>
      <c r="BB987" s="105" t="n"/>
      <c r="BC987" s="105">
        <f>IFERROR(BI987*BN987*BK987/BJ987^(1/2),"")</f>
        <v/>
      </c>
      <c r="BD987" s="105">
        <f>IFERROR(BH987*BM987*BL987/BJ987/BK987,"")</f>
        <v/>
      </c>
      <c r="BE987" s="105">
        <f>IFERROR(MIN(BI987/BQ987/BP987/BO987/BH987,$BE$1),"")</f>
        <v/>
      </c>
      <c r="BF987" s="105">
        <f>IFERROR(BJ987*BO987*BP987/BK987,"")</f>
        <v/>
      </c>
      <c r="BG987" s="105">
        <f>IFERROR(1/BM987/BH987*BQ987,"")</f>
        <v/>
      </c>
      <c r="BH987" s="102">
        <f>MAX((CE987-Driver!$F$200)/(Driver!$G$200-Driver!$F$200)*$BI$1,1)</f>
        <v/>
      </c>
      <c r="BI987" s="102">
        <f>MAX($BI$1*(BY987-Driver!$F$201)/(Driver!$G$201-Driver!$F$201),1)</f>
        <v/>
      </c>
      <c r="BJ987" s="102">
        <f>(CB987-Driver!$F$206)/(Driver!$G$206-Driver!$F$206)*$BI$1</f>
        <v/>
      </c>
      <c r="BK987" s="102">
        <f>(CD987-Driver!$F$203)/(Driver!$G$203-Driver!$F$203)*$BI$1</f>
        <v/>
      </c>
      <c r="BL987" s="102">
        <f>MAX((CR987-Driver!$F$202)/(Driver!$G$202-Driver!$F$202)*$BI$1,1)</f>
        <v/>
      </c>
      <c r="BM987" s="102">
        <f>MAX((CH987-Driver!$F$204)/(Driver!$G$204-Driver!$F$204)*$BI$1,1)</f>
        <v/>
      </c>
      <c r="BN987" s="102">
        <f>(CI987-Driver!$F$205)/(Driver!$G$205-Driver!$F$205)*$BI$1</f>
        <v/>
      </c>
      <c r="BO987" s="102">
        <f>(CK987-Driver!$F$207)/(Driver!$G$207-Driver!$F$207)*$BI$1</f>
        <v/>
      </c>
      <c r="BP987" s="102">
        <f>(CM987-Driver!$F$208)/(Driver!$G$208-Driver!$F$208)*$BI$1</f>
        <v/>
      </c>
      <c r="BQ987" s="102">
        <f>(CL987-Driver!$F$209)/(Driver!$G$209-Driver!$F$209)*$BI$1</f>
        <v/>
      </c>
      <c r="BR987" s="40" t="inlineStr">
        <is>
          <t>21/22</t>
        </is>
      </c>
      <c r="BS987" s="10" t="inlineStr">
        <is>
          <t xml:space="preserve"> Völkl</t>
        </is>
      </c>
      <c r="BT987" s="11" t="inlineStr">
        <is>
          <t>Blaze 94 W</t>
        </is>
      </c>
      <c r="BU987" s="13" t="n">
        <v>158</v>
      </c>
      <c r="BV987" s="11" t="inlineStr">
        <is>
          <t xml:space="preserve"> Women's</t>
        </is>
      </c>
      <c r="BW987" s="13" t="n">
        <v>158</v>
      </c>
      <c r="BX987" s="13" t="n">
        <v>159.7</v>
      </c>
      <c r="BY987" s="13" t="n">
        <v>81</v>
      </c>
      <c r="BZ987" s="13" t="n">
        <v>136</v>
      </c>
      <c r="CA987" s="13" t="n">
        <v>133</v>
      </c>
      <c r="CB987" s="13" t="n">
        <v>93</v>
      </c>
      <c r="CC987" s="13" t="n">
        <v>115</v>
      </c>
      <c r="CD987" s="13" t="n">
        <v>14</v>
      </c>
      <c r="CE987" s="13" t="n">
        <v>1399</v>
      </c>
      <c r="CF987" s="13" t="n">
        <v>1.21</v>
      </c>
      <c r="CG987" s="13" t="n">
        <v>1689</v>
      </c>
      <c r="CH987" s="13" t="n">
        <v>166</v>
      </c>
      <c r="CI987" s="13" t="n">
        <v>80</v>
      </c>
      <c r="CJ987" s="13" t="n">
        <v>51</v>
      </c>
      <c r="CK987" s="13" t="n">
        <v>455</v>
      </c>
      <c r="CL987" s="13" t="n">
        <v>22</v>
      </c>
      <c r="CM987" s="13" t="n">
        <v>331</v>
      </c>
      <c r="CN987" s="13" t="n">
        <v>0.431</v>
      </c>
      <c r="CO987" s="13" t="n">
        <v>137</v>
      </c>
      <c r="CP987" s="13" t="n">
        <v>103</v>
      </c>
      <c r="CQ987" s="13" t="n">
        <v>318</v>
      </c>
      <c r="CR987" s="13" t="n">
        <v>2</v>
      </c>
      <c r="CS987" s="13" t="n">
        <v>11.5</v>
      </c>
      <c r="CT987" s="11" t="inlineStr">
        <is>
          <t xml:space="preserve"> Resort Freeride</t>
        </is>
      </c>
      <c r="CU987" s="11" t="inlineStr">
        <is>
          <t xml:space="preserve"> Touring</t>
        </is>
      </c>
      <c r="CV987" s="13" t="n"/>
      <c r="CW987" s="13" t="n"/>
      <c r="CX987">
        <f>INDEX('Data_Price '!AG$2:AG$1266,MATCH(Data!$DN987,'Data_Price '!$AT$2:$AT$1266,0))</f>
        <v/>
      </c>
      <c r="CY987">
        <f>INDEX('Data_Price '!AH$2:AH$1266,MATCH(Data!$DN987,'Data_Price '!$AT$2:$AT$1266,0))</f>
        <v/>
      </c>
      <c r="CZ987">
        <f>INDEX('Data_Price '!AI$2:AI$1266,MATCH(Data!$DN987,'Data_Price '!$AT$2:$AT$1266,0))</f>
        <v/>
      </c>
      <c r="DA987">
        <f>INDEX('Data_Price '!AJ$2:AJ$1266,MATCH(Data!$DN987,'Data_Price '!$AT$2:$AT$1266,0))</f>
        <v/>
      </c>
      <c r="DB987">
        <f>INDEX('Data_Price '!AK$2:AK$1266,MATCH(Data!$DN987,'Data_Price '!$AT$2:$AT$1266,0))</f>
        <v/>
      </c>
      <c r="DC987">
        <f>INDEX('Data_Price '!AL$2:AL$1266,MATCH(Data!$DN987,'Data_Price '!$AT$2:$AT$1266,0))</f>
        <v/>
      </c>
      <c r="DD987">
        <f>INDEX('Data_Price '!AM$2:AM$1266,MATCH(Data!$DN987,'Data_Price '!$AT$2:$AT$1266,0))</f>
        <v/>
      </c>
      <c r="DE987">
        <f>INDEX('Data_Price '!AN$2:AN$1266,MATCH(Data!$DN987,'Data_Price '!$AT$2:$AT$1266,0))</f>
        <v/>
      </c>
      <c r="DF987">
        <f>INDEX('Data_Price '!AO$2:AO$1266,MATCH(Data!$DN987,'Data_Price '!$AT$2:$AT$1266,0))</f>
        <v/>
      </c>
      <c r="DG987">
        <f>INDEX('Data_Price '!AP$2:AP$1266,MATCH(Data!$DN987,'Data_Price '!$AT$2:$AT$1266,0))</f>
        <v/>
      </c>
      <c r="DH987">
        <f>INDEX('Data_Price '!AQ$2:AQ$1266,MATCH(Data!$DN987,'Data_Price '!$AT$2:$AT$1266,0))</f>
        <v/>
      </c>
      <c r="DI987">
        <f>INDEX('Data_Price '!AR$2:AR$1266,MATCH(Data!$DN987,'Data_Price '!$AT$2:$AT$1266,0))</f>
        <v/>
      </c>
      <c r="DJ987" s="138">
        <f>DA987</f>
        <v/>
      </c>
      <c r="DK987" s="138">
        <f>DE987</f>
        <v/>
      </c>
      <c r="DL987" s="138">
        <f>DI987</f>
        <v/>
      </c>
      <c r="DM987" s="303">
        <f>IF(LEFT(BT987,1)=" ",RIGHT(BT987,LEN(BT987)-1),BT987)</f>
        <v/>
      </c>
      <c r="DN987" s="138">
        <f>_xlfn.CONCAT(BS987,DM987,BU987,BV987)</f>
        <v/>
      </c>
      <c r="DO987" s="307" t="inlineStr">
        <is>
          <t>https://images.evo.com/imgp/250/208356/837603/clone.jpg</t>
        </is>
      </c>
    </row>
    <row r="988" ht="15.6" customHeight="1" s="184">
      <c r="B988" s="303">
        <f t="array" ref="B988">IF(OR(ISERROR(K988:P988)),FALSE,TRUE)</f>
        <v/>
      </c>
      <c r="C988" s="60">
        <f>OR(BR988=Driver!$G$50,Data!BR137=Driver!$H$50)</f>
        <v/>
      </c>
      <c r="D988" s="60">
        <f>OR(BV988=Driver!$G$51,BV988=Driver!$H$51)</f>
        <v/>
      </c>
      <c r="E988" s="60">
        <f>AND(BX988&gt;Driver!$F$54,BX988&lt;Driver!$G$54)</f>
        <v/>
      </c>
      <c r="F988" s="60">
        <f>CL988&gt;Driver!$F$56</f>
        <v/>
      </c>
      <c r="G988" s="60">
        <f>AND(CB988&gt;Driver!$F$55,CB988&lt;Driver!$G$55)</f>
        <v/>
      </c>
      <c r="H988" s="60">
        <f>AND(B988:G988)</f>
        <v/>
      </c>
      <c r="I988" s="60">
        <f>COUNTIFS($H$9:$H$1273,TRUE,$BT$9:$BT$1273,BT988)</f>
        <v/>
      </c>
      <c r="J988" s="60">
        <f t="array" ref="J988">NOT(OR(($H$9:$H$1273=TRUE)*($I$9:$I$1273&gt;0)*($BT$9:$BT$1273=BT988)*($K$9:$K$1273&gt;K988)))</f>
        <v/>
      </c>
      <c r="K988" s="108">
        <f>IFERROR(1-AVERAGE(X988:Y988),"")</f>
        <v/>
      </c>
      <c r="L988" s="108">
        <f>1-X988</f>
        <v/>
      </c>
      <c r="M988" s="108">
        <f>1-Y988</f>
        <v/>
      </c>
      <c r="N988" s="108">
        <f>1-Z988</f>
        <v/>
      </c>
      <c r="O988" s="108">
        <f>1-AA988</f>
        <v/>
      </c>
      <c r="P988" s="108">
        <f>1-AB988</f>
        <v/>
      </c>
      <c r="Q988" s="108" t="n"/>
      <c r="R988" s="108" t="n"/>
      <c r="S988" s="108">
        <f>1-AE988</f>
        <v/>
      </c>
      <c r="T988" s="108">
        <f>1-AF988</f>
        <v/>
      </c>
      <c r="U988" s="108">
        <f>1-AG988</f>
        <v/>
      </c>
      <c r="V988" s="108">
        <f>1-AH988</f>
        <v/>
      </c>
      <c r="W988" s="108">
        <f>1-AI988</f>
        <v/>
      </c>
      <c r="X988" s="108">
        <f>ABS(AJ988-AJ$1)</f>
        <v/>
      </c>
      <c r="Y988" s="108">
        <f>AVERAGE(Z988:AB988)</f>
        <v/>
      </c>
      <c r="Z988" s="108">
        <f>ABS(AL988-AL$1)</f>
        <v/>
      </c>
      <c r="AA988" s="108">
        <f>ABS(AM988-AM$1)</f>
        <v/>
      </c>
      <c r="AB988" s="108">
        <f>ABS(AN988-AN$1)</f>
        <v/>
      </c>
      <c r="AC988" s="108" t="n"/>
      <c r="AD988" s="108" t="n"/>
      <c r="AE988" s="108">
        <f>ABS(AQ$1-AQ988)</f>
        <v/>
      </c>
      <c r="AF988" s="108">
        <f>ABS(AR$1-AR988)</f>
        <v/>
      </c>
      <c r="AG988" s="108">
        <f>ABS(AS$1-AS988)</f>
        <v/>
      </c>
      <c r="AH988" s="108">
        <f>ABS(AT$1-AT988)</f>
        <v/>
      </c>
      <c r="AI988" s="108">
        <f>ABS(AU$1-AU988)</f>
        <v/>
      </c>
      <c r="AJ988" s="108">
        <f>(AV988-Driver!$K$179)/(Driver!$L$179-Driver!$K$179)</f>
        <v/>
      </c>
      <c r="AK988" s="108">
        <f>(AW988-Driver!$K$180)/(Driver!$L$180-Driver!$K$180)</f>
        <v/>
      </c>
      <c r="AL988" s="108">
        <f>(AX988-Driver!$K$181)/(Driver!$L$181-Driver!$K$181)</f>
        <v/>
      </c>
      <c r="AM988" s="108">
        <f>(AY988-Driver!$K$182)/(Driver!$L$182-Driver!$K$182)</f>
        <v/>
      </c>
      <c r="AN988" s="108">
        <f>(AZ988-Driver!$K$183)/(Driver!$L$183-Driver!$K$183)</f>
        <v/>
      </c>
      <c r="AO988" s="108" t="n"/>
      <c r="AP988" s="108" t="n"/>
      <c r="AQ988" s="108">
        <f>(BC988-Driver!$K$188)/(Driver!$L$188-Driver!$K$188)</f>
        <v/>
      </c>
      <c r="AR988" s="108">
        <f>MIN((BD988-Driver!$K$189)/(Driver!$L$189-Driver!$K$189),100%)</f>
        <v/>
      </c>
      <c r="AS988" s="108">
        <f>(BE988-Driver!$K$190)/(Driver!$L$190-Driver!$K$190)</f>
        <v/>
      </c>
      <c r="AT988" s="108">
        <f>(BF988-Driver!$K$191)/(Driver!$L$191-Driver!$K$191)</f>
        <v/>
      </c>
      <c r="AU988" s="108">
        <f>(BG988-Driver!$K$192)/(Driver!$L$192-Driver!$K$192)</f>
        <v/>
      </c>
      <c r="AV988" s="105">
        <f>IFERROR(BM988*BJ988^1/4,"")</f>
        <v/>
      </c>
      <c r="AW988" s="105">
        <f>IFERROR(SUM(AX988:AZ988),"")</f>
        <v/>
      </c>
      <c r="AX988" s="105">
        <f>IFERROR(BH988,"")</f>
        <v/>
      </c>
      <c r="AY988" s="105">
        <f>IFERROR(Driver!$K$19/Data!BH988/Data!BI988*Data!BK988*Data!BL988,"")</f>
        <v/>
      </c>
      <c r="AZ988" s="105">
        <f>IFERROR(BI988*BN988,"")</f>
        <v/>
      </c>
      <c r="BA988" s="105" t="n"/>
      <c r="BB988" s="105" t="n"/>
      <c r="BC988" s="105">
        <f>IFERROR(BI988*BN988*BK988/BJ988^(1/2),"")</f>
        <v/>
      </c>
      <c r="BD988" s="105">
        <f>IFERROR(BH988*BM988*BL988/BJ988/BK988,"")</f>
        <v/>
      </c>
      <c r="BE988" s="105">
        <f>IFERROR(MIN(BI988/BQ988/BP988/BO988/BH988,$BE$1),"")</f>
        <v/>
      </c>
      <c r="BF988" s="105">
        <f>IFERROR(BJ988*BO988*BP988/BK988,"")</f>
        <v/>
      </c>
      <c r="BG988" s="105">
        <f>IFERROR(1/BM988/BH988*BQ988,"")</f>
        <v/>
      </c>
      <c r="BH988" s="102">
        <f>MAX((CE988-Driver!$F$200)/(Driver!$G$200-Driver!$F$200)*$BI$1,1)</f>
        <v/>
      </c>
      <c r="BI988" s="102">
        <f>MAX($BI$1*(BY988-Driver!$F$201)/(Driver!$G$201-Driver!$F$201),1)</f>
        <v/>
      </c>
      <c r="BJ988" s="102">
        <f>(CB988-Driver!$F$206)/(Driver!$G$206-Driver!$F$206)*$BI$1</f>
        <v/>
      </c>
      <c r="BK988" s="102">
        <f>(CD988-Driver!$F$203)/(Driver!$G$203-Driver!$F$203)*$BI$1</f>
        <v/>
      </c>
      <c r="BL988" s="102">
        <f>MAX((CR988-Driver!$F$202)/(Driver!$G$202-Driver!$F$202)*$BI$1,1)</f>
        <v/>
      </c>
      <c r="BM988" s="102">
        <f>MAX((CH988-Driver!$F$204)/(Driver!$G$204-Driver!$F$204)*$BI$1,1)</f>
        <v/>
      </c>
      <c r="BN988" s="102">
        <f>(CI988-Driver!$F$205)/(Driver!$G$205-Driver!$F$205)*$BI$1</f>
        <v/>
      </c>
      <c r="BO988" s="102">
        <f>(CK988-Driver!$F$207)/(Driver!$G$207-Driver!$F$207)*$BI$1</f>
        <v/>
      </c>
      <c r="BP988" s="102">
        <f>(CM988-Driver!$F$208)/(Driver!$G$208-Driver!$F$208)*$BI$1</f>
        <v/>
      </c>
      <c r="BQ988" s="102">
        <f>(CL988-Driver!$F$209)/(Driver!$G$209-Driver!$F$209)*$BI$1</f>
        <v/>
      </c>
      <c r="BR988" s="40" t="inlineStr">
        <is>
          <t>21/22</t>
        </is>
      </c>
      <c r="BS988" s="10" t="inlineStr">
        <is>
          <t xml:space="preserve"> Atomic</t>
        </is>
      </c>
      <c r="BT988" s="11" t="inlineStr">
        <is>
          <t>Bent Chetler 120</t>
        </is>
      </c>
      <c r="BU988" s="13" t="n">
        <v>192</v>
      </c>
      <c r="BV988" s="11" t="inlineStr">
        <is>
          <t xml:space="preserve"> Unisex</t>
        </is>
      </c>
      <c r="BW988" s="13" t="n">
        <v>192</v>
      </c>
      <c r="BX988" s="13" t="n">
        <v>188.1</v>
      </c>
      <c r="BY988" s="13" t="n">
        <v>115</v>
      </c>
      <c r="BZ988" s="13" t="n">
        <v>143</v>
      </c>
      <c r="CA988" s="13" t="n">
        <v>143</v>
      </c>
      <c r="CB988" s="13" t="n">
        <v>119</v>
      </c>
      <c r="CC988" s="13" t="n">
        <v>134</v>
      </c>
      <c r="CD988" s="13" t="n">
        <v>21.4</v>
      </c>
      <c r="CE988" s="13" t="n">
        <v>1970</v>
      </c>
      <c r="CF988" s="13" t="n">
        <v>1.19</v>
      </c>
      <c r="CG988" s="13" t="n">
        <v>2341</v>
      </c>
      <c r="CH988" s="13" t="n">
        <v>275</v>
      </c>
      <c r="CI988" s="13" t="n">
        <v>115</v>
      </c>
      <c r="CJ988" s="13" t="n">
        <v>56</v>
      </c>
      <c r="CK988" s="13" t="n">
        <v>398</v>
      </c>
      <c r="CL988" s="13" t="n">
        <v>42</v>
      </c>
      <c r="CM988" s="13" t="n">
        <v>329</v>
      </c>
      <c r="CN988" s="13" t="n">
        <v>0.762</v>
      </c>
      <c r="CO988" s="13" t="n">
        <v>204</v>
      </c>
      <c r="CP988" s="13" t="n">
        <v>252</v>
      </c>
      <c r="CQ988" s="13" t="n">
        <v>194</v>
      </c>
      <c r="CR988" s="13" t="n">
        <v>5</v>
      </c>
      <c r="CS988" s="13" t="n">
        <v>6.5</v>
      </c>
      <c r="CT988" s="11" t="inlineStr">
        <is>
          <t xml:space="preserve"> Powder</t>
        </is>
      </c>
      <c r="CU988" s="11" t="inlineStr">
        <is>
          <t xml:space="preserve"> Touring</t>
        </is>
      </c>
      <c r="CV988" s="13" t="n"/>
      <c r="CW988" s="13" t="n"/>
      <c r="CX988">
        <f>INDEX('Data_Price '!AG$2:AG$1266,MATCH(Data!$DN988,'Data_Price '!$AT$2:$AT$1266,0))</f>
        <v/>
      </c>
      <c r="CY988">
        <f>INDEX('Data_Price '!AH$2:AH$1266,MATCH(Data!$DN988,'Data_Price '!$AT$2:$AT$1266,0))</f>
        <v/>
      </c>
      <c r="CZ988">
        <f>INDEX('Data_Price '!AI$2:AI$1266,MATCH(Data!$DN988,'Data_Price '!$AT$2:$AT$1266,0))</f>
        <v/>
      </c>
      <c r="DA988">
        <f>INDEX('Data_Price '!AJ$2:AJ$1266,MATCH(Data!$DN988,'Data_Price '!$AT$2:$AT$1266,0))</f>
        <v/>
      </c>
      <c r="DB988">
        <f>INDEX('Data_Price '!AK$2:AK$1266,MATCH(Data!$DN988,'Data_Price '!$AT$2:$AT$1266,0))</f>
        <v/>
      </c>
      <c r="DC988">
        <f>INDEX('Data_Price '!AL$2:AL$1266,MATCH(Data!$DN988,'Data_Price '!$AT$2:$AT$1266,0))</f>
        <v/>
      </c>
      <c r="DD988">
        <f>INDEX('Data_Price '!AM$2:AM$1266,MATCH(Data!$DN988,'Data_Price '!$AT$2:$AT$1266,0))</f>
        <v/>
      </c>
      <c r="DE988">
        <f>INDEX('Data_Price '!AN$2:AN$1266,MATCH(Data!$DN988,'Data_Price '!$AT$2:$AT$1266,0))</f>
        <v/>
      </c>
      <c r="DF988">
        <f>INDEX('Data_Price '!AO$2:AO$1266,MATCH(Data!$DN988,'Data_Price '!$AT$2:$AT$1266,0))</f>
        <v/>
      </c>
      <c r="DG988">
        <f>INDEX('Data_Price '!AP$2:AP$1266,MATCH(Data!$DN988,'Data_Price '!$AT$2:$AT$1266,0))</f>
        <v/>
      </c>
      <c r="DH988">
        <f>INDEX('Data_Price '!AQ$2:AQ$1266,MATCH(Data!$DN988,'Data_Price '!$AT$2:$AT$1266,0))</f>
        <v/>
      </c>
      <c r="DI988">
        <f>INDEX('Data_Price '!AR$2:AR$1266,MATCH(Data!$DN988,'Data_Price '!$AT$2:$AT$1266,0))</f>
        <v/>
      </c>
      <c r="DJ988" s="138">
        <f>DA988</f>
        <v/>
      </c>
      <c r="DK988" s="138">
        <f>DE988</f>
        <v/>
      </c>
      <c r="DL988" s="138">
        <f>DI988</f>
        <v/>
      </c>
      <c r="DM988" s="303">
        <f>IF(LEFT(BT988,1)=" ",RIGHT(BT988,LEN(BT988)-1),BT988)</f>
        <v/>
      </c>
      <c r="DN988" s="138">
        <f>_xlfn.CONCAT(BS988,DM988,BU988,BV988)</f>
        <v/>
      </c>
      <c r="DO988" s="307" t="inlineStr">
        <is>
          <t>https://images.evo.com/imgp/250/219398/896896/atomic-bent-chetler-120-skis-2023-.jpg</t>
        </is>
      </c>
    </row>
    <row r="989" ht="15.6" customHeight="1" s="184">
      <c r="B989" s="303">
        <f t="array" ref="B989">IF(OR(ISERROR(K989:P989)),FALSE,TRUE)</f>
        <v/>
      </c>
      <c r="C989" s="60">
        <f>OR(BR989=Driver!$G$50,Data!BR130=Driver!$H$50)</f>
        <v/>
      </c>
      <c r="D989" s="60">
        <f>OR(BV989=Driver!$G$51,BV989=Driver!$H$51)</f>
        <v/>
      </c>
      <c r="E989" s="60">
        <f>AND(BX989&gt;Driver!$F$54,BX989&lt;Driver!$G$54)</f>
        <v/>
      </c>
      <c r="F989" s="60">
        <f>CL989&gt;Driver!$F$56</f>
        <v/>
      </c>
      <c r="G989" s="60">
        <f>AND(CB989&gt;Driver!$F$55,CB989&lt;Driver!$G$55)</f>
        <v/>
      </c>
      <c r="H989" s="60">
        <f>AND(B989:G989)</f>
        <v/>
      </c>
      <c r="I989" s="60">
        <f>COUNTIFS($H$9:$H$1273,TRUE,$BT$9:$BT$1273,BT989)</f>
        <v/>
      </c>
      <c r="J989" s="60">
        <f t="array" ref="J989">NOT(OR(($H$9:$H$1273=TRUE)*($I$9:$I$1273&gt;0)*($BT$9:$BT$1273=BT989)*($K$9:$K$1273&gt;K989)))</f>
        <v/>
      </c>
      <c r="K989" s="108">
        <f>IFERROR(1-AVERAGE(X989:Y989),"")</f>
        <v/>
      </c>
      <c r="L989" s="108">
        <f>1-X989</f>
        <v/>
      </c>
      <c r="M989" s="108">
        <f>1-Y989</f>
        <v/>
      </c>
      <c r="N989" s="108">
        <f>1-Z989</f>
        <v/>
      </c>
      <c r="O989" s="108">
        <f>1-AA989</f>
        <v/>
      </c>
      <c r="P989" s="108">
        <f>1-AB989</f>
        <v/>
      </c>
      <c r="Q989" s="108" t="n"/>
      <c r="R989" s="108" t="n"/>
      <c r="S989" s="108">
        <f>1-AE989</f>
        <v/>
      </c>
      <c r="T989" s="108">
        <f>1-AF989</f>
        <v/>
      </c>
      <c r="U989" s="108">
        <f>1-AG989</f>
        <v/>
      </c>
      <c r="V989" s="108">
        <f>1-AH989</f>
        <v/>
      </c>
      <c r="W989" s="108">
        <f>1-AI989</f>
        <v/>
      </c>
      <c r="X989" s="108">
        <f>ABS(AJ989-AJ$1)</f>
        <v/>
      </c>
      <c r="Y989" s="108">
        <f>AVERAGE(Z989:AB989)</f>
        <v/>
      </c>
      <c r="Z989" s="108">
        <f>ABS(AL989-AL$1)</f>
        <v/>
      </c>
      <c r="AA989" s="108">
        <f>ABS(AM989-AM$1)</f>
        <v/>
      </c>
      <c r="AB989" s="108">
        <f>ABS(AN989-AN$1)</f>
        <v/>
      </c>
      <c r="AC989" s="108" t="n"/>
      <c r="AD989" s="108" t="n"/>
      <c r="AE989" s="108">
        <f>ABS(AQ$1-AQ989)</f>
        <v/>
      </c>
      <c r="AF989" s="108">
        <f>ABS(AR$1-AR989)</f>
        <v/>
      </c>
      <c r="AG989" s="108">
        <f>ABS(AS$1-AS989)</f>
        <v/>
      </c>
      <c r="AH989" s="108">
        <f>ABS(AT$1-AT989)</f>
        <v/>
      </c>
      <c r="AI989" s="108">
        <f>ABS(AU$1-AU989)</f>
        <v/>
      </c>
      <c r="AJ989" s="108">
        <f>(AV989-Driver!$K$179)/(Driver!$L$179-Driver!$K$179)</f>
        <v/>
      </c>
      <c r="AK989" s="108">
        <f>(AW989-Driver!$K$180)/(Driver!$L$180-Driver!$K$180)</f>
        <v/>
      </c>
      <c r="AL989" s="108">
        <f>(AX989-Driver!$K$181)/(Driver!$L$181-Driver!$K$181)</f>
        <v/>
      </c>
      <c r="AM989" s="108">
        <f>(AY989-Driver!$K$182)/(Driver!$L$182-Driver!$K$182)</f>
        <v/>
      </c>
      <c r="AN989" s="108">
        <f>(AZ989-Driver!$K$183)/(Driver!$L$183-Driver!$K$183)</f>
        <v/>
      </c>
      <c r="AO989" s="108" t="n"/>
      <c r="AP989" s="108" t="n"/>
      <c r="AQ989" s="108">
        <f>(BC989-Driver!$K$188)/(Driver!$L$188-Driver!$K$188)</f>
        <v/>
      </c>
      <c r="AR989" s="108">
        <f>MIN((BD989-Driver!$K$189)/(Driver!$L$189-Driver!$K$189),100%)</f>
        <v/>
      </c>
      <c r="AS989" s="108">
        <f>(BE989-Driver!$K$190)/(Driver!$L$190-Driver!$K$190)</f>
        <v/>
      </c>
      <c r="AT989" s="108">
        <f>(BF989-Driver!$K$191)/(Driver!$L$191-Driver!$K$191)</f>
        <v/>
      </c>
      <c r="AU989" s="108">
        <f>(BG989-Driver!$K$192)/(Driver!$L$192-Driver!$K$192)</f>
        <v/>
      </c>
      <c r="AV989" s="105">
        <f>IFERROR(BM989*BJ989^1/4,"")</f>
        <v/>
      </c>
      <c r="AW989" s="105">
        <f>IFERROR(SUM(AX989:AZ989),"")</f>
        <v/>
      </c>
      <c r="AX989" s="105">
        <f>IFERROR(BH989,"")</f>
        <v/>
      </c>
      <c r="AY989" s="105">
        <f>IFERROR(Driver!$K$19/Data!BH989/Data!BI989*Data!BK989*Data!BL989,"")</f>
        <v/>
      </c>
      <c r="AZ989" s="105">
        <f>IFERROR(BI989*BN989,"")</f>
        <v/>
      </c>
      <c r="BA989" s="105" t="n"/>
      <c r="BB989" s="105" t="n"/>
      <c r="BC989" s="105">
        <f>IFERROR(BI989*BN989*BK989/BJ989^(1/2),"")</f>
        <v/>
      </c>
      <c r="BD989" s="105">
        <f>IFERROR(BH989*BM989*BL989/BJ989/BK989,"")</f>
        <v/>
      </c>
      <c r="BE989" s="105">
        <f>IFERROR(MIN(BI989/BQ989/BP989/BO989/BH989,$BE$1),"")</f>
        <v/>
      </c>
      <c r="BF989" s="105">
        <f>IFERROR(BJ989*BO989*BP989/BK989,"")</f>
        <v/>
      </c>
      <c r="BG989" s="105">
        <f>IFERROR(1/BM989/BH989*BQ989,"")</f>
        <v/>
      </c>
      <c r="BH989" s="102">
        <f>MAX((CE989-Driver!$F$200)/(Driver!$G$200-Driver!$F$200)*$BI$1,1)</f>
        <v/>
      </c>
      <c r="BI989" s="102">
        <f>MAX($BI$1*(BY989-Driver!$F$201)/(Driver!$G$201-Driver!$F$201),1)</f>
        <v/>
      </c>
      <c r="BJ989" s="102">
        <f>(CB989-Driver!$F$206)/(Driver!$G$206-Driver!$F$206)*$BI$1</f>
        <v/>
      </c>
      <c r="BK989" s="102">
        <f>(CD989-Driver!$F$203)/(Driver!$G$203-Driver!$F$203)*$BI$1</f>
        <v/>
      </c>
      <c r="BL989" s="102">
        <f>MAX((CR989-Driver!$F$202)/(Driver!$G$202-Driver!$F$202)*$BI$1,1)</f>
        <v/>
      </c>
      <c r="BM989" s="102">
        <f>MAX((CH989-Driver!$F$204)/(Driver!$G$204-Driver!$F$204)*$BI$1,1)</f>
        <v/>
      </c>
      <c r="BN989" s="102">
        <f>(CI989-Driver!$F$205)/(Driver!$G$205-Driver!$F$205)*$BI$1</f>
        <v/>
      </c>
      <c r="BO989" s="102">
        <f>(CK989-Driver!$F$207)/(Driver!$G$207-Driver!$F$207)*$BI$1</f>
        <v/>
      </c>
      <c r="BP989" s="102">
        <f>(CM989-Driver!$F$208)/(Driver!$G$208-Driver!$F$208)*$BI$1</f>
        <v/>
      </c>
      <c r="BQ989" s="102">
        <f>(CL989-Driver!$F$209)/(Driver!$G$209-Driver!$F$209)*$BI$1</f>
        <v/>
      </c>
      <c r="BR989" s="40" t="inlineStr">
        <is>
          <t>21/22</t>
        </is>
      </c>
      <c r="BS989" s="10" t="inlineStr">
        <is>
          <t xml:space="preserve"> Atomic</t>
        </is>
      </c>
      <c r="BT989" s="11" t="inlineStr">
        <is>
          <t>Backland 98 W</t>
        </is>
      </c>
      <c r="BU989" s="13" t="n">
        <v>164</v>
      </c>
      <c r="BV989" s="11" t="inlineStr">
        <is>
          <t xml:space="preserve"> Unisex</t>
        </is>
      </c>
      <c r="BW989" s="13" t="n">
        <v>164</v>
      </c>
      <c r="BX989" s="13" t="n">
        <v>162.9</v>
      </c>
      <c r="BY989" s="13" t="n">
        <v>110</v>
      </c>
      <c r="BZ989" s="13" t="n">
        <v>126</v>
      </c>
      <c r="CA989" s="13" t="n">
        <v>126</v>
      </c>
      <c r="CB989" s="13" t="n">
        <v>97</v>
      </c>
      <c r="CC989" s="13" t="n">
        <v>116</v>
      </c>
      <c r="CD989" s="13" t="n">
        <v>15</v>
      </c>
      <c r="CE989" s="13" t="n">
        <v>1152</v>
      </c>
      <c r="CF989" s="13" t="n">
        <v>1.49</v>
      </c>
      <c r="CG989" s="13" t="n">
        <v>1722</v>
      </c>
      <c r="CH989" s="13" t="n">
        <v>155</v>
      </c>
      <c r="CI989" s="13" t="n">
        <v>71</v>
      </c>
      <c r="CJ989" s="13" t="n">
        <v>56</v>
      </c>
      <c r="CK989" s="13" t="n">
        <v>316</v>
      </c>
      <c r="CL989" s="13" t="n">
        <v>18</v>
      </c>
      <c r="CM989" s="13" t="n">
        <v>215</v>
      </c>
      <c r="CN989" s="13" t="n">
        <v>0.324</v>
      </c>
      <c r="CO989" s="13" t="n">
        <v>201</v>
      </c>
      <c r="CP989" s="13" t="n">
        <v>168</v>
      </c>
      <c r="CQ989" s="13" t="n">
        <v>115</v>
      </c>
      <c r="CR989" s="13" t="n">
        <v>3</v>
      </c>
      <c r="CS989" s="13" t="n">
        <v>8.199999999999999</v>
      </c>
      <c r="CT989" s="11" t="inlineStr">
        <is>
          <t xml:space="preserve"> Touring</t>
        </is>
      </c>
      <c r="CU989" s="11" t="inlineStr">
        <is>
          <t xml:space="preserve"> Ultralight Touring</t>
        </is>
      </c>
      <c r="CV989" s="13" t="n"/>
      <c r="CW989" s="13" t="n"/>
      <c r="CX989">
        <f>INDEX('Data_Price '!AG$2:AG$1266,MATCH(Data!$DN989,'Data_Price '!$AT$2:$AT$1266,0))</f>
        <v/>
      </c>
      <c r="CY989">
        <f>INDEX('Data_Price '!AH$2:AH$1266,MATCH(Data!$DN989,'Data_Price '!$AT$2:$AT$1266,0))</f>
        <v/>
      </c>
      <c r="CZ989">
        <f>INDEX('Data_Price '!AI$2:AI$1266,MATCH(Data!$DN989,'Data_Price '!$AT$2:$AT$1266,0))</f>
        <v/>
      </c>
      <c r="DA989">
        <f>INDEX('Data_Price '!AJ$2:AJ$1266,MATCH(Data!$DN989,'Data_Price '!$AT$2:$AT$1266,0))</f>
        <v/>
      </c>
      <c r="DB989">
        <f>INDEX('Data_Price '!AK$2:AK$1266,MATCH(Data!$DN989,'Data_Price '!$AT$2:$AT$1266,0))</f>
        <v/>
      </c>
      <c r="DC989">
        <f>INDEX('Data_Price '!AL$2:AL$1266,MATCH(Data!$DN989,'Data_Price '!$AT$2:$AT$1266,0))</f>
        <v/>
      </c>
      <c r="DD989">
        <f>INDEX('Data_Price '!AM$2:AM$1266,MATCH(Data!$DN989,'Data_Price '!$AT$2:$AT$1266,0))</f>
        <v/>
      </c>
      <c r="DE989">
        <f>INDEX('Data_Price '!AN$2:AN$1266,MATCH(Data!$DN989,'Data_Price '!$AT$2:$AT$1266,0))</f>
        <v/>
      </c>
      <c r="DF989">
        <f>INDEX('Data_Price '!AO$2:AO$1266,MATCH(Data!$DN989,'Data_Price '!$AT$2:$AT$1266,0))</f>
        <v/>
      </c>
      <c r="DG989">
        <f>INDEX('Data_Price '!AP$2:AP$1266,MATCH(Data!$DN989,'Data_Price '!$AT$2:$AT$1266,0))</f>
        <v/>
      </c>
      <c r="DH989">
        <f>INDEX('Data_Price '!AQ$2:AQ$1266,MATCH(Data!$DN989,'Data_Price '!$AT$2:$AT$1266,0))</f>
        <v/>
      </c>
      <c r="DI989">
        <f>INDEX('Data_Price '!AR$2:AR$1266,MATCH(Data!$DN989,'Data_Price '!$AT$2:$AT$1266,0))</f>
        <v/>
      </c>
      <c r="DJ989" s="138">
        <f>DA989</f>
        <v/>
      </c>
      <c r="DK989" s="138">
        <f>DE989</f>
        <v/>
      </c>
      <c r="DL989" s="138">
        <f>DI989</f>
        <v/>
      </c>
      <c r="DM989" s="303">
        <f>IF(LEFT(BT989,1)=" ",RIGHT(BT989,LEN(BT989)-1),BT989)</f>
        <v/>
      </c>
      <c r="DN989" s="138">
        <f>_xlfn.CONCAT(BS989,DM989,BU989,BV989)</f>
        <v/>
      </c>
      <c r="DO989" s="307" t="inlineStr">
        <is>
          <t>https://images.evo.com/imgp/250/197768/826858/atomic-backland-98-w-skis-women-s-2022-.jpg</t>
        </is>
      </c>
    </row>
    <row r="990" ht="15.6" customHeight="1" s="184">
      <c r="B990" s="303">
        <f t="array" ref="B990">IF(OR(ISERROR(K990:P990)),FALSE,TRUE)</f>
        <v/>
      </c>
      <c r="C990" s="60">
        <f>OR(BR990=Driver!$G$50,Data!BR666=Driver!$H$50)</f>
        <v/>
      </c>
      <c r="D990" s="60">
        <f>OR(BV990=Driver!$G$51,BV990=Driver!$H$51)</f>
        <v/>
      </c>
      <c r="E990" s="60">
        <f>AND(BX990&gt;Driver!$F$54,BX990&lt;Driver!$G$54)</f>
        <v/>
      </c>
      <c r="F990" s="60">
        <f>CL990&gt;Driver!$F$56</f>
        <v/>
      </c>
      <c r="G990" s="60">
        <f>AND(CB990&gt;Driver!$F$55,CB990&lt;Driver!$G$55)</f>
        <v/>
      </c>
      <c r="H990" s="60">
        <f>AND(B990:G990)</f>
        <v/>
      </c>
      <c r="I990" s="60">
        <f>COUNTIFS($H$9:$H$1273,TRUE,$BT$9:$BT$1273,BT990)</f>
        <v/>
      </c>
      <c r="J990" s="60">
        <f t="array" ref="J990">NOT(OR(($H$9:$H$1273=TRUE)*($I$9:$I$1273&gt;0)*($BT$9:$BT$1273=BT990)*($K$9:$K$1273&gt;K990)))</f>
        <v/>
      </c>
      <c r="K990" s="108">
        <f>IFERROR(1-AVERAGE(X990:Y990),"")</f>
        <v/>
      </c>
      <c r="L990" s="108">
        <f>1-X990</f>
        <v/>
      </c>
      <c r="M990" s="108">
        <f>1-Y990</f>
        <v/>
      </c>
      <c r="N990" s="108">
        <f>1-Z990</f>
        <v/>
      </c>
      <c r="O990" s="108">
        <f>1-AA990</f>
        <v/>
      </c>
      <c r="P990" s="108">
        <f>1-AB990</f>
        <v/>
      </c>
      <c r="Q990" s="108" t="n"/>
      <c r="R990" s="108" t="n"/>
      <c r="S990" s="108">
        <f>1-AE990</f>
        <v/>
      </c>
      <c r="T990" s="108">
        <f>1-AF990</f>
        <v/>
      </c>
      <c r="U990" s="108">
        <f>1-AG990</f>
        <v/>
      </c>
      <c r="V990" s="108">
        <f>1-AH990</f>
        <v/>
      </c>
      <c r="W990" s="108">
        <f>1-AI990</f>
        <v/>
      </c>
      <c r="X990" s="108">
        <f>ABS(AJ990-AJ$1)</f>
        <v/>
      </c>
      <c r="Y990" s="108">
        <f>AVERAGE(Z990:AB990)</f>
        <v/>
      </c>
      <c r="Z990" s="108">
        <f>ABS(AL990-AL$1)</f>
        <v/>
      </c>
      <c r="AA990" s="108">
        <f>ABS(AM990-AM$1)</f>
        <v/>
      </c>
      <c r="AB990" s="108">
        <f>ABS(AN990-AN$1)</f>
        <v/>
      </c>
      <c r="AC990" s="108" t="n"/>
      <c r="AD990" s="108" t="n"/>
      <c r="AE990" s="108">
        <f>ABS(AQ$1-AQ990)</f>
        <v/>
      </c>
      <c r="AF990" s="108">
        <f>ABS(AR$1-AR990)</f>
        <v/>
      </c>
      <c r="AG990" s="108">
        <f>ABS(AS$1-AS990)</f>
        <v/>
      </c>
      <c r="AH990" s="108">
        <f>ABS(AT$1-AT990)</f>
        <v/>
      </c>
      <c r="AI990" s="108">
        <f>ABS(AU$1-AU990)</f>
        <v/>
      </c>
      <c r="AJ990" s="108">
        <f>(AV990-Driver!$K$179)/(Driver!$L$179-Driver!$K$179)</f>
        <v/>
      </c>
      <c r="AK990" s="108">
        <f>(AW990-Driver!$K$180)/(Driver!$L$180-Driver!$K$180)</f>
        <v/>
      </c>
      <c r="AL990" s="108">
        <f>(AX990-Driver!$K$181)/(Driver!$L$181-Driver!$K$181)</f>
        <v/>
      </c>
      <c r="AM990" s="108">
        <f>(AY990-Driver!$K$182)/(Driver!$L$182-Driver!$K$182)</f>
        <v/>
      </c>
      <c r="AN990" s="108">
        <f>(AZ990-Driver!$K$183)/(Driver!$L$183-Driver!$K$183)</f>
        <v/>
      </c>
      <c r="AO990" s="108" t="n"/>
      <c r="AP990" s="108" t="n"/>
      <c r="AQ990" s="108">
        <f>(BC990-Driver!$K$188)/(Driver!$L$188-Driver!$K$188)</f>
        <v/>
      </c>
      <c r="AR990" s="108">
        <f>MIN((BD990-Driver!$K$189)/(Driver!$L$189-Driver!$K$189),100%)</f>
        <v/>
      </c>
      <c r="AS990" s="108">
        <f>(BE990-Driver!$K$190)/(Driver!$L$190-Driver!$K$190)</f>
        <v/>
      </c>
      <c r="AT990" s="108">
        <f>(BF990-Driver!$K$191)/(Driver!$L$191-Driver!$K$191)</f>
        <v/>
      </c>
      <c r="AU990" s="108">
        <f>(BG990-Driver!$K$192)/(Driver!$L$192-Driver!$K$192)</f>
        <v/>
      </c>
      <c r="AV990" s="105">
        <f>IFERROR(BM990*BJ990^1/4,"")</f>
        <v/>
      </c>
      <c r="AW990" s="105">
        <f>IFERROR(SUM(AX990:AZ990),"")</f>
        <v/>
      </c>
      <c r="AX990" s="105">
        <f>IFERROR(BH990,"")</f>
        <v/>
      </c>
      <c r="AY990" s="105">
        <f>IFERROR(Driver!$K$19/Data!BH990/Data!BI990*Data!BK990*Data!BL990,"")</f>
        <v/>
      </c>
      <c r="AZ990" s="105">
        <f>IFERROR(BI990*BN990,"")</f>
        <v/>
      </c>
      <c r="BA990" s="105" t="n"/>
      <c r="BB990" s="105" t="n"/>
      <c r="BC990" s="105">
        <f>IFERROR(BI990*BN990*BK990/BJ990^(1/2),"")</f>
        <v/>
      </c>
      <c r="BD990" s="105">
        <f>IFERROR(BH990*BM990*BL990/BJ990/BK990,"")</f>
        <v/>
      </c>
      <c r="BE990" s="105">
        <f>IFERROR(MIN(BI990/BQ990/BP990/BO990/BH990,$BE$1),"")</f>
        <v/>
      </c>
      <c r="BF990" s="105">
        <f>IFERROR(BJ990*BO990*BP990/BK990,"")</f>
        <v/>
      </c>
      <c r="BG990" s="105">
        <f>IFERROR(1/BM990/BH990*BQ990,"")</f>
        <v/>
      </c>
      <c r="BH990" s="102">
        <f>MAX((CE990-Driver!$F$200)/(Driver!$G$200-Driver!$F$200)*$BI$1,1)</f>
        <v/>
      </c>
      <c r="BI990" s="102">
        <f>MAX($BI$1*(BY990-Driver!$F$201)/(Driver!$G$201-Driver!$F$201),1)</f>
        <v/>
      </c>
      <c r="BJ990" s="102">
        <f>(CB990-Driver!$F$206)/(Driver!$G$206-Driver!$F$206)*$BI$1</f>
        <v/>
      </c>
      <c r="BK990" s="102">
        <f>(CD990-Driver!$F$203)/(Driver!$G$203-Driver!$F$203)*$BI$1</f>
        <v/>
      </c>
      <c r="BL990" s="102">
        <f>MAX((CR990-Driver!$F$202)/(Driver!$G$202-Driver!$F$202)*$BI$1,1)</f>
        <v/>
      </c>
      <c r="BM990" s="102">
        <f>MAX((CH990-Driver!$F$204)/(Driver!$G$204-Driver!$F$204)*$BI$1,1)</f>
        <v/>
      </c>
      <c r="BN990" s="102">
        <f>(CI990-Driver!$F$205)/(Driver!$G$205-Driver!$F$205)*$BI$1</f>
        <v/>
      </c>
      <c r="BO990" s="102">
        <f>(CK990-Driver!$F$207)/(Driver!$G$207-Driver!$F$207)*$BI$1</f>
        <v/>
      </c>
      <c r="BP990" s="102">
        <f>(CM990-Driver!$F$208)/(Driver!$G$208-Driver!$F$208)*$BI$1</f>
        <v/>
      </c>
      <c r="BQ990" s="102">
        <f>(CL990-Driver!$F$209)/(Driver!$G$209-Driver!$F$209)*$BI$1</f>
        <v/>
      </c>
      <c r="BR990" s="40" t="inlineStr">
        <is>
          <t>21/22</t>
        </is>
      </c>
      <c r="BS990" s="10" t="inlineStr">
        <is>
          <t xml:space="preserve"> Head</t>
        </is>
      </c>
      <c r="BT990" s="11" t="inlineStr">
        <is>
          <t xml:space="preserve"> Worldcup Rebels e-SL</t>
        </is>
      </c>
      <c r="BU990" s="13" t="n">
        <v>160</v>
      </c>
      <c r="BV990" s="11" t="inlineStr">
        <is>
          <t xml:space="preserve"> Unisex</t>
        </is>
      </c>
      <c r="BW990" s="13" t="n">
        <v>160</v>
      </c>
      <c r="BX990" s="13" t="n">
        <v>158.8</v>
      </c>
      <c r="BY990" s="13" t="n">
        <v>140</v>
      </c>
      <c r="BZ990" s="13" t="n">
        <v>149</v>
      </c>
      <c r="CA990" s="13" t="n">
        <v>122</v>
      </c>
      <c r="CB990" s="13" t="n">
        <v>67</v>
      </c>
      <c r="CC990" s="13" t="n">
        <v>107</v>
      </c>
      <c r="CD990" s="13" t="n">
        <v>11.5</v>
      </c>
      <c r="CE990" s="13" t="n">
        <v>2253</v>
      </c>
      <c r="CF990" s="13" t="n">
        <v>0.59</v>
      </c>
      <c r="CG990" s="13" t="n">
        <v>1338</v>
      </c>
      <c r="CH990" s="13" t="n">
        <v>205</v>
      </c>
      <c r="CI990" s="13" t="n">
        <v>96</v>
      </c>
      <c r="CJ990" s="13" t="n">
        <v>42</v>
      </c>
      <c r="CK990" s="13" t="n">
        <v>147</v>
      </c>
      <c r="CL990" s="13" t="n">
        <v>3</v>
      </c>
      <c r="CM990" s="13" t="n">
        <v>42</v>
      </c>
      <c r="CN990" s="13" t="n">
        <v>0.063</v>
      </c>
      <c r="CO990" s="13" t="n">
        <v>59</v>
      </c>
      <c r="CP990" s="13" t="n">
        <v>43</v>
      </c>
      <c r="CQ990" s="13" t="n">
        <v>88</v>
      </c>
      <c r="CR990" s="13" t="n">
        <v>11</v>
      </c>
      <c r="CS990" s="13" t="n">
        <v>11.9</v>
      </c>
      <c r="CT990" s="11" t="inlineStr">
        <is>
          <t xml:space="preserve"> On-Piste Carving</t>
        </is>
      </c>
      <c r="CU990" s="13" t="n"/>
      <c r="CV990" s="13" t="n"/>
      <c r="CW990" s="13" t="n"/>
      <c r="CX990">
        <f>INDEX('Data_Price '!AG$2:AG$1266,MATCH(Data!$DN990,'Data_Price '!$AT$2:$AT$1266,0))</f>
        <v/>
      </c>
      <c r="CY990">
        <f>INDEX('Data_Price '!AH$2:AH$1266,MATCH(Data!$DN990,'Data_Price '!$AT$2:$AT$1266,0))</f>
        <v/>
      </c>
      <c r="CZ990">
        <f>INDEX('Data_Price '!AI$2:AI$1266,MATCH(Data!$DN990,'Data_Price '!$AT$2:$AT$1266,0))</f>
        <v/>
      </c>
      <c r="DA990">
        <f>INDEX('Data_Price '!AJ$2:AJ$1266,MATCH(Data!$DN990,'Data_Price '!$AT$2:$AT$1266,0))</f>
        <v/>
      </c>
      <c r="DB990">
        <f>INDEX('Data_Price '!AK$2:AK$1266,MATCH(Data!$DN990,'Data_Price '!$AT$2:$AT$1266,0))</f>
        <v/>
      </c>
      <c r="DC990">
        <f>INDEX('Data_Price '!AL$2:AL$1266,MATCH(Data!$DN990,'Data_Price '!$AT$2:$AT$1266,0))</f>
        <v/>
      </c>
      <c r="DD990">
        <f>INDEX('Data_Price '!AM$2:AM$1266,MATCH(Data!$DN990,'Data_Price '!$AT$2:$AT$1266,0))</f>
        <v/>
      </c>
      <c r="DE990">
        <f>INDEX('Data_Price '!AN$2:AN$1266,MATCH(Data!$DN990,'Data_Price '!$AT$2:$AT$1266,0))</f>
        <v/>
      </c>
      <c r="DF990">
        <f>INDEX('Data_Price '!AO$2:AO$1266,MATCH(Data!$DN990,'Data_Price '!$AT$2:$AT$1266,0))</f>
        <v/>
      </c>
      <c r="DG990">
        <f>INDEX('Data_Price '!AP$2:AP$1266,MATCH(Data!$DN990,'Data_Price '!$AT$2:$AT$1266,0))</f>
        <v/>
      </c>
      <c r="DH990">
        <f>INDEX('Data_Price '!AQ$2:AQ$1266,MATCH(Data!$DN990,'Data_Price '!$AT$2:$AT$1266,0))</f>
        <v/>
      </c>
      <c r="DI990">
        <f>INDEX('Data_Price '!AR$2:AR$1266,MATCH(Data!$DN990,'Data_Price '!$AT$2:$AT$1266,0))</f>
        <v/>
      </c>
      <c r="DJ990" s="138">
        <f>DA990</f>
        <v/>
      </c>
      <c r="DK990" s="138">
        <f>DE990</f>
        <v/>
      </c>
      <c r="DL990" s="138">
        <f>DI990</f>
        <v/>
      </c>
      <c r="DM990" s="303">
        <f>IF(LEFT(BT990,1)=" ",RIGHT(BT990,LEN(BT990)-1),BT990)</f>
        <v/>
      </c>
      <c r="DN990" s="138">
        <f>_xlfn.CONCAT(BS990,DM990,BU990,BV990)</f>
        <v/>
      </c>
      <c r="DO990" s="307" t="n"/>
    </row>
    <row r="991" ht="15.6" customHeight="1" s="184">
      <c r="B991" s="303">
        <f t="array" ref="B991">IF(OR(ISERROR(K991:P991)),FALSE,TRUE)</f>
        <v/>
      </c>
      <c r="C991" s="60">
        <f>OR(BR991=Driver!$G$50,Data!BR1050=Driver!$H$50)</f>
        <v/>
      </c>
      <c r="D991" s="60">
        <f>OR(BV991=Driver!$G$51,BV991=Driver!$H$51)</f>
        <v/>
      </c>
      <c r="E991" s="60">
        <f>AND(BX991&gt;Driver!$F$54,BX991&lt;Driver!$G$54)</f>
        <v/>
      </c>
      <c r="F991" s="60">
        <f>CL991&gt;Driver!$F$56</f>
        <v/>
      </c>
      <c r="G991" s="60">
        <f>AND(CB991&gt;Driver!$F$55,CB991&lt;Driver!$G$55)</f>
        <v/>
      </c>
      <c r="H991" s="60">
        <f>AND(B991:G991)</f>
        <v/>
      </c>
      <c r="I991" s="60">
        <f>COUNTIFS($H$9:$H$1273,TRUE,$BT$9:$BT$1273,BT991)</f>
        <v/>
      </c>
      <c r="J991" s="60">
        <f t="array" ref="J991">NOT(OR(($H$9:$H$1273=TRUE)*($I$9:$I$1273&gt;0)*($BT$9:$BT$1273=BT991)*($K$9:$K$1273&gt;K991)))</f>
        <v/>
      </c>
      <c r="K991" s="108">
        <f>IFERROR(1-AVERAGE(X991:Y991),"")</f>
        <v/>
      </c>
      <c r="L991" s="108">
        <f>1-X991</f>
        <v/>
      </c>
      <c r="M991" s="108">
        <f>1-Y991</f>
        <v/>
      </c>
      <c r="N991" s="108">
        <f>1-Z991</f>
        <v/>
      </c>
      <c r="O991" s="108">
        <f>1-AA991</f>
        <v/>
      </c>
      <c r="P991" s="108">
        <f>1-AB991</f>
        <v/>
      </c>
      <c r="Q991" s="108" t="n"/>
      <c r="R991" s="108" t="n"/>
      <c r="S991" s="108">
        <f>1-AE991</f>
        <v/>
      </c>
      <c r="T991" s="108">
        <f>1-AF991</f>
        <v/>
      </c>
      <c r="U991" s="108">
        <f>1-AG991</f>
        <v/>
      </c>
      <c r="V991" s="108">
        <f>1-AH991</f>
        <v/>
      </c>
      <c r="W991" s="108">
        <f>1-AI991</f>
        <v/>
      </c>
      <c r="X991" s="108">
        <f>ABS(AJ991-AJ$1)</f>
        <v/>
      </c>
      <c r="Y991" s="108">
        <f>AVERAGE(Z991:AB991)</f>
        <v/>
      </c>
      <c r="Z991" s="108">
        <f>ABS(AL991-AL$1)</f>
        <v/>
      </c>
      <c r="AA991" s="108">
        <f>ABS(AM991-AM$1)</f>
        <v/>
      </c>
      <c r="AB991" s="108">
        <f>ABS(AN991-AN$1)</f>
        <v/>
      </c>
      <c r="AC991" s="108" t="n"/>
      <c r="AD991" s="108" t="n"/>
      <c r="AE991" s="108">
        <f>ABS(AQ$1-AQ991)</f>
        <v/>
      </c>
      <c r="AF991" s="108">
        <f>ABS(AR$1-AR991)</f>
        <v/>
      </c>
      <c r="AG991" s="108">
        <f>ABS(AS$1-AS991)</f>
        <v/>
      </c>
      <c r="AH991" s="108">
        <f>ABS(AT$1-AT991)</f>
        <v/>
      </c>
      <c r="AI991" s="108">
        <f>ABS(AU$1-AU991)</f>
        <v/>
      </c>
      <c r="AJ991" s="108">
        <f>(AV991-Driver!$K$179)/(Driver!$L$179-Driver!$K$179)</f>
        <v/>
      </c>
      <c r="AK991" s="108">
        <f>(AW991-Driver!$K$180)/(Driver!$L$180-Driver!$K$180)</f>
        <v/>
      </c>
      <c r="AL991" s="108">
        <f>(AX991-Driver!$K$181)/(Driver!$L$181-Driver!$K$181)</f>
        <v/>
      </c>
      <c r="AM991" s="108">
        <f>(AY991-Driver!$K$182)/(Driver!$L$182-Driver!$K$182)</f>
        <v/>
      </c>
      <c r="AN991" s="108">
        <f>(AZ991-Driver!$K$183)/(Driver!$L$183-Driver!$K$183)</f>
        <v/>
      </c>
      <c r="AO991" s="108" t="n"/>
      <c r="AP991" s="108" t="n"/>
      <c r="AQ991" s="108">
        <f>(BC991-Driver!$K$188)/(Driver!$L$188-Driver!$K$188)</f>
        <v/>
      </c>
      <c r="AR991" s="108">
        <f>MIN((BD991-Driver!$K$189)/(Driver!$L$189-Driver!$K$189),100%)</f>
        <v/>
      </c>
      <c r="AS991" s="108">
        <f>(BE991-Driver!$K$190)/(Driver!$L$190-Driver!$K$190)</f>
        <v/>
      </c>
      <c r="AT991" s="108">
        <f>(BF991-Driver!$K$191)/(Driver!$L$191-Driver!$K$191)</f>
        <v/>
      </c>
      <c r="AU991" s="108">
        <f>(BG991-Driver!$K$192)/(Driver!$L$192-Driver!$K$192)</f>
        <v/>
      </c>
      <c r="AV991" s="105">
        <f>IFERROR(BM991*BJ991^1/4,"")</f>
        <v/>
      </c>
      <c r="AW991" s="105">
        <f>IFERROR(SUM(AX991:AZ991),"")</f>
        <v/>
      </c>
      <c r="AX991" s="105">
        <f>IFERROR(BH991,"")</f>
        <v/>
      </c>
      <c r="AY991" s="105">
        <f>IFERROR(Driver!$K$19/Data!BH991/Data!BI991*Data!BK991*Data!BL991,"")</f>
        <v/>
      </c>
      <c r="AZ991" s="105">
        <f>IFERROR(BI991*BN991,"")</f>
        <v/>
      </c>
      <c r="BA991" s="105" t="n"/>
      <c r="BB991" s="105" t="n"/>
      <c r="BC991" s="105">
        <f>IFERROR(BI991*BN991*BK991/BJ991^(1/2),"")</f>
        <v/>
      </c>
      <c r="BD991" s="105">
        <f>IFERROR(BH991*BM991*BL991/BJ991/BK991,"")</f>
        <v/>
      </c>
      <c r="BE991" s="105">
        <f>IFERROR(MIN(BI991/BQ991/BP991/BO991/BH991,$BE$1),"")</f>
        <v/>
      </c>
      <c r="BF991" s="105">
        <f>IFERROR(BJ991*BO991*BP991/BK991,"")</f>
        <v/>
      </c>
      <c r="BG991" s="105">
        <f>IFERROR(1/BM991/BH991*BQ991,"")</f>
        <v/>
      </c>
      <c r="BH991" s="102">
        <f>MAX((CE991-Driver!$F$200)/(Driver!$G$200-Driver!$F$200)*$BI$1,1)</f>
        <v/>
      </c>
      <c r="BI991" s="102">
        <f>MAX($BI$1*(BY991-Driver!$F$201)/(Driver!$G$201-Driver!$F$201),1)</f>
        <v/>
      </c>
      <c r="BJ991" s="102">
        <f>(CB991-Driver!$F$206)/(Driver!$G$206-Driver!$F$206)*$BI$1</f>
        <v/>
      </c>
      <c r="BK991" s="102">
        <f>(CD991-Driver!$F$203)/(Driver!$G$203-Driver!$F$203)*$BI$1</f>
        <v/>
      </c>
      <c r="BL991" s="102">
        <f>MAX((CR991-Driver!$F$202)/(Driver!$G$202-Driver!$F$202)*$BI$1,1)</f>
        <v/>
      </c>
      <c r="BM991" s="102">
        <f>MAX((CH991-Driver!$F$204)/(Driver!$G$204-Driver!$F$204)*$BI$1,1)</f>
        <v/>
      </c>
      <c r="BN991" s="102">
        <f>(CI991-Driver!$F$205)/(Driver!$G$205-Driver!$F$205)*$BI$1</f>
        <v/>
      </c>
      <c r="BO991" s="102">
        <f>(CK991-Driver!$F$207)/(Driver!$G$207-Driver!$F$207)*$BI$1</f>
        <v/>
      </c>
      <c r="BP991" s="102">
        <f>(CM991-Driver!$F$208)/(Driver!$G$208-Driver!$F$208)*$BI$1</f>
        <v/>
      </c>
      <c r="BQ991" s="102">
        <f>(CL991-Driver!$F$209)/(Driver!$G$209-Driver!$F$209)*$BI$1</f>
        <v/>
      </c>
      <c r="BR991" s="40" t="inlineStr">
        <is>
          <t>21/22</t>
        </is>
      </c>
      <c r="BS991" s="10" t="inlineStr">
        <is>
          <t xml:space="preserve"> Rossignol</t>
        </is>
      </c>
      <c r="BT991" s="11" t="inlineStr">
        <is>
          <t>Nova 6</t>
        </is>
      </c>
      <c r="BU991" s="13" t="n">
        <v>156</v>
      </c>
      <c r="BV991" s="11" t="inlineStr">
        <is>
          <t xml:space="preserve"> Women's</t>
        </is>
      </c>
      <c r="BW991" s="13" t="n">
        <v>156</v>
      </c>
      <c r="BX991" s="13" t="n">
        <v>155.7</v>
      </c>
      <c r="BY991" s="13" t="n">
        <v>136</v>
      </c>
      <c r="BZ991" s="13" t="n">
        <v>142</v>
      </c>
      <c r="CA991" s="13" t="n">
        <v>122</v>
      </c>
      <c r="CB991" s="13" t="n">
        <v>73</v>
      </c>
      <c r="CC991" s="13" t="n">
        <v>109</v>
      </c>
      <c r="CD991" s="13" t="n">
        <v>11.7</v>
      </c>
      <c r="CE991" s="13" t="n">
        <v>1516</v>
      </c>
      <c r="CF991" s="13" t="n">
        <v>0.91</v>
      </c>
      <c r="CG991" s="13" t="n">
        <v>1383</v>
      </c>
      <c r="CH991" s="13" t="n">
        <v>135</v>
      </c>
      <c r="CI991" s="13" t="n">
        <v>55</v>
      </c>
      <c r="CJ991" s="13" t="n">
        <v>37</v>
      </c>
      <c r="CK991" s="13" t="n">
        <v>145</v>
      </c>
      <c r="CL991" s="13" t="n">
        <v>4</v>
      </c>
      <c r="CM991" s="13" t="n">
        <v>53</v>
      </c>
      <c r="CN991" s="13" t="n">
        <v>0.121</v>
      </c>
      <c r="CO991" s="13" t="n">
        <v>72</v>
      </c>
      <c r="CP991" s="13" t="n">
        <v>61</v>
      </c>
      <c r="CQ991" s="13" t="n">
        <v>74</v>
      </c>
      <c r="CR991" s="13" t="n">
        <v>11</v>
      </c>
      <c r="CS991" s="13" t="n">
        <v>9.5</v>
      </c>
      <c r="CT991" s="11" t="inlineStr">
        <is>
          <t xml:space="preserve"> On-Piste Carving</t>
        </is>
      </c>
      <c r="CU991" s="13" t="n"/>
      <c r="CV991" s="13" t="n"/>
      <c r="CW991" s="13" t="n"/>
      <c r="CX991">
        <f>INDEX('Data_Price '!AG$2:AG$1266,MATCH(Data!$DN991,'Data_Price '!$AT$2:$AT$1266,0))</f>
        <v/>
      </c>
      <c r="CY991">
        <f>INDEX('Data_Price '!AH$2:AH$1266,MATCH(Data!$DN991,'Data_Price '!$AT$2:$AT$1266,0))</f>
        <v/>
      </c>
      <c r="CZ991">
        <f>INDEX('Data_Price '!AI$2:AI$1266,MATCH(Data!$DN991,'Data_Price '!$AT$2:$AT$1266,0))</f>
        <v/>
      </c>
      <c r="DA991">
        <f>INDEX('Data_Price '!AJ$2:AJ$1266,MATCH(Data!$DN991,'Data_Price '!$AT$2:$AT$1266,0))</f>
        <v/>
      </c>
      <c r="DB991">
        <f>INDEX('Data_Price '!AK$2:AK$1266,MATCH(Data!$DN991,'Data_Price '!$AT$2:$AT$1266,0))</f>
        <v/>
      </c>
      <c r="DC991">
        <f>INDEX('Data_Price '!AL$2:AL$1266,MATCH(Data!$DN991,'Data_Price '!$AT$2:$AT$1266,0))</f>
        <v/>
      </c>
      <c r="DD991">
        <f>INDEX('Data_Price '!AM$2:AM$1266,MATCH(Data!$DN991,'Data_Price '!$AT$2:$AT$1266,0))</f>
        <v/>
      </c>
      <c r="DE991">
        <f>INDEX('Data_Price '!AN$2:AN$1266,MATCH(Data!$DN991,'Data_Price '!$AT$2:$AT$1266,0))</f>
        <v/>
      </c>
      <c r="DF991">
        <f>INDEX('Data_Price '!AO$2:AO$1266,MATCH(Data!$DN991,'Data_Price '!$AT$2:$AT$1266,0))</f>
        <v/>
      </c>
      <c r="DG991">
        <f>INDEX('Data_Price '!AP$2:AP$1266,MATCH(Data!$DN991,'Data_Price '!$AT$2:$AT$1266,0))</f>
        <v/>
      </c>
      <c r="DH991">
        <f>INDEX('Data_Price '!AQ$2:AQ$1266,MATCH(Data!$DN991,'Data_Price '!$AT$2:$AT$1266,0))</f>
        <v/>
      </c>
      <c r="DI991">
        <f>INDEX('Data_Price '!AR$2:AR$1266,MATCH(Data!$DN991,'Data_Price '!$AT$2:$AT$1266,0))</f>
        <v/>
      </c>
      <c r="DJ991" s="138">
        <f>DA991</f>
        <v/>
      </c>
      <c r="DK991" s="138">
        <f>DE991</f>
        <v/>
      </c>
      <c r="DL991" s="138">
        <f>DI991</f>
        <v/>
      </c>
      <c r="DM991" s="303">
        <f>IF(LEFT(BT991,1)=" ",RIGHT(BT991,LEN(BT991)-1),BT991)</f>
        <v/>
      </c>
      <c r="DN991" s="138">
        <f>_xlfn.CONCAT(BS991,DM991,BU991,BV991)</f>
        <v/>
      </c>
      <c r="DO991" s="307" t="inlineStr">
        <is>
          <t>https://images.evo.com/imgp/250/185226/741469/clone.jpg</t>
        </is>
      </c>
    </row>
    <row r="992" ht="15.6" customHeight="1" s="184">
      <c r="B992" s="303">
        <f t="array" ref="B992">IF(OR(ISERROR(K992:P992)),FALSE,TRUE)</f>
        <v/>
      </c>
      <c r="C992" s="60">
        <f>OR(BR992=Driver!$G$50,Data!BR559=Driver!$H$50)</f>
        <v/>
      </c>
      <c r="D992" s="60">
        <f>OR(BV992=Driver!$G$51,BV992=Driver!$H$51)</f>
        <v/>
      </c>
      <c r="E992" s="60">
        <f>AND(BX992&gt;Driver!$F$54,BX992&lt;Driver!$G$54)</f>
        <v/>
      </c>
      <c r="F992" s="60">
        <f>CL992&gt;Driver!$F$56</f>
        <v/>
      </c>
      <c r="G992" s="60">
        <f>AND(CB992&gt;Driver!$F$55,CB992&lt;Driver!$G$55)</f>
        <v/>
      </c>
      <c r="H992" s="60">
        <f>AND(B992:G992)</f>
        <v/>
      </c>
      <c r="I992" s="60">
        <f>COUNTIFS($H$9:$H$1273,TRUE,$BT$9:$BT$1273,BT992)</f>
        <v/>
      </c>
      <c r="J992" s="60">
        <f t="array" ref="J992">NOT(OR(($H$9:$H$1273=TRUE)*($I$9:$I$1273&gt;0)*($BT$9:$BT$1273=BT992)*($K$9:$K$1273&gt;K992)))</f>
        <v/>
      </c>
      <c r="K992" s="108">
        <f>IFERROR(1-AVERAGE(X992:Y992),"")</f>
        <v/>
      </c>
      <c r="L992" s="108">
        <f>1-X992</f>
        <v/>
      </c>
      <c r="M992" s="108">
        <f>1-Y992</f>
        <v/>
      </c>
      <c r="N992" s="108">
        <f>1-Z992</f>
        <v/>
      </c>
      <c r="O992" s="108">
        <f>1-AA992</f>
        <v/>
      </c>
      <c r="P992" s="108">
        <f>1-AB992</f>
        <v/>
      </c>
      <c r="Q992" s="108" t="n"/>
      <c r="R992" s="108" t="n"/>
      <c r="S992" s="108">
        <f>1-AE992</f>
        <v/>
      </c>
      <c r="T992" s="108">
        <f>1-AF992</f>
        <v/>
      </c>
      <c r="U992" s="108">
        <f>1-AG992</f>
        <v/>
      </c>
      <c r="V992" s="108">
        <f>1-AH992</f>
        <v/>
      </c>
      <c r="W992" s="108">
        <f>1-AI992</f>
        <v/>
      </c>
      <c r="X992" s="108">
        <f>ABS(AJ992-AJ$1)</f>
        <v/>
      </c>
      <c r="Y992" s="108">
        <f>AVERAGE(Z992:AB992)</f>
        <v/>
      </c>
      <c r="Z992" s="108">
        <f>ABS(AL992-AL$1)</f>
        <v/>
      </c>
      <c r="AA992" s="108">
        <f>ABS(AM992-AM$1)</f>
        <v/>
      </c>
      <c r="AB992" s="108">
        <f>ABS(AN992-AN$1)</f>
        <v/>
      </c>
      <c r="AC992" s="108" t="n"/>
      <c r="AD992" s="108" t="n"/>
      <c r="AE992" s="108">
        <f>ABS(AQ$1-AQ992)</f>
        <v/>
      </c>
      <c r="AF992" s="108">
        <f>ABS(AR$1-AR992)</f>
        <v/>
      </c>
      <c r="AG992" s="108">
        <f>ABS(AS$1-AS992)</f>
        <v/>
      </c>
      <c r="AH992" s="108">
        <f>ABS(AT$1-AT992)</f>
        <v/>
      </c>
      <c r="AI992" s="108">
        <f>ABS(AU$1-AU992)</f>
        <v/>
      </c>
      <c r="AJ992" s="108">
        <f>(AV992-Driver!$K$179)/(Driver!$L$179-Driver!$K$179)</f>
        <v/>
      </c>
      <c r="AK992" s="108">
        <f>(AW992-Driver!$K$180)/(Driver!$L$180-Driver!$K$180)</f>
        <v/>
      </c>
      <c r="AL992" s="108">
        <f>(AX992-Driver!$K$181)/(Driver!$L$181-Driver!$K$181)</f>
        <v/>
      </c>
      <c r="AM992" s="108">
        <f>(AY992-Driver!$K$182)/(Driver!$L$182-Driver!$K$182)</f>
        <v/>
      </c>
      <c r="AN992" s="108">
        <f>(AZ992-Driver!$K$183)/(Driver!$L$183-Driver!$K$183)</f>
        <v/>
      </c>
      <c r="AO992" s="108" t="n"/>
      <c r="AP992" s="108" t="n"/>
      <c r="AQ992" s="108">
        <f>(BC992-Driver!$K$188)/(Driver!$L$188-Driver!$K$188)</f>
        <v/>
      </c>
      <c r="AR992" s="108">
        <f>MIN((BD992-Driver!$K$189)/(Driver!$L$189-Driver!$K$189),100%)</f>
        <v/>
      </c>
      <c r="AS992" s="108">
        <f>(BE992-Driver!$K$190)/(Driver!$L$190-Driver!$K$190)</f>
        <v/>
      </c>
      <c r="AT992" s="108">
        <f>(BF992-Driver!$K$191)/(Driver!$L$191-Driver!$K$191)</f>
        <v/>
      </c>
      <c r="AU992" s="108">
        <f>(BG992-Driver!$K$192)/(Driver!$L$192-Driver!$K$192)</f>
        <v/>
      </c>
      <c r="AV992" s="105">
        <f>IFERROR(BM992*BJ992^1/4,"")</f>
        <v/>
      </c>
      <c r="AW992" s="105">
        <f>IFERROR(SUM(AX992:AZ992),"")</f>
        <v/>
      </c>
      <c r="AX992" s="105">
        <f>IFERROR(BH992,"")</f>
        <v/>
      </c>
      <c r="AY992" s="105">
        <f>IFERROR(Driver!$K$19/Data!BH992/Data!BI992*Data!BK992*Data!BL992,"")</f>
        <v/>
      </c>
      <c r="AZ992" s="105">
        <f>IFERROR(BI992*BN992,"")</f>
        <v/>
      </c>
      <c r="BA992" s="105" t="n"/>
      <c r="BB992" s="105" t="n"/>
      <c r="BC992" s="105">
        <f>IFERROR(BI992*BN992*BK992/BJ992^(1/2),"")</f>
        <v/>
      </c>
      <c r="BD992" s="105">
        <f>IFERROR(BH992*BM992*BL992/BJ992/BK992,"")</f>
        <v/>
      </c>
      <c r="BE992" s="105">
        <f>IFERROR(MIN(BI992/BQ992/BP992/BO992/BH992,$BE$1),"")</f>
        <v/>
      </c>
      <c r="BF992" s="105">
        <f>IFERROR(BJ992*BO992*BP992/BK992,"")</f>
        <v/>
      </c>
      <c r="BG992" s="105">
        <f>IFERROR(1/BM992/BH992*BQ992,"")</f>
        <v/>
      </c>
      <c r="BH992" s="102">
        <f>MAX((CE992-Driver!$F$200)/(Driver!$G$200-Driver!$F$200)*$BI$1,1)</f>
        <v/>
      </c>
      <c r="BI992" s="102">
        <f>MAX($BI$1*(BY992-Driver!$F$201)/(Driver!$G$201-Driver!$F$201),1)</f>
        <v/>
      </c>
      <c r="BJ992" s="102">
        <f>(CB992-Driver!$F$206)/(Driver!$G$206-Driver!$F$206)*$BI$1</f>
        <v/>
      </c>
      <c r="BK992" s="102">
        <f>(CD992-Driver!$F$203)/(Driver!$G$203-Driver!$F$203)*$BI$1</f>
        <v/>
      </c>
      <c r="BL992" s="102">
        <f>MAX((CR992-Driver!$F$202)/(Driver!$G$202-Driver!$F$202)*$BI$1,1)</f>
        <v/>
      </c>
      <c r="BM992" s="102">
        <f>MAX((CH992-Driver!$F$204)/(Driver!$G$204-Driver!$F$204)*$BI$1,1)</f>
        <v/>
      </c>
      <c r="BN992" s="102">
        <f>(CI992-Driver!$F$205)/(Driver!$G$205-Driver!$F$205)*$BI$1</f>
        <v/>
      </c>
      <c r="BO992" s="102">
        <f>(CK992-Driver!$F$207)/(Driver!$G$207-Driver!$F$207)*$BI$1</f>
        <v/>
      </c>
      <c r="BP992" s="102">
        <f>(CM992-Driver!$F$208)/(Driver!$G$208-Driver!$F$208)*$BI$1</f>
        <v/>
      </c>
      <c r="BQ992" s="102">
        <f>(CL992-Driver!$F$209)/(Driver!$G$209-Driver!$F$209)*$BI$1</f>
        <v/>
      </c>
      <c r="BR992" s="40" t="inlineStr">
        <is>
          <t>21/22</t>
        </is>
      </c>
      <c r="BS992" s="10" t="inlineStr">
        <is>
          <t xml:space="preserve"> Fischer</t>
        </is>
      </c>
      <c r="BT992" s="11" t="inlineStr">
        <is>
          <t xml:space="preserve"> Nightstick Team</t>
        </is>
      </c>
      <c r="BU992" s="13" t="n">
        <v>161</v>
      </c>
      <c r="BV992" s="11" t="inlineStr">
        <is>
          <t xml:space="preserve"> Junior</t>
        </is>
      </c>
      <c r="BW992" s="13" t="n">
        <v>161</v>
      </c>
      <c r="BX992" s="13" t="n">
        <v>159.1</v>
      </c>
      <c r="BY992" s="13" t="n">
        <v>130</v>
      </c>
      <c r="BZ992" s="13" t="n">
        <v>141</v>
      </c>
      <c r="CA992" s="13" t="n">
        <v>118</v>
      </c>
      <c r="CB992" s="13" t="n">
        <v>82</v>
      </c>
      <c r="CC992" s="13" t="n">
        <v>107</v>
      </c>
      <c r="CD992" s="13" t="n">
        <v>15.7</v>
      </c>
      <c r="CE992" s="13" t="n">
        <v>1564</v>
      </c>
      <c r="CF992" s="13" t="n">
        <v>0.95</v>
      </c>
      <c r="CG992" s="13" t="n">
        <v>1482</v>
      </c>
      <c r="CH992" s="13" t="n">
        <v>156</v>
      </c>
      <c r="CI992" s="13" t="n">
        <v>56</v>
      </c>
      <c r="CJ992" s="13" t="n">
        <v>47</v>
      </c>
      <c r="CK992" s="13" t="n">
        <v>156</v>
      </c>
      <c r="CL992" s="13" t="n">
        <v>36</v>
      </c>
      <c r="CM992" s="13" t="n">
        <v>139</v>
      </c>
      <c r="CN992" s="13" t="n">
        <v>0.752</v>
      </c>
      <c r="CO992" s="13" t="n">
        <v>94</v>
      </c>
      <c r="CP992" s="13" t="n">
        <v>90</v>
      </c>
      <c r="CQ992" s="13" t="n">
        <v>62</v>
      </c>
      <c r="CR992" s="13" t="n">
        <v>9</v>
      </c>
      <c r="CS992" s="13" t="n">
        <v>-1.3</v>
      </c>
      <c r="CT992" s="11" t="inlineStr">
        <is>
          <t xml:space="preserve"> Resort Freeride</t>
        </is>
      </c>
      <c r="CU992" s="13" t="n"/>
      <c r="CV992" s="13" t="n"/>
      <c r="CW992" s="13" t="n"/>
      <c r="CX992">
        <f>INDEX('Data_Price '!AG$2:AG$1266,MATCH(Data!$DN992,'Data_Price '!$AT$2:$AT$1266,0))</f>
        <v/>
      </c>
      <c r="CY992">
        <f>INDEX('Data_Price '!AH$2:AH$1266,MATCH(Data!$DN992,'Data_Price '!$AT$2:$AT$1266,0))</f>
        <v/>
      </c>
      <c r="CZ992">
        <f>INDEX('Data_Price '!AI$2:AI$1266,MATCH(Data!$DN992,'Data_Price '!$AT$2:$AT$1266,0))</f>
        <v/>
      </c>
      <c r="DA992">
        <f>INDEX('Data_Price '!AJ$2:AJ$1266,MATCH(Data!$DN992,'Data_Price '!$AT$2:$AT$1266,0))</f>
        <v/>
      </c>
      <c r="DB992">
        <f>INDEX('Data_Price '!AK$2:AK$1266,MATCH(Data!$DN992,'Data_Price '!$AT$2:$AT$1266,0))</f>
        <v/>
      </c>
      <c r="DC992">
        <f>INDEX('Data_Price '!AL$2:AL$1266,MATCH(Data!$DN992,'Data_Price '!$AT$2:$AT$1266,0))</f>
        <v/>
      </c>
      <c r="DD992">
        <f>INDEX('Data_Price '!AM$2:AM$1266,MATCH(Data!$DN992,'Data_Price '!$AT$2:$AT$1266,0))</f>
        <v/>
      </c>
      <c r="DE992">
        <f>INDEX('Data_Price '!AN$2:AN$1266,MATCH(Data!$DN992,'Data_Price '!$AT$2:$AT$1266,0))</f>
        <v/>
      </c>
      <c r="DF992">
        <f>INDEX('Data_Price '!AO$2:AO$1266,MATCH(Data!$DN992,'Data_Price '!$AT$2:$AT$1266,0))</f>
        <v/>
      </c>
      <c r="DG992">
        <f>INDEX('Data_Price '!AP$2:AP$1266,MATCH(Data!$DN992,'Data_Price '!$AT$2:$AT$1266,0))</f>
        <v/>
      </c>
      <c r="DH992">
        <f>INDEX('Data_Price '!AQ$2:AQ$1266,MATCH(Data!$DN992,'Data_Price '!$AT$2:$AT$1266,0))</f>
        <v/>
      </c>
      <c r="DI992">
        <f>INDEX('Data_Price '!AR$2:AR$1266,MATCH(Data!$DN992,'Data_Price '!$AT$2:$AT$1266,0))</f>
        <v/>
      </c>
      <c r="DJ992" s="138">
        <f>DA992</f>
        <v/>
      </c>
      <c r="DK992" s="138">
        <f>DE992</f>
        <v/>
      </c>
      <c r="DL992" s="138">
        <f>DI992</f>
        <v/>
      </c>
      <c r="DM992" s="303">
        <f>IF(LEFT(BT992,1)=" ",RIGHT(BT992,LEN(BT992)-1),BT992)</f>
        <v/>
      </c>
      <c r="DN992" s="138">
        <f>_xlfn.CONCAT(BS992,DM992,BU992,BV992)</f>
        <v/>
      </c>
      <c r="DO992" s="307" t="n"/>
    </row>
    <row r="993" ht="15.6" customHeight="1" s="184">
      <c r="B993" s="303">
        <f t="array" ref="B993">IF(OR(ISERROR(K993:P993)),FALSE,TRUE)</f>
        <v/>
      </c>
      <c r="C993" s="60">
        <f>OR(BR993=Driver!$G$50,Data!BR390=Driver!$H$50)</f>
        <v/>
      </c>
      <c r="D993" s="60">
        <f>OR(BV993=Driver!$G$51,BV993=Driver!$H$51)</f>
        <v/>
      </c>
      <c r="E993" s="60">
        <f>AND(BX993&gt;Driver!$F$54,BX993&lt;Driver!$G$54)</f>
        <v/>
      </c>
      <c r="F993" s="60">
        <f>CL993&gt;Driver!$F$56</f>
        <v/>
      </c>
      <c r="G993" s="60">
        <f>AND(CB993&gt;Driver!$F$55,CB993&lt;Driver!$G$55)</f>
        <v/>
      </c>
      <c r="H993" s="60">
        <f>AND(B993:G993)</f>
        <v/>
      </c>
      <c r="I993" s="60">
        <f>COUNTIFS($H$9:$H$1273,TRUE,$BT$9:$BT$1273,BT993)</f>
        <v/>
      </c>
      <c r="J993" s="60">
        <f t="array" ref="J993">NOT(OR(($H$9:$H$1273=TRUE)*($I$9:$I$1273&gt;0)*($BT$9:$BT$1273=BT993)*($K$9:$K$1273&gt;K993)))</f>
        <v/>
      </c>
      <c r="K993" s="108">
        <f>IFERROR(1-AVERAGE(X993:Y993),"")</f>
        <v/>
      </c>
      <c r="L993" s="108">
        <f>1-X993</f>
        <v/>
      </c>
      <c r="M993" s="108">
        <f>1-Y993</f>
        <v/>
      </c>
      <c r="N993" s="108">
        <f>1-Z993</f>
        <v/>
      </c>
      <c r="O993" s="108">
        <f>1-AA993</f>
        <v/>
      </c>
      <c r="P993" s="108">
        <f>1-AB993</f>
        <v/>
      </c>
      <c r="Q993" s="108" t="n"/>
      <c r="R993" s="108" t="n"/>
      <c r="S993" s="108">
        <f>1-AE993</f>
        <v/>
      </c>
      <c r="T993" s="108">
        <f>1-AF993</f>
        <v/>
      </c>
      <c r="U993" s="108">
        <f>1-AG993</f>
        <v/>
      </c>
      <c r="V993" s="108">
        <f>1-AH993</f>
        <v/>
      </c>
      <c r="W993" s="108">
        <f>1-AI993</f>
        <v/>
      </c>
      <c r="X993" s="108">
        <f>ABS(AJ993-AJ$1)</f>
        <v/>
      </c>
      <c r="Y993" s="108">
        <f>AVERAGE(Z993:AB993)</f>
        <v/>
      </c>
      <c r="Z993" s="108">
        <f>ABS(AL993-AL$1)</f>
        <v/>
      </c>
      <c r="AA993" s="108">
        <f>ABS(AM993-AM$1)</f>
        <v/>
      </c>
      <c r="AB993" s="108">
        <f>ABS(AN993-AN$1)</f>
        <v/>
      </c>
      <c r="AC993" s="108" t="n"/>
      <c r="AD993" s="108" t="n"/>
      <c r="AE993" s="108">
        <f>ABS(AQ$1-AQ993)</f>
        <v/>
      </c>
      <c r="AF993" s="108">
        <f>ABS(AR$1-AR993)</f>
        <v/>
      </c>
      <c r="AG993" s="108">
        <f>ABS(AS$1-AS993)</f>
        <v/>
      </c>
      <c r="AH993" s="108">
        <f>ABS(AT$1-AT993)</f>
        <v/>
      </c>
      <c r="AI993" s="108">
        <f>ABS(AU$1-AU993)</f>
        <v/>
      </c>
      <c r="AJ993" s="108">
        <f>(AV993-Driver!$K$179)/(Driver!$L$179-Driver!$K$179)</f>
        <v/>
      </c>
      <c r="AK993" s="108">
        <f>(AW993-Driver!$K$180)/(Driver!$L$180-Driver!$K$180)</f>
        <v/>
      </c>
      <c r="AL993" s="108">
        <f>(AX993-Driver!$K$181)/(Driver!$L$181-Driver!$K$181)</f>
        <v/>
      </c>
      <c r="AM993" s="108">
        <f>(AY993-Driver!$K$182)/(Driver!$L$182-Driver!$K$182)</f>
        <v/>
      </c>
      <c r="AN993" s="108">
        <f>(AZ993-Driver!$K$183)/(Driver!$L$183-Driver!$K$183)</f>
        <v/>
      </c>
      <c r="AO993" s="108" t="n"/>
      <c r="AP993" s="108" t="n"/>
      <c r="AQ993" s="108">
        <f>(BC993-Driver!$K$188)/(Driver!$L$188-Driver!$K$188)</f>
        <v/>
      </c>
      <c r="AR993" s="108">
        <f>MIN((BD993-Driver!$K$189)/(Driver!$L$189-Driver!$K$189),100%)</f>
        <v/>
      </c>
      <c r="AS993" s="108">
        <f>(BE993-Driver!$K$190)/(Driver!$L$190-Driver!$K$190)</f>
        <v/>
      </c>
      <c r="AT993" s="108">
        <f>(BF993-Driver!$K$191)/(Driver!$L$191-Driver!$K$191)</f>
        <v/>
      </c>
      <c r="AU993" s="108">
        <f>(BG993-Driver!$K$192)/(Driver!$L$192-Driver!$K$192)</f>
        <v/>
      </c>
      <c r="AV993" s="105">
        <f>IFERROR(BM993*BJ993^1/4,"")</f>
        <v/>
      </c>
      <c r="AW993" s="105">
        <f>IFERROR(SUM(AX993:AZ993),"")</f>
        <v/>
      </c>
      <c r="AX993" s="105">
        <f>IFERROR(BH993,"")</f>
        <v/>
      </c>
      <c r="AY993" s="105">
        <f>IFERROR(Driver!$K$19/Data!BH993/Data!BI993*Data!BK993*Data!BL993,"")</f>
        <v/>
      </c>
      <c r="AZ993" s="105">
        <f>IFERROR(BI993*BN993,"")</f>
        <v/>
      </c>
      <c r="BA993" s="105" t="n"/>
      <c r="BB993" s="105" t="n"/>
      <c r="BC993" s="105">
        <f>IFERROR(BI993*BN993*BK993/BJ993^(1/2),"")</f>
        <v/>
      </c>
      <c r="BD993" s="105">
        <f>IFERROR(BH993*BM993*BL993/BJ993/BK993,"")</f>
        <v/>
      </c>
      <c r="BE993" s="105">
        <f>IFERROR(MIN(BI993/BQ993/BP993/BO993/BH993,$BE$1),"")</f>
        <v/>
      </c>
      <c r="BF993" s="105">
        <f>IFERROR(BJ993*BO993*BP993/BK993,"")</f>
        <v/>
      </c>
      <c r="BG993" s="105">
        <f>IFERROR(1/BM993/BH993*BQ993,"")</f>
        <v/>
      </c>
      <c r="BH993" s="102">
        <f>MAX((CE993-Driver!$F$200)/(Driver!$G$200-Driver!$F$200)*$BI$1,1)</f>
        <v/>
      </c>
      <c r="BI993" s="102">
        <f>MAX($BI$1*(BY993-Driver!$F$201)/(Driver!$G$201-Driver!$F$201),1)</f>
        <v/>
      </c>
      <c r="BJ993" s="102">
        <f>(CB993-Driver!$F$206)/(Driver!$G$206-Driver!$F$206)*$BI$1</f>
        <v/>
      </c>
      <c r="BK993" s="102">
        <f>(CD993-Driver!$F$203)/(Driver!$G$203-Driver!$F$203)*$BI$1</f>
        <v/>
      </c>
      <c r="BL993" s="102">
        <f>MAX((CR993-Driver!$F$202)/(Driver!$G$202-Driver!$F$202)*$BI$1,1)</f>
        <v/>
      </c>
      <c r="BM993" s="102">
        <f>MAX((CH993-Driver!$F$204)/(Driver!$G$204-Driver!$F$204)*$BI$1,1)</f>
        <v/>
      </c>
      <c r="BN993" s="102">
        <f>(CI993-Driver!$F$205)/(Driver!$G$205-Driver!$F$205)*$BI$1</f>
        <v/>
      </c>
      <c r="BO993" s="102">
        <f>(CK993-Driver!$F$207)/(Driver!$G$207-Driver!$F$207)*$BI$1</f>
        <v/>
      </c>
      <c r="BP993" s="102">
        <f>(CM993-Driver!$F$208)/(Driver!$G$208-Driver!$F$208)*$BI$1</f>
        <v/>
      </c>
      <c r="BQ993" s="102">
        <f>(CL993-Driver!$F$209)/(Driver!$G$209-Driver!$F$209)*$BI$1</f>
        <v/>
      </c>
      <c r="BR993" s="40" t="inlineStr">
        <is>
          <t>21/22</t>
        </is>
      </c>
      <c r="BS993" s="10" t="inlineStr">
        <is>
          <t xml:space="preserve"> Dynastar</t>
        </is>
      </c>
      <c r="BT993" s="11" t="inlineStr">
        <is>
          <t>M-Menace 90</t>
        </is>
      </c>
      <c r="BU993" s="13" t="n">
        <v>150</v>
      </c>
      <c r="BV993" s="11" t="inlineStr">
        <is>
          <t xml:space="preserve"> Unisex</t>
        </is>
      </c>
      <c r="BW993" s="13" t="n">
        <v>150</v>
      </c>
      <c r="BX993" s="13" t="n">
        <v>148.5</v>
      </c>
      <c r="BY993" s="13" t="n">
        <v>100</v>
      </c>
      <c r="BZ993" s="13" t="n">
        <v>123</v>
      </c>
      <c r="CA993" s="13" t="n">
        <v>118</v>
      </c>
      <c r="CB993" s="13" t="n">
        <v>89</v>
      </c>
      <c r="CC993" s="13" t="n">
        <v>107</v>
      </c>
      <c r="CD993" s="13" t="n">
        <v>17</v>
      </c>
      <c r="CE993" s="13" t="n">
        <v>1464</v>
      </c>
      <c r="CF993" s="13" t="n">
        <v>0.99</v>
      </c>
      <c r="CG993" s="13" t="n">
        <v>1453</v>
      </c>
      <c r="CH993" s="13" t="n">
        <v>149</v>
      </c>
      <c r="CI993" s="13" t="n">
        <v>60</v>
      </c>
      <c r="CJ993" s="13" t="n">
        <v>50</v>
      </c>
      <c r="CK993" s="13" t="n">
        <v>258</v>
      </c>
      <c r="CL993" s="13" t="n">
        <v>31</v>
      </c>
      <c r="CM993" s="13" t="n">
        <v>227</v>
      </c>
      <c r="CN993" s="13" t="n">
        <v>0.63</v>
      </c>
      <c r="CO993" s="13" t="n">
        <v>126</v>
      </c>
      <c r="CP993" s="13" t="n">
        <v>132</v>
      </c>
      <c r="CQ993" s="13" t="n">
        <v>132</v>
      </c>
      <c r="CR993" s="13" t="n">
        <v>5</v>
      </c>
      <c r="CS993" s="13" t="n">
        <v>6.8</v>
      </c>
      <c r="CT993" s="11" t="inlineStr">
        <is>
          <t xml:space="preserve"> Resort Freeride</t>
        </is>
      </c>
      <c r="CU993" s="13" t="n"/>
      <c r="CV993" s="13" t="n"/>
      <c r="CW993" s="13" t="n"/>
      <c r="CX993">
        <f>INDEX('Data_Price '!AG$2:AG$1266,MATCH(Data!$DN993,'Data_Price '!$AT$2:$AT$1266,0))</f>
        <v/>
      </c>
      <c r="CY993">
        <f>INDEX('Data_Price '!AH$2:AH$1266,MATCH(Data!$DN993,'Data_Price '!$AT$2:$AT$1266,0))</f>
        <v/>
      </c>
      <c r="CZ993">
        <f>INDEX('Data_Price '!AI$2:AI$1266,MATCH(Data!$DN993,'Data_Price '!$AT$2:$AT$1266,0))</f>
        <v/>
      </c>
      <c r="DA993">
        <f>INDEX('Data_Price '!AJ$2:AJ$1266,MATCH(Data!$DN993,'Data_Price '!$AT$2:$AT$1266,0))</f>
        <v/>
      </c>
      <c r="DB993">
        <f>INDEX('Data_Price '!AK$2:AK$1266,MATCH(Data!$DN993,'Data_Price '!$AT$2:$AT$1266,0))</f>
        <v/>
      </c>
      <c r="DC993">
        <f>INDEX('Data_Price '!AL$2:AL$1266,MATCH(Data!$DN993,'Data_Price '!$AT$2:$AT$1266,0))</f>
        <v/>
      </c>
      <c r="DD993">
        <f>INDEX('Data_Price '!AM$2:AM$1266,MATCH(Data!$DN993,'Data_Price '!$AT$2:$AT$1266,0))</f>
        <v/>
      </c>
      <c r="DE993">
        <f>INDEX('Data_Price '!AN$2:AN$1266,MATCH(Data!$DN993,'Data_Price '!$AT$2:$AT$1266,0))</f>
        <v/>
      </c>
      <c r="DF993">
        <f>INDEX('Data_Price '!AO$2:AO$1266,MATCH(Data!$DN993,'Data_Price '!$AT$2:$AT$1266,0))</f>
        <v/>
      </c>
      <c r="DG993">
        <f>INDEX('Data_Price '!AP$2:AP$1266,MATCH(Data!$DN993,'Data_Price '!$AT$2:$AT$1266,0))</f>
        <v/>
      </c>
      <c r="DH993">
        <f>INDEX('Data_Price '!AQ$2:AQ$1266,MATCH(Data!$DN993,'Data_Price '!$AT$2:$AT$1266,0))</f>
        <v/>
      </c>
      <c r="DI993">
        <f>INDEX('Data_Price '!AR$2:AR$1266,MATCH(Data!$DN993,'Data_Price '!$AT$2:$AT$1266,0))</f>
        <v/>
      </c>
      <c r="DJ993" s="138">
        <f>DA993</f>
        <v/>
      </c>
      <c r="DK993" s="138">
        <f>DE993</f>
        <v/>
      </c>
      <c r="DL993" s="138">
        <f>DI993</f>
        <v/>
      </c>
      <c r="DM993" s="303">
        <f>IF(LEFT(BT993,1)=" ",RIGHT(BT993,LEN(BT993)-1),BT993)</f>
        <v/>
      </c>
      <c r="DN993" s="138">
        <f>_xlfn.CONCAT(BS993,DM993,BU993,BV993)</f>
        <v/>
      </c>
      <c r="DO993" s="307" t="n"/>
    </row>
    <row r="994" ht="15.6" customHeight="1" s="184">
      <c r="B994" s="303">
        <f t="array" ref="B994">IF(OR(ISERROR(K994:P994)),FALSE,TRUE)</f>
        <v/>
      </c>
      <c r="C994" s="60">
        <f>OR(BR994=Driver!$G$50,Data!BR1112=Driver!$H$50)</f>
        <v/>
      </c>
      <c r="D994" s="60">
        <f>OR(BV994=Driver!$G$51,BV994=Driver!$H$51)</f>
        <v/>
      </c>
      <c r="E994" s="60">
        <f>AND(BX994&gt;Driver!$F$54,BX994&lt;Driver!$G$54)</f>
        <v/>
      </c>
      <c r="F994" s="60">
        <f>CL994&gt;Driver!$F$56</f>
        <v/>
      </c>
      <c r="G994" s="60">
        <f>AND(CB994&gt;Driver!$F$55,CB994&lt;Driver!$G$55)</f>
        <v/>
      </c>
      <c r="H994" s="60">
        <f>AND(B994:G994)</f>
        <v/>
      </c>
      <c r="I994" s="60">
        <f>COUNTIFS($H$9:$H$1273,TRUE,$BT$9:$BT$1273,BT994)</f>
        <v/>
      </c>
      <c r="J994" s="60">
        <f t="array" ref="J994">NOT(OR(($H$9:$H$1273=TRUE)*($I$9:$I$1273&gt;0)*($BT$9:$BT$1273=BT994)*($K$9:$K$1273&gt;K994)))</f>
        <v/>
      </c>
      <c r="K994" s="108">
        <f>IFERROR(1-AVERAGE(X994:Y994),"")</f>
        <v/>
      </c>
      <c r="L994" s="108">
        <f>1-X994</f>
        <v/>
      </c>
      <c r="M994" s="108">
        <f>1-Y994</f>
        <v/>
      </c>
      <c r="N994" s="108">
        <f>1-Z994</f>
        <v/>
      </c>
      <c r="O994" s="108">
        <f>1-AA994</f>
        <v/>
      </c>
      <c r="P994" s="108">
        <f>1-AB994</f>
        <v/>
      </c>
      <c r="Q994" s="108" t="n"/>
      <c r="R994" s="108" t="n"/>
      <c r="S994" s="108">
        <f>1-AE994</f>
        <v/>
      </c>
      <c r="T994" s="108">
        <f>1-AF994</f>
        <v/>
      </c>
      <c r="U994" s="108">
        <f>1-AG994</f>
        <v/>
      </c>
      <c r="V994" s="108">
        <f>1-AH994</f>
        <v/>
      </c>
      <c r="W994" s="108">
        <f>1-AI994</f>
        <v/>
      </c>
      <c r="X994" s="108">
        <f>ABS(AJ994-AJ$1)</f>
        <v/>
      </c>
      <c r="Y994" s="108">
        <f>AVERAGE(Z994:AB994)</f>
        <v/>
      </c>
      <c r="Z994" s="108">
        <f>ABS(AL994-AL$1)</f>
        <v/>
      </c>
      <c r="AA994" s="108">
        <f>ABS(AM994-AM$1)</f>
        <v/>
      </c>
      <c r="AB994" s="108">
        <f>ABS(AN994-AN$1)</f>
        <v/>
      </c>
      <c r="AC994" s="108" t="n"/>
      <c r="AD994" s="108" t="n"/>
      <c r="AE994" s="108">
        <f>ABS(AQ$1-AQ994)</f>
        <v/>
      </c>
      <c r="AF994" s="108">
        <f>ABS(AR$1-AR994)</f>
        <v/>
      </c>
      <c r="AG994" s="108">
        <f>ABS(AS$1-AS994)</f>
        <v/>
      </c>
      <c r="AH994" s="108">
        <f>ABS(AT$1-AT994)</f>
        <v/>
      </c>
      <c r="AI994" s="108">
        <f>ABS(AU$1-AU994)</f>
        <v/>
      </c>
      <c r="AJ994" s="108">
        <f>(AV994-Driver!$K$179)/(Driver!$L$179-Driver!$K$179)</f>
        <v/>
      </c>
      <c r="AK994" s="108">
        <f>(AW994-Driver!$K$180)/(Driver!$L$180-Driver!$K$180)</f>
        <v/>
      </c>
      <c r="AL994" s="108">
        <f>(AX994-Driver!$K$181)/(Driver!$L$181-Driver!$K$181)</f>
        <v/>
      </c>
      <c r="AM994" s="108">
        <f>(AY994-Driver!$K$182)/(Driver!$L$182-Driver!$K$182)</f>
        <v/>
      </c>
      <c r="AN994" s="108">
        <f>(AZ994-Driver!$K$183)/(Driver!$L$183-Driver!$K$183)</f>
        <v/>
      </c>
      <c r="AO994" s="108" t="n"/>
      <c r="AP994" s="108" t="n"/>
      <c r="AQ994" s="108">
        <f>(BC994-Driver!$K$188)/(Driver!$L$188-Driver!$K$188)</f>
        <v/>
      </c>
      <c r="AR994" s="108">
        <f>MIN((BD994-Driver!$K$189)/(Driver!$L$189-Driver!$K$189),100%)</f>
        <v/>
      </c>
      <c r="AS994" s="108">
        <f>(BE994-Driver!$K$190)/(Driver!$L$190-Driver!$K$190)</f>
        <v/>
      </c>
      <c r="AT994" s="108">
        <f>(BF994-Driver!$K$191)/(Driver!$L$191-Driver!$K$191)</f>
        <v/>
      </c>
      <c r="AU994" s="108">
        <f>(BG994-Driver!$K$192)/(Driver!$L$192-Driver!$K$192)</f>
        <v/>
      </c>
      <c r="AV994" s="105">
        <f>IFERROR(BM994*BJ994^1/4,"")</f>
        <v/>
      </c>
      <c r="AW994" s="105">
        <f>IFERROR(SUM(AX994:AZ994),"")</f>
        <v/>
      </c>
      <c r="AX994" s="105">
        <f>IFERROR(BH994,"")</f>
        <v/>
      </c>
      <c r="AY994" s="105">
        <f>IFERROR(Driver!$K$19/Data!BH994/Data!BI994*Data!BK994*Data!BL994,"")</f>
        <v/>
      </c>
      <c r="AZ994" s="105">
        <f>IFERROR(BI994*BN994,"")</f>
        <v/>
      </c>
      <c r="BA994" s="105" t="n"/>
      <c r="BB994" s="105" t="n"/>
      <c r="BC994" s="105">
        <f>IFERROR(BI994*BN994*BK994/BJ994^(1/2),"")</f>
        <v/>
      </c>
      <c r="BD994" s="105">
        <f>IFERROR(BH994*BM994*BL994/BJ994/BK994,"")</f>
        <v/>
      </c>
      <c r="BE994" s="105">
        <f>IFERROR(MIN(BI994/BQ994/BP994/BO994/BH994,$BE$1),"")</f>
        <v/>
      </c>
      <c r="BF994" s="105">
        <f>IFERROR(BJ994*BO994*BP994/BK994,"")</f>
        <v/>
      </c>
      <c r="BG994" s="105">
        <f>IFERROR(1/BM994/BH994*BQ994,"")</f>
        <v/>
      </c>
      <c r="BH994" s="102">
        <f>MAX((CE994-Driver!$F$200)/(Driver!$G$200-Driver!$F$200)*$BI$1,1)</f>
        <v/>
      </c>
      <c r="BI994" s="102">
        <f>MAX($BI$1*(BY994-Driver!$F$201)/(Driver!$G$201-Driver!$F$201),1)</f>
        <v/>
      </c>
      <c r="BJ994" s="102">
        <f>(CB994-Driver!$F$206)/(Driver!$G$206-Driver!$F$206)*$BI$1</f>
        <v/>
      </c>
      <c r="BK994" s="102">
        <f>(CD994-Driver!$F$203)/(Driver!$G$203-Driver!$F$203)*$BI$1</f>
        <v/>
      </c>
      <c r="BL994" s="102">
        <f>MAX((CR994-Driver!$F$202)/(Driver!$G$202-Driver!$F$202)*$BI$1,1)</f>
        <v/>
      </c>
      <c r="BM994" s="102">
        <f>MAX((CH994-Driver!$F$204)/(Driver!$G$204-Driver!$F$204)*$BI$1,1)</f>
        <v/>
      </c>
      <c r="BN994" s="102">
        <f>(CI994-Driver!$F$205)/(Driver!$G$205-Driver!$F$205)*$BI$1</f>
        <v/>
      </c>
      <c r="BO994" s="102">
        <f>(CK994-Driver!$F$207)/(Driver!$G$207-Driver!$F$207)*$BI$1</f>
        <v/>
      </c>
      <c r="BP994" s="102">
        <f>(CM994-Driver!$F$208)/(Driver!$G$208-Driver!$F$208)*$BI$1</f>
        <v/>
      </c>
      <c r="BQ994" s="102">
        <f>(CL994-Driver!$F$209)/(Driver!$G$209-Driver!$F$209)*$BI$1</f>
        <v/>
      </c>
      <c r="BR994" s="40" t="inlineStr">
        <is>
          <t>21/22</t>
        </is>
      </c>
      <c r="BS994" s="10" t="inlineStr">
        <is>
          <t xml:space="preserve"> Salomon</t>
        </is>
      </c>
      <c r="BT994" s="11" t="inlineStr">
        <is>
          <t>Stance 96</t>
        </is>
      </c>
      <c r="BU994" s="13" t="n">
        <v>182</v>
      </c>
      <c r="BV994" s="11" t="inlineStr">
        <is>
          <t xml:space="preserve"> Unisex</t>
        </is>
      </c>
      <c r="BW994" s="13" t="n">
        <v>182</v>
      </c>
      <c r="BX994" s="13" t="n">
        <v>181</v>
      </c>
      <c r="BY994" s="13" t="n">
        <v>137</v>
      </c>
      <c r="BZ994" s="13" t="n">
        <v>152</v>
      </c>
      <c r="CA994" s="13" t="n">
        <v>132</v>
      </c>
      <c r="CB994" s="13" t="n">
        <v>95</v>
      </c>
      <c r="CC994" s="13" t="n">
        <v>113</v>
      </c>
      <c r="CD994" s="13" t="n">
        <v>19.2</v>
      </c>
      <c r="CE994" s="13" t="n">
        <v>2111</v>
      </c>
      <c r="CF994" s="13" t="n">
        <v>0.92</v>
      </c>
      <c r="CG994" s="13" t="n">
        <v>1936</v>
      </c>
      <c r="CH994" s="13" t="n">
        <v>238</v>
      </c>
      <c r="CI994" s="13" t="n">
        <v>133</v>
      </c>
      <c r="CJ994" s="13" t="n">
        <v>49</v>
      </c>
      <c r="CK994" s="13" t="n">
        <v>245</v>
      </c>
      <c r="CL994" s="13" t="n">
        <v>9</v>
      </c>
      <c r="CM994" s="13" t="n">
        <v>193</v>
      </c>
      <c r="CN994" s="13" t="n">
        <v>0.191</v>
      </c>
      <c r="CO994" s="13" t="n">
        <v>159</v>
      </c>
      <c r="CP994" s="13" t="n">
        <v>134</v>
      </c>
      <c r="CQ994" s="13" t="n">
        <v>86</v>
      </c>
      <c r="CR994" s="13" t="n">
        <v>9</v>
      </c>
      <c r="CS994" s="13" t="n">
        <v>9.6</v>
      </c>
      <c r="CT994" s="11" t="inlineStr">
        <is>
          <t xml:space="preserve"> Resort Freeride</t>
        </is>
      </c>
      <c r="CU994" s="13" t="n"/>
      <c r="CV994" s="13" t="n"/>
      <c r="CW994" s="13" t="n"/>
      <c r="CX994">
        <f>INDEX('Data_Price '!AG$2:AG$1266,MATCH(Data!$DN994,'Data_Price '!$AT$2:$AT$1266,0))</f>
        <v/>
      </c>
      <c r="CY994">
        <f>INDEX('Data_Price '!AH$2:AH$1266,MATCH(Data!$DN994,'Data_Price '!$AT$2:$AT$1266,0))</f>
        <v/>
      </c>
      <c r="CZ994">
        <f>INDEX('Data_Price '!AI$2:AI$1266,MATCH(Data!$DN994,'Data_Price '!$AT$2:$AT$1266,0))</f>
        <v/>
      </c>
      <c r="DA994">
        <f>INDEX('Data_Price '!AJ$2:AJ$1266,MATCH(Data!$DN994,'Data_Price '!$AT$2:$AT$1266,0))</f>
        <v/>
      </c>
      <c r="DB994">
        <f>INDEX('Data_Price '!AK$2:AK$1266,MATCH(Data!$DN994,'Data_Price '!$AT$2:$AT$1266,0))</f>
        <v/>
      </c>
      <c r="DC994">
        <f>INDEX('Data_Price '!AL$2:AL$1266,MATCH(Data!$DN994,'Data_Price '!$AT$2:$AT$1266,0))</f>
        <v/>
      </c>
      <c r="DD994">
        <f>INDEX('Data_Price '!AM$2:AM$1266,MATCH(Data!$DN994,'Data_Price '!$AT$2:$AT$1266,0))</f>
        <v/>
      </c>
      <c r="DE994">
        <f>INDEX('Data_Price '!AN$2:AN$1266,MATCH(Data!$DN994,'Data_Price '!$AT$2:$AT$1266,0))</f>
        <v/>
      </c>
      <c r="DF994">
        <f>INDEX('Data_Price '!AO$2:AO$1266,MATCH(Data!$DN994,'Data_Price '!$AT$2:$AT$1266,0))</f>
        <v/>
      </c>
      <c r="DG994">
        <f>INDEX('Data_Price '!AP$2:AP$1266,MATCH(Data!$DN994,'Data_Price '!$AT$2:$AT$1266,0))</f>
        <v/>
      </c>
      <c r="DH994">
        <f>INDEX('Data_Price '!AQ$2:AQ$1266,MATCH(Data!$DN994,'Data_Price '!$AT$2:$AT$1266,0))</f>
        <v/>
      </c>
      <c r="DI994">
        <f>INDEX('Data_Price '!AR$2:AR$1266,MATCH(Data!$DN994,'Data_Price '!$AT$2:$AT$1266,0))</f>
        <v/>
      </c>
      <c r="DJ994" s="138">
        <f>DA994</f>
        <v/>
      </c>
      <c r="DK994" s="138">
        <f>DE994</f>
        <v/>
      </c>
      <c r="DL994" s="138">
        <f>DI994</f>
        <v/>
      </c>
      <c r="DM994" s="303">
        <f>IF(LEFT(BT994,1)=" ",RIGHT(BT994,LEN(BT994)-1),BT994)</f>
        <v/>
      </c>
      <c r="DN994" s="138">
        <f>_xlfn.CONCAT(BS994,DM994,BU994,BV994)</f>
        <v/>
      </c>
      <c r="DO994" s="307" t="inlineStr">
        <is>
          <t>https://images.evo.com/imgp/250/183472/737233/salomon-stance-96-skis-2022-.jpg</t>
        </is>
      </c>
    </row>
    <row r="995" ht="15.6" customHeight="1" s="184">
      <c r="B995" s="303">
        <f t="array" ref="B995">IF(OR(ISERROR(K995:P995)),FALSE,TRUE)</f>
        <v/>
      </c>
      <c r="C995" s="60">
        <f>OR(BR995=Driver!$G$50,Data!BR809=Driver!$H$50)</f>
        <v/>
      </c>
      <c r="D995" s="60">
        <f>OR(BV995=Driver!$G$51,BV995=Driver!$H$51)</f>
        <v/>
      </c>
      <c r="E995" s="60">
        <f>AND(BX995&gt;Driver!$F$54,BX995&lt;Driver!$G$54)</f>
        <v/>
      </c>
      <c r="F995" s="60">
        <f>CL995&gt;Driver!$F$56</f>
        <v/>
      </c>
      <c r="G995" s="60">
        <f>AND(CB995&gt;Driver!$F$55,CB995&lt;Driver!$G$55)</f>
        <v/>
      </c>
      <c r="H995" s="60">
        <f>AND(B995:G995)</f>
        <v/>
      </c>
      <c r="I995" s="60">
        <f>COUNTIFS($H$9:$H$1273,TRUE,$BT$9:$BT$1273,BT995)</f>
        <v/>
      </c>
      <c r="J995" s="60">
        <f t="array" ref="J995">NOT(OR(($H$9:$H$1273=TRUE)*($I$9:$I$1273&gt;0)*($BT$9:$BT$1273=BT995)*($K$9:$K$1273&gt;K995)))</f>
        <v/>
      </c>
      <c r="K995" s="108">
        <f>IFERROR(1-AVERAGE(X995:Y995),"")</f>
        <v/>
      </c>
      <c r="L995" s="108">
        <f>1-X995</f>
        <v/>
      </c>
      <c r="M995" s="108">
        <f>1-Y995</f>
        <v/>
      </c>
      <c r="N995" s="108">
        <f>1-Z995</f>
        <v/>
      </c>
      <c r="O995" s="108">
        <f>1-AA995</f>
        <v/>
      </c>
      <c r="P995" s="108">
        <f>1-AB995</f>
        <v/>
      </c>
      <c r="Q995" s="108" t="n"/>
      <c r="R995" s="108" t="n"/>
      <c r="S995" s="108">
        <f>1-AE995</f>
        <v/>
      </c>
      <c r="T995" s="108">
        <f>1-AF995</f>
        <v/>
      </c>
      <c r="U995" s="108">
        <f>1-AG995</f>
        <v/>
      </c>
      <c r="V995" s="108">
        <f>1-AH995</f>
        <v/>
      </c>
      <c r="W995" s="108">
        <f>1-AI995</f>
        <v/>
      </c>
      <c r="X995" s="108">
        <f>ABS(AJ995-AJ$1)</f>
        <v/>
      </c>
      <c r="Y995" s="108">
        <f>AVERAGE(Z995:AB995)</f>
        <v/>
      </c>
      <c r="Z995" s="108">
        <f>ABS(AL995-AL$1)</f>
        <v/>
      </c>
      <c r="AA995" s="108">
        <f>ABS(AM995-AM$1)</f>
        <v/>
      </c>
      <c r="AB995" s="108">
        <f>ABS(AN995-AN$1)</f>
        <v/>
      </c>
      <c r="AC995" s="108" t="n"/>
      <c r="AD995" s="108" t="n"/>
      <c r="AE995" s="108">
        <f>ABS(AQ$1-AQ995)</f>
        <v/>
      </c>
      <c r="AF995" s="108">
        <f>ABS(AR$1-AR995)</f>
        <v/>
      </c>
      <c r="AG995" s="108">
        <f>ABS(AS$1-AS995)</f>
        <v/>
      </c>
      <c r="AH995" s="108">
        <f>ABS(AT$1-AT995)</f>
        <v/>
      </c>
      <c r="AI995" s="108">
        <f>ABS(AU$1-AU995)</f>
        <v/>
      </c>
      <c r="AJ995" s="108">
        <f>(AV995-Driver!$K$179)/(Driver!$L$179-Driver!$K$179)</f>
        <v/>
      </c>
      <c r="AK995" s="108">
        <f>(AW995-Driver!$K$180)/(Driver!$L$180-Driver!$K$180)</f>
        <v/>
      </c>
      <c r="AL995" s="108">
        <f>(AX995-Driver!$K$181)/(Driver!$L$181-Driver!$K$181)</f>
        <v/>
      </c>
      <c r="AM995" s="108">
        <f>(AY995-Driver!$K$182)/(Driver!$L$182-Driver!$K$182)</f>
        <v/>
      </c>
      <c r="AN995" s="108">
        <f>(AZ995-Driver!$K$183)/(Driver!$L$183-Driver!$K$183)</f>
        <v/>
      </c>
      <c r="AO995" s="108" t="n"/>
      <c r="AP995" s="108" t="n"/>
      <c r="AQ995" s="108">
        <f>(BC995-Driver!$K$188)/(Driver!$L$188-Driver!$K$188)</f>
        <v/>
      </c>
      <c r="AR995" s="108">
        <f>MIN((BD995-Driver!$K$189)/(Driver!$L$189-Driver!$K$189),100%)</f>
        <v/>
      </c>
      <c r="AS995" s="108">
        <f>(BE995-Driver!$K$190)/(Driver!$L$190-Driver!$K$190)</f>
        <v/>
      </c>
      <c r="AT995" s="108">
        <f>(BF995-Driver!$K$191)/(Driver!$L$191-Driver!$K$191)</f>
        <v/>
      </c>
      <c r="AU995" s="108">
        <f>(BG995-Driver!$K$192)/(Driver!$L$192-Driver!$K$192)</f>
        <v/>
      </c>
      <c r="AV995" s="105">
        <f>IFERROR(BM995*BJ995^1/4,"")</f>
        <v/>
      </c>
      <c r="AW995" s="105">
        <f>IFERROR(SUM(AX995:AZ995),"")</f>
        <v/>
      </c>
      <c r="AX995" s="105">
        <f>IFERROR(BH995,"")</f>
        <v/>
      </c>
      <c r="AY995" s="105">
        <f>IFERROR(Driver!$K$19/Data!BH995/Data!BI995*Data!BK995*Data!BL995,"")</f>
        <v/>
      </c>
      <c r="AZ995" s="105">
        <f>IFERROR(BI995*BN995,"")</f>
        <v/>
      </c>
      <c r="BA995" s="105" t="n"/>
      <c r="BB995" s="105" t="n"/>
      <c r="BC995" s="105">
        <f>IFERROR(BI995*BN995*BK995/BJ995^(1/2),"")</f>
        <v/>
      </c>
      <c r="BD995" s="105">
        <f>IFERROR(BH995*BM995*BL995/BJ995/BK995,"")</f>
        <v/>
      </c>
      <c r="BE995" s="105">
        <f>IFERROR(MIN(BI995/BQ995/BP995/BO995/BH995,$BE$1),"")</f>
        <v/>
      </c>
      <c r="BF995" s="105">
        <f>IFERROR(BJ995*BO995*BP995/BK995,"")</f>
        <v/>
      </c>
      <c r="BG995" s="105">
        <f>IFERROR(1/BM995/BH995*BQ995,"")</f>
        <v/>
      </c>
      <c r="BH995" s="102">
        <f>MAX((CE995-Driver!$F$200)/(Driver!$G$200-Driver!$F$200)*$BI$1,1)</f>
        <v/>
      </c>
      <c r="BI995" s="102">
        <f>MAX($BI$1*(BY995-Driver!$F$201)/(Driver!$G$201-Driver!$F$201),1)</f>
        <v/>
      </c>
      <c r="BJ995" s="102">
        <f>(CB995-Driver!$F$206)/(Driver!$G$206-Driver!$F$206)*$BI$1</f>
        <v/>
      </c>
      <c r="BK995" s="102">
        <f>(CD995-Driver!$F$203)/(Driver!$G$203-Driver!$F$203)*$BI$1</f>
        <v/>
      </c>
      <c r="BL995" s="102">
        <f>MAX((CR995-Driver!$F$202)/(Driver!$G$202-Driver!$F$202)*$BI$1,1)</f>
        <v/>
      </c>
      <c r="BM995" s="102">
        <f>MAX((CH995-Driver!$F$204)/(Driver!$G$204-Driver!$F$204)*$BI$1,1)</f>
        <v/>
      </c>
      <c r="BN995" s="102">
        <f>(CI995-Driver!$F$205)/(Driver!$G$205-Driver!$F$205)*$BI$1</f>
        <v/>
      </c>
      <c r="BO995" s="102">
        <f>(CK995-Driver!$F$207)/(Driver!$G$207-Driver!$F$207)*$BI$1</f>
        <v/>
      </c>
      <c r="BP995" s="102">
        <f>(CM995-Driver!$F$208)/(Driver!$G$208-Driver!$F$208)*$BI$1</f>
        <v/>
      </c>
      <c r="BQ995" s="102">
        <f>(CL995-Driver!$F$209)/(Driver!$G$209-Driver!$F$209)*$BI$1</f>
        <v/>
      </c>
      <c r="BR995" s="40" t="inlineStr">
        <is>
          <t>21/22</t>
        </is>
      </c>
      <c r="BS995" s="10" t="inlineStr">
        <is>
          <t xml:space="preserve"> Liberty</t>
        </is>
      </c>
      <c r="BT995" s="11" t="inlineStr">
        <is>
          <t>Genesis 90</t>
        </is>
      </c>
      <c r="BU995" s="13" t="n">
        <v>151</v>
      </c>
      <c r="BV995" s="11" t="inlineStr">
        <is>
          <t xml:space="preserve"> Women's</t>
        </is>
      </c>
      <c r="BW995" s="13" t="n">
        <v>151</v>
      </c>
      <c r="BX995" s="13" t="n">
        <v>150.2</v>
      </c>
      <c r="BY995" s="13" t="n">
        <v>91</v>
      </c>
      <c r="BZ995" s="13" t="n">
        <v>121</v>
      </c>
      <c r="CA995" s="13" t="n">
        <v>125</v>
      </c>
      <c r="CB995" s="13" t="n">
        <v>90</v>
      </c>
      <c r="CC995" s="13" t="n">
        <v>111</v>
      </c>
      <c r="CD995" s="13" t="n">
        <v>11.8</v>
      </c>
      <c r="CE995" s="13" t="n">
        <v>1420</v>
      </c>
      <c r="CF995" s="13" t="n">
        <v>1.07</v>
      </c>
      <c r="CG995" s="13" t="n">
        <v>1516</v>
      </c>
      <c r="CH995" s="13" t="n">
        <v>144</v>
      </c>
      <c r="CI995" s="13" t="n">
        <v>72</v>
      </c>
      <c r="CJ995" s="13" t="n">
        <v>44</v>
      </c>
      <c r="CK995" s="13" t="n">
        <v>351</v>
      </c>
      <c r="CL995" s="13" t="n">
        <v>21</v>
      </c>
      <c r="CM995" s="13" t="n">
        <v>243</v>
      </c>
      <c r="CN995" s="13" t="n">
        <v>0.486</v>
      </c>
      <c r="CO995" s="13" t="n">
        <v>135</v>
      </c>
      <c r="CP995" s="13" t="n">
        <v>157</v>
      </c>
      <c r="CQ995" s="13" t="n">
        <v>216</v>
      </c>
      <c r="CR995" s="13" t="n">
        <v>4</v>
      </c>
      <c r="CS995" s="13" t="n">
        <v>7.8</v>
      </c>
      <c r="CT995" s="11" t="inlineStr">
        <is>
          <t xml:space="preserve"> Resort Freeride</t>
        </is>
      </c>
      <c r="CU995" s="11" t="inlineStr">
        <is>
          <t xml:space="preserve"> Touring</t>
        </is>
      </c>
      <c r="CV995" s="13" t="n"/>
      <c r="CW995" s="13" t="n"/>
      <c r="CX995">
        <f>INDEX('Data_Price '!AG$2:AG$1266,MATCH(Data!$DN995,'Data_Price '!$AT$2:$AT$1266,0))</f>
        <v/>
      </c>
      <c r="CY995">
        <f>INDEX('Data_Price '!AH$2:AH$1266,MATCH(Data!$DN995,'Data_Price '!$AT$2:$AT$1266,0))</f>
        <v/>
      </c>
      <c r="CZ995">
        <f>INDEX('Data_Price '!AI$2:AI$1266,MATCH(Data!$DN995,'Data_Price '!$AT$2:$AT$1266,0))</f>
        <v/>
      </c>
      <c r="DA995">
        <f>INDEX('Data_Price '!AJ$2:AJ$1266,MATCH(Data!$DN995,'Data_Price '!$AT$2:$AT$1266,0))</f>
        <v/>
      </c>
      <c r="DB995">
        <f>INDEX('Data_Price '!AK$2:AK$1266,MATCH(Data!$DN995,'Data_Price '!$AT$2:$AT$1266,0))</f>
        <v/>
      </c>
      <c r="DC995">
        <f>INDEX('Data_Price '!AL$2:AL$1266,MATCH(Data!$DN995,'Data_Price '!$AT$2:$AT$1266,0))</f>
        <v/>
      </c>
      <c r="DD995">
        <f>INDEX('Data_Price '!AM$2:AM$1266,MATCH(Data!$DN995,'Data_Price '!$AT$2:$AT$1266,0))</f>
        <v/>
      </c>
      <c r="DE995">
        <f>INDEX('Data_Price '!AN$2:AN$1266,MATCH(Data!$DN995,'Data_Price '!$AT$2:$AT$1266,0))</f>
        <v/>
      </c>
      <c r="DF995">
        <f>INDEX('Data_Price '!AO$2:AO$1266,MATCH(Data!$DN995,'Data_Price '!$AT$2:$AT$1266,0))</f>
        <v/>
      </c>
      <c r="DG995">
        <f>INDEX('Data_Price '!AP$2:AP$1266,MATCH(Data!$DN995,'Data_Price '!$AT$2:$AT$1266,0))</f>
        <v/>
      </c>
      <c r="DH995">
        <f>INDEX('Data_Price '!AQ$2:AQ$1266,MATCH(Data!$DN995,'Data_Price '!$AT$2:$AT$1266,0))</f>
        <v/>
      </c>
      <c r="DI995">
        <f>INDEX('Data_Price '!AR$2:AR$1266,MATCH(Data!$DN995,'Data_Price '!$AT$2:$AT$1266,0))</f>
        <v/>
      </c>
      <c r="DJ995" s="138">
        <f>DA995</f>
        <v/>
      </c>
      <c r="DK995" s="138">
        <f>DE995</f>
        <v/>
      </c>
      <c r="DL995" s="138">
        <f>DI995</f>
        <v/>
      </c>
      <c r="DM995" s="303">
        <f>IF(LEFT(BT995,1)=" ",RIGHT(BT995,LEN(BT995)-1),BT995)</f>
        <v/>
      </c>
      <c r="DN995" s="138">
        <f>_xlfn.CONCAT(BS995,DM995,BU995,BV995)</f>
        <v/>
      </c>
      <c r="DO995" s="307" t="n"/>
    </row>
    <row r="996" ht="15.6" customHeight="1" s="184">
      <c r="B996" s="303">
        <f t="array" ref="B996">IF(OR(ISERROR(K996:P996)),FALSE,TRUE)</f>
        <v/>
      </c>
      <c r="C996" s="60">
        <f>OR(BR996=Driver!$G$50,Data!BR434=Driver!$H$50)</f>
        <v/>
      </c>
      <c r="D996" s="60">
        <f>OR(BV996=Driver!$G$51,BV996=Driver!$H$51)</f>
        <v/>
      </c>
      <c r="E996" s="60">
        <f>AND(BX996&gt;Driver!$F$54,BX996&lt;Driver!$G$54)</f>
        <v/>
      </c>
      <c r="F996" s="60">
        <f>CL996&gt;Driver!$F$56</f>
        <v/>
      </c>
      <c r="G996" s="60">
        <f>AND(CB996&gt;Driver!$F$55,CB996&lt;Driver!$G$55)</f>
        <v/>
      </c>
      <c r="H996" s="60">
        <f>AND(B996:G996)</f>
        <v/>
      </c>
      <c r="I996" s="60">
        <f>COUNTIFS($H$9:$H$1273,TRUE,$BT$9:$BT$1273,BT996)</f>
        <v/>
      </c>
      <c r="J996" s="60">
        <f t="array" ref="J996">NOT(OR(($H$9:$H$1273=TRUE)*($I$9:$I$1273&gt;0)*($BT$9:$BT$1273=BT996)*($K$9:$K$1273&gt;K996)))</f>
        <v/>
      </c>
      <c r="K996" s="108">
        <f>IFERROR(1-AVERAGE(X996:Y996),"")</f>
        <v/>
      </c>
      <c r="L996" s="108">
        <f>1-X996</f>
        <v/>
      </c>
      <c r="M996" s="108">
        <f>1-Y996</f>
        <v/>
      </c>
      <c r="N996" s="108">
        <f>1-Z996</f>
        <v/>
      </c>
      <c r="O996" s="108">
        <f>1-AA996</f>
        <v/>
      </c>
      <c r="P996" s="108">
        <f>1-AB996</f>
        <v/>
      </c>
      <c r="Q996" s="108" t="n"/>
      <c r="R996" s="108" t="n"/>
      <c r="S996" s="108">
        <f>1-AE996</f>
        <v/>
      </c>
      <c r="T996" s="108">
        <f>1-AF996</f>
        <v/>
      </c>
      <c r="U996" s="108">
        <f>1-AG996</f>
        <v/>
      </c>
      <c r="V996" s="108">
        <f>1-AH996</f>
        <v/>
      </c>
      <c r="W996" s="108">
        <f>1-AI996</f>
        <v/>
      </c>
      <c r="X996" s="108">
        <f>ABS(AJ996-AJ$1)</f>
        <v/>
      </c>
      <c r="Y996" s="108">
        <f>AVERAGE(Z996:AB996)</f>
        <v/>
      </c>
      <c r="Z996" s="108">
        <f>ABS(AL996-AL$1)</f>
        <v/>
      </c>
      <c r="AA996" s="108">
        <f>ABS(AM996-AM$1)</f>
        <v/>
      </c>
      <c r="AB996" s="108">
        <f>ABS(AN996-AN$1)</f>
        <v/>
      </c>
      <c r="AC996" s="108" t="n"/>
      <c r="AD996" s="108" t="n"/>
      <c r="AE996" s="108">
        <f>ABS(AQ$1-AQ996)</f>
        <v/>
      </c>
      <c r="AF996" s="108">
        <f>ABS(AR$1-AR996)</f>
        <v/>
      </c>
      <c r="AG996" s="108">
        <f>ABS(AS$1-AS996)</f>
        <v/>
      </c>
      <c r="AH996" s="108">
        <f>ABS(AT$1-AT996)</f>
        <v/>
      </c>
      <c r="AI996" s="108">
        <f>ABS(AU$1-AU996)</f>
        <v/>
      </c>
      <c r="AJ996" s="108">
        <f>(AV996-Driver!$K$179)/(Driver!$L$179-Driver!$K$179)</f>
        <v/>
      </c>
      <c r="AK996" s="108">
        <f>(AW996-Driver!$K$180)/(Driver!$L$180-Driver!$K$180)</f>
        <v/>
      </c>
      <c r="AL996" s="108">
        <f>(AX996-Driver!$K$181)/(Driver!$L$181-Driver!$K$181)</f>
        <v/>
      </c>
      <c r="AM996" s="108">
        <f>(AY996-Driver!$K$182)/(Driver!$L$182-Driver!$K$182)</f>
        <v/>
      </c>
      <c r="AN996" s="108">
        <f>(AZ996-Driver!$K$183)/(Driver!$L$183-Driver!$K$183)</f>
        <v/>
      </c>
      <c r="AO996" s="108" t="n"/>
      <c r="AP996" s="108" t="n"/>
      <c r="AQ996" s="108">
        <f>(BC996-Driver!$K$188)/(Driver!$L$188-Driver!$K$188)</f>
        <v/>
      </c>
      <c r="AR996" s="108">
        <f>MIN((BD996-Driver!$K$189)/(Driver!$L$189-Driver!$K$189),100%)</f>
        <v/>
      </c>
      <c r="AS996" s="108">
        <f>(BE996-Driver!$K$190)/(Driver!$L$190-Driver!$K$190)</f>
        <v/>
      </c>
      <c r="AT996" s="108">
        <f>(BF996-Driver!$K$191)/(Driver!$L$191-Driver!$K$191)</f>
        <v/>
      </c>
      <c r="AU996" s="108">
        <f>(BG996-Driver!$K$192)/(Driver!$L$192-Driver!$K$192)</f>
        <v/>
      </c>
      <c r="AV996" s="105">
        <f>IFERROR(BM996*BJ996^1/4,"")</f>
        <v/>
      </c>
      <c r="AW996" s="105">
        <f>IFERROR(SUM(AX996:AZ996),"")</f>
        <v/>
      </c>
      <c r="AX996" s="105">
        <f>IFERROR(BH996,"")</f>
        <v/>
      </c>
      <c r="AY996" s="105">
        <f>IFERROR(Driver!$K$19/Data!BH996/Data!BI996*Data!BK996*Data!BL996,"")</f>
        <v/>
      </c>
      <c r="AZ996" s="105">
        <f>IFERROR(BI996*BN996,"")</f>
        <v/>
      </c>
      <c r="BA996" s="105" t="n"/>
      <c r="BB996" s="105" t="n"/>
      <c r="BC996" s="105">
        <f>IFERROR(BI996*BN996*BK996/BJ996^(1/2),"")</f>
        <v/>
      </c>
      <c r="BD996" s="105">
        <f>IFERROR(BH996*BM996*BL996/BJ996/BK996,"")</f>
        <v/>
      </c>
      <c r="BE996" s="105">
        <f>IFERROR(MIN(BI996/BQ996/BP996/BO996/BH996,$BE$1),"")</f>
        <v/>
      </c>
      <c r="BF996" s="105">
        <f>IFERROR(BJ996*BO996*BP996/BK996,"")</f>
        <v/>
      </c>
      <c r="BG996" s="105">
        <f>IFERROR(1/BM996/BH996*BQ996,"")</f>
        <v/>
      </c>
      <c r="BH996" s="102">
        <f>MAX((CE996-Driver!$F$200)/(Driver!$G$200-Driver!$F$200)*$BI$1,1)</f>
        <v/>
      </c>
      <c r="BI996" s="102">
        <f>MAX($BI$1*(BY996-Driver!$F$201)/(Driver!$G$201-Driver!$F$201),1)</f>
        <v/>
      </c>
      <c r="BJ996" s="102">
        <f>(CB996-Driver!$F$206)/(Driver!$G$206-Driver!$F$206)*$BI$1</f>
        <v/>
      </c>
      <c r="BK996" s="102">
        <f>(CD996-Driver!$F$203)/(Driver!$G$203-Driver!$F$203)*$BI$1</f>
        <v/>
      </c>
      <c r="BL996" s="102">
        <f>MAX((CR996-Driver!$F$202)/(Driver!$G$202-Driver!$F$202)*$BI$1,1)</f>
        <v/>
      </c>
      <c r="BM996" s="102">
        <f>MAX((CH996-Driver!$F$204)/(Driver!$G$204-Driver!$F$204)*$BI$1,1)</f>
        <v/>
      </c>
      <c r="BN996" s="102">
        <f>(CI996-Driver!$F$205)/(Driver!$G$205-Driver!$F$205)*$BI$1</f>
        <v/>
      </c>
      <c r="BO996" s="102">
        <f>(CK996-Driver!$F$207)/(Driver!$G$207-Driver!$F$207)*$BI$1</f>
        <v/>
      </c>
      <c r="BP996" s="102">
        <f>(CM996-Driver!$F$208)/(Driver!$G$208-Driver!$F$208)*$BI$1</f>
        <v/>
      </c>
      <c r="BQ996" s="102">
        <f>(CL996-Driver!$F$209)/(Driver!$G$209-Driver!$F$209)*$BI$1</f>
        <v/>
      </c>
      <c r="BR996" s="40" t="inlineStr">
        <is>
          <t>21/22</t>
        </is>
      </c>
      <c r="BS996" s="10" t="inlineStr">
        <is>
          <t xml:space="preserve"> Elan</t>
        </is>
      </c>
      <c r="BT996" s="11" t="inlineStr">
        <is>
          <t xml:space="preserve"> Element W</t>
        </is>
      </c>
      <c r="BU996" s="13" t="n">
        <v>152</v>
      </c>
      <c r="BV996" s="11" t="inlineStr">
        <is>
          <t xml:space="preserve"> Women's</t>
        </is>
      </c>
      <c r="BW996" s="13" t="n">
        <v>152</v>
      </c>
      <c r="BX996" s="13" t="n">
        <v>151.3</v>
      </c>
      <c r="BY996" s="13" t="n">
        <v>124</v>
      </c>
      <c r="BZ996" s="13" t="n">
        <v>138</v>
      </c>
      <c r="CA996" s="13" t="n">
        <v>126</v>
      </c>
      <c r="CB996" s="13" t="n">
        <v>74</v>
      </c>
      <c r="CC996" s="13" t="n">
        <v>101</v>
      </c>
      <c r="CD996" s="13" t="n">
        <v>12</v>
      </c>
      <c r="CE996" s="13" t="n">
        <v>1553</v>
      </c>
      <c r="CF996" s="13" t="n">
        <v>0.87</v>
      </c>
      <c r="CG996" s="13" t="n">
        <v>1355</v>
      </c>
      <c r="CH996" s="13" t="n">
        <v>160</v>
      </c>
      <c r="CI996" s="13" t="n">
        <v>53</v>
      </c>
      <c r="CJ996" s="13" t="n">
        <v>38</v>
      </c>
      <c r="CK996" s="13" t="n">
        <v>181</v>
      </c>
      <c r="CL996" s="13" t="n">
        <v>11</v>
      </c>
      <c r="CM996" s="13" t="n">
        <v>92</v>
      </c>
      <c r="CN996" s="13" t="n">
        <v>0.278</v>
      </c>
      <c r="CO996" s="13" t="n">
        <v>76</v>
      </c>
      <c r="CP996" s="13" t="n">
        <v>55</v>
      </c>
      <c r="CQ996" s="13" t="n">
        <v>105</v>
      </c>
      <c r="CR996" s="13" t="n">
        <v>6</v>
      </c>
      <c r="CS996" s="13" t="n">
        <v>10.4</v>
      </c>
      <c r="CT996" s="11" t="inlineStr">
        <is>
          <t xml:space="preserve"> Other</t>
        </is>
      </c>
      <c r="CU996" s="13" t="n"/>
      <c r="CV996" s="13" t="n"/>
      <c r="CW996" s="13" t="n"/>
      <c r="CX996">
        <f>INDEX('Data_Price '!AG$2:AG$1266,MATCH(Data!$DN996,'Data_Price '!$AT$2:$AT$1266,0))</f>
        <v/>
      </c>
      <c r="CY996">
        <f>INDEX('Data_Price '!AH$2:AH$1266,MATCH(Data!$DN996,'Data_Price '!$AT$2:$AT$1266,0))</f>
        <v/>
      </c>
      <c r="CZ996">
        <f>INDEX('Data_Price '!AI$2:AI$1266,MATCH(Data!$DN996,'Data_Price '!$AT$2:$AT$1266,0))</f>
        <v/>
      </c>
      <c r="DA996">
        <f>INDEX('Data_Price '!AJ$2:AJ$1266,MATCH(Data!$DN996,'Data_Price '!$AT$2:$AT$1266,0))</f>
        <v/>
      </c>
      <c r="DB996">
        <f>INDEX('Data_Price '!AK$2:AK$1266,MATCH(Data!$DN996,'Data_Price '!$AT$2:$AT$1266,0))</f>
        <v/>
      </c>
      <c r="DC996">
        <f>INDEX('Data_Price '!AL$2:AL$1266,MATCH(Data!$DN996,'Data_Price '!$AT$2:$AT$1266,0))</f>
        <v/>
      </c>
      <c r="DD996">
        <f>INDEX('Data_Price '!AM$2:AM$1266,MATCH(Data!$DN996,'Data_Price '!$AT$2:$AT$1266,0))</f>
        <v/>
      </c>
      <c r="DE996">
        <f>INDEX('Data_Price '!AN$2:AN$1266,MATCH(Data!$DN996,'Data_Price '!$AT$2:$AT$1266,0))</f>
        <v/>
      </c>
      <c r="DF996">
        <f>INDEX('Data_Price '!AO$2:AO$1266,MATCH(Data!$DN996,'Data_Price '!$AT$2:$AT$1266,0))</f>
        <v/>
      </c>
      <c r="DG996">
        <f>INDEX('Data_Price '!AP$2:AP$1266,MATCH(Data!$DN996,'Data_Price '!$AT$2:$AT$1266,0))</f>
        <v/>
      </c>
      <c r="DH996">
        <f>INDEX('Data_Price '!AQ$2:AQ$1266,MATCH(Data!$DN996,'Data_Price '!$AT$2:$AT$1266,0))</f>
        <v/>
      </c>
      <c r="DI996">
        <f>INDEX('Data_Price '!AR$2:AR$1266,MATCH(Data!$DN996,'Data_Price '!$AT$2:$AT$1266,0))</f>
        <v/>
      </c>
      <c r="DJ996" s="138">
        <f>DA996</f>
        <v/>
      </c>
      <c r="DK996" s="138">
        <f>DE996</f>
        <v/>
      </c>
      <c r="DL996" s="138">
        <f>DI996</f>
        <v/>
      </c>
      <c r="DM996" s="303">
        <f>IF(LEFT(BT996,1)=" ",RIGHT(BT996,LEN(BT996)-1),BT996)</f>
        <v/>
      </c>
      <c r="DN996" s="138">
        <f>_xlfn.CONCAT(BS996,DM996,BU996,BV996)</f>
        <v/>
      </c>
      <c r="DO996" s="307" t="n"/>
    </row>
    <row r="997" ht="15.6" customHeight="1" s="184">
      <c r="B997" s="303">
        <f t="array" ref="B997">IF(OR(ISERROR(K997:P997)),FALSE,TRUE)</f>
        <v/>
      </c>
      <c r="C997" s="60">
        <f>OR(BR997=Driver!$G$50,Data!BR651=Driver!$H$50)</f>
        <v/>
      </c>
      <c r="D997" s="60">
        <f>OR(BV997=Driver!$G$51,BV997=Driver!$H$51)</f>
        <v/>
      </c>
      <c r="E997" s="60">
        <f>AND(BX997&gt;Driver!$F$54,BX997&lt;Driver!$G$54)</f>
        <v/>
      </c>
      <c r="F997" s="60">
        <f>CL997&gt;Driver!$F$56</f>
        <v/>
      </c>
      <c r="G997" s="60">
        <f>AND(CB997&gt;Driver!$F$55,CB997&lt;Driver!$G$55)</f>
        <v/>
      </c>
      <c r="H997" s="60">
        <f>AND(B997:G997)</f>
        <v/>
      </c>
      <c r="I997" s="60">
        <f>COUNTIFS($H$9:$H$1273,TRUE,$BT$9:$BT$1273,BT997)</f>
        <v/>
      </c>
      <c r="J997" s="60">
        <f t="array" ref="J997">NOT(OR(($H$9:$H$1273=TRUE)*($I$9:$I$1273&gt;0)*($BT$9:$BT$1273=BT997)*($K$9:$K$1273&gt;K997)))</f>
        <v/>
      </c>
      <c r="K997" s="108">
        <f>IFERROR(1-AVERAGE(X997:Y997),"")</f>
        <v/>
      </c>
      <c r="L997" s="108">
        <f>1-X997</f>
        <v/>
      </c>
      <c r="M997" s="108">
        <f>1-Y997</f>
        <v/>
      </c>
      <c r="N997" s="108">
        <f>1-Z997</f>
        <v/>
      </c>
      <c r="O997" s="108">
        <f>1-AA997</f>
        <v/>
      </c>
      <c r="P997" s="108">
        <f>1-AB997</f>
        <v/>
      </c>
      <c r="Q997" s="108" t="n"/>
      <c r="R997" s="108" t="n"/>
      <c r="S997" s="108">
        <f>1-AE997</f>
        <v/>
      </c>
      <c r="T997" s="108">
        <f>1-AF997</f>
        <v/>
      </c>
      <c r="U997" s="108">
        <f>1-AG997</f>
        <v/>
      </c>
      <c r="V997" s="108">
        <f>1-AH997</f>
        <v/>
      </c>
      <c r="W997" s="108">
        <f>1-AI997</f>
        <v/>
      </c>
      <c r="X997" s="108">
        <f>ABS(AJ997-AJ$1)</f>
        <v/>
      </c>
      <c r="Y997" s="108">
        <f>AVERAGE(Z997:AB997)</f>
        <v/>
      </c>
      <c r="Z997" s="108">
        <f>ABS(AL997-AL$1)</f>
        <v/>
      </c>
      <c r="AA997" s="108">
        <f>ABS(AM997-AM$1)</f>
        <v/>
      </c>
      <c r="AB997" s="108">
        <f>ABS(AN997-AN$1)</f>
        <v/>
      </c>
      <c r="AC997" s="108" t="n"/>
      <c r="AD997" s="108" t="n"/>
      <c r="AE997" s="108">
        <f>ABS(AQ$1-AQ997)</f>
        <v/>
      </c>
      <c r="AF997" s="108">
        <f>ABS(AR$1-AR997)</f>
        <v/>
      </c>
      <c r="AG997" s="108">
        <f>ABS(AS$1-AS997)</f>
        <v/>
      </c>
      <c r="AH997" s="108">
        <f>ABS(AT$1-AT997)</f>
        <v/>
      </c>
      <c r="AI997" s="108">
        <f>ABS(AU$1-AU997)</f>
        <v/>
      </c>
      <c r="AJ997" s="108">
        <f>(AV997-Driver!$K$179)/(Driver!$L$179-Driver!$K$179)</f>
        <v/>
      </c>
      <c r="AK997" s="108">
        <f>(AW997-Driver!$K$180)/(Driver!$L$180-Driver!$K$180)</f>
        <v/>
      </c>
      <c r="AL997" s="108">
        <f>(AX997-Driver!$K$181)/(Driver!$L$181-Driver!$K$181)</f>
        <v/>
      </c>
      <c r="AM997" s="108">
        <f>(AY997-Driver!$K$182)/(Driver!$L$182-Driver!$K$182)</f>
        <v/>
      </c>
      <c r="AN997" s="108">
        <f>(AZ997-Driver!$K$183)/(Driver!$L$183-Driver!$K$183)</f>
        <v/>
      </c>
      <c r="AO997" s="108" t="n"/>
      <c r="AP997" s="108" t="n"/>
      <c r="AQ997" s="108">
        <f>(BC997-Driver!$K$188)/(Driver!$L$188-Driver!$K$188)</f>
        <v/>
      </c>
      <c r="AR997" s="108">
        <f>MIN((BD997-Driver!$K$189)/(Driver!$L$189-Driver!$K$189),100%)</f>
        <v/>
      </c>
      <c r="AS997" s="108">
        <f>(BE997-Driver!$K$190)/(Driver!$L$190-Driver!$K$190)</f>
        <v/>
      </c>
      <c r="AT997" s="108">
        <f>(BF997-Driver!$K$191)/(Driver!$L$191-Driver!$K$191)</f>
        <v/>
      </c>
      <c r="AU997" s="108">
        <f>(BG997-Driver!$K$192)/(Driver!$L$192-Driver!$K$192)</f>
        <v/>
      </c>
      <c r="AV997" s="105">
        <f>IFERROR(BM997*BJ997^1/4,"")</f>
        <v/>
      </c>
      <c r="AW997" s="105">
        <f>IFERROR(SUM(AX997:AZ997),"")</f>
        <v/>
      </c>
      <c r="AX997" s="105">
        <f>IFERROR(BH997,"")</f>
        <v/>
      </c>
      <c r="AY997" s="105">
        <f>IFERROR(Driver!$K$19/Data!BH997/Data!BI997*Data!BK997*Data!BL997,"")</f>
        <v/>
      </c>
      <c r="AZ997" s="105">
        <f>IFERROR(BI997*BN997,"")</f>
        <v/>
      </c>
      <c r="BA997" s="105" t="n"/>
      <c r="BB997" s="105" t="n"/>
      <c r="BC997" s="105">
        <f>IFERROR(BI997*BN997*BK997/BJ997^(1/2),"")</f>
        <v/>
      </c>
      <c r="BD997" s="105">
        <f>IFERROR(BH997*BM997*BL997/BJ997/BK997,"")</f>
        <v/>
      </c>
      <c r="BE997" s="105">
        <f>IFERROR(MIN(BI997/BQ997/BP997/BO997/BH997,$BE$1),"")</f>
        <v/>
      </c>
      <c r="BF997" s="105">
        <f>IFERROR(BJ997*BO997*BP997/BK997,"")</f>
        <v/>
      </c>
      <c r="BG997" s="105">
        <f>IFERROR(1/BM997/BH997*BQ997,"")</f>
        <v/>
      </c>
      <c r="BH997" s="102">
        <f>MAX((CE997-Driver!$F$200)/(Driver!$G$200-Driver!$F$200)*$BI$1,1)</f>
        <v/>
      </c>
      <c r="BI997" s="102">
        <f>MAX($BI$1*(BY997-Driver!$F$201)/(Driver!$G$201-Driver!$F$201),1)</f>
        <v/>
      </c>
      <c r="BJ997" s="102">
        <f>(CB997-Driver!$F$206)/(Driver!$G$206-Driver!$F$206)*$BI$1</f>
        <v/>
      </c>
      <c r="BK997" s="102">
        <f>(CD997-Driver!$F$203)/(Driver!$G$203-Driver!$F$203)*$BI$1</f>
        <v/>
      </c>
      <c r="BL997" s="102">
        <f>MAX((CR997-Driver!$F$202)/(Driver!$G$202-Driver!$F$202)*$BI$1,1)</f>
        <v/>
      </c>
      <c r="BM997" s="102">
        <f>MAX((CH997-Driver!$F$204)/(Driver!$G$204-Driver!$F$204)*$BI$1,1)</f>
        <v/>
      </c>
      <c r="BN997" s="102">
        <f>(CI997-Driver!$F$205)/(Driver!$G$205-Driver!$F$205)*$BI$1</f>
        <v/>
      </c>
      <c r="BO997" s="102">
        <f>(CK997-Driver!$F$207)/(Driver!$G$207-Driver!$F$207)*$BI$1</f>
        <v/>
      </c>
      <c r="BP997" s="102">
        <f>(CM997-Driver!$F$208)/(Driver!$G$208-Driver!$F$208)*$BI$1</f>
        <v/>
      </c>
      <c r="BQ997" s="102">
        <f>(CL997-Driver!$F$209)/(Driver!$G$209-Driver!$F$209)*$BI$1</f>
        <v/>
      </c>
      <c r="BR997" s="40" t="inlineStr">
        <is>
          <t>21/22</t>
        </is>
      </c>
      <c r="BS997" s="10" t="inlineStr">
        <is>
          <t xml:space="preserve"> Head</t>
        </is>
      </c>
      <c r="BT997" s="11" t="inlineStr">
        <is>
          <t xml:space="preserve"> Total Joy</t>
        </is>
      </c>
      <c r="BU997" s="13" t="n">
        <v>158</v>
      </c>
      <c r="BV997" s="11" t="inlineStr">
        <is>
          <t xml:space="preserve"> Women's</t>
        </is>
      </c>
      <c r="BW997" s="13" t="n">
        <v>158</v>
      </c>
      <c r="BX997" s="13" t="n">
        <v>157.6</v>
      </c>
      <c r="BY997" s="13" t="n">
        <v>132</v>
      </c>
      <c r="BZ997" s="13" t="n">
        <v>140</v>
      </c>
      <c r="CA997" s="13" t="n">
        <v>132</v>
      </c>
      <c r="CB997" s="13" t="n">
        <v>84</v>
      </c>
      <c r="CC997" s="13" t="n">
        <v>111</v>
      </c>
      <c r="CD997" s="13" t="n">
        <v>12.9</v>
      </c>
      <c r="CE997" s="13" t="n">
        <v>1435</v>
      </c>
      <c r="CF997" s="13" t="n">
        <v>1.08</v>
      </c>
      <c r="CG997" s="13" t="n">
        <v>1549</v>
      </c>
      <c r="CH997" s="13" t="n">
        <v>168</v>
      </c>
      <c r="CI997" s="13" t="n">
        <v>59</v>
      </c>
      <c r="CJ997" s="13" t="n">
        <v>44</v>
      </c>
      <c r="CK997" s="13" t="n">
        <v>185</v>
      </c>
      <c r="CL997" s="13" t="n">
        <v>12</v>
      </c>
      <c r="CM997" s="13" t="n">
        <v>72</v>
      </c>
      <c r="CN997" s="13" t="n">
        <v>0.266</v>
      </c>
      <c r="CO997" s="13" t="n">
        <v>111</v>
      </c>
      <c r="CP997" s="13" t="n">
        <v>66</v>
      </c>
      <c r="CQ997" s="13" t="n">
        <v>74</v>
      </c>
      <c r="CR997" s="13" t="n">
        <v>10</v>
      </c>
      <c r="CS997" s="13" t="n">
        <v>10.1</v>
      </c>
      <c r="CT997" s="11" t="inlineStr">
        <is>
          <t xml:space="preserve"> On-Piste All-Mountain</t>
        </is>
      </c>
      <c r="CU997" s="11" t="inlineStr">
        <is>
          <t xml:space="preserve"> Resort Freeride</t>
        </is>
      </c>
      <c r="CV997" s="11" t="inlineStr">
        <is>
          <t xml:space="preserve"> Touring</t>
        </is>
      </c>
      <c r="CW997" s="13" t="n"/>
      <c r="CX997">
        <f>INDEX('Data_Price '!AG$2:AG$1266,MATCH(Data!$DN997,'Data_Price '!$AT$2:$AT$1266,0))</f>
        <v/>
      </c>
      <c r="CY997">
        <f>INDEX('Data_Price '!AH$2:AH$1266,MATCH(Data!$DN997,'Data_Price '!$AT$2:$AT$1266,0))</f>
        <v/>
      </c>
      <c r="CZ997">
        <f>INDEX('Data_Price '!AI$2:AI$1266,MATCH(Data!$DN997,'Data_Price '!$AT$2:$AT$1266,0))</f>
        <v/>
      </c>
      <c r="DA997">
        <f>INDEX('Data_Price '!AJ$2:AJ$1266,MATCH(Data!$DN997,'Data_Price '!$AT$2:$AT$1266,0))</f>
        <v/>
      </c>
      <c r="DB997">
        <f>INDEX('Data_Price '!AK$2:AK$1266,MATCH(Data!$DN997,'Data_Price '!$AT$2:$AT$1266,0))</f>
        <v/>
      </c>
      <c r="DC997">
        <f>INDEX('Data_Price '!AL$2:AL$1266,MATCH(Data!$DN997,'Data_Price '!$AT$2:$AT$1266,0))</f>
        <v/>
      </c>
      <c r="DD997">
        <f>INDEX('Data_Price '!AM$2:AM$1266,MATCH(Data!$DN997,'Data_Price '!$AT$2:$AT$1266,0))</f>
        <v/>
      </c>
      <c r="DE997">
        <f>INDEX('Data_Price '!AN$2:AN$1266,MATCH(Data!$DN997,'Data_Price '!$AT$2:$AT$1266,0))</f>
        <v/>
      </c>
      <c r="DF997">
        <f>INDEX('Data_Price '!AO$2:AO$1266,MATCH(Data!$DN997,'Data_Price '!$AT$2:$AT$1266,0))</f>
        <v/>
      </c>
      <c r="DG997">
        <f>INDEX('Data_Price '!AP$2:AP$1266,MATCH(Data!$DN997,'Data_Price '!$AT$2:$AT$1266,0))</f>
        <v/>
      </c>
      <c r="DH997">
        <f>INDEX('Data_Price '!AQ$2:AQ$1266,MATCH(Data!$DN997,'Data_Price '!$AT$2:$AT$1266,0))</f>
        <v/>
      </c>
      <c r="DI997">
        <f>INDEX('Data_Price '!AR$2:AR$1266,MATCH(Data!$DN997,'Data_Price '!$AT$2:$AT$1266,0))</f>
        <v/>
      </c>
      <c r="DJ997" s="138">
        <f>DA997</f>
        <v/>
      </c>
      <c r="DK997" s="138">
        <f>DE997</f>
        <v/>
      </c>
      <c r="DL997" s="138">
        <f>DI997</f>
        <v/>
      </c>
      <c r="DM997" s="303">
        <f>IF(LEFT(BT997,1)=" ",RIGHT(BT997,LEN(BT997)-1),BT997)</f>
        <v/>
      </c>
      <c r="DN997" s="138">
        <f>_xlfn.CONCAT(BS997,DM997,BU997,BV997)</f>
        <v/>
      </c>
      <c r="DO997" s="307" t="inlineStr">
        <is>
          <t>https://images.evo.com/imgp/250/190066/803373/clone.jpg</t>
        </is>
      </c>
    </row>
    <row r="998" ht="15.6" customHeight="1" s="184">
      <c r="B998" s="303">
        <f t="array" ref="B998">IF(OR(ISERROR(K998:P998)),FALSE,TRUE)</f>
        <v/>
      </c>
      <c r="C998" s="60">
        <f>OR(BR998=Driver!$G$50,Data!BR607=Driver!$H$50)</f>
        <v/>
      </c>
      <c r="D998" s="60">
        <f>OR(BV998=Driver!$G$51,BV998=Driver!$H$51)</f>
        <v/>
      </c>
      <c r="E998" s="60">
        <f>AND(BX998&gt;Driver!$F$54,BX998&lt;Driver!$G$54)</f>
        <v/>
      </c>
      <c r="F998" s="60">
        <f>CL998&gt;Driver!$F$56</f>
        <v/>
      </c>
      <c r="G998" s="60">
        <f>AND(CB998&gt;Driver!$F$55,CB998&lt;Driver!$G$55)</f>
        <v/>
      </c>
      <c r="H998" s="60">
        <f>AND(B998:G998)</f>
        <v/>
      </c>
      <c r="I998" s="60">
        <f>COUNTIFS($H$9:$H$1273,TRUE,$BT$9:$BT$1273,BT998)</f>
        <v/>
      </c>
      <c r="J998" s="60">
        <f t="array" ref="J998">NOT(OR(($H$9:$H$1273=TRUE)*($I$9:$I$1273&gt;0)*($BT$9:$BT$1273=BT998)*($K$9:$K$1273&gt;K998)))</f>
        <v/>
      </c>
      <c r="K998" s="108">
        <f>IFERROR(1-AVERAGE(X998:Y998),"")</f>
        <v/>
      </c>
      <c r="L998" s="108">
        <f>1-X998</f>
        <v/>
      </c>
      <c r="M998" s="108">
        <f>1-Y998</f>
        <v/>
      </c>
      <c r="N998" s="108">
        <f>1-Z998</f>
        <v/>
      </c>
      <c r="O998" s="108">
        <f>1-AA998</f>
        <v/>
      </c>
      <c r="P998" s="108">
        <f>1-AB998</f>
        <v/>
      </c>
      <c r="Q998" s="108" t="n"/>
      <c r="R998" s="108" t="n"/>
      <c r="S998" s="108">
        <f>1-AE998</f>
        <v/>
      </c>
      <c r="T998" s="108">
        <f>1-AF998</f>
        <v/>
      </c>
      <c r="U998" s="108">
        <f>1-AG998</f>
        <v/>
      </c>
      <c r="V998" s="108">
        <f>1-AH998</f>
        <v/>
      </c>
      <c r="W998" s="108">
        <f>1-AI998</f>
        <v/>
      </c>
      <c r="X998" s="108">
        <f>ABS(AJ998-AJ$1)</f>
        <v/>
      </c>
      <c r="Y998" s="108">
        <f>AVERAGE(Z998:AB998)</f>
        <v/>
      </c>
      <c r="Z998" s="108">
        <f>ABS(AL998-AL$1)</f>
        <v/>
      </c>
      <c r="AA998" s="108">
        <f>ABS(AM998-AM$1)</f>
        <v/>
      </c>
      <c r="AB998" s="108">
        <f>ABS(AN998-AN$1)</f>
        <v/>
      </c>
      <c r="AC998" s="108" t="n"/>
      <c r="AD998" s="108" t="n"/>
      <c r="AE998" s="108">
        <f>ABS(AQ$1-AQ998)</f>
        <v/>
      </c>
      <c r="AF998" s="108">
        <f>ABS(AR$1-AR998)</f>
        <v/>
      </c>
      <c r="AG998" s="108">
        <f>ABS(AS$1-AS998)</f>
        <v/>
      </c>
      <c r="AH998" s="108">
        <f>ABS(AT$1-AT998)</f>
        <v/>
      </c>
      <c r="AI998" s="108">
        <f>ABS(AU$1-AU998)</f>
        <v/>
      </c>
      <c r="AJ998" s="108">
        <f>(AV998-Driver!$K$179)/(Driver!$L$179-Driver!$K$179)</f>
        <v/>
      </c>
      <c r="AK998" s="108">
        <f>(AW998-Driver!$K$180)/(Driver!$L$180-Driver!$K$180)</f>
        <v/>
      </c>
      <c r="AL998" s="108">
        <f>(AX998-Driver!$K$181)/(Driver!$L$181-Driver!$K$181)</f>
        <v/>
      </c>
      <c r="AM998" s="108">
        <f>(AY998-Driver!$K$182)/(Driver!$L$182-Driver!$K$182)</f>
        <v/>
      </c>
      <c r="AN998" s="108">
        <f>(AZ998-Driver!$K$183)/(Driver!$L$183-Driver!$K$183)</f>
        <v/>
      </c>
      <c r="AO998" s="108" t="n"/>
      <c r="AP998" s="108" t="n"/>
      <c r="AQ998" s="108">
        <f>(BC998-Driver!$K$188)/(Driver!$L$188-Driver!$K$188)</f>
        <v/>
      </c>
      <c r="AR998" s="108">
        <f>MIN((BD998-Driver!$K$189)/(Driver!$L$189-Driver!$K$189),100%)</f>
        <v/>
      </c>
      <c r="AS998" s="108">
        <f>(BE998-Driver!$K$190)/(Driver!$L$190-Driver!$K$190)</f>
        <v/>
      </c>
      <c r="AT998" s="108">
        <f>(BF998-Driver!$K$191)/(Driver!$L$191-Driver!$K$191)</f>
        <v/>
      </c>
      <c r="AU998" s="108">
        <f>(BG998-Driver!$K$192)/(Driver!$L$192-Driver!$K$192)</f>
        <v/>
      </c>
      <c r="AV998" s="105">
        <f>IFERROR(BM998*BJ998^1/4,"")</f>
        <v/>
      </c>
      <c r="AW998" s="105">
        <f>IFERROR(SUM(AX998:AZ998),"")</f>
        <v/>
      </c>
      <c r="AX998" s="105">
        <f>IFERROR(BH998,"")</f>
        <v/>
      </c>
      <c r="AY998" s="105">
        <f>IFERROR(Driver!$K$19/Data!BH998/Data!BI998*Data!BK998*Data!BL998,"")</f>
        <v/>
      </c>
      <c r="AZ998" s="105">
        <f>IFERROR(BI998*BN998,"")</f>
        <v/>
      </c>
      <c r="BA998" s="105" t="n"/>
      <c r="BB998" s="105" t="n"/>
      <c r="BC998" s="105">
        <f>IFERROR(BI998*BN998*BK998/BJ998^(1/2),"")</f>
        <v/>
      </c>
      <c r="BD998" s="105">
        <f>IFERROR(BH998*BM998*BL998/BJ998/BK998,"")</f>
        <v/>
      </c>
      <c r="BE998" s="105">
        <f>IFERROR(MIN(BI998/BQ998/BP998/BO998/BH998,$BE$1),"")</f>
        <v/>
      </c>
      <c r="BF998" s="105">
        <f>IFERROR(BJ998*BO998*BP998/BK998,"")</f>
        <v/>
      </c>
      <c r="BG998" s="105">
        <f>IFERROR(1/BM998/BH998*BQ998,"")</f>
        <v/>
      </c>
      <c r="BH998" s="102">
        <f>MAX((CE998-Driver!$F$200)/(Driver!$G$200-Driver!$F$200)*$BI$1,1)</f>
        <v/>
      </c>
      <c r="BI998" s="102">
        <f>MAX($BI$1*(BY998-Driver!$F$201)/(Driver!$G$201-Driver!$F$201),1)</f>
        <v/>
      </c>
      <c r="BJ998" s="102">
        <f>(CB998-Driver!$F$206)/(Driver!$G$206-Driver!$F$206)*$BI$1</f>
        <v/>
      </c>
      <c r="BK998" s="102">
        <f>(CD998-Driver!$F$203)/(Driver!$G$203-Driver!$F$203)*$BI$1</f>
        <v/>
      </c>
      <c r="BL998" s="102">
        <f>MAX((CR998-Driver!$F$202)/(Driver!$G$202-Driver!$F$202)*$BI$1,1)</f>
        <v/>
      </c>
      <c r="BM998" s="102">
        <f>MAX((CH998-Driver!$F$204)/(Driver!$G$204-Driver!$F$204)*$BI$1,1)</f>
        <v/>
      </c>
      <c r="BN998" s="102">
        <f>(CI998-Driver!$F$205)/(Driver!$G$205-Driver!$F$205)*$BI$1</f>
        <v/>
      </c>
      <c r="BO998" s="102">
        <f>(CK998-Driver!$F$207)/(Driver!$G$207-Driver!$F$207)*$BI$1</f>
        <v/>
      </c>
      <c r="BP998" s="102">
        <f>(CM998-Driver!$F$208)/(Driver!$G$208-Driver!$F$208)*$BI$1</f>
        <v/>
      </c>
      <c r="BQ998" s="102">
        <f>(CL998-Driver!$F$209)/(Driver!$G$209-Driver!$F$209)*$BI$1</f>
        <v/>
      </c>
      <c r="BR998" s="40" t="inlineStr">
        <is>
          <t>21/22</t>
        </is>
      </c>
      <c r="BS998" s="10" t="inlineStr">
        <is>
          <t xml:space="preserve"> Head</t>
        </is>
      </c>
      <c r="BT998" s="11" t="inlineStr">
        <is>
          <t>Kore 117</t>
        </is>
      </c>
      <c r="BU998" s="13" t="n">
        <v>177</v>
      </c>
      <c r="BV998" s="11" t="inlineStr">
        <is>
          <t xml:space="preserve"> Unisex</t>
        </is>
      </c>
      <c r="BW998" s="13" t="n">
        <v>177</v>
      </c>
      <c r="BX998" s="13" t="n">
        <v>175.7</v>
      </c>
      <c r="BY998" s="13" t="n">
        <v>111</v>
      </c>
      <c r="BZ998" s="13" t="n">
        <v>137</v>
      </c>
      <c r="CA998" s="13" t="n">
        <v>142</v>
      </c>
      <c r="CB998" s="13" t="n">
        <v>114</v>
      </c>
      <c r="CC998" s="13" t="n">
        <v>126</v>
      </c>
      <c r="CD998" s="13" t="n">
        <v>23</v>
      </c>
      <c r="CE998" s="13" t="n">
        <v>1835</v>
      </c>
      <c r="CF998" s="13" t="n">
        <v>1.17</v>
      </c>
      <c r="CG998" s="13" t="n">
        <v>2150</v>
      </c>
      <c r="CH998" s="13" t="n">
        <v>273</v>
      </c>
      <c r="CI998" s="13" t="n">
        <v>138</v>
      </c>
      <c r="CJ998" s="13" t="n">
        <v>67</v>
      </c>
      <c r="CK998" s="13" t="n">
        <v>285</v>
      </c>
      <c r="CL998" s="13" t="n">
        <v>21</v>
      </c>
      <c r="CM998" s="13" t="n">
        <v>365</v>
      </c>
      <c r="CN998" s="13" t="n">
        <v>0.309</v>
      </c>
      <c r="CO998" s="13" t="n">
        <v>233</v>
      </c>
      <c r="CP998" s="13" t="n">
        <v>152</v>
      </c>
      <c r="CQ998" s="13" t="n">
        <v>52</v>
      </c>
      <c r="CR998" s="13" t="n">
        <v>4</v>
      </c>
      <c r="CS998" s="13" t="n">
        <v>6.6</v>
      </c>
      <c r="CT998" s="11" t="inlineStr">
        <is>
          <t xml:space="preserve"> Big Mountain</t>
        </is>
      </c>
      <c r="CU998" s="11" t="inlineStr">
        <is>
          <t xml:space="preserve"> Touring</t>
        </is>
      </c>
      <c r="CV998" s="13" t="n"/>
      <c r="CW998" s="13" t="n"/>
      <c r="CX998">
        <f>INDEX('Data_Price '!AG$2:AG$1266,MATCH(Data!$DN998,'Data_Price '!$AT$2:$AT$1266,0))</f>
        <v/>
      </c>
      <c r="CY998">
        <f>INDEX('Data_Price '!AH$2:AH$1266,MATCH(Data!$DN998,'Data_Price '!$AT$2:$AT$1266,0))</f>
        <v/>
      </c>
      <c r="CZ998">
        <f>INDEX('Data_Price '!AI$2:AI$1266,MATCH(Data!$DN998,'Data_Price '!$AT$2:$AT$1266,0))</f>
        <v/>
      </c>
      <c r="DA998">
        <f>INDEX('Data_Price '!AJ$2:AJ$1266,MATCH(Data!$DN998,'Data_Price '!$AT$2:$AT$1266,0))</f>
        <v/>
      </c>
      <c r="DB998">
        <f>INDEX('Data_Price '!AK$2:AK$1266,MATCH(Data!$DN998,'Data_Price '!$AT$2:$AT$1266,0))</f>
        <v/>
      </c>
      <c r="DC998">
        <f>INDEX('Data_Price '!AL$2:AL$1266,MATCH(Data!$DN998,'Data_Price '!$AT$2:$AT$1266,0))</f>
        <v/>
      </c>
      <c r="DD998">
        <f>INDEX('Data_Price '!AM$2:AM$1266,MATCH(Data!$DN998,'Data_Price '!$AT$2:$AT$1266,0))</f>
        <v/>
      </c>
      <c r="DE998">
        <f>INDEX('Data_Price '!AN$2:AN$1266,MATCH(Data!$DN998,'Data_Price '!$AT$2:$AT$1266,0))</f>
        <v/>
      </c>
      <c r="DF998">
        <f>INDEX('Data_Price '!AO$2:AO$1266,MATCH(Data!$DN998,'Data_Price '!$AT$2:$AT$1266,0))</f>
        <v/>
      </c>
      <c r="DG998">
        <f>INDEX('Data_Price '!AP$2:AP$1266,MATCH(Data!$DN998,'Data_Price '!$AT$2:$AT$1266,0))</f>
        <v/>
      </c>
      <c r="DH998">
        <f>INDEX('Data_Price '!AQ$2:AQ$1266,MATCH(Data!$DN998,'Data_Price '!$AT$2:$AT$1266,0))</f>
        <v/>
      </c>
      <c r="DI998">
        <f>INDEX('Data_Price '!AR$2:AR$1266,MATCH(Data!$DN998,'Data_Price '!$AT$2:$AT$1266,0))</f>
        <v/>
      </c>
      <c r="DJ998" s="138">
        <f>DA998</f>
        <v/>
      </c>
      <c r="DK998" s="138">
        <f>DE998</f>
        <v/>
      </c>
      <c r="DL998" s="138">
        <f>DI998</f>
        <v/>
      </c>
      <c r="DM998" s="303">
        <f>IF(LEFT(BT998,1)=" ",RIGHT(BT998,LEN(BT998)-1),BT998)</f>
        <v/>
      </c>
      <c r="DN998" s="138">
        <f>_xlfn.CONCAT(BS998,DM998,BU998,BV998)</f>
        <v/>
      </c>
      <c r="DO998" s="307" t="inlineStr">
        <is>
          <t>https://images.evo.com/imgp/250/208267/832638/head-kore-117-skis-2022-.jpg</t>
        </is>
      </c>
    </row>
    <row r="999" ht="15.6" customHeight="1" s="184">
      <c r="B999" s="303">
        <f t="array" ref="B999">IF(OR(ISERROR(K999:P999)),FALSE,TRUE)</f>
        <v/>
      </c>
      <c r="C999" s="60">
        <f>OR(BR999=Driver!$G$50,Data!BR1152=Driver!$H$50)</f>
        <v/>
      </c>
      <c r="D999" s="60">
        <f>OR(BV999=Driver!$G$51,BV999=Driver!$H$51)</f>
        <v/>
      </c>
      <c r="E999" s="60">
        <f>AND(BX999&gt;Driver!$F$54,BX999&lt;Driver!$G$54)</f>
        <v/>
      </c>
      <c r="F999" s="60">
        <f>CL999&gt;Driver!$F$56</f>
        <v/>
      </c>
      <c r="G999" s="60">
        <f>AND(CB999&gt;Driver!$F$55,CB999&lt;Driver!$G$55)</f>
        <v/>
      </c>
      <c r="H999" s="60">
        <f>AND(B999:G999)</f>
        <v/>
      </c>
      <c r="I999" s="60">
        <f>COUNTIFS($H$9:$H$1273,TRUE,$BT$9:$BT$1273,BT999)</f>
        <v/>
      </c>
      <c r="J999" s="60">
        <f t="array" ref="J999">NOT(OR(($H$9:$H$1273=TRUE)*($I$9:$I$1273&gt;0)*($BT$9:$BT$1273=BT999)*($K$9:$K$1273&gt;K999)))</f>
        <v/>
      </c>
      <c r="K999" s="108">
        <f>IFERROR(1-AVERAGE(X999:Y999),"")</f>
        <v/>
      </c>
      <c r="L999" s="108">
        <f>1-X999</f>
        <v/>
      </c>
      <c r="M999" s="108">
        <f>1-Y999</f>
        <v/>
      </c>
      <c r="N999" s="108">
        <f>1-Z999</f>
        <v/>
      </c>
      <c r="O999" s="108">
        <f>1-AA999</f>
        <v/>
      </c>
      <c r="P999" s="108">
        <f>1-AB999</f>
        <v/>
      </c>
      <c r="Q999" s="108" t="n"/>
      <c r="R999" s="108" t="n"/>
      <c r="S999" s="108">
        <f>1-AE999</f>
        <v/>
      </c>
      <c r="T999" s="108">
        <f>1-AF999</f>
        <v/>
      </c>
      <c r="U999" s="108">
        <f>1-AG999</f>
        <v/>
      </c>
      <c r="V999" s="108">
        <f>1-AH999</f>
        <v/>
      </c>
      <c r="W999" s="108">
        <f>1-AI999</f>
        <v/>
      </c>
      <c r="X999" s="108">
        <f>ABS(AJ999-AJ$1)</f>
        <v/>
      </c>
      <c r="Y999" s="108">
        <f>AVERAGE(Z999:AB999)</f>
        <v/>
      </c>
      <c r="Z999" s="108">
        <f>ABS(AL999-AL$1)</f>
        <v/>
      </c>
      <c r="AA999" s="108">
        <f>ABS(AM999-AM$1)</f>
        <v/>
      </c>
      <c r="AB999" s="108">
        <f>ABS(AN999-AN$1)</f>
        <v/>
      </c>
      <c r="AC999" s="108" t="n"/>
      <c r="AD999" s="108" t="n"/>
      <c r="AE999" s="108">
        <f>ABS(AQ$1-AQ999)</f>
        <v/>
      </c>
      <c r="AF999" s="108">
        <f>ABS(AR$1-AR999)</f>
        <v/>
      </c>
      <c r="AG999" s="108">
        <f>ABS(AS$1-AS999)</f>
        <v/>
      </c>
      <c r="AH999" s="108">
        <f>ABS(AT$1-AT999)</f>
        <v/>
      </c>
      <c r="AI999" s="108">
        <f>ABS(AU$1-AU999)</f>
        <v/>
      </c>
      <c r="AJ999" s="108">
        <f>(AV999-Driver!$K$179)/(Driver!$L$179-Driver!$K$179)</f>
        <v/>
      </c>
      <c r="AK999" s="108">
        <f>(AW999-Driver!$K$180)/(Driver!$L$180-Driver!$K$180)</f>
        <v/>
      </c>
      <c r="AL999" s="108">
        <f>(AX999-Driver!$K$181)/(Driver!$L$181-Driver!$K$181)</f>
        <v/>
      </c>
      <c r="AM999" s="108">
        <f>(AY999-Driver!$K$182)/(Driver!$L$182-Driver!$K$182)</f>
        <v/>
      </c>
      <c r="AN999" s="108">
        <f>(AZ999-Driver!$K$183)/(Driver!$L$183-Driver!$K$183)</f>
        <v/>
      </c>
      <c r="AO999" s="108" t="n"/>
      <c r="AP999" s="108" t="n"/>
      <c r="AQ999" s="108">
        <f>(BC999-Driver!$K$188)/(Driver!$L$188-Driver!$K$188)</f>
        <v/>
      </c>
      <c r="AR999" s="108">
        <f>MIN((BD999-Driver!$K$189)/(Driver!$L$189-Driver!$K$189),100%)</f>
        <v/>
      </c>
      <c r="AS999" s="108">
        <f>(BE999-Driver!$K$190)/(Driver!$L$190-Driver!$K$190)</f>
        <v/>
      </c>
      <c r="AT999" s="108">
        <f>(BF999-Driver!$K$191)/(Driver!$L$191-Driver!$K$191)</f>
        <v/>
      </c>
      <c r="AU999" s="108">
        <f>(BG999-Driver!$K$192)/(Driver!$L$192-Driver!$K$192)</f>
        <v/>
      </c>
      <c r="AV999" s="105">
        <f>IFERROR(BM999*BJ999^1/4,"")</f>
        <v/>
      </c>
      <c r="AW999" s="105">
        <f>IFERROR(SUM(AX999:AZ999),"")</f>
        <v/>
      </c>
      <c r="AX999" s="105">
        <f>IFERROR(BH999,"")</f>
        <v/>
      </c>
      <c r="AY999" s="105">
        <f>IFERROR(Driver!$K$19/Data!BH999/Data!BI999*Data!BK999*Data!BL999,"")</f>
        <v/>
      </c>
      <c r="AZ999" s="105">
        <f>IFERROR(BI999*BN999,"")</f>
        <v/>
      </c>
      <c r="BA999" s="105" t="n"/>
      <c r="BB999" s="105" t="n"/>
      <c r="BC999" s="105">
        <f>IFERROR(BI999*BN999*BK999/BJ999^(1/2),"")</f>
        <v/>
      </c>
      <c r="BD999" s="105">
        <f>IFERROR(BH999*BM999*BL999/BJ999/BK999,"")</f>
        <v/>
      </c>
      <c r="BE999" s="105">
        <f>IFERROR(MIN(BI999/BQ999/BP999/BO999/BH999,$BE$1),"")</f>
        <v/>
      </c>
      <c r="BF999" s="105">
        <f>IFERROR(BJ999*BO999*BP999/BK999,"")</f>
        <v/>
      </c>
      <c r="BG999" s="105">
        <f>IFERROR(1/BM999/BH999*BQ999,"")</f>
        <v/>
      </c>
      <c r="BH999" s="102">
        <f>MAX((CE999-Driver!$F$200)/(Driver!$G$200-Driver!$F$200)*$BI$1,1)</f>
        <v/>
      </c>
      <c r="BI999" s="102">
        <f>MAX($BI$1*(BY999-Driver!$F$201)/(Driver!$G$201-Driver!$F$201),1)</f>
        <v/>
      </c>
      <c r="BJ999" s="102">
        <f>(CB999-Driver!$F$206)/(Driver!$G$206-Driver!$F$206)*$BI$1</f>
        <v/>
      </c>
      <c r="BK999" s="102">
        <f>(CD999-Driver!$F$203)/(Driver!$G$203-Driver!$F$203)*$BI$1</f>
        <v/>
      </c>
      <c r="BL999" s="102">
        <f>MAX((CR999-Driver!$F$202)/(Driver!$G$202-Driver!$F$202)*$BI$1,1)</f>
        <v/>
      </c>
      <c r="BM999" s="102">
        <f>MAX((CH999-Driver!$F$204)/(Driver!$G$204-Driver!$F$204)*$BI$1,1)</f>
        <v/>
      </c>
      <c r="BN999" s="102">
        <f>(CI999-Driver!$F$205)/(Driver!$G$205-Driver!$F$205)*$BI$1</f>
        <v/>
      </c>
      <c r="BO999" s="102">
        <f>(CK999-Driver!$F$207)/(Driver!$G$207-Driver!$F$207)*$BI$1</f>
        <v/>
      </c>
      <c r="BP999" s="102">
        <f>(CM999-Driver!$F$208)/(Driver!$G$208-Driver!$F$208)*$BI$1</f>
        <v/>
      </c>
      <c r="BQ999" s="102">
        <f>(CL999-Driver!$F$209)/(Driver!$G$209-Driver!$F$209)*$BI$1</f>
        <v/>
      </c>
      <c r="BR999" s="40" t="inlineStr">
        <is>
          <t>21/22</t>
        </is>
      </c>
      <c r="BS999" s="10" t="inlineStr">
        <is>
          <t xml:space="preserve"> Völkl</t>
        </is>
      </c>
      <c r="BT999" s="11" t="inlineStr">
        <is>
          <t>Bash 86 W</t>
        </is>
      </c>
      <c r="BU999" s="13" t="n">
        <v>148</v>
      </c>
      <c r="BV999" s="11" t="inlineStr">
        <is>
          <t xml:space="preserve"> Women's</t>
        </is>
      </c>
      <c r="BW999" s="13" t="n">
        <v>148</v>
      </c>
      <c r="BX999" s="13" t="n">
        <v>147.8</v>
      </c>
      <c r="BY999" s="13" t="n">
        <v>110</v>
      </c>
      <c r="BZ999" s="13" t="n">
        <v>133</v>
      </c>
      <c r="CA999" s="13" t="n">
        <v>119</v>
      </c>
      <c r="CB999" s="13" t="n">
        <v>85</v>
      </c>
      <c r="CC999" s="13" t="n">
        <v>109</v>
      </c>
      <c r="CD999" s="13" t="n">
        <v>14.7</v>
      </c>
      <c r="CE999" s="13" t="n">
        <v>1429</v>
      </c>
      <c r="CF999" s="13" t="n">
        <v>0.99</v>
      </c>
      <c r="CG999" s="13" t="n">
        <v>1414</v>
      </c>
      <c r="CH999" s="13" t="n">
        <v>144</v>
      </c>
      <c r="CI999" s="13" t="n">
        <v>68</v>
      </c>
      <c r="CJ999" s="13" t="n">
        <v>39</v>
      </c>
      <c r="CK999" s="13" t="n">
        <v>205</v>
      </c>
      <c r="CL999" s="13" t="n">
        <v>39</v>
      </c>
      <c r="CM999" s="13" t="n">
        <v>177</v>
      </c>
      <c r="CN999" s="13" t="n">
        <v>1.003</v>
      </c>
      <c r="CO999" s="13" t="n">
        <v>78</v>
      </c>
      <c r="CP999" s="13" t="n">
        <v>71</v>
      </c>
      <c r="CQ999" s="13" t="n">
        <v>127</v>
      </c>
      <c r="CR999" s="13" t="n">
        <v>3</v>
      </c>
      <c r="CS999" s="13" t="n">
        <v>1.9</v>
      </c>
      <c r="CT999" s="11" t="inlineStr">
        <is>
          <t xml:space="preserve"> Freeski</t>
        </is>
      </c>
      <c r="CU999" s="13" t="n"/>
      <c r="CV999" s="13" t="n"/>
      <c r="CW999" s="13" t="n"/>
      <c r="CX999">
        <f>INDEX('Data_Price '!AG$2:AG$1266,MATCH(Data!$DN999,'Data_Price '!$AT$2:$AT$1266,0))</f>
        <v/>
      </c>
      <c r="CY999">
        <f>INDEX('Data_Price '!AH$2:AH$1266,MATCH(Data!$DN999,'Data_Price '!$AT$2:$AT$1266,0))</f>
        <v/>
      </c>
      <c r="CZ999">
        <f>INDEX('Data_Price '!AI$2:AI$1266,MATCH(Data!$DN999,'Data_Price '!$AT$2:$AT$1266,0))</f>
        <v/>
      </c>
      <c r="DA999">
        <f>INDEX('Data_Price '!AJ$2:AJ$1266,MATCH(Data!$DN999,'Data_Price '!$AT$2:$AT$1266,0))</f>
        <v/>
      </c>
      <c r="DB999">
        <f>INDEX('Data_Price '!AK$2:AK$1266,MATCH(Data!$DN999,'Data_Price '!$AT$2:$AT$1266,0))</f>
        <v/>
      </c>
      <c r="DC999">
        <f>INDEX('Data_Price '!AL$2:AL$1266,MATCH(Data!$DN999,'Data_Price '!$AT$2:$AT$1266,0))</f>
        <v/>
      </c>
      <c r="DD999">
        <f>INDEX('Data_Price '!AM$2:AM$1266,MATCH(Data!$DN999,'Data_Price '!$AT$2:$AT$1266,0))</f>
        <v/>
      </c>
      <c r="DE999">
        <f>INDEX('Data_Price '!AN$2:AN$1266,MATCH(Data!$DN999,'Data_Price '!$AT$2:$AT$1266,0))</f>
        <v/>
      </c>
      <c r="DF999">
        <f>INDEX('Data_Price '!AO$2:AO$1266,MATCH(Data!$DN999,'Data_Price '!$AT$2:$AT$1266,0))</f>
        <v/>
      </c>
      <c r="DG999">
        <f>INDEX('Data_Price '!AP$2:AP$1266,MATCH(Data!$DN999,'Data_Price '!$AT$2:$AT$1266,0))</f>
        <v/>
      </c>
      <c r="DH999">
        <f>INDEX('Data_Price '!AQ$2:AQ$1266,MATCH(Data!$DN999,'Data_Price '!$AT$2:$AT$1266,0))</f>
        <v/>
      </c>
      <c r="DI999">
        <f>INDEX('Data_Price '!AR$2:AR$1266,MATCH(Data!$DN999,'Data_Price '!$AT$2:$AT$1266,0))</f>
        <v/>
      </c>
      <c r="DJ999" s="138">
        <f>DA999</f>
        <v/>
      </c>
      <c r="DK999" s="138">
        <f>DE999</f>
        <v/>
      </c>
      <c r="DL999" s="138">
        <f>DI999</f>
        <v/>
      </c>
      <c r="DM999" s="303">
        <f>IF(LEFT(BT999,1)=" ",RIGHT(BT999,LEN(BT999)-1),BT999)</f>
        <v/>
      </c>
      <c r="DN999" s="138">
        <f>_xlfn.CONCAT(BS999,DM999,BU999,BV999)</f>
        <v/>
      </c>
      <c r="DO999" s="307" t="inlineStr">
        <is>
          <t>https://images.evo.com/imgp/250/183431/726761/volkl-bash-86-w-skis-women-s-2022-.jpg</t>
        </is>
      </c>
    </row>
    <row r="1000" ht="15.6" customHeight="1" s="184">
      <c r="B1000" s="303">
        <f t="array" ref="B1000">IF(OR(ISERROR(K1000:P1000)),FALSE,TRUE)</f>
        <v/>
      </c>
      <c r="C1000" s="60">
        <f>OR(BR1000=Driver!$G$50,Data!BR95=Driver!$H$50)</f>
        <v/>
      </c>
      <c r="D1000" s="60">
        <f>OR(BV1000=Driver!$G$51,BV1000=Driver!$H$51)</f>
        <v/>
      </c>
      <c r="E1000" s="60">
        <f>AND(BX1000&gt;Driver!$F$54,BX1000&lt;Driver!$G$54)</f>
        <v/>
      </c>
      <c r="F1000" s="60">
        <f>CL1000&gt;Driver!$F$56</f>
        <v/>
      </c>
      <c r="G1000" s="60">
        <f>AND(CB1000&gt;Driver!$F$55,CB1000&lt;Driver!$G$55)</f>
        <v/>
      </c>
      <c r="H1000" s="60">
        <f>AND(B1000:G1000)</f>
        <v/>
      </c>
      <c r="I1000" s="60">
        <f>COUNTIFS($H$9:$H$1273,TRUE,$BT$9:$BT$1273,BT1000)</f>
        <v/>
      </c>
      <c r="J1000" s="60">
        <f t="array" ref="J1000">NOT(OR(($H$9:$H$1273=TRUE)*($I$9:$I$1273&gt;0)*($BT$9:$BT$1273=BT1000)*($K$9:$K$1273&gt;K1000)))</f>
        <v/>
      </c>
      <c r="K1000" s="108">
        <f>IFERROR(1-AVERAGE(X1000:Y1000),"")</f>
        <v/>
      </c>
      <c r="L1000" s="108">
        <f>1-X1000</f>
        <v/>
      </c>
      <c r="M1000" s="108">
        <f>1-Y1000</f>
        <v/>
      </c>
      <c r="N1000" s="108">
        <f>1-Z1000</f>
        <v/>
      </c>
      <c r="O1000" s="108">
        <f>1-AA1000</f>
        <v/>
      </c>
      <c r="P1000" s="108">
        <f>1-AB1000</f>
        <v/>
      </c>
      <c r="Q1000" s="108" t="n"/>
      <c r="R1000" s="108" t="n"/>
      <c r="S1000" s="108">
        <f>1-AE1000</f>
        <v/>
      </c>
      <c r="T1000" s="108">
        <f>1-AF1000</f>
        <v/>
      </c>
      <c r="U1000" s="108">
        <f>1-AG1000</f>
        <v/>
      </c>
      <c r="V1000" s="108">
        <f>1-AH1000</f>
        <v/>
      </c>
      <c r="W1000" s="108">
        <f>1-AI1000</f>
        <v/>
      </c>
      <c r="X1000" s="108">
        <f>ABS(AJ1000-AJ$1)</f>
        <v/>
      </c>
      <c r="Y1000" s="108">
        <f>AVERAGE(Z1000:AB1000)</f>
        <v/>
      </c>
      <c r="Z1000" s="108">
        <f>ABS(AL1000-AL$1)</f>
        <v/>
      </c>
      <c r="AA1000" s="108">
        <f>ABS(AM1000-AM$1)</f>
        <v/>
      </c>
      <c r="AB1000" s="108">
        <f>ABS(AN1000-AN$1)</f>
        <v/>
      </c>
      <c r="AC1000" s="108" t="n"/>
      <c r="AD1000" s="108" t="n"/>
      <c r="AE1000" s="108">
        <f>ABS(AQ$1-AQ1000)</f>
        <v/>
      </c>
      <c r="AF1000" s="108">
        <f>ABS(AR$1-AR1000)</f>
        <v/>
      </c>
      <c r="AG1000" s="108">
        <f>ABS(AS$1-AS1000)</f>
        <v/>
      </c>
      <c r="AH1000" s="108">
        <f>ABS(AT$1-AT1000)</f>
        <v/>
      </c>
      <c r="AI1000" s="108">
        <f>ABS(AU$1-AU1000)</f>
        <v/>
      </c>
      <c r="AJ1000" s="108">
        <f>(AV1000-Driver!$K$179)/(Driver!$L$179-Driver!$K$179)</f>
        <v/>
      </c>
      <c r="AK1000" s="108">
        <f>(AW1000-Driver!$K$180)/(Driver!$L$180-Driver!$K$180)</f>
        <v/>
      </c>
      <c r="AL1000" s="108">
        <f>(AX1000-Driver!$K$181)/(Driver!$L$181-Driver!$K$181)</f>
        <v/>
      </c>
      <c r="AM1000" s="108">
        <f>(AY1000-Driver!$K$182)/(Driver!$L$182-Driver!$K$182)</f>
        <v/>
      </c>
      <c r="AN1000" s="108">
        <f>(AZ1000-Driver!$K$183)/(Driver!$L$183-Driver!$K$183)</f>
        <v/>
      </c>
      <c r="AO1000" s="108" t="n"/>
      <c r="AP1000" s="108" t="n"/>
      <c r="AQ1000" s="108">
        <f>(BC1000-Driver!$K$188)/(Driver!$L$188-Driver!$K$188)</f>
        <v/>
      </c>
      <c r="AR1000" s="108">
        <f>MIN((BD1000-Driver!$K$189)/(Driver!$L$189-Driver!$K$189),100%)</f>
        <v/>
      </c>
      <c r="AS1000" s="108">
        <f>(BE1000-Driver!$K$190)/(Driver!$L$190-Driver!$K$190)</f>
        <v/>
      </c>
      <c r="AT1000" s="108">
        <f>(BF1000-Driver!$K$191)/(Driver!$L$191-Driver!$K$191)</f>
        <v/>
      </c>
      <c r="AU1000" s="108">
        <f>(BG1000-Driver!$K$192)/(Driver!$L$192-Driver!$K$192)</f>
        <v/>
      </c>
      <c r="AV1000" s="105">
        <f>IFERROR(BM1000*BJ1000^1/4,"")</f>
        <v/>
      </c>
      <c r="AW1000" s="105">
        <f>IFERROR(SUM(AX1000:AZ1000),"")</f>
        <v/>
      </c>
      <c r="AX1000" s="105">
        <f>IFERROR(BH1000,"")</f>
        <v/>
      </c>
      <c r="AY1000" s="105">
        <f>IFERROR(Driver!$K$19/Data!BH1000/Data!BI1000*Data!BK1000*Data!BL1000,"")</f>
        <v/>
      </c>
      <c r="AZ1000" s="105">
        <f>IFERROR(BI1000*BN1000,"")</f>
        <v/>
      </c>
      <c r="BA1000" s="105" t="n"/>
      <c r="BB1000" s="105" t="n"/>
      <c r="BC1000" s="105">
        <f>IFERROR(BI1000*BN1000*BK1000/BJ1000^(1/2),"")</f>
        <v/>
      </c>
      <c r="BD1000" s="105">
        <f>IFERROR(BH1000*BM1000*BL1000/BJ1000/BK1000,"")</f>
        <v/>
      </c>
      <c r="BE1000" s="105">
        <f>IFERROR(MIN(BI1000/BQ1000/BP1000/BO1000/BH1000,$BE$1),"")</f>
        <v/>
      </c>
      <c r="BF1000" s="105">
        <f>IFERROR(BJ1000*BO1000*BP1000/BK1000,"")</f>
        <v/>
      </c>
      <c r="BG1000" s="105">
        <f>IFERROR(1/BM1000/BH1000*BQ1000,"")</f>
        <v/>
      </c>
      <c r="BH1000" s="102">
        <f>MAX((CE1000-Driver!$F$200)/(Driver!$G$200-Driver!$F$200)*$BI$1,1)</f>
        <v/>
      </c>
      <c r="BI1000" s="102">
        <f>MAX($BI$1*(BY1000-Driver!$F$201)/(Driver!$G$201-Driver!$F$201),1)</f>
        <v/>
      </c>
      <c r="BJ1000" s="102">
        <f>(CB1000-Driver!$F$206)/(Driver!$G$206-Driver!$F$206)*$BI$1</f>
        <v/>
      </c>
      <c r="BK1000" s="102">
        <f>(CD1000-Driver!$F$203)/(Driver!$G$203-Driver!$F$203)*$BI$1</f>
        <v/>
      </c>
      <c r="BL1000" s="102">
        <f>MAX((CR1000-Driver!$F$202)/(Driver!$G$202-Driver!$F$202)*$BI$1,1)</f>
        <v/>
      </c>
      <c r="BM1000" s="102">
        <f>MAX((CH1000-Driver!$F$204)/(Driver!$G$204-Driver!$F$204)*$BI$1,1)</f>
        <v/>
      </c>
      <c r="BN1000" s="102">
        <f>(CI1000-Driver!$F$205)/(Driver!$G$205-Driver!$F$205)*$BI$1</f>
        <v/>
      </c>
      <c r="BO1000" s="102">
        <f>(CK1000-Driver!$F$207)/(Driver!$G$207-Driver!$F$207)*$BI$1</f>
        <v/>
      </c>
      <c r="BP1000" s="102">
        <f>(CM1000-Driver!$F$208)/(Driver!$G$208-Driver!$F$208)*$BI$1</f>
        <v/>
      </c>
      <c r="BQ1000" s="102">
        <f>(CL1000-Driver!$F$209)/(Driver!$G$209-Driver!$F$209)*$BI$1</f>
        <v/>
      </c>
      <c r="BR1000" s="40" t="inlineStr">
        <is>
          <t>21/22</t>
        </is>
      </c>
      <c r="BS1000" s="10" t="inlineStr">
        <is>
          <t xml:space="preserve"> Armada</t>
        </is>
      </c>
      <c r="BT1000" s="11" t="inlineStr">
        <is>
          <t xml:space="preserve"> Tantrum</t>
        </is>
      </c>
      <c r="BU1000" s="13" t="n">
        <v>147</v>
      </c>
      <c r="BV1000" s="11" t="inlineStr">
        <is>
          <t xml:space="preserve"> Junior</t>
        </is>
      </c>
      <c r="BW1000" s="13" t="n">
        <v>147</v>
      </c>
      <c r="BX1000" s="13" t="n">
        <v>146</v>
      </c>
      <c r="BY1000" s="13" t="n">
        <v>96</v>
      </c>
      <c r="BZ1000" s="13" t="n">
        <v>106</v>
      </c>
      <c r="CA1000" s="13" t="n">
        <v>127</v>
      </c>
      <c r="CB1000" s="13" t="n">
        <v>98</v>
      </c>
      <c r="CC1000" s="13" t="n">
        <v>117</v>
      </c>
      <c r="CD1000" s="13" t="n">
        <v>10.1</v>
      </c>
      <c r="CE1000" s="13" t="n">
        <v>1409</v>
      </c>
      <c r="CF1000" s="13" t="n">
        <v>1.13</v>
      </c>
      <c r="CG1000" s="13" t="n">
        <v>1591</v>
      </c>
      <c r="CH1000" s="13" t="n">
        <v>123</v>
      </c>
      <c r="CI1000" s="13" t="n">
        <v>71</v>
      </c>
      <c r="CJ1000" s="13" t="n">
        <v>46</v>
      </c>
      <c r="CK1000" s="13" t="n">
        <v>349</v>
      </c>
      <c r="CL1000" s="13" t="n">
        <v>34</v>
      </c>
      <c r="CM1000" s="13" t="n">
        <v>152</v>
      </c>
      <c r="CN1000" s="13" t="n">
        <v>0.741</v>
      </c>
      <c r="CO1000" s="13" t="n">
        <v>262</v>
      </c>
      <c r="CP1000" s="13" t="n">
        <v>135</v>
      </c>
      <c r="CQ1000" s="13" t="n">
        <v>87</v>
      </c>
      <c r="CR1000" s="13" t="n">
        <v>8</v>
      </c>
      <c r="CS1000" s="13" t="n">
        <v>8</v>
      </c>
      <c r="CT1000" s="11" t="inlineStr">
        <is>
          <t xml:space="preserve"> Resort Freeride</t>
        </is>
      </c>
      <c r="CU1000" s="11" t="inlineStr">
        <is>
          <t xml:space="preserve"> Touring</t>
        </is>
      </c>
      <c r="CV1000" s="13" t="n"/>
      <c r="CW1000" s="13" t="n"/>
      <c r="CX1000">
        <f>INDEX('Data_Price '!AG$2:AG$1266,MATCH(Data!$DN1000,'Data_Price '!$AT$2:$AT$1266,0))</f>
        <v/>
      </c>
      <c r="CY1000">
        <f>INDEX('Data_Price '!AH$2:AH$1266,MATCH(Data!$DN1000,'Data_Price '!$AT$2:$AT$1266,0))</f>
        <v/>
      </c>
      <c r="CZ1000">
        <f>INDEX('Data_Price '!AI$2:AI$1266,MATCH(Data!$DN1000,'Data_Price '!$AT$2:$AT$1266,0))</f>
        <v/>
      </c>
      <c r="DA1000">
        <f>INDEX('Data_Price '!AJ$2:AJ$1266,MATCH(Data!$DN1000,'Data_Price '!$AT$2:$AT$1266,0))</f>
        <v/>
      </c>
      <c r="DB1000">
        <f>INDEX('Data_Price '!AK$2:AK$1266,MATCH(Data!$DN1000,'Data_Price '!$AT$2:$AT$1266,0))</f>
        <v/>
      </c>
      <c r="DC1000">
        <f>INDEX('Data_Price '!AL$2:AL$1266,MATCH(Data!$DN1000,'Data_Price '!$AT$2:$AT$1266,0))</f>
        <v/>
      </c>
      <c r="DD1000">
        <f>INDEX('Data_Price '!AM$2:AM$1266,MATCH(Data!$DN1000,'Data_Price '!$AT$2:$AT$1266,0))</f>
        <v/>
      </c>
      <c r="DE1000">
        <f>INDEX('Data_Price '!AN$2:AN$1266,MATCH(Data!$DN1000,'Data_Price '!$AT$2:$AT$1266,0))</f>
        <v/>
      </c>
      <c r="DF1000">
        <f>INDEX('Data_Price '!AO$2:AO$1266,MATCH(Data!$DN1000,'Data_Price '!$AT$2:$AT$1266,0))</f>
        <v/>
      </c>
      <c r="DG1000">
        <f>INDEX('Data_Price '!AP$2:AP$1266,MATCH(Data!$DN1000,'Data_Price '!$AT$2:$AT$1266,0))</f>
        <v/>
      </c>
      <c r="DH1000">
        <f>INDEX('Data_Price '!AQ$2:AQ$1266,MATCH(Data!$DN1000,'Data_Price '!$AT$2:$AT$1266,0))</f>
        <v/>
      </c>
      <c r="DI1000">
        <f>INDEX('Data_Price '!AR$2:AR$1266,MATCH(Data!$DN1000,'Data_Price '!$AT$2:$AT$1266,0))</f>
        <v/>
      </c>
      <c r="DJ1000" s="138">
        <f>DA1000</f>
        <v/>
      </c>
      <c r="DK1000" s="138">
        <f>DE1000</f>
        <v/>
      </c>
      <c r="DL1000" s="138">
        <f>DI1000</f>
        <v/>
      </c>
      <c r="DM1000" s="303">
        <f>IF(LEFT(BT1000,1)=" ",RIGHT(BT1000,LEN(BT1000)-1),BT1000)</f>
        <v/>
      </c>
      <c r="DN1000" s="138">
        <f>_xlfn.CONCAT(BS1000,DM1000,BU1000,BV1000)</f>
        <v/>
      </c>
      <c r="DO1000" s="307" t="inlineStr">
        <is>
          <t>https://images.evo.com/imgp/250/198726/839693/armada-tantrum-skis-boys-2022-.jpg</t>
        </is>
      </c>
    </row>
    <row r="1001" ht="15.6" customHeight="1" s="184">
      <c r="B1001" s="303">
        <f t="array" ref="B1001">IF(OR(ISERROR(K1001:P1001)),FALSE,TRUE)</f>
        <v/>
      </c>
      <c r="C1001" s="60">
        <f>OR(BR1001=Driver!$G$50,Data!BR301=Driver!$H$50)</f>
        <v/>
      </c>
      <c r="D1001" s="60">
        <f>OR(BV1001=Driver!$G$51,BV1001=Driver!$H$51)</f>
        <v/>
      </c>
      <c r="E1001" s="60">
        <f>AND(BX1001&gt;Driver!$F$54,BX1001&lt;Driver!$G$54)</f>
        <v/>
      </c>
      <c r="F1001" s="60">
        <f>CL1001&gt;Driver!$F$56</f>
        <v/>
      </c>
      <c r="G1001" s="60">
        <f>AND(CB1001&gt;Driver!$F$55,CB1001&lt;Driver!$G$55)</f>
        <v/>
      </c>
      <c r="H1001" s="60">
        <f>AND(B1001:G1001)</f>
        <v/>
      </c>
      <c r="I1001" s="60">
        <f>COUNTIFS($H$9:$H$1273,TRUE,$BT$9:$BT$1273,BT1001)</f>
        <v/>
      </c>
      <c r="J1001" s="60">
        <f t="array" ref="J1001">NOT(OR(($H$9:$H$1273=TRUE)*($I$9:$I$1273&gt;0)*($BT$9:$BT$1273=BT1001)*($K$9:$K$1273&gt;K1001)))</f>
        <v/>
      </c>
      <c r="K1001" s="108">
        <f>IFERROR(1-AVERAGE(X1001:Y1001),"")</f>
        <v/>
      </c>
      <c r="L1001" s="108">
        <f>1-X1001</f>
        <v/>
      </c>
      <c r="M1001" s="108">
        <f>1-Y1001</f>
        <v/>
      </c>
      <c r="N1001" s="108">
        <f>1-Z1001</f>
        <v/>
      </c>
      <c r="O1001" s="108">
        <f>1-AA1001</f>
        <v/>
      </c>
      <c r="P1001" s="108">
        <f>1-AB1001</f>
        <v/>
      </c>
      <c r="Q1001" s="108" t="n"/>
      <c r="R1001" s="108" t="n"/>
      <c r="S1001" s="108">
        <f>1-AE1001</f>
        <v/>
      </c>
      <c r="T1001" s="108">
        <f>1-AF1001</f>
        <v/>
      </c>
      <c r="U1001" s="108">
        <f>1-AG1001</f>
        <v/>
      </c>
      <c r="V1001" s="108">
        <f>1-AH1001</f>
        <v/>
      </c>
      <c r="W1001" s="108">
        <f>1-AI1001</f>
        <v/>
      </c>
      <c r="X1001" s="108">
        <f>ABS(AJ1001-AJ$1)</f>
        <v/>
      </c>
      <c r="Y1001" s="108">
        <f>AVERAGE(Z1001:AB1001)</f>
        <v/>
      </c>
      <c r="Z1001" s="108">
        <f>ABS(AL1001-AL$1)</f>
        <v/>
      </c>
      <c r="AA1001" s="108">
        <f>ABS(AM1001-AM$1)</f>
        <v/>
      </c>
      <c r="AB1001" s="108">
        <f>ABS(AN1001-AN$1)</f>
        <v/>
      </c>
      <c r="AC1001" s="108" t="n"/>
      <c r="AD1001" s="108" t="n"/>
      <c r="AE1001" s="108">
        <f>ABS(AQ$1-AQ1001)</f>
        <v/>
      </c>
      <c r="AF1001" s="108">
        <f>ABS(AR$1-AR1001)</f>
        <v/>
      </c>
      <c r="AG1001" s="108">
        <f>ABS(AS$1-AS1001)</f>
        <v/>
      </c>
      <c r="AH1001" s="108">
        <f>ABS(AT$1-AT1001)</f>
        <v/>
      </c>
      <c r="AI1001" s="108">
        <f>ABS(AU$1-AU1001)</f>
        <v/>
      </c>
      <c r="AJ1001" s="108">
        <f>(AV1001-Driver!$K$179)/(Driver!$L$179-Driver!$K$179)</f>
        <v/>
      </c>
      <c r="AK1001" s="108">
        <f>(AW1001-Driver!$K$180)/(Driver!$L$180-Driver!$K$180)</f>
        <v/>
      </c>
      <c r="AL1001" s="108">
        <f>(AX1001-Driver!$K$181)/(Driver!$L$181-Driver!$K$181)</f>
        <v/>
      </c>
      <c r="AM1001" s="108">
        <f>(AY1001-Driver!$K$182)/(Driver!$L$182-Driver!$K$182)</f>
        <v/>
      </c>
      <c r="AN1001" s="108">
        <f>(AZ1001-Driver!$K$183)/(Driver!$L$183-Driver!$K$183)</f>
        <v/>
      </c>
      <c r="AO1001" s="108" t="n"/>
      <c r="AP1001" s="108" t="n"/>
      <c r="AQ1001" s="108">
        <f>(BC1001-Driver!$K$188)/(Driver!$L$188-Driver!$K$188)</f>
        <v/>
      </c>
      <c r="AR1001" s="108">
        <f>MIN((BD1001-Driver!$K$189)/(Driver!$L$189-Driver!$K$189),100%)</f>
        <v/>
      </c>
      <c r="AS1001" s="108">
        <f>(BE1001-Driver!$K$190)/(Driver!$L$190-Driver!$K$190)</f>
        <v/>
      </c>
      <c r="AT1001" s="108">
        <f>(BF1001-Driver!$K$191)/(Driver!$L$191-Driver!$K$191)</f>
        <v/>
      </c>
      <c r="AU1001" s="108">
        <f>(BG1001-Driver!$K$192)/(Driver!$L$192-Driver!$K$192)</f>
        <v/>
      </c>
      <c r="AV1001" s="105">
        <f>IFERROR(BM1001*BJ1001^1/4,"")</f>
        <v/>
      </c>
      <c r="AW1001" s="105">
        <f>IFERROR(SUM(AX1001:AZ1001),"")</f>
        <v/>
      </c>
      <c r="AX1001" s="105">
        <f>IFERROR(BH1001,"")</f>
        <v/>
      </c>
      <c r="AY1001" s="105">
        <f>IFERROR(Driver!$K$19/Data!BH1001/Data!BI1001*Data!BK1001*Data!BL1001,"")</f>
        <v/>
      </c>
      <c r="AZ1001" s="105">
        <f>IFERROR(BI1001*BN1001,"")</f>
        <v/>
      </c>
      <c r="BA1001" s="105" t="n"/>
      <c r="BB1001" s="105" t="n"/>
      <c r="BC1001" s="105">
        <f>IFERROR(BI1001*BN1001*BK1001/BJ1001^(1/2),"")</f>
        <v/>
      </c>
      <c r="BD1001" s="105">
        <f>IFERROR(BH1001*BM1001*BL1001/BJ1001/BK1001,"")</f>
        <v/>
      </c>
      <c r="BE1001" s="105">
        <f>IFERROR(MIN(BI1001/BQ1001/BP1001/BO1001/BH1001,$BE$1),"")</f>
        <v/>
      </c>
      <c r="BF1001" s="105">
        <f>IFERROR(BJ1001*BO1001*BP1001/BK1001,"")</f>
        <v/>
      </c>
      <c r="BG1001" s="105">
        <f>IFERROR(1/BM1001/BH1001*BQ1001,"")</f>
        <v/>
      </c>
      <c r="BH1001" s="102">
        <f>MAX((CE1001-Driver!$F$200)/(Driver!$G$200-Driver!$F$200)*$BI$1,1)</f>
        <v/>
      </c>
      <c r="BI1001" s="102">
        <f>MAX($BI$1*(BY1001-Driver!$F$201)/(Driver!$G$201-Driver!$F$201),1)</f>
        <v/>
      </c>
      <c r="BJ1001" s="102">
        <f>(CB1001-Driver!$F$206)/(Driver!$G$206-Driver!$F$206)*$BI$1</f>
        <v/>
      </c>
      <c r="BK1001" s="102">
        <f>(CD1001-Driver!$F$203)/(Driver!$G$203-Driver!$F$203)*$BI$1</f>
        <v/>
      </c>
      <c r="BL1001" s="102">
        <f>MAX((CR1001-Driver!$F$202)/(Driver!$G$202-Driver!$F$202)*$BI$1,1)</f>
        <v/>
      </c>
      <c r="BM1001" s="102">
        <f>MAX((CH1001-Driver!$F$204)/(Driver!$G$204-Driver!$F$204)*$BI$1,1)</f>
        <v/>
      </c>
      <c r="BN1001" s="102">
        <f>(CI1001-Driver!$F$205)/(Driver!$G$205-Driver!$F$205)*$BI$1</f>
        <v/>
      </c>
      <c r="BO1001" s="102">
        <f>(CK1001-Driver!$F$207)/(Driver!$G$207-Driver!$F$207)*$BI$1</f>
        <v/>
      </c>
      <c r="BP1001" s="102">
        <f>(CM1001-Driver!$F$208)/(Driver!$G$208-Driver!$F$208)*$BI$1</f>
        <v/>
      </c>
      <c r="BQ1001" s="102">
        <f>(CL1001-Driver!$F$209)/(Driver!$G$209-Driver!$F$209)*$BI$1</f>
        <v/>
      </c>
      <c r="BR1001" s="40" t="inlineStr">
        <is>
          <t>21/22</t>
        </is>
      </c>
      <c r="BS1001" s="10" t="inlineStr">
        <is>
          <t xml:space="preserve"> Blizzard</t>
        </is>
      </c>
      <c r="BT1001" s="11" t="inlineStr">
        <is>
          <t>Sheeva 9</t>
        </is>
      </c>
      <c r="BU1001" s="13" t="n">
        <v>148</v>
      </c>
      <c r="BV1001" s="11" t="inlineStr">
        <is>
          <t xml:space="preserve"> Women's</t>
        </is>
      </c>
      <c r="BW1001" s="13" t="n">
        <v>148</v>
      </c>
      <c r="BX1001" s="13" t="n">
        <v>147.3</v>
      </c>
      <c r="BY1001" s="13" t="n">
        <v>103</v>
      </c>
      <c r="BZ1001" s="13" t="n">
        <v>115</v>
      </c>
      <c r="CA1001" s="13" t="n">
        <v>117</v>
      </c>
      <c r="CB1001" s="13" t="n">
        <v>89</v>
      </c>
      <c r="CC1001" s="13" t="n">
        <v>107</v>
      </c>
      <c r="CD1001" s="13" t="n">
        <v>12.7</v>
      </c>
      <c r="CE1001" s="13" t="n">
        <v>1323</v>
      </c>
      <c r="CF1001" s="13" t="n">
        <v>1.1</v>
      </c>
      <c r="CG1001" s="13" t="n">
        <v>1457</v>
      </c>
      <c r="CH1001" s="13" t="n">
        <v>122</v>
      </c>
      <c r="CI1001" s="13" t="n">
        <v>59</v>
      </c>
      <c r="CJ1001" s="13" t="n">
        <v>48</v>
      </c>
      <c r="CK1001" s="13" t="n">
        <v>269</v>
      </c>
      <c r="CL1001" s="13" t="n">
        <v>21</v>
      </c>
      <c r="CM1001" s="13" t="n">
        <v>172</v>
      </c>
      <c r="CN1001" s="13" t="n">
        <v>0.435</v>
      </c>
      <c r="CO1001" s="13" t="n">
        <v>149</v>
      </c>
      <c r="CP1001" s="13" t="n">
        <v>174</v>
      </c>
      <c r="CQ1001" s="13" t="n">
        <v>121</v>
      </c>
      <c r="CR1001" s="13" t="n">
        <v>5</v>
      </c>
      <c r="CS1001" s="13" t="n">
        <v>6.5</v>
      </c>
      <c r="CT1001" s="11" t="inlineStr">
        <is>
          <t xml:space="preserve"> Resort Freeride</t>
        </is>
      </c>
      <c r="CU1001" s="11" t="inlineStr">
        <is>
          <t xml:space="preserve"> Touring</t>
        </is>
      </c>
      <c r="CV1001" s="13" t="n"/>
      <c r="CW1001" s="13" t="n"/>
      <c r="CX1001">
        <f>INDEX('Data_Price '!AG$2:AG$1266,MATCH(Data!$DN1001,'Data_Price '!$AT$2:$AT$1266,0))</f>
        <v/>
      </c>
      <c r="CY1001">
        <f>INDEX('Data_Price '!AH$2:AH$1266,MATCH(Data!$DN1001,'Data_Price '!$AT$2:$AT$1266,0))</f>
        <v/>
      </c>
      <c r="CZ1001">
        <f>INDEX('Data_Price '!AI$2:AI$1266,MATCH(Data!$DN1001,'Data_Price '!$AT$2:$AT$1266,0))</f>
        <v/>
      </c>
      <c r="DA1001">
        <f>INDEX('Data_Price '!AJ$2:AJ$1266,MATCH(Data!$DN1001,'Data_Price '!$AT$2:$AT$1266,0))</f>
        <v/>
      </c>
      <c r="DB1001">
        <f>INDEX('Data_Price '!AK$2:AK$1266,MATCH(Data!$DN1001,'Data_Price '!$AT$2:$AT$1266,0))</f>
        <v/>
      </c>
      <c r="DC1001">
        <f>INDEX('Data_Price '!AL$2:AL$1266,MATCH(Data!$DN1001,'Data_Price '!$AT$2:$AT$1266,0))</f>
        <v/>
      </c>
      <c r="DD1001">
        <f>INDEX('Data_Price '!AM$2:AM$1266,MATCH(Data!$DN1001,'Data_Price '!$AT$2:$AT$1266,0))</f>
        <v/>
      </c>
      <c r="DE1001">
        <f>INDEX('Data_Price '!AN$2:AN$1266,MATCH(Data!$DN1001,'Data_Price '!$AT$2:$AT$1266,0))</f>
        <v/>
      </c>
      <c r="DF1001">
        <f>INDEX('Data_Price '!AO$2:AO$1266,MATCH(Data!$DN1001,'Data_Price '!$AT$2:$AT$1266,0))</f>
        <v/>
      </c>
      <c r="DG1001">
        <f>INDEX('Data_Price '!AP$2:AP$1266,MATCH(Data!$DN1001,'Data_Price '!$AT$2:$AT$1266,0))</f>
        <v/>
      </c>
      <c r="DH1001">
        <f>INDEX('Data_Price '!AQ$2:AQ$1266,MATCH(Data!$DN1001,'Data_Price '!$AT$2:$AT$1266,0))</f>
        <v/>
      </c>
      <c r="DI1001">
        <f>INDEX('Data_Price '!AR$2:AR$1266,MATCH(Data!$DN1001,'Data_Price '!$AT$2:$AT$1266,0))</f>
        <v/>
      </c>
      <c r="DJ1001" s="138">
        <f>DA1001</f>
        <v/>
      </c>
      <c r="DK1001" s="138">
        <f>DE1001</f>
        <v/>
      </c>
      <c r="DL1001" s="138">
        <f>DI1001</f>
        <v/>
      </c>
      <c r="DM1001" s="303">
        <f>IF(LEFT(BT1001,1)=" ",RIGHT(BT1001,LEN(BT1001)-1),BT1001)</f>
        <v/>
      </c>
      <c r="DN1001" s="138">
        <f>_xlfn.CONCAT(BS1001,DM1001,BU1001,BV1001)</f>
        <v/>
      </c>
      <c r="DO1001" s="307" t="inlineStr">
        <is>
          <t>https://images.evo.com/imgp/250/176892/722700/blizzard-sheeva-9-skis-women-s-2022-.jpg</t>
        </is>
      </c>
    </row>
    <row r="1002" ht="15.6" customHeight="1" s="184">
      <c r="B1002" s="303">
        <f t="array" ref="B1002">IF(OR(ISERROR(K1002:P1002)),FALSE,TRUE)</f>
        <v/>
      </c>
      <c r="C1002" s="60">
        <f>OR(BR1002=Driver!$G$50,Data!BR253=Driver!$H$50)</f>
        <v/>
      </c>
      <c r="D1002" s="60">
        <f>OR(BV1002=Driver!$G$51,BV1002=Driver!$H$51)</f>
        <v/>
      </c>
      <c r="E1002" s="60">
        <f>AND(BX1002&gt;Driver!$F$54,BX1002&lt;Driver!$G$54)</f>
        <v/>
      </c>
      <c r="F1002" s="60">
        <f>CL1002&gt;Driver!$F$56</f>
        <v/>
      </c>
      <c r="G1002" s="60">
        <f>AND(CB1002&gt;Driver!$F$55,CB1002&lt;Driver!$G$55)</f>
        <v/>
      </c>
      <c r="H1002" s="60">
        <f>AND(B1002:G1002)</f>
        <v/>
      </c>
      <c r="I1002" s="60">
        <f>COUNTIFS($H$9:$H$1273,TRUE,$BT$9:$BT$1273,BT1002)</f>
        <v/>
      </c>
      <c r="J1002" s="60">
        <f t="array" ref="J1002">NOT(OR(($H$9:$H$1273=TRUE)*($I$9:$I$1273&gt;0)*($BT$9:$BT$1273=BT1002)*($K$9:$K$1273&gt;K1002)))</f>
        <v/>
      </c>
      <c r="K1002" s="108">
        <f>IFERROR(1-AVERAGE(X1002:Y1002),"")</f>
        <v/>
      </c>
      <c r="L1002" s="108">
        <f>1-X1002</f>
        <v/>
      </c>
      <c r="M1002" s="108">
        <f>1-Y1002</f>
        <v/>
      </c>
      <c r="N1002" s="108">
        <f>1-Z1002</f>
        <v/>
      </c>
      <c r="O1002" s="108">
        <f>1-AA1002</f>
        <v/>
      </c>
      <c r="P1002" s="108">
        <f>1-AB1002</f>
        <v/>
      </c>
      <c r="Q1002" s="108" t="n"/>
      <c r="R1002" s="108" t="n"/>
      <c r="S1002" s="108">
        <f>1-AE1002</f>
        <v/>
      </c>
      <c r="T1002" s="108">
        <f>1-AF1002</f>
        <v/>
      </c>
      <c r="U1002" s="108">
        <f>1-AG1002</f>
        <v/>
      </c>
      <c r="V1002" s="108">
        <f>1-AH1002</f>
        <v/>
      </c>
      <c r="W1002" s="108">
        <f>1-AI1002</f>
        <v/>
      </c>
      <c r="X1002" s="108">
        <f>ABS(AJ1002-AJ$1)</f>
        <v/>
      </c>
      <c r="Y1002" s="108">
        <f>AVERAGE(Z1002:AB1002)</f>
        <v/>
      </c>
      <c r="Z1002" s="108">
        <f>ABS(AL1002-AL$1)</f>
        <v/>
      </c>
      <c r="AA1002" s="108">
        <f>ABS(AM1002-AM$1)</f>
        <v/>
      </c>
      <c r="AB1002" s="108">
        <f>ABS(AN1002-AN$1)</f>
        <v/>
      </c>
      <c r="AC1002" s="108" t="n"/>
      <c r="AD1002" s="108" t="n"/>
      <c r="AE1002" s="108">
        <f>ABS(AQ$1-AQ1002)</f>
        <v/>
      </c>
      <c r="AF1002" s="108">
        <f>ABS(AR$1-AR1002)</f>
        <v/>
      </c>
      <c r="AG1002" s="108">
        <f>ABS(AS$1-AS1002)</f>
        <v/>
      </c>
      <c r="AH1002" s="108">
        <f>ABS(AT$1-AT1002)</f>
        <v/>
      </c>
      <c r="AI1002" s="108">
        <f>ABS(AU$1-AU1002)</f>
        <v/>
      </c>
      <c r="AJ1002" s="108">
        <f>(AV1002-Driver!$K$179)/(Driver!$L$179-Driver!$K$179)</f>
        <v/>
      </c>
      <c r="AK1002" s="108">
        <f>(AW1002-Driver!$K$180)/(Driver!$L$180-Driver!$K$180)</f>
        <v/>
      </c>
      <c r="AL1002" s="108">
        <f>(AX1002-Driver!$K$181)/(Driver!$L$181-Driver!$K$181)</f>
        <v/>
      </c>
      <c r="AM1002" s="108">
        <f>(AY1002-Driver!$K$182)/(Driver!$L$182-Driver!$K$182)</f>
        <v/>
      </c>
      <c r="AN1002" s="108">
        <f>(AZ1002-Driver!$K$183)/(Driver!$L$183-Driver!$K$183)</f>
        <v/>
      </c>
      <c r="AO1002" s="108" t="n"/>
      <c r="AP1002" s="108" t="n"/>
      <c r="AQ1002" s="108">
        <f>(BC1002-Driver!$K$188)/(Driver!$L$188-Driver!$K$188)</f>
        <v/>
      </c>
      <c r="AR1002" s="108">
        <f>MIN((BD1002-Driver!$K$189)/(Driver!$L$189-Driver!$K$189),100%)</f>
        <v/>
      </c>
      <c r="AS1002" s="108">
        <f>(BE1002-Driver!$K$190)/(Driver!$L$190-Driver!$K$190)</f>
        <v/>
      </c>
      <c r="AT1002" s="108">
        <f>(BF1002-Driver!$K$191)/(Driver!$L$191-Driver!$K$191)</f>
        <v/>
      </c>
      <c r="AU1002" s="108">
        <f>(BG1002-Driver!$K$192)/(Driver!$L$192-Driver!$K$192)</f>
        <v/>
      </c>
      <c r="AV1002" s="105">
        <f>IFERROR(BM1002*BJ1002^1/4,"")</f>
        <v/>
      </c>
      <c r="AW1002" s="105">
        <f>IFERROR(SUM(AX1002:AZ1002),"")</f>
        <v/>
      </c>
      <c r="AX1002" s="105">
        <f>IFERROR(BH1002,"")</f>
        <v/>
      </c>
      <c r="AY1002" s="105">
        <f>IFERROR(Driver!$K$19/Data!BH1002/Data!BI1002*Data!BK1002*Data!BL1002,"")</f>
        <v/>
      </c>
      <c r="AZ1002" s="105">
        <f>IFERROR(BI1002*BN1002,"")</f>
        <v/>
      </c>
      <c r="BA1002" s="105" t="n"/>
      <c r="BB1002" s="105" t="n"/>
      <c r="BC1002" s="105">
        <f>IFERROR(BI1002*BN1002*BK1002/BJ1002^(1/2),"")</f>
        <v/>
      </c>
      <c r="BD1002" s="105">
        <f>IFERROR(BH1002*BM1002*BL1002/BJ1002/BK1002,"")</f>
        <v/>
      </c>
      <c r="BE1002" s="105">
        <f>IFERROR(MIN(BI1002/BQ1002/BP1002/BO1002/BH1002,$BE$1),"")</f>
        <v/>
      </c>
      <c r="BF1002" s="105">
        <f>IFERROR(BJ1002*BO1002*BP1002/BK1002,"")</f>
        <v/>
      </c>
      <c r="BG1002" s="105">
        <f>IFERROR(1/BM1002/BH1002*BQ1002,"")</f>
        <v/>
      </c>
      <c r="BH1002" s="102">
        <f>MAX((CE1002-Driver!$F$200)/(Driver!$G$200-Driver!$F$200)*$BI$1,1)</f>
        <v/>
      </c>
      <c r="BI1002" s="102">
        <f>MAX($BI$1*(BY1002-Driver!$F$201)/(Driver!$G$201-Driver!$F$201),1)</f>
        <v/>
      </c>
      <c r="BJ1002" s="102">
        <f>(CB1002-Driver!$F$206)/(Driver!$G$206-Driver!$F$206)*$BI$1</f>
        <v/>
      </c>
      <c r="BK1002" s="102">
        <f>(CD1002-Driver!$F$203)/(Driver!$G$203-Driver!$F$203)*$BI$1</f>
        <v/>
      </c>
      <c r="BL1002" s="102">
        <f>MAX((CR1002-Driver!$F$202)/(Driver!$G$202-Driver!$F$202)*$BI$1,1)</f>
        <v/>
      </c>
      <c r="BM1002" s="102">
        <f>MAX((CH1002-Driver!$F$204)/(Driver!$G$204-Driver!$F$204)*$BI$1,1)</f>
        <v/>
      </c>
      <c r="BN1002" s="102">
        <f>(CI1002-Driver!$F$205)/(Driver!$G$205-Driver!$F$205)*$BI$1</f>
        <v/>
      </c>
      <c r="BO1002" s="102">
        <f>(CK1002-Driver!$F$207)/(Driver!$G$207-Driver!$F$207)*$BI$1</f>
        <v/>
      </c>
      <c r="BP1002" s="102">
        <f>(CM1002-Driver!$F$208)/(Driver!$G$208-Driver!$F$208)*$BI$1</f>
        <v/>
      </c>
      <c r="BQ1002" s="102">
        <f>(CL1002-Driver!$F$209)/(Driver!$G$209-Driver!$F$209)*$BI$1</f>
        <v/>
      </c>
      <c r="BR1002" s="40" t="inlineStr">
        <is>
          <t>21/22</t>
        </is>
      </c>
      <c r="BS1002" s="10" t="inlineStr">
        <is>
          <t xml:space="preserve"> Blizzard</t>
        </is>
      </c>
      <c r="BT1002" s="11" t="inlineStr">
        <is>
          <t>Black Pearl 82</t>
        </is>
      </c>
      <c r="BU1002" s="13" t="n">
        <v>145</v>
      </c>
      <c r="BV1002" s="11" t="inlineStr">
        <is>
          <t xml:space="preserve"> Women's</t>
        </is>
      </c>
      <c r="BW1002" s="13" t="n">
        <v>145</v>
      </c>
      <c r="BX1002" s="13" t="n">
        <v>143.5</v>
      </c>
      <c r="BY1002" s="13" t="n">
        <v>112</v>
      </c>
      <c r="BZ1002" s="13" t="n">
        <v>121</v>
      </c>
      <c r="CA1002" s="13" t="n">
        <v>118</v>
      </c>
      <c r="CB1002" s="13" t="n">
        <v>81</v>
      </c>
      <c r="CC1002" s="13" t="n">
        <v>102</v>
      </c>
      <c r="CD1002" s="13" t="n">
        <v>11.7</v>
      </c>
      <c r="CE1002" s="13" t="n">
        <v>1395</v>
      </c>
      <c r="CF1002" s="13" t="n">
        <v>0.96</v>
      </c>
      <c r="CG1002" s="13" t="n">
        <v>1335</v>
      </c>
      <c r="CH1002" s="13" t="n">
        <v>123</v>
      </c>
      <c r="CI1002" s="13" t="n">
        <v>66</v>
      </c>
      <c r="CJ1002" s="13" t="n">
        <v>52</v>
      </c>
      <c r="CK1002" s="13" t="n">
        <v>204</v>
      </c>
      <c r="CL1002" s="13" t="n">
        <v>7</v>
      </c>
      <c r="CM1002" s="13" t="n">
        <v>111</v>
      </c>
      <c r="CN1002" s="13" t="n">
        <v>0.14</v>
      </c>
      <c r="CO1002" s="13" t="n">
        <v>121</v>
      </c>
      <c r="CP1002" s="13" t="n">
        <v>107</v>
      </c>
      <c r="CQ1002" s="13" t="n">
        <v>83</v>
      </c>
      <c r="CR1002" s="13" t="n">
        <v>5</v>
      </c>
      <c r="CS1002" s="13" t="n">
        <v>10.9</v>
      </c>
      <c r="CT1002" s="11" t="inlineStr">
        <is>
          <t xml:space="preserve"> On-Piste All-Mountain</t>
        </is>
      </c>
      <c r="CU1002" s="11" t="inlineStr">
        <is>
          <t xml:space="preserve"> Resort Freeride</t>
        </is>
      </c>
      <c r="CV1002" s="13" t="n"/>
      <c r="CW1002" s="13" t="n"/>
      <c r="CX1002">
        <f>INDEX('Data_Price '!AG$2:AG$1266,MATCH(Data!$DN1002,'Data_Price '!$AT$2:$AT$1266,0))</f>
        <v/>
      </c>
      <c r="CY1002">
        <f>INDEX('Data_Price '!AH$2:AH$1266,MATCH(Data!$DN1002,'Data_Price '!$AT$2:$AT$1266,0))</f>
        <v/>
      </c>
      <c r="CZ1002">
        <f>INDEX('Data_Price '!AI$2:AI$1266,MATCH(Data!$DN1002,'Data_Price '!$AT$2:$AT$1266,0))</f>
        <v/>
      </c>
      <c r="DA1002">
        <f>INDEX('Data_Price '!AJ$2:AJ$1266,MATCH(Data!$DN1002,'Data_Price '!$AT$2:$AT$1266,0))</f>
        <v/>
      </c>
      <c r="DB1002">
        <f>INDEX('Data_Price '!AK$2:AK$1266,MATCH(Data!$DN1002,'Data_Price '!$AT$2:$AT$1266,0))</f>
        <v/>
      </c>
      <c r="DC1002">
        <f>INDEX('Data_Price '!AL$2:AL$1266,MATCH(Data!$DN1002,'Data_Price '!$AT$2:$AT$1266,0))</f>
        <v/>
      </c>
      <c r="DD1002">
        <f>INDEX('Data_Price '!AM$2:AM$1266,MATCH(Data!$DN1002,'Data_Price '!$AT$2:$AT$1266,0))</f>
        <v/>
      </c>
      <c r="DE1002">
        <f>INDEX('Data_Price '!AN$2:AN$1266,MATCH(Data!$DN1002,'Data_Price '!$AT$2:$AT$1266,0))</f>
        <v/>
      </c>
      <c r="DF1002">
        <f>INDEX('Data_Price '!AO$2:AO$1266,MATCH(Data!$DN1002,'Data_Price '!$AT$2:$AT$1266,0))</f>
        <v/>
      </c>
      <c r="DG1002">
        <f>INDEX('Data_Price '!AP$2:AP$1266,MATCH(Data!$DN1002,'Data_Price '!$AT$2:$AT$1266,0))</f>
        <v/>
      </c>
      <c r="DH1002">
        <f>INDEX('Data_Price '!AQ$2:AQ$1266,MATCH(Data!$DN1002,'Data_Price '!$AT$2:$AT$1266,0))</f>
        <v/>
      </c>
      <c r="DI1002">
        <f>INDEX('Data_Price '!AR$2:AR$1266,MATCH(Data!$DN1002,'Data_Price '!$AT$2:$AT$1266,0))</f>
        <v/>
      </c>
      <c r="DJ1002" s="138">
        <f>DA1002</f>
        <v/>
      </c>
      <c r="DK1002" s="138">
        <f>DE1002</f>
        <v/>
      </c>
      <c r="DL1002" s="138">
        <f>DI1002</f>
        <v/>
      </c>
      <c r="DM1002" s="303">
        <f>IF(LEFT(BT1002,1)=" ",RIGHT(BT1002,LEN(BT1002)-1),BT1002)</f>
        <v/>
      </c>
      <c r="DN1002" s="138">
        <f>_xlfn.CONCAT(BS1002,DM1002,BU1002,BV1002)</f>
        <v/>
      </c>
      <c r="DO1002" s="307" t="inlineStr">
        <is>
          <t>https://images.evo.com/imgp/250/197473/825189/blizzard-black-pearl-82-skis-women-s-2022-.jpg</t>
        </is>
      </c>
    </row>
    <row r="1003" ht="15.6" customHeight="1" s="184">
      <c r="B1003" s="303">
        <f t="array" ref="B1003">IF(OR(ISERROR(K1003:P1003)),FALSE,TRUE)</f>
        <v/>
      </c>
      <c r="C1003" s="60">
        <f>OR(BR1003=Driver!$G$50,Data!BR430=Driver!$H$50)</f>
        <v/>
      </c>
      <c r="D1003" s="60">
        <f>OR(BV1003=Driver!$G$51,BV1003=Driver!$H$51)</f>
        <v/>
      </c>
      <c r="E1003" s="60">
        <f>AND(BX1003&gt;Driver!$F$54,BX1003&lt;Driver!$G$54)</f>
        <v/>
      </c>
      <c r="F1003" s="60">
        <f>CL1003&gt;Driver!$F$56</f>
        <v/>
      </c>
      <c r="G1003" s="60">
        <f>AND(CB1003&gt;Driver!$F$55,CB1003&lt;Driver!$G$55)</f>
        <v/>
      </c>
      <c r="H1003" s="60">
        <f>AND(B1003:G1003)</f>
        <v/>
      </c>
      <c r="I1003" s="60">
        <f>COUNTIFS($H$9:$H$1273,TRUE,$BT$9:$BT$1273,BT1003)</f>
        <v/>
      </c>
      <c r="J1003" s="60">
        <f t="array" ref="J1003">NOT(OR(($H$9:$H$1273=TRUE)*($I$9:$I$1273&gt;0)*($BT$9:$BT$1273=BT1003)*($K$9:$K$1273&gt;K1003)))</f>
        <v/>
      </c>
      <c r="K1003" s="108">
        <f>IFERROR(1-AVERAGE(X1003:Y1003),"")</f>
        <v/>
      </c>
      <c r="L1003" s="108">
        <f>1-X1003</f>
        <v/>
      </c>
      <c r="M1003" s="108">
        <f>1-Y1003</f>
        <v/>
      </c>
      <c r="N1003" s="108">
        <f>1-Z1003</f>
        <v/>
      </c>
      <c r="O1003" s="108">
        <f>1-AA1003</f>
        <v/>
      </c>
      <c r="P1003" s="108">
        <f>1-AB1003</f>
        <v/>
      </c>
      <c r="Q1003" s="108" t="n"/>
      <c r="R1003" s="108" t="n"/>
      <c r="S1003" s="108">
        <f>1-AE1003</f>
        <v/>
      </c>
      <c r="T1003" s="108">
        <f>1-AF1003</f>
        <v/>
      </c>
      <c r="U1003" s="108">
        <f>1-AG1003</f>
        <v/>
      </c>
      <c r="V1003" s="108">
        <f>1-AH1003</f>
        <v/>
      </c>
      <c r="W1003" s="108">
        <f>1-AI1003</f>
        <v/>
      </c>
      <c r="X1003" s="108">
        <f>ABS(AJ1003-AJ$1)</f>
        <v/>
      </c>
      <c r="Y1003" s="108">
        <f>AVERAGE(Z1003:AB1003)</f>
        <v/>
      </c>
      <c r="Z1003" s="108">
        <f>ABS(AL1003-AL$1)</f>
        <v/>
      </c>
      <c r="AA1003" s="108">
        <f>ABS(AM1003-AM$1)</f>
        <v/>
      </c>
      <c r="AB1003" s="108">
        <f>ABS(AN1003-AN$1)</f>
        <v/>
      </c>
      <c r="AC1003" s="108" t="n"/>
      <c r="AD1003" s="108" t="n"/>
      <c r="AE1003" s="108">
        <f>ABS(AQ$1-AQ1003)</f>
        <v/>
      </c>
      <c r="AF1003" s="108">
        <f>ABS(AR$1-AR1003)</f>
        <v/>
      </c>
      <c r="AG1003" s="108">
        <f>ABS(AS$1-AS1003)</f>
        <v/>
      </c>
      <c r="AH1003" s="108">
        <f>ABS(AT$1-AT1003)</f>
        <v/>
      </c>
      <c r="AI1003" s="108">
        <f>ABS(AU$1-AU1003)</f>
        <v/>
      </c>
      <c r="AJ1003" s="108">
        <f>(AV1003-Driver!$K$179)/(Driver!$L$179-Driver!$K$179)</f>
        <v/>
      </c>
      <c r="AK1003" s="108">
        <f>(AW1003-Driver!$K$180)/(Driver!$L$180-Driver!$K$180)</f>
        <v/>
      </c>
      <c r="AL1003" s="108">
        <f>(AX1003-Driver!$K$181)/(Driver!$L$181-Driver!$K$181)</f>
        <v/>
      </c>
      <c r="AM1003" s="108">
        <f>(AY1003-Driver!$K$182)/(Driver!$L$182-Driver!$K$182)</f>
        <v/>
      </c>
      <c r="AN1003" s="108">
        <f>(AZ1003-Driver!$K$183)/(Driver!$L$183-Driver!$K$183)</f>
        <v/>
      </c>
      <c r="AO1003" s="108" t="n"/>
      <c r="AP1003" s="108" t="n"/>
      <c r="AQ1003" s="108">
        <f>(BC1003-Driver!$K$188)/(Driver!$L$188-Driver!$K$188)</f>
        <v/>
      </c>
      <c r="AR1003" s="108">
        <f>MIN((BD1003-Driver!$K$189)/(Driver!$L$189-Driver!$K$189),100%)</f>
        <v/>
      </c>
      <c r="AS1003" s="108">
        <f>(BE1003-Driver!$K$190)/(Driver!$L$190-Driver!$K$190)</f>
        <v/>
      </c>
      <c r="AT1003" s="108">
        <f>(BF1003-Driver!$K$191)/(Driver!$L$191-Driver!$K$191)</f>
        <v/>
      </c>
      <c r="AU1003" s="108">
        <f>(BG1003-Driver!$K$192)/(Driver!$L$192-Driver!$K$192)</f>
        <v/>
      </c>
      <c r="AV1003" s="105">
        <f>IFERROR(BM1003*BJ1003^1/4,"")</f>
        <v/>
      </c>
      <c r="AW1003" s="105">
        <f>IFERROR(SUM(AX1003:AZ1003),"")</f>
        <v/>
      </c>
      <c r="AX1003" s="105">
        <f>IFERROR(BH1003,"")</f>
        <v/>
      </c>
      <c r="AY1003" s="105">
        <f>IFERROR(Driver!$K$19/Data!BH1003/Data!BI1003*Data!BK1003*Data!BL1003,"")</f>
        <v/>
      </c>
      <c r="AZ1003" s="105">
        <f>IFERROR(BI1003*BN1003,"")</f>
        <v/>
      </c>
      <c r="BA1003" s="105" t="n"/>
      <c r="BB1003" s="105" t="n"/>
      <c r="BC1003" s="105">
        <f>IFERROR(BI1003*BN1003*BK1003/BJ1003^(1/2),"")</f>
        <v/>
      </c>
      <c r="BD1003" s="105">
        <f>IFERROR(BH1003*BM1003*BL1003/BJ1003/BK1003,"")</f>
        <v/>
      </c>
      <c r="BE1003" s="105">
        <f>IFERROR(MIN(BI1003/BQ1003/BP1003/BO1003/BH1003,$BE$1),"")</f>
        <v/>
      </c>
      <c r="BF1003" s="105">
        <f>IFERROR(BJ1003*BO1003*BP1003/BK1003,"")</f>
        <v/>
      </c>
      <c r="BG1003" s="105">
        <f>IFERROR(1/BM1003/BH1003*BQ1003,"")</f>
        <v/>
      </c>
      <c r="BH1003" s="102">
        <f>MAX((CE1003-Driver!$F$200)/(Driver!$G$200-Driver!$F$200)*$BI$1,1)</f>
        <v/>
      </c>
      <c r="BI1003" s="102">
        <f>MAX($BI$1*(BY1003-Driver!$F$201)/(Driver!$G$201-Driver!$F$201),1)</f>
        <v/>
      </c>
      <c r="BJ1003" s="102">
        <f>(CB1003-Driver!$F$206)/(Driver!$G$206-Driver!$F$206)*$BI$1</f>
        <v/>
      </c>
      <c r="BK1003" s="102">
        <f>(CD1003-Driver!$F$203)/(Driver!$G$203-Driver!$F$203)*$BI$1</f>
        <v/>
      </c>
      <c r="BL1003" s="102">
        <f>MAX((CR1003-Driver!$F$202)/(Driver!$G$202-Driver!$F$202)*$BI$1,1)</f>
        <v/>
      </c>
      <c r="BM1003" s="102">
        <f>MAX((CH1003-Driver!$F$204)/(Driver!$G$204-Driver!$F$204)*$BI$1,1)</f>
        <v/>
      </c>
      <c r="BN1003" s="102">
        <f>(CI1003-Driver!$F$205)/(Driver!$G$205-Driver!$F$205)*$BI$1</f>
        <v/>
      </c>
      <c r="BO1003" s="102">
        <f>(CK1003-Driver!$F$207)/(Driver!$G$207-Driver!$F$207)*$BI$1</f>
        <v/>
      </c>
      <c r="BP1003" s="102">
        <f>(CM1003-Driver!$F$208)/(Driver!$G$208-Driver!$F$208)*$BI$1</f>
        <v/>
      </c>
      <c r="BQ1003" s="102">
        <f>(CL1003-Driver!$F$209)/(Driver!$G$209-Driver!$F$209)*$BI$1</f>
        <v/>
      </c>
      <c r="BR1003" s="40" t="inlineStr">
        <is>
          <t>21/22</t>
        </is>
      </c>
      <c r="BS1003" s="10" t="inlineStr">
        <is>
          <t xml:space="preserve"> Elan</t>
        </is>
      </c>
      <c r="BT1003" s="11" t="inlineStr">
        <is>
          <t xml:space="preserve"> Element</t>
        </is>
      </c>
      <c r="BU1003" s="13" t="n">
        <v>152</v>
      </c>
      <c r="BV1003" s="11" t="inlineStr">
        <is>
          <t xml:space="preserve"> Unisex</t>
        </is>
      </c>
      <c r="BW1003" s="13" t="n">
        <v>152</v>
      </c>
      <c r="BX1003" s="13" t="n">
        <v>151.3</v>
      </c>
      <c r="BY1003" s="13" t="n">
        <v>128</v>
      </c>
      <c r="BZ1003" s="13" t="n">
        <v>137</v>
      </c>
      <c r="CA1003" s="13" t="n">
        <v>125</v>
      </c>
      <c r="CB1003" s="13" t="n">
        <v>74</v>
      </c>
      <c r="CC1003" s="13" t="n">
        <v>100</v>
      </c>
      <c r="CD1003" s="13" t="n">
        <v>12</v>
      </c>
      <c r="CE1003" s="13" t="n">
        <v>1543</v>
      </c>
      <c r="CF1003" s="13" t="n">
        <v>0.87</v>
      </c>
      <c r="CG1003" s="13" t="n">
        <v>1349</v>
      </c>
      <c r="CH1003" s="13" t="n">
        <v>144</v>
      </c>
      <c r="CI1003" s="13" t="n">
        <v>54</v>
      </c>
      <c r="CJ1003" s="13" t="n">
        <v>35</v>
      </c>
      <c r="CK1003" s="13" t="n">
        <v>159</v>
      </c>
      <c r="CL1003" s="13" t="n">
        <v>9</v>
      </c>
      <c r="CM1003" s="13" t="n">
        <v>70</v>
      </c>
      <c r="CN1003" s="13" t="n">
        <v>0.256</v>
      </c>
      <c r="CO1003" s="13" t="n">
        <v>91</v>
      </c>
      <c r="CP1003" s="13" t="n">
        <v>53</v>
      </c>
      <c r="CQ1003" s="13" t="n">
        <v>69</v>
      </c>
      <c r="CR1003" s="13" t="n">
        <v>6</v>
      </c>
      <c r="CS1003" s="13" t="n">
        <v>11.5</v>
      </c>
      <c r="CT1003" s="11" t="inlineStr">
        <is>
          <t xml:space="preserve"> On-Piste Carving</t>
        </is>
      </c>
      <c r="CU1003" s="13" t="n"/>
      <c r="CV1003" s="13" t="n"/>
      <c r="CW1003" s="13" t="n"/>
      <c r="CX1003">
        <f>INDEX('Data_Price '!AG$2:AG$1266,MATCH(Data!$DN1003,'Data_Price '!$AT$2:$AT$1266,0))</f>
        <v/>
      </c>
      <c r="CY1003">
        <f>INDEX('Data_Price '!AH$2:AH$1266,MATCH(Data!$DN1003,'Data_Price '!$AT$2:$AT$1266,0))</f>
        <v/>
      </c>
      <c r="CZ1003">
        <f>INDEX('Data_Price '!AI$2:AI$1266,MATCH(Data!$DN1003,'Data_Price '!$AT$2:$AT$1266,0))</f>
        <v/>
      </c>
      <c r="DA1003">
        <f>INDEX('Data_Price '!AJ$2:AJ$1266,MATCH(Data!$DN1003,'Data_Price '!$AT$2:$AT$1266,0))</f>
        <v/>
      </c>
      <c r="DB1003">
        <f>INDEX('Data_Price '!AK$2:AK$1266,MATCH(Data!$DN1003,'Data_Price '!$AT$2:$AT$1266,0))</f>
        <v/>
      </c>
      <c r="DC1003">
        <f>INDEX('Data_Price '!AL$2:AL$1266,MATCH(Data!$DN1003,'Data_Price '!$AT$2:$AT$1266,0))</f>
        <v/>
      </c>
      <c r="DD1003">
        <f>INDEX('Data_Price '!AM$2:AM$1266,MATCH(Data!$DN1003,'Data_Price '!$AT$2:$AT$1266,0))</f>
        <v/>
      </c>
      <c r="DE1003">
        <f>INDEX('Data_Price '!AN$2:AN$1266,MATCH(Data!$DN1003,'Data_Price '!$AT$2:$AT$1266,0))</f>
        <v/>
      </c>
      <c r="DF1003">
        <f>INDEX('Data_Price '!AO$2:AO$1266,MATCH(Data!$DN1003,'Data_Price '!$AT$2:$AT$1266,0))</f>
        <v/>
      </c>
      <c r="DG1003">
        <f>INDEX('Data_Price '!AP$2:AP$1266,MATCH(Data!$DN1003,'Data_Price '!$AT$2:$AT$1266,0))</f>
        <v/>
      </c>
      <c r="DH1003">
        <f>INDEX('Data_Price '!AQ$2:AQ$1266,MATCH(Data!$DN1003,'Data_Price '!$AT$2:$AT$1266,0))</f>
        <v/>
      </c>
      <c r="DI1003">
        <f>INDEX('Data_Price '!AR$2:AR$1266,MATCH(Data!$DN1003,'Data_Price '!$AT$2:$AT$1266,0))</f>
        <v/>
      </c>
      <c r="DJ1003" s="138">
        <f>DA1003</f>
        <v/>
      </c>
      <c r="DK1003" s="138">
        <f>DE1003</f>
        <v/>
      </c>
      <c r="DL1003" s="138">
        <f>DI1003</f>
        <v/>
      </c>
      <c r="DM1003" s="303">
        <f>IF(LEFT(BT1003,1)=" ",RIGHT(BT1003,LEN(BT1003)-1),BT1003)</f>
        <v/>
      </c>
      <c r="DN1003" s="138">
        <f>_xlfn.CONCAT(BS1003,DM1003,BU1003,BV1003)</f>
        <v/>
      </c>
      <c r="DO1003" s="307" t="n"/>
    </row>
    <row r="1004" ht="15.6" customHeight="1" s="184">
      <c r="B1004" s="303">
        <f t="array" ref="B1004">IF(OR(ISERROR(K1004:P1004)),FALSE,TRUE)</f>
        <v/>
      </c>
      <c r="C1004" s="60">
        <f>OR(BR1004=Driver!$G$50,Data!BR65=Driver!$H$50)</f>
        <v/>
      </c>
      <c r="D1004" s="60">
        <f>OR(BV1004=Driver!$G$51,BV1004=Driver!$H$51)</f>
        <v/>
      </c>
      <c r="E1004" s="60">
        <f>AND(BX1004&gt;Driver!$F$54,BX1004&lt;Driver!$G$54)</f>
        <v/>
      </c>
      <c r="F1004" s="60">
        <f>CL1004&gt;Driver!$F$56</f>
        <v/>
      </c>
      <c r="G1004" s="60">
        <f>AND(CB1004&gt;Driver!$F$55,CB1004&lt;Driver!$G$55)</f>
        <v/>
      </c>
      <c r="H1004" s="60">
        <f>AND(B1004:G1004)</f>
        <v/>
      </c>
      <c r="I1004" s="60">
        <f>COUNTIFS($H$9:$H$1273,TRUE,$BT$9:$BT$1273,BT1004)</f>
        <v/>
      </c>
      <c r="J1004" s="60">
        <f t="array" ref="J1004">NOT(OR(($H$9:$H$1273=TRUE)*($I$9:$I$1273&gt;0)*($BT$9:$BT$1273=BT1004)*($K$9:$K$1273&gt;K1004)))</f>
        <v/>
      </c>
      <c r="K1004" s="108">
        <f>IFERROR(1-AVERAGE(X1004:Y1004),"")</f>
        <v/>
      </c>
      <c r="L1004" s="108">
        <f>1-X1004</f>
        <v/>
      </c>
      <c r="M1004" s="108">
        <f>1-Y1004</f>
        <v/>
      </c>
      <c r="N1004" s="108">
        <f>1-Z1004</f>
        <v/>
      </c>
      <c r="O1004" s="108">
        <f>1-AA1004</f>
        <v/>
      </c>
      <c r="P1004" s="108">
        <f>1-AB1004</f>
        <v/>
      </c>
      <c r="Q1004" s="108" t="n"/>
      <c r="R1004" s="108" t="n"/>
      <c r="S1004" s="108">
        <f>1-AE1004</f>
        <v/>
      </c>
      <c r="T1004" s="108">
        <f>1-AF1004</f>
        <v/>
      </c>
      <c r="U1004" s="108">
        <f>1-AG1004</f>
        <v/>
      </c>
      <c r="V1004" s="108">
        <f>1-AH1004</f>
        <v/>
      </c>
      <c r="W1004" s="108">
        <f>1-AI1004</f>
        <v/>
      </c>
      <c r="X1004" s="108">
        <f>ABS(AJ1004-AJ$1)</f>
        <v/>
      </c>
      <c r="Y1004" s="108">
        <f>AVERAGE(Z1004:AB1004)</f>
        <v/>
      </c>
      <c r="Z1004" s="108">
        <f>ABS(AL1004-AL$1)</f>
        <v/>
      </c>
      <c r="AA1004" s="108">
        <f>ABS(AM1004-AM$1)</f>
        <v/>
      </c>
      <c r="AB1004" s="108">
        <f>ABS(AN1004-AN$1)</f>
        <v/>
      </c>
      <c r="AC1004" s="108" t="n"/>
      <c r="AD1004" s="108" t="n"/>
      <c r="AE1004" s="108">
        <f>ABS(AQ$1-AQ1004)</f>
        <v/>
      </c>
      <c r="AF1004" s="108">
        <f>ABS(AR$1-AR1004)</f>
        <v/>
      </c>
      <c r="AG1004" s="108">
        <f>ABS(AS$1-AS1004)</f>
        <v/>
      </c>
      <c r="AH1004" s="108">
        <f>ABS(AT$1-AT1004)</f>
        <v/>
      </c>
      <c r="AI1004" s="108">
        <f>ABS(AU$1-AU1004)</f>
        <v/>
      </c>
      <c r="AJ1004" s="108">
        <f>(AV1004-Driver!$K$179)/(Driver!$L$179-Driver!$K$179)</f>
        <v/>
      </c>
      <c r="AK1004" s="108">
        <f>(AW1004-Driver!$K$180)/(Driver!$L$180-Driver!$K$180)</f>
        <v/>
      </c>
      <c r="AL1004" s="108">
        <f>(AX1004-Driver!$K$181)/(Driver!$L$181-Driver!$K$181)</f>
        <v/>
      </c>
      <c r="AM1004" s="108">
        <f>(AY1004-Driver!$K$182)/(Driver!$L$182-Driver!$K$182)</f>
        <v/>
      </c>
      <c r="AN1004" s="108">
        <f>(AZ1004-Driver!$K$183)/(Driver!$L$183-Driver!$K$183)</f>
        <v/>
      </c>
      <c r="AO1004" s="108" t="n"/>
      <c r="AP1004" s="108" t="n"/>
      <c r="AQ1004" s="108">
        <f>(BC1004-Driver!$K$188)/(Driver!$L$188-Driver!$K$188)</f>
        <v/>
      </c>
      <c r="AR1004" s="108">
        <f>MIN((BD1004-Driver!$K$189)/(Driver!$L$189-Driver!$K$189),100%)</f>
        <v/>
      </c>
      <c r="AS1004" s="108">
        <f>(BE1004-Driver!$K$190)/(Driver!$L$190-Driver!$K$190)</f>
        <v/>
      </c>
      <c r="AT1004" s="108">
        <f>(BF1004-Driver!$K$191)/(Driver!$L$191-Driver!$K$191)</f>
        <v/>
      </c>
      <c r="AU1004" s="108">
        <f>(BG1004-Driver!$K$192)/(Driver!$L$192-Driver!$K$192)</f>
        <v/>
      </c>
      <c r="AV1004" s="105">
        <f>IFERROR(BM1004*BJ1004^1/4,"")</f>
        <v/>
      </c>
      <c r="AW1004" s="105">
        <f>IFERROR(SUM(AX1004:AZ1004),"")</f>
        <v/>
      </c>
      <c r="AX1004" s="105">
        <f>IFERROR(BH1004,"")</f>
        <v/>
      </c>
      <c r="AY1004" s="105">
        <f>IFERROR(Driver!$K$19/Data!BH1004/Data!BI1004*Data!BK1004*Data!BL1004,"")</f>
        <v/>
      </c>
      <c r="AZ1004" s="105">
        <f>IFERROR(BI1004*BN1004,"")</f>
        <v/>
      </c>
      <c r="BA1004" s="105" t="n"/>
      <c r="BB1004" s="105" t="n"/>
      <c r="BC1004" s="105">
        <f>IFERROR(BI1004*BN1004*BK1004/BJ1004^(1/2),"")</f>
        <v/>
      </c>
      <c r="BD1004" s="105">
        <f>IFERROR(BH1004*BM1004*BL1004/BJ1004/BK1004,"")</f>
        <v/>
      </c>
      <c r="BE1004" s="105">
        <f>IFERROR(MIN(BI1004/BQ1004/BP1004/BO1004/BH1004,$BE$1),"")</f>
        <v/>
      </c>
      <c r="BF1004" s="105">
        <f>IFERROR(BJ1004*BO1004*BP1004/BK1004,"")</f>
        <v/>
      </c>
      <c r="BG1004" s="105">
        <f>IFERROR(1/BM1004/BH1004*BQ1004,"")</f>
        <v/>
      </c>
      <c r="BH1004" s="102">
        <f>MAX((CE1004-Driver!$F$200)/(Driver!$G$200-Driver!$F$200)*$BI$1,1)</f>
        <v/>
      </c>
      <c r="BI1004" s="102">
        <f>MAX($BI$1*(BY1004-Driver!$F$201)/(Driver!$G$201-Driver!$F$201),1)</f>
        <v/>
      </c>
      <c r="BJ1004" s="102">
        <f>(CB1004-Driver!$F$206)/(Driver!$G$206-Driver!$F$206)*$BI$1</f>
        <v/>
      </c>
      <c r="BK1004" s="102">
        <f>(CD1004-Driver!$F$203)/(Driver!$G$203-Driver!$F$203)*$BI$1</f>
        <v/>
      </c>
      <c r="BL1004" s="102">
        <f>MAX((CR1004-Driver!$F$202)/(Driver!$G$202-Driver!$F$202)*$BI$1,1)</f>
        <v/>
      </c>
      <c r="BM1004" s="102">
        <f>MAX((CH1004-Driver!$F$204)/(Driver!$G$204-Driver!$F$204)*$BI$1,1)</f>
        <v/>
      </c>
      <c r="BN1004" s="102">
        <f>(CI1004-Driver!$F$205)/(Driver!$G$205-Driver!$F$205)*$BI$1</f>
        <v/>
      </c>
      <c r="BO1004" s="102">
        <f>(CK1004-Driver!$F$207)/(Driver!$G$207-Driver!$F$207)*$BI$1</f>
        <v/>
      </c>
      <c r="BP1004" s="102">
        <f>(CM1004-Driver!$F$208)/(Driver!$G$208-Driver!$F$208)*$BI$1</f>
        <v/>
      </c>
      <c r="BQ1004" s="102">
        <f>(CL1004-Driver!$F$209)/(Driver!$G$209-Driver!$F$209)*$BI$1</f>
        <v/>
      </c>
      <c r="BR1004" s="40" t="inlineStr">
        <is>
          <t>21/22</t>
        </is>
      </c>
      <c r="BS1004" s="10" t="inlineStr">
        <is>
          <t xml:space="preserve"> Armada</t>
        </is>
      </c>
      <c r="BT1004" s="11" t="inlineStr">
        <is>
          <t>Declivity 108 Ti</t>
        </is>
      </c>
      <c r="BU1004" s="13" t="n">
        <v>182</v>
      </c>
      <c r="BV1004" s="11" t="inlineStr">
        <is>
          <t xml:space="preserve"> Unisex</t>
        </is>
      </c>
      <c r="BW1004" s="13" t="n">
        <v>182</v>
      </c>
      <c r="BX1004" s="13" t="n">
        <v>181.5</v>
      </c>
      <c r="BY1004" s="13" t="n">
        <v>126</v>
      </c>
      <c r="BZ1004" s="13" t="n">
        <v>147</v>
      </c>
      <c r="CA1004" s="13" t="n">
        <v>135</v>
      </c>
      <c r="CB1004" s="13" t="n">
        <v>107</v>
      </c>
      <c r="CC1004" s="13" t="n">
        <v>124</v>
      </c>
      <c r="CD1004" s="13" t="n">
        <v>22.1</v>
      </c>
      <c r="CE1004" s="13" t="n">
        <v>1962</v>
      </c>
      <c r="CF1004" s="13" t="n">
        <v>1.07</v>
      </c>
      <c r="CG1004" s="13" t="n">
        <v>2102</v>
      </c>
      <c r="CH1004" s="13" t="n">
        <v>251</v>
      </c>
      <c r="CI1004" s="13" t="n">
        <v>152</v>
      </c>
      <c r="CJ1004" s="13" t="n">
        <v>56</v>
      </c>
      <c r="CK1004" s="13" t="n">
        <v>369</v>
      </c>
      <c r="CL1004" s="13" t="n">
        <v>25</v>
      </c>
      <c r="CM1004" s="13" t="n">
        <v>187</v>
      </c>
      <c r="CN1004" s="13" t="n">
        <v>0.453</v>
      </c>
      <c r="CO1004" s="13" t="n">
        <v>210</v>
      </c>
      <c r="CP1004" s="13" t="n">
        <v>139</v>
      </c>
      <c r="CQ1004" s="13" t="n">
        <v>159</v>
      </c>
      <c r="CR1004" s="13" t="n">
        <v>7</v>
      </c>
      <c r="CS1004" s="13" t="n">
        <v>10.6</v>
      </c>
      <c r="CT1004" s="11" t="inlineStr">
        <is>
          <t xml:space="preserve"> Powder</t>
        </is>
      </c>
      <c r="CU1004" s="11" t="inlineStr">
        <is>
          <t xml:space="preserve"> Touring</t>
        </is>
      </c>
      <c r="CV1004" s="13" t="n"/>
      <c r="CW1004" s="13" t="n"/>
      <c r="CX1004">
        <f>INDEX('Data_Price '!AG$2:AG$1266,MATCH(Data!$DN1004,'Data_Price '!$AT$2:$AT$1266,0))</f>
        <v/>
      </c>
      <c r="CY1004">
        <f>INDEX('Data_Price '!AH$2:AH$1266,MATCH(Data!$DN1004,'Data_Price '!$AT$2:$AT$1266,0))</f>
        <v/>
      </c>
      <c r="CZ1004">
        <f>INDEX('Data_Price '!AI$2:AI$1266,MATCH(Data!$DN1004,'Data_Price '!$AT$2:$AT$1266,0))</f>
        <v/>
      </c>
      <c r="DA1004">
        <f>INDEX('Data_Price '!AJ$2:AJ$1266,MATCH(Data!$DN1004,'Data_Price '!$AT$2:$AT$1266,0))</f>
        <v/>
      </c>
      <c r="DB1004">
        <f>INDEX('Data_Price '!AK$2:AK$1266,MATCH(Data!$DN1004,'Data_Price '!$AT$2:$AT$1266,0))</f>
        <v/>
      </c>
      <c r="DC1004">
        <f>INDEX('Data_Price '!AL$2:AL$1266,MATCH(Data!$DN1004,'Data_Price '!$AT$2:$AT$1266,0))</f>
        <v/>
      </c>
      <c r="DD1004">
        <f>INDEX('Data_Price '!AM$2:AM$1266,MATCH(Data!$DN1004,'Data_Price '!$AT$2:$AT$1266,0))</f>
        <v/>
      </c>
      <c r="DE1004">
        <f>INDEX('Data_Price '!AN$2:AN$1266,MATCH(Data!$DN1004,'Data_Price '!$AT$2:$AT$1266,0))</f>
        <v/>
      </c>
      <c r="DF1004">
        <f>INDEX('Data_Price '!AO$2:AO$1266,MATCH(Data!$DN1004,'Data_Price '!$AT$2:$AT$1266,0))</f>
        <v/>
      </c>
      <c r="DG1004">
        <f>INDEX('Data_Price '!AP$2:AP$1266,MATCH(Data!$DN1004,'Data_Price '!$AT$2:$AT$1266,0))</f>
        <v/>
      </c>
      <c r="DH1004">
        <f>INDEX('Data_Price '!AQ$2:AQ$1266,MATCH(Data!$DN1004,'Data_Price '!$AT$2:$AT$1266,0))</f>
        <v/>
      </c>
      <c r="DI1004">
        <f>INDEX('Data_Price '!AR$2:AR$1266,MATCH(Data!$DN1004,'Data_Price '!$AT$2:$AT$1266,0))</f>
        <v/>
      </c>
      <c r="DJ1004" s="138">
        <f>DA1004</f>
        <v/>
      </c>
      <c r="DK1004" s="138">
        <f>DE1004</f>
        <v/>
      </c>
      <c r="DL1004" s="138">
        <f>DI1004</f>
        <v/>
      </c>
      <c r="DM1004" s="303">
        <f>IF(LEFT(BT1004,1)=" ",RIGHT(BT1004,LEN(BT1004)-1),BT1004)</f>
        <v/>
      </c>
      <c r="DN1004" s="138">
        <f>_xlfn.CONCAT(BS1004,DM1004,BU1004,BV1004)</f>
        <v/>
      </c>
      <c r="DO1004" s="307" t="inlineStr">
        <is>
          <t>https://images.evo.com/imgp/250/198707/839677/clone.jpg</t>
        </is>
      </c>
    </row>
    <row r="1005" ht="15.6" customHeight="1" s="184">
      <c r="B1005" s="303">
        <f t="array" ref="B1005">IF(OR(ISERROR(K1005:P1005)),FALSE,TRUE)</f>
        <v/>
      </c>
      <c r="C1005" s="60">
        <f>OR(BR1005=Driver!$G$50,Data!BR370=Driver!$H$50)</f>
        <v/>
      </c>
      <c r="D1005" s="60">
        <f>OR(BV1005=Driver!$G$51,BV1005=Driver!$H$51)</f>
        <v/>
      </c>
      <c r="E1005" s="60">
        <f>AND(BX1005&gt;Driver!$F$54,BX1005&lt;Driver!$G$54)</f>
        <v/>
      </c>
      <c r="F1005" s="60">
        <f>CL1005&gt;Driver!$F$56</f>
        <v/>
      </c>
      <c r="G1005" s="60">
        <f>AND(CB1005&gt;Driver!$F$55,CB1005&lt;Driver!$G$55)</f>
        <v/>
      </c>
      <c r="H1005" s="60">
        <f>AND(B1005:G1005)</f>
        <v/>
      </c>
      <c r="I1005" s="60">
        <f>COUNTIFS($H$9:$H$1273,TRUE,$BT$9:$BT$1273,BT1005)</f>
        <v/>
      </c>
      <c r="J1005" s="60">
        <f t="array" ref="J1005">NOT(OR(($H$9:$H$1273=TRUE)*($I$9:$I$1273&gt;0)*($BT$9:$BT$1273=BT1005)*($K$9:$K$1273&gt;K1005)))</f>
        <v/>
      </c>
      <c r="K1005" s="108">
        <f>IFERROR(1-AVERAGE(X1005:Y1005),"")</f>
        <v/>
      </c>
      <c r="L1005" s="108">
        <f>1-X1005</f>
        <v/>
      </c>
      <c r="M1005" s="108">
        <f>1-Y1005</f>
        <v/>
      </c>
      <c r="N1005" s="108">
        <f>1-Z1005</f>
        <v/>
      </c>
      <c r="O1005" s="108">
        <f>1-AA1005</f>
        <v/>
      </c>
      <c r="P1005" s="108">
        <f>1-AB1005</f>
        <v/>
      </c>
      <c r="Q1005" s="108" t="n"/>
      <c r="R1005" s="108" t="n"/>
      <c r="S1005" s="108">
        <f>1-AE1005</f>
        <v/>
      </c>
      <c r="T1005" s="108">
        <f>1-AF1005</f>
        <v/>
      </c>
      <c r="U1005" s="108">
        <f>1-AG1005</f>
        <v/>
      </c>
      <c r="V1005" s="108">
        <f>1-AH1005</f>
        <v/>
      </c>
      <c r="W1005" s="108">
        <f>1-AI1005</f>
        <v/>
      </c>
      <c r="X1005" s="108">
        <f>ABS(AJ1005-AJ$1)</f>
        <v/>
      </c>
      <c r="Y1005" s="108">
        <f>AVERAGE(Z1005:AB1005)</f>
        <v/>
      </c>
      <c r="Z1005" s="108">
        <f>ABS(AL1005-AL$1)</f>
        <v/>
      </c>
      <c r="AA1005" s="108">
        <f>ABS(AM1005-AM$1)</f>
        <v/>
      </c>
      <c r="AB1005" s="108">
        <f>ABS(AN1005-AN$1)</f>
        <v/>
      </c>
      <c r="AC1005" s="108" t="n"/>
      <c r="AD1005" s="108" t="n"/>
      <c r="AE1005" s="108">
        <f>ABS(AQ$1-AQ1005)</f>
        <v/>
      </c>
      <c r="AF1005" s="108">
        <f>ABS(AR$1-AR1005)</f>
        <v/>
      </c>
      <c r="AG1005" s="108">
        <f>ABS(AS$1-AS1005)</f>
        <v/>
      </c>
      <c r="AH1005" s="108">
        <f>ABS(AT$1-AT1005)</f>
        <v/>
      </c>
      <c r="AI1005" s="108">
        <f>ABS(AU$1-AU1005)</f>
        <v/>
      </c>
      <c r="AJ1005" s="108">
        <f>(AV1005-Driver!$K$179)/(Driver!$L$179-Driver!$K$179)</f>
        <v/>
      </c>
      <c r="AK1005" s="108">
        <f>(AW1005-Driver!$K$180)/(Driver!$L$180-Driver!$K$180)</f>
        <v/>
      </c>
      <c r="AL1005" s="108">
        <f>(AX1005-Driver!$K$181)/(Driver!$L$181-Driver!$K$181)</f>
        <v/>
      </c>
      <c r="AM1005" s="108">
        <f>(AY1005-Driver!$K$182)/(Driver!$L$182-Driver!$K$182)</f>
        <v/>
      </c>
      <c r="AN1005" s="108">
        <f>(AZ1005-Driver!$K$183)/(Driver!$L$183-Driver!$K$183)</f>
        <v/>
      </c>
      <c r="AO1005" s="108" t="n"/>
      <c r="AP1005" s="108" t="n"/>
      <c r="AQ1005" s="108">
        <f>(BC1005-Driver!$K$188)/(Driver!$L$188-Driver!$K$188)</f>
        <v/>
      </c>
      <c r="AR1005" s="108">
        <f>MIN((BD1005-Driver!$K$189)/(Driver!$L$189-Driver!$K$189),100%)</f>
        <v/>
      </c>
      <c r="AS1005" s="108">
        <f>(BE1005-Driver!$K$190)/(Driver!$L$190-Driver!$K$190)</f>
        <v/>
      </c>
      <c r="AT1005" s="108">
        <f>(BF1005-Driver!$K$191)/(Driver!$L$191-Driver!$K$191)</f>
        <v/>
      </c>
      <c r="AU1005" s="108">
        <f>(BG1005-Driver!$K$192)/(Driver!$L$192-Driver!$K$192)</f>
        <v/>
      </c>
      <c r="AV1005" s="105">
        <f>IFERROR(BM1005*BJ1005^1/4,"")</f>
        <v/>
      </c>
      <c r="AW1005" s="105">
        <f>IFERROR(SUM(AX1005:AZ1005),"")</f>
        <v/>
      </c>
      <c r="AX1005" s="105">
        <f>IFERROR(BH1005,"")</f>
        <v/>
      </c>
      <c r="AY1005" s="105">
        <f>IFERROR(Driver!$K$19/Data!BH1005/Data!BI1005*Data!BK1005*Data!BL1005,"")</f>
        <v/>
      </c>
      <c r="AZ1005" s="105">
        <f>IFERROR(BI1005*BN1005,"")</f>
        <v/>
      </c>
      <c r="BA1005" s="105" t="n"/>
      <c r="BB1005" s="105" t="n"/>
      <c r="BC1005" s="105">
        <f>IFERROR(BI1005*BN1005*BK1005/BJ1005^(1/2),"")</f>
        <v/>
      </c>
      <c r="BD1005" s="105">
        <f>IFERROR(BH1005*BM1005*BL1005/BJ1005/BK1005,"")</f>
        <v/>
      </c>
      <c r="BE1005" s="105">
        <f>IFERROR(MIN(BI1005/BQ1005/BP1005/BO1005/BH1005,$BE$1),"")</f>
        <v/>
      </c>
      <c r="BF1005" s="105">
        <f>IFERROR(BJ1005*BO1005*BP1005/BK1005,"")</f>
        <v/>
      </c>
      <c r="BG1005" s="105">
        <f>IFERROR(1/BM1005/BH1005*BQ1005,"")</f>
        <v/>
      </c>
      <c r="BH1005" s="102">
        <f>MAX((CE1005-Driver!$F$200)/(Driver!$G$200-Driver!$F$200)*$BI$1,1)</f>
        <v/>
      </c>
      <c r="BI1005" s="102">
        <f>MAX($BI$1*(BY1005-Driver!$F$201)/(Driver!$G$201-Driver!$F$201),1)</f>
        <v/>
      </c>
      <c r="BJ1005" s="102">
        <f>(CB1005-Driver!$F$206)/(Driver!$G$206-Driver!$F$206)*$BI$1</f>
        <v/>
      </c>
      <c r="BK1005" s="102">
        <f>(CD1005-Driver!$F$203)/(Driver!$G$203-Driver!$F$203)*$BI$1</f>
        <v/>
      </c>
      <c r="BL1005" s="102">
        <f>MAX((CR1005-Driver!$F$202)/(Driver!$G$202-Driver!$F$202)*$BI$1,1)</f>
        <v/>
      </c>
      <c r="BM1005" s="102">
        <f>MAX((CH1005-Driver!$F$204)/(Driver!$G$204-Driver!$F$204)*$BI$1,1)</f>
        <v/>
      </c>
      <c r="BN1005" s="102">
        <f>(CI1005-Driver!$F$205)/(Driver!$G$205-Driver!$F$205)*$BI$1</f>
        <v/>
      </c>
      <c r="BO1005" s="102">
        <f>(CK1005-Driver!$F$207)/(Driver!$G$207-Driver!$F$207)*$BI$1</f>
        <v/>
      </c>
      <c r="BP1005" s="102">
        <f>(CM1005-Driver!$F$208)/(Driver!$G$208-Driver!$F$208)*$BI$1</f>
        <v/>
      </c>
      <c r="BQ1005" s="102">
        <f>(CL1005-Driver!$F$209)/(Driver!$G$209-Driver!$F$209)*$BI$1</f>
        <v/>
      </c>
      <c r="BR1005" s="40" t="inlineStr">
        <is>
          <t>21/22</t>
        </is>
      </c>
      <c r="BS1005" s="10" t="inlineStr">
        <is>
          <t xml:space="preserve"> Dynafit</t>
        </is>
      </c>
      <c r="BT1005" s="11" t="inlineStr">
        <is>
          <t>Blacklight 88</t>
        </is>
      </c>
      <c r="BU1005" s="13" t="n">
        <v>165</v>
      </c>
      <c r="BV1005" s="11" t="inlineStr">
        <is>
          <t xml:space="preserve"> Unisex</t>
        </is>
      </c>
      <c r="BW1005" s="13" t="n">
        <v>165</v>
      </c>
      <c r="BX1005" s="13" t="n">
        <v>163.1</v>
      </c>
      <c r="BY1005" s="13" t="n">
        <v>114</v>
      </c>
      <c r="BZ1005" s="13" t="n">
        <v>140</v>
      </c>
      <c r="CA1005" s="13" t="n">
        <v>121</v>
      </c>
      <c r="CB1005" s="13" t="n">
        <v>86</v>
      </c>
      <c r="CC1005" s="13" t="n">
        <v>109</v>
      </c>
      <c r="CD1005" s="13" t="n">
        <v>16.6</v>
      </c>
      <c r="CE1005" s="13" t="n">
        <v>1101</v>
      </c>
      <c r="CF1005" s="13" t="n">
        <v>1.43</v>
      </c>
      <c r="CG1005" s="13" t="n">
        <v>1571</v>
      </c>
      <c r="CH1005" s="13" t="n">
        <v>228</v>
      </c>
      <c r="CI1005" s="13" t="n">
        <v>77</v>
      </c>
      <c r="CJ1005" s="13" t="n">
        <v>54</v>
      </c>
      <c r="CK1005" s="13" t="n">
        <v>318</v>
      </c>
      <c r="CL1005" s="13" t="n">
        <v>12</v>
      </c>
      <c r="CM1005" s="13" t="n">
        <v>168</v>
      </c>
      <c r="CN1005" s="13" t="n">
        <v>0.225</v>
      </c>
      <c r="CO1005" s="13" t="n">
        <v>140</v>
      </c>
      <c r="CP1005" s="13" t="n">
        <v>93</v>
      </c>
      <c r="CQ1005" s="13" t="n">
        <v>179</v>
      </c>
      <c r="CR1005" s="13" t="n">
        <v>5</v>
      </c>
      <c r="CS1005" s="13" t="n">
        <v>12.4</v>
      </c>
      <c r="CT1005" s="11" t="inlineStr">
        <is>
          <t xml:space="preserve"> Touring</t>
        </is>
      </c>
      <c r="CU1005" s="11" t="inlineStr">
        <is>
          <t xml:space="preserve"> Ultralight Touring</t>
        </is>
      </c>
      <c r="CV1005" s="13" t="n"/>
      <c r="CW1005" s="13" t="n"/>
      <c r="CX1005">
        <f>INDEX('Data_Price '!AG$2:AG$1266,MATCH(Data!$DN1005,'Data_Price '!$AT$2:$AT$1266,0))</f>
        <v/>
      </c>
      <c r="CY1005">
        <f>INDEX('Data_Price '!AH$2:AH$1266,MATCH(Data!$DN1005,'Data_Price '!$AT$2:$AT$1266,0))</f>
        <v/>
      </c>
      <c r="CZ1005">
        <f>INDEX('Data_Price '!AI$2:AI$1266,MATCH(Data!$DN1005,'Data_Price '!$AT$2:$AT$1266,0))</f>
        <v/>
      </c>
      <c r="DA1005">
        <f>INDEX('Data_Price '!AJ$2:AJ$1266,MATCH(Data!$DN1005,'Data_Price '!$AT$2:$AT$1266,0))</f>
        <v/>
      </c>
      <c r="DB1005">
        <f>INDEX('Data_Price '!AK$2:AK$1266,MATCH(Data!$DN1005,'Data_Price '!$AT$2:$AT$1266,0))</f>
        <v/>
      </c>
      <c r="DC1005">
        <f>INDEX('Data_Price '!AL$2:AL$1266,MATCH(Data!$DN1005,'Data_Price '!$AT$2:$AT$1266,0))</f>
        <v/>
      </c>
      <c r="DD1005">
        <f>INDEX('Data_Price '!AM$2:AM$1266,MATCH(Data!$DN1005,'Data_Price '!$AT$2:$AT$1266,0))</f>
        <v/>
      </c>
      <c r="DE1005">
        <f>INDEX('Data_Price '!AN$2:AN$1266,MATCH(Data!$DN1005,'Data_Price '!$AT$2:$AT$1266,0))</f>
        <v/>
      </c>
      <c r="DF1005">
        <f>INDEX('Data_Price '!AO$2:AO$1266,MATCH(Data!$DN1005,'Data_Price '!$AT$2:$AT$1266,0))</f>
        <v/>
      </c>
      <c r="DG1005">
        <f>INDEX('Data_Price '!AP$2:AP$1266,MATCH(Data!$DN1005,'Data_Price '!$AT$2:$AT$1266,0))</f>
        <v/>
      </c>
      <c r="DH1005">
        <f>INDEX('Data_Price '!AQ$2:AQ$1266,MATCH(Data!$DN1005,'Data_Price '!$AT$2:$AT$1266,0))</f>
        <v/>
      </c>
      <c r="DI1005">
        <f>INDEX('Data_Price '!AR$2:AR$1266,MATCH(Data!$DN1005,'Data_Price '!$AT$2:$AT$1266,0))</f>
        <v/>
      </c>
      <c r="DJ1005" s="138">
        <f>DA1005</f>
        <v/>
      </c>
      <c r="DK1005" s="138">
        <f>DE1005</f>
        <v/>
      </c>
      <c r="DL1005" s="138">
        <f>DI1005</f>
        <v/>
      </c>
      <c r="DM1005" s="303">
        <f>IF(LEFT(BT1005,1)=" ",RIGHT(BT1005,LEN(BT1005)-1),BT1005)</f>
        <v/>
      </c>
      <c r="DN1005" s="138">
        <f>_xlfn.CONCAT(BS1005,DM1005,BU1005,BV1005)</f>
        <v/>
      </c>
      <c r="DO1005" s="307" t="inlineStr">
        <is>
          <t>https://images.evo.com/imgp/250/208963/851016/dynafit-blacklight-88-skis-2022-.jpg</t>
        </is>
      </c>
    </row>
    <row r="1006" ht="15.6" customHeight="1" s="184">
      <c r="B1006" s="303">
        <f t="array" ref="B1006">IF(OR(ISERROR(K1006:P1006)),FALSE,TRUE)</f>
        <v/>
      </c>
      <c r="C1006" s="60">
        <f>OR(BR1006=Driver!$G$50,Data!BR1163=Driver!$H$50)</f>
        <v/>
      </c>
      <c r="D1006" s="60">
        <f>OR(BV1006=Driver!$G$51,BV1006=Driver!$H$51)</f>
        <v/>
      </c>
      <c r="E1006" s="60">
        <f>AND(BX1006&gt;Driver!$F$54,BX1006&lt;Driver!$G$54)</f>
        <v/>
      </c>
      <c r="F1006" s="60">
        <f>CL1006&gt;Driver!$F$56</f>
        <v/>
      </c>
      <c r="G1006" s="60">
        <f>AND(CB1006&gt;Driver!$F$55,CB1006&lt;Driver!$G$55)</f>
        <v/>
      </c>
      <c r="H1006" s="60">
        <f>AND(B1006:G1006)</f>
        <v/>
      </c>
      <c r="I1006" s="60">
        <f>COUNTIFS($H$9:$H$1273,TRUE,$BT$9:$BT$1273,BT1006)</f>
        <v/>
      </c>
      <c r="J1006" s="60">
        <f t="array" ref="J1006">NOT(OR(($H$9:$H$1273=TRUE)*($I$9:$I$1273&gt;0)*($BT$9:$BT$1273=BT1006)*($K$9:$K$1273&gt;K1006)))</f>
        <v/>
      </c>
      <c r="K1006" s="108">
        <f>IFERROR(1-AVERAGE(X1006:Y1006),"")</f>
        <v/>
      </c>
      <c r="L1006" s="108">
        <f>1-X1006</f>
        <v/>
      </c>
      <c r="M1006" s="108">
        <f>1-Y1006</f>
        <v/>
      </c>
      <c r="N1006" s="108">
        <f>1-Z1006</f>
        <v/>
      </c>
      <c r="O1006" s="108">
        <f>1-AA1006</f>
        <v/>
      </c>
      <c r="P1006" s="108">
        <f>1-AB1006</f>
        <v/>
      </c>
      <c r="Q1006" s="108" t="n"/>
      <c r="R1006" s="108" t="n"/>
      <c r="S1006" s="108">
        <f>1-AE1006</f>
        <v/>
      </c>
      <c r="T1006" s="108">
        <f>1-AF1006</f>
        <v/>
      </c>
      <c r="U1006" s="108">
        <f>1-AG1006</f>
        <v/>
      </c>
      <c r="V1006" s="108">
        <f>1-AH1006</f>
        <v/>
      </c>
      <c r="W1006" s="108">
        <f>1-AI1006</f>
        <v/>
      </c>
      <c r="X1006" s="108">
        <f>ABS(AJ1006-AJ$1)</f>
        <v/>
      </c>
      <c r="Y1006" s="108">
        <f>AVERAGE(Z1006:AB1006)</f>
        <v/>
      </c>
      <c r="Z1006" s="108">
        <f>ABS(AL1006-AL$1)</f>
        <v/>
      </c>
      <c r="AA1006" s="108">
        <f>ABS(AM1006-AM$1)</f>
        <v/>
      </c>
      <c r="AB1006" s="108">
        <f>ABS(AN1006-AN$1)</f>
        <v/>
      </c>
      <c r="AC1006" s="108" t="n"/>
      <c r="AD1006" s="108" t="n"/>
      <c r="AE1006" s="108">
        <f>ABS(AQ$1-AQ1006)</f>
        <v/>
      </c>
      <c r="AF1006" s="108">
        <f>ABS(AR$1-AR1006)</f>
        <v/>
      </c>
      <c r="AG1006" s="108">
        <f>ABS(AS$1-AS1006)</f>
        <v/>
      </c>
      <c r="AH1006" s="108">
        <f>ABS(AT$1-AT1006)</f>
        <v/>
      </c>
      <c r="AI1006" s="108">
        <f>ABS(AU$1-AU1006)</f>
        <v/>
      </c>
      <c r="AJ1006" s="108">
        <f>(AV1006-Driver!$K$179)/(Driver!$L$179-Driver!$K$179)</f>
        <v/>
      </c>
      <c r="AK1006" s="108">
        <f>(AW1006-Driver!$K$180)/(Driver!$L$180-Driver!$K$180)</f>
        <v/>
      </c>
      <c r="AL1006" s="108">
        <f>(AX1006-Driver!$K$181)/(Driver!$L$181-Driver!$K$181)</f>
        <v/>
      </c>
      <c r="AM1006" s="108">
        <f>(AY1006-Driver!$K$182)/(Driver!$L$182-Driver!$K$182)</f>
        <v/>
      </c>
      <c r="AN1006" s="108">
        <f>(AZ1006-Driver!$K$183)/(Driver!$L$183-Driver!$K$183)</f>
        <v/>
      </c>
      <c r="AO1006" s="108" t="n"/>
      <c r="AP1006" s="108" t="n"/>
      <c r="AQ1006" s="108">
        <f>(BC1006-Driver!$K$188)/(Driver!$L$188-Driver!$K$188)</f>
        <v/>
      </c>
      <c r="AR1006" s="108">
        <f>MIN((BD1006-Driver!$K$189)/(Driver!$L$189-Driver!$K$189),100%)</f>
        <v/>
      </c>
      <c r="AS1006" s="108">
        <f>(BE1006-Driver!$K$190)/(Driver!$L$190-Driver!$K$190)</f>
        <v/>
      </c>
      <c r="AT1006" s="108">
        <f>(BF1006-Driver!$K$191)/(Driver!$L$191-Driver!$K$191)</f>
        <v/>
      </c>
      <c r="AU1006" s="108">
        <f>(BG1006-Driver!$K$192)/(Driver!$L$192-Driver!$K$192)</f>
        <v/>
      </c>
      <c r="AV1006" s="105">
        <f>IFERROR(BM1006*BJ1006^1/4,"")</f>
        <v/>
      </c>
      <c r="AW1006" s="105">
        <f>IFERROR(SUM(AX1006:AZ1006),"")</f>
        <v/>
      </c>
      <c r="AX1006" s="105">
        <f>IFERROR(BH1006,"")</f>
        <v/>
      </c>
      <c r="AY1006" s="105">
        <f>IFERROR(Driver!$K$19/Data!BH1006/Data!BI1006*Data!BK1006*Data!BL1006,"")</f>
        <v/>
      </c>
      <c r="AZ1006" s="105">
        <f>IFERROR(BI1006*BN1006,"")</f>
        <v/>
      </c>
      <c r="BA1006" s="105" t="n"/>
      <c r="BB1006" s="105" t="n"/>
      <c r="BC1006" s="105">
        <f>IFERROR(BI1006*BN1006*BK1006/BJ1006^(1/2),"")</f>
        <v/>
      </c>
      <c r="BD1006" s="105">
        <f>IFERROR(BH1006*BM1006*BL1006/BJ1006/BK1006,"")</f>
        <v/>
      </c>
      <c r="BE1006" s="105">
        <f>IFERROR(MIN(BI1006/BQ1006/BP1006/BO1006/BH1006,$BE$1),"")</f>
        <v/>
      </c>
      <c r="BF1006" s="105">
        <f>IFERROR(BJ1006*BO1006*BP1006/BK1006,"")</f>
        <v/>
      </c>
      <c r="BG1006" s="105">
        <f>IFERROR(1/BM1006/BH1006*BQ1006,"")</f>
        <v/>
      </c>
      <c r="BH1006" s="102">
        <f>MAX((CE1006-Driver!$F$200)/(Driver!$G$200-Driver!$F$200)*$BI$1,1)</f>
        <v/>
      </c>
      <c r="BI1006" s="102">
        <f>MAX($BI$1*(BY1006-Driver!$F$201)/(Driver!$G$201-Driver!$F$201),1)</f>
        <v/>
      </c>
      <c r="BJ1006" s="102">
        <f>(CB1006-Driver!$F$206)/(Driver!$G$206-Driver!$F$206)*$BI$1</f>
        <v/>
      </c>
      <c r="BK1006" s="102">
        <f>(CD1006-Driver!$F$203)/(Driver!$G$203-Driver!$F$203)*$BI$1</f>
        <v/>
      </c>
      <c r="BL1006" s="102">
        <f>MAX((CR1006-Driver!$F$202)/(Driver!$G$202-Driver!$F$202)*$BI$1,1)</f>
        <v/>
      </c>
      <c r="BM1006" s="102">
        <f>MAX((CH1006-Driver!$F$204)/(Driver!$G$204-Driver!$F$204)*$BI$1,1)</f>
        <v/>
      </c>
      <c r="BN1006" s="102">
        <f>(CI1006-Driver!$F$205)/(Driver!$G$205-Driver!$F$205)*$BI$1</f>
        <v/>
      </c>
      <c r="BO1006" s="102">
        <f>(CK1006-Driver!$F$207)/(Driver!$G$207-Driver!$F$207)*$BI$1</f>
        <v/>
      </c>
      <c r="BP1006" s="102">
        <f>(CM1006-Driver!$F$208)/(Driver!$G$208-Driver!$F$208)*$BI$1</f>
        <v/>
      </c>
      <c r="BQ1006" s="102">
        <f>(CL1006-Driver!$F$209)/(Driver!$G$209-Driver!$F$209)*$BI$1</f>
        <v/>
      </c>
      <c r="BR1006" s="40" t="inlineStr">
        <is>
          <t>21/22</t>
        </is>
      </c>
      <c r="BS1006" s="10" t="inlineStr">
        <is>
          <t xml:space="preserve"> Völkl</t>
        </is>
      </c>
      <c r="BT1006" s="11" t="inlineStr">
        <is>
          <t>Blaze 86</t>
        </is>
      </c>
      <c r="BU1006" s="13" t="n">
        <v>159</v>
      </c>
      <c r="BV1006" s="11" t="inlineStr">
        <is>
          <t xml:space="preserve"> Unisex</t>
        </is>
      </c>
      <c r="BW1006" s="13" t="n">
        <v>159</v>
      </c>
      <c r="BX1006" s="13" t="n">
        <v>159.7</v>
      </c>
      <c r="BY1006" s="13" t="n">
        <v>115</v>
      </c>
      <c r="BZ1006" s="13" t="n">
        <v>135</v>
      </c>
      <c r="CA1006" s="13" t="n">
        <v>128</v>
      </c>
      <c r="CB1006" s="13" t="n">
        <v>85</v>
      </c>
      <c r="CC1006" s="13" t="n">
        <v>110</v>
      </c>
      <c r="CD1006" s="13" t="n">
        <v>12.8</v>
      </c>
      <c r="CE1006" s="13" t="n">
        <v>1264</v>
      </c>
      <c r="CF1006" s="13" t="n">
        <v>1.26</v>
      </c>
      <c r="CG1006" s="13" t="n">
        <v>1587</v>
      </c>
      <c r="CH1006" s="13" t="n">
        <v>156</v>
      </c>
      <c r="CI1006" s="13" t="n">
        <v>74</v>
      </c>
      <c r="CJ1006" s="13" t="n">
        <v>47</v>
      </c>
      <c r="CK1006" s="13" t="n">
        <v>277</v>
      </c>
      <c r="CL1006" s="13" t="n">
        <v>17</v>
      </c>
      <c r="CM1006" s="13" t="n">
        <v>170</v>
      </c>
      <c r="CN1006" s="13" t="n">
        <v>0.368</v>
      </c>
      <c r="CO1006" s="13" t="n">
        <v>145</v>
      </c>
      <c r="CP1006" s="13" t="n">
        <v>98</v>
      </c>
      <c r="CQ1006" s="13" t="n">
        <v>133</v>
      </c>
      <c r="CR1006" s="13" t="n">
        <v>3</v>
      </c>
      <c r="CS1006" s="13" t="n">
        <v>11.6</v>
      </c>
      <c r="CT1006" s="11" t="inlineStr">
        <is>
          <t xml:space="preserve"> Resort Freeride</t>
        </is>
      </c>
      <c r="CU1006" s="11" t="inlineStr">
        <is>
          <t xml:space="preserve"> Touring</t>
        </is>
      </c>
      <c r="CV1006" s="11" t="inlineStr">
        <is>
          <t xml:space="preserve"> Ultralight Touring</t>
        </is>
      </c>
      <c r="CW1006" s="13" t="n"/>
      <c r="CX1006">
        <f>INDEX('Data_Price '!AG$2:AG$1266,MATCH(Data!$DN1006,'Data_Price '!$AT$2:$AT$1266,0))</f>
        <v/>
      </c>
      <c r="CY1006">
        <f>INDEX('Data_Price '!AH$2:AH$1266,MATCH(Data!$DN1006,'Data_Price '!$AT$2:$AT$1266,0))</f>
        <v/>
      </c>
      <c r="CZ1006">
        <f>INDEX('Data_Price '!AI$2:AI$1266,MATCH(Data!$DN1006,'Data_Price '!$AT$2:$AT$1266,0))</f>
        <v/>
      </c>
      <c r="DA1006">
        <f>INDEX('Data_Price '!AJ$2:AJ$1266,MATCH(Data!$DN1006,'Data_Price '!$AT$2:$AT$1266,0))</f>
        <v/>
      </c>
      <c r="DB1006">
        <f>INDEX('Data_Price '!AK$2:AK$1266,MATCH(Data!$DN1006,'Data_Price '!$AT$2:$AT$1266,0))</f>
        <v/>
      </c>
      <c r="DC1006">
        <f>INDEX('Data_Price '!AL$2:AL$1266,MATCH(Data!$DN1006,'Data_Price '!$AT$2:$AT$1266,0))</f>
        <v/>
      </c>
      <c r="DD1006">
        <f>INDEX('Data_Price '!AM$2:AM$1266,MATCH(Data!$DN1006,'Data_Price '!$AT$2:$AT$1266,0))</f>
        <v/>
      </c>
      <c r="DE1006">
        <f>INDEX('Data_Price '!AN$2:AN$1266,MATCH(Data!$DN1006,'Data_Price '!$AT$2:$AT$1266,0))</f>
        <v/>
      </c>
      <c r="DF1006">
        <f>INDEX('Data_Price '!AO$2:AO$1266,MATCH(Data!$DN1006,'Data_Price '!$AT$2:$AT$1266,0))</f>
        <v/>
      </c>
      <c r="DG1006">
        <f>INDEX('Data_Price '!AP$2:AP$1266,MATCH(Data!$DN1006,'Data_Price '!$AT$2:$AT$1266,0))</f>
        <v/>
      </c>
      <c r="DH1006">
        <f>INDEX('Data_Price '!AQ$2:AQ$1266,MATCH(Data!$DN1006,'Data_Price '!$AT$2:$AT$1266,0))</f>
        <v/>
      </c>
      <c r="DI1006">
        <f>INDEX('Data_Price '!AR$2:AR$1266,MATCH(Data!$DN1006,'Data_Price '!$AT$2:$AT$1266,0))</f>
        <v/>
      </c>
      <c r="DJ1006" s="138">
        <f>DA1006</f>
        <v/>
      </c>
      <c r="DK1006" s="138">
        <f>DE1006</f>
        <v/>
      </c>
      <c r="DL1006" s="138">
        <f>DI1006</f>
        <v/>
      </c>
      <c r="DM1006" s="303">
        <f>IF(LEFT(BT1006,1)=" ",RIGHT(BT1006,LEN(BT1006)-1),BT1006)</f>
        <v/>
      </c>
      <c r="DN1006" s="138">
        <f>_xlfn.CONCAT(BS1006,DM1006,BU1006,BV1006)</f>
        <v/>
      </c>
      <c r="DO1006" s="307" t="inlineStr">
        <is>
          <t>https://images.evo.com/imgp/250/208358/837604/clone.jpg</t>
        </is>
      </c>
    </row>
    <row r="1007" ht="15.6" customHeight="1" s="184">
      <c r="B1007" s="303">
        <f t="array" ref="B1007">IF(OR(ISERROR(K1007:P1007)),FALSE,TRUE)</f>
        <v/>
      </c>
      <c r="C1007" s="60">
        <f>OR(BR1007=Driver!$G$50,Data!BR124=Driver!$H$50)</f>
        <v/>
      </c>
      <c r="D1007" s="60">
        <f>OR(BV1007=Driver!$G$51,BV1007=Driver!$H$51)</f>
        <v/>
      </c>
      <c r="E1007" s="60">
        <f>AND(BX1007&gt;Driver!$F$54,BX1007&lt;Driver!$G$54)</f>
        <v/>
      </c>
      <c r="F1007" s="60">
        <f>CL1007&gt;Driver!$F$56</f>
        <v/>
      </c>
      <c r="G1007" s="60">
        <f>AND(CB1007&gt;Driver!$F$55,CB1007&lt;Driver!$G$55)</f>
        <v/>
      </c>
      <c r="H1007" s="60">
        <f>AND(B1007:G1007)</f>
        <v/>
      </c>
      <c r="I1007" s="60">
        <f>COUNTIFS($H$9:$H$1273,TRUE,$BT$9:$BT$1273,BT1007)</f>
        <v/>
      </c>
      <c r="J1007" s="60">
        <f t="array" ref="J1007">NOT(OR(($H$9:$H$1273=TRUE)*($I$9:$I$1273&gt;0)*($BT$9:$BT$1273=BT1007)*($K$9:$K$1273&gt;K1007)))</f>
        <v/>
      </c>
      <c r="K1007" s="108">
        <f>IFERROR(1-AVERAGE(X1007:Y1007),"")</f>
        <v/>
      </c>
      <c r="L1007" s="108">
        <f>1-X1007</f>
        <v/>
      </c>
      <c r="M1007" s="108">
        <f>1-Y1007</f>
        <v/>
      </c>
      <c r="N1007" s="108">
        <f>1-Z1007</f>
        <v/>
      </c>
      <c r="O1007" s="108">
        <f>1-AA1007</f>
        <v/>
      </c>
      <c r="P1007" s="108">
        <f>1-AB1007</f>
        <v/>
      </c>
      <c r="Q1007" s="108" t="n"/>
      <c r="R1007" s="108" t="n"/>
      <c r="S1007" s="108">
        <f>1-AE1007</f>
        <v/>
      </c>
      <c r="T1007" s="108">
        <f>1-AF1007</f>
        <v/>
      </c>
      <c r="U1007" s="108">
        <f>1-AG1007</f>
        <v/>
      </c>
      <c r="V1007" s="108">
        <f>1-AH1007</f>
        <v/>
      </c>
      <c r="W1007" s="108">
        <f>1-AI1007</f>
        <v/>
      </c>
      <c r="X1007" s="108">
        <f>ABS(AJ1007-AJ$1)</f>
        <v/>
      </c>
      <c r="Y1007" s="108">
        <f>AVERAGE(Z1007:AB1007)</f>
        <v/>
      </c>
      <c r="Z1007" s="108">
        <f>ABS(AL1007-AL$1)</f>
        <v/>
      </c>
      <c r="AA1007" s="108">
        <f>ABS(AM1007-AM$1)</f>
        <v/>
      </c>
      <c r="AB1007" s="108">
        <f>ABS(AN1007-AN$1)</f>
        <v/>
      </c>
      <c r="AC1007" s="108" t="n"/>
      <c r="AD1007" s="108" t="n"/>
      <c r="AE1007" s="108">
        <f>ABS(AQ$1-AQ1007)</f>
        <v/>
      </c>
      <c r="AF1007" s="108">
        <f>ABS(AR$1-AR1007)</f>
        <v/>
      </c>
      <c r="AG1007" s="108">
        <f>ABS(AS$1-AS1007)</f>
        <v/>
      </c>
      <c r="AH1007" s="108">
        <f>ABS(AT$1-AT1007)</f>
        <v/>
      </c>
      <c r="AI1007" s="108">
        <f>ABS(AU$1-AU1007)</f>
        <v/>
      </c>
      <c r="AJ1007" s="108">
        <f>(AV1007-Driver!$K$179)/(Driver!$L$179-Driver!$K$179)</f>
        <v/>
      </c>
      <c r="AK1007" s="108">
        <f>(AW1007-Driver!$K$180)/(Driver!$L$180-Driver!$K$180)</f>
        <v/>
      </c>
      <c r="AL1007" s="108">
        <f>(AX1007-Driver!$K$181)/(Driver!$L$181-Driver!$K$181)</f>
        <v/>
      </c>
      <c r="AM1007" s="108">
        <f>(AY1007-Driver!$K$182)/(Driver!$L$182-Driver!$K$182)</f>
        <v/>
      </c>
      <c r="AN1007" s="108">
        <f>(AZ1007-Driver!$K$183)/(Driver!$L$183-Driver!$K$183)</f>
        <v/>
      </c>
      <c r="AO1007" s="108" t="n"/>
      <c r="AP1007" s="108" t="n"/>
      <c r="AQ1007" s="108">
        <f>(BC1007-Driver!$K$188)/(Driver!$L$188-Driver!$K$188)</f>
        <v/>
      </c>
      <c r="AR1007" s="108">
        <f>MIN((BD1007-Driver!$K$189)/(Driver!$L$189-Driver!$K$189),100%)</f>
        <v/>
      </c>
      <c r="AS1007" s="108">
        <f>(BE1007-Driver!$K$190)/(Driver!$L$190-Driver!$K$190)</f>
        <v/>
      </c>
      <c r="AT1007" s="108">
        <f>(BF1007-Driver!$K$191)/(Driver!$L$191-Driver!$K$191)</f>
        <v/>
      </c>
      <c r="AU1007" s="108">
        <f>(BG1007-Driver!$K$192)/(Driver!$L$192-Driver!$K$192)</f>
        <v/>
      </c>
      <c r="AV1007" s="105">
        <f>IFERROR(BM1007*BJ1007^1/4,"")</f>
        <v/>
      </c>
      <c r="AW1007" s="105">
        <f>IFERROR(SUM(AX1007:AZ1007),"")</f>
        <v/>
      </c>
      <c r="AX1007" s="105">
        <f>IFERROR(BH1007,"")</f>
        <v/>
      </c>
      <c r="AY1007" s="105">
        <f>IFERROR(Driver!$K$19/Data!BH1007/Data!BI1007*Data!BK1007*Data!BL1007,"")</f>
        <v/>
      </c>
      <c r="AZ1007" s="105">
        <f>IFERROR(BI1007*BN1007,"")</f>
        <v/>
      </c>
      <c r="BA1007" s="105" t="n"/>
      <c r="BB1007" s="105" t="n"/>
      <c r="BC1007" s="105">
        <f>IFERROR(BI1007*BN1007*BK1007/BJ1007^(1/2),"")</f>
        <v/>
      </c>
      <c r="BD1007" s="105">
        <f>IFERROR(BH1007*BM1007*BL1007/BJ1007/BK1007,"")</f>
        <v/>
      </c>
      <c r="BE1007" s="105">
        <f>IFERROR(MIN(BI1007/BQ1007/BP1007/BO1007/BH1007,$BE$1),"")</f>
        <v/>
      </c>
      <c r="BF1007" s="105">
        <f>IFERROR(BJ1007*BO1007*BP1007/BK1007,"")</f>
        <v/>
      </c>
      <c r="BG1007" s="105">
        <f>IFERROR(1/BM1007/BH1007*BQ1007,"")</f>
        <v/>
      </c>
      <c r="BH1007" s="102">
        <f>MAX((CE1007-Driver!$F$200)/(Driver!$G$200-Driver!$F$200)*$BI$1,1)</f>
        <v/>
      </c>
      <c r="BI1007" s="102">
        <f>MAX($BI$1*(BY1007-Driver!$F$201)/(Driver!$G$201-Driver!$F$201),1)</f>
        <v/>
      </c>
      <c r="BJ1007" s="102">
        <f>(CB1007-Driver!$F$206)/(Driver!$G$206-Driver!$F$206)*$BI$1</f>
        <v/>
      </c>
      <c r="BK1007" s="102">
        <f>(CD1007-Driver!$F$203)/(Driver!$G$203-Driver!$F$203)*$BI$1</f>
        <v/>
      </c>
      <c r="BL1007" s="102">
        <f>MAX((CR1007-Driver!$F$202)/(Driver!$G$202-Driver!$F$202)*$BI$1,1)</f>
        <v/>
      </c>
      <c r="BM1007" s="102">
        <f>MAX((CH1007-Driver!$F$204)/(Driver!$G$204-Driver!$F$204)*$BI$1,1)</f>
        <v/>
      </c>
      <c r="BN1007" s="102">
        <f>(CI1007-Driver!$F$205)/(Driver!$G$205-Driver!$F$205)*$BI$1</f>
        <v/>
      </c>
      <c r="BO1007" s="102">
        <f>(CK1007-Driver!$F$207)/(Driver!$G$207-Driver!$F$207)*$BI$1</f>
        <v/>
      </c>
      <c r="BP1007" s="102">
        <f>(CM1007-Driver!$F$208)/(Driver!$G$208-Driver!$F$208)*$BI$1</f>
        <v/>
      </c>
      <c r="BQ1007" s="102">
        <f>(CL1007-Driver!$F$209)/(Driver!$G$209-Driver!$F$209)*$BI$1</f>
        <v/>
      </c>
      <c r="BR1007" s="40" t="inlineStr">
        <is>
          <t>21/22</t>
        </is>
      </c>
      <c r="BS1007" s="10" t="inlineStr">
        <is>
          <t xml:space="preserve"> Atomic</t>
        </is>
      </c>
      <c r="BT1007" s="11" t="inlineStr">
        <is>
          <t>Backland 86 SL</t>
        </is>
      </c>
      <c r="BU1007" s="13" t="n">
        <v>158</v>
      </c>
      <c r="BV1007" s="11" t="inlineStr">
        <is>
          <t xml:space="preserve"> Unisex</t>
        </is>
      </c>
      <c r="BW1007" s="13" t="n">
        <v>158</v>
      </c>
      <c r="BX1007" s="13" t="n">
        <v>157.1</v>
      </c>
      <c r="BY1007" s="13" t="n">
        <v>118</v>
      </c>
      <c r="BZ1007" s="13" t="n">
        <v>130</v>
      </c>
      <c r="CA1007" s="13" t="n">
        <v>115</v>
      </c>
      <c r="CB1007" s="13" t="n">
        <v>86</v>
      </c>
      <c r="CC1007" s="13" t="n">
        <v>103</v>
      </c>
      <c r="CD1007" s="13" t="n">
        <v>15.4</v>
      </c>
      <c r="CE1007" s="13" t="n">
        <v>1116</v>
      </c>
      <c r="CF1007" s="13" t="n">
        <v>1.34</v>
      </c>
      <c r="CG1007" s="13" t="n">
        <v>1490</v>
      </c>
      <c r="CH1007" s="13" t="n">
        <v>150</v>
      </c>
      <c r="CI1007" s="13" t="n">
        <v>68</v>
      </c>
      <c r="CJ1007" s="13" t="n">
        <v>52</v>
      </c>
      <c r="CK1007" s="13" t="n">
        <v>247</v>
      </c>
      <c r="CL1007" s="13" t="n">
        <v>11</v>
      </c>
      <c r="CM1007" s="13" t="n">
        <v>144</v>
      </c>
      <c r="CN1007" s="13" t="n">
        <v>0.216</v>
      </c>
      <c r="CO1007" s="13" t="n">
        <v>156</v>
      </c>
      <c r="CP1007" s="13" t="n">
        <v>117</v>
      </c>
      <c r="CQ1007" s="13" t="n">
        <v>91</v>
      </c>
      <c r="CR1007" s="13" t="n">
        <v>4</v>
      </c>
      <c r="CS1007" s="13" t="n">
        <v>12.4</v>
      </c>
      <c r="CT1007" s="11" t="inlineStr">
        <is>
          <t xml:space="preserve"> Touring</t>
        </is>
      </c>
      <c r="CU1007" s="11" t="inlineStr">
        <is>
          <t xml:space="preserve"> Ultralight Touring</t>
        </is>
      </c>
      <c r="CV1007" s="13" t="n"/>
      <c r="CW1007" s="13" t="n"/>
      <c r="CX1007">
        <f>INDEX('Data_Price '!AG$2:AG$1266,MATCH(Data!$DN1007,'Data_Price '!$AT$2:$AT$1266,0))</f>
        <v/>
      </c>
      <c r="CY1007">
        <f>INDEX('Data_Price '!AH$2:AH$1266,MATCH(Data!$DN1007,'Data_Price '!$AT$2:$AT$1266,0))</f>
        <v/>
      </c>
      <c r="CZ1007">
        <f>INDEX('Data_Price '!AI$2:AI$1266,MATCH(Data!$DN1007,'Data_Price '!$AT$2:$AT$1266,0))</f>
        <v/>
      </c>
      <c r="DA1007">
        <f>INDEX('Data_Price '!AJ$2:AJ$1266,MATCH(Data!$DN1007,'Data_Price '!$AT$2:$AT$1266,0))</f>
        <v/>
      </c>
      <c r="DB1007">
        <f>INDEX('Data_Price '!AK$2:AK$1266,MATCH(Data!$DN1007,'Data_Price '!$AT$2:$AT$1266,0))</f>
        <v/>
      </c>
      <c r="DC1007">
        <f>INDEX('Data_Price '!AL$2:AL$1266,MATCH(Data!$DN1007,'Data_Price '!$AT$2:$AT$1266,0))</f>
        <v/>
      </c>
      <c r="DD1007">
        <f>INDEX('Data_Price '!AM$2:AM$1266,MATCH(Data!$DN1007,'Data_Price '!$AT$2:$AT$1266,0))</f>
        <v/>
      </c>
      <c r="DE1007">
        <f>INDEX('Data_Price '!AN$2:AN$1266,MATCH(Data!$DN1007,'Data_Price '!$AT$2:$AT$1266,0))</f>
        <v/>
      </c>
      <c r="DF1007">
        <f>INDEX('Data_Price '!AO$2:AO$1266,MATCH(Data!$DN1007,'Data_Price '!$AT$2:$AT$1266,0))</f>
        <v/>
      </c>
      <c r="DG1007">
        <f>INDEX('Data_Price '!AP$2:AP$1266,MATCH(Data!$DN1007,'Data_Price '!$AT$2:$AT$1266,0))</f>
        <v/>
      </c>
      <c r="DH1007">
        <f>INDEX('Data_Price '!AQ$2:AQ$1266,MATCH(Data!$DN1007,'Data_Price '!$AT$2:$AT$1266,0))</f>
        <v/>
      </c>
      <c r="DI1007">
        <f>INDEX('Data_Price '!AR$2:AR$1266,MATCH(Data!$DN1007,'Data_Price '!$AT$2:$AT$1266,0))</f>
        <v/>
      </c>
      <c r="DJ1007" s="138">
        <f>DA1007</f>
        <v/>
      </c>
      <c r="DK1007" s="138">
        <f>DE1007</f>
        <v/>
      </c>
      <c r="DL1007" s="138">
        <f>DI1007</f>
        <v/>
      </c>
      <c r="DM1007" s="303">
        <f>IF(LEFT(BT1007,1)=" ",RIGHT(BT1007,LEN(BT1007)-1),BT1007)</f>
        <v/>
      </c>
      <c r="DN1007" s="138">
        <f>_xlfn.CONCAT(BS1007,DM1007,BU1007,BV1007)</f>
        <v/>
      </c>
      <c r="DO1007" s="307" t="n"/>
    </row>
    <row r="1008" ht="15.6" customHeight="1" s="184">
      <c r="B1008" s="303">
        <f t="array" ref="B1008">IF(OR(ISERROR(K1008:P1008)),FALSE,TRUE)</f>
        <v/>
      </c>
      <c r="C1008" s="60">
        <f>OR(BR1008=Driver!$G$50,Data!BR752=Driver!$H$50)</f>
        <v/>
      </c>
      <c r="D1008" s="60">
        <f>OR(BV1008=Driver!$G$51,BV1008=Driver!$H$51)</f>
        <v/>
      </c>
      <c r="E1008" s="60">
        <f>AND(BX1008&gt;Driver!$F$54,BX1008&lt;Driver!$G$54)</f>
        <v/>
      </c>
      <c r="F1008" s="60">
        <f>CL1008&gt;Driver!$F$56</f>
        <v/>
      </c>
      <c r="G1008" s="60">
        <f>AND(CB1008&gt;Driver!$F$55,CB1008&lt;Driver!$G$55)</f>
        <v/>
      </c>
      <c r="H1008" s="60">
        <f>AND(B1008:G1008)</f>
        <v/>
      </c>
      <c r="I1008" s="60">
        <f>COUNTIFS($H$9:$H$1273,TRUE,$BT$9:$BT$1273,BT1008)</f>
        <v/>
      </c>
      <c r="J1008" s="60">
        <f t="array" ref="J1008">NOT(OR(($H$9:$H$1273=TRUE)*($I$9:$I$1273&gt;0)*($BT$9:$BT$1273=BT1008)*($K$9:$K$1273&gt;K1008)))</f>
        <v/>
      </c>
      <c r="K1008" s="108">
        <f>IFERROR(1-AVERAGE(X1008:Y1008),"")</f>
        <v/>
      </c>
      <c r="L1008" s="108">
        <f>1-X1008</f>
        <v/>
      </c>
      <c r="M1008" s="108">
        <f>1-Y1008</f>
        <v/>
      </c>
      <c r="N1008" s="108">
        <f>1-Z1008</f>
        <v/>
      </c>
      <c r="O1008" s="108">
        <f>1-AA1008</f>
        <v/>
      </c>
      <c r="P1008" s="108">
        <f>1-AB1008</f>
        <v/>
      </c>
      <c r="Q1008" s="108" t="n"/>
      <c r="R1008" s="108" t="n"/>
      <c r="S1008" s="108">
        <f>1-AE1008</f>
        <v/>
      </c>
      <c r="T1008" s="108">
        <f>1-AF1008</f>
        <v/>
      </c>
      <c r="U1008" s="108">
        <f>1-AG1008</f>
        <v/>
      </c>
      <c r="V1008" s="108">
        <f>1-AH1008</f>
        <v/>
      </c>
      <c r="W1008" s="108">
        <f>1-AI1008</f>
        <v/>
      </c>
      <c r="X1008" s="108">
        <f>ABS(AJ1008-AJ$1)</f>
        <v/>
      </c>
      <c r="Y1008" s="108">
        <f>AVERAGE(Z1008:AB1008)</f>
        <v/>
      </c>
      <c r="Z1008" s="108">
        <f>ABS(AL1008-AL$1)</f>
        <v/>
      </c>
      <c r="AA1008" s="108">
        <f>ABS(AM1008-AM$1)</f>
        <v/>
      </c>
      <c r="AB1008" s="108">
        <f>ABS(AN1008-AN$1)</f>
        <v/>
      </c>
      <c r="AC1008" s="108" t="n"/>
      <c r="AD1008" s="108" t="n"/>
      <c r="AE1008" s="108">
        <f>ABS(AQ$1-AQ1008)</f>
        <v/>
      </c>
      <c r="AF1008" s="108">
        <f>ABS(AR$1-AR1008)</f>
        <v/>
      </c>
      <c r="AG1008" s="108">
        <f>ABS(AS$1-AS1008)</f>
        <v/>
      </c>
      <c r="AH1008" s="108">
        <f>ABS(AT$1-AT1008)</f>
        <v/>
      </c>
      <c r="AI1008" s="108">
        <f>ABS(AU$1-AU1008)</f>
        <v/>
      </c>
      <c r="AJ1008" s="108">
        <f>(AV1008-Driver!$K$179)/(Driver!$L$179-Driver!$K$179)</f>
        <v/>
      </c>
      <c r="AK1008" s="108">
        <f>(AW1008-Driver!$K$180)/(Driver!$L$180-Driver!$K$180)</f>
        <v/>
      </c>
      <c r="AL1008" s="108">
        <f>(AX1008-Driver!$K$181)/(Driver!$L$181-Driver!$K$181)</f>
        <v/>
      </c>
      <c r="AM1008" s="108">
        <f>(AY1008-Driver!$K$182)/(Driver!$L$182-Driver!$K$182)</f>
        <v/>
      </c>
      <c r="AN1008" s="108">
        <f>(AZ1008-Driver!$K$183)/(Driver!$L$183-Driver!$K$183)</f>
        <v/>
      </c>
      <c r="AO1008" s="108" t="n"/>
      <c r="AP1008" s="108" t="n"/>
      <c r="AQ1008" s="108">
        <f>(BC1008-Driver!$K$188)/(Driver!$L$188-Driver!$K$188)</f>
        <v/>
      </c>
      <c r="AR1008" s="108">
        <f>MIN((BD1008-Driver!$K$189)/(Driver!$L$189-Driver!$K$189),100%)</f>
        <v/>
      </c>
      <c r="AS1008" s="108">
        <f>(BE1008-Driver!$K$190)/(Driver!$L$190-Driver!$K$190)</f>
        <v/>
      </c>
      <c r="AT1008" s="108">
        <f>(BF1008-Driver!$K$191)/(Driver!$L$191-Driver!$K$191)</f>
        <v/>
      </c>
      <c r="AU1008" s="108">
        <f>(BG1008-Driver!$K$192)/(Driver!$L$192-Driver!$K$192)</f>
        <v/>
      </c>
      <c r="AV1008" s="105">
        <f>IFERROR(BM1008*BJ1008^1/4,"")</f>
        <v/>
      </c>
      <c r="AW1008" s="105">
        <f>IFERROR(SUM(AX1008:AZ1008),"")</f>
        <v/>
      </c>
      <c r="AX1008" s="105">
        <f>IFERROR(BH1008,"")</f>
        <v/>
      </c>
      <c r="AY1008" s="105">
        <f>IFERROR(Driver!$K$19/Data!BH1008/Data!BI1008*Data!BK1008*Data!BL1008,"")</f>
        <v/>
      </c>
      <c r="AZ1008" s="105">
        <f>IFERROR(BI1008*BN1008,"")</f>
        <v/>
      </c>
      <c r="BA1008" s="105" t="n"/>
      <c r="BB1008" s="105" t="n"/>
      <c r="BC1008" s="105">
        <f>IFERROR(BI1008*BN1008*BK1008/BJ1008^(1/2),"")</f>
        <v/>
      </c>
      <c r="BD1008" s="105">
        <f>IFERROR(BH1008*BM1008*BL1008/BJ1008/BK1008,"")</f>
        <v/>
      </c>
      <c r="BE1008" s="105">
        <f>IFERROR(MIN(BI1008/BQ1008/BP1008/BO1008/BH1008,$BE$1),"")</f>
        <v/>
      </c>
      <c r="BF1008" s="105">
        <f>IFERROR(BJ1008*BO1008*BP1008/BK1008,"")</f>
        <v/>
      </c>
      <c r="BG1008" s="105">
        <f>IFERROR(1/BM1008/BH1008*BQ1008,"")</f>
        <v/>
      </c>
      <c r="BH1008" s="102">
        <f>MAX((CE1008-Driver!$F$200)/(Driver!$G$200-Driver!$F$200)*$BI$1,1)</f>
        <v/>
      </c>
      <c r="BI1008" s="102">
        <f>MAX($BI$1*(BY1008-Driver!$F$201)/(Driver!$G$201-Driver!$F$201),1)</f>
        <v/>
      </c>
      <c r="BJ1008" s="102">
        <f>(CB1008-Driver!$F$206)/(Driver!$G$206-Driver!$F$206)*$BI$1</f>
        <v/>
      </c>
      <c r="BK1008" s="102">
        <f>(CD1008-Driver!$F$203)/(Driver!$G$203-Driver!$F$203)*$BI$1</f>
        <v/>
      </c>
      <c r="BL1008" s="102">
        <f>MAX((CR1008-Driver!$F$202)/(Driver!$G$202-Driver!$F$202)*$BI$1,1)</f>
        <v/>
      </c>
      <c r="BM1008" s="102">
        <f>MAX((CH1008-Driver!$F$204)/(Driver!$G$204-Driver!$F$204)*$BI$1,1)</f>
        <v/>
      </c>
      <c r="BN1008" s="102">
        <f>(CI1008-Driver!$F$205)/(Driver!$G$205-Driver!$F$205)*$BI$1</f>
        <v/>
      </c>
      <c r="BO1008" s="102">
        <f>(CK1008-Driver!$F$207)/(Driver!$G$207-Driver!$F$207)*$BI$1</f>
        <v/>
      </c>
      <c r="BP1008" s="102">
        <f>(CM1008-Driver!$F$208)/(Driver!$G$208-Driver!$F$208)*$BI$1</f>
        <v/>
      </c>
      <c r="BQ1008" s="102">
        <f>(CL1008-Driver!$F$209)/(Driver!$G$209-Driver!$F$209)*$BI$1</f>
        <v/>
      </c>
      <c r="BR1008" s="40" t="inlineStr">
        <is>
          <t>21/22</t>
        </is>
      </c>
      <c r="BS1008" s="10" t="inlineStr">
        <is>
          <t xml:space="preserve"> K2</t>
        </is>
      </c>
      <c r="BT1008" s="11" t="inlineStr">
        <is>
          <t>Mindbender 99 Ti</t>
        </is>
      </c>
      <c r="BU1008" s="13" t="n">
        <v>184</v>
      </c>
      <c r="BV1008" s="11" t="inlineStr">
        <is>
          <t xml:space="preserve"> Unisex</t>
        </is>
      </c>
      <c r="BW1008" s="13" t="n">
        <v>184</v>
      </c>
      <c r="BX1008" s="13" t="n">
        <v>183.8</v>
      </c>
      <c r="BY1008" s="13" t="n">
        <v>134</v>
      </c>
      <c r="BZ1008" s="13" t="n">
        <v>157</v>
      </c>
      <c r="CA1008" s="13" t="n">
        <v>137</v>
      </c>
      <c r="CB1008" s="13" t="n">
        <v>98</v>
      </c>
      <c r="CC1008" s="13" t="n">
        <v>122</v>
      </c>
      <c r="CD1008" s="13" t="n">
        <v>19.2</v>
      </c>
      <c r="CE1008" s="13" t="n">
        <v>2191</v>
      </c>
      <c r="CF1008" s="13" t="n">
        <v>0.93</v>
      </c>
      <c r="CG1008" s="13" t="n">
        <v>2027</v>
      </c>
      <c r="CH1008" s="13" t="n">
        <v>228</v>
      </c>
      <c r="CI1008" s="13" t="n">
        <v>136</v>
      </c>
      <c r="CJ1008" s="13" t="n">
        <v>50</v>
      </c>
      <c r="CK1008" s="13" t="n">
        <v>312</v>
      </c>
      <c r="CL1008" s="13" t="n">
        <v>17</v>
      </c>
      <c r="CM1008" s="13" t="n">
        <v>190</v>
      </c>
      <c r="CN1008" s="13" t="n">
        <v>0.329</v>
      </c>
      <c r="CO1008" s="13" t="n">
        <v>149</v>
      </c>
      <c r="CP1008" s="13" t="n">
        <v>120</v>
      </c>
      <c r="CQ1008" s="13" t="n">
        <v>163</v>
      </c>
      <c r="CR1008" s="13" t="n">
        <v>7</v>
      </c>
      <c r="CS1008" s="13" t="n">
        <v>11.3</v>
      </c>
      <c r="CT1008" s="11" t="inlineStr">
        <is>
          <t xml:space="preserve"> Resort Freeride</t>
        </is>
      </c>
      <c r="CU1008" s="13" t="n"/>
      <c r="CV1008" s="13" t="n"/>
      <c r="CW1008" s="13" t="n"/>
      <c r="CX1008">
        <f>INDEX('Data_Price '!AG$2:AG$1266,MATCH(Data!$DN1008,'Data_Price '!$AT$2:$AT$1266,0))</f>
        <v/>
      </c>
      <c r="CY1008">
        <f>INDEX('Data_Price '!AH$2:AH$1266,MATCH(Data!$DN1008,'Data_Price '!$AT$2:$AT$1266,0))</f>
        <v/>
      </c>
      <c r="CZ1008">
        <f>INDEX('Data_Price '!AI$2:AI$1266,MATCH(Data!$DN1008,'Data_Price '!$AT$2:$AT$1266,0))</f>
        <v/>
      </c>
      <c r="DA1008">
        <f>INDEX('Data_Price '!AJ$2:AJ$1266,MATCH(Data!$DN1008,'Data_Price '!$AT$2:$AT$1266,0))</f>
        <v/>
      </c>
      <c r="DB1008">
        <f>INDEX('Data_Price '!AK$2:AK$1266,MATCH(Data!$DN1008,'Data_Price '!$AT$2:$AT$1266,0))</f>
        <v/>
      </c>
      <c r="DC1008">
        <f>INDEX('Data_Price '!AL$2:AL$1266,MATCH(Data!$DN1008,'Data_Price '!$AT$2:$AT$1266,0))</f>
        <v/>
      </c>
      <c r="DD1008">
        <f>INDEX('Data_Price '!AM$2:AM$1266,MATCH(Data!$DN1008,'Data_Price '!$AT$2:$AT$1266,0))</f>
        <v/>
      </c>
      <c r="DE1008">
        <f>INDEX('Data_Price '!AN$2:AN$1266,MATCH(Data!$DN1008,'Data_Price '!$AT$2:$AT$1266,0))</f>
        <v/>
      </c>
      <c r="DF1008">
        <f>INDEX('Data_Price '!AO$2:AO$1266,MATCH(Data!$DN1008,'Data_Price '!$AT$2:$AT$1266,0))</f>
        <v/>
      </c>
      <c r="DG1008">
        <f>INDEX('Data_Price '!AP$2:AP$1266,MATCH(Data!$DN1008,'Data_Price '!$AT$2:$AT$1266,0))</f>
        <v/>
      </c>
      <c r="DH1008">
        <f>INDEX('Data_Price '!AQ$2:AQ$1266,MATCH(Data!$DN1008,'Data_Price '!$AT$2:$AT$1266,0))</f>
        <v/>
      </c>
      <c r="DI1008">
        <f>INDEX('Data_Price '!AR$2:AR$1266,MATCH(Data!$DN1008,'Data_Price '!$AT$2:$AT$1266,0))</f>
        <v/>
      </c>
      <c r="DJ1008" s="138">
        <f>DA1008</f>
        <v/>
      </c>
      <c r="DK1008" s="138">
        <f>DE1008</f>
        <v/>
      </c>
      <c r="DL1008" s="138">
        <f>DI1008</f>
        <v/>
      </c>
      <c r="DM1008" s="303">
        <f>IF(LEFT(BT1008,1)=" ",RIGHT(BT1008,LEN(BT1008)-1),BT1008)</f>
        <v/>
      </c>
      <c r="DN1008" s="138">
        <f>_xlfn.CONCAT(BS1008,DM1008,BU1008,BV1008)</f>
        <v/>
      </c>
      <c r="DO1008" s="307" t="n"/>
    </row>
    <row r="1009" ht="15.6" customHeight="1" s="184">
      <c r="B1009" s="303">
        <f t="array" ref="B1009">IF(OR(ISERROR(K1009:P1009)),FALSE,TRUE)</f>
        <v/>
      </c>
      <c r="C1009" s="60">
        <f>OR(BR1009=Driver!$G$50,Data!BR1194=Driver!$H$50)</f>
        <v/>
      </c>
      <c r="D1009" s="60">
        <f>OR(BV1009=Driver!$G$51,BV1009=Driver!$H$51)</f>
        <v/>
      </c>
      <c r="E1009" s="60">
        <f>AND(BX1009&gt;Driver!$F$54,BX1009&lt;Driver!$G$54)</f>
        <v/>
      </c>
      <c r="F1009" s="60">
        <f>CL1009&gt;Driver!$F$56</f>
        <v/>
      </c>
      <c r="G1009" s="60">
        <f>AND(CB1009&gt;Driver!$F$55,CB1009&lt;Driver!$G$55)</f>
        <v/>
      </c>
      <c r="H1009" s="60">
        <f>AND(B1009:G1009)</f>
        <v/>
      </c>
      <c r="I1009" s="60">
        <f>COUNTIFS($H$9:$H$1273,TRUE,$BT$9:$BT$1273,BT1009)</f>
        <v/>
      </c>
      <c r="J1009" s="60">
        <f t="array" ref="J1009">NOT(OR(($H$9:$H$1273=TRUE)*($I$9:$I$1273&gt;0)*($BT$9:$BT$1273=BT1009)*($K$9:$K$1273&gt;K1009)))</f>
        <v/>
      </c>
      <c r="K1009" s="108">
        <f>IFERROR(1-AVERAGE(X1009:Y1009),"")</f>
        <v/>
      </c>
      <c r="L1009" s="108">
        <f>1-X1009</f>
        <v/>
      </c>
      <c r="M1009" s="108">
        <f>1-Y1009</f>
        <v/>
      </c>
      <c r="N1009" s="108">
        <f>1-Z1009</f>
        <v/>
      </c>
      <c r="O1009" s="108">
        <f>1-AA1009</f>
        <v/>
      </c>
      <c r="P1009" s="108">
        <f>1-AB1009</f>
        <v/>
      </c>
      <c r="Q1009" s="108" t="n"/>
      <c r="R1009" s="108" t="n"/>
      <c r="S1009" s="108">
        <f>1-AE1009</f>
        <v/>
      </c>
      <c r="T1009" s="108">
        <f>1-AF1009</f>
        <v/>
      </c>
      <c r="U1009" s="108">
        <f>1-AG1009</f>
        <v/>
      </c>
      <c r="V1009" s="108">
        <f>1-AH1009</f>
        <v/>
      </c>
      <c r="W1009" s="108">
        <f>1-AI1009</f>
        <v/>
      </c>
      <c r="X1009" s="108">
        <f>ABS(AJ1009-AJ$1)</f>
        <v/>
      </c>
      <c r="Y1009" s="108">
        <f>AVERAGE(Z1009:AB1009)</f>
        <v/>
      </c>
      <c r="Z1009" s="108">
        <f>ABS(AL1009-AL$1)</f>
        <v/>
      </c>
      <c r="AA1009" s="108">
        <f>ABS(AM1009-AM$1)</f>
        <v/>
      </c>
      <c r="AB1009" s="108">
        <f>ABS(AN1009-AN$1)</f>
        <v/>
      </c>
      <c r="AC1009" s="108" t="n"/>
      <c r="AD1009" s="108" t="n"/>
      <c r="AE1009" s="108">
        <f>ABS(AQ$1-AQ1009)</f>
        <v/>
      </c>
      <c r="AF1009" s="108">
        <f>ABS(AR$1-AR1009)</f>
        <v/>
      </c>
      <c r="AG1009" s="108">
        <f>ABS(AS$1-AS1009)</f>
        <v/>
      </c>
      <c r="AH1009" s="108">
        <f>ABS(AT$1-AT1009)</f>
        <v/>
      </c>
      <c r="AI1009" s="108">
        <f>ABS(AU$1-AU1009)</f>
        <v/>
      </c>
      <c r="AJ1009" s="108">
        <f>(AV1009-Driver!$K$179)/(Driver!$L$179-Driver!$K$179)</f>
        <v/>
      </c>
      <c r="AK1009" s="108">
        <f>(AW1009-Driver!$K$180)/(Driver!$L$180-Driver!$K$180)</f>
        <v/>
      </c>
      <c r="AL1009" s="108">
        <f>(AX1009-Driver!$K$181)/(Driver!$L$181-Driver!$K$181)</f>
        <v/>
      </c>
      <c r="AM1009" s="108">
        <f>(AY1009-Driver!$K$182)/(Driver!$L$182-Driver!$K$182)</f>
        <v/>
      </c>
      <c r="AN1009" s="108">
        <f>(AZ1009-Driver!$K$183)/(Driver!$L$183-Driver!$K$183)</f>
        <v/>
      </c>
      <c r="AO1009" s="108" t="n"/>
      <c r="AP1009" s="108" t="n"/>
      <c r="AQ1009" s="108">
        <f>(BC1009-Driver!$K$188)/(Driver!$L$188-Driver!$K$188)</f>
        <v/>
      </c>
      <c r="AR1009" s="108">
        <f>MIN((BD1009-Driver!$K$189)/(Driver!$L$189-Driver!$K$189),100%)</f>
        <v/>
      </c>
      <c r="AS1009" s="108">
        <f>(BE1009-Driver!$K$190)/(Driver!$L$190-Driver!$K$190)</f>
        <v/>
      </c>
      <c r="AT1009" s="108">
        <f>(BF1009-Driver!$K$191)/(Driver!$L$191-Driver!$K$191)</f>
        <v/>
      </c>
      <c r="AU1009" s="108">
        <f>(BG1009-Driver!$K$192)/(Driver!$L$192-Driver!$K$192)</f>
        <v/>
      </c>
      <c r="AV1009" s="105">
        <f>IFERROR(BM1009*BJ1009^1/4,"")</f>
        <v/>
      </c>
      <c r="AW1009" s="105">
        <f>IFERROR(SUM(AX1009:AZ1009),"")</f>
        <v/>
      </c>
      <c r="AX1009" s="105">
        <f>IFERROR(BH1009,"")</f>
        <v/>
      </c>
      <c r="AY1009" s="105">
        <f>IFERROR(Driver!$K$19/Data!BH1009/Data!BI1009*Data!BK1009*Data!BL1009,"")</f>
        <v/>
      </c>
      <c r="AZ1009" s="105">
        <f>IFERROR(BI1009*BN1009,"")</f>
        <v/>
      </c>
      <c r="BA1009" s="105" t="n"/>
      <c r="BB1009" s="105" t="n"/>
      <c r="BC1009" s="105">
        <f>IFERROR(BI1009*BN1009*BK1009/BJ1009^(1/2),"")</f>
        <v/>
      </c>
      <c r="BD1009" s="105">
        <f>IFERROR(BH1009*BM1009*BL1009/BJ1009/BK1009,"")</f>
        <v/>
      </c>
      <c r="BE1009" s="105">
        <f>IFERROR(MIN(BI1009/BQ1009/BP1009/BO1009/BH1009,$BE$1),"")</f>
        <v/>
      </c>
      <c r="BF1009" s="105">
        <f>IFERROR(BJ1009*BO1009*BP1009/BK1009,"")</f>
        <v/>
      </c>
      <c r="BG1009" s="105">
        <f>IFERROR(1/BM1009/BH1009*BQ1009,"")</f>
        <v/>
      </c>
      <c r="BH1009" s="102">
        <f>MAX((CE1009-Driver!$F$200)/(Driver!$G$200-Driver!$F$200)*$BI$1,1)</f>
        <v/>
      </c>
      <c r="BI1009" s="102">
        <f>MAX($BI$1*(BY1009-Driver!$F$201)/(Driver!$G$201-Driver!$F$201),1)</f>
        <v/>
      </c>
      <c r="BJ1009" s="102">
        <f>(CB1009-Driver!$F$206)/(Driver!$G$206-Driver!$F$206)*$BI$1</f>
        <v/>
      </c>
      <c r="BK1009" s="102">
        <f>(CD1009-Driver!$F$203)/(Driver!$G$203-Driver!$F$203)*$BI$1</f>
        <v/>
      </c>
      <c r="BL1009" s="102">
        <f>MAX((CR1009-Driver!$F$202)/(Driver!$G$202-Driver!$F$202)*$BI$1,1)</f>
        <v/>
      </c>
      <c r="BM1009" s="102">
        <f>MAX((CH1009-Driver!$F$204)/(Driver!$G$204-Driver!$F$204)*$BI$1,1)</f>
        <v/>
      </c>
      <c r="BN1009" s="102">
        <f>(CI1009-Driver!$F$205)/(Driver!$G$205-Driver!$F$205)*$BI$1</f>
        <v/>
      </c>
      <c r="BO1009" s="102">
        <f>(CK1009-Driver!$F$207)/(Driver!$G$207-Driver!$F$207)*$BI$1</f>
        <v/>
      </c>
      <c r="BP1009" s="102">
        <f>(CM1009-Driver!$F$208)/(Driver!$G$208-Driver!$F$208)*$BI$1</f>
        <v/>
      </c>
      <c r="BQ1009" s="102">
        <f>(CL1009-Driver!$F$209)/(Driver!$G$209-Driver!$F$209)*$BI$1</f>
        <v/>
      </c>
      <c r="BR1009" s="40" t="inlineStr">
        <is>
          <t>21/22</t>
        </is>
      </c>
      <c r="BS1009" s="10" t="inlineStr">
        <is>
          <t xml:space="preserve"> Völkl</t>
        </is>
      </c>
      <c r="BT1009" s="11" t="inlineStr">
        <is>
          <t>Flair 79</t>
        </is>
      </c>
      <c r="BU1009" s="13" t="n">
        <v>156</v>
      </c>
      <c r="BV1009" s="11" t="inlineStr">
        <is>
          <t xml:space="preserve"> Women's</t>
        </is>
      </c>
      <c r="BW1009" s="13" t="n">
        <v>156</v>
      </c>
      <c r="BX1009" s="13" t="n">
        <v>154.7</v>
      </c>
      <c r="BY1009" s="13" t="n">
        <v>136</v>
      </c>
      <c r="BZ1009" s="13" t="n">
        <v>143</v>
      </c>
      <c r="CA1009" s="13" t="n">
        <v>128</v>
      </c>
      <c r="CB1009" s="13" t="n">
        <v>79</v>
      </c>
      <c r="CC1009" s="13" t="n">
        <v>109</v>
      </c>
      <c r="CD1009" s="13" t="n">
        <v>12.8</v>
      </c>
      <c r="CE1009" s="13" t="n">
        <v>1452</v>
      </c>
      <c r="CF1009" s="13" t="n">
        <v>0.99</v>
      </c>
      <c r="CG1009" s="13" t="n">
        <v>1442</v>
      </c>
      <c r="CH1009" s="13" t="n">
        <v>150</v>
      </c>
      <c r="CI1009" s="13" t="n">
        <v>62</v>
      </c>
      <c r="CJ1009" s="13" t="n">
        <v>36</v>
      </c>
      <c r="CK1009" s="13" t="n">
        <v>133</v>
      </c>
      <c r="CL1009" s="13" t="n">
        <v>5</v>
      </c>
      <c r="CM1009" s="13" t="n">
        <v>56</v>
      </c>
      <c r="CN1009" s="13" t="n">
        <v>0.146</v>
      </c>
      <c r="CO1009" s="13" t="n">
        <v>68</v>
      </c>
      <c r="CP1009" s="13" t="n">
        <v>49</v>
      </c>
      <c r="CQ1009" s="13" t="n">
        <v>65</v>
      </c>
      <c r="CR1009" s="13" t="n">
        <v>6</v>
      </c>
      <c r="CS1009" s="13" t="n">
        <v>10.8</v>
      </c>
      <c r="CT1009" s="11" t="inlineStr">
        <is>
          <t xml:space="preserve"> On-Piste Carving</t>
        </is>
      </c>
      <c r="CU1009" s="13" t="n"/>
      <c r="CV1009" s="13" t="n"/>
      <c r="CW1009" s="13" t="n"/>
      <c r="CX1009">
        <f>INDEX('Data_Price '!AG$2:AG$1266,MATCH(Data!$DN1009,'Data_Price '!$AT$2:$AT$1266,0))</f>
        <v/>
      </c>
      <c r="CY1009">
        <f>INDEX('Data_Price '!AH$2:AH$1266,MATCH(Data!$DN1009,'Data_Price '!$AT$2:$AT$1266,0))</f>
        <v/>
      </c>
      <c r="CZ1009">
        <f>INDEX('Data_Price '!AI$2:AI$1266,MATCH(Data!$DN1009,'Data_Price '!$AT$2:$AT$1266,0))</f>
        <v/>
      </c>
      <c r="DA1009">
        <f>INDEX('Data_Price '!AJ$2:AJ$1266,MATCH(Data!$DN1009,'Data_Price '!$AT$2:$AT$1266,0))</f>
        <v/>
      </c>
      <c r="DB1009">
        <f>INDEX('Data_Price '!AK$2:AK$1266,MATCH(Data!$DN1009,'Data_Price '!$AT$2:$AT$1266,0))</f>
        <v/>
      </c>
      <c r="DC1009">
        <f>INDEX('Data_Price '!AL$2:AL$1266,MATCH(Data!$DN1009,'Data_Price '!$AT$2:$AT$1266,0))</f>
        <v/>
      </c>
      <c r="DD1009">
        <f>INDEX('Data_Price '!AM$2:AM$1266,MATCH(Data!$DN1009,'Data_Price '!$AT$2:$AT$1266,0))</f>
        <v/>
      </c>
      <c r="DE1009">
        <f>INDEX('Data_Price '!AN$2:AN$1266,MATCH(Data!$DN1009,'Data_Price '!$AT$2:$AT$1266,0))</f>
        <v/>
      </c>
      <c r="DF1009">
        <f>INDEX('Data_Price '!AO$2:AO$1266,MATCH(Data!$DN1009,'Data_Price '!$AT$2:$AT$1266,0))</f>
        <v/>
      </c>
      <c r="DG1009">
        <f>INDEX('Data_Price '!AP$2:AP$1266,MATCH(Data!$DN1009,'Data_Price '!$AT$2:$AT$1266,0))</f>
        <v/>
      </c>
      <c r="DH1009">
        <f>INDEX('Data_Price '!AQ$2:AQ$1266,MATCH(Data!$DN1009,'Data_Price '!$AT$2:$AT$1266,0))</f>
        <v/>
      </c>
      <c r="DI1009">
        <f>INDEX('Data_Price '!AR$2:AR$1266,MATCH(Data!$DN1009,'Data_Price '!$AT$2:$AT$1266,0))</f>
        <v/>
      </c>
      <c r="DJ1009" s="138">
        <f>DA1009</f>
        <v/>
      </c>
      <c r="DK1009" s="138">
        <f>DE1009</f>
        <v/>
      </c>
      <c r="DL1009" s="138">
        <f>DI1009</f>
        <v/>
      </c>
      <c r="DM1009" s="303">
        <f>IF(LEFT(BT1009,1)=" ",RIGHT(BT1009,LEN(BT1009)-1),BT1009)</f>
        <v/>
      </c>
      <c r="DN1009" s="138">
        <f>_xlfn.CONCAT(BS1009,DM1009,BU1009,BV1009)</f>
        <v/>
      </c>
      <c r="DO1009" s="307" t="n"/>
    </row>
    <row r="1010" ht="15.6" customHeight="1" s="184">
      <c r="B1010" s="303">
        <f t="array" ref="B1010">IF(OR(ISERROR(K1010:P1010)),FALSE,TRUE)</f>
        <v/>
      </c>
      <c r="C1010" s="60">
        <f>OR(BR1010=Driver!$G$50,Data!BR644=Driver!$H$50)</f>
        <v/>
      </c>
      <c r="D1010" s="60">
        <f>OR(BV1010=Driver!$G$51,BV1010=Driver!$H$51)</f>
        <v/>
      </c>
      <c r="E1010" s="60">
        <f>AND(BX1010&gt;Driver!$F$54,BX1010&lt;Driver!$G$54)</f>
        <v/>
      </c>
      <c r="F1010" s="60">
        <f>CL1010&gt;Driver!$F$56</f>
        <v/>
      </c>
      <c r="G1010" s="60">
        <f>AND(CB1010&gt;Driver!$F$55,CB1010&lt;Driver!$G$55)</f>
        <v/>
      </c>
      <c r="H1010" s="60">
        <f>AND(B1010:G1010)</f>
        <v/>
      </c>
      <c r="I1010" s="60">
        <f>COUNTIFS($H$9:$H$1273,TRUE,$BT$9:$BT$1273,BT1010)</f>
        <v/>
      </c>
      <c r="J1010" s="60">
        <f t="array" ref="J1010">NOT(OR(($H$9:$H$1273=TRUE)*($I$9:$I$1273&gt;0)*($BT$9:$BT$1273=BT1010)*($K$9:$K$1273&gt;K1010)))</f>
        <v/>
      </c>
      <c r="K1010" s="108">
        <f>IFERROR(1-AVERAGE(X1010:Y1010),"")</f>
        <v/>
      </c>
      <c r="L1010" s="108">
        <f>1-X1010</f>
        <v/>
      </c>
      <c r="M1010" s="108">
        <f>1-Y1010</f>
        <v/>
      </c>
      <c r="N1010" s="108">
        <f>1-Z1010</f>
        <v/>
      </c>
      <c r="O1010" s="108">
        <f>1-AA1010</f>
        <v/>
      </c>
      <c r="P1010" s="108">
        <f>1-AB1010</f>
        <v/>
      </c>
      <c r="Q1010" s="108" t="n"/>
      <c r="R1010" s="108" t="n"/>
      <c r="S1010" s="108">
        <f>1-AE1010</f>
        <v/>
      </c>
      <c r="T1010" s="108">
        <f>1-AF1010</f>
        <v/>
      </c>
      <c r="U1010" s="108">
        <f>1-AG1010</f>
        <v/>
      </c>
      <c r="V1010" s="108">
        <f>1-AH1010</f>
        <v/>
      </c>
      <c r="W1010" s="108">
        <f>1-AI1010</f>
        <v/>
      </c>
      <c r="X1010" s="108">
        <f>ABS(AJ1010-AJ$1)</f>
        <v/>
      </c>
      <c r="Y1010" s="108">
        <f>AVERAGE(Z1010:AB1010)</f>
        <v/>
      </c>
      <c r="Z1010" s="108">
        <f>ABS(AL1010-AL$1)</f>
        <v/>
      </c>
      <c r="AA1010" s="108">
        <f>ABS(AM1010-AM$1)</f>
        <v/>
      </c>
      <c r="AB1010" s="108">
        <f>ABS(AN1010-AN$1)</f>
        <v/>
      </c>
      <c r="AC1010" s="108" t="n"/>
      <c r="AD1010" s="108" t="n"/>
      <c r="AE1010" s="108">
        <f>ABS(AQ$1-AQ1010)</f>
        <v/>
      </c>
      <c r="AF1010" s="108">
        <f>ABS(AR$1-AR1010)</f>
        <v/>
      </c>
      <c r="AG1010" s="108">
        <f>ABS(AS$1-AS1010)</f>
        <v/>
      </c>
      <c r="AH1010" s="108">
        <f>ABS(AT$1-AT1010)</f>
        <v/>
      </c>
      <c r="AI1010" s="108">
        <f>ABS(AU$1-AU1010)</f>
        <v/>
      </c>
      <c r="AJ1010" s="108">
        <f>(AV1010-Driver!$K$179)/(Driver!$L$179-Driver!$K$179)</f>
        <v/>
      </c>
      <c r="AK1010" s="108">
        <f>(AW1010-Driver!$K$180)/(Driver!$L$180-Driver!$K$180)</f>
        <v/>
      </c>
      <c r="AL1010" s="108">
        <f>(AX1010-Driver!$K$181)/(Driver!$L$181-Driver!$K$181)</f>
        <v/>
      </c>
      <c r="AM1010" s="108">
        <f>(AY1010-Driver!$K$182)/(Driver!$L$182-Driver!$K$182)</f>
        <v/>
      </c>
      <c r="AN1010" s="108">
        <f>(AZ1010-Driver!$K$183)/(Driver!$L$183-Driver!$K$183)</f>
        <v/>
      </c>
      <c r="AO1010" s="108" t="n"/>
      <c r="AP1010" s="108" t="n"/>
      <c r="AQ1010" s="108">
        <f>(BC1010-Driver!$K$188)/(Driver!$L$188-Driver!$K$188)</f>
        <v/>
      </c>
      <c r="AR1010" s="108">
        <f>MIN((BD1010-Driver!$K$189)/(Driver!$L$189-Driver!$K$189),100%)</f>
        <v/>
      </c>
      <c r="AS1010" s="108">
        <f>(BE1010-Driver!$K$190)/(Driver!$L$190-Driver!$K$190)</f>
        <v/>
      </c>
      <c r="AT1010" s="108">
        <f>(BF1010-Driver!$K$191)/(Driver!$L$191-Driver!$K$191)</f>
        <v/>
      </c>
      <c r="AU1010" s="108">
        <f>(BG1010-Driver!$K$192)/(Driver!$L$192-Driver!$K$192)</f>
        <v/>
      </c>
      <c r="AV1010" s="105">
        <f>IFERROR(BM1010*BJ1010^1/4,"")</f>
        <v/>
      </c>
      <c r="AW1010" s="105">
        <f>IFERROR(SUM(AX1010:AZ1010),"")</f>
        <v/>
      </c>
      <c r="AX1010" s="105">
        <f>IFERROR(BH1010,"")</f>
        <v/>
      </c>
      <c r="AY1010" s="105">
        <f>IFERROR(Driver!$K$19/Data!BH1010/Data!BI1010*Data!BK1010*Data!BL1010,"")</f>
        <v/>
      </c>
      <c r="AZ1010" s="105">
        <f>IFERROR(BI1010*BN1010,"")</f>
        <v/>
      </c>
      <c r="BA1010" s="105" t="n"/>
      <c r="BB1010" s="105" t="n"/>
      <c r="BC1010" s="105">
        <f>IFERROR(BI1010*BN1010*BK1010/BJ1010^(1/2),"")</f>
        <v/>
      </c>
      <c r="BD1010" s="105">
        <f>IFERROR(BH1010*BM1010*BL1010/BJ1010/BK1010,"")</f>
        <v/>
      </c>
      <c r="BE1010" s="105">
        <f>IFERROR(MIN(BI1010/BQ1010/BP1010/BO1010/BH1010,$BE$1),"")</f>
        <v/>
      </c>
      <c r="BF1010" s="105">
        <f>IFERROR(BJ1010*BO1010*BP1010/BK1010,"")</f>
        <v/>
      </c>
      <c r="BG1010" s="105">
        <f>IFERROR(1/BM1010/BH1010*BQ1010,"")</f>
        <v/>
      </c>
      <c r="BH1010" s="102">
        <f>MAX((CE1010-Driver!$F$200)/(Driver!$G$200-Driver!$F$200)*$BI$1,1)</f>
        <v/>
      </c>
      <c r="BI1010" s="102">
        <f>MAX($BI$1*(BY1010-Driver!$F$201)/(Driver!$G$201-Driver!$F$201),1)</f>
        <v/>
      </c>
      <c r="BJ1010" s="102">
        <f>(CB1010-Driver!$F$206)/(Driver!$G$206-Driver!$F$206)*$BI$1</f>
        <v/>
      </c>
      <c r="BK1010" s="102">
        <f>(CD1010-Driver!$F$203)/(Driver!$G$203-Driver!$F$203)*$BI$1</f>
        <v/>
      </c>
      <c r="BL1010" s="102">
        <f>MAX((CR1010-Driver!$F$202)/(Driver!$G$202-Driver!$F$202)*$BI$1,1)</f>
        <v/>
      </c>
      <c r="BM1010" s="102">
        <f>MAX((CH1010-Driver!$F$204)/(Driver!$G$204-Driver!$F$204)*$BI$1,1)</f>
        <v/>
      </c>
      <c r="BN1010" s="102">
        <f>(CI1010-Driver!$F$205)/(Driver!$G$205-Driver!$F$205)*$BI$1</f>
        <v/>
      </c>
      <c r="BO1010" s="102">
        <f>(CK1010-Driver!$F$207)/(Driver!$G$207-Driver!$F$207)*$BI$1</f>
        <v/>
      </c>
      <c r="BP1010" s="102">
        <f>(CM1010-Driver!$F$208)/(Driver!$G$208-Driver!$F$208)*$BI$1</f>
        <v/>
      </c>
      <c r="BQ1010" s="102">
        <f>(CL1010-Driver!$F$209)/(Driver!$G$209-Driver!$F$209)*$BI$1</f>
        <v/>
      </c>
      <c r="BR1010" s="40" t="inlineStr">
        <is>
          <t>21/22</t>
        </is>
      </c>
      <c r="BS1010" s="10" t="inlineStr">
        <is>
          <t xml:space="preserve"> Head</t>
        </is>
      </c>
      <c r="BT1010" s="11" t="inlineStr">
        <is>
          <t xml:space="preserve"> Super Joy</t>
        </is>
      </c>
      <c r="BU1010" s="13" t="n">
        <v>158</v>
      </c>
      <c r="BV1010" s="11" t="inlineStr">
        <is>
          <t xml:space="preserve"> Women's</t>
        </is>
      </c>
      <c r="BW1010" s="13" t="n">
        <v>158</v>
      </c>
      <c r="BX1010" s="13" t="n">
        <v>157.6</v>
      </c>
      <c r="BY1010" s="13" t="n">
        <v>136</v>
      </c>
      <c r="BZ1010" s="13" t="n">
        <v>141</v>
      </c>
      <c r="CA1010" s="13" t="n">
        <v>128</v>
      </c>
      <c r="CB1010" s="13" t="n">
        <v>74</v>
      </c>
      <c r="CC1010" s="13" t="n">
        <v>107</v>
      </c>
      <c r="CD1010" s="13" t="n">
        <v>11.3</v>
      </c>
      <c r="CE1010" s="13" t="n">
        <v>1541</v>
      </c>
      <c r="CF1010" s="13" t="n">
        <v>0.93</v>
      </c>
      <c r="CG1010" s="13" t="n">
        <v>1432</v>
      </c>
      <c r="CH1010" s="13" t="n">
        <v>163</v>
      </c>
      <c r="CI1010" s="13" t="n">
        <v>50</v>
      </c>
      <c r="CJ1010" s="13" t="n">
        <v>38</v>
      </c>
      <c r="CK1010" s="13" t="n">
        <v>144</v>
      </c>
      <c r="CL1010" s="13" t="n">
        <v>14</v>
      </c>
      <c r="CM1010" s="13" t="n">
        <v>76</v>
      </c>
      <c r="CN1010" s="13" t="n">
        <v>0.358</v>
      </c>
      <c r="CO1010" s="13" t="n">
        <v>102</v>
      </c>
      <c r="CP1010" s="13" t="n">
        <v>65</v>
      </c>
      <c r="CQ1010" s="13" t="n">
        <v>43</v>
      </c>
      <c r="CR1010" s="13" t="n">
        <v>12</v>
      </c>
      <c r="CS1010" s="13" t="n">
        <v>11.1</v>
      </c>
      <c r="CT1010" s="11" t="inlineStr">
        <is>
          <t xml:space="preserve"> On-Piste Carving</t>
        </is>
      </c>
      <c r="CU1010" s="11" t="inlineStr">
        <is>
          <t xml:space="preserve"> On-Piste All-Mountain</t>
        </is>
      </c>
      <c r="CV1010" s="13" t="n"/>
      <c r="CW1010" s="13" t="n"/>
      <c r="CX1010">
        <f>INDEX('Data_Price '!AG$2:AG$1266,MATCH(Data!$DN1010,'Data_Price '!$AT$2:$AT$1266,0))</f>
        <v/>
      </c>
      <c r="CY1010">
        <f>INDEX('Data_Price '!AH$2:AH$1266,MATCH(Data!$DN1010,'Data_Price '!$AT$2:$AT$1266,0))</f>
        <v/>
      </c>
      <c r="CZ1010">
        <f>INDEX('Data_Price '!AI$2:AI$1266,MATCH(Data!$DN1010,'Data_Price '!$AT$2:$AT$1266,0))</f>
        <v/>
      </c>
      <c r="DA1010">
        <f>INDEX('Data_Price '!AJ$2:AJ$1266,MATCH(Data!$DN1010,'Data_Price '!$AT$2:$AT$1266,0))</f>
        <v/>
      </c>
      <c r="DB1010">
        <f>INDEX('Data_Price '!AK$2:AK$1266,MATCH(Data!$DN1010,'Data_Price '!$AT$2:$AT$1266,0))</f>
        <v/>
      </c>
      <c r="DC1010">
        <f>INDEX('Data_Price '!AL$2:AL$1266,MATCH(Data!$DN1010,'Data_Price '!$AT$2:$AT$1266,0))</f>
        <v/>
      </c>
      <c r="DD1010">
        <f>INDEX('Data_Price '!AM$2:AM$1266,MATCH(Data!$DN1010,'Data_Price '!$AT$2:$AT$1266,0))</f>
        <v/>
      </c>
      <c r="DE1010">
        <f>INDEX('Data_Price '!AN$2:AN$1266,MATCH(Data!$DN1010,'Data_Price '!$AT$2:$AT$1266,0))</f>
        <v/>
      </c>
      <c r="DF1010">
        <f>INDEX('Data_Price '!AO$2:AO$1266,MATCH(Data!$DN1010,'Data_Price '!$AT$2:$AT$1266,0))</f>
        <v/>
      </c>
      <c r="DG1010">
        <f>INDEX('Data_Price '!AP$2:AP$1266,MATCH(Data!$DN1010,'Data_Price '!$AT$2:$AT$1266,0))</f>
        <v/>
      </c>
      <c r="DH1010">
        <f>INDEX('Data_Price '!AQ$2:AQ$1266,MATCH(Data!$DN1010,'Data_Price '!$AT$2:$AT$1266,0))</f>
        <v/>
      </c>
      <c r="DI1010">
        <f>INDEX('Data_Price '!AR$2:AR$1266,MATCH(Data!$DN1010,'Data_Price '!$AT$2:$AT$1266,0))</f>
        <v/>
      </c>
      <c r="DJ1010" s="138">
        <f>DA1010</f>
        <v/>
      </c>
      <c r="DK1010" s="138">
        <f>DE1010</f>
        <v/>
      </c>
      <c r="DL1010" s="138">
        <f>DI1010</f>
        <v/>
      </c>
      <c r="DM1010" s="303">
        <f>IF(LEFT(BT1010,1)=" ",RIGHT(BT1010,LEN(BT1010)-1),BT1010)</f>
        <v/>
      </c>
      <c r="DN1010" s="138">
        <f>_xlfn.CONCAT(BS1010,DM1010,BU1010,BV1010)</f>
        <v/>
      </c>
      <c r="DO1010" s="307" t="n"/>
    </row>
    <row r="1011" ht="15.6" customHeight="1" s="184">
      <c r="B1011" s="303">
        <f t="array" ref="B1011">IF(OR(ISERROR(K1011:P1011)),FALSE,TRUE)</f>
        <v/>
      </c>
      <c r="C1011" s="60">
        <f>OR(BR1011=Driver!$G$50,Data!BR1176=Driver!$H$50)</f>
        <v/>
      </c>
      <c r="D1011" s="60">
        <f>OR(BV1011=Driver!$G$51,BV1011=Driver!$H$51)</f>
        <v/>
      </c>
      <c r="E1011" s="60">
        <f>AND(BX1011&gt;Driver!$F$54,BX1011&lt;Driver!$G$54)</f>
        <v/>
      </c>
      <c r="F1011" s="60">
        <f>CL1011&gt;Driver!$F$56</f>
        <v/>
      </c>
      <c r="G1011" s="60">
        <f>AND(CB1011&gt;Driver!$F$55,CB1011&lt;Driver!$G$55)</f>
        <v/>
      </c>
      <c r="H1011" s="60">
        <f>AND(B1011:G1011)</f>
        <v/>
      </c>
      <c r="I1011" s="60">
        <f>COUNTIFS($H$9:$H$1273,TRUE,$BT$9:$BT$1273,BT1011)</f>
        <v/>
      </c>
      <c r="J1011" s="60">
        <f t="array" ref="J1011">NOT(OR(($H$9:$H$1273=TRUE)*($I$9:$I$1273&gt;0)*($BT$9:$BT$1273=BT1011)*($K$9:$K$1273&gt;K1011)))</f>
        <v/>
      </c>
      <c r="K1011" s="108">
        <f>IFERROR(1-AVERAGE(X1011:Y1011),"")</f>
        <v/>
      </c>
      <c r="L1011" s="108">
        <f>1-X1011</f>
        <v/>
      </c>
      <c r="M1011" s="108">
        <f>1-Y1011</f>
        <v/>
      </c>
      <c r="N1011" s="108">
        <f>1-Z1011</f>
        <v/>
      </c>
      <c r="O1011" s="108">
        <f>1-AA1011</f>
        <v/>
      </c>
      <c r="P1011" s="108">
        <f>1-AB1011</f>
        <v/>
      </c>
      <c r="Q1011" s="108" t="n"/>
      <c r="R1011" s="108" t="n"/>
      <c r="S1011" s="108">
        <f>1-AE1011</f>
        <v/>
      </c>
      <c r="T1011" s="108">
        <f>1-AF1011</f>
        <v/>
      </c>
      <c r="U1011" s="108">
        <f>1-AG1011</f>
        <v/>
      </c>
      <c r="V1011" s="108">
        <f>1-AH1011</f>
        <v/>
      </c>
      <c r="W1011" s="108">
        <f>1-AI1011</f>
        <v/>
      </c>
      <c r="X1011" s="108">
        <f>ABS(AJ1011-AJ$1)</f>
        <v/>
      </c>
      <c r="Y1011" s="108">
        <f>AVERAGE(Z1011:AB1011)</f>
        <v/>
      </c>
      <c r="Z1011" s="108">
        <f>ABS(AL1011-AL$1)</f>
        <v/>
      </c>
      <c r="AA1011" s="108">
        <f>ABS(AM1011-AM$1)</f>
        <v/>
      </c>
      <c r="AB1011" s="108">
        <f>ABS(AN1011-AN$1)</f>
        <v/>
      </c>
      <c r="AC1011" s="108" t="n"/>
      <c r="AD1011" s="108" t="n"/>
      <c r="AE1011" s="108">
        <f>ABS(AQ$1-AQ1011)</f>
        <v/>
      </c>
      <c r="AF1011" s="108">
        <f>ABS(AR$1-AR1011)</f>
        <v/>
      </c>
      <c r="AG1011" s="108">
        <f>ABS(AS$1-AS1011)</f>
        <v/>
      </c>
      <c r="AH1011" s="108">
        <f>ABS(AT$1-AT1011)</f>
        <v/>
      </c>
      <c r="AI1011" s="108">
        <f>ABS(AU$1-AU1011)</f>
        <v/>
      </c>
      <c r="AJ1011" s="108">
        <f>(AV1011-Driver!$K$179)/(Driver!$L$179-Driver!$K$179)</f>
        <v/>
      </c>
      <c r="AK1011" s="108">
        <f>(AW1011-Driver!$K$180)/(Driver!$L$180-Driver!$K$180)</f>
        <v/>
      </c>
      <c r="AL1011" s="108">
        <f>(AX1011-Driver!$K$181)/(Driver!$L$181-Driver!$K$181)</f>
        <v/>
      </c>
      <c r="AM1011" s="108">
        <f>(AY1011-Driver!$K$182)/(Driver!$L$182-Driver!$K$182)</f>
        <v/>
      </c>
      <c r="AN1011" s="108">
        <f>(AZ1011-Driver!$K$183)/(Driver!$L$183-Driver!$K$183)</f>
        <v/>
      </c>
      <c r="AO1011" s="108" t="n"/>
      <c r="AP1011" s="108" t="n"/>
      <c r="AQ1011" s="108">
        <f>(BC1011-Driver!$K$188)/(Driver!$L$188-Driver!$K$188)</f>
        <v/>
      </c>
      <c r="AR1011" s="108">
        <f>MIN((BD1011-Driver!$K$189)/(Driver!$L$189-Driver!$K$189),100%)</f>
        <v/>
      </c>
      <c r="AS1011" s="108">
        <f>(BE1011-Driver!$K$190)/(Driver!$L$190-Driver!$K$190)</f>
        <v/>
      </c>
      <c r="AT1011" s="108">
        <f>(BF1011-Driver!$K$191)/(Driver!$L$191-Driver!$K$191)</f>
        <v/>
      </c>
      <c r="AU1011" s="108">
        <f>(BG1011-Driver!$K$192)/(Driver!$L$192-Driver!$K$192)</f>
        <v/>
      </c>
      <c r="AV1011" s="105">
        <f>IFERROR(BM1011*BJ1011^1/4,"")</f>
        <v/>
      </c>
      <c r="AW1011" s="105">
        <f>IFERROR(SUM(AX1011:AZ1011),"")</f>
        <v/>
      </c>
      <c r="AX1011" s="105">
        <f>IFERROR(BH1011,"")</f>
        <v/>
      </c>
      <c r="AY1011" s="105">
        <f>IFERROR(Driver!$K$19/Data!BH1011/Data!BI1011*Data!BK1011*Data!BL1011,"")</f>
        <v/>
      </c>
      <c r="AZ1011" s="105">
        <f>IFERROR(BI1011*BN1011,"")</f>
        <v/>
      </c>
      <c r="BA1011" s="105" t="n"/>
      <c r="BB1011" s="105" t="n"/>
      <c r="BC1011" s="105">
        <f>IFERROR(BI1011*BN1011*BK1011/BJ1011^(1/2),"")</f>
        <v/>
      </c>
      <c r="BD1011" s="105">
        <f>IFERROR(BH1011*BM1011*BL1011/BJ1011/BK1011,"")</f>
        <v/>
      </c>
      <c r="BE1011" s="105">
        <f>IFERROR(MIN(BI1011/BQ1011/BP1011/BO1011/BH1011,$BE$1),"")</f>
        <v/>
      </c>
      <c r="BF1011" s="105">
        <f>IFERROR(BJ1011*BO1011*BP1011/BK1011,"")</f>
        <v/>
      </c>
      <c r="BG1011" s="105">
        <f>IFERROR(1/BM1011/BH1011*BQ1011,"")</f>
        <v/>
      </c>
      <c r="BH1011" s="102">
        <f>MAX((CE1011-Driver!$F$200)/(Driver!$G$200-Driver!$F$200)*$BI$1,1)</f>
        <v/>
      </c>
      <c r="BI1011" s="102">
        <f>MAX($BI$1*(BY1011-Driver!$F$201)/(Driver!$G$201-Driver!$F$201),1)</f>
        <v/>
      </c>
      <c r="BJ1011" s="102">
        <f>(CB1011-Driver!$F$206)/(Driver!$G$206-Driver!$F$206)*$BI$1</f>
        <v/>
      </c>
      <c r="BK1011" s="102">
        <f>(CD1011-Driver!$F$203)/(Driver!$G$203-Driver!$F$203)*$BI$1</f>
        <v/>
      </c>
      <c r="BL1011" s="102">
        <f>MAX((CR1011-Driver!$F$202)/(Driver!$G$202-Driver!$F$202)*$BI$1,1)</f>
        <v/>
      </c>
      <c r="BM1011" s="102">
        <f>MAX((CH1011-Driver!$F$204)/(Driver!$G$204-Driver!$F$204)*$BI$1,1)</f>
        <v/>
      </c>
      <c r="BN1011" s="102">
        <f>(CI1011-Driver!$F$205)/(Driver!$G$205-Driver!$F$205)*$BI$1</f>
        <v/>
      </c>
      <c r="BO1011" s="102">
        <f>(CK1011-Driver!$F$207)/(Driver!$G$207-Driver!$F$207)*$BI$1</f>
        <v/>
      </c>
      <c r="BP1011" s="102">
        <f>(CM1011-Driver!$F$208)/(Driver!$G$208-Driver!$F$208)*$BI$1</f>
        <v/>
      </c>
      <c r="BQ1011" s="102">
        <f>(CL1011-Driver!$F$209)/(Driver!$G$209-Driver!$F$209)*$BI$1</f>
        <v/>
      </c>
      <c r="BR1011" s="40" t="inlineStr">
        <is>
          <t>21/22</t>
        </is>
      </c>
      <c r="BS1011" s="10" t="inlineStr">
        <is>
          <t xml:space="preserve"> Völkl</t>
        </is>
      </c>
      <c r="BT1011" s="11" t="inlineStr">
        <is>
          <t>Blaze 94 W</t>
        </is>
      </c>
      <c r="BU1011" s="13" t="n">
        <v>151</v>
      </c>
      <c r="BV1011" s="11" t="inlineStr">
        <is>
          <t xml:space="preserve"> Women's</t>
        </is>
      </c>
      <c r="BW1011" s="13" t="n">
        <v>151</v>
      </c>
      <c r="BX1011" s="13" t="n">
        <v>152.7</v>
      </c>
      <c r="BY1011" s="13" t="n">
        <v>76</v>
      </c>
      <c r="BZ1011" s="13" t="n">
        <v>128</v>
      </c>
      <c r="CA1011" s="13" t="n">
        <v>133</v>
      </c>
      <c r="CB1011" s="13" t="n">
        <v>93</v>
      </c>
      <c r="CC1011" s="13" t="n">
        <v>115</v>
      </c>
      <c r="CD1011" s="13" t="n">
        <v>12.4</v>
      </c>
      <c r="CE1011" s="13" t="n">
        <v>1354</v>
      </c>
      <c r="CF1011" s="13" t="n">
        <v>1.2</v>
      </c>
      <c r="CG1011" s="13" t="n">
        <v>1618</v>
      </c>
      <c r="CH1011" s="13" t="n">
        <v>162</v>
      </c>
      <c r="CI1011" s="13" t="n">
        <v>79</v>
      </c>
      <c r="CJ1011" s="13" t="n">
        <v>50</v>
      </c>
      <c r="CK1011" s="13" t="n">
        <v>443</v>
      </c>
      <c r="CL1011" s="13" t="n">
        <v>22</v>
      </c>
      <c r="CM1011" s="13" t="n">
        <v>323</v>
      </c>
      <c r="CN1011" s="13" t="n">
        <v>0.442</v>
      </c>
      <c r="CO1011" s="13" t="n">
        <v>144</v>
      </c>
      <c r="CP1011" s="13" t="n">
        <v>106</v>
      </c>
      <c r="CQ1011" s="13" t="n">
        <v>299</v>
      </c>
      <c r="CR1011" s="13" t="n">
        <v>2</v>
      </c>
      <c r="CS1011" s="13" t="n">
        <v>11.4</v>
      </c>
      <c r="CT1011" s="11" t="inlineStr">
        <is>
          <t xml:space="preserve"> Resort Freeride</t>
        </is>
      </c>
      <c r="CU1011" s="11" t="inlineStr">
        <is>
          <t xml:space="preserve"> Touring</t>
        </is>
      </c>
      <c r="CV1011" s="13" t="n"/>
      <c r="CW1011" s="13" t="n"/>
      <c r="CX1011">
        <f>INDEX('Data_Price '!AG$2:AG$1266,MATCH(Data!$DN1011,'Data_Price '!$AT$2:$AT$1266,0))</f>
        <v/>
      </c>
      <c r="CY1011">
        <f>INDEX('Data_Price '!AH$2:AH$1266,MATCH(Data!$DN1011,'Data_Price '!$AT$2:$AT$1266,0))</f>
        <v/>
      </c>
      <c r="CZ1011">
        <f>INDEX('Data_Price '!AI$2:AI$1266,MATCH(Data!$DN1011,'Data_Price '!$AT$2:$AT$1266,0))</f>
        <v/>
      </c>
      <c r="DA1011">
        <f>INDEX('Data_Price '!AJ$2:AJ$1266,MATCH(Data!$DN1011,'Data_Price '!$AT$2:$AT$1266,0))</f>
        <v/>
      </c>
      <c r="DB1011">
        <f>INDEX('Data_Price '!AK$2:AK$1266,MATCH(Data!$DN1011,'Data_Price '!$AT$2:$AT$1266,0))</f>
        <v/>
      </c>
      <c r="DC1011">
        <f>INDEX('Data_Price '!AL$2:AL$1266,MATCH(Data!$DN1011,'Data_Price '!$AT$2:$AT$1266,0))</f>
        <v/>
      </c>
      <c r="DD1011">
        <f>INDEX('Data_Price '!AM$2:AM$1266,MATCH(Data!$DN1011,'Data_Price '!$AT$2:$AT$1266,0))</f>
        <v/>
      </c>
      <c r="DE1011">
        <f>INDEX('Data_Price '!AN$2:AN$1266,MATCH(Data!$DN1011,'Data_Price '!$AT$2:$AT$1266,0))</f>
        <v/>
      </c>
      <c r="DF1011">
        <f>INDEX('Data_Price '!AO$2:AO$1266,MATCH(Data!$DN1011,'Data_Price '!$AT$2:$AT$1266,0))</f>
        <v/>
      </c>
      <c r="DG1011">
        <f>INDEX('Data_Price '!AP$2:AP$1266,MATCH(Data!$DN1011,'Data_Price '!$AT$2:$AT$1266,0))</f>
        <v/>
      </c>
      <c r="DH1011">
        <f>INDEX('Data_Price '!AQ$2:AQ$1266,MATCH(Data!$DN1011,'Data_Price '!$AT$2:$AT$1266,0))</f>
        <v/>
      </c>
      <c r="DI1011">
        <f>INDEX('Data_Price '!AR$2:AR$1266,MATCH(Data!$DN1011,'Data_Price '!$AT$2:$AT$1266,0))</f>
        <v/>
      </c>
      <c r="DJ1011" s="138">
        <f>DA1011</f>
        <v/>
      </c>
      <c r="DK1011" s="138">
        <f>DE1011</f>
        <v/>
      </c>
      <c r="DL1011" s="138">
        <f>DI1011</f>
        <v/>
      </c>
      <c r="DM1011" s="303">
        <f>IF(LEFT(BT1011,1)=" ",RIGHT(BT1011,LEN(BT1011)-1),BT1011)</f>
        <v/>
      </c>
      <c r="DN1011" s="138">
        <f>_xlfn.CONCAT(BS1011,DM1011,BU1011,BV1011)</f>
        <v/>
      </c>
      <c r="DO1011" s="307" t="inlineStr">
        <is>
          <t>https://images.evo.com/imgp/250/208356/837603/clone.jpg</t>
        </is>
      </c>
    </row>
    <row r="1012" ht="15.6" customHeight="1" s="184">
      <c r="B1012" s="303">
        <f t="array" ref="B1012">IF(OR(ISERROR(K1012:P1012)),FALSE,TRUE)</f>
        <v/>
      </c>
      <c r="C1012" s="60">
        <f>OR(BR1012=Driver!$G$50,Data!BR389=Driver!$H$50)</f>
        <v/>
      </c>
      <c r="D1012" s="60">
        <f>OR(BV1012=Driver!$G$51,BV1012=Driver!$H$51)</f>
        <v/>
      </c>
      <c r="E1012" s="60">
        <f>AND(BX1012&gt;Driver!$F$54,BX1012&lt;Driver!$G$54)</f>
        <v/>
      </c>
      <c r="F1012" s="60">
        <f>CL1012&gt;Driver!$F$56</f>
        <v/>
      </c>
      <c r="G1012" s="60">
        <f>AND(CB1012&gt;Driver!$F$55,CB1012&lt;Driver!$G$55)</f>
        <v/>
      </c>
      <c r="H1012" s="60">
        <f>AND(B1012:G1012)</f>
        <v/>
      </c>
      <c r="I1012" s="60">
        <f>COUNTIFS($H$9:$H$1273,TRUE,$BT$9:$BT$1273,BT1012)</f>
        <v/>
      </c>
      <c r="J1012" s="60">
        <f t="array" ref="J1012">NOT(OR(($H$9:$H$1273=TRUE)*($I$9:$I$1273&gt;0)*($BT$9:$BT$1273=BT1012)*($K$9:$K$1273&gt;K1012)))</f>
        <v/>
      </c>
      <c r="K1012" s="108">
        <f>IFERROR(1-AVERAGE(X1012:Y1012),"")</f>
        <v/>
      </c>
      <c r="L1012" s="108">
        <f>1-X1012</f>
        <v/>
      </c>
      <c r="M1012" s="108">
        <f>1-Y1012</f>
        <v/>
      </c>
      <c r="N1012" s="108">
        <f>1-Z1012</f>
        <v/>
      </c>
      <c r="O1012" s="108">
        <f>1-AA1012</f>
        <v/>
      </c>
      <c r="P1012" s="108">
        <f>1-AB1012</f>
        <v/>
      </c>
      <c r="Q1012" s="108" t="n"/>
      <c r="R1012" s="108" t="n"/>
      <c r="S1012" s="108">
        <f>1-AE1012</f>
        <v/>
      </c>
      <c r="T1012" s="108">
        <f>1-AF1012</f>
        <v/>
      </c>
      <c r="U1012" s="108">
        <f>1-AG1012</f>
        <v/>
      </c>
      <c r="V1012" s="108">
        <f>1-AH1012</f>
        <v/>
      </c>
      <c r="W1012" s="108">
        <f>1-AI1012</f>
        <v/>
      </c>
      <c r="X1012" s="108">
        <f>ABS(AJ1012-AJ$1)</f>
        <v/>
      </c>
      <c r="Y1012" s="108">
        <f>AVERAGE(Z1012:AB1012)</f>
        <v/>
      </c>
      <c r="Z1012" s="108">
        <f>ABS(AL1012-AL$1)</f>
        <v/>
      </c>
      <c r="AA1012" s="108">
        <f>ABS(AM1012-AM$1)</f>
        <v/>
      </c>
      <c r="AB1012" s="108">
        <f>ABS(AN1012-AN$1)</f>
        <v/>
      </c>
      <c r="AC1012" s="108" t="n"/>
      <c r="AD1012" s="108" t="n"/>
      <c r="AE1012" s="108">
        <f>ABS(AQ$1-AQ1012)</f>
        <v/>
      </c>
      <c r="AF1012" s="108">
        <f>ABS(AR$1-AR1012)</f>
        <v/>
      </c>
      <c r="AG1012" s="108">
        <f>ABS(AS$1-AS1012)</f>
        <v/>
      </c>
      <c r="AH1012" s="108">
        <f>ABS(AT$1-AT1012)</f>
        <v/>
      </c>
      <c r="AI1012" s="108">
        <f>ABS(AU$1-AU1012)</f>
        <v/>
      </c>
      <c r="AJ1012" s="108">
        <f>(AV1012-Driver!$K$179)/(Driver!$L$179-Driver!$K$179)</f>
        <v/>
      </c>
      <c r="AK1012" s="108">
        <f>(AW1012-Driver!$K$180)/(Driver!$L$180-Driver!$K$180)</f>
        <v/>
      </c>
      <c r="AL1012" s="108">
        <f>(AX1012-Driver!$K$181)/(Driver!$L$181-Driver!$K$181)</f>
        <v/>
      </c>
      <c r="AM1012" s="108">
        <f>(AY1012-Driver!$K$182)/(Driver!$L$182-Driver!$K$182)</f>
        <v/>
      </c>
      <c r="AN1012" s="108">
        <f>(AZ1012-Driver!$K$183)/(Driver!$L$183-Driver!$K$183)</f>
        <v/>
      </c>
      <c r="AO1012" s="108" t="n"/>
      <c r="AP1012" s="108" t="n"/>
      <c r="AQ1012" s="108">
        <f>(BC1012-Driver!$K$188)/(Driver!$L$188-Driver!$K$188)</f>
        <v/>
      </c>
      <c r="AR1012" s="108">
        <f>MIN((BD1012-Driver!$K$189)/(Driver!$L$189-Driver!$K$189),100%)</f>
        <v/>
      </c>
      <c r="AS1012" s="108">
        <f>(BE1012-Driver!$K$190)/(Driver!$L$190-Driver!$K$190)</f>
        <v/>
      </c>
      <c r="AT1012" s="108">
        <f>(BF1012-Driver!$K$191)/(Driver!$L$191-Driver!$K$191)</f>
        <v/>
      </c>
      <c r="AU1012" s="108">
        <f>(BG1012-Driver!$K$192)/(Driver!$L$192-Driver!$K$192)</f>
        <v/>
      </c>
      <c r="AV1012" s="105">
        <f>IFERROR(BM1012*BJ1012^1/4,"")</f>
        <v/>
      </c>
      <c r="AW1012" s="105">
        <f>IFERROR(SUM(AX1012:AZ1012),"")</f>
        <v/>
      </c>
      <c r="AX1012" s="105">
        <f>IFERROR(BH1012,"")</f>
        <v/>
      </c>
      <c r="AY1012" s="105">
        <f>IFERROR(Driver!$K$19/Data!BH1012/Data!BI1012*Data!BK1012*Data!BL1012,"")</f>
        <v/>
      </c>
      <c r="AZ1012" s="105">
        <f>IFERROR(BI1012*BN1012,"")</f>
        <v/>
      </c>
      <c r="BA1012" s="105" t="n"/>
      <c r="BB1012" s="105" t="n"/>
      <c r="BC1012" s="105">
        <f>IFERROR(BI1012*BN1012*BK1012/BJ1012^(1/2),"")</f>
        <v/>
      </c>
      <c r="BD1012" s="105">
        <f>IFERROR(BH1012*BM1012*BL1012/BJ1012/BK1012,"")</f>
        <v/>
      </c>
      <c r="BE1012" s="105">
        <f>IFERROR(MIN(BI1012/BQ1012/BP1012/BO1012/BH1012,$BE$1),"")</f>
        <v/>
      </c>
      <c r="BF1012" s="105">
        <f>IFERROR(BJ1012*BO1012*BP1012/BK1012,"")</f>
        <v/>
      </c>
      <c r="BG1012" s="105">
        <f>IFERROR(1/BM1012/BH1012*BQ1012,"")</f>
        <v/>
      </c>
      <c r="BH1012" s="102">
        <f>MAX((CE1012-Driver!$F$200)/(Driver!$G$200-Driver!$F$200)*$BI$1,1)</f>
        <v/>
      </c>
      <c r="BI1012" s="102">
        <f>MAX($BI$1*(BY1012-Driver!$F$201)/(Driver!$G$201-Driver!$F$201),1)</f>
        <v/>
      </c>
      <c r="BJ1012" s="102">
        <f>(CB1012-Driver!$F$206)/(Driver!$G$206-Driver!$F$206)*$BI$1</f>
        <v/>
      </c>
      <c r="BK1012" s="102">
        <f>(CD1012-Driver!$F$203)/(Driver!$G$203-Driver!$F$203)*$BI$1</f>
        <v/>
      </c>
      <c r="BL1012" s="102">
        <f>MAX((CR1012-Driver!$F$202)/(Driver!$G$202-Driver!$F$202)*$BI$1,1)</f>
        <v/>
      </c>
      <c r="BM1012" s="102">
        <f>MAX((CH1012-Driver!$F$204)/(Driver!$G$204-Driver!$F$204)*$BI$1,1)</f>
        <v/>
      </c>
      <c r="BN1012" s="102">
        <f>(CI1012-Driver!$F$205)/(Driver!$G$205-Driver!$F$205)*$BI$1</f>
        <v/>
      </c>
      <c r="BO1012" s="102">
        <f>(CK1012-Driver!$F$207)/(Driver!$G$207-Driver!$F$207)*$BI$1</f>
        <v/>
      </c>
      <c r="BP1012" s="102">
        <f>(CM1012-Driver!$F$208)/(Driver!$G$208-Driver!$F$208)*$BI$1</f>
        <v/>
      </c>
      <c r="BQ1012" s="102">
        <f>(CL1012-Driver!$F$209)/(Driver!$G$209-Driver!$F$209)*$BI$1</f>
        <v/>
      </c>
      <c r="BR1012" s="40" t="inlineStr">
        <is>
          <t>21/22</t>
        </is>
      </c>
      <c r="BS1012" s="10" t="inlineStr">
        <is>
          <t xml:space="preserve"> Dynastar</t>
        </is>
      </c>
      <c r="BT1012" s="11" t="inlineStr">
        <is>
          <t>M-Menace 90</t>
        </is>
      </c>
      <c r="BU1012" s="13" t="n">
        <v>140</v>
      </c>
      <c r="BV1012" s="11" t="inlineStr">
        <is>
          <t xml:space="preserve"> Unisex</t>
        </is>
      </c>
      <c r="BW1012" s="13" t="n">
        <v>140</v>
      </c>
      <c r="BX1012" s="13" t="n">
        <v>138.6</v>
      </c>
      <c r="BY1012" s="13" t="n">
        <v>90</v>
      </c>
      <c r="BZ1012" s="13" t="n">
        <v>115</v>
      </c>
      <c r="CA1012" s="13" t="n">
        <v>117</v>
      </c>
      <c r="CB1012" s="13" t="n">
        <v>89</v>
      </c>
      <c r="CC1012" s="13" t="n">
        <v>107</v>
      </c>
      <c r="CD1012" s="13" t="n">
        <v>13.4</v>
      </c>
      <c r="CE1012" s="13" t="n">
        <v>1412</v>
      </c>
      <c r="CF1012" s="13" t="n">
        <v>0.96</v>
      </c>
      <c r="CG1012" s="13" t="n">
        <v>1359</v>
      </c>
      <c r="CH1012" s="13" t="n">
        <v>153</v>
      </c>
      <c r="CI1012" s="13" t="n">
        <v>67</v>
      </c>
      <c r="CJ1012" s="13" t="n">
        <v>49</v>
      </c>
      <c r="CK1012" s="13" t="n">
        <v>259</v>
      </c>
      <c r="CL1012" s="13" t="n">
        <v>33</v>
      </c>
      <c r="CM1012" s="13" t="n">
        <v>223</v>
      </c>
      <c r="CN1012" s="13" t="n">
        <v>0.67</v>
      </c>
      <c r="CO1012" s="13" t="n">
        <v>114</v>
      </c>
      <c r="CP1012" s="13" t="n">
        <v>124</v>
      </c>
      <c r="CQ1012" s="13" t="n">
        <v>145</v>
      </c>
      <c r="CR1012" s="13" t="n">
        <v>5</v>
      </c>
      <c r="CS1012" s="13" t="n">
        <v>6.8</v>
      </c>
      <c r="CT1012" s="11" t="inlineStr">
        <is>
          <t xml:space="preserve"> Resort Freeride</t>
        </is>
      </c>
      <c r="CU1012" s="13" t="n"/>
      <c r="CV1012" s="13" t="n"/>
      <c r="CW1012" s="13" t="n"/>
      <c r="CX1012">
        <f>INDEX('Data_Price '!AG$2:AG$1266,MATCH(Data!$DN1012,'Data_Price '!$AT$2:$AT$1266,0))</f>
        <v/>
      </c>
      <c r="CY1012">
        <f>INDEX('Data_Price '!AH$2:AH$1266,MATCH(Data!$DN1012,'Data_Price '!$AT$2:$AT$1266,0))</f>
        <v/>
      </c>
      <c r="CZ1012">
        <f>INDEX('Data_Price '!AI$2:AI$1266,MATCH(Data!$DN1012,'Data_Price '!$AT$2:$AT$1266,0))</f>
        <v/>
      </c>
      <c r="DA1012">
        <f>INDEX('Data_Price '!AJ$2:AJ$1266,MATCH(Data!$DN1012,'Data_Price '!$AT$2:$AT$1266,0))</f>
        <v/>
      </c>
      <c r="DB1012">
        <f>INDEX('Data_Price '!AK$2:AK$1266,MATCH(Data!$DN1012,'Data_Price '!$AT$2:$AT$1266,0))</f>
        <v/>
      </c>
      <c r="DC1012">
        <f>INDEX('Data_Price '!AL$2:AL$1266,MATCH(Data!$DN1012,'Data_Price '!$AT$2:$AT$1266,0))</f>
        <v/>
      </c>
      <c r="DD1012">
        <f>INDEX('Data_Price '!AM$2:AM$1266,MATCH(Data!$DN1012,'Data_Price '!$AT$2:$AT$1266,0))</f>
        <v/>
      </c>
      <c r="DE1012">
        <f>INDEX('Data_Price '!AN$2:AN$1266,MATCH(Data!$DN1012,'Data_Price '!$AT$2:$AT$1266,0))</f>
        <v/>
      </c>
      <c r="DF1012">
        <f>INDEX('Data_Price '!AO$2:AO$1266,MATCH(Data!$DN1012,'Data_Price '!$AT$2:$AT$1266,0))</f>
        <v/>
      </c>
      <c r="DG1012">
        <f>INDEX('Data_Price '!AP$2:AP$1266,MATCH(Data!$DN1012,'Data_Price '!$AT$2:$AT$1266,0))</f>
        <v/>
      </c>
      <c r="DH1012">
        <f>INDEX('Data_Price '!AQ$2:AQ$1266,MATCH(Data!$DN1012,'Data_Price '!$AT$2:$AT$1266,0))</f>
        <v/>
      </c>
      <c r="DI1012">
        <f>INDEX('Data_Price '!AR$2:AR$1266,MATCH(Data!$DN1012,'Data_Price '!$AT$2:$AT$1266,0))</f>
        <v/>
      </c>
      <c r="DJ1012" s="138">
        <f>DA1012</f>
        <v/>
      </c>
      <c r="DK1012" s="138">
        <f>DE1012</f>
        <v/>
      </c>
      <c r="DL1012" s="138">
        <f>DI1012</f>
        <v/>
      </c>
      <c r="DM1012" s="303">
        <f>IF(LEFT(BT1012,1)=" ",RIGHT(BT1012,LEN(BT1012)-1),BT1012)</f>
        <v/>
      </c>
      <c r="DN1012" s="138">
        <f>_xlfn.CONCAT(BS1012,DM1012,BU1012,BV1012)</f>
        <v/>
      </c>
      <c r="DO1012" s="307" t="n"/>
    </row>
    <row r="1013" ht="15.6" customHeight="1" s="184">
      <c r="B1013" s="303">
        <f t="array" ref="B1013">IF(OR(ISERROR(K1013:P1013)),FALSE,TRUE)</f>
        <v/>
      </c>
      <c r="C1013" s="60">
        <f>OR(BR1013=Driver!$G$50,Data!BR62=Driver!$H$50)</f>
        <v/>
      </c>
      <c r="D1013" s="60">
        <f>OR(BV1013=Driver!$G$51,BV1013=Driver!$H$51)</f>
        <v/>
      </c>
      <c r="E1013" s="60">
        <f>AND(BX1013&gt;Driver!$F$54,BX1013&lt;Driver!$G$54)</f>
        <v/>
      </c>
      <c r="F1013" s="60">
        <f>CL1013&gt;Driver!$F$56</f>
        <v/>
      </c>
      <c r="G1013" s="60">
        <f>AND(CB1013&gt;Driver!$F$55,CB1013&lt;Driver!$G$55)</f>
        <v/>
      </c>
      <c r="H1013" s="60">
        <f>AND(B1013:G1013)</f>
        <v/>
      </c>
      <c r="I1013" s="60">
        <f>COUNTIFS($H$9:$H$1273,TRUE,$BT$9:$BT$1273,BT1013)</f>
        <v/>
      </c>
      <c r="J1013" s="60">
        <f t="array" ref="J1013">NOT(OR(($H$9:$H$1273=TRUE)*($I$9:$I$1273&gt;0)*($BT$9:$BT$1273=BT1013)*($K$9:$K$1273&gt;K1013)))</f>
        <v/>
      </c>
      <c r="K1013" s="108">
        <f>IFERROR(1-AVERAGE(X1013:Y1013),"")</f>
        <v/>
      </c>
      <c r="L1013" s="108">
        <f>1-X1013</f>
        <v/>
      </c>
      <c r="M1013" s="108">
        <f>1-Y1013</f>
        <v/>
      </c>
      <c r="N1013" s="108">
        <f>1-Z1013</f>
        <v/>
      </c>
      <c r="O1013" s="108">
        <f>1-AA1013</f>
        <v/>
      </c>
      <c r="P1013" s="108">
        <f>1-AB1013</f>
        <v/>
      </c>
      <c r="Q1013" s="108" t="n"/>
      <c r="R1013" s="108" t="n"/>
      <c r="S1013" s="108">
        <f>1-AE1013</f>
        <v/>
      </c>
      <c r="T1013" s="108">
        <f>1-AF1013</f>
        <v/>
      </c>
      <c r="U1013" s="108">
        <f>1-AG1013</f>
        <v/>
      </c>
      <c r="V1013" s="108">
        <f>1-AH1013</f>
        <v/>
      </c>
      <c r="W1013" s="108">
        <f>1-AI1013</f>
        <v/>
      </c>
      <c r="X1013" s="108">
        <f>ABS(AJ1013-AJ$1)</f>
        <v/>
      </c>
      <c r="Y1013" s="108">
        <f>AVERAGE(Z1013:AB1013)</f>
        <v/>
      </c>
      <c r="Z1013" s="108">
        <f>ABS(AL1013-AL$1)</f>
        <v/>
      </c>
      <c r="AA1013" s="108">
        <f>ABS(AM1013-AM$1)</f>
        <v/>
      </c>
      <c r="AB1013" s="108">
        <f>ABS(AN1013-AN$1)</f>
        <v/>
      </c>
      <c r="AC1013" s="108" t="n"/>
      <c r="AD1013" s="108" t="n"/>
      <c r="AE1013" s="108">
        <f>ABS(AQ$1-AQ1013)</f>
        <v/>
      </c>
      <c r="AF1013" s="108">
        <f>ABS(AR$1-AR1013)</f>
        <v/>
      </c>
      <c r="AG1013" s="108">
        <f>ABS(AS$1-AS1013)</f>
        <v/>
      </c>
      <c r="AH1013" s="108">
        <f>ABS(AT$1-AT1013)</f>
        <v/>
      </c>
      <c r="AI1013" s="108">
        <f>ABS(AU$1-AU1013)</f>
        <v/>
      </c>
      <c r="AJ1013" s="108">
        <f>(AV1013-Driver!$K$179)/(Driver!$L$179-Driver!$K$179)</f>
        <v/>
      </c>
      <c r="AK1013" s="108">
        <f>(AW1013-Driver!$K$180)/(Driver!$L$180-Driver!$K$180)</f>
        <v/>
      </c>
      <c r="AL1013" s="108">
        <f>(AX1013-Driver!$K$181)/(Driver!$L$181-Driver!$K$181)</f>
        <v/>
      </c>
      <c r="AM1013" s="108">
        <f>(AY1013-Driver!$K$182)/(Driver!$L$182-Driver!$K$182)</f>
        <v/>
      </c>
      <c r="AN1013" s="108">
        <f>(AZ1013-Driver!$K$183)/(Driver!$L$183-Driver!$K$183)</f>
        <v/>
      </c>
      <c r="AO1013" s="108" t="n"/>
      <c r="AP1013" s="108" t="n"/>
      <c r="AQ1013" s="108">
        <f>(BC1013-Driver!$K$188)/(Driver!$L$188-Driver!$K$188)</f>
        <v/>
      </c>
      <c r="AR1013" s="108">
        <f>MIN((BD1013-Driver!$K$189)/(Driver!$L$189-Driver!$K$189),100%)</f>
        <v/>
      </c>
      <c r="AS1013" s="108">
        <f>(BE1013-Driver!$K$190)/(Driver!$L$190-Driver!$K$190)</f>
        <v/>
      </c>
      <c r="AT1013" s="108">
        <f>(BF1013-Driver!$K$191)/(Driver!$L$191-Driver!$K$191)</f>
        <v/>
      </c>
      <c r="AU1013" s="108">
        <f>(BG1013-Driver!$K$192)/(Driver!$L$192-Driver!$K$192)</f>
        <v/>
      </c>
      <c r="AV1013" s="105">
        <f>IFERROR(BM1013*BJ1013^1/4,"")</f>
        <v/>
      </c>
      <c r="AW1013" s="105">
        <f>IFERROR(SUM(AX1013:AZ1013),"")</f>
        <v/>
      </c>
      <c r="AX1013" s="105">
        <f>IFERROR(BH1013,"")</f>
        <v/>
      </c>
      <c r="AY1013" s="105">
        <f>IFERROR(Driver!$K$19/Data!BH1013/Data!BI1013*Data!BK1013*Data!BL1013,"")</f>
        <v/>
      </c>
      <c r="AZ1013" s="105">
        <f>IFERROR(BI1013*BN1013,"")</f>
        <v/>
      </c>
      <c r="BA1013" s="105" t="n"/>
      <c r="BB1013" s="105" t="n"/>
      <c r="BC1013" s="105">
        <f>IFERROR(BI1013*BN1013*BK1013/BJ1013^(1/2),"")</f>
        <v/>
      </c>
      <c r="BD1013" s="105">
        <f>IFERROR(BH1013*BM1013*BL1013/BJ1013/BK1013,"")</f>
        <v/>
      </c>
      <c r="BE1013" s="105">
        <f>IFERROR(MIN(BI1013/BQ1013/BP1013/BO1013/BH1013,$BE$1),"")</f>
        <v/>
      </c>
      <c r="BF1013" s="105">
        <f>IFERROR(BJ1013*BO1013*BP1013/BK1013,"")</f>
        <v/>
      </c>
      <c r="BG1013" s="105">
        <f>IFERROR(1/BM1013/BH1013*BQ1013,"")</f>
        <v/>
      </c>
      <c r="BH1013" s="102">
        <f>MAX((CE1013-Driver!$F$200)/(Driver!$G$200-Driver!$F$200)*$BI$1,1)</f>
        <v/>
      </c>
      <c r="BI1013" s="102">
        <f>MAX($BI$1*(BY1013-Driver!$F$201)/(Driver!$G$201-Driver!$F$201),1)</f>
        <v/>
      </c>
      <c r="BJ1013" s="102">
        <f>(CB1013-Driver!$F$206)/(Driver!$G$206-Driver!$F$206)*$BI$1</f>
        <v/>
      </c>
      <c r="BK1013" s="102">
        <f>(CD1013-Driver!$F$203)/(Driver!$G$203-Driver!$F$203)*$BI$1</f>
        <v/>
      </c>
      <c r="BL1013" s="102">
        <f>MAX((CR1013-Driver!$F$202)/(Driver!$G$202-Driver!$F$202)*$BI$1,1)</f>
        <v/>
      </c>
      <c r="BM1013" s="102">
        <f>MAX((CH1013-Driver!$F$204)/(Driver!$G$204-Driver!$F$204)*$BI$1,1)</f>
        <v/>
      </c>
      <c r="BN1013" s="102">
        <f>(CI1013-Driver!$F$205)/(Driver!$G$205-Driver!$F$205)*$BI$1</f>
        <v/>
      </c>
      <c r="BO1013" s="102">
        <f>(CK1013-Driver!$F$207)/(Driver!$G$207-Driver!$F$207)*$BI$1</f>
        <v/>
      </c>
      <c r="BP1013" s="102">
        <f>(CM1013-Driver!$F$208)/(Driver!$G$208-Driver!$F$208)*$BI$1</f>
        <v/>
      </c>
      <c r="BQ1013" s="102">
        <f>(CL1013-Driver!$F$209)/(Driver!$G$209-Driver!$F$209)*$BI$1</f>
        <v/>
      </c>
      <c r="BR1013" s="40" t="inlineStr">
        <is>
          <t>21/22</t>
        </is>
      </c>
      <c r="BS1013" s="10" t="inlineStr">
        <is>
          <t xml:space="preserve"> Armada</t>
        </is>
      </c>
      <c r="BT1013" s="11" t="inlineStr">
        <is>
          <t xml:space="preserve"> Bdog Edgeless</t>
        </is>
      </c>
      <c r="BU1013" s="13" t="n">
        <v>172</v>
      </c>
      <c r="BV1013" s="11" t="inlineStr">
        <is>
          <t xml:space="preserve"> Unisex</t>
        </is>
      </c>
      <c r="BW1013" s="13" t="n">
        <v>172</v>
      </c>
      <c r="BX1013" s="13" t="n">
        <v>170.2</v>
      </c>
      <c r="BY1013" s="13" t="n">
        <v>112</v>
      </c>
      <c r="BZ1013" s="13" t="n">
        <v>127</v>
      </c>
      <c r="CA1013" s="13" t="n">
        <v>120</v>
      </c>
      <c r="CB1013" s="13" t="n">
        <v>93</v>
      </c>
      <c r="CC1013" s="13" t="n">
        <v>116</v>
      </c>
      <c r="CD1013" s="13" t="n">
        <v>14.1</v>
      </c>
      <c r="CE1013" s="13" t="n">
        <v>1801</v>
      </c>
      <c r="CF1013" s="13" t="n">
        <v>0.99</v>
      </c>
      <c r="CG1013" s="13" t="n">
        <v>1789</v>
      </c>
      <c r="CH1013" s="13" t="n">
        <v>133</v>
      </c>
      <c r="CI1013" s="13" t="n">
        <v>66</v>
      </c>
      <c r="CJ1013" s="13" t="n">
        <v>50</v>
      </c>
      <c r="CK1013" s="13" t="n">
        <v>291</v>
      </c>
      <c r="CL1013" s="13" t="n">
        <v>47</v>
      </c>
      <c r="CM1013" s="13" t="n">
        <v>292</v>
      </c>
      <c r="CN1013" s="13" t="n">
        <v>0.9379999999999999</v>
      </c>
      <c r="CO1013" s="13" t="n">
        <v>227</v>
      </c>
      <c r="CP1013" s="13" t="n">
        <v>207</v>
      </c>
      <c r="CQ1013" s="13" t="n">
        <v>64</v>
      </c>
      <c r="CR1013" s="13" t="n">
        <v>4</v>
      </c>
      <c r="CS1013" s="13" t="n">
        <v>0.2</v>
      </c>
      <c r="CT1013" s="11" t="inlineStr">
        <is>
          <t xml:space="preserve"> Freeski</t>
        </is>
      </c>
      <c r="CU1013" s="13" t="n"/>
      <c r="CV1013" s="13" t="n"/>
      <c r="CW1013" s="13" t="n"/>
      <c r="CX1013">
        <f>INDEX('Data_Price '!AG$2:AG$1266,MATCH(Data!$DN1013,'Data_Price '!$AT$2:$AT$1266,0))</f>
        <v/>
      </c>
      <c r="CY1013">
        <f>INDEX('Data_Price '!AH$2:AH$1266,MATCH(Data!$DN1013,'Data_Price '!$AT$2:$AT$1266,0))</f>
        <v/>
      </c>
      <c r="CZ1013">
        <f>INDEX('Data_Price '!AI$2:AI$1266,MATCH(Data!$DN1013,'Data_Price '!$AT$2:$AT$1266,0))</f>
        <v/>
      </c>
      <c r="DA1013">
        <f>INDEX('Data_Price '!AJ$2:AJ$1266,MATCH(Data!$DN1013,'Data_Price '!$AT$2:$AT$1266,0))</f>
        <v/>
      </c>
      <c r="DB1013">
        <f>INDEX('Data_Price '!AK$2:AK$1266,MATCH(Data!$DN1013,'Data_Price '!$AT$2:$AT$1266,0))</f>
        <v/>
      </c>
      <c r="DC1013">
        <f>INDEX('Data_Price '!AL$2:AL$1266,MATCH(Data!$DN1013,'Data_Price '!$AT$2:$AT$1266,0))</f>
        <v/>
      </c>
      <c r="DD1013">
        <f>INDEX('Data_Price '!AM$2:AM$1266,MATCH(Data!$DN1013,'Data_Price '!$AT$2:$AT$1266,0))</f>
        <v/>
      </c>
      <c r="DE1013">
        <f>INDEX('Data_Price '!AN$2:AN$1266,MATCH(Data!$DN1013,'Data_Price '!$AT$2:$AT$1266,0))</f>
        <v/>
      </c>
      <c r="DF1013">
        <f>INDEX('Data_Price '!AO$2:AO$1266,MATCH(Data!$DN1013,'Data_Price '!$AT$2:$AT$1266,0))</f>
        <v/>
      </c>
      <c r="DG1013">
        <f>INDEX('Data_Price '!AP$2:AP$1266,MATCH(Data!$DN1013,'Data_Price '!$AT$2:$AT$1266,0))</f>
        <v/>
      </c>
      <c r="DH1013">
        <f>INDEX('Data_Price '!AQ$2:AQ$1266,MATCH(Data!$DN1013,'Data_Price '!$AT$2:$AT$1266,0))</f>
        <v/>
      </c>
      <c r="DI1013">
        <f>INDEX('Data_Price '!AR$2:AR$1266,MATCH(Data!$DN1013,'Data_Price '!$AT$2:$AT$1266,0))</f>
        <v/>
      </c>
      <c r="DJ1013" s="138">
        <f>DA1013</f>
        <v/>
      </c>
      <c r="DK1013" s="138">
        <f>DE1013</f>
        <v/>
      </c>
      <c r="DL1013" s="138">
        <f>DI1013</f>
        <v/>
      </c>
      <c r="DM1013" s="303">
        <f>IF(LEFT(BT1013,1)=" ",RIGHT(BT1013,LEN(BT1013)-1),BT1013)</f>
        <v/>
      </c>
      <c r="DN1013" s="138">
        <f>_xlfn.CONCAT(BS1013,DM1013,BU1013,BV1013)</f>
        <v/>
      </c>
      <c r="DO1013" s="307" t="inlineStr">
        <is>
          <t>https://images.evo.com/imgp/250/162921/736809/armada-bdog-edgeless-skis-2022-.jpg</t>
        </is>
      </c>
    </row>
    <row r="1014" ht="15.6" customHeight="1" s="184">
      <c r="B1014" s="303">
        <f t="array" ref="B1014">IF(OR(ISERROR(K1014:P1014)),FALSE,TRUE)</f>
        <v/>
      </c>
      <c r="C1014" s="60">
        <f>OR(BR1014=Driver!$G$50,Data!BR171=Driver!$H$50)</f>
        <v/>
      </c>
      <c r="D1014" s="60">
        <f>OR(BV1014=Driver!$G$51,BV1014=Driver!$H$51)</f>
        <v/>
      </c>
      <c r="E1014" s="60">
        <f>AND(BX1014&gt;Driver!$F$54,BX1014&lt;Driver!$G$54)</f>
        <v/>
      </c>
      <c r="F1014" s="60">
        <f>CL1014&gt;Driver!$F$56</f>
        <v/>
      </c>
      <c r="G1014" s="60">
        <f>AND(CB1014&gt;Driver!$F$55,CB1014&lt;Driver!$G$55)</f>
        <v/>
      </c>
      <c r="H1014" s="60">
        <f>AND(B1014:G1014)</f>
        <v/>
      </c>
      <c r="I1014" s="60">
        <f>COUNTIFS($H$9:$H$1273,TRUE,$BT$9:$BT$1273,BT1014)</f>
        <v/>
      </c>
      <c r="J1014" s="60">
        <f t="array" ref="J1014">NOT(OR(($H$9:$H$1273=TRUE)*($I$9:$I$1273&gt;0)*($BT$9:$BT$1273=BT1014)*($K$9:$K$1273&gt;K1014)))</f>
        <v/>
      </c>
      <c r="K1014" s="108">
        <f>IFERROR(1-AVERAGE(X1014:Y1014),"")</f>
        <v/>
      </c>
      <c r="L1014" s="108">
        <f>1-X1014</f>
        <v/>
      </c>
      <c r="M1014" s="108">
        <f>1-Y1014</f>
        <v/>
      </c>
      <c r="N1014" s="108">
        <f>1-Z1014</f>
        <v/>
      </c>
      <c r="O1014" s="108">
        <f>1-AA1014</f>
        <v/>
      </c>
      <c r="P1014" s="108">
        <f>1-AB1014</f>
        <v/>
      </c>
      <c r="Q1014" s="108" t="n"/>
      <c r="R1014" s="108" t="n"/>
      <c r="S1014" s="108">
        <f>1-AE1014</f>
        <v/>
      </c>
      <c r="T1014" s="108">
        <f>1-AF1014</f>
        <v/>
      </c>
      <c r="U1014" s="108">
        <f>1-AG1014</f>
        <v/>
      </c>
      <c r="V1014" s="108">
        <f>1-AH1014</f>
        <v/>
      </c>
      <c r="W1014" s="108">
        <f>1-AI1014</f>
        <v/>
      </c>
      <c r="X1014" s="108">
        <f>ABS(AJ1014-AJ$1)</f>
        <v/>
      </c>
      <c r="Y1014" s="108">
        <f>AVERAGE(Z1014:AB1014)</f>
        <v/>
      </c>
      <c r="Z1014" s="108">
        <f>ABS(AL1014-AL$1)</f>
        <v/>
      </c>
      <c r="AA1014" s="108">
        <f>ABS(AM1014-AM$1)</f>
        <v/>
      </c>
      <c r="AB1014" s="108">
        <f>ABS(AN1014-AN$1)</f>
        <v/>
      </c>
      <c r="AC1014" s="108" t="n"/>
      <c r="AD1014" s="108" t="n"/>
      <c r="AE1014" s="108">
        <f>ABS(AQ$1-AQ1014)</f>
        <v/>
      </c>
      <c r="AF1014" s="108">
        <f>ABS(AR$1-AR1014)</f>
        <v/>
      </c>
      <c r="AG1014" s="108">
        <f>ABS(AS$1-AS1014)</f>
        <v/>
      </c>
      <c r="AH1014" s="108">
        <f>ABS(AT$1-AT1014)</f>
        <v/>
      </c>
      <c r="AI1014" s="108">
        <f>ABS(AU$1-AU1014)</f>
        <v/>
      </c>
      <c r="AJ1014" s="108">
        <f>(AV1014-Driver!$K$179)/(Driver!$L$179-Driver!$K$179)</f>
        <v/>
      </c>
      <c r="AK1014" s="108">
        <f>(AW1014-Driver!$K$180)/(Driver!$L$180-Driver!$K$180)</f>
        <v/>
      </c>
      <c r="AL1014" s="108">
        <f>(AX1014-Driver!$K$181)/(Driver!$L$181-Driver!$K$181)</f>
        <v/>
      </c>
      <c r="AM1014" s="108">
        <f>(AY1014-Driver!$K$182)/(Driver!$L$182-Driver!$K$182)</f>
        <v/>
      </c>
      <c r="AN1014" s="108">
        <f>(AZ1014-Driver!$K$183)/(Driver!$L$183-Driver!$K$183)</f>
        <v/>
      </c>
      <c r="AO1014" s="108" t="n"/>
      <c r="AP1014" s="108" t="n"/>
      <c r="AQ1014" s="108">
        <f>(BC1014-Driver!$K$188)/(Driver!$L$188-Driver!$K$188)</f>
        <v/>
      </c>
      <c r="AR1014" s="108">
        <f>MIN((BD1014-Driver!$K$189)/(Driver!$L$189-Driver!$K$189),100%)</f>
        <v/>
      </c>
      <c r="AS1014" s="108">
        <f>(BE1014-Driver!$K$190)/(Driver!$L$190-Driver!$K$190)</f>
        <v/>
      </c>
      <c r="AT1014" s="108">
        <f>(BF1014-Driver!$K$191)/(Driver!$L$191-Driver!$K$191)</f>
        <v/>
      </c>
      <c r="AU1014" s="108">
        <f>(BG1014-Driver!$K$192)/(Driver!$L$192-Driver!$K$192)</f>
        <v/>
      </c>
      <c r="AV1014" s="105">
        <f>IFERROR(BM1014*BJ1014^1/4,"")</f>
        <v/>
      </c>
      <c r="AW1014" s="105">
        <f>IFERROR(SUM(AX1014:AZ1014),"")</f>
        <v/>
      </c>
      <c r="AX1014" s="105">
        <f>IFERROR(BH1014,"")</f>
        <v/>
      </c>
      <c r="AY1014" s="105">
        <f>IFERROR(Driver!$K$19/Data!BH1014/Data!BI1014*Data!BK1014*Data!BL1014,"")</f>
        <v/>
      </c>
      <c r="AZ1014" s="105">
        <f>IFERROR(BI1014*BN1014,"")</f>
        <v/>
      </c>
      <c r="BA1014" s="105" t="n"/>
      <c r="BB1014" s="105" t="n"/>
      <c r="BC1014" s="105">
        <f>IFERROR(BI1014*BN1014*BK1014/BJ1014^(1/2),"")</f>
        <v/>
      </c>
      <c r="BD1014" s="105">
        <f>IFERROR(BH1014*BM1014*BL1014/BJ1014/BK1014,"")</f>
        <v/>
      </c>
      <c r="BE1014" s="105">
        <f>IFERROR(MIN(BI1014/BQ1014/BP1014/BO1014/BH1014,$BE$1),"")</f>
        <v/>
      </c>
      <c r="BF1014" s="105">
        <f>IFERROR(BJ1014*BO1014*BP1014/BK1014,"")</f>
        <v/>
      </c>
      <c r="BG1014" s="105">
        <f>IFERROR(1/BM1014/BH1014*BQ1014,"")</f>
        <v/>
      </c>
      <c r="BH1014" s="102">
        <f>MAX((CE1014-Driver!$F$200)/(Driver!$G$200-Driver!$F$200)*$BI$1,1)</f>
        <v/>
      </c>
      <c r="BI1014" s="102">
        <f>MAX($BI$1*(BY1014-Driver!$F$201)/(Driver!$G$201-Driver!$F$201),1)</f>
        <v/>
      </c>
      <c r="BJ1014" s="102">
        <f>(CB1014-Driver!$F$206)/(Driver!$G$206-Driver!$F$206)*$BI$1</f>
        <v/>
      </c>
      <c r="BK1014" s="102">
        <f>(CD1014-Driver!$F$203)/(Driver!$G$203-Driver!$F$203)*$BI$1</f>
        <v/>
      </c>
      <c r="BL1014" s="102">
        <f>MAX((CR1014-Driver!$F$202)/(Driver!$G$202-Driver!$F$202)*$BI$1,1)</f>
        <v/>
      </c>
      <c r="BM1014" s="102">
        <f>MAX((CH1014-Driver!$F$204)/(Driver!$G$204-Driver!$F$204)*$BI$1,1)</f>
        <v/>
      </c>
      <c r="BN1014" s="102">
        <f>(CI1014-Driver!$F$205)/(Driver!$G$205-Driver!$F$205)*$BI$1</f>
        <v/>
      </c>
      <c r="BO1014" s="102">
        <f>(CK1014-Driver!$F$207)/(Driver!$G$207-Driver!$F$207)*$BI$1</f>
        <v/>
      </c>
      <c r="BP1014" s="102">
        <f>(CM1014-Driver!$F$208)/(Driver!$G$208-Driver!$F$208)*$BI$1</f>
        <v/>
      </c>
      <c r="BQ1014" s="102">
        <f>(CL1014-Driver!$F$209)/(Driver!$G$209-Driver!$F$209)*$BI$1</f>
        <v/>
      </c>
      <c r="BR1014" s="40" t="inlineStr">
        <is>
          <t>21/22</t>
        </is>
      </c>
      <c r="BS1014" s="10" t="inlineStr">
        <is>
          <t xml:space="preserve"> Atomic</t>
        </is>
      </c>
      <c r="BT1014" s="11" t="inlineStr">
        <is>
          <t>Maverick 95 Ti</t>
        </is>
      </c>
      <c r="BU1014" s="13" t="n">
        <v>180</v>
      </c>
      <c r="BV1014" s="11" t="inlineStr">
        <is>
          <t xml:space="preserve"> Unisex</t>
        </is>
      </c>
      <c r="BW1014" s="13" t="n">
        <v>180</v>
      </c>
      <c r="BX1014" s="13" t="n">
        <v>179.1</v>
      </c>
      <c r="BY1014" s="13" t="n">
        <v>128</v>
      </c>
      <c r="BZ1014" s="13" t="n">
        <v>148</v>
      </c>
      <c r="CA1014" s="13" t="n">
        <v>128</v>
      </c>
      <c r="CB1014" s="13" t="n">
        <v>93</v>
      </c>
      <c r="CC1014" s="13" t="n">
        <v>112</v>
      </c>
      <c r="CD1014" s="13" t="n">
        <v>19.2</v>
      </c>
      <c r="CE1014" s="13" t="n">
        <v>1781</v>
      </c>
      <c r="CF1014" s="13" t="n">
        <v>1.05</v>
      </c>
      <c r="CG1014" s="13" t="n">
        <v>1863</v>
      </c>
      <c r="CH1014" s="13" t="n">
        <v>240</v>
      </c>
      <c r="CI1014" s="13" t="n">
        <v>169</v>
      </c>
      <c r="CJ1014" s="13" t="n">
        <v>55</v>
      </c>
      <c r="CK1014" s="13" t="n">
        <v>314</v>
      </c>
      <c r="CL1014" s="13" t="n">
        <v>14</v>
      </c>
      <c r="CM1014" s="13" t="n">
        <v>197</v>
      </c>
      <c r="CN1014" s="13" t="n">
        <v>0.254</v>
      </c>
      <c r="CO1014" s="13" t="n">
        <v>169</v>
      </c>
      <c r="CP1014" s="13" t="n">
        <v>142</v>
      </c>
      <c r="CQ1014" s="13" t="n">
        <v>145</v>
      </c>
      <c r="CR1014" s="13" t="n">
        <v>5</v>
      </c>
      <c r="CS1014" s="13" t="n">
        <v>9</v>
      </c>
      <c r="CT1014" s="11" t="inlineStr">
        <is>
          <t xml:space="preserve"> Resort Freeride</t>
        </is>
      </c>
      <c r="CU1014" s="13" t="n"/>
      <c r="CV1014" s="13" t="n"/>
      <c r="CW1014" s="13" t="n"/>
      <c r="CX1014">
        <f>INDEX('Data_Price '!AG$2:AG$1266,MATCH(Data!$DN1014,'Data_Price '!$AT$2:$AT$1266,0))</f>
        <v/>
      </c>
      <c r="CY1014">
        <f>INDEX('Data_Price '!AH$2:AH$1266,MATCH(Data!$DN1014,'Data_Price '!$AT$2:$AT$1266,0))</f>
        <v/>
      </c>
      <c r="CZ1014">
        <f>INDEX('Data_Price '!AI$2:AI$1266,MATCH(Data!$DN1014,'Data_Price '!$AT$2:$AT$1266,0))</f>
        <v/>
      </c>
      <c r="DA1014">
        <f>INDEX('Data_Price '!AJ$2:AJ$1266,MATCH(Data!$DN1014,'Data_Price '!$AT$2:$AT$1266,0))</f>
        <v/>
      </c>
      <c r="DB1014">
        <f>INDEX('Data_Price '!AK$2:AK$1266,MATCH(Data!$DN1014,'Data_Price '!$AT$2:$AT$1266,0))</f>
        <v/>
      </c>
      <c r="DC1014">
        <f>INDEX('Data_Price '!AL$2:AL$1266,MATCH(Data!$DN1014,'Data_Price '!$AT$2:$AT$1266,0))</f>
        <v/>
      </c>
      <c r="DD1014">
        <f>INDEX('Data_Price '!AM$2:AM$1266,MATCH(Data!$DN1014,'Data_Price '!$AT$2:$AT$1266,0))</f>
        <v/>
      </c>
      <c r="DE1014">
        <f>INDEX('Data_Price '!AN$2:AN$1266,MATCH(Data!$DN1014,'Data_Price '!$AT$2:$AT$1266,0))</f>
        <v/>
      </c>
      <c r="DF1014">
        <f>INDEX('Data_Price '!AO$2:AO$1266,MATCH(Data!$DN1014,'Data_Price '!$AT$2:$AT$1266,0))</f>
        <v/>
      </c>
      <c r="DG1014">
        <f>INDEX('Data_Price '!AP$2:AP$1266,MATCH(Data!$DN1014,'Data_Price '!$AT$2:$AT$1266,0))</f>
        <v/>
      </c>
      <c r="DH1014">
        <f>INDEX('Data_Price '!AQ$2:AQ$1266,MATCH(Data!$DN1014,'Data_Price '!$AT$2:$AT$1266,0))</f>
        <v/>
      </c>
      <c r="DI1014">
        <f>INDEX('Data_Price '!AR$2:AR$1266,MATCH(Data!$DN1014,'Data_Price '!$AT$2:$AT$1266,0))</f>
        <v/>
      </c>
      <c r="DJ1014" s="138">
        <f>DA1014</f>
        <v/>
      </c>
      <c r="DK1014" s="138">
        <f>DE1014</f>
        <v/>
      </c>
      <c r="DL1014" s="138">
        <f>DI1014</f>
        <v/>
      </c>
      <c r="DM1014" s="303">
        <f>IF(LEFT(BT1014,1)=" ",RIGHT(BT1014,LEN(BT1014)-1),BT1014)</f>
        <v/>
      </c>
      <c r="DN1014" s="138">
        <f>_xlfn.CONCAT(BS1014,DM1014,BU1014,BV1014)</f>
        <v/>
      </c>
      <c r="DO1014" s="307" t="inlineStr">
        <is>
          <t>https://images.evo.com/imgp/250/219394/902840/atomic-maverick-95-ti-skis-2023-.jpg</t>
        </is>
      </c>
    </row>
    <row r="1015" ht="15.6" customHeight="1" s="184">
      <c r="B1015" s="303">
        <f t="array" ref="B1015">IF(OR(ISERROR(K1015:P1015)),FALSE,TRUE)</f>
        <v/>
      </c>
      <c r="C1015" s="60">
        <f>OR(BR1015=Driver!$G$50,Data!BR344=Driver!$H$50)</f>
        <v/>
      </c>
      <c r="D1015" s="60">
        <f>OR(BV1015=Driver!$G$51,BV1015=Driver!$H$51)</f>
        <v/>
      </c>
      <c r="E1015" s="60">
        <f>AND(BX1015&gt;Driver!$F$54,BX1015&lt;Driver!$G$54)</f>
        <v/>
      </c>
      <c r="F1015" s="60">
        <f>CL1015&gt;Driver!$F$56</f>
        <v/>
      </c>
      <c r="G1015" s="60">
        <f>AND(CB1015&gt;Driver!$F$55,CB1015&lt;Driver!$G$55)</f>
        <v/>
      </c>
      <c r="H1015" s="60">
        <f>AND(B1015:G1015)</f>
        <v/>
      </c>
      <c r="I1015" s="60">
        <f>COUNTIFS($H$9:$H$1273,TRUE,$BT$9:$BT$1273,BT1015)</f>
        <v/>
      </c>
      <c r="J1015" s="60">
        <f t="array" ref="J1015">NOT(OR(($H$9:$H$1273=TRUE)*($I$9:$I$1273&gt;0)*($BT$9:$BT$1273=BT1015)*($K$9:$K$1273&gt;K1015)))</f>
        <v/>
      </c>
      <c r="K1015" s="108">
        <f>IFERROR(1-AVERAGE(X1015:Y1015),"")</f>
        <v/>
      </c>
      <c r="L1015" s="108">
        <f>1-X1015</f>
        <v/>
      </c>
      <c r="M1015" s="108">
        <f>1-Y1015</f>
        <v/>
      </c>
      <c r="N1015" s="108">
        <f>1-Z1015</f>
        <v/>
      </c>
      <c r="O1015" s="108">
        <f>1-AA1015</f>
        <v/>
      </c>
      <c r="P1015" s="108">
        <f>1-AB1015</f>
        <v/>
      </c>
      <c r="Q1015" s="108" t="n"/>
      <c r="R1015" s="108" t="n"/>
      <c r="S1015" s="108">
        <f>1-AE1015</f>
        <v/>
      </c>
      <c r="T1015" s="108">
        <f>1-AF1015</f>
        <v/>
      </c>
      <c r="U1015" s="108">
        <f>1-AG1015</f>
        <v/>
      </c>
      <c r="V1015" s="108">
        <f>1-AH1015</f>
        <v/>
      </c>
      <c r="W1015" s="108">
        <f>1-AI1015</f>
        <v/>
      </c>
      <c r="X1015" s="108">
        <f>ABS(AJ1015-AJ$1)</f>
        <v/>
      </c>
      <c r="Y1015" s="108">
        <f>AVERAGE(Z1015:AB1015)</f>
        <v/>
      </c>
      <c r="Z1015" s="108">
        <f>ABS(AL1015-AL$1)</f>
        <v/>
      </c>
      <c r="AA1015" s="108">
        <f>ABS(AM1015-AM$1)</f>
        <v/>
      </c>
      <c r="AB1015" s="108">
        <f>ABS(AN1015-AN$1)</f>
        <v/>
      </c>
      <c r="AC1015" s="108" t="n"/>
      <c r="AD1015" s="108" t="n"/>
      <c r="AE1015" s="108">
        <f>ABS(AQ$1-AQ1015)</f>
        <v/>
      </c>
      <c r="AF1015" s="108">
        <f>ABS(AR$1-AR1015)</f>
        <v/>
      </c>
      <c r="AG1015" s="108">
        <f>ABS(AS$1-AS1015)</f>
        <v/>
      </c>
      <c r="AH1015" s="108">
        <f>ABS(AT$1-AT1015)</f>
        <v/>
      </c>
      <c r="AI1015" s="108">
        <f>ABS(AU$1-AU1015)</f>
        <v/>
      </c>
      <c r="AJ1015" s="108">
        <f>(AV1015-Driver!$K$179)/(Driver!$L$179-Driver!$K$179)</f>
        <v/>
      </c>
      <c r="AK1015" s="108">
        <f>(AW1015-Driver!$K$180)/(Driver!$L$180-Driver!$K$180)</f>
        <v/>
      </c>
      <c r="AL1015" s="108">
        <f>(AX1015-Driver!$K$181)/(Driver!$L$181-Driver!$K$181)</f>
        <v/>
      </c>
      <c r="AM1015" s="108">
        <f>(AY1015-Driver!$K$182)/(Driver!$L$182-Driver!$K$182)</f>
        <v/>
      </c>
      <c r="AN1015" s="108">
        <f>(AZ1015-Driver!$K$183)/(Driver!$L$183-Driver!$K$183)</f>
        <v/>
      </c>
      <c r="AO1015" s="108" t="n"/>
      <c r="AP1015" s="108" t="n"/>
      <c r="AQ1015" s="108">
        <f>(BC1015-Driver!$K$188)/(Driver!$L$188-Driver!$K$188)</f>
        <v/>
      </c>
      <c r="AR1015" s="108">
        <f>MIN((BD1015-Driver!$K$189)/(Driver!$L$189-Driver!$K$189),100%)</f>
        <v/>
      </c>
      <c r="AS1015" s="108">
        <f>(BE1015-Driver!$K$190)/(Driver!$L$190-Driver!$K$190)</f>
        <v/>
      </c>
      <c r="AT1015" s="108">
        <f>(BF1015-Driver!$K$191)/(Driver!$L$191-Driver!$K$191)</f>
        <v/>
      </c>
      <c r="AU1015" s="108">
        <f>(BG1015-Driver!$K$192)/(Driver!$L$192-Driver!$K$192)</f>
        <v/>
      </c>
      <c r="AV1015" s="105">
        <f>IFERROR(BM1015*BJ1015^1/4,"")</f>
        <v/>
      </c>
      <c r="AW1015" s="105">
        <f>IFERROR(SUM(AX1015:AZ1015),"")</f>
        <v/>
      </c>
      <c r="AX1015" s="105">
        <f>IFERROR(BH1015,"")</f>
        <v/>
      </c>
      <c r="AY1015" s="105">
        <f>IFERROR(Driver!$K$19/Data!BH1015/Data!BI1015*Data!BK1015*Data!BL1015,"")</f>
        <v/>
      </c>
      <c r="AZ1015" s="105">
        <f>IFERROR(BI1015*BN1015,"")</f>
        <v/>
      </c>
      <c r="BA1015" s="105" t="n"/>
      <c r="BB1015" s="105" t="n"/>
      <c r="BC1015" s="105">
        <f>IFERROR(BI1015*BN1015*BK1015/BJ1015^(1/2),"")</f>
        <v/>
      </c>
      <c r="BD1015" s="105">
        <f>IFERROR(BH1015*BM1015*BL1015/BJ1015/BK1015,"")</f>
        <v/>
      </c>
      <c r="BE1015" s="105">
        <f>IFERROR(MIN(BI1015/BQ1015/BP1015/BO1015/BH1015,$BE$1),"")</f>
        <v/>
      </c>
      <c r="BF1015" s="105">
        <f>IFERROR(BJ1015*BO1015*BP1015/BK1015,"")</f>
        <v/>
      </c>
      <c r="BG1015" s="105">
        <f>IFERROR(1/BM1015/BH1015*BQ1015,"")</f>
        <v/>
      </c>
      <c r="BH1015" s="102">
        <f>MAX((CE1015-Driver!$F$200)/(Driver!$G$200-Driver!$F$200)*$BI$1,1)</f>
        <v/>
      </c>
      <c r="BI1015" s="102">
        <f>MAX($BI$1*(BY1015-Driver!$F$201)/(Driver!$G$201-Driver!$F$201),1)</f>
        <v/>
      </c>
      <c r="BJ1015" s="102">
        <f>(CB1015-Driver!$F$206)/(Driver!$G$206-Driver!$F$206)*$BI$1</f>
        <v/>
      </c>
      <c r="BK1015" s="102">
        <f>(CD1015-Driver!$F$203)/(Driver!$G$203-Driver!$F$203)*$BI$1</f>
        <v/>
      </c>
      <c r="BL1015" s="102">
        <f>MAX((CR1015-Driver!$F$202)/(Driver!$G$202-Driver!$F$202)*$BI$1,1)</f>
        <v/>
      </c>
      <c r="BM1015" s="102">
        <f>MAX((CH1015-Driver!$F$204)/(Driver!$G$204-Driver!$F$204)*$BI$1,1)</f>
        <v/>
      </c>
      <c r="BN1015" s="102">
        <f>(CI1015-Driver!$F$205)/(Driver!$G$205-Driver!$F$205)*$BI$1</f>
        <v/>
      </c>
      <c r="BO1015" s="102">
        <f>(CK1015-Driver!$F$207)/(Driver!$G$207-Driver!$F$207)*$BI$1</f>
        <v/>
      </c>
      <c r="BP1015" s="102">
        <f>(CM1015-Driver!$F$208)/(Driver!$G$208-Driver!$F$208)*$BI$1</f>
        <v/>
      </c>
      <c r="BQ1015" s="102">
        <f>(CL1015-Driver!$F$209)/(Driver!$G$209-Driver!$F$209)*$BI$1</f>
        <v/>
      </c>
      <c r="BR1015" s="40" t="inlineStr">
        <is>
          <t>21/22</t>
        </is>
      </c>
      <c r="BS1015" s="10" t="inlineStr">
        <is>
          <t xml:space="preserve"> DPS</t>
        </is>
      </c>
      <c r="BT1015" s="11" t="inlineStr">
        <is>
          <t>Pagoda 112 RP</t>
        </is>
      </c>
      <c r="BU1015" s="13" t="n">
        <v>184</v>
      </c>
      <c r="BV1015" s="11" t="inlineStr">
        <is>
          <t xml:space="preserve"> Unisex</t>
        </is>
      </c>
      <c r="BW1015" s="13" t="n">
        <v>184</v>
      </c>
      <c r="BX1015" s="13" t="n">
        <v>182.6</v>
      </c>
      <c r="BY1015" s="13" t="n">
        <v>109</v>
      </c>
      <c r="BZ1015" s="13" t="n">
        <v>125</v>
      </c>
      <c r="CA1015" s="13" t="n">
        <v>140</v>
      </c>
      <c r="CB1015" s="13" t="n">
        <v>112</v>
      </c>
      <c r="CC1015" s="13" t="n">
        <v>127</v>
      </c>
      <c r="CD1015" s="13" t="n">
        <v>15.5</v>
      </c>
      <c r="CE1015" s="13" t="n">
        <v>2062</v>
      </c>
      <c r="CF1015" s="13" t="n">
        <v>1.07</v>
      </c>
      <c r="CG1015" s="13" t="n">
        <v>2207</v>
      </c>
      <c r="CH1015" s="13" t="n">
        <v>267</v>
      </c>
      <c r="CI1015" s="13" t="n">
        <v>128</v>
      </c>
      <c r="CJ1015" s="13" t="n">
        <v>77</v>
      </c>
      <c r="CK1015" s="13" t="n">
        <v>424</v>
      </c>
      <c r="CL1015" s="13" t="n">
        <v>34</v>
      </c>
      <c r="CM1015" s="13" t="n">
        <v>316</v>
      </c>
      <c r="CN1015" s="13" t="n">
        <v>0.444</v>
      </c>
      <c r="CO1015" s="13" t="n">
        <v>310</v>
      </c>
      <c r="CP1015" s="13" t="n">
        <v>270</v>
      </c>
      <c r="CQ1015" s="13" t="n">
        <v>114</v>
      </c>
      <c r="CR1015" s="13" t="n">
        <v>4</v>
      </c>
      <c r="CS1015" s="13" t="n">
        <v>13.5</v>
      </c>
      <c r="CT1015" s="11" t="inlineStr">
        <is>
          <t xml:space="preserve"> Powder</t>
        </is>
      </c>
      <c r="CU1015" s="11" t="inlineStr">
        <is>
          <t xml:space="preserve"> Touring</t>
        </is>
      </c>
      <c r="CV1015" s="13" t="n"/>
      <c r="CW1015" s="13" t="n"/>
      <c r="CX1015">
        <f>INDEX('Data_Price '!AG$2:AG$1266,MATCH(Data!$DN1015,'Data_Price '!$AT$2:$AT$1266,0))</f>
        <v/>
      </c>
      <c r="CY1015">
        <f>INDEX('Data_Price '!AH$2:AH$1266,MATCH(Data!$DN1015,'Data_Price '!$AT$2:$AT$1266,0))</f>
        <v/>
      </c>
      <c r="CZ1015">
        <f>INDEX('Data_Price '!AI$2:AI$1266,MATCH(Data!$DN1015,'Data_Price '!$AT$2:$AT$1266,0))</f>
        <v/>
      </c>
      <c r="DA1015">
        <f>INDEX('Data_Price '!AJ$2:AJ$1266,MATCH(Data!$DN1015,'Data_Price '!$AT$2:$AT$1266,0))</f>
        <v/>
      </c>
      <c r="DB1015">
        <f>INDEX('Data_Price '!AK$2:AK$1266,MATCH(Data!$DN1015,'Data_Price '!$AT$2:$AT$1266,0))</f>
        <v/>
      </c>
      <c r="DC1015">
        <f>INDEX('Data_Price '!AL$2:AL$1266,MATCH(Data!$DN1015,'Data_Price '!$AT$2:$AT$1266,0))</f>
        <v/>
      </c>
      <c r="DD1015">
        <f>INDEX('Data_Price '!AM$2:AM$1266,MATCH(Data!$DN1015,'Data_Price '!$AT$2:$AT$1266,0))</f>
        <v/>
      </c>
      <c r="DE1015">
        <f>INDEX('Data_Price '!AN$2:AN$1266,MATCH(Data!$DN1015,'Data_Price '!$AT$2:$AT$1266,0))</f>
        <v/>
      </c>
      <c r="DF1015">
        <f>INDEX('Data_Price '!AO$2:AO$1266,MATCH(Data!$DN1015,'Data_Price '!$AT$2:$AT$1266,0))</f>
        <v/>
      </c>
      <c r="DG1015">
        <f>INDEX('Data_Price '!AP$2:AP$1266,MATCH(Data!$DN1015,'Data_Price '!$AT$2:$AT$1266,0))</f>
        <v/>
      </c>
      <c r="DH1015">
        <f>INDEX('Data_Price '!AQ$2:AQ$1266,MATCH(Data!$DN1015,'Data_Price '!$AT$2:$AT$1266,0))</f>
        <v/>
      </c>
      <c r="DI1015">
        <f>INDEX('Data_Price '!AR$2:AR$1266,MATCH(Data!$DN1015,'Data_Price '!$AT$2:$AT$1266,0))</f>
        <v/>
      </c>
      <c r="DJ1015" s="138">
        <f>DA1015</f>
        <v/>
      </c>
      <c r="DK1015" s="138">
        <f>DE1015</f>
        <v/>
      </c>
      <c r="DL1015" s="138">
        <f>DI1015</f>
        <v/>
      </c>
      <c r="DM1015" s="303">
        <f>IF(LEFT(BT1015,1)=" ",RIGHT(BT1015,LEN(BT1015)-1),BT1015)</f>
        <v/>
      </c>
      <c r="DN1015" s="138">
        <f>_xlfn.CONCAT(BS1015,DM1015,BU1015,BV1015)</f>
        <v/>
      </c>
      <c r="DO1015" s="307" t="inlineStr">
        <is>
          <t>https://images.evo.com/imgp/250/183639/728542/dps-pagoda-tour-112-rp-skis-2022-.jpg</t>
        </is>
      </c>
    </row>
    <row r="1016" ht="15.6" customHeight="1" s="184">
      <c r="B1016" s="303">
        <f t="array" ref="B1016">IF(OR(ISERROR(K1016:P1016)),FALSE,TRUE)</f>
        <v/>
      </c>
      <c r="C1016" s="60">
        <f>OR(BR1016=Driver!$G$50,Data!BR99=Driver!$H$50)</f>
        <v/>
      </c>
      <c r="D1016" s="60">
        <f>OR(BV1016=Driver!$G$51,BV1016=Driver!$H$51)</f>
        <v/>
      </c>
      <c r="E1016" s="60">
        <f>AND(BX1016&gt;Driver!$F$54,BX1016&lt;Driver!$G$54)</f>
        <v/>
      </c>
      <c r="F1016" s="60">
        <f>CL1016&gt;Driver!$F$56</f>
        <v/>
      </c>
      <c r="G1016" s="60">
        <f>AND(CB1016&gt;Driver!$F$55,CB1016&lt;Driver!$G$55)</f>
        <v/>
      </c>
      <c r="H1016" s="60">
        <f>AND(B1016:G1016)</f>
        <v/>
      </c>
      <c r="I1016" s="60">
        <f>COUNTIFS($H$9:$H$1273,TRUE,$BT$9:$BT$1273,BT1016)</f>
        <v/>
      </c>
      <c r="J1016" s="60">
        <f t="array" ref="J1016">NOT(OR(($H$9:$H$1273=TRUE)*($I$9:$I$1273&gt;0)*($BT$9:$BT$1273=BT1016)*($K$9:$K$1273&gt;K1016)))</f>
        <v/>
      </c>
      <c r="K1016" s="108">
        <f>IFERROR(1-AVERAGE(X1016:Y1016),"")</f>
        <v/>
      </c>
      <c r="L1016" s="108">
        <f>1-X1016</f>
        <v/>
      </c>
      <c r="M1016" s="108">
        <f>1-Y1016</f>
        <v/>
      </c>
      <c r="N1016" s="108">
        <f>1-Z1016</f>
        <v/>
      </c>
      <c r="O1016" s="108">
        <f>1-AA1016</f>
        <v/>
      </c>
      <c r="P1016" s="108">
        <f>1-AB1016</f>
        <v/>
      </c>
      <c r="Q1016" s="108" t="n"/>
      <c r="R1016" s="108" t="n"/>
      <c r="S1016" s="108">
        <f>1-AE1016</f>
        <v/>
      </c>
      <c r="T1016" s="108">
        <f>1-AF1016</f>
        <v/>
      </c>
      <c r="U1016" s="108">
        <f>1-AG1016</f>
        <v/>
      </c>
      <c r="V1016" s="108">
        <f>1-AH1016</f>
        <v/>
      </c>
      <c r="W1016" s="108">
        <f>1-AI1016</f>
        <v/>
      </c>
      <c r="X1016" s="108">
        <f>ABS(AJ1016-AJ$1)</f>
        <v/>
      </c>
      <c r="Y1016" s="108">
        <f>AVERAGE(Z1016:AB1016)</f>
        <v/>
      </c>
      <c r="Z1016" s="108">
        <f>ABS(AL1016-AL$1)</f>
        <v/>
      </c>
      <c r="AA1016" s="108">
        <f>ABS(AM1016-AM$1)</f>
        <v/>
      </c>
      <c r="AB1016" s="108">
        <f>ABS(AN1016-AN$1)</f>
        <v/>
      </c>
      <c r="AC1016" s="108" t="n"/>
      <c r="AD1016" s="108" t="n"/>
      <c r="AE1016" s="108">
        <f>ABS(AQ$1-AQ1016)</f>
        <v/>
      </c>
      <c r="AF1016" s="108">
        <f>ABS(AR$1-AR1016)</f>
        <v/>
      </c>
      <c r="AG1016" s="108">
        <f>ABS(AS$1-AS1016)</f>
        <v/>
      </c>
      <c r="AH1016" s="108">
        <f>ABS(AT$1-AT1016)</f>
        <v/>
      </c>
      <c r="AI1016" s="108">
        <f>ABS(AU$1-AU1016)</f>
        <v/>
      </c>
      <c r="AJ1016" s="108">
        <f>(AV1016-Driver!$K$179)/(Driver!$L$179-Driver!$K$179)</f>
        <v/>
      </c>
      <c r="AK1016" s="108">
        <f>(AW1016-Driver!$K$180)/(Driver!$L$180-Driver!$K$180)</f>
        <v/>
      </c>
      <c r="AL1016" s="108">
        <f>(AX1016-Driver!$K$181)/(Driver!$L$181-Driver!$K$181)</f>
        <v/>
      </c>
      <c r="AM1016" s="108">
        <f>(AY1016-Driver!$K$182)/(Driver!$L$182-Driver!$K$182)</f>
        <v/>
      </c>
      <c r="AN1016" s="108">
        <f>(AZ1016-Driver!$K$183)/(Driver!$L$183-Driver!$K$183)</f>
        <v/>
      </c>
      <c r="AO1016" s="108" t="n"/>
      <c r="AP1016" s="108" t="n"/>
      <c r="AQ1016" s="108">
        <f>(BC1016-Driver!$K$188)/(Driver!$L$188-Driver!$K$188)</f>
        <v/>
      </c>
      <c r="AR1016" s="108">
        <f>MIN((BD1016-Driver!$K$189)/(Driver!$L$189-Driver!$K$189),100%)</f>
        <v/>
      </c>
      <c r="AS1016" s="108">
        <f>(BE1016-Driver!$K$190)/(Driver!$L$190-Driver!$K$190)</f>
        <v/>
      </c>
      <c r="AT1016" s="108">
        <f>(BF1016-Driver!$K$191)/(Driver!$L$191-Driver!$K$191)</f>
        <v/>
      </c>
      <c r="AU1016" s="108">
        <f>(BG1016-Driver!$K$192)/(Driver!$L$192-Driver!$K$192)</f>
        <v/>
      </c>
      <c r="AV1016" s="105">
        <f>IFERROR(BM1016*BJ1016^1/4,"")</f>
        <v/>
      </c>
      <c r="AW1016" s="105">
        <f>IFERROR(SUM(AX1016:AZ1016),"")</f>
        <v/>
      </c>
      <c r="AX1016" s="105">
        <f>IFERROR(BH1016,"")</f>
        <v/>
      </c>
      <c r="AY1016" s="105">
        <f>IFERROR(Driver!$K$19/Data!BH1016/Data!BI1016*Data!BK1016*Data!BL1016,"")</f>
        <v/>
      </c>
      <c r="AZ1016" s="105">
        <f>IFERROR(BI1016*BN1016,"")</f>
        <v/>
      </c>
      <c r="BA1016" s="105" t="n"/>
      <c r="BB1016" s="105" t="n"/>
      <c r="BC1016" s="105">
        <f>IFERROR(BI1016*BN1016*BK1016/BJ1016^(1/2),"")</f>
        <v/>
      </c>
      <c r="BD1016" s="105">
        <f>IFERROR(BH1016*BM1016*BL1016/BJ1016/BK1016,"")</f>
        <v/>
      </c>
      <c r="BE1016" s="105">
        <f>IFERROR(MIN(BI1016/BQ1016/BP1016/BO1016/BH1016,$BE$1),"")</f>
        <v/>
      </c>
      <c r="BF1016" s="105">
        <f>IFERROR(BJ1016*BO1016*BP1016/BK1016,"")</f>
        <v/>
      </c>
      <c r="BG1016" s="105">
        <f>IFERROR(1/BM1016/BH1016*BQ1016,"")</f>
        <v/>
      </c>
      <c r="BH1016" s="102">
        <f>MAX((CE1016-Driver!$F$200)/(Driver!$G$200-Driver!$F$200)*$BI$1,1)</f>
        <v/>
      </c>
      <c r="BI1016" s="102">
        <f>MAX($BI$1*(BY1016-Driver!$F$201)/(Driver!$G$201-Driver!$F$201),1)</f>
        <v/>
      </c>
      <c r="BJ1016" s="102">
        <f>(CB1016-Driver!$F$206)/(Driver!$G$206-Driver!$F$206)*$BI$1</f>
        <v/>
      </c>
      <c r="BK1016" s="102">
        <f>(CD1016-Driver!$F$203)/(Driver!$G$203-Driver!$F$203)*$BI$1</f>
        <v/>
      </c>
      <c r="BL1016" s="102">
        <f>MAX((CR1016-Driver!$F$202)/(Driver!$G$202-Driver!$F$202)*$BI$1,1)</f>
        <v/>
      </c>
      <c r="BM1016" s="102">
        <f>MAX((CH1016-Driver!$F$204)/(Driver!$G$204-Driver!$F$204)*$BI$1,1)</f>
        <v/>
      </c>
      <c r="BN1016" s="102">
        <f>(CI1016-Driver!$F$205)/(Driver!$G$205-Driver!$F$205)*$BI$1</f>
        <v/>
      </c>
      <c r="BO1016" s="102">
        <f>(CK1016-Driver!$F$207)/(Driver!$G$207-Driver!$F$207)*$BI$1</f>
        <v/>
      </c>
      <c r="BP1016" s="102">
        <f>(CM1016-Driver!$F$208)/(Driver!$G$208-Driver!$F$208)*$BI$1</f>
        <v/>
      </c>
      <c r="BQ1016" s="102">
        <f>(CL1016-Driver!$F$209)/(Driver!$G$209-Driver!$F$209)*$BI$1</f>
        <v/>
      </c>
      <c r="BR1016" s="40" t="inlineStr">
        <is>
          <t>21/22</t>
        </is>
      </c>
      <c r="BS1016" s="10" t="inlineStr">
        <is>
          <t xml:space="preserve"> Armada</t>
        </is>
      </c>
      <c r="BT1016" s="11" t="inlineStr">
        <is>
          <t>Trace 88</t>
        </is>
      </c>
      <c r="BU1016" s="13" t="n">
        <v>162</v>
      </c>
      <c r="BV1016" s="11" t="inlineStr">
        <is>
          <t xml:space="preserve"> Women's</t>
        </is>
      </c>
      <c r="BW1016" s="13" t="n">
        <v>162</v>
      </c>
      <c r="BX1016" s="13" t="n">
        <v>161.2</v>
      </c>
      <c r="BY1016" s="13" t="n">
        <v>130</v>
      </c>
      <c r="BZ1016" s="13" t="n">
        <v>135</v>
      </c>
      <c r="CA1016" s="13" t="n">
        <v>114</v>
      </c>
      <c r="CB1016" s="13" t="n">
        <v>87</v>
      </c>
      <c r="CC1016" s="13" t="n">
        <v>106</v>
      </c>
      <c r="CD1016" s="13" t="n">
        <v>19.6</v>
      </c>
      <c r="CE1016" s="13" t="n">
        <v>1166</v>
      </c>
      <c r="CF1016" s="13" t="n">
        <v>1.32</v>
      </c>
      <c r="CG1016" s="13" t="n">
        <v>1535</v>
      </c>
      <c r="CH1016" s="13" t="n">
        <v>173</v>
      </c>
      <c r="CI1016" s="13" t="n">
        <v>74</v>
      </c>
      <c r="CJ1016" s="13" t="n">
        <v>38</v>
      </c>
      <c r="CK1016" s="13" t="n">
        <v>194</v>
      </c>
      <c r="CL1016" s="13" t="n">
        <v>11</v>
      </c>
      <c r="CM1016" s="13" t="n">
        <v>123</v>
      </c>
      <c r="CN1016" s="13" t="n">
        <v>0.298</v>
      </c>
      <c r="CO1016" s="13" t="n">
        <v>153</v>
      </c>
      <c r="CP1016" s="13" t="n">
        <v>104</v>
      </c>
      <c r="CQ1016" s="13" t="n">
        <v>40</v>
      </c>
      <c r="CR1016" s="13" t="n">
        <v>5</v>
      </c>
      <c r="CS1016" s="13" t="n">
        <v>6.1</v>
      </c>
      <c r="CT1016" s="11" t="inlineStr">
        <is>
          <t xml:space="preserve"> Touring</t>
        </is>
      </c>
      <c r="CU1016" s="11" t="inlineStr">
        <is>
          <t xml:space="preserve"> Ultralight Touring</t>
        </is>
      </c>
      <c r="CV1016" s="13" t="n"/>
      <c r="CW1016" s="13" t="n"/>
      <c r="CX1016">
        <f>INDEX('Data_Price '!AG$2:AG$1266,MATCH(Data!$DN1016,'Data_Price '!$AT$2:$AT$1266,0))</f>
        <v/>
      </c>
      <c r="CY1016">
        <f>INDEX('Data_Price '!AH$2:AH$1266,MATCH(Data!$DN1016,'Data_Price '!$AT$2:$AT$1266,0))</f>
        <v/>
      </c>
      <c r="CZ1016">
        <f>INDEX('Data_Price '!AI$2:AI$1266,MATCH(Data!$DN1016,'Data_Price '!$AT$2:$AT$1266,0))</f>
        <v/>
      </c>
      <c r="DA1016">
        <f>INDEX('Data_Price '!AJ$2:AJ$1266,MATCH(Data!$DN1016,'Data_Price '!$AT$2:$AT$1266,0))</f>
        <v/>
      </c>
      <c r="DB1016">
        <f>INDEX('Data_Price '!AK$2:AK$1266,MATCH(Data!$DN1016,'Data_Price '!$AT$2:$AT$1266,0))</f>
        <v/>
      </c>
      <c r="DC1016">
        <f>INDEX('Data_Price '!AL$2:AL$1266,MATCH(Data!$DN1016,'Data_Price '!$AT$2:$AT$1266,0))</f>
        <v/>
      </c>
      <c r="DD1016">
        <f>INDEX('Data_Price '!AM$2:AM$1266,MATCH(Data!$DN1016,'Data_Price '!$AT$2:$AT$1266,0))</f>
        <v/>
      </c>
      <c r="DE1016">
        <f>INDEX('Data_Price '!AN$2:AN$1266,MATCH(Data!$DN1016,'Data_Price '!$AT$2:$AT$1266,0))</f>
        <v/>
      </c>
      <c r="DF1016">
        <f>INDEX('Data_Price '!AO$2:AO$1266,MATCH(Data!$DN1016,'Data_Price '!$AT$2:$AT$1266,0))</f>
        <v/>
      </c>
      <c r="DG1016">
        <f>INDEX('Data_Price '!AP$2:AP$1266,MATCH(Data!$DN1016,'Data_Price '!$AT$2:$AT$1266,0))</f>
        <v/>
      </c>
      <c r="DH1016">
        <f>INDEX('Data_Price '!AQ$2:AQ$1266,MATCH(Data!$DN1016,'Data_Price '!$AT$2:$AT$1266,0))</f>
        <v/>
      </c>
      <c r="DI1016">
        <f>INDEX('Data_Price '!AR$2:AR$1266,MATCH(Data!$DN1016,'Data_Price '!$AT$2:$AT$1266,0))</f>
        <v/>
      </c>
      <c r="DJ1016" s="138">
        <f>DA1016</f>
        <v/>
      </c>
      <c r="DK1016" s="138">
        <f>DE1016</f>
        <v/>
      </c>
      <c r="DL1016" s="138">
        <f>DI1016</f>
        <v/>
      </c>
      <c r="DM1016" s="303">
        <f>IF(LEFT(BT1016,1)=" ",RIGHT(BT1016,LEN(BT1016)-1),BT1016)</f>
        <v/>
      </c>
      <c r="DN1016" s="138">
        <f>_xlfn.CONCAT(BS1016,DM1016,BU1016,BV1016)</f>
        <v/>
      </c>
      <c r="DO1016" s="307" t="n"/>
    </row>
    <row r="1017" ht="15.6" customHeight="1" s="184">
      <c r="B1017" s="303">
        <f t="array" ref="B1017">IF(OR(ISERROR(K1017:P1017)),FALSE,TRUE)</f>
        <v/>
      </c>
      <c r="C1017" s="60">
        <f>OR(BR1017=Driver!$G$50,Data!BR906=Driver!$H$50)</f>
        <v/>
      </c>
      <c r="D1017" s="60">
        <f>OR(BV1017=Driver!$G$51,BV1017=Driver!$H$51)</f>
        <v/>
      </c>
      <c r="E1017" s="60">
        <f>AND(BX1017&gt;Driver!$F$54,BX1017&lt;Driver!$G$54)</f>
        <v/>
      </c>
      <c r="F1017" s="60">
        <f>CL1017&gt;Driver!$F$56</f>
        <v/>
      </c>
      <c r="G1017" s="60">
        <f>AND(CB1017&gt;Driver!$F$55,CB1017&lt;Driver!$G$55)</f>
        <v/>
      </c>
      <c r="H1017" s="60">
        <f>AND(B1017:G1017)</f>
        <v/>
      </c>
      <c r="I1017" s="60">
        <f>COUNTIFS($H$9:$H$1273,TRUE,$BT$9:$BT$1273,BT1017)</f>
        <v/>
      </c>
      <c r="J1017" s="60">
        <f t="array" ref="J1017">NOT(OR(($H$9:$H$1273=TRUE)*($I$9:$I$1273&gt;0)*($BT$9:$BT$1273=BT1017)*($K$9:$K$1273&gt;K1017)))</f>
        <v/>
      </c>
      <c r="K1017" s="108">
        <f>IFERROR(1-AVERAGE(X1017:Y1017),"")</f>
        <v/>
      </c>
      <c r="L1017" s="108">
        <f>1-X1017</f>
        <v/>
      </c>
      <c r="M1017" s="108">
        <f>1-Y1017</f>
        <v/>
      </c>
      <c r="N1017" s="108">
        <f>1-Z1017</f>
        <v/>
      </c>
      <c r="O1017" s="108">
        <f>1-AA1017</f>
        <v/>
      </c>
      <c r="P1017" s="108">
        <f>1-AB1017</f>
        <v/>
      </c>
      <c r="Q1017" s="108" t="n"/>
      <c r="R1017" s="108" t="n"/>
      <c r="S1017" s="108">
        <f>1-AE1017</f>
        <v/>
      </c>
      <c r="T1017" s="108">
        <f>1-AF1017</f>
        <v/>
      </c>
      <c r="U1017" s="108">
        <f>1-AG1017</f>
        <v/>
      </c>
      <c r="V1017" s="108">
        <f>1-AH1017</f>
        <v/>
      </c>
      <c r="W1017" s="108">
        <f>1-AI1017</f>
        <v/>
      </c>
      <c r="X1017" s="108">
        <f>ABS(AJ1017-AJ$1)</f>
        <v/>
      </c>
      <c r="Y1017" s="108">
        <f>AVERAGE(Z1017:AB1017)</f>
        <v/>
      </c>
      <c r="Z1017" s="108">
        <f>ABS(AL1017-AL$1)</f>
        <v/>
      </c>
      <c r="AA1017" s="108">
        <f>ABS(AM1017-AM$1)</f>
        <v/>
      </c>
      <c r="AB1017" s="108">
        <f>ABS(AN1017-AN$1)</f>
        <v/>
      </c>
      <c r="AC1017" s="108" t="n"/>
      <c r="AD1017" s="108" t="n"/>
      <c r="AE1017" s="108">
        <f>ABS(AQ$1-AQ1017)</f>
        <v/>
      </c>
      <c r="AF1017" s="108">
        <f>ABS(AR$1-AR1017)</f>
        <v/>
      </c>
      <c r="AG1017" s="108">
        <f>ABS(AS$1-AS1017)</f>
        <v/>
      </c>
      <c r="AH1017" s="108">
        <f>ABS(AT$1-AT1017)</f>
        <v/>
      </c>
      <c r="AI1017" s="108">
        <f>ABS(AU$1-AU1017)</f>
        <v/>
      </c>
      <c r="AJ1017" s="108">
        <f>(AV1017-Driver!$K$179)/(Driver!$L$179-Driver!$K$179)</f>
        <v/>
      </c>
      <c r="AK1017" s="108">
        <f>(AW1017-Driver!$K$180)/(Driver!$L$180-Driver!$K$180)</f>
        <v/>
      </c>
      <c r="AL1017" s="108">
        <f>(AX1017-Driver!$K$181)/(Driver!$L$181-Driver!$K$181)</f>
        <v/>
      </c>
      <c r="AM1017" s="108">
        <f>(AY1017-Driver!$K$182)/(Driver!$L$182-Driver!$K$182)</f>
        <v/>
      </c>
      <c r="AN1017" s="108">
        <f>(AZ1017-Driver!$K$183)/(Driver!$L$183-Driver!$K$183)</f>
        <v/>
      </c>
      <c r="AO1017" s="108" t="n"/>
      <c r="AP1017" s="108" t="n"/>
      <c r="AQ1017" s="108">
        <f>(BC1017-Driver!$K$188)/(Driver!$L$188-Driver!$K$188)</f>
        <v/>
      </c>
      <c r="AR1017" s="108">
        <f>MIN((BD1017-Driver!$K$189)/(Driver!$L$189-Driver!$K$189),100%)</f>
        <v/>
      </c>
      <c r="AS1017" s="108">
        <f>(BE1017-Driver!$K$190)/(Driver!$L$190-Driver!$K$190)</f>
        <v/>
      </c>
      <c r="AT1017" s="108">
        <f>(BF1017-Driver!$K$191)/(Driver!$L$191-Driver!$K$191)</f>
        <v/>
      </c>
      <c r="AU1017" s="108">
        <f>(BG1017-Driver!$K$192)/(Driver!$L$192-Driver!$K$192)</f>
        <v/>
      </c>
      <c r="AV1017" s="105">
        <f>IFERROR(BM1017*BJ1017^1/4,"")</f>
        <v/>
      </c>
      <c r="AW1017" s="105">
        <f>IFERROR(SUM(AX1017:AZ1017),"")</f>
        <v/>
      </c>
      <c r="AX1017" s="105">
        <f>IFERROR(BH1017,"")</f>
        <v/>
      </c>
      <c r="AY1017" s="105">
        <f>IFERROR(Driver!$K$19/Data!BH1017/Data!BI1017*Data!BK1017*Data!BL1017,"")</f>
        <v/>
      </c>
      <c r="AZ1017" s="105">
        <f>IFERROR(BI1017*BN1017,"")</f>
        <v/>
      </c>
      <c r="BA1017" s="105" t="n"/>
      <c r="BB1017" s="105" t="n"/>
      <c r="BC1017" s="105">
        <f>IFERROR(BI1017*BN1017*BK1017/BJ1017^(1/2),"")</f>
        <v/>
      </c>
      <c r="BD1017" s="105">
        <f>IFERROR(BH1017*BM1017*BL1017/BJ1017/BK1017,"")</f>
        <v/>
      </c>
      <c r="BE1017" s="105">
        <f>IFERROR(MIN(BI1017/BQ1017/BP1017/BO1017/BH1017,$BE$1),"")</f>
        <v/>
      </c>
      <c r="BF1017" s="105">
        <f>IFERROR(BJ1017*BO1017*BP1017/BK1017,"")</f>
        <v/>
      </c>
      <c r="BG1017" s="105">
        <f>IFERROR(1/BM1017/BH1017*BQ1017,"")</f>
        <v/>
      </c>
      <c r="BH1017" s="102">
        <f>MAX((CE1017-Driver!$F$200)/(Driver!$G$200-Driver!$F$200)*$BI$1,1)</f>
        <v/>
      </c>
      <c r="BI1017" s="102">
        <f>MAX($BI$1*(BY1017-Driver!$F$201)/(Driver!$G$201-Driver!$F$201),1)</f>
        <v/>
      </c>
      <c r="BJ1017" s="102">
        <f>(CB1017-Driver!$F$206)/(Driver!$G$206-Driver!$F$206)*$BI$1</f>
        <v/>
      </c>
      <c r="BK1017" s="102">
        <f>(CD1017-Driver!$F$203)/(Driver!$G$203-Driver!$F$203)*$BI$1</f>
        <v/>
      </c>
      <c r="BL1017" s="102">
        <f>MAX((CR1017-Driver!$F$202)/(Driver!$G$202-Driver!$F$202)*$BI$1,1)</f>
        <v/>
      </c>
      <c r="BM1017" s="102">
        <f>MAX((CH1017-Driver!$F$204)/(Driver!$G$204-Driver!$F$204)*$BI$1,1)</f>
        <v/>
      </c>
      <c r="BN1017" s="102">
        <f>(CI1017-Driver!$F$205)/(Driver!$G$205-Driver!$F$205)*$BI$1</f>
        <v/>
      </c>
      <c r="BO1017" s="102">
        <f>(CK1017-Driver!$F$207)/(Driver!$G$207-Driver!$F$207)*$BI$1</f>
        <v/>
      </c>
      <c r="BP1017" s="102">
        <f>(CM1017-Driver!$F$208)/(Driver!$G$208-Driver!$F$208)*$BI$1</f>
        <v/>
      </c>
      <c r="BQ1017" s="102">
        <f>(CL1017-Driver!$F$209)/(Driver!$G$209-Driver!$F$209)*$BI$1</f>
        <v/>
      </c>
      <c r="BR1017" s="40" t="inlineStr">
        <is>
          <t>21/22</t>
        </is>
      </c>
      <c r="BS1017" s="10" t="inlineStr">
        <is>
          <t xml:space="preserve"> Nordica</t>
        </is>
      </c>
      <c r="BT1017" s="11" t="inlineStr">
        <is>
          <t>Enforcer 88</t>
        </is>
      </c>
      <c r="BU1017" s="13" t="n">
        <v>179</v>
      </c>
      <c r="BV1017" s="11" t="inlineStr">
        <is>
          <t xml:space="preserve"> Unisex</t>
        </is>
      </c>
      <c r="BW1017" s="13" t="n">
        <v>179</v>
      </c>
      <c r="BX1017" s="13" t="n">
        <v>178.5</v>
      </c>
      <c r="BY1017" s="13" t="n">
        <v>133</v>
      </c>
      <c r="BZ1017" s="13" t="n">
        <v>150</v>
      </c>
      <c r="CA1017" s="13" t="n">
        <v>123</v>
      </c>
      <c r="CB1017" s="13" t="n">
        <v>87</v>
      </c>
      <c r="CC1017" s="13" t="n">
        <v>109</v>
      </c>
      <c r="CD1017" s="13" t="n">
        <v>16.7</v>
      </c>
      <c r="CE1017" s="13" t="n">
        <v>2013</v>
      </c>
      <c r="CF1017" s="13" t="n">
        <v>0.88</v>
      </c>
      <c r="CG1017" s="13" t="n">
        <v>1773</v>
      </c>
      <c r="CH1017" s="13" t="n">
        <v>201</v>
      </c>
      <c r="CI1017" s="13" t="n">
        <v>130</v>
      </c>
      <c r="CJ1017" s="13" t="n">
        <v>52</v>
      </c>
      <c r="CK1017" s="13" t="n">
        <v>271</v>
      </c>
      <c r="CL1017" s="13" t="n">
        <v>12</v>
      </c>
      <c r="CM1017" s="13" t="n">
        <v>185</v>
      </c>
      <c r="CN1017" s="13" t="n">
        <v>0.235</v>
      </c>
      <c r="CO1017" s="13" t="n">
        <v>132</v>
      </c>
      <c r="CP1017" s="13" t="n">
        <v>152</v>
      </c>
      <c r="CQ1017" s="13" t="n">
        <v>139</v>
      </c>
      <c r="CR1017" s="13" t="n">
        <v>8</v>
      </c>
      <c r="CS1017" s="13" t="n">
        <v>8.300000000000001</v>
      </c>
      <c r="CT1017" s="11" t="inlineStr">
        <is>
          <t xml:space="preserve"> Resort Freeride</t>
        </is>
      </c>
      <c r="CU1017" s="13" t="n"/>
      <c r="CV1017" s="13" t="n"/>
      <c r="CW1017" s="13" t="n"/>
      <c r="CX1017">
        <f>INDEX('Data_Price '!AG$2:AG$1266,MATCH(Data!$DN1017,'Data_Price '!$AT$2:$AT$1266,0))</f>
        <v/>
      </c>
      <c r="CY1017">
        <f>INDEX('Data_Price '!AH$2:AH$1266,MATCH(Data!$DN1017,'Data_Price '!$AT$2:$AT$1266,0))</f>
        <v/>
      </c>
      <c r="CZ1017">
        <f>INDEX('Data_Price '!AI$2:AI$1266,MATCH(Data!$DN1017,'Data_Price '!$AT$2:$AT$1266,0))</f>
        <v/>
      </c>
      <c r="DA1017">
        <f>INDEX('Data_Price '!AJ$2:AJ$1266,MATCH(Data!$DN1017,'Data_Price '!$AT$2:$AT$1266,0))</f>
        <v/>
      </c>
      <c r="DB1017">
        <f>INDEX('Data_Price '!AK$2:AK$1266,MATCH(Data!$DN1017,'Data_Price '!$AT$2:$AT$1266,0))</f>
        <v/>
      </c>
      <c r="DC1017">
        <f>INDEX('Data_Price '!AL$2:AL$1266,MATCH(Data!$DN1017,'Data_Price '!$AT$2:$AT$1266,0))</f>
        <v/>
      </c>
      <c r="DD1017">
        <f>INDEX('Data_Price '!AM$2:AM$1266,MATCH(Data!$DN1017,'Data_Price '!$AT$2:$AT$1266,0))</f>
        <v/>
      </c>
      <c r="DE1017">
        <f>INDEX('Data_Price '!AN$2:AN$1266,MATCH(Data!$DN1017,'Data_Price '!$AT$2:$AT$1266,0))</f>
        <v/>
      </c>
      <c r="DF1017">
        <f>INDEX('Data_Price '!AO$2:AO$1266,MATCH(Data!$DN1017,'Data_Price '!$AT$2:$AT$1266,0))</f>
        <v/>
      </c>
      <c r="DG1017">
        <f>INDEX('Data_Price '!AP$2:AP$1266,MATCH(Data!$DN1017,'Data_Price '!$AT$2:$AT$1266,0))</f>
        <v/>
      </c>
      <c r="DH1017">
        <f>INDEX('Data_Price '!AQ$2:AQ$1266,MATCH(Data!$DN1017,'Data_Price '!$AT$2:$AT$1266,0))</f>
        <v/>
      </c>
      <c r="DI1017">
        <f>INDEX('Data_Price '!AR$2:AR$1266,MATCH(Data!$DN1017,'Data_Price '!$AT$2:$AT$1266,0))</f>
        <v/>
      </c>
      <c r="DJ1017" s="138">
        <f>DA1017</f>
        <v/>
      </c>
      <c r="DK1017" s="138">
        <f>DE1017</f>
        <v/>
      </c>
      <c r="DL1017" s="138">
        <f>DI1017</f>
        <v/>
      </c>
      <c r="DM1017" s="303">
        <f>IF(LEFT(BT1017,1)=" ",RIGHT(BT1017,LEN(BT1017)-1),BT1017)</f>
        <v/>
      </c>
      <c r="DN1017" s="138">
        <f>_xlfn.CONCAT(BS1017,DM1017,BU1017,BV1017)</f>
        <v/>
      </c>
      <c r="DO1017" s="307" t="n"/>
    </row>
    <row r="1018" ht="15.6" customHeight="1" s="184">
      <c r="B1018" s="303">
        <f t="array" ref="B1018">IF(OR(ISERROR(K1018:P1018)),FALSE,TRUE)</f>
        <v/>
      </c>
      <c r="C1018" s="60">
        <f>OR(BR1018=Driver!$G$50,Data!BR689=Driver!$H$50)</f>
        <v/>
      </c>
      <c r="D1018" s="60">
        <f>OR(BV1018=Driver!$G$51,BV1018=Driver!$H$51)</f>
        <v/>
      </c>
      <c r="E1018" s="60">
        <f>AND(BX1018&gt;Driver!$F$54,BX1018&lt;Driver!$G$54)</f>
        <v/>
      </c>
      <c r="F1018" s="60">
        <f>CL1018&gt;Driver!$F$56</f>
        <v/>
      </c>
      <c r="G1018" s="60">
        <f>AND(CB1018&gt;Driver!$F$55,CB1018&lt;Driver!$G$55)</f>
        <v/>
      </c>
      <c r="H1018" s="60">
        <f>AND(B1018:G1018)</f>
        <v/>
      </c>
      <c r="I1018" s="60">
        <f>COUNTIFS($H$9:$H$1273,TRUE,$BT$9:$BT$1273,BT1018)</f>
        <v/>
      </c>
      <c r="J1018" s="60">
        <f t="array" ref="J1018">NOT(OR(($H$9:$H$1273=TRUE)*($I$9:$I$1273&gt;0)*($BT$9:$BT$1273=BT1018)*($K$9:$K$1273&gt;K1018)))</f>
        <v/>
      </c>
      <c r="K1018" s="108">
        <f>IFERROR(1-AVERAGE(X1018:Y1018),"")</f>
        <v/>
      </c>
      <c r="L1018" s="108">
        <f>1-X1018</f>
        <v/>
      </c>
      <c r="M1018" s="108">
        <f>1-Y1018</f>
        <v/>
      </c>
      <c r="N1018" s="108">
        <f>1-Z1018</f>
        <v/>
      </c>
      <c r="O1018" s="108">
        <f>1-AA1018</f>
        <v/>
      </c>
      <c r="P1018" s="108">
        <f>1-AB1018</f>
        <v/>
      </c>
      <c r="Q1018" s="108" t="n"/>
      <c r="R1018" s="108" t="n"/>
      <c r="S1018" s="108">
        <f>1-AE1018</f>
        <v/>
      </c>
      <c r="T1018" s="108">
        <f>1-AF1018</f>
        <v/>
      </c>
      <c r="U1018" s="108">
        <f>1-AG1018</f>
        <v/>
      </c>
      <c r="V1018" s="108">
        <f>1-AH1018</f>
        <v/>
      </c>
      <c r="W1018" s="108">
        <f>1-AI1018</f>
        <v/>
      </c>
      <c r="X1018" s="108">
        <f>ABS(AJ1018-AJ$1)</f>
        <v/>
      </c>
      <c r="Y1018" s="108">
        <f>AVERAGE(Z1018:AB1018)</f>
        <v/>
      </c>
      <c r="Z1018" s="108">
        <f>ABS(AL1018-AL$1)</f>
        <v/>
      </c>
      <c r="AA1018" s="108">
        <f>ABS(AM1018-AM$1)</f>
        <v/>
      </c>
      <c r="AB1018" s="108">
        <f>ABS(AN1018-AN$1)</f>
        <v/>
      </c>
      <c r="AC1018" s="108" t="n"/>
      <c r="AD1018" s="108" t="n"/>
      <c r="AE1018" s="108">
        <f>ABS(AQ$1-AQ1018)</f>
        <v/>
      </c>
      <c r="AF1018" s="108">
        <f>ABS(AR$1-AR1018)</f>
        <v/>
      </c>
      <c r="AG1018" s="108">
        <f>ABS(AS$1-AS1018)</f>
        <v/>
      </c>
      <c r="AH1018" s="108">
        <f>ABS(AT$1-AT1018)</f>
        <v/>
      </c>
      <c r="AI1018" s="108">
        <f>ABS(AU$1-AU1018)</f>
        <v/>
      </c>
      <c r="AJ1018" s="108">
        <f>(AV1018-Driver!$K$179)/(Driver!$L$179-Driver!$K$179)</f>
        <v/>
      </c>
      <c r="AK1018" s="108">
        <f>(AW1018-Driver!$K$180)/(Driver!$L$180-Driver!$K$180)</f>
        <v/>
      </c>
      <c r="AL1018" s="108">
        <f>(AX1018-Driver!$K$181)/(Driver!$L$181-Driver!$K$181)</f>
        <v/>
      </c>
      <c r="AM1018" s="108">
        <f>(AY1018-Driver!$K$182)/(Driver!$L$182-Driver!$K$182)</f>
        <v/>
      </c>
      <c r="AN1018" s="108">
        <f>(AZ1018-Driver!$K$183)/(Driver!$L$183-Driver!$K$183)</f>
        <v/>
      </c>
      <c r="AO1018" s="108" t="n"/>
      <c r="AP1018" s="108" t="n"/>
      <c r="AQ1018" s="108">
        <f>(BC1018-Driver!$K$188)/(Driver!$L$188-Driver!$K$188)</f>
        <v/>
      </c>
      <c r="AR1018" s="108">
        <f>MIN((BD1018-Driver!$K$189)/(Driver!$L$189-Driver!$K$189),100%)</f>
        <v/>
      </c>
      <c r="AS1018" s="108">
        <f>(BE1018-Driver!$K$190)/(Driver!$L$190-Driver!$K$190)</f>
        <v/>
      </c>
      <c r="AT1018" s="108">
        <f>(BF1018-Driver!$K$191)/(Driver!$L$191-Driver!$K$191)</f>
        <v/>
      </c>
      <c r="AU1018" s="108">
        <f>(BG1018-Driver!$K$192)/(Driver!$L$192-Driver!$K$192)</f>
        <v/>
      </c>
      <c r="AV1018" s="105">
        <f>IFERROR(BM1018*BJ1018^1/4,"")</f>
        <v/>
      </c>
      <c r="AW1018" s="105">
        <f>IFERROR(SUM(AX1018:AZ1018),"")</f>
        <v/>
      </c>
      <c r="AX1018" s="105">
        <f>IFERROR(BH1018,"")</f>
        <v/>
      </c>
      <c r="AY1018" s="105">
        <f>IFERROR(Driver!$K$19/Data!BH1018/Data!BI1018*Data!BK1018*Data!BL1018,"")</f>
        <v/>
      </c>
      <c r="AZ1018" s="105">
        <f>IFERROR(BI1018*BN1018,"")</f>
        <v/>
      </c>
      <c r="BA1018" s="105" t="n"/>
      <c r="BB1018" s="105" t="n"/>
      <c r="BC1018" s="105">
        <f>IFERROR(BI1018*BN1018*BK1018/BJ1018^(1/2),"")</f>
        <v/>
      </c>
      <c r="BD1018" s="105">
        <f>IFERROR(BH1018*BM1018*BL1018/BJ1018/BK1018,"")</f>
        <v/>
      </c>
      <c r="BE1018" s="105">
        <f>IFERROR(MIN(BI1018/BQ1018/BP1018/BO1018/BH1018,$BE$1),"")</f>
        <v/>
      </c>
      <c r="BF1018" s="105">
        <f>IFERROR(BJ1018*BO1018*BP1018/BK1018,"")</f>
        <v/>
      </c>
      <c r="BG1018" s="105">
        <f>IFERROR(1/BM1018/BH1018*BQ1018,"")</f>
        <v/>
      </c>
      <c r="BH1018" s="102">
        <f>MAX((CE1018-Driver!$F$200)/(Driver!$G$200-Driver!$F$200)*$BI$1,1)</f>
        <v/>
      </c>
      <c r="BI1018" s="102">
        <f>MAX($BI$1*(BY1018-Driver!$F$201)/(Driver!$G$201-Driver!$F$201),1)</f>
        <v/>
      </c>
      <c r="BJ1018" s="102">
        <f>(CB1018-Driver!$F$206)/(Driver!$G$206-Driver!$F$206)*$BI$1</f>
        <v/>
      </c>
      <c r="BK1018" s="102">
        <f>(CD1018-Driver!$F$203)/(Driver!$G$203-Driver!$F$203)*$BI$1</f>
        <v/>
      </c>
      <c r="BL1018" s="102">
        <f>MAX((CR1018-Driver!$F$202)/(Driver!$G$202-Driver!$F$202)*$BI$1,1)</f>
        <v/>
      </c>
      <c r="BM1018" s="102">
        <f>MAX((CH1018-Driver!$F$204)/(Driver!$G$204-Driver!$F$204)*$BI$1,1)</f>
        <v/>
      </c>
      <c r="BN1018" s="102">
        <f>(CI1018-Driver!$F$205)/(Driver!$G$205-Driver!$F$205)*$BI$1</f>
        <v/>
      </c>
      <c r="BO1018" s="102">
        <f>(CK1018-Driver!$F$207)/(Driver!$G$207-Driver!$F$207)*$BI$1</f>
        <v/>
      </c>
      <c r="BP1018" s="102">
        <f>(CM1018-Driver!$F$208)/(Driver!$G$208-Driver!$F$208)*$BI$1</f>
        <v/>
      </c>
      <c r="BQ1018" s="102">
        <f>(CL1018-Driver!$F$209)/(Driver!$G$209-Driver!$F$209)*$BI$1</f>
        <v/>
      </c>
      <c r="BR1018" s="40" t="inlineStr">
        <is>
          <t>21/22</t>
        </is>
      </c>
      <c r="BS1018" s="10" t="inlineStr">
        <is>
          <t xml:space="preserve"> Icelantic</t>
        </is>
      </c>
      <c r="BT1018" s="11" t="inlineStr">
        <is>
          <t>Riveter 85</t>
        </is>
      </c>
      <c r="BU1018" s="13" t="n">
        <v>155</v>
      </c>
      <c r="BV1018" s="11" t="inlineStr">
        <is>
          <t xml:space="preserve"> Women's</t>
        </is>
      </c>
      <c r="BW1018" s="13" t="n">
        <v>155</v>
      </c>
      <c r="BX1018" s="13" t="n">
        <v>154.1</v>
      </c>
      <c r="BY1018" s="13" t="n">
        <v>99</v>
      </c>
      <c r="BZ1018" s="13" t="n">
        <v>125</v>
      </c>
      <c r="CA1018" s="13" t="n">
        <v>120</v>
      </c>
      <c r="CB1018" s="13" t="n">
        <v>86</v>
      </c>
      <c r="CC1018" s="13" t="n">
        <v>107</v>
      </c>
      <c r="CD1018" s="13" t="n">
        <v>12.9</v>
      </c>
      <c r="CE1018" s="13" t="n">
        <v>1407</v>
      </c>
      <c r="CF1018" s="13" t="n">
        <v>1.06</v>
      </c>
      <c r="CG1018" s="13" t="n">
        <v>1492</v>
      </c>
      <c r="CH1018" s="13" t="n">
        <v>151</v>
      </c>
      <c r="CI1018" s="13" t="n">
        <v>65</v>
      </c>
      <c r="CJ1018" s="13" t="n">
        <v>57</v>
      </c>
      <c r="CK1018" s="13" t="n">
        <v>319</v>
      </c>
      <c r="CL1018" s="13" t="n">
        <v>16</v>
      </c>
      <c r="CM1018" s="13" t="n">
        <v>233</v>
      </c>
      <c r="CN1018" s="13" t="n">
        <v>0.29</v>
      </c>
      <c r="CO1018" s="13" t="n">
        <v>184</v>
      </c>
      <c r="CP1018" s="13" t="n">
        <v>109</v>
      </c>
      <c r="CQ1018" s="13" t="n">
        <v>135</v>
      </c>
      <c r="CR1018" s="13" t="n">
        <v>5</v>
      </c>
      <c r="CS1018" s="13" t="n">
        <v>8.199999999999999</v>
      </c>
      <c r="CT1018" s="11" t="inlineStr">
        <is>
          <t xml:space="preserve"> Resort Freeride</t>
        </is>
      </c>
      <c r="CU1018" s="11" t="inlineStr">
        <is>
          <t xml:space="preserve"> Touring</t>
        </is>
      </c>
      <c r="CV1018" s="13" t="n"/>
      <c r="CW1018" s="13" t="n"/>
      <c r="CX1018">
        <f>INDEX('Data_Price '!AG$2:AG$1266,MATCH(Data!$DN1018,'Data_Price '!$AT$2:$AT$1266,0))</f>
        <v/>
      </c>
      <c r="CY1018">
        <f>INDEX('Data_Price '!AH$2:AH$1266,MATCH(Data!$DN1018,'Data_Price '!$AT$2:$AT$1266,0))</f>
        <v/>
      </c>
      <c r="CZ1018">
        <f>INDEX('Data_Price '!AI$2:AI$1266,MATCH(Data!$DN1018,'Data_Price '!$AT$2:$AT$1266,0))</f>
        <v/>
      </c>
      <c r="DA1018">
        <f>INDEX('Data_Price '!AJ$2:AJ$1266,MATCH(Data!$DN1018,'Data_Price '!$AT$2:$AT$1266,0))</f>
        <v/>
      </c>
      <c r="DB1018">
        <f>INDEX('Data_Price '!AK$2:AK$1266,MATCH(Data!$DN1018,'Data_Price '!$AT$2:$AT$1266,0))</f>
        <v/>
      </c>
      <c r="DC1018">
        <f>INDEX('Data_Price '!AL$2:AL$1266,MATCH(Data!$DN1018,'Data_Price '!$AT$2:$AT$1266,0))</f>
        <v/>
      </c>
      <c r="DD1018">
        <f>INDEX('Data_Price '!AM$2:AM$1266,MATCH(Data!$DN1018,'Data_Price '!$AT$2:$AT$1266,0))</f>
        <v/>
      </c>
      <c r="DE1018">
        <f>INDEX('Data_Price '!AN$2:AN$1266,MATCH(Data!$DN1018,'Data_Price '!$AT$2:$AT$1266,0))</f>
        <v/>
      </c>
      <c r="DF1018">
        <f>INDEX('Data_Price '!AO$2:AO$1266,MATCH(Data!$DN1018,'Data_Price '!$AT$2:$AT$1266,0))</f>
        <v/>
      </c>
      <c r="DG1018">
        <f>INDEX('Data_Price '!AP$2:AP$1266,MATCH(Data!$DN1018,'Data_Price '!$AT$2:$AT$1266,0))</f>
        <v/>
      </c>
      <c r="DH1018">
        <f>INDEX('Data_Price '!AQ$2:AQ$1266,MATCH(Data!$DN1018,'Data_Price '!$AT$2:$AT$1266,0))</f>
        <v/>
      </c>
      <c r="DI1018">
        <f>INDEX('Data_Price '!AR$2:AR$1266,MATCH(Data!$DN1018,'Data_Price '!$AT$2:$AT$1266,0))</f>
        <v/>
      </c>
      <c r="DJ1018" s="138">
        <f>DA1018</f>
        <v/>
      </c>
      <c r="DK1018" s="138">
        <f>DE1018</f>
        <v/>
      </c>
      <c r="DL1018" s="138">
        <f>DI1018</f>
        <v/>
      </c>
      <c r="DM1018" s="303">
        <f>IF(LEFT(BT1018,1)=" ",RIGHT(BT1018,LEN(BT1018)-1),BT1018)</f>
        <v/>
      </c>
      <c r="DN1018" s="138">
        <f>_xlfn.CONCAT(BS1018,DM1018,BU1018,BV1018)</f>
        <v/>
      </c>
      <c r="DO1018" s="307" t="inlineStr">
        <is>
          <t>https://images.evo.com/imgp/250/208409/833112/clone.jpg</t>
        </is>
      </c>
    </row>
    <row r="1019" ht="15.6" customHeight="1" s="184">
      <c r="B1019" s="303">
        <f t="array" ref="B1019">IF(OR(ISERROR(K1019:P1019)),FALSE,TRUE)</f>
        <v/>
      </c>
      <c r="C1019" s="60">
        <f>OR(BR1019=Driver!$G$50,Data!BR967=Driver!$H$50)</f>
        <v/>
      </c>
      <c r="D1019" s="60">
        <f>OR(BV1019=Driver!$G$51,BV1019=Driver!$H$51)</f>
        <v/>
      </c>
      <c r="E1019" s="60">
        <f>AND(BX1019&gt;Driver!$F$54,BX1019&lt;Driver!$G$54)</f>
        <v/>
      </c>
      <c r="F1019" s="60">
        <f>CL1019&gt;Driver!$F$56</f>
        <v/>
      </c>
      <c r="G1019" s="60">
        <f>AND(CB1019&gt;Driver!$F$55,CB1019&lt;Driver!$G$55)</f>
        <v/>
      </c>
      <c r="H1019" s="60">
        <f>AND(B1019:G1019)</f>
        <v/>
      </c>
      <c r="I1019" s="60">
        <f>COUNTIFS($H$9:$H$1273,TRUE,$BT$9:$BT$1273,BT1019)</f>
        <v/>
      </c>
      <c r="J1019" s="60">
        <f t="array" ref="J1019">NOT(OR(($H$9:$H$1273=TRUE)*($I$9:$I$1273&gt;0)*($BT$9:$BT$1273=BT1019)*($K$9:$K$1273&gt;K1019)))</f>
        <v/>
      </c>
      <c r="K1019" s="108">
        <f>IFERROR(1-AVERAGE(X1019:Y1019),"")</f>
        <v/>
      </c>
      <c r="L1019" s="108">
        <f>1-X1019</f>
        <v/>
      </c>
      <c r="M1019" s="108">
        <f>1-Y1019</f>
        <v/>
      </c>
      <c r="N1019" s="108">
        <f>1-Z1019</f>
        <v/>
      </c>
      <c r="O1019" s="108">
        <f>1-AA1019</f>
        <v/>
      </c>
      <c r="P1019" s="108">
        <f>1-AB1019</f>
        <v/>
      </c>
      <c r="Q1019" s="108" t="n"/>
      <c r="R1019" s="108" t="n"/>
      <c r="S1019" s="108">
        <f>1-AE1019</f>
        <v/>
      </c>
      <c r="T1019" s="108">
        <f>1-AF1019</f>
        <v/>
      </c>
      <c r="U1019" s="108">
        <f>1-AG1019</f>
        <v/>
      </c>
      <c r="V1019" s="108">
        <f>1-AH1019</f>
        <v/>
      </c>
      <c r="W1019" s="108">
        <f>1-AI1019</f>
        <v/>
      </c>
      <c r="X1019" s="108">
        <f>ABS(AJ1019-AJ$1)</f>
        <v/>
      </c>
      <c r="Y1019" s="108">
        <f>AVERAGE(Z1019:AB1019)</f>
        <v/>
      </c>
      <c r="Z1019" s="108">
        <f>ABS(AL1019-AL$1)</f>
        <v/>
      </c>
      <c r="AA1019" s="108">
        <f>ABS(AM1019-AM$1)</f>
        <v/>
      </c>
      <c r="AB1019" s="108">
        <f>ABS(AN1019-AN$1)</f>
        <v/>
      </c>
      <c r="AC1019" s="108" t="n"/>
      <c r="AD1019" s="108" t="n"/>
      <c r="AE1019" s="108">
        <f>ABS(AQ$1-AQ1019)</f>
        <v/>
      </c>
      <c r="AF1019" s="108">
        <f>ABS(AR$1-AR1019)</f>
        <v/>
      </c>
      <c r="AG1019" s="108">
        <f>ABS(AS$1-AS1019)</f>
        <v/>
      </c>
      <c r="AH1019" s="108">
        <f>ABS(AT$1-AT1019)</f>
        <v/>
      </c>
      <c r="AI1019" s="108">
        <f>ABS(AU$1-AU1019)</f>
        <v/>
      </c>
      <c r="AJ1019" s="108">
        <f>(AV1019-Driver!$K$179)/(Driver!$L$179-Driver!$K$179)</f>
        <v/>
      </c>
      <c r="AK1019" s="108">
        <f>(AW1019-Driver!$K$180)/(Driver!$L$180-Driver!$K$180)</f>
        <v/>
      </c>
      <c r="AL1019" s="108">
        <f>(AX1019-Driver!$K$181)/(Driver!$L$181-Driver!$K$181)</f>
        <v/>
      </c>
      <c r="AM1019" s="108">
        <f>(AY1019-Driver!$K$182)/(Driver!$L$182-Driver!$K$182)</f>
        <v/>
      </c>
      <c r="AN1019" s="108">
        <f>(AZ1019-Driver!$K$183)/(Driver!$L$183-Driver!$K$183)</f>
        <v/>
      </c>
      <c r="AO1019" s="108" t="n"/>
      <c r="AP1019" s="108" t="n"/>
      <c r="AQ1019" s="108">
        <f>(BC1019-Driver!$K$188)/(Driver!$L$188-Driver!$K$188)</f>
        <v/>
      </c>
      <c r="AR1019" s="108">
        <f>MIN((BD1019-Driver!$K$189)/(Driver!$L$189-Driver!$K$189),100%)</f>
        <v/>
      </c>
      <c r="AS1019" s="108">
        <f>(BE1019-Driver!$K$190)/(Driver!$L$190-Driver!$K$190)</f>
        <v/>
      </c>
      <c r="AT1019" s="108">
        <f>(BF1019-Driver!$K$191)/(Driver!$L$191-Driver!$K$191)</f>
        <v/>
      </c>
      <c r="AU1019" s="108">
        <f>(BG1019-Driver!$K$192)/(Driver!$L$192-Driver!$K$192)</f>
        <v/>
      </c>
      <c r="AV1019" s="105">
        <f>IFERROR(BM1019*BJ1019^1/4,"")</f>
        <v/>
      </c>
      <c r="AW1019" s="105">
        <f>IFERROR(SUM(AX1019:AZ1019),"")</f>
        <v/>
      </c>
      <c r="AX1019" s="105">
        <f>IFERROR(BH1019,"")</f>
        <v/>
      </c>
      <c r="AY1019" s="105">
        <f>IFERROR(Driver!$K$19/Data!BH1019/Data!BI1019*Data!BK1019*Data!BL1019,"")</f>
        <v/>
      </c>
      <c r="AZ1019" s="105">
        <f>IFERROR(BI1019*BN1019,"")</f>
        <v/>
      </c>
      <c r="BA1019" s="105" t="n"/>
      <c r="BB1019" s="105" t="n"/>
      <c r="BC1019" s="105">
        <f>IFERROR(BI1019*BN1019*BK1019/BJ1019^(1/2),"")</f>
        <v/>
      </c>
      <c r="BD1019" s="105">
        <f>IFERROR(BH1019*BM1019*BL1019/BJ1019/BK1019,"")</f>
        <v/>
      </c>
      <c r="BE1019" s="105">
        <f>IFERROR(MIN(BI1019/BQ1019/BP1019/BO1019/BH1019,$BE$1),"")</f>
        <v/>
      </c>
      <c r="BF1019" s="105">
        <f>IFERROR(BJ1019*BO1019*BP1019/BK1019,"")</f>
        <v/>
      </c>
      <c r="BG1019" s="105">
        <f>IFERROR(1/BM1019/BH1019*BQ1019,"")</f>
        <v/>
      </c>
      <c r="BH1019" s="102">
        <f>MAX((CE1019-Driver!$F$200)/(Driver!$G$200-Driver!$F$200)*$BI$1,1)</f>
        <v/>
      </c>
      <c r="BI1019" s="102">
        <f>MAX($BI$1*(BY1019-Driver!$F$201)/(Driver!$G$201-Driver!$F$201),1)</f>
        <v/>
      </c>
      <c r="BJ1019" s="102">
        <f>(CB1019-Driver!$F$206)/(Driver!$G$206-Driver!$F$206)*$BI$1</f>
        <v/>
      </c>
      <c r="BK1019" s="102">
        <f>(CD1019-Driver!$F$203)/(Driver!$G$203-Driver!$F$203)*$BI$1</f>
        <v/>
      </c>
      <c r="BL1019" s="102">
        <f>MAX((CR1019-Driver!$F$202)/(Driver!$G$202-Driver!$F$202)*$BI$1,1)</f>
        <v/>
      </c>
      <c r="BM1019" s="102">
        <f>MAX((CH1019-Driver!$F$204)/(Driver!$G$204-Driver!$F$204)*$BI$1,1)</f>
        <v/>
      </c>
      <c r="BN1019" s="102">
        <f>(CI1019-Driver!$F$205)/(Driver!$G$205-Driver!$F$205)*$BI$1</f>
        <v/>
      </c>
      <c r="BO1019" s="102">
        <f>(CK1019-Driver!$F$207)/(Driver!$G$207-Driver!$F$207)*$BI$1</f>
        <v/>
      </c>
      <c r="BP1019" s="102">
        <f>(CM1019-Driver!$F$208)/(Driver!$G$208-Driver!$F$208)*$BI$1</f>
        <v/>
      </c>
      <c r="BQ1019" s="102">
        <f>(CL1019-Driver!$F$209)/(Driver!$G$209-Driver!$F$209)*$BI$1</f>
        <v/>
      </c>
      <c r="BR1019" s="40" t="inlineStr">
        <is>
          <t>21/22</t>
        </is>
      </c>
      <c r="BS1019" s="10" t="inlineStr">
        <is>
          <t xml:space="preserve"> Rossignol</t>
        </is>
      </c>
      <c r="BT1019" s="11" t="inlineStr">
        <is>
          <t xml:space="preserve"> Blackops Dreamer W</t>
        </is>
      </c>
      <c r="BU1019" s="13" t="n">
        <v>140</v>
      </c>
      <c r="BV1019" s="11" t="inlineStr">
        <is>
          <t xml:space="preserve"> Women's</t>
        </is>
      </c>
      <c r="BW1019" s="13" t="n">
        <v>140</v>
      </c>
      <c r="BX1019" s="13" t="n">
        <v>138.6</v>
      </c>
      <c r="BY1019" s="13" t="n">
        <v>89</v>
      </c>
      <c r="BZ1019" s="13" t="n">
        <v>114</v>
      </c>
      <c r="CA1019" s="13" t="n">
        <v>118</v>
      </c>
      <c r="CB1019" s="13" t="n">
        <v>89</v>
      </c>
      <c r="CC1019" s="13" t="n">
        <v>107</v>
      </c>
      <c r="CD1019" s="13" t="n">
        <v>13.8</v>
      </c>
      <c r="CE1019" s="13" t="n">
        <v>1559</v>
      </c>
      <c r="CF1019" s="13" t="n">
        <v>0.87</v>
      </c>
      <c r="CG1019" s="13" t="n">
        <v>1361</v>
      </c>
      <c r="CH1019" s="13" t="n">
        <v>155</v>
      </c>
      <c r="CI1019" s="13" t="n">
        <v>57</v>
      </c>
      <c r="CJ1019" s="13" t="n">
        <v>52</v>
      </c>
      <c r="CK1019" s="13" t="n">
        <v>263</v>
      </c>
      <c r="CL1019" s="13" t="n">
        <v>33</v>
      </c>
      <c r="CM1019" s="13" t="n">
        <v>232</v>
      </c>
      <c r="CN1019" s="13" t="n">
        <v>0.623</v>
      </c>
      <c r="CO1019" s="13" t="n">
        <v>118</v>
      </c>
      <c r="CP1019" s="13" t="n">
        <v>124</v>
      </c>
      <c r="CQ1019" s="13" t="n">
        <v>145</v>
      </c>
      <c r="CR1019" s="13" t="n">
        <v>5</v>
      </c>
      <c r="CS1019" s="13" t="n">
        <v>5</v>
      </c>
      <c r="CT1019" s="11" t="inlineStr">
        <is>
          <t xml:space="preserve"> Resort Freeride</t>
        </is>
      </c>
      <c r="CU1019" s="13" t="n"/>
      <c r="CV1019" s="13" t="n"/>
      <c r="CW1019" s="13" t="n"/>
      <c r="CX1019">
        <f>INDEX('Data_Price '!AG$2:AG$1266,MATCH(Data!$DN1019,'Data_Price '!$AT$2:$AT$1266,0))</f>
        <v/>
      </c>
      <c r="CY1019">
        <f>INDEX('Data_Price '!AH$2:AH$1266,MATCH(Data!$DN1019,'Data_Price '!$AT$2:$AT$1266,0))</f>
        <v/>
      </c>
      <c r="CZ1019">
        <f>INDEX('Data_Price '!AI$2:AI$1266,MATCH(Data!$DN1019,'Data_Price '!$AT$2:$AT$1266,0))</f>
        <v/>
      </c>
      <c r="DA1019">
        <f>INDEX('Data_Price '!AJ$2:AJ$1266,MATCH(Data!$DN1019,'Data_Price '!$AT$2:$AT$1266,0))</f>
        <v/>
      </c>
      <c r="DB1019">
        <f>INDEX('Data_Price '!AK$2:AK$1266,MATCH(Data!$DN1019,'Data_Price '!$AT$2:$AT$1266,0))</f>
        <v/>
      </c>
      <c r="DC1019">
        <f>INDEX('Data_Price '!AL$2:AL$1266,MATCH(Data!$DN1019,'Data_Price '!$AT$2:$AT$1266,0))</f>
        <v/>
      </c>
      <c r="DD1019">
        <f>INDEX('Data_Price '!AM$2:AM$1266,MATCH(Data!$DN1019,'Data_Price '!$AT$2:$AT$1266,0))</f>
        <v/>
      </c>
      <c r="DE1019">
        <f>INDEX('Data_Price '!AN$2:AN$1266,MATCH(Data!$DN1019,'Data_Price '!$AT$2:$AT$1266,0))</f>
        <v/>
      </c>
      <c r="DF1019">
        <f>INDEX('Data_Price '!AO$2:AO$1266,MATCH(Data!$DN1019,'Data_Price '!$AT$2:$AT$1266,0))</f>
        <v/>
      </c>
      <c r="DG1019">
        <f>INDEX('Data_Price '!AP$2:AP$1266,MATCH(Data!$DN1019,'Data_Price '!$AT$2:$AT$1266,0))</f>
        <v/>
      </c>
      <c r="DH1019">
        <f>INDEX('Data_Price '!AQ$2:AQ$1266,MATCH(Data!$DN1019,'Data_Price '!$AT$2:$AT$1266,0))</f>
        <v/>
      </c>
      <c r="DI1019">
        <f>INDEX('Data_Price '!AR$2:AR$1266,MATCH(Data!$DN1019,'Data_Price '!$AT$2:$AT$1266,0))</f>
        <v/>
      </c>
      <c r="DJ1019" s="138">
        <f>DA1019</f>
        <v/>
      </c>
      <c r="DK1019" s="138">
        <f>DE1019</f>
        <v/>
      </c>
      <c r="DL1019" s="138">
        <f>DI1019</f>
        <v/>
      </c>
      <c r="DM1019" s="303">
        <f>IF(LEFT(BT1019,1)=" ",RIGHT(BT1019,LEN(BT1019)-1),BT1019)</f>
        <v/>
      </c>
      <c r="DN1019" s="138">
        <f>_xlfn.CONCAT(BS1019,DM1019,BU1019,BV1019)</f>
        <v/>
      </c>
      <c r="DO1019" s="307" t="n"/>
    </row>
    <row r="1020" ht="15.6" customHeight="1" s="184">
      <c r="B1020" s="303">
        <f t="array" ref="B1020">IF(OR(ISERROR(K1020:P1020)),FALSE,TRUE)</f>
        <v/>
      </c>
      <c r="C1020" s="60">
        <f>OR(BR1020=Driver!$G$50,Data!BR998=Driver!$H$50)</f>
        <v/>
      </c>
      <c r="D1020" s="60">
        <f>OR(BV1020=Driver!$G$51,BV1020=Driver!$H$51)</f>
        <v/>
      </c>
      <c r="E1020" s="60">
        <f>AND(BX1020&gt;Driver!$F$54,BX1020&lt;Driver!$G$54)</f>
        <v/>
      </c>
      <c r="F1020" s="60">
        <f>CL1020&gt;Driver!$F$56</f>
        <v/>
      </c>
      <c r="G1020" s="60">
        <f>AND(CB1020&gt;Driver!$F$55,CB1020&lt;Driver!$G$55)</f>
        <v/>
      </c>
      <c r="H1020" s="60">
        <f>AND(B1020:G1020)</f>
        <v/>
      </c>
      <c r="I1020" s="60">
        <f>COUNTIFS($H$9:$H$1273,TRUE,$BT$9:$BT$1273,BT1020)</f>
        <v/>
      </c>
      <c r="J1020" s="60">
        <f t="array" ref="J1020">NOT(OR(($H$9:$H$1273=TRUE)*($I$9:$I$1273&gt;0)*($BT$9:$BT$1273=BT1020)*($K$9:$K$1273&gt;K1020)))</f>
        <v/>
      </c>
      <c r="K1020" s="108">
        <f>IFERROR(1-AVERAGE(X1020:Y1020),"")</f>
        <v/>
      </c>
      <c r="L1020" s="108">
        <f>1-X1020</f>
        <v/>
      </c>
      <c r="M1020" s="108">
        <f>1-Y1020</f>
        <v/>
      </c>
      <c r="N1020" s="108">
        <f>1-Z1020</f>
        <v/>
      </c>
      <c r="O1020" s="108">
        <f>1-AA1020</f>
        <v/>
      </c>
      <c r="P1020" s="108">
        <f>1-AB1020</f>
        <v/>
      </c>
      <c r="Q1020" s="108" t="n"/>
      <c r="R1020" s="108" t="n"/>
      <c r="S1020" s="108">
        <f>1-AE1020</f>
        <v/>
      </c>
      <c r="T1020" s="108">
        <f>1-AF1020</f>
        <v/>
      </c>
      <c r="U1020" s="108">
        <f>1-AG1020</f>
        <v/>
      </c>
      <c r="V1020" s="108">
        <f>1-AH1020</f>
        <v/>
      </c>
      <c r="W1020" s="108">
        <f>1-AI1020</f>
        <v/>
      </c>
      <c r="X1020" s="108">
        <f>ABS(AJ1020-AJ$1)</f>
        <v/>
      </c>
      <c r="Y1020" s="108">
        <f>AVERAGE(Z1020:AB1020)</f>
        <v/>
      </c>
      <c r="Z1020" s="108">
        <f>ABS(AL1020-AL$1)</f>
        <v/>
      </c>
      <c r="AA1020" s="108">
        <f>ABS(AM1020-AM$1)</f>
        <v/>
      </c>
      <c r="AB1020" s="108">
        <f>ABS(AN1020-AN$1)</f>
        <v/>
      </c>
      <c r="AC1020" s="108" t="n"/>
      <c r="AD1020" s="108" t="n"/>
      <c r="AE1020" s="108">
        <f>ABS(AQ$1-AQ1020)</f>
        <v/>
      </c>
      <c r="AF1020" s="108">
        <f>ABS(AR$1-AR1020)</f>
        <v/>
      </c>
      <c r="AG1020" s="108">
        <f>ABS(AS$1-AS1020)</f>
        <v/>
      </c>
      <c r="AH1020" s="108">
        <f>ABS(AT$1-AT1020)</f>
        <v/>
      </c>
      <c r="AI1020" s="108">
        <f>ABS(AU$1-AU1020)</f>
        <v/>
      </c>
      <c r="AJ1020" s="108">
        <f>(AV1020-Driver!$K$179)/(Driver!$L$179-Driver!$K$179)</f>
        <v/>
      </c>
      <c r="AK1020" s="108">
        <f>(AW1020-Driver!$K$180)/(Driver!$L$180-Driver!$K$180)</f>
        <v/>
      </c>
      <c r="AL1020" s="108">
        <f>(AX1020-Driver!$K$181)/(Driver!$L$181-Driver!$K$181)</f>
        <v/>
      </c>
      <c r="AM1020" s="108">
        <f>(AY1020-Driver!$K$182)/(Driver!$L$182-Driver!$K$182)</f>
        <v/>
      </c>
      <c r="AN1020" s="108">
        <f>(AZ1020-Driver!$K$183)/(Driver!$L$183-Driver!$K$183)</f>
        <v/>
      </c>
      <c r="AO1020" s="108" t="n"/>
      <c r="AP1020" s="108" t="n"/>
      <c r="AQ1020" s="108">
        <f>(BC1020-Driver!$K$188)/(Driver!$L$188-Driver!$K$188)</f>
        <v/>
      </c>
      <c r="AR1020" s="108">
        <f>MIN((BD1020-Driver!$K$189)/(Driver!$L$189-Driver!$K$189),100%)</f>
        <v/>
      </c>
      <c r="AS1020" s="108">
        <f>(BE1020-Driver!$K$190)/(Driver!$L$190-Driver!$K$190)</f>
        <v/>
      </c>
      <c r="AT1020" s="108">
        <f>(BF1020-Driver!$K$191)/(Driver!$L$191-Driver!$K$191)</f>
        <v/>
      </c>
      <c r="AU1020" s="108">
        <f>(BG1020-Driver!$K$192)/(Driver!$L$192-Driver!$K$192)</f>
        <v/>
      </c>
      <c r="AV1020" s="105">
        <f>IFERROR(BM1020*BJ1020^1/4,"")</f>
        <v/>
      </c>
      <c r="AW1020" s="105">
        <f>IFERROR(SUM(AX1020:AZ1020),"")</f>
        <v/>
      </c>
      <c r="AX1020" s="105">
        <f>IFERROR(BH1020,"")</f>
        <v/>
      </c>
      <c r="AY1020" s="105">
        <f>IFERROR(Driver!$K$19/Data!BH1020/Data!BI1020*Data!BK1020*Data!BL1020,"")</f>
        <v/>
      </c>
      <c r="AZ1020" s="105">
        <f>IFERROR(BI1020*BN1020,"")</f>
        <v/>
      </c>
      <c r="BA1020" s="105" t="n"/>
      <c r="BB1020" s="105" t="n"/>
      <c r="BC1020" s="105">
        <f>IFERROR(BI1020*BN1020*BK1020/BJ1020^(1/2),"")</f>
        <v/>
      </c>
      <c r="BD1020" s="105">
        <f>IFERROR(BH1020*BM1020*BL1020/BJ1020/BK1020,"")</f>
        <v/>
      </c>
      <c r="BE1020" s="105">
        <f>IFERROR(MIN(BI1020/BQ1020/BP1020/BO1020/BH1020,$BE$1),"")</f>
        <v/>
      </c>
      <c r="BF1020" s="105">
        <f>IFERROR(BJ1020*BO1020*BP1020/BK1020,"")</f>
        <v/>
      </c>
      <c r="BG1020" s="105">
        <f>IFERROR(1/BM1020/BH1020*BQ1020,"")</f>
        <v/>
      </c>
      <c r="BH1020" s="102">
        <f>MAX((CE1020-Driver!$F$200)/(Driver!$G$200-Driver!$F$200)*$BI$1,1)</f>
        <v/>
      </c>
      <c r="BI1020" s="102">
        <f>MAX($BI$1*(BY1020-Driver!$F$201)/(Driver!$G$201-Driver!$F$201),1)</f>
        <v/>
      </c>
      <c r="BJ1020" s="102">
        <f>(CB1020-Driver!$F$206)/(Driver!$G$206-Driver!$F$206)*$BI$1</f>
        <v/>
      </c>
      <c r="BK1020" s="102">
        <f>(CD1020-Driver!$F$203)/(Driver!$G$203-Driver!$F$203)*$BI$1</f>
        <v/>
      </c>
      <c r="BL1020" s="102">
        <f>MAX((CR1020-Driver!$F$202)/(Driver!$G$202-Driver!$F$202)*$BI$1,1)</f>
        <v/>
      </c>
      <c r="BM1020" s="102">
        <f>MAX((CH1020-Driver!$F$204)/(Driver!$G$204-Driver!$F$204)*$BI$1,1)</f>
        <v/>
      </c>
      <c r="BN1020" s="102">
        <f>(CI1020-Driver!$F$205)/(Driver!$G$205-Driver!$F$205)*$BI$1</f>
        <v/>
      </c>
      <c r="BO1020" s="102">
        <f>(CK1020-Driver!$F$207)/(Driver!$G$207-Driver!$F$207)*$BI$1</f>
        <v/>
      </c>
      <c r="BP1020" s="102">
        <f>(CM1020-Driver!$F$208)/(Driver!$G$208-Driver!$F$208)*$BI$1</f>
        <v/>
      </c>
      <c r="BQ1020" s="102">
        <f>(CL1020-Driver!$F$209)/(Driver!$G$209-Driver!$F$209)*$BI$1</f>
        <v/>
      </c>
      <c r="BR1020" s="40" t="inlineStr">
        <is>
          <t>21/22</t>
        </is>
      </c>
      <c r="BS1020" s="10" t="inlineStr">
        <is>
          <t xml:space="preserve"> Rossignol</t>
        </is>
      </c>
      <c r="BT1020" s="11" t="inlineStr">
        <is>
          <t>Experience 76</t>
        </is>
      </c>
      <c r="BU1020" s="13" t="n">
        <v>160</v>
      </c>
      <c r="BV1020" s="11" t="inlineStr">
        <is>
          <t xml:space="preserve"> Unisex</t>
        </is>
      </c>
      <c r="BW1020" s="13" t="n">
        <v>160</v>
      </c>
      <c r="BX1020" s="13" t="n">
        <v>160.4</v>
      </c>
      <c r="BY1020" s="13" t="n">
        <v>139</v>
      </c>
      <c r="BZ1020" s="13" t="n">
        <v>145</v>
      </c>
      <c r="CA1020" s="13" t="n">
        <v>124</v>
      </c>
      <c r="CB1020" s="13" t="n">
        <v>76</v>
      </c>
      <c r="CC1020" s="13" t="n">
        <v>110</v>
      </c>
      <c r="CD1020" s="13" t="n">
        <v>12.7</v>
      </c>
      <c r="CE1020" s="13" t="n">
        <v>1597</v>
      </c>
      <c r="CF1020" s="13" t="n">
        <v>0.92</v>
      </c>
      <c r="CG1020" s="13" t="n">
        <v>1470</v>
      </c>
      <c r="CH1020" s="13" t="n">
        <v>158</v>
      </c>
      <c r="CI1020" s="13" t="n">
        <v>55</v>
      </c>
      <c r="CJ1020" s="13" t="n">
        <v>36</v>
      </c>
      <c r="CK1020" s="13" t="n">
        <v>148</v>
      </c>
      <c r="CL1020" s="13" t="n">
        <v>6</v>
      </c>
      <c r="CM1020" s="13" t="n">
        <v>69</v>
      </c>
      <c r="CN1020" s="13" t="n">
        <v>0.176</v>
      </c>
      <c r="CO1020" s="13" t="n">
        <v>74</v>
      </c>
      <c r="CP1020" s="13" t="n">
        <v>82</v>
      </c>
      <c r="CQ1020" s="13" t="n">
        <v>74</v>
      </c>
      <c r="CR1020" s="13" t="n">
        <v>11</v>
      </c>
      <c r="CS1020" s="13" t="n">
        <v>8.199999999999999</v>
      </c>
      <c r="CT1020" s="11" t="inlineStr">
        <is>
          <t xml:space="preserve"> On-Piste Carving</t>
        </is>
      </c>
      <c r="CU1020" s="13" t="n"/>
      <c r="CV1020" s="13" t="n"/>
      <c r="CW1020" s="13" t="n"/>
      <c r="CX1020">
        <f>INDEX('Data_Price '!AG$2:AG$1266,MATCH(Data!$DN1020,'Data_Price '!$AT$2:$AT$1266,0))</f>
        <v/>
      </c>
      <c r="CY1020">
        <f>INDEX('Data_Price '!AH$2:AH$1266,MATCH(Data!$DN1020,'Data_Price '!$AT$2:$AT$1266,0))</f>
        <v/>
      </c>
      <c r="CZ1020">
        <f>INDEX('Data_Price '!AI$2:AI$1266,MATCH(Data!$DN1020,'Data_Price '!$AT$2:$AT$1266,0))</f>
        <v/>
      </c>
      <c r="DA1020">
        <f>INDEX('Data_Price '!AJ$2:AJ$1266,MATCH(Data!$DN1020,'Data_Price '!$AT$2:$AT$1266,0))</f>
        <v/>
      </c>
      <c r="DB1020">
        <f>INDEX('Data_Price '!AK$2:AK$1266,MATCH(Data!$DN1020,'Data_Price '!$AT$2:$AT$1266,0))</f>
        <v/>
      </c>
      <c r="DC1020">
        <f>INDEX('Data_Price '!AL$2:AL$1266,MATCH(Data!$DN1020,'Data_Price '!$AT$2:$AT$1266,0))</f>
        <v/>
      </c>
      <c r="DD1020">
        <f>INDEX('Data_Price '!AM$2:AM$1266,MATCH(Data!$DN1020,'Data_Price '!$AT$2:$AT$1266,0))</f>
        <v/>
      </c>
      <c r="DE1020">
        <f>INDEX('Data_Price '!AN$2:AN$1266,MATCH(Data!$DN1020,'Data_Price '!$AT$2:$AT$1266,0))</f>
        <v/>
      </c>
      <c r="DF1020">
        <f>INDEX('Data_Price '!AO$2:AO$1266,MATCH(Data!$DN1020,'Data_Price '!$AT$2:$AT$1266,0))</f>
        <v/>
      </c>
      <c r="DG1020">
        <f>INDEX('Data_Price '!AP$2:AP$1266,MATCH(Data!$DN1020,'Data_Price '!$AT$2:$AT$1266,0))</f>
        <v/>
      </c>
      <c r="DH1020">
        <f>INDEX('Data_Price '!AQ$2:AQ$1266,MATCH(Data!$DN1020,'Data_Price '!$AT$2:$AT$1266,0))</f>
        <v/>
      </c>
      <c r="DI1020">
        <f>INDEX('Data_Price '!AR$2:AR$1266,MATCH(Data!$DN1020,'Data_Price '!$AT$2:$AT$1266,0))</f>
        <v/>
      </c>
      <c r="DJ1020" s="138">
        <f>DA1020</f>
        <v/>
      </c>
      <c r="DK1020" s="138">
        <f>DE1020</f>
        <v/>
      </c>
      <c r="DL1020" s="138">
        <f>DI1020</f>
        <v/>
      </c>
      <c r="DM1020" s="303">
        <f>IF(LEFT(BT1020,1)=" ",RIGHT(BT1020,LEN(BT1020)-1),BT1020)</f>
        <v/>
      </c>
      <c r="DN1020" s="138">
        <f>_xlfn.CONCAT(BS1020,DM1020,BU1020,BV1020)</f>
        <v/>
      </c>
      <c r="DO1020" s="307" t="inlineStr">
        <is>
          <t>https://images.evo.com/imgp/250/201408/832772/clone.jpg</t>
        </is>
      </c>
    </row>
    <row r="1021" ht="15.6" customHeight="1" s="184">
      <c r="B1021" s="303">
        <f t="array" ref="B1021">IF(OR(ISERROR(K1021:P1021)),FALSE,TRUE)</f>
        <v/>
      </c>
      <c r="C1021" s="60">
        <f>OR(BR1021=Driver!$G$50,Data!BR840=Driver!$H$50)</f>
        <v/>
      </c>
      <c r="D1021" s="60">
        <f>OR(BV1021=Driver!$G$51,BV1021=Driver!$H$51)</f>
        <v/>
      </c>
      <c r="E1021" s="60">
        <f>AND(BX1021&gt;Driver!$F$54,BX1021&lt;Driver!$G$54)</f>
        <v/>
      </c>
      <c r="F1021" s="60">
        <f>CL1021&gt;Driver!$F$56</f>
        <v/>
      </c>
      <c r="G1021" s="60">
        <f>AND(CB1021&gt;Driver!$F$55,CB1021&lt;Driver!$G$55)</f>
        <v/>
      </c>
      <c r="H1021" s="60">
        <f>AND(B1021:G1021)</f>
        <v/>
      </c>
      <c r="I1021" s="60">
        <f>COUNTIFS($H$9:$H$1273,TRUE,$BT$9:$BT$1273,BT1021)</f>
        <v/>
      </c>
      <c r="J1021" s="60">
        <f t="array" ref="J1021">NOT(OR(($H$9:$H$1273=TRUE)*($I$9:$I$1273&gt;0)*($BT$9:$BT$1273=BT1021)*($K$9:$K$1273&gt;K1021)))</f>
        <v/>
      </c>
      <c r="K1021" s="108">
        <f>IFERROR(1-AVERAGE(X1021:Y1021),"")</f>
        <v/>
      </c>
      <c r="L1021" s="108">
        <f>1-X1021</f>
        <v/>
      </c>
      <c r="M1021" s="108">
        <f>1-Y1021</f>
        <v/>
      </c>
      <c r="N1021" s="108">
        <f>1-Z1021</f>
        <v/>
      </c>
      <c r="O1021" s="108">
        <f>1-AA1021</f>
        <v/>
      </c>
      <c r="P1021" s="108">
        <f>1-AB1021</f>
        <v/>
      </c>
      <c r="Q1021" s="108" t="n"/>
      <c r="R1021" s="108" t="n"/>
      <c r="S1021" s="108">
        <f>1-AE1021</f>
        <v/>
      </c>
      <c r="T1021" s="108">
        <f>1-AF1021</f>
        <v/>
      </c>
      <c r="U1021" s="108">
        <f>1-AG1021</f>
        <v/>
      </c>
      <c r="V1021" s="108">
        <f>1-AH1021</f>
        <v/>
      </c>
      <c r="W1021" s="108">
        <f>1-AI1021</f>
        <v/>
      </c>
      <c r="X1021" s="108">
        <f>ABS(AJ1021-AJ$1)</f>
        <v/>
      </c>
      <c r="Y1021" s="108">
        <f>AVERAGE(Z1021:AB1021)</f>
        <v/>
      </c>
      <c r="Z1021" s="108">
        <f>ABS(AL1021-AL$1)</f>
        <v/>
      </c>
      <c r="AA1021" s="108">
        <f>ABS(AM1021-AM$1)</f>
        <v/>
      </c>
      <c r="AB1021" s="108">
        <f>ABS(AN1021-AN$1)</f>
        <v/>
      </c>
      <c r="AC1021" s="108" t="n"/>
      <c r="AD1021" s="108" t="n"/>
      <c r="AE1021" s="108">
        <f>ABS(AQ$1-AQ1021)</f>
        <v/>
      </c>
      <c r="AF1021" s="108">
        <f>ABS(AR$1-AR1021)</f>
        <v/>
      </c>
      <c r="AG1021" s="108">
        <f>ABS(AS$1-AS1021)</f>
        <v/>
      </c>
      <c r="AH1021" s="108">
        <f>ABS(AT$1-AT1021)</f>
        <v/>
      </c>
      <c r="AI1021" s="108">
        <f>ABS(AU$1-AU1021)</f>
        <v/>
      </c>
      <c r="AJ1021" s="108">
        <f>(AV1021-Driver!$K$179)/(Driver!$L$179-Driver!$K$179)</f>
        <v/>
      </c>
      <c r="AK1021" s="108">
        <f>(AW1021-Driver!$K$180)/(Driver!$L$180-Driver!$K$180)</f>
        <v/>
      </c>
      <c r="AL1021" s="108">
        <f>(AX1021-Driver!$K$181)/(Driver!$L$181-Driver!$K$181)</f>
        <v/>
      </c>
      <c r="AM1021" s="108">
        <f>(AY1021-Driver!$K$182)/(Driver!$L$182-Driver!$K$182)</f>
        <v/>
      </c>
      <c r="AN1021" s="108">
        <f>(AZ1021-Driver!$K$183)/(Driver!$L$183-Driver!$K$183)</f>
        <v/>
      </c>
      <c r="AO1021" s="108" t="n"/>
      <c r="AP1021" s="108" t="n"/>
      <c r="AQ1021" s="108">
        <f>(BC1021-Driver!$K$188)/(Driver!$L$188-Driver!$K$188)</f>
        <v/>
      </c>
      <c r="AR1021" s="108">
        <f>MIN((BD1021-Driver!$K$189)/(Driver!$L$189-Driver!$K$189),100%)</f>
        <v/>
      </c>
      <c r="AS1021" s="108">
        <f>(BE1021-Driver!$K$190)/(Driver!$L$190-Driver!$K$190)</f>
        <v/>
      </c>
      <c r="AT1021" s="108">
        <f>(BF1021-Driver!$K$191)/(Driver!$L$191-Driver!$K$191)</f>
        <v/>
      </c>
      <c r="AU1021" s="108">
        <f>(BG1021-Driver!$K$192)/(Driver!$L$192-Driver!$K$192)</f>
        <v/>
      </c>
      <c r="AV1021" s="105">
        <f>IFERROR(BM1021*BJ1021^1/4,"")</f>
        <v/>
      </c>
      <c r="AW1021" s="105">
        <f>IFERROR(SUM(AX1021:AZ1021),"")</f>
        <v/>
      </c>
      <c r="AX1021" s="105">
        <f>IFERROR(BH1021,"")</f>
        <v/>
      </c>
      <c r="AY1021" s="105">
        <f>IFERROR(Driver!$K$19/Data!BH1021/Data!BI1021*Data!BK1021*Data!BL1021,"")</f>
        <v/>
      </c>
      <c r="AZ1021" s="105">
        <f>IFERROR(BI1021*BN1021,"")</f>
        <v/>
      </c>
      <c r="BA1021" s="105" t="n"/>
      <c r="BB1021" s="105" t="n"/>
      <c r="BC1021" s="105">
        <f>IFERROR(BI1021*BN1021*BK1021/BJ1021^(1/2),"")</f>
        <v/>
      </c>
      <c r="BD1021" s="105">
        <f>IFERROR(BH1021*BM1021*BL1021/BJ1021/BK1021,"")</f>
        <v/>
      </c>
      <c r="BE1021" s="105">
        <f>IFERROR(MIN(BI1021/BQ1021/BP1021/BO1021/BH1021,$BE$1),"")</f>
        <v/>
      </c>
      <c r="BF1021" s="105">
        <f>IFERROR(BJ1021*BO1021*BP1021/BK1021,"")</f>
        <v/>
      </c>
      <c r="BG1021" s="105">
        <f>IFERROR(1/BM1021/BH1021*BQ1021,"")</f>
        <v/>
      </c>
      <c r="BH1021" s="102">
        <f>MAX((CE1021-Driver!$F$200)/(Driver!$G$200-Driver!$F$200)*$BI$1,1)</f>
        <v/>
      </c>
      <c r="BI1021" s="102">
        <f>MAX($BI$1*(BY1021-Driver!$F$201)/(Driver!$G$201-Driver!$F$201),1)</f>
        <v/>
      </c>
      <c r="BJ1021" s="102">
        <f>(CB1021-Driver!$F$206)/(Driver!$G$206-Driver!$F$206)*$BI$1</f>
        <v/>
      </c>
      <c r="BK1021" s="102">
        <f>(CD1021-Driver!$F$203)/(Driver!$G$203-Driver!$F$203)*$BI$1</f>
        <v/>
      </c>
      <c r="BL1021" s="102">
        <f>MAX((CR1021-Driver!$F$202)/(Driver!$G$202-Driver!$F$202)*$BI$1,1)</f>
        <v/>
      </c>
      <c r="BM1021" s="102">
        <f>MAX((CH1021-Driver!$F$204)/(Driver!$G$204-Driver!$F$204)*$BI$1,1)</f>
        <v/>
      </c>
      <c r="BN1021" s="102">
        <f>(CI1021-Driver!$F$205)/(Driver!$G$205-Driver!$F$205)*$BI$1</f>
        <v/>
      </c>
      <c r="BO1021" s="102">
        <f>(CK1021-Driver!$F$207)/(Driver!$G$207-Driver!$F$207)*$BI$1</f>
        <v/>
      </c>
      <c r="BP1021" s="102">
        <f>(CM1021-Driver!$F$208)/(Driver!$G$208-Driver!$F$208)*$BI$1</f>
        <v/>
      </c>
      <c r="BQ1021" s="102">
        <f>(CL1021-Driver!$F$209)/(Driver!$G$209-Driver!$F$209)*$BI$1</f>
        <v/>
      </c>
      <c r="BR1021" s="40" t="inlineStr">
        <is>
          <t>21/22</t>
        </is>
      </c>
      <c r="BS1021" s="10" t="inlineStr">
        <is>
          <t xml:space="preserve"> Line</t>
        </is>
      </c>
      <c r="BT1021" s="11" t="inlineStr">
        <is>
          <t xml:space="preserve"> Honey Bee</t>
        </is>
      </c>
      <c r="BU1021" s="13" t="n">
        <v>166</v>
      </c>
      <c r="BV1021" s="11" t="inlineStr">
        <is>
          <t xml:space="preserve"> Women's</t>
        </is>
      </c>
      <c r="BW1021" s="13" t="n">
        <v>166</v>
      </c>
      <c r="BX1021" s="13" t="n">
        <v>165.3</v>
      </c>
      <c r="BY1021" s="13" t="n">
        <v>129</v>
      </c>
      <c r="BZ1021" s="13" t="n">
        <v>141</v>
      </c>
      <c r="CA1021" s="13" t="n">
        <v>120</v>
      </c>
      <c r="CB1021" s="13" t="n">
        <v>91</v>
      </c>
      <c r="CC1021" s="13" t="n">
        <v>117</v>
      </c>
      <c r="CD1021" s="13" t="n">
        <v>17.3</v>
      </c>
      <c r="CE1021" s="13" t="n">
        <v>1542</v>
      </c>
      <c r="CF1021" s="13" t="n">
        <v>1.08</v>
      </c>
      <c r="CG1021" s="13" t="n">
        <v>1668</v>
      </c>
      <c r="CH1021" s="13" t="n">
        <v>116</v>
      </c>
      <c r="CI1021" s="13" t="n">
        <v>53</v>
      </c>
      <c r="CJ1021" s="13" t="n">
        <v>42</v>
      </c>
      <c r="CK1021" s="13" t="n">
        <v>178</v>
      </c>
      <c r="CL1021" s="13" t="n">
        <v>41</v>
      </c>
      <c r="CM1021" s="13" t="n">
        <v>183</v>
      </c>
      <c r="CN1021" s="13" t="n">
        <v>0.986</v>
      </c>
      <c r="CO1021" s="13" t="n">
        <v>125</v>
      </c>
      <c r="CP1021" s="13" t="n">
        <v>115</v>
      </c>
      <c r="CQ1021" s="13" t="n">
        <v>53</v>
      </c>
      <c r="CR1021" s="13" t="n">
        <v>9</v>
      </c>
      <c r="CS1021" s="13" t="n">
        <v>3.5</v>
      </c>
      <c r="CT1021" s="11" t="inlineStr">
        <is>
          <t xml:space="preserve"> Freeski</t>
        </is>
      </c>
      <c r="CU1021" s="11" t="inlineStr">
        <is>
          <t xml:space="preserve"> Touring</t>
        </is>
      </c>
      <c r="CV1021" s="13" t="n"/>
      <c r="CW1021" s="13" t="n"/>
      <c r="CX1021">
        <f>INDEX('Data_Price '!AG$2:AG$1266,MATCH(Data!$DN1021,'Data_Price '!$AT$2:$AT$1266,0))</f>
        <v/>
      </c>
      <c r="CY1021">
        <f>INDEX('Data_Price '!AH$2:AH$1266,MATCH(Data!$DN1021,'Data_Price '!$AT$2:$AT$1266,0))</f>
        <v/>
      </c>
      <c r="CZ1021">
        <f>INDEX('Data_Price '!AI$2:AI$1266,MATCH(Data!$DN1021,'Data_Price '!$AT$2:$AT$1266,0))</f>
        <v/>
      </c>
      <c r="DA1021">
        <f>INDEX('Data_Price '!AJ$2:AJ$1266,MATCH(Data!$DN1021,'Data_Price '!$AT$2:$AT$1266,0))</f>
        <v/>
      </c>
      <c r="DB1021">
        <f>INDEX('Data_Price '!AK$2:AK$1266,MATCH(Data!$DN1021,'Data_Price '!$AT$2:$AT$1266,0))</f>
        <v/>
      </c>
      <c r="DC1021">
        <f>INDEX('Data_Price '!AL$2:AL$1266,MATCH(Data!$DN1021,'Data_Price '!$AT$2:$AT$1266,0))</f>
        <v/>
      </c>
      <c r="DD1021">
        <f>INDEX('Data_Price '!AM$2:AM$1266,MATCH(Data!$DN1021,'Data_Price '!$AT$2:$AT$1266,0))</f>
        <v/>
      </c>
      <c r="DE1021">
        <f>INDEX('Data_Price '!AN$2:AN$1266,MATCH(Data!$DN1021,'Data_Price '!$AT$2:$AT$1266,0))</f>
        <v/>
      </c>
      <c r="DF1021">
        <f>INDEX('Data_Price '!AO$2:AO$1266,MATCH(Data!$DN1021,'Data_Price '!$AT$2:$AT$1266,0))</f>
        <v/>
      </c>
      <c r="DG1021">
        <f>INDEX('Data_Price '!AP$2:AP$1266,MATCH(Data!$DN1021,'Data_Price '!$AT$2:$AT$1266,0))</f>
        <v/>
      </c>
      <c r="DH1021">
        <f>INDEX('Data_Price '!AQ$2:AQ$1266,MATCH(Data!$DN1021,'Data_Price '!$AT$2:$AT$1266,0))</f>
        <v/>
      </c>
      <c r="DI1021">
        <f>INDEX('Data_Price '!AR$2:AR$1266,MATCH(Data!$DN1021,'Data_Price '!$AT$2:$AT$1266,0))</f>
        <v/>
      </c>
      <c r="DJ1021" s="138">
        <f>DA1021</f>
        <v/>
      </c>
      <c r="DK1021" s="138">
        <f>DE1021</f>
        <v/>
      </c>
      <c r="DL1021" s="138">
        <f>DI1021</f>
        <v/>
      </c>
      <c r="DM1021" s="303">
        <f>IF(LEFT(BT1021,1)=" ",RIGHT(BT1021,LEN(BT1021)-1),BT1021)</f>
        <v/>
      </c>
      <c r="DN1021" s="138">
        <f>_xlfn.CONCAT(BS1021,DM1021,BU1021,BV1021)</f>
        <v/>
      </c>
      <c r="DO1021" s="307" t="inlineStr">
        <is>
          <t>https://images.evo.com/imgp/250/198442/817649/clone.jpg</t>
        </is>
      </c>
    </row>
    <row r="1022" ht="15.6" customHeight="1" s="184">
      <c r="B1022" s="303">
        <f t="array" ref="B1022">IF(OR(ISERROR(K1022:P1022)),FALSE,TRUE)</f>
        <v/>
      </c>
      <c r="C1022" s="60">
        <f>OR(BR1022=Driver!$G$50,Data!BR143=Driver!$H$50)</f>
        <v/>
      </c>
      <c r="D1022" s="60">
        <f>OR(BV1022=Driver!$G$51,BV1022=Driver!$H$51)</f>
        <v/>
      </c>
      <c r="E1022" s="60">
        <f>AND(BX1022&gt;Driver!$F$54,BX1022&lt;Driver!$G$54)</f>
        <v/>
      </c>
      <c r="F1022" s="60">
        <f>CL1022&gt;Driver!$F$56</f>
        <v/>
      </c>
      <c r="G1022" s="60">
        <f>AND(CB1022&gt;Driver!$F$55,CB1022&lt;Driver!$G$55)</f>
        <v/>
      </c>
      <c r="H1022" s="60">
        <f>AND(B1022:G1022)</f>
        <v/>
      </c>
      <c r="I1022" s="60">
        <f>COUNTIFS($H$9:$H$1273,TRUE,$BT$9:$BT$1273,BT1022)</f>
        <v/>
      </c>
      <c r="J1022" s="60">
        <f t="array" ref="J1022">NOT(OR(($H$9:$H$1273=TRUE)*($I$9:$I$1273&gt;0)*($BT$9:$BT$1273=BT1022)*($K$9:$K$1273&gt;K1022)))</f>
        <v/>
      </c>
      <c r="K1022" s="108">
        <f>IFERROR(1-AVERAGE(X1022:Y1022),"")</f>
        <v/>
      </c>
      <c r="L1022" s="108">
        <f>1-X1022</f>
        <v/>
      </c>
      <c r="M1022" s="108">
        <f>1-Y1022</f>
        <v/>
      </c>
      <c r="N1022" s="108">
        <f>1-Z1022</f>
        <v/>
      </c>
      <c r="O1022" s="108">
        <f>1-AA1022</f>
        <v/>
      </c>
      <c r="P1022" s="108">
        <f>1-AB1022</f>
        <v/>
      </c>
      <c r="Q1022" s="108" t="n"/>
      <c r="R1022" s="108" t="n"/>
      <c r="S1022" s="108">
        <f>1-AE1022</f>
        <v/>
      </c>
      <c r="T1022" s="108">
        <f>1-AF1022</f>
        <v/>
      </c>
      <c r="U1022" s="108">
        <f>1-AG1022</f>
        <v/>
      </c>
      <c r="V1022" s="108">
        <f>1-AH1022</f>
        <v/>
      </c>
      <c r="W1022" s="108">
        <f>1-AI1022</f>
        <v/>
      </c>
      <c r="X1022" s="108">
        <f>ABS(AJ1022-AJ$1)</f>
        <v/>
      </c>
      <c r="Y1022" s="108">
        <f>AVERAGE(Z1022:AB1022)</f>
        <v/>
      </c>
      <c r="Z1022" s="108">
        <f>ABS(AL1022-AL$1)</f>
        <v/>
      </c>
      <c r="AA1022" s="108">
        <f>ABS(AM1022-AM$1)</f>
        <v/>
      </c>
      <c r="AB1022" s="108">
        <f>ABS(AN1022-AN$1)</f>
        <v/>
      </c>
      <c r="AC1022" s="108" t="n"/>
      <c r="AD1022" s="108" t="n"/>
      <c r="AE1022" s="108">
        <f>ABS(AQ$1-AQ1022)</f>
        <v/>
      </c>
      <c r="AF1022" s="108">
        <f>ABS(AR$1-AR1022)</f>
        <v/>
      </c>
      <c r="AG1022" s="108">
        <f>ABS(AS$1-AS1022)</f>
        <v/>
      </c>
      <c r="AH1022" s="108">
        <f>ABS(AT$1-AT1022)</f>
        <v/>
      </c>
      <c r="AI1022" s="108">
        <f>ABS(AU$1-AU1022)</f>
        <v/>
      </c>
      <c r="AJ1022" s="108">
        <f>(AV1022-Driver!$K$179)/(Driver!$L$179-Driver!$K$179)</f>
        <v/>
      </c>
      <c r="AK1022" s="108">
        <f>(AW1022-Driver!$K$180)/(Driver!$L$180-Driver!$K$180)</f>
        <v/>
      </c>
      <c r="AL1022" s="108">
        <f>(AX1022-Driver!$K$181)/(Driver!$L$181-Driver!$K$181)</f>
        <v/>
      </c>
      <c r="AM1022" s="108">
        <f>(AY1022-Driver!$K$182)/(Driver!$L$182-Driver!$K$182)</f>
        <v/>
      </c>
      <c r="AN1022" s="108">
        <f>(AZ1022-Driver!$K$183)/(Driver!$L$183-Driver!$K$183)</f>
        <v/>
      </c>
      <c r="AO1022" s="108" t="n"/>
      <c r="AP1022" s="108" t="n"/>
      <c r="AQ1022" s="108">
        <f>(BC1022-Driver!$K$188)/(Driver!$L$188-Driver!$K$188)</f>
        <v/>
      </c>
      <c r="AR1022" s="108">
        <f>MIN((BD1022-Driver!$K$189)/(Driver!$L$189-Driver!$K$189),100%)</f>
        <v/>
      </c>
      <c r="AS1022" s="108">
        <f>(BE1022-Driver!$K$190)/(Driver!$L$190-Driver!$K$190)</f>
        <v/>
      </c>
      <c r="AT1022" s="108">
        <f>(BF1022-Driver!$K$191)/(Driver!$L$191-Driver!$K$191)</f>
        <v/>
      </c>
      <c r="AU1022" s="108">
        <f>(BG1022-Driver!$K$192)/(Driver!$L$192-Driver!$K$192)</f>
        <v/>
      </c>
      <c r="AV1022" s="105">
        <f>IFERROR(BM1022*BJ1022^1/4,"")</f>
        <v/>
      </c>
      <c r="AW1022" s="105">
        <f>IFERROR(SUM(AX1022:AZ1022),"")</f>
        <v/>
      </c>
      <c r="AX1022" s="105">
        <f>IFERROR(BH1022,"")</f>
        <v/>
      </c>
      <c r="AY1022" s="105">
        <f>IFERROR(Driver!$K$19/Data!BH1022/Data!BI1022*Data!BK1022*Data!BL1022,"")</f>
        <v/>
      </c>
      <c r="AZ1022" s="105">
        <f>IFERROR(BI1022*BN1022,"")</f>
        <v/>
      </c>
      <c r="BA1022" s="105" t="n"/>
      <c r="BB1022" s="105" t="n"/>
      <c r="BC1022" s="105">
        <f>IFERROR(BI1022*BN1022*BK1022/BJ1022^(1/2),"")</f>
        <v/>
      </c>
      <c r="BD1022" s="105">
        <f>IFERROR(BH1022*BM1022*BL1022/BJ1022/BK1022,"")</f>
        <v/>
      </c>
      <c r="BE1022" s="105">
        <f>IFERROR(MIN(BI1022/BQ1022/BP1022/BO1022/BH1022,$BE$1),"")</f>
        <v/>
      </c>
      <c r="BF1022" s="105">
        <f>IFERROR(BJ1022*BO1022*BP1022/BK1022,"")</f>
        <v/>
      </c>
      <c r="BG1022" s="105">
        <f>IFERROR(1/BM1022/BH1022*BQ1022,"")</f>
        <v/>
      </c>
      <c r="BH1022" s="102">
        <f>MAX((CE1022-Driver!$F$200)/(Driver!$G$200-Driver!$F$200)*$BI$1,1)</f>
        <v/>
      </c>
      <c r="BI1022" s="102">
        <f>MAX($BI$1*(BY1022-Driver!$F$201)/(Driver!$G$201-Driver!$F$201),1)</f>
        <v/>
      </c>
      <c r="BJ1022" s="102">
        <f>(CB1022-Driver!$F$206)/(Driver!$G$206-Driver!$F$206)*$BI$1</f>
        <v/>
      </c>
      <c r="BK1022" s="102">
        <f>(CD1022-Driver!$F$203)/(Driver!$G$203-Driver!$F$203)*$BI$1</f>
        <v/>
      </c>
      <c r="BL1022" s="102">
        <f>MAX((CR1022-Driver!$F$202)/(Driver!$G$202-Driver!$F$202)*$BI$1,1)</f>
        <v/>
      </c>
      <c r="BM1022" s="102">
        <f>MAX((CH1022-Driver!$F$204)/(Driver!$G$204-Driver!$F$204)*$BI$1,1)</f>
        <v/>
      </c>
      <c r="BN1022" s="102">
        <f>(CI1022-Driver!$F$205)/(Driver!$G$205-Driver!$F$205)*$BI$1</f>
        <v/>
      </c>
      <c r="BO1022" s="102">
        <f>(CK1022-Driver!$F$207)/(Driver!$G$207-Driver!$F$207)*$BI$1</f>
        <v/>
      </c>
      <c r="BP1022" s="102">
        <f>(CM1022-Driver!$F$208)/(Driver!$G$208-Driver!$F$208)*$BI$1</f>
        <v/>
      </c>
      <c r="BQ1022" s="102">
        <f>(CL1022-Driver!$F$209)/(Driver!$G$209-Driver!$F$209)*$BI$1</f>
        <v/>
      </c>
      <c r="BR1022" s="40" t="inlineStr">
        <is>
          <t>21/22</t>
        </is>
      </c>
      <c r="BS1022" s="10" t="inlineStr">
        <is>
          <t xml:space="preserve"> Atomic</t>
        </is>
      </c>
      <c r="BT1022" s="11" t="inlineStr">
        <is>
          <t>Cloud C12 Servo</t>
        </is>
      </c>
      <c r="BU1022" s="13" t="n">
        <v>161</v>
      </c>
      <c r="BV1022" s="11" t="inlineStr">
        <is>
          <t xml:space="preserve"> Women's</t>
        </is>
      </c>
      <c r="BW1022" s="13" t="n">
        <v>161</v>
      </c>
      <c r="BX1022" s="13" t="n">
        <v>160.3</v>
      </c>
      <c r="BY1022" s="13" t="n">
        <v>141</v>
      </c>
      <c r="BZ1022" s="13" t="n">
        <v>147</v>
      </c>
      <c r="CA1022" s="13" t="n">
        <v>110</v>
      </c>
      <c r="CB1022" s="13" t="n">
        <v>69</v>
      </c>
      <c r="CC1022" s="13" t="n">
        <v>99</v>
      </c>
      <c r="CD1022" s="13" t="n">
        <v>14.5</v>
      </c>
      <c r="CE1022" s="13" t="n">
        <v>1803</v>
      </c>
      <c r="CF1022" s="13" t="n">
        <v>0.73</v>
      </c>
      <c r="CG1022" s="13" t="n">
        <v>1319</v>
      </c>
      <c r="CH1022" s="13" t="n">
        <v>163</v>
      </c>
      <c r="CI1022" s="13" t="n">
        <v>56</v>
      </c>
      <c r="CJ1022" s="13" t="n">
        <v>38</v>
      </c>
      <c r="CK1022" s="13" t="n">
        <v>145</v>
      </c>
      <c r="CL1022" s="13" t="n">
        <v>4</v>
      </c>
      <c r="CM1022" s="13" t="n">
        <v>50</v>
      </c>
      <c r="CN1022" s="13" t="n">
        <v>0.097</v>
      </c>
      <c r="CO1022" s="13" t="n">
        <v>80</v>
      </c>
      <c r="CP1022" s="13" t="n">
        <v>53</v>
      </c>
      <c r="CQ1022" s="13" t="n">
        <v>65</v>
      </c>
      <c r="CR1022" s="13" t="n">
        <v>8</v>
      </c>
      <c r="CS1022" s="13" t="n">
        <v>12.5</v>
      </c>
      <c r="CT1022" s="11" t="inlineStr">
        <is>
          <t xml:space="preserve"> On-Piste Carving</t>
        </is>
      </c>
      <c r="CU1022" s="13" t="n"/>
      <c r="CV1022" s="13" t="n"/>
      <c r="CW1022" s="13" t="n"/>
      <c r="CX1022">
        <f>INDEX('Data_Price '!AG$2:AG$1266,MATCH(Data!$DN1022,'Data_Price '!$AT$2:$AT$1266,0))</f>
        <v/>
      </c>
      <c r="CY1022">
        <f>INDEX('Data_Price '!AH$2:AH$1266,MATCH(Data!$DN1022,'Data_Price '!$AT$2:$AT$1266,0))</f>
        <v/>
      </c>
      <c r="CZ1022">
        <f>INDEX('Data_Price '!AI$2:AI$1266,MATCH(Data!$DN1022,'Data_Price '!$AT$2:$AT$1266,0))</f>
        <v/>
      </c>
      <c r="DA1022">
        <f>INDEX('Data_Price '!AJ$2:AJ$1266,MATCH(Data!$DN1022,'Data_Price '!$AT$2:$AT$1266,0))</f>
        <v/>
      </c>
      <c r="DB1022">
        <f>INDEX('Data_Price '!AK$2:AK$1266,MATCH(Data!$DN1022,'Data_Price '!$AT$2:$AT$1266,0))</f>
        <v/>
      </c>
      <c r="DC1022">
        <f>INDEX('Data_Price '!AL$2:AL$1266,MATCH(Data!$DN1022,'Data_Price '!$AT$2:$AT$1266,0))</f>
        <v/>
      </c>
      <c r="DD1022">
        <f>INDEX('Data_Price '!AM$2:AM$1266,MATCH(Data!$DN1022,'Data_Price '!$AT$2:$AT$1266,0))</f>
        <v/>
      </c>
      <c r="DE1022">
        <f>INDEX('Data_Price '!AN$2:AN$1266,MATCH(Data!$DN1022,'Data_Price '!$AT$2:$AT$1266,0))</f>
        <v/>
      </c>
      <c r="DF1022">
        <f>INDEX('Data_Price '!AO$2:AO$1266,MATCH(Data!$DN1022,'Data_Price '!$AT$2:$AT$1266,0))</f>
        <v/>
      </c>
      <c r="DG1022">
        <f>INDEX('Data_Price '!AP$2:AP$1266,MATCH(Data!$DN1022,'Data_Price '!$AT$2:$AT$1266,0))</f>
        <v/>
      </c>
      <c r="DH1022">
        <f>INDEX('Data_Price '!AQ$2:AQ$1266,MATCH(Data!$DN1022,'Data_Price '!$AT$2:$AT$1266,0))</f>
        <v/>
      </c>
      <c r="DI1022">
        <f>INDEX('Data_Price '!AR$2:AR$1266,MATCH(Data!$DN1022,'Data_Price '!$AT$2:$AT$1266,0))</f>
        <v/>
      </c>
      <c r="DJ1022" s="138">
        <f>DA1022</f>
        <v/>
      </c>
      <c r="DK1022" s="138">
        <f>DE1022</f>
        <v/>
      </c>
      <c r="DL1022" s="138">
        <f>DI1022</f>
        <v/>
      </c>
      <c r="DM1022" s="303">
        <f>IF(LEFT(BT1022,1)=" ",RIGHT(BT1022,LEN(BT1022)-1),BT1022)</f>
        <v/>
      </c>
      <c r="DN1022" s="138">
        <f>_xlfn.CONCAT(BS1022,DM1022,BU1022,BV1022)</f>
        <v/>
      </c>
      <c r="DO1022" s="307" t="n"/>
    </row>
    <row r="1023" ht="15.6" customHeight="1" s="184">
      <c r="B1023" s="303">
        <f t="array" ref="B1023">IF(OR(ISERROR(K1023:P1023)),FALSE,TRUE)</f>
        <v/>
      </c>
      <c r="C1023" s="60">
        <f>OR(BR1023=Driver!$G$50,Data!BR513=Driver!$H$50)</f>
        <v/>
      </c>
      <c r="D1023" s="60">
        <f>OR(BV1023=Driver!$G$51,BV1023=Driver!$H$51)</f>
        <v/>
      </c>
      <c r="E1023" s="60">
        <f>AND(BX1023&gt;Driver!$F$54,BX1023&lt;Driver!$G$54)</f>
        <v/>
      </c>
      <c r="F1023" s="60">
        <f>CL1023&gt;Driver!$F$56</f>
        <v/>
      </c>
      <c r="G1023" s="60">
        <f>AND(CB1023&gt;Driver!$F$55,CB1023&lt;Driver!$G$55)</f>
        <v/>
      </c>
      <c r="H1023" s="60">
        <f>AND(B1023:G1023)</f>
        <v/>
      </c>
      <c r="I1023" s="60">
        <f>COUNTIFS($H$9:$H$1273,TRUE,$BT$9:$BT$1273,BT1023)</f>
        <v/>
      </c>
      <c r="J1023" s="60">
        <f t="array" ref="J1023">NOT(OR(($H$9:$H$1273=TRUE)*($I$9:$I$1273&gt;0)*($BT$9:$BT$1273=BT1023)*($K$9:$K$1273&gt;K1023)))</f>
        <v/>
      </c>
      <c r="K1023" s="108">
        <f>IFERROR(1-AVERAGE(X1023:Y1023),"")</f>
        <v/>
      </c>
      <c r="L1023" s="108">
        <f>1-X1023</f>
        <v/>
      </c>
      <c r="M1023" s="108">
        <f>1-Y1023</f>
        <v/>
      </c>
      <c r="N1023" s="108">
        <f>1-Z1023</f>
        <v/>
      </c>
      <c r="O1023" s="108">
        <f>1-AA1023</f>
        <v/>
      </c>
      <c r="P1023" s="108">
        <f>1-AB1023</f>
        <v/>
      </c>
      <c r="Q1023" s="108" t="n"/>
      <c r="R1023" s="108" t="n"/>
      <c r="S1023" s="108">
        <f>1-AE1023</f>
        <v/>
      </c>
      <c r="T1023" s="108">
        <f>1-AF1023</f>
        <v/>
      </c>
      <c r="U1023" s="108">
        <f>1-AG1023</f>
        <v/>
      </c>
      <c r="V1023" s="108">
        <f>1-AH1023</f>
        <v/>
      </c>
      <c r="W1023" s="108">
        <f>1-AI1023</f>
        <v/>
      </c>
      <c r="X1023" s="108">
        <f>ABS(AJ1023-AJ$1)</f>
        <v/>
      </c>
      <c r="Y1023" s="108">
        <f>AVERAGE(Z1023:AB1023)</f>
        <v/>
      </c>
      <c r="Z1023" s="108">
        <f>ABS(AL1023-AL$1)</f>
        <v/>
      </c>
      <c r="AA1023" s="108">
        <f>ABS(AM1023-AM$1)</f>
        <v/>
      </c>
      <c r="AB1023" s="108">
        <f>ABS(AN1023-AN$1)</f>
        <v/>
      </c>
      <c r="AC1023" s="108" t="n"/>
      <c r="AD1023" s="108" t="n"/>
      <c r="AE1023" s="108">
        <f>ABS(AQ$1-AQ1023)</f>
        <v/>
      </c>
      <c r="AF1023" s="108">
        <f>ABS(AR$1-AR1023)</f>
        <v/>
      </c>
      <c r="AG1023" s="108">
        <f>ABS(AS$1-AS1023)</f>
        <v/>
      </c>
      <c r="AH1023" s="108">
        <f>ABS(AT$1-AT1023)</f>
        <v/>
      </c>
      <c r="AI1023" s="108">
        <f>ABS(AU$1-AU1023)</f>
        <v/>
      </c>
      <c r="AJ1023" s="108">
        <f>(AV1023-Driver!$K$179)/(Driver!$L$179-Driver!$K$179)</f>
        <v/>
      </c>
      <c r="AK1023" s="108">
        <f>(AW1023-Driver!$K$180)/(Driver!$L$180-Driver!$K$180)</f>
        <v/>
      </c>
      <c r="AL1023" s="108">
        <f>(AX1023-Driver!$K$181)/(Driver!$L$181-Driver!$K$181)</f>
        <v/>
      </c>
      <c r="AM1023" s="108">
        <f>(AY1023-Driver!$K$182)/(Driver!$L$182-Driver!$K$182)</f>
        <v/>
      </c>
      <c r="AN1023" s="108">
        <f>(AZ1023-Driver!$K$183)/(Driver!$L$183-Driver!$K$183)</f>
        <v/>
      </c>
      <c r="AO1023" s="108" t="n"/>
      <c r="AP1023" s="108" t="n"/>
      <c r="AQ1023" s="108">
        <f>(BC1023-Driver!$K$188)/(Driver!$L$188-Driver!$K$188)</f>
        <v/>
      </c>
      <c r="AR1023" s="108">
        <f>MIN((BD1023-Driver!$K$189)/(Driver!$L$189-Driver!$K$189),100%)</f>
        <v/>
      </c>
      <c r="AS1023" s="108">
        <f>(BE1023-Driver!$K$190)/(Driver!$L$190-Driver!$K$190)</f>
        <v/>
      </c>
      <c r="AT1023" s="108">
        <f>(BF1023-Driver!$K$191)/(Driver!$L$191-Driver!$K$191)</f>
        <v/>
      </c>
      <c r="AU1023" s="108">
        <f>(BG1023-Driver!$K$192)/(Driver!$L$192-Driver!$K$192)</f>
        <v/>
      </c>
      <c r="AV1023" s="105">
        <f>IFERROR(BM1023*BJ1023^1/4,"")</f>
        <v/>
      </c>
      <c r="AW1023" s="105">
        <f>IFERROR(SUM(AX1023:AZ1023),"")</f>
        <v/>
      </c>
      <c r="AX1023" s="105">
        <f>IFERROR(BH1023,"")</f>
        <v/>
      </c>
      <c r="AY1023" s="105">
        <f>IFERROR(Driver!$K$19/Data!BH1023/Data!BI1023*Data!BK1023*Data!BL1023,"")</f>
        <v/>
      </c>
      <c r="AZ1023" s="105">
        <f>IFERROR(BI1023*BN1023,"")</f>
        <v/>
      </c>
      <c r="BA1023" s="105" t="n"/>
      <c r="BB1023" s="105" t="n"/>
      <c r="BC1023" s="105">
        <f>IFERROR(BI1023*BN1023*BK1023/BJ1023^(1/2),"")</f>
        <v/>
      </c>
      <c r="BD1023" s="105">
        <f>IFERROR(BH1023*BM1023*BL1023/BJ1023/BK1023,"")</f>
        <v/>
      </c>
      <c r="BE1023" s="105">
        <f>IFERROR(MIN(BI1023/BQ1023/BP1023/BO1023/BH1023,$BE$1),"")</f>
        <v/>
      </c>
      <c r="BF1023" s="105">
        <f>IFERROR(BJ1023*BO1023*BP1023/BK1023,"")</f>
        <v/>
      </c>
      <c r="BG1023" s="105">
        <f>IFERROR(1/BM1023/BH1023*BQ1023,"")</f>
        <v/>
      </c>
      <c r="BH1023" s="102">
        <f>MAX((CE1023-Driver!$F$200)/(Driver!$G$200-Driver!$F$200)*$BI$1,1)</f>
        <v/>
      </c>
      <c r="BI1023" s="102">
        <f>MAX($BI$1*(BY1023-Driver!$F$201)/(Driver!$G$201-Driver!$F$201),1)</f>
        <v/>
      </c>
      <c r="BJ1023" s="102">
        <f>(CB1023-Driver!$F$206)/(Driver!$G$206-Driver!$F$206)*$BI$1</f>
        <v/>
      </c>
      <c r="BK1023" s="102">
        <f>(CD1023-Driver!$F$203)/(Driver!$G$203-Driver!$F$203)*$BI$1</f>
        <v/>
      </c>
      <c r="BL1023" s="102">
        <f>MAX((CR1023-Driver!$F$202)/(Driver!$G$202-Driver!$F$202)*$BI$1,1)</f>
        <v/>
      </c>
      <c r="BM1023" s="102">
        <f>MAX((CH1023-Driver!$F$204)/(Driver!$G$204-Driver!$F$204)*$BI$1,1)</f>
        <v/>
      </c>
      <c r="BN1023" s="102">
        <f>(CI1023-Driver!$F$205)/(Driver!$G$205-Driver!$F$205)*$BI$1</f>
        <v/>
      </c>
      <c r="BO1023" s="102">
        <f>(CK1023-Driver!$F$207)/(Driver!$G$207-Driver!$F$207)*$BI$1</f>
        <v/>
      </c>
      <c r="BP1023" s="102">
        <f>(CM1023-Driver!$F$208)/(Driver!$G$208-Driver!$F$208)*$BI$1</f>
        <v/>
      </c>
      <c r="BQ1023" s="102">
        <f>(CL1023-Driver!$F$209)/(Driver!$G$209-Driver!$F$209)*$BI$1</f>
        <v/>
      </c>
      <c r="BR1023" s="40" t="inlineStr">
        <is>
          <t>21/22</t>
        </is>
      </c>
      <c r="BS1023" s="10" t="inlineStr">
        <is>
          <t xml:space="preserve"> Faction</t>
        </is>
      </c>
      <c r="BT1023" s="11" t="inlineStr">
        <is>
          <t>Dictator 2.0</t>
        </is>
      </c>
      <c r="BU1023" s="13" t="n">
        <v>179</v>
      </c>
      <c r="BV1023" s="11" t="inlineStr">
        <is>
          <t xml:space="preserve"> Unisex</t>
        </is>
      </c>
      <c r="BW1023" s="13" t="n">
        <v>179</v>
      </c>
      <c r="BX1023" s="13" t="n">
        <v>177.5</v>
      </c>
      <c r="BY1023" s="13" t="n">
        <v>135</v>
      </c>
      <c r="BZ1023" s="13" t="n">
        <v>151</v>
      </c>
      <c r="CA1023" s="13" t="n">
        <v>127</v>
      </c>
      <c r="CB1023" s="13" t="n">
        <v>96</v>
      </c>
      <c r="CC1023" s="13" t="n">
        <v>117</v>
      </c>
      <c r="CD1023" s="13" t="n">
        <v>19.6</v>
      </c>
      <c r="CE1023" s="13" t="n">
        <v>1844</v>
      </c>
      <c r="CF1023" s="13" t="n">
        <v>1.02</v>
      </c>
      <c r="CG1023" s="13" t="n">
        <v>1887</v>
      </c>
      <c r="CH1023" s="13" t="n">
        <v>241</v>
      </c>
      <c r="CI1023" s="13" t="n">
        <v>151</v>
      </c>
      <c r="CJ1023" s="13" t="n">
        <v>53</v>
      </c>
      <c r="CK1023" s="13" t="n">
        <v>259</v>
      </c>
      <c r="CL1023" s="13" t="n">
        <v>19</v>
      </c>
      <c r="CM1023" s="13" t="n">
        <v>171</v>
      </c>
      <c r="CN1023" s="13" t="n">
        <v>0.358</v>
      </c>
      <c r="CO1023" s="13" t="n">
        <v>165</v>
      </c>
      <c r="CP1023" s="13" t="n">
        <v>103</v>
      </c>
      <c r="CQ1023" s="13" t="n">
        <v>94</v>
      </c>
      <c r="CR1023" s="13" t="n">
        <v>9</v>
      </c>
      <c r="CS1023" s="13" t="n">
        <v>11.1</v>
      </c>
      <c r="CT1023" s="11" t="inlineStr">
        <is>
          <t xml:space="preserve"> Resort Freeride</t>
        </is>
      </c>
      <c r="CU1023" s="13" t="n"/>
      <c r="CV1023" s="13" t="n"/>
      <c r="CW1023" s="13" t="n"/>
      <c r="CX1023">
        <f>INDEX('Data_Price '!AG$2:AG$1266,MATCH(Data!$DN1023,'Data_Price '!$AT$2:$AT$1266,0))</f>
        <v/>
      </c>
      <c r="CY1023">
        <f>INDEX('Data_Price '!AH$2:AH$1266,MATCH(Data!$DN1023,'Data_Price '!$AT$2:$AT$1266,0))</f>
        <v/>
      </c>
      <c r="CZ1023">
        <f>INDEX('Data_Price '!AI$2:AI$1266,MATCH(Data!$DN1023,'Data_Price '!$AT$2:$AT$1266,0))</f>
        <v/>
      </c>
      <c r="DA1023">
        <f>INDEX('Data_Price '!AJ$2:AJ$1266,MATCH(Data!$DN1023,'Data_Price '!$AT$2:$AT$1266,0))</f>
        <v/>
      </c>
      <c r="DB1023">
        <f>INDEX('Data_Price '!AK$2:AK$1266,MATCH(Data!$DN1023,'Data_Price '!$AT$2:$AT$1266,0))</f>
        <v/>
      </c>
      <c r="DC1023">
        <f>INDEX('Data_Price '!AL$2:AL$1266,MATCH(Data!$DN1023,'Data_Price '!$AT$2:$AT$1266,0))</f>
        <v/>
      </c>
      <c r="DD1023">
        <f>INDEX('Data_Price '!AM$2:AM$1266,MATCH(Data!$DN1023,'Data_Price '!$AT$2:$AT$1266,0))</f>
        <v/>
      </c>
      <c r="DE1023">
        <f>INDEX('Data_Price '!AN$2:AN$1266,MATCH(Data!$DN1023,'Data_Price '!$AT$2:$AT$1266,0))</f>
        <v/>
      </c>
      <c r="DF1023">
        <f>INDEX('Data_Price '!AO$2:AO$1266,MATCH(Data!$DN1023,'Data_Price '!$AT$2:$AT$1266,0))</f>
        <v/>
      </c>
      <c r="DG1023">
        <f>INDEX('Data_Price '!AP$2:AP$1266,MATCH(Data!$DN1023,'Data_Price '!$AT$2:$AT$1266,0))</f>
        <v/>
      </c>
      <c r="DH1023">
        <f>INDEX('Data_Price '!AQ$2:AQ$1266,MATCH(Data!$DN1023,'Data_Price '!$AT$2:$AT$1266,0))</f>
        <v/>
      </c>
      <c r="DI1023">
        <f>INDEX('Data_Price '!AR$2:AR$1266,MATCH(Data!$DN1023,'Data_Price '!$AT$2:$AT$1266,0))</f>
        <v/>
      </c>
      <c r="DJ1023" s="138">
        <f>DA1023</f>
        <v/>
      </c>
      <c r="DK1023" s="138">
        <f>DE1023</f>
        <v/>
      </c>
      <c r="DL1023" s="138">
        <f>DI1023</f>
        <v/>
      </c>
      <c r="DM1023" s="303">
        <f>IF(LEFT(BT1023,1)=" ",RIGHT(BT1023,LEN(BT1023)-1),BT1023)</f>
        <v/>
      </c>
      <c r="DN1023" s="138">
        <f>_xlfn.CONCAT(BS1023,DM1023,BU1023,BV1023)</f>
        <v/>
      </c>
      <c r="DO1023" s="307" t="inlineStr">
        <is>
          <t>https://images.evo.com/imgp/250/208645/839912/faction-dictator-2-0-skis-2022-.jpg</t>
        </is>
      </c>
    </row>
    <row r="1024" ht="15.6" customHeight="1" s="184">
      <c r="B1024" s="303">
        <f t="array" ref="B1024">IF(OR(ISERROR(K1024:P1024)),FALSE,TRUE)</f>
        <v/>
      </c>
      <c r="C1024" s="60">
        <f>OR(BR1024=Driver!$G$50,Data!BR524=Driver!$H$50)</f>
        <v/>
      </c>
      <c r="D1024" s="60">
        <f>OR(BV1024=Driver!$G$51,BV1024=Driver!$H$51)</f>
        <v/>
      </c>
      <c r="E1024" s="60">
        <f>AND(BX1024&gt;Driver!$F$54,BX1024&lt;Driver!$G$54)</f>
        <v/>
      </c>
      <c r="F1024" s="60">
        <f>CL1024&gt;Driver!$F$56</f>
        <v/>
      </c>
      <c r="G1024" s="60">
        <f>AND(CB1024&gt;Driver!$F$55,CB1024&lt;Driver!$G$55)</f>
        <v/>
      </c>
      <c r="H1024" s="60">
        <f>AND(B1024:G1024)</f>
        <v/>
      </c>
      <c r="I1024" s="60">
        <f>COUNTIFS($H$9:$H$1273,TRUE,$BT$9:$BT$1273,BT1024)</f>
        <v/>
      </c>
      <c r="J1024" s="60">
        <f t="array" ref="J1024">NOT(OR(($H$9:$H$1273=TRUE)*($I$9:$I$1273&gt;0)*($BT$9:$BT$1273=BT1024)*($K$9:$K$1273&gt;K1024)))</f>
        <v/>
      </c>
      <c r="K1024" s="108">
        <f>IFERROR(1-AVERAGE(X1024:Y1024),"")</f>
        <v/>
      </c>
      <c r="L1024" s="108">
        <f>1-X1024</f>
        <v/>
      </c>
      <c r="M1024" s="108">
        <f>1-Y1024</f>
        <v/>
      </c>
      <c r="N1024" s="108">
        <f>1-Z1024</f>
        <v/>
      </c>
      <c r="O1024" s="108">
        <f>1-AA1024</f>
        <v/>
      </c>
      <c r="P1024" s="108">
        <f>1-AB1024</f>
        <v/>
      </c>
      <c r="Q1024" s="108" t="n"/>
      <c r="R1024" s="108" t="n"/>
      <c r="S1024" s="108">
        <f>1-AE1024</f>
        <v/>
      </c>
      <c r="T1024" s="108">
        <f>1-AF1024</f>
        <v/>
      </c>
      <c r="U1024" s="108">
        <f>1-AG1024</f>
        <v/>
      </c>
      <c r="V1024" s="108">
        <f>1-AH1024</f>
        <v/>
      </c>
      <c r="W1024" s="108">
        <f>1-AI1024</f>
        <v/>
      </c>
      <c r="X1024" s="108">
        <f>ABS(AJ1024-AJ$1)</f>
        <v/>
      </c>
      <c r="Y1024" s="108">
        <f>AVERAGE(Z1024:AB1024)</f>
        <v/>
      </c>
      <c r="Z1024" s="108">
        <f>ABS(AL1024-AL$1)</f>
        <v/>
      </c>
      <c r="AA1024" s="108">
        <f>ABS(AM1024-AM$1)</f>
        <v/>
      </c>
      <c r="AB1024" s="108">
        <f>ABS(AN1024-AN$1)</f>
        <v/>
      </c>
      <c r="AC1024" s="108" t="n"/>
      <c r="AD1024" s="108" t="n"/>
      <c r="AE1024" s="108">
        <f>ABS(AQ$1-AQ1024)</f>
        <v/>
      </c>
      <c r="AF1024" s="108">
        <f>ABS(AR$1-AR1024)</f>
        <v/>
      </c>
      <c r="AG1024" s="108">
        <f>ABS(AS$1-AS1024)</f>
        <v/>
      </c>
      <c r="AH1024" s="108">
        <f>ABS(AT$1-AT1024)</f>
        <v/>
      </c>
      <c r="AI1024" s="108">
        <f>ABS(AU$1-AU1024)</f>
        <v/>
      </c>
      <c r="AJ1024" s="108">
        <f>(AV1024-Driver!$K$179)/(Driver!$L$179-Driver!$K$179)</f>
        <v/>
      </c>
      <c r="AK1024" s="108">
        <f>(AW1024-Driver!$K$180)/(Driver!$L$180-Driver!$K$180)</f>
        <v/>
      </c>
      <c r="AL1024" s="108">
        <f>(AX1024-Driver!$K$181)/(Driver!$L$181-Driver!$K$181)</f>
        <v/>
      </c>
      <c r="AM1024" s="108">
        <f>(AY1024-Driver!$K$182)/(Driver!$L$182-Driver!$K$182)</f>
        <v/>
      </c>
      <c r="AN1024" s="108">
        <f>(AZ1024-Driver!$K$183)/(Driver!$L$183-Driver!$K$183)</f>
        <v/>
      </c>
      <c r="AO1024" s="108" t="n"/>
      <c r="AP1024" s="108" t="n"/>
      <c r="AQ1024" s="108">
        <f>(BC1024-Driver!$K$188)/(Driver!$L$188-Driver!$K$188)</f>
        <v/>
      </c>
      <c r="AR1024" s="108">
        <f>MIN((BD1024-Driver!$K$189)/(Driver!$L$189-Driver!$K$189),100%)</f>
        <v/>
      </c>
      <c r="AS1024" s="108">
        <f>(BE1024-Driver!$K$190)/(Driver!$L$190-Driver!$K$190)</f>
        <v/>
      </c>
      <c r="AT1024" s="108">
        <f>(BF1024-Driver!$K$191)/(Driver!$L$191-Driver!$K$191)</f>
        <v/>
      </c>
      <c r="AU1024" s="108">
        <f>(BG1024-Driver!$K$192)/(Driver!$L$192-Driver!$K$192)</f>
        <v/>
      </c>
      <c r="AV1024" s="105">
        <f>IFERROR(BM1024*BJ1024^1/4,"")</f>
        <v/>
      </c>
      <c r="AW1024" s="105">
        <f>IFERROR(SUM(AX1024:AZ1024),"")</f>
        <v/>
      </c>
      <c r="AX1024" s="105">
        <f>IFERROR(BH1024,"")</f>
        <v/>
      </c>
      <c r="AY1024" s="105">
        <f>IFERROR(Driver!$K$19/Data!BH1024/Data!BI1024*Data!BK1024*Data!BL1024,"")</f>
        <v/>
      </c>
      <c r="AZ1024" s="105">
        <f>IFERROR(BI1024*BN1024,"")</f>
        <v/>
      </c>
      <c r="BA1024" s="105" t="n"/>
      <c r="BB1024" s="105" t="n"/>
      <c r="BC1024" s="105">
        <f>IFERROR(BI1024*BN1024*BK1024/BJ1024^(1/2),"")</f>
        <v/>
      </c>
      <c r="BD1024" s="105">
        <f>IFERROR(BH1024*BM1024*BL1024/BJ1024/BK1024,"")</f>
        <v/>
      </c>
      <c r="BE1024" s="105">
        <f>IFERROR(MIN(BI1024/BQ1024/BP1024/BO1024/BH1024,$BE$1),"")</f>
        <v/>
      </c>
      <c r="BF1024" s="105">
        <f>IFERROR(BJ1024*BO1024*BP1024/BK1024,"")</f>
        <v/>
      </c>
      <c r="BG1024" s="105">
        <f>IFERROR(1/BM1024/BH1024*BQ1024,"")</f>
        <v/>
      </c>
      <c r="BH1024" s="102">
        <f>MAX((CE1024-Driver!$F$200)/(Driver!$G$200-Driver!$F$200)*$BI$1,1)</f>
        <v/>
      </c>
      <c r="BI1024" s="102">
        <f>MAX($BI$1*(BY1024-Driver!$F$201)/(Driver!$G$201-Driver!$F$201),1)</f>
        <v/>
      </c>
      <c r="BJ1024" s="102">
        <f>(CB1024-Driver!$F$206)/(Driver!$G$206-Driver!$F$206)*$BI$1</f>
        <v/>
      </c>
      <c r="BK1024" s="102">
        <f>(CD1024-Driver!$F$203)/(Driver!$G$203-Driver!$F$203)*$BI$1</f>
        <v/>
      </c>
      <c r="BL1024" s="102">
        <f>MAX((CR1024-Driver!$F$202)/(Driver!$G$202-Driver!$F$202)*$BI$1,1)</f>
        <v/>
      </c>
      <c r="BM1024" s="102">
        <f>MAX((CH1024-Driver!$F$204)/(Driver!$G$204-Driver!$F$204)*$BI$1,1)</f>
        <v/>
      </c>
      <c r="BN1024" s="102">
        <f>(CI1024-Driver!$F$205)/(Driver!$G$205-Driver!$F$205)*$BI$1</f>
        <v/>
      </c>
      <c r="BO1024" s="102">
        <f>(CK1024-Driver!$F$207)/(Driver!$G$207-Driver!$F$207)*$BI$1</f>
        <v/>
      </c>
      <c r="BP1024" s="102">
        <f>(CM1024-Driver!$F$208)/(Driver!$G$208-Driver!$F$208)*$BI$1</f>
        <v/>
      </c>
      <c r="BQ1024" s="102">
        <f>(CL1024-Driver!$F$209)/(Driver!$G$209-Driver!$F$209)*$BI$1</f>
        <v/>
      </c>
      <c r="BR1024" s="40" t="inlineStr">
        <is>
          <t>21/22</t>
        </is>
      </c>
      <c r="BS1024" s="10" t="inlineStr">
        <is>
          <t xml:space="preserve"> Faction</t>
        </is>
      </c>
      <c r="BT1024" s="11" t="inlineStr">
        <is>
          <t>Prodigy 0.0</t>
        </is>
      </c>
      <c r="BU1024" s="13" t="n">
        <v>157</v>
      </c>
      <c r="BV1024" s="11" t="inlineStr">
        <is>
          <t xml:space="preserve"> Unisex</t>
        </is>
      </c>
      <c r="BW1024" s="13" t="n">
        <v>157</v>
      </c>
      <c r="BX1024" s="13" t="n">
        <v>155.2</v>
      </c>
      <c r="BY1024" s="13" t="n">
        <v>108</v>
      </c>
      <c r="BZ1024" s="13" t="n">
        <v>130</v>
      </c>
      <c r="CA1024" s="13" t="n">
        <v>116</v>
      </c>
      <c r="CB1024" s="13" t="n">
        <v>84</v>
      </c>
      <c r="CC1024" s="13" t="n">
        <v>108</v>
      </c>
      <c r="CD1024" s="13" t="n">
        <v>13.3</v>
      </c>
      <c r="CE1024" s="13" t="n">
        <v>1553</v>
      </c>
      <c r="CF1024" s="13" t="n">
        <v>0.95</v>
      </c>
      <c r="CG1024" s="13" t="n">
        <v>1480</v>
      </c>
      <c r="CH1024" s="13" t="n">
        <v>127</v>
      </c>
      <c r="CI1024" s="13" t="n">
        <v>59</v>
      </c>
      <c r="CJ1024" s="13" t="n">
        <v>47</v>
      </c>
      <c r="CK1024" s="13" t="n">
        <v>262</v>
      </c>
      <c r="CL1024" s="13" t="n">
        <v>36</v>
      </c>
      <c r="CM1024" s="13" t="n">
        <v>208</v>
      </c>
      <c r="CN1024" s="13" t="n">
        <v>0.763</v>
      </c>
      <c r="CO1024" s="13" t="n">
        <v>131</v>
      </c>
      <c r="CP1024" s="13" t="n">
        <v>120</v>
      </c>
      <c r="CQ1024" s="13" t="n">
        <v>131</v>
      </c>
      <c r="CR1024" s="13" t="n">
        <v>6</v>
      </c>
      <c r="CS1024" s="13" t="n">
        <v>6.4</v>
      </c>
      <c r="CT1024" s="11" t="inlineStr">
        <is>
          <t xml:space="preserve"> Resort Freeride</t>
        </is>
      </c>
      <c r="CU1024" s="13" t="n"/>
      <c r="CV1024" s="13" t="n"/>
      <c r="CW1024" s="13" t="n"/>
      <c r="CX1024">
        <f>INDEX('Data_Price '!AG$2:AG$1266,MATCH(Data!$DN1024,'Data_Price '!$AT$2:$AT$1266,0))</f>
        <v/>
      </c>
      <c r="CY1024">
        <f>INDEX('Data_Price '!AH$2:AH$1266,MATCH(Data!$DN1024,'Data_Price '!$AT$2:$AT$1266,0))</f>
        <v/>
      </c>
      <c r="CZ1024">
        <f>INDEX('Data_Price '!AI$2:AI$1266,MATCH(Data!$DN1024,'Data_Price '!$AT$2:$AT$1266,0))</f>
        <v/>
      </c>
      <c r="DA1024">
        <f>INDEX('Data_Price '!AJ$2:AJ$1266,MATCH(Data!$DN1024,'Data_Price '!$AT$2:$AT$1266,0))</f>
        <v/>
      </c>
      <c r="DB1024">
        <f>INDEX('Data_Price '!AK$2:AK$1266,MATCH(Data!$DN1024,'Data_Price '!$AT$2:$AT$1266,0))</f>
        <v/>
      </c>
      <c r="DC1024">
        <f>INDEX('Data_Price '!AL$2:AL$1266,MATCH(Data!$DN1024,'Data_Price '!$AT$2:$AT$1266,0))</f>
        <v/>
      </c>
      <c r="DD1024">
        <f>INDEX('Data_Price '!AM$2:AM$1266,MATCH(Data!$DN1024,'Data_Price '!$AT$2:$AT$1266,0))</f>
        <v/>
      </c>
      <c r="DE1024">
        <f>INDEX('Data_Price '!AN$2:AN$1266,MATCH(Data!$DN1024,'Data_Price '!$AT$2:$AT$1266,0))</f>
        <v/>
      </c>
      <c r="DF1024">
        <f>INDEX('Data_Price '!AO$2:AO$1266,MATCH(Data!$DN1024,'Data_Price '!$AT$2:$AT$1266,0))</f>
        <v/>
      </c>
      <c r="DG1024">
        <f>INDEX('Data_Price '!AP$2:AP$1266,MATCH(Data!$DN1024,'Data_Price '!$AT$2:$AT$1266,0))</f>
        <v/>
      </c>
      <c r="DH1024">
        <f>INDEX('Data_Price '!AQ$2:AQ$1266,MATCH(Data!$DN1024,'Data_Price '!$AT$2:$AT$1266,0))</f>
        <v/>
      </c>
      <c r="DI1024">
        <f>INDEX('Data_Price '!AR$2:AR$1266,MATCH(Data!$DN1024,'Data_Price '!$AT$2:$AT$1266,0))</f>
        <v/>
      </c>
      <c r="DJ1024" s="138">
        <f>DA1024</f>
        <v/>
      </c>
      <c r="DK1024" s="138">
        <f>DE1024</f>
        <v/>
      </c>
      <c r="DL1024" s="138">
        <f>DI1024</f>
        <v/>
      </c>
      <c r="DM1024" s="303">
        <f>IF(LEFT(BT1024,1)=" ",RIGHT(BT1024,LEN(BT1024)-1),BT1024)</f>
        <v/>
      </c>
      <c r="DN1024" s="138">
        <f>_xlfn.CONCAT(BS1024,DM1024,BU1024,BV1024)</f>
        <v/>
      </c>
      <c r="DO1024" s="307" t="n"/>
    </row>
    <row r="1025" ht="15.6" customHeight="1" s="184">
      <c r="B1025" s="303">
        <f t="array" ref="B1025">IF(OR(ISERROR(K1025:P1025)),FALSE,TRUE)</f>
        <v/>
      </c>
      <c r="C1025" s="60">
        <f>OR(BR1025=Driver!$G$50,Data!BR138=Driver!$H$50)</f>
        <v/>
      </c>
      <c r="D1025" s="60">
        <f>OR(BV1025=Driver!$G$51,BV1025=Driver!$H$51)</f>
        <v/>
      </c>
      <c r="E1025" s="60">
        <f>AND(BX1025&gt;Driver!$F$54,BX1025&lt;Driver!$G$54)</f>
        <v/>
      </c>
      <c r="F1025" s="60">
        <f>CL1025&gt;Driver!$F$56</f>
        <v/>
      </c>
      <c r="G1025" s="60">
        <f>AND(CB1025&gt;Driver!$F$55,CB1025&lt;Driver!$G$55)</f>
        <v/>
      </c>
      <c r="H1025" s="60">
        <f>AND(B1025:G1025)</f>
        <v/>
      </c>
      <c r="I1025" s="60">
        <f>COUNTIFS($H$9:$H$1273,TRUE,$BT$9:$BT$1273,BT1025)</f>
        <v/>
      </c>
      <c r="J1025" s="60">
        <f t="array" ref="J1025">NOT(OR(($H$9:$H$1273=TRUE)*($I$9:$I$1273&gt;0)*($BT$9:$BT$1273=BT1025)*($K$9:$K$1273&gt;K1025)))</f>
        <v/>
      </c>
      <c r="K1025" s="108">
        <f>IFERROR(1-AVERAGE(X1025:Y1025),"")</f>
        <v/>
      </c>
      <c r="L1025" s="108">
        <f>1-X1025</f>
        <v/>
      </c>
      <c r="M1025" s="108">
        <f>1-Y1025</f>
        <v/>
      </c>
      <c r="N1025" s="108">
        <f>1-Z1025</f>
        <v/>
      </c>
      <c r="O1025" s="108">
        <f>1-AA1025</f>
        <v/>
      </c>
      <c r="P1025" s="108">
        <f>1-AB1025</f>
        <v/>
      </c>
      <c r="Q1025" s="108" t="n"/>
      <c r="R1025" s="108" t="n"/>
      <c r="S1025" s="108">
        <f>1-AE1025</f>
        <v/>
      </c>
      <c r="T1025" s="108">
        <f>1-AF1025</f>
        <v/>
      </c>
      <c r="U1025" s="108">
        <f>1-AG1025</f>
        <v/>
      </c>
      <c r="V1025" s="108">
        <f>1-AH1025</f>
        <v/>
      </c>
      <c r="W1025" s="108">
        <f>1-AI1025</f>
        <v/>
      </c>
      <c r="X1025" s="108">
        <f>ABS(AJ1025-AJ$1)</f>
        <v/>
      </c>
      <c r="Y1025" s="108">
        <f>AVERAGE(Z1025:AB1025)</f>
        <v/>
      </c>
      <c r="Z1025" s="108">
        <f>ABS(AL1025-AL$1)</f>
        <v/>
      </c>
      <c r="AA1025" s="108">
        <f>ABS(AM1025-AM$1)</f>
        <v/>
      </c>
      <c r="AB1025" s="108">
        <f>ABS(AN1025-AN$1)</f>
        <v/>
      </c>
      <c r="AC1025" s="108" t="n"/>
      <c r="AD1025" s="108" t="n"/>
      <c r="AE1025" s="108">
        <f>ABS(AQ$1-AQ1025)</f>
        <v/>
      </c>
      <c r="AF1025" s="108">
        <f>ABS(AR$1-AR1025)</f>
        <v/>
      </c>
      <c r="AG1025" s="108">
        <f>ABS(AS$1-AS1025)</f>
        <v/>
      </c>
      <c r="AH1025" s="108">
        <f>ABS(AT$1-AT1025)</f>
        <v/>
      </c>
      <c r="AI1025" s="108">
        <f>ABS(AU$1-AU1025)</f>
        <v/>
      </c>
      <c r="AJ1025" s="108">
        <f>(AV1025-Driver!$K$179)/(Driver!$L$179-Driver!$K$179)</f>
        <v/>
      </c>
      <c r="AK1025" s="108">
        <f>(AW1025-Driver!$K$180)/(Driver!$L$180-Driver!$K$180)</f>
        <v/>
      </c>
      <c r="AL1025" s="108">
        <f>(AX1025-Driver!$K$181)/(Driver!$L$181-Driver!$K$181)</f>
        <v/>
      </c>
      <c r="AM1025" s="108">
        <f>(AY1025-Driver!$K$182)/(Driver!$L$182-Driver!$K$182)</f>
        <v/>
      </c>
      <c r="AN1025" s="108">
        <f>(AZ1025-Driver!$K$183)/(Driver!$L$183-Driver!$K$183)</f>
        <v/>
      </c>
      <c r="AO1025" s="108" t="n"/>
      <c r="AP1025" s="108" t="n"/>
      <c r="AQ1025" s="108">
        <f>(BC1025-Driver!$K$188)/(Driver!$L$188-Driver!$K$188)</f>
        <v/>
      </c>
      <c r="AR1025" s="108">
        <f>MIN((BD1025-Driver!$K$189)/(Driver!$L$189-Driver!$K$189),100%)</f>
        <v/>
      </c>
      <c r="AS1025" s="108">
        <f>(BE1025-Driver!$K$190)/(Driver!$L$190-Driver!$K$190)</f>
        <v/>
      </c>
      <c r="AT1025" s="108">
        <f>(BF1025-Driver!$K$191)/(Driver!$L$191-Driver!$K$191)</f>
        <v/>
      </c>
      <c r="AU1025" s="108">
        <f>(BG1025-Driver!$K$192)/(Driver!$L$192-Driver!$K$192)</f>
        <v/>
      </c>
      <c r="AV1025" s="105">
        <f>IFERROR(BM1025*BJ1025^1/4,"")</f>
        <v/>
      </c>
      <c r="AW1025" s="105">
        <f>IFERROR(SUM(AX1025:AZ1025),"")</f>
        <v/>
      </c>
      <c r="AX1025" s="105">
        <f>IFERROR(BH1025,"")</f>
        <v/>
      </c>
      <c r="AY1025" s="105">
        <f>IFERROR(Driver!$K$19/Data!BH1025/Data!BI1025*Data!BK1025*Data!BL1025,"")</f>
        <v/>
      </c>
      <c r="AZ1025" s="105">
        <f>IFERROR(BI1025*BN1025,"")</f>
        <v/>
      </c>
      <c r="BA1025" s="105" t="n"/>
      <c r="BB1025" s="105" t="n"/>
      <c r="BC1025" s="105">
        <f>IFERROR(BI1025*BN1025*BK1025/BJ1025^(1/2),"")</f>
        <v/>
      </c>
      <c r="BD1025" s="105">
        <f>IFERROR(BH1025*BM1025*BL1025/BJ1025/BK1025,"")</f>
        <v/>
      </c>
      <c r="BE1025" s="105">
        <f>IFERROR(MIN(BI1025/BQ1025/BP1025/BO1025/BH1025,$BE$1),"")</f>
        <v/>
      </c>
      <c r="BF1025" s="105">
        <f>IFERROR(BJ1025*BO1025*BP1025/BK1025,"")</f>
        <v/>
      </c>
      <c r="BG1025" s="105">
        <f>IFERROR(1/BM1025/BH1025*BQ1025,"")</f>
        <v/>
      </c>
      <c r="BH1025" s="102">
        <f>MAX((CE1025-Driver!$F$200)/(Driver!$G$200-Driver!$F$200)*$BI$1,1)</f>
        <v/>
      </c>
      <c r="BI1025" s="102">
        <f>MAX($BI$1*(BY1025-Driver!$F$201)/(Driver!$G$201-Driver!$F$201),1)</f>
        <v/>
      </c>
      <c r="BJ1025" s="102">
        <f>(CB1025-Driver!$F$206)/(Driver!$G$206-Driver!$F$206)*$BI$1</f>
        <v/>
      </c>
      <c r="BK1025" s="102">
        <f>(CD1025-Driver!$F$203)/(Driver!$G$203-Driver!$F$203)*$BI$1</f>
        <v/>
      </c>
      <c r="BL1025" s="102">
        <f>MAX((CR1025-Driver!$F$202)/(Driver!$G$202-Driver!$F$202)*$BI$1,1)</f>
        <v/>
      </c>
      <c r="BM1025" s="102">
        <f>MAX((CH1025-Driver!$F$204)/(Driver!$G$204-Driver!$F$204)*$BI$1,1)</f>
        <v/>
      </c>
      <c r="BN1025" s="102">
        <f>(CI1025-Driver!$F$205)/(Driver!$G$205-Driver!$F$205)*$BI$1</f>
        <v/>
      </c>
      <c r="BO1025" s="102">
        <f>(CK1025-Driver!$F$207)/(Driver!$G$207-Driver!$F$207)*$BI$1</f>
        <v/>
      </c>
      <c r="BP1025" s="102">
        <f>(CM1025-Driver!$F$208)/(Driver!$G$208-Driver!$F$208)*$BI$1</f>
        <v/>
      </c>
      <c r="BQ1025" s="102">
        <f>(CL1025-Driver!$F$209)/(Driver!$G$209-Driver!$F$209)*$BI$1</f>
        <v/>
      </c>
      <c r="BR1025" s="40" t="inlineStr">
        <is>
          <t>21/22</t>
        </is>
      </c>
      <c r="BS1025" s="10" t="inlineStr">
        <is>
          <t xml:space="preserve"> Atomic</t>
        </is>
      </c>
      <c r="BT1025" s="11" t="inlineStr">
        <is>
          <t xml:space="preserve"> Bent Chetler JR</t>
        </is>
      </c>
      <c r="BU1025" s="13" t="n">
        <v>140</v>
      </c>
      <c r="BV1025" s="11" t="inlineStr">
        <is>
          <t xml:space="preserve"> Junior</t>
        </is>
      </c>
      <c r="BW1025" s="13" t="n">
        <v>140</v>
      </c>
      <c r="BX1025" s="13" t="n">
        <v>139.6</v>
      </c>
      <c r="BY1025" s="13" t="n">
        <v>101</v>
      </c>
      <c r="BZ1025" s="13" t="n">
        <v>121</v>
      </c>
      <c r="CA1025" s="13" t="n">
        <v>121</v>
      </c>
      <c r="CB1025" s="13" t="n">
        <v>83</v>
      </c>
      <c r="CC1025" s="13" t="n">
        <v>111</v>
      </c>
      <c r="CD1025" s="13" t="n">
        <v>10.8</v>
      </c>
      <c r="CE1025" s="13" t="n">
        <v>1483</v>
      </c>
      <c r="CF1025" s="13" t="n">
        <v>0.9</v>
      </c>
      <c r="CG1025" s="13" t="n">
        <v>1331</v>
      </c>
      <c r="CH1025" s="13" t="n">
        <v>114</v>
      </c>
      <c r="CI1025" s="13" t="n">
        <v>62</v>
      </c>
      <c r="CJ1025" s="13" t="n">
        <v>40</v>
      </c>
      <c r="CK1025" s="13" t="n">
        <v>198</v>
      </c>
      <c r="CL1025" s="13" t="n">
        <v>30</v>
      </c>
      <c r="CM1025" s="13" t="n">
        <v>186</v>
      </c>
      <c r="CN1025" s="13" t="n">
        <v>0.759</v>
      </c>
      <c r="CO1025" s="13" t="n">
        <v>89</v>
      </c>
      <c r="CP1025" s="13" t="n">
        <v>93</v>
      </c>
      <c r="CQ1025" s="13" t="n">
        <v>109</v>
      </c>
      <c r="CR1025" s="13" t="n">
        <v>4</v>
      </c>
      <c r="CS1025" s="13" t="n">
        <v>3.7</v>
      </c>
      <c r="CT1025" s="11" t="inlineStr">
        <is>
          <t xml:space="preserve"> Resort Freeride</t>
        </is>
      </c>
      <c r="CU1025" s="13" t="n"/>
      <c r="CV1025" s="13" t="n"/>
      <c r="CW1025" s="13" t="n"/>
      <c r="CX1025">
        <f>INDEX('Data_Price '!AG$2:AG$1266,MATCH(Data!$DN1025,'Data_Price '!$AT$2:$AT$1266,0))</f>
        <v/>
      </c>
      <c r="CY1025">
        <f>INDEX('Data_Price '!AH$2:AH$1266,MATCH(Data!$DN1025,'Data_Price '!$AT$2:$AT$1266,0))</f>
        <v/>
      </c>
      <c r="CZ1025">
        <f>INDEX('Data_Price '!AI$2:AI$1266,MATCH(Data!$DN1025,'Data_Price '!$AT$2:$AT$1266,0))</f>
        <v/>
      </c>
      <c r="DA1025">
        <f>INDEX('Data_Price '!AJ$2:AJ$1266,MATCH(Data!$DN1025,'Data_Price '!$AT$2:$AT$1266,0))</f>
        <v/>
      </c>
      <c r="DB1025">
        <f>INDEX('Data_Price '!AK$2:AK$1266,MATCH(Data!$DN1025,'Data_Price '!$AT$2:$AT$1266,0))</f>
        <v/>
      </c>
      <c r="DC1025">
        <f>INDEX('Data_Price '!AL$2:AL$1266,MATCH(Data!$DN1025,'Data_Price '!$AT$2:$AT$1266,0))</f>
        <v/>
      </c>
      <c r="DD1025">
        <f>INDEX('Data_Price '!AM$2:AM$1266,MATCH(Data!$DN1025,'Data_Price '!$AT$2:$AT$1266,0))</f>
        <v/>
      </c>
      <c r="DE1025">
        <f>INDEX('Data_Price '!AN$2:AN$1266,MATCH(Data!$DN1025,'Data_Price '!$AT$2:$AT$1266,0))</f>
        <v/>
      </c>
      <c r="DF1025">
        <f>INDEX('Data_Price '!AO$2:AO$1266,MATCH(Data!$DN1025,'Data_Price '!$AT$2:$AT$1266,0))</f>
        <v/>
      </c>
      <c r="DG1025">
        <f>INDEX('Data_Price '!AP$2:AP$1266,MATCH(Data!$DN1025,'Data_Price '!$AT$2:$AT$1266,0))</f>
        <v/>
      </c>
      <c r="DH1025">
        <f>INDEX('Data_Price '!AQ$2:AQ$1266,MATCH(Data!$DN1025,'Data_Price '!$AT$2:$AT$1266,0))</f>
        <v/>
      </c>
      <c r="DI1025">
        <f>INDEX('Data_Price '!AR$2:AR$1266,MATCH(Data!$DN1025,'Data_Price '!$AT$2:$AT$1266,0))</f>
        <v/>
      </c>
      <c r="DJ1025" s="138">
        <f>DA1025</f>
        <v/>
      </c>
      <c r="DK1025" s="138">
        <f>DE1025</f>
        <v/>
      </c>
      <c r="DL1025" s="138">
        <f>DI1025</f>
        <v/>
      </c>
      <c r="DM1025" s="303">
        <f>IF(LEFT(BT1025,1)=" ",RIGHT(BT1025,LEN(BT1025)-1),BT1025)</f>
        <v/>
      </c>
      <c r="DN1025" s="138">
        <f>_xlfn.CONCAT(BS1025,DM1025,BU1025,BV1025)</f>
        <v/>
      </c>
      <c r="DO1025" s="307" t="inlineStr">
        <is>
          <t>https://images.evo.com/imgp/250/197742/826815/atomic-bent-chetler-jr-skis-kids-2022-.jpg</t>
        </is>
      </c>
    </row>
    <row r="1026" ht="15.6" customHeight="1" s="184">
      <c r="B1026" s="303">
        <f t="array" ref="B1026">IF(OR(ISERROR(K1026:P1026)),FALSE,TRUE)</f>
        <v/>
      </c>
      <c r="C1026" s="60">
        <f>OR(BR1026=Driver!$G$50,Data!BR754=Driver!$H$50)</f>
        <v/>
      </c>
      <c r="D1026" s="60">
        <f>OR(BV1026=Driver!$G$51,BV1026=Driver!$H$51)</f>
        <v/>
      </c>
      <c r="E1026" s="60">
        <f>AND(BX1026&gt;Driver!$F$54,BX1026&lt;Driver!$G$54)</f>
        <v/>
      </c>
      <c r="F1026" s="60">
        <f>CL1026&gt;Driver!$F$56</f>
        <v/>
      </c>
      <c r="G1026" s="60">
        <f>AND(CB1026&gt;Driver!$F$55,CB1026&lt;Driver!$G$55)</f>
        <v/>
      </c>
      <c r="H1026" s="60">
        <f>AND(B1026:G1026)</f>
        <v/>
      </c>
      <c r="I1026" s="60">
        <f>COUNTIFS($H$9:$H$1273,TRUE,$BT$9:$BT$1273,BT1026)</f>
        <v/>
      </c>
      <c r="J1026" s="60">
        <f t="array" ref="J1026">NOT(OR(($H$9:$H$1273=TRUE)*($I$9:$I$1273&gt;0)*($BT$9:$BT$1273=BT1026)*($K$9:$K$1273&gt;K1026)))</f>
        <v/>
      </c>
      <c r="K1026" s="108">
        <f>IFERROR(1-AVERAGE(X1026:Y1026),"")</f>
        <v/>
      </c>
      <c r="L1026" s="108">
        <f>1-X1026</f>
        <v/>
      </c>
      <c r="M1026" s="108">
        <f>1-Y1026</f>
        <v/>
      </c>
      <c r="N1026" s="108">
        <f>1-Z1026</f>
        <v/>
      </c>
      <c r="O1026" s="108">
        <f>1-AA1026</f>
        <v/>
      </c>
      <c r="P1026" s="108">
        <f>1-AB1026</f>
        <v/>
      </c>
      <c r="Q1026" s="108" t="n"/>
      <c r="R1026" s="108" t="n"/>
      <c r="S1026" s="108">
        <f>1-AE1026</f>
        <v/>
      </c>
      <c r="T1026" s="108">
        <f>1-AF1026</f>
        <v/>
      </c>
      <c r="U1026" s="108">
        <f>1-AG1026</f>
        <v/>
      </c>
      <c r="V1026" s="108">
        <f>1-AH1026</f>
        <v/>
      </c>
      <c r="W1026" s="108">
        <f>1-AI1026</f>
        <v/>
      </c>
      <c r="X1026" s="108">
        <f>ABS(AJ1026-AJ$1)</f>
        <v/>
      </c>
      <c r="Y1026" s="108">
        <f>AVERAGE(Z1026:AB1026)</f>
        <v/>
      </c>
      <c r="Z1026" s="108">
        <f>ABS(AL1026-AL$1)</f>
        <v/>
      </c>
      <c r="AA1026" s="108">
        <f>ABS(AM1026-AM$1)</f>
        <v/>
      </c>
      <c r="AB1026" s="108">
        <f>ABS(AN1026-AN$1)</f>
        <v/>
      </c>
      <c r="AC1026" s="108" t="n"/>
      <c r="AD1026" s="108" t="n"/>
      <c r="AE1026" s="108">
        <f>ABS(AQ$1-AQ1026)</f>
        <v/>
      </c>
      <c r="AF1026" s="108">
        <f>ABS(AR$1-AR1026)</f>
        <v/>
      </c>
      <c r="AG1026" s="108">
        <f>ABS(AS$1-AS1026)</f>
        <v/>
      </c>
      <c r="AH1026" s="108">
        <f>ABS(AT$1-AT1026)</f>
        <v/>
      </c>
      <c r="AI1026" s="108">
        <f>ABS(AU$1-AU1026)</f>
        <v/>
      </c>
      <c r="AJ1026" s="108">
        <f>(AV1026-Driver!$K$179)/(Driver!$L$179-Driver!$K$179)</f>
        <v/>
      </c>
      <c r="AK1026" s="108">
        <f>(AW1026-Driver!$K$180)/(Driver!$L$180-Driver!$K$180)</f>
        <v/>
      </c>
      <c r="AL1026" s="108">
        <f>(AX1026-Driver!$K$181)/(Driver!$L$181-Driver!$K$181)</f>
        <v/>
      </c>
      <c r="AM1026" s="108">
        <f>(AY1026-Driver!$K$182)/(Driver!$L$182-Driver!$K$182)</f>
        <v/>
      </c>
      <c r="AN1026" s="108">
        <f>(AZ1026-Driver!$K$183)/(Driver!$L$183-Driver!$K$183)</f>
        <v/>
      </c>
      <c r="AO1026" s="108" t="n"/>
      <c r="AP1026" s="108" t="n"/>
      <c r="AQ1026" s="108">
        <f>(BC1026-Driver!$K$188)/(Driver!$L$188-Driver!$K$188)</f>
        <v/>
      </c>
      <c r="AR1026" s="108">
        <f>MIN((BD1026-Driver!$K$189)/(Driver!$L$189-Driver!$K$189),100%)</f>
        <v/>
      </c>
      <c r="AS1026" s="108">
        <f>(BE1026-Driver!$K$190)/(Driver!$L$190-Driver!$K$190)</f>
        <v/>
      </c>
      <c r="AT1026" s="108">
        <f>(BF1026-Driver!$K$191)/(Driver!$L$191-Driver!$K$191)</f>
        <v/>
      </c>
      <c r="AU1026" s="108">
        <f>(BG1026-Driver!$K$192)/(Driver!$L$192-Driver!$K$192)</f>
        <v/>
      </c>
      <c r="AV1026" s="105">
        <f>IFERROR(BM1026*BJ1026^1/4,"")</f>
        <v/>
      </c>
      <c r="AW1026" s="105">
        <f>IFERROR(SUM(AX1026:AZ1026),"")</f>
        <v/>
      </c>
      <c r="AX1026" s="105">
        <f>IFERROR(BH1026,"")</f>
        <v/>
      </c>
      <c r="AY1026" s="105">
        <f>IFERROR(Driver!$K$19/Data!BH1026/Data!BI1026*Data!BK1026*Data!BL1026,"")</f>
        <v/>
      </c>
      <c r="AZ1026" s="105">
        <f>IFERROR(BI1026*BN1026,"")</f>
        <v/>
      </c>
      <c r="BA1026" s="105" t="n"/>
      <c r="BB1026" s="105" t="n"/>
      <c r="BC1026" s="105">
        <f>IFERROR(BI1026*BN1026*BK1026/BJ1026^(1/2),"")</f>
        <v/>
      </c>
      <c r="BD1026" s="105">
        <f>IFERROR(BH1026*BM1026*BL1026/BJ1026/BK1026,"")</f>
        <v/>
      </c>
      <c r="BE1026" s="105">
        <f>IFERROR(MIN(BI1026/BQ1026/BP1026/BO1026/BH1026,$BE$1),"")</f>
        <v/>
      </c>
      <c r="BF1026" s="105">
        <f>IFERROR(BJ1026*BO1026*BP1026/BK1026,"")</f>
        <v/>
      </c>
      <c r="BG1026" s="105">
        <f>IFERROR(1/BM1026/BH1026*BQ1026,"")</f>
        <v/>
      </c>
      <c r="BH1026" s="102">
        <f>MAX((CE1026-Driver!$F$200)/(Driver!$G$200-Driver!$F$200)*$BI$1,1)</f>
        <v/>
      </c>
      <c r="BI1026" s="102">
        <f>MAX($BI$1*(BY1026-Driver!$F$201)/(Driver!$G$201-Driver!$F$201),1)</f>
        <v/>
      </c>
      <c r="BJ1026" s="102">
        <f>(CB1026-Driver!$F$206)/(Driver!$G$206-Driver!$F$206)*$BI$1</f>
        <v/>
      </c>
      <c r="BK1026" s="102">
        <f>(CD1026-Driver!$F$203)/(Driver!$G$203-Driver!$F$203)*$BI$1</f>
        <v/>
      </c>
      <c r="BL1026" s="102">
        <f>MAX((CR1026-Driver!$F$202)/(Driver!$G$202-Driver!$F$202)*$BI$1,1)</f>
        <v/>
      </c>
      <c r="BM1026" s="102">
        <f>MAX((CH1026-Driver!$F$204)/(Driver!$G$204-Driver!$F$204)*$BI$1,1)</f>
        <v/>
      </c>
      <c r="BN1026" s="102">
        <f>(CI1026-Driver!$F$205)/(Driver!$G$205-Driver!$F$205)*$BI$1</f>
        <v/>
      </c>
      <c r="BO1026" s="102">
        <f>(CK1026-Driver!$F$207)/(Driver!$G$207-Driver!$F$207)*$BI$1</f>
        <v/>
      </c>
      <c r="BP1026" s="102">
        <f>(CM1026-Driver!$F$208)/(Driver!$G$208-Driver!$F$208)*$BI$1</f>
        <v/>
      </c>
      <c r="BQ1026" s="102">
        <f>(CL1026-Driver!$F$209)/(Driver!$G$209-Driver!$F$209)*$BI$1</f>
        <v/>
      </c>
      <c r="BR1026" s="40" t="inlineStr">
        <is>
          <t>21/22</t>
        </is>
      </c>
      <c r="BS1026" s="10" t="inlineStr">
        <is>
          <t xml:space="preserve"> K2</t>
        </is>
      </c>
      <c r="BT1026" s="11" t="inlineStr">
        <is>
          <t xml:space="preserve"> Mindbender Team</t>
        </is>
      </c>
      <c r="BU1026" s="13" t="n">
        <v>145</v>
      </c>
      <c r="BV1026" s="11" t="inlineStr">
        <is>
          <t xml:space="preserve"> Junior</t>
        </is>
      </c>
      <c r="BW1026" s="13" t="n">
        <v>145</v>
      </c>
      <c r="BX1026" s="13" t="n">
        <v>145.1</v>
      </c>
      <c r="BY1026" s="13" t="n">
        <v>95</v>
      </c>
      <c r="BZ1026" s="13" t="n">
        <v>110</v>
      </c>
      <c r="CA1026" s="13" t="n">
        <v>126</v>
      </c>
      <c r="CB1026" s="13" t="n">
        <v>98</v>
      </c>
      <c r="CC1026" s="13" t="n">
        <v>116</v>
      </c>
      <c r="CD1026" s="13" t="n">
        <v>12.2</v>
      </c>
      <c r="CE1026" s="13" t="n">
        <v>1310</v>
      </c>
      <c r="CF1026" s="13" t="n">
        <v>1.19</v>
      </c>
      <c r="CG1026" s="13" t="n">
        <v>1554</v>
      </c>
      <c r="CH1026" s="13" t="n">
        <v>112</v>
      </c>
      <c r="CI1026" s="13" t="n">
        <v>70</v>
      </c>
      <c r="CJ1026" s="13" t="n">
        <v>43</v>
      </c>
      <c r="CK1026" s="13" t="n">
        <v>310</v>
      </c>
      <c r="CL1026" s="13" t="n">
        <v>16</v>
      </c>
      <c r="CM1026" s="13" t="n">
        <v>192</v>
      </c>
      <c r="CN1026" s="13" t="n">
        <v>0.384</v>
      </c>
      <c r="CO1026" s="13" t="n">
        <v>192</v>
      </c>
      <c r="CP1026" s="13" t="n">
        <v>156</v>
      </c>
      <c r="CQ1026" s="13" t="n">
        <v>119</v>
      </c>
      <c r="CR1026" s="13" t="n">
        <v>4</v>
      </c>
      <c r="CS1026" s="13" t="n">
        <v>8.1</v>
      </c>
      <c r="CT1026" s="11" t="inlineStr">
        <is>
          <t xml:space="preserve"> Resort Freeride</t>
        </is>
      </c>
      <c r="CU1026" s="11" t="inlineStr">
        <is>
          <t xml:space="preserve"> Touring</t>
        </is>
      </c>
      <c r="CV1026" s="13" t="n"/>
      <c r="CW1026" s="13" t="n"/>
      <c r="CX1026">
        <f>INDEX('Data_Price '!AG$2:AG$1266,MATCH(Data!$DN1026,'Data_Price '!$AT$2:$AT$1266,0))</f>
        <v/>
      </c>
      <c r="CY1026">
        <f>INDEX('Data_Price '!AH$2:AH$1266,MATCH(Data!$DN1026,'Data_Price '!$AT$2:$AT$1266,0))</f>
        <v/>
      </c>
      <c r="CZ1026">
        <f>INDEX('Data_Price '!AI$2:AI$1266,MATCH(Data!$DN1026,'Data_Price '!$AT$2:$AT$1266,0))</f>
        <v/>
      </c>
      <c r="DA1026">
        <f>INDEX('Data_Price '!AJ$2:AJ$1266,MATCH(Data!$DN1026,'Data_Price '!$AT$2:$AT$1266,0))</f>
        <v/>
      </c>
      <c r="DB1026">
        <f>INDEX('Data_Price '!AK$2:AK$1266,MATCH(Data!$DN1026,'Data_Price '!$AT$2:$AT$1266,0))</f>
        <v/>
      </c>
      <c r="DC1026">
        <f>INDEX('Data_Price '!AL$2:AL$1266,MATCH(Data!$DN1026,'Data_Price '!$AT$2:$AT$1266,0))</f>
        <v/>
      </c>
      <c r="DD1026">
        <f>INDEX('Data_Price '!AM$2:AM$1266,MATCH(Data!$DN1026,'Data_Price '!$AT$2:$AT$1266,0))</f>
        <v/>
      </c>
      <c r="DE1026">
        <f>INDEX('Data_Price '!AN$2:AN$1266,MATCH(Data!$DN1026,'Data_Price '!$AT$2:$AT$1266,0))</f>
        <v/>
      </c>
      <c r="DF1026">
        <f>INDEX('Data_Price '!AO$2:AO$1266,MATCH(Data!$DN1026,'Data_Price '!$AT$2:$AT$1266,0))</f>
        <v/>
      </c>
      <c r="DG1026">
        <f>INDEX('Data_Price '!AP$2:AP$1266,MATCH(Data!$DN1026,'Data_Price '!$AT$2:$AT$1266,0))</f>
        <v/>
      </c>
      <c r="DH1026">
        <f>INDEX('Data_Price '!AQ$2:AQ$1266,MATCH(Data!$DN1026,'Data_Price '!$AT$2:$AT$1266,0))</f>
        <v/>
      </c>
      <c r="DI1026">
        <f>INDEX('Data_Price '!AR$2:AR$1266,MATCH(Data!$DN1026,'Data_Price '!$AT$2:$AT$1266,0))</f>
        <v/>
      </c>
      <c r="DJ1026" s="138">
        <f>DA1026</f>
        <v/>
      </c>
      <c r="DK1026" s="138">
        <f>DE1026</f>
        <v/>
      </c>
      <c r="DL1026" s="138">
        <f>DI1026</f>
        <v/>
      </c>
      <c r="DM1026" s="303">
        <f>IF(LEFT(BT1026,1)=" ",RIGHT(BT1026,LEN(BT1026)-1),BT1026)</f>
        <v/>
      </c>
      <c r="DN1026" s="138">
        <f>_xlfn.CONCAT(BS1026,DM1026,BU1026,BV1026)</f>
        <v/>
      </c>
      <c r="DO1026" s="307" t="inlineStr">
        <is>
          <t>https://images.evo.com/imgp/250/182194/722426/k2-mindbender-team-jr-alpine-touring-ski-boots-2022-.jpg</t>
        </is>
      </c>
    </row>
    <row r="1027" ht="15.6" customHeight="1" s="184">
      <c r="B1027" s="303">
        <f t="array" ref="B1027">IF(OR(ISERROR(K1027:P1027)),FALSE,TRUE)</f>
        <v/>
      </c>
      <c r="C1027" s="60">
        <f>OR(BR1027=Driver!$G$50,Data!BR1079=Driver!$H$50)</f>
        <v/>
      </c>
      <c r="D1027" s="60">
        <f>OR(BV1027=Driver!$G$51,BV1027=Driver!$H$51)</f>
        <v/>
      </c>
      <c r="E1027" s="60">
        <f>AND(BX1027&gt;Driver!$F$54,BX1027&lt;Driver!$G$54)</f>
        <v/>
      </c>
      <c r="F1027" s="60">
        <f>CL1027&gt;Driver!$F$56</f>
        <v/>
      </c>
      <c r="G1027" s="60">
        <f>AND(CB1027&gt;Driver!$F$55,CB1027&lt;Driver!$G$55)</f>
        <v/>
      </c>
      <c r="H1027" s="60">
        <f>AND(B1027:G1027)</f>
        <v/>
      </c>
      <c r="I1027" s="60">
        <f>COUNTIFS($H$9:$H$1273,TRUE,$BT$9:$BT$1273,BT1027)</f>
        <v/>
      </c>
      <c r="J1027" s="60">
        <f t="array" ref="J1027">NOT(OR(($H$9:$H$1273=TRUE)*($I$9:$I$1273&gt;0)*($BT$9:$BT$1273=BT1027)*($K$9:$K$1273&gt;K1027)))</f>
        <v/>
      </c>
      <c r="K1027" s="108">
        <f>IFERROR(1-AVERAGE(X1027:Y1027),"")</f>
        <v/>
      </c>
      <c r="L1027" s="108">
        <f>1-X1027</f>
        <v/>
      </c>
      <c r="M1027" s="108">
        <f>1-Y1027</f>
        <v/>
      </c>
      <c r="N1027" s="108">
        <f>1-Z1027</f>
        <v/>
      </c>
      <c r="O1027" s="108">
        <f>1-AA1027</f>
        <v/>
      </c>
      <c r="P1027" s="108">
        <f>1-AB1027</f>
        <v/>
      </c>
      <c r="Q1027" s="108" t="n"/>
      <c r="R1027" s="108" t="n"/>
      <c r="S1027" s="108">
        <f>1-AE1027</f>
        <v/>
      </c>
      <c r="T1027" s="108">
        <f>1-AF1027</f>
        <v/>
      </c>
      <c r="U1027" s="108">
        <f>1-AG1027</f>
        <v/>
      </c>
      <c r="V1027" s="108">
        <f>1-AH1027</f>
        <v/>
      </c>
      <c r="W1027" s="108">
        <f>1-AI1027</f>
        <v/>
      </c>
      <c r="X1027" s="108">
        <f>ABS(AJ1027-AJ$1)</f>
        <v/>
      </c>
      <c r="Y1027" s="108">
        <f>AVERAGE(Z1027:AB1027)</f>
        <v/>
      </c>
      <c r="Z1027" s="108">
        <f>ABS(AL1027-AL$1)</f>
        <v/>
      </c>
      <c r="AA1027" s="108">
        <f>ABS(AM1027-AM$1)</f>
        <v/>
      </c>
      <c r="AB1027" s="108">
        <f>ABS(AN1027-AN$1)</f>
        <v/>
      </c>
      <c r="AC1027" s="108" t="n"/>
      <c r="AD1027" s="108" t="n"/>
      <c r="AE1027" s="108">
        <f>ABS(AQ$1-AQ1027)</f>
        <v/>
      </c>
      <c r="AF1027" s="108">
        <f>ABS(AR$1-AR1027)</f>
        <v/>
      </c>
      <c r="AG1027" s="108">
        <f>ABS(AS$1-AS1027)</f>
        <v/>
      </c>
      <c r="AH1027" s="108">
        <f>ABS(AT$1-AT1027)</f>
        <v/>
      </c>
      <c r="AI1027" s="108">
        <f>ABS(AU$1-AU1027)</f>
        <v/>
      </c>
      <c r="AJ1027" s="108">
        <f>(AV1027-Driver!$K$179)/(Driver!$L$179-Driver!$K$179)</f>
        <v/>
      </c>
      <c r="AK1027" s="108">
        <f>(AW1027-Driver!$K$180)/(Driver!$L$180-Driver!$K$180)</f>
        <v/>
      </c>
      <c r="AL1027" s="108">
        <f>(AX1027-Driver!$K$181)/(Driver!$L$181-Driver!$K$181)</f>
        <v/>
      </c>
      <c r="AM1027" s="108">
        <f>(AY1027-Driver!$K$182)/(Driver!$L$182-Driver!$K$182)</f>
        <v/>
      </c>
      <c r="AN1027" s="108">
        <f>(AZ1027-Driver!$K$183)/(Driver!$L$183-Driver!$K$183)</f>
        <v/>
      </c>
      <c r="AO1027" s="108" t="n"/>
      <c r="AP1027" s="108" t="n"/>
      <c r="AQ1027" s="108">
        <f>(BC1027-Driver!$K$188)/(Driver!$L$188-Driver!$K$188)</f>
        <v/>
      </c>
      <c r="AR1027" s="108">
        <f>MIN((BD1027-Driver!$K$189)/(Driver!$L$189-Driver!$K$189),100%)</f>
        <v/>
      </c>
      <c r="AS1027" s="108">
        <f>(BE1027-Driver!$K$190)/(Driver!$L$190-Driver!$K$190)</f>
        <v/>
      </c>
      <c r="AT1027" s="108">
        <f>(BF1027-Driver!$K$191)/(Driver!$L$191-Driver!$K$191)</f>
        <v/>
      </c>
      <c r="AU1027" s="108">
        <f>(BG1027-Driver!$K$192)/(Driver!$L$192-Driver!$K$192)</f>
        <v/>
      </c>
      <c r="AV1027" s="105">
        <f>IFERROR(BM1027*BJ1027^1/4,"")</f>
        <v/>
      </c>
      <c r="AW1027" s="105">
        <f>IFERROR(SUM(AX1027:AZ1027),"")</f>
        <v/>
      </c>
      <c r="AX1027" s="105">
        <f>IFERROR(BH1027,"")</f>
        <v/>
      </c>
      <c r="AY1027" s="105">
        <f>IFERROR(Driver!$K$19/Data!BH1027/Data!BI1027*Data!BK1027*Data!BL1027,"")</f>
        <v/>
      </c>
      <c r="AZ1027" s="105">
        <f>IFERROR(BI1027*BN1027,"")</f>
        <v/>
      </c>
      <c r="BA1027" s="105" t="n"/>
      <c r="BB1027" s="105" t="n"/>
      <c r="BC1027" s="105">
        <f>IFERROR(BI1027*BN1027*BK1027/BJ1027^(1/2),"")</f>
        <v/>
      </c>
      <c r="BD1027" s="105">
        <f>IFERROR(BH1027*BM1027*BL1027/BJ1027/BK1027,"")</f>
        <v/>
      </c>
      <c r="BE1027" s="105">
        <f>IFERROR(MIN(BI1027/BQ1027/BP1027/BO1027/BH1027,$BE$1),"")</f>
        <v/>
      </c>
      <c r="BF1027" s="105">
        <f>IFERROR(BJ1027*BO1027*BP1027/BK1027,"")</f>
        <v/>
      </c>
      <c r="BG1027" s="105">
        <f>IFERROR(1/BM1027/BH1027*BQ1027,"")</f>
        <v/>
      </c>
      <c r="BH1027" s="102">
        <f>MAX((CE1027-Driver!$F$200)/(Driver!$G$200-Driver!$F$200)*$BI$1,1)</f>
        <v/>
      </c>
      <c r="BI1027" s="102">
        <f>MAX($BI$1*(BY1027-Driver!$F$201)/(Driver!$G$201-Driver!$F$201),1)</f>
        <v/>
      </c>
      <c r="BJ1027" s="102">
        <f>(CB1027-Driver!$F$206)/(Driver!$G$206-Driver!$F$206)*$BI$1</f>
        <v/>
      </c>
      <c r="BK1027" s="102">
        <f>(CD1027-Driver!$F$203)/(Driver!$G$203-Driver!$F$203)*$BI$1</f>
        <v/>
      </c>
      <c r="BL1027" s="102">
        <f>MAX((CR1027-Driver!$F$202)/(Driver!$G$202-Driver!$F$202)*$BI$1,1)</f>
        <v/>
      </c>
      <c r="BM1027" s="102">
        <f>MAX((CH1027-Driver!$F$204)/(Driver!$G$204-Driver!$F$204)*$BI$1,1)</f>
        <v/>
      </c>
      <c r="BN1027" s="102">
        <f>(CI1027-Driver!$F$205)/(Driver!$G$205-Driver!$F$205)*$BI$1</f>
        <v/>
      </c>
      <c r="BO1027" s="102">
        <f>(CK1027-Driver!$F$207)/(Driver!$G$207-Driver!$F$207)*$BI$1</f>
        <v/>
      </c>
      <c r="BP1027" s="102">
        <f>(CM1027-Driver!$F$208)/(Driver!$G$208-Driver!$F$208)*$BI$1</f>
        <v/>
      </c>
      <c r="BQ1027" s="102">
        <f>(CL1027-Driver!$F$209)/(Driver!$G$209-Driver!$F$209)*$BI$1</f>
        <v/>
      </c>
      <c r="BR1027" s="40" t="inlineStr">
        <is>
          <t>21/22</t>
        </is>
      </c>
      <c r="BS1027" s="10" t="inlineStr">
        <is>
          <t xml:space="preserve"> Salomon</t>
        </is>
      </c>
      <c r="BT1027" s="11" t="inlineStr">
        <is>
          <t>QST 99</t>
        </is>
      </c>
      <c r="BU1027" s="13" t="n">
        <v>188</v>
      </c>
      <c r="BV1027" s="11" t="inlineStr">
        <is>
          <t xml:space="preserve"> Unisex</t>
        </is>
      </c>
      <c r="BW1027" s="13" t="n">
        <v>188</v>
      </c>
      <c r="BX1027" s="13" t="n">
        <v>187.2</v>
      </c>
      <c r="BY1027" s="13" t="n">
        <v>126</v>
      </c>
      <c r="BZ1027" s="13" t="n">
        <v>148</v>
      </c>
      <c r="CA1027" s="13" t="n">
        <v>139</v>
      </c>
      <c r="CB1027" s="13" t="n">
        <v>98</v>
      </c>
      <c r="CC1027" s="13" t="n">
        <v>121</v>
      </c>
      <c r="CD1027" s="13" t="n">
        <v>15.4</v>
      </c>
      <c r="CE1027" s="13" t="n">
        <v>2297</v>
      </c>
      <c r="CF1027" s="13" t="n">
        <v>0.92</v>
      </c>
      <c r="CG1027" s="13" t="n">
        <v>2102</v>
      </c>
      <c r="CH1027" s="13" t="n">
        <v>277</v>
      </c>
      <c r="CI1027" s="13" t="n">
        <v>124</v>
      </c>
      <c r="CJ1027" s="13" t="n">
        <v>60</v>
      </c>
      <c r="CK1027" s="13" t="n">
        <v>342</v>
      </c>
      <c r="CL1027" s="13" t="n">
        <v>22</v>
      </c>
      <c r="CM1027" s="13" t="n">
        <v>271</v>
      </c>
      <c r="CN1027" s="13" t="n">
        <v>0.369</v>
      </c>
      <c r="CO1027" s="13" t="n">
        <v>236</v>
      </c>
      <c r="CP1027" s="13" t="n">
        <v>155</v>
      </c>
      <c r="CQ1027" s="13" t="n">
        <v>106</v>
      </c>
      <c r="CR1027" s="13" t="n">
        <v>7</v>
      </c>
      <c r="CS1027" s="13" t="n">
        <v>10.3</v>
      </c>
      <c r="CT1027" s="11" t="inlineStr">
        <is>
          <t xml:space="preserve"> Resort Freeride</t>
        </is>
      </c>
      <c r="CU1027" s="13" t="n"/>
      <c r="CV1027" s="13" t="n"/>
      <c r="CW1027" s="13" t="n"/>
      <c r="CX1027">
        <f>INDEX('Data_Price '!AG$2:AG$1266,MATCH(Data!$DN1027,'Data_Price '!$AT$2:$AT$1266,0))</f>
        <v/>
      </c>
      <c r="CY1027">
        <f>INDEX('Data_Price '!AH$2:AH$1266,MATCH(Data!$DN1027,'Data_Price '!$AT$2:$AT$1266,0))</f>
        <v/>
      </c>
      <c r="CZ1027">
        <f>INDEX('Data_Price '!AI$2:AI$1266,MATCH(Data!$DN1027,'Data_Price '!$AT$2:$AT$1266,0))</f>
        <v/>
      </c>
      <c r="DA1027">
        <f>INDEX('Data_Price '!AJ$2:AJ$1266,MATCH(Data!$DN1027,'Data_Price '!$AT$2:$AT$1266,0))</f>
        <v/>
      </c>
      <c r="DB1027">
        <f>INDEX('Data_Price '!AK$2:AK$1266,MATCH(Data!$DN1027,'Data_Price '!$AT$2:$AT$1266,0))</f>
        <v/>
      </c>
      <c r="DC1027">
        <f>INDEX('Data_Price '!AL$2:AL$1266,MATCH(Data!$DN1027,'Data_Price '!$AT$2:$AT$1266,0))</f>
        <v/>
      </c>
      <c r="DD1027">
        <f>INDEX('Data_Price '!AM$2:AM$1266,MATCH(Data!$DN1027,'Data_Price '!$AT$2:$AT$1266,0))</f>
        <v/>
      </c>
      <c r="DE1027">
        <f>INDEX('Data_Price '!AN$2:AN$1266,MATCH(Data!$DN1027,'Data_Price '!$AT$2:$AT$1266,0))</f>
        <v/>
      </c>
      <c r="DF1027">
        <f>INDEX('Data_Price '!AO$2:AO$1266,MATCH(Data!$DN1027,'Data_Price '!$AT$2:$AT$1266,0))</f>
        <v/>
      </c>
      <c r="DG1027">
        <f>INDEX('Data_Price '!AP$2:AP$1266,MATCH(Data!$DN1027,'Data_Price '!$AT$2:$AT$1266,0))</f>
        <v/>
      </c>
      <c r="DH1027">
        <f>INDEX('Data_Price '!AQ$2:AQ$1266,MATCH(Data!$DN1027,'Data_Price '!$AT$2:$AT$1266,0))</f>
        <v/>
      </c>
      <c r="DI1027">
        <f>INDEX('Data_Price '!AR$2:AR$1266,MATCH(Data!$DN1027,'Data_Price '!$AT$2:$AT$1266,0))</f>
        <v/>
      </c>
      <c r="DJ1027" s="138">
        <f>DA1027</f>
        <v/>
      </c>
      <c r="DK1027" s="138">
        <f>DE1027</f>
        <v/>
      </c>
      <c r="DL1027" s="138">
        <f>DI1027</f>
        <v/>
      </c>
      <c r="DM1027" s="303">
        <f>IF(LEFT(BT1027,1)=" ",RIGHT(BT1027,LEN(BT1027)-1),BT1027)</f>
        <v/>
      </c>
      <c r="DN1027" s="138">
        <f>_xlfn.CONCAT(BS1027,DM1027,BU1027,BV1027)</f>
        <v/>
      </c>
      <c r="DO1027" s="307" t="inlineStr">
        <is>
          <t>https://images.evo.com/imgp/250/197278/812047/salomon-qst-lumen-99-skis-women-s-2022-.jpg</t>
        </is>
      </c>
    </row>
    <row r="1028" ht="15.6" customHeight="1" s="184">
      <c r="B1028" s="303">
        <f t="array" ref="B1028">IF(OR(ISERROR(K1028:P1028)),FALSE,TRUE)</f>
        <v/>
      </c>
      <c r="C1028" s="60">
        <f>OR(BR1028=Driver!$G$50,Data!BR783=Driver!$H$50)</f>
        <v/>
      </c>
      <c r="D1028" s="60">
        <f>OR(BV1028=Driver!$G$51,BV1028=Driver!$H$51)</f>
        <v/>
      </c>
      <c r="E1028" s="60">
        <f>AND(BX1028&gt;Driver!$F$54,BX1028&lt;Driver!$G$54)</f>
        <v/>
      </c>
      <c r="F1028" s="60">
        <f>CL1028&gt;Driver!$F$56</f>
        <v/>
      </c>
      <c r="G1028" s="60">
        <f>AND(CB1028&gt;Driver!$F$55,CB1028&lt;Driver!$G$55)</f>
        <v/>
      </c>
      <c r="H1028" s="60">
        <f>AND(B1028:G1028)</f>
        <v/>
      </c>
      <c r="I1028" s="60">
        <f>COUNTIFS($H$9:$H$1273,TRUE,$BT$9:$BT$1273,BT1028)</f>
        <v/>
      </c>
      <c r="J1028" s="60">
        <f t="array" ref="J1028">NOT(OR(($H$9:$H$1273=TRUE)*($I$9:$I$1273&gt;0)*($BT$9:$BT$1273=BT1028)*($K$9:$K$1273&gt;K1028)))</f>
        <v/>
      </c>
      <c r="K1028" s="108">
        <f>IFERROR(1-AVERAGE(X1028:Y1028),"")</f>
        <v/>
      </c>
      <c r="L1028" s="108">
        <f>1-X1028</f>
        <v/>
      </c>
      <c r="M1028" s="108">
        <f>1-Y1028</f>
        <v/>
      </c>
      <c r="N1028" s="108">
        <f>1-Z1028</f>
        <v/>
      </c>
      <c r="O1028" s="108">
        <f>1-AA1028</f>
        <v/>
      </c>
      <c r="P1028" s="108">
        <f>1-AB1028</f>
        <v/>
      </c>
      <c r="Q1028" s="108" t="n"/>
      <c r="R1028" s="108" t="n"/>
      <c r="S1028" s="108">
        <f>1-AE1028</f>
        <v/>
      </c>
      <c r="T1028" s="108">
        <f>1-AF1028</f>
        <v/>
      </c>
      <c r="U1028" s="108">
        <f>1-AG1028</f>
        <v/>
      </c>
      <c r="V1028" s="108">
        <f>1-AH1028</f>
        <v/>
      </c>
      <c r="W1028" s="108">
        <f>1-AI1028</f>
        <v/>
      </c>
      <c r="X1028" s="108">
        <f>ABS(AJ1028-AJ$1)</f>
        <v/>
      </c>
      <c r="Y1028" s="108">
        <f>AVERAGE(Z1028:AB1028)</f>
        <v/>
      </c>
      <c r="Z1028" s="108">
        <f>ABS(AL1028-AL$1)</f>
        <v/>
      </c>
      <c r="AA1028" s="108">
        <f>ABS(AM1028-AM$1)</f>
        <v/>
      </c>
      <c r="AB1028" s="108">
        <f>ABS(AN1028-AN$1)</f>
        <v/>
      </c>
      <c r="AC1028" s="108" t="n"/>
      <c r="AD1028" s="108" t="n"/>
      <c r="AE1028" s="108">
        <f>ABS(AQ$1-AQ1028)</f>
        <v/>
      </c>
      <c r="AF1028" s="108">
        <f>ABS(AR$1-AR1028)</f>
        <v/>
      </c>
      <c r="AG1028" s="108">
        <f>ABS(AS$1-AS1028)</f>
        <v/>
      </c>
      <c r="AH1028" s="108">
        <f>ABS(AT$1-AT1028)</f>
        <v/>
      </c>
      <c r="AI1028" s="108">
        <f>ABS(AU$1-AU1028)</f>
        <v/>
      </c>
      <c r="AJ1028" s="108">
        <f>(AV1028-Driver!$K$179)/(Driver!$L$179-Driver!$K$179)</f>
        <v/>
      </c>
      <c r="AK1028" s="108">
        <f>(AW1028-Driver!$K$180)/(Driver!$L$180-Driver!$K$180)</f>
        <v/>
      </c>
      <c r="AL1028" s="108">
        <f>(AX1028-Driver!$K$181)/(Driver!$L$181-Driver!$K$181)</f>
        <v/>
      </c>
      <c r="AM1028" s="108">
        <f>(AY1028-Driver!$K$182)/(Driver!$L$182-Driver!$K$182)</f>
        <v/>
      </c>
      <c r="AN1028" s="108">
        <f>(AZ1028-Driver!$K$183)/(Driver!$L$183-Driver!$K$183)</f>
        <v/>
      </c>
      <c r="AO1028" s="108" t="n"/>
      <c r="AP1028" s="108" t="n"/>
      <c r="AQ1028" s="108">
        <f>(BC1028-Driver!$K$188)/(Driver!$L$188-Driver!$K$188)</f>
        <v/>
      </c>
      <c r="AR1028" s="108">
        <f>MIN((BD1028-Driver!$K$189)/(Driver!$L$189-Driver!$K$189),100%)</f>
        <v/>
      </c>
      <c r="AS1028" s="108">
        <f>(BE1028-Driver!$K$190)/(Driver!$L$190-Driver!$K$190)</f>
        <v/>
      </c>
      <c r="AT1028" s="108">
        <f>(BF1028-Driver!$K$191)/(Driver!$L$191-Driver!$K$191)</f>
        <v/>
      </c>
      <c r="AU1028" s="108">
        <f>(BG1028-Driver!$K$192)/(Driver!$L$192-Driver!$K$192)</f>
        <v/>
      </c>
      <c r="AV1028" s="105">
        <f>IFERROR(BM1028*BJ1028^1/4,"")</f>
        <v/>
      </c>
      <c r="AW1028" s="105">
        <f>IFERROR(SUM(AX1028:AZ1028),"")</f>
        <v/>
      </c>
      <c r="AX1028" s="105">
        <f>IFERROR(BH1028,"")</f>
        <v/>
      </c>
      <c r="AY1028" s="105">
        <f>IFERROR(Driver!$K$19/Data!BH1028/Data!BI1028*Data!BK1028*Data!BL1028,"")</f>
        <v/>
      </c>
      <c r="AZ1028" s="105">
        <f>IFERROR(BI1028*BN1028,"")</f>
        <v/>
      </c>
      <c r="BA1028" s="105" t="n"/>
      <c r="BB1028" s="105" t="n"/>
      <c r="BC1028" s="105">
        <f>IFERROR(BI1028*BN1028*BK1028/BJ1028^(1/2),"")</f>
        <v/>
      </c>
      <c r="BD1028" s="105">
        <f>IFERROR(BH1028*BM1028*BL1028/BJ1028/BK1028,"")</f>
        <v/>
      </c>
      <c r="BE1028" s="105">
        <f>IFERROR(MIN(BI1028/BQ1028/BP1028/BO1028/BH1028,$BE$1),"")</f>
        <v/>
      </c>
      <c r="BF1028" s="105">
        <f>IFERROR(BJ1028*BO1028*BP1028/BK1028,"")</f>
        <v/>
      </c>
      <c r="BG1028" s="105">
        <f>IFERROR(1/BM1028/BH1028*BQ1028,"")</f>
        <v/>
      </c>
      <c r="BH1028" s="102">
        <f>MAX((CE1028-Driver!$F$200)/(Driver!$G$200-Driver!$F$200)*$BI$1,1)</f>
        <v/>
      </c>
      <c r="BI1028" s="102">
        <f>MAX($BI$1*(BY1028-Driver!$F$201)/(Driver!$G$201-Driver!$F$201),1)</f>
        <v/>
      </c>
      <c r="BJ1028" s="102">
        <f>(CB1028-Driver!$F$206)/(Driver!$G$206-Driver!$F$206)*$BI$1</f>
        <v/>
      </c>
      <c r="BK1028" s="102">
        <f>(CD1028-Driver!$F$203)/(Driver!$G$203-Driver!$F$203)*$BI$1</f>
        <v/>
      </c>
      <c r="BL1028" s="102">
        <f>MAX((CR1028-Driver!$F$202)/(Driver!$G$202-Driver!$F$202)*$BI$1,1)</f>
        <v/>
      </c>
      <c r="BM1028" s="102">
        <f>MAX((CH1028-Driver!$F$204)/(Driver!$G$204-Driver!$F$204)*$BI$1,1)</f>
        <v/>
      </c>
      <c r="BN1028" s="102">
        <f>(CI1028-Driver!$F$205)/(Driver!$G$205-Driver!$F$205)*$BI$1</f>
        <v/>
      </c>
      <c r="BO1028" s="102">
        <f>(CK1028-Driver!$F$207)/(Driver!$G$207-Driver!$F$207)*$BI$1</f>
        <v/>
      </c>
      <c r="BP1028" s="102">
        <f>(CM1028-Driver!$F$208)/(Driver!$G$208-Driver!$F$208)*$BI$1</f>
        <v/>
      </c>
      <c r="BQ1028" s="102">
        <f>(CL1028-Driver!$F$209)/(Driver!$G$209-Driver!$F$209)*$BI$1</f>
        <v/>
      </c>
      <c r="BR1028" s="40" t="inlineStr">
        <is>
          <t>21/22</t>
        </is>
      </c>
      <c r="BS1028" s="10" t="inlineStr">
        <is>
          <t xml:space="preserve"> K2</t>
        </is>
      </c>
      <c r="BT1028" s="11" t="inlineStr">
        <is>
          <t>Talkback 88</t>
        </is>
      </c>
      <c r="BU1028" s="13" t="n">
        <v>167</v>
      </c>
      <c r="BV1028" s="11" t="inlineStr">
        <is>
          <t xml:space="preserve"> Women's</t>
        </is>
      </c>
      <c r="BW1028" s="13" t="n">
        <v>167</v>
      </c>
      <c r="BX1028" s="13" t="n">
        <v>166.6</v>
      </c>
      <c r="BY1028" s="13" t="n">
        <v>130</v>
      </c>
      <c r="BZ1028" s="13" t="n">
        <v>141</v>
      </c>
      <c r="CA1028" s="13" t="n">
        <v>120</v>
      </c>
      <c r="CB1028" s="13" t="n">
        <v>87</v>
      </c>
      <c r="CC1028" s="13" t="n">
        <v>108</v>
      </c>
      <c r="CD1028" s="13" t="n">
        <v>18</v>
      </c>
      <c r="CE1028" s="13" t="n">
        <v>1185</v>
      </c>
      <c r="CF1028" s="13" t="n">
        <v>1.37</v>
      </c>
      <c r="CG1028" s="13" t="n">
        <v>1625</v>
      </c>
      <c r="CH1028" s="13" t="n">
        <v>158</v>
      </c>
      <c r="CI1028" s="13" t="n">
        <v>69</v>
      </c>
      <c r="CJ1028" s="13" t="n">
        <v>46</v>
      </c>
      <c r="CK1028" s="13" t="n">
        <v>255</v>
      </c>
      <c r="CL1028" s="13" t="n">
        <v>7</v>
      </c>
      <c r="CM1028" s="13" t="n">
        <v>114</v>
      </c>
      <c r="CN1028" s="13" t="n">
        <v>0.159</v>
      </c>
      <c r="CO1028" s="13" t="n">
        <v>154</v>
      </c>
      <c r="CP1028" s="13" t="n">
        <v>101</v>
      </c>
      <c r="CQ1028" s="13" t="n">
        <v>101</v>
      </c>
      <c r="CR1028" s="13" t="n">
        <v>9</v>
      </c>
      <c r="CS1028" s="13" t="n">
        <v>11.8</v>
      </c>
      <c r="CT1028" s="11" t="inlineStr">
        <is>
          <t xml:space="preserve"> Touring</t>
        </is>
      </c>
      <c r="CU1028" s="11" t="inlineStr">
        <is>
          <t xml:space="preserve"> Ultralight Touring</t>
        </is>
      </c>
      <c r="CV1028" s="13" t="n"/>
      <c r="CW1028" s="13" t="n"/>
      <c r="CX1028">
        <f>INDEX('Data_Price '!AG$2:AG$1266,MATCH(Data!$DN1028,'Data_Price '!$AT$2:$AT$1266,0))</f>
        <v/>
      </c>
      <c r="CY1028">
        <f>INDEX('Data_Price '!AH$2:AH$1266,MATCH(Data!$DN1028,'Data_Price '!$AT$2:$AT$1266,0))</f>
        <v/>
      </c>
      <c r="CZ1028">
        <f>INDEX('Data_Price '!AI$2:AI$1266,MATCH(Data!$DN1028,'Data_Price '!$AT$2:$AT$1266,0))</f>
        <v/>
      </c>
      <c r="DA1028">
        <f>INDEX('Data_Price '!AJ$2:AJ$1266,MATCH(Data!$DN1028,'Data_Price '!$AT$2:$AT$1266,0))</f>
        <v/>
      </c>
      <c r="DB1028">
        <f>INDEX('Data_Price '!AK$2:AK$1266,MATCH(Data!$DN1028,'Data_Price '!$AT$2:$AT$1266,0))</f>
        <v/>
      </c>
      <c r="DC1028">
        <f>INDEX('Data_Price '!AL$2:AL$1266,MATCH(Data!$DN1028,'Data_Price '!$AT$2:$AT$1266,0))</f>
        <v/>
      </c>
      <c r="DD1028">
        <f>INDEX('Data_Price '!AM$2:AM$1266,MATCH(Data!$DN1028,'Data_Price '!$AT$2:$AT$1266,0))</f>
        <v/>
      </c>
      <c r="DE1028">
        <f>INDEX('Data_Price '!AN$2:AN$1266,MATCH(Data!$DN1028,'Data_Price '!$AT$2:$AT$1266,0))</f>
        <v/>
      </c>
      <c r="DF1028">
        <f>INDEX('Data_Price '!AO$2:AO$1266,MATCH(Data!$DN1028,'Data_Price '!$AT$2:$AT$1266,0))</f>
        <v/>
      </c>
      <c r="DG1028">
        <f>INDEX('Data_Price '!AP$2:AP$1266,MATCH(Data!$DN1028,'Data_Price '!$AT$2:$AT$1266,0))</f>
        <v/>
      </c>
      <c r="DH1028">
        <f>INDEX('Data_Price '!AQ$2:AQ$1266,MATCH(Data!$DN1028,'Data_Price '!$AT$2:$AT$1266,0))</f>
        <v/>
      </c>
      <c r="DI1028">
        <f>INDEX('Data_Price '!AR$2:AR$1266,MATCH(Data!$DN1028,'Data_Price '!$AT$2:$AT$1266,0))</f>
        <v/>
      </c>
      <c r="DJ1028" s="138">
        <f>DA1028</f>
        <v/>
      </c>
      <c r="DK1028" s="138">
        <f>DE1028</f>
        <v/>
      </c>
      <c r="DL1028" s="138">
        <f>DI1028</f>
        <v/>
      </c>
      <c r="DM1028" s="303">
        <f>IF(LEFT(BT1028,1)=" ",RIGHT(BT1028,LEN(BT1028)-1),BT1028)</f>
        <v/>
      </c>
      <c r="DN1028" s="138">
        <f>_xlfn.CONCAT(BS1028,DM1028,BU1028,BV1028)</f>
        <v/>
      </c>
      <c r="DO1028" s="307" t="n"/>
    </row>
    <row r="1029" ht="15.6" customHeight="1" s="184">
      <c r="B1029" s="303">
        <f t="array" ref="B1029">IF(OR(ISERROR(K1029:P1029)),FALSE,TRUE)</f>
        <v/>
      </c>
      <c r="C1029" s="60">
        <f>OR(BR1029=Driver!$G$50,Data!BR884=Driver!$H$50)</f>
        <v/>
      </c>
      <c r="D1029" s="60">
        <f>OR(BV1029=Driver!$G$51,BV1029=Driver!$H$51)</f>
        <v/>
      </c>
      <c r="E1029" s="60">
        <f>AND(BX1029&gt;Driver!$F$54,BX1029&lt;Driver!$G$54)</f>
        <v/>
      </c>
      <c r="F1029" s="60">
        <f>CL1029&gt;Driver!$F$56</f>
        <v/>
      </c>
      <c r="G1029" s="60">
        <f>AND(CB1029&gt;Driver!$F$55,CB1029&lt;Driver!$G$55)</f>
        <v/>
      </c>
      <c r="H1029" s="60">
        <f>AND(B1029:G1029)</f>
        <v/>
      </c>
      <c r="I1029" s="60">
        <f>COUNTIFS($H$9:$H$1273,TRUE,$BT$9:$BT$1273,BT1029)</f>
        <v/>
      </c>
      <c r="J1029" s="60">
        <f t="array" ref="J1029">NOT(OR(($H$9:$H$1273=TRUE)*($I$9:$I$1273&gt;0)*($BT$9:$BT$1273=BT1029)*($K$9:$K$1273&gt;K1029)))</f>
        <v/>
      </c>
      <c r="K1029" s="108">
        <f>IFERROR(1-AVERAGE(X1029:Y1029),"")</f>
        <v/>
      </c>
      <c r="L1029" s="108">
        <f>1-X1029</f>
        <v/>
      </c>
      <c r="M1029" s="108">
        <f>1-Y1029</f>
        <v/>
      </c>
      <c r="N1029" s="108">
        <f>1-Z1029</f>
        <v/>
      </c>
      <c r="O1029" s="108">
        <f>1-AA1029</f>
        <v/>
      </c>
      <c r="P1029" s="108">
        <f>1-AB1029</f>
        <v/>
      </c>
      <c r="Q1029" s="108" t="n"/>
      <c r="R1029" s="108" t="n"/>
      <c r="S1029" s="108">
        <f>1-AE1029</f>
        <v/>
      </c>
      <c r="T1029" s="108">
        <f>1-AF1029</f>
        <v/>
      </c>
      <c r="U1029" s="108">
        <f>1-AG1029</f>
        <v/>
      </c>
      <c r="V1029" s="108">
        <f>1-AH1029</f>
        <v/>
      </c>
      <c r="W1029" s="108">
        <f>1-AI1029</f>
        <v/>
      </c>
      <c r="X1029" s="108">
        <f>ABS(AJ1029-AJ$1)</f>
        <v/>
      </c>
      <c r="Y1029" s="108">
        <f>AVERAGE(Z1029:AB1029)</f>
        <v/>
      </c>
      <c r="Z1029" s="108">
        <f>ABS(AL1029-AL$1)</f>
        <v/>
      </c>
      <c r="AA1029" s="108">
        <f>ABS(AM1029-AM$1)</f>
        <v/>
      </c>
      <c r="AB1029" s="108">
        <f>ABS(AN1029-AN$1)</f>
        <v/>
      </c>
      <c r="AC1029" s="108" t="n"/>
      <c r="AD1029" s="108" t="n"/>
      <c r="AE1029" s="108">
        <f>ABS(AQ$1-AQ1029)</f>
        <v/>
      </c>
      <c r="AF1029" s="108">
        <f>ABS(AR$1-AR1029)</f>
        <v/>
      </c>
      <c r="AG1029" s="108">
        <f>ABS(AS$1-AS1029)</f>
        <v/>
      </c>
      <c r="AH1029" s="108">
        <f>ABS(AT$1-AT1029)</f>
        <v/>
      </c>
      <c r="AI1029" s="108">
        <f>ABS(AU$1-AU1029)</f>
        <v/>
      </c>
      <c r="AJ1029" s="108">
        <f>(AV1029-Driver!$K$179)/(Driver!$L$179-Driver!$K$179)</f>
        <v/>
      </c>
      <c r="AK1029" s="108">
        <f>(AW1029-Driver!$K$180)/(Driver!$L$180-Driver!$K$180)</f>
        <v/>
      </c>
      <c r="AL1029" s="108">
        <f>(AX1029-Driver!$K$181)/(Driver!$L$181-Driver!$K$181)</f>
        <v/>
      </c>
      <c r="AM1029" s="108">
        <f>(AY1029-Driver!$K$182)/(Driver!$L$182-Driver!$K$182)</f>
        <v/>
      </c>
      <c r="AN1029" s="108">
        <f>(AZ1029-Driver!$K$183)/(Driver!$L$183-Driver!$K$183)</f>
        <v/>
      </c>
      <c r="AO1029" s="108" t="n"/>
      <c r="AP1029" s="108" t="n"/>
      <c r="AQ1029" s="108">
        <f>(BC1029-Driver!$K$188)/(Driver!$L$188-Driver!$K$188)</f>
        <v/>
      </c>
      <c r="AR1029" s="108">
        <f>MIN((BD1029-Driver!$K$189)/(Driver!$L$189-Driver!$K$189),100%)</f>
        <v/>
      </c>
      <c r="AS1029" s="108">
        <f>(BE1029-Driver!$K$190)/(Driver!$L$190-Driver!$K$190)</f>
        <v/>
      </c>
      <c r="AT1029" s="108">
        <f>(BF1029-Driver!$K$191)/(Driver!$L$191-Driver!$K$191)</f>
        <v/>
      </c>
      <c r="AU1029" s="108">
        <f>(BG1029-Driver!$K$192)/(Driver!$L$192-Driver!$K$192)</f>
        <v/>
      </c>
      <c r="AV1029" s="105">
        <f>IFERROR(BM1029*BJ1029^1/4,"")</f>
        <v/>
      </c>
      <c r="AW1029" s="105">
        <f>IFERROR(SUM(AX1029:AZ1029),"")</f>
        <v/>
      </c>
      <c r="AX1029" s="105">
        <f>IFERROR(BH1029,"")</f>
        <v/>
      </c>
      <c r="AY1029" s="105">
        <f>IFERROR(Driver!$K$19/Data!BH1029/Data!BI1029*Data!BK1029*Data!BL1029,"")</f>
        <v/>
      </c>
      <c r="AZ1029" s="105">
        <f>IFERROR(BI1029*BN1029,"")</f>
        <v/>
      </c>
      <c r="BA1029" s="105" t="n"/>
      <c r="BB1029" s="105" t="n"/>
      <c r="BC1029" s="105">
        <f>IFERROR(BI1029*BN1029*BK1029/BJ1029^(1/2),"")</f>
        <v/>
      </c>
      <c r="BD1029" s="105">
        <f>IFERROR(BH1029*BM1029*BL1029/BJ1029/BK1029,"")</f>
        <v/>
      </c>
      <c r="BE1029" s="105">
        <f>IFERROR(MIN(BI1029/BQ1029/BP1029/BO1029/BH1029,$BE$1),"")</f>
        <v/>
      </c>
      <c r="BF1029" s="105">
        <f>IFERROR(BJ1029*BO1029*BP1029/BK1029,"")</f>
        <v/>
      </c>
      <c r="BG1029" s="105">
        <f>IFERROR(1/BM1029/BH1029*BQ1029,"")</f>
        <v/>
      </c>
      <c r="BH1029" s="102">
        <f>MAX((CE1029-Driver!$F$200)/(Driver!$G$200-Driver!$F$200)*$BI$1,1)</f>
        <v/>
      </c>
      <c r="BI1029" s="102">
        <f>MAX($BI$1*(BY1029-Driver!$F$201)/(Driver!$G$201-Driver!$F$201),1)</f>
        <v/>
      </c>
      <c r="BJ1029" s="102">
        <f>(CB1029-Driver!$F$206)/(Driver!$G$206-Driver!$F$206)*$BI$1</f>
        <v/>
      </c>
      <c r="BK1029" s="102">
        <f>(CD1029-Driver!$F$203)/(Driver!$G$203-Driver!$F$203)*$BI$1</f>
        <v/>
      </c>
      <c r="BL1029" s="102">
        <f>MAX((CR1029-Driver!$F$202)/(Driver!$G$202-Driver!$F$202)*$BI$1,1)</f>
        <v/>
      </c>
      <c r="BM1029" s="102">
        <f>MAX((CH1029-Driver!$F$204)/(Driver!$G$204-Driver!$F$204)*$BI$1,1)</f>
        <v/>
      </c>
      <c r="BN1029" s="102">
        <f>(CI1029-Driver!$F$205)/(Driver!$G$205-Driver!$F$205)*$BI$1</f>
        <v/>
      </c>
      <c r="BO1029" s="102">
        <f>(CK1029-Driver!$F$207)/(Driver!$G$207-Driver!$F$207)*$BI$1</f>
        <v/>
      </c>
      <c r="BP1029" s="102">
        <f>(CM1029-Driver!$F$208)/(Driver!$G$208-Driver!$F$208)*$BI$1</f>
        <v/>
      </c>
      <c r="BQ1029" s="102">
        <f>(CL1029-Driver!$F$209)/(Driver!$G$209-Driver!$F$209)*$BI$1</f>
        <v/>
      </c>
      <c r="BR1029" s="40" t="inlineStr">
        <is>
          <t>21/22</t>
        </is>
      </c>
      <c r="BS1029" s="10" t="inlineStr">
        <is>
          <t xml:space="preserve"> Nordica</t>
        </is>
      </c>
      <c r="BT1029" s="11" t="inlineStr">
        <is>
          <t>Belle 72 Ca</t>
        </is>
      </c>
      <c r="BU1029" s="13" t="n">
        <v>156</v>
      </c>
      <c r="BV1029" s="11" t="inlineStr">
        <is>
          <t xml:space="preserve"> Women's</t>
        </is>
      </c>
      <c r="BW1029" s="13" t="n">
        <v>156</v>
      </c>
      <c r="BX1029" s="13" t="n">
        <v>155.6</v>
      </c>
      <c r="BY1029" s="13" t="n">
        <v>133</v>
      </c>
      <c r="BZ1029" s="13" t="n">
        <v>140</v>
      </c>
      <c r="CA1029" s="13" t="n">
        <v>119</v>
      </c>
      <c r="CB1029" s="13" t="n">
        <v>71</v>
      </c>
      <c r="CC1029" s="13" t="n">
        <v>98</v>
      </c>
      <c r="CD1029" s="13" t="n">
        <v>12.7</v>
      </c>
      <c r="CE1029" s="13" t="n">
        <v>1661</v>
      </c>
      <c r="CF1029" s="13" t="n">
        <v>0.8</v>
      </c>
      <c r="CG1029" s="13" t="n">
        <v>1327</v>
      </c>
      <c r="CH1029" s="13" t="n">
        <v>156</v>
      </c>
      <c r="CI1029" s="13" t="n">
        <v>53</v>
      </c>
      <c r="CJ1029" s="13" t="n">
        <v>36</v>
      </c>
      <c r="CK1029" s="13" t="n">
        <v>144</v>
      </c>
      <c r="CL1029" s="13" t="n">
        <v>9</v>
      </c>
      <c r="CM1029" s="13" t="n">
        <v>86</v>
      </c>
      <c r="CN1029" s="13" t="n">
        <v>0.246</v>
      </c>
      <c r="CO1029" s="13" t="n">
        <v>65</v>
      </c>
      <c r="CP1029" s="13" t="n">
        <v>86</v>
      </c>
      <c r="CQ1029" s="13" t="n">
        <v>79</v>
      </c>
      <c r="CR1029" s="13" t="n">
        <v>9</v>
      </c>
      <c r="CS1029" s="13" t="n">
        <v>9.300000000000001</v>
      </c>
      <c r="CT1029" s="11" t="inlineStr">
        <is>
          <t xml:space="preserve"> On-Piste Carving</t>
        </is>
      </c>
      <c r="CU1029" s="13" t="n"/>
      <c r="CV1029" s="13" t="n"/>
      <c r="CW1029" s="13" t="n"/>
      <c r="CX1029">
        <f>INDEX('Data_Price '!AG$2:AG$1266,MATCH(Data!$DN1029,'Data_Price '!$AT$2:$AT$1266,0))</f>
        <v/>
      </c>
      <c r="CY1029">
        <f>INDEX('Data_Price '!AH$2:AH$1266,MATCH(Data!$DN1029,'Data_Price '!$AT$2:$AT$1266,0))</f>
        <v/>
      </c>
      <c r="CZ1029">
        <f>INDEX('Data_Price '!AI$2:AI$1266,MATCH(Data!$DN1029,'Data_Price '!$AT$2:$AT$1266,0))</f>
        <v/>
      </c>
      <c r="DA1029">
        <f>INDEX('Data_Price '!AJ$2:AJ$1266,MATCH(Data!$DN1029,'Data_Price '!$AT$2:$AT$1266,0))</f>
        <v/>
      </c>
      <c r="DB1029">
        <f>INDEX('Data_Price '!AK$2:AK$1266,MATCH(Data!$DN1029,'Data_Price '!$AT$2:$AT$1266,0))</f>
        <v/>
      </c>
      <c r="DC1029">
        <f>INDEX('Data_Price '!AL$2:AL$1266,MATCH(Data!$DN1029,'Data_Price '!$AT$2:$AT$1266,0))</f>
        <v/>
      </c>
      <c r="DD1029">
        <f>INDEX('Data_Price '!AM$2:AM$1266,MATCH(Data!$DN1029,'Data_Price '!$AT$2:$AT$1266,0))</f>
        <v/>
      </c>
      <c r="DE1029">
        <f>INDEX('Data_Price '!AN$2:AN$1266,MATCH(Data!$DN1029,'Data_Price '!$AT$2:$AT$1266,0))</f>
        <v/>
      </c>
      <c r="DF1029">
        <f>INDEX('Data_Price '!AO$2:AO$1266,MATCH(Data!$DN1029,'Data_Price '!$AT$2:$AT$1266,0))</f>
        <v/>
      </c>
      <c r="DG1029">
        <f>INDEX('Data_Price '!AP$2:AP$1266,MATCH(Data!$DN1029,'Data_Price '!$AT$2:$AT$1266,0))</f>
        <v/>
      </c>
      <c r="DH1029">
        <f>INDEX('Data_Price '!AQ$2:AQ$1266,MATCH(Data!$DN1029,'Data_Price '!$AT$2:$AT$1266,0))</f>
        <v/>
      </c>
      <c r="DI1029">
        <f>INDEX('Data_Price '!AR$2:AR$1266,MATCH(Data!$DN1029,'Data_Price '!$AT$2:$AT$1266,0))</f>
        <v/>
      </c>
      <c r="DJ1029" s="138">
        <f>DA1029</f>
        <v/>
      </c>
      <c r="DK1029" s="138">
        <f>DE1029</f>
        <v/>
      </c>
      <c r="DL1029" s="138">
        <f>DI1029</f>
        <v/>
      </c>
      <c r="DM1029" s="303">
        <f>IF(LEFT(BT1029,1)=" ",RIGHT(BT1029,LEN(BT1029)-1),BT1029)</f>
        <v/>
      </c>
      <c r="DN1029" s="138">
        <f>_xlfn.CONCAT(BS1029,DM1029,BU1029,BV1029)</f>
        <v/>
      </c>
      <c r="DO1029" s="307" t="n"/>
    </row>
    <row r="1030" ht="15.6" customHeight="1" s="184">
      <c r="B1030" s="303">
        <f t="array" ref="B1030">IF(OR(ISERROR(K1030:P1030)),FALSE,TRUE)</f>
        <v/>
      </c>
      <c r="C1030" s="60">
        <f>OR(BR1030=Driver!$G$50,Data!BR199=Driver!$H$50)</f>
        <v/>
      </c>
      <c r="D1030" s="60">
        <f>OR(BV1030=Driver!$G$51,BV1030=Driver!$H$51)</f>
        <v/>
      </c>
      <c r="E1030" s="60">
        <f>AND(BX1030&gt;Driver!$F$54,BX1030&lt;Driver!$G$54)</f>
        <v/>
      </c>
      <c r="F1030" s="60">
        <f>CL1030&gt;Driver!$F$56</f>
        <v/>
      </c>
      <c r="G1030" s="60">
        <f>AND(CB1030&gt;Driver!$F$55,CB1030&lt;Driver!$G$55)</f>
        <v/>
      </c>
      <c r="H1030" s="60">
        <f>AND(B1030:G1030)</f>
        <v/>
      </c>
      <c r="I1030" s="60">
        <f>COUNTIFS($H$9:$H$1273,TRUE,$BT$9:$BT$1273,BT1030)</f>
        <v/>
      </c>
      <c r="J1030" s="60">
        <f t="array" ref="J1030">NOT(OR(($H$9:$H$1273=TRUE)*($I$9:$I$1273&gt;0)*($BT$9:$BT$1273=BT1030)*($K$9:$K$1273&gt;K1030)))</f>
        <v/>
      </c>
      <c r="K1030" s="108">
        <f>IFERROR(1-AVERAGE(X1030:Y1030),"")</f>
        <v/>
      </c>
      <c r="L1030" s="108">
        <f>1-X1030</f>
        <v/>
      </c>
      <c r="M1030" s="108">
        <f>1-Y1030</f>
        <v/>
      </c>
      <c r="N1030" s="108">
        <f>1-Z1030</f>
        <v/>
      </c>
      <c r="O1030" s="108">
        <f>1-AA1030</f>
        <v/>
      </c>
      <c r="P1030" s="108">
        <f>1-AB1030</f>
        <v/>
      </c>
      <c r="Q1030" s="108" t="n"/>
      <c r="R1030" s="108" t="n"/>
      <c r="S1030" s="108">
        <f>1-AE1030</f>
        <v/>
      </c>
      <c r="T1030" s="108">
        <f>1-AF1030</f>
        <v/>
      </c>
      <c r="U1030" s="108">
        <f>1-AG1030</f>
        <v/>
      </c>
      <c r="V1030" s="108">
        <f>1-AH1030</f>
        <v/>
      </c>
      <c r="W1030" s="108">
        <f>1-AI1030</f>
        <v/>
      </c>
      <c r="X1030" s="108">
        <f>ABS(AJ1030-AJ$1)</f>
        <v/>
      </c>
      <c r="Y1030" s="108">
        <f>AVERAGE(Z1030:AB1030)</f>
        <v/>
      </c>
      <c r="Z1030" s="108">
        <f>ABS(AL1030-AL$1)</f>
        <v/>
      </c>
      <c r="AA1030" s="108">
        <f>ABS(AM1030-AM$1)</f>
        <v/>
      </c>
      <c r="AB1030" s="108">
        <f>ABS(AN1030-AN$1)</f>
        <v/>
      </c>
      <c r="AC1030" s="108" t="n"/>
      <c r="AD1030" s="108" t="n"/>
      <c r="AE1030" s="108">
        <f>ABS(AQ$1-AQ1030)</f>
        <v/>
      </c>
      <c r="AF1030" s="108">
        <f>ABS(AR$1-AR1030)</f>
        <v/>
      </c>
      <c r="AG1030" s="108">
        <f>ABS(AS$1-AS1030)</f>
        <v/>
      </c>
      <c r="AH1030" s="108">
        <f>ABS(AT$1-AT1030)</f>
        <v/>
      </c>
      <c r="AI1030" s="108">
        <f>ABS(AU$1-AU1030)</f>
        <v/>
      </c>
      <c r="AJ1030" s="108">
        <f>(AV1030-Driver!$K$179)/(Driver!$L$179-Driver!$K$179)</f>
        <v/>
      </c>
      <c r="AK1030" s="108">
        <f>(AW1030-Driver!$K$180)/(Driver!$L$180-Driver!$K$180)</f>
        <v/>
      </c>
      <c r="AL1030" s="108">
        <f>(AX1030-Driver!$K$181)/(Driver!$L$181-Driver!$K$181)</f>
        <v/>
      </c>
      <c r="AM1030" s="108">
        <f>(AY1030-Driver!$K$182)/(Driver!$L$182-Driver!$K$182)</f>
        <v/>
      </c>
      <c r="AN1030" s="108">
        <f>(AZ1030-Driver!$K$183)/(Driver!$L$183-Driver!$K$183)</f>
        <v/>
      </c>
      <c r="AO1030" s="108" t="n"/>
      <c r="AP1030" s="108" t="n"/>
      <c r="AQ1030" s="108">
        <f>(BC1030-Driver!$K$188)/(Driver!$L$188-Driver!$K$188)</f>
        <v/>
      </c>
      <c r="AR1030" s="108">
        <f>MIN((BD1030-Driver!$K$189)/(Driver!$L$189-Driver!$K$189),100%)</f>
        <v/>
      </c>
      <c r="AS1030" s="108">
        <f>(BE1030-Driver!$K$190)/(Driver!$L$190-Driver!$K$190)</f>
        <v/>
      </c>
      <c r="AT1030" s="108">
        <f>(BF1030-Driver!$K$191)/(Driver!$L$191-Driver!$K$191)</f>
        <v/>
      </c>
      <c r="AU1030" s="108">
        <f>(BG1030-Driver!$K$192)/(Driver!$L$192-Driver!$K$192)</f>
        <v/>
      </c>
      <c r="AV1030" s="105">
        <f>IFERROR(BM1030*BJ1030^1/4,"")</f>
        <v/>
      </c>
      <c r="AW1030" s="105">
        <f>IFERROR(SUM(AX1030:AZ1030),"")</f>
        <v/>
      </c>
      <c r="AX1030" s="105">
        <f>IFERROR(BH1030,"")</f>
        <v/>
      </c>
      <c r="AY1030" s="105">
        <f>IFERROR(Driver!$K$19/Data!BH1030/Data!BI1030*Data!BK1030*Data!BL1030,"")</f>
        <v/>
      </c>
      <c r="AZ1030" s="105">
        <f>IFERROR(BI1030*BN1030,"")</f>
        <v/>
      </c>
      <c r="BA1030" s="105" t="n"/>
      <c r="BB1030" s="105" t="n"/>
      <c r="BC1030" s="105">
        <f>IFERROR(BI1030*BN1030*BK1030/BJ1030^(1/2),"")</f>
        <v/>
      </c>
      <c r="BD1030" s="105">
        <f>IFERROR(BH1030*BM1030*BL1030/BJ1030/BK1030,"")</f>
        <v/>
      </c>
      <c r="BE1030" s="105">
        <f>IFERROR(MIN(BI1030/BQ1030/BP1030/BO1030/BH1030,$BE$1),"")</f>
        <v/>
      </c>
      <c r="BF1030" s="105">
        <f>IFERROR(BJ1030*BO1030*BP1030/BK1030,"")</f>
        <v/>
      </c>
      <c r="BG1030" s="105">
        <f>IFERROR(1/BM1030/BH1030*BQ1030,"")</f>
        <v/>
      </c>
      <c r="BH1030" s="102">
        <f>MAX((CE1030-Driver!$F$200)/(Driver!$G$200-Driver!$F$200)*$BI$1,1)</f>
        <v/>
      </c>
      <c r="BI1030" s="102">
        <f>MAX($BI$1*(BY1030-Driver!$F$201)/(Driver!$G$201-Driver!$F$201),1)</f>
        <v/>
      </c>
      <c r="BJ1030" s="102">
        <f>(CB1030-Driver!$F$206)/(Driver!$G$206-Driver!$F$206)*$BI$1</f>
        <v/>
      </c>
      <c r="BK1030" s="102">
        <f>(CD1030-Driver!$F$203)/(Driver!$G$203-Driver!$F$203)*$BI$1</f>
        <v/>
      </c>
      <c r="BL1030" s="102">
        <f>MAX((CR1030-Driver!$F$202)/(Driver!$G$202-Driver!$F$202)*$BI$1,1)</f>
        <v/>
      </c>
      <c r="BM1030" s="102">
        <f>MAX((CH1030-Driver!$F$204)/(Driver!$G$204-Driver!$F$204)*$BI$1,1)</f>
        <v/>
      </c>
      <c r="BN1030" s="102">
        <f>(CI1030-Driver!$F$205)/(Driver!$G$205-Driver!$F$205)*$BI$1</f>
        <v/>
      </c>
      <c r="BO1030" s="102">
        <f>(CK1030-Driver!$F$207)/(Driver!$G$207-Driver!$F$207)*$BI$1</f>
        <v/>
      </c>
      <c r="BP1030" s="102">
        <f>(CM1030-Driver!$F$208)/(Driver!$G$208-Driver!$F$208)*$BI$1</f>
        <v/>
      </c>
      <c r="BQ1030" s="102">
        <f>(CL1030-Driver!$F$209)/(Driver!$G$209-Driver!$F$209)*$BI$1</f>
        <v/>
      </c>
      <c r="BR1030" s="40" t="inlineStr">
        <is>
          <t>21/22</t>
        </is>
      </c>
      <c r="BS1030" s="10" t="inlineStr">
        <is>
          <t xml:space="preserve"> Black Crows</t>
        </is>
      </c>
      <c r="BT1030" s="11" t="inlineStr">
        <is>
          <t xml:space="preserve"> Atris</t>
        </is>
      </c>
      <c r="BU1030" s="13" t="n">
        <v>189.7</v>
      </c>
      <c r="BV1030" s="11" t="inlineStr">
        <is>
          <t xml:space="preserve"> Unisex</t>
        </is>
      </c>
      <c r="BW1030" s="13" t="n">
        <v>189.7</v>
      </c>
      <c r="BX1030" s="13" t="n">
        <v>187.6</v>
      </c>
      <c r="BY1030" s="13" t="n">
        <v>131</v>
      </c>
      <c r="BZ1030" s="13" t="n">
        <v>151</v>
      </c>
      <c r="CA1030" s="13" t="n">
        <v>139</v>
      </c>
      <c r="CB1030" s="13" t="n">
        <v>107</v>
      </c>
      <c r="CC1030" s="13" t="n">
        <v>126</v>
      </c>
      <c r="CD1030" s="13" t="n">
        <v>20.4</v>
      </c>
      <c r="CE1030" s="13" t="n">
        <v>2131</v>
      </c>
      <c r="CF1030" s="13" t="n">
        <v>1.04</v>
      </c>
      <c r="CG1030" s="13" t="n">
        <v>2208</v>
      </c>
      <c r="CH1030" s="13" t="n">
        <v>251</v>
      </c>
      <c r="CI1030" s="13" t="n">
        <v>121</v>
      </c>
      <c r="CJ1030" s="13" t="n">
        <v>52</v>
      </c>
      <c r="CK1030" s="13" t="n">
        <v>334</v>
      </c>
      <c r="CL1030" s="13" t="n">
        <v>34</v>
      </c>
      <c r="CM1030" s="13" t="n">
        <v>234</v>
      </c>
      <c r="CN1030" s="13" t="n">
        <v>0.65</v>
      </c>
      <c r="CO1030" s="13" t="n">
        <v>227</v>
      </c>
      <c r="CP1030" s="13" t="n">
        <v>141</v>
      </c>
      <c r="CQ1030" s="13" t="n">
        <v>108</v>
      </c>
      <c r="CR1030" s="13" t="n">
        <v>5</v>
      </c>
      <c r="CS1030" s="13" t="n">
        <v>8.1</v>
      </c>
      <c r="CT1030" s="11" t="inlineStr">
        <is>
          <t xml:space="preserve"> Powder</t>
        </is>
      </c>
      <c r="CU1030" s="13" t="n"/>
      <c r="CV1030" s="13" t="n"/>
      <c r="CW1030" s="13" t="n"/>
      <c r="CX1030">
        <f>INDEX('Data_Price '!AG$2:AG$1266,MATCH(Data!$DN1030,'Data_Price '!$AT$2:$AT$1266,0))</f>
        <v/>
      </c>
      <c r="CY1030">
        <f>INDEX('Data_Price '!AH$2:AH$1266,MATCH(Data!$DN1030,'Data_Price '!$AT$2:$AT$1266,0))</f>
        <v/>
      </c>
      <c r="CZ1030">
        <f>INDEX('Data_Price '!AI$2:AI$1266,MATCH(Data!$DN1030,'Data_Price '!$AT$2:$AT$1266,0))</f>
        <v/>
      </c>
      <c r="DA1030">
        <f>INDEX('Data_Price '!AJ$2:AJ$1266,MATCH(Data!$DN1030,'Data_Price '!$AT$2:$AT$1266,0))</f>
        <v/>
      </c>
      <c r="DB1030">
        <f>INDEX('Data_Price '!AK$2:AK$1266,MATCH(Data!$DN1030,'Data_Price '!$AT$2:$AT$1266,0))</f>
        <v/>
      </c>
      <c r="DC1030">
        <f>INDEX('Data_Price '!AL$2:AL$1266,MATCH(Data!$DN1030,'Data_Price '!$AT$2:$AT$1266,0))</f>
        <v/>
      </c>
      <c r="DD1030">
        <f>INDEX('Data_Price '!AM$2:AM$1266,MATCH(Data!$DN1030,'Data_Price '!$AT$2:$AT$1266,0))</f>
        <v/>
      </c>
      <c r="DE1030">
        <f>INDEX('Data_Price '!AN$2:AN$1266,MATCH(Data!$DN1030,'Data_Price '!$AT$2:$AT$1266,0))</f>
        <v/>
      </c>
      <c r="DF1030">
        <f>INDEX('Data_Price '!AO$2:AO$1266,MATCH(Data!$DN1030,'Data_Price '!$AT$2:$AT$1266,0))</f>
        <v/>
      </c>
      <c r="DG1030">
        <f>INDEX('Data_Price '!AP$2:AP$1266,MATCH(Data!$DN1030,'Data_Price '!$AT$2:$AT$1266,0))</f>
        <v/>
      </c>
      <c r="DH1030">
        <f>INDEX('Data_Price '!AQ$2:AQ$1266,MATCH(Data!$DN1030,'Data_Price '!$AT$2:$AT$1266,0))</f>
        <v/>
      </c>
      <c r="DI1030">
        <f>INDEX('Data_Price '!AR$2:AR$1266,MATCH(Data!$DN1030,'Data_Price '!$AT$2:$AT$1266,0))</f>
        <v/>
      </c>
      <c r="DJ1030" s="138">
        <f>DA1030</f>
        <v/>
      </c>
      <c r="DK1030" s="138">
        <f>DE1030</f>
        <v/>
      </c>
      <c r="DL1030" s="138">
        <f>DI1030</f>
        <v/>
      </c>
      <c r="DM1030" s="303">
        <f>IF(LEFT(BT1030,1)=" ",RIGHT(BT1030,LEN(BT1030)-1),BT1030)</f>
        <v/>
      </c>
      <c r="DN1030" s="138">
        <f>_xlfn.CONCAT(BS1030,DM1030,BU1030,BV1030)</f>
        <v/>
      </c>
      <c r="DO1030" s="307" t="inlineStr">
        <is>
          <t>https://images.evo.com/imgp/250/181603/727242/black-crows-atris-skis-2022-.jpg</t>
        </is>
      </c>
    </row>
    <row r="1031" ht="15.6" customHeight="1" s="184">
      <c r="B1031" s="303">
        <f t="array" ref="B1031">IF(OR(ISERROR(K1031:P1031)),FALSE,TRUE)</f>
        <v/>
      </c>
      <c r="C1031" s="60">
        <f>OR(BR1031=Driver!$G$50,Data!BR886=Driver!$H$50)</f>
        <v/>
      </c>
      <c r="D1031" s="60">
        <f>OR(BV1031=Driver!$G$51,BV1031=Driver!$H$51)</f>
        <v/>
      </c>
      <c r="E1031" s="60">
        <f>AND(BX1031&gt;Driver!$F$54,BX1031&lt;Driver!$G$54)</f>
        <v/>
      </c>
      <c r="F1031" s="60">
        <f>CL1031&gt;Driver!$F$56</f>
        <v/>
      </c>
      <c r="G1031" s="60">
        <f>AND(CB1031&gt;Driver!$F$55,CB1031&lt;Driver!$G$55)</f>
        <v/>
      </c>
      <c r="H1031" s="60">
        <f>AND(B1031:G1031)</f>
        <v/>
      </c>
      <c r="I1031" s="60">
        <f>COUNTIFS($H$9:$H$1273,TRUE,$BT$9:$BT$1273,BT1031)</f>
        <v/>
      </c>
      <c r="J1031" s="60">
        <f t="array" ref="J1031">NOT(OR(($H$9:$H$1273=TRUE)*($I$9:$I$1273&gt;0)*($BT$9:$BT$1273=BT1031)*($K$9:$K$1273&gt;K1031)))</f>
        <v/>
      </c>
      <c r="K1031" s="108">
        <f>IFERROR(1-AVERAGE(X1031:Y1031),"")</f>
        <v/>
      </c>
      <c r="L1031" s="108">
        <f>1-X1031</f>
        <v/>
      </c>
      <c r="M1031" s="108">
        <f>1-Y1031</f>
        <v/>
      </c>
      <c r="N1031" s="108">
        <f>1-Z1031</f>
        <v/>
      </c>
      <c r="O1031" s="108">
        <f>1-AA1031</f>
        <v/>
      </c>
      <c r="P1031" s="108">
        <f>1-AB1031</f>
        <v/>
      </c>
      <c r="Q1031" s="108" t="n"/>
      <c r="R1031" s="108" t="n"/>
      <c r="S1031" s="108">
        <f>1-AE1031</f>
        <v/>
      </c>
      <c r="T1031" s="108">
        <f>1-AF1031</f>
        <v/>
      </c>
      <c r="U1031" s="108">
        <f>1-AG1031</f>
        <v/>
      </c>
      <c r="V1031" s="108">
        <f>1-AH1031</f>
        <v/>
      </c>
      <c r="W1031" s="108">
        <f>1-AI1031</f>
        <v/>
      </c>
      <c r="X1031" s="108">
        <f>ABS(AJ1031-AJ$1)</f>
        <v/>
      </c>
      <c r="Y1031" s="108">
        <f>AVERAGE(Z1031:AB1031)</f>
        <v/>
      </c>
      <c r="Z1031" s="108">
        <f>ABS(AL1031-AL$1)</f>
        <v/>
      </c>
      <c r="AA1031" s="108">
        <f>ABS(AM1031-AM$1)</f>
        <v/>
      </c>
      <c r="AB1031" s="108">
        <f>ABS(AN1031-AN$1)</f>
        <v/>
      </c>
      <c r="AC1031" s="108" t="n"/>
      <c r="AD1031" s="108" t="n"/>
      <c r="AE1031" s="108">
        <f>ABS(AQ$1-AQ1031)</f>
        <v/>
      </c>
      <c r="AF1031" s="108">
        <f>ABS(AR$1-AR1031)</f>
        <v/>
      </c>
      <c r="AG1031" s="108">
        <f>ABS(AS$1-AS1031)</f>
        <v/>
      </c>
      <c r="AH1031" s="108">
        <f>ABS(AT$1-AT1031)</f>
        <v/>
      </c>
      <c r="AI1031" s="108">
        <f>ABS(AU$1-AU1031)</f>
        <v/>
      </c>
      <c r="AJ1031" s="108">
        <f>(AV1031-Driver!$K$179)/(Driver!$L$179-Driver!$K$179)</f>
        <v/>
      </c>
      <c r="AK1031" s="108">
        <f>(AW1031-Driver!$K$180)/(Driver!$L$180-Driver!$K$180)</f>
        <v/>
      </c>
      <c r="AL1031" s="108">
        <f>(AX1031-Driver!$K$181)/(Driver!$L$181-Driver!$K$181)</f>
        <v/>
      </c>
      <c r="AM1031" s="108">
        <f>(AY1031-Driver!$K$182)/(Driver!$L$182-Driver!$K$182)</f>
        <v/>
      </c>
      <c r="AN1031" s="108">
        <f>(AZ1031-Driver!$K$183)/(Driver!$L$183-Driver!$K$183)</f>
        <v/>
      </c>
      <c r="AO1031" s="108" t="n"/>
      <c r="AP1031" s="108" t="n"/>
      <c r="AQ1031" s="108">
        <f>(BC1031-Driver!$K$188)/(Driver!$L$188-Driver!$K$188)</f>
        <v/>
      </c>
      <c r="AR1031" s="108">
        <f>MIN((BD1031-Driver!$K$189)/(Driver!$L$189-Driver!$K$189),100%)</f>
        <v/>
      </c>
      <c r="AS1031" s="108">
        <f>(BE1031-Driver!$K$190)/(Driver!$L$190-Driver!$K$190)</f>
        <v/>
      </c>
      <c r="AT1031" s="108">
        <f>(BF1031-Driver!$K$191)/(Driver!$L$191-Driver!$K$191)</f>
        <v/>
      </c>
      <c r="AU1031" s="108">
        <f>(BG1031-Driver!$K$192)/(Driver!$L$192-Driver!$K$192)</f>
        <v/>
      </c>
      <c r="AV1031" s="105">
        <f>IFERROR(BM1031*BJ1031^1/4,"")</f>
        <v/>
      </c>
      <c r="AW1031" s="105">
        <f>IFERROR(SUM(AX1031:AZ1031),"")</f>
        <v/>
      </c>
      <c r="AX1031" s="105">
        <f>IFERROR(BH1031,"")</f>
        <v/>
      </c>
      <c r="AY1031" s="105">
        <f>IFERROR(Driver!$K$19/Data!BH1031/Data!BI1031*Data!BK1031*Data!BL1031,"")</f>
        <v/>
      </c>
      <c r="AZ1031" s="105">
        <f>IFERROR(BI1031*BN1031,"")</f>
        <v/>
      </c>
      <c r="BA1031" s="105" t="n"/>
      <c r="BB1031" s="105" t="n"/>
      <c r="BC1031" s="105">
        <f>IFERROR(BI1031*BN1031*BK1031/BJ1031^(1/2),"")</f>
        <v/>
      </c>
      <c r="BD1031" s="105">
        <f>IFERROR(BH1031*BM1031*BL1031/BJ1031/BK1031,"")</f>
        <v/>
      </c>
      <c r="BE1031" s="105">
        <f>IFERROR(MIN(BI1031/BQ1031/BP1031/BO1031/BH1031,$BE$1),"")</f>
        <v/>
      </c>
      <c r="BF1031" s="105">
        <f>IFERROR(BJ1031*BO1031*BP1031/BK1031,"")</f>
        <v/>
      </c>
      <c r="BG1031" s="105">
        <f>IFERROR(1/BM1031/BH1031*BQ1031,"")</f>
        <v/>
      </c>
      <c r="BH1031" s="102">
        <f>MAX((CE1031-Driver!$F$200)/(Driver!$G$200-Driver!$F$200)*$BI$1,1)</f>
        <v/>
      </c>
      <c r="BI1031" s="102">
        <f>MAX($BI$1*(BY1031-Driver!$F$201)/(Driver!$G$201-Driver!$F$201),1)</f>
        <v/>
      </c>
      <c r="BJ1031" s="102">
        <f>(CB1031-Driver!$F$206)/(Driver!$G$206-Driver!$F$206)*$BI$1</f>
        <v/>
      </c>
      <c r="BK1031" s="102">
        <f>(CD1031-Driver!$F$203)/(Driver!$G$203-Driver!$F$203)*$BI$1</f>
        <v/>
      </c>
      <c r="BL1031" s="102">
        <f>MAX((CR1031-Driver!$F$202)/(Driver!$G$202-Driver!$F$202)*$BI$1,1)</f>
        <v/>
      </c>
      <c r="BM1031" s="102">
        <f>MAX((CH1031-Driver!$F$204)/(Driver!$G$204-Driver!$F$204)*$BI$1,1)</f>
        <v/>
      </c>
      <c r="BN1031" s="102">
        <f>(CI1031-Driver!$F$205)/(Driver!$G$205-Driver!$F$205)*$BI$1</f>
        <v/>
      </c>
      <c r="BO1031" s="102">
        <f>(CK1031-Driver!$F$207)/(Driver!$G$207-Driver!$F$207)*$BI$1</f>
        <v/>
      </c>
      <c r="BP1031" s="102">
        <f>(CM1031-Driver!$F$208)/(Driver!$G$208-Driver!$F$208)*$BI$1</f>
        <v/>
      </c>
      <c r="BQ1031" s="102">
        <f>(CL1031-Driver!$F$209)/(Driver!$G$209-Driver!$F$209)*$BI$1</f>
        <v/>
      </c>
      <c r="BR1031" s="40" t="inlineStr">
        <is>
          <t>21/22</t>
        </is>
      </c>
      <c r="BS1031" s="10" t="inlineStr">
        <is>
          <t xml:space="preserve"> Nordica</t>
        </is>
      </c>
      <c r="BT1031" s="11" t="inlineStr">
        <is>
          <t>Belle 73</t>
        </is>
      </c>
      <c r="BU1031" s="13" t="n">
        <v>144</v>
      </c>
      <c r="BV1031" s="11" t="inlineStr">
        <is>
          <t xml:space="preserve"> Women's</t>
        </is>
      </c>
      <c r="BW1031" s="13" t="n">
        <v>144</v>
      </c>
      <c r="BX1031" s="13" t="n">
        <v>143.2</v>
      </c>
      <c r="BY1031" s="13" t="n">
        <v>119</v>
      </c>
      <c r="BZ1031" s="13" t="n">
        <v>129</v>
      </c>
      <c r="CA1031" s="13" t="n">
        <v>119</v>
      </c>
      <c r="CB1031" s="13" t="n">
        <v>72</v>
      </c>
      <c r="CC1031" s="13" t="n">
        <v>96</v>
      </c>
      <c r="CD1031" s="13" t="n">
        <v>11.7</v>
      </c>
      <c r="CE1031" s="13" t="n">
        <v>1520</v>
      </c>
      <c r="CF1031" s="13" t="n">
        <v>0.8</v>
      </c>
      <c r="CG1031" s="13" t="n">
        <v>1224</v>
      </c>
      <c r="CH1031" s="13" t="n">
        <v>131</v>
      </c>
      <c r="CI1031" s="13" t="n">
        <v>54</v>
      </c>
      <c r="CJ1031" s="13" t="n">
        <v>38</v>
      </c>
      <c r="CK1031" s="13" t="n">
        <v>147</v>
      </c>
      <c r="CL1031" s="13" t="n">
        <v>9</v>
      </c>
      <c r="CM1031" s="13" t="n">
        <v>91</v>
      </c>
      <c r="CN1031" s="13" t="n">
        <v>0.248</v>
      </c>
      <c r="CO1031" s="13" t="n">
        <v>66</v>
      </c>
      <c r="CP1031" s="13" t="n">
        <v>79</v>
      </c>
      <c r="CQ1031" s="13" t="n">
        <v>81</v>
      </c>
      <c r="CR1031" s="13" t="n">
        <v>7</v>
      </c>
      <c r="CS1031" s="13" t="n">
        <v>9.300000000000001</v>
      </c>
      <c r="CT1031" s="11" t="inlineStr">
        <is>
          <t xml:space="preserve"> On-Piste All-Mountain</t>
        </is>
      </c>
      <c r="CU1031" s="13" t="n"/>
      <c r="CV1031" s="13" t="n"/>
      <c r="CW1031" s="13" t="n"/>
      <c r="CX1031">
        <f>INDEX('Data_Price '!AG$2:AG$1266,MATCH(Data!$DN1031,'Data_Price '!$AT$2:$AT$1266,0))</f>
        <v/>
      </c>
      <c r="CY1031">
        <f>INDEX('Data_Price '!AH$2:AH$1266,MATCH(Data!$DN1031,'Data_Price '!$AT$2:$AT$1266,0))</f>
        <v/>
      </c>
      <c r="CZ1031">
        <f>INDEX('Data_Price '!AI$2:AI$1266,MATCH(Data!$DN1031,'Data_Price '!$AT$2:$AT$1266,0))</f>
        <v/>
      </c>
      <c r="DA1031">
        <f>INDEX('Data_Price '!AJ$2:AJ$1266,MATCH(Data!$DN1031,'Data_Price '!$AT$2:$AT$1266,0))</f>
        <v/>
      </c>
      <c r="DB1031">
        <f>INDEX('Data_Price '!AK$2:AK$1266,MATCH(Data!$DN1031,'Data_Price '!$AT$2:$AT$1266,0))</f>
        <v/>
      </c>
      <c r="DC1031">
        <f>INDEX('Data_Price '!AL$2:AL$1266,MATCH(Data!$DN1031,'Data_Price '!$AT$2:$AT$1266,0))</f>
        <v/>
      </c>
      <c r="DD1031">
        <f>INDEX('Data_Price '!AM$2:AM$1266,MATCH(Data!$DN1031,'Data_Price '!$AT$2:$AT$1266,0))</f>
        <v/>
      </c>
      <c r="DE1031">
        <f>INDEX('Data_Price '!AN$2:AN$1266,MATCH(Data!$DN1031,'Data_Price '!$AT$2:$AT$1266,0))</f>
        <v/>
      </c>
      <c r="DF1031">
        <f>INDEX('Data_Price '!AO$2:AO$1266,MATCH(Data!$DN1031,'Data_Price '!$AT$2:$AT$1266,0))</f>
        <v/>
      </c>
      <c r="DG1031">
        <f>INDEX('Data_Price '!AP$2:AP$1266,MATCH(Data!$DN1031,'Data_Price '!$AT$2:$AT$1266,0))</f>
        <v/>
      </c>
      <c r="DH1031">
        <f>INDEX('Data_Price '!AQ$2:AQ$1266,MATCH(Data!$DN1031,'Data_Price '!$AT$2:$AT$1266,0))</f>
        <v/>
      </c>
      <c r="DI1031">
        <f>INDEX('Data_Price '!AR$2:AR$1266,MATCH(Data!$DN1031,'Data_Price '!$AT$2:$AT$1266,0))</f>
        <v/>
      </c>
      <c r="DJ1031" s="138">
        <f>DA1031</f>
        <v/>
      </c>
      <c r="DK1031" s="138">
        <f>DE1031</f>
        <v/>
      </c>
      <c r="DL1031" s="138">
        <f>DI1031</f>
        <v/>
      </c>
      <c r="DM1031" s="303">
        <f>IF(LEFT(BT1031,1)=" ",RIGHT(BT1031,LEN(BT1031)-1),BT1031)</f>
        <v/>
      </c>
      <c r="DN1031" s="138">
        <f>_xlfn.CONCAT(BS1031,DM1031,BU1031,BV1031)</f>
        <v/>
      </c>
      <c r="DO1031" s="307" t="n"/>
    </row>
    <row r="1032" ht="15.6" customHeight="1" s="184">
      <c r="B1032" s="303">
        <f t="array" ref="B1032">IF(OR(ISERROR(K1032:P1032)),FALSE,TRUE)</f>
        <v/>
      </c>
      <c r="C1032" s="60">
        <f>OR(BR1032=Driver!$G$50,Data!BR598=Driver!$H$50)</f>
        <v/>
      </c>
      <c r="D1032" s="60">
        <f>OR(BV1032=Driver!$G$51,BV1032=Driver!$H$51)</f>
        <v/>
      </c>
      <c r="E1032" s="60">
        <f>AND(BX1032&gt;Driver!$F$54,BX1032&lt;Driver!$G$54)</f>
        <v/>
      </c>
      <c r="F1032" s="60">
        <f>CL1032&gt;Driver!$F$56</f>
        <v/>
      </c>
      <c r="G1032" s="60">
        <f>AND(CB1032&gt;Driver!$F$55,CB1032&lt;Driver!$G$55)</f>
        <v/>
      </c>
      <c r="H1032" s="60">
        <f>AND(B1032:G1032)</f>
        <v/>
      </c>
      <c r="I1032" s="60">
        <f>COUNTIFS($H$9:$H$1273,TRUE,$BT$9:$BT$1273,BT1032)</f>
        <v/>
      </c>
      <c r="J1032" s="60">
        <f t="array" ref="J1032">NOT(OR(($H$9:$H$1273=TRUE)*($I$9:$I$1273&gt;0)*($BT$9:$BT$1273=BT1032)*($K$9:$K$1273&gt;K1032)))</f>
        <v/>
      </c>
      <c r="K1032" s="108">
        <f>IFERROR(1-AVERAGE(X1032:Y1032),"")</f>
        <v/>
      </c>
      <c r="L1032" s="108">
        <f>1-X1032</f>
        <v/>
      </c>
      <c r="M1032" s="108">
        <f>1-Y1032</f>
        <v/>
      </c>
      <c r="N1032" s="108">
        <f>1-Z1032</f>
        <v/>
      </c>
      <c r="O1032" s="108">
        <f>1-AA1032</f>
        <v/>
      </c>
      <c r="P1032" s="108">
        <f>1-AB1032</f>
        <v/>
      </c>
      <c r="Q1032" s="108" t="n"/>
      <c r="R1032" s="108" t="n"/>
      <c r="S1032" s="108">
        <f>1-AE1032</f>
        <v/>
      </c>
      <c r="T1032" s="108">
        <f>1-AF1032</f>
        <v/>
      </c>
      <c r="U1032" s="108">
        <f>1-AG1032</f>
        <v/>
      </c>
      <c r="V1032" s="108">
        <f>1-AH1032</f>
        <v/>
      </c>
      <c r="W1032" s="108">
        <f>1-AI1032</f>
        <v/>
      </c>
      <c r="X1032" s="108">
        <f>ABS(AJ1032-AJ$1)</f>
        <v/>
      </c>
      <c r="Y1032" s="108">
        <f>AVERAGE(Z1032:AB1032)</f>
        <v/>
      </c>
      <c r="Z1032" s="108">
        <f>ABS(AL1032-AL$1)</f>
        <v/>
      </c>
      <c r="AA1032" s="108">
        <f>ABS(AM1032-AM$1)</f>
        <v/>
      </c>
      <c r="AB1032" s="108">
        <f>ABS(AN1032-AN$1)</f>
        <v/>
      </c>
      <c r="AC1032" s="108" t="n"/>
      <c r="AD1032" s="108" t="n"/>
      <c r="AE1032" s="108">
        <f>ABS(AQ$1-AQ1032)</f>
        <v/>
      </c>
      <c r="AF1032" s="108">
        <f>ABS(AR$1-AR1032)</f>
        <v/>
      </c>
      <c r="AG1032" s="108">
        <f>ABS(AS$1-AS1032)</f>
        <v/>
      </c>
      <c r="AH1032" s="108">
        <f>ABS(AT$1-AT1032)</f>
        <v/>
      </c>
      <c r="AI1032" s="108">
        <f>ABS(AU$1-AU1032)</f>
        <v/>
      </c>
      <c r="AJ1032" s="108">
        <f>(AV1032-Driver!$K$179)/(Driver!$L$179-Driver!$K$179)</f>
        <v/>
      </c>
      <c r="AK1032" s="108">
        <f>(AW1032-Driver!$K$180)/(Driver!$L$180-Driver!$K$180)</f>
        <v/>
      </c>
      <c r="AL1032" s="108">
        <f>(AX1032-Driver!$K$181)/(Driver!$L$181-Driver!$K$181)</f>
        <v/>
      </c>
      <c r="AM1032" s="108">
        <f>(AY1032-Driver!$K$182)/(Driver!$L$182-Driver!$K$182)</f>
        <v/>
      </c>
      <c r="AN1032" s="108">
        <f>(AZ1032-Driver!$K$183)/(Driver!$L$183-Driver!$K$183)</f>
        <v/>
      </c>
      <c r="AO1032" s="108" t="n"/>
      <c r="AP1032" s="108" t="n"/>
      <c r="AQ1032" s="108">
        <f>(BC1032-Driver!$K$188)/(Driver!$L$188-Driver!$K$188)</f>
        <v/>
      </c>
      <c r="AR1032" s="108">
        <f>MIN((BD1032-Driver!$K$189)/(Driver!$L$189-Driver!$K$189),100%)</f>
        <v/>
      </c>
      <c r="AS1032" s="108">
        <f>(BE1032-Driver!$K$190)/(Driver!$L$190-Driver!$K$190)</f>
        <v/>
      </c>
      <c r="AT1032" s="108">
        <f>(BF1032-Driver!$K$191)/(Driver!$L$191-Driver!$K$191)</f>
        <v/>
      </c>
      <c r="AU1032" s="108">
        <f>(BG1032-Driver!$K$192)/(Driver!$L$192-Driver!$K$192)</f>
        <v/>
      </c>
      <c r="AV1032" s="105">
        <f>IFERROR(BM1032*BJ1032^1/4,"")</f>
        <v/>
      </c>
      <c r="AW1032" s="105">
        <f>IFERROR(SUM(AX1032:AZ1032),"")</f>
        <v/>
      </c>
      <c r="AX1032" s="105">
        <f>IFERROR(BH1032,"")</f>
        <v/>
      </c>
      <c r="AY1032" s="105">
        <f>IFERROR(Driver!$K$19/Data!BH1032/Data!BI1032*Data!BK1032*Data!BL1032,"")</f>
        <v/>
      </c>
      <c r="AZ1032" s="105">
        <f>IFERROR(BI1032*BN1032,"")</f>
        <v/>
      </c>
      <c r="BA1032" s="105" t="n"/>
      <c r="BB1032" s="105" t="n"/>
      <c r="BC1032" s="105">
        <f>IFERROR(BI1032*BN1032*BK1032/BJ1032^(1/2),"")</f>
        <v/>
      </c>
      <c r="BD1032" s="105">
        <f>IFERROR(BH1032*BM1032*BL1032/BJ1032/BK1032,"")</f>
        <v/>
      </c>
      <c r="BE1032" s="105">
        <f>IFERROR(MIN(BI1032/BQ1032/BP1032/BO1032/BH1032,$BE$1),"")</f>
        <v/>
      </c>
      <c r="BF1032" s="105">
        <f>IFERROR(BJ1032*BO1032*BP1032/BK1032,"")</f>
        <v/>
      </c>
      <c r="BG1032" s="105">
        <f>IFERROR(1/BM1032/BH1032*BQ1032,"")</f>
        <v/>
      </c>
      <c r="BH1032" s="102">
        <f>MAX((CE1032-Driver!$F$200)/(Driver!$G$200-Driver!$F$200)*$BI$1,1)</f>
        <v/>
      </c>
      <c r="BI1032" s="102">
        <f>MAX($BI$1*(BY1032-Driver!$F$201)/(Driver!$G$201-Driver!$F$201),1)</f>
        <v/>
      </c>
      <c r="BJ1032" s="102">
        <f>(CB1032-Driver!$F$206)/(Driver!$G$206-Driver!$F$206)*$BI$1</f>
        <v/>
      </c>
      <c r="BK1032" s="102">
        <f>(CD1032-Driver!$F$203)/(Driver!$G$203-Driver!$F$203)*$BI$1</f>
        <v/>
      </c>
      <c r="BL1032" s="102">
        <f>MAX((CR1032-Driver!$F$202)/(Driver!$G$202-Driver!$F$202)*$BI$1,1)</f>
        <v/>
      </c>
      <c r="BM1032" s="102">
        <f>MAX((CH1032-Driver!$F$204)/(Driver!$G$204-Driver!$F$204)*$BI$1,1)</f>
        <v/>
      </c>
      <c r="BN1032" s="102">
        <f>(CI1032-Driver!$F$205)/(Driver!$G$205-Driver!$F$205)*$BI$1</f>
        <v/>
      </c>
      <c r="BO1032" s="102">
        <f>(CK1032-Driver!$F$207)/(Driver!$G$207-Driver!$F$207)*$BI$1</f>
        <v/>
      </c>
      <c r="BP1032" s="102">
        <f>(CM1032-Driver!$F$208)/(Driver!$G$208-Driver!$F$208)*$BI$1</f>
        <v/>
      </c>
      <c r="BQ1032" s="102">
        <f>(CL1032-Driver!$F$209)/(Driver!$G$209-Driver!$F$209)*$BI$1</f>
        <v/>
      </c>
      <c r="BR1032" s="40" t="inlineStr">
        <is>
          <t>21/22</t>
        </is>
      </c>
      <c r="BS1032" s="10" t="inlineStr">
        <is>
          <t xml:space="preserve"> Fischer</t>
        </is>
      </c>
      <c r="BT1032" s="11" t="inlineStr">
        <is>
          <t>Transalp 82</t>
        </is>
      </c>
      <c r="BU1032" s="13" t="n">
        <v>162</v>
      </c>
      <c r="BV1032" s="11" t="inlineStr">
        <is>
          <t xml:space="preserve"> Women's</t>
        </is>
      </c>
      <c r="BW1032" s="13" t="n">
        <v>162</v>
      </c>
      <c r="BX1032" s="13" t="n">
        <v>160.7</v>
      </c>
      <c r="BY1032" s="13" t="n">
        <v>126</v>
      </c>
      <c r="BZ1032" s="13" t="n">
        <v>143</v>
      </c>
      <c r="CA1032" s="13" t="n">
        <v>116</v>
      </c>
      <c r="CB1032" s="13" t="n">
        <v>80</v>
      </c>
      <c r="CC1032" s="13" t="n">
        <v>106</v>
      </c>
      <c r="CD1032" s="13" t="n">
        <v>15.4</v>
      </c>
      <c r="CE1032" s="13" t="n">
        <v>1092</v>
      </c>
      <c r="CF1032" s="13" t="n">
        <v>1.35</v>
      </c>
      <c r="CG1032" s="13" t="n">
        <v>1473</v>
      </c>
      <c r="CH1032" s="13" t="n">
        <v>195</v>
      </c>
      <c r="CI1032" s="13" t="n">
        <v>80</v>
      </c>
      <c r="CJ1032" s="13" t="n">
        <v>47</v>
      </c>
      <c r="CK1032" s="13" t="n">
        <v>250</v>
      </c>
      <c r="CL1032" s="13" t="n">
        <v>10</v>
      </c>
      <c r="CM1032" s="13" t="n">
        <v>95</v>
      </c>
      <c r="CN1032" s="13" t="n">
        <v>0.203</v>
      </c>
      <c r="CO1032" s="13" t="n">
        <v>74</v>
      </c>
      <c r="CP1032" s="13" t="n">
        <v>103</v>
      </c>
      <c r="CQ1032" s="13" t="n">
        <v>175</v>
      </c>
      <c r="CR1032" s="13" t="n">
        <v>7</v>
      </c>
      <c r="CS1032" s="13" t="n">
        <v>9.9</v>
      </c>
      <c r="CT1032" s="11" t="inlineStr">
        <is>
          <t xml:space="preserve"> Touring</t>
        </is>
      </c>
      <c r="CU1032" s="11" t="inlineStr">
        <is>
          <t xml:space="preserve"> Ultralight Touring</t>
        </is>
      </c>
      <c r="CV1032" s="13" t="n"/>
      <c r="CW1032" s="13" t="n"/>
      <c r="CX1032">
        <f>INDEX('Data_Price '!AG$2:AG$1266,MATCH(Data!$DN1032,'Data_Price '!$AT$2:$AT$1266,0))</f>
        <v/>
      </c>
      <c r="CY1032">
        <f>INDEX('Data_Price '!AH$2:AH$1266,MATCH(Data!$DN1032,'Data_Price '!$AT$2:$AT$1266,0))</f>
        <v/>
      </c>
      <c r="CZ1032">
        <f>INDEX('Data_Price '!AI$2:AI$1266,MATCH(Data!$DN1032,'Data_Price '!$AT$2:$AT$1266,0))</f>
        <v/>
      </c>
      <c r="DA1032">
        <f>INDEX('Data_Price '!AJ$2:AJ$1266,MATCH(Data!$DN1032,'Data_Price '!$AT$2:$AT$1266,0))</f>
        <v/>
      </c>
      <c r="DB1032">
        <f>INDEX('Data_Price '!AK$2:AK$1266,MATCH(Data!$DN1032,'Data_Price '!$AT$2:$AT$1266,0))</f>
        <v/>
      </c>
      <c r="DC1032">
        <f>INDEX('Data_Price '!AL$2:AL$1266,MATCH(Data!$DN1032,'Data_Price '!$AT$2:$AT$1266,0))</f>
        <v/>
      </c>
      <c r="DD1032">
        <f>INDEX('Data_Price '!AM$2:AM$1266,MATCH(Data!$DN1032,'Data_Price '!$AT$2:$AT$1266,0))</f>
        <v/>
      </c>
      <c r="DE1032">
        <f>INDEX('Data_Price '!AN$2:AN$1266,MATCH(Data!$DN1032,'Data_Price '!$AT$2:$AT$1266,0))</f>
        <v/>
      </c>
      <c r="DF1032">
        <f>INDEX('Data_Price '!AO$2:AO$1266,MATCH(Data!$DN1032,'Data_Price '!$AT$2:$AT$1266,0))</f>
        <v/>
      </c>
      <c r="DG1032">
        <f>INDEX('Data_Price '!AP$2:AP$1266,MATCH(Data!$DN1032,'Data_Price '!$AT$2:$AT$1266,0))</f>
        <v/>
      </c>
      <c r="DH1032">
        <f>INDEX('Data_Price '!AQ$2:AQ$1266,MATCH(Data!$DN1032,'Data_Price '!$AT$2:$AT$1266,0))</f>
        <v/>
      </c>
      <c r="DI1032">
        <f>INDEX('Data_Price '!AR$2:AR$1266,MATCH(Data!$DN1032,'Data_Price '!$AT$2:$AT$1266,0))</f>
        <v/>
      </c>
      <c r="DJ1032" s="138">
        <f>DA1032</f>
        <v/>
      </c>
      <c r="DK1032" s="138">
        <f>DE1032</f>
        <v/>
      </c>
      <c r="DL1032" s="138">
        <f>DI1032</f>
        <v/>
      </c>
      <c r="DM1032" s="303">
        <f>IF(LEFT(BT1032,1)=" ",RIGHT(BT1032,LEN(BT1032)-1),BT1032)</f>
        <v/>
      </c>
      <c r="DN1032" s="138">
        <f>_xlfn.CONCAT(BS1032,DM1032,BU1032,BV1032)</f>
        <v/>
      </c>
      <c r="DO1032" s="307" t="n"/>
    </row>
    <row r="1033" ht="15.6" customHeight="1" s="184">
      <c r="B1033" s="303">
        <f t="array" ref="B1033">IF(OR(ISERROR(K1033:P1033)),FALSE,TRUE)</f>
        <v/>
      </c>
      <c r="C1033" s="60">
        <f>OR(BR1033=Driver!$G$50,Data!BR144=Driver!$H$50)</f>
        <v/>
      </c>
      <c r="D1033" s="60">
        <f>OR(BV1033=Driver!$G$51,BV1033=Driver!$H$51)</f>
        <v/>
      </c>
      <c r="E1033" s="60">
        <f>AND(BX1033&gt;Driver!$F$54,BX1033&lt;Driver!$G$54)</f>
        <v/>
      </c>
      <c r="F1033" s="60">
        <f>CL1033&gt;Driver!$F$56</f>
        <v/>
      </c>
      <c r="G1033" s="60">
        <f>AND(CB1033&gt;Driver!$F$55,CB1033&lt;Driver!$G$55)</f>
        <v/>
      </c>
      <c r="H1033" s="60">
        <f>AND(B1033:G1033)</f>
        <v/>
      </c>
      <c r="I1033" s="60">
        <f>COUNTIFS($H$9:$H$1273,TRUE,$BT$9:$BT$1273,BT1033)</f>
        <v/>
      </c>
      <c r="J1033" s="60">
        <f t="array" ref="J1033">NOT(OR(($H$9:$H$1273=TRUE)*($I$9:$I$1273&gt;0)*($BT$9:$BT$1273=BT1033)*($K$9:$K$1273&gt;K1033)))</f>
        <v/>
      </c>
      <c r="K1033" s="108">
        <f>IFERROR(1-AVERAGE(X1033:Y1033),"")</f>
        <v/>
      </c>
      <c r="L1033" s="108">
        <f>1-X1033</f>
        <v/>
      </c>
      <c r="M1033" s="108">
        <f>1-Y1033</f>
        <v/>
      </c>
      <c r="N1033" s="108">
        <f>1-Z1033</f>
        <v/>
      </c>
      <c r="O1033" s="108">
        <f>1-AA1033</f>
        <v/>
      </c>
      <c r="P1033" s="108">
        <f>1-AB1033</f>
        <v/>
      </c>
      <c r="Q1033" s="108" t="n"/>
      <c r="R1033" s="108" t="n"/>
      <c r="S1033" s="108">
        <f>1-AE1033</f>
        <v/>
      </c>
      <c r="T1033" s="108">
        <f>1-AF1033</f>
        <v/>
      </c>
      <c r="U1033" s="108">
        <f>1-AG1033</f>
        <v/>
      </c>
      <c r="V1033" s="108">
        <f>1-AH1033</f>
        <v/>
      </c>
      <c r="W1033" s="108">
        <f>1-AI1033</f>
        <v/>
      </c>
      <c r="X1033" s="108">
        <f>ABS(AJ1033-AJ$1)</f>
        <v/>
      </c>
      <c r="Y1033" s="108">
        <f>AVERAGE(Z1033:AB1033)</f>
        <v/>
      </c>
      <c r="Z1033" s="108">
        <f>ABS(AL1033-AL$1)</f>
        <v/>
      </c>
      <c r="AA1033" s="108">
        <f>ABS(AM1033-AM$1)</f>
        <v/>
      </c>
      <c r="AB1033" s="108">
        <f>ABS(AN1033-AN$1)</f>
        <v/>
      </c>
      <c r="AC1033" s="108" t="n"/>
      <c r="AD1033" s="108" t="n"/>
      <c r="AE1033" s="108">
        <f>ABS(AQ$1-AQ1033)</f>
        <v/>
      </c>
      <c r="AF1033" s="108">
        <f>ABS(AR$1-AR1033)</f>
        <v/>
      </c>
      <c r="AG1033" s="108">
        <f>ABS(AS$1-AS1033)</f>
        <v/>
      </c>
      <c r="AH1033" s="108">
        <f>ABS(AT$1-AT1033)</f>
        <v/>
      </c>
      <c r="AI1033" s="108">
        <f>ABS(AU$1-AU1033)</f>
        <v/>
      </c>
      <c r="AJ1033" s="108">
        <f>(AV1033-Driver!$K$179)/(Driver!$L$179-Driver!$K$179)</f>
        <v/>
      </c>
      <c r="AK1033" s="108">
        <f>(AW1033-Driver!$K$180)/(Driver!$L$180-Driver!$K$180)</f>
        <v/>
      </c>
      <c r="AL1033" s="108">
        <f>(AX1033-Driver!$K$181)/(Driver!$L$181-Driver!$K$181)</f>
        <v/>
      </c>
      <c r="AM1033" s="108">
        <f>(AY1033-Driver!$K$182)/(Driver!$L$182-Driver!$K$182)</f>
        <v/>
      </c>
      <c r="AN1033" s="108">
        <f>(AZ1033-Driver!$K$183)/(Driver!$L$183-Driver!$K$183)</f>
        <v/>
      </c>
      <c r="AO1033" s="108" t="n"/>
      <c r="AP1033" s="108" t="n"/>
      <c r="AQ1033" s="108">
        <f>(BC1033-Driver!$K$188)/(Driver!$L$188-Driver!$K$188)</f>
        <v/>
      </c>
      <c r="AR1033" s="108">
        <f>MIN((BD1033-Driver!$K$189)/(Driver!$L$189-Driver!$K$189),100%)</f>
        <v/>
      </c>
      <c r="AS1033" s="108">
        <f>(BE1033-Driver!$K$190)/(Driver!$L$190-Driver!$K$190)</f>
        <v/>
      </c>
      <c r="AT1033" s="108">
        <f>(BF1033-Driver!$K$191)/(Driver!$L$191-Driver!$K$191)</f>
        <v/>
      </c>
      <c r="AU1033" s="108">
        <f>(BG1033-Driver!$K$192)/(Driver!$L$192-Driver!$K$192)</f>
        <v/>
      </c>
      <c r="AV1033" s="105">
        <f>IFERROR(BM1033*BJ1033^1/4,"")</f>
        <v/>
      </c>
      <c r="AW1033" s="105">
        <f>IFERROR(SUM(AX1033:AZ1033),"")</f>
        <v/>
      </c>
      <c r="AX1033" s="105">
        <f>IFERROR(BH1033,"")</f>
        <v/>
      </c>
      <c r="AY1033" s="105">
        <f>IFERROR(Driver!$K$19/Data!BH1033/Data!BI1033*Data!BK1033*Data!BL1033,"")</f>
        <v/>
      </c>
      <c r="AZ1033" s="105">
        <f>IFERROR(BI1033*BN1033,"")</f>
        <v/>
      </c>
      <c r="BA1033" s="105" t="n"/>
      <c r="BB1033" s="105" t="n"/>
      <c r="BC1033" s="105">
        <f>IFERROR(BI1033*BN1033*BK1033/BJ1033^(1/2),"")</f>
        <v/>
      </c>
      <c r="BD1033" s="105">
        <f>IFERROR(BH1033*BM1033*BL1033/BJ1033/BK1033,"")</f>
        <v/>
      </c>
      <c r="BE1033" s="105">
        <f>IFERROR(MIN(BI1033/BQ1033/BP1033/BO1033/BH1033,$BE$1),"")</f>
        <v/>
      </c>
      <c r="BF1033" s="105">
        <f>IFERROR(BJ1033*BO1033*BP1033/BK1033,"")</f>
        <v/>
      </c>
      <c r="BG1033" s="105">
        <f>IFERROR(1/BM1033/BH1033*BQ1033,"")</f>
        <v/>
      </c>
      <c r="BH1033" s="102">
        <f>MAX((CE1033-Driver!$F$200)/(Driver!$G$200-Driver!$F$200)*$BI$1,1)</f>
        <v/>
      </c>
      <c r="BI1033" s="102">
        <f>MAX($BI$1*(BY1033-Driver!$F$201)/(Driver!$G$201-Driver!$F$201),1)</f>
        <v/>
      </c>
      <c r="BJ1033" s="102">
        <f>(CB1033-Driver!$F$206)/(Driver!$G$206-Driver!$F$206)*$BI$1</f>
        <v/>
      </c>
      <c r="BK1033" s="102">
        <f>(CD1033-Driver!$F$203)/(Driver!$G$203-Driver!$F$203)*$BI$1</f>
        <v/>
      </c>
      <c r="BL1033" s="102">
        <f>MAX((CR1033-Driver!$F$202)/(Driver!$G$202-Driver!$F$202)*$BI$1,1)</f>
        <v/>
      </c>
      <c r="BM1033" s="102">
        <f>MAX((CH1033-Driver!$F$204)/(Driver!$G$204-Driver!$F$204)*$BI$1,1)</f>
        <v/>
      </c>
      <c r="BN1033" s="102">
        <f>(CI1033-Driver!$F$205)/(Driver!$G$205-Driver!$F$205)*$BI$1</f>
        <v/>
      </c>
      <c r="BO1033" s="102">
        <f>(CK1033-Driver!$F$207)/(Driver!$G$207-Driver!$F$207)*$BI$1</f>
        <v/>
      </c>
      <c r="BP1033" s="102">
        <f>(CM1033-Driver!$F$208)/(Driver!$G$208-Driver!$F$208)*$BI$1</f>
        <v/>
      </c>
      <c r="BQ1033" s="102">
        <f>(CL1033-Driver!$F$209)/(Driver!$G$209-Driver!$F$209)*$BI$1</f>
        <v/>
      </c>
      <c r="BR1033" s="40" t="inlineStr">
        <is>
          <t>21/22</t>
        </is>
      </c>
      <c r="BS1033" s="10" t="inlineStr">
        <is>
          <t xml:space="preserve"> Atomic</t>
        </is>
      </c>
      <c r="BT1033" s="11" t="inlineStr">
        <is>
          <t>Cloud C9</t>
        </is>
      </c>
      <c r="BU1033" s="13" t="n">
        <v>143</v>
      </c>
      <c r="BV1033" s="11" t="inlineStr">
        <is>
          <t xml:space="preserve"> Women's</t>
        </is>
      </c>
      <c r="BW1033" s="13" t="n">
        <v>143</v>
      </c>
      <c r="BX1033" s="13" t="n">
        <v>142.9</v>
      </c>
      <c r="BY1033" s="13" t="n">
        <v>125</v>
      </c>
      <c r="BZ1033" s="13" t="n">
        <v>129</v>
      </c>
      <c r="CA1033" s="13" t="n">
        <v>108</v>
      </c>
      <c r="CB1033" s="13" t="n">
        <v>72</v>
      </c>
      <c r="CC1033" s="13" t="n">
        <v>94</v>
      </c>
      <c r="CD1033" s="13" t="n">
        <v>13.7</v>
      </c>
      <c r="CE1033" s="13" t="n">
        <v>1478</v>
      </c>
      <c r="CF1033" s="13" t="n">
        <v>0.8</v>
      </c>
      <c r="CG1033" s="13" t="n">
        <v>1189</v>
      </c>
      <c r="CH1033" s="13" t="n">
        <v>119</v>
      </c>
      <c r="CI1033" s="13" t="n">
        <v>57</v>
      </c>
      <c r="CJ1033" s="13" t="n">
        <v>32</v>
      </c>
      <c r="CK1033" s="13" t="n">
        <v>133</v>
      </c>
      <c r="CL1033" s="13" t="n">
        <v>4</v>
      </c>
      <c r="CM1033" s="13" t="n">
        <v>48</v>
      </c>
      <c r="CN1033" s="13" t="n">
        <v>0.117</v>
      </c>
      <c r="CO1033" s="13" t="n">
        <v>89</v>
      </c>
      <c r="CP1033" s="13" t="n">
        <v>52</v>
      </c>
      <c r="CQ1033" s="13" t="n">
        <v>45</v>
      </c>
      <c r="CR1033" s="13" t="n">
        <v>11</v>
      </c>
      <c r="CS1033" s="13" t="n">
        <v>12.6</v>
      </c>
      <c r="CT1033" s="11" t="inlineStr">
        <is>
          <t xml:space="preserve"> On-Piste Carving</t>
        </is>
      </c>
      <c r="CU1033" s="13" t="n"/>
      <c r="CV1033" s="13" t="n"/>
      <c r="CW1033" s="13" t="n"/>
      <c r="CX1033">
        <f>INDEX('Data_Price '!AG$2:AG$1266,MATCH(Data!$DN1033,'Data_Price '!$AT$2:$AT$1266,0))</f>
        <v/>
      </c>
      <c r="CY1033">
        <f>INDEX('Data_Price '!AH$2:AH$1266,MATCH(Data!$DN1033,'Data_Price '!$AT$2:$AT$1266,0))</f>
        <v/>
      </c>
      <c r="CZ1033">
        <f>INDEX('Data_Price '!AI$2:AI$1266,MATCH(Data!$DN1033,'Data_Price '!$AT$2:$AT$1266,0))</f>
        <v/>
      </c>
      <c r="DA1033">
        <f>INDEX('Data_Price '!AJ$2:AJ$1266,MATCH(Data!$DN1033,'Data_Price '!$AT$2:$AT$1266,0))</f>
        <v/>
      </c>
      <c r="DB1033">
        <f>INDEX('Data_Price '!AK$2:AK$1266,MATCH(Data!$DN1033,'Data_Price '!$AT$2:$AT$1266,0))</f>
        <v/>
      </c>
      <c r="DC1033">
        <f>INDEX('Data_Price '!AL$2:AL$1266,MATCH(Data!$DN1033,'Data_Price '!$AT$2:$AT$1266,0))</f>
        <v/>
      </c>
      <c r="DD1033">
        <f>INDEX('Data_Price '!AM$2:AM$1266,MATCH(Data!$DN1033,'Data_Price '!$AT$2:$AT$1266,0))</f>
        <v/>
      </c>
      <c r="DE1033">
        <f>INDEX('Data_Price '!AN$2:AN$1266,MATCH(Data!$DN1033,'Data_Price '!$AT$2:$AT$1266,0))</f>
        <v/>
      </c>
      <c r="DF1033">
        <f>INDEX('Data_Price '!AO$2:AO$1266,MATCH(Data!$DN1033,'Data_Price '!$AT$2:$AT$1266,0))</f>
        <v/>
      </c>
      <c r="DG1033">
        <f>INDEX('Data_Price '!AP$2:AP$1266,MATCH(Data!$DN1033,'Data_Price '!$AT$2:$AT$1266,0))</f>
        <v/>
      </c>
      <c r="DH1033">
        <f>INDEX('Data_Price '!AQ$2:AQ$1266,MATCH(Data!$DN1033,'Data_Price '!$AT$2:$AT$1266,0))</f>
        <v/>
      </c>
      <c r="DI1033">
        <f>INDEX('Data_Price '!AR$2:AR$1266,MATCH(Data!$DN1033,'Data_Price '!$AT$2:$AT$1266,0))</f>
        <v/>
      </c>
      <c r="DJ1033" s="138">
        <f>DA1033</f>
        <v/>
      </c>
      <c r="DK1033" s="138">
        <f>DE1033</f>
        <v/>
      </c>
      <c r="DL1033" s="138">
        <f>DI1033</f>
        <v/>
      </c>
      <c r="DM1033" s="303">
        <f>IF(LEFT(BT1033,1)=" ",RIGHT(BT1033,LEN(BT1033)-1),BT1033)</f>
        <v/>
      </c>
      <c r="DN1033" s="138">
        <f>_xlfn.CONCAT(BS1033,DM1033,BU1033,BV1033)</f>
        <v/>
      </c>
      <c r="DO1033" s="307" t="inlineStr">
        <is>
          <t>https://images.evo.com/imgp/250/183368/826768/clone.jpg</t>
        </is>
      </c>
    </row>
    <row r="1034" ht="15.6" customHeight="1" s="184">
      <c r="B1034" s="303">
        <f t="array" ref="B1034">IF(OR(ISERROR(K1034:P1034)),FALSE,TRUE)</f>
        <v/>
      </c>
      <c r="C1034" s="60">
        <f>OR(BR1034=Driver!$G$50,Data!BR989=Driver!$H$50)</f>
        <v/>
      </c>
      <c r="D1034" s="60">
        <f>OR(BV1034=Driver!$G$51,BV1034=Driver!$H$51)</f>
        <v/>
      </c>
      <c r="E1034" s="60">
        <f>AND(BX1034&gt;Driver!$F$54,BX1034&lt;Driver!$G$54)</f>
        <v/>
      </c>
      <c r="F1034" s="60">
        <f>CL1034&gt;Driver!$F$56</f>
        <v/>
      </c>
      <c r="G1034" s="60">
        <f>AND(CB1034&gt;Driver!$F$55,CB1034&lt;Driver!$G$55)</f>
        <v/>
      </c>
      <c r="H1034" s="60">
        <f>AND(B1034:G1034)</f>
        <v/>
      </c>
      <c r="I1034" s="60">
        <f>COUNTIFS($H$9:$H$1273,TRUE,$BT$9:$BT$1273,BT1034)</f>
        <v/>
      </c>
      <c r="J1034" s="60">
        <f t="array" ref="J1034">NOT(OR(($H$9:$H$1273=TRUE)*($I$9:$I$1273&gt;0)*($BT$9:$BT$1273=BT1034)*($K$9:$K$1273&gt;K1034)))</f>
        <v/>
      </c>
      <c r="K1034" s="108">
        <f>IFERROR(1-AVERAGE(X1034:Y1034),"")</f>
        <v/>
      </c>
      <c r="L1034" s="108">
        <f>1-X1034</f>
        <v/>
      </c>
      <c r="M1034" s="108">
        <f>1-Y1034</f>
        <v/>
      </c>
      <c r="N1034" s="108">
        <f>1-Z1034</f>
        <v/>
      </c>
      <c r="O1034" s="108">
        <f>1-AA1034</f>
        <v/>
      </c>
      <c r="P1034" s="108">
        <f>1-AB1034</f>
        <v/>
      </c>
      <c r="Q1034" s="108" t="n"/>
      <c r="R1034" s="108" t="n"/>
      <c r="S1034" s="108">
        <f>1-AE1034</f>
        <v/>
      </c>
      <c r="T1034" s="108">
        <f>1-AF1034</f>
        <v/>
      </c>
      <c r="U1034" s="108">
        <f>1-AG1034</f>
        <v/>
      </c>
      <c r="V1034" s="108">
        <f>1-AH1034</f>
        <v/>
      </c>
      <c r="W1034" s="108">
        <f>1-AI1034</f>
        <v/>
      </c>
      <c r="X1034" s="108">
        <f>ABS(AJ1034-AJ$1)</f>
        <v/>
      </c>
      <c r="Y1034" s="108">
        <f>AVERAGE(Z1034:AB1034)</f>
        <v/>
      </c>
      <c r="Z1034" s="108">
        <f>ABS(AL1034-AL$1)</f>
        <v/>
      </c>
      <c r="AA1034" s="108">
        <f>ABS(AM1034-AM$1)</f>
        <v/>
      </c>
      <c r="AB1034" s="108">
        <f>ABS(AN1034-AN$1)</f>
        <v/>
      </c>
      <c r="AC1034" s="108" t="n"/>
      <c r="AD1034" s="108" t="n"/>
      <c r="AE1034" s="108">
        <f>ABS(AQ$1-AQ1034)</f>
        <v/>
      </c>
      <c r="AF1034" s="108">
        <f>ABS(AR$1-AR1034)</f>
        <v/>
      </c>
      <c r="AG1034" s="108">
        <f>ABS(AS$1-AS1034)</f>
        <v/>
      </c>
      <c r="AH1034" s="108">
        <f>ABS(AT$1-AT1034)</f>
        <v/>
      </c>
      <c r="AI1034" s="108">
        <f>ABS(AU$1-AU1034)</f>
        <v/>
      </c>
      <c r="AJ1034" s="108">
        <f>(AV1034-Driver!$K$179)/(Driver!$L$179-Driver!$K$179)</f>
        <v/>
      </c>
      <c r="AK1034" s="108">
        <f>(AW1034-Driver!$K$180)/(Driver!$L$180-Driver!$K$180)</f>
        <v/>
      </c>
      <c r="AL1034" s="108">
        <f>(AX1034-Driver!$K$181)/(Driver!$L$181-Driver!$K$181)</f>
        <v/>
      </c>
      <c r="AM1034" s="108">
        <f>(AY1034-Driver!$K$182)/(Driver!$L$182-Driver!$K$182)</f>
        <v/>
      </c>
      <c r="AN1034" s="108">
        <f>(AZ1034-Driver!$K$183)/(Driver!$L$183-Driver!$K$183)</f>
        <v/>
      </c>
      <c r="AO1034" s="108" t="n"/>
      <c r="AP1034" s="108" t="n"/>
      <c r="AQ1034" s="108">
        <f>(BC1034-Driver!$K$188)/(Driver!$L$188-Driver!$K$188)</f>
        <v/>
      </c>
      <c r="AR1034" s="108">
        <f>MIN((BD1034-Driver!$K$189)/(Driver!$L$189-Driver!$K$189),100%)</f>
        <v/>
      </c>
      <c r="AS1034" s="108">
        <f>(BE1034-Driver!$K$190)/(Driver!$L$190-Driver!$K$190)</f>
        <v/>
      </c>
      <c r="AT1034" s="108">
        <f>(BF1034-Driver!$K$191)/(Driver!$L$191-Driver!$K$191)</f>
        <v/>
      </c>
      <c r="AU1034" s="108">
        <f>(BG1034-Driver!$K$192)/(Driver!$L$192-Driver!$K$192)</f>
        <v/>
      </c>
      <c r="AV1034" s="105">
        <f>IFERROR(BM1034*BJ1034^1/4,"")</f>
        <v/>
      </c>
      <c r="AW1034" s="105">
        <f>IFERROR(SUM(AX1034:AZ1034),"")</f>
        <v/>
      </c>
      <c r="AX1034" s="105">
        <f>IFERROR(BH1034,"")</f>
        <v/>
      </c>
      <c r="AY1034" s="105">
        <f>IFERROR(Driver!$K$19/Data!BH1034/Data!BI1034*Data!BK1034*Data!BL1034,"")</f>
        <v/>
      </c>
      <c r="AZ1034" s="105">
        <f>IFERROR(BI1034*BN1034,"")</f>
        <v/>
      </c>
      <c r="BA1034" s="105" t="n"/>
      <c r="BB1034" s="105" t="n"/>
      <c r="BC1034" s="105">
        <f>IFERROR(BI1034*BN1034*BK1034/BJ1034^(1/2),"")</f>
        <v/>
      </c>
      <c r="BD1034" s="105">
        <f>IFERROR(BH1034*BM1034*BL1034/BJ1034/BK1034,"")</f>
        <v/>
      </c>
      <c r="BE1034" s="105">
        <f>IFERROR(MIN(BI1034/BQ1034/BP1034/BO1034/BH1034,$BE$1),"")</f>
        <v/>
      </c>
      <c r="BF1034" s="105">
        <f>IFERROR(BJ1034*BO1034*BP1034/BK1034,"")</f>
        <v/>
      </c>
      <c r="BG1034" s="105">
        <f>IFERROR(1/BM1034/BH1034*BQ1034,"")</f>
        <v/>
      </c>
      <c r="BH1034" s="102">
        <f>MAX((CE1034-Driver!$F$200)/(Driver!$G$200-Driver!$F$200)*$BI$1,1)</f>
        <v/>
      </c>
      <c r="BI1034" s="102">
        <f>MAX($BI$1*(BY1034-Driver!$F$201)/(Driver!$G$201-Driver!$F$201),1)</f>
        <v/>
      </c>
      <c r="BJ1034" s="102">
        <f>(CB1034-Driver!$F$206)/(Driver!$G$206-Driver!$F$206)*$BI$1</f>
        <v/>
      </c>
      <c r="BK1034" s="102">
        <f>(CD1034-Driver!$F$203)/(Driver!$G$203-Driver!$F$203)*$BI$1</f>
        <v/>
      </c>
      <c r="BL1034" s="102">
        <f>MAX((CR1034-Driver!$F$202)/(Driver!$G$202-Driver!$F$202)*$BI$1,1)</f>
        <v/>
      </c>
      <c r="BM1034" s="102">
        <f>MAX((CH1034-Driver!$F$204)/(Driver!$G$204-Driver!$F$204)*$BI$1,1)</f>
        <v/>
      </c>
      <c r="BN1034" s="102">
        <f>(CI1034-Driver!$F$205)/(Driver!$G$205-Driver!$F$205)*$BI$1</f>
        <v/>
      </c>
      <c r="BO1034" s="102">
        <f>(CK1034-Driver!$F$207)/(Driver!$G$207-Driver!$F$207)*$BI$1</f>
        <v/>
      </c>
      <c r="BP1034" s="102">
        <f>(CM1034-Driver!$F$208)/(Driver!$G$208-Driver!$F$208)*$BI$1</f>
        <v/>
      </c>
      <c r="BQ1034" s="102">
        <f>(CL1034-Driver!$F$209)/(Driver!$G$209-Driver!$F$209)*$BI$1</f>
        <v/>
      </c>
      <c r="BR1034" s="40" t="inlineStr">
        <is>
          <t>21/22</t>
        </is>
      </c>
      <c r="BS1034" s="10" t="inlineStr">
        <is>
          <t xml:space="preserve"> Rossignol</t>
        </is>
      </c>
      <c r="BT1034" s="11" t="inlineStr">
        <is>
          <t xml:space="preserve"> Blackops Sender Ti</t>
        </is>
      </c>
      <c r="BU1034" s="13" t="n">
        <v>187</v>
      </c>
      <c r="BV1034" s="11" t="inlineStr">
        <is>
          <t xml:space="preserve"> Unisex</t>
        </is>
      </c>
      <c r="BW1034" s="13" t="n">
        <v>187</v>
      </c>
      <c r="BX1034" s="13" t="n">
        <v>186.4</v>
      </c>
      <c r="BY1034" s="13" t="n">
        <v>136</v>
      </c>
      <c r="BZ1034" s="13" t="n">
        <v>160</v>
      </c>
      <c r="CA1034" s="13" t="n">
        <v>137</v>
      </c>
      <c r="CB1034" s="13" t="n">
        <v>104</v>
      </c>
      <c r="CC1034" s="13" t="n">
        <v>127</v>
      </c>
      <c r="CD1034" s="13" t="n">
        <v>20.9</v>
      </c>
      <c r="CE1034" s="13" t="n">
        <v>2157</v>
      </c>
      <c r="CF1034" s="13" t="n">
        <v>0.99</v>
      </c>
      <c r="CG1034" s="13" t="n">
        <v>2140</v>
      </c>
      <c r="CH1034" s="13" t="n">
        <v>258</v>
      </c>
      <c r="CI1034" s="13" t="n">
        <v>112</v>
      </c>
      <c r="CJ1034" s="13" t="n">
        <v>48</v>
      </c>
      <c r="CK1034" s="13" t="n">
        <v>295</v>
      </c>
      <c r="CL1034" s="13" t="n">
        <v>13</v>
      </c>
      <c r="CM1034" s="13" t="n">
        <v>206</v>
      </c>
      <c r="CN1034" s="13" t="n">
        <v>0.268</v>
      </c>
      <c r="CO1034" s="13" t="n">
        <v>156</v>
      </c>
      <c r="CP1034" s="13" t="n">
        <v>107</v>
      </c>
      <c r="CQ1034" s="13" t="n">
        <v>139</v>
      </c>
      <c r="CR1034" s="13" t="n">
        <v>6</v>
      </c>
      <c r="CS1034" s="13" t="n">
        <v>7.5</v>
      </c>
      <c r="CT1034" s="11" t="inlineStr">
        <is>
          <t xml:space="preserve"> Resort Freeride</t>
        </is>
      </c>
      <c r="CU1034" s="11" t="inlineStr">
        <is>
          <t xml:space="preserve"> Big Mountain</t>
        </is>
      </c>
      <c r="CV1034" s="13" t="n"/>
      <c r="CW1034" s="13" t="n"/>
      <c r="CX1034">
        <f>INDEX('Data_Price '!AG$2:AG$1266,MATCH(Data!$DN1034,'Data_Price '!$AT$2:$AT$1266,0))</f>
        <v/>
      </c>
      <c r="CY1034">
        <f>INDEX('Data_Price '!AH$2:AH$1266,MATCH(Data!$DN1034,'Data_Price '!$AT$2:$AT$1266,0))</f>
        <v/>
      </c>
      <c r="CZ1034">
        <f>INDEX('Data_Price '!AI$2:AI$1266,MATCH(Data!$DN1034,'Data_Price '!$AT$2:$AT$1266,0))</f>
        <v/>
      </c>
      <c r="DA1034">
        <f>INDEX('Data_Price '!AJ$2:AJ$1266,MATCH(Data!$DN1034,'Data_Price '!$AT$2:$AT$1266,0))</f>
        <v/>
      </c>
      <c r="DB1034">
        <f>INDEX('Data_Price '!AK$2:AK$1266,MATCH(Data!$DN1034,'Data_Price '!$AT$2:$AT$1266,0))</f>
        <v/>
      </c>
      <c r="DC1034">
        <f>INDEX('Data_Price '!AL$2:AL$1266,MATCH(Data!$DN1034,'Data_Price '!$AT$2:$AT$1266,0))</f>
        <v/>
      </c>
      <c r="DD1034">
        <f>INDEX('Data_Price '!AM$2:AM$1266,MATCH(Data!$DN1034,'Data_Price '!$AT$2:$AT$1266,0))</f>
        <v/>
      </c>
      <c r="DE1034">
        <f>INDEX('Data_Price '!AN$2:AN$1266,MATCH(Data!$DN1034,'Data_Price '!$AT$2:$AT$1266,0))</f>
        <v/>
      </c>
      <c r="DF1034">
        <f>INDEX('Data_Price '!AO$2:AO$1266,MATCH(Data!$DN1034,'Data_Price '!$AT$2:$AT$1266,0))</f>
        <v/>
      </c>
      <c r="DG1034">
        <f>INDEX('Data_Price '!AP$2:AP$1266,MATCH(Data!$DN1034,'Data_Price '!$AT$2:$AT$1266,0))</f>
        <v/>
      </c>
      <c r="DH1034">
        <f>INDEX('Data_Price '!AQ$2:AQ$1266,MATCH(Data!$DN1034,'Data_Price '!$AT$2:$AT$1266,0))</f>
        <v/>
      </c>
      <c r="DI1034">
        <f>INDEX('Data_Price '!AR$2:AR$1266,MATCH(Data!$DN1034,'Data_Price '!$AT$2:$AT$1266,0))</f>
        <v/>
      </c>
      <c r="DJ1034" s="138">
        <f>DA1034</f>
        <v/>
      </c>
      <c r="DK1034" s="138">
        <f>DE1034</f>
        <v/>
      </c>
      <c r="DL1034" s="138">
        <f>DI1034</f>
        <v/>
      </c>
      <c r="DM1034" s="303">
        <f>IF(LEFT(BT1034,1)=" ",RIGHT(BT1034,LEN(BT1034)-1),BT1034)</f>
        <v/>
      </c>
      <c r="DN1034" s="138">
        <f>_xlfn.CONCAT(BS1034,DM1034,BU1034,BV1034)</f>
        <v/>
      </c>
      <c r="DO1034" s="307" t="n"/>
    </row>
    <row r="1035" ht="15.6" customHeight="1" s="184">
      <c r="B1035" s="303">
        <f t="array" ref="B1035">IF(OR(ISERROR(K1035:P1035)),FALSE,TRUE)</f>
        <v/>
      </c>
      <c r="C1035" s="60">
        <f>OR(BR1035=Driver!$G$50,Data!BR116=Driver!$H$50)</f>
        <v/>
      </c>
      <c r="D1035" s="60">
        <f>OR(BV1035=Driver!$G$51,BV1035=Driver!$H$51)</f>
        <v/>
      </c>
      <c r="E1035" s="60">
        <f>AND(BX1035&gt;Driver!$F$54,BX1035&lt;Driver!$G$54)</f>
        <v/>
      </c>
      <c r="F1035" s="60">
        <f>CL1035&gt;Driver!$F$56</f>
        <v/>
      </c>
      <c r="G1035" s="60">
        <f>AND(CB1035&gt;Driver!$F$55,CB1035&lt;Driver!$G$55)</f>
        <v/>
      </c>
      <c r="H1035" s="60">
        <f>AND(B1035:G1035)</f>
        <v/>
      </c>
      <c r="I1035" s="60">
        <f>COUNTIFS($H$9:$H$1273,TRUE,$BT$9:$BT$1273,BT1035)</f>
        <v/>
      </c>
      <c r="J1035" s="60">
        <f t="array" ref="J1035">NOT(OR(($H$9:$H$1273=TRUE)*($I$9:$I$1273&gt;0)*($BT$9:$BT$1273=BT1035)*($K$9:$K$1273&gt;K1035)))</f>
        <v/>
      </c>
      <c r="K1035" s="108">
        <f>IFERROR(1-AVERAGE(X1035:Y1035),"")</f>
        <v/>
      </c>
      <c r="L1035" s="108">
        <f>1-X1035</f>
        <v/>
      </c>
      <c r="M1035" s="108">
        <f>1-Y1035</f>
        <v/>
      </c>
      <c r="N1035" s="108">
        <f>1-Z1035</f>
        <v/>
      </c>
      <c r="O1035" s="108">
        <f>1-AA1035</f>
        <v/>
      </c>
      <c r="P1035" s="108">
        <f>1-AB1035</f>
        <v/>
      </c>
      <c r="Q1035" s="108" t="n"/>
      <c r="R1035" s="108" t="n"/>
      <c r="S1035" s="108">
        <f>1-AE1035</f>
        <v/>
      </c>
      <c r="T1035" s="108">
        <f>1-AF1035</f>
        <v/>
      </c>
      <c r="U1035" s="108">
        <f>1-AG1035</f>
        <v/>
      </c>
      <c r="V1035" s="108">
        <f>1-AH1035</f>
        <v/>
      </c>
      <c r="W1035" s="108">
        <f>1-AI1035</f>
        <v/>
      </c>
      <c r="X1035" s="108">
        <f>ABS(AJ1035-AJ$1)</f>
        <v/>
      </c>
      <c r="Y1035" s="108">
        <f>AVERAGE(Z1035:AB1035)</f>
        <v/>
      </c>
      <c r="Z1035" s="108">
        <f>ABS(AL1035-AL$1)</f>
        <v/>
      </c>
      <c r="AA1035" s="108">
        <f>ABS(AM1035-AM$1)</f>
        <v/>
      </c>
      <c r="AB1035" s="108">
        <f>ABS(AN1035-AN$1)</f>
        <v/>
      </c>
      <c r="AC1035" s="108" t="n"/>
      <c r="AD1035" s="108" t="n"/>
      <c r="AE1035" s="108">
        <f>ABS(AQ$1-AQ1035)</f>
        <v/>
      </c>
      <c r="AF1035" s="108">
        <f>ABS(AR$1-AR1035)</f>
        <v/>
      </c>
      <c r="AG1035" s="108">
        <f>ABS(AS$1-AS1035)</f>
        <v/>
      </c>
      <c r="AH1035" s="108">
        <f>ABS(AT$1-AT1035)</f>
        <v/>
      </c>
      <c r="AI1035" s="108">
        <f>ABS(AU$1-AU1035)</f>
        <v/>
      </c>
      <c r="AJ1035" s="108">
        <f>(AV1035-Driver!$K$179)/(Driver!$L$179-Driver!$K$179)</f>
        <v/>
      </c>
      <c r="AK1035" s="108">
        <f>(AW1035-Driver!$K$180)/(Driver!$L$180-Driver!$K$180)</f>
        <v/>
      </c>
      <c r="AL1035" s="108">
        <f>(AX1035-Driver!$K$181)/(Driver!$L$181-Driver!$K$181)</f>
        <v/>
      </c>
      <c r="AM1035" s="108">
        <f>(AY1035-Driver!$K$182)/(Driver!$L$182-Driver!$K$182)</f>
        <v/>
      </c>
      <c r="AN1035" s="108">
        <f>(AZ1035-Driver!$K$183)/(Driver!$L$183-Driver!$K$183)</f>
        <v/>
      </c>
      <c r="AO1035" s="108" t="n"/>
      <c r="AP1035" s="108" t="n"/>
      <c r="AQ1035" s="108">
        <f>(BC1035-Driver!$K$188)/(Driver!$L$188-Driver!$K$188)</f>
        <v/>
      </c>
      <c r="AR1035" s="108">
        <f>MIN((BD1035-Driver!$K$189)/(Driver!$L$189-Driver!$K$189),100%)</f>
        <v/>
      </c>
      <c r="AS1035" s="108">
        <f>(BE1035-Driver!$K$190)/(Driver!$L$190-Driver!$K$190)</f>
        <v/>
      </c>
      <c r="AT1035" s="108">
        <f>(BF1035-Driver!$K$191)/(Driver!$L$191-Driver!$K$191)</f>
        <v/>
      </c>
      <c r="AU1035" s="108">
        <f>(BG1035-Driver!$K$192)/(Driver!$L$192-Driver!$K$192)</f>
        <v/>
      </c>
      <c r="AV1035" s="105">
        <f>IFERROR(BM1035*BJ1035^1/4,"")</f>
        <v/>
      </c>
      <c r="AW1035" s="105">
        <f>IFERROR(SUM(AX1035:AZ1035),"")</f>
        <v/>
      </c>
      <c r="AX1035" s="105">
        <f>IFERROR(BH1035,"")</f>
        <v/>
      </c>
      <c r="AY1035" s="105">
        <f>IFERROR(Driver!$K$19/Data!BH1035/Data!BI1035*Data!BK1035*Data!BL1035,"")</f>
        <v/>
      </c>
      <c r="AZ1035" s="105">
        <f>IFERROR(BI1035*BN1035,"")</f>
        <v/>
      </c>
      <c r="BA1035" s="105" t="n"/>
      <c r="BB1035" s="105" t="n"/>
      <c r="BC1035" s="105">
        <f>IFERROR(BI1035*BN1035*BK1035/BJ1035^(1/2),"")</f>
        <v/>
      </c>
      <c r="BD1035" s="105">
        <f>IFERROR(BH1035*BM1035*BL1035/BJ1035/BK1035,"")</f>
        <v/>
      </c>
      <c r="BE1035" s="105">
        <f>IFERROR(MIN(BI1035/BQ1035/BP1035/BO1035/BH1035,$BE$1),"")</f>
        <v/>
      </c>
      <c r="BF1035" s="105">
        <f>IFERROR(BJ1035*BO1035*BP1035/BK1035,"")</f>
        <v/>
      </c>
      <c r="BG1035" s="105">
        <f>IFERROR(1/BM1035/BH1035*BQ1035,"")</f>
        <v/>
      </c>
      <c r="BH1035" s="102">
        <f>MAX((CE1035-Driver!$F$200)/(Driver!$G$200-Driver!$F$200)*$BI$1,1)</f>
        <v/>
      </c>
      <c r="BI1035" s="102">
        <f>MAX($BI$1*(BY1035-Driver!$F$201)/(Driver!$G$201-Driver!$F$201),1)</f>
        <v/>
      </c>
      <c r="BJ1035" s="102">
        <f>(CB1035-Driver!$F$206)/(Driver!$G$206-Driver!$F$206)*$BI$1</f>
        <v/>
      </c>
      <c r="BK1035" s="102">
        <f>(CD1035-Driver!$F$203)/(Driver!$G$203-Driver!$F$203)*$BI$1</f>
        <v/>
      </c>
      <c r="BL1035" s="102">
        <f>MAX((CR1035-Driver!$F$202)/(Driver!$G$202-Driver!$F$202)*$BI$1,1)</f>
        <v/>
      </c>
      <c r="BM1035" s="102">
        <f>MAX((CH1035-Driver!$F$204)/(Driver!$G$204-Driver!$F$204)*$BI$1,1)</f>
        <v/>
      </c>
      <c r="BN1035" s="102">
        <f>(CI1035-Driver!$F$205)/(Driver!$G$205-Driver!$F$205)*$BI$1</f>
        <v/>
      </c>
      <c r="BO1035" s="102">
        <f>(CK1035-Driver!$F$207)/(Driver!$G$207-Driver!$F$207)*$BI$1</f>
        <v/>
      </c>
      <c r="BP1035" s="102">
        <f>(CM1035-Driver!$F$208)/(Driver!$G$208-Driver!$F$208)*$BI$1</f>
        <v/>
      </c>
      <c r="BQ1035" s="102">
        <f>(CL1035-Driver!$F$209)/(Driver!$G$209-Driver!$F$209)*$BI$1</f>
        <v/>
      </c>
      <c r="BR1035" s="40" t="inlineStr">
        <is>
          <t>21/22</t>
        </is>
      </c>
      <c r="BS1035" s="10" t="inlineStr">
        <is>
          <t xml:space="preserve"> Atomic</t>
        </is>
      </c>
      <c r="BT1035" s="11" t="inlineStr">
        <is>
          <t>Backland 100</t>
        </is>
      </c>
      <c r="BU1035" s="13" t="n">
        <v>164</v>
      </c>
      <c r="BV1035" s="11" t="inlineStr">
        <is>
          <t xml:space="preserve"> Unisex</t>
        </is>
      </c>
      <c r="BW1035" s="13" t="n">
        <v>164</v>
      </c>
      <c r="BX1035" s="13" t="n">
        <v>163</v>
      </c>
      <c r="BY1035" s="13" t="n">
        <v>108</v>
      </c>
      <c r="BZ1035" s="13" t="n">
        <v>129</v>
      </c>
      <c r="CA1035" s="13" t="n">
        <v>126</v>
      </c>
      <c r="CB1035" s="13" t="n">
        <v>97</v>
      </c>
      <c r="CC1035" s="13" t="n">
        <v>117</v>
      </c>
      <c r="CD1035" s="13" t="n">
        <v>15</v>
      </c>
      <c r="CE1035" s="13" t="n">
        <v>1182</v>
      </c>
      <c r="CF1035" s="13" t="n">
        <v>1.46</v>
      </c>
      <c r="CG1035" s="13" t="n">
        <v>1728</v>
      </c>
      <c r="CH1035" s="13" t="n">
        <v>160</v>
      </c>
      <c r="CI1035" s="13" t="n">
        <v>69</v>
      </c>
      <c r="CJ1035" s="13" t="n">
        <v>56</v>
      </c>
      <c r="CK1035" s="13" t="n">
        <v>329</v>
      </c>
      <c r="CL1035" s="13" t="n">
        <v>16</v>
      </c>
      <c r="CM1035" s="13" t="n">
        <v>223</v>
      </c>
      <c r="CN1035" s="13" t="n">
        <v>0.28</v>
      </c>
      <c r="CO1035" s="13" t="n">
        <v>173</v>
      </c>
      <c r="CP1035" s="13" t="n">
        <v>165</v>
      </c>
      <c r="CQ1035" s="13" t="n">
        <v>156</v>
      </c>
      <c r="CR1035" s="13" t="n">
        <v>3</v>
      </c>
      <c r="CS1035" s="13" t="n">
        <v>8.300000000000001</v>
      </c>
      <c r="CT1035" s="11" t="inlineStr">
        <is>
          <t xml:space="preserve"> Touring</t>
        </is>
      </c>
      <c r="CU1035" s="11" t="inlineStr">
        <is>
          <t xml:space="preserve"> Ultralight Touring</t>
        </is>
      </c>
      <c r="CV1035" s="13" t="n"/>
      <c r="CW1035" s="13" t="n"/>
      <c r="CX1035">
        <f>INDEX('Data_Price '!AG$2:AG$1266,MATCH(Data!$DN1035,'Data_Price '!$AT$2:$AT$1266,0))</f>
        <v/>
      </c>
      <c r="CY1035">
        <f>INDEX('Data_Price '!AH$2:AH$1266,MATCH(Data!$DN1035,'Data_Price '!$AT$2:$AT$1266,0))</f>
        <v/>
      </c>
      <c r="CZ1035">
        <f>INDEX('Data_Price '!AI$2:AI$1266,MATCH(Data!$DN1035,'Data_Price '!$AT$2:$AT$1266,0))</f>
        <v/>
      </c>
      <c r="DA1035">
        <f>INDEX('Data_Price '!AJ$2:AJ$1266,MATCH(Data!$DN1035,'Data_Price '!$AT$2:$AT$1266,0))</f>
        <v/>
      </c>
      <c r="DB1035">
        <f>INDEX('Data_Price '!AK$2:AK$1266,MATCH(Data!$DN1035,'Data_Price '!$AT$2:$AT$1266,0))</f>
        <v/>
      </c>
      <c r="DC1035">
        <f>INDEX('Data_Price '!AL$2:AL$1266,MATCH(Data!$DN1035,'Data_Price '!$AT$2:$AT$1266,0))</f>
        <v/>
      </c>
      <c r="DD1035">
        <f>INDEX('Data_Price '!AM$2:AM$1266,MATCH(Data!$DN1035,'Data_Price '!$AT$2:$AT$1266,0))</f>
        <v/>
      </c>
      <c r="DE1035">
        <f>INDEX('Data_Price '!AN$2:AN$1266,MATCH(Data!$DN1035,'Data_Price '!$AT$2:$AT$1266,0))</f>
        <v/>
      </c>
      <c r="DF1035">
        <f>INDEX('Data_Price '!AO$2:AO$1266,MATCH(Data!$DN1035,'Data_Price '!$AT$2:$AT$1266,0))</f>
        <v/>
      </c>
      <c r="DG1035">
        <f>INDEX('Data_Price '!AP$2:AP$1266,MATCH(Data!$DN1035,'Data_Price '!$AT$2:$AT$1266,0))</f>
        <v/>
      </c>
      <c r="DH1035">
        <f>INDEX('Data_Price '!AQ$2:AQ$1266,MATCH(Data!$DN1035,'Data_Price '!$AT$2:$AT$1266,0))</f>
        <v/>
      </c>
      <c r="DI1035">
        <f>INDEX('Data_Price '!AR$2:AR$1266,MATCH(Data!$DN1035,'Data_Price '!$AT$2:$AT$1266,0))</f>
        <v/>
      </c>
      <c r="DJ1035" s="138">
        <f>DA1035</f>
        <v/>
      </c>
      <c r="DK1035" s="138">
        <f>DE1035</f>
        <v/>
      </c>
      <c r="DL1035" s="138">
        <f>DI1035</f>
        <v/>
      </c>
      <c r="DM1035" s="303">
        <f>IF(LEFT(BT1035,1)=" ",RIGHT(BT1035,LEN(BT1035)-1),BT1035)</f>
        <v/>
      </c>
      <c r="DN1035" s="138">
        <f>_xlfn.CONCAT(BS1035,DM1035,BU1035,BV1035)</f>
        <v/>
      </c>
      <c r="DO1035" s="307" t="inlineStr">
        <is>
          <t>https://images.evo.com/imgp/250/197751/826836/atomic-backland-100-skis-2022-.jpg</t>
        </is>
      </c>
    </row>
    <row r="1036" ht="15.6" customHeight="1" s="184">
      <c r="B1036" s="303">
        <f t="array" ref="B1036">IF(OR(ISERROR(K1036:P1036)),FALSE,TRUE)</f>
        <v/>
      </c>
      <c r="C1036" s="60">
        <f>OR(BR1036=Driver!$G$50,Data!BR306=Driver!$H$50)</f>
        <v/>
      </c>
      <c r="D1036" s="60">
        <f>OR(BV1036=Driver!$G$51,BV1036=Driver!$H$51)</f>
        <v/>
      </c>
      <c r="E1036" s="60">
        <f>AND(BX1036&gt;Driver!$F$54,BX1036&lt;Driver!$G$54)</f>
        <v/>
      </c>
      <c r="F1036" s="60">
        <f>CL1036&gt;Driver!$F$56</f>
        <v/>
      </c>
      <c r="G1036" s="60">
        <f>AND(CB1036&gt;Driver!$F$55,CB1036&lt;Driver!$G$55)</f>
        <v/>
      </c>
      <c r="H1036" s="60">
        <f>AND(B1036:G1036)</f>
        <v/>
      </c>
      <c r="I1036" s="60">
        <f>COUNTIFS($H$9:$H$1273,TRUE,$BT$9:$BT$1273,BT1036)</f>
        <v/>
      </c>
      <c r="J1036" s="60">
        <f t="array" ref="J1036">NOT(OR(($H$9:$H$1273=TRUE)*($I$9:$I$1273&gt;0)*($BT$9:$BT$1273=BT1036)*($K$9:$K$1273&gt;K1036)))</f>
        <v/>
      </c>
      <c r="K1036" s="108">
        <f>IFERROR(1-AVERAGE(X1036:Y1036),"")</f>
        <v/>
      </c>
      <c r="L1036" s="108">
        <f>1-X1036</f>
        <v/>
      </c>
      <c r="M1036" s="108">
        <f>1-Y1036</f>
        <v/>
      </c>
      <c r="N1036" s="108">
        <f>1-Z1036</f>
        <v/>
      </c>
      <c r="O1036" s="108">
        <f>1-AA1036</f>
        <v/>
      </c>
      <c r="P1036" s="108">
        <f>1-AB1036</f>
        <v/>
      </c>
      <c r="Q1036" s="108" t="n"/>
      <c r="R1036" s="108" t="n"/>
      <c r="S1036" s="108">
        <f>1-AE1036</f>
        <v/>
      </c>
      <c r="T1036" s="108">
        <f>1-AF1036</f>
        <v/>
      </c>
      <c r="U1036" s="108">
        <f>1-AG1036</f>
        <v/>
      </c>
      <c r="V1036" s="108">
        <f>1-AH1036</f>
        <v/>
      </c>
      <c r="W1036" s="108">
        <f>1-AI1036</f>
        <v/>
      </c>
      <c r="X1036" s="108">
        <f>ABS(AJ1036-AJ$1)</f>
        <v/>
      </c>
      <c r="Y1036" s="108">
        <f>AVERAGE(Z1036:AB1036)</f>
        <v/>
      </c>
      <c r="Z1036" s="108">
        <f>ABS(AL1036-AL$1)</f>
        <v/>
      </c>
      <c r="AA1036" s="108">
        <f>ABS(AM1036-AM$1)</f>
        <v/>
      </c>
      <c r="AB1036" s="108">
        <f>ABS(AN1036-AN$1)</f>
        <v/>
      </c>
      <c r="AC1036" s="108" t="n"/>
      <c r="AD1036" s="108" t="n"/>
      <c r="AE1036" s="108">
        <f>ABS(AQ$1-AQ1036)</f>
        <v/>
      </c>
      <c r="AF1036" s="108">
        <f>ABS(AR$1-AR1036)</f>
        <v/>
      </c>
      <c r="AG1036" s="108">
        <f>ABS(AS$1-AS1036)</f>
        <v/>
      </c>
      <c r="AH1036" s="108">
        <f>ABS(AT$1-AT1036)</f>
        <v/>
      </c>
      <c r="AI1036" s="108">
        <f>ABS(AU$1-AU1036)</f>
        <v/>
      </c>
      <c r="AJ1036" s="108">
        <f>(AV1036-Driver!$K$179)/(Driver!$L$179-Driver!$K$179)</f>
        <v/>
      </c>
      <c r="AK1036" s="108">
        <f>(AW1036-Driver!$K$180)/(Driver!$L$180-Driver!$K$180)</f>
        <v/>
      </c>
      <c r="AL1036" s="108">
        <f>(AX1036-Driver!$K$181)/(Driver!$L$181-Driver!$K$181)</f>
        <v/>
      </c>
      <c r="AM1036" s="108">
        <f>(AY1036-Driver!$K$182)/(Driver!$L$182-Driver!$K$182)</f>
        <v/>
      </c>
      <c r="AN1036" s="108">
        <f>(AZ1036-Driver!$K$183)/(Driver!$L$183-Driver!$K$183)</f>
        <v/>
      </c>
      <c r="AO1036" s="108" t="n"/>
      <c r="AP1036" s="108" t="n"/>
      <c r="AQ1036" s="108">
        <f>(BC1036-Driver!$K$188)/(Driver!$L$188-Driver!$K$188)</f>
        <v/>
      </c>
      <c r="AR1036" s="108">
        <f>MIN((BD1036-Driver!$K$189)/(Driver!$L$189-Driver!$K$189),100%)</f>
        <v/>
      </c>
      <c r="AS1036" s="108">
        <f>(BE1036-Driver!$K$190)/(Driver!$L$190-Driver!$K$190)</f>
        <v/>
      </c>
      <c r="AT1036" s="108">
        <f>(BF1036-Driver!$K$191)/(Driver!$L$191-Driver!$K$191)</f>
        <v/>
      </c>
      <c r="AU1036" s="108">
        <f>(BG1036-Driver!$K$192)/(Driver!$L$192-Driver!$K$192)</f>
        <v/>
      </c>
      <c r="AV1036" s="105">
        <f>IFERROR(BM1036*BJ1036^1/4,"")</f>
        <v/>
      </c>
      <c r="AW1036" s="105">
        <f>IFERROR(SUM(AX1036:AZ1036),"")</f>
        <v/>
      </c>
      <c r="AX1036" s="105">
        <f>IFERROR(BH1036,"")</f>
        <v/>
      </c>
      <c r="AY1036" s="105">
        <f>IFERROR(Driver!$K$19/Data!BH1036/Data!BI1036*Data!BK1036*Data!BL1036,"")</f>
        <v/>
      </c>
      <c r="AZ1036" s="105">
        <f>IFERROR(BI1036*BN1036,"")</f>
        <v/>
      </c>
      <c r="BA1036" s="105" t="n"/>
      <c r="BB1036" s="105" t="n"/>
      <c r="BC1036" s="105">
        <f>IFERROR(BI1036*BN1036*BK1036/BJ1036^(1/2),"")</f>
        <v/>
      </c>
      <c r="BD1036" s="105">
        <f>IFERROR(BH1036*BM1036*BL1036/BJ1036/BK1036,"")</f>
        <v/>
      </c>
      <c r="BE1036" s="105">
        <f>IFERROR(MIN(BI1036/BQ1036/BP1036/BO1036/BH1036,$BE$1),"")</f>
        <v/>
      </c>
      <c r="BF1036" s="105">
        <f>IFERROR(BJ1036*BO1036*BP1036/BK1036,"")</f>
        <v/>
      </c>
      <c r="BG1036" s="105">
        <f>IFERROR(1/BM1036/BH1036*BQ1036,"")</f>
        <v/>
      </c>
      <c r="BH1036" s="102">
        <f>MAX((CE1036-Driver!$F$200)/(Driver!$G$200-Driver!$F$200)*$BI$1,1)</f>
        <v/>
      </c>
      <c r="BI1036" s="102">
        <f>MAX($BI$1*(BY1036-Driver!$F$201)/(Driver!$G$201-Driver!$F$201),1)</f>
        <v/>
      </c>
      <c r="BJ1036" s="102">
        <f>(CB1036-Driver!$F$206)/(Driver!$G$206-Driver!$F$206)*$BI$1</f>
        <v/>
      </c>
      <c r="BK1036" s="102">
        <f>(CD1036-Driver!$F$203)/(Driver!$G$203-Driver!$F$203)*$BI$1</f>
        <v/>
      </c>
      <c r="BL1036" s="102">
        <f>MAX((CR1036-Driver!$F$202)/(Driver!$G$202-Driver!$F$202)*$BI$1,1)</f>
        <v/>
      </c>
      <c r="BM1036" s="102">
        <f>MAX((CH1036-Driver!$F$204)/(Driver!$G$204-Driver!$F$204)*$BI$1,1)</f>
        <v/>
      </c>
      <c r="BN1036" s="102">
        <f>(CI1036-Driver!$F$205)/(Driver!$G$205-Driver!$F$205)*$BI$1</f>
        <v/>
      </c>
      <c r="BO1036" s="102">
        <f>(CK1036-Driver!$F$207)/(Driver!$G$207-Driver!$F$207)*$BI$1</f>
        <v/>
      </c>
      <c r="BP1036" s="102">
        <f>(CM1036-Driver!$F$208)/(Driver!$G$208-Driver!$F$208)*$BI$1</f>
        <v/>
      </c>
      <c r="BQ1036" s="102">
        <f>(CL1036-Driver!$F$209)/(Driver!$G$209-Driver!$F$209)*$BI$1</f>
        <v/>
      </c>
      <c r="BR1036" s="40" t="inlineStr">
        <is>
          <t>21/22</t>
        </is>
      </c>
      <c r="BS1036" s="10" t="inlineStr">
        <is>
          <t xml:space="preserve"> Blizzard</t>
        </is>
      </c>
      <c r="BT1036" s="11" t="inlineStr">
        <is>
          <t xml:space="preserve"> Spur</t>
        </is>
      </c>
      <c r="BU1036" s="13" t="n">
        <v>179</v>
      </c>
      <c r="BV1036" s="11" t="inlineStr">
        <is>
          <t xml:space="preserve"> Unisex</t>
        </is>
      </c>
      <c r="BW1036" s="13" t="n">
        <v>179</v>
      </c>
      <c r="BX1036" s="13" t="n">
        <v>177.8</v>
      </c>
      <c r="BY1036" s="13" t="n">
        <v>108</v>
      </c>
      <c r="BZ1036" s="13" t="n">
        <v>132</v>
      </c>
      <c r="CA1036" s="13" t="n">
        <v>147</v>
      </c>
      <c r="CB1036" s="13" t="n">
        <v>126</v>
      </c>
      <c r="CC1036" s="13" t="n">
        <v>135</v>
      </c>
      <c r="CD1036" s="13" t="n">
        <v>25</v>
      </c>
      <c r="CE1036" s="13" t="n">
        <v>2094</v>
      </c>
      <c r="CF1036" s="13" t="n">
        <v>1.11</v>
      </c>
      <c r="CG1036" s="13" t="n">
        <v>2332</v>
      </c>
      <c r="CH1036" s="13" t="n">
        <v>234</v>
      </c>
      <c r="CI1036" s="13" t="n">
        <v>128</v>
      </c>
      <c r="CJ1036" s="13" t="n">
        <v>61</v>
      </c>
      <c r="CK1036" s="13" t="n">
        <v>443</v>
      </c>
      <c r="CL1036" s="13" t="n">
        <v>17</v>
      </c>
      <c r="CM1036" s="13" t="n">
        <v>260</v>
      </c>
      <c r="CN1036" s="13" t="n">
        <v>0.275</v>
      </c>
      <c r="CO1036" s="13" t="n">
        <v>233</v>
      </c>
      <c r="CP1036" s="13" t="n">
        <v>229</v>
      </c>
      <c r="CQ1036" s="13" t="n">
        <v>209</v>
      </c>
      <c r="CR1036" s="13" t="n">
        <v>1</v>
      </c>
      <c r="CS1036" s="13" t="n">
        <v>10.6</v>
      </c>
      <c r="CT1036" s="11" t="inlineStr">
        <is>
          <t xml:space="preserve"> Big Mountain</t>
        </is>
      </c>
      <c r="CU1036" s="11" t="inlineStr">
        <is>
          <t xml:space="preserve"> Touring</t>
        </is>
      </c>
      <c r="CV1036" s="13" t="n"/>
      <c r="CW1036" s="13" t="n"/>
      <c r="CX1036">
        <f>INDEX('Data_Price '!AG$2:AG$1266,MATCH(Data!$DN1036,'Data_Price '!$AT$2:$AT$1266,0))</f>
        <v/>
      </c>
      <c r="CY1036">
        <f>INDEX('Data_Price '!AH$2:AH$1266,MATCH(Data!$DN1036,'Data_Price '!$AT$2:$AT$1266,0))</f>
        <v/>
      </c>
      <c r="CZ1036">
        <f>INDEX('Data_Price '!AI$2:AI$1266,MATCH(Data!$DN1036,'Data_Price '!$AT$2:$AT$1266,0))</f>
        <v/>
      </c>
      <c r="DA1036">
        <f>INDEX('Data_Price '!AJ$2:AJ$1266,MATCH(Data!$DN1036,'Data_Price '!$AT$2:$AT$1266,0))</f>
        <v/>
      </c>
      <c r="DB1036">
        <f>INDEX('Data_Price '!AK$2:AK$1266,MATCH(Data!$DN1036,'Data_Price '!$AT$2:$AT$1266,0))</f>
        <v/>
      </c>
      <c r="DC1036">
        <f>INDEX('Data_Price '!AL$2:AL$1266,MATCH(Data!$DN1036,'Data_Price '!$AT$2:$AT$1266,0))</f>
        <v/>
      </c>
      <c r="DD1036">
        <f>INDEX('Data_Price '!AM$2:AM$1266,MATCH(Data!$DN1036,'Data_Price '!$AT$2:$AT$1266,0))</f>
        <v/>
      </c>
      <c r="DE1036">
        <f>INDEX('Data_Price '!AN$2:AN$1266,MATCH(Data!$DN1036,'Data_Price '!$AT$2:$AT$1266,0))</f>
        <v/>
      </c>
      <c r="DF1036">
        <f>INDEX('Data_Price '!AO$2:AO$1266,MATCH(Data!$DN1036,'Data_Price '!$AT$2:$AT$1266,0))</f>
        <v/>
      </c>
      <c r="DG1036">
        <f>INDEX('Data_Price '!AP$2:AP$1266,MATCH(Data!$DN1036,'Data_Price '!$AT$2:$AT$1266,0))</f>
        <v/>
      </c>
      <c r="DH1036">
        <f>INDEX('Data_Price '!AQ$2:AQ$1266,MATCH(Data!$DN1036,'Data_Price '!$AT$2:$AT$1266,0))</f>
        <v/>
      </c>
      <c r="DI1036">
        <f>INDEX('Data_Price '!AR$2:AR$1266,MATCH(Data!$DN1036,'Data_Price '!$AT$2:$AT$1266,0))</f>
        <v/>
      </c>
      <c r="DJ1036" s="138">
        <f>DA1036</f>
        <v/>
      </c>
      <c r="DK1036" s="138">
        <f>DE1036</f>
        <v/>
      </c>
      <c r="DL1036" s="138">
        <f>DI1036</f>
        <v/>
      </c>
      <c r="DM1036" s="303">
        <f>IF(LEFT(BT1036,1)=" ",RIGHT(BT1036,LEN(BT1036)-1),BT1036)</f>
        <v/>
      </c>
      <c r="DN1036" s="138">
        <f>_xlfn.CONCAT(BS1036,DM1036,BU1036,BV1036)</f>
        <v/>
      </c>
      <c r="DO1036" s="307" t="inlineStr">
        <is>
          <t>https://images.evo.com/imgp/250/176886/722696/clone.jpg</t>
        </is>
      </c>
    </row>
    <row r="1037" ht="15.6" customHeight="1" s="184">
      <c r="B1037" s="303">
        <f t="array" ref="B1037">IF(OR(ISERROR(K1037:P1037)),FALSE,TRUE)</f>
        <v/>
      </c>
      <c r="C1037" s="60">
        <f>OR(BR1037=Driver!$G$50,Data!BR872=Driver!$H$50)</f>
        <v/>
      </c>
      <c r="D1037" s="60">
        <f>OR(BV1037=Driver!$G$51,BV1037=Driver!$H$51)</f>
        <v/>
      </c>
      <c r="E1037" s="60">
        <f>AND(BX1037&gt;Driver!$F$54,BX1037&lt;Driver!$G$54)</f>
        <v/>
      </c>
      <c r="F1037" s="60">
        <f>CL1037&gt;Driver!$F$56</f>
        <v/>
      </c>
      <c r="G1037" s="60">
        <f>AND(CB1037&gt;Driver!$F$55,CB1037&lt;Driver!$G$55)</f>
        <v/>
      </c>
      <c r="H1037" s="60">
        <f>AND(B1037:G1037)</f>
        <v/>
      </c>
      <c r="I1037" s="60">
        <f>COUNTIFS($H$9:$H$1273,TRUE,$BT$9:$BT$1273,BT1037)</f>
        <v/>
      </c>
      <c r="J1037" s="60">
        <f t="array" ref="J1037">NOT(OR(($H$9:$H$1273=TRUE)*($I$9:$I$1273&gt;0)*($BT$9:$BT$1273=BT1037)*($K$9:$K$1273&gt;K1037)))</f>
        <v/>
      </c>
      <c r="K1037" s="108">
        <f>IFERROR(1-AVERAGE(X1037:Y1037),"")</f>
        <v/>
      </c>
      <c r="L1037" s="108">
        <f>1-X1037</f>
        <v/>
      </c>
      <c r="M1037" s="108">
        <f>1-Y1037</f>
        <v/>
      </c>
      <c r="N1037" s="108">
        <f>1-Z1037</f>
        <v/>
      </c>
      <c r="O1037" s="108">
        <f>1-AA1037</f>
        <v/>
      </c>
      <c r="P1037" s="108">
        <f>1-AB1037</f>
        <v/>
      </c>
      <c r="Q1037" s="108" t="n"/>
      <c r="R1037" s="108" t="n"/>
      <c r="S1037" s="108">
        <f>1-AE1037</f>
        <v/>
      </c>
      <c r="T1037" s="108">
        <f>1-AF1037</f>
        <v/>
      </c>
      <c r="U1037" s="108">
        <f>1-AG1037</f>
        <v/>
      </c>
      <c r="V1037" s="108">
        <f>1-AH1037</f>
        <v/>
      </c>
      <c r="W1037" s="108">
        <f>1-AI1037</f>
        <v/>
      </c>
      <c r="X1037" s="108">
        <f>ABS(AJ1037-AJ$1)</f>
        <v/>
      </c>
      <c r="Y1037" s="108">
        <f>AVERAGE(Z1037:AB1037)</f>
        <v/>
      </c>
      <c r="Z1037" s="108">
        <f>ABS(AL1037-AL$1)</f>
        <v/>
      </c>
      <c r="AA1037" s="108">
        <f>ABS(AM1037-AM$1)</f>
        <v/>
      </c>
      <c r="AB1037" s="108">
        <f>ABS(AN1037-AN$1)</f>
        <v/>
      </c>
      <c r="AC1037" s="108" t="n"/>
      <c r="AD1037" s="108" t="n"/>
      <c r="AE1037" s="108">
        <f>ABS(AQ$1-AQ1037)</f>
        <v/>
      </c>
      <c r="AF1037" s="108">
        <f>ABS(AR$1-AR1037)</f>
        <v/>
      </c>
      <c r="AG1037" s="108">
        <f>ABS(AS$1-AS1037)</f>
        <v/>
      </c>
      <c r="AH1037" s="108">
        <f>ABS(AT$1-AT1037)</f>
        <v/>
      </c>
      <c r="AI1037" s="108">
        <f>ABS(AU$1-AU1037)</f>
        <v/>
      </c>
      <c r="AJ1037" s="108">
        <f>(AV1037-Driver!$K$179)/(Driver!$L$179-Driver!$K$179)</f>
        <v/>
      </c>
      <c r="AK1037" s="108">
        <f>(AW1037-Driver!$K$180)/(Driver!$L$180-Driver!$K$180)</f>
        <v/>
      </c>
      <c r="AL1037" s="108">
        <f>(AX1037-Driver!$K$181)/(Driver!$L$181-Driver!$K$181)</f>
        <v/>
      </c>
      <c r="AM1037" s="108">
        <f>(AY1037-Driver!$K$182)/(Driver!$L$182-Driver!$K$182)</f>
        <v/>
      </c>
      <c r="AN1037" s="108">
        <f>(AZ1037-Driver!$K$183)/(Driver!$L$183-Driver!$K$183)</f>
        <v/>
      </c>
      <c r="AO1037" s="108" t="n"/>
      <c r="AP1037" s="108" t="n"/>
      <c r="AQ1037" s="108">
        <f>(BC1037-Driver!$K$188)/(Driver!$L$188-Driver!$K$188)</f>
        <v/>
      </c>
      <c r="AR1037" s="108">
        <f>MIN((BD1037-Driver!$K$189)/(Driver!$L$189-Driver!$K$189),100%)</f>
        <v/>
      </c>
      <c r="AS1037" s="108">
        <f>(BE1037-Driver!$K$190)/(Driver!$L$190-Driver!$K$190)</f>
        <v/>
      </c>
      <c r="AT1037" s="108">
        <f>(BF1037-Driver!$K$191)/(Driver!$L$191-Driver!$K$191)</f>
        <v/>
      </c>
      <c r="AU1037" s="108">
        <f>(BG1037-Driver!$K$192)/(Driver!$L$192-Driver!$K$192)</f>
        <v/>
      </c>
      <c r="AV1037" s="105">
        <f>IFERROR(BM1037*BJ1037^1/4,"")</f>
        <v/>
      </c>
      <c r="AW1037" s="105">
        <f>IFERROR(SUM(AX1037:AZ1037),"")</f>
        <v/>
      </c>
      <c r="AX1037" s="105">
        <f>IFERROR(BH1037,"")</f>
        <v/>
      </c>
      <c r="AY1037" s="105">
        <f>IFERROR(Driver!$K$19/Data!BH1037/Data!BI1037*Data!BK1037*Data!BL1037,"")</f>
        <v/>
      </c>
      <c r="AZ1037" s="105">
        <f>IFERROR(BI1037*BN1037,"")</f>
        <v/>
      </c>
      <c r="BA1037" s="105" t="n"/>
      <c r="BB1037" s="105" t="n"/>
      <c r="BC1037" s="105">
        <f>IFERROR(BI1037*BN1037*BK1037/BJ1037^(1/2),"")</f>
        <v/>
      </c>
      <c r="BD1037" s="105">
        <f>IFERROR(BH1037*BM1037*BL1037/BJ1037/BK1037,"")</f>
        <v/>
      </c>
      <c r="BE1037" s="105">
        <f>IFERROR(MIN(BI1037/BQ1037/BP1037/BO1037/BH1037,$BE$1),"")</f>
        <v/>
      </c>
      <c r="BF1037" s="105">
        <f>IFERROR(BJ1037*BO1037*BP1037/BK1037,"")</f>
        <v/>
      </c>
      <c r="BG1037" s="105">
        <f>IFERROR(1/BM1037/BH1037*BQ1037,"")</f>
        <v/>
      </c>
      <c r="BH1037" s="102">
        <f>MAX((CE1037-Driver!$F$200)/(Driver!$G$200-Driver!$F$200)*$BI$1,1)</f>
        <v/>
      </c>
      <c r="BI1037" s="102">
        <f>MAX($BI$1*(BY1037-Driver!$F$201)/(Driver!$G$201-Driver!$F$201),1)</f>
        <v/>
      </c>
      <c r="BJ1037" s="102">
        <f>(CB1037-Driver!$F$206)/(Driver!$G$206-Driver!$F$206)*$BI$1</f>
        <v/>
      </c>
      <c r="BK1037" s="102">
        <f>(CD1037-Driver!$F$203)/(Driver!$G$203-Driver!$F$203)*$BI$1</f>
        <v/>
      </c>
      <c r="BL1037" s="102">
        <f>MAX((CR1037-Driver!$F$202)/(Driver!$G$202-Driver!$F$202)*$BI$1,1)</f>
        <v/>
      </c>
      <c r="BM1037" s="102">
        <f>MAX((CH1037-Driver!$F$204)/(Driver!$G$204-Driver!$F$204)*$BI$1,1)</f>
        <v/>
      </c>
      <c r="BN1037" s="102">
        <f>(CI1037-Driver!$F$205)/(Driver!$G$205-Driver!$F$205)*$BI$1</f>
        <v/>
      </c>
      <c r="BO1037" s="102">
        <f>(CK1037-Driver!$F$207)/(Driver!$G$207-Driver!$F$207)*$BI$1</f>
        <v/>
      </c>
      <c r="BP1037" s="102">
        <f>(CM1037-Driver!$F$208)/(Driver!$G$208-Driver!$F$208)*$BI$1</f>
        <v/>
      </c>
      <c r="BQ1037" s="102">
        <f>(CL1037-Driver!$F$209)/(Driver!$G$209-Driver!$F$209)*$BI$1</f>
        <v/>
      </c>
      <c r="BR1037" s="40" t="inlineStr">
        <is>
          <t>21/22</t>
        </is>
      </c>
      <c r="BS1037" s="10" t="inlineStr">
        <is>
          <t xml:space="preserve"> Line</t>
        </is>
      </c>
      <c r="BT1037" s="11" t="inlineStr">
        <is>
          <t xml:space="preserve"> Tom Wallisch Pro</t>
        </is>
      </c>
      <c r="BU1037" s="13" t="n">
        <v>157</v>
      </c>
      <c r="BV1037" s="11" t="inlineStr">
        <is>
          <t xml:space="preserve"> Unisex</t>
        </is>
      </c>
      <c r="BW1037" s="13" t="n">
        <v>157</v>
      </c>
      <c r="BX1037" s="13" t="n">
        <v>157.4</v>
      </c>
      <c r="BY1037" s="13" t="n">
        <v>112</v>
      </c>
      <c r="BZ1037" s="13" t="n">
        <v>131</v>
      </c>
      <c r="CA1037" s="13" t="n">
        <v>117</v>
      </c>
      <c r="CB1037" s="13" t="n">
        <v>89</v>
      </c>
      <c r="CC1037" s="13" t="n">
        <v>116</v>
      </c>
      <c r="CD1037" s="13" t="n">
        <v>14.6</v>
      </c>
      <c r="CE1037" s="13" t="n">
        <v>1435</v>
      </c>
      <c r="CF1037" s="13" t="n">
        <v>1.09</v>
      </c>
      <c r="CG1037" s="13" t="n">
        <v>1562</v>
      </c>
      <c r="CH1037" s="13" t="n">
        <v>124</v>
      </c>
      <c r="CI1037" s="13" t="n">
        <v>66</v>
      </c>
      <c r="CJ1037" s="13" t="n">
        <v>36</v>
      </c>
      <c r="CK1037" s="13" t="n">
        <v>201</v>
      </c>
      <c r="CL1037" s="13" t="n">
        <v>39</v>
      </c>
      <c r="CM1037" s="13" t="n">
        <v>254</v>
      </c>
      <c r="CN1037" s="13" t="n">
        <v>1.095</v>
      </c>
      <c r="CO1037" s="13" t="n">
        <v>123</v>
      </c>
      <c r="CP1037" s="13" t="n">
        <v>141</v>
      </c>
      <c r="CQ1037" s="13" t="n">
        <v>78</v>
      </c>
      <c r="CR1037" s="13" t="n">
        <v>5</v>
      </c>
      <c r="CS1037" s="13" t="n">
        <v>1.9</v>
      </c>
      <c r="CT1037" s="11" t="inlineStr">
        <is>
          <t xml:space="preserve"> Freeski</t>
        </is>
      </c>
      <c r="CU1037" s="11" t="inlineStr">
        <is>
          <t xml:space="preserve"> Touring</t>
        </is>
      </c>
      <c r="CV1037" s="13" t="n"/>
      <c r="CW1037" s="13" t="n"/>
      <c r="CX1037">
        <f>INDEX('Data_Price '!AG$2:AG$1266,MATCH(Data!$DN1037,'Data_Price '!$AT$2:$AT$1266,0))</f>
        <v/>
      </c>
      <c r="CY1037">
        <f>INDEX('Data_Price '!AH$2:AH$1266,MATCH(Data!$DN1037,'Data_Price '!$AT$2:$AT$1266,0))</f>
        <v/>
      </c>
      <c r="CZ1037">
        <f>INDEX('Data_Price '!AI$2:AI$1266,MATCH(Data!$DN1037,'Data_Price '!$AT$2:$AT$1266,0))</f>
        <v/>
      </c>
      <c r="DA1037">
        <f>INDEX('Data_Price '!AJ$2:AJ$1266,MATCH(Data!$DN1037,'Data_Price '!$AT$2:$AT$1266,0))</f>
        <v/>
      </c>
      <c r="DB1037">
        <f>INDEX('Data_Price '!AK$2:AK$1266,MATCH(Data!$DN1037,'Data_Price '!$AT$2:$AT$1266,0))</f>
        <v/>
      </c>
      <c r="DC1037">
        <f>INDEX('Data_Price '!AL$2:AL$1266,MATCH(Data!$DN1037,'Data_Price '!$AT$2:$AT$1266,0))</f>
        <v/>
      </c>
      <c r="DD1037">
        <f>INDEX('Data_Price '!AM$2:AM$1266,MATCH(Data!$DN1037,'Data_Price '!$AT$2:$AT$1266,0))</f>
        <v/>
      </c>
      <c r="DE1037">
        <f>INDEX('Data_Price '!AN$2:AN$1266,MATCH(Data!$DN1037,'Data_Price '!$AT$2:$AT$1266,0))</f>
        <v/>
      </c>
      <c r="DF1037">
        <f>INDEX('Data_Price '!AO$2:AO$1266,MATCH(Data!$DN1037,'Data_Price '!$AT$2:$AT$1266,0))</f>
        <v/>
      </c>
      <c r="DG1037">
        <f>INDEX('Data_Price '!AP$2:AP$1266,MATCH(Data!$DN1037,'Data_Price '!$AT$2:$AT$1266,0))</f>
        <v/>
      </c>
      <c r="DH1037">
        <f>INDEX('Data_Price '!AQ$2:AQ$1266,MATCH(Data!$DN1037,'Data_Price '!$AT$2:$AT$1266,0))</f>
        <v/>
      </c>
      <c r="DI1037">
        <f>INDEX('Data_Price '!AR$2:AR$1266,MATCH(Data!$DN1037,'Data_Price '!$AT$2:$AT$1266,0))</f>
        <v/>
      </c>
      <c r="DJ1037" s="138">
        <f>DA1037</f>
        <v/>
      </c>
      <c r="DK1037" s="138">
        <f>DE1037</f>
        <v/>
      </c>
      <c r="DL1037" s="138">
        <f>DI1037</f>
        <v/>
      </c>
      <c r="DM1037" s="303">
        <f>IF(LEFT(BT1037,1)=" ",RIGHT(BT1037,LEN(BT1037)-1),BT1037)</f>
        <v/>
      </c>
      <c r="DN1037" s="138">
        <f>_xlfn.CONCAT(BS1037,DM1037,BU1037,BV1037)</f>
        <v/>
      </c>
      <c r="DO1037" s="307" t="n"/>
    </row>
    <row r="1038" ht="15.6" customHeight="1" s="184">
      <c r="B1038" s="303">
        <f t="array" ref="B1038">IF(OR(ISERROR(K1038:P1038)),FALSE,TRUE)</f>
        <v/>
      </c>
      <c r="C1038" s="60">
        <f>OR(BR1038=Driver!$G$50,Data!BR712=Driver!$H$50)</f>
        <v/>
      </c>
      <c r="D1038" s="60">
        <f>OR(BV1038=Driver!$G$51,BV1038=Driver!$H$51)</f>
        <v/>
      </c>
      <c r="E1038" s="60">
        <f>AND(BX1038&gt;Driver!$F$54,BX1038&lt;Driver!$G$54)</f>
        <v/>
      </c>
      <c r="F1038" s="60">
        <f>CL1038&gt;Driver!$F$56</f>
        <v/>
      </c>
      <c r="G1038" s="60">
        <f>AND(CB1038&gt;Driver!$F$55,CB1038&lt;Driver!$G$55)</f>
        <v/>
      </c>
      <c r="H1038" s="60">
        <f>AND(B1038:G1038)</f>
        <v/>
      </c>
      <c r="I1038" s="60">
        <f>COUNTIFS($H$9:$H$1273,TRUE,$BT$9:$BT$1273,BT1038)</f>
        <v/>
      </c>
      <c r="J1038" s="60">
        <f t="array" ref="J1038">NOT(OR(($H$9:$H$1273=TRUE)*($I$9:$I$1273&gt;0)*($BT$9:$BT$1273=BT1038)*($K$9:$K$1273&gt;K1038)))</f>
        <v/>
      </c>
      <c r="K1038" s="108">
        <f>IFERROR(1-AVERAGE(X1038:Y1038),"")</f>
        <v/>
      </c>
      <c r="L1038" s="108">
        <f>1-X1038</f>
        <v/>
      </c>
      <c r="M1038" s="108">
        <f>1-Y1038</f>
        <v/>
      </c>
      <c r="N1038" s="108">
        <f>1-Z1038</f>
        <v/>
      </c>
      <c r="O1038" s="108">
        <f>1-AA1038</f>
        <v/>
      </c>
      <c r="P1038" s="108">
        <f>1-AB1038</f>
        <v/>
      </c>
      <c r="Q1038" s="108" t="n"/>
      <c r="R1038" s="108" t="n"/>
      <c r="S1038" s="108">
        <f>1-AE1038</f>
        <v/>
      </c>
      <c r="T1038" s="108">
        <f>1-AF1038</f>
        <v/>
      </c>
      <c r="U1038" s="108">
        <f>1-AG1038</f>
        <v/>
      </c>
      <c r="V1038" s="108">
        <f>1-AH1038</f>
        <v/>
      </c>
      <c r="W1038" s="108">
        <f>1-AI1038</f>
        <v/>
      </c>
      <c r="X1038" s="108">
        <f>ABS(AJ1038-AJ$1)</f>
        <v/>
      </c>
      <c r="Y1038" s="108">
        <f>AVERAGE(Z1038:AB1038)</f>
        <v/>
      </c>
      <c r="Z1038" s="108">
        <f>ABS(AL1038-AL$1)</f>
        <v/>
      </c>
      <c r="AA1038" s="108">
        <f>ABS(AM1038-AM$1)</f>
        <v/>
      </c>
      <c r="AB1038" s="108">
        <f>ABS(AN1038-AN$1)</f>
        <v/>
      </c>
      <c r="AC1038" s="108" t="n"/>
      <c r="AD1038" s="108" t="n"/>
      <c r="AE1038" s="108">
        <f>ABS(AQ$1-AQ1038)</f>
        <v/>
      </c>
      <c r="AF1038" s="108">
        <f>ABS(AR$1-AR1038)</f>
        <v/>
      </c>
      <c r="AG1038" s="108">
        <f>ABS(AS$1-AS1038)</f>
        <v/>
      </c>
      <c r="AH1038" s="108">
        <f>ABS(AT$1-AT1038)</f>
        <v/>
      </c>
      <c r="AI1038" s="108">
        <f>ABS(AU$1-AU1038)</f>
        <v/>
      </c>
      <c r="AJ1038" s="108">
        <f>(AV1038-Driver!$K$179)/(Driver!$L$179-Driver!$K$179)</f>
        <v/>
      </c>
      <c r="AK1038" s="108">
        <f>(AW1038-Driver!$K$180)/(Driver!$L$180-Driver!$K$180)</f>
        <v/>
      </c>
      <c r="AL1038" s="108">
        <f>(AX1038-Driver!$K$181)/(Driver!$L$181-Driver!$K$181)</f>
        <v/>
      </c>
      <c r="AM1038" s="108">
        <f>(AY1038-Driver!$K$182)/(Driver!$L$182-Driver!$K$182)</f>
        <v/>
      </c>
      <c r="AN1038" s="108">
        <f>(AZ1038-Driver!$K$183)/(Driver!$L$183-Driver!$K$183)</f>
        <v/>
      </c>
      <c r="AO1038" s="108" t="n"/>
      <c r="AP1038" s="108" t="n"/>
      <c r="AQ1038" s="108">
        <f>(BC1038-Driver!$K$188)/(Driver!$L$188-Driver!$K$188)</f>
        <v/>
      </c>
      <c r="AR1038" s="108">
        <f>MIN((BD1038-Driver!$K$189)/(Driver!$L$189-Driver!$K$189),100%)</f>
        <v/>
      </c>
      <c r="AS1038" s="108">
        <f>(BE1038-Driver!$K$190)/(Driver!$L$190-Driver!$K$190)</f>
        <v/>
      </c>
      <c r="AT1038" s="108">
        <f>(BF1038-Driver!$K$191)/(Driver!$L$191-Driver!$K$191)</f>
        <v/>
      </c>
      <c r="AU1038" s="108">
        <f>(BG1038-Driver!$K$192)/(Driver!$L$192-Driver!$K$192)</f>
        <v/>
      </c>
      <c r="AV1038" s="105">
        <f>IFERROR(BM1038*BJ1038^1/4,"")</f>
        <v/>
      </c>
      <c r="AW1038" s="105">
        <f>IFERROR(SUM(AX1038:AZ1038),"")</f>
        <v/>
      </c>
      <c r="AX1038" s="105">
        <f>IFERROR(BH1038,"")</f>
        <v/>
      </c>
      <c r="AY1038" s="105">
        <f>IFERROR(Driver!$K$19/Data!BH1038/Data!BI1038*Data!BK1038*Data!BL1038,"")</f>
        <v/>
      </c>
      <c r="AZ1038" s="105">
        <f>IFERROR(BI1038*BN1038,"")</f>
        <v/>
      </c>
      <c r="BA1038" s="105" t="n"/>
      <c r="BB1038" s="105" t="n"/>
      <c r="BC1038" s="105">
        <f>IFERROR(BI1038*BN1038*BK1038/BJ1038^(1/2),"")</f>
        <v/>
      </c>
      <c r="BD1038" s="105">
        <f>IFERROR(BH1038*BM1038*BL1038/BJ1038/BK1038,"")</f>
        <v/>
      </c>
      <c r="BE1038" s="105">
        <f>IFERROR(MIN(BI1038/BQ1038/BP1038/BO1038/BH1038,$BE$1),"")</f>
        <v/>
      </c>
      <c r="BF1038" s="105">
        <f>IFERROR(BJ1038*BO1038*BP1038/BK1038,"")</f>
        <v/>
      </c>
      <c r="BG1038" s="105">
        <f>IFERROR(1/BM1038/BH1038*BQ1038,"")</f>
        <v/>
      </c>
      <c r="BH1038" s="102">
        <f>MAX((CE1038-Driver!$F$200)/(Driver!$G$200-Driver!$F$200)*$BI$1,1)</f>
        <v/>
      </c>
      <c r="BI1038" s="102">
        <f>MAX($BI$1*(BY1038-Driver!$F$201)/(Driver!$G$201-Driver!$F$201),1)</f>
        <v/>
      </c>
      <c r="BJ1038" s="102">
        <f>(CB1038-Driver!$F$206)/(Driver!$G$206-Driver!$F$206)*$BI$1</f>
        <v/>
      </c>
      <c r="BK1038" s="102">
        <f>(CD1038-Driver!$F$203)/(Driver!$G$203-Driver!$F$203)*$BI$1</f>
        <v/>
      </c>
      <c r="BL1038" s="102">
        <f>MAX((CR1038-Driver!$F$202)/(Driver!$G$202-Driver!$F$202)*$BI$1,1)</f>
        <v/>
      </c>
      <c r="BM1038" s="102">
        <f>MAX((CH1038-Driver!$F$204)/(Driver!$G$204-Driver!$F$204)*$BI$1,1)</f>
        <v/>
      </c>
      <c r="BN1038" s="102">
        <f>(CI1038-Driver!$F$205)/(Driver!$G$205-Driver!$F$205)*$BI$1</f>
        <v/>
      </c>
      <c r="BO1038" s="102">
        <f>(CK1038-Driver!$F$207)/(Driver!$G$207-Driver!$F$207)*$BI$1</f>
        <v/>
      </c>
      <c r="BP1038" s="102">
        <f>(CM1038-Driver!$F$208)/(Driver!$G$208-Driver!$F$208)*$BI$1</f>
        <v/>
      </c>
      <c r="BQ1038" s="102">
        <f>(CL1038-Driver!$F$209)/(Driver!$G$209-Driver!$F$209)*$BI$1</f>
        <v/>
      </c>
      <c r="BR1038" s="40" t="inlineStr">
        <is>
          <t>21/22</t>
        </is>
      </c>
      <c r="BS1038" s="10" t="inlineStr">
        <is>
          <t xml:space="preserve"> K2</t>
        </is>
      </c>
      <c r="BT1038" s="11" t="inlineStr">
        <is>
          <t xml:space="preserve"> Disruption Mti Alliance</t>
        </is>
      </c>
      <c r="BU1038" s="13" t="n">
        <v>160</v>
      </c>
      <c r="BV1038" s="11" t="inlineStr">
        <is>
          <t xml:space="preserve"> Women's</t>
        </is>
      </c>
      <c r="BW1038" s="13" t="n">
        <v>160</v>
      </c>
      <c r="BX1038" s="13" t="n">
        <v>160.7</v>
      </c>
      <c r="BY1038" s="13" t="n">
        <v>143</v>
      </c>
      <c r="BZ1038" s="13" t="n">
        <v>150</v>
      </c>
      <c r="CA1038" s="13" t="n">
        <v>115</v>
      </c>
      <c r="CB1038" s="13" t="n">
        <v>71</v>
      </c>
      <c r="CC1038" s="13" t="n">
        <v>103</v>
      </c>
      <c r="CD1038" s="13" t="n">
        <v>14.7</v>
      </c>
      <c r="CE1038" s="13" t="n">
        <v>1869</v>
      </c>
      <c r="CF1038" s="13" t="n">
        <v>0.73</v>
      </c>
      <c r="CG1038" s="13" t="n">
        <v>1368</v>
      </c>
      <c r="CH1038" s="13" t="n">
        <v>188</v>
      </c>
      <c r="CI1038" s="13" t="n">
        <v>119</v>
      </c>
      <c r="CJ1038" s="13" t="n">
        <v>31</v>
      </c>
      <c r="CK1038" s="13" t="n">
        <v>138</v>
      </c>
      <c r="CL1038" s="13" t="n">
        <v>3</v>
      </c>
      <c r="CM1038" s="13" t="n">
        <v>42</v>
      </c>
      <c r="CN1038" s="13" t="n">
        <v>0.091</v>
      </c>
      <c r="CO1038" s="13" t="n">
        <v>81</v>
      </c>
      <c r="CP1038" s="13" t="n">
        <v>29</v>
      </c>
      <c r="CQ1038" s="13" t="n">
        <v>56</v>
      </c>
      <c r="CR1038" s="13" t="n">
        <v>12</v>
      </c>
      <c r="CS1038" s="13" t="n">
        <v>10.4</v>
      </c>
      <c r="CT1038" s="11" t="inlineStr">
        <is>
          <t xml:space="preserve"> On-Piste Carving</t>
        </is>
      </c>
      <c r="CU1038" s="13" t="n"/>
      <c r="CV1038" s="13" t="n"/>
      <c r="CW1038" s="13" t="n"/>
      <c r="CX1038">
        <f>INDEX('Data_Price '!AG$2:AG$1266,MATCH(Data!$DN1038,'Data_Price '!$AT$2:$AT$1266,0))</f>
        <v/>
      </c>
      <c r="CY1038">
        <f>INDEX('Data_Price '!AH$2:AH$1266,MATCH(Data!$DN1038,'Data_Price '!$AT$2:$AT$1266,0))</f>
        <v/>
      </c>
      <c r="CZ1038">
        <f>INDEX('Data_Price '!AI$2:AI$1266,MATCH(Data!$DN1038,'Data_Price '!$AT$2:$AT$1266,0))</f>
        <v/>
      </c>
      <c r="DA1038">
        <f>INDEX('Data_Price '!AJ$2:AJ$1266,MATCH(Data!$DN1038,'Data_Price '!$AT$2:$AT$1266,0))</f>
        <v/>
      </c>
      <c r="DB1038">
        <f>INDEX('Data_Price '!AK$2:AK$1266,MATCH(Data!$DN1038,'Data_Price '!$AT$2:$AT$1266,0))</f>
        <v/>
      </c>
      <c r="DC1038">
        <f>INDEX('Data_Price '!AL$2:AL$1266,MATCH(Data!$DN1038,'Data_Price '!$AT$2:$AT$1266,0))</f>
        <v/>
      </c>
      <c r="DD1038">
        <f>INDEX('Data_Price '!AM$2:AM$1266,MATCH(Data!$DN1038,'Data_Price '!$AT$2:$AT$1266,0))</f>
        <v/>
      </c>
      <c r="DE1038">
        <f>INDEX('Data_Price '!AN$2:AN$1266,MATCH(Data!$DN1038,'Data_Price '!$AT$2:$AT$1266,0))</f>
        <v/>
      </c>
      <c r="DF1038">
        <f>INDEX('Data_Price '!AO$2:AO$1266,MATCH(Data!$DN1038,'Data_Price '!$AT$2:$AT$1266,0))</f>
        <v/>
      </c>
      <c r="DG1038">
        <f>INDEX('Data_Price '!AP$2:AP$1266,MATCH(Data!$DN1038,'Data_Price '!$AT$2:$AT$1266,0))</f>
        <v/>
      </c>
      <c r="DH1038">
        <f>INDEX('Data_Price '!AQ$2:AQ$1266,MATCH(Data!$DN1038,'Data_Price '!$AT$2:$AT$1266,0))</f>
        <v/>
      </c>
      <c r="DI1038">
        <f>INDEX('Data_Price '!AR$2:AR$1266,MATCH(Data!$DN1038,'Data_Price '!$AT$2:$AT$1266,0))</f>
        <v/>
      </c>
      <c r="DJ1038" s="138">
        <f>DA1038</f>
        <v/>
      </c>
      <c r="DK1038" s="138">
        <f>DE1038</f>
        <v/>
      </c>
      <c r="DL1038" s="138">
        <f>DI1038</f>
        <v/>
      </c>
      <c r="DM1038" s="303">
        <f>IF(LEFT(BT1038,1)=" ",RIGHT(BT1038,LEN(BT1038)-1),BT1038)</f>
        <v/>
      </c>
      <c r="DN1038" s="138">
        <f>_xlfn.CONCAT(BS1038,DM1038,BU1038,BV1038)</f>
        <v/>
      </c>
      <c r="DO1038" s="307" t="inlineStr">
        <is>
          <t>https://images.evo.com/imgp/250/182215/728626/k2-disruption-mti-alliance-skis-erc-11-tcx-light-quikclik-bindings-women-s-2022-.jpg</t>
        </is>
      </c>
    </row>
    <row r="1039" ht="15.6" customHeight="1" s="184">
      <c r="B1039" s="303">
        <f t="array" ref="B1039">IF(OR(ISERROR(K1039:P1039)),FALSE,TRUE)</f>
        <v/>
      </c>
      <c r="C1039" s="60">
        <f>OR(BR1039=Driver!$G$50,Data!BR457=Driver!$H$50)</f>
        <v/>
      </c>
      <c r="D1039" s="60">
        <f>OR(BV1039=Driver!$G$51,BV1039=Driver!$H$51)</f>
        <v/>
      </c>
      <c r="E1039" s="60">
        <f>AND(BX1039&gt;Driver!$F$54,BX1039&lt;Driver!$G$54)</f>
        <v/>
      </c>
      <c r="F1039" s="60">
        <f>CL1039&gt;Driver!$F$56</f>
        <v/>
      </c>
      <c r="G1039" s="60">
        <f>AND(CB1039&gt;Driver!$F$55,CB1039&lt;Driver!$G$55)</f>
        <v/>
      </c>
      <c r="H1039" s="60">
        <f>AND(B1039:G1039)</f>
        <v/>
      </c>
      <c r="I1039" s="60">
        <f>COUNTIFS($H$9:$H$1273,TRUE,$BT$9:$BT$1273,BT1039)</f>
        <v/>
      </c>
      <c r="J1039" s="60">
        <f t="array" ref="J1039">NOT(OR(($H$9:$H$1273=TRUE)*($I$9:$I$1273&gt;0)*($BT$9:$BT$1273=BT1039)*($K$9:$K$1273&gt;K1039)))</f>
        <v/>
      </c>
      <c r="K1039" s="108">
        <f>IFERROR(1-AVERAGE(X1039:Y1039),"")</f>
        <v/>
      </c>
      <c r="L1039" s="108">
        <f>1-X1039</f>
        <v/>
      </c>
      <c r="M1039" s="108">
        <f>1-Y1039</f>
        <v/>
      </c>
      <c r="N1039" s="108">
        <f>1-Z1039</f>
        <v/>
      </c>
      <c r="O1039" s="108">
        <f>1-AA1039</f>
        <v/>
      </c>
      <c r="P1039" s="108">
        <f>1-AB1039</f>
        <v/>
      </c>
      <c r="Q1039" s="108" t="n"/>
      <c r="R1039" s="108" t="n"/>
      <c r="S1039" s="108">
        <f>1-AE1039</f>
        <v/>
      </c>
      <c r="T1039" s="108">
        <f>1-AF1039</f>
        <v/>
      </c>
      <c r="U1039" s="108">
        <f>1-AG1039</f>
        <v/>
      </c>
      <c r="V1039" s="108">
        <f>1-AH1039</f>
        <v/>
      </c>
      <c r="W1039" s="108">
        <f>1-AI1039</f>
        <v/>
      </c>
      <c r="X1039" s="108">
        <f>ABS(AJ1039-AJ$1)</f>
        <v/>
      </c>
      <c r="Y1039" s="108">
        <f>AVERAGE(Z1039:AB1039)</f>
        <v/>
      </c>
      <c r="Z1039" s="108">
        <f>ABS(AL1039-AL$1)</f>
        <v/>
      </c>
      <c r="AA1039" s="108">
        <f>ABS(AM1039-AM$1)</f>
        <v/>
      </c>
      <c r="AB1039" s="108">
        <f>ABS(AN1039-AN$1)</f>
        <v/>
      </c>
      <c r="AC1039" s="108" t="n"/>
      <c r="AD1039" s="108" t="n"/>
      <c r="AE1039" s="108">
        <f>ABS(AQ$1-AQ1039)</f>
        <v/>
      </c>
      <c r="AF1039" s="108">
        <f>ABS(AR$1-AR1039)</f>
        <v/>
      </c>
      <c r="AG1039" s="108">
        <f>ABS(AS$1-AS1039)</f>
        <v/>
      </c>
      <c r="AH1039" s="108">
        <f>ABS(AT$1-AT1039)</f>
        <v/>
      </c>
      <c r="AI1039" s="108">
        <f>ABS(AU$1-AU1039)</f>
        <v/>
      </c>
      <c r="AJ1039" s="108">
        <f>(AV1039-Driver!$K$179)/(Driver!$L$179-Driver!$K$179)</f>
        <v/>
      </c>
      <c r="AK1039" s="108">
        <f>(AW1039-Driver!$K$180)/(Driver!$L$180-Driver!$K$180)</f>
        <v/>
      </c>
      <c r="AL1039" s="108">
        <f>(AX1039-Driver!$K$181)/(Driver!$L$181-Driver!$K$181)</f>
        <v/>
      </c>
      <c r="AM1039" s="108">
        <f>(AY1039-Driver!$K$182)/(Driver!$L$182-Driver!$K$182)</f>
        <v/>
      </c>
      <c r="AN1039" s="108">
        <f>(AZ1039-Driver!$K$183)/(Driver!$L$183-Driver!$K$183)</f>
        <v/>
      </c>
      <c r="AO1039" s="108" t="n"/>
      <c r="AP1039" s="108" t="n"/>
      <c r="AQ1039" s="108">
        <f>(BC1039-Driver!$K$188)/(Driver!$L$188-Driver!$K$188)</f>
        <v/>
      </c>
      <c r="AR1039" s="108">
        <f>MIN((BD1039-Driver!$K$189)/(Driver!$L$189-Driver!$K$189),100%)</f>
        <v/>
      </c>
      <c r="AS1039" s="108">
        <f>(BE1039-Driver!$K$190)/(Driver!$L$190-Driver!$K$190)</f>
        <v/>
      </c>
      <c r="AT1039" s="108">
        <f>(BF1039-Driver!$K$191)/(Driver!$L$191-Driver!$K$191)</f>
        <v/>
      </c>
      <c r="AU1039" s="108">
        <f>(BG1039-Driver!$K$192)/(Driver!$L$192-Driver!$K$192)</f>
        <v/>
      </c>
      <c r="AV1039" s="105">
        <f>IFERROR(BM1039*BJ1039^1/4,"")</f>
        <v/>
      </c>
      <c r="AW1039" s="105">
        <f>IFERROR(SUM(AX1039:AZ1039),"")</f>
        <v/>
      </c>
      <c r="AX1039" s="105">
        <f>IFERROR(BH1039,"")</f>
        <v/>
      </c>
      <c r="AY1039" s="105">
        <f>IFERROR(Driver!$K$19/Data!BH1039/Data!BI1039*Data!BK1039*Data!BL1039,"")</f>
        <v/>
      </c>
      <c r="AZ1039" s="105">
        <f>IFERROR(BI1039*BN1039,"")</f>
        <v/>
      </c>
      <c r="BA1039" s="105" t="n"/>
      <c r="BB1039" s="105" t="n"/>
      <c r="BC1039" s="105">
        <f>IFERROR(BI1039*BN1039*BK1039/BJ1039^(1/2),"")</f>
        <v/>
      </c>
      <c r="BD1039" s="105">
        <f>IFERROR(BH1039*BM1039*BL1039/BJ1039/BK1039,"")</f>
        <v/>
      </c>
      <c r="BE1039" s="105">
        <f>IFERROR(MIN(BI1039/BQ1039/BP1039/BO1039/BH1039,$BE$1),"")</f>
        <v/>
      </c>
      <c r="BF1039" s="105">
        <f>IFERROR(BJ1039*BO1039*BP1039/BK1039,"")</f>
        <v/>
      </c>
      <c r="BG1039" s="105">
        <f>IFERROR(1/BM1039/BH1039*BQ1039,"")</f>
        <v/>
      </c>
      <c r="BH1039" s="102">
        <f>MAX((CE1039-Driver!$F$200)/(Driver!$G$200-Driver!$F$200)*$BI$1,1)</f>
        <v/>
      </c>
      <c r="BI1039" s="102">
        <f>MAX($BI$1*(BY1039-Driver!$F$201)/(Driver!$G$201-Driver!$F$201),1)</f>
        <v/>
      </c>
      <c r="BJ1039" s="102">
        <f>(CB1039-Driver!$F$206)/(Driver!$G$206-Driver!$F$206)*$BI$1</f>
        <v/>
      </c>
      <c r="BK1039" s="102">
        <f>(CD1039-Driver!$F$203)/(Driver!$G$203-Driver!$F$203)*$BI$1</f>
        <v/>
      </c>
      <c r="BL1039" s="102">
        <f>MAX((CR1039-Driver!$F$202)/(Driver!$G$202-Driver!$F$202)*$BI$1,1)</f>
        <v/>
      </c>
      <c r="BM1039" s="102">
        <f>MAX((CH1039-Driver!$F$204)/(Driver!$G$204-Driver!$F$204)*$BI$1,1)</f>
        <v/>
      </c>
      <c r="BN1039" s="102">
        <f>(CI1039-Driver!$F$205)/(Driver!$G$205-Driver!$F$205)*$BI$1</f>
        <v/>
      </c>
      <c r="BO1039" s="102">
        <f>(CK1039-Driver!$F$207)/(Driver!$G$207-Driver!$F$207)*$BI$1</f>
        <v/>
      </c>
      <c r="BP1039" s="102">
        <f>(CM1039-Driver!$F$208)/(Driver!$G$208-Driver!$F$208)*$BI$1</f>
        <v/>
      </c>
      <c r="BQ1039" s="102">
        <f>(CL1039-Driver!$F$209)/(Driver!$G$209-Driver!$F$209)*$BI$1</f>
        <v/>
      </c>
      <c r="BR1039" s="40" t="inlineStr">
        <is>
          <t>21/22</t>
        </is>
      </c>
      <c r="BS1039" s="10" t="inlineStr">
        <is>
          <t xml:space="preserve"> Elan</t>
        </is>
      </c>
      <c r="BT1039" s="11" t="inlineStr">
        <is>
          <t>Ripstick 88 W</t>
        </is>
      </c>
      <c r="BU1039" s="13" t="n">
        <v>162</v>
      </c>
      <c r="BV1039" s="11" t="inlineStr">
        <is>
          <t xml:space="preserve"> Women's</t>
        </is>
      </c>
      <c r="BW1039" s="13" t="n">
        <v>162</v>
      </c>
      <c r="BX1039" s="13" t="n">
        <v>163.9</v>
      </c>
      <c r="BY1039" s="13" t="n">
        <v>123</v>
      </c>
      <c r="BZ1039" s="13" t="n">
        <v>133</v>
      </c>
      <c r="CA1039" s="13" t="n">
        <v>130</v>
      </c>
      <c r="CB1039" s="13" t="n">
        <v>87</v>
      </c>
      <c r="CC1039" s="13" t="n">
        <v>105</v>
      </c>
      <c r="CD1039" s="13" t="n">
        <v>14.1</v>
      </c>
      <c r="CE1039" s="13" t="n">
        <v>1404</v>
      </c>
      <c r="CF1039" s="13" t="n">
        <v>1.18</v>
      </c>
      <c r="CG1039" s="13" t="n">
        <v>1651</v>
      </c>
      <c r="CH1039" s="13" t="n">
        <v>130</v>
      </c>
      <c r="CI1039" s="13" t="n">
        <v>61</v>
      </c>
      <c r="CJ1039" s="13" t="n">
        <v>46</v>
      </c>
      <c r="CK1039" s="13" t="n">
        <v>260</v>
      </c>
      <c r="CL1039" s="13" t="n">
        <v>13</v>
      </c>
      <c r="CM1039" s="13" t="n">
        <v>149</v>
      </c>
      <c r="CN1039" s="13" t="n">
        <v>0.275</v>
      </c>
      <c r="CO1039" s="13" t="n">
        <v>157</v>
      </c>
      <c r="CP1039" s="13" t="n">
        <v>153</v>
      </c>
      <c r="CQ1039" s="13" t="n">
        <v>103</v>
      </c>
      <c r="CR1039" s="13" t="n">
        <v>4</v>
      </c>
      <c r="CS1039" s="13" t="n">
        <v>8.5</v>
      </c>
      <c r="CT1039" s="11" t="inlineStr">
        <is>
          <t xml:space="preserve"> Resort Freeride</t>
        </is>
      </c>
      <c r="CU1039" s="11" t="inlineStr">
        <is>
          <t xml:space="preserve"> Touring</t>
        </is>
      </c>
      <c r="CV1039" s="13" t="n"/>
      <c r="CW1039" s="13" t="n"/>
      <c r="CX1039">
        <f>INDEX('Data_Price '!AG$2:AG$1266,MATCH(Data!$DN1039,'Data_Price '!$AT$2:$AT$1266,0))</f>
        <v/>
      </c>
      <c r="CY1039">
        <f>INDEX('Data_Price '!AH$2:AH$1266,MATCH(Data!$DN1039,'Data_Price '!$AT$2:$AT$1266,0))</f>
        <v/>
      </c>
      <c r="CZ1039">
        <f>INDEX('Data_Price '!AI$2:AI$1266,MATCH(Data!$DN1039,'Data_Price '!$AT$2:$AT$1266,0))</f>
        <v/>
      </c>
      <c r="DA1039">
        <f>INDEX('Data_Price '!AJ$2:AJ$1266,MATCH(Data!$DN1039,'Data_Price '!$AT$2:$AT$1266,0))</f>
        <v/>
      </c>
      <c r="DB1039">
        <f>INDEX('Data_Price '!AK$2:AK$1266,MATCH(Data!$DN1039,'Data_Price '!$AT$2:$AT$1266,0))</f>
        <v/>
      </c>
      <c r="DC1039">
        <f>INDEX('Data_Price '!AL$2:AL$1266,MATCH(Data!$DN1039,'Data_Price '!$AT$2:$AT$1266,0))</f>
        <v/>
      </c>
      <c r="DD1039">
        <f>INDEX('Data_Price '!AM$2:AM$1266,MATCH(Data!$DN1039,'Data_Price '!$AT$2:$AT$1266,0))</f>
        <v/>
      </c>
      <c r="DE1039">
        <f>INDEX('Data_Price '!AN$2:AN$1266,MATCH(Data!$DN1039,'Data_Price '!$AT$2:$AT$1266,0))</f>
        <v/>
      </c>
      <c r="DF1039">
        <f>INDEX('Data_Price '!AO$2:AO$1266,MATCH(Data!$DN1039,'Data_Price '!$AT$2:$AT$1266,0))</f>
        <v/>
      </c>
      <c r="DG1039">
        <f>INDEX('Data_Price '!AP$2:AP$1266,MATCH(Data!$DN1039,'Data_Price '!$AT$2:$AT$1266,0))</f>
        <v/>
      </c>
      <c r="DH1039">
        <f>INDEX('Data_Price '!AQ$2:AQ$1266,MATCH(Data!$DN1039,'Data_Price '!$AT$2:$AT$1266,0))</f>
        <v/>
      </c>
      <c r="DI1039">
        <f>INDEX('Data_Price '!AR$2:AR$1266,MATCH(Data!$DN1039,'Data_Price '!$AT$2:$AT$1266,0))</f>
        <v/>
      </c>
      <c r="DJ1039" s="138">
        <f>DA1039</f>
        <v/>
      </c>
      <c r="DK1039" s="138">
        <f>DE1039</f>
        <v/>
      </c>
      <c r="DL1039" s="138">
        <f>DI1039</f>
        <v/>
      </c>
      <c r="DM1039" s="303">
        <f>IF(LEFT(BT1039,1)=" ",RIGHT(BT1039,LEN(BT1039)-1),BT1039)</f>
        <v/>
      </c>
      <c r="DN1039" s="138">
        <f>_xlfn.CONCAT(BS1039,DM1039,BU1039,BV1039)</f>
        <v/>
      </c>
      <c r="DO1039" s="307" t="inlineStr">
        <is>
          <t>https://images.evo.com/imgp/250/185141/744749/elan-ripstick-88-w-skis-women-s-2022-.jpg</t>
        </is>
      </c>
    </row>
    <row r="1040" ht="15.6" customHeight="1" s="184">
      <c r="B1040" s="303">
        <f t="array" ref="B1040">IF(OR(ISERROR(K1040:P1040)),FALSE,TRUE)</f>
        <v/>
      </c>
      <c r="C1040" s="60">
        <f>OR(BR1040=Driver!$G$50,Data!BR469=Driver!$H$50)</f>
        <v/>
      </c>
      <c r="D1040" s="60">
        <f>OR(BV1040=Driver!$G$51,BV1040=Driver!$H$51)</f>
        <v/>
      </c>
      <c r="E1040" s="60">
        <f>AND(BX1040&gt;Driver!$F$54,BX1040&lt;Driver!$G$54)</f>
        <v/>
      </c>
      <c r="F1040" s="60">
        <f>CL1040&gt;Driver!$F$56</f>
        <v/>
      </c>
      <c r="G1040" s="60">
        <f>AND(CB1040&gt;Driver!$F$55,CB1040&lt;Driver!$G$55)</f>
        <v/>
      </c>
      <c r="H1040" s="60">
        <f>AND(B1040:G1040)</f>
        <v/>
      </c>
      <c r="I1040" s="60">
        <f>COUNTIFS($H$9:$H$1273,TRUE,$BT$9:$BT$1273,BT1040)</f>
        <v/>
      </c>
      <c r="J1040" s="60">
        <f t="array" ref="J1040">NOT(OR(($H$9:$H$1273=TRUE)*($I$9:$I$1273&gt;0)*($BT$9:$BT$1273=BT1040)*($K$9:$K$1273&gt;K1040)))</f>
        <v/>
      </c>
      <c r="K1040" s="108">
        <f>IFERROR(1-AVERAGE(X1040:Y1040),"")</f>
        <v/>
      </c>
      <c r="L1040" s="108">
        <f>1-X1040</f>
        <v/>
      </c>
      <c r="M1040" s="108">
        <f>1-Y1040</f>
        <v/>
      </c>
      <c r="N1040" s="108">
        <f>1-Z1040</f>
        <v/>
      </c>
      <c r="O1040" s="108">
        <f>1-AA1040</f>
        <v/>
      </c>
      <c r="P1040" s="108">
        <f>1-AB1040</f>
        <v/>
      </c>
      <c r="Q1040" s="108" t="n"/>
      <c r="R1040" s="108" t="n"/>
      <c r="S1040" s="108">
        <f>1-AE1040</f>
        <v/>
      </c>
      <c r="T1040" s="108">
        <f>1-AF1040</f>
        <v/>
      </c>
      <c r="U1040" s="108">
        <f>1-AG1040</f>
        <v/>
      </c>
      <c r="V1040" s="108">
        <f>1-AH1040</f>
        <v/>
      </c>
      <c r="W1040" s="108">
        <f>1-AI1040</f>
        <v/>
      </c>
      <c r="X1040" s="108">
        <f>ABS(AJ1040-AJ$1)</f>
        <v/>
      </c>
      <c r="Y1040" s="108">
        <f>AVERAGE(Z1040:AB1040)</f>
        <v/>
      </c>
      <c r="Z1040" s="108">
        <f>ABS(AL1040-AL$1)</f>
        <v/>
      </c>
      <c r="AA1040" s="108">
        <f>ABS(AM1040-AM$1)</f>
        <v/>
      </c>
      <c r="AB1040" s="108">
        <f>ABS(AN1040-AN$1)</f>
        <v/>
      </c>
      <c r="AC1040" s="108" t="n"/>
      <c r="AD1040" s="108" t="n"/>
      <c r="AE1040" s="108">
        <f>ABS(AQ$1-AQ1040)</f>
        <v/>
      </c>
      <c r="AF1040" s="108">
        <f>ABS(AR$1-AR1040)</f>
        <v/>
      </c>
      <c r="AG1040" s="108">
        <f>ABS(AS$1-AS1040)</f>
        <v/>
      </c>
      <c r="AH1040" s="108">
        <f>ABS(AT$1-AT1040)</f>
        <v/>
      </c>
      <c r="AI1040" s="108">
        <f>ABS(AU$1-AU1040)</f>
        <v/>
      </c>
      <c r="AJ1040" s="108">
        <f>(AV1040-Driver!$K$179)/(Driver!$L$179-Driver!$K$179)</f>
        <v/>
      </c>
      <c r="AK1040" s="108">
        <f>(AW1040-Driver!$K$180)/(Driver!$L$180-Driver!$K$180)</f>
        <v/>
      </c>
      <c r="AL1040" s="108">
        <f>(AX1040-Driver!$K$181)/(Driver!$L$181-Driver!$K$181)</f>
        <v/>
      </c>
      <c r="AM1040" s="108">
        <f>(AY1040-Driver!$K$182)/(Driver!$L$182-Driver!$K$182)</f>
        <v/>
      </c>
      <c r="AN1040" s="108">
        <f>(AZ1040-Driver!$K$183)/(Driver!$L$183-Driver!$K$183)</f>
        <v/>
      </c>
      <c r="AO1040" s="108" t="n"/>
      <c r="AP1040" s="108" t="n"/>
      <c r="AQ1040" s="108">
        <f>(BC1040-Driver!$K$188)/(Driver!$L$188-Driver!$K$188)</f>
        <v/>
      </c>
      <c r="AR1040" s="108">
        <f>MIN((BD1040-Driver!$K$189)/(Driver!$L$189-Driver!$K$189),100%)</f>
        <v/>
      </c>
      <c r="AS1040" s="108">
        <f>(BE1040-Driver!$K$190)/(Driver!$L$190-Driver!$K$190)</f>
        <v/>
      </c>
      <c r="AT1040" s="108">
        <f>(BF1040-Driver!$K$191)/(Driver!$L$191-Driver!$K$191)</f>
        <v/>
      </c>
      <c r="AU1040" s="108">
        <f>(BG1040-Driver!$K$192)/(Driver!$L$192-Driver!$K$192)</f>
        <v/>
      </c>
      <c r="AV1040" s="105">
        <f>IFERROR(BM1040*BJ1040^1/4,"")</f>
        <v/>
      </c>
      <c r="AW1040" s="105">
        <f>IFERROR(SUM(AX1040:AZ1040),"")</f>
        <v/>
      </c>
      <c r="AX1040" s="105">
        <f>IFERROR(BH1040,"")</f>
        <v/>
      </c>
      <c r="AY1040" s="105">
        <f>IFERROR(Driver!$K$19/Data!BH1040/Data!BI1040*Data!BK1040*Data!BL1040,"")</f>
        <v/>
      </c>
      <c r="AZ1040" s="105">
        <f>IFERROR(BI1040*BN1040,"")</f>
        <v/>
      </c>
      <c r="BA1040" s="105" t="n"/>
      <c r="BB1040" s="105" t="n"/>
      <c r="BC1040" s="105">
        <f>IFERROR(BI1040*BN1040*BK1040/BJ1040^(1/2),"")</f>
        <v/>
      </c>
      <c r="BD1040" s="105">
        <f>IFERROR(BH1040*BM1040*BL1040/BJ1040/BK1040,"")</f>
        <v/>
      </c>
      <c r="BE1040" s="105">
        <f>IFERROR(MIN(BI1040/BQ1040/BP1040/BO1040/BH1040,$BE$1),"")</f>
        <v/>
      </c>
      <c r="BF1040" s="105">
        <f>IFERROR(BJ1040*BO1040*BP1040/BK1040,"")</f>
        <v/>
      </c>
      <c r="BG1040" s="105">
        <f>IFERROR(1/BM1040/BH1040*BQ1040,"")</f>
        <v/>
      </c>
      <c r="BH1040" s="102">
        <f>MAX((CE1040-Driver!$F$200)/(Driver!$G$200-Driver!$F$200)*$BI$1,1)</f>
        <v/>
      </c>
      <c r="BI1040" s="102">
        <f>MAX($BI$1*(BY1040-Driver!$F$201)/(Driver!$G$201-Driver!$F$201),1)</f>
        <v/>
      </c>
      <c r="BJ1040" s="102">
        <f>(CB1040-Driver!$F$206)/(Driver!$G$206-Driver!$F$206)*$BI$1</f>
        <v/>
      </c>
      <c r="BK1040" s="102">
        <f>(CD1040-Driver!$F$203)/(Driver!$G$203-Driver!$F$203)*$BI$1</f>
        <v/>
      </c>
      <c r="BL1040" s="102">
        <f>MAX((CR1040-Driver!$F$202)/(Driver!$G$202-Driver!$F$202)*$BI$1,1)</f>
        <v/>
      </c>
      <c r="BM1040" s="102">
        <f>MAX((CH1040-Driver!$F$204)/(Driver!$G$204-Driver!$F$204)*$BI$1,1)</f>
        <v/>
      </c>
      <c r="BN1040" s="102">
        <f>(CI1040-Driver!$F$205)/(Driver!$G$205-Driver!$F$205)*$BI$1</f>
        <v/>
      </c>
      <c r="BO1040" s="102">
        <f>(CK1040-Driver!$F$207)/(Driver!$G$207-Driver!$F$207)*$BI$1</f>
        <v/>
      </c>
      <c r="BP1040" s="102">
        <f>(CM1040-Driver!$F$208)/(Driver!$G$208-Driver!$F$208)*$BI$1</f>
        <v/>
      </c>
      <c r="BQ1040" s="102">
        <f>(CL1040-Driver!$F$209)/(Driver!$G$209-Driver!$F$209)*$BI$1</f>
        <v/>
      </c>
      <c r="BR1040" s="40" t="inlineStr">
        <is>
          <t>21/22</t>
        </is>
      </c>
      <c r="BS1040" s="10" t="inlineStr">
        <is>
          <t xml:space="preserve"> Elan</t>
        </is>
      </c>
      <c r="BT1040" s="11" t="inlineStr">
        <is>
          <t>Wildcat 76</t>
        </is>
      </c>
      <c r="BU1040" s="13" t="n">
        <v>150</v>
      </c>
      <c r="BV1040" s="11" t="inlineStr">
        <is>
          <t xml:space="preserve"> Women's</t>
        </is>
      </c>
      <c r="BW1040" s="13" t="n">
        <v>150</v>
      </c>
      <c r="BX1040" s="13" t="n">
        <v>150.2</v>
      </c>
      <c r="BY1040" s="13" t="n">
        <v>131</v>
      </c>
      <c r="BZ1040" s="13" t="n">
        <v>136</v>
      </c>
      <c r="CA1040" s="13" t="n">
        <v>127</v>
      </c>
      <c r="CB1040" s="13" t="n">
        <v>75</v>
      </c>
      <c r="CC1040" s="13" t="n">
        <v>105</v>
      </c>
      <c r="CD1040" s="13" t="n">
        <v>11.5</v>
      </c>
      <c r="CE1040" s="13" t="n">
        <v>1415</v>
      </c>
      <c r="CF1040" s="13" t="n">
        <v>0.96</v>
      </c>
      <c r="CG1040" s="13" t="n">
        <v>1365</v>
      </c>
      <c r="CH1040" s="13" t="n">
        <v>135</v>
      </c>
      <c r="CI1040" s="13" t="n">
        <v>60</v>
      </c>
      <c r="CJ1040" s="13" t="n">
        <v>38</v>
      </c>
      <c r="CK1040" s="13" t="n">
        <v>132</v>
      </c>
      <c r="CL1040" s="13" t="n">
        <v>6</v>
      </c>
      <c r="CM1040" s="13" t="n">
        <v>63</v>
      </c>
      <c r="CN1040" s="13" t="n">
        <v>0.159</v>
      </c>
      <c r="CO1040" s="13" t="n">
        <v>89</v>
      </c>
      <c r="CP1040" s="13" t="n">
        <v>49</v>
      </c>
      <c r="CQ1040" s="13" t="n">
        <v>43</v>
      </c>
      <c r="CR1040" s="13" t="n">
        <v>8</v>
      </c>
      <c r="CS1040" s="13" t="n">
        <v>9.699999999999999</v>
      </c>
      <c r="CT1040" s="11" t="inlineStr">
        <is>
          <t xml:space="preserve"> On-Piste Carving</t>
        </is>
      </c>
      <c r="CU1040" s="13" t="n"/>
      <c r="CV1040" s="13" t="n"/>
      <c r="CW1040" s="13" t="n"/>
      <c r="CX1040">
        <f>INDEX('Data_Price '!AG$2:AG$1266,MATCH(Data!$DN1040,'Data_Price '!$AT$2:$AT$1266,0))</f>
        <v/>
      </c>
      <c r="CY1040">
        <f>INDEX('Data_Price '!AH$2:AH$1266,MATCH(Data!$DN1040,'Data_Price '!$AT$2:$AT$1266,0))</f>
        <v/>
      </c>
      <c r="CZ1040">
        <f>INDEX('Data_Price '!AI$2:AI$1266,MATCH(Data!$DN1040,'Data_Price '!$AT$2:$AT$1266,0))</f>
        <v/>
      </c>
      <c r="DA1040">
        <f>INDEX('Data_Price '!AJ$2:AJ$1266,MATCH(Data!$DN1040,'Data_Price '!$AT$2:$AT$1266,0))</f>
        <v/>
      </c>
      <c r="DB1040">
        <f>INDEX('Data_Price '!AK$2:AK$1266,MATCH(Data!$DN1040,'Data_Price '!$AT$2:$AT$1266,0))</f>
        <v/>
      </c>
      <c r="DC1040">
        <f>INDEX('Data_Price '!AL$2:AL$1266,MATCH(Data!$DN1040,'Data_Price '!$AT$2:$AT$1266,0))</f>
        <v/>
      </c>
      <c r="DD1040">
        <f>INDEX('Data_Price '!AM$2:AM$1266,MATCH(Data!$DN1040,'Data_Price '!$AT$2:$AT$1266,0))</f>
        <v/>
      </c>
      <c r="DE1040">
        <f>INDEX('Data_Price '!AN$2:AN$1266,MATCH(Data!$DN1040,'Data_Price '!$AT$2:$AT$1266,0))</f>
        <v/>
      </c>
      <c r="DF1040">
        <f>INDEX('Data_Price '!AO$2:AO$1266,MATCH(Data!$DN1040,'Data_Price '!$AT$2:$AT$1266,0))</f>
        <v/>
      </c>
      <c r="DG1040">
        <f>INDEX('Data_Price '!AP$2:AP$1266,MATCH(Data!$DN1040,'Data_Price '!$AT$2:$AT$1266,0))</f>
        <v/>
      </c>
      <c r="DH1040">
        <f>INDEX('Data_Price '!AQ$2:AQ$1266,MATCH(Data!$DN1040,'Data_Price '!$AT$2:$AT$1266,0))</f>
        <v/>
      </c>
      <c r="DI1040">
        <f>INDEX('Data_Price '!AR$2:AR$1266,MATCH(Data!$DN1040,'Data_Price '!$AT$2:$AT$1266,0))</f>
        <v/>
      </c>
      <c r="DJ1040" s="138">
        <f>DA1040</f>
        <v/>
      </c>
      <c r="DK1040" s="138">
        <f>DE1040</f>
        <v/>
      </c>
      <c r="DL1040" s="138">
        <f>DI1040</f>
        <v/>
      </c>
      <c r="DM1040" s="303">
        <f>IF(LEFT(BT1040,1)=" ",RIGHT(BT1040,LEN(BT1040)-1),BT1040)</f>
        <v/>
      </c>
      <c r="DN1040" s="138">
        <f>_xlfn.CONCAT(BS1040,DM1040,BU1040,BV1040)</f>
        <v/>
      </c>
      <c r="DO1040" s="307" t="n"/>
    </row>
    <row r="1041" ht="15.6" customHeight="1" s="184">
      <c r="B1041" s="303">
        <f t="array" ref="B1041">IF(OR(ISERROR(K1041:P1041)),FALSE,TRUE)</f>
        <v/>
      </c>
      <c r="C1041" s="60">
        <f>OR(BR1041=Driver!$G$50,Data!BR94=Driver!$H$50)</f>
        <v/>
      </c>
      <c r="D1041" s="60">
        <f>OR(BV1041=Driver!$G$51,BV1041=Driver!$H$51)</f>
        <v/>
      </c>
      <c r="E1041" s="60">
        <f>AND(BX1041&gt;Driver!$F$54,BX1041&lt;Driver!$G$54)</f>
        <v/>
      </c>
      <c r="F1041" s="60">
        <f>CL1041&gt;Driver!$F$56</f>
        <v/>
      </c>
      <c r="G1041" s="60">
        <f>AND(CB1041&gt;Driver!$F$55,CB1041&lt;Driver!$G$55)</f>
        <v/>
      </c>
      <c r="H1041" s="60">
        <f>AND(B1041:G1041)</f>
        <v/>
      </c>
      <c r="I1041" s="60">
        <f>COUNTIFS($H$9:$H$1273,TRUE,$BT$9:$BT$1273,BT1041)</f>
        <v/>
      </c>
      <c r="J1041" s="60">
        <f t="array" ref="J1041">NOT(OR(($H$9:$H$1273=TRUE)*($I$9:$I$1273&gt;0)*($BT$9:$BT$1273=BT1041)*($K$9:$K$1273&gt;K1041)))</f>
        <v/>
      </c>
      <c r="K1041" s="108">
        <f>IFERROR(1-AVERAGE(X1041:Y1041),"")</f>
        <v/>
      </c>
      <c r="L1041" s="108">
        <f>1-X1041</f>
        <v/>
      </c>
      <c r="M1041" s="108">
        <f>1-Y1041</f>
        <v/>
      </c>
      <c r="N1041" s="108">
        <f>1-Z1041</f>
        <v/>
      </c>
      <c r="O1041" s="108">
        <f>1-AA1041</f>
        <v/>
      </c>
      <c r="P1041" s="108">
        <f>1-AB1041</f>
        <v/>
      </c>
      <c r="Q1041" s="108" t="n"/>
      <c r="R1041" s="108" t="n"/>
      <c r="S1041" s="108">
        <f>1-AE1041</f>
        <v/>
      </c>
      <c r="T1041" s="108">
        <f>1-AF1041</f>
        <v/>
      </c>
      <c r="U1041" s="108">
        <f>1-AG1041</f>
        <v/>
      </c>
      <c r="V1041" s="108">
        <f>1-AH1041</f>
        <v/>
      </c>
      <c r="W1041" s="108">
        <f>1-AI1041</f>
        <v/>
      </c>
      <c r="X1041" s="108">
        <f>ABS(AJ1041-AJ$1)</f>
        <v/>
      </c>
      <c r="Y1041" s="108">
        <f>AVERAGE(Z1041:AB1041)</f>
        <v/>
      </c>
      <c r="Z1041" s="108">
        <f>ABS(AL1041-AL$1)</f>
        <v/>
      </c>
      <c r="AA1041" s="108">
        <f>ABS(AM1041-AM$1)</f>
        <v/>
      </c>
      <c r="AB1041" s="108">
        <f>ABS(AN1041-AN$1)</f>
        <v/>
      </c>
      <c r="AC1041" s="108" t="n"/>
      <c r="AD1041" s="108" t="n"/>
      <c r="AE1041" s="108">
        <f>ABS(AQ$1-AQ1041)</f>
        <v/>
      </c>
      <c r="AF1041" s="108">
        <f>ABS(AR$1-AR1041)</f>
        <v/>
      </c>
      <c r="AG1041" s="108">
        <f>ABS(AS$1-AS1041)</f>
        <v/>
      </c>
      <c r="AH1041" s="108">
        <f>ABS(AT$1-AT1041)</f>
        <v/>
      </c>
      <c r="AI1041" s="108">
        <f>ABS(AU$1-AU1041)</f>
        <v/>
      </c>
      <c r="AJ1041" s="108">
        <f>(AV1041-Driver!$K$179)/(Driver!$L$179-Driver!$K$179)</f>
        <v/>
      </c>
      <c r="AK1041" s="108">
        <f>(AW1041-Driver!$K$180)/(Driver!$L$180-Driver!$K$180)</f>
        <v/>
      </c>
      <c r="AL1041" s="108">
        <f>(AX1041-Driver!$K$181)/(Driver!$L$181-Driver!$K$181)</f>
        <v/>
      </c>
      <c r="AM1041" s="108">
        <f>(AY1041-Driver!$K$182)/(Driver!$L$182-Driver!$K$182)</f>
        <v/>
      </c>
      <c r="AN1041" s="108">
        <f>(AZ1041-Driver!$K$183)/(Driver!$L$183-Driver!$K$183)</f>
        <v/>
      </c>
      <c r="AO1041" s="108" t="n"/>
      <c r="AP1041" s="108" t="n"/>
      <c r="AQ1041" s="108">
        <f>(BC1041-Driver!$K$188)/(Driver!$L$188-Driver!$K$188)</f>
        <v/>
      </c>
      <c r="AR1041" s="108">
        <f>MIN((BD1041-Driver!$K$189)/(Driver!$L$189-Driver!$K$189),100%)</f>
        <v/>
      </c>
      <c r="AS1041" s="108">
        <f>(BE1041-Driver!$K$190)/(Driver!$L$190-Driver!$K$190)</f>
        <v/>
      </c>
      <c r="AT1041" s="108">
        <f>(BF1041-Driver!$K$191)/(Driver!$L$191-Driver!$K$191)</f>
        <v/>
      </c>
      <c r="AU1041" s="108">
        <f>(BG1041-Driver!$K$192)/(Driver!$L$192-Driver!$K$192)</f>
        <v/>
      </c>
      <c r="AV1041" s="105">
        <f>IFERROR(BM1041*BJ1041^1/4,"")</f>
        <v/>
      </c>
      <c r="AW1041" s="105">
        <f>IFERROR(SUM(AX1041:AZ1041),"")</f>
        <v/>
      </c>
      <c r="AX1041" s="105">
        <f>IFERROR(BH1041,"")</f>
        <v/>
      </c>
      <c r="AY1041" s="105">
        <f>IFERROR(Driver!$K$19/Data!BH1041/Data!BI1041*Data!BK1041*Data!BL1041,"")</f>
        <v/>
      </c>
      <c r="AZ1041" s="105">
        <f>IFERROR(BI1041*BN1041,"")</f>
        <v/>
      </c>
      <c r="BA1041" s="105" t="n"/>
      <c r="BB1041" s="105" t="n"/>
      <c r="BC1041" s="105">
        <f>IFERROR(BI1041*BN1041*BK1041/BJ1041^(1/2),"")</f>
        <v/>
      </c>
      <c r="BD1041" s="105">
        <f>IFERROR(BH1041*BM1041*BL1041/BJ1041/BK1041,"")</f>
        <v/>
      </c>
      <c r="BE1041" s="105">
        <f>IFERROR(MIN(BI1041/BQ1041/BP1041/BO1041/BH1041,$BE$1),"")</f>
        <v/>
      </c>
      <c r="BF1041" s="105">
        <f>IFERROR(BJ1041*BO1041*BP1041/BK1041,"")</f>
        <v/>
      </c>
      <c r="BG1041" s="105">
        <f>IFERROR(1/BM1041/BH1041*BQ1041,"")</f>
        <v/>
      </c>
      <c r="BH1041" s="102">
        <f>MAX((CE1041-Driver!$F$200)/(Driver!$G$200-Driver!$F$200)*$BI$1,1)</f>
        <v/>
      </c>
      <c r="BI1041" s="102">
        <f>MAX($BI$1*(BY1041-Driver!$F$201)/(Driver!$G$201-Driver!$F$201),1)</f>
        <v/>
      </c>
      <c r="BJ1041" s="102">
        <f>(CB1041-Driver!$F$206)/(Driver!$G$206-Driver!$F$206)*$BI$1</f>
        <v/>
      </c>
      <c r="BK1041" s="102">
        <f>(CD1041-Driver!$F$203)/(Driver!$G$203-Driver!$F$203)*$BI$1</f>
        <v/>
      </c>
      <c r="BL1041" s="102">
        <f>MAX((CR1041-Driver!$F$202)/(Driver!$G$202-Driver!$F$202)*$BI$1,1)</f>
        <v/>
      </c>
      <c r="BM1041" s="102">
        <f>MAX((CH1041-Driver!$F$204)/(Driver!$G$204-Driver!$F$204)*$BI$1,1)</f>
        <v/>
      </c>
      <c r="BN1041" s="102">
        <f>(CI1041-Driver!$F$205)/(Driver!$G$205-Driver!$F$205)*$BI$1</f>
        <v/>
      </c>
      <c r="BO1041" s="102">
        <f>(CK1041-Driver!$F$207)/(Driver!$G$207-Driver!$F$207)*$BI$1</f>
        <v/>
      </c>
      <c r="BP1041" s="102">
        <f>(CM1041-Driver!$F$208)/(Driver!$G$208-Driver!$F$208)*$BI$1</f>
        <v/>
      </c>
      <c r="BQ1041" s="102">
        <f>(CL1041-Driver!$F$209)/(Driver!$G$209-Driver!$F$209)*$BI$1</f>
        <v/>
      </c>
      <c r="BR1041" s="40" t="inlineStr">
        <is>
          <t>21/22</t>
        </is>
      </c>
      <c r="BS1041" s="10" t="inlineStr">
        <is>
          <t xml:space="preserve"> Armada</t>
        </is>
      </c>
      <c r="BT1041" s="11" t="inlineStr">
        <is>
          <t xml:space="preserve"> Tantrum</t>
        </is>
      </c>
      <c r="BU1041" s="13" t="n">
        <v>138</v>
      </c>
      <c r="BV1041" s="11" t="inlineStr">
        <is>
          <t xml:space="preserve"> Junior</t>
        </is>
      </c>
      <c r="BW1041" s="13" t="n">
        <v>138</v>
      </c>
      <c r="BX1041" s="13" t="n">
        <v>137</v>
      </c>
      <c r="BY1041" s="13" t="n">
        <v>91</v>
      </c>
      <c r="BZ1041" s="13" t="n">
        <v>100</v>
      </c>
      <c r="CA1041" s="13" t="n">
        <v>124</v>
      </c>
      <c r="CB1041" s="13" t="n">
        <v>97</v>
      </c>
      <c r="CC1041" s="13" t="n">
        <v>114</v>
      </c>
      <c r="CD1041" s="13" t="n">
        <v>9.9</v>
      </c>
      <c r="CE1041" s="13" t="n">
        <v>1318</v>
      </c>
      <c r="CF1041" s="13" t="n">
        <v>1.11</v>
      </c>
      <c r="CG1041" s="13" t="n">
        <v>1457</v>
      </c>
      <c r="CH1041" s="13" t="n">
        <v>124</v>
      </c>
      <c r="CI1041" s="13" t="n">
        <v>61</v>
      </c>
      <c r="CJ1041" s="13" t="n">
        <v>47</v>
      </c>
      <c r="CK1041" s="13" t="n">
        <v>313</v>
      </c>
      <c r="CL1041" s="13" t="n">
        <v>31</v>
      </c>
      <c r="CM1041" s="13" t="n">
        <v>144</v>
      </c>
      <c r="CN1041" s="13" t="n">
        <v>0.668</v>
      </c>
      <c r="CO1041" s="13" t="n">
        <v>229</v>
      </c>
      <c r="CP1041" s="13" t="n">
        <v>137</v>
      </c>
      <c r="CQ1041" s="13" t="n">
        <v>84</v>
      </c>
      <c r="CR1041" s="13" t="n">
        <v>8</v>
      </c>
      <c r="CS1041" s="13" t="n">
        <v>6.9</v>
      </c>
      <c r="CT1041" s="11" t="inlineStr">
        <is>
          <t xml:space="preserve"> Resort Freeride</t>
        </is>
      </c>
      <c r="CU1041" s="11" t="inlineStr">
        <is>
          <t xml:space="preserve"> Touring</t>
        </is>
      </c>
      <c r="CV1041" s="13" t="n"/>
      <c r="CW1041" s="13" t="n"/>
      <c r="CX1041">
        <f>INDEX('Data_Price '!AG$2:AG$1266,MATCH(Data!$DN1041,'Data_Price '!$AT$2:$AT$1266,0))</f>
        <v/>
      </c>
      <c r="CY1041">
        <f>INDEX('Data_Price '!AH$2:AH$1266,MATCH(Data!$DN1041,'Data_Price '!$AT$2:$AT$1266,0))</f>
        <v/>
      </c>
      <c r="CZ1041">
        <f>INDEX('Data_Price '!AI$2:AI$1266,MATCH(Data!$DN1041,'Data_Price '!$AT$2:$AT$1266,0))</f>
        <v/>
      </c>
      <c r="DA1041">
        <f>INDEX('Data_Price '!AJ$2:AJ$1266,MATCH(Data!$DN1041,'Data_Price '!$AT$2:$AT$1266,0))</f>
        <v/>
      </c>
      <c r="DB1041">
        <f>INDEX('Data_Price '!AK$2:AK$1266,MATCH(Data!$DN1041,'Data_Price '!$AT$2:$AT$1266,0))</f>
        <v/>
      </c>
      <c r="DC1041">
        <f>INDEX('Data_Price '!AL$2:AL$1266,MATCH(Data!$DN1041,'Data_Price '!$AT$2:$AT$1266,0))</f>
        <v/>
      </c>
      <c r="DD1041">
        <f>INDEX('Data_Price '!AM$2:AM$1266,MATCH(Data!$DN1041,'Data_Price '!$AT$2:$AT$1266,0))</f>
        <v/>
      </c>
      <c r="DE1041">
        <f>INDEX('Data_Price '!AN$2:AN$1266,MATCH(Data!$DN1041,'Data_Price '!$AT$2:$AT$1266,0))</f>
        <v/>
      </c>
      <c r="DF1041">
        <f>INDEX('Data_Price '!AO$2:AO$1266,MATCH(Data!$DN1041,'Data_Price '!$AT$2:$AT$1266,0))</f>
        <v/>
      </c>
      <c r="DG1041">
        <f>INDEX('Data_Price '!AP$2:AP$1266,MATCH(Data!$DN1041,'Data_Price '!$AT$2:$AT$1266,0))</f>
        <v/>
      </c>
      <c r="DH1041">
        <f>INDEX('Data_Price '!AQ$2:AQ$1266,MATCH(Data!$DN1041,'Data_Price '!$AT$2:$AT$1266,0))</f>
        <v/>
      </c>
      <c r="DI1041">
        <f>INDEX('Data_Price '!AR$2:AR$1266,MATCH(Data!$DN1041,'Data_Price '!$AT$2:$AT$1266,0))</f>
        <v/>
      </c>
      <c r="DJ1041" s="138">
        <f>DA1041</f>
        <v/>
      </c>
      <c r="DK1041" s="138">
        <f>DE1041</f>
        <v/>
      </c>
      <c r="DL1041" s="138">
        <f>DI1041</f>
        <v/>
      </c>
      <c r="DM1041" s="303">
        <f>IF(LEFT(BT1041,1)=" ",RIGHT(BT1041,LEN(BT1041)-1),BT1041)</f>
        <v/>
      </c>
      <c r="DN1041" s="138">
        <f>_xlfn.CONCAT(BS1041,DM1041,BU1041,BV1041)</f>
        <v/>
      </c>
      <c r="DO1041" s="307" t="inlineStr">
        <is>
          <t>https://images.evo.com/imgp/250/198726/839693/armada-tantrum-skis-boys-2022-.jpg</t>
        </is>
      </c>
    </row>
    <row r="1042" ht="15.6" customHeight="1" s="184">
      <c r="B1042" s="303">
        <f t="array" ref="B1042">IF(OR(ISERROR(K1042:P1042)),FALSE,TRUE)</f>
        <v/>
      </c>
      <c r="C1042" s="60">
        <f>OR(BR1042=Driver!$G$50,Data!BR180=Driver!$H$50)</f>
        <v/>
      </c>
      <c r="D1042" s="60">
        <f>OR(BV1042=Driver!$G$51,BV1042=Driver!$H$51)</f>
        <v/>
      </c>
      <c r="E1042" s="60">
        <f>AND(BX1042&gt;Driver!$F$54,BX1042&lt;Driver!$G$54)</f>
        <v/>
      </c>
      <c r="F1042" s="60">
        <f>CL1042&gt;Driver!$F$56</f>
        <v/>
      </c>
      <c r="G1042" s="60">
        <f>AND(CB1042&gt;Driver!$F$55,CB1042&lt;Driver!$G$55)</f>
        <v/>
      </c>
      <c r="H1042" s="60">
        <f>AND(B1042:G1042)</f>
        <v/>
      </c>
      <c r="I1042" s="60">
        <f>COUNTIFS($H$9:$H$1273,TRUE,$BT$9:$BT$1273,BT1042)</f>
        <v/>
      </c>
      <c r="J1042" s="60">
        <f t="array" ref="J1042">NOT(OR(($H$9:$H$1273=TRUE)*($I$9:$I$1273&gt;0)*($BT$9:$BT$1273=BT1042)*($K$9:$K$1273&gt;K1042)))</f>
        <v/>
      </c>
      <c r="K1042" s="108">
        <f>IFERROR(1-AVERAGE(X1042:Y1042),"")</f>
        <v/>
      </c>
      <c r="L1042" s="108">
        <f>1-X1042</f>
        <v/>
      </c>
      <c r="M1042" s="108">
        <f>1-Y1042</f>
        <v/>
      </c>
      <c r="N1042" s="108">
        <f>1-Z1042</f>
        <v/>
      </c>
      <c r="O1042" s="108">
        <f>1-AA1042</f>
        <v/>
      </c>
      <c r="P1042" s="108">
        <f>1-AB1042</f>
        <v/>
      </c>
      <c r="Q1042" s="108" t="n"/>
      <c r="R1042" s="108" t="n"/>
      <c r="S1042" s="108">
        <f>1-AE1042</f>
        <v/>
      </c>
      <c r="T1042" s="108">
        <f>1-AF1042</f>
        <v/>
      </c>
      <c r="U1042" s="108">
        <f>1-AG1042</f>
        <v/>
      </c>
      <c r="V1042" s="108">
        <f>1-AH1042</f>
        <v/>
      </c>
      <c r="W1042" s="108">
        <f>1-AI1042</f>
        <v/>
      </c>
      <c r="X1042" s="108">
        <f>ABS(AJ1042-AJ$1)</f>
        <v/>
      </c>
      <c r="Y1042" s="108">
        <f>AVERAGE(Z1042:AB1042)</f>
        <v/>
      </c>
      <c r="Z1042" s="108">
        <f>ABS(AL1042-AL$1)</f>
        <v/>
      </c>
      <c r="AA1042" s="108">
        <f>ABS(AM1042-AM$1)</f>
        <v/>
      </c>
      <c r="AB1042" s="108">
        <f>ABS(AN1042-AN$1)</f>
        <v/>
      </c>
      <c r="AC1042" s="108" t="n"/>
      <c r="AD1042" s="108" t="n"/>
      <c r="AE1042" s="108">
        <f>ABS(AQ$1-AQ1042)</f>
        <v/>
      </c>
      <c r="AF1042" s="108">
        <f>ABS(AR$1-AR1042)</f>
        <v/>
      </c>
      <c r="AG1042" s="108">
        <f>ABS(AS$1-AS1042)</f>
        <v/>
      </c>
      <c r="AH1042" s="108">
        <f>ABS(AT$1-AT1042)</f>
        <v/>
      </c>
      <c r="AI1042" s="108">
        <f>ABS(AU$1-AU1042)</f>
        <v/>
      </c>
      <c r="AJ1042" s="108">
        <f>(AV1042-Driver!$K$179)/(Driver!$L$179-Driver!$K$179)</f>
        <v/>
      </c>
      <c r="AK1042" s="108">
        <f>(AW1042-Driver!$K$180)/(Driver!$L$180-Driver!$K$180)</f>
        <v/>
      </c>
      <c r="AL1042" s="108">
        <f>(AX1042-Driver!$K$181)/(Driver!$L$181-Driver!$K$181)</f>
        <v/>
      </c>
      <c r="AM1042" s="108">
        <f>(AY1042-Driver!$K$182)/(Driver!$L$182-Driver!$K$182)</f>
        <v/>
      </c>
      <c r="AN1042" s="108">
        <f>(AZ1042-Driver!$K$183)/(Driver!$L$183-Driver!$K$183)</f>
        <v/>
      </c>
      <c r="AO1042" s="108" t="n"/>
      <c r="AP1042" s="108" t="n"/>
      <c r="AQ1042" s="108">
        <f>(BC1042-Driver!$K$188)/(Driver!$L$188-Driver!$K$188)</f>
        <v/>
      </c>
      <c r="AR1042" s="108">
        <f>MIN((BD1042-Driver!$K$189)/(Driver!$L$189-Driver!$K$189),100%)</f>
        <v/>
      </c>
      <c r="AS1042" s="108">
        <f>(BE1042-Driver!$K$190)/(Driver!$L$190-Driver!$K$190)</f>
        <v/>
      </c>
      <c r="AT1042" s="108">
        <f>(BF1042-Driver!$K$191)/(Driver!$L$191-Driver!$K$191)</f>
        <v/>
      </c>
      <c r="AU1042" s="108">
        <f>(BG1042-Driver!$K$192)/(Driver!$L$192-Driver!$K$192)</f>
        <v/>
      </c>
      <c r="AV1042" s="105">
        <f>IFERROR(BM1042*BJ1042^1/4,"")</f>
        <v/>
      </c>
      <c r="AW1042" s="105">
        <f>IFERROR(SUM(AX1042:AZ1042),"")</f>
        <v/>
      </c>
      <c r="AX1042" s="105">
        <f>IFERROR(BH1042,"")</f>
        <v/>
      </c>
      <c r="AY1042" s="105">
        <f>IFERROR(Driver!$K$19/Data!BH1042/Data!BI1042*Data!BK1042*Data!BL1042,"")</f>
        <v/>
      </c>
      <c r="AZ1042" s="105">
        <f>IFERROR(BI1042*BN1042,"")</f>
        <v/>
      </c>
      <c r="BA1042" s="105" t="n"/>
      <c r="BB1042" s="105" t="n"/>
      <c r="BC1042" s="105">
        <f>IFERROR(BI1042*BN1042*BK1042/BJ1042^(1/2),"")</f>
        <v/>
      </c>
      <c r="BD1042" s="105">
        <f>IFERROR(BH1042*BM1042*BL1042/BJ1042/BK1042,"")</f>
        <v/>
      </c>
      <c r="BE1042" s="105">
        <f>IFERROR(MIN(BI1042/BQ1042/BP1042/BO1042/BH1042,$BE$1),"")</f>
        <v/>
      </c>
      <c r="BF1042" s="105">
        <f>IFERROR(BJ1042*BO1042*BP1042/BK1042,"")</f>
        <v/>
      </c>
      <c r="BG1042" s="105">
        <f>IFERROR(1/BM1042/BH1042*BQ1042,"")</f>
        <v/>
      </c>
      <c r="BH1042" s="102">
        <f>MAX((CE1042-Driver!$F$200)/(Driver!$G$200-Driver!$F$200)*$BI$1,1)</f>
        <v/>
      </c>
      <c r="BI1042" s="102">
        <f>MAX($BI$1*(BY1042-Driver!$F$201)/(Driver!$G$201-Driver!$F$201),1)</f>
        <v/>
      </c>
      <c r="BJ1042" s="102">
        <f>(CB1042-Driver!$F$206)/(Driver!$G$206-Driver!$F$206)*$BI$1</f>
        <v/>
      </c>
      <c r="BK1042" s="102">
        <f>(CD1042-Driver!$F$203)/(Driver!$G$203-Driver!$F$203)*$BI$1</f>
        <v/>
      </c>
      <c r="BL1042" s="102">
        <f>MAX((CR1042-Driver!$F$202)/(Driver!$G$202-Driver!$F$202)*$BI$1,1)</f>
        <v/>
      </c>
      <c r="BM1042" s="102">
        <f>MAX((CH1042-Driver!$F$204)/(Driver!$G$204-Driver!$F$204)*$BI$1,1)</f>
        <v/>
      </c>
      <c r="BN1042" s="102">
        <f>(CI1042-Driver!$F$205)/(Driver!$G$205-Driver!$F$205)*$BI$1</f>
        <v/>
      </c>
      <c r="BO1042" s="102">
        <f>(CK1042-Driver!$F$207)/(Driver!$G$207-Driver!$F$207)*$BI$1</f>
        <v/>
      </c>
      <c r="BP1042" s="102">
        <f>(CM1042-Driver!$F$208)/(Driver!$G$208-Driver!$F$208)*$BI$1</f>
        <v/>
      </c>
      <c r="BQ1042" s="102">
        <f>(CL1042-Driver!$F$209)/(Driver!$G$209-Driver!$F$209)*$BI$1</f>
        <v/>
      </c>
      <c r="BR1042" s="40" t="inlineStr">
        <is>
          <t>21/22</t>
        </is>
      </c>
      <c r="BS1042" s="10" t="inlineStr">
        <is>
          <t xml:space="preserve"> Atomic</t>
        </is>
      </c>
      <c r="BT1042" s="11" t="inlineStr">
        <is>
          <t>Redster S9 Servo</t>
        </is>
      </c>
      <c r="BU1042" s="13" t="n">
        <v>165</v>
      </c>
      <c r="BV1042" s="11" t="inlineStr">
        <is>
          <t xml:space="preserve"> Unisex</t>
        </is>
      </c>
      <c r="BW1042" s="13" t="n">
        <v>165</v>
      </c>
      <c r="BX1042" s="13" t="n">
        <v>163.8</v>
      </c>
      <c r="BY1042" s="13" t="n">
        <v>143</v>
      </c>
      <c r="BZ1042" s="13" t="n">
        <v>151</v>
      </c>
      <c r="CA1042" s="13" t="n">
        <v>117</v>
      </c>
      <c r="CB1042" s="13" t="n">
        <v>67</v>
      </c>
      <c r="CC1042" s="13" t="n">
        <v>103</v>
      </c>
      <c r="CD1042" s="13" t="n">
        <v>12.8</v>
      </c>
      <c r="CE1042" s="13" t="n">
        <v>2148</v>
      </c>
      <c r="CF1042" s="13" t="n">
        <v>0.63</v>
      </c>
      <c r="CG1042" s="13" t="n">
        <v>1362</v>
      </c>
      <c r="CH1042" s="13" t="n">
        <v>213</v>
      </c>
      <c r="CI1042" s="13" t="n">
        <v>108</v>
      </c>
      <c r="CJ1042" s="13" t="n">
        <v>34</v>
      </c>
      <c r="CK1042" s="13" t="n">
        <v>153</v>
      </c>
      <c r="CL1042" s="13" t="n">
        <v>5</v>
      </c>
      <c r="CM1042" s="13" t="n">
        <v>54</v>
      </c>
      <c r="CN1042" s="13" t="n">
        <v>0.16</v>
      </c>
      <c r="CO1042" s="13" t="n">
        <v>79</v>
      </c>
      <c r="CP1042" s="13" t="n">
        <v>53</v>
      </c>
      <c r="CQ1042" s="13" t="n">
        <v>74</v>
      </c>
      <c r="CR1042" s="13" t="n">
        <v>10</v>
      </c>
      <c r="CS1042" s="13" t="n">
        <v>13.6</v>
      </c>
      <c r="CT1042" s="11" t="inlineStr">
        <is>
          <t xml:space="preserve"> On-Piste Carving</t>
        </is>
      </c>
      <c r="CU1042" s="13" t="n"/>
      <c r="CV1042" s="13" t="n"/>
      <c r="CW1042" s="13" t="n"/>
      <c r="CX1042">
        <f>INDEX('Data_Price '!AG$2:AG$1266,MATCH(Data!$DN1042,'Data_Price '!$AT$2:$AT$1266,0))</f>
        <v/>
      </c>
      <c r="CY1042">
        <f>INDEX('Data_Price '!AH$2:AH$1266,MATCH(Data!$DN1042,'Data_Price '!$AT$2:$AT$1266,0))</f>
        <v/>
      </c>
      <c r="CZ1042">
        <f>INDEX('Data_Price '!AI$2:AI$1266,MATCH(Data!$DN1042,'Data_Price '!$AT$2:$AT$1266,0))</f>
        <v/>
      </c>
      <c r="DA1042">
        <f>INDEX('Data_Price '!AJ$2:AJ$1266,MATCH(Data!$DN1042,'Data_Price '!$AT$2:$AT$1266,0))</f>
        <v/>
      </c>
      <c r="DB1042">
        <f>INDEX('Data_Price '!AK$2:AK$1266,MATCH(Data!$DN1042,'Data_Price '!$AT$2:$AT$1266,0))</f>
        <v/>
      </c>
      <c r="DC1042">
        <f>INDEX('Data_Price '!AL$2:AL$1266,MATCH(Data!$DN1042,'Data_Price '!$AT$2:$AT$1266,0))</f>
        <v/>
      </c>
      <c r="DD1042">
        <f>INDEX('Data_Price '!AM$2:AM$1266,MATCH(Data!$DN1042,'Data_Price '!$AT$2:$AT$1266,0))</f>
        <v/>
      </c>
      <c r="DE1042">
        <f>INDEX('Data_Price '!AN$2:AN$1266,MATCH(Data!$DN1042,'Data_Price '!$AT$2:$AT$1266,0))</f>
        <v/>
      </c>
      <c r="DF1042">
        <f>INDEX('Data_Price '!AO$2:AO$1266,MATCH(Data!$DN1042,'Data_Price '!$AT$2:$AT$1266,0))</f>
        <v/>
      </c>
      <c r="DG1042">
        <f>INDEX('Data_Price '!AP$2:AP$1266,MATCH(Data!$DN1042,'Data_Price '!$AT$2:$AT$1266,0))</f>
        <v/>
      </c>
      <c r="DH1042">
        <f>INDEX('Data_Price '!AQ$2:AQ$1266,MATCH(Data!$DN1042,'Data_Price '!$AT$2:$AT$1266,0))</f>
        <v/>
      </c>
      <c r="DI1042">
        <f>INDEX('Data_Price '!AR$2:AR$1266,MATCH(Data!$DN1042,'Data_Price '!$AT$2:$AT$1266,0))</f>
        <v/>
      </c>
      <c r="DJ1042" s="138">
        <f>DA1042</f>
        <v/>
      </c>
      <c r="DK1042" s="138">
        <f>DE1042</f>
        <v/>
      </c>
      <c r="DL1042" s="138">
        <f>DI1042</f>
        <v/>
      </c>
      <c r="DM1042" s="303">
        <f>IF(LEFT(BT1042,1)=" ",RIGHT(BT1042,LEN(BT1042)-1),BT1042)</f>
        <v/>
      </c>
      <c r="DN1042" s="138">
        <f>_xlfn.CONCAT(BS1042,DM1042,BU1042,BV1042)</f>
        <v/>
      </c>
      <c r="DO1042" s="307" t="n"/>
    </row>
    <row r="1043" ht="15.6" customHeight="1" s="184">
      <c r="B1043" s="303">
        <f t="array" ref="B1043">IF(OR(ISERROR(K1043:P1043)),FALSE,TRUE)</f>
        <v/>
      </c>
      <c r="C1043" s="60">
        <f>OR(BR1043=Driver!$G$50,Data!BR839=Driver!$H$50)</f>
        <v/>
      </c>
      <c r="D1043" s="60">
        <f>OR(BV1043=Driver!$G$51,BV1043=Driver!$H$51)</f>
        <v/>
      </c>
      <c r="E1043" s="60">
        <f>AND(BX1043&gt;Driver!$F$54,BX1043&lt;Driver!$G$54)</f>
        <v/>
      </c>
      <c r="F1043" s="60">
        <f>CL1043&gt;Driver!$F$56</f>
        <v/>
      </c>
      <c r="G1043" s="60">
        <f>AND(CB1043&gt;Driver!$F$55,CB1043&lt;Driver!$G$55)</f>
        <v/>
      </c>
      <c r="H1043" s="60">
        <f>AND(B1043:G1043)</f>
        <v/>
      </c>
      <c r="I1043" s="60">
        <f>COUNTIFS($H$9:$H$1273,TRUE,$BT$9:$BT$1273,BT1043)</f>
        <v/>
      </c>
      <c r="J1043" s="60">
        <f t="array" ref="J1043">NOT(OR(($H$9:$H$1273=TRUE)*($I$9:$I$1273&gt;0)*($BT$9:$BT$1273=BT1043)*($K$9:$K$1273&gt;K1043)))</f>
        <v/>
      </c>
      <c r="K1043" s="108">
        <f>IFERROR(1-AVERAGE(X1043:Y1043),"")</f>
        <v/>
      </c>
      <c r="L1043" s="108">
        <f>1-X1043</f>
        <v/>
      </c>
      <c r="M1043" s="108">
        <f>1-Y1043</f>
        <v/>
      </c>
      <c r="N1043" s="108">
        <f>1-Z1043</f>
        <v/>
      </c>
      <c r="O1043" s="108">
        <f>1-AA1043</f>
        <v/>
      </c>
      <c r="P1043" s="108">
        <f>1-AB1043</f>
        <v/>
      </c>
      <c r="Q1043" s="108" t="n"/>
      <c r="R1043" s="108" t="n"/>
      <c r="S1043" s="108">
        <f>1-AE1043</f>
        <v/>
      </c>
      <c r="T1043" s="108">
        <f>1-AF1043</f>
        <v/>
      </c>
      <c r="U1043" s="108">
        <f>1-AG1043</f>
        <v/>
      </c>
      <c r="V1043" s="108">
        <f>1-AH1043</f>
        <v/>
      </c>
      <c r="W1043" s="108">
        <f>1-AI1043</f>
        <v/>
      </c>
      <c r="X1043" s="108">
        <f>ABS(AJ1043-AJ$1)</f>
        <v/>
      </c>
      <c r="Y1043" s="108">
        <f>AVERAGE(Z1043:AB1043)</f>
        <v/>
      </c>
      <c r="Z1043" s="108">
        <f>ABS(AL1043-AL$1)</f>
        <v/>
      </c>
      <c r="AA1043" s="108">
        <f>ABS(AM1043-AM$1)</f>
        <v/>
      </c>
      <c r="AB1043" s="108">
        <f>ABS(AN1043-AN$1)</f>
        <v/>
      </c>
      <c r="AC1043" s="108" t="n"/>
      <c r="AD1043" s="108" t="n"/>
      <c r="AE1043" s="108">
        <f>ABS(AQ$1-AQ1043)</f>
        <v/>
      </c>
      <c r="AF1043" s="108">
        <f>ABS(AR$1-AR1043)</f>
        <v/>
      </c>
      <c r="AG1043" s="108">
        <f>ABS(AS$1-AS1043)</f>
        <v/>
      </c>
      <c r="AH1043" s="108">
        <f>ABS(AT$1-AT1043)</f>
        <v/>
      </c>
      <c r="AI1043" s="108">
        <f>ABS(AU$1-AU1043)</f>
        <v/>
      </c>
      <c r="AJ1043" s="108">
        <f>(AV1043-Driver!$K$179)/(Driver!$L$179-Driver!$K$179)</f>
        <v/>
      </c>
      <c r="AK1043" s="108">
        <f>(AW1043-Driver!$K$180)/(Driver!$L$180-Driver!$K$180)</f>
        <v/>
      </c>
      <c r="AL1043" s="108">
        <f>(AX1043-Driver!$K$181)/(Driver!$L$181-Driver!$K$181)</f>
        <v/>
      </c>
      <c r="AM1043" s="108">
        <f>(AY1043-Driver!$K$182)/(Driver!$L$182-Driver!$K$182)</f>
        <v/>
      </c>
      <c r="AN1043" s="108">
        <f>(AZ1043-Driver!$K$183)/(Driver!$L$183-Driver!$K$183)</f>
        <v/>
      </c>
      <c r="AO1043" s="108" t="n"/>
      <c r="AP1043" s="108" t="n"/>
      <c r="AQ1043" s="108">
        <f>(BC1043-Driver!$K$188)/(Driver!$L$188-Driver!$K$188)</f>
        <v/>
      </c>
      <c r="AR1043" s="108">
        <f>MIN((BD1043-Driver!$K$189)/(Driver!$L$189-Driver!$K$189),100%)</f>
        <v/>
      </c>
      <c r="AS1043" s="108">
        <f>(BE1043-Driver!$K$190)/(Driver!$L$190-Driver!$K$190)</f>
        <v/>
      </c>
      <c r="AT1043" s="108">
        <f>(BF1043-Driver!$K$191)/(Driver!$L$191-Driver!$K$191)</f>
        <v/>
      </c>
      <c r="AU1043" s="108">
        <f>(BG1043-Driver!$K$192)/(Driver!$L$192-Driver!$K$192)</f>
        <v/>
      </c>
      <c r="AV1043" s="105">
        <f>IFERROR(BM1043*BJ1043^1/4,"")</f>
        <v/>
      </c>
      <c r="AW1043" s="105">
        <f>IFERROR(SUM(AX1043:AZ1043),"")</f>
        <v/>
      </c>
      <c r="AX1043" s="105">
        <f>IFERROR(BH1043,"")</f>
        <v/>
      </c>
      <c r="AY1043" s="105">
        <f>IFERROR(Driver!$K$19/Data!BH1043/Data!BI1043*Data!BK1043*Data!BL1043,"")</f>
        <v/>
      </c>
      <c r="AZ1043" s="105">
        <f>IFERROR(BI1043*BN1043,"")</f>
        <v/>
      </c>
      <c r="BA1043" s="105" t="n"/>
      <c r="BB1043" s="105" t="n"/>
      <c r="BC1043" s="105">
        <f>IFERROR(BI1043*BN1043*BK1043/BJ1043^(1/2),"")</f>
        <v/>
      </c>
      <c r="BD1043" s="105">
        <f>IFERROR(BH1043*BM1043*BL1043/BJ1043/BK1043,"")</f>
        <v/>
      </c>
      <c r="BE1043" s="105">
        <f>IFERROR(MIN(BI1043/BQ1043/BP1043/BO1043/BH1043,$BE$1),"")</f>
        <v/>
      </c>
      <c r="BF1043" s="105">
        <f>IFERROR(BJ1043*BO1043*BP1043/BK1043,"")</f>
        <v/>
      </c>
      <c r="BG1043" s="105">
        <f>IFERROR(1/BM1043/BH1043*BQ1043,"")</f>
        <v/>
      </c>
      <c r="BH1043" s="102">
        <f>MAX((CE1043-Driver!$F$200)/(Driver!$G$200-Driver!$F$200)*$BI$1,1)</f>
        <v/>
      </c>
      <c r="BI1043" s="102">
        <f>MAX($BI$1*(BY1043-Driver!$F$201)/(Driver!$G$201-Driver!$F$201),1)</f>
        <v/>
      </c>
      <c r="BJ1043" s="102">
        <f>(CB1043-Driver!$F$206)/(Driver!$G$206-Driver!$F$206)*$BI$1</f>
        <v/>
      </c>
      <c r="BK1043" s="102">
        <f>(CD1043-Driver!$F$203)/(Driver!$G$203-Driver!$F$203)*$BI$1</f>
        <v/>
      </c>
      <c r="BL1043" s="102">
        <f>MAX((CR1043-Driver!$F$202)/(Driver!$G$202-Driver!$F$202)*$BI$1,1)</f>
        <v/>
      </c>
      <c r="BM1043" s="102">
        <f>MAX((CH1043-Driver!$F$204)/(Driver!$G$204-Driver!$F$204)*$BI$1,1)</f>
        <v/>
      </c>
      <c r="BN1043" s="102">
        <f>(CI1043-Driver!$F$205)/(Driver!$G$205-Driver!$F$205)*$BI$1</f>
        <v/>
      </c>
      <c r="BO1043" s="102">
        <f>(CK1043-Driver!$F$207)/(Driver!$G$207-Driver!$F$207)*$BI$1</f>
        <v/>
      </c>
      <c r="BP1043" s="102">
        <f>(CM1043-Driver!$F$208)/(Driver!$G$208-Driver!$F$208)*$BI$1</f>
        <v/>
      </c>
      <c r="BQ1043" s="102">
        <f>(CL1043-Driver!$F$209)/(Driver!$G$209-Driver!$F$209)*$BI$1</f>
        <v/>
      </c>
      <c r="BR1043" s="40" t="inlineStr">
        <is>
          <t>21/22</t>
        </is>
      </c>
      <c r="BS1043" s="10" t="inlineStr">
        <is>
          <t xml:space="preserve"> Line</t>
        </is>
      </c>
      <c r="BT1043" s="11" t="inlineStr">
        <is>
          <t xml:space="preserve"> Honey Bee</t>
        </is>
      </c>
      <c r="BU1043" s="13" t="n">
        <v>155</v>
      </c>
      <c r="BV1043" s="11" t="inlineStr">
        <is>
          <t xml:space="preserve"> Women's</t>
        </is>
      </c>
      <c r="BW1043" s="13" t="n">
        <v>155</v>
      </c>
      <c r="BX1043" s="13" t="n">
        <v>154.4</v>
      </c>
      <c r="BY1043" s="13" t="n">
        <v>118</v>
      </c>
      <c r="BZ1043" s="13" t="n">
        <v>130</v>
      </c>
      <c r="CA1043" s="13" t="n">
        <v>120</v>
      </c>
      <c r="CB1043" s="13" t="n">
        <v>91</v>
      </c>
      <c r="CC1043" s="13" t="n">
        <v>117</v>
      </c>
      <c r="CD1043" s="13" t="n">
        <v>14.6</v>
      </c>
      <c r="CE1043" s="13" t="n">
        <v>1416</v>
      </c>
      <c r="CF1043" s="13" t="n">
        <v>1.1</v>
      </c>
      <c r="CG1043" s="13" t="n">
        <v>1559</v>
      </c>
      <c r="CH1043" s="13" t="n">
        <v>126</v>
      </c>
      <c r="CI1043" s="13" t="n">
        <v>51</v>
      </c>
      <c r="CJ1043" s="13" t="n">
        <v>40</v>
      </c>
      <c r="CK1043" s="13" t="n">
        <v>183</v>
      </c>
      <c r="CL1043" s="13" t="n">
        <v>40</v>
      </c>
      <c r="CM1043" s="13" t="n">
        <v>184</v>
      </c>
      <c r="CN1043" s="13" t="n">
        <v>0.992</v>
      </c>
      <c r="CO1043" s="13" t="n">
        <v>119</v>
      </c>
      <c r="CP1043" s="13" t="n">
        <v>123</v>
      </c>
      <c r="CQ1043" s="13" t="n">
        <v>64</v>
      </c>
      <c r="CR1043" s="13" t="n">
        <v>6</v>
      </c>
      <c r="CS1043" s="13" t="n">
        <v>3.2</v>
      </c>
      <c r="CT1043" s="11" t="inlineStr">
        <is>
          <t xml:space="preserve"> Freeski</t>
        </is>
      </c>
      <c r="CU1043" s="11" t="inlineStr">
        <is>
          <t xml:space="preserve"> Touring</t>
        </is>
      </c>
      <c r="CV1043" s="13" t="n"/>
      <c r="CW1043" s="13" t="n"/>
      <c r="CX1043">
        <f>INDEX('Data_Price '!AG$2:AG$1266,MATCH(Data!$DN1043,'Data_Price '!$AT$2:$AT$1266,0))</f>
        <v/>
      </c>
      <c r="CY1043">
        <f>INDEX('Data_Price '!AH$2:AH$1266,MATCH(Data!$DN1043,'Data_Price '!$AT$2:$AT$1266,0))</f>
        <v/>
      </c>
      <c r="CZ1043">
        <f>INDEX('Data_Price '!AI$2:AI$1266,MATCH(Data!$DN1043,'Data_Price '!$AT$2:$AT$1266,0))</f>
        <v/>
      </c>
      <c r="DA1043">
        <f>INDEX('Data_Price '!AJ$2:AJ$1266,MATCH(Data!$DN1043,'Data_Price '!$AT$2:$AT$1266,0))</f>
        <v/>
      </c>
      <c r="DB1043">
        <f>INDEX('Data_Price '!AK$2:AK$1266,MATCH(Data!$DN1043,'Data_Price '!$AT$2:$AT$1266,0))</f>
        <v/>
      </c>
      <c r="DC1043">
        <f>INDEX('Data_Price '!AL$2:AL$1266,MATCH(Data!$DN1043,'Data_Price '!$AT$2:$AT$1266,0))</f>
        <v/>
      </c>
      <c r="DD1043">
        <f>INDEX('Data_Price '!AM$2:AM$1266,MATCH(Data!$DN1043,'Data_Price '!$AT$2:$AT$1266,0))</f>
        <v/>
      </c>
      <c r="DE1043">
        <f>INDEX('Data_Price '!AN$2:AN$1266,MATCH(Data!$DN1043,'Data_Price '!$AT$2:$AT$1266,0))</f>
        <v/>
      </c>
      <c r="DF1043">
        <f>INDEX('Data_Price '!AO$2:AO$1266,MATCH(Data!$DN1043,'Data_Price '!$AT$2:$AT$1266,0))</f>
        <v/>
      </c>
      <c r="DG1043">
        <f>INDEX('Data_Price '!AP$2:AP$1266,MATCH(Data!$DN1043,'Data_Price '!$AT$2:$AT$1266,0))</f>
        <v/>
      </c>
      <c r="DH1043">
        <f>INDEX('Data_Price '!AQ$2:AQ$1266,MATCH(Data!$DN1043,'Data_Price '!$AT$2:$AT$1266,0))</f>
        <v/>
      </c>
      <c r="DI1043">
        <f>INDEX('Data_Price '!AR$2:AR$1266,MATCH(Data!$DN1043,'Data_Price '!$AT$2:$AT$1266,0))</f>
        <v/>
      </c>
      <c r="DJ1043" s="138">
        <f>DA1043</f>
        <v/>
      </c>
      <c r="DK1043" s="138">
        <f>DE1043</f>
        <v/>
      </c>
      <c r="DL1043" s="138">
        <f>DI1043</f>
        <v/>
      </c>
      <c r="DM1043" s="303">
        <f>IF(LEFT(BT1043,1)=" ",RIGHT(BT1043,LEN(BT1043)-1),BT1043)</f>
        <v/>
      </c>
      <c r="DN1043" s="138">
        <f>_xlfn.CONCAT(BS1043,DM1043,BU1043,BV1043)</f>
        <v/>
      </c>
      <c r="DO1043" s="307" t="inlineStr">
        <is>
          <t>https://images.evo.com/imgp/250/198442/817649/clone.jpg</t>
        </is>
      </c>
    </row>
    <row r="1044" ht="15.6" customHeight="1" s="184">
      <c r="B1044" s="303">
        <f t="array" ref="B1044">IF(OR(ISERROR(K1044:P1044)),FALSE,TRUE)</f>
        <v/>
      </c>
      <c r="C1044" s="60">
        <f>OR(BR1044=Driver!$G$50,Data!BR340=Driver!$H$50)</f>
        <v/>
      </c>
      <c r="D1044" s="60">
        <f>OR(BV1044=Driver!$G$51,BV1044=Driver!$H$51)</f>
        <v/>
      </c>
      <c r="E1044" s="60">
        <f>AND(BX1044&gt;Driver!$F$54,BX1044&lt;Driver!$G$54)</f>
        <v/>
      </c>
      <c r="F1044" s="60">
        <f>CL1044&gt;Driver!$F$56</f>
        <v/>
      </c>
      <c r="G1044" s="60">
        <f>AND(CB1044&gt;Driver!$F$55,CB1044&lt;Driver!$G$55)</f>
        <v/>
      </c>
      <c r="H1044" s="60">
        <f>AND(B1044:G1044)</f>
        <v/>
      </c>
      <c r="I1044" s="60">
        <f>COUNTIFS($H$9:$H$1273,TRUE,$BT$9:$BT$1273,BT1044)</f>
        <v/>
      </c>
      <c r="J1044" s="60">
        <f t="array" ref="J1044">NOT(OR(($H$9:$H$1273=TRUE)*($I$9:$I$1273&gt;0)*($BT$9:$BT$1273=BT1044)*($K$9:$K$1273&gt;K1044)))</f>
        <v/>
      </c>
      <c r="K1044" s="108">
        <f>IFERROR(1-AVERAGE(X1044:Y1044),"")</f>
        <v/>
      </c>
      <c r="L1044" s="108">
        <f>1-X1044</f>
        <v/>
      </c>
      <c r="M1044" s="108">
        <f>1-Y1044</f>
        <v/>
      </c>
      <c r="N1044" s="108">
        <f>1-Z1044</f>
        <v/>
      </c>
      <c r="O1044" s="108">
        <f>1-AA1044</f>
        <v/>
      </c>
      <c r="P1044" s="108">
        <f>1-AB1044</f>
        <v/>
      </c>
      <c r="Q1044" s="108" t="n"/>
      <c r="R1044" s="108" t="n"/>
      <c r="S1044" s="108">
        <f>1-AE1044</f>
        <v/>
      </c>
      <c r="T1044" s="108">
        <f>1-AF1044</f>
        <v/>
      </c>
      <c r="U1044" s="108">
        <f>1-AG1044</f>
        <v/>
      </c>
      <c r="V1044" s="108">
        <f>1-AH1044</f>
        <v/>
      </c>
      <c r="W1044" s="108">
        <f>1-AI1044</f>
        <v/>
      </c>
      <c r="X1044" s="108">
        <f>ABS(AJ1044-AJ$1)</f>
        <v/>
      </c>
      <c r="Y1044" s="108">
        <f>AVERAGE(Z1044:AB1044)</f>
        <v/>
      </c>
      <c r="Z1044" s="108">
        <f>ABS(AL1044-AL$1)</f>
        <v/>
      </c>
      <c r="AA1044" s="108">
        <f>ABS(AM1044-AM$1)</f>
        <v/>
      </c>
      <c r="AB1044" s="108">
        <f>ABS(AN1044-AN$1)</f>
        <v/>
      </c>
      <c r="AC1044" s="108" t="n"/>
      <c r="AD1044" s="108" t="n"/>
      <c r="AE1044" s="108">
        <f>ABS(AQ$1-AQ1044)</f>
        <v/>
      </c>
      <c r="AF1044" s="108">
        <f>ABS(AR$1-AR1044)</f>
        <v/>
      </c>
      <c r="AG1044" s="108">
        <f>ABS(AS$1-AS1044)</f>
        <v/>
      </c>
      <c r="AH1044" s="108">
        <f>ABS(AT$1-AT1044)</f>
        <v/>
      </c>
      <c r="AI1044" s="108">
        <f>ABS(AU$1-AU1044)</f>
        <v/>
      </c>
      <c r="AJ1044" s="108">
        <f>(AV1044-Driver!$K$179)/(Driver!$L$179-Driver!$K$179)</f>
        <v/>
      </c>
      <c r="AK1044" s="108">
        <f>(AW1044-Driver!$K$180)/(Driver!$L$180-Driver!$K$180)</f>
        <v/>
      </c>
      <c r="AL1044" s="108">
        <f>(AX1044-Driver!$K$181)/(Driver!$L$181-Driver!$K$181)</f>
        <v/>
      </c>
      <c r="AM1044" s="108">
        <f>(AY1044-Driver!$K$182)/(Driver!$L$182-Driver!$K$182)</f>
        <v/>
      </c>
      <c r="AN1044" s="108">
        <f>(AZ1044-Driver!$K$183)/(Driver!$L$183-Driver!$K$183)</f>
        <v/>
      </c>
      <c r="AO1044" s="108" t="n"/>
      <c r="AP1044" s="108" t="n"/>
      <c r="AQ1044" s="108">
        <f>(BC1044-Driver!$K$188)/(Driver!$L$188-Driver!$K$188)</f>
        <v/>
      </c>
      <c r="AR1044" s="108">
        <f>MIN((BD1044-Driver!$K$189)/(Driver!$L$189-Driver!$K$189),100%)</f>
        <v/>
      </c>
      <c r="AS1044" s="108">
        <f>(BE1044-Driver!$K$190)/(Driver!$L$190-Driver!$K$190)</f>
        <v/>
      </c>
      <c r="AT1044" s="108">
        <f>(BF1044-Driver!$K$191)/(Driver!$L$191-Driver!$K$191)</f>
        <v/>
      </c>
      <c r="AU1044" s="108">
        <f>(BG1044-Driver!$K$192)/(Driver!$L$192-Driver!$K$192)</f>
        <v/>
      </c>
      <c r="AV1044" s="105">
        <f>IFERROR(BM1044*BJ1044^1/4,"")</f>
        <v/>
      </c>
      <c r="AW1044" s="105">
        <f>IFERROR(SUM(AX1044:AZ1044),"")</f>
        <v/>
      </c>
      <c r="AX1044" s="105">
        <f>IFERROR(BH1044,"")</f>
        <v/>
      </c>
      <c r="AY1044" s="105">
        <f>IFERROR(Driver!$K$19/Data!BH1044/Data!BI1044*Data!BK1044*Data!BL1044,"")</f>
        <v/>
      </c>
      <c r="AZ1044" s="105">
        <f>IFERROR(BI1044*BN1044,"")</f>
        <v/>
      </c>
      <c r="BA1044" s="105" t="n"/>
      <c r="BB1044" s="105" t="n"/>
      <c r="BC1044" s="105">
        <f>IFERROR(BI1044*BN1044*BK1044/BJ1044^(1/2),"")</f>
        <v/>
      </c>
      <c r="BD1044" s="105">
        <f>IFERROR(BH1044*BM1044*BL1044/BJ1044/BK1044,"")</f>
        <v/>
      </c>
      <c r="BE1044" s="105">
        <f>IFERROR(MIN(BI1044/BQ1044/BP1044/BO1044/BH1044,$BE$1),"")</f>
        <v/>
      </c>
      <c r="BF1044" s="105">
        <f>IFERROR(BJ1044*BO1044*BP1044/BK1044,"")</f>
        <v/>
      </c>
      <c r="BG1044" s="105">
        <f>IFERROR(1/BM1044/BH1044*BQ1044,"")</f>
        <v/>
      </c>
      <c r="BH1044" s="102">
        <f>MAX((CE1044-Driver!$F$200)/(Driver!$G$200-Driver!$F$200)*$BI$1,1)</f>
        <v/>
      </c>
      <c r="BI1044" s="102">
        <f>MAX($BI$1*(BY1044-Driver!$F$201)/(Driver!$G$201-Driver!$F$201),1)</f>
        <v/>
      </c>
      <c r="BJ1044" s="102">
        <f>(CB1044-Driver!$F$206)/(Driver!$G$206-Driver!$F$206)*$BI$1</f>
        <v/>
      </c>
      <c r="BK1044" s="102">
        <f>(CD1044-Driver!$F$203)/(Driver!$G$203-Driver!$F$203)*$BI$1</f>
        <v/>
      </c>
      <c r="BL1044" s="102">
        <f>MAX((CR1044-Driver!$F$202)/(Driver!$G$202-Driver!$F$202)*$BI$1,1)</f>
        <v/>
      </c>
      <c r="BM1044" s="102">
        <f>MAX((CH1044-Driver!$F$204)/(Driver!$G$204-Driver!$F$204)*$BI$1,1)</f>
        <v/>
      </c>
      <c r="BN1044" s="102">
        <f>(CI1044-Driver!$F$205)/(Driver!$G$205-Driver!$F$205)*$BI$1</f>
        <v/>
      </c>
      <c r="BO1044" s="102">
        <f>(CK1044-Driver!$F$207)/(Driver!$G$207-Driver!$F$207)*$BI$1</f>
        <v/>
      </c>
      <c r="BP1044" s="102">
        <f>(CM1044-Driver!$F$208)/(Driver!$G$208-Driver!$F$208)*$BI$1</f>
        <v/>
      </c>
      <c r="BQ1044" s="102">
        <f>(CL1044-Driver!$F$209)/(Driver!$G$209-Driver!$F$209)*$BI$1</f>
        <v/>
      </c>
      <c r="BR1044" s="40" t="inlineStr">
        <is>
          <t>21/22</t>
        </is>
      </c>
      <c r="BS1044" s="10" t="inlineStr">
        <is>
          <t xml:space="preserve"> DPS</t>
        </is>
      </c>
      <c r="BT1044" s="11" t="inlineStr">
        <is>
          <t>Pagoda 106 C2</t>
        </is>
      </c>
      <c r="BU1044" s="13" t="n">
        <v>179</v>
      </c>
      <c r="BV1044" s="11" t="inlineStr">
        <is>
          <t xml:space="preserve"> Unisex</t>
        </is>
      </c>
      <c r="BW1044" s="13" t="n">
        <v>179</v>
      </c>
      <c r="BX1044" s="13" t="n">
        <v>177.3</v>
      </c>
      <c r="BY1044" s="13" t="n">
        <v>127</v>
      </c>
      <c r="BZ1044" s="13" t="n">
        <v>138</v>
      </c>
      <c r="CA1044" s="13" t="n">
        <v>137</v>
      </c>
      <c r="CB1044" s="13" t="n">
        <v>106</v>
      </c>
      <c r="CC1044" s="13" t="n">
        <v>121</v>
      </c>
      <c r="CD1044" s="13" t="n">
        <v>19</v>
      </c>
      <c r="CE1044" s="13" t="n">
        <v>2005</v>
      </c>
      <c r="CF1044" s="13" t="n">
        <v>1.02</v>
      </c>
      <c r="CG1044" s="13" t="n">
        <v>2052</v>
      </c>
      <c r="CH1044" s="13" t="n">
        <v>264</v>
      </c>
      <c r="CI1044" s="13" t="n">
        <v>137</v>
      </c>
      <c r="CJ1044" s="13" t="n">
        <v>47</v>
      </c>
      <c r="CK1044" s="13" t="n">
        <v>287</v>
      </c>
      <c r="CL1044" s="13" t="n">
        <v>23</v>
      </c>
      <c r="CM1044" s="13" t="n">
        <v>220</v>
      </c>
      <c r="CN1044" s="13" t="n">
        <v>0.499</v>
      </c>
      <c r="CO1044" s="13" t="n">
        <v>202</v>
      </c>
      <c r="CP1044" s="13" t="n">
        <v>188</v>
      </c>
      <c r="CQ1044" s="13" t="n">
        <v>86</v>
      </c>
      <c r="CR1044" s="13" t="n">
        <v>9</v>
      </c>
      <c r="CS1044" s="13" t="n">
        <v>11.8</v>
      </c>
      <c r="CT1044" s="11" t="inlineStr">
        <is>
          <t xml:space="preserve"> Powder</t>
        </is>
      </c>
      <c r="CU1044" s="13" t="n"/>
      <c r="CV1044" s="13" t="n"/>
      <c r="CW1044" s="13" t="n"/>
      <c r="CX1044">
        <f>INDEX('Data_Price '!AG$2:AG$1266,MATCH(Data!$DN1044,'Data_Price '!$AT$2:$AT$1266,0))</f>
        <v/>
      </c>
      <c r="CY1044">
        <f>INDEX('Data_Price '!AH$2:AH$1266,MATCH(Data!$DN1044,'Data_Price '!$AT$2:$AT$1266,0))</f>
        <v/>
      </c>
      <c r="CZ1044">
        <f>INDEX('Data_Price '!AI$2:AI$1266,MATCH(Data!$DN1044,'Data_Price '!$AT$2:$AT$1266,0))</f>
        <v/>
      </c>
      <c r="DA1044">
        <f>INDEX('Data_Price '!AJ$2:AJ$1266,MATCH(Data!$DN1044,'Data_Price '!$AT$2:$AT$1266,0))</f>
        <v/>
      </c>
      <c r="DB1044">
        <f>INDEX('Data_Price '!AK$2:AK$1266,MATCH(Data!$DN1044,'Data_Price '!$AT$2:$AT$1266,0))</f>
        <v/>
      </c>
      <c r="DC1044">
        <f>INDEX('Data_Price '!AL$2:AL$1266,MATCH(Data!$DN1044,'Data_Price '!$AT$2:$AT$1266,0))</f>
        <v/>
      </c>
      <c r="DD1044">
        <f>INDEX('Data_Price '!AM$2:AM$1266,MATCH(Data!$DN1044,'Data_Price '!$AT$2:$AT$1266,0))</f>
        <v/>
      </c>
      <c r="DE1044">
        <f>INDEX('Data_Price '!AN$2:AN$1266,MATCH(Data!$DN1044,'Data_Price '!$AT$2:$AT$1266,0))</f>
        <v/>
      </c>
      <c r="DF1044">
        <f>INDEX('Data_Price '!AO$2:AO$1266,MATCH(Data!$DN1044,'Data_Price '!$AT$2:$AT$1266,0))</f>
        <v/>
      </c>
      <c r="DG1044">
        <f>INDEX('Data_Price '!AP$2:AP$1266,MATCH(Data!$DN1044,'Data_Price '!$AT$2:$AT$1266,0))</f>
        <v/>
      </c>
      <c r="DH1044">
        <f>INDEX('Data_Price '!AQ$2:AQ$1266,MATCH(Data!$DN1044,'Data_Price '!$AT$2:$AT$1266,0))</f>
        <v/>
      </c>
      <c r="DI1044">
        <f>INDEX('Data_Price '!AR$2:AR$1266,MATCH(Data!$DN1044,'Data_Price '!$AT$2:$AT$1266,0))</f>
        <v/>
      </c>
      <c r="DJ1044" s="138">
        <f>DA1044</f>
        <v/>
      </c>
      <c r="DK1044" s="138">
        <f>DE1044</f>
        <v/>
      </c>
      <c r="DL1044" s="138">
        <f>DI1044</f>
        <v/>
      </c>
      <c r="DM1044" s="303">
        <f>IF(LEFT(BT1044,1)=" ",RIGHT(BT1044,LEN(BT1044)-1),BT1044)</f>
        <v/>
      </c>
      <c r="DN1044" s="138">
        <f>_xlfn.CONCAT(BS1044,DM1044,BU1044,BV1044)</f>
        <v/>
      </c>
      <c r="DO1044" s="307" t="inlineStr">
        <is>
          <t>https://images.evo.com/imgp/250/209064/857445/dps-pagoda-106-c2-skis-2023-.jpg</t>
        </is>
      </c>
    </row>
    <row r="1045" ht="15.6" customHeight="1" s="184">
      <c r="B1045" s="303">
        <f t="array" ref="B1045">IF(OR(ISERROR(K1045:P1045)),FALSE,TRUE)</f>
        <v/>
      </c>
      <c r="C1045" s="60">
        <f>OR(BR1045=Driver!$G$50,Data!BR662=Driver!$H$50)</f>
        <v/>
      </c>
      <c r="D1045" s="60">
        <f>OR(BV1045=Driver!$G$51,BV1045=Driver!$H$51)</f>
        <v/>
      </c>
      <c r="E1045" s="60">
        <f>AND(BX1045&gt;Driver!$F$54,BX1045&lt;Driver!$G$54)</f>
        <v/>
      </c>
      <c r="F1045" s="60">
        <f>CL1045&gt;Driver!$F$56</f>
        <v/>
      </c>
      <c r="G1045" s="60">
        <f>AND(CB1045&gt;Driver!$F$55,CB1045&lt;Driver!$G$55)</f>
        <v/>
      </c>
      <c r="H1045" s="60">
        <f>AND(B1045:G1045)</f>
        <v/>
      </c>
      <c r="I1045" s="60">
        <f>COUNTIFS($H$9:$H$1273,TRUE,$BT$9:$BT$1273,BT1045)</f>
        <v/>
      </c>
      <c r="J1045" s="60">
        <f t="array" ref="J1045">NOT(OR(($H$9:$H$1273=TRUE)*($I$9:$I$1273&gt;0)*($BT$9:$BT$1273=BT1045)*($K$9:$K$1273&gt;K1045)))</f>
        <v/>
      </c>
      <c r="K1045" s="108">
        <f>IFERROR(1-AVERAGE(X1045:Y1045),"")</f>
        <v/>
      </c>
      <c r="L1045" s="108">
        <f>1-X1045</f>
        <v/>
      </c>
      <c r="M1045" s="108">
        <f>1-Y1045</f>
        <v/>
      </c>
      <c r="N1045" s="108">
        <f>1-Z1045</f>
        <v/>
      </c>
      <c r="O1045" s="108">
        <f>1-AA1045</f>
        <v/>
      </c>
      <c r="P1045" s="108">
        <f>1-AB1045</f>
        <v/>
      </c>
      <c r="Q1045" s="108" t="n"/>
      <c r="R1045" s="108" t="n"/>
      <c r="S1045" s="108">
        <f>1-AE1045</f>
        <v/>
      </c>
      <c r="T1045" s="108">
        <f>1-AF1045</f>
        <v/>
      </c>
      <c r="U1045" s="108">
        <f>1-AG1045</f>
        <v/>
      </c>
      <c r="V1045" s="108">
        <f>1-AH1045</f>
        <v/>
      </c>
      <c r="W1045" s="108">
        <f>1-AI1045</f>
        <v/>
      </c>
      <c r="X1045" s="108">
        <f>ABS(AJ1045-AJ$1)</f>
        <v/>
      </c>
      <c r="Y1045" s="108">
        <f>AVERAGE(Z1045:AB1045)</f>
        <v/>
      </c>
      <c r="Z1045" s="108">
        <f>ABS(AL1045-AL$1)</f>
        <v/>
      </c>
      <c r="AA1045" s="108">
        <f>ABS(AM1045-AM$1)</f>
        <v/>
      </c>
      <c r="AB1045" s="108">
        <f>ABS(AN1045-AN$1)</f>
        <v/>
      </c>
      <c r="AC1045" s="108" t="n"/>
      <c r="AD1045" s="108" t="n"/>
      <c r="AE1045" s="108">
        <f>ABS(AQ$1-AQ1045)</f>
        <v/>
      </c>
      <c r="AF1045" s="108">
        <f>ABS(AR$1-AR1045)</f>
        <v/>
      </c>
      <c r="AG1045" s="108">
        <f>ABS(AS$1-AS1045)</f>
        <v/>
      </c>
      <c r="AH1045" s="108">
        <f>ABS(AT$1-AT1045)</f>
        <v/>
      </c>
      <c r="AI1045" s="108">
        <f>ABS(AU$1-AU1045)</f>
        <v/>
      </c>
      <c r="AJ1045" s="108">
        <f>(AV1045-Driver!$K$179)/(Driver!$L$179-Driver!$K$179)</f>
        <v/>
      </c>
      <c r="AK1045" s="108">
        <f>(AW1045-Driver!$K$180)/(Driver!$L$180-Driver!$K$180)</f>
        <v/>
      </c>
      <c r="AL1045" s="108">
        <f>(AX1045-Driver!$K$181)/(Driver!$L$181-Driver!$K$181)</f>
        <v/>
      </c>
      <c r="AM1045" s="108">
        <f>(AY1045-Driver!$K$182)/(Driver!$L$182-Driver!$K$182)</f>
        <v/>
      </c>
      <c r="AN1045" s="108">
        <f>(AZ1045-Driver!$K$183)/(Driver!$L$183-Driver!$K$183)</f>
        <v/>
      </c>
      <c r="AO1045" s="108" t="n"/>
      <c r="AP1045" s="108" t="n"/>
      <c r="AQ1045" s="108">
        <f>(BC1045-Driver!$K$188)/(Driver!$L$188-Driver!$K$188)</f>
        <v/>
      </c>
      <c r="AR1045" s="108">
        <f>MIN((BD1045-Driver!$K$189)/(Driver!$L$189-Driver!$K$189),100%)</f>
        <v/>
      </c>
      <c r="AS1045" s="108">
        <f>(BE1045-Driver!$K$190)/(Driver!$L$190-Driver!$K$190)</f>
        <v/>
      </c>
      <c r="AT1045" s="108">
        <f>(BF1045-Driver!$K$191)/(Driver!$L$191-Driver!$K$191)</f>
        <v/>
      </c>
      <c r="AU1045" s="108">
        <f>(BG1045-Driver!$K$192)/(Driver!$L$192-Driver!$K$192)</f>
        <v/>
      </c>
      <c r="AV1045" s="105">
        <f>IFERROR(BM1045*BJ1045^1/4,"")</f>
        <v/>
      </c>
      <c r="AW1045" s="105">
        <f>IFERROR(SUM(AX1045:AZ1045),"")</f>
        <v/>
      </c>
      <c r="AX1045" s="105">
        <f>IFERROR(BH1045,"")</f>
        <v/>
      </c>
      <c r="AY1045" s="105">
        <f>IFERROR(Driver!$K$19/Data!BH1045/Data!BI1045*Data!BK1045*Data!BL1045,"")</f>
        <v/>
      </c>
      <c r="AZ1045" s="105">
        <f>IFERROR(BI1045*BN1045,"")</f>
        <v/>
      </c>
      <c r="BA1045" s="105" t="n"/>
      <c r="BB1045" s="105" t="n"/>
      <c r="BC1045" s="105">
        <f>IFERROR(BI1045*BN1045*BK1045/BJ1045^(1/2),"")</f>
        <v/>
      </c>
      <c r="BD1045" s="105">
        <f>IFERROR(BH1045*BM1045*BL1045/BJ1045/BK1045,"")</f>
        <v/>
      </c>
      <c r="BE1045" s="105">
        <f>IFERROR(MIN(BI1045/BQ1045/BP1045/BO1045/BH1045,$BE$1),"")</f>
        <v/>
      </c>
      <c r="BF1045" s="105">
        <f>IFERROR(BJ1045*BO1045*BP1045/BK1045,"")</f>
        <v/>
      </c>
      <c r="BG1045" s="105">
        <f>IFERROR(1/BM1045/BH1045*BQ1045,"")</f>
        <v/>
      </c>
      <c r="BH1045" s="102">
        <f>MAX((CE1045-Driver!$F$200)/(Driver!$G$200-Driver!$F$200)*$BI$1,1)</f>
        <v/>
      </c>
      <c r="BI1045" s="102">
        <f>MAX($BI$1*(BY1045-Driver!$F$201)/(Driver!$G$201-Driver!$F$201),1)</f>
        <v/>
      </c>
      <c r="BJ1045" s="102">
        <f>(CB1045-Driver!$F$206)/(Driver!$G$206-Driver!$F$206)*$BI$1</f>
        <v/>
      </c>
      <c r="BK1045" s="102">
        <f>(CD1045-Driver!$F$203)/(Driver!$G$203-Driver!$F$203)*$BI$1</f>
        <v/>
      </c>
      <c r="BL1045" s="102">
        <f>MAX((CR1045-Driver!$F$202)/(Driver!$G$202-Driver!$F$202)*$BI$1,1)</f>
        <v/>
      </c>
      <c r="BM1045" s="102">
        <f>MAX((CH1045-Driver!$F$204)/(Driver!$G$204-Driver!$F$204)*$BI$1,1)</f>
        <v/>
      </c>
      <c r="BN1045" s="102">
        <f>(CI1045-Driver!$F$205)/(Driver!$G$205-Driver!$F$205)*$BI$1</f>
        <v/>
      </c>
      <c r="BO1045" s="102">
        <f>(CK1045-Driver!$F$207)/(Driver!$G$207-Driver!$F$207)*$BI$1</f>
        <v/>
      </c>
      <c r="BP1045" s="102">
        <f>(CM1045-Driver!$F$208)/(Driver!$G$208-Driver!$F$208)*$BI$1</f>
        <v/>
      </c>
      <c r="BQ1045" s="102">
        <f>(CL1045-Driver!$F$209)/(Driver!$G$209-Driver!$F$209)*$BI$1</f>
        <v/>
      </c>
      <c r="BR1045" s="40" t="inlineStr">
        <is>
          <t>21/22</t>
        </is>
      </c>
      <c r="BS1045" s="10" t="inlineStr">
        <is>
          <t xml:space="preserve"> Head</t>
        </is>
      </c>
      <c r="BT1045" s="11" t="inlineStr">
        <is>
          <t>V-Shape V8</t>
        </is>
      </c>
      <c r="BU1045" s="13" t="n">
        <v>163</v>
      </c>
      <c r="BV1045" s="11" t="inlineStr">
        <is>
          <t xml:space="preserve"> Unisex</t>
        </is>
      </c>
      <c r="BW1045" s="13" t="n">
        <v>163</v>
      </c>
      <c r="BX1045" s="13" t="n">
        <v>162.5</v>
      </c>
      <c r="BY1045" s="13" t="n">
        <v>142</v>
      </c>
      <c r="BZ1045" s="13" t="n">
        <v>149</v>
      </c>
      <c r="CA1045" s="13" t="n">
        <v>129</v>
      </c>
      <c r="CB1045" s="13" t="n">
        <v>74</v>
      </c>
      <c r="CC1045" s="13" t="n">
        <v>110</v>
      </c>
      <c r="CD1045" s="13" t="n">
        <v>12.1</v>
      </c>
      <c r="CE1045" s="13" t="n">
        <v>1587</v>
      </c>
      <c r="CF1045" s="13" t="n">
        <v>0.93</v>
      </c>
      <c r="CG1045" s="13" t="n">
        <v>1476</v>
      </c>
      <c r="CH1045" s="13" t="n">
        <v>175</v>
      </c>
      <c r="CI1045" s="13" t="n">
        <v>44</v>
      </c>
      <c r="CJ1045" s="13" t="n">
        <v>37</v>
      </c>
      <c r="CK1045" s="13" t="n">
        <v>140</v>
      </c>
      <c r="CL1045" s="13" t="n">
        <v>9</v>
      </c>
      <c r="CM1045" s="13" t="n">
        <v>62</v>
      </c>
      <c r="CN1045" s="13" t="n">
        <v>0.233</v>
      </c>
      <c r="CO1045" s="13" t="n">
        <v>83</v>
      </c>
      <c r="CP1045" s="13" t="n">
        <v>56</v>
      </c>
      <c r="CQ1045" s="13" t="n">
        <v>57</v>
      </c>
      <c r="CR1045" s="13" t="n">
        <v>12</v>
      </c>
      <c r="CS1045" s="13" t="n">
        <v>12.4</v>
      </c>
      <c r="CT1045" s="11" t="inlineStr">
        <is>
          <t xml:space="preserve"> On-Piste Carving</t>
        </is>
      </c>
      <c r="CU1045" s="13" t="n"/>
      <c r="CV1045" s="13" t="n"/>
      <c r="CW1045" s="13" t="n"/>
      <c r="CX1045">
        <f>INDEX('Data_Price '!AG$2:AG$1266,MATCH(Data!$DN1045,'Data_Price '!$AT$2:$AT$1266,0))</f>
        <v/>
      </c>
      <c r="CY1045">
        <f>INDEX('Data_Price '!AH$2:AH$1266,MATCH(Data!$DN1045,'Data_Price '!$AT$2:$AT$1266,0))</f>
        <v/>
      </c>
      <c r="CZ1045">
        <f>INDEX('Data_Price '!AI$2:AI$1266,MATCH(Data!$DN1045,'Data_Price '!$AT$2:$AT$1266,0))</f>
        <v/>
      </c>
      <c r="DA1045">
        <f>INDEX('Data_Price '!AJ$2:AJ$1266,MATCH(Data!$DN1045,'Data_Price '!$AT$2:$AT$1266,0))</f>
        <v/>
      </c>
      <c r="DB1045">
        <f>INDEX('Data_Price '!AK$2:AK$1266,MATCH(Data!$DN1045,'Data_Price '!$AT$2:$AT$1266,0))</f>
        <v/>
      </c>
      <c r="DC1045">
        <f>INDEX('Data_Price '!AL$2:AL$1266,MATCH(Data!$DN1045,'Data_Price '!$AT$2:$AT$1266,0))</f>
        <v/>
      </c>
      <c r="DD1045">
        <f>INDEX('Data_Price '!AM$2:AM$1266,MATCH(Data!$DN1045,'Data_Price '!$AT$2:$AT$1266,0))</f>
        <v/>
      </c>
      <c r="DE1045">
        <f>INDEX('Data_Price '!AN$2:AN$1266,MATCH(Data!$DN1045,'Data_Price '!$AT$2:$AT$1266,0))</f>
        <v/>
      </c>
      <c r="DF1045">
        <f>INDEX('Data_Price '!AO$2:AO$1266,MATCH(Data!$DN1045,'Data_Price '!$AT$2:$AT$1266,0))</f>
        <v/>
      </c>
      <c r="DG1045">
        <f>INDEX('Data_Price '!AP$2:AP$1266,MATCH(Data!$DN1045,'Data_Price '!$AT$2:$AT$1266,0))</f>
        <v/>
      </c>
      <c r="DH1045">
        <f>INDEX('Data_Price '!AQ$2:AQ$1266,MATCH(Data!$DN1045,'Data_Price '!$AT$2:$AT$1266,0))</f>
        <v/>
      </c>
      <c r="DI1045">
        <f>INDEX('Data_Price '!AR$2:AR$1266,MATCH(Data!$DN1045,'Data_Price '!$AT$2:$AT$1266,0))</f>
        <v/>
      </c>
      <c r="DJ1045" s="138">
        <f>DA1045</f>
        <v/>
      </c>
      <c r="DK1045" s="138">
        <f>DE1045</f>
        <v/>
      </c>
      <c r="DL1045" s="138">
        <f>DI1045</f>
        <v/>
      </c>
      <c r="DM1045" s="303">
        <f>IF(LEFT(BT1045,1)=" ",RIGHT(BT1045,LEN(BT1045)-1),BT1045)</f>
        <v/>
      </c>
      <c r="DN1045" s="138">
        <f>_xlfn.CONCAT(BS1045,DM1045,BU1045,BV1045)</f>
        <v/>
      </c>
      <c r="DO1045" s="307" t="n"/>
    </row>
    <row r="1046" ht="15.6" customHeight="1" s="184">
      <c r="B1046" s="303">
        <f t="array" ref="B1046">IF(OR(ISERROR(K1046:P1046)),FALSE,TRUE)</f>
        <v/>
      </c>
      <c r="C1046" s="60">
        <f>OR(BR1046=Driver!$G$50,Data!BR1122=Driver!$H$50)</f>
        <v/>
      </c>
      <c r="D1046" s="60">
        <f>OR(BV1046=Driver!$G$51,BV1046=Driver!$H$51)</f>
        <v/>
      </c>
      <c r="E1046" s="60">
        <f>AND(BX1046&gt;Driver!$F$54,BX1046&lt;Driver!$G$54)</f>
        <v/>
      </c>
      <c r="F1046" s="60">
        <f>CL1046&gt;Driver!$F$56</f>
        <v/>
      </c>
      <c r="G1046" s="60">
        <f>AND(CB1046&gt;Driver!$F$55,CB1046&lt;Driver!$G$55)</f>
        <v/>
      </c>
      <c r="H1046" s="60">
        <f>AND(B1046:G1046)</f>
        <v/>
      </c>
      <c r="I1046" s="60">
        <f>COUNTIFS($H$9:$H$1273,TRUE,$BT$9:$BT$1273,BT1046)</f>
        <v/>
      </c>
      <c r="J1046" s="60">
        <f t="array" ref="J1046">NOT(OR(($H$9:$H$1273=TRUE)*($I$9:$I$1273&gt;0)*($BT$9:$BT$1273=BT1046)*($K$9:$K$1273&gt;K1046)))</f>
        <v/>
      </c>
      <c r="K1046" s="108">
        <f>IFERROR(1-AVERAGE(X1046:Y1046),"")</f>
        <v/>
      </c>
      <c r="L1046" s="108">
        <f>1-X1046</f>
        <v/>
      </c>
      <c r="M1046" s="108">
        <f>1-Y1046</f>
        <v/>
      </c>
      <c r="N1046" s="108">
        <f>1-Z1046</f>
        <v/>
      </c>
      <c r="O1046" s="108">
        <f>1-AA1046</f>
        <v/>
      </c>
      <c r="P1046" s="108">
        <f>1-AB1046</f>
        <v/>
      </c>
      <c r="Q1046" s="108" t="n"/>
      <c r="R1046" s="108" t="n"/>
      <c r="S1046" s="108">
        <f>1-AE1046</f>
        <v/>
      </c>
      <c r="T1046" s="108">
        <f>1-AF1046</f>
        <v/>
      </c>
      <c r="U1046" s="108">
        <f>1-AG1046</f>
        <v/>
      </c>
      <c r="V1046" s="108">
        <f>1-AH1046</f>
        <v/>
      </c>
      <c r="W1046" s="108">
        <f>1-AI1046</f>
        <v/>
      </c>
      <c r="X1046" s="108">
        <f>ABS(AJ1046-AJ$1)</f>
        <v/>
      </c>
      <c r="Y1046" s="108">
        <f>AVERAGE(Z1046:AB1046)</f>
        <v/>
      </c>
      <c r="Z1046" s="108">
        <f>ABS(AL1046-AL$1)</f>
        <v/>
      </c>
      <c r="AA1046" s="108">
        <f>ABS(AM1046-AM$1)</f>
        <v/>
      </c>
      <c r="AB1046" s="108">
        <f>ABS(AN1046-AN$1)</f>
        <v/>
      </c>
      <c r="AC1046" s="108" t="n"/>
      <c r="AD1046" s="108" t="n"/>
      <c r="AE1046" s="108">
        <f>ABS(AQ$1-AQ1046)</f>
        <v/>
      </c>
      <c r="AF1046" s="108">
        <f>ABS(AR$1-AR1046)</f>
        <v/>
      </c>
      <c r="AG1046" s="108">
        <f>ABS(AS$1-AS1046)</f>
        <v/>
      </c>
      <c r="AH1046" s="108">
        <f>ABS(AT$1-AT1046)</f>
        <v/>
      </c>
      <c r="AI1046" s="108">
        <f>ABS(AU$1-AU1046)</f>
        <v/>
      </c>
      <c r="AJ1046" s="108">
        <f>(AV1046-Driver!$K$179)/(Driver!$L$179-Driver!$K$179)</f>
        <v/>
      </c>
      <c r="AK1046" s="108">
        <f>(AW1046-Driver!$K$180)/(Driver!$L$180-Driver!$K$180)</f>
        <v/>
      </c>
      <c r="AL1046" s="108">
        <f>(AX1046-Driver!$K$181)/(Driver!$L$181-Driver!$K$181)</f>
        <v/>
      </c>
      <c r="AM1046" s="108">
        <f>(AY1046-Driver!$K$182)/(Driver!$L$182-Driver!$K$182)</f>
        <v/>
      </c>
      <c r="AN1046" s="108">
        <f>(AZ1046-Driver!$K$183)/(Driver!$L$183-Driver!$K$183)</f>
        <v/>
      </c>
      <c r="AO1046" s="108" t="n"/>
      <c r="AP1046" s="108" t="n"/>
      <c r="AQ1046" s="108">
        <f>(BC1046-Driver!$K$188)/(Driver!$L$188-Driver!$K$188)</f>
        <v/>
      </c>
      <c r="AR1046" s="108">
        <f>MIN((BD1046-Driver!$K$189)/(Driver!$L$189-Driver!$K$189),100%)</f>
        <v/>
      </c>
      <c r="AS1046" s="108">
        <f>(BE1046-Driver!$K$190)/(Driver!$L$190-Driver!$K$190)</f>
        <v/>
      </c>
      <c r="AT1046" s="108">
        <f>(BF1046-Driver!$K$191)/(Driver!$L$191-Driver!$K$191)</f>
        <v/>
      </c>
      <c r="AU1046" s="108">
        <f>(BG1046-Driver!$K$192)/(Driver!$L$192-Driver!$K$192)</f>
        <v/>
      </c>
      <c r="AV1046" s="105">
        <f>IFERROR(BM1046*BJ1046^1/4,"")</f>
        <v/>
      </c>
      <c r="AW1046" s="105">
        <f>IFERROR(SUM(AX1046:AZ1046),"")</f>
        <v/>
      </c>
      <c r="AX1046" s="105">
        <f>IFERROR(BH1046,"")</f>
        <v/>
      </c>
      <c r="AY1046" s="105">
        <f>IFERROR(Driver!$K$19/Data!BH1046/Data!BI1046*Data!BK1046*Data!BL1046,"")</f>
        <v/>
      </c>
      <c r="AZ1046" s="105">
        <f>IFERROR(BI1046*BN1046,"")</f>
        <v/>
      </c>
      <c r="BA1046" s="105" t="n"/>
      <c r="BB1046" s="105" t="n"/>
      <c r="BC1046" s="105">
        <f>IFERROR(BI1046*BN1046*BK1046/BJ1046^(1/2),"")</f>
        <v/>
      </c>
      <c r="BD1046" s="105">
        <f>IFERROR(BH1046*BM1046*BL1046/BJ1046/BK1046,"")</f>
        <v/>
      </c>
      <c r="BE1046" s="105">
        <f>IFERROR(MIN(BI1046/BQ1046/BP1046/BO1046/BH1046,$BE$1),"")</f>
        <v/>
      </c>
      <c r="BF1046" s="105">
        <f>IFERROR(BJ1046*BO1046*BP1046/BK1046,"")</f>
        <v/>
      </c>
      <c r="BG1046" s="105">
        <f>IFERROR(1/BM1046/BH1046*BQ1046,"")</f>
        <v/>
      </c>
      <c r="BH1046" s="102">
        <f>MAX((CE1046-Driver!$F$200)/(Driver!$G$200-Driver!$F$200)*$BI$1,1)</f>
        <v/>
      </c>
      <c r="BI1046" s="102">
        <f>MAX($BI$1*(BY1046-Driver!$F$201)/(Driver!$G$201-Driver!$F$201),1)</f>
        <v/>
      </c>
      <c r="BJ1046" s="102">
        <f>(CB1046-Driver!$F$206)/(Driver!$G$206-Driver!$F$206)*$BI$1</f>
        <v/>
      </c>
      <c r="BK1046" s="102">
        <f>(CD1046-Driver!$F$203)/(Driver!$G$203-Driver!$F$203)*$BI$1</f>
        <v/>
      </c>
      <c r="BL1046" s="102">
        <f>MAX((CR1046-Driver!$F$202)/(Driver!$G$202-Driver!$F$202)*$BI$1,1)</f>
        <v/>
      </c>
      <c r="BM1046" s="102">
        <f>MAX((CH1046-Driver!$F$204)/(Driver!$G$204-Driver!$F$204)*$BI$1,1)</f>
        <v/>
      </c>
      <c r="BN1046" s="102">
        <f>(CI1046-Driver!$F$205)/(Driver!$G$205-Driver!$F$205)*$BI$1</f>
        <v/>
      </c>
      <c r="BO1046" s="102">
        <f>(CK1046-Driver!$F$207)/(Driver!$G$207-Driver!$F$207)*$BI$1</f>
        <v/>
      </c>
      <c r="BP1046" s="102">
        <f>(CM1046-Driver!$F$208)/(Driver!$G$208-Driver!$F$208)*$BI$1</f>
        <v/>
      </c>
      <c r="BQ1046" s="102">
        <f>(CL1046-Driver!$F$209)/(Driver!$G$209-Driver!$F$209)*$BI$1</f>
        <v/>
      </c>
      <c r="BR1046" s="40" t="inlineStr">
        <is>
          <t>21/22</t>
        </is>
      </c>
      <c r="BS1046" s="10" t="inlineStr">
        <is>
          <t xml:space="preserve"> Scott</t>
        </is>
      </c>
      <c r="BT1046" s="11" t="inlineStr">
        <is>
          <t>Superguide 88</t>
        </is>
      </c>
      <c r="BU1046" s="13" t="n">
        <v>162</v>
      </c>
      <c r="BV1046" s="11" t="inlineStr">
        <is>
          <t xml:space="preserve"> Unisex</t>
        </is>
      </c>
      <c r="BW1046" s="13" t="n">
        <v>162</v>
      </c>
      <c r="BX1046" s="13" t="n">
        <v>159.9</v>
      </c>
      <c r="BY1046" s="13" t="n">
        <v>123</v>
      </c>
      <c r="BZ1046" s="13" t="n">
        <v>141</v>
      </c>
      <c r="CA1046" s="13" t="n">
        <v>121</v>
      </c>
      <c r="CB1046" s="13" t="n">
        <v>83</v>
      </c>
      <c r="CC1046" s="13" t="n">
        <v>105</v>
      </c>
      <c r="CD1046" s="13" t="n">
        <v>16</v>
      </c>
      <c r="CE1046" s="13" t="n">
        <v>1234</v>
      </c>
      <c r="CF1046" s="13" t="n">
        <v>1.23</v>
      </c>
      <c r="CG1046" s="13" t="n">
        <v>1519</v>
      </c>
      <c r="CH1046" s="13" t="n">
        <v>190</v>
      </c>
      <c r="CI1046" s="13" t="n">
        <v>65</v>
      </c>
      <c r="CJ1046" s="13" t="n">
        <v>57</v>
      </c>
      <c r="CK1046" s="13" t="n">
        <v>266</v>
      </c>
      <c r="CL1046" s="13" t="n">
        <v>15</v>
      </c>
      <c r="CM1046" s="13" t="n">
        <v>106</v>
      </c>
      <c r="CN1046" s="13" t="n">
        <v>0.272</v>
      </c>
      <c r="CO1046" s="13" t="n">
        <v>106</v>
      </c>
      <c r="CP1046" s="13" t="n">
        <v>88</v>
      </c>
      <c r="CQ1046" s="13" t="n">
        <v>160</v>
      </c>
      <c r="CR1046" s="13" t="n">
        <v>7</v>
      </c>
      <c r="CS1046" s="13" t="n">
        <v>11</v>
      </c>
      <c r="CT1046" s="11" t="inlineStr">
        <is>
          <t xml:space="preserve"> Resort Freeride</t>
        </is>
      </c>
      <c r="CU1046" s="11" t="inlineStr">
        <is>
          <t xml:space="preserve"> Touring</t>
        </is>
      </c>
      <c r="CV1046" s="13" t="n"/>
      <c r="CW1046" s="13" t="n"/>
      <c r="CX1046">
        <f>INDEX('Data_Price '!AG$2:AG$1266,MATCH(Data!$DN1046,'Data_Price '!$AT$2:$AT$1266,0))</f>
        <v/>
      </c>
      <c r="CY1046">
        <f>INDEX('Data_Price '!AH$2:AH$1266,MATCH(Data!$DN1046,'Data_Price '!$AT$2:$AT$1266,0))</f>
        <v/>
      </c>
      <c r="CZ1046">
        <f>INDEX('Data_Price '!AI$2:AI$1266,MATCH(Data!$DN1046,'Data_Price '!$AT$2:$AT$1266,0))</f>
        <v/>
      </c>
      <c r="DA1046">
        <f>INDEX('Data_Price '!AJ$2:AJ$1266,MATCH(Data!$DN1046,'Data_Price '!$AT$2:$AT$1266,0))</f>
        <v/>
      </c>
      <c r="DB1046">
        <f>INDEX('Data_Price '!AK$2:AK$1266,MATCH(Data!$DN1046,'Data_Price '!$AT$2:$AT$1266,0))</f>
        <v/>
      </c>
      <c r="DC1046">
        <f>INDEX('Data_Price '!AL$2:AL$1266,MATCH(Data!$DN1046,'Data_Price '!$AT$2:$AT$1266,0))</f>
        <v/>
      </c>
      <c r="DD1046">
        <f>INDEX('Data_Price '!AM$2:AM$1266,MATCH(Data!$DN1046,'Data_Price '!$AT$2:$AT$1266,0))</f>
        <v/>
      </c>
      <c r="DE1046">
        <f>INDEX('Data_Price '!AN$2:AN$1266,MATCH(Data!$DN1046,'Data_Price '!$AT$2:$AT$1266,0))</f>
        <v/>
      </c>
      <c r="DF1046">
        <f>INDEX('Data_Price '!AO$2:AO$1266,MATCH(Data!$DN1046,'Data_Price '!$AT$2:$AT$1266,0))</f>
        <v/>
      </c>
      <c r="DG1046">
        <f>INDEX('Data_Price '!AP$2:AP$1266,MATCH(Data!$DN1046,'Data_Price '!$AT$2:$AT$1266,0))</f>
        <v/>
      </c>
      <c r="DH1046">
        <f>INDEX('Data_Price '!AQ$2:AQ$1266,MATCH(Data!$DN1046,'Data_Price '!$AT$2:$AT$1266,0))</f>
        <v/>
      </c>
      <c r="DI1046">
        <f>INDEX('Data_Price '!AR$2:AR$1266,MATCH(Data!$DN1046,'Data_Price '!$AT$2:$AT$1266,0))</f>
        <v/>
      </c>
      <c r="DJ1046" s="138">
        <f>DA1046</f>
        <v/>
      </c>
      <c r="DK1046" s="138">
        <f>DE1046</f>
        <v/>
      </c>
      <c r="DL1046" s="138">
        <f>DI1046</f>
        <v/>
      </c>
      <c r="DM1046" s="303">
        <f>IF(LEFT(BT1046,1)=" ",RIGHT(BT1046,LEN(BT1046)-1),BT1046)</f>
        <v/>
      </c>
      <c r="DN1046" s="138">
        <f>_xlfn.CONCAT(BS1046,DM1046,BU1046,BV1046)</f>
        <v/>
      </c>
      <c r="DO1046" s="307" t="n"/>
    </row>
    <row r="1047" ht="15.6" customHeight="1" s="184">
      <c r="B1047" s="303">
        <f t="array" ref="B1047">IF(OR(ISERROR(K1047:P1047)),FALSE,TRUE)</f>
        <v/>
      </c>
      <c r="C1047" s="60">
        <f>OR(BR1047=Driver!$G$50,Data!BR459=Driver!$H$50)</f>
        <v/>
      </c>
      <c r="D1047" s="60">
        <f>OR(BV1047=Driver!$G$51,BV1047=Driver!$H$51)</f>
        <v/>
      </c>
      <c r="E1047" s="60">
        <f>AND(BX1047&gt;Driver!$F$54,BX1047&lt;Driver!$G$54)</f>
        <v/>
      </c>
      <c r="F1047" s="60">
        <f>CL1047&gt;Driver!$F$56</f>
        <v/>
      </c>
      <c r="G1047" s="60">
        <f>AND(CB1047&gt;Driver!$F$55,CB1047&lt;Driver!$G$55)</f>
        <v/>
      </c>
      <c r="H1047" s="60">
        <f>AND(B1047:G1047)</f>
        <v/>
      </c>
      <c r="I1047" s="60">
        <f>COUNTIFS($H$9:$H$1273,TRUE,$BT$9:$BT$1273,BT1047)</f>
        <v/>
      </c>
      <c r="J1047" s="60">
        <f t="array" ref="J1047">NOT(OR(($H$9:$H$1273=TRUE)*($I$9:$I$1273&gt;0)*($BT$9:$BT$1273=BT1047)*($K$9:$K$1273&gt;K1047)))</f>
        <v/>
      </c>
      <c r="K1047" s="108">
        <f>IFERROR(1-AVERAGE(X1047:Y1047),"")</f>
        <v/>
      </c>
      <c r="L1047" s="108">
        <f>1-X1047</f>
        <v/>
      </c>
      <c r="M1047" s="108">
        <f>1-Y1047</f>
        <v/>
      </c>
      <c r="N1047" s="108">
        <f>1-Z1047</f>
        <v/>
      </c>
      <c r="O1047" s="108">
        <f>1-AA1047</f>
        <v/>
      </c>
      <c r="P1047" s="108">
        <f>1-AB1047</f>
        <v/>
      </c>
      <c r="Q1047" s="108" t="n"/>
      <c r="R1047" s="108" t="n"/>
      <c r="S1047" s="108">
        <f>1-AE1047</f>
        <v/>
      </c>
      <c r="T1047" s="108">
        <f>1-AF1047</f>
        <v/>
      </c>
      <c r="U1047" s="108">
        <f>1-AG1047</f>
        <v/>
      </c>
      <c r="V1047" s="108">
        <f>1-AH1047</f>
        <v/>
      </c>
      <c r="W1047" s="108">
        <f>1-AI1047</f>
        <v/>
      </c>
      <c r="X1047" s="108">
        <f>ABS(AJ1047-AJ$1)</f>
        <v/>
      </c>
      <c r="Y1047" s="108">
        <f>AVERAGE(Z1047:AB1047)</f>
        <v/>
      </c>
      <c r="Z1047" s="108">
        <f>ABS(AL1047-AL$1)</f>
        <v/>
      </c>
      <c r="AA1047" s="108">
        <f>ABS(AM1047-AM$1)</f>
        <v/>
      </c>
      <c r="AB1047" s="108">
        <f>ABS(AN1047-AN$1)</f>
        <v/>
      </c>
      <c r="AC1047" s="108" t="n"/>
      <c r="AD1047" s="108" t="n"/>
      <c r="AE1047" s="108">
        <f>ABS(AQ$1-AQ1047)</f>
        <v/>
      </c>
      <c r="AF1047" s="108">
        <f>ABS(AR$1-AR1047)</f>
        <v/>
      </c>
      <c r="AG1047" s="108">
        <f>ABS(AS$1-AS1047)</f>
        <v/>
      </c>
      <c r="AH1047" s="108">
        <f>ABS(AT$1-AT1047)</f>
        <v/>
      </c>
      <c r="AI1047" s="108">
        <f>ABS(AU$1-AU1047)</f>
        <v/>
      </c>
      <c r="AJ1047" s="108">
        <f>(AV1047-Driver!$K$179)/(Driver!$L$179-Driver!$K$179)</f>
        <v/>
      </c>
      <c r="AK1047" s="108">
        <f>(AW1047-Driver!$K$180)/(Driver!$L$180-Driver!$K$180)</f>
        <v/>
      </c>
      <c r="AL1047" s="108">
        <f>(AX1047-Driver!$K$181)/(Driver!$L$181-Driver!$K$181)</f>
        <v/>
      </c>
      <c r="AM1047" s="108">
        <f>(AY1047-Driver!$K$182)/(Driver!$L$182-Driver!$K$182)</f>
        <v/>
      </c>
      <c r="AN1047" s="108">
        <f>(AZ1047-Driver!$K$183)/(Driver!$L$183-Driver!$K$183)</f>
        <v/>
      </c>
      <c r="AO1047" s="108" t="n"/>
      <c r="AP1047" s="108" t="n"/>
      <c r="AQ1047" s="108">
        <f>(BC1047-Driver!$K$188)/(Driver!$L$188-Driver!$K$188)</f>
        <v/>
      </c>
      <c r="AR1047" s="108">
        <f>MIN((BD1047-Driver!$K$189)/(Driver!$L$189-Driver!$K$189),100%)</f>
        <v/>
      </c>
      <c r="AS1047" s="108">
        <f>(BE1047-Driver!$K$190)/(Driver!$L$190-Driver!$K$190)</f>
        <v/>
      </c>
      <c r="AT1047" s="108">
        <f>(BF1047-Driver!$K$191)/(Driver!$L$191-Driver!$K$191)</f>
        <v/>
      </c>
      <c r="AU1047" s="108">
        <f>(BG1047-Driver!$K$192)/(Driver!$L$192-Driver!$K$192)</f>
        <v/>
      </c>
      <c r="AV1047" s="105">
        <f>IFERROR(BM1047*BJ1047^1/4,"")</f>
        <v/>
      </c>
      <c r="AW1047" s="105">
        <f>IFERROR(SUM(AX1047:AZ1047),"")</f>
        <v/>
      </c>
      <c r="AX1047" s="105">
        <f>IFERROR(BH1047,"")</f>
        <v/>
      </c>
      <c r="AY1047" s="105">
        <f>IFERROR(Driver!$K$19/Data!BH1047/Data!BI1047*Data!BK1047*Data!BL1047,"")</f>
        <v/>
      </c>
      <c r="AZ1047" s="105">
        <f>IFERROR(BI1047*BN1047,"")</f>
        <v/>
      </c>
      <c r="BA1047" s="105" t="n"/>
      <c r="BB1047" s="105" t="n"/>
      <c r="BC1047" s="105">
        <f>IFERROR(BI1047*BN1047*BK1047/BJ1047^(1/2),"")</f>
        <v/>
      </c>
      <c r="BD1047" s="105">
        <f>IFERROR(BH1047*BM1047*BL1047/BJ1047/BK1047,"")</f>
        <v/>
      </c>
      <c r="BE1047" s="105">
        <f>IFERROR(MIN(BI1047/BQ1047/BP1047/BO1047/BH1047,$BE$1),"")</f>
        <v/>
      </c>
      <c r="BF1047" s="105">
        <f>IFERROR(BJ1047*BO1047*BP1047/BK1047,"")</f>
        <v/>
      </c>
      <c r="BG1047" s="105">
        <f>IFERROR(1/BM1047/BH1047*BQ1047,"")</f>
        <v/>
      </c>
      <c r="BH1047" s="102">
        <f>MAX((CE1047-Driver!$F$200)/(Driver!$G$200-Driver!$F$200)*$BI$1,1)</f>
        <v/>
      </c>
      <c r="BI1047" s="102">
        <f>MAX($BI$1*(BY1047-Driver!$F$201)/(Driver!$G$201-Driver!$F$201),1)</f>
        <v/>
      </c>
      <c r="BJ1047" s="102">
        <f>(CB1047-Driver!$F$206)/(Driver!$G$206-Driver!$F$206)*$BI$1</f>
        <v/>
      </c>
      <c r="BK1047" s="102">
        <f>(CD1047-Driver!$F$203)/(Driver!$G$203-Driver!$F$203)*$BI$1</f>
        <v/>
      </c>
      <c r="BL1047" s="102">
        <f>MAX((CR1047-Driver!$F$202)/(Driver!$G$202-Driver!$F$202)*$BI$1,1)</f>
        <v/>
      </c>
      <c r="BM1047" s="102">
        <f>MAX((CH1047-Driver!$F$204)/(Driver!$G$204-Driver!$F$204)*$BI$1,1)</f>
        <v/>
      </c>
      <c r="BN1047" s="102">
        <f>(CI1047-Driver!$F$205)/(Driver!$G$205-Driver!$F$205)*$BI$1</f>
        <v/>
      </c>
      <c r="BO1047" s="102">
        <f>(CK1047-Driver!$F$207)/(Driver!$G$207-Driver!$F$207)*$BI$1</f>
        <v/>
      </c>
      <c r="BP1047" s="102">
        <f>(CM1047-Driver!$F$208)/(Driver!$G$208-Driver!$F$208)*$BI$1</f>
        <v/>
      </c>
      <c r="BQ1047" s="102">
        <f>(CL1047-Driver!$F$209)/(Driver!$G$209-Driver!$F$209)*$BI$1</f>
        <v/>
      </c>
      <c r="BR1047" s="40" t="inlineStr">
        <is>
          <t>21/22</t>
        </is>
      </c>
      <c r="BS1047" s="10" t="inlineStr">
        <is>
          <t xml:space="preserve"> Elan</t>
        </is>
      </c>
      <c r="BT1047" s="11" t="inlineStr">
        <is>
          <t>Ripstick 94 W</t>
        </is>
      </c>
      <c r="BU1047" s="13" t="n">
        <v>154</v>
      </c>
      <c r="BV1047" s="11" t="inlineStr">
        <is>
          <t xml:space="preserve"> Women's</t>
        </is>
      </c>
      <c r="BW1047" s="13" t="n">
        <v>154</v>
      </c>
      <c r="BX1047" s="13" t="n">
        <v>154.9</v>
      </c>
      <c r="BY1047" s="13" t="n">
        <v>105</v>
      </c>
      <c r="BZ1047" s="13" t="n">
        <v>121</v>
      </c>
      <c r="CA1047" s="13" t="n">
        <v>131</v>
      </c>
      <c r="CB1047" s="13" t="n">
        <v>94</v>
      </c>
      <c r="CC1047" s="13" t="n">
        <v>107</v>
      </c>
      <c r="CD1047" s="13" t="n">
        <v>13.9</v>
      </c>
      <c r="CE1047" s="13" t="n">
        <v>1394</v>
      </c>
      <c r="CF1047" s="13" t="n">
        <v>1.17</v>
      </c>
      <c r="CG1047" s="13" t="n">
        <v>1628</v>
      </c>
      <c r="CH1047" s="13" t="n">
        <v>146</v>
      </c>
      <c r="CI1047" s="13" t="n">
        <v>62</v>
      </c>
      <c r="CJ1047" s="13" t="n">
        <v>49</v>
      </c>
      <c r="CK1047" s="13" t="n">
        <v>298</v>
      </c>
      <c r="CL1047" s="13" t="n">
        <v>16</v>
      </c>
      <c r="CM1047" s="13" t="n">
        <v>203</v>
      </c>
      <c r="CN1047" s="13" t="n">
        <v>0.322</v>
      </c>
      <c r="CO1047" s="13" t="n">
        <v>176</v>
      </c>
      <c r="CP1047" s="13" t="n">
        <v>161</v>
      </c>
      <c r="CQ1047" s="13" t="n">
        <v>122</v>
      </c>
      <c r="CR1047" s="13" t="n">
        <v>3</v>
      </c>
      <c r="CS1047" s="13" t="n">
        <v>7</v>
      </c>
      <c r="CT1047" s="11" t="inlineStr">
        <is>
          <t xml:space="preserve"> Resort Freeride</t>
        </is>
      </c>
      <c r="CU1047" s="11" t="inlineStr">
        <is>
          <t xml:space="preserve"> Touring</t>
        </is>
      </c>
      <c r="CV1047" s="13" t="n"/>
      <c r="CW1047" s="13" t="n"/>
      <c r="CX1047">
        <f>INDEX('Data_Price '!AG$2:AG$1266,MATCH(Data!$DN1047,'Data_Price '!$AT$2:$AT$1266,0))</f>
        <v/>
      </c>
      <c r="CY1047">
        <f>INDEX('Data_Price '!AH$2:AH$1266,MATCH(Data!$DN1047,'Data_Price '!$AT$2:$AT$1266,0))</f>
        <v/>
      </c>
      <c r="CZ1047">
        <f>INDEX('Data_Price '!AI$2:AI$1266,MATCH(Data!$DN1047,'Data_Price '!$AT$2:$AT$1266,0))</f>
        <v/>
      </c>
      <c r="DA1047">
        <f>INDEX('Data_Price '!AJ$2:AJ$1266,MATCH(Data!$DN1047,'Data_Price '!$AT$2:$AT$1266,0))</f>
        <v/>
      </c>
      <c r="DB1047">
        <f>INDEX('Data_Price '!AK$2:AK$1266,MATCH(Data!$DN1047,'Data_Price '!$AT$2:$AT$1266,0))</f>
        <v/>
      </c>
      <c r="DC1047">
        <f>INDEX('Data_Price '!AL$2:AL$1266,MATCH(Data!$DN1047,'Data_Price '!$AT$2:$AT$1266,0))</f>
        <v/>
      </c>
      <c r="DD1047">
        <f>INDEX('Data_Price '!AM$2:AM$1266,MATCH(Data!$DN1047,'Data_Price '!$AT$2:$AT$1266,0))</f>
        <v/>
      </c>
      <c r="DE1047">
        <f>INDEX('Data_Price '!AN$2:AN$1266,MATCH(Data!$DN1047,'Data_Price '!$AT$2:$AT$1266,0))</f>
        <v/>
      </c>
      <c r="DF1047">
        <f>INDEX('Data_Price '!AO$2:AO$1266,MATCH(Data!$DN1047,'Data_Price '!$AT$2:$AT$1266,0))</f>
        <v/>
      </c>
      <c r="DG1047">
        <f>INDEX('Data_Price '!AP$2:AP$1266,MATCH(Data!$DN1047,'Data_Price '!$AT$2:$AT$1266,0))</f>
        <v/>
      </c>
      <c r="DH1047">
        <f>INDEX('Data_Price '!AQ$2:AQ$1266,MATCH(Data!$DN1047,'Data_Price '!$AT$2:$AT$1266,0))</f>
        <v/>
      </c>
      <c r="DI1047">
        <f>INDEX('Data_Price '!AR$2:AR$1266,MATCH(Data!$DN1047,'Data_Price '!$AT$2:$AT$1266,0))</f>
        <v/>
      </c>
      <c r="DJ1047" s="138">
        <f>DA1047</f>
        <v/>
      </c>
      <c r="DK1047" s="138">
        <f>DE1047</f>
        <v/>
      </c>
      <c r="DL1047" s="138">
        <f>DI1047</f>
        <v/>
      </c>
      <c r="DM1047" s="303">
        <f>IF(LEFT(BT1047,1)=" ",RIGHT(BT1047,LEN(BT1047)-1),BT1047)</f>
        <v/>
      </c>
      <c r="DN1047" s="138">
        <f>_xlfn.CONCAT(BS1047,DM1047,BU1047,BV1047)</f>
        <v/>
      </c>
      <c r="DO1047" s="307" t="inlineStr">
        <is>
          <t>https://images.evo.com/imgp/250/181077/718564/elan-ripstick-94-w-skis-women-s-2022-.jpg</t>
        </is>
      </c>
    </row>
    <row r="1048" ht="15.6" customHeight="1" s="184">
      <c r="B1048" s="303">
        <f t="array" ref="B1048">IF(OR(ISERROR(K1048:P1048)),FALSE,TRUE)</f>
        <v/>
      </c>
      <c r="C1048" s="60">
        <f>OR(BR1048=Driver!$G$50,Data!BR308=Driver!$H$50)</f>
        <v/>
      </c>
      <c r="D1048" s="60">
        <f>OR(BV1048=Driver!$G$51,BV1048=Driver!$H$51)</f>
        <v/>
      </c>
      <c r="E1048" s="60">
        <f>AND(BX1048&gt;Driver!$F$54,BX1048&lt;Driver!$G$54)</f>
        <v/>
      </c>
      <c r="F1048" s="60">
        <f>CL1048&gt;Driver!$F$56</f>
        <v/>
      </c>
      <c r="G1048" s="60">
        <f>AND(CB1048&gt;Driver!$F$55,CB1048&lt;Driver!$G$55)</f>
        <v/>
      </c>
      <c r="H1048" s="60">
        <f>AND(B1048:G1048)</f>
        <v/>
      </c>
      <c r="I1048" s="60">
        <f>COUNTIFS($H$9:$H$1273,TRUE,$BT$9:$BT$1273,BT1048)</f>
        <v/>
      </c>
      <c r="J1048" s="60">
        <f t="array" ref="J1048">NOT(OR(($H$9:$H$1273=TRUE)*($I$9:$I$1273&gt;0)*($BT$9:$BT$1273=BT1048)*($K$9:$K$1273&gt;K1048)))</f>
        <v/>
      </c>
      <c r="K1048" s="108">
        <f>IFERROR(1-AVERAGE(X1048:Y1048),"")</f>
        <v/>
      </c>
      <c r="L1048" s="108">
        <f>1-X1048</f>
        <v/>
      </c>
      <c r="M1048" s="108">
        <f>1-Y1048</f>
        <v/>
      </c>
      <c r="N1048" s="108">
        <f>1-Z1048</f>
        <v/>
      </c>
      <c r="O1048" s="108">
        <f>1-AA1048</f>
        <v/>
      </c>
      <c r="P1048" s="108">
        <f>1-AB1048</f>
        <v/>
      </c>
      <c r="Q1048" s="108" t="n"/>
      <c r="R1048" s="108" t="n"/>
      <c r="S1048" s="108">
        <f>1-AE1048</f>
        <v/>
      </c>
      <c r="T1048" s="108">
        <f>1-AF1048</f>
        <v/>
      </c>
      <c r="U1048" s="108">
        <f>1-AG1048</f>
        <v/>
      </c>
      <c r="V1048" s="108">
        <f>1-AH1048</f>
        <v/>
      </c>
      <c r="W1048" s="108">
        <f>1-AI1048</f>
        <v/>
      </c>
      <c r="X1048" s="108">
        <f>ABS(AJ1048-AJ$1)</f>
        <v/>
      </c>
      <c r="Y1048" s="108">
        <f>AVERAGE(Z1048:AB1048)</f>
        <v/>
      </c>
      <c r="Z1048" s="108">
        <f>ABS(AL1048-AL$1)</f>
        <v/>
      </c>
      <c r="AA1048" s="108">
        <f>ABS(AM1048-AM$1)</f>
        <v/>
      </c>
      <c r="AB1048" s="108">
        <f>ABS(AN1048-AN$1)</f>
        <v/>
      </c>
      <c r="AC1048" s="108" t="n"/>
      <c r="AD1048" s="108" t="n"/>
      <c r="AE1048" s="108">
        <f>ABS(AQ$1-AQ1048)</f>
        <v/>
      </c>
      <c r="AF1048" s="108">
        <f>ABS(AR$1-AR1048)</f>
        <v/>
      </c>
      <c r="AG1048" s="108">
        <f>ABS(AS$1-AS1048)</f>
        <v/>
      </c>
      <c r="AH1048" s="108">
        <f>ABS(AT$1-AT1048)</f>
        <v/>
      </c>
      <c r="AI1048" s="108">
        <f>ABS(AU$1-AU1048)</f>
        <v/>
      </c>
      <c r="AJ1048" s="108">
        <f>(AV1048-Driver!$K$179)/(Driver!$L$179-Driver!$K$179)</f>
        <v/>
      </c>
      <c r="AK1048" s="108">
        <f>(AW1048-Driver!$K$180)/(Driver!$L$180-Driver!$K$180)</f>
        <v/>
      </c>
      <c r="AL1048" s="108">
        <f>(AX1048-Driver!$K$181)/(Driver!$L$181-Driver!$K$181)</f>
        <v/>
      </c>
      <c r="AM1048" s="108">
        <f>(AY1048-Driver!$K$182)/(Driver!$L$182-Driver!$K$182)</f>
        <v/>
      </c>
      <c r="AN1048" s="108">
        <f>(AZ1048-Driver!$K$183)/(Driver!$L$183-Driver!$K$183)</f>
        <v/>
      </c>
      <c r="AO1048" s="108" t="n"/>
      <c r="AP1048" s="108" t="n"/>
      <c r="AQ1048" s="108">
        <f>(BC1048-Driver!$K$188)/(Driver!$L$188-Driver!$K$188)</f>
        <v/>
      </c>
      <c r="AR1048" s="108">
        <f>MIN((BD1048-Driver!$K$189)/(Driver!$L$189-Driver!$K$189),100%)</f>
        <v/>
      </c>
      <c r="AS1048" s="108">
        <f>(BE1048-Driver!$K$190)/(Driver!$L$190-Driver!$K$190)</f>
        <v/>
      </c>
      <c r="AT1048" s="108">
        <f>(BF1048-Driver!$K$191)/(Driver!$L$191-Driver!$K$191)</f>
        <v/>
      </c>
      <c r="AU1048" s="108">
        <f>(BG1048-Driver!$K$192)/(Driver!$L$192-Driver!$K$192)</f>
        <v/>
      </c>
      <c r="AV1048" s="105">
        <f>IFERROR(BM1048*BJ1048^1/4,"")</f>
        <v/>
      </c>
      <c r="AW1048" s="105">
        <f>IFERROR(SUM(AX1048:AZ1048),"")</f>
        <v/>
      </c>
      <c r="AX1048" s="105">
        <f>IFERROR(BH1048,"")</f>
        <v/>
      </c>
      <c r="AY1048" s="105">
        <f>IFERROR(Driver!$K$19/Data!BH1048/Data!BI1048*Data!BK1048*Data!BL1048,"")</f>
        <v/>
      </c>
      <c r="AZ1048" s="105">
        <f>IFERROR(BI1048*BN1048,"")</f>
        <v/>
      </c>
      <c r="BA1048" s="105" t="n"/>
      <c r="BB1048" s="105" t="n"/>
      <c r="BC1048" s="105">
        <f>IFERROR(BI1048*BN1048*BK1048/BJ1048^(1/2),"")</f>
        <v/>
      </c>
      <c r="BD1048" s="105">
        <f>IFERROR(BH1048*BM1048*BL1048/BJ1048/BK1048,"")</f>
        <v/>
      </c>
      <c r="BE1048" s="105">
        <f>IFERROR(MIN(BI1048/BQ1048/BP1048/BO1048/BH1048,$BE$1),"")</f>
        <v/>
      </c>
      <c r="BF1048" s="105">
        <f>IFERROR(BJ1048*BO1048*BP1048/BK1048,"")</f>
        <v/>
      </c>
      <c r="BG1048" s="105">
        <f>IFERROR(1/BM1048/BH1048*BQ1048,"")</f>
        <v/>
      </c>
      <c r="BH1048" s="102">
        <f>MAX((CE1048-Driver!$F$200)/(Driver!$G$200-Driver!$F$200)*$BI$1,1)</f>
        <v/>
      </c>
      <c r="BI1048" s="102">
        <f>MAX($BI$1*(BY1048-Driver!$F$201)/(Driver!$G$201-Driver!$F$201),1)</f>
        <v/>
      </c>
      <c r="BJ1048" s="102">
        <f>(CB1048-Driver!$F$206)/(Driver!$G$206-Driver!$F$206)*$BI$1</f>
        <v/>
      </c>
      <c r="BK1048" s="102">
        <f>(CD1048-Driver!$F$203)/(Driver!$G$203-Driver!$F$203)*$BI$1</f>
        <v/>
      </c>
      <c r="BL1048" s="102">
        <f>MAX((CR1048-Driver!$F$202)/(Driver!$G$202-Driver!$F$202)*$BI$1,1)</f>
        <v/>
      </c>
      <c r="BM1048" s="102">
        <f>MAX((CH1048-Driver!$F$204)/(Driver!$G$204-Driver!$F$204)*$BI$1,1)</f>
        <v/>
      </c>
      <c r="BN1048" s="102">
        <f>(CI1048-Driver!$F$205)/(Driver!$G$205-Driver!$F$205)*$BI$1</f>
        <v/>
      </c>
      <c r="BO1048" s="102">
        <f>(CK1048-Driver!$F$207)/(Driver!$G$207-Driver!$F$207)*$BI$1</f>
        <v/>
      </c>
      <c r="BP1048" s="102">
        <f>(CM1048-Driver!$F$208)/(Driver!$G$208-Driver!$F$208)*$BI$1</f>
        <v/>
      </c>
      <c r="BQ1048" s="102">
        <f>(CL1048-Driver!$F$209)/(Driver!$G$209-Driver!$F$209)*$BI$1</f>
        <v/>
      </c>
      <c r="BR1048" s="40" t="inlineStr">
        <is>
          <t>21/22</t>
        </is>
      </c>
      <c r="BS1048" s="10" t="inlineStr">
        <is>
          <t xml:space="preserve"> Blizzard</t>
        </is>
      </c>
      <c r="BT1048" s="11" t="inlineStr">
        <is>
          <t xml:space="preserve"> SRC</t>
        </is>
      </c>
      <c r="BU1048" s="13" t="n">
        <v>155</v>
      </c>
      <c r="BV1048" s="11" t="inlineStr">
        <is>
          <t xml:space="preserve"> Unisex</t>
        </is>
      </c>
      <c r="BW1048" s="13" t="n">
        <v>155</v>
      </c>
      <c r="BX1048" s="13" t="n">
        <v>154.1</v>
      </c>
      <c r="BY1048" s="13" t="n">
        <v>135</v>
      </c>
      <c r="BZ1048" s="13" t="n">
        <v>141</v>
      </c>
      <c r="CA1048" s="13" t="n">
        <v>120</v>
      </c>
      <c r="CB1048" s="13" t="n">
        <v>70</v>
      </c>
      <c r="CC1048" s="13" t="n">
        <v>103</v>
      </c>
      <c r="CD1048" s="13" t="n">
        <v>11.5</v>
      </c>
      <c r="CE1048" s="13" t="n">
        <v>1931</v>
      </c>
      <c r="CF1048" s="13" t="n">
        <v>0.68</v>
      </c>
      <c r="CG1048" s="13" t="n">
        <v>1318</v>
      </c>
      <c r="CH1048" s="13" t="n">
        <v>180</v>
      </c>
      <c r="CI1048" s="13" t="n">
        <v>121</v>
      </c>
      <c r="CJ1048" s="13" t="n">
        <v>40</v>
      </c>
      <c r="CK1048" s="13" t="n">
        <v>140</v>
      </c>
      <c r="CL1048" s="13" t="n">
        <v>5</v>
      </c>
      <c r="CM1048" s="13" t="n">
        <v>47</v>
      </c>
      <c r="CN1048" s="13" t="n">
        <v>0.124</v>
      </c>
      <c r="CO1048" s="13" t="n">
        <v>74</v>
      </c>
      <c r="CP1048" s="13" t="n">
        <v>56</v>
      </c>
      <c r="CQ1048" s="13" t="n">
        <v>66</v>
      </c>
      <c r="CR1048" s="13" t="n">
        <v>13</v>
      </c>
      <c r="CS1048" s="13" t="n">
        <v>12.3</v>
      </c>
      <c r="CT1048" s="11" t="inlineStr">
        <is>
          <t xml:space="preserve"> On-Piste Carving</t>
        </is>
      </c>
      <c r="CU1048" s="13" t="n"/>
      <c r="CV1048" s="13" t="n"/>
      <c r="CW1048" s="13" t="n"/>
      <c r="CX1048">
        <f>INDEX('Data_Price '!AG$2:AG$1266,MATCH(Data!$DN1048,'Data_Price '!$AT$2:$AT$1266,0))</f>
        <v/>
      </c>
      <c r="CY1048">
        <f>INDEX('Data_Price '!AH$2:AH$1266,MATCH(Data!$DN1048,'Data_Price '!$AT$2:$AT$1266,0))</f>
        <v/>
      </c>
      <c r="CZ1048">
        <f>INDEX('Data_Price '!AI$2:AI$1266,MATCH(Data!$DN1048,'Data_Price '!$AT$2:$AT$1266,0))</f>
        <v/>
      </c>
      <c r="DA1048">
        <f>INDEX('Data_Price '!AJ$2:AJ$1266,MATCH(Data!$DN1048,'Data_Price '!$AT$2:$AT$1266,0))</f>
        <v/>
      </c>
      <c r="DB1048">
        <f>INDEX('Data_Price '!AK$2:AK$1266,MATCH(Data!$DN1048,'Data_Price '!$AT$2:$AT$1266,0))</f>
        <v/>
      </c>
      <c r="DC1048">
        <f>INDEX('Data_Price '!AL$2:AL$1266,MATCH(Data!$DN1048,'Data_Price '!$AT$2:$AT$1266,0))</f>
        <v/>
      </c>
      <c r="DD1048">
        <f>INDEX('Data_Price '!AM$2:AM$1266,MATCH(Data!$DN1048,'Data_Price '!$AT$2:$AT$1266,0))</f>
        <v/>
      </c>
      <c r="DE1048">
        <f>INDEX('Data_Price '!AN$2:AN$1266,MATCH(Data!$DN1048,'Data_Price '!$AT$2:$AT$1266,0))</f>
        <v/>
      </c>
      <c r="DF1048">
        <f>INDEX('Data_Price '!AO$2:AO$1266,MATCH(Data!$DN1048,'Data_Price '!$AT$2:$AT$1266,0))</f>
        <v/>
      </c>
      <c r="DG1048">
        <f>INDEX('Data_Price '!AP$2:AP$1266,MATCH(Data!$DN1048,'Data_Price '!$AT$2:$AT$1266,0))</f>
        <v/>
      </c>
      <c r="DH1048">
        <f>INDEX('Data_Price '!AQ$2:AQ$1266,MATCH(Data!$DN1048,'Data_Price '!$AT$2:$AT$1266,0))</f>
        <v/>
      </c>
      <c r="DI1048">
        <f>INDEX('Data_Price '!AR$2:AR$1266,MATCH(Data!$DN1048,'Data_Price '!$AT$2:$AT$1266,0))</f>
        <v/>
      </c>
      <c r="DJ1048" s="138">
        <f>DA1048</f>
        <v/>
      </c>
      <c r="DK1048" s="138">
        <f>DE1048</f>
        <v/>
      </c>
      <c r="DL1048" s="138">
        <f>DI1048</f>
        <v/>
      </c>
      <c r="DM1048" s="303">
        <f>IF(LEFT(BT1048,1)=" ",RIGHT(BT1048,LEN(BT1048)-1),BT1048)</f>
        <v/>
      </c>
      <c r="DN1048" s="138">
        <f>_xlfn.CONCAT(BS1048,DM1048,BU1048,BV1048)</f>
        <v/>
      </c>
      <c r="DO1048" s="307" t="n"/>
    </row>
    <row r="1049" ht="15.6" customHeight="1" s="184">
      <c r="B1049" s="303">
        <f t="array" ref="B1049">IF(OR(ISERROR(K1049:P1049)),FALSE,TRUE)</f>
        <v/>
      </c>
      <c r="C1049" s="60">
        <f>OR(BR1049=Driver!$G$50,Data!BR328=Driver!$H$50)</f>
        <v/>
      </c>
      <c r="D1049" s="60">
        <f>OR(BV1049=Driver!$G$51,BV1049=Driver!$H$51)</f>
        <v/>
      </c>
      <c r="E1049" s="60">
        <f>AND(BX1049&gt;Driver!$F$54,BX1049&lt;Driver!$G$54)</f>
        <v/>
      </c>
      <c r="F1049" s="60">
        <f>CL1049&gt;Driver!$F$56</f>
        <v/>
      </c>
      <c r="G1049" s="60">
        <f>AND(CB1049&gt;Driver!$F$55,CB1049&lt;Driver!$G$55)</f>
        <v/>
      </c>
      <c r="H1049" s="60">
        <f>AND(B1049:G1049)</f>
        <v/>
      </c>
      <c r="I1049" s="60">
        <f>COUNTIFS($H$9:$H$1273,TRUE,$BT$9:$BT$1273,BT1049)</f>
        <v/>
      </c>
      <c r="J1049" s="60">
        <f t="array" ref="J1049">NOT(OR(($H$9:$H$1273=TRUE)*($I$9:$I$1273&gt;0)*($BT$9:$BT$1273=BT1049)*($K$9:$K$1273&gt;K1049)))</f>
        <v/>
      </c>
      <c r="K1049" s="108">
        <f>IFERROR(1-AVERAGE(X1049:Y1049),"")</f>
        <v/>
      </c>
      <c r="L1049" s="108">
        <f>1-X1049</f>
        <v/>
      </c>
      <c r="M1049" s="108">
        <f>1-Y1049</f>
        <v/>
      </c>
      <c r="N1049" s="108">
        <f>1-Z1049</f>
        <v/>
      </c>
      <c r="O1049" s="108">
        <f>1-AA1049</f>
        <v/>
      </c>
      <c r="P1049" s="108">
        <f>1-AB1049</f>
        <v/>
      </c>
      <c r="Q1049" s="108" t="n"/>
      <c r="R1049" s="108" t="n"/>
      <c r="S1049" s="108">
        <f>1-AE1049</f>
        <v/>
      </c>
      <c r="T1049" s="108">
        <f>1-AF1049</f>
        <v/>
      </c>
      <c r="U1049" s="108">
        <f>1-AG1049</f>
        <v/>
      </c>
      <c r="V1049" s="108">
        <f>1-AH1049</f>
        <v/>
      </c>
      <c r="W1049" s="108">
        <f>1-AI1049</f>
        <v/>
      </c>
      <c r="X1049" s="108">
        <f>ABS(AJ1049-AJ$1)</f>
        <v/>
      </c>
      <c r="Y1049" s="108">
        <f>AVERAGE(Z1049:AB1049)</f>
        <v/>
      </c>
      <c r="Z1049" s="108">
        <f>ABS(AL1049-AL$1)</f>
        <v/>
      </c>
      <c r="AA1049" s="108">
        <f>ABS(AM1049-AM$1)</f>
        <v/>
      </c>
      <c r="AB1049" s="108">
        <f>ABS(AN1049-AN$1)</f>
        <v/>
      </c>
      <c r="AC1049" s="108" t="n"/>
      <c r="AD1049" s="108" t="n"/>
      <c r="AE1049" s="108">
        <f>ABS(AQ$1-AQ1049)</f>
        <v/>
      </c>
      <c r="AF1049" s="108">
        <f>ABS(AR$1-AR1049)</f>
        <v/>
      </c>
      <c r="AG1049" s="108">
        <f>ABS(AS$1-AS1049)</f>
        <v/>
      </c>
      <c r="AH1049" s="108">
        <f>ABS(AT$1-AT1049)</f>
        <v/>
      </c>
      <c r="AI1049" s="108">
        <f>ABS(AU$1-AU1049)</f>
        <v/>
      </c>
      <c r="AJ1049" s="108">
        <f>(AV1049-Driver!$K$179)/(Driver!$L$179-Driver!$K$179)</f>
        <v/>
      </c>
      <c r="AK1049" s="108">
        <f>(AW1049-Driver!$K$180)/(Driver!$L$180-Driver!$K$180)</f>
        <v/>
      </c>
      <c r="AL1049" s="108">
        <f>(AX1049-Driver!$K$181)/(Driver!$L$181-Driver!$K$181)</f>
        <v/>
      </c>
      <c r="AM1049" s="108">
        <f>(AY1049-Driver!$K$182)/(Driver!$L$182-Driver!$K$182)</f>
        <v/>
      </c>
      <c r="AN1049" s="108">
        <f>(AZ1049-Driver!$K$183)/(Driver!$L$183-Driver!$K$183)</f>
        <v/>
      </c>
      <c r="AO1049" s="108" t="n"/>
      <c r="AP1049" s="108" t="n"/>
      <c r="AQ1049" s="108">
        <f>(BC1049-Driver!$K$188)/(Driver!$L$188-Driver!$K$188)</f>
        <v/>
      </c>
      <c r="AR1049" s="108">
        <f>MIN((BD1049-Driver!$K$189)/(Driver!$L$189-Driver!$K$189),100%)</f>
        <v/>
      </c>
      <c r="AS1049" s="108">
        <f>(BE1049-Driver!$K$190)/(Driver!$L$190-Driver!$K$190)</f>
        <v/>
      </c>
      <c r="AT1049" s="108">
        <f>(BF1049-Driver!$K$191)/(Driver!$L$191-Driver!$K$191)</f>
        <v/>
      </c>
      <c r="AU1049" s="108">
        <f>(BG1049-Driver!$K$192)/(Driver!$L$192-Driver!$K$192)</f>
        <v/>
      </c>
      <c r="AV1049" s="105">
        <f>IFERROR(BM1049*BJ1049^1/4,"")</f>
        <v/>
      </c>
      <c r="AW1049" s="105">
        <f>IFERROR(SUM(AX1049:AZ1049),"")</f>
        <v/>
      </c>
      <c r="AX1049" s="105">
        <f>IFERROR(BH1049,"")</f>
        <v/>
      </c>
      <c r="AY1049" s="105">
        <f>IFERROR(Driver!$K$19/Data!BH1049/Data!BI1049*Data!BK1049*Data!BL1049,"")</f>
        <v/>
      </c>
      <c r="AZ1049" s="105">
        <f>IFERROR(BI1049*BN1049,"")</f>
        <v/>
      </c>
      <c r="BA1049" s="105" t="n"/>
      <c r="BB1049" s="105" t="n"/>
      <c r="BC1049" s="105">
        <f>IFERROR(BI1049*BN1049*BK1049/BJ1049^(1/2),"")</f>
        <v/>
      </c>
      <c r="BD1049" s="105">
        <f>IFERROR(BH1049*BM1049*BL1049/BJ1049/BK1049,"")</f>
        <v/>
      </c>
      <c r="BE1049" s="105">
        <f>IFERROR(MIN(BI1049/BQ1049/BP1049/BO1049/BH1049,$BE$1),"")</f>
        <v/>
      </c>
      <c r="BF1049" s="105">
        <f>IFERROR(BJ1049*BO1049*BP1049/BK1049,"")</f>
        <v/>
      </c>
      <c r="BG1049" s="105">
        <f>IFERROR(1/BM1049/BH1049*BQ1049,"")</f>
        <v/>
      </c>
      <c r="BH1049" s="102">
        <f>MAX((CE1049-Driver!$F$200)/(Driver!$G$200-Driver!$F$200)*$BI$1,1)</f>
        <v/>
      </c>
      <c r="BI1049" s="102">
        <f>MAX($BI$1*(BY1049-Driver!$F$201)/(Driver!$G$201-Driver!$F$201),1)</f>
        <v/>
      </c>
      <c r="BJ1049" s="102">
        <f>(CB1049-Driver!$F$206)/(Driver!$G$206-Driver!$F$206)*$BI$1</f>
        <v/>
      </c>
      <c r="BK1049" s="102">
        <f>(CD1049-Driver!$F$203)/(Driver!$G$203-Driver!$F$203)*$BI$1</f>
        <v/>
      </c>
      <c r="BL1049" s="102">
        <f>MAX((CR1049-Driver!$F$202)/(Driver!$G$202-Driver!$F$202)*$BI$1,1)</f>
        <v/>
      </c>
      <c r="BM1049" s="102">
        <f>MAX((CH1049-Driver!$F$204)/(Driver!$G$204-Driver!$F$204)*$BI$1,1)</f>
        <v/>
      </c>
      <c r="BN1049" s="102">
        <f>(CI1049-Driver!$F$205)/(Driver!$G$205-Driver!$F$205)*$BI$1</f>
        <v/>
      </c>
      <c r="BO1049" s="102">
        <f>(CK1049-Driver!$F$207)/(Driver!$G$207-Driver!$F$207)*$BI$1</f>
        <v/>
      </c>
      <c r="BP1049" s="102">
        <f>(CM1049-Driver!$F$208)/(Driver!$G$208-Driver!$F$208)*$BI$1</f>
        <v/>
      </c>
      <c r="BQ1049" s="102">
        <f>(CL1049-Driver!$F$209)/(Driver!$G$209-Driver!$F$209)*$BI$1</f>
        <v/>
      </c>
      <c r="BR1049" s="40" t="inlineStr">
        <is>
          <t>21/22</t>
        </is>
      </c>
      <c r="BS1049" s="10" t="inlineStr">
        <is>
          <t xml:space="preserve"> Blizzard</t>
        </is>
      </c>
      <c r="BT1049" s="11" t="inlineStr">
        <is>
          <t>Zero G 95</t>
        </is>
      </c>
      <c r="BU1049" s="13" t="n">
        <v>164</v>
      </c>
      <c r="BV1049" s="11" t="inlineStr">
        <is>
          <t xml:space="preserve"> Unisex</t>
        </is>
      </c>
      <c r="BW1049" s="13" t="n">
        <v>164</v>
      </c>
      <c r="BX1049" s="13" t="n">
        <v>161.7</v>
      </c>
      <c r="BY1049" s="13" t="n">
        <v>115</v>
      </c>
      <c r="BZ1049" s="13" t="n">
        <v>135</v>
      </c>
      <c r="CA1049" s="13" t="n">
        <v>124</v>
      </c>
      <c r="CB1049" s="13" t="n">
        <v>93</v>
      </c>
      <c r="CC1049" s="13" t="n">
        <v>108</v>
      </c>
      <c r="CD1049" s="13" t="n">
        <v>19.5</v>
      </c>
      <c r="CE1049" s="13" t="n">
        <v>1113</v>
      </c>
      <c r="CF1049" s="13" t="n">
        <v>1.47</v>
      </c>
      <c r="CG1049" s="13" t="n">
        <v>1639</v>
      </c>
      <c r="CH1049" s="13" t="n">
        <v>186</v>
      </c>
      <c r="CI1049" s="13" t="n">
        <v>62</v>
      </c>
      <c r="CJ1049" s="13" t="n">
        <v>58</v>
      </c>
      <c r="CK1049" s="13" t="n">
        <v>267</v>
      </c>
      <c r="CL1049" s="13" t="n">
        <v>11</v>
      </c>
      <c r="CM1049" s="13" t="n">
        <v>201</v>
      </c>
      <c r="CN1049" s="13" t="n">
        <v>0.196</v>
      </c>
      <c r="CO1049" s="13" t="n">
        <v>142</v>
      </c>
      <c r="CP1049" s="13" t="n">
        <v>120</v>
      </c>
      <c r="CQ1049" s="13" t="n">
        <v>125</v>
      </c>
      <c r="CR1049" s="13" t="n">
        <v>3</v>
      </c>
      <c r="CS1049" s="13" t="n">
        <v>10</v>
      </c>
      <c r="CT1049" s="11" t="inlineStr">
        <is>
          <t xml:space="preserve"> Touring</t>
        </is>
      </c>
      <c r="CU1049" s="11" t="inlineStr">
        <is>
          <t xml:space="preserve"> Ultralight Touring</t>
        </is>
      </c>
      <c r="CV1049" s="13" t="n"/>
      <c r="CW1049" s="13" t="n"/>
      <c r="CX1049">
        <f>INDEX('Data_Price '!AG$2:AG$1266,MATCH(Data!$DN1049,'Data_Price '!$AT$2:$AT$1266,0))</f>
        <v/>
      </c>
      <c r="CY1049">
        <f>INDEX('Data_Price '!AH$2:AH$1266,MATCH(Data!$DN1049,'Data_Price '!$AT$2:$AT$1266,0))</f>
        <v/>
      </c>
      <c r="CZ1049">
        <f>INDEX('Data_Price '!AI$2:AI$1266,MATCH(Data!$DN1049,'Data_Price '!$AT$2:$AT$1266,0))</f>
        <v/>
      </c>
      <c r="DA1049">
        <f>INDEX('Data_Price '!AJ$2:AJ$1266,MATCH(Data!$DN1049,'Data_Price '!$AT$2:$AT$1266,0))</f>
        <v/>
      </c>
      <c r="DB1049">
        <f>INDEX('Data_Price '!AK$2:AK$1266,MATCH(Data!$DN1049,'Data_Price '!$AT$2:$AT$1266,0))</f>
        <v/>
      </c>
      <c r="DC1049">
        <f>INDEX('Data_Price '!AL$2:AL$1266,MATCH(Data!$DN1049,'Data_Price '!$AT$2:$AT$1266,0))</f>
        <v/>
      </c>
      <c r="DD1049">
        <f>INDEX('Data_Price '!AM$2:AM$1266,MATCH(Data!$DN1049,'Data_Price '!$AT$2:$AT$1266,0))</f>
        <v/>
      </c>
      <c r="DE1049">
        <f>INDEX('Data_Price '!AN$2:AN$1266,MATCH(Data!$DN1049,'Data_Price '!$AT$2:$AT$1266,0))</f>
        <v/>
      </c>
      <c r="DF1049">
        <f>INDEX('Data_Price '!AO$2:AO$1266,MATCH(Data!$DN1049,'Data_Price '!$AT$2:$AT$1266,0))</f>
        <v/>
      </c>
      <c r="DG1049">
        <f>INDEX('Data_Price '!AP$2:AP$1266,MATCH(Data!$DN1049,'Data_Price '!$AT$2:$AT$1266,0))</f>
        <v/>
      </c>
      <c r="DH1049">
        <f>INDEX('Data_Price '!AQ$2:AQ$1266,MATCH(Data!$DN1049,'Data_Price '!$AT$2:$AT$1266,0))</f>
        <v/>
      </c>
      <c r="DI1049">
        <f>INDEX('Data_Price '!AR$2:AR$1266,MATCH(Data!$DN1049,'Data_Price '!$AT$2:$AT$1266,0))</f>
        <v/>
      </c>
      <c r="DJ1049" s="138">
        <f>DA1049</f>
        <v/>
      </c>
      <c r="DK1049" s="138">
        <f>DE1049</f>
        <v/>
      </c>
      <c r="DL1049" s="138">
        <f>DI1049</f>
        <v/>
      </c>
      <c r="DM1049" s="303">
        <f>IF(LEFT(BT1049,1)=" ",RIGHT(BT1049,LEN(BT1049)-1),BT1049)</f>
        <v/>
      </c>
      <c r="DN1049" s="138">
        <f>_xlfn.CONCAT(BS1049,DM1049,BU1049,BV1049)</f>
        <v/>
      </c>
      <c r="DO1049" s="307" t="inlineStr">
        <is>
          <t>https://images.evo.com/imgp/250/197482/830329/blizzard-zero-g-95-skis-2022-.jpg</t>
        </is>
      </c>
    </row>
    <row r="1050" ht="15.6" customHeight="1" s="184">
      <c r="B1050" s="303">
        <f t="array" ref="B1050">IF(OR(ISERROR(K1050:P1050)),FALSE,TRUE)</f>
        <v/>
      </c>
      <c r="C1050" s="60">
        <f>OR(BR1050=Driver!$G$50,Data!BR349=Driver!$H$50)</f>
        <v/>
      </c>
      <c r="D1050" s="60">
        <f>OR(BV1050=Driver!$G$51,BV1050=Driver!$H$51)</f>
        <v/>
      </c>
      <c r="E1050" s="60">
        <f>AND(BX1050&gt;Driver!$F$54,BX1050&lt;Driver!$G$54)</f>
        <v/>
      </c>
      <c r="F1050" s="60">
        <f>CL1050&gt;Driver!$F$56</f>
        <v/>
      </c>
      <c r="G1050" s="60">
        <f>AND(CB1050&gt;Driver!$F$55,CB1050&lt;Driver!$G$55)</f>
        <v/>
      </c>
      <c r="H1050" s="60">
        <f>AND(B1050:G1050)</f>
        <v/>
      </c>
      <c r="I1050" s="60">
        <f>COUNTIFS($H$9:$H$1273,TRUE,$BT$9:$BT$1273,BT1050)</f>
        <v/>
      </c>
      <c r="J1050" s="60">
        <f t="array" ref="J1050">NOT(OR(($H$9:$H$1273=TRUE)*($I$9:$I$1273&gt;0)*($BT$9:$BT$1273=BT1050)*($K$9:$K$1273&gt;K1050)))</f>
        <v/>
      </c>
      <c r="K1050" s="108">
        <f>IFERROR(1-AVERAGE(X1050:Y1050),"")</f>
        <v/>
      </c>
      <c r="L1050" s="108">
        <f>1-X1050</f>
        <v/>
      </c>
      <c r="M1050" s="108">
        <f>1-Y1050</f>
        <v/>
      </c>
      <c r="N1050" s="108">
        <f>1-Z1050</f>
        <v/>
      </c>
      <c r="O1050" s="108">
        <f>1-AA1050</f>
        <v/>
      </c>
      <c r="P1050" s="108">
        <f>1-AB1050</f>
        <v/>
      </c>
      <c r="Q1050" s="108" t="n"/>
      <c r="R1050" s="108" t="n"/>
      <c r="S1050" s="108">
        <f>1-AE1050</f>
        <v/>
      </c>
      <c r="T1050" s="108">
        <f>1-AF1050</f>
        <v/>
      </c>
      <c r="U1050" s="108">
        <f>1-AG1050</f>
        <v/>
      </c>
      <c r="V1050" s="108">
        <f>1-AH1050</f>
        <v/>
      </c>
      <c r="W1050" s="108">
        <f>1-AI1050</f>
        <v/>
      </c>
      <c r="X1050" s="108">
        <f>ABS(AJ1050-AJ$1)</f>
        <v/>
      </c>
      <c r="Y1050" s="108">
        <f>AVERAGE(Z1050:AB1050)</f>
        <v/>
      </c>
      <c r="Z1050" s="108">
        <f>ABS(AL1050-AL$1)</f>
        <v/>
      </c>
      <c r="AA1050" s="108">
        <f>ABS(AM1050-AM$1)</f>
        <v/>
      </c>
      <c r="AB1050" s="108">
        <f>ABS(AN1050-AN$1)</f>
        <v/>
      </c>
      <c r="AC1050" s="108" t="n"/>
      <c r="AD1050" s="108" t="n"/>
      <c r="AE1050" s="108">
        <f>ABS(AQ$1-AQ1050)</f>
        <v/>
      </c>
      <c r="AF1050" s="108">
        <f>ABS(AR$1-AR1050)</f>
        <v/>
      </c>
      <c r="AG1050" s="108">
        <f>ABS(AS$1-AS1050)</f>
        <v/>
      </c>
      <c r="AH1050" s="108">
        <f>ABS(AT$1-AT1050)</f>
        <v/>
      </c>
      <c r="AI1050" s="108">
        <f>ABS(AU$1-AU1050)</f>
        <v/>
      </c>
      <c r="AJ1050" s="108">
        <f>(AV1050-Driver!$K$179)/(Driver!$L$179-Driver!$K$179)</f>
        <v/>
      </c>
      <c r="AK1050" s="108">
        <f>(AW1050-Driver!$K$180)/(Driver!$L$180-Driver!$K$180)</f>
        <v/>
      </c>
      <c r="AL1050" s="108">
        <f>(AX1050-Driver!$K$181)/(Driver!$L$181-Driver!$K$181)</f>
        <v/>
      </c>
      <c r="AM1050" s="108">
        <f>(AY1050-Driver!$K$182)/(Driver!$L$182-Driver!$K$182)</f>
        <v/>
      </c>
      <c r="AN1050" s="108">
        <f>(AZ1050-Driver!$K$183)/(Driver!$L$183-Driver!$K$183)</f>
        <v/>
      </c>
      <c r="AO1050" s="108" t="n"/>
      <c r="AP1050" s="108" t="n"/>
      <c r="AQ1050" s="108">
        <f>(BC1050-Driver!$K$188)/(Driver!$L$188-Driver!$K$188)</f>
        <v/>
      </c>
      <c r="AR1050" s="108">
        <f>MIN((BD1050-Driver!$K$189)/(Driver!$L$189-Driver!$K$189),100%)</f>
        <v/>
      </c>
      <c r="AS1050" s="108">
        <f>(BE1050-Driver!$K$190)/(Driver!$L$190-Driver!$K$190)</f>
        <v/>
      </c>
      <c r="AT1050" s="108">
        <f>(BF1050-Driver!$K$191)/(Driver!$L$191-Driver!$K$191)</f>
        <v/>
      </c>
      <c r="AU1050" s="108">
        <f>(BG1050-Driver!$K$192)/(Driver!$L$192-Driver!$K$192)</f>
        <v/>
      </c>
      <c r="AV1050" s="105">
        <f>IFERROR(BM1050*BJ1050^1/4,"")</f>
        <v/>
      </c>
      <c r="AW1050" s="105">
        <f>IFERROR(SUM(AX1050:AZ1050),"")</f>
        <v/>
      </c>
      <c r="AX1050" s="105">
        <f>IFERROR(BH1050,"")</f>
        <v/>
      </c>
      <c r="AY1050" s="105">
        <f>IFERROR(Driver!$K$19/Data!BH1050/Data!BI1050*Data!BK1050*Data!BL1050,"")</f>
        <v/>
      </c>
      <c r="AZ1050" s="105">
        <f>IFERROR(BI1050*BN1050,"")</f>
        <v/>
      </c>
      <c r="BA1050" s="105" t="n"/>
      <c r="BB1050" s="105" t="n"/>
      <c r="BC1050" s="105">
        <f>IFERROR(BI1050*BN1050*BK1050/BJ1050^(1/2),"")</f>
        <v/>
      </c>
      <c r="BD1050" s="105">
        <f>IFERROR(BH1050*BM1050*BL1050/BJ1050/BK1050,"")</f>
        <v/>
      </c>
      <c r="BE1050" s="105">
        <f>IFERROR(MIN(BI1050/BQ1050/BP1050/BO1050/BH1050,$BE$1),"")</f>
        <v/>
      </c>
      <c r="BF1050" s="105">
        <f>IFERROR(BJ1050*BO1050*BP1050/BK1050,"")</f>
        <v/>
      </c>
      <c r="BG1050" s="105">
        <f>IFERROR(1/BM1050/BH1050*BQ1050,"")</f>
        <v/>
      </c>
      <c r="BH1050" s="102">
        <f>MAX((CE1050-Driver!$F$200)/(Driver!$G$200-Driver!$F$200)*$BI$1,1)</f>
        <v/>
      </c>
      <c r="BI1050" s="102">
        <f>MAX($BI$1*(BY1050-Driver!$F$201)/(Driver!$G$201-Driver!$F$201),1)</f>
        <v/>
      </c>
      <c r="BJ1050" s="102">
        <f>(CB1050-Driver!$F$206)/(Driver!$G$206-Driver!$F$206)*$BI$1</f>
        <v/>
      </c>
      <c r="BK1050" s="102">
        <f>(CD1050-Driver!$F$203)/(Driver!$G$203-Driver!$F$203)*$BI$1</f>
        <v/>
      </c>
      <c r="BL1050" s="102">
        <f>MAX((CR1050-Driver!$F$202)/(Driver!$G$202-Driver!$F$202)*$BI$1,1)</f>
        <v/>
      </c>
      <c r="BM1050" s="102">
        <f>MAX((CH1050-Driver!$F$204)/(Driver!$G$204-Driver!$F$204)*$BI$1,1)</f>
        <v/>
      </c>
      <c r="BN1050" s="102">
        <f>(CI1050-Driver!$F$205)/(Driver!$G$205-Driver!$F$205)*$BI$1</f>
        <v/>
      </c>
      <c r="BO1050" s="102">
        <f>(CK1050-Driver!$F$207)/(Driver!$G$207-Driver!$F$207)*$BI$1</f>
        <v/>
      </c>
      <c r="BP1050" s="102">
        <f>(CM1050-Driver!$F$208)/(Driver!$G$208-Driver!$F$208)*$BI$1</f>
        <v/>
      </c>
      <c r="BQ1050" s="102">
        <f>(CL1050-Driver!$F$209)/(Driver!$G$209-Driver!$F$209)*$BI$1</f>
        <v/>
      </c>
      <c r="BR1050" s="40" t="inlineStr">
        <is>
          <t>21/22</t>
        </is>
      </c>
      <c r="BS1050" s="10" t="inlineStr">
        <is>
          <t xml:space="preserve"> DPS</t>
        </is>
      </c>
      <c r="BT1050" s="11" t="inlineStr">
        <is>
          <t>Pagoda Piste 100 C2</t>
        </is>
      </c>
      <c r="BU1050" s="13" t="n">
        <v>179</v>
      </c>
      <c r="BV1050" s="11" t="inlineStr">
        <is>
          <t xml:space="preserve"> Unisex</t>
        </is>
      </c>
      <c r="BW1050" s="13" t="n">
        <v>179</v>
      </c>
      <c r="BX1050" s="13" t="n">
        <v>177.7</v>
      </c>
      <c r="BY1050" s="13" t="n">
        <v>132</v>
      </c>
      <c r="BZ1050" s="13" t="n">
        <v>142</v>
      </c>
      <c r="CA1050" s="13" t="n">
        <v>132</v>
      </c>
      <c r="CB1050" s="13" t="n">
        <v>100</v>
      </c>
      <c r="CC1050" s="13" t="n">
        <v>115</v>
      </c>
      <c r="CD1050" s="13" t="n">
        <v>19.6</v>
      </c>
      <c r="CE1050" s="13" t="n">
        <v>1975</v>
      </c>
      <c r="CF1050" s="13" t="n">
        <v>0.99</v>
      </c>
      <c r="CG1050" s="13" t="n">
        <v>1953</v>
      </c>
      <c r="CH1050" s="13" t="n">
        <v>251</v>
      </c>
      <c r="CI1050" s="13" t="n">
        <v>143</v>
      </c>
      <c r="CJ1050" s="13" t="n">
        <v>47</v>
      </c>
      <c r="CK1050" s="13" t="n">
        <v>267</v>
      </c>
      <c r="CL1050" s="13" t="n">
        <v>18</v>
      </c>
      <c r="CM1050" s="13" t="n">
        <v>190</v>
      </c>
      <c r="CN1050" s="13" t="n">
        <v>0.387</v>
      </c>
      <c r="CO1050" s="13" t="n">
        <v>189</v>
      </c>
      <c r="CP1050" s="13" t="n">
        <v>173</v>
      </c>
      <c r="CQ1050" s="13" t="n">
        <v>78</v>
      </c>
      <c r="CR1050" s="13" t="n">
        <v>7</v>
      </c>
      <c r="CS1050" s="13" t="n">
        <v>11.3</v>
      </c>
      <c r="CT1050" s="11" t="inlineStr">
        <is>
          <t xml:space="preserve"> Resort Freeride</t>
        </is>
      </c>
      <c r="CU1050" s="13" t="n"/>
      <c r="CV1050" s="13" t="n"/>
      <c r="CW1050" s="13" t="n"/>
      <c r="CX1050">
        <f>INDEX('Data_Price '!AG$2:AG$1266,MATCH(Data!$DN1050,'Data_Price '!$AT$2:$AT$1266,0))</f>
        <v/>
      </c>
      <c r="CY1050">
        <f>INDEX('Data_Price '!AH$2:AH$1266,MATCH(Data!$DN1050,'Data_Price '!$AT$2:$AT$1266,0))</f>
        <v/>
      </c>
      <c r="CZ1050">
        <f>INDEX('Data_Price '!AI$2:AI$1266,MATCH(Data!$DN1050,'Data_Price '!$AT$2:$AT$1266,0))</f>
        <v/>
      </c>
      <c r="DA1050">
        <f>INDEX('Data_Price '!AJ$2:AJ$1266,MATCH(Data!$DN1050,'Data_Price '!$AT$2:$AT$1266,0))</f>
        <v/>
      </c>
      <c r="DB1050">
        <f>INDEX('Data_Price '!AK$2:AK$1266,MATCH(Data!$DN1050,'Data_Price '!$AT$2:$AT$1266,0))</f>
        <v/>
      </c>
      <c r="DC1050">
        <f>INDEX('Data_Price '!AL$2:AL$1266,MATCH(Data!$DN1050,'Data_Price '!$AT$2:$AT$1266,0))</f>
        <v/>
      </c>
      <c r="DD1050">
        <f>INDEX('Data_Price '!AM$2:AM$1266,MATCH(Data!$DN1050,'Data_Price '!$AT$2:$AT$1266,0))</f>
        <v/>
      </c>
      <c r="DE1050">
        <f>INDEX('Data_Price '!AN$2:AN$1266,MATCH(Data!$DN1050,'Data_Price '!$AT$2:$AT$1266,0))</f>
        <v/>
      </c>
      <c r="DF1050">
        <f>INDEX('Data_Price '!AO$2:AO$1266,MATCH(Data!$DN1050,'Data_Price '!$AT$2:$AT$1266,0))</f>
        <v/>
      </c>
      <c r="DG1050">
        <f>INDEX('Data_Price '!AP$2:AP$1266,MATCH(Data!$DN1050,'Data_Price '!$AT$2:$AT$1266,0))</f>
        <v/>
      </c>
      <c r="DH1050">
        <f>INDEX('Data_Price '!AQ$2:AQ$1266,MATCH(Data!$DN1050,'Data_Price '!$AT$2:$AT$1266,0))</f>
        <v/>
      </c>
      <c r="DI1050">
        <f>INDEX('Data_Price '!AR$2:AR$1266,MATCH(Data!$DN1050,'Data_Price '!$AT$2:$AT$1266,0))</f>
        <v/>
      </c>
      <c r="DJ1050" s="138">
        <f>DA1050</f>
        <v/>
      </c>
      <c r="DK1050" s="138">
        <f>DE1050</f>
        <v/>
      </c>
      <c r="DL1050" s="138">
        <f>DI1050</f>
        <v/>
      </c>
      <c r="DM1050" s="303">
        <f>IF(LEFT(BT1050,1)=" ",RIGHT(BT1050,LEN(BT1050)-1),BT1050)</f>
        <v/>
      </c>
      <c r="DN1050" s="138">
        <f>_xlfn.CONCAT(BS1050,DM1050,BU1050,BV1050)</f>
        <v/>
      </c>
      <c r="DO1050" s="307" t="n"/>
    </row>
    <row r="1051" ht="15.6" customHeight="1" s="184">
      <c r="B1051" s="303">
        <f t="array" ref="B1051">IF(OR(ISERROR(K1051:P1051)),FALSE,TRUE)</f>
        <v/>
      </c>
      <c r="C1051" s="60">
        <f>OR(BR1051=Driver!$G$50,Data!BR737=Driver!$H$50)</f>
        <v/>
      </c>
      <c r="D1051" s="60">
        <f>OR(BV1051=Driver!$G$51,BV1051=Driver!$H$51)</f>
        <v/>
      </c>
      <c r="E1051" s="60">
        <f>AND(BX1051&gt;Driver!$F$54,BX1051&lt;Driver!$G$54)</f>
        <v/>
      </c>
      <c r="F1051" s="60">
        <f>CL1051&gt;Driver!$F$56</f>
        <v/>
      </c>
      <c r="G1051" s="60">
        <f>AND(CB1051&gt;Driver!$F$55,CB1051&lt;Driver!$G$55)</f>
        <v/>
      </c>
      <c r="H1051" s="60">
        <f>AND(B1051:G1051)</f>
        <v/>
      </c>
      <c r="I1051" s="60">
        <f>COUNTIFS($H$9:$H$1273,TRUE,$BT$9:$BT$1273,BT1051)</f>
        <v/>
      </c>
      <c r="J1051" s="60">
        <f t="array" ref="J1051">NOT(OR(($H$9:$H$1273=TRUE)*($I$9:$I$1273&gt;0)*($BT$9:$BT$1273=BT1051)*($K$9:$K$1273&gt;K1051)))</f>
        <v/>
      </c>
      <c r="K1051" s="108">
        <f>IFERROR(1-AVERAGE(X1051:Y1051),"")</f>
        <v/>
      </c>
      <c r="L1051" s="108">
        <f>1-X1051</f>
        <v/>
      </c>
      <c r="M1051" s="108">
        <f>1-Y1051</f>
        <v/>
      </c>
      <c r="N1051" s="108">
        <f>1-Z1051</f>
        <v/>
      </c>
      <c r="O1051" s="108">
        <f>1-AA1051</f>
        <v/>
      </c>
      <c r="P1051" s="108">
        <f>1-AB1051</f>
        <v/>
      </c>
      <c r="Q1051" s="108" t="n"/>
      <c r="R1051" s="108" t="n"/>
      <c r="S1051" s="108">
        <f>1-AE1051</f>
        <v/>
      </c>
      <c r="T1051" s="108">
        <f>1-AF1051</f>
        <v/>
      </c>
      <c r="U1051" s="108">
        <f>1-AG1051</f>
        <v/>
      </c>
      <c r="V1051" s="108">
        <f>1-AH1051</f>
        <v/>
      </c>
      <c r="W1051" s="108">
        <f>1-AI1051</f>
        <v/>
      </c>
      <c r="X1051" s="108">
        <f>ABS(AJ1051-AJ$1)</f>
        <v/>
      </c>
      <c r="Y1051" s="108">
        <f>AVERAGE(Z1051:AB1051)</f>
        <v/>
      </c>
      <c r="Z1051" s="108">
        <f>ABS(AL1051-AL$1)</f>
        <v/>
      </c>
      <c r="AA1051" s="108">
        <f>ABS(AM1051-AM$1)</f>
        <v/>
      </c>
      <c r="AB1051" s="108">
        <f>ABS(AN1051-AN$1)</f>
        <v/>
      </c>
      <c r="AC1051" s="108" t="n"/>
      <c r="AD1051" s="108" t="n"/>
      <c r="AE1051" s="108">
        <f>ABS(AQ$1-AQ1051)</f>
        <v/>
      </c>
      <c r="AF1051" s="108">
        <f>ABS(AR$1-AR1051)</f>
        <v/>
      </c>
      <c r="AG1051" s="108">
        <f>ABS(AS$1-AS1051)</f>
        <v/>
      </c>
      <c r="AH1051" s="108">
        <f>ABS(AT$1-AT1051)</f>
        <v/>
      </c>
      <c r="AI1051" s="108">
        <f>ABS(AU$1-AU1051)</f>
        <v/>
      </c>
      <c r="AJ1051" s="108">
        <f>(AV1051-Driver!$K$179)/(Driver!$L$179-Driver!$K$179)</f>
        <v/>
      </c>
      <c r="AK1051" s="108">
        <f>(AW1051-Driver!$K$180)/(Driver!$L$180-Driver!$K$180)</f>
        <v/>
      </c>
      <c r="AL1051" s="108">
        <f>(AX1051-Driver!$K$181)/(Driver!$L$181-Driver!$K$181)</f>
        <v/>
      </c>
      <c r="AM1051" s="108">
        <f>(AY1051-Driver!$K$182)/(Driver!$L$182-Driver!$K$182)</f>
        <v/>
      </c>
      <c r="AN1051" s="108">
        <f>(AZ1051-Driver!$K$183)/(Driver!$L$183-Driver!$K$183)</f>
        <v/>
      </c>
      <c r="AO1051" s="108" t="n"/>
      <c r="AP1051" s="108" t="n"/>
      <c r="AQ1051" s="108">
        <f>(BC1051-Driver!$K$188)/(Driver!$L$188-Driver!$K$188)</f>
        <v/>
      </c>
      <c r="AR1051" s="108">
        <f>MIN((BD1051-Driver!$K$189)/(Driver!$L$189-Driver!$K$189),100%)</f>
        <v/>
      </c>
      <c r="AS1051" s="108">
        <f>(BE1051-Driver!$K$190)/(Driver!$L$190-Driver!$K$190)</f>
        <v/>
      </c>
      <c r="AT1051" s="108">
        <f>(BF1051-Driver!$K$191)/(Driver!$L$191-Driver!$K$191)</f>
        <v/>
      </c>
      <c r="AU1051" s="108">
        <f>(BG1051-Driver!$K$192)/(Driver!$L$192-Driver!$K$192)</f>
        <v/>
      </c>
      <c r="AV1051" s="105">
        <f>IFERROR(BM1051*BJ1051^1/4,"")</f>
        <v/>
      </c>
      <c r="AW1051" s="105">
        <f>IFERROR(SUM(AX1051:AZ1051),"")</f>
        <v/>
      </c>
      <c r="AX1051" s="105">
        <f>IFERROR(BH1051,"")</f>
        <v/>
      </c>
      <c r="AY1051" s="105">
        <f>IFERROR(Driver!$K$19/Data!BH1051/Data!BI1051*Data!BK1051*Data!BL1051,"")</f>
        <v/>
      </c>
      <c r="AZ1051" s="105">
        <f>IFERROR(BI1051*BN1051,"")</f>
        <v/>
      </c>
      <c r="BA1051" s="105" t="n"/>
      <c r="BB1051" s="105" t="n"/>
      <c r="BC1051" s="105">
        <f>IFERROR(BI1051*BN1051*BK1051/BJ1051^(1/2),"")</f>
        <v/>
      </c>
      <c r="BD1051" s="105">
        <f>IFERROR(BH1051*BM1051*BL1051/BJ1051/BK1051,"")</f>
        <v/>
      </c>
      <c r="BE1051" s="105">
        <f>IFERROR(MIN(BI1051/BQ1051/BP1051/BO1051/BH1051,$BE$1),"")</f>
        <v/>
      </c>
      <c r="BF1051" s="105">
        <f>IFERROR(BJ1051*BO1051*BP1051/BK1051,"")</f>
        <v/>
      </c>
      <c r="BG1051" s="105">
        <f>IFERROR(1/BM1051/BH1051*BQ1051,"")</f>
        <v/>
      </c>
      <c r="BH1051" s="102">
        <f>MAX((CE1051-Driver!$F$200)/(Driver!$G$200-Driver!$F$200)*$BI$1,1)</f>
        <v/>
      </c>
      <c r="BI1051" s="102">
        <f>MAX($BI$1*(BY1051-Driver!$F$201)/(Driver!$G$201-Driver!$F$201),1)</f>
        <v/>
      </c>
      <c r="BJ1051" s="102">
        <f>(CB1051-Driver!$F$206)/(Driver!$G$206-Driver!$F$206)*$BI$1</f>
        <v/>
      </c>
      <c r="BK1051" s="102">
        <f>(CD1051-Driver!$F$203)/(Driver!$G$203-Driver!$F$203)*$BI$1</f>
        <v/>
      </c>
      <c r="BL1051" s="102">
        <f>MAX((CR1051-Driver!$F$202)/(Driver!$G$202-Driver!$F$202)*$BI$1,1)</f>
        <v/>
      </c>
      <c r="BM1051" s="102">
        <f>MAX((CH1051-Driver!$F$204)/(Driver!$G$204-Driver!$F$204)*$BI$1,1)</f>
        <v/>
      </c>
      <c r="BN1051" s="102">
        <f>(CI1051-Driver!$F$205)/(Driver!$G$205-Driver!$F$205)*$BI$1</f>
        <v/>
      </c>
      <c r="BO1051" s="102">
        <f>(CK1051-Driver!$F$207)/(Driver!$G$207-Driver!$F$207)*$BI$1</f>
        <v/>
      </c>
      <c r="BP1051" s="102">
        <f>(CM1051-Driver!$F$208)/(Driver!$G$208-Driver!$F$208)*$BI$1</f>
        <v/>
      </c>
      <c r="BQ1051" s="102">
        <f>(CL1051-Driver!$F$209)/(Driver!$G$209-Driver!$F$209)*$BI$1</f>
        <v/>
      </c>
      <c r="BR1051" s="40" t="inlineStr">
        <is>
          <t>21/22</t>
        </is>
      </c>
      <c r="BS1051" s="10" t="inlineStr">
        <is>
          <t xml:space="preserve"> K2</t>
        </is>
      </c>
      <c r="BT1051" s="11" t="inlineStr">
        <is>
          <t>Mindbender 90 C Alliance</t>
        </is>
      </c>
      <c r="BU1051" s="13" t="n">
        <v>156</v>
      </c>
      <c r="BV1051" s="11" t="inlineStr">
        <is>
          <t xml:space="preserve"> Women's</t>
        </is>
      </c>
      <c r="BW1051" s="13" t="n">
        <v>156</v>
      </c>
      <c r="BX1051" s="13" t="n">
        <v>156.5</v>
      </c>
      <c r="BY1051" s="13" t="n">
        <v>120</v>
      </c>
      <c r="BZ1051" s="13" t="n">
        <v>130</v>
      </c>
      <c r="CA1051" s="13" t="n">
        <v>126</v>
      </c>
      <c r="CB1051" s="13" t="n">
        <v>89</v>
      </c>
      <c r="CC1051" s="13" t="n">
        <v>112</v>
      </c>
      <c r="CD1051" s="13" t="n">
        <v>13.2</v>
      </c>
      <c r="CE1051" s="13" t="n">
        <v>1409</v>
      </c>
      <c r="CF1051" s="13" t="n">
        <v>1.13</v>
      </c>
      <c r="CG1051" s="13" t="n">
        <v>1593</v>
      </c>
      <c r="CH1051" s="13" t="n">
        <v>118</v>
      </c>
      <c r="CI1051" s="13" t="n">
        <v>60</v>
      </c>
      <c r="CJ1051" s="13" t="n">
        <v>44</v>
      </c>
      <c r="CK1051" s="13" t="n">
        <v>221</v>
      </c>
      <c r="CL1051" s="13" t="n">
        <v>14</v>
      </c>
      <c r="CM1051" s="13" t="n">
        <v>144</v>
      </c>
      <c r="CN1051" s="13" t="n">
        <v>0.315</v>
      </c>
      <c r="CO1051" s="13" t="n">
        <v>145</v>
      </c>
      <c r="CP1051" s="13" t="n">
        <v>120</v>
      </c>
      <c r="CQ1051" s="13" t="n">
        <v>76</v>
      </c>
      <c r="CR1051" s="13" t="n">
        <v>8</v>
      </c>
      <c r="CS1051" s="13" t="n">
        <v>10.1</v>
      </c>
      <c r="CT1051" s="11" t="inlineStr">
        <is>
          <t xml:space="preserve"> Resort Freeride</t>
        </is>
      </c>
      <c r="CU1051" s="11" t="inlineStr">
        <is>
          <t xml:space="preserve"> Touring</t>
        </is>
      </c>
      <c r="CV1051" s="13" t="n"/>
      <c r="CW1051" s="13" t="n"/>
      <c r="CX1051">
        <f>INDEX('Data_Price '!AG$2:AG$1266,MATCH(Data!$DN1051,'Data_Price '!$AT$2:$AT$1266,0))</f>
        <v/>
      </c>
      <c r="CY1051">
        <f>INDEX('Data_Price '!AH$2:AH$1266,MATCH(Data!$DN1051,'Data_Price '!$AT$2:$AT$1266,0))</f>
        <v/>
      </c>
      <c r="CZ1051">
        <f>INDEX('Data_Price '!AI$2:AI$1266,MATCH(Data!$DN1051,'Data_Price '!$AT$2:$AT$1266,0))</f>
        <v/>
      </c>
      <c r="DA1051">
        <f>INDEX('Data_Price '!AJ$2:AJ$1266,MATCH(Data!$DN1051,'Data_Price '!$AT$2:$AT$1266,0))</f>
        <v/>
      </c>
      <c r="DB1051">
        <f>INDEX('Data_Price '!AK$2:AK$1266,MATCH(Data!$DN1051,'Data_Price '!$AT$2:$AT$1266,0))</f>
        <v/>
      </c>
      <c r="DC1051">
        <f>INDEX('Data_Price '!AL$2:AL$1266,MATCH(Data!$DN1051,'Data_Price '!$AT$2:$AT$1266,0))</f>
        <v/>
      </c>
      <c r="DD1051">
        <f>INDEX('Data_Price '!AM$2:AM$1266,MATCH(Data!$DN1051,'Data_Price '!$AT$2:$AT$1266,0))</f>
        <v/>
      </c>
      <c r="DE1051">
        <f>INDEX('Data_Price '!AN$2:AN$1266,MATCH(Data!$DN1051,'Data_Price '!$AT$2:$AT$1266,0))</f>
        <v/>
      </c>
      <c r="DF1051">
        <f>INDEX('Data_Price '!AO$2:AO$1266,MATCH(Data!$DN1051,'Data_Price '!$AT$2:$AT$1266,0))</f>
        <v/>
      </c>
      <c r="DG1051">
        <f>INDEX('Data_Price '!AP$2:AP$1266,MATCH(Data!$DN1051,'Data_Price '!$AT$2:$AT$1266,0))</f>
        <v/>
      </c>
      <c r="DH1051">
        <f>INDEX('Data_Price '!AQ$2:AQ$1266,MATCH(Data!$DN1051,'Data_Price '!$AT$2:$AT$1266,0))</f>
        <v/>
      </c>
      <c r="DI1051">
        <f>INDEX('Data_Price '!AR$2:AR$1266,MATCH(Data!$DN1051,'Data_Price '!$AT$2:$AT$1266,0))</f>
        <v/>
      </c>
      <c r="DJ1051" s="138">
        <f>DA1051</f>
        <v/>
      </c>
      <c r="DK1051" s="138">
        <f>DE1051</f>
        <v/>
      </c>
      <c r="DL1051" s="138">
        <f>DI1051</f>
        <v/>
      </c>
      <c r="DM1051" s="303">
        <f>IF(LEFT(BT1051,1)=" ",RIGHT(BT1051,LEN(BT1051)-1),BT1051)</f>
        <v/>
      </c>
      <c r="DN1051" s="138">
        <f>_xlfn.CONCAT(BS1051,DM1051,BU1051,BV1051)</f>
        <v/>
      </c>
      <c r="DO1051" s="307" t="n"/>
    </row>
    <row r="1052" ht="15.6" customHeight="1" s="184">
      <c r="B1052" s="303">
        <f t="array" ref="B1052">IF(OR(ISERROR(K1052:P1052)),FALSE,TRUE)</f>
        <v/>
      </c>
      <c r="C1052" s="60">
        <f>OR(BR1052=Driver!$G$50,Data!BR125=Driver!$H$50)</f>
        <v/>
      </c>
      <c r="D1052" s="60">
        <f>OR(BV1052=Driver!$G$51,BV1052=Driver!$H$51)</f>
        <v/>
      </c>
      <c r="E1052" s="60">
        <f>AND(BX1052&gt;Driver!$F$54,BX1052&lt;Driver!$G$54)</f>
        <v/>
      </c>
      <c r="F1052" s="60">
        <f>CL1052&gt;Driver!$F$56</f>
        <v/>
      </c>
      <c r="G1052" s="60">
        <f>AND(CB1052&gt;Driver!$F$55,CB1052&lt;Driver!$G$55)</f>
        <v/>
      </c>
      <c r="H1052" s="60">
        <f>AND(B1052:G1052)</f>
        <v/>
      </c>
      <c r="I1052" s="60">
        <f>COUNTIFS($H$9:$H$1273,TRUE,$BT$9:$BT$1273,BT1052)</f>
        <v/>
      </c>
      <c r="J1052" s="60">
        <f t="array" ref="J1052">NOT(OR(($H$9:$H$1273=TRUE)*($I$9:$I$1273&gt;0)*($BT$9:$BT$1273=BT1052)*($K$9:$K$1273&gt;K1052)))</f>
        <v/>
      </c>
      <c r="K1052" s="108">
        <f>IFERROR(1-AVERAGE(X1052:Y1052),"")</f>
        <v/>
      </c>
      <c r="L1052" s="108">
        <f>1-X1052</f>
        <v/>
      </c>
      <c r="M1052" s="108">
        <f>1-Y1052</f>
        <v/>
      </c>
      <c r="N1052" s="108">
        <f>1-Z1052</f>
        <v/>
      </c>
      <c r="O1052" s="108">
        <f>1-AA1052</f>
        <v/>
      </c>
      <c r="P1052" s="108">
        <f>1-AB1052</f>
        <v/>
      </c>
      <c r="Q1052" s="108" t="n"/>
      <c r="R1052" s="108" t="n"/>
      <c r="S1052" s="108">
        <f>1-AE1052</f>
        <v/>
      </c>
      <c r="T1052" s="108">
        <f>1-AF1052</f>
        <v/>
      </c>
      <c r="U1052" s="108">
        <f>1-AG1052</f>
        <v/>
      </c>
      <c r="V1052" s="108">
        <f>1-AH1052</f>
        <v/>
      </c>
      <c r="W1052" s="108">
        <f>1-AI1052</f>
        <v/>
      </c>
      <c r="X1052" s="108">
        <f>ABS(AJ1052-AJ$1)</f>
        <v/>
      </c>
      <c r="Y1052" s="108">
        <f>AVERAGE(Z1052:AB1052)</f>
        <v/>
      </c>
      <c r="Z1052" s="108">
        <f>ABS(AL1052-AL$1)</f>
        <v/>
      </c>
      <c r="AA1052" s="108">
        <f>ABS(AM1052-AM$1)</f>
        <v/>
      </c>
      <c r="AB1052" s="108">
        <f>ABS(AN1052-AN$1)</f>
        <v/>
      </c>
      <c r="AC1052" s="108" t="n"/>
      <c r="AD1052" s="108" t="n"/>
      <c r="AE1052" s="108">
        <f>ABS(AQ$1-AQ1052)</f>
        <v/>
      </c>
      <c r="AF1052" s="108">
        <f>ABS(AR$1-AR1052)</f>
        <v/>
      </c>
      <c r="AG1052" s="108">
        <f>ABS(AS$1-AS1052)</f>
        <v/>
      </c>
      <c r="AH1052" s="108">
        <f>ABS(AT$1-AT1052)</f>
        <v/>
      </c>
      <c r="AI1052" s="108">
        <f>ABS(AU$1-AU1052)</f>
        <v/>
      </c>
      <c r="AJ1052" s="108">
        <f>(AV1052-Driver!$K$179)/(Driver!$L$179-Driver!$K$179)</f>
        <v/>
      </c>
      <c r="AK1052" s="108">
        <f>(AW1052-Driver!$K$180)/(Driver!$L$180-Driver!$K$180)</f>
        <v/>
      </c>
      <c r="AL1052" s="108">
        <f>(AX1052-Driver!$K$181)/(Driver!$L$181-Driver!$K$181)</f>
        <v/>
      </c>
      <c r="AM1052" s="108">
        <f>(AY1052-Driver!$K$182)/(Driver!$L$182-Driver!$K$182)</f>
        <v/>
      </c>
      <c r="AN1052" s="108">
        <f>(AZ1052-Driver!$K$183)/(Driver!$L$183-Driver!$K$183)</f>
        <v/>
      </c>
      <c r="AO1052" s="108" t="n"/>
      <c r="AP1052" s="108" t="n"/>
      <c r="AQ1052" s="108">
        <f>(BC1052-Driver!$K$188)/(Driver!$L$188-Driver!$K$188)</f>
        <v/>
      </c>
      <c r="AR1052" s="108">
        <f>MIN((BD1052-Driver!$K$189)/(Driver!$L$189-Driver!$K$189),100%)</f>
        <v/>
      </c>
      <c r="AS1052" s="108">
        <f>(BE1052-Driver!$K$190)/(Driver!$L$190-Driver!$K$190)</f>
        <v/>
      </c>
      <c r="AT1052" s="108">
        <f>(BF1052-Driver!$K$191)/(Driver!$L$191-Driver!$K$191)</f>
        <v/>
      </c>
      <c r="AU1052" s="108">
        <f>(BG1052-Driver!$K$192)/(Driver!$L$192-Driver!$K$192)</f>
        <v/>
      </c>
      <c r="AV1052" s="105">
        <f>IFERROR(BM1052*BJ1052^1/4,"")</f>
        <v/>
      </c>
      <c r="AW1052" s="105">
        <f>IFERROR(SUM(AX1052:AZ1052),"")</f>
        <v/>
      </c>
      <c r="AX1052" s="105">
        <f>IFERROR(BH1052,"")</f>
        <v/>
      </c>
      <c r="AY1052" s="105">
        <f>IFERROR(Driver!$K$19/Data!BH1052/Data!BI1052*Data!BK1052*Data!BL1052,"")</f>
        <v/>
      </c>
      <c r="AZ1052" s="105">
        <f>IFERROR(BI1052*BN1052,"")</f>
        <v/>
      </c>
      <c r="BA1052" s="105" t="n"/>
      <c r="BB1052" s="105" t="n"/>
      <c r="BC1052" s="105">
        <f>IFERROR(BI1052*BN1052*BK1052/BJ1052^(1/2),"")</f>
        <v/>
      </c>
      <c r="BD1052" s="105">
        <f>IFERROR(BH1052*BM1052*BL1052/BJ1052/BK1052,"")</f>
        <v/>
      </c>
      <c r="BE1052" s="105">
        <f>IFERROR(MIN(BI1052/BQ1052/BP1052/BO1052/BH1052,$BE$1),"")</f>
        <v/>
      </c>
      <c r="BF1052" s="105">
        <f>IFERROR(BJ1052*BO1052*BP1052/BK1052,"")</f>
        <v/>
      </c>
      <c r="BG1052" s="105">
        <f>IFERROR(1/BM1052/BH1052*BQ1052,"")</f>
        <v/>
      </c>
      <c r="BH1052" s="102">
        <f>MAX((CE1052-Driver!$F$200)/(Driver!$G$200-Driver!$F$200)*$BI$1,1)</f>
        <v/>
      </c>
      <c r="BI1052" s="102">
        <f>MAX($BI$1*(BY1052-Driver!$F$201)/(Driver!$G$201-Driver!$F$201),1)</f>
        <v/>
      </c>
      <c r="BJ1052" s="102">
        <f>(CB1052-Driver!$F$206)/(Driver!$G$206-Driver!$F$206)*$BI$1</f>
        <v/>
      </c>
      <c r="BK1052" s="102">
        <f>(CD1052-Driver!$F$203)/(Driver!$G$203-Driver!$F$203)*$BI$1</f>
        <v/>
      </c>
      <c r="BL1052" s="102">
        <f>MAX((CR1052-Driver!$F$202)/(Driver!$G$202-Driver!$F$202)*$BI$1,1)</f>
        <v/>
      </c>
      <c r="BM1052" s="102">
        <f>MAX((CH1052-Driver!$F$204)/(Driver!$G$204-Driver!$F$204)*$BI$1,1)</f>
        <v/>
      </c>
      <c r="BN1052" s="102">
        <f>(CI1052-Driver!$F$205)/(Driver!$G$205-Driver!$F$205)*$BI$1</f>
        <v/>
      </c>
      <c r="BO1052" s="102">
        <f>(CK1052-Driver!$F$207)/(Driver!$G$207-Driver!$F$207)*$BI$1</f>
        <v/>
      </c>
      <c r="BP1052" s="102">
        <f>(CM1052-Driver!$F$208)/(Driver!$G$208-Driver!$F$208)*$BI$1</f>
        <v/>
      </c>
      <c r="BQ1052" s="102">
        <f>(CL1052-Driver!$F$209)/(Driver!$G$209-Driver!$F$209)*$BI$1</f>
        <v/>
      </c>
      <c r="BR1052" s="40" t="inlineStr">
        <is>
          <t>21/22</t>
        </is>
      </c>
      <c r="BS1052" s="10" t="inlineStr">
        <is>
          <t xml:space="preserve"> Atomic</t>
        </is>
      </c>
      <c r="BT1052" s="11" t="inlineStr">
        <is>
          <t>Backland 86 SL</t>
        </is>
      </c>
      <c r="BU1052" s="13" t="n">
        <v>165</v>
      </c>
      <c r="BV1052" s="11" t="inlineStr">
        <is>
          <t xml:space="preserve"> Unisex</t>
        </is>
      </c>
      <c r="BW1052" s="13" t="n">
        <v>165</v>
      </c>
      <c r="BX1052" s="13" t="n">
        <v>164.1</v>
      </c>
      <c r="BY1052" s="13" t="n">
        <v>126</v>
      </c>
      <c r="BZ1052" s="13" t="n">
        <v>135</v>
      </c>
      <c r="CA1052" s="13" t="n">
        <v>115</v>
      </c>
      <c r="CB1052" s="13" t="n">
        <v>85</v>
      </c>
      <c r="CC1052" s="13" t="n">
        <v>104</v>
      </c>
      <c r="CD1052" s="13" t="n">
        <v>16.6</v>
      </c>
      <c r="CE1052" s="13" t="n">
        <v>1180</v>
      </c>
      <c r="CF1052" s="13" t="n">
        <v>1.32</v>
      </c>
      <c r="CG1052" s="13" t="n">
        <v>1557</v>
      </c>
      <c r="CH1052" s="13" t="n">
        <v>163</v>
      </c>
      <c r="CI1052" s="13" t="n">
        <v>68</v>
      </c>
      <c r="CJ1052" s="13" t="n">
        <v>52</v>
      </c>
      <c r="CK1052" s="13" t="n">
        <v>245</v>
      </c>
      <c r="CL1052" s="13" t="n">
        <v>10</v>
      </c>
      <c r="CM1052" s="13" t="n">
        <v>140</v>
      </c>
      <c r="CN1052" s="13" t="n">
        <v>0.2</v>
      </c>
      <c r="CO1052" s="13" t="n">
        <v>172</v>
      </c>
      <c r="CP1052" s="13" t="n">
        <v>118</v>
      </c>
      <c r="CQ1052" s="13" t="n">
        <v>74</v>
      </c>
      <c r="CR1052" s="13" t="n">
        <v>7</v>
      </c>
      <c r="CS1052" s="13" t="n">
        <v>12.5</v>
      </c>
      <c r="CT1052" s="11" t="inlineStr">
        <is>
          <t xml:space="preserve"> Touring</t>
        </is>
      </c>
      <c r="CU1052" s="11" t="inlineStr">
        <is>
          <t xml:space="preserve"> Ultralight Touring</t>
        </is>
      </c>
      <c r="CV1052" s="13" t="n"/>
      <c r="CW1052" s="13" t="n"/>
      <c r="CX1052">
        <f>INDEX('Data_Price '!AG$2:AG$1266,MATCH(Data!$DN1052,'Data_Price '!$AT$2:$AT$1266,0))</f>
        <v/>
      </c>
      <c r="CY1052">
        <f>INDEX('Data_Price '!AH$2:AH$1266,MATCH(Data!$DN1052,'Data_Price '!$AT$2:$AT$1266,0))</f>
        <v/>
      </c>
      <c r="CZ1052">
        <f>INDEX('Data_Price '!AI$2:AI$1266,MATCH(Data!$DN1052,'Data_Price '!$AT$2:$AT$1266,0))</f>
        <v/>
      </c>
      <c r="DA1052">
        <f>INDEX('Data_Price '!AJ$2:AJ$1266,MATCH(Data!$DN1052,'Data_Price '!$AT$2:$AT$1266,0))</f>
        <v/>
      </c>
      <c r="DB1052">
        <f>INDEX('Data_Price '!AK$2:AK$1266,MATCH(Data!$DN1052,'Data_Price '!$AT$2:$AT$1266,0))</f>
        <v/>
      </c>
      <c r="DC1052">
        <f>INDEX('Data_Price '!AL$2:AL$1266,MATCH(Data!$DN1052,'Data_Price '!$AT$2:$AT$1266,0))</f>
        <v/>
      </c>
      <c r="DD1052">
        <f>INDEX('Data_Price '!AM$2:AM$1266,MATCH(Data!$DN1052,'Data_Price '!$AT$2:$AT$1266,0))</f>
        <v/>
      </c>
      <c r="DE1052">
        <f>INDEX('Data_Price '!AN$2:AN$1266,MATCH(Data!$DN1052,'Data_Price '!$AT$2:$AT$1266,0))</f>
        <v/>
      </c>
      <c r="DF1052">
        <f>INDEX('Data_Price '!AO$2:AO$1266,MATCH(Data!$DN1052,'Data_Price '!$AT$2:$AT$1266,0))</f>
        <v/>
      </c>
      <c r="DG1052">
        <f>INDEX('Data_Price '!AP$2:AP$1266,MATCH(Data!$DN1052,'Data_Price '!$AT$2:$AT$1266,0))</f>
        <v/>
      </c>
      <c r="DH1052">
        <f>INDEX('Data_Price '!AQ$2:AQ$1266,MATCH(Data!$DN1052,'Data_Price '!$AT$2:$AT$1266,0))</f>
        <v/>
      </c>
      <c r="DI1052">
        <f>INDEX('Data_Price '!AR$2:AR$1266,MATCH(Data!$DN1052,'Data_Price '!$AT$2:$AT$1266,0))</f>
        <v/>
      </c>
      <c r="DJ1052" s="138">
        <f>DA1052</f>
        <v/>
      </c>
      <c r="DK1052" s="138">
        <f>DE1052</f>
        <v/>
      </c>
      <c r="DL1052" s="138">
        <f>DI1052</f>
        <v/>
      </c>
      <c r="DM1052" s="303">
        <f>IF(LEFT(BT1052,1)=" ",RIGHT(BT1052,LEN(BT1052)-1),BT1052)</f>
        <v/>
      </c>
      <c r="DN1052" s="138">
        <f>_xlfn.CONCAT(BS1052,DM1052,BU1052,BV1052)</f>
        <v/>
      </c>
      <c r="DO1052" s="307" t="n"/>
    </row>
    <row r="1053" ht="15.6" customHeight="1" s="184">
      <c r="B1053" s="303">
        <f t="array" ref="B1053">IF(OR(ISERROR(K1053:P1053)),FALSE,TRUE)</f>
        <v/>
      </c>
      <c r="C1053" s="60">
        <f>OR(BR1053=Driver!$G$50,Data!BR834=Driver!$H$50)</f>
        <v/>
      </c>
      <c r="D1053" s="60">
        <f>OR(BV1053=Driver!$G$51,BV1053=Driver!$H$51)</f>
        <v/>
      </c>
      <c r="E1053" s="60">
        <f>AND(BX1053&gt;Driver!$F$54,BX1053&lt;Driver!$G$54)</f>
        <v/>
      </c>
      <c r="F1053" s="60">
        <f>CL1053&gt;Driver!$F$56</f>
        <v/>
      </c>
      <c r="G1053" s="60">
        <f>AND(CB1053&gt;Driver!$F$55,CB1053&lt;Driver!$G$55)</f>
        <v/>
      </c>
      <c r="H1053" s="60">
        <f>AND(B1053:G1053)</f>
        <v/>
      </c>
      <c r="I1053" s="60">
        <f>COUNTIFS($H$9:$H$1273,TRUE,$BT$9:$BT$1273,BT1053)</f>
        <v/>
      </c>
      <c r="J1053" s="60">
        <f t="array" ref="J1053">NOT(OR(($H$9:$H$1273=TRUE)*($I$9:$I$1273&gt;0)*($BT$9:$BT$1273=BT1053)*($K$9:$K$1273&gt;K1053)))</f>
        <v/>
      </c>
      <c r="K1053" s="108">
        <f>IFERROR(1-AVERAGE(X1053:Y1053),"")</f>
        <v/>
      </c>
      <c r="L1053" s="108">
        <f>1-X1053</f>
        <v/>
      </c>
      <c r="M1053" s="108">
        <f>1-Y1053</f>
        <v/>
      </c>
      <c r="N1053" s="108">
        <f>1-Z1053</f>
        <v/>
      </c>
      <c r="O1053" s="108">
        <f>1-AA1053</f>
        <v/>
      </c>
      <c r="P1053" s="108">
        <f>1-AB1053</f>
        <v/>
      </c>
      <c r="Q1053" s="108" t="n"/>
      <c r="R1053" s="108" t="n"/>
      <c r="S1053" s="108">
        <f>1-AE1053</f>
        <v/>
      </c>
      <c r="T1053" s="108">
        <f>1-AF1053</f>
        <v/>
      </c>
      <c r="U1053" s="108">
        <f>1-AG1053</f>
        <v/>
      </c>
      <c r="V1053" s="108">
        <f>1-AH1053</f>
        <v/>
      </c>
      <c r="W1053" s="108">
        <f>1-AI1053</f>
        <v/>
      </c>
      <c r="X1053" s="108">
        <f>ABS(AJ1053-AJ$1)</f>
        <v/>
      </c>
      <c r="Y1053" s="108">
        <f>AVERAGE(Z1053:AB1053)</f>
        <v/>
      </c>
      <c r="Z1053" s="108">
        <f>ABS(AL1053-AL$1)</f>
        <v/>
      </c>
      <c r="AA1053" s="108">
        <f>ABS(AM1053-AM$1)</f>
        <v/>
      </c>
      <c r="AB1053" s="108">
        <f>ABS(AN1053-AN$1)</f>
        <v/>
      </c>
      <c r="AC1053" s="108" t="n"/>
      <c r="AD1053" s="108" t="n"/>
      <c r="AE1053" s="108">
        <f>ABS(AQ$1-AQ1053)</f>
        <v/>
      </c>
      <c r="AF1053" s="108">
        <f>ABS(AR$1-AR1053)</f>
        <v/>
      </c>
      <c r="AG1053" s="108">
        <f>ABS(AS$1-AS1053)</f>
        <v/>
      </c>
      <c r="AH1053" s="108">
        <f>ABS(AT$1-AT1053)</f>
        <v/>
      </c>
      <c r="AI1053" s="108">
        <f>ABS(AU$1-AU1053)</f>
        <v/>
      </c>
      <c r="AJ1053" s="108">
        <f>(AV1053-Driver!$K$179)/(Driver!$L$179-Driver!$K$179)</f>
        <v/>
      </c>
      <c r="AK1053" s="108">
        <f>(AW1053-Driver!$K$180)/(Driver!$L$180-Driver!$K$180)</f>
        <v/>
      </c>
      <c r="AL1053" s="108">
        <f>(AX1053-Driver!$K$181)/(Driver!$L$181-Driver!$K$181)</f>
        <v/>
      </c>
      <c r="AM1053" s="108">
        <f>(AY1053-Driver!$K$182)/(Driver!$L$182-Driver!$K$182)</f>
        <v/>
      </c>
      <c r="AN1053" s="108">
        <f>(AZ1053-Driver!$K$183)/(Driver!$L$183-Driver!$K$183)</f>
        <v/>
      </c>
      <c r="AO1053" s="108" t="n"/>
      <c r="AP1053" s="108" t="n"/>
      <c r="AQ1053" s="108">
        <f>(BC1053-Driver!$K$188)/(Driver!$L$188-Driver!$K$188)</f>
        <v/>
      </c>
      <c r="AR1053" s="108">
        <f>MIN((BD1053-Driver!$K$189)/(Driver!$L$189-Driver!$K$189),100%)</f>
        <v/>
      </c>
      <c r="AS1053" s="108">
        <f>(BE1053-Driver!$K$190)/(Driver!$L$190-Driver!$K$190)</f>
        <v/>
      </c>
      <c r="AT1053" s="108">
        <f>(BF1053-Driver!$K$191)/(Driver!$L$191-Driver!$K$191)</f>
        <v/>
      </c>
      <c r="AU1053" s="108">
        <f>(BG1053-Driver!$K$192)/(Driver!$L$192-Driver!$K$192)</f>
        <v/>
      </c>
      <c r="AV1053" s="105">
        <f>IFERROR(BM1053*BJ1053^1/4,"")</f>
        <v/>
      </c>
      <c r="AW1053" s="105">
        <f>IFERROR(SUM(AX1053:AZ1053),"")</f>
        <v/>
      </c>
      <c r="AX1053" s="105">
        <f>IFERROR(BH1053,"")</f>
        <v/>
      </c>
      <c r="AY1053" s="105">
        <f>IFERROR(Driver!$K$19/Data!BH1053/Data!BI1053*Data!BK1053*Data!BL1053,"")</f>
        <v/>
      </c>
      <c r="AZ1053" s="105">
        <f>IFERROR(BI1053*BN1053,"")</f>
        <v/>
      </c>
      <c r="BA1053" s="105" t="n"/>
      <c r="BB1053" s="105" t="n"/>
      <c r="BC1053" s="105">
        <f>IFERROR(BI1053*BN1053*BK1053/BJ1053^(1/2),"")</f>
        <v/>
      </c>
      <c r="BD1053" s="105">
        <f>IFERROR(BH1053*BM1053*BL1053/BJ1053/BK1053,"")</f>
        <v/>
      </c>
      <c r="BE1053" s="105">
        <f>IFERROR(MIN(BI1053/BQ1053/BP1053/BO1053/BH1053,$BE$1),"")</f>
        <v/>
      </c>
      <c r="BF1053" s="105">
        <f>IFERROR(BJ1053*BO1053*BP1053/BK1053,"")</f>
        <v/>
      </c>
      <c r="BG1053" s="105">
        <f>IFERROR(1/BM1053/BH1053*BQ1053,"")</f>
        <v/>
      </c>
      <c r="BH1053" s="102">
        <f>MAX((CE1053-Driver!$F$200)/(Driver!$G$200-Driver!$F$200)*$BI$1,1)</f>
        <v/>
      </c>
      <c r="BI1053" s="102">
        <f>MAX($BI$1*(BY1053-Driver!$F$201)/(Driver!$G$201-Driver!$F$201),1)</f>
        <v/>
      </c>
      <c r="BJ1053" s="102">
        <f>(CB1053-Driver!$F$206)/(Driver!$G$206-Driver!$F$206)*$BI$1</f>
        <v/>
      </c>
      <c r="BK1053" s="102">
        <f>(CD1053-Driver!$F$203)/(Driver!$G$203-Driver!$F$203)*$BI$1</f>
        <v/>
      </c>
      <c r="BL1053" s="102">
        <f>MAX((CR1053-Driver!$F$202)/(Driver!$G$202-Driver!$F$202)*$BI$1,1)</f>
        <v/>
      </c>
      <c r="BM1053" s="102">
        <f>MAX((CH1053-Driver!$F$204)/(Driver!$G$204-Driver!$F$204)*$BI$1,1)</f>
        <v/>
      </c>
      <c r="BN1053" s="102">
        <f>(CI1053-Driver!$F$205)/(Driver!$G$205-Driver!$F$205)*$BI$1</f>
        <v/>
      </c>
      <c r="BO1053" s="102">
        <f>(CK1053-Driver!$F$207)/(Driver!$G$207-Driver!$F$207)*$BI$1</f>
        <v/>
      </c>
      <c r="BP1053" s="102">
        <f>(CM1053-Driver!$F$208)/(Driver!$G$208-Driver!$F$208)*$BI$1</f>
        <v/>
      </c>
      <c r="BQ1053" s="102">
        <f>(CL1053-Driver!$F$209)/(Driver!$G$209-Driver!$F$209)*$BI$1</f>
        <v/>
      </c>
      <c r="BR1053" s="40" t="inlineStr">
        <is>
          <t>21/22</t>
        </is>
      </c>
      <c r="BS1053" s="10" t="inlineStr">
        <is>
          <t xml:space="preserve"> Line</t>
        </is>
      </c>
      <c r="BT1053" s="11" t="inlineStr">
        <is>
          <t xml:space="preserve"> Honey Badger</t>
        </is>
      </c>
      <c r="BU1053" s="13" t="n">
        <v>155</v>
      </c>
      <c r="BV1053" s="11" t="inlineStr">
        <is>
          <t xml:space="preserve"> Unisex</t>
        </is>
      </c>
      <c r="BW1053" s="13" t="n">
        <v>155</v>
      </c>
      <c r="BX1053" s="13" t="n">
        <v>153.8</v>
      </c>
      <c r="BY1053" s="13" t="n">
        <v>92</v>
      </c>
      <c r="BZ1053" s="13" t="n">
        <v>129</v>
      </c>
      <c r="CA1053" s="13" t="n">
        <v>120</v>
      </c>
      <c r="CB1053" s="13" t="n">
        <v>91</v>
      </c>
      <c r="CC1053" s="13" t="n">
        <v>117</v>
      </c>
      <c r="CD1053" s="13" t="n">
        <v>14.5</v>
      </c>
      <c r="CE1053" s="13" t="n">
        <v>1516</v>
      </c>
      <c r="CF1053" s="13" t="n">
        <v>1.03</v>
      </c>
      <c r="CG1053" s="13" t="n">
        <v>1555</v>
      </c>
      <c r="CH1053" s="13" t="n">
        <v>143</v>
      </c>
      <c r="CI1053" s="13" t="n">
        <v>59</v>
      </c>
      <c r="CJ1053" s="13" t="n">
        <v>48</v>
      </c>
      <c r="CK1053" s="13" t="n">
        <v>281</v>
      </c>
      <c r="CL1053" s="13" t="n">
        <v>47</v>
      </c>
      <c r="CM1053" s="13" t="n">
        <v>342</v>
      </c>
      <c r="CN1053" s="13" t="n">
        <v>0.972</v>
      </c>
      <c r="CO1053" s="13" t="n">
        <v>128</v>
      </c>
      <c r="CP1053" s="13" t="n">
        <v>117</v>
      </c>
      <c r="CQ1053" s="13" t="n">
        <v>153</v>
      </c>
      <c r="CR1053" s="13" t="n">
        <v>3</v>
      </c>
      <c r="CS1053" s="13" t="n">
        <v>3.6</v>
      </c>
      <c r="CT1053" s="11" t="inlineStr">
        <is>
          <t xml:space="preserve"> Freeski</t>
        </is>
      </c>
      <c r="CU1053" s="13" t="n"/>
      <c r="CV1053" s="13" t="n"/>
      <c r="CW1053" s="13" t="n"/>
      <c r="CX1053">
        <f>INDEX('Data_Price '!AG$2:AG$1266,MATCH(Data!$DN1053,'Data_Price '!$AT$2:$AT$1266,0))</f>
        <v/>
      </c>
      <c r="CY1053">
        <f>INDEX('Data_Price '!AH$2:AH$1266,MATCH(Data!$DN1053,'Data_Price '!$AT$2:$AT$1266,0))</f>
        <v/>
      </c>
      <c r="CZ1053">
        <f>INDEX('Data_Price '!AI$2:AI$1266,MATCH(Data!$DN1053,'Data_Price '!$AT$2:$AT$1266,0))</f>
        <v/>
      </c>
      <c r="DA1053">
        <f>INDEX('Data_Price '!AJ$2:AJ$1266,MATCH(Data!$DN1053,'Data_Price '!$AT$2:$AT$1266,0))</f>
        <v/>
      </c>
      <c r="DB1053">
        <f>INDEX('Data_Price '!AK$2:AK$1266,MATCH(Data!$DN1053,'Data_Price '!$AT$2:$AT$1266,0))</f>
        <v/>
      </c>
      <c r="DC1053">
        <f>INDEX('Data_Price '!AL$2:AL$1266,MATCH(Data!$DN1053,'Data_Price '!$AT$2:$AT$1266,0))</f>
        <v/>
      </c>
      <c r="DD1053">
        <f>INDEX('Data_Price '!AM$2:AM$1266,MATCH(Data!$DN1053,'Data_Price '!$AT$2:$AT$1266,0))</f>
        <v/>
      </c>
      <c r="DE1053">
        <f>INDEX('Data_Price '!AN$2:AN$1266,MATCH(Data!$DN1053,'Data_Price '!$AT$2:$AT$1266,0))</f>
        <v/>
      </c>
      <c r="DF1053">
        <f>INDEX('Data_Price '!AO$2:AO$1266,MATCH(Data!$DN1053,'Data_Price '!$AT$2:$AT$1266,0))</f>
        <v/>
      </c>
      <c r="DG1053">
        <f>INDEX('Data_Price '!AP$2:AP$1266,MATCH(Data!$DN1053,'Data_Price '!$AT$2:$AT$1266,0))</f>
        <v/>
      </c>
      <c r="DH1053">
        <f>INDEX('Data_Price '!AQ$2:AQ$1266,MATCH(Data!$DN1053,'Data_Price '!$AT$2:$AT$1266,0))</f>
        <v/>
      </c>
      <c r="DI1053">
        <f>INDEX('Data_Price '!AR$2:AR$1266,MATCH(Data!$DN1053,'Data_Price '!$AT$2:$AT$1266,0))</f>
        <v/>
      </c>
      <c r="DJ1053" s="138">
        <f>DA1053</f>
        <v/>
      </c>
      <c r="DK1053" s="138">
        <f>DE1053</f>
        <v/>
      </c>
      <c r="DL1053" s="138">
        <f>DI1053</f>
        <v/>
      </c>
      <c r="DM1053" s="303">
        <f>IF(LEFT(BT1053,1)=" ",RIGHT(BT1053,LEN(BT1053)-1),BT1053)</f>
        <v/>
      </c>
      <c r="DN1053" s="138">
        <f>_xlfn.CONCAT(BS1053,DM1053,BU1053,BV1053)</f>
        <v/>
      </c>
      <c r="DO1053" s="307" t="inlineStr">
        <is>
          <t>https://images.evo.com/imgp/250/198441/817647/clone.jpg</t>
        </is>
      </c>
    </row>
    <row r="1054" ht="15.6" customHeight="1" s="184">
      <c r="B1054" s="303">
        <f t="array" ref="B1054">IF(OR(ISERROR(K1054:P1054)),FALSE,TRUE)</f>
        <v/>
      </c>
      <c r="C1054" s="60">
        <f>OR(BR1054=Driver!$G$50,Data!BR449=Driver!$H$50)</f>
        <v/>
      </c>
      <c r="D1054" s="60">
        <f>OR(BV1054=Driver!$G$51,BV1054=Driver!$H$51)</f>
        <v/>
      </c>
      <c r="E1054" s="60">
        <f>AND(BX1054&gt;Driver!$F$54,BX1054&lt;Driver!$G$54)</f>
        <v/>
      </c>
      <c r="F1054" s="60">
        <f>CL1054&gt;Driver!$F$56</f>
        <v/>
      </c>
      <c r="G1054" s="60">
        <f>AND(CB1054&gt;Driver!$F$55,CB1054&lt;Driver!$G$55)</f>
        <v/>
      </c>
      <c r="H1054" s="60">
        <f>AND(B1054:G1054)</f>
        <v/>
      </c>
      <c r="I1054" s="60">
        <f>COUNTIFS($H$9:$H$1273,TRUE,$BT$9:$BT$1273,BT1054)</f>
        <v/>
      </c>
      <c r="J1054" s="60">
        <f t="array" ref="J1054">NOT(OR(($H$9:$H$1273=TRUE)*($I$9:$I$1273&gt;0)*($BT$9:$BT$1273=BT1054)*($K$9:$K$1273&gt;K1054)))</f>
        <v/>
      </c>
      <c r="K1054" s="108">
        <f>IFERROR(1-AVERAGE(X1054:Y1054),"")</f>
        <v/>
      </c>
      <c r="L1054" s="108">
        <f>1-X1054</f>
        <v/>
      </c>
      <c r="M1054" s="108">
        <f>1-Y1054</f>
        <v/>
      </c>
      <c r="N1054" s="108">
        <f>1-Z1054</f>
        <v/>
      </c>
      <c r="O1054" s="108">
        <f>1-AA1054</f>
        <v/>
      </c>
      <c r="P1054" s="108">
        <f>1-AB1054</f>
        <v/>
      </c>
      <c r="Q1054" s="108" t="n"/>
      <c r="R1054" s="108" t="n"/>
      <c r="S1054" s="108">
        <f>1-AE1054</f>
        <v/>
      </c>
      <c r="T1054" s="108">
        <f>1-AF1054</f>
        <v/>
      </c>
      <c r="U1054" s="108">
        <f>1-AG1054</f>
        <v/>
      </c>
      <c r="V1054" s="108">
        <f>1-AH1054</f>
        <v/>
      </c>
      <c r="W1054" s="108">
        <f>1-AI1054</f>
        <v/>
      </c>
      <c r="X1054" s="108">
        <f>ABS(AJ1054-AJ$1)</f>
        <v/>
      </c>
      <c r="Y1054" s="108">
        <f>AVERAGE(Z1054:AB1054)</f>
        <v/>
      </c>
      <c r="Z1054" s="108">
        <f>ABS(AL1054-AL$1)</f>
        <v/>
      </c>
      <c r="AA1054" s="108">
        <f>ABS(AM1054-AM$1)</f>
        <v/>
      </c>
      <c r="AB1054" s="108">
        <f>ABS(AN1054-AN$1)</f>
        <v/>
      </c>
      <c r="AC1054" s="108" t="n"/>
      <c r="AD1054" s="108" t="n"/>
      <c r="AE1054" s="108">
        <f>ABS(AQ$1-AQ1054)</f>
        <v/>
      </c>
      <c r="AF1054" s="108">
        <f>ABS(AR$1-AR1054)</f>
        <v/>
      </c>
      <c r="AG1054" s="108">
        <f>ABS(AS$1-AS1054)</f>
        <v/>
      </c>
      <c r="AH1054" s="108">
        <f>ABS(AT$1-AT1054)</f>
        <v/>
      </c>
      <c r="AI1054" s="108">
        <f>ABS(AU$1-AU1054)</f>
        <v/>
      </c>
      <c r="AJ1054" s="108">
        <f>(AV1054-Driver!$K$179)/(Driver!$L$179-Driver!$K$179)</f>
        <v/>
      </c>
      <c r="AK1054" s="108">
        <f>(AW1054-Driver!$K$180)/(Driver!$L$180-Driver!$K$180)</f>
        <v/>
      </c>
      <c r="AL1054" s="108">
        <f>(AX1054-Driver!$K$181)/(Driver!$L$181-Driver!$K$181)</f>
        <v/>
      </c>
      <c r="AM1054" s="108">
        <f>(AY1054-Driver!$K$182)/(Driver!$L$182-Driver!$K$182)</f>
        <v/>
      </c>
      <c r="AN1054" s="108">
        <f>(AZ1054-Driver!$K$183)/(Driver!$L$183-Driver!$K$183)</f>
        <v/>
      </c>
      <c r="AO1054" s="108" t="n"/>
      <c r="AP1054" s="108" t="n"/>
      <c r="AQ1054" s="108">
        <f>(BC1054-Driver!$K$188)/(Driver!$L$188-Driver!$K$188)</f>
        <v/>
      </c>
      <c r="AR1054" s="108">
        <f>MIN((BD1054-Driver!$K$189)/(Driver!$L$189-Driver!$K$189),100%)</f>
        <v/>
      </c>
      <c r="AS1054" s="108">
        <f>(BE1054-Driver!$K$190)/(Driver!$L$190-Driver!$K$190)</f>
        <v/>
      </c>
      <c r="AT1054" s="108">
        <f>(BF1054-Driver!$K$191)/(Driver!$L$191-Driver!$K$191)</f>
        <v/>
      </c>
      <c r="AU1054" s="108">
        <f>(BG1054-Driver!$K$192)/(Driver!$L$192-Driver!$K$192)</f>
        <v/>
      </c>
      <c r="AV1054" s="105">
        <f>IFERROR(BM1054*BJ1054^1/4,"")</f>
        <v/>
      </c>
      <c r="AW1054" s="105">
        <f>IFERROR(SUM(AX1054:AZ1054),"")</f>
        <v/>
      </c>
      <c r="AX1054" s="105">
        <f>IFERROR(BH1054,"")</f>
        <v/>
      </c>
      <c r="AY1054" s="105">
        <f>IFERROR(Driver!$K$19/Data!BH1054/Data!BI1054*Data!BK1054*Data!BL1054,"")</f>
        <v/>
      </c>
      <c r="AZ1054" s="105">
        <f>IFERROR(BI1054*BN1054,"")</f>
        <v/>
      </c>
      <c r="BA1054" s="105" t="n"/>
      <c r="BB1054" s="105" t="n"/>
      <c r="BC1054" s="105">
        <f>IFERROR(BI1054*BN1054*BK1054/BJ1054^(1/2),"")</f>
        <v/>
      </c>
      <c r="BD1054" s="105">
        <f>IFERROR(BH1054*BM1054*BL1054/BJ1054/BK1054,"")</f>
        <v/>
      </c>
      <c r="BE1054" s="105">
        <f>IFERROR(MIN(BI1054/BQ1054/BP1054/BO1054/BH1054,$BE$1),"")</f>
        <v/>
      </c>
      <c r="BF1054" s="105">
        <f>IFERROR(BJ1054*BO1054*BP1054/BK1054,"")</f>
        <v/>
      </c>
      <c r="BG1054" s="105">
        <f>IFERROR(1/BM1054/BH1054*BQ1054,"")</f>
        <v/>
      </c>
      <c r="BH1054" s="102">
        <f>MAX((CE1054-Driver!$F$200)/(Driver!$G$200-Driver!$F$200)*$BI$1,1)</f>
        <v/>
      </c>
      <c r="BI1054" s="102">
        <f>MAX($BI$1*(BY1054-Driver!$F$201)/(Driver!$G$201-Driver!$F$201),1)</f>
        <v/>
      </c>
      <c r="BJ1054" s="102">
        <f>(CB1054-Driver!$F$206)/(Driver!$G$206-Driver!$F$206)*$BI$1</f>
        <v/>
      </c>
      <c r="BK1054" s="102">
        <f>(CD1054-Driver!$F$203)/(Driver!$G$203-Driver!$F$203)*$BI$1</f>
        <v/>
      </c>
      <c r="BL1054" s="102">
        <f>MAX((CR1054-Driver!$F$202)/(Driver!$G$202-Driver!$F$202)*$BI$1,1)</f>
        <v/>
      </c>
      <c r="BM1054" s="102">
        <f>MAX((CH1054-Driver!$F$204)/(Driver!$G$204-Driver!$F$204)*$BI$1,1)</f>
        <v/>
      </c>
      <c r="BN1054" s="102">
        <f>(CI1054-Driver!$F$205)/(Driver!$G$205-Driver!$F$205)*$BI$1</f>
        <v/>
      </c>
      <c r="BO1054" s="102">
        <f>(CK1054-Driver!$F$207)/(Driver!$G$207-Driver!$F$207)*$BI$1</f>
        <v/>
      </c>
      <c r="BP1054" s="102">
        <f>(CM1054-Driver!$F$208)/(Driver!$G$208-Driver!$F$208)*$BI$1</f>
        <v/>
      </c>
      <c r="BQ1054" s="102">
        <f>(CL1054-Driver!$F$209)/(Driver!$G$209-Driver!$F$209)*$BI$1</f>
        <v/>
      </c>
      <c r="BR1054" s="40" t="inlineStr">
        <is>
          <t>21/22</t>
        </is>
      </c>
      <c r="BS1054" s="10" t="inlineStr">
        <is>
          <t xml:space="preserve"> Elan</t>
        </is>
      </c>
      <c r="BT1054" s="11" t="inlineStr">
        <is>
          <t>Ripstick 106 Black Edition</t>
        </is>
      </c>
      <c r="BU1054" s="13" t="n">
        <v>188</v>
      </c>
      <c r="BV1054" s="11" t="inlineStr">
        <is>
          <t xml:space="preserve"> Unisex</t>
        </is>
      </c>
      <c r="BW1054" s="13" t="n">
        <v>188</v>
      </c>
      <c r="BX1054" s="13" t="n">
        <v>184.7</v>
      </c>
      <c r="BY1054" s="13" t="n">
        <v>129</v>
      </c>
      <c r="BZ1054" s="13" t="n">
        <v>149</v>
      </c>
      <c r="CA1054" s="13" t="n">
        <v>143</v>
      </c>
      <c r="CB1054" s="13" t="n">
        <v>104</v>
      </c>
      <c r="CC1054" s="13" t="n">
        <v>120</v>
      </c>
      <c r="CD1054" s="13" t="n">
        <v>20.3</v>
      </c>
      <c r="CE1054" s="13" t="n">
        <v>2041</v>
      </c>
      <c r="CF1054" s="13" t="n">
        <v>1.05</v>
      </c>
      <c r="CG1054" s="13" t="n">
        <v>2137</v>
      </c>
      <c r="CH1054" s="13" t="n">
        <v>290</v>
      </c>
      <c r="CI1054" s="13" t="n">
        <v>122</v>
      </c>
      <c r="CJ1054" s="13" t="n">
        <v>51</v>
      </c>
      <c r="CK1054" s="13" t="n">
        <v>301</v>
      </c>
      <c r="CL1054" s="13" t="n">
        <v>17</v>
      </c>
      <c r="CM1054" s="13" t="n">
        <v>253</v>
      </c>
      <c r="CN1054" s="13" t="n">
        <v>0.332</v>
      </c>
      <c r="CO1054" s="13" t="n">
        <v>185</v>
      </c>
      <c r="CP1054" s="13" t="n">
        <v>170</v>
      </c>
      <c r="CQ1054" s="13" t="n">
        <v>117</v>
      </c>
      <c r="CR1054" s="13" t="n">
        <v>3</v>
      </c>
      <c r="CS1054" s="13" t="n">
        <v>10</v>
      </c>
      <c r="CT1054" s="11" t="inlineStr">
        <is>
          <t xml:space="preserve"> Resort Freeride</t>
        </is>
      </c>
      <c r="CU1054" s="11" t="inlineStr">
        <is>
          <t xml:space="preserve"> Big Mountain</t>
        </is>
      </c>
      <c r="CV1054" s="13" t="n"/>
      <c r="CW1054" s="13" t="n"/>
      <c r="CX1054">
        <f>INDEX('Data_Price '!AG$2:AG$1266,MATCH(Data!$DN1054,'Data_Price '!$AT$2:$AT$1266,0))</f>
        <v/>
      </c>
      <c r="CY1054">
        <f>INDEX('Data_Price '!AH$2:AH$1266,MATCH(Data!$DN1054,'Data_Price '!$AT$2:$AT$1266,0))</f>
        <v/>
      </c>
      <c r="CZ1054">
        <f>INDEX('Data_Price '!AI$2:AI$1266,MATCH(Data!$DN1054,'Data_Price '!$AT$2:$AT$1266,0))</f>
        <v/>
      </c>
      <c r="DA1054">
        <f>INDEX('Data_Price '!AJ$2:AJ$1266,MATCH(Data!$DN1054,'Data_Price '!$AT$2:$AT$1266,0))</f>
        <v/>
      </c>
      <c r="DB1054">
        <f>INDEX('Data_Price '!AK$2:AK$1266,MATCH(Data!$DN1054,'Data_Price '!$AT$2:$AT$1266,0))</f>
        <v/>
      </c>
      <c r="DC1054">
        <f>INDEX('Data_Price '!AL$2:AL$1266,MATCH(Data!$DN1054,'Data_Price '!$AT$2:$AT$1266,0))</f>
        <v/>
      </c>
      <c r="DD1054">
        <f>INDEX('Data_Price '!AM$2:AM$1266,MATCH(Data!$DN1054,'Data_Price '!$AT$2:$AT$1266,0))</f>
        <v/>
      </c>
      <c r="DE1054">
        <f>INDEX('Data_Price '!AN$2:AN$1266,MATCH(Data!$DN1054,'Data_Price '!$AT$2:$AT$1266,0))</f>
        <v/>
      </c>
      <c r="DF1054">
        <f>INDEX('Data_Price '!AO$2:AO$1266,MATCH(Data!$DN1054,'Data_Price '!$AT$2:$AT$1266,0))</f>
        <v/>
      </c>
      <c r="DG1054">
        <f>INDEX('Data_Price '!AP$2:AP$1266,MATCH(Data!$DN1054,'Data_Price '!$AT$2:$AT$1266,0))</f>
        <v/>
      </c>
      <c r="DH1054">
        <f>INDEX('Data_Price '!AQ$2:AQ$1266,MATCH(Data!$DN1054,'Data_Price '!$AT$2:$AT$1266,0))</f>
        <v/>
      </c>
      <c r="DI1054">
        <f>INDEX('Data_Price '!AR$2:AR$1266,MATCH(Data!$DN1054,'Data_Price '!$AT$2:$AT$1266,0))</f>
        <v/>
      </c>
      <c r="DJ1054" s="138">
        <f>DA1054</f>
        <v/>
      </c>
      <c r="DK1054" s="138">
        <f>DE1054</f>
        <v/>
      </c>
      <c r="DL1054" s="138">
        <f>DI1054</f>
        <v/>
      </c>
      <c r="DM1054" s="303">
        <f>IF(LEFT(BT1054,1)=" ",RIGHT(BT1054,LEN(BT1054)-1),BT1054)</f>
        <v/>
      </c>
      <c r="DN1054" s="138">
        <f>_xlfn.CONCAT(BS1054,DM1054,BU1054,BV1054)</f>
        <v/>
      </c>
      <c r="DO1054" s="307" t="inlineStr">
        <is>
          <t>https://images.evo.com/imgp/250/198222/788813/clone.jpg</t>
        </is>
      </c>
    </row>
    <row r="1055" ht="15.6" customHeight="1" s="184">
      <c r="B1055" s="303">
        <f t="array" ref="B1055">IF(OR(ISERROR(K1055:P1055)),FALSE,TRUE)</f>
        <v/>
      </c>
      <c r="C1055" s="60">
        <f>OR(BR1055=Driver!$G$50,Data!BR1053=Driver!$H$50)</f>
        <v/>
      </c>
      <c r="D1055" s="60">
        <f>OR(BV1055=Driver!$G$51,BV1055=Driver!$H$51)</f>
        <v/>
      </c>
      <c r="E1055" s="60">
        <f>AND(BX1055&gt;Driver!$F$54,BX1055&lt;Driver!$G$54)</f>
        <v/>
      </c>
      <c r="F1055" s="60">
        <f>CL1055&gt;Driver!$F$56</f>
        <v/>
      </c>
      <c r="G1055" s="60">
        <f>AND(CB1055&gt;Driver!$F$55,CB1055&lt;Driver!$G$55)</f>
        <v/>
      </c>
      <c r="H1055" s="60">
        <f>AND(B1055:G1055)</f>
        <v/>
      </c>
      <c r="I1055" s="60">
        <f>COUNTIFS($H$9:$H$1273,TRUE,$BT$9:$BT$1273,BT1055)</f>
        <v/>
      </c>
      <c r="J1055" s="60">
        <f t="array" ref="J1055">NOT(OR(($H$9:$H$1273=TRUE)*($I$9:$I$1273&gt;0)*($BT$9:$BT$1273=BT1055)*($K$9:$K$1273&gt;K1055)))</f>
        <v/>
      </c>
      <c r="K1055" s="108">
        <f>IFERROR(1-AVERAGE(X1055:Y1055),"")</f>
        <v/>
      </c>
      <c r="L1055" s="108">
        <f>1-X1055</f>
        <v/>
      </c>
      <c r="M1055" s="108">
        <f>1-Y1055</f>
        <v/>
      </c>
      <c r="N1055" s="108">
        <f>1-Z1055</f>
        <v/>
      </c>
      <c r="O1055" s="108">
        <f>1-AA1055</f>
        <v/>
      </c>
      <c r="P1055" s="108">
        <f>1-AB1055</f>
        <v/>
      </c>
      <c r="Q1055" s="108" t="n"/>
      <c r="R1055" s="108" t="n"/>
      <c r="S1055" s="108">
        <f>1-AE1055</f>
        <v/>
      </c>
      <c r="T1055" s="108">
        <f>1-AF1055</f>
        <v/>
      </c>
      <c r="U1055" s="108">
        <f>1-AG1055</f>
        <v/>
      </c>
      <c r="V1055" s="108">
        <f>1-AH1055</f>
        <v/>
      </c>
      <c r="W1055" s="108">
        <f>1-AI1055</f>
        <v/>
      </c>
      <c r="X1055" s="108">
        <f>ABS(AJ1055-AJ$1)</f>
        <v/>
      </c>
      <c r="Y1055" s="108">
        <f>AVERAGE(Z1055:AB1055)</f>
        <v/>
      </c>
      <c r="Z1055" s="108">
        <f>ABS(AL1055-AL$1)</f>
        <v/>
      </c>
      <c r="AA1055" s="108">
        <f>ABS(AM1055-AM$1)</f>
        <v/>
      </c>
      <c r="AB1055" s="108">
        <f>ABS(AN1055-AN$1)</f>
        <v/>
      </c>
      <c r="AC1055" s="108" t="n"/>
      <c r="AD1055" s="108" t="n"/>
      <c r="AE1055" s="108">
        <f>ABS(AQ$1-AQ1055)</f>
        <v/>
      </c>
      <c r="AF1055" s="108">
        <f>ABS(AR$1-AR1055)</f>
        <v/>
      </c>
      <c r="AG1055" s="108">
        <f>ABS(AS$1-AS1055)</f>
        <v/>
      </c>
      <c r="AH1055" s="108">
        <f>ABS(AT$1-AT1055)</f>
        <v/>
      </c>
      <c r="AI1055" s="108">
        <f>ABS(AU$1-AU1055)</f>
        <v/>
      </c>
      <c r="AJ1055" s="108">
        <f>(AV1055-Driver!$K$179)/(Driver!$L$179-Driver!$K$179)</f>
        <v/>
      </c>
      <c r="AK1055" s="108">
        <f>(AW1055-Driver!$K$180)/(Driver!$L$180-Driver!$K$180)</f>
        <v/>
      </c>
      <c r="AL1055" s="108">
        <f>(AX1055-Driver!$K$181)/(Driver!$L$181-Driver!$K$181)</f>
        <v/>
      </c>
      <c r="AM1055" s="108">
        <f>(AY1055-Driver!$K$182)/(Driver!$L$182-Driver!$K$182)</f>
        <v/>
      </c>
      <c r="AN1055" s="108">
        <f>(AZ1055-Driver!$K$183)/(Driver!$L$183-Driver!$K$183)</f>
        <v/>
      </c>
      <c r="AO1055" s="108" t="n"/>
      <c r="AP1055" s="108" t="n"/>
      <c r="AQ1055" s="108">
        <f>(BC1055-Driver!$K$188)/(Driver!$L$188-Driver!$K$188)</f>
        <v/>
      </c>
      <c r="AR1055" s="108">
        <f>MIN((BD1055-Driver!$K$189)/(Driver!$L$189-Driver!$K$189),100%)</f>
        <v/>
      </c>
      <c r="AS1055" s="108">
        <f>(BE1055-Driver!$K$190)/(Driver!$L$190-Driver!$K$190)</f>
        <v/>
      </c>
      <c r="AT1055" s="108">
        <f>(BF1055-Driver!$K$191)/(Driver!$L$191-Driver!$K$191)</f>
        <v/>
      </c>
      <c r="AU1055" s="108">
        <f>(BG1055-Driver!$K$192)/(Driver!$L$192-Driver!$K$192)</f>
        <v/>
      </c>
      <c r="AV1055" s="105">
        <f>IFERROR(BM1055*BJ1055^1/4,"")</f>
        <v/>
      </c>
      <c r="AW1055" s="105">
        <f>IFERROR(SUM(AX1055:AZ1055),"")</f>
        <v/>
      </c>
      <c r="AX1055" s="105">
        <f>IFERROR(BH1055,"")</f>
        <v/>
      </c>
      <c r="AY1055" s="105">
        <f>IFERROR(Driver!$K$19/Data!BH1055/Data!BI1055*Data!BK1055*Data!BL1055,"")</f>
        <v/>
      </c>
      <c r="AZ1055" s="105">
        <f>IFERROR(BI1055*BN1055,"")</f>
        <v/>
      </c>
      <c r="BA1055" s="105" t="n"/>
      <c r="BB1055" s="105" t="n"/>
      <c r="BC1055" s="105">
        <f>IFERROR(BI1055*BN1055*BK1055/BJ1055^(1/2),"")</f>
        <v/>
      </c>
      <c r="BD1055" s="105">
        <f>IFERROR(BH1055*BM1055*BL1055/BJ1055/BK1055,"")</f>
        <v/>
      </c>
      <c r="BE1055" s="105">
        <f>IFERROR(MIN(BI1055/BQ1055/BP1055/BO1055/BH1055,$BE$1),"")</f>
        <v/>
      </c>
      <c r="BF1055" s="105">
        <f>IFERROR(BJ1055*BO1055*BP1055/BK1055,"")</f>
        <v/>
      </c>
      <c r="BG1055" s="105">
        <f>IFERROR(1/BM1055/BH1055*BQ1055,"")</f>
        <v/>
      </c>
      <c r="BH1055" s="102">
        <f>MAX((CE1055-Driver!$F$200)/(Driver!$G$200-Driver!$F$200)*$BI$1,1)</f>
        <v/>
      </c>
      <c r="BI1055" s="102">
        <f>MAX($BI$1*(BY1055-Driver!$F$201)/(Driver!$G$201-Driver!$F$201),1)</f>
        <v/>
      </c>
      <c r="BJ1055" s="102">
        <f>(CB1055-Driver!$F$206)/(Driver!$G$206-Driver!$F$206)*$BI$1</f>
        <v/>
      </c>
      <c r="BK1055" s="102">
        <f>(CD1055-Driver!$F$203)/(Driver!$G$203-Driver!$F$203)*$BI$1</f>
        <v/>
      </c>
      <c r="BL1055" s="102">
        <f>MAX((CR1055-Driver!$F$202)/(Driver!$G$202-Driver!$F$202)*$BI$1,1)</f>
        <v/>
      </c>
      <c r="BM1055" s="102">
        <f>MAX((CH1055-Driver!$F$204)/(Driver!$G$204-Driver!$F$204)*$BI$1,1)</f>
        <v/>
      </c>
      <c r="BN1055" s="102">
        <f>(CI1055-Driver!$F$205)/(Driver!$G$205-Driver!$F$205)*$BI$1</f>
        <v/>
      </c>
      <c r="BO1055" s="102">
        <f>(CK1055-Driver!$F$207)/(Driver!$G$207-Driver!$F$207)*$BI$1</f>
        <v/>
      </c>
      <c r="BP1055" s="102">
        <f>(CM1055-Driver!$F$208)/(Driver!$G$208-Driver!$F$208)*$BI$1</f>
        <v/>
      </c>
      <c r="BQ1055" s="102">
        <f>(CL1055-Driver!$F$209)/(Driver!$G$209-Driver!$F$209)*$BI$1</f>
        <v/>
      </c>
      <c r="BR1055" s="40" t="inlineStr">
        <is>
          <t>21/22</t>
        </is>
      </c>
      <c r="BS1055" s="10" t="inlineStr">
        <is>
          <t xml:space="preserve"> Rossignol</t>
        </is>
      </c>
      <c r="BT1055" s="11" t="inlineStr">
        <is>
          <t>React 2</t>
        </is>
      </c>
      <c r="BU1055" s="13" t="n">
        <v>162</v>
      </c>
      <c r="BV1055" s="11" t="inlineStr">
        <is>
          <t xml:space="preserve"> Unisex</t>
        </is>
      </c>
      <c r="BW1055" s="13" t="n">
        <v>162</v>
      </c>
      <c r="BX1055" s="13" t="n">
        <v>160.3</v>
      </c>
      <c r="BY1055" s="13" t="n">
        <v>139</v>
      </c>
      <c r="BZ1055" s="13" t="n">
        <v>144</v>
      </c>
      <c r="CA1055" s="13" t="n">
        <v>121</v>
      </c>
      <c r="CB1055" s="13" t="n">
        <v>74</v>
      </c>
      <c r="CC1055" s="13" t="n">
        <v>107</v>
      </c>
      <c r="CD1055" s="13" t="n">
        <v>13.1</v>
      </c>
      <c r="CE1055" s="13" t="n">
        <v>1527</v>
      </c>
      <c r="CF1055" s="13" t="n">
        <v>0.93</v>
      </c>
      <c r="CG1055" s="13" t="n">
        <v>1426</v>
      </c>
      <c r="CH1055" s="13" t="n">
        <v>158</v>
      </c>
      <c r="CI1055" s="13" t="n">
        <v>55</v>
      </c>
      <c r="CJ1055" s="13" t="n">
        <v>36</v>
      </c>
      <c r="CK1055" s="13" t="n">
        <v>142</v>
      </c>
      <c r="CL1055" s="13" t="n">
        <v>5</v>
      </c>
      <c r="CM1055" s="13" t="n">
        <v>68</v>
      </c>
      <c r="CN1055" s="13" t="n">
        <v>0.144</v>
      </c>
      <c r="CO1055" s="13" t="n">
        <v>81</v>
      </c>
      <c r="CP1055" s="13" t="n">
        <v>78</v>
      </c>
      <c r="CQ1055" s="13" t="n">
        <v>61</v>
      </c>
      <c r="CR1055" s="13" t="n">
        <v>11</v>
      </c>
      <c r="CS1055" s="13" t="n">
        <v>8.199999999999999</v>
      </c>
      <c r="CT1055" s="11" t="inlineStr">
        <is>
          <t xml:space="preserve"> On-Piste Carving</t>
        </is>
      </c>
      <c r="CU1055" s="13" t="n"/>
      <c r="CV1055" s="13" t="n"/>
      <c r="CW1055" s="13" t="n"/>
      <c r="CX1055">
        <f>INDEX('Data_Price '!AG$2:AG$1266,MATCH(Data!$DN1055,'Data_Price '!$AT$2:$AT$1266,0))</f>
        <v/>
      </c>
      <c r="CY1055">
        <f>INDEX('Data_Price '!AH$2:AH$1266,MATCH(Data!$DN1055,'Data_Price '!$AT$2:$AT$1266,0))</f>
        <v/>
      </c>
      <c r="CZ1055">
        <f>INDEX('Data_Price '!AI$2:AI$1266,MATCH(Data!$DN1055,'Data_Price '!$AT$2:$AT$1266,0))</f>
        <v/>
      </c>
      <c r="DA1055">
        <f>INDEX('Data_Price '!AJ$2:AJ$1266,MATCH(Data!$DN1055,'Data_Price '!$AT$2:$AT$1266,0))</f>
        <v/>
      </c>
      <c r="DB1055">
        <f>INDEX('Data_Price '!AK$2:AK$1266,MATCH(Data!$DN1055,'Data_Price '!$AT$2:$AT$1266,0))</f>
        <v/>
      </c>
      <c r="DC1055">
        <f>INDEX('Data_Price '!AL$2:AL$1266,MATCH(Data!$DN1055,'Data_Price '!$AT$2:$AT$1266,0))</f>
        <v/>
      </c>
      <c r="DD1055">
        <f>INDEX('Data_Price '!AM$2:AM$1266,MATCH(Data!$DN1055,'Data_Price '!$AT$2:$AT$1266,0))</f>
        <v/>
      </c>
      <c r="DE1055">
        <f>INDEX('Data_Price '!AN$2:AN$1266,MATCH(Data!$DN1055,'Data_Price '!$AT$2:$AT$1266,0))</f>
        <v/>
      </c>
      <c r="DF1055">
        <f>INDEX('Data_Price '!AO$2:AO$1266,MATCH(Data!$DN1055,'Data_Price '!$AT$2:$AT$1266,0))</f>
        <v/>
      </c>
      <c r="DG1055">
        <f>INDEX('Data_Price '!AP$2:AP$1266,MATCH(Data!$DN1055,'Data_Price '!$AT$2:$AT$1266,0))</f>
        <v/>
      </c>
      <c r="DH1055">
        <f>INDEX('Data_Price '!AQ$2:AQ$1266,MATCH(Data!$DN1055,'Data_Price '!$AT$2:$AT$1266,0))</f>
        <v/>
      </c>
      <c r="DI1055">
        <f>INDEX('Data_Price '!AR$2:AR$1266,MATCH(Data!$DN1055,'Data_Price '!$AT$2:$AT$1266,0))</f>
        <v/>
      </c>
      <c r="DJ1055" s="138">
        <f>DA1055</f>
        <v/>
      </c>
      <c r="DK1055" s="138">
        <f>DE1055</f>
        <v/>
      </c>
      <c r="DL1055" s="138">
        <f>DI1055</f>
        <v/>
      </c>
      <c r="DM1055" s="303">
        <f>IF(LEFT(BT1055,1)=" ",RIGHT(BT1055,LEN(BT1055)-1),BT1055)</f>
        <v/>
      </c>
      <c r="DN1055" s="138">
        <f>_xlfn.CONCAT(BS1055,DM1055,BU1055,BV1055)</f>
        <v/>
      </c>
      <c r="DO1055" s="307" t="n"/>
    </row>
    <row r="1056" ht="15.6" customHeight="1" s="184">
      <c r="B1056" s="303">
        <f t="array" ref="B1056">IF(OR(ISERROR(K1056:P1056)),FALSE,TRUE)</f>
        <v/>
      </c>
      <c r="C1056" s="60">
        <f>OR(BR1056=Driver!$G$50,Data!BR1033=Driver!$H$50)</f>
        <v/>
      </c>
      <c r="D1056" s="60">
        <f>OR(BV1056=Driver!$G$51,BV1056=Driver!$H$51)</f>
        <v/>
      </c>
      <c r="E1056" s="60">
        <f>AND(BX1056&gt;Driver!$F$54,BX1056&lt;Driver!$G$54)</f>
        <v/>
      </c>
      <c r="F1056" s="60">
        <f>CL1056&gt;Driver!$F$56</f>
        <v/>
      </c>
      <c r="G1056" s="60">
        <f>AND(CB1056&gt;Driver!$F$55,CB1056&lt;Driver!$G$55)</f>
        <v/>
      </c>
      <c r="H1056" s="60">
        <f>AND(B1056:G1056)</f>
        <v/>
      </c>
      <c r="I1056" s="60">
        <f>COUNTIFS($H$9:$H$1273,TRUE,$BT$9:$BT$1273,BT1056)</f>
        <v/>
      </c>
      <c r="J1056" s="60">
        <f t="array" ref="J1056">NOT(OR(($H$9:$H$1273=TRUE)*($I$9:$I$1273&gt;0)*($BT$9:$BT$1273=BT1056)*($K$9:$K$1273&gt;K1056)))</f>
        <v/>
      </c>
      <c r="K1056" s="108">
        <f>IFERROR(1-AVERAGE(X1056:Y1056),"")</f>
        <v/>
      </c>
      <c r="L1056" s="108">
        <f>1-X1056</f>
        <v/>
      </c>
      <c r="M1056" s="108">
        <f>1-Y1056</f>
        <v/>
      </c>
      <c r="N1056" s="108">
        <f>1-Z1056</f>
        <v/>
      </c>
      <c r="O1056" s="108">
        <f>1-AA1056</f>
        <v/>
      </c>
      <c r="P1056" s="108">
        <f>1-AB1056</f>
        <v/>
      </c>
      <c r="Q1056" s="108" t="n"/>
      <c r="R1056" s="108" t="n"/>
      <c r="S1056" s="108">
        <f>1-AE1056</f>
        <v/>
      </c>
      <c r="T1056" s="108">
        <f>1-AF1056</f>
        <v/>
      </c>
      <c r="U1056" s="108">
        <f>1-AG1056</f>
        <v/>
      </c>
      <c r="V1056" s="108">
        <f>1-AH1056</f>
        <v/>
      </c>
      <c r="W1056" s="108">
        <f>1-AI1056</f>
        <v/>
      </c>
      <c r="X1056" s="108">
        <f>ABS(AJ1056-AJ$1)</f>
        <v/>
      </c>
      <c r="Y1056" s="108">
        <f>AVERAGE(Z1056:AB1056)</f>
        <v/>
      </c>
      <c r="Z1056" s="108">
        <f>ABS(AL1056-AL$1)</f>
        <v/>
      </c>
      <c r="AA1056" s="108">
        <f>ABS(AM1056-AM$1)</f>
        <v/>
      </c>
      <c r="AB1056" s="108">
        <f>ABS(AN1056-AN$1)</f>
        <v/>
      </c>
      <c r="AC1056" s="108" t="n"/>
      <c r="AD1056" s="108" t="n"/>
      <c r="AE1056" s="108">
        <f>ABS(AQ$1-AQ1056)</f>
        <v/>
      </c>
      <c r="AF1056" s="108">
        <f>ABS(AR$1-AR1056)</f>
        <v/>
      </c>
      <c r="AG1056" s="108">
        <f>ABS(AS$1-AS1056)</f>
        <v/>
      </c>
      <c r="AH1056" s="108">
        <f>ABS(AT$1-AT1056)</f>
        <v/>
      </c>
      <c r="AI1056" s="108">
        <f>ABS(AU$1-AU1056)</f>
        <v/>
      </c>
      <c r="AJ1056" s="108">
        <f>(AV1056-Driver!$K$179)/(Driver!$L$179-Driver!$K$179)</f>
        <v/>
      </c>
      <c r="AK1056" s="108">
        <f>(AW1056-Driver!$K$180)/(Driver!$L$180-Driver!$K$180)</f>
        <v/>
      </c>
      <c r="AL1056" s="108">
        <f>(AX1056-Driver!$K$181)/(Driver!$L$181-Driver!$K$181)</f>
        <v/>
      </c>
      <c r="AM1056" s="108">
        <f>(AY1056-Driver!$K$182)/(Driver!$L$182-Driver!$K$182)</f>
        <v/>
      </c>
      <c r="AN1056" s="108">
        <f>(AZ1056-Driver!$K$183)/(Driver!$L$183-Driver!$K$183)</f>
        <v/>
      </c>
      <c r="AO1056" s="108" t="n"/>
      <c r="AP1056" s="108" t="n"/>
      <c r="AQ1056" s="108">
        <f>(BC1056-Driver!$K$188)/(Driver!$L$188-Driver!$K$188)</f>
        <v/>
      </c>
      <c r="AR1056" s="108">
        <f>MIN((BD1056-Driver!$K$189)/(Driver!$L$189-Driver!$K$189),100%)</f>
        <v/>
      </c>
      <c r="AS1056" s="108">
        <f>(BE1056-Driver!$K$190)/(Driver!$L$190-Driver!$K$190)</f>
        <v/>
      </c>
      <c r="AT1056" s="108">
        <f>(BF1056-Driver!$K$191)/(Driver!$L$191-Driver!$K$191)</f>
        <v/>
      </c>
      <c r="AU1056" s="108">
        <f>(BG1056-Driver!$K$192)/(Driver!$L$192-Driver!$K$192)</f>
        <v/>
      </c>
      <c r="AV1056" s="105">
        <f>IFERROR(BM1056*BJ1056^1/4,"")</f>
        <v/>
      </c>
      <c r="AW1056" s="105">
        <f>IFERROR(SUM(AX1056:AZ1056),"")</f>
        <v/>
      </c>
      <c r="AX1056" s="105">
        <f>IFERROR(BH1056,"")</f>
        <v/>
      </c>
      <c r="AY1056" s="105">
        <f>IFERROR(Driver!$K$19/Data!BH1056/Data!BI1056*Data!BK1056*Data!BL1056,"")</f>
        <v/>
      </c>
      <c r="AZ1056" s="105">
        <f>IFERROR(BI1056*BN1056,"")</f>
        <v/>
      </c>
      <c r="BA1056" s="105" t="n"/>
      <c r="BB1056" s="105" t="n"/>
      <c r="BC1056" s="105">
        <f>IFERROR(BI1056*BN1056*BK1056/BJ1056^(1/2),"")</f>
        <v/>
      </c>
      <c r="BD1056" s="105">
        <f>IFERROR(BH1056*BM1056*BL1056/BJ1056/BK1056,"")</f>
        <v/>
      </c>
      <c r="BE1056" s="105">
        <f>IFERROR(MIN(BI1056/BQ1056/BP1056/BO1056/BH1056,$BE$1),"")</f>
        <v/>
      </c>
      <c r="BF1056" s="105">
        <f>IFERROR(BJ1056*BO1056*BP1056/BK1056,"")</f>
        <v/>
      </c>
      <c r="BG1056" s="105">
        <f>IFERROR(1/BM1056/BH1056*BQ1056,"")</f>
        <v/>
      </c>
      <c r="BH1056" s="102">
        <f>MAX((CE1056-Driver!$F$200)/(Driver!$G$200-Driver!$F$200)*$BI$1,1)</f>
        <v/>
      </c>
      <c r="BI1056" s="102">
        <f>MAX($BI$1*(BY1056-Driver!$F$201)/(Driver!$G$201-Driver!$F$201),1)</f>
        <v/>
      </c>
      <c r="BJ1056" s="102">
        <f>(CB1056-Driver!$F$206)/(Driver!$G$206-Driver!$F$206)*$BI$1</f>
        <v/>
      </c>
      <c r="BK1056" s="102">
        <f>(CD1056-Driver!$F$203)/(Driver!$G$203-Driver!$F$203)*$BI$1</f>
        <v/>
      </c>
      <c r="BL1056" s="102">
        <f>MAX((CR1056-Driver!$F$202)/(Driver!$G$202-Driver!$F$202)*$BI$1,1)</f>
        <v/>
      </c>
      <c r="BM1056" s="102">
        <f>MAX((CH1056-Driver!$F$204)/(Driver!$G$204-Driver!$F$204)*$BI$1,1)</f>
        <v/>
      </c>
      <c r="BN1056" s="102">
        <f>(CI1056-Driver!$F$205)/(Driver!$G$205-Driver!$F$205)*$BI$1</f>
        <v/>
      </c>
      <c r="BO1056" s="102">
        <f>(CK1056-Driver!$F$207)/(Driver!$G$207-Driver!$F$207)*$BI$1</f>
        <v/>
      </c>
      <c r="BP1056" s="102">
        <f>(CM1056-Driver!$F$208)/(Driver!$G$208-Driver!$F$208)*$BI$1</f>
        <v/>
      </c>
      <c r="BQ1056" s="102">
        <f>(CL1056-Driver!$F$209)/(Driver!$G$209-Driver!$F$209)*$BI$1</f>
        <v/>
      </c>
      <c r="BR1056" s="40" t="inlineStr">
        <is>
          <t>21/22</t>
        </is>
      </c>
      <c r="BS1056" s="10" t="inlineStr">
        <is>
          <t xml:space="preserve"> Rossignol</t>
        </is>
      </c>
      <c r="BT1056" s="11" t="inlineStr">
        <is>
          <t xml:space="preserve"> Hero Elite Plus Ti</t>
        </is>
      </c>
      <c r="BU1056" s="13" t="n">
        <v>174</v>
      </c>
      <c r="BV1056" s="11" t="inlineStr">
        <is>
          <t xml:space="preserve"> Unisex</t>
        </is>
      </c>
      <c r="BW1056" s="13" t="n">
        <v>174</v>
      </c>
      <c r="BX1056" s="13" t="n">
        <v>173.6</v>
      </c>
      <c r="BY1056" s="13" t="n">
        <v>153</v>
      </c>
      <c r="BZ1056" s="13" t="n">
        <v>159</v>
      </c>
      <c r="CA1056" s="13" t="n">
        <v>128</v>
      </c>
      <c r="CB1056" s="13" t="n">
        <v>76</v>
      </c>
      <c r="CC1056" s="13" t="n">
        <v>108</v>
      </c>
      <c r="CD1056" s="13" t="n">
        <v>14.6</v>
      </c>
      <c r="CE1056" s="13" t="n">
        <v>2198</v>
      </c>
      <c r="CF1056" s="13" t="n">
        <v>0.73</v>
      </c>
      <c r="CG1056" s="13" t="n">
        <v>1595</v>
      </c>
      <c r="CH1056" s="13" t="n">
        <v>239</v>
      </c>
      <c r="CI1056" s="13" t="n">
        <v>103</v>
      </c>
      <c r="CJ1056" s="13" t="n">
        <v>38</v>
      </c>
      <c r="CK1056" s="13" t="n">
        <v>141</v>
      </c>
      <c r="CL1056" s="13" t="n">
        <v>4</v>
      </c>
      <c r="CM1056" s="13" t="n">
        <v>64</v>
      </c>
      <c r="CN1056" s="13" t="n">
        <v>0.115</v>
      </c>
      <c r="CO1056" s="13" t="n">
        <v>85</v>
      </c>
      <c r="CP1056" s="13" t="n">
        <v>64</v>
      </c>
      <c r="CQ1056" s="13" t="n">
        <v>56</v>
      </c>
      <c r="CR1056" s="13" t="n">
        <v>14</v>
      </c>
      <c r="CS1056" s="13" t="n">
        <v>10.1</v>
      </c>
      <c r="CT1056" s="11" t="inlineStr">
        <is>
          <t xml:space="preserve"> On-Piste Carving</t>
        </is>
      </c>
      <c r="CU1056" s="13" t="n"/>
      <c r="CV1056" s="13" t="n"/>
      <c r="CW1056" s="13" t="n"/>
      <c r="CX1056">
        <f>INDEX('Data_Price '!AG$2:AG$1266,MATCH(Data!$DN1056,'Data_Price '!$AT$2:$AT$1266,0))</f>
        <v/>
      </c>
      <c r="CY1056">
        <f>INDEX('Data_Price '!AH$2:AH$1266,MATCH(Data!$DN1056,'Data_Price '!$AT$2:$AT$1266,0))</f>
        <v/>
      </c>
      <c r="CZ1056">
        <f>INDEX('Data_Price '!AI$2:AI$1266,MATCH(Data!$DN1056,'Data_Price '!$AT$2:$AT$1266,0))</f>
        <v/>
      </c>
      <c r="DA1056">
        <f>INDEX('Data_Price '!AJ$2:AJ$1266,MATCH(Data!$DN1056,'Data_Price '!$AT$2:$AT$1266,0))</f>
        <v/>
      </c>
      <c r="DB1056">
        <f>INDEX('Data_Price '!AK$2:AK$1266,MATCH(Data!$DN1056,'Data_Price '!$AT$2:$AT$1266,0))</f>
        <v/>
      </c>
      <c r="DC1056">
        <f>INDEX('Data_Price '!AL$2:AL$1266,MATCH(Data!$DN1056,'Data_Price '!$AT$2:$AT$1266,0))</f>
        <v/>
      </c>
      <c r="DD1056">
        <f>INDEX('Data_Price '!AM$2:AM$1266,MATCH(Data!$DN1056,'Data_Price '!$AT$2:$AT$1266,0))</f>
        <v/>
      </c>
      <c r="DE1056">
        <f>INDEX('Data_Price '!AN$2:AN$1266,MATCH(Data!$DN1056,'Data_Price '!$AT$2:$AT$1266,0))</f>
        <v/>
      </c>
      <c r="DF1056">
        <f>INDEX('Data_Price '!AO$2:AO$1266,MATCH(Data!$DN1056,'Data_Price '!$AT$2:$AT$1266,0))</f>
        <v/>
      </c>
      <c r="DG1056">
        <f>INDEX('Data_Price '!AP$2:AP$1266,MATCH(Data!$DN1056,'Data_Price '!$AT$2:$AT$1266,0))</f>
        <v/>
      </c>
      <c r="DH1056">
        <f>INDEX('Data_Price '!AQ$2:AQ$1266,MATCH(Data!$DN1056,'Data_Price '!$AT$2:$AT$1266,0))</f>
        <v/>
      </c>
      <c r="DI1056">
        <f>INDEX('Data_Price '!AR$2:AR$1266,MATCH(Data!$DN1056,'Data_Price '!$AT$2:$AT$1266,0))</f>
        <v/>
      </c>
      <c r="DJ1056" s="138">
        <f>DA1056</f>
        <v/>
      </c>
      <c r="DK1056" s="138">
        <f>DE1056</f>
        <v/>
      </c>
      <c r="DL1056" s="138">
        <f>DI1056</f>
        <v/>
      </c>
      <c r="DM1056" s="303">
        <f>IF(LEFT(BT1056,1)=" ",RIGHT(BT1056,LEN(BT1056)-1),BT1056)</f>
        <v/>
      </c>
      <c r="DN1056" s="138">
        <f>_xlfn.CONCAT(BS1056,DM1056,BU1056,BV1056)</f>
        <v/>
      </c>
      <c r="DO1056" s="307" t="n"/>
    </row>
    <row r="1057" ht="15.6" customHeight="1" s="184">
      <c r="B1057" s="303">
        <f t="array" ref="B1057">IF(OR(ISERROR(K1057:P1057)),FALSE,TRUE)</f>
        <v/>
      </c>
      <c r="C1057" s="60">
        <f>OR(BR1057=Driver!$G$50,Data!BR1090=Driver!$H$50)</f>
        <v/>
      </c>
      <c r="D1057" s="60">
        <f>OR(BV1057=Driver!$G$51,BV1057=Driver!$H$51)</f>
        <v/>
      </c>
      <c r="E1057" s="60">
        <f>AND(BX1057&gt;Driver!$F$54,BX1057&lt;Driver!$G$54)</f>
        <v/>
      </c>
      <c r="F1057" s="60">
        <f>CL1057&gt;Driver!$F$56</f>
        <v/>
      </c>
      <c r="G1057" s="60">
        <f>AND(CB1057&gt;Driver!$F$55,CB1057&lt;Driver!$G$55)</f>
        <v/>
      </c>
      <c r="H1057" s="60">
        <f>AND(B1057:G1057)</f>
        <v/>
      </c>
      <c r="I1057" s="60">
        <f>COUNTIFS($H$9:$H$1273,TRUE,$BT$9:$BT$1273,BT1057)</f>
        <v/>
      </c>
      <c r="J1057" s="60">
        <f t="array" ref="J1057">NOT(OR(($H$9:$H$1273=TRUE)*($I$9:$I$1273&gt;0)*($BT$9:$BT$1273=BT1057)*($K$9:$K$1273&gt;K1057)))</f>
        <v/>
      </c>
      <c r="K1057" s="108">
        <f>IFERROR(1-AVERAGE(X1057:Y1057),"")</f>
        <v/>
      </c>
      <c r="L1057" s="108">
        <f>1-X1057</f>
        <v/>
      </c>
      <c r="M1057" s="108">
        <f>1-Y1057</f>
        <v/>
      </c>
      <c r="N1057" s="108">
        <f>1-Z1057</f>
        <v/>
      </c>
      <c r="O1057" s="108">
        <f>1-AA1057</f>
        <v/>
      </c>
      <c r="P1057" s="108">
        <f>1-AB1057</f>
        <v/>
      </c>
      <c r="Q1057" s="108" t="n"/>
      <c r="R1057" s="108" t="n"/>
      <c r="S1057" s="108">
        <f>1-AE1057</f>
        <v/>
      </c>
      <c r="T1057" s="108">
        <f>1-AF1057</f>
        <v/>
      </c>
      <c r="U1057" s="108">
        <f>1-AG1057</f>
        <v/>
      </c>
      <c r="V1057" s="108">
        <f>1-AH1057</f>
        <v/>
      </c>
      <c r="W1057" s="108">
        <f>1-AI1057</f>
        <v/>
      </c>
      <c r="X1057" s="108">
        <f>ABS(AJ1057-AJ$1)</f>
        <v/>
      </c>
      <c r="Y1057" s="108">
        <f>AVERAGE(Z1057:AB1057)</f>
        <v/>
      </c>
      <c r="Z1057" s="108">
        <f>ABS(AL1057-AL$1)</f>
        <v/>
      </c>
      <c r="AA1057" s="108">
        <f>ABS(AM1057-AM$1)</f>
        <v/>
      </c>
      <c r="AB1057" s="108">
        <f>ABS(AN1057-AN$1)</f>
        <v/>
      </c>
      <c r="AC1057" s="108" t="n"/>
      <c r="AD1057" s="108" t="n"/>
      <c r="AE1057" s="108">
        <f>ABS(AQ$1-AQ1057)</f>
        <v/>
      </c>
      <c r="AF1057" s="108">
        <f>ABS(AR$1-AR1057)</f>
        <v/>
      </c>
      <c r="AG1057" s="108">
        <f>ABS(AS$1-AS1057)</f>
        <v/>
      </c>
      <c r="AH1057" s="108">
        <f>ABS(AT$1-AT1057)</f>
        <v/>
      </c>
      <c r="AI1057" s="108">
        <f>ABS(AU$1-AU1057)</f>
        <v/>
      </c>
      <c r="AJ1057" s="108">
        <f>(AV1057-Driver!$K$179)/(Driver!$L$179-Driver!$K$179)</f>
        <v/>
      </c>
      <c r="AK1057" s="108">
        <f>(AW1057-Driver!$K$180)/(Driver!$L$180-Driver!$K$180)</f>
        <v/>
      </c>
      <c r="AL1057" s="108">
        <f>(AX1057-Driver!$K$181)/(Driver!$L$181-Driver!$K$181)</f>
        <v/>
      </c>
      <c r="AM1057" s="108">
        <f>(AY1057-Driver!$K$182)/(Driver!$L$182-Driver!$K$182)</f>
        <v/>
      </c>
      <c r="AN1057" s="108">
        <f>(AZ1057-Driver!$K$183)/(Driver!$L$183-Driver!$K$183)</f>
        <v/>
      </c>
      <c r="AO1057" s="108" t="n"/>
      <c r="AP1057" s="108" t="n"/>
      <c r="AQ1057" s="108">
        <f>(BC1057-Driver!$K$188)/(Driver!$L$188-Driver!$K$188)</f>
        <v/>
      </c>
      <c r="AR1057" s="108">
        <f>MIN((BD1057-Driver!$K$189)/(Driver!$L$189-Driver!$K$189),100%)</f>
        <v/>
      </c>
      <c r="AS1057" s="108">
        <f>(BE1057-Driver!$K$190)/(Driver!$L$190-Driver!$K$190)</f>
        <v/>
      </c>
      <c r="AT1057" s="108">
        <f>(BF1057-Driver!$K$191)/(Driver!$L$191-Driver!$K$191)</f>
        <v/>
      </c>
      <c r="AU1057" s="108">
        <f>(BG1057-Driver!$K$192)/(Driver!$L$192-Driver!$K$192)</f>
        <v/>
      </c>
      <c r="AV1057" s="105">
        <f>IFERROR(BM1057*BJ1057^1/4,"")</f>
        <v/>
      </c>
      <c r="AW1057" s="105">
        <f>IFERROR(SUM(AX1057:AZ1057),"")</f>
        <v/>
      </c>
      <c r="AX1057" s="105">
        <f>IFERROR(BH1057,"")</f>
        <v/>
      </c>
      <c r="AY1057" s="105">
        <f>IFERROR(Driver!$K$19/Data!BH1057/Data!BI1057*Data!BK1057*Data!BL1057,"")</f>
        <v/>
      </c>
      <c r="AZ1057" s="105">
        <f>IFERROR(BI1057*BN1057,"")</f>
        <v/>
      </c>
      <c r="BA1057" s="105" t="n"/>
      <c r="BB1057" s="105" t="n"/>
      <c r="BC1057" s="105">
        <f>IFERROR(BI1057*BN1057*BK1057/BJ1057^(1/2),"")</f>
        <v/>
      </c>
      <c r="BD1057" s="105">
        <f>IFERROR(BH1057*BM1057*BL1057/BJ1057/BK1057,"")</f>
        <v/>
      </c>
      <c r="BE1057" s="105">
        <f>IFERROR(MIN(BI1057/BQ1057/BP1057/BO1057/BH1057,$BE$1),"")</f>
        <v/>
      </c>
      <c r="BF1057" s="105">
        <f>IFERROR(BJ1057*BO1057*BP1057/BK1057,"")</f>
        <v/>
      </c>
      <c r="BG1057" s="105">
        <f>IFERROR(1/BM1057/BH1057*BQ1057,"")</f>
        <v/>
      </c>
      <c r="BH1057" s="102">
        <f>MAX((CE1057-Driver!$F$200)/(Driver!$G$200-Driver!$F$200)*$BI$1,1)</f>
        <v/>
      </c>
      <c r="BI1057" s="102">
        <f>MAX($BI$1*(BY1057-Driver!$F$201)/(Driver!$G$201-Driver!$F$201),1)</f>
        <v/>
      </c>
      <c r="BJ1057" s="102">
        <f>(CB1057-Driver!$F$206)/(Driver!$G$206-Driver!$F$206)*$BI$1</f>
        <v/>
      </c>
      <c r="BK1057" s="102">
        <f>(CD1057-Driver!$F$203)/(Driver!$G$203-Driver!$F$203)*$BI$1</f>
        <v/>
      </c>
      <c r="BL1057" s="102">
        <f>MAX((CR1057-Driver!$F$202)/(Driver!$G$202-Driver!$F$202)*$BI$1,1)</f>
        <v/>
      </c>
      <c r="BM1057" s="102">
        <f>MAX((CH1057-Driver!$F$204)/(Driver!$G$204-Driver!$F$204)*$BI$1,1)</f>
        <v/>
      </c>
      <c r="BN1057" s="102">
        <f>(CI1057-Driver!$F$205)/(Driver!$G$205-Driver!$F$205)*$BI$1</f>
        <v/>
      </c>
      <c r="BO1057" s="102">
        <f>(CK1057-Driver!$F$207)/(Driver!$G$207-Driver!$F$207)*$BI$1</f>
        <v/>
      </c>
      <c r="BP1057" s="102">
        <f>(CM1057-Driver!$F$208)/(Driver!$G$208-Driver!$F$208)*$BI$1</f>
        <v/>
      </c>
      <c r="BQ1057" s="102">
        <f>(CL1057-Driver!$F$209)/(Driver!$G$209-Driver!$F$209)*$BI$1</f>
        <v/>
      </c>
      <c r="BR1057" s="40" t="inlineStr">
        <is>
          <t>21/22</t>
        </is>
      </c>
      <c r="BS1057" s="10" t="inlineStr">
        <is>
          <t xml:space="preserve"> Salomon</t>
        </is>
      </c>
      <c r="BT1057" s="11" t="inlineStr">
        <is>
          <t>S/Force 80FX</t>
        </is>
      </c>
      <c r="BU1057" s="13" t="n">
        <v>170</v>
      </c>
      <c r="BV1057" s="11" t="inlineStr">
        <is>
          <t xml:space="preserve"> Unisex</t>
        </is>
      </c>
      <c r="BW1057" s="13" t="n">
        <v>170</v>
      </c>
      <c r="BX1057" s="13" t="n">
        <v>169.4</v>
      </c>
      <c r="BY1057" s="13" t="n">
        <v>142</v>
      </c>
      <c r="BZ1057" s="13" t="n">
        <v>156</v>
      </c>
      <c r="CA1057" s="13" t="n">
        <v>127</v>
      </c>
      <c r="CB1057" s="13" t="n">
        <v>80</v>
      </c>
      <c r="CC1057" s="13" t="n">
        <v>109</v>
      </c>
      <c r="CD1057" s="13" t="n">
        <v>15.2</v>
      </c>
      <c r="CE1057" s="13" t="n">
        <v>2185</v>
      </c>
      <c r="CF1057" s="13" t="n">
        <v>0.74</v>
      </c>
      <c r="CG1057" s="13" t="n">
        <v>1608</v>
      </c>
      <c r="CH1057" s="13" t="n">
        <v>254</v>
      </c>
      <c r="CI1057" s="13" t="n">
        <v>116</v>
      </c>
      <c r="CJ1057" s="13" t="n">
        <v>44</v>
      </c>
      <c r="CK1057" s="13" t="n">
        <v>188</v>
      </c>
      <c r="CL1057" s="13" t="n">
        <v>4</v>
      </c>
      <c r="CM1057" s="13" t="n">
        <v>87</v>
      </c>
      <c r="CN1057" s="13" t="n">
        <v>0.08500000000000001</v>
      </c>
      <c r="CO1057" s="13" t="n">
        <v>88</v>
      </c>
      <c r="CP1057" s="13" t="n">
        <v>45</v>
      </c>
      <c r="CQ1057" s="13" t="n">
        <v>100</v>
      </c>
      <c r="CR1057" s="13" t="n">
        <v>7</v>
      </c>
      <c r="CS1057" s="13" t="n">
        <v>11.6</v>
      </c>
      <c r="CT1057" s="11" t="inlineStr">
        <is>
          <t xml:space="preserve"> On-Piste Carving</t>
        </is>
      </c>
      <c r="CU1057" s="11" t="inlineStr">
        <is>
          <t xml:space="preserve"> Resort Freeride</t>
        </is>
      </c>
      <c r="CV1057" s="13" t="n"/>
      <c r="CW1057" s="13" t="n"/>
      <c r="CX1057">
        <f>INDEX('Data_Price '!AG$2:AG$1266,MATCH(Data!$DN1057,'Data_Price '!$AT$2:$AT$1266,0))</f>
        <v/>
      </c>
      <c r="CY1057">
        <f>INDEX('Data_Price '!AH$2:AH$1266,MATCH(Data!$DN1057,'Data_Price '!$AT$2:$AT$1266,0))</f>
        <v/>
      </c>
      <c r="CZ1057">
        <f>INDEX('Data_Price '!AI$2:AI$1266,MATCH(Data!$DN1057,'Data_Price '!$AT$2:$AT$1266,0))</f>
        <v/>
      </c>
      <c r="DA1057">
        <f>INDEX('Data_Price '!AJ$2:AJ$1266,MATCH(Data!$DN1057,'Data_Price '!$AT$2:$AT$1266,0))</f>
        <v/>
      </c>
      <c r="DB1057">
        <f>INDEX('Data_Price '!AK$2:AK$1266,MATCH(Data!$DN1057,'Data_Price '!$AT$2:$AT$1266,0))</f>
        <v/>
      </c>
      <c r="DC1057">
        <f>INDEX('Data_Price '!AL$2:AL$1266,MATCH(Data!$DN1057,'Data_Price '!$AT$2:$AT$1266,0))</f>
        <v/>
      </c>
      <c r="DD1057">
        <f>INDEX('Data_Price '!AM$2:AM$1266,MATCH(Data!$DN1057,'Data_Price '!$AT$2:$AT$1266,0))</f>
        <v/>
      </c>
      <c r="DE1057">
        <f>INDEX('Data_Price '!AN$2:AN$1266,MATCH(Data!$DN1057,'Data_Price '!$AT$2:$AT$1266,0))</f>
        <v/>
      </c>
      <c r="DF1057">
        <f>INDEX('Data_Price '!AO$2:AO$1266,MATCH(Data!$DN1057,'Data_Price '!$AT$2:$AT$1266,0))</f>
        <v/>
      </c>
      <c r="DG1057">
        <f>INDEX('Data_Price '!AP$2:AP$1266,MATCH(Data!$DN1057,'Data_Price '!$AT$2:$AT$1266,0))</f>
        <v/>
      </c>
      <c r="DH1057">
        <f>INDEX('Data_Price '!AQ$2:AQ$1266,MATCH(Data!$DN1057,'Data_Price '!$AT$2:$AT$1266,0))</f>
        <v/>
      </c>
      <c r="DI1057">
        <f>INDEX('Data_Price '!AR$2:AR$1266,MATCH(Data!$DN1057,'Data_Price '!$AT$2:$AT$1266,0))</f>
        <v/>
      </c>
      <c r="DJ1057" s="138">
        <f>DA1057</f>
        <v/>
      </c>
      <c r="DK1057" s="138">
        <f>DE1057</f>
        <v/>
      </c>
      <c r="DL1057" s="138">
        <f>DI1057</f>
        <v/>
      </c>
      <c r="DM1057" s="303">
        <f>IF(LEFT(BT1057,1)=" ",RIGHT(BT1057,LEN(BT1057)-1),BT1057)</f>
        <v/>
      </c>
      <c r="DN1057" s="138">
        <f>_xlfn.CONCAT(BS1057,DM1057,BU1057,BV1057)</f>
        <v/>
      </c>
      <c r="DO1057" s="307" t="n"/>
    </row>
    <row r="1058" ht="15.6" customHeight="1" s="184">
      <c r="B1058" s="303">
        <f t="array" ref="B1058">IF(OR(ISERROR(K1058:P1058)),FALSE,TRUE)</f>
        <v/>
      </c>
      <c r="C1058" s="60">
        <f>OR(BR1058=Driver!$G$50,Data!BR51=Driver!$H$50)</f>
        <v/>
      </c>
      <c r="D1058" s="60">
        <f>OR(BV1058=Driver!$G$51,BV1058=Driver!$H$51)</f>
        <v/>
      </c>
      <c r="E1058" s="60">
        <f>AND(BX1058&gt;Driver!$F$54,BX1058&lt;Driver!$G$54)</f>
        <v/>
      </c>
      <c r="F1058" s="60">
        <f>CL1058&gt;Driver!$F$56</f>
        <v/>
      </c>
      <c r="G1058" s="60">
        <f>AND(CB1058&gt;Driver!$F$55,CB1058&lt;Driver!$G$55)</f>
        <v/>
      </c>
      <c r="H1058" s="60">
        <f>AND(B1058:G1058)</f>
        <v/>
      </c>
      <c r="I1058" s="60">
        <f>COUNTIFS($H$9:$H$1273,TRUE,$BT$9:$BT$1273,BT1058)</f>
        <v/>
      </c>
      <c r="J1058" s="60">
        <f t="array" ref="J1058">NOT(OR(($H$9:$H$1273=TRUE)*($I$9:$I$1273&gt;0)*($BT$9:$BT$1273=BT1058)*($K$9:$K$1273&gt;K1058)))</f>
        <v/>
      </c>
      <c r="K1058" s="108">
        <f>IFERROR(1-AVERAGE(X1058:Y1058),"")</f>
        <v/>
      </c>
      <c r="L1058" s="108">
        <f>1-X1058</f>
        <v/>
      </c>
      <c r="M1058" s="108">
        <f>1-Y1058</f>
        <v/>
      </c>
      <c r="N1058" s="108">
        <f>1-Z1058</f>
        <v/>
      </c>
      <c r="O1058" s="108">
        <f>1-AA1058</f>
        <v/>
      </c>
      <c r="P1058" s="108">
        <f>1-AB1058</f>
        <v/>
      </c>
      <c r="Q1058" s="108" t="n"/>
      <c r="R1058" s="108" t="n"/>
      <c r="S1058" s="108">
        <f>1-AE1058</f>
        <v/>
      </c>
      <c r="T1058" s="108">
        <f>1-AF1058</f>
        <v/>
      </c>
      <c r="U1058" s="108">
        <f>1-AG1058</f>
        <v/>
      </c>
      <c r="V1058" s="108">
        <f>1-AH1058</f>
        <v/>
      </c>
      <c r="W1058" s="108">
        <f>1-AI1058</f>
        <v/>
      </c>
      <c r="X1058" s="108">
        <f>ABS(AJ1058-AJ$1)</f>
        <v/>
      </c>
      <c r="Y1058" s="108">
        <f>AVERAGE(Z1058:AB1058)</f>
        <v/>
      </c>
      <c r="Z1058" s="108">
        <f>ABS(AL1058-AL$1)</f>
        <v/>
      </c>
      <c r="AA1058" s="108">
        <f>ABS(AM1058-AM$1)</f>
        <v/>
      </c>
      <c r="AB1058" s="108">
        <f>ABS(AN1058-AN$1)</f>
        <v/>
      </c>
      <c r="AC1058" s="108" t="n"/>
      <c r="AD1058" s="108" t="n"/>
      <c r="AE1058" s="108">
        <f>ABS(AQ$1-AQ1058)</f>
        <v/>
      </c>
      <c r="AF1058" s="108">
        <f>ABS(AR$1-AR1058)</f>
        <v/>
      </c>
      <c r="AG1058" s="108">
        <f>ABS(AS$1-AS1058)</f>
        <v/>
      </c>
      <c r="AH1058" s="108">
        <f>ABS(AT$1-AT1058)</f>
        <v/>
      </c>
      <c r="AI1058" s="108">
        <f>ABS(AU$1-AU1058)</f>
        <v/>
      </c>
      <c r="AJ1058" s="108">
        <f>(AV1058-Driver!$K$179)/(Driver!$L$179-Driver!$K$179)</f>
        <v/>
      </c>
      <c r="AK1058" s="108">
        <f>(AW1058-Driver!$K$180)/(Driver!$L$180-Driver!$K$180)</f>
        <v/>
      </c>
      <c r="AL1058" s="108">
        <f>(AX1058-Driver!$K$181)/(Driver!$L$181-Driver!$K$181)</f>
        <v/>
      </c>
      <c r="AM1058" s="108">
        <f>(AY1058-Driver!$K$182)/(Driver!$L$182-Driver!$K$182)</f>
        <v/>
      </c>
      <c r="AN1058" s="108">
        <f>(AZ1058-Driver!$K$183)/(Driver!$L$183-Driver!$K$183)</f>
        <v/>
      </c>
      <c r="AO1058" s="108" t="n"/>
      <c r="AP1058" s="108" t="n"/>
      <c r="AQ1058" s="108">
        <f>(BC1058-Driver!$K$188)/(Driver!$L$188-Driver!$K$188)</f>
        <v/>
      </c>
      <c r="AR1058" s="108">
        <f>MIN((BD1058-Driver!$K$189)/(Driver!$L$189-Driver!$K$189),100%)</f>
        <v/>
      </c>
      <c r="AS1058" s="108">
        <f>(BE1058-Driver!$K$190)/(Driver!$L$190-Driver!$K$190)</f>
        <v/>
      </c>
      <c r="AT1058" s="108">
        <f>(BF1058-Driver!$K$191)/(Driver!$L$191-Driver!$K$191)</f>
        <v/>
      </c>
      <c r="AU1058" s="108">
        <f>(BG1058-Driver!$K$192)/(Driver!$L$192-Driver!$K$192)</f>
        <v/>
      </c>
      <c r="AV1058" s="105">
        <f>IFERROR(BM1058*BJ1058^1/4,"")</f>
        <v/>
      </c>
      <c r="AW1058" s="105">
        <f>IFERROR(SUM(AX1058:AZ1058),"")</f>
        <v/>
      </c>
      <c r="AX1058" s="105">
        <f>IFERROR(BH1058,"")</f>
        <v/>
      </c>
      <c r="AY1058" s="105">
        <f>IFERROR(Driver!$K$19/Data!BH1058/Data!BI1058*Data!BK1058*Data!BL1058,"")</f>
        <v/>
      </c>
      <c r="AZ1058" s="105">
        <f>IFERROR(BI1058*BN1058,"")</f>
        <v/>
      </c>
      <c r="BA1058" s="105" t="n"/>
      <c r="BB1058" s="105" t="n"/>
      <c r="BC1058" s="105">
        <f>IFERROR(BI1058*BN1058*BK1058/BJ1058^(1/2),"")</f>
        <v/>
      </c>
      <c r="BD1058" s="105">
        <f>IFERROR(BH1058*BM1058*BL1058/BJ1058/BK1058,"")</f>
        <v/>
      </c>
      <c r="BE1058" s="105">
        <f>IFERROR(MIN(BI1058/BQ1058/BP1058/BO1058/BH1058,$BE$1),"")</f>
        <v/>
      </c>
      <c r="BF1058" s="105">
        <f>IFERROR(BJ1058*BO1058*BP1058/BK1058,"")</f>
        <v/>
      </c>
      <c r="BG1058" s="105">
        <f>IFERROR(1/BM1058/BH1058*BQ1058,"")</f>
        <v/>
      </c>
      <c r="BH1058" s="102">
        <f>MAX((CE1058-Driver!$F$200)/(Driver!$G$200-Driver!$F$200)*$BI$1,1)</f>
        <v/>
      </c>
      <c r="BI1058" s="102">
        <f>MAX($BI$1*(BY1058-Driver!$F$201)/(Driver!$G$201-Driver!$F$201),1)</f>
        <v/>
      </c>
      <c r="BJ1058" s="102">
        <f>(CB1058-Driver!$F$206)/(Driver!$G$206-Driver!$F$206)*$BI$1</f>
        <v/>
      </c>
      <c r="BK1058" s="102">
        <f>(CD1058-Driver!$F$203)/(Driver!$G$203-Driver!$F$203)*$BI$1</f>
        <v/>
      </c>
      <c r="BL1058" s="102">
        <f>MAX((CR1058-Driver!$F$202)/(Driver!$G$202-Driver!$F$202)*$BI$1,1)</f>
        <v/>
      </c>
      <c r="BM1058" s="102">
        <f>MAX((CH1058-Driver!$F$204)/(Driver!$G$204-Driver!$F$204)*$BI$1,1)</f>
        <v/>
      </c>
      <c r="BN1058" s="102">
        <f>(CI1058-Driver!$F$205)/(Driver!$G$205-Driver!$F$205)*$BI$1</f>
        <v/>
      </c>
      <c r="BO1058" s="102">
        <f>(CK1058-Driver!$F$207)/(Driver!$G$207-Driver!$F$207)*$BI$1</f>
        <v/>
      </c>
      <c r="BP1058" s="102">
        <f>(CM1058-Driver!$F$208)/(Driver!$G$208-Driver!$F$208)*$BI$1</f>
        <v/>
      </c>
      <c r="BQ1058" s="102">
        <f>(CL1058-Driver!$F$209)/(Driver!$G$209-Driver!$F$209)*$BI$1</f>
        <v/>
      </c>
      <c r="BR1058" s="40" t="inlineStr">
        <is>
          <t>21/22</t>
        </is>
      </c>
      <c r="BS1058" s="10" t="inlineStr">
        <is>
          <t xml:space="preserve"> Armada</t>
        </is>
      </c>
      <c r="BT1058" s="11" t="inlineStr">
        <is>
          <t>ARW 84</t>
        </is>
      </c>
      <c r="BU1058" s="13" t="n">
        <v>157</v>
      </c>
      <c r="BV1058" s="11" t="inlineStr">
        <is>
          <t xml:space="preserve"> Women's</t>
        </is>
      </c>
      <c r="BW1058" s="13" t="n">
        <v>157</v>
      </c>
      <c r="BX1058" s="13" t="n">
        <v>155.4</v>
      </c>
      <c r="BY1058" s="13" t="n">
        <v>110</v>
      </c>
      <c r="BZ1058" s="13" t="n">
        <v>128</v>
      </c>
      <c r="CA1058" s="13" t="n">
        <v>116</v>
      </c>
      <c r="CB1058" s="13" t="n">
        <v>84</v>
      </c>
      <c r="CC1058" s="13" t="n">
        <v>108</v>
      </c>
      <c r="CD1058" s="13" t="n">
        <v>13.4</v>
      </c>
      <c r="CE1058" s="13" t="n">
        <v>1546</v>
      </c>
      <c r="CF1058" s="13" t="n">
        <v>0.96</v>
      </c>
      <c r="CG1058" s="13" t="n">
        <v>1484</v>
      </c>
      <c r="CH1058" s="13" t="n">
        <v>136</v>
      </c>
      <c r="CI1058" s="13" t="n">
        <v>46</v>
      </c>
      <c r="CJ1058" s="13" t="n">
        <v>46</v>
      </c>
      <c r="CK1058" s="13" t="n">
        <v>251</v>
      </c>
      <c r="CL1058" s="13" t="n">
        <v>38</v>
      </c>
      <c r="CM1058" s="13" t="n">
        <v>201</v>
      </c>
      <c r="CN1058" s="13" t="n">
        <v>0.819</v>
      </c>
      <c r="CO1058" s="13" t="n">
        <v>142</v>
      </c>
      <c r="CP1058" s="13" t="n">
        <v>128</v>
      </c>
      <c r="CQ1058" s="13" t="n">
        <v>109</v>
      </c>
      <c r="CR1058" s="13" t="n">
        <v>8</v>
      </c>
      <c r="CS1058" s="13" t="n">
        <v>6.6</v>
      </c>
      <c r="CT1058" s="11" t="inlineStr">
        <is>
          <t xml:space="preserve"> Resort Freeride</t>
        </is>
      </c>
      <c r="CU1058" s="11" t="inlineStr">
        <is>
          <t xml:space="preserve"> Freeski</t>
        </is>
      </c>
      <c r="CV1058" s="13" t="n"/>
      <c r="CW1058" s="13" t="n"/>
      <c r="CX1058">
        <f>INDEX('Data_Price '!AG$2:AG$1266,MATCH(Data!$DN1058,'Data_Price '!$AT$2:$AT$1266,0))</f>
        <v/>
      </c>
      <c r="CY1058">
        <f>INDEX('Data_Price '!AH$2:AH$1266,MATCH(Data!$DN1058,'Data_Price '!$AT$2:$AT$1266,0))</f>
        <v/>
      </c>
      <c r="CZ1058">
        <f>INDEX('Data_Price '!AI$2:AI$1266,MATCH(Data!$DN1058,'Data_Price '!$AT$2:$AT$1266,0))</f>
        <v/>
      </c>
      <c r="DA1058">
        <f>INDEX('Data_Price '!AJ$2:AJ$1266,MATCH(Data!$DN1058,'Data_Price '!$AT$2:$AT$1266,0))</f>
        <v/>
      </c>
      <c r="DB1058">
        <f>INDEX('Data_Price '!AK$2:AK$1266,MATCH(Data!$DN1058,'Data_Price '!$AT$2:$AT$1266,0))</f>
        <v/>
      </c>
      <c r="DC1058">
        <f>INDEX('Data_Price '!AL$2:AL$1266,MATCH(Data!$DN1058,'Data_Price '!$AT$2:$AT$1266,0))</f>
        <v/>
      </c>
      <c r="DD1058">
        <f>INDEX('Data_Price '!AM$2:AM$1266,MATCH(Data!$DN1058,'Data_Price '!$AT$2:$AT$1266,0))</f>
        <v/>
      </c>
      <c r="DE1058">
        <f>INDEX('Data_Price '!AN$2:AN$1266,MATCH(Data!$DN1058,'Data_Price '!$AT$2:$AT$1266,0))</f>
        <v/>
      </c>
      <c r="DF1058">
        <f>INDEX('Data_Price '!AO$2:AO$1266,MATCH(Data!$DN1058,'Data_Price '!$AT$2:$AT$1266,0))</f>
        <v/>
      </c>
      <c r="DG1058">
        <f>INDEX('Data_Price '!AP$2:AP$1266,MATCH(Data!$DN1058,'Data_Price '!$AT$2:$AT$1266,0))</f>
        <v/>
      </c>
      <c r="DH1058">
        <f>INDEX('Data_Price '!AQ$2:AQ$1266,MATCH(Data!$DN1058,'Data_Price '!$AT$2:$AT$1266,0))</f>
        <v/>
      </c>
      <c r="DI1058">
        <f>INDEX('Data_Price '!AR$2:AR$1266,MATCH(Data!$DN1058,'Data_Price '!$AT$2:$AT$1266,0))</f>
        <v/>
      </c>
      <c r="DJ1058" s="138">
        <f>DA1058</f>
        <v/>
      </c>
      <c r="DK1058" s="138">
        <f>DE1058</f>
        <v/>
      </c>
      <c r="DL1058" s="138">
        <f>DI1058</f>
        <v/>
      </c>
      <c r="DM1058" s="303">
        <f>IF(LEFT(BT1058,1)=" ",RIGHT(BT1058,LEN(BT1058)-1),BT1058)</f>
        <v/>
      </c>
      <c r="DN1058" s="138">
        <f>_xlfn.CONCAT(BS1058,DM1058,BU1058,BV1058)</f>
        <v/>
      </c>
      <c r="DO1058" s="307" t="inlineStr">
        <is>
          <t>https://images.evo.com/imgp/250/198711/839682/armada-arw-84-skis-girls-2022-.jpg</t>
        </is>
      </c>
    </row>
    <row r="1059" ht="15.6" customHeight="1" s="184">
      <c r="B1059" s="303">
        <f t="array" ref="B1059">IF(OR(ISERROR(K1059:P1059)),FALSE,TRUE)</f>
        <v/>
      </c>
      <c r="C1059" s="60">
        <f>OR(BR1059=Driver!$G$50,Data!BR354=Driver!$H$50)</f>
        <v/>
      </c>
      <c r="D1059" s="60">
        <f>OR(BV1059=Driver!$G$51,BV1059=Driver!$H$51)</f>
        <v/>
      </c>
      <c r="E1059" s="60">
        <f>AND(BX1059&gt;Driver!$F$54,BX1059&lt;Driver!$G$54)</f>
        <v/>
      </c>
      <c r="F1059" s="60">
        <f>CL1059&gt;Driver!$F$56</f>
        <v/>
      </c>
      <c r="G1059" s="60">
        <f>AND(CB1059&gt;Driver!$F$55,CB1059&lt;Driver!$G$55)</f>
        <v/>
      </c>
      <c r="H1059" s="60">
        <f>AND(B1059:G1059)</f>
        <v/>
      </c>
      <c r="I1059" s="60">
        <f>COUNTIFS($H$9:$H$1273,TRUE,$BT$9:$BT$1273,BT1059)</f>
        <v/>
      </c>
      <c r="J1059" s="60">
        <f t="array" ref="J1059">NOT(OR(($H$9:$H$1273=TRUE)*($I$9:$I$1273&gt;0)*($BT$9:$BT$1273=BT1059)*($K$9:$K$1273&gt;K1059)))</f>
        <v/>
      </c>
      <c r="K1059" s="108">
        <f>IFERROR(1-AVERAGE(X1059:Y1059),"")</f>
        <v/>
      </c>
      <c r="L1059" s="108">
        <f>1-X1059</f>
        <v/>
      </c>
      <c r="M1059" s="108">
        <f>1-Y1059</f>
        <v/>
      </c>
      <c r="N1059" s="108">
        <f>1-Z1059</f>
        <v/>
      </c>
      <c r="O1059" s="108">
        <f>1-AA1059</f>
        <v/>
      </c>
      <c r="P1059" s="108">
        <f>1-AB1059</f>
        <v/>
      </c>
      <c r="Q1059" s="108" t="n"/>
      <c r="R1059" s="108" t="n"/>
      <c r="S1059" s="108">
        <f>1-AE1059</f>
        <v/>
      </c>
      <c r="T1059" s="108">
        <f>1-AF1059</f>
        <v/>
      </c>
      <c r="U1059" s="108">
        <f>1-AG1059</f>
        <v/>
      </c>
      <c r="V1059" s="108">
        <f>1-AH1059</f>
        <v/>
      </c>
      <c r="W1059" s="108">
        <f>1-AI1059</f>
        <v/>
      </c>
      <c r="X1059" s="108">
        <f>ABS(AJ1059-AJ$1)</f>
        <v/>
      </c>
      <c r="Y1059" s="108">
        <f>AVERAGE(Z1059:AB1059)</f>
        <v/>
      </c>
      <c r="Z1059" s="108">
        <f>ABS(AL1059-AL$1)</f>
        <v/>
      </c>
      <c r="AA1059" s="108">
        <f>ABS(AM1059-AM$1)</f>
        <v/>
      </c>
      <c r="AB1059" s="108">
        <f>ABS(AN1059-AN$1)</f>
        <v/>
      </c>
      <c r="AC1059" s="108" t="n"/>
      <c r="AD1059" s="108" t="n"/>
      <c r="AE1059" s="108">
        <f>ABS(AQ$1-AQ1059)</f>
        <v/>
      </c>
      <c r="AF1059" s="108">
        <f>ABS(AR$1-AR1059)</f>
        <v/>
      </c>
      <c r="AG1059" s="108">
        <f>ABS(AS$1-AS1059)</f>
        <v/>
      </c>
      <c r="AH1059" s="108">
        <f>ABS(AT$1-AT1059)</f>
        <v/>
      </c>
      <c r="AI1059" s="108">
        <f>ABS(AU$1-AU1059)</f>
        <v/>
      </c>
      <c r="AJ1059" s="108">
        <f>(AV1059-Driver!$K$179)/(Driver!$L$179-Driver!$K$179)</f>
        <v/>
      </c>
      <c r="AK1059" s="108">
        <f>(AW1059-Driver!$K$180)/(Driver!$L$180-Driver!$K$180)</f>
        <v/>
      </c>
      <c r="AL1059" s="108">
        <f>(AX1059-Driver!$K$181)/(Driver!$L$181-Driver!$K$181)</f>
        <v/>
      </c>
      <c r="AM1059" s="108">
        <f>(AY1059-Driver!$K$182)/(Driver!$L$182-Driver!$K$182)</f>
        <v/>
      </c>
      <c r="AN1059" s="108">
        <f>(AZ1059-Driver!$K$183)/(Driver!$L$183-Driver!$K$183)</f>
        <v/>
      </c>
      <c r="AO1059" s="108" t="n"/>
      <c r="AP1059" s="108" t="n"/>
      <c r="AQ1059" s="108">
        <f>(BC1059-Driver!$K$188)/(Driver!$L$188-Driver!$K$188)</f>
        <v/>
      </c>
      <c r="AR1059" s="108">
        <f>MIN((BD1059-Driver!$K$189)/(Driver!$L$189-Driver!$K$189),100%)</f>
        <v/>
      </c>
      <c r="AS1059" s="108">
        <f>(BE1059-Driver!$K$190)/(Driver!$L$190-Driver!$K$190)</f>
        <v/>
      </c>
      <c r="AT1059" s="108">
        <f>(BF1059-Driver!$K$191)/(Driver!$L$191-Driver!$K$191)</f>
        <v/>
      </c>
      <c r="AU1059" s="108">
        <f>(BG1059-Driver!$K$192)/(Driver!$L$192-Driver!$K$192)</f>
        <v/>
      </c>
      <c r="AV1059" s="105">
        <f>IFERROR(BM1059*BJ1059^1/4,"")</f>
        <v/>
      </c>
      <c r="AW1059" s="105">
        <f>IFERROR(SUM(AX1059:AZ1059),"")</f>
        <v/>
      </c>
      <c r="AX1059" s="105">
        <f>IFERROR(BH1059,"")</f>
        <v/>
      </c>
      <c r="AY1059" s="105">
        <f>IFERROR(Driver!$K$19/Data!BH1059/Data!BI1059*Data!BK1059*Data!BL1059,"")</f>
        <v/>
      </c>
      <c r="AZ1059" s="105">
        <f>IFERROR(BI1059*BN1059,"")</f>
        <v/>
      </c>
      <c r="BA1059" s="105" t="n"/>
      <c r="BB1059" s="105" t="n"/>
      <c r="BC1059" s="105">
        <f>IFERROR(BI1059*BN1059*BK1059/BJ1059^(1/2),"")</f>
        <v/>
      </c>
      <c r="BD1059" s="105">
        <f>IFERROR(BH1059*BM1059*BL1059/BJ1059/BK1059,"")</f>
        <v/>
      </c>
      <c r="BE1059" s="105">
        <f>IFERROR(MIN(BI1059/BQ1059/BP1059/BO1059/BH1059,$BE$1),"")</f>
        <v/>
      </c>
      <c r="BF1059" s="105">
        <f>IFERROR(BJ1059*BO1059*BP1059/BK1059,"")</f>
        <v/>
      </c>
      <c r="BG1059" s="105">
        <f>IFERROR(1/BM1059/BH1059*BQ1059,"")</f>
        <v/>
      </c>
      <c r="BH1059" s="102">
        <f>MAX((CE1059-Driver!$F$200)/(Driver!$G$200-Driver!$F$200)*$BI$1,1)</f>
        <v/>
      </c>
      <c r="BI1059" s="102">
        <f>MAX($BI$1*(BY1059-Driver!$F$201)/(Driver!$G$201-Driver!$F$201),1)</f>
        <v/>
      </c>
      <c r="BJ1059" s="102">
        <f>(CB1059-Driver!$F$206)/(Driver!$G$206-Driver!$F$206)*$BI$1</f>
        <v/>
      </c>
      <c r="BK1059" s="102">
        <f>(CD1059-Driver!$F$203)/(Driver!$G$203-Driver!$F$203)*$BI$1</f>
        <v/>
      </c>
      <c r="BL1059" s="102">
        <f>MAX((CR1059-Driver!$F$202)/(Driver!$G$202-Driver!$F$202)*$BI$1,1)</f>
        <v/>
      </c>
      <c r="BM1059" s="102">
        <f>MAX((CH1059-Driver!$F$204)/(Driver!$G$204-Driver!$F$204)*$BI$1,1)</f>
        <v/>
      </c>
      <c r="BN1059" s="102">
        <f>(CI1059-Driver!$F$205)/(Driver!$G$205-Driver!$F$205)*$BI$1</f>
        <v/>
      </c>
      <c r="BO1059" s="102">
        <f>(CK1059-Driver!$F$207)/(Driver!$G$207-Driver!$F$207)*$BI$1</f>
        <v/>
      </c>
      <c r="BP1059" s="102">
        <f>(CM1059-Driver!$F$208)/(Driver!$G$208-Driver!$F$208)*$BI$1</f>
        <v/>
      </c>
      <c r="BQ1059" s="102">
        <f>(CL1059-Driver!$F$209)/(Driver!$G$209-Driver!$F$209)*$BI$1</f>
        <v/>
      </c>
      <c r="BR1059" s="40" t="inlineStr">
        <is>
          <t>21/22</t>
        </is>
      </c>
      <c r="BS1059" s="10" t="inlineStr">
        <is>
          <t xml:space="preserve"> DPS</t>
        </is>
      </c>
      <c r="BT1059" s="11" t="inlineStr">
        <is>
          <t>Pagoda Tour 100 RP</t>
        </is>
      </c>
      <c r="BU1059" s="13" t="n">
        <v>153</v>
      </c>
      <c r="BV1059" s="11" t="inlineStr">
        <is>
          <t xml:space="preserve"> Unisex</t>
        </is>
      </c>
      <c r="BW1059" s="13" t="n">
        <v>153</v>
      </c>
      <c r="BX1059" s="13" t="n">
        <v>151.8</v>
      </c>
      <c r="BY1059" s="13" t="n">
        <v>103</v>
      </c>
      <c r="BZ1059" s="13" t="n">
        <v>111</v>
      </c>
      <c r="CA1059" s="13" t="n">
        <v>124</v>
      </c>
      <c r="CB1059" s="13" t="n">
        <v>100</v>
      </c>
      <c r="CC1059" s="13" t="n">
        <v>112</v>
      </c>
      <c r="CD1059" s="13" t="n">
        <v>14.9</v>
      </c>
      <c r="CE1059" s="13" t="n">
        <v>1170</v>
      </c>
      <c r="CF1059" s="13" t="n">
        <v>1.4</v>
      </c>
      <c r="CG1059" s="13" t="n">
        <v>1633</v>
      </c>
      <c r="CH1059" s="13" t="n">
        <v>143</v>
      </c>
      <c r="CI1059" s="13" t="n">
        <v>70</v>
      </c>
      <c r="CJ1059" s="13" t="n">
        <v>33</v>
      </c>
      <c r="CK1059" s="13" t="n">
        <v>255</v>
      </c>
      <c r="CL1059" s="13" t="n">
        <v>16</v>
      </c>
      <c r="CM1059" s="13" t="n">
        <v>229</v>
      </c>
      <c r="CN1059" s="13" t="n">
        <v>0.466</v>
      </c>
      <c r="CO1059" s="13" t="n">
        <v>215</v>
      </c>
      <c r="CP1059" s="13" t="n">
        <v>188</v>
      </c>
      <c r="CQ1059" s="13" t="n">
        <v>40</v>
      </c>
      <c r="CR1059" s="13" t="n">
        <v>6</v>
      </c>
      <c r="CS1059" s="13" t="n">
        <v>11.5</v>
      </c>
      <c r="CT1059" s="11" t="inlineStr">
        <is>
          <t xml:space="preserve"> Touring</t>
        </is>
      </c>
      <c r="CU1059" s="11" t="inlineStr">
        <is>
          <t xml:space="preserve"> Ultralight Touring</t>
        </is>
      </c>
      <c r="CV1059" s="13" t="n"/>
      <c r="CW1059" s="13" t="n"/>
      <c r="CX1059">
        <f>INDEX('Data_Price '!AG$2:AG$1266,MATCH(Data!$DN1059,'Data_Price '!$AT$2:$AT$1266,0))</f>
        <v/>
      </c>
      <c r="CY1059">
        <f>INDEX('Data_Price '!AH$2:AH$1266,MATCH(Data!$DN1059,'Data_Price '!$AT$2:$AT$1266,0))</f>
        <v/>
      </c>
      <c r="CZ1059">
        <f>INDEX('Data_Price '!AI$2:AI$1266,MATCH(Data!$DN1059,'Data_Price '!$AT$2:$AT$1266,0))</f>
        <v/>
      </c>
      <c r="DA1059">
        <f>INDEX('Data_Price '!AJ$2:AJ$1266,MATCH(Data!$DN1059,'Data_Price '!$AT$2:$AT$1266,0))</f>
        <v/>
      </c>
      <c r="DB1059">
        <f>INDEX('Data_Price '!AK$2:AK$1266,MATCH(Data!$DN1059,'Data_Price '!$AT$2:$AT$1266,0))</f>
        <v/>
      </c>
      <c r="DC1059">
        <f>INDEX('Data_Price '!AL$2:AL$1266,MATCH(Data!$DN1059,'Data_Price '!$AT$2:$AT$1266,0))</f>
        <v/>
      </c>
      <c r="DD1059">
        <f>INDEX('Data_Price '!AM$2:AM$1266,MATCH(Data!$DN1059,'Data_Price '!$AT$2:$AT$1266,0))</f>
        <v/>
      </c>
      <c r="DE1059">
        <f>INDEX('Data_Price '!AN$2:AN$1266,MATCH(Data!$DN1059,'Data_Price '!$AT$2:$AT$1266,0))</f>
        <v/>
      </c>
      <c r="DF1059">
        <f>INDEX('Data_Price '!AO$2:AO$1266,MATCH(Data!$DN1059,'Data_Price '!$AT$2:$AT$1266,0))</f>
        <v/>
      </c>
      <c r="DG1059">
        <f>INDEX('Data_Price '!AP$2:AP$1266,MATCH(Data!$DN1059,'Data_Price '!$AT$2:$AT$1266,0))</f>
        <v/>
      </c>
      <c r="DH1059">
        <f>INDEX('Data_Price '!AQ$2:AQ$1266,MATCH(Data!$DN1059,'Data_Price '!$AT$2:$AT$1266,0))</f>
        <v/>
      </c>
      <c r="DI1059">
        <f>INDEX('Data_Price '!AR$2:AR$1266,MATCH(Data!$DN1059,'Data_Price '!$AT$2:$AT$1266,0))</f>
        <v/>
      </c>
      <c r="DJ1059" s="138">
        <f>DA1059</f>
        <v/>
      </c>
      <c r="DK1059" s="138">
        <f>DE1059</f>
        <v/>
      </c>
      <c r="DL1059" s="138">
        <f>DI1059</f>
        <v/>
      </c>
      <c r="DM1059" s="303">
        <f>IF(LEFT(BT1059,1)=" ",RIGHT(BT1059,LEN(BT1059)-1),BT1059)</f>
        <v/>
      </c>
      <c r="DN1059" s="138">
        <f>_xlfn.CONCAT(BS1059,DM1059,BU1059,BV1059)</f>
        <v/>
      </c>
      <c r="DO1059" s="307" t="inlineStr">
        <is>
          <t>https://images.evo.com/imgp/250/183638/728544/clone.jpg</t>
        </is>
      </c>
    </row>
    <row r="1060" ht="15.6" customHeight="1" s="184">
      <c r="B1060" s="303">
        <f t="array" ref="B1060">IF(OR(ISERROR(K1060:P1060)),FALSE,TRUE)</f>
        <v/>
      </c>
      <c r="C1060" s="60">
        <f>OR(BR1060=Driver!$G$50,Data!BR311=Driver!$H$50)</f>
        <v/>
      </c>
      <c r="D1060" s="60">
        <f>OR(BV1060=Driver!$G$51,BV1060=Driver!$H$51)</f>
        <v/>
      </c>
      <c r="E1060" s="60">
        <f>AND(BX1060&gt;Driver!$F$54,BX1060&lt;Driver!$G$54)</f>
        <v/>
      </c>
      <c r="F1060" s="60">
        <f>CL1060&gt;Driver!$F$56</f>
        <v/>
      </c>
      <c r="G1060" s="60">
        <f>AND(CB1060&gt;Driver!$F$55,CB1060&lt;Driver!$G$55)</f>
        <v/>
      </c>
      <c r="H1060" s="60">
        <f>AND(B1060:G1060)</f>
        <v/>
      </c>
      <c r="I1060" s="60">
        <f>COUNTIFS($H$9:$H$1273,TRUE,$BT$9:$BT$1273,BT1060)</f>
        <v/>
      </c>
      <c r="J1060" s="60">
        <f t="array" ref="J1060">NOT(OR(($H$9:$H$1273=TRUE)*($I$9:$I$1273&gt;0)*($BT$9:$BT$1273=BT1060)*($K$9:$K$1273&gt;K1060)))</f>
        <v/>
      </c>
      <c r="K1060" s="108">
        <f>IFERROR(1-AVERAGE(X1060:Y1060),"")</f>
        <v/>
      </c>
      <c r="L1060" s="108">
        <f>1-X1060</f>
        <v/>
      </c>
      <c r="M1060" s="108">
        <f>1-Y1060</f>
        <v/>
      </c>
      <c r="N1060" s="108">
        <f>1-Z1060</f>
        <v/>
      </c>
      <c r="O1060" s="108">
        <f>1-AA1060</f>
        <v/>
      </c>
      <c r="P1060" s="108">
        <f>1-AB1060</f>
        <v/>
      </c>
      <c r="Q1060" s="108" t="n"/>
      <c r="R1060" s="108" t="n"/>
      <c r="S1060" s="108">
        <f>1-AE1060</f>
        <v/>
      </c>
      <c r="T1060" s="108">
        <f>1-AF1060</f>
        <v/>
      </c>
      <c r="U1060" s="108">
        <f>1-AG1060</f>
        <v/>
      </c>
      <c r="V1060" s="108">
        <f>1-AH1060</f>
        <v/>
      </c>
      <c r="W1060" s="108">
        <f>1-AI1060</f>
        <v/>
      </c>
      <c r="X1060" s="108">
        <f>ABS(AJ1060-AJ$1)</f>
        <v/>
      </c>
      <c r="Y1060" s="108">
        <f>AVERAGE(Z1060:AB1060)</f>
        <v/>
      </c>
      <c r="Z1060" s="108">
        <f>ABS(AL1060-AL$1)</f>
        <v/>
      </c>
      <c r="AA1060" s="108">
        <f>ABS(AM1060-AM$1)</f>
        <v/>
      </c>
      <c r="AB1060" s="108">
        <f>ABS(AN1060-AN$1)</f>
        <v/>
      </c>
      <c r="AC1060" s="108" t="n"/>
      <c r="AD1060" s="108" t="n"/>
      <c r="AE1060" s="108">
        <f>ABS(AQ$1-AQ1060)</f>
        <v/>
      </c>
      <c r="AF1060" s="108">
        <f>ABS(AR$1-AR1060)</f>
        <v/>
      </c>
      <c r="AG1060" s="108">
        <f>ABS(AS$1-AS1060)</f>
        <v/>
      </c>
      <c r="AH1060" s="108">
        <f>ABS(AT$1-AT1060)</f>
        <v/>
      </c>
      <c r="AI1060" s="108">
        <f>ABS(AU$1-AU1060)</f>
        <v/>
      </c>
      <c r="AJ1060" s="108">
        <f>(AV1060-Driver!$K$179)/(Driver!$L$179-Driver!$K$179)</f>
        <v/>
      </c>
      <c r="AK1060" s="108">
        <f>(AW1060-Driver!$K$180)/(Driver!$L$180-Driver!$K$180)</f>
        <v/>
      </c>
      <c r="AL1060" s="108">
        <f>(AX1060-Driver!$K$181)/(Driver!$L$181-Driver!$K$181)</f>
        <v/>
      </c>
      <c r="AM1060" s="108">
        <f>(AY1060-Driver!$K$182)/(Driver!$L$182-Driver!$K$182)</f>
        <v/>
      </c>
      <c r="AN1060" s="108">
        <f>(AZ1060-Driver!$K$183)/(Driver!$L$183-Driver!$K$183)</f>
        <v/>
      </c>
      <c r="AO1060" s="108" t="n"/>
      <c r="AP1060" s="108" t="n"/>
      <c r="AQ1060" s="108">
        <f>(BC1060-Driver!$K$188)/(Driver!$L$188-Driver!$K$188)</f>
        <v/>
      </c>
      <c r="AR1060" s="108">
        <f>MIN((BD1060-Driver!$K$189)/(Driver!$L$189-Driver!$K$189),100%)</f>
        <v/>
      </c>
      <c r="AS1060" s="108">
        <f>(BE1060-Driver!$K$190)/(Driver!$L$190-Driver!$K$190)</f>
        <v/>
      </c>
      <c r="AT1060" s="108">
        <f>(BF1060-Driver!$K$191)/(Driver!$L$191-Driver!$K$191)</f>
        <v/>
      </c>
      <c r="AU1060" s="108">
        <f>(BG1060-Driver!$K$192)/(Driver!$L$192-Driver!$K$192)</f>
        <v/>
      </c>
      <c r="AV1060" s="105">
        <f>IFERROR(BM1060*BJ1060^1/4,"")</f>
        <v/>
      </c>
      <c r="AW1060" s="105">
        <f>IFERROR(SUM(AX1060:AZ1060),"")</f>
        <v/>
      </c>
      <c r="AX1060" s="105">
        <f>IFERROR(BH1060,"")</f>
        <v/>
      </c>
      <c r="AY1060" s="105">
        <f>IFERROR(Driver!$K$19/Data!BH1060/Data!BI1060*Data!BK1060*Data!BL1060,"")</f>
        <v/>
      </c>
      <c r="AZ1060" s="105">
        <f>IFERROR(BI1060*BN1060,"")</f>
        <v/>
      </c>
      <c r="BA1060" s="105" t="n"/>
      <c r="BB1060" s="105" t="n"/>
      <c r="BC1060" s="105">
        <f>IFERROR(BI1060*BN1060*BK1060/BJ1060^(1/2),"")</f>
        <v/>
      </c>
      <c r="BD1060" s="105">
        <f>IFERROR(BH1060*BM1060*BL1060/BJ1060/BK1060,"")</f>
        <v/>
      </c>
      <c r="BE1060" s="105">
        <f>IFERROR(MIN(BI1060/BQ1060/BP1060/BO1060/BH1060,$BE$1),"")</f>
        <v/>
      </c>
      <c r="BF1060" s="105">
        <f>IFERROR(BJ1060*BO1060*BP1060/BK1060,"")</f>
        <v/>
      </c>
      <c r="BG1060" s="105">
        <f>IFERROR(1/BM1060/BH1060*BQ1060,"")</f>
        <v/>
      </c>
      <c r="BH1060" s="102">
        <f>MAX((CE1060-Driver!$F$200)/(Driver!$G$200-Driver!$F$200)*$BI$1,1)</f>
        <v/>
      </c>
      <c r="BI1060" s="102">
        <f>MAX($BI$1*(BY1060-Driver!$F$201)/(Driver!$G$201-Driver!$F$201),1)</f>
        <v/>
      </c>
      <c r="BJ1060" s="102">
        <f>(CB1060-Driver!$F$206)/(Driver!$G$206-Driver!$F$206)*$BI$1</f>
        <v/>
      </c>
      <c r="BK1060" s="102">
        <f>(CD1060-Driver!$F$203)/(Driver!$G$203-Driver!$F$203)*$BI$1</f>
        <v/>
      </c>
      <c r="BL1060" s="102">
        <f>MAX((CR1060-Driver!$F$202)/(Driver!$G$202-Driver!$F$202)*$BI$1,1)</f>
        <v/>
      </c>
      <c r="BM1060" s="102">
        <f>MAX((CH1060-Driver!$F$204)/(Driver!$G$204-Driver!$F$204)*$BI$1,1)</f>
        <v/>
      </c>
      <c r="BN1060" s="102">
        <f>(CI1060-Driver!$F$205)/(Driver!$G$205-Driver!$F$205)*$BI$1</f>
        <v/>
      </c>
      <c r="BO1060" s="102">
        <f>(CK1060-Driver!$F$207)/(Driver!$G$207-Driver!$F$207)*$BI$1</f>
        <v/>
      </c>
      <c r="BP1060" s="102">
        <f>(CM1060-Driver!$F$208)/(Driver!$G$208-Driver!$F$208)*$BI$1</f>
        <v/>
      </c>
      <c r="BQ1060" s="102">
        <f>(CL1060-Driver!$F$209)/(Driver!$G$209-Driver!$F$209)*$BI$1</f>
        <v/>
      </c>
      <c r="BR1060" s="40" t="inlineStr">
        <is>
          <t>21/22</t>
        </is>
      </c>
      <c r="BS1060" s="10" t="inlineStr">
        <is>
          <t xml:space="preserve"> Blizzard</t>
        </is>
      </c>
      <c r="BT1060" s="11" t="inlineStr">
        <is>
          <t>Thunderbird R13</t>
        </is>
      </c>
      <c r="BU1060" s="13" t="n">
        <v>160</v>
      </c>
      <c r="BV1060" s="11" t="inlineStr">
        <is>
          <t xml:space="preserve"> Unisex</t>
        </is>
      </c>
      <c r="BW1060" s="13" t="n">
        <v>160</v>
      </c>
      <c r="BX1060" s="13" t="n">
        <v>158.9</v>
      </c>
      <c r="BY1060" s="13" t="n">
        <v>139</v>
      </c>
      <c r="BZ1060" s="13" t="n">
        <v>146</v>
      </c>
      <c r="CA1060" s="13" t="n">
        <v>122</v>
      </c>
      <c r="CB1060" s="13" t="n">
        <v>71</v>
      </c>
      <c r="CC1060" s="13" t="n">
        <v>105</v>
      </c>
      <c r="CD1060" s="13" t="n">
        <v>12.4</v>
      </c>
      <c r="CE1060" s="13" t="n">
        <v>2080</v>
      </c>
      <c r="CF1060" s="13" t="n">
        <v>0.67</v>
      </c>
      <c r="CG1060" s="13" t="n">
        <v>1384</v>
      </c>
      <c r="CH1060" s="13" t="n">
        <v>178</v>
      </c>
      <c r="CI1060" s="13" t="n">
        <v>113</v>
      </c>
      <c r="CJ1060" s="13" t="n">
        <v>43</v>
      </c>
      <c r="CK1060" s="13" t="n">
        <v>143</v>
      </c>
      <c r="CL1060" s="13" t="n">
        <v>7</v>
      </c>
      <c r="CM1060" s="13" t="n">
        <v>55</v>
      </c>
      <c r="CN1060" s="13" t="n">
        <v>0.156</v>
      </c>
      <c r="CO1060" s="13" t="n">
        <v>75</v>
      </c>
      <c r="CP1060" s="13" t="n">
        <v>54</v>
      </c>
      <c r="CQ1060" s="13" t="n">
        <v>68</v>
      </c>
      <c r="CR1060" s="13" t="n">
        <v>10</v>
      </c>
      <c r="CS1060" s="13" t="n">
        <v>12.1</v>
      </c>
      <c r="CT1060" s="11" t="inlineStr">
        <is>
          <t xml:space="preserve"> On-Piste Carving</t>
        </is>
      </c>
      <c r="CU1060" s="13" t="n"/>
      <c r="CV1060" s="13" t="n"/>
      <c r="CW1060" s="13" t="n"/>
      <c r="CX1060">
        <f>INDEX('Data_Price '!AG$2:AG$1266,MATCH(Data!$DN1060,'Data_Price '!$AT$2:$AT$1266,0))</f>
        <v/>
      </c>
      <c r="CY1060">
        <f>INDEX('Data_Price '!AH$2:AH$1266,MATCH(Data!$DN1060,'Data_Price '!$AT$2:$AT$1266,0))</f>
        <v/>
      </c>
      <c r="CZ1060">
        <f>INDEX('Data_Price '!AI$2:AI$1266,MATCH(Data!$DN1060,'Data_Price '!$AT$2:$AT$1266,0))</f>
        <v/>
      </c>
      <c r="DA1060">
        <f>INDEX('Data_Price '!AJ$2:AJ$1266,MATCH(Data!$DN1060,'Data_Price '!$AT$2:$AT$1266,0))</f>
        <v/>
      </c>
      <c r="DB1060">
        <f>INDEX('Data_Price '!AK$2:AK$1266,MATCH(Data!$DN1060,'Data_Price '!$AT$2:$AT$1266,0))</f>
        <v/>
      </c>
      <c r="DC1060">
        <f>INDEX('Data_Price '!AL$2:AL$1266,MATCH(Data!$DN1060,'Data_Price '!$AT$2:$AT$1266,0))</f>
        <v/>
      </c>
      <c r="DD1060">
        <f>INDEX('Data_Price '!AM$2:AM$1266,MATCH(Data!$DN1060,'Data_Price '!$AT$2:$AT$1266,0))</f>
        <v/>
      </c>
      <c r="DE1060">
        <f>INDEX('Data_Price '!AN$2:AN$1266,MATCH(Data!$DN1060,'Data_Price '!$AT$2:$AT$1266,0))</f>
        <v/>
      </c>
      <c r="DF1060">
        <f>INDEX('Data_Price '!AO$2:AO$1266,MATCH(Data!$DN1060,'Data_Price '!$AT$2:$AT$1266,0))</f>
        <v/>
      </c>
      <c r="DG1060">
        <f>INDEX('Data_Price '!AP$2:AP$1266,MATCH(Data!$DN1060,'Data_Price '!$AT$2:$AT$1266,0))</f>
        <v/>
      </c>
      <c r="DH1060">
        <f>INDEX('Data_Price '!AQ$2:AQ$1266,MATCH(Data!$DN1060,'Data_Price '!$AT$2:$AT$1266,0))</f>
        <v/>
      </c>
      <c r="DI1060">
        <f>INDEX('Data_Price '!AR$2:AR$1266,MATCH(Data!$DN1060,'Data_Price '!$AT$2:$AT$1266,0))</f>
        <v/>
      </c>
      <c r="DJ1060" s="138">
        <f>DA1060</f>
        <v/>
      </c>
      <c r="DK1060" s="138">
        <f>DE1060</f>
        <v/>
      </c>
      <c r="DL1060" s="138">
        <f>DI1060</f>
        <v/>
      </c>
      <c r="DM1060" s="303">
        <f>IF(LEFT(BT1060,1)=" ",RIGHT(BT1060,LEN(BT1060)-1),BT1060)</f>
        <v/>
      </c>
      <c r="DN1060" s="138">
        <f>_xlfn.CONCAT(BS1060,DM1060,BU1060,BV1060)</f>
        <v/>
      </c>
      <c r="DO1060" s="307" t="n"/>
    </row>
    <row r="1061" ht="15.6" customHeight="1" s="184">
      <c r="B1061" s="303">
        <f t="array" ref="B1061">IF(OR(ISERROR(K1061:P1061)),FALSE,TRUE)</f>
        <v/>
      </c>
      <c r="C1061" s="60">
        <f>OR(BR1061=Driver!$G$50,Data!BR114=Driver!$H$50)</f>
        <v/>
      </c>
      <c r="D1061" s="60">
        <f>OR(BV1061=Driver!$G$51,BV1061=Driver!$H$51)</f>
        <v/>
      </c>
      <c r="E1061" s="60">
        <f>AND(BX1061&gt;Driver!$F$54,BX1061&lt;Driver!$G$54)</f>
        <v/>
      </c>
      <c r="F1061" s="60">
        <f>CL1061&gt;Driver!$F$56</f>
        <v/>
      </c>
      <c r="G1061" s="60">
        <f>AND(CB1061&gt;Driver!$F$55,CB1061&lt;Driver!$G$55)</f>
        <v/>
      </c>
      <c r="H1061" s="60">
        <f>AND(B1061:G1061)</f>
        <v/>
      </c>
      <c r="I1061" s="60">
        <f>COUNTIFS($H$9:$H$1273,TRUE,$BT$9:$BT$1273,BT1061)</f>
        <v/>
      </c>
      <c r="J1061" s="60">
        <f t="array" ref="J1061">NOT(OR(($H$9:$H$1273=TRUE)*($I$9:$I$1273&gt;0)*($BT$9:$BT$1273=BT1061)*($K$9:$K$1273&gt;K1061)))</f>
        <v/>
      </c>
      <c r="K1061" s="108">
        <f>IFERROR(1-AVERAGE(X1061:Y1061),"")</f>
        <v/>
      </c>
      <c r="L1061" s="108">
        <f>1-X1061</f>
        <v/>
      </c>
      <c r="M1061" s="108">
        <f>1-Y1061</f>
        <v/>
      </c>
      <c r="N1061" s="108">
        <f>1-Z1061</f>
        <v/>
      </c>
      <c r="O1061" s="108">
        <f>1-AA1061</f>
        <v/>
      </c>
      <c r="P1061" s="108">
        <f>1-AB1061</f>
        <v/>
      </c>
      <c r="Q1061" s="108" t="n"/>
      <c r="R1061" s="108" t="n"/>
      <c r="S1061" s="108">
        <f>1-AE1061</f>
        <v/>
      </c>
      <c r="T1061" s="108">
        <f>1-AF1061</f>
        <v/>
      </c>
      <c r="U1061" s="108">
        <f>1-AG1061</f>
        <v/>
      </c>
      <c r="V1061" s="108">
        <f>1-AH1061</f>
        <v/>
      </c>
      <c r="W1061" s="108">
        <f>1-AI1061</f>
        <v/>
      </c>
      <c r="X1061" s="108">
        <f>ABS(AJ1061-AJ$1)</f>
        <v/>
      </c>
      <c r="Y1061" s="108">
        <f>AVERAGE(Z1061:AB1061)</f>
        <v/>
      </c>
      <c r="Z1061" s="108">
        <f>ABS(AL1061-AL$1)</f>
        <v/>
      </c>
      <c r="AA1061" s="108">
        <f>ABS(AM1061-AM$1)</f>
        <v/>
      </c>
      <c r="AB1061" s="108">
        <f>ABS(AN1061-AN$1)</f>
        <v/>
      </c>
      <c r="AC1061" s="108" t="n"/>
      <c r="AD1061" s="108" t="n"/>
      <c r="AE1061" s="108">
        <f>ABS(AQ$1-AQ1061)</f>
        <v/>
      </c>
      <c r="AF1061" s="108">
        <f>ABS(AR$1-AR1061)</f>
        <v/>
      </c>
      <c r="AG1061" s="108">
        <f>ABS(AS$1-AS1061)</f>
        <v/>
      </c>
      <c r="AH1061" s="108">
        <f>ABS(AT$1-AT1061)</f>
        <v/>
      </c>
      <c r="AI1061" s="108">
        <f>ABS(AU$1-AU1061)</f>
        <v/>
      </c>
      <c r="AJ1061" s="108">
        <f>(AV1061-Driver!$K$179)/(Driver!$L$179-Driver!$K$179)</f>
        <v/>
      </c>
      <c r="AK1061" s="108">
        <f>(AW1061-Driver!$K$180)/(Driver!$L$180-Driver!$K$180)</f>
        <v/>
      </c>
      <c r="AL1061" s="108">
        <f>(AX1061-Driver!$K$181)/(Driver!$L$181-Driver!$K$181)</f>
        <v/>
      </c>
      <c r="AM1061" s="108">
        <f>(AY1061-Driver!$K$182)/(Driver!$L$182-Driver!$K$182)</f>
        <v/>
      </c>
      <c r="AN1061" s="108">
        <f>(AZ1061-Driver!$K$183)/(Driver!$L$183-Driver!$K$183)</f>
        <v/>
      </c>
      <c r="AO1061" s="108" t="n"/>
      <c r="AP1061" s="108" t="n"/>
      <c r="AQ1061" s="108">
        <f>(BC1061-Driver!$K$188)/(Driver!$L$188-Driver!$K$188)</f>
        <v/>
      </c>
      <c r="AR1061" s="108">
        <f>MIN((BD1061-Driver!$K$189)/(Driver!$L$189-Driver!$K$189),100%)</f>
        <v/>
      </c>
      <c r="AS1061" s="108">
        <f>(BE1061-Driver!$K$190)/(Driver!$L$190-Driver!$K$190)</f>
        <v/>
      </c>
      <c r="AT1061" s="108">
        <f>(BF1061-Driver!$K$191)/(Driver!$L$191-Driver!$K$191)</f>
        <v/>
      </c>
      <c r="AU1061" s="108">
        <f>(BG1061-Driver!$K$192)/(Driver!$L$192-Driver!$K$192)</f>
        <v/>
      </c>
      <c r="AV1061" s="105">
        <f>IFERROR(BM1061*BJ1061^1/4,"")</f>
        <v/>
      </c>
      <c r="AW1061" s="105">
        <f>IFERROR(SUM(AX1061:AZ1061),"")</f>
        <v/>
      </c>
      <c r="AX1061" s="105">
        <f>IFERROR(BH1061,"")</f>
        <v/>
      </c>
      <c r="AY1061" s="105">
        <f>IFERROR(Driver!$K$19/Data!BH1061/Data!BI1061*Data!BK1061*Data!BL1061,"")</f>
        <v/>
      </c>
      <c r="AZ1061" s="105">
        <f>IFERROR(BI1061*BN1061,"")</f>
        <v/>
      </c>
      <c r="BA1061" s="105" t="n"/>
      <c r="BB1061" s="105" t="n"/>
      <c r="BC1061" s="105">
        <f>IFERROR(BI1061*BN1061*BK1061/BJ1061^(1/2),"")</f>
        <v/>
      </c>
      <c r="BD1061" s="105">
        <f>IFERROR(BH1061*BM1061*BL1061/BJ1061/BK1061,"")</f>
        <v/>
      </c>
      <c r="BE1061" s="105">
        <f>IFERROR(MIN(BI1061/BQ1061/BP1061/BO1061/BH1061,$BE$1),"")</f>
        <v/>
      </c>
      <c r="BF1061" s="105">
        <f>IFERROR(BJ1061*BO1061*BP1061/BK1061,"")</f>
        <v/>
      </c>
      <c r="BG1061" s="105">
        <f>IFERROR(1/BM1061/BH1061*BQ1061,"")</f>
        <v/>
      </c>
      <c r="BH1061" s="102">
        <f>MAX((CE1061-Driver!$F$200)/(Driver!$G$200-Driver!$F$200)*$BI$1,1)</f>
        <v/>
      </c>
      <c r="BI1061" s="102">
        <f>MAX($BI$1*(BY1061-Driver!$F$201)/(Driver!$G$201-Driver!$F$201),1)</f>
        <v/>
      </c>
      <c r="BJ1061" s="102">
        <f>(CB1061-Driver!$F$206)/(Driver!$G$206-Driver!$F$206)*$BI$1</f>
        <v/>
      </c>
      <c r="BK1061" s="102">
        <f>(CD1061-Driver!$F$203)/(Driver!$G$203-Driver!$F$203)*$BI$1</f>
        <v/>
      </c>
      <c r="BL1061" s="102">
        <f>MAX((CR1061-Driver!$F$202)/(Driver!$G$202-Driver!$F$202)*$BI$1,1)</f>
        <v/>
      </c>
      <c r="BM1061" s="102">
        <f>MAX((CH1061-Driver!$F$204)/(Driver!$G$204-Driver!$F$204)*$BI$1,1)</f>
        <v/>
      </c>
      <c r="BN1061" s="102">
        <f>(CI1061-Driver!$F$205)/(Driver!$G$205-Driver!$F$205)*$BI$1</f>
        <v/>
      </c>
      <c r="BO1061" s="102">
        <f>(CK1061-Driver!$F$207)/(Driver!$G$207-Driver!$F$207)*$BI$1</f>
        <v/>
      </c>
      <c r="BP1061" s="102">
        <f>(CM1061-Driver!$F$208)/(Driver!$G$208-Driver!$F$208)*$BI$1</f>
        <v/>
      </c>
      <c r="BQ1061" s="102">
        <f>(CL1061-Driver!$F$209)/(Driver!$G$209-Driver!$F$209)*$BI$1</f>
        <v/>
      </c>
      <c r="BR1061" s="40" t="inlineStr">
        <is>
          <t>21/22</t>
        </is>
      </c>
      <c r="BS1061" s="10" t="inlineStr">
        <is>
          <t xml:space="preserve"> Armada</t>
        </is>
      </c>
      <c r="BT1061" s="11" t="inlineStr">
        <is>
          <t xml:space="preserve"> Whitewalker</t>
        </is>
      </c>
      <c r="BU1061" s="13" t="n">
        <v>185</v>
      </c>
      <c r="BV1061" s="11" t="inlineStr">
        <is>
          <t xml:space="preserve"> Unisex</t>
        </is>
      </c>
      <c r="BW1061" s="13" t="n">
        <v>185</v>
      </c>
      <c r="BX1061" s="13" t="n">
        <v>183.2</v>
      </c>
      <c r="BY1061" s="13" t="n">
        <v>113</v>
      </c>
      <c r="BZ1061" s="13" t="n">
        <v>133</v>
      </c>
      <c r="CA1061" s="13" t="n">
        <v>138</v>
      </c>
      <c r="CB1061" s="13" t="n">
        <v>115</v>
      </c>
      <c r="CC1061" s="13" t="n">
        <v>134</v>
      </c>
      <c r="CD1061" s="13" t="n">
        <v>18.2</v>
      </c>
      <c r="CE1061" s="13" t="n">
        <v>1891</v>
      </c>
      <c r="CF1061" s="13" t="n">
        <v>1.19</v>
      </c>
      <c r="CG1061" s="13" t="n">
        <v>2242</v>
      </c>
      <c r="CH1061" s="13" t="n">
        <v>278</v>
      </c>
      <c r="CI1061" s="13" t="n">
        <v>144</v>
      </c>
      <c r="CJ1061" s="13" t="n">
        <v>64</v>
      </c>
      <c r="CK1061" s="13" t="n">
        <v>362</v>
      </c>
      <c r="CL1061" s="13" t="n">
        <v>61</v>
      </c>
      <c r="CM1061" s="13" t="n">
        <v>338</v>
      </c>
      <c r="CN1061" s="13" t="n">
        <v>0.957</v>
      </c>
      <c r="CO1061" s="13" t="n">
        <v>256</v>
      </c>
      <c r="CP1061" s="13" t="n">
        <v>248</v>
      </c>
      <c r="CQ1061" s="13" t="n">
        <v>106</v>
      </c>
      <c r="CR1061" s="13" t="n">
        <v>4</v>
      </c>
      <c r="CS1061" s="13" t="n">
        <v>5.7</v>
      </c>
      <c r="CT1061" s="11" t="inlineStr">
        <is>
          <t xml:space="preserve"> Freeski</t>
        </is>
      </c>
      <c r="CU1061" s="11" t="inlineStr">
        <is>
          <t xml:space="preserve"> Powder</t>
        </is>
      </c>
      <c r="CV1061" s="11" t="inlineStr">
        <is>
          <t xml:space="preserve"> Touring</t>
        </is>
      </c>
      <c r="CW1061" s="13" t="n"/>
      <c r="CX1061">
        <f>INDEX('Data_Price '!AG$2:AG$1266,MATCH(Data!$DN1061,'Data_Price '!$AT$2:$AT$1266,0))</f>
        <v/>
      </c>
      <c r="CY1061">
        <f>INDEX('Data_Price '!AH$2:AH$1266,MATCH(Data!$DN1061,'Data_Price '!$AT$2:$AT$1266,0))</f>
        <v/>
      </c>
      <c r="CZ1061">
        <f>INDEX('Data_Price '!AI$2:AI$1266,MATCH(Data!$DN1061,'Data_Price '!$AT$2:$AT$1266,0))</f>
        <v/>
      </c>
      <c r="DA1061">
        <f>INDEX('Data_Price '!AJ$2:AJ$1266,MATCH(Data!$DN1061,'Data_Price '!$AT$2:$AT$1266,0))</f>
        <v/>
      </c>
      <c r="DB1061">
        <f>INDEX('Data_Price '!AK$2:AK$1266,MATCH(Data!$DN1061,'Data_Price '!$AT$2:$AT$1266,0))</f>
        <v/>
      </c>
      <c r="DC1061">
        <f>INDEX('Data_Price '!AL$2:AL$1266,MATCH(Data!$DN1061,'Data_Price '!$AT$2:$AT$1266,0))</f>
        <v/>
      </c>
      <c r="DD1061">
        <f>INDEX('Data_Price '!AM$2:AM$1266,MATCH(Data!$DN1061,'Data_Price '!$AT$2:$AT$1266,0))</f>
        <v/>
      </c>
      <c r="DE1061">
        <f>INDEX('Data_Price '!AN$2:AN$1266,MATCH(Data!$DN1061,'Data_Price '!$AT$2:$AT$1266,0))</f>
        <v/>
      </c>
      <c r="DF1061">
        <f>INDEX('Data_Price '!AO$2:AO$1266,MATCH(Data!$DN1061,'Data_Price '!$AT$2:$AT$1266,0))</f>
        <v/>
      </c>
      <c r="DG1061">
        <f>INDEX('Data_Price '!AP$2:AP$1266,MATCH(Data!$DN1061,'Data_Price '!$AT$2:$AT$1266,0))</f>
        <v/>
      </c>
      <c r="DH1061">
        <f>INDEX('Data_Price '!AQ$2:AQ$1266,MATCH(Data!$DN1061,'Data_Price '!$AT$2:$AT$1266,0))</f>
        <v/>
      </c>
      <c r="DI1061">
        <f>INDEX('Data_Price '!AR$2:AR$1266,MATCH(Data!$DN1061,'Data_Price '!$AT$2:$AT$1266,0))</f>
        <v/>
      </c>
      <c r="DJ1061" s="138">
        <f>DA1061</f>
        <v/>
      </c>
      <c r="DK1061" s="138">
        <f>DE1061</f>
        <v/>
      </c>
      <c r="DL1061" s="138">
        <f>DI1061</f>
        <v/>
      </c>
      <c r="DM1061" s="303">
        <f>IF(LEFT(BT1061,1)=" ",RIGHT(BT1061,LEN(BT1061)-1),BT1061)</f>
        <v/>
      </c>
      <c r="DN1061" s="138">
        <f>_xlfn.CONCAT(BS1061,DM1061,BU1061,BV1061)</f>
        <v/>
      </c>
      <c r="DO1061" s="307" t="inlineStr">
        <is>
          <t>https://images.evo.com/imgp/250/198688/839648/armada-whitewalker-skis-2022-.jpg</t>
        </is>
      </c>
    </row>
    <row r="1062" ht="15.6" customHeight="1" s="184">
      <c r="B1062" s="303">
        <f t="array" ref="B1062">IF(OR(ISERROR(K1062:P1062)),FALSE,TRUE)</f>
        <v/>
      </c>
      <c r="C1062" s="60">
        <f>OR(BR1062=Driver!$G$50,Data!BR942=Driver!$H$50)</f>
        <v/>
      </c>
      <c r="D1062" s="60">
        <f>OR(BV1062=Driver!$G$51,BV1062=Driver!$H$51)</f>
        <v/>
      </c>
      <c r="E1062" s="60">
        <f>AND(BX1062&gt;Driver!$F$54,BX1062&lt;Driver!$G$54)</f>
        <v/>
      </c>
      <c r="F1062" s="60">
        <f>CL1062&gt;Driver!$F$56</f>
        <v/>
      </c>
      <c r="G1062" s="60">
        <f>AND(CB1062&gt;Driver!$F$55,CB1062&lt;Driver!$G$55)</f>
        <v/>
      </c>
      <c r="H1062" s="60">
        <f>AND(B1062:G1062)</f>
        <v/>
      </c>
      <c r="I1062" s="60">
        <f>COUNTIFS($H$9:$H$1273,TRUE,$BT$9:$BT$1273,BT1062)</f>
        <v/>
      </c>
      <c r="J1062" s="60">
        <f t="array" ref="J1062">NOT(OR(($H$9:$H$1273=TRUE)*($I$9:$I$1273&gt;0)*($BT$9:$BT$1273=BT1062)*($K$9:$K$1273&gt;K1062)))</f>
        <v/>
      </c>
      <c r="K1062" s="108">
        <f>IFERROR(1-AVERAGE(X1062:Y1062),"")</f>
        <v/>
      </c>
      <c r="L1062" s="108">
        <f>1-X1062</f>
        <v/>
      </c>
      <c r="M1062" s="108">
        <f>1-Y1062</f>
        <v/>
      </c>
      <c r="N1062" s="108">
        <f>1-Z1062</f>
        <v/>
      </c>
      <c r="O1062" s="108">
        <f>1-AA1062</f>
        <v/>
      </c>
      <c r="P1062" s="108">
        <f>1-AB1062</f>
        <v/>
      </c>
      <c r="Q1062" s="108" t="n"/>
      <c r="R1062" s="108" t="n"/>
      <c r="S1062" s="108">
        <f>1-AE1062</f>
        <v/>
      </c>
      <c r="T1062" s="108">
        <f>1-AF1062</f>
        <v/>
      </c>
      <c r="U1062" s="108">
        <f>1-AG1062</f>
        <v/>
      </c>
      <c r="V1062" s="108">
        <f>1-AH1062</f>
        <v/>
      </c>
      <c r="W1062" s="108">
        <f>1-AI1062</f>
        <v/>
      </c>
      <c r="X1062" s="108">
        <f>ABS(AJ1062-AJ$1)</f>
        <v/>
      </c>
      <c r="Y1062" s="108">
        <f>AVERAGE(Z1062:AB1062)</f>
        <v/>
      </c>
      <c r="Z1062" s="108">
        <f>ABS(AL1062-AL$1)</f>
        <v/>
      </c>
      <c r="AA1062" s="108">
        <f>ABS(AM1062-AM$1)</f>
        <v/>
      </c>
      <c r="AB1062" s="108">
        <f>ABS(AN1062-AN$1)</f>
        <v/>
      </c>
      <c r="AC1062" s="108" t="n"/>
      <c r="AD1062" s="108" t="n"/>
      <c r="AE1062" s="108">
        <f>ABS(AQ$1-AQ1062)</f>
        <v/>
      </c>
      <c r="AF1062" s="108">
        <f>ABS(AR$1-AR1062)</f>
        <v/>
      </c>
      <c r="AG1062" s="108">
        <f>ABS(AS$1-AS1062)</f>
        <v/>
      </c>
      <c r="AH1062" s="108">
        <f>ABS(AT$1-AT1062)</f>
        <v/>
      </c>
      <c r="AI1062" s="108">
        <f>ABS(AU$1-AU1062)</f>
        <v/>
      </c>
      <c r="AJ1062" s="108">
        <f>(AV1062-Driver!$K$179)/(Driver!$L$179-Driver!$K$179)</f>
        <v/>
      </c>
      <c r="AK1062" s="108">
        <f>(AW1062-Driver!$K$180)/(Driver!$L$180-Driver!$K$180)</f>
        <v/>
      </c>
      <c r="AL1062" s="108">
        <f>(AX1062-Driver!$K$181)/(Driver!$L$181-Driver!$K$181)</f>
        <v/>
      </c>
      <c r="AM1062" s="108">
        <f>(AY1062-Driver!$K$182)/(Driver!$L$182-Driver!$K$182)</f>
        <v/>
      </c>
      <c r="AN1062" s="108">
        <f>(AZ1062-Driver!$K$183)/(Driver!$L$183-Driver!$K$183)</f>
        <v/>
      </c>
      <c r="AO1062" s="108" t="n"/>
      <c r="AP1062" s="108" t="n"/>
      <c r="AQ1062" s="108">
        <f>(BC1062-Driver!$K$188)/(Driver!$L$188-Driver!$K$188)</f>
        <v/>
      </c>
      <c r="AR1062" s="108">
        <f>MIN((BD1062-Driver!$K$189)/(Driver!$L$189-Driver!$K$189),100%)</f>
        <v/>
      </c>
      <c r="AS1062" s="108">
        <f>(BE1062-Driver!$K$190)/(Driver!$L$190-Driver!$K$190)</f>
        <v/>
      </c>
      <c r="AT1062" s="108">
        <f>(BF1062-Driver!$K$191)/(Driver!$L$191-Driver!$K$191)</f>
        <v/>
      </c>
      <c r="AU1062" s="108">
        <f>(BG1062-Driver!$K$192)/(Driver!$L$192-Driver!$K$192)</f>
        <v/>
      </c>
      <c r="AV1062" s="105">
        <f>IFERROR(BM1062*BJ1062^1/4,"")</f>
        <v/>
      </c>
      <c r="AW1062" s="105">
        <f>IFERROR(SUM(AX1062:AZ1062),"")</f>
        <v/>
      </c>
      <c r="AX1062" s="105">
        <f>IFERROR(BH1062,"")</f>
        <v/>
      </c>
      <c r="AY1062" s="105">
        <f>IFERROR(Driver!$K$19/Data!BH1062/Data!BI1062*Data!BK1062*Data!BL1062,"")</f>
        <v/>
      </c>
      <c r="AZ1062" s="105">
        <f>IFERROR(BI1062*BN1062,"")</f>
        <v/>
      </c>
      <c r="BA1062" s="105" t="n"/>
      <c r="BB1062" s="105" t="n"/>
      <c r="BC1062" s="105">
        <f>IFERROR(BI1062*BN1062*BK1062/BJ1062^(1/2),"")</f>
        <v/>
      </c>
      <c r="BD1062" s="105">
        <f>IFERROR(BH1062*BM1062*BL1062/BJ1062/BK1062,"")</f>
        <v/>
      </c>
      <c r="BE1062" s="105">
        <f>IFERROR(MIN(BI1062/BQ1062/BP1062/BO1062/BH1062,$BE$1),"")</f>
        <v/>
      </c>
      <c r="BF1062" s="105">
        <f>IFERROR(BJ1062*BO1062*BP1062/BK1062,"")</f>
        <v/>
      </c>
      <c r="BG1062" s="105">
        <f>IFERROR(1/BM1062/BH1062*BQ1062,"")</f>
        <v/>
      </c>
      <c r="BH1062" s="102">
        <f>MAX((CE1062-Driver!$F$200)/(Driver!$G$200-Driver!$F$200)*$BI$1,1)</f>
        <v/>
      </c>
      <c r="BI1062" s="102">
        <f>MAX($BI$1*(BY1062-Driver!$F$201)/(Driver!$G$201-Driver!$F$201),1)</f>
        <v/>
      </c>
      <c r="BJ1062" s="102">
        <f>(CB1062-Driver!$F$206)/(Driver!$G$206-Driver!$F$206)*$BI$1</f>
        <v/>
      </c>
      <c r="BK1062" s="102">
        <f>(CD1062-Driver!$F$203)/(Driver!$G$203-Driver!$F$203)*$BI$1</f>
        <v/>
      </c>
      <c r="BL1062" s="102">
        <f>MAX((CR1062-Driver!$F$202)/(Driver!$G$202-Driver!$F$202)*$BI$1,1)</f>
        <v/>
      </c>
      <c r="BM1062" s="102">
        <f>MAX((CH1062-Driver!$F$204)/(Driver!$G$204-Driver!$F$204)*$BI$1,1)</f>
        <v/>
      </c>
      <c r="BN1062" s="102">
        <f>(CI1062-Driver!$F$205)/(Driver!$G$205-Driver!$F$205)*$BI$1</f>
        <v/>
      </c>
      <c r="BO1062" s="102">
        <f>(CK1062-Driver!$F$207)/(Driver!$G$207-Driver!$F$207)*$BI$1</f>
        <v/>
      </c>
      <c r="BP1062" s="102">
        <f>(CM1062-Driver!$F$208)/(Driver!$G$208-Driver!$F$208)*$BI$1</f>
        <v/>
      </c>
      <c r="BQ1062" s="102">
        <f>(CL1062-Driver!$F$209)/(Driver!$G$209-Driver!$F$209)*$BI$1</f>
        <v/>
      </c>
      <c r="BR1062" s="40" t="inlineStr">
        <is>
          <t>21/22</t>
        </is>
      </c>
      <c r="BS1062" s="10" t="inlineStr">
        <is>
          <t xml:space="preserve"> Nordica</t>
        </is>
      </c>
      <c r="BT1062" s="11" t="inlineStr">
        <is>
          <t>Spitfire 70 Pro</t>
        </is>
      </c>
      <c r="BU1062" s="13" t="n">
        <v>165</v>
      </c>
      <c r="BV1062" s="11" t="inlineStr">
        <is>
          <t xml:space="preserve"> Unisex</t>
        </is>
      </c>
      <c r="BW1062" s="13" t="n">
        <v>165</v>
      </c>
      <c r="BX1062" s="13" t="n">
        <v>164.6</v>
      </c>
      <c r="BY1062" s="13" t="n">
        <v>146</v>
      </c>
      <c r="BZ1062" s="13" t="n">
        <v>153</v>
      </c>
      <c r="CA1062" s="13" t="n">
        <v>118</v>
      </c>
      <c r="CB1062" s="13" t="n">
        <v>69</v>
      </c>
      <c r="CC1062" s="13" t="n">
        <v>97</v>
      </c>
      <c r="CD1062" s="13" t="n">
        <v>15</v>
      </c>
      <c r="CE1062" s="13" t="n">
        <v>1999</v>
      </c>
      <c r="CF1062" s="13" t="n">
        <v>0.6899999999999999</v>
      </c>
      <c r="CG1062" s="13" t="n">
        <v>1377</v>
      </c>
      <c r="CH1062" s="13" t="n">
        <v>167</v>
      </c>
      <c r="CI1062" s="13" t="n">
        <v>109</v>
      </c>
      <c r="CJ1062" s="13" t="n">
        <v>35</v>
      </c>
      <c r="CK1062" s="13" t="n">
        <v>129</v>
      </c>
      <c r="CL1062" s="13" t="n">
        <v>7</v>
      </c>
      <c r="CM1062" s="13" t="n">
        <v>52</v>
      </c>
      <c r="CN1062" s="13" t="n">
        <v>0.189</v>
      </c>
      <c r="CO1062" s="13" t="n">
        <v>61</v>
      </c>
      <c r="CP1062" s="13" t="n">
        <v>57</v>
      </c>
      <c r="CQ1062" s="13" t="n">
        <v>68</v>
      </c>
      <c r="CR1062" s="13" t="n">
        <v>9</v>
      </c>
      <c r="CS1062" s="13" t="n">
        <v>13</v>
      </c>
      <c r="CT1062" s="11" t="inlineStr">
        <is>
          <t xml:space="preserve"> On-Piste Carving</t>
        </is>
      </c>
      <c r="CU1062" s="13" t="n"/>
      <c r="CV1062" s="13" t="n"/>
      <c r="CW1062" s="13" t="n"/>
      <c r="CX1062">
        <f>INDEX('Data_Price '!AG$2:AG$1266,MATCH(Data!$DN1062,'Data_Price '!$AT$2:$AT$1266,0))</f>
        <v/>
      </c>
      <c r="CY1062">
        <f>INDEX('Data_Price '!AH$2:AH$1266,MATCH(Data!$DN1062,'Data_Price '!$AT$2:$AT$1266,0))</f>
        <v/>
      </c>
      <c r="CZ1062">
        <f>INDEX('Data_Price '!AI$2:AI$1266,MATCH(Data!$DN1062,'Data_Price '!$AT$2:$AT$1266,0))</f>
        <v/>
      </c>
      <c r="DA1062">
        <f>INDEX('Data_Price '!AJ$2:AJ$1266,MATCH(Data!$DN1062,'Data_Price '!$AT$2:$AT$1266,0))</f>
        <v/>
      </c>
      <c r="DB1062">
        <f>INDEX('Data_Price '!AK$2:AK$1266,MATCH(Data!$DN1062,'Data_Price '!$AT$2:$AT$1266,0))</f>
        <v/>
      </c>
      <c r="DC1062">
        <f>INDEX('Data_Price '!AL$2:AL$1266,MATCH(Data!$DN1062,'Data_Price '!$AT$2:$AT$1266,0))</f>
        <v/>
      </c>
      <c r="DD1062">
        <f>INDEX('Data_Price '!AM$2:AM$1266,MATCH(Data!$DN1062,'Data_Price '!$AT$2:$AT$1266,0))</f>
        <v/>
      </c>
      <c r="DE1062">
        <f>INDEX('Data_Price '!AN$2:AN$1266,MATCH(Data!$DN1062,'Data_Price '!$AT$2:$AT$1266,0))</f>
        <v/>
      </c>
      <c r="DF1062">
        <f>INDEX('Data_Price '!AO$2:AO$1266,MATCH(Data!$DN1062,'Data_Price '!$AT$2:$AT$1266,0))</f>
        <v/>
      </c>
      <c r="DG1062">
        <f>INDEX('Data_Price '!AP$2:AP$1266,MATCH(Data!$DN1062,'Data_Price '!$AT$2:$AT$1266,0))</f>
        <v/>
      </c>
      <c r="DH1062">
        <f>INDEX('Data_Price '!AQ$2:AQ$1266,MATCH(Data!$DN1062,'Data_Price '!$AT$2:$AT$1266,0))</f>
        <v/>
      </c>
      <c r="DI1062">
        <f>INDEX('Data_Price '!AR$2:AR$1266,MATCH(Data!$DN1062,'Data_Price '!$AT$2:$AT$1266,0))</f>
        <v/>
      </c>
      <c r="DJ1062" s="138">
        <f>DA1062</f>
        <v/>
      </c>
      <c r="DK1062" s="138">
        <f>DE1062</f>
        <v/>
      </c>
      <c r="DL1062" s="138">
        <f>DI1062</f>
        <v/>
      </c>
      <c r="DM1062" s="303">
        <f>IF(LEFT(BT1062,1)=" ",RIGHT(BT1062,LEN(BT1062)-1),BT1062)</f>
        <v/>
      </c>
      <c r="DN1062" s="138">
        <f>_xlfn.CONCAT(BS1062,DM1062,BU1062,BV1062)</f>
        <v/>
      </c>
      <c r="DO1062" s="307" t="n"/>
    </row>
    <row r="1063" ht="15.6" customHeight="1" s="184">
      <c r="B1063" s="303">
        <f t="array" ref="B1063">IF(OR(ISERROR(K1063:P1063)),FALSE,TRUE)</f>
        <v/>
      </c>
      <c r="C1063" s="60">
        <f>OR(BR1063=Driver!$G$50,Data!BR844=Driver!$H$50)</f>
        <v/>
      </c>
      <c r="D1063" s="60">
        <f>OR(BV1063=Driver!$G$51,BV1063=Driver!$H$51)</f>
        <v/>
      </c>
      <c r="E1063" s="60">
        <f>AND(BX1063&gt;Driver!$F$54,BX1063&lt;Driver!$G$54)</f>
        <v/>
      </c>
      <c r="F1063" s="60">
        <f>CL1063&gt;Driver!$F$56</f>
        <v/>
      </c>
      <c r="G1063" s="60">
        <f>AND(CB1063&gt;Driver!$F$55,CB1063&lt;Driver!$G$55)</f>
        <v/>
      </c>
      <c r="H1063" s="60">
        <f>AND(B1063:G1063)</f>
        <v/>
      </c>
      <c r="I1063" s="60">
        <f>COUNTIFS($H$9:$H$1273,TRUE,$BT$9:$BT$1273,BT1063)</f>
        <v/>
      </c>
      <c r="J1063" s="60">
        <f t="array" ref="J1063">NOT(OR(($H$9:$H$1273=TRUE)*($I$9:$I$1273&gt;0)*($BT$9:$BT$1273=BT1063)*($K$9:$K$1273&gt;K1063)))</f>
        <v/>
      </c>
      <c r="K1063" s="108">
        <f>IFERROR(1-AVERAGE(X1063:Y1063),"")</f>
        <v/>
      </c>
      <c r="L1063" s="108">
        <f>1-X1063</f>
        <v/>
      </c>
      <c r="M1063" s="108">
        <f>1-Y1063</f>
        <v/>
      </c>
      <c r="N1063" s="108">
        <f>1-Z1063</f>
        <v/>
      </c>
      <c r="O1063" s="108">
        <f>1-AA1063</f>
        <v/>
      </c>
      <c r="P1063" s="108">
        <f>1-AB1063</f>
        <v/>
      </c>
      <c r="Q1063" s="108" t="n"/>
      <c r="R1063" s="108" t="n"/>
      <c r="S1063" s="108">
        <f>1-AE1063</f>
        <v/>
      </c>
      <c r="T1063" s="108">
        <f>1-AF1063</f>
        <v/>
      </c>
      <c r="U1063" s="108">
        <f>1-AG1063</f>
        <v/>
      </c>
      <c r="V1063" s="108">
        <f>1-AH1063</f>
        <v/>
      </c>
      <c r="W1063" s="108">
        <f>1-AI1063</f>
        <v/>
      </c>
      <c r="X1063" s="108">
        <f>ABS(AJ1063-AJ$1)</f>
        <v/>
      </c>
      <c r="Y1063" s="108">
        <f>AVERAGE(Z1063:AB1063)</f>
        <v/>
      </c>
      <c r="Z1063" s="108">
        <f>ABS(AL1063-AL$1)</f>
        <v/>
      </c>
      <c r="AA1063" s="108">
        <f>ABS(AM1063-AM$1)</f>
        <v/>
      </c>
      <c r="AB1063" s="108">
        <f>ABS(AN1063-AN$1)</f>
        <v/>
      </c>
      <c r="AC1063" s="108" t="n"/>
      <c r="AD1063" s="108" t="n"/>
      <c r="AE1063" s="108">
        <f>ABS(AQ$1-AQ1063)</f>
        <v/>
      </c>
      <c r="AF1063" s="108">
        <f>ABS(AR$1-AR1063)</f>
        <v/>
      </c>
      <c r="AG1063" s="108">
        <f>ABS(AS$1-AS1063)</f>
        <v/>
      </c>
      <c r="AH1063" s="108">
        <f>ABS(AT$1-AT1063)</f>
        <v/>
      </c>
      <c r="AI1063" s="108">
        <f>ABS(AU$1-AU1063)</f>
        <v/>
      </c>
      <c r="AJ1063" s="108">
        <f>(AV1063-Driver!$K$179)/(Driver!$L$179-Driver!$K$179)</f>
        <v/>
      </c>
      <c r="AK1063" s="108">
        <f>(AW1063-Driver!$K$180)/(Driver!$L$180-Driver!$K$180)</f>
        <v/>
      </c>
      <c r="AL1063" s="108">
        <f>(AX1063-Driver!$K$181)/(Driver!$L$181-Driver!$K$181)</f>
        <v/>
      </c>
      <c r="AM1063" s="108">
        <f>(AY1063-Driver!$K$182)/(Driver!$L$182-Driver!$K$182)</f>
        <v/>
      </c>
      <c r="AN1063" s="108">
        <f>(AZ1063-Driver!$K$183)/(Driver!$L$183-Driver!$K$183)</f>
        <v/>
      </c>
      <c r="AO1063" s="108" t="n"/>
      <c r="AP1063" s="108" t="n"/>
      <c r="AQ1063" s="108">
        <f>(BC1063-Driver!$K$188)/(Driver!$L$188-Driver!$K$188)</f>
        <v/>
      </c>
      <c r="AR1063" s="108">
        <f>MIN((BD1063-Driver!$K$189)/(Driver!$L$189-Driver!$K$189),100%)</f>
        <v/>
      </c>
      <c r="AS1063" s="108">
        <f>(BE1063-Driver!$K$190)/(Driver!$L$190-Driver!$K$190)</f>
        <v/>
      </c>
      <c r="AT1063" s="108">
        <f>(BF1063-Driver!$K$191)/(Driver!$L$191-Driver!$K$191)</f>
        <v/>
      </c>
      <c r="AU1063" s="108">
        <f>(BG1063-Driver!$K$192)/(Driver!$L$192-Driver!$K$192)</f>
        <v/>
      </c>
      <c r="AV1063" s="105">
        <f>IFERROR(BM1063*BJ1063^1/4,"")</f>
        <v/>
      </c>
      <c r="AW1063" s="105">
        <f>IFERROR(SUM(AX1063:AZ1063),"")</f>
        <v/>
      </c>
      <c r="AX1063" s="105">
        <f>IFERROR(BH1063,"")</f>
        <v/>
      </c>
      <c r="AY1063" s="105">
        <f>IFERROR(Driver!$K$19/Data!BH1063/Data!BI1063*Data!BK1063*Data!BL1063,"")</f>
        <v/>
      </c>
      <c r="AZ1063" s="105">
        <f>IFERROR(BI1063*BN1063,"")</f>
        <v/>
      </c>
      <c r="BA1063" s="105" t="n"/>
      <c r="BB1063" s="105" t="n"/>
      <c r="BC1063" s="105">
        <f>IFERROR(BI1063*BN1063*BK1063/BJ1063^(1/2),"")</f>
        <v/>
      </c>
      <c r="BD1063" s="105">
        <f>IFERROR(BH1063*BM1063*BL1063/BJ1063/BK1063,"")</f>
        <v/>
      </c>
      <c r="BE1063" s="105">
        <f>IFERROR(MIN(BI1063/BQ1063/BP1063/BO1063/BH1063,$BE$1),"")</f>
        <v/>
      </c>
      <c r="BF1063" s="105">
        <f>IFERROR(BJ1063*BO1063*BP1063/BK1063,"")</f>
        <v/>
      </c>
      <c r="BG1063" s="105">
        <f>IFERROR(1/BM1063/BH1063*BQ1063,"")</f>
        <v/>
      </c>
      <c r="BH1063" s="102">
        <f>MAX((CE1063-Driver!$F$200)/(Driver!$G$200-Driver!$F$200)*$BI$1,1)</f>
        <v/>
      </c>
      <c r="BI1063" s="102">
        <f>MAX($BI$1*(BY1063-Driver!$F$201)/(Driver!$G$201-Driver!$F$201),1)</f>
        <v/>
      </c>
      <c r="BJ1063" s="102">
        <f>(CB1063-Driver!$F$206)/(Driver!$G$206-Driver!$F$206)*$BI$1</f>
        <v/>
      </c>
      <c r="BK1063" s="102">
        <f>(CD1063-Driver!$F$203)/(Driver!$G$203-Driver!$F$203)*$BI$1</f>
        <v/>
      </c>
      <c r="BL1063" s="102">
        <f>MAX((CR1063-Driver!$F$202)/(Driver!$G$202-Driver!$F$202)*$BI$1,1)</f>
        <v/>
      </c>
      <c r="BM1063" s="102">
        <f>MAX((CH1063-Driver!$F$204)/(Driver!$G$204-Driver!$F$204)*$BI$1,1)</f>
        <v/>
      </c>
      <c r="BN1063" s="102">
        <f>(CI1063-Driver!$F$205)/(Driver!$G$205-Driver!$F$205)*$BI$1</f>
        <v/>
      </c>
      <c r="BO1063" s="102">
        <f>(CK1063-Driver!$F$207)/(Driver!$G$207-Driver!$F$207)*$BI$1</f>
        <v/>
      </c>
      <c r="BP1063" s="102">
        <f>(CM1063-Driver!$F$208)/(Driver!$G$208-Driver!$F$208)*$BI$1</f>
        <v/>
      </c>
      <c r="BQ1063" s="102">
        <f>(CL1063-Driver!$F$209)/(Driver!$G$209-Driver!$F$209)*$BI$1</f>
        <v/>
      </c>
      <c r="BR1063" s="40" t="inlineStr">
        <is>
          <t>21/22</t>
        </is>
      </c>
      <c r="BS1063" s="10" t="inlineStr">
        <is>
          <t xml:space="preserve"> Line</t>
        </is>
      </c>
      <c r="BT1063" s="11" t="inlineStr">
        <is>
          <t>Pandora 104</t>
        </is>
      </c>
      <c r="BU1063" s="13" t="n">
        <v>165</v>
      </c>
      <c r="BV1063" s="11" t="inlineStr">
        <is>
          <t xml:space="preserve"> Women's</t>
        </is>
      </c>
      <c r="BW1063" s="13" t="n">
        <v>165</v>
      </c>
      <c r="BX1063" s="13" t="n">
        <v>160</v>
      </c>
      <c r="BY1063" s="13" t="n">
        <v>98</v>
      </c>
      <c r="BZ1063" s="13" t="n">
        <v>126</v>
      </c>
      <c r="CA1063" s="13" t="n">
        <v>143</v>
      </c>
      <c r="CB1063" s="13" t="n">
        <v>109</v>
      </c>
      <c r="CC1063" s="13" t="n">
        <v>129</v>
      </c>
      <c r="CD1063" s="13" t="n">
        <v>14</v>
      </c>
      <c r="CE1063" s="13" t="n">
        <v>1557</v>
      </c>
      <c r="CF1063" s="13" t="n">
        <v>1.22</v>
      </c>
      <c r="CG1063" s="13" t="n">
        <v>1902</v>
      </c>
      <c r="CH1063" s="13" t="n">
        <v>131</v>
      </c>
      <c r="CI1063" s="13" t="n">
        <v>52</v>
      </c>
      <c r="CJ1063" s="13" t="n">
        <v>47</v>
      </c>
      <c r="CK1063" s="13" t="n">
        <v>332</v>
      </c>
      <c r="CL1063" s="13" t="n">
        <v>27</v>
      </c>
      <c r="CM1063" s="13" t="n">
        <v>290</v>
      </c>
      <c r="CN1063" s="13" t="n">
        <v>0.579</v>
      </c>
      <c r="CO1063" s="13" t="n">
        <v>169</v>
      </c>
      <c r="CP1063" s="13" t="n">
        <v>168</v>
      </c>
      <c r="CQ1063" s="13" t="n">
        <v>163</v>
      </c>
      <c r="CR1063" s="13" t="n">
        <v>5</v>
      </c>
      <c r="CS1063" s="13" t="n">
        <v>6.3</v>
      </c>
      <c r="CT1063" s="11" t="inlineStr">
        <is>
          <t xml:space="preserve"> Powder</t>
        </is>
      </c>
      <c r="CU1063" s="11" t="inlineStr">
        <is>
          <t xml:space="preserve"> Touring</t>
        </is>
      </c>
      <c r="CV1063" s="13" t="n"/>
      <c r="CW1063" s="13" t="n"/>
      <c r="CX1063">
        <f>INDEX('Data_Price '!AG$2:AG$1266,MATCH(Data!$DN1063,'Data_Price '!$AT$2:$AT$1266,0))</f>
        <v/>
      </c>
      <c r="CY1063">
        <f>INDEX('Data_Price '!AH$2:AH$1266,MATCH(Data!$DN1063,'Data_Price '!$AT$2:$AT$1266,0))</f>
        <v/>
      </c>
      <c r="CZ1063">
        <f>INDEX('Data_Price '!AI$2:AI$1266,MATCH(Data!$DN1063,'Data_Price '!$AT$2:$AT$1266,0))</f>
        <v/>
      </c>
      <c r="DA1063">
        <f>INDEX('Data_Price '!AJ$2:AJ$1266,MATCH(Data!$DN1063,'Data_Price '!$AT$2:$AT$1266,0))</f>
        <v/>
      </c>
      <c r="DB1063">
        <f>INDEX('Data_Price '!AK$2:AK$1266,MATCH(Data!$DN1063,'Data_Price '!$AT$2:$AT$1266,0))</f>
        <v/>
      </c>
      <c r="DC1063">
        <f>INDEX('Data_Price '!AL$2:AL$1266,MATCH(Data!$DN1063,'Data_Price '!$AT$2:$AT$1266,0))</f>
        <v/>
      </c>
      <c r="DD1063">
        <f>INDEX('Data_Price '!AM$2:AM$1266,MATCH(Data!$DN1063,'Data_Price '!$AT$2:$AT$1266,0))</f>
        <v/>
      </c>
      <c r="DE1063">
        <f>INDEX('Data_Price '!AN$2:AN$1266,MATCH(Data!$DN1063,'Data_Price '!$AT$2:$AT$1266,0))</f>
        <v/>
      </c>
      <c r="DF1063">
        <f>INDEX('Data_Price '!AO$2:AO$1266,MATCH(Data!$DN1063,'Data_Price '!$AT$2:$AT$1266,0))</f>
        <v/>
      </c>
      <c r="DG1063">
        <f>INDEX('Data_Price '!AP$2:AP$1266,MATCH(Data!$DN1063,'Data_Price '!$AT$2:$AT$1266,0))</f>
        <v/>
      </c>
      <c r="DH1063">
        <f>INDEX('Data_Price '!AQ$2:AQ$1266,MATCH(Data!$DN1063,'Data_Price '!$AT$2:$AT$1266,0))</f>
        <v/>
      </c>
      <c r="DI1063">
        <f>INDEX('Data_Price '!AR$2:AR$1266,MATCH(Data!$DN1063,'Data_Price '!$AT$2:$AT$1266,0))</f>
        <v/>
      </c>
      <c r="DJ1063" s="138">
        <f>DA1063</f>
        <v/>
      </c>
      <c r="DK1063" s="138">
        <f>DE1063</f>
        <v/>
      </c>
      <c r="DL1063" s="138">
        <f>DI1063</f>
        <v/>
      </c>
      <c r="DM1063" s="303">
        <f>IF(LEFT(BT1063,1)=" ",RIGHT(BT1063,LEN(BT1063)-1),BT1063)</f>
        <v/>
      </c>
      <c r="DN1063" s="138">
        <f>_xlfn.CONCAT(BS1063,DM1063,BU1063,BV1063)</f>
        <v/>
      </c>
      <c r="DO1063" s="307" t="inlineStr">
        <is>
          <t>https://images.evo.com/imgp/250/198430/817631/line-skis-pandora-104-skis-women-s-2022-.jpg</t>
        </is>
      </c>
    </row>
    <row r="1064" ht="15.6" customHeight="1" s="184">
      <c r="B1064" s="303">
        <f t="array" ref="B1064">IF(OR(ISERROR(K1064:P1064)),FALSE,TRUE)</f>
        <v/>
      </c>
      <c r="C1064" s="60">
        <f>OR(BR1064=Driver!$G$50,Data!BR1257=Driver!$H$50)</f>
        <v/>
      </c>
      <c r="D1064" s="60">
        <f>OR(BV1064=Driver!$G$51,BV1064=Driver!$H$51)</f>
        <v/>
      </c>
      <c r="E1064" s="60">
        <f>AND(BX1064&gt;Driver!$F$54,BX1064&lt;Driver!$G$54)</f>
        <v/>
      </c>
      <c r="F1064" s="60">
        <f>CL1064&gt;Driver!$F$56</f>
        <v/>
      </c>
      <c r="G1064" s="60">
        <f>AND(CB1064&gt;Driver!$F$55,CB1064&lt;Driver!$G$55)</f>
        <v/>
      </c>
      <c r="H1064" s="60">
        <f>AND(B1064:G1064)</f>
        <v/>
      </c>
      <c r="I1064" s="60">
        <f>COUNTIFS($H$9:$H$1273,TRUE,$BT$9:$BT$1273,BT1064)</f>
        <v/>
      </c>
      <c r="J1064" s="60">
        <f t="array" ref="J1064">NOT(OR(($H$9:$H$1273=TRUE)*($I$9:$I$1273&gt;0)*($BT$9:$BT$1273=BT1064)*($K$9:$K$1273&gt;K1064)))</f>
        <v/>
      </c>
      <c r="K1064" s="108">
        <f>IFERROR(1-AVERAGE(X1064:Y1064),"")</f>
        <v/>
      </c>
      <c r="L1064" s="108">
        <f>1-X1064</f>
        <v/>
      </c>
      <c r="M1064" s="108">
        <f>1-Y1064</f>
        <v/>
      </c>
      <c r="N1064" s="108">
        <f>1-Z1064</f>
        <v/>
      </c>
      <c r="O1064" s="108">
        <f>1-AA1064</f>
        <v/>
      </c>
      <c r="P1064" s="108">
        <f>1-AB1064</f>
        <v/>
      </c>
      <c r="Q1064" s="108" t="n"/>
      <c r="R1064" s="108" t="n"/>
      <c r="S1064" s="108">
        <f>1-AE1064</f>
        <v/>
      </c>
      <c r="T1064" s="108">
        <f>1-AF1064</f>
        <v/>
      </c>
      <c r="U1064" s="108">
        <f>1-AG1064</f>
        <v/>
      </c>
      <c r="V1064" s="108">
        <f>1-AH1064</f>
        <v/>
      </c>
      <c r="W1064" s="108">
        <f>1-AI1064</f>
        <v/>
      </c>
      <c r="X1064" s="108">
        <f>ABS(AJ1064-AJ$1)</f>
        <v/>
      </c>
      <c r="Y1064" s="108">
        <f>AVERAGE(Z1064:AB1064)</f>
        <v/>
      </c>
      <c r="Z1064" s="108">
        <f>ABS(AL1064-AL$1)</f>
        <v/>
      </c>
      <c r="AA1064" s="108">
        <f>ABS(AM1064-AM$1)</f>
        <v/>
      </c>
      <c r="AB1064" s="108">
        <f>ABS(AN1064-AN$1)</f>
        <v/>
      </c>
      <c r="AC1064" s="108" t="n"/>
      <c r="AD1064" s="108" t="n"/>
      <c r="AE1064" s="108">
        <f>ABS(AQ$1-AQ1064)</f>
        <v/>
      </c>
      <c r="AF1064" s="108">
        <f>ABS(AR$1-AR1064)</f>
        <v/>
      </c>
      <c r="AG1064" s="108">
        <f>ABS(AS$1-AS1064)</f>
        <v/>
      </c>
      <c r="AH1064" s="108">
        <f>ABS(AT$1-AT1064)</f>
        <v/>
      </c>
      <c r="AI1064" s="108">
        <f>ABS(AU$1-AU1064)</f>
        <v/>
      </c>
      <c r="AJ1064" s="108">
        <f>(AV1064-Driver!$K$179)/(Driver!$L$179-Driver!$K$179)</f>
        <v/>
      </c>
      <c r="AK1064" s="108">
        <f>(AW1064-Driver!$K$180)/(Driver!$L$180-Driver!$K$180)</f>
        <v/>
      </c>
      <c r="AL1064" s="108">
        <f>(AX1064-Driver!$K$181)/(Driver!$L$181-Driver!$K$181)</f>
        <v/>
      </c>
      <c r="AM1064" s="108">
        <f>(AY1064-Driver!$K$182)/(Driver!$L$182-Driver!$K$182)</f>
        <v/>
      </c>
      <c r="AN1064" s="108">
        <f>(AZ1064-Driver!$K$183)/(Driver!$L$183-Driver!$K$183)</f>
        <v/>
      </c>
      <c r="AO1064" s="108" t="n"/>
      <c r="AP1064" s="108" t="n"/>
      <c r="AQ1064" s="108">
        <f>(BC1064-Driver!$K$188)/(Driver!$L$188-Driver!$K$188)</f>
        <v/>
      </c>
      <c r="AR1064" s="108">
        <f>MIN((BD1064-Driver!$K$189)/(Driver!$L$189-Driver!$K$189),100%)</f>
        <v/>
      </c>
      <c r="AS1064" s="108">
        <f>(BE1064-Driver!$K$190)/(Driver!$L$190-Driver!$K$190)</f>
        <v/>
      </c>
      <c r="AT1064" s="108">
        <f>(BF1064-Driver!$K$191)/(Driver!$L$191-Driver!$K$191)</f>
        <v/>
      </c>
      <c r="AU1064" s="108">
        <f>(BG1064-Driver!$K$192)/(Driver!$L$192-Driver!$K$192)</f>
        <v/>
      </c>
      <c r="AV1064" s="105">
        <f>IFERROR(BM1064*BJ1064^1/4,"")</f>
        <v/>
      </c>
      <c r="AW1064" s="105">
        <f>IFERROR(SUM(AX1064:AZ1064),"")</f>
        <v/>
      </c>
      <c r="AX1064" s="105">
        <f>IFERROR(BH1064,"")</f>
        <v/>
      </c>
      <c r="AY1064" s="105">
        <f>IFERROR(Driver!$K$19/Data!BH1064/Data!BI1064*Data!BK1064*Data!BL1064,"")</f>
        <v/>
      </c>
      <c r="AZ1064" s="105">
        <f>IFERROR(BI1064*BN1064,"")</f>
        <v/>
      </c>
      <c r="BA1064" s="105" t="n"/>
      <c r="BB1064" s="105" t="n"/>
      <c r="BC1064" s="105">
        <f>IFERROR(BI1064*BN1064*BK1064/BJ1064^(1/2),"")</f>
        <v/>
      </c>
      <c r="BD1064" s="105">
        <f>IFERROR(BH1064*BM1064*BL1064/BJ1064/BK1064,"")</f>
        <v/>
      </c>
      <c r="BE1064" s="105">
        <f>IFERROR(MIN(BI1064/BQ1064/BP1064/BO1064/BH1064,$BE$1),"")</f>
        <v/>
      </c>
      <c r="BF1064" s="105">
        <f>IFERROR(BJ1064*BO1064*BP1064/BK1064,"")</f>
        <v/>
      </c>
      <c r="BG1064" s="105">
        <f>IFERROR(1/BM1064/BH1064*BQ1064,"")</f>
        <v/>
      </c>
      <c r="BH1064" s="102">
        <f>MAX((CE1064-Driver!$F$200)/(Driver!$G$200-Driver!$F$200)*$BI$1,1)</f>
        <v/>
      </c>
      <c r="BI1064" s="102">
        <f>MAX($BI$1*(BY1064-Driver!$F$201)/(Driver!$G$201-Driver!$F$201),1)</f>
        <v/>
      </c>
      <c r="BJ1064" s="102">
        <f>(CB1064-Driver!$F$206)/(Driver!$G$206-Driver!$F$206)*$BI$1</f>
        <v/>
      </c>
      <c r="BK1064" s="102">
        <f>(CD1064-Driver!$F$203)/(Driver!$G$203-Driver!$F$203)*$BI$1</f>
        <v/>
      </c>
      <c r="BL1064" s="102">
        <f>MAX((CR1064-Driver!$F$202)/(Driver!$G$202-Driver!$F$202)*$BI$1,1)</f>
        <v/>
      </c>
      <c r="BM1064" s="102">
        <f>MAX((CH1064-Driver!$F$204)/(Driver!$G$204-Driver!$F$204)*$BI$1,1)</f>
        <v/>
      </c>
      <c r="BN1064" s="102">
        <f>(CI1064-Driver!$F$205)/(Driver!$G$205-Driver!$F$205)*$BI$1</f>
        <v/>
      </c>
      <c r="BO1064" s="102">
        <f>(CK1064-Driver!$F$207)/(Driver!$G$207-Driver!$F$207)*$BI$1</f>
        <v/>
      </c>
      <c r="BP1064" s="102">
        <f>(CM1064-Driver!$F$208)/(Driver!$G$208-Driver!$F$208)*$BI$1</f>
        <v/>
      </c>
      <c r="BQ1064" s="102">
        <f>(CL1064-Driver!$F$209)/(Driver!$G$209-Driver!$F$209)*$BI$1</f>
        <v/>
      </c>
      <c r="BR1064" s="40" t="inlineStr">
        <is>
          <t>21/22</t>
        </is>
      </c>
      <c r="BS1064" s="10" t="inlineStr">
        <is>
          <t xml:space="preserve"> Völkl</t>
        </is>
      </c>
      <c r="BT1064" s="11" t="inlineStr">
        <is>
          <t>Rise Beyond 96 W</t>
        </is>
      </c>
      <c r="BU1064" s="13" t="n">
        <v>170</v>
      </c>
      <c r="BV1064" s="11" t="inlineStr">
        <is>
          <t xml:space="preserve"> Women's</t>
        </is>
      </c>
      <c r="BW1064" s="13" t="n">
        <v>170</v>
      </c>
      <c r="BX1064" s="13" t="n">
        <v>169.7</v>
      </c>
      <c r="BY1064" s="13" t="n">
        <v>133</v>
      </c>
      <c r="BZ1064" s="13" t="n">
        <v>149</v>
      </c>
      <c r="CA1064" s="13" t="n">
        <v>137</v>
      </c>
      <c r="CB1064" s="13" t="n">
        <v>95</v>
      </c>
      <c r="CC1064" s="13" t="n">
        <v>118</v>
      </c>
      <c r="CD1064" s="13" t="n">
        <v>16.2</v>
      </c>
      <c r="CE1064" s="13" t="n">
        <v>1250</v>
      </c>
      <c r="CF1064" s="13" t="n">
        <v>1.46</v>
      </c>
      <c r="CG1064" s="13" t="n">
        <v>1828</v>
      </c>
      <c r="CH1064" s="13" t="n">
        <v>147</v>
      </c>
      <c r="CI1064" s="13" t="n">
        <v>66</v>
      </c>
      <c r="CJ1064" s="13" t="n">
        <v>39</v>
      </c>
      <c r="CK1064" s="13" t="n">
        <v>301</v>
      </c>
      <c r="CL1064" s="13" t="n">
        <v>4</v>
      </c>
      <c r="CM1064" s="13" t="n">
        <v>65</v>
      </c>
      <c r="CN1064" s="13" t="n">
        <v>0.109</v>
      </c>
      <c r="CO1064" s="13" t="n">
        <v>123</v>
      </c>
      <c r="CP1064" s="13" t="n">
        <v>89</v>
      </c>
      <c r="CQ1064" s="13" t="n">
        <v>179</v>
      </c>
      <c r="CR1064" s="13" t="n">
        <v>4</v>
      </c>
      <c r="CS1064" s="13" t="n">
        <v>11.1</v>
      </c>
      <c r="CT1064" s="11" t="inlineStr">
        <is>
          <t xml:space="preserve"> Touring</t>
        </is>
      </c>
      <c r="CU1064" s="11" t="inlineStr">
        <is>
          <t xml:space="preserve"> Ultralight Touring</t>
        </is>
      </c>
      <c r="CV1064" s="13" t="n"/>
      <c r="CW1064" s="13" t="n"/>
      <c r="CX1064">
        <f>INDEX('Data_Price '!AG$2:AG$1266,MATCH(Data!$DN1064,'Data_Price '!$AT$2:$AT$1266,0))</f>
        <v/>
      </c>
      <c r="CY1064">
        <f>INDEX('Data_Price '!AH$2:AH$1266,MATCH(Data!$DN1064,'Data_Price '!$AT$2:$AT$1266,0))</f>
        <v/>
      </c>
      <c r="CZ1064">
        <f>INDEX('Data_Price '!AI$2:AI$1266,MATCH(Data!$DN1064,'Data_Price '!$AT$2:$AT$1266,0))</f>
        <v/>
      </c>
      <c r="DA1064">
        <f>INDEX('Data_Price '!AJ$2:AJ$1266,MATCH(Data!$DN1064,'Data_Price '!$AT$2:$AT$1266,0))</f>
        <v/>
      </c>
      <c r="DB1064">
        <f>INDEX('Data_Price '!AK$2:AK$1266,MATCH(Data!$DN1064,'Data_Price '!$AT$2:$AT$1266,0))</f>
        <v/>
      </c>
      <c r="DC1064">
        <f>INDEX('Data_Price '!AL$2:AL$1266,MATCH(Data!$DN1064,'Data_Price '!$AT$2:$AT$1266,0))</f>
        <v/>
      </c>
      <c r="DD1064">
        <f>INDEX('Data_Price '!AM$2:AM$1266,MATCH(Data!$DN1064,'Data_Price '!$AT$2:$AT$1266,0))</f>
        <v/>
      </c>
      <c r="DE1064">
        <f>INDEX('Data_Price '!AN$2:AN$1266,MATCH(Data!$DN1064,'Data_Price '!$AT$2:$AT$1266,0))</f>
        <v/>
      </c>
      <c r="DF1064">
        <f>INDEX('Data_Price '!AO$2:AO$1266,MATCH(Data!$DN1064,'Data_Price '!$AT$2:$AT$1266,0))</f>
        <v/>
      </c>
      <c r="DG1064">
        <f>INDEX('Data_Price '!AP$2:AP$1266,MATCH(Data!$DN1064,'Data_Price '!$AT$2:$AT$1266,0))</f>
        <v/>
      </c>
      <c r="DH1064">
        <f>INDEX('Data_Price '!AQ$2:AQ$1266,MATCH(Data!$DN1064,'Data_Price '!$AT$2:$AT$1266,0))</f>
        <v/>
      </c>
      <c r="DI1064">
        <f>INDEX('Data_Price '!AR$2:AR$1266,MATCH(Data!$DN1064,'Data_Price '!$AT$2:$AT$1266,0))</f>
        <v/>
      </c>
      <c r="DJ1064" s="138">
        <f>DA1064</f>
        <v/>
      </c>
      <c r="DK1064" s="138">
        <f>DE1064</f>
        <v/>
      </c>
      <c r="DL1064" s="138">
        <f>DI1064</f>
        <v/>
      </c>
      <c r="DM1064" s="303">
        <f>IF(LEFT(BT1064,1)=" ",RIGHT(BT1064,LEN(BT1064)-1),BT1064)</f>
        <v/>
      </c>
      <c r="DN1064" s="138">
        <f>_xlfn.CONCAT(BS1064,DM1064,BU1064,BV1064)</f>
        <v/>
      </c>
      <c r="DO1064" s="307" t="n"/>
    </row>
    <row r="1065" ht="15.6" customHeight="1" s="184">
      <c r="B1065" s="303">
        <f t="array" ref="B1065">IF(OR(ISERROR(K1065:P1065)),FALSE,TRUE)</f>
        <v/>
      </c>
      <c r="C1065" s="60">
        <f>OR(BR1065=Driver!$G$50,Data!BR296=Driver!$H$50)</f>
        <v/>
      </c>
      <c r="D1065" s="60">
        <f>OR(BV1065=Driver!$G$51,BV1065=Driver!$H$51)</f>
        <v/>
      </c>
      <c r="E1065" s="60">
        <f>AND(BX1065&gt;Driver!$F$54,BX1065&lt;Driver!$G$54)</f>
        <v/>
      </c>
      <c r="F1065" s="60">
        <f>CL1065&gt;Driver!$F$56</f>
        <v/>
      </c>
      <c r="G1065" s="60">
        <f>AND(CB1065&gt;Driver!$F$55,CB1065&lt;Driver!$G$55)</f>
        <v/>
      </c>
      <c r="H1065" s="60">
        <f>AND(B1065:G1065)</f>
        <v/>
      </c>
      <c r="I1065" s="60">
        <f>COUNTIFS($H$9:$H$1273,TRUE,$BT$9:$BT$1273,BT1065)</f>
        <v/>
      </c>
      <c r="J1065" s="60">
        <f t="array" ref="J1065">NOT(OR(($H$9:$H$1273=TRUE)*($I$9:$I$1273&gt;0)*($BT$9:$BT$1273=BT1065)*($K$9:$K$1273&gt;K1065)))</f>
        <v/>
      </c>
      <c r="K1065" s="108">
        <f>IFERROR(1-AVERAGE(X1065:Y1065),"")</f>
        <v/>
      </c>
      <c r="L1065" s="108">
        <f>1-X1065</f>
        <v/>
      </c>
      <c r="M1065" s="108">
        <f>1-Y1065</f>
        <v/>
      </c>
      <c r="N1065" s="108">
        <f>1-Z1065</f>
        <v/>
      </c>
      <c r="O1065" s="108">
        <f>1-AA1065</f>
        <v/>
      </c>
      <c r="P1065" s="108">
        <f>1-AB1065</f>
        <v/>
      </c>
      <c r="Q1065" s="108" t="n"/>
      <c r="R1065" s="108" t="n"/>
      <c r="S1065" s="108">
        <f>1-AE1065</f>
        <v/>
      </c>
      <c r="T1065" s="108">
        <f>1-AF1065</f>
        <v/>
      </c>
      <c r="U1065" s="108">
        <f>1-AG1065</f>
        <v/>
      </c>
      <c r="V1065" s="108">
        <f>1-AH1065</f>
        <v/>
      </c>
      <c r="W1065" s="108">
        <f>1-AI1065</f>
        <v/>
      </c>
      <c r="X1065" s="108">
        <f>ABS(AJ1065-AJ$1)</f>
        <v/>
      </c>
      <c r="Y1065" s="108">
        <f>AVERAGE(Z1065:AB1065)</f>
        <v/>
      </c>
      <c r="Z1065" s="108">
        <f>ABS(AL1065-AL$1)</f>
        <v/>
      </c>
      <c r="AA1065" s="108">
        <f>ABS(AM1065-AM$1)</f>
        <v/>
      </c>
      <c r="AB1065" s="108">
        <f>ABS(AN1065-AN$1)</f>
        <v/>
      </c>
      <c r="AC1065" s="108" t="n"/>
      <c r="AD1065" s="108" t="n"/>
      <c r="AE1065" s="108">
        <f>ABS(AQ$1-AQ1065)</f>
        <v/>
      </c>
      <c r="AF1065" s="108">
        <f>ABS(AR$1-AR1065)</f>
        <v/>
      </c>
      <c r="AG1065" s="108">
        <f>ABS(AS$1-AS1065)</f>
        <v/>
      </c>
      <c r="AH1065" s="108">
        <f>ABS(AT$1-AT1065)</f>
        <v/>
      </c>
      <c r="AI1065" s="108">
        <f>ABS(AU$1-AU1065)</f>
        <v/>
      </c>
      <c r="AJ1065" s="108">
        <f>(AV1065-Driver!$K$179)/(Driver!$L$179-Driver!$K$179)</f>
        <v/>
      </c>
      <c r="AK1065" s="108">
        <f>(AW1065-Driver!$K$180)/(Driver!$L$180-Driver!$K$180)</f>
        <v/>
      </c>
      <c r="AL1065" s="108">
        <f>(AX1065-Driver!$K$181)/(Driver!$L$181-Driver!$K$181)</f>
        <v/>
      </c>
      <c r="AM1065" s="108">
        <f>(AY1065-Driver!$K$182)/(Driver!$L$182-Driver!$K$182)</f>
        <v/>
      </c>
      <c r="AN1065" s="108">
        <f>(AZ1065-Driver!$K$183)/(Driver!$L$183-Driver!$K$183)</f>
        <v/>
      </c>
      <c r="AO1065" s="108" t="n"/>
      <c r="AP1065" s="108" t="n"/>
      <c r="AQ1065" s="108">
        <f>(BC1065-Driver!$K$188)/(Driver!$L$188-Driver!$K$188)</f>
        <v/>
      </c>
      <c r="AR1065" s="108">
        <f>MIN((BD1065-Driver!$K$189)/(Driver!$L$189-Driver!$K$189),100%)</f>
        <v/>
      </c>
      <c r="AS1065" s="108">
        <f>(BE1065-Driver!$K$190)/(Driver!$L$190-Driver!$K$190)</f>
        <v/>
      </c>
      <c r="AT1065" s="108">
        <f>(BF1065-Driver!$K$191)/(Driver!$L$191-Driver!$K$191)</f>
        <v/>
      </c>
      <c r="AU1065" s="108">
        <f>(BG1065-Driver!$K$192)/(Driver!$L$192-Driver!$K$192)</f>
        <v/>
      </c>
      <c r="AV1065" s="105">
        <f>IFERROR(BM1065*BJ1065^1/4,"")</f>
        <v/>
      </c>
      <c r="AW1065" s="105">
        <f>IFERROR(SUM(AX1065:AZ1065),"")</f>
        <v/>
      </c>
      <c r="AX1065" s="105">
        <f>IFERROR(BH1065,"")</f>
        <v/>
      </c>
      <c r="AY1065" s="105">
        <f>IFERROR(Driver!$K$19/Data!BH1065/Data!BI1065*Data!BK1065*Data!BL1065,"")</f>
        <v/>
      </c>
      <c r="AZ1065" s="105">
        <f>IFERROR(BI1065*BN1065,"")</f>
        <v/>
      </c>
      <c r="BA1065" s="105" t="n"/>
      <c r="BB1065" s="105" t="n"/>
      <c r="BC1065" s="105">
        <f>IFERROR(BI1065*BN1065*BK1065/BJ1065^(1/2),"")</f>
        <v/>
      </c>
      <c r="BD1065" s="105">
        <f>IFERROR(BH1065*BM1065*BL1065/BJ1065/BK1065,"")</f>
        <v/>
      </c>
      <c r="BE1065" s="105">
        <f>IFERROR(MIN(BI1065/BQ1065/BP1065/BO1065/BH1065,$BE$1),"")</f>
        <v/>
      </c>
      <c r="BF1065" s="105">
        <f>IFERROR(BJ1065*BO1065*BP1065/BK1065,"")</f>
        <v/>
      </c>
      <c r="BG1065" s="105">
        <f>IFERROR(1/BM1065/BH1065*BQ1065,"")</f>
        <v/>
      </c>
      <c r="BH1065" s="102">
        <f>MAX((CE1065-Driver!$F$200)/(Driver!$G$200-Driver!$F$200)*$BI$1,1)</f>
        <v/>
      </c>
      <c r="BI1065" s="102">
        <f>MAX($BI$1*(BY1065-Driver!$F$201)/(Driver!$G$201-Driver!$F$201),1)</f>
        <v/>
      </c>
      <c r="BJ1065" s="102">
        <f>(CB1065-Driver!$F$206)/(Driver!$G$206-Driver!$F$206)*$BI$1</f>
        <v/>
      </c>
      <c r="BK1065" s="102">
        <f>(CD1065-Driver!$F$203)/(Driver!$G$203-Driver!$F$203)*$BI$1</f>
        <v/>
      </c>
      <c r="BL1065" s="102">
        <f>MAX((CR1065-Driver!$F$202)/(Driver!$G$202-Driver!$F$202)*$BI$1,1)</f>
        <v/>
      </c>
      <c r="BM1065" s="102">
        <f>MAX((CH1065-Driver!$F$204)/(Driver!$G$204-Driver!$F$204)*$BI$1,1)</f>
        <v/>
      </c>
      <c r="BN1065" s="102">
        <f>(CI1065-Driver!$F$205)/(Driver!$G$205-Driver!$F$205)*$BI$1</f>
        <v/>
      </c>
      <c r="BO1065" s="102">
        <f>(CK1065-Driver!$F$207)/(Driver!$G$207-Driver!$F$207)*$BI$1</f>
        <v/>
      </c>
      <c r="BP1065" s="102">
        <f>(CM1065-Driver!$F$208)/(Driver!$G$208-Driver!$F$208)*$BI$1</f>
        <v/>
      </c>
      <c r="BQ1065" s="102">
        <f>(CL1065-Driver!$F$209)/(Driver!$G$209-Driver!$F$209)*$BI$1</f>
        <v/>
      </c>
      <c r="BR1065" s="40" t="inlineStr">
        <is>
          <t>21/22</t>
        </is>
      </c>
      <c r="BS1065" s="10" t="inlineStr">
        <is>
          <t xml:space="preserve"> Blizzard</t>
        </is>
      </c>
      <c r="BT1065" s="11" t="inlineStr">
        <is>
          <t>Rustler 9</t>
        </is>
      </c>
      <c r="BU1065" s="13" t="n">
        <v>188</v>
      </c>
      <c r="BV1065" s="11" t="inlineStr">
        <is>
          <t xml:space="preserve"> Unisex</t>
        </is>
      </c>
      <c r="BW1065" s="13" t="n">
        <v>188</v>
      </c>
      <c r="BX1065" s="13" t="n">
        <v>186.7</v>
      </c>
      <c r="BY1065" s="13" t="n">
        <v>129</v>
      </c>
      <c r="BZ1065" s="13" t="n">
        <v>158</v>
      </c>
      <c r="CA1065" s="13" t="n">
        <v>127</v>
      </c>
      <c r="CB1065" s="13" t="n">
        <v>93</v>
      </c>
      <c r="CC1065" s="13" t="n">
        <v>116</v>
      </c>
      <c r="CD1065" s="13" t="n">
        <v>19.4</v>
      </c>
      <c r="CE1065" s="13" t="n">
        <v>2205</v>
      </c>
      <c r="CF1065" s="13" t="n">
        <v>0.89</v>
      </c>
      <c r="CG1065" s="13" t="n">
        <v>1954</v>
      </c>
      <c r="CH1065" s="13" t="n">
        <v>262</v>
      </c>
      <c r="CI1065" s="13" t="n">
        <v>135</v>
      </c>
      <c r="CJ1065" s="13" t="n">
        <v>62</v>
      </c>
      <c r="CK1065" s="13" t="n">
        <v>343</v>
      </c>
      <c r="CL1065" s="13" t="n">
        <v>27</v>
      </c>
      <c r="CM1065" s="13" t="n">
        <v>238</v>
      </c>
      <c r="CN1065" s="13" t="n">
        <v>0.427</v>
      </c>
      <c r="CO1065" s="13" t="n">
        <v>158</v>
      </c>
      <c r="CP1065" s="13" t="n">
        <v>131</v>
      </c>
      <c r="CQ1065" s="13" t="n">
        <v>185</v>
      </c>
      <c r="CR1065" s="13" t="n">
        <v>5</v>
      </c>
      <c r="CS1065" s="13" t="n">
        <v>7.5</v>
      </c>
      <c r="CT1065" s="11" t="inlineStr">
        <is>
          <t xml:space="preserve"> Resort Freeride</t>
        </is>
      </c>
      <c r="CU1065" s="13" t="n"/>
      <c r="CV1065" s="13" t="n"/>
      <c r="CW1065" s="13" t="n"/>
      <c r="CX1065">
        <f>INDEX('Data_Price '!AG$2:AG$1266,MATCH(Data!$DN1065,'Data_Price '!$AT$2:$AT$1266,0))</f>
        <v/>
      </c>
      <c r="CY1065">
        <f>INDEX('Data_Price '!AH$2:AH$1266,MATCH(Data!$DN1065,'Data_Price '!$AT$2:$AT$1266,0))</f>
        <v/>
      </c>
      <c r="CZ1065">
        <f>INDEX('Data_Price '!AI$2:AI$1266,MATCH(Data!$DN1065,'Data_Price '!$AT$2:$AT$1266,0))</f>
        <v/>
      </c>
      <c r="DA1065">
        <f>INDEX('Data_Price '!AJ$2:AJ$1266,MATCH(Data!$DN1065,'Data_Price '!$AT$2:$AT$1266,0))</f>
        <v/>
      </c>
      <c r="DB1065">
        <f>INDEX('Data_Price '!AK$2:AK$1266,MATCH(Data!$DN1065,'Data_Price '!$AT$2:$AT$1266,0))</f>
        <v/>
      </c>
      <c r="DC1065">
        <f>INDEX('Data_Price '!AL$2:AL$1266,MATCH(Data!$DN1065,'Data_Price '!$AT$2:$AT$1266,0))</f>
        <v/>
      </c>
      <c r="DD1065">
        <f>INDEX('Data_Price '!AM$2:AM$1266,MATCH(Data!$DN1065,'Data_Price '!$AT$2:$AT$1266,0))</f>
        <v/>
      </c>
      <c r="DE1065">
        <f>INDEX('Data_Price '!AN$2:AN$1266,MATCH(Data!$DN1065,'Data_Price '!$AT$2:$AT$1266,0))</f>
        <v/>
      </c>
      <c r="DF1065">
        <f>INDEX('Data_Price '!AO$2:AO$1266,MATCH(Data!$DN1065,'Data_Price '!$AT$2:$AT$1266,0))</f>
        <v/>
      </c>
      <c r="DG1065">
        <f>INDEX('Data_Price '!AP$2:AP$1266,MATCH(Data!$DN1065,'Data_Price '!$AT$2:$AT$1266,0))</f>
        <v/>
      </c>
      <c r="DH1065">
        <f>INDEX('Data_Price '!AQ$2:AQ$1266,MATCH(Data!$DN1065,'Data_Price '!$AT$2:$AT$1266,0))</f>
        <v/>
      </c>
      <c r="DI1065">
        <f>INDEX('Data_Price '!AR$2:AR$1266,MATCH(Data!$DN1065,'Data_Price '!$AT$2:$AT$1266,0))</f>
        <v/>
      </c>
      <c r="DJ1065" s="138">
        <f>DA1065</f>
        <v/>
      </c>
      <c r="DK1065" s="138">
        <f>DE1065</f>
        <v/>
      </c>
      <c r="DL1065" s="138">
        <f>DI1065</f>
        <v/>
      </c>
      <c r="DM1065" s="303">
        <f>IF(LEFT(BT1065,1)=" ",RIGHT(BT1065,LEN(BT1065)-1),BT1065)</f>
        <v/>
      </c>
      <c r="DN1065" s="138">
        <f>_xlfn.CONCAT(BS1065,DM1065,BU1065,BV1065)</f>
        <v/>
      </c>
      <c r="DO1065" s="307" t="inlineStr">
        <is>
          <t>https://images.evo.com/imgp/250/176889/722697/blizzard-rustler-9-skis-2022-.jpg</t>
        </is>
      </c>
    </row>
    <row r="1066" ht="15.6" customHeight="1" s="184">
      <c r="B1066" s="303">
        <f t="array" ref="B1066">IF(OR(ISERROR(K1066:P1066)),FALSE,TRUE)</f>
        <v/>
      </c>
      <c r="C1066" s="60">
        <f>OR(BR1066=Driver!$G$50,Data!BR1248=Driver!$H$50)</f>
        <v/>
      </c>
      <c r="D1066" s="60">
        <f>OR(BV1066=Driver!$G$51,BV1066=Driver!$H$51)</f>
        <v/>
      </c>
      <c r="E1066" s="60">
        <f>AND(BX1066&gt;Driver!$F$54,BX1066&lt;Driver!$G$54)</f>
        <v/>
      </c>
      <c r="F1066" s="60">
        <f>CL1066&gt;Driver!$F$56</f>
        <v/>
      </c>
      <c r="G1066" s="60">
        <f>AND(CB1066&gt;Driver!$F$55,CB1066&lt;Driver!$G$55)</f>
        <v/>
      </c>
      <c r="H1066" s="60">
        <f>AND(B1066:G1066)</f>
        <v/>
      </c>
      <c r="I1066" s="60">
        <f>COUNTIFS($H$9:$H$1273,TRUE,$BT$9:$BT$1273,BT1066)</f>
        <v/>
      </c>
      <c r="J1066" s="60">
        <f t="array" ref="J1066">NOT(OR(($H$9:$H$1273=TRUE)*($I$9:$I$1273&gt;0)*($BT$9:$BT$1273=BT1066)*($K$9:$K$1273&gt;K1066)))</f>
        <v/>
      </c>
      <c r="K1066" s="108">
        <f>IFERROR(1-AVERAGE(X1066:Y1066),"")</f>
        <v/>
      </c>
      <c r="L1066" s="108">
        <f>1-X1066</f>
        <v/>
      </c>
      <c r="M1066" s="108">
        <f>1-Y1066</f>
        <v/>
      </c>
      <c r="N1066" s="108">
        <f>1-Z1066</f>
        <v/>
      </c>
      <c r="O1066" s="108">
        <f>1-AA1066</f>
        <v/>
      </c>
      <c r="P1066" s="108">
        <f>1-AB1066</f>
        <v/>
      </c>
      <c r="Q1066" s="108" t="n"/>
      <c r="R1066" s="108" t="n"/>
      <c r="S1066" s="108">
        <f>1-AE1066</f>
        <v/>
      </c>
      <c r="T1066" s="108">
        <f>1-AF1066</f>
        <v/>
      </c>
      <c r="U1066" s="108">
        <f>1-AG1066</f>
        <v/>
      </c>
      <c r="V1066" s="108">
        <f>1-AH1066</f>
        <v/>
      </c>
      <c r="W1066" s="108">
        <f>1-AI1066</f>
        <v/>
      </c>
      <c r="X1066" s="108">
        <f>ABS(AJ1066-AJ$1)</f>
        <v/>
      </c>
      <c r="Y1066" s="108">
        <f>AVERAGE(Z1066:AB1066)</f>
        <v/>
      </c>
      <c r="Z1066" s="108">
        <f>ABS(AL1066-AL$1)</f>
        <v/>
      </c>
      <c r="AA1066" s="108">
        <f>ABS(AM1066-AM$1)</f>
        <v/>
      </c>
      <c r="AB1066" s="108">
        <f>ABS(AN1066-AN$1)</f>
        <v/>
      </c>
      <c r="AC1066" s="108" t="n"/>
      <c r="AD1066" s="108" t="n"/>
      <c r="AE1066" s="108">
        <f>ABS(AQ$1-AQ1066)</f>
        <v/>
      </c>
      <c r="AF1066" s="108">
        <f>ABS(AR$1-AR1066)</f>
        <v/>
      </c>
      <c r="AG1066" s="108">
        <f>ABS(AS$1-AS1066)</f>
        <v/>
      </c>
      <c r="AH1066" s="108">
        <f>ABS(AT$1-AT1066)</f>
        <v/>
      </c>
      <c r="AI1066" s="108">
        <f>ABS(AU$1-AU1066)</f>
        <v/>
      </c>
      <c r="AJ1066" s="108">
        <f>(AV1066-Driver!$K$179)/(Driver!$L$179-Driver!$K$179)</f>
        <v/>
      </c>
      <c r="AK1066" s="108">
        <f>(AW1066-Driver!$K$180)/(Driver!$L$180-Driver!$K$180)</f>
        <v/>
      </c>
      <c r="AL1066" s="108">
        <f>(AX1066-Driver!$K$181)/(Driver!$L$181-Driver!$K$181)</f>
        <v/>
      </c>
      <c r="AM1066" s="108">
        <f>(AY1066-Driver!$K$182)/(Driver!$L$182-Driver!$K$182)</f>
        <v/>
      </c>
      <c r="AN1066" s="108">
        <f>(AZ1066-Driver!$K$183)/(Driver!$L$183-Driver!$K$183)</f>
        <v/>
      </c>
      <c r="AO1066" s="108" t="n"/>
      <c r="AP1066" s="108" t="n"/>
      <c r="AQ1066" s="108">
        <f>(BC1066-Driver!$K$188)/(Driver!$L$188-Driver!$K$188)</f>
        <v/>
      </c>
      <c r="AR1066" s="108">
        <f>MIN((BD1066-Driver!$K$189)/(Driver!$L$189-Driver!$K$189),100%)</f>
        <v/>
      </c>
      <c r="AS1066" s="108">
        <f>(BE1066-Driver!$K$190)/(Driver!$L$190-Driver!$K$190)</f>
        <v/>
      </c>
      <c r="AT1066" s="108">
        <f>(BF1066-Driver!$K$191)/(Driver!$L$191-Driver!$K$191)</f>
        <v/>
      </c>
      <c r="AU1066" s="108">
        <f>(BG1066-Driver!$K$192)/(Driver!$L$192-Driver!$K$192)</f>
        <v/>
      </c>
      <c r="AV1066" s="105">
        <f>IFERROR(BM1066*BJ1066^1/4,"")</f>
        <v/>
      </c>
      <c r="AW1066" s="105">
        <f>IFERROR(SUM(AX1066:AZ1066),"")</f>
        <v/>
      </c>
      <c r="AX1066" s="105">
        <f>IFERROR(BH1066,"")</f>
        <v/>
      </c>
      <c r="AY1066" s="105">
        <f>IFERROR(Driver!$K$19/Data!BH1066/Data!BI1066*Data!BK1066*Data!BL1066,"")</f>
        <v/>
      </c>
      <c r="AZ1066" s="105">
        <f>IFERROR(BI1066*BN1066,"")</f>
        <v/>
      </c>
      <c r="BA1066" s="105" t="n"/>
      <c r="BB1066" s="105" t="n"/>
      <c r="BC1066" s="105">
        <f>IFERROR(BI1066*BN1066*BK1066/BJ1066^(1/2),"")</f>
        <v/>
      </c>
      <c r="BD1066" s="105">
        <f>IFERROR(BH1066*BM1066*BL1066/BJ1066/BK1066,"")</f>
        <v/>
      </c>
      <c r="BE1066" s="105">
        <f>IFERROR(MIN(BI1066/BQ1066/BP1066/BO1066/BH1066,$BE$1),"")</f>
        <v/>
      </c>
      <c r="BF1066" s="105">
        <f>IFERROR(BJ1066*BO1066*BP1066/BK1066,"")</f>
        <v/>
      </c>
      <c r="BG1066" s="105">
        <f>IFERROR(1/BM1066/BH1066*BQ1066,"")</f>
        <v/>
      </c>
      <c r="BH1066" s="102">
        <f>MAX((CE1066-Driver!$F$200)/(Driver!$G$200-Driver!$F$200)*$BI$1,1)</f>
        <v/>
      </c>
      <c r="BI1066" s="102">
        <f>MAX($BI$1*(BY1066-Driver!$F$201)/(Driver!$G$201-Driver!$F$201),1)</f>
        <v/>
      </c>
      <c r="BJ1066" s="102">
        <f>(CB1066-Driver!$F$206)/(Driver!$G$206-Driver!$F$206)*$BI$1</f>
        <v/>
      </c>
      <c r="BK1066" s="102">
        <f>(CD1066-Driver!$F$203)/(Driver!$G$203-Driver!$F$203)*$BI$1</f>
        <v/>
      </c>
      <c r="BL1066" s="102">
        <f>MAX((CR1066-Driver!$F$202)/(Driver!$G$202-Driver!$F$202)*$BI$1,1)</f>
        <v/>
      </c>
      <c r="BM1066" s="102">
        <f>MAX((CH1066-Driver!$F$204)/(Driver!$G$204-Driver!$F$204)*$BI$1,1)</f>
        <v/>
      </c>
      <c r="BN1066" s="102">
        <f>(CI1066-Driver!$F$205)/(Driver!$G$205-Driver!$F$205)*$BI$1</f>
        <v/>
      </c>
      <c r="BO1066" s="102">
        <f>(CK1066-Driver!$F$207)/(Driver!$G$207-Driver!$F$207)*$BI$1</f>
        <v/>
      </c>
      <c r="BP1066" s="102">
        <f>(CM1066-Driver!$F$208)/(Driver!$G$208-Driver!$F$208)*$BI$1</f>
        <v/>
      </c>
      <c r="BQ1066" s="102">
        <f>(CL1066-Driver!$F$209)/(Driver!$G$209-Driver!$F$209)*$BI$1</f>
        <v/>
      </c>
      <c r="BR1066" s="40" t="inlineStr">
        <is>
          <t>21/22</t>
        </is>
      </c>
      <c r="BS1066" s="10" t="inlineStr">
        <is>
          <t xml:space="preserve"> Völkl</t>
        </is>
      </c>
      <c r="BT1066" s="11" t="inlineStr">
        <is>
          <t>Rise Above 88 W</t>
        </is>
      </c>
      <c r="BU1066" s="13" t="n">
        <v>156</v>
      </c>
      <c r="BV1066" s="11" t="inlineStr">
        <is>
          <t xml:space="preserve"> Women's</t>
        </is>
      </c>
      <c r="BW1066" s="13" t="n">
        <v>156</v>
      </c>
      <c r="BX1066" s="13" t="n">
        <v>154.6</v>
      </c>
      <c r="BY1066" s="13" t="n">
        <v>127</v>
      </c>
      <c r="BZ1066" s="13" t="n">
        <v>132</v>
      </c>
      <c r="CA1066" s="13" t="n">
        <v>130</v>
      </c>
      <c r="CB1066" s="13" t="n">
        <v>87</v>
      </c>
      <c r="CC1066" s="13" t="n">
        <v>111</v>
      </c>
      <c r="CD1066" s="13" t="n">
        <v>12.7</v>
      </c>
      <c r="CE1066" s="13" t="n">
        <v>1111</v>
      </c>
      <c r="CF1066" s="13" t="n">
        <v>1.4</v>
      </c>
      <c r="CG1066" s="13" t="n">
        <v>1555</v>
      </c>
      <c r="CH1066" s="13" t="n">
        <v>135</v>
      </c>
      <c r="CI1066" s="13" t="n">
        <v>59</v>
      </c>
      <c r="CJ1066" s="13" t="n">
        <v>42</v>
      </c>
      <c r="CK1066" s="13" t="n">
        <v>212</v>
      </c>
      <c r="CL1066" s="13" t="n">
        <v>4</v>
      </c>
      <c r="CM1066" s="13" t="n">
        <v>65</v>
      </c>
      <c r="CN1066" s="13" t="n">
        <v>0.104</v>
      </c>
      <c r="CO1066" s="13" t="n">
        <v>131</v>
      </c>
      <c r="CP1066" s="13" t="n">
        <v>93</v>
      </c>
      <c r="CQ1066" s="13" t="n">
        <v>81</v>
      </c>
      <c r="CR1066" s="13" t="n">
        <v>5</v>
      </c>
      <c r="CS1066" s="13" t="n">
        <v>11.4</v>
      </c>
      <c r="CT1066" s="11" t="inlineStr">
        <is>
          <t xml:space="preserve"> Touring</t>
        </is>
      </c>
      <c r="CU1066" s="11" t="inlineStr">
        <is>
          <t xml:space="preserve"> Ultralight Touring</t>
        </is>
      </c>
      <c r="CV1066" s="13" t="n"/>
      <c r="CW1066" s="13" t="n"/>
      <c r="CX1066">
        <f>INDEX('Data_Price '!AG$2:AG$1266,MATCH(Data!$DN1066,'Data_Price '!$AT$2:$AT$1266,0))</f>
        <v/>
      </c>
      <c r="CY1066">
        <f>INDEX('Data_Price '!AH$2:AH$1266,MATCH(Data!$DN1066,'Data_Price '!$AT$2:$AT$1266,0))</f>
        <v/>
      </c>
      <c r="CZ1066">
        <f>INDEX('Data_Price '!AI$2:AI$1266,MATCH(Data!$DN1066,'Data_Price '!$AT$2:$AT$1266,0))</f>
        <v/>
      </c>
      <c r="DA1066">
        <f>INDEX('Data_Price '!AJ$2:AJ$1266,MATCH(Data!$DN1066,'Data_Price '!$AT$2:$AT$1266,0))</f>
        <v/>
      </c>
      <c r="DB1066">
        <f>INDEX('Data_Price '!AK$2:AK$1266,MATCH(Data!$DN1066,'Data_Price '!$AT$2:$AT$1266,0))</f>
        <v/>
      </c>
      <c r="DC1066">
        <f>INDEX('Data_Price '!AL$2:AL$1266,MATCH(Data!$DN1066,'Data_Price '!$AT$2:$AT$1266,0))</f>
        <v/>
      </c>
      <c r="DD1066">
        <f>INDEX('Data_Price '!AM$2:AM$1266,MATCH(Data!$DN1066,'Data_Price '!$AT$2:$AT$1266,0))</f>
        <v/>
      </c>
      <c r="DE1066">
        <f>INDEX('Data_Price '!AN$2:AN$1266,MATCH(Data!$DN1066,'Data_Price '!$AT$2:$AT$1266,0))</f>
        <v/>
      </c>
      <c r="DF1066">
        <f>INDEX('Data_Price '!AO$2:AO$1266,MATCH(Data!$DN1066,'Data_Price '!$AT$2:$AT$1266,0))</f>
        <v/>
      </c>
      <c r="DG1066">
        <f>INDEX('Data_Price '!AP$2:AP$1266,MATCH(Data!$DN1066,'Data_Price '!$AT$2:$AT$1266,0))</f>
        <v/>
      </c>
      <c r="DH1066">
        <f>INDEX('Data_Price '!AQ$2:AQ$1266,MATCH(Data!$DN1066,'Data_Price '!$AT$2:$AT$1266,0))</f>
        <v/>
      </c>
      <c r="DI1066">
        <f>INDEX('Data_Price '!AR$2:AR$1266,MATCH(Data!$DN1066,'Data_Price '!$AT$2:$AT$1266,0))</f>
        <v/>
      </c>
      <c r="DJ1066" s="138">
        <f>DA1066</f>
        <v/>
      </c>
      <c r="DK1066" s="138">
        <f>DE1066</f>
        <v/>
      </c>
      <c r="DL1066" s="138">
        <f>DI1066</f>
        <v/>
      </c>
      <c r="DM1066" s="303">
        <f>IF(LEFT(BT1066,1)=" ",RIGHT(BT1066,LEN(BT1066)-1),BT1066)</f>
        <v/>
      </c>
      <c r="DN1066" s="138">
        <f>_xlfn.CONCAT(BS1066,DM1066,BU1066,BV1066)</f>
        <v/>
      </c>
      <c r="DO1066" s="307" t="n"/>
    </row>
    <row r="1067" ht="15.6" customHeight="1" s="184">
      <c r="B1067" s="303">
        <f t="array" ref="B1067">IF(OR(ISERROR(K1067:P1067)),FALSE,TRUE)</f>
        <v/>
      </c>
      <c r="C1067" s="60">
        <f>OR(BR1067=Driver!$G$50,Data!BR1130=Driver!$H$50)</f>
        <v/>
      </c>
      <c r="D1067" s="60">
        <f>OR(BV1067=Driver!$G$51,BV1067=Driver!$H$51)</f>
        <v/>
      </c>
      <c r="E1067" s="60">
        <f>AND(BX1067&gt;Driver!$F$54,BX1067&lt;Driver!$G$54)</f>
        <v/>
      </c>
      <c r="F1067" s="60">
        <f>CL1067&gt;Driver!$F$56</f>
        <v/>
      </c>
      <c r="G1067" s="60">
        <f>AND(CB1067&gt;Driver!$F$55,CB1067&lt;Driver!$G$55)</f>
        <v/>
      </c>
      <c r="H1067" s="60">
        <f>AND(B1067:G1067)</f>
        <v/>
      </c>
      <c r="I1067" s="60">
        <f>COUNTIFS($H$9:$H$1273,TRUE,$BT$9:$BT$1273,BT1067)</f>
        <v/>
      </c>
      <c r="J1067" s="60">
        <f t="array" ref="J1067">NOT(OR(($H$9:$H$1273=TRUE)*($I$9:$I$1273&gt;0)*($BT$9:$BT$1273=BT1067)*($K$9:$K$1273&gt;K1067)))</f>
        <v/>
      </c>
      <c r="K1067" s="108">
        <f>IFERROR(1-AVERAGE(X1067:Y1067),"")</f>
        <v/>
      </c>
      <c r="L1067" s="108">
        <f>1-X1067</f>
        <v/>
      </c>
      <c r="M1067" s="108">
        <f>1-Y1067</f>
        <v/>
      </c>
      <c r="N1067" s="108">
        <f>1-Z1067</f>
        <v/>
      </c>
      <c r="O1067" s="108">
        <f>1-AA1067</f>
        <v/>
      </c>
      <c r="P1067" s="108">
        <f>1-AB1067</f>
        <v/>
      </c>
      <c r="Q1067" s="108" t="n"/>
      <c r="R1067" s="108" t="n"/>
      <c r="S1067" s="108">
        <f>1-AE1067</f>
        <v/>
      </c>
      <c r="T1067" s="108">
        <f>1-AF1067</f>
        <v/>
      </c>
      <c r="U1067" s="108">
        <f>1-AG1067</f>
        <v/>
      </c>
      <c r="V1067" s="108">
        <f>1-AH1067</f>
        <v/>
      </c>
      <c r="W1067" s="108">
        <f>1-AI1067</f>
        <v/>
      </c>
      <c r="X1067" s="108">
        <f>ABS(AJ1067-AJ$1)</f>
        <v/>
      </c>
      <c r="Y1067" s="108">
        <f>AVERAGE(Z1067:AB1067)</f>
        <v/>
      </c>
      <c r="Z1067" s="108">
        <f>ABS(AL1067-AL$1)</f>
        <v/>
      </c>
      <c r="AA1067" s="108">
        <f>ABS(AM1067-AM$1)</f>
        <v/>
      </c>
      <c r="AB1067" s="108">
        <f>ABS(AN1067-AN$1)</f>
        <v/>
      </c>
      <c r="AC1067" s="108" t="n"/>
      <c r="AD1067" s="108" t="n"/>
      <c r="AE1067" s="108">
        <f>ABS(AQ$1-AQ1067)</f>
        <v/>
      </c>
      <c r="AF1067" s="108">
        <f>ABS(AR$1-AR1067)</f>
        <v/>
      </c>
      <c r="AG1067" s="108">
        <f>ABS(AS$1-AS1067)</f>
        <v/>
      </c>
      <c r="AH1067" s="108">
        <f>ABS(AT$1-AT1067)</f>
        <v/>
      </c>
      <c r="AI1067" s="108">
        <f>ABS(AU$1-AU1067)</f>
        <v/>
      </c>
      <c r="AJ1067" s="108">
        <f>(AV1067-Driver!$K$179)/(Driver!$L$179-Driver!$K$179)</f>
        <v/>
      </c>
      <c r="AK1067" s="108">
        <f>(AW1067-Driver!$K$180)/(Driver!$L$180-Driver!$K$180)</f>
        <v/>
      </c>
      <c r="AL1067" s="108">
        <f>(AX1067-Driver!$K$181)/(Driver!$L$181-Driver!$K$181)</f>
        <v/>
      </c>
      <c r="AM1067" s="108">
        <f>(AY1067-Driver!$K$182)/(Driver!$L$182-Driver!$K$182)</f>
        <v/>
      </c>
      <c r="AN1067" s="108">
        <f>(AZ1067-Driver!$K$183)/(Driver!$L$183-Driver!$K$183)</f>
        <v/>
      </c>
      <c r="AO1067" s="108" t="n"/>
      <c r="AP1067" s="108" t="n"/>
      <c r="AQ1067" s="108">
        <f>(BC1067-Driver!$K$188)/(Driver!$L$188-Driver!$K$188)</f>
        <v/>
      </c>
      <c r="AR1067" s="108">
        <f>MIN((BD1067-Driver!$K$189)/(Driver!$L$189-Driver!$K$189),100%)</f>
        <v/>
      </c>
      <c r="AS1067" s="108">
        <f>(BE1067-Driver!$K$190)/(Driver!$L$190-Driver!$K$190)</f>
        <v/>
      </c>
      <c r="AT1067" s="108">
        <f>(BF1067-Driver!$K$191)/(Driver!$L$191-Driver!$K$191)</f>
        <v/>
      </c>
      <c r="AU1067" s="108">
        <f>(BG1067-Driver!$K$192)/(Driver!$L$192-Driver!$K$192)</f>
        <v/>
      </c>
      <c r="AV1067" s="105">
        <f>IFERROR(BM1067*BJ1067^1/4,"")</f>
        <v/>
      </c>
      <c r="AW1067" s="105">
        <f>IFERROR(SUM(AX1067:AZ1067),"")</f>
        <v/>
      </c>
      <c r="AX1067" s="105">
        <f>IFERROR(BH1067,"")</f>
        <v/>
      </c>
      <c r="AY1067" s="105">
        <f>IFERROR(Driver!$K$19/Data!BH1067/Data!BI1067*Data!BK1067*Data!BL1067,"")</f>
        <v/>
      </c>
      <c r="AZ1067" s="105">
        <f>IFERROR(BI1067*BN1067,"")</f>
        <v/>
      </c>
      <c r="BA1067" s="105" t="n"/>
      <c r="BB1067" s="105" t="n"/>
      <c r="BC1067" s="105">
        <f>IFERROR(BI1067*BN1067*BK1067/BJ1067^(1/2),"")</f>
        <v/>
      </c>
      <c r="BD1067" s="105">
        <f>IFERROR(BH1067*BM1067*BL1067/BJ1067/BK1067,"")</f>
        <v/>
      </c>
      <c r="BE1067" s="105">
        <f>IFERROR(MIN(BI1067/BQ1067/BP1067/BO1067/BH1067,$BE$1),"")</f>
        <v/>
      </c>
      <c r="BF1067" s="105">
        <f>IFERROR(BJ1067*BO1067*BP1067/BK1067,"")</f>
        <v/>
      </c>
      <c r="BG1067" s="105">
        <f>IFERROR(1/BM1067/BH1067*BQ1067,"")</f>
        <v/>
      </c>
      <c r="BH1067" s="102">
        <f>MAX((CE1067-Driver!$F$200)/(Driver!$G$200-Driver!$F$200)*$BI$1,1)</f>
        <v/>
      </c>
      <c r="BI1067" s="102">
        <f>MAX($BI$1*(BY1067-Driver!$F$201)/(Driver!$G$201-Driver!$F$201),1)</f>
        <v/>
      </c>
      <c r="BJ1067" s="102">
        <f>(CB1067-Driver!$F$206)/(Driver!$G$206-Driver!$F$206)*$BI$1</f>
        <v/>
      </c>
      <c r="BK1067" s="102">
        <f>(CD1067-Driver!$F$203)/(Driver!$G$203-Driver!$F$203)*$BI$1</f>
        <v/>
      </c>
      <c r="BL1067" s="102">
        <f>MAX((CR1067-Driver!$F$202)/(Driver!$G$202-Driver!$F$202)*$BI$1,1)</f>
        <v/>
      </c>
      <c r="BM1067" s="102">
        <f>MAX((CH1067-Driver!$F$204)/(Driver!$G$204-Driver!$F$204)*$BI$1,1)</f>
        <v/>
      </c>
      <c r="BN1067" s="102">
        <f>(CI1067-Driver!$F$205)/(Driver!$G$205-Driver!$F$205)*$BI$1</f>
        <v/>
      </c>
      <c r="BO1067" s="102">
        <f>(CK1067-Driver!$F$207)/(Driver!$G$207-Driver!$F$207)*$BI$1</f>
        <v/>
      </c>
      <c r="BP1067" s="102">
        <f>(CM1067-Driver!$F$208)/(Driver!$G$208-Driver!$F$208)*$BI$1</f>
        <v/>
      </c>
      <c r="BQ1067" s="102">
        <f>(CL1067-Driver!$F$209)/(Driver!$G$209-Driver!$F$209)*$BI$1</f>
        <v/>
      </c>
      <c r="BR1067" s="40" t="inlineStr">
        <is>
          <t>21/22</t>
        </is>
      </c>
      <c r="BS1067" s="10" t="inlineStr">
        <is>
          <t xml:space="preserve"> Stöckli</t>
        </is>
      </c>
      <c r="BT1067" s="11" t="inlineStr">
        <is>
          <t xml:space="preserve"> Laser AR</t>
        </is>
      </c>
      <c r="BU1067" s="13" t="n">
        <v>175</v>
      </c>
      <c r="BV1067" s="11" t="inlineStr">
        <is>
          <t xml:space="preserve"> Unisex</t>
        </is>
      </c>
      <c r="BW1067" s="13" t="n">
        <v>175</v>
      </c>
      <c r="BX1067" s="13" t="n">
        <v>174.2</v>
      </c>
      <c r="BY1067" s="13" t="n">
        <v>149</v>
      </c>
      <c r="BZ1067" s="13" t="n">
        <v>159</v>
      </c>
      <c r="CA1067" s="13" t="n">
        <v>130</v>
      </c>
      <c r="CB1067" s="13" t="n">
        <v>82</v>
      </c>
      <c r="CC1067" s="13" t="n">
        <v>112</v>
      </c>
      <c r="CD1067" s="13" t="n">
        <v>16.2</v>
      </c>
      <c r="CE1067" s="13" t="n">
        <v>1927</v>
      </c>
      <c r="CF1067" s="13" t="n">
        <v>0.87</v>
      </c>
      <c r="CG1067" s="13" t="n">
        <v>1679</v>
      </c>
      <c r="CH1067" s="13" t="n">
        <v>220</v>
      </c>
      <c r="CI1067" s="13" t="n">
        <v>128</v>
      </c>
      <c r="CJ1067" s="13" t="n">
        <v>42</v>
      </c>
      <c r="CK1067" s="13" t="n">
        <v>185</v>
      </c>
      <c r="CL1067" s="13" t="n">
        <v>5</v>
      </c>
      <c r="CM1067" s="13" t="n">
        <v>64</v>
      </c>
      <c r="CN1067" s="13" t="n">
        <v>0.114</v>
      </c>
      <c r="CO1067" s="13" t="n">
        <v>97</v>
      </c>
      <c r="CP1067" s="13" t="n">
        <v>54</v>
      </c>
      <c r="CQ1067" s="13" t="n">
        <v>88</v>
      </c>
      <c r="CR1067" s="13" t="n">
        <v>9</v>
      </c>
      <c r="CS1067" s="13" t="n">
        <v>14.4</v>
      </c>
      <c r="CT1067" s="11" t="inlineStr">
        <is>
          <t xml:space="preserve"> On-Piste Carving</t>
        </is>
      </c>
      <c r="CU1067" s="11" t="inlineStr">
        <is>
          <t xml:space="preserve"> Resort Freeride</t>
        </is>
      </c>
      <c r="CV1067" s="13" t="n"/>
      <c r="CW1067" s="13" t="n"/>
      <c r="CX1067">
        <f>INDEX('Data_Price '!AG$2:AG$1266,MATCH(Data!$DN1067,'Data_Price '!$AT$2:$AT$1266,0))</f>
        <v/>
      </c>
      <c r="CY1067">
        <f>INDEX('Data_Price '!AH$2:AH$1266,MATCH(Data!$DN1067,'Data_Price '!$AT$2:$AT$1266,0))</f>
        <v/>
      </c>
      <c r="CZ1067">
        <f>INDEX('Data_Price '!AI$2:AI$1266,MATCH(Data!$DN1067,'Data_Price '!$AT$2:$AT$1266,0))</f>
        <v/>
      </c>
      <c r="DA1067">
        <f>INDEX('Data_Price '!AJ$2:AJ$1266,MATCH(Data!$DN1067,'Data_Price '!$AT$2:$AT$1266,0))</f>
        <v/>
      </c>
      <c r="DB1067">
        <f>INDEX('Data_Price '!AK$2:AK$1266,MATCH(Data!$DN1067,'Data_Price '!$AT$2:$AT$1266,0))</f>
        <v/>
      </c>
      <c r="DC1067">
        <f>INDEX('Data_Price '!AL$2:AL$1266,MATCH(Data!$DN1067,'Data_Price '!$AT$2:$AT$1266,0))</f>
        <v/>
      </c>
      <c r="DD1067">
        <f>INDEX('Data_Price '!AM$2:AM$1266,MATCH(Data!$DN1067,'Data_Price '!$AT$2:$AT$1266,0))</f>
        <v/>
      </c>
      <c r="DE1067">
        <f>INDEX('Data_Price '!AN$2:AN$1266,MATCH(Data!$DN1067,'Data_Price '!$AT$2:$AT$1266,0))</f>
        <v/>
      </c>
      <c r="DF1067">
        <f>INDEX('Data_Price '!AO$2:AO$1266,MATCH(Data!$DN1067,'Data_Price '!$AT$2:$AT$1266,0))</f>
        <v/>
      </c>
      <c r="DG1067">
        <f>INDEX('Data_Price '!AP$2:AP$1266,MATCH(Data!$DN1067,'Data_Price '!$AT$2:$AT$1266,0))</f>
        <v/>
      </c>
      <c r="DH1067">
        <f>INDEX('Data_Price '!AQ$2:AQ$1266,MATCH(Data!$DN1067,'Data_Price '!$AT$2:$AT$1266,0))</f>
        <v/>
      </c>
      <c r="DI1067">
        <f>INDEX('Data_Price '!AR$2:AR$1266,MATCH(Data!$DN1067,'Data_Price '!$AT$2:$AT$1266,0))</f>
        <v/>
      </c>
      <c r="DJ1067" s="138">
        <f>DA1067</f>
        <v/>
      </c>
      <c r="DK1067" s="138">
        <f>DE1067</f>
        <v/>
      </c>
      <c r="DL1067" s="138">
        <f>DI1067</f>
        <v/>
      </c>
      <c r="DM1067" s="303">
        <f>IF(LEFT(BT1067,1)=" ",RIGHT(BT1067,LEN(BT1067)-1),BT1067)</f>
        <v/>
      </c>
      <c r="DN1067" s="138">
        <f>_xlfn.CONCAT(BS1067,DM1067,BU1067,BV1067)</f>
        <v/>
      </c>
      <c r="DO1067" s="307" t="n"/>
    </row>
    <row r="1068" ht="15.6" customHeight="1" s="184">
      <c r="B1068" s="303">
        <f t="array" ref="B1068">IF(OR(ISERROR(K1068:P1068)),FALSE,TRUE)</f>
        <v/>
      </c>
      <c r="C1068" s="60">
        <f>OR(BR1068=Driver!$G$50,Data!BR527=Driver!$H$50)</f>
        <v/>
      </c>
      <c r="D1068" s="60">
        <f>OR(BV1068=Driver!$G$51,BV1068=Driver!$H$51)</f>
        <v/>
      </c>
      <c r="E1068" s="60">
        <f>AND(BX1068&gt;Driver!$F$54,BX1068&lt;Driver!$G$54)</f>
        <v/>
      </c>
      <c r="F1068" s="60">
        <f>CL1068&gt;Driver!$F$56</f>
        <v/>
      </c>
      <c r="G1068" s="60">
        <f>AND(CB1068&gt;Driver!$F$55,CB1068&lt;Driver!$G$55)</f>
        <v/>
      </c>
      <c r="H1068" s="60">
        <f>AND(B1068:G1068)</f>
        <v/>
      </c>
      <c r="I1068" s="60">
        <f>COUNTIFS($H$9:$H$1273,TRUE,$BT$9:$BT$1273,BT1068)</f>
        <v/>
      </c>
      <c r="J1068" s="60">
        <f t="array" ref="J1068">NOT(OR(($H$9:$H$1273=TRUE)*($I$9:$I$1273&gt;0)*($BT$9:$BT$1273=BT1068)*($K$9:$K$1273&gt;K1068)))</f>
        <v/>
      </c>
      <c r="K1068" s="108">
        <f>IFERROR(1-AVERAGE(X1068:Y1068),"")</f>
        <v/>
      </c>
      <c r="L1068" s="108">
        <f>1-X1068</f>
        <v/>
      </c>
      <c r="M1068" s="108">
        <f>1-Y1068</f>
        <v/>
      </c>
      <c r="N1068" s="108">
        <f>1-Z1068</f>
        <v/>
      </c>
      <c r="O1068" s="108">
        <f>1-AA1068</f>
        <v/>
      </c>
      <c r="P1068" s="108">
        <f>1-AB1068</f>
        <v/>
      </c>
      <c r="Q1068" s="108" t="n"/>
      <c r="R1068" s="108" t="n"/>
      <c r="S1068" s="108">
        <f>1-AE1068</f>
        <v/>
      </c>
      <c r="T1068" s="108">
        <f>1-AF1068</f>
        <v/>
      </c>
      <c r="U1068" s="108">
        <f>1-AG1068</f>
        <v/>
      </c>
      <c r="V1068" s="108">
        <f>1-AH1068</f>
        <v/>
      </c>
      <c r="W1068" s="108">
        <f>1-AI1068</f>
        <v/>
      </c>
      <c r="X1068" s="108">
        <f>ABS(AJ1068-AJ$1)</f>
        <v/>
      </c>
      <c r="Y1068" s="108">
        <f>AVERAGE(Z1068:AB1068)</f>
        <v/>
      </c>
      <c r="Z1068" s="108">
        <f>ABS(AL1068-AL$1)</f>
        <v/>
      </c>
      <c r="AA1068" s="108">
        <f>ABS(AM1068-AM$1)</f>
        <v/>
      </c>
      <c r="AB1068" s="108">
        <f>ABS(AN1068-AN$1)</f>
        <v/>
      </c>
      <c r="AC1068" s="108" t="n"/>
      <c r="AD1068" s="108" t="n"/>
      <c r="AE1068" s="108">
        <f>ABS(AQ$1-AQ1068)</f>
        <v/>
      </c>
      <c r="AF1068" s="108">
        <f>ABS(AR$1-AR1068)</f>
        <v/>
      </c>
      <c r="AG1068" s="108">
        <f>ABS(AS$1-AS1068)</f>
        <v/>
      </c>
      <c r="AH1068" s="108">
        <f>ABS(AT$1-AT1068)</f>
        <v/>
      </c>
      <c r="AI1068" s="108">
        <f>ABS(AU$1-AU1068)</f>
        <v/>
      </c>
      <c r="AJ1068" s="108">
        <f>(AV1068-Driver!$K$179)/(Driver!$L$179-Driver!$K$179)</f>
        <v/>
      </c>
      <c r="AK1068" s="108">
        <f>(AW1068-Driver!$K$180)/(Driver!$L$180-Driver!$K$180)</f>
        <v/>
      </c>
      <c r="AL1068" s="108">
        <f>(AX1068-Driver!$K$181)/(Driver!$L$181-Driver!$K$181)</f>
        <v/>
      </c>
      <c r="AM1068" s="108">
        <f>(AY1068-Driver!$K$182)/(Driver!$L$182-Driver!$K$182)</f>
        <v/>
      </c>
      <c r="AN1068" s="108">
        <f>(AZ1068-Driver!$K$183)/(Driver!$L$183-Driver!$K$183)</f>
        <v/>
      </c>
      <c r="AO1068" s="108" t="n"/>
      <c r="AP1068" s="108" t="n"/>
      <c r="AQ1068" s="108">
        <f>(BC1068-Driver!$K$188)/(Driver!$L$188-Driver!$K$188)</f>
        <v/>
      </c>
      <c r="AR1068" s="108">
        <f>MIN((BD1068-Driver!$K$189)/(Driver!$L$189-Driver!$K$189),100%)</f>
        <v/>
      </c>
      <c r="AS1068" s="108">
        <f>(BE1068-Driver!$K$190)/(Driver!$L$190-Driver!$K$190)</f>
        <v/>
      </c>
      <c r="AT1068" s="108">
        <f>(BF1068-Driver!$K$191)/(Driver!$L$191-Driver!$K$191)</f>
        <v/>
      </c>
      <c r="AU1068" s="108">
        <f>(BG1068-Driver!$K$192)/(Driver!$L$192-Driver!$K$192)</f>
        <v/>
      </c>
      <c r="AV1068" s="105">
        <f>IFERROR(BM1068*BJ1068^1/4,"")</f>
        <v/>
      </c>
      <c r="AW1068" s="105">
        <f>IFERROR(SUM(AX1068:AZ1068),"")</f>
        <v/>
      </c>
      <c r="AX1068" s="105">
        <f>IFERROR(BH1068,"")</f>
        <v/>
      </c>
      <c r="AY1068" s="105">
        <f>IFERROR(Driver!$K$19/Data!BH1068/Data!BI1068*Data!BK1068*Data!BL1068,"")</f>
        <v/>
      </c>
      <c r="AZ1068" s="105">
        <f>IFERROR(BI1068*BN1068,"")</f>
        <v/>
      </c>
      <c r="BA1068" s="105" t="n"/>
      <c r="BB1068" s="105" t="n"/>
      <c r="BC1068" s="105">
        <f>IFERROR(BI1068*BN1068*BK1068/BJ1068^(1/2),"")</f>
        <v/>
      </c>
      <c r="BD1068" s="105">
        <f>IFERROR(BH1068*BM1068*BL1068/BJ1068/BK1068,"")</f>
        <v/>
      </c>
      <c r="BE1068" s="105">
        <f>IFERROR(MIN(BI1068/BQ1068/BP1068/BO1068/BH1068,$BE$1),"")</f>
        <v/>
      </c>
      <c r="BF1068" s="105">
        <f>IFERROR(BJ1068*BO1068*BP1068/BK1068,"")</f>
        <v/>
      </c>
      <c r="BG1068" s="105">
        <f>IFERROR(1/BM1068/BH1068*BQ1068,"")</f>
        <v/>
      </c>
      <c r="BH1068" s="102">
        <f>MAX((CE1068-Driver!$F$200)/(Driver!$G$200-Driver!$F$200)*$BI$1,1)</f>
        <v/>
      </c>
      <c r="BI1068" s="102">
        <f>MAX($BI$1*(BY1068-Driver!$F$201)/(Driver!$G$201-Driver!$F$201),1)</f>
        <v/>
      </c>
      <c r="BJ1068" s="102">
        <f>(CB1068-Driver!$F$206)/(Driver!$G$206-Driver!$F$206)*$BI$1</f>
        <v/>
      </c>
      <c r="BK1068" s="102">
        <f>(CD1068-Driver!$F$203)/(Driver!$G$203-Driver!$F$203)*$BI$1</f>
        <v/>
      </c>
      <c r="BL1068" s="102">
        <f>MAX((CR1068-Driver!$F$202)/(Driver!$G$202-Driver!$F$202)*$BI$1,1)</f>
        <v/>
      </c>
      <c r="BM1068" s="102">
        <f>MAX((CH1068-Driver!$F$204)/(Driver!$G$204-Driver!$F$204)*$BI$1,1)</f>
        <v/>
      </c>
      <c r="BN1068" s="102">
        <f>(CI1068-Driver!$F$205)/(Driver!$G$205-Driver!$F$205)*$BI$1</f>
        <v/>
      </c>
      <c r="BO1068" s="102">
        <f>(CK1068-Driver!$F$207)/(Driver!$G$207-Driver!$F$207)*$BI$1</f>
        <v/>
      </c>
      <c r="BP1068" s="102">
        <f>(CM1068-Driver!$F$208)/(Driver!$G$208-Driver!$F$208)*$BI$1</f>
        <v/>
      </c>
      <c r="BQ1068" s="102">
        <f>(CL1068-Driver!$F$209)/(Driver!$G$209-Driver!$F$209)*$BI$1</f>
        <v/>
      </c>
      <c r="BR1068" s="40" t="inlineStr">
        <is>
          <t>21/22</t>
        </is>
      </c>
      <c r="BS1068" s="10" t="inlineStr">
        <is>
          <t xml:space="preserve"> Faction</t>
        </is>
      </c>
      <c r="BT1068" s="11" t="inlineStr">
        <is>
          <t>Prodigy 0.0 X</t>
        </is>
      </c>
      <c r="BU1068" s="13" t="n">
        <v>150</v>
      </c>
      <c r="BV1068" s="11" t="inlineStr">
        <is>
          <t xml:space="preserve"> Women's</t>
        </is>
      </c>
      <c r="BW1068" s="13" t="n">
        <v>150</v>
      </c>
      <c r="BX1068" s="13" t="n">
        <v>148</v>
      </c>
      <c r="BY1068" s="13" t="n">
        <v>104</v>
      </c>
      <c r="BZ1068" s="13" t="n">
        <v>122</v>
      </c>
      <c r="CA1068" s="13" t="n">
        <v>116</v>
      </c>
      <c r="CB1068" s="13" t="n">
        <v>84</v>
      </c>
      <c r="CC1068" s="13" t="n">
        <v>108</v>
      </c>
      <c r="CD1068" s="13" t="n">
        <v>11.9</v>
      </c>
      <c r="CE1068" s="13" t="n">
        <v>1451</v>
      </c>
      <c r="CF1068" s="13" t="n">
        <v>0.98</v>
      </c>
      <c r="CG1068" s="13" t="n">
        <v>1416</v>
      </c>
      <c r="CH1068" s="13" t="n">
        <v>124</v>
      </c>
      <c r="CI1068" s="13" t="n">
        <v>51</v>
      </c>
      <c r="CJ1068" s="13" t="n">
        <v>46</v>
      </c>
      <c r="CK1068" s="13" t="n">
        <v>243</v>
      </c>
      <c r="CL1068" s="13" t="n">
        <v>38</v>
      </c>
      <c r="CM1068" s="13" t="n">
        <v>194</v>
      </c>
      <c r="CN1068" s="13" t="n">
        <v>0.8139999999999999</v>
      </c>
      <c r="CO1068" s="13" t="n">
        <v>135</v>
      </c>
      <c r="CP1068" s="13" t="n">
        <v>122</v>
      </c>
      <c r="CQ1068" s="13" t="n">
        <v>108</v>
      </c>
      <c r="CR1068" s="13" t="n">
        <v>8</v>
      </c>
      <c r="CS1068" s="13" t="n">
        <v>6.4</v>
      </c>
      <c r="CT1068" s="11" t="inlineStr">
        <is>
          <t xml:space="preserve"> Resort Freeride</t>
        </is>
      </c>
      <c r="CU1068" s="11" t="inlineStr">
        <is>
          <t xml:space="preserve"> Freeski</t>
        </is>
      </c>
      <c r="CV1068" s="13" t="n"/>
      <c r="CW1068" s="13" t="n"/>
      <c r="CX1068">
        <f>INDEX('Data_Price '!AG$2:AG$1266,MATCH(Data!$DN1068,'Data_Price '!$AT$2:$AT$1266,0))</f>
        <v/>
      </c>
      <c r="CY1068">
        <f>INDEX('Data_Price '!AH$2:AH$1266,MATCH(Data!$DN1068,'Data_Price '!$AT$2:$AT$1266,0))</f>
        <v/>
      </c>
      <c r="CZ1068">
        <f>INDEX('Data_Price '!AI$2:AI$1266,MATCH(Data!$DN1068,'Data_Price '!$AT$2:$AT$1266,0))</f>
        <v/>
      </c>
      <c r="DA1068">
        <f>INDEX('Data_Price '!AJ$2:AJ$1266,MATCH(Data!$DN1068,'Data_Price '!$AT$2:$AT$1266,0))</f>
        <v/>
      </c>
      <c r="DB1068">
        <f>INDEX('Data_Price '!AK$2:AK$1266,MATCH(Data!$DN1068,'Data_Price '!$AT$2:$AT$1266,0))</f>
        <v/>
      </c>
      <c r="DC1068">
        <f>INDEX('Data_Price '!AL$2:AL$1266,MATCH(Data!$DN1068,'Data_Price '!$AT$2:$AT$1266,0))</f>
        <v/>
      </c>
      <c r="DD1068">
        <f>INDEX('Data_Price '!AM$2:AM$1266,MATCH(Data!$DN1068,'Data_Price '!$AT$2:$AT$1266,0))</f>
        <v/>
      </c>
      <c r="DE1068">
        <f>INDEX('Data_Price '!AN$2:AN$1266,MATCH(Data!$DN1068,'Data_Price '!$AT$2:$AT$1266,0))</f>
        <v/>
      </c>
      <c r="DF1068">
        <f>INDEX('Data_Price '!AO$2:AO$1266,MATCH(Data!$DN1068,'Data_Price '!$AT$2:$AT$1266,0))</f>
        <v/>
      </c>
      <c r="DG1068">
        <f>INDEX('Data_Price '!AP$2:AP$1266,MATCH(Data!$DN1068,'Data_Price '!$AT$2:$AT$1266,0))</f>
        <v/>
      </c>
      <c r="DH1068">
        <f>INDEX('Data_Price '!AQ$2:AQ$1266,MATCH(Data!$DN1068,'Data_Price '!$AT$2:$AT$1266,0))</f>
        <v/>
      </c>
      <c r="DI1068">
        <f>INDEX('Data_Price '!AR$2:AR$1266,MATCH(Data!$DN1068,'Data_Price '!$AT$2:$AT$1266,0))</f>
        <v/>
      </c>
      <c r="DJ1068" s="138">
        <f>DA1068</f>
        <v/>
      </c>
      <c r="DK1068" s="138">
        <f>DE1068</f>
        <v/>
      </c>
      <c r="DL1068" s="138">
        <f>DI1068</f>
        <v/>
      </c>
      <c r="DM1068" s="303">
        <f>IF(LEFT(BT1068,1)=" ",RIGHT(BT1068,LEN(BT1068)-1),BT1068)</f>
        <v/>
      </c>
      <c r="DN1068" s="138">
        <f>_xlfn.CONCAT(BS1068,DM1068,BU1068,BV1068)</f>
        <v/>
      </c>
      <c r="DO1068" s="307" t="n"/>
    </row>
    <row r="1069" ht="15.6" customHeight="1" s="184">
      <c r="B1069" s="303">
        <f t="array" ref="B1069">IF(OR(ISERROR(K1069:P1069)),FALSE,TRUE)</f>
        <v/>
      </c>
      <c r="C1069" s="60">
        <f>OR(BR1069=Driver!$G$50,Data!BR369=Driver!$H$50)</f>
        <v/>
      </c>
      <c r="D1069" s="60">
        <f>OR(BV1069=Driver!$G$51,BV1069=Driver!$H$51)</f>
        <v/>
      </c>
      <c r="E1069" s="60">
        <f>AND(BX1069&gt;Driver!$F$54,BX1069&lt;Driver!$G$54)</f>
        <v/>
      </c>
      <c r="F1069" s="60">
        <f>CL1069&gt;Driver!$F$56</f>
        <v/>
      </c>
      <c r="G1069" s="60">
        <f>AND(CB1069&gt;Driver!$F$55,CB1069&lt;Driver!$G$55)</f>
        <v/>
      </c>
      <c r="H1069" s="60">
        <f>AND(B1069:G1069)</f>
        <v/>
      </c>
      <c r="I1069" s="60">
        <f>COUNTIFS($H$9:$H$1273,TRUE,$BT$9:$BT$1273,BT1069)</f>
        <v/>
      </c>
      <c r="J1069" s="60">
        <f t="array" ref="J1069">NOT(OR(($H$9:$H$1273=TRUE)*($I$9:$I$1273&gt;0)*($BT$9:$BT$1273=BT1069)*($K$9:$K$1273&gt;K1069)))</f>
        <v/>
      </c>
      <c r="K1069" s="108">
        <f>IFERROR(1-AVERAGE(X1069:Y1069),"")</f>
        <v/>
      </c>
      <c r="L1069" s="108">
        <f>1-X1069</f>
        <v/>
      </c>
      <c r="M1069" s="108">
        <f>1-Y1069</f>
        <v/>
      </c>
      <c r="N1069" s="108">
        <f>1-Z1069</f>
        <v/>
      </c>
      <c r="O1069" s="108">
        <f>1-AA1069</f>
        <v/>
      </c>
      <c r="P1069" s="108">
        <f>1-AB1069</f>
        <v/>
      </c>
      <c r="Q1069" s="108" t="n"/>
      <c r="R1069" s="108" t="n"/>
      <c r="S1069" s="108">
        <f>1-AE1069</f>
        <v/>
      </c>
      <c r="T1069" s="108">
        <f>1-AF1069</f>
        <v/>
      </c>
      <c r="U1069" s="108">
        <f>1-AG1069</f>
        <v/>
      </c>
      <c r="V1069" s="108">
        <f>1-AH1069</f>
        <v/>
      </c>
      <c r="W1069" s="108">
        <f>1-AI1069</f>
        <v/>
      </c>
      <c r="X1069" s="108">
        <f>ABS(AJ1069-AJ$1)</f>
        <v/>
      </c>
      <c r="Y1069" s="108">
        <f>AVERAGE(Z1069:AB1069)</f>
        <v/>
      </c>
      <c r="Z1069" s="108">
        <f>ABS(AL1069-AL$1)</f>
        <v/>
      </c>
      <c r="AA1069" s="108">
        <f>ABS(AM1069-AM$1)</f>
        <v/>
      </c>
      <c r="AB1069" s="108">
        <f>ABS(AN1069-AN$1)</f>
        <v/>
      </c>
      <c r="AC1069" s="108" t="n"/>
      <c r="AD1069" s="108" t="n"/>
      <c r="AE1069" s="108">
        <f>ABS(AQ$1-AQ1069)</f>
        <v/>
      </c>
      <c r="AF1069" s="108">
        <f>ABS(AR$1-AR1069)</f>
        <v/>
      </c>
      <c r="AG1069" s="108">
        <f>ABS(AS$1-AS1069)</f>
        <v/>
      </c>
      <c r="AH1069" s="108">
        <f>ABS(AT$1-AT1069)</f>
        <v/>
      </c>
      <c r="AI1069" s="108">
        <f>ABS(AU$1-AU1069)</f>
        <v/>
      </c>
      <c r="AJ1069" s="108">
        <f>(AV1069-Driver!$K$179)/(Driver!$L$179-Driver!$K$179)</f>
        <v/>
      </c>
      <c r="AK1069" s="108">
        <f>(AW1069-Driver!$K$180)/(Driver!$L$180-Driver!$K$180)</f>
        <v/>
      </c>
      <c r="AL1069" s="108">
        <f>(AX1069-Driver!$K$181)/(Driver!$L$181-Driver!$K$181)</f>
        <v/>
      </c>
      <c r="AM1069" s="108">
        <f>(AY1069-Driver!$K$182)/(Driver!$L$182-Driver!$K$182)</f>
        <v/>
      </c>
      <c r="AN1069" s="108">
        <f>(AZ1069-Driver!$K$183)/(Driver!$L$183-Driver!$K$183)</f>
        <v/>
      </c>
      <c r="AO1069" s="108" t="n"/>
      <c r="AP1069" s="108" t="n"/>
      <c r="AQ1069" s="108">
        <f>(BC1069-Driver!$K$188)/(Driver!$L$188-Driver!$K$188)</f>
        <v/>
      </c>
      <c r="AR1069" s="108">
        <f>MIN((BD1069-Driver!$K$189)/(Driver!$L$189-Driver!$K$189),100%)</f>
        <v/>
      </c>
      <c r="AS1069" s="108">
        <f>(BE1069-Driver!$K$190)/(Driver!$L$190-Driver!$K$190)</f>
        <v/>
      </c>
      <c r="AT1069" s="108">
        <f>(BF1069-Driver!$K$191)/(Driver!$L$191-Driver!$K$191)</f>
        <v/>
      </c>
      <c r="AU1069" s="108">
        <f>(BG1069-Driver!$K$192)/(Driver!$L$192-Driver!$K$192)</f>
        <v/>
      </c>
      <c r="AV1069" s="105">
        <f>IFERROR(BM1069*BJ1069^1/4,"")</f>
        <v/>
      </c>
      <c r="AW1069" s="105">
        <f>IFERROR(SUM(AX1069:AZ1069),"")</f>
        <v/>
      </c>
      <c r="AX1069" s="105">
        <f>IFERROR(BH1069,"")</f>
        <v/>
      </c>
      <c r="AY1069" s="105">
        <f>IFERROR(Driver!$K$19/Data!BH1069/Data!BI1069*Data!BK1069*Data!BL1069,"")</f>
        <v/>
      </c>
      <c r="AZ1069" s="105">
        <f>IFERROR(BI1069*BN1069,"")</f>
        <v/>
      </c>
      <c r="BA1069" s="105" t="n"/>
      <c r="BB1069" s="105" t="n"/>
      <c r="BC1069" s="105">
        <f>IFERROR(BI1069*BN1069*BK1069/BJ1069^(1/2),"")</f>
        <v/>
      </c>
      <c r="BD1069" s="105">
        <f>IFERROR(BH1069*BM1069*BL1069/BJ1069/BK1069,"")</f>
        <v/>
      </c>
      <c r="BE1069" s="105">
        <f>IFERROR(MIN(BI1069/BQ1069/BP1069/BO1069/BH1069,$BE$1),"")</f>
        <v/>
      </c>
      <c r="BF1069" s="105">
        <f>IFERROR(BJ1069*BO1069*BP1069/BK1069,"")</f>
        <v/>
      </c>
      <c r="BG1069" s="105">
        <f>IFERROR(1/BM1069/BH1069*BQ1069,"")</f>
        <v/>
      </c>
      <c r="BH1069" s="102">
        <f>MAX((CE1069-Driver!$F$200)/(Driver!$G$200-Driver!$F$200)*$BI$1,1)</f>
        <v/>
      </c>
      <c r="BI1069" s="102">
        <f>MAX($BI$1*(BY1069-Driver!$F$201)/(Driver!$G$201-Driver!$F$201),1)</f>
        <v/>
      </c>
      <c r="BJ1069" s="102">
        <f>(CB1069-Driver!$F$206)/(Driver!$G$206-Driver!$F$206)*$BI$1</f>
        <v/>
      </c>
      <c r="BK1069" s="102">
        <f>(CD1069-Driver!$F$203)/(Driver!$G$203-Driver!$F$203)*$BI$1</f>
        <v/>
      </c>
      <c r="BL1069" s="102">
        <f>MAX((CR1069-Driver!$F$202)/(Driver!$G$202-Driver!$F$202)*$BI$1,1)</f>
        <v/>
      </c>
      <c r="BM1069" s="102">
        <f>MAX((CH1069-Driver!$F$204)/(Driver!$G$204-Driver!$F$204)*$BI$1,1)</f>
        <v/>
      </c>
      <c r="BN1069" s="102">
        <f>(CI1069-Driver!$F$205)/(Driver!$G$205-Driver!$F$205)*$BI$1</f>
        <v/>
      </c>
      <c r="BO1069" s="102">
        <f>(CK1069-Driver!$F$207)/(Driver!$G$207-Driver!$F$207)*$BI$1</f>
        <v/>
      </c>
      <c r="BP1069" s="102">
        <f>(CM1069-Driver!$F$208)/(Driver!$G$208-Driver!$F$208)*$BI$1</f>
        <v/>
      </c>
      <c r="BQ1069" s="102">
        <f>(CL1069-Driver!$F$209)/(Driver!$G$209-Driver!$F$209)*$BI$1</f>
        <v/>
      </c>
      <c r="BR1069" s="40" t="inlineStr">
        <is>
          <t>21/22</t>
        </is>
      </c>
      <c r="BS1069" s="10" t="inlineStr">
        <is>
          <t xml:space="preserve"> Dynafit</t>
        </is>
      </c>
      <c r="BT1069" s="11" t="inlineStr">
        <is>
          <t>Blacklight 88</t>
        </is>
      </c>
      <c r="BU1069" s="13" t="n">
        <v>158</v>
      </c>
      <c r="BV1069" s="11" t="inlineStr">
        <is>
          <t xml:space="preserve"> Unisex</t>
        </is>
      </c>
      <c r="BW1069" s="13" t="n">
        <v>158</v>
      </c>
      <c r="BX1069" s="13" t="n">
        <v>156</v>
      </c>
      <c r="BY1069" s="13" t="n">
        <v>110</v>
      </c>
      <c r="BZ1069" s="13" t="n">
        <v>133</v>
      </c>
      <c r="CA1069" s="13" t="n">
        <v>120</v>
      </c>
      <c r="CB1069" s="13" t="n">
        <v>85</v>
      </c>
      <c r="CC1069" s="13" t="n">
        <v>108</v>
      </c>
      <c r="CD1069" s="13" t="n">
        <v>14.9</v>
      </c>
      <c r="CE1069" s="13" t="n">
        <v>1056</v>
      </c>
      <c r="CF1069" s="13" t="n">
        <v>1.41</v>
      </c>
      <c r="CG1069" s="13" t="n">
        <v>1491</v>
      </c>
      <c r="CH1069" s="13" t="n">
        <v>204</v>
      </c>
      <c r="CI1069" s="13" t="n">
        <v>71</v>
      </c>
      <c r="CJ1069" s="13" t="n">
        <v>54</v>
      </c>
      <c r="CK1069" s="13" t="n">
        <v>304</v>
      </c>
      <c r="CL1069" s="13" t="n">
        <v>11</v>
      </c>
      <c r="CM1069" s="13" t="n">
        <v>152</v>
      </c>
      <c r="CN1069" s="13" t="n">
        <v>0.197</v>
      </c>
      <c r="CO1069" s="13" t="n">
        <v>137</v>
      </c>
      <c r="CP1069" s="13" t="n">
        <v>90</v>
      </c>
      <c r="CQ1069" s="13" t="n">
        <v>168</v>
      </c>
      <c r="CR1069" s="13" t="n">
        <v>5</v>
      </c>
      <c r="CS1069" s="13" t="n">
        <v>12.3</v>
      </c>
      <c r="CT1069" s="11" t="inlineStr">
        <is>
          <t xml:space="preserve"> Touring</t>
        </is>
      </c>
      <c r="CU1069" s="11" t="inlineStr">
        <is>
          <t xml:space="preserve"> Ultralight Touring</t>
        </is>
      </c>
      <c r="CV1069" s="13" t="n"/>
      <c r="CW1069" s="13" t="n"/>
      <c r="CX1069">
        <f>INDEX('Data_Price '!AG$2:AG$1266,MATCH(Data!$DN1069,'Data_Price '!$AT$2:$AT$1266,0))</f>
        <v/>
      </c>
      <c r="CY1069">
        <f>INDEX('Data_Price '!AH$2:AH$1266,MATCH(Data!$DN1069,'Data_Price '!$AT$2:$AT$1266,0))</f>
        <v/>
      </c>
      <c r="CZ1069">
        <f>INDEX('Data_Price '!AI$2:AI$1266,MATCH(Data!$DN1069,'Data_Price '!$AT$2:$AT$1266,0))</f>
        <v/>
      </c>
      <c r="DA1069">
        <f>INDEX('Data_Price '!AJ$2:AJ$1266,MATCH(Data!$DN1069,'Data_Price '!$AT$2:$AT$1266,0))</f>
        <v/>
      </c>
      <c r="DB1069">
        <f>INDEX('Data_Price '!AK$2:AK$1266,MATCH(Data!$DN1069,'Data_Price '!$AT$2:$AT$1266,0))</f>
        <v/>
      </c>
      <c r="DC1069">
        <f>INDEX('Data_Price '!AL$2:AL$1266,MATCH(Data!$DN1069,'Data_Price '!$AT$2:$AT$1266,0))</f>
        <v/>
      </c>
      <c r="DD1069">
        <f>INDEX('Data_Price '!AM$2:AM$1266,MATCH(Data!$DN1069,'Data_Price '!$AT$2:$AT$1266,0))</f>
        <v/>
      </c>
      <c r="DE1069">
        <f>INDEX('Data_Price '!AN$2:AN$1266,MATCH(Data!$DN1069,'Data_Price '!$AT$2:$AT$1266,0))</f>
        <v/>
      </c>
      <c r="DF1069">
        <f>INDEX('Data_Price '!AO$2:AO$1266,MATCH(Data!$DN1069,'Data_Price '!$AT$2:$AT$1266,0))</f>
        <v/>
      </c>
      <c r="DG1069">
        <f>INDEX('Data_Price '!AP$2:AP$1266,MATCH(Data!$DN1069,'Data_Price '!$AT$2:$AT$1266,0))</f>
        <v/>
      </c>
      <c r="DH1069">
        <f>INDEX('Data_Price '!AQ$2:AQ$1266,MATCH(Data!$DN1069,'Data_Price '!$AT$2:$AT$1266,0))</f>
        <v/>
      </c>
      <c r="DI1069">
        <f>INDEX('Data_Price '!AR$2:AR$1266,MATCH(Data!$DN1069,'Data_Price '!$AT$2:$AT$1266,0))</f>
        <v/>
      </c>
      <c r="DJ1069" s="138">
        <f>DA1069</f>
        <v/>
      </c>
      <c r="DK1069" s="138">
        <f>DE1069</f>
        <v/>
      </c>
      <c r="DL1069" s="138">
        <f>DI1069</f>
        <v/>
      </c>
      <c r="DM1069" s="303">
        <f>IF(LEFT(BT1069,1)=" ",RIGHT(BT1069,LEN(BT1069)-1),BT1069)</f>
        <v/>
      </c>
      <c r="DN1069" s="138">
        <f>_xlfn.CONCAT(BS1069,DM1069,BU1069,BV1069)</f>
        <v/>
      </c>
      <c r="DO1069" s="307" t="inlineStr">
        <is>
          <t>https://images.evo.com/imgp/250/208963/851016/dynafit-blacklight-88-skis-2022-.jpg</t>
        </is>
      </c>
    </row>
    <row r="1070" ht="15.6" customHeight="1" s="184">
      <c r="B1070" s="303">
        <f t="array" ref="B1070">IF(OR(ISERROR(K1070:P1070)),FALSE,TRUE)</f>
        <v/>
      </c>
      <c r="C1070" s="60">
        <f>OR(BR1070=Driver!$G$50,Data!BR669=Driver!$H$50)</f>
        <v/>
      </c>
      <c r="D1070" s="60">
        <f>OR(BV1070=Driver!$G$51,BV1070=Driver!$H$51)</f>
        <v/>
      </c>
      <c r="E1070" s="60">
        <f>AND(BX1070&gt;Driver!$F$54,BX1070&lt;Driver!$G$54)</f>
        <v/>
      </c>
      <c r="F1070" s="60">
        <f>CL1070&gt;Driver!$F$56</f>
        <v/>
      </c>
      <c r="G1070" s="60">
        <f>AND(CB1070&gt;Driver!$F$55,CB1070&lt;Driver!$G$55)</f>
        <v/>
      </c>
      <c r="H1070" s="60">
        <f>AND(B1070:G1070)</f>
        <v/>
      </c>
      <c r="I1070" s="60">
        <f>COUNTIFS($H$9:$H$1273,TRUE,$BT$9:$BT$1273,BT1070)</f>
        <v/>
      </c>
      <c r="J1070" s="60">
        <f t="array" ref="J1070">NOT(OR(($H$9:$H$1273=TRUE)*($I$9:$I$1273&gt;0)*($BT$9:$BT$1273=BT1070)*($K$9:$K$1273&gt;K1070)))</f>
        <v/>
      </c>
      <c r="K1070" s="108">
        <f>IFERROR(1-AVERAGE(X1070:Y1070),"")</f>
        <v/>
      </c>
      <c r="L1070" s="108">
        <f>1-X1070</f>
        <v/>
      </c>
      <c r="M1070" s="108">
        <f>1-Y1070</f>
        <v/>
      </c>
      <c r="N1070" s="108">
        <f>1-Z1070</f>
        <v/>
      </c>
      <c r="O1070" s="108">
        <f>1-AA1070</f>
        <v/>
      </c>
      <c r="P1070" s="108">
        <f>1-AB1070</f>
        <v/>
      </c>
      <c r="Q1070" s="108" t="n"/>
      <c r="R1070" s="108" t="n"/>
      <c r="S1070" s="108">
        <f>1-AE1070</f>
        <v/>
      </c>
      <c r="T1070" s="108">
        <f>1-AF1070</f>
        <v/>
      </c>
      <c r="U1070" s="108">
        <f>1-AG1070</f>
        <v/>
      </c>
      <c r="V1070" s="108">
        <f>1-AH1070</f>
        <v/>
      </c>
      <c r="W1070" s="108">
        <f>1-AI1070</f>
        <v/>
      </c>
      <c r="X1070" s="108">
        <f>ABS(AJ1070-AJ$1)</f>
        <v/>
      </c>
      <c r="Y1070" s="108">
        <f>AVERAGE(Z1070:AB1070)</f>
        <v/>
      </c>
      <c r="Z1070" s="108">
        <f>ABS(AL1070-AL$1)</f>
        <v/>
      </c>
      <c r="AA1070" s="108">
        <f>ABS(AM1070-AM$1)</f>
        <v/>
      </c>
      <c r="AB1070" s="108">
        <f>ABS(AN1070-AN$1)</f>
        <v/>
      </c>
      <c r="AC1070" s="108" t="n"/>
      <c r="AD1070" s="108" t="n"/>
      <c r="AE1070" s="108">
        <f>ABS(AQ$1-AQ1070)</f>
        <v/>
      </c>
      <c r="AF1070" s="108">
        <f>ABS(AR$1-AR1070)</f>
        <v/>
      </c>
      <c r="AG1070" s="108">
        <f>ABS(AS$1-AS1070)</f>
        <v/>
      </c>
      <c r="AH1070" s="108">
        <f>ABS(AT$1-AT1070)</f>
        <v/>
      </c>
      <c r="AI1070" s="108">
        <f>ABS(AU$1-AU1070)</f>
        <v/>
      </c>
      <c r="AJ1070" s="108">
        <f>(AV1070-Driver!$K$179)/(Driver!$L$179-Driver!$K$179)</f>
        <v/>
      </c>
      <c r="AK1070" s="108">
        <f>(AW1070-Driver!$K$180)/(Driver!$L$180-Driver!$K$180)</f>
        <v/>
      </c>
      <c r="AL1070" s="108">
        <f>(AX1070-Driver!$K$181)/(Driver!$L$181-Driver!$K$181)</f>
        <v/>
      </c>
      <c r="AM1070" s="108">
        <f>(AY1070-Driver!$K$182)/(Driver!$L$182-Driver!$K$182)</f>
        <v/>
      </c>
      <c r="AN1070" s="108">
        <f>(AZ1070-Driver!$K$183)/(Driver!$L$183-Driver!$K$183)</f>
        <v/>
      </c>
      <c r="AO1070" s="108" t="n"/>
      <c r="AP1070" s="108" t="n"/>
      <c r="AQ1070" s="108">
        <f>(BC1070-Driver!$K$188)/(Driver!$L$188-Driver!$K$188)</f>
        <v/>
      </c>
      <c r="AR1070" s="108">
        <f>MIN((BD1070-Driver!$K$189)/(Driver!$L$189-Driver!$K$189),100%)</f>
        <v/>
      </c>
      <c r="AS1070" s="108">
        <f>(BE1070-Driver!$K$190)/(Driver!$L$190-Driver!$K$190)</f>
        <v/>
      </c>
      <c r="AT1070" s="108">
        <f>(BF1070-Driver!$K$191)/(Driver!$L$191-Driver!$K$191)</f>
        <v/>
      </c>
      <c r="AU1070" s="108">
        <f>(BG1070-Driver!$K$192)/(Driver!$L$192-Driver!$K$192)</f>
        <v/>
      </c>
      <c r="AV1070" s="105">
        <f>IFERROR(BM1070*BJ1070^1/4,"")</f>
        <v/>
      </c>
      <c r="AW1070" s="105">
        <f>IFERROR(SUM(AX1070:AZ1070),"")</f>
        <v/>
      </c>
      <c r="AX1070" s="105">
        <f>IFERROR(BH1070,"")</f>
        <v/>
      </c>
      <c r="AY1070" s="105">
        <f>IFERROR(Driver!$K$19/Data!BH1070/Data!BI1070*Data!BK1070*Data!BL1070,"")</f>
        <v/>
      </c>
      <c r="AZ1070" s="105">
        <f>IFERROR(BI1070*BN1070,"")</f>
        <v/>
      </c>
      <c r="BA1070" s="105" t="n"/>
      <c r="BB1070" s="105" t="n"/>
      <c r="BC1070" s="105">
        <f>IFERROR(BI1070*BN1070*BK1070/BJ1070^(1/2),"")</f>
        <v/>
      </c>
      <c r="BD1070" s="105">
        <f>IFERROR(BH1070*BM1070*BL1070/BJ1070/BK1070,"")</f>
        <v/>
      </c>
      <c r="BE1070" s="105">
        <f>IFERROR(MIN(BI1070/BQ1070/BP1070/BO1070/BH1070,$BE$1),"")</f>
        <v/>
      </c>
      <c r="BF1070" s="105">
        <f>IFERROR(BJ1070*BO1070*BP1070/BK1070,"")</f>
        <v/>
      </c>
      <c r="BG1070" s="105">
        <f>IFERROR(1/BM1070/BH1070*BQ1070,"")</f>
        <v/>
      </c>
      <c r="BH1070" s="102">
        <f>MAX((CE1070-Driver!$F$200)/(Driver!$G$200-Driver!$F$200)*$BI$1,1)</f>
        <v/>
      </c>
      <c r="BI1070" s="102">
        <f>MAX($BI$1*(BY1070-Driver!$F$201)/(Driver!$G$201-Driver!$F$201),1)</f>
        <v/>
      </c>
      <c r="BJ1070" s="102">
        <f>(CB1070-Driver!$F$206)/(Driver!$G$206-Driver!$F$206)*$BI$1</f>
        <v/>
      </c>
      <c r="BK1070" s="102">
        <f>(CD1070-Driver!$F$203)/(Driver!$G$203-Driver!$F$203)*$BI$1</f>
        <v/>
      </c>
      <c r="BL1070" s="102">
        <f>MAX((CR1070-Driver!$F$202)/(Driver!$G$202-Driver!$F$202)*$BI$1,1)</f>
        <v/>
      </c>
      <c r="BM1070" s="102">
        <f>MAX((CH1070-Driver!$F$204)/(Driver!$G$204-Driver!$F$204)*$BI$1,1)</f>
        <v/>
      </c>
      <c r="BN1070" s="102">
        <f>(CI1070-Driver!$F$205)/(Driver!$G$205-Driver!$F$205)*$BI$1</f>
        <v/>
      </c>
      <c r="BO1070" s="102">
        <f>(CK1070-Driver!$F$207)/(Driver!$G$207-Driver!$F$207)*$BI$1</f>
        <v/>
      </c>
      <c r="BP1070" s="102">
        <f>(CM1070-Driver!$F$208)/(Driver!$G$208-Driver!$F$208)*$BI$1</f>
        <v/>
      </c>
      <c r="BQ1070" s="102">
        <f>(CL1070-Driver!$F$209)/(Driver!$G$209-Driver!$F$209)*$BI$1</f>
        <v/>
      </c>
      <c r="BR1070" s="40" t="inlineStr">
        <is>
          <t>21/22</t>
        </is>
      </c>
      <c r="BS1070" s="10" t="inlineStr">
        <is>
          <t xml:space="preserve"> Head</t>
        </is>
      </c>
      <c r="BT1070" s="11" t="inlineStr">
        <is>
          <t xml:space="preserve"> Worldcup Rebels I.SLR</t>
        </is>
      </c>
      <c r="BU1070" s="13" t="n">
        <v>150</v>
      </c>
      <c r="BV1070" s="11" t="inlineStr">
        <is>
          <t xml:space="preserve"> Unisex</t>
        </is>
      </c>
      <c r="BW1070" s="13" t="n">
        <v>150</v>
      </c>
      <c r="BX1070" s="13" t="n">
        <v>149</v>
      </c>
      <c r="BY1070" s="13" t="n">
        <v>129</v>
      </c>
      <c r="BZ1070" s="13" t="n">
        <v>135</v>
      </c>
      <c r="CA1070" s="13" t="n">
        <v>119</v>
      </c>
      <c r="CB1070" s="13" t="n">
        <v>64</v>
      </c>
      <c r="CC1070" s="13" t="n">
        <v>104</v>
      </c>
      <c r="CD1070" s="13" t="n">
        <v>9.4</v>
      </c>
      <c r="CE1070" s="13" t="n">
        <v>1708</v>
      </c>
      <c r="CF1070" s="13" t="n">
        <v>0.71</v>
      </c>
      <c r="CG1070" s="13" t="n">
        <v>1221</v>
      </c>
      <c r="CH1070" s="13" t="n">
        <v>123</v>
      </c>
      <c r="CI1070" s="13" t="n">
        <v>58</v>
      </c>
      <c r="CJ1070" s="13" t="n">
        <v>43</v>
      </c>
      <c r="CK1070" s="13" t="n">
        <v>141</v>
      </c>
      <c r="CL1070" s="13" t="n">
        <v>5</v>
      </c>
      <c r="CM1070" s="13" t="n">
        <v>54</v>
      </c>
      <c r="CN1070" s="13" t="n">
        <v>0.122</v>
      </c>
      <c r="CO1070" s="13" t="n">
        <v>78</v>
      </c>
      <c r="CP1070" s="13" t="n">
        <v>59</v>
      </c>
      <c r="CQ1070" s="13" t="n">
        <v>63</v>
      </c>
      <c r="CR1070" s="13" t="n">
        <v>9</v>
      </c>
      <c r="CS1070" s="13" t="n">
        <v>12.4</v>
      </c>
      <c r="CT1070" s="11" t="inlineStr">
        <is>
          <t xml:space="preserve"> On-Piste Carving</t>
        </is>
      </c>
      <c r="CU1070" s="13" t="n"/>
      <c r="CV1070" s="13" t="n"/>
      <c r="CW1070" s="13" t="n"/>
      <c r="CX1070">
        <f>INDEX('Data_Price '!AG$2:AG$1266,MATCH(Data!$DN1070,'Data_Price '!$AT$2:$AT$1266,0))</f>
        <v/>
      </c>
      <c r="CY1070">
        <f>INDEX('Data_Price '!AH$2:AH$1266,MATCH(Data!$DN1070,'Data_Price '!$AT$2:$AT$1266,0))</f>
        <v/>
      </c>
      <c r="CZ1070">
        <f>INDEX('Data_Price '!AI$2:AI$1266,MATCH(Data!$DN1070,'Data_Price '!$AT$2:$AT$1266,0))</f>
        <v/>
      </c>
      <c r="DA1070">
        <f>INDEX('Data_Price '!AJ$2:AJ$1266,MATCH(Data!$DN1070,'Data_Price '!$AT$2:$AT$1266,0))</f>
        <v/>
      </c>
      <c r="DB1070">
        <f>INDEX('Data_Price '!AK$2:AK$1266,MATCH(Data!$DN1070,'Data_Price '!$AT$2:$AT$1266,0))</f>
        <v/>
      </c>
      <c r="DC1070">
        <f>INDEX('Data_Price '!AL$2:AL$1266,MATCH(Data!$DN1070,'Data_Price '!$AT$2:$AT$1266,0))</f>
        <v/>
      </c>
      <c r="DD1070">
        <f>INDEX('Data_Price '!AM$2:AM$1266,MATCH(Data!$DN1070,'Data_Price '!$AT$2:$AT$1266,0))</f>
        <v/>
      </c>
      <c r="DE1070">
        <f>INDEX('Data_Price '!AN$2:AN$1266,MATCH(Data!$DN1070,'Data_Price '!$AT$2:$AT$1266,0))</f>
        <v/>
      </c>
      <c r="DF1070">
        <f>INDEX('Data_Price '!AO$2:AO$1266,MATCH(Data!$DN1070,'Data_Price '!$AT$2:$AT$1266,0))</f>
        <v/>
      </c>
      <c r="DG1070">
        <f>INDEX('Data_Price '!AP$2:AP$1266,MATCH(Data!$DN1070,'Data_Price '!$AT$2:$AT$1266,0))</f>
        <v/>
      </c>
      <c r="DH1070">
        <f>INDEX('Data_Price '!AQ$2:AQ$1266,MATCH(Data!$DN1070,'Data_Price '!$AT$2:$AT$1266,0))</f>
        <v/>
      </c>
      <c r="DI1070">
        <f>INDEX('Data_Price '!AR$2:AR$1266,MATCH(Data!$DN1070,'Data_Price '!$AT$2:$AT$1266,0))</f>
        <v/>
      </c>
      <c r="DJ1070" s="138">
        <f>DA1070</f>
        <v/>
      </c>
      <c r="DK1070" s="138">
        <f>DE1070</f>
        <v/>
      </c>
      <c r="DL1070" s="138">
        <f>DI1070</f>
        <v/>
      </c>
      <c r="DM1070" s="303">
        <f>IF(LEFT(BT1070,1)=" ",RIGHT(BT1070,LEN(BT1070)-1),BT1070)</f>
        <v/>
      </c>
      <c r="DN1070" s="138">
        <f>_xlfn.CONCAT(BS1070,DM1070,BU1070,BV1070)</f>
        <v/>
      </c>
      <c r="DO1070" s="307" t="n"/>
    </row>
    <row r="1071" ht="15.6" customHeight="1" s="184">
      <c r="B1071" s="303">
        <f t="array" ref="B1071">IF(OR(ISERROR(K1071:P1071)),FALSE,TRUE)</f>
        <v/>
      </c>
      <c r="C1071" s="60">
        <f>OR(BR1071=Driver!$G$50,Data!BR1271=Driver!$H$50)</f>
        <v/>
      </c>
      <c r="D1071" s="60">
        <f>OR(BV1071=Driver!$G$51,BV1071=Driver!$H$51)</f>
        <v/>
      </c>
      <c r="E1071" s="60">
        <f>AND(BX1071&gt;Driver!$F$54,BX1071&lt;Driver!$G$54)</f>
        <v/>
      </c>
      <c r="F1071" s="60">
        <f>CL1071&gt;Driver!$F$56</f>
        <v/>
      </c>
      <c r="G1071" s="60">
        <f>AND(CB1071&gt;Driver!$F$55,CB1071&lt;Driver!$G$55)</f>
        <v/>
      </c>
      <c r="H1071" s="60">
        <f>AND(B1071:G1071)</f>
        <v/>
      </c>
      <c r="I1071" s="60">
        <f>COUNTIFS($H$9:$H$1273,TRUE,$BT$9:$BT$1273,BT1071)</f>
        <v/>
      </c>
      <c r="J1071" s="60">
        <f t="array" ref="J1071">NOT(OR(($H$9:$H$1273=TRUE)*($I$9:$I$1273&gt;0)*($BT$9:$BT$1273=BT1071)*($K$9:$K$1273&gt;K1071)))</f>
        <v/>
      </c>
      <c r="K1071" s="108">
        <f>IFERROR(1-AVERAGE(X1071:Y1071),"")</f>
        <v/>
      </c>
      <c r="L1071" s="108">
        <f>1-X1071</f>
        <v/>
      </c>
      <c r="M1071" s="108">
        <f>1-Y1071</f>
        <v/>
      </c>
      <c r="N1071" s="108">
        <f>1-Z1071</f>
        <v/>
      </c>
      <c r="O1071" s="108">
        <f>1-AA1071</f>
        <v/>
      </c>
      <c r="P1071" s="108">
        <f>1-AB1071</f>
        <v/>
      </c>
      <c r="Q1071" s="108" t="n"/>
      <c r="R1071" s="108" t="n"/>
      <c r="S1071" s="108">
        <f>1-AE1071</f>
        <v/>
      </c>
      <c r="T1071" s="108">
        <f>1-AF1071</f>
        <v/>
      </c>
      <c r="U1071" s="108">
        <f>1-AG1071</f>
        <v/>
      </c>
      <c r="V1071" s="108">
        <f>1-AH1071</f>
        <v/>
      </c>
      <c r="W1071" s="108">
        <f>1-AI1071</f>
        <v/>
      </c>
      <c r="X1071" s="108">
        <f>ABS(AJ1071-AJ$1)</f>
        <v/>
      </c>
      <c r="Y1071" s="108">
        <f>AVERAGE(Z1071:AB1071)</f>
        <v/>
      </c>
      <c r="Z1071" s="108">
        <f>ABS(AL1071-AL$1)</f>
        <v/>
      </c>
      <c r="AA1071" s="108">
        <f>ABS(AM1071-AM$1)</f>
        <v/>
      </c>
      <c r="AB1071" s="108">
        <f>ABS(AN1071-AN$1)</f>
        <v/>
      </c>
      <c r="AC1071" s="108" t="n"/>
      <c r="AD1071" s="108" t="n"/>
      <c r="AE1071" s="108">
        <f>ABS(AQ$1-AQ1071)</f>
        <v/>
      </c>
      <c r="AF1071" s="108">
        <f>ABS(AR$1-AR1071)</f>
        <v/>
      </c>
      <c r="AG1071" s="108">
        <f>ABS(AS$1-AS1071)</f>
        <v/>
      </c>
      <c r="AH1071" s="108">
        <f>ABS(AT$1-AT1071)</f>
        <v/>
      </c>
      <c r="AI1071" s="108">
        <f>ABS(AU$1-AU1071)</f>
        <v/>
      </c>
      <c r="AJ1071" s="108">
        <f>(AV1071-Driver!$K$179)/(Driver!$L$179-Driver!$K$179)</f>
        <v/>
      </c>
      <c r="AK1071" s="108">
        <f>(AW1071-Driver!$K$180)/(Driver!$L$180-Driver!$K$180)</f>
        <v/>
      </c>
      <c r="AL1071" s="108">
        <f>(AX1071-Driver!$K$181)/(Driver!$L$181-Driver!$K$181)</f>
        <v/>
      </c>
      <c r="AM1071" s="108">
        <f>(AY1071-Driver!$K$182)/(Driver!$L$182-Driver!$K$182)</f>
        <v/>
      </c>
      <c r="AN1071" s="108">
        <f>(AZ1071-Driver!$K$183)/(Driver!$L$183-Driver!$K$183)</f>
        <v/>
      </c>
      <c r="AO1071" s="108" t="n"/>
      <c r="AP1071" s="108" t="n"/>
      <c r="AQ1071" s="108">
        <f>(BC1071-Driver!$K$188)/(Driver!$L$188-Driver!$K$188)</f>
        <v/>
      </c>
      <c r="AR1071" s="108">
        <f>MIN((BD1071-Driver!$K$189)/(Driver!$L$189-Driver!$K$189),100%)</f>
        <v/>
      </c>
      <c r="AS1071" s="108">
        <f>(BE1071-Driver!$K$190)/(Driver!$L$190-Driver!$K$190)</f>
        <v/>
      </c>
      <c r="AT1071" s="108">
        <f>(BF1071-Driver!$K$191)/(Driver!$L$191-Driver!$K$191)</f>
        <v/>
      </c>
      <c r="AU1071" s="108">
        <f>(BG1071-Driver!$K$192)/(Driver!$L$192-Driver!$K$192)</f>
        <v/>
      </c>
      <c r="AV1071" s="105">
        <f>IFERROR(BM1071*BJ1071^1/4,"")</f>
        <v/>
      </c>
      <c r="AW1071" s="105">
        <f>IFERROR(SUM(AX1071:AZ1071),"")</f>
        <v/>
      </c>
      <c r="AX1071" s="105">
        <f>IFERROR(BH1071,"")</f>
        <v/>
      </c>
      <c r="AY1071" s="105">
        <f>IFERROR(Driver!$K$19/Data!BH1071/Data!BI1071*Data!BK1071*Data!BL1071,"")</f>
        <v/>
      </c>
      <c r="AZ1071" s="105">
        <f>IFERROR(BI1071*BN1071,"")</f>
        <v/>
      </c>
      <c r="BA1071" s="105" t="n"/>
      <c r="BB1071" s="105" t="n"/>
      <c r="BC1071" s="105">
        <f>IFERROR(BI1071*BN1071*BK1071/BJ1071^(1/2),"")</f>
        <v/>
      </c>
      <c r="BD1071" s="105">
        <f>IFERROR(BH1071*BM1071*BL1071/BJ1071/BK1071,"")</f>
        <v/>
      </c>
      <c r="BE1071" s="105">
        <f>IFERROR(MIN(BI1071/BQ1071/BP1071/BO1071/BH1071,$BE$1),"")</f>
        <v/>
      </c>
      <c r="BF1071" s="105">
        <f>IFERROR(BJ1071*BO1071*BP1071/BK1071,"")</f>
        <v/>
      </c>
      <c r="BG1071" s="105">
        <f>IFERROR(1/BM1071/BH1071*BQ1071,"")</f>
        <v/>
      </c>
      <c r="BH1071" s="102">
        <f>MAX((CE1071-Driver!$F$200)/(Driver!$G$200-Driver!$F$200)*$BI$1,1)</f>
        <v/>
      </c>
      <c r="BI1071" s="102">
        <f>MAX($BI$1*(BY1071-Driver!$F$201)/(Driver!$G$201-Driver!$F$201),1)</f>
        <v/>
      </c>
      <c r="BJ1071" s="102">
        <f>(CB1071-Driver!$F$206)/(Driver!$G$206-Driver!$F$206)*$BI$1</f>
        <v/>
      </c>
      <c r="BK1071" s="102">
        <f>(CD1071-Driver!$F$203)/(Driver!$G$203-Driver!$F$203)*$BI$1</f>
        <v/>
      </c>
      <c r="BL1071" s="102">
        <f>MAX((CR1071-Driver!$F$202)/(Driver!$G$202-Driver!$F$202)*$BI$1,1)</f>
        <v/>
      </c>
      <c r="BM1071" s="102">
        <f>MAX((CH1071-Driver!$F$204)/(Driver!$G$204-Driver!$F$204)*$BI$1,1)</f>
        <v/>
      </c>
      <c r="BN1071" s="102">
        <f>(CI1071-Driver!$F$205)/(Driver!$G$205-Driver!$F$205)*$BI$1</f>
        <v/>
      </c>
      <c r="BO1071" s="102">
        <f>(CK1071-Driver!$F$207)/(Driver!$G$207-Driver!$F$207)*$BI$1</f>
        <v/>
      </c>
      <c r="BP1071" s="102">
        <f>(CM1071-Driver!$F$208)/(Driver!$G$208-Driver!$F$208)*$BI$1</f>
        <v/>
      </c>
      <c r="BQ1071" s="102">
        <f>(CL1071-Driver!$F$209)/(Driver!$G$209-Driver!$F$209)*$BI$1</f>
        <v/>
      </c>
      <c r="BR1071" s="40" t="inlineStr">
        <is>
          <t>21/22</t>
        </is>
      </c>
      <c r="BS1071" s="10" t="inlineStr">
        <is>
          <t xml:space="preserve"> Völkl</t>
        </is>
      </c>
      <c r="BT1071" s="11" t="inlineStr">
        <is>
          <t>Yumi 84</t>
        </is>
      </c>
      <c r="BU1071" s="13" t="n">
        <v>154</v>
      </c>
      <c r="BV1071" s="11" t="inlineStr">
        <is>
          <t xml:space="preserve"> Women's</t>
        </is>
      </c>
      <c r="BW1071" s="13" t="n">
        <v>154</v>
      </c>
      <c r="BX1071" s="13" t="n">
        <v>156.2</v>
      </c>
      <c r="BY1071" s="13" t="n">
        <v>107</v>
      </c>
      <c r="BZ1071" s="13" t="n">
        <v>132</v>
      </c>
      <c r="CA1071" s="13" t="n">
        <v>124</v>
      </c>
      <c r="CB1071" s="13" t="n">
        <v>83</v>
      </c>
      <c r="CC1071" s="13" t="n">
        <v>106</v>
      </c>
      <c r="CD1071" s="13" t="n">
        <v>13.1</v>
      </c>
      <c r="CE1071" s="13" t="n">
        <v>1349</v>
      </c>
      <c r="CF1071" s="13" t="n">
        <v>1.11</v>
      </c>
      <c r="CG1071" s="13" t="n">
        <v>1503</v>
      </c>
      <c r="CH1071" s="13" t="n">
        <v>163</v>
      </c>
      <c r="CI1071" s="13" t="n">
        <v>60</v>
      </c>
      <c r="CJ1071" s="13" t="n">
        <v>42</v>
      </c>
      <c r="CK1071" s="13" t="n">
        <v>287</v>
      </c>
      <c r="CL1071" s="13" t="n">
        <v>16</v>
      </c>
      <c r="CM1071" s="13" t="n">
        <v>201</v>
      </c>
      <c r="CN1071" s="13" t="n">
        <v>0.368</v>
      </c>
      <c r="CO1071" s="13" t="n">
        <v>135</v>
      </c>
      <c r="CP1071" s="13" t="n">
        <v>102</v>
      </c>
      <c r="CQ1071" s="13" t="n">
        <v>152</v>
      </c>
      <c r="CR1071" s="13" t="n">
        <v>2</v>
      </c>
      <c r="CS1071" s="13" t="n">
        <v>11.6</v>
      </c>
      <c r="CT1071" s="11" t="inlineStr">
        <is>
          <t xml:space="preserve"> On-Piste All-Mountain</t>
        </is>
      </c>
      <c r="CU1071" s="11" t="inlineStr">
        <is>
          <t xml:space="preserve"> Resort Freeride</t>
        </is>
      </c>
      <c r="CV1071" s="11" t="inlineStr">
        <is>
          <t xml:space="preserve"> Touring</t>
        </is>
      </c>
      <c r="CW1071" s="13" t="n"/>
      <c r="CX1071">
        <f>INDEX('Data_Price '!AG$2:AG$1266,MATCH(Data!$DN1071,'Data_Price '!$AT$2:$AT$1266,0))</f>
        <v/>
      </c>
      <c r="CY1071">
        <f>INDEX('Data_Price '!AH$2:AH$1266,MATCH(Data!$DN1071,'Data_Price '!$AT$2:$AT$1266,0))</f>
        <v/>
      </c>
      <c r="CZ1071">
        <f>INDEX('Data_Price '!AI$2:AI$1266,MATCH(Data!$DN1071,'Data_Price '!$AT$2:$AT$1266,0))</f>
        <v/>
      </c>
      <c r="DA1071">
        <f>INDEX('Data_Price '!AJ$2:AJ$1266,MATCH(Data!$DN1071,'Data_Price '!$AT$2:$AT$1266,0))</f>
        <v/>
      </c>
      <c r="DB1071">
        <f>INDEX('Data_Price '!AK$2:AK$1266,MATCH(Data!$DN1071,'Data_Price '!$AT$2:$AT$1266,0))</f>
        <v/>
      </c>
      <c r="DC1071">
        <f>INDEX('Data_Price '!AL$2:AL$1266,MATCH(Data!$DN1071,'Data_Price '!$AT$2:$AT$1266,0))</f>
        <v/>
      </c>
      <c r="DD1071">
        <f>INDEX('Data_Price '!AM$2:AM$1266,MATCH(Data!$DN1071,'Data_Price '!$AT$2:$AT$1266,0))</f>
        <v/>
      </c>
      <c r="DE1071">
        <f>INDEX('Data_Price '!AN$2:AN$1266,MATCH(Data!$DN1071,'Data_Price '!$AT$2:$AT$1266,0))</f>
        <v/>
      </c>
      <c r="DF1071">
        <f>INDEX('Data_Price '!AO$2:AO$1266,MATCH(Data!$DN1071,'Data_Price '!$AT$2:$AT$1266,0))</f>
        <v/>
      </c>
      <c r="DG1071">
        <f>INDEX('Data_Price '!AP$2:AP$1266,MATCH(Data!$DN1071,'Data_Price '!$AT$2:$AT$1266,0))</f>
        <v/>
      </c>
      <c r="DH1071">
        <f>INDEX('Data_Price '!AQ$2:AQ$1266,MATCH(Data!$DN1071,'Data_Price '!$AT$2:$AT$1266,0))</f>
        <v/>
      </c>
      <c r="DI1071">
        <f>INDEX('Data_Price '!AR$2:AR$1266,MATCH(Data!$DN1071,'Data_Price '!$AT$2:$AT$1266,0))</f>
        <v/>
      </c>
      <c r="DJ1071" s="138">
        <f>DA1071</f>
        <v/>
      </c>
      <c r="DK1071" s="138">
        <f>DE1071</f>
        <v/>
      </c>
      <c r="DL1071" s="138">
        <f>DI1071</f>
        <v/>
      </c>
      <c r="DM1071" s="303">
        <f>IF(LEFT(BT1071,1)=" ",RIGHT(BT1071,LEN(BT1071)-1),BT1071)</f>
        <v/>
      </c>
      <c r="DN1071" s="138">
        <f>_xlfn.CONCAT(BS1071,DM1071,BU1071,BV1071)</f>
        <v/>
      </c>
      <c r="DO1071" s="307" t="inlineStr">
        <is>
          <t>https://images.evo.com/imgp/250/208364/837596/clone.jpg</t>
        </is>
      </c>
    </row>
    <row r="1072" ht="15.6" customHeight="1" s="184">
      <c r="B1072" s="303">
        <f t="array" ref="B1072">IF(OR(ISERROR(K1072:P1072)),FALSE,TRUE)</f>
        <v/>
      </c>
      <c r="C1072" s="60">
        <f>OR(BR1072=Driver!$G$50,Data!BR451=Driver!$H$50)</f>
        <v/>
      </c>
      <c r="D1072" s="60">
        <f>OR(BV1072=Driver!$G$51,BV1072=Driver!$H$51)</f>
        <v/>
      </c>
      <c r="E1072" s="60">
        <f>AND(BX1072&gt;Driver!$F$54,BX1072&lt;Driver!$G$54)</f>
        <v/>
      </c>
      <c r="F1072" s="60">
        <f>CL1072&gt;Driver!$F$56</f>
        <v/>
      </c>
      <c r="G1072" s="60">
        <f>AND(CB1072&gt;Driver!$F$55,CB1072&lt;Driver!$G$55)</f>
        <v/>
      </c>
      <c r="H1072" s="60">
        <f>AND(B1072:G1072)</f>
        <v/>
      </c>
      <c r="I1072" s="60">
        <f>COUNTIFS($H$9:$H$1273,TRUE,$BT$9:$BT$1273,BT1072)</f>
        <v/>
      </c>
      <c r="J1072" s="60">
        <f t="array" ref="J1072">NOT(OR(($H$9:$H$1273=TRUE)*($I$9:$I$1273&gt;0)*($BT$9:$BT$1273=BT1072)*($K$9:$K$1273&gt;K1072)))</f>
        <v/>
      </c>
      <c r="K1072" s="108">
        <f>IFERROR(1-AVERAGE(X1072:Y1072),"")</f>
        <v/>
      </c>
      <c r="L1072" s="108">
        <f>1-X1072</f>
        <v/>
      </c>
      <c r="M1072" s="108">
        <f>1-Y1072</f>
        <v/>
      </c>
      <c r="N1072" s="108">
        <f>1-Z1072</f>
        <v/>
      </c>
      <c r="O1072" s="108">
        <f>1-AA1072</f>
        <v/>
      </c>
      <c r="P1072" s="108">
        <f>1-AB1072</f>
        <v/>
      </c>
      <c r="Q1072" s="108" t="n"/>
      <c r="R1072" s="108" t="n"/>
      <c r="S1072" s="108">
        <f>1-AE1072</f>
        <v/>
      </c>
      <c r="T1072" s="108">
        <f>1-AF1072</f>
        <v/>
      </c>
      <c r="U1072" s="108">
        <f>1-AG1072</f>
        <v/>
      </c>
      <c r="V1072" s="108">
        <f>1-AH1072</f>
        <v/>
      </c>
      <c r="W1072" s="108">
        <f>1-AI1072</f>
        <v/>
      </c>
      <c r="X1072" s="108">
        <f>ABS(AJ1072-AJ$1)</f>
        <v/>
      </c>
      <c r="Y1072" s="108">
        <f>AVERAGE(Z1072:AB1072)</f>
        <v/>
      </c>
      <c r="Z1072" s="108">
        <f>ABS(AL1072-AL$1)</f>
        <v/>
      </c>
      <c r="AA1072" s="108">
        <f>ABS(AM1072-AM$1)</f>
        <v/>
      </c>
      <c r="AB1072" s="108">
        <f>ABS(AN1072-AN$1)</f>
        <v/>
      </c>
      <c r="AC1072" s="108" t="n"/>
      <c r="AD1072" s="108" t="n"/>
      <c r="AE1072" s="108">
        <f>ABS(AQ$1-AQ1072)</f>
        <v/>
      </c>
      <c r="AF1072" s="108">
        <f>ABS(AR$1-AR1072)</f>
        <v/>
      </c>
      <c r="AG1072" s="108">
        <f>ABS(AS$1-AS1072)</f>
        <v/>
      </c>
      <c r="AH1072" s="108">
        <f>ABS(AT$1-AT1072)</f>
        <v/>
      </c>
      <c r="AI1072" s="108">
        <f>ABS(AU$1-AU1072)</f>
        <v/>
      </c>
      <c r="AJ1072" s="108">
        <f>(AV1072-Driver!$K$179)/(Driver!$L$179-Driver!$K$179)</f>
        <v/>
      </c>
      <c r="AK1072" s="108">
        <f>(AW1072-Driver!$K$180)/(Driver!$L$180-Driver!$K$180)</f>
        <v/>
      </c>
      <c r="AL1072" s="108">
        <f>(AX1072-Driver!$K$181)/(Driver!$L$181-Driver!$K$181)</f>
        <v/>
      </c>
      <c r="AM1072" s="108">
        <f>(AY1072-Driver!$K$182)/(Driver!$L$182-Driver!$K$182)</f>
        <v/>
      </c>
      <c r="AN1072" s="108">
        <f>(AZ1072-Driver!$K$183)/(Driver!$L$183-Driver!$K$183)</f>
        <v/>
      </c>
      <c r="AO1072" s="108" t="n"/>
      <c r="AP1072" s="108" t="n"/>
      <c r="AQ1072" s="108">
        <f>(BC1072-Driver!$K$188)/(Driver!$L$188-Driver!$K$188)</f>
        <v/>
      </c>
      <c r="AR1072" s="108">
        <f>MIN((BD1072-Driver!$K$189)/(Driver!$L$189-Driver!$K$189),100%)</f>
        <v/>
      </c>
      <c r="AS1072" s="108">
        <f>(BE1072-Driver!$K$190)/(Driver!$L$190-Driver!$K$190)</f>
        <v/>
      </c>
      <c r="AT1072" s="108">
        <f>(BF1072-Driver!$K$191)/(Driver!$L$191-Driver!$K$191)</f>
        <v/>
      </c>
      <c r="AU1072" s="108">
        <f>(BG1072-Driver!$K$192)/(Driver!$L$192-Driver!$K$192)</f>
        <v/>
      </c>
      <c r="AV1072" s="105">
        <f>IFERROR(BM1072*BJ1072^1/4,"")</f>
        <v/>
      </c>
      <c r="AW1072" s="105">
        <f>IFERROR(SUM(AX1072:AZ1072),"")</f>
        <v/>
      </c>
      <c r="AX1072" s="105">
        <f>IFERROR(BH1072,"")</f>
        <v/>
      </c>
      <c r="AY1072" s="105">
        <f>IFERROR(Driver!$K$19/Data!BH1072/Data!BI1072*Data!BK1072*Data!BL1072,"")</f>
        <v/>
      </c>
      <c r="AZ1072" s="105">
        <f>IFERROR(BI1072*BN1072,"")</f>
        <v/>
      </c>
      <c r="BA1072" s="105" t="n"/>
      <c r="BB1072" s="105" t="n"/>
      <c r="BC1072" s="105">
        <f>IFERROR(BI1072*BN1072*BK1072/BJ1072^(1/2),"")</f>
        <v/>
      </c>
      <c r="BD1072" s="105">
        <f>IFERROR(BH1072*BM1072*BL1072/BJ1072/BK1072,"")</f>
        <v/>
      </c>
      <c r="BE1072" s="105">
        <f>IFERROR(MIN(BI1072/BQ1072/BP1072/BO1072/BH1072,$BE$1),"")</f>
        <v/>
      </c>
      <c r="BF1072" s="105">
        <f>IFERROR(BJ1072*BO1072*BP1072/BK1072,"")</f>
        <v/>
      </c>
      <c r="BG1072" s="105">
        <f>IFERROR(1/BM1072/BH1072*BQ1072,"")</f>
        <v/>
      </c>
      <c r="BH1072" s="102">
        <f>MAX((CE1072-Driver!$F$200)/(Driver!$G$200-Driver!$F$200)*$BI$1,1)</f>
        <v/>
      </c>
      <c r="BI1072" s="102">
        <f>MAX($BI$1*(BY1072-Driver!$F$201)/(Driver!$G$201-Driver!$F$201),1)</f>
        <v/>
      </c>
      <c r="BJ1072" s="102">
        <f>(CB1072-Driver!$F$206)/(Driver!$G$206-Driver!$F$206)*$BI$1</f>
        <v/>
      </c>
      <c r="BK1072" s="102">
        <f>(CD1072-Driver!$F$203)/(Driver!$G$203-Driver!$F$203)*$BI$1</f>
        <v/>
      </c>
      <c r="BL1072" s="102">
        <f>MAX((CR1072-Driver!$F$202)/(Driver!$G$202-Driver!$F$202)*$BI$1,1)</f>
        <v/>
      </c>
      <c r="BM1072" s="102">
        <f>MAX((CH1072-Driver!$F$204)/(Driver!$G$204-Driver!$F$204)*$BI$1,1)</f>
        <v/>
      </c>
      <c r="BN1072" s="102">
        <f>(CI1072-Driver!$F$205)/(Driver!$G$205-Driver!$F$205)*$BI$1</f>
        <v/>
      </c>
      <c r="BO1072" s="102">
        <f>(CK1072-Driver!$F$207)/(Driver!$G$207-Driver!$F$207)*$BI$1</f>
        <v/>
      </c>
      <c r="BP1072" s="102">
        <f>(CM1072-Driver!$F$208)/(Driver!$G$208-Driver!$F$208)*$BI$1</f>
        <v/>
      </c>
      <c r="BQ1072" s="102">
        <f>(CL1072-Driver!$F$209)/(Driver!$G$209-Driver!$F$209)*$BI$1</f>
        <v/>
      </c>
      <c r="BR1072" s="40" t="inlineStr">
        <is>
          <t>21/22</t>
        </is>
      </c>
      <c r="BS1072" s="10" t="inlineStr">
        <is>
          <t xml:space="preserve"> Elan</t>
        </is>
      </c>
      <c r="BT1072" s="11" t="inlineStr">
        <is>
          <t>Ripstick 88</t>
        </is>
      </c>
      <c r="BU1072" s="13" t="n">
        <v>164</v>
      </c>
      <c r="BV1072" s="11" t="inlineStr">
        <is>
          <t xml:space="preserve"> Unisex</t>
        </is>
      </c>
      <c r="BW1072" s="13" t="n">
        <v>164</v>
      </c>
      <c r="BX1072" s="13" t="n">
        <v>163.8</v>
      </c>
      <c r="BY1072" s="13" t="n">
        <v>125</v>
      </c>
      <c r="BZ1072" s="13" t="n">
        <v>134</v>
      </c>
      <c r="CA1072" s="13" t="n">
        <v>129</v>
      </c>
      <c r="CB1072" s="13" t="n">
        <v>87</v>
      </c>
      <c r="CC1072" s="13" t="n">
        <v>104</v>
      </c>
      <c r="CD1072" s="13" t="n">
        <v>14.2</v>
      </c>
      <c r="CE1072" s="13" t="n">
        <v>1383</v>
      </c>
      <c r="CF1072" s="13" t="n">
        <v>1.19</v>
      </c>
      <c r="CG1072" s="13" t="n">
        <v>1644</v>
      </c>
      <c r="CH1072" s="13" t="n">
        <v>136</v>
      </c>
      <c r="CI1072" s="13" t="n">
        <v>57</v>
      </c>
      <c r="CJ1072" s="13" t="n">
        <v>48</v>
      </c>
      <c r="CK1072" s="13" t="n">
        <v>229</v>
      </c>
      <c r="CL1072" s="13" t="n">
        <v>13</v>
      </c>
      <c r="CM1072" s="13" t="n">
        <v>160</v>
      </c>
      <c r="CN1072" s="13" t="n">
        <v>0.263</v>
      </c>
      <c r="CO1072" s="13" t="n">
        <v>159</v>
      </c>
      <c r="CP1072" s="13" t="n">
        <v>141</v>
      </c>
      <c r="CQ1072" s="13" t="n">
        <v>70</v>
      </c>
      <c r="CR1072" s="13" t="n">
        <v>5</v>
      </c>
      <c r="CS1072" s="13" t="n">
        <v>9.6</v>
      </c>
      <c r="CT1072" s="11" t="inlineStr">
        <is>
          <t xml:space="preserve"> Resort Freeride</t>
        </is>
      </c>
      <c r="CU1072" s="11" t="inlineStr">
        <is>
          <t xml:space="preserve"> Touring</t>
        </is>
      </c>
      <c r="CV1072" s="13" t="n"/>
      <c r="CW1072" s="13" t="n"/>
      <c r="CX1072">
        <f>INDEX('Data_Price '!AG$2:AG$1266,MATCH(Data!$DN1072,'Data_Price '!$AT$2:$AT$1266,0))</f>
        <v/>
      </c>
      <c r="CY1072">
        <f>INDEX('Data_Price '!AH$2:AH$1266,MATCH(Data!$DN1072,'Data_Price '!$AT$2:$AT$1266,0))</f>
        <v/>
      </c>
      <c r="CZ1072">
        <f>INDEX('Data_Price '!AI$2:AI$1266,MATCH(Data!$DN1072,'Data_Price '!$AT$2:$AT$1266,0))</f>
        <v/>
      </c>
      <c r="DA1072">
        <f>INDEX('Data_Price '!AJ$2:AJ$1266,MATCH(Data!$DN1072,'Data_Price '!$AT$2:$AT$1266,0))</f>
        <v/>
      </c>
      <c r="DB1072">
        <f>INDEX('Data_Price '!AK$2:AK$1266,MATCH(Data!$DN1072,'Data_Price '!$AT$2:$AT$1266,0))</f>
        <v/>
      </c>
      <c r="DC1072">
        <f>INDEX('Data_Price '!AL$2:AL$1266,MATCH(Data!$DN1072,'Data_Price '!$AT$2:$AT$1266,0))</f>
        <v/>
      </c>
      <c r="DD1072">
        <f>INDEX('Data_Price '!AM$2:AM$1266,MATCH(Data!$DN1072,'Data_Price '!$AT$2:$AT$1266,0))</f>
        <v/>
      </c>
      <c r="DE1072">
        <f>INDEX('Data_Price '!AN$2:AN$1266,MATCH(Data!$DN1072,'Data_Price '!$AT$2:$AT$1266,0))</f>
        <v/>
      </c>
      <c r="DF1072">
        <f>INDEX('Data_Price '!AO$2:AO$1266,MATCH(Data!$DN1072,'Data_Price '!$AT$2:$AT$1266,0))</f>
        <v/>
      </c>
      <c r="DG1072">
        <f>INDEX('Data_Price '!AP$2:AP$1266,MATCH(Data!$DN1072,'Data_Price '!$AT$2:$AT$1266,0))</f>
        <v/>
      </c>
      <c r="DH1072">
        <f>INDEX('Data_Price '!AQ$2:AQ$1266,MATCH(Data!$DN1072,'Data_Price '!$AT$2:$AT$1266,0))</f>
        <v/>
      </c>
      <c r="DI1072">
        <f>INDEX('Data_Price '!AR$2:AR$1266,MATCH(Data!$DN1072,'Data_Price '!$AT$2:$AT$1266,0))</f>
        <v/>
      </c>
      <c r="DJ1072" s="138">
        <f>DA1072</f>
        <v/>
      </c>
      <c r="DK1072" s="138">
        <f>DE1072</f>
        <v/>
      </c>
      <c r="DL1072" s="138">
        <f>DI1072</f>
        <v/>
      </c>
      <c r="DM1072" s="303">
        <f>IF(LEFT(BT1072,1)=" ",RIGHT(BT1072,LEN(BT1072)-1),BT1072)</f>
        <v/>
      </c>
      <c r="DN1072" s="138">
        <f>_xlfn.CONCAT(BS1072,DM1072,BU1072,BV1072)</f>
        <v/>
      </c>
      <c r="DO1072" s="307" t="inlineStr">
        <is>
          <t>https://images.evo.com/imgp/250/185141/744749/elan-ripstick-88-w-skis-women-s-2022-.jpg</t>
        </is>
      </c>
    </row>
    <row r="1073" ht="15.6" customHeight="1" s="184">
      <c r="B1073" s="303">
        <f t="array" ref="B1073">IF(OR(ISERROR(K1073:P1073)),FALSE,TRUE)</f>
        <v/>
      </c>
      <c r="C1073" s="60">
        <f>OR(BR1073=Driver!$G$50,Data!BR366=Driver!$H$50)</f>
        <v/>
      </c>
      <c r="D1073" s="60">
        <f>OR(BV1073=Driver!$G$51,BV1073=Driver!$H$51)</f>
        <v/>
      </c>
      <c r="E1073" s="60">
        <f>AND(BX1073&gt;Driver!$F$54,BX1073&lt;Driver!$G$54)</f>
        <v/>
      </c>
      <c r="F1073" s="60">
        <f>CL1073&gt;Driver!$F$56</f>
        <v/>
      </c>
      <c r="G1073" s="60">
        <f>AND(CB1073&gt;Driver!$F$55,CB1073&lt;Driver!$G$55)</f>
        <v/>
      </c>
      <c r="H1073" s="60">
        <f>AND(B1073:G1073)</f>
        <v/>
      </c>
      <c r="I1073" s="60">
        <f>COUNTIFS($H$9:$H$1273,TRUE,$BT$9:$BT$1273,BT1073)</f>
        <v/>
      </c>
      <c r="J1073" s="60">
        <f t="array" ref="J1073">NOT(OR(($H$9:$H$1273=TRUE)*($I$9:$I$1273&gt;0)*($BT$9:$BT$1273=BT1073)*($K$9:$K$1273&gt;K1073)))</f>
        <v/>
      </c>
      <c r="K1073" s="108">
        <f>IFERROR(1-AVERAGE(X1073:Y1073),"")</f>
        <v/>
      </c>
      <c r="L1073" s="108">
        <f>1-X1073</f>
        <v/>
      </c>
      <c r="M1073" s="108">
        <f>1-Y1073</f>
        <v/>
      </c>
      <c r="N1073" s="108">
        <f>1-Z1073</f>
        <v/>
      </c>
      <c r="O1073" s="108">
        <f>1-AA1073</f>
        <v/>
      </c>
      <c r="P1073" s="108">
        <f>1-AB1073</f>
        <v/>
      </c>
      <c r="Q1073" s="108" t="n"/>
      <c r="R1073" s="108" t="n"/>
      <c r="S1073" s="108">
        <f>1-AE1073</f>
        <v/>
      </c>
      <c r="T1073" s="108">
        <f>1-AF1073</f>
        <v/>
      </c>
      <c r="U1073" s="108">
        <f>1-AG1073</f>
        <v/>
      </c>
      <c r="V1073" s="108">
        <f>1-AH1073</f>
        <v/>
      </c>
      <c r="W1073" s="108">
        <f>1-AI1073</f>
        <v/>
      </c>
      <c r="X1073" s="108">
        <f>ABS(AJ1073-AJ$1)</f>
        <v/>
      </c>
      <c r="Y1073" s="108">
        <f>AVERAGE(Z1073:AB1073)</f>
        <v/>
      </c>
      <c r="Z1073" s="108">
        <f>ABS(AL1073-AL$1)</f>
        <v/>
      </c>
      <c r="AA1073" s="108">
        <f>ABS(AM1073-AM$1)</f>
        <v/>
      </c>
      <c r="AB1073" s="108">
        <f>ABS(AN1073-AN$1)</f>
        <v/>
      </c>
      <c r="AC1073" s="108" t="n"/>
      <c r="AD1073" s="108" t="n"/>
      <c r="AE1073" s="108">
        <f>ABS(AQ$1-AQ1073)</f>
        <v/>
      </c>
      <c r="AF1073" s="108">
        <f>ABS(AR$1-AR1073)</f>
        <v/>
      </c>
      <c r="AG1073" s="108">
        <f>ABS(AS$1-AS1073)</f>
        <v/>
      </c>
      <c r="AH1073" s="108">
        <f>ABS(AT$1-AT1073)</f>
        <v/>
      </c>
      <c r="AI1073" s="108">
        <f>ABS(AU$1-AU1073)</f>
        <v/>
      </c>
      <c r="AJ1073" s="108">
        <f>(AV1073-Driver!$K$179)/(Driver!$L$179-Driver!$K$179)</f>
        <v/>
      </c>
      <c r="AK1073" s="108">
        <f>(AW1073-Driver!$K$180)/(Driver!$L$180-Driver!$K$180)</f>
        <v/>
      </c>
      <c r="AL1073" s="108">
        <f>(AX1073-Driver!$K$181)/(Driver!$L$181-Driver!$K$181)</f>
        <v/>
      </c>
      <c r="AM1073" s="108">
        <f>(AY1073-Driver!$K$182)/(Driver!$L$182-Driver!$K$182)</f>
        <v/>
      </c>
      <c r="AN1073" s="108">
        <f>(AZ1073-Driver!$K$183)/(Driver!$L$183-Driver!$K$183)</f>
        <v/>
      </c>
      <c r="AO1073" s="108" t="n"/>
      <c r="AP1073" s="108" t="n"/>
      <c r="AQ1073" s="108">
        <f>(BC1073-Driver!$K$188)/(Driver!$L$188-Driver!$K$188)</f>
        <v/>
      </c>
      <c r="AR1073" s="108">
        <f>MIN((BD1073-Driver!$K$189)/(Driver!$L$189-Driver!$K$189),100%)</f>
        <v/>
      </c>
      <c r="AS1073" s="108">
        <f>(BE1073-Driver!$K$190)/(Driver!$L$190-Driver!$K$190)</f>
        <v/>
      </c>
      <c r="AT1073" s="108">
        <f>(BF1073-Driver!$K$191)/(Driver!$L$191-Driver!$K$191)</f>
        <v/>
      </c>
      <c r="AU1073" s="108">
        <f>(BG1073-Driver!$K$192)/(Driver!$L$192-Driver!$K$192)</f>
        <v/>
      </c>
      <c r="AV1073" s="105">
        <f>IFERROR(BM1073*BJ1073^1/4,"")</f>
        <v/>
      </c>
      <c r="AW1073" s="105">
        <f>IFERROR(SUM(AX1073:AZ1073),"")</f>
        <v/>
      </c>
      <c r="AX1073" s="105">
        <f>IFERROR(BH1073,"")</f>
        <v/>
      </c>
      <c r="AY1073" s="105">
        <f>IFERROR(Driver!$K$19/Data!BH1073/Data!BI1073*Data!BK1073*Data!BL1073,"")</f>
        <v/>
      </c>
      <c r="AZ1073" s="105">
        <f>IFERROR(BI1073*BN1073,"")</f>
        <v/>
      </c>
      <c r="BA1073" s="105" t="n"/>
      <c r="BB1073" s="105" t="n"/>
      <c r="BC1073" s="105">
        <f>IFERROR(BI1073*BN1073*BK1073/BJ1073^(1/2),"")</f>
        <v/>
      </c>
      <c r="BD1073" s="105">
        <f>IFERROR(BH1073*BM1073*BL1073/BJ1073/BK1073,"")</f>
        <v/>
      </c>
      <c r="BE1073" s="105">
        <f>IFERROR(MIN(BI1073/BQ1073/BP1073/BO1073/BH1073,$BE$1),"")</f>
        <v/>
      </c>
      <c r="BF1073" s="105">
        <f>IFERROR(BJ1073*BO1073*BP1073/BK1073,"")</f>
        <v/>
      </c>
      <c r="BG1073" s="105">
        <f>IFERROR(1/BM1073/BH1073*BQ1073,"")</f>
        <v/>
      </c>
      <c r="BH1073" s="102">
        <f>MAX((CE1073-Driver!$F$200)/(Driver!$G$200-Driver!$F$200)*$BI$1,1)</f>
        <v/>
      </c>
      <c r="BI1073" s="102">
        <f>MAX($BI$1*(BY1073-Driver!$F$201)/(Driver!$G$201-Driver!$F$201),1)</f>
        <v/>
      </c>
      <c r="BJ1073" s="102">
        <f>(CB1073-Driver!$F$206)/(Driver!$G$206-Driver!$F$206)*$BI$1</f>
        <v/>
      </c>
      <c r="BK1073" s="102">
        <f>(CD1073-Driver!$F$203)/(Driver!$G$203-Driver!$F$203)*$BI$1</f>
        <v/>
      </c>
      <c r="BL1073" s="102">
        <f>MAX((CR1073-Driver!$F$202)/(Driver!$G$202-Driver!$F$202)*$BI$1,1)</f>
        <v/>
      </c>
      <c r="BM1073" s="102">
        <f>MAX((CH1073-Driver!$F$204)/(Driver!$G$204-Driver!$F$204)*$BI$1,1)</f>
        <v/>
      </c>
      <c r="BN1073" s="102">
        <f>(CI1073-Driver!$F$205)/(Driver!$G$205-Driver!$F$205)*$BI$1</f>
        <v/>
      </c>
      <c r="BO1073" s="102">
        <f>(CK1073-Driver!$F$207)/(Driver!$G$207-Driver!$F$207)*$BI$1</f>
        <v/>
      </c>
      <c r="BP1073" s="102">
        <f>(CM1073-Driver!$F$208)/(Driver!$G$208-Driver!$F$208)*$BI$1</f>
        <v/>
      </c>
      <c r="BQ1073" s="102">
        <f>(CL1073-Driver!$F$209)/(Driver!$G$209-Driver!$F$209)*$BI$1</f>
        <v/>
      </c>
      <c r="BR1073" s="40" t="inlineStr">
        <is>
          <t>21/22</t>
        </is>
      </c>
      <c r="BS1073" s="10" t="inlineStr">
        <is>
          <t xml:space="preserve"> Dynafit</t>
        </is>
      </c>
      <c r="BT1073" s="11" t="inlineStr">
        <is>
          <t>Blacklight 80</t>
        </is>
      </c>
      <c r="BU1073" s="13" t="n">
        <v>165</v>
      </c>
      <c r="BV1073" s="11" t="inlineStr">
        <is>
          <t xml:space="preserve"> Unisex</t>
        </is>
      </c>
      <c r="BW1073" s="13" t="n">
        <v>165</v>
      </c>
      <c r="BX1073" s="13" t="n">
        <v>162.9</v>
      </c>
      <c r="BY1073" s="13" t="n">
        <v>122</v>
      </c>
      <c r="BZ1073" s="13" t="n">
        <v>140</v>
      </c>
      <c r="CA1073" s="13" t="n">
        <v>114</v>
      </c>
      <c r="CB1073" s="13" t="n">
        <v>78</v>
      </c>
      <c r="CC1073" s="13" t="n">
        <v>98</v>
      </c>
      <c r="CD1073" s="13" t="n">
        <v>17.4</v>
      </c>
      <c r="CE1073" s="13" t="n">
        <v>1053</v>
      </c>
      <c r="CF1073" s="13" t="n">
        <v>1.37</v>
      </c>
      <c r="CG1073" s="13" t="n">
        <v>1440</v>
      </c>
      <c r="CH1073" s="13" t="n">
        <v>218</v>
      </c>
      <c r="CI1073" s="13" t="n">
        <v>73</v>
      </c>
      <c r="CJ1073" s="13" t="n">
        <v>58</v>
      </c>
      <c r="CK1073" s="13" t="n">
        <v>258</v>
      </c>
      <c r="CL1073" s="13" t="n">
        <v>12</v>
      </c>
      <c r="CM1073" s="13" t="n">
        <v>152</v>
      </c>
      <c r="CN1073" s="13" t="n">
        <v>0.199</v>
      </c>
      <c r="CO1073" s="13" t="n">
        <v>135</v>
      </c>
      <c r="CP1073" s="13" t="n">
        <v>91</v>
      </c>
      <c r="CQ1073" s="13" t="n">
        <v>122</v>
      </c>
      <c r="CR1073" s="13" t="n">
        <v>4</v>
      </c>
      <c r="CS1073" s="13" t="n">
        <v>12.1</v>
      </c>
      <c r="CT1073" s="11" t="inlineStr">
        <is>
          <t xml:space="preserve"> Touring</t>
        </is>
      </c>
      <c r="CU1073" s="11" t="inlineStr">
        <is>
          <t xml:space="preserve"> Ultralight Touring</t>
        </is>
      </c>
      <c r="CV1073" s="13" t="n"/>
      <c r="CW1073" s="13" t="n"/>
      <c r="CX1073">
        <f>INDEX('Data_Price '!AG$2:AG$1266,MATCH(Data!$DN1073,'Data_Price '!$AT$2:$AT$1266,0))</f>
        <v/>
      </c>
      <c r="CY1073">
        <f>INDEX('Data_Price '!AH$2:AH$1266,MATCH(Data!$DN1073,'Data_Price '!$AT$2:$AT$1266,0))</f>
        <v/>
      </c>
      <c r="CZ1073">
        <f>INDEX('Data_Price '!AI$2:AI$1266,MATCH(Data!$DN1073,'Data_Price '!$AT$2:$AT$1266,0))</f>
        <v/>
      </c>
      <c r="DA1073">
        <f>INDEX('Data_Price '!AJ$2:AJ$1266,MATCH(Data!$DN1073,'Data_Price '!$AT$2:$AT$1266,0))</f>
        <v/>
      </c>
      <c r="DB1073">
        <f>INDEX('Data_Price '!AK$2:AK$1266,MATCH(Data!$DN1073,'Data_Price '!$AT$2:$AT$1266,0))</f>
        <v/>
      </c>
      <c r="DC1073">
        <f>INDEX('Data_Price '!AL$2:AL$1266,MATCH(Data!$DN1073,'Data_Price '!$AT$2:$AT$1266,0))</f>
        <v/>
      </c>
      <c r="DD1073">
        <f>INDEX('Data_Price '!AM$2:AM$1266,MATCH(Data!$DN1073,'Data_Price '!$AT$2:$AT$1266,0))</f>
        <v/>
      </c>
      <c r="DE1073">
        <f>INDEX('Data_Price '!AN$2:AN$1266,MATCH(Data!$DN1073,'Data_Price '!$AT$2:$AT$1266,0))</f>
        <v/>
      </c>
      <c r="DF1073">
        <f>INDEX('Data_Price '!AO$2:AO$1266,MATCH(Data!$DN1073,'Data_Price '!$AT$2:$AT$1266,0))</f>
        <v/>
      </c>
      <c r="DG1073">
        <f>INDEX('Data_Price '!AP$2:AP$1266,MATCH(Data!$DN1073,'Data_Price '!$AT$2:$AT$1266,0))</f>
        <v/>
      </c>
      <c r="DH1073">
        <f>INDEX('Data_Price '!AQ$2:AQ$1266,MATCH(Data!$DN1073,'Data_Price '!$AT$2:$AT$1266,0))</f>
        <v/>
      </c>
      <c r="DI1073">
        <f>INDEX('Data_Price '!AR$2:AR$1266,MATCH(Data!$DN1073,'Data_Price '!$AT$2:$AT$1266,0))</f>
        <v/>
      </c>
      <c r="DJ1073" s="138">
        <f>DA1073</f>
        <v/>
      </c>
      <c r="DK1073" s="138">
        <f>DE1073</f>
        <v/>
      </c>
      <c r="DL1073" s="138">
        <f>DI1073</f>
        <v/>
      </c>
      <c r="DM1073" s="303">
        <f>IF(LEFT(BT1073,1)=" ",RIGHT(BT1073,LEN(BT1073)-1),BT1073)</f>
        <v/>
      </c>
      <c r="DN1073" s="138">
        <f>_xlfn.CONCAT(BS1073,DM1073,BU1073,BV1073)</f>
        <v/>
      </c>
      <c r="DO1073" s="307" t="n"/>
    </row>
    <row r="1074" ht="15.6" customHeight="1" s="184">
      <c r="B1074" s="303">
        <f t="array" ref="B1074">IF(OR(ISERROR(K1074:P1074)),FALSE,TRUE)</f>
        <v/>
      </c>
      <c r="C1074" s="60">
        <f>OR(BR1074=Driver!$G$50,Data!BR276=Driver!$H$50)</f>
        <v/>
      </c>
      <c r="D1074" s="60">
        <f>OR(BV1074=Driver!$G$51,BV1074=Driver!$H$51)</f>
        <v/>
      </c>
      <c r="E1074" s="60">
        <f>AND(BX1074&gt;Driver!$F$54,BX1074&lt;Driver!$G$54)</f>
        <v/>
      </c>
      <c r="F1074" s="60">
        <f>CL1074&gt;Driver!$F$56</f>
        <v/>
      </c>
      <c r="G1074" s="60">
        <f>AND(CB1074&gt;Driver!$F$55,CB1074&lt;Driver!$G$55)</f>
        <v/>
      </c>
      <c r="H1074" s="60">
        <f>AND(B1074:G1074)</f>
        <v/>
      </c>
      <c r="I1074" s="60">
        <f>COUNTIFS($H$9:$H$1273,TRUE,$BT$9:$BT$1273,BT1074)</f>
        <v/>
      </c>
      <c r="J1074" s="60">
        <f t="array" ref="J1074">NOT(OR(($H$9:$H$1273=TRUE)*($I$9:$I$1273&gt;0)*($BT$9:$BT$1273=BT1074)*($K$9:$K$1273&gt;K1074)))</f>
        <v/>
      </c>
      <c r="K1074" s="108">
        <f>IFERROR(1-AVERAGE(X1074:Y1074),"")</f>
        <v/>
      </c>
      <c r="L1074" s="108">
        <f>1-X1074</f>
        <v/>
      </c>
      <c r="M1074" s="108">
        <f>1-Y1074</f>
        <v/>
      </c>
      <c r="N1074" s="108">
        <f>1-Z1074</f>
        <v/>
      </c>
      <c r="O1074" s="108">
        <f>1-AA1074</f>
        <v/>
      </c>
      <c r="P1074" s="108">
        <f>1-AB1074</f>
        <v/>
      </c>
      <c r="Q1074" s="108" t="n"/>
      <c r="R1074" s="108" t="n"/>
      <c r="S1074" s="108">
        <f>1-AE1074</f>
        <v/>
      </c>
      <c r="T1074" s="108">
        <f>1-AF1074</f>
        <v/>
      </c>
      <c r="U1074" s="108">
        <f>1-AG1074</f>
        <v/>
      </c>
      <c r="V1074" s="108">
        <f>1-AH1074</f>
        <v/>
      </c>
      <c r="W1074" s="108">
        <f>1-AI1074</f>
        <v/>
      </c>
      <c r="X1074" s="108">
        <f>ABS(AJ1074-AJ$1)</f>
        <v/>
      </c>
      <c r="Y1074" s="108">
        <f>AVERAGE(Z1074:AB1074)</f>
        <v/>
      </c>
      <c r="Z1074" s="108">
        <f>ABS(AL1074-AL$1)</f>
        <v/>
      </c>
      <c r="AA1074" s="108">
        <f>ABS(AM1074-AM$1)</f>
        <v/>
      </c>
      <c r="AB1074" s="108">
        <f>ABS(AN1074-AN$1)</f>
        <v/>
      </c>
      <c r="AC1074" s="108" t="n"/>
      <c r="AD1074" s="108" t="n"/>
      <c r="AE1074" s="108">
        <f>ABS(AQ$1-AQ1074)</f>
        <v/>
      </c>
      <c r="AF1074" s="108">
        <f>ABS(AR$1-AR1074)</f>
        <v/>
      </c>
      <c r="AG1074" s="108">
        <f>ABS(AS$1-AS1074)</f>
        <v/>
      </c>
      <c r="AH1074" s="108">
        <f>ABS(AT$1-AT1074)</f>
        <v/>
      </c>
      <c r="AI1074" s="108">
        <f>ABS(AU$1-AU1074)</f>
        <v/>
      </c>
      <c r="AJ1074" s="108">
        <f>(AV1074-Driver!$K$179)/(Driver!$L$179-Driver!$K$179)</f>
        <v/>
      </c>
      <c r="AK1074" s="108">
        <f>(AW1074-Driver!$K$180)/(Driver!$L$180-Driver!$K$180)</f>
        <v/>
      </c>
      <c r="AL1074" s="108">
        <f>(AX1074-Driver!$K$181)/(Driver!$L$181-Driver!$K$181)</f>
        <v/>
      </c>
      <c r="AM1074" s="108">
        <f>(AY1074-Driver!$K$182)/(Driver!$L$182-Driver!$K$182)</f>
        <v/>
      </c>
      <c r="AN1074" s="108">
        <f>(AZ1074-Driver!$K$183)/(Driver!$L$183-Driver!$K$183)</f>
        <v/>
      </c>
      <c r="AO1074" s="108" t="n"/>
      <c r="AP1074" s="108" t="n"/>
      <c r="AQ1074" s="108">
        <f>(BC1074-Driver!$K$188)/(Driver!$L$188-Driver!$K$188)</f>
        <v/>
      </c>
      <c r="AR1074" s="108">
        <f>MIN((BD1074-Driver!$K$189)/(Driver!$L$189-Driver!$K$189),100%)</f>
        <v/>
      </c>
      <c r="AS1074" s="108">
        <f>(BE1074-Driver!$K$190)/(Driver!$L$190-Driver!$K$190)</f>
        <v/>
      </c>
      <c r="AT1074" s="108">
        <f>(BF1074-Driver!$K$191)/(Driver!$L$191-Driver!$K$191)</f>
        <v/>
      </c>
      <c r="AU1074" s="108">
        <f>(BG1074-Driver!$K$192)/(Driver!$L$192-Driver!$K$192)</f>
        <v/>
      </c>
      <c r="AV1074" s="105">
        <f>IFERROR(BM1074*BJ1074^1/4,"")</f>
        <v/>
      </c>
      <c r="AW1074" s="105">
        <f>IFERROR(SUM(AX1074:AZ1074),"")</f>
        <v/>
      </c>
      <c r="AX1074" s="105">
        <f>IFERROR(BH1074,"")</f>
        <v/>
      </c>
      <c r="AY1074" s="105">
        <f>IFERROR(Driver!$K$19/Data!BH1074/Data!BI1074*Data!BK1074*Data!BL1074,"")</f>
        <v/>
      </c>
      <c r="AZ1074" s="105">
        <f>IFERROR(BI1074*BN1074,"")</f>
        <v/>
      </c>
      <c r="BA1074" s="105" t="n"/>
      <c r="BB1074" s="105" t="n"/>
      <c r="BC1074" s="105">
        <f>IFERROR(BI1074*BN1074*BK1074/BJ1074^(1/2),"")</f>
        <v/>
      </c>
      <c r="BD1074" s="105">
        <f>IFERROR(BH1074*BM1074*BL1074/BJ1074/BK1074,"")</f>
        <v/>
      </c>
      <c r="BE1074" s="105">
        <f>IFERROR(MIN(BI1074/BQ1074/BP1074/BO1074/BH1074,$BE$1),"")</f>
        <v/>
      </c>
      <c r="BF1074" s="105">
        <f>IFERROR(BJ1074*BO1074*BP1074/BK1074,"")</f>
        <v/>
      </c>
      <c r="BG1074" s="105">
        <f>IFERROR(1/BM1074/BH1074*BQ1074,"")</f>
        <v/>
      </c>
      <c r="BH1074" s="102">
        <f>MAX((CE1074-Driver!$F$200)/(Driver!$G$200-Driver!$F$200)*$BI$1,1)</f>
        <v/>
      </c>
      <c r="BI1074" s="102">
        <f>MAX($BI$1*(BY1074-Driver!$F$201)/(Driver!$G$201-Driver!$F$201),1)</f>
        <v/>
      </c>
      <c r="BJ1074" s="102">
        <f>(CB1074-Driver!$F$206)/(Driver!$G$206-Driver!$F$206)*$BI$1</f>
        <v/>
      </c>
      <c r="BK1074" s="102">
        <f>(CD1074-Driver!$F$203)/(Driver!$G$203-Driver!$F$203)*$BI$1</f>
        <v/>
      </c>
      <c r="BL1074" s="102">
        <f>MAX((CR1074-Driver!$F$202)/(Driver!$G$202-Driver!$F$202)*$BI$1,1)</f>
        <v/>
      </c>
      <c r="BM1074" s="102">
        <f>MAX((CH1074-Driver!$F$204)/(Driver!$G$204-Driver!$F$204)*$BI$1,1)</f>
        <v/>
      </c>
      <c r="BN1074" s="102">
        <f>(CI1074-Driver!$F$205)/(Driver!$G$205-Driver!$F$205)*$BI$1</f>
        <v/>
      </c>
      <c r="BO1074" s="102">
        <f>(CK1074-Driver!$F$207)/(Driver!$G$207-Driver!$F$207)*$BI$1</f>
        <v/>
      </c>
      <c r="BP1074" s="102">
        <f>(CM1074-Driver!$F$208)/(Driver!$G$208-Driver!$F$208)*$BI$1</f>
        <v/>
      </c>
      <c r="BQ1074" s="102">
        <f>(CL1074-Driver!$F$209)/(Driver!$G$209-Driver!$F$209)*$BI$1</f>
        <v/>
      </c>
      <c r="BR1074" s="40" t="inlineStr">
        <is>
          <t>21/22</t>
        </is>
      </c>
      <c r="BS1074" s="10" t="inlineStr">
        <is>
          <t xml:space="preserve"> Blizzard</t>
        </is>
      </c>
      <c r="BT1074" s="11" t="inlineStr">
        <is>
          <t>Brahma 88</t>
        </is>
      </c>
      <c r="BU1074" s="13" t="n">
        <v>183</v>
      </c>
      <c r="BV1074" s="11" t="inlineStr">
        <is>
          <t xml:space="preserve"> Unisex</t>
        </is>
      </c>
      <c r="BW1074" s="13" t="n">
        <v>183</v>
      </c>
      <c r="BX1074" s="13" t="n">
        <v>181.8</v>
      </c>
      <c r="BY1074" s="13" t="n">
        <v>152</v>
      </c>
      <c r="BZ1074" s="13" t="n">
        <v>159</v>
      </c>
      <c r="CA1074" s="13" t="n">
        <v>128</v>
      </c>
      <c r="CB1074" s="13" t="n">
        <v>86</v>
      </c>
      <c r="CC1074" s="13" t="n">
        <v>110</v>
      </c>
      <c r="CD1074" s="13" t="n">
        <v>18.8</v>
      </c>
      <c r="CE1074" s="13" t="n">
        <v>2198</v>
      </c>
      <c r="CF1074" s="13" t="n">
        <v>0.82</v>
      </c>
      <c r="CG1074" s="13" t="n">
        <v>1796</v>
      </c>
      <c r="CH1074" s="13" t="n">
        <v>229</v>
      </c>
      <c r="CI1074" s="13" t="n">
        <v>127</v>
      </c>
      <c r="CJ1074" s="13" t="n">
        <v>51</v>
      </c>
      <c r="CK1074" s="13" t="n">
        <v>205</v>
      </c>
      <c r="CL1074" s="13" t="n">
        <v>5</v>
      </c>
      <c r="CM1074" s="13" t="n">
        <v>89</v>
      </c>
      <c r="CN1074" s="13" t="n">
        <v>0.095</v>
      </c>
      <c r="CO1074" s="13" t="n">
        <v>122</v>
      </c>
      <c r="CP1074" s="13" t="n">
        <v>106</v>
      </c>
      <c r="CQ1074" s="13" t="n">
        <v>83</v>
      </c>
      <c r="CR1074" s="13" t="n">
        <v>11</v>
      </c>
      <c r="CS1074" s="13" t="n">
        <v>11.1</v>
      </c>
      <c r="CT1074" s="11" t="inlineStr">
        <is>
          <t xml:space="preserve"> Resort Freeride</t>
        </is>
      </c>
      <c r="CU1074" s="13" t="n"/>
      <c r="CV1074" s="13" t="n"/>
      <c r="CW1074" s="13" t="n"/>
      <c r="CX1074">
        <f>INDEX('Data_Price '!AG$2:AG$1266,MATCH(Data!$DN1074,'Data_Price '!$AT$2:$AT$1266,0))</f>
        <v/>
      </c>
      <c r="CY1074">
        <f>INDEX('Data_Price '!AH$2:AH$1266,MATCH(Data!$DN1074,'Data_Price '!$AT$2:$AT$1266,0))</f>
        <v/>
      </c>
      <c r="CZ1074">
        <f>INDEX('Data_Price '!AI$2:AI$1266,MATCH(Data!$DN1074,'Data_Price '!$AT$2:$AT$1266,0))</f>
        <v/>
      </c>
      <c r="DA1074">
        <f>INDEX('Data_Price '!AJ$2:AJ$1266,MATCH(Data!$DN1074,'Data_Price '!$AT$2:$AT$1266,0))</f>
        <v/>
      </c>
      <c r="DB1074">
        <f>INDEX('Data_Price '!AK$2:AK$1266,MATCH(Data!$DN1074,'Data_Price '!$AT$2:$AT$1266,0))</f>
        <v/>
      </c>
      <c r="DC1074">
        <f>INDEX('Data_Price '!AL$2:AL$1266,MATCH(Data!$DN1074,'Data_Price '!$AT$2:$AT$1266,0))</f>
        <v/>
      </c>
      <c r="DD1074">
        <f>INDEX('Data_Price '!AM$2:AM$1266,MATCH(Data!$DN1074,'Data_Price '!$AT$2:$AT$1266,0))</f>
        <v/>
      </c>
      <c r="DE1074">
        <f>INDEX('Data_Price '!AN$2:AN$1266,MATCH(Data!$DN1074,'Data_Price '!$AT$2:$AT$1266,0))</f>
        <v/>
      </c>
      <c r="DF1074">
        <f>INDEX('Data_Price '!AO$2:AO$1266,MATCH(Data!$DN1074,'Data_Price '!$AT$2:$AT$1266,0))</f>
        <v/>
      </c>
      <c r="DG1074">
        <f>INDEX('Data_Price '!AP$2:AP$1266,MATCH(Data!$DN1074,'Data_Price '!$AT$2:$AT$1266,0))</f>
        <v/>
      </c>
      <c r="DH1074">
        <f>INDEX('Data_Price '!AQ$2:AQ$1266,MATCH(Data!$DN1074,'Data_Price '!$AT$2:$AT$1266,0))</f>
        <v/>
      </c>
      <c r="DI1074">
        <f>INDEX('Data_Price '!AR$2:AR$1266,MATCH(Data!$DN1074,'Data_Price '!$AT$2:$AT$1266,0))</f>
        <v/>
      </c>
      <c r="DJ1074" s="138">
        <f>DA1074</f>
        <v/>
      </c>
      <c r="DK1074" s="138">
        <f>DE1074</f>
        <v/>
      </c>
      <c r="DL1074" s="138">
        <f>DI1074</f>
        <v/>
      </c>
      <c r="DM1074" s="303">
        <f>IF(LEFT(BT1074,1)=" ",RIGHT(BT1074,LEN(BT1074)-1),BT1074)</f>
        <v/>
      </c>
      <c r="DN1074" s="138">
        <f>_xlfn.CONCAT(BS1074,DM1074,BU1074,BV1074)</f>
        <v/>
      </c>
      <c r="DO1074" s="307" t="n"/>
    </row>
    <row r="1075" ht="15.6" customHeight="1" s="184">
      <c r="B1075" s="303">
        <f t="array" ref="B1075">IF(OR(ISERROR(K1075:P1075)),FALSE,TRUE)</f>
        <v/>
      </c>
      <c r="C1075" s="60">
        <f>OR(BR1075=Driver!$G$50,Data!BR664=Driver!$H$50)</f>
        <v/>
      </c>
      <c r="D1075" s="60">
        <f>OR(BV1075=Driver!$G$51,BV1075=Driver!$H$51)</f>
        <v/>
      </c>
      <c r="E1075" s="60">
        <f>AND(BX1075&gt;Driver!$F$54,BX1075&lt;Driver!$G$54)</f>
        <v/>
      </c>
      <c r="F1075" s="60">
        <f>CL1075&gt;Driver!$F$56</f>
        <v/>
      </c>
      <c r="G1075" s="60">
        <f>AND(CB1075&gt;Driver!$F$55,CB1075&lt;Driver!$G$55)</f>
        <v/>
      </c>
      <c r="H1075" s="60">
        <f>AND(B1075:G1075)</f>
        <v/>
      </c>
      <c r="I1075" s="60">
        <f>COUNTIFS($H$9:$H$1273,TRUE,$BT$9:$BT$1273,BT1075)</f>
        <v/>
      </c>
      <c r="J1075" s="60">
        <f t="array" ref="J1075">NOT(OR(($H$9:$H$1273=TRUE)*($I$9:$I$1273&gt;0)*($BT$9:$BT$1273=BT1075)*($K$9:$K$1273&gt;K1075)))</f>
        <v/>
      </c>
      <c r="K1075" s="108">
        <f>IFERROR(1-AVERAGE(X1075:Y1075),"")</f>
        <v/>
      </c>
      <c r="L1075" s="108">
        <f>1-X1075</f>
        <v/>
      </c>
      <c r="M1075" s="108">
        <f>1-Y1075</f>
        <v/>
      </c>
      <c r="N1075" s="108">
        <f>1-Z1075</f>
        <v/>
      </c>
      <c r="O1075" s="108">
        <f>1-AA1075</f>
        <v/>
      </c>
      <c r="P1075" s="108">
        <f>1-AB1075</f>
        <v/>
      </c>
      <c r="Q1075" s="108" t="n"/>
      <c r="R1075" s="108" t="n"/>
      <c r="S1075" s="108">
        <f>1-AE1075</f>
        <v/>
      </c>
      <c r="T1075" s="108">
        <f>1-AF1075</f>
        <v/>
      </c>
      <c r="U1075" s="108">
        <f>1-AG1075</f>
        <v/>
      </c>
      <c r="V1075" s="108">
        <f>1-AH1075</f>
        <v/>
      </c>
      <c r="W1075" s="108">
        <f>1-AI1075</f>
        <v/>
      </c>
      <c r="X1075" s="108">
        <f>ABS(AJ1075-AJ$1)</f>
        <v/>
      </c>
      <c r="Y1075" s="108">
        <f>AVERAGE(Z1075:AB1075)</f>
        <v/>
      </c>
      <c r="Z1075" s="108">
        <f>ABS(AL1075-AL$1)</f>
        <v/>
      </c>
      <c r="AA1075" s="108">
        <f>ABS(AM1075-AM$1)</f>
        <v/>
      </c>
      <c r="AB1075" s="108">
        <f>ABS(AN1075-AN$1)</f>
        <v/>
      </c>
      <c r="AC1075" s="108" t="n"/>
      <c r="AD1075" s="108" t="n"/>
      <c r="AE1075" s="108">
        <f>ABS(AQ$1-AQ1075)</f>
        <v/>
      </c>
      <c r="AF1075" s="108">
        <f>ABS(AR$1-AR1075)</f>
        <v/>
      </c>
      <c r="AG1075" s="108">
        <f>ABS(AS$1-AS1075)</f>
        <v/>
      </c>
      <c r="AH1075" s="108">
        <f>ABS(AT$1-AT1075)</f>
        <v/>
      </c>
      <c r="AI1075" s="108">
        <f>ABS(AU$1-AU1075)</f>
        <v/>
      </c>
      <c r="AJ1075" s="108">
        <f>(AV1075-Driver!$K$179)/(Driver!$L$179-Driver!$K$179)</f>
        <v/>
      </c>
      <c r="AK1075" s="108">
        <f>(AW1075-Driver!$K$180)/(Driver!$L$180-Driver!$K$180)</f>
        <v/>
      </c>
      <c r="AL1075" s="108">
        <f>(AX1075-Driver!$K$181)/(Driver!$L$181-Driver!$K$181)</f>
        <v/>
      </c>
      <c r="AM1075" s="108">
        <f>(AY1075-Driver!$K$182)/(Driver!$L$182-Driver!$K$182)</f>
        <v/>
      </c>
      <c r="AN1075" s="108">
        <f>(AZ1075-Driver!$K$183)/(Driver!$L$183-Driver!$K$183)</f>
        <v/>
      </c>
      <c r="AO1075" s="108" t="n"/>
      <c r="AP1075" s="108" t="n"/>
      <c r="AQ1075" s="108">
        <f>(BC1075-Driver!$K$188)/(Driver!$L$188-Driver!$K$188)</f>
        <v/>
      </c>
      <c r="AR1075" s="108">
        <f>MIN((BD1075-Driver!$K$189)/(Driver!$L$189-Driver!$K$189),100%)</f>
        <v/>
      </c>
      <c r="AS1075" s="108">
        <f>(BE1075-Driver!$K$190)/(Driver!$L$190-Driver!$K$190)</f>
        <v/>
      </c>
      <c r="AT1075" s="108">
        <f>(BF1075-Driver!$K$191)/(Driver!$L$191-Driver!$K$191)</f>
        <v/>
      </c>
      <c r="AU1075" s="108">
        <f>(BG1075-Driver!$K$192)/(Driver!$L$192-Driver!$K$192)</f>
        <v/>
      </c>
      <c r="AV1075" s="105">
        <f>IFERROR(BM1075*BJ1075^1/4,"")</f>
        <v/>
      </c>
      <c r="AW1075" s="105">
        <f>IFERROR(SUM(AX1075:AZ1075),"")</f>
        <v/>
      </c>
      <c r="AX1075" s="105">
        <f>IFERROR(BH1075,"")</f>
        <v/>
      </c>
      <c r="AY1075" s="105">
        <f>IFERROR(Driver!$K$19/Data!BH1075/Data!BI1075*Data!BK1075*Data!BL1075,"")</f>
        <v/>
      </c>
      <c r="AZ1075" s="105">
        <f>IFERROR(BI1075*BN1075,"")</f>
        <v/>
      </c>
      <c r="BA1075" s="105" t="n"/>
      <c r="BB1075" s="105" t="n"/>
      <c r="BC1075" s="105">
        <f>IFERROR(BI1075*BN1075*BK1075/BJ1075^(1/2),"")</f>
        <v/>
      </c>
      <c r="BD1075" s="105">
        <f>IFERROR(BH1075*BM1075*BL1075/BJ1075/BK1075,"")</f>
        <v/>
      </c>
      <c r="BE1075" s="105">
        <f>IFERROR(MIN(BI1075/BQ1075/BP1075/BO1075/BH1075,$BE$1),"")</f>
        <v/>
      </c>
      <c r="BF1075" s="105">
        <f>IFERROR(BJ1075*BO1075*BP1075/BK1075,"")</f>
        <v/>
      </c>
      <c r="BG1075" s="105">
        <f>IFERROR(1/BM1075/BH1075*BQ1075,"")</f>
        <v/>
      </c>
      <c r="BH1075" s="102">
        <f>MAX((CE1075-Driver!$F$200)/(Driver!$G$200-Driver!$F$200)*$BI$1,1)</f>
        <v/>
      </c>
      <c r="BI1075" s="102">
        <f>MAX($BI$1*(BY1075-Driver!$F$201)/(Driver!$G$201-Driver!$F$201),1)</f>
        <v/>
      </c>
      <c r="BJ1075" s="102">
        <f>(CB1075-Driver!$F$206)/(Driver!$G$206-Driver!$F$206)*$BI$1</f>
        <v/>
      </c>
      <c r="BK1075" s="102">
        <f>(CD1075-Driver!$F$203)/(Driver!$G$203-Driver!$F$203)*$BI$1</f>
        <v/>
      </c>
      <c r="BL1075" s="102">
        <f>MAX((CR1075-Driver!$F$202)/(Driver!$G$202-Driver!$F$202)*$BI$1,1)</f>
        <v/>
      </c>
      <c r="BM1075" s="102">
        <f>MAX((CH1075-Driver!$F$204)/(Driver!$G$204-Driver!$F$204)*$BI$1,1)</f>
        <v/>
      </c>
      <c r="BN1075" s="102">
        <f>(CI1075-Driver!$F$205)/(Driver!$G$205-Driver!$F$205)*$BI$1</f>
        <v/>
      </c>
      <c r="BO1075" s="102">
        <f>(CK1075-Driver!$F$207)/(Driver!$G$207-Driver!$F$207)*$BI$1</f>
        <v/>
      </c>
      <c r="BP1075" s="102">
        <f>(CM1075-Driver!$F$208)/(Driver!$G$208-Driver!$F$208)*$BI$1</f>
        <v/>
      </c>
      <c r="BQ1075" s="102">
        <f>(CL1075-Driver!$F$209)/(Driver!$G$209-Driver!$F$209)*$BI$1</f>
        <v/>
      </c>
      <c r="BR1075" s="40" t="inlineStr">
        <is>
          <t>21/22</t>
        </is>
      </c>
      <c r="BS1075" s="10" t="inlineStr">
        <is>
          <t xml:space="preserve"> Head</t>
        </is>
      </c>
      <c r="BT1075" s="11" t="inlineStr">
        <is>
          <t xml:space="preserve"> Worldcup Rebels e-Race Pro</t>
        </is>
      </c>
      <c r="BU1075" s="13" t="n">
        <v>165</v>
      </c>
      <c r="BV1075" s="11" t="inlineStr">
        <is>
          <t xml:space="preserve"> Unisex</t>
        </is>
      </c>
      <c r="BW1075" s="13" t="n">
        <v>165</v>
      </c>
      <c r="BX1075" s="13" t="n">
        <v>164</v>
      </c>
      <c r="BY1075" s="13" t="n">
        <v>147</v>
      </c>
      <c r="BZ1075" s="13" t="n">
        <v>154</v>
      </c>
      <c r="CA1075" s="13" t="n">
        <v>120</v>
      </c>
      <c r="CB1075" s="13" t="n">
        <v>67</v>
      </c>
      <c r="CC1075" s="13" t="n">
        <v>101</v>
      </c>
      <c r="CD1075" s="13" t="n">
        <v>13.4</v>
      </c>
      <c r="CE1075" s="13" t="n">
        <v>2233</v>
      </c>
      <c r="CF1075" s="13" t="n">
        <v>0.61</v>
      </c>
      <c r="CG1075" s="13" t="n">
        <v>1354</v>
      </c>
      <c r="CH1075" s="13" t="n">
        <v>190</v>
      </c>
      <c r="CI1075" s="13" t="n">
        <v>96</v>
      </c>
      <c r="CJ1075" s="13" t="n">
        <v>36</v>
      </c>
      <c r="CK1075" s="13" t="n">
        <v>134</v>
      </c>
      <c r="CL1075" s="13" t="n">
        <v>3</v>
      </c>
      <c r="CM1075" s="13" t="n">
        <v>41</v>
      </c>
      <c r="CN1075" s="13" t="n">
        <v>0.073</v>
      </c>
      <c r="CO1075" s="13" t="n">
        <v>59</v>
      </c>
      <c r="CP1075" s="13" t="n">
        <v>39</v>
      </c>
      <c r="CQ1075" s="13" t="n">
        <v>75</v>
      </c>
      <c r="CR1075" s="13" t="n">
        <v>13</v>
      </c>
      <c r="CS1075" s="13" t="n">
        <v>11.1</v>
      </c>
      <c r="CT1075" s="11" t="inlineStr">
        <is>
          <t xml:space="preserve"> On-Piste Carving</t>
        </is>
      </c>
      <c r="CU1075" s="13" t="n"/>
      <c r="CV1075" s="13" t="n"/>
      <c r="CW1075" s="13" t="n"/>
      <c r="CX1075">
        <f>INDEX('Data_Price '!AG$2:AG$1266,MATCH(Data!$DN1075,'Data_Price '!$AT$2:$AT$1266,0))</f>
        <v/>
      </c>
      <c r="CY1075">
        <f>INDEX('Data_Price '!AH$2:AH$1266,MATCH(Data!$DN1075,'Data_Price '!$AT$2:$AT$1266,0))</f>
        <v/>
      </c>
      <c r="CZ1075">
        <f>INDEX('Data_Price '!AI$2:AI$1266,MATCH(Data!$DN1075,'Data_Price '!$AT$2:$AT$1266,0))</f>
        <v/>
      </c>
      <c r="DA1075">
        <f>INDEX('Data_Price '!AJ$2:AJ$1266,MATCH(Data!$DN1075,'Data_Price '!$AT$2:$AT$1266,0))</f>
        <v/>
      </c>
      <c r="DB1075">
        <f>INDEX('Data_Price '!AK$2:AK$1266,MATCH(Data!$DN1075,'Data_Price '!$AT$2:$AT$1266,0))</f>
        <v/>
      </c>
      <c r="DC1075">
        <f>INDEX('Data_Price '!AL$2:AL$1266,MATCH(Data!$DN1075,'Data_Price '!$AT$2:$AT$1266,0))</f>
        <v/>
      </c>
      <c r="DD1075">
        <f>INDEX('Data_Price '!AM$2:AM$1266,MATCH(Data!$DN1075,'Data_Price '!$AT$2:$AT$1266,0))</f>
        <v/>
      </c>
      <c r="DE1075">
        <f>INDEX('Data_Price '!AN$2:AN$1266,MATCH(Data!$DN1075,'Data_Price '!$AT$2:$AT$1266,0))</f>
        <v/>
      </c>
      <c r="DF1075">
        <f>INDEX('Data_Price '!AO$2:AO$1266,MATCH(Data!$DN1075,'Data_Price '!$AT$2:$AT$1266,0))</f>
        <v/>
      </c>
      <c r="DG1075">
        <f>INDEX('Data_Price '!AP$2:AP$1266,MATCH(Data!$DN1075,'Data_Price '!$AT$2:$AT$1266,0))</f>
        <v/>
      </c>
      <c r="DH1075">
        <f>INDEX('Data_Price '!AQ$2:AQ$1266,MATCH(Data!$DN1075,'Data_Price '!$AT$2:$AT$1266,0))</f>
        <v/>
      </c>
      <c r="DI1075">
        <f>INDEX('Data_Price '!AR$2:AR$1266,MATCH(Data!$DN1075,'Data_Price '!$AT$2:$AT$1266,0))</f>
        <v/>
      </c>
      <c r="DJ1075" s="138">
        <f>DA1075</f>
        <v/>
      </c>
      <c r="DK1075" s="138">
        <f>DE1075</f>
        <v/>
      </c>
      <c r="DL1075" s="138">
        <f>DI1075</f>
        <v/>
      </c>
      <c r="DM1075" s="303">
        <f>IF(LEFT(BT1075,1)=" ",RIGHT(BT1075,LEN(BT1075)-1),BT1075)</f>
        <v/>
      </c>
      <c r="DN1075" s="138">
        <f>_xlfn.CONCAT(BS1075,DM1075,BU1075,BV1075)</f>
        <v/>
      </c>
      <c r="DO1075" s="307" t="n"/>
    </row>
    <row r="1076" ht="15.6" customHeight="1" s="184">
      <c r="B1076" s="303">
        <f t="array" ref="B1076">IF(OR(ISERROR(K1076:P1076)),FALSE,TRUE)</f>
        <v/>
      </c>
      <c r="C1076" s="60">
        <f>OR(BR1076=Driver!$G$50,Data!BR385=Driver!$H$50)</f>
        <v/>
      </c>
      <c r="D1076" s="60">
        <f>OR(BV1076=Driver!$G$51,BV1076=Driver!$H$51)</f>
        <v/>
      </c>
      <c r="E1076" s="60">
        <f>AND(BX1076&gt;Driver!$F$54,BX1076&lt;Driver!$G$54)</f>
        <v/>
      </c>
      <c r="F1076" s="60">
        <f>CL1076&gt;Driver!$F$56</f>
        <v/>
      </c>
      <c r="G1076" s="60">
        <f>AND(CB1076&gt;Driver!$F$55,CB1076&lt;Driver!$G$55)</f>
        <v/>
      </c>
      <c r="H1076" s="60">
        <f>AND(B1076:G1076)</f>
        <v/>
      </c>
      <c r="I1076" s="60">
        <f>COUNTIFS($H$9:$H$1273,TRUE,$BT$9:$BT$1273,BT1076)</f>
        <v/>
      </c>
      <c r="J1076" s="60">
        <f t="array" ref="J1076">NOT(OR(($H$9:$H$1273=TRUE)*($I$9:$I$1273&gt;0)*($BT$9:$BT$1273=BT1076)*($K$9:$K$1273&gt;K1076)))</f>
        <v/>
      </c>
      <c r="K1076" s="108">
        <f>IFERROR(1-AVERAGE(X1076:Y1076),"")</f>
        <v/>
      </c>
      <c r="L1076" s="108">
        <f>1-X1076</f>
        <v/>
      </c>
      <c r="M1076" s="108">
        <f>1-Y1076</f>
        <v/>
      </c>
      <c r="N1076" s="108">
        <f>1-Z1076</f>
        <v/>
      </c>
      <c r="O1076" s="108">
        <f>1-AA1076</f>
        <v/>
      </c>
      <c r="P1076" s="108">
        <f>1-AB1076</f>
        <v/>
      </c>
      <c r="Q1076" s="108" t="n"/>
      <c r="R1076" s="108" t="n"/>
      <c r="S1076" s="108">
        <f>1-AE1076</f>
        <v/>
      </c>
      <c r="T1076" s="108">
        <f>1-AF1076</f>
        <v/>
      </c>
      <c r="U1076" s="108">
        <f>1-AG1076</f>
        <v/>
      </c>
      <c r="V1076" s="108">
        <f>1-AH1076</f>
        <v/>
      </c>
      <c r="W1076" s="108">
        <f>1-AI1076</f>
        <v/>
      </c>
      <c r="X1076" s="108">
        <f>ABS(AJ1076-AJ$1)</f>
        <v/>
      </c>
      <c r="Y1076" s="108">
        <f>AVERAGE(Z1076:AB1076)</f>
        <v/>
      </c>
      <c r="Z1076" s="108">
        <f>ABS(AL1076-AL$1)</f>
        <v/>
      </c>
      <c r="AA1076" s="108">
        <f>ABS(AM1076-AM$1)</f>
        <v/>
      </c>
      <c r="AB1076" s="108">
        <f>ABS(AN1076-AN$1)</f>
        <v/>
      </c>
      <c r="AC1076" s="108" t="n"/>
      <c r="AD1076" s="108" t="n"/>
      <c r="AE1076" s="108">
        <f>ABS(AQ$1-AQ1076)</f>
        <v/>
      </c>
      <c r="AF1076" s="108">
        <f>ABS(AR$1-AR1076)</f>
        <v/>
      </c>
      <c r="AG1076" s="108">
        <f>ABS(AS$1-AS1076)</f>
        <v/>
      </c>
      <c r="AH1076" s="108">
        <f>ABS(AT$1-AT1076)</f>
        <v/>
      </c>
      <c r="AI1076" s="108">
        <f>ABS(AU$1-AU1076)</f>
        <v/>
      </c>
      <c r="AJ1076" s="108">
        <f>(AV1076-Driver!$K$179)/(Driver!$L$179-Driver!$K$179)</f>
        <v/>
      </c>
      <c r="AK1076" s="108">
        <f>(AW1076-Driver!$K$180)/(Driver!$L$180-Driver!$K$180)</f>
        <v/>
      </c>
      <c r="AL1076" s="108">
        <f>(AX1076-Driver!$K$181)/(Driver!$L$181-Driver!$K$181)</f>
        <v/>
      </c>
      <c r="AM1076" s="108">
        <f>(AY1076-Driver!$K$182)/(Driver!$L$182-Driver!$K$182)</f>
        <v/>
      </c>
      <c r="AN1076" s="108">
        <f>(AZ1076-Driver!$K$183)/(Driver!$L$183-Driver!$K$183)</f>
        <v/>
      </c>
      <c r="AO1076" s="108" t="n"/>
      <c r="AP1076" s="108" t="n"/>
      <c r="AQ1076" s="108">
        <f>(BC1076-Driver!$K$188)/(Driver!$L$188-Driver!$K$188)</f>
        <v/>
      </c>
      <c r="AR1076" s="108">
        <f>MIN((BD1076-Driver!$K$189)/(Driver!$L$189-Driver!$K$189),100%)</f>
        <v/>
      </c>
      <c r="AS1076" s="108">
        <f>(BE1076-Driver!$K$190)/(Driver!$L$190-Driver!$K$190)</f>
        <v/>
      </c>
      <c r="AT1076" s="108">
        <f>(BF1076-Driver!$K$191)/(Driver!$L$191-Driver!$K$191)</f>
        <v/>
      </c>
      <c r="AU1076" s="108">
        <f>(BG1076-Driver!$K$192)/(Driver!$L$192-Driver!$K$192)</f>
        <v/>
      </c>
      <c r="AV1076" s="105">
        <f>IFERROR(BM1076*BJ1076^1/4,"")</f>
        <v/>
      </c>
      <c r="AW1076" s="105">
        <f>IFERROR(SUM(AX1076:AZ1076),"")</f>
        <v/>
      </c>
      <c r="AX1076" s="105">
        <f>IFERROR(BH1076,"")</f>
        <v/>
      </c>
      <c r="AY1076" s="105">
        <f>IFERROR(Driver!$K$19/Data!BH1076/Data!BI1076*Data!BK1076*Data!BL1076,"")</f>
        <v/>
      </c>
      <c r="AZ1076" s="105">
        <f>IFERROR(BI1076*BN1076,"")</f>
        <v/>
      </c>
      <c r="BA1076" s="105" t="n"/>
      <c r="BB1076" s="105" t="n"/>
      <c r="BC1076" s="105">
        <f>IFERROR(BI1076*BN1076*BK1076/BJ1076^(1/2),"")</f>
        <v/>
      </c>
      <c r="BD1076" s="105">
        <f>IFERROR(BH1076*BM1076*BL1076/BJ1076/BK1076,"")</f>
        <v/>
      </c>
      <c r="BE1076" s="105">
        <f>IFERROR(MIN(BI1076/BQ1076/BP1076/BO1076/BH1076,$BE$1),"")</f>
        <v/>
      </c>
      <c r="BF1076" s="105">
        <f>IFERROR(BJ1076*BO1076*BP1076/BK1076,"")</f>
        <v/>
      </c>
      <c r="BG1076" s="105">
        <f>IFERROR(1/BM1076/BH1076*BQ1076,"")</f>
        <v/>
      </c>
      <c r="BH1076" s="102">
        <f>MAX((CE1076-Driver!$F$200)/(Driver!$G$200-Driver!$F$200)*$BI$1,1)</f>
        <v/>
      </c>
      <c r="BI1076" s="102">
        <f>MAX($BI$1*(BY1076-Driver!$F$201)/(Driver!$G$201-Driver!$F$201),1)</f>
        <v/>
      </c>
      <c r="BJ1076" s="102">
        <f>(CB1076-Driver!$F$206)/(Driver!$G$206-Driver!$F$206)*$BI$1</f>
        <v/>
      </c>
      <c r="BK1076" s="102">
        <f>(CD1076-Driver!$F$203)/(Driver!$G$203-Driver!$F$203)*$BI$1</f>
        <v/>
      </c>
      <c r="BL1076" s="102">
        <f>MAX((CR1076-Driver!$F$202)/(Driver!$G$202-Driver!$F$202)*$BI$1,1)</f>
        <v/>
      </c>
      <c r="BM1076" s="102">
        <f>MAX((CH1076-Driver!$F$204)/(Driver!$G$204-Driver!$F$204)*$BI$1,1)</f>
        <v/>
      </c>
      <c r="BN1076" s="102">
        <f>(CI1076-Driver!$F$205)/(Driver!$G$205-Driver!$F$205)*$BI$1</f>
        <v/>
      </c>
      <c r="BO1076" s="102">
        <f>(CK1076-Driver!$F$207)/(Driver!$G$207-Driver!$F$207)*$BI$1</f>
        <v/>
      </c>
      <c r="BP1076" s="102">
        <f>(CM1076-Driver!$F$208)/(Driver!$G$208-Driver!$F$208)*$BI$1</f>
        <v/>
      </c>
      <c r="BQ1076" s="102">
        <f>(CL1076-Driver!$F$209)/(Driver!$G$209-Driver!$F$209)*$BI$1</f>
        <v/>
      </c>
      <c r="BR1076" s="40" t="inlineStr">
        <is>
          <t>21/22</t>
        </is>
      </c>
      <c r="BS1076" s="10" t="inlineStr">
        <is>
          <t xml:space="preserve"> Dynastar</t>
        </is>
      </c>
      <c r="BT1076" s="11" t="inlineStr">
        <is>
          <t>M-Free 118</t>
        </is>
      </c>
      <c r="BU1076" s="13" t="n">
        <v>189</v>
      </c>
      <c r="BV1076" s="11" t="inlineStr">
        <is>
          <t xml:space="preserve"> Unisex</t>
        </is>
      </c>
      <c r="BW1076" s="13" t="n">
        <v>189</v>
      </c>
      <c r="BX1076" s="13" t="n">
        <v>186.9</v>
      </c>
      <c r="BY1076" s="13" t="n">
        <v>125</v>
      </c>
      <c r="BZ1076" s="13" t="n">
        <v>141</v>
      </c>
      <c r="CA1076" s="13" t="n">
        <v>144</v>
      </c>
      <c r="CB1076" s="13" t="n">
        <v>117</v>
      </c>
      <c r="CC1076" s="13" t="n">
        <v>134</v>
      </c>
      <c r="CD1076" s="13" t="n">
        <v>20.9</v>
      </c>
      <c r="CE1076" s="13" t="n">
        <v>2472</v>
      </c>
      <c r="CF1076" s="13" t="n">
        <v>0.9399999999999999</v>
      </c>
      <c r="CG1076" s="13" t="n">
        <v>2327</v>
      </c>
      <c r="CH1076" s="13" t="n">
        <v>237</v>
      </c>
      <c r="CI1076" s="13" t="n">
        <v>122</v>
      </c>
      <c r="CJ1076" s="13" t="n">
        <v>61</v>
      </c>
      <c r="CK1076" s="13" t="n">
        <v>352</v>
      </c>
      <c r="CL1076" s="13" t="n">
        <v>30</v>
      </c>
      <c r="CM1076" s="13" t="n">
        <v>268</v>
      </c>
      <c r="CN1076" s="13" t="n">
        <v>0.488</v>
      </c>
      <c r="CO1076" s="13" t="n">
        <v>271</v>
      </c>
      <c r="CP1076" s="13" t="n">
        <v>189</v>
      </c>
      <c r="CQ1076" s="13" t="n">
        <v>82</v>
      </c>
      <c r="CR1076" s="13" t="n">
        <v>10</v>
      </c>
      <c r="CS1076" s="13" t="n">
        <v>9.9</v>
      </c>
      <c r="CT1076" s="11" t="inlineStr">
        <is>
          <t xml:space="preserve"> Powder</t>
        </is>
      </c>
      <c r="CU1076" s="13" t="n"/>
      <c r="CV1076" s="13" t="n"/>
      <c r="CW1076" s="13" t="n"/>
      <c r="CX1076">
        <f>INDEX('Data_Price '!AG$2:AG$1266,MATCH(Data!$DN1076,'Data_Price '!$AT$2:$AT$1266,0))</f>
        <v/>
      </c>
      <c r="CY1076">
        <f>INDEX('Data_Price '!AH$2:AH$1266,MATCH(Data!$DN1076,'Data_Price '!$AT$2:$AT$1266,0))</f>
        <v/>
      </c>
      <c r="CZ1076">
        <f>INDEX('Data_Price '!AI$2:AI$1266,MATCH(Data!$DN1076,'Data_Price '!$AT$2:$AT$1266,0))</f>
        <v/>
      </c>
      <c r="DA1076">
        <f>INDEX('Data_Price '!AJ$2:AJ$1266,MATCH(Data!$DN1076,'Data_Price '!$AT$2:$AT$1266,0))</f>
        <v/>
      </c>
      <c r="DB1076">
        <f>INDEX('Data_Price '!AK$2:AK$1266,MATCH(Data!$DN1076,'Data_Price '!$AT$2:$AT$1266,0))</f>
        <v/>
      </c>
      <c r="DC1076">
        <f>INDEX('Data_Price '!AL$2:AL$1266,MATCH(Data!$DN1076,'Data_Price '!$AT$2:$AT$1266,0))</f>
        <v/>
      </c>
      <c r="DD1076">
        <f>INDEX('Data_Price '!AM$2:AM$1266,MATCH(Data!$DN1076,'Data_Price '!$AT$2:$AT$1266,0))</f>
        <v/>
      </c>
      <c r="DE1076">
        <f>INDEX('Data_Price '!AN$2:AN$1266,MATCH(Data!$DN1076,'Data_Price '!$AT$2:$AT$1266,0))</f>
        <v/>
      </c>
      <c r="DF1076">
        <f>INDEX('Data_Price '!AO$2:AO$1266,MATCH(Data!$DN1076,'Data_Price '!$AT$2:$AT$1266,0))</f>
        <v/>
      </c>
      <c r="DG1076">
        <f>INDEX('Data_Price '!AP$2:AP$1266,MATCH(Data!$DN1076,'Data_Price '!$AT$2:$AT$1266,0))</f>
        <v/>
      </c>
      <c r="DH1076">
        <f>INDEX('Data_Price '!AQ$2:AQ$1266,MATCH(Data!$DN1076,'Data_Price '!$AT$2:$AT$1266,0))</f>
        <v/>
      </c>
      <c r="DI1076">
        <f>INDEX('Data_Price '!AR$2:AR$1266,MATCH(Data!$DN1076,'Data_Price '!$AT$2:$AT$1266,0))</f>
        <v/>
      </c>
      <c r="DJ1076" s="138">
        <f>DA1076</f>
        <v/>
      </c>
      <c r="DK1076" s="138">
        <f>DE1076</f>
        <v/>
      </c>
      <c r="DL1076" s="138">
        <f>DI1076</f>
        <v/>
      </c>
      <c r="DM1076" s="303">
        <f>IF(LEFT(BT1076,1)=" ",RIGHT(BT1076,LEN(BT1076)-1),BT1076)</f>
        <v/>
      </c>
      <c r="DN1076" s="138">
        <f>_xlfn.CONCAT(BS1076,DM1076,BU1076,BV1076)</f>
        <v/>
      </c>
      <c r="DO1076" s="307" t="inlineStr">
        <is>
          <t>https://images.evo.com/imgp/250/185153/736341/dynastar-m-free-118-skis-2022-.jpg</t>
        </is>
      </c>
    </row>
    <row r="1077" ht="15.6" customHeight="1" s="184">
      <c r="B1077" s="303">
        <f t="array" ref="B1077">IF(OR(ISERROR(K1077:P1077)),FALSE,TRUE)</f>
        <v/>
      </c>
      <c r="C1077" s="60">
        <f>OR(BR1077=Driver!$G$50,Data!BR835=Driver!$H$50)</f>
        <v/>
      </c>
      <c r="D1077" s="60">
        <f>OR(BV1077=Driver!$G$51,BV1077=Driver!$H$51)</f>
        <v/>
      </c>
      <c r="E1077" s="60">
        <f>AND(BX1077&gt;Driver!$F$54,BX1077&lt;Driver!$G$54)</f>
        <v/>
      </c>
      <c r="F1077" s="60">
        <f>CL1077&gt;Driver!$F$56</f>
        <v/>
      </c>
      <c r="G1077" s="60">
        <f>AND(CB1077&gt;Driver!$F$55,CB1077&lt;Driver!$G$55)</f>
        <v/>
      </c>
      <c r="H1077" s="60">
        <f>AND(B1077:G1077)</f>
        <v/>
      </c>
      <c r="I1077" s="60">
        <f>COUNTIFS($H$9:$H$1273,TRUE,$BT$9:$BT$1273,BT1077)</f>
        <v/>
      </c>
      <c r="J1077" s="60">
        <f t="array" ref="J1077">NOT(OR(($H$9:$H$1273=TRUE)*($I$9:$I$1273&gt;0)*($BT$9:$BT$1273=BT1077)*($K$9:$K$1273&gt;K1077)))</f>
        <v/>
      </c>
      <c r="K1077" s="108">
        <f>IFERROR(1-AVERAGE(X1077:Y1077),"")</f>
        <v/>
      </c>
      <c r="L1077" s="108">
        <f>1-X1077</f>
        <v/>
      </c>
      <c r="M1077" s="108">
        <f>1-Y1077</f>
        <v/>
      </c>
      <c r="N1077" s="108">
        <f>1-Z1077</f>
        <v/>
      </c>
      <c r="O1077" s="108">
        <f>1-AA1077</f>
        <v/>
      </c>
      <c r="P1077" s="108">
        <f>1-AB1077</f>
        <v/>
      </c>
      <c r="Q1077" s="108" t="n"/>
      <c r="R1077" s="108" t="n"/>
      <c r="S1077" s="108">
        <f>1-AE1077</f>
        <v/>
      </c>
      <c r="T1077" s="108">
        <f>1-AF1077</f>
        <v/>
      </c>
      <c r="U1077" s="108">
        <f>1-AG1077</f>
        <v/>
      </c>
      <c r="V1077" s="108">
        <f>1-AH1077</f>
        <v/>
      </c>
      <c r="W1077" s="108">
        <f>1-AI1077</f>
        <v/>
      </c>
      <c r="X1077" s="108">
        <f>ABS(AJ1077-AJ$1)</f>
        <v/>
      </c>
      <c r="Y1077" s="108">
        <f>AVERAGE(Z1077:AB1077)</f>
        <v/>
      </c>
      <c r="Z1077" s="108">
        <f>ABS(AL1077-AL$1)</f>
        <v/>
      </c>
      <c r="AA1077" s="108">
        <f>ABS(AM1077-AM$1)</f>
        <v/>
      </c>
      <c r="AB1077" s="108">
        <f>ABS(AN1077-AN$1)</f>
        <v/>
      </c>
      <c r="AC1077" s="108" t="n"/>
      <c r="AD1077" s="108" t="n"/>
      <c r="AE1077" s="108">
        <f>ABS(AQ$1-AQ1077)</f>
        <v/>
      </c>
      <c r="AF1077" s="108">
        <f>ABS(AR$1-AR1077)</f>
        <v/>
      </c>
      <c r="AG1077" s="108">
        <f>ABS(AS$1-AS1077)</f>
        <v/>
      </c>
      <c r="AH1077" s="108">
        <f>ABS(AT$1-AT1077)</f>
        <v/>
      </c>
      <c r="AI1077" s="108">
        <f>ABS(AU$1-AU1077)</f>
        <v/>
      </c>
      <c r="AJ1077" s="108">
        <f>(AV1077-Driver!$K$179)/(Driver!$L$179-Driver!$K$179)</f>
        <v/>
      </c>
      <c r="AK1077" s="108">
        <f>(AW1077-Driver!$K$180)/(Driver!$L$180-Driver!$K$180)</f>
        <v/>
      </c>
      <c r="AL1077" s="108">
        <f>(AX1077-Driver!$K$181)/(Driver!$L$181-Driver!$K$181)</f>
        <v/>
      </c>
      <c r="AM1077" s="108">
        <f>(AY1077-Driver!$K$182)/(Driver!$L$182-Driver!$K$182)</f>
        <v/>
      </c>
      <c r="AN1077" s="108">
        <f>(AZ1077-Driver!$K$183)/(Driver!$L$183-Driver!$K$183)</f>
        <v/>
      </c>
      <c r="AO1077" s="108" t="n"/>
      <c r="AP1077" s="108" t="n"/>
      <c r="AQ1077" s="108">
        <f>(BC1077-Driver!$K$188)/(Driver!$L$188-Driver!$K$188)</f>
        <v/>
      </c>
      <c r="AR1077" s="108">
        <f>MIN((BD1077-Driver!$K$189)/(Driver!$L$189-Driver!$K$189),100%)</f>
        <v/>
      </c>
      <c r="AS1077" s="108">
        <f>(BE1077-Driver!$K$190)/(Driver!$L$190-Driver!$K$190)</f>
        <v/>
      </c>
      <c r="AT1077" s="108">
        <f>(BF1077-Driver!$K$191)/(Driver!$L$191-Driver!$K$191)</f>
        <v/>
      </c>
      <c r="AU1077" s="108">
        <f>(BG1077-Driver!$K$192)/(Driver!$L$192-Driver!$K$192)</f>
        <v/>
      </c>
      <c r="AV1077" s="105">
        <f>IFERROR(BM1077*BJ1077^1/4,"")</f>
        <v/>
      </c>
      <c r="AW1077" s="105">
        <f>IFERROR(SUM(AX1077:AZ1077),"")</f>
        <v/>
      </c>
      <c r="AX1077" s="105">
        <f>IFERROR(BH1077,"")</f>
        <v/>
      </c>
      <c r="AY1077" s="105">
        <f>IFERROR(Driver!$K$19/Data!BH1077/Data!BI1077*Data!BK1077*Data!BL1077,"")</f>
        <v/>
      </c>
      <c r="AZ1077" s="105">
        <f>IFERROR(BI1077*BN1077,"")</f>
        <v/>
      </c>
      <c r="BA1077" s="105" t="n"/>
      <c r="BB1077" s="105" t="n"/>
      <c r="BC1077" s="105">
        <f>IFERROR(BI1077*BN1077*BK1077/BJ1077^(1/2),"")</f>
        <v/>
      </c>
      <c r="BD1077" s="105">
        <f>IFERROR(BH1077*BM1077*BL1077/BJ1077/BK1077,"")</f>
        <v/>
      </c>
      <c r="BE1077" s="105">
        <f>IFERROR(MIN(BI1077/BQ1077/BP1077/BO1077/BH1077,$BE$1),"")</f>
        <v/>
      </c>
      <c r="BF1077" s="105">
        <f>IFERROR(BJ1077*BO1077*BP1077/BK1077,"")</f>
        <v/>
      </c>
      <c r="BG1077" s="105">
        <f>IFERROR(1/BM1077/BH1077*BQ1077,"")</f>
        <v/>
      </c>
      <c r="BH1077" s="102">
        <f>MAX((CE1077-Driver!$F$200)/(Driver!$G$200-Driver!$F$200)*$BI$1,1)</f>
        <v/>
      </c>
      <c r="BI1077" s="102">
        <f>MAX($BI$1*(BY1077-Driver!$F$201)/(Driver!$G$201-Driver!$F$201),1)</f>
        <v/>
      </c>
      <c r="BJ1077" s="102">
        <f>(CB1077-Driver!$F$206)/(Driver!$G$206-Driver!$F$206)*$BI$1</f>
        <v/>
      </c>
      <c r="BK1077" s="102">
        <f>(CD1077-Driver!$F$203)/(Driver!$G$203-Driver!$F$203)*$BI$1</f>
        <v/>
      </c>
      <c r="BL1077" s="102">
        <f>MAX((CR1077-Driver!$F$202)/(Driver!$G$202-Driver!$F$202)*$BI$1,1)</f>
        <v/>
      </c>
      <c r="BM1077" s="102">
        <f>MAX((CH1077-Driver!$F$204)/(Driver!$G$204-Driver!$F$204)*$BI$1,1)</f>
        <v/>
      </c>
      <c r="BN1077" s="102">
        <f>(CI1077-Driver!$F$205)/(Driver!$G$205-Driver!$F$205)*$BI$1</f>
        <v/>
      </c>
      <c r="BO1077" s="102">
        <f>(CK1077-Driver!$F$207)/(Driver!$G$207-Driver!$F$207)*$BI$1</f>
        <v/>
      </c>
      <c r="BP1077" s="102">
        <f>(CM1077-Driver!$F$208)/(Driver!$G$208-Driver!$F$208)*$BI$1</f>
        <v/>
      </c>
      <c r="BQ1077" s="102">
        <f>(CL1077-Driver!$F$209)/(Driver!$G$209-Driver!$F$209)*$BI$1</f>
        <v/>
      </c>
      <c r="BR1077" s="40" t="inlineStr">
        <is>
          <t>21/22</t>
        </is>
      </c>
      <c r="BS1077" s="10" t="inlineStr">
        <is>
          <t xml:space="preserve"> Line</t>
        </is>
      </c>
      <c r="BT1077" s="11" t="inlineStr">
        <is>
          <t xml:space="preserve"> Honey Badger</t>
        </is>
      </c>
      <c r="BU1077" s="13" t="n">
        <v>166</v>
      </c>
      <c r="BV1077" s="11" t="inlineStr">
        <is>
          <t xml:space="preserve"> Unisex</t>
        </is>
      </c>
      <c r="BW1077" s="13" t="n">
        <v>166</v>
      </c>
      <c r="BX1077" s="13" t="n">
        <v>165.4</v>
      </c>
      <c r="BY1077" s="13" t="n">
        <v>129</v>
      </c>
      <c r="BZ1077" s="13" t="n">
        <v>140</v>
      </c>
      <c r="CA1077" s="13" t="n">
        <v>120</v>
      </c>
      <c r="CB1077" s="13" t="n">
        <v>91</v>
      </c>
      <c r="CC1077" s="13" t="n">
        <v>117</v>
      </c>
      <c r="CD1077" s="13" t="n">
        <v>17.3</v>
      </c>
      <c r="CE1077" s="13" t="n">
        <v>1523</v>
      </c>
      <c r="CF1077" s="13" t="n">
        <v>1.09</v>
      </c>
      <c r="CG1077" s="13" t="n">
        <v>1667</v>
      </c>
      <c r="CH1077" s="13" t="n">
        <v>134</v>
      </c>
      <c r="CI1077" s="13" t="n">
        <v>51</v>
      </c>
      <c r="CJ1077" s="13" t="n">
        <v>41</v>
      </c>
      <c r="CK1077" s="13" t="n">
        <v>185</v>
      </c>
      <c r="CL1077" s="13" t="n">
        <v>42</v>
      </c>
      <c r="CM1077" s="13" t="n">
        <v>180</v>
      </c>
      <c r="CN1077" s="13" t="n">
        <v>1.011</v>
      </c>
      <c r="CO1077" s="13" t="n">
        <v>129</v>
      </c>
      <c r="CP1077" s="13" t="n">
        <v>124</v>
      </c>
      <c r="CQ1077" s="13" t="n">
        <v>56</v>
      </c>
      <c r="CR1077" s="13" t="n">
        <v>4</v>
      </c>
      <c r="CS1077" s="13" t="n">
        <v>3.3</v>
      </c>
      <c r="CT1077" s="11" t="inlineStr">
        <is>
          <t xml:space="preserve"> Freeski</t>
        </is>
      </c>
      <c r="CU1077" s="11" t="inlineStr">
        <is>
          <t xml:space="preserve"> Touring</t>
        </is>
      </c>
      <c r="CV1077" s="13" t="n"/>
      <c r="CW1077" s="13" t="n"/>
      <c r="CX1077">
        <f>INDEX('Data_Price '!AG$2:AG$1266,MATCH(Data!$DN1077,'Data_Price '!$AT$2:$AT$1266,0))</f>
        <v/>
      </c>
      <c r="CY1077">
        <f>INDEX('Data_Price '!AH$2:AH$1266,MATCH(Data!$DN1077,'Data_Price '!$AT$2:$AT$1266,0))</f>
        <v/>
      </c>
      <c r="CZ1077">
        <f>INDEX('Data_Price '!AI$2:AI$1266,MATCH(Data!$DN1077,'Data_Price '!$AT$2:$AT$1266,0))</f>
        <v/>
      </c>
      <c r="DA1077">
        <f>INDEX('Data_Price '!AJ$2:AJ$1266,MATCH(Data!$DN1077,'Data_Price '!$AT$2:$AT$1266,0))</f>
        <v/>
      </c>
      <c r="DB1077">
        <f>INDEX('Data_Price '!AK$2:AK$1266,MATCH(Data!$DN1077,'Data_Price '!$AT$2:$AT$1266,0))</f>
        <v/>
      </c>
      <c r="DC1077">
        <f>INDEX('Data_Price '!AL$2:AL$1266,MATCH(Data!$DN1077,'Data_Price '!$AT$2:$AT$1266,0))</f>
        <v/>
      </c>
      <c r="DD1077">
        <f>INDEX('Data_Price '!AM$2:AM$1266,MATCH(Data!$DN1077,'Data_Price '!$AT$2:$AT$1266,0))</f>
        <v/>
      </c>
      <c r="DE1077">
        <f>INDEX('Data_Price '!AN$2:AN$1266,MATCH(Data!$DN1077,'Data_Price '!$AT$2:$AT$1266,0))</f>
        <v/>
      </c>
      <c r="DF1077">
        <f>INDEX('Data_Price '!AO$2:AO$1266,MATCH(Data!$DN1077,'Data_Price '!$AT$2:$AT$1266,0))</f>
        <v/>
      </c>
      <c r="DG1077">
        <f>INDEX('Data_Price '!AP$2:AP$1266,MATCH(Data!$DN1077,'Data_Price '!$AT$2:$AT$1266,0))</f>
        <v/>
      </c>
      <c r="DH1077">
        <f>INDEX('Data_Price '!AQ$2:AQ$1266,MATCH(Data!$DN1077,'Data_Price '!$AT$2:$AT$1266,0))</f>
        <v/>
      </c>
      <c r="DI1077">
        <f>INDEX('Data_Price '!AR$2:AR$1266,MATCH(Data!$DN1077,'Data_Price '!$AT$2:$AT$1266,0))</f>
        <v/>
      </c>
      <c r="DJ1077" s="138">
        <f>DA1077</f>
        <v/>
      </c>
      <c r="DK1077" s="138">
        <f>DE1077</f>
        <v/>
      </c>
      <c r="DL1077" s="138">
        <f>DI1077</f>
        <v/>
      </c>
      <c r="DM1077" s="303">
        <f>IF(LEFT(BT1077,1)=" ",RIGHT(BT1077,LEN(BT1077)-1),BT1077)</f>
        <v/>
      </c>
      <c r="DN1077" s="138">
        <f>_xlfn.CONCAT(BS1077,DM1077,BU1077,BV1077)</f>
        <v/>
      </c>
      <c r="DO1077" s="307" t="inlineStr">
        <is>
          <t>https://images.evo.com/imgp/250/198441/817647/clone.jpg</t>
        </is>
      </c>
    </row>
    <row r="1078" ht="15.6" customHeight="1" s="184">
      <c r="B1078" s="303">
        <f t="array" ref="B1078">IF(OR(ISERROR(K1078:P1078)),FALSE,TRUE)</f>
        <v/>
      </c>
      <c r="C1078" s="60">
        <f>OR(BR1078=Driver!$G$50,Data!BR572=Driver!$H$50)</f>
        <v/>
      </c>
      <c r="D1078" s="60">
        <f>OR(BV1078=Driver!$G$51,BV1078=Driver!$H$51)</f>
        <v/>
      </c>
      <c r="E1078" s="60">
        <f>AND(BX1078&gt;Driver!$F$54,BX1078&lt;Driver!$G$54)</f>
        <v/>
      </c>
      <c r="F1078" s="60">
        <f>CL1078&gt;Driver!$F$56</f>
        <v/>
      </c>
      <c r="G1078" s="60">
        <f>AND(CB1078&gt;Driver!$F$55,CB1078&lt;Driver!$G$55)</f>
        <v/>
      </c>
      <c r="H1078" s="60">
        <f>AND(B1078:G1078)</f>
        <v/>
      </c>
      <c r="I1078" s="60">
        <f>COUNTIFS($H$9:$H$1273,TRUE,$BT$9:$BT$1273,BT1078)</f>
        <v/>
      </c>
      <c r="J1078" s="60">
        <f t="array" ref="J1078">NOT(OR(($H$9:$H$1273=TRUE)*($I$9:$I$1273&gt;0)*($BT$9:$BT$1273=BT1078)*($K$9:$K$1273&gt;K1078)))</f>
        <v/>
      </c>
      <c r="K1078" s="108">
        <f>IFERROR(1-AVERAGE(X1078:Y1078),"")</f>
        <v/>
      </c>
      <c r="L1078" s="108">
        <f>1-X1078</f>
        <v/>
      </c>
      <c r="M1078" s="108">
        <f>1-Y1078</f>
        <v/>
      </c>
      <c r="N1078" s="108">
        <f>1-Z1078</f>
        <v/>
      </c>
      <c r="O1078" s="108">
        <f>1-AA1078</f>
        <v/>
      </c>
      <c r="P1078" s="108">
        <f>1-AB1078</f>
        <v/>
      </c>
      <c r="Q1078" s="108" t="n"/>
      <c r="R1078" s="108" t="n"/>
      <c r="S1078" s="108">
        <f>1-AE1078</f>
        <v/>
      </c>
      <c r="T1078" s="108">
        <f>1-AF1078</f>
        <v/>
      </c>
      <c r="U1078" s="108">
        <f>1-AG1078</f>
        <v/>
      </c>
      <c r="V1078" s="108">
        <f>1-AH1078</f>
        <v/>
      </c>
      <c r="W1078" s="108">
        <f>1-AI1078</f>
        <v/>
      </c>
      <c r="X1078" s="108">
        <f>ABS(AJ1078-AJ$1)</f>
        <v/>
      </c>
      <c r="Y1078" s="108">
        <f>AVERAGE(Z1078:AB1078)</f>
        <v/>
      </c>
      <c r="Z1078" s="108">
        <f>ABS(AL1078-AL$1)</f>
        <v/>
      </c>
      <c r="AA1078" s="108">
        <f>ABS(AM1078-AM$1)</f>
        <v/>
      </c>
      <c r="AB1078" s="108">
        <f>ABS(AN1078-AN$1)</f>
        <v/>
      </c>
      <c r="AC1078" s="108" t="n"/>
      <c r="AD1078" s="108" t="n"/>
      <c r="AE1078" s="108">
        <f>ABS(AQ$1-AQ1078)</f>
        <v/>
      </c>
      <c r="AF1078" s="108">
        <f>ABS(AR$1-AR1078)</f>
        <v/>
      </c>
      <c r="AG1078" s="108">
        <f>ABS(AS$1-AS1078)</f>
        <v/>
      </c>
      <c r="AH1078" s="108">
        <f>ABS(AT$1-AT1078)</f>
        <v/>
      </c>
      <c r="AI1078" s="108">
        <f>ABS(AU$1-AU1078)</f>
        <v/>
      </c>
      <c r="AJ1078" s="108">
        <f>(AV1078-Driver!$K$179)/(Driver!$L$179-Driver!$K$179)</f>
        <v/>
      </c>
      <c r="AK1078" s="108">
        <f>(AW1078-Driver!$K$180)/(Driver!$L$180-Driver!$K$180)</f>
        <v/>
      </c>
      <c r="AL1078" s="108">
        <f>(AX1078-Driver!$K$181)/(Driver!$L$181-Driver!$K$181)</f>
        <v/>
      </c>
      <c r="AM1078" s="108">
        <f>(AY1078-Driver!$K$182)/(Driver!$L$182-Driver!$K$182)</f>
        <v/>
      </c>
      <c r="AN1078" s="108">
        <f>(AZ1078-Driver!$K$183)/(Driver!$L$183-Driver!$K$183)</f>
        <v/>
      </c>
      <c r="AO1078" s="108" t="n"/>
      <c r="AP1078" s="108" t="n"/>
      <c r="AQ1078" s="108">
        <f>(BC1078-Driver!$K$188)/(Driver!$L$188-Driver!$K$188)</f>
        <v/>
      </c>
      <c r="AR1078" s="108">
        <f>MIN((BD1078-Driver!$K$189)/(Driver!$L$189-Driver!$K$189),100%)</f>
        <v/>
      </c>
      <c r="AS1078" s="108">
        <f>(BE1078-Driver!$K$190)/(Driver!$L$190-Driver!$K$190)</f>
        <v/>
      </c>
      <c r="AT1078" s="108">
        <f>(BF1078-Driver!$K$191)/(Driver!$L$191-Driver!$K$191)</f>
        <v/>
      </c>
      <c r="AU1078" s="108">
        <f>(BG1078-Driver!$K$192)/(Driver!$L$192-Driver!$K$192)</f>
        <v/>
      </c>
      <c r="AV1078" s="105">
        <f>IFERROR(BM1078*BJ1078^1/4,"")</f>
        <v/>
      </c>
      <c r="AW1078" s="105">
        <f>IFERROR(SUM(AX1078:AZ1078),"")</f>
        <v/>
      </c>
      <c r="AX1078" s="105">
        <f>IFERROR(BH1078,"")</f>
        <v/>
      </c>
      <c r="AY1078" s="105">
        <f>IFERROR(Driver!$K$19/Data!BH1078/Data!BI1078*Data!BK1078*Data!BL1078,"")</f>
        <v/>
      </c>
      <c r="AZ1078" s="105">
        <f>IFERROR(BI1078*BN1078,"")</f>
        <v/>
      </c>
      <c r="BA1078" s="105" t="n"/>
      <c r="BB1078" s="105" t="n"/>
      <c r="BC1078" s="105">
        <f>IFERROR(BI1078*BN1078*BK1078/BJ1078^(1/2),"")</f>
        <v/>
      </c>
      <c r="BD1078" s="105">
        <f>IFERROR(BH1078*BM1078*BL1078/BJ1078/BK1078,"")</f>
        <v/>
      </c>
      <c r="BE1078" s="105">
        <f>IFERROR(MIN(BI1078/BQ1078/BP1078/BO1078/BH1078,$BE$1),"")</f>
        <v/>
      </c>
      <c r="BF1078" s="105">
        <f>IFERROR(BJ1078*BO1078*BP1078/BK1078,"")</f>
        <v/>
      </c>
      <c r="BG1078" s="105">
        <f>IFERROR(1/BM1078/BH1078*BQ1078,"")</f>
        <v/>
      </c>
      <c r="BH1078" s="102">
        <f>MAX((CE1078-Driver!$F$200)/(Driver!$G$200-Driver!$F$200)*$BI$1,1)</f>
        <v/>
      </c>
      <c r="BI1078" s="102">
        <f>MAX($BI$1*(BY1078-Driver!$F$201)/(Driver!$G$201-Driver!$F$201),1)</f>
        <v/>
      </c>
      <c r="BJ1078" s="102">
        <f>(CB1078-Driver!$F$206)/(Driver!$G$206-Driver!$F$206)*$BI$1</f>
        <v/>
      </c>
      <c r="BK1078" s="102">
        <f>(CD1078-Driver!$F$203)/(Driver!$G$203-Driver!$F$203)*$BI$1</f>
        <v/>
      </c>
      <c r="BL1078" s="102">
        <f>MAX((CR1078-Driver!$F$202)/(Driver!$G$202-Driver!$F$202)*$BI$1,1)</f>
        <v/>
      </c>
      <c r="BM1078" s="102">
        <f>MAX((CH1078-Driver!$F$204)/(Driver!$G$204-Driver!$F$204)*$BI$1,1)</f>
        <v/>
      </c>
      <c r="BN1078" s="102">
        <f>(CI1078-Driver!$F$205)/(Driver!$G$205-Driver!$F$205)*$BI$1</f>
        <v/>
      </c>
      <c r="BO1078" s="102">
        <f>(CK1078-Driver!$F$207)/(Driver!$G$207-Driver!$F$207)*$BI$1</f>
        <v/>
      </c>
      <c r="BP1078" s="102">
        <f>(CM1078-Driver!$F$208)/(Driver!$G$208-Driver!$F$208)*$BI$1</f>
        <v/>
      </c>
      <c r="BQ1078" s="102">
        <f>(CL1078-Driver!$F$209)/(Driver!$G$209-Driver!$F$209)*$BI$1</f>
        <v/>
      </c>
      <c r="BR1078" s="40" t="inlineStr">
        <is>
          <t>21/22</t>
        </is>
      </c>
      <c r="BS1078" s="10" t="inlineStr">
        <is>
          <t xml:space="preserve"> Fischer</t>
        </is>
      </c>
      <c r="BT1078" s="11" t="inlineStr">
        <is>
          <t>Ranger 115 FR Big Stix</t>
        </is>
      </c>
      <c r="BU1078" s="13" t="n">
        <v>196</v>
      </c>
      <c r="BV1078" s="11" t="inlineStr">
        <is>
          <t xml:space="preserve"> Unisex</t>
        </is>
      </c>
      <c r="BW1078" s="13" t="n">
        <v>196</v>
      </c>
      <c r="BX1078" s="13" t="n">
        <v>195.1</v>
      </c>
      <c r="BY1078" s="13" t="n">
        <v>136</v>
      </c>
      <c r="BZ1078" s="13" t="n">
        <v>159</v>
      </c>
      <c r="CA1078" s="13" t="n">
        <v>146</v>
      </c>
      <c r="CB1078" s="13" t="n">
        <v>116</v>
      </c>
      <c r="CC1078" s="13" t="n">
        <v>136</v>
      </c>
      <c r="CD1078" s="13" t="n">
        <v>21.7</v>
      </c>
      <c r="CE1078" s="13" t="n">
        <v>2307</v>
      </c>
      <c r="CF1078" s="13" t="n">
        <v>1.07</v>
      </c>
      <c r="CG1078" s="13" t="n">
        <v>2465</v>
      </c>
      <c r="CH1078" s="13" t="n">
        <v>240</v>
      </c>
      <c r="CI1078" s="13" t="n">
        <v>114</v>
      </c>
      <c r="CJ1078" s="13" t="n">
        <v>51</v>
      </c>
      <c r="CK1078" s="13" t="n">
        <v>361</v>
      </c>
      <c r="CL1078" s="13" t="n">
        <v>38</v>
      </c>
      <c r="CM1078" s="13" t="n">
        <v>227</v>
      </c>
      <c r="CN1078" s="13" t="n">
        <v>0.757</v>
      </c>
      <c r="CO1078" s="13" t="n">
        <v>176</v>
      </c>
      <c r="CP1078" s="13" t="n">
        <v>184</v>
      </c>
      <c r="CQ1078" s="13" t="n">
        <v>185</v>
      </c>
      <c r="CR1078" s="13" t="n">
        <v>10</v>
      </c>
      <c r="CS1078" s="13" t="n">
        <v>8.699999999999999</v>
      </c>
      <c r="CT1078" s="11" t="inlineStr">
        <is>
          <t xml:space="preserve"> Powder</t>
        </is>
      </c>
      <c r="CU1078" s="11" t="inlineStr">
        <is>
          <t xml:space="preserve"> Touring</t>
        </is>
      </c>
      <c r="CV1078" s="13" t="n"/>
      <c r="CW1078" s="13" t="n"/>
      <c r="CX1078">
        <f>INDEX('Data_Price '!AG$2:AG$1266,MATCH(Data!$DN1078,'Data_Price '!$AT$2:$AT$1266,0))</f>
        <v/>
      </c>
      <c r="CY1078">
        <f>INDEX('Data_Price '!AH$2:AH$1266,MATCH(Data!$DN1078,'Data_Price '!$AT$2:$AT$1266,0))</f>
        <v/>
      </c>
      <c r="CZ1078">
        <f>INDEX('Data_Price '!AI$2:AI$1266,MATCH(Data!$DN1078,'Data_Price '!$AT$2:$AT$1266,0))</f>
        <v/>
      </c>
      <c r="DA1078">
        <f>INDEX('Data_Price '!AJ$2:AJ$1266,MATCH(Data!$DN1078,'Data_Price '!$AT$2:$AT$1266,0))</f>
        <v/>
      </c>
      <c r="DB1078">
        <f>INDEX('Data_Price '!AK$2:AK$1266,MATCH(Data!$DN1078,'Data_Price '!$AT$2:$AT$1266,0))</f>
        <v/>
      </c>
      <c r="DC1078">
        <f>INDEX('Data_Price '!AL$2:AL$1266,MATCH(Data!$DN1078,'Data_Price '!$AT$2:$AT$1266,0))</f>
        <v/>
      </c>
      <c r="DD1078">
        <f>INDEX('Data_Price '!AM$2:AM$1266,MATCH(Data!$DN1078,'Data_Price '!$AT$2:$AT$1266,0))</f>
        <v/>
      </c>
      <c r="DE1078">
        <f>INDEX('Data_Price '!AN$2:AN$1266,MATCH(Data!$DN1078,'Data_Price '!$AT$2:$AT$1266,0))</f>
        <v/>
      </c>
      <c r="DF1078">
        <f>INDEX('Data_Price '!AO$2:AO$1266,MATCH(Data!$DN1078,'Data_Price '!$AT$2:$AT$1266,0))</f>
        <v/>
      </c>
      <c r="DG1078">
        <f>INDEX('Data_Price '!AP$2:AP$1266,MATCH(Data!$DN1078,'Data_Price '!$AT$2:$AT$1266,0))</f>
        <v/>
      </c>
      <c r="DH1078">
        <f>INDEX('Data_Price '!AQ$2:AQ$1266,MATCH(Data!$DN1078,'Data_Price '!$AT$2:$AT$1266,0))</f>
        <v/>
      </c>
      <c r="DI1078">
        <f>INDEX('Data_Price '!AR$2:AR$1266,MATCH(Data!$DN1078,'Data_Price '!$AT$2:$AT$1266,0))</f>
        <v/>
      </c>
      <c r="DJ1078" s="138">
        <f>DA1078</f>
        <v/>
      </c>
      <c r="DK1078" s="138">
        <f>DE1078</f>
        <v/>
      </c>
      <c r="DL1078" s="138">
        <f>DI1078</f>
        <v/>
      </c>
      <c r="DM1078" s="303">
        <f>IF(LEFT(BT1078,1)=" ",RIGHT(BT1078,LEN(BT1078)-1),BT1078)</f>
        <v/>
      </c>
      <c r="DN1078" s="138">
        <f>_xlfn.CONCAT(BS1078,DM1078,BU1078,BV1078)</f>
        <v/>
      </c>
      <c r="DO1078" s="307" t="n"/>
    </row>
    <row r="1079" ht="15.6" customHeight="1" s="184">
      <c r="B1079" s="303">
        <f t="array" ref="B1079">IF(OR(ISERROR(K1079:P1079)),FALSE,TRUE)</f>
        <v/>
      </c>
      <c r="C1079" s="60">
        <f>OR(BR1079=Driver!$G$50,Data!BR142=Driver!$H$50)</f>
        <v/>
      </c>
      <c r="D1079" s="60">
        <f>OR(BV1079=Driver!$G$51,BV1079=Driver!$H$51)</f>
        <v/>
      </c>
      <c r="E1079" s="60">
        <f>AND(BX1079&gt;Driver!$F$54,BX1079&lt;Driver!$G$54)</f>
        <v/>
      </c>
      <c r="F1079" s="60">
        <f>CL1079&gt;Driver!$F$56</f>
        <v/>
      </c>
      <c r="G1079" s="60">
        <f>AND(CB1079&gt;Driver!$F$55,CB1079&lt;Driver!$G$55)</f>
        <v/>
      </c>
      <c r="H1079" s="60">
        <f>AND(B1079:G1079)</f>
        <v/>
      </c>
      <c r="I1079" s="60">
        <f>COUNTIFS($H$9:$H$1273,TRUE,$BT$9:$BT$1273,BT1079)</f>
        <v/>
      </c>
      <c r="J1079" s="60">
        <f t="array" ref="J1079">NOT(OR(($H$9:$H$1273=TRUE)*($I$9:$I$1273&gt;0)*($BT$9:$BT$1273=BT1079)*($K$9:$K$1273&gt;K1079)))</f>
        <v/>
      </c>
      <c r="K1079" s="108">
        <f>IFERROR(1-AVERAGE(X1079:Y1079),"")</f>
        <v/>
      </c>
      <c r="L1079" s="108">
        <f>1-X1079</f>
        <v/>
      </c>
      <c r="M1079" s="108">
        <f>1-Y1079</f>
        <v/>
      </c>
      <c r="N1079" s="108">
        <f>1-Z1079</f>
        <v/>
      </c>
      <c r="O1079" s="108">
        <f>1-AA1079</f>
        <v/>
      </c>
      <c r="P1079" s="108">
        <f>1-AB1079</f>
        <v/>
      </c>
      <c r="Q1079" s="108" t="n"/>
      <c r="R1079" s="108" t="n"/>
      <c r="S1079" s="108">
        <f>1-AE1079</f>
        <v/>
      </c>
      <c r="T1079" s="108">
        <f>1-AF1079</f>
        <v/>
      </c>
      <c r="U1079" s="108">
        <f>1-AG1079</f>
        <v/>
      </c>
      <c r="V1079" s="108">
        <f>1-AH1079</f>
        <v/>
      </c>
      <c r="W1079" s="108">
        <f>1-AI1079</f>
        <v/>
      </c>
      <c r="X1079" s="108">
        <f>ABS(AJ1079-AJ$1)</f>
        <v/>
      </c>
      <c r="Y1079" s="108">
        <f>AVERAGE(Z1079:AB1079)</f>
        <v/>
      </c>
      <c r="Z1079" s="108">
        <f>ABS(AL1079-AL$1)</f>
        <v/>
      </c>
      <c r="AA1079" s="108">
        <f>ABS(AM1079-AM$1)</f>
        <v/>
      </c>
      <c r="AB1079" s="108">
        <f>ABS(AN1079-AN$1)</f>
        <v/>
      </c>
      <c r="AC1079" s="108" t="n"/>
      <c r="AD1079" s="108" t="n"/>
      <c r="AE1079" s="108">
        <f>ABS(AQ$1-AQ1079)</f>
        <v/>
      </c>
      <c r="AF1079" s="108">
        <f>ABS(AR$1-AR1079)</f>
        <v/>
      </c>
      <c r="AG1079" s="108">
        <f>ABS(AS$1-AS1079)</f>
        <v/>
      </c>
      <c r="AH1079" s="108">
        <f>ABS(AT$1-AT1079)</f>
        <v/>
      </c>
      <c r="AI1079" s="108">
        <f>ABS(AU$1-AU1079)</f>
        <v/>
      </c>
      <c r="AJ1079" s="108">
        <f>(AV1079-Driver!$K$179)/(Driver!$L$179-Driver!$K$179)</f>
        <v/>
      </c>
      <c r="AK1079" s="108">
        <f>(AW1079-Driver!$K$180)/(Driver!$L$180-Driver!$K$180)</f>
        <v/>
      </c>
      <c r="AL1079" s="108">
        <f>(AX1079-Driver!$K$181)/(Driver!$L$181-Driver!$K$181)</f>
        <v/>
      </c>
      <c r="AM1079" s="108">
        <f>(AY1079-Driver!$K$182)/(Driver!$L$182-Driver!$K$182)</f>
        <v/>
      </c>
      <c r="AN1079" s="108">
        <f>(AZ1079-Driver!$K$183)/(Driver!$L$183-Driver!$K$183)</f>
        <v/>
      </c>
      <c r="AO1079" s="108" t="n"/>
      <c r="AP1079" s="108" t="n"/>
      <c r="AQ1079" s="108">
        <f>(BC1079-Driver!$K$188)/(Driver!$L$188-Driver!$K$188)</f>
        <v/>
      </c>
      <c r="AR1079" s="108">
        <f>MIN((BD1079-Driver!$K$189)/(Driver!$L$189-Driver!$K$189),100%)</f>
        <v/>
      </c>
      <c r="AS1079" s="108">
        <f>(BE1079-Driver!$K$190)/(Driver!$L$190-Driver!$K$190)</f>
        <v/>
      </c>
      <c r="AT1079" s="108">
        <f>(BF1079-Driver!$K$191)/(Driver!$L$191-Driver!$K$191)</f>
        <v/>
      </c>
      <c r="AU1079" s="108">
        <f>(BG1079-Driver!$K$192)/(Driver!$L$192-Driver!$K$192)</f>
        <v/>
      </c>
      <c r="AV1079" s="105">
        <f>IFERROR(BM1079*BJ1079^1/4,"")</f>
        <v/>
      </c>
      <c r="AW1079" s="105">
        <f>IFERROR(SUM(AX1079:AZ1079),"")</f>
        <v/>
      </c>
      <c r="AX1079" s="105">
        <f>IFERROR(BH1079,"")</f>
        <v/>
      </c>
      <c r="AY1079" s="105">
        <f>IFERROR(Driver!$K$19/Data!BH1079/Data!BI1079*Data!BK1079*Data!BL1079,"")</f>
        <v/>
      </c>
      <c r="AZ1079" s="105">
        <f>IFERROR(BI1079*BN1079,"")</f>
        <v/>
      </c>
      <c r="BA1079" s="105" t="n"/>
      <c r="BB1079" s="105" t="n"/>
      <c r="BC1079" s="105">
        <f>IFERROR(BI1079*BN1079*BK1079/BJ1079^(1/2),"")</f>
        <v/>
      </c>
      <c r="BD1079" s="105">
        <f>IFERROR(BH1079*BM1079*BL1079/BJ1079/BK1079,"")</f>
        <v/>
      </c>
      <c r="BE1079" s="105">
        <f>IFERROR(MIN(BI1079/BQ1079/BP1079/BO1079/BH1079,$BE$1),"")</f>
        <v/>
      </c>
      <c r="BF1079" s="105">
        <f>IFERROR(BJ1079*BO1079*BP1079/BK1079,"")</f>
        <v/>
      </c>
      <c r="BG1079" s="105">
        <f>IFERROR(1/BM1079/BH1079*BQ1079,"")</f>
        <v/>
      </c>
      <c r="BH1079" s="102">
        <f>MAX((CE1079-Driver!$F$200)/(Driver!$G$200-Driver!$F$200)*$BI$1,1)</f>
        <v/>
      </c>
      <c r="BI1079" s="102">
        <f>MAX($BI$1*(BY1079-Driver!$F$201)/(Driver!$G$201-Driver!$F$201),1)</f>
        <v/>
      </c>
      <c r="BJ1079" s="102">
        <f>(CB1079-Driver!$F$206)/(Driver!$G$206-Driver!$F$206)*$BI$1</f>
        <v/>
      </c>
      <c r="BK1079" s="102">
        <f>(CD1079-Driver!$F$203)/(Driver!$G$203-Driver!$F$203)*$BI$1</f>
        <v/>
      </c>
      <c r="BL1079" s="102">
        <f>MAX((CR1079-Driver!$F$202)/(Driver!$G$202-Driver!$F$202)*$BI$1,1)</f>
        <v/>
      </c>
      <c r="BM1079" s="102">
        <f>MAX((CH1079-Driver!$F$204)/(Driver!$G$204-Driver!$F$204)*$BI$1,1)</f>
        <v/>
      </c>
      <c r="BN1079" s="102">
        <f>(CI1079-Driver!$F$205)/(Driver!$G$205-Driver!$F$205)*$BI$1</f>
        <v/>
      </c>
      <c r="BO1079" s="102">
        <f>(CK1079-Driver!$F$207)/(Driver!$G$207-Driver!$F$207)*$BI$1</f>
        <v/>
      </c>
      <c r="BP1079" s="102">
        <f>(CM1079-Driver!$F$208)/(Driver!$G$208-Driver!$F$208)*$BI$1</f>
        <v/>
      </c>
      <c r="BQ1079" s="102">
        <f>(CL1079-Driver!$F$209)/(Driver!$G$209-Driver!$F$209)*$BI$1</f>
        <v/>
      </c>
      <c r="BR1079" s="40" t="inlineStr">
        <is>
          <t>21/22</t>
        </is>
      </c>
      <c r="BS1079" s="10" t="inlineStr">
        <is>
          <t xml:space="preserve"> Atomic</t>
        </is>
      </c>
      <c r="BT1079" s="11" t="inlineStr">
        <is>
          <t>Cloud C12 Servo</t>
        </is>
      </c>
      <c r="BU1079" s="13" t="n">
        <v>154</v>
      </c>
      <c r="BV1079" s="11" t="inlineStr">
        <is>
          <t xml:space="preserve"> Women's</t>
        </is>
      </c>
      <c r="BW1079" s="13" t="n">
        <v>154</v>
      </c>
      <c r="BX1079" s="13" t="n">
        <v>153.6</v>
      </c>
      <c r="BY1079" s="13" t="n">
        <v>134</v>
      </c>
      <c r="BZ1079" s="13" t="n">
        <v>140</v>
      </c>
      <c r="CA1079" s="13" t="n">
        <v>109</v>
      </c>
      <c r="CB1079" s="13" t="n">
        <v>69</v>
      </c>
      <c r="CC1079" s="13" t="n">
        <v>97</v>
      </c>
      <c r="CD1079" s="13" t="n">
        <v>13.8</v>
      </c>
      <c r="CE1079" s="13" t="n">
        <v>1767</v>
      </c>
      <c r="CF1079" s="13" t="n">
        <v>0.71</v>
      </c>
      <c r="CG1079" s="13" t="n">
        <v>1256</v>
      </c>
      <c r="CH1079" s="13" t="n">
        <v>158</v>
      </c>
      <c r="CI1079" s="13" t="n">
        <v>52</v>
      </c>
      <c r="CJ1079" s="13" t="n">
        <v>37</v>
      </c>
      <c r="CK1079" s="13" t="n">
        <v>143</v>
      </c>
      <c r="CL1079" s="13" t="n">
        <v>5</v>
      </c>
      <c r="CM1079" s="13" t="n">
        <v>56</v>
      </c>
      <c r="CN1079" s="13" t="n">
        <v>0.123</v>
      </c>
      <c r="CO1079" s="13" t="n">
        <v>84</v>
      </c>
      <c r="CP1079" s="13" t="n">
        <v>53</v>
      </c>
      <c r="CQ1079" s="13" t="n">
        <v>59</v>
      </c>
      <c r="CR1079" s="13" t="n">
        <v>6</v>
      </c>
      <c r="CS1079" s="13" t="n">
        <v>12.4</v>
      </c>
      <c r="CT1079" s="11" t="inlineStr">
        <is>
          <t xml:space="preserve"> On-Piste Carving</t>
        </is>
      </c>
      <c r="CU1079" s="13" t="n"/>
      <c r="CV1079" s="13" t="n"/>
      <c r="CW1079" s="13" t="n"/>
      <c r="CX1079">
        <f>INDEX('Data_Price '!AG$2:AG$1266,MATCH(Data!$DN1079,'Data_Price '!$AT$2:$AT$1266,0))</f>
        <v/>
      </c>
      <c r="CY1079">
        <f>INDEX('Data_Price '!AH$2:AH$1266,MATCH(Data!$DN1079,'Data_Price '!$AT$2:$AT$1266,0))</f>
        <v/>
      </c>
      <c r="CZ1079">
        <f>INDEX('Data_Price '!AI$2:AI$1266,MATCH(Data!$DN1079,'Data_Price '!$AT$2:$AT$1266,0))</f>
        <v/>
      </c>
      <c r="DA1079">
        <f>INDEX('Data_Price '!AJ$2:AJ$1266,MATCH(Data!$DN1079,'Data_Price '!$AT$2:$AT$1266,0))</f>
        <v/>
      </c>
      <c r="DB1079">
        <f>INDEX('Data_Price '!AK$2:AK$1266,MATCH(Data!$DN1079,'Data_Price '!$AT$2:$AT$1266,0))</f>
        <v/>
      </c>
      <c r="DC1079">
        <f>INDEX('Data_Price '!AL$2:AL$1266,MATCH(Data!$DN1079,'Data_Price '!$AT$2:$AT$1266,0))</f>
        <v/>
      </c>
      <c r="DD1079">
        <f>INDEX('Data_Price '!AM$2:AM$1266,MATCH(Data!$DN1079,'Data_Price '!$AT$2:$AT$1266,0))</f>
        <v/>
      </c>
      <c r="DE1079">
        <f>INDEX('Data_Price '!AN$2:AN$1266,MATCH(Data!$DN1079,'Data_Price '!$AT$2:$AT$1266,0))</f>
        <v/>
      </c>
      <c r="DF1079">
        <f>INDEX('Data_Price '!AO$2:AO$1266,MATCH(Data!$DN1079,'Data_Price '!$AT$2:$AT$1266,0))</f>
        <v/>
      </c>
      <c r="DG1079">
        <f>INDEX('Data_Price '!AP$2:AP$1266,MATCH(Data!$DN1079,'Data_Price '!$AT$2:$AT$1266,0))</f>
        <v/>
      </c>
      <c r="DH1079">
        <f>INDEX('Data_Price '!AQ$2:AQ$1266,MATCH(Data!$DN1079,'Data_Price '!$AT$2:$AT$1266,0))</f>
        <v/>
      </c>
      <c r="DI1079">
        <f>INDEX('Data_Price '!AR$2:AR$1266,MATCH(Data!$DN1079,'Data_Price '!$AT$2:$AT$1266,0))</f>
        <v/>
      </c>
      <c r="DJ1079" s="138">
        <f>DA1079</f>
        <v/>
      </c>
      <c r="DK1079" s="138">
        <f>DE1079</f>
        <v/>
      </c>
      <c r="DL1079" s="138">
        <f>DI1079</f>
        <v/>
      </c>
      <c r="DM1079" s="303">
        <f>IF(LEFT(BT1079,1)=" ",RIGHT(BT1079,LEN(BT1079)-1),BT1079)</f>
        <v/>
      </c>
      <c r="DN1079" s="138">
        <f>_xlfn.CONCAT(BS1079,DM1079,BU1079,BV1079)</f>
        <v/>
      </c>
      <c r="DO1079" s="307" t="n"/>
    </row>
    <row r="1080" ht="15.6" customHeight="1" s="184">
      <c r="B1080" s="303">
        <f t="array" ref="B1080">IF(OR(ISERROR(K1080:P1080)),FALSE,TRUE)</f>
        <v/>
      </c>
      <c r="C1080" s="60">
        <f>OR(BR1080=Driver!$G$50,Data!BR429=Driver!$H$50)</f>
        <v/>
      </c>
      <c r="D1080" s="60">
        <f>OR(BV1080=Driver!$G$51,BV1080=Driver!$H$51)</f>
        <v/>
      </c>
      <c r="E1080" s="60">
        <f>AND(BX1080&gt;Driver!$F$54,BX1080&lt;Driver!$G$54)</f>
        <v/>
      </c>
      <c r="F1080" s="60">
        <f>CL1080&gt;Driver!$F$56</f>
        <v/>
      </c>
      <c r="G1080" s="60">
        <f>AND(CB1080&gt;Driver!$F$55,CB1080&lt;Driver!$G$55)</f>
        <v/>
      </c>
      <c r="H1080" s="60">
        <f>AND(B1080:G1080)</f>
        <v/>
      </c>
      <c r="I1080" s="60">
        <f>COUNTIFS($H$9:$H$1273,TRUE,$BT$9:$BT$1273,BT1080)</f>
        <v/>
      </c>
      <c r="J1080" s="60">
        <f t="array" ref="J1080">NOT(OR(($H$9:$H$1273=TRUE)*($I$9:$I$1273&gt;0)*($BT$9:$BT$1273=BT1080)*($K$9:$K$1273&gt;K1080)))</f>
        <v/>
      </c>
      <c r="K1080" s="108">
        <f>IFERROR(1-AVERAGE(X1080:Y1080),"")</f>
        <v/>
      </c>
      <c r="L1080" s="108">
        <f>1-X1080</f>
        <v/>
      </c>
      <c r="M1080" s="108">
        <f>1-Y1080</f>
        <v/>
      </c>
      <c r="N1080" s="108">
        <f>1-Z1080</f>
        <v/>
      </c>
      <c r="O1080" s="108">
        <f>1-AA1080</f>
        <v/>
      </c>
      <c r="P1080" s="108">
        <f>1-AB1080</f>
        <v/>
      </c>
      <c r="Q1080" s="108" t="n"/>
      <c r="R1080" s="108" t="n"/>
      <c r="S1080" s="108">
        <f>1-AE1080</f>
        <v/>
      </c>
      <c r="T1080" s="108">
        <f>1-AF1080</f>
        <v/>
      </c>
      <c r="U1080" s="108">
        <f>1-AG1080</f>
        <v/>
      </c>
      <c r="V1080" s="108">
        <f>1-AH1080</f>
        <v/>
      </c>
      <c r="W1080" s="108">
        <f>1-AI1080</f>
        <v/>
      </c>
      <c r="X1080" s="108">
        <f>ABS(AJ1080-AJ$1)</f>
        <v/>
      </c>
      <c r="Y1080" s="108">
        <f>AVERAGE(Z1080:AB1080)</f>
        <v/>
      </c>
      <c r="Z1080" s="108">
        <f>ABS(AL1080-AL$1)</f>
        <v/>
      </c>
      <c r="AA1080" s="108">
        <f>ABS(AM1080-AM$1)</f>
        <v/>
      </c>
      <c r="AB1080" s="108">
        <f>ABS(AN1080-AN$1)</f>
        <v/>
      </c>
      <c r="AC1080" s="108" t="n"/>
      <c r="AD1080" s="108" t="n"/>
      <c r="AE1080" s="108">
        <f>ABS(AQ$1-AQ1080)</f>
        <v/>
      </c>
      <c r="AF1080" s="108">
        <f>ABS(AR$1-AR1080)</f>
        <v/>
      </c>
      <c r="AG1080" s="108">
        <f>ABS(AS$1-AS1080)</f>
        <v/>
      </c>
      <c r="AH1080" s="108">
        <f>ABS(AT$1-AT1080)</f>
        <v/>
      </c>
      <c r="AI1080" s="108">
        <f>ABS(AU$1-AU1080)</f>
        <v/>
      </c>
      <c r="AJ1080" s="108">
        <f>(AV1080-Driver!$K$179)/(Driver!$L$179-Driver!$K$179)</f>
        <v/>
      </c>
      <c r="AK1080" s="108">
        <f>(AW1080-Driver!$K$180)/(Driver!$L$180-Driver!$K$180)</f>
        <v/>
      </c>
      <c r="AL1080" s="108">
        <f>(AX1080-Driver!$K$181)/(Driver!$L$181-Driver!$K$181)</f>
        <v/>
      </c>
      <c r="AM1080" s="108">
        <f>(AY1080-Driver!$K$182)/(Driver!$L$182-Driver!$K$182)</f>
        <v/>
      </c>
      <c r="AN1080" s="108">
        <f>(AZ1080-Driver!$K$183)/(Driver!$L$183-Driver!$K$183)</f>
        <v/>
      </c>
      <c r="AO1080" s="108" t="n"/>
      <c r="AP1080" s="108" t="n"/>
      <c r="AQ1080" s="108">
        <f>(BC1080-Driver!$K$188)/(Driver!$L$188-Driver!$K$188)</f>
        <v/>
      </c>
      <c r="AR1080" s="108">
        <f>MIN((BD1080-Driver!$K$189)/(Driver!$L$189-Driver!$K$189),100%)</f>
        <v/>
      </c>
      <c r="AS1080" s="108">
        <f>(BE1080-Driver!$K$190)/(Driver!$L$190-Driver!$K$190)</f>
        <v/>
      </c>
      <c r="AT1080" s="108">
        <f>(BF1080-Driver!$K$191)/(Driver!$L$191-Driver!$K$191)</f>
        <v/>
      </c>
      <c r="AU1080" s="108">
        <f>(BG1080-Driver!$K$192)/(Driver!$L$192-Driver!$K$192)</f>
        <v/>
      </c>
      <c r="AV1080" s="105">
        <f>IFERROR(BM1080*BJ1080^1/4,"")</f>
        <v/>
      </c>
      <c r="AW1080" s="105">
        <f>IFERROR(SUM(AX1080:AZ1080),"")</f>
        <v/>
      </c>
      <c r="AX1080" s="105">
        <f>IFERROR(BH1080,"")</f>
        <v/>
      </c>
      <c r="AY1080" s="105">
        <f>IFERROR(Driver!$K$19/Data!BH1080/Data!BI1080*Data!BK1080*Data!BL1080,"")</f>
        <v/>
      </c>
      <c r="AZ1080" s="105">
        <f>IFERROR(BI1080*BN1080,"")</f>
        <v/>
      </c>
      <c r="BA1080" s="105" t="n"/>
      <c r="BB1080" s="105" t="n"/>
      <c r="BC1080" s="105">
        <f>IFERROR(BI1080*BN1080*BK1080/BJ1080^(1/2),"")</f>
        <v/>
      </c>
      <c r="BD1080" s="105">
        <f>IFERROR(BH1080*BM1080*BL1080/BJ1080/BK1080,"")</f>
        <v/>
      </c>
      <c r="BE1080" s="105">
        <f>IFERROR(MIN(BI1080/BQ1080/BP1080/BO1080/BH1080,$BE$1),"")</f>
        <v/>
      </c>
      <c r="BF1080" s="105">
        <f>IFERROR(BJ1080*BO1080*BP1080/BK1080,"")</f>
        <v/>
      </c>
      <c r="BG1080" s="105">
        <f>IFERROR(1/BM1080/BH1080*BQ1080,"")</f>
        <v/>
      </c>
      <c r="BH1080" s="102">
        <f>MAX((CE1080-Driver!$F$200)/(Driver!$G$200-Driver!$F$200)*$BI$1,1)</f>
        <v/>
      </c>
      <c r="BI1080" s="102">
        <f>MAX($BI$1*(BY1080-Driver!$F$201)/(Driver!$G$201-Driver!$F$201),1)</f>
        <v/>
      </c>
      <c r="BJ1080" s="102">
        <f>(CB1080-Driver!$F$206)/(Driver!$G$206-Driver!$F$206)*$BI$1</f>
        <v/>
      </c>
      <c r="BK1080" s="102">
        <f>(CD1080-Driver!$F$203)/(Driver!$G$203-Driver!$F$203)*$BI$1</f>
        <v/>
      </c>
      <c r="BL1080" s="102">
        <f>MAX((CR1080-Driver!$F$202)/(Driver!$G$202-Driver!$F$202)*$BI$1,1)</f>
        <v/>
      </c>
      <c r="BM1080" s="102">
        <f>MAX((CH1080-Driver!$F$204)/(Driver!$G$204-Driver!$F$204)*$BI$1,1)</f>
        <v/>
      </c>
      <c r="BN1080" s="102">
        <f>(CI1080-Driver!$F$205)/(Driver!$G$205-Driver!$F$205)*$BI$1</f>
        <v/>
      </c>
      <c r="BO1080" s="102">
        <f>(CK1080-Driver!$F$207)/(Driver!$G$207-Driver!$F$207)*$BI$1</f>
        <v/>
      </c>
      <c r="BP1080" s="102">
        <f>(CM1080-Driver!$F$208)/(Driver!$G$208-Driver!$F$208)*$BI$1</f>
        <v/>
      </c>
      <c r="BQ1080" s="102">
        <f>(CL1080-Driver!$F$209)/(Driver!$G$209-Driver!$F$209)*$BI$1</f>
        <v/>
      </c>
      <c r="BR1080" s="40" t="inlineStr">
        <is>
          <t>21/22</t>
        </is>
      </c>
      <c r="BS1080" s="10" t="inlineStr">
        <is>
          <t xml:space="preserve"> Elan</t>
        </is>
      </c>
      <c r="BT1080" s="11" t="inlineStr">
        <is>
          <t xml:space="preserve"> Element</t>
        </is>
      </c>
      <c r="BU1080" s="13" t="n">
        <v>144</v>
      </c>
      <c r="BV1080" s="11" t="inlineStr">
        <is>
          <t xml:space="preserve"> Unisex</t>
        </is>
      </c>
      <c r="BW1080" s="13" t="n">
        <v>144</v>
      </c>
      <c r="BX1080" s="13" t="n">
        <v>143.2</v>
      </c>
      <c r="BY1080" s="13" t="n">
        <v>111</v>
      </c>
      <c r="BZ1080" s="13" t="n">
        <v>130</v>
      </c>
      <c r="CA1080" s="13" t="n">
        <v>125</v>
      </c>
      <c r="CB1080" s="13" t="n">
        <v>74</v>
      </c>
      <c r="CC1080" s="13" t="n">
        <v>100</v>
      </c>
      <c r="CD1080" s="13" t="n">
        <v>10.5</v>
      </c>
      <c r="CE1080" s="13" t="n">
        <v>1485</v>
      </c>
      <c r="CF1080" s="13" t="n">
        <v>0.86</v>
      </c>
      <c r="CG1080" s="13" t="n">
        <v>1277</v>
      </c>
      <c r="CH1080" s="13" t="n">
        <v>142</v>
      </c>
      <c r="CI1080" s="13" t="n">
        <v>51</v>
      </c>
      <c r="CJ1080" s="13" t="n">
        <v>38</v>
      </c>
      <c r="CK1080" s="13" t="n">
        <v>186</v>
      </c>
      <c r="CL1080" s="13" t="n">
        <v>10</v>
      </c>
      <c r="CM1080" s="13" t="n">
        <v>132</v>
      </c>
      <c r="CN1080" s="13" t="n">
        <v>0.274</v>
      </c>
      <c r="CO1080" s="13" t="n">
        <v>81</v>
      </c>
      <c r="CP1080" s="13" t="n">
        <v>55</v>
      </c>
      <c r="CQ1080" s="13" t="n">
        <v>105</v>
      </c>
      <c r="CR1080" s="13" t="n">
        <v>3</v>
      </c>
      <c r="CS1080" s="13" t="n">
        <v>10.1</v>
      </c>
      <c r="CT1080" s="11" t="inlineStr">
        <is>
          <t xml:space="preserve"> Other</t>
        </is>
      </c>
      <c r="CU1080" s="13" t="n"/>
      <c r="CV1080" s="13" t="n"/>
      <c r="CW1080" s="13" t="n"/>
      <c r="CX1080">
        <f>INDEX('Data_Price '!AG$2:AG$1266,MATCH(Data!$DN1080,'Data_Price '!$AT$2:$AT$1266,0))</f>
        <v/>
      </c>
      <c r="CY1080">
        <f>INDEX('Data_Price '!AH$2:AH$1266,MATCH(Data!$DN1080,'Data_Price '!$AT$2:$AT$1266,0))</f>
        <v/>
      </c>
      <c r="CZ1080">
        <f>INDEX('Data_Price '!AI$2:AI$1266,MATCH(Data!$DN1080,'Data_Price '!$AT$2:$AT$1266,0))</f>
        <v/>
      </c>
      <c r="DA1080">
        <f>INDEX('Data_Price '!AJ$2:AJ$1266,MATCH(Data!$DN1080,'Data_Price '!$AT$2:$AT$1266,0))</f>
        <v/>
      </c>
      <c r="DB1080">
        <f>INDEX('Data_Price '!AK$2:AK$1266,MATCH(Data!$DN1080,'Data_Price '!$AT$2:$AT$1266,0))</f>
        <v/>
      </c>
      <c r="DC1080">
        <f>INDEX('Data_Price '!AL$2:AL$1266,MATCH(Data!$DN1080,'Data_Price '!$AT$2:$AT$1266,0))</f>
        <v/>
      </c>
      <c r="DD1080">
        <f>INDEX('Data_Price '!AM$2:AM$1266,MATCH(Data!$DN1080,'Data_Price '!$AT$2:$AT$1266,0))</f>
        <v/>
      </c>
      <c r="DE1080">
        <f>INDEX('Data_Price '!AN$2:AN$1266,MATCH(Data!$DN1080,'Data_Price '!$AT$2:$AT$1266,0))</f>
        <v/>
      </c>
      <c r="DF1080">
        <f>INDEX('Data_Price '!AO$2:AO$1266,MATCH(Data!$DN1080,'Data_Price '!$AT$2:$AT$1266,0))</f>
        <v/>
      </c>
      <c r="DG1080">
        <f>INDEX('Data_Price '!AP$2:AP$1266,MATCH(Data!$DN1080,'Data_Price '!$AT$2:$AT$1266,0))</f>
        <v/>
      </c>
      <c r="DH1080">
        <f>INDEX('Data_Price '!AQ$2:AQ$1266,MATCH(Data!$DN1080,'Data_Price '!$AT$2:$AT$1266,0))</f>
        <v/>
      </c>
      <c r="DI1080">
        <f>INDEX('Data_Price '!AR$2:AR$1266,MATCH(Data!$DN1080,'Data_Price '!$AT$2:$AT$1266,0))</f>
        <v/>
      </c>
      <c r="DJ1080" s="138">
        <f>DA1080</f>
        <v/>
      </c>
      <c r="DK1080" s="138">
        <f>DE1080</f>
        <v/>
      </c>
      <c r="DL1080" s="138">
        <f>DI1080</f>
        <v/>
      </c>
      <c r="DM1080" s="303">
        <f>IF(LEFT(BT1080,1)=" ",RIGHT(BT1080,LEN(BT1080)-1),BT1080)</f>
        <v/>
      </c>
      <c r="DN1080" s="138">
        <f>_xlfn.CONCAT(BS1080,DM1080,BU1080,BV1080)</f>
        <v/>
      </c>
      <c r="DO1080" s="307" t="n"/>
    </row>
    <row r="1081" ht="15.6" customHeight="1" s="184">
      <c r="B1081" s="303">
        <f t="array" ref="B1081">IF(OR(ISERROR(K1081:P1081)),FALSE,TRUE)</f>
        <v/>
      </c>
      <c r="C1081" s="60">
        <f>OR(BR1081=Driver!$G$50,Data!BR823=Driver!$H$50)</f>
        <v/>
      </c>
      <c r="D1081" s="60">
        <f>OR(BV1081=Driver!$G$51,BV1081=Driver!$H$51)</f>
        <v/>
      </c>
      <c r="E1081" s="60">
        <f>AND(BX1081&gt;Driver!$F$54,BX1081&lt;Driver!$G$54)</f>
        <v/>
      </c>
      <c r="F1081" s="60">
        <f>CL1081&gt;Driver!$F$56</f>
        <v/>
      </c>
      <c r="G1081" s="60">
        <f>AND(CB1081&gt;Driver!$F$55,CB1081&lt;Driver!$G$55)</f>
        <v/>
      </c>
      <c r="H1081" s="60">
        <f>AND(B1081:G1081)</f>
        <v/>
      </c>
      <c r="I1081" s="60">
        <f>COUNTIFS($H$9:$H$1273,TRUE,$BT$9:$BT$1273,BT1081)</f>
        <v/>
      </c>
      <c r="J1081" s="60">
        <f t="array" ref="J1081">NOT(OR(($H$9:$H$1273=TRUE)*($I$9:$I$1273&gt;0)*($BT$9:$BT$1273=BT1081)*($K$9:$K$1273&gt;K1081)))</f>
        <v/>
      </c>
      <c r="K1081" s="108">
        <f>IFERROR(1-AVERAGE(X1081:Y1081),"")</f>
        <v/>
      </c>
      <c r="L1081" s="108">
        <f>1-X1081</f>
        <v/>
      </c>
      <c r="M1081" s="108">
        <f>1-Y1081</f>
        <v/>
      </c>
      <c r="N1081" s="108">
        <f>1-Z1081</f>
        <v/>
      </c>
      <c r="O1081" s="108">
        <f>1-AA1081</f>
        <v/>
      </c>
      <c r="P1081" s="108">
        <f>1-AB1081</f>
        <v/>
      </c>
      <c r="Q1081" s="108" t="n"/>
      <c r="R1081" s="108" t="n"/>
      <c r="S1081" s="108">
        <f>1-AE1081</f>
        <v/>
      </c>
      <c r="T1081" s="108">
        <f>1-AF1081</f>
        <v/>
      </c>
      <c r="U1081" s="108">
        <f>1-AG1081</f>
        <v/>
      </c>
      <c r="V1081" s="108">
        <f>1-AH1081</f>
        <v/>
      </c>
      <c r="W1081" s="108">
        <f>1-AI1081</f>
        <v/>
      </c>
      <c r="X1081" s="108">
        <f>ABS(AJ1081-AJ$1)</f>
        <v/>
      </c>
      <c r="Y1081" s="108">
        <f>AVERAGE(Z1081:AB1081)</f>
        <v/>
      </c>
      <c r="Z1081" s="108">
        <f>ABS(AL1081-AL$1)</f>
        <v/>
      </c>
      <c r="AA1081" s="108">
        <f>ABS(AM1081-AM$1)</f>
        <v/>
      </c>
      <c r="AB1081" s="108">
        <f>ABS(AN1081-AN$1)</f>
        <v/>
      </c>
      <c r="AC1081" s="108" t="n"/>
      <c r="AD1081" s="108" t="n"/>
      <c r="AE1081" s="108">
        <f>ABS(AQ$1-AQ1081)</f>
        <v/>
      </c>
      <c r="AF1081" s="108">
        <f>ABS(AR$1-AR1081)</f>
        <v/>
      </c>
      <c r="AG1081" s="108">
        <f>ABS(AS$1-AS1081)</f>
        <v/>
      </c>
      <c r="AH1081" s="108">
        <f>ABS(AT$1-AT1081)</f>
        <v/>
      </c>
      <c r="AI1081" s="108">
        <f>ABS(AU$1-AU1081)</f>
        <v/>
      </c>
      <c r="AJ1081" s="108">
        <f>(AV1081-Driver!$K$179)/(Driver!$L$179-Driver!$K$179)</f>
        <v/>
      </c>
      <c r="AK1081" s="108">
        <f>(AW1081-Driver!$K$180)/(Driver!$L$180-Driver!$K$180)</f>
        <v/>
      </c>
      <c r="AL1081" s="108">
        <f>(AX1081-Driver!$K$181)/(Driver!$L$181-Driver!$K$181)</f>
        <v/>
      </c>
      <c r="AM1081" s="108">
        <f>(AY1081-Driver!$K$182)/(Driver!$L$182-Driver!$K$182)</f>
        <v/>
      </c>
      <c r="AN1081" s="108">
        <f>(AZ1081-Driver!$K$183)/(Driver!$L$183-Driver!$K$183)</f>
        <v/>
      </c>
      <c r="AO1081" s="108" t="n"/>
      <c r="AP1081" s="108" t="n"/>
      <c r="AQ1081" s="108">
        <f>(BC1081-Driver!$K$188)/(Driver!$L$188-Driver!$K$188)</f>
        <v/>
      </c>
      <c r="AR1081" s="108">
        <f>MIN((BD1081-Driver!$K$189)/(Driver!$L$189-Driver!$K$189),100%)</f>
        <v/>
      </c>
      <c r="AS1081" s="108">
        <f>(BE1081-Driver!$K$190)/(Driver!$L$190-Driver!$K$190)</f>
        <v/>
      </c>
      <c r="AT1081" s="108">
        <f>(BF1081-Driver!$K$191)/(Driver!$L$191-Driver!$K$191)</f>
        <v/>
      </c>
      <c r="AU1081" s="108">
        <f>(BG1081-Driver!$K$192)/(Driver!$L$192-Driver!$K$192)</f>
        <v/>
      </c>
      <c r="AV1081" s="105">
        <f>IFERROR(BM1081*BJ1081^1/4,"")</f>
        <v/>
      </c>
      <c r="AW1081" s="105">
        <f>IFERROR(SUM(AX1081:AZ1081),"")</f>
        <v/>
      </c>
      <c r="AX1081" s="105">
        <f>IFERROR(BH1081,"")</f>
        <v/>
      </c>
      <c r="AY1081" s="105">
        <f>IFERROR(Driver!$K$19/Data!BH1081/Data!BI1081*Data!BK1081*Data!BL1081,"")</f>
        <v/>
      </c>
      <c r="AZ1081" s="105">
        <f>IFERROR(BI1081*BN1081,"")</f>
        <v/>
      </c>
      <c r="BA1081" s="105" t="n"/>
      <c r="BB1081" s="105" t="n"/>
      <c r="BC1081" s="105">
        <f>IFERROR(BI1081*BN1081*BK1081/BJ1081^(1/2),"")</f>
        <v/>
      </c>
      <c r="BD1081" s="105">
        <f>IFERROR(BH1081*BM1081*BL1081/BJ1081/BK1081,"")</f>
        <v/>
      </c>
      <c r="BE1081" s="105">
        <f>IFERROR(MIN(BI1081/BQ1081/BP1081/BO1081/BH1081,$BE$1),"")</f>
        <v/>
      </c>
      <c r="BF1081" s="105">
        <f>IFERROR(BJ1081*BO1081*BP1081/BK1081,"")</f>
        <v/>
      </c>
      <c r="BG1081" s="105">
        <f>IFERROR(1/BM1081/BH1081*BQ1081,"")</f>
        <v/>
      </c>
      <c r="BH1081" s="102">
        <f>MAX((CE1081-Driver!$F$200)/(Driver!$G$200-Driver!$F$200)*$BI$1,1)</f>
        <v/>
      </c>
      <c r="BI1081" s="102">
        <f>MAX($BI$1*(BY1081-Driver!$F$201)/(Driver!$G$201-Driver!$F$201),1)</f>
        <v/>
      </c>
      <c r="BJ1081" s="102">
        <f>(CB1081-Driver!$F$206)/(Driver!$G$206-Driver!$F$206)*$BI$1</f>
        <v/>
      </c>
      <c r="BK1081" s="102">
        <f>(CD1081-Driver!$F$203)/(Driver!$G$203-Driver!$F$203)*$BI$1</f>
        <v/>
      </c>
      <c r="BL1081" s="102">
        <f>MAX((CR1081-Driver!$F$202)/(Driver!$G$202-Driver!$F$202)*$BI$1,1)</f>
        <v/>
      </c>
      <c r="BM1081" s="102">
        <f>MAX((CH1081-Driver!$F$204)/(Driver!$G$204-Driver!$F$204)*$BI$1,1)</f>
        <v/>
      </c>
      <c r="BN1081" s="102">
        <f>(CI1081-Driver!$F$205)/(Driver!$G$205-Driver!$F$205)*$BI$1</f>
        <v/>
      </c>
      <c r="BO1081" s="102">
        <f>(CK1081-Driver!$F$207)/(Driver!$G$207-Driver!$F$207)*$BI$1</f>
        <v/>
      </c>
      <c r="BP1081" s="102">
        <f>(CM1081-Driver!$F$208)/(Driver!$G$208-Driver!$F$208)*$BI$1</f>
        <v/>
      </c>
      <c r="BQ1081" s="102">
        <f>(CL1081-Driver!$F$209)/(Driver!$G$209-Driver!$F$209)*$BI$1</f>
        <v/>
      </c>
      <c r="BR1081" s="40" t="inlineStr">
        <is>
          <t>21/22</t>
        </is>
      </c>
      <c r="BS1081" s="10" t="inlineStr">
        <is>
          <t xml:space="preserve"> Line</t>
        </is>
      </c>
      <c r="BT1081" s="11" t="inlineStr">
        <is>
          <t xml:space="preserve"> Blade</t>
        </is>
      </c>
      <c r="BU1081" s="13" t="n">
        <v>181</v>
      </c>
      <c r="BV1081" s="11" t="inlineStr">
        <is>
          <t xml:space="preserve"> Unisex</t>
        </is>
      </c>
      <c r="BW1081" s="13" t="n">
        <v>181</v>
      </c>
      <c r="BX1081" s="13" t="n">
        <v>179.7</v>
      </c>
      <c r="BY1081" s="13" t="n">
        <v>140</v>
      </c>
      <c r="BZ1081" s="13" t="n">
        <v>164</v>
      </c>
      <c r="CA1081" s="13" t="n">
        <v>154</v>
      </c>
      <c r="CB1081" s="13" t="n">
        <v>95</v>
      </c>
      <c r="CC1081" s="13" t="n">
        <v>124</v>
      </c>
      <c r="CD1081" s="13" t="n">
        <v>14.6</v>
      </c>
      <c r="CE1081" s="13" t="n">
        <v>2051</v>
      </c>
      <c r="CF1081" s="13" t="n">
        <v>0.99</v>
      </c>
      <c r="CG1081" s="13" t="n">
        <v>2027</v>
      </c>
      <c r="CH1081" s="13" t="n">
        <v>193</v>
      </c>
      <c r="CI1081" s="13" t="n">
        <v>137</v>
      </c>
      <c r="CJ1081" s="13" t="n">
        <v>35</v>
      </c>
      <c r="CK1081" s="13" t="n">
        <v>257</v>
      </c>
      <c r="CL1081" s="13" t="n">
        <v>22</v>
      </c>
      <c r="CM1081" s="13" t="n">
        <v>140</v>
      </c>
      <c r="CN1081" s="13" t="n">
        <v>0.628</v>
      </c>
      <c r="CO1081" s="13" t="n">
        <v>127</v>
      </c>
      <c r="CP1081" s="13" t="n">
        <v>26</v>
      </c>
      <c r="CQ1081" s="13" t="n">
        <v>130</v>
      </c>
      <c r="CR1081" s="13" t="n">
        <v>8</v>
      </c>
      <c r="CS1081" s="13" t="n">
        <v>6.8</v>
      </c>
      <c r="CT1081" s="11" t="inlineStr">
        <is>
          <t xml:space="preserve"> Resort Freeride</t>
        </is>
      </c>
      <c r="CU1081" s="13" t="n"/>
      <c r="CV1081" s="13" t="n"/>
      <c r="CW1081" s="13" t="n"/>
      <c r="CX1081">
        <f>INDEX('Data_Price '!AG$2:AG$1266,MATCH(Data!$DN1081,'Data_Price '!$AT$2:$AT$1266,0))</f>
        <v/>
      </c>
      <c r="CY1081">
        <f>INDEX('Data_Price '!AH$2:AH$1266,MATCH(Data!$DN1081,'Data_Price '!$AT$2:$AT$1266,0))</f>
        <v/>
      </c>
      <c r="CZ1081">
        <f>INDEX('Data_Price '!AI$2:AI$1266,MATCH(Data!$DN1081,'Data_Price '!$AT$2:$AT$1266,0))</f>
        <v/>
      </c>
      <c r="DA1081">
        <f>INDEX('Data_Price '!AJ$2:AJ$1266,MATCH(Data!$DN1081,'Data_Price '!$AT$2:$AT$1266,0))</f>
        <v/>
      </c>
      <c r="DB1081">
        <f>INDEX('Data_Price '!AK$2:AK$1266,MATCH(Data!$DN1081,'Data_Price '!$AT$2:$AT$1266,0))</f>
        <v/>
      </c>
      <c r="DC1081">
        <f>INDEX('Data_Price '!AL$2:AL$1266,MATCH(Data!$DN1081,'Data_Price '!$AT$2:$AT$1266,0))</f>
        <v/>
      </c>
      <c r="DD1081">
        <f>INDEX('Data_Price '!AM$2:AM$1266,MATCH(Data!$DN1081,'Data_Price '!$AT$2:$AT$1266,0))</f>
        <v/>
      </c>
      <c r="DE1081">
        <f>INDEX('Data_Price '!AN$2:AN$1266,MATCH(Data!$DN1081,'Data_Price '!$AT$2:$AT$1266,0))</f>
        <v/>
      </c>
      <c r="DF1081">
        <f>INDEX('Data_Price '!AO$2:AO$1266,MATCH(Data!$DN1081,'Data_Price '!$AT$2:$AT$1266,0))</f>
        <v/>
      </c>
      <c r="DG1081">
        <f>INDEX('Data_Price '!AP$2:AP$1266,MATCH(Data!$DN1081,'Data_Price '!$AT$2:$AT$1266,0))</f>
        <v/>
      </c>
      <c r="DH1081">
        <f>INDEX('Data_Price '!AQ$2:AQ$1266,MATCH(Data!$DN1081,'Data_Price '!$AT$2:$AT$1266,0))</f>
        <v/>
      </c>
      <c r="DI1081">
        <f>INDEX('Data_Price '!AR$2:AR$1266,MATCH(Data!$DN1081,'Data_Price '!$AT$2:$AT$1266,0))</f>
        <v/>
      </c>
      <c r="DJ1081" s="138">
        <f>DA1081</f>
        <v/>
      </c>
      <c r="DK1081" s="138">
        <f>DE1081</f>
        <v/>
      </c>
      <c r="DL1081" s="138">
        <f>DI1081</f>
        <v/>
      </c>
      <c r="DM1081" s="303">
        <f>IF(LEFT(BT1081,1)=" ",RIGHT(BT1081,LEN(BT1081)-1),BT1081)</f>
        <v/>
      </c>
      <c r="DN1081" s="138">
        <f>_xlfn.CONCAT(BS1081,DM1081,BU1081,BV1081)</f>
        <v/>
      </c>
      <c r="DO1081" s="307" t="inlineStr">
        <is>
          <t>https://images.evo.com/imgp/250/198423/817632/clone.jpg</t>
        </is>
      </c>
    </row>
    <row r="1082" ht="15.6" customHeight="1" s="184">
      <c r="B1082" s="303">
        <f t="array" ref="B1082">IF(OR(ISERROR(K1082:P1082)),FALSE,TRUE)</f>
        <v/>
      </c>
      <c r="C1082" s="60">
        <f>OR(BR1082=Driver!$G$50,Data!BR1169=Driver!$H$50)</f>
        <v/>
      </c>
      <c r="D1082" s="60">
        <f>OR(BV1082=Driver!$G$51,BV1082=Driver!$H$51)</f>
        <v/>
      </c>
      <c r="E1082" s="60">
        <f>AND(BX1082&gt;Driver!$F$54,BX1082&lt;Driver!$G$54)</f>
        <v/>
      </c>
      <c r="F1082" s="60">
        <f>CL1082&gt;Driver!$F$56</f>
        <v/>
      </c>
      <c r="G1082" s="60">
        <f>AND(CB1082&gt;Driver!$F$55,CB1082&lt;Driver!$G$55)</f>
        <v/>
      </c>
      <c r="H1082" s="60">
        <f>AND(B1082:G1082)</f>
        <v/>
      </c>
      <c r="I1082" s="60">
        <f>COUNTIFS($H$9:$H$1273,TRUE,$BT$9:$BT$1273,BT1082)</f>
        <v/>
      </c>
      <c r="J1082" s="60">
        <f t="array" ref="J1082">NOT(OR(($H$9:$H$1273=TRUE)*($I$9:$I$1273&gt;0)*($BT$9:$BT$1273=BT1082)*($K$9:$K$1273&gt;K1082)))</f>
        <v/>
      </c>
      <c r="K1082" s="108">
        <f>IFERROR(1-AVERAGE(X1082:Y1082),"")</f>
        <v/>
      </c>
      <c r="L1082" s="108">
        <f>1-X1082</f>
        <v/>
      </c>
      <c r="M1082" s="108">
        <f>1-Y1082</f>
        <v/>
      </c>
      <c r="N1082" s="108">
        <f>1-Z1082</f>
        <v/>
      </c>
      <c r="O1082" s="108">
        <f>1-AA1082</f>
        <v/>
      </c>
      <c r="P1082" s="108">
        <f>1-AB1082</f>
        <v/>
      </c>
      <c r="Q1082" s="108" t="n"/>
      <c r="R1082" s="108" t="n"/>
      <c r="S1082" s="108">
        <f>1-AE1082</f>
        <v/>
      </c>
      <c r="T1082" s="108">
        <f>1-AF1082</f>
        <v/>
      </c>
      <c r="U1082" s="108">
        <f>1-AG1082</f>
        <v/>
      </c>
      <c r="V1082" s="108">
        <f>1-AH1082</f>
        <v/>
      </c>
      <c r="W1082" s="108">
        <f>1-AI1082</f>
        <v/>
      </c>
      <c r="X1082" s="108">
        <f>ABS(AJ1082-AJ$1)</f>
        <v/>
      </c>
      <c r="Y1082" s="108">
        <f>AVERAGE(Z1082:AB1082)</f>
        <v/>
      </c>
      <c r="Z1082" s="108">
        <f>ABS(AL1082-AL$1)</f>
        <v/>
      </c>
      <c r="AA1082" s="108">
        <f>ABS(AM1082-AM$1)</f>
        <v/>
      </c>
      <c r="AB1082" s="108">
        <f>ABS(AN1082-AN$1)</f>
        <v/>
      </c>
      <c r="AC1082" s="108" t="n"/>
      <c r="AD1082" s="108" t="n"/>
      <c r="AE1082" s="108">
        <f>ABS(AQ$1-AQ1082)</f>
        <v/>
      </c>
      <c r="AF1082" s="108">
        <f>ABS(AR$1-AR1082)</f>
        <v/>
      </c>
      <c r="AG1082" s="108">
        <f>ABS(AS$1-AS1082)</f>
        <v/>
      </c>
      <c r="AH1082" s="108">
        <f>ABS(AT$1-AT1082)</f>
        <v/>
      </c>
      <c r="AI1082" s="108">
        <f>ABS(AU$1-AU1082)</f>
        <v/>
      </c>
      <c r="AJ1082" s="108">
        <f>(AV1082-Driver!$K$179)/(Driver!$L$179-Driver!$K$179)</f>
        <v/>
      </c>
      <c r="AK1082" s="108">
        <f>(AW1082-Driver!$K$180)/(Driver!$L$180-Driver!$K$180)</f>
        <v/>
      </c>
      <c r="AL1082" s="108">
        <f>(AX1082-Driver!$K$181)/(Driver!$L$181-Driver!$K$181)</f>
        <v/>
      </c>
      <c r="AM1082" s="108">
        <f>(AY1082-Driver!$K$182)/(Driver!$L$182-Driver!$K$182)</f>
        <v/>
      </c>
      <c r="AN1082" s="108">
        <f>(AZ1082-Driver!$K$183)/(Driver!$L$183-Driver!$K$183)</f>
        <v/>
      </c>
      <c r="AO1082" s="108" t="n"/>
      <c r="AP1082" s="108" t="n"/>
      <c r="AQ1082" s="108">
        <f>(BC1082-Driver!$K$188)/(Driver!$L$188-Driver!$K$188)</f>
        <v/>
      </c>
      <c r="AR1082" s="108">
        <f>MIN((BD1082-Driver!$K$189)/(Driver!$L$189-Driver!$K$189),100%)</f>
        <v/>
      </c>
      <c r="AS1082" s="108">
        <f>(BE1082-Driver!$K$190)/(Driver!$L$190-Driver!$K$190)</f>
        <v/>
      </c>
      <c r="AT1082" s="108">
        <f>(BF1082-Driver!$K$191)/(Driver!$L$191-Driver!$K$191)</f>
        <v/>
      </c>
      <c r="AU1082" s="108">
        <f>(BG1082-Driver!$K$192)/(Driver!$L$192-Driver!$K$192)</f>
        <v/>
      </c>
      <c r="AV1082" s="105">
        <f>IFERROR(BM1082*BJ1082^1/4,"")</f>
        <v/>
      </c>
      <c r="AW1082" s="105">
        <f>IFERROR(SUM(AX1082:AZ1082),"")</f>
        <v/>
      </c>
      <c r="AX1082" s="105">
        <f>IFERROR(BH1082,"")</f>
        <v/>
      </c>
      <c r="AY1082" s="105">
        <f>IFERROR(Driver!$K$19/Data!BH1082/Data!BI1082*Data!BK1082*Data!BL1082,"")</f>
        <v/>
      </c>
      <c r="AZ1082" s="105">
        <f>IFERROR(BI1082*BN1082,"")</f>
        <v/>
      </c>
      <c r="BA1082" s="105" t="n"/>
      <c r="BB1082" s="105" t="n"/>
      <c r="BC1082" s="105">
        <f>IFERROR(BI1082*BN1082*BK1082/BJ1082^(1/2),"")</f>
        <v/>
      </c>
      <c r="BD1082" s="105">
        <f>IFERROR(BH1082*BM1082*BL1082/BJ1082/BK1082,"")</f>
        <v/>
      </c>
      <c r="BE1082" s="105">
        <f>IFERROR(MIN(BI1082/BQ1082/BP1082/BO1082/BH1082,$BE$1),"")</f>
        <v/>
      </c>
      <c r="BF1082" s="105">
        <f>IFERROR(BJ1082*BO1082*BP1082/BK1082,"")</f>
        <v/>
      </c>
      <c r="BG1082" s="105">
        <f>IFERROR(1/BM1082/BH1082*BQ1082,"")</f>
        <v/>
      </c>
      <c r="BH1082" s="102">
        <f>MAX((CE1082-Driver!$F$200)/(Driver!$G$200-Driver!$F$200)*$BI$1,1)</f>
        <v/>
      </c>
      <c r="BI1082" s="102">
        <f>MAX($BI$1*(BY1082-Driver!$F$201)/(Driver!$G$201-Driver!$F$201),1)</f>
        <v/>
      </c>
      <c r="BJ1082" s="102">
        <f>(CB1082-Driver!$F$206)/(Driver!$G$206-Driver!$F$206)*$BI$1</f>
        <v/>
      </c>
      <c r="BK1082" s="102">
        <f>(CD1082-Driver!$F$203)/(Driver!$G$203-Driver!$F$203)*$BI$1</f>
        <v/>
      </c>
      <c r="BL1082" s="102">
        <f>MAX((CR1082-Driver!$F$202)/(Driver!$G$202-Driver!$F$202)*$BI$1,1)</f>
        <v/>
      </c>
      <c r="BM1082" s="102">
        <f>MAX((CH1082-Driver!$F$204)/(Driver!$G$204-Driver!$F$204)*$BI$1,1)</f>
        <v/>
      </c>
      <c r="BN1082" s="102">
        <f>(CI1082-Driver!$F$205)/(Driver!$G$205-Driver!$F$205)*$BI$1</f>
        <v/>
      </c>
      <c r="BO1082" s="102">
        <f>(CK1082-Driver!$F$207)/(Driver!$G$207-Driver!$F$207)*$BI$1</f>
        <v/>
      </c>
      <c r="BP1082" s="102">
        <f>(CM1082-Driver!$F$208)/(Driver!$G$208-Driver!$F$208)*$BI$1</f>
        <v/>
      </c>
      <c r="BQ1082" s="102">
        <f>(CL1082-Driver!$F$209)/(Driver!$G$209-Driver!$F$209)*$BI$1</f>
        <v/>
      </c>
      <c r="BR1082" s="40" t="inlineStr">
        <is>
          <t>21/22</t>
        </is>
      </c>
      <c r="BS1082" s="10" t="inlineStr">
        <is>
          <t xml:space="preserve"> Völkl</t>
        </is>
      </c>
      <c r="BT1082" s="11" t="inlineStr">
        <is>
          <t>Blaze 86 W</t>
        </is>
      </c>
      <c r="BU1082" s="13" t="n">
        <v>159</v>
      </c>
      <c r="BV1082" s="11" t="inlineStr">
        <is>
          <t xml:space="preserve"> Women's</t>
        </is>
      </c>
      <c r="BW1082" s="13" t="n">
        <v>159</v>
      </c>
      <c r="BX1082" s="13" t="n">
        <v>160.2</v>
      </c>
      <c r="BY1082" s="13" t="n">
        <v>100</v>
      </c>
      <c r="BZ1082" s="13" t="n">
        <v>136</v>
      </c>
      <c r="CA1082" s="13" t="n">
        <v>128</v>
      </c>
      <c r="CB1082" s="13" t="n">
        <v>85</v>
      </c>
      <c r="CC1082" s="13" t="n">
        <v>110</v>
      </c>
      <c r="CD1082" s="13" t="n">
        <v>12.7</v>
      </c>
      <c r="CE1082" s="13" t="n">
        <v>1259</v>
      </c>
      <c r="CF1082" s="13" t="n">
        <v>1.26</v>
      </c>
      <c r="CG1082" s="13" t="n">
        <v>1589</v>
      </c>
      <c r="CH1082" s="13" t="n">
        <v>157</v>
      </c>
      <c r="CI1082" s="13" t="n">
        <v>74</v>
      </c>
      <c r="CJ1082" s="13" t="n">
        <v>49</v>
      </c>
      <c r="CK1082" s="13" t="n">
        <v>374</v>
      </c>
      <c r="CL1082" s="13" t="n">
        <v>20</v>
      </c>
      <c r="CM1082" s="13" t="n">
        <v>227</v>
      </c>
      <c r="CN1082" s="13" t="n">
        <v>0.403</v>
      </c>
      <c r="CO1082" s="13" t="n">
        <v>143</v>
      </c>
      <c r="CP1082" s="13" t="n">
        <v>101</v>
      </c>
      <c r="CQ1082" s="13" t="n">
        <v>231</v>
      </c>
      <c r="CR1082" s="13" t="n">
        <v>1</v>
      </c>
      <c r="CS1082" s="13" t="n">
        <v>11.5</v>
      </c>
      <c r="CT1082" s="11" t="inlineStr">
        <is>
          <t xml:space="preserve"> Resort Freeride</t>
        </is>
      </c>
      <c r="CU1082" s="11" t="inlineStr">
        <is>
          <t xml:space="preserve"> Touring</t>
        </is>
      </c>
      <c r="CV1082" s="11" t="inlineStr">
        <is>
          <t xml:space="preserve"> Ultralight Touring</t>
        </is>
      </c>
      <c r="CW1082" s="13" t="n"/>
      <c r="CX1082">
        <f>INDEX('Data_Price '!AG$2:AG$1266,MATCH(Data!$DN1082,'Data_Price '!$AT$2:$AT$1266,0))</f>
        <v/>
      </c>
      <c r="CY1082">
        <f>INDEX('Data_Price '!AH$2:AH$1266,MATCH(Data!$DN1082,'Data_Price '!$AT$2:$AT$1266,0))</f>
        <v/>
      </c>
      <c r="CZ1082">
        <f>INDEX('Data_Price '!AI$2:AI$1266,MATCH(Data!$DN1082,'Data_Price '!$AT$2:$AT$1266,0))</f>
        <v/>
      </c>
      <c r="DA1082">
        <f>INDEX('Data_Price '!AJ$2:AJ$1266,MATCH(Data!$DN1082,'Data_Price '!$AT$2:$AT$1266,0))</f>
        <v/>
      </c>
      <c r="DB1082">
        <f>INDEX('Data_Price '!AK$2:AK$1266,MATCH(Data!$DN1082,'Data_Price '!$AT$2:$AT$1266,0))</f>
        <v/>
      </c>
      <c r="DC1082">
        <f>INDEX('Data_Price '!AL$2:AL$1266,MATCH(Data!$DN1082,'Data_Price '!$AT$2:$AT$1266,0))</f>
        <v/>
      </c>
      <c r="DD1082">
        <f>INDEX('Data_Price '!AM$2:AM$1266,MATCH(Data!$DN1082,'Data_Price '!$AT$2:$AT$1266,0))</f>
        <v/>
      </c>
      <c r="DE1082">
        <f>INDEX('Data_Price '!AN$2:AN$1266,MATCH(Data!$DN1082,'Data_Price '!$AT$2:$AT$1266,0))</f>
        <v/>
      </c>
      <c r="DF1082">
        <f>INDEX('Data_Price '!AO$2:AO$1266,MATCH(Data!$DN1082,'Data_Price '!$AT$2:$AT$1266,0))</f>
        <v/>
      </c>
      <c r="DG1082">
        <f>INDEX('Data_Price '!AP$2:AP$1266,MATCH(Data!$DN1082,'Data_Price '!$AT$2:$AT$1266,0))</f>
        <v/>
      </c>
      <c r="DH1082">
        <f>INDEX('Data_Price '!AQ$2:AQ$1266,MATCH(Data!$DN1082,'Data_Price '!$AT$2:$AT$1266,0))</f>
        <v/>
      </c>
      <c r="DI1082">
        <f>INDEX('Data_Price '!AR$2:AR$1266,MATCH(Data!$DN1082,'Data_Price '!$AT$2:$AT$1266,0))</f>
        <v/>
      </c>
      <c r="DJ1082" s="138">
        <f>DA1082</f>
        <v/>
      </c>
      <c r="DK1082" s="138">
        <f>DE1082</f>
        <v/>
      </c>
      <c r="DL1082" s="138">
        <f>DI1082</f>
        <v/>
      </c>
      <c r="DM1082" s="303">
        <f>IF(LEFT(BT1082,1)=" ",RIGHT(BT1082,LEN(BT1082)-1),BT1082)</f>
        <v/>
      </c>
      <c r="DN1082" s="138">
        <f>_xlfn.CONCAT(BS1082,DM1082,BU1082,BV1082)</f>
        <v/>
      </c>
      <c r="DO1082" s="307" t="inlineStr">
        <is>
          <t>https://images.evo.com/imgp/250/208358/837604/clone.jpg</t>
        </is>
      </c>
    </row>
    <row r="1083" ht="15.6" customHeight="1" s="184">
      <c r="B1083" s="303">
        <f t="array" ref="B1083">IF(OR(ISERROR(K1083:P1083)),FALSE,TRUE)</f>
        <v/>
      </c>
      <c r="C1083" s="60">
        <f>OR(BR1083=Driver!$G$50,Data!BR539=Driver!$H$50)</f>
        <v/>
      </c>
      <c r="D1083" s="60">
        <f>OR(BV1083=Driver!$G$51,BV1083=Driver!$H$51)</f>
        <v/>
      </c>
      <c r="E1083" s="60">
        <f>AND(BX1083&gt;Driver!$F$54,BX1083&lt;Driver!$G$54)</f>
        <v/>
      </c>
      <c r="F1083" s="60">
        <f>CL1083&gt;Driver!$F$56</f>
        <v/>
      </c>
      <c r="G1083" s="60">
        <f>AND(CB1083&gt;Driver!$F$55,CB1083&lt;Driver!$G$55)</f>
        <v/>
      </c>
      <c r="H1083" s="60">
        <f>AND(B1083:G1083)</f>
        <v/>
      </c>
      <c r="I1083" s="60">
        <f>COUNTIFS($H$9:$H$1273,TRUE,$BT$9:$BT$1273,BT1083)</f>
        <v/>
      </c>
      <c r="J1083" s="60">
        <f t="array" ref="J1083">NOT(OR(($H$9:$H$1273=TRUE)*($I$9:$I$1273&gt;0)*($BT$9:$BT$1273=BT1083)*($K$9:$K$1273&gt;K1083)))</f>
        <v/>
      </c>
      <c r="K1083" s="108">
        <f>IFERROR(1-AVERAGE(X1083:Y1083),"")</f>
        <v/>
      </c>
      <c r="L1083" s="108">
        <f>1-X1083</f>
        <v/>
      </c>
      <c r="M1083" s="108">
        <f>1-Y1083</f>
        <v/>
      </c>
      <c r="N1083" s="108">
        <f>1-Z1083</f>
        <v/>
      </c>
      <c r="O1083" s="108">
        <f>1-AA1083</f>
        <v/>
      </c>
      <c r="P1083" s="108">
        <f>1-AB1083</f>
        <v/>
      </c>
      <c r="Q1083" s="108" t="n"/>
      <c r="R1083" s="108" t="n"/>
      <c r="S1083" s="108">
        <f>1-AE1083</f>
        <v/>
      </c>
      <c r="T1083" s="108">
        <f>1-AF1083</f>
        <v/>
      </c>
      <c r="U1083" s="108">
        <f>1-AG1083</f>
        <v/>
      </c>
      <c r="V1083" s="108">
        <f>1-AH1083</f>
        <v/>
      </c>
      <c r="W1083" s="108">
        <f>1-AI1083</f>
        <v/>
      </c>
      <c r="X1083" s="108">
        <f>ABS(AJ1083-AJ$1)</f>
        <v/>
      </c>
      <c r="Y1083" s="108">
        <f>AVERAGE(Z1083:AB1083)</f>
        <v/>
      </c>
      <c r="Z1083" s="108">
        <f>ABS(AL1083-AL$1)</f>
        <v/>
      </c>
      <c r="AA1083" s="108">
        <f>ABS(AM1083-AM$1)</f>
        <v/>
      </c>
      <c r="AB1083" s="108">
        <f>ABS(AN1083-AN$1)</f>
        <v/>
      </c>
      <c r="AC1083" s="108" t="n"/>
      <c r="AD1083" s="108" t="n"/>
      <c r="AE1083" s="108">
        <f>ABS(AQ$1-AQ1083)</f>
        <v/>
      </c>
      <c r="AF1083" s="108">
        <f>ABS(AR$1-AR1083)</f>
        <v/>
      </c>
      <c r="AG1083" s="108">
        <f>ABS(AS$1-AS1083)</f>
        <v/>
      </c>
      <c r="AH1083" s="108">
        <f>ABS(AT$1-AT1083)</f>
        <v/>
      </c>
      <c r="AI1083" s="108">
        <f>ABS(AU$1-AU1083)</f>
        <v/>
      </c>
      <c r="AJ1083" s="108">
        <f>(AV1083-Driver!$K$179)/(Driver!$L$179-Driver!$K$179)</f>
        <v/>
      </c>
      <c r="AK1083" s="108">
        <f>(AW1083-Driver!$K$180)/(Driver!$L$180-Driver!$K$180)</f>
        <v/>
      </c>
      <c r="AL1083" s="108">
        <f>(AX1083-Driver!$K$181)/(Driver!$L$181-Driver!$K$181)</f>
        <v/>
      </c>
      <c r="AM1083" s="108">
        <f>(AY1083-Driver!$K$182)/(Driver!$L$182-Driver!$K$182)</f>
        <v/>
      </c>
      <c r="AN1083" s="108">
        <f>(AZ1083-Driver!$K$183)/(Driver!$L$183-Driver!$K$183)</f>
        <v/>
      </c>
      <c r="AO1083" s="108" t="n"/>
      <c r="AP1083" s="108" t="n"/>
      <c r="AQ1083" s="108">
        <f>(BC1083-Driver!$K$188)/(Driver!$L$188-Driver!$K$188)</f>
        <v/>
      </c>
      <c r="AR1083" s="108">
        <f>MIN((BD1083-Driver!$K$189)/(Driver!$L$189-Driver!$K$189),100%)</f>
        <v/>
      </c>
      <c r="AS1083" s="108">
        <f>(BE1083-Driver!$K$190)/(Driver!$L$190-Driver!$K$190)</f>
        <v/>
      </c>
      <c r="AT1083" s="108">
        <f>(BF1083-Driver!$K$191)/(Driver!$L$191-Driver!$K$191)</f>
        <v/>
      </c>
      <c r="AU1083" s="108">
        <f>(BG1083-Driver!$K$192)/(Driver!$L$192-Driver!$K$192)</f>
        <v/>
      </c>
      <c r="AV1083" s="105">
        <f>IFERROR(BM1083*BJ1083^1/4,"")</f>
        <v/>
      </c>
      <c r="AW1083" s="105">
        <f>IFERROR(SUM(AX1083:AZ1083),"")</f>
        <v/>
      </c>
      <c r="AX1083" s="105">
        <f>IFERROR(BH1083,"")</f>
        <v/>
      </c>
      <c r="AY1083" s="105">
        <f>IFERROR(Driver!$K$19/Data!BH1083/Data!BI1083*Data!BK1083*Data!BL1083,"")</f>
        <v/>
      </c>
      <c r="AZ1083" s="105">
        <f>IFERROR(BI1083*BN1083,"")</f>
        <v/>
      </c>
      <c r="BA1083" s="105" t="n"/>
      <c r="BB1083" s="105" t="n"/>
      <c r="BC1083" s="105">
        <f>IFERROR(BI1083*BN1083*BK1083/BJ1083^(1/2),"")</f>
        <v/>
      </c>
      <c r="BD1083" s="105">
        <f>IFERROR(BH1083*BM1083*BL1083/BJ1083/BK1083,"")</f>
        <v/>
      </c>
      <c r="BE1083" s="105">
        <f>IFERROR(MIN(BI1083/BQ1083/BP1083/BO1083/BH1083,$BE$1),"")</f>
        <v/>
      </c>
      <c r="BF1083" s="105">
        <f>IFERROR(BJ1083*BO1083*BP1083/BK1083,"")</f>
        <v/>
      </c>
      <c r="BG1083" s="105">
        <f>IFERROR(1/BM1083/BH1083*BQ1083,"")</f>
        <v/>
      </c>
      <c r="BH1083" s="102">
        <f>MAX((CE1083-Driver!$F$200)/(Driver!$G$200-Driver!$F$200)*$BI$1,1)</f>
        <v/>
      </c>
      <c r="BI1083" s="102">
        <f>MAX($BI$1*(BY1083-Driver!$F$201)/(Driver!$G$201-Driver!$F$201),1)</f>
        <v/>
      </c>
      <c r="BJ1083" s="102">
        <f>(CB1083-Driver!$F$206)/(Driver!$G$206-Driver!$F$206)*$BI$1</f>
        <v/>
      </c>
      <c r="BK1083" s="102">
        <f>(CD1083-Driver!$F$203)/(Driver!$G$203-Driver!$F$203)*$BI$1</f>
        <v/>
      </c>
      <c r="BL1083" s="102">
        <f>MAX((CR1083-Driver!$F$202)/(Driver!$G$202-Driver!$F$202)*$BI$1,1)</f>
        <v/>
      </c>
      <c r="BM1083" s="102">
        <f>MAX((CH1083-Driver!$F$204)/(Driver!$G$204-Driver!$F$204)*$BI$1,1)</f>
        <v/>
      </c>
      <c r="BN1083" s="102">
        <f>(CI1083-Driver!$F$205)/(Driver!$G$205-Driver!$F$205)*$BI$1</f>
        <v/>
      </c>
      <c r="BO1083" s="102">
        <f>(CK1083-Driver!$F$207)/(Driver!$G$207-Driver!$F$207)*$BI$1</f>
        <v/>
      </c>
      <c r="BP1083" s="102">
        <f>(CM1083-Driver!$F$208)/(Driver!$G$208-Driver!$F$208)*$BI$1</f>
        <v/>
      </c>
      <c r="BQ1083" s="102">
        <f>(CL1083-Driver!$F$209)/(Driver!$G$209-Driver!$F$209)*$BI$1</f>
        <v/>
      </c>
      <c r="BR1083" s="40" t="inlineStr">
        <is>
          <t>21/22</t>
        </is>
      </c>
      <c r="BS1083" s="10" t="inlineStr">
        <is>
          <t xml:space="preserve"> Faction</t>
        </is>
      </c>
      <c r="BT1083" s="11" t="inlineStr">
        <is>
          <t>Prodigy 2.0 Jr</t>
        </is>
      </c>
      <c r="BU1083" s="13" t="n">
        <v>159</v>
      </c>
      <c r="BV1083" s="11" t="inlineStr">
        <is>
          <t xml:space="preserve"> Junior</t>
        </is>
      </c>
      <c r="BW1083" s="13" t="n">
        <v>159</v>
      </c>
      <c r="BX1083" s="13" t="n">
        <v>157.1</v>
      </c>
      <c r="BY1083" s="13" t="n">
        <v>113</v>
      </c>
      <c r="BZ1083" s="13" t="n">
        <v>133</v>
      </c>
      <c r="CA1083" s="13" t="n">
        <v>128</v>
      </c>
      <c r="CB1083" s="13" t="n">
        <v>97</v>
      </c>
      <c r="CC1083" s="13" t="n">
        <v>124</v>
      </c>
      <c r="CD1083" s="13" t="n">
        <v>13.9</v>
      </c>
      <c r="CE1083" s="13" t="n">
        <v>1460</v>
      </c>
      <c r="CF1083" s="13" t="n">
        <v>1.16</v>
      </c>
      <c r="CG1083" s="13" t="n">
        <v>1699</v>
      </c>
      <c r="CH1083" s="13" t="n">
        <v>131</v>
      </c>
      <c r="CI1083" s="13" t="n">
        <v>45</v>
      </c>
      <c r="CJ1083" s="13" t="n">
        <v>52</v>
      </c>
      <c r="CK1083" s="13" t="n">
        <v>227</v>
      </c>
      <c r="CL1083" s="13" t="n">
        <v>45</v>
      </c>
      <c r="CM1083" s="13" t="n">
        <v>211</v>
      </c>
      <c r="CN1083" s="13" t="n">
        <v>0.874</v>
      </c>
      <c r="CO1083" s="13" t="n">
        <v>128</v>
      </c>
      <c r="CP1083" s="13" t="n">
        <v>113</v>
      </c>
      <c r="CQ1083" s="13" t="n">
        <v>99</v>
      </c>
      <c r="CR1083" s="13" t="n">
        <v>8</v>
      </c>
      <c r="CS1083" s="13" t="n">
        <v>3.4</v>
      </c>
      <c r="CT1083" s="11" t="inlineStr">
        <is>
          <t xml:space="preserve"> Freeski</t>
        </is>
      </c>
      <c r="CU1083" s="11" t="inlineStr">
        <is>
          <t xml:space="preserve"> Touring</t>
        </is>
      </c>
      <c r="CV1083" s="13" t="n"/>
      <c r="CW1083" s="13" t="n"/>
      <c r="CX1083">
        <f>INDEX('Data_Price '!AG$2:AG$1266,MATCH(Data!$DN1083,'Data_Price '!$AT$2:$AT$1266,0))</f>
        <v/>
      </c>
      <c r="CY1083">
        <f>INDEX('Data_Price '!AH$2:AH$1266,MATCH(Data!$DN1083,'Data_Price '!$AT$2:$AT$1266,0))</f>
        <v/>
      </c>
      <c r="CZ1083">
        <f>INDEX('Data_Price '!AI$2:AI$1266,MATCH(Data!$DN1083,'Data_Price '!$AT$2:$AT$1266,0))</f>
        <v/>
      </c>
      <c r="DA1083">
        <f>INDEX('Data_Price '!AJ$2:AJ$1266,MATCH(Data!$DN1083,'Data_Price '!$AT$2:$AT$1266,0))</f>
        <v/>
      </c>
      <c r="DB1083">
        <f>INDEX('Data_Price '!AK$2:AK$1266,MATCH(Data!$DN1083,'Data_Price '!$AT$2:$AT$1266,0))</f>
        <v/>
      </c>
      <c r="DC1083">
        <f>INDEX('Data_Price '!AL$2:AL$1266,MATCH(Data!$DN1083,'Data_Price '!$AT$2:$AT$1266,0))</f>
        <v/>
      </c>
      <c r="DD1083">
        <f>INDEX('Data_Price '!AM$2:AM$1266,MATCH(Data!$DN1083,'Data_Price '!$AT$2:$AT$1266,0))</f>
        <v/>
      </c>
      <c r="DE1083">
        <f>INDEX('Data_Price '!AN$2:AN$1266,MATCH(Data!$DN1083,'Data_Price '!$AT$2:$AT$1266,0))</f>
        <v/>
      </c>
      <c r="DF1083">
        <f>INDEX('Data_Price '!AO$2:AO$1266,MATCH(Data!$DN1083,'Data_Price '!$AT$2:$AT$1266,0))</f>
        <v/>
      </c>
      <c r="DG1083">
        <f>INDEX('Data_Price '!AP$2:AP$1266,MATCH(Data!$DN1083,'Data_Price '!$AT$2:$AT$1266,0))</f>
        <v/>
      </c>
      <c r="DH1083">
        <f>INDEX('Data_Price '!AQ$2:AQ$1266,MATCH(Data!$DN1083,'Data_Price '!$AT$2:$AT$1266,0))</f>
        <v/>
      </c>
      <c r="DI1083">
        <f>INDEX('Data_Price '!AR$2:AR$1266,MATCH(Data!$DN1083,'Data_Price '!$AT$2:$AT$1266,0))</f>
        <v/>
      </c>
      <c r="DJ1083" s="138">
        <f>DA1083</f>
        <v/>
      </c>
      <c r="DK1083" s="138">
        <f>DE1083</f>
        <v/>
      </c>
      <c r="DL1083" s="138">
        <f>DI1083</f>
        <v/>
      </c>
      <c r="DM1083" s="303">
        <f>IF(LEFT(BT1083,1)=" ",RIGHT(BT1083,LEN(BT1083)-1),BT1083)</f>
        <v/>
      </c>
      <c r="DN1083" s="138">
        <f>_xlfn.CONCAT(BS1083,DM1083,BU1083,BV1083)</f>
        <v/>
      </c>
      <c r="DO1083" s="307" t="n"/>
    </row>
    <row r="1084" ht="15.6" customHeight="1" s="184">
      <c r="B1084" s="303">
        <f t="array" ref="B1084">IF(OR(ISERROR(K1084:P1084)),FALSE,TRUE)</f>
        <v/>
      </c>
      <c r="C1084" s="60">
        <f>OR(BR1084=Driver!$G$50,Data!BR350=Driver!$H$50)</f>
        <v/>
      </c>
      <c r="D1084" s="60">
        <f>OR(BV1084=Driver!$G$51,BV1084=Driver!$H$51)</f>
        <v/>
      </c>
      <c r="E1084" s="60">
        <f>AND(BX1084&gt;Driver!$F$54,BX1084&lt;Driver!$G$54)</f>
        <v/>
      </c>
      <c r="F1084" s="60">
        <f>CL1084&gt;Driver!$F$56</f>
        <v/>
      </c>
      <c r="G1084" s="60">
        <f>AND(CB1084&gt;Driver!$F$55,CB1084&lt;Driver!$G$55)</f>
        <v/>
      </c>
      <c r="H1084" s="60">
        <f>AND(B1084:G1084)</f>
        <v/>
      </c>
      <c r="I1084" s="60">
        <f>COUNTIFS($H$9:$H$1273,TRUE,$BT$9:$BT$1273,BT1084)</f>
        <v/>
      </c>
      <c r="J1084" s="60">
        <f t="array" ref="J1084">NOT(OR(($H$9:$H$1273=TRUE)*($I$9:$I$1273&gt;0)*($BT$9:$BT$1273=BT1084)*($K$9:$K$1273&gt;K1084)))</f>
        <v/>
      </c>
      <c r="K1084" s="108">
        <f>IFERROR(1-AVERAGE(X1084:Y1084),"")</f>
        <v/>
      </c>
      <c r="L1084" s="108">
        <f>1-X1084</f>
        <v/>
      </c>
      <c r="M1084" s="108">
        <f>1-Y1084</f>
        <v/>
      </c>
      <c r="N1084" s="108">
        <f>1-Z1084</f>
        <v/>
      </c>
      <c r="O1084" s="108">
        <f>1-AA1084</f>
        <v/>
      </c>
      <c r="P1084" s="108">
        <f>1-AB1084</f>
        <v/>
      </c>
      <c r="Q1084" s="108" t="n"/>
      <c r="R1084" s="108" t="n"/>
      <c r="S1084" s="108">
        <f>1-AE1084</f>
        <v/>
      </c>
      <c r="T1084" s="108">
        <f>1-AF1084</f>
        <v/>
      </c>
      <c r="U1084" s="108">
        <f>1-AG1084</f>
        <v/>
      </c>
      <c r="V1084" s="108">
        <f>1-AH1084</f>
        <v/>
      </c>
      <c r="W1084" s="108">
        <f>1-AI1084</f>
        <v/>
      </c>
      <c r="X1084" s="108">
        <f>ABS(AJ1084-AJ$1)</f>
        <v/>
      </c>
      <c r="Y1084" s="108">
        <f>AVERAGE(Z1084:AB1084)</f>
        <v/>
      </c>
      <c r="Z1084" s="108">
        <f>ABS(AL1084-AL$1)</f>
        <v/>
      </c>
      <c r="AA1084" s="108">
        <f>ABS(AM1084-AM$1)</f>
        <v/>
      </c>
      <c r="AB1084" s="108">
        <f>ABS(AN1084-AN$1)</f>
        <v/>
      </c>
      <c r="AC1084" s="108" t="n"/>
      <c r="AD1084" s="108" t="n"/>
      <c r="AE1084" s="108">
        <f>ABS(AQ$1-AQ1084)</f>
        <v/>
      </c>
      <c r="AF1084" s="108">
        <f>ABS(AR$1-AR1084)</f>
        <v/>
      </c>
      <c r="AG1084" s="108">
        <f>ABS(AS$1-AS1084)</f>
        <v/>
      </c>
      <c r="AH1084" s="108">
        <f>ABS(AT$1-AT1084)</f>
        <v/>
      </c>
      <c r="AI1084" s="108">
        <f>ABS(AU$1-AU1084)</f>
        <v/>
      </c>
      <c r="AJ1084" s="108">
        <f>(AV1084-Driver!$K$179)/(Driver!$L$179-Driver!$K$179)</f>
        <v/>
      </c>
      <c r="AK1084" s="108">
        <f>(AW1084-Driver!$K$180)/(Driver!$L$180-Driver!$K$180)</f>
        <v/>
      </c>
      <c r="AL1084" s="108">
        <f>(AX1084-Driver!$K$181)/(Driver!$L$181-Driver!$K$181)</f>
        <v/>
      </c>
      <c r="AM1084" s="108">
        <f>(AY1084-Driver!$K$182)/(Driver!$L$182-Driver!$K$182)</f>
        <v/>
      </c>
      <c r="AN1084" s="108">
        <f>(AZ1084-Driver!$K$183)/(Driver!$L$183-Driver!$K$183)</f>
        <v/>
      </c>
      <c r="AO1084" s="108" t="n"/>
      <c r="AP1084" s="108" t="n"/>
      <c r="AQ1084" s="108">
        <f>(BC1084-Driver!$K$188)/(Driver!$L$188-Driver!$K$188)</f>
        <v/>
      </c>
      <c r="AR1084" s="108">
        <f>MIN((BD1084-Driver!$K$189)/(Driver!$L$189-Driver!$K$189),100%)</f>
        <v/>
      </c>
      <c r="AS1084" s="108">
        <f>(BE1084-Driver!$K$190)/(Driver!$L$190-Driver!$K$190)</f>
        <v/>
      </c>
      <c r="AT1084" s="108">
        <f>(BF1084-Driver!$K$191)/(Driver!$L$191-Driver!$K$191)</f>
        <v/>
      </c>
      <c r="AU1084" s="108">
        <f>(BG1084-Driver!$K$192)/(Driver!$L$192-Driver!$K$192)</f>
        <v/>
      </c>
      <c r="AV1084" s="105">
        <f>IFERROR(BM1084*BJ1084^1/4,"")</f>
        <v/>
      </c>
      <c r="AW1084" s="105">
        <f>IFERROR(SUM(AX1084:AZ1084),"")</f>
        <v/>
      </c>
      <c r="AX1084" s="105">
        <f>IFERROR(BH1084,"")</f>
        <v/>
      </c>
      <c r="AY1084" s="105">
        <f>IFERROR(Driver!$K$19/Data!BH1084/Data!BI1084*Data!BK1084*Data!BL1084,"")</f>
        <v/>
      </c>
      <c r="AZ1084" s="105">
        <f>IFERROR(BI1084*BN1084,"")</f>
        <v/>
      </c>
      <c r="BA1084" s="105" t="n"/>
      <c r="BB1084" s="105" t="n"/>
      <c r="BC1084" s="105">
        <f>IFERROR(BI1084*BN1084*BK1084/BJ1084^(1/2),"")</f>
        <v/>
      </c>
      <c r="BD1084" s="105">
        <f>IFERROR(BH1084*BM1084*BL1084/BJ1084/BK1084,"")</f>
        <v/>
      </c>
      <c r="BE1084" s="105">
        <f>IFERROR(MIN(BI1084/BQ1084/BP1084/BO1084/BH1084,$BE$1),"")</f>
        <v/>
      </c>
      <c r="BF1084" s="105">
        <f>IFERROR(BJ1084*BO1084*BP1084/BK1084,"")</f>
        <v/>
      </c>
      <c r="BG1084" s="105">
        <f>IFERROR(1/BM1084/BH1084*BQ1084,"")</f>
        <v/>
      </c>
      <c r="BH1084" s="102">
        <f>MAX((CE1084-Driver!$F$200)/(Driver!$G$200-Driver!$F$200)*$BI$1,1)</f>
        <v/>
      </c>
      <c r="BI1084" s="102">
        <f>MAX($BI$1*(BY1084-Driver!$F$201)/(Driver!$G$201-Driver!$F$201),1)</f>
        <v/>
      </c>
      <c r="BJ1084" s="102">
        <f>(CB1084-Driver!$F$206)/(Driver!$G$206-Driver!$F$206)*$BI$1</f>
        <v/>
      </c>
      <c r="BK1084" s="102">
        <f>(CD1084-Driver!$F$203)/(Driver!$G$203-Driver!$F$203)*$BI$1</f>
        <v/>
      </c>
      <c r="BL1084" s="102">
        <f>MAX((CR1084-Driver!$F$202)/(Driver!$G$202-Driver!$F$202)*$BI$1,1)</f>
        <v/>
      </c>
      <c r="BM1084" s="102">
        <f>MAX((CH1084-Driver!$F$204)/(Driver!$G$204-Driver!$F$204)*$BI$1,1)</f>
        <v/>
      </c>
      <c r="BN1084" s="102">
        <f>(CI1084-Driver!$F$205)/(Driver!$G$205-Driver!$F$205)*$BI$1</f>
        <v/>
      </c>
      <c r="BO1084" s="102">
        <f>(CK1084-Driver!$F$207)/(Driver!$G$207-Driver!$F$207)*$BI$1</f>
        <v/>
      </c>
      <c r="BP1084" s="102">
        <f>(CM1084-Driver!$F$208)/(Driver!$G$208-Driver!$F$208)*$BI$1</f>
        <v/>
      </c>
      <c r="BQ1084" s="102">
        <f>(CL1084-Driver!$F$209)/(Driver!$G$209-Driver!$F$209)*$BI$1</f>
        <v/>
      </c>
      <c r="BR1084" s="40" t="inlineStr">
        <is>
          <t>21/22</t>
        </is>
      </c>
      <c r="BS1084" s="10" t="inlineStr">
        <is>
          <t xml:space="preserve"> DPS</t>
        </is>
      </c>
      <c r="BT1084" s="11" t="inlineStr">
        <is>
          <t>Pagoda Piste 100 C2</t>
        </is>
      </c>
      <c r="BU1084" s="13" t="n">
        <v>184</v>
      </c>
      <c r="BV1084" s="11" t="inlineStr">
        <is>
          <t xml:space="preserve"> Unisex</t>
        </is>
      </c>
      <c r="BW1084" s="13" t="n">
        <v>184</v>
      </c>
      <c r="BX1084" s="13" t="n">
        <v>183.4</v>
      </c>
      <c r="BY1084" s="13" t="n">
        <v>133</v>
      </c>
      <c r="BZ1084" s="13" t="n">
        <v>146</v>
      </c>
      <c r="CA1084" s="13" t="n">
        <v>132</v>
      </c>
      <c r="CB1084" s="13" t="n">
        <v>100</v>
      </c>
      <c r="CC1084" s="13" t="n">
        <v>116</v>
      </c>
      <c r="CD1084" s="13" t="n">
        <v>19.2</v>
      </c>
      <c r="CE1084" s="13" t="n">
        <v>2074</v>
      </c>
      <c r="CF1084" s="13" t="n">
        <v>0.97</v>
      </c>
      <c r="CG1084" s="13" t="n">
        <v>2019</v>
      </c>
      <c r="CH1084" s="13" t="n">
        <v>249</v>
      </c>
      <c r="CI1084" s="13" t="n">
        <v>138</v>
      </c>
      <c r="CJ1084" s="13" t="n">
        <v>54</v>
      </c>
      <c r="CK1084" s="13" t="n">
        <v>278</v>
      </c>
      <c r="CL1084" s="13" t="n">
        <v>24</v>
      </c>
      <c r="CM1084" s="13" t="n">
        <v>223</v>
      </c>
      <c r="CN1084" s="13" t="n">
        <v>0.451</v>
      </c>
      <c r="CO1084" s="13" t="n">
        <v>181</v>
      </c>
      <c r="CP1084" s="13" t="n">
        <v>189</v>
      </c>
      <c r="CQ1084" s="13" t="n">
        <v>96</v>
      </c>
      <c r="CR1084" s="13" t="n">
        <v>7</v>
      </c>
      <c r="CS1084" s="13" t="n">
        <v>10.8</v>
      </c>
      <c r="CT1084" s="11" t="inlineStr">
        <is>
          <t xml:space="preserve"> Resort Freeride</t>
        </is>
      </c>
      <c r="CU1084" s="13" t="n"/>
      <c r="CV1084" s="13" t="n"/>
      <c r="CW1084" s="13" t="n"/>
      <c r="CX1084">
        <f>INDEX('Data_Price '!AG$2:AG$1266,MATCH(Data!$DN1084,'Data_Price '!$AT$2:$AT$1266,0))</f>
        <v/>
      </c>
      <c r="CY1084">
        <f>INDEX('Data_Price '!AH$2:AH$1266,MATCH(Data!$DN1084,'Data_Price '!$AT$2:$AT$1266,0))</f>
        <v/>
      </c>
      <c r="CZ1084">
        <f>INDEX('Data_Price '!AI$2:AI$1266,MATCH(Data!$DN1084,'Data_Price '!$AT$2:$AT$1266,0))</f>
        <v/>
      </c>
      <c r="DA1084">
        <f>INDEX('Data_Price '!AJ$2:AJ$1266,MATCH(Data!$DN1084,'Data_Price '!$AT$2:$AT$1266,0))</f>
        <v/>
      </c>
      <c r="DB1084">
        <f>INDEX('Data_Price '!AK$2:AK$1266,MATCH(Data!$DN1084,'Data_Price '!$AT$2:$AT$1266,0))</f>
        <v/>
      </c>
      <c r="DC1084">
        <f>INDEX('Data_Price '!AL$2:AL$1266,MATCH(Data!$DN1084,'Data_Price '!$AT$2:$AT$1266,0))</f>
        <v/>
      </c>
      <c r="DD1084">
        <f>INDEX('Data_Price '!AM$2:AM$1266,MATCH(Data!$DN1084,'Data_Price '!$AT$2:$AT$1266,0))</f>
        <v/>
      </c>
      <c r="DE1084">
        <f>INDEX('Data_Price '!AN$2:AN$1266,MATCH(Data!$DN1084,'Data_Price '!$AT$2:$AT$1266,0))</f>
        <v/>
      </c>
      <c r="DF1084">
        <f>INDEX('Data_Price '!AO$2:AO$1266,MATCH(Data!$DN1084,'Data_Price '!$AT$2:$AT$1266,0))</f>
        <v/>
      </c>
      <c r="DG1084">
        <f>INDEX('Data_Price '!AP$2:AP$1266,MATCH(Data!$DN1084,'Data_Price '!$AT$2:$AT$1266,0))</f>
        <v/>
      </c>
      <c r="DH1084">
        <f>INDEX('Data_Price '!AQ$2:AQ$1266,MATCH(Data!$DN1084,'Data_Price '!$AT$2:$AT$1266,0))</f>
        <v/>
      </c>
      <c r="DI1084">
        <f>INDEX('Data_Price '!AR$2:AR$1266,MATCH(Data!$DN1084,'Data_Price '!$AT$2:$AT$1266,0))</f>
        <v/>
      </c>
      <c r="DJ1084" s="138">
        <f>DA1084</f>
        <v/>
      </c>
      <c r="DK1084" s="138">
        <f>DE1084</f>
        <v/>
      </c>
      <c r="DL1084" s="138">
        <f>DI1084</f>
        <v/>
      </c>
      <c r="DM1084" s="303">
        <f>IF(LEFT(BT1084,1)=" ",RIGHT(BT1084,LEN(BT1084)-1),BT1084)</f>
        <v/>
      </c>
      <c r="DN1084" s="138">
        <f>_xlfn.CONCAT(BS1084,DM1084,BU1084,BV1084)</f>
        <v/>
      </c>
      <c r="DO1084" s="307" t="n"/>
    </row>
    <row r="1085" ht="15.6" customHeight="1" s="184">
      <c r="B1085" s="303">
        <f t="array" ref="B1085">IF(OR(ISERROR(K1085:P1085)),FALSE,TRUE)</f>
        <v/>
      </c>
      <c r="C1085" s="60">
        <f>OR(BR1085=Driver!$G$50,Data!BR891=Driver!$H$50)</f>
        <v/>
      </c>
      <c r="D1085" s="60">
        <f>OR(BV1085=Driver!$G$51,BV1085=Driver!$H$51)</f>
        <v/>
      </c>
      <c r="E1085" s="60">
        <f>AND(BX1085&gt;Driver!$F$54,BX1085&lt;Driver!$G$54)</f>
        <v/>
      </c>
      <c r="F1085" s="60">
        <f>CL1085&gt;Driver!$F$56</f>
        <v/>
      </c>
      <c r="G1085" s="60">
        <f>AND(CB1085&gt;Driver!$F$55,CB1085&lt;Driver!$G$55)</f>
        <v/>
      </c>
      <c r="H1085" s="60">
        <f>AND(B1085:G1085)</f>
        <v/>
      </c>
      <c r="I1085" s="60">
        <f>COUNTIFS($H$9:$H$1273,TRUE,$BT$9:$BT$1273,BT1085)</f>
        <v/>
      </c>
      <c r="J1085" s="60">
        <f t="array" ref="J1085">NOT(OR(($H$9:$H$1273=TRUE)*($I$9:$I$1273&gt;0)*($BT$9:$BT$1273=BT1085)*($K$9:$K$1273&gt;K1085)))</f>
        <v/>
      </c>
      <c r="K1085" s="108">
        <f>IFERROR(1-AVERAGE(X1085:Y1085),"")</f>
        <v/>
      </c>
      <c r="L1085" s="108">
        <f>1-X1085</f>
        <v/>
      </c>
      <c r="M1085" s="108">
        <f>1-Y1085</f>
        <v/>
      </c>
      <c r="N1085" s="108">
        <f>1-Z1085</f>
        <v/>
      </c>
      <c r="O1085" s="108">
        <f>1-AA1085</f>
        <v/>
      </c>
      <c r="P1085" s="108">
        <f>1-AB1085</f>
        <v/>
      </c>
      <c r="Q1085" s="108" t="n"/>
      <c r="R1085" s="108" t="n"/>
      <c r="S1085" s="108">
        <f>1-AE1085</f>
        <v/>
      </c>
      <c r="T1085" s="108">
        <f>1-AF1085</f>
        <v/>
      </c>
      <c r="U1085" s="108">
        <f>1-AG1085</f>
        <v/>
      </c>
      <c r="V1085" s="108">
        <f>1-AH1085</f>
        <v/>
      </c>
      <c r="W1085" s="108">
        <f>1-AI1085</f>
        <v/>
      </c>
      <c r="X1085" s="108">
        <f>ABS(AJ1085-AJ$1)</f>
        <v/>
      </c>
      <c r="Y1085" s="108">
        <f>AVERAGE(Z1085:AB1085)</f>
        <v/>
      </c>
      <c r="Z1085" s="108">
        <f>ABS(AL1085-AL$1)</f>
        <v/>
      </c>
      <c r="AA1085" s="108">
        <f>ABS(AM1085-AM$1)</f>
        <v/>
      </c>
      <c r="AB1085" s="108">
        <f>ABS(AN1085-AN$1)</f>
        <v/>
      </c>
      <c r="AC1085" s="108" t="n"/>
      <c r="AD1085" s="108" t="n"/>
      <c r="AE1085" s="108">
        <f>ABS(AQ$1-AQ1085)</f>
        <v/>
      </c>
      <c r="AF1085" s="108">
        <f>ABS(AR$1-AR1085)</f>
        <v/>
      </c>
      <c r="AG1085" s="108">
        <f>ABS(AS$1-AS1085)</f>
        <v/>
      </c>
      <c r="AH1085" s="108">
        <f>ABS(AT$1-AT1085)</f>
        <v/>
      </c>
      <c r="AI1085" s="108">
        <f>ABS(AU$1-AU1085)</f>
        <v/>
      </c>
      <c r="AJ1085" s="108">
        <f>(AV1085-Driver!$K$179)/(Driver!$L$179-Driver!$K$179)</f>
        <v/>
      </c>
      <c r="AK1085" s="108">
        <f>(AW1085-Driver!$K$180)/(Driver!$L$180-Driver!$K$180)</f>
        <v/>
      </c>
      <c r="AL1085" s="108">
        <f>(AX1085-Driver!$K$181)/(Driver!$L$181-Driver!$K$181)</f>
        <v/>
      </c>
      <c r="AM1085" s="108">
        <f>(AY1085-Driver!$K$182)/(Driver!$L$182-Driver!$K$182)</f>
        <v/>
      </c>
      <c r="AN1085" s="108">
        <f>(AZ1085-Driver!$K$183)/(Driver!$L$183-Driver!$K$183)</f>
        <v/>
      </c>
      <c r="AO1085" s="108" t="n"/>
      <c r="AP1085" s="108" t="n"/>
      <c r="AQ1085" s="108">
        <f>(BC1085-Driver!$K$188)/(Driver!$L$188-Driver!$K$188)</f>
        <v/>
      </c>
      <c r="AR1085" s="108">
        <f>MIN((BD1085-Driver!$K$189)/(Driver!$L$189-Driver!$K$189),100%)</f>
        <v/>
      </c>
      <c r="AS1085" s="108">
        <f>(BE1085-Driver!$K$190)/(Driver!$L$190-Driver!$K$190)</f>
        <v/>
      </c>
      <c r="AT1085" s="108">
        <f>(BF1085-Driver!$K$191)/(Driver!$L$191-Driver!$K$191)</f>
        <v/>
      </c>
      <c r="AU1085" s="108">
        <f>(BG1085-Driver!$K$192)/(Driver!$L$192-Driver!$K$192)</f>
        <v/>
      </c>
      <c r="AV1085" s="105">
        <f>IFERROR(BM1085*BJ1085^1/4,"")</f>
        <v/>
      </c>
      <c r="AW1085" s="105">
        <f>IFERROR(SUM(AX1085:AZ1085),"")</f>
        <v/>
      </c>
      <c r="AX1085" s="105">
        <f>IFERROR(BH1085,"")</f>
        <v/>
      </c>
      <c r="AY1085" s="105">
        <f>IFERROR(Driver!$K$19/Data!BH1085/Data!BI1085*Data!BK1085*Data!BL1085,"")</f>
        <v/>
      </c>
      <c r="AZ1085" s="105">
        <f>IFERROR(BI1085*BN1085,"")</f>
        <v/>
      </c>
      <c r="BA1085" s="105" t="n"/>
      <c r="BB1085" s="105" t="n"/>
      <c r="BC1085" s="105">
        <f>IFERROR(BI1085*BN1085*BK1085/BJ1085^(1/2),"")</f>
        <v/>
      </c>
      <c r="BD1085" s="105">
        <f>IFERROR(BH1085*BM1085*BL1085/BJ1085/BK1085,"")</f>
        <v/>
      </c>
      <c r="BE1085" s="105">
        <f>IFERROR(MIN(BI1085/BQ1085/BP1085/BO1085/BH1085,$BE$1),"")</f>
        <v/>
      </c>
      <c r="BF1085" s="105">
        <f>IFERROR(BJ1085*BO1085*BP1085/BK1085,"")</f>
        <v/>
      </c>
      <c r="BG1085" s="105">
        <f>IFERROR(1/BM1085/BH1085*BQ1085,"")</f>
        <v/>
      </c>
      <c r="BH1085" s="102">
        <f>MAX((CE1085-Driver!$F$200)/(Driver!$G$200-Driver!$F$200)*$BI$1,1)</f>
        <v/>
      </c>
      <c r="BI1085" s="102">
        <f>MAX($BI$1*(BY1085-Driver!$F$201)/(Driver!$G$201-Driver!$F$201),1)</f>
        <v/>
      </c>
      <c r="BJ1085" s="102">
        <f>(CB1085-Driver!$F$206)/(Driver!$G$206-Driver!$F$206)*$BI$1</f>
        <v/>
      </c>
      <c r="BK1085" s="102">
        <f>(CD1085-Driver!$F$203)/(Driver!$G$203-Driver!$F$203)*$BI$1</f>
        <v/>
      </c>
      <c r="BL1085" s="102">
        <f>MAX((CR1085-Driver!$F$202)/(Driver!$G$202-Driver!$F$202)*$BI$1,1)</f>
        <v/>
      </c>
      <c r="BM1085" s="102">
        <f>MAX((CH1085-Driver!$F$204)/(Driver!$G$204-Driver!$F$204)*$BI$1,1)</f>
        <v/>
      </c>
      <c r="BN1085" s="102">
        <f>(CI1085-Driver!$F$205)/(Driver!$G$205-Driver!$F$205)*$BI$1</f>
        <v/>
      </c>
      <c r="BO1085" s="102">
        <f>(CK1085-Driver!$F$207)/(Driver!$G$207-Driver!$F$207)*$BI$1</f>
        <v/>
      </c>
      <c r="BP1085" s="102">
        <f>(CM1085-Driver!$F$208)/(Driver!$G$208-Driver!$F$208)*$BI$1</f>
        <v/>
      </c>
      <c r="BQ1085" s="102">
        <f>(CL1085-Driver!$F$209)/(Driver!$G$209-Driver!$F$209)*$BI$1</f>
        <v/>
      </c>
      <c r="BR1085" s="40" t="inlineStr">
        <is>
          <t>21/22</t>
        </is>
      </c>
      <c r="BS1085" s="10" t="inlineStr">
        <is>
          <t xml:space="preserve"> Nordica</t>
        </is>
      </c>
      <c r="BT1085" s="11" t="inlineStr">
        <is>
          <t xml:space="preserve"> Dobermann SLR Rb</t>
        </is>
      </c>
      <c r="BU1085" s="13" t="n">
        <v>170</v>
      </c>
      <c r="BV1085" s="11" t="inlineStr">
        <is>
          <t xml:space="preserve"> Unisex</t>
        </is>
      </c>
      <c r="BW1085" s="13" t="n">
        <v>170</v>
      </c>
      <c r="BX1085" s="13" t="n">
        <v>168.9</v>
      </c>
      <c r="BY1085" s="13" t="n">
        <v>149</v>
      </c>
      <c r="BZ1085" s="13" t="n">
        <v>157</v>
      </c>
      <c r="CA1085" s="13" t="n">
        <v>120</v>
      </c>
      <c r="CB1085" s="13" t="n">
        <v>69</v>
      </c>
      <c r="CC1085" s="13" t="n">
        <v>103</v>
      </c>
      <c r="CD1085" s="13" t="n">
        <v>14</v>
      </c>
      <c r="CE1085" s="13" t="n">
        <v>2053</v>
      </c>
      <c r="CF1085" s="13" t="n">
        <v>0.7</v>
      </c>
      <c r="CG1085" s="13" t="n">
        <v>1428</v>
      </c>
      <c r="CH1085" s="13" t="n">
        <v>242</v>
      </c>
      <c r="CI1085" s="13" t="n">
        <v>109</v>
      </c>
      <c r="CJ1085" s="13" t="n">
        <v>45</v>
      </c>
      <c r="CK1085" s="13" t="n">
        <v>150</v>
      </c>
      <c r="CL1085" s="13" t="n">
        <v>6</v>
      </c>
      <c r="CM1085" s="13" t="n">
        <v>49</v>
      </c>
      <c r="CN1085" s="13" t="n">
        <v>0.127</v>
      </c>
      <c r="CO1085" s="13" t="n">
        <v>62</v>
      </c>
      <c r="CP1085" s="13" t="n">
        <v>55</v>
      </c>
      <c r="CQ1085" s="13" t="n">
        <v>89</v>
      </c>
      <c r="CR1085" s="13" t="n">
        <v>7</v>
      </c>
      <c r="CS1085" s="13" t="n">
        <v>12.1</v>
      </c>
      <c r="CT1085" s="11" t="inlineStr">
        <is>
          <t xml:space="preserve"> On-Piste Carving</t>
        </is>
      </c>
      <c r="CU1085" s="13" t="n"/>
      <c r="CV1085" s="13" t="n"/>
      <c r="CW1085" s="13" t="n"/>
      <c r="CX1085">
        <f>INDEX('Data_Price '!AG$2:AG$1266,MATCH(Data!$DN1085,'Data_Price '!$AT$2:$AT$1266,0))</f>
        <v/>
      </c>
      <c r="CY1085">
        <f>INDEX('Data_Price '!AH$2:AH$1266,MATCH(Data!$DN1085,'Data_Price '!$AT$2:$AT$1266,0))</f>
        <v/>
      </c>
      <c r="CZ1085">
        <f>INDEX('Data_Price '!AI$2:AI$1266,MATCH(Data!$DN1085,'Data_Price '!$AT$2:$AT$1266,0))</f>
        <v/>
      </c>
      <c r="DA1085">
        <f>INDEX('Data_Price '!AJ$2:AJ$1266,MATCH(Data!$DN1085,'Data_Price '!$AT$2:$AT$1266,0))</f>
        <v/>
      </c>
      <c r="DB1085">
        <f>INDEX('Data_Price '!AK$2:AK$1266,MATCH(Data!$DN1085,'Data_Price '!$AT$2:$AT$1266,0))</f>
        <v/>
      </c>
      <c r="DC1085">
        <f>INDEX('Data_Price '!AL$2:AL$1266,MATCH(Data!$DN1085,'Data_Price '!$AT$2:$AT$1266,0))</f>
        <v/>
      </c>
      <c r="DD1085">
        <f>INDEX('Data_Price '!AM$2:AM$1266,MATCH(Data!$DN1085,'Data_Price '!$AT$2:$AT$1266,0))</f>
        <v/>
      </c>
      <c r="DE1085">
        <f>INDEX('Data_Price '!AN$2:AN$1266,MATCH(Data!$DN1085,'Data_Price '!$AT$2:$AT$1266,0))</f>
        <v/>
      </c>
      <c r="DF1085">
        <f>INDEX('Data_Price '!AO$2:AO$1266,MATCH(Data!$DN1085,'Data_Price '!$AT$2:$AT$1266,0))</f>
        <v/>
      </c>
      <c r="DG1085">
        <f>INDEX('Data_Price '!AP$2:AP$1266,MATCH(Data!$DN1085,'Data_Price '!$AT$2:$AT$1266,0))</f>
        <v/>
      </c>
      <c r="DH1085">
        <f>INDEX('Data_Price '!AQ$2:AQ$1266,MATCH(Data!$DN1085,'Data_Price '!$AT$2:$AT$1266,0))</f>
        <v/>
      </c>
      <c r="DI1085">
        <f>INDEX('Data_Price '!AR$2:AR$1266,MATCH(Data!$DN1085,'Data_Price '!$AT$2:$AT$1266,0))</f>
        <v/>
      </c>
      <c r="DJ1085" s="138">
        <f>DA1085</f>
        <v/>
      </c>
      <c r="DK1085" s="138">
        <f>DE1085</f>
        <v/>
      </c>
      <c r="DL1085" s="138">
        <f>DI1085</f>
        <v/>
      </c>
      <c r="DM1085" s="303">
        <f>IF(LEFT(BT1085,1)=" ",RIGHT(BT1085,LEN(BT1085)-1),BT1085)</f>
        <v/>
      </c>
      <c r="DN1085" s="138">
        <f>_xlfn.CONCAT(BS1085,DM1085,BU1085,BV1085)</f>
        <v/>
      </c>
      <c r="DO1085" s="307" t="n"/>
    </row>
    <row r="1086" ht="15.6" customHeight="1" s="184">
      <c r="B1086" s="303">
        <f t="array" ref="B1086">IF(OR(ISERROR(K1086:P1086)),FALSE,TRUE)</f>
        <v/>
      </c>
      <c r="C1086" s="60">
        <f>OR(BR1086=Driver!$G$50,Data!BR900=Driver!$H$50)</f>
        <v/>
      </c>
      <c r="D1086" s="60">
        <f>OR(BV1086=Driver!$G$51,BV1086=Driver!$H$51)</f>
        <v/>
      </c>
      <c r="E1086" s="60">
        <f>AND(BX1086&gt;Driver!$F$54,BX1086&lt;Driver!$G$54)</f>
        <v/>
      </c>
      <c r="F1086" s="60">
        <f>CL1086&gt;Driver!$F$56</f>
        <v/>
      </c>
      <c r="G1086" s="60">
        <f>AND(CB1086&gt;Driver!$F$55,CB1086&lt;Driver!$G$55)</f>
        <v/>
      </c>
      <c r="H1086" s="60">
        <f>AND(B1086:G1086)</f>
        <v/>
      </c>
      <c r="I1086" s="60">
        <f>COUNTIFS($H$9:$H$1273,TRUE,$BT$9:$BT$1273,BT1086)</f>
        <v/>
      </c>
      <c r="J1086" s="60">
        <f t="array" ref="J1086">NOT(OR(($H$9:$H$1273=TRUE)*($I$9:$I$1273&gt;0)*($BT$9:$BT$1273=BT1086)*($K$9:$K$1273&gt;K1086)))</f>
        <v/>
      </c>
      <c r="K1086" s="108">
        <f>IFERROR(1-AVERAGE(X1086:Y1086),"")</f>
        <v/>
      </c>
      <c r="L1086" s="108">
        <f>1-X1086</f>
        <v/>
      </c>
      <c r="M1086" s="108">
        <f>1-Y1086</f>
        <v/>
      </c>
      <c r="N1086" s="108">
        <f>1-Z1086</f>
        <v/>
      </c>
      <c r="O1086" s="108">
        <f>1-AA1086</f>
        <v/>
      </c>
      <c r="P1086" s="108">
        <f>1-AB1086</f>
        <v/>
      </c>
      <c r="Q1086" s="108" t="n"/>
      <c r="R1086" s="108" t="n"/>
      <c r="S1086" s="108">
        <f>1-AE1086</f>
        <v/>
      </c>
      <c r="T1086" s="108">
        <f>1-AF1086</f>
        <v/>
      </c>
      <c r="U1086" s="108">
        <f>1-AG1086</f>
        <v/>
      </c>
      <c r="V1086" s="108">
        <f>1-AH1086</f>
        <v/>
      </c>
      <c r="W1086" s="108">
        <f>1-AI1086</f>
        <v/>
      </c>
      <c r="X1086" s="108">
        <f>ABS(AJ1086-AJ$1)</f>
        <v/>
      </c>
      <c r="Y1086" s="108">
        <f>AVERAGE(Z1086:AB1086)</f>
        <v/>
      </c>
      <c r="Z1086" s="108">
        <f>ABS(AL1086-AL$1)</f>
        <v/>
      </c>
      <c r="AA1086" s="108">
        <f>ABS(AM1086-AM$1)</f>
        <v/>
      </c>
      <c r="AB1086" s="108">
        <f>ABS(AN1086-AN$1)</f>
        <v/>
      </c>
      <c r="AC1086" s="108" t="n"/>
      <c r="AD1086" s="108" t="n"/>
      <c r="AE1086" s="108">
        <f>ABS(AQ$1-AQ1086)</f>
        <v/>
      </c>
      <c r="AF1086" s="108">
        <f>ABS(AR$1-AR1086)</f>
        <v/>
      </c>
      <c r="AG1086" s="108">
        <f>ABS(AS$1-AS1086)</f>
        <v/>
      </c>
      <c r="AH1086" s="108">
        <f>ABS(AT$1-AT1086)</f>
        <v/>
      </c>
      <c r="AI1086" s="108">
        <f>ABS(AU$1-AU1086)</f>
        <v/>
      </c>
      <c r="AJ1086" s="108">
        <f>(AV1086-Driver!$K$179)/(Driver!$L$179-Driver!$K$179)</f>
        <v/>
      </c>
      <c r="AK1086" s="108">
        <f>(AW1086-Driver!$K$180)/(Driver!$L$180-Driver!$K$180)</f>
        <v/>
      </c>
      <c r="AL1086" s="108">
        <f>(AX1086-Driver!$K$181)/(Driver!$L$181-Driver!$K$181)</f>
        <v/>
      </c>
      <c r="AM1086" s="108">
        <f>(AY1086-Driver!$K$182)/(Driver!$L$182-Driver!$K$182)</f>
        <v/>
      </c>
      <c r="AN1086" s="108">
        <f>(AZ1086-Driver!$K$183)/(Driver!$L$183-Driver!$K$183)</f>
        <v/>
      </c>
      <c r="AO1086" s="108" t="n"/>
      <c r="AP1086" s="108" t="n"/>
      <c r="AQ1086" s="108">
        <f>(BC1086-Driver!$K$188)/(Driver!$L$188-Driver!$K$188)</f>
        <v/>
      </c>
      <c r="AR1086" s="108">
        <f>MIN((BD1086-Driver!$K$189)/(Driver!$L$189-Driver!$K$189),100%)</f>
        <v/>
      </c>
      <c r="AS1086" s="108">
        <f>(BE1086-Driver!$K$190)/(Driver!$L$190-Driver!$K$190)</f>
        <v/>
      </c>
      <c r="AT1086" s="108">
        <f>(BF1086-Driver!$K$191)/(Driver!$L$191-Driver!$K$191)</f>
        <v/>
      </c>
      <c r="AU1086" s="108">
        <f>(BG1086-Driver!$K$192)/(Driver!$L$192-Driver!$K$192)</f>
        <v/>
      </c>
      <c r="AV1086" s="105">
        <f>IFERROR(BM1086*BJ1086^1/4,"")</f>
        <v/>
      </c>
      <c r="AW1086" s="105">
        <f>IFERROR(SUM(AX1086:AZ1086),"")</f>
        <v/>
      </c>
      <c r="AX1086" s="105">
        <f>IFERROR(BH1086,"")</f>
        <v/>
      </c>
      <c r="AY1086" s="105">
        <f>IFERROR(Driver!$K$19/Data!BH1086/Data!BI1086*Data!BK1086*Data!BL1086,"")</f>
        <v/>
      </c>
      <c r="AZ1086" s="105">
        <f>IFERROR(BI1086*BN1086,"")</f>
        <v/>
      </c>
      <c r="BA1086" s="105" t="n"/>
      <c r="BB1086" s="105" t="n"/>
      <c r="BC1086" s="105">
        <f>IFERROR(BI1086*BN1086*BK1086/BJ1086^(1/2),"")</f>
        <v/>
      </c>
      <c r="BD1086" s="105">
        <f>IFERROR(BH1086*BM1086*BL1086/BJ1086/BK1086,"")</f>
        <v/>
      </c>
      <c r="BE1086" s="105">
        <f>IFERROR(MIN(BI1086/BQ1086/BP1086/BO1086/BH1086,$BE$1),"")</f>
        <v/>
      </c>
      <c r="BF1086" s="105">
        <f>IFERROR(BJ1086*BO1086*BP1086/BK1086,"")</f>
        <v/>
      </c>
      <c r="BG1086" s="105">
        <f>IFERROR(1/BM1086/BH1086*BQ1086,"")</f>
        <v/>
      </c>
      <c r="BH1086" s="102">
        <f>MAX((CE1086-Driver!$F$200)/(Driver!$G$200-Driver!$F$200)*$BI$1,1)</f>
        <v/>
      </c>
      <c r="BI1086" s="102">
        <f>MAX($BI$1*(BY1086-Driver!$F$201)/(Driver!$G$201-Driver!$F$201),1)</f>
        <v/>
      </c>
      <c r="BJ1086" s="102">
        <f>(CB1086-Driver!$F$206)/(Driver!$G$206-Driver!$F$206)*$BI$1</f>
        <v/>
      </c>
      <c r="BK1086" s="102">
        <f>(CD1086-Driver!$F$203)/(Driver!$G$203-Driver!$F$203)*$BI$1</f>
        <v/>
      </c>
      <c r="BL1086" s="102">
        <f>MAX((CR1086-Driver!$F$202)/(Driver!$G$202-Driver!$F$202)*$BI$1,1)</f>
        <v/>
      </c>
      <c r="BM1086" s="102">
        <f>MAX((CH1086-Driver!$F$204)/(Driver!$G$204-Driver!$F$204)*$BI$1,1)</f>
        <v/>
      </c>
      <c r="BN1086" s="102">
        <f>(CI1086-Driver!$F$205)/(Driver!$G$205-Driver!$F$205)*$BI$1</f>
        <v/>
      </c>
      <c r="BO1086" s="102">
        <f>(CK1086-Driver!$F$207)/(Driver!$G$207-Driver!$F$207)*$BI$1</f>
        <v/>
      </c>
      <c r="BP1086" s="102">
        <f>(CM1086-Driver!$F$208)/(Driver!$G$208-Driver!$F$208)*$BI$1</f>
        <v/>
      </c>
      <c r="BQ1086" s="102">
        <f>(CL1086-Driver!$F$209)/(Driver!$G$209-Driver!$F$209)*$BI$1</f>
        <v/>
      </c>
      <c r="BR1086" s="40" t="inlineStr">
        <is>
          <t>21/22</t>
        </is>
      </c>
      <c r="BS1086" s="10" t="inlineStr">
        <is>
          <t xml:space="preserve"> Nordica</t>
        </is>
      </c>
      <c r="BT1086" s="11" t="inlineStr">
        <is>
          <t>Enforcer 110 Free</t>
        </is>
      </c>
      <c r="BU1086" s="13" t="n">
        <v>169</v>
      </c>
      <c r="BV1086" s="11" t="inlineStr">
        <is>
          <t xml:space="preserve"> Unisex</t>
        </is>
      </c>
      <c r="BW1086" s="13" t="n">
        <v>169</v>
      </c>
      <c r="BX1086" s="13" t="n">
        <v>168.4</v>
      </c>
      <c r="BY1086" s="13" t="n">
        <v>113</v>
      </c>
      <c r="BZ1086" s="13" t="n">
        <v>137</v>
      </c>
      <c r="CA1086" s="13" t="n">
        <v>139</v>
      </c>
      <c r="CB1086" s="13" t="n">
        <v>109</v>
      </c>
      <c r="CC1086" s="13" t="n">
        <v>129</v>
      </c>
      <c r="CD1086" s="13" t="n">
        <v>16.1</v>
      </c>
      <c r="CE1086" s="13" t="n">
        <v>2165</v>
      </c>
      <c r="CF1086" s="13" t="n">
        <v>0.92</v>
      </c>
      <c r="CG1086" s="13" t="n">
        <v>1995</v>
      </c>
      <c r="CH1086" s="13" t="n">
        <v>223</v>
      </c>
      <c r="CI1086" s="13" t="n">
        <v>152</v>
      </c>
      <c r="CJ1086" s="13" t="n">
        <v>55</v>
      </c>
      <c r="CK1086" s="13" t="n">
        <v>302</v>
      </c>
      <c r="CL1086" s="13" t="n">
        <v>35</v>
      </c>
      <c r="CM1086" s="13" t="n">
        <v>250</v>
      </c>
      <c r="CN1086" s="13" t="n">
        <v>0.641</v>
      </c>
      <c r="CO1086" s="13" t="n">
        <v>156</v>
      </c>
      <c r="CP1086" s="13" t="n">
        <v>157</v>
      </c>
      <c r="CQ1086" s="13" t="n">
        <v>146</v>
      </c>
      <c r="CR1086" s="13" t="n">
        <v>8</v>
      </c>
      <c r="CS1086" s="13" t="n">
        <v>8.9</v>
      </c>
      <c r="CT1086" s="11" t="inlineStr">
        <is>
          <t xml:space="preserve"> Powder</t>
        </is>
      </c>
      <c r="CU1086" s="13" t="n"/>
      <c r="CV1086" s="13" t="n"/>
      <c r="CW1086" s="13" t="n"/>
      <c r="CX1086">
        <f>INDEX('Data_Price '!AG$2:AG$1266,MATCH(Data!$DN1086,'Data_Price '!$AT$2:$AT$1266,0))</f>
        <v/>
      </c>
      <c r="CY1086">
        <f>INDEX('Data_Price '!AH$2:AH$1266,MATCH(Data!$DN1086,'Data_Price '!$AT$2:$AT$1266,0))</f>
        <v/>
      </c>
      <c r="CZ1086">
        <f>INDEX('Data_Price '!AI$2:AI$1266,MATCH(Data!$DN1086,'Data_Price '!$AT$2:$AT$1266,0))</f>
        <v/>
      </c>
      <c r="DA1086">
        <f>INDEX('Data_Price '!AJ$2:AJ$1266,MATCH(Data!$DN1086,'Data_Price '!$AT$2:$AT$1266,0))</f>
        <v/>
      </c>
      <c r="DB1086">
        <f>INDEX('Data_Price '!AK$2:AK$1266,MATCH(Data!$DN1086,'Data_Price '!$AT$2:$AT$1266,0))</f>
        <v/>
      </c>
      <c r="DC1086">
        <f>INDEX('Data_Price '!AL$2:AL$1266,MATCH(Data!$DN1086,'Data_Price '!$AT$2:$AT$1266,0))</f>
        <v/>
      </c>
      <c r="DD1086">
        <f>INDEX('Data_Price '!AM$2:AM$1266,MATCH(Data!$DN1086,'Data_Price '!$AT$2:$AT$1266,0))</f>
        <v/>
      </c>
      <c r="DE1086">
        <f>INDEX('Data_Price '!AN$2:AN$1266,MATCH(Data!$DN1086,'Data_Price '!$AT$2:$AT$1266,0))</f>
        <v/>
      </c>
      <c r="DF1086">
        <f>INDEX('Data_Price '!AO$2:AO$1266,MATCH(Data!$DN1086,'Data_Price '!$AT$2:$AT$1266,0))</f>
        <v/>
      </c>
      <c r="DG1086">
        <f>INDEX('Data_Price '!AP$2:AP$1266,MATCH(Data!$DN1086,'Data_Price '!$AT$2:$AT$1266,0))</f>
        <v/>
      </c>
      <c r="DH1086">
        <f>INDEX('Data_Price '!AQ$2:AQ$1266,MATCH(Data!$DN1086,'Data_Price '!$AT$2:$AT$1266,0))</f>
        <v/>
      </c>
      <c r="DI1086">
        <f>INDEX('Data_Price '!AR$2:AR$1266,MATCH(Data!$DN1086,'Data_Price '!$AT$2:$AT$1266,0))</f>
        <v/>
      </c>
      <c r="DJ1086" s="138">
        <f>DA1086</f>
        <v/>
      </c>
      <c r="DK1086" s="138">
        <f>DE1086</f>
        <v/>
      </c>
      <c r="DL1086" s="138">
        <f>DI1086</f>
        <v/>
      </c>
      <c r="DM1086" s="303">
        <f>IF(LEFT(BT1086,1)=" ",RIGHT(BT1086,LEN(BT1086)-1),BT1086)</f>
        <v/>
      </c>
      <c r="DN1086" s="138">
        <f>_xlfn.CONCAT(BS1086,DM1086,BU1086,BV1086)</f>
        <v/>
      </c>
      <c r="DO1086" s="307" t="inlineStr">
        <is>
          <t>https://images.evo.com/imgp/250/198258/835767/nordica-enforcer-110-free-skis-2022-.jpg</t>
        </is>
      </c>
    </row>
    <row r="1087" ht="15.6" customHeight="1" s="184">
      <c r="B1087" s="303">
        <f t="array" ref="B1087">IF(OR(ISERROR(K1087:P1087)),FALSE,TRUE)</f>
        <v/>
      </c>
      <c r="C1087" s="60">
        <f>OR(BR1087=Driver!$G$50,Data!BR1167=Driver!$H$50)</f>
        <v/>
      </c>
      <c r="D1087" s="60">
        <f>OR(BV1087=Driver!$G$51,BV1087=Driver!$H$51)</f>
        <v/>
      </c>
      <c r="E1087" s="60">
        <f>AND(BX1087&gt;Driver!$F$54,BX1087&lt;Driver!$G$54)</f>
        <v/>
      </c>
      <c r="F1087" s="60">
        <f>CL1087&gt;Driver!$F$56</f>
        <v/>
      </c>
      <c r="G1087" s="60">
        <f>AND(CB1087&gt;Driver!$F$55,CB1087&lt;Driver!$G$55)</f>
        <v/>
      </c>
      <c r="H1087" s="60">
        <f>AND(B1087:G1087)</f>
        <v/>
      </c>
      <c r="I1087" s="60">
        <f>COUNTIFS($H$9:$H$1273,TRUE,$BT$9:$BT$1273,BT1087)</f>
        <v/>
      </c>
      <c r="J1087" s="60">
        <f t="array" ref="J1087">NOT(OR(($H$9:$H$1273=TRUE)*($I$9:$I$1273&gt;0)*($BT$9:$BT$1273=BT1087)*($K$9:$K$1273&gt;K1087)))</f>
        <v/>
      </c>
      <c r="K1087" s="108">
        <f>IFERROR(1-AVERAGE(X1087:Y1087),"")</f>
        <v/>
      </c>
      <c r="L1087" s="108">
        <f>1-X1087</f>
        <v/>
      </c>
      <c r="M1087" s="108">
        <f>1-Y1087</f>
        <v/>
      </c>
      <c r="N1087" s="108">
        <f>1-Z1087</f>
        <v/>
      </c>
      <c r="O1087" s="108">
        <f>1-AA1087</f>
        <v/>
      </c>
      <c r="P1087" s="108">
        <f>1-AB1087</f>
        <v/>
      </c>
      <c r="Q1087" s="108" t="n"/>
      <c r="R1087" s="108" t="n"/>
      <c r="S1087" s="108">
        <f>1-AE1087</f>
        <v/>
      </c>
      <c r="T1087" s="108">
        <f>1-AF1087</f>
        <v/>
      </c>
      <c r="U1087" s="108">
        <f>1-AG1087</f>
        <v/>
      </c>
      <c r="V1087" s="108">
        <f>1-AH1087</f>
        <v/>
      </c>
      <c r="W1087" s="108">
        <f>1-AI1087</f>
        <v/>
      </c>
      <c r="X1087" s="108">
        <f>ABS(AJ1087-AJ$1)</f>
        <v/>
      </c>
      <c r="Y1087" s="108">
        <f>AVERAGE(Z1087:AB1087)</f>
        <v/>
      </c>
      <c r="Z1087" s="108">
        <f>ABS(AL1087-AL$1)</f>
        <v/>
      </c>
      <c r="AA1087" s="108">
        <f>ABS(AM1087-AM$1)</f>
        <v/>
      </c>
      <c r="AB1087" s="108">
        <f>ABS(AN1087-AN$1)</f>
        <v/>
      </c>
      <c r="AC1087" s="108" t="n"/>
      <c r="AD1087" s="108" t="n"/>
      <c r="AE1087" s="108">
        <f>ABS(AQ$1-AQ1087)</f>
        <v/>
      </c>
      <c r="AF1087" s="108">
        <f>ABS(AR$1-AR1087)</f>
        <v/>
      </c>
      <c r="AG1087" s="108">
        <f>ABS(AS$1-AS1087)</f>
        <v/>
      </c>
      <c r="AH1087" s="108">
        <f>ABS(AT$1-AT1087)</f>
        <v/>
      </c>
      <c r="AI1087" s="108">
        <f>ABS(AU$1-AU1087)</f>
        <v/>
      </c>
      <c r="AJ1087" s="108">
        <f>(AV1087-Driver!$K$179)/(Driver!$L$179-Driver!$K$179)</f>
        <v/>
      </c>
      <c r="AK1087" s="108">
        <f>(AW1087-Driver!$K$180)/(Driver!$L$180-Driver!$K$180)</f>
        <v/>
      </c>
      <c r="AL1087" s="108">
        <f>(AX1087-Driver!$K$181)/(Driver!$L$181-Driver!$K$181)</f>
        <v/>
      </c>
      <c r="AM1087" s="108">
        <f>(AY1087-Driver!$K$182)/(Driver!$L$182-Driver!$K$182)</f>
        <v/>
      </c>
      <c r="AN1087" s="108">
        <f>(AZ1087-Driver!$K$183)/(Driver!$L$183-Driver!$K$183)</f>
        <v/>
      </c>
      <c r="AO1087" s="108" t="n"/>
      <c r="AP1087" s="108" t="n"/>
      <c r="AQ1087" s="108">
        <f>(BC1087-Driver!$K$188)/(Driver!$L$188-Driver!$K$188)</f>
        <v/>
      </c>
      <c r="AR1087" s="108">
        <f>MIN((BD1087-Driver!$K$189)/(Driver!$L$189-Driver!$K$189),100%)</f>
        <v/>
      </c>
      <c r="AS1087" s="108">
        <f>(BE1087-Driver!$K$190)/(Driver!$L$190-Driver!$K$190)</f>
        <v/>
      </c>
      <c r="AT1087" s="108">
        <f>(BF1087-Driver!$K$191)/(Driver!$L$191-Driver!$K$191)</f>
        <v/>
      </c>
      <c r="AU1087" s="108">
        <f>(BG1087-Driver!$K$192)/(Driver!$L$192-Driver!$K$192)</f>
        <v/>
      </c>
      <c r="AV1087" s="105">
        <f>IFERROR(BM1087*BJ1087^1/4,"")</f>
        <v/>
      </c>
      <c r="AW1087" s="105">
        <f>IFERROR(SUM(AX1087:AZ1087),"")</f>
        <v/>
      </c>
      <c r="AX1087" s="105">
        <f>IFERROR(BH1087,"")</f>
        <v/>
      </c>
      <c r="AY1087" s="105">
        <f>IFERROR(Driver!$K$19/Data!BH1087/Data!BI1087*Data!BK1087*Data!BL1087,"")</f>
        <v/>
      </c>
      <c r="AZ1087" s="105">
        <f>IFERROR(BI1087*BN1087,"")</f>
        <v/>
      </c>
      <c r="BA1087" s="105" t="n"/>
      <c r="BB1087" s="105" t="n"/>
      <c r="BC1087" s="105">
        <f>IFERROR(BI1087*BN1087*BK1087/BJ1087^(1/2),"")</f>
        <v/>
      </c>
      <c r="BD1087" s="105">
        <f>IFERROR(BH1087*BM1087*BL1087/BJ1087/BK1087,"")</f>
        <v/>
      </c>
      <c r="BE1087" s="105">
        <f>IFERROR(MIN(BI1087/BQ1087/BP1087/BO1087/BH1087,$BE$1),"")</f>
        <v/>
      </c>
      <c r="BF1087" s="105">
        <f>IFERROR(BJ1087*BO1087*BP1087/BK1087,"")</f>
        <v/>
      </c>
      <c r="BG1087" s="105">
        <f>IFERROR(1/BM1087/BH1087*BQ1087,"")</f>
        <v/>
      </c>
      <c r="BH1087" s="102">
        <f>MAX((CE1087-Driver!$F$200)/(Driver!$G$200-Driver!$F$200)*$BI$1,1)</f>
        <v/>
      </c>
      <c r="BI1087" s="102">
        <f>MAX($BI$1*(BY1087-Driver!$F$201)/(Driver!$G$201-Driver!$F$201),1)</f>
        <v/>
      </c>
      <c r="BJ1087" s="102">
        <f>(CB1087-Driver!$F$206)/(Driver!$G$206-Driver!$F$206)*$BI$1</f>
        <v/>
      </c>
      <c r="BK1087" s="102">
        <f>(CD1087-Driver!$F$203)/(Driver!$G$203-Driver!$F$203)*$BI$1</f>
        <v/>
      </c>
      <c r="BL1087" s="102">
        <f>MAX((CR1087-Driver!$F$202)/(Driver!$G$202-Driver!$F$202)*$BI$1,1)</f>
        <v/>
      </c>
      <c r="BM1087" s="102">
        <f>MAX((CH1087-Driver!$F$204)/(Driver!$G$204-Driver!$F$204)*$BI$1,1)</f>
        <v/>
      </c>
      <c r="BN1087" s="102">
        <f>(CI1087-Driver!$F$205)/(Driver!$G$205-Driver!$F$205)*$BI$1</f>
        <v/>
      </c>
      <c r="BO1087" s="102">
        <f>(CK1087-Driver!$F$207)/(Driver!$G$207-Driver!$F$207)*$BI$1</f>
        <v/>
      </c>
      <c r="BP1087" s="102">
        <f>(CM1087-Driver!$F$208)/(Driver!$G$208-Driver!$F$208)*$BI$1</f>
        <v/>
      </c>
      <c r="BQ1087" s="102">
        <f>(CL1087-Driver!$F$209)/(Driver!$G$209-Driver!$F$209)*$BI$1</f>
        <v/>
      </c>
      <c r="BR1087" s="40" t="inlineStr">
        <is>
          <t>21/22</t>
        </is>
      </c>
      <c r="BS1087" s="10" t="inlineStr">
        <is>
          <t xml:space="preserve"> Völkl</t>
        </is>
      </c>
      <c r="BT1087" s="11" t="inlineStr">
        <is>
          <t>Blaze 86 W</t>
        </is>
      </c>
      <c r="BU1087" s="13" t="n">
        <v>146</v>
      </c>
      <c r="BV1087" s="11" t="inlineStr">
        <is>
          <t xml:space="preserve"> Women's</t>
        </is>
      </c>
      <c r="BW1087" s="13" t="n">
        <v>146</v>
      </c>
      <c r="BX1087" s="13" t="n">
        <v>147.3</v>
      </c>
      <c r="BY1087" s="13" t="n">
        <v>92</v>
      </c>
      <c r="BZ1087" s="13" t="n">
        <v>122</v>
      </c>
      <c r="CA1087" s="13" t="n">
        <v>128</v>
      </c>
      <c r="CB1087" s="13" t="n">
        <v>85</v>
      </c>
      <c r="CC1087" s="13" t="n">
        <v>109</v>
      </c>
      <c r="CD1087" s="13" t="n">
        <v>10.1</v>
      </c>
      <c r="CE1087" s="13" t="n">
        <v>1211</v>
      </c>
      <c r="CF1087" s="13" t="n">
        <v>1.21</v>
      </c>
      <c r="CG1087" s="13" t="n">
        <v>1467</v>
      </c>
      <c r="CH1087" s="13" t="n">
        <v>156</v>
      </c>
      <c r="CI1087" s="13" t="n">
        <v>75</v>
      </c>
      <c r="CJ1087" s="13" t="n">
        <v>48</v>
      </c>
      <c r="CK1087" s="13" t="n">
        <v>337</v>
      </c>
      <c r="CL1087" s="13" t="n">
        <v>18</v>
      </c>
      <c r="CM1087" s="13" t="n">
        <v>218</v>
      </c>
      <c r="CN1087" s="13" t="n">
        <v>0.373</v>
      </c>
      <c r="CO1087" s="13" t="n">
        <v>149</v>
      </c>
      <c r="CP1087" s="13" t="n">
        <v>105</v>
      </c>
      <c r="CQ1087" s="13" t="n">
        <v>188</v>
      </c>
      <c r="CR1087" s="13" t="n">
        <v>1</v>
      </c>
      <c r="CS1087" s="13" t="n">
        <v>11.5</v>
      </c>
      <c r="CT1087" s="11" t="inlineStr">
        <is>
          <t xml:space="preserve"> Resort Freeride</t>
        </is>
      </c>
      <c r="CU1087" s="11" t="inlineStr">
        <is>
          <t xml:space="preserve"> Touring</t>
        </is>
      </c>
      <c r="CV1087" s="13" t="n"/>
      <c r="CW1087" s="13" t="n"/>
      <c r="CX1087">
        <f>INDEX('Data_Price '!AG$2:AG$1266,MATCH(Data!$DN1087,'Data_Price '!$AT$2:$AT$1266,0))</f>
        <v/>
      </c>
      <c r="CY1087">
        <f>INDEX('Data_Price '!AH$2:AH$1266,MATCH(Data!$DN1087,'Data_Price '!$AT$2:$AT$1266,0))</f>
        <v/>
      </c>
      <c r="CZ1087">
        <f>INDEX('Data_Price '!AI$2:AI$1266,MATCH(Data!$DN1087,'Data_Price '!$AT$2:$AT$1266,0))</f>
        <v/>
      </c>
      <c r="DA1087">
        <f>INDEX('Data_Price '!AJ$2:AJ$1266,MATCH(Data!$DN1087,'Data_Price '!$AT$2:$AT$1266,0))</f>
        <v/>
      </c>
      <c r="DB1087">
        <f>INDEX('Data_Price '!AK$2:AK$1266,MATCH(Data!$DN1087,'Data_Price '!$AT$2:$AT$1266,0))</f>
        <v/>
      </c>
      <c r="DC1087">
        <f>INDEX('Data_Price '!AL$2:AL$1266,MATCH(Data!$DN1087,'Data_Price '!$AT$2:$AT$1266,0))</f>
        <v/>
      </c>
      <c r="DD1087">
        <f>INDEX('Data_Price '!AM$2:AM$1266,MATCH(Data!$DN1087,'Data_Price '!$AT$2:$AT$1266,0))</f>
        <v/>
      </c>
      <c r="DE1087">
        <f>INDEX('Data_Price '!AN$2:AN$1266,MATCH(Data!$DN1087,'Data_Price '!$AT$2:$AT$1266,0))</f>
        <v/>
      </c>
      <c r="DF1087">
        <f>INDEX('Data_Price '!AO$2:AO$1266,MATCH(Data!$DN1087,'Data_Price '!$AT$2:$AT$1266,0))</f>
        <v/>
      </c>
      <c r="DG1087">
        <f>INDEX('Data_Price '!AP$2:AP$1266,MATCH(Data!$DN1087,'Data_Price '!$AT$2:$AT$1266,0))</f>
        <v/>
      </c>
      <c r="DH1087">
        <f>INDEX('Data_Price '!AQ$2:AQ$1266,MATCH(Data!$DN1087,'Data_Price '!$AT$2:$AT$1266,0))</f>
        <v/>
      </c>
      <c r="DI1087">
        <f>INDEX('Data_Price '!AR$2:AR$1266,MATCH(Data!$DN1087,'Data_Price '!$AT$2:$AT$1266,0))</f>
        <v/>
      </c>
      <c r="DJ1087" s="138">
        <f>DA1087</f>
        <v/>
      </c>
      <c r="DK1087" s="138">
        <f>DE1087</f>
        <v/>
      </c>
      <c r="DL1087" s="138">
        <f>DI1087</f>
        <v/>
      </c>
      <c r="DM1087" s="303">
        <f>IF(LEFT(BT1087,1)=" ",RIGHT(BT1087,LEN(BT1087)-1),BT1087)</f>
        <v/>
      </c>
      <c r="DN1087" s="138">
        <f>_xlfn.CONCAT(BS1087,DM1087,BU1087,BV1087)</f>
        <v/>
      </c>
      <c r="DO1087" s="307" t="inlineStr">
        <is>
          <t>https://images.evo.com/imgp/250/208358/837604/clone.jpg</t>
        </is>
      </c>
    </row>
    <row r="1088" ht="15.6" customHeight="1" s="184">
      <c r="B1088" s="303">
        <f t="array" ref="B1088">IF(OR(ISERROR(K1088:P1088)),FALSE,TRUE)</f>
        <v/>
      </c>
      <c r="C1088" s="60">
        <f>OR(BR1088=Driver!$G$50,Data!BR325=Driver!$H$50)</f>
        <v/>
      </c>
      <c r="D1088" s="60">
        <f>OR(BV1088=Driver!$G$51,BV1088=Driver!$H$51)</f>
        <v/>
      </c>
      <c r="E1088" s="60">
        <f>AND(BX1088&gt;Driver!$F$54,BX1088&lt;Driver!$G$54)</f>
        <v/>
      </c>
      <c r="F1088" s="60">
        <f>CL1088&gt;Driver!$F$56</f>
        <v/>
      </c>
      <c r="G1088" s="60">
        <f>AND(CB1088&gt;Driver!$F$55,CB1088&lt;Driver!$G$55)</f>
        <v/>
      </c>
      <c r="H1088" s="60">
        <f>AND(B1088:G1088)</f>
        <v/>
      </c>
      <c r="I1088" s="60">
        <f>COUNTIFS($H$9:$H$1273,TRUE,$BT$9:$BT$1273,BT1088)</f>
        <v/>
      </c>
      <c r="J1088" s="60">
        <f t="array" ref="J1088">NOT(OR(($H$9:$H$1273=TRUE)*($I$9:$I$1273&gt;0)*($BT$9:$BT$1273=BT1088)*($K$9:$K$1273&gt;K1088)))</f>
        <v/>
      </c>
      <c r="K1088" s="108">
        <f>IFERROR(1-AVERAGE(X1088:Y1088),"")</f>
        <v/>
      </c>
      <c r="L1088" s="108">
        <f>1-X1088</f>
        <v/>
      </c>
      <c r="M1088" s="108">
        <f>1-Y1088</f>
        <v/>
      </c>
      <c r="N1088" s="108">
        <f>1-Z1088</f>
        <v/>
      </c>
      <c r="O1088" s="108">
        <f>1-AA1088</f>
        <v/>
      </c>
      <c r="P1088" s="108">
        <f>1-AB1088</f>
        <v/>
      </c>
      <c r="Q1088" s="108" t="n"/>
      <c r="R1088" s="108" t="n"/>
      <c r="S1088" s="108">
        <f>1-AE1088</f>
        <v/>
      </c>
      <c r="T1088" s="108">
        <f>1-AF1088</f>
        <v/>
      </c>
      <c r="U1088" s="108">
        <f>1-AG1088</f>
        <v/>
      </c>
      <c r="V1088" s="108">
        <f>1-AH1088</f>
        <v/>
      </c>
      <c r="W1088" s="108">
        <f>1-AI1088</f>
        <v/>
      </c>
      <c r="X1088" s="108">
        <f>ABS(AJ1088-AJ$1)</f>
        <v/>
      </c>
      <c r="Y1088" s="108">
        <f>AVERAGE(Z1088:AB1088)</f>
        <v/>
      </c>
      <c r="Z1088" s="108">
        <f>ABS(AL1088-AL$1)</f>
        <v/>
      </c>
      <c r="AA1088" s="108">
        <f>ABS(AM1088-AM$1)</f>
        <v/>
      </c>
      <c r="AB1088" s="108">
        <f>ABS(AN1088-AN$1)</f>
        <v/>
      </c>
      <c r="AC1088" s="108" t="n"/>
      <c r="AD1088" s="108" t="n"/>
      <c r="AE1088" s="108">
        <f>ABS(AQ$1-AQ1088)</f>
        <v/>
      </c>
      <c r="AF1088" s="108">
        <f>ABS(AR$1-AR1088)</f>
        <v/>
      </c>
      <c r="AG1088" s="108">
        <f>ABS(AS$1-AS1088)</f>
        <v/>
      </c>
      <c r="AH1088" s="108">
        <f>ABS(AT$1-AT1088)</f>
        <v/>
      </c>
      <c r="AI1088" s="108">
        <f>ABS(AU$1-AU1088)</f>
        <v/>
      </c>
      <c r="AJ1088" s="108">
        <f>(AV1088-Driver!$K$179)/(Driver!$L$179-Driver!$K$179)</f>
        <v/>
      </c>
      <c r="AK1088" s="108">
        <f>(AW1088-Driver!$K$180)/(Driver!$L$180-Driver!$K$180)</f>
        <v/>
      </c>
      <c r="AL1088" s="108">
        <f>(AX1088-Driver!$K$181)/(Driver!$L$181-Driver!$K$181)</f>
        <v/>
      </c>
      <c r="AM1088" s="108">
        <f>(AY1088-Driver!$K$182)/(Driver!$L$182-Driver!$K$182)</f>
        <v/>
      </c>
      <c r="AN1088" s="108">
        <f>(AZ1088-Driver!$K$183)/(Driver!$L$183-Driver!$K$183)</f>
        <v/>
      </c>
      <c r="AO1088" s="108" t="n"/>
      <c r="AP1088" s="108" t="n"/>
      <c r="AQ1088" s="108">
        <f>(BC1088-Driver!$K$188)/(Driver!$L$188-Driver!$K$188)</f>
        <v/>
      </c>
      <c r="AR1088" s="108">
        <f>MIN((BD1088-Driver!$K$189)/(Driver!$L$189-Driver!$K$189),100%)</f>
        <v/>
      </c>
      <c r="AS1088" s="108">
        <f>(BE1088-Driver!$K$190)/(Driver!$L$190-Driver!$K$190)</f>
        <v/>
      </c>
      <c r="AT1088" s="108">
        <f>(BF1088-Driver!$K$191)/(Driver!$L$191-Driver!$K$191)</f>
        <v/>
      </c>
      <c r="AU1088" s="108">
        <f>(BG1088-Driver!$K$192)/(Driver!$L$192-Driver!$K$192)</f>
        <v/>
      </c>
      <c r="AV1088" s="105">
        <f>IFERROR(BM1088*BJ1088^1/4,"")</f>
        <v/>
      </c>
      <c r="AW1088" s="105">
        <f>IFERROR(SUM(AX1088:AZ1088),"")</f>
        <v/>
      </c>
      <c r="AX1088" s="105">
        <f>IFERROR(BH1088,"")</f>
        <v/>
      </c>
      <c r="AY1088" s="105">
        <f>IFERROR(Driver!$K$19/Data!BH1088/Data!BI1088*Data!BK1088*Data!BL1088,"")</f>
        <v/>
      </c>
      <c r="AZ1088" s="105">
        <f>IFERROR(BI1088*BN1088,"")</f>
        <v/>
      </c>
      <c r="BA1088" s="105" t="n"/>
      <c r="BB1088" s="105" t="n"/>
      <c r="BC1088" s="105">
        <f>IFERROR(BI1088*BN1088*BK1088/BJ1088^(1/2),"")</f>
        <v/>
      </c>
      <c r="BD1088" s="105">
        <f>IFERROR(BH1088*BM1088*BL1088/BJ1088/BK1088,"")</f>
        <v/>
      </c>
      <c r="BE1088" s="105">
        <f>IFERROR(MIN(BI1088/BQ1088/BP1088/BO1088/BH1088,$BE$1),"")</f>
        <v/>
      </c>
      <c r="BF1088" s="105">
        <f>IFERROR(BJ1088*BO1088*BP1088/BK1088,"")</f>
        <v/>
      </c>
      <c r="BG1088" s="105">
        <f>IFERROR(1/BM1088/BH1088*BQ1088,"")</f>
        <v/>
      </c>
      <c r="BH1088" s="102">
        <f>MAX((CE1088-Driver!$F$200)/(Driver!$G$200-Driver!$F$200)*$BI$1,1)</f>
        <v/>
      </c>
      <c r="BI1088" s="102">
        <f>MAX($BI$1*(BY1088-Driver!$F$201)/(Driver!$G$201-Driver!$F$201),1)</f>
        <v/>
      </c>
      <c r="BJ1088" s="102">
        <f>(CB1088-Driver!$F$206)/(Driver!$G$206-Driver!$F$206)*$BI$1</f>
        <v/>
      </c>
      <c r="BK1088" s="102">
        <f>(CD1088-Driver!$F$203)/(Driver!$G$203-Driver!$F$203)*$BI$1</f>
        <v/>
      </c>
      <c r="BL1088" s="102">
        <f>MAX((CR1088-Driver!$F$202)/(Driver!$G$202-Driver!$F$202)*$BI$1,1)</f>
        <v/>
      </c>
      <c r="BM1088" s="102">
        <f>MAX((CH1088-Driver!$F$204)/(Driver!$G$204-Driver!$F$204)*$BI$1,1)</f>
        <v/>
      </c>
      <c r="BN1088" s="102">
        <f>(CI1088-Driver!$F$205)/(Driver!$G$205-Driver!$F$205)*$BI$1</f>
        <v/>
      </c>
      <c r="BO1088" s="102">
        <f>(CK1088-Driver!$F$207)/(Driver!$G$207-Driver!$F$207)*$BI$1</f>
        <v/>
      </c>
      <c r="BP1088" s="102">
        <f>(CM1088-Driver!$F$208)/(Driver!$G$208-Driver!$F$208)*$BI$1</f>
        <v/>
      </c>
      <c r="BQ1088" s="102">
        <f>(CL1088-Driver!$F$209)/(Driver!$G$209-Driver!$F$209)*$BI$1</f>
        <v/>
      </c>
      <c r="BR1088" s="40" t="inlineStr">
        <is>
          <t>21/22</t>
        </is>
      </c>
      <c r="BS1088" s="10" t="inlineStr">
        <is>
          <t xml:space="preserve"> Blizzard</t>
        </is>
      </c>
      <c r="BT1088" s="11" t="inlineStr">
        <is>
          <t>Zero G 85</t>
        </is>
      </c>
      <c r="BU1088" s="13" t="n">
        <v>171</v>
      </c>
      <c r="BV1088" s="11" t="inlineStr">
        <is>
          <t xml:space="preserve"> Unisex</t>
        </is>
      </c>
      <c r="BW1088" s="13" t="n">
        <v>171</v>
      </c>
      <c r="BX1088" s="13" t="n">
        <v>168.9</v>
      </c>
      <c r="BY1088" s="13" t="n">
        <v>127</v>
      </c>
      <c r="BZ1088" s="13" t="n">
        <v>144</v>
      </c>
      <c r="CA1088" s="13" t="n">
        <v>114</v>
      </c>
      <c r="CB1088" s="13" t="n">
        <v>83</v>
      </c>
      <c r="CC1088" s="13" t="n">
        <v>98</v>
      </c>
      <c r="CD1088" s="13" t="n">
        <v>22</v>
      </c>
      <c r="CE1088" s="13" t="n">
        <v>1122</v>
      </c>
      <c r="CF1088" s="13" t="n">
        <v>1.38</v>
      </c>
      <c r="CG1088" s="13" t="n">
        <v>1546</v>
      </c>
      <c r="CH1088" s="13" t="n">
        <v>197</v>
      </c>
      <c r="CI1088" s="13" t="n">
        <v>69</v>
      </c>
      <c r="CJ1088" s="13" t="n">
        <v>55</v>
      </c>
      <c r="CK1088" s="13" t="n">
        <v>244</v>
      </c>
      <c r="CL1088" s="13" t="n">
        <v>10</v>
      </c>
      <c r="CM1088" s="13" t="n">
        <v>171</v>
      </c>
      <c r="CN1088" s="13" t="n">
        <v>0.188</v>
      </c>
      <c r="CO1088" s="13" t="n">
        <v>130</v>
      </c>
      <c r="CP1088" s="13" t="n">
        <v>122</v>
      </c>
      <c r="CQ1088" s="13" t="n">
        <v>114</v>
      </c>
      <c r="CR1088" s="13" t="n">
        <v>4</v>
      </c>
      <c r="CS1088" s="13" t="n">
        <v>10.5</v>
      </c>
      <c r="CT1088" s="11" t="inlineStr">
        <is>
          <t xml:space="preserve"> Touring</t>
        </is>
      </c>
      <c r="CU1088" s="11" t="inlineStr">
        <is>
          <t xml:space="preserve"> Ultralight Touring</t>
        </is>
      </c>
      <c r="CV1088" s="13" t="n"/>
      <c r="CW1088" s="13" t="n"/>
      <c r="CX1088">
        <f>INDEX('Data_Price '!AG$2:AG$1266,MATCH(Data!$DN1088,'Data_Price '!$AT$2:$AT$1266,0))</f>
        <v/>
      </c>
      <c r="CY1088">
        <f>INDEX('Data_Price '!AH$2:AH$1266,MATCH(Data!$DN1088,'Data_Price '!$AT$2:$AT$1266,0))</f>
        <v/>
      </c>
      <c r="CZ1088">
        <f>INDEX('Data_Price '!AI$2:AI$1266,MATCH(Data!$DN1088,'Data_Price '!$AT$2:$AT$1266,0))</f>
        <v/>
      </c>
      <c r="DA1088">
        <f>INDEX('Data_Price '!AJ$2:AJ$1266,MATCH(Data!$DN1088,'Data_Price '!$AT$2:$AT$1266,0))</f>
        <v/>
      </c>
      <c r="DB1088">
        <f>INDEX('Data_Price '!AK$2:AK$1266,MATCH(Data!$DN1088,'Data_Price '!$AT$2:$AT$1266,0))</f>
        <v/>
      </c>
      <c r="DC1088">
        <f>INDEX('Data_Price '!AL$2:AL$1266,MATCH(Data!$DN1088,'Data_Price '!$AT$2:$AT$1266,0))</f>
        <v/>
      </c>
      <c r="DD1088">
        <f>INDEX('Data_Price '!AM$2:AM$1266,MATCH(Data!$DN1088,'Data_Price '!$AT$2:$AT$1266,0))</f>
        <v/>
      </c>
      <c r="DE1088">
        <f>INDEX('Data_Price '!AN$2:AN$1266,MATCH(Data!$DN1088,'Data_Price '!$AT$2:$AT$1266,0))</f>
        <v/>
      </c>
      <c r="DF1088">
        <f>INDEX('Data_Price '!AO$2:AO$1266,MATCH(Data!$DN1088,'Data_Price '!$AT$2:$AT$1266,0))</f>
        <v/>
      </c>
      <c r="DG1088">
        <f>INDEX('Data_Price '!AP$2:AP$1266,MATCH(Data!$DN1088,'Data_Price '!$AT$2:$AT$1266,0))</f>
        <v/>
      </c>
      <c r="DH1088">
        <f>INDEX('Data_Price '!AQ$2:AQ$1266,MATCH(Data!$DN1088,'Data_Price '!$AT$2:$AT$1266,0))</f>
        <v/>
      </c>
      <c r="DI1088">
        <f>INDEX('Data_Price '!AR$2:AR$1266,MATCH(Data!$DN1088,'Data_Price '!$AT$2:$AT$1266,0))</f>
        <v/>
      </c>
      <c r="DJ1088" s="138">
        <f>DA1088</f>
        <v/>
      </c>
      <c r="DK1088" s="138">
        <f>DE1088</f>
        <v/>
      </c>
      <c r="DL1088" s="138">
        <f>DI1088</f>
        <v/>
      </c>
      <c r="DM1088" s="303">
        <f>IF(LEFT(BT1088,1)=" ",RIGHT(BT1088,LEN(BT1088)-1),BT1088)</f>
        <v/>
      </c>
      <c r="DN1088" s="138">
        <f>_xlfn.CONCAT(BS1088,DM1088,BU1088,BV1088)</f>
        <v/>
      </c>
      <c r="DO1088" s="307" t="n"/>
    </row>
    <row r="1089" ht="15.6" customHeight="1" s="184">
      <c r="B1089" s="303">
        <f t="array" ref="B1089">IF(OR(ISERROR(K1089:P1089)),FALSE,TRUE)</f>
        <v/>
      </c>
      <c r="C1089" s="60">
        <f>OR(BR1089=Driver!$G$50,Data!BR992=Driver!$H$50)</f>
        <v/>
      </c>
      <c r="D1089" s="60">
        <f>OR(BV1089=Driver!$G$51,BV1089=Driver!$H$51)</f>
        <v/>
      </c>
      <c r="E1089" s="60">
        <f>AND(BX1089&gt;Driver!$F$54,BX1089&lt;Driver!$G$54)</f>
        <v/>
      </c>
      <c r="F1089" s="60">
        <f>CL1089&gt;Driver!$F$56</f>
        <v/>
      </c>
      <c r="G1089" s="60">
        <f>AND(CB1089&gt;Driver!$F$55,CB1089&lt;Driver!$G$55)</f>
        <v/>
      </c>
      <c r="H1089" s="60">
        <f>AND(B1089:G1089)</f>
        <v/>
      </c>
      <c r="I1089" s="60">
        <f>COUNTIFS($H$9:$H$1273,TRUE,$BT$9:$BT$1273,BT1089)</f>
        <v/>
      </c>
      <c r="J1089" s="60">
        <f t="array" ref="J1089">NOT(OR(($H$9:$H$1273=TRUE)*($I$9:$I$1273&gt;0)*($BT$9:$BT$1273=BT1089)*($K$9:$K$1273&gt;K1089)))</f>
        <v/>
      </c>
      <c r="K1089" s="108">
        <f>IFERROR(1-AVERAGE(X1089:Y1089),"")</f>
        <v/>
      </c>
      <c r="L1089" s="108">
        <f>1-X1089</f>
        <v/>
      </c>
      <c r="M1089" s="108">
        <f>1-Y1089</f>
        <v/>
      </c>
      <c r="N1089" s="108">
        <f>1-Z1089</f>
        <v/>
      </c>
      <c r="O1089" s="108">
        <f>1-AA1089</f>
        <v/>
      </c>
      <c r="P1089" s="108">
        <f>1-AB1089</f>
        <v/>
      </c>
      <c r="Q1089" s="108" t="n"/>
      <c r="R1089" s="108" t="n"/>
      <c r="S1089" s="108">
        <f>1-AE1089</f>
        <v/>
      </c>
      <c r="T1089" s="108">
        <f>1-AF1089</f>
        <v/>
      </c>
      <c r="U1089" s="108">
        <f>1-AG1089</f>
        <v/>
      </c>
      <c r="V1089" s="108">
        <f>1-AH1089</f>
        <v/>
      </c>
      <c r="W1089" s="108">
        <f>1-AI1089</f>
        <v/>
      </c>
      <c r="X1089" s="108">
        <f>ABS(AJ1089-AJ$1)</f>
        <v/>
      </c>
      <c r="Y1089" s="108">
        <f>AVERAGE(Z1089:AB1089)</f>
        <v/>
      </c>
      <c r="Z1089" s="108">
        <f>ABS(AL1089-AL$1)</f>
        <v/>
      </c>
      <c r="AA1089" s="108">
        <f>ABS(AM1089-AM$1)</f>
        <v/>
      </c>
      <c r="AB1089" s="108">
        <f>ABS(AN1089-AN$1)</f>
        <v/>
      </c>
      <c r="AC1089" s="108" t="n"/>
      <c r="AD1089" s="108" t="n"/>
      <c r="AE1089" s="108">
        <f>ABS(AQ$1-AQ1089)</f>
        <v/>
      </c>
      <c r="AF1089" s="108">
        <f>ABS(AR$1-AR1089)</f>
        <v/>
      </c>
      <c r="AG1089" s="108">
        <f>ABS(AS$1-AS1089)</f>
        <v/>
      </c>
      <c r="AH1089" s="108">
        <f>ABS(AT$1-AT1089)</f>
        <v/>
      </c>
      <c r="AI1089" s="108">
        <f>ABS(AU$1-AU1089)</f>
        <v/>
      </c>
      <c r="AJ1089" s="108">
        <f>(AV1089-Driver!$K$179)/(Driver!$L$179-Driver!$K$179)</f>
        <v/>
      </c>
      <c r="AK1089" s="108">
        <f>(AW1089-Driver!$K$180)/(Driver!$L$180-Driver!$K$180)</f>
        <v/>
      </c>
      <c r="AL1089" s="108">
        <f>(AX1089-Driver!$K$181)/(Driver!$L$181-Driver!$K$181)</f>
        <v/>
      </c>
      <c r="AM1089" s="108">
        <f>(AY1089-Driver!$K$182)/(Driver!$L$182-Driver!$K$182)</f>
        <v/>
      </c>
      <c r="AN1089" s="108">
        <f>(AZ1089-Driver!$K$183)/(Driver!$L$183-Driver!$K$183)</f>
        <v/>
      </c>
      <c r="AO1089" s="108" t="n"/>
      <c r="AP1089" s="108" t="n"/>
      <c r="AQ1089" s="108">
        <f>(BC1089-Driver!$K$188)/(Driver!$L$188-Driver!$K$188)</f>
        <v/>
      </c>
      <c r="AR1089" s="108">
        <f>MIN((BD1089-Driver!$K$189)/(Driver!$L$189-Driver!$K$189),100%)</f>
        <v/>
      </c>
      <c r="AS1089" s="108">
        <f>(BE1089-Driver!$K$190)/(Driver!$L$190-Driver!$K$190)</f>
        <v/>
      </c>
      <c r="AT1089" s="108">
        <f>(BF1089-Driver!$K$191)/(Driver!$L$191-Driver!$K$191)</f>
        <v/>
      </c>
      <c r="AU1089" s="108">
        <f>(BG1089-Driver!$K$192)/(Driver!$L$192-Driver!$K$192)</f>
        <v/>
      </c>
      <c r="AV1089" s="105">
        <f>IFERROR(BM1089*BJ1089^1/4,"")</f>
        <v/>
      </c>
      <c r="AW1089" s="105">
        <f>IFERROR(SUM(AX1089:AZ1089),"")</f>
        <v/>
      </c>
      <c r="AX1089" s="105">
        <f>IFERROR(BH1089,"")</f>
        <v/>
      </c>
      <c r="AY1089" s="105">
        <f>IFERROR(Driver!$K$19/Data!BH1089/Data!BI1089*Data!BK1089*Data!BL1089,"")</f>
        <v/>
      </c>
      <c r="AZ1089" s="105">
        <f>IFERROR(BI1089*BN1089,"")</f>
        <v/>
      </c>
      <c r="BA1089" s="105" t="n"/>
      <c r="BB1089" s="105" t="n"/>
      <c r="BC1089" s="105">
        <f>IFERROR(BI1089*BN1089*BK1089/BJ1089^(1/2),"")</f>
        <v/>
      </c>
      <c r="BD1089" s="105">
        <f>IFERROR(BH1089*BM1089*BL1089/BJ1089/BK1089,"")</f>
        <v/>
      </c>
      <c r="BE1089" s="105">
        <f>IFERROR(MIN(BI1089/BQ1089/BP1089/BO1089/BH1089,$BE$1),"")</f>
        <v/>
      </c>
      <c r="BF1089" s="105">
        <f>IFERROR(BJ1089*BO1089*BP1089/BK1089,"")</f>
        <v/>
      </c>
      <c r="BG1089" s="105">
        <f>IFERROR(1/BM1089/BH1089*BQ1089,"")</f>
        <v/>
      </c>
      <c r="BH1089" s="102">
        <f>MAX((CE1089-Driver!$F$200)/(Driver!$G$200-Driver!$F$200)*$BI$1,1)</f>
        <v/>
      </c>
      <c r="BI1089" s="102">
        <f>MAX($BI$1*(BY1089-Driver!$F$201)/(Driver!$G$201-Driver!$F$201),1)</f>
        <v/>
      </c>
      <c r="BJ1089" s="102">
        <f>(CB1089-Driver!$F$206)/(Driver!$G$206-Driver!$F$206)*$BI$1</f>
        <v/>
      </c>
      <c r="BK1089" s="102">
        <f>(CD1089-Driver!$F$203)/(Driver!$G$203-Driver!$F$203)*$BI$1</f>
        <v/>
      </c>
      <c r="BL1089" s="102">
        <f>MAX((CR1089-Driver!$F$202)/(Driver!$G$202-Driver!$F$202)*$BI$1,1)</f>
        <v/>
      </c>
      <c r="BM1089" s="102">
        <f>MAX((CH1089-Driver!$F$204)/(Driver!$G$204-Driver!$F$204)*$BI$1,1)</f>
        <v/>
      </c>
      <c r="BN1089" s="102">
        <f>(CI1089-Driver!$F$205)/(Driver!$G$205-Driver!$F$205)*$BI$1</f>
        <v/>
      </c>
      <c r="BO1089" s="102">
        <f>(CK1089-Driver!$F$207)/(Driver!$G$207-Driver!$F$207)*$BI$1</f>
        <v/>
      </c>
      <c r="BP1089" s="102">
        <f>(CM1089-Driver!$F$208)/(Driver!$G$208-Driver!$F$208)*$BI$1</f>
        <v/>
      </c>
      <c r="BQ1089" s="102">
        <f>(CL1089-Driver!$F$209)/(Driver!$G$209-Driver!$F$209)*$BI$1</f>
        <v/>
      </c>
      <c r="BR1089" s="40" t="inlineStr">
        <is>
          <t>21/22</t>
        </is>
      </c>
      <c r="BS1089" s="10" t="inlineStr">
        <is>
          <t xml:space="preserve"> Rossignol</t>
        </is>
      </c>
      <c r="BT1089" s="11" t="inlineStr">
        <is>
          <t xml:space="preserve"> Blackops Smasher</t>
        </is>
      </c>
      <c r="BU1089" s="13" t="n">
        <v>150</v>
      </c>
      <c r="BV1089" s="11" t="inlineStr">
        <is>
          <t xml:space="preserve"> Unisex</t>
        </is>
      </c>
      <c r="BW1089" s="13" t="n">
        <v>150</v>
      </c>
      <c r="BX1089" s="13" t="n">
        <v>148.8</v>
      </c>
      <c r="BY1089" s="13" t="n">
        <v>102</v>
      </c>
      <c r="BZ1089" s="13" t="n">
        <v>122</v>
      </c>
      <c r="CA1089" s="13" t="n">
        <v>117</v>
      </c>
      <c r="CB1089" s="13" t="n">
        <v>89</v>
      </c>
      <c r="CC1089" s="13" t="n">
        <v>107</v>
      </c>
      <c r="CD1089" s="13" t="n">
        <v>17.2</v>
      </c>
      <c r="CE1089" s="13" t="n">
        <v>1452</v>
      </c>
      <c r="CF1089" s="13" t="n">
        <v>1</v>
      </c>
      <c r="CG1089" s="13" t="n">
        <v>1449</v>
      </c>
      <c r="CH1089" s="13" t="n">
        <v>141</v>
      </c>
      <c r="CI1089" s="13" t="n">
        <v>54</v>
      </c>
      <c r="CJ1089" s="13" t="n">
        <v>48</v>
      </c>
      <c r="CK1089" s="13" t="n">
        <v>251</v>
      </c>
      <c r="CL1089" s="13" t="n">
        <v>30</v>
      </c>
      <c r="CM1089" s="13" t="n">
        <v>216</v>
      </c>
      <c r="CN1089" s="13" t="n">
        <v>0.626</v>
      </c>
      <c r="CO1089" s="13" t="n">
        <v>128</v>
      </c>
      <c r="CP1089" s="13" t="n">
        <v>137</v>
      </c>
      <c r="CQ1089" s="13" t="n">
        <v>123</v>
      </c>
      <c r="CR1089" s="13" t="n">
        <v>7</v>
      </c>
      <c r="CS1089" s="13" t="n">
        <v>5.4</v>
      </c>
      <c r="CT1089" s="11" t="inlineStr">
        <is>
          <t xml:space="preserve"> Resort Freeride</t>
        </is>
      </c>
      <c r="CU1089" s="13" t="n"/>
      <c r="CV1089" s="13" t="n"/>
      <c r="CW1089" s="13" t="n"/>
      <c r="CX1089">
        <f>INDEX('Data_Price '!AG$2:AG$1266,MATCH(Data!$DN1089,'Data_Price '!$AT$2:$AT$1266,0))</f>
        <v/>
      </c>
      <c r="CY1089">
        <f>INDEX('Data_Price '!AH$2:AH$1266,MATCH(Data!$DN1089,'Data_Price '!$AT$2:$AT$1266,0))</f>
        <v/>
      </c>
      <c r="CZ1089">
        <f>INDEX('Data_Price '!AI$2:AI$1266,MATCH(Data!$DN1089,'Data_Price '!$AT$2:$AT$1266,0))</f>
        <v/>
      </c>
      <c r="DA1089">
        <f>INDEX('Data_Price '!AJ$2:AJ$1266,MATCH(Data!$DN1089,'Data_Price '!$AT$2:$AT$1266,0))</f>
        <v/>
      </c>
      <c r="DB1089">
        <f>INDEX('Data_Price '!AK$2:AK$1266,MATCH(Data!$DN1089,'Data_Price '!$AT$2:$AT$1266,0))</f>
        <v/>
      </c>
      <c r="DC1089">
        <f>INDEX('Data_Price '!AL$2:AL$1266,MATCH(Data!$DN1089,'Data_Price '!$AT$2:$AT$1266,0))</f>
        <v/>
      </c>
      <c r="DD1089">
        <f>INDEX('Data_Price '!AM$2:AM$1266,MATCH(Data!$DN1089,'Data_Price '!$AT$2:$AT$1266,0))</f>
        <v/>
      </c>
      <c r="DE1089">
        <f>INDEX('Data_Price '!AN$2:AN$1266,MATCH(Data!$DN1089,'Data_Price '!$AT$2:$AT$1266,0))</f>
        <v/>
      </c>
      <c r="DF1089">
        <f>INDEX('Data_Price '!AO$2:AO$1266,MATCH(Data!$DN1089,'Data_Price '!$AT$2:$AT$1266,0))</f>
        <v/>
      </c>
      <c r="DG1089">
        <f>INDEX('Data_Price '!AP$2:AP$1266,MATCH(Data!$DN1089,'Data_Price '!$AT$2:$AT$1266,0))</f>
        <v/>
      </c>
      <c r="DH1089">
        <f>INDEX('Data_Price '!AQ$2:AQ$1266,MATCH(Data!$DN1089,'Data_Price '!$AT$2:$AT$1266,0))</f>
        <v/>
      </c>
      <c r="DI1089">
        <f>INDEX('Data_Price '!AR$2:AR$1266,MATCH(Data!$DN1089,'Data_Price '!$AT$2:$AT$1266,0))</f>
        <v/>
      </c>
      <c r="DJ1089" s="138">
        <f>DA1089</f>
        <v/>
      </c>
      <c r="DK1089" s="138">
        <f>DE1089</f>
        <v/>
      </c>
      <c r="DL1089" s="138">
        <f>DI1089</f>
        <v/>
      </c>
      <c r="DM1089" s="303">
        <f>IF(LEFT(BT1089,1)=" ",RIGHT(BT1089,LEN(BT1089)-1),BT1089)</f>
        <v/>
      </c>
      <c r="DN1089" s="138">
        <f>_xlfn.CONCAT(BS1089,DM1089,BU1089,BV1089)</f>
        <v/>
      </c>
      <c r="DO1089" s="307" t="n"/>
    </row>
    <row r="1090" ht="15.6" customHeight="1" s="184">
      <c r="B1090" s="303">
        <f t="array" ref="B1090">IF(OR(ISERROR(K1090:P1090)),FALSE,TRUE)</f>
        <v/>
      </c>
      <c r="C1090" s="60">
        <f>OR(BR1090=Driver!$G$50,Data!BR341=Driver!$H$50)</f>
        <v/>
      </c>
      <c r="D1090" s="60">
        <f>OR(BV1090=Driver!$G$51,BV1090=Driver!$H$51)</f>
        <v/>
      </c>
      <c r="E1090" s="60">
        <f>AND(BX1090&gt;Driver!$F$54,BX1090&lt;Driver!$G$54)</f>
        <v/>
      </c>
      <c r="F1090" s="60">
        <f>CL1090&gt;Driver!$F$56</f>
        <v/>
      </c>
      <c r="G1090" s="60">
        <f>AND(CB1090&gt;Driver!$F$55,CB1090&lt;Driver!$G$55)</f>
        <v/>
      </c>
      <c r="H1090" s="60">
        <f>AND(B1090:G1090)</f>
        <v/>
      </c>
      <c r="I1090" s="60">
        <f>COUNTIFS($H$9:$H$1273,TRUE,$BT$9:$BT$1273,BT1090)</f>
        <v/>
      </c>
      <c r="J1090" s="60">
        <f t="array" ref="J1090">NOT(OR(($H$9:$H$1273=TRUE)*($I$9:$I$1273&gt;0)*($BT$9:$BT$1273=BT1090)*($K$9:$K$1273&gt;K1090)))</f>
        <v/>
      </c>
      <c r="K1090" s="108">
        <f>IFERROR(1-AVERAGE(X1090:Y1090),"")</f>
        <v/>
      </c>
      <c r="L1090" s="108">
        <f>1-X1090</f>
        <v/>
      </c>
      <c r="M1090" s="108">
        <f>1-Y1090</f>
        <v/>
      </c>
      <c r="N1090" s="108">
        <f>1-Z1090</f>
        <v/>
      </c>
      <c r="O1090" s="108">
        <f>1-AA1090</f>
        <v/>
      </c>
      <c r="P1090" s="108">
        <f>1-AB1090</f>
        <v/>
      </c>
      <c r="Q1090" s="108" t="n"/>
      <c r="R1090" s="108" t="n"/>
      <c r="S1090" s="108">
        <f>1-AE1090</f>
        <v/>
      </c>
      <c r="T1090" s="108">
        <f>1-AF1090</f>
        <v/>
      </c>
      <c r="U1090" s="108">
        <f>1-AG1090</f>
        <v/>
      </c>
      <c r="V1090" s="108">
        <f>1-AH1090</f>
        <v/>
      </c>
      <c r="W1090" s="108">
        <f>1-AI1090</f>
        <v/>
      </c>
      <c r="X1090" s="108">
        <f>ABS(AJ1090-AJ$1)</f>
        <v/>
      </c>
      <c r="Y1090" s="108">
        <f>AVERAGE(Z1090:AB1090)</f>
        <v/>
      </c>
      <c r="Z1090" s="108">
        <f>ABS(AL1090-AL$1)</f>
        <v/>
      </c>
      <c r="AA1090" s="108">
        <f>ABS(AM1090-AM$1)</f>
        <v/>
      </c>
      <c r="AB1090" s="108">
        <f>ABS(AN1090-AN$1)</f>
        <v/>
      </c>
      <c r="AC1090" s="108" t="n"/>
      <c r="AD1090" s="108" t="n"/>
      <c r="AE1090" s="108">
        <f>ABS(AQ$1-AQ1090)</f>
        <v/>
      </c>
      <c r="AF1090" s="108">
        <f>ABS(AR$1-AR1090)</f>
        <v/>
      </c>
      <c r="AG1090" s="108">
        <f>ABS(AS$1-AS1090)</f>
        <v/>
      </c>
      <c r="AH1090" s="108">
        <f>ABS(AT$1-AT1090)</f>
        <v/>
      </c>
      <c r="AI1090" s="108">
        <f>ABS(AU$1-AU1090)</f>
        <v/>
      </c>
      <c r="AJ1090" s="108">
        <f>(AV1090-Driver!$K$179)/(Driver!$L$179-Driver!$K$179)</f>
        <v/>
      </c>
      <c r="AK1090" s="108">
        <f>(AW1090-Driver!$K$180)/(Driver!$L$180-Driver!$K$180)</f>
        <v/>
      </c>
      <c r="AL1090" s="108">
        <f>(AX1090-Driver!$K$181)/(Driver!$L$181-Driver!$K$181)</f>
        <v/>
      </c>
      <c r="AM1090" s="108">
        <f>(AY1090-Driver!$K$182)/(Driver!$L$182-Driver!$K$182)</f>
        <v/>
      </c>
      <c r="AN1090" s="108">
        <f>(AZ1090-Driver!$K$183)/(Driver!$L$183-Driver!$K$183)</f>
        <v/>
      </c>
      <c r="AO1090" s="108" t="n"/>
      <c r="AP1090" s="108" t="n"/>
      <c r="AQ1090" s="108">
        <f>(BC1090-Driver!$K$188)/(Driver!$L$188-Driver!$K$188)</f>
        <v/>
      </c>
      <c r="AR1090" s="108">
        <f>MIN((BD1090-Driver!$K$189)/(Driver!$L$189-Driver!$K$189),100%)</f>
        <v/>
      </c>
      <c r="AS1090" s="108">
        <f>(BE1090-Driver!$K$190)/(Driver!$L$190-Driver!$K$190)</f>
        <v/>
      </c>
      <c r="AT1090" s="108">
        <f>(BF1090-Driver!$K$191)/(Driver!$L$191-Driver!$K$191)</f>
        <v/>
      </c>
      <c r="AU1090" s="108">
        <f>(BG1090-Driver!$K$192)/(Driver!$L$192-Driver!$K$192)</f>
        <v/>
      </c>
      <c r="AV1090" s="105">
        <f>IFERROR(BM1090*BJ1090^1/4,"")</f>
        <v/>
      </c>
      <c r="AW1090" s="105">
        <f>IFERROR(SUM(AX1090:AZ1090),"")</f>
        <v/>
      </c>
      <c r="AX1090" s="105">
        <f>IFERROR(BH1090,"")</f>
        <v/>
      </c>
      <c r="AY1090" s="105">
        <f>IFERROR(Driver!$K$19/Data!BH1090/Data!BI1090*Data!BK1090*Data!BL1090,"")</f>
        <v/>
      </c>
      <c r="AZ1090" s="105">
        <f>IFERROR(BI1090*BN1090,"")</f>
        <v/>
      </c>
      <c r="BA1090" s="105" t="n"/>
      <c r="BB1090" s="105" t="n"/>
      <c r="BC1090" s="105">
        <f>IFERROR(BI1090*BN1090*BK1090/BJ1090^(1/2),"")</f>
        <v/>
      </c>
      <c r="BD1090" s="105">
        <f>IFERROR(BH1090*BM1090*BL1090/BJ1090/BK1090,"")</f>
        <v/>
      </c>
      <c r="BE1090" s="105">
        <f>IFERROR(MIN(BI1090/BQ1090/BP1090/BO1090/BH1090,$BE$1),"")</f>
        <v/>
      </c>
      <c r="BF1090" s="105">
        <f>IFERROR(BJ1090*BO1090*BP1090/BK1090,"")</f>
        <v/>
      </c>
      <c r="BG1090" s="105">
        <f>IFERROR(1/BM1090/BH1090*BQ1090,"")</f>
        <v/>
      </c>
      <c r="BH1090" s="102">
        <f>MAX((CE1090-Driver!$F$200)/(Driver!$G$200-Driver!$F$200)*$BI$1,1)</f>
        <v/>
      </c>
      <c r="BI1090" s="102">
        <f>MAX($BI$1*(BY1090-Driver!$F$201)/(Driver!$G$201-Driver!$F$201),1)</f>
        <v/>
      </c>
      <c r="BJ1090" s="102">
        <f>(CB1090-Driver!$F$206)/(Driver!$G$206-Driver!$F$206)*$BI$1</f>
        <v/>
      </c>
      <c r="BK1090" s="102">
        <f>(CD1090-Driver!$F$203)/(Driver!$G$203-Driver!$F$203)*$BI$1</f>
        <v/>
      </c>
      <c r="BL1090" s="102">
        <f>MAX((CR1090-Driver!$F$202)/(Driver!$G$202-Driver!$F$202)*$BI$1,1)</f>
        <v/>
      </c>
      <c r="BM1090" s="102">
        <f>MAX((CH1090-Driver!$F$204)/(Driver!$G$204-Driver!$F$204)*$BI$1,1)</f>
        <v/>
      </c>
      <c r="BN1090" s="102">
        <f>(CI1090-Driver!$F$205)/(Driver!$G$205-Driver!$F$205)*$BI$1</f>
        <v/>
      </c>
      <c r="BO1090" s="102">
        <f>(CK1090-Driver!$F$207)/(Driver!$G$207-Driver!$F$207)*$BI$1</f>
        <v/>
      </c>
      <c r="BP1090" s="102">
        <f>(CM1090-Driver!$F$208)/(Driver!$G$208-Driver!$F$208)*$BI$1</f>
        <v/>
      </c>
      <c r="BQ1090" s="102">
        <f>(CL1090-Driver!$F$209)/(Driver!$G$209-Driver!$F$209)*$BI$1</f>
        <v/>
      </c>
      <c r="BR1090" s="40" t="inlineStr">
        <is>
          <t>21/22</t>
        </is>
      </c>
      <c r="BS1090" s="10" t="inlineStr">
        <is>
          <t xml:space="preserve"> DPS</t>
        </is>
      </c>
      <c r="BT1090" s="11" t="inlineStr">
        <is>
          <t>Pagoda 106 C2</t>
        </is>
      </c>
      <c r="BU1090" s="13" t="n">
        <v>184</v>
      </c>
      <c r="BV1090" s="11" t="inlineStr">
        <is>
          <t xml:space="preserve"> Unisex</t>
        </is>
      </c>
      <c r="BW1090" s="13" t="n">
        <v>184</v>
      </c>
      <c r="BX1090" s="13" t="n">
        <v>183.7</v>
      </c>
      <c r="BY1090" s="13" t="n">
        <v>126</v>
      </c>
      <c r="BZ1090" s="13" t="n">
        <v>143</v>
      </c>
      <c r="CA1090" s="13" t="n">
        <v>138</v>
      </c>
      <c r="CB1090" s="13" t="n">
        <v>106</v>
      </c>
      <c r="CC1090" s="13" t="n">
        <v>121</v>
      </c>
      <c r="CD1090" s="13" t="n">
        <v>19.1</v>
      </c>
      <c r="CE1090" s="13" t="n">
        <v>2040</v>
      </c>
      <c r="CF1090" s="13" t="n">
        <v>1.04</v>
      </c>
      <c r="CG1090" s="13" t="n">
        <v>2125</v>
      </c>
      <c r="CH1090" s="13" t="n">
        <v>254</v>
      </c>
      <c r="CI1090" s="13" t="n">
        <v>139</v>
      </c>
      <c r="CJ1090" s="13" t="n">
        <v>54</v>
      </c>
      <c r="CK1090" s="13" t="n">
        <v>330</v>
      </c>
      <c r="CL1090" s="13" t="n">
        <v>27</v>
      </c>
      <c r="CM1090" s="13" t="n">
        <v>248</v>
      </c>
      <c r="CN1090" s="13" t="n">
        <v>0.501</v>
      </c>
      <c r="CO1090" s="13" t="n">
        <v>214</v>
      </c>
      <c r="CP1090" s="13" t="n">
        <v>196</v>
      </c>
      <c r="CQ1090" s="13" t="n">
        <v>116</v>
      </c>
      <c r="CR1090" s="13" t="n">
        <v>9</v>
      </c>
      <c r="CS1090" s="13" t="n">
        <v>10.8</v>
      </c>
      <c r="CT1090" s="11" t="inlineStr">
        <is>
          <t xml:space="preserve"> Powder</t>
        </is>
      </c>
      <c r="CU1090" s="13" t="n"/>
      <c r="CV1090" s="13" t="n"/>
      <c r="CW1090" s="13" t="n"/>
      <c r="CX1090">
        <f>INDEX('Data_Price '!AG$2:AG$1266,MATCH(Data!$DN1090,'Data_Price '!$AT$2:$AT$1266,0))</f>
        <v/>
      </c>
      <c r="CY1090">
        <f>INDEX('Data_Price '!AH$2:AH$1266,MATCH(Data!$DN1090,'Data_Price '!$AT$2:$AT$1266,0))</f>
        <v/>
      </c>
      <c r="CZ1090">
        <f>INDEX('Data_Price '!AI$2:AI$1266,MATCH(Data!$DN1090,'Data_Price '!$AT$2:$AT$1266,0))</f>
        <v/>
      </c>
      <c r="DA1090">
        <f>INDEX('Data_Price '!AJ$2:AJ$1266,MATCH(Data!$DN1090,'Data_Price '!$AT$2:$AT$1266,0))</f>
        <v/>
      </c>
      <c r="DB1090">
        <f>INDEX('Data_Price '!AK$2:AK$1266,MATCH(Data!$DN1090,'Data_Price '!$AT$2:$AT$1266,0))</f>
        <v/>
      </c>
      <c r="DC1090">
        <f>INDEX('Data_Price '!AL$2:AL$1266,MATCH(Data!$DN1090,'Data_Price '!$AT$2:$AT$1266,0))</f>
        <v/>
      </c>
      <c r="DD1090">
        <f>INDEX('Data_Price '!AM$2:AM$1266,MATCH(Data!$DN1090,'Data_Price '!$AT$2:$AT$1266,0))</f>
        <v/>
      </c>
      <c r="DE1090">
        <f>INDEX('Data_Price '!AN$2:AN$1266,MATCH(Data!$DN1090,'Data_Price '!$AT$2:$AT$1266,0))</f>
        <v/>
      </c>
      <c r="DF1090">
        <f>INDEX('Data_Price '!AO$2:AO$1266,MATCH(Data!$DN1090,'Data_Price '!$AT$2:$AT$1266,0))</f>
        <v/>
      </c>
      <c r="DG1090">
        <f>INDEX('Data_Price '!AP$2:AP$1266,MATCH(Data!$DN1090,'Data_Price '!$AT$2:$AT$1266,0))</f>
        <v/>
      </c>
      <c r="DH1090">
        <f>INDEX('Data_Price '!AQ$2:AQ$1266,MATCH(Data!$DN1090,'Data_Price '!$AT$2:$AT$1266,0))</f>
        <v/>
      </c>
      <c r="DI1090">
        <f>INDEX('Data_Price '!AR$2:AR$1266,MATCH(Data!$DN1090,'Data_Price '!$AT$2:$AT$1266,0))</f>
        <v/>
      </c>
      <c r="DJ1090" s="138">
        <f>DA1090</f>
        <v/>
      </c>
      <c r="DK1090" s="138">
        <f>DE1090</f>
        <v/>
      </c>
      <c r="DL1090" s="138">
        <f>DI1090</f>
        <v/>
      </c>
      <c r="DM1090" s="303">
        <f>IF(LEFT(BT1090,1)=" ",RIGHT(BT1090,LEN(BT1090)-1),BT1090)</f>
        <v/>
      </c>
      <c r="DN1090" s="138">
        <f>_xlfn.CONCAT(BS1090,DM1090,BU1090,BV1090)</f>
        <v/>
      </c>
      <c r="DO1090" s="307" t="inlineStr">
        <is>
          <t>https://images.evo.com/imgp/250/209064/857445/dps-pagoda-106-c2-skis-2023-.jpg</t>
        </is>
      </c>
    </row>
    <row r="1091" ht="15.6" customHeight="1" s="184">
      <c r="B1091" s="303">
        <f t="array" ref="B1091">IF(OR(ISERROR(K1091:P1091)),FALSE,TRUE)</f>
        <v/>
      </c>
      <c r="C1091" s="60">
        <f>OR(BR1091=Driver!$G$50,Data!BR1081=Driver!$H$50)</f>
        <v/>
      </c>
      <c r="D1091" s="60">
        <f>OR(BV1091=Driver!$G$51,BV1091=Driver!$H$51)</f>
        <v/>
      </c>
      <c r="E1091" s="60">
        <f>AND(BX1091&gt;Driver!$F$54,BX1091&lt;Driver!$G$54)</f>
        <v/>
      </c>
      <c r="F1091" s="60">
        <f>CL1091&gt;Driver!$F$56</f>
        <v/>
      </c>
      <c r="G1091" s="60">
        <f>AND(CB1091&gt;Driver!$F$55,CB1091&lt;Driver!$G$55)</f>
        <v/>
      </c>
      <c r="H1091" s="60">
        <f>AND(B1091:G1091)</f>
        <v/>
      </c>
      <c r="I1091" s="60">
        <f>COUNTIFS($H$9:$H$1273,TRUE,$BT$9:$BT$1273,BT1091)</f>
        <v/>
      </c>
      <c r="J1091" s="60">
        <f t="array" ref="J1091">NOT(OR(($H$9:$H$1273=TRUE)*($I$9:$I$1273&gt;0)*($BT$9:$BT$1273=BT1091)*($K$9:$K$1273&gt;K1091)))</f>
        <v/>
      </c>
      <c r="K1091" s="108">
        <f>IFERROR(1-AVERAGE(X1091:Y1091),"")</f>
        <v/>
      </c>
      <c r="L1091" s="108">
        <f>1-X1091</f>
        <v/>
      </c>
      <c r="M1091" s="108">
        <f>1-Y1091</f>
        <v/>
      </c>
      <c r="N1091" s="108">
        <f>1-Z1091</f>
        <v/>
      </c>
      <c r="O1091" s="108">
        <f>1-AA1091</f>
        <v/>
      </c>
      <c r="P1091" s="108">
        <f>1-AB1091</f>
        <v/>
      </c>
      <c r="Q1091" s="108" t="n"/>
      <c r="R1091" s="108" t="n"/>
      <c r="S1091" s="108">
        <f>1-AE1091</f>
        <v/>
      </c>
      <c r="T1091" s="108">
        <f>1-AF1091</f>
        <v/>
      </c>
      <c r="U1091" s="108">
        <f>1-AG1091</f>
        <v/>
      </c>
      <c r="V1091" s="108">
        <f>1-AH1091</f>
        <v/>
      </c>
      <c r="W1091" s="108">
        <f>1-AI1091</f>
        <v/>
      </c>
      <c r="X1091" s="108">
        <f>ABS(AJ1091-AJ$1)</f>
        <v/>
      </c>
      <c r="Y1091" s="108">
        <f>AVERAGE(Z1091:AB1091)</f>
        <v/>
      </c>
      <c r="Z1091" s="108">
        <f>ABS(AL1091-AL$1)</f>
        <v/>
      </c>
      <c r="AA1091" s="108">
        <f>ABS(AM1091-AM$1)</f>
        <v/>
      </c>
      <c r="AB1091" s="108">
        <f>ABS(AN1091-AN$1)</f>
        <v/>
      </c>
      <c r="AC1091" s="108" t="n"/>
      <c r="AD1091" s="108" t="n"/>
      <c r="AE1091" s="108">
        <f>ABS(AQ$1-AQ1091)</f>
        <v/>
      </c>
      <c r="AF1091" s="108">
        <f>ABS(AR$1-AR1091)</f>
        <v/>
      </c>
      <c r="AG1091" s="108">
        <f>ABS(AS$1-AS1091)</f>
        <v/>
      </c>
      <c r="AH1091" s="108">
        <f>ABS(AT$1-AT1091)</f>
        <v/>
      </c>
      <c r="AI1091" s="108">
        <f>ABS(AU$1-AU1091)</f>
        <v/>
      </c>
      <c r="AJ1091" s="108">
        <f>(AV1091-Driver!$K$179)/(Driver!$L$179-Driver!$K$179)</f>
        <v/>
      </c>
      <c r="AK1091" s="108">
        <f>(AW1091-Driver!$K$180)/(Driver!$L$180-Driver!$K$180)</f>
        <v/>
      </c>
      <c r="AL1091" s="108">
        <f>(AX1091-Driver!$K$181)/(Driver!$L$181-Driver!$K$181)</f>
        <v/>
      </c>
      <c r="AM1091" s="108">
        <f>(AY1091-Driver!$K$182)/(Driver!$L$182-Driver!$K$182)</f>
        <v/>
      </c>
      <c r="AN1091" s="108">
        <f>(AZ1091-Driver!$K$183)/(Driver!$L$183-Driver!$K$183)</f>
        <v/>
      </c>
      <c r="AO1091" s="108" t="n"/>
      <c r="AP1091" s="108" t="n"/>
      <c r="AQ1091" s="108">
        <f>(BC1091-Driver!$K$188)/(Driver!$L$188-Driver!$K$188)</f>
        <v/>
      </c>
      <c r="AR1091" s="108">
        <f>MIN((BD1091-Driver!$K$189)/(Driver!$L$189-Driver!$K$189),100%)</f>
        <v/>
      </c>
      <c r="AS1091" s="108">
        <f>(BE1091-Driver!$K$190)/(Driver!$L$190-Driver!$K$190)</f>
        <v/>
      </c>
      <c r="AT1091" s="108">
        <f>(BF1091-Driver!$K$191)/(Driver!$L$191-Driver!$K$191)</f>
        <v/>
      </c>
      <c r="AU1091" s="108">
        <f>(BG1091-Driver!$K$192)/(Driver!$L$192-Driver!$K$192)</f>
        <v/>
      </c>
      <c r="AV1091" s="105">
        <f>IFERROR(BM1091*BJ1091^1/4,"")</f>
        <v/>
      </c>
      <c r="AW1091" s="105">
        <f>IFERROR(SUM(AX1091:AZ1091),"")</f>
        <v/>
      </c>
      <c r="AX1091" s="105">
        <f>IFERROR(BH1091,"")</f>
        <v/>
      </c>
      <c r="AY1091" s="105">
        <f>IFERROR(Driver!$K$19/Data!BH1091/Data!BI1091*Data!BK1091*Data!BL1091,"")</f>
        <v/>
      </c>
      <c r="AZ1091" s="105">
        <f>IFERROR(BI1091*BN1091,"")</f>
        <v/>
      </c>
      <c r="BA1091" s="105" t="n"/>
      <c r="BB1091" s="105" t="n"/>
      <c r="BC1091" s="105">
        <f>IFERROR(BI1091*BN1091*BK1091/BJ1091^(1/2),"")</f>
        <v/>
      </c>
      <c r="BD1091" s="105">
        <f>IFERROR(BH1091*BM1091*BL1091/BJ1091/BK1091,"")</f>
        <v/>
      </c>
      <c r="BE1091" s="105">
        <f>IFERROR(MIN(BI1091/BQ1091/BP1091/BO1091/BH1091,$BE$1),"")</f>
        <v/>
      </c>
      <c r="BF1091" s="105">
        <f>IFERROR(BJ1091*BO1091*BP1091/BK1091,"")</f>
        <v/>
      </c>
      <c r="BG1091" s="105">
        <f>IFERROR(1/BM1091/BH1091*BQ1091,"")</f>
        <v/>
      </c>
      <c r="BH1091" s="102">
        <f>MAX((CE1091-Driver!$F$200)/(Driver!$G$200-Driver!$F$200)*$BI$1,1)</f>
        <v/>
      </c>
      <c r="BI1091" s="102">
        <f>MAX($BI$1*(BY1091-Driver!$F$201)/(Driver!$G$201-Driver!$F$201),1)</f>
        <v/>
      </c>
      <c r="BJ1091" s="102">
        <f>(CB1091-Driver!$F$206)/(Driver!$G$206-Driver!$F$206)*$BI$1</f>
        <v/>
      </c>
      <c r="BK1091" s="102">
        <f>(CD1091-Driver!$F$203)/(Driver!$G$203-Driver!$F$203)*$BI$1</f>
        <v/>
      </c>
      <c r="BL1091" s="102">
        <f>MAX((CR1091-Driver!$F$202)/(Driver!$G$202-Driver!$F$202)*$BI$1,1)</f>
        <v/>
      </c>
      <c r="BM1091" s="102">
        <f>MAX((CH1091-Driver!$F$204)/(Driver!$G$204-Driver!$F$204)*$BI$1,1)</f>
        <v/>
      </c>
      <c r="BN1091" s="102">
        <f>(CI1091-Driver!$F$205)/(Driver!$G$205-Driver!$F$205)*$BI$1</f>
        <v/>
      </c>
      <c r="BO1091" s="102">
        <f>(CK1091-Driver!$F$207)/(Driver!$G$207-Driver!$F$207)*$BI$1</f>
        <v/>
      </c>
      <c r="BP1091" s="102">
        <f>(CM1091-Driver!$F$208)/(Driver!$G$208-Driver!$F$208)*$BI$1</f>
        <v/>
      </c>
      <c r="BQ1091" s="102">
        <f>(CL1091-Driver!$F$209)/(Driver!$G$209-Driver!$F$209)*$BI$1</f>
        <v/>
      </c>
      <c r="BR1091" s="40" t="inlineStr">
        <is>
          <t>21/22</t>
        </is>
      </c>
      <c r="BS1091" s="10" t="inlineStr">
        <is>
          <t xml:space="preserve"> Salomon</t>
        </is>
      </c>
      <c r="BT1091" s="11" t="inlineStr">
        <is>
          <t xml:space="preserve"> QST Blank</t>
        </is>
      </c>
      <c r="BU1091" s="13" t="n">
        <v>194</v>
      </c>
      <c r="BV1091" s="11" t="inlineStr">
        <is>
          <t xml:space="preserve"> Unisex</t>
        </is>
      </c>
      <c r="BW1091" s="13" t="n">
        <v>194</v>
      </c>
      <c r="BX1091" s="13" t="n">
        <v>193.2</v>
      </c>
      <c r="BY1091" s="13" t="n">
        <v>91</v>
      </c>
      <c r="BZ1091" s="13" t="n">
        <v>148</v>
      </c>
      <c r="CA1091" s="13" t="n">
        <v>138</v>
      </c>
      <c r="CB1091" s="13" t="n">
        <v>111</v>
      </c>
      <c r="CC1091" s="13" t="n">
        <v>127</v>
      </c>
      <c r="CD1091" s="13" t="n">
        <v>19.3</v>
      </c>
      <c r="CE1091" s="13" t="n">
        <v>2330</v>
      </c>
      <c r="CF1091" s="13" t="n">
        <v>1</v>
      </c>
      <c r="CG1091" s="13" t="n">
        <v>2337</v>
      </c>
      <c r="CH1091" s="13" t="n">
        <v>265</v>
      </c>
      <c r="CI1091" s="13" t="n">
        <v>134</v>
      </c>
      <c r="CJ1091" s="13" t="n">
        <v>63</v>
      </c>
      <c r="CK1091" s="13" t="n">
        <v>519</v>
      </c>
      <c r="CL1091" s="13" t="n">
        <v>34</v>
      </c>
      <c r="CM1091" s="13" t="n">
        <v>505</v>
      </c>
      <c r="CN1091" s="13" t="n">
        <v>0.54</v>
      </c>
      <c r="CO1091" s="13" t="n">
        <v>244</v>
      </c>
      <c r="CP1091" s="13" t="n">
        <v>207</v>
      </c>
      <c r="CQ1091" s="13" t="n">
        <v>275</v>
      </c>
      <c r="CR1091" s="13" t="n">
        <v>3</v>
      </c>
      <c r="CS1091" s="13" t="n">
        <v>7.1</v>
      </c>
      <c r="CT1091" s="11" t="inlineStr">
        <is>
          <t xml:space="preserve"> Powder</t>
        </is>
      </c>
      <c r="CU1091" s="13" t="n"/>
      <c r="CV1091" s="13" t="n"/>
      <c r="CW1091" s="13" t="n"/>
      <c r="CX1091">
        <f>INDEX('Data_Price '!AG$2:AG$1266,MATCH(Data!$DN1091,'Data_Price '!$AT$2:$AT$1266,0))</f>
        <v/>
      </c>
      <c r="CY1091">
        <f>INDEX('Data_Price '!AH$2:AH$1266,MATCH(Data!$DN1091,'Data_Price '!$AT$2:$AT$1266,0))</f>
        <v/>
      </c>
      <c r="CZ1091">
        <f>INDEX('Data_Price '!AI$2:AI$1266,MATCH(Data!$DN1091,'Data_Price '!$AT$2:$AT$1266,0))</f>
        <v/>
      </c>
      <c r="DA1091">
        <f>INDEX('Data_Price '!AJ$2:AJ$1266,MATCH(Data!$DN1091,'Data_Price '!$AT$2:$AT$1266,0))</f>
        <v/>
      </c>
      <c r="DB1091">
        <f>INDEX('Data_Price '!AK$2:AK$1266,MATCH(Data!$DN1091,'Data_Price '!$AT$2:$AT$1266,0))</f>
        <v/>
      </c>
      <c r="DC1091">
        <f>INDEX('Data_Price '!AL$2:AL$1266,MATCH(Data!$DN1091,'Data_Price '!$AT$2:$AT$1266,0))</f>
        <v/>
      </c>
      <c r="DD1091">
        <f>INDEX('Data_Price '!AM$2:AM$1266,MATCH(Data!$DN1091,'Data_Price '!$AT$2:$AT$1266,0))</f>
        <v/>
      </c>
      <c r="DE1091">
        <f>INDEX('Data_Price '!AN$2:AN$1266,MATCH(Data!$DN1091,'Data_Price '!$AT$2:$AT$1266,0))</f>
        <v/>
      </c>
      <c r="DF1091">
        <f>INDEX('Data_Price '!AO$2:AO$1266,MATCH(Data!$DN1091,'Data_Price '!$AT$2:$AT$1266,0))</f>
        <v/>
      </c>
      <c r="DG1091">
        <f>INDEX('Data_Price '!AP$2:AP$1266,MATCH(Data!$DN1091,'Data_Price '!$AT$2:$AT$1266,0))</f>
        <v/>
      </c>
      <c r="DH1091">
        <f>INDEX('Data_Price '!AQ$2:AQ$1266,MATCH(Data!$DN1091,'Data_Price '!$AT$2:$AT$1266,0))</f>
        <v/>
      </c>
      <c r="DI1091">
        <f>INDEX('Data_Price '!AR$2:AR$1266,MATCH(Data!$DN1091,'Data_Price '!$AT$2:$AT$1266,0))</f>
        <v/>
      </c>
      <c r="DJ1091" s="138">
        <f>DA1091</f>
        <v/>
      </c>
      <c r="DK1091" s="138">
        <f>DE1091</f>
        <v/>
      </c>
      <c r="DL1091" s="138">
        <f>DI1091</f>
        <v/>
      </c>
      <c r="DM1091" s="303">
        <f>IF(LEFT(BT1091,1)=" ",RIGHT(BT1091,LEN(BT1091)-1),BT1091)</f>
        <v/>
      </c>
      <c r="DN1091" s="138">
        <f>_xlfn.CONCAT(BS1091,DM1091,BU1091,BV1091)</f>
        <v/>
      </c>
      <c r="DO1091" s="307" t="inlineStr">
        <is>
          <t>https://images.evo.com/imgp/250/197270/802751/salomon-qst-blank-skis-2022-.jpg</t>
        </is>
      </c>
    </row>
    <row r="1092" ht="15.6" customHeight="1" s="184">
      <c r="B1092" s="303">
        <f t="array" ref="B1092">IF(OR(ISERROR(K1092:P1092)),FALSE,TRUE)</f>
        <v/>
      </c>
      <c r="C1092" s="60">
        <f>OR(BR1092=Driver!$G$50,Data!BR910=Driver!$H$50)</f>
        <v/>
      </c>
      <c r="D1092" s="60">
        <f>OR(BV1092=Driver!$G$51,BV1092=Driver!$H$51)</f>
        <v/>
      </c>
      <c r="E1092" s="60">
        <f>AND(BX1092&gt;Driver!$F$54,BX1092&lt;Driver!$G$54)</f>
        <v/>
      </c>
      <c r="F1092" s="60">
        <f>CL1092&gt;Driver!$F$56</f>
        <v/>
      </c>
      <c r="G1092" s="60">
        <f>AND(CB1092&gt;Driver!$F$55,CB1092&lt;Driver!$G$55)</f>
        <v/>
      </c>
      <c r="H1092" s="60">
        <f>AND(B1092:G1092)</f>
        <v/>
      </c>
      <c r="I1092" s="60">
        <f>COUNTIFS($H$9:$H$1273,TRUE,$BT$9:$BT$1273,BT1092)</f>
        <v/>
      </c>
      <c r="J1092" s="60">
        <f t="array" ref="J1092">NOT(OR(($H$9:$H$1273=TRUE)*($I$9:$I$1273&gt;0)*($BT$9:$BT$1273=BT1092)*($K$9:$K$1273&gt;K1092)))</f>
        <v/>
      </c>
      <c r="K1092" s="108">
        <f>IFERROR(1-AVERAGE(X1092:Y1092),"")</f>
        <v/>
      </c>
      <c r="L1092" s="108">
        <f>1-X1092</f>
        <v/>
      </c>
      <c r="M1092" s="108">
        <f>1-Y1092</f>
        <v/>
      </c>
      <c r="N1092" s="108">
        <f>1-Z1092</f>
        <v/>
      </c>
      <c r="O1092" s="108">
        <f>1-AA1092</f>
        <v/>
      </c>
      <c r="P1092" s="108">
        <f>1-AB1092</f>
        <v/>
      </c>
      <c r="Q1092" s="108" t="n"/>
      <c r="R1092" s="108" t="n"/>
      <c r="S1092" s="108">
        <f>1-AE1092</f>
        <v/>
      </c>
      <c r="T1092" s="108">
        <f>1-AF1092</f>
        <v/>
      </c>
      <c r="U1092" s="108">
        <f>1-AG1092</f>
        <v/>
      </c>
      <c r="V1092" s="108">
        <f>1-AH1092</f>
        <v/>
      </c>
      <c r="W1092" s="108">
        <f>1-AI1092</f>
        <v/>
      </c>
      <c r="X1092" s="108">
        <f>ABS(AJ1092-AJ$1)</f>
        <v/>
      </c>
      <c r="Y1092" s="108">
        <f>AVERAGE(Z1092:AB1092)</f>
        <v/>
      </c>
      <c r="Z1092" s="108">
        <f>ABS(AL1092-AL$1)</f>
        <v/>
      </c>
      <c r="AA1092" s="108">
        <f>ABS(AM1092-AM$1)</f>
        <v/>
      </c>
      <c r="AB1092" s="108">
        <f>ABS(AN1092-AN$1)</f>
        <v/>
      </c>
      <c r="AC1092" s="108" t="n"/>
      <c r="AD1092" s="108" t="n"/>
      <c r="AE1092" s="108">
        <f>ABS(AQ$1-AQ1092)</f>
        <v/>
      </c>
      <c r="AF1092" s="108">
        <f>ABS(AR$1-AR1092)</f>
        <v/>
      </c>
      <c r="AG1092" s="108">
        <f>ABS(AS$1-AS1092)</f>
        <v/>
      </c>
      <c r="AH1092" s="108">
        <f>ABS(AT$1-AT1092)</f>
        <v/>
      </c>
      <c r="AI1092" s="108">
        <f>ABS(AU$1-AU1092)</f>
        <v/>
      </c>
      <c r="AJ1092" s="108">
        <f>(AV1092-Driver!$K$179)/(Driver!$L$179-Driver!$K$179)</f>
        <v/>
      </c>
      <c r="AK1092" s="108">
        <f>(AW1092-Driver!$K$180)/(Driver!$L$180-Driver!$K$180)</f>
        <v/>
      </c>
      <c r="AL1092" s="108">
        <f>(AX1092-Driver!$K$181)/(Driver!$L$181-Driver!$K$181)</f>
        <v/>
      </c>
      <c r="AM1092" s="108">
        <f>(AY1092-Driver!$K$182)/(Driver!$L$182-Driver!$K$182)</f>
        <v/>
      </c>
      <c r="AN1092" s="108">
        <f>(AZ1092-Driver!$K$183)/(Driver!$L$183-Driver!$K$183)</f>
        <v/>
      </c>
      <c r="AO1092" s="108" t="n"/>
      <c r="AP1092" s="108" t="n"/>
      <c r="AQ1092" s="108">
        <f>(BC1092-Driver!$K$188)/(Driver!$L$188-Driver!$K$188)</f>
        <v/>
      </c>
      <c r="AR1092" s="108">
        <f>MIN((BD1092-Driver!$K$189)/(Driver!$L$189-Driver!$K$189),100%)</f>
        <v/>
      </c>
      <c r="AS1092" s="108">
        <f>(BE1092-Driver!$K$190)/(Driver!$L$190-Driver!$K$190)</f>
        <v/>
      </c>
      <c r="AT1092" s="108">
        <f>(BF1092-Driver!$K$191)/(Driver!$L$191-Driver!$K$191)</f>
        <v/>
      </c>
      <c r="AU1092" s="108">
        <f>(BG1092-Driver!$K$192)/(Driver!$L$192-Driver!$K$192)</f>
        <v/>
      </c>
      <c r="AV1092" s="105">
        <f>IFERROR(BM1092*BJ1092^1/4,"")</f>
        <v/>
      </c>
      <c r="AW1092" s="105">
        <f>IFERROR(SUM(AX1092:AZ1092),"")</f>
        <v/>
      </c>
      <c r="AX1092" s="105">
        <f>IFERROR(BH1092,"")</f>
        <v/>
      </c>
      <c r="AY1092" s="105">
        <f>IFERROR(Driver!$K$19/Data!BH1092/Data!BI1092*Data!BK1092*Data!BL1092,"")</f>
        <v/>
      </c>
      <c r="AZ1092" s="105">
        <f>IFERROR(BI1092*BN1092,"")</f>
        <v/>
      </c>
      <c r="BA1092" s="105" t="n"/>
      <c r="BB1092" s="105" t="n"/>
      <c r="BC1092" s="105">
        <f>IFERROR(BI1092*BN1092*BK1092/BJ1092^(1/2),"")</f>
        <v/>
      </c>
      <c r="BD1092" s="105">
        <f>IFERROR(BH1092*BM1092*BL1092/BJ1092/BK1092,"")</f>
        <v/>
      </c>
      <c r="BE1092" s="105">
        <f>IFERROR(MIN(BI1092/BQ1092/BP1092/BO1092/BH1092,$BE$1),"")</f>
        <v/>
      </c>
      <c r="BF1092" s="105">
        <f>IFERROR(BJ1092*BO1092*BP1092/BK1092,"")</f>
        <v/>
      </c>
      <c r="BG1092" s="105">
        <f>IFERROR(1/BM1092/BH1092*BQ1092,"")</f>
        <v/>
      </c>
      <c r="BH1092" s="102">
        <f>MAX((CE1092-Driver!$F$200)/(Driver!$G$200-Driver!$F$200)*$BI$1,1)</f>
        <v/>
      </c>
      <c r="BI1092" s="102">
        <f>MAX($BI$1*(BY1092-Driver!$F$201)/(Driver!$G$201-Driver!$F$201),1)</f>
        <v/>
      </c>
      <c r="BJ1092" s="102">
        <f>(CB1092-Driver!$F$206)/(Driver!$G$206-Driver!$F$206)*$BI$1</f>
        <v/>
      </c>
      <c r="BK1092" s="102">
        <f>(CD1092-Driver!$F$203)/(Driver!$G$203-Driver!$F$203)*$BI$1</f>
        <v/>
      </c>
      <c r="BL1092" s="102">
        <f>MAX((CR1092-Driver!$F$202)/(Driver!$G$202-Driver!$F$202)*$BI$1,1)</f>
        <v/>
      </c>
      <c r="BM1092" s="102">
        <f>MAX((CH1092-Driver!$F$204)/(Driver!$G$204-Driver!$F$204)*$BI$1,1)</f>
        <v/>
      </c>
      <c r="BN1092" s="102">
        <f>(CI1092-Driver!$F$205)/(Driver!$G$205-Driver!$F$205)*$BI$1</f>
        <v/>
      </c>
      <c r="BO1092" s="102">
        <f>(CK1092-Driver!$F$207)/(Driver!$G$207-Driver!$F$207)*$BI$1</f>
        <v/>
      </c>
      <c r="BP1092" s="102">
        <f>(CM1092-Driver!$F$208)/(Driver!$G$208-Driver!$F$208)*$BI$1</f>
        <v/>
      </c>
      <c r="BQ1092" s="102">
        <f>(CL1092-Driver!$F$209)/(Driver!$G$209-Driver!$F$209)*$BI$1</f>
        <v/>
      </c>
      <c r="BR1092" s="40" t="inlineStr">
        <is>
          <t>21/22</t>
        </is>
      </c>
      <c r="BS1092" s="10" t="inlineStr">
        <is>
          <t xml:space="preserve"> Nordica</t>
        </is>
      </c>
      <c r="BT1092" s="11" t="inlineStr">
        <is>
          <t>Enforcer 94</t>
        </is>
      </c>
      <c r="BU1092" s="13" t="n">
        <v>179</v>
      </c>
      <c r="BV1092" s="11" t="inlineStr">
        <is>
          <t xml:space="preserve"> Unisex</t>
        </is>
      </c>
      <c r="BW1092" s="13" t="n">
        <v>179</v>
      </c>
      <c r="BX1092" s="13" t="n">
        <v>178.3</v>
      </c>
      <c r="BY1092" s="13" t="n">
        <v>131</v>
      </c>
      <c r="BZ1092" s="13" t="n">
        <v>147</v>
      </c>
      <c r="CA1092" s="13" t="n">
        <v>128</v>
      </c>
      <c r="CB1092" s="13" t="n">
        <v>93</v>
      </c>
      <c r="CC1092" s="13" t="n">
        <v>114</v>
      </c>
      <c r="CD1092" s="13" t="n">
        <v>17</v>
      </c>
      <c r="CE1092" s="13" t="n">
        <v>2178</v>
      </c>
      <c r="CF1092" s="13" t="n">
        <v>0.86</v>
      </c>
      <c r="CG1092" s="13" t="n">
        <v>1867</v>
      </c>
      <c r="CH1092" s="13" t="n">
        <v>234</v>
      </c>
      <c r="CI1092" s="13" t="n">
        <v>145</v>
      </c>
      <c r="CJ1092" s="13" t="n">
        <v>55</v>
      </c>
      <c r="CK1092" s="13" t="n">
        <v>286</v>
      </c>
      <c r="CL1092" s="13" t="n">
        <v>13</v>
      </c>
      <c r="CM1092" s="13" t="n">
        <v>186</v>
      </c>
      <c r="CN1092" s="13" t="n">
        <v>0.235</v>
      </c>
      <c r="CO1092" s="13" t="n">
        <v>152</v>
      </c>
      <c r="CP1092" s="13" t="n">
        <v>159</v>
      </c>
      <c r="CQ1092" s="13" t="n">
        <v>134</v>
      </c>
      <c r="CR1092" s="13" t="n">
        <v>7</v>
      </c>
      <c r="CS1092" s="13" t="n">
        <v>8.5</v>
      </c>
      <c r="CT1092" s="11" t="inlineStr">
        <is>
          <t xml:space="preserve"> Resort Freeride</t>
        </is>
      </c>
      <c r="CU1092" s="13" t="n"/>
      <c r="CV1092" s="13" t="n"/>
      <c r="CW1092" s="13" t="n"/>
      <c r="CX1092">
        <f>INDEX('Data_Price '!AG$2:AG$1266,MATCH(Data!$DN1092,'Data_Price '!$AT$2:$AT$1266,0))</f>
        <v/>
      </c>
      <c r="CY1092">
        <f>INDEX('Data_Price '!AH$2:AH$1266,MATCH(Data!$DN1092,'Data_Price '!$AT$2:$AT$1266,0))</f>
        <v/>
      </c>
      <c r="CZ1092">
        <f>INDEX('Data_Price '!AI$2:AI$1266,MATCH(Data!$DN1092,'Data_Price '!$AT$2:$AT$1266,0))</f>
        <v/>
      </c>
      <c r="DA1092">
        <f>INDEX('Data_Price '!AJ$2:AJ$1266,MATCH(Data!$DN1092,'Data_Price '!$AT$2:$AT$1266,0))</f>
        <v/>
      </c>
      <c r="DB1092">
        <f>INDEX('Data_Price '!AK$2:AK$1266,MATCH(Data!$DN1092,'Data_Price '!$AT$2:$AT$1266,0))</f>
        <v/>
      </c>
      <c r="DC1092">
        <f>INDEX('Data_Price '!AL$2:AL$1266,MATCH(Data!$DN1092,'Data_Price '!$AT$2:$AT$1266,0))</f>
        <v/>
      </c>
      <c r="DD1092">
        <f>INDEX('Data_Price '!AM$2:AM$1266,MATCH(Data!$DN1092,'Data_Price '!$AT$2:$AT$1266,0))</f>
        <v/>
      </c>
      <c r="DE1092">
        <f>INDEX('Data_Price '!AN$2:AN$1266,MATCH(Data!$DN1092,'Data_Price '!$AT$2:$AT$1266,0))</f>
        <v/>
      </c>
      <c r="DF1092">
        <f>INDEX('Data_Price '!AO$2:AO$1266,MATCH(Data!$DN1092,'Data_Price '!$AT$2:$AT$1266,0))</f>
        <v/>
      </c>
      <c r="DG1092">
        <f>INDEX('Data_Price '!AP$2:AP$1266,MATCH(Data!$DN1092,'Data_Price '!$AT$2:$AT$1266,0))</f>
        <v/>
      </c>
      <c r="DH1092">
        <f>INDEX('Data_Price '!AQ$2:AQ$1266,MATCH(Data!$DN1092,'Data_Price '!$AT$2:$AT$1266,0))</f>
        <v/>
      </c>
      <c r="DI1092">
        <f>INDEX('Data_Price '!AR$2:AR$1266,MATCH(Data!$DN1092,'Data_Price '!$AT$2:$AT$1266,0))</f>
        <v/>
      </c>
      <c r="DJ1092" s="138">
        <f>DA1092</f>
        <v/>
      </c>
      <c r="DK1092" s="138">
        <f>DE1092</f>
        <v/>
      </c>
      <c r="DL1092" s="138">
        <f>DI1092</f>
        <v/>
      </c>
      <c r="DM1092" s="303">
        <f>IF(LEFT(BT1092,1)=" ",RIGHT(BT1092,LEN(BT1092)-1),BT1092)</f>
        <v/>
      </c>
      <c r="DN1092" s="138">
        <f>_xlfn.CONCAT(BS1092,DM1092,BU1092,BV1092)</f>
        <v/>
      </c>
      <c r="DO1092" s="307" t="inlineStr">
        <is>
          <t>https://images.evo.com/imgp/250/198254/792323/nordica-enforcer-94-skis-2022-.jpg</t>
        </is>
      </c>
    </row>
    <row r="1093" ht="15.6" customHeight="1" s="184">
      <c r="B1093" s="303">
        <f t="array" ref="B1093">IF(OR(ISERROR(K1093:P1093)),FALSE,TRUE)</f>
        <v/>
      </c>
      <c r="C1093" s="60">
        <f>OR(BR1093=Driver!$G$50,Data!BR743=Driver!$H$50)</f>
        <v/>
      </c>
      <c r="D1093" s="60">
        <f>OR(BV1093=Driver!$G$51,BV1093=Driver!$H$51)</f>
        <v/>
      </c>
      <c r="E1093" s="60">
        <f>AND(BX1093&gt;Driver!$F$54,BX1093&lt;Driver!$G$54)</f>
        <v/>
      </c>
      <c r="F1093" s="60">
        <f>CL1093&gt;Driver!$F$56</f>
        <v/>
      </c>
      <c r="G1093" s="60">
        <f>AND(CB1093&gt;Driver!$F$55,CB1093&lt;Driver!$G$55)</f>
        <v/>
      </c>
      <c r="H1093" s="60">
        <f>AND(B1093:G1093)</f>
        <v/>
      </c>
      <c r="I1093" s="60">
        <f>COUNTIFS($H$9:$H$1273,TRUE,$BT$9:$BT$1273,BT1093)</f>
        <v/>
      </c>
      <c r="J1093" s="60">
        <f t="array" ref="J1093">NOT(OR(($H$9:$H$1273=TRUE)*($I$9:$I$1273&gt;0)*($BT$9:$BT$1273=BT1093)*($K$9:$K$1273&gt;K1093)))</f>
        <v/>
      </c>
      <c r="K1093" s="108">
        <f>IFERROR(1-AVERAGE(X1093:Y1093),"")</f>
        <v/>
      </c>
      <c r="L1093" s="108">
        <f>1-X1093</f>
        <v/>
      </c>
      <c r="M1093" s="108">
        <f>1-Y1093</f>
        <v/>
      </c>
      <c r="N1093" s="108">
        <f>1-Z1093</f>
        <v/>
      </c>
      <c r="O1093" s="108">
        <f>1-AA1093</f>
        <v/>
      </c>
      <c r="P1093" s="108">
        <f>1-AB1093</f>
        <v/>
      </c>
      <c r="Q1093" s="108" t="n"/>
      <c r="R1093" s="108" t="n"/>
      <c r="S1093" s="108">
        <f>1-AE1093</f>
        <v/>
      </c>
      <c r="T1093" s="108">
        <f>1-AF1093</f>
        <v/>
      </c>
      <c r="U1093" s="108">
        <f>1-AG1093</f>
        <v/>
      </c>
      <c r="V1093" s="108">
        <f>1-AH1093</f>
        <v/>
      </c>
      <c r="W1093" s="108">
        <f>1-AI1093</f>
        <v/>
      </c>
      <c r="X1093" s="108">
        <f>ABS(AJ1093-AJ$1)</f>
        <v/>
      </c>
      <c r="Y1093" s="108">
        <f>AVERAGE(Z1093:AB1093)</f>
        <v/>
      </c>
      <c r="Z1093" s="108">
        <f>ABS(AL1093-AL$1)</f>
        <v/>
      </c>
      <c r="AA1093" s="108">
        <f>ABS(AM1093-AM$1)</f>
        <v/>
      </c>
      <c r="AB1093" s="108">
        <f>ABS(AN1093-AN$1)</f>
        <v/>
      </c>
      <c r="AC1093" s="108" t="n"/>
      <c r="AD1093" s="108" t="n"/>
      <c r="AE1093" s="108">
        <f>ABS(AQ$1-AQ1093)</f>
        <v/>
      </c>
      <c r="AF1093" s="108">
        <f>ABS(AR$1-AR1093)</f>
        <v/>
      </c>
      <c r="AG1093" s="108">
        <f>ABS(AS$1-AS1093)</f>
        <v/>
      </c>
      <c r="AH1093" s="108">
        <f>ABS(AT$1-AT1093)</f>
        <v/>
      </c>
      <c r="AI1093" s="108">
        <f>ABS(AU$1-AU1093)</f>
        <v/>
      </c>
      <c r="AJ1093" s="108">
        <f>(AV1093-Driver!$K$179)/(Driver!$L$179-Driver!$K$179)</f>
        <v/>
      </c>
      <c r="AK1093" s="108">
        <f>(AW1093-Driver!$K$180)/(Driver!$L$180-Driver!$K$180)</f>
        <v/>
      </c>
      <c r="AL1093" s="108">
        <f>(AX1093-Driver!$K$181)/(Driver!$L$181-Driver!$K$181)</f>
        <v/>
      </c>
      <c r="AM1093" s="108">
        <f>(AY1093-Driver!$K$182)/(Driver!$L$182-Driver!$K$182)</f>
        <v/>
      </c>
      <c r="AN1093" s="108">
        <f>(AZ1093-Driver!$K$183)/(Driver!$L$183-Driver!$K$183)</f>
        <v/>
      </c>
      <c r="AO1093" s="108" t="n"/>
      <c r="AP1093" s="108" t="n"/>
      <c r="AQ1093" s="108">
        <f>(BC1093-Driver!$K$188)/(Driver!$L$188-Driver!$K$188)</f>
        <v/>
      </c>
      <c r="AR1093" s="108">
        <f>MIN((BD1093-Driver!$K$189)/(Driver!$L$189-Driver!$K$189),100%)</f>
        <v/>
      </c>
      <c r="AS1093" s="108">
        <f>(BE1093-Driver!$K$190)/(Driver!$L$190-Driver!$K$190)</f>
        <v/>
      </c>
      <c r="AT1093" s="108">
        <f>(BF1093-Driver!$K$191)/(Driver!$L$191-Driver!$K$191)</f>
        <v/>
      </c>
      <c r="AU1093" s="108">
        <f>(BG1093-Driver!$K$192)/(Driver!$L$192-Driver!$K$192)</f>
        <v/>
      </c>
      <c r="AV1093" s="105">
        <f>IFERROR(BM1093*BJ1093^1/4,"")</f>
        <v/>
      </c>
      <c r="AW1093" s="105">
        <f>IFERROR(SUM(AX1093:AZ1093),"")</f>
        <v/>
      </c>
      <c r="AX1093" s="105">
        <f>IFERROR(BH1093,"")</f>
        <v/>
      </c>
      <c r="AY1093" s="105">
        <f>IFERROR(Driver!$K$19/Data!BH1093/Data!BI1093*Data!BK1093*Data!BL1093,"")</f>
        <v/>
      </c>
      <c r="AZ1093" s="105">
        <f>IFERROR(BI1093*BN1093,"")</f>
        <v/>
      </c>
      <c r="BA1093" s="105" t="n"/>
      <c r="BB1093" s="105" t="n"/>
      <c r="BC1093" s="105">
        <f>IFERROR(BI1093*BN1093*BK1093/BJ1093^(1/2),"")</f>
        <v/>
      </c>
      <c r="BD1093" s="105">
        <f>IFERROR(BH1093*BM1093*BL1093/BJ1093/BK1093,"")</f>
        <v/>
      </c>
      <c r="BE1093" s="105">
        <f>IFERROR(MIN(BI1093/BQ1093/BP1093/BO1093/BH1093,$BE$1),"")</f>
        <v/>
      </c>
      <c r="BF1093" s="105">
        <f>IFERROR(BJ1093*BO1093*BP1093/BK1093,"")</f>
        <v/>
      </c>
      <c r="BG1093" s="105">
        <f>IFERROR(1/BM1093/BH1093*BQ1093,"")</f>
        <v/>
      </c>
      <c r="BH1093" s="102">
        <f>MAX((CE1093-Driver!$F$200)/(Driver!$G$200-Driver!$F$200)*$BI$1,1)</f>
        <v/>
      </c>
      <c r="BI1093" s="102">
        <f>MAX($BI$1*(BY1093-Driver!$F$201)/(Driver!$G$201-Driver!$F$201),1)</f>
        <v/>
      </c>
      <c r="BJ1093" s="102">
        <f>(CB1093-Driver!$F$206)/(Driver!$G$206-Driver!$F$206)*$BI$1</f>
        <v/>
      </c>
      <c r="BK1093" s="102">
        <f>(CD1093-Driver!$F$203)/(Driver!$G$203-Driver!$F$203)*$BI$1</f>
        <v/>
      </c>
      <c r="BL1093" s="102">
        <f>MAX((CR1093-Driver!$F$202)/(Driver!$G$202-Driver!$F$202)*$BI$1,1)</f>
        <v/>
      </c>
      <c r="BM1093" s="102">
        <f>MAX((CH1093-Driver!$F$204)/(Driver!$G$204-Driver!$F$204)*$BI$1,1)</f>
        <v/>
      </c>
      <c r="BN1093" s="102">
        <f>(CI1093-Driver!$F$205)/(Driver!$G$205-Driver!$F$205)*$BI$1</f>
        <v/>
      </c>
      <c r="BO1093" s="102">
        <f>(CK1093-Driver!$F$207)/(Driver!$G$207-Driver!$F$207)*$BI$1</f>
        <v/>
      </c>
      <c r="BP1093" s="102">
        <f>(CM1093-Driver!$F$208)/(Driver!$G$208-Driver!$F$208)*$BI$1</f>
        <v/>
      </c>
      <c r="BQ1093" s="102">
        <f>(CL1093-Driver!$F$209)/(Driver!$G$209-Driver!$F$209)*$BI$1</f>
        <v/>
      </c>
      <c r="BR1093" s="40" t="inlineStr">
        <is>
          <t>21/22</t>
        </is>
      </c>
      <c r="BS1093" s="10" t="inlineStr">
        <is>
          <t xml:space="preserve"> K2</t>
        </is>
      </c>
      <c r="BT1093" s="11" t="inlineStr">
        <is>
          <t>Mindbender 90C</t>
        </is>
      </c>
      <c r="BU1093" s="13" t="n">
        <v>156</v>
      </c>
      <c r="BV1093" s="11" t="inlineStr">
        <is>
          <t xml:space="preserve"> Unisex</t>
        </is>
      </c>
      <c r="BW1093" s="13" t="n">
        <v>156</v>
      </c>
      <c r="BX1093" s="13" t="n">
        <v>156.7</v>
      </c>
      <c r="BY1093" s="13" t="n">
        <v>118</v>
      </c>
      <c r="BZ1093" s="13" t="n">
        <v>130</v>
      </c>
      <c r="CA1093" s="13" t="n">
        <v>126</v>
      </c>
      <c r="CB1093" s="13" t="n">
        <v>89</v>
      </c>
      <c r="CC1093" s="13" t="n">
        <v>112</v>
      </c>
      <c r="CD1093" s="13" t="n">
        <v>13.5</v>
      </c>
      <c r="CE1093" s="13" t="n">
        <v>1373</v>
      </c>
      <c r="CF1093" s="13" t="n">
        <v>1.16</v>
      </c>
      <c r="CG1093" s="13" t="n">
        <v>1588</v>
      </c>
      <c r="CH1093" s="13" t="n">
        <v>117</v>
      </c>
      <c r="CI1093" s="13" t="n">
        <v>60</v>
      </c>
      <c r="CJ1093" s="13" t="n">
        <v>49</v>
      </c>
      <c r="CK1093" s="13" t="n">
        <v>225</v>
      </c>
      <c r="CL1093" s="13" t="n">
        <v>16</v>
      </c>
      <c r="CM1093" s="13" t="n">
        <v>161</v>
      </c>
      <c r="CN1093" s="13" t="n">
        <v>0.324</v>
      </c>
      <c r="CO1093" s="13" t="n">
        <v>155</v>
      </c>
      <c r="CP1093" s="13" t="n">
        <v>116</v>
      </c>
      <c r="CQ1093" s="13" t="n">
        <v>71</v>
      </c>
      <c r="CR1093" s="13" t="n">
        <v>9</v>
      </c>
      <c r="CS1093" s="13" t="n">
        <v>9.699999999999999</v>
      </c>
      <c r="CT1093" s="11" t="inlineStr">
        <is>
          <t xml:space="preserve"> Resort Freeride</t>
        </is>
      </c>
      <c r="CU1093" s="11" t="inlineStr">
        <is>
          <t xml:space="preserve"> Touring</t>
        </is>
      </c>
      <c r="CV1093" s="13" t="n"/>
      <c r="CW1093" s="13" t="n"/>
      <c r="CX1093">
        <f>INDEX('Data_Price '!AG$2:AG$1266,MATCH(Data!$DN1093,'Data_Price '!$AT$2:$AT$1266,0))</f>
        <v/>
      </c>
      <c r="CY1093">
        <f>INDEX('Data_Price '!AH$2:AH$1266,MATCH(Data!$DN1093,'Data_Price '!$AT$2:$AT$1266,0))</f>
        <v/>
      </c>
      <c r="CZ1093">
        <f>INDEX('Data_Price '!AI$2:AI$1266,MATCH(Data!$DN1093,'Data_Price '!$AT$2:$AT$1266,0))</f>
        <v/>
      </c>
      <c r="DA1093">
        <f>INDEX('Data_Price '!AJ$2:AJ$1266,MATCH(Data!$DN1093,'Data_Price '!$AT$2:$AT$1266,0))</f>
        <v/>
      </c>
      <c r="DB1093">
        <f>INDEX('Data_Price '!AK$2:AK$1266,MATCH(Data!$DN1093,'Data_Price '!$AT$2:$AT$1266,0))</f>
        <v/>
      </c>
      <c r="DC1093">
        <f>INDEX('Data_Price '!AL$2:AL$1266,MATCH(Data!$DN1093,'Data_Price '!$AT$2:$AT$1266,0))</f>
        <v/>
      </c>
      <c r="DD1093">
        <f>INDEX('Data_Price '!AM$2:AM$1266,MATCH(Data!$DN1093,'Data_Price '!$AT$2:$AT$1266,0))</f>
        <v/>
      </c>
      <c r="DE1093">
        <f>INDEX('Data_Price '!AN$2:AN$1266,MATCH(Data!$DN1093,'Data_Price '!$AT$2:$AT$1266,0))</f>
        <v/>
      </c>
      <c r="DF1093">
        <f>INDEX('Data_Price '!AO$2:AO$1266,MATCH(Data!$DN1093,'Data_Price '!$AT$2:$AT$1266,0))</f>
        <v/>
      </c>
      <c r="DG1093">
        <f>INDEX('Data_Price '!AP$2:AP$1266,MATCH(Data!$DN1093,'Data_Price '!$AT$2:$AT$1266,0))</f>
        <v/>
      </c>
      <c r="DH1093">
        <f>INDEX('Data_Price '!AQ$2:AQ$1266,MATCH(Data!$DN1093,'Data_Price '!$AT$2:$AT$1266,0))</f>
        <v/>
      </c>
      <c r="DI1093">
        <f>INDEX('Data_Price '!AR$2:AR$1266,MATCH(Data!$DN1093,'Data_Price '!$AT$2:$AT$1266,0))</f>
        <v/>
      </c>
      <c r="DJ1093" s="138">
        <f>DA1093</f>
        <v/>
      </c>
      <c r="DK1093" s="138">
        <f>DE1093</f>
        <v/>
      </c>
      <c r="DL1093" s="138">
        <f>DI1093</f>
        <v/>
      </c>
      <c r="DM1093" s="303">
        <f>IF(LEFT(BT1093,1)=" ",RIGHT(BT1093,LEN(BT1093)-1),BT1093)</f>
        <v/>
      </c>
      <c r="DN1093" s="138">
        <f>_xlfn.CONCAT(BS1093,DM1093,BU1093,BV1093)</f>
        <v/>
      </c>
      <c r="DO1093" s="307" t="inlineStr">
        <is>
          <t>https://images.evo.com/imgp/250/162811/645698/k2-mindbender-90c-skis-2020-.jpg</t>
        </is>
      </c>
    </row>
    <row r="1094" ht="15.6" customHeight="1" s="184">
      <c r="B1094" s="303">
        <f t="array" ref="B1094">IF(OR(ISERROR(K1094:P1094)),FALSE,TRUE)</f>
        <v/>
      </c>
      <c r="C1094" s="60">
        <f>OR(BR1094=Driver!$G$50,Data!BR673=Driver!$H$50)</f>
        <v/>
      </c>
      <c r="D1094" s="60">
        <f>OR(BV1094=Driver!$G$51,BV1094=Driver!$H$51)</f>
        <v/>
      </c>
      <c r="E1094" s="60">
        <f>AND(BX1094&gt;Driver!$F$54,BX1094&lt;Driver!$G$54)</f>
        <v/>
      </c>
      <c r="F1094" s="60">
        <f>CL1094&gt;Driver!$F$56</f>
        <v/>
      </c>
      <c r="G1094" s="60">
        <f>AND(CB1094&gt;Driver!$F$55,CB1094&lt;Driver!$G$55)</f>
        <v/>
      </c>
      <c r="H1094" s="60">
        <f>AND(B1094:G1094)</f>
        <v/>
      </c>
      <c r="I1094" s="60">
        <f>COUNTIFS($H$9:$H$1273,TRUE,$BT$9:$BT$1273,BT1094)</f>
        <v/>
      </c>
      <c r="J1094" s="60">
        <f t="array" ref="J1094">NOT(OR(($H$9:$H$1273=TRUE)*($I$9:$I$1273&gt;0)*($BT$9:$BT$1273=BT1094)*($K$9:$K$1273&gt;K1094)))</f>
        <v/>
      </c>
      <c r="K1094" s="108">
        <f>IFERROR(1-AVERAGE(X1094:Y1094),"")</f>
        <v/>
      </c>
      <c r="L1094" s="108">
        <f>1-X1094</f>
        <v/>
      </c>
      <c r="M1094" s="108">
        <f>1-Y1094</f>
        <v/>
      </c>
      <c r="N1094" s="108">
        <f>1-Z1094</f>
        <v/>
      </c>
      <c r="O1094" s="108">
        <f>1-AA1094</f>
        <v/>
      </c>
      <c r="P1094" s="108">
        <f>1-AB1094</f>
        <v/>
      </c>
      <c r="Q1094" s="108" t="n"/>
      <c r="R1094" s="108" t="n"/>
      <c r="S1094" s="108">
        <f>1-AE1094</f>
        <v/>
      </c>
      <c r="T1094" s="108">
        <f>1-AF1094</f>
        <v/>
      </c>
      <c r="U1094" s="108">
        <f>1-AG1094</f>
        <v/>
      </c>
      <c r="V1094" s="108">
        <f>1-AH1094</f>
        <v/>
      </c>
      <c r="W1094" s="108">
        <f>1-AI1094</f>
        <v/>
      </c>
      <c r="X1094" s="108">
        <f>ABS(AJ1094-AJ$1)</f>
        <v/>
      </c>
      <c r="Y1094" s="108">
        <f>AVERAGE(Z1094:AB1094)</f>
        <v/>
      </c>
      <c r="Z1094" s="108">
        <f>ABS(AL1094-AL$1)</f>
        <v/>
      </c>
      <c r="AA1094" s="108">
        <f>ABS(AM1094-AM$1)</f>
        <v/>
      </c>
      <c r="AB1094" s="108">
        <f>ABS(AN1094-AN$1)</f>
        <v/>
      </c>
      <c r="AC1094" s="108" t="n"/>
      <c r="AD1094" s="108" t="n"/>
      <c r="AE1094" s="108">
        <f>ABS(AQ$1-AQ1094)</f>
        <v/>
      </c>
      <c r="AF1094" s="108">
        <f>ABS(AR$1-AR1094)</f>
        <v/>
      </c>
      <c r="AG1094" s="108">
        <f>ABS(AS$1-AS1094)</f>
        <v/>
      </c>
      <c r="AH1094" s="108">
        <f>ABS(AT$1-AT1094)</f>
        <v/>
      </c>
      <c r="AI1094" s="108">
        <f>ABS(AU$1-AU1094)</f>
        <v/>
      </c>
      <c r="AJ1094" s="108">
        <f>(AV1094-Driver!$K$179)/(Driver!$L$179-Driver!$K$179)</f>
        <v/>
      </c>
      <c r="AK1094" s="108">
        <f>(AW1094-Driver!$K$180)/(Driver!$L$180-Driver!$K$180)</f>
        <v/>
      </c>
      <c r="AL1094" s="108">
        <f>(AX1094-Driver!$K$181)/(Driver!$L$181-Driver!$K$181)</f>
        <v/>
      </c>
      <c r="AM1094" s="108">
        <f>(AY1094-Driver!$K$182)/(Driver!$L$182-Driver!$K$182)</f>
        <v/>
      </c>
      <c r="AN1094" s="108">
        <f>(AZ1094-Driver!$K$183)/(Driver!$L$183-Driver!$K$183)</f>
        <v/>
      </c>
      <c r="AO1094" s="108" t="n"/>
      <c r="AP1094" s="108" t="n"/>
      <c r="AQ1094" s="108">
        <f>(BC1094-Driver!$K$188)/(Driver!$L$188-Driver!$K$188)</f>
        <v/>
      </c>
      <c r="AR1094" s="108">
        <f>MIN((BD1094-Driver!$K$189)/(Driver!$L$189-Driver!$K$189),100%)</f>
        <v/>
      </c>
      <c r="AS1094" s="108">
        <f>(BE1094-Driver!$K$190)/(Driver!$L$190-Driver!$K$190)</f>
        <v/>
      </c>
      <c r="AT1094" s="108">
        <f>(BF1094-Driver!$K$191)/(Driver!$L$191-Driver!$K$191)</f>
        <v/>
      </c>
      <c r="AU1094" s="108">
        <f>(BG1094-Driver!$K$192)/(Driver!$L$192-Driver!$K$192)</f>
        <v/>
      </c>
      <c r="AV1094" s="105">
        <f>IFERROR(BM1094*BJ1094^1/4,"")</f>
        <v/>
      </c>
      <c r="AW1094" s="105">
        <f>IFERROR(SUM(AX1094:AZ1094),"")</f>
        <v/>
      </c>
      <c r="AX1094" s="105">
        <f>IFERROR(BH1094,"")</f>
        <v/>
      </c>
      <c r="AY1094" s="105">
        <f>IFERROR(Driver!$K$19/Data!BH1094/Data!BI1094*Data!BK1094*Data!BL1094,"")</f>
        <v/>
      </c>
      <c r="AZ1094" s="105">
        <f>IFERROR(BI1094*BN1094,"")</f>
        <v/>
      </c>
      <c r="BA1094" s="105" t="n"/>
      <c r="BB1094" s="105" t="n"/>
      <c r="BC1094" s="105">
        <f>IFERROR(BI1094*BN1094*BK1094/BJ1094^(1/2),"")</f>
        <v/>
      </c>
      <c r="BD1094" s="105">
        <f>IFERROR(BH1094*BM1094*BL1094/BJ1094/BK1094,"")</f>
        <v/>
      </c>
      <c r="BE1094" s="105">
        <f>IFERROR(MIN(BI1094/BQ1094/BP1094/BO1094/BH1094,$BE$1),"")</f>
        <v/>
      </c>
      <c r="BF1094" s="105">
        <f>IFERROR(BJ1094*BO1094*BP1094/BK1094,"")</f>
        <v/>
      </c>
      <c r="BG1094" s="105">
        <f>IFERROR(1/BM1094/BH1094*BQ1094,"")</f>
        <v/>
      </c>
      <c r="BH1094" s="102">
        <f>MAX((CE1094-Driver!$F$200)/(Driver!$G$200-Driver!$F$200)*$BI$1,1)</f>
        <v/>
      </c>
      <c r="BI1094" s="102">
        <f>MAX($BI$1*(BY1094-Driver!$F$201)/(Driver!$G$201-Driver!$F$201),1)</f>
        <v/>
      </c>
      <c r="BJ1094" s="102">
        <f>(CB1094-Driver!$F$206)/(Driver!$G$206-Driver!$F$206)*$BI$1</f>
        <v/>
      </c>
      <c r="BK1094" s="102">
        <f>(CD1094-Driver!$F$203)/(Driver!$G$203-Driver!$F$203)*$BI$1</f>
        <v/>
      </c>
      <c r="BL1094" s="102">
        <f>MAX((CR1094-Driver!$F$202)/(Driver!$G$202-Driver!$F$202)*$BI$1,1)</f>
        <v/>
      </c>
      <c r="BM1094" s="102">
        <f>MAX((CH1094-Driver!$F$204)/(Driver!$G$204-Driver!$F$204)*$BI$1,1)</f>
        <v/>
      </c>
      <c r="BN1094" s="102">
        <f>(CI1094-Driver!$F$205)/(Driver!$G$205-Driver!$F$205)*$BI$1</f>
        <v/>
      </c>
      <c r="BO1094" s="102">
        <f>(CK1094-Driver!$F$207)/(Driver!$G$207-Driver!$F$207)*$BI$1</f>
        <v/>
      </c>
      <c r="BP1094" s="102">
        <f>(CM1094-Driver!$F$208)/(Driver!$G$208-Driver!$F$208)*$BI$1</f>
        <v/>
      </c>
      <c r="BQ1094" s="102">
        <f>(CL1094-Driver!$F$209)/(Driver!$G$209-Driver!$F$209)*$BI$1</f>
        <v/>
      </c>
      <c r="BR1094" s="40" t="inlineStr">
        <is>
          <t>21/22</t>
        </is>
      </c>
      <c r="BS1094" s="10" t="inlineStr">
        <is>
          <t xml:space="preserve"> Icelantic</t>
        </is>
      </c>
      <c r="BT1094" s="11" t="inlineStr">
        <is>
          <t>Maiden 91</t>
        </is>
      </c>
      <c r="BU1094" s="13" t="n">
        <v>155</v>
      </c>
      <c r="BV1094" s="11" t="inlineStr">
        <is>
          <t xml:space="preserve"> Women's</t>
        </is>
      </c>
      <c r="BW1094" s="13" t="n">
        <v>155</v>
      </c>
      <c r="BX1094" s="13" t="n">
        <v>152.5</v>
      </c>
      <c r="BY1094" s="13" t="n">
        <v>84</v>
      </c>
      <c r="BZ1094" s="13" t="n">
        <v>127</v>
      </c>
      <c r="CA1094" s="13" t="n">
        <v>126</v>
      </c>
      <c r="CB1094" s="13" t="n">
        <v>92</v>
      </c>
      <c r="CC1094" s="13" t="n">
        <v>117</v>
      </c>
      <c r="CD1094" s="13" t="n">
        <v>13</v>
      </c>
      <c r="CE1094" s="13" t="n">
        <v>1357</v>
      </c>
      <c r="CF1094" s="13" t="n">
        <v>1.16</v>
      </c>
      <c r="CG1094" s="13" t="n">
        <v>1574</v>
      </c>
      <c r="CH1094" s="13" t="n">
        <v>151</v>
      </c>
      <c r="CI1094" s="13" t="n">
        <v>63</v>
      </c>
      <c r="CJ1094" s="13" t="n">
        <v>61</v>
      </c>
      <c r="CK1094" s="13" t="n">
        <v>363</v>
      </c>
      <c r="CL1094" s="13" t="n">
        <v>59</v>
      </c>
      <c r="CM1094" s="13" t="n">
        <v>318</v>
      </c>
      <c r="CN1094" s="13" t="n">
        <v>0.961</v>
      </c>
      <c r="CO1094" s="13" t="n">
        <v>123</v>
      </c>
      <c r="CP1094" s="13" t="n">
        <v>130</v>
      </c>
      <c r="CQ1094" s="13" t="n">
        <v>240</v>
      </c>
      <c r="CR1094" s="13" t="n">
        <v>2</v>
      </c>
      <c r="CS1094" s="13" t="n">
        <v>8.199999999999999</v>
      </c>
      <c r="CT1094" s="11" t="inlineStr">
        <is>
          <t xml:space="preserve"> Freeski</t>
        </is>
      </c>
      <c r="CU1094" s="11" t="inlineStr">
        <is>
          <t xml:space="preserve"> Touring</t>
        </is>
      </c>
      <c r="CV1094" s="13" t="n"/>
      <c r="CW1094" s="13" t="n"/>
      <c r="CX1094">
        <f>INDEX('Data_Price '!AG$2:AG$1266,MATCH(Data!$DN1094,'Data_Price '!$AT$2:$AT$1266,0))</f>
        <v/>
      </c>
      <c r="CY1094">
        <f>INDEX('Data_Price '!AH$2:AH$1266,MATCH(Data!$DN1094,'Data_Price '!$AT$2:$AT$1266,0))</f>
        <v/>
      </c>
      <c r="CZ1094">
        <f>INDEX('Data_Price '!AI$2:AI$1266,MATCH(Data!$DN1094,'Data_Price '!$AT$2:$AT$1266,0))</f>
        <v/>
      </c>
      <c r="DA1094">
        <f>INDEX('Data_Price '!AJ$2:AJ$1266,MATCH(Data!$DN1094,'Data_Price '!$AT$2:$AT$1266,0))</f>
        <v/>
      </c>
      <c r="DB1094">
        <f>INDEX('Data_Price '!AK$2:AK$1266,MATCH(Data!$DN1094,'Data_Price '!$AT$2:$AT$1266,0))</f>
        <v/>
      </c>
      <c r="DC1094">
        <f>INDEX('Data_Price '!AL$2:AL$1266,MATCH(Data!$DN1094,'Data_Price '!$AT$2:$AT$1266,0))</f>
        <v/>
      </c>
      <c r="DD1094">
        <f>INDEX('Data_Price '!AM$2:AM$1266,MATCH(Data!$DN1094,'Data_Price '!$AT$2:$AT$1266,0))</f>
        <v/>
      </c>
      <c r="DE1094">
        <f>INDEX('Data_Price '!AN$2:AN$1266,MATCH(Data!$DN1094,'Data_Price '!$AT$2:$AT$1266,0))</f>
        <v/>
      </c>
      <c r="DF1094">
        <f>INDEX('Data_Price '!AO$2:AO$1266,MATCH(Data!$DN1094,'Data_Price '!$AT$2:$AT$1266,0))</f>
        <v/>
      </c>
      <c r="DG1094">
        <f>INDEX('Data_Price '!AP$2:AP$1266,MATCH(Data!$DN1094,'Data_Price '!$AT$2:$AT$1266,0))</f>
        <v/>
      </c>
      <c r="DH1094">
        <f>INDEX('Data_Price '!AQ$2:AQ$1266,MATCH(Data!$DN1094,'Data_Price '!$AT$2:$AT$1266,0))</f>
        <v/>
      </c>
      <c r="DI1094">
        <f>INDEX('Data_Price '!AR$2:AR$1266,MATCH(Data!$DN1094,'Data_Price '!$AT$2:$AT$1266,0))</f>
        <v/>
      </c>
      <c r="DJ1094" s="138">
        <f>DA1094</f>
        <v/>
      </c>
      <c r="DK1094" s="138">
        <f>DE1094</f>
        <v/>
      </c>
      <c r="DL1094" s="138">
        <f>DI1094</f>
        <v/>
      </c>
      <c r="DM1094" s="303">
        <f>IF(LEFT(BT1094,1)=" ",RIGHT(BT1094,LEN(BT1094)-1),BT1094)</f>
        <v/>
      </c>
      <c r="DN1094" s="138">
        <f>_xlfn.CONCAT(BS1094,DM1094,BU1094,BV1094)</f>
        <v/>
      </c>
      <c r="DO1094" s="307" t="inlineStr">
        <is>
          <t>https://images.evo.com/imgp/250/208412/833121/icelantic-maiden-91-skis-women-s-2022-.jpg</t>
        </is>
      </c>
    </row>
    <row r="1095" ht="15.6" customHeight="1" s="184">
      <c r="B1095" s="303">
        <f t="array" ref="B1095">IF(OR(ISERROR(K1095:P1095)),FALSE,TRUE)</f>
        <v/>
      </c>
      <c r="C1095" s="60">
        <f>OR(BR1095=Driver!$G$50,Data!BR272=Driver!$H$50)</f>
        <v/>
      </c>
      <c r="D1095" s="60">
        <f>OR(BV1095=Driver!$G$51,BV1095=Driver!$H$51)</f>
        <v/>
      </c>
      <c r="E1095" s="60">
        <f>AND(BX1095&gt;Driver!$F$54,BX1095&lt;Driver!$G$54)</f>
        <v/>
      </c>
      <c r="F1095" s="60">
        <f>CL1095&gt;Driver!$F$56</f>
        <v/>
      </c>
      <c r="G1095" s="60">
        <f>AND(CB1095&gt;Driver!$F$55,CB1095&lt;Driver!$G$55)</f>
        <v/>
      </c>
      <c r="H1095" s="60">
        <f>AND(B1095:G1095)</f>
        <v/>
      </c>
      <c r="I1095" s="60">
        <f>COUNTIFS($H$9:$H$1273,TRUE,$BT$9:$BT$1273,BT1095)</f>
        <v/>
      </c>
      <c r="J1095" s="60">
        <f t="array" ref="J1095">NOT(OR(($H$9:$H$1273=TRUE)*($I$9:$I$1273&gt;0)*($BT$9:$BT$1273=BT1095)*($K$9:$K$1273&gt;K1095)))</f>
        <v/>
      </c>
      <c r="K1095" s="108">
        <f>IFERROR(1-AVERAGE(X1095:Y1095),"")</f>
        <v/>
      </c>
      <c r="L1095" s="108">
        <f>1-X1095</f>
        <v/>
      </c>
      <c r="M1095" s="108">
        <f>1-Y1095</f>
        <v/>
      </c>
      <c r="N1095" s="108">
        <f>1-Z1095</f>
        <v/>
      </c>
      <c r="O1095" s="108">
        <f>1-AA1095</f>
        <v/>
      </c>
      <c r="P1095" s="108">
        <f>1-AB1095</f>
        <v/>
      </c>
      <c r="Q1095" s="108" t="n"/>
      <c r="R1095" s="108" t="n"/>
      <c r="S1095" s="108">
        <f>1-AE1095</f>
        <v/>
      </c>
      <c r="T1095" s="108">
        <f>1-AF1095</f>
        <v/>
      </c>
      <c r="U1095" s="108">
        <f>1-AG1095</f>
        <v/>
      </c>
      <c r="V1095" s="108">
        <f>1-AH1095</f>
        <v/>
      </c>
      <c r="W1095" s="108">
        <f>1-AI1095</f>
        <v/>
      </c>
      <c r="X1095" s="108">
        <f>ABS(AJ1095-AJ$1)</f>
        <v/>
      </c>
      <c r="Y1095" s="108">
        <f>AVERAGE(Z1095:AB1095)</f>
        <v/>
      </c>
      <c r="Z1095" s="108">
        <f>ABS(AL1095-AL$1)</f>
        <v/>
      </c>
      <c r="AA1095" s="108">
        <f>ABS(AM1095-AM$1)</f>
        <v/>
      </c>
      <c r="AB1095" s="108">
        <f>ABS(AN1095-AN$1)</f>
        <v/>
      </c>
      <c r="AC1095" s="108" t="n"/>
      <c r="AD1095" s="108" t="n"/>
      <c r="AE1095" s="108">
        <f>ABS(AQ$1-AQ1095)</f>
        <v/>
      </c>
      <c r="AF1095" s="108">
        <f>ABS(AR$1-AR1095)</f>
        <v/>
      </c>
      <c r="AG1095" s="108">
        <f>ABS(AS$1-AS1095)</f>
        <v/>
      </c>
      <c r="AH1095" s="108">
        <f>ABS(AT$1-AT1095)</f>
        <v/>
      </c>
      <c r="AI1095" s="108">
        <f>ABS(AU$1-AU1095)</f>
        <v/>
      </c>
      <c r="AJ1095" s="108">
        <f>(AV1095-Driver!$K$179)/(Driver!$L$179-Driver!$K$179)</f>
        <v/>
      </c>
      <c r="AK1095" s="108">
        <f>(AW1095-Driver!$K$180)/(Driver!$L$180-Driver!$K$180)</f>
        <v/>
      </c>
      <c r="AL1095" s="108">
        <f>(AX1095-Driver!$K$181)/(Driver!$L$181-Driver!$K$181)</f>
        <v/>
      </c>
      <c r="AM1095" s="108">
        <f>(AY1095-Driver!$K$182)/(Driver!$L$182-Driver!$K$182)</f>
        <v/>
      </c>
      <c r="AN1095" s="108">
        <f>(AZ1095-Driver!$K$183)/(Driver!$L$183-Driver!$K$183)</f>
        <v/>
      </c>
      <c r="AO1095" s="108" t="n"/>
      <c r="AP1095" s="108" t="n"/>
      <c r="AQ1095" s="108">
        <f>(BC1095-Driver!$K$188)/(Driver!$L$188-Driver!$K$188)</f>
        <v/>
      </c>
      <c r="AR1095" s="108">
        <f>MIN((BD1095-Driver!$K$189)/(Driver!$L$189-Driver!$K$189),100%)</f>
        <v/>
      </c>
      <c r="AS1095" s="108">
        <f>(BE1095-Driver!$K$190)/(Driver!$L$190-Driver!$K$190)</f>
        <v/>
      </c>
      <c r="AT1095" s="108">
        <f>(BF1095-Driver!$K$191)/(Driver!$L$191-Driver!$K$191)</f>
        <v/>
      </c>
      <c r="AU1095" s="108">
        <f>(BG1095-Driver!$K$192)/(Driver!$L$192-Driver!$K$192)</f>
        <v/>
      </c>
      <c r="AV1095" s="105">
        <f>IFERROR(BM1095*BJ1095^1/4,"")</f>
        <v/>
      </c>
      <c r="AW1095" s="105">
        <f>IFERROR(SUM(AX1095:AZ1095),"")</f>
        <v/>
      </c>
      <c r="AX1095" s="105">
        <f>IFERROR(BH1095,"")</f>
        <v/>
      </c>
      <c r="AY1095" s="105">
        <f>IFERROR(Driver!$K$19/Data!BH1095/Data!BI1095*Data!BK1095*Data!BL1095,"")</f>
        <v/>
      </c>
      <c r="AZ1095" s="105">
        <f>IFERROR(BI1095*BN1095,"")</f>
        <v/>
      </c>
      <c r="BA1095" s="105" t="n"/>
      <c r="BB1095" s="105" t="n"/>
      <c r="BC1095" s="105">
        <f>IFERROR(BI1095*BN1095*BK1095/BJ1095^(1/2),"")</f>
        <v/>
      </c>
      <c r="BD1095" s="105">
        <f>IFERROR(BH1095*BM1095*BL1095/BJ1095/BK1095,"")</f>
        <v/>
      </c>
      <c r="BE1095" s="105">
        <f>IFERROR(MIN(BI1095/BQ1095/BP1095/BO1095/BH1095,$BE$1),"")</f>
        <v/>
      </c>
      <c r="BF1095" s="105">
        <f>IFERROR(BJ1095*BO1095*BP1095/BK1095,"")</f>
        <v/>
      </c>
      <c r="BG1095" s="105">
        <f>IFERROR(1/BM1095/BH1095*BQ1095,"")</f>
        <v/>
      </c>
      <c r="BH1095" s="102">
        <f>MAX((CE1095-Driver!$F$200)/(Driver!$G$200-Driver!$F$200)*$BI$1,1)</f>
        <v/>
      </c>
      <c r="BI1095" s="102">
        <f>MAX($BI$1*(BY1095-Driver!$F$201)/(Driver!$G$201-Driver!$F$201),1)</f>
        <v/>
      </c>
      <c r="BJ1095" s="102">
        <f>(CB1095-Driver!$F$206)/(Driver!$G$206-Driver!$F$206)*$BI$1</f>
        <v/>
      </c>
      <c r="BK1095" s="102">
        <f>(CD1095-Driver!$F$203)/(Driver!$G$203-Driver!$F$203)*$BI$1</f>
        <v/>
      </c>
      <c r="BL1095" s="102">
        <f>MAX((CR1095-Driver!$F$202)/(Driver!$G$202-Driver!$F$202)*$BI$1,1)</f>
        <v/>
      </c>
      <c r="BM1095" s="102">
        <f>MAX((CH1095-Driver!$F$204)/(Driver!$G$204-Driver!$F$204)*$BI$1,1)</f>
        <v/>
      </c>
      <c r="BN1095" s="102">
        <f>(CI1095-Driver!$F$205)/(Driver!$G$205-Driver!$F$205)*$BI$1</f>
        <v/>
      </c>
      <c r="BO1095" s="102">
        <f>(CK1095-Driver!$F$207)/(Driver!$G$207-Driver!$F$207)*$BI$1</f>
        <v/>
      </c>
      <c r="BP1095" s="102">
        <f>(CM1095-Driver!$F$208)/(Driver!$G$208-Driver!$F$208)*$BI$1</f>
        <v/>
      </c>
      <c r="BQ1095" s="102">
        <f>(CL1095-Driver!$F$209)/(Driver!$G$209-Driver!$F$209)*$BI$1</f>
        <v/>
      </c>
      <c r="BR1095" s="40" t="inlineStr">
        <is>
          <t>21/22</t>
        </is>
      </c>
      <c r="BS1095" s="10" t="inlineStr">
        <is>
          <t xml:space="preserve"> Blizzard</t>
        </is>
      </c>
      <c r="BT1095" s="11" t="inlineStr">
        <is>
          <t>Brahma 82</t>
        </is>
      </c>
      <c r="BU1095" s="13" t="n">
        <v>180</v>
      </c>
      <c r="BV1095" s="11" t="inlineStr">
        <is>
          <t xml:space="preserve"> Unisex</t>
        </is>
      </c>
      <c r="BW1095" s="13" t="n">
        <v>180</v>
      </c>
      <c r="BX1095" s="13" t="n">
        <v>178</v>
      </c>
      <c r="BY1095" s="13" t="n">
        <v>148</v>
      </c>
      <c r="BZ1095" s="13" t="n">
        <v>156</v>
      </c>
      <c r="CA1095" s="13" t="n">
        <v>120</v>
      </c>
      <c r="CB1095" s="13" t="n">
        <v>81</v>
      </c>
      <c r="CC1095" s="13" t="n">
        <v>104</v>
      </c>
      <c r="CD1095" s="13" t="n">
        <v>19</v>
      </c>
      <c r="CE1095" s="13" t="n">
        <v>2010</v>
      </c>
      <c r="CF1095" s="13" t="n">
        <v>0.83</v>
      </c>
      <c r="CG1095" s="13" t="n">
        <v>1661</v>
      </c>
      <c r="CH1095" s="13" t="n">
        <v>210</v>
      </c>
      <c r="CI1095" s="13" t="n">
        <v>127</v>
      </c>
      <c r="CJ1095" s="13" t="n">
        <v>53</v>
      </c>
      <c r="CK1095" s="13" t="n">
        <v>220</v>
      </c>
      <c r="CL1095" s="13" t="n">
        <v>5</v>
      </c>
      <c r="CM1095" s="13" t="n">
        <v>81</v>
      </c>
      <c r="CN1095" s="13" t="n">
        <v>0.096</v>
      </c>
      <c r="CO1095" s="13" t="n">
        <v>119</v>
      </c>
      <c r="CP1095" s="13" t="n">
        <v>106</v>
      </c>
      <c r="CQ1095" s="13" t="n">
        <v>102</v>
      </c>
      <c r="CR1095" s="13" t="n">
        <v>9</v>
      </c>
      <c r="CS1095" s="13" t="n">
        <v>11.2</v>
      </c>
      <c r="CT1095" s="11" t="inlineStr">
        <is>
          <t xml:space="preserve"> On-Piste Carving</t>
        </is>
      </c>
      <c r="CU1095" s="11" t="inlineStr">
        <is>
          <t xml:space="preserve"> On-Piste All-Mountain</t>
        </is>
      </c>
      <c r="CV1095" s="11" t="inlineStr">
        <is>
          <t xml:space="preserve"> Resort Freeride</t>
        </is>
      </c>
      <c r="CW1095" s="13" t="n"/>
      <c r="CX1095">
        <f>INDEX('Data_Price '!AG$2:AG$1266,MATCH(Data!$DN1095,'Data_Price '!$AT$2:$AT$1266,0))</f>
        <v/>
      </c>
      <c r="CY1095">
        <f>INDEX('Data_Price '!AH$2:AH$1266,MATCH(Data!$DN1095,'Data_Price '!$AT$2:$AT$1266,0))</f>
        <v/>
      </c>
      <c r="CZ1095">
        <f>INDEX('Data_Price '!AI$2:AI$1266,MATCH(Data!$DN1095,'Data_Price '!$AT$2:$AT$1266,0))</f>
        <v/>
      </c>
      <c r="DA1095">
        <f>INDEX('Data_Price '!AJ$2:AJ$1266,MATCH(Data!$DN1095,'Data_Price '!$AT$2:$AT$1266,0))</f>
        <v/>
      </c>
      <c r="DB1095">
        <f>INDEX('Data_Price '!AK$2:AK$1266,MATCH(Data!$DN1095,'Data_Price '!$AT$2:$AT$1266,0))</f>
        <v/>
      </c>
      <c r="DC1095">
        <f>INDEX('Data_Price '!AL$2:AL$1266,MATCH(Data!$DN1095,'Data_Price '!$AT$2:$AT$1266,0))</f>
        <v/>
      </c>
      <c r="DD1095">
        <f>INDEX('Data_Price '!AM$2:AM$1266,MATCH(Data!$DN1095,'Data_Price '!$AT$2:$AT$1266,0))</f>
        <v/>
      </c>
      <c r="DE1095">
        <f>INDEX('Data_Price '!AN$2:AN$1266,MATCH(Data!$DN1095,'Data_Price '!$AT$2:$AT$1266,0))</f>
        <v/>
      </c>
      <c r="DF1095">
        <f>INDEX('Data_Price '!AO$2:AO$1266,MATCH(Data!$DN1095,'Data_Price '!$AT$2:$AT$1266,0))</f>
        <v/>
      </c>
      <c r="DG1095">
        <f>INDEX('Data_Price '!AP$2:AP$1266,MATCH(Data!$DN1095,'Data_Price '!$AT$2:$AT$1266,0))</f>
        <v/>
      </c>
      <c r="DH1095">
        <f>INDEX('Data_Price '!AQ$2:AQ$1266,MATCH(Data!$DN1095,'Data_Price '!$AT$2:$AT$1266,0))</f>
        <v/>
      </c>
      <c r="DI1095">
        <f>INDEX('Data_Price '!AR$2:AR$1266,MATCH(Data!$DN1095,'Data_Price '!$AT$2:$AT$1266,0))</f>
        <v/>
      </c>
      <c r="DJ1095" s="138">
        <f>DA1095</f>
        <v/>
      </c>
      <c r="DK1095" s="138">
        <f>DE1095</f>
        <v/>
      </c>
      <c r="DL1095" s="138">
        <f>DI1095</f>
        <v/>
      </c>
      <c r="DM1095" s="303">
        <f>IF(LEFT(BT1095,1)=" ",RIGHT(BT1095,LEN(BT1095)-1),BT1095)</f>
        <v/>
      </c>
      <c r="DN1095" s="138">
        <f>_xlfn.CONCAT(BS1095,DM1095,BU1095,BV1095)</f>
        <v/>
      </c>
      <c r="DO1095" s="307" t="inlineStr">
        <is>
          <t>https://images.evo.com/imgp/250/197472/825187/clone.jpg</t>
        </is>
      </c>
    </row>
    <row r="1096" ht="15.6" customHeight="1" s="184">
      <c r="B1096" s="303">
        <f t="array" ref="B1096">IF(OR(ISERROR(K1096:P1096)),FALSE,TRUE)</f>
        <v/>
      </c>
      <c r="C1096" s="60">
        <f>OR(BR1096=Driver!$G$50,Data!BR292=Driver!$H$50)</f>
        <v/>
      </c>
      <c r="D1096" s="60">
        <f>OR(BV1096=Driver!$G$51,BV1096=Driver!$H$51)</f>
        <v/>
      </c>
      <c r="E1096" s="60">
        <f>AND(BX1096&gt;Driver!$F$54,BX1096&lt;Driver!$G$54)</f>
        <v/>
      </c>
      <c r="F1096" s="60">
        <f>CL1096&gt;Driver!$F$56</f>
        <v/>
      </c>
      <c r="G1096" s="60">
        <f>AND(CB1096&gt;Driver!$F$55,CB1096&lt;Driver!$G$55)</f>
        <v/>
      </c>
      <c r="H1096" s="60">
        <f>AND(B1096:G1096)</f>
        <v/>
      </c>
      <c r="I1096" s="60">
        <f>COUNTIFS($H$9:$H$1273,TRUE,$BT$9:$BT$1273,BT1096)</f>
        <v/>
      </c>
      <c r="J1096" s="60">
        <f t="array" ref="J1096">NOT(OR(($H$9:$H$1273=TRUE)*($I$9:$I$1273&gt;0)*($BT$9:$BT$1273=BT1096)*($K$9:$K$1273&gt;K1096)))</f>
        <v/>
      </c>
      <c r="K1096" s="108">
        <f>IFERROR(1-AVERAGE(X1096:Y1096),"")</f>
        <v/>
      </c>
      <c r="L1096" s="108">
        <f>1-X1096</f>
        <v/>
      </c>
      <c r="M1096" s="108">
        <f>1-Y1096</f>
        <v/>
      </c>
      <c r="N1096" s="108">
        <f>1-Z1096</f>
        <v/>
      </c>
      <c r="O1096" s="108">
        <f>1-AA1096</f>
        <v/>
      </c>
      <c r="P1096" s="108">
        <f>1-AB1096</f>
        <v/>
      </c>
      <c r="Q1096" s="108" t="n"/>
      <c r="R1096" s="108" t="n"/>
      <c r="S1096" s="108">
        <f>1-AE1096</f>
        <v/>
      </c>
      <c r="T1096" s="108">
        <f>1-AF1096</f>
        <v/>
      </c>
      <c r="U1096" s="108">
        <f>1-AG1096</f>
        <v/>
      </c>
      <c r="V1096" s="108">
        <f>1-AH1096</f>
        <v/>
      </c>
      <c r="W1096" s="108">
        <f>1-AI1096</f>
        <v/>
      </c>
      <c r="X1096" s="108">
        <f>ABS(AJ1096-AJ$1)</f>
        <v/>
      </c>
      <c r="Y1096" s="108">
        <f>AVERAGE(Z1096:AB1096)</f>
        <v/>
      </c>
      <c r="Z1096" s="108">
        <f>ABS(AL1096-AL$1)</f>
        <v/>
      </c>
      <c r="AA1096" s="108">
        <f>ABS(AM1096-AM$1)</f>
        <v/>
      </c>
      <c r="AB1096" s="108">
        <f>ABS(AN1096-AN$1)</f>
        <v/>
      </c>
      <c r="AC1096" s="108" t="n"/>
      <c r="AD1096" s="108" t="n"/>
      <c r="AE1096" s="108">
        <f>ABS(AQ$1-AQ1096)</f>
        <v/>
      </c>
      <c r="AF1096" s="108">
        <f>ABS(AR$1-AR1096)</f>
        <v/>
      </c>
      <c r="AG1096" s="108">
        <f>ABS(AS$1-AS1096)</f>
        <v/>
      </c>
      <c r="AH1096" s="108">
        <f>ABS(AT$1-AT1096)</f>
        <v/>
      </c>
      <c r="AI1096" s="108">
        <f>ABS(AU$1-AU1096)</f>
        <v/>
      </c>
      <c r="AJ1096" s="108">
        <f>(AV1096-Driver!$K$179)/(Driver!$L$179-Driver!$K$179)</f>
        <v/>
      </c>
      <c r="AK1096" s="108">
        <f>(AW1096-Driver!$K$180)/(Driver!$L$180-Driver!$K$180)</f>
        <v/>
      </c>
      <c r="AL1096" s="108">
        <f>(AX1096-Driver!$K$181)/(Driver!$L$181-Driver!$K$181)</f>
        <v/>
      </c>
      <c r="AM1096" s="108">
        <f>(AY1096-Driver!$K$182)/(Driver!$L$182-Driver!$K$182)</f>
        <v/>
      </c>
      <c r="AN1096" s="108">
        <f>(AZ1096-Driver!$K$183)/(Driver!$L$183-Driver!$K$183)</f>
        <v/>
      </c>
      <c r="AO1096" s="108" t="n"/>
      <c r="AP1096" s="108" t="n"/>
      <c r="AQ1096" s="108">
        <f>(BC1096-Driver!$K$188)/(Driver!$L$188-Driver!$K$188)</f>
        <v/>
      </c>
      <c r="AR1096" s="108">
        <f>MIN((BD1096-Driver!$K$189)/(Driver!$L$189-Driver!$K$189),100%)</f>
        <v/>
      </c>
      <c r="AS1096" s="108">
        <f>(BE1096-Driver!$K$190)/(Driver!$L$190-Driver!$K$190)</f>
        <v/>
      </c>
      <c r="AT1096" s="108">
        <f>(BF1096-Driver!$K$191)/(Driver!$L$191-Driver!$K$191)</f>
        <v/>
      </c>
      <c r="AU1096" s="108">
        <f>(BG1096-Driver!$K$192)/(Driver!$L$192-Driver!$K$192)</f>
        <v/>
      </c>
      <c r="AV1096" s="105">
        <f>IFERROR(BM1096*BJ1096^1/4,"")</f>
        <v/>
      </c>
      <c r="AW1096" s="105">
        <f>IFERROR(SUM(AX1096:AZ1096),"")</f>
        <v/>
      </c>
      <c r="AX1096" s="105">
        <f>IFERROR(BH1096,"")</f>
        <v/>
      </c>
      <c r="AY1096" s="105">
        <f>IFERROR(Driver!$K$19/Data!BH1096/Data!BI1096*Data!BK1096*Data!BL1096,"")</f>
        <v/>
      </c>
      <c r="AZ1096" s="105">
        <f>IFERROR(BI1096*BN1096,"")</f>
        <v/>
      </c>
      <c r="BA1096" s="105" t="n"/>
      <c r="BB1096" s="105" t="n"/>
      <c r="BC1096" s="105">
        <f>IFERROR(BI1096*BN1096*BK1096/BJ1096^(1/2),"")</f>
        <v/>
      </c>
      <c r="BD1096" s="105">
        <f>IFERROR(BH1096*BM1096*BL1096/BJ1096/BK1096,"")</f>
        <v/>
      </c>
      <c r="BE1096" s="105">
        <f>IFERROR(MIN(BI1096/BQ1096/BP1096/BO1096/BH1096,$BE$1),"")</f>
        <v/>
      </c>
      <c r="BF1096" s="105">
        <f>IFERROR(BJ1096*BO1096*BP1096/BK1096,"")</f>
        <v/>
      </c>
      <c r="BG1096" s="105">
        <f>IFERROR(1/BM1096/BH1096*BQ1096,"")</f>
        <v/>
      </c>
      <c r="BH1096" s="102">
        <f>MAX((CE1096-Driver!$F$200)/(Driver!$G$200-Driver!$F$200)*$BI$1,1)</f>
        <v/>
      </c>
      <c r="BI1096" s="102">
        <f>MAX($BI$1*(BY1096-Driver!$F$201)/(Driver!$G$201-Driver!$F$201),1)</f>
        <v/>
      </c>
      <c r="BJ1096" s="102">
        <f>(CB1096-Driver!$F$206)/(Driver!$G$206-Driver!$F$206)*$BI$1</f>
        <v/>
      </c>
      <c r="BK1096" s="102">
        <f>(CD1096-Driver!$F$203)/(Driver!$G$203-Driver!$F$203)*$BI$1</f>
        <v/>
      </c>
      <c r="BL1096" s="102">
        <f>MAX((CR1096-Driver!$F$202)/(Driver!$G$202-Driver!$F$202)*$BI$1,1)</f>
        <v/>
      </c>
      <c r="BM1096" s="102">
        <f>MAX((CH1096-Driver!$F$204)/(Driver!$G$204-Driver!$F$204)*$BI$1,1)</f>
        <v/>
      </c>
      <c r="BN1096" s="102">
        <f>(CI1096-Driver!$F$205)/(Driver!$G$205-Driver!$F$205)*$BI$1</f>
        <v/>
      </c>
      <c r="BO1096" s="102">
        <f>(CK1096-Driver!$F$207)/(Driver!$G$207-Driver!$F$207)*$BI$1</f>
        <v/>
      </c>
      <c r="BP1096" s="102">
        <f>(CM1096-Driver!$F$208)/(Driver!$G$208-Driver!$F$208)*$BI$1</f>
        <v/>
      </c>
      <c r="BQ1096" s="102">
        <f>(CL1096-Driver!$F$209)/(Driver!$G$209-Driver!$F$209)*$BI$1</f>
        <v/>
      </c>
      <c r="BR1096" s="40" t="inlineStr">
        <is>
          <t>21/22</t>
        </is>
      </c>
      <c r="BS1096" s="10" t="inlineStr">
        <is>
          <t xml:space="preserve"> Blizzard</t>
        </is>
      </c>
      <c r="BT1096" s="11" t="inlineStr">
        <is>
          <t>Rustler 11</t>
        </is>
      </c>
      <c r="BU1096" s="13" t="n">
        <v>188</v>
      </c>
      <c r="BV1096" s="11" t="inlineStr">
        <is>
          <t xml:space="preserve"> Unisex</t>
        </is>
      </c>
      <c r="BW1096" s="13" t="n">
        <v>188</v>
      </c>
      <c r="BX1096" s="13" t="n">
        <v>186.4</v>
      </c>
      <c r="BY1096" s="13" t="n">
        <v>108</v>
      </c>
      <c r="BZ1096" s="13" t="n">
        <v>156</v>
      </c>
      <c r="CA1096" s="13" t="n">
        <v>141</v>
      </c>
      <c r="CB1096" s="13" t="n">
        <v>113</v>
      </c>
      <c r="CC1096" s="13" t="n">
        <v>131</v>
      </c>
      <c r="CD1096" s="13" t="n">
        <v>23</v>
      </c>
      <c r="CE1096" s="13" t="n">
        <v>2186</v>
      </c>
      <c r="CF1096" s="13" t="n">
        <v>1.04</v>
      </c>
      <c r="CG1096" s="13" t="n">
        <v>2277</v>
      </c>
      <c r="CH1096" s="13" t="n">
        <v>268</v>
      </c>
      <c r="CI1096" s="13" t="n">
        <v>129</v>
      </c>
      <c r="CJ1096" s="13" t="n">
        <v>61</v>
      </c>
      <c r="CK1096" s="13" t="n">
        <v>440</v>
      </c>
      <c r="CL1096" s="13" t="n">
        <v>31</v>
      </c>
      <c r="CM1096" s="13" t="n">
        <v>340</v>
      </c>
      <c r="CN1096" s="13" t="n">
        <v>0.505</v>
      </c>
      <c r="CO1096" s="13" t="n">
        <v>159</v>
      </c>
      <c r="CP1096" s="13" t="n">
        <v>147</v>
      </c>
      <c r="CQ1096" s="13" t="n">
        <v>281</v>
      </c>
      <c r="CR1096" s="13" t="n">
        <v>4</v>
      </c>
      <c r="CS1096" s="13" t="n">
        <v>8.1</v>
      </c>
      <c r="CT1096" s="11" t="inlineStr">
        <is>
          <t xml:space="preserve"> Powder</t>
        </is>
      </c>
      <c r="CU1096" s="13" t="n"/>
      <c r="CV1096" s="13" t="n"/>
      <c r="CW1096" s="13" t="n"/>
      <c r="CX1096">
        <f>INDEX('Data_Price '!AG$2:AG$1266,MATCH(Data!$DN1096,'Data_Price '!$AT$2:$AT$1266,0))</f>
        <v/>
      </c>
      <c r="CY1096">
        <f>INDEX('Data_Price '!AH$2:AH$1266,MATCH(Data!$DN1096,'Data_Price '!$AT$2:$AT$1266,0))</f>
        <v/>
      </c>
      <c r="CZ1096">
        <f>INDEX('Data_Price '!AI$2:AI$1266,MATCH(Data!$DN1096,'Data_Price '!$AT$2:$AT$1266,0))</f>
        <v/>
      </c>
      <c r="DA1096">
        <f>INDEX('Data_Price '!AJ$2:AJ$1266,MATCH(Data!$DN1096,'Data_Price '!$AT$2:$AT$1266,0))</f>
        <v/>
      </c>
      <c r="DB1096">
        <f>INDEX('Data_Price '!AK$2:AK$1266,MATCH(Data!$DN1096,'Data_Price '!$AT$2:$AT$1266,0))</f>
        <v/>
      </c>
      <c r="DC1096">
        <f>INDEX('Data_Price '!AL$2:AL$1266,MATCH(Data!$DN1096,'Data_Price '!$AT$2:$AT$1266,0))</f>
        <v/>
      </c>
      <c r="DD1096">
        <f>INDEX('Data_Price '!AM$2:AM$1266,MATCH(Data!$DN1096,'Data_Price '!$AT$2:$AT$1266,0))</f>
        <v/>
      </c>
      <c r="DE1096">
        <f>INDEX('Data_Price '!AN$2:AN$1266,MATCH(Data!$DN1096,'Data_Price '!$AT$2:$AT$1266,0))</f>
        <v/>
      </c>
      <c r="DF1096">
        <f>INDEX('Data_Price '!AO$2:AO$1266,MATCH(Data!$DN1096,'Data_Price '!$AT$2:$AT$1266,0))</f>
        <v/>
      </c>
      <c r="DG1096">
        <f>INDEX('Data_Price '!AP$2:AP$1266,MATCH(Data!$DN1096,'Data_Price '!$AT$2:$AT$1266,0))</f>
        <v/>
      </c>
      <c r="DH1096">
        <f>INDEX('Data_Price '!AQ$2:AQ$1266,MATCH(Data!$DN1096,'Data_Price '!$AT$2:$AT$1266,0))</f>
        <v/>
      </c>
      <c r="DI1096">
        <f>INDEX('Data_Price '!AR$2:AR$1266,MATCH(Data!$DN1096,'Data_Price '!$AT$2:$AT$1266,0))</f>
        <v/>
      </c>
      <c r="DJ1096" s="138">
        <f>DA1096</f>
        <v/>
      </c>
      <c r="DK1096" s="138">
        <f>DE1096</f>
        <v/>
      </c>
      <c r="DL1096" s="138">
        <f>DI1096</f>
        <v/>
      </c>
      <c r="DM1096" s="303">
        <f>IF(LEFT(BT1096,1)=" ",RIGHT(BT1096,LEN(BT1096)-1),BT1096)</f>
        <v/>
      </c>
      <c r="DN1096" s="138">
        <f>_xlfn.CONCAT(BS1096,DM1096,BU1096,BV1096)</f>
        <v/>
      </c>
      <c r="DO1096" s="307" t="inlineStr">
        <is>
          <t>https://images.evo.com/imgp/250/216621/902900/blizzard-rustler-11-skis-2023-.jpg</t>
        </is>
      </c>
    </row>
    <row r="1097" ht="15.6" customHeight="1" s="184">
      <c r="B1097" s="303">
        <f t="array" ref="B1097">IF(OR(ISERROR(K1097:P1097)),FALSE,TRUE)</f>
        <v/>
      </c>
      <c r="C1097" s="60">
        <f>OR(BR1097=Driver!$G$50,Data!BR419=Driver!$H$50)</f>
        <v/>
      </c>
      <c r="D1097" s="60">
        <f>OR(BV1097=Driver!$G$51,BV1097=Driver!$H$51)</f>
        <v/>
      </c>
      <c r="E1097" s="60">
        <f>AND(BX1097&gt;Driver!$F$54,BX1097&lt;Driver!$G$54)</f>
        <v/>
      </c>
      <c r="F1097" s="60">
        <f>CL1097&gt;Driver!$F$56</f>
        <v/>
      </c>
      <c r="G1097" s="60">
        <f>AND(CB1097&gt;Driver!$F$55,CB1097&lt;Driver!$G$55)</f>
        <v/>
      </c>
      <c r="H1097" s="60">
        <f>AND(B1097:G1097)</f>
        <v/>
      </c>
      <c r="I1097" s="60">
        <f>COUNTIFS($H$9:$H$1273,TRUE,$BT$9:$BT$1273,BT1097)</f>
        <v/>
      </c>
      <c r="J1097" s="60">
        <f t="array" ref="J1097">NOT(OR(($H$9:$H$1273=TRUE)*($I$9:$I$1273&gt;0)*($BT$9:$BT$1273=BT1097)*($K$9:$K$1273&gt;K1097)))</f>
        <v/>
      </c>
      <c r="K1097" s="108">
        <f>IFERROR(1-AVERAGE(X1097:Y1097),"")</f>
        <v/>
      </c>
      <c r="L1097" s="108">
        <f>1-X1097</f>
        <v/>
      </c>
      <c r="M1097" s="108">
        <f>1-Y1097</f>
        <v/>
      </c>
      <c r="N1097" s="108">
        <f>1-Z1097</f>
        <v/>
      </c>
      <c r="O1097" s="108">
        <f>1-AA1097</f>
        <v/>
      </c>
      <c r="P1097" s="108">
        <f>1-AB1097</f>
        <v/>
      </c>
      <c r="Q1097" s="108" t="n"/>
      <c r="R1097" s="108" t="n"/>
      <c r="S1097" s="108">
        <f>1-AE1097</f>
        <v/>
      </c>
      <c r="T1097" s="108">
        <f>1-AF1097</f>
        <v/>
      </c>
      <c r="U1097" s="108">
        <f>1-AG1097</f>
        <v/>
      </c>
      <c r="V1097" s="108">
        <f>1-AH1097</f>
        <v/>
      </c>
      <c r="W1097" s="108">
        <f>1-AI1097</f>
        <v/>
      </c>
      <c r="X1097" s="108">
        <f>ABS(AJ1097-AJ$1)</f>
        <v/>
      </c>
      <c r="Y1097" s="108">
        <f>AVERAGE(Z1097:AB1097)</f>
        <v/>
      </c>
      <c r="Z1097" s="108">
        <f>ABS(AL1097-AL$1)</f>
        <v/>
      </c>
      <c r="AA1097" s="108">
        <f>ABS(AM1097-AM$1)</f>
        <v/>
      </c>
      <c r="AB1097" s="108">
        <f>ABS(AN1097-AN$1)</f>
        <v/>
      </c>
      <c r="AC1097" s="108" t="n"/>
      <c r="AD1097" s="108" t="n"/>
      <c r="AE1097" s="108">
        <f>ABS(AQ$1-AQ1097)</f>
        <v/>
      </c>
      <c r="AF1097" s="108">
        <f>ABS(AR$1-AR1097)</f>
        <v/>
      </c>
      <c r="AG1097" s="108">
        <f>ABS(AS$1-AS1097)</f>
        <v/>
      </c>
      <c r="AH1097" s="108">
        <f>ABS(AT$1-AT1097)</f>
        <v/>
      </c>
      <c r="AI1097" s="108">
        <f>ABS(AU$1-AU1097)</f>
        <v/>
      </c>
      <c r="AJ1097" s="108">
        <f>(AV1097-Driver!$K$179)/(Driver!$L$179-Driver!$K$179)</f>
        <v/>
      </c>
      <c r="AK1097" s="108">
        <f>(AW1097-Driver!$K$180)/(Driver!$L$180-Driver!$K$180)</f>
        <v/>
      </c>
      <c r="AL1097" s="108">
        <f>(AX1097-Driver!$K$181)/(Driver!$L$181-Driver!$K$181)</f>
        <v/>
      </c>
      <c r="AM1097" s="108">
        <f>(AY1097-Driver!$K$182)/(Driver!$L$182-Driver!$K$182)</f>
        <v/>
      </c>
      <c r="AN1097" s="108">
        <f>(AZ1097-Driver!$K$183)/(Driver!$L$183-Driver!$K$183)</f>
        <v/>
      </c>
      <c r="AO1097" s="108" t="n"/>
      <c r="AP1097" s="108" t="n"/>
      <c r="AQ1097" s="108">
        <f>(BC1097-Driver!$K$188)/(Driver!$L$188-Driver!$K$188)</f>
        <v/>
      </c>
      <c r="AR1097" s="108">
        <f>MIN((BD1097-Driver!$K$189)/(Driver!$L$189-Driver!$K$189),100%)</f>
        <v/>
      </c>
      <c r="AS1097" s="108">
        <f>(BE1097-Driver!$K$190)/(Driver!$L$190-Driver!$K$190)</f>
        <v/>
      </c>
      <c r="AT1097" s="108">
        <f>(BF1097-Driver!$K$191)/(Driver!$L$191-Driver!$K$191)</f>
        <v/>
      </c>
      <c r="AU1097" s="108">
        <f>(BG1097-Driver!$K$192)/(Driver!$L$192-Driver!$K$192)</f>
        <v/>
      </c>
      <c r="AV1097" s="105">
        <f>IFERROR(BM1097*BJ1097^1/4,"")</f>
        <v/>
      </c>
      <c r="AW1097" s="105">
        <f>IFERROR(SUM(AX1097:AZ1097),"")</f>
        <v/>
      </c>
      <c r="AX1097" s="105">
        <f>IFERROR(BH1097,"")</f>
        <v/>
      </c>
      <c r="AY1097" s="105">
        <f>IFERROR(Driver!$K$19/Data!BH1097/Data!BI1097*Data!BK1097*Data!BL1097,"")</f>
        <v/>
      </c>
      <c r="AZ1097" s="105">
        <f>IFERROR(BI1097*BN1097,"")</f>
        <v/>
      </c>
      <c r="BA1097" s="105" t="n"/>
      <c r="BB1097" s="105" t="n"/>
      <c r="BC1097" s="105">
        <f>IFERROR(BI1097*BN1097*BK1097/BJ1097^(1/2),"")</f>
        <v/>
      </c>
      <c r="BD1097" s="105">
        <f>IFERROR(BH1097*BM1097*BL1097/BJ1097/BK1097,"")</f>
        <v/>
      </c>
      <c r="BE1097" s="105">
        <f>IFERROR(MIN(BI1097/BQ1097/BP1097/BO1097/BH1097,$BE$1),"")</f>
        <v/>
      </c>
      <c r="BF1097" s="105">
        <f>IFERROR(BJ1097*BO1097*BP1097/BK1097,"")</f>
        <v/>
      </c>
      <c r="BG1097" s="105">
        <f>IFERROR(1/BM1097/BH1097*BQ1097,"")</f>
        <v/>
      </c>
      <c r="BH1097" s="102">
        <f>MAX((CE1097-Driver!$F$200)/(Driver!$G$200-Driver!$F$200)*$BI$1,1)</f>
        <v/>
      </c>
      <c r="BI1097" s="102">
        <f>MAX($BI$1*(BY1097-Driver!$F$201)/(Driver!$G$201-Driver!$F$201),1)</f>
        <v/>
      </c>
      <c r="BJ1097" s="102">
        <f>(CB1097-Driver!$F$206)/(Driver!$G$206-Driver!$F$206)*$BI$1</f>
        <v/>
      </c>
      <c r="BK1097" s="102">
        <f>(CD1097-Driver!$F$203)/(Driver!$G$203-Driver!$F$203)*$BI$1</f>
        <v/>
      </c>
      <c r="BL1097" s="102">
        <f>MAX((CR1097-Driver!$F$202)/(Driver!$G$202-Driver!$F$202)*$BI$1,1)</f>
        <v/>
      </c>
      <c r="BM1097" s="102">
        <f>MAX((CH1097-Driver!$F$204)/(Driver!$G$204-Driver!$F$204)*$BI$1,1)</f>
        <v/>
      </c>
      <c r="BN1097" s="102">
        <f>(CI1097-Driver!$F$205)/(Driver!$G$205-Driver!$F$205)*$BI$1</f>
        <v/>
      </c>
      <c r="BO1097" s="102">
        <f>(CK1097-Driver!$F$207)/(Driver!$G$207-Driver!$F$207)*$BI$1</f>
        <v/>
      </c>
      <c r="BP1097" s="102">
        <f>(CM1097-Driver!$F$208)/(Driver!$G$208-Driver!$F$208)*$BI$1</f>
        <v/>
      </c>
      <c r="BQ1097" s="102">
        <f>(CL1097-Driver!$F$209)/(Driver!$G$209-Driver!$F$209)*$BI$1</f>
        <v/>
      </c>
      <c r="BR1097" s="40" t="inlineStr">
        <is>
          <t>21/22</t>
        </is>
      </c>
      <c r="BS1097" s="10" t="inlineStr">
        <is>
          <t xml:space="preserve"> Dynastar</t>
        </is>
      </c>
      <c r="BT1097" s="11" t="inlineStr">
        <is>
          <t>Speed 763</t>
        </is>
      </c>
      <c r="BU1097" s="13" t="n">
        <v>174</v>
      </c>
      <c r="BV1097" s="11" t="inlineStr">
        <is>
          <t xml:space="preserve"> Unisex</t>
        </is>
      </c>
      <c r="BW1097" s="13" t="n">
        <v>174</v>
      </c>
      <c r="BX1097" s="13" t="n">
        <v>173.1</v>
      </c>
      <c r="BY1097" s="13" t="n">
        <v>153</v>
      </c>
      <c r="BZ1097" s="13" t="n">
        <v>159</v>
      </c>
      <c r="CA1097" s="13" t="n">
        <v>121</v>
      </c>
      <c r="CB1097" s="13" t="n">
        <v>72</v>
      </c>
      <c r="CC1097" s="13" t="n">
        <v>105</v>
      </c>
      <c r="CD1097" s="13" t="n">
        <v>15.1</v>
      </c>
      <c r="CE1097" s="13" t="n">
        <v>2102</v>
      </c>
      <c r="CF1097" s="13" t="n">
        <v>0.72</v>
      </c>
      <c r="CG1097" s="13" t="n">
        <v>1507</v>
      </c>
      <c r="CH1097" s="13" t="n">
        <v>224</v>
      </c>
      <c r="CI1097" s="13" t="n">
        <v>112</v>
      </c>
      <c r="CJ1097" s="13" t="n">
        <v>39</v>
      </c>
      <c r="CK1097" s="13" t="n">
        <v>144</v>
      </c>
      <c r="CL1097" s="13" t="n">
        <v>7</v>
      </c>
      <c r="CM1097" s="13" t="n">
        <v>58</v>
      </c>
      <c r="CN1097" s="13" t="n">
        <v>0.177</v>
      </c>
      <c r="CO1097" s="13" t="n">
        <v>82</v>
      </c>
      <c r="CP1097" s="13" t="n">
        <v>62</v>
      </c>
      <c r="CQ1097" s="13" t="n">
        <v>62</v>
      </c>
      <c r="CR1097" s="13" t="n">
        <v>12</v>
      </c>
      <c r="CS1097" s="13" t="n">
        <v>11.8</v>
      </c>
      <c r="CT1097" s="11" t="inlineStr">
        <is>
          <t xml:space="preserve"> On-Piste Carving</t>
        </is>
      </c>
      <c r="CU1097" s="13" t="n"/>
      <c r="CV1097" s="13" t="n"/>
      <c r="CW1097" s="13" t="n"/>
      <c r="CX1097">
        <f>INDEX('Data_Price '!AG$2:AG$1266,MATCH(Data!$DN1097,'Data_Price '!$AT$2:$AT$1266,0))</f>
        <v/>
      </c>
      <c r="CY1097">
        <f>INDEX('Data_Price '!AH$2:AH$1266,MATCH(Data!$DN1097,'Data_Price '!$AT$2:$AT$1266,0))</f>
        <v/>
      </c>
      <c r="CZ1097">
        <f>INDEX('Data_Price '!AI$2:AI$1266,MATCH(Data!$DN1097,'Data_Price '!$AT$2:$AT$1266,0))</f>
        <v/>
      </c>
      <c r="DA1097">
        <f>INDEX('Data_Price '!AJ$2:AJ$1266,MATCH(Data!$DN1097,'Data_Price '!$AT$2:$AT$1266,0))</f>
        <v/>
      </c>
      <c r="DB1097">
        <f>INDEX('Data_Price '!AK$2:AK$1266,MATCH(Data!$DN1097,'Data_Price '!$AT$2:$AT$1266,0))</f>
        <v/>
      </c>
      <c r="DC1097">
        <f>INDEX('Data_Price '!AL$2:AL$1266,MATCH(Data!$DN1097,'Data_Price '!$AT$2:$AT$1266,0))</f>
        <v/>
      </c>
      <c r="DD1097">
        <f>INDEX('Data_Price '!AM$2:AM$1266,MATCH(Data!$DN1097,'Data_Price '!$AT$2:$AT$1266,0))</f>
        <v/>
      </c>
      <c r="DE1097">
        <f>INDEX('Data_Price '!AN$2:AN$1266,MATCH(Data!$DN1097,'Data_Price '!$AT$2:$AT$1266,0))</f>
        <v/>
      </c>
      <c r="DF1097">
        <f>INDEX('Data_Price '!AO$2:AO$1266,MATCH(Data!$DN1097,'Data_Price '!$AT$2:$AT$1266,0))</f>
        <v/>
      </c>
      <c r="DG1097">
        <f>INDEX('Data_Price '!AP$2:AP$1266,MATCH(Data!$DN1097,'Data_Price '!$AT$2:$AT$1266,0))</f>
        <v/>
      </c>
      <c r="DH1097">
        <f>INDEX('Data_Price '!AQ$2:AQ$1266,MATCH(Data!$DN1097,'Data_Price '!$AT$2:$AT$1266,0))</f>
        <v/>
      </c>
      <c r="DI1097">
        <f>INDEX('Data_Price '!AR$2:AR$1266,MATCH(Data!$DN1097,'Data_Price '!$AT$2:$AT$1266,0))</f>
        <v/>
      </c>
      <c r="DJ1097" s="138">
        <f>DA1097</f>
        <v/>
      </c>
      <c r="DK1097" s="138">
        <f>DE1097</f>
        <v/>
      </c>
      <c r="DL1097" s="138">
        <f>DI1097</f>
        <v/>
      </c>
      <c r="DM1097" s="303">
        <f>IF(LEFT(BT1097,1)=" ",RIGHT(BT1097,LEN(BT1097)-1),BT1097)</f>
        <v/>
      </c>
      <c r="DN1097" s="138">
        <f>_xlfn.CONCAT(BS1097,DM1097,BU1097,BV1097)</f>
        <v/>
      </c>
      <c r="DO1097" s="307" t="n"/>
    </row>
    <row r="1098" ht="15.6" customHeight="1" s="184">
      <c r="B1098" s="303">
        <f t="array" ref="B1098">IF(OR(ISERROR(K1098:P1098)),FALSE,TRUE)</f>
        <v/>
      </c>
      <c r="C1098" s="60">
        <f>OR(BR1098=Driver!$G$50,Data!BR558=Driver!$H$50)</f>
        <v/>
      </c>
      <c r="D1098" s="60">
        <f>OR(BV1098=Driver!$G$51,BV1098=Driver!$H$51)</f>
        <v/>
      </c>
      <c r="E1098" s="60">
        <f>AND(BX1098&gt;Driver!$F$54,BX1098&lt;Driver!$G$54)</f>
        <v/>
      </c>
      <c r="F1098" s="60">
        <f>CL1098&gt;Driver!$F$56</f>
        <v/>
      </c>
      <c r="G1098" s="60">
        <f>AND(CB1098&gt;Driver!$F$55,CB1098&lt;Driver!$G$55)</f>
        <v/>
      </c>
      <c r="H1098" s="60">
        <f>AND(B1098:G1098)</f>
        <v/>
      </c>
      <c r="I1098" s="60">
        <f>COUNTIFS($H$9:$H$1273,TRUE,$BT$9:$BT$1273,BT1098)</f>
        <v/>
      </c>
      <c r="J1098" s="60">
        <f t="array" ref="J1098">NOT(OR(($H$9:$H$1273=TRUE)*($I$9:$I$1273&gt;0)*($BT$9:$BT$1273=BT1098)*($K$9:$K$1273&gt;K1098)))</f>
        <v/>
      </c>
      <c r="K1098" s="108">
        <f>IFERROR(1-AVERAGE(X1098:Y1098),"")</f>
        <v/>
      </c>
      <c r="L1098" s="108">
        <f>1-X1098</f>
        <v/>
      </c>
      <c r="M1098" s="108">
        <f>1-Y1098</f>
        <v/>
      </c>
      <c r="N1098" s="108">
        <f>1-Z1098</f>
        <v/>
      </c>
      <c r="O1098" s="108">
        <f>1-AA1098</f>
        <v/>
      </c>
      <c r="P1098" s="108">
        <f>1-AB1098</f>
        <v/>
      </c>
      <c r="Q1098" s="108" t="n"/>
      <c r="R1098" s="108" t="n"/>
      <c r="S1098" s="108">
        <f>1-AE1098</f>
        <v/>
      </c>
      <c r="T1098" s="108">
        <f>1-AF1098</f>
        <v/>
      </c>
      <c r="U1098" s="108">
        <f>1-AG1098</f>
        <v/>
      </c>
      <c r="V1098" s="108">
        <f>1-AH1098</f>
        <v/>
      </c>
      <c r="W1098" s="108">
        <f>1-AI1098</f>
        <v/>
      </c>
      <c r="X1098" s="108">
        <f>ABS(AJ1098-AJ$1)</f>
        <v/>
      </c>
      <c r="Y1098" s="108">
        <f>AVERAGE(Z1098:AB1098)</f>
        <v/>
      </c>
      <c r="Z1098" s="108">
        <f>ABS(AL1098-AL$1)</f>
        <v/>
      </c>
      <c r="AA1098" s="108">
        <f>ABS(AM1098-AM$1)</f>
        <v/>
      </c>
      <c r="AB1098" s="108">
        <f>ABS(AN1098-AN$1)</f>
        <v/>
      </c>
      <c r="AC1098" s="108" t="n"/>
      <c r="AD1098" s="108" t="n"/>
      <c r="AE1098" s="108">
        <f>ABS(AQ$1-AQ1098)</f>
        <v/>
      </c>
      <c r="AF1098" s="108">
        <f>ABS(AR$1-AR1098)</f>
        <v/>
      </c>
      <c r="AG1098" s="108">
        <f>ABS(AS$1-AS1098)</f>
        <v/>
      </c>
      <c r="AH1098" s="108">
        <f>ABS(AT$1-AT1098)</f>
        <v/>
      </c>
      <c r="AI1098" s="108">
        <f>ABS(AU$1-AU1098)</f>
        <v/>
      </c>
      <c r="AJ1098" s="108">
        <f>(AV1098-Driver!$K$179)/(Driver!$L$179-Driver!$K$179)</f>
        <v/>
      </c>
      <c r="AK1098" s="108">
        <f>(AW1098-Driver!$K$180)/(Driver!$L$180-Driver!$K$180)</f>
        <v/>
      </c>
      <c r="AL1098" s="108">
        <f>(AX1098-Driver!$K$181)/(Driver!$L$181-Driver!$K$181)</f>
        <v/>
      </c>
      <c r="AM1098" s="108">
        <f>(AY1098-Driver!$K$182)/(Driver!$L$182-Driver!$K$182)</f>
        <v/>
      </c>
      <c r="AN1098" s="108">
        <f>(AZ1098-Driver!$K$183)/(Driver!$L$183-Driver!$K$183)</f>
        <v/>
      </c>
      <c r="AO1098" s="108" t="n"/>
      <c r="AP1098" s="108" t="n"/>
      <c r="AQ1098" s="108">
        <f>(BC1098-Driver!$K$188)/(Driver!$L$188-Driver!$K$188)</f>
        <v/>
      </c>
      <c r="AR1098" s="108">
        <f>MIN((BD1098-Driver!$K$189)/(Driver!$L$189-Driver!$K$189),100%)</f>
        <v/>
      </c>
      <c r="AS1098" s="108">
        <f>(BE1098-Driver!$K$190)/(Driver!$L$190-Driver!$K$190)</f>
        <v/>
      </c>
      <c r="AT1098" s="108">
        <f>(BF1098-Driver!$K$191)/(Driver!$L$191-Driver!$K$191)</f>
        <v/>
      </c>
      <c r="AU1098" s="108">
        <f>(BG1098-Driver!$K$192)/(Driver!$L$192-Driver!$K$192)</f>
        <v/>
      </c>
      <c r="AV1098" s="105">
        <f>IFERROR(BM1098*BJ1098^1/4,"")</f>
        <v/>
      </c>
      <c r="AW1098" s="105">
        <f>IFERROR(SUM(AX1098:AZ1098),"")</f>
        <v/>
      </c>
      <c r="AX1098" s="105">
        <f>IFERROR(BH1098,"")</f>
        <v/>
      </c>
      <c r="AY1098" s="105">
        <f>IFERROR(Driver!$K$19/Data!BH1098/Data!BI1098*Data!BK1098*Data!BL1098,"")</f>
        <v/>
      </c>
      <c r="AZ1098" s="105">
        <f>IFERROR(BI1098*BN1098,"")</f>
        <v/>
      </c>
      <c r="BA1098" s="105" t="n"/>
      <c r="BB1098" s="105" t="n"/>
      <c r="BC1098" s="105">
        <f>IFERROR(BI1098*BN1098*BK1098/BJ1098^(1/2),"")</f>
        <v/>
      </c>
      <c r="BD1098" s="105">
        <f>IFERROR(BH1098*BM1098*BL1098/BJ1098/BK1098,"")</f>
        <v/>
      </c>
      <c r="BE1098" s="105">
        <f>IFERROR(MIN(BI1098/BQ1098/BP1098/BO1098/BH1098,$BE$1),"")</f>
        <v/>
      </c>
      <c r="BF1098" s="105">
        <f>IFERROR(BJ1098*BO1098*BP1098/BK1098,"")</f>
        <v/>
      </c>
      <c r="BG1098" s="105">
        <f>IFERROR(1/BM1098/BH1098*BQ1098,"")</f>
        <v/>
      </c>
      <c r="BH1098" s="102">
        <f>MAX((CE1098-Driver!$F$200)/(Driver!$G$200-Driver!$F$200)*$BI$1,1)</f>
        <v/>
      </c>
      <c r="BI1098" s="102">
        <f>MAX($BI$1*(BY1098-Driver!$F$201)/(Driver!$G$201-Driver!$F$201),1)</f>
        <v/>
      </c>
      <c r="BJ1098" s="102">
        <f>(CB1098-Driver!$F$206)/(Driver!$G$206-Driver!$F$206)*$BI$1</f>
        <v/>
      </c>
      <c r="BK1098" s="102">
        <f>(CD1098-Driver!$F$203)/(Driver!$G$203-Driver!$F$203)*$BI$1</f>
        <v/>
      </c>
      <c r="BL1098" s="102">
        <f>MAX((CR1098-Driver!$F$202)/(Driver!$G$202-Driver!$F$202)*$BI$1,1)</f>
        <v/>
      </c>
      <c r="BM1098" s="102">
        <f>MAX((CH1098-Driver!$F$204)/(Driver!$G$204-Driver!$F$204)*$BI$1,1)</f>
        <v/>
      </c>
      <c r="BN1098" s="102">
        <f>(CI1098-Driver!$F$205)/(Driver!$G$205-Driver!$F$205)*$BI$1</f>
        <v/>
      </c>
      <c r="BO1098" s="102">
        <f>(CK1098-Driver!$F$207)/(Driver!$G$207-Driver!$F$207)*$BI$1</f>
        <v/>
      </c>
      <c r="BP1098" s="102">
        <f>(CM1098-Driver!$F$208)/(Driver!$G$208-Driver!$F$208)*$BI$1</f>
        <v/>
      </c>
      <c r="BQ1098" s="102">
        <f>(CL1098-Driver!$F$209)/(Driver!$G$209-Driver!$F$209)*$BI$1</f>
        <v/>
      </c>
      <c r="BR1098" s="40" t="inlineStr">
        <is>
          <t>21/22</t>
        </is>
      </c>
      <c r="BS1098" s="10" t="inlineStr">
        <is>
          <t xml:space="preserve"> Fischer</t>
        </is>
      </c>
      <c r="BT1098" s="11" t="inlineStr">
        <is>
          <t xml:space="preserve"> Nightstick Team</t>
        </is>
      </c>
      <c r="BU1098" s="13" t="n">
        <v>151</v>
      </c>
      <c r="BV1098" s="11" t="inlineStr">
        <is>
          <t xml:space="preserve"> Junior</t>
        </is>
      </c>
      <c r="BW1098" s="13" t="n">
        <v>151</v>
      </c>
      <c r="BX1098" s="13" t="n">
        <v>149.2</v>
      </c>
      <c r="BY1098" s="13" t="n">
        <v>121</v>
      </c>
      <c r="BZ1098" s="13" t="n">
        <v>130</v>
      </c>
      <c r="CA1098" s="13" t="n">
        <v>117</v>
      </c>
      <c r="CB1098" s="13" t="n">
        <v>81</v>
      </c>
      <c r="CC1098" s="13" t="n">
        <v>106</v>
      </c>
      <c r="CD1098" s="13" t="n">
        <v>14.1</v>
      </c>
      <c r="CE1098" s="13" t="n">
        <v>1365</v>
      </c>
      <c r="CF1098" s="13" t="n">
        <v>1</v>
      </c>
      <c r="CG1098" s="13" t="n">
        <v>1370</v>
      </c>
      <c r="CH1098" s="13" t="n">
        <v>114</v>
      </c>
      <c r="CI1098" s="13" t="n">
        <v>43</v>
      </c>
      <c r="CJ1098" s="13" t="n">
        <v>47</v>
      </c>
      <c r="CK1098" s="13" t="n">
        <v>151</v>
      </c>
      <c r="CL1098" s="13" t="n">
        <v>33</v>
      </c>
      <c r="CM1098" s="13" t="n">
        <v>127</v>
      </c>
      <c r="CN1098" s="13" t="n">
        <v>0.71</v>
      </c>
      <c r="CO1098" s="13" t="n">
        <v>100</v>
      </c>
      <c r="CP1098" s="13" t="n">
        <v>91</v>
      </c>
      <c r="CQ1098" s="13" t="n">
        <v>51</v>
      </c>
      <c r="CR1098" s="13" t="n">
        <v>12</v>
      </c>
      <c r="CS1098" s="13" t="n">
        <v>-0.9</v>
      </c>
      <c r="CT1098" s="11" t="inlineStr">
        <is>
          <t xml:space="preserve"> Resort Freeride</t>
        </is>
      </c>
      <c r="CU1098" s="13" t="n"/>
      <c r="CV1098" s="13" t="n"/>
      <c r="CW1098" s="13" t="n"/>
      <c r="CX1098">
        <f>INDEX('Data_Price '!AG$2:AG$1266,MATCH(Data!$DN1098,'Data_Price '!$AT$2:$AT$1266,0))</f>
        <v/>
      </c>
      <c r="CY1098">
        <f>INDEX('Data_Price '!AH$2:AH$1266,MATCH(Data!$DN1098,'Data_Price '!$AT$2:$AT$1266,0))</f>
        <v/>
      </c>
      <c r="CZ1098">
        <f>INDEX('Data_Price '!AI$2:AI$1266,MATCH(Data!$DN1098,'Data_Price '!$AT$2:$AT$1266,0))</f>
        <v/>
      </c>
      <c r="DA1098">
        <f>INDEX('Data_Price '!AJ$2:AJ$1266,MATCH(Data!$DN1098,'Data_Price '!$AT$2:$AT$1266,0))</f>
        <v/>
      </c>
      <c r="DB1098">
        <f>INDEX('Data_Price '!AK$2:AK$1266,MATCH(Data!$DN1098,'Data_Price '!$AT$2:$AT$1266,0))</f>
        <v/>
      </c>
      <c r="DC1098">
        <f>INDEX('Data_Price '!AL$2:AL$1266,MATCH(Data!$DN1098,'Data_Price '!$AT$2:$AT$1266,0))</f>
        <v/>
      </c>
      <c r="DD1098">
        <f>INDEX('Data_Price '!AM$2:AM$1266,MATCH(Data!$DN1098,'Data_Price '!$AT$2:$AT$1266,0))</f>
        <v/>
      </c>
      <c r="DE1098">
        <f>INDEX('Data_Price '!AN$2:AN$1266,MATCH(Data!$DN1098,'Data_Price '!$AT$2:$AT$1266,0))</f>
        <v/>
      </c>
      <c r="DF1098">
        <f>INDEX('Data_Price '!AO$2:AO$1266,MATCH(Data!$DN1098,'Data_Price '!$AT$2:$AT$1266,0))</f>
        <v/>
      </c>
      <c r="DG1098">
        <f>INDEX('Data_Price '!AP$2:AP$1266,MATCH(Data!$DN1098,'Data_Price '!$AT$2:$AT$1266,0))</f>
        <v/>
      </c>
      <c r="DH1098">
        <f>INDEX('Data_Price '!AQ$2:AQ$1266,MATCH(Data!$DN1098,'Data_Price '!$AT$2:$AT$1266,0))</f>
        <v/>
      </c>
      <c r="DI1098">
        <f>INDEX('Data_Price '!AR$2:AR$1266,MATCH(Data!$DN1098,'Data_Price '!$AT$2:$AT$1266,0))</f>
        <v/>
      </c>
      <c r="DJ1098" s="138">
        <f>DA1098</f>
        <v/>
      </c>
      <c r="DK1098" s="138">
        <f>DE1098</f>
        <v/>
      </c>
      <c r="DL1098" s="138">
        <f>DI1098</f>
        <v/>
      </c>
      <c r="DM1098" s="303">
        <f>IF(LEFT(BT1098,1)=" ",RIGHT(BT1098,LEN(BT1098)-1),BT1098)</f>
        <v/>
      </c>
      <c r="DN1098" s="138">
        <f>_xlfn.CONCAT(BS1098,DM1098,BU1098,BV1098)</f>
        <v/>
      </c>
      <c r="DO1098" s="307" t="n"/>
    </row>
    <row r="1099" ht="15.6" customHeight="1" s="184">
      <c r="B1099" s="303">
        <f t="array" ref="B1099">IF(OR(ISERROR(K1099:P1099)),FALSE,TRUE)</f>
        <v/>
      </c>
      <c r="C1099" s="60">
        <f>OR(BR1099=Driver!$G$50,Data!BR415=Driver!$H$50)</f>
        <v/>
      </c>
      <c r="D1099" s="60">
        <f>OR(BV1099=Driver!$G$51,BV1099=Driver!$H$51)</f>
        <v/>
      </c>
      <c r="E1099" s="60">
        <f>AND(BX1099&gt;Driver!$F$54,BX1099&lt;Driver!$G$54)</f>
        <v/>
      </c>
      <c r="F1099" s="60">
        <f>CL1099&gt;Driver!$F$56</f>
        <v/>
      </c>
      <c r="G1099" s="60">
        <f>AND(CB1099&gt;Driver!$F$55,CB1099&lt;Driver!$G$55)</f>
        <v/>
      </c>
      <c r="H1099" s="60">
        <f>AND(B1099:G1099)</f>
        <v/>
      </c>
      <c r="I1099" s="60">
        <f>COUNTIFS($H$9:$H$1273,TRUE,$BT$9:$BT$1273,BT1099)</f>
        <v/>
      </c>
      <c r="J1099" s="60">
        <f t="array" ref="J1099">NOT(OR(($H$9:$H$1273=TRUE)*($I$9:$I$1273&gt;0)*($BT$9:$BT$1273=BT1099)*($K$9:$K$1273&gt;K1099)))</f>
        <v/>
      </c>
      <c r="K1099" s="108">
        <f>IFERROR(1-AVERAGE(X1099:Y1099),"")</f>
        <v/>
      </c>
      <c r="L1099" s="108">
        <f>1-X1099</f>
        <v/>
      </c>
      <c r="M1099" s="108">
        <f>1-Y1099</f>
        <v/>
      </c>
      <c r="N1099" s="108">
        <f>1-Z1099</f>
        <v/>
      </c>
      <c r="O1099" s="108">
        <f>1-AA1099</f>
        <v/>
      </c>
      <c r="P1099" s="108">
        <f>1-AB1099</f>
        <v/>
      </c>
      <c r="Q1099" s="108" t="n"/>
      <c r="R1099" s="108" t="n"/>
      <c r="S1099" s="108">
        <f>1-AE1099</f>
        <v/>
      </c>
      <c r="T1099" s="108">
        <f>1-AF1099</f>
        <v/>
      </c>
      <c r="U1099" s="108">
        <f>1-AG1099</f>
        <v/>
      </c>
      <c r="V1099" s="108">
        <f>1-AH1099</f>
        <v/>
      </c>
      <c r="W1099" s="108">
        <f>1-AI1099</f>
        <v/>
      </c>
      <c r="X1099" s="108">
        <f>ABS(AJ1099-AJ$1)</f>
        <v/>
      </c>
      <c r="Y1099" s="108">
        <f>AVERAGE(Z1099:AB1099)</f>
        <v/>
      </c>
      <c r="Z1099" s="108">
        <f>ABS(AL1099-AL$1)</f>
        <v/>
      </c>
      <c r="AA1099" s="108">
        <f>ABS(AM1099-AM$1)</f>
        <v/>
      </c>
      <c r="AB1099" s="108">
        <f>ABS(AN1099-AN$1)</f>
        <v/>
      </c>
      <c r="AC1099" s="108" t="n"/>
      <c r="AD1099" s="108" t="n"/>
      <c r="AE1099" s="108">
        <f>ABS(AQ$1-AQ1099)</f>
        <v/>
      </c>
      <c r="AF1099" s="108">
        <f>ABS(AR$1-AR1099)</f>
        <v/>
      </c>
      <c r="AG1099" s="108">
        <f>ABS(AS$1-AS1099)</f>
        <v/>
      </c>
      <c r="AH1099" s="108">
        <f>ABS(AT$1-AT1099)</f>
        <v/>
      </c>
      <c r="AI1099" s="108">
        <f>ABS(AU$1-AU1099)</f>
        <v/>
      </c>
      <c r="AJ1099" s="108">
        <f>(AV1099-Driver!$K$179)/(Driver!$L$179-Driver!$K$179)</f>
        <v/>
      </c>
      <c r="AK1099" s="108">
        <f>(AW1099-Driver!$K$180)/(Driver!$L$180-Driver!$K$180)</f>
        <v/>
      </c>
      <c r="AL1099" s="108">
        <f>(AX1099-Driver!$K$181)/(Driver!$L$181-Driver!$K$181)</f>
        <v/>
      </c>
      <c r="AM1099" s="108">
        <f>(AY1099-Driver!$K$182)/(Driver!$L$182-Driver!$K$182)</f>
        <v/>
      </c>
      <c r="AN1099" s="108">
        <f>(AZ1099-Driver!$K$183)/(Driver!$L$183-Driver!$K$183)</f>
        <v/>
      </c>
      <c r="AO1099" s="108" t="n"/>
      <c r="AP1099" s="108" t="n"/>
      <c r="AQ1099" s="108">
        <f>(BC1099-Driver!$K$188)/(Driver!$L$188-Driver!$K$188)</f>
        <v/>
      </c>
      <c r="AR1099" s="108">
        <f>MIN((BD1099-Driver!$K$189)/(Driver!$L$189-Driver!$K$189),100%)</f>
        <v/>
      </c>
      <c r="AS1099" s="108">
        <f>(BE1099-Driver!$K$190)/(Driver!$L$190-Driver!$K$190)</f>
        <v/>
      </c>
      <c r="AT1099" s="108">
        <f>(BF1099-Driver!$K$191)/(Driver!$L$191-Driver!$K$191)</f>
        <v/>
      </c>
      <c r="AU1099" s="108">
        <f>(BG1099-Driver!$K$192)/(Driver!$L$192-Driver!$K$192)</f>
        <v/>
      </c>
      <c r="AV1099" s="105">
        <f>IFERROR(BM1099*BJ1099^1/4,"")</f>
        <v/>
      </c>
      <c r="AW1099" s="105">
        <f>IFERROR(SUM(AX1099:AZ1099),"")</f>
        <v/>
      </c>
      <c r="AX1099" s="105">
        <f>IFERROR(BH1099,"")</f>
        <v/>
      </c>
      <c r="AY1099" s="105">
        <f>IFERROR(Driver!$K$19/Data!BH1099/Data!BI1099*Data!BK1099*Data!BL1099,"")</f>
        <v/>
      </c>
      <c r="AZ1099" s="105">
        <f>IFERROR(BI1099*BN1099,"")</f>
        <v/>
      </c>
      <c r="BA1099" s="105" t="n"/>
      <c r="BB1099" s="105" t="n"/>
      <c r="BC1099" s="105">
        <f>IFERROR(BI1099*BN1099*BK1099/BJ1099^(1/2),"")</f>
        <v/>
      </c>
      <c r="BD1099" s="105">
        <f>IFERROR(BH1099*BM1099*BL1099/BJ1099/BK1099,"")</f>
        <v/>
      </c>
      <c r="BE1099" s="105">
        <f>IFERROR(MIN(BI1099/BQ1099/BP1099/BO1099/BH1099,$BE$1),"")</f>
        <v/>
      </c>
      <c r="BF1099" s="105">
        <f>IFERROR(BJ1099*BO1099*BP1099/BK1099,"")</f>
        <v/>
      </c>
      <c r="BG1099" s="105">
        <f>IFERROR(1/BM1099/BH1099*BQ1099,"")</f>
        <v/>
      </c>
      <c r="BH1099" s="102">
        <f>MAX((CE1099-Driver!$F$200)/(Driver!$G$200-Driver!$F$200)*$BI$1,1)</f>
        <v/>
      </c>
      <c r="BI1099" s="102">
        <f>MAX($BI$1*(BY1099-Driver!$F$201)/(Driver!$G$201-Driver!$F$201),1)</f>
        <v/>
      </c>
      <c r="BJ1099" s="102">
        <f>(CB1099-Driver!$F$206)/(Driver!$G$206-Driver!$F$206)*$BI$1</f>
        <v/>
      </c>
      <c r="BK1099" s="102">
        <f>(CD1099-Driver!$F$203)/(Driver!$G$203-Driver!$F$203)*$BI$1</f>
        <v/>
      </c>
      <c r="BL1099" s="102">
        <f>MAX((CR1099-Driver!$F$202)/(Driver!$G$202-Driver!$F$202)*$BI$1,1)</f>
        <v/>
      </c>
      <c r="BM1099" s="102">
        <f>MAX((CH1099-Driver!$F$204)/(Driver!$G$204-Driver!$F$204)*$BI$1,1)</f>
        <v/>
      </c>
      <c r="BN1099" s="102">
        <f>(CI1099-Driver!$F$205)/(Driver!$G$205-Driver!$F$205)*$BI$1</f>
        <v/>
      </c>
      <c r="BO1099" s="102">
        <f>(CK1099-Driver!$F$207)/(Driver!$G$207-Driver!$F$207)*$BI$1</f>
        <v/>
      </c>
      <c r="BP1099" s="102">
        <f>(CM1099-Driver!$F$208)/(Driver!$G$208-Driver!$F$208)*$BI$1</f>
        <v/>
      </c>
      <c r="BQ1099" s="102">
        <f>(CL1099-Driver!$F$209)/(Driver!$G$209-Driver!$F$209)*$BI$1</f>
        <v/>
      </c>
      <c r="BR1099" s="40" t="inlineStr">
        <is>
          <t>21/22</t>
        </is>
      </c>
      <c r="BS1099" s="10" t="inlineStr">
        <is>
          <t xml:space="preserve"> Dynastar</t>
        </is>
      </c>
      <c r="BT1099" s="11" t="inlineStr">
        <is>
          <t>Speed 563</t>
        </is>
      </c>
      <c r="BU1099" s="13" t="n">
        <v>155</v>
      </c>
      <c r="BV1099" s="11" t="inlineStr">
        <is>
          <t xml:space="preserve"> Unisex</t>
        </is>
      </c>
      <c r="BW1099" s="13" t="n">
        <v>155</v>
      </c>
      <c r="BX1099" s="13" t="n">
        <v>155.3</v>
      </c>
      <c r="BY1099" s="13" t="n">
        <v>135</v>
      </c>
      <c r="BZ1099" s="13" t="n">
        <v>141</v>
      </c>
      <c r="CA1099" s="13" t="n">
        <v>123</v>
      </c>
      <c r="CB1099" s="13" t="n">
        <v>74</v>
      </c>
      <c r="CC1099" s="13" t="n">
        <v>109</v>
      </c>
      <c r="CD1099" s="13" t="n">
        <v>11.8</v>
      </c>
      <c r="CE1099" s="13" t="n">
        <v>1474</v>
      </c>
      <c r="CF1099" s="13" t="n">
        <v>0.9399999999999999</v>
      </c>
      <c r="CG1099" s="13" t="n">
        <v>1387</v>
      </c>
      <c r="CH1099" s="13" t="n">
        <v>147</v>
      </c>
      <c r="CI1099" s="13" t="n">
        <v>50</v>
      </c>
      <c r="CJ1099" s="13" t="n">
        <v>40</v>
      </c>
      <c r="CK1099" s="13" t="n">
        <v>147</v>
      </c>
      <c r="CL1099" s="13" t="n">
        <v>5</v>
      </c>
      <c r="CM1099" s="13" t="n">
        <v>54</v>
      </c>
      <c r="CN1099" s="13" t="n">
        <v>0.129</v>
      </c>
      <c r="CO1099" s="13" t="n">
        <v>84</v>
      </c>
      <c r="CP1099" s="13" t="n">
        <v>58</v>
      </c>
      <c r="CQ1099" s="13" t="n">
        <v>63</v>
      </c>
      <c r="CR1099" s="13" t="n">
        <v>7</v>
      </c>
      <c r="CS1099" s="13" t="n">
        <v>9.9</v>
      </c>
      <c r="CT1099" s="11" t="inlineStr">
        <is>
          <t xml:space="preserve"> On-Piste Carving</t>
        </is>
      </c>
      <c r="CU1099" s="13" t="n"/>
      <c r="CV1099" s="13" t="n"/>
      <c r="CW1099" s="13" t="n"/>
      <c r="CX1099">
        <f>INDEX('Data_Price '!AG$2:AG$1266,MATCH(Data!$DN1099,'Data_Price '!$AT$2:$AT$1266,0))</f>
        <v/>
      </c>
      <c r="CY1099">
        <f>INDEX('Data_Price '!AH$2:AH$1266,MATCH(Data!$DN1099,'Data_Price '!$AT$2:$AT$1266,0))</f>
        <v/>
      </c>
      <c r="CZ1099">
        <f>INDEX('Data_Price '!AI$2:AI$1266,MATCH(Data!$DN1099,'Data_Price '!$AT$2:$AT$1266,0))</f>
        <v/>
      </c>
      <c r="DA1099">
        <f>INDEX('Data_Price '!AJ$2:AJ$1266,MATCH(Data!$DN1099,'Data_Price '!$AT$2:$AT$1266,0))</f>
        <v/>
      </c>
      <c r="DB1099">
        <f>INDEX('Data_Price '!AK$2:AK$1266,MATCH(Data!$DN1099,'Data_Price '!$AT$2:$AT$1266,0))</f>
        <v/>
      </c>
      <c r="DC1099">
        <f>INDEX('Data_Price '!AL$2:AL$1266,MATCH(Data!$DN1099,'Data_Price '!$AT$2:$AT$1266,0))</f>
        <v/>
      </c>
      <c r="DD1099">
        <f>INDEX('Data_Price '!AM$2:AM$1266,MATCH(Data!$DN1099,'Data_Price '!$AT$2:$AT$1266,0))</f>
        <v/>
      </c>
      <c r="DE1099">
        <f>INDEX('Data_Price '!AN$2:AN$1266,MATCH(Data!$DN1099,'Data_Price '!$AT$2:$AT$1266,0))</f>
        <v/>
      </c>
      <c r="DF1099">
        <f>INDEX('Data_Price '!AO$2:AO$1266,MATCH(Data!$DN1099,'Data_Price '!$AT$2:$AT$1266,0))</f>
        <v/>
      </c>
      <c r="DG1099">
        <f>INDEX('Data_Price '!AP$2:AP$1266,MATCH(Data!$DN1099,'Data_Price '!$AT$2:$AT$1266,0))</f>
        <v/>
      </c>
      <c r="DH1099">
        <f>INDEX('Data_Price '!AQ$2:AQ$1266,MATCH(Data!$DN1099,'Data_Price '!$AT$2:$AT$1266,0))</f>
        <v/>
      </c>
      <c r="DI1099">
        <f>INDEX('Data_Price '!AR$2:AR$1266,MATCH(Data!$DN1099,'Data_Price '!$AT$2:$AT$1266,0))</f>
        <v/>
      </c>
      <c r="DJ1099" s="138">
        <f>DA1099</f>
        <v/>
      </c>
      <c r="DK1099" s="138">
        <f>DE1099</f>
        <v/>
      </c>
      <c r="DL1099" s="138">
        <f>DI1099</f>
        <v/>
      </c>
      <c r="DM1099" s="303">
        <f>IF(LEFT(BT1099,1)=" ",RIGHT(BT1099,LEN(BT1099)-1),BT1099)</f>
        <v/>
      </c>
      <c r="DN1099" s="138">
        <f>_xlfn.CONCAT(BS1099,DM1099,BU1099,BV1099)</f>
        <v/>
      </c>
      <c r="DO1099" s="307" t="n"/>
    </row>
    <row r="1100" ht="15.6" customHeight="1" s="184">
      <c r="B1100" s="303">
        <f t="array" ref="B1100">IF(OR(ISERROR(K1100:P1100)),FALSE,TRUE)</f>
        <v/>
      </c>
      <c r="C1100" s="60">
        <f>OR(BR1100=Driver!$G$50,Data!BR1256=Driver!$H$50)</f>
        <v/>
      </c>
      <c r="D1100" s="60">
        <f>OR(BV1100=Driver!$G$51,BV1100=Driver!$H$51)</f>
        <v/>
      </c>
      <c r="E1100" s="60">
        <f>AND(BX1100&gt;Driver!$F$54,BX1100&lt;Driver!$G$54)</f>
        <v/>
      </c>
      <c r="F1100" s="60">
        <f>CL1100&gt;Driver!$F$56</f>
        <v/>
      </c>
      <c r="G1100" s="60">
        <f>AND(CB1100&gt;Driver!$F$55,CB1100&lt;Driver!$G$55)</f>
        <v/>
      </c>
      <c r="H1100" s="60">
        <f>AND(B1100:G1100)</f>
        <v/>
      </c>
      <c r="I1100" s="60">
        <f>COUNTIFS($H$9:$H$1273,TRUE,$BT$9:$BT$1273,BT1100)</f>
        <v/>
      </c>
      <c r="J1100" s="60">
        <f t="array" ref="J1100">NOT(OR(($H$9:$H$1273=TRUE)*($I$9:$I$1273&gt;0)*($BT$9:$BT$1273=BT1100)*($K$9:$K$1273&gt;K1100)))</f>
        <v/>
      </c>
      <c r="K1100" s="108">
        <f>IFERROR(1-AVERAGE(X1100:Y1100),"")</f>
        <v/>
      </c>
      <c r="L1100" s="108">
        <f>1-X1100</f>
        <v/>
      </c>
      <c r="M1100" s="108">
        <f>1-Y1100</f>
        <v/>
      </c>
      <c r="N1100" s="108">
        <f>1-Z1100</f>
        <v/>
      </c>
      <c r="O1100" s="108">
        <f>1-AA1100</f>
        <v/>
      </c>
      <c r="P1100" s="108">
        <f>1-AB1100</f>
        <v/>
      </c>
      <c r="Q1100" s="108" t="n"/>
      <c r="R1100" s="108" t="n"/>
      <c r="S1100" s="108">
        <f>1-AE1100</f>
        <v/>
      </c>
      <c r="T1100" s="108">
        <f>1-AF1100</f>
        <v/>
      </c>
      <c r="U1100" s="108">
        <f>1-AG1100</f>
        <v/>
      </c>
      <c r="V1100" s="108">
        <f>1-AH1100</f>
        <v/>
      </c>
      <c r="W1100" s="108">
        <f>1-AI1100</f>
        <v/>
      </c>
      <c r="X1100" s="108">
        <f>ABS(AJ1100-AJ$1)</f>
        <v/>
      </c>
      <c r="Y1100" s="108">
        <f>AVERAGE(Z1100:AB1100)</f>
        <v/>
      </c>
      <c r="Z1100" s="108">
        <f>ABS(AL1100-AL$1)</f>
        <v/>
      </c>
      <c r="AA1100" s="108">
        <f>ABS(AM1100-AM$1)</f>
        <v/>
      </c>
      <c r="AB1100" s="108">
        <f>ABS(AN1100-AN$1)</f>
        <v/>
      </c>
      <c r="AC1100" s="108" t="n"/>
      <c r="AD1100" s="108" t="n"/>
      <c r="AE1100" s="108">
        <f>ABS(AQ$1-AQ1100)</f>
        <v/>
      </c>
      <c r="AF1100" s="108">
        <f>ABS(AR$1-AR1100)</f>
        <v/>
      </c>
      <c r="AG1100" s="108">
        <f>ABS(AS$1-AS1100)</f>
        <v/>
      </c>
      <c r="AH1100" s="108">
        <f>ABS(AT$1-AT1100)</f>
        <v/>
      </c>
      <c r="AI1100" s="108">
        <f>ABS(AU$1-AU1100)</f>
        <v/>
      </c>
      <c r="AJ1100" s="108">
        <f>(AV1100-Driver!$K$179)/(Driver!$L$179-Driver!$K$179)</f>
        <v/>
      </c>
      <c r="AK1100" s="108">
        <f>(AW1100-Driver!$K$180)/(Driver!$L$180-Driver!$K$180)</f>
        <v/>
      </c>
      <c r="AL1100" s="108">
        <f>(AX1100-Driver!$K$181)/(Driver!$L$181-Driver!$K$181)</f>
        <v/>
      </c>
      <c r="AM1100" s="108">
        <f>(AY1100-Driver!$K$182)/(Driver!$L$182-Driver!$K$182)</f>
        <v/>
      </c>
      <c r="AN1100" s="108">
        <f>(AZ1100-Driver!$K$183)/(Driver!$L$183-Driver!$K$183)</f>
        <v/>
      </c>
      <c r="AO1100" s="108" t="n"/>
      <c r="AP1100" s="108" t="n"/>
      <c r="AQ1100" s="108">
        <f>(BC1100-Driver!$K$188)/(Driver!$L$188-Driver!$K$188)</f>
        <v/>
      </c>
      <c r="AR1100" s="108">
        <f>MIN((BD1100-Driver!$K$189)/(Driver!$L$189-Driver!$K$189),100%)</f>
        <v/>
      </c>
      <c r="AS1100" s="108">
        <f>(BE1100-Driver!$K$190)/(Driver!$L$190-Driver!$K$190)</f>
        <v/>
      </c>
      <c r="AT1100" s="108">
        <f>(BF1100-Driver!$K$191)/(Driver!$L$191-Driver!$K$191)</f>
        <v/>
      </c>
      <c r="AU1100" s="108">
        <f>(BG1100-Driver!$K$192)/(Driver!$L$192-Driver!$K$192)</f>
        <v/>
      </c>
      <c r="AV1100" s="105">
        <f>IFERROR(BM1100*BJ1100^1/4,"")</f>
        <v/>
      </c>
      <c r="AW1100" s="105">
        <f>IFERROR(SUM(AX1100:AZ1100),"")</f>
        <v/>
      </c>
      <c r="AX1100" s="105">
        <f>IFERROR(BH1100,"")</f>
        <v/>
      </c>
      <c r="AY1100" s="105">
        <f>IFERROR(Driver!$K$19/Data!BH1100/Data!BI1100*Data!BK1100*Data!BL1100,"")</f>
        <v/>
      </c>
      <c r="AZ1100" s="105">
        <f>IFERROR(BI1100*BN1100,"")</f>
        <v/>
      </c>
      <c r="BA1100" s="105" t="n"/>
      <c r="BB1100" s="105" t="n"/>
      <c r="BC1100" s="105">
        <f>IFERROR(BI1100*BN1100*BK1100/BJ1100^(1/2),"")</f>
        <v/>
      </c>
      <c r="BD1100" s="105">
        <f>IFERROR(BH1100*BM1100*BL1100/BJ1100/BK1100,"")</f>
        <v/>
      </c>
      <c r="BE1100" s="105">
        <f>IFERROR(MIN(BI1100/BQ1100/BP1100/BO1100/BH1100,$BE$1),"")</f>
        <v/>
      </c>
      <c r="BF1100" s="105">
        <f>IFERROR(BJ1100*BO1100*BP1100/BK1100,"")</f>
        <v/>
      </c>
      <c r="BG1100" s="105">
        <f>IFERROR(1/BM1100/BH1100*BQ1100,"")</f>
        <v/>
      </c>
      <c r="BH1100" s="102">
        <f>MAX((CE1100-Driver!$F$200)/(Driver!$G$200-Driver!$F$200)*$BI$1,1)</f>
        <v/>
      </c>
      <c r="BI1100" s="102">
        <f>MAX($BI$1*(BY1100-Driver!$F$201)/(Driver!$G$201-Driver!$F$201),1)</f>
        <v/>
      </c>
      <c r="BJ1100" s="102">
        <f>(CB1100-Driver!$F$206)/(Driver!$G$206-Driver!$F$206)*$BI$1</f>
        <v/>
      </c>
      <c r="BK1100" s="102">
        <f>(CD1100-Driver!$F$203)/(Driver!$G$203-Driver!$F$203)*$BI$1</f>
        <v/>
      </c>
      <c r="BL1100" s="102">
        <f>MAX((CR1100-Driver!$F$202)/(Driver!$G$202-Driver!$F$202)*$BI$1,1)</f>
        <v/>
      </c>
      <c r="BM1100" s="102">
        <f>MAX((CH1100-Driver!$F$204)/(Driver!$G$204-Driver!$F$204)*$BI$1,1)</f>
        <v/>
      </c>
      <c r="BN1100" s="102">
        <f>(CI1100-Driver!$F$205)/(Driver!$G$205-Driver!$F$205)*$BI$1</f>
        <v/>
      </c>
      <c r="BO1100" s="102">
        <f>(CK1100-Driver!$F$207)/(Driver!$G$207-Driver!$F$207)*$BI$1</f>
        <v/>
      </c>
      <c r="BP1100" s="102">
        <f>(CM1100-Driver!$F$208)/(Driver!$G$208-Driver!$F$208)*$BI$1</f>
        <v/>
      </c>
      <c r="BQ1100" s="102">
        <f>(CL1100-Driver!$F$209)/(Driver!$G$209-Driver!$F$209)*$BI$1</f>
        <v/>
      </c>
      <c r="BR1100" s="40" t="inlineStr">
        <is>
          <t>21/22</t>
        </is>
      </c>
      <c r="BS1100" s="10" t="inlineStr">
        <is>
          <t xml:space="preserve"> Völkl</t>
        </is>
      </c>
      <c r="BT1100" s="11" t="inlineStr">
        <is>
          <t>Rise Beyond 96 W</t>
        </is>
      </c>
      <c r="BU1100" s="13" t="n">
        <v>163</v>
      </c>
      <c r="BV1100" s="11" t="inlineStr">
        <is>
          <t xml:space="preserve"> Women's</t>
        </is>
      </c>
      <c r="BW1100" s="13" t="n">
        <v>163</v>
      </c>
      <c r="BX1100" s="13" t="n">
        <v>162.2</v>
      </c>
      <c r="BY1100" s="13" t="n">
        <v>129</v>
      </c>
      <c r="BZ1100" s="13" t="n">
        <v>140</v>
      </c>
      <c r="CA1100" s="13" t="n">
        <v>137</v>
      </c>
      <c r="CB1100" s="13" t="n">
        <v>95</v>
      </c>
      <c r="CC1100" s="13" t="n">
        <v>118</v>
      </c>
      <c r="CD1100" s="13" t="n">
        <v>14.7</v>
      </c>
      <c r="CE1100" s="13" t="n">
        <v>1205</v>
      </c>
      <c r="CF1100" s="13" t="n">
        <v>1.45</v>
      </c>
      <c r="CG1100" s="13" t="n">
        <v>1750</v>
      </c>
      <c r="CH1100" s="13" t="n">
        <v>142</v>
      </c>
      <c r="CI1100" s="13" t="n">
        <v>67</v>
      </c>
      <c r="CJ1100" s="13" t="n">
        <v>37</v>
      </c>
      <c r="CK1100" s="13" t="n">
        <v>271</v>
      </c>
      <c r="CL1100" s="13" t="n">
        <v>4</v>
      </c>
      <c r="CM1100" s="13" t="n">
        <v>64</v>
      </c>
      <c r="CN1100" s="13" t="n">
        <v>0.117</v>
      </c>
      <c r="CO1100" s="13" t="n">
        <v>128</v>
      </c>
      <c r="CP1100" s="13" t="n">
        <v>92</v>
      </c>
      <c r="CQ1100" s="13" t="n">
        <v>144</v>
      </c>
      <c r="CR1100" s="13" t="n">
        <v>5</v>
      </c>
      <c r="CS1100" s="13" t="n">
        <v>10.6</v>
      </c>
      <c r="CT1100" s="11" t="inlineStr">
        <is>
          <t xml:space="preserve"> Touring</t>
        </is>
      </c>
      <c r="CU1100" s="11" t="inlineStr">
        <is>
          <t xml:space="preserve"> Ultralight Touring</t>
        </is>
      </c>
      <c r="CV1100" s="13" t="n"/>
      <c r="CW1100" s="13" t="n"/>
      <c r="CX1100">
        <f>INDEX('Data_Price '!AG$2:AG$1266,MATCH(Data!$DN1100,'Data_Price '!$AT$2:$AT$1266,0))</f>
        <v/>
      </c>
      <c r="CY1100">
        <f>INDEX('Data_Price '!AH$2:AH$1266,MATCH(Data!$DN1100,'Data_Price '!$AT$2:$AT$1266,0))</f>
        <v/>
      </c>
      <c r="CZ1100">
        <f>INDEX('Data_Price '!AI$2:AI$1266,MATCH(Data!$DN1100,'Data_Price '!$AT$2:$AT$1266,0))</f>
        <v/>
      </c>
      <c r="DA1100">
        <f>INDEX('Data_Price '!AJ$2:AJ$1266,MATCH(Data!$DN1100,'Data_Price '!$AT$2:$AT$1266,0))</f>
        <v/>
      </c>
      <c r="DB1100">
        <f>INDEX('Data_Price '!AK$2:AK$1266,MATCH(Data!$DN1100,'Data_Price '!$AT$2:$AT$1266,0))</f>
        <v/>
      </c>
      <c r="DC1100">
        <f>INDEX('Data_Price '!AL$2:AL$1266,MATCH(Data!$DN1100,'Data_Price '!$AT$2:$AT$1266,0))</f>
        <v/>
      </c>
      <c r="DD1100">
        <f>INDEX('Data_Price '!AM$2:AM$1266,MATCH(Data!$DN1100,'Data_Price '!$AT$2:$AT$1266,0))</f>
        <v/>
      </c>
      <c r="DE1100">
        <f>INDEX('Data_Price '!AN$2:AN$1266,MATCH(Data!$DN1100,'Data_Price '!$AT$2:$AT$1266,0))</f>
        <v/>
      </c>
      <c r="DF1100">
        <f>INDEX('Data_Price '!AO$2:AO$1266,MATCH(Data!$DN1100,'Data_Price '!$AT$2:$AT$1266,0))</f>
        <v/>
      </c>
      <c r="DG1100">
        <f>INDEX('Data_Price '!AP$2:AP$1266,MATCH(Data!$DN1100,'Data_Price '!$AT$2:$AT$1266,0))</f>
        <v/>
      </c>
      <c r="DH1100">
        <f>INDEX('Data_Price '!AQ$2:AQ$1266,MATCH(Data!$DN1100,'Data_Price '!$AT$2:$AT$1266,0))</f>
        <v/>
      </c>
      <c r="DI1100">
        <f>INDEX('Data_Price '!AR$2:AR$1266,MATCH(Data!$DN1100,'Data_Price '!$AT$2:$AT$1266,0))</f>
        <v/>
      </c>
      <c r="DJ1100" s="138">
        <f>DA1100</f>
        <v/>
      </c>
      <c r="DK1100" s="138">
        <f>DE1100</f>
        <v/>
      </c>
      <c r="DL1100" s="138">
        <f>DI1100</f>
        <v/>
      </c>
      <c r="DM1100" s="303">
        <f>IF(LEFT(BT1100,1)=" ",RIGHT(BT1100,LEN(BT1100)-1),BT1100)</f>
        <v/>
      </c>
      <c r="DN1100" s="138">
        <f>_xlfn.CONCAT(BS1100,DM1100,BU1100,BV1100)</f>
        <v/>
      </c>
      <c r="DO1100" s="307" t="n"/>
    </row>
    <row r="1101" ht="15.6" customHeight="1" s="184">
      <c r="B1101" s="303">
        <f t="array" ref="B1101">IF(OR(ISERROR(K1101:P1101)),FALSE,TRUE)</f>
        <v/>
      </c>
      <c r="C1101" s="60">
        <f>OR(BR1101=Driver!$G$50,Data!BR1068=Driver!$H$50)</f>
        <v/>
      </c>
      <c r="D1101" s="60">
        <f>OR(BV1101=Driver!$G$51,BV1101=Driver!$H$51)</f>
        <v/>
      </c>
      <c r="E1101" s="60">
        <f>AND(BX1101&gt;Driver!$F$54,BX1101&lt;Driver!$G$54)</f>
        <v/>
      </c>
      <c r="F1101" s="60">
        <f>CL1101&gt;Driver!$F$56</f>
        <v/>
      </c>
      <c r="G1101" s="60">
        <f>AND(CB1101&gt;Driver!$F$55,CB1101&lt;Driver!$G$55)</f>
        <v/>
      </c>
      <c r="H1101" s="60">
        <f>AND(B1101:G1101)</f>
        <v/>
      </c>
      <c r="I1101" s="60">
        <f>COUNTIFS($H$9:$H$1273,TRUE,$BT$9:$BT$1273,BT1101)</f>
        <v/>
      </c>
      <c r="J1101" s="60">
        <f t="array" ref="J1101">NOT(OR(($H$9:$H$1273=TRUE)*($I$9:$I$1273&gt;0)*($BT$9:$BT$1273=BT1101)*($K$9:$K$1273&gt;K1101)))</f>
        <v/>
      </c>
      <c r="K1101" s="108">
        <f>IFERROR(1-AVERAGE(X1101:Y1101),"")</f>
        <v/>
      </c>
      <c r="L1101" s="108">
        <f>1-X1101</f>
        <v/>
      </c>
      <c r="M1101" s="108">
        <f>1-Y1101</f>
        <v/>
      </c>
      <c r="N1101" s="108">
        <f>1-Z1101</f>
        <v/>
      </c>
      <c r="O1101" s="108">
        <f>1-AA1101</f>
        <v/>
      </c>
      <c r="P1101" s="108">
        <f>1-AB1101</f>
        <v/>
      </c>
      <c r="Q1101" s="108" t="n"/>
      <c r="R1101" s="108" t="n"/>
      <c r="S1101" s="108">
        <f>1-AE1101</f>
        <v/>
      </c>
      <c r="T1101" s="108">
        <f>1-AF1101</f>
        <v/>
      </c>
      <c r="U1101" s="108">
        <f>1-AG1101</f>
        <v/>
      </c>
      <c r="V1101" s="108">
        <f>1-AH1101</f>
        <v/>
      </c>
      <c r="W1101" s="108">
        <f>1-AI1101</f>
        <v/>
      </c>
      <c r="X1101" s="108">
        <f>ABS(AJ1101-AJ$1)</f>
        <v/>
      </c>
      <c r="Y1101" s="108">
        <f>AVERAGE(Z1101:AB1101)</f>
        <v/>
      </c>
      <c r="Z1101" s="108">
        <f>ABS(AL1101-AL$1)</f>
        <v/>
      </c>
      <c r="AA1101" s="108">
        <f>ABS(AM1101-AM$1)</f>
        <v/>
      </c>
      <c r="AB1101" s="108">
        <f>ABS(AN1101-AN$1)</f>
        <v/>
      </c>
      <c r="AC1101" s="108" t="n"/>
      <c r="AD1101" s="108" t="n"/>
      <c r="AE1101" s="108">
        <f>ABS(AQ$1-AQ1101)</f>
        <v/>
      </c>
      <c r="AF1101" s="108">
        <f>ABS(AR$1-AR1101)</f>
        <v/>
      </c>
      <c r="AG1101" s="108">
        <f>ABS(AS$1-AS1101)</f>
        <v/>
      </c>
      <c r="AH1101" s="108">
        <f>ABS(AT$1-AT1101)</f>
        <v/>
      </c>
      <c r="AI1101" s="108">
        <f>ABS(AU$1-AU1101)</f>
        <v/>
      </c>
      <c r="AJ1101" s="108">
        <f>(AV1101-Driver!$K$179)/(Driver!$L$179-Driver!$K$179)</f>
        <v/>
      </c>
      <c r="AK1101" s="108">
        <f>(AW1101-Driver!$K$180)/(Driver!$L$180-Driver!$K$180)</f>
        <v/>
      </c>
      <c r="AL1101" s="108">
        <f>(AX1101-Driver!$K$181)/(Driver!$L$181-Driver!$K$181)</f>
        <v/>
      </c>
      <c r="AM1101" s="108">
        <f>(AY1101-Driver!$K$182)/(Driver!$L$182-Driver!$K$182)</f>
        <v/>
      </c>
      <c r="AN1101" s="108">
        <f>(AZ1101-Driver!$K$183)/(Driver!$L$183-Driver!$K$183)</f>
        <v/>
      </c>
      <c r="AO1101" s="108" t="n"/>
      <c r="AP1101" s="108" t="n"/>
      <c r="AQ1101" s="108">
        <f>(BC1101-Driver!$K$188)/(Driver!$L$188-Driver!$K$188)</f>
        <v/>
      </c>
      <c r="AR1101" s="108">
        <f>MIN((BD1101-Driver!$K$189)/(Driver!$L$189-Driver!$K$189),100%)</f>
        <v/>
      </c>
      <c r="AS1101" s="108">
        <f>(BE1101-Driver!$K$190)/(Driver!$L$190-Driver!$K$190)</f>
        <v/>
      </c>
      <c r="AT1101" s="108">
        <f>(BF1101-Driver!$K$191)/(Driver!$L$191-Driver!$K$191)</f>
        <v/>
      </c>
      <c r="AU1101" s="108">
        <f>(BG1101-Driver!$K$192)/(Driver!$L$192-Driver!$K$192)</f>
        <v/>
      </c>
      <c r="AV1101" s="105">
        <f>IFERROR(BM1101*BJ1101^1/4,"")</f>
        <v/>
      </c>
      <c r="AW1101" s="105">
        <f>IFERROR(SUM(AX1101:AZ1101),"")</f>
        <v/>
      </c>
      <c r="AX1101" s="105">
        <f>IFERROR(BH1101,"")</f>
        <v/>
      </c>
      <c r="AY1101" s="105">
        <f>IFERROR(Driver!$K$19/Data!BH1101/Data!BI1101*Data!BK1101*Data!BL1101,"")</f>
        <v/>
      </c>
      <c r="AZ1101" s="105">
        <f>IFERROR(BI1101*BN1101,"")</f>
        <v/>
      </c>
      <c r="BA1101" s="105" t="n"/>
      <c r="BB1101" s="105" t="n"/>
      <c r="BC1101" s="105">
        <f>IFERROR(BI1101*BN1101*BK1101/BJ1101^(1/2),"")</f>
        <v/>
      </c>
      <c r="BD1101" s="105">
        <f>IFERROR(BH1101*BM1101*BL1101/BJ1101/BK1101,"")</f>
        <v/>
      </c>
      <c r="BE1101" s="105">
        <f>IFERROR(MIN(BI1101/BQ1101/BP1101/BO1101/BH1101,$BE$1),"")</f>
        <v/>
      </c>
      <c r="BF1101" s="105">
        <f>IFERROR(BJ1101*BO1101*BP1101/BK1101,"")</f>
        <v/>
      </c>
      <c r="BG1101" s="105">
        <f>IFERROR(1/BM1101/BH1101*BQ1101,"")</f>
        <v/>
      </c>
      <c r="BH1101" s="102">
        <f>MAX((CE1101-Driver!$F$200)/(Driver!$G$200-Driver!$F$200)*$BI$1,1)</f>
        <v/>
      </c>
      <c r="BI1101" s="102">
        <f>MAX($BI$1*(BY1101-Driver!$F$201)/(Driver!$G$201-Driver!$F$201),1)</f>
        <v/>
      </c>
      <c r="BJ1101" s="102">
        <f>(CB1101-Driver!$F$206)/(Driver!$G$206-Driver!$F$206)*$BI$1</f>
        <v/>
      </c>
      <c r="BK1101" s="102">
        <f>(CD1101-Driver!$F$203)/(Driver!$G$203-Driver!$F$203)*$BI$1</f>
        <v/>
      </c>
      <c r="BL1101" s="102">
        <f>MAX((CR1101-Driver!$F$202)/(Driver!$G$202-Driver!$F$202)*$BI$1,1)</f>
        <v/>
      </c>
      <c r="BM1101" s="102">
        <f>MAX((CH1101-Driver!$F$204)/(Driver!$G$204-Driver!$F$204)*$BI$1,1)</f>
        <v/>
      </c>
      <c r="BN1101" s="102">
        <f>(CI1101-Driver!$F$205)/(Driver!$G$205-Driver!$F$205)*$BI$1</f>
        <v/>
      </c>
      <c r="BO1101" s="102">
        <f>(CK1101-Driver!$F$207)/(Driver!$G$207-Driver!$F$207)*$BI$1</f>
        <v/>
      </c>
      <c r="BP1101" s="102">
        <f>(CM1101-Driver!$F$208)/(Driver!$G$208-Driver!$F$208)*$BI$1</f>
        <v/>
      </c>
      <c r="BQ1101" s="102">
        <f>(CL1101-Driver!$F$209)/(Driver!$G$209-Driver!$F$209)*$BI$1</f>
        <v/>
      </c>
      <c r="BR1101" s="40" t="inlineStr">
        <is>
          <t>21/22</t>
        </is>
      </c>
      <c r="BS1101" s="10" t="inlineStr">
        <is>
          <t xml:space="preserve"> Salomon</t>
        </is>
      </c>
      <c r="BT1101" s="11" t="inlineStr">
        <is>
          <t>QST 106</t>
        </is>
      </c>
      <c r="BU1101" s="13" t="n">
        <v>188</v>
      </c>
      <c r="BV1101" s="11" t="inlineStr">
        <is>
          <t xml:space="preserve"> Unisex</t>
        </is>
      </c>
      <c r="BW1101" s="13" t="n">
        <v>188</v>
      </c>
      <c r="BX1101" s="13" t="n">
        <v>187.7</v>
      </c>
      <c r="BY1101" s="13" t="n">
        <v>113</v>
      </c>
      <c r="BZ1101" s="13" t="n">
        <v>157</v>
      </c>
      <c r="CA1101" s="13" t="n">
        <v>139</v>
      </c>
      <c r="CB1101" s="13" t="n">
        <v>104</v>
      </c>
      <c r="CC1101" s="13" t="n">
        <v>125</v>
      </c>
      <c r="CD1101" s="13" t="n">
        <v>21.5</v>
      </c>
      <c r="CE1101" s="13" t="n">
        <v>2224</v>
      </c>
      <c r="CF1101" s="13" t="n">
        <v>0.97</v>
      </c>
      <c r="CG1101" s="13" t="n">
        <v>2167</v>
      </c>
      <c r="CH1101" s="13" t="n">
        <v>279</v>
      </c>
      <c r="CI1101" s="13" t="n">
        <v>125</v>
      </c>
      <c r="CJ1101" s="13" t="n">
        <v>61</v>
      </c>
      <c r="CK1101" s="13" t="n">
        <v>432</v>
      </c>
      <c r="CL1101" s="13" t="n">
        <v>23</v>
      </c>
      <c r="CM1101" s="13" t="n">
        <v>315</v>
      </c>
      <c r="CN1101" s="13" t="n">
        <v>0.377</v>
      </c>
      <c r="CO1101" s="13" t="n">
        <v>183</v>
      </c>
      <c r="CP1101" s="13" t="n">
        <v>125</v>
      </c>
      <c r="CQ1101" s="13" t="n">
        <v>249</v>
      </c>
      <c r="CR1101" s="13" t="n">
        <v>6</v>
      </c>
      <c r="CS1101" s="13" t="n">
        <v>7.6</v>
      </c>
      <c r="CT1101" s="11" t="inlineStr">
        <is>
          <t xml:space="preserve"> Resort Freeride</t>
        </is>
      </c>
      <c r="CU1101" s="11" t="inlineStr">
        <is>
          <t xml:space="preserve"> Powder</t>
        </is>
      </c>
      <c r="CV1101" s="11" t="inlineStr">
        <is>
          <t xml:space="preserve"> Big Mountain</t>
        </is>
      </c>
      <c r="CW1101" s="13" t="n"/>
      <c r="CX1101">
        <f>INDEX('Data_Price '!AG$2:AG$1266,MATCH(Data!$DN1101,'Data_Price '!$AT$2:$AT$1266,0))</f>
        <v/>
      </c>
      <c r="CY1101">
        <f>INDEX('Data_Price '!AH$2:AH$1266,MATCH(Data!$DN1101,'Data_Price '!$AT$2:$AT$1266,0))</f>
        <v/>
      </c>
      <c r="CZ1101">
        <f>INDEX('Data_Price '!AI$2:AI$1266,MATCH(Data!$DN1101,'Data_Price '!$AT$2:$AT$1266,0))</f>
        <v/>
      </c>
      <c r="DA1101">
        <f>INDEX('Data_Price '!AJ$2:AJ$1266,MATCH(Data!$DN1101,'Data_Price '!$AT$2:$AT$1266,0))</f>
        <v/>
      </c>
      <c r="DB1101">
        <f>INDEX('Data_Price '!AK$2:AK$1266,MATCH(Data!$DN1101,'Data_Price '!$AT$2:$AT$1266,0))</f>
        <v/>
      </c>
      <c r="DC1101">
        <f>INDEX('Data_Price '!AL$2:AL$1266,MATCH(Data!$DN1101,'Data_Price '!$AT$2:$AT$1266,0))</f>
        <v/>
      </c>
      <c r="DD1101">
        <f>INDEX('Data_Price '!AM$2:AM$1266,MATCH(Data!$DN1101,'Data_Price '!$AT$2:$AT$1266,0))</f>
        <v/>
      </c>
      <c r="DE1101">
        <f>INDEX('Data_Price '!AN$2:AN$1266,MATCH(Data!$DN1101,'Data_Price '!$AT$2:$AT$1266,0))</f>
        <v/>
      </c>
      <c r="DF1101">
        <f>INDEX('Data_Price '!AO$2:AO$1266,MATCH(Data!$DN1101,'Data_Price '!$AT$2:$AT$1266,0))</f>
        <v/>
      </c>
      <c r="DG1101">
        <f>INDEX('Data_Price '!AP$2:AP$1266,MATCH(Data!$DN1101,'Data_Price '!$AT$2:$AT$1266,0))</f>
        <v/>
      </c>
      <c r="DH1101">
        <f>INDEX('Data_Price '!AQ$2:AQ$1266,MATCH(Data!$DN1101,'Data_Price '!$AT$2:$AT$1266,0))</f>
        <v/>
      </c>
      <c r="DI1101">
        <f>INDEX('Data_Price '!AR$2:AR$1266,MATCH(Data!$DN1101,'Data_Price '!$AT$2:$AT$1266,0))</f>
        <v/>
      </c>
      <c r="DJ1101" s="138">
        <f>DA1101</f>
        <v/>
      </c>
      <c r="DK1101" s="138">
        <f>DE1101</f>
        <v/>
      </c>
      <c r="DL1101" s="138">
        <f>DI1101</f>
        <v/>
      </c>
      <c r="DM1101" s="303">
        <f>IF(LEFT(BT1101,1)=" ",RIGHT(BT1101,LEN(BT1101)-1),BT1101)</f>
        <v/>
      </c>
      <c r="DN1101" s="138">
        <f>_xlfn.CONCAT(BS1101,DM1101,BU1101,BV1101)</f>
        <v/>
      </c>
      <c r="DO1101" s="307" t="inlineStr">
        <is>
          <t>https://images.evo.com/imgp/250/197272/812054/salomon-qst-106-skis-2022-.jpg</t>
        </is>
      </c>
    </row>
    <row r="1102" ht="15.6" customHeight="1" s="184">
      <c r="B1102" s="303">
        <f t="array" ref="B1102">IF(OR(ISERROR(K1102:P1102)),FALSE,TRUE)</f>
        <v/>
      </c>
      <c r="C1102" s="60">
        <f>OR(BR1102=Driver!$G$50,Data!BR1267=Driver!$H$50)</f>
        <v/>
      </c>
      <c r="D1102" s="60">
        <f>OR(BV1102=Driver!$G$51,BV1102=Driver!$H$51)</f>
        <v/>
      </c>
      <c r="E1102" s="60">
        <f>AND(BX1102&gt;Driver!$F$54,BX1102&lt;Driver!$G$54)</f>
        <v/>
      </c>
      <c r="F1102" s="60">
        <f>CL1102&gt;Driver!$F$56</f>
        <v/>
      </c>
      <c r="G1102" s="60">
        <f>AND(CB1102&gt;Driver!$F$55,CB1102&lt;Driver!$G$55)</f>
        <v/>
      </c>
      <c r="H1102" s="60">
        <f>AND(B1102:G1102)</f>
        <v/>
      </c>
      <c r="I1102" s="60">
        <f>COUNTIFS($H$9:$H$1273,TRUE,$BT$9:$BT$1273,BT1102)</f>
        <v/>
      </c>
      <c r="J1102" s="60">
        <f t="array" ref="J1102">NOT(OR(($H$9:$H$1273=TRUE)*($I$9:$I$1273&gt;0)*($BT$9:$BT$1273=BT1102)*($K$9:$K$1273&gt;K1102)))</f>
        <v/>
      </c>
      <c r="K1102" s="108">
        <f>IFERROR(1-AVERAGE(X1102:Y1102),"")</f>
        <v/>
      </c>
      <c r="L1102" s="108">
        <f>1-X1102</f>
        <v/>
      </c>
      <c r="M1102" s="108">
        <f>1-Y1102</f>
        <v/>
      </c>
      <c r="N1102" s="108">
        <f>1-Z1102</f>
        <v/>
      </c>
      <c r="O1102" s="108">
        <f>1-AA1102</f>
        <v/>
      </c>
      <c r="P1102" s="108">
        <f>1-AB1102</f>
        <v/>
      </c>
      <c r="Q1102" s="108" t="n"/>
      <c r="R1102" s="108" t="n"/>
      <c r="S1102" s="108">
        <f>1-AE1102</f>
        <v/>
      </c>
      <c r="T1102" s="108">
        <f>1-AF1102</f>
        <v/>
      </c>
      <c r="U1102" s="108">
        <f>1-AG1102</f>
        <v/>
      </c>
      <c r="V1102" s="108">
        <f>1-AH1102</f>
        <v/>
      </c>
      <c r="W1102" s="108">
        <f>1-AI1102</f>
        <v/>
      </c>
      <c r="X1102" s="108">
        <f>ABS(AJ1102-AJ$1)</f>
        <v/>
      </c>
      <c r="Y1102" s="108">
        <f>AVERAGE(Z1102:AB1102)</f>
        <v/>
      </c>
      <c r="Z1102" s="108">
        <f>ABS(AL1102-AL$1)</f>
        <v/>
      </c>
      <c r="AA1102" s="108">
        <f>ABS(AM1102-AM$1)</f>
        <v/>
      </c>
      <c r="AB1102" s="108">
        <f>ABS(AN1102-AN$1)</f>
        <v/>
      </c>
      <c r="AC1102" s="108" t="n"/>
      <c r="AD1102" s="108" t="n"/>
      <c r="AE1102" s="108">
        <f>ABS(AQ$1-AQ1102)</f>
        <v/>
      </c>
      <c r="AF1102" s="108">
        <f>ABS(AR$1-AR1102)</f>
        <v/>
      </c>
      <c r="AG1102" s="108">
        <f>ABS(AS$1-AS1102)</f>
        <v/>
      </c>
      <c r="AH1102" s="108">
        <f>ABS(AT$1-AT1102)</f>
        <v/>
      </c>
      <c r="AI1102" s="108">
        <f>ABS(AU$1-AU1102)</f>
        <v/>
      </c>
      <c r="AJ1102" s="108">
        <f>(AV1102-Driver!$K$179)/(Driver!$L$179-Driver!$K$179)</f>
        <v/>
      </c>
      <c r="AK1102" s="108">
        <f>(AW1102-Driver!$K$180)/(Driver!$L$180-Driver!$K$180)</f>
        <v/>
      </c>
      <c r="AL1102" s="108">
        <f>(AX1102-Driver!$K$181)/(Driver!$L$181-Driver!$K$181)</f>
        <v/>
      </c>
      <c r="AM1102" s="108">
        <f>(AY1102-Driver!$K$182)/(Driver!$L$182-Driver!$K$182)</f>
        <v/>
      </c>
      <c r="AN1102" s="108">
        <f>(AZ1102-Driver!$K$183)/(Driver!$L$183-Driver!$K$183)</f>
        <v/>
      </c>
      <c r="AO1102" s="108" t="n"/>
      <c r="AP1102" s="108" t="n"/>
      <c r="AQ1102" s="108">
        <f>(BC1102-Driver!$K$188)/(Driver!$L$188-Driver!$K$188)</f>
        <v/>
      </c>
      <c r="AR1102" s="108">
        <f>MIN((BD1102-Driver!$K$189)/(Driver!$L$189-Driver!$K$189),100%)</f>
        <v/>
      </c>
      <c r="AS1102" s="108">
        <f>(BE1102-Driver!$K$190)/(Driver!$L$190-Driver!$K$190)</f>
        <v/>
      </c>
      <c r="AT1102" s="108">
        <f>(BF1102-Driver!$K$191)/(Driver!$L$191-Driver!$K$191)</f>
        <v/>
      </c>
      <c r="AU1102" s="108">
        <f>(BG1102-Driver!$K$192)/(Driver!$L$192-Driver!$K$192)</f>
        <v/>
      </c>
      <c r="AV1102" s="105">
        <f>IFERROR(BM1102*BJ1102^1/4,"")</f>
        <v/>
      </c>
      <c r="AW1102" s="105">
        <f>IFERROR(SUM(AX1102:AZ1102),"")</f>
        <v/>
      </c>
      <c r="AX1102" s="105">
        <f>IFERROR(BH1102,"")</f>
        <v/>
      </c>
      <c r="AY1102" s="105">
        <f>IFERROR(Driver!$K$19/Data!BH1102/Data!BI1102*Data!BK1102*Data!BL1102,"")</f>
        <v/>
      </c>
      <c r="AZ1102" s="105">
        <f>IFERROR(BI1102*BN1102,"")</f>
        <v/>
      </c>
      <c r="BA1102" s="105" t="n"/>
      <c r="BB1102" s="105" t="n"/>
      <c r="BC1102" s="105">
        <f>IFERROR(BI1102*BN1102*BK1102/BJ1102^(1/2),"")</f>
        <v/>
      </c>
      <c r="BD1102" s="105">
        <f>IFERROR(BH1102*BM1102*BL1102/BJ1102/BK1102,"")</f>
        <v/>
      </c>
      <c r="BE1102" s="105">
        <f>IFERROR(MIN(BI1102/BQ1102/BP1102/BO1102/BH1102,$BE$1),"")</f>
        <v/>
      </c>
      <c r="BF1102" s="105">
        <f>IFERROR(BJ1102*BO1102*BP1102/BK1102,"")</f>
        <v/>
      </c>
      <c r="BG1102" s="105">
        <f>IFERROR(1/BM1102/BH1102*BQ1102,"")</f>
        <v/>
      </c>
      <c r="BH1102" s="102">
        <f>MAX((CE1102-Driver!$F$200)/(Driver!$G$200-Driver!$F$200)*$BI$1,1)</f>
        <v/>
      </c>
      <c r="BI1102" s="102">
        <f>MAX($BI$1*(BY1102-Driver!$F$201)/(Driver!$G$201-Driver!$F$201),1)</f>
        <v/>
      </c>
      <c r="BJ1102" s="102">
        <f>(CB1102-Driver!$F$206)/(Driver!$G$206-Driver!$F$206)*$BI$1</f>
        <v/>
      </c>
      <c r="BK1102" s="102">
        <f>(CD1102-Driver!$F$203)/(Driver!$G$203-Driver!$F$203)*$BI$1</f>
        <v/>
      </c>
      <c r="BL1102" s="102">
        <f>MAX((CR1102-Driver!$F$202)/(Driver!$G$202-Driver!$F$202)*$BI$1,1)</f>
        <v/>
      </c>
      <c r="BM1102" s="102">
        <f>MAX((CH1102-Driver!$F$204)/(Driver!$G$204-Driver!$F$204)*$BI$1,1)</f>
        <v/>
      </c>
      <c r="BN1102" s="102">
        <f>(CI1102-Driver!$F$205)/(Driver!$G$205-Driver!$F$205)*$BI$1</f>
        <v/>
      </c>
      <c r="BO1102" s="102">
        <f>(CK1102-Driver!$F$207)/(Driver!$G$207-Driver!$F$207)*$BI$1</f>
        <v/>
      </c>
      <c r="BP1102" s="102">
        <f>(CM1102-Driver!$F$208)/(Driver!$G$208-Driver!$F$208)*$BI$1</f>
        <v/>
      </c>
      <c r="BQ1102" s="102">
        <f>(CL1102-Driver!$F$209)/(Driver!$G$209-Driver!$F$209)*$BI$1</f>
        <v/>
      </c>
      <c r="BR1102" s="40" t="inlineStr">
        <is>
          <t>21/22</t>
        </is>
      </c>
      <c r="BS1102" s="10" t="inlineStr">
        <is>
          <t xml:space="preserve"> Völkl</t>
        </is>
      </c>
      <c r="BT1102" s="11" t="inlineStr">
        <is>
          <t>Yumi 80</t>
        </is>
      </c>
      <c r="BU1102" s="13" t="n">
        <v>154</v>
      </c>
      <c r="BV1102" s="11" t="inlineStr">
        <is>
          <t xml:space="preserve"> Women's</t>
        </is>
      </c>
      <c r="BW1102" s="13" t="n">
        <v>154</v>
      </c>
      <c r="BX1102" s="13" t="n">
        <v>156.4</v>
      </c>
      <c r="BY1102" s="13" t="n">
        <v>129</v>
      </c>
      <c r="BZ1102" s="13" t="n">
        <v>131</v>
      </c>
      <c r="CA1102" s="13" t="n">
        <v>120</v>
      </c>
      <c r="CB1102" s="13" t="n">
        <v>79</v>
      </c>
      <c r="CC1102" s="13" t="n">
        <v>102</v>
      </c>
      <c r="CD1102" s="13" t="n">
        <v>13.2</v>
      </c>
      <c r="CE1102" s="13" t="n">
        <v>1262</v>
      </c>
      <c r="CF1102" s="13" t="n">
        <v>1.14</v>
      </c>
      <c r="CG1102" s="13" t="n">
        <v>1445</v>
      </c>
      <c r="CH1102" s="13" t="n">
        <v>149</v>
      </c>
      <c r="CI1102" s="13" t="n">
        <v>62</v>
      </c>
      <c r="CJ1102" s="13" t="n">
        <v>41</v>
      </c>
      <c r="CK1102" s="13" t="n">
        <v>176</v>
      </c>
      <c r="CL1102" s="13" t="n">
        <v>13</v>
      </c>
      <c r="CM1102" s="13" t="n">
        <v>98</v>
      </c>
      <c r="CN1102" s="13" t="n">
        <v>0.311</v>
      </c>
      <c r="CO1102" s="13" t="n">
        <v>142</v>
      </c>
      <c r="CP1102" s="13" t="n">
        <v>108</v>
      </c>
      <c r="CQ1102" s="13" t="n">
        <v>34</v>
      </c>
      <c r="CR1102" s="13" t="n">
        <v>4</v>
      </c>
      <c r="CS1102" s="13" t="n">
        <v>11.4</v>
      </c>
      <c r="CT1102" s="11" t="inlineStr">
        <is>
          <t xml:space="preserve"> On-Piste All-Mountain</t>
        </is>
      </c>
      <c r="CU1102" s="11" t="inlineStr">
        <is>
          <t xml:space="preserve"> Touring</t>
        </is>
      </c>
      <c r="CV1102" s="13" t="n"/>
      <c r="CW1102" s="13" t="n"/>
      <c r="CX1102">
        <f>INDEX('Data_Price '!AG$2:AG$1266,MATCH(Data!$DN1102,'Data_Price '!$AT$2:$AT$1266,0))</f>
        <v/>
      </c>
      <c r="CY1102">
        <f>INDEX('Data_Price '!AH$2:AH$1266,MATCH(Data!$DN1102,'Data_Price '!$AT$2:$AT$1266,0))</f>
        <v/>
      </c>
      <c r="CZ1102">
        <f>INDEX('Data_Price '!AI$2:AI$1266,MATCH(Data!$DN1102,'Data_Price '!$AT$2:$AT$1266,0))</f>
        <v/>
      </c>
      <c r="DA1102">
        <f>INDEX('Data_Price '!AJ$2:AJ$1266,MATCH(Data!$DN1102,'Data_Price '!$AT$2:$AT$1266,0))</f>
        <v/>
      </c>
      <c r="DB1102">
        <f>INDEX('Data_Price '!AK$2:AK$1266,MATCH(Data!$DN1102,'Data_Price '!$AT$2:$AT$1266,0))</f>
        <v/>
      </c>
      <c r="DC1102">
        <f>INDEX('Data_Price '!AL$2:AL$1266,MATCH(Data!$DN1102,'Data_Price '!$AT$2:$AT$1266,0))</f>
        <v/>
      </c>
      <c r="DD1102">
        <f>INDEX('Data_Price '!AM$2:AM$1266,MATCH(Data!$DN1102,'Data_Price '!$AT$2:$AT$1266,0))</f>
        <v/>
      </c>
      <c r="DE1102">
        <f>INDEX('Data_Price '!AN$2:AN$1266,MATCH(Data!$DN1102,'Data_Price '!$AT$2:$AT$1266,0))</f>
        <v/>
      </c>
      <c r="DF1102">
        <f>INDEX('Data_Price '!AO$2:AO$1266,MATCH(Data!$DN1102,'Data_Price '!$AT$2:$AT$1266,0))</f>
        <v/>
      </c>
      <c r="DG1102">
        <f>INDEX('Data_Price '!AP$2:AP$1266,MATCH(Data!$DN1102,'Data_Price '!$AT$2:$AT$1266,0))</f>
        <v/>
      </c>
      <c r="DH1102">
        <f>INDEX('Data_Price '!AQ$2:AQ$1266,MATCH(Data!$DN1102,'Data_Price '!$AT$2:$AT$1266,0))</f>
        <v/>
      </c>
      <c r="DI1102">
        <f>INDEX('Data_Price '!AR$2:AR$1266,MATCH(Data!$DN1102,'Data_Price '!$AT$2:$AT$1266,0))</f>
        <v/>
      </c>
      <c r="DJ1102" s="138">
        <f>DA1102</f>
        <v/>
      </c>
      <c r="DK1102" s="138">
        <f>DE1102</f>
        <v/>
      </c>
      <c r="DL1102" s="138">
        <f>DI1102</f>
        <v/>
      </c>
      <c r="DM1102" s="303">
        <f>IF(LEFT(BT1102,1)=" ",RIGHT(BT1102,LEN(BT1102)-1),BT1102)</f>
        <v/>
      </c>
      <c r="DN1102" s="138">
        <f>_xlfn.CONCAT(BS1102,DM1102,BU1102,BV1102)</f>
        <v/>
      </c>
      <c r="DO1102" s="307" t="n"/>
    </row>
    <row r="1103" ht="15.6" customHeight="1" s="184">
      <c r="B1103" s="303">
        <f t="array" ref="B1103">IF(OR(ISERROR(K1103:P1103)),FALSE,TRUE)</f>
        <v/>
      </c>
      <c r="C1103" s="60">
        <f>OR(BR1103=Driver!$G$50,Data!BR1251=Driver!$H$50)</f>
        <v/>
      </c>
      <c r="D1103" s="60">
        <f>OR(BV1103=Driver!$G$51,BV1103=Driver!$H$51)</f>
        <v/>
      </c>
      <c r="E1103" s="60">
        <f>AND(BX1103&gt;Driver!$F$54,BX1103&lt;Driver!$G$54)</f>
        <v/>
      </c>
      <c r="F1103" s="60">
        <f>CL1103&gt;Driver!$F$56</f>
        <v/>
      </c>
      <c r="G1103" s="60">
        <f>AND(CB1103&gt;Driver!$F$55,CB1103&lt;Driver!$G$55)</f>
        <v/>
      </c>
      <c r="H1103" s="60">
        <f>AND(B1103:G1103)</f>
        <v/>
      </c>
      <c r="I1103" s="60">
        <f>COUNTIFS($H$9:$H$1273,TRUE,$BT$9:$BT$1273,BT1103)</f>
        <v/>
      </c>
      <c r="J1103" s="60">
        <f t="array" ref="J1103">NOT(OR(($H$9:$H$1273=TRUE)*($I$9:$I$1273&gt;0)*($BT$9:$BT$1273=BT1103)*($K$9:$K$1273&gt;K1103)))</f>
        <v/>
      </c>
      <c r="K1103" s="108">
        <f>IFERROR(1-AVERAGE(X1103:Y1103),"")</f>
        <v/>
      </c>
      <c r="L1103" s="108">
        <f>1-X1103</f>
        <v/>
      </c>
      <c r="M1103" s="108">
        <f>1-Y1103</f>
        <v/>
      </c>
      <c r="N1103" s="108">
        <f>1-Z1103</f>
        <v/>
      </c>
      <c r="O1103" s="108">
        <f>1-AA1103</f>
        <v/>
      </c>
      <c r="P1103" s="108">
        <f>1-AB1103</f>
        <v/>
      </c>
      <c r="Q1103" s="108" t="n"/>
      <c r="R1103" s="108" t="n"/>
      <c r="S1103" s="108">
        <f>1-AE1103</f>
        <v/>
      </c>
      <c r="T1103" s="108">
        <f>1-AF1103</f>
        <v/>
      </c>
      <c r="U1103" s="108">
        <f>1-AG1103</f>
        <v/>
      </c>
      <c r="V1103" s="108">
        <f>1-AH1103</f>
        <v/>
      </c>
      <c r="W1103" s="108">
        <f>1-AI1103</f>
        <v/>
      </c>
      <c r="X1103" s="108">
        <f>ABS(AJ1103-AJ$1)</f>
        <v/>
      </c>
      <c r="Y1103" s="108">
        <f>AVERAGE(Z1103:AB1103)</f>
        <v/>
      </c>
      <c r="Z1103" s="108">
        <f>ABS(AL1103-AL$1)</f>
        <v/>
      </c>
      <c r="AA1103" s="108">
        <f>ABS(AM1103-AM$1)</f>
        <v/>
      </c>
      <c r="AB1103" s="108">
        <f>ABS(AN1103-AN$1)</f>
        <v/>
      </c>
      <c r="AC1103" s="108" t="n"/>
      <c r="AD1103" s="108" t="n"/>
      <c r="AE1103" s="108">
        <f>ABS(AQ$1-AQ1103)</f>
        <v/>
      </c>
      <c r="AF1103" s="108">
        <f>ABS(AR$1-AR1103)</f>
        <v/>
      </c>
      <c r="AG1103" s="108">
        <f>ABS(AS$1-AS1103)</f>
        <v/>
      </c>
      <c r="AH1103" s="108">
        <f>ABS(AT$1-AT1103)</f>
        <v/>
      </c>
      <c r="AI1103" s="108">
        <f>ABS(AU$1-AU1103)</f>
        <v/>
      </c>
      <c r="AJ1103" s="108">
        <f>(AV1103-Driver!$K$179)/(Driver!$L$179-Driver!$K$179)</f>
        <v/>
      </c>
      <c r="AK1103" s="108">
        <f>(AW1103-Driver!$K$180)/(Driver!$L$180-Driver!$K$180)</f>
        <v/>
      </c>
      <c r="AL1103" s="108">
        <f>(AX1103-Driver!$K$181)/(Driver!$L$181-Driver!$K$181)</f>
        <v/>
      </c>
      <c r="AM1103" s="108">
        <f>(AY1103-Driver!$K$182)/(Driver!$L$182-Driver!$K$182)</f>
        <v/>
      </c>
      <c r="AN1103" s="108">
        <f>(AZ1103-Driver!$K$183)/(Driver!$L$183-Driver!$K$183)</f>
        <v/>
      </c>
      <c r="AO1103" s="108" t="n"/>
      <c r="AP1103" s="108" t="n"/>
      <c r="AQ1103" s="108">
        <f>(BC1103-Driver!$K$188)/(Driver!$L$188-Driver!$K$188)</f>
        <v/>
      </c>
      <c r="AR1103" s="108">
        <f>MIN((BD1103-Driver!$K$189)/(Driver!$L$189-Driver!$K$189),100%)</f>
        <v/>
      </c>
      <c r="AS1103" s="108">
        <f>(BE1103-Driver!$K$190)/(Driver!$L$190-Driver!$K$190)</f>
        <v/>
      </c>
      <c r="AT1103" s="108">
        <f>(BF1103-Driver!$K$191)/(Driver!$L$191-Driver!$K$191)</f>
        <v/>
      </c>
      <c r="AU1103" s="108">
        <f>(BG1103-Driver!$K$192)/(Driver!$L$192-Driver!$K$192)</f>
        <v/>
      </c>
      <c r="AV1103" s="105">
        <f>IFERROR(BM1103*BJ1103^1/4,"")</f>
        <v/>
      </c>
      <c r="AW1103" s="105">
        <f>IFERROR(SUM(AX1103:AZ1103),"")</f>
        <v/>
      </c>
      <c r="AX1103" s="105">
        <f>IFERROR(BH1103,"")</f>
        <v/>
      </c>
      <c r="AY1103" s="105">
        <f>IFERROR(Driver!$K$19/Data!BH1103/Data!BI1103*Data!BK1103*Data!BL1103,"")</f>
        <v/>
      </c>
      <c r="AZ1103" s="105">
        <f>IFERROR(BI1103*BN1103,"")</f>
        <v/>
      </c>
      <c r="BA1103" s="105" t="n"/>
      <c r="BB1103" s="105" t="n"/>
      <c r="BC1103" s="105">
        <f>IFERROR(BI1103*BN1103*BK1103/BJ1103^(1/2),"")</f>
        <v/>
      </c>
      <c r="BD1103" s="105">
        <f>IFERROR(BH1103*BM1103*BL1103/BJ1103/BK1103,"")</f>
        <v/>
      </c>
      <c r="BE1103" s="105">
        <f>IFERROR(MIN(BI1103/BQ1103/BP1103/BO1103/BH1103,$BE$1),"")</f>
        <v/>
      </c>
      <c r="BF1103" s="105">
        <f>IFERROR(BJ1103*BO1103*BP1103/BK1103,"")</f>
        <v/>
      </c>
      <c r="BG1103" s="105">
        <f>IFERROR(1/BM1103/BH1103*BQ1103,"")</f>
        <v/>
      </c>
      <c r="BH1103" s="102">
        <f>MAX((CE1103-Driver!$F$200)/(Driver!$G$200-Driver!$F$200)*$BI$1,1)</f>
        <v/>
      </c>
      <c r="BI1103" s="102">
        <f>MAX($BI$1*(BY1103-Driver!$F$201)/(Driver!$G$201-Driver!$F$201),1)</f>
        <v/>
      </c>
      <c r="BJ1103" s="102">
        <f>(CB1103-Driver!$F$206)/(Driver!$G$206-Driver!$F$206)*$BI$1</f>
        <v/>
      </c>
      <c r="BK1103" s="102">
        <f>(CD1103-Driver!$F$203)/(Driver!$G$203-Driver!$F$203)*$BI$1</f>
        <v/>
      </c>
      <c r="BL1103" s="102">
        <f>MAX((CR1103-Driver!$F$202)/(Driver!$G$202-Driver!$F$202)*$BI$1,1)</f>
        <v/>
      </c>
      <c r="BM1103" s="102">
        <f>MAX((CH1103-Driver!$F$204)/(Driver!$G$204-Driver!$F$204)*$BI$1,1)</f>
        <v/>
      </c>
      <c r="BN1103" s="102">
        <f>(CI1103-Driver!$F$205)/(Driver!$G$205-Driver!$F$205)*$BI$1</f>
        <v/>
      </c>
      <c r="BO1103" s="102">
        <f>(CK1103-Driver!$F$207)/(Driver!$G$207-Driver!$F$207)*$BI$1</f>
        <v/>
      </c>
      <c r="BP1103" s="102">
        <f>(CM1103-Driver!$F$208)/(Driver!$G$208-Driver!$F$208)*$BI$1</f>
        <v/>
      </c>
      <c r="BQ1103" s="102">
        <f>(CL1103-Driver!$F$209)/(Driver!$G$209-Driver!$F$209)*$BI$1</f>
        <v/>
      </c>
      <c r="BR1103" s="40" t="inlineStr">
        <is>
          <t>21/22</t>
        </is>
      </c>
      <c r="BS1103" s="10" t="inlineStr">
        <is>
          <t xml:space="preserve"> Völkl</t>
        </is>
      </c>
      <c r="BT1103" s="11" t="inlineStr">
        <is>
          <t>Rise Beyond 96</t>
        </is>
      </c>
      <c r="BU1103" s="13" t="n">
        <v>163</v>
      </c>
      <c r="BV1103" s="11" t="inlineStr">
        <is>
          <t xml:space="preserve"> Unisex</t>
        </is>
      </c>
      <c r="BW1103" s="13" t="n">
        <v>163</v>
      </c>
      <c r="BX1103" s="13" t="n">
        <v>162</v>
      </c>
      <c r="BY1103" s="13" t="n">
        <v>126</v>
      </c>
      <c r="BZ1103" s="13" t="n">
        <v>140</v>
      </c>
      <c r="CA1103" s="13" t="n">
        <v>137</v>
      </c>
      <c r="CB1103" s="13" t="n">
        <v>95</v>
      </c>
      <c r="CC1103" s="13" t="n">
        <v>118</v>
      </c>
      <c r="CD1103" s="13" t="n">
        <v>14.4</v>
      </c>
      <c r="CE1103" s="13" t="n">
        <v>1158</v>
      </c>
      <c r="CF1103" s="13" t="n">
        <v>1.51</v>
      </c>
      <c r="CG1103" s="13" t="n">
        <v>1751</v>
      </c>
      <c r="CH1103" s="13" t="n">
        <v>143</v>
      </c>
      <c r="CI1103" s="13" t="n">
        <v>67</v>
      </c>
      <c r="CJ1103" s="13" t="n">
        <v>38</v>
      </c>
      <c r="CK1103" s="13" t="n">
        <v>292</v>
      </c>
      <c r="CL1103" s="13" t="n">
        <v>5</v>
      </c>
      <c r="CM1103" s="13" t="n">
        <v>67</v>
      </c>
      <c r="CN1103" s="13" t="n">
        <v>0.129</v>
      </c>
      <c r="CO1103" s="13" t="n">
        <v>129</v>
      </c>
      <c r="CP1103" s="13" t="n">
        <v>93</v>
      </c>
      <c r="CQ1103" s="13" t="n">
        <v>162</v>
      </c>
      <c r="CR1103" s="13" t="n">
        <v>3</v>
      </c>
      <c r="CS1103" s="13" t="n">
        <v>11.6</v>
      </c>
      <c r="CT1103" s="11" t="inlineStr">
        <is>
          <t xml:space="preserve"> Touring</t>
        </is>
      </c>
      <c r="CU1103" s="11" t="inlineStr">
        <is>
          <t xml:space="preserve"> Ultralight Touring</t>
        </is>
      </c>
      <c r="CV1103" s="13" t="n"/>
      <c r="CW1103" s="13" t="n"/>
      <c r="CX1103">
        <f>INDEX('Data_Price '!AG$2:AG$1266,MATCH(Data!$DN1103,'Data_Price '!$AT$2:$AT$1266,0))</f>
        <v/>
      </c>
      <c r="CY1103">
        <f>INDEX('Data_Price '!AH$2:AH$1266,MATCH(Data!$DN1103,'Data_Price '!$AT$2:$AT$1266,0))</f>
        <v/>
      </c>
      <c r="CZ1103">
        <f>INDEX('Data_Price '!AI$2:AI$1266,MATCH(Data!$DN1103,'Data_Price '!$AT$2:$AT$1266,0))</f>
        <v/>
      </c>
      <c r="DA1103">
        <f>INDEX('Data_Price '!AJ$2:AJ$1266,MATCH(Data!$DN1103,'Data_Price '!$AT$2:$AT$1266,0))</f>
        <v/>
      </c>
      <c r="DB1103">
        <f>INDEX('Data_Price '!AK$2:AK$1266,MATCH(Data!$DN1103,'Data_Price '!$AT$2:$AT$1266,0))</f>
        <v/>
      </c>
      <c r="DC1103">
        <f>INDEX('Data_Price '!AL$2:AL$1266,MATCH(Data!$DN1103,'Data_Price '!$AT$2:$AT$1266,0))</f>
        <v/>
      </c>
      <c r="DD1103">
        <f>INDEX('Data_Price '!AM$2:AM$1266,MATCH(Data!$DN1103,'Data_Price '!$AT$2:$AT$1266,0))</f>
        <v/>
      </c>
      <c r="DE1103">
        <f>INDEX('Data_Price '!AN$2:AN$1266,MATCH(Data!$DN1103,'Data_Price '!$AT$2:$AT$1266,0))</f>
        <v/>
      </c>
      <c r="DF1103">
        <f>INDEX('Data_Price '!AO$2:AO$1266,MATCH(Data!$DN1103,'Data_Price '!$AT$2:$AT$1266,0))</f>
        <v/>
      </c>
      <c r="DG1103">
        <f>INDEX('Data_Price '!AP$2:AP$1266,MATCH(Data!$DN1103,'Data_Price '!$AT$2:$AT$1266,0))</f>
        <v/>
      </c>
      <c r="DH1103">
        <f>INDEX('Data_Price '!AQ$2:AQ$1266,MATCH(Data!$DN1103,'Data_Price '!$AT$2:$AT$1266,0))</f>
        <v/>
      </c>
      <c r="DI1103">
        <f>INDEX('Data_Price '!AR$2:AR$1266,MATCH(Data!$DN1103,'Data_Price '!$AT$2:$AT$1266,0))</f>
        <v/>
      </c>
      <c r="DJ1103" s="138">
        <f>DA1103</f>
        <v/>
      </c>
      <c r="DK1103" s="138">
        <f>DE1103</f>
        <v/>
      </c>
      <c r="DL1103" s="138">
        <f>DI1103</f>
        <v/>
      </c>
      <c r="DM1103" s="303">
        <f>IF(LEFT(BT1103,1)=" ",RIGHT(BT1103,LEN(BT1103)-1),BT1103)</f>
        <v/>
      </c>
      <c r="DN1103" s="138">
        <f>_xlfn.CONCAT(BS1103,DM1103,BU1103,BV1103)</f>
        <v/>
      </c>
      <c r="DO1103" s="307" t="n"/>
    </row>
    <row r="1104" ht="15.6" customHeight="1" s="184">
      <c r="B1104" s="303">
        <f t="array" ref="B1104">IF(OR(ISERROR(K1104:P1104)),FALSE,TRUE)</f>
        <v/>
      </c>
      <c r="C1104" s="60">
        <f>OR(BR1104=Driver!$G$50,Data!BR1220=Driver!$H$50)</f>
        <v/>
      </c>
      <c r="D1104" s="60">
        <f>OR(BV1104=Driver!$G$51,BV1104=Driver!$H$51)</f>
        <v/>
      </c>
      <c r="E1104" s="60">
        <f>AND(BX1104&gt;Driver!$F$54,BX1104&lt;Driver!$G$54)</f>
        <v/>
      </c>
      <c r="F1104" s="60">
        <f>CL1104&gt;Driver!$F$56</f>
        <v/>
      </c>
      <c r="G1104" s="60">
        <f>AND(CB1104&gt;Driver!$F$55,CB1104&lt;Driver!$G$55)</f>
        <v/>
      </c>
      <c r="H1104" s="60">
        <f>AND(B1104:G1104)</f>
        <v/>
      </c>
      <c r="I1104" s="60">
        <f>COUNTIFS($H$9:$H$1273,TRUE,$BT$9:$BT$1273,BT1104)</f>
        <v/>
      </c>
      <c r="J1104" s="60">
        <f t="array" ref="J1104">NOT(OR(($H$9:$H$1273=TRUE)*($I$9:$I$1273&gt;0)*($BT$9:$BT$1273=BT1104)*($K$9:$K$1273&gt;K1104)))</f>
        <v/>
      </c>
      <c r="K1104" s="108">
        <f>IFERROR(1-AVERAGE(X1104:Y1104),"")</f>
        <v/>
      </c>
      <c r="L1104" s="108">
        <f>1-X1104</f>
        <v/>
      </c>
      <c r="M1104" s="108">
        <f>1-Y1104</f>
        <v/>
      </c>
      <c r="N1104" s="108">
        <f>1-Z1104</f>
        <v/>
      </c>
      <c r="O1104" s="108">
        <f>1-AA1104</f>
        <v/>
      </c>
      <c r="P1104" s="108">
        <f>1-AB1104</f>
        <v/>
      </c>
      <c r="Q1104" s="108" t="n"/>
      <c r="R1104" s="108" t="n"/>
      <c r="S1104" s="108">
        <f>1-AE1104</f>
        <v/>
      </c>
      <c r="T1104" s="108">
        <f>1-AF1104</f>
        <v/>
      </c>
      <c r="U1104" s="108">
        <f>1-AG1104</f>
        <v/>
      </c>
      <c r="V1104" s="108">
        <f>1-AH1104</f>
        <v/>
      </c>
      <c r="W1104" s="108">
        <f>1-AI1104</f>
        <v/>
      </c>
      <c r="X1104" s="108">
        <f>ABS(AJ1104-AJ$1)</f>
        <v/>
      </c>
      <c r="Y1104" s="108">
        <f>AVERAGE(Z1104:AB1104)</f>
        <v/>
      </c>
      <c r="Z1104" s="108">
        <f>ABS(AL1104-AL$1)</f>
        <v/>
      </c>
      <c r="AA1104" s="108">
        <f>ABS(AM1104-AM$1)</f>
        <v/>
      </c>
      <c r="AB1104" s="108">
        <f>ABS(AN1104-AN$1)</f>
        <v/>
      </c>
      <c r="AC1104" s="108" t="n"/>
      <c r="AD1104" s="108" t="n"/>
      <c r="AE1104" s="108">
        <f>ABS(AQ$1-AQ1104)</f>
        <v/>
      </c>
      <c r="AF1104" s="108">
        <f>ABS(AR$1-AR1104)</f>
        <v/>
      </c>
      <c r="AG1104" s="108">
        <f>ABS(AS$1-AS1104)</f>
        <v/>
      </c>
      <c r="AH1104" s="108">
        <f>ABS(AT$1-AT1104)</f>
        <v/>
      </c>
      <c r="AI1104" s="108">
        <f>ABS(AU$1-AU1104)</f>
        <v/>
      </c>
      <c r="AJ1104" s="108">
        <f>(AV1104-Driver!$K$179)/(Driver!$L$179-Driver!$K$179)</f>
        <v/>
      </c>
      <c r="AK1104" s="108">
        <f>(AW1104-Driver!$K$180)/(Driver!$L$180-Driver!$K$180)</f>
        <v/>
      </c>
      <c r="AL1104" s="108">
        <f>(AX1104-Driver!$K$181)/(Driver!$L$181-Driver!$K$181)</f>
        <v/>
      </c>
      <c r="AM1104" s="108">
        <f>(AY1104-Driver!$K$182)/(Driver!$L$182-Driver!$K$182)</f>
        <v/>
      </c>
      <c r="AN1104" s="108">
        <f>(AZ1104-Driver!$K$183)/(Driver!$L$183-Driver!$K$183)</f>
        <v/>
      </c>
      <c r="AO1104" s="108" t="n"/>
      <c r="AP1104" s="108" t="n"/>
      <c r="AQ1104" s="108">
        <f>(BC1104-Driver!$K$188)/(Driver!$L$188-Driver!$K$188)</f>
        <v/>
      </c>
      <c r="AR1104" s="108">
        <f>MIN((BD1104-Driver!$K$189)/(Driver!$L$189-Driver!$K$189),100%)</f>
        <v/>
      </c>
      <c r="AS1104" s="108">
        <f>(BE1104-Driver!$K$190)/(Driver!$L$190-Driver!$K$190)</f>
        <v/>
      </c>
      <c r="AT1104" s="108">
        <f>(BF1104-Driver!$K$191)/(Driver!$L$191-Driver!$K$191)</f>
        <v/>
      </c>
      <c r="AU1104" s="108">
        <f>(BG1104-Driver!$K$192)/(Driver!$L$192-Driver!$K$192)</f>
        <v/>
      </c>
      <c r="AV1104" s="105">
        <f>IFERROR(BM1104*BJ1104^1/4,"")</f>
        <v/>
      </c>
      <c r="AW1104" s="105">
        <f>IFERROR(SUM(AX1104:AZ1104),"")</f>
        <v/>
      </c>
      <c r="AX1104" s="105">
        <f>IFERROR(BH1104,"")</f>
        <v/>
      </c>
      <c r="AY1104" s="105">
        <f>IFERROR(Driver!$K$19/Data!BH1104/Data!BI1104*Data!BK1104*Data!BL1104,"")</f>
        <v/>
      </c>
      <c r="AZ1104" s="105">
        <f>IFERROR(BI1104*BN1104,"")</f>
        <v/>
      </c>
      <c r="BA1104" s="105" t="n"/>
      <c r="BB1104" s="105" t="n"/>
      <c r="BC1104" s="105">
        <f>IFERROR(BI1104*BN1104*BK1104/BJ1104^(1/2),"")</f>
        <v/>
      </c>
      <c r="BD1104" s="105">
        <f>IFERROR(BH1104*BM1104*BL1104/BJ1104/BK1104,"")</f>
        <v/>
      </c>
      <c r="BE1104" s="105">
        <f>IFERROR(MIN(BI1104/BQ1104/BP1104/BO1104/BH1104,$BE$1),"")</f>
        <v/>
      </c>
      <c r="BF1104" s="105">
        <f>IFERROR(BJ1104*BO1104*BP1104/BK1104,"")</f>
        <v/>
      </c>
      <c r="BG1104" s="105">
        <f>IFERROR(1/BM1104/BH1104*BQ1104,"")</f>
        <v/>
      </c>
      <c r="BH1104" s="102">
        <f>MAX((CE1104-Driver!$F$200)/(Driver!$G$200-Driver!$F$200)*$BI$1,1)</f>
        <v/>
      </c>
      <c r="BI1104" s="102">
        <f>MAX($BI$1*(BY1104-Driver!$F$201)/(Driver!$G$201-Driver!$F$201),1)</f>
        <v/>
      </c>
      <c r="BJ1104" s="102">
        <f>(CB1104-Driver!$F$206)/(Driver!$G$206-Driver!$F$206)*$BI$1</f>
        <v/>
      </c>
      <c r="BK1104" s="102">
        <f>(CD1104-Driver!$F$203)/(Driver!$G$203-Driver!$F$203)*$BI$1</f>
        <v/>
      </c>
      <c r="BL1104" s="102">
        <f>MAX((CR1104-Driver!$F$202)/(Driver!$G$202-Driver!$F$202)*$BI$1,1)</f>
        <v/>
      </c>
      <c r="BM1104" s="102">
        <f>MAX((CH1104-Driver!$F$204)/(Driver!$G$204-Driver!$F$204)*$BI$1,1)</f>
        <v/>
      </c>
      <c r="BN1104" s="102">
        <f>(CI1104-Driver!$F$205)/(Driver!$G$205-Driver!$F$205)*$BI$1</f>
        <v/>
      </c>
      <c r="BO1104" s="102">
        <f>(CK1104-Driver!$F$207)/(Driver!$G$207-Driver!$F$207)*$BI$1</f>
        <v/>
      </c>
      <c r="BP1104" s="102">
        <f>(CM1104-Driver!$F$208)/(Driver!$G$208-Driver!$F$208)*$BI$1</f>
        <v/>
      </c>
      <c r="BQ1104" s="102">
        <f>(CL1104-Driver!$F$209)/(Driver!$G$209-Driver!$F$209)*$BI$1</f>
        <v/>
      </c>
      <c r="BR1104" s="40" t="inlineStr">
        <is>
          <t>21/22</t>
        </is>
      </c>
      <c r="BS1104" s="10" t="inlineStr">
        <is>
          <t xml:space="preserve"> Völkl</t>
        </is>
      </c>
      <c r="BT1104" s="11" t="inlineStr">
        <is>
          <t>M6 Mantra</t>
        </is>
      </c>
      <c r="BU1104" s="13" t="n">
        <v>191</v>
      </c>
      <c r="BV1104" s="11" t="inlineStr">
        <is>
          <t xml:space="preserve"> Unisex</t>
        </is>
      </c>
      <c r="BW1104" s="13" t="n">
        <v>191</v>
      </c>
      <c r="BX1104" s="13" t="n">
        <v>190.4</v>
      </c>
      <c r="BY1104" s="13" t="n">
        <v>140</v>
      </c>
      <c r="BZ1104" s="13" t="n">
        <v>168</v>
      </c>
      <c r="CA1104" s="13" t="n">
        <v>134</v>
      </c>
      <c r="CB1104" s="13" t="n">
        <v>95</v>
      </c>
      <c r="CC1104" s="13" t="n">
        <v>118</v>
      </c>
      <c r="CD1104" s="13" t="n">
        <v>22</v>
      </c>
      <c r="CE1104" s="13" t="n">
        <v>2238</v>
      </c>
      <c r="CF1104" s="13" t="n">
        <v>0.91</v>
      </c>
      <c r="CG1104" s="13" t="n">
        <v>2046</v>
      </c>
      <c r="CH1104" s="13" t="n">
        <v>230</v>
      </c>
      <c r="CI1104" s="13" t="n">
        <v>148</v>
      </c>
      <c r="CJ1104" s="13" t="n">
        <v>45</v>
      </c>
      <c r="CK1104" s="13" t="n">
        <v>283</v>
      </c>
      <c r="CL1104" s="13" t="n">
        <v>17</v>
      </c>
      <c r="CM1104" s="13" t="n">
        <v>225</v>
      </c>
      <c r="CN1104" s="13" t="n">
        <v>0.38</v>
      </c>
      <c r="CO1104" s="13" t="n">
        <v>126</v>
      </c>
      <c r="CP1104" s="13" t="n">
        <v>102</v>
      </c>
      <c r="CQ1104" s="13" t="n">
        <v>157</v>
      </c>
      <c r="CR1104" s="13" t="n">
        <v>5</v>
      </c>
      <c r="CS1104" s="13" t="n">
        <v>11.1</v>
      </c>
      <c r="CT1104" s="11" t="inlineStr">
        <is>
          <t xml:space="preserve"> Resort Freeride</t>
        </is>
      </c>
      <c r="CU1104" s="13" t="n"/>
      <c r="CV1104" s="13" t="n"/>
      <c r="CW1104" s="13" t="n"/>
      <c r="CX1104">
        <f>INDEX('Data_Price '!AG$2:AG$1266,MATCH(Data!$DN1104,'Data_Price '!$AT$2:$AT$1266,0))</f>
        <v/>
      </c>
      <c r="CY1104">
        <f>INDEX('Data_Price '!AH$2:AH$1266,MATCH(Data!$DN1104,'Data_Price '!$AT$2:$AT$1266,0))</f>
        <v/>
      </c>
      <c r="CZ1104">
        <f>INDEX('Data_Price '!AI$2:AI$1266,MATCH(Data!$DN1104,'Data_Price '!$AT$2:$AT$1266,0))</f>
        <v/>
      </c>
      <c r="DA1104">
        <f>INDEX('Data_Price '!AJ$2:AJ$1266,MATCH(Data!$DN1104,'Data_Price '!$AT$2:$AT$1266,0))</f>
        <v/>
      </c>
      <c r="DB1104">
        <f>INDEX('Data_Price '!AK$2:AK$1266,MATCH(Data!$DN1104,'Data_Price '!$AT$2:$AT$1266,0))</f>
        <v/>
      </c>
      <c r="DC1104">
        <f>INDEX('Data_Price '!AL$2:AL$1266,MATCH(Data!$DN1104,'Data_Price '!$AT$2:$AT$1266,0))</f>
        <v/>
      </c>
      <c r="DD1104">
        <f>INDEX('Data_Price '!AM$2:AM$1266,MATCH(Data!$DN1104,'Data_Price '!$AT$2:$AT$1266,0))</f>
        <v/>
      </c>
      <c r="DE1104">
        <f>INDEX('Data_Price '!AN$2:AN$1266,MATCH(Data!$DN1104,'Data_Price '!$AT$2:$AT$1266,0))</f>
        <v/>
      </c>
      <c r="DF1104">
        <f>INDEX('Data_Price '!AO$2:AO$1266,MATCH(Data!$DN1104,'Data_Price '!$AT$2:$AT$1266,0))</f>
        <v/>
      </c>
      <c r="DG1104">
        <f>INDEX('Data_Price '!AP$2:AP$1266,MATCH(Data!$DN1104,'Data_Price '!$AT$2:$AT$1266,0))</f>
        <v/>
      </c>
      <c r="DH1104">
        <f>INDEX('Data_Price '!AQ$2:AQ$1266,MATCH(Data!$DN1104,'Data_Price '!$AT$2:$AT$1266,0))</f>
        <v/>
      </c>
      <c r="DI1104">
        <f>INDEX('Data_Price '!AR$2:AR$1266,MATCH(Data!$DN1104,'Data_Price '!$AT$2:$AT$1266,0))</f>
        <v/>
      </c>
      <c r="DJ1104" s="138">
        <f>DA1104</f>
        <v/>
      </c>
      <c r="DK1104" s="138">
        <f>DE1104</f>
        <v/>
      </c>
      <c r="DL1104" s="138">
        <f>DI1104</f>
        <v/>
      </c>
      <c r="DM1104" s="303">
        <f>IF(LEFT(BT1104,1)=" ",RIGHT(BT1104,LEN(BT1104)-1),BT1104)</f>
        <v/>
      </c>
      <c r="DN1104" s="138">
        <f>_xlfn.CONCAT(BS1104,DM1104,BU1104,BV1104)</f>
        <v/>
      </c>
      <c r="DO1104" s="307" t="inlineStr">
        <is>
          <t>https://images.evo.com/imgp/250/201958/795901/volkl-m6-mantra-skis-2022-.jpg</t>
        </is>
      </c>
    </row>
    <row r="1105" ht="15.6" customHeight="1" s="184">
      <c r="B1105" s="303">
        <f t="array" ref="B1105">IF(OR(ISERROR(K1105:P1105)),FALSE,TRUE)</f>
        <v/>
      </c>
      <c r="C1105" s="60">
        <f>OR(BR1105=Driver!$G$50,Data!BR1091=Driver!$H$50)</f>
        <v/>
      </c>
      <c r="D1105" s="60">
        <f>OR(BV1105=Driver!$G$51,BV1105=Driver!$H$51)</f>
        <v/>
      </c>
      <c r="E1105" s="60">
        <f>AND(BX1105&gt;Driver!$F$54,BX1105&lt;Driver!$G$54)</f>
        <v/>
      </c>
      <c r="F1105" s="60">
        <f>CL1105&gt;Driver!$F$56</f>
        <v/>
      </c>
      <c r="G1105" s="60">
        <f>AND(CB1105&gt;Driver!$F$55,CB1105&lt;Driver!$G$55)</f>
        <v/>
      </c>
      <c r="H1105" s="60">
        <f>AND(B1105:G1105)</f>
        <v/>
      </c>
      <c r="I1105" s="60">
        <f>COUNTIFS($H$9:$H$1273,TRUE,$BT$9:$BT$1273,BT1105)</f>
        <v/>
      </c>
      <c r="J1105" s="60">
        <f t="array" ref="J1105">NOT(OR(($H$9:$H$1273=TRUE)*($I$9:$I$1273&gt;0)*($BT$9:$BT$1273=BT1105)*($K$9:$K$1273&gt;K1105)))</f>
        <v/>
      </c>
      <c r="K1105" s="108">
        <f>IFERROR(1-AVERAGE(X1105:Y1105),"")</f>
        <v/>
      </c>
      <c r="L1105" s="108">
        <f>1-X1105</f>
        <v/>
      </c>
      <c r="M1105" s="108">
        <f>1-Y1105</f>
        <v/>
      </c>
      <c r="N1105" s="108">
        <f>1-Z1105</f>
        <v/>
      </c>
      <c r="O1105" s="108">
        <f>1-AA1105</f>
        <v/>
      </c>
      <c r="P1105" s="108">
        <f>1-AB1105</f>
        <v/>
      </c>
      <c r="Q1105" s="108" t="n"/>
      <c r="R1105" s="108" t="n"/>
      <c r="S1105" s="108">
        <f>1-AE1105</f>
        <v/>
      </c>
      <c r="T1105" s="108">
        <f>1-AF1105</f>
        <v/>
      </c>
      <c r="U1105" s="108">
        <f>1-AG1105</f>
        <v/>
      </c>
      <c r="V1105" s="108">
        <f>1-AH1105</f>
        <v/>
      </c>
      <c r="W1105" s="108">
        <f>1-AI1105</f>
        <v/>
      </c>
      <c r="X1105" s="108">
        <f>ABS(AJ1105-AJ$1)</f>
        <v/>
      </c>
      <c r="Y1105" s="108">
        <f>AVERAGE(Z1105:AB1105)</f>
        <v/>
      </c>
      <c r="Z1105" s="108">
        <f>ABS(AL1105-AL$1)</f>
        <v/>
      </c>
      <c r="AA1105" s="108">
        <f>ABS(AM1105-AM$1)</f>
        <v/>
      </c>
      <c r="AB1105" s="108">
        <f>ABS(AN1105-AN$1)</f>
        <v/>
      </c>
      <c r="AC1105" s="108" t="n"/>
      <c r="AD1105" s="108" t="n"/>
      <c r="AE1105" s="108">
        <f>ABS(AQ$1-AQ1105)</f>
        <v/>
      </c>
      <c r="AF1105" s="108">
        <f>ABS(AR$1-AR1105)</f>
        <v/>
      </c>
      <c r="AG1105" s="108">
        <f>ABS(AS$1-AS1105)</f>
        <v/>
      </c>
      <c r="AH1105" s="108">
        <f>ABS(AT$1-AT1105)</f>
        <v/>
      </c>
      <c r="AI1105" s="108">
        <f>ABS(AU$1-AU1105)</f>
        <v/>
      </c>
      <c r="AJ1105" s="108">
        <f>(AV1105-Driver!$K$179)/(Driver!$L$179-Driver!$K$179)</f>
        <v/>
      </c>
      <c r="AK1105" s="108">
        <f>(AW1105-Driver!$K$180)/(Driver!$L$180-Driver!$K$180)</f>
        <v/>
      </c>
      <c r="AL1105" s="108">
        <f>(AX1105-Driver!$K$181)/(Driver!$L$181-Driver!$K$181)</f>
        <v/>
      </c>
      <c r="AM1105" s="108">
        <f>(AY1105-Driver!$K$182)/(Driver!$L$182-Driver!$K$182)</f>
        <v/>
      </c>
      <c r="AN1105" s="108">
        <f>(AZ1105-Driver!$K$183)/(Driver!$L$183-Driver!$K$183)</f>
        <v/>
      </c>
      <c r="AO1105" s="108" t="n"/>
      <c r="AP1105" s="108" t="n"/>
      <c r="AQ1105" s="108">
        <f>(BC1105-Driver!$K$188)/(Driver!$L$188-Driver!$K$188)</f>
        <v/>
      </c>
      <c r="AR1105" s="108">
        <f>MIN((BD1105-Driver!$K$189)/(Driver!$L$189-Driver!$K$189),100%)</f>
        <v/>
      </c>
      <c r="AS1105" s="108">
        <f>(BE1105-Driver!$K$190)/(Driver!$L$190-Driver!$K$190)</f>
        <v/>
      </c>
      <c r="AT1105" s="108">
        <f>(BF1105-Driver!$K$191)/(Driver!$L$191-Driver!$K$191)</f>
        <v/>
      </c>
      <c r="AU1105" s="108">
        <f>(BG1105-Driver!$K$192)/(Driver!$L$192-Driver!$K$192)</f>
        <v/>
      </c>
      <c r="AV1105" s="105">
        <f>IFERROR(BM1105*BJ1105^1/4,"")</f>
        <v/>
      </c>
      <c r="AW1105" s="105">
        <f>IFERROR(SUM(AX1105:AZ1105),"")</f>
        <v/>
      </c>
      <c r="AX1105" s="105">
        <f>IFERROR(BH1105,"")</f>
        <v/>
      </c>
      <c r="AY1105" s="105">
        <f>IFERROR(Driver!$K$19/Data!BH1105/Data!BI1105*Data!BK1105*Data!BL1105,"")</f>
        <v/>
      </c>
      <c r="AZ1105" s="105">
        <f>IFERROR(BI1105*BN1105,"")</f>
        <v/>
      </c>
      <c r="BA1105" s="105" t="n"/>
      <c r="BB1105" s="105" t="n"/>
      <c r="BC1105" s="105">
        <f>IFERROR(BI1105*BN1105*BK1105/BJ1105^(1/2),"")</f>
        <v/>
      </c>
      <c r="BD1105" s="105">
        <f>IFERROR(BH1105*BM1105*BL1105/BJ1105/BK1105,"")</f>
        <v/>
      </c>
      <c r="BE1105" s="105">
        <f>IFERROR(MIN(BI1105/BQ1105/BP1105/BO1105/BH1105,$BE$1),"")</f>
        <v/>
      </c>
      <c r="BF1105" s="105">
        <f>IFERROR(BJ1105*BO1105*BP1105/BK1105,"")</f>
        <v/>
      </c>
      <c r="BG1105" s="105">
        <f>IFERROR(1/BM1105/BH1105*BQ1105,"")</f>
        <v/>
      </c>
      <c r="BH1105" s="102">
        <f>MAX((CE1105-Driver!$F$200)/(Driver!$G$200-Driver!$F$200)*$BI$1,1)</f>
        <v/>
      </c>
      <c r="BI1105" s="102">
        <f>MAX($BI$1*(BY1105-Driver!$F$201)/(Driver!$G$201-Driver!$F$201),1)</f>
        <v/>
      </c>
      <c r="BJ1105" s="102">
        <f>(CB1105-Driver!$F$206)/(Driver!$G$206-Driver!$F$206)*$BI$1</f>
        <v/>
      </c>
      <c r="BK1105" s="102">
        <f>(CD1105-Driver!$F$203)/(Driver!$G$203-Driver!$F$203)*$BI$1</f>
        <v/>
      </c>
      <c r="BL1105" s="102">
        <f>MAX((CR1105-Driver!$F$202)/(Driver!$G$202-Driver!$F$202)*$BI$1,1)</f>
        <v/>
      </c>
      <c r="BM1105" s="102">
        <f>MAX((CH1105-Driver!$F$204)/(Driver!$G$204-Driver!$F$204)*$BI$1,1)</f>
        <v/>
      </c>
      <c r="BN1105" s="102">
        <f>(CI1105-Driver!$F$205)/(Driver!$G$205-Driver!$F$205)*$BI$1</f>
        <v/>
      </c>
      <c r="BO1105" s="102">
        <f>(CK1105-Driver!$F$207)/(Driver!$G$207-Driver!$F$207)*$BI$1</f>
        <v/>
      </c>
      <c r="BP1105" s="102">
        <f>(CM1105-Driver!$F$208)/(Driver!$G$208-Driver!$F$208)*$BI$1</f>
        <v/>
      </c>
      <c r="BQ1105" s="102">
        <f>(CL1105-Driver!$F$209)/(Driver!$G$209-Driver!$F$209)*$BI$1</f>
        <v/>
      </c>
      <c r="BR1105" s="40" t="inlineStr">
        <is>
          <t>21/22</t>
        </is>
      </c>
      <c r="BS1105" s="10" t="inlineStr">
        <is>
          <t xml:space="preserve"> Salomon</t>
        </is>
      </c>
      <c r="BT1105" s="11" t="inlineStr">
        <is>
          <t>S/Force 80Ti</t>
        </is>
      </c>
      <c r="BU1105" s="13" t="n">
        <v>163</v>
      </c>
      <c r="BV1105" s="11" t="inlineStr">
        <is>
          <t xml:space="preserve"> Unisex</t>
        </is>
      </c>
      <c r="BW1105" s="13" t="n">
        <v>163</v>
      </c>
      <c r="BX1105" s="13" t="n">
        <v>162</v>
      </c>
      <c r="BY1105" s="13" t="n">
        <v>140</v>
      </c>
      <c r="BZ1105" s="13" t="n">
        <v>149</v>
      </c>
      <c r="CA1105" s="13" t="n">
        <v>127</v>
      </c>
      <c r="CB1105" s="13" t="n">
        <v>80</v>
      </c>
      <c r="CC1105" s="13" t="n">
        <v>111</v>
      </c>
      <c r="CD1105" s="13" t="n">
        <v>14</v>
      </c>
      <c r="CE1105" s="13" t="n">
        <v>2091</v>
      </c>
      <c r="CF1105" s="13" t="n">
        <v>0.74</v>
      </c>
      <c r="CG1105" s="13" t="n">
        <v>1549</v>
      </c>
      <c r="CH1105" s="13" t="n">
        <v>186</v>
      </c>
      <c r="CI1105" s="13" t="n">
        <v>125</v>
      </c>
      <c r="CJ1105" s="13" t="n">
        <v>43</v>
      </c>
      <c r="CK1105" s="13" t="n">
        <v>169</v>
      </c>
      <c r="CL1105" s="13" t="n">
        <v>4</v>
      </c>
      <c r="CM1105" s="13" t="n">
        <v>53</v>
      </c>
      <c r="CN1105" s="13" t="n">
        <v>0.103</v>
      </c>
      <c r="CO1105" s="13" t="n">
        <v>87</v>
      </c>
      <c r="CP1105" s="13" t="n">
        <v>40</v>
      </c>
      <c r="CQ1105" s="13" t="n">
        <v>82</v>
      </c>
      <c r="CR1105" s="13" t="n">
        <v>11</v>
      </c>
      <c r="CS1105" s="13" t="n">
        <v>11.7</v>
      </c>
      <c r="CT1105" s="11" t="inlineStr">
        <is>
          <t xml:space="preserve"> On-Piste Carving</t>
        </is>
      </c>
      <c r="CU1105" s="11" t="inlineStr">
        <is>
          <t xml:space="preserve"> Resort Freeride</t>
        </is>
      </c>
      <c r="CV1105" s="13" t="n"/>
      <c r="CW1105" s="13" t="n"/>
      <c r="CX1105">
        <f>INDEX('Data_Price '!AG$2:AG$1266,MATCH(Data!$DN1105,'Data_Price '!$AT$2:$AT$1266,0))</f>
        <v/>
      </c>
      <c r="CY1105">
        <f>INDEX('Data_Price '!AH$2:AH$1266,MATCH(Data!$DN1105,'Data_Price '!$AT$2:$AT$1266,0))</f>
        <v/>
      </c>
      <c r="CZ1105">
        <f>INDEX('Data_Price '!AI$2:AI$1266,MATCH(Data!$DN1105,'Data_Price '!$AT$2:$AT$1266,0))</f>
        <v/>
      </c>
      <c r="DA1105">
        <f>INDEX('Data_Price '!AJ$2:AJ$1266,MATCH(Data!$DN1105,'Data_Price '!$AT$2:$AT$1266,0))</f>
        <v/>
      </c>
      <c r="DB1105">
        <f>INDEX('Data_Price '!AK$2:AK$1266,MATCH(Data!$DN1105,'Data_Price '!$AT$2:$AT$1266,0))</f>
        <v/>
      </c>
      <c r="DC1105">
        <f>INDEX('Data_Price '!AL$2:AL$1266,MATCH(Data!$DN1105,'Data_Price '!$AT$2:$AT$1266,0))</f>
        <v/>
      </c>
      <c r="DD1105">
        <f>INDEX('Data_Price '!AM$2:AM$1266,MATCH(Data!$DN1105,'Data_Price '!$AT$2:$AT$1266,0))</f>
        <v/>
      </c>
      <c r="DE1105">
        <f>INDEX('Data_Price '!AN$2:AN$1266,MATCH(Data!$DN1105,'Data_Price '!$AT$2:$AT$1266,0))</f>
        <v/>
      </c>
      <c r="DF1105">
        <f>INDEX('Data_Price '!AO$2:AO$1266,MATCH(Data!$DN1105,'Data_Price '!$AT$2:$AT$1266,0))</f>
        <v/>
      </c>
      <c r="DG1105">
        <f>INDEX('Data_Price '!AP$2:AP$1266,MATCH(Data!$DN1105,'Data_Price '!$AT$2:$AT$1266,0))</f>
        <v/>
      </c>
      <c r="DH1105">
        <f>INDEX('Data_Price '!AQ$2:AQ$1266,MATCH(Data!$DN1105,'Data_Price '!$AT$2:$AT$1266,0))</f>
        <v/>
      </c>
      <c r="DI1105">
        <f>INDEX('Data_Price '!AR$2:AR$1266,MATCH(Data!$DN1105,'Data_Price '!$AT$2:$AT$1266,0))</f>
        <v/>
      </c>
      <c r="DJ1105" s="138">
        <f>DA1105</f>
        <v/>
      </c>
      <c r="DK1105" s="138">
        <f>DE1105</f>
        <v/>
      </c>
      <c r="DL1105" s="138">
        <f>DI1105</f>
        <v/>
      </c>
      <c r="DM1105" s="303">
        <f>IF(LEFT(BT1105,1)=" ",RIGHT(BT1105,LEN(BT1105)-1),BT1105)</f>
        <v/>
      </c>
      <c r="DN1105" s="138">
        <f>_xlfn.CONCAT(BS1105,DM1105,BU1105,BV1105)</f>
        <v/>
      </c>
      <c r="DO1105" s="307" t="n"/>
    </row>
    <row r="1106" ht="15.6" customHeight="1" s="184">
      <c r="B1106" s="303">
        <f t="array" ref="B1106">IF(OR(ISERROR(K1106:P1106)),FALSE,TRUE)</f>
        <v/>
      </c>
      <c r="C1106" s="60">
        <f>OR(BR1106=Driver!$G$50,Data!BR1203=Driver!$H$50)</f>
        <v/>
      </c>
      <c r="D1106" s="60">
        <f>OR(BV1106=Driver!$G$51,BV1106=Driver!$H$51)</f>
        <v/>
      </c>
      <c r="E1106" s="60">
        <f>AND(BX1106&gt;Driver!$F$54,BX1106&lt;Driver!$G$54)</f>
        <v/>
      </c>
      <c r="F1106" s="60">
        <f>CL1106&gt;Driver!$F$56</f>
        <v/>
      </c>
      <c r="G1106" s="60">
        <f>AND(CB1106&gt;Driver!$F$55,CB1106&lt;Driver!$G$55)</f>
        <v/>
      </c>
      <c r="H1106" s="60">
        <f>AND(B1106:G1106)</f>
        <v/>
      </c>
      <c r="I1106" s="60">
        <f>COUNTIFS($H$9:$H$1273,TRUE,$BT$9:$BT$1273,BT1106)</f>
        <v/>
      </c>
      <c r="J1106" s="60">
        <f t="array" ref="J1106">NOT(OR(($H$9:$H$1273=TRUE)*($I$9:$I$1273&gt;0)*($BT$9:$BT$1273=BT1106)*($K$9:$K$1273&gt;K1106)))</f>
        <v/>
      </c>
      <c r="K1106" s="108">
        <f>IFERROR(1-AVERAGE(X1106:Y1106),"")</f>
        <v/>
      </c>
      <c r="L1106" s="108">
        <f>1-X1106</f>
        <v/>
      </c>
      <c r="M1106" s="108">
        <f>1-Y1106</f>
        <v/>
      </c>
      <c r="N1106" s="108">
        <f>1-Z1106</f>
        <v/>
      </c>
      <c r="O1106" s="108">
        <f>1-AA1106</f>
        <v/>
      </c>
      <c r="P1106" s="108">
        <f>1-AB1106</f>
        <v/>
      </c>
      <c r="Q1106" s="108" t="n"/>
      <c r="R1106" s="108" t="n"/>
      <c r="S1106" s="108">
        <f>1-AE1106</f>
        <v/>
      </c>
      <c r="T1106" s="108">
        <f>1-AF1106</f>
        <v/>
      </c>
      <c r="U1106" s="108">
        <f>1-AG1106</f>
        <v/>
      </c>
      <c r="V1106" s="108">
        <f>1-AH1106</f>
        <v/>
      </c>
      <c r="W1106" s="108">
        <f>1-AI1106</f>
        <v/>
      </c>
      <c r="X1106" s="108">
        <f>ABS(AJ1106-AJ$1)</f>
        <v/>
      </c>
      <c r="Y1106" s="108">
        <f>AVERAGE(Z1106:AB1106)</f>
        <v/>
      </c>
      <c r="Z1106" s="108">
        <f>ABS(AL1106-AL$1)</f>
        <v/>
      </c>
      <c r="AA1106" s="108">
        <f>ABS(AM1106-AM$1)</f>
        <v/>
      </c>
      <c r="AB1106" s="108">
        <f>ABS(AN1106-AN$1)</f>
        <v/>
      </c>
      <c r="AC1106" s="108" t="n"/>
      <c r="AD1106" s="108" t="n"/>
      <c r="AE1106" s="108">
        <f>ABS(AQ$1-AQ1106)</f>
        <v/>
      </c>
      <c r="AF1106" s="108">
        <f>ABS(AR$1-AR1106)</f>
        <v/>
      </c>
      <c r="AG1106" s="108">
        <f>ABS(AS$1-AS1106)</f>
        <v/>
      </c>
      <c r="AH1106" s="108">
        <f>ABS(AT$1-AT1106)</f>
        <v/>
      </c>
      <c r="AI1106" s="108">
        <f>ABS(AU$1-AU1106)</f>
        <v/>
      </c>
      <c r="AJ1106" s="108">
        <f>(AV1106-Driver!$K$179)/(Driver!$L$179-Driver!$K$179)</f>
        <v/>
      </c>
      <c r="AK1106" s="108">
        <f>(AW1106-Driver!$K$180)/(Driver!$L$180-Driver!$K$180)</f>
        <v/>
      </c>
      <c r="AL1106" s="108">
        <f>(AX1106-Driver!$K$181)/(Driver!$L$181-Driver!$K$181)</f>
        <v/>
      </c>
      <c r="AM1106" s="108">
        <f>(AY1106-Driver!$K$182)/(Driver!$L$182-Driver!$K$182)</f>
        <v/>
      </c>
      <c r="AN1106" s="108">
        <f>(AZ1106-Driver!$K$183)/(Driver!$L$183-Driver!$K$183)</f>
        <v/>
      </c>
      <c r="AO1106" s="108" t="n"/>
      <c r="AP1106" s="108" t="n"/>
      <c r="AQ1106" s="108">
        <f>(BC1106-Driver!$K$188)/(Driver!$L$188-Driver!$K$188)</f>
        <v/>
      </c>
      <c r="AR1106" s="108">
        <f>MIN((BD1106-Driver!$K$189)/(Driver!$L$189-Driver!$K$189),100%)</f>
        <v/>
      </c>
      <c r="AS1106" s="108">
        <f>(BE1106-Driver!$K$190)/(Driver!$L$190-Driver!$K$190)</f>
        <v/>
      </c>
      <c r="AT1106" s="108">
        <f>(BF1106-Driver!$K$191)/(Driver!$L$191-Driver!$K$191)</f>
        <v/>
      </c>
      <c r="AU1106" s="108">
        <f>(BG1106-Driver!$K$192)/(Driver!$L$192-Driver!$K$192)</f>
        <v/>
      </c>
      <c r="AV1106" s="105">
        <f>IFERROR(BM1106*BJ1106^1/4,"")</f>
        <v/>
      </c>
      <c r="AW1106" s="105">
        <f>IFERROR(SUM(AX1106:AZ1106),"")</f>
        <v/>
      </c>
      <c r="AX1106" s="105">
        <f>IFERROR(BH1106,"")</f>
        <v/>
      </c>
      <c r="AY1106" s="105">
        <f>IFERROR(Driver!$K$19/Data!BH1106/Data!BI1106*Data!BK1106*Data!BL1106,"")</f>
        <v/>
      </c>
      <c r="AZ1106" s="105">
        <f>IFERROR(BI1106*BN1106,"")</f>
        <v/>
      </c>
      <c r="BA1106" s="105" t="n"/>
      <c r="BB1106" s="105" t="n"/>
      <c r="BC1106" s="105">
        <f>IFERROR(BI1106*BN1106*BK1106/BJ1106^(1/2),"")</f>
        <v/>
      </c>
      <c r="BD1106" s="105">
        <f>IFERROR(BH1106*BM1106*BL1106/BJ1106/BK1106,"")</f>
        <v/>
      </c>
      <c r="BE1106" s="105">
        <f>IFERROR(MIN(BI1106/BQ1106/BP1106/BO1106/BH1106,$BE$1),"")</f>
        <v/>
      </c>
      <c r="BF1106" s="105">
        <f>IFERROR(BJ1106*BO1106*BP1106/BK1106,"")</f>
        <v/>
      </c>
      <c r="BG1106" s="105">
        <f>IFERROR(1/BM1106/BH1106*BQ1106,"")</f>
        <v/>
      </c>
      <c r="BH1106" s="102">
        <f>MAX((CE1106-Driver!$F$200)/(Driver!$G$200-Driver!$F$200)*$BI$1,1)</f>
        <v/>
      </c>
      <c r="BI1106" s="102">
        <f>MAX($BI$1*(BY1106-Driver!$F$201)/(Driver!$G$201-Driver!$F$201),1)</f>
        <v/>
      </c>
      <c r="BJ1106" s="102">
        <f>(CB1106-Driver!$F$206)/(Driver!$G$206-Driver!$F$206)*$BI$1</f>
        <v/>
      </c>
      <c r="BK1106" s="102">
        <f>(CD1106-Driver!$F$203)/(Driver!$G$203-Driver!$F$203)*$BI$1</f>
        <v/>
      </c>
      <c r="BL1106" s="102">
        <f>MAX((CR1106-Driver!$F$202)/(Driver!$G$202-Driver!$F$202)*$BI$1,1)</f>
        <v/>
      </c>
      <c r="BM1106" s="102">
        <f>MAX((CH1106-Driver!$F$204)/(Driver!$G$204-Driver!$F$204)*$BI$1,1)</f>
        <v/>
      </c>
      <c r="BN1106" s="102">
        <f>(CI1106-Driver!$F$205)/(Driver!$G$205-Driver!$F$205)*$BI$1</f>
        <v/>
      </c>
      <c r="BO1106" s="102">
        <f>(CK1106-Driver!$F$207)/(Driver!$G$207-Driver!$F$207)*$BI$1</f>
        <v/>
      </c>
      <c r="BP1106" s="102">
        <f>(CM1106-Driver!$F$208)/(Driver!$G$208-Driver!$F$208)*$BI$1</f>
        <v/>
      </c>
      <c r="BQ1106" s="102">
        <f>(CL1106-Driver!$F$209)/(Driver!$G$209-Driver!$F$209)*$BI$1</f>
        <v/>
      </c>
      <c r="BR1106" s="40" t="inlineStr">
        <is>
          <t>21/22</t>
        </is>
      </c>
      <c r="BS1106" s="10" t="inlineStr">
        <is>
          <t xml:space="preserve"> Völkl</t>
        </is>
      </c>
      <c r="BT1106" s="11" t="inlineStr">
        <is>
          <t>Katana 108</t>
        </is>
      </c>
      <c r="BU1106" s="13" t="n">
        <v>170</v>
      </c>
      <c r="BV1106" s="11" t="inlineStr">
        <is>
          <t xml:space="preserve"> Unisex</t>
        </is>
      </c>
      <c r="BW1106" s="13" t="n">
        <v>170</v>
      </c>
      <c r="BX1106" s="13" t="n">
        <v>170.7</v>
      </c>
      <c r="BY1106" s="13" t="n">
        <v>114</v>
      </c>
      <c r="BZ1106" s="13" t="n">
        <v>147</v>
      </c>
      <c r="CA1106" s="13" t="n">
        <v>145</v>
      </c>
      <c r="CB1106" s="13" t="n">
        <v>107</v>
      </c>
      <c r="CC1106" s="13" t="n">
        <v>128</v>
      </c>
      <c r="CD1106" s="13" t="n">
        <v>17.5</v>
      </c>
      <c r="CE1106" s="13" t="n">
        <v>2106</v>
      </c>
      <c r="CF1106" s="13" t="n">
        <v>0.96</v>
      </c>
      <c r="CG1106" s="13" t="n">
        <v>2025</v>
      </c>
      <c r="CH1106" s="13" t="n">
        <v>232</v>
      </c>
      <c r="CI1106" s="13" t="n">
        <v>158</v>
      </c>
      <c r="CJ1106" s="13" t="n">
        <v>52</v>
      </c>
      <c r="CK1106" s="13" t="n">
        <v>337</v>
      </c>
      <c r="CL1106" s="13" t="n">
        <v>17</v>
      </c>
      <c r="CM1106" s="13" t="n">
        <v>228</v>
      </c>
      <c r="CN1106" s="13" t="n">
        <v>0.327</v>
      </c>
      <c r="CO1106" s="13" t="n">
        <v>136</v>
      </c>
      <c r="CP1106" s="13" t="n">
        <v>100</v>
      </c>
      <c r="CQ1106" s="13" t="n">
        <v>201</v>
      </c>
      <c r="CR1106" s="13" t="n">
        <v>3</v>
      </c>
      <c r="CS1106" s="13" t="n">
        <v>11.7</v>
      </c>
      <c r="CT1106" s="11" t="inlineStr">
        <is>
          <t xml:space="preserve"> Big Mountain</t>
        </is>
      </c>
      <c r="CU1106" s="13" t="n"/>
      <c r="CV1106" s="13" t="n"/>
      <c r="CW1106" s="13" t="n"/>
      <c r="CX1106">
        <f>INDEX('Data_Price '!AG$2:AG$1266,MATCH(Data!$DN1106,'Data_Price '!$AT$2:$AT$1266,0))</f>
        <v/>
      </c>
      <c r="CY1106">
        <f>INDEX('Data_Price '!AH$2:AH$1266,MATCH(Data!$DN1106,'Data_Price '!$AT$2:$AT$1266,0))</f>
        <v/>
      </c>
      <c r="CZ1106">
        <f>INDEX('Data_Price '!AI$2:AI$1266,MATCH(Data!$DN1106,'Data_Price '!$AT$2:$AT$1266,0))</f>
        <v/>
      </c>
      <c r="DA1106">
        <f>INDEX('Data_Price '!AJ$2:AJ$1266,MATCH(Data!$DN1106,'Data_Price '!$AT$2:$AT$1266,0))</f>
        <v/>
      </c>
      <c r="DB1106">
        <f>INDEX('Data_Price '!AK$2:AK$1266,MATCH(Data!$DN1106,'Data_Price '!$AT$2:$AT$1266,0))</f>
        <v/>
      </c>
      <c r="DC1106">
        <f>INDEX('Data_Price '!AL$2:AL$1266,MATCH(Data!$DN1106,'Data_Price '!$AT$2:$AT$1266,0))</f>
        <v/>
      </c>
      <c r="DD1106">
        <f>INDEX('Data_Price '!AM$2:AM$1266,MATCH(Data!$DN1106,'Data_Price '!$AT$2:$AT$1266,0))</f>
        <v/>
      </c>
      <c r="DE1106">
        <f>INDEX('Data_Price '!AN$2:AN$1266,MATCH(Data!$DN1106,'Data_Price '!$AT$2:$AT$1266,0))</f>
        <v/>
      </c>
      <c r="DF1106">
        <f>INDEX('Data_Price '!AO$2:AO$1266,MATCH(Data!$DN1106,'Data_Price '!$AT$2:$AT$1266,0))</f>
        <v/>
      </c>
      <c r="DG1106">
        <f>INDEX('Data_Price '!AP$2:AP$1266,MATCH(Data!$DN1106,'Data_Price '!$AT$2:$AT$1266,0))</f>
        <v/>
      </c>
      <c r="DH1106">
        <f>INDEX('Data_Price '!AQ$2:AQ$1266,MATCH(Data!$DN1106,'Data_Price '!$AT$2:$AT$1266,0))</f>
        <v/>
      </c>
      <c r="DI1106">
        <f>INDEX('Data_Price '!AR$2:AR$1266,MATCH(Data!$DN1106,'Data_Price '!$AT$2:$AT$1266,0))</f>
        <v/>
      </c>
      <c r="DJ1106" s="138">
        <f>DA1106</f>
        <v/>
      </c>
      <c r="DK1106" s="138">
        <f>DE1106</f>
        <v/>
      </c>
      <c r="DL1106" s="138">
        <f>DI1106</f>
        <v/>
      </c>
      <c r="DM1106" s="303">
        <f>IF(LEFT(BT1106,1)=" ",RIGHT(BT1106,LEN(BT1106)-1),BT1106)</f>
        <v/>
      </c>
      <c r="DN1106" s="138">
        <f>_xlfn.CONCAT(BS1106,DM1106,BU1106,BV1106)</f>
        <v/>
      </c>
      <c r="DO1106" s="307" t="inlineStr">
        <is>
          <t>https://images.evo.com/imgp/250/208359/837590/volkl-katana-108-skis-2022-.jpg</t>
        </is>
      </c>
    </row>
    <row r="1107" ht="15.6" customHeight="1" s="184">
      <c r="B1107" s="303">
        <f t="array" ref="B1107">IF(OR(ISERROR(K1107:P1107)),FALSE,TRUE)</f>
        <v/>
      </c>
      <c r="C1107" s="60">
        <f>OR(BR1107=Driver!$G$50,Data!BR1069=Driver!$H$50)</f>
        <v/>
      </c>
      <c r="D1107" s="60">
        <f>OR(BV1107=Driver!$G$51,BV1107=Driver!$H$51)</f>
        <v/>
      </c>
      <c r="E1107" s="60">
        <f>AND(BX1107&gt;Driver!$F$54,BX1107&lt;Driver!$G$54)</f>
        <v/>
      </c>
      <c r="F1107" s="60">
        <f>CL1107&gt;Driver!$F$56</f>
        <v/>
      </c>
      <c r="G1107" s="60">
        <f>AND(CB1107&gt;Driver!$F$55,CB1107&lt;Driver!$G$55)</f>
        <v/>
      </c>
      <c r="H1107" s="60">
        <f>AND(B1107:G1107)</f>
        <v/>
      </c>
      <c r="I1107" s="60">
        <f>COUNTIFS($H$9:$H$1273,TRUE,$BT$9:$BT$1273,BT1107)</f>
        <v/>
      </c>
      <c r="J1107" s="60">
        <f t="array" ref="J1107">NOT(OR(($H$9:$H$1273=TRUE)*($I$9:$I$1273&gt;0)*($BT$9:$BT$1273=BT1107)*($K$9:$K$1273&gt;K1107)))</f>
        <v/>
      </c>
      <c r="K1107" s="108">
        <f>IFERROR(1-AVERAGE(X1107:Y1107),"")</f>
        <v/>
      </c>
      <c r="L1107" s="108">
        <f>1-X1107</f>
        <v/>
      </c>
      <c r="M1107" s="108">
        <f>1-Y1107</f>
        <v/>
      </c>
      <c r="N1107" s="108">
        <f>1-Z1107</f>
        <v/>
      </c>
      <c r="O1107" s="108">
        <f>1-AA1107</f>
        <v/>
      </c>
      <c r="P1107" s="108">
        <f>1-AB1107</f>
        <v/>
      </c>
      <c r="Q1107" s="108" t="n"/>
      <c r="R1107" s="108" t="n"/>
      <c r="S1107" s="108">
        <f>1-AE1107</f>
        <v/>
      </c>
      <c r="T1107" s="108">
        <f>1-AF1107</f>
        <v/>
      </c>
      <c r="U1107" s="108">
        <f>1-AG1107</f>
        <v/>
      </c>
      <c r="V1107" s="108">
        <f>1-AH1107</f>
        <v/>
      </c>
      <c r="W1107" s="108">
        <f>1-AI1107</f>
        <v/>
      </c>
      <c r="X1107" s="108">
        <f>ABS(AJ1107-AJ$1)</f>
        <v/>
      </c>
      <c r="Y1107" s="108">
        <f>AVERAGE(Z1107:AB1107)</f>
        <v/>
      </c>
      <c r="Z1107" s="108">
        <f>ABS(AL1107-AL$1)</f>
        <v/>
      </c>
      <c r="AA1107" s="108">
        <f>ABS(AM1107-AM$1)</f>
        <v/>
      </c>
      <c r="AB1107" s="108">
        <f>ABS(AN1107-AN$1)</f>
        <v/>
      </c>
      <c r="AC1107" s="108" t="n"/>
      <c r="AD1107" s="108" t="n"/>
      <c r="AE1107" s="108">
        <f>ABS(AQ$1-AQ1107)</f>
        <v/>
      </c>
      <c r="AF1107" s="108">
        <f>ABS(AR$1-AR1107)</f>
        <v/>
      </c>
      <c r="AG1107" s="108">
        <f>ABS(AS$1-AS1107)</f>
        <v/>
      </c>
      <c r="AH1107" s="108">
        <f>ABS(AT$1-AT1107)</f>
        <v/>
      </c>
      <c r="AI1107" s="108">
        <f>ABS(AU$1-AU1107)</f>
        <v/>
      </c>
      <c r="AJ1107" s="108">
        <f>(AV1107-Driver!$K$179)/(Driver!$L$179-Driver!$K$179)</f>
        <v/>
      </c>
      <c r="AK1107" s="108">
        <f>(AW1107-Driver!$K$180)/(Driver!$L$180-Driver!$K$180)</f>
        <v/>
      </c>
      <c r="AL1107" s="108">
        <f>(AX1107-Driver!$K$181)/(Driver!$L$181-Driver!$K$181)</f>
        <v/>
      </c>
      <c r="AM1107" s="108">
        <f>(AY1107-Driver!$K$182)/(Driver!$L$182-Driver!$K$182)</f>
        <v/>
      </c>
      <c r="AN1107" s="108">
        <f>(AZ1107-Driver!$K$183)/(Driver!$L$183-Driver!$K$183)</f>
        <v/>
      </c>
      <c r="AO1107" s="108" t="n"/>
      <c r="AP1107" s="108" t="n"/>
      <c r="AQ1107" s="108">
        <f>(BC1107-Driver!$K$188)/(Driver!$L$188-Driver!$K$188)</f>
        <v/>
      </c>
      <c r="AR1107" s="108">
        <f>MIN((BD1107-Driver!$K$189)/(Driver!$L$189-Driver!$K$189),100%)</f>
        <v/>
      </c>
      <c r="AS1107" s="108">
        <f>(BE1107-Driver!$K$190)/(Driver!$L$190-Driver!$K$190)</f>
        <v/>
      </c>
      <c r="AT1107" s="108">
        <f>(BF1107-Driver!$K$191)/(Driver!$L$191-Driver!$K$191)</f>
        <v/>
      </c>
      <c r="AU1107" s="108">
        <f>(BG1107-Driver!$K$192)/(Driver!$L$192-Driver!$K$192)</f>
        <v/>
      </c>
      <c r="AV1107" s="105">
        <f>IFERROR(BM1107*BJ1107^1/4,"")</f>
        <v/>
      </c>
      <c r="AW1107" s="105">
        <f>IFERROR(SUM(AX1107:AZ1107),"")</f>
        <v/>
      </c>
      <c r="AX1107" s="105">
        <f>IFERROR(BH1107,"")</f>
        <v/>
      </c>
      <c r="AY1107" s="105">
        <f>IFERROR(Driver!$K$19/Data!BH1107/Data!BI1107*Data!BK1107*Data!BL1107,"")</f>
        <v/>
      </c>
      <c r="AZ1107" s="105">
        <f>IFERROR(BI1107*BN1107,"")</f>
        <v/>
      </c>
      <c r="BA1107" s="105" t="n"/>
      <c r="BB1107" s="105" t="n"/>
      <c r="BC1107" s="105">
        <f>IFERROR(BI1107*BN1107*BK1107/BJ1107^(1/2),"")</f>
        <v/>
      </c>
      <c r="BD1107" s="105">
        <f>IFERROR(BH1107*BM1107*BL1107/BJ1107/BK1107,"")</f>
        <v/>
      </c>
      <c r="BE1107" s="105">
        <f>IFERROR(MIN(BI1107/BQ1107/BP1107/BO1107/BH1107,$BE$1),"")</f>
        <v/>
      </c>
      <c r="BF1107" s="105">
        <f>IFERROR(BJ1107*BO1107*BP1107/BK1107,"")</f>
        <v/>
      </c>
      <c r="BG1107" s="105">
        <f>IFERROR(1/BM1107/BH1107*BQ1107,"")</f>
        <v/>
      </c>
      <c r="BH1107" s="102">
        <f>MAX((CE1107-Driver!$F$200)/(Driver!$G$200-Driver!$F$200)*$BI$1,1)</f>
        <v/>
      </c>
      <c r="BI1107" s="102">
        <f>MAX($BI$1*(BY1107-Driver!$F$201)/(Driver!$G$201-Driver!$F$201),1)</f>
        <v/>
      </c>
      <c r="BJ1107" s="102">
        <f>(CB1107-Driver!$F$206)/(Driver!$G$206-Driver!$F$206)*$BI$1</f>
        <v/>
      </c>
      <c r="BK1107" s="102">
        <f>(CD1107-Driver!$F$203)/(Driver!$G$203-Driver!$F$203)*$BI$1</f>
        <v/>
      </c>
      <c r="BL1107" s="102">
        <f>MAX((CR1107-Driver!$F$202)/(Driver!$G$202-Driver!$F$202)*$BI$1,1)</f>
        <v/>
      </c>
      <c r="BM1107" s="102">
        <f>MAX((CH1107-Driver!$F$204)/(Driver!$G$204-Driver!$F$204)*$BI$1,1)</f>
        <v/>
      </c>
      <c r="BN1107" s="102">
        <f>(CI1107-Driver!$F$205)/(Driver!$G$205-Driver!$F$205)*$BI$1</f>
        <v/>
      </c>
      <c r="BO1107" s="102">
        <f>(CK1107-Driver!$F$207)/(Driver!$G$207-Driver!$F$207)*$BI$1</f>
        <v/>
      </c>
      <c r="BP1107" s="102">
        <f>(CM1107-Driver!$F$208)/(Driver!$G$208-Driver!$F$208)*$BI$1</f>
        <v/>
      </c>
      <c r="BQ1107" s="102">
        <f>(CL1107-Driver!$F$209)/(Driver!$G$209-Driver!$F$209)*$BI$1</f>
        <v/>
      </c>
      <c r="BR1107" s="40" t="inlineStr">
        <is>
          <t>21/22</t>
        </is>
      </c>
      <c r="BS1107" s="10" t="inlineStr">
        <is>
          <t xml:space="preserve"> Salomon</t>
        </is>
      </c>
      <c r="BT1107" s="11" t="inlineStr">
        <is>
          <t>QST 85</t>
        </is>
      </c>
      <c r="BU1107" s="13" t="n">
        <v>185</v>
      </c>
      <c r="BV1107" s="11" t="inlineStr">
        <is>
          <t xml:space="preserve"> Unisex</t>
        </is>
      </c>
      <c r="BW1107" s="13" t="n">
        <v>185</v>
      </c>
      <c r="BX1107" s="13" t="n">
        <v>184.3</v>
      </c>
      <c r="BY1107" s="13" t="n">
        <v>146</v>
      </c>
      <c r="BZ1107" s="13" t="n">
        <v>152</v>
      </c>
      <c r="CA1107" s="13" t="n">
        <v>130</v>
      </c>
      <c r="CB1107" s="13" t="n">
        <v>84</v>
      </c>
      <c r="CC1107" s="13" t="n">
        <v>114</v>
      </c>
      <c r="CD1107" s="13" t="n">
        <v>14</v>
      </c>
      <c r="CE1107" s="13" t="n">
        <v>2285</v>
      </c>
      <c r="CF1107" s="13" t="n">
        <v>0.8100000000000001</v>
      </c>
      <c r="CG1107" s="13" t="n">
        <v>1843</v>
      </c>
      <c r="CH1107" s="13" t="n">
        <v>279</v>
      </c>
      <c r="CI1107" s="13" t="n">
        <v>127</v>
      </c>
      <c r="CJ1107" s="13" t="n">
        <v>35</v>
      </c>
      <c r="CK1107" s="13" t="n">
        <v>257</v>
      </c>
      <c r="CL1107" s="13" t="n">
        <v>6</v>
      </c>
      <c r="CM1107" s="13" t="n">
        <v>128</v>
      </c>
      <c r="CN1107" s="13" t="n">
        <v>0.161</v>
      </c>
      <c r="CO1107" s="13" t="n">
        <v>196</v>
      </c>
      <c r="CP1107" s="13" t="n">
        <v>127</v>
      </c>
      <c r="CQ1107" s="13" t="n">
        <v>61</v>
      </c>
      <c r="CR1107" s="13" t="n">
        <v>12</v>
      </c>
      <c r="CS1107" s="13" t="n">
        <v>7.7</v>
      </c>
      <c r="CT1107" s="11" t="inlineStr">
        <is>
          <t xml:space="preserve"> On-Piste All-Mountain</t>
        </is>
      </c>
      <c r="CU1107" s="11" t="inlineStr">
        <is>
          <t xml:space="preserve"> Resort Freeride</t>
        </is>
      </c>
      <c r="CV1107" s="13" t="n"/>
      <c r="CW1107" s="13" t="n"/>
      <c r="CX1107">
        <f>INDEX('Data_Price '!AG$2:AG$1266,MATCH(Data!$DN1107,'Data_Price '!$AT$2:$AT$1266,0))</f>
        <v/>
      </c>
      <c r="CY1107">
        <f>INDEX('Data_Price '!AH$2:AH$1266,MATCH(Data!$DN1107,'Data_Price '!$AT$2:$AT$1266,0))</f>
        <v/>
      </c>
      <c r="CZ1107">
        <f>INDEX('Data_Price '!AI$2:AI$1266,MATCH(Data!$DN1107,'Data_Price '!$AT$2:$AT$1266,0))</f>
        <v/>
      </c>
      <c r="DA1107">
        <f>INDEX('Data_Price '!AJ$2:AJ$1266,MATCH(Data!$DN1107,'Data_Price '!$AT$2:$AT$1266,0))</f>
        <v/>
      </c>
      <c r="DB1107">
        <f>INDEX('Data_Price '!AK$2:AK$1266,MATCH(Data!$DN1107,'Data_Price '!$AT$2:$AT$1266,0))</f>
        <v/>
      </c>
      <c r="DC1107">
        <f>INDEX('Data_Price '!AL$2:AL$1266,MATCH(Data!$DN1107,'Data_Price '!$AT$2:$AT$1266,0))</f>
        <v/>
      </c>
      <c r="DD1107">
        <f>INDEX('Data_Price '!AM$2:AM$1266,MATCH(Data!$DN1107,'Data_Price '!$AT$2:$AT$1266,0))</f>
        <v/>
      </c>
      <c r="DE1107">
        <f>INDEX('Data_Price '!AN$2:AN$1266,MATCH(Data!$DN1107,'Data_Price '!$AT$2:$AT$1266,0))</f>
        <v/>
      </c>
      <c r="DF1107">
        <f>INDEX('Data_Price '!AO$2:AO$1266,MATCH(Data!$DN1107,'Data_Price '!$AT$2:$AT$1266,0))</f>
        <v/>
      </c>
      <c r="DG1107">
        <f>INDEX('Data_Price '!AP$2:AP$1266,MATCH(Data!$DN1107,'Data_Price '!$AT$2:$AT$1266,0))</f>
        <v/>
      </c>
      <c r="DH1107">
        <f>INDEX('Data_Price '!AQ$2:AQ$1266,MATCH(Data!$DN1107,'Data_Price '!$AT$2:$AT$1266,0))</f>
        <v/>
      </c>
      <c r="DI1107">
        <f>INDEX('Data_Price '!AR$2:AR$1266,MATCH(Data!$DN1107,'Data_Price '!$AT$2:$AT$1266,0))</f>
        <v/>
      </c>
      <c r="DJ1107" s="138">
        <f>DA1107</f>
        <v/>
      </c>
      <c r="DK1107" s="138">
        <f>DE1107</f>
        <v/>
      </c>
      <c r="DL1107" s="138">
        <f>DI1107</f>
        <v/>
      </c>
      <c r="DM1107" s="303">
        <f>IF(LEFT(BT1107,1)=" ",RIGHT(BT1107,LEN(BT1107)-1),BT1107)</f>
        <v/>
      </c>
      <c r="DN1107" s="138">
        <f>_xlfn.CONCAT(BS1107,DM1107,BU1107,BV1107)</f>
        <v/>
      </c>
      <c r="DO1107" s="307" t="n"/>
    </row>
    <row r="1108" ht="15.6" customHeight="1" s="184">
      <c r="B1108" s="303">
        <f t="array" ref="B1108">IF(OR(ISERROR(K1108:P1108)),FALSE,TRUE)</f>
        <v/>
      </c>
      <c r="C1108" s="60">
        <f>OR(BR1108=Driver!$G$50,Data!BR374=Driver!$H$50)</f>
        <v/>
      </c>
      <c r="D1108" s="60">
        <f>OR(BV1108=Driver!$G$51,BV1108=Driver!$H$51)</f>
        <v/>
      </c>
      <c r="E1108" s="60">
        <f>AND(BX1108&gt;Driver!$F$54,BX1108&lt;Driver!$G$54)</f>
        <v/>
      </c>
      <c r="F1108" s="60">
        <f>CL1108&gt;Driver!$F$56</f>
        <v/>
      </c>
      <c r="G1108" s="60">
        <f>AND(CB1108&gt;Driver!$F$55,CB1108&lt;Driver!$G$55)</f>
        <v/>
      </c>
      <c r="H1108" s="60">
        <f>AND(B1108:G1108)</f>
        <v/>
      </c>
      <c r="I1108" s="60">
        <f>COUNTIFS($H$9:$H$1273,TRUE,$BT$9:$BT$1273,BT1108)</f>
        <v/>
      </c>
      <c r="J1108" s="60">
        <f t="array" ref="J1108">NOT(OR(($H$9:$H$1273=TRUE)*($I$9:$I$1273&gt;0)*($BT$9:$BT$1273=BT1108)*($K$9:$K$1273&gt;K1108)))</f>
        <v/>
      </c>
      <c r="K1108" s="108">
        <f>IFERROR(1-AVERAGE(X1108:Y1108),"")</f>
        <v/>
      </c>
      <c r="L1108" s="108">
        <f>1-X1108</f>
        <v/>
      </c>
      <c r="M1108" s="108">
        <f>1-Y1108</f>
        <v/>
      </c>
      <c r="N1108" s="108">
        <f>1-Z1108</f>
        <v/>
      </c>
      <c r="O1108" s="108">
        <f>1-AA1108</f>
        <v/>
      </c>
      <c r="P1108" s="108">
        <f>1-AB1108</f>
        <v/>
      </c>
      <c r="Q1108" s="108" t="n"/>
      <c r="R1108" s="108" t="n"/>
      <c r="S1108" s="108">
        <f>1-AE1108</f>
        <v/>
      </c>
      <c r="T1108" s="108">
        <f>1-AF1108</f>
        <v/>
      </c>
      <c r="U1108" s="108">
        <f>1-AG1108</f>
        <v/>
      </c>
      <c r="V1108" s="108">
        <f>1-AH1108</f>
        <v/>
      </c>
      <c r="W1108" s="108">
        <f>1-AI1108</f>
        <v/>
      </c>
      <c r="X1108" s="108">
        <f>ABS(AJ1108-AJ$1)</f>
        <v/>
      </c>
      <c r="Y1108" s="108">
        <f>AVERAGE(Z1108:AB1108)</f>
        <v/>
      </c>
      <c r="Z1108" s="108">
        <f>ABS(AL1108-AL$1)</f>
        <v/>
      </c>
      <c r="AA1108" s="108">
        <f>ABS(AM1108-AM$1)</f>
        <v/>
      </c>
      <c r="AB1108" s="108">
        <f>ABS(AN1108-AN$1)</f>
        <v/>
      </c>
      <c r="AC1108" s="108" t="n"/>
      <c r="AD1108" s="108" t="n"/>
      <c r="AE1108" s="108">
        <f>ABS(AQ$1-AQ1108)</f>
        <v/>
      </c>
      <c r="AF1108" s="108">
        <f>ABS(AR$1-AR1108)</f>
        <v/>
      </c>
      <c r="AG1108" s="108">
        <f>ABS(AS$1-AS1108)</f>
        <v/>
      </c>
      <c r="AH1108" s="108">
        <f>ABS(AT$1-AT1108)</f>
        <v/>
      </c>
      <c r="AI1108" s="108">
        <f>ABS(AU$1-AU1108)</f>
        <v/>
      </c>
      <c r="AJ1108" s="108">
        <f>(AV1108-Driver!$K$179)/(Driver!$L$179-Driver!$K$179)</f>
        <v/>
      </c>
      <c r="AK1108" s="108">
        <f>(AW1108-Driver!$K$180)/(Driver!$L$180-Driver!$K$180)</f>
        <v/>
      </c>
      <c r="AL1108" s="108">
        <f>(AX1108-Driver!$K$181)/(Driver!$L$181-Driver!$K$181)</f>
        <v/>
      </c>
      <c r="AM1108" s="108">
        <f>(AY1108-Driver!$K$182)/(Driver!$L$182-Driver!$K$182)</f>
        <v/>
      </c>
      <c r="AN1108" s="108">
        <f>(AZ1108-Driver!$K$183)/(Driver!$L$183-Driver!$K$183)</f>
        <v/>
      </c>
      <c r="AO1108" s="108" t="n"/>
      <c r="AP1108" s="108" t="n"/>
      <c r="AQ1108" s="108">
        <f>(BC1108-Driver!$K$188)/(Driver!$L$188-Driver!$K$188)</f>
        <v/>
      </c>
      <c r="AR1108" s="108">
        <f>MIN((BD1108-Driver!$K$189)/(Driver!$L$189-Driver!$K$189),100%)</f>
        <v/>
      </c>
      <c r="AS1108" s="108">
        <f>(BE1108-Driver!$K$190)/(Driver!$L$190-Driver!$K$190)</f>
        <v/>
      </c>
      <c r="AT1108" s="108">
        <f>(BF1108-Driver!$K$191)/(Driver!$L$191-Driver!$K$191)</f>
        <v/>
      </c>
      <c r="AU1108" s="108">
        <f>(BG1108-Driver!$K$192)/(Driver!$L$192-Driver!$K$192)</f>
        <v/>
      </c>
      <c r="AV1108" s="105">
        <f>IFERROR(BM1108*BJ1108^1/4,"")</f>
        <v/>
      </c>
      <c r="AW1108" s="105">
        <f>IFERROR(SUM(AX1108:AZ1108),"")</f>
        <v/>
      </c>
      <c r="AX1108" s="105">
        <f>IFERROR(BH1108,"")</f>
        <v/>
      </c>
      <c r="AY1108" s="105">
        <f>IFERROR(Driver!$K$19/Data!BH1108/Data!BI1108*Data!BK1108*Data!BL1108,"")</f>
        <v/>
      </c>
      <c r="AZ1108" s="105">
        <f>IFERROR(BI1108*BN1108,"")</f>
        <v/>
      </c>
      <c r="BA1108" s="105" t="n"/>
      <c r="BB1108" s="105" t="n"/>
      <c r="BC1108" s="105">
        <f>IFERROR(BI1108*BN1108*BK1108/BJ1108^(1/2),"")</f>
        <v/>
      </c>
      <c r="BD1108" s="105">
        <f>IFERROR(BH1108*BM1108*BL1108/BJ1108/BK1108,"")</f>
        <v/>
      </c>
      <c r="BE1108" s="105">
        <f>IFERROR(MIN(BI1108/BQ1108/BP1108/BO1108/BH1108,$BE$1),"")</f>
        <v/>
      </c>
      <c r="BF1108" s="105">
        <f>IFERROR(BJ1108*BO1108*BP1108/BK1108,"")</f>
        <v/>
      </c>
      <c r="BG1108" s="105">
        <f>IFERROR(1/BM1108/BH1108*BQ1108,"")</f>
        <v/>
      </c>
      <c r="BH1108" s="102">
        <f>MAX((CE1108-Driver!$F$200)/(Driver!$G$200-Driver!$F$200)*$BI$1,1)</f>
        <v/>
      </c>
      <c r="BI1108" s="102">
        <f>MAX($BI$1*(BY1108-Driver!$F$201)/(Driver!$G$201-Driver!$F$201),1)</f>
        <v/>
      </c>
      <c r="BJ1108" s="102">
        <f>(CB1108-Driver!$F$206)/(Driver!$G$206-Driver!$F$206)*$BI$1</f>
        <v/>
      </c>
      <c r="BK1108" s="102">
        <f>(CD1108-Driver!$F$203)/(Driver!$G$203-Driver!$F$203)*$BI$1</f>
        <v/>
      </c>
      <c r="BL1108" s="102">
        <f>MAX((CR1108-Driver!$F$202)/(Driver!$G$202-Driver!$F$202)*$BI$1,1)</f>
        <v/>
      </c>
      <c r="BM1108" s="102">
        <f>MAX((CH1108-Driver!$F$204)/(Driver!$G$204-Driver!$F$204)*$BI$1,1)</f>
        <v/>
      </c>
      <c r="BN1108" s="102">
        <f>(CI1108-Driver!$F$205)/(Driver!$G$205-Driver!$F$205)*$BI$1</f>
        <v/>
      </c>
      <c r="BO1108" s="102">
        <f>(CK1108-Driver!$F$207)/(Driver!$G$207-Driver!$F$207)*$BI$1</f>
        <v/>
      </c>
      <c r="BP1108" s="102">
        <f>(CM1108-Driver!$F$208)/(Driver!$G$208-Driver!$F$208)*$BI$1</f>
        <v/>
      </c>
      <c r="BQ1108" s="102">
        <f>(CL1108-Driver!$F$209)/(Driver!$G$209-Driver!$F$209)*$BI$1</f>
        <v/>
      </c>
      <c r="BR1108" s="40" t="inlineStr">
        <is>
          <t>21/22</t>
        </is>
      </c>
      <c r="BS1108" s="10" t="inlineStr">
        <is>
          <t xml:space="preserve"> Dynafit</t>
        </is>
      </c>
      <c r="BT1108" s="11" t="inlineStr">
        <is>
          <t>Blacklight 88 W</t>
        </is>
      </c>
      <c r="BU1108" s="13" t="n">
        <v>158</v>
      </c>
      <c r="BV1108" s="11" t="inlineStr">
        <is>
          <t xml:space="preserve"> Women's</t>
        </is>
      </c>
      <c r="BW1108" s="13" t="n">
        <v>158</v>
      </c>
      <c r="BX1108" s="13" t="n">
        <v>156.2</v>
      </c>
      <c r="BY1108" s="13" t="n">
        <v>109</v>
      </c>
      <c r="BZ1108" s="13" t="n">
        <v>134</v>
      </c>
      <c r="CA1108" s="13" t="n">
        <v>121</v>
      </c>
      <c r="CB1108" s="13" t="n">
        <v>85</v>
      </c>
      <c r="CC1108" s="13" t="n">
        <v>108</v>
      </c>
      <c r="CD1108" s="13" t="n">
        <v>14.9</v>
      </c>
      <c r="CE1108" s="13" t="n">
        <v>1055</v>
      </c>
      <c r="CF1108" s="13" t="n">
        <v>1.41</v>
      </c>
      <c r="CG1108" s="13" t="n">
        <v>1491</v>
      </c>
      <c r="CH1108" s="13" t="n">
        <v>196</v>
      </c>
      <c r="CI1108" s="13" t="n">
        <v>68</v>
      </c>
      <c r="CJ1108" s="13" t="n">
        <v>52</v>
      </c>
      <c r="CK1108" s="13" t="n">
        <v>312</v>
      </c>
      <c r="CL1108" s="13" t="n">
        <v>12</v>
      </c>
      <c r="CM1108" s="13" t="n">
        <v>162</v>
      </c>
      <c r="CN1108" s="13" t="n">
        <v>0.228</v>
      </c>
      <c r="CO1108" s="13" t="n">
        <v>136</v>
      </c>
      <c r="CP1108" s="13" t="n">
        <v>90</v>
      </c>
      <c r="CQ1108" s="13" t="n">
        <v>176</v>
      </c>
      <c r="CR1108" s="13" t="n">
        <v>4</v>
      </c>
      <c r="CS1108" s="13" t="n">
        <v>12.6</v>
      </c>
      <c r="CT1108" s="11" t="inlineStr">
        <is>
          <t xml:space="preserve"> Touring</t>
        </is>
      </c>
      <c r="CU1108" s="11" t="inlineStr">
        <is>
          <t xml:space="preserve"> Ultralight Touring</t>
        </is>
      </c>
      <c r="CV1108" s="13" t="n"/>
      <c r="CW1108" s="13" t="n"/>
      <c r="CX1108">
        <f>INDEX('Data_Price '!AG$2:AG$1266,MATCH(Data!$DN1108,'Data_Price '!$AT$2:$AT$1266,0))</f>
        <v/>
      </c>
      <c r="CY1108">
        <f>INDEX('Data_Price '!AH$2:AH$1266,MATCH(Data!$DN1108,'Data_Price '!$AT$2:$AT$1266,0))</f>
        <v/>
      </c>
      <c r="CZ1108">
        <f>INDEX('Data_Price '!AI$2:AI$1266,MATCH(Data!$DN1108,'Data_Price '!$AT$2:$AT$1266,0))</f>
        <v/>
      </c>
      <c r="DA1108">
        <f>INDEX('Data_Price '!AJ$2:AJ$1266,MATCH(Data!$DN1108,'Data_Price '!$AT$2:$AT$1266,0))</f>
        <v/>
      </c>
      <c r="DB1108">
        <f>INDEX('Data_Price '!AK$2:AK$1266,MATCH(Data!$DN1108,'Data_Price '!$AT$2:$AT$1266,0))</f>
        <v/>
      </c>
      <c r="DC1108">
        <f>INDEX('Data_Price '!AL$2:AL$1266,MATCH(Data!$DN1108,'Data_Price '!$AT$2:$AT$1266,0))</f>
        <v/>
      </c>
      <c r="DD1108">
        <f>INDEX('Data_Price '!AM$2:AM$1266,MATCH(Data!$DN1108,'Data_Price '!$AT$2:$AT$1266,0))</f>
        <v/>
      </c>
      <c r="DE1108">
        <f>INDEX('Data_Price '!AN$2:AN$1266,MATCH(Data!$DN1108,'Data_Price '!$AT$2:$AT$1266,0))</f>
        <v/>
      </c>
      <c r="DF1108">
        <f>INDEX('Data_Price '!AO$2:AO$1266,MATCH(Data!$DN1108,'Data_Price '!$AT$2:$AT$1266,0))</f>
        <v/>
      </c>
      <c r="DG1108">
        <f>INDEX('Data_Price '!AP$2:AP$1266,MATCH(Data!$DN1108,'Data_Price '!$AT$2:$AT$1266,0))</f>
        <v/>
      </c>
      <c r="DH1108">
        <f>INDEX('Data_Price '!AQ$2:AQ$1266,MATCH(Data!$DN1108,'Data_Price '!$AT$2:$AT$1266,0))</f>
        <v/>
      </c>
      <c r="DI1108">
        <f>INDEX('Data_Price '!AR$2:AR$1266,MATCH(Data!$DN1108,'Data_Price '!$AT$2:$AT$1266,0))</f>
        <v/>
      </c>
      <c r="DJ1108" s="138">
        <f>DA1108</f>
        <v/>
      </c>
      <c r="DK1108" s="138">
        <f>DE1108</f>
        <v/>
      </c>
      <c r="DL1108" s="138">
        <f>DI1108</f>
        <v/>
      </c>
      <c r="DM1108" s="303">
        <f>IF(LEFT(BT1108,1)=" ",RIGHT(BT1108,LEN(BT1108)-1),BT1108)</f>
        <v/>
      </c>
      <c r="DN1108" s="138">
        <f>_xlfn.CONCAT(BS1108,DM1108,BU1108,BV1108)</f>
        <v/>
      </c>
      <c r="DO1108" s="307" t="n"/>
    </row>
    <row r="1109" ht="15.6" customHeight="1" s="184">
      <c r="B1109" s="303">
        <f t="array" ref="B1109">IF(OR(ISERROR(K1109:P1109)),FALSE,TRUE)</f>
        <v/>
      </c>
      <c r="C1109" s="60">
        <f>OR(BR1109=Driver!$G$50,Data!BR951=Driver!$H$50)</f>
        <v/>
      </c>
      <c r="D1109" s="60">
        <f>OR(BV1109=Driver!$G$51,BV1109=Driver!$H$51)</f>
        <v/>
      </c>
      <c r="E1109" s="60">
        <f>AND(BX1109&gt;Driver!$F$54,BX1109&lt;Driver!$G$54)</f>
        <v/>
      </c>
      <c r="F1109" s="60">
        <f>CL1109&gt;Driver!$F$56</f>
        <v/>
      </c>
      <c r="G1109" s="60">
        <f>AND(CB1109&gt;Driver!$F$55,CB1109&lt;Driver!$G$55)</f>
        <v/>
      </c>
      <c r="H1109" s="60">
        <f>AND(B1109:G1109)</f>
        <v/>
      </c>
      <c r="I1109" s="60">
        <f>COUNTIFS($H$9:$H$1273,TRUE,$BT$9:$BT$1273,BT1109)</f>
        <v/>
      </c>
      <c r="J1109" s="60">
        <f t="array" ref="J1109">NOT(OR(($H$9:$H$1273=TRUE)*($I$9:$I$1273&gt;0)*($BT$9:$BT$1273=BT1109)*($K$9:$K$1273&gt;K1109)))</f>
        <v/>
      </c>
      <c r="K1109" s="108">
        <f>IFERROR(1-AVERAGE(X1109:Y1109),"")</f>
        <v/>
      </c>
      <c r="L1109" s="108">
        <f>1-X1109</f>
        <v/>
      </c>
      <c r="M1109" s="108">
        <f>1-Y1109</f>
        <v/>
      </c>
      <c r="N1109" s="108">
        <f>1-Z1109</f>
        <v/>
      </c>
      <c r="O1109" s="108">
        <f>1-AA1109</f>
        <v/>
      </c>
      <c r="P1109" s="108">
        <f>1-AB1109</f>
        <v/>
      </c>
      <c r="Q1109" s="108" t="n"/>
      <c r="R1109" s="108" t="n"/>
      <c r="S1109" s="108">
        <f>1-AE1109</f>
        <v/>
      </c>
      <c r="T1109" s="108">
        <f>1-AF1109</f>
        <v/>
      </c>
      <c r="U1109" s="108">
        <f>1-AG1109</f>
        <v/>
      </c>
      <c r="V1109" s="108">
        <f>1-AH1109</f>
        <v/>
      </c>
      <c r="W1109" s="108">
        <f>1-AI1109</f>
        <v/>
      </c>
      <c r="X1109" s="108">
        <f>ABS(AJ1109-AJ$1)</f>
        <v/>
      </c>
      <c r="Y1109" s="108">
        <f>AVERAGE(Z1109:AB1109)</f>
        <v/>
      </c>
      <c r="Z1109" s="108">
        <f>ABS(AL1109-AL$1)</f>
        <v/>
      </c>
      <c r="AA1109" s="108">
        <f>ABS(AM1109-AM$1)</f>
        <v/>
      </c>
      <c r="AB1109" s="108">
        <f>ABS(AN1109-AN$1)</f>
        <v/>
      </c>
      <c r="AC1109" s="108" t="n"/>
      <c r="AD1109" s="108" t="n"/>
      <c r="AE1109" s="108">
        <f>ABS(AQ$1-AQ1109)</f>
        <v/>
      </c>
      <c r="AF1109" s="108">
        <f>ABS(AR$1-AR1109)</f>
        <v/>
      </c>
      <c r="AG1109" s="108">
        <f>ABS(AS$1-AS1109)</f>
        <v/>
      </c>
      <c r="AH1109" s="108">
        <f>ABS(AT$1-AT1109)</f>
        <v/>
      </c>
      <c r="AI1109" s="108">
        <f>ABS(AU$1-AU1109)</f>
        <v/>
      </c>
      <c r="AJ1109" s="108">
        <f>(AV1109-Driver!$K$179)/(Driver!$L$179-Driver!$K$179)</f>
        <v/>
      </c>
      <c r="AK1109" s="108">
        <f>(AW1109-Driver!$K$180)/(Driver!$L$180-Driver!$K$180)</f>
        <v/>
      </c>
      <c r="AL1109" s="108">
        <f>(AX1109-Driver!$K$181)/(Driver!$L$181-Driver!$K$181)</f>
        <v/>
      </c>
      <c r="AM1109" s="108">
        <f>(AY1109-Driver!$K$182)/(Driver!$L$182-Driver!$K$182)</f>
        <v/>
      </c>
      <c r="AN1109" s="108">
        <f>(AZ1109-Driver!$K$183)/(Driver!$L$183-Driver!$K$183)</f>
        <v/>
      </c>
      <c r="AO1109" s="108" t="n"/>
      <c r="AP1109" s="108" t="n"/>
      <c r="AQ1109" s="108">
        <f>(BC1109-Driver!$K$188)/(Driver!$L$188-Driver!$K$188)</f>
        <v/>
      </c>
      <c r="AR1109" s="108">
        <f>MIN((BD1109-Driver!$K$189)/(Driver!$L$189-Driver!$K$189),100%)</f>
        <v/>
      </c>
      <c r="AS1109" s="108">
        <f>(BE1109-Driver!$K$190)/(Driver!$L$190-Driver!$K$190)</f>
        <v/>
      </c>
      <c r="AT1109" s="108">
        <f>(BF1109-Driver!$K$191)/(Driver!$L$191-Driver!$K$191)</f>
        <v/>
      </c>
      <c r="AU1109" s="108">
        <f>(BG1109-Driver!$K$192)/(Driver!$L$192-Driver!$K$192)</f>
        <v/>
      </c>
      <c r="AV1109" s="105">
        <f>IFERROR(BM1109*BJ1109^1/4,"")</f>
        <v/>
      </c>
      <c r="AW1109" s="105">
        <f>IFERROR(SUM(AX1109:AZ1109),"")</f>
        <v/>
      </c>
      <c r="AX1109" s="105">
        <f>IFERROR(BH1109,"")</f>
        <v/>
      </c>
      <c r="AY1109" s="105">
        <f>IFERROR(Driver!$K$19/Data!BH1109/Data!BI1109*Data!BK1109*Data!BL1109,"")</f>
        <v/>
      </c>
      <c r="AZ1109" s="105">
        <f>IFERROR(BI1109*BN1109,"")</f>
        <v/>
      </c>
      <c r="BA1109" s="105" t="n"/>
      <c r="BB1109" s="105" t="n"/>
      <c r="BC1109" s="105">
        <f>IFERROR(BI1109*BN1109*BK1109/BJ1109^(1/2),"")</f>
        <v/>
      </c>
      <c r="BD1109" s="105">
        <f>IFERROR(BH1109*BM1109*BL1109/BJ1109/BK1109,"")</f>
        <v/>
      </c>
      <c r="BE1109" s="105">
        <f>IFERROR(MIN(BI1109/BQ1109/BP1109/BO1109/BH1109,$BE$1),"")</f>
        <v/>
      </c>
      <c r="BF1109" s="105">
        <f>IFERROR(BJ1109*BO1109*BP1109/BK1109,"")</f>
        <v/>
      </c>
      <c r="BG1109" s="105">
        <f>IFERROR(1/BM1109/BH1109*BQ1109,"")</f>
        <v/>
      </c>
      <c r="BH1109" s="102">
        <f>MAX((CE1109-Driver!$F$200)/(Driver!$G$200-Driver!$F$200)*$BI$1,1)</f>
        <v/>
      </c>
      <c r="BI1109" s="102">
        <f>MAX($BI$1*(BY1109-Driver!$F$201)/(Driver!$G$201-Driver!$F$201),1)</f>
        <v/>
      </c>
      <c r="BJ1109" s="102">
        <f>(CB1109-Driver!$F$206)/(Driver!$G$206-Driver!$F$206)*$BI$1</f>
        <v/>
      </c>
      <c r="BK1109" s="102">
        <f>(CD1109-Driver!$F$203)/(Driver!$G$203-Driver!$F$203)*$BI$1</f>
        <v/>
      </c>
      <c r="BL1109" s="102">
        <f>MAX((CR1109-Driver!$F$202)/(Driver!$G$202-Driver!$F$202)*$BI$1,1)</f>
        <v/>
      </c>
      <c r="BM1109" s="102">
        <f>MAX((CH1109-Driver!$F$204)/(Driver!$G$204-Driver!$F$204)*$BI$1,1)</f>
        <v/>
      </c>
      <c r="BN1109" s="102">
        <f>(CI1109-Driver!$F$205)/(Driver!$G$205-Driver!$F$205)*$BI$1</f>
        <v/>
      </c>
      <c r="BO1109" s="102">
        <f>(CK1109-Driver!$F$207)/(Driver!$G$207-Driver!$F$207)*$BI$1</f>
        <v/>
      </c>
      <c r="BP1109" s="102">
        <f>(CM1109-Driver!$F$208)/(Driver!$G$208-Driver!$F$208)*$BI$1</f>
        <v/>
      </c>
      <c r="BQ1109" s="102">
        <f>(CL1109-Driver!$F$209)/(Driver!$G$209-Driver!$F$209)*$BI$1</f>
        <v/>
      </c>
      <c r="BR1109" s="40" t="inlineStr">
        <is>
          <t>21/22</t>
        </is>
      </c>
      <c r="BS1109" s="10" t="inlineStr">
        <is>
          <t xml:space="preserve"> Raccoon</t>
        </is>
      </c>
      <c r="BT1109" s="11" t="inlineStr">
        <is>
          <t>Chinook 99</t>
        </is>
      </c>
      <c r="BU1109" s="13" t="n">
        <v>164</v>
      </c>
      <c r="BV1109" s="11" t="inlineStr">
        <is>
          <t xml:space="preserve"> Unisex</t>
        </is>
      </c>
      <c r="BW1109" s="13" t="n">
        <v>164</v>
      </c>
      <c r="BX1109" s="13" t="n">
        <v>162.3</v>
      </c>
      <c r="BY1109" s="13" t="n">
        <v>99</v>
      </c>
      <c r="BZ1109" s="13" t="n">
        <v>135</v>
      </c>
      <c r="CA1109" s="13" t="n">
        <v>129</v>
      </c>
      <c r="CB1109" s="13" t="n">
        <v>98</v>
      </c>
      <c r="CC1109" s="13" t="n">
        <v>120</v>
      </c>
      <c r="CD1109" s="13" t="n">
        <v>16</v>
      </c>
      <c r="CE1109" s="13" t="n">
        <v>1345</v>
      </c>
      <c r="CF1109" s="13" t="n">
        <v>1.31</v>
      </c>
      <c r="CG1109" s="13" t="n">
        <v>1767</v>
      </c>
      <c r="CH1109" s="13" t="n">
        <v>177</v>
      </c>
      <c r="CI1109" s="13" t="n">
        <v>44</v>
      </c>
      <c r="CJ1109" s="13" t="n">
        <v>72</v>
      </c>
      <c r="CK1109" s="13" t="n">
        <v>387</v>
      </c>
      <c r="CL1109" s="13" t="n">
        <v>30</v>
      </c>
      <c r="CM1109" s="13" t="n">
        <v>249</v>
      </c>
      <c r="CN1109" s="13" t="n">
        <v>0.411</v>
      </c>
      <c r="CO1109" s="13" t="n">
        <v>147</v>
      </c>
      <c r="CP1109" s="13" t="n">
        <v>122</v>
      </c>
      <c r="CQ1109" s="13" t="n">
        <v>240</v>
      </c>
      <c r="CR1109" s="13" t="n">
        <v>5</v>
      </c>
      <c r="CS1109" s="13" t="n">
        <v>10.5</v>
      </c>
      <c r="CT1109" s="11" t="inlineStr">
        <is>
          <t xml:space="preserve"> Touring</t>
        </is>
      </c>
      <c r="CU1109" s="11" t="inlineStr">
        <is>
          <t xml:space="preserve"> Ultralight Touring</t>
        </is>
      </c>
      <c r="CV1109" s="13" t="n"/>
      <c r="CW1109" s="13" t="n"/>
      <c r="CX1109">
        <f>INDEX('Data_Price '!AG$2:AG$1266,MATCH(Data!$DN1109,'Data_Price '!$AT$2:$AT$1266,0))</f>
        <v/>
      </c>
      <c r="CY1109">
        <f>INDEX('Data_Price '!AH$2:AH$1266,MATCH(Data!$DN1109,'Data_Price '!$AT$2:$AT$1266,0))</f>
        <v/>
      </c>
      <c r="CZ1109">
        <f>INDEX('Data_Price '!AI$2:AI$1266,MATCH(Data!$DN1109,'Data_Price '!$AT$2:$AT$1266,0))</f>
        <v/>
      </c>
      <c r="DA1109">
        <f>INDEX('Data_Price '!AJ$2:AJ$1266,MATCH(Data!$DN1109,'Data_Price '!$AT$2:$AT$1266,0))</f>
        <v/>
      </c>
      <c r="DB1109">
        <f>INDEX('Data_Price '!AK$2:AK$1266,MATCH(Data!$DN1109,'Data_Price '!$AT$2:$AT$1266,0))</f>
        <v/>
      </c>
      <c r="DC1109">
        <f>INDEX('Data_Price '!AL$2:AL$1266,MATCH(Data!$DN1109,'Data_Price '!$AT$2:$AT$1266,0))</f>
        <v/>
      </c>
      <c r="DD1109">
        <f>INDEX('Data_Price '!AM$2:AM$1266,MATCH(Data!$DN1109,'Data_Price '!$AT$2:$AT$1266,0))</f>
        <v/>
      </c>
      <c r="DE1109">
        <f>INDEX('Data_Price '!AN$2:AN$1266,MATCH(Data!$DN1109,'Data_Price '!$AT$2:$AT$1266,0))</f>
        <v/>
      </c>
      <c r="DF1109">
        <f>INDEX('Data_Price '!AO$2:AO$1266,MATCH(Data!$DN1109,'Data_Price '!$AT$2:$AT$1266,0))</f>
        <v/>
      </c>
      <c r="DG1109">
        <f>INDEX('Data_Price '!AP$2:AP$1266,MATCH(Data!$DN1109,'Data_Price '!$AT$2:$AT$1266,0))</f>
        <v/>
      </c>
      <c r="DH1109">
        <f>INDEX('Data_Price '!AQ$2:AQ$1266,MATCH(Data!$DN1109,'Data_Price '!$AT$2:$AT$1266,0))</f>
        <v/>
      </c>
      <c r="DI1109">
        <f>INDEX('Data_Price '!AR$2:AR$1266,MATCH(Data!$DN1109,'Data_Price '!$AT$2:$AT$1266,0))</f>
        <v/>
      </c>
      <c r="DJ1109" s="138">
        <f>DA1109</f>
        <v/>
      </c>
      <c r="DK1109" s="138">
        <f>DE1109</f>
        <v/>
      </c>
      <c r="DL1109" s="138">
        <f>DI1109</f>
        <v/>
      </c>
      <c r="DM1109" s="303">
        <f>IF(LEFT(BT1109,1)=" ",RIGHT(BT1109,LEN(BT1109)-1),BT1109)</f>
        <v/>
      </c>
      <c r="DN1109" s="138">
        <f>_xlfn.CONCAT(BS1109,DM1109,BU1109,BV1109)</f>
        <v/>
      </c>
      <c r="DO1109" s="307" t="n"/>
    </row>
    <row r="1110" ht="15.6" customHeight="1" s="184">
      <c r="B1110" s="303">
        <f t="array" ref="B1110">IF(OR(ISERROR(K1110:P1110)),FALSE,TRUE)</f>
        <v/>
      </c>
      <c r="C1110" s="60">
        <f>OR(BR1110=Driver!$G$50,Data!BR587=Driver!$H$50)</f>
        <v/>
      </c>
      <c r="D1110" s="60">
        <f>OR(BV1110=Driver!$G$51,BV1110=Driver!$H$51)</f>
        <v/>
      </c>
      <c r="E1110" s="60">
        <f>AND(BX1110&gt;Driver!$F$54,BX1110&lt;Driver!$G$54)</f>
        <v/>
      </c>
      <c r="F1110" s="60">
        <f>CL1110&gt;Driver!$F$56</f>
        <v/>
      </c>
      <c r="G1110" s="60">
        <f>AND(CB1110&gt;Driver!$F$55,CB1110&lt;Driver!$G$55)</f>
        <v/>
      </c>
      <c r="H1110" s="60">
        <f>AND(B1110:G1110)</f>
        <v/>
      </c>
      <c r="I1110" s="60">
        <f>COUNTIFS($H$9:$H$1273,TRUE,$BT$9:$BT$1273,BT1110)</f>
        <v/>
      </c>
      <c r="J1110" s="60">
        <f t="array" ref="J1110">NOT(OR(($H$9:$H$1273=TRUE)*($I$9:$I$1273&gt;0)*($BT$9:$BT$1273=BT1110)*($K$9:$K$1273&gt;K1110)))</f>
        <v/>
      </c>
      <c r="K1110" s="108">
        <f>IFERROR(1-AVERAGE(X1110:Y1110),"")</f>
        <v/>
      </c>
      <c r="L1110" s="108">
        <f>1-X1110</f>
        <v/>
      </c>
      <c r="M1110" s="108">
        <f>1-Y1110</f>
        <v/>
      </c>
      <c r="N1110" s="108">
        <f>1-Z1110</f>
        <v/>
      </c>
      <c r="O1110" s="108">
        <f>1-AA1110</f>
        <v/>
      </c>
      <c r="P1110" s="108">
        <f>1-AB1110</f>
        <v/>
      </c>
      <c r="Q1110" s="108" t="n"/>
      <c r="R1110" s="108" t="n"/>
      <c r="S1110" s="108">
        <f>1-AE1110</f>
        <v/>
      </c>
      <c r="T1110" s="108">
        <f>1-AF1110</f>
        <v/>
      </c>
      <c r="U1110" s="108">
        <f>1-AG1110</f>
        <v/>
      </c>
      <c r="V1110" s="108">
        <f>1-AH1110</f>
        <v/>
      </c>
      <c r="W1110" s="108">
        <f>1-AI1110</f>
        <v/>
      </c>
      <c r="X1110" s="108">
        <f>ABS(AJ1110-AJ$1)</f>
        <v/>
      </c>
      <c r="Y1110" s="108">
        <f>AVERAGE(Z1110:AB1110)</f>
        <v/>
      </c>
      <c r="Z1110" s="108">
        <f>ABS(AL1110-AL$1)</f>
        <v/>
      </c>
      <c r="AA1110" s="108">
        <f>ABS(AM1110-AM$1)</f>
        <v/>
      </c>
      <c r="AB1110" s="108">
        <f>ABS(AN1110-AN$1)</f>
        <v/>
      </c>
      <c r="AC1110" s="108" t="n"/>
      <c r="AD1110" s="108" t="n"/>
      <c r="AE1110" s="108">
        <f>ABS(AQ$1-AQ1110)</f>
        <v/>
      </c>
      <c r="AF1110" s="108">
        <f>ABS(AR$1-AR1110)</f>
        <v/>
      </c>
      <c r="AG1110" s="108">
        <f>ABS(AS$1-AS1110)</f>
        <v/>
      </c>
      <c r="AH1110" s="108">
        <f>ABS(AT$1-AT1110)</f>
        <v/>
      </c>
      <c r="AI1110" s="108">
        <f>ABS(AU$1-AU1110)</f>
        <v/>
      </c>
      <c r="AJ1110" s="108">
        <f>(AV1110-Driver!$K$179)/(Driver!$L$179-Driver!$K$179)</f>
        <v/>
      </c>
      <c r="AK1110" s="108">
        <f>(AW1110-Driver!$K$180)/(Driver!$L$180-Driver!$K$180)</f>
        <v/>
      </c>
      <c r="AL1110" s="108">
        <f>(AX1110-Driver!$K$181)/(Driver!$L$181-Driver!$K$181)</f>
        <v/>
      </c>
      <c r="AM1110" s="108">
        <f>(AY1110-Driver!$K$182)/(Driver!$L$182-Driver!$K$182)</f>
        <v/>
      </c>
      <c r="AN1110" s="108">
        <f>(AZ1110-Driver!$K$183)/(Driver!$L$183-Driver!$K$183)</f>
        <v/>
      </c>
      <c r="AO1110" s="108" t="n"/>
      <c r="AP1110" s="108" t="n"/>
      <c r="AQ1110" s="108">
        <f>(BC1110-Driver!$K$188)/(Driver!$L$188-Driver!$K$188)</f>
        <v/>
      </c>
      <c r="AR1110" s="108">
        <f>MIN((BD1110-Driver!$K$189)/(Driver!$L$189-Driver!$K$189),100%)</f>
        <v/>
      </c>
      <c r="AS1110" s="108">
        <f>(BE1110-Driver!$K$190)/(Driver!$L$190-Driver!$K$190)</f>
        <v/>
      </c>
      <c r="AT1110" s="108">
        <f>(BF1110-Driver!$K$191)/(Driver!$L$191-Driver!$K$191)</f>
        <v/>
      </c>
      <c r="AU1110" s="108">
        <f>(BG1110-Driver!$K$192)/(Driver!$L$192-Driver!$K$192)</f>
        <v/>
      </c>
      <c r="AV1110" s="105">
        <f>IFERROR(BM1110*BJ1110^1/4,"")</f>
        <v/>
      </c>
      <c r="AW1110" s="105">
        <f>IFERROR(SUM(AX1110:AZ1110),"")</f>
        <v/>
      </c>
      <c r="AX1110" s="105">
        <f>IFERROR(BH1110,"")</f>
        <v/>
      </c>
      <c r="AY1110" s="105">
        <f>IFERROR(Driver!$K$19/Data!BH1110/Data!BI1110*Data!BK1110*Data!BL1110,"")</f>
        <v/>
      </c>
      <c r="AZ1110" s="105">
        <f>IFERROR(BI1110*BN1110,"")</f>
        <v/>
      </c>
      <c r="BA1110" s="105" t="n"/>
      <c r="BB1110" s="105" t="n"/>
      <c r="BC1110" s="105">
        <f>IFERROR(BI1110*BN1110*BK1110/BJ1110^(1/2),"")</f>
        <v/>
      </c>
      <c r="BD1110" s="105">
        <f>IFERROR(BH1110*BM1110*BL1110/BJ1110/BK1110,"")</f>
        <v/>
      </c>
      <c r="BE1110" s="105">
        <f>IFERROR(MIN(BI1110/BQ1110/BP1110/BO1110/BH1110,$BE$1),"")</f>
        <v/>
      </c>
      <c r="BF1110" s="105">
        <f>IFERROR(BJ1110*BO1110*BP1110/BK1110,"")</f>
        <v/>
      </c>
      <c r="BG1110" s="105">
        <f>IFERROR(1/BM1110/BH1110*BQ1110,"")</f>
        <v/>
      </c>
      <c r="BH1110" s="102">
        <f>MAX((CE1110-Driver!$F$200)/(Driver!$G$200-Driver!$F$200)*$BI$1,1)</f>
        <v/>
      </c>
      <c r="BI1110" s="102">
        <f>MAX($BI$1*(BY1110-Driver!$F$201)/(Driver!$G$201-Driver!$F$201),1)</f>
        <v/>
      </c>
      <c r="BJ1110" s="102">
        <f>(CB1110-Driver!$F$206)/(Driver!$G$206-Driver!$F$206)*$BI$1</f>
        <v/>
      </c>
      <c r="BK1110" s="102">
        <f>(CD1110-Driver!$F$203)/(Driver!$G$203-Driver!$F$203)*$BI$1</f>
        <v/>
      </c>
      <c r="BL1110" s="102">
        <f>MAX((CR1110-Driver!$F$202)/(Driver!$G$202-Driver!$F$202)*$BI$1,1)</f>
        <v/>
      </c>
      <c r="BM1110" s="102">
        <f>MAX((CH1110-Driver!$F$204)/(Driver!$G$204-Driver!$F$204)*$BI$1,1)</f>
        <v/>
      </c>
      <c r="BN1110" s="102">
        <f>(CI1110-Driver!$F$205)/(Driver!$G$205-Driver!$F$205)*$BI$1</f>
        <v/>
      </c>
      <c r="BO1110" s="102">
        <f>(CK1110-Driver!$F$207)/(Driver!$G$207-Driver!$F$207)*$BI$1</f>
        <v/>
      </c>
      <c r="BP1110" s="102">
        <f>(CM1110-Driver!$F$208)/(Driver!$G$208-Driver!$F$208)*$BI$1</f>
        <v/>
      </c>
      <c r="BQ1110" s="102">
        <f>(CL1110-Driver!$F$209)/(Driver!$G$209-Driver!$F$209)*$BI$1</f>
        <v/>
      </c>
      <c r="BR1110" s="40" t="inlineStr">
        <is>
          <t>21/22</t>
        </is>
      </c>
      <c r="BS1110" s="10" t="inlineStr">
        <is>
          <t xml:space="preserve"> Fischer</t>
        </is>
      </c>
      <c r="BT1110" s="11" t="inlineStr">
        <is>
          <t>Ranger 99 Ti</t>
        </is>
      </c>
      <c r="BU1110" s="13" t="n">
        <v>188</v>
      </c>
      <c r="BV1110" s="11" t="inlineStr">
        <is>
          <t xml:space="preserve"> Unisex</t>
        </is>
      </c>
      <c r="BW1110" s="13" t="n">
        <v>188</v>
      </c>
      <c r="BX1110" s="13" t="n">
        <v>187.6</v>
      </c>
      <c r="BY1110" s="13" t="n">
        <v>127</v>
      </c>
      <c r="BZ1110" s="13" t="n">
        <v>160</v>
      </c>
      <c r="CA1110" s="13" t="n">
        <v>130</v>
      </c>
      <c r="CB1110" s="13" t="n">
        <v>98</v>
      </c>
      <c r="CC1110" s="13" t="n">
        <v>122</v>
      </c>
      <c r="CD1110" s="13" t="n">
        <v>19.1</v>
      </c>
      <c r="CE1110" s="13" t="n">
        <v>2115</v>
      </c>
      <c r="CF1110" s="13" t="n">
        <v>0.97</v>
      </c>
      <c r="CG1110" s="13" t="n">
        <v>2062</v>
      </c>
      <c r="CH1110" s="13" t="n">
        <v>235</v>
      </c>
      <c r="CI1110" s="13" t="n">
        <v>152</v>
      </c>
      <c r="CJ1110" s="13" t="n">
        <v>50</v>
      </c>
      <c r="CK1110" s="13" t="n">
        <v>351</v>
      </c>
      <c r="CL1110" s="13" t="n">
        <v>22</v>
      </c>
      <c r="CM1110" s="13" t="n">
        <v>254</v>
      </c>
      <c r="CN1110" s="13" t="n">
        <v>0.438</v>
      </c>
      <c r="CO1110" s="13" t="n">
        <v>147</v>
      </c>
      <c r="CP1110" s="13" t="n">
        <v>131</v>
      </c>
      <c r="CQ1110" s="13" t="n">
        <v>204</v>
      </c>
      <c r="CR1110" s="13" t="n">
        <v>6</v>
      </c>
      <c r="CS1110" s="13" t="n">
        <v>9.300000000000001</v>
      </c>
      <c r="CT1110" s="11" t="inlineStr">
        <is>
          <t xml:space="preserve"> Resort Freeride</t>
        </is>
      </c>
      <c r="CU1110" s="13" t="n"/>
      <c r="CV1110" s="13" t="n"/>
      <c r="CW1110" s="13" t="n"/>
      <c r="CX1110">
        <f>INDEX('Data_Price '!AG$2:AG$1266,MATCH(Data!$DN1110,'Data_Price '!$AT$2:$AT$1266,0))</f>
        <v/>
      </c>
      <c r="CY1110">
        <f>INDEX('Data_Price '!AH$2:AH$1266,MATCH(Data!$DN1110,'Data_Price '!$AT$2:$AT$1266,0))</f>
        <v/>
      </c>
      <c r="CZ1110">
        <f>INDEX('Data_Price '!AI$2:AI$1266,MATCH(Data!$DN1110,'Data_Price '!$AT$2:$AT$1266,0))</f>
        <v/>
      </c>
      <c r="DA1110">
        <f>INDEX('Data_Price '!AJ$2:AJ$1266,MATCH(Data!$DN1110,'Data_Price '!$AT$2:$AT$1266,0))</f>
        <v/>
      </c>
      <c r="DB1110">
        <f>INDEX('Data_Price '!AK$2:AK$1266,MATCH(Data!$DN1110,'Data_Price '!$AT$2:$AT$1266,0))</f>
        <v/>
      </c>
      <c r="DC1110">
        <f>INDEX('Data_Price '!AL$2:AL$1266,MATCH(Data!$DN1110,'Data_Price '!$AT$2:$AT$1266,0))</f>
        <v/>
      </c>
      <c r="DD1110">
        <f>INDEX('Data_Price '!AM$2:AM$1266,MATCH(Data!$DN1110,'Data_Price '!$AT$2:$AT$1266,0))</f>
        <v/>
      </c>
      <c r="DE1110">
        <f>INDEX('Data_Price '!AN$2:AN$1266,MATCH(Data!$DN1110,'Data_Price '!$AT$2:$AT$1266,0))</f>
        <v/>
      </c>
      <c r="DF1110">
        <f>INDEX('Data_Price '!AO$2:AO$1266,MATCH(Data!$DN1110,'Data_Price '!$AT$2:$AT$1266,0))</f>
        <v/>
      </c>
      <c r="DG1110">
        <f>INDEX('Data_Price '!AP$2:AP$1266,MATCH(Data!$DN1110,'Data_Price '!$AT$2:$AT$1266,0))</f>
        <v/>
      </c>
      <c r="DH1110">
        <f>INDEX('Data_Price '!AQ$2:AQ$1266,MATCH(Data!$DN1110,'Data_Price '!$AT$2:$AT$1266,0))</f>
        <v/>
      </c>
      <c r="DI1110">
        <f>INDEX('Data_Price '!AR$2:AR$1266,MATCH(Data!$DN1110,'Data_Price '!$AT$2:$AT$1266,0))</f>
        <v/>
      </c>
      <c r="DJ1110" s="138">
        <f>DA1110</f>
        <v/>
      </c>
      <c r="DK1110" s="138">
        <f>DE1110</f>
        <v/>
      </c>
      <c r="DL1110" s="138">
        <f>DI1110</f>
        <v/>
      </c>
      <c r="DM1110" s="303">
        <f>IF(LEFT(BT1110,1)=" ",RIGHT(BT1110,LEN(BT1110)-1),BT1110)</f>
        <v/>
      </c>
      <c r="DN1110" s="138">
        <f>_xlfn.CONCAT(BS1110,DM1110,BU1110,BV1110)</f>
        <v/>
      </c>
      <c r="DO1110" s="307" t="inlineStr">
        <is>
          <t>https://images.evo.com/imgp/250/209035/846569/fischer-ranger-99-ti-skis-2022-.jpg</t>
        </is>
      </c>
    </row>
    <row r="1111" ht="15.6" customHeight="1" s="184">
      <c r="B1111" s="303">
        <f t="array" ref="B1111">IF(OR(ISERROR(K1111:P1111)),FALSE,TRUE)</f>
        <v/>
      </c>
      <c r="C1111" s="60">
        <f>OR(BR1111=Driver!$G$50,Data!BR785=Driver!$H$50)</f>
        <v/>
      </c>
      <c r="D1111" s="60">
        <f>OR(BV1111=Driver!$G$51,BV1111=Driver!$H$51)</f>
        <v/>
      </c>
      <c r="E1111" s="60">
        <f>AND(BX1111&gt;Driver!$F$54,BX1111&lt;Driver!$G$54)</f>
        <v/>
      </c>
      <c r="F1111" s="60">
        <f>CL1111&gt;Driver!$F$56</f>
        <v/>
      </c>
      <c r="G1111" s="60">
        <f>AND(CB1111&gt;Driver!$F$55,CB1111&lt;Driver!$G$55)</f>
        <v/>
      </c>
      <c r="H1111" s="60">
        <f>AND(B1111:G1111)</f>
        <v/>
      </c>
      <c r="I1111" s="60">
        <f>COUNTIFS($H$9:$H$1273,TRUE,$BT$9:$BT$1273,BT1111)</f>
        <v/>
      </c>
      <c r="J1111" s="60">
        <f t="array" ref="J1111">NOT(OR(($H$9:$H$1273=TRUE)*($I$9:$I$1273&gt;0)*($BT$9:$BT$1273=BT1111)*($K$9:$K$1273&gt;K1111)))</f>
        <v/>
      </c>
      <c r="K1111" s="108">
        <f>IFERROR(1-AVERAGE(X1111:Y1111),"")</f>
        <v/>
      </c>
      <c r="L1111" s="108">
        <f>1-X1111</f>
        <v/>
      </c>
      <c r="M1111" s="108">
        <f>1-Y1111</f>
        <v/>
      </c>
      <c r="N1111" s="108">
        <f>1-Z1111</f>
        <v/>
      </c>
      <c r="O1111" s="108">
        <f>1-AA1111</f>
        <v/>
      </c>
      <c r="P1111" s="108">
        <f>1-AB1111</f>
        <v/>
      </c>
      <c r="Q1111" s="108" t="n"/>
      <c r="R1111" s="108" t="n"/>
      <c r="S1111" s="108">
        <f>1-AE1111</f>
        <v/>
      </c>
      <c r="T1111" s="108">
        <f>1-AF1111</f>
        <v/>
      </c>
      <c r="U1111" s="108">
        <f>1-AG1111</f>
        <v/>
      </c>
      <c r="V1111" s="108">
        <f>1-AH1111</f>
        <v/>
      </c>
      <c r="W1111" s="108">
        <f>1-AI1111</f>
        <v/>
      </c>
      <c r="X1111" s="108">
        <f>ABS(AJ1111-AJ$1)</f>
        <v/>
      </c>
      <c r="Y1111" s="108">
        <f>AVERAGE(Z1111:AB1111)</f>
        <v/>
      </c>
      <c r="Z1111" s="108">
        <f>ABS(AL1111-AL$1)</f>
        <v/>
      </c>
      <c r="AA1111" s="108">
        <f>ABS(AM1111-AM$1)</f>
        <v/>
      </c>
      <c r="AB1111" s="108">
        <f>ABS(AN1111-AN$1)</f>
        <v/>
      </c>
      <c r="AC1111" s="108" t="n"/>
      <c r="AD1111" s="108" t="n"/>
      <c r="AE1111" s="108">
        <f>ABS(AQ$1-AQ1111)</f>
        <v/>
      </c>
      <c r="AF1111" s="108">
        <f>ABS(AR$1-AR1111)</f>
        <v/>
      </c>
      <c r="AG1111" s="108">
        <f>ABS(AS$1-AS1111)</f>
        <v/>
      </c>
      <c r="AH1111" s="108">
        <f>ABS(AT$1-AT1111)</f>
        <v/>
      </c>
      <c r="AI1111" s="108">
        <f>ABS(AU$1-AU1111)</f>
        <v/>
      </c>
      <c r="AJ1111" s="108">
        <f>(AV1111-Driver!$K$179)/(Driver!$L$179-Driver!$K$179)</f>
        <v/>
      </c>
      <c r="AK1111" s="108">
        <f>(AW1111-Driver!$K$180)/(Driver!$L$180-Driver!$K$180)</f>
        <v/>
      </c>
      <c r="AL1111" s="108">
        <f>(AX1111-Driver!$K$181)/(Driver!$L$181-Driver!$K$181)</f>
        <v/>
      </c>
      <c r="AM1111" s="108">
        <f>(AY1111-Driver!$K$182)/(Driver!$L$182-Driver!$K$182)</f>
        <v/>
      </c>
      <c r="AN1111" s="108">
        <f>(AZ1111-Driver!$K$183)/(Driver!$L$183-Driver!$K$183)</f>
        <v/>
      </c>
      <c r="AO1111" s="108" t="n"/>
      <c r="AP1111" s="108" t="n"/>
      <c r="AQ1111" s="108">
        <f>(BC1111-Driver!$K$188)/(Driver!$L$188-Driver!$K$188)</f>
        <v/>
      </c>
      <c r="AR1111" s="108">
        <f>MIN((BD1111-Driver!$K$189)/(Driver!$L$189-Driver!$K$189),100%)</f>
        <v/>
      </c>
      <c r="AS1111" s="108">
        <f>(BE1111-Driver!$K$190)/(Driver!$L$190-Driver!$K$190)</f>
        <v/>
      </c>
      <c r="AT1111" s="108">
        <f>(BF1111-Driver!$K$191)/(Driver!$L$191-Driver!$K$191)</f>
        <v/>
      </c>
      <c r="AU1111" s="108">
        <f>(BG1111-Driver!$K$192)/(Driver!$L$192-Driver!$K$192)</f>
        <v/>
      </c>
      <c r="AV1111" s="105">
        <f>IFERROR(BM1111*BJ1111^1/4,"")</f>
        <v/>
      </c>
      <c r="AW1111" s="105">
        <f>IFERROR(SUM(AX1111:AZ1111),"")</f>
        <v/>
      </c>
      <c r="AX1111" s="105">
        <f>IFERROR(BH1111,"")</f>
        <v/>
      </c>
      <c r="AY1111" s="105">
        <f>IFERROR(Driver!$K$19/Data!BH1111/Data!BI1111*Data!BK1111*Data!BL1111,"")</f>
        <v/>
      </c>
      <c r="AZ1111" s="105">
        <f>IFERROR(BI1111*BN1111,"")</f>
        <v/>
      </c>
      <c r="BA1111" s="105" t="n"/>
      <c r="BB1111" s="105" t="n"/>
      <c r="BC1111" s="105">
        <f>IFERROR(BI1111*BN1111*BK1111/BJ1111^(1/2),"")</f>
        <v/>
      </c>
      <c r="BD1111" s="105">
        <f>IFERROR(BH1111*BM1111*BL1111/BJ1111/BK1111,"")</f>
        <v/>
      </c>
      <c r="BE1111" s="105">
        <f>IFERROR(MIN(BI1111/BQ1111/BP1111/BO1111/BH1111,$BE$1),"")</f>
        <v/>
      </c>
      <c r="BF1111" s="105">
        <f>IFERROR(BJ1111*BO1111*BP1111/BK1111,"")</f>
        <v/>
      </c>
      <c r="BG1111" s="105">
        <f>IFERROR(1/BM1111/BH1111*BQ1111,"")</f>
        <v/>
      </c>
      <c r="BH1111" s="102">
        <f>MAX((CE1111-Driver!$F$200)/(Driver!$G$200-Driver!$F$200)*$BI$1,1)</f>
        <v/>
      </c>
      <c r="BI1111" s="102">
        <f>MAX($BI$1*(BY1111-Driver!$F$201)/(Driver!$G$201-Driver!$F$201),1)</f>
        <v/>
      </c>
      <c r="BJ1111" s="102">
        <f>(CB1111-Driver!$F$206)/(Driver!$G$206-Driver!$F$206)*$BI$1</f>
        <v/>
      </c>
      <c r="BK1111" s="102">
        <f>(CD1111-Driver!$F$203)/(Driver!$G$203-Driver!$F$203)*$BI$1</f>
        <v/>
      </c>
      <c r="BL1111" s="102">
        <f>MAX((CR1111-Driver!$F$202)/(Driver!$G$202-Driver!$F$202)*$BI$1,1)</f>
        <v/>
      </c>
      <c r="BM1111" s="102">
        <f>MAX((CH1111-Driver!$F$204)/(Driver!$G$204-Driver!$F$204)*$BI$1,1)</f>
        <v/>
      </c>
      <c r="BN1111" s="102">
        <f>(CI1111-Driver!$F$205)/(Driver!$G$205-Driver!$F$205)*$BI$1</f>
        <v/>
      </c>
      <c r="BO1111" s="102">
        <f>(CK1111-Driver!$F$207)/(Driver!$G$207-Driver!$F$207)*$BI$1</f>
        <v/>
      </c>
      <c r="BP1111" s="102">
        <f>(CM1111-Driver!$F$208)/(Driver!$G$208-Driver!$F$208)*$BI$1</f>
        <v/>
      </c>
      <c r="BQ1111" s="102">
        <f>(CL1111-Driver!$F$209)/(Driver!$G$209-Driver!$F$209)*$BI$1</f>
        <v/>
      </c>
      <c r="BR1111" s="40" t="inlineStr">
        <is>
          <t>21/22</t>
        </is>
      </c>
      <c r="BS1111" s="10" t="inlineStr">
        <is>
          <t xml:space="preserve"> K2</t>
        </is>
      </c>
      <c r="BT1111" s="11" t="inlineStr">
        <is>
          <t>Talkback 96</t>
        </is>
      </c>
      <c r="BU1111" s="13" t="n">
        <v>163</v>
      </c>
      <c r="BV1111" s="11" t="inlineStr">
        <is>
          <t xml:space="preserve"> Women's</t>
        </is>
      </c>
      <c r="BW1111" s="13" t="n">
        <v>163</v>
      </c>
      <c r="BX1111" s="13" t="n">
        <v>162.7</v>
      </c>
      <c r="BY1111" s="13" t="n">
        <v>116</v>
      </c>
      <c r="BZ1111" s="13" t="n">
        <v>136</v>
      </c>
      <c r="CA1111" s="13" t="n">
        <v>126</v>
      </c>
      <c r="CB1111" s="13" t="n">
        <v>95</v>
      </c>
      <c r="CC1111" s="13" t="n">
        <v>114</v>
      </c>
      <c r="CD1111" s="13" t="n">
        <v>18</v>
      </c>
      <c r="CE1111" s="13" t="n">
        <v>1206</v>
      </c>
      <c r="CF1111" s="13" t="n">
        <v>1.41</v>
      </c>
      <c r="CG1111" s="13" t="n">
        <v>1700</v>
      </c>
      <c r="CH1111" s="13" t="n">
        <v>151</v>
      </c>
      <c r="CI1111" s="13" t="n">
        <v>65</v>
      </c>
      <c r="CJ1111" s="13" t="n">
        <v>51</v>
      </c>
      <c r="CK1111" s="13" t="n">
        <v>304</v>
      </c>
      <c r="CL1111" s="13" t="n">
        <v>11</v>
      </c>
      <c r="CM1111" s="13" t="n">
        <v>165</v>
      </c>
      <c r="CN1111" s="13" t="n">
        <v>0.226</v>
      </c>
      <c r="CO1111" s="13" t="n">
        <v>160</v>
      </c>
      <c r="CP1111" s="13" t="n">
        <v>108</v>
      </c>
      <c r="CQ1111" s="13" t="n">
        <v>144</v>
      </c>
      <c r="CR1111" s="13" t="n">
        <v>5</v>
      </c>
      <c r="CS1111" s="13" t="n">
        <v>11.8</v>
      </c>
      <c r="CT1111" s="11" t="inlineStr">
        <is>
          <t xml:space="preserve"> Touring</t>
        </is>
      </c>
      <c r="CU1111" s="11" t="inlineStr">
        <is>
          <t xml:space="preserve"> Ultralight Touring</t>
        </is>
      </c>
      <c r="CV1111" s="13" t="n"/>
      <c r="CW1111" s="13" t="n"/>
      <c r="CX1111">
        <f>INDEX('Data_Price '!AG$2:AG$1266,MATCH(Data!$DN1111,'Data_Price '!$AT$2:$AT$1266,0))</f>
        <v/>
      </c>
      <c r="CY1111">
        <f>INDEX('Data_Price '!AH$2:AH$1266,MATCH(Data!$DN1111,'Data_Price '!$AT$2:$AT$1266,0))</f>
        <v/>
      </c>
      <c r="CZ1111">
        <f>INDEX('Data_Price '!AI$2:AI$1266,MATCH(Data!$DN1111,'Data_Price '!$AT$2:$AT$1266,0))</f>
        <v/>
      </c>
      <c r="DA1111">
        <f>INDEX('Data_Price '!AJ$2:AJ$1266,MATCH(Data!$DN1111,'Data_Price '!$AT$2:$AT$1266,0))</f>
        <v/>
      </c>
      <c r="DB1111">
        <f>INDEX('Data_Price '!AK$2:AK$1266,MATCH(Data!$DN1111,'Data_Price '!$AT$2:$AT$1266,0))</f>
        <v/>
      </c>
      <c r="DC1111">
        <f>INDEX('Data_Price '!AL$2:AL$1266,MATCH(Data!$DN1111,'Data_Price '!$AT$2:$AT$1266,0))</f>
        <v/>
      </c>
      <c r="DD1111">
        <f>INDEX('Data_Price '!AM$2:AM$1266,MATCH(Data!$DN1111,'Data_Price '!$AT$2:$AT$1266,0))</f>
        <v/>
      </c>
      <c r="DE1111">
        <f>INDEX('Data_Price '!AN$2:AN$1266,MATCH(Data!$DN1111,'Data_Price '!$AT$2:$AT$1266,0))</f>
        <v/>
      </c>
      <c r="DF1111">
        <f>INDEX('Data_Price '!AO$2:AO$1266,MATCH(Data!$DN1111,'Data_Price '!$AT$2:$AT$1266,0))</f>
        <v/>
      </c>
      <c r="DG1111">
        <f>INDEX('Data_Price '!AP$2:AP$1266,MATCH(Data!$DN1111,'Data_Price '!$AT$2:$AT$1266,0))</f>
        <v/>
      </c>
      <c r="DH1111">
        <f>INDEX('Data_Price '!AQ$2:AQ$1266,MATCH(Data!$DN1111,'Data_Price '!$AT$2:$AT$1266,0))</f>
        <v/>
      </c>
      <c r="DI1111">
        <f>INDEX('Data_Price '!AR$2:AR$1266,MATCH(Data!$DN1111,'Data_Price '!$AT$2:$AT$1266,0))</f>
        <v/>
      </c>
      <c r="DJ1111" s="138">
        <f>DA1111</f>
        <v/>
      </c>
      <c r="DK1111" s="138">
        <f>DE1111</f>
        <v/>
      </c>
      <c r="DL1111" s="138">
        <f>DI1111</f>
        <v/>
      </c>
      <c r="DM1111" s="303">
        <f>IF(LEFT(BT1111,1)=" ",RIGHT(BT1111,LEN(BT1111)-1),BT1111)</f>
        <v/>
      </c>
      <c r="DN1111" s="138">
        <f>_xlfn.CONCAT(BS1111,DM1111,BU1111,BV1111)</f>
        <v/>
      </c>
      <c r="DO1111" s="307" t="inlineStr">
        <is>
          <t>https://images.evo.com/imgp/250/192583/886393/k2-talkback-96-skis-women-s-2022-.jpg</t>
        </is>
      </c>
    </row>
    <row r="1112" ht="15.6" customHeight="1" s="184">
      <c r="B1112" s="303">
        <f t="array" ref="B1112">IF(OR(ISERROR(K1112:P1112)),FALSE,TRUE)</f>
        <v/>
      </c>
      <c r="C1112" s="60">
        <f>OR(BR1112=Driver!$G$50,Data!BR1222=Driver!$H$50)</f>
        <v/>
      </c>
      <c r="D1112" s="60">
        <f>OR(BV1112=Driver!$G$51,BV1112=Driver!$H$51)</f>
        <v/>
      </c>
      <c r="E1112" s="60">
        <f>AND(BX1112&gt;Driver!$F$54,BX1112&lt;Driver!$G$54)</f>
        <v/>
      </c>
      <c r="F1112" s="60">
        <f>CL1112&gt;Driver!$F$56</f>
        <v/>
      </c>
      <c r="G1112" s="60">
        <f>AND(CB1112&gt;Driver!$F$55,CB1112&lt;Driver!$G$55)</f>
        <v/>
      </c>
      <c r="H1112" s="60">
        <f>AND(B1112:G1112)</f>
        <v/>
      </c>
      <c r="I1112" s="60">
        <f>COUNTIFS($H$9:$H$1273,TRUE,$BT$9:$BT$1273,BT1112)</f>
        <v/>
      </c>
      <c r="J1112" s="60">
        <f t="array" ref="J1112">NOT(OR(($H$9:$H$1273=TRUE)*($I$9:$I$1273&gt;0)*($BT$9:$BT$1273=BT1112)*($K$9:$K$1273&gt;K1112)))</f>
        <v/>
      </c>
      <c r="K1112" s="108">
        <f>IFERROR(1-AVERAGE(X1112:Y1112),"")</f>
        <v/>
      </c>
      <c r="L1112" s="108">
        <f>1-X1112</f>
        <v/>
      </c>
      <c r="M1112" s="108">
        <f>1-Y1112</f>
        <v/>
      </c>
      <c r="N1112" s="108">
        <f>1-Z1112</f>
        <v/>
      </c>
      <c r="O1112" s="108">
        <f>1-AA1112</f>
        <v/>
      </c>
      <c r="P1112" s="108">
        <f>1-AB1112</f>
        <v/>
      </c>
      <c r="Q1112" s="108" t="n"/>
      <c r="R1112" s="108" t="n"/>
      <c r="S1112" s="108">
        <f>1-AE1112</f>
        <v/>
      </c>
      <c r="T1112" s="108">
        <f>1-AF1112</f>
        <v/>
      </c>
      <c r="U1112" s="108">
        <f>1-AG1112</f>
        <v/>
      </c>
      <c r="V1112" s="108">
        <f>1-AH1112</f>
        <v/>
      </c>
      <c r="W1112" s="108">
        <f>1-AI1112</f>
        <v/>
      </c>
      <c r="X1112" s="108">
        <f>ABS(AJ1112-AJ$1)</f>
        <v/>
      </c>
      <c r="Y1112" s="108">
        <f>AVERAGE(Z1112:AB1112)</f>
        <v/>
      </c>
      <c r="Z1112" s="108">
        <f>ABS(AL1112-AL$1)</f>
        <v/>
      </c>
      <c r="AA1112" s="108">
        <f>ABS(AM1112-AM$1)</f>
        <v/>
      </c>
      <c r="AB1112" s="108">
        <f>ABS(AN1112-AN$1)</f>
        <v/>
      </c>
      <c r="AC1112" s="108" t="n"/>
      <c r="AD1112" s="108" t="n"/>
      <c r="AE1112" s="108">
        <f>ABS(AQ$1-AQ1112)</f>
        <v/>
      </c>
      <c r="AF1112" s="108">
        <f>ABS(AR$1-AR1112)</f>
        <v/>
      </c>
      <c r="AG1112" s="108">
        <f>ABS(AS$1-AS1112)</f>
        <v/>
      </c>
      <c r="AH1112" s="108">
        <f>ABS(AT$1-AT1112)</f>
        <v/>
      </c>
      <c r="AI1112" s="108">
        <f>ABS(AU$1-AU1112)</f>
        <v/>
      </c>
      <c r="AJ1112" s="108">
        <f>(AV1112-Driver!$K$179)/(Driver!$L$179-Driver!$K$179)</f>
        <v/>
      </c>
      <c r="AK1112" s="108">
        <f>(AW1112-Driver!$K$180)/(Driver!$L$180-Driver!$K$180)</f>
        <v/>
      </c>
      <c r="AL1112" s="108">
        <f>(AX1112-Driver!$K$181)/(Driver!$L$181-Driver!$K$181)</f>
        <v/>
      </c>
      <c r="AM1112" s="108">
        <f>(AY1112-Driver!$K$182)/(Driver!$L$182-Driver!$K$182)</f>
        <v/>
      </c>
      <c r="AN1112" s="108">
        <f>(AZ1112-Driver!$K$183)/(Driver!$L$183-Driver!$K$183)</f>
        <v/>
      </c>
      <c r="AO1112" s="108" t="n"/>
      <c r="AP1112" s="108" t="n"/>
      <c r="AQ1112" s="108">
        <f>(BC1112-Driver!$K$188)/(Driver!$L$188-Driver!$K$188)</f>
        <v/>
      </c>
      <c r="AR1112" s="108">
        <f>MIN((BD1112-Driver!$K$189)/(Driver!$L$189-Driver!$K$189),100%)</f>
        <v/>
      </c>
      <c r="AS1112" s="108">
        <f>(BE1112-Driver!$K$190)/(Driver!$L$190-Driver!$K$190)</f>
        <v/>
      </c>
      <c r="AT1112" s="108">
        <f>(BF1112-Driver!$K$191)/(Driver!$L$191-Driver!$K$191)</f>
        <v/>
      </c>
      <c r="AU1112" s="108">
        <f>(BG1112-Driver!$K$192)/(Driver!$L$192-Driver!$K$192)</f>
        <v/>
      </c>
      <c r="AV1112" s="105">
        <f>IFERROR(BM1112*BJ1112^1/4,"")</f>
        <v/>
      </c>
      <c r="AW1112" s="105">
        <f>IFERROR(SUM(AX1112:AZ1112),"")</f>
        <v/>
      </c>
      <c r="AX1112" s="105">
        <f>IFERROR(BH1112,"")</f>
        <v/>
      </c>
      <c r="AY1112" s="105">
        <f>IFERROR(Driver!$K$19/Data!BH1112/Data!BI1112*Data!BK1112*Data!BL1112,"")</f>
        <v/>
      </c>
      <c r="AZ1112" s="105">
        <f>IFERROR(BI1112*BN1112,"")</f>
        <v/>
      </c>
      <c r="BA1112" s="105" t="n"/>
      <c r="BB1112" s="105" t="n"/>
      <c r="BC1112" s="105">
        <f>IFERROR(BI1112*BN1112*BK1112/BJ1112^(1/2),"")</f>
        <v/>
      </c>
      <c r="BD1112" s="105">
        <f>IFERROR(BH1112*BM1112*BL1112/BJ1112/BK1112,"")</f>
        <v/>
      </c>
      <c r="BE1112" s="105">
        <f>IFERROR(MIN(BI1112/BQ1112/BP1112/BO1112/BH1112,$BE$1),"")</f>
        <v/>
      </c>
      <c r="BF1112" s="105">
        <f>IFERROR(BJ1112*BO1112*BP1112/BK1112,"")</f>
        <v/>
      </c>
      <c r="BG1112" s="105">
        <f>IFERROR(1/BM1112/BH1112*BQ1112,"")</f>
        <v/>
      </c>
      <c r="BH1112" s="102">
        <f>MAX((CE1112-Driver!$F$200)/(Driver!$G$200-Driver!$F$200)*$BI$1,1)</f>
        <v/>
      </c>
      <c r="BI1112" s="102">
        <f>MAX($BI$1*(BY1112-Driver!$F$201)/(Driver!$G$201-Driver!$F$201),1)</f>
        <v/>
      </c>
      <c r="BJ1112" s="102">
        <f>(CB1112-Driver!$F$206)/(Driver!$G$206-Driver!$F$206)*$BI$1</f>
        <v/>
      </c>
      <c r="BK1112" s="102">
        <f>(CD1112-Driver!$F$203)/(Driver!$G$203-Driver!$F$203)*$BI$1</f>
        <v/>
      </c>
      <c r="BL1112" s="102">
        <f>MAX((CR1112-Driver!$F$202)/(Driver!$G$202-Driver!$F$202)*$BI$1,1)</f>
        <v/>
      </c>
      <c r="BM1112" s="102">
        <f>MAX((CH1112-Driver!$F$204)/(Driver!$G$204-Driver!$F$204)*$BI$1,1)</f>
        <v/>
      </c>
      <c r="BN1112" s="102">
        <f>(CI1112-Driver!$F$205)/(Driver!$G$205-Driver!$F$205)*$BI$1</f>
        <v/>
      </c>
      <c r="BO1112" s="102">
        <f>(CK1112-Driver!$F$207)/(Driver!$G$207-Driver!$F$207)*$BI$1</f>
        <v/>
      </c>
      <c r="BP1112" s="102">
        <f>(CM1112-Driver!$F$208)/(Driver!$G$208-Driver!$F$208)*$BI$1</f>
        <v/>
      </c>
      <c r="BQ1112" s="102">
        <f>(CL1112-Driver!$F$209)/(Driver!$G$209-Driver!$F$209)*$BI$1</f>
        <v/>
      </c>
      <c r="BR1112" s="40" t="inlineStr">
        <is>
          <t>21/22</t>
        </is>
      </c>
      <c r="BS1112" s="10" t="inlineStr">
        <is>
          <t xml:space="preserve"> Völkl</t>
        </is>
      </c>
      <c r="BT1112" s="11" t="inlineStr">
        <is>
          <t>Mantra 102</t>
        </is>
      </c>
      <c r="BU1112" s="13" t="n">
        <v>177</v>
      </c>
      <c r="BV1112" s="11" t="inlineStr">
        <is>
          <t xml:space="preserve"> Unisex</t>
        </is>
      </c>
      <c r="BW1112" s="13" t="n">
        <v>177</v>
      </c>
      <c r="BX1112" s="13" t="n">
        <v>178.2</v>
      </c>
      <c r="BY1112" s="13" t="n">
        <v>130</v>
      </c>
      <c r="BZ1112" s="13" t="n">
        <v>155</v>
      </c>
      <c r="CA1112" s="13" t="n">
        <v>139</v>
      </c>
      <c r="CB1112" s="13" t="n">
        <v>101</v>
      </c>
      <c r="CC1112" s="13" t="n">
        <v>122</v>
      </c>
      <c r="CD1112" s="13" t="n">
        <v>20.1</v>
      </c>
      <c r="CE1112" s="13" t="n">
        <v>2138</v>
      </c>
      <c r="CF1112" s="13" t="n">
        <v>0.9399999999999999</v>
      </c>
      <c r="CG1112" s="13" t="n">
        <v>2008</v>
      </c>
      <c r="CH1112" s="13" t="n">
        <v>209</v>
      </c>
      <c r="CI1112" s="13" t="n">
        <v>150</v>
      </c>
      <c r="CJ1112" s="13" t="n">
        <v>53</v>
      </c>
      <c r="CK1112" s="13" t="n">
        <v>281</v>
      </c>
      <c r="CL1112" s="13" t="n">
        <v>17</v>
      </c>
      <c r="CM1112" s="13" t="n">
        <v>201</v>
      </c>
      <c r="CN1112" s="13" t="n">
        <v>0.33</v>
      </c>
      <c r="CO1112" s="13" t="n">
        <v>132</v>
      </c>
      <c r="CP1112" s="13" t="n">
        <v>102</v>
      </c>
      <c r="CQ1112" s="13" t="n">
        <v>149</v>
      </c>
      <c r="CR1112" s="13" t="n">
        <v>5</v>
      </c>
      <c r="CS1112" s="13" t="n">
        <v>11.1</v>
      </c>
      <c r="CT1112" s="11" t="inlineStr">
        <is>
          <t xml:space="preserve"> Resort Freeride</t>
        </is>
      </c>
      <c r="CU1112" s="11" t="inlineStr">
        <is>
          <t xml:space="preserve"> Big Mountain</t>
        </is>
      </c>
      <c r="CV1112" s="13" t="n"/>
      <c r="CW1112" s="13" t="n"/>
      <c r="CX1112">
        <f>INDEX('Data_Price '!AG$2:AG$1266,MATCH(Data!$DN1112,'Data_Price '!$AT$2:$AT$1266,0))</f>
        <v/>
      </c>
      <c r="CY1112">
        <f>INDEX('Data_Price '!AH$2:AH$1266,MATCH(Data!$DN1112,'Data_Price '!$AT$2:$AT$1266,0))</f>
        <v/>
      </c>
      <c r="CZ1112">
        <f>INDEX('Data_Price '!AI$2:AI$1266,MATCH(Data!$DN1112,'Data_Price '!$AT$2:$AT$1266,0))</f>
        <v/>
      </c>
      <c r="DA1112">
        <f>INDEX('Data_Price '!AJ$2:AJ$1266,MATCH(Data!$DN1112,'Data_Price '!$AT$2:$AT$1266,0))</f>
        <v/>
      </c>
      <c r="DB1112">
        <f>INDEX('Data_Price '!AK$2:AK$1266,MATCH(Data!$DN1112,'Data_Price '!$AT$2:$AT$1266,0))</f>
        <v/>
      </c>
      <c r="DC1112">
        <f>INDEX('Data_Price '!AL$2:AL$1266,MATCH(Data!$DN1112,'Data_Price '!$AT$2:$AT$1266,0))</f>
        <v/>
      </c>
      <c r="DD1112">
        <f>INDEX('Data_Price '!AM$2:AM$1266,MATCH(Data!$DN1112,'Data_Price '!$AT$2:$AT$1266,0))</f>
        <v/>
      </c>
      <c r="DE1112">
        <f>INDEX('Data_Price '!AN$2:AN$1266,MATCH(Data!$DN1112,'Data_Price '!$AT$2:$AT$1266,0))</f>
        <v/>
      </c>
      <c r="DF1112">
        <f>INDEX('Data_Price '!AO$2:AO$1266,MATCH(Data!$DN1112,'Data_Price '!$AT$2:$AT$1266,0))</f>
        <v/>
      </c>
      <c r="DG1112">
        <f>INDEX('Data_Price '!AP$2:AP$1266,MATCH(Data!$DN1112,'Data_Price '!$AT$2:$AT$1266,0))</f>
        <v/>
      </c>
      <c r="DH1112">
        <f>INDEX('Data_Price '!AQ$2:AQ$1266,MATCH(Data!$DN1112,'Data_Price '!$AT$2:$AT$1266,0))</f>
        <v/>
      </c>
      <c r="DI1112">
        <f>INDEX('Data_Price '!AR$2:AR$1266,MATCH(Data!$DN1112,'Data_Price '!$AT$2:$AT$1266,0))</f>
        <v/>
      </c>
      <c r="DJ1112" s="138">
        <f>DA1112</f>
        <v/>
      </c>
      <c r="DK1112" s="138">
        <f>DE1112</f>
        <v/>
      </c>
      <c r="DL1112" s="138">
        <f>DI1112</f>
        <v/>
      </c>
      <c r="DM1112" s="303">
        <f>IF(LEFT(BT1112,1)=" ",RIGHT(BT1112,LEN(BT1112)-1),BT1112)</f>
        <v/>
      </c>
      <c r="DN1112" s="138">
        <f>_xlfn.CONCAT(BS1112,DM1112,BU1112,BV1112)</f>
        <v/>
      </c>
      <c r="DO1112" s="307" t="inlineStr">
        <is>
          <t>https://images.evo.com/imgp/250/208360/837592/volkl-mantra-102-skis-2022-.jpg</t>
        </is>
      </c>
    </row>
    <row r="1113" ht="15.6" customHeight="1" s="184">
      <c r="B1113" s="303">
        <f t="array" ref="B1113">IF(OR(ISERROR(K1113:P1113)),FALSE,TRUE)</f>
        <v/>
      </c>
      <c r="C1113" s="60">
        <f>OR(BR1113=Driver!$G$50,Data!BR1234=Driver!$H$50)</f>
        <v/>
      </c>
      <c r="D1113" s="60">
        <f>OR(BV1113=Driver!$G$51,BV1113=Driver!$H$51)</f>
        <v/>
      </c>
      <c r="E1113" s="60">
        <f>AND(BX1113&gt;Driver!$F$54,BX1113&lt;Driver!$G$54)</f>
        <v/>
      </c>
      <c r="F1113" s="60">
        <f>CL1113&gt;Driver!$F$56</f>
        <v/>
      </c>
      <c r="G1113" s="60">
        <f>AND(CB1113&gt;Driver!$F$55,CB1113&lt;Driver!$G$55)</f>
        <v/>
      </c>
      <c r="H1113" s="60">
        <f>AND(B1113:G1113)</f>
        <v/>
      </c>
      <c r="I1113" s="60">
        <f>COUNTIFS($H$9:$H$1273,TRUE,$BT$9:$BT$1273,BT1113)</f>
        <v/>
      </c>
      <c r="J1113" s="60">
        <f t="array" ref="J1113">NOT(OR(($H$9:$H$1273=TRUE)*($I$9:$I$1273&gt;0)*($BT$9:$BT$1273=BT1113)*($K$9:$K$1273&gt;K1113)))</f>
        <v/>
      </c>
      <c r="K1113" s="108">
        <f>IFERROR(1-AVERAGE(X1113:Y1113),"")</f>
        <v/>
      </c>
      <c r="L1113" s="108">
        <f>1-X1113</f>
        <v/>
      </c>
      <c r="M1113" s="108">
        <f>1-Y1113</f>
        <v/>
      </c>
      <c r="N1113" s="108">
        <f>1-Z1113</f>
        <v/>
      </c>
      <c r="O1113" s="108">
        <f>1-AA1113</f>
        <v/>
      </c>
      <c r="P1113" s="108">
        <f>1-AB1113</f>
        <v/>
      </c>
      <c r="Q1113" s="108" t="n"/>
      <c r="R1113" s="108" t="n"/>
      <c r="S1113" s="108">
        <f>1-AE1113</f>
        <v/>
      </c>
      <c r="T1113" s="108">
        <f>1-AF1113</f>
        <v/>
      </c>
      <c r="U1113" s="108">
        <f>1-AG1113</f>
        <v/>
      </c>
      <c r="V1113" s="108">
        <f>1-AH1113</f>
        <v/>
      </c>
      <c r="W1113" s="108">
        <f>1-AI1113</f>
        <v/>
      </c>
      <c r="X1113" s="108">
        <f>ABS(AJ1113-AJ$1)</f>
        <v/>
      </c>
      <c r="Y1113" s="108">
        <f>AVERAGE(Z1113:AB1113)</f>
        <v/>
      </c>
      <c r="Z1113" s="108">
        <f>ABS(AL1113-AL$1)</f>
        <v/>
      </c>
      <c r="AA1113" s="108">
        <f>ABS(AM1113-AM$1)</f>
        <v/>
      </c>
      <c r="AB1113" s="108">
        <f>ABS(AN1113-AN$1)</f>
        <v/>
      </c>
      <c r="AC1113" s="108" t="n"/>
      <c r="AD1113" s="108" t="n"/>
      <c r="AE1113" s="108">
        <f>ABS(AQ$1-AQ1113)</f>
        <v/>
      </c>
      <c r="AF1113" s="108">
        <f>ABS(AR$1-AR1113)</f>
        <v/>
      </c>
      <c r="AG1113" s="108">
        <f>ABS(AS$1-AS1113)</f>
        <v/>
      </c>
      <c r="AH1113" s="108">
        <f>ABS(AT$1-AT1113)</f>
        <v/>
      </c>
      <c r="AI1113" s="108">
        <f>ABS(AU$1-AU1113)</f>
        <v/>
      </c>
      <c r="AJ1113" s="108">
        <f>(AV1113-Driver!$K$179)/(Driver!$L$179-Driver!$K$179)</f>
        <v/>
      </c>
      <c r="AK1113" s="108">
        <f>(AW1113-Driver!$K$180)/(Driver!$L$180-Driver!$K$180)</f>
        <v/>
      </c>
      <c r="AL1113" s="108">
        <f>(AX1113-Driver!$K$181)/(Driver!$L$181-Driver!$K$181)</f>
        <v/>
      </c>
      <c r="AM1113" s="108">
        <f>(AY1113-Driver!$K$182)/(Driver!$L$182-Driver!$K$182)</f>
        <v/>
      </c>
      <c r="AN1113" s="108">
        <f>(AZ1113-Driver!$K$183)/(Driver!$L$183-Driver!$K$183)</f>
        <v/>
      </c>
      <c r="AO1113" s="108" t="n"/>
      <c r="AP1113" s="108" t="n"/>
      <c r="AQ1113" s="108">
        <f>(BC1113-Driver!$K$188)/(Driver!$L$188-Driver!$K$188)</f>
        <v/>
      </c>
      <c r="AR1113" s="108">
        <f>MIN((BD1113-Driver!$K$189)/(Driver!$L$189-Driver!$K$189),100%)</f>
        <v/>
      </c>
      <c r="AS1113" s="108">
        <f>(BE1113-Driver!$K$190)/(Driver!$L$190-Driver!$K$190)</f>
        <v/>
      </c>
      <c r="AT1113" s="108">
        <f>(BF1113-Driver!$K$191)/(Driver!$L$191-Driver!$K$191)</f>
        <v/>
      </c>
      <c r="AU1113" s="108">
        <f>(BG1113-Driver!$K$192)/(Driver!$L$192-Driver!$K$192)</f>
        <v/>
      </c>
      <c r="AV1113" s="105">
        <f>IFERROR(BM1113*BJ1113^1/4,"")</f>
        <v/>
      </c>
      <c r="AW1113" s="105">
        <f>IFERROR(SUM(AX1113:AZ1113),"")</f>
        <v/>
      </c>
      <c r="AX1113" s="105">
        <f>IFERROR(BH1113,"")</f>
        <v/>
      </c>
      <c r="AY1113" s="105">
        <f>IFERROR(Driver!$K$19/Data!BH1113/Data!BI1113*Data!BK1113*Data!BL1113,"")</f>
        <v/>
      </c>
      <c r="AZ1113" s="105">
        <f>IFERROR(BI1113*BN1113,"")</f>
        <v/>
      </c>
      <c r="BA1113" s="105" t="n"/>
      <c r="BB1113" s="105" t="n"/>
      <c r="BC1113" s="105">
        <f>IFERROR(BI1113*BN1113*BK1113/BJ1113^(1/2),"")</f>
        <v/>
      </c>
      <c r="BD1113" s="105">
        <f>IFERROR(BH1113*BM1113*BL1113/BJ1113/BK1113,"")</f>
        <v/>
      </c>
      <c r="BE1113" s="105">
        <f>IFERROR(MIN(BI1113/BQ1113/BP1113/BO1113/BH1113,$BE$1),"")</f>
        <v/>
      </c>
      <c r="BF1113" s="105">
        <f>IFERROR(BJ1113*BO1113*BP1113/BK1113,"")</f>
        <v/>
      </c>
      <c r="BG1113" s="105">
        <f>IFERROR(1/BM1113/BH1113*BQ1113,"")</f>
        <v/>
      </c>
      <c r="BH1113" s="102">
        <f>MAX((CE1113-Driver!$F$200)/(Driver!$G$200-Driver!$F$200)*$BI$1,1)</f>
        <v/>
      </c>
      <c r="BI1113" s="102">
        <f>MAX($BI$1*(BY1113-Driver!$F$201)/(Driver!$G$201-Driver!$F$201),1)</f>
        <v/>
      </c>
      <c r="BJ1113" s="102">
        <f>(CB1113-Driver!$F$206)/(Driver!$G$206-Driver!$F$206)*$BI$1</f>
        <v/>
      </c>
      <c r="BK1113" s="102">
        <f>(CD1113-Driver!$F$203)/(Driver!$G$203-Driver!$F$203)*$BI$1</f>
        <v/>
      </c>
      <c r="BL1113" s="102">
        <f>MAX((CR1113-Driver!$F$202)/(Driver!$G$202-Driver!$F$202)*$BI$1,1)</f>
        <v/>
      </c>
      <c r="BM1113" s="102">
        <f>MAX((CH1113-Driver!$F$204)/(Driver!$G$204-Driver!$F$204)*$BI$1,1)</f>
        <v/>
      </c>
      <c r="BN1113" s="102">
        <f>(CI1113-Driver!$F$205)/(Driver!$G$205-Driver!$F$205)*$BI$1</f>
        <v/>
      </c>
      <c r="BO1113" s="102">
        <f>(CK1113-Driver!$F$207)/(Driver!$G$207-Driver!$F$207)*$BI$1</f>
        <v/>
      </c>
      <c r="BP1113" s="102">
        <f>(CM1113-Driver!$F$208)/(Driver!$G$208-Driver!$F$208)*$BI$1</f>
        <v/>
      </c>
      <c r="BQ1113" s="102">
        <f>(CL1113-Driver!$F$209)/(Driver!$G$209-Driver!$F$209)*$BI$1</f>
        <v/>
      </c>
      <c r="BR1113" s="40" t="inlineStr">
        <is>
          <t>21/22</t>
        </is>
      </c>
      <c r="BS1113" s="10" t="inlineStr">
        <is>
          <t xml:space="preserve"> Völkl</t>
        </is>
      </c>
      <c r="BT1113" s="11" t="inlineStr">
        <is>
          <t xml:space="preserve"> Racetiger SL</t>
        </is>
      </c>
      <c r="BU1113" s="13" t="n">
        <v>160</v>
      </c>
      <c r="BV1113" s="11" t="inlineStr">
        <is>
          <t xml:space="preserve"> Unisex</t>
        </is>
      </c>
      <c r="BW1113" s="13" t="n">
        <v>160</v>
      </c>
      <c r="BX1113" s="13" t="n">
        <v>159.7</v>
      </c>
      <c r="BY1113" s="13" t="n">
        <v>138</v>
      </c>
      <c r="BZ1113" s="13" t="n">
        <v>148</v>
      </c>
      <c r="CA1113" s="13" t="n">
        <v>125</v>
      </c>
      <c r="CB1113" s="13" t="n">
        <v>67</v>
      </c>
      <c r="CC1113" s="13" t="n">
        <v>102</v>
      </c>
      <c r="CD1113" s="13" t="n">
        <v>11.7</v>
      </c>
      <c r="CE1113" s="13" t="n">
        <v>1979</v>
      </c>
      <c r="CF1113" s="13" t="n">
        <v>0.68</v>
      </c>
      <c r="CG1113" s="13" t="n">
        <v>1351</v>
      </c>
      <c r="CH1113" s="13" t="n">
        <v>184</v>
      </c>
      <c r="CI1113" s="13" t="n">
        <v>124</v>
      </c>
      <c r="CJ1113" s="13" t="n">
        <v>41</v>
      </c>
      <c r="CK1113" s="13" t="n">
        <v>157</v>
      </c>
      <c r="CL1113" s="13" t="n">
        <v>7</v>
      </c>
      <c r="CM1113" s="13" t="n">
        <v>59</v>
      </c>
      <c r="CN1113" s="13" t="n">
        <v>0.176</v>
      </c>
      <c r="CO1113" s="13" t="n">
        <v>60</v>
      </c>
      <c r="CP1113" s="13" t="n">
        <v>53</v>
      </c>
      <c r="CQ1113" s="13" t="n">
        <v>97</v>
      </c>
      <c r="CR1113" s="13" t="n">
        <v>5</v>
      </c>
      <c r="CS1113" s="13" t="n">
        <v>11.9</v>
      </c>
      <c r="CT1113" s="11" t="inlineStr">
        <is>
          <t xml:space="preserve"> On-Piste Carving</t>
        </is>
      </c>
      <c r="CU1113" s="13" t="n"/>
      <c r="CV1113" s="13" t="n"/>
      <c r="CW1113" s="13" t="n"/>
      <c r="CX1113">
        <f>INDEX('Data_Price '!AG$2:AG$1266,MATCH(Data!$DN1113,'Data_Price '!$AT$2:$AT$1266,0))</f>
        <v/>
      </c>
      <c r="CY1113">
        <f>INDEX('Data_Price '!AH$2:AH$1266,MATCH(Data!$DN1113,'Data_Price '!$AT$2:$AT$1266,0))</f>
        <v/>
      </c>
      <c r="CZ1113">
        <f>INDEX('Data_Price '!AI$2:AI$1266,MATCH(Data!$DN1113,'Data_Price '!$AT$2:$AT$1266,0))</f>
        <v/>
      </c>
      <c r="DA1113">
        <f>INDEX('Data_Price '!AJ$2:AJ$1266,MATCH(Data!$DN1113,'Data_Price '!$AT$2:$AT$1266,0))</f>
        <v/>
      </c>
      <c r="DB1113">
        <f>INDEX('Data_Price '!AK$2:AK$1266,MATCH(Data!$DN1113,'Data_Price '!$AT$2:$AT$1266,0))</f>
        <v/>
      </c>
      <c r="DC1113">
        <f>INDEX('Data_Price '!AL$2:AL$1266,MATCH(Data!$DN1113,'Data_Price '!$AT$2:$AT$1266,0))</f>
        <v/>
      </c>
      <c r="DD1113">
        <f>INDEX('Data_Price '!AM$2:AM$1266,MATCH(Data!$DN1113,'Data_Price '!$AT$2:$AT$1266,0))</f>
        <v/>
      </c>
      <c r="DE1113">
        <f>INDEX('Data_Price '!AN$2:AN$1266,MATCH(Data!$DN1113,'Data_Price '!$AT$2:$AT$1266,0))</f>
        <v/>
      </c>
      <c r="DF1113">
        <f>INDEX('Data_Price '!AO$2:AO$1266,MATCH(Data!$DN1113,'Data_Price '!$AT$2:$AT$1266,0))</f>
        <v/>
      </c>
      <c r="DG1113">
        <f>INDEX('Data_Price '!AP$2:AP$1266,MATCH(Data!$DN1113,'Data_Price '!$AT$2:$AT$1266,0))</f>
        <v/>
      </c>
      <c r="DH1113">
        <f>INDEX('Data_Price '!AQ$2:AQ$1266,MATCH(Data!$DN1113,'Data_Price '!$AT$2:$AT$1266,0))</f>
        <v/>
      </c>
      <c r="DI1113">
        <f>INDEX('Data_Price '!AR$2:AR$1266,MATCH(Data!$DN1113,'Data_Price '!$AT$2:$AT$1266,0))</f>
        <v/>
      </c>
      <c r="DJ1113" s="138">
        <f>DA1113</f>
        <v/>
      </c>
      <c r="DK1113" s="138">
        <f>DE1113</f>
        <v/>
      </c>
      <c r="DL1113" s="138">
        <f>DI1113</f>
        <v/>
      </c>
      <c r="DM1113" s="303">
        <f>IF(LEFT(BT1113,1)=" ",RIGHT(BT1113,LEN(BT1113)-1),BT1113)</f>
        <v/>
      </c>
      <c r="DN1113" s="138">
        <f>_xlfn.CONCAT(BS1113,DM1113,BU1113,BV1113)</f>
        <v/>
      </c>
      <c r="DO1113" s="307" t="n"/>
    </row>
    <row r="1114" ht="15.6" customHeight="1" s="184">
      <c r="B1114" s="303">
        <f t="array" ref="B1114">IF(OR(ISERROR(K1114:P1114)),FALSE,TRUE)</f>
        <v/>
      </c>
      <c r="C1114" s="60">
        <f>OR(BR1114=Driver!$G$50,Data!BR688=Driver!$H$50)</f>
        <v/>
      </c>
      <c r="D1114" s="60">
        <f>OR(BV1114=Driver!$G$51,BV1114=Driver!$H$51)</f>
        <v/>
      </c>
      <c r="E1114" s="60">
        <f>AND(BX1114&gt;Driver!$F$54,BX1114&lt;Driver!$G$54)</f>
        <v/>
      </c>
      <c r="F1114" s="60">
        <f>CL1114&gt;Driver!$F$56</f>
        <v/>
      </c>
      <c r="G1114" s="60">
        <f>AND(CB1114&gt;Driver!$F$55,CB1114&lt;Driver!$G$55)</f>
        <v/>
      </c>
      <c r="H1114" s="60">
        <f>AND(B1114:G1114)</f>
        <v/>
      </c>
      <c r="I1114" s="60">
        <f>COUNTIFS($H$9:$H$1273,TRUE,$BT$9:$BT$1273,BT1114)</f>
        <v/>
      </c>
      <c r="J1114" s="60">
        <f t="array" ref="J1114">NOT(OR(($H$9:$H$1273=TRUE)*($I$9:$I$1273&gt;0)*($BT$9:$BT$1273=BT1114)*($K$9:$K$1273&gt;K1114)))</f>
        <v/>
      </c>
      <c r="K1114" s="108">
        <f>IFERROR(1-AVERAGE(X1114:Y1114),"")</f>
        <v/>
      </c>
      <c r="L1114" s="108">
        <f>1-X1114</f>
        <v/>
      </c>
      <c r="M1114" s="108">
        <f>1-Y1114</f>
        <v/>
      </c>
      <c r="N1114" s="108">
        <f>1-Z1114</f>
        <v/>
      </c>
      <c r="O1114" s="108">
        <f>1-AA1114</f>
        <v/>
      </c>
      <c r="P1114" s="108">
        <f>1-AB1114</f>
        <v/>
      </c>
      <c r="Q1114" s="108" t="n"/>
      <c r="R1114" s="108" t="n"/>
      <c r="S1114" s="108">
        <f>1-AE1114</f>
        <v/>
      </c>
      <c r="T1114" s="108">
        <f>1-AF1114</f>
        <v/>
      </c>
      <c r="U1114" s="108">
        <f>1-AG1114</f>
        <v/>
      </c>
      <c r="V1114" s="108">
        <f>1-AH1114</f>
        <v/>
      </c>
      <c r="W1114" s="108">
        <f>1-AI1114</f>
        <v/>
      </c>
      <c r="X1114" s="108">
        <f>ABS(AJ1114-AJ$1)</f>
        <v/>
      </c>
      <c r="Y1114" s="108">
        <f>AVERAGE(Z1114:AB1114)</f>
        <v/>
      </c>
      <c r="Z1114" s="108">
        <f>ABS(AL1114-AL$1)</f>
        <v/>
      </c>
      <c r="AA1114" s="108">
        <f>ABS(AM1114-AM$1)</f>
        <v/>
      </c>
      <c r="AB1114" s="108">
        <f>ABS(AN1114-AN$1)</f>
        <v/>
      </c>
      <c r="AC1114" s="108" t="n"/>
      <c r="AD1114" s="108" t="n"/>
      <c r="AE1114" s="108">
        <f>ABS(AQ$1-AQ1114)</f>
        <v/>
      </c>
      <c r="AF1114" s="108">
        <f>ABS(AR$1-AR1114)</f>
        <v/>
      </c>
      <c r="AG1114" s="108">
        <f>ABS(AS$1-AS1114)</f>
        <v/>
      </c>
      <c r="AH1114" s="108">
        <f>ABS(AT$1-AT1114)</f>
        <v/>
      </c>
      <c r="AI1114" s="108">
        <f>ABS(AU$1-AU1114)</f>
        <v/>
      </c>
      <c r="AJ1114" s="108">
        <f>(AV1114-Driver!$K$179)/(Driver!$L$179-Driver!$K$179)</f>
        <v/>
      </c>
      <c r="AK1114" s="108">
        <f>(AW1114-Driver!$K$180)/(Driver!$L$180-Driver!$K$180)</f>
        <v/>
      </c>
      <c r="AL1114" s="108">
        <f>(AX1114-Driver!$K$181)/(Driver!$L$181-Driver!$K$181)</f>
        <v/>
      </c>
      <c r="AM1114" s="108">
        <f>(AY1114-Driver!$K$182)/(Driver!$L$182-Driver!$K$182)</f>
        <v/>
      </c>
      <c r="AN1114" s="108">
        <f>(AZ1114-Driver!$K$183)/(Driver!$L$183-Driver!$K$183)</f>
        <v/>
      </c>
      <c r="AO1114" s="108" t="n"/>
      <c r="AP1114" s="108" t="n"/>
      <c r="AQ1114" s="108">
        <f>(BC1114-Driver!$K$188)/(Driver!$L$188-Driver!$K$188)</f>
        <v/>
      </c>
      <c r="AR1114" s="108">
        <f>MIN((BD1114-Driver!$K$189)/(Driver!$L$189-Driver!$K$189),100%)</f>
        <v/>
      </c>
      <c r="AS1114" s="108">
        <f>(BE1114-Driver!$K$190)/(Driver!$L$190-Driver!$K$190)</f>
        <v/>
      </c>
      <c r="AT1114" s="108">
        <f>(BF1114-Driver!$K$191)/(Driver!$L$191-Driver!$K$191)</f>
        <v/>
      </c>
      <c r="AU1114" s="108">
        <f>(BG1114-Driver!$K$192)/(Driver!$L$192-Driver!$K$192)</f>
        <v/>
      </c>
      <c r="AV1114" s="105">
        <f>IFERROR(BM1114*BJ1114^1/4,"")</f>
        <v/>
      </c>
      <c r="AW1114" s="105">
        <f>IFERROR(SUM(AX1114:AZ1114),"")</f>
        <v/>
      </c>
      <c r="AX1114" s="105">
        <f>IFERROR(BH1114,"")</f>
        <v/>
      </c>
      <c r="AY1114" s="105">
        <f>IFERROR(Driver!$K$19/Data!BH1114/Data!BI1114*Data!BK1114*Data!BL1114,"")</f>
        <v/>
      </c>
      <c r="AZ1114" s="105">
        <f>IFERROR(BI1114*BN1114,"")</f>
        <v/>
      </c>
      <c r="BA1114" s="105" t="n"/>
      <c r="BB1114" s="105" t="n"/>
      <c r="BC1114" s="105">
        <f>IFERROR(BI1114*BN1114*BK1114/BJ1114^(1/2),"")</f>
        <v/>
      </c>
      <c r="BD1114" s="105">
        <f>IFERROR(BH1114*BM1114*BL1114/BJ1114/BK1114,"")</f>
        <v/>
      </c>
      <c r="BE1114" s="105">
        <f>IFERROR(MIN(BI1114/BQ1114/BP1114/BO1114/BH1114,$BE$1),"")</f>
        <v/>
      </c>
      <c r="BF1114" s="105">
        <f>IFERROR(BJ1114*BO1114*BP1114/BK1114,"")</f>
        <v/>
      </c>
      <c r="BG1114" s="105">
        <f>IFERROR(1/BM1114/BH1114*BQ1114,"")</f>
        <v/>
      </c>
      <c r="BH1114" s="102">
        <f>MAX((CE1114-Driver!$F$200)/(Driver!$G$200-Driver!$F$200)*$BI$1,1)</f>
        <v/>
      </c>
      <c r="BI1114" s="102">
        <f>MAX($BI$1*(BY1114-Driver!$F$201)/(Driver!$G$201-Driver!$F$201),1)</f>
        <v/>
      </c>
      <c r="BJ1114" s="102">
        <f>(CB1114-Driver!$F$206)/(Driver!$G$206-Driver!$F$206)*$BI$1</f>
        <v/>
      </c>
      <c r="BK1114" s="102">
        <f>(CD1114-Driver!$F$203)/(Driver!$G$203-Driver!$F$203)*$BI$1</f>
        <v/>
      </c>
      <c r="BL1114" s="102">
        <f>MAX((CR1114-Driver!$F$202)/(Driver!$G$202-Driver!$F$202)*$BI$1,1)</f>
        <v/>
      </c>
      <c r="BM1114" s="102">
        <f>MAX((CH1114-Driver!$F$204)/(Driver!$G$204-Driver!$F$204)*$BI$1,1)</f>
        <v/>
      </c>
      <c r="BN1114" s="102">
        <f>(CI1114-Driver!$F$205)/(Driver!$G$205-Driver!$F$205)*$BI$1</f>
        <v/>
      </c>
      <c r="BO1114" s="102">
        <f>(CK1114-Driver!$F$207)/(Driver!$G$207-Driver!$F$207)*$BI$1</f>
        <v/>
      </c>
      <c r="BP1114" s="102">
        <f>(CM1114-Driver!$F$208)/(Driver!$G$208-Driver!$F$208)*$BI$1</f>
        <v/>
      </c>
      <c r="BQ1114" s="102">
        <f>(CL1114-Driver!$F$209)/(Driver!$G$209-Driver!$F$209)*$BI$1</f>
        <v/>
      </c>
      <c r="BR1114" s="40" t="inlineStr">
        <is>
          <t>21/22</t>
        </is>
      </c>
      <c r="BS1114" s="10" t="inlineStr">
        <is>
          <t xml:space="preserve"> Icelantic</t>
        </is>
      </c>
      <c r="BT1114" s="11" t="inlineStr">
        <is>
          <t>Riveter 85</t>
        </is>
      </c>
      <c r="BU1114" s="13" t="n">
        <v>150</v>
      </c>
      <c r="BV1114" s="11" t="inlineStr">
        <is>
          <t xml:space="preserve"> Women's</t>
        </is>
      </c>
      <c r="BW1114" s="13" t="n">
        <v>150</v>
      </c>
      <c r="BX1114" s="13" t="n">
        <v>148.7</v>
      </c>
      <c r="BY1114" s="13" t="n">
        <v>100</v>
      </c>
      <c r="BZ1114" s="13" t="n">
        <v>120</v>
      </c>
      <c r="CA1114" s="13" t="n">
        <v>119</v>
      </c>
      <c r="CB1114" s="13" t="n">
        <v>84</v>
      </c>
      <c r="CC1114" s="13" t="n">
        <v>107</v>
      </c>
      <c r="CD1114" s="13" t="n">
        <v>11.8</v>
      </c>
      <c r="CE1114" s="13" t="n">
        <v>1326</v>
      </c>
      <c r="CF1114" s="13" t="n">
        <v>1.08</v>
      </c>
      <c r="CG1114" s="13" t="n">
        <v>1426</v>
      </c>
      <c r="CH1114" s="13" t="n">
        <v>134</v>
      </c>
      <c r="CI1114" s="13" t="n">
        <v>57</v>
      </c>
      <c r="CJ1114" s="13" t="n">
        <v>54</v>
      </c>
      <c r="CK1114" s="13" t="n">
        <v>308</v>
      </c>
      <c r="CL1114" s="13" t="n">
        <v>11</v>
      </c>
      <c r="CM1114" s="13" t="n">
        <v>183</v>
      </c>
      <c r="CN1114" s="13" t="n">
        <v>0.199</v>
      </c>
      <c r="CO1114" s="13" t="n">
        <v>176</v>
      </c>
      <c r="CP1114" s="13" t="n">
        <v>111</v>
      </c>
      <c r="CQ1114" s="13" t="n">
        <v>132</v>
      </c>
      <c r="CR1114" s="13" t="n">
        <v>5</v>
      </c>
      <c r="CS1114" s="13" t="n">
        <v>8.4</v>
      </c>
      <c r="CT1114" s="11" t="inlineStr">
        <is>
          <t xml:space="preserve"> On-Piste All-Mountain</t>
        </is>
      </c>
      <c r="CU1114" s="11" t="inlineStr">
        <is>
          <t xml:space="preserve"> Resort Freeride</t>
        </is>
      </c>
      <c r="CV1114" s="11" t="inlineStr">
        <is>
          <t xml:space="preserve"> Touring</t>
        </is>
      </c>
      <c r="CW1114" s="13" t="n"/>
      <c r="CX1114">
        <f>INDEX('Data_Price '!AG$2:AG$1266,MATCH(Data!$DN1114,'Data_Price '!$AT$2:$AT$1266,0))</f>
        <v/>
      </c>
      <c r="CY1114">
        <f>INDEX('Data_Price '!AH$2:AH$1266,MATCH(Data!$DN1114,'Data_Price '!$AT$2:$AT$1266,0))</f>
        <v/>
      </c>
      <c r="CZ1114">
        <f>INDEX('Data_Price '!AI$2:AI$1266,MATCH(Data!$DN1114,'Data_Price '!$AT$2:$AT$1266,0))</f>
        <v/>
      </c>
      <c r="DA1114">
        <f>INDEX('Data_Price '!AJ$2:AJ$1266,MATCH(Data!$DN1114,'Data_Price '!$AT$2:$AT$1266,0))</f>
        <v/>
      </c>
      <c r="DB1114">
        <f>INDEX('Data_Price '!AK$2:AK$1266,MATCH(Data!$DN1114,'Data_Price '!$AT$2:$AT$1266,0))</f>
        <v/>
      </c>
      <c r="DC1114">
        <f>INDEX('Data_Price '!AL$2:AL$1266,MATCH(Data!$DN1114,'Data_Price '!$AT$2:$AT$1266,0))</f>
        <v/>
      </c>
      <c r="DD1114">
        <f>INDEX('Data_Price '!AM$2:AM$1266,MATCH(Data!$DN1114,'Data_Price '!$AT$2:$AT$1266,0))</f>
        <v/>
      </c>
      <c r="DE1114">
        <f>INDEX('Data_Price '!AN$2:AN$1266,MATCH(Data!$DN1114,'Data_Price '!$AT$2:$AT$1266,0))</f>
        <v/>
      </c>
      <c r="DF1114">
        <f>INDEX('Data_Price '!AO$2:AO$1266,MATCH(Data!$DN1114,'Data_Price '!$AT$2:$AT$1266,0))</f>
        <v/>
      </c>
      <c r="DG1114">
        <f>INDEX('Data_Price '!AP$2:AP$1266,MATCH(Data!$DN1114,'Data_Price '!$AT$2:$AT$1266,0))</f>
        <v/>
      </c>
      <c r="DH1114">
        <f>INDEX('Data_Price '!AQ$2:AQ$1266,MATCH(Data!$DN1114,'Data_Price '!$AT$2:$AT$1266,0))</f>
        <v/>
      </c>
      <c r="DI1114">
        <f>INDEX('Data_Price '!AR$2:AR$1266,MATCH(Data!$DN1114,'Data_Price '!$AT$2:$AT$1266,0))</f>
        <v/>
      </c>
      <c r="DJ1114" s="138">
        <f>DA1114</f>
        <v/>
      </c>
      <c r="DK1114" s="138">
        <f>DE1114</f>
        <v/>
      </c>
      <c r="DL1114" s="138">
        <f>DI1114</f>
        <v/>
      </c>
      <c r="DM1114" s="303">
        <f>IF(LEFT(BT1114,1)=" ",RIGHT(BT1114,LEN(BT1114)-1),BT1114)</f>
        <v/>
      </c>
      <c r="DN1114" s="138">
        <f>_xlfn.CONCAT(BS1114,DM1114,BU1114,BV1114)</f>
        <v/>
      </c>
      <c r="DO1114" s="307" t="inlineStr">
        <is>
          <t>https://images.evo.com/imgp/250/208409/833112/clone.jpg</t>
        </is>
      </c>
    </row>
    <row r="1115" ht="15.6" customHeight="1" s="184">
      <c r="B1115" s="303">
        <f t="array" ref="B1115">IF(OR(ISERROR(K1115:P1115)),FALSE,TRUE)</f>
        <v/>
      </c>
      <c r="C1115" s="60">
        <f>OR(BR1115=Driver!$G$50,Data!BR945=Driver!$H$50)</f>
        <v/>
      </c>
      <c r="D1115" s="60">
        <f>OR(BV1115=Driver!$G$51,BV1115=Driver!$H$51)</f>
        <v/>
      </c>
      <c r="E1115" s="60">
        <f>AND(BX1115&gt;Driver!$F$54,BX1115&lt;Driver!$G$54)</f>
        <v/>
      </c>
      <c r="F1115" s="60">
        <f>CL1115&gt;Driver!$F$56</f>
        <v/>
      </c>
      <c r="G1115" s="60">
        <f>AND(CB1115&gt;Driver!$F$55,CB1115&lt;Driver!$G$55)</f>
        <v/>
      </c>
      <c r="H1115" s="60">
        <f>AND(B1115:G1115)</f>
        <v/>
      </c>
      <c r="I1115" s="60">
        <f>COUNTIFS($H$9:$H$1273,TRUE,$BT$9:$BT$1273,BT1115)</f>
        <v/>
      </c>
      <c r="J1115" s="60">
        <f t="array" ref="J1115">NOT(OR(($H$9:$H$1273=TRUE)*($I$9:$I$1273&gt;0)*($BT$9:$BT$1273=BT1115)*($K$9:$K$1273&gt;K1115)))</f>
        <v/>
      </c>
      <c r="K1115" s="108">
        <f>IFERROR(1-AVERAGE(X1115:Y1115),"")</f>
        <v/>
      </c>
      <c r="L1115" s="108">
        <f>1-X1115</f>
        <v/>
      </c>
      <c r="M1115" s="108">
        <f>1-Y1115</f>
        <v/>
      </c>
      <c r="N1115" s="108">
        <f>1-Z1115</f>
        <v/>
      </c>
      <c r="O1115" s="108">
        <f>1-AA1115</f>
        <v/>
      </c>
      <c r="P1115" s="108">
        <f>1-AB1115</f>
        <v/>
      </c>
      <c r="Q1115" s="108" t="n"/>
      <c r="R1115" s="108" t="n"/>
      <c r="S1115" s="108">
        <f>1-AE1115</f>
        <v/>
      </c>
      <c r="T1115" s="108">
        <f>1-AF1115</f>
        <v/>
      </c>
      <c r="U1115" s="108">
        <f>1-AG1115</f>
        <v/>
      </c>
      <c r="V1115" s="108">
        <f>1-AH1115</f>
        <v/>
      </c>
      <c r="W1115" s="108">
        <f>1-AI1115</f>
        <v/>
      </c>
      <c r="X1115" s="108">
        <f>ABS(AJ1115-AJ$1)</f>
        <v/>
      </c>
      <c r="Y1115" s="108">
        <f>AVERAGE(Z1115:AB1115)</f>
        <v/>
      </c>
      <c r="Z1115" s="108">
        <f>ABS(AL1115-AL$1)</f>
        <v/>
      </c>
      <c r="AA1115" s="108">
        <f>ABS(AM1115-AM$1)</f>
        <v/>
      </c>
      <c r="AB1115" s="108">
        <f>ABS(AN1115-AN$1)</f>
        <v/>
      </c>
      <c r="AC1115" s="108" t="n"/>
      <c r="AD1115" s="108" t="n"/>
      <c r="AE1115" s="108">
        <f>ABS(AQ$1-AQ1115)</f>
        <v/>
      </c>
      <c r="AF1115" s="108">
        <f>ABS(AR$1-AR1115)</f>
        <v/>
      </c>
      <c r="AG1115" s="108">
        <f>ABS(AS$1-AS1115)</f>
        <v/>
      </c>
      <c r="AH1115" s="108">
        <f>ABS(AT$1-AT1115)</f>
        <v/>
      </c>
      <c r="AI1115" s="108">
        <f>ABS(AU$1-AU1115)</f>
        <v/>
      </c>
      <c r="AJ1115" s="108">
        <f>(AV1115-Driver!$K$179)/(Driver!$L$179-Driver!$K$179)</f>
        <v/>
      </c>
      <c r="AK1115" s="108">
        <f>(AW1115-Driver!$K$180)/(Driver!$L$180-Driver!$K$180)</f>
        <v/>
      </c>
      <c r="AL1115" s="108">
        <f>(AX1115-Driver!$K$181)/(Driver!$L$181-Driver!$K$181)</f>
        <v/>
      </c>
      <c r="AM1115" s="108">
        <f>(AY1115-Driver!$K$182)/(Driver!$L$182-Driver!$K$182)</f>
        <v/>
      </c>
      <c r="AN1115" s="108">
        <f>(AZ1115-Driver!$K$183)/(Driver!$L$183-Driver!$K$183)</f>
        <v/>
      </c>
      <c r="AO1115" s="108" t="n"/>
      <c r="AP1115" s="108" t="n"/>
      <c r="AQ1115" s="108">
        <f>(BC1115-Driver!$K$188)/(Driver!$L$188-Driver!$K$188)</f>
        <v/>
      </c>
      <c r="AR1115" s="108">
        <f>MIN((BD1115-Driver!$K$189)/(Driver!$L$189-Driver!$K$189),100%)</f>
        <v/>
      </c>
      <c r="AS1115" s="108">
        <f>(BE1115-Driver!$K$190)/(Driver!$L$190-Driver!$K$190)</f>
        <v/>
      </c>
      <c r="AT1115" s="108">
        <f>(BF1115-Driver!$K$191)/(Driver!$L$191-Driver!$K$191)</f>
        <v/>
      </c>
      <c r="AU1115" s="108">
        <f>(BG1115-Driver!$K$192)/(Driver!$L$192-Driver!$K$192)</f>
        <v/>
      </c>
      <c r="AV1115" s="105">
        <f>IFERROR(BM1115*BJ1115^1/4,"")</f>
        <v/>
      </c>
      <c r="AW1115" s="105">
        <f>IFERROR(SUM(AX1115:AZ1115),"")</f>
        <v/>
      </c>
      <c r="AX1115" s="105">
        <f>IFERROR(BH1115,"")</f>
        <v/>
      </c>
      <c r="AY1115" s="105">
        <f>IFERROR(Driver!$K$19/Data!BH1115/Data!BI1115*Data!BK1115*Data!BL1115,"")</f>
        <v/>
      </c>
      <c r="AZ1115" s="105">
        <f>IFERROR(BI1115*BN1115,"")</f>
        <v/>
      </c>
      <c r="BA1115" s="105" t="n"/>
      <c r="BB1115" s="105" t="n"/>
      <c r="BC1115" s="105">
        <f>IFERROR(BI1115*BN1115*BK1115/BJ1115^(1/2),"")</f>
        <v/>
      </c>
      <c r="BD1115" s="105">
        <f>IFERROR(BH1115*BM1115*BL1115/BJ1115/BK1115,"")</f>
        <v/>
      </c>
      <c r="BE1115" s="105">
        <f>IFERROR(MIN(BI1115/BQ1115/BP1115/BO1115/BH1115,$BE$1),"")</f>
        <v/>
      </c>
      <c r="BF1115" s="105">
        <f>IFERROR(BJ1115*BO1115*BP1115/BK1115,"")</f>
        <v/>
      </c>
      <c r="BG1115" s="105">
        <f>IFERROR(1/BM1115/BH1115*BQ1115,"")</f>
        <v/>
      </c>
      <c r="BH1115" s="102">
        <f>MAX((CE1115-Driver!$F$200)/(Driver!$G$200-Driver!$F$200)*$BI$1,1)</f>
        <v/>
      </c>
      <c r="BI1115" s="102">
        <f>MAX($BI$1*(BY1115-Driver!$F$201)/(Driver!$G$201-Driver!$F$201),1)</f>
        <v/>
      </c>
      <c r="BJ1115" s="102">
        <f>(CB1115-Driver!$F$206)/(Driver!$G$206-Driver!$F$206)*$BI$1</f>
        <v/>
      </c>
      <c r="BK1115" s="102">
        <f>(CD1115-Driver!$F$203)/(Driver!$G$203-Driver!$F$203)*$BI$1</f>
        <v/>
      </c>
      <c r="BL1115" s="102">
        <f>MAX((CR1115-Driver!$F$202)/(Driver!$G$202-Driver!$F$202)*$BI$1,1)</f>
        <v/>
      </c>
      <c r="BM1115" s="102">
        <f>MAX((CH1115-Driver!$F$204)/(Driver!$G$204-Driver!$F$204)*$BI$1,1)</f>
        <v/>
      </c>
      <c r="BN1115" s="102">
        <f>(CI1115-Driver!$F$205)/(Driver!$G$205-Driver!$F$205)*$BI$1</f>
        <v/>
      </c>
      <c r="BO1115" s="102">
        <f>(CK1115-Driver!$F$207)/(Driver!$G$207-Driver!$F$207)*$BI$1</f>
        <v/>
      </c>
      <c r="BP1115" s="102">
        <f>(CM1115-Driver!$F$208)/(Driver!$G$208-Driver!$F$208)*$BI$1</f>
        <v/>
      </c>
      <c r="BQ1115" s="102">
        <f>(CL1115-Driver!$F$209)/(Driver!$G$209-Driver!$F$209)*$BI$1</f>
        <v/>
      </c>
      <c r="BR1115" s="40" t="inlineStr">
        <is>
          <t>21/22</t>
        </is>
      </c>
      <c r="BS1115" s="10" t="inlineStr">
        <is>
          <t xml:space="preserve"> Nordica</t>
        </is>
      </c>
      <c r="BT1115" s="11" t="inlineStr">
        <is>
          <t>Spitfire 70 Ti</t>
        </is>
      </c>
      <c r="BU1115" s="13" t="n">
        <v>170</v>
      </c>
      <c r="BV1115" s="11" t="inlineStr">
        <is>
          <t xml:space="preserve"> Unisex</t>
        </is>
      </c>
      <c r="BW1115" s="13" t="n">
        <v>170</v>
      </c>
      <c r="BX1115" s="13" t="n">
        <v>168.9</v>
      </c>
      <c r="BY1115" s="13" t="n">
        <v>150</v>
      </c>
      <c r="BZ1115" s="13" t="n">
        <v>158</v>
      </c>
      <c r="CA1115" s="13" t="n">
        <v>121</v>
      </c>
      <c r="CB1115" s="13" t="n">
        <v>69</v>
      </c>
      <c r="CC1115" s="13" t="n">
        <v>100</v>
      </c>
      <c r="CD1115" s="13" t="n">
        <v>15.3</v>
      </c>
      <c r="CE1115" s="13" t="n">
        <v>2112</v>
      </c>
      <c r="CF1115" s="13" t="n">
        <v>0.68</v>
      </c>
      <c r="CG1115" s="13" t="n">
        <v>1428</v>
      </c>
      <c r="CH1115" s="13" t="n">
        <v>227</v>
      </c>
      <c r="CI1115" s="13" t="n">
        <v>111</v>
      </c>
      <c r="CJ1115" s="13" t="n">
        <v>40</v>
      </c>
      <c r="CK1115" s="13" t="n">
        <v>139</v>
      </c>
      <c r="CL1115" s="13" t="n">
        <v>6</v>
      </c>
      <c r="CM1115" s="13" t="n">
        <v>54</v>
      </c>
      <c r="CN1115" s="13" t="n">
        <v>0.153</v>
      </c>
      <c r="CO1115" s="13" t="n">
        <v>66</v>
      </c>
      <c r="CP1115" s="13" t="n">
        <v>48</v>
      </c>
      <c r="CQ1115" s="13" t="n">
        <v>73</v>
      </c>
      <c r="CR1115" s="13" t="n">
        <v>5</v>
      </c>
      <c r="CS1115" s="13" t="n">
        <v>12.9</v>
      </c>
      <c r="CT1115" s="11" t="inlineStr">
        <is>
          <t xml:space="preserve"> On-Piste Carving</t>
        </is>
      </c>
      <c r="CU1115" s="13" t="n"/>
      <c r="CV1115" s="13" t="n"/>
      <c r="CW1115" s="13" t="n"/>
      <c r="CX1115">
        <f>INDEX('Data_Price '!AG$2:AG$1266,MATCH(Data!$DN1115,'Data_Price '!$AT$2:$AT$1266,0))</f>
        <v/>
      </c>
      <c r="CY1115">
        <f>INDEX('Data_Price '!AH$2:AH$1266,MATCH(Data!$DN1115,'Data_Price '!$AT$2:$AT$1266,0))</f>
        <v/>
      </c>
      <c r="CZ1115">
        <f>INDEX('Data_Price '!AI$2:AI$1266,MATCH(Data!$DN1115,'Data_Price '!$AT$2:$AT$1266,0))</f>
        <v/>
      </c>
      <c r="DA1115">
        <f>INDEX('Data_Price '!AJ$2:AJ$1266,MATCH(Data!$DN1115,'Data_Price '!$AT$2:$AT$1266,0))</f>
        <v/>
      </c>
      <c r="DB1115">
        <f>INDEX('Data_Price '!AK$2:AK$1266,MATCH(Data!$DN1115,'Data_Price '!$AT$2:$AT$1266,0))</f>
        <v/>
      </c>
      <c r="DC1115">
        <f>INDEX('Data_Price '!AL$2:AL$1266,MATCH(Data!$DN1115,'Data_Price '!$AT$2:$AT$1266,0))</f>
        <v/>
      </c>
      <c r="DD1115">
        <f>INDEX('Data_Price '!AM$2:AM$1266,MATCH(Data!$DN1115,'Data_Price '!$AT$2:$AT$1266,0))</f>
        <v/>
      </c>
      <c r="DE1115">
        <f>INDEX('Data_Price '!AN$2:AN$1266,MATCH(Data!$DN1115,'Data_Price '!$AT$2:$AT$1266,0))</f>
        <v/>
      </c>
      <c r="DF1115">
        <f>INDEX('Data_Price '!AO$2:AO$1266,MATCH(Data!$DN1115,'Data_Price '!$AT$2:$AT$1266,0))</f>
        <v/>
      </c>
      <c r="DG1115">
        <f>INDEX('Data_Price '!AP$2:AP$1266,MATCH(Data!$DN1115,'Data_Price '!$AT$2:$AT$1266,0))</f>
        <v/>
      </c>
      <c r="DH1115">
        <f>INDEX('Data_Price '!AQ$2:AQ$1266,MATCH(Data!$DN1115,'Data_Price '!$AT$2:$AT$1266,0))</f>
        <v/>
      </c>
      <c r="DI1115">
        <f>INDEX('Data_Price '!AR$2:AR$1266,MATCH(Data!$DN1115,'Data_Price '!$AT$2:$AT$1266,0))</f>
        <v/>
      </c>
      <c r="DJ1115" s="138">
        <f>DA1115</f>
        <v/>
      </c>
      <c r="DK1115" s="138">
        <f>DE1115</f>
        <v/>
      </c>
      <c r="DL1115" s="138">
        <f>DI1115</f>
        <v/>
      </c>
      <c r="DM1115" s="303">
        <f>IF(LEFT(BT1115,1)=" ",RIGHT(BT1115,LEN(BT1115)-1),BT1115)</f>
        <v/>
      </c>
      <c r="DN1115" s="138">
        <f>_xlfn.CONCAT(BS1115,DM1115,BU1115,BV1115)</f>
        <v/>
      </c>
      <c r="DO1115" s="307" t="n"/>
    </row>
    <row r="1116" ht="15.6" customHeight="1" s="184">
      <c r="B1116" s="303">
        <f t="array" ref="B1116">IF(OR(ISERROR(K1116:P1116)),FALSE,TRUE)</f>
        <v/>
      </c>
      <c r="C1116" s="60">
        <f>OR(BR1116=Driver!$G$50,Data!BR141=Driver!$H$50)</f>
        <v/>
      </c>
      <c r="D1116" s="60">
        <f>OR(BV1116=Driver!$G$51,BV1116=Driver!$H$51)</f>
        <v/>
      </c>
      <c r="E1116" s="60">
        <f>AND(BX1116&gt;Driver!$F$54,BX1116&lt;Driver!$G$54)</f>
        <v/>
      </c>
      <c r="F1116" s="60">
        <f>CL1116&gt;Driver!$F$56</f>
        <v/>
      </c>
      <c r="G1116" s="60">
        <f>AND(CB1116&gt;Driver!$F$55,CB1116&lt;Driver!$G$55)</f>
        <v/>
      </c>
      <c r="H1116" s="60">
        <f>AND(B1116:G1116)</f>
        <v/>
      </c>
      <c r="I1116" s="60">
        <f>COUNTIFS($H$9:$H$1273,TRUE,$BT$9:$BT$1273,BT1116)</f>
        <v/>
      </c>
      <c r="J1116" s="60">
        <f t="array" ref="J1116">NOT(OR(($H$9:$H$1273=TRUE)*($I$9:$I$1273&gt;0)*($BT$9:$BT$1273=BT1116)*($K$9:$K$1273&gt;K1116)))</f>
        <v/>
      </c>
      <c r="K1116" s="108">
        <f>IFERROR(1-AVERAGE(X1116:Y1116),"")</f>
        <v/>
      </c>
      <c r="L1116" s="108">
        <f>1-X1116</f>
        <v/>
      </c>
      <c r="M1116" s="108">
        <f>1-Y1116</f>
        <v/>
      </c>
      <c r="N1116" s="108">
        <f>1-Z1116</f>
        <v/>
      </c>
      <c r="O1116" s="108">
        <f>1-AA1116</f>
        <v/>
      </c>
      <c r="P1116" s="108">
        <f>1-AB1116</f>
        <v/>
      </c>
      <c r="Q1116" s="108" t="n"/>
      <c r="R1116" s="108" t="n"/>
      <c r="S1116" s="108">
        <f>1-AE1116</f>
        <v/>
      </c>
      <c r="T1116" s="108">
        <f>1-AF1116</f>
        <v/>
      </c>
      <c r="U1116" s="108">
        <f>1-AG1116</f>
        <v/>
      </c>
      <c r="V1116" s="108">
        <f>1-AH1116</f>
        <v/>
      </c>
      <c r="W1116" s="108">
        <f>1-AI1116</f>
        <v/>
      </c>
      <c r="X1116" s="108">
        <f>ABS(AJ1116-AJ$1)</f>
        <v/>
      </c>
      <c r="Y1116" s="108">
        <f>AVERAGE(Z1116:AB1116)</f>
        <v/>
      </c>
      <c r="Z1116" s="108">
        <f>ABS(AL1116-AL$1)</f>
        <v/>
      </c>
      <c r="AA1116" s="108">
        <f>ABS(AM1116-AM$1)</f>
        <v/>
      </c>
      <c r="AB1116" s="108">
        <f>ABS(AN1116-AN$1)</f>
        <v/>
      </c>
      <c r="AC1116" s="108" t="n"/>
      <c r="AD1116" s="108" t="n"/>
      <c r="AE1116" s="108">
        <f>ABS(AQ$1-AQ1116)</f>
        <v/>
      </c>
      <c r="AF1116" s="108">
        <f>ABS(AR$1-AR1116)</f>
        <v/>
      </c>
      <c r="AG1116" s="108">
        <f>ABS(AS$1-AS1116)</f>
        <v/>
      </c>
      <c r="AH1116" s="108">
        <f>ABS(AT$1-AT1116)</f>
        <v/>
      </c>
      <c r="AI1116" s="108">
        <f>ABS(AU$1-AU1116)</f>
        <v/>
      </c>
      <c r="AJ1116" s="108">
        <f>(AV1116-Driver!$K$179)/(Driver!$L$179-Driver!$K$179)</f>
        <v/>
      </c>
      <c r="AK1116" s="108">
        <f>(AW1116-Driver!$K$180)/(Driver!$L$180-Driver!$K$180)</f>
        <v/>
      </c>
      <c r="AL1116" s="108">
        <f>(AX1116-Driver!$K$181)/(Driver!$L$181-Driver!$K$181)</f>
        <v/>
      </c>
      <c r="AM1116" s="108">
        <f>(AY1116-Driver!$K$182)/(Driver!$L$182-Driver!$K$182)</f>
        <v/>
      </c>
      <c r="AN1116" s="108">
        <f>(AZ1116-Driver!$K$183)/(Driver!$L$183-Driver!$K$183)</f>
        <v/>
      </c>
      <c r="AO1116" s="108" t="n"/>
      <c r="AP1116" s="108" t="n"/>
      <c r="AQ1116" s="108">
        <f>(BC1116-Driver!$K$188)/(Driver!$L$188-Driver!$K$188)</f>
        <v/>
      </c>
      <c r="AR1116" s="108">
        <f>MIN((BD1116-Driver!$K$189)/(Driver!$L$189-Driver!$K$189),100%)</f>
        <v/>
      </c>
      <c r="AS1116" s="108">
        <f>(BE1116-Driver!$K$190)/(Driver!$L$190-Driver!$K$190)</f>
        <v/>
      </c>
      <c r="AT1116" s="108">
        <f>(BF1116-Driver!$K$191)/(Driver!$L$191-Driver!$K$191)</f>
        <v/>
      </c>
      <c r="AU1116" s="108">
        <f>(BG1116-Driver!$K$192)/(Driver!$L$192-Driver!$K$192)</f>
        <v/>
      </c>
      <c r="AV1116" s="105">
        <f>IFERROR(BM1116*BJ1116^1/4,"")</f>
        <v/>
      </c>
      <c r="AW1116" s="105">
        <f>IFERROR(SUM(AX1116:AZ1116),"")</f>
        <v/>
      </c>
      <c r="AX1116" s="105">
        <f>IFERROR(BH1116,"")</f>
        <v/>
      </c>
      <c r="AY1116" s="105">
        <f>IFERROR(Driver!$K$19/Data!BH1116/Data!BI1116*Data!BK1116*Data!BL1116,"")</f>
        <v/>
      </c>
      <c r="AZ1116" s="105">
        <f>IFERROR(BI1116*BN1116,"")</f>
        <v/>
      </c>
      <c r="BA1116" s="105" t="n"/>
      <c r="BB1116" s="105" t="n"/>
      <c r="BC1116" s="105">
        <f>IFERROR(BI1116*BN1116*BK1116/BJ1116^(1/2),"")</f>
        <v/>
      </c>
      <c r="BD1116" s="105">
        <f>IFERROR(BH1116*BM1116*BL1116/BJ1116/BK1116,"")</f>
        <v/>
      </c>
      <c r="BE1116" s="105">
        <f>IFERROR(MIN(BI1116/BQ1116/BP1116/BO1116/BH1116,$BE$1),"")</f>
        <v/>
      </c>
      <c r="BF1116" s="105">
        <f>IFERROR(BJ1116*BO1116*BP1116/BK1116,"")</f>
        <v/>
      </c>
      <c r="BG1116" s="105">
        <f>IFERROR(1/BM1116/BH1116*BQ1116,"")</f>
        <v/>
      </c>
      <c r="BH1116" s="102">
        <f>MAX((CE1116-Driver!$F$200)/(Driver!$G$200-Driver!$F$200)*$BI$1,1)</f>
        <v/>
      </c>
      <c r="BI1116" s="102">
        <f>MAX($BI$1*(BY1116-Driver!$F$201)/(Driver!$G$201-Driver!$F$201),1)</f>
        <v/>
      </c>
      <c r="BJ1116" s="102">
        <f>(CB1116-Driver!$F$206)/(Driver!$G$206-Driver!$F$206)*$BI$1</f>
        <v/>
      </c>
      <c r="BK1116" s="102">
        <f>(CD1116-Driver!$F$203)/(Driver!$G$203-Driver!$F$203)*$BI$1</f>
        <v/>
      </c>
      <c r="BL1116" s="102">
        <f>MAX((CR1116-Driver!$F$202)/(Driver!$G$202-Driver!$F$202)*$BI$1,1)</f>
        <v/>
      </c>
      <c r="BM1116" s="102">
        <f>MAX((CH1116-Driver!$F$204)/(Driver!$G$204-Driver!$F$204)*$BI$1,1)</f>
        <v/>
      </c>
      <c r="BN1116" s="102">
        <f>(CI1116-Driver!$F$205)/(Driver!$G$205-Driver!$F$205)*$BI$1</f>
        <v/>
      </c>
      <c r="BO1116" s="102">
        <f>(CK1116-Driver!$F$207)/(Driver!$G$207-Driver!$F$207)*$BI$1</f>
        <v/>
      </c>
      <c r="BP1116" s="102">
        <f>(CM1116-Driver!$F$208)/(Driver!$G$208-Driver!$F$208)*$BI$1</f>
        <v/>
      </c>
      <c r="BQ1116" s="102">
        <f>(CL1116-Driver!$F$209)/(Driver!$G$209-Driver!$F$209)*$BI$1</f>
        <v/>
      </c>
      <c r="BR1116" s="40" t="inlineStr">
        <is>
          <t>21/22</t>
        </is>
      </c>
      <c r="BS1116" s="10" t="inlineStr">
        <is>
          <t xml:space="preserve"> Atomic</t>
        </is>
      </c>
      <c r="BT1116" s="11" t="inlineStr">
        <is>
          <t>Cloud C12 Servo</t>
        </is>
      </c>
      <c r="BU1116" s="13" t="n">
        <v>147</v>
      </c>
      <c r="BV1116" s="11" t="inlineStr">
        <is>
          <t xml:space="preserve"> Women's</t>
        </is>
      </c>
      <c r="BW1116" s="13" t="n">
        <v>147</v>
      </c>
      <c r="BX1116" s="13" t="n">
        <v>146.6</v>
      </c>
      <c r="BY1116" s="13" t="n">
        <v>127</v>
      </c>
      <c r="BZ1116" s="13" t="n">
        <v>134</v>
      </c>
      <c r="CA1116" s="13" t="n">
        <v>107</v>
      </c>
      <c r="CB1116" s="13" t="n">
        <v>69</v>
      </c>
      <c r="CC1116" s="13" t="n">
        <v>95</v>
      </c>
      <c r="CD1116" s="13" t="n">
        <v>13.1</v>
      </c>
      <c r="CE1116" s="13" t="n">
        <v>1663</v>
      </c>
      <c r="CF1116" s="13" t="n">
        <v>0.72</v>
      </c>
      <c r="CG1116" s="13" t="n">
        <v>1193</v>
      </c>
      <c r="CH1116" s="13" t="n">
        <v>134</v>
      </c>
      <c r="CI1116" s="13" t="n">
        <v>45</v>
      </c>
      <c r="CJ1116" s="13" t="n">
        <v>36</v>
      </c>
      <c r="CK1116" s="13" t="n">
        <v>140</v>
      </c>
      <c r="CL1116" s="13" t="n">
        <v>4</v>
      </c>
      <c r="CM1116" s="13" t="n">
        <v>52</v>
      </c>
      <c r="CN1116" s="13" t="n">
        <v>0.117</v>
      </c>
      <c r="CO1116" s="13" t="n">
        <v>80</v>
      </c>
      <c r="CP1116" s="13" t="n">
        <v>49</v>
      </c>
      <c r="CQ1116" s="13" t="n">
        <v>60</v>
      </c>
      <c r="CR1116" s="13" t="n">
        <v>7</v>
      </c>
      <c r="CS1116" s="13" t="n">
        <v>12.3</v>
      </c>
      <c r="CT1116" s="11" t="inlineStr">
        <is>
          <t xml:space="preserve"> On-Piste Carving</t>
        </is>
      </c>
      <c r="CU1116" s="13" t="n"/>
      <c r="CV1116" s="13" t="n"/>
      <c r="CW1116" s="13" t="n"/>
      <c r="CX1116">
        <f>INDEX('Data_Price '!AG$2:AG$1266,MATCH(Data!$DN1116,'Data_Price '!$AT$2:$AT$1266,0))</f>
        <v/>
      </c>
      <c r="CY1116">
        <f>INDEX('Data_Price '!AH$2:AH$1266,MATCH(Data!$DN1116,'Data_Price '!$AT$2:$AT$1266,0))</f>
        <v/>
      </c>
      <c r="CZ1116">
        <f>INDEX('Data_Price '!AI$2:AI$1266,MATCH(Data!$DN1116,'Data_Price '!$AT$2:$AT$1266,0))</f>
        <v/>
      </c>
      <c r="DA1116">
        <f>INDEX('Data_Price '!AJ$2:AJ$1266,MATCH(Data!$DN1116,'Data_Price '!$AT$2:$AT$1266,0))</f>
        <v/>
      </c>
      <c r="DB1116">
        <f>INDEX('Data_Price '!AK$2:AK$1266,MATCH(Data!$DN1116,'Data_Price '!$AT$2:$AT$1266,0))</f>
        <v/>
      </c>
      <c r="DC1116">
        <f>INDEX('Data_Price '!AL$2:AL$1266,MATCH(Data!$DN1116,'Data_Price '!$AT$2:$AT$1266,0))</f>
        <v/>
      </c>
      <c r="DD1116">
        <f>INDEX('Data_Price '!AM$2:AM$1266,MATCH(Data!$DN1116,'Data_Price '!$AT$2:$AT$1266,0))</f>
        <v/>
      </c>
      <c r="DE1116">
        <f>INDEX('Data_Price '!AN$2:AN$1266,MATCH(Data!$DN1116,'Data_Price '!$AT$2:$AT$1266,0))</f>
        <v/>
      </c>
      <c r="DF1116">
        <f>INDEX('Data_Price '!AO$2:AO$1266,MATCH(Data!$DN1116,'Data_Price '!$AT$2:$AT$1266,0))</f>
        <v/>
      </c>
      <c r="DG1116">
        <f>INDEX('Data_Price '!AP$2:AP$1266,MATCH(Data!$DN1116,'Data_Price '!$AT$2:$AT$1266,0))</f>
        <v/>
      </c>
      <c r="DH1116">
        <f>INDEX('Data_Price '!AQ$2:AQ$1266,MATCH(Data!$DN1116,'Data_Price '!$AT$2:$AT$1266,0))</f>
        <v/>
      </c>
      <c r="DI1116">
        <f>INDEX('Data_Price '!AR$2:AR$1266,MATCH(Data!$DN1116,'Data_Price '!$AT$2:$AT$1266,0))</f>
        <v/>
      </c>
      <c r="DJ1116" s="138">
        <f>DA1116</f>
        <v/>
      </c>
      <c r="DK1116" s="138">
        <f>DE1116</f>
        <v/>
      </c>
      <c r="DL1116" s="138">
        <f>DI1116</f>
        <v/>
      </c>
      <c r="DM1116" s="303">
        <f>IF(LEFT(BT1116,1)=" ",RIGHT(BT1116,LEN(BT1116)-1),BT1116)</f>
        <v/>
      </c>
      <c r="DN1116" s="138">
        <f>_xlfn.CONCAT(BS1116,DM1116,BU1116,BV1116)</f>
        <v/>
      </c>
      <c r="DO1116" s="307" t="n"/>
    </row>
    <row r="1117" ht="15.6" customHeight="1" s="184">
      <c r="B1117" s="303">
        <f t="array" ref="B1117">IF(OR(ISERROR(K1117:P1117)),FALSE,TRUE)</f>
        <v/>
      </c>
      <c r="C1117" s="60">
        <f>OR(BR1117=Driver!$G$50,Data!BR1049=Driver!$H$50)</f>
        <v/>
      </c>
      <c r="D1117" s="60">
        <f>OR(BV1117=Driver!$G$51,BV1117=Driver!$H$51)</f>
        <v/>
      </c>
      <c r="E1117" s="60">
        <f>AND(BX1117&gt;Driver!$F$54,BX1117&lt;Driver!$G$54)</f>
        <v/>
      </c>
      <c r="F1117" s="60">
        <f>CL1117&gt;Driver!$F$56</f>
        <v/>
      </c>
      <c r="G1117" s="60">
        <f>AND(CB1117&gt;Driver!$F$55,CB1117&lt;Driver!$G$55)</f>
        <v/>
      </c>
      <c r="H1117" s="60">
        <f>AND(B1117:G1117)</f>
        <v/>
      </c>
      <c r="I1117" s="60">
        <f>COUNTIFS($H$9:$H$1273,TRUE,$BT$9:$BT$1273,BT1117)</f>
        <v/>
      </c>
      <c r="J1117" s="60">
        <f t="array" ref="J1117">NOT(OR(($H$9:$H$1273=TRUE)*($I$9:$I$1273&gt;0)*($BT$9:$BT$1273=BT1117)*($K$9:$K$1273&gt;K1117)))</f>
        <v/>
      </c>
      <c r="K1117" s="108">
        <f>IFERROR(1-AVERAGE(X1117:Y1117),"")</f>
        <v/>
      </c>
      <c r="L1117" s="108">
        <f>1-X1117</f>
        <v/>
      </c>
      <c r="M1117" s="108">
        <f>1-Y1117</f>
        <v/>
      </c>
      <c r="N1117" s="108">
        <f>1-Z1117</f>
        <v/>
      </c>
      <c r="O1117" s="108">
        <f>1-AA1117</f>
        <v/>
      </c>
      <c r="P1117" s="108">
        <f>1-AB1117</f>
        <v/>
      </c>
      <c r="Q1117" s="108" t="n"/>
      <c r="R1117" s="108" t="n"/>
      <c r="S1117" s="108">
        <f>1-AE1117</f>
        <v/>
      </c>
      <c r="T1117" s="108">
        <f>1-AF1117</f>
        <v/>
      </c>
      <c r="U1117" s="108">
        <f>1-AG1117</f>
        <v/>
      </c>
      <c r="V1117" s="108">
        <f>1-AH1117</f>
        <v/>
      </c>
      <c r="W1117" s="108">
        <f>1-AI1117</f>
        <v/>
      </c>
      <c r="X1117" s="108">
        <f>ABS(AJ1117-AJ$1)</f>
        <v/>
      </c>
      <c r="Y1117" s="108">
        <f>AVERAGE(Z1117:AB1117)</f>
        <v/>
      </c>
      <c r="Z1117" s="108">
        <f>ABS(AL1117-AL$1)</f>
        <v/>
      </c>
      <c r="AA1117" s="108">
        <f>ABS(AM1117-AM$1)</f>
        <v/>
      </c>
      <c r="AB1117" s="108">
        <f>ABS(AN1117-AN$1)</f>
        <v/>
      </c>
      <c r="AC1117" s="108" t="n"/>
      <c r="AD1117" s="108" t="n"/>
      <c r="AE1117" s="108">
        <f>ABS(AQ$1-AQ1117)</f>
        <v/>
      </c>
      <c r="AF1117" s="108">
        <f>ABS(AR$1-AR1117)</f>
        <v/>
      </c>
      <c r="AG1117" s="108">
        <f>ABS(AS$1-AS1117)</f>
        <v/>
      </c>
      <c r="AH1117" s="108">
        <f>ABS(AT$1-AT1117)</f>
        <v/>
      </c>
      <c r="AI1117" s="108">
        <f>ABS(AU$1-AU1117)</f>
        <v/>
      </c>
      <c r="AJ1117" s="108">
        <f>(AV1117-Driver!$K$179)/(Driver!$L$179-Driver!$K$179)</f>
        <v/>
      </c>
      <c r="AK1117" s="108">
        <f>(AW1117-Driver!$K$180)/(Driver!$L$180-Driver!$K$180)</f>
        <v/>
      </c>
      <c r="AL1117" s="108">
        <f>(AX1117-Driver!$K$181)/(Driver!$L$181-Driver!$K$181)</f>
        <v/>
      </c>
      <c r="AM1117" s="108">
        <f>(AY1117-Driver!$K$182)/(Driver!$L$182-Driver!$K$182)</f>
        <v/>
      </c>
      <c r="AN1117" s="108">
        <f>(AZ1117-Driver!$K$183)/(Driver!$L$183-Driver!$K$183)</f>
        <v/>
      </c>
      <c r="AO1117" s="108" t="n"/>
      <c r="AP1117" s="108" t="n"/>
      <c r="AQ1117" s="108">
        <f>(BC1117-Driver!$K$188)/(Driver!$L$188-Driver!$K$188)</f>
        <v/>
      </c>
      <c r="AR1117" s="108">
        <f>MIN((BD1117-Driver!$K$189)/(Driver!$L$189-Driver!$K$189),100%)</f>
        <v/>
      </c>
      <c r="AS1117" s="108">
        <f>(BE1117-Driver!$K$190)/(Driver!$L$190-Driver!$K$190)</f>
        <v/>
      </c>
      <c r="AT1117" s="108">
        <f>(BF1117-Driver!$K$191)/(Driver!$L$191-Driver!$K$191)</f>
        <v/>
      </c>
      <c r="AU1117" s="108">
        <f>(BG1117-Driver!$K$192)/(Driver!$L$192-Driver!$K$192)</f>
        <v/>
      </c>
      <c r="AV1117" s="105">
        <f>IFERROR(BM1117*BJ1117^1/4,"")</f>
        <v/>
      </c>
      <c r="AW1117" s="105">
        <f>IFERROR(SUM(AX1117:AZ1117),"")</f>
        <v/>
      </c>
      <c r="AX1117" s="105">
        <f>IFERROR(BH1117,"")</f>
        <v/>
      </c>
      <c r="AY1117" s="105">
        <f>IFERROR(Driver!$K$19/Data!BH1117/Data!BI1117*Data!BK1117*Data!BL1117,"")</f>
        <v/>
      </c>
      <c r="AZ1117" s="105">
        <f>IFERROR(BI1117*BN1117,"")</f>
        <v/>
      </c>
      <c r="BA1117" s="105" t="n"/>
      <c r="BB1117" s="105" t="n"/>
      <c r="BC1117" s="105">
        <f>IFERROR(BI1117*BN1117*BK1117/BJ1117^(1/2),"")</f>
        <v/>
      </c>
      <c r="BD1117" s="105">
        <f>IFERROR(BH1117*BM1117*BL1117/BJ1117/BK1117,"")</f>
        <v/>
      </c>
      <c r="BE1117" s="105">
        <f>IFERROR(MIN(BI1117/BQ1117/BP1117/BO1117/BH1117,$BE$1),"")</f>
        <v/>
      </c>
      <c r="BF1117" s="105">
        <f>IFERROR(BJ1117*BO1117*BP1117/BK1117,"")</f>
        <v/>
      </c>
      <c r="BG1117" s="105">
        <f>IFERROR(1/BM1117/BH1117*BQ1117,"")</f>
        <v/>
      </c>
      <c r="BH1117" s="102">
        <f>MAX((CE1117-Driver!$F$200)/(Driver!$G$200-Driver!$F$200)*$BI$1,1)</f>
        <v/>
      </c>
      <c r="BI1117" s="102">
        <f>MAX($BI$1*(BY1117-Driver!$F$201)/(Driver!$G$201-Driver!$F$201),1)</f>
        <v/>
      </c>
      <c r="BJ1117" s="102">
        <f>(CB1117-Driver!$F$206)/(Driver!$G$206-Driver!$F$206)*$BI$1</f>
        <v/>
      </c>
      <c r="BK1117" s="102">
        <f>(CD1117-Driver!$F$203)/(Driver!$G$203-Driver!$F$203)*$BI$1</f>
        <v/>
      </c>
      <c r="BL1117" s="102">
        <f>MAX((CR1117-Driver!$F$202)/(Driver!$G$202-Driver!$F$202)*$BI$1,1)</f>
        <v/>
      </c>
      <c r="BM1117" s="102">
        <f>MAX((CH1117-Driver!$F$204)/(Driver!$G$204-Driver!$F$204)*$BI$1,1)</f>
        <v/>
      </c>
      <c r="BN1117" s="102">
        <f>(CI1117-Driver!$F$205)/(Driver!$G$205-Driver!$F$205)*$BI$1</f>
        <v/>
      </c>
      <c r="BO1117" s="102">
        <f>(CK1117-Driver!$F$207)/(Driver!$G$207-Driver!$F$207)*$BI$1</f>
        <v/>
      </c>
      <c r="BP1117" s="102">
        <f>(CM1117-Driver!$F$208)/(Driver!$G$208-Driver!$F$208)*$BI$1</f>
        <v/>
      </c>
      <c r="BQ1117" s="102">
        <f>(CL1117-Driver!$F$209)/(Driver!$G$209-Driver!$F$209)*$BI$1</f>
        <v/>
      </c>
      <c r="BR1117" s="40" t="inlineStr">
        <is>
          <t>21/22</t>
        </is>
      </c>
      <c r="BS1117" s="10" t="inlineStr">
        <is>
          <t xml:space="preserve"> Rossignol</t>
        </is>
      </c>
      <c r="BT1117" s="11" t="inlineStr">
        <is>
          <t>Nova 6</t>
        </is>
      </c>
      <c r="BU1117" s="13" t="n">
        <v>149</v>
      </c>
      <c r="BV1117" s="11" t="inlineStr">
        <is>
          <t xml:space="preserve"> Women's</t>
        </is>
      </c>
      <c r="BW1117" s="13" t="n">
        <v>149</v>
      </c>
      <c r="BX1117" s="13" t="n">
        <v>148.9</v>
      </c>
      <c r="BY1117" s="13" t="n">
        <v>128</v>
      </c>
      <c r="BZ1117" s="13" t="n">
        <v>135</v>
      </c>
      <c r="CA1117" s="13" t="n">
        <v>122</v>
      </c>
      <c r="CB1117" s="13" t="n">
        <v>73</v>
      </c>
      <c r="CC1117" s="13" t="n">
        <v>109</v>
      </c>
      <c r="CD1117" s="13" t="n">
        <v>10.5</v>
      </c>
      <c r="CE1117" s="13" t="n">
        <v>1459</v>
      </c>
      <c r="CF1117" s="13" t="n">
        <v>0.91</v>
      </c>
      <c r="CG1117" s="13" t="n">
        <v>1325</v>
      </c>
      <c r="CH1117" s="13" t="n">
        <v>133</v>
      </c>
      <c r="CI1117" s="13" t="n">
        <v>48</v>
      </c>
      <c r="CJ1117" s="13" t="n">
        <v>38</v>
      </c>
      <c r="CK1117" s="13" t="n">
        <v>150</v>
      </c>
      <c r="CL1117" s="13" t="n">
        <v>6</v>
      </c>
      <c r="CM1117" s="13" t="n">
        <v>59</v>
      </c>
      <c r="CN1117" s="13" t="n">
        <v>0.162</v>
      </c>
      <c r="CO1117" s="13" t="n">
        <v>73</v>
      </c>
      <c r="CP1117" s="13" t="n">
        <v>62</v>
      </c>
      <c r="CQ1117" s="13" t="n">
        <v>77</v>
      </c>
      <c r="CR1117" s="13" t="n">
        <v>9</v>
      </c>
      <c r="CS1117" s="13" t="n">
        <v>10</v>
      </c>
      <c r="CT1117" s="11" t="inlineStr">
        <is>
          <t xml:space="preserve"> On-Piste Carving</t>
        </is>
      </c>
      <c r="CU1117" s="13" t="n"/>
      <c r="CV1117" s="13" t="n"/>
      <c r="CW1117" s="13" t="n"/>
      <c r="CX1117">
        <f>INDEX('Data_Price '!AG$2:AG$1266,MATCH(Data!$DN1117,'Data_Price '!$AT$2:$AT$1266,0))</f>
        <v/>
      </c>
      <c r="CY1117">
        <f>INDEX('Data_Price '!AH$2:AH$1266,MATCH(Data!$DN1117,'Data_Price '!$AT$2:$AT$1266,0))</f>
        <v/>
      </c>
      <c r="CZ1117">
        <f>INDEX('Data_Price '!AI$2:AI$1266,MATCH(Data!$DN1117,'Data_Price '!$AT$2:$AT$1266,0))</f>
        <v/>
      </c>
      <c r="DA1117">
        <f>INDEX('Data_Price '!AJ$2:AJ$1266,MATCH(Data!$DN1117,'Data_Price '!$AT$2:$AT$1266,0))</f>
        <v/>
      </c>
      <c r="DB1117">
        <f>INDEX('Data_Price '!AK$2:AK$1266,MATCH(Data!$DN1117,'Data_Price '!$AT$2:$AT$1266,0))</f>
        <v/>
      </c>
      <c r="DC1117">
        <f>INDEX('Data_Price '!AL$2:AL$1266,MATCH(Data!$DN1117,'Data_Price '!$AT$2:$AT$1266,0))</f>
        <v/>
      </c>
      <c r="DD1117">
        <f>INDEX('Data_Price '!AM$2:AM$1266,MATCH(Data!$DN1117,'Data_Price '!$AT$2:$AT$1266,0))</f>
        <v/>
      </c>
      <c r="DE1117">
        <f>INDEX('Data_Price '!AN$2:AN$1266,MATCH(Data!$DN1117,'Data_Price '!$AT$2:$AT$1266,0))</f>
        <v/>
      </c>
      <c r="DF1117">
        <f>INDEX('Data_Price '!AO$2:AO$1266,MATCH(Data!$DN1117,'Data_Price '!$AT$2:$AT$1266,0))</f>
        <v/>
      </c>
      <c r="DG1117">
        <f>INDEX('Data_Price '!AP$2:AP$1266,MATCH(Data!$DN1117,'Data_Price '!$AT$2:$AT$1266,0))</f>
        <v/>
      </c>
      <c r="DH1117">
        <f>INDEX('Data_Price '!AQ$2:AQ$1266,MATCH(Data!$DN1117,'Data_Price '!$AT$2:$AT$1266,0))</f>
        <v/>
      </c>
      <c r="DI1117">
        <f>INDEX('Data_Price '!AR$2:AR$1266,MATCH(Data!$DN1117,'Data_Price '!$AT$2:$AT$1266,0))</f>
        <v/>
      </c>
      <c r="DJ1117" s="138">
        <f>DA1117</f>
        <v/>
      </c>
      <c r="DK1117" s="138">
        <f>DE1117</f>
        <v/>
      </c>
      <c r="DL1117" s="138">
        <f>DI1117</f>
        <v/>
      </c>
      <c r="DM1117" s="303">
        <f>IF(LEFT(BT1117,1)=" ",RIGHT(BT1117,LEN(BT1117)-1),BT1117)</f>
        <v/>
      </c>
      <c r="DN1117" s="138">
        <f>_xlfn.CONCAT(BS1117,DM1117,BU1117,BV1117)</f>
        <v/>
      </c>
      <c r="DO1117" s="307" t="inlineStr">
        <is>
          <t>https://images.evo.com/imgp/250/185226/741469/clone.jpg</t>
        </is>
      </c>
    </row>
    <row r="1118" ht="15.6" customHeight="1" s="184">
      <c r="B1118" s="303">
        <f t="array" ref="B1118">IF(OR(ISERROR(K1118:P1118)),FALSE,TRUE)</f>
        <v/>
      </c>
      <c r="C1118" s="60">
        <f>OR(BR1118=Driver!$G$50,Data!BR217=Driver!$H$50)</f>
        <v/>
      </c>
      <c r="D1118" s="60">
        <f>OR(BV1118=Driver!$G$51,BV1118=Driver!$H$51)</f>
        <v/>
      </c>
      <c r="E1118" s="60">
        <f>AND(BX1118&gt;Driver!$F$54,BX1118&lt;Driver!$G$54)</f>
        <v/>
      </c>
      <c r="F1118" s="60">
        <f>CL1118&gt;Driver!$F$56</f>
        <v/>
      </c>
      <c r="G1118" s="60">
        <f>AND(CB1118&gt;Driver!$F$55,CB1118&lt;Driver!$G$55)</f>
        <v/>
      </c>
      <c r="H1118" s="60">
        <f>AND(B1118:G1118)</f>
        <v/>
      </c>
      <c r="I1118" s="60">
        <f>COUNTIFS($H$9:$H$1273,TRUE,$BT$9:$BT$1273,BT1118)</f>
        <v/>
      </c>
      <c r="J1118" s="60">
        <f t="array" ref="J1118">NOT(OR(($H$9:$H$1273=TRUE)*($I$9:$I$1273&gt;0)*($BT$9:$BT$1273=BT1118)*($K$9:$K$1273&gt;K1118)))</f>
        <v/>
      </c>
      <c r="K1118" s="108">
        <f>IFERROR(1-AVERAGE(X1118:Y1118),"")</f>
        <v/>
      </c>
      <c r="L1118" s="108">
        <f>1-X1118</f>
        <v/>
      </c>
      <c r="M1118" s="108">
        <f>1-Y1118</f>
        <v/>
      </c>
      <c r="N1118" s="108">
        <f>1-Z1118</f>
        <v/>
      </c>
      <c r="O1118" s="108">
        <f>1-AA1118</f>
        <v/>
      </c>
      <c r="P1118" s="108">
        <f>1-AB1118</f>
        <v/>
      </c>
      <c r="Q1118" s="108" t="n"/>
      <c r="R1118" s="108" t="n"/>
      <c r="S1118" s="108">
        <f>1-AE1118</f>
        <v/>
      </c>
      <c r="T1118" s="108">
        <f>1-AF1118</f>
        <v/>
      </c>
      <c r="U1118" s="108">
        <f>1-AG1118</f>
        <v/>
      </c>
      <c r="V1118" s="108">
        <f>1-AH1118</f>
        <v/>
      </c>
      <c r="W1118" s="108">
        <f>1-AI1118</f>
        <v/>
      </c>
      <c r="X1118" s="108">
        <f>ABS(AJ1118-AJ$1)</f>
        <v/>
      </c>
      <c r="Y1118" s="108">
        <f>AVERAGE(Z1118:AB1118)</f>
        <v/>
      </c>
      <c r="Z1118" s="108">
        <f>ABS(AL1118-AL$1)</f>
        <v/>
      </c>
      <c r="AA1118" s="108">
        <f>ABS(AM1118-AM$1)</f>
        <v/>
      </c>
      <c r="AB1118" s="108">
        <f>ABS(AN1118-AN$1)</f>
        <v/>
      </c>
      <c r="AC1118" s="108" t="n"/>
      <c r="AD1118" s="108" t="n"/>
      <c r="AE1118" s="108">
        <f>ABS(AQ$1-AQ1118)</f>
        <v/>
      </c>
      <c r="AF1118" s="108">
        <f>ABS(AR$1-AR1118)</f>
        <v/>
      </c>
      <c r="AG1118" s="108">
        <f>ABS(AS$1-AS1118)</f>
        <v/>
      </c>
      <c r="AH1118" s="108">
        <f>ABS(AT$1-AT1118)</f>
        <v/>
      </c>
      <c r="AI1118" s="108">
        <f>ABS(AU$1-AU1118)</f>
        <v/>
      </c>
      <c r="AJ1118" s="108">
        <f>(AV1118-Driver!$K$179)/(Driver!$L$179-Driver!$K$179)</f>
        <v/>
      </c>
      <c r="AK1118" s="108">
        <f>(AW1118-Driver!$K$180)/(Driver!$L$180-Driver!$K$180)</f>
        <v/>
      </c>
      <c r="AL1118" s="108">
        <f>(AX1118-Driver!$K$181)/(Driver!$L$181-Driver!$K$181)</f>
        <v/>
      </c>
      <c r="AM1118" s="108">
        <f>(AY1118-Driver!$K$182)/(Driver!$L$182-Driver!$K$182)</f>
        <v/>
      </c>
      <c r="AN1118" s="108">
        <f>(AZ1118-Driver!$K$183)/(Driver!$L$183-Driver!$K$183)</f>
        <v/>
      </c>
      <c r="AO1118" s="108" t="n"/>
      <c r="AP1118" s="108" t="n"/>
      <c r="AQ1118" s="108">
        <f>(BC1118-Driver!$K$188)/(Driver!$L$188-Driver!$K$188)</f>
        <v/>
      </c>
      <c r="AR1118" s="108">
        <f>MIN((BD1118-Driver!$K$189)/(Driver!$L$189-Driver!$K$189),100%)</f>
        <v/>
      </c>
      <c r="AS1118" s="108">
        <f>(BE1118-Driver!$K$190)/(Driver!$L$190-Driver!$K$190)</f>
        <v/>
      </c>
      <c r="AT1118" s="108">
        <f>(BF1118-Driver!$K$191)/(Driver!$L$191-Driver!$K$191)</f>
        <v/>
      </c>
      <c r="AU1118" s="108">
        <f>(BG1118-Driver!$K$192)/(Driver!$L$192-Driver!$K$192)</f>
        <v/>
      </c>
      <c r="AV1118" s="105">
        <f>IFERROR(BM1118*BJ1118^1/4,"")</f>
        <v/>
      </c>
      <c r="AW1118" s="105">
        <f>IFERROR(SUM(AX1118:AZ1118),"")</f>
        <v/>
      </c>
      <c r="AX1118" s="105">
        <f>IFERROR(BH1118,"")</f>
        <v/>
      </c>
      <c r="AY1118" s="105">
        <f>IFERROR(Driver!$K$19/Data!BH1118/Data!BI1118*Data!BK1118*Data!BL1118,"")</f>
        <v/>
      </c>
      <c r="AZ1118" s="105">
        <f>IFERROR(BI1118*BN1118,"")</f>
        <v/>
      </c>
      <c r="BA1118" s="105" t="n"/>
      <c r="BB1118" s="105" t="n"/>
      <c r="BC1118" s="105">
        <f>IFERROR(BI1118*BN1118*BK1118/BJ1118^(1/2),"")</f>
        <v/>
      </c>
      <c r="BD1118" s="105">
        <f>IFERROR(BH1118*BM1118*BL1118/BJ1118/BK1118,"")</f>
        <v/>
      </c>
      <c r="BE1118" s="105">
        <f>IFERROR(MIN(BI1118/BQ1118/BP1118/BO1118/BH1118,$BE$1),"")</f>
        <v/>
      </c>
      <c r="BF1118" s="105">
        <f>IFERROR(BJ1118*BO1118*BP1118/BK1118,"")</f>
        <v/>
      </c>
      <c r="BG1118" s="105">
        <f>IFERROR(1/BM1118/BH1118*BQ1118,"")</f>
        <v/>
      </c>
      <c r="BH1118" s="102">
        <f>MAX((CE1118-Driver!$F$200)/(Driver!$G$200-Driver!$F$200)*$BI$1,1)</f>
        <v/>
      </c>
      <c r="BI1118" s="102">
        <f>MAX($BI$1*(BY1118-Driver!$F$201)/(Driver!$G$201-Driver!$F$201),1)</f>
        <v/>
      </c>
      <c r="BJ1118" s="102">
        <f>(CB1118-Driver!$F$206)/(Driver!$G$206-Driver!$F$206)*$BI$1</f>
        <v/>
      </c>
      <c r="BK1118" s="102">
        <f>(CD1118-Driver!$F$203)/(Driver!$G$203-Driver!$F$203)*$BI$1</f>
        <v/>
      </c>
      <c r="BL1118" s="102">
        <f>MAX((CR1118-Driver!$F$202)/(Driver!$G$202-Driver!$F$202)*$BI$1,1)</f>
        <v/>
      </c>
      <c r="BM1118" s="102">
        <f>MAX((CH1118-Driver!$F$204)/(Driver!$G$204-Driver!$F$204)*$BI$1,1)</f>
        <v/>
      </c>
      <c r="BN1118" s="102">
        <f>(CI1118-Driver!$F$205)/(Driver!$G$205-Driver!$F$205)*$BI$1</f>
        <v/>
      </c>
      <c r="BO1118" s="102">
        <f>(CK1118-Driver!$F$207)/(Driver!$G$207-Driver!$F$207)*$BI$1</f>
        <v/>
      </c>
      <c r="BP1118" s="102">
        <f>(CM1118-Driver!$F$208)/(Driver!$G$208-Driver!$F$208)*$BI$1</f>
        <v/>
      </c>
      <c r="BQ1118" s="102">
        <f>(CL1118-Driver!$F$209)/(Driver!$G$209-Driver!$F$209)*$BI$1</f>
        <v/>
      </c>
      <c r="BR1118" s="40" t="inlineStr">
        <is>
          <t>21/22</t>
        </is>
      </c>
      <c r="BS1118" s="10" t="inlineStr">
        <is>
          <t xml:space="preserve"> Black Crows</t>
        </is>
      </c>
      <c r="BT1118" s="11" t="inlineStr">
        <is>
          <t xml:space="preserve"> Corvus</t>
        </is>
      </c>
      <c r="BU1118" s="13" t="n">
        <v>188.2</v>
      </c>
      <c r="BV1118" s="11" t="inlineStr">
        <is>
          <t xml:space="preserve"> Unisex</t>
        </is>
      </c>
      <c r="BW1118" s="13" t="n">
        <v>188.2</v>
      </c>
      <c r="BX1118" s="13" t="n">
        <v>187.7</v>
      </c>
      <c r="BY1118" s="13" t="n">
        <v>0</v>
      </c>
      <c r="BZ1118" s="13" t="n">
        <v>164</v>
      </c>
      <c r="CA1118" s="13" t="n">
        <v>137</v>
      </c>
      <c r="CB1118" s="13" t="n">
        <v>106</v>
      </c>
      <c r="CC1118" s="13" t="n">
        <v>126</v>
      </c>
      <c r="CD1118" s="13" t="n">
        <v>25.6</v>
      </c>
      <c r="CE1118" s="13" t="n">
        <v>1981</v>
      </c>
      <c r="CF1118" s="13" t="n">
        <v>1.09</v>
      </c>
      <c r="CG1118" s="13" t="n">
        <v>2162</v>
      </c>
      <c r="CH1118" s="13" t="n">
        <v>269</v>
      </c>
      <c r="CI1118" s="13" t="n">
        <v>173</v>
      </c>
      <c r="CJ1118" s="13" t="n">
        <v>46</v>
      </c>
      <c r="CK1118" s="13" t="n">
        <v>1016</v>
      </c>
      <c r="CL1118" s="13" t="n">
        <v>10</v>
      </c>
      <c r="CM1118" s="13" t="n">
        <v>861</v>
      </c>
      <c r="CN1118" s="13" t="n">
        <v>0.215</v>
      </c>
      <c r="CO1118" s="13" t="n">
        <v>146</v>
      </c>
      <c r="CP1118" s="13" t="n">
        <v>93</v>
      </c>
      <c r="CQ1118" s="13" t="n">
        <v>870</v>
      </c>
      <c r="CR1118" s="13" t="n">
        <v>-4</v>
      </c>
      <c r="CS1118" s="13" t="n">
        <v>7.8</v>
      </c>
      <c r="CT1118" s="11" t="inlineStr">
        <is>
          <t xml:space="preserve"> Big Mountain</t>
        </is>
      </c>
      <c r="CU1118" s="11" t="inlineStr">
        <is>
          <t xml:space="preserve"> Touring</t>
        </is>
      </c>
      <c r="CV1118" s="13" t="n"/>
      <c r="CW1118" s="13" t="n"/>
      <c r="CX1118">
        <f>INDEX('Data_Price '!AG$2:AG$1266,MATCH(Data!$DN1118,'Data_Price '!$AT$2:$AT$1266,0))</f>
        <v/>
      </c>
      <c r="CY1118">
        <f>INDEX('Data_Price '!AH$2:AH$1266,MATCH(Data!$DN1118,'Data_Price '!$AT$2:$AT$1266,0))</f>
        <v/>
      </c>
      <c r="CZ1118">
        <f>INDEX('Data_Price '!AI$2:AI$1266,MATCH(Data!$DN1118,'Data_Price '!$AT$2:$AT$1266,0))</f>
        <v/>
      </c>
      <c r="DA1118">
        <f>INDEX('Data_Price '!AJ$2:AJ$1266,MATCH(Data!$DN1118,'Data_Price '!$AT$2:$AT$1266,0))</f>
        <v/>
      </c>
      <c r="DB1118">
        <f>INDEX('Data_Price '!AK$2:AK$1266,MATCH(Data!$DN1118,'Data_Price '!$AT$2:$AT$1266,0))</f>
        <v/>
      </c>
      <c r="DC1118">
        <f>INDEX('Data_Price '!AL$2:AL$1266,MATCH(Data!$DN1118,'Data_Price '!$AT$2:$AT$1266,0))</f>
        <v/>
      </c>
      <c r="DD1118">
        <f>INDEX('Data_Price '!AM$2:AM$1266,MATCH(Data!$DN1118,'Data_Price '!$AT$2:$AT$1266,0))</f>
        <v/>
      </c>
      <c r="DE1118">
        <f>INDEX('Data_Price '!AN$2:AN$1266,MATCH(Data!$DN1118,'Data_Price '!$AT$2:$AT$1266,0))</f>
        <v/>
      </c>
      <c r="DF1118">
        <f>INDEX('Data_Price '!AO$2:AO$1266,MATCH(Data!$DN1118,'Data_Price '!$AT$2:$AT$1266,0))</f>
        <v/>
      </c>
      <c r="DG1118">
        <f>INDEX('Data_Price '!AP$2:AP$1266,MATCH(Data!$DN1118,'Data_Price '!$AT$2:$AT$1266,0))</f>
        <v/>
      </c>
      <c r="DH1118">
        <f>INDEX('Data_Price '!AQ$2:AQ$1266,MATCH(Data!$DN1118,'Data_Price '!$AT$2:$AT$1266,0))</f>
        <v/>
      </c>
      <c r="DI1118">
        <f>INDEX('Data_Price '!AR$2:AR$1266,MATCH(Data!$DN1118,'Data_Price '!$AT$2:$AT$1266,0))</f>
        <v/>
      </c>
      <c r="DJ1118" s="138">
        <f>DA1118</f>
        <v/>
      </c>
      <c r="DK1118" s="138">
        <f>DE1118</f>
        <v/>
      </c>
      <c r="DL1118" s="138">
        <f>DI1118</f>
        <v/>
      </c>
      <c r="DM1118" s="303">
        <f>IF(LEFT(BT1118,1)=" ",RIGHT(BT1118,LEN(BT1118)-1),BT1118)</f>
        <v/>
      </c>
      <c r="DN1118" s="138">
        <f>_xlfn.CONCAT(BS1118,DM1118,BU1118,BV1118)</f>
        <v/>
      </c>
      <c r="DO1118" s="307" t="inlineStr">
        <is>
          <t>https://images.evo.com/imgp/250/181604/727248/clone.jpg</t>
        </is>
      </c>
    </row>
    <row r="1119" ht="15.6" customHeight="1" s="184">
      <c r="B1119" s="303">
        <f t="array" ref="B1119">IF(OR(ISERROR(K1119:P1119)),FALSE,TRUE)</f>
        <v/>
      </c>
      <c r="C1119" s="60">
        <f>OR(BR1119=Driver!$G$50,Data!BR1168=Driver!$H$50)</f>
        <v/>
      </c>
      <c r="D1119" s="60">
        <f>OR(BV1119=Driver!$G$51,BV1119=Driver!$H$51)</f>
        <v/>
      </c>
      <c r="E1119" s="60">
        <f>AND(BX1119&gt;Driver!$F$54,BX1119&lt;Driver!$G$54)</f>
        <v/>
      </c>
      <c r="F1119" s="60">
        <f>CL1119&gt;Driver!$F$56</f>
        <v/>
      </c>
      <c r="G1119" s="60">
        <f>AND(CB1119&gt;Driver!$F$55,CB1119&lt;Driver!$G$55)</f>
        <v/>
      </c>
      <c r="H1119" s="60">
        <f>AND(B1119:G1119)</f>
        <v/>
      </c>
      <c r="I1119" s="60">
        <f>COUNTIFS($H$9:$H$1273,TRUE,$BT$9:$BT$1273,BT1119)</f>
        <v/>
      </c>
      <c r="J1119" s="60">
        <f t="array" ref="J1119">NOT(OR(($H$9:$H$1273=TRUE)*($I$9:$I$1273&gt;0)*($BT$9:$BT$1273=BT1119)*($K$9:$K$1273&gt;K1119)))</f>
        <v/>
      </c>
      <c r="K1119" s="108">
        <f>IFERROR(1-AVERAGE(X1119:Y1119),"")</f>
        <v/>
      </c>
      <c r="L1119" s="108">
        <f>1-X1119</f>
        <v/>
      </c>
      <c r="M1119" s="108">
        <f>1-Y1119</f>
        <v/>
      </c>
      <c r="N1119" s="108">
        <f>1-Z1119</f>
        <v/>
      </c>
      <c r="O1119" s="108">
        <f>1-AA1119</f>
        <v/>
      </c>
      <c r="P1119" s="108">
        <f>1-AB1119</f>
        <v/>
      </c>
      <c r="Q1119" s="108" t="n"/>
      <c r="R1119" s="108" t="n"/>
      <c r="S1119" s="108">
        <f>1-AE1119</f>
        <v/>
      </c>
      <c r="T1119" s="108">
        <f>1-AF1119</f>
        <v/>
      </c>
      <c r="U1119" s="108">
        <f>1-AG1119</f>
        <v/>
      </c>
      <c r="V1119" s="108">
        <f>1-AH1119</f>
        <v/>
      </c>
      <c r="W1119" s="108">
        <f>1-AI1119</f>
        <v/>
      </c>
      <c r="X1119" s="108">
        <f>ABS(AJ1119-AJ$1)</f>
        <v/>
      </c>
      <c r="Y1119" s="108">
        <f>AVERAGE(Z1119:AB1119)</f>
        <v/>
      </c>
      <c r="Z1119" s="108">
        <f>ABS(AL1119-AL$1)</f>
        <v/>
      </c>
      <c r="AA1119" s="108">
        <f>ABS(AM1119-AM$1)</f>
        <v/>
      </c>
      <c r="AB1119" s="108">
        <f>ABS(AN1119-AN$1)</f>
        <v/>
      </c>
      <c r="AC1119" s="108" t="n"/>
      <c r="AD1119" s="108" t="n"/>
      <c r="AE1119" s="108">
        <f>ABS(AQ$1-AQ1119)</f>
        <v/>
      </c>
      <c r="AF1119" s="108">
        <f>ABS(AR$1-AR1119)</f>
        <v/>
      </c>
      <c r="AG1119" s="108">
        <f>ABS(AS$1-AS1119)</f>
        <v/>
      </c>
      <c r="AH1119" s="108">
        <f>ABS(AT$1-AT1119)</f>
        <v/>
      </c>
      <c r="AI1119" s="108">
        <f>ABS(AU$1-AU1119)</f>
        <v/>
      </c>
      <c r="AJ1119" s="108">
        <f>(AV1119-Driver!$K$179)/(Driver!$L$179-Driver!$K$179)</f>
        <v/>
      </c>
      <c r="AK1119" s="108">
        <f>(AW1119-Driver!$K$180)/(Driver!$L$180-Driver!$K$180)</f>
        <v/>
      </c>
      <c r="AL1119" s="108">
        <f>(AX1119-Driver!$K$181)/(Driver!$L$181-Driver!$K$181)</f>
        <v/>
      </c>
      <c r="AM1119" s="108">
        <f>(AY1119-Driver!$K$182)/(Driver!$L$182-Driver!$K$182)</f>
        <v/>
      </c>
      <c r="AN1119" s="108">
        <f>(AZ1119-Driver!$K$183)/(Driver!$L$183-Driver!$K$183)</f>
        <v/>
      </c>
      <c r="AO1119" s="108" t="n"/>
      <c r="AP1119" s="108" t="n"/>
      <c r="AQ1119" s="108">
        <f>(BC1119-Driver!$K$188)/(Driver!$L$188-Driver!$K$188)</f>
        <v/>
      </c>
      <c r="AR1119" s="108">
        <f>MIN((BD1119-Driver!$K$189)/(Driver!$L$189-Driver!$K$189),100%)</f>
        <v/>
      </c>
      <c r="AS1119" s="108">
        <f>(BE1119-Driver!$K$190)/(Driver!$L$190-Driver!$K$190)</f>
        <v/>
      </c>
      <c r="AT1119" s="108">
        <f>(BF1119-Driver!$K$191)/(Driver!$L$191-Driver!$K$191)</f>
        <v/>
      </c>
      <c r="AU1119" s="108">
        <f>(BG1119-Driver!$K$192)/(Driver!$L$192-Driver!$K$192)</f>
        <v/>
      </c>
      <c r="AV1119" s="105">
        <f>IFERROR(BM1119*BJ1119^1/4,"")</f>
        <v/>
      </c>
      <c r="AW1119" s="105">
        <f>IFERROR(SUM(AX1119:AZ1119),"")</f>
        <v/>
      </c>
      <c r="AX1119" s="105">
        <f>IFERROR(BH1119,"")</f>
        <v/>
      </c>
      <c r="AY1119" s="105">
        <f>IFERROR(Driver!$K$19/Data!BH1119/Data!BI1119*Data!BK1119*Data!BL1119,"")</f>
        <v/>
      </c>
      <c r="AZ1119" s="105">
        <f>IFERROR(BI1119*BN1119,"")</f>
        <v/>
      </c>
      <c r="BA1119" s="105" t="n"/>
      <c r="BB1119" s="105" t="n"/>
      <c r="BC1119" s="105">
        <f>IFERROR(BI1119*BN1119*BK1119/BJ1119^(1/2),"")</f>
        <v/>
      </c>
      <c r="BD1119" s="105">
        <f>IFERROR(BH1119*BM1119*BL1119/BJ1119/BK1119,"")</f>
        <v/>
      </c>
      <c r="BE1119" s="105">
        <f>IFERROR(MIN(BI1119/BQ1119/BP1119/BO1119/BH1119,$BE$1),"")</f>
        <v/>
      </c>
      <c r="BF1119" s="105">
        <f>IFERROR(BJ1119*BO1119*BP1119/BK1119,"")</f>
        <v/>
      </c>
      <c r="BG1119" s="105">
        <f>IFERROR(1/BM1119/BH1119*BQ1119,"")</f>
        <v/>
      </c>
      <c r="BH1119" s="102">
        <f>MAX((CE1119-Driver!$F$200)/(Driver!$G$200-Driver!$F$200)*$BI$1,1)</f>
        <v/>
      </c>
      <c r="BI1119" s="102">
        <f>MAX($BI$1*(BY1119-Driver!$F$201)/(Driver!$G$201-Driver!$F$201),1)</f>
        <v/>
      </c>
      <c r="BJ1119" s="102">
        <f>(CB1119-Driver!$F$206)/(Driver!$G$206-Driver!$F$206)*$BI$1</f>
        <v/>
      </c>
      <c r="BK1119" s="102">
        <f>(CD1119-Driver!$F$203)/(Driver!$G$203-Driver!$F$203)*$BI$1</f>
        <v/>
      </c>
      <c r="BL1119" s="102">
        <f>MAX((CR1119-Driver!$F$202)/(Driver!$G$202-Driver!$F$202)*$BI$1,1)</f>
        <v/>
      </c>
      <c r="BM1119" s="102">
        <f>MAX((CH1119-Driver!$F$204)/(Driver!$G$204-Driver!$F$204)*$BI$1,1)</f>
        <v/>
      </c>
      <c r="BN1119" s="102">
        <f>(CI1119-Driver!$F$205)/(Driver!$G$205-Driver!$F$205)*$BI$1</f>
        <v/>
      </c>
      <c r="BO1119" s="102">
        <f>(CK1119-Driver!$F$207)/(Driver!$G$207-Driver!$F$207)*$BI$1</f>
        <v/>
      </c>
      <c r="BP1119" s="102">
        <f>(CM1119-Driver!$F$208)/(Driver!$G$208-Driver!$F$208)*$BI$1</f>
        <v/>
      </c>
      <c r="BQ1119" s="102">
        <f>(CL1119-Driver!$F$209)/(Driver!$G$209-Driver!$F$209)*$BI$1</f>
        <v/>
      </c>
      <c r="BR1119" s="40" t="inlineStr">
        <is>
          <t>21/22</t>
        </is>
      </c>
      <c r="BS1119" s="10" t="inlineStr">
        <is>
          <t xml:space="preserve"> Völkl</t>
        </is>
      </c>
      <c r="BT1119" s="11" t="inlineStr">
        <is>
          <t>Blaze 86 W</t>
        </is>
      </c>
      <c r="BU1119" s="13" t="n">
        <v>152</v>
      </c>
      <c r="BV1119" s="11" t="inlineStr">
        <is>
          <t xml:space="preserve"> Women's</t>
        </is>
      </c>
      <c r="BW1119" s="13" t="n">
        <v>152</v>
      </c>
      <c r="BX1119" s="13" t="n">
        <v>152</v>
      </c>
      <c r="BY1119" s="13" t="n">
        <v>91</v>
      </c>
      <c r="BZ1119" s="13" t="n">
        <v>127</v>
      </c>
      <c r="CA1119" s="13" t="n">
        <v>129</v>
      </c>
      <c r="CB1119" s="13" t="n">
        <v>86</v>
      </c>
      <c r="CC1119" s="13" t="n">
        <v>110</v>
      </c>
      <c r="CD1119" s="13" t="n">
        <v>11.1</v>
      </c>
      <c r="CE1119" s="13" t="n">
        <v>1234</v>
      </c>
      <c r="CF1119" s="13" t="n">
        <v>1.23</v>
      </c>
      <c r="CG1119" s="13" t="n">
        <v>1520</v>
      </c>
      <c r="CH1119" s="13" t="n">
        <v>156</v>
      </c>
      <c r="CI1119" s="13" t="n">
        <v>75</v>
      </c>
      <c r="CJ1119" s="13" t="n">
        <v>47</v>
      </c>
      <c r="CK1119" s="13" t="n">
        <v>370</v>
      </c>
      <c r="CL1119" s="13" t="n">
        <v>19</v>
      </c>
      <c r="CM1119" s="13" t="n">
        <v>241</v>
      </c>
      <c r="CN1119" s="13" t="n">
        <v>0.397</v>
      </c>
      <c r="CO1119" s="13" t="n">
        <v>141</v>
      </c>
      <c r="CP1119" s="13" t="n">
        <v>104</v>
      </c>
      <c r="CQ1119" s="13" t="n">
        <v>228</v>
      </c>
      <c r="CR1119" s="13" t="n">
        <v>1</v>
      </c>
      <c r="CS1119" s="13" t="n">
        <v>11.9</v>
      </c>
      <c r="CT1119" s="11" t="inlineStr">
        <is>
          <t xml:space="preserve"> Resort Freeride</t>
        </is>
      </c>
      <c r="CU1119" s="11" t="inlineStr">
        <is>
          <t xml:space="preserve"> Touring</t>
        </is>
      </c>
      <c r="CV1119" s="13" t="n"/>
      <c r="CW1119" s="13" t="n"/>
      <c r="CX1119">
        <f>INDEX('Data_Price '!AG$2:AG$1266,MATCH(Data!$DN1119,'Data_Price '!$AT$2:$AT$1266,0))</f>
        <v/>
      </c>
      <c r="CY1119">
        <f>INDEX('Data_Price '!AH$2:AH$1266,MATCH(Data!$DN1119,'Data_Price '!$AT$2:$AT$1266,0))</f>
        <v/>
      </c>
      <c r="CZ1119">
        <f>INDEX('Data_Price '!AI$2:AI$1266,MATCH(Data!$DN1119,'Data_Price '!$AT$2:$AT$1266,0))</f>
        <v/>
      </c>
      <c r="DA1119">
        <f>INDEX('Data_Price '!AJ$2:AJ$1266,MATCH(Data!$DN1119,'Data_Price '!$AT$2:$AT$1266,0))</f>
        <v/>
      </c>
      <c r="DB1119">
        <f>INDEX('Data_Price '!AK$2:AK$1266,MATCH(Data!$DN1119,'Data_Price '!$AT$2:$AT$1266,0))</f>
        <v/>
      </c>
      <c r="DC1119">
        <f>INDEX('Data_Price '!AL$2:AL$1266,MATCH(Data!$DN1119,'Data_Price '!$AT$2:$AT$1266,0))</f>
        <v/>
      </c>
      <c r="DD1119">
        <f>INDEX('Data_Price '!AM$2:AM$1266,MATCH(Data!$DN1119,'Data_Price '!$AT$2:$AT$1266,0))</f>
        <v/>
      </c>
      <c r="DE1119">
        <f>INDEX('Data_Price '!AN$2:AN$1266,MATCH(Data!$DN1119,'Data_Price '!$AT$2:$AT$1266,0))</f>
        <v/>
      </c>
      <c r="DF1119">
        <f>INDEX('Data_Price '!AO$2:AO$1266,MATCH(Data!$DN1119,'Data_Price '!$AT$2:$AT$1266,0))</f>
        <v/>
      </c>
      <c r="DG1119">
        <f>INDEX('Data_Price '!AP$2:AP$1266,MATCH(Data!$DN1119,'Data_Price '!$AT$2:$AT$1266,0))</f>
        <v/>
      </c>
      <c r="DH1119">
        <f>INDEX('Data_Price '!AQ$2:AQ$1266,MATCH(Data!$DN1119,'Data_Price '!$AT$2:$AT$1266,0))</f>
        <v/>
      </c>
      <c r="DI1119">
        <f>INDEX('Data_Price '!AR$2:AR$1266,MATCH(Data!$DN1119,'Data_Price '!$AT$2:$AT$1266,0))</f>
        <v/>
      </c>
      <c r="DJ1119" s="138">
        <f>DA1119</f>
        <v/>
      </c>
      <c r="DK1119" s="138">
        <f>DE1119</f>
        <v/>
      </c>
      <c r="DL1119" s="138">
        <f>DI1119</f>
        <v/>
      </c>
      <c r="DM1119" s="303">
        <f>IF(LEFT(BT1119,1)=" ",RIGHT(BT1119,LEN(BT1119)-1),BT1119)</f>
        <v/>
      </c>
      <c r="DN1119" s="138">
        <f>_xlfn.CONCAT(BS1119,DM1119,BU1119,BV1119)</f>
        <v/>
      </c>
      <c r="DO1119" s="307" t="inlineStr">
        <is>
          <t>https://images.evo.com/imgp/250/208358/837604/clone.jpg</t>
        </is>
      </c>
    </row>
    <row r="1120" ht="15.6" customHeight="1" s="184">
      <c r="B1120" s="303">
        <f t="array" ref="B1120">IF(OR(ISERROR(K1120:P1120)),FALSE,TRUE)</f>
        <v/>
      </c>
      <c r="C1120" s="60">
        <f>OR(BR1120=Driver!$G$50,Data!BR1260=Driver!$H$50)</f>
        <v/>
      </c>
      <c r="D1120" s="60">
        <f>OR(BV1120=Driver!$G$51,BV1120=Driver!$H$51)</f>
        <v/>
      </c>
      <c r="E1120" s="60">
        <f>AND(BX1120&gt;Driver!$F$54,BX1120&lt;Driver!$G$54)</f>
        <v/>
      </c>
      <c r="F1120" s="60">
        <f>CL1120&gt;Driver!$F$56</f>
        <v/>
      </c>
      <c r="G1120" s="60">
        <f>AND(CB1120&gt;Driver!$F$55,CB1120&lt;Driver!$G$55)</f>
        <v/>
      </c>
      <c r="H1120" s="60">
        <f>AND(B1120:G1120)</f>
        <v/>
      </c>
      <c r="I1120" s="60">
        <f>COUNTIFS($H$9:$H$1273,TRUE,$BT$9:$BT$1273,BT1120)</f>
        <v/>
      </c>
      <c r="J1120" s="60">
        <f t="array" ref="J1120">NOT(OR(($H$9:$H$1273=TRUE)*($I$9:$I$1273&gt;0)*($BT$9:$BT$1273=BT1120)*($K$9:$K$1273&gt;K1120)))</f>
        <v/>
      </c>
      <c r="K1120" s="108">
        <f>IFERROR(1-AVERAGE(X1120:Y1120),"")</f>
        <v/>
      </c>
      <c r="L1120" s="108">
        <f>1-X1120</f>
        <v/>
      </c>
      <c r="M1120" s="108">
        <f>1-Y1120</f>
        <v/>
      </c>
      <c r="N1120" s="108">
        <f>1-Z1120</f>
        <v/>
      </c>
      <c r="O1120" s="108">
        <f>1-AA1120</f>
        <v/>
      </c>
      <c r="P1120" s="108">
        <f>1-AB1120</f>
        <v/>
      </c>
      <c r="Q1120" s="108" t="n"/>
      <c r="R1120" s="108" t="n"/>
      <c r="S1120" s="108">
        <f>1-AE1120</f>
        <v/>
      </c>
      <c r="T1120" s="108">
        <f>1-AF1120</f>
        <v/>
      </c>
      <c r="U1120" s="108">
        <f>1-AG1120</f>
        <v/>
      </c>
      <c r="V1120" s="108">
        <f>1-AH1120</f>
        <v/>
      </c>
      <c r="W1120" s="108">
        <f>1-AI1120</f>
        <v/>
      </c>
      <c r="X1120" s="108">
        <f>ABS(AJ1120-AJ$1)</f>
        <v/>
      </c>
      <c r="Y1120" s="108">
        <f>AVERAGE(Z1120:AB1120)</f>
        <v/>
      </c>
      <c r="Z1120" s="108">
        <f>ABS(AL1120-AL$1)</f>
        <v/>
      </c>
      <c r="AA1120" s="108">
        <f>ABS(AM1120-AM$1)</f>
        <v/>
      </c>
      <c r="AB1120" s="108">
        <f>ABS(AN1120-AN$1)</f>
        <v/>
      </c>
      <c r="AC1120" s="108" t="n"/>
      <c r="AD1120" s="108" t="n"/>
      <c r="AE1120" s="108">
        <f>ABS(AQ$1-AQ1120)</f>
        <v/>
      </c>
      <c r="AF1120" s="108">
        <f>ABS(AR$1-AR1120)</f>
        <v/>
      </c>
      <c r="AG1120" s="108">
        <f>ABS(AS$1-AS1120)</f>
        <v/>
      </c>
      <c r="AH1120" s="108">
        <f>ABS(AT$1-AT1120)</f>
        <v/>
      </c>
      <c r="AI1120" s="108">
        <f>ABS(AU$1-AU1120)</f>
        <v/>
      </c>
      <c r="AJ1120" s="108">
        <f>(AV1120-Driver!$K$179)/(Driver!$L$179-Driver!$K$179)</f>
        <v/>
      </c>
      <c r="AK1120" s="108">
        <f>(AW1120-Driver!$K$180)/(Driver!$L$180-Driver!$K$180)</f>
        <v/>
      </c>
      <c r="AL1120" s="108">
        <f>(AX1120-Driver!$K$181)/(Driver!$L$181-Driver!$K$181)</f>
        <v/>
      </c>
      <c r="AM1120" s="108">
        <f>(AY1120-Driver!$K$182)/(Driver!$L$182-Driver!$K$182)</f>
        <v/>
      </c>
      <c r="AN1120" s="108">
        <f>(AZ1120-Driver!$K$183)/(Driver!$L$183-Driver!$K$183)</f>
        <v/>
      </c>
      <c r="AO1120" s="108" t="n"/>
      <c r="AP1120" s="108" t="n"/>
      <c r="AQ1120" s="108">
        <f>(BC1120-Driver!$K$188)/(Driver!$L$188-Driver!$K$188)</f>
        <v/>
      </c>
      <c r="AR1120" s="108">
        <f>MIN((BD1120-Driver!$K$189)/(Driver!$L$189-Driver!$K$189),100%)</f>
        <v/>
      </c>
      <c r="AS1120" s="108">
        <f>(BE1120-Driver!$K$190)/(Driver!$L$190-Driver!$K$190)</f>
        <v/>
      </c>
      <c r="AT1120" s="108">
        <f>(BF1120-Driver!$K$191)/(Driver!$L$191-Driver!$K$191)</f>
        <v/>
      </c>
      <c r="AU1120" s="108">
        <f>(BG1120-Driver!$K$192)/(Driver!$L$192-Driver!$K$192)</f>
        <v/>
      </c>
      <c r="AV1120" s="105">
        <f>IFERROR(BM1120*BJ1120^1/4,"")</f>
        <v/>
      </c>
      <c r="AW1120" s="105">
        <f>IFERROR(SUM(AX1120:AZ1120),"")</f>
        <v/>
      </c>
      <c r="AX1120" s="105">
        <f>IFERROR(BH1120,"")</f>
        <v/>
      </c>
      <c r="AY1120" s="105">
        <f>IFERROR(Driver!$K$19/Data!BH1120/Data!BI1120*Data!BK1120*Data!BL1120,"")</f>
        <v/>
      </c>
      <c r="AZ1120" s="105">
        <f>IFERROR(BI1120*BN1120,"")</f>
        <v/>
      </c>
      <c r="BA1120" s="105" t="n"/>
      <c r="BB1120" s="105" t="n"/>
      <c r="BC1120" s="105">
        <f>IFERROR(BI1120*BN1120*BK1120/BJ1120^(1/2),"")</f>
        <v/>
      </c>
      <c r="BD1120" s="105">
        <f>IFERROR(BH1120*BM1120*BL1120/BJ1120/BK1120,"")</f>
        <v/>
      </c>
      <c r="BE1120" s="105">
        <f>IFERROR(MIN(BI1120/BQ1120/BP1120/BO1120/BH1120,$BE$1),"")</f>
        <v/>
      </c>
      <c r="BF1120" s="105">
        <f>IFERROR(BJ1120*BO1120*BP1120/BK1120,"")</f>
        <v/>
      </c>
      <c r="BG1120" s="105">
        <f>IFERROR(1/BM1120/BH1120*BQ1120,"")</f>
        <v/>
      </c>
      <c r="BH1120" s="102">
        <f>MAX((CE1120-Driver!$F$200)/(Driver!$G$200-Driver!$F$200)*$BI$1,1)</f>
        <v/>
      </c>
      <c r="BI1120" s="102">
        <f>MAX($BI$1*(BY1120-Driver!$F$201)/(Driver!$G$201-Driver!$F$201),1)</f>
        <v/>
      </c>
      <c r="BJ1120" s="102">
        <f>(CB1120-Driver!$F$206)/(Driver!$G$206-Driver!$F$206)*$BI$1</f>
        <v/>
      </c>
      <c r="BK1120" s="102">
        <f>(CD1120-Driver!$F$203)/(Driver!$G$203-Driver!$F$203)*$BI$1</f>
        <v/>
      </c>
      <c r="BL1120" s="102">
        <f>MAX((CR1120-Driver!$F$202)/(Driver!$G$202-Driver!$F$202)*$BI$1,1)</f>
        <v/>
      </c>
      <c r="BM1120" s="102">
        <f>MAX((CH1120-Driver!$F$204)/(Driver!$G$204-Driver!$F$204)*$BI$1,1)</f>
        <v/>
      </c>
      <c r="BN1120" s="102">
        <f>(CI1120-Driver!$F$205)/(Driver!$G$205-Driver!$F$205)*$BI$1</f>
        <v/>
      </c>
      <c r="BO1120" s="102">
        <f>(CK1120-Driver!$F$207)/(Driver!$G$207-Driver!$F$207)*$BI$1</f>
        <v/>
      </c>
      <c r="BP1120" s="102">
        <f>(CM1120-Driver!$F$208)/(Driver!$G$208-Driver!$F$208)*$BI$1</f>
        <v/>
      </c>
      <c r="BQ1120" s="102">
        <f>(CL1120-Driver!$F$209)/(Driver!$G$209-Driver!$F$209)*$BI$1</f>
        <v/>
      </c>
      <c r="BR1120" s="40" t="inlineStr">
        <is>
          <t>21/22</t>
        </is>
      </c>
      <c r="BS1120" s="10" t="inlineStr">
        <is>
          <t xml:space="preserve"> Völkl</t>
        </is>
      </c>
      <c r="BT1120" s="11" t="inlineStr">
        <is>
          <t>Secret 102</t>
        </is>
      </c>
      <c r="BU1120" s="13" t="n">
        <v>170</v>
      </c>
      <c r="BV1120" s="11" t="inlineStr">
        <is>
          <t xml:space="preserve"> Women's</t>
        </is>
      </c>
      <c r="BW1120" s="13" t="n">
        <v>170</v>
      </c>
      <c r="BX1120" s="13" t="n">
        <v>171.1</v>
      </c>
      <c r="BY1120" s="13" t="n">
        <v>111</v>
      </c>
      <c r="BZ1120" s="13" t="n">
        <v>147</v>
      </c>
      <c r="CA1120" s="13" t="n">
        <v>139</v>
      </c>
      <c r="CB1120" s="13" t="n">
        <v>101</v>
      </c>
      <c r="CC1120" s="13" t="n">
        <v>123</v>
      </c>
      <c r="CD1120" s="13" t="n">
        <v>17.6</v>
      </c>
      <c r="CE1120" s="13" t="n">
        <v>2084</v>
      </c>
      <c r="CF1120" s="13" t="n">
        <v>0.93</v>
      </c>
      <c r="CG1120" s="13" t="n">
        <v>1934</v>
      </c>
      <c r="CH1120" s="13" t="n">
        <v>245</v>
      </c>
      <c r="CI1120" s="13" t="n">
        <v>165</v>
      </c>
      <c r="CJ1120" s="13" t="n">
        <v>46</v>
      </c>
      <c r="CK1120" s="13" t="n">
        <v>351</v>
      </c>
      <c r="CL1120" s="13" t="n">
        <v>18</v>
      </c>
      <c r="CM1120" s="13" t="n">
        <v>249</v>
      </c>
      <c r="CN1120" s="13" t="n">
        <v>0.388</v>
      </c>
      <c r="CO1120" s="13" t="n">
        <v>133</v>
      </c>
      <c r="CP1120" s="13" t="n">
        <v>103</v>
      </c>
      <c r="CQ1120" s="13" t="n">
        <v>217</v>
      </c>
      <c r="CR1120" s="13" t="n">
        <v>4</v>
      </c>
      <c r="CS1120" s="13" t="n">
        <v>11.8</v>
      </c>
      <c r="CT1120" s="11" t="inlineStr">
        <is>
          <t xml:space="preserve"> Resort Freeride</t>
        </is>
      </c>
      <c r="CU1120" s="11" t="inlineStr">
        <is>
          <t xml:space="preserve"> Powder</t>
        </is>
      </c>
      <c r="CV1120" s="11" t="inlineStr">
        <is>
          <t xml:space="preserve"> Big Mountain</t>
        </is>
      </c>
      <c r="CW1120" s="13" t="n"/>
      <c r="CX1120">
        <f>INDEX('Data_Price '!AG$2:AG$1266,MATCH(Data!$DN1120,'Data_Price '!$AT$2:$AT$1266,0))</f>
        <v/>
      </c>
      <c r="CY1120">
        <f>INDEX('Data_Price '!AH$2:AH$1266,MATCH(Data!$DN1120,'Data_Price '!$AT$2:$AT$1266,0))</f>
        <v/>
      </c>
      <c r="CZ1120">
        <f>INDEX('Data_Price '!AI$2:AI$1266,MATCH(Data!$DN1120,'Data_Price '!$AT$2:$AT$1266,0))</f>
        <v/>
      </c>
      <c r="DA1120">
        <f>INDEX('Data_Price '!AJ$2:AJ$1266,MATCH(Data!$DN1120,'Data_Price '!$AT$2:$AT$1266,0))</f>
        <v/>
      </c>
      <c r="DB1120">
        <f>INDEX('Data_Price '!AK$2:AK$1266,MATCH(Data!$DN1120,'Data_Price '!$AT$2:$AT$1266,0))</f>
        <v/>
      </c>
      <c r="DC1120">
        <f>INDEX('Data_Price '!AL$2:AL$1266,MATCH(Data!$DN1120,'Data_Price '!$AT$2:$AT$1266,0))</f>
        <v/>
      </c>
      <c r="DD1120">
        <f>INDEX('Data_Price '!AM$2:AM$1266,MATCH(Data!$DN1120,'Data_Price '!$AT$2:$AT$1266,0))</f>
        <v/>
      </c>
      <c r="DE1120">
        <f>INDEX('Data_Price '!AN$2:AN$1266,MATCH(Data!$DN1120,'Data_Price '!$AT$2:$AT$1266,0))</f>
        <v/>
      </c>
      <c r="DF1120">
        <f>INDEX('Data_Price '!AO$2:AO$1266,MATCH(Data!$DN1120,'Data_Price '!$AT$2:$AT$1266,0))</f>
        <v/>
      </c>
      <c r="DG1120">
        <f>INDEX('Data_Price '!AP$2:AP$1266,MATCH(Data!$DN1120,'Data_Price '!$AT$2:$AT$1266,0))</f>
        <v/>
      </c>
      <c r="DH1120">
        <f>INDEX('Data_Price '!AQ$2:AQ$1266,MATCH(Data!$DN1120,'Data_Price '!$AT$2:$AT$1266,0))</f>
        <v/>
      </c>
      <c r="DI1120">
        <f>INDEX('Data_Price '!AR$2:AR$1266,MATCH(Data!$DN1120,'Data_Price '!$AT$2:$AT$1266,0))</f>
        <v/>
      </c>
      <c r="DJ1120" s="138">
        <f>DA1120</f>
        <v/>
      </c>
      <c r="DK1120" s="138">
        <f>DE1120</f>
        <v/>
      </c>
      <c r="DL1120" s="138">
        <f>DI1120</f>
        <v/>
      </c>
      <c r="DM1120" s="303">
        <f>IF(LEFT(BT1120,1)=" ",RIGHT(BT1120,LEN(BT1120)-1),BT1120)</f>
        <v/>
      </c>
      <c r="DN1120" s="138">
        <f>_xlfn.CONCAT(BS1120,DM1120,BU1120,BV1120)</f>
        <v/>
      </c>
      <c r="DO1120" s="307" t="inlineStr">
        <is>
          <t>https://images.evo.com/imgp/250/183416/726698/volkl-secret-102-skis-women-s-2021-.jpg</t>
        </is>
      </c>
    </row>
    <row r="1121" ht="15.6" customHeight="1" s="184">
      <c r="B1121" s="303">
        <f t="array" ref="B1121">IF(OR(ISERROR(K1121:P1121)),FALSE,TRUE)</f>
        <v/>
      </c>
      <c r="C1121" s="60">
        <f>OR(BR1121=Driver!$G$50,Data!BR695=Driver!$H$50)</f>
        <v/>
      </c>
      <c r="D1121" s="60">
        <f>OR(BV1121=Driver!$G$51,BV1121=Driver!$H$51)</f>
        <v/>
      </c>
      <c r="E1121" s="60">
        <f>AND(BX1121&gt;Driver!$F$54,BX1121&lt;Driver!$G$54)</f>
        <v/>
      </c>
      <c r="F1121" s="60">
        <f>CL1121&gt;Driver!$F$56</f>
        <v/>
      </c>
      <c r="G1121" s="60">
        <f>AND(CB1121&gt;Driver!$F$55,CB1121&lt;Driver!$G$55)</f>
        <v/>
      </c>
      <c r="H1121" s="60">
        <f>AND(B1121:G1121)</f>
        <v/>
      </c>
      <c r="I1121" s="60">
        <f>COUNTIFS($H$9:$H$1273,TRUE,$BT$9:$BT$1273,BT1121)</f>
        <v/>
      </c>
      <c r="J1121" s="60">
        <f t="array" ref="J1121">NOT(OR(($H$9:$H$1273=TRUE)*($I$9:$I$1273&gt;0)*($BT$9:$BT$1273=BT1121)*($K$9:$K$1273&gt;K1121)))</f>
        <v/>
      </c>
      <c r="K1121" s="108">
        <f>IFERROR(1-AVERAGE(X1121:Y1121),"")</f>
        <v/>
      </c>
      <c r="L1121" s="108">
        <f>1-X1121</f>
        <v/>
      </c>
      <c r="M1121" s="108">
        <f>1-Y1121</f>
        <v/>
      </c>
      <c r="N1121" s="108">
        <f>1-Z1121</f>
        <v/>
      </c>
      <c r="O1121" s="108">
        <f>1-AA1121</f>
        <v/>
      </c>
      <c r="P1121" s="108">
        <f>1-AB1121</f>
        <v/>
      </c>
      <c r="Q1121" s="108" t="n"/>
      <c r="R1121" s="108" t="n"/>
      <c r="S1121" s="108">
        <f>1-AE1121</f>
        <v/>
      </c>
      <c r="T1121" s="108">
        <f>1-AF1121</f>
        <v/>
      </c>
      <c r="U1121" s="108">
        <f>1-AG1121</f>
        <v/>
      </c>
      <c r="V1121" s="108">
        <f>1-AH1121</f>
        <v/>
      </c>
      <c r="W1121" s="108">
        <f>1-AI1121</f>
        <v/>
      </c>
      <c r="X1121" s="108">
        <f>ABS(AJ1121-AJ$1)</f>
        <v/>
      </c>
      <c r="Y1121" s="108">
        <f>AVERAGE(Z1121:AB1121)</f>
        <v/>
      </c>
      <c r="Z1121" s="108">
        <f>ABS(AL1121-AL$1)</f>
        <v/>
      </c>
      <c r="AA1121" s="108">
        <f>ABS(AM1121-AM$1)</f>
        <v/>
      </c>
      <c r="AB1121" s="108">
        <f>ABS(AN1121-AN$1)</f>
        <v/>
      </c>
      <c r="AC1121" s="108" t="n"/>
      <c r="AD1121" s="108" t="n"/>
      <c r="AE1121" s="108">
        <f>ABS(AQ$1-AQ1121)</f>
        <v/>
      </c>
      <c r="AF1121" s="108">
        <f>ABS(AR$1-AR1121)</f>
        <v/>
      </c>
      <c r="AG1121" s="108">
        <f>ABS(AS$1-AS1121)</f>
        <v/>
      </c>
      <c r="AH1121" s="108">
        <f>ABS(AT$1-AT1121)</f>
        <v/>
      </c>
      <c r="AI1121" s="108">
        <f>ABS(AU$1-AU1121)</f>
        <v/>
      </c>
      <c r="AJ1121" s="108">
        <f>(AV1121-Driver!$K$179)/(Driver!$L$179-Driver!$K$179)</f>
        <v/>
      </c>
      <c r="AK1121" s="108">
        <f>(AW1121-Driver!$K$180)/(Driver!$L$180-Driver!$K$180)</f>
        <v/>
      </c>
      <c r="AL1121" s="108">
        <f>(AX1121-Driver!$K$181)/(Driver!$L$181-Driver!$K$181)</f>
        <v/>
      </c>
      <c r="AM1121" s="108">
        <f>(AY1121-Driver!$K$182)/(Driver!$L$182-Driver!$K$182)</f>
        <v/>
      </c>
      <c r="AN1121" s="108">
        <f>(AZ1121-Driver!$K$183)/(Driver!$L$183-Driver!$K$183)</f>
        <v/>
      </c>
      <c r="AO1121" s="108" t="n"/>
      <c r="AP1121" s="108" t="n"/>
      <c r="AQ1121" s="108">
        <f>(BC1121-Driver!$K$188)/(Driver!$L$188-Driver!$K$188)</f>
        <v/>
      </c>
      <c r="AR1121" s="108">
        <f>MIN((BD1121-Driver!$K$189)/(Driver!$L$189-Driver!$K$189),100%)</f>
        <v/>
      </c>
      <c r="AS1121" s="108">
        <f>(BE1121-Driver!$K$190)/(Driver!$L$190-Driver!$K$190)</f>
        <v/>
      </c>
      <c r="AT1121" s="108">
        <f>(BF1121-Driver!$K$191)/(Driver!$L$191-Driver!$K$191)</f>
        <v/>
      </c>
      <c r="AU1121" s="108">
        <f>(BG1121-Driver!$K$192)/(Driver!$L$192-Driver!$K$192)</f>
        <v/>
      </c>
      <c r="AV1121" s="105">
        <f>IFERROR(BM1121*BJ1121^1/4,"")</f>
        <v/>
      </c>
      <c r="AW1121" s="105">
        <f>IFERROR(SUM(AX1121:AZ1121),"")</f>
        <v/>
      </c>
      <c r="AX1121" s="105">
        <f>IFERROR(BH1121,"")</f>
        <v/>
      </c>
      <c r="AY1121" s="105">
        <f>IFERROR(Driver!$K$19/Data!BH1121/Data!BI1121*Data!BK1121*Data!BL1121,"")</f>
        <v/>
      </c>
      <c r="AZ1121" s="105">
        <f>IFERROR(BI1121*BN1121,"")</f>
        <v/>
      </c>
      <c r="BA1121" s="105" t="n"/>
      <c r="BB1121" s="105" t="n"/>
      <c r="BC1121" s="105">
        <f>IFERROR(BI1121*BN1121*BK1121/BJ1121^(1/2),"")</f>
        <v/>
      </c>
      <c r="BD1121" s="105">
        <f>IFERROR(BH1121*BM1121*BL1121/BJ1121/BK1121,"")</f>
        <v/>
      </c>
      <c r="BE1121" s="105">
        <f>IFERROR(MIN(BI1121/BQ1121/BP1121/BO1121/BH1121,$BE$1),"")</f>
        <v/>
      </c>
      <c r="BF1121" s="105">
        <f>IFERROR(BJ1121*BO1121*BP1121/BK1121,"")</f>
        <v/>
      </c>
      <c r="BG1121" s="105">
        <f>IFERROR(1/BM1121/BH1121*BQ1121,"")</f>
        <v/>
      </c>
      <c r="BH1121" s="102">
        <f>MAX((CE1121-Driver!$F$200)/(Driver!$G$200-Driver!$F$200)*$BI$1,1)</f>
        <v/>
      </c>
      <c r="BI1121" s="102">
        <f>MAX($BI$1*(BY1121-Driver!$F$201)/(Driver!$G$201-Driver!$F$201),1)</f>
        <v/>
      </c>
      <c r="BJ1121" s="102">
        <f>(CB1121-Driver!$F$206)/(Driver!$G$206-Driver!$F$206)*$BI$1</f>
        <v/>
      </c>
      <c r="BK1121" s="102">
        <f>(CD1121-Driver!$F$203)/(Driver!$G$203-Driver!$F$203)*$BI$1</f>
        <v/>
      </c>
      <c r="BL1121" s="102">
        <f>MAX((CR1121-Driver!$F$202)/(Driver!$G$202-Driver!$F$202)*$BI$1,1)</f>
        <v/>
      </c>
      <c r="BM1121" s="102">
        <f>MAX((CH1121-Driver!$F$204)/(Driver!$G$204-Driver!$F$204)*$BI$1,1)</f>
        <v/>
      </c>
      <c r="BN1121" s="102">
        <f>(CI1121-Driver!$F$205)/(Driver!$G$205-Driver!$F$205)*$BI$1</f>
        <v/>
      </c>
      <c r="BO1121" s="102">
        <f>(CK1121-Driver!$F$207)/(Driver!$G$207-Driver!$F$207)*$BI$1</f>
        <v/>
      </c>
      <c r="BP1121" s="102">
        <f>(CM1121-Driver!$F$208)/(Driver!$G$208-Driver!$F$208)*$BI$1</f>
        <v/>
      </c>
      <c r="BQ1121" s="102">
        <f>(CL1121-Driver!$F$209)/(Driver!$G$209-Driver!$F$209)*$BI$1</f>
        <v/>
      </c>
      <c r="BR1121" s="40" t="inlineStr">
        <is>
          <t>21/22</t>
        </is>
      </c>
      <c r="BS1121" s="10" t="inlineStr">
        <is>
          <t xml:space="preserve"> J Skis</t>
        </is>
      </c>
      <c r="BT1121" s="11" t="inlineStr">
        <is>
          <t xml:space="preserve"> The Friend</t>
        </is>
      </c>
      <c r="BU1121" s="13" t="n">
        <v>183</v>
      </c>
      <c r="BV1121" s="11" t="inlineStr">
        <is>
          <t xml:space="preserve"> Unisex</t>
        </is>
      </c>
      <c r="BW1121" s="13" t="n">
        <v>183</v>
      </c>
      <c r="BX1121" s="13" t="n">
        <v>180.7</v>
      </c>
      <c r="BY1121" s="13" t="n">
        <v>116</v>
      </c>
      <c r="BZ1121" s="13" t="n">
        <v>140</v>
      </c>
      <c r="CA1121" s="13" t="n">
        <v>142</v>
      </c>
      <c r="CB1121" s="13" t="n">
        <v>117</v>
      </c>
      <c r="CC1121" s="13" t="n">
        <v>132</v>
      </c>
      <c r="CD1121" s="13" t="n">
        <v>20.1</v>
      </c>
      <c r="CE1121" s="13" t="n">
        <v>2414</v>
      </c>
      <c r="CF1121" s="13" t="n">
        <v>0.93</v>
      </c>
      <c r="CG1121" s="13" t="n">
        <v>2255</v>
      </c>
      <c r="CH1121" s="13" t="n">
        <v>225</v>
      </c>
      <c r="CI1121" s="13" t="n">
        <v>86</v>
      </c>
      <c r="CJ1121" s="13" t="n">
        <v>62</v>
      </c>
      <c r="CK1121" s="13" t="n">
        <v>438</v>
      </c>
      <c r="CL1121" s="13" t="n">
        <v>35</v>
      </c>
      <c r="CM1121" s="13" t="n">
        <v>213</v>
      </c>
      <c r="CN1121" s="13" t="n">
        <v>0.57</v>
      </c>
      <c r="CO1121" s="13" t="n">
        <v>205</v>
      </c>
      <c r="CP1121" s="13" t="n">
        <v>205</v>
      </c>
      <c r="CQ1121" s="13" t="n">
        <v>233</v>
      </c>
      <c r="CR1121" s="13" t="n">
        <v>5</v>
      </c>
      <c r="CS1121" s="13" t="n">
        <v>7.8</v>
      </c>
      <c r="CT1121" s="11" t="inlineStr">
        <is>
          <t xml:space="preserve"> Powder</t>
        </is>
      </c>
      <c r="CU1121" s="13" t="n"/>
      <c r="CV1121" s="13" t="n"/>
      <c r="CW1121" s="13" t="n"/>
      <c r="CX1121">
        <f>INDEX('Data_Price '!AG$2:AG$1266,MATCH(Data!$DN1121,'Data_Price '!$AT$2:$AT$1266,0))</f>
        <v/>
      </c>
      <c r="CY1121">
        <f>INDEX('Data_Price '!AH$2:AH$1266,MATCH(Data!$DN1121,'Data_Price '!$AT$2:$AT$1266,0))</f>
        <v/>
      </c>
      <c r="CZ1121">
        <f>INDEX('Data_Price '!AI$2:AI$1266,MATCH(Data!$DN1121,'Data_Price '!$AT$2:$AT$1266,0))</f>
        <v/>
      </c>
      <c r="DA1121">
        <f>INDEX('Data_Price '!AJ$2:AJ$1266,MATCH(Data!$DN1121,'Data_Price '!$AT$2:$AT$1266,0))</f>
        <v/>
      </c>
      <c r="DB1121">
        <f>INDEX('Data_Price '!AK$2:AK$1266,MATCH(Data!$DN1121,'Data_Price '!$AT$2:$AT$1266,0))</f>
        <v/>
      </c>
      <c r="DC1121">
        <f>INDEX('Data_Price '!AL$2:AL$1266,MATCH(Data!$DN1121,'Data_Price '!$AT$2:$AT$1266,0))</f>
        <v/>
      </c>
      <c r="DD1121">
        <f>INDEX('Data_Price '!AM$2:AM$1266,MATCH(Data!$DN1121,'Data_Price '!$AT$2:$AT$1266,0))</f>
        <v/>
      </c>
      <c r="DE1121">
        <f>INDEX('Data_Price '!AN$2:AN$1266,MATCH(Data!$DN1121,'Data_Price '!$AT$2:$AT$1266,0))</f>
        <v/>
      </c>
      <c r="DF1121">
        <f>INDEX('Data_Price '!AO$2:AO$1266,MATCH(Data!$DN1121,'Data_Price '!$AT$2:$AT$1266,0))</f>
        <v/>
      </c>
      <c r="DG1121">
        <f>INDEX('Data_Price '!AP$2:AP$1266,MATCH(Data!$DN1121,'Data_Price '!$AT$2:$AT$1266,0))</f>
        <v/>
      </c>
      <c r="DH1121">
        <f>INDEX('Data_Price '!AQ$2:AQ$1266,MATCH(Data!$DN1121,'Data_Price '!$AT$2:$AT$1266,0))</f>
        <v/>
      </c>
      <c r="DI1121">
        <f>INDEX('Data_Price '!AR$2:AR$1266,MATCH(Data!$DN1121,'Data_Price '!$AT$2:$AT$1266,0))</f>
        <v/>
      </c>
      <c r="DJ1121" s="138">
        <f>DA1121</f>
        <v/>
      </c>
      <c r="DK1121" s="138">
        <f>DE1121</f>
        <v/>
      </c>
      <c r="DL1121" s="138">
        <f>DI1121</f>
        <v/>
      </c>
      <c r="DM1121" s="303">
        <f>IF(LEFT(BT1121,1)=" ",RIGHT(BT1121,LEN(BT1121)-1),BT1121)</f>
        <v/>
      </c>
      <c r="DN1121" s="138">
        <f>_xlfn.CONCAT(BS1121,DM1121,BU1121,BV1121)</f>
        <v/>
      </c>
      <c r="DO1121" s="307" t="n"/>
    </row>
    <row r="1122" ht="15.6" customHeight="1" s="184">
      <c r="B1122" s="303">
        <f t="array" ref="B1122">IF(OR(ISERROR(K1122:P1122)),FALSE,TRUE)</f>
        <v/>
      </c>
      <c r="C1122" s="60">
        <f>OR(BR1122=Driver!$G$50,Data!BR838=Driver!$H$50)</f>
        <v/>
      </c>
      <c r="D1122" s="60">
        <f>OR(BV1122=Driver!$G$51,BV1122=Driver!$H$51)</f>
        <v/>
      </c>
      <c r="E1122" s="60">
        <f>AND(BX1122&gt;Driver!$F$54,BX1122&lt;Driver!$G$54)</f>
        <v/>
      </c>
      <c r="F1122" s="60">
        <f>CL1122&gt;Driver!$F$56</f>
        <v/>
      </c>
      <c r="G1122" s="60">
        <f>AND(CB1122&gt;Driver!$F$55,CB1122&lt;Driver!$G$55)</f>
        <v/>
      </c>
      <c r="H1122" s="60">
        <f>AND(B1122:G1122)</f>
        <v/>
      </c>
      <c r="I1122" s="60">
        <f>COUNTIFS($H$9:$H$1273,TRUE,$BT$9:$BT$1273,BT1122)</f>
        <v/>
      </c>
      <c r="J1122" s="60">
        <f t="array" ref="J1122">NOT(OR(($H$9:$H$1273=TRUE)*($I$9:$I$1273&gt;0)*($BT$9:$BT$1273=BT1122)*($K$9:$K$1273&gt;K1122)))</f>
        <v/>
      </c>
      <c r="K1122" s="108">
        <f>IFERROR(1-AVERAGE(X1122:Y1122),"")</f>
        <v/>
      </c>
      <c r="L1122" s="108">
        <f>1-X1122</f>
        <v/>
      </c>
      <c r="M1122" s="108">
        <f>1-Y1122</f>
        <v/>
      </c>
      <c r="N1122" s="108">
        <f>1-Z1122</f>
        <v/>
      </c>
      <c r="O1122" s="108">
        <f>1-AA1122</f>
        <v/>
      </c>
      <c r="P1122" s="108">
        <f>1-AB1122</f>
        <v/>
      </c>
      <c r="Q1122" s="108" t="n"/>
      <c r="R1122" s="108" t="n"/>
      <c r="S1122" s="108">
        <f>1-AE1122</f>
        <v/>
      </c>
      <c r="T1122" s="108">
        <f>1-AF1122</f>
        <v/>
      </c>
      <c r="U1122" s="108">
        <f>1-AG1122</f>
        <v/>
      </c>
      <c r="V1122" s="108">
        <f>1-AH1122</f>
        <v/>
      </c>
      <c r="W1122" s="108">
        <f>1-AI1122</f>
        <v/>
      </c>
      <c r="X1122" s="108">
        <f>ABS(AJ1122-AJ$1)</f>
        <v/>
      </c>
      <c r="Y1122" s="108">
        <f>AVERAGE(Z1122:AB1122)</f>
        <v/>
      </c>
      <c r="Z1122" s="108">
        <f>ABS(AL1122-AL$1)</f>
        <v/>
      </c>
      <c r="AA1122" s="108">
        <f>ABS(AM1122-AM$1)</f>
        <v/>
      </c>
      <c r="AB1122" s="108">
        <f>ABS(AN1122-AN$1)</f>
        <v/>
      </c>
      <c r="AC1122" s="108" t="n"/>
      <c r="AD1122" s="108" t="n"/>
      <c r="AE1122" s="108">
        <f>ABS(AQ$1-AQ1122)</f>
        <v/>
      </c>
      <c r="AF1122" s="108">
        <f>ABS(AR$1-AR1122)</f>
        <v/>
      </c>
      <c r="AG1122" s="108">
        <f>ABS(AS$1-AS1122)</f>
        <v/>
      </c>
      <c r="AH1122" s="108">
        <f>ABS(AT$1-AT1122)</f>
        <v/>
      </c>
      <c r="AI1122" s="108">
        <f>ABS(AU$1-AU1122)</f>
        <v/>
      </c>
      <c r="AJ1122" s="108">
        <f>(AV1122-Driver!$K$179)/(Driver!$L$179-Driver!$K$179)</f>
        <v/>
      </c>
      <c r="AK1122" s="108">
        <f>(AW1122-Driver!$K$180)/(Driver!$L$180-Driver!$K$180)</f>
        <v/>
      </c>
      <c r="AL1122" s="108">
        <f>(AX1122-Driver!$K$181)/(Driver!$L$181-Driver!$K$181)</f>
        <v/>
      </c>
      <c r="AM1122" s="108">
        <f>(AY1122-Driver!$K$182)/(Driver!$L$182-Driver!$K$182)</f>
        <v/>
      </c>
      <c r="AN1122" s="108">
        <f>(AZ1122-Driver!$K$183)/(Driver!$L$183-Driver!$K$183)</f>
        <v/>
      </c>
      <c r="AO1122" s="108" t="n"/>
      <c r="AP1122" s="108" t="n"/>
      <c r="AQ1122" s="108">
        <f>(BC1122-Driver!$K$188)/(Driver!$L$188-Driver!$K$188)</f>
        <v/>
      </c>
      <c r="AR1122" s="108">
        <f>MIN((BD1122-Driver!$K$189)/(Driver!$L$189-Driver!$K$189),100%)</f>
        <v/>
      </c>
      <c r="AS1122" s="108">
        <f>(BE1122-Driver!$K$190)/(Driver!$L$190-Driver!$K$190)</f>
        <v/>
      </c>
      <c r="AT1122" s="108">
        <f>(BF1122-Driver!$K$191)/(Driver!$L$191-Driver!$K$191)</f>
        <v/>
      </c>
      <c r="AU1122" s="108">
        <f>(BG1122-Driver!$K$192)/(Driver!$L$192-Driver!$K$192)</f>
        <v/>
      </c>
      <c r="AV1122" s="105">
        <f>IFERROR(BM1122*BJ1122^1/4,"")</f>
        <v/>
      </c>
      <c r="AW1122" s="105">
        <f>IFERROR(SUM(AX1122:AZ1122),"")</f>
        <v/>
      </c>
      <c r="AX1122" s="105">
        <f>IFERROR(BH1122,"")</f>
        <v/>
      </c>
      <c r="AY1122" s="105">
        <f>IFERROR(Driver!$K$19/Data!BH1122/Data!BI1122*Data!BK1122*Data!BL1122,"")</f>
        <v/>
      </c>
      <c r="AZ1122" s="105">
        <f>IFERROR(BI1122*BN1122,"")</f>
        <v/>
      </c>
      <c r="BA1122" s="105" t="n"/>
      <c r="BB1122" s="105" t="n"/>
      <c r="BC1122" s="105">
        <f>IFERROR(BI1122*BN1122*BK1122/BJ1122^(1/2),"")</f>
        <v/>
      </c>
      <c r="BD1122" s="105">
        <f>IFERROR(BH1122*BM1122*BL1122/BJ1122/BK1122,"")</f>
        <v/>
      </c>
      <c r="BE1122" s="105">
        <f>IFERROR(MIN(BI1122/BQ1122/BP1122/BO1122/BH1122,$BE$1),"")</f>
        <v/>
      </c>
      <c r="BF1122" s="105">
        <f>IFERROR(BJ1122*BO1122*BP1122/BK1122,"")</f>
        <v/>
      </c>
      <c r="BG1122" s="105">
        <f>IFERROR(1/BM1122/BH1122*BQ1122,"")</f>
        <v/>
      </c>
      <c r="BH1122" s="102">
        <f>MAX((CE1122-Driver!$F$200)/(Driver!$G$200-Driver!$F$200)*$BI$1,1)</f>
        <v/>
      </c>
      <c r="BI1122" s="102">
        <f>MAX($BI$1*(BY1122-Driver!$F$201)/(Driver!$G$201-Driver!$F$201),1)</f>
        <v/>
      </c>
      <c r="BJ1122" s="102">
        <f>(CB1122-Driver!$F$206)/(Driver!$G$206-Driver!$F$206)*$BI$1</f>
        <v/>
      </c>
      <c r="BK1122" s="102">
        <f>(CD1122-Driver!$F$203)/(Driver!$G$203-Driver!$F$203)*$BI$1</f>
        <v/>
      </c>
      <c r="BL1122" s="102">
        <f>MAX((CR1122-Driver!$F$202)/(Driver!$G$202-Driver!$F$202)*$BI$1,1)</f>
        <v/>
      </c>
      <c r="BM1122" s="102">
        <f>MAX((CH1122-Driver!$F$204)/(Driver!$G$204-Driver!$F$204)*$BI$1,1)</f>
        <v/>
      </c>
      <c r="BN1122" s="102">
        <f>(CI1122-Driver!$F$205)/(Driver!$G$205-Driver!$F$205)*$BI$1</f>
        <v/>
      </c>
      <c r="BO1122" s="102">
        <f>(CK1122-Driver!$F$207)/(Driver!$G$207-Driver!$F$207)*$BI$1</f>
        <v/>
      </c>
      <c r="BP1122" s="102">
        <f>(CM1122-Driver!$F$208)/(Driver!$G$208-Driver!$F$208)*$BI$1</f>
        <v/>
      </c>
      <c r="BQ1122" s="102">
        <f>(CL1122-Driver!$F$209)/(Driver!$G$209-Driver!$F$209)*$BI$1</f>
        <v/>
      </c>
      <c r="BR1122" s="40" t="inlineStr">
        <is>
          <t>21/22</t>
        </is>
      </c>
      <c r="BS1122" s="10" t="inlineStr">
        <is>
          <t xml:space="preserve"> Line</t>
        </is>
      </c>
      <c r="BT1122" s="11" t="inlineStr">
        <is>
          <t xml:space="preserve"> Honey Bee</t>
        </is>
      </c>
      <c r="BU1122" s="13" t="n">
        <v>144</v>
      </c>
      <c r="BV1122" s="11" t="inlineStr">
        <is>
          <t xml:space="preserve"> Women's</t>
        </is>
      </c>
      <c r="BW1122" s="13" t="n">
        <v>144</v>
      </c>
      <c r="BX1122" s="13" t="n">
        <v>143.2</v>
      </c>
      <c r="BY1122" s="13" t="n">
        <v>100</v>
      </c>
      <c r="BZ1122" s="13" t="n">
        <v>119</v>
      </c>
      <c r="CA1122" s="13" t="n">
        <v>120</v>
      </c>
      <c r="CB1122" s="13" t="n">
        <v>91</v>
      </c>
      <c r="CC1122" s="13" t="n">
        <v>117</v>
      </c>
      <c r="CD1122" s="13" t="n">
        <v>12</v>
      </c>
      <c r="CE1122" s="13" t="n">
        <v>1344</v>
      </c>
      <c r="CF1122" s="13" t="n">
        <v>1.08</v>
      </c>
      <c r="CG1122" s="13" t="n">
        <v>1448</v>
      </c>
      <c r="CH1122" s="13" t="n">
        <v>139</v>
      </c>
      <c r="CI1122" s="13" t="n">
        <v>56</v>
      </c>
      <c r="CJ1122" s="13" t="n">
        <v>46</v>
      </c>
      <c r="CK1122" s="13" t="n">
        <v>220</v>
      </c>
      <c r="CL1122" s="13" t="n">
        <v>41</v>
      </c>
      <c r="CM1122" s="13" t="n">
        <v>212</v>
      </c>
      <c r="CN1122" s="13" t="n">
        <v>0.905</v>
      </c>
      <c r="CO1122" s="13" t="n">
        <v>124</v>
      </c>
      <c r="CP1122" s="13" t="n">
        <v>114</v>
      </c>
      <c r="CQ1122" s="13" t="n">
        <v>96</v>
      </c>
      <c r="CR1122" s="13" t="n">
        <v>5</v>
      </c>
      <c r="CS1122" s="13" t="n">
        <v>3.5</v>
      </c>
      <c r="CT1122" s="11" t="inlineStr">
        <is>
          <t xml:space="preserve"> Freeski</t>
        </is>
      </c>
      <c r="CU1122" s="11" t="inlineStr">
        <is>
          <t xml:space="preserve"> Touring</t>
        </is>
      </c>
      <c r="CV1122" s="13" t="n"/>
      <c r="CW1122" s="13" t="n"/>
      <c r="CX1122">
        <f>INDEX('Data_Price '!AG$2:AG$1266,MATCH(Data!$DN1122,'Data_Price '!$AT$2:$AT$1266,0))</f>
        <v/>
      </c>
      <c r="CY1122">
        <f>INDEX('Data_Price '!AH$2:AH$1266,MATCH(Data!$DN1122,'Data_Price '!$AT$2:$AT$1266,0))</f>
        <v/>
      </c>
      <c r="CZ1122">
        <f>INDEX('Data_Price '!AI$2:AI$1266,MATCH(Data!$DN1122,'Data_Price '!$AT$2:$AT$1266,0))</f>
        <v/>
      </c>
      <c r="DA1122">
        <f>INDEX('Data_Price '!AJ$2:AJ$1266,MATCH(Data!$DN1122,'Data_Price '!$AT$2:$AT$1266,0))</f>
        <v/>
      </c>
      <c r="DB1122">
        <f>INDEX('Data_Price '!AK$2:AK$1266,MATCH(Data!$DN1122,'Data_Price '!$AT$2:$AT$1266,0))</f>
        <v/>
      </c>
      <c r="DC1122">
        <f>INDEX('Data_Price '!AL$2:AL$1266,MATCH(Data!$DN1122,'Data_Price '!$AT$2:$AT$1266,0))</f>
        <v/>
      </c>
      <c r="DD1122">
        <f>INDEX('Data_Price '!AM$2:AM$1266,MATCH(Data!$DN1122,'Data_Price '!$AT$2:$AT$1266,0))</f>
        <v/>
      </c>
      <c r="DE1122">
        <f>INDEX('Data_Price '!AN$2:AN$1266,MATCH(Data!$DN1122,'Data_Price '!$AT$2:$AT$1266,0))</f>
        <v/>
      </c>
      <c r="DF1122">
        <f>INDEX('Data_Price '!AO$2:AO$1266,MATCH(Data!$DN1122,'Data_Price '!$AT$2:$AT$1266,0))</f>
        <v/>
      </c>
      <c r="DG1122">
        <f>INDEX('Data_Price '!AP$2:AP$1266,MATCH(Data!$DN1122,'Data_Price '!$AT$2:$AT$1266,0))</f>
        <v/>
      </c>
      <c r="DH1122">
        <f>INDEX('Data_Price '!AQ$2:AQ$1266,MATCH(Data!$DN1122,'Data_Price '!$AT$2:$AT$1266,0))</f>
        <v/>
      </c>
      <c r="DI1122">
        <f>INDEX('Data_Price '!AR$2:AR$1266,MATCH(Data!$DN1122,'Data_Price '!$AT$2:$AT$1266,0))</f>
        <v/>
      </c>
      <c r="DJ1122" s="138">
        <f>DA1122</f>
        <v/>
      </c>
      <c r="DK1122" s="138">
        <f>DE1122</f>
        <v/>
      </c>
      <c r="DL1122" s="138">
        <f>DI1122</f>
        <v/>
      </c>
      <c r="DM1122" s="303">
        <f>IF(LEFT(BT1122,1)=" ",RIGHT(BT1122,LEN(BT1122)-1),BT1122)</f>
        <v/>
      </c>
      <c r="DN1122" s="138">
        <f>_xlfn.CONCAT(BS1122,DM1122,BU1122,BV1122)</f>
        <v/>
      </c>
      <c r="DO1122" s="307" t="inlineStr">
        <is>
          <t>https://images.evo.com/imgp/250/198442/817649/clone.jpg</t>
        </is>
      </c>
    </row>
    <row r="1123" ht="15.6" customHeight="1" s="184">
      <c r="B1123" s="303">
        <f t="array" ref="B1123">IF(OR(ISERROR(K1123:P1123)),FALSE,TRUE)</f>
        <v/>
      </c>
      <c r="C1123" s="60">
        <f>OR(BR1123=Driver!$G$50,Data!BR1023=Driver!$H$50)</f>
        <v/>
      </c>
      <c r="D1123" s="60">
        <f>OR(BV1123=Driver!$G$51,BV1123=Driver!$H$51)</f>
        <v/>
      </c>
      <c r="E1123" s="60">
        <f>AND(BX1123&gt;Driver!$F$54,BX1123&lt;Driver!$G$54)</f>
        <v/>
      </c>
      <c r="F1123" s="60">
        <f>CL1123&gt;Driver!$F$56</f>
        <v/>
      </c>
      <c r="G1123" s="60">
        <f>AND(CB1123&gt;Driver!$F$55,CB1123&lt;Driver!$G$55)</f>
        <v/>
      </c>
      <c r="H1123" s="60">
        <f>AND(B1123:G1123)</f>
        <v/>
      </c>
      <c r="I1123" s="60">
        <f>COUNTIFS($H$9:$H$1273,TRUE,$BT$9:$BT$1273,BT1123)</f>
        <v/>
      </c>
      <c r="J1123" s="60">
        <f t="array" ref="J1123">NOT(OR(($H$9:$H$1273=TRUE)*($I$9:$I$1273&gt;0)*($BT$9:$BT$1273=BT1123)*($K$9:$K$1273&gt;K1123)))</f>
        <v/>
      </c>
      <c r="K1123" s="108">
        <f>IFERROR(1-AVERAGE(X1123:Y1123),"")</f>
        <v/>
      </c>
      <c r="L1123" s="108">
        <f>1-X1123</f>
        <v/>
      </c>
      <c r="M1123" s="108">
        <f>1-Y1123</f>
        <v/>
      </c>
      <c r="N1123" s="108">
        <f>1-Z1123</f>
        <v/>
      </c>
      <c r="O1123" s="108">
        <f>1-AA1123</f>
        <v/>
      </c>
      <c r="P1123" s="108">
        <f>1-AB1123</f>
        <v/>
      </c>
      <c r="Q1123" s="108" t="n"/>
      <c r="R1123" s="108" t="n"/>
      <c r="S1123" s="108">
        <f>1-AE1123</f>
        <v/>
      </c>
      <c r="T1123" s="108">
        <f>1-AF1123</f>
        <v/>
      </c>
      <c r="U1123" s="108">
        <f>1-AG1123</f>
        <v/>
      </c>
      <c r="V1123" s="108">
        <f>1-AH1123</f>
        <v/>
      </c>
      <c r="W1123" s="108">
        <f>1-AI1123</f>
        <v/>
      </c>
      <c r="X1123" s="108">
        <f>ABS(AJ1123-AJ$1)</f>
        <v/>
      </c>
      <c r="Y1123" s="108">
        <f>AVERAGE(Z1123:AB1123)</f>
        <v/>
      </c>
      <c r="Z1123" s="108">
        <f>ABS(AL1123-AL$1)</f>
        <v/>
      </c>
      <c r="AA1123" s="108">
        <f>ABS(AM1123-AM$1)</f>
        <v/>
      </c>
      <c r="AB1123" s="108">
        <f>ABS(AN1123-AN$1)</f>
        <v/>
      </c>
      <c r="AC1123" s="108" t="n"/>
      <c r="AD1123" s="108" t="n"/>
      <c r="AE1123" s="108">
        <f>ABS(AQ$1-AQ1123)</f>
        <v/>
      </c>
      <c r="AF1123" s="108">
        <f>ABS(AR$1-AR1123)</f>
        <v/>
      </c>
      <c r="AG1123" s="108">
        <f>ABS(AS$1-AS1123)</f>
        <v/>
      </c>
      <c r="AH1123" s="108">
        <f>ABS(AT$1-AT1123)</f>
        <v/>
      </c>
      <c r="AI1123" s="108">
        <f>ABS(AU$1-AU1123)</f>
        <v/>
      </c>
      <c r="AJ1123" s="108">
        <f>(AV1123-Driver!$K$179)/(Driver!$L$179-Driver!$K$179)</f>
        <v/>
      </c>
      <c r="AK1123" s="108">
        <f>(AW1123-Driver!$K$180)/(Driver!$L$180-Driver!$K$180)</f>
        <v/>
      </c>
      <c r="AL1123" s="108">
        <f>(AX1123-Driver!$K$181)/(Driver!$L$181-Driver!$K$181)</f>
        <v/>
      </c>
      <c r="AM1123" s="108">
        <f>(AY1123-Driver!$K$182)/(Driver!$L$182-Driver!$K$182)</f>
        <v/>
      </c>
      <c r="AN1123" s="108">
        <f>(AZ1123-Driver!$K$183)/(Driver!$L$183-Driver!$K$183)</f>
        <v/>
      </c>
      <c r="AO1123" s="108" t="n"/>
      <c r="AP1123" s="108" t="n"/>
      <c r="AQ1123" s="108">
        <f>(BC1123-Driver!$K$188)/(Driver!$L$188-Driver!$K$188)</f>
        <v/>
      </c>
      <c r="AR1123" s="108">
        <f>MIN((BD1123-Driver!$K$189)/(Driver!$L$189-Driver!$K$189),100%)</f>
        <v/>
      </c>
      <c r="AS1123" s="108">
        <f>(BE1123-Driver!$K$190)/(Driver!$L$190-Driver!$K$190)</f>
        <v/>
      </c>
      <c r="AT1123" s="108">
        <f>(BF1123-Driver!$K$191)/(Driver!$L$191-Driver!$K$191)</f>
        <v/>
      </c>
      <c r="AU1123" s="108">
        <f>(BG1123-Driver!$K$192)/(Driver!$L$192-Driver!$K$192)</f>
        <v/>
      </c>
      <c r="AV1123" s="105">
        <f>IFERROR(BM1123*BJ1123^1/4,"")</f>
        <v/>
      </c>
      <c r="AW1123" s="105">
        <f>IFERROR(SUM(AX1123:AZ1123),"")</f>
        <v/>
      </c>
      <c r="AX1123" s="105">
        <f>IFERROR(BH1123,"")</f>
        <v/>
      </c>
      <c r="AY1123" s="105">
        <f>IFERROR(Driver!$K$19/Data!BH1123/Data!BI1123*Data!BK1123*Data!BL1123,"")</f>
        <v/>
      </c>
      <c r="AZ1123" s="105">
        <f>IFERROR(BI1123*BN1123,"")</f>
        <v/>
      </c>
      <c r="BA1123" s="105" t="n"/>
      <c r="BB1123" s="105" t="n"/>
      <c r="BC1123" s="105">
        <f>IFERROR(BI1123*BN1123*BK1123/BJ1123^(1/2),"")</f>
        <v/>
      </c>
      <c r="BD1123" s="105">
        <f>IFERROR(BH1123*BM1123*BL1123/BJ1123/BK1123,"")</f>
        <v/>
      </c>
      <c r="BE1123" s="105">
        <f>IFERROR(MIN(BI1123/BQ1123/BP1123/BO1123/BH1123,$BE$1),"")</f>
        <v/>
      </c>
      <c r="BF1123" s="105">
        <f>IFERROR(BJ1123*BO1123*BP1123/BK1123,"")</f>
        <v/>
      </c>
      <c r="BG1123" s="105">
        <f>IFERROR(1/BM1123/BH1123*BQ1123,"")</f>
        <v/>
      </c>
      <c r="BH1123" s="102">
        <f>MAX((CE1123-Driver!$F$200)/(Driver!$G$200-Driver!$F$200)*$BI$1,1)</f>
        <v/>
      </c>
      <c r="BI1123" s="102">
        <f>MAX($BI$1*(BY1123-Driver!$F$201)/(Driver!$G$201-Driver!$F$201),1)</f>
        <v/>
      </c>
      <c r="BJ1123" s="102">
        <f>(CB1123-Driver!$F$206)/(Driver!$G$206-Driver!$F$206)*$BI$1</f>
        <v/>
      </c>
      <c r="BK1123" s="102">
        <f>(CD1123-Driver!$F$203)/(Driver!$G$203-Driver!$F$203)*$BI$1</f>
        <v/>
      </c>
      <c r="BL1123" s="102">
        <f>MAX((CR1123-Driver!$F$202)/(Driver!$G$202-Driver!$F$202)*$BI$1,1)</f>
        <v/>
      </c>
      <c r="BM1123" s="102">
        <f>MAX((CH1123-Driver!$F$204)/(Driver!$G$204-Driver!$F$204)*$BI$1,1)</f>
        <v/>
      </c>
      <c r="BN1123" s="102">
        <f>(CI1123-Driver!$F$205)/(Driver!$G$205-Driver!$F$205)*$BI$1</f>
        <v/>
      </c>
      <c r="BO1123" s="102">
        <f>(CK1123-Driver!$F$207)/(Driver!$G$207-Driver!$F$207)*$BI$1</f>
        <v/>
      </c>
      <c r="BP1123" s="102">
        <f>(CM1123-Driver!$F$208)/(Driver!$G$208-Driver!$F$208)*$BI$1</f>
        <v/>
      </c>
      <c r="BQ1123" s="102">
        <f>(CL1123-Driver!$F$209)/(Driver!$G$209-Driver!$F$209)*$BI$1</f>
        <v/>
      </c>
      <c r="BR1123" s="40" t="inlineStr">
        <is>
          <t>21/22</t>
        </is>
      </c>
      <c r="BS1123" s="10" t="inlineStr">
        <is>
          <t xml:space="preserve"> Rossignol</t>
        </is>
      </c>
      <c r="BT1123" s="11" t="inlineStr">
        <is>
          <t>Experience 86 Ti</t>
        </is>
      </c>
      <c r="BU1123" s="13" t="n">
        <v>176</v>
      </c>
      <c r="BV1123" s="11" t="inlineStr">
        <is>
          <t xml:space="preserve"> Unisex</t>
        </is>
      </c>
      <c r="BW1123" s="13" t="n">
        <v>176</v>
      </c>
      <c r="BX1123" s="13" t="n">
        <v>175.5</v>
      </c>
      <c r="BY1123" s="13" t="n">
        <v>136</v>
      </c>
      <c r="BZ1123" s="13" t="n">
        <v>161</v>
      </c>
      <c r="CA1123" s="13" t="n">
        <v>131</v>
      </c>
      <c r="CB1123" s="13" t="n">
        <v>84</v>
      </c>
      <c r="CC1123" s="13" t="n">
        <v>119</v>
      </c>
      <c r="CD1123" s="13" t="n">
        <v>15.4</v>
      </c>
      <c r="CE1123" s="13" t="n">
        <v>2061</v>
      </c>
      <c r="CF1123" s="13" t="n">
        <v>0.84</v>
      </c>
      <c r="CG1123" s="13" t="n">
        <v>1732</v>
      </c>
      <c r="CH1123" s="13" t="n">
        <v>234</v>
      </c>
      <c r="CI1123" s="13" t="n">
        <v>137</v>
      </c>
      <c r="CJ1123" s="13" t="n">
        <v>49</v>
      </c>
      <c r="CK1123" s="13" t="n">
        <v>259</v>
      </c>
      <c r="CL1123" s="13" t="n">
        <v>14</v>
      </c>
      <c r="CM1123" s="13" t="n">
        <v>136</v>
      </c>
      <c r="CN1123" s="13" t="n">
        <v>0.29</v>
      </c>
      <c r="CO1123" s="13" t="n">
        <v>76</v>
      </c>
      <c r="CP1123" s="13" t="n">
        <v>64</v>
      </c>
      <c r="CQ1123" s="13" t="n">
        <v>183</v>
      </c>
      <c r="CR1123" s="13" t="n">
        <v>10</v>
      </c>
      <c r="CS1123" s="13" t="n">
        <v>6.9</v>
      </c>
      <c r="CT1123" s="11" t="inlineStr">
        <is>
          <t xml:space="preserve"> Resort Freeride</t>
        </is>
      </c>
      <c r="CU1123" s="13" t="n"/>
      <c r="CV1123" s="13" t="n"/>
      <c r="CW1123" s="13" t="n"/>
      <c r="CX1123">
        <f>INDEX('Data_Price '!AG$2:AG$1266,MATCH(Data!$DN1123,'Data_Price '!$AT$2:$AT$1266,0))</f>
        <v/>
      </c>
      <c r="CY1123">
        <f>INDEX('Data_Price '!AH$2:AH$1266,MATCH(Data!$DN1123,'Data_Price '!$AT$2:$AT$1266,0))</f>
        <v/>
      </c>
      <c r="CZ1123">
        <f>INDEX('Data_Price '!AI$2:AI$1266,MATCH(Data!$DN1123,'Data_Price '!$AT$2:$AT$1266,0))</f>
        <v/>
      </c>
      <c r="DA1123">
        <f>INDEX('Data_Price '!AJ$2:AJ$1266,MATCH(Data!$DN1123,'Data_Price '!$AT$2:$AT$1266,0))</f>
        <v/>
      </c>
      <c r="DB1123">
        <f>INDEX('Data_Price '!AK$2:AK$1266,MATCH(Data!$DN1123,'Data_Price '!$AT$2:$AT$1266,0))</f>
        <v/>
      </c>
      <c r="DC1123">
        <f>INDEX('Data_Price '!AL$2:AL$1266,MATCH(Data!$DN1123,'Data_Price '!$AT$2:$AT$1266,0))</f>
        <v/>
      </c>
      <c r="DD1123">
        <f>INDEX('Data_Price '!AM$2:AM$1266,MATCH(Data!$DN1123,'Data_Price '!$AT$2:$AT$1266,0))</f>
        <v/>
      </c>
      <c r="DE1123">
        <f>INDEX('Data_Price '!AN$2:AN$1266,MATCH(Data!$DN1123,'Data_Price '!$AT$2:$AT$1266,0))</f>
        <v/>
      </c>
      <c r="DF1123">
        <f>INDEX('Data_Price '!AO$2:AO$1266,MATCH(Data!$DN1123,'Data_Price '!$AT$2:$AT$1266,0))</f>
        <v/>
      </c>
      <c r="DG1123">
        <f>INDEX('Data_Price '!AP$2:AP$1266,MATCH(Data!$DN1123,'Data_Price '!$AT$2:$AT$1266,0))</f>
        <v/>
      </c>
      <c r="DH1123">
        <f>INDEX('Data_Price '!AQ$2:AQ$1266,MATCH(Data!$DN1123,'Data_Price '!$AT$2:$AT$1266,0))</f>
        <v/>
      </c>
      <c r="DI1123">
        <f>INDEX('Data_Price '!AR$2:AR$1266,MATCH(Data!$DN1123,'Data_Price '!$AT$2:$AT$1266,0))</f>
        <v/>
      </c>
      <c r="DJ1123" s="138">
        <f>DA1123</f>
        <v/>
      </c>
      <c r="DK1123" s="138">
        <f>DE1123</f>
        <v/>
      </c>
      <c r="DL1123" s="138">
        <f>DI1123</f>
        <v/>
      </c>
      <c r="DM1123" s="303">
        <f>IF(LEFT(BT1123,1)=" ",RIGHT(BT1123,LEN(BT1123)-1),BT1123)</f>
        <v/>
      </c>
      <c r="DN1123" s="138">
        <f>_xlfn.CONCAT(BS1123,DM1123,BU1123,BV1123)</f>
        <v/>
      </c>
      <c r="DO1123" s="307" t="n"/>
    </row>
    <row r="1124" ht="15.6" customHeight="1" s="184">
      <c r="B1124" s="303">
        <f t="array" ref="B1124">IF(OR(ISERROR(K1124:P1124)),FALSE,TRUE)</f>
        <v/>
      </c>
      <c r="C1124" s="60">
        <f>OR(BR1124=Driver!$G$50,Data!BR269=Driver!$H$50)</f>
        <v/>
      </c>
      <c r="D1124" s="60">
        <f>OR(BV1124=Driver!$G$51,BV1124=Driver!$H$51)</f>
        <v/>
      </c>
      <c r="E1124" s="60">
        <f>AND(BX1124&gt;Driver!$F$54,BX1124&lt;Driver!$G$54)</f>
        <v/>
      </c>
      <c r="F1124" s="60">
        <f>CL1124&gt;Driver!$F$56</f>
        <v/>
      </c>
      <c r="G1124" s="60">
        <f>AND(CB1124&gt;Driver!$F$55,CB1124&lt;Driver!$G$55)</f>
        <v/>
      </c>
      <c r="H1124" s="60">
        <f>AND(B1124:G1124)</f>
        <v/>
      </c>
      <c r="I1124" s="60">
        <f>COUNTIFS($H$9:$H$1273,TRUE,$BT$9:$BT$1273,BT1124)</f>
        <v/>
      </c>
      <c r="J1124" s="60">
        <f t="array" ref="J1124">NOT(OR(($H$9:$H$1273=TRUE)*($I$9:$I$1273&gt;0)*($BT$9:$BT$1273=BT1124)*($K$9:$K$1273&gt;K1124)))</f>
        <v/>
      </c>
      <c r="K1124" s="108">
        <f>IFERROR(1-AVERAGE(X1124:Y1124),"")</f>
        <v/>
      </c>
      <c r="L1124" s="108">
        <f>1-X1124</f>
        <v/>
      </c>
      <c r="M1124" s="108">
        <f>1-Y1124</f>
        <v/>
      </c>
      <c r="N1124" s="108">
        <f>1-Z1124</f>
        <v/>
      </c>
      <c r="O1124" s="108">
        <f>1-AA1124</f>
        <v/>
      </c>
      <c r="P1124" s="108">
        <f>1-AB1124</f>
        <v/>
      </c>
      <c r="Q1124" s="108" t="n"/>
      <c r="R1124" s="108" t="n"/>
      <c r="S1124" s="108">
        <f>1-AE1124</f>
        <v/>
      </c>
      <c r="T1124" s="108">
        <f>1-AF1124</f>
        <v/>
      </c>
      <c r="U1124" s="108">
        <f>1-AG1124</f>
        <v/>
      </c>
      <c r="V1124" s="108">
        <f>1-AH1124</f>
        <v/>
      </c>
      <c r="W1124" s="108">
        <f>1-AI1124</f>
        <v/>
      </c>
      <c r="X1124" s="108">
        <f>ABS(AJ1124-AJ$1)</f>
        <v/>
      </c>
      <c r="Y1124" s="108">
        <f>AVERAGE(Z1124:AB1124)</f>
        <v/>
      </c>
      <c r="Z1124" s="108">
        <f>ABS(AL1124-AL$1)</f>
        <v/>
      </c>
      <c r="AA1124" s="108">
        <f>ABS(AM1124-AM$1)</f>
        <v/>
      </c>
      <c r="AB1124" s="108">
        <f>ABS(AN1124-AN$1)</f>
        <v/>
      </c>
      <c r="AC1124" s="108" t="n"/>
      <c r="AD1124" s="108" t="n"/>
      <c r="AE1124" s="108">
        <f>ABS(AQ$1-AQ1124)</f>
        <v/>
      </c>
      <c r="AF1124" s="108">
        <f>ABS(AR$1-AR1124)</f>
        <v/>
      </c>
      <c r="AG1124" s="108">
        <f>ABS(AS$1-AS1124)</f>
        <v/>
      </c>
      <c r="AH1124" s="108">
        <f>ABS(AT$1-AT1124)</f>
        <v/>
      </c>
      <c r="AI1124" s="108">
        <f>ABS(AU$1-AU1124)</f>
        <v/>
      </c>
      <c r="AJ1124" s="108">
        <f>(AV1124-Driver!$K$179)/(Driver!$L$179-Driver!$K$179)</f>
        <v/>
      </c>
      <c r="AK1124" s="108">
        <f>(AW1124-Driver!$K$180)/(Driver!$L$180-Driver!$K$180)</f>
        <v/>
      </c>
      <c r="AL1124" s="108">
        <f>(AX1124-Driver!$K$181)/(Driver!$L$181-Driver!$K$181)</f>
        <v/>
      </c>
      <c r="AM1124" s="108">
        <f>(AY1124-Driver!$K$182)/(Driver!$L$182-Driver!$K$182)</f>
        <v/>
      </c>
      <c r="AN1124" s="108">
        <f>(AZ1124-Driver!$K$183)/(Driver!$L$183-Driver!$K$183)</f>
        <v/>
      </c>
      <c r="AO1124" s="108" t="n"/>
      <c r="AP1124" s="108" t="n"/>
      <c r="AQ1124" s="108">
        <f>(BC1124-Driver!$K$188)/(Driver!$L$188-Driver!$K$188)</f>
        <v/>
      </c>
      <c r="AR1124" s="108">
        <f>MIN((BD1124-Driver!$K$189)/(Driver!$L$189-Driver!$K$189),100%)</f>
        <v/>
      </c>
      <c r="AS1124" s="108">
        <f>(BE1124-Driver!$K$190)/(Driver!$L$190-Driver!$K$190)</f>
        <v/>
      </c>
      <c r="AT1124" s="108">
        <f>(BF1124-Driver!$K$191)/(Driver!$L$191-Driver!$K$191)</f>
        <v/>
      </c>
      <c r="AU1124" s="108">
        <f>(BG1124-Driver!$K$192)/(Driver!$L$192-Driver!$K$192)</f>
        <v/>
      </c>
      <c r="AV1124" s="105">
        <f>IFERROR(BM1124*BJ1124^1/4,"")</f>
        <v/>
      </c>
      <c r="AW1124" s="105">
        <f>IFERROR(SUM(AX1124:AZ1124),"")</f>
        <v/>
      </c>
      <c r="AX1124" s="105">
        <f>IFERROR(BH1124,"")</f>
        <v/>
      </c>
      <c r="AY1124" s="105">
        <f>IFERROR(Driver!$K$19/Data!BH1124/Data!BI1124*Data!BK1124*Data!BL1124,"")</f>
        <v/>
      </c>
      <c r="AZ1124" s="105">
        <f>IFERROR(BI1124*BN1124,"")</f>
        <v/>
      </c>
      <c r="BA1124" s="105" t="n"/>
      <c r="BB1124" s="105" t="n"/>
      <c r="BC1124" s="105">
        <f>IFERROR(BI1124*BN1124*BK1124/BJ1124^(1/2),"")</f>
        <v/>
      </c>
      <c r="BD1124" s="105">
        <f>IFERROR(BH1124*BM1124*BL1124/BJ1124/BK1124,"")</f>
        <v/>
      </c>
      <c r="BE1124" s="105">
        <f>IFERROR(MIN(BI1124/BQ1124/BP1124/BO1124/BH1124,$BE$1),"")</f>
        <v/>
      </c>
      <c r="BF1124" s="105">
        <f>IFERROR(BJ1124*BO1124*BP1124/BK1124,"")</f>
        <v/>
      </c>
      <c r="BG1124" s="105">
        <f>IFERROR(1/BM1124/BH1124*BQ1124,"")</f>
        <v/>
      </c>
      <c r="BH1124" s="102">
        <f>MAX((CE1124-Driver!$F$200)/(Driver!$G$200-Driver!$F$200)*$BI$1,1)</f>
        <v/>
      </c>
      <c r="BI1124" s="102">
        <f>MAX($BI$1*(BY1124-Driver!$F$201)/(Driver!$G$201-Driver!$F$201),1)</f>
        <v/>
      </c>
      <c r="BJ1124" s="102">
        <f>(CB1124-Driver!$F$206)/(Driver!$G$206-Driver!$F$206)*$BI$1</f>
        <v/>
      </c>
      <c r="BK1124" s="102">
        <f>(CD1124-Driver!$F$203)/(Driver!$G$203-Driver!$F$203)*$BI$1</f>
        <v/>
      </c>
      <c r="BL1124" s="102">
        <f>MAX((CR1124-Driver!$F$202)/(Driver!$G$202-Driver!$F$202)*$BI$1,1)</f>
        <v/>
      </c>
      <c r="BM1124" s="102">
        <f>MAX((CH1124-Driver!$F$204)/(Driver!$G$204-Driver!$F$204)*$BI$1,1)</f>
        <v/>
      </c>
      <c r="BN1124" s="102">
        <f>(CI1124-Driver!$F$205)/(Driver!$G$205-Driver!$F$205)*$BI$1</f>
        <v/>
      </c>
      <c r="BO1124" s="102">
        <f>(CK1124-Driver!$F$207)/(Driver!$G$207-Driver!$F$207)*$BI$1</f>
        <v/>
      </c>
      <c r="BP1124" s="102">
        <f>(CM1124-Driver!$F$208)/(Driver!$G$208-Driver!$F$208)*$BI$1</f>
        <v/>
      </c>
      <c r="BQ1124" s="102">
        <f>(CL1124-Driver!$F$209)/(Driver!$G$209-Driver!$F$209)*$BI$1</f>
        <v/>
      </c>
      <c r="BR1124" s="40" t="inlineStr">
        <is>
          <t>21/22</t>
        </is>
      </c>
      <c r="BS1124" s="10" t="inlineStr">
        <is>
          <t xml:space="preserve"> Blizzard</t>
        </is>
      </c>
      <c r="BT1124" s="11" t="inlineStr">
        <is>
          <t>Bonafide 97</t>
        </is>
      </c>
      <c r="BU1124" s="13" t="n">
        <v>177</v>
      </c>
      <c r="BV1124" s="11" t="inlineStr">
        <is>
          <t xml:space="preserve"> Unisex</t>
        </is>
      </c>
      <c r="BW1124" s="13" t="n">
        <v>177</v>
      </c>
      <c r="BX1124" s="13" t="n">
        <v>176.1</v>
      </c>
      <c r="BY1124" s="13" t="n">
        <v>148</v>
      </c>
      <c r="BZ1124" s="13" t="n">
        <v>151</v>
      </c>
      <c r="CA1124" s="13" t="n">
        <v>136</v>
      </c>
      <c r="CB1124" s="13" t="n">
        <v>96</v>
      </c>
      <c r="CC1124" s="13" t="n">
        <v>118</v>
      </c>
      <c r="CD1124" s="13" t="n">
        <v>18.2</v>
      </c>
      <c r="CE1124" s="13" t="n">
        <v>2255</v>
      </c>
      <c r="CF1124" s="13" t="n">
        <v>0.84</v>
      </c>
      <c r="CG1124" s="13" t="n">
        <v>1898</v>
      </c>
      <c r="CH1124" s="13" t="n">
        <v>192</v>
      </c>
      <c r="CI1124" s="13" t="n">
        <v>121</v>
      </c>
      <c r="CJ1124" s="13" t="n">
        <v>44</v>
      </c>
      <c r="CK1124" s="13" t="n">
        <v>188</v>
      </c>
      <c r="CL1124" s="13" t="n">
        <v>6</v>
      </c>
      <c r="CM1124" s="13" t="n">
        <v>98</v>
      </c>
      <c r="CN1124" s="13" t="n">
        <v>0.133</v>
      </c>
      <c r="CO1124" s="13" t="n">
        <v>134</v>
      </c>
      <c r="CP1124" s="13" t="n">
        <v>113</v>
      </c>
      <c r="CQ1124" s="13" t="n">
        <v>54</v>
      </c>
      <c r="CR1124" s="13" t="n">
        <v>10</v>
      </c>
      <c r="CS1124" s="13" t="n">
        <v>11.3</v>
      </c>
      <c r="CT1124" s="11" t="inlineStr">
        <is>
          <t xml:space="preserve"> Resort Freeride</t>
        </is>
      </c>
      <c r="CU1124" s="13" t="n"/>
      <c r="CV1124" s="13" t="n"/>
      <c r="CW1124" s="13" t="n"/>
      <c r="CX1124">
        <f>INDEX('Data_Price '!AG$2:AG$1266,MATCH(Data!$DN1124,'Data_Price '!$AT$2:$AT$1266,0))</f>
        <v/>
      </c>
      <c r="CY1124">
        <f>INDEX('Data_Price '!AH$2:AH$1266,MATCH(Data!$DN1124,'Data_Price '!$AT$2:$AT$1266,0))</f>
        <v/>
      </c>
      <c r="CZ1124">
        <f>INDEX('Data_Price '!AI$2:AI$1266,MATCH(Data!$DN1124,'Data_Price '!$AT$2:$AT$1266,0))</f>
        <v/>
      </c>
      <c r="DA1124">
        <f>INDEX('Data_Price '!AJ$2:AJ$1266,MATCH(Data!$DN1124,'Data_Price '!$AT$2:$AT$1266,0))</f>
        <v/>
      </c>
      <c r="DB1124">
        <f>INDEX('Data_Price '!AK$2:AK$1266,MATCH(Data!$DN1124,'Data_Price '!$AT$2:$AT$1266,0))</f>
        <v/>
      </c>
      <c r="DC1124">
        <f>INDEX('Data_Price '!AL$2:AL$1266,MATCH(Data!$DN1124,'Data_Price '!$AT$2:$AT$1266,0))</f>
        <v/>
      </c>
      <c r="DD1124">
        <f>INDEX('Data_Price '!AM$2:AM$1266,MATCH(Data!$DN1124,'Data_Price '!$AT$2:$AT$1266,0))</f>
        <v/>
      </c>
      <c r="DE1124">
        <f>INDEX('Data_Price '!AN$2:AN$1266,MATCH(Data!$DN1124,'Data_Price '!$AT$2:$AT$1266,0))</f>
        <v/>
      </c>
      <c r="DF1124">
        <f>INDEX('Data_Price '!AO$2:AO$1266,MATCH(Data!$DN1124,'Data_Price '!$AT$2:$AT$1266,0))</f>
        <v/>
      </c>
      <c r="DG1124">
        <f>INDEX('Data_Price '!AP$2:AP$1266,MATCH(Data!$DN1124,'Data_Price '!$AT$2:$AT$1266,0))</f>
        <v/>
      </c>
      <c r="DH1124">
        <f>INDEX('Data_Price '!AQ$2:AQ$1266,MATCH(Data!$DN1124,'Data_Price '!$AT$2:$AT$1266,0))</f>
        <v/>
      </c>
      <c r="DI1124">
        <f>INDEX('Data_Price '!AR$2:AR$1266,MATCH(Data!$DN1124,'Data_Price '!$AT$2:$AT$1266,0))</f>
        <v/>
      </c>
      <c r="DJ1124" s="138">
        <f>DA1124</f>
        <v/>
      </c>
      <c r="DK1124" s="138">
        <f>DE1124</f>
        <v/>
      </c>
      <c r="DL1124" s="138">
        <f>DI1124</f>
        <v/>
      </c>
      <c r="DM1124" s="303">
        <f>IF(LEFT(BT1124,1)=" ",RIGHT(BT1124,LEN(BT1124)-1),BT1124)</f>
        <v/>
      </c>
      <c r="DN1124" s="138">
        <f>_xlfn.CONCAT(BS1124,DM1124,BU1124,BV1124)</f>
        <v/>
      </c>
      <c r="DO1124" s="307" t="inlineStr">
        <is>
          <t>https://images.evo.com/imgp/250/176879/722688/blizzard-bonafide-97-skis-2022-.jpg</t>
        </is>
      </c>
    </row>
    <row r="1125" ht="15.6" customHeight="1" s="184">
      <c r="B1125" s="303">
        <f t="array" ref="B1125">IF(OR(ISERROR(K1125:P1125)),FALSE,TRUE)</f>
        <v/>
      </c>
      <c r="C1125" s="60">
        <f>OR(BR1125=Driver!$G$50,Data!BR1266=Driver!$H$50)</f>
        <v/>
      </c>
      <c r="D1125" s="60">
        <f>OR(BV1125=Driver!$G$51,BV1125=Driver!$H$51)</f>
        <v/>
      </c>
      <c r="E1125" s="60">
        <f>AND(BX1125&gt;Driver!$F$54,BX1125&lt;Driver!$G$54)</f>
        <v/>
      </c>
      <c r="F1125" s="60">
        <f>CL1125&gt;Driver!$F$56</f>
        <v/>
      </c>
      <c r="G1125" s="60">
        <f>AND(CB1125&gt;Driver!$F$55,CB1125&lt;Driver!$G$55)</f>
        <v/>
      </c>
      <c r="H1125" s="60">
        <f>AND(B1125:G1125)</f>
        <v/>
      </c>
      <c r="I1125" s="60">
        <f>COUNTIFS($H$9:$H$1273,TRUE,$BT$9:$BT$1273,BT1125)</f>
        <v/>
      </c>
      <c r="J1125" s="60">
        <f t="array" ref="J1125">NOT(OR(($H$9:$H$1273=TRUE)*($I$9:$I$1273&gt;0)*($BT$9:$BT$1273=BT1125)*($K$9:$K$1273&gt;K1125)))</f>
        <v/>
      </c>
      <c r="K1125" s="108">
        <f>IFERROR(1-AVERAGE(X1125:Y1125),"")</f>
        <v/>
      </c>
      <c r="L1125" s="108">
        <f>1-X1125</f>
        <v/>
      </c>
      <c r="M1125" s="108">
        <f>1-Y1125</f>
        <v/>
      </c>
      <c r="N1125" s="108">
        <f>1-Z1125</f>
        <v/>
      </c>
      <c r="O1125" s="108">
        <f>1-AA1125</f>
        <v/>
      </c>
      <c r="P1125" s="108">
        <f>1-AB1125</f>
        <v/>
      </c>
      <c r="Q1125" s="108" t="n"/>
      <c r="R1125" s="108" t="n"/>
      <c r="S1125" s="108">
        <f>1-AE1125</f>
        <v/>
      </c>
      <c r="T1125" s="108">
        <f>1-AF1125</f>
        <v/>
      </c>
      <c r="U1125" s="108">
        <f>1-AG1125</f>
        <v/>
      </c>
      <c r="V1125" s="108">
        <f>1-AH1125</f>
        <v/>
      </c>
      <c r="W1125" s="108">
        <f>1-AI1125</f>
        <v/>
      </c>
      <c r="X1125" s="108">
        <f>ABS(AJ1125-AJ$1)</f>
        <v/>
      </c>
      <c r="Y1125" s="108">
        <f>AVERAGE(Z1125:AB1125)</f>
        <v/>
      </c>
      <c r="Z1125" s="108">
        <f>ABS(AL1125-AL$1)</f>
        <v/>
      </c>
      <c r="AA1125" s="108">
        <f>ABS(AM1125-AM$1)</f>
        <v/>
      </c>
      <c r="AB1125" s="108">
        <f>ABS(AN1125-AN$1)</f>
        <v/>
      </c>
      <c r="AC1125" s="108" t="n"/>
      <c r="AD1125" s="108" t="n"/>
      <c r="AE1125" s="108">
        <f>ABS(AQ$1-AQ1125)</f>
        <v/>
      </c>
      <c r="AF1125" s="108">
        <f>ABS(AR$1-AR1125)</f>
        <v/>
      </c>
      <c r="AG1125" s="108">
        <f>ABS(AS$1-AS1125)</f>
        <v/>
      </c>
      <c r="AH1125" s="108">
        <f>ABS(AT$1-AT1125)</f>
        <v/>
      </c>
      <c r="AI1125" s="108">
        <f>ABS(AU$1-AU1125)</f>
        <v/>
      </c>
      <c r="AJ1125" s="108">
        <f>(AV1125-Driver!$K$179)/(Driver!$L$179-Driver!$K$179)</f>
        <v/>
      </c>
      <c r="AK1125" s="108">
        <f>(AW1125-Driver!$K$180)/(Driver!$L$180-Driver!$K$180)</f>
        <v/>
      </c>
      <c r="AL1125" s="108">
        <f>(AX1125-Driver!$K$181)/(Driver!$L$181-Driver!$K$181)</f>
        <v/>
      </c>
      <c r="AM1125" s="108">
        <f>(AY1125-Driver!$K$182)/(Driver!$L$182-Driver!$K$182)</f>
        <v/>
      </c>
      <c r="AN1125" s="108">
        <f>(AZ1125-Driver!$K$183)/(Driver!$L$183-Driver!$K$183)</f>
        <v/>
      </c>
      <c r="AO1125" s="108" t="n"/>
      <c r="AP1125" s="108" t="n"/>
      <c r="AQ1125" s="108">
        <f>(BC1125-Driver!$K$188)/(Driver!$L$188-Driver!$K$188)</f>
        <v/>
      </c>
      <c r="AR1125" s="108">
        <f>MIN((BD1125-Driver!$K$189)/(Driver!$L$189-Driver!$K$189),100%)</f>
        <v/>
      </c>
      <c r="AS1125" s="108">
        <f>(BE1125-Driver!$K$190)/(Driver!$L$190-Driver!$K$190)</f>
        <v/>
      </c>
      <c r="AT1125" s="108">
        <f>(BF1125-Driver!$K$191)/(Driver!$L$191-Driver!$K$191)</f>
        <v/>
      </c>
      <c r="AU1125" s="108">
        <f>(BG1125-Driver!$K$192)/(Driver!$L$192-Driver!$K$192)</f>
        <v/>
      </c>
      <c r="AV1125" s="105">
        <f>IFERROR(BM1125*BJ1125^1/4,"")</f>
        <v/>
      </c>
      <c r="AW1125" s="105">
        <f>IFERROR(SUM(AX1125:AZ1125),"")</f>
        <v/>
      </c>
      <c r="AX1125" s="105">
        <f>IFERROR(BH1125,"")</f>
        <v/>
      </c>
      <c r="AY1125" s="105">
        <f>IFERROR(Driver!$K$19/Data!BH1125/Data!BI1125*Data!BK1125*Data!BL1125,"")</f>
        <v/>
      </c>
      <c r="AZ1125" s="105">
        <f>IFERROR(BI1125*BN1125,"")</f>
        <v/>
      </c>
      <c r="BA1125" s="105" t="n"/>
      <c r="BB1125" s="105" t="n"/>
      <c r="BC1125" s="105">
        <f>IFERROR(BI1125*BN1125*BK1125/BJ1125^(1/2),"")</f>
        <v/>
      </c>
      <c r="BD1125" s="105">
        <f>IFERROR(BH1125*BM1125*BL1125/BJ1125/BK1125,"")</f>
        <v/>
      </c>
      <c r="BE1125" s="105">
        <f>IFERROR(MIN(BI1125/BQ1125/BP1125/BO1125/BH1125,$BE$1),"")</f>
        <v/>
      </c>
      <c r="BF1125" s="105">
        <f>IFERROR(BJ1125*BO1125*BP1125/BK1125,"")</f>
        <v/>
      </c>
      <c r="BG1125" s="105">
        <f>IFERROR(1/BM1125/BH1125*BQ1125,"")</f>
        <v/>
      </c>
      <c r="BH1125" s="102">
        <f>MAX((CE1125-Driver!$F$200)/(Driver!$G$200-Driver!$F$200)*$BI$1,1)</f>
        <v/>
      </c>
      <c r="BI1125" s="102">
        <f>MAX($BI$1*(BY1125-Driver!$F$201)/(Driver!$G$201-Driver!$F$201),1)</f>
        <v/>
      </c>
      <c r="BJ1125" s="102">
        <f>(CB1125-Driver!$F$206)/(Driver!$G$206-Driver!$F$206)*$BI$1</f>
        <v/>
      </c>
      <c r="BK1125" s="102">
        <f>(CD1125-Driver!$F$203)/(Driver!$G$203-Driver!$F$203)*$BI$1</f>
        <v/>
      </c>
      <c r="BL1125" s="102">
        <f>MAX((CR1125-Driver!$F$202)/(Driver!$G$202-Driver!$F$202)*$BI$1,1)</f>
        <v/>
      </c>
      <c r="BM1125" s="102">
        <f>MAX((CH1125-Driver!$F$204)/(Driver!$G$204-Driver!$F$204)*$BI$1,1)</f>
        <v/>
      </c>
      <c r="BN1125" s="102">
        <f>(CI1125-Driver!$F$205)/(Driver!$G$205-Driver!$F$205)*$BI$1</f>
        <v/>
      </c>
      <c r="BO1125" s="102">
        <f>(CK1125-Driver!$F$207)/(Driver!$G$207-Driver!$F$207)*$BI$1</f>
        <v/>
      </c>
      <c r="BP1125" s="102">
        <f>(CM1125-Driver!$F$208)/(Driver!$G$208-Driver!$F$208)*$BI$1</f>
        <v/>
      </c>
      <c r="BQ1125" s="102">
        <f>(CL1125-Driver!$F$209)/(Driver!$G$209-Driver!$F$209)*$BI$1</f>
        <v/>
      </c>
      <c r="BR1125" s="40" t="inlineStr">
        <is>
          <t>21/22</t>
        </is>
      </c>
      <c r="BS1125" s="10" t="inlineStr">
        <is>
          <t xml:space="preserve"> Völkl</t>
        </is>
      </c>
      <c r="BT1125" s="11" t="inlineStr">
        <is>
          <t>Yumi 80</t>
        </is>
      </c>
      <c r="BU1125" s="13" t="n">
        <v>147</v>
      </c>
      <c r="BV1125" s="11" t="inlineStr">
        <is>
          <t xml:space="preserve"> Women's</t>
        </is>
      </c>
      <c r="BW1125" s="13" t="n">
        <v>147</v>
      </c>
      <c r="BX1125" s="13" t="n">
        <v>148.8</v>
      </c>
      <c r="BY1125" s="13" t="n">
        <v>113</v>
      </c>
      <c r="BZ1125" s="13" t="n">
        <v>124</v>
      </c>
      <c r="CA1125" s="13" t="n">
        <v>120</v>
      </c>
      <c r="CB1125" s="13" t="n">
        <v>79</v>
      </c>
      <c r="CC1125" s="13" t="n">
        <v>102</v>
      </c>
      <c r="CD1125" s="13" t="n">
        <v>11.7</v>
      </c>
      <c r="CE1125" s="13" t="n">
        <v>1221</v>
      </c>
      <c r="CF1125" s="13" t="n">
        <v>1.13</v>
      </c>
      <c r="CG1125" s="13" t="n">
        <v>1377</v>
      </c>
      <c r="CH1125" s="13" t="n">
        <v>142</v>
      </c>
      <c r="CI1125" s="13" t="n">
        <v>62</v>
      </c>
      <c r="CJ1125" s="13" t="n">
        <v>43</v>
      </c>
      <c r="CK1125" s="13" t="n">
        <v>210</v>
      </c>
      <c r="CL1125" s="13" t="n">
        <v>15</v>
      </c>
      <c r="CM1125" s="13" t="n">
        <v>148</v>
      </c>
      <c r="CN1125" s="13" t="n">
        <v>0.343</v>
      </c>
      <c r="CO1125" s="13" t="n">
        <v>136</v>
      </c>
      <c r="CP1125" s="13" t="n">
        <v>108</v>
      </c>
      <c r="CQ1125" s="13" t="n">
        <v>74</v>
      </c>
      <c r="CR1125" s="13" t="n">
        <v>3</v>
      </c>
      <c r="CS1125" s="13" t="n">
        <v>11.2</v>
      </c>
      <c r="CT1125" s="11" t="inlineStr">
        <is>
          <t xml:space="preserve"> On-Piste All-Mountain</t>
        </is>
      </c>
      <c r="CU1125" s="11" t="inlineStr">
        <is>
          <t xml:space="preserve"> Touring</t>
        </is>
      </c>
      <c r="CV1125" s="13" t="n"/>
      <c r="CW1125" s="13" t="n"/>
      <c r="CX1125">
        <f>INDEX('Data_Price '!AG$2:AG$1266,MATCH(Data!$DN1125,'Data_Price '!$AT$2:$AT$1266,0))</f>
        <v/>
      </c>
      <c r="CY1125">
        <f>INDEX('Data_Price '!AH$2:AH$1266,MATCH(Data!$DN1125,'Data_Price '!$AT$2:$AT$1266,0))</f>
        <v/>
      </c>
      <c r="CZ1125">
        <f>INDEX('Data_Price '!AI$2:AI$1266,MATCH(Data!$DN1125,'Data_Price '!$AT$2:$AT$1266,0))</f>
        <v/>
      </c>
      <c r="DA1125">
        <f>INDEX('Data_Price '!AJ$2:AJ$1266,MATCH(Data!$DN1125,'Data_Price '!$AT$2:$AT$1266,0))</f>
        <v/>
      </c>
      <c r="DB1125">
        <f>INDEX('Data_Price '!AK$2:AK$1266,MATCH(Data!$DN1125,'Data_Price '!$AT$2:$AT$1266,0))</f>
        <v/>
      </c>
      <c r="DC1125">
        <f>INDEX('Data_Price '!AL$2:AL$1266,MATCH(Data!$DN1125,'Data_Price '!$AT$2:$AT$1266,0))</f>
        <v/>
      </c>
      <c r="DD1125">
        <f>INDEX('Data_Price '!AM$2:AM$1266,MATCH(Data!$DN1125,'Data_Price '!$AT$2:$AT$1266,0))</f>
        <v/>
      </c>
      <c r="DE1125">
        <f>INDEX('Data_Price '!AN$2:AN$1266,MATCH(Data!$DN1125,'Data_Price '!$AT$2:$AT$1266,0))</f>
        <v/>
      </c>
      <c r="DF1125">
        <f>INDEX('Data_Price '!AO$2:AO$1266,MATCH(Data!$DN1125,'Data_Price '!$AT$2:$AT$1266,0))</f>
        <v/>
      </c>
      <c r="DG1125">
        <f>INDEX('Data_Price '!AP$2:AP$1266,MATCH(Data!$DN1125,'Data_Price '!$AT$2:$AT$1266,0))</f>
        <v/>
      </c>
      <c r="DH1125">
        <f>INDEX('Data_Price '!AQ$2:AQ$1266,MATCH(Data!$DN1125,'Data_Price '!$AT$2:$AT$1266,0))</f>
        <v/>
      </c>
      <c r="DI1125">
        <f>INDEX('Data_Price '!AR$2:AR$1266,MATCH(Data!$DN1125,'Data_Price '!$AT$2:$AT$1266,0))</f>
        <v/>
      </c>
      <c r="DJ1125" s="138">
        <f>DA1125</f>
        <v/>
      </c>
      <c r="DK1125" s="138">
        <f>DE1125</f>
        <v/>
      </c>
      <c r="DL1125" s="138">
        <f>DI1125</f>
        <v/>
      </c>
      <c r="DM1125" s="303">
        <f>IF(LEFT(BT1125,1)=" ",RIGHT(BT1125,LEN(BT1125)-1),BT1125)</f>
        <v/>
      </c>
      <c r="DN1125" s="138">
        <f>_xlfn.CONCAT(BS1125,DM1125,BU1125,BV1125)</f>
        <v/>
      </c>
      <c r="DO1125" s="307" t="n"/>
    </row>
    <row r="1126" ht="15.6" customHeight="1" s="184">
      <c r="B1126" s="303">
        <f t="array" ref="B1126">IF(OR(ISERROR(K1126:P1126)),FALSE,TRUE)</f>
        <v/>
      </c>
      <c r="C1126" s="60">
        <f>OR(BR1126=Driver!$G$50,Data!BR1226=Driver!$H$50)</f>
        <v/>
      </c>
      <c r="D1126" s="60">
        <f>OR(BV1126=Driver!$G$51,BV1126=Driver!$H$51)</f>
        <v/>
      </c>
      <c r="E1126" s="60">
        <f>AND(BX1126&gt;Driver!$F$54,BX1126&lt;Driver!$G$54)</f>
        <v/>
      </c>
      <c r="F1126" s="60">
        <f>CL1126&gt;Driver!$F$56</f>
        <v/>
      </c>
      <c r="G1126" s="60">
        <f>AND(CB1126&gt;Driver!$F$55,CB1126&lt;Driver!$G$55)</f>
        <v/>
      </c>
      <c r="H1126" s="60">
        <f>AND(B1126:G1126)</f>
        <v/>
      </c>
      <c r="I1126" s="60">
        <f>COUNTIFS($H$9:$H$1273,TRUE,$BT$9:$BT$1273,BT1126)</f>
        <v/>
      </c>
      <c r="J1126" s="60">
        <f t="array" ref="J1126">NOT(OR(($H$9:$H$1273=TRUE)*($I$9:$I$1273&gt;0)*($BT$9:$BT$1273=BT1126)*($K$9:$K$1273&gt;K1126)))</f>
        <v/>
      </c>
      <c r="K1126" s="108">
        <f>IFERROR(1-AVERAGE(X1126:Y1126),"")</f>
        <v/>
      </c>
      <c r="L1126" s="108">
        <f>1-X1126</f>
        <v/>
      </c>
      <c r="M1126" s="108">
        <f>1-Y1126</f>
        <v/>
      </c>
      <c r="N1126" s="108">
        <f>1-Z1126</f>
        <v/>
      </c>
      <c r="O1126" s="108">
        <f>1-AA1126</f>
        <v/>
      </c>
      <c r="P1126" s="108">
        <f>1-AB1126</f>
        <v/>
      </c>
      <c r="Q1126" s="108" t="n"/>
      <c r="R1126" s="108" t="n"/>
      <c r="S1126" s="108">
        <f>1-AE1126</f>
        <v/>
      </c>
      <c r="T1126" s="108">
        <f>1-AF1126</f>
        <v/>
      </c>
      <c r="U1126" s="108">
        <f>1-AG1126</f>
        <v/>
      </c>
      <c r="V1126" s="108">
        <f>1-AH1126</f>
        <v/>
      </c>
      <c r="W1126" s="108">
        <f>1-AI1126</f>
        <v/>
      </c>
      <c r="X1126" s="108">
        <f>ABS(AJ1126-AJ$1)</f>
        <v/>
      </c>
      <c r="Y1126" s="108">
        <f>AVERAGE(Z1126:AB1126)</f>
        <v/>
      </c>
      <c r="Z1126" s="108">
        <f>ABS(AL1126-AL$1)</f>
        <v/>
      </c>
      <c r="AA1126" s="108">
        <f>ABS(AM1126-AM$1)</f>
        <v/>
      </c>
      <c r="AB1126" s="108">
        <f>ABS(AN1126-AN$1)</f>
        <v/>
      </c>
      <c r="AC1126" s="108" t="n"/>
      <c r="AD1126" s="108" t="n"/>
      <c r="AE1126" s="108">
        <f>ABS(AQ$1-AQ1126)</f>
        <v/>
      </c>
      <c r="AF1126" s="108">
        <f>ABS(AR$1-AR1126)</f>
        <v/>
      </c>
      <c r="AG1126" s="108">
        <f>ABS(AS$1-AS1126)</f>
        <v/>
      </c>
      <c r="AH1126" s="108">
        <f>ABS(AT$1-AT1126)</f>
        <v/>
      </c>
      <c r="AI1126" s="108">
        <f>ABS(AU$1-AU1126)</f>
        <v/>
      </c>
      <c r="AJ1126" s="108">
        <f>(AV1126-Driver!$K$179)/(Driver!$L$179-Driver!$K$179)</f>
        <v/>
      </c>
      <c r="AK1126" s="108">
        <f>(AW1126-Driver!$K$180)/(Driver!$L$180-Driver!$K$180)</f>
        <v/>
      </c>
      <c r="AL1126" s="108">
        <f>(AX1126-Driver!$K$181)/(Driver!$L$181-Driver!$K$181)</f>
        <v/>
      </c>
      <c r="AM1126" s="108">
        <f>(AY1126-Driver!$K$182)/(Driver!$L$182-Driver!$K$182)</f>
        <v/>
      </c>
      <c r="AN1126" s="108">
        <f>(AZ1126-Driver!$K$183)/(Driver!$L$183-Driver!$K$183)</f>
        <v/>
      </c>
      <c r="AO1126" s="108" t="n"/>
      <c r="AP1126" s="108" t="n"/>
      <c r="AQ1126" s="108">
        <f>(BC1126-Driver!$K$188)/(Driver!$L$188-Driver!$K$188)</f>
        <v/>
      </c>
      <c r="AR1126" s="108">
        <f>MIN((BD1126-Driver!$K$189)/(Driver!$L$189-Driver!$K$189),100%)</f>
        <v/>
      </c>
      <c r="AS1126" s="108">
        <f>(BE1126-Driver!$K$190)/(Driver!$L$190-Driver!$K$190)</f>
        <v/>
      </c>
      <c r="AT1126" s="108">
        <f>(BF1126-Driver!$K$191)/(Driver!$L$191-Driver!$K$191)</f>
        <v/>
      </c>
      <c r="AU1126" s="108">
        <f>(BG1126-Driver!$K$192)/(Driver!$L$192-Driver!$K$192)</f>
        <v/>
      </c>
      <c r="AV1126" s="105">
        <f>IFERROR(BM1126*BJ1126^1/4,"")</f>
        <v/>
      </c>
      <c r="AW1126" s="105">
        <f>IFERROR(SUM(AX1126:AZ1126),"")</f>
        <v/>
      </c>
      <c r="AX1126" s="105">
        <f>IFERROR(BH1126,"")</f>
        <v/>
      </c>
      <c r="AY1126" s="105">
        <f>IFERROR(Driver!$K$19/Data!BH1126/Data!BI1126*Data!BK1126*Data!BL1126,"")</f>
        <v/>
      </c>
      <c r="AZ1126" s="105">
        <f>IFERROR(BI1126*BN1126,"")</f>
        <v/>
      </c>
      <c r="BA1126" s="105" t="n"/>
      <c r="BB1126" s="105" t="n"/>
      <c r="BC1126" s="105">
        <f>IFERROR(BI1126*BN1126*BK1126/BJ1126^(1/2),"")</f>
        <v/>
      </c>
      <c r="BD1126" s="105">
        <f>IFERROR(BH1126*BM1126*BL1126/BJ1126/BK1126,"")</f>
        <v/>
      </c>
      <c r="BE1126" s="105">
        <f>IFERROR(MIN(BI1126/BQ1126/BP1126/BO1126/BH1126,$BE$1),"")</f>
        <v/>
      </c>
      <c r="BF1126" s="105">
        <f>IFERROR(BJ1126*BO1126*BP1126/BK1126,"")</f>
        <v/>
      </c>
      <c r="BG1126" s="105">
        <f>IFERROR(1/BM1126/BH1126*BQ1126,"")</f>
        <v/>
      </c>
      <c r="BH1126" s="102">
        <f>MAX((CE1126-Driver!$F$200)/(Driver!$G$200-Driver!$F$200)*$BI$1,1)</f>
        <v/>
      </c>
      <c r="BI1126" s="102">
        <f>MAX($BI$1*(BY1126-Driver!$F$201)/(Driver!$G$201-Driver!$F$201),1)</f>
        <v/>
      </c>
      <c r="BJ1126" s="102">
        <f>(CB1126-Driver!$F$206)/(Driver!$G$206-Driver!$F$206)*$BI$1</f>
        <v/>
      </c>
      <c r="BK1126" s="102">
        <f>(CD1126-Driver!$F$203)/(Driver!$G$203-Driver!$F$203)*$BI$1</f>
        <v/>
      </c>
      <c r="BL1126" s="102">
        <f>MAX((CR1126-Driver!$F$202)/(Driver!$G$202-Driver!$F$202)*$BI$1,1)</f>
        <v/>
      </c>
      <c r="BM1126" s="102">
        <f>MAX((CH1126-Driver!$F$204)/(Driver!$G$204-Driver!$F$204)*$BI$1,1)</f>
        <v/>
      </c>
      <c r="BN1126" s="102">
        <f>(CI1126-Driver!$F$205)/(Driver!$G$205-Driver!$F$205)*$BI$1</f>
        <v/>
      </c>
      <c r="BO1126" s="102">
        <f>(CK1126-Driver!$F$207)/(Driver!$G$207-Driver!$F$207)*$BI$1</f>
        <v/>
      </c>
      <c r="BP1126" s="102">
        <f>(CM1126-Driver!$F$208)/(Driver!$G$208-Driver!$F$208)*$BI$1</f>
        <v/>
      </c>
      <c r="BQ1126" s="102">
        <f>(CL1126-Driver!$F$209)/(Driver!$G$209-Driver!$F$209)*$BI$1</f>
        <v/>
      </c>
      <c r="BR1126" s="40" t="inlineStr">
        <is>
          <t>21/22</t>
        </is>
      </c>
      <c r="BS1126" s="10" t="inlineStr">
        <is>
          <t xml:space="preserve"> Völkl</t>
        </is>
      </c>
      <c r="BT1126" s="11" t="inlineStr">
        <is>
          <t>Mantra M5</t>
        </is>
      </c>
      <c r="BU1126" s="13" t="n">
        <v>177</v>
      </c>
      <c r="BV1126" s="11" t="inlineStr">
        <is>
          <t xml:space="preserve"> Unisex</t>
        </is>
      </c>
      <c r="BW1126" s="13" t="n">
        <v>177</v>
      </c>
      <c r="BX1126" s="13" t="n">
        <v>177.9</v>
      </c>
      <c r="BY1126" s="13" t="n">
        <v>138</v>
      </c>
      <c r="BZ1126" s="13" t="n">
        <v>155</v>
      </c>
      <c r="CA1126" s="13" t="n">
        <v>133</v>
      </c>
      <c r="CB1126" s="13" t="n">
        <v>95</v>
      </c>
      <c r="CC1126" s="13" t="n">
        <v>116</v>
      </c>
      <c r="CD1126" s="13" t="n">
        <v>20.2</v>
      </c>
      <c r="CE1126" s="13" t="n">
        <v>2082</v>
      </c>
      <c r="CF1126" s="13" t="n">
        <v>0.91</v>
      </c>
      <c r="CG1126" s="13" t="n">
        <v>1895</v>
      </c>
      <c r="CH1126" s="13" t="n">
        <v>224</v>
      </c>
      <c r="CI1126" s="13" t="n">
        <v>145</v>
      </c>
      <c r="CJ1126" s="13" t="n">
        <v>44</v>
      </c>
      <c r="CK1126" s="13" t="n">
        <v>256</v>
      </c>
      <c r="CL1126" s="13" t="n">
        <v>13</v>
      </c>
      <c r="CM1126" s="13" t="n">
        <v>144</v>
      </c>
      <c r="CN1126" s="13" t="n">
        <v>0.295</v>
      </c>
      <c r="CO1126" s="13" t="n">
        <v>133</v>
      </c>
      <c r="CP1126" s="13" t="n">
        <v>95</v>
      </c>
      <c r="CQ1126" s="13" t="n">
        <v>123</v>
      </c>
      <c r="CR1126" s="13" t="n">
        <v>5</v>
      </c>
      <c r="CS1126" s="13" t="n">
        <v>11.6</v>
      </c>
      <c r="CT1126" s="11" t="inlineStr">
        <is>
          <t xml:space="preserve"> Resort Freeride</t>
        </is>
      </c>
      <c r="CU1126" s="13" t="n"/>
      <c r="CV1126" s="13" t="n"/>
      <c r="CW1126" s="13" t="n"/>
      <c r="CX1126">
        <f>INDEX('Data_Price '!AG$2:AG$1266,MATCH(Data!$DN1126,'Data_Price '!$AT$2:$AT$1266,0))</f>
        <v/>
      </c>
      <c r="CY1126">
        <f>INDEX('Data_Price '!AH$2:AH$1266,MATCH(Data!$DN1126,'Data_Price '!$AT$2:$AT$1266,0))</f>
        <v/>
      </c>
      <c r="CZ1126">
        <f>INDEX('Data_Price '!AI$2:AI$1266,MATCH(Data!$DN1126,'Data_Price '!$AT$2:$AT$1266,0))</f>
        <v/>
      </c>
      <c r="DA1126">
        <f>INDEX('Data_Price '!AJ$2:AJ$1266,MATCH(Data!$DN1126,'Data_Price '!$AT$2:$AT$1266,0))</f>
        <v/>
      </c>
      <c r="DB1126">
        <f>INDEX('Data_Price '!AK$2:AK$1266,MATCH(Data!$DN1126,'Data_Price '!$AT$2:$AT$1266,0))</f>
        <v/>
      </c>
      <c r="DC1126">
        <f>INDEX('Data_Price '!AL$2:AL$1266,MATCH(Data!$DN1126,'Data_Price '!$AT$2:$AT$1266,0))</f>
        <v/>
      </c>
      <c r="DD1126">
        <f>INDEX('Data_Price '!AM$2:AM$1266,MATCH(Data!$DN1126,'Data_Price '!$AT$2:$AT$1266,0))</f>
        <v/>
      </c>
      <c r="DE1126">
        <f>INDEX('Data_Price '!AN$2:AN$1266,MATCH(Data!$DN1126,'Data_Price '!$AT$2:$AT$1266,0))</f>
        <v/>
      </c>
      <c r="DF1126">
        <f>INDEX('Data_Price '!AO$2:AO$1266,MATCH(Data!$DN1126,'Data_Price '!$AT$2:$AT$1266,0))</f>
        <v/>
      </c>
      <c r="DG1126">
        <f>INDEX('Data_Price '!AP$2:AP$1266,MATCH(Data!$DN1126,'Data_Price '!$AT$2:$AT$1266,0))</f>
        <v/>
      </c>
      <c r="DH1126">
        <f>INDEX('Data_Price '!AQ$2:AQ$1266,MATCH(Data!$DN1126,'Data_Price '!$AT$2:$AT$1266,0))</f>
        <v/>
      </c>
      <c r="DI1126">
        <f>INDEX('Data_Price '!AR$2:AR$1266,MATCH(Data!$DN1126,'Data_Price '!$AT$2:$AT$1266,0))</f>
        <v/>
      </c>
      <c r="DJ1126" s="138">
        <f>DA1126</f>
        <v/>
      </c>
      <c r="DK1126" s="138">
        <f>DE1126</f>
        <v/>
      </c>
      <c r="DL1126" s="138">
        <f>DI1126</f>
        <v/>
      </c>
      <c r="DM1126" s="303">
        <f>IF(LEFT(BT1126,1)=" ",RIGHT(BT1126,LEN(BT1126)-1),BT1126)</f>
        <v/>
      </c>
      <c r="DN1126" s="138">
        <f>_xlfn.CONCAT(BS1126,DM1126,BU1126,BV1126)</f>
        <v/>
      </c>
      <c r="DO1126" s="307" t="n"/>
    </row>
    <row r="1127" ht="15.6" customHeight="1" s="184">
      <c r="B1127" s="303">
        <f t="array" ref="B1127">IF(OR(ISERROR(K1127:P1127)),FALSE,TRUE)</f>
        <v/>
      </c>
      <c r="C1127" s="60">
        <f>OR(BR1127=Driver!$G$50,Data!BR309=Driver!$H$50)</f>
        <v/>
      </c>
      <c r="D1127" s="60">
        <f>OR(BV1127=Driver!$G$51,BV1127=Driver!$H$51)</f>
        <v/>
      </c>
      <c r="E1127" s="60">
        <f>AND(BX1127&gt;Driver!$F$54,BX1127&lt;Driver!$G$54)</f>
        <v/>
      </c>
      <c r="F1127" s="60">
        <f>CL1127&gt;Driver!$F$56</f>
        <v/>
      </c>
      <c r="G1127" s="60">
        <f>AND(CB1127&gt;Driver!$F$55,CB1127&lt;Driver!$G$55)</f>
        <v/>
      </c>
      <c r="H1127" s="60">
        <f>AND(B1127:G1127)</f>
        <v/>
      </c>
      <c r="I1127" s="60">
        <f>COUNTIFS($H$9:$H$1273,TRUE,$BT$9:$BT$1273,BT1127)</f>
        <v/>
      </c>
      <c r="J1127" s="60">
        <f t="array" ref="J1127">NOT(OR(($H$9:$H$1273=TRUE)*($I$9:$I$1273&gt;0)*($BT$9:$BT$1273=BT1127)*($K$9:$K$1273&gt;K1127)))</f>
        <v/>
      </c>
      <c r="K1127" s="108">
        <f>IFERROR(1-AVERAGE(X1127:Y1127),"")</f>
        <v/>
      </c>
      <c r="L1127" s="108">
        <f>1-X1127</f>
        <v/>
      </c>
      <c r="M1127" s="108">
        <f>1-Y1127</f>
        <v/>
      </c>
      <c r="N1127" s="108">
        <f>1-Z1127</f>
        <v/>
      </c>
      <c r="O1127" s="108">
        <f>1-AA1127</f>
        <v/>
      </c>
      <c r="P1127" s="108">
        <f>1-AB1127</f>
        <v/>
      </c>
      <c r="Q1127" s="108" t="n"/>
      <c r="R1127" s="108" t="n"/>
      <c r="S1127" s="108">
        <f>1-AE1127</f>
        <v/>
      </c>
      <c r="T1127" s="108">
        <f>1-AF1127</f>
        <v/>
      </c>
      <c r="U1127" s="108">
        <f>1-AG1127</f>
        <v/>
      </c>
      <c r="V1127" s="108">
        <f>1-AH1127</f>
        <v/>
      </c>
      <c r="W1127" s="108">
        <f>1-AI1127</f>
        <v/>
      </c>
      <c r="X1127" s="108">
        <f>ABS(AJ1127-AJ$1)</f>
        <v/>
      </c>
      <c r="Y1127" s="108">
        <f>AVERAGE(Z1127:AB1127)</f>
        <v/>
      </c>
      <c r="Z1127" s="108">
        <f>ABS(AL1127-AL$1)</f>
        <v/>
      </c>
      <c r="AA1127" s="108">
        <f>ABS(AM1127-AM$1)</f>
        <v/>
      </c>
      <c r="AB1127" s="108">
        <f>ABS(AN1127-AN$1)</f>
        <v/>
      </c>
      <c r="AC1127" s="108" t="n"/>
      <c r="AD1127" s="108" t="n"/>
      <c r="AE1127" s="108">
        <f>ABS(AQ$1-AQ1127)</f>
        <v/>
      </c>
      <c r="AF1127" s="108">
        <f>ABS(AR$1-AR1127)</f>
        <v/>
      </c>
      <c r="AG1127" s="108">
        <f>ABS(AS$1-AS1127)</f>
        <v/>
      </c>
      <c r="AH1127" s="108">
        <f>ABS(AT$1-AT1127)</f>
        <v/>
      </c>
      <c r="AI1127" s="108">
        <f>ABS(AU$1-AU1127)</f>
        <v/>
      </c>
      <c r="AJ1127" s="108">
        <f>(AV1127-Driver!$K$179)/(Driver!$L$179-Driver!$K$179)</f>
        <v/>
      </c>
      <c r="AK1127" s="108">
        <f>(AW1127-Driver!$K$180)/(Driver!$L$180-Driver!$K$180)</f>
        <v/>
      </c>
      <c r="AL1127" s="108">
        <f>(AX1127-Driver!$K$181)/(Driver!$L$181-Driver!$K$181)</f>
        <v/>
      </c>
      <c r="AM1127" s="108">
        <f>(AY1127-Driver!$K$182)/(Driver!$L$182-Driver!$K$182)</f>
        <v/>
      </c>
      <c r="AN1127" s="108">
        <f>(AZ1127-Driver!$K$183)/(Driver!$L$183-Driver!$K$183)</f>
        <v/>
      </c>
      <c r="AO1127" s="108" t="n"/>
      <c r="AP1127" s="108" t="n"/>
      <c r="AQ1127" s="108">
        <f>(BC1127-Driver!$K$188)/(Driver!$L$188-Driver!$K$188)</f>
        <v/>
      </c>
      <c r="AR1127" s="108">
        <f>MIN((BD1127-Driver!$K$189)/(Driver!$L$189-Driver!$K$189),100%)</f>
        <v/>
      </c>
      <c r="AS1127" s="108">
        <f>(BE1127-Driver!$K$190)/(Driver!$L$190-Driver!$K$190)</f>
        <v/>
      </c>
      <c r="AT1127" s="108">
        <f>(BF1127-Driver!$K$191)/(Driver!$L$191-Driver!$K$191)</f>
        <v/>
      </c>
      <c r="AU1127" s="108">
        <f>(BG1127-Driver!$K$192)/(Driver!$L$192-Driver!$K$192)</f>
        <v/>
      </c>
      <c r="AV1127" s="105">
        <f>IFERROR(BM1127*BJ1127^1/4,"")</f>
        <v/>
      </c>
      <c r="AW1127" s="105">
        <f>IFERROR(SUM(AX1127:AZ1127),"")</f>
        <v/>
      </c>
      <c r="AX1127" s="105">
        <f>IFERROR(BH1127,"")</f>
        <v/>
      </c>
      <c r="AY1127" s="105">
        <f>IFERROR(Driver!$K$19/Data!BH1127/Data!BI1127*Data!BK1127*Data!BL1127,"")</f>
        <v/>
      </c>
      <c r="AZ1127" s="105">
        <f>IFERROR(BI1127*BN1127,"")</f>
        <v/>
      </c>
      <c r="BA1127" s="105" t="n"/>
      <c r="BB1127" s="105" t="n"/>
      <c r="BC1127" s="105">
        <f>IFERROR(BI1127*BN1127*BK1127/BJ1127^(1/2),"")</f>
        <v/>
      </c>
      <c r="BD1127" s="105">
        <f>IFERROR(BH1127*BM1127*BL1127/BJ1127/BK1127,"")</f>
        <v/>
      </c>
      <c r="BE1127" s="105">
        <f>IFERROR(MIN(BI1127/BQ1127/BP1127/BO1127/BH1127,$BE$1),"")</f>
        <v/>
      </c>
      <c r="BF1127" s="105">
        <f>IFERROR(BJ1127*BO1127*BP1127/BK1127,"")</f>
        <v/>
      </c>
      <c r="BG1127" s="105">
        <f>IFERROR(1/BM1127/BH1127*BQ1127,"")</f>
        <v/>
      </c>
      <c r="BH1127" s="102">
        <f>MAX((CE1127-Driver!$F$200)/(Driver!$G$200-Driver!$F$200)*$BI$1,1)</f>
        <v/>
      </c>
      <c r="BI1127" s="102">
        <f>MAX($BI$1*(BY1127-Driver!$F$201)/(Driver!$G$201-Driver!$F$201),1)</f>
        <v/>
      </c>
      <c r="BJ1127" s="102">
        <f>(CB1127-Driver!$F$206)/(Driver!$G$206-Driver!$F$206)*$BI$1</f>
        <v/>
      </c>
      <c r="BK1127" s="102">
        <f>(CD1127-Driver!$F$203)/(Driver!$G$203-Driver!$F$203)*$BI$1</f>
        <v/>
      </c>
      <c r="BL1127" s="102">
        <f>MAX((CR1127-Driver!$F$202)/(Driver!$G$202-Driver!$F$202)*$BI$1,1)</f>
        <v/>
      </c>
      <c r="BM1127" s="102">
        <f>MAX((CH1127-Driver!$F$204)/(Driver!$G$204-Driver!$F$204)*$BI$1,1)</f>
        <v/>
      </c>
      <c r="BN1127" s="102">
        <f>(CI1127-Driver!$F$205)/(Driver!$G$205-Driver!$F$205)*$BI$1</f>
        <v/>
      </c>
      <c r="BO1127" s="102">
        <f>(CK1127-Driver!$F$207)/(Driver!$G$207-Driver!$F$207)*$BI$1</f>
        <v/>
      </c>
      <c r="BP1127" s="102">
        <f>(CM1127-Driver!$F$208)/(Driver!$G$208-Driver!$F$208)*$BI$1</f>
        <v/>
      </c>
      <c r="BQ1127" s="102">
        <f>(CL1127-Driver!$F$209)/(Driver!$G$209-Driver!$F$209)*$BI$1</f>
        <v/>
      </c>
      <c r="BR1127" s="40" t="inlineStr">
        <is>
          <t>21/22</t>
        </is>
      </c>
      <c r="BS1127" s="10" t="inlineStr">
        <is>
          <t xml:space="preserve"> Blizzard</t>
        </is>
      </c>
      <c r="BT1127" s="11" t="inlineStr">
        <is>
          <t xml:space="preserve"> SRC</t>
        </is>
      </c>
      <c r="BU1127" s="13" t="n">
        <v>160</v>
      </c>
      <c r="BV1127" s="11" t="inlineStr">
        <is>
          <t xml:space="preserve"> Unisex</t>
        </is>
      </c>
      <c r="BW1127" s="13" t="n">
        <v>160</v>
      </c>
      <c r="BX1127" s="13" t="n">
        <v>159.1</v>
      </c>
      <c r="BY1127" s="13" t="n">
        <v>141</v>
      </c>
      <c r="BZ1127" s="13" t="n">
        <v>146</v>
      </c>
      <c r="CA1127" s="13" t="n">
        <v>119</v>
      </c>
      <c r="CB1127" s="13" t="n">
        <v>69</v>
      </c>
      <c r="CC1127" s="13" t="n">
        <v>103</v>
      </c>
      <c r="CD1127" s="13" t="n">
        <v>12.2</v>
      </c>
      <c r="CE1127" s="13" t="n">
        <v>1970</v>
      </c>
      <c r="CF1127" s="13" t="n">
        <v>0.6899999999999999</v>
      </c>
      <c r="CG1127" s="13" t="n">
        <v>1350</v>
      </c>
      <c r="CH1127" s="13" t="n">
        <v>195</v>
      </c>
      <c r="CI1127" s="13" t="n">
        <v>125</v>
      </c>
      <c r="CJ1127" s="13" t="n">
        <v>39</v>
      </c>
      <c r="CK1127" s="13" t="n">
        <v>136</v>
      </c>
      <c r="CL1127" s="13" t="n">
        <v>5</v>
      </c>
      <c r="CM1127" s="13" t="n">
        <v>48</v>
      </c>
      <c r="CN1127" s="13" t="n">
        <v>0.117</v>
      </c>
      <c r="CO1127" s="13" t="n">
        <v>70</v>
      </c>
      <c r="CP1127" s="13" t="n">
        <v>57</v>
      </c>
      <c r="CQ1127" s="13" t="n">
        <v>66</v>
      </c>
      <c r="CR1127" s="13" t="n">
        <v>15</v>
      </c>
      <c r="CS1127" s="13" t="n">
        <v>11.8</v>
      </c>
      <c r="CT1127" s="11" t="inlineStr">
        <is>
          <t xml:space="preserve"> On-Piste Carving</t>
        </is>
      </c>
      <c r="CU1127" s="13" t="n"/>
      <c r="CV1127" s="13" t="n"/>
      <c r="CW1127" s="13" t="n"/>
      <c r="CX1127">
        <f>INDEX('Data_Price '!AG$2:AG$1266,MATCH(Data!$DN1127,'Data_Price '!$AT$2:$AT$1266,0))</f>
        <v/>
      </c>
      <c r="CY1127">
        <f>INDEX('Data_Price '!AH$2:AH$1266,MATCH(Data!$DN1127,'Data_Price '!$AT$2:$AT$1266,0))</f>
        <v/>
      </c>
      <c r="CZ1127">
        <f>INDEX('Data_Price '!AI$2:AI$1266,MATCH(Data!$DN1127,'Data_Price '!$AT$2:$AT$1266,0))</f>
        <v/>
      </c>
      <c r="DA1127">
        <f>INDEX('Data_Price '!AJ$2:AJ$1266,MATCH(Data!$DN1127,'Data_Price '!$AT$2:$AT$1266,0))</f>
        <v/>
      </c>
      <c r="DB1127">
        <f>INDEX('Data_Price '!AK$2:AK$1266,MATCH(Data!$DN1127,'Data_Price '!$AT$2:$AT$1266,0))</f>
        <v/>
      </c>
      <c r="DC1127">
        <f>INDEX('Data_Price '!AL$2:AL$1266,MATCH(Data!$DN1127,'Data_Price '!$AT$2:$AT$1266,0))</f>
        <v/>
      </c>
      <c r="DD1127">
        <f>INDEX('Data_Price '!AM$2:AM$1266,MATCH(Data!$DN1127,'Data_Price '!$AT$2:$AT$1266,0))</f>
        <v/>
      </c>
      <c r="DE1127">
        <f>INDEX('Data_Price '!AN$2:AN$1266,MATCH(Data!$DN1127,'Data_Price '!$AT$2:$AT$1266,0))</f>
        <v/>
      </c>
      <c r="DF1127">
        <f>INDEX('Data_Price '!AO$2:AO$1266,MATCH(Data!$DN1127,'Data_Price '!$AT$2:$AT$1266,0))</f>
        <v/>
      </c>
      <c r="DG1127">
        <f>INDEX('Data_Price '!AP$2:AP$1266,MATCH(Data!$DN1127,'Data_Price '!$AT$2:$AT$1266,0))</f>
        <v/>
      </c>
      <c r="DH1127">
        <f>INDEX('Data_Price '!AQ$2:AQ$1266,MATCH(Data!$DN1127,'Data_Price '!$AT$2:$AT$1266,0))</f>
        <v/>
      </c>
      <c r="DI1127">
        <f>INDEX('Data_Price '!AR$2:AR$1266,MATCH(Data!$DN1127,'Data_Price '!$AT$2:$AT$1266,0))</f>
        <v/>
      </c>
      <c r="DJ1127" s="138">
        <f>DA1127</f>
        <v/>
      </c>
      <c r="DK1127" s="138">
        <f>DE1127</f>
        <v/>
      </c>
      <c r="DL1127" s="138">
        <f>DI1127</f>
        <v/>
      </c>
      <c r="DM1127" s="303">
        <f>IF(LEFT(BT1127,1)=" ",RIGHT(BT1127,LEN(BT1127)-1),BT1127)</f>
        <v/>
      </c>
      <c r="DN1127" s="138">
        <f>_xlfn.CONCAT(BS1127,DM1127,BU1127,BV1127)</f>
        <v/>
      </c>
      <c r="DO1127" s="307" t="n"/>
    </row>
    <row r="1128" ht="15.6" customHeight="1" s="184">
      <c r="B1128" s="303">
        <f t="array" ref="B1128">IF(OR(ISERROR(K1128:P1128)),FALSE,TRUE)</f>
        <v/>
      </c>
      <c r="C1128" s="60">
        <f>OR(BR1128=Driver!$G$50,Data!BR1249=Driver!$H$50)</f>
        <v/>
      </c>
      <c r="D1128" s="60">
        <f>OR(BV1128=Driver!$G$51,BV1128=Driver!$H$51)</f>
        <v/>
      </c>
      <c r="E1128" s="60">
        <f>AND(BX1128&gt;Driver!$F$54,BX1128&lt;Driver!$G$54)</f>
        <v/>
      </c>
      <c r="F1128" s="60">
        <f>CL1128&gt;Driver!$F$56</f>
        <v/>
      </c>
      <c r="G1128" s="60">
        <f>AND(CB1128&gt;Driver!$F$55,CB1128&lt;Driver!$G$55)</f>
        <v/>
      </c>
      <c r="H1128" s="60">
        <f>AND(B1128:G1128)</f>
        <v/>
      </c>
      <c r="I1128" s="60">
        <f>COUNTIFS($H$9:$H$1273,TRUE,$BT$9:$BT$1273,BT1128)</f>
        <v/>
      </c>
      <c r="J1128" s="60">
        <f t="array" ref="J1128">NOT(OR(($H$9:$H$1273=TRUE)*($I$9:$I$1273&gt;0)*($BT$9:$BT$1273=BT1128)*($K$9:$K$1273&gt;K1128)))</f>
        <v/>
      </c>
      <c r="K1128" s="108">
        <f>IFERROR(1-AVERAGE(X1128:Y1128),"")</f>
        <v/>
      </c>
      <c r="L1128" s="108">
        <f>1-X1128</f>
        <v/>
      </c>
      <c r="M1128" s="108">
        <f>1-Y1128</f>
        <v/>
      </c>
      <c r="N1128" s="108">
        <f>1-Z1128</f>
        <v/>
      </c>
      <c r="O1128" s="108">
        <f>1-AA1128</f>
        <v/>
      </c>
      <c r="P1128" s="108">
        <f>1-AB1128</f>
        <v/>
      </c>
      <c r="Q1128" s="108" t="n"/>
      <c r="R1128" s="108" t="n"/>
      <c r="S1128" s="108">
        <f>1-AE1128</f>
        <v/>
      </c>
      <c r="T1128" s="108">
        <f>1-AF1128</f>
        <v/>
      </c>
      <c r="U1128" s="108">
        <f>1-AG1128</f>
        <v/>
      </c>
      <c r="V1128" s="108">
        <f>1-AH1128</f>
        <v/>
      </c>
      <c r="W1128" s="108">
        <f>1-AI1128</f>
        <v/>
      </c>
      <c r="X1128" s="108">
        <f>ABS(AJ1128-AJ$1)</f>
        <v/>
      </c>
      <c r="Y1128" s="108">
        <f>AVERAGE(Z1128:AB1128)</f>
        <v/>
      </c>
      <c r="Z1128" s="108">
        <f>ABS(AL1128-AL$1)</f>
        <v/>
      </c>
      <c r="AA1128" s="108">
        <f>ABS(AM1128-AM$1)</f>
        <v/>
      </c>
      <c r="AB1128" s="108">
        <f>ABS(AN1128-AN$1)</f>
        <v/>
      </c>
      <c r="AC1128" s="108" t="n"/>
      <c r="AD1128" s="108" t="n"/>
      <c r="AE1128" s="108">
        <f>ABS(AQ$1-AQ1128)</f>
        <v/>
      </c>
      <c r="AF1128" s="108">
        <f>ABS(AR$1-AR1128)</f>
        <v/>
      </c>
      <c r="AG1128" s="108">
        <f>ABS(AS$1-AS1128)</f>
        <v/>
      </c>
      <c r="AH1128" s="108">
        <f>ABS(AT$1-AT1128)</f>
        <v/>
      </c>
      <c r="AI1128" s="108">
        <f>ABS(AU$1-AU1128)</f>
        <v/>
      </c>
      <c r="AJ1128" s="108">
        <f>(AV1128-Driver!$K$179)/(Driver!$L$179-Driver!$K$179)</f>
        <v/>
      </c>
      <c r="AK1128" s="108">
        <f>(AW1128-Driver!$K$180)/(Driver!$L$180-Driver!$K$180)</f>
        <v/>
      </c>
      <c r="AL1128" s="108">
        <f>(AX1128-Driver!$K$181)/(Driver!$L$181-Driver!$K$181)</f>
        <v/>
      </c>
      <c r="AM1128" s="108">
        <f>(AY1128-Driver!$K$182)/(Driver!$L$182-Driver!$K$182)</f>
        <v/>
      </c>
      <c r="AN1128" s="108">
        <f>(AZ1128-Driver!$K$183)/(Driver!$L$183-Driver!$K$183)</f>
        <v/>
      </c>
      <c r="AO1128" s="108" t="n"/>
      <c r="AP1128" s="108" t="n"/>
      <c r="AQ1128" s="108">
        <f>(BC1128-Driver!$K$188)/(Driver!$L$188-Driver!$K$188)</f>
        <v/>
      </c>
      <c r="AR1128" s="108">
        <f>MIN((BD1128-Driver!$K$189)/(Driver!$L$189-Driver!$K$189),100%)</f>
        <v/>
      </c>
      <c r="AS1128" s="108">
        <f>(BE1128-Driver!$K$190)/(Driver!$L$190-Driver!$K$190)</f>
        <v/>
      </c>
      <c r="AT1128" s="108">
        <f>(BF1128-Driver!$K$191)/(Driver!$L$191-Driver!$K$191)</f>
        <v/>
      </c>
      <c r="AU1128" s="108">
        <f>(BG1128-Driver!$K$192)/(Driver!$L$192-Driver!$K$192)</f>
        <v/>
      </c>
      <c r="AV1128" s="105">
        <f>IFERROR(BM1128*BJ1128^1/4,"")</f>
        <v/>
      </c>
      <c r="AW1128" s="105">
        <f>IFERROR(SUM(AX1128:AZ1128),"")</f>
        <v/>
      </c>
      <c r="AX1128" s="105">
        <f>IFERROR(BH1128,"")</f>
        <v/>
      </c>
      <c r="AY1128" s="105">
        <f>IFERROR(Driver!$K$19/Data!BH1128/Data!BI1128*Data!BK1128*Data!BL1128,"")</f>
        <v/>
      </c>
      <c r="AZ1128" s="105">
        <f>IFERROR(BI1128*BN1128,"")</f>
        <v/>
      </c>
      <c r="BA1128" s="105" t="n"/>
      <c r="BB1128" s="105" t="n"/>
      <c r="BC1128" s="105">
        <f>IFERROR(BI1128*BN1128*BK1128/BJ1128^(1/2),"")</f>
        <v/>
      </c>
      <c r="BD1128" s="105">
        <f>IFERROR(BH1128*BM1128*BL1128/BJ1128/BK1128,"")</f>
        <v/>
      </c>
      <c r="BE1128" s="105">
        <f>IFERROR(MIN(BI1128/BQ1128/BP1128/BO1128/BH1128,$BE$1),"")</f>
        <v/>
      </c>
      <c r="BF1128" s="105">
        <f>IFERROR(BJ1128*BO1128*BP1128/BK1128,"")</f>
        <v/>
      </c>
      <c r="BG1128" s="105">
        <f>IFERROR(1/BM1128/BH1128*BQ1128,"")</f>
        <v/>
      </c>
      <c r="BH1128" s="102">
        <f>MAX((CE1128-Driver!$F$200)/(Driver!$G$200-Driver!$F$200)*$BI$1,1)</f>
        <v/>
      </c>
      <c r="BI1128" s="102">
        <f>MAX($BI$1*(BY1128-Driver!$F$201)/(Driver!$G$201-Driver!$F$201),1)</f>
        <v/>
      </c>
      <c r="BJ1128" s="102">
        <f>(CB1128-Driver!$F$206)/(Driver!$G$206-Driver!$F$206)*$BI$1</f>
        <v/>
      </c>
      <c r="BK1128" s="102">
        <f>(CD1128-Driver!$F$203)/(Driver!$G$203-Driver!$F$203)*$BI$1</f>
        <v/>
      </c>
      <c r="BL1128" s="102">
        <f>MAX((CR1128-Driver!$F$202)/(Driver!$G$202-Driver!$F$202)*$BI$1,1)</f>
        <v/>
      </c>
      <c r="BM1128" s="102">
        <f>MAX((CH1128-Driver!$F$204)/(Driver!$G$204-Driver!$F$204)*$BI$1,1)</f>
        <v/>
      </c>
      <c r="BN1128" s="102">
        <f>(CI1128-Driver!$F$205)/(Driver!$G$205-Driver!$F$205)*$BI$1</f>
        <v/>
      </c>
      <c r="BO1128" s="102">
        <f>(CK1128-Driver!$F$207)/(Driver!$G$207-Driver!$F$207)*$BI$1</f>
        <v/>
      </c>
      <c r="BP1128" s="102">
        <f>(CM1128-Driver!$F$208)/(Driver!$G$208-Driver!$F$208)*$BI$1</f>
        <v/>
      </c>
      <c r="BQ1128" s="102">
        <f>(CL1128-Driver!$F$209)/(Driver!$G$209-Driver!$F$209)*$BI$1</f>
        <v/>
      </c>
      <c r="BR1128" s="40" t="inlineStr">
        <is>
          <t>21/22</t>
        </is>
      </c>
      <c r="BS1128" s="10" t="inlineStr">
        <is>
          <t xml:space="preserve"> Völkl</t>
        </is>
      </c>
      <c r="BT1128" s="11" t="inlineStr">
        <is>
          <t>Rise Above 88 W</t>
        </is>
      </c>
      <c r="BU1128" s="13" t="n">
        <v>163</v>
      </c>
      <c r="BV1128" s="11" t="inlineStr">
        <is>
          <t xml:space="preserve"> Women's</t>
        </is>
      </c>
      <c r="BW1128" s="13" t="n">
        <v>163</v>
      </c>
      <c r="BX1128" s="13" t="n">
        <v>162.1</v>
      </c>
      <c r="BY1128" s="13" t="n">
        <v>133</v>
      </c>
      <c r="BZ1128" s="13" t="n">
        <v>140</v>
      </c>
      <c r="CA1128" s="13" t="n">
        <v>130</v>
      </c>
      <c r="CB1128" s="13" t="n">
        <v>87</v>
      </c>
      <c r="CC1128" s="13" t="n">
        <v>111</v>
      </c>
      <c r="CD1128" s="13" t="n">
        <v>14.2</v>
      </c>
      <c r="CE1128" s="13" t="n">
        <v>1165</v>
      </c>
      <c r="CF1128" s="13" t="n">
        <v>1.4</v>
      </c>
      <c r="CG1128" s="13" t="n">
        <v>1630</v>
      </c>
      <c r="CH1128" s="13" t="n">
        <v>149</v>
      </c>
      <c r="CI1128" s="13" t="n">
        <v>62</v>
      </c>
      <c r="CJ1128" s="13" t="n">
        <v>43</v>
      </c>
      <c r="CK1128" s="13" t="n">
        <v>221</v>
      </c>
      <c r="CL1128" s="13" t="n">
        <v>5</v>
      </c>
      <c r="CM1128" s="13" t="n">
        <v>72</v>
      </c>
      <c r="CN1128" s="13" t="n">
        <v>0.113</v>
      </c>
      <c r="CO1128" s="13" t="n">
        <v>130</v>
      </c>
      <c r="CP1128" s="13" t="n">
        <v>95</v>
      </c>
      <c r="CQ1128" s="13" t="n">
        <v>91</v>
      </c>
      <c r="CR1128" s="13" t="n">
        <v>4</v>
      </c>
      <c r="CS1128" s="13" t="n">
        <v>10.8</v>
      </c>
      <c r="CT1128" s="11" t="inlineStr">
        <is>
          <t xml:space="preserve"> Touring</t>
        </is>
      </c>
      <c r="CU1128" s="11" t="inlineStr">
        <is>
          <t xml:space="preserve"> Ultralight Touring</t>
        </is>
      </c>
      <c r="CV1128" s="13" t="n"/>
      <c r="CW1128" s="13" t="n"/>
      <c r="CX1128">
        <f>INDEX('Data_Price '!AG$2:AG$1266,MATCH(Data!$DN1128,'Data_Price '!$AT$2:$AT$1266,0))</f>
        <v/>
      </c>
      <c r="CY1128">
        <f>INDEX('Data_Price '!AH$2:AH$1266,MATCH(Data!$DN1128,'Data_Price '!$AT$2:$AT$1266,0))</f>
        <v/>
      </c>
      <c r="CZ1128">
        <f>INDEX('Data_Price '!AI$2:AI$1266,MATCH(Data!$DN1128,'Data_Price '!$AT$2:$AT$1266,0))</f>
        <v/>
      </c>
      <c r="DA1128">
        <f>INDEX('Data_Price '!AJ$2:AJ$1266,MATCH(Data!$DN1128,'Data_Price '!$AT$2:$AT$1266,0))</f>
        <v/>
      </c>
      <c r="DB1128">
        <f>INDEX('Data_Price '!AK$2:AK$1266,MATCH(Data!$DN1128,'Data_Price '!$AT$2:$AT$1266,0))</f>
        <v/>
      </c>
      <c r="DC1128">
        <f>INDEX('Data_Price '!AL$2:AL$1266,MATCH(Data!$DN1128,'Data_Price '!$AT$2:$AT$1266,0))</f>
        <v/>
      </c>
      <c r="DD1128">
        <f>INDEX('Data_Price '!AM$2:AM$1266,MATCH(Data!$DN1128,'Data_Price '!$AT$2:$AT$1266,0))</f>
        <v/>
      </c>
      <c r="DE1128">
        <f>INDEX('Data_Price '!AN$2:AN$1266,MATCH(Data!$DN1128,'Data_Price '!$AT$2:$AT$1266,0))</f>
        <v/>
      </c>
      <c r="DF1128">
        <f>INDEX('Data_Price '!AO$2:AO$1266,MATCH(Data!$DN1128,'Data_Price '!$AT$2:$AT$1266,0))</f>
        <v/>
      </c>
      <c r="DG1128">
        <f>INDEX('Data_Price '!AP$2:AP$1266,MATCH(Data!$DN1128,'Data_Price '!$AT$2:$AT$1266,0))</f>
        <v/>
      </c>
      <c r="DH1128">
        <f>INDEX('Data_Price '!AQ$2:AQ$1266,MATCH(Data!$DN1128,'Data_Price '!$AT$2:$AT$1266,0))</f>
        <v/>
      </c>
      <c r="DI1128">
        <f>INDEX('Data_Price '!AR$2:AR$1266,MATCH(Data!$DN1128,'Data_Price '!$AT$2:$AT$1266,0))</f>
        <v/>
      </c>
      <c r="DJ1128" s="138">
        <f>DA1128</f>
        <v/>
      </c>
      <c r="DK1128" s="138">
        <f>DE1128</f>
        <v/>
      </c>
      <c r="DL1128" s="138">
        <f>DI1128</f>
        <v/>
      </c>
      <c r="DM1128" s="303">
        <f>IF(LEFT(BT1128,1)=" ",RIGHT(BT1128,LEN(BT1128)-1),BT1128)</f>
        <v/>
      </c>
      <c r="DN1128" s="138">
        <f>_xlfn.CONCAT(BS1128,DM1128,BU1128,BV1128)</f>
        <v/>
      </c>
      <c r="DO1128" s="307" t="n"/>
    </row>
    <row r="1129" ht="15.6" customHeight="1" s="184">
      <c r="B1129" s="303">
        <f t="array" ref="B1129">IF(OR(ISERROR(K1129:P1129)),FALSE,TRUE)</f>
        <v/>
      </c>
      <c r="C1129" s="60">
        <f>OR(BR1129=Driver!$G$50,Data!BR931=Driver!$H$50)</f>
        <v/>
      </c>
      <c r="D1129" s="60">
        <f>OR(BV1129=Driver!$G$51,BV1129=Driver!$H$51)</f>
        <v/>
      </c>
      <c r="E1129" s="60">
        <f>AND(BX1129&gt;Driver!$F$54,BX1129&lt;Driver!$G$54)</f>
        <v/>
      </c>
      <c r="F1129" s="60">
        <f>CL1129&gt;Driver!$F$56</f>
        <v/>
      </c>
      <c r="G1129" s="60">
        <f>AND(CB1129&gt;Driver!$F$55,CB1129&lt;Driver!$G$55)</f>
        <v/>
      </c>
      <c r="H1129" s="60">
        <f>AND(B1129:G1129)</f>
        <v/>
      </c>
      <c r="I1129" s="60">
        <f>COUNTIFS($H$9:$H$1273,TRUE,$BT$9:$BT$1273,BT1129)</f>
        <v/>
      </c>
      <c r="J1129" s="60">
        <f t="array" ref="J1129">NOT(OR(($H$9:$H$1273=TRUE)*($I$9:$I$1273&gt;0)*($BT$9:$BT$1273=BT1129)*($K$9:$K$1273&gt;K1129)))</f>
        <v/>
      </c>
      <c r="K1129" s="108">
        <f>IFERROR(1-AVERAGE(X1129:Y1129),"")</f>
        <v/>
      </c>
      <c r="L1129" s="108">
        <f>1-X1129</f>
        <v/>
      </c>
      <c r="M1129" s="108">
        <f>1-Y1129</f>
        <v/>
      </c>
      <c r="N1129" s="108">
        <f>1-Z1129</f>
        <v/>
      </c>
      <c r="O1129" s="108">
        <f>1-AA1129</f>
        <v/>
      </c>
      <c r="P1129" s="108">
        <f>1-AB1129</f>
        <v/>
      </c>
      <c r="Q1129" s="108" t="n"/>
      <c r="R1129" s="108" t="n"/>
      <c r="S1129" s="108">
        <f>1-AE1129</f>
        <v/>
      </c>
      <c r="T1129" s="108">
        <f>1-AF1129</f>
        <v/>
      </c>
      <c r="U1129" s="108">
        <f>1-AG1129</f>
        <v/>
      </c>
      <c r="V1129" s="108">
        <f>1-AH1129</f>
        <v/>
      </c>
      <c r="W1129" s="108">
        <f>1-AI1129</f>
        <v/>
      </c>
      <c r="X1129" s="108">
        <f>ABS(AJ1129-AJ$1)</f>
        <v/>
      </c>
      <c r="Y1129" s="108">
        <f>AVERAGE(Z1129:AB1129)</f>
        <v/>
      </c>
      <c r="Z1129" s="108">
        <f>ABS(AL1129-AL$1)</f>
        <v/>
      </c>
      <c r="AA1129" s="108">
        <f>ABS(AM1129-AM$1)</f>
        <v/>
      </c>
      <c r="AB1129" s="108">
        <f>ABS(AN1129-AN$1)</f>
        <v/>
      </c>
      <c r="AC1129" s="108" t="n"/>
      <c r="AD1129" s="108" t="n"/>
      <c r="AE1129" s="108">
        <f>ABS(AQ$1-AQ1129)</f>
        <v/>
      </c>
      <c r="AF1129" s="108">
        <f>ABS(AR$1-AR1129)</f>
        <v/>
      </c>
      <c r="AG1129" s="108">
        <f>ABS(AS$1-AS1129)</f>
        <v/>
      </c>
      <c r="AH1129" s="108">
        <f>ABS(AT$1-AT1129)</f>
        <v/>
      </c>
      <c r="AI1129" s="108">
        <f>ABS(AU$1-AU1129)</f>
        <v/>
      </c>
      <c r="AJ1129" s="108">
        <f>(AV1129-Driver!$K$179)/(Driver!$L$179-Driver!$K$179)</f>
        <v/>
      </c>
      <c r="AK1129" s="108">
        <f>(AW1129-Driver!$K$180)/(Driver!$L$180-Driver!$K$180)</f>
        <v/>
      </c>
      <c r="AL1129" s="108">
        <f>(AX1129-Driver!$K$181)/(Driver!$L$181-Driver!$K$181)</f>
        <v/>
      </c>
      <c r="AM1129" s="108">
        <f>(AY1129-Driver!$K$182)/(Driver!$L$182-Driver!$K$182)</f>
        <v/>
      </c>
      <c r="AN1129" s="108">
        <f>(AZ1129-Driver!$K$183)/(Driver!$L$183-Driver!$K$183)</f>
        <v/>
      </c>
      <c r="AO1129" s="108" t="n"/>
      <c r="AP1129" s="108" t="n"/>
      <c r="AQ1129" s="108">
        <f>(BC1129-Driver!$K$188)/(Driver!$L$188-Driver!$K$188)</f>
        <v/>
      </c>
      <c r="AR1129" s="108">
        <f>MIN((BD1129-Driver!$K$189)/(Driver!$L$189-Driver!$K$189),100%)</f>
        <v/>
      </c>
      <c r="AS1129" s="108">
        <f>(BE1129-Driver!$K$190)/(Driver!$L$190-Driver!$K$190)</f>
        <v/>
      </c>
      <c r="AT1129" s="108">
        <f>(BF1129-Driver!$K$191)/(Driver!$L$191-Driver!$K$191)</f>
        <v/>
      </c>
      <c r="AU1129" s="108">
        <f>(BG1129-Driver!$K$192)/(Driver!$L$192-Driver!$K$192)</f>
        <v/>
      </c>
      <c r="AV1129" s="105">
        <f>IFERROR(BM1129*BJ1129^1/4,"")</f>
        <v/>
      </c>
      <c r="AW1129" s="105">
        <f>IFERROR(SUM(AX1129:AZ1129),"")</f>
        <v/>
      </c>
      <c r="AX1129" s="105">
        <f>IFERROR(BH1129,"")</f>
        <v/>
      </c>
      <c r="AY1129" s="105">
        <f>IFERROR(Driver!$K$19/Data!BH1129/Data!BI1129*Data!BK1129*Data!BL1129,"")</f>
        <v/>
      </c>
      <c r="AZ1129" s="105">
        <f>IFERROR(BI1129*BN1129,"")</f>
        <v/>
      </c>
      <c r="BA1129" s="105" t="n"/>
      <c r="BB1129" s="105" t="n"/>
      <c r="BC1129" s="105">
        <f>IFERROR(BI1129*BN1129*BK1129/BJ1129^(1/2),"")</f>
        <v/>
      </c>
      <c r="BD1129" s="105">
        <f>IFERROR(BH1129*BM1129*BL1129/BJ1129/BK1129,"")</f>
        <v/>
      </c>
      <c r="BE1129" s="105">
        <f>IFERROR(MIN(BI1129/BQ1129/BP1129/BO1129/BH1129,$BE$1),"")</f>
        <v/>
      </c>
      <c r="BF1129" s="105">
        <f>IFERROR(BJ1129*BO1129*BP1129/BK1129,"")</f>
        <v/>
      </c>
      <c r="BG1129" s="105">
        <f>IFERROR(1/BM1129/BH1129*BQ1129,"")</f>
        <v/>
      </c>
      <c r="BH1129" s="102">
        <f>MAX((CE1129-Driver!$F$200)/(Driver!$G$200-Driver!$F$200)*$BI$1,1)</f>
        <v/>
      </c>
      <c r="BI1129" s="102">
        <f>MAX($BI$1*(BY1129-Driver!$F$201)/(Driver!$G$201-Driver!$F$201),1)</f>
        <v/>
      </c>
      <c r="BJ1129" s="102">
        <f>(CB1129-Driver!$F$206)/(Driver!$G$206-Driver!$F$206)*$BI$1</f>
        <v/>
      </c>
      <c r="BK1129" s="102">
        <f>(CD1129-Driver!$F$203)/(Driver!$G$203-Driver!$F$203)*$BI$1</f>
        <v/>
      </c>
      <c r="BL1129" s="102">
        <f>MAX((CR1129-Driver!$F$202)/(Driver!$G$202-Driver!$F$202)*$BI$1,1)</f>
        <v/>
      </c>
      <c r="BM1129" s="102">
        <f>MAX((CH1129-Driver!$F$204)/(Driver!$G$204-Driver!$F$204)*$BI$1,1)</f>
        <v/>
      </c>
      <c r="BN1129" s="102">
        <f>(CI1129-Driver!$F$205)/(Driver!$G$205-Driver!$F$205)*$BI$1</f>
        <v/>
      </c>
      <c r="BO1129" s="102">
        <f>(CK1129-Driver!$F$207)/(Driver!$G$207-Driver!$F$207)*$BI$1</f>
        <v/>
      </c>
      <c r="BP1129" s="102">
        <f>(CM1129-Driver!$F$208)/(Driver!$G$208-Driver!$F$208)*$BI$1</f>
        <v/>
      </c>
      <c r="BQ1129" s="102">
        <f>(CL1129-Driver!$F$209)/(Driver!$G$209-Driver!$F$209)*$BI$1</f>
        <v/>
      </c>
      <c r="BR1129" s="40" t="inlineStr">
        <is>
          <t>21/22</t>
        </is>
      </c>
      <c r="BS1129" s="10" t="inlineStr">
        <is>
          <t xml:space="preserve"> Nordica</t>
        </is>
      </c>
      <c r="BT1129" s="11" t="inlineStr">
        <is>
          <t>Soul Rider 84</t>
        </is>
      </c>
      <c r="BU1129" s="13" t="n">
        <v>149</v>
      </c>
      <c r="BV1129" s="11" t="inlineStr">
        <is>
          <t xml:space="preserve"> Unisex</t>
        </is>
      </c>
      <c r="BW1129" s="13" t="n">
        <v>149</v>
      </c>
      <c r="BX1129" s="13" t="n">
        <v>147.3</v>
      </c>
      <c r="BY1129" s="13" t="n">
        <v>117</v>
      </c>
      <c r="BZ1129" s="13" t="n">
        <v>131</v>
      </c>
      <c r="CA1129" s="13" t="n">
        <v>115</v>
      </c>
      <c r="CB1129" s="13" t="n">
        <v>81</v>
      </c>
      <c r="CC1129" s="13" t="n">
        <v>106</v>
      </c>
      <c r="CD1129" s="13" t="n">
        <v>14.4</v>
      </c>
      <c r="CE1129" s="13" t="n">
        <v>1359</v>
      </c>
      <c r="CF1129" s="13" t="n">
        <v>0.99</v>
      </c>
      <c r="CG1129" s="13" t="n">
        <v>1352</v>
      </c>
      <c r="CH1129" s="13" t="n">
        <v>114</v>
      </c>
      <c r="CI1129" s="13" t="n">
        <v>59</v>
      </c>
      <c r="CJ1129" s="13" t="n">
        <v>47</v>
      </c>
      <c r="CK1129" s="13" t="n">
        <v>156</v>
      </c>
      <c r="CL1129" s="13" t="n">
        <v>41</v>
      </c>
      <c r="CM1129" s="13" t="n">
        <v>148</v>
      </c>
      <c r="CN1129" s="13" t="n">
        <v>0.863</v>
      </c>
      <c r="CO1129" s="13" t="n">
        <v>91</v>
      </c>
      <c r="CP1129" s="13" t="n">
        <v>76</v>
      </c>
      <c r="CQ1129" s="13" t="n">
        <v>65</v>
      </c>
      <c r="CR1129" s="13" t="n">
        <v>10</v>
      </c>
      <c r="CS1129" s="13" t="n">
        <v>8.199999999999999</v>
      </c>
      <c r="CT1129" s="11" t="inlineStr">
        <is>
          <t xml:space="preserve"> Freeski</t>
        </is>
      </c>
      <c r="CU1129" s="13" t="n"/>
      <c r="CV1129" s="13" t="n"/>
      <c r="CW1129" s="13" t="n"/>
      <c r="CX1129">
        <f>INDEX('Data_Price '!AG$2:AG$1266,MATCH(Data!$DN1129,'Data_Price '!$AT$2:$AT$1266,0))</f>
        <v/>
      </c>
      <c r="CY1129">
        <f>INDEX('Data_Price '!AH$2:AH$1266,MATCH(Data!$DN1129,'Data_Price '!$AT$2:$AT$1266,0))</f>
        <v/>
      </c>
      <c r="CZ1129">
        <f>INDEX('Data_Price '!AI$2:AI$1266,MATCH(Data!$DN1129,'Data_Price '!$AT$2:$AT$1266,0))</f>
        <v/>
      </c>
      <c r="DA1129">
        <f>INDEX('Data_Price '!AJ$2:AJ$1266,MATCH(Data!$DN1129,'Data_Price '!$AT$2:$AT$1266,0))</f>
        <v/>
      </c>
      <c r="DB1129">
        <f>INDEX('Data_Price '!AK$2:AK$1266,MATCH(Data!$DN1129,'Data_Price '!$AT$2:$AT$1266,0))</f>
        <v/>
      </c>
      <c r="DC1129">
        <f>INDEX('Data_Price '!AL$2:AL$1266,MATCH(Data!$DN1129,'Data_Price '!$AT$2:$AT$1266,0))</f>
        <v/>
      </c>
      <c r="DD1129">
        <f>INDEX('Data_Price '!AM$2:AM$1266,MATCH(Data!$DN1129,'Data_Price '!$AT$2:$AT$1266,0))</f>
        <v/>
      </c>
      <c r="DE1129">
        <f>INDEX('Data_Price '!AN$2:AN$1266,MATCH(Data!$DN1129,'Data_Price '!$AT$2:$AT$1266,0))</f>
        <v/>
      </c>
      <c r="DF1129">
        <f>INDEX('Data_Price '!AO$2:AO$1266,MATCH(Data!$DN1129,'Data_Price '!$AT$2:$AT$1266,0))</f>
        <v/>
      </c>
      <c r="DG1129">
        <f>INDEX('Data_Price '!AP$2:AP$1266,MATCH(Data!$DN1129,'Data_Price '!$AT$2:$AT$1266,0))</f>
        <v/>
      </c>
      <c r="DH1129">
        <f>INDEX('Data_Price '!AQ$2:AQ$1266,MATCH(Data!$DN1129,'Data_Price '!$AT$2:$AT$1266,0))</f>
        <v/>
      </c>
      <c r="DI1129">
        <f>INDEX('Data_Price '!AR$2:AR$1266,MATCH(Data!$DN1129,'Data_Price '!$AT$2:$AT$1266,0))</f>
        <v/>
      </c>
      <c r="DJ1129" s="138">
        <f>DA1129</f>
        <v/>
      </c>
      <c r="DK1129" s="138">
        <f>DE1129</f>
        <v/>
      </c>
      <c r="DL1129" s="138">
        <f>DI1129</f>
        <v/>
      </c>
      <c r="DM1129" s="303">
        <f>IF(LEFT(BT1129,1)=" ",RIGHT(BT1129,LEN(BT1129)-1),BT1129)</f>
        <v/>
      </c>
      <c r="DN1129" s="138">
        <f>_xlfn.CONCAT(BS1129,DM1129,BU1129,BV1129)</f>
        <v/>
      </c>
      <c r="DO1129" s="307" t="n"/>
    </row>
    <row r="1130" ht="15.6" customHeight="1" s="184">
      <c r="B1130" s="303">
        <f t="array" ref="B1130">IF(OR(ISERROR(K1130:P1130)),FALSE,TRUE)</f>
        <v/>
      </c>
      <c r="C1130" s="60">
        <f>OR(BR1130=Driver!$G$50,Data!BR516=Driver!$H$50)</f>
        <v/>
      </c>
      <c r="D1130" s="60">
        <f>OR(BV1130=Driver!$G$51,BV1130=Driver!$H$51)</f>
        <v/>
      </c>
      <c r="E1130" s="60">
        <f>AND(BX1130&gt;Driver!$F$54,BX1130&lt;Driver!$G$54)</f>
        <v/>
      </c>
      <c r="F1130" s="60">
        <f>CL1130&gt;Driver!$F$56</f>
        <v/>
      </c>
      <c r="G1130" s="60">
        <f>AND(CB1130&gt;Driver!$F$55,CB1130&lt;Driver!$G$55)</f>
        <v/>
      </c>
      <c r="H1130" s="60">
        <f>AND(B1130:G1130)</f>
        <v/>
      </c>
      <c r="I1130" s="60">
        <f>COUNTIFS($H$9:$H$1273,TRUE,$BT$9:$BT$1273,BT1130)</f>
        <v/>
      </c>
      <c r="J1130" s="60">
        <f t="array" ref="J1130">NOT(OR(($H$9:$H$1273=TRUE)*($I$9:$I$1273&gt;0)*($BT$9:$BT$1273=BT1130)*($K$9:$K$1273&gt;K1130)))</f>
        <v/>
      </c>
      <c r="K1130" s="108">
        <f>IFERROR(1-AVERAGE(X1130:Y1130),"")</f>
        <v/>
      </c>
      <c r="L1130" s="108">
        <f>1-X1130</f>
        <v/>
      </c>
      <c r="M1130" s="108">
        <f>1-Y1130</f>
        <v/>
      </c>
      <c r="N1130" s="108">
        <f>1-Z1130</f>
        <v/>
      </c>
      <c r="O1130" s="108">
        <f>1-AA1130</f>
        <v/>
      </c>
      <c r="P1130" s="108">
        <f>1-AB1130</f>
        <v/>
      </c>
      <c r="Q1130" s="108" t="n"/>
      <c r="R1130" s="108" t="n"/>
      <c r="S1130" s="108">
        <f>1-AE1130</f>
        <v/>
      </c>
      <c r="T1130" s="108">
        <f>1-AF1130</f>
        <v/>
      </c>
      <c r="U1130" s="108">
        <f>1-AG1130</f>
        <v/>
      </c>
      <c r="V1130" s="108">
        <f>1-AH1130</f>
        <v/>
      </c>
      <c r="W1130" s="108">
        <f>1-AI1130</f>
        <v/>
      </c>
      <c r="X1130" s="108">
        <f>ABS(AJ1130-AJ$1)</f>
        <v/>
      </c>
      <c r="Y1130" s="108">
        <f>AVERAGE(Z1130:AB1130)</f>
        <v/>
      </c>
      <c r="Z1130" s="108">
        <f>ABS(AL1130-AL$1)</f>
        <v/>
      </c>
      <c r="AA1130" s="108">
        <f>ABS(AM1130-AM$1)</f>
        <v/>
      </c>
      <c r="AB1130" s="108">
        <f>ABS(AN1130-AN$1)</f>
        <v/>
      </c>
      <c r="AC1130" s="108" t="n"/>
      <c r="AD1130" s="108" t="n"/>
      <c r="AE1130" s="108">
        <f>ABS(AQ$1-AQ1130)</f>
        <v/>
      </c>
      <c r="AF1130" s="108">
        <f>ABS(AR$1-AR1130)</f>
        <v/>
      </c>
      <c r="AG1130" s="108">
        <f>ABS(AS$1-AS1130)</f>
        <v/>
      </c>
      <c r="AH1130" s="108">
        <f>ABS(AT$1-AT1130)</f>
        <v/>
      </c>
      <c r="AI1130" s="108">
        <f>ABS(AU$1-AU1130)</f>
        <v/>
      </c>
      <c r="AJ1130" s="108">
        <f>(AV1130-Driver!$K$179)/(Driver!$L$179-Driver!$K$179)</f>
        <v/>
      </c>
      <c r="AK1130" s="108">
        <f>(AW1130-Driver!$K$180)/(Driver!$L$180-Driver!$K$180)</f>
        <v/>
      </c>
      <c r="AL1130" s="108">
        <f>(AX1130-Driver!$K$181)/(Driver!$L$181-Driver!$K$181)</f>
        <v/>
      </c>
      <c r="AM1130" s="108">
        <f>(AY1130-Driver!$K$182)/(Driver!$L$182-Driver!$K$182)</f>
        <v/>
      </c>
      <c r="AN1130" s="108">
        <f>(AZ1130-Driver!$K$183)/(Driver!$L$183-Driver!$K$183)</f>
        <v/>
      </c>
      <c r="AO1130" s="108" t="n"/>
      <c r="AP1130" s="108" t="n"/>
      <c r="AQ1130" s="108">
        <f>(BC1130-Driver!$K$188)/(Driver!$L$188-Driver!$K$188)</f>
        <v/>
      </c>
      <c r="AR1130" s="108">
        <f>MIN((BD1130-Driver!$K$189)/(Driver!$L$189-Driver!$K$189),100%)</f>
        <v/>
      </c>
      <c r="AS1130" s="108">
        <f>(BE1130-Driver!$K$190)/(Driver!$L$190-Driver!$K$190)</f>
        <v/>
      </c>
      <c r="AT1130" s="108">
        <f>(BF1130-Driver!$K$191)/(Driver!$L$191-Driver!$K$191)</f>
        <v/>
      </c>
      <c r="AU1130" s="108">
        <f>(BG1130-Driver!$K$192)/(Driver!$L$192-Driver!$K$192)</f>
        <v/>
      </c>
      <c r="AV1130" s="105">
        <f>IFERROR(BM1130*BJ1130^1/4,"")</f>
        <v/>
      </c>
      <c r="AW1130" s="105">
        <f>IFERROR(SUM(AX1130:AZ1130),"")</f>
        <v/>
      </c>
      <c r="AX1130" s="105">
        <f>IFERROR(BH1130,"")</f>
        <v/>
      </c>
      <c r="AY1130" s="105">
        <f>IFERROR(Driver!$K$19/Data!BH1130/Data!BI1130*Data!BK1130*Data!BL1130,"")</f>
        <v/>
      </c>
      <c r="AZ1130" s="105">
        <f>IFERROR(BI1130*BN1130,"")</f>
        <v/>
      </c>
      <c r="BA1130" s="105" t="n"/>
      <c r="BB1130" s="105" t="n"/>
      <c r="BC1130" s="105">
        <f>IFERROR(BI1130*BN1130*BK1130/BJ1130^(1/2),"")</f>
        <v/>
      </c>
      <c r="BD1130" s="105">
        <f>IFERROR(BH1130*BM1130*BL1130/BJ1130/BK1130,"")</f>
        <v/>
      </c>
      <c r="BE1130" s="105">
        <f>IFERROR(MIN(BI1130/BQ1130/BP1130/BO1130/BH1130,$BE$1),"")</f>
        <v/>
      </c>
      <c r="BF1130" s="105">
        <f>IFERROR(BJ1130*BO1130*BP1130/BK1130,"")</f>
        <v/>
      </c>
      <c r="BG1130" s="105">
        <f>IFERROR(1/BM1130/BH1130*BQ1130,"")</f>
        <v/>
      </c>
      <c r="BH1130" s="102">
        <f>MAX((CE1130-Driver!$F$200)/(Driver!$G$200-Driver!$F$200)*$BI$1,1)</f>
        <v/>
      </c>
      <c r="BI1130" s="102">
        <f>MAX($BI$1*(BY1130-Driver!$F$201)/(Driver!$G$201-Driver!$F$201),1)</f>
        <v/>
      </c>
      <c r="BJ1130" s="102">
        <f>(CB1130-Driver!$F$206)/(Driver!$G$206-Driver!$F$206)*$BI$1</f>
        <v/>
      </c>
      <c r="BK1130" s="102">
        <f>(CD1130-Driver!$F$203)/(Driver!$G$203-Driver!$F$203)*$BI$1</f>
        <v/>
      </c>
      <c r="BL1130" s="102">
        <f>MAX((CR1130-Driver!$F$202)/(Driver!$G$202-Driver!$F$202)*$BI$1,1)</f>
        <v/>
      </c>
      <c r="BM1130" s="102">
        <f>MAX((CH1130-Driver!$F$204)/(Driver!$G$204-Driver!$F$204)*$BI$1,1)</f>
        <v/>
      </c>
      <c r="BN1130" s="102">
        <f>(CI1130-Driver!$F$205)/(Driver!$G$205-Driver!$F$205)*$BI$1</f>
        <v/>
      </c>
      <c r="BO1130" s="102">
        <f>(CK1130-Driver!$F$207)/(Driver!$G$207-Driver!$F$207)*$BI$1</f>
        <v/>
      </c>
      <c r="BP1130" s="102">
        <f>(CM1130-Driver!$F$208)/(Driver!$G$208-Driver!$F$208)*$BI$1</f>
        <v/>
      </c>
      <c r="BQ1130" s="102">
        <f>(CL1130-Driver!$F$209)/(Driver!$G$209-Driver!$F$209)*$BI$1</f>
        <v/>
      </c>
      <c r="BR1130" s="40" t="inlineStr">
        <is>
          <t>21/22</t>
        </is>
      </c>
      <c r="BS1130" s="10" t="inlineStr">
        <is>
          <t xml:space="preserve"> Faction</t>
        </is>
      </c>
      <c r="BT1130" s="11" t="inlineStr">
        <is>
          <t>Dictator 3.0</t>
        </is>
      </c>
      <c r="BU1130" s="13" t="n">
        <v>180</v>
      </c>
      <c r="BV1130" s="11" t="inlineStr">
        <is>
          <t xml:space="preserve"> Unisex</t>
        </is>
      </c>
      <c r="BW1130" s="13" t="n">
        <v>180</v>
      </c>
      <c r="BX1130" s="13" t="n">
        <v>178.8</v>
      </c>
      <c r="BY1130" s="13" t="n">
        <v>130</v>
      </c>
      <c r="BZ1130" s="13" t="n">
        <v>150</v>
      </c>
      <c r="CA1130" s="13" t="n">
        <v>134</v>
      </c>
      <c r="CB1130" s="13" t="n">
        <v>106</v>
      </c>
      <c r="CC1130" s="13" t="n">
        <v>123</v>
      </c>
      <c r="CD1130" s="13" t="n">
        <v>21.1</v>
      </c>
      <c r="CE1130" s="13" t="n">
        <v>2041</v>
      </c>
      <c r="CF1130" s="13" t="n">
        <v>1.01</v>
      </c>
      <c r="CG1130" s="13" t="n">
        <v>2057</v>
      </c>
      <c r="CH1130" s="13" t="n">
        <v>234</v>
      </c>
      <c r="CI1130" s="13" t="n">
        <v>148</v>
      </c>
      <c r="CJ1130" s="13" t="n">
        <v>56</v>
      </c>
      <c r="CK1130" s="13" t="n">
        <v>290</v>
      </c>
      <c r="CL1130" s="13" t="n">
        <v>20</v>
      </c>
      <c r="CM1130" s="13" t="n">
        <v>198</v>
      </c>
      <c r="CN1130" s="13" t="n">
        <v>0.352</v>
      </c>
      <c r="CO1130" s="13" t="n">
        <v>182</v>
      </c>
      <c r="CP1130" s="13" t="n">
        <v>110</v>
      </c>
      <c r="CQ1130" s="13" t="n">
        <v>108</v>
      </c>
      <c r="CR1130" s="13" t="n">
        <v>7</v>
      </c>
      <c r="CS1130" s="13" t="n">
        <v>11.1</v>
      </c>
      <c r="CT1130" s="11" t="inlineStr">
        <is>
          <t xml:space="preserve"> Powder</t>
        </is>
      </c>
      <c r="CU1130" s="11" t="inlineStr">
        <is>
          <t xml:space="preserve"> Big Mountain</t>
        </is>
      </c>
      <c r="CV1130" s="13" t="n"/>
      <c r="CW1130" s="13" t="n"/>
      <c r="CX1130">
        <f>INDEX('Data_Price '!AG$2:AG$1266,MATCH(Data!$DN1130,'Data_Price '!$AT$2:$AT$1266,0))</f>
        <v/>
      </c>
      <c r="CY1130">
        <f>INDEX('Data_Price '!AH$2:AH$1266,MATCH(Data!$DN1130,'Data_Price '!$AT$2:$AT$1266,0))</f>
        <v/>
      </c>
      <c r="CZ1130">
        <f>INDEX('Data_Price '!AI$2:AI$1266,MATCH(Data!$DN1130,'Data_Price '!$AT$2:$AT$1266,0))</f>
        <v/>
      </c>
      <c r="DA1130">
        <f>INDEX('Data_Price '!AJ$2:AJ$1266,MATCH(Data!$DN1130,'Data_Price '!$AT$2:$AT$1266,0))</f>
        <v/>
      </c>
      <c r="DB1130">
        <f>INDEX('Data_Price '!AK$2:AK$1266,MATCH(Data!$DN1130,'Data_Price '!$AT$2:$AT$1266,0))</f>
        <v/>
      </c>
      <c r="DC1130">
        <f>INDEX('Data_Price '!AL$2:AL$1266,MATCH(Data!$DN1130,'Data_Price '!$AT$2:$AT$1266,0))</f>
        <v/>
      </c>
      <c r="DD1130">
        <f>INDEX('Data_Price '!AM$2:AM$1266,MATCH(Data!$DN1130,'Data_Price '!$AT$2:$AT$1266,0))</f>
        <v/>
      </c>
      <c r="DE1130">
        <f>INDEX('Data_Price '!AN$2:AN$1266,MATCH(Data!$DN1130,'Data_Price '!$AT$2:$AT$1266,0))</f>
        <v/>
      </c>
      <c r="DF1130">
        <f>INDEX('Data_Price '!AO$2:AO$1266,MATCH(Data!$DN1130,'Data_Price '!$AT$2:$AT$1266,0))</f>
        <v/>
      </c>
      <c r="DG1130">
        <f>INDEX('Data_Price '!AP$2:AP$1266,MATCH(Data!$DN1130,'Data_Price '!$AT$2:$AT$1266,0))</f>
        <v/>
      </c>
      <c r="DH1130">
        <f>INDEX('Data_Price '!AQ$2:AQ$1266,MATCH(Data!$DN1130,'Data_Price '!$AT$2:$AT$1266,0))</f>
        <v/>
      </c>
      <c r="DI1130">
        <f>INDEX('Data_Price '!AR$2:AR$1266,MATCH(Data!$DN1130,'Data_Price '!$AT$2:$AT$1266,0))</f>
        <v/>
      </c>
      <c r="DJ1130" s="138">
        <f>DA1130</f>
        <v/>
      </c>
      <c r="DK1130" s="138">
        <f>DE1130</f>
        <v/>
      </c>
      <c r="DL1130" s="138">
        <f>DI1130</f>
        <v/>
      </c>
      <c r="DM1130" s="303">
        <f>IF(LEFT(BT1130,1)=" ",RIGHT(BT1130,LEN(BT1130)-1),BT1130)</f>
        <v/>
      </c>
      <c r="DN1130" s="138">
        <f>_xlfn.CONCAT(BS1130,DM1130,BU1130,BV1130)</f>
        <v/>
      </c>
      <c r="DO1130" s="307" t="inlineStr">
        <is>
          <t>https://images.evo.com/imgp/250/181933/733510/faction-dictator-3-0-skis-2022-.jpg</t>
        </is>
      </c>
    </row>
    <row r="1131" ht="15.6" customHeight="1" s="184">
      <c r="B1131" s="303">
        <f t="array" ref="B1131">IF(OR(ISERROR(K1131:P1131)),FALSE,TRUE)</f>
        <v/>
      </c>
      <c r="C1131" s="60">
        <f>OR(BR1131=Driver!$G$50,Data!BR456=Driver!$H$50)</f>
        <v/>
      </c>
      <c r="D1131" s="60">
        <f>OR(BV1131=Driver!$G$51,BV1131=Driver!$H$51)</f>
        <v/>
      </c>
      <c r="E1131" s="60">
        <f>AND(BX1131&gt;Driver!$F$54,BX1131&lt;Driver!$G$54)</f>
        <v/>
      </c>
      <c r="F1131" s="60">
        <f>CL1131&gt;Driver!$F$56</f>
        <v/>
      </c>
      <c r="G1131" s="60">
        <f>AND(CB1131&gt;Driver!$F$55,CB1131&lt;Driver!$G$55)</f>
        <v/>
      </c>
      <c r="H1131" s="60">
        <f>AND(B1131:G1131)</f>
        <v/>
      </c>
      <c r="I1131" s="60">
        <f>COUNTIFS($H$9:$H$1273,TRUE,$BT$9:$BT$1273,BT1131)</f>
        <v/>
      </c>
      <c r="J1131" s="60">
        <f t="array" ref="J1131">NOT(OR(($H$9:$H$1273=TRUE)*($I$9:$I$1273&gt;0)*($BT$9:$BT$1273=BT1131)*($K$9:$K$1273&gt;K1131)))</f>
        <v/>
      </c>
      <c r="K1131" s="108">
        <f>IFERROR(1-AVERAGE(X1131:Y1131),"")</f>
        <v/>
      </c>
      <c r="L1131" s="108">
        <f>1-X1131</f>
        <v/>
      </c>
      <c r="M1131" s="108">
        <f>1-Y1131</f>
        <v/>
      </c>
      <c r="N1131" s="108">
        <f>1-Z1131</f>
        <v/>
      </c>
      <c r="O1131" s="108">
        <f>1-AA1131</f>
        <v/>
      </c>
      <c r="P1131" s="108">
        <f>1-AB1131</f>
        <v/>
      </c>
      <c r="Q1131" s="108" t="n"/>
      <c r="R1131" s="108" t="n"/>
      <c r="S1131" s="108">
        <f>1-AE1131</f>
        <v/>
      </c>
      <c r="T1131" s="108">
        <f>1-AF1131</f>
        <v/>
      </c>
      <c r="U1131" s="108">
        <f>1-AG1131</f>
        <v/>
      </c>
      <c r="V1131" s="108">
        <f>1-AH1131</f>
        <v/>
      </c>
      <c r="W1131" s="108">
        <f>1-AI1131</f>
        <v/>
      </c>
      <c r="X1131" s="108">
        <f>ABS(AJ1131-AJ$1)</f>
        <v/>
      </c>
      <c r="Y1131" s="108">
        <f>AVERAGE(Z1131:AB1131)</f>
        <v/>
      </c>
      <c r="Z1131" s="108">
        <f>ABS(AL1131-AL$1)</f>
        <v/>
      </c>
      <c r="AA1131" s="108">
        <f>ABS(AM1131-AM$1)</f>
        <v/>
      </c>
      <c r="AB1131" s="108">
        <f>ABS(AN1131-AN$1)</f>
        <v/>
      </c>
      <c r="AC1131" s="108" t="n"/>
      <c r="AD1131" s="108" t="n"/>
      <c r="AE1131" s="108">
        <f>ABS(AQ$1-AQ1131)</f>
        <v/>
      </c>
      <c r="AF1131" s="108">
        <f>ABS(AR$1-AR1131)</f>
        <v/>
      </c>
      <c r="AG1131" s="108">
        <f>ABS(AS$1-AS1131)</f>
        <v/>
      </c>
      <c r="AH1131" s="108">
        <f>ABS(AT$1-AT1131)</f>
        <v/>
      </c>
      <c r="AI1131" s="108">
        <f>ABS(AU$1-AU1131)</f>
        <v/>
      </c>
      <c r="AJ1131" s="108">
        <f>(AV1131-Driver!$K$179)/(Driver!$L$179-Driver!$K$179)</f>
        <v/>
      </c>
      <c r="AK1131" s="108">
        <f>(AW1131-Driver!$K$180)/(Driver!$L$180-Driver!$K$180)</f>
        <v/>
      </c>
      <c r="AL1131" s="108">
        <f>(AX1131-Driver!$K$181)/(Driver!$L$181-Driver!$K$181)</f>
        <v/>
      </c>
      <c r="AM1131" s="108">
        <f>(AY1131-Driver!$K$182)/(Driver!$L$182-Driver!$K$182)</f>
        <v/>
      </c>
      <c r="AN1131" s="108">
        <f>(AZ1131-Driver!$K$183)/(Driver!$L$183-Driver!$K$183)</f>
        <v/>
      </c>
      <c r="AO1131" s="108" t="n"/>
      <c r="AP1131" s="108" t="n"/>
      <c r="AQ1131" s="108">
        <f>(BC1131-Driver!$K$188)/(Driver!$L$188-Driver!$K$188)</f>
        <v/>
      </c>
      <c r="AR1131" s="108">
        <f>MIN((BD1131-Driver!$K$189)/(Driver!$L$189-Driver!$K$189),100%)</f>
        <v/>
      </c>
      <c r="AS1131" s="108">
        <f>(BE1131-Driver!$K$190)/(Driver!$L$190-Driver!$K$190)</f>
        <v/>
      </c>
      <c r="AT1131" s="108">
        <f>(BF1131-Driver!$K$191)/(Driver!$L$191-Driver!$K$191)</f>
        <v/>
      </c>
      <c r="AU1131" s="108">
        <f>(BG1131-Driver!$K$192)/(Driver!$L$192-Driver!$K$192)</f>
        <v/>
      </c>
      <c r="AV1131" s="105">
        <f>IFERROR(BM1131*BJ1131^1/4,"")</f>
        <v/>
      </c>
      <c r="AW1131" s="105">
        <f>IFERROR(SUM(AX1131:AZ1131),"")</f>
        <v/>
      </c>
      <c r="AX1131" s="105">
        <f>IFERROR(BH1131,"")</f>
        <v/>
      </c>
      <c r="AY1131" s="105">
        <f>IFERROR(Driver!$K$19/Data!BH1131/Data!BI1131*Data!BK1131*Data!BL1131,"")</f>
        <v/>
      </c>
      <c r="AZ1131" s="105">
        <f>IFERROR(BI1131*BN1131,"")</f>
        <v/>
      </c>
      <c r="BA1131" s="105" t="n"/>
      <c r="BB1131" s="105" t="n"/>
      <c r="BC1131" s="105">
        <f>IFERROR(BI1131*BN1131*BK1131/BJ1131^(1/2),"")</f>
        <v/>
      </c>
      <c r="BD1131" s="105">
        <f>IFERROR(BH1131*BM1131*BL1131/BJ1131/BK1131,"")</f>
        <v/>
      </c>
      <c r="BE1131" s="105">
        <f>IFERROR(MIN(BI1131/BQ1131/BP1131/BO1131/BH1131,$BE$1),"")</f>
        <v/>
      </c>
      <c r="BF1131" s="105">
        <f>IFERROR(BJ1131*BO1131*BP1131/BK1131,"")</f>
        <v/>
      </c>
      <c r="BG1131" s="105">
        <f>IFERROR(1/BM1131/BH1131*BQ1131,"")</f>
        <v/>
      </c>
      <c r="BH1131" s="102">
        <f>MAX((CE1131-Driver!$F$200)/(Driver!$G$200-Driver!$F$200)*$BI$1,1)</f>
        <v/>
      </c>
      <c r="BI1131" s="102">
        <f>MAX($BI$1*(BY1131-Driver!$F$201)/(Driver!$G$201-Driver!$F$201),1)</f>
        <v/>
      </c>
      <c r="BJ1131" s="102">
        <f>(CB1131-Driver!$F$206)/(Driver!$G$206-Driver!$F$206)*$BI$1</f>
        <v/>
      </c>
      <c r="BK1131" s="102">
        <f>(CD1131-Driver!$F$203)/(Driver!$G$203-Driver!$F$203)*$BI$1</f>
        <v/>
      </c>
      <c r="BL1131" s="102">
        <f>MAX((CR1131-Driver!$F$202)/(Driver!$G$202-Driver!$F$202)*$BI$1,1)</f>
        <v/>
      </c>
      <c r="BM1131" s="102">
        <f>MAX((CH1131-Driver!$F$204)/(Driver!$G$204-Driver!$F$204)*$BI$1,1)</f>
        <v/>
      </c>
      <c r="BN1131" s="102">
        <f>(CI1131-Driver!$F$205)/(Driver!$G$205-Driver!$F$205)*$BI$1</f>
        <v/>
      </c>
      <c r="BO1131" s="102">
        <f>(CK1131-Driver!$F$207)/(Driver!$G$207-Driver!$F$207)*$BI$1</f>
        <v/>
      </c>
      <c r="BP1131" s="102">
        <f>(CM1131-Driver!$F$208)/(Driver!$G$208-Driver!$F$208)*$BI$1</f>
        <v/>
      </c>
      <c r="BQ1131" s="102">
        <f>(CL1131-Driver!$F$209)/(Driver!$G$209-Driver!$F$209)*$BI$1</f>
        <v/>
      </c>
      <c r="BR1131" s="40" t="inlineStr">
        <is>
          <t>21/22</t>
        </is>
      </c>
      <c r="BS1131" s="10" t="inlineStr">
        <is>
          <t xml:space="preserve"> Elan</t>
        </is>
      </c>
      <c r="BT1131" s="11" t="inlineStr">
        <is>
          <t>Ripstick 88 W</t>
        </is>
      </c>
      <c r="BU1131" s="13" t="n">
        <v>154</v>
      </c>
      <c r="BV1131" s="11" t="inlineStr">
        <is>
          <t xml:space="preserve"> Women's</t>
        </is>
      </c>
      <c r="BW1131" s="13" t="n">
        <v>154</v>
      </c>
      <c r="BX1131" s="13" t="n">
        <v>156.4</v>
      </c>
      <c r="BY1131" s="13" t="n">
        <v>121</v>
      </c>
      <c r="BZ1131" s="13" t="n">
        <v>132</v>
      </c>
      <c r="CA1131" s="13" t="n">
        <v>129</v>
      </c>
      <c r="CB1131" s="13" t="n">
        <v>87</v>
      </c>
      <c r="CC1131" s="13" t="n">
        <v>105</v>
      </c>
      <c r="CD1131" s="13" t="n">
        <v>13.6</v>
      </c>
      <c r="CE1131" s="13" t="n">
        <v>1327</v>
      </c>
      <c r="CF1131" s="13" t="n">
        <v>1.18</v>
      </c>
      <c r="CG1131" s="13" t="n">
        <v>1572</v>
      </c>
      <c r="CH1131" s="13" t="n">
        <v>121</v>
      </c>
      <c r="CI1131" s="13" t="n">
        <v>56</v>
      </c>
      <c r="CJ1131" s="13" t="n">
        <v>46</v>
      </c>
      <c r="CK1131" s="13" t="n">
        <v>221</v>
      </c>
      <c r="CL1131" s="13" t="n">
        <v>11</v>
      </c>
      <c r="CM1131" s="13" t="n">
        <v>133</v>
      </c>
      <c r="CN1131" s="13" t="n">
        <v>0.243</v>
      </c>
      <c r="CO1131" s="13" t="n">
        <v>136</v>
      </c>
      <c r="CP1131" s="13" t="n">
        <v>104</v>
      </c>
      <c r="CQ1131" s="13" t="n">
        <v>84</v>
      </c>
      <c r="CR1131" s="13" t="n">
        <v>4</v>
      </c>
      <c r="CS1131" s="13" t="n">
        <v>8.5</v>
      </c>
      <c r="CT1131" s="11" t="inlineStr">
        <is>
          <t xml:space="preserve"> Resort Freeride</t>
        </is>
      </c>
      <c r="CU1131" s="11" t="inlineStr">
        <is>
          <t xml:space="preserve"> Touring</t>
        </is>
      </c>
      <c r="CV1131" s="13" t="n"/>
      <c r="CW1131" s="13" t="n"/>
      <c r="CX1131">
        <f>INDEX('Data_Price '!AG$2:AG$1266,MATCH(Data!$DN1131,'Data_Price '!$AT$2:$AT$1266,0))</f>
        <v/>
      </c>
      <c r="CY1131">
        <f>INDEX('Data_Price '!AH$2:AH$1266,MATCH(Data!$DN1131,'Data_Price '!$AT$2:$AT$1266,0))</f>
        <v/>
      </c>
      <c r="CZ1131">
        <f>INDEX('Data_Price '!AI$2:AI$1266,MATCH(Data!$DN1131,'Data_Price '!$AT$2:$AT$1266,0))</f>
        <v/>
      </c>
      <c r="DA1131">
        <f>INDEX('Data_Price '!AJ$2:AJ$1266,MATCH(Data!$DN1131,'Data_Price '!$AT$2:$AT$1266,0))</f>
        <v/>
      </c>
      <c r="DB1131">
        <f>INDEX('Data_Price '!AK$2:AK$1266,MATCH(Data!$DN1131,'Data_Price '!$AT$2:$AT$1266,0))</f>
        <v/>
      </c>
      <c r="DC1131">
        <f>INDEX('Data_Price '!AL$2:AL$1266,MATCH(Data!$DN1131,'Data_Price '!$AT$2:$AT$1266,0))</f>
        <v/>
      </c>
      <c r="DD1131">
        <f>INDEX('Data_Price '!AM$2:AM$1266,MATCH(Data!$DN1131,'Data_Price '!$AT$2:$AT$1266,0))</f>
        <v/>
      </c>
      <c r="DE1131">
        <f>INDEX('Data_Price '!AN$2:AN$1266,MATCH(Data!$DN1131,'Data_Price '!$AT$2:$AT$1266,0))</f>
        <v/>
      </c>
      <c r="DF1131">
        <f>INDEX('Data_Price '!AO$2:AO$1266,MATCH(Data!$DN1131,'Data_Price '!$AT$2:$AT$1266,0))</f>
        <v/>
      </c>
      <c r="DG1131">
        <f>INDEX('Data_Price '!AP$2:AP$1266,MATCH(Data!$DN1131,'Data_Price '!$AT$2:$AT$1266,0))</f>
        <v/>
      </c>
      <c r="DH1131">
        <f>INDEX('Data_Price '!AQ$2:AQ$1266,MATCH(Data!$DN1131,'Data_Price '!$AT$2:$AT$1266,0))</f>
        <v/>
      </c>
      <c r="DI1131">
        <f>INDEX('Data_Price '!AR$2:AR$1266,MATCH(Data!$DN1131,'Data_Price '!$AT$2:$AT$1266,0))</f>
        <v/>
      </c>
      <c r="DJ1131" s="138">
        <f>DA1131</f>
        <v/>
      </c>
      <c r="DK1131" s="138">
        <f>DE1131</f>
        <v/>
      </c>
      <c r="DL1131" s="138">
        <f>DI1131</f>
        <v/>
      </c>
      <c r="DM1131" s="303">
        <f>IF(LEFT(BT1131,1)=" ",RIGHT(BT1131,LEN(BT1131)-1),BT1131)</f>
        <v/>
      </c>
      <c r="DN1131" s="138">
        <f>_xlfn.CONCAT(BS1131,DM1131,BU1131,BV1131)</f>
        <v/>
      </c>
      <c r="DO1131" s="307" t="inlineStr">
        <is>
          <t>https://images.evo.com/imgp/250/185141/744749/elan-ripstick-88-w-skis-women-s-2022-.jpg</t>
        </is>
      </c>
    </row>
    <row r="1132" ht="15.6" customHeight="1" s="184">
      <c r="B1132" s="303">
        <f t="array" ref="B1132">IF(OR(ISERROR(K1132:P1132)),FALSE,TRUE)</f>
        <v/>
      </c>
      <c r="C1132" s="60">
        <f>OR(BR1132=Driver!$G$50,Data!BR650=Driver!$H$50)</f>
        <v/>
      </c>
      <c r="D1132" s="60">
        <f>OR(BV1132=Driver!$G$51,BV1132=Driver!$H$51)</f>
        <v/>
      </c>
      <c r="E1132" s="60">
        <f>AND(BX1132&gt;Driver!$F$54,BX1132&lt;Driver!$G$54)</f>
        <v/>
      </c>
      <c r="F1132" s="60">
        <f>CL1132&gt;Driver!$F$56</f>
        <v/>
      </c>
      <c r="G1132" s="60">
        <f>AND(CB1132&gt;Driver!$F$55,CB1132&lt;Driver!$G$55)</f>
        <v/>
      </c>
      <c r="H1132" s="60">
        <f>AND(B1132:G1132)</f>
        <v/>
      </c>
      <c r="I1132" s="60">
        <f>COUNTIFS($H$9:$H$1273,TRUE,$BT$9:$BT$1273,BT1132)</f>
        <v/>
      </c>
      <c r="J1132" s="60">
        <f t="array" ref="J1132">NOT(OR(($H$9:$H$1273=TRUE)*($I$9:$I$1273&gt;0)*($BT$9:$BT$1273=BT1132)*($K$9:$K$1273&gt;K1132)))</f>
        <v/>
      </c>
      <c r="K1132" s="108">
        <f>IFERROR(1-AVERAGE(X1132:Y1132),"")</f>
        <v/>
      </c>
      <c r="L1132" s="108">
        <f>1-X1132</f>
        <v/>
      </c>
      <c r="M1132" s="108">
        <f>1-Y1132</f>
        <v/>
      </c>
      <c r="N1132" s="108">
        <f>1-Z1132</f>
        <v/>
      </c>
      <c r="O1132" s="108">
        <f>1-AA1132</f>
        <v/>
      </c>
      <c r="P1132" s="108">
        <f>1-AB1132</f>
        <v/>
      </c>
      <c r="Q1132" s="108" t="n"/>
      <c r="R1132" s="108" t="n"/>
      <c r="S1132" s="108">
        <f>1-AE1132</f>
        <v/>
      </c>
      <c r="T1132" s="108">
        <f>1-AF1132</f>
        <v/>
      </c>
      <c r="U1132" s="108">
        <f>1-AG1132</f>
        <v/>
      </c>
      <c r="V1132" s="108">
        <f>1-AH1132</f>
        <v/>
      </c>
      <c r="W1132" s="108">
        <f>1-AI1132</f>
        <v/>
      </c>
      <c r="X1132" s="108">
        <f>ABS(AJ1132-AJ$1)</f>
        <v/>
      </c>
      <c r="Y1132" s="108">
        <f>AVERAGE(Z1132:AB1132)</f>
        <v/>
      </c>
      <c r="Z1132" s="108">
        <f>ABS(AL1132-AL$1)</f>
        <v/>
      </c>
      <c r="AA1132" s="108">
        <f>ABS(AM1132-AM$1)</f>
        <v/>
      </c>
      <c r="AB1132" s="108">
        <f>ABS(AN1132-AN$1)</f>
        <v/>
      </c>
      <c r="AC1132" s="108" t="n"/>
      <c r="AD1132" s="108" t="n"/>
      <c r="AE1132" s="108">
        <f>ABS(AQ$1-AQ1132)</f>
        <v/>
      </c>
      <c r="AF1132" s="108">
        <f>ABS(AR$1-AR1132)</f>
        <v/>
      </c>
      <c r="AG1132" s="108">
        <f>ABS(AS$1-AS1132)</f>
        <v/>
      </c>
      <c r="AH1132" s="108">
        <f>ABS(AT$1-AT1132)</f>
        <v/>
      </c>
      <c r="AI1132" s="108">
        <f>ABS(AU$1-AU1132)</f>
        <v/>
      </c>
      <c r="AJ1132" s="108">
        <f>(AV1132-Driver!$K$179)/(Driver!$L$179-Driver!$K$179)</f>
        <v/>
      </c>
      <c r="AK1132" s="108">
        <f>(AW1132-Driver!$K$180)/(Driver!$L$180-Driver!$K$180)</f>
        <v/>
      </c>
      <c r="AL1132" s="108">
        <f>(AX1132-Driver!$K$181)/(Driver!$L$181-Driver!$K$181)</f>
        <v/>
      </c>
      <c r="AM1132" s="108">
        <f>(AY1132-Driver!$K$182)/(Driver!$L$182-Driver!$K$182)</f>
        <v/>
      </c>
      <c r="AN1132" s="108">
        <f>(AZ1132-Driver!$K$183)/(Driver!$L$183-Driver!$K$183)</f>
        <v/>
      </c>
      <c r="AO1132" s="108" t="n"/>
      <c r="AP1132" s="108" t="n"/>
      <c r="AQ1132" s="108">
        <f>(BC1132-Driver!$K$188)/(Driver!$L$188-Driver!$K$188)</f>
        <v/>
      </c>
      <c r="AR1132" s="108">
        <f>MIN((BD1132-Driver!$K$189)/(Driver!$L$189-Driver!$K$189),100%)</f>
        <v/>
      </c>
      <c r="AS1132" s="108">
        <f>(BE1132-Driver!$K$190)/(Driver!$L$190-Driver!$K$190)</f>
        <v/>
      </c>
      <c r="AT1132" s="108">
        <f>(BF1132-Driver!$K$191)/(Driver!$L$191-Driver!$K$191)</f>
        <v/>
      </c>
      <c r="AU1132" s="108">
        <f>(BG1132-Driver!$K$192)/(Driver!$L$192-Driver!$K$192)</f>
        <v/>
      </c>
      <c r="AV1132" s="105">
        <f>IFERROR(BM1132*BJ1132^1/4,"")</f>
        <v/>
      </c>
      <c r="AW1132" s="105">
        <f>IFERROR(SUM(AX1132:AZ1132),"")</f>
        <v/>
      </c>
      <c r="AX1132" s="105">
        <f>IFERROR(BH1132,"")</f>
        <v/>
      </c>
      <c r="AY1132" s="105">
        <f>IFERROR(Driver!$K$19/Data!BH1132/Data!BI1132*Data!BK1132*Data!BL1132,"")</f>
        <v/>
      </c>
      <c r="AZ1132" s="105">
        <f>IFERROR(BI1132*BN1132,"")</f>
        <v/>
      </c>
      <c r="BA1132" s="105" t="n"/>
      <c r="BB1132" s="105" t="n"/>
      <c r="BC1132" s="105">
        <f>IFERROR(BI1132*BN1132*BK1132/BJ1132^(1/2),"")</f>
        <v/>
      </c>
      <c r="BD1132" s="105">
        <f>IFERROR(BH1132*BM1132*BL1132/BJ1132/BK1132,"")</f>
        <v/>
      </c>
      <c r="BE1132" s="105">
        <f>IFERROR(MIN(BI1132/BQ1132/BP1132/BO1132/BH1132,$BE$1),"")</f>
        <v/>
      </c>
      <c r="BF1132" s="105">
        <f>IFERROR(BJ1132*BO1132*BP1132/BK1132,"")</f>
        <v/>
      </c>
      <c r="BG1132" s="105">
        <f>IFERROR(1/BM1132/BH1132*BQ1132,"")</f>
        <v/>
      </c>
      <c r="BH1132" s="102">
        <f>MAX((CE1132-Driver!$F$200)/(Driver!$G$200-Driver!$F$200)*$BI$1,1)</f>
        <v/>
      </c>
      <c r="BI1132" s="102">
        <f>MAX($BI$1*(BY1132-Driver!$F$201)/(Driver!$G$201-Driver!$F$201),1)</f>
        <v/>
      </c>
      <c r="BJ1132" s="102">
        <f>(CB1132-Driver!$F$206)/(Driver!$G$206-Driver!$F$206)*$BI$1</f>
        <v/>
      </c>
      <c r="BK1132" s="102">
        <f>(CD1132-Driver!$F$203)/(Driver!$G$203-Driver!$F$203)*$BI$1</f>
        <v/>
      </c>
      <c r="BL1132" s="102">
        <f>MAX((CR1132-Driver!$F$202)/(Driver!$G$202-Driver!$F$202)*$BI$1,1)</f>
        <v/>
      </c>
      <c r="BM1132" s="102">
        <f>MAX((CH1132-Driver!$F$204)/(Driver!$G$204-Driver!$F$204)*$BI$1,1)</f>
        <v/>
      </c>
      <c r="BN1132" s="102">
        <f>(CI1132-Driver!$F$205)/(Driver!$G$205-Driver!$F$205)*$BI$1</f>
        <v/>
      </c>
      <c r="BO1132" s="102">
        <f>(CK1132-Driver!$F$207)/(Driver!$G$207-Driver!$F$207)*$BI$1</f>
        <v/>
      </c>
      <c r="BP1132" s="102">
        <f>(CM1132-Driver!$F$208)/(Driver!$G$208-Driver!$F$208)*$BI$1</f>
        <v/>
      </c>
      <c r="BQ1132" s="102">
        <f>(CL1132-Driver!$F$209)/(Driver!$G$209-Driver!$F$209)*$BI$1</f>
        <v/>
      </c>
      <c r="BR1132" s="40" t="inlineStr">
        <is>
          <t>21/22</t>
        </is>
      </c>
      <c r="BS1132" s="10" t="inlineStr">
        <is>
          <t xml:space="preserve"> Head</t>
        </is>
      </c>
      <c r="BT1132" s="11" t="inlineStr">
        <is>
          <t xml:space="preserve"> Total Joy</t>
        </is>
      </c>
      <c r="BU1132" s="13" t="n">
        <v>153</v>
      </c>
      <c r="BV1132" s="11" t="inlineStr">
        <is>
          <t xml:space="preserve"> Women's</t>
        </is>
      </c>
      <c r="BW1132" s="13" t="n">
        <v>153</v>
      </c>
      <c r="BX1132" s="13" t="n">
        <v>153.1</v>
      </c>
      <c r="BY1132" s="13" t="n">
        <v>129</v>
      </c>
      <c r="BZ1132" s="13" t="n">
        <v>135</v>
      </c>
      <c r="CA1132" s="13" t="n">
        <v>132</v>
      </c>
      <c r="CB1132" s="13" t="n">
        <v>84</v>
      </c>
      <c r="CC1132" s="13" t="n">
        <v>111</v>
      </c>
      <c r="CD1132" s="13" t="n">
        <v>12.1</v>
      </c>
      <c r="CE1132" s="13" t="n">
        <v>1377</v>
      </c>
      <c r="CF1132" s="13" t="n">
        <v>1.09</v>
      </c>
      <c r="CG1132" s="13" t="n">
        <v>1506</v>
      </c>
      <c r="CH1132" s="13" t="n">
        <v>137</v>
      </c>
      <c r="CI1132" s="13" t="n">
        <v>47</v>
      </c>
      <c r="CJ1132" s="13" t="n">
        <v>44</v>
      </c>
      <c r="CK1132" s="13" t="n">
        <v>161</v>
      </c>
      <c r="CL1132" s="13" t="n">
        <v>13</v>
      </c>
      <c r="CM1132" s="13" t="n">
        <v>77</v>
      </c>
      <c r="CN1132" s="13" t="n">
        <v>0.303</v>
      </c>
      <c r="CO1132" s="13" t="n">
        <v>109</v>
      </c>
      <c r="CP1132" s="13" t="n">
        <v>69</v>
      </c>
      <c r="CQ1132" s="13" t="n">
        <v>52</v>
      </c>
      <c r="CR1132" s="13" t="n">
        <v>14</v>
      </c>
      <c r="CS1132" s="13" t="n">
        <v>10.1</v>
      </c>
      <c r="CT1132" s="11" t="inlineStr">
        <is>
          <t xml:space="preserve"> On-Piste All-Mountain</t>
        </is>
      </c>
      <c r="CU1132" s="11" t="inlineStr">
        <is>
          <t xml:space="preserve"> Resort Freeride</t>
        </is>
      </c>
      <c r="CV1132" s="11" t="inlineStr">
        <is>
          <t xml:space="preserve"> Touring</t>
        </is>
      </c>
      <c r="CW1132" s="13" t="n"/>
      <c r="CX1132">
        <f>INDEX('Data_Price '!AG$2:AG$1266,MATCH(Data!$DN1132,'Data_Price '!$AT$2:$AT$1266,0))</f>
        <v/>
      </c>
      <c r="CY1132">
        <f>INDEX('Data_Price '!AH$2:AH$1266,MATCH(Data!$DN1132,'Data_Price '!$AT$2:$AT$1266,0))</f>
        <v/>
      </c>
      <c r="CZ1132">
        <f>INDEX('Data_Price '!AI$2:AI$1266,MATCH(Data!$DN1132,'Data_Price '!$AT$2:$AT$1266,0))</f>
        <v/>
      </c>
      <c r="DA1132">
        <f>INDEX('Data_Price '!AJ$2:AJ$1266,MATCH(Data!$DN1132,'Data_Price '!$AT$2:$AT$1266,0))</f>
        <v/>
      </c>
      <c r="DB1132">
        <f>INDEX('Data_Price '!AK$2:AK$1266,MATCH(Data!$DN1132,'Data_Price '!$AT$2:$AT$1266,0))</f>
        <v/>
      </c>
      <c r="DC1132">
        <f>INDEX('Data_Price '!AL$2:AL$1266,MATCH(Data!$DN1132,'Data_Price '!$AT$2:$AT$1266,0))</f>
        <v/>
      </c>
      <c r="DD1132">
        <f>INDEX('Data_Price '!AM$2:AM$1266,MATCH(Data!$DN1132,'Data_Price '!$AT$2:$AT$1266,0))</f>
        <v/>
      </c>
      <c r="DE1132">
        <f>INDEX('Data_Price '!AN$2:AN$1266,MATCH(Data!$DN1132,'Data_Price '!$AT$2:$AT$1266,0))</f>
        <v/>
      </c>
      <c r="DF1132">
        <f>INDEX('Data_Price '!AO$2:AO$1266,MATCH(Data!$DN1132,'Data_Price '!$AT$2:$AT$1266,0))</f>
        <v/>
      </c>
      <c r="DG1132">
        <f>INDEX('Data_Price '!AP$2:AP$1266,MATCH(Data!$DN1132,'Data_Price '!$AT$2:$AT$1266,0))</f>
        <v/>
      </c>
      <c r="DH1132">
        <f>INDEX('Data_Price '!AQ$2:AQ$1266,MATCH(Data!$DN1132,'Data_Price '!$AT$2:$AT$1266,0))</f>
        <v/>
      </c>
      <c r="DI1132">
        <f>INDEX('Data_Price '!AR$2:AR$1266,MATCH(Data!$DN1132,'Data_Price '!$AT$2:$AT$1266,0))</f>
        <v/>
      </c>
      <c r="DJ1132" s="138">
        <f>DA1132</f>
        <v/>
      </c>
      <c r="DK1132" s="138">
        <f>DE1132</f>
        <v/>
      </c>
      <c r="DL1132" s="138">
        <f>DI1132</f>
        <v/>
      </c>
      <c r="DM1132" s="303">
        <f>IF(LEFT(BT1132,1)=" ",RIGHT(BT1132,LEN(BT1132)-1),BT1132)</f>
        <v/>
      </c>
      <c r="DN1132" s="138">
        <f>_xlfn.CONCAT(BS1132,DM1132,BU1132,BV1132)</f>
        <v/>
      </c>
      <c r="DO1132" s="307" t="inlineStr">
        <is>
          <t>https://images.evo.com/imgp/250/190066/803373/clone.jpg</t>
        </is>
      </c>
    </row>
    <row r="1133" ht="15.6" customHeight="1" s="184">
      <c r="B1133" s="303">
        <f t="array" ref="B1133">IF(OR(ISERROR(K1133:P1133)),FALSE,TRUE)</f>
        <v/>
      </c>
      <c r="C1133" s="60">
        <f>OR(BR1133=Driver!$G$50,Data!BR505=Driver!$H$50)</f>
        <v/>
      </c>
      <c r="D1133" s="60">
        <f>OR(BV1133=Driver!$G$51,BV1133=Driver!$H$51)</f>
        <v/>
      </c>
      <c r="E1133" s="60">
        <f>AND(BX1133&gt;Driver!$F$54,BX1133&lt;Driver!$G$54)</f>
        <v/>
      </c>
      <c r="F1133" s="60">
        <f>CL1133&gt;Driver!$F$56</f>
        <v/>
      </c>
      <c r="G1133" s="60">
        <f>AND(CB1133&gt;Driver!$F$55,CB1133&lt;Driver!$G$55)</f>
        <v/>
      </c>
      <c r="H1133" s="60">
        <f>AND(B1133:G1133)</f>
        <v/>
      </c>
      <c r="I1133" s="60">
        <f>COUNTIFS($H$9:$H$1273,TRUE,$BT$9:$BT$1273,BT1133)</f>
        <v/>
      </c>
      <c r="J1133" s="60">
        <f t="array" ref="J1133">NOT(OR(($H$9:$H$1273=TRUE)*($I$9:$I$1273&gt;0)*($BT$9:$BT$1273=BT1133)*($K$9:$K$1273&gt;K1133)))</f>
        <v/>
      </c>
      <c r="K1133" s="108">
        <f>IFERROR(1-AVERAGE(X1133:Y1133),"")</f>
        <v/>
      </c>
      <c r="L1133" s="108">
        <f>1-X1133</f>
        <v/>
      </c>
      <c r="M1133" s="108">
        <f>1-Y1133</f>
        <v/>
      </c>
      <c r="N1133" s="108">
        <f>1-Z1133</f>
        <v/>
      </c>
      <c r="O1133" s="108">
        <f>1-AA1133</f>
        <v/>
      </c>
      <c r="P1133" s="108">
        <f>1-AB1133</f>
        <v/>
      </c>
      <c r="Q1133" s="108" t="n"/>
      <c r="R1133" s="108" t="n"/>
      <c r="S1133" s="108">
        <f>1-AE1133</f>
        <v/>
      </c>
      <c r="T1133" s="108">
        <f>1-AF1133</f>
        <v/>
      </c>
      <c r="U1133" s="108">
        <f>1-AG1133</f>
        <v/>
      </c>
      <c r="V1133" s="108">
        <f>1-AH1133</f>
        <v/>
      </c>
      <c r="W1133" s="108">
        <f>1-AI1133</f>
        <v/>
      </c>
      <c r="X1133" s="108">
        <f>ABS(AJ1133-AJ$1)</f>
        <v/>
      </c>
      <c r="Y1133" s="108">
        <f>AVERAGE(Z1133:AB1133)</f>
        <v/>
      </c>
      <c r="Z1133" s="108">
        <f>ABS(AL1133-AL$1)</f>
        <v/>
      </c>
      <c r="AA1133" s="108">
        <f>ABS(AM1133-AM$1)</f>
        <v/>
      </c>
      <c r="AB1133" s="108">
        <f>ABS(AN1133-AN$1)</f>
        <v/>
      </c>
      <c r="AC1133" s="108" t="n"/>
      <c r="AD1133" s="108" t="n"/>
      <c r="AE1133" s="108">
        <f>ABS(AQ$1-AQ1133)</f>
        <v/>
      </c>
      <c r="AF1133" s="108">
        <f>ABS(AR$1-AR1133)</f>
        <v/>
      </c>
      <c r="AG1133" s="108">
        <f>ABS(AS$1-AS1133)</f>
        <v/>
      </c>
      <c r="AH1133" s="108">
        <f>ABS(AT$1-AT1133)</f>
        <v/>
      </c>
      <c r="AI1133" s="108">
        <f>ABS(AU$1-AU1133)</f>
        <v/>
      </c>
      <c r="AJ1133" s="108">
        <f>(AV1133-Driver!$K$179)/(Driver!$L$179-Driver!$K$179)</f>
        <v/>
      </c>
      <c r="AK1133" s="108">
        <f>(AW1133-Driver!$K$180)/(Driver!$L$180-Driver!$K$180)</f>
        <v/>
      </c>
      <c r="AL1133" s="108">
        <f>(AX1133-Driver!$K$181)/(Driver!$L$181-Driver!$K$181)</f>
        <v/>
      </c>
      <c r="AM1133" s="108">
        <f>(AY1133-Driver!$K$182)/(Driver!$L$182-Driver!$K$182)</f>
        <v/>
      </c>
      <c r="AN1133" s="108">
        <f>(AZ1133-Driver!$K$183)/(Driver!$L$183-Driver!$K$183)</f>
        <v/>
      </c>
      <c r="AO1133" s="108" t="n"/>
      <c r="AP1133" s="108" t="n"/>
      <c r="AQ1133" s="108">
        <f>(BC1133-Driver!$K$188)/(Driver!$L$188-Driver!$K$188)</f>
        <v/>
      </c>
      <c r="AR1133" s="108">
        <f>MIN((BD1133-Driver!$K$189)/(Driver!$L$189-Driver!$K$189),100%)</f>
        <v/>
      </c>
      <c r="AS1133" s="108">
        <f>(BE1133-Driver!$K$190)/(Driver!$L$190-Driver!$K$190)</f>
        <v/>
      </c>
      <c r="AT1133" s="108">
        <f>(BF1133-Driver!$K$191)/(Driver!$L$191-Driver!$K$191)</f>
        <v/>
      </c>
      <c r="AU1133" s="108">
        <f>(BG1133-Driver!$K$192)/(Driver!$L$192-Driver!$K$192)</f>
        <v/>
      </c>
      <c r="AV1133" s="105">
        <f>IFERROR(BM1133*BJ1133^1/4,"")</f>
        <v/>
      </c>
      <c r="AW1133" s="105">
        <f>IFERROR(SUM(AX1133:AZ1133),"")</f>
        <v/>
      </c>
      <c r="AX1133" s="105">
        <f>IFERROR(BH1133,"")</f>
        <v/>
      </c>
      <c r="AY1133" s="105">
        <f>IFERROR(Driver!$K$19/Data!BH1133/Data!BI1133*Data!BK1133*Data!BL1133,"")</f>
        <v/>
      </c>
      <c r="AZ1133" s="105">
        <f>IFERROR(BI1133*BN1133,"")</f>
        <v/>
      </c>
      <c r="BA1133" s="105" t="n"/>
      <c r="BB1133" s="105" t="n"/>
      <c r="BC1133" s="105">
        <f>IFERROR(BI1133*BN1133*BK1133/BJ1133^(1/2),"")</f>
        <v/>
      </c>
      <c r="BD1133" s="105">
        <f>IFERROR(BH1133*BM1133*BL1133/BJ1133/BK1133,"")</f>
        <v/>
      </c>
      <c r="BE1133" s="105">
        <f>IFERROR(MIN(BI1133/BQ1133/BP1133/BO1133/BH1133,$BE$1),"")</f>
        <v/>
      </c>
      <c r="BF1133" s="105">
        <f>IFERROR(BJ1133*BO1133*BP1133/BK1133,"")</f>
        <v/>
      </c>
      <c r="BG1133" s="105">
        <f>IFERROR(1/BM1133/BH1133*BQ1133,"")</f>
        <v/>
      </c>
      <c r="BH1133" s="102">
        <f>MAX((CE1133-Driver!$F$200)/(Driver!$G$200-Driver!$F$200)*$BI$1,1)</f>
        <v/>
      </c>
      <c r="BI1133" s="102">
        <f>MAX($BI$1*(BY1133-Driver!$F$201)/(Driver!$G$201-Driver!$F$201),1)</f>
        <v/>
      </c>
      <c r="BJ1133" s="102">
        <f>(CB1133-Driver!$F$206)/(Driver!$G$206-Driver!$F$206)*$BI$1</f>
        <v/>
      </c>
      <c r="BK1133" s="102">
        <f>(CD1133-Driver!$F$203)/(Driver!$G$203-Driver!$F$203)*$BI$1</f>
        <v/>
      </c>
      <c r="BL1133" s="102">
        <f>MAX((CR1133-Driver!$F$202)/(Driver!$G$202-Driver!$F$202)*$BI$1,1)</f>
        <v/>
      </c>
      <c r="BM1133" s="102">
        <f>MAX((CH1133-Driver!$F$204)/(Driver!$G$204-Driver!$F$204)*$BI$1,1)</f>
        <v/>
      </c>
      <c r="BN1133" s="102">
        <f>(CI1133-Driver!$F$205)/(Driver!$G$205-Driver!$F$205)*$BI$1</f>
        <v/>
      </c>
      <c r="BO1133" s="102">
        <f>(CK1133-Driver!$F$207)/(Driver!$G$207-Driver!$F$207)*$BI$1</f>
        <v/>
      </c>
      <c r="BP1133" s="102">
        <f>(CM1133-Driver!$F$208)/(Driver!$G$208-Driver!$F$208)*$BI$1</f>
        <v/>
      </c>
      <c r="BQ1133" s="102">
        <f>(CL1133-Driver!$F$209)/(Driver!$G$209-Driver!$F$209)*$BI$1</f>
        <v/>
      </c>
      <c r="BR1133" s="40" t="inlineStr">
        <is>
          <t>21/22</t>
        </is>
      </c>
      <c r="BS1133" s="10" t="inlineStr">
        <is>
          <t xml:space="preserve"> Faction</t>
        </is>
      </c>
      <c r="BT1133" s="11" t="inlineStr">
        <is>
          <t>CT 2.0 Jr</t>
        </is>
      </c>
      <c r="BU1133" s="13" t="n">
        <v>159</v>
      </c>
      <c r="BV1133" s="11" t="inlineStr">
        <is>
          <t xml:space="preserve"> Junior</t>
        </is>
      </c>
      <c r="BW1133" s="13" t="n">
        <v>159</v>
      </c>
      <c r="BX1133" s="13" t="n">
        <v>157.1</v>
      </c>
      <c r="BY1133" s="13" t="n">
        <v>110</v>
      </c>
      <c r="BZ1133" s="13" t="n">
        <v>132</v>
      </c>
      <c r="CA1133" s="13" t="n">
        <v>128</v>
      </c>
      <c r="CB1133" s="13" t="n">
        <v>97</v>
      </c>
      <c r="CC1133" s="13" t="n">
        <v>124</v>
      </c>
      <c r="CD1133" s="13" t="n">
        <v>13.8</v>
      </c>
      <c r="CE1133" s="13" t="n">
        <v>1435</v>
      </c>
      <c r="CF1133" s="13" t="n">
        <v>1.18</v>
      </c>
      <c r="CG1133" s="13" t="n">
        <v>1700</v>
      </c>
      <c r="CH1133" s="13" t="n">
        <v>130</v>
      </c>
      <c r="CI1133" s="13" t="n">
        <v>44</v>
      </c>
      <c r="CJ1133" s="13" t="n">
        <v>55</v>
      </c>
      <c r="CK1133" s="13" t="n">
        <v>240</v>
      </c>
      <c r="CL1133" s="13" t="n">
        <v>46</v>
      </c>
      <c r="CM1133" s="13" t="n">
        <v>232</v>
      </c>
      <c r="CN1133" s="13" t="n">
        <v>0.837</v>
      </c>
      <c r="CO1133" s="13" t="n">
        <v>131</v>
      </c>
      <c r="CP1133" s="13" t="n">
        <v>123</v>
      </c>
      <c r="CQ1133" s="13" t="n">
        <v>108</v>
      </c>
      <c r="CR1133" s="13" t="n">
        <v>5</v>
      </c>
      <c r="CS1133" s="13" t="n">
        <v>3.2</v>
      </c>
      <c r="CT1133" s="11" t="inlineStr">
        <is>
          <t xml:space="preserve"> Resort Freeride</t>
        </is>
      </c>
      <c r="CU1133" s="11" t="inlineStr">
        <is>
          <t xml:space="preserve"> Freeski</t>
        </is>
      </c>
      <c r="CV1133" s="11" t="inlineStr">
        <is>
          <t xml:space="preserve"> Touring</t>
        </is>
      </c>
      <c r="CW1133" s="13" t="n"/>
      <c r="CX1133">
        <f>INDEX('Data_Price '!AG$2:AG$1266,MATCH(Data!$DN1133,'Data_Price '!$AT$2:$AT$1266,0))</f>
        <v/>
      </c>
      <c r="CY1133">
        <f>INDEX('Data_Price '!AH$2:AH$1266,MATCH(Data!$DN1133,'Data_Price '!$AT$2:$AT$1266,0))</f>
        <v/>
      </c>
      <c r="CZ1133">
        <f>INDEX('Data_Price '!AI$2:AI$1266,MATCH(Data!$DN1133,'Data_Price '!$AT$2:$AT$1266,0))</f>
        <v/>
      </c>
      <c r="DA1133">
        <f>INDEX('Data_Price '!AJ$2:AJ$1266,MATCH(Data!$DN1133,'Data_Price '!$AT$2:$AT$1266,0))</f>
        <v/>
      </c>
      <c r="DB1133">
        <f>INDEX('Data_Price '!AK$2:AK$1266,MATCH(Data!$DN1133,'Data_Price '!$AT$2:$AT$1266,0))</f>
        <v/>
      </c>
      <c r="DC1133">
        <f>INDEX('Data_Price '!AL$2:AL$1266,MATCH(Data!$DN1133,'Data_Price '!$AT$2:$AT$1266,0))</f>
        <v/>
      </c>
      <c r="DD1133">
        <f>INDEX('Data_Price '!AM$2:AM$1266,MATCH(Data!$DN1133,'Data_Price '!$AT$2:$AT$1266,0))</f>
        <v/>
      </c>
      <c r="DE1133">
        <f>INDEX('Data_Price '!AN$2:AN$1266,MATCH(Data!$DN1133,'Data_Price '!$AT$2:$AT$1266,0))</f>
        <v/>
      </c>
      <c r="DF1133">
        <f>INDEX('Data_Price '!AO$2:AO$1266,MATCH(Data!$DN1133,'Data_Price '!$AT$2:$AT$1266,0))</f>
        <v/>
      </c>
      <c r="DG1133">
        <f>INDEX('Data_Price '!AP$2:AP$1266,MATCH(Data!$DN1133,'Data_Price '!$AT$2:$AT$1266,0))</f>
        <v/>
      </c>
      <c r="DH1133">
        <f>INDEX('Data_Price '!AQ$2:AQ$1266,MATCH(Data!$DN1133,'Data_Price '!$AT$2:$AT$1266,0))</f>
        <v/>
      </c>
      <c r="DI1133">
        <f>INDEX('Data_Price '!AR$2:AR$1266,MATCH(Data!$DN1133,'Data_Price '!$AT$2:$AT$1266,0))</f>
        <v/>
      </c>
      <c r="DJ1133" s="138">
        <f>DA1133</f>
        <v/>
      </c>
      <c r="DK1133" s="138">
        <f>DE1133</f>
        <v/>
      </c>
      <c r="DL1133" s="138">
        <f>DI1133</f>
        <v/>
      </c>
      <c r="DM1133" s="303">
        <f>IF(LEFT(BT1133,1)=" ",RIGHT(BT1133,LEN(BT1133)-1),BT1133)</f>
        <v/>
      </c>
      <c r="DN1133" s="138">
        <f>_xlfn.CONCAT(BS1133,DM1133,BU1133,BV1133)</f>
        <v/>
      </c>
      <c r="DO1133" s="307" t="n"/>
    </row>
    <row r="1134" ht="15.6" customHeight="1" s="184">
      <c r="B1134" s="303">
        <f t="array" ref="B1134">IF(OR(ISERROR(K1134:P1134)),FALSE,TRUE)</f>
        <v/>
      </c>
      <c r="C1134" s="60">
        <f>OR(BR1134=Driver!$G$50,Data!BR1270=Driver!$H$50)</f>
        <v/>
      </c>
      <c r="D1134" s="60">
        <f>OR(BV1134=Driver!$G$51,BV1134=Driver!$H$51)</f>
        <v/>
      </c>
      <c r="E1134" s="60">
        <f>AND(BX1134&gt;Driver!$F$54,BX1134&lt;Driver!$G$54)</f>
        <v/>
      </c>
      <c r="F1134" s="60">
        <f>CL1134&gt;Driver!$F$56</f>
        <v/>
      </c>
      <c r="G1134" s="60">
        <f>AND(CB1134&gt;Driver!$F$55,CB1134&lt;Driver!$G$55)</f>
        <v/>
      </c>
      <c r="H1134" s="60">
        <f>AND(B1134:G1134)</f>
        <v/>
      </c>
      <c r="I1134" s="60">
        <f>COUNTIFS($H$9:$H$1273,TRUE,$BT$9:$BT$1273,BT1134)</f>
        <v/>
      </c>
      <c r="J1134" s="60">
        <f t="array" ref="J1134">NOT(OR(($H$9:$H$1273=TRUE)*($I$9:$I$1273&gt;0)*($BT$9:$BT$1273=BT1134)*($K$9:$K$1273&gt;K1134)))</f>
        <v/>
      </c>
      <c r="K1134" s="108">
        <f>IFERROR(1-AVERAGE(X1134:Y1134),"")</f>
        <v/>
      </c>
      <c r="L1134" s="108">
        <f>1-X1134</f>
        <v/>
      </c>
      <c r="M1134" s="108">
        <f>1-Y1134</f>
        <v/>
      </c>
      <c r="N1134" s="108">
        <f>1-Z1134</f>
        <v/>
      </c>
      <c r="O1134" s="108">
        <f>1-AA1134</f>
        <v/>
      </c>
      <c r="P1134" s="108">
        <f>1-AB1134</f>
        <v/>
      </c>
      <c r="Q1134" s="108" t="n"/>
      <c r="R1134" s="108" t="n"/>
      <c r="S1134" s="108">
        <f>1-AE1134</f>
        <v/>
      </c>
      <c r="T1134" s="108">
        <f>1-AF1134</f>
        <v/>
      </c>
      <c r="U1134" s="108">
        <f>1-AG1134</f>
        <v/>
      </c>
      <c r="V1134" s="108">
        <f>1-AH1134</f>
        <v/>
      </c>
      <c r="W1134" s="108">
        <f>1-AI1134</f>
        <v/>
      </c>
      <c r="X1134" s="108">
        <f>ABS(AJ1134-AJ$1)</f>
        <v/>
      </c>
      <c r="Y1134" s="108">
        <f>AVERAGE(Z1134:AB1134)</f>
        <v/>
      </c>
      <c r="Z1134" s="108">
        <f>ABS(AL1134-AL$1)</f>
        <v/>
      </c>
      <c r="AA1134" s="108">
        <f>ABS(AM1134-AM$1)</f>
        <v/>
      </c>
      <c r="AB1134" s="108">
        <f>ABS(AN1134-AN$1)</f>
        <v/>
      </c>
      <c r="AC1134" s="108" t="n"/>
      <c r="AD1134" s="108" t="n"/>
      <c r="AE1134" s="108">
        <f>ABS(AQ$1-AQ1134)</f>
        <v/>
      </c>
      <c r="AF1134" s="108">
        <f>ABS(AR$1-AR1134)</f>
        <v/>
      </c>
      <c r="AG1134" s="108">
        <f>ABS(AS$1-AS1134)</f>
        <v/>
      </c>
      <c r="AH1134" s="108">
        <f>ABS(AT$1-AT1134)</f>
        <v/>
      </c>
      <c r="AI1134" s="108">
        <f>ABS(AU$1-AU1134)</f>
        <v/>
      </c>
      <c r="AJ1134" s="108">
        <f>(AV1134-Driver!$K$179)/(Driver!$L$179-Driver!$K$179)</f>
        <v/>
      </c>
      <c r="AK1134" s="108">
        <f>(AW1134-Driver!$K$180)/(Driver!$L$180-Driver!$K$180)</f>
        <v/>
      </c>
      <c r="AL1134" s="108">
        <f>(AX1134-Driver!$K$181)/(Driver!$L$181-Driver!$K$181)</f>
        <v/>
      </c>
      <c r="AM1134" s="108">
        <f>(AY1134-Driver!$K$182)/(Driver!$L$182-Driver!$K$182)</f>
        <v/>
      </c>
      <c r="AN1134" s="108">
        <f>(AZ1134-Driver!$K$183)/(Driver!$L$183-Driver!$K$183)</f>
        <v/>
      </c>
      <c r="AO1134" s="108" t="n"/>
      <c r="AP1134" s="108" t="n"/>
      <c r="AQ1134" s="108">
        <f>(BC1134-Driver!$K$188)/(Driver!$L$188-Driver!$K$188)</f>
        <v/>
      </c>
      <c r="AR1134" s="108">
        <f>MIN((BD1134-Driver!$K$189)/(Driver!$L$189-Driver!$K$189),100%)</f>
        <v/>
      </c>
      <c r="AS1134" s="108">
        <f>(BE1134-Driver!$K$190)/(Driver!$L$190-Driver!$K$190)</f>
        <v/>
      </c>
      <c r="AT1134" s="108">
        <f>(BF1134-Driver!$K$191)/(Driver!$L$191-Driver!$K$191)</f>
        <v/>
      </c>
      <c r="AU1134" s="108">
        <f>(BG1134-Driver!$K$192)/(Driver!$L$192-Driver!$K$192)</f>
        <v/>
      </c>
      <c r="AV1134" s="105">
        <f>IFERROR(BM1134*BJ1134^1/4,"")</f>
        <v/>
      </c>
      <c r="AW1134" s="105">
        <f>IFERROR(SUM(AX1134:AZ1134),"")</f>
        <v/>
      </c>
      <c r="AX1134" s="105">
        <f>IFERROR(BH1134,"")</f>
        <v/>
      </c>
      <c r="AY1134" s="105">
        <f>IFERROR(Driver!$K$19/Data!BH1134/Data!BI1134*Data!BK1134*Data!BL1134,"")</f>
        <v/>
      </c>
      <c r="AZ1134" s="105">
        <f>IFERROR(BI1134*BN1134,"")</f>
        <v/>
      </c>
      <c r="BA1134" s="105" t="n"/>
      <c r="BB1134" s="105" t="n"/>
      <c r="BC1134" s="105">
        <f>IFERROR(BI1134*BN1134*BK1134/BJ1134^(1/2),"")</f>
        <v/>
      </c>
      <c r="BD1134" s="105">
        <f>IFERROR(BH1134*BM1134*BL1134/BJ1134/BK1134,"")</f>
        <v/>
      </c>
      <c r="BE1134" s="105">
        <f>IFERROR(MIN(BI1134/BQ1134/BP1134/BO1134/BH1134,$BE$1),"")</f>
        <v/>
      </c>
      <c r="BF1134" s="105">
        <f>IFERROR(BJ1134*BO1134*BP1134/BK1134,"")</f>
        <v/>
      </c>
      <c r="BG1134" s="105">
        <f>IFERROR(1/BM1134/BH1134*BQ1134,"")</f>
        <v/>
      </c>
      <c r="BH1134" s="102">
        <f>MAX((CE1134-Driver!$F$200)/(Driver!$G$200-Driver!$F$200)*$BI$1,1)</f>
        <v/>
      </c>
      <c r="BI1134" s="102">
        <f>MAX($BI$1*(BY1134-Driver!$F$201)/(Driver!$G$201-Driver!$F$201),1)</f>
        <v/>
      </c>
      <c r="BJ1134" s="102">
        <f>(CB1134-Driver!$F$206)/(Driver!$G$206-Driver!$F$206)*$BI$1</f>
        <v/>
      </c>
      <c r="BK1134" s="102">
        <f>(CD1134-Driver!$F$203)/(Driver!$G$203-Driver!$F$203)*$BI$1</f>
        <v/>
      </c>
      <c r="BL1134" s="102">
        <f>MAX((CR1134-Driver!$F$202)/(Driver!$G$202-Driver!$F$202)*$BI$1,1)</f>
        <v/>
      </c>
      <c r="BM1134" s="102">
        <f>MAX((CH1134-Driver!$F$204)/(Driver!$G$204-Driver!$F$204)*$BI$1,1)</f>
        <v/>
      </c>
      <c r="BN1134" s="102">
        <f>(CI1134-Driver!$F$205)/(Driver!$G$205-Driver!$F$205)*$BI$1</f>
        <v/>
      </c>
      <c r="BO1134" s="102">
        <f>(CK1134-Driver!$F$207)/(Driver!$G$207-Driver!$F$207)*$BI$1</f>
        <v/>
      </c>
      <c r="BP1134" s="102">
        <f>(CM1134-Driver!$F$208)/(Driver!$G$208-Driver!$F$208)*$BI$1</f>
        <v/>
      </c>
      <c r="BQ1134" s="102">
        <f>(CL1134-Driver!$F$209)/(Driver!$G$209-Driver!$F$209)*$BI$1</f>
        <v/>
      </c>
      <c r="BR1134" s="40" t="inlineStr">
        <is>
          <t>21/22</t>
        </is>
      </c>
      <c r="BS1134" s="10" t="inlineStr">
        <is>
          <t xml:space="preserve"> Völkl</t>
        </is>
      </c>
      <c r="BT1134" s="11" t="inlineStr">
        <is>
          <t>Yumi 84</t>
        </is>
      </c>
      <c r="BU1134" s="13" t="n">
        <v>147</v>
      </c>
      <c r="BV1134" s="11" t="inlineStr">
        <is>
          <t xml:space="preserve"> Women's</t>
        </is>
      </c>
      <c r="BW1134" s="13" t="n">
        <v>147</v>
      </c>
      <c r="BX1134" s="13" t="n">
        <v>148.8</v>
      </c>
      <c r="BY1134" s="13" t="n">
        <v>88</v>
      </c>
      <c r="BZ1134" s="13" t="n">
        <v>125</v>
      </c>
      <c r="CA1134" s="13" t="n">
        <v>124</v>
      </c>
      <c r="CB1134" s="13" t="n">
        <v>83</v>
      </c>
      <c r="CC1134" s="13" t="n">
        <v>106</v>
      </c>
      <c r="CD1134" s="13" t="n">
        <v>11.7</v>
      </c>
      <c r="CE1134" s="13" t="n">
        <v>1295</v>
      </c>
      <c r="CF1134" s="13" t="n">
        <v>1.11</v>
      </c>
      <c r="CG1134" s="13" t="n">
        <v>1435</v>
      </c>
      <c r="CH1134" s="13" t="n">
        <v>158</v>
      </c>
      <c r="CI1134" s="13" t="n">
        <v>60</v>
      </c>
      <c r="CJ1134" s="13" t="n">
        <v>42</v>
      </c>
      <c r="CK1134" s="13" t="n">
        <v>282</v>
      </c>
      <c r="CL1134" s="13" t="n">
        <v>19</v>
      </c>
      <c r="CM1134" s="13" t="n">
        <v>326</v>
      </c>
      <c r="CN1134" s="13" t="n">
        <v>0.447</v>
      </c>
      <c r="CO1134" s="13" t="n">
        <v>134</v>
      </c>
      <c r="CP1134" s="13" t="n">
        <v>103</v>
      </c>
      <c r="CQ1134" s="13" t="n">
        <v>148</v>
      </c>
      <c r="CR1134" s="13" t="n">
        <v>2</v>
      </c>
      <c r="CS1134" s="13" t="n">
        <v>11.2</v>
      </c>
      <c r="CT1134" s="11" t="inlineStr">
        <is>
          <t xml:space="preserve"> On-Piste All-Mountain</t>
        </is>
      </c>
      <c r="CU1134" s="11" t="inlineStr">
        <is>
          <t xml:space="preserve"> Resort Freeride</t>
        </is>
      </c>
      <c r="CV1134" s="11" t="inlineStr">
        <is>
          <t xml:space="preserve"> Touring</t>
        </is>
      </c>
      <c r="CW1134" s="13" t="n"/>
      <c r="CX1134">
        <f>INDEX('Data_Price '!AG$2:AG$1266,MATCH(Data!$DN1134,'Data_Price '!$AT$2:$AT$1266,0))</f>
        <v/>
      </c>
      <c r="CY1134">
        <f>INDEX('Data_Price '!AH$2:AH$1266,MATCH(Data!$DN1134,'Data_Price '!$AT$2:$AT$1266,0))</f>
        <v/>
      </c>
      <c r="CZ1134">
        <f>INDEX('Data_Price '!AI$2:AI$1266,MATCH(Data!$DN1134,'Data_Price '!$AT$2:$AT$1266,0))</f>
        <v/>
      </c>
      <c r="DA1134">
        <f>INDEX('Data_Price '!AJ$2:AJ$1266,MATCH(Data!$DN1134,'Data_Price '!$AT$2:$AT$1266,0))</f>
        <v/>
      </c>
      <c r="DB1134">
        <f>INDEX('Data_Price '!AK$2:AK$1266,MATCH(Data!$DN1134,'Data_Price '!$AT$2:$AT$1266,0))</f>
        <v/>
      </c>
      <c r="DC1134">
        <f>INDEX('Data_Price '!AL$2:AL$1266,MATCH(Data!$DN1134,'Data_Price '!$AT$2:$AT$1266,0))</f>
        <v/>
      </c>
      <c r="DD1134">
        <f>INDEX('Data_Price '!AM$2:AM$1266,MATCH(Data!$DN1134,'Data_Price '!$AT$2:$AT$1266,0))</f>
        <v/>
      </c>
      <c r="DE1134">
        <f>INDEX('Data_Price '!AN$2:AN$1266,MATCH(Data!$DN1134,'Data_Price '!$AT$2:$AT$1266,0))</f>
        <v/>
      </c>
      <c r="DF1134">
        <f>INDEX('Data_Price '!AO$2:AO$1266,MATCH(Data!$DN1134,'Data_Price '!$AT$2:$AT$1266,0))</f>
        <v/>
      </c>
      <c r="DG1134">
        <f>INDEX('Data_Price '!AP$2:AP$1266,MATCH(Data!$DN1134,'Data_Price '!$AT$2:$AT$1266,0))</f>
        <v/>
      </c>
      <c r="DH1134">
        <f>INDEX('Data_Price '!AQ$2:AQ$1266,MATCH(Data!$DN1134,'Data_Price '!$AT$2:$AT$1266,0))</f>
        <v/>
      </c>
      <c r="DI1134">
        <f>INDEX('Data_Price '!AR$2:AR$1266,MATCH(Data!$DN1134,'Data_Price '!$AT$2:$AT$1266,0))</f>
        <v/>
      </c>
      <c r="DJ1134" s="138">
        <f>DA1134</f>
        <v/>
      </c>
      <c r="DK1134" s="138">
        <f>DE1134</f>
        <v/>
      </c>
      <c r="DL1134" s="138">
        <f>DI1134</f>
        <v/>
      </c>
      <c r="DM1134" s="303">
        <f>IF(LEFT(BT1134,1)=" ",RIGHT(BT1134,LEN(BT1134)-1),BT1134)</f>
        <v/>
      </c>
      <c r="DN1134" s="138">
        <f>_xlfn.CONCAT(BS1134,DM1134,BU1134,BV1134)</f>
        <v/>
      </c>
      <c r="DO1134" s="307" t="inlineStr">
        <is>
          <t>https://images.evo.com/imgp/250/208364/837596/clone.jpg</t>
        </is>
      </c>
    </row>
    <row r="1135" ht="15.6" customHeight="1" s="184">
      <c r="B1135" s="303">
        <f t="array" ref="B1135">IF(OR(ISERROR(K1135:P1135)),FALSE,TRUE)</f>
        <v/>
      </c>
      <c r="C1135" s="60">
        <f>OR(BR1135=Driver!$G$50,Data!BR1047=Driver!$H$50)</f>
        <v/>
      </c>
      <c r="D1135" s="60">
        <f>OR(BV1135=Driver!$G$51,BV1135=Driver!$H$51)</f>
        <v/>
      </c>
      <c r="E1135" s="60">
        <f>AND(BX1135&gt;Driver!$F$54,BX1135&lt;Driver!$G$54)</f>
        <v/>
      </c>
      <c r="F1135" s="60">
        <f>CL1135&gt;Driver!$F$56</f>
        <v/>
      </c>
      <c r="G1135" s="60">
        <f>AND(CB1135&gt;Driver!$F$55,CB1135&lt;Driver!$G$55)</f>
        <v/>
      </c>
      <c r="H1135" s="60">
        <f>AND(B1135:G1135)</f>
        <v/>
      </c>
      <c r="I1135" s="60">
        <f>COUNTIFS($H$9:$H$1273,TRUE,$BT$9:$BT$1273,BT1135)</f>
        <v/>
      </c>
      <c r="J1135" s="60">
        <f t="array" ref="J1135">NOT(OR(($H$9:$H$1273=TRUE)*($I$9:$I$1273&gt;0)*($BT$9:$BT$1273=BT1135)*($K$9:$K$1273&gt;K1135)))</f>
        <v/>
      </c>
      <c r="K1135" s="108">
        <f>IFERROR(1-AVERAGE(X1135:Y1135),"")</f>
        <v/>
      </c>
      <c r="L1135" s="108">
        <f>1-X1135</f>
        <v/>
      </c>
      <c r="M1135" s="108">
        <f>1-Y1135</f>
        <v/>
      </c>
      <c r="N1135" s="108">
        <f>1-Z1135</f>
        <v/>
      </c>
      <c r="O1135" s="108">
        <f>1-AA1135</f>
        <v/>
      </c>
      <c r="P1135" s="108">
        <f>1-AB1135</f>
        <v/>
      </c>
      <c r="Q1135" s="108" t="n"/>
      <c r="R1135" s="108" t="n"/>
      <c r="S1135" s="108">
        <f>1-AE1135</f>
        <v/>
      </c>
      <c r="T1135" s="108">
        <f>1-AF1135</f>
        <v/>
      </c>
      <c r="U1135" s="108">
        <f>1-AG1135</f>
        <v/>
      </c>
      <c r="V1135" s="108">
        <f>1-AH1135</f>
        <v/>
      </c>
      <c r="W1135" s="108">
        <f>1-AI1135</f>
        <v/>
      </c>
      <c r="X1135" s="108">
        <f>ABS(AJ1135-AJ$1)</f>
        <v/>
      </c>
      <c r="Y1135" s="108">
        <f>AVERAGE(Z1135:AB1135)</f>
        <v/>
      </c>
      <c r="Z1135" s="108">
        <f>ABS(AL1135-AL$1)</f>
        <v/>
      </c>
      <c r="AA1135" s="108">
        <f>ABS(AM1135-AM$1)</f>
        <v/>
      </c>
      <c r="AB1135" s="108">
        <f>ABS(AN1135-AN$1)</f>
        <v/>
      </c>
      <c r="AC1135" s="108" t="n"/>
      <c r="AD1135" s="108" t="n"/>
      <c r="AE1135" s="108">
        <f>ABS(AQ$1-AQ1135)</f>
        <v/>
      </c>
      <c r="AF1135" s="108">
        <f>ABS(AR$1-AR1135)</f>
        <v/>
      </c>
      <c r="AG1135" s="108">
        <f>ABS(AS$1-AS1135)</f>
        <v/>
      </c>
      <c r="AH1135" s="108">
        <f>ABS(AT$1-AT1135)</f>
        <v/>
      </c>
      <c r="AI1135" s="108">
        <f>ABS(AU$1-AU1135)</f>
        <v/>
      </c>
      <c r="AJ1135" s="108">
        <f>(AV1135-Driver!$K$179)/(Driver!$L$179-Driver!$K$179)</f>
        <v/>
      </c>
      <c r="AK1135" s="108">
        <f>(AW1135-Driver!$K$180)/(Driver!$L$180-Driver!$K$180)</f>
        <v/>
      </c>
      <c r="AL1135" s="108">
        <f>(AX1135-Driver!$K$181)/(Driver!$L$181-Driver!$K$181)</f>
        <v/>
      </c>
      <c r="AM1135" s="108">
        <f>(AY1135-Driver!$K$182)/(Driver!$L$182-Driver!$K$182)</f>
        <v/>
      </c>
      <c r="AN1135" s="108">
        <f>(AZ1135-Driver!$K$183)/(Driver!$L$183-Driver!$K$183)</f>
        <v/>
      </c>
      <c r="AO1135" s="108" t="n"/>
      <c r="AP1135" s="108" t="n"/>
      <c r="AQ1135" s="108">
        <f>(BC1135-Driver!$K$188)/(Driver!$L$188-Driver!$K$188)</f>
        <v/>
      </c>
      <c r="AR1135" s="108">
        <f>MIN((BD1135-Driver!$K$189)/(Driver!$L$189-Driver!$K$189),100%)</f>
        <v/>
      </c>
      <c r="AS1135" s="108">
        <f>(BE1135-Driver!$K$190)/(Driver!$L$190-Driver!$K$190)</f>
        <v/>
      </c>
      <c r="AT1135" s="108">
        <f>(BF1135-Driver!$K$191)/(Driver!$L$191-Driver!$K$191)</f>
        <v/>
      </c>
      <c r="AU1135" s="108">
        <f>(BG1135-Driver!$K$192)/(Driver!$L$192-Driver!$K$192)</f>
        <v/>
      </c>
      <c r="AV1135" s="105">
        <f>IFERROR(BM1135*BJ1135^1/4,"")</f>
        <v/>
      </c>
      <c r="AW1135" s="105">
        <f>IFERROR(SUM(AX1135:AZ1135),"")</f>
        <v/>
      </c>
      <c r="AX1135" s="105">
        <f>IFERROR(BH1135,"")</f>
        <v/>
      </c>
      <c r="AY1135" s="105">
        <f>IFERROR(Driver!$K$19/Data!BH1135/Data!BI1135*Data!BK1135*Data!BL1135,"")</f>
        <v/>
      </c>
      <c r="AZ1135" s="105">
        <f>IFERROR(BI1135*BN1135,"")</f>
        <v/>
      </c>
      <c r="BA1135" s="105" t="n"/>
      <c r="BB1135" s="105" t="n"/>
      <c r="BC1135" s="105">
        <f>IFERROR(BI1135*BN1135*BK1135/BJ1135^(1/2),"")</f>
        <v/>
      </c>
      <c r="BD1135" s="105">
        <f>IFERROR(BH1135*BM1135*BL1135/BJ1135/BK1135,"")</f>
        <v/>
      </c>
      <c r="BE1135" s="105">
        <f>IFERROR(MIN(BI1135/BQ1135/BP1135/BO1135/BH1135,$BE$1),"")</f>
        <v/>
      </c>
      <c r="BF1135" s="105">
        <f>IFERROR(BJ1135*BO1135*BP1135/BK1135,"")</f>
        <v/>
      </c>
      <c r="BG1135" s="105">
        <f>IFERROR(1/BM1135/BH1135*BQ1135,"")</f>
        <v/>
      </c>
      <c r="BH1135" s="102">
        <f>MAX((CE1135-Driver!$F$200)/(Driver!$G$200-Driver!$F$200)*$BI$1,1)</f>
        <v/>
      </c>
      <c r="BI1135" s="102">
        <f>MAX($BI$1*(BY1135-Driver!$F$201)/(Driver!$G$201-Driver!$F$201),1)</f>
        <v/>
      </c>
      <c r="BJ1135" s="102">
        <f>(CB1135-Driver!$F$206)/(Driver!$G$206-Driver!$F$206)*$BI$1</f>
        <v/>
      </c>
      <c r="BK1135" s="102">
        <f>(CD1135-Driver!$F$203)/(Driver!$G$203-Driver!$F$203)*$BI$1</f>
        <v/>
      </c>
      <c r="BL1135" s="102">
        <f>MAX((CR1135-Driver!$F$202)/(Driver!$G$202-Driver!$F$202)*$BI$1,1)</f>
        <v/>
      </c>
      <c r="BM1135" s="102">
        <f>MAX((CH1135-Driver!$F$204)/(Driver!$G$204-Driver!$F$204)*$BI$1,1)</f>
        <v/>
      </c>
      <c r="BN1135" s="102">
        <f>(CI1135-Driver!$F$205)/(Driver!$G$205-Driver!$F$205)*$BI$1</f>
        <v/>
      </c>
      <c r="BO1135" s="102">
        <f>(CK1135-Driver!$F$207)/(Driver!$G$207-Driver!$F$207)*$BI$1</f>
        <v/>
      </c>
      <c r="BP1135" s="102">
        <f>(CM1135-Driver!$F$208)/(Driver!$G$208-Driver!$F$208)*$BI$1</f>
        <v/>
      </c>
      <c r="BQ1135" s="102">
        <f>(CL1135-Driver!$F$209)/(Driver!$G$209-Driver!$F$209)*$BI$1</f>
        <v/>
      </c>
      <c r="BR1135" s="40" t="inlineStr">
        <is>
          <t>21/22</t>
        </is>
      </c>
      <c r="BS1135" s="10" t="inlineStr">
        <is>
          <t xml:space="preserve"> Rossignol</t>
        </is>
      </c>
      <c r="BT1135" s="11" t="inlineStr">
        <is>
          <t>Nova 2</t>
        </is>
      </c>
      <c r="BU1135" s="13" t="n">
        <v>152</v>
      </c>
      <c r="BV1135" s="11" t="inlineStr">
        <is>
          <t xml:space="preserve"> Women's</t>
        </is>
      </c>
      <c r="BW1135" s="13" t="n">
        <v>152</v>
      </c>
      <c r="BX1135" s="13" t="n">
        <v>152.4</v>
      </c>
      <c r="BY1135" s="13" t="n">
        <v>131</v>
      </c>
      <c r="BZ1135" s="13" t="n">
        <v>136</v>
      </c>
      <c r="CA1135" s="13" t="n">
        <v>121</v>
      </c>
      <c r="CB1135" s="13" t="n">
        <v>74</v>
      </c>
      <c r="CC1135" s="13" t="n">
        <v>107</v>
      </c>
      <c r="CD1135" s="13" t="n">
        <v>11.7</v>
      </c>
      <c r="CE1135" s="13" t="n">
        <v>1433</v>
      </c>
      <c r="CF1135" s="13" t="n">
        <v>0.95</v>
      </c>
      <c r="CG1135" s="13" t="n">
        <v>1357</v>
      </c>
      <c r="CH1135" s="13" t="n">
        <v>134</v>
      </c>
      <c r="CI1135" s="13" t="n">
        <v>45</v>
      </c>
      <c r="CJ1135" s="13" t="n">
        <v>35</v>
      </c>
      <c r="CK1135" s="13" t="n">
        <v>143</v>
      </c>
      <c r="CL1135" s="13" t="n">
        <v>6</v>
      </c>
      <c r="CM1135" s="13" t="n">
        <v>69</v>
      </c>
      <c r="CN1135" s="13" t="n">
        <v>0.157</v>
      </c>
      <c r="CO1135" s="13" t="n">
        <v>81</v>
      </c>
      <c r="CP1135" s="13" t="n">
        <v>79</v>
      </c>
      <c r="CQ1135" s="13" t="n">
        <v>62</v>
      </c>
      <c r="CR1135" s="13" t="n">
        <v>9</v>
      </c>
      <c r="CS1135" s="13" t="n">
        <v>8.1</v>
      </c>
      <c r="CT1135" s="11" t="inlineStr">
        <is>
          <t xml:space="preserve"> On-Piste Carving</t>
        </is>
      </c>
      <c r="CU1135" s="11" t="inlineStr">
        <is>
          <t xml:space="preserve"> On-Piste All-Mountain</t>
        </is>
      </c>
      <c r="CV1135" s="13" t="n"/>
      <c r="CW1135" s="13" t="n"/>
      <c r="CX1135">
        <f>INDEX('Data_Price '!AG$2:AG$1266,MATCH(Data!$DN1135,'Data_Price '!$AT$2:$AT$1266,0))</f>
        <v/>
      </c>
      <c r="CY1135">
        <f>INDEX('Data_Price '!AH$2:AH$1266,MATCH(Data!$DN1135,'Data_Price '!$AT$2:$AT$1266,0))</f>
        <v/>
      </c>
      <c r="CZ1135">
        <f>INDEX('Data_Price '!AI$2:AI$1266,MATCH(Data!$DN1135,'Data_Price '!$AT$2:$AT$1266,0))</f>
        <v/>
      </c>
      <c r="DA1135">
        <f>INDEX('Data_Price '!AJ$2:AJ$1266,MATCH(Data!$DN1135,'Data_Price '!$AT$2:$AT$1266,0))</f>
        <v/>
      </c>
      <c r="DB1135">
        <f>INDEX('Data_Price '!AK$2:AK$1266,MATCH(Data!$DN1135,'Data_Price '!$AT$2:$AT$1266,0))</f>
        <v/>
      </c>
      <c r="DC1135">
        <f>INDEX('Data_Price '!AL$2:AL$1266,MATCH(Data!$DN1135,'Data_Price '!$AT$2:$AT$1266,0))</f>
        <v/>
      </c>
      <c r="DD1135">
        <f>INDEX('Data_Price '!AM$2:AM$1266,MATCH(Data!$DN1135,'Data_Price '!$AT$2:$AT$1266,0))</f>
        <v/>
      </c>
      <c r="DE1135">
        <f>INDEX('Data_Price '!AN$2:AN$1266,MATCH(Data!$DN1135,'Data_Price '!$AT$2:$AT$1266,0))</f>
        <v/>
      </c>
      <c r="DF1135">
        <f>INDEX('Data_Price '!AO$2:AO$1266,MATCH(Data!$DN1135,'Data_Price '!$AT$2:$AT$1266,0))</f>
        <v/>
      </c>
      <c r="DG1135">
        <f>INDEX('Data_Price '!AP$2:AP$1266,MATCH(Data!$DN1135,'Data_Price '!$AT$2:$AT$1266,0))</f>
        <v/>
      </c>
      <c r="DH1135">
        <f>INDEX('Data_Price '!AQ$2:AQ$1266,MATCH(Data!$DN1135,'Data_Price '!$AT$2:$AT$1266,0))</f>
        <v/>
      </c>
      <c r="DI1135">
        <f>INDEX('Data_Price '!AR$2:AR$1266,MATCH(Data!$DN1135,'Data_Price '!$AT$2:$AT$1266,0))</f>
        <v/>
      </c>
      <c r="DJ1135" s="138">
        <f>DA1135</f>
        <v/>
      </c>
      <c r="DK1135" s="138">
        <f>DE1135</f>
        <v/>
      </c>
      <c r="DL1135" s="138">
        <f>DI1135</f>
        <v/>
      </c>
      <c r="DM1135" s="303">
        <f>IF(LEFT(BT1135,1)=" ",RIGHT(BT1135,LEN(BT1135)-1),BT1135)</f>
        <v/>
      </c>
      <c r="DN1135" s="138">
        <f>_xlfn.CONCAT(BS1135,DM1135,BU1135,BV1135)</f>
        <v/>
      </c>
      <c r="DO1135" s="307" t="inlineStr">
        <is>
          <t>https://images.evo.com/imgp/250/185226/741469/clone.jpg</t>
        </is>
      </c>
    </row>
    <row r="1136" ht="15.6" customHeight="1" s="184">
      <c r="B1136" s="303">
        <f t="array" ref="B1136">IF(OR(ISERROR(K1136:P1136)),FALSE,TRUE)</f>
        <v/>
      </c>
      <c r="C1136" s="60">
        <f>OR(BR1136=Driver!$G$50,Data!BR168=Driver!$H$50)</f>
        <v/>
      </c>
      <c r="D1136" s="60">
        <f>OR(BV1136=Driver!$G$51,BV1136=Driver!$H$51)</f>
        <v/>
      </c>
      <c r="E1136" s="60">
        <f>AND(BX1136&gt;Driver!$F$54,BX1136&lt;Driver!$G$54)</f>
        <v/>
      </c>
      <c r="F1136" s="60">
        <f>CL1136&gt;Driver!$F$56</f>
        <v/>
      </c>
      <c r="G1136" s="60">
        <f>AND(CB1136&gt;Driver!$F$55,CB1136&lt;Driver!$G$55)</f>
        <v/>
      </c>
      <c r="H1136" s="60">
        <f>AND(B1136:G1136)</f>
        <v/>
      </c>
      <c r="I1136" s="60">
        <f>COUNTIFS($H$9:$H$1273,TRUE,$BT$9:$BT$1273,BT1136)</f>
        <v/>
      </c>
      <c r="J1136" s="60">
        <f t="array" ref="J1136">NOT(OR(($H$9:$H$1273=TRUE)*($I$9:$I$1273&gt;0)*($BT$9:$BT$1273=BT1136)*($K$9:$K$1273&gt;K1136)))</f>
        <v/>
      </c>
      <c r="K1136" s="108">
        <f>IFERROR(1-AVERAGE(X1136:Y1136),"")</f>
        <v/>
      </c>
      <c r="L1136" s="108">
        <f>1-X1136</f>
        <v/>
      </c>
      <c r="M1136" s="108">
        <f>1-Y1136</f>
        <v/>
      </c>
      <c r="N1136" s="108">
        <f>1-Z1136</f>
        <v/>
      </c>
      <c r="O1136" s="108">
        <f>1-AA1136</f>
        <v/>
      </c>
      <c r="P1136" s="108">
        <f>1-AB1136</f>
        <v/>
      </c>
      <c r="Q1136" s="108" t="n"/>
      <c r="R1136" s="108" t="n"/>
      <c r="S1136" s="108">
        <f>1-AE1136</f>
        <v/>
      </c>
      <c r="T1136" s="108">
        <f>1-AF1136</f>
        <v/>
      </c>
      <c r="U1136" s="108">
        <f>1-AG1136</f>
        <v/>
      </c>
      <c r="V1136" s="108">
        <f>1-AH1136</f>
        <v/>
      </c>
      <c r="W1136" s="108">
        <f>1-AI1136</f>
        <v/>
      </c>
      <c r="X1136" s="108">
        <f>ABS(AJ1136-AJ$1)</f>
        <v/>
      </c>
      <c r="Y1136" s="108">
        <f>AVERAGE(Z1136:AB1136)</f>
        <v/>
      </c>
      <c r="Z1136" s="108">
        <f>ABS(AL1136-AL$1)</f>
        <v/>
      </c>
      <c r="AA1136" s="108">
        <f>ABS(AM1136-AM$1)</f>
        <v/>
      </c>
      <c r="AB1136" s="108">
        <f>ABS(AN1136-AN$1)</f>
        <v/>
      </c>
      <c r="AC1136" s="108" t="n"/>
      <c r="AD1136" s="108" t="n"/>
      <c r="AE1136" s="108">
        <f>ABS(AQ$1-AQ1136)</f>
        <v/>
      </c>
      <c r="AF1136" s="108">
        <f>ABS(AR$1-AR1136)</f>
        <v/>
      </c>
      <c r="AG1136" s="108">
        <f>ABS(AS$1-AS1136)</f>
        <v/>
      </c>
      <c r="AH1136" s="108">
        <f>ABS(AT$1-AT1136)</f>
        <v/>
      </c>
      <c r="AI1136" s="108">
        <f>ABS(AU$1-AU1136)</f>
        <v/>
      </c>
      <c r="AJ1136" s="108">
        <f>(AV1136-Driver!$K$179)/(Driver!$L$179-Driver!$K$179)</f>
        <v/>
      </c>
      <c r="AK1136" s="108">
        <f>(AW1136-Driver!$K$180)/(Driver!$L$180-Driver!$K$180)</f>
        <v/>
      </c>
      <c r="AL1136" s="108">
        <f>(AX1136-Driver!$K$181)/(Driver!$L$181-Driver!$K$181)</f>
        <v/>
      </c>
      <c r="AM1136" s="108">
        <f>(AY1136-Driver!$K$182)/(Driver!$L$182-Driver!$K$182)</f>
        <v/>
      </c>
      <c r="AN1136" s="108">
        <f>(AZ1136-Driver!$K$183)/(Driver!$L$183-Driver!$K$183)</f>
        <v/>
      </c>
      <c r="AO1136" s="108" t="n"/>
      <c r="AP1136" s="108" t="n"/>
      <c r="AQ1136" s="108">
        <f>(BC1136-Driver!$K$188)/(Driver!$L$188-Driver!$K$188)</f>
        <v/>
      </c>
      <c r="AR1136" s="108">
        <f>MIN((BD1136-Driver!$K$189)/(Driver!$L$189-Driver!$K$189),100%)</f>
        <v/>
      </c>
      <c r="AS1136" s="108">
        <f>(BE1136-Driver!$K$190)/(Driver!$L$190-Driver!$K$190)</f>
        <v/>
      </c>
      <c r="AT1136" s="108">
        <f>(BF1136-Driver!$K$191)/(Driver!$L$191-Driver!$K$191)</f>
        <v/>
      </c>
      <c r="AU1136" s="108">
        <f>(BG1136-Driver!$K$192)/(Driver!$L$192-Driver!$K$192)</f>
        <v/>
      </c>
      <c r="AV1136" s="105">
        <f>IFERROR(BM1136*BJ1136^1/4,"")</f>
        <v/>
      </c>
      <c r="AW1136" s="105">
        <f>IFERROR(SUM(AX1136:AZ1136),"")</f>
        <v/>
      </c>
      <c r="AX1136" s="105">
        <f>IFERROR(BH1136,"")</f>
        <v/>
      </c>
      <c r="AY1136" s="105">
        <f>IFERROR(Driver!$K$19/Data!BH1136/Data!BI1136*Data!BK1136*Data!BL1136,"")</f>
        <v/>
      </c>
      <c r="AZ1136" s="105">
        <f>IFERROR(BI1136*BN1136,"")</f>
        <v/>
      </c>
      <c r="BA1136" s="105" t="n"/>
      <c r="BB1136" s="105" t="n"/>
      <c r="BC1136" s="105">
        <f>IFERROR(BI1136*BN1136*BK1136/BJ1136^(1/2),"")</f>
        <v/>
      </c>
      <c r="BD1136" s="105">
        <f>IFERROR(BH1136*BM1136*BL1136/BJ1136/BK1136,"")</f>
        <v/>
      </c>
      <c r="BE1136" s="105">
        <f>IFERROR(MIN(BI1136/BQ1136/BP1136/BO1136/BH1136,$BE$1),"")</f>
        <v/>
      </c>
      <c r="BF1136" s="105">
        <f>IFERROR(BJ1136*BO1136*BP1136/BK1136,"")</f>
        <v/>
      </c>
      <c r="BG1136" s="105">
        <f>IFERROR(1/BM1136/BH1136*BQ1136,"")</f>
        <v/>
      </c>
      <c r="BH1136" s="102">
        <f>MAX((CE1136-Driver!$F$200)/(Driver!$G$200-Driver!$F$200)*$BI$1,1)</f>
        <v/>
      </c>
      <c r="BI1136" s="102">
        <f>MAX($BI$1*(BY1136-Driver!$F$201)/(Driver!$G$201-Driver!$F$201),1)</f>
        <v/>
      </c>
      <c r="BJ1136" s="102">
        <f>(CB1136-Driver!$F$206)/(Driver!$G$206-Driver!$F$206)*$BI$1</f>
        <v/>
      </c>
      <c r="BK1136" s="102">
        <f>(CD1136-Driver!$F$203)/(Driver!$G$203-Driver!$F$203)*$BI$1</f>
        <v/>
      </c>
      <c r="BL1136" s="102">
        <f>MAX((CR1136-Driver!$F$202)/(Driver!$G$202-Driver!$F$202)*$BI$1,1)</f>
        <v/>
      </c>
      <c r="BM1136" s="102">
        <f>MAX((CH1136-Driver!$F$204)/(Driver!$G$204-Driver!$F$204)*$BI$1,1)</f>
        <v/>
      </c>
      <c r="BN1136" s="102">
        <f>(CI1136-Driver!$F$205)/(Driver!$G$205-Driver!$F$205)*$BI$1</f>
        <v/>
      </c>
      <c r="BO1136" s="102">
        <f>(CK1136-Driver!$F$207)/(Driver!$G$207-Driver!$F$207)*$BI$1</f>
        <v/>
      </c>
      <c r="BP1136" s="102">
        <f>(CM1136-Driver!$F$208)/(Driver!$G$208-Driver!$F$208)*$BI$1</f>
        <v/>
      </c>
      <c r="BQ1136" s="102">
        <f>(CL1136-Driver!$F$209)/(Driver!$G$209-Driver!$F$209)*$BI$1</f>
        <v/>
      </c>
      <c r="BR1136" s="40" t="inlineStr">
        <is>
          <t>21/22</t>
        </is>
      </c>
      <c r="BS1136" s="10" t="inlineStr">
        <is>
          <t xml:space="preserve"> Atomic</t>
        </is>
      </c>
      <c r="BT1136" s="11" t="inlineStr">
        <is>
          <t>Maverick 88 Ti</t>
        </is>
      </c>
      <c r="BU1136" s="13" t="n">
        <v>184</v>
      </c>
      <c r="BV1136" s="11" t="inlineStr">
        <is>
          <t xml:space="preserve"> Unisex</t>
        </is>
      </c>
      <c r="BW1136" s="13" t="n">
        <v>184</v>
      </c>
      <c r="BX1136" s="13" t="n">
        <v>182.9</v>
      </c>
      <c r="BY1136" s="13" t="n">
        <v>135</v>
      </c>
      <c r="BZ1136" s="13" t="n">
        <v>156</v>
      </c>
      <c r="CA1136" s="13" t="n">
        <v>125</v>
      </c>
      <c r="CB1136" s="13" t="n">
        <v>87</v>
      </c>
      <c r="CC1136" s="13" t="n">
        <v>109</v>
      </c>
      <c r="CD1136" s="13" t="n">
        <v>19.7</v>
      </c>
      <c r="CE1136" s="13" t="n">
        <v>1853</v>
      </c>
      <c r="CF1136" s="13" t="n">
        <v>0.98</v>
      </c>
      <c r="CG1136" s="13" t="n">
        <v>1808</v>
      </c>
      <c r="CH1136" s="13" t="n">
        <v>261</v>
      </c>
      <c r="CI1136" s="13" t="n">
        <v>167</v>
      </c>
      <c r="CJ1136" s="13" t="n">
        <v>52</v>
      </c>
      <c r="CK1136" s="13" t="n">
        <v>291</v>
      </c>
      <c r="CL1136" s="13" t="n">
        <v>13</v>
      </c>
      <c r="CM1136" s="13" t="n">
        <v>189</v>
      </c>
      <c r="CN1136" s="13" t="n">
        <v>0.257</v>
      </c>
      <c r="CO1136" s="13" t="n">
        <v>161</v>
      </c>
      <c r="CP1136" s="13" t="n">
        <v>107</v>
      </c>
      <c r="CQ1136" s="13" t="n">
        <v>130</v>
      </c>
      <c r="CR1136" s="13" t="n">
        <v>7</v>
      </c>
      <c r="CS1136" s="13" t="n">
        <v>8.5</v>
      </c>
      <c r="CT1136" s="11" t="inlineStr">
        <is>
          <t xml:space="preserve"> Resort Freeride</t>
        </is>
      </c>
      <c r="CU1136" s="13" t="n"/>
      <c r="CV1136" s="13" t="n"/>
      <c r="CW1136" s="13" t="n"/>
      <c r="CX1136">
        <f>INDEX('Data_Price '!AG$2:AG$1266,MATCH(Data!$DN1136,'Data_Price '!$AT$2:$AT$1266,0))</f>
        <v/>
      </c>
      <c r="CY1136">
        <f>INDEX('Data_Price '!AH$2:AH$1266,MATCH(Data!$DN1136,'Data_Price '!$AT$2:$AT$1266,0))</f>
        <v/>
      </c>
      <c r="CZ1136">
        <f>INDEX('Data_Price '!AI$2:AI$1266,MATCH(Data!$DN1136,'Data_Price '!$AT$2:$AT$1266,0))</f>
        <v/>
      </c>
      <c r="DA1136">
        <f>INDEX('Data_Price '!AJ$2:AJ$1266,MATCH(Data!$DN1136,'Data_Price '!$AT$2:$AT$1266,0))</f>
        <v/>
      </c>
      <c r="DB1136">
        <f>INDEX('Data_Price '!AK$2:AK$1266,MATCH(Data!$DN1136,'Data_Price '!$AT$2:$AT$1266,0))</f>
        <v/>
      </c>
      <c r="DC1136">
        <f>INDEX('Data_Price '!AL$2:AL$1266,MATCH(Data!$DN1136,'Data_Price '!$AT$2:$AT$1266,0))</f>
        <v/>
      </c>
      <c r="DD1136">
        <f>INDEX('Data_Price '!AM$2:AM$1266,MATCH(Data!$DN1136,'Data_Price '!$AT$2:$AT$1266,0))</f>
        <v/>
      </c>
      <c r="DE1136">
        <f>INDEX('Data_Price '!AN$2:AN$1266,MATCH(Data!$DN1136,'Data_Price '!$AT$2:$AT$1266,0))</f>
        <v/>
      </c>
      <c r="DF1136">
        <f>INDEX('Data_Price '!AO$2:AO$1266,MATCH(Data!$DN1136,'Data_Price '!$AT$2:$AT$1266,0))</f>
        <v/>
      </c>
      <c r="DG1136">
        <f>INDEX('Data_Price '!AP$2:AP$1266,MATCH(Data!$DN1136,'Data_Price '!$AT$2:$AT$1266,0))</f>
        <v/>
      </c>
      <c r="DH1136">
        <f>INDEX('Data_Price '!AQ$2:AQ$1266,MATCH(Data!$DN1136,'Data_Price '!$AT$2:$AT$1266,0))</f>
        <v/>
      </c>
      <c r="DI1136">
        <f>INDEX('Data_Price '!AR$2:AR$1266,MATCH(Data!$DN1136,'Data_Price '!$AT$2:$AT$1266,0))</f>
        <v/>
      </c>
      <c r="DJ1136" s="138">
        <f>DA1136</f>
        <v/>
      </c>
      <c r="DK1136" s="138">
        <f>DE1136</f>
        <v/>
      </c>
      <c r="DL1136" s="138">
        <f>DI1136</f>
        <v/>
      </c>
      <c r="DM1136" s="303">
        <f>IF(LEFT(BT1136,1)=" ",RIGHT(BT1136,LEN(BT1136)-1),BT1136)</f>
        <v/>
      </c>
      <c r="DN1136" s="138">
        <f>_xlfn.CONCAT(BS1136,DM1136,BU1136,BV1136)</f>
        <v/>
      </c>
      <c r="DO1136" s="307" t="inlineStr">
        <is>
          <t>https://images.evo.com/imgp/250/219393/902838/atomic-maverick-88-ti-skis-2023-.jpg</t>
        </is>
      </c>
    </row>
    <row r="1137" ht="15.6" customHeight="1" s="184">
      <c r="B1137" s="303">
        <f t="array" ref="B1137">IF(OR(ISERROR(K1137:P1137)),FALSE,TRUE)</f>
        <v/>
      </c>
      <c r="C1137" s="60">
        <f>OR(BR1137=Driver!$G$50,Data!BR645=Driver!$H$50)</f>
        <v/>
      </c>
      <c r="D1137" s="60">
        <f>OR(BV1137=Driver!$G$51,BV1137=Driver!$H$51)</f>
        <v/>
      </c>
      <c r="E1137" s="60">
        <f>AND(BX1137&gt;Driver!$F$54,BX1137&lt;Driver!$G$54)</f>
        <v/>
      </c>
      <c r="F1137" s="60">
        <f>CL1137&gt;Driver!$F$56</f>
        <v/>
      </c>
      <c r="G1137" s="60">
        <f>AND(CB1137&gt;Driver!$F$55,CB1137&lt;Driver!$G$55)</f>
        <v/>
      </c>
      <c r="H1137" s="60">
        <f>AND(B1137:G1137)</f>
        <v/>
      </c>
      <c r="I1137" s="60">
        <f>COUNTIFS($H$9:$H$1273,TRUE,$BT$9:$BT$1273,BT1137)</f>
        <v/>
      </c>
      <c r="J1137" s="60">
        <f t="array" ref="J1137">NOT(OR(($H$9:$H$1273=TRUE)*($I$9:$I$1273&gt;0)*($BT$9:$BT$1273=BT1137)*($K$9:$K$1273&gt;K1137)))</f>
        <v/>
      </c>
      <c r="K1137" s="108">
        <f>IFERROR(1-AVERAGE(X1137:Y1137),"")</f>
        <v/>
      </c>
      <c r="L1137" s="108">
        <f>1-X1137</f>
        <v/>
      </c>
      <c r="M1137" s="108">
        <f>1-Y1137</f>
        <v/>
      </c>
      <c r="N1137" s="108">
        <f>1-Z1137</f>
        <v/>
      </c>
      <c r="O1137" s="108">
        <f>1-AA1137</f>
        <v/>
      </c>
      <c r="P1137" s="108">
        <f>1-AB1137</f>
        <v/>
      </c>
      <c r="Q1137" s="108" t="n"/>
      <c r="R1137" s="108" t="n"/>
      <c r="S1137" s="108">
        <f>1-AE1137</f>
        <v/>
      </c>
      <c r="T1137" s="108">
        <f>1-AF1137</f>
        <v/>
      </c>
      <c r="U1137" s="108">
        <f>1-AG1137</f>
        <v/>
      </c>
      <c r="V1137" s="108">
        <f>1-AH1137</f>
        <v/>
      </c>
      <c r="W1137" s="108">
        <f>1-AI1137</f>
        <v/>
      </c>
      <c r="X1137" s="108">
        <f>ABS(AJ1137-AJ$1)</f>
        <v/>
      </c>
      <c r="Y1137" s="108">
        <f>AVERAGE(Z1137:AB1137)</f>
        <v/>
      </c>
      <c r="Z1137" s="108">
        <f>ABS(AL1137-AL$1)</f>
        <v/>
      </c>
      <c r="AA1137" s="108">
        <f>ABS(AM1137-AM$1)</f>
        <v/>
      </c>
      <c r="AB1137" s="108">
        <f>ABS(AN1137-AN$1)</f>
        <v/>
      </c>
      <c r="AC1137" s="108" t="n"/>
      <c r="AD1137" s="108" t="n"/>
      <c r="AE1137" s="108">
        <f>ABS(AQ$1-AQ1137)</f>
        <v/>
      </c>
      <c r="AF1137" s="108">
        <f>ABS(AR$1-AR1137)</f>
        <v/>
      </c>
      <c r="AG1137" s="108">
        <f>ABS(AS$1-AS1137)</f>
        <v/>
      </c>
      <c r="AH1137" s="108">
        <f>ABS(AT$1-AT1137)</f>
        <v/>
      </c>
      <c r="AI1137" s="108">
        <f>ABS(AU$1-AU1137)</f>
        <v/>
      </c>
      <c r="AJ1137" s="108">
        <f>(AV1137-Driver!$K$179)/(Driver!$L$179-Driver!$K$179)</f>
        <v/>
      </c>
      <c r="AK1137" s="108">
        <f>(AW1137-Driver!$K$180)/(Driver!$L$180-Driver!$K$180)</f>
        <v/>
      </c>
      <c r="AL1137" s="108">
        <f>(AX1137-Driver!$K$181)/(Driver!$L$181-Driver!$K$181)</f>
        <v/>
      </c>
      <c r="AM1137" s="108">
        <f>(AY1137-Driver!$K$182)/(Driver!$L$182-Driver!$K$182)</f>
        <v/>
      </c>
      <c r="AN1137" s="108">
        <f>(AZ1137-Driver!$K$183)/(Driver!$L$183-Driver!$K$183)</f>
        <v/>
      </c>
      <c r="AO1137" s="108" t="n"/>
      <c r="AP1137" s="108" t="n"/>
      <c r="AQ1137" s="108">
        <f>(BC1137-Driver!$K$188)/(Driver!$L$188-Driver!$K$188)</f>
        <v/>
      </c>
      <c r="AR1137" s="108">
        <f>MIN((BD1137-Driver!$K$189)/(Driver!$L$189-Driver!$K$189),100%)</f>
        <v/>
      </c>
      <c r="AS1137" s="108">
        <f>(BE1137-Driver!$K$190)/(Driver!$L$190-Driver!$K$190)</f>
        <v/>
      </c>
      <c r="AT1137" s="108">
        <f>(BF1137-Driver!$K$191)/(Driver!$L$191-Driver!$K$191)</f>
        <v/>
      </c>
      <c r="AU1137" s="108">
        <f>(BG1137-Driver!$K$192)/(Driver!$L$192-Driver!$K$192)</f>
        <v/>
      </c>
      <c r="AV1137" s="105">
        <f>IFERROR(BM1137*BJ1137^1/4,"")</f>
        <v/>
      </c>
      <c r="AW1137" s="105">
        <f>IFERROR(SUM(AX1137:AZ1137),"")</f>
        <v/>
      </c>
      <c r="AX1137" s="105">
        <f>IFERROR(BH1137,"")</f>
        <v/>
      </c>
      <c r="AY1137" s="105">
        <f>IFERROR(Driver!$K$19/Data!BH1137/Data!BI1137*Data!BK1137*Data!BL1137,"")</f>
        <v/>
      </c>
      <c r="AZ1137" s="105">
        <f>IFERROR(BI1137*BN1137,"")</f>
        <v/>
      </c>
      <c r="BA1137" s="105" t="n"/>
      <c r="BB1137" s="105" t="n"/>
      <c r="BC1137" s="105">
        <f>IFERROR(BI1137*BN1137*BK1137/BJ1137^(1/2),"")</f>
        <v/>
      </c>
      <c r="BD1137" s="105">
        <f>IFERROR(BH1137*BM1137*BL1137/BJ1137/BK1137,"")</f>
        <v/>
      </c>
      <c r="BE1137" s="105">
        <f>IFERROR(MIN(BI1137/BQ1137/BP1137/BO1137/BH1137,$BE$1),"")</f>
        <v/>
      </c>
      <c r="BF1137" s="105">
        <f>IFERROR(BJ1137*BO1137*BP1137/BK1137,"")</f>
        <v/>
      </c>
      <c r="BG1137" s="105">
        <f>IFERROR(1/BM1137/BH1137*BQ1137,"")</f>
        <v/>
      </c>
      <c r="BH1137" s="102">
        <f>MAX((CE1137-Driver!$F$200)/(Driver!$G$200-Driver!$F$200)*$BI$1,1)</f>
        <v/>
      </c>
      <c r="BI1137" s="102">
        <f>MAX($BI$1*(BY1137-Driver!$F$201)/(Driver!$G$201-Driver!$F$201),1)</f>
        <v/>
      </c>
      <c r="BJ1137" s="102">
        <f>(CB1137-Driver!$F$206)/(Driver!$G$206-Driver!$F$206)*$BI$1</f>
        <v/>
      </c>
      <c r="BK1137" s="102">
        <f>(CD1137-Driver!$F$203)/(Driver!$G$203-Driver!$F$203)*$BI$1</f>
        <v/>
      </c>
      <c r="BL1137" s="102">
        <f>MAX((CR1137-Driver!$F$202)/(Driver!$G$202-Driver!$F$202)*$BI$1,1)</f>
        <v/>
      </c>
      <c r="BM1137" s="102">
        <f>MAX((CH1137-Driver!$F$204)/(Driver!$G$204-Driver!$F$204)*$BI$1,1)</f>
        <v/>
      </c>
      <c r="BN1137" s="102">
        <f>(CI1137-Driver!$F$205)/(Driver!$G$205-Driver!$F$205)*$BI$1</f>
        <v/>
      </c>
      <c r="BO1137" s="102">
        <f>(CK1137-Driver!$F$207)/(Driver!$G$207-Driver!$F$207)*$BI$1</f>
        <v/>
      </c>
      <c r="BP1137" s="102">
        <f>(CM1137-Driver!$F$208)/(Driver!$G$208-Driver!$F$208)*$BI$1</f>
        <v/>
      </c>
      <c r="BQ1137" s="102">
        <f>(CL1137-Driver!$F$209)/(Driver!$G$209-Driver!$F$209)*$BI$1</f>
        <v/>
      </c>
      <c r="BR1137" s="40" t="inlineStr">
        <is>
          <t>21/22</t>
        </is>
      </c>
      <c r="BS1137" s="10" t="inlineStr">
        <is>
          <t xml:space="preserve"> Head</t>
        </is>
      </c>
      <c r="BT1137" s="11" t="inlineStr">
        <is>
          <t xml:space="preserve"> Supershape e-Magnum</t>
        </is>
      </c>
      <c r="BU1137" s="13" t="n">
        <v>170</v>
      </c>
      <c r="BV1137" s="11" t="inlineStr">
        <is>
          <t xml:space="preserve"> Unisex</t>
        </is>
      </c>
      <c r="BW1137" s="13" t="n">
        <v>170</v>
      </c>
      <c r="BX1137" s="13" t="n">
        <v>169.3</v>
      </c>
      <c r="BY1137" s="13" t="n">
        <v>150</v>
      </c>
      <c r="BZ1137" s="13" t="n">
        <v>158</v>
      </c>
      <c r="CA1137" s="13" t="n">
        <v>128</v>
      </c>
      <c r="CB1137" s="13" t="n">
        <v>71</v>
      </c>
      <c r="CC1137" s="13" t="n">
        <v>109</v>
      </c>
      <c r="CD1137" s="13" t="n">
        <v>13.1</v>
      </c>
      <c r="CE1137" s="13" t="n">
        <v>2206</v>
      </c>
      <c r="CF1137" s="13" t="n">
        <v>0.68</v>
      </c>
      <c r="CG1137" s="13" t="n">
        <v>1491</v>
      </c>
      <c r="CH1137" s="13" t="n">
        <v>213</v>
      </c>
      <c r="CI1137" s="13" t="n">
        <v>105</v>
      </c>
      <c r="CJ1137" s="13" t="n">
        <v>36</v>
      </c>
      <c r="CK1137" s="13" t="n">
        <v>149</v>
      </c>
      <c r="CL1137" s="13" t="n">
        <v>4</v>
      </c>
      <c r="CM1137" s="13" t="n">
        <v>45</v>
      </c>
      <c r="CN1137" s="13" t="n">
        <v>0.104</v>
      </c>
      <c r="CO1137" s="13" t="n">
        <v>65</v>
      </c>
      <c r="CP1137" s="13" t="n">
        <v>51</v>
      </c>
      <c r="CQ1137" s="13" t="n">
        <v>84</v>
      </c>
      <c r="CR1137" s="13" t="n">
        <v>9</v>
      </c>
      <c r="CS1137" s="13" t="n">
        <v>12.9</v>
      </c>
      <c r="CT1137" s="11" t="inlineStr">
        <is>
          <t xml:space="preserve"> On-Piste Carving</t>
        </is>
      </c>
      <c r="CU1137" s="13" t="n"/>
      <c r="CV1137" s="13" t="n"/>
      <c r="CW1137" s="13" t="n"/>
      <c r="CX1137">
        <f>INDEX('Data_Price '!AG$2:AG$1266,MATCH(Data!$DN1137,'Data_Price '!$AT$2:$AT$1266,0))</f>
        <v/>
      </c>
      <c r="CY1137">
        <f>INDEX('Data_Price '!AH$2:AH$1266,MATCH(Data!$DN1137,'Data_Price '!$AT$2:$AT$1266,0))</f>
        <v/>
      </c>
      <c r="CZ1137">
        <f>INDEX('Data_Price '!AI$2:AI$1266,MATCH(Data!$DN1137,'Data_Price '!$AT$2:$AT$1266,0))</f>
        <v/>
      </c>
      <c r="DA1137">
        <f>INDEX('Data_Price '!AJ$2:AJ$1266,MATCH(Data!$DN1137,'Data_Price '!$AT$2:$AT$1266,0))</f>
        <v/>
      </c>
      <c r="DB1137">
        <f>INDEX('Data_Price '!AK$2:AK$1266,MATCH(Data!$DN1137,'Data_Price '!$AT$2:$AT$1266,0))</f>
        <v/>
      </c>
      <c r="DC1137">
        <f>INDEX('Data_Price '!AL$2:AL$1266,MATCH(Data!$DN1137,'Data_Price '!$AT$2:$AT$1266,0))</f>
        <v/>
      </c>
      <c r="DD1137">
        <f>INDEX('Data_Price '!AM$2:AM$1266,MATCH(Data!$DN1137,'Data_Price '!$AT$2:$AT$1266,0))</f>
        <v/>
      </c>
      <c r="DE1137">
        <f>INDEX('Data_Price '!AN$2:AN$1266,MATCH(Data!$DN1137,'Data_Price '!$AT$2:$AT$1266,0))</f>
        <v/>
      </c>
      <c r="DF1137">
        <f>INDEX('Data_Price '!AO$2:AO$1266,MATCH(Data!$DN1137,'Data_Price '!$AT$2:$AT$1266,0))</f>
        <v/>
      </c>
      <c r="DG1137">
        <f>INDEX('Data_Price '!AP$2:AP$1266,MATCH(Data!$DN1137,'Data_Price '!$AT$2:$AT$1266,0))</f>
        <v/>
      </c>
      <c r="DH1137">
        <f>INDEX('Data_Price '!AQ$2:AQ$1266,MATCH(Data!$DN1137,'Data_Price '!$AT$2:$AT$1266,0))</f>
        <v/>
      </c>
      <c r="DI1137">
        <f>INDEX('Data_Price '!AR$2:AR$1266,MATCH(Data!$DN1137,'Data_Price '!$AT$2:$AT$1266,0))</f>
        <v/>
      </c>
      <c r="DJ1137" s="138">
        <f>DA1137</f>
        <v/>
      </c>
      <c r="DK1137" s="138">
        <f>DE1137</f>
        <v/>
      </c>
      <c r="DL1137" s="138">
        <f>DI1137</f>
        <v/>
      </c>
      <c r="DM1137" s="303">
        <f>IF(LEFT(BT1137,1)=" ",RIGHT(BT1137,LEN(BT1137)-1),BT1137)</f>
        <v/>
      </c>
      <c r="DN1137" s="138">
        <f>_xlfn.CONCAT(BS1137,DM1137,BU1137,BV1137)</f>
        <v/>
      </c>
      <c r="DO1137" s="307" t="n"/>
    </row>
    <row r="1138" ht="15.6" customHeight="1" s="184">
      <c r="B1138" s="303">
        <f t="array" ref="B1138">IF(OR(ISERROR(K1138:P1138)),FALSE,TRUE)</f>
        <v/>
      </c>
      <c r="C1138" s="60">
        <f>OR(BR1138=Driver!$G$50,Data!BR16=Driver!$H$50)</f>
        <v/>
      </c>
      <c r="D1138" s="60">
        <f>OR(BV1138=Driver!$G$51,BV1138=Driver!$H$51)</f>
        <v/>
      </c>
      <c r="E1138" s="60">
        <f>AND(BX1138&gt;Driver!$F$54,BX1138&lt;Driver!$G$54)</f>
        <v/>
      </c>
      <c r="F1138" s="60">
        <f>CL1138&gt;Driver!$F$56</f>
        <v/>
      </c>
      <c r="G1138" s="60">
        <f>AND(CB1138&gt;Driver!$F$55,CB1138&lt;Driver!$G$55)</f>
        <v/>
      </c>
      <c r="H1138" s="60">
        <f>AND(B1138:G1138)</f>
        <v/>
      </c>
      <c r="I1138" s="60">
        <f>COUNTIFS($H$9:$H$1273,TRUE,$BT$9:$BT$1273,BT1138)</f>
        <v/>
      </c>
      <c r="J1138" s="60">
        <f t="array" ref="J1138">NOT(OR(($H$9:$H$1273=TRUE)*($I$9:$I$1273&gt;0)*($BT$9:$BT$1273=BT1138)*($K$9:$K$1273&gt;K1138)))</f>
        <v/>
      </c>
      <c r="K1138" s="108">
        <f>IFERROR(1-AVERAGE(X1138:Y1138),"")</f>
        <v/>
      </c>
      <c r="L1138" s="108">
        <f>1-X1138</f>
        <v/>
      </c>
      <c r="M1138" s="108">
        <f>1-Y1138</f>
        <v/>
      </c>
      <c r="N1138" s="108">
        <f>1-Z1138</f>
        <v/>
      </c>
      <c r="O1138" s="108">
        <f>1-AA1138</f>
        <v/>
      </c>
      <c r="P1138" s="108">
        <f>1-AB1138</f>
        <v/>
      </c>
      <c r="Q1138" s="108" t="n"/>
      <c r="R1138" s="108" t="n"/>
      <c r="S1138" s="108">
        <f>1-AE1138</f>
        <v/>
      </c>
      <c r="T1138" s="108">
        <f>1-AF1138</f>
        <v/>
      </c>
      <c r="U1138" s="108">
        <f>1-AG1138</f>
        <v/>
      </c>
      <c r="V1138" s="108">
        <f>1-AH1138</f>
        <v/>
      </c>
      <c r="W1138" s="108">
        <f>1-AI1138</f>
        <v/>
      </c>
      <c r="X1138" s="108">
        <f>ABS(AJ1138-AJ$1)</f>
        <v/>
      </c>
      <c r="Y1138" s="108">
        <f>AVERAGE(Z1138:AB1138)</f>
        <v/>
      </c>
      <c r="Z1138" s="108">
        <f>ABS(AL1138-AL$1)</f>
        <v/>
      </c>
      <c r="AA1138" s="108">
        <f>ABS(AM1138-AM$1)</f>
        <v/>
      </c>
      <c r="AB1138" s="108">
        <f>ABS(AN1138-AN$1)</f>
        <v/>
      </c>
      <c r="AC1138" s="108" t="n"/>
      <c r="AD1138" s="108" t="n"/>
      <c r="AE1138" s="108">
        <f>ABS(AQ$1-AQ1138)</f>
        <v/>
      </c>
      <c r="AF1138" s="108">
        <f>ABS(AR$1-AR1138)</f>
        <v/>
      </c>
      <c r="AG1138" s="108">
        <f>ABS(AS$1-AS1138)</f>
        <v/>
      </c>
      <c r="AH1138" s="108">
        <f>ABS(AT$1-AT1138)</f>
        <v/>
      </c>
      <c r="AI1138" s="108">
        <f>ABS(AU$1-AU1138)</f>
        <v/>
      </c>
      <c r="AJ1138" s="108">
        <f>(AV1138-Driver!$K$179)/(Driver!$L$179-Driver!$K$179)</f>
        <v/>
      </c>
      <c r="AK1138" s="108">
        <f>(AW1138-Driver!$K$180)/(Driver!$L$180-Driver!$K$180)</f>
        <v/>
      </c>
      <c r="AL1138" s="108">
        <f>(AX1138-Driver!$K$181)/(Driver!$L$181-Driver!$K$181)</f>
        <v/>
      </c>
      <c r="AM1138" s="108">
        <f>(AY1138-Driver!$K$182)/(Driver!$L$182-Driver!$K$182)</f>
        <v/>
      </c>
      <c r="AN1138" s="108">
        <f>(AZ1138-Driver!$K$183)/(Driver!$L$183-Driver!$K$183)</f>
        <v/>
      </c>
      <c r="AO1138" s="108" t="n"/>
      <c r="AP1138" s="108" t="n"/>
      <c r="AQ1138" s="108">
        <f>(BC1138-Driver!$K$188)/(Driver!$L$188-Driver!$K$188)</f>
        <v/>
      </c>
      <c r="AR1138" s="108">
        <f>MIN((BD1138-Driver!$K$189)/(Driver!$L$189-Driver!$K$189),100%)</f>
        <v/>
      </c>
      <c r="AS1138" s="108">
        <f>(BE1138-Driver!$K$190)/(Driver!$L$190-Driver!$K$190)</f>
        <v/>
      </c>
      <c r="AT1138" s="108">
        <f>(BF1138-Driver!$K$191)/(Driver!$L$191-Driver!$K$191)</f>
        <v/>
      </c>
      <c r="AU1138" s="108">
        <f>(BG1138-Driver!$K$192)/(Driver!$L$192-Driver!$K$192)</f>
        <v/>
      </c>
      <c r="AV1138" s="105">
        <f>IFERROR(BM1138*BJ1138^1/4,"")</f>
        <v/>
      </c>
      <c r="AW1138" s="105">
        <f>IFERROR(SUM(AX1138:AZ1138),"")</f>
        <v/>
      </c>
      <c r="AX1138" s="105">
        <f>IFERROR(BH1138,"")</f>
        <v/>
      </c>
      <c r="AY1138" s="105">
        <f>IFERROR(Driver!$K$19/Data!BH1138/Data!BI1138*Data!BK1138*Data!BL1138,"")</f>
        <v/>
      </c>
      <c r="AZ1138" s="105">
        <f>IFERROR(BI1138*BN1138,"")</f>
        <v/>
      </c>
      <c r="BA1138" s="105" t="n"/>
      <c r="BB1138" s="105" t="n"/>
      <c r="BC1138" s="105">
        <f>IFERROR(BI1138*BN1138*BK1138/BJ1138^(1/2),"")</f>
        <v/>
      </c>
      <c r="BD1138" s="105">
        <f>IFERROR(BH1138*BM1138*BL1138/BJ1138/BK1138,"")</f>
        <v/>
      </c>
      <c r="BE1138" s="105">
        <f>IFERROR(MIN(BI1138/BQ1138/BP1138/BO1138/BH1138,$BE$1),"")</f>
        <v/>
      </c>
      <c r="BF1138" s="105">
        <f>IFERROR(BJ1138*BO1138*BP1138/BK1138,"")</f>
        <v/>
      </c>
      <c r="BG1138" s="105">
        <f>IFERROR(1/BM1138/BH1138*BQ1138,"")</f>
        <v/>
      </c>
      <c r="BH1138" s="102">
        <f>MAX((CE1138-Driver!$F$200)/(Driver!$G$200-Driver!$F$200)*$BI$1,1)</f>
        <v/>
      </c>
      <c r="BI1138" s="102">
        <f>MAX($BI$1*(BY1138-Driver!$F$201)/(Driver!$G$201-Driver!$F$201),1)</f>
        <v/>
      </c>
      <c r="BJ1138" s="102">
        <f>(CB1138-Driver!$F$206)/(Driver!$G$206-Driver!$F$206)*$BI$1</f>
        <v/>
      </c>
      <c r="BK1138" s="102">
        <f>(CD1138-Driver!$F$203)/(Driver!$G$203-Driver!$F$203)*$BI$1</f>
        <v/>
      </c>
      <c r="BL1138" s="102">
        <f>MAX((CR1138-Driver!$F$202)/(Driver!$G$202-Driver!$F$202)*$BI$1,1)</f>
        <v/>
      </c>
      <c r="BM1138" s="102">
        <f>MAX((CH1138-Driver!$F$204)/(Driver!$G$204-Driver!$F$204)*$BI$1,1)</f>
        <v/>
      </c>
      <c r="BN1138" s="102">
        <f>(CI1138-Driver!$F$205)/(Driver!$G$205-Driver!$F$205)*$BI$1</f>
        <v/>
      </c>
      <c r="BO1138" s="102">
        <f>(CK1138-Driver!$F$207)/(Driver!$G$207-Driver!$F$207)*$BI$1</f>
        <v/>
      </c>
      <c r="BP1138" s="102">
        <f>(CM1138-Driver!$F$208)/(Driver!$G$208-Driver!$F$208)*$BI$1</f>
        <v/>
      </c>
      <c r="BQ1138" s="102">
        <f>(CL1138-Driver!$F$209)/(Driver!$G$209-Driver!$F$209)*$BI$1</f>
        <v/>
      </c>
      <c r="BR1138" s="40" t="inlineStr">
        <is>
          <t>21/22</t>
        </is>
      </c>
      <c r="BS1138" s="10" t="inlineStr">
        <is>
          <t xml:space="preserve"> 4FRNT</t>
        </is>
      </c>
      <c r="BT1138" s="11" t="inlineStr">
        <is>
          <t xml:space="preserve"> Hoji CC</t>
        </is>
      </c>
      <c r="BU1138" s="13" t="n">
        <v>170</v>
      </c>
      <c r="BV1138" s="11" t="inlineStr">
        <is>
          <t xml:space="preserve"> Women's</t>
        </is>
      </c>
      <c r="BW1138" s="13" t="n">
        <v>170</v>
      </c>
      <c r="BX1138" s="13" t="n">
        <v>168.6</v>
      </c>
      <c r="BY1138" s="13" t="n">
        <v>0</v>
      </c>
      <c r="BZ1138" s="13" t="n">
        <v>117</v>
      </c>
      <c r="CA1138" s="13" t="n">
        <v>125</v>
      </c>
      <c r="CB1138" s="13" t="n">
        <v>111</v>
      </c>
      <c r="CC1138" s="13" t="n">
        <v>117</v>
      </c>
      <c r="CD1138" s="13" t="n">
        <v>29.9</v>
      </c>
      <c r="CE1138" s="13" t="n">
        <v>1785</v>
      </c>
      <c r="CF1138" s="13" t="n">
        <v>1.08</v>
      </c>
      <c r="CG1138" s="13" t="n">
        <v>1933</v>
      </c>
      <c r="CH1138" s="13" t="n">
        <v>258</v>
      </c>
      <c r="CI1138" s="13" t="n">
        <v>120</v>
      </c>
      <c r="CJ1138" s="13" t="n">
        <v>76</v>
      </c>
      <c r="CK1138" s="13" t="n">
        <v>911</v>
      </c>
      <c r="CL1138" s="13" t="n">
        <v>31</v>
      </c>
      <c r="CM1138" s="13" t="n">
        <v>775</v>
      </c>
      <c r="CN1138" s="13" t="n">
        <v>0.411</v>
      </c>
      <c r="CO1138" s="13" t="n">
        <v>200</v>
      </c>
      <c r="CP1138" s="13" t="n">
        <v>314</v>
      </c>
      <c r="CQ1138" s="13" t="n">
        <v>711</v>
      </c>
      <c r="CR1138" s="13" t="n">
        <v>-11</v>
      </c>
      <c r="CS1138" s="13" t="n">
        <v>6.8</v>
      </c>
      <c r="CT1138" s="11" t="inlineStr">
        <is>
          <t xml:space="preserve"> Powder</t>
        </is>
      </c>
      <c r="CU1138" s="11" t="inlineStr">
        <is>
          <t xml:space="preserve"> Touring</t>
        </is>
      </c>
      <c r="CV1138" s="13" t="n"/>
      <c r="CW1138" s="13" t="n"/>
      <c r="CX1138">
        <f>INDEX('Data_Price '!AG$2:AG$1266,MATCH(Data!$DN1138,'Data_Price '!$AT$2:$AT$1266,0))</f>
        <v/>
      </c>
      <c r="CY1138">
        <f>INDEX('Data_Price '!AH$2:AH$1266,MATCH(Data!$DN1138,'Data_Price '!$AT$2:$AT$1266,0))</f>
        <v/>
      </c>
      <c r="CZ1138">
        <f>INDEX('Data_Price '!AI$2:AI$1266,MATCH(Data!$DN1138,'Data_Price '!$AT$2:$AT$1266,0))</f>
        <v/>
      </c>
      <c r="DA1138">
        <f>INDEX('Data_Price '!AJ$2:AJ$1266,MATCH(Data!$DN1138,'Data_Price '!$AT$2:$AT$1266,0))</f>
        <v/>
      </c>
      <c r="DB1138">
        <f>INDEX('Data_Price '!AK$2:AK$1266,MATCH(Data!$DN1138,'Data_Price '!$AT$2:$AT$1266,0))</f>
        <v/>
      </c>
      <c r="DC1138">
        <f>INDEX('Data_Price '!AL$2:AL$1266,MATCH(Data!$DN1138,'Data_Price '!$AT$2:$AT$1266,0))</f>
        <v/>
      </c>
      <c r="DD1138">
        <f>INDEX('Data_Price '!AM$2:AM$1266,MATCH(Data!$DN1138,'Data_Price '!$AT$2:$AT$1266,0))</f>
        <v/>
      </c>
      <c r="DE1138">
        <f>INDEX('Data_Price '!AN$2:AN$1266,MATCH(Data!$DN1138,'Data_Price '!$AT$2:$AT$1266,0))</f>
        <v/>
      </c>
      <c r="DF1138">
        <f>INDEX('Data_Price '!AO$2:AO$1266,MATCH(Data!$DN1138,'Data_Price '!$AT$2:$AT$1266,0))</f>
        <v/>
      </c>
      <c r="DG1138">
        <f>INDEX('Data_Price '!AP$2:AP$1266,MATCH(Data!$DN1138,'Data_Price '!$AT$2:$AT$1266,0))</f>
        <v/>
      </c>
      <c r="DH1138">
        <f>INDEX('Data_Price '!AQ$2:AQ$1266,MATCH(Data!$DN1138,'Data_Price '!$AT$2:$AT$1266,0))</f>
        <v/>
      </c>
      <c r="DI1138">
        <f>INDEX('Data_Price '!AR$2:AR$1266,MATCH(Data!$DN1138,'Data_Price '!$AT$2:$AT$1266,0))</f>
        <v/>
      </c>
      <c r="DJ1138" s="138">
        <f>DA1138</f>
        <v/>
      </c>
      <c r="DK1138" s="138">
        <f>DE1138</f>
        <v/>
      </c>
      <c r="DL1138" s="138">
        <f>DI1138</f>
        <v/>
      </c>
      <c r="DM1138" s="303">
        <f>IF(LEFT(BT1138,1)=" ",RIGHT(BT1138,LEN(BT1138)-1),BT1138)</f>
        <v/>
      </c>
      <c r="DN1138" s="138">
        <f>_xlfn.CONCAT(BS1138,DM1138,BU1138,BV1138)</f>
        <v/>
      </c>
      <c r="DO1138" s="307" t="n"/>
    </row>
    <row r="1139" ht="15.6" customHeight="1" s="184">
      <c r="B1139" s="303">
        <f t="array" ref="B1139">IF(OR(ISERROR(K1139:P1139)),FALSE,TRUE)</f>
        <v/>
      </c>
      <c r="C1139" s="60">
        <f>OR(BR1139=Driver!$G$50,Data!BR956=Driver!$H$50)</f>
        <v/>
      </c>
      <c r="D1139" s="60">
        <f>OR(BV1139=Driver!$G$51,BV1139=Driver!$H$51)</f>
        <v/>
      </c>
      <c r="E1139" s="60">
        <f>AND(BX1139&gt;Driver!$F$54,BX1139&lt;Driver!$G$54)</f>
        <v/>
      </c>
      <c r="F1139" s="60">
        <f>CL1139&gt;Driver!$F$56</f>
        <v/>
      </c>
      <c r="G1139" s="60">
        <f>AND(CB1139&gt;Driver!$F$55,CB1139&lt;Driver!$G$55)</f>
        <v/>
      </c>
      <c r="H1139" s="60">
        <f>AND(B1139:G1139)</f>
        <v/>
      </c>
      <c r="I1139" s="60">
        <f>COUNTIFS($H$9:$H$1273,TRUE,$BT$9:$BT$1273,BT1139)</f>
        <v/>
      </c>
      <c r="J1139" s="60">
        <f t="array" ref="J1139">NOT(OR(($H$9:$H$1273=TRUE)*($I$9:$I$1273&gt;0)*($BT$9:$BT$1273=BT1139)*($K$9:$K$1273&gt;K1139)))</f>
        <v/>
      </c>
      <c r="K1139" s="108">
        <f>IFERROR(1-AVERAGE(X1139:Y1139),"")</f>
        <v/>
      </c>
      <c r="L1139" s="108">
        <f>1-X1139</f>
        <v/>
      </c>
      <c r="M1139" s="108">
        <f>1-Y1139</f>
        <v/>
      </c>
      <c r="N1139" s="108">
        <f>1-Z1139</f>
        <v/>
      </c>
      <c r="O1139" s="108">
        <f>1-AA1139</f>
        <v/>
      </c>
      <c r="P1139" s="108">
        <f>1-AB1139</f>
        <v/>
      </c>
      <c r="Q1139" s="108" t="n"/>
      <c r="R1139" s="108" t="n"/>
      <c r="S1139" s="108">
        <f>1-AE1139</f>
        <v/>
      </c>
      <c r="T1139" s="108">
        <f>1-AF1139</f>
        <v/>
      </c>
      <c r="U1139" s="108">
        <f>1-AG1139</f>
        <v/>
      </c>
      <c r="V1139" s="108">
        <f>1-AH1139</f>
        <v/>
      </c>
      <c r="W1139" s="108">
        <f>1-AI1139</f>
        <v/>
      </c>
      <c r="X1139" s="108">
        <f>ABS(AJ1139-AJ$1)</f>
        <v/>
      </c>
      <c r="Y1139" s="108">
        <f>AVERAGE(Z1139:AB1139)</f>
        <v/>
      </c>
      <c r="Z1139" s="108">
        <f>ABS(AL1139-AL$1)</f>
        <v/>
      </c>
      <c r="AA1139" s="108">
        <f>ABS(AM1139-AM$1)</f>
        <v/>
      </c>
      <c r="AB1139" s="108">
        <f>ABS(AN1139-AN$1)</f>
        <v/>
      </c>
      <c r="AC1139" s="108" t="n"/>
      <c r="AD1139" s="108" t="n"/>
      <c r="AE1139" s="108">
        <f>ABS(AQ$1-AQ1139)</f>
        <v/>
      </c>
      <c r="AF1139" s="108">
        <f>ABS(AR$1-AR1139)</f>
        <v/>
      </c>
      <c r="AG1139" s="108">
        <f>ABS(AS$1-AS1139)</f>
        <v/>
      </c>
      <c r="AH1139" s="108">
        <f>ABS(AT$1-AT1139)</f>
        <v/>
      </c>
      <c r="AI1139" s="108">
        <f>ABS(AU$1-AU1139)</f>
        <v/>
      </c>
      <c r="AJ1139" s="108">
        <f>(AV1139-Driver!$K$179)/(Driver!$L$179-Driver!$K$179)</f>
        <v/>
      </c>
      <c r="AK1139" s="108">
        <f>(AW1139-Driver!$K$180)/(Driver!$L$180-Driver!$K$180)</f>
        <v/>
      </c>
      <c r="AL1139" s="108">
        <f>(AX1139-Driver!$K$181)/(Driver!$L$181-Driver!$K$181)</f>
        <v/>
      </c>
      <c r="AM1139" s="108">
        <f>(AY1139-Driver!$K$182)/(Driver!$L$182-Driver!$K$182)</f>
        <v/>
      </c>
      <c r="AN1139" s="108">
        <f>(AZ1139-Driver!$K$183)/(Driver!$L$183-Driver!$K$183)</f>
        <v/>
      </c>
      <c r="AO1139" s="108" t="n"/>
      <c r="AP1139" s="108" t="n"/>
      <c r="AQ1139" s="108">
        <f>(BC1139-Driver!$K$188)/(Driver!$L$188-Driver!$K$188)</f>
        <v/>
      </c>
      <c r="AR1139" s="108">
        <f>MIN((BD1139-Driver!$K$189)/(Driver!$L$189-Driver!$K$189),100%)</f>
        <v/>
      </c>
      <c r="AS1139" s="108">
        <f>(BE1139-Driver!$K$190)/(Driver!$L$190-Driver!$K$190)</f>
        <v/>
      </c>
      <c r="AT1139" s="108">
        <f>(BF1139-Driver!$K$191)/(Driver!$L$191-Driver!$K$191)</f>
        <v/>
      </c>
      <c r="AU1139" s="108">
        <f>(BG1139-Driver!$K$192)/(Driver!$L$192-Driver!$K$192)</f>
        <v/>
      </c>
      <c r="AV1139" s="105">
        <f>IFERROR(BM1139*BJ1139^1/4,"")</f>
        <v/>
      </c>
      <c r="AW1139" s="105">
        <f>IFERROR(SUM(AX1139:AZ1139),"")</f>
        <v/>
      </c>
      <c r="AX1139" s="105">
        <f>IFERROR(BH1139,"")</f>
        <v/>
      </c>
      <c r="AY1139" s="105">
        <f>IFERROR(Driver!$K$19/Data!BH1139/Data!BI1139*Data!BK1139*Data!BL1139,"")</f>
        <v/>
      </c>
      <c r="AZ1139" s="105">
        <f>IFERROR(BI1139*BN1139,"")</f>
        <v/>
      </c>
      <c r="BA1139" s="105" t="n"/>
      <c r="BB1139" s="105" t="n"/>
      <c r="BC1139" s="105">
        <f>IFERROR(BI1139*BN1139*BK1139/BJ1139^(1/2),"")</f>
        <v/>
      </c>
      <c r="BD1139" s="105">
        <f>IFERROR(BH1139*BM1139*BL1139/BJ1139/BK1139,"")</f>
        <v/>
      </c>
      <c r="BE1139" s="105">
        <f>IFERROR(MIN(BI1139/BQ1139/BP1139/BO1139/BH1139,$BE$1),"")</f>
        <v/>
      </c>
      <c r="BF1139" s="105">
        <f>IFERROR(BJ1139*BO1139*BP1139/BK1139,"")</f>
        <v/>
      </c>
      <c r="BG1139" s="105">
        <f>IFERROR(1/BM1139/BH1139*BQ1139,"")</f>
        <v/>
      </c>
      <c r="BH1139" s="102">
        <f>MAX((CE1139-Driver!$F$200)/(Driver!$G$200-Driver!$F$200)*$BI$1,1)</f>
        <v/>
      </c>
      <c r="BI1139" s="102">
        <f>MAX($BI$1*(BY1139-Driver!$F$201)/(Driver!$G$201-Driver!$F$201),1)</f>
        <v/>
      </c>
      <c r="BJ1139" s="102">
        <f>(CB1139-Driver!$F$206)/(Driver!$G$206-Driver!$F$206)*$BI$1</f>
        <v/>
      </c>
      <c r="BK1139" s="102">
        <f>(CD1139-Driver!$F$203)/(Driver!$G$203-Driver!$F$203)*$BI$1</f>
        <v/>
      </c>
      <c r="BL1139" s="102">
        <f>MAX((CR1139-Driver!$F$202)/(Driver!$G$202-Driver!$F$202)*$BI$1,1)</f>
        <v/>
      </c>
      <c r="BM1139" s="102">
        <f>MAX((CH1139-Driver!$F$204)/(Driver!$G$204-Driver!$F$204)*$BI$1,1)</f>
        <v/>
      </c>
      <c r="BN1139" s="102">
        <f>(CI1139-Driver!$F$205)/(Driver!$G$205-Driver!$F$205)*$BI$1</f>
        <v/>
      </c>
      <c r="BO1139" s="102">
        <f>(CK1139-Driver!$F$207)/(Driver!$G$207-Driver!$F$207)*$BI$1</f>
        <v/>
      </c>
      <c r="BP1139" s="102">
        <f>(CM1139-Driver!$F$208)/(Driver!$G$208-Driver!$F$208)*$BI$1</f>
        <v/>
      </c>
      <c r="BQ1139" s="102">
        <f>(CL1139-Driver!$F$209)/(Driver!$G$209-Driver!$F$209)*$BI$1</f>
        <v/>
      </c>
      <c r="BR1139" s="40" t="inlineStr">
        <is>
          <t>21/22</t>
        </is>
      </c>
      <c r="BS1139" s="10" t="inlineStr">
        <is>
          <t xml:space="preserve"> Raccoon</t>
        </is>
      </c>
      <c r="BT1139" s="11" t="inlineStr">
        <is>
          <t xml:space="preserve"> Le Condor Ti</t>
        </is>
      </c>
      <c r="BU1139" s="13" t="n">
        <v>178</v>
      </c>
      <c r="BV1139" s="11" t="inlineStr">
        <is>
          <t xml:space="preserve"> Unisex</t>
        </is>
      </c>
      <c r="BW1139" s="13" t="n">
        <v>178</v>
      </c>
      <c r="BX1139" s="13" t="n">
        <v>176.6</v>
      </c>
      <c r="BY1139" s="13" t="n">
        <v>148</v>
      </c>
      <c r="BZ1139" s="13" t="n">
        <v>167</v>
      </c>
      <c r="CA1139" s="13" t="n">
        <v>131</v>
      </c>
      <c r="CB1139" s="13" t="n">
        <v>75</v>
      </c>
      <c r="CC1139" s="13" t="n">
        <v>115</v>
      </c>
      <c r="CD1139" s="13" t="n">
        <v>14.6</v>
      </c>
      <c r="CE1139" s="13" t="n">
        <v>1796</v>
      </c>
      <c r="CF1139" s="13" t="n">
        <v>0.91</v>
      </c>
      <c r="CG1139" s="13" t="n">
        <v>1632</v>
      </c>
      <c r="CH1139" s="13" t="n">
        <v>220</v>
      </c>
      <c r="CI1139" s="13" t="n">
        <v>146</v>
      </c>
      <c r="CJ1139" s="13" t="n">
        <v>48</v>
      </c>
      <c r="CK1139" s="13" t="n">
        <v>207</v>
      </c>
      <c r="CL1139" s="13" t="n">
        <v>9</v>
      </c>
      <c r="CM1139" s="13" t="n">
        <v>83</v>
      </c>
      <c r="CN1139" s="13" t="n">
        <v>0.182</v>
      </c>
      <c r="CO1139" s="13" t="n">
        <v>52</v>
      </c>
      <c r="CP1139" s="13" t="n">
        <v>47</v>
      </c>
      <c r="CQ1139" s="13" t="n">
        <v>155</v>
      </c>
      <c r="CR1139" s="13" t="n">
        <v>7</v>
      </c>
      <c r="CS1139" s="13" t="n">
        <v>12.8</v>
      </c>
      <c r="CT1139" s="11" t="inlineStr">
        <is>
          <t xml:space="preserve"> On-Piste Carving</t>
        </is>
      </c>
      <c r="CU1139" s="13" t="n"/>
      <c r="CV1139" s="13" t="n"/>
      <c r="CW1139" s="13" t="n"/>
      <c r="CX1139">
        <f>INDEX('Data_Price '!AG$2:AG$1266,MATCH(Data!$DN1139,'Data_Price '!$AT$2:$AT$1266,0))</f>
        <v/>
      </c>
      <c r="CY1139">
        <f>INDEX('Data_Price '!AH$2:AH$1266,MATCH(Data!$DN1139,'Data_Price '!$AT$2:$AT$1266,0))</f>
        <v/>
      </c>
      <c r="CZ1139">
        <f>INDEX('Data_Price '!AI$2:AI$1266,MATCH(Data!$DN1139,'Data_Price '!$AT$2:$AT$1266,0))</f>
        <v/>
      </c>
      <c r="DA1139">
        <f>INDEX('Data_Price '!AJ$2:AJ$1266,MATCH(Data!$DN1139,'Data_Price '!$AT$2:$AT$1266,0))</f>
        <v/>
      </c>
      <c r="DB1139">
        <f>INDEX('Data_Price '!AK$2:AK$1266,MATCH(Data!$DN1139,'Data_Price '!$AT$2:$AT$1266,0))</f>
        <v/>
      </c>
      <c r="DC1139">
        <f>INDEX('Data_Price '!AL$2:AL$1266,MATCH(Data!$DN1139,'Data_Price '!$AT$2:$AT$1266,0))</f>
        <v/>
      </c>
      <c r="DD1139">
        <f>INDEX('Data_Price '!AM$2:AM$1266,MATCH(Data!$DN1139,'Data_Price '!$AT$2:$AT$1266,0))</f>
        <v/>
      </c>
      <c r="DE1139">
        <f>INDEX('Data_Price '!AN$2:AN$1266,MATCH(Data!$DN1139,'Data_Price '!$AT$2:$AT$1266,0))</f>
        <v/>
      </c>
      <c r="DF1139">
        <f>INDEX('Data_Price '!AO$2:AO$1266,MATCH(Data!$DN1139,'Data_Price '!$AT$2:$AT$1266,0))</f>
        <v/>
      </c>
      <c r="DG1139">
        <f>INDEX('Data_Price '!AP$2:AP$1266,MATCH(Data!$DN1139,'Data_Price '!$AT$2:$AT$1266,0))</f>
        <v/>
      </c>
      <c r="DH1139">
        <f>INDEX('Data_Price '!AQ$2:AQ$1266,MATCH(Data!$DN1139,'Data_Price '!$AT$2:$AT$1266,0))</f>
        <v/>
      </c>
      <c r="DI1139">
        <f>INDEX('Data_Price '!AR$2:AR$1266,MATCH(Data!$DN1139,'Data_Price '!$AT$2:$AT$1266,0))</f>
        <v/>
      </c>
      <c r="DJ1139" s="138">
        <f>DA1139</f>
        <v/>
      </c>
      <c r="DK1139" s="138">
        <f>DE1139</f>
        <v/>
      </c>
      <c r="DL1139" s="138">
        <f>DI1139</f>
        <v/>
      </c>
      <c r="DM1139" s="303">
        <f>IF(LEFT(BT1139,1)=" ",RIGHT(BT1139,LEN(BT1139)-1),BT1139)</f>
        <v/>
      </c>
      <c r="DN1139" s="138">
        <f>_xlfn.CONCAT(BS1139,DM1139,BU1139,BV1139)</f>
        <v/>
      </c>
      <c r="DO1139" s="307" t="n"/>
    </row>
    <row r="1140" ht="15.6" customHeight="1" s="184">
      <c r="B1140" s="303">
        <f t="array" ref="B1140">IF(OR(ISERROR(K1140:P1140)),FALSE,TRUE)</f>
        <v/>
      </c>
      <c r="C1140" s="60">
        <f>OR(BR1140=Driver!$G$50,Data!BR853=Driver!$H$50)</f>
        <v/>
      </c>
      <c r="D1140" s="60">
        <f>OR(BV1140=Driver!$G$51,BV1140=Driver!$H$51)</f>
        <v/>
      </c>
      <c r="E1140" s="60">
        <f>AND(BX1140&gt;Driver!$F$54,BX1140&lt;Driver!$G$54)</f>
        <v/>
      </c>
      <c r="F1140" s="60">
        <f>CL1140&gt;Driver!$F$56</f>
        <v/>
      </c>
      <c r="G1140" s="60">
        <f>AND(CB1140&gt;Driver!$F$55,CB1140&lt;Driver!$G$55)</f>
        <v/>
      </c>
      <c r="H1140" s="60">
        <f>AND(B1140:G1140)</f>
        <v/>
      </c>
      <c r="I1140" s="60">
        <f>COUNTIFS($H$9:$H$1273,TRUE,$BT$9:$BT$1273,BT1140)</f>
        <v/>
      </c>
      <c r="J1140" s="60">
        <f t="array" ref="J1140">NOT(OR(($H$9:$H$1273=TRUE)*($I$9:$I$1273&gt;0)*($BT$9:$BT$1273=BT1140)*($K$9:$K$1273&gt;K1140)))</f>
        <v/>
      </c>
      <c r="K1140" s="108">
        <f>IFERROR(1-AVERAGE(X1140:Y1140),"")</f>
        <v/>
      </c>
      <c r="L1140" s="108">
        <f>1-X1140</f>
        <v/>
      </c>
      <c r="M1140" s="108">
        <f>1-Y1140</f>
        <v/>
      </c>
      <c r="N1140" s="108">
        <f>1-Z1140</f>
        <v/>
      </c>
      <c r="O1140" s="108">
        <f>1-AA1140</f>
        <v/>
      </c>
      <c r="P1140" s="108">
        <f>1-AB1140</f>
        <v/>
      </c>
      <c r="Q1140" s="108" t="n"/>
      <c r="R1140" s="108" t="n"/>
      <c r="S1140" s="108">
        <f>1-AE1140</f>
        <v/>
      </c>
      <c r="T1140" s="108">
        <f>1-AF1140</f>
        <v/>
      </c>
      <c r="U1140" s="108">
        <f>1-AG1140</f>
        <v/>
      </c>
      <c r="V1140" s="108">
        <f>1-AH1140</f>
        <v/>
      </c>
      <c r="W1140" s="108">
        <f>1-AI1140</f>
        <v/>
      </c>
      <c r="X1140" s="108">
        <f>ABS(AJ1140-AJ$1)</f>
        <v/>
      </c>
      <c r="Y1140" s="108">
        <f>AVERAGE(Z1140:AB1140)</f>
        <v/>
      </c>
      <c r="Z1140" s="108">
        <f>ABS(AL1140-AL$1)</f>
        <v/>
      </c>
      <c r="AA1140" s="108">
        <f>ABS(AM1140-AM$1)</f>
        <v/>
      </c>
      <c r="AB1140" s="108">
        <f>ABS(AN1140-AN$1)</f>
        <v/>
      </c>
      <c r="AC1140" s="108" t="n"/>
      <c r="AD1140" s="108" t="n"/>
      <c r="AE1140" s="108">
        <f>ABS(AQ$1-AQ1140)</f>
        <v/>
      </c>
      <c r="AF1140" s="108">
        <f>ABS(AR$1-AR1140)</f>
        <v/>
      </c>
      <c r="AG1140" s="108">
        <f>ABS(AS$1-AS1140)</f>
        <v/>
      </c>
      <c r="AH1140" s="108">
        <f>ABS(AT$1-AT1140)</f>
        <v/>
      </c>
      <c r="AI1140" s="108">
        <f>ABS(AU$1-AU1140)</f>
        <v/>
      </c>
      <c r="AJ1140" s="108">
        <f>(AV1140-Driver!$K$179)/(Driver!$L$179-Driver!$K$179)</f>
        <v/>
      </c>
      <c r="AK1140" s="108">
        <f>(AW1140-Driver!$K$180)/(Driver!$L$180-Driver!$K$180)</f>
        <v/>
      </c>
      <c r="AL1140" s="108">
        <f>(AX1140-Driver!$K$181)/(Driver!$L$181-Driver!$K$181)</f>
        <v/>
      </c>
      <c r="AM1140" s="108">
        <f>(AY1140-Driver!$K$182)/(Driver!$L$182-Driver!$K$182)</f>
        <v/>
      </c>
      <c r="AN1140" s="108">
        <f>(AZ1140-Driver!$K$183)/(Driver!$L$183-Driver!$K$183)</f>
        <v/>
      </c>
      <c r="AO1140" s="108" t="n"/>
      <c r="AP1140" s="108" t="n"/>
      <c r="AQ1140" s="108">
        <f>(BC1140-Driver!$K$188)/(Driver!$L$188-Driver!$K$188)</f>
        <v/>
      </c>
      <c r="AR1140" s="108">
        <f>MIN((BD1140-Driver!$K$189)/(Driver!$L$189-Driver!$K$189),100%)</f>
        <v/>
      </c>
      <c r="AS1140" s="108">
        <f>(BE1140-Driver!$K$190)/(Driver!$L$190-Driver!$K$190)</f>
        <v/>
      </c>
      <c r="AT1140" s="108">
        <f>(BF1140-Driver!$K$191)/(Driver!$L$191-Driver!$K$191)</f>
        <v/>
      </c>
      <c r="AU1140" s="108">
        <f>(BG1140-Driver!$K$192)/(Driver!$L$192-Driver!$K$192)</f>
        <v/>
      </c>
      <c r="AV1140" s="105">
        <f>IFERROR(BM1140*BJ1140^1/4,"")</f>
        <v/>
      </c>
      <c r="AW1140" s="105">
        <f>IFERROR(SUM(AX1140:AZ1140),"")</f>
        <v/>
      </c>
      <c r="AX1140" s="105">
        <f>IFERROR(BH1140,"")</f>
        <v/>
      </c>
      <c r="AY1140" s="105">
        <f>IFERROR(Driver!$K$19/Data!BH1140/Data!BI1140*Data!BK1140*Data!BL1140,"")</f>
        <v/>
      </c>
      <c r="AZ1140" s="105">
        <f>IFERROR(BI1140*BN1140,"")</f>
        <v/>
      </c>
      <c r="BA1140" s="105" t="n"/>
      <c r="BB1140" s="105" t="n"/>
      <c r="BC1140" s="105">
        <f>IFERROR(BI1140*BN1140*BK1140/BJ1140^(1/2),"")</f>
        <v/>
      </c>
      <c r="BD1140" s="105">
        <f>IFERROR(BH1140*BM1140*BL1140/BJ1140/BK1140,"")</f>
        <v/>
      </c>
      <c r="BE1140" s="105">
        <f>IFERROR(MIN(BI1140/BQ1140/BP1140/BO1140/BH1140,$BE$1),"")</f>
        <v/>
      </c>
      <c r="BF1140" s="105">
        <f>IFERROR(BJ1140*BO1140*BP1140/BK1140,"")</f>
        <v/>
      </c>
      <c r="BG1140" s="105">
        <f>IFERROR(1/BM1140/BH1140*BQ1140,"")</f>
        <v/>
      </c>
      <c r="BH1140" s="102">
        <f>MAX((CE1140-Driver!$F$200)/(Driver!$G$200-Driver!$F$200)*$BI$1,1)</f>
        <v/>
      </c>
      <c r="BI1140" s="102">
        <f>MAX($BI$1*(BY1140-Driver!$F$201)/(Driver!$G$201-Driver!$F$201),1)</f>
        <v/>
      </c>
      <c r="BJ1140" s="102">
        <f>(CB1140-Driver!$F$206)/(Driver!$G$206-Driver!$F$206)*$BI$1</f>
        <v/>
      </c>
      <c r="BK1140" s="102">
        <f>(CD1140-Driver!$F$203)/(Driver!$G$203-Driver!$F$203)*$BI$1</f>
        <v/>
      </c>
      <c r="BL1140" s="102">
        <f>MAX((CR1140-Driver!$F$202)/(Driver!$G$202-Driver!$F$202)*$BI$1,1)</f>
        <v/>
      </c>
      <c r="BM1140" s="102">
        <f>MAX((CH1140-Driver!$F$204)/(Driver!$G$204-Driver!$F$204)*$BI$1,1)</f>
        <v/>
      </c>
      <c r="BN1140" s="102">
        <f>(CI1140-Driver!$F$205)/(Driver!$G$205-Driver!$F$205)*$BI$1</f>
        <v/>
      </c>
      <c r="BO1140" s="102">
        <f>(CK1140-Driver!$F$207)/(Driver!$G$207-Driver!$F$207)*$BI$1</f>
        <v/>
      </c>
      <c r="BP1140" s="102">
        <f>(CM1140-Driver!$F$208)/(Driver!$G$208-Driver!$F$208)*$BI$1</f>
        <v/>
      </c>
      <c r="BQ1140" s="102">
        <f>(CL1140-Driver!$F$209)/(Driver!$G$209-Driver!$F$209)*$BI$1</f>
        <v/>
      </c>
      <c r="BR1140" s="40" t="inlineStr">
        <is>
          <t>21/22</t>
        </is>
      </c>
      <c r="BS1140" s="10" t="inlineStr">
        <is>
          <t xml:space="preserve"> Line</t>
        </is>
      </c>
      <c r="BT1140" s="11" t="inlineStr">
        <is>
          <t>Pandora 94</t>
        </is>
      </c>
      <c r="BU1140" s="13" t="n">
        <v>158</v>
      </c>
      <c r="BV1140" s="11" t="inlineStr">
        <is>
          <t xml:space="preserve"> Women's</t>
        </is>
      </c>
      <c r="BW1140" s="13" t="n">
        <v>158</v>
      </c>
      <c r="BX1140" s="13" t="n">
        <v>158.2</v>
      </c>
      <c r="BY1140" s="13" t="n">
        <v>118</v>
      </c>
      <c r="BZ1140" s="13" t="n">
        <v>133</v>
      </c>
      <c r="CA1140" s="13" t="n">
        <v>130</v>
      </c>
      <c r="CB1140" s="13" t="n">
        <v>93</v>
      </c>
      <c r="CC1140" s="13" t="n">
        <v>116</v>
      </c>
      <c r="CD1140" s="13" t="n">
        <v>13.4</v>
      </c>
      <c r="CE1140" s="13" t="n">
        <v>1310</v>
      </c>
      <c r="CF1140" s="13" t="n">
        <v>1.27</v>
      </c>
      <c r="CG1140" s="13" t="n">
        <v>1663</v>
      </c>
      <c r="CH1140" s="13" t="n">
        <v>122</v>
      </c>
      <c r="CI1140" s="13" t="n">
        <v>57</v>
      </c>
      <c r="CJ1140" s="13" t="n">
        <v>38</v>
      </c>
      <c r="CK1140" s="13" t="n">
        <v>278</v>
      </c>
      <c r="CL1140" s="13" t="n">
        <v>13</v>
      </c>
      <c r="CM1140" s="13" t="n">
        <v>119</v>
      </c>
      <c r="CN1140" s="13" t="n">
        <v>0.346</v>
      </c>
      <c r="CO1140" s="13" t="n">
        <v>135</v>
      </c>
      <c r="CP1140" s="13" t="n">
        <v>117</v>
      </c>
      <c r="CQ1140" s="13" t="n">
        <v>143</v>
      </c>
      <c r="CR1140" s="13" t="n">
        <v>6</v>
      </c>
      <c r="CS1140" s="13" t="n">
        <v>9</v>
      </c>
      <c r="CT1140" s="11" t="inlineStr">
        <is>
          <t xml:space="preserve"> Resort Freeride</t>
        </is>
      </c>
      <c r="CU1140" s="11" t="inlineStr">
        <is>
          <t xml:space="preserve"> Touring</t>
        </is>
      </c>
      <c r="CV1140" s="11" t="inlineStr">
        <is>
          <t xml:space="preserve"> Ultralight Touring</t>
        </is>
      </c>
      <c r="CW1140" s="13" t="n"/>
      <c r="CX1140">
        <f>INDEX('Data_Price '!AG$2:AG$1266,MATCH(Data!$DN1140,'Data_Price '!$AT$2:$AT$1266,0))</f>
        <v/>
      </c>
      <c r="CY1140">
        <f>INDEX('Data_Price '!AH$2:AH$1266,MATCH(Data!$DN1140,'Data_Price '!$AT$2:$AT$1266,0))</f>
        <v/>
      </c>
      <c r="CZ1140">
        <f>INDEX('Data_Price '!AI$2:AI$1266,MATCH(Data!$DN1140,'Data_Price '!$AT$2:$AT$1266,0))</f>
        <v/>
      </c>
      <c r="DA1140">
        <f>INDEX('Data_Price '!AJ$2:AJ$1266,MATCH(Data!$DN1140,'Data_Price '!$AT$2:$AT$1266,0))</f>
        <v/>
      </c>
      <c r="DB1140">
        <f>INDEX('Data_Price '!AK$2:AK$1266,MATCH(Data!$DN1140,'Data_Price '!$AT$2:$AT$1266,0))</f>
        <v/>
      </c>
      <c r="DC1140">
        <f>INDEX('Data_Price '!AL$2:AL$1266,MATCH(Data!$DN1140,'Data_Price '!$AT$2:$AT$1266,0))</f>
        <v/>
      </c>
      <c r="DD1140">
        <f>INDEX('Data_Price '!AM$2:AM$1266,MATCH(Data!$DN1140,'Data_Price '!$AT$2:$AT$1266,0))</f>
        <v/>
      </c>
      <c r="DE1140">
        <f>INDEX('Data_Price '!AN$2:AN$1266,MATCH(Data!$DN1140,'Data_Price '!$AT$2:$AT$1266,0))</f>
        <v/>
      </c>
      <c r="DF1140">
        <f>INDEX('Data_Price '!AO$2:AO$1266,MATCH(Data!$DN1140,'Data_Price '!$AT$2:$AT$1266,0))</f>
        <v/>
      </c>
      <c r="DG1140">
        <f>INDEX('Data_Price '!AP$2:AP$1266,MATCH(Data!$DN1140,'Data_Price '!$AT$2:$AT$1266,0))</f>
        <v/>
      </c>
      <c r="DH1140">
        <f>INDEX('Data_Price '!AQ$2:AQ$1266,MATCH(Data!$DN1140,'Data_Price '!$AT$2:$AT$1266,0))</f>
        <v/>
      </c>
      <c r="DI1140">
        <f>INDEX('Data_Price '!AR$2:AR$1266,MATCH(Data!$DN1140,'Data_Price '!$AT$2:$AT$1266,0))</f>
        <v/>
      </c>
      <c r="DJ1140" s="138">
        <f>DA1140</f>
        <v/>
      </c>
      <c r="DK1140" s="138">
        <f>DE1140</f>
        <v/>
      </c>
      <c r="DL1140" s="138">
        <f>DI1140</f>
        <v/>
      </c>
      <c r="DM1140" s="303">
        <f>IF(LEFT(BT1140,1)=" ",RIGHT(BT1140,LEN(BT1140)-1),BT1140)</f>
        <v/>
      </c>
      <c r="DN1140" s="138">
        <f>_xlfn.CONCAT(BS1140,DM1140,BU1140,BV1140)</f>
        <v/>
      </c>
      <c r="DO1140" s="307" t="inlineStr">
        <is>
          <t>https://images.evo.com/imgp/250/197210/792887/line-skis-pandora-94-skis-women-s-2022-.jpg</t>
        </is>
      </c>
    </row>
    <row r="1141" ht="15.6" customHeight="1" s="184">
      <c r="B1141" s="303">
        <f t="array" ref="B1141">IF(OR(ISERROR(K1141:P1141)),FALSE,TRUE)</f>
        <v/>
      </c>
      <c r="C1141" s="60">
        <f>OR(BR1141=Driver!$G$50,Data!BR791=Driver!$H$50)</f>
        <v/>
      </c>
      <c r="D1141" s="60">
        <f>OR(BV1141=Driver!$G$51,BV1141=Driver!$H$51)</f>
        <v/>
      </c>
      <c r="E1141" s="60">
        <f>AND(BX1141&gt;Driver!$F$54,BX1141&lt;Driver!$G$54)</f>
        <v/>
      </c>
      <c r="F1141" s="60">
        <f>CL1141&gt;Driver!$F$56</f>
        <v/>
      </c>
      <c r="G1141" s="60">
        <f>AND(CB1141&gt;Driver!$F$55,CB1141&lt;Driver!$G$55)</f>
        <v/>
      </c>
      <c r="H1141" s="60">
        <f>AND(B1141:G1141)</f>
        <v/>
      </c>
      <c r="I1141" s="60">
        <f>COUNTIFS($H$9:$H$1273,TRUE,$BT$9:$BT$1273,BT1141)</f>
        <v/>
      </c>
      <c r="J1141" s="60">
        <f t="array" ref="J1141">NOT(OR(($H$9:$H$1273=TRUE)*($I$9:$I$1273&gt;0)*($BT$9:$BT$1273=BT1141)*($K$9:$K$1273&gt;K1141)))</f>
        <v/>
      </c>
      <c r="K1141" s="108">
        <f>IFERROR(1-AVERAGE(X1141:Y1141),"")</f>
        <v/>
      </c>
      <c r="L1141" s="108">
        <f>1-X1141</f>
        <v/>
      </c>
      <c r="M1141" s="108">
        <f>1-Y1141</f>
        <v/>
      </c>
      <c r="N1141" s="108">
        <f>1-Z1141</f>
        <v/>
      </c>
      <c r="O1141" s="108">
        <f>1-AA1141</f>
        <v/>
      </c>
      <c r="P1141" s="108">
        <f>1-AB1141</f>
        <v/>
      </c>
      <c r="Q1141" s="108" t="n"/>
      <c r="R1141" s="108" t="n"/>
      <c r="S1141" s="108">
        <f>1-AE1141</f>
        <v/>
      </c>
      <c r="T1141" s="108">
        <f>1-AF1141</f>
        <v/>
      </c>
      <c r="U1141" s="108">
        <f>1-AG1141</f>
        <v/>
      </c>
      <c r="V1141" s="108">
        <f>1-AH1141</f>
        <v/>
      </c>
      <c r="W1141" s="108">
        <f>1-AI1141</f>
        <v/>
      </c>
      <c r="X1141" s="108">
        <f>ABS(AJ1141-AJ$1)</f>
        <v/>
      </c>
      <c r="Y1141" s="108">
        <f>AVERAGE(Z1141:AB1141)</f>
        <v/>
      </c>
      <c r="Z1141" s="108">
        <f>ABS(AL1141-AL$1)</f>
        <v/>
      </c>
      <c r="AA1141" s="108">
        <f>ABS(AM1141-AM$1)</f>
        <v/>
      </c>
      <c r="AB1141" s="108">
        <f>ABS(AN1141-AN$1)</f>
        <v/>
      </c>
      <c r="AC1141" s="108" t="n"/>
      <c r="AD1141" s="108" t="n"/>
      <c r="AE1141" s="108">
        <f>ABS(AQ$1-AQ1141)</f>
        <v/>
      </c>
      <c r="AF1141" s="108">
        <f>ABS(AR$1-AR1141)</f>
        <v/>
      </c>
      <c r="AG1141" s="108">
        <f>ABS(AS$1-AS1141)</f>
        <v/>
      </c>
      <c r="AH1141" s="108">
        <f>ABS(AT$1-AT1141)</f>
        <v/>
      </c>
      <c r="AI1141" s="108">
        <f>ABS(AU$1-AU1141)</f>
        <v/>
      </c>
      <c r="AJ1141" s="108">
        <f>(AV1141-Driver!$K$179)/(Driver!$L$179-Driver!$K$179)</f>
        <v/>
      </c>
      <c r="AK1141" s="108">
        <f>(AW1141-Driver!$K$180)/(Driver!$L$180-Driver!$K$180)</f>
        <v/>
      </c>
      <c r="AL1141" s="108">
        <f>(AX1141-Driver!$K$181)/(Driver!$L$181-Driver!$K$181)</f>
        <v/>
      </c>
      <c r="AM1141" s="108">
        <f>(AY1141-Driver!$K$182)/(Driver!$L$182-Driver!$K$182)</f>
        <v/>
      </c>
      <c r="AN1141" s="108">
        <f>(AZ1141-Driver!$K$183)/(Driver!$L$183-Driver!$K$183)</f>
        <v/>
      </c>
      <c r="AO1141" s="108" t="n"/>
      <c r="AP1141" s="108" t="n"/>
      <c r="AQ1141" s="108">
        <f>(BC1141-Driver!$K$188)/(Driver!$L$188-Driver!$K$188)</f>
        <v/>
      </c>
      <c r="AR1141" s="108">
        <f>MIN((BD1141-Driver!$K$189)/(Driver!$L$189-Driver!$K$189),100%)</f>
        <v/>
      </c>
      <c r="AS1141" s="108">
        <f>(BE1141-Driver!$K$190)/(Driver!$L$190-Driver!$K$190)</f>
        <v/>
      </c>
      <c r="AT1141" s="108">
        <f>(BF1141-Driver!$K$191)/(Driver!$L$191-Driver!$K$191)</f>
        <v/>
      </c>
      <c r="AU1141" s="108">
        <f>(BG1141-Driver!$K$192)/(Driver!$L$192-Driver!$K$192)</f>
        <v/>
      </c>
      <c r="AV1141" s="105">
        <f>IFERROR(BM1141*BJ1141^1/4,"")</f>
        <v/>
      </c>
      <c r="AW1141" s="105">
        <f>IFERROR(SUM(AX1141:AZ1141),"")</f>
        <v/>
      </c>
      <c r="AX1141" s="105">
        <f>IFERROR(BH1141,"")</f>
        <v/>
      </c>
      <c r="AY1141" s="105">
        <f>IFERROR(Driver!$K$19/Data!BH1141/Data!BI1141*Data!BK1141*Data!BL1141,"")</f>
        <v/>
      </c>
      <c r="AZ1141" s="105">
        <f>IFERROR(BI1141*BN1141,"")</f>
        <v/>
      </c>
      <c r="BA1141" s="105" t="n"/>
      <c r="BB1141" s="105" t="n"/>
      <c r="BC1141" s="105">
        <f>IFERROR(BI1141*BN1141*BK1141/BJ1141^(1/2),"")</f>
        <v/>
      </c>
      <c r="BD1141" s="105">
        <f>IFERROR(BH1141*BM1141*BL1141/BJ1141/BK1141,"")</f>
        <v/>
      </c>
      <c r="BE1141" s="105">
        <f>IFERROR(MIN(BI1141/BQ1141/BP1141/BO1141/BH1141,$BE$1),"")</f>
        <v/>
      </c>
      <c r="BF1141" s="105">
        <f>IFERROR(BJ1141*BO1141*BP1141/BK1141,"")</f>
        <v/>
      </c>
      <c r="BG1141" s="105">
        <f>IFERROR(1/BM1141/BH1141*BQ1141,"")</f>
        <v/>
      </c>
      <c r="BH1141" s="102">
        <f>MAX((CE1141-Driver!$F$200)/(Driver!$G$200-Driver!$F$200)*$BI$1,1)</f>
        <v/>
      </c>
      <c r="BI1141" s="102">
        <f>MAX($BI$1*(BY1141-Driver!$F$201)/(Driver!$G$201-Driver!$F$201),1)</f>
        <v/>
      </c>
      <c r="BJ1141" s="102">
        <f>(CB1141-Driver!$F$206)/(Driver!$G$206-Driver!$F$206)*$BI$1</f>
        <v/>
      </c>
      <c r="BK1141" s="102">
        <f>(CD1141-Driver!$F$203)/(Driver!$G$203-Driver!$F$203)*$BI$1</f>
        <v/>
      </c>
      <c r="BL1141" s="102">
        <f>MAX((CR1141-Driver!$F$202)/(Driver!$G$202-Driver!$F$202)*$BI$1,1)</f>
        <v/>
      </c>
      <c r="BM1141" s="102">
        <f>MAX((CH1141-Driver!$F$204)/(Driver!$G$204-Driver!$F$204)*$BI$1,1)</f>
        <v/>
      </c>
      <c r="BN1141" s="102">
        <f>(CI1141-Driver!$F$205)/(Driver!$G$205-Driver!$F$205)*$BI$1</f>
        <v/>
      </c>
      <c r="BO1141" s="102">
        <f>(CK1141-Driver!$F$207)/(Driver!$G$207-Driver!$F$207)*$BI$1</f>
        <v/>
      </c>
      <c r="BP1141" s="102">
        <f>(CM1141-Driver!$F$208)/(Driver!$G$208-Driver!$F$208)*$BI$1</f>
        <v/>
      </c>
      <c r="BQ1141" s="102">
        <f>(CL1141-Driver!$F$209)/(Driver!$G$209-Driver!$F$209)*$BI$1</f>
        <v/>
      </c>
      <c r="BR1141" s="40" t="inlineStr">
        <is>
          <t>21/22</t>
        </is>
      </c>
      <c r="BS1141" s="10" t="inlineStr">
        <is>
          <t xml:space="preserve"> K2</t>
        </is>
      </c>
      <c r="BT1141" s="11" t="inlineStr">
        <is>
          <t>Wayback 88</t>
        </is>
      </c>
      <c r="BU1141" s="13" t="n">
        <v>167</v>
      </c>
      <c r="BV1141" s="11" t="inlineStr">
        <is>
          <t xml:space="preserve"> Unisex</t>
        </is>
      </c>
      <c r="BW1141" s="13" t="n">
        <v>167</v>
      </c>
      <c r="BX1141" s="13" t="n">
        <v>167</v>
      </c>
      <c r="BY1141" s="13" t="n">
        <v>126</v>
      </c>
      <c r="BZ1141" s="13" t="n">
        <v>141</v>
      </c>
      <c r="CA1141" s="13" t="n">
        <v>120</v>
      </c>
      <c r="CB1141" s="13" t="n">
        <v>87</v>
      </c>
      <c r="CC1141" s="13" t="n">
        <v>108</v>
      </c>
      <c r="CD1141" s="13" t="n">
        <v>18.2</v>
      </c>
      <c r="CE1141" s="13" t="n">
        <v>1154</v>
      </c>
      <c r="CF1141" s="13" t="n">
        <v>1.41</v>
      </c>
      <c r="CG1141" s="13" t="n">
        <v>1623</v>
      </c>
      <c r="CH1141" s="13" t="n">
        <v>154</v>
      </c>
      <c r="CI1141" s="13" t="n">
        <v>64</v>
      </c>
      <c r="CJ1141" s="13" t="n">
        <v>46</v>
      </c>
      <c r="CK1141" s="13" t="n">
        <v>290</v>
      </c>
      <c r="CL1141" s="13" t="n">
        <v>7</v>
      </c>
      <c r="CM1141" s="13" t="n">
        <v>119</v>
      </c>
      <c r="CN1141" s="13" t="n">
        <v>0.158</v>
      </c>
      <c r="CO1141" s="13" t="n">
        <v>159</v>
      </c>
      <c r="CP1141" s="13" t="n">
        <v>100</v>
      </c>
      <c r="CQ1141" s="13" t="n">
        <v>131</v>
      </c>
      <c r="CR1141" s="13" t="n">
        <v>8</v>
      </c>
      <c r="CS1141" s="13" t="n">
        <v>11.3</v>
      </c>
      <c r="CT1141" s="11" t="inlineStr">
        <is>
          <t xml:space="preserve"> Touring</t>
        </is>
      </c>
      <c r="CU1141" s="11" t="inlineStr">
        <is>
          <t xml:space="preserve"> Ultralight Touring</t>
        </is>
      </c>
      <c r="CV1141" s="13" t="n"/>
      <c r="CW1141" s="13" t="n"/>
      <c r="CX1141">
        <f>INDEX('Data_Price '!AG$2:AG$1266,MATCH(Data!$DN1141,'Data_Price '!$AT$2:$AT$1266,0))</f>
        <v/>
      </c>
      <c r="CY1141">
        <f>INDEX('Data_Price '!AH$2:AH$1266,MATCH(Data!$DN1141,'Data_Price '!$AT$2:$AT$1266,0))</f>
        <v/>
      </c>
      <c r="CZ1141">
        <f>INDEX('Data_Price '!AI$2:AI$1266,MATCH(Data!$DN1141,'Data_Price '!$AT$2:$AT$1266,0))</f>
        <v/>
      </c>
      <c r="DA1141">
        <f>INDEX('Data_Price '!AJ$2:AJ$1266,MATCH(Data!$DN1141,'Data_Price '!$AT$2:$AT$1266,0))</f>
        <v/>
      </c>
      <c r="DB1141">
        <f>INDEX('Data_Price '!AK$2:AK$1266,MATCH(Data!$DN1141,'Data_Price '!$AT$2:$AT$1266,0))</f>
        <v/>
      </c>
      <c r="DC1141">
        <f>INDEX('Data_Price '!AL$2:AL$1266,MATCH(Data!$DN1141,'Data_Price '!$AT$2:$AT$1266,0))</f>
        <v/>
      </c>
      <c r="DD1141">
        <f>INDEX('Data_Price '!AM$2:AM$1266,MATCH(Data!$DN1141,'Data_Price '!$AT$2:$AT$1266,0))</f>
        <v/>
      </c>
      <c r="DE1141">
        <f>INDEX('Data_Price '!AN$2:AN$1266,MATCH(Data!$DN1141,'Data_Price '!$AT$2:$AT$1266,0))</f>
        <v/>
      </c>
      <c r="DF1141">
        <f>INDEX('Data_Price '!AO$2:AO$1266,MATCH(Data!$DN1141,'Data_Price '!$AT$2:$AT$1266,0))</f>
        <v/>
      </c>
      <c r="DG1141">
        <f>INDEX('Data_Price '!AP$2:AP$1266,MATCH(Data!$DN1141,'Data_Price '!$AT$2:$AT$1266,0))</f>
        <v/>
      </c>
      <c r="DH1141">
        <f>INDEX('Data_Price '!AQ$2:AQ$1266,MATCH(Data!$DN1141,'Data_Price '!$AT$2:$AT$1266,0))</f>
        <v/>
      </c>
      <c r="DI1141">
        <f>INDEX('Data_Price '!AR$2:AR$1266,MATCH(Data!$DN1141,'Data_Price '!$AT$2:$AT$1266,0))</f>
        <v/>
      </c>
      <c r="DJ1141" s="138">
        <f>DA1141</f>
        <v/>
      </c>
      <c r="DK1141" s="138">
        <f>DE1141</f>
        <v/>
      </c>
      <c r="DL1141" s="138">
        <f>DI1141</f>
        <v/>
      </c>
      <c r="DM1141" s="303">
        <f>IF(LEFT(BT1141,1)=" ",RIGHT(BT1141,LEN(BT1141)-1),BT1141)</f>
        <v/>
      </c>
      <c r="DN1141" s="138">
        <f>_xlfn.CONCAT(BS1141,DM1141,BU1141,BV1141)</f>
        <v/>
      </c>
      <c r="DO1141" s="307" t="n"/>
    </row>
    <row r="1142" ht="15.6" customHeight="1" s="184">
      <c r="B1142" s="303">
        <f t="array" ref="B1142">IF(OR(ISERROR(K1142:P1142)),FALSE,TRUE)</f>
        <v/>
      </c>
      <c r="C1142" s="60">
        <f>OR(BR1142=Driver!$G$50,Data!BR597=Driver!$H$50)</f>
        <v/>
      </c>
      <c r="D1142" s="60">
        <f>OR(BV1142=Driver!$G$51,BV1142=Driver!$H$51)</f>
        <v/>
      </c>
      <c r="E1142" s="60">
        <f>AND(BX1142&gt;Driver!$F$54,BX1142&lt;Driver!$G$54)</f>
        <v/>
      </c>
      <c r="F1142" s="60">
        <f>CL1142&gt;Driver!$F$56</f>
        <v/>
      </c>
      <c r="G1142" s="60">
        <f>AND(CB1142&gt;Driver!$F$55,CB1142&lt;Driver!$G$55)</f>
        <v/>
      </c>
      <c r="H1142" s="60">
        <f>AND(B1142:G1142)</f>
        <v/>
      </c>
      <c r="I1142" s="60">
        <f>COUNTIFS($H$9:$H$1273,TRUE,$BT$9:$BT$1273,BT1142)</f>
        <v/>
      </c>
      <c r="J1142" s="60">
        <f t="array" ref="J1142">NOT(OR(($H$9:$H$1273=TRUE)*($I$9:$I$1273&gt;0)*($BT$9:$BT$1273=BT1142)*($K$9:$K$1273&gt;K1142)))</f>
        <v/>
      </c>
      <c r="K1142" s="108">
        <f>IFERROR(1-AVERAGE(X1142:Y1142),"")</f>
        <v/>
      </c>
      <c r="L1142" s="108">
        <f>1-X1142</f>
        <v/>
      </c>
      <c r="M1142" s="108">
        <f>1-Y1142</f>
        <v/>
      </c>
      <c r="N1142" s="108">
        <f>1-Z1142</f>
        <v/>
      </c>
      <c r="O1142" s="108">
        <f>1-AA1142</f>
        <v/>
      </c>
      <c r="P1142" s="108">
        <f>1-AB1142</f>
        <v/>
      </c>
      <c r="Q1142" s="108" t="n"/>
      <c r="R1142" s="108" t="n"/>
      <c r="S1142" s="108">
        <f>1-AE1142</f>
        <v/>
      </c>
      <c r="T1142" s="108">
        <f>1-AF1142</f>
        <v/>
      </c>
      <c r="U1142" s="108">
        <f>1-AG1142</f>
        <v/>
      </c>
      <c r="V1142" s="108">
        <f>1-AH1142</f>
        <v/>
      </c>
      <c r="W1142" s="108">
        <f>1-AI1142</f>
        <v/>
      </c>
      <c r="X1142" s="108">
        <f>ABS(AJ1142-AJ$1)</f>
        <v/>
      </c>
      <c r="Y1142" s="108">
        <f>AVERAGE(Z1142:AB1142)</f>
        <v/>
      </c>
      <c r="Z1142" s="108">
        <f>ABS(AL1142-AL$1)</f>
        <v/>
      </c>
      <c r="AA1142" s="108">
        <f>ABS(AM1142-AM$1)</f>
        <v/>
      </c>
      <c r="AB1142" s="108">
        <f>ABS(AN1142-AN$1)</f>
        <v/>
      </c>
      <c r="AC1142" s="108" t="n"/>
      <c r="AD1142" s="108" t="n"/>
      <c r="AE1142" s="108">
        <f>ABS(AQ$1-AQ1142)</f>
        <v/>
      </c>
      <c r="AF1142" s="108">
        <f>ABS(AR$1-AR1142)</f>
        <v/>
      </c>
      <c r="AG1142" s="108">
        <f>ABS(AS$1-AS1142)</f>
        <v/>
      </c>
      <c r="AH1142" s="108">
        <f>ABS(AT$1-AT1142)</f>
        <v/>
      </c>
      <c r="AI1142" s="108">
        <f>ABS(AU$1-AU1142)</f>
        <v/>
      </c>
      <c r="AJ1142" s="108">
        <f>(AV1142-Driver!$K$179)/(Driver!$L$179-Driver!$K$179)</f>
        <v/>
      </c>
      <c r="AK1142" s="108">
        <f>(AW1142-Driver!$K$180)/(Driver!$L$180-Driver!$K$180)</f>
        <v/>
      </c>
      <c r="AL1142" s="108">
        <f>(AX1142-Driver!$K$181)/(Driver!$L$181-Driver!$K$181)</f>
        <v/>
      </c>
      <c r="AM1142" s="108">
        <f>(AY1142-Driver!$K$182)/(Driver!$L$182-Driver!$K$182)</f>
        <v/>
      </c>
      <c r="AN1142" s="108">
        <f>(AZ1142-Driver!$K$183)/(Driver!$L$183-Driver!$K$183)</f>
        <v/>
      </c>
      <c r="AO1142" s="108" t="n"/>
      <c r="AP1142" s="108" t="n"/>
      <c r="AQ1142" s="108">
        <f>(BC1142-Driver!$K$188)/(Driver!$L$188-Driver!$K$188)</f>
        <v/>
      </c>
      <c r="AR1142" s="108">
        <f>MIN((BD1142-Driver!$K$189)/(Driver!$L$189-Driver!$K$189),100%)</f>
        <v/>
      </c>
      <c r="AS1142" s="108">
        <f>(BE1142-Driver!$K$190)/(Driver!$L$190-Driver!$K$190)</f>
        <v/>
      </c>
      <c r="AT1142" s="108">
        <f>(BF1142-Driver!$K$191)/(Driver!$L$191-Driver!$K$191)</f>
        <v/>
      </c>
      <c r="AU1142" s="108">
        <f>(BG1142-Driver!$K$192)/(Driver!$L$192-Driver!$K$192)</f>
        <v/>
      </c>
      <c r="AV1142" s="105">
        <f>IFERROR(BM1142*BJ1142^1/4,"")</f>
        <v/>
      </c>
      <c r="AW1142" s="105">
        <f>IFERROR(SUM(AX1142:AZ1142),"")</f>
        <v/>
      </c>
      <c r="AX1142" s="105">
        <f>IFERROR(BH1142,"")</f>
        <v/>
      </c>
      <c r="AY1142" s="105">
        <f>IFERROR(Driver!$K$19/Data!BH1142/Data!BI1142*Data!BK1142*Data!BL1142,"")</f>
        <v/>
      </c>
      <c r="AZ1142" s="105">
        <f>IFERROR(BI1142*BN1142,"")</f>
        <v/>
      </c>
      <c r="BA1142" s="105" t="n"/>
      <c r="BB1142" s="105" t="n"/>
      <c r="BC1142" s="105">
        <f>IFERROR(BI1142*BN1142*BK1142/BJ1142^(1/2),"")</f>
        <v/>
      </c>
      <c r="BD1142" s="105">
        <f>IFERROR(BH1142*BM1142*BL1142/BJ1142/BK1142,"")</f>
        <v/>
      </c>
      <c r="BE1142" s="105">
        <f>IFERROR(MIN(BI1142/BQ1142/BP1142/BO1142/BH1142,$BE$1),"")</f>
        <v/>
      </c>
      <c r="BF1142" s="105">
        <f>IFERROR(BJ1142*BO1142*BP1142/BK1142,"")</f>
        <v/>
      </c>
      <c r="BG1142" s="105">
        <f>IFERROR(1/BM1142/BH1142*BQ1142,"")</f>
        <v/>
      </c>
      <c r="BH1142" s="102">
        <f>MAX((CE1142-Driver!$F$200)/(Driver!$G$200-Driver!$F$200)*$BI$1,1)</f>
        <v/>
      </c>
      <c r="BI1142" s="102">
        <f>MAX($BI$1*(BY1142-Driver!$F$201)/(Driver!$G$201-Driver!$F$201),1)</f>
        <v/>
      </c>
      <c r="BJ1142" s="102">
        <f>(CB1142-Driver!$F$206)/(Driver!$G$206-Driver!$F$206)*$BI$1</f>
        <v/>
      </c>
      <c r="BK1142" s="102">
        <f>(CD1142-Driver!$F$203)/(Driver!$G$203-Driver!$F$203)*$BI$1</f>
        <v/>
      </c>
      <c r="BL1142" s="102">
        <f>MAX((CR1142-Driver!$F$202)/(Driver!$G$202-Driver!$F$202)*$BI$1,1)</f>
        <v/>
      </c>
      <c r="BM1142" s="102">
        <f>MAX((CH1142-Driver!$F$204)/(Driver!$G$204-Driver!$F$204)*$BI$1,1)</f>
        <v/>
      </c>
      <c r="BN1142" s="102">
        <f>(CI1142-Driver!$F$205)/(Driver!$G$205-Driver!$F$205)*$BI$1</f>
        <v/>
      </c>
      <c r="BO1142" s="102">
        <f>(CK1142-Driver!$F$207)/(Driver!$G$207-Driver!$F$207)*$BI$1</f>
        <v/>
      </c>
      <c r="BP1142" s="102">
        <f>(CM1142-Driver!$F$208)/(Driver!$G$208-Driver!$F$208)*$BI$1</f>
        <v/>
      </c>
      <c r="BQ1142" s="102">
        <f>(CL1142-Driver!$F$209)/(Driver!$G$209-Driver!$F$209)*$BI$1</f>
        <v/>
      </c>
      <c r="BR1142" s="40" t="inlineStr">
        <is>
          <t>21/22</t>
        </is>
      </c>
      <c r="BS1142" s="10" t="inlineStr">
        <is>
          <t xml:space="preserve"> Fischer</t>
        </is>
      </c>
      <c r="BT1142" s="11" t="inlineStr">
        <is>
          <t>Transalp 82</t>
        </is>
      </c>
      <c r="BU1142" s="13" t="n">
        <v>155</v>
      </c>
      <c r="BV1142" s="11" t="inlineStr">
        <is>
          <t xml:space="preserve"> Women's</t>
        </is>
      </c>
      <c r="BW1142" s="13" t="n">
        <v>155</v>
      </c>
      <c r="BX1142" s="13" t="n">
        <v>155.1</v>
      </c>
      <c r="BY1142" s="13" t="n">
        <v>123</v>
      </c>
      <c r="BZ1142" s="13" t="n">
        <v>138</v>
      </c>
      <c r="CA1142" s="13" t="n">
        <v>116</v>
      </c>
      <c r="CB1142" s="13" t="n">
        <v>79</v>
      </c>
      <c r="CC1142" s="13" t="n">
        <v>105</v>
      </c>
      <c r="CD1142" s="13" t="n">
        <v>14.1</v>
      </c>
      <c r="CE1142" s="13" t="n">
        <v>1056</v>
      </c>
      <c r="CF1142" s="13" t="n">
        <v>1.34</v>
      </c>
      <c r="CG1142" s="13" t="n">
        <v>1415</v>
      </c>
      <c r="CH1142" s="13" t="n">
        <v>182</v>
      </c>
      <c r="CI1142" s="13" t="n">
        <v>66</v>
      </c>
      <c r="CJ1142" s="13" t="n">
        <v>54</v>
      </c>
      <c r="CK1142" s="13" t="n">
        <v>231</v>
      </c>
      <c r="CL1142" s="13" t="n">
        <v>10</v>
      </c>
      <c r="CM1142" s="13" t="n">
        <v>90</v>
      </c>
      <c r="CN1142" s="13" t="n">
        <v>0.184</v>
      </c>
      <c r="CO1142" s="13" t="n">
        <v>93</v>
      </c>
      <c r="CP1142" s="13" t="n">
        <v>81</v>
      </c>
      <c r="CQ1142" s="13" t="n">
        <v>138</v>
      </c>
      <c r="CR1142" s="13" t="n">
        <v>6</v>
      </c>
      <c r="CS1142" s="13" t="n">
        <v>9.5</v>
      </c>
      <c r="CT1142" s="11" t="inlineStr">
        <is>
          <t xml:space="preserve"> Touring</t>
        </is>
      </c>
      <c r="CU1142" s="11" t="inlineStr">
        <is>
          <t xml:space="preserve"> Ultralight Touring</t>
        </is>
      </c>
      <c r="CV1142" s="13" t="n"/>
      <c r="CW1142" s="13" t="n"/>
      <c r="CX1142">
        <f>INDEX('Data_Price '!AG$2:AG$1266,MATCH(Data!$DN1142,'Data_Price '!$AT$2:$AT$1266,0))</f>
        <v/>
      </c>
      <c r="CY1142">
        <f>INDEX('Data_Price '!AH$2:AH$1266,MATCH(Data!$DN1142,'Data_Price '!$AT$2:$AT$1266,0))</f>
        <v/>
      </c>
      <c r="CZ1142">
        <f>INDEX('Data_Price '!AI$2:AI$1266,MATCH(Data!$DN1142,'Data_Price '!$AT$2:$AT$1266,0))</f>
        <v/>
      </c>
      <c r="DA1142">
        <f>INDEX('Data_Price '!AJ$2:AJ$1266,MATCH(Data!$DN1142,'Data_Price '!$AT$2:$AT$1266,0))</f>
        <v/>
      </c>
      <c r="DB1142">
        <f>INDEX('Data_Price '!AK$2:AK$1266,MATCH(Data!$DN1142,'Data_Price '!$AT$2:$AT$1266,0))</f>
        <v/>
      </c>
      <c r="DC1142">
        <f>INDEX('Data_Price '!AL$2:AL$1266,MATCH(Data!$DN1142,'Data_Price '!$AT$2:$AT$1266,0))</f>
        <v/>
      </c>
      <c r="DD1142">
        <f>INDEX('Data_Price '!AM$2:AM$1266,MATCH(Data!$DN1142,'Data_Price '!$AT$2:$AT$1266,0))</f>
        <v/>
      </c>
      <c r="DE1142">
        <f>INDEX('Data_Price '!AN$2:AN$1266,MATCH(Data!$DN1142,'Data_Price '!$AT$2:$AT$1266,0))</f>
        <v/>
      </c>
      <c r="DF1142">
        <f>INDEX('Data_Price '!AO$2:AO$1266,MATCH(Data!$DN1142,'Data_Price '!$AT$2:$AT$1266,0))</f>
        <v/>
      </c>
      <c r="DG1142">
        <f>INDEX('Data_Price '!AP$2:AP$1266,MATCH(Data!$DN1142,'Data_Price '!$AT$2:$AT$1266,0))</f>
        <v/>
      </c>
      <c r="DH1142">
        <f>INDEX('Data_Price '!AQ$2:AQ$1266,MATCH(Data!$DN1142,'Data_Price '!$AT$2:$AT$1266,0))</f>
        <v/>
      </c>
      <c r="DI1142">
        <f>INDEX('Data_Price '!AR$2:AR$1266,MATCH(Data!$DN1142,'Data_Price '!$AT$2:$AT$1266,0))</f>
        <v/>
      </c>
      <c r="DJ1142" s="138">
        <f>DA1142</f>
        <v/>
      </c>
      <c r="DK1142" s="138">
        <f>DE1142</f>
        <v/>
      </c>
      <c r="DL1142" s="138">
        <f>DI1142</f>
        <v/>
      </c>
      <c r="DM1142" s="303">
        <f>IF(LEFT(BT1142,1)=" ",RIGHT(BT1142,LEN(BT1142)-1),BT1142)</f>
        <v/>
      </c>
      <c r="DN1142" s="138">
        <f>_xlfn.CONCAT(BS1142,DM1142,BU1142,BV1142)</f>
        <v/>
      </c>
      <c r="DO1142" s="307" t="n"/>
    </row>
    <row r="1143" ht="15.6" customHeight="1" s="184">
      <c r="B1143" s="303">
        <f t="array" ref="B1143">IF(OR(ISERROR(K1143:P1143)),FALSE,TRUE)</f>
        <v/>
      </c>
      <c r="C1143" s="60">
        <f>OR(BR1143=Driver!$G$50,Data!BR643=Driver!$H$50)</f>
        <v/>
      </c>
      <c r="D1143" s="60">
        <f>OR(BV1143=Driver!$G$51,BV1143=Driver!$H$51)</f>
        <v/>
      </c>
      <c r="E1143" s="60">
        <f>AND(BX1143&gt;Driver!$F$54,BX1143&lt;Driver!$G$54)</f>
        <v/>
      </c>
      <c r="F1143" s="60">
        <f>CL1143&gt;Driver!$F$56</f>
        <v/>
      </c>
      <c r="G1143" s="60">
        <f>AND(CB1143&gt;Driver!$F$55,CB1143&lt;Driver!$G$55)</f>
        <v/>
      </c>
      <c r="H1143" s="60">
        <f>AND(B1143:G1143)</f>
        <v/>
      </c>
      <c r="I1143" s="60">
        <f>COUNTIFS($H$9:$H$1273,TRUE,$BT$9:$BT$1273,BT1143)</f>
        <v/>
      </c>
      <c r="J1143" s="60">
        <f t="array" ref="J1143">NOT(OR(($H$9:$H$1273=TRUE)*($I$9:$I$1273&gt;0)*($BT$9:$BT$1273=BT1143)*($K$9:$K$1273&gt;K1143)))</f>
        <v/>
      </c>
      <c r="K1143" s="108">
        <f>IFERROR(1-AVERAGE(X1143:Y1143),"")</f>
        <v/>
      </c>
      <c r="L1143" s="108">
        <f>1-X1143</f>
        <v/>
      </c>
      <c r="M1143" s="108">
        <f>1-Y1143</f>
        <v/>
      </c>
      <c r="N1143" s="108">
        <f>1-Z1143</f>
        <v/>
      </c>
      <c r="O1143" s="108">
        <f>1-AA1143</f>
        <v/>
      </c>
      <c r="P1143" s="108">
        <f>1-AB1143</f>
        <v/>
      </c>
      <c r="Q1143" s="108" t="n"/>
      <c r="R1143" s="108" t="n"/>
      <c r="S1143" s="108">
        <f>1-AE1143</f>
        <v/>
      </c>
      <c r="T1143" s="108">
        <f>1-AF1143</f>
        <v/>
      </c>
      <c r="U1143" s="108">
        <f>1-AG1143</f>
        <v/>
      </c>
      <c r="V1143" s="108">
        <f>1-AH1143</f>
        <v/>
      </c>
      <c r="W1143" s="108">
        <f>1-AI1143</f>
        <v/>
      </c>
      <c r="X1143" s="108">
        <f>ABS(AJ1143-AJ$1)</f>
        <v/>
      </c>
      <c r="Y1143" s="108">
        <f>AVERAGE(Z1143:AB1143)</f>
        <v/>
      </c>
      <c r="Z1143" s="108">
        <f>ABS(AL1143-AL$1)</f>
        <v/>
      </c>
      <c r="AA1143" s="108">
        <f>ABS(AM1143-AM$1)</f>
        <v/>
      </c>
      <c r="AB1143" s="108">
        <f>ABS(AN1143-AN$1)</f>
        <v/>
      </c>
      <c r="AC1143" s="108" t="n"/>
      <c r="AD1143" s="108" t="n"/>
      <c r="AE1143" s="108">
        <f>ABS(AQ$1-AQ1143)</f>
        <v/>
      </c>
      <c r="AF1143" s="108">
        <f>ABS(AR$1-AR1143)</f>
        <v/>
      </c>
      <c r="AG1143" s="108">
        <f>ABS(AS$1-AS1143)</f>
        <v/>
      </c>
      <c r="AH1143" s="108">
        <f>ABS(AT$1-AT1143)</f>
        <v/>
      </c>
      <c r="AI1143" s="108">
        <f>ABS(AU$1-AU1143)</f>
        <v/>
      </c>
      <c r="AJ1143" s="108">
        <f>(AV1143-Driver!$K$179)/(Driver!$L$179-Driver!$K$179)</f>
        <v/>
      </c>
      <c r="AK1143" s="108">
        <f>(AW1143-Driver!$K$180)/(Driver!$L$180-Driver!$K$180)</f>
        <v/>
      </c>
      <c r="AL1143" s="108">
        <f>(AX1143-Driver!$K$181)/(Driver!$L$181-Driver!$K$181)</f>
        <v/>
      </c>
      <c r="AM1143" s="108">
        <f>(AY1143-Driver!$K$182)/(Driver!$L$182-Driver!$K$182)</f>
        <v/>
      </c>
      <c r="AN1143" s="108">
        <f>(AZ1143-Driver!$K$183)/(Driver!$L$183-Driver!$K$183)</f>
        <v/>
      </c>
      <c r="AO1143" s="108" t="n"/>
      <c r="AP1143" s="108" t="n"/>
      <c r="AQ1143" s="108">
        <f>(BC1143-Driver!$K$188)/(Driver!$L$188-Driver!$K$188)</f>
        <v/>
      </c>
      <c r="AR1143" s="108">
        <f>MIN((BD1143-Driver!$K$189)/(Driver!$L$189-Driver!$K$189),100%)</f>
        <v/>
      </c>
      <c r="AS1143" s="108">
        <f>(BE1143-Driver!$K$190)/(Driver!$L$190-Driver!$K$190)</f>
        <v/>
      </c>
      <c r="AT1143" s="108">
        <f>(BF1143-Driver!$K$191)/(Driver!$L$191-Driver!$K$191)</f>
        <v/>
      </c>
      <c r="AU1143" s="108">
        <f>(BG1143-Driver!$K$192)/(Driver!$L$192-Driver!$K$192)</f>
        <v/>
      </c>
      <c r="AV1143" s="105">
        <f>IFERROR(BM1143*BJ1143^1/4,"")</f>
        <v/>
      </c>
      <c r="AW1143" s="105">
        <f>IFERROR(SUM(AX1143:AZ1143),"")</f>
        <v/>
      </c>
      <c r="AX1143" s="105">
        <f>IFERROR(BH1143,"")</f>
        <v/>
      </c>
      <c r="AY1143" s="105">
        <f>IFERROR(Driver!$K$19/Data!BH1143/Data!BI1143*Data!BK1143*Data!BL1143,"")</f>
        <v/>
      </c>
      <c r="AZ1143" s="105">
        <f>IFERROR(BI1143*BN1143,"")</f>
        <v/>
      </c>
      <c r="BA1143" s="105" t="n"/>
      <c r="BB1143" s="105" t="n"/>
      <c r="BC1143" s="105">
        <f>IFERROR(BI1143*BN1143*BK1143/BJ1143^(1/2),"")</f>
        <v/>
      </c>
      <c r="BD1143" s="105">
        <f>IFERROR(BH1143*BM1143*BL1143/BJ1143/BK1143,"")</f>
        <v/>
      </c>
      <c r="BE1143" s="105">
        <f>IFERROR(MIN(BI1143/BQ1143/BP1143/BO1143/BH1143,$BE$1),"")</f>
        <v/>
      </c>
      <c r="BF1143" s="105">
        <f>IFERROR(BJ1143*BO1143*BP1143/BK1143,"")</f>
        <v/>
      </c>
      <c r="BG1143" s="105">
        <f>IFERROR(1/BM1143/BH1143*BQ1143,"")</f>
        <v/>
      </c>
      <c r="BH1143" s="102">
        <f>MAX((CE1143-Driver!$F$200)/(Driver!$G$200-Driver!$F$200)*$BI$1,1)</f>
        <v/>
      </c>
      <c r="BI1143" s="102">
        <f>MAX($BI$1*(BY1143-Driver!$F$201)/(Driver!$G$201-Driver!$F$201),1)</f>
        <v/>
      </c>
      <c r="BJ1143" s="102">
        <f>(CB1143-Driver!$F$206)/(Driver!$G$206-Driver!$F$206)*$BI$1</f>
        <v/>
      </c>
      <c r="BK1143" s="102">
        <f>(CD1143-Driver!$F$203)/(Driver!$G$203-Driver!$F$203)*$BI$1</f>
        <v/>
      </c>
      <c r="BL1143" s="102">
        <f>MAX((CR1143-Driver!$F$202)/(Driver!$G$202-Driver!$F$202)*$BI$1,1)</f>
        <v/>
      </c>
      <c r="BM1143" s="102">
        <f>MAX((CH1143-Driver!$F$204)/(Driver!$G$204-Driver!$F$204)*$BI$1,1)</f>
        <v/>
      </c>
      <c r="BN1143" s="102">
        <f>(CI1143-Driver!$F$205)/(Driver!$G$205-Driver!$F$205)*$BI$1</f>
        <v/>
      </c>
      <c r="BO1143" s="102">
        <f>(CK1143-Driver!$F$207)/(Driver!$G$207-Driver!$F$207)*$BI$1</f>
        <v/>
      </c>
      <c r="BP1143" s="102">
        <f>(CM1143-Driver!$F$208)/(Driver!$G$208-Driver!$F$208)*$BI$1</f>
        <v/>
      </c>
      <c r="BQ1143" s="102">
        <f>(CL1143-Driver!$F$209)/(Driver!$G$209-Driver!$F$209)*$BI$1</f>
        <v/>
      </c>
      <c r="BR1143" s="40" t="inlineStr">
        <is>
          <t>21/22</t>
        </is>
      </c>
      <c r="BS1143" s="10" t="inlineStr">
        <is>
          <t xml:space="preserve"> Head</t>
        </is>
      </c>
      <c r="BT1143" s="11" t="inlineStr">
        <is>
          <t xml:space="preserve"> Super Joy</t>
        </is>
      </c>
      <c r="BU1143" s="13" t="n">
        <v>153</v>
      </c>
      <c r="BV1143" s="11" t="inlineStr">
        <is>
          <t xml:space="preserve"> Women's</t>
        </is>
      </c>
      <c r="BW1143" s="13" t="n">
        <v>153</v>
      </c>
      <c r="BX1143" s="13" t="n">
        <v>152.4</v>
      </c>
      <c r="BY1143" s="13" t="n">
        <v>131</v>
      </c>
      <c r="BZ1143" s="13" t="n">
        <v>137</v>
      </c>
      <c r="CA1143" s="13" t="n">
        <v>128</v>
      </c>
      <c r="CB1143" s="13" t="n">
        <v>74</v>
      </c>
      <c r="CC1143" s="13" t="n">
        <v>107</v>
      </c>
      <c r="CD1143" s="13" t="n">
        <v>10.6</v>
      </c>
      <c r="CE1143" s="13" t="n">
        <v>1454</v>
      </c>
      <c r="CF1143" s="13" t="n">
        <v>0.95</v>
      </c>
      <c r="CG1143" s="13" t="n">
        <v>1386</v>
      </c>
      <c r="CH1143" s="13" t="n">
        <v>145</v>
      </c>
      <c r="CI1143" s="13" t="n">
        <v>48</v>
      </c>
      <c r="CJ1143" s="13" t="n">
        <v>38</v>
      </c>
      <c r="CK1143" s="13" t="n">
        <v>143</v>
      </c>
      <c r="CL1143" s="13" t="n">
        <v>12</v>
      </c>
      <c r="CM1143" s="13" t="n">
        <v>75</v>
      </c>
      <c r="CN1143" s="13" t="n">
        <v>0.323</v>
      </c>
      <c r="CO1143" s="13" t="n">
        <v>96</v>
      </c>
      <c r="CP1143" s="13" t="n">
        <v>62</v>
      </c>
      <c r="CQ1143" s="13" t="n">
        <v>47</v>
      </c>
      <c r="CR1143" s="13" t="n">
        <v>11</v>
      </c>
      <c r="CS1143" s="13" t="n">
        <v>11.1</v>
      </c>
      <c r="CT1143" s="11" t="inlineStr">
        <is>
          <t xml:space="preserve"> On-Piste Carving</t>
        </is>
      </c>
      <c r="CU1143" s="11" t="inlineStr">
        <is>
          <t xml:space="preserve"> On-Piste All-Mountain</t>
        </is>
      </c>
      <c r="CV1143" s="13" t="n"/>
      <c r="CW1143" s="13" t="n"/>
      <c r="CX1143">
        <f>INDEX('Data_Price '!AG$2:AG$1266,MATCH(Data!$DN1143,'Data_Price '!$AT$2:$AT$1266,0))</f>
        <v/>
      </c>
      <c r="CY1143">
        <f>INDEX('Data_Price '!AH$2:AH$1266,MATCH(Data!$DN1143,'Data_Price '!$AT$2:$AT$1266,0))</f>
        <v/>
      </c>
      <c r="CZ1143">
        <f>INDEX('Data_Price '!AI$2:AI$1266,MATCH(Data!$DN1143,'Data_Price '!$AT$2:$AT$1266,0))</f>
        <v/>
      </c>
      <c r="DA1143">
        <f>INDEX('Data_Price '!AJ$2:AJ$1266,MATCH(Data!$DN1143,'Data_Price '!$AT$2:$AT$1266,0))</f>
        <v/>
      </c>
      <c r="DB1143">
        <f>INDEX('Data_Price '!AK$2:AK$1266,MATCH(Data!$DN1143,'Data_Price '!$AT$2:$AT$1266,0))</f>
        <v/>
      </c>
      <c r="DC1143">
        <f>INDEX('Data_Price '!AL$2:AL$1266,MATCH(Data!$DN1143,'Data_Price '!$AT$2:$AT$1266,0))</f>
        <v/>
      </c>
      <c r="DD1143">
        <f>INDEX('Data_Price '!AM$2:AM$1266,MATCH(Data!$DN1143,'Data_Price '!$AT$2:$AT$1266,0))</f>
        <v/>
      </c>
      <c r="DE1143">
        <f>INDEX('Data_Price '!AN$2:AN$1266,MATCH(Data!$DN1143,'Data_Price '!$AT$2:$AT$1266,0))</f>
        <v/>
      </c>
      <c r="DF1143">
        <f>INDEX('Data_Price '!AO$2:AO$1266,MATCH(Data!$DN1143,'Data_Price '!$AT$2:$AT$1266,0))</f>
        <v/>
      </c>
      <c r="DG1143">
        <f>INDEX('Data_Price '!AP$2:AP$1266,MATCH(Data!$DN1143,'Data_Price '!$AT$2:$AT$1266,0))</f>
        <v/>
      </c>
      <c r="DH1143">
        <f>INDEX('Data_Price '!AQ$2:AQ$1266,MATCH(Data!$DN1143,'Data_Price '!$AT$2:$AT$1266,0))</f>
        <v/>
      </c>
      <c r="DI1143">
        <f>INDEX('Data_Price '!AR$2:AR$1266,MATCH(Data!$DN1143,'Data_Price '!$AT$2:$AT$1266,0))</f>
        <v/>
      </c>
      <c r="DJ1143" s="138">
        <f>DA1143</f>
        <v/>
      </c>
      <c r="DK1143" s="138">
        <f>DE1143</f>
        <v/>
      </c>
      <c r="DL1143" s="138">
        <f>DI1143</f>
        <v/>
      </c>
      <c r="DM1143" s="303">
        <f>IF(LEFT(BT1143,1)=" ",RIGHT(BT1143,LEN(BT1143)-1),BT1143)</f>
        <v/>
      </c>
      <c r="DN1143" s="138">
        <f>_xlfn.CONCAT(BS1143,DM1143,BU1143,BV1143)</f>
        <v/>
      </c>
      <c r="DO1143" s="307" t="n"/>
    </row>
    <row r="1144" ht="15.6" customHeight="1" s="184">
      <c r="B1144" s="303">
        <f t="array" ref="B1144">IF(OR(ISERROR(K1144:P1144)),FALSE,TRUE)</f>
        <v/>
      </c>
      <c r="C1144" s="60">
        <f>OR(BR1144=Driver!$G$50,Data!BR660=Driver!$H$50)</f>
        <v/>
      </c>
      <c r="D1144" s="60">
        <f>OR(BV1144=Driver!$G$51,BV1144=Driver!$H$51)</f>
        <v/>
      </c>
      <c r="E1144" s="60">
        <f>AND(BX1144&gt;Driver!$F$54,BX1144&lt;Driver!$G$54)</f>
        <v/>
      </c>
      <c r="F1144" s="60">
        <f>CL1144&gt;Driver!$F$56</f>
        <v/>
      </c>
      <c r="G1144" s="60">
        <f>AND(CB1144&gt;Driver!$F$55,CB1144&lt;Driver!$G$55)</f>
        <v/>
      </c>
      <c r="H1144" s="60">
        <f>AND(B1144:G1144)</f>
        <v/>
      </c>
      <c r="I1144" s="60">
        <f>COUNTIFS($H$9:$H$1273,TRUE,$BT$9:$BT$1273,BT1144)</f>
        <v/>
      </c>
      <c r="J1144" s="60">
        <f t="array" ref="J1144">NOT(OR(($H$9:$H$1273=TRUE)*($I$9:$I$1273&gt;0)*($BT$9:$BT$1273=BT1144)*($K$9:$K$1273&gt;K1144)))</f>
        <v/>
      </c>
      <c r="K1144" s="108">
        <f>IFERROR(1-AVERAGE(X1144:Y1144),"")</f>
        <v/>
      </c>
      <c r="L1144" s="108">
        <f>1-X1144</f>
        <v/>
      </c>
      <c r="M1144" s="108">
        <f>1-Y1144</f>
        <v/>
      </c>
      <c r="N1144" s="108">
        <f>1-Z1144</f>
        <v/>
      </c>
      <c r="O1144" s="108">
        <f>1-AA1144</f>
        <v/>
      </c>
      <c r="P1144" s="108">
        <f>1-AB1144</f>
        <v/>
      </c>
      <c r="Q1144" s="108" t="n"/>
      <c r="R1144" s="108" t="n"/>
      <c r="S1144" s="108">
        <f>1-AE1144</f>
        <v/>
      </c>
      <c r="T1144" s="108">
        <f>1-AF1144</f>
        <v/>
      </c>
      <c r="U1144" s="108">
        <f>1-AG1144</f>
        <v/>
      </c>
      <c r="V1144" s="108">
        <f>1-AH1144</f>
        <v/>
      </c>
      <c r="W1144" s="108">
        <f>1-AI1144</f>
        <v/>
      </c>
      <c r="X1144" s="108">
        <f>ABS(AJ1144-AJ$1)</f>
        <v/>
      </c>
      <c r="Y1144" s="108">
        <f>AVERAGE(Z1144:AB1144)</f>
        <v/>
      </c>
      <c r="Z1144" s="108">
        <f>ABS(AL1144-AL$1)</f>
        <v/>
      </c>
      <c r="AA1144" s="108">
        <f>ABS(AM1144-AM$1)</f>
        <v/>
      </c>
      <c r="AB1144" s="108">
        <f>ABS(AN1144-AN$1)</f>
        <v/>
      </c>
      <c r="AC1144" s="108" t="n"/>
      <c r="AD1144" s="108" t="n"/>
      <c r="AE1144" s="108">
        <f>ABS(AQ$1-AQ1144)</f>
        <v/>
      </c>
      <c r="AF1144" s="108">
        <f>ABS(AR$1-AR1144)</f>
        <v/>
      </c>
      <c r="AG1144" s="108">
        <f>ABS(AS$1-AS1144)</f>
        <v/>
      </c>
      <c r="AH1144" s="108">
        <f>ABS(AT$1-AT1144)</f>
        <v/>
      </c>
      <c r="AI1144" s="108">
        <f>ABS(AU$1-AU1144)</f>
        <v/>
      </c>
      <c r="AJ1144" s="108">
        <f>(AV1144-Driver!$K$179)/(Driver!$L$179-Driver!$K$179)</f>
        <v/>
      </c>
      <c r="AK1144" s="108">
        <f>(AW1144-Driver!$K$180)/(Driver!$L$180-Driver!$K$180)</f>
        <v/>
      </c>
      <c r="AL1144" s="108">
        <f>(AX1144-Driver!$K$181)/(Driver!$L$181-Driver!$K$181)</f>
        <v/>
      </c>
      <c r="AM1144" s="108">
        <f>(AY1144-Driver!$K$182)/(Driver!$L$182-Driver!$K$182)</f>
        <v/>
      </c>
      <c r="AN1144" s="108">
        <f>(AZ1144-Driver!$K$183)/(Driver!$L$183-Driver!$K$183)</f>
        <v/>
      </c>
      <c r="AO1144" s="108" t="n"/>
      <c r="AP1144" s="108" t="n"/>
      <c r="AQ1144" s="108">
        <f>(BC1144-Driver!$K$188)/(Driver!$L$188-Driver!$K$188)</f>
        <v/>
      </c>
      <c r="AR1144" s="108">
        <f>MIN((BD1144-Driver!$K$189)/(Driver!$L$189-Driver!$K$189),100%)</f>
        <v/>
      </c>
      <c r="AS1144" s="108">
        <f>(BE1144-Driver!$K$190)/(Driver!$L$190-Driver!$K$190)</f>
        <v/>
      </c>
      <c r="AT1144" s="108">
        <f>(BF1144-Driver!$K$191)/(Driver!$L$191-Driver!$K$191)</f>
        <v/>
      </c>
      <c r="AU1144" s="108">
        <f>(BG1144-Driver!$K$192)/(Driver!$L$192-Driver!$K$192)</f>
        <v/>
      </c>
      <c r="AV1144" s="105">
        <f>IFERROR(BM1144*BJ1144^1/4,"")</f>
        <v/>
      </c>
      <c r="AW1144" s="105">
        <f>IFERROR(SUM(AX1144:AZ1144),"")</f>
        <v/>
      </c>
      <c r="AX1144" s="105">
        <f>IFERROR(BH1144,"")</f>
        <v/>
      </c>
      <c r="AY1144" s="105">
        <f>IFERROR(Driver!$K$19/Data!BH1144/Data!BI1144*Data!BK1144*Data!BL1144,"")</f>
        <v/>
      </c>
      <c r="AZ1144" s="105">
        <f>IFERROR(BI1144*BN1144,"")</f>
        <v/>
      </c>
      <c r="BA1144" s="105" t="n"/>
      <c r="BB1144" s="105" t="n"/>
      <c r="BC1144" s="105">
        <f>IFERROR(BI1144*BN1144*BK1144/BJ1144^(1/2),"")</f>
        <v/>
      </c>
      <c r="BD1144" s="105">
        <f>IFERROR(BH1144*BM1144*BL1144/BJ1144/BK1144,"")</f>
        <v/>
      </c>
      <c r="BE1144" s="105">
        <f>IFERROR(MIN(BI1144/BQ1144/BP1144/BO1144/BH1144,$BE$1),"")</f>
        <v/>
      </c>
      <c r="BF1144" s="105">
        <f>IFERROR(BJ1144*BO1144*BP1144/BK1144,"")</f>
        <v/>
      </c>
      <c r="BG1144" s="105">
        <f>IFERROR(1/BM1144/BH1144*BQ1144,"")</f>
        <v/>
      </c>
      <c r="BH1144" s="102">
        <f>MAX((CE1144-Driver!$F$200)/(Driver!$G$200-Driver!$F$200)*$BI$1,1)</f>
        <v/>
      </c>
      <c r="BI1144" s="102">
        <f>MAX($BI$1*(BY1144-Driver!$F$201)/(Driver!$G$201-Driver!$F$201),1)</f>
        <v/>
      </c>
      <c r="BJ1144" s="102">
        <f>(CB1144-Driver!$F$206)/(Driver!$G$206-Driver!$F$206)*$BI$1</f>
        <v/>
      </c>
      <c r="BK1144" s="102">
        <f>(CD1144-Driver!$F$203)/(Driver!$G$203-Driver!$F$203)*$BI$1</f>
        <v/>
      </c>
      <c r="BL1144" s="102">
        <f>MAX((CR1144-Driver!$F$202)/(Driver!$G$202-Driver!$F$202)*$BI$1,1)</f>
        <v/>
      </c>
      <c r="BM1144" s="102">
        <f>MAX((CH1144-Driver!$F$204)/(Driver!$G$204-Driver!$F$204)*$BI$1,1)</f>
        <v/>
      </c>
      <c r="BN1144" s="102">
        <f>(CI1144-Driver!$F$205)/(Driver!$G$205-Driver!$F$205)*$BI$1</f>
        <v/>
      </c>
      <c r="BO1144" s="102">
        <f>(CK1144-Driver!$F$207)/(Driver!$G$207-Driver!$F$207)*$BI$1</f>
        <v/>
      </c>
      <c r="BP1144" s="102">
        <f>(CM1144-Driver!$F$208)/(Driver!$G$208-Driver!$F$208)*$BI$1</f>
        <v/>
      </c>
      <c r="BQ1144" s="102">
        <f>(CL1144-Driver!$F$209)/(Driver!$G$209-Driver!$F$209)*$BI$1</f>
        <v/>
      </c>
      <c r="BR1144" s="40" t="inlineStr">
        <is>
          <t>21/22</t>
        </is>
      </c>
      <c r="BS1144" s="10" t="inlineStr">
        <is>
          <t xml:space="preserve"> Head</t>
        </is>
      </c>
      <c r="BT1144" s="11" t="inlineStr">
        <is>
          <t>V-Shape V6</t>
        </is>
      </c>
      <c r="BU1144" s="13" t="n">
        <v>177</v>
      </c>
      <c r="BV1144" s="11" t="inlineStr">
        <is>
          <t xml:space="preserve"> Unisex</t>
        </is>
      </c>
      <c r="BW1144" s="13" t="n">
        <v>177</v>
      </c>
      <c r="BX1144" s="13" t="n">
        <v>176.4</v>
      </c>
      <c r="BY1144" s="13" t="n">
        <v>157</v>
      </c>
      <c r="BZ1144" s="13" t="n">
        <v>164</v>
      </c>
      <c r="CA1144" s="13" t="n">
        <v>130</v>
      </c>
      <c r="CB1144" s="13" t="n">
        <v>76</v>
      </c>
      <c r="CC1144" s="13" t="n">
        <v>112</v>
      </c>
      <c r="CD1144" s="13" t="n">
        <v>15</v>
      </c>
      <c r="CE1144" s="13" t="n">
        <v>2144</v>
      </c>
      <c r="CF1144" s="13" t="n">
        <v>0.76</v>
      </c>
      <c r="CG1144" s="13" t="n">
        <v>1628</v>
      </c>
      <c r="CH1144" s="13" t="n">
        <v>208</v>
      </c>
      <c r="CI1144" s="13" t="n">
        <v>114</v>
      </c>
      <c r="CJ1144" s="13" t="n">
        <v>33</v>
      </c>
      <c r="CK1144" s="13" t="n">
        <v>134</v>
      </c>
      <c r="CL1144" s="13" t="n">
        <v>6</v>
      </c>
      <c r="CM1144" s="13" t="n">
        <v>56</v>
      </c>
      <c r="CN1144" s="13" t="n">
        <v>0.188</v>
      </c>
      <c r="CO1144" s="13" t="n">
        <v>76</v>
      </c>
      <c r="CP1144" s="13" t="n">
        <v>51</v>
      </c>
      <c r="CQ1144" s="13" t="n">
        <v>58</v>
      </c>
      <c r="CR1144" s="13" t="n">
        <v>18</v>
      </c>
      <c r="CS1144" s="13" t="n">
        <v>13.2</v>
      </c>
      <c r="CT1144" s="11" t="inlineStr">
        <is>
          <t xml:space="preserve"> On-Piste Carving</t>
        </is>
      </c>
      <c r="CU1144" s="13" t="n"/>
      <c r="CV1144" s="13" t="n"/>
      <c r="CW1144" s="13" t="n"/>
      <c r="CX1144">
        <f>INDEX('Data_Price '!AG$2:AG$1266,MATCH(Data!$DN1144,'Data_Price '!$AT$2:$AT$1266,0))</f>
        <v/>
      </c>
      <c r="CY1144">
        <f>INDEX('Data_Price '!AH$2:AH$1266,MATCH(Data!$DN1144,'Data_Price '!$AT$2:$AT$1266,0))</f>
        <v/>
      </c>
      <c r="CZ1144">
        <f>INDEX('Data_Price '!AI$2:AI$1266,MATCH(Data!$DN1144,'Data_Price '!$AT$2:$AT$1266,0))</f>
        <v/>
      </c>
      <c r="DA1144">
        <f>INDEX('Data_Price '!AJ$2:AJ$1266,MATCH(Data!$DN1144,'Data_Price '!$AT$2:$AT$1266,0))</f>
        <v/>
      </c>
      <c r="DB1144">
        <f>INDEX('Data_Price '!AK$2:AK$1266,MATCH(Data!$DN1144,'Data_Price '!$AT$2:$AT$1266,0))</f>
        <v/>
      </c>
      <c r="DC1144">
        <f>INDEX('Data_Price '!AL$2:AL$1266,MATCH(Data!$DN1144,'Data_Price '!$AT$2:$AT$1266,0))</f>
        <v/>
      </c>
      <c r="DD1144">
        <f>INDEX('Data_Price '!AM$2:AM$1266,MATCH(Data!$DN1144,'Data_Price '!$AT$2:$AT$1266,0))</f>
        <v/>
      </c>
      <c r="DE1144">
        <f>INDEX('Data_Price '!AN$2:AN$1266,MATCH(Data!$DN1144,'Data_Price '!$AT$2:$AT$1266,0))</f>
        <v/>
      </c>
      <c r="DF1144">
        <f>INDEX('Data_Price '!AO$2:AO$1266,MATCH(Data!$DN1144,'Data_Price '!$AT$2:$AT$1266,0))</f>
        <v/>
      </c>
      <c r="DG1144">
        <f>INDEX('Data_Price '!AP$2:AP$1266,MATCH(Data!$DN1144,'Data_Price '!$AT$2:$AT$1266,0))</f>
        <v/>
      </c>
      <c r="DH1144">
        <f>INDEX('Data_Price '!AQ$2:AQ$1266,MATCH(Data!$DN1144,'Data_Price '!$AT$2:$AT$1266,0))</f>
        <v/>
      </c>
      <c r="DI1144">
        <f>INDEX('Data_Price '!AR$2:AR$1266,MATCH(Data!$DN1144,'Data_Price '!$AT$2:$AT$1266,0))</f>
        <v/>
      </c>
      <c r="DJ1144" s="138">
        <f>DA1144</f>
        <v/>
      </c>
      <c r="DK1144" s="138">
        <f>DE1144</f>
        <v/>
      </c>
      <c r="DL1144" s="138">
        <f>DI1144</f>
        <v/>
      </c>
      <c r="DM1144" s="303">
        <f>IF(LEFT(BT1144,1)=" ",RIGHT(BT1144,LEN(BT1144)-1),BT1144)</f>
        <v/>
      </c>
      <c r="DN1144" s="138">
        <f>_xlfn.CONCAT(BS1144,DM1144,BU1144,BV1144)</f>
        <v/>
      </c>
      <c r="DO1144" s="307" t="inlineStr">
        <is>
          <t>https://images.evo.com/imgp/250/183613/724807/head-v-shape-v6-skis-pr-11-gw-bindings-2022-.jpg</t>
        </is>
      </c>
    </row>
    <row r="1145" ht="15.6" customHeight="1" s="184">
      <c r="B1145" s="303">
        <f t="array" ref="B1145">IF(OR(ISERROR(K1145:P1145)),FALSE,TRUE)</f>
        <v/>
      </c>
      <c r="C1145" s="60">
        <f>OR(BR1145=Driver!$G$50,Data!BR893=Driver!$H$50)</f>
        <v/>
      </c>
      <c r="D1145" s="60">
        <f>OR(BV1145=Driver!$G$51,BV1145=Driver!$H$51)</f>
        <v/>
      </c>
      <c r="E1145" s="60">
        <f>AND(BX1145&gt;Driver!$F$54,BX1145&lt;Driver!$G$54)</f>
        <v/>
      </c>
      <c r="F1145" s="60">
        <f>CL1145&gt;Driver!$F$56</f>
        <v/>
      </c>
      <c r="G1145" s="60">
        <f>AND(CB1145&gt;Driver!$F$55,CB1145&lt;Driver!$G$55)</f>
        <v/>
      </c>
      <c r="H1145" s="60">
        <f>AND(B1145:G1145)</f>
        <v/>
      </c>
      <c r="I1145" s="60">
        <f>COUNTIFS($H$9:$H$1273,TRUE,$BT$9:$BT$1273,BT1145)</f>
        <v/>
      </c>
      <c r="J1145" s="60">
        <f t="array" ref="J1145">NOT(OR(($H$9:$H$1273=TRUE)*($I$9:$I$1273&gt;0)*($BT$9:$BT$1273=BT1145)*($K$9:$K$1273&gt;K1145)))</f>
        <v/>
      </c>
      <c r="K1145" s="108">
        <f>IFERROR(1-AVERAGE(X1145:Y1145),"")</f>
        <v/>
      </c>
      <c r="L1145" s="108">
        <f>1-X1145</f>
        <v/>
      </c>
      <c r="M1145" s="108">
        <f>1-Y1145</f>
        <v/>
      </c>
      <c r="N1145" s="108">
        <f>1-Z1145</f>
        <v/>
      </c>
      <c r="O1145" s="108">
        <f>1-AA1145</f>
        <v/>
      </c>
      <c r="P1145" s="108">
        <f>1-AB1145</f>
        <v/>
      </c>
      <c r="Q1145" s="108" t="n"/>
      <c r="R1145" s="108" t="n"/>
      <c r="S1145" s="108">
        <f>1-AE1145</f>
        <v/>
      </c>
      <c r="T1145" s="108">
        <f>1-AF1145</f>
        <v/>
      </c>
      <c r="U1145" s="108">
        <f>1-AG1145</f>
        <v/>
      </c>
      <c r="V1145" s="108">
        <f>1-AH1145</f>
        <v/>
      </c>
      <c r="W1145" s="108">
        <f>1-AI1145</f>
        <v/>
      </c>
      <c r="X1145" s="108">
        <f>ABS(AJ1145-AJ$1)</f>
        <v/>
      </c>
      <c r="Y1145" s="108">
        <f>AVERAGE(Z1145:AB1145)</f>
        <v/>
      </c>
      <c r="Z1145" s="108">
        <f>ABS(AL1145-AL$1)</f>
        <v/>
      </c>
      <c r="AA1145" s="108">
        <f>ABS(AM1145-AM$1)</f>
        <v/>
      </c>
      <c r="AB1145" s="108">
        <f>ABS(AN1145-AN$1)</f>
        <v/>
      </c>
      <c r="AC1145" s="108" t="n"/>
      <c r="AD1145" s="108" t="n"/>
      <c r="AE1145" s="108">
        <f>ABS(AQ$1-AQ1145)</f>
        <v/>
      </c>
      <c r="AF1145" s="108">
        <f>ABS(AR$1-AR1145)</f>
        <v/>
      </c>
      <c r="AG1145" s="108">
        <f>ABS(AS$1-AS1145)</f>
        <v/>
      </c>
      <c r="AH1145" s="108">
        <f>ABS(AT$1-AT1145)</f>
        <v/>
      </c>
      <c r="AI1145" s="108">
        <f>ABS(AU$1-AU1145)</f>
        <v/>
      </c>
      <c r="AJ1145" s="108">
        <f>(AV1145-Driver!$K$179)/(Driver!$L$179-Driver!$K$179)</f>
        <v/>
      </c>
      <c r="AK1145" s="108">
        <f>(AW1145-Driver!$K$180)/(Driver!$L$180-Driver!$K$180)</f>
        <v/>
      </c>
      <c r="AL1145" s="108">
        <f>(AX1145-Driver!$K$181)/(Driver!$L$181-Driver!$K$181)</f>
        <v/>
      </c>
      <c r="AM1145" s="108">
        <f>(AY1145-Driver!$K$182)/(Driver!$L$182-Driver!$K$182)</f>
        <v/>
      </c>
      <c r="AN1145" s="108">
        <f>(AZ1145-Driver!$K$183)/(Driver!$L$183-Driver!$K$183)</f>
        <v/>
      </c>
      <c r="AO1145" s="108" t="n"/>
      <c r="AP1145" s="108" t="n"/>
      <c r="AQ1145" s="108">
        <f>(BC1145-Driver!$K$188)/(Driver!$L$188-Driver!$K$188)</f>
        <v/>
      </c>
      <c r="AR1145" s="108">
        <f>MIN((BD1145-Driver!$K$189)/(Driver!$L$189-Driver!$K$189),100%)</f>
        <v/>
      </c>
      <c r="AS1145" s="108">
        <f>(BE1145-Driver!$K$190)/(Driver!$L$190-Driver!$K$190)</f>
        <v/>
      </c>
      <c r="AT1145" s="108">
        <f>(BF1145-Driver!$K$191)/(Driver!$L$191-Driver!$K$191)</f>
        <v/>
      </c>
      <c r="AU1145" s="108">
        <f>(BG1145-Driver!$K$192)/(Driver!$L$192-Driver!$K$192)</f>
        <v/>
      </c>
      <c r="AV1145" s="105">
        <f>IFERROR(BM1145*BJ1145^1/4,"")</f>
        <v/>
      </c>
      <c r="AW1145" s="105">
        <f>IFERROR(SUM(AX1145:AZ1145),"")</f>
        <v/>
      </c>
      <c r="AX1145" s="105">
        <f>IFERROR(BH1145,"")</f>
        <v/>
      </c>
      <c r="AY1145" s="105">
        <f>IFERROR(Driver!$K$19/Data!BH1145/Data!BI1145*Data!BK1145*Data!BL1145,"")</f>
        <v/>
      </c>
      <c r="AZ1145" s="105">
        <f>IFERROR(BI1145*BN1145,"")</f>
        <v/>
      </c>
      <c r="BA1145" s="105" t="n"/>
      <c r="BB1145" s="105" t="n"/>
      <c r="BC1145" s="105">
        <f>IFERROR(BI1145*BN1145*BK1145/BJ1145^(1/2),"")</f>
        <v/>
      </c>
      <c r="BD1145" s="105">
        <f>IFERROR(BH1145*BM1145*BL1145/BJ1145/BK1145,"")</f>
        <v/>
      </c>
      <c r="BE1145" s="105">
        <f>IFERROR(MIN(BI1145/BQ1145/BP1145/BO1145/BH1145,$BE$1),"")</f>
        <v/>
      </c>
      <c r="BF1145" s="105">
        <f>IFERROR(BJ1145*BO1145*BP1145/BK1145,"")</f>
        <v/>
      </c>
      <c r="BG1145" s="105">
        <f>IFERROR(1/BM1145/BH1145*BQ1145,"")</f>
        <v/>
      </c>
      <c r="BH1145" s="102">
        <f>MAX((CE1145-Driver!$F$200)/(Driver!$G$200-Driver!$F$200)*$BI$1,1)</f>
        <v/>
      </c>
      <c r="BI1145" s="102">
        <f>MAX($BI$1*(BY1145-Driver!$F$201)/(Driver!$G$201-Driver!$F$201),1)</f>
        <v/>
      </c>
      <c r="BJ1145" s="102">
        <f>(CB1145-Driver!$F$206)/(Driver!$G$206-Driver!$F$206)*$BI$1</f>
        <v/>
      </c>
      <c r="BK1145" s="102">
        <f>(CD1145-Driver!$F$203)/(Driver!$G$203-Driver!$F$203)*$BI$1</f>
        <v/>
      </c>
      <c r="BL1145" s="102">
        <f>MAX((CR1145-Driver!$F$202)/(Driver!$G$202-Driver!$F$202)*$BI$1,1)</f>
        <v/>
      </c>
      <c r="BM1145" s="102">
        <f>MAX((CH1145-Driver!$F$204)/(Driver!$G$204-Driver!$F$204)*$BI$1,1)</f>
        <v/>
      </c>
      <c r="BN1145" s="102">
        <f>(CI1145-Driver!$F$205)/(Driver!$G$205-Driver!$F$205)*$BI$1</f>
        <v/>
      </c>
      <c r="BO1145" s="102">
        <f>(CK1145-Driver!$F$207)/(Driver!$G$207-Driver!$F$207)*$BI$1</f>
        <v/>
      </c>
      <c r="BP1145" s="102">
        <f>(CM1145-Driver!$F$208)/(Driver!$G$208-Driver!$F$208)*$BI$1</f>
        <v/>
      </c>
      <c r="BQ1145" s="102">
        <f>(CL1145-Driver!$F$209)/(Driver!$G$209-Driver!$F$209)*$BI$1</f>
        <v/>
      </c>
      <c r="BR1145" s="40" t="inlineStr">
        <is>
          <t>21/22</t>
        </is>
      </c>
      <c r="BS1145" s="10" t="inlineStr">
        <is>
          <t xml:space="preserve"> Nordica</t>
        </is>
      </c>
      <c r="BT1145" s="11" t="inlineStr">
        <is>
          <t>Enforcer 100</t>
        </is>
      </c>
      <c r="BU1145" s="13" t="n">
        <v>179</v>
      </c>
      <c r="BV1145" s="11" t="inlineStr">
        <is>
          <t xml:space="preserve"> Unisex</t>
        </is>
      </c>
      <c r="BW1145" s="13" t="n">
        <v>179</v>
      </c>
      <c r="BX1145" s="13" t="n">
        <v>178.5</v>
      </c>
      <c r="BY1145" s="13" t="n">
        <v>131</v>
      </c>
      <c r="BZ1145" s="13" t="n">
        <v>148</v>
      </c>
      <c r="CA1145" s="13" t="n">
        <v>134</v>
      </c>
      <c r="CB1145" s="13" t="n">
        <v>100</v>
      </c>
      <c r="CC1145" s="13" t="n">
        <v>120</v>
      </c>
      <c r="CD1145" s="13" t="n">
        <v>17.3</v>
      </c>
      <c r="CE1145" s="13" t="n">
        <v>2178</v>
      </c>
      <c r="CF1145" s="13" t="n">
        <v>0.91</v>
      </c>
      <c r="CG1145" s="13" t="n">
        <v>1975</v>
      </c>
      <c r="CH1145" s="13" t="n">
        <v>226</v>
      </c>
      <c r="CI1145" s="13" t="n">
        <v>145</v>
      </c>
      <c r="CJ1145" s="13" t="n">
        <v>54</v>
      </c>
      <c r="CK1145" s="13" t="n">
        <v>275</v>
      </c>
      <c r="CL1145" s="13" t="n">
        <v>16</v>
      </c>
      <c r="CM1145" s="13" t="n">
        <v>198</v>
      </c>
      <c r="CN1145" s="13" t="n">
        <v>0.297</v>
      </c>
      <c r="CO1145" s="13" t="n">
        <v>146</v>
      </c>
      <c r="CP1145" s="13" t="n">
        <v>162</v>
      </c>
      <c r="CQ1145" s="13" t="n">
        <v>129</v>
      </c>
      <c r="CR1145" s="13" t="n">
        <v>9</v>
      </c>
      <c r="CS1145" s="13" t="n">
        <v>8.4</v>
      </c>
      <c r="CT1145" s="11" t="inlineStr">
        <is>
          <t xml:space="preserve"> Resort Freeride</t>
        </is>
      </c>
      <c r="CU1145" s="13" t="n"/>
      <c r="CV1145" s="13" t="n"/>
      <c r="CW1145" s="13" t="n"/>
      <c r="CX1145">
        <f>INDEX('Data_Price '!AG$2:AG$1266,MATCH(Data!$DN1145,'Data_Price '!$AT$2:$AT$1266,0))</f>
        <v/>
      </c>
      <c r="CY1145">
        <f>INDEX('Data_Price '!AH$2:AH$1266,MATCH(Data!$DN1145,'Data_Price '!$AT$2:$AT$1266,0))</f>
        <v/>
      </c>
      <c r="CZ1145">
        <f>INDEX('Data_Price '!AI$2:AI$1266,MATCH(Data!$DN1145,'Data_Price '!$AT$2:$AT$1266,0))</f>
        <v/>
      </c>
      <c r="DA1145">
        <f>INDEX('Data_Price '!AJ$2:AJ$1266,MATCH(Data!$DN1145,'Data_Price '!$AT$2:$AT$1266,0))</f>
        <v/>
      </c>
      <c r="DB1145">
        <f>INDEX('Data_Price '!AK$2:AK$1266,MATCH(Data!$DN1145,'Data_Price '!$AT$2:$AT$1266,0))</f>
        <v/>
      </c>
      <c r="DC1145">
        <f>INDEX('Data_Price '!AL$2:AL$1266,MATCH(Data!$DN1145,'Data_Price '!$AT$2:$AT$1266,0))</f>
        <v/>
      </c>
      <c r="DD1145">
        <f>INDEX('Data_Price '!AM$2:AM$1266,MATCH(Data!$DN1145,'Data_Price '!$AT$2:$AT$1266,0))</f>
        <v/>
      </c>
      <c r="DE1145">
        <f>INDEX('Data_Price '!AN$2:AN$1266,MATCH(Data!$DN1145,'Data_Price '!$AT$2:$AT$1266,0))</f>
        <v/>
      </c>
      <c r="DF1145">
        <f>INDEX('Data_Price '!AO$2:AO$1266,MATCH(Data!$DN1145,'Data_Price '!$AT$2:$AT$1266,0))</f>
        <v/>
      </c>
      <c r="DG1145">
        <f>INDEX('Data_Price '!AP$2:AP$1266,MATCH(Data!$DN1145,'Data_Price '!$AT$2:$AT$1266,0))</f>
        <v/>
      </c>
      <c r="DH1145">
        <f>INDEX('Data_Price '!AQ$2:AQ$1266,MATCH(Data!$DN1145,'Data_Price '!$AT$2:$AT$1266,0))</f>
        <v/>
      </c>
      <c r="DI1145">
        <f>INDEX('Data_Price '!AR$2:AR$1266,MATCH(Data!$DN1145,'Data_Price '!$AT$2:$AT$1266,0))</f>
        <v/>
      </c>
      <c r="DJ1145" s="138">
        <f>DA1145</f>
        <v/>
      </c>
      <c r="DK1145" s="138">
        <f>DE1145</f>
        <v/>
      </c>
      <c r="DL1145" s="138">
        <f>DI1145</f>
        <v/>
      </c>
      <c r="DM1145" s="303">
        <f>IF(LEFT(BT1145,1)=" ",RIGHT(BT1145,LEN(BT1145)-1),BT1145)</f>
        <v/>
      </c>
      <c r="DN1145" s="138">
        <f>_xlfn.CONCAT(BS1145,DM1145,BU1145,BV1145)</f>
        <v/>
      </c>
      <c r="DO1145" s="307" t="inlineStr">
        <is>
          <t>https://images.evo.com/imgp/250/198255/792329/clone.jpg</t>
        </is>
      </c>
    </row>
    <row r="1146" ht="15.6" customHeight="1" s="184">
      <c r="B1146" s="303">
        <f t="array" ref="B1146">IF(OR(ISERROR(K1146:P1146)),FALSE,TRUE)</f>
        <v/>
      </c>
      <c r="C1146" s="60">
        <f>OR(BR1146=Driver!$G$50,Data!BR1193=Driver!$H$50)</f>
        <v/>
      </c>
      <c r="D1146" s="60">
        <f>OR(BV1146=Driver!$G$51,BV1146=Driver!$H$51)</f>
        <v/>
      </c>
      <c r="E1146" s="60">
        <f>AND(BX1146&gt;Driver!$F$54,BX1146&lt;Driver!$G$54)</f>
        <v/>
      </c>
      <c r="F1146" s="60">
        <f>CL1146&gt;Driver!$F$56</f>
        <v/>
      </c>
      <c r="G1146" s="60">
        <f>AND(CB1146&gt;Driver!$F$55,CB1146&lt;Driver!$G$55)</f>
        <v/>
      </c>
      <c r="H1146" s="60">
        <f>AND(B1146:G1146)</f>
        <v/>
      </c>
      <c r="I1146" s="60">
        <f>COUNTIFS($H$9:$H$1273,TRUE,$BT$9:$BT$1273,BT1146)</f>
        <v/>
      </c>
      <c r="J1146" s="60">
        <f t="array" ref="J1146">NOT(OR(($H$9:$H$1273=TRUE)*($I$9:$I$1273&gt;0)*($BT$9:$BT$1273=BT1146)*($K$9:$K$1273&gt;K1146)))</f>
        <v/>
      </c>
      <c r="K1146" s="108">
        <f>IFERROR(1-AVERAGE(X1146:Y1146),"")</f>
        <v/>
      </c>
      <c r="L1146" s="108">
        <f>1-X1146</f>
        <v/>
      </c>
      <c r="M1146" s="108">
        <f>1-Y1146</f>
        <v/>
      </c>
      <c r="N1146" s="108">
        <f>1-Z1146</f>
        <v/>
      </c>
      <c r="O1146" s="108">
        <f>1-AA1146</f>
        <v/>
      </c>
      <c r="P1146" s="108">
        <f>1-AB1146</f>
        <v/>
      </c>
      <c r="Q1146" s="108" t="n"/>
      <c r="R1146" s="108" t="n"/>
      <c r="S1146" s="108">
        <f>1-AE1146</f>
        <v/>
      </c>
      <c r="T1146" s="108">
        <f>1-AF1146</f>
        <v/>
      </c>
      <c r="U1146" s="108">
        <f>1-AG1146</f>
        <v/>
      </c>
      <c r="V1146" s="108">
        <f>1-AH1146</f>
        <v/>
      </c>
      <c r="W1146" s="108">
        <f>1-AI1146</f>
        <v/>
      </c>
      <c r="X1146" s="108">
        <f>ABS(AJ1146-AJ$1)</f>
        <v/>
      </c>
      <c r="Y1146" s="108">
        <f>AVERAGE(Z1146:AB1146)</f>
        <v/>
      </c>
      <c r="Z1146" s="108">
        <f>ABS(AL1146-AL$1)</f>
        <v/>
      </c>
      <c r="AA1146" s="108">
        <f>ABS(AM1146-AM$1)</f>
        <v/>
      </c>
      <c r="AB1146" s="108">
        <f>ABS(AN1146-AN$1)</f>
        <v/>
      </c>
      <c r="AC1146" s="108" t="n"/>
      <c r="AD1146" s="108" t="n"/>
      <c r="AE1146" s="108">
        <f>ABS(AQ$1-AQ1146)</f>
        <v/>
      </c>
      <c r="AF1146" s="108">
        <f>ABS(AR$1-AR1146)</f>
        <v/>
      </c>
      <c r="AG1146" s="108">
        <f>ABS(AS$1-AS1146)</f>
        <v/>
      </c>
      <c r="AH1146" s="108">
        <f>ABS(AT$1-AT1146)</f>
        <v/>
      </c>
      <c r="AI1146" s="108">
        <f>ABS(AU$1-AU1146)</f>
        <v/>
      </c>
      <c r="AJ1146" s="108">
        <f>(AV1146-Driver!$K$179)/(Driver!$L$179-Driver!$K$179)</f>
        <v/>
      </c>
      <c r="AK1146" s="108">
        <f>(AW1146-Driver!$K$180)/(Driver!$L$180-Driver!$K$180)</f>
        <v/>
      </c>
      <c r="AL1146" s="108">
        <f>(AX1146-Driver!$K$181)/(Driver!$L$181-Driver!$K$181)</f>
        <v/>
      </c>
      <c r="AM1146" s="108">
        <f>(AY1146-Driver!$K$182)/(Driver!$L$182-Driver!$K$182)</f>
        <v/>
      </c>
      <c r="AN1146" s="108">
        <f>(AZ1146-Driver!$K$183)/(Driver!$L$183-Driver!$K$183)</f>
        <v/>
      </c>
      <c r="AO1146" s="108" t="n"/>
      <c r="AP1146" s="108" t="n"/>
      <c r="AQ1146" s="108">
        <f>(BC1146-Driver!$K$188)/(Driver!$L$188-Driver!$K$188)</f>
        <v/>
      </c>
      <c r="AR1146" s="108">
        <f>MIN((BD1146-Driver!$K$189)/(Driver!$L$189-Driver!$K$189),100%)</f>
        <v/>
      </c>
      <c r="AS1146" s="108">
        <f>(BE1146-Driver!$K$190)/(Driver!$L$190-Driver!$K$190)</f>
        <v/>
      </c>
      <c r="AT1146" s="108">
        <f>(BF1146-Driver!$K$191)/(Driver!$L$191-Driver!$K$191)</f>
        <v/>
      </c>
      <c r="AU1146" s="108">
        <f>(BG1146-Driver!$K$192)/(Driver!$L$192-Driver!$K$192)</f>
        <v/>
      </c>
      <c r="AV1146" s="105">
        <f>IFERROR(BM1146*BJ1146^1/4,"")</f>
        <v/>
      </c>
      <c r="AW1146" s="105">
        <f>IFERROR(SUM(AX1146:AZ1146),"")</f>
        <v/>
      </c>
      <c r="AX1146" s="105">
        <f>IFERROR(BH1146,"")</f>
        <v/>
      </c>
      <c r="AY1146" s="105">
        <f>IFERROR(Driver!$K$19/Data!BH1146/Data!BI1146*Data!BK1146*Data!BL1146,"")</f>
        <v/>
      </c>
      <c r="AZ1146" s="105">
        <f>IFERROR(BI1146*BN1146,"")</f>
        <v/>
      </c>
      <c r="BA1146" s="105" t="n"/>
      <c r="BB1146" s="105" t="n"/>
      <c r="BC1146" s="105">
        <f>IFERROR(BI1146*BN1146*BK1146/BJ1146^(1/2),"")</f>
        <v/>
      </c>
      <c r="BD1146" s="105">
        <f>IFERROR(BH1146*BM1146*BL1146/BJ1146/BK1146,"")</f>
        <v/>
      </c>
      <c r="BE1146" s="105">
        <f>IFERROR(MIN(BI1146/BQ1146/BP1146/BO1146/BH1146,$BE$1),"")</f>
        <v/>
      </c>
      <c r="BF1146" s="105">
        <f>IFERROR(BJ1146*BO1146*BP1146/BK1146,"")</f>
        <v/>
      </c>
      <c r="BG1146" s="105">
        <f>IFERROR(1/BM1146/BH1146*BQ1146,"")</f>
        <v/>
      </c>
      <c r="BH1146" s="102">
        <f>MAX((CE1146-Driver!$F$200)/(Driver!$G$200-Driver!$F$200)*$BI$1,1)</f>
        <v/>
      </c>
      <c r="BI1146" s="102">
        <f>MAX($BI$1*(BY1146-Driver!$F$201)/(Driver!$G$201-Driver!$F$201),1)</f>
        <v/>
      </c>
      <c r="BJ1146" s="102">
        <f>(CB1146-Driver!$F$206)/(Driver!$G$206-Driver!$F$206)*$BI$1</f>
        <v/>
      </c>
      <c r="BK1146" s="102">
        <f>(CD1146-Driver!$F$203)/(Driver!$G$203-Driver!$F$203)*$BI$1</f>
        <v/>
      </c>
      <c r="BL1146" s="102">
        <f>MAX((CR1146-Driver!$F$202)/(Driver!$G$202-Driver!$F$202)*$BI$1,1)</f>
        <v/>
      </c>
      <c r="BM1146" s="102">
        <f>MAX((CH1146-Driver!$F$204)/(Driver!$G$204-Driver!$F$204)*$BI$1,1)</f>
        <v/>
      </c>
      <c r="BN1146" s="102">
        <f>(CI1146-Driver!$F$205)/(Driver!$G$205-Driver!$F$205)*$BI$1</f>
        <v/>
      </c>
      <c r="BO1146" s="102">
        <f>(CK1146-Driver!$F$207)/(Driver!$G$207-Driver!$F$207)*$BI$1</f>
        <v/>
      </c>
      <c r="BP1146" s="102">
        <f>(CM1146-Driver!$F$208)/(Driver!$G$208-Driver!$F$208)*$BI$1</f>
        <v/>
      </c>
      <c r="BQ1146" s="102">
        <f>(CL1146-Driver!$F$209)/(Driver!$G$209-Driver!$F$209)*$BI$1</f>
        <v/>
      </c>
      <c r="BR1146" s="40" t="inlineStr">
        <is>
          <t>21/22</t>
        </is>
      </c>
      <c r="BS1146" s="10" t="inlineStr">
        <is>
          <t xml:space="preserve"> Völkl</t>
        </is>
      </c>
      <c r="BT1146" s="11" t="inlineStr">
        <is>
          <t>Flair 79</t>
        </is>
      </c>
      <c r="BU1146" s="13" t="n">
        <v>149</v>
      </c>
      <c r="BV1146" s="11" t="inlineStr">
        <is>
          <t xml:space="preserve"> Women's</t>
        </is>
      </c>
      <c r="BW1146" s="13" t="n">
        <v>149</v>
      </c>
      <c r="BX1146" s="13" t="n">
        <v>149.4</v>
      </c>
      <c r="BY1146" s="13" t="n">
        <v>106</v>
      </c>
      <c r="BZ1146" s="13" t="n">
        <v>138</v>
      </c>
      <c r="CA1146" s="13" t="n">
        <v>128</v>
      </c>
      <c r="CB1146" s="13" t="n">
        <v>79</v>
      </c>
      <c r="CC1146" s="13" t="n">
        <v>109</v>
      </c>
      <c r="CD1146" s="13" t="n">
        <v>11.9</v>
      </c>
      <c r="CE1146" s="13" t="n">
        <v>1397</v>
      </c>
      <c r="CF1146" s="13" t="n">
        <v>1</v>
      </c>
      <c r="CG1146" s="13" t="n">
        <v>1393</v>
      </c>
      <c r="CH1146" s="13" t="n">
        <v>140</v>
      </c>
      <c r="CI1146" s="13" t="n">
        <v>51</v>
      </c>
      <c r="CJ1146" s="13" t="n">
        <v>37</v>
      </c>
      <c r="CK1146" s="13" t="n">
        <v>229</v>
      </c>
      <c r="CL1146" s="13" t="n">
        <v>7</v>
      </c>
      <c r="CM1146" s="13" t="n">
        <v>204</v>
      </c>
      <c r="CN1146" s="13" t="n">
        <v>0.181</v>
      </c>
      <c r="CO1146" s="13" t="n">
        <v>67</v>
      </c>
      <c r="CP1146" s="13" t="n">
        <v>47</v>
      </c>
      <c r="CQ1146" s="13" t="n">
        <v>161</v>
      </c>
      <c r="CR1146" s="13" t="n">
        <v>3</v>
      </c>
      <c r="CS1146" s="13" t="n">
        <v>11.4</v>
      </c>
      <c r="CT1146" s="11" t="inlineStr">
        <is>
          <t xml:space="preserve"> Other</t>
        </is>
      </c>
      <c r="CU1146" s="13" t="n"/>
      <c r="CV1146" s="13" t="n"/>
      <c r="CW1146" s="13" t="n"/>
      <c r="CX1146">
        <f>INDEX('Data_Price '!AG$2:AG$1266,MATCH(Data!$DN1146,'Data_Price '!$AT$2:$AT$1266,0))</f>
        <v/>
      </c>
      <c r="CY1146">
        <f>INDEX('Data_Price '!AH$2:AH$1266,MATCH(Data!$DN1146,'Data_Price '!$AT$2:$AT$1266,0))</f>
        <v/>
      </c>
      <c r="CZ1146">
        <f>INDEX('Data_Price '!AI$2:AI$1266,MATCH(Data!$DN1146,'Data_Price '!$AT$2:$AT$1266,0))</f>
        <v/>
      </c>
      <c r="DA1146">
        <f>INDEX('Data_Price '!AJ$2:AJ$1266,MATCH(Data!$DN1146,'Data_Price '!$AT$2:$AT$1266,0))</f>
        <v/>
      </c>
      <c r="DB1146">
        <f>INDEX('Data_Price '!AK$2:AK$1266,MATCH(Data!$DN1146,'Data_Price '!$AT$2:$AT$1266,0))</f>
        <v/>
      </c>
      <c r="DC1146">
        <f>INDEX('Data_Price '!AL$2:AL$1266,MATCH(Data!$DN1146,'Data_Price '!$AT$2:$AT$1266,0))</f>
        <v/>
      </c>
      <c r="DD1146">
        <f>INDEX('Data_Price '!AM$2:AM$1266,MATCH(Data!$DN1146,'Data_Price '!$AT$2:$AT$1266,0))</f>
        <v/>
      </c>
      <c r="DE1146">
        <f>INDEX('Data_Price '!AN$2:AN$1266,MATCH(Data!$DN1146,'Data_Price '!$AT$2:$AT$1266,0))</f>
        <v/>
      </c>
      <c r="DF1146">
        <f>INDEX('Data_Price '!AO$2:AO$1266,MATCH(Data!$DN1146,'Data_Price '!$AT$2:$AT$1266,0))</f>
        <v/>
      </c>
      <c r="DG1146">
        <f>INDEX('Data_Price '!AP$2:AP$1266,MATCH(Data!$DN1146,'Data_Price '!$AT$2:$AT$1266,0))</f>
        <v/>
      </c>
      <c r="DH1146">
        <f>INDEX('Data_Price '!AQ$2:AQ$1266,MATCH(Data!$DN1146,'Data_Price '!$AT$2:$AT$1266,0))</f>
        <v/>
      </c>
      <c r="DI1146">
        <f>INDEX('Data_Price '!AR$2:AR$1266,MATCH(Data!$DN1146,'Data_Price '!$AT$2:$AT$1266,0))</f>
        <v/>
      </c>
      <c r="DJ1146" s="138">
        <f>DA1146</f>
        <v/>
      </c>
      <c r="DK1146" s="138">
        <f>DE1146</f>
        <v/>
      </c>
      <c r="DL1146" s="138">
        <f>DI1146</f>
        <v/>
      </c>
      <c r="DM1146" s="303">
        <f>IF(LEFT(BT1146,1)=" ",RIGHT(BT1146,LEN(BT1146)-1),BT1146)</f>
        <v/>
      </c>
      <c r="DN1146" s="138">
        <f>_xlfn.CONCAT(BS1146,DM1146,BU1146,BV1146)</f>
        <v/>
      </c>
      <c r="DO1146" s="307" t="n"/>
    </row>
    <row r="1147" ht="15.6" customHeight="1" s="184">
      <c r="B1147" s="303">
        <f t="array" ref="B1147">IF(OR(ISERROR(K1147:P1147)),FALSE,TRUE)</f>
        <v/>
      </c>
      <c r="C1147" s="60">
        <f>OR(BR1147=Driver!$G$50,Data!BR50=Driver!$H$50)</f>
        <v/>
      </c>
      <c r="D1147" s="60">
        <f>OR(BV1147=Driver!$G$51,BV1147=Driver!$H$51)</f>
        <v/>
      </c>
      <c r="E1147" s="60">
        <f>AND(BX1147&gt;Driver!$F$54,BX1147&lt;Driver!$G$54)</f>
        <v/>
      </c>
      <c r="F1147" s="60">
        <f>CL1147&gt;Driver!$F$56</f>
        <v/>
      </c>
      <c r="G1147" s="60">
        <f>AND(CB1147&gt;Driver!$F$55,CB1147&lt;Driver!$G$55)</f>
        <v/>
      </c>
      <c r="H1147" s="60">
        <f>AND(B1147:G1147)</f>
        <v/>
      </c>
      <c r="I1147" s="60">
        <f>COUNTIFS($H$9:$H$1273,TRUE,$BT$9:$BT$1273,BT1147)</f>
        <v/>
      </c>
      <c r="J1147" s="60">
        <f t="array" ref="J1147">NOT(OR(($H$9:$H$1273=TRUE)*($I$9:$I$1273&gt;0)*($BT$9:$BT$1273=BT1147)*($K$9:$K$1273&gt;K1147)))</f>
        <v/>
      </c>
      <c r="K1147" s="108">
        <f>IFERROR(1-AVERAGE(X1147:Y1147),"")</f>
        <v/>
      </c>
      <c r="L1147" s="108">
        <f>1-X1147</f>
        <v/>
      </c>
      <c r="M1147" s="108">
        <f>1-Y1147</f>
        <v/>
      </c>
      <c r="N1147" s="108">
        <f>1-Z1147</f>
        <v/>
      </c>
      <c r="O1147" s="108">
        <f>1-AA1147</f>
        <v/>
      </c>
      <c r="P1147" s="108">
        <f>1-AB1147</f>
        <v/>
      </c>
      <c r="Q1147" s="108" t="n"/>
      <c r="R1147" s="108" t="n"/>
      <c r="S1147" s="108">
        <f>1-AE1147</f>
        <v/>
      </c>
      <c r="T1147" s="108">
        <f>1-AF1147</f>
        <v/>
      </c>
      <c r="U1147" s="108">
        <f>1-AG1147</f>
        <v/>
      </c>
      <c r="V1147" s="108">
        <f>1-AH1147</f>
        <v/>
      </c>
      <c r="W1147" s="108">
        <f>1-AI1147</f>
        <v/>
      </c>
      <c r="X1147" s="108">
        <f>ABS(AJ1147-AJ$1)</f>
        <v/>
      </c>
      <c r="Y1147" s="108">
        <f>AVERAGE(Z1147:AB1147)</f>
        <v/>
      </c>
      <c r="Z1147" s="108">
        <f>ABS(AL1147-AL$1)</f>
        <v/>
      </c>
      <c r="AA1147" s="108">
        <f>ABS(AM1147-AM$1)</f>
        <v/>
      </c>
      <c r="AB1147" s="108">
        <f>ABS(AN1147-AN$1)</f>
        <v/>
      </c>
      <c r="AC1147" s="108" t="n"/>
      <c r="AD1147" s="108" t="n"/>
      <c r="AE1147" s="108">
        <f>ABS(AQ$1-AQ1147)</f>
        <v/>
      </c>
      <c r="AF1147" s="108">
        <f>ABS(AR$1-AR1147)</f>
        <v/>
      </c>
      <c r="AG1147" s="108">
        <f>ABS(AS$1-AS1147)</f>
        <v/>
      </c>
      <c r="AH1147" s="108">
        <f>ABS(AT$1-AT1147)</f>
        <v/>
      </c>
      <c r="AI1147" s="108">
        <f>ABS(AU$1-AU1147)</f>
        <v/>
      </c>
      <c r="AJ1147" s="108">
        <f>(AV1147-Driver!$K$179)/(Driver!$L$179-Driver!$K$179)</f>
        <v/>
      </c>
      <c r="AK1147" s="108">
        <f>(AW1147-Driver!$K$180)/(Driver!$L$180-Driver!$K$180)</f>
        <v/>
      </c>
      <c r="AL1147" s="108">
        <f>(AX1147-Driver!$K$181)/(Driver!$L$181-Driver!$K$181)</f>
        <v/>
      </c>
      <c r="AM1147" s="108">
        <f>(AY1147-Driver!$K$182)/(Driver!$L$182-Driver!$K$182)</f>
        <v/>
      </c>
      <c r="AN1147" s="108">
        <f>(AZ1147-Driver!$K$183)/(Driver!$L$183-Driver!$K$183)</f>
        <v/>
      </c>
      <c r="AO1147" s="108" t="n"/>
      <c r="AP1147" s="108" t="n"/>
      <c r="AQ1147" s="108">
        <f>(BC1147-Driver!$K$188)/(Driver!$L$188-Driver!$K$188)</f>
        <v/>
      </c>
      <c r="AR1147" s="108">
        <f>MIN((BD1147-Driver!$K$189)/(Driver!$L$189-Driver!$K$189),100%)</f>
        <v/>
      </c>
      <c r="AS1147" s="108">
        <f>(BE1147-Driver!$K$190)/(Driver!$L$190-Driver!$K$190)</f>
        <v/>
      </c>
      <c r="AT1147" s="108">
        <f>(BF1147-Driver!$K$191)/(Driver!$L$191-Driver!$K$191)</f>
        <v/>
      </c>
      <c r="AU1147" s="108">
        <f>(BG1147-Driver!$K$192)/(Driver!$L$192-Driver!$K$192)</f>
        <v/>
      </c>
      <c r="AV1147" s="105">
        <f>IFERROR(BM1147*BJ1147^1/4,"")</f>
        <v/>
      </c>
      <c r="AW1147" s="105">
        <f>IFERROR(SUM(AX1147:AZ1147),"")</f>
        <v/>
      </c>
      <c r="AX1147" s="105">
        <f>IFERROR(BH1147,"")</f>
        <v/>
      </c>
      <c r="AY1147" s="105">
        <f>IFERROR(Driver!$K$19/Data!BH1147/Data!BI1147*Data!BK1147*Data!BL1147,"")</f>
        <v/>
      </c>
      <c r="AZ1147" s="105">
        <f>IFERROR(BI1147*BN1147,"")</f>
        <v/>
      </c>
      <c r="BA1147" s="105" t="n"/>
      <c r="BB1147" s="105" t="n"/>
      <c r="BC1147" s="105">
        <f>IFERROR(BI1147*BN1147*BK1147/BJ1147^(1/2),"")</f>
        <v/>
      </c>
      <c r="BD1147" s="105">
        <f>IFERROR(BH1147*BM1147*BL1147/BJ1147/BK1147,"")</f>
        <v/>
      </c>
      <c r="BE1147" s="105">
        <f>IFERROR(MIN(BI1147/BQ1147/BP1147/BO1147/BH1147,$BE$1),"")</f>
        <v/>
      </c>
      <c r="BF1147" s="105">
        <f>IFERROR(BJ1147*BO1147*BP1147/BK1147,"")</f>
        <v/>
      </c>
      <c r="BG1147" s="105">
        <f>IFERROR(1/BM1147/BH1147*BQ1147,"")</f>
        <v/>
      </c>
      <c r="BH1147" s="102">
        <f>MAX((CE1147-Driver!$F$200)/(Driver!$G$200-Driver!$F$200)*$BI$1,1)</f>
        <v/>
      </c>
      <c r="BI1147" s="102">
        <f>MAX($BI$1*(BY1147-Driver!$F$201)/(Driver!$G$201-Driver!$F$201),1)</f>
        <v/>
      </c>
      <c r="BJ1147" s="102">
        <f>(CB1147-Driver!$F$206)/(Driver!$G$206-Driver!$F$206)*$BI$1</f>
        <v/>
      </c>
      <c r="BK1147" s="102">
        <f>(CD1147-Driver!$F$203)/(Driver!$G$203-Driver!$F$203)*$BI$1</f>
        <v/>
      </c>
      <c r="BL1147" s="102">
        <f>MAX((CR1147-Driver!$F$202)/(Driver!$G$202-Driver!$F$202)*$BI$1,1)</f>
        <v/>
      </c>
      <c r="BM1147" s="102">
        <f>MAX((CH1147-Driver!$F$204)/(Driver!$G$204-Driver!$F$204)*$BI$1,1)</f>
        <v/>
      </c>
      <c r="BN1147" s="102">
        <f>(CI1147-Driver!$F$205)/(Driver!$G$205-Driver!$F$205)*$BI$1</f>
        <v/>
      </c>
      <c r="BO1147" s="102">
        <f>(CK1147-Driver!$F$207)/(Driver!$G$207-Driver!$F$207)*$BI$1</f>
        <v/>
      </c>
      <c r="BP1147" s="102">
        <f>(CM1147-Driver!$F$208)/(Driver!$G$208-Driver!$F$208)*$BI$1</f>
        <v/>
      </c>
      <c r="BQ1147" s="102">
        <f>(CL1147-Driver!$F$209)/(Driver!$G$209-Driver!$F$209)*$BI$1</f>
        <v/>
      </c>
      <c r="BR1147" s="40" t="inlineStr">
        <is>
          <t>21/22</t>
        </is>
      </c>
      <c r="BS1147" s="10" t="inlineStr">
        <is>
          <t xml:space="preserve"> Armada</t>
        </is>
      </c>
      <c r="BT1147" s="11" t="inlineStr">
        <is>
          <t>ARW 84</t>
        </is>
      </c>
      <c r="BU1147" s="13" t="n">
        <v>150</v>
      </c>
      <c r="BV1147" s="11" t="inlineStr">
        <is>
          <t xml:space="preserve"> Women's</t>
        </is>
      </c>
      <c r="BW1147" s="13" t="n">
        <v>150</v>
      </c>
      <c r="BX1147" s="13" t="n">
        <v>148.1</v>
      </c>
      <c r="BY1147" s="13" t="n">
        <v>102</v>
      </c>
      <c r="BZ1147" s="13" t="n">
        <v>122</v>
      </c>
      <c r="CA1147" s="13" t="n">
        <v>116</v>
      </c>
      <c r="CB1147" s="13" t="n">
        <v>84</v>
      </c>
      <c r="CC1147" s="13" t="n">
        <v>108</v>
      </c>
      <c r="CD1147" s="13" t="n">
        <v>12</v>
      </c>
      <c r="CE1147" s="13" t="n">
        <v>1453</v>
      </c>
      <c r="CF1147" s="13" t="n">
        <v>0.97</v>
      </c>
      <c r="CG1147" s="13" t="n">
        <v>1412</v>
      </c>
      <c r="CH1147" s="13" t="n">
        <v>110</v>
      </c>
      <c r="CI1147" s="13" t="n">
        <v>46</v>
      </c>
      <c r="CJ1147" s="13" t="n">
        <v>49</v>
      </c>
      <c r="CK1147" s="13" t="n">
        <v>257</v>
      </c>
      <c r="CL1147" s="13" t="n">
        <v>39</v>
      </c>
      <c r="CM1147" s="13" t="n">
        <v>207</v>
      </c>
      <c r="CN1147" s="13" t="n">
        <v>0.803</v>
      </c>
      <c r="CO1147" s="13" t="n">
        <v>134</v>
      </c>
      <c r="CP1147" s="13" t="n">
        <v>123</v>
      </c>
      <c r="CQ1147" s="13" t="n">
        <v>123</v>
      </c>
      <c r="CR1147" s="13" t="n">
        <v>6</v>
      </c>
      <c r="CS1147" s="13" t="n">
        <v>6</v>
      </c>
      <c r="CT1147" s="11" t="inlineStr">
        <is>
          <t xml:space="preserve"> Resort Freeride</t>
        </is>
      </c>
      <c r="CU1147" s="11" t="inlineStr">
        <is>
          <t xml:space="preserve"> Freeski</t>
        </is>
      </c>
      <c r="CV1147" s="13" t="n"/>
      <c r="CW1147" s="13" t="n"/>
      <c r="CX1147">
        <f>INDEX('Data_Price '!AG$2:AG$1266,MATCH(Data!$DN1147,'Data_Price '!$AT$2:$AT$1266,0))</f>
        <v/>
      </c>
      <c r="CY1147">
        <f>INDEX('Data_Price '!AH$2:AH$1266,MATCH(Data!$DN1147,'Data_Price '!$AT$2:$AT$1266,0))</f>
        <v/>
      </c>
      <c r="CZ1147">
        <f>INDEX('Data_Price '!AI$2:AI$1266,MATCH(Data!$DN1147,'Data_Price '!$AT$2:$AT$1266,0))</f>
        <v/>
      </c>
      <c r="DA1147">
        <f>INDEX('Data_Price '!AJ$2:AJ$1266,MATCH(Data!$DN1147,'Data_Price '!$AT$2:$AT$1266,0))</f>
        <v/>
      </c>
      <c r="DB1147">
        <f>INDEX('Data_Price '!AK$2:AK$1266,MATCH(Data!$DN1147,'Data_Price '!$AT$2:$AT$1266,0))</f>
        <v/>
      </c>
      <c r="DC1147">
        <f>INDEX('Data_Price '!AL$2:AL$1266,MATCH(Data!$DN1147,'Data_Price '!$AT$2:$AT$1266,0))</f>
        <v/>
      </c>
      <c r="DD1147">
        <f>INDEX('Data_Price '!AM$2:AM$1266,MATCH(Data!$DN1147,'Data_Price '!$AT$2:$AT$1266,0))</f>
        <v/>
      </c>
      <c r="DE1147">
        <f>INDEX('Data_Price '!AN$2:AN$1266,MATCH(Data!$DN1147,'Data_Price '!$AT$2:$AT$1266,0))</f>
        <v/>
      </c>
      <c r="DF1147">
        <f>INDEX('Data_Price '!AO$2:AO$1266,MATCH(Data!$DN1147,'Data_Price '!$AT$2:$AT$1266,0))</f>
        <v/>
      </c>
      <c r="DG1147">
        <f>INDEX('Data_Price '!AP$2:AP$1266,MATCH(Data!$DN1147,'Data_Price '!$AT$2:$AT$1266,0))</f>
        <v/>
      </c>
      <c r="DH1147">
        <f>INDEX('Data_Price '!AQ$2:AQ$1266,MATCH(Data!$DN1147,'Data_Price '!$AT$2:$AT$1266,0))</f>
        <v/>
      </c>
      <c r="DI1147">
        <f>INDEX('Data_Price '!AR$2:AR$1266,MATCH(Data!$DN1147,'Data_Price '!$AT$2:$AT$1266,0))</f>
        <v/>
      </c>
      <c r="DJ1147" s="138">
        <f>DA1147</f>
        <v/>
      </c>
      <c r="DK1147" s="138">
        <f>DE1147</f>
        <v/>
      </c>
      <c r="DL1147" s="138">
        <f>DI1147</f>
        <v/>
      </c>
      <c r="DM1147" s="303">
        <f>IF(LEFT(BT1147,1)=" ",RIGHT(BT1147,LEN(BT1147)-1),BT1147)</f>
        <v/>
      </c>
      <c r="DN1147" s="138">
        <f>_xlfn.CONCAT(BS1147,DM1147,BU1147,BV1147)</f>
        <v/>
      </c>
      <c r="DO1147" s="307" t="inlineStr">
        <is>
          <t>https://images.evo.com/imgp/250/198711/839682/armada-arw-84-skis-girls-2022-.jpg</t>
        </is>
      </c>
    </row>
    <row r="1148" ht="15.6" customHeight="1" s="184">
      <c r="B1148" s="303">
        <f t="array" ref="B1148">IF(OR(ISERROR(K1148:P1148)),FALSE,TRUE)</f>
        <v/>
      </c>
      <c r="C1148" s="60">
        <f>OR(BR1148=Driver!$G$50,Data!BR555=Driver!$H$50)</f>
        <v/>
      </c>
      <c r="D1148" s="60">
        <f>OR(BV1148=Driver!$G$51,BV1148=Driver!$H$51)</f>
        <v/>
      </c>
      <c r="E1148" s="60">
        <f>AND(BX1148&gt;Driver!$F$54,BX1148&lt;Driver!$G$54)</f>
        <v/>
      </c>
      <c r="F1148" s="60">
        <f>CL1148&gt;Driver!$F$56</f>
        <v/>
      </c>
      <c r="G1148" s="60">
        <f>AND(CB1148&gt;Driver!$F$55,CB1148&lt;Driver!$G$55)</f>
        <v/>
      </c>
      <c r="H1148" s="60">
        <f>AND(B1148:G1148)</f>
        <v/>
      </c>
      <c r="I1148" s="60">
        <f>COUNTIFS($H$9:$H$1273,TRUE,$BT$9:$BT$1273,BT1148)</f>
        <v/>
      </c>
      <c r="J1148" s="60">
        <f t="array" ref="J1148">NOT(OR(($H$9:$H$1273=TRUE)*($I$9:$I$1273&gt;0)*($BT$9:$BT$1273=BT1148)*($K$9:$K$1273&gt;K1148)))</f>
        <v/>
      </c>
      <c r="K1148" s="108">
        <f>IFERROR(1-AVERAGE(X1148:Y1148),"")</f>
        <v/>
      </c>
      <c r="L1148" s="108">
        <f>1-X1148</f>
        <v/>
      </c>
      <c r="M1148" s="108">
        <f>1-Y1148</f>
        <v/>
      </c>
      <c r="N1148" s="108">
        <f>1-Z1148</f>
        <v/>
      </c>
      <c r="O1148" s="108">
        <f>1-AA1148</f>
        <v/>
      </c>
      <c r="P1148" s="108">
        <f>1-AB1148</f>
        <v/>
      </c>
      <c r="Q1148" s="108" t="n"/>
      <c r="R1148" s="108" t="n"/>
      <c r="S1148" s="108">
        <f>1-AE1148</f>
        <v/>
      </c>
      <c r="T1148" s="108">
        <f>1-AF1148</f>
        <v/>
      </c>
      <c r="U1148" s="108">
        <f>1-AG1148</f>
        <v/>
      </c>
      <c r="V1148" s="108">
        <f>1-AH1148</f>
        <v/>
      </c>
      <c r="W1148" s="108">
        <f>1-AI1148</f>
        <v/>
      </c>
      <c r="X1148" s="108">
        <f>ABS(AJ1148-AJ$1)</f>
        <v/>
      </c>
      <c r="Y1148" s="108">
        <f>AVERAGE(Z1148:AB1148)</f>
        <v/>
      </c>
      <c r="Z1148" s="108">
        <f>ABS(AL1148-AL$1)</f>
        <v/>
      </c>
      <c r="AA1148" s="108">
        <f>ABS(AM1148-AM$1)</f>
        <v/>
      </c>
      <c r="AB1148" s="108">
        <f>ABS(AN1148-AN$1)</f>
        <v/>
      </c>
      <c r="AC1148" s="108" t="n"/>
      <c r="AD1148" s="108" t="n"/>
      <c r="AE1148" s="108">
        <f>ABS(AQ$1-AQ1148)</f>
        <v/>
      </c>
      <c r="AF1148" s="108">
        <f>ABS(AR$1-AR1148)</f>
        <v/>
      </c>
      <c r="AG1148" s="108">
        <f>ABS(AS$1-AS1148)</f>
        <v/>
      </c>
      <c r="AH1148" s="108">
        <f>ABS(AT$1-AT1148)</f>
        <v/>
      </c>
      <c r="AI1148" s="108">
        <f>ABS(AU$1-AU1148)</f>
        <v/>
      </c>
      <c r="AJ1148" s="108">
        <f>(AV1148-Driver!$K$179)/(Driver!$L$179-Driver!$K$179)</f>
        <v/>
      </c>
      <c r="AK1148" s="108">
        <f>(AW1148-Driver!$K$180)/(Driver!$L$180-Driver!$K$180)</f>
        <v/>
      </c>
      <c r="AL1148" s="108">
        <f>(AX1148-Driver!$K$181)/(Driver!$L$181-Driver!$K$181)</f>
        <v/>
      </c>
      <c r="AM1148" s="108">
        <f>(AY1148-Driver!$K$182)/(Driver!$L$182-Driver!$K$182)</f>
        <v/>
      </c>
      <c r="AN1148" s="108">
        <f>(AZ1148-Driver!$K$183)/(Driver!$L$183-Driver!$K$183)</f>
        <v/>
      </c>
      <c r="AO1148" s="108" t="n"/>
      <c r="AP1148" s="108" t="n"/>
      <c r="AQ1148" s="108">
        <f>(BC1148-Driver!$K$188)/(Driver!$L$188-Driver!$K$188)</f>
        <v/>
      </c>
      <c r="AR1148" s="108">
        <f>MIN((BD1148-Driver!$K$189)/(Driver!$L$189-Driver!$K$189),100%)</f>
        <v/>
      </c>
      <c r="AS1148" s="108">
        <f>(BE1148-Driver!$K$190)/(Driver!$L$190-Driver!$K$190)</f>
        <v/>
      </c>
      <c r="AT1148" s="108">
        <f>(BF1148-Driver!$K$191)/(Driver!$L$191-Driver!$K$191)</f>
        <v/>
      </c>
      <c r="AU1148" s="108">
        <f>(BG1148-Driver!$K$192)/(Driver!$L$192-Driver!$K$192)</f>
        <v/>
      </c>
      <c r="AV1148" s="105">
        <f>IFERROR(BM1148*BJ1148^1/4,"")</f>
        <v/>
      </c>
      <c r="AW1148" s="105">
        <f>IFERROR(SUM(AX1148:AZ1148),"")</f>
        <v/>
      </c>
      <c r="AX1148" s="105">
        <f>IFERROR(BH1148,"")</f>
        <v/>
      </c>
      <c r="AY1148" s="105">
        <f>IFERROR(Driver!$K$19/Data!BH1148/Data!BI1148*Data!BK1148*Data!BL1148,"")</f>
        <v/>
      </c>
      <c r="AZ1148" s="105">
        <f>IFERROR(BI1148*BN1148,"")</f>
        <v/>
      </c>
      <c r="BA1148" s="105" t="n"/>
      <c r="BB1148" s="105" t="n"/>
      <c r="BC1148" s="105">
        <f>IFERROR(BI1148*BN1148*BK1148/BJ1148^(1/2),"")</f>
        <v/>
      </c>
      <c r="BD1148" s="105">
        <f>IFERROR(BH1148*BM1148*BL1148/BJ1148/BK1148,"")</f>
        <v/>
      </c>
      <c r="BE1148" s="105">
        <f>IFERROR(MIN(BI1148/BQ1148/BP1148/BO1148/BH1148,$BE$1),"")</f>
        <v/>
      </c>
      <c r="BF1148" s="105">
        <f>IFERROR(BJ1148*BO1148*BP1148/BK1148,"")</f>
        <v/>
      </c>
      <c r="BG1148" s="105">
        <f>IFERROR(1/BM1148/BH1148*BQ1148,"")</f>
        <v/>
      </c>
      <c r="BH1148" s="102">
        <f>MAX((CE1148-Driver!$F$200)/(Driver!$G$200-Driver!$F$200)*$BI$1,1)</f>
        <v/>
      </c>
      <c r="BI1148" s="102">
        <f>MAX($BI$1*(BY1148-Driver!$F$201)/(Driver!$G$201-Driver!$F$201),1)</f>
        <v/>
      </c>
      <c r="BJ1148" s="102">
        <f>(CB1148-Driver!$F$206)/(Driver!$G$206-Driver!$F$206)*$BI$1</f>
        <v/>
      </c>
      <c r="BK1148" s="102">
        <f>(CD1148-Driver!$F$203)/(Driver!$G$203-Driver!$F$203)*$BI$1</f>
        <v/>
      </c>
      <c r="BL1148" s="102">
        <f>MAX((CR1148-Driver!$F$202)/(Driver!$G$202-Driver!$F$202)*$BI$1,1)</f>
        <v/>
      </c>
      <c r="BM1148" s="102">
        <f>MAX((CH1148-Driver!$F$204)/(Driver!$G$204-Driver!$F$204)*$BI$1,1)</f>
        <v/>
      </c>
      <c r="BN1148" s="102">
        <f>(CI1148-Driver!$F$205)/(Driver!$G$205-Driver!$F$205)*$BI$1</f>
        <v/>
      </c>
      <c r="BO1148" s="102">
        <f>(CK1148-Driver!$F$207)/(Driver!$G$207-Driver!$F$207)*$BI$1</f>
        <v/>
      </c>
      <c r="BP1148" s="102">
        <f>(CM1148-Driver!$F$208)/(Driver!$G$208-Driver!$F$208)*$BI$1</f>
        <v/>
      </c>
      <c r="BQ1148" s="102">
        <f>(CL1148-Driver!$F$209)/(Driver!$G$209-Driver!$F$209)*$BI$1</f>
        <v/>
      </c>
      <c r="BR1148" s="40" t="inlineStr">
        <is>
          <t>21/22</t>
        </is>
      </c>
      <c r="BS1148" s="10" t="inlineStr">
        <is>
          <t xml:space="preserve"> Fischer</t>
        </is>
      </c>
      <c r="BT1148" s="11" t="inlineStr">
        <is>
          <t>Hannibal 96</t>
        </is>
      </c>
      <c r="BU1148" s="13" t="n">
        <v>169</v>
      </c>
      <c r="BV1148" s="11" t="inlineStr">
        <is>
          <t xml:space="preserve"> Unisex</t>
        </is>
      </c>
      <c r="BW1148" s="13" t="n">
        <v>169</v>
      </c>
      <c r="BX1148" s="13" t="n">
        <v>168.5</v>
      </c>
      <c r="BY1148" s="13" t="n">
        <v>130</v>
      </c>
      <c r="BZ1148" s="13" t="n">
        <v>144</v>
      </c>
      <c r="CA1148" s="13" t="n">
        <v>125</v>
      </c>
      <c r="CB1148" s="13" t="n">
        <v>94</v>
      </c>
      <c r="CC1148" s="13" t="n">
        <v>111</v>
      </c>
      <c r="CD1148" s="13" t="n">
        <v>19.9</v>
      </c>
      <c r="CE1148" s="13" t="n">
        <v>1198</v>
      </c>
      <c r="CF1148" s="13" t="n">
        <v>1.45</v>
      </c>
      <c r="CG1148" s="13" t="n">
        <v>1735</v>
      </c>
      <c r="CH1148" s="13" t="n">
        <v>136</v>
      </c>
      <c r="CI1148" s="13" t="n">
        <v>58</v>
      </c>
      <c r="CJ1148" s="13" t="n">
        <v>54</v>
      </c>
      <c r="CK1148" s="13" t="n">
        <v>280</v>
      </c>
      <c r="CL1148" s="13" t="n">
        <v>3</v>
      </c>
      <c r="CM1148" s="13" t="n">
        <v>106</v>
      </c>
      <c r="CN1148" s="13" t="n">
        <v>0.062</v>
      </c>
      <c r="CO1148" s="13" t="n">
        <v>161</v>
      </c>
      <c r="CP1148" s="13" t="n">
        <v>87</v>
      </c>
      <c r="CQ1148" s="13" t="n">
        <v>119</v>
      </c>
      <c r="CR1148" s="13" t="n">
        <v>6</v>
      </c>
      <c r="CS1148" s="13" t="n">
        <v>9.800000000000001</v>
      </c>
      <c r="CT1148" s="11" t="inlineStr">
        <is>
          <t xml:space="preserve"> Touring</t>
        </is>
      </c>
      <c r="CU1148" s="11" t="inlineStr">
        <is>
          <t xml:space="preserve"> Ultralight Touring</t>
        </is>
      </c>
      <c r="CV1148" s="13" t="n"/>
      <c r="CW1148" s="13" t="n"/>
      <c r="CX1148">
        <f>INDEX('Data_Price '!AG$2:AG$1266,MATCH(Data!$DN1148,'Data_Price '!$AT$2:$AT$1266,0))</f>
        <v/>
      </c>
      <c r="CY1148">
        <f>INDEX('Data_Price '!AH$2:AH$1266,MATCH(Data!$DN1148,'Data_Price '!$AT$2:$AT$1266,0))</f>
        <v/>
      </c>
      <c r="CZ1148">
        <f>INDEX('Data_Price '!AI$2:AI$1266,MATCH(Data!$DN1148,'Data_Price '!$AT$2:$AT$1266,0))</f>
        <v/>
      </c>
      <c r="DA1148">
        <f>INDEX('Data_Price '!AJ$2:AJ$1266,MATCH(Data!$DN1148,'Data_Price '!$AT$2:$AT$1266,0))</f>
        <v/>
      </c>
      <c r="DB1148">
        <f>INDEX('Data_Price '!AK$2:AK$1266,MATCH(Data!$DN1148,'Data_Price '!$AT$2:$AT$1266,0))</f>
        <v/>
      </c>
      <c r="DC1148">
        <f>INDEX('Data_Price '!AL$2:AL$1266,MATCH(Data!$DN1148,'Data_Price '!$AT$2:$AT$1266,0))</f>
        <v/>
      </c>
      <c r="DD1148">
        <f>INDEX('Data_Price '!AM$2:AM$1266,MATCH(Data!$DN1148,'Data_Price '!$AT$2:$AT$1266,0))</f>
        <v/>
      </c>
      <c r="DE1148">
        <f>INDEX('Data_Price '!AN$2:AN$1266,MATCH(Data!$DN1148,'Data_Price '!$AT$2:$AT$1266,0))</f>
        <v/>
      </c>
      <c r="DF1148">
        <f>INDEX('Data_Price '!AO$2:AO$1266,MATCH(Data!$DN1148,'Data_Price '!$AT$2:$AT$1266,0))</f>
        <v/>
      </c>
      <c r="DG1148">
        <f>INDEX('Data_Price '!AP$2:AP$1266,MATCH(Data!$DN1148,'Data_Price '!$AT$2:$AT$1266,0))</f>
        <v/>
      </c>
      <c r="DH1148">
        <f>INDEX('Data_Price '!AQ$2:AQ$1266,MATCH(Data!$DN1148,'Data_Price '!$AT$2:$AT$1266,0))</f>
        <v/>
      </c>
      <c r="DI1148">
        <f>INDEX('Data_Price '!AR$2:AR$1266,MATCH(Data!$DN1148,'Data_Price '!$AT$2:$AT$1266,0))</f>
        <v/>
      </c>
      <c r="DJ1148" s="138">
        <f>DA1148</f>
        <v/>
      </c>
      <c r="DK1148" s="138">
        <f>DE1148</f>
        <v/>
      </c>
      <c r="DL1148" s="138">
        <f>DI1148</f>
        <v/>
      </c>
      <c r="DM1148" s="303">
        <f>IF(LEFT(BT1148,1)=" ",RIGHT(BT1148,LEN(BT1148)-1),BT1148)</f>
        <v/>
      </c>
      <c r="DN1148" s="138">
        <f>_xlfn.CONCAT(BS1148,DM1148,BU1148,BV1148)</f>
        <v/>
      </c>
      <c r="DO1148" s="307" t="inlineStr">
        <is>
          <t>https://images.evo.com/imgp/250/209040/846563/fischer-hannibal-96-carbon-skis-2022-.jpg</t>
        </is>
      </c>
    </row>
    <row r="1149" ht="15.6" customHeight="1" s="184">
      <c r="B1149" s="303">
        <f t="array" ref="B1149">IF(OR(ISERROR(K1149:P1149)),FALSE,TRUE)</f>
        <v/>
      </c>
      <c r="C1149" s="60">
        <f>OR(BR1149=Driver!$G$50,Data!BR624=Driver!$H$50)</f>
        <v/>
      </c>
      <c r="D1149" s="60">
        <f>OR(BV1149=Driver!$G$51,BV1149=Driver!$H$51)</f>
        <v/>
      </c>
      <c r="E1149" s="60">
        <f>AND(BX1149&gt;Driver!$F$54,BX1149&lt;Driver!$G$54)</f>
        <v/>
      </c>
      <c r="F1149" s="60">
        <f>CL1149&gt;Driver!$F$56</f>
        <v/>
      </c>
      <c r="G1149" s="60">
        <f>AND(CB1149&gt;Driver!$F$55,CB1149&lt;Driver!$G$55)</f>
        <v/>
      </c>
      <c r="H1149" s="60">
        <f>AND(B1149:G1149)</f>
        <v/>
      </c>
      <c r="I1149" s="60">
        <f>COUNTIFS($H$9:$H$1273,TRUE,$BT$9:$BT$1273,BT1149)</f>
        <v/>
      </c>
      <c r="J1149" s="60">
        <f t="array" ref="J1149">NOT(OR(($H$9:$H$1273=TRUE)*($I$9:$I$1273&gt;0)*($BT$9:$BT$1273=BT1149)*($K$9:$K$1273&gt;K1149)))</f>
        <v/>
      </c>
      <c r="K1149" s="108">
        <f>IFERROR(1-AVERAGE(X1149:Y1149),"")</f>
        <v/>
      </c>
      <c r="L1149" s="108">
        <f>1-X1149</f>
        <v/>
      </c>
      <c r="M1149" s="108">
        <f>1-Y1149</f>
        <v/>
      </c>
      <c r="N1149" s="108">
        <f>1-Z1149</f>
        <v/>
      </c>
      <c r="O1149" s="108">
        <f>1-AA1149</f>
        <v/>
      </c>
      <c r="P1149" s="108">
        <f>1-AB1149</f>
        <v/>
      </c>
      <c r="Q1149" s="108" t="n"/>
      <c r="R1149" s="108" t="n"/>
      <c r="S1149" s="108">
        <f>1-AE1149</f>
        <v/>
      </c>
      <c r="T1149" s="108">
        <f>1-AF1149</f>
        <v/>
      </c>
      <c r="U1149" s="108">
        <f>1-AG1149</f>
        <v/>
      </c>
      <c r="V1149" s="108">
        <f>1-AH1149</f>
        <v/>
      </c>
      <c r="W1149" s="108">
        <f>1-AI1149</f>
        <v/>
      </c>
      <c r="X1149" s="108">
        <f>ABS(AJ1149-AJ$1)</f>
        <v/>
      </c>
      <c r="Y1149" s="108">
        <f>AVERAGE(Z1149:AB1149)</f>
        <v/>
      </c>
      <c r="Z1149" s="108">
        <f>ABS(AL1149-AL$1)</f>
        <v/>
      </c>
      <c r="AA1149" s="108">
        <f>ABS(AM1149-AM$1)</f>
        <v/>
      </c>
      <c r="AB1149" s="108">
        <f>ABS(AN1149-AN$1)</f>
        <v/>
      </c>
      <c r="AC1149" s="108" t="n"/>
      <c r="AD1149" s="108" t="n"/>
      <c r="AE1149" s="108">
        <f>ABS(AQ$1-AQ1149)</f>
        <v/>
      </c>
      <c r="AF1149" s="108">
        <f>ABS(AR$1-AR1149)</f>
        <v/>
      </c>
      <c r="AG1149" s="108">
        <f>ABS(AS$1-AS1149)</f>
        <v/>
      </c>
      <c r="AH1149" s="108">
        <f>ABS(AT$1-AT1149)</f>
        <v/>
      </c>
      <c r="AI1149" s="108">
        <f>ABS(AU$1-AU1149)</f>
        <v/>
      </c>
      <c r="AJ1149" s="108">
        <f>(AV1149-Driver!$K$179)/(Driver!$L$179-Driver!$K$179)</f>
        <v/>
      </c>
      <c r="AK1149" s="108">
        <f>(AW1149-Driver!$K$180)/(Driver!$L$180-Driver!$K$180)</f>
        <v/>
      </c>
      <c r="AL1149" s="108">
        <f>(AX1149-Driver!$K$181)/(Driver!$L$181-Driver!$K$181)</f>
        <v/>
      </c>
      <c r="AM1149" s="108">
        <f>(AY1149-Driver!$K$182)/(Driver!$L$182-Driver!$K$182)</f>
        <v/>
      </c>
      <c r="AN1149" s="108">
        <f>(AZ1149-Driver!$K$183)/(Driver!$L$183-Driver!$K$183)</f>
        <v/>
      </c>
      <c r="AO1149" s="108" t="n"/>
      <c r="AP1149" s="108" t="n"/>
      <c r="AQ1149" s="108">
        <f>(BC1149-Driver!$K$188)/(Driver!$L$188-Driver!$K$188)</f>
        <v/>
      </c>
      <c r="AR1149" s="108">
        <f>MIN((BD1149-Driver!$K$189)/(Driver!$L$189-Driver!$K$189),100%)</f>
        <v/>
      </c>
      <c r="AS1149" s="108">
        <f>(BE1149-Driver!$K$190)/(Driver!$L$190-Driver!$K$190)</f>
        <v/>
      </c>
      <c r="AT1149" s="108">
        <f>(BF1149-Driver!$K$191)/(Driver!$L$191-Driver!$K$191)</f>
        <v/>
      </c>
      <c r="AU1149" s="108">
        <f>(BG1149-Driver!$K$192)/(Driver!$L$192-Driver!$K$192)</f>
        <v/>
      </c>
      <c r="AV1149" s="105">
        <f>IFERROR(BM1149*BJ1149^1/4,"")</f>
        <v/>
      </c>
      <c r="AW1149" s="105">
        <f>IFERROR(SUM(AX1149:AZ1149),"")</f>
        <v/>
      </c>
      <c r="AX1149" s="105">
        <f>IFERROR(BH1149,"")</f>
        <v/>
      </c>
      <c r="AY1149" s="105">
        <f>IFERROR(Driver!$K$19/Data!BH1149/Data!BI1149*Data!BK1149*Data!BL1149,"")</f>
        <v/>
      </c>
      <c r="AZ1149" s="105">
        <f>IFERROR(BI1149*BN1149,"")</f>
        <v/>
      </c>
      <c r="BA1149" s="105" t="n"/>
      <c r="BB1149" s="105" t="n"/>
      <c r="BC1149" s="105">
        <f>IFERROR(BI1149*BN1149*BK1149/BJ1149^(1/2),"")</f>
        <v/>
      </c>
      <c r="BD1149" s="105">
        <f>IFERROR(BH1149*BM1149*BL1149/BJ1149/BK1149,"")</f>
        <v/>
      </c>
      <c r="BE1149" s="105">
        <f>IFERROR(MIN(BI1149/BQ1149/BP1149/BO1149/BH1149,$BE$1),"")</f>
        <v/>
      </c>
      <c r="BF1149" s="105">
        <f>IFERROR(BJ1149*BO1149*BP1149/BK1149,"")</f>
        <v/>
      </c>
      <c r="BG1149" s="105">
        <f>IFERROR(1/BM1149/BH1149*BQ1149,"")</f>
        <v/>
      </c>
      <c r="BH1149" s="102">
        <f>MAX((CE1149-Driver!$F$200)/(Driver!$G$200-Driver!$F$200)*$BI$1,1)</f>
        <v/>
      </c>
      <c r="BI1149" s="102">
        <f>MAX($BI$1*(BY1149-Driver!$F$201)/(Driver!$G$201-Driver!$F$201),1)</f>
        <v/>
      </c>
      <c r="BJ1149" s="102">
        <f>(CB1149-Driver!$F$206)/(Driver!$G$206-Driver!$F$206)*$BI$1</f>
        <v/>
      </c>
      <c r="BK1149" s="102">
        <f>(CD1149-Driver!$F$203)/(Driver!$G$203-Driver!$F$203)*$BI$1</f>
        <v/>
      </c>
      <c r="BL1149" s="102">
        <f>MAX((CR1149-Driver!$F$202)/(Driver!$G$202-Driver!$F$202)*$BI$1,1)</f>
        <v/>
      </c>
      <c r="BM1149" s="102">
        <f>MAX((CH1149-Driver!$F$204)/(Driver!$G$204-Driver!$F$204)*$BI$1,1)</f>
        <v/>
      </c>
      <c r="BN1149" s="102">
        <f>(CI1149-Driver!$F$205)/(Driver!$G$205-Driver!$F$205)*$BI$1</f>
        <v/>
      </c>
      <c r="BO1149" s="102">
        <f>(CK1149-Driver!$F$207)/(Driver!$G$207-Driver!$F$207)*$BI$1</f>
        <v/>
      </c>
      <c r="BP1149" s="102">
        <f>(CM1149-Driver!$F$208)/(Driver!$G$208-Driver!$F$208)*$BI$1</f>
        <v/>
      </c>
      <c r="BQ1149" s="102">
        <f>(CL1149-Driver!$F$209)/(Driver!$G$209-Driver!$F$209)*$BI$1</f>
        <v/>
      </c>
      <c r="BR1149" s="40" t="inlineStr">
        <is>
          <t>21/22</t>
        </is>
      </c>
      <c r="BS1149" s="10" t="inlineStr">
        <is>
          <t xml:space="preserve"> Head</t>
        </is>
      </c>
      <c r="BT1149" s="11" t="inlineStr">
        <is>
          <t>Kore 93</t>
        </is>
      </c>
      <c r="BU1149" s="13" t="n">
        <v>184</v>
      </c>
      <c r="BV1149" s="11" t="inlineStr">
        <is>
          <t xml:space="preserve"> Unisex</t>
        </is>
      </c>
      <c r="BW1149" s="13" t="n">
        <v>184</v>
      </c>
      <c r="BX1149" s="13" t="n">
        <v>183.3</v>
      </c>
      <c r="BY1149" s="13" t="n">
        <v>146</v>
      </c>
      <c r="BZ1149" s="13" t="n">
        <v>154</v>
      </c>
      <c r="CA1149" s="13" t="n">
        <v>135</v>
      </c>
      <c r="CB1149" s="13" t="n">
        <v>94</v>
      </c>
      <c r="CC1149" s="13" t="n">
        <v>116</v>
      </c>
      <c r="CD1149" s="13" t="n">
        <v>17.6</v>
      </c>
      <c r="CE1149" s="13" t="n">
        <v>1828</v>
      </c>
      <c r="CF1149" s="13" t="n">
        <v>1.07</v>
      </c>
      <c r="CG1149" s="13" t="n">
        <v>1952</v>
      </c>
      <c r="CH1149" s="13" t="n">
        <v>308</v>
      </c>
      <c r="CI1149" s="13" t="n">
        <v>140</v>
      </c>
      <c r="CJ1149" s="13" t="n">
        <v>50</v>
      </c>
      <c r="CK1149" s="13" t="n">
        <v>221</v>
      </c>
      <c r="CL1149" s="13" t="n">
        <v>11</v>
      </c>
      <c r="CM1149" s="13" t="n">
        <v>150</v>
      </c>
      <c r="CN1149" s="13" t="n">
        <v>0.219</v>
      </c>
      <c r="CO1149" s="13" t="n">
        <v>146</v>
      </c>
      <c r="CP1149" s="13" t="n">
        <v>152</v>
      </c>
      <c r="CQ1149" s="13" t="n">
        <v>75</v>
      </c>
      <c r="CR1149" s="13" t="n">
        <v>7</v>
      </c>
      <c r="CS1149" s="13" t="n">
        <v>11.8</v>
      </c>
      <c r="CT1149" s="11" t="inlineStr">
        <is>
          <t xml:space="preserve"> Resort Freeride</t>
        </is>
      </c>
      <c r="CU1149" s="11" t="inlineStr">
        <is>
          <t xml:space="preserve"> Touring</t>
        </is>
      </c>
      <c r="CV1149" s="13" t="n"/>
      <c r="CW1149" s="13" t="n"/>
      <c r="CX1149">
        <f>INDEX('Data_Price '!AG$2:AG$1266,MATCH(Data!$DN1149,'Data_Price '!$AT$2:$AT$1266,0))</f>
        <v/>
      </c>
      <c r="CY1149">
        <f>INDEX('Data_Price '!AH$2:AH$1266,MATCH(Data!$DN1149,'Data_Price '!$AT$2:$AT$1266,0))</f>
        <v/>
      </c>
      <c r="CZ1149">
        <f>INDEX('Data_Price '!AI$2:AI$1266,MATCH(Data!$DN1149,'Data_Price '!$AT$2:$AT$1266,0))</f>
        <v/>
      </c>
      <c r="DA1149">
        <f>INDEX('Data_Price '!AJ$2:AJ$1266,MATCH(Data!$DN1149,'Data_Price '!$AT$2:$AT$1266,0))</f>
        <v/>
      </c>
      <c r="DB1149">
        <f>INDEX('Data_Price '!AK$2:AK$1266,MATCH(Data!$DN1149,'Data_Price '!$AT$2:$AT$1266,0))</f>
        <v/>
      </c>
      <c r="DC1149">
        <f>INDEX('Data_Price '!AL$2:AL$1266,MATCH(Data!$DN1149,'Data_Price '!$AT$2:$AT$1266,0))</f>
        <v/>
      </c>
      <c r="DD1149">
        <f>INDEX('Data_Price '!AM$2:AM$1266,MATCH(Data!$DN1149,'Data_Price '!$AT$2:$AT$1266,0))</f>
        <v/>
      </c>
      <c r="DE1149">
        <f>INDEX('Data_Price '!AN$2:AN$1266,MATCH(Data!$DN1149,'Data_Price '!$AT$2:$AT$1266,0))</f>
        <v/>
      </c>
      <c r="DF1149">
        <f>INDEX('Data_Price '!AO$2:AO$1266,MATCH(Data!$DN1149,'Data_Price '!$AT$2:$AT$1266,0))</f>
        <v/>
      </c>
      <c r="DG1149">
        <f>INDEX('Data_Price '!AP$2:AP$1266,MATCH(Data!$DN1149,'Data_Price '!$AT$2:$AT$1266,0))</f>
        <v/>
      </c>
      <c r="DH1149">
        <f>INDEX('Data_Price '!AQ$2:AQ$1266,MATCH(Data!$DN1149,'Data_Price '!$AT$2:$AT$1266,0))</f>
        <v/>
      </c>
      <c r="DI1149">
        <f>INDEX('Data_Price '!AR$2:AR$1266,MATCH(Data!$DN1149,'Data_Price '!$AT$2:$AT$1266,0))</f>
        <v/>
      </c>
      <c r="DJ1149" s="138">
        <f>DA1149</f>
        <v/>
      </c>
      <c r="DK1149" s="138">
        <f>DE1149</f>
        <v/>
      </c>
      <c r="DL1149" s="138">
        <f>DI1149</f>
        <v/>
      </c>
      <c r="DM1149" s="303">
        <f>IF(LEFT(BT1149,1)=" ",RIGHT(BT1149,LEN(BT1149)-1),BT1149)</f>
        <v/>
      </c>
      <c r="DN1149" s="138">
        <f>_xlfn.CONCAT(BS1149,DM1149,BU1149,BV1149)</f>
        <v/>
      </c>
      <c r="DO1149" s="307" t="inlineStr">
        <is>
          <t>https://images.evo.com/imgp/250/208274/832642/clone.jpg</t>
        </is>
      </c>
    </row>
    <row r="1150" ht="15.6" customHeight="1" s="184">
      <c r="B1150" s="303">
        <f t="array" ref="B1150">IF(OR(ISERROR(K1150:P1150)),FALSE,TRUE)</f>
        <v/>
      </c>
      <c r="C1150" s="60">
        <f>OR(BR1150=Driver!$G$50,Data!BR852=Driver!$H$50)</f>
        <v/>
      </c>
      <c r="D1150" s="60">
        <f>OR(BV1150=Driver!$G$51,BV1150=Driver!$H$51)</f>
        <v/>
      </c>
      <c r="E1150" s="60">
        <f>AND(BX1150&gt;Driver!$F$54,BX1150&lt;Driver!$G$54)</f>
        <v/>
      </c>
      <c r="F1150" s="60">
        <f>CL1150&gt;Driver!$F$56</f>
        <v/>
      </c>
      <c r="G1150" s="60">
        <f>AND(CB1150&gt;Driver!$F$55,CB1150&lt;Driver!$G$55)</f>
        <v/>
      </c>
      <c r="H1150" s="60">
        <f>AND(B1150:G1150)</f>
        <v/>
      </c>
      <c r="I1150" s="60">
        <f>COUNTIFS($H$9:$H$1273,TRUE,$BT$9:$BT$1273,BT1150)</f>
        <v/>
      </c>
      <c r="J1150" s="60">
        <f t="array" ref="J1150">NOT(OR(($H$9:$H$1273=TRUE)*($I$9:$I$1273&gt;0)*($BT$9:$BT$1273=BT1150)*($K$9:$K$1273&gt;K1150)))</f>
        <v/>
      </c>
      <c r="K1150" s="108">
        <f>IFERROR(1-AVERAGE(X1150:Y1150),"")</f>
        <v/>
      </c>
      <c r="L1150" s="108">
        <f>1-X1150</f>
        <v/>
      </c>
      <c r="M1150" s="108">
        <f>1-Y1150</f>
        <v/>
      </c>
      <c r="N1150" s="108">
        <f>1-Z1150</f>
        <v/>
      </c>
      <c r="O1150" s="108">
        <f>1-AA1150</f>
        <v/>
      </c>
      <c r="P1150" s="108">
        <f>1-AB1150</f>
        <v/>
      </c>
      <c r="Q1150" s="108" t="n"/>
      <c r="R1150" s="108" t="n"/>
      <c r="S1150" s="108">
        <f>1-AE1150</f>
        <v/>
      </c>
      <c r="T1150" s="108">
        <f>1-AF1150</f>
        <v/>
      </c>
      <c r="U1150" s="108">
        <f>1-AG1150</f>
        <v/>
      </c>
      <c r="V1150" s="108">
        <f>1-AH1150</f>
        <v/>
      </c>
      <c r="W1150" s="108">
        <f>1-AI1150</f>
        <v/>
      </c>
      <c r="X1150" s="108">
        <f>ABS(AJ1150-AJ$1)</f>
        <v/>
      </c>
      <c r="Y1150" s="108">
        <f>AVERAGE(Z1150:AB1150)</f>
        <v/>
      </c>
      <c r="Z1150" s="108">
        <f>ABS(AL1150-AL$1)</f>
        <v/>
      </c>
      <c r="AA1150" s="108">
        <f>ABS(AM1150-AM$1)</f>
        <v/>
      </c>
      <c r="AB1150" s="108">
        <f>ABS(AN1150-AN$1)</f>
        <v/>
      </c>
      <c r="AC1150" s="108" t="n"/>
      <c r="AD1150" s="108" t="n"/>
      <c r="AE1150" s="108">
        <f>ABS(AQ$1-AQ1150)</f>
        <v/>
      </c>
      <c r="AF1150" s="108">
        <f>ABS(AR$1-AR1150)</f>
        <v/>
      </c>
      <c r="AG1150" s="108">
        <f>ABS(AS$1-AS1150)</f>
        <v/>
      </c>
      <c r="AH1150" s="108">
        <f>ABS(AT$1-AT1150)</f>
        <v/>
      </c>
      <c r="AI1150" s="108">
        <f>ABS(AU$1-AU1150)</f>
        <v/>
      </c>
      <c r="AJ1150" s="108">
        <f>(AV1150-Driver!$K$179)/(Driver!$L$179-Driver!$K$179)</f>
        <v/>
      </c>
      <c r="AK1150" s="108">
        <f>(AW1150-Driver!$K$180)/(Driver!$L$180-Driver!$K$180)</f>
        <v/>
      </c>
      <c r="AL1150" s="108">
        <f>(AX1150-Driver!$K$181)/(Driver!$L$181-Driver!$K$181)</f>
        <v/>
      </c>
      <c r="AM1150" s="108">
        <f>(AY1150-Driver!$K$182)/(Driver!$L$182-Driver!$K$182)</f>
        <v/>
      </c>
      <c r="AN1150" s="108">
        <f>(AZ1150-Driver!$K$183)/(Driver!$L$183-Driver!$K$183)</f>
        <v/>
      </c>
      <c r="AO1150" s="108" t="n"/>
      <c r="AP1150" s="108" t="n"/>
      <c r="AQ1150" s="108">
        <f>(BC1150-Driver!$K$188)/(Driver!$L$188-Driver!$K$188)</f>
        <v/>
      </c>
      <c r="AR1150" s="108">
        <f>MIN((BD1150-Driver!$K$189)/(Driver!$L$189-Driver!$K$189),100%)</f>
        <v/>
      </c>
      <c r="AS1150" s="108">
        <f>(BE1150-Driver!$K$190)/(Driver!$L$190-Driver!$K$190)</f>
        <v/>
      </c>
      <c r="AT1150" s="108">
        <f>(BF1150-Driver!$K$191)/(Driver!$L$191-Driver!$K$191)</f>
        <v/>
      </c>
      <c r="AU1150" s="108">
        <f>(BG1150-Driver!$K$192)/(Driver!$L$192-Driver!$K$192)</f>
        <v/>
      </c>
      <c r="AV1150" s="105">
        <f>IFERROR(BM1150*BJ1150^1/4,"")</f>
        <v/>
      </c>
      <c r="AW1150" s="105">
        <f>IFERROR(SUM(AX1150:AZ1150),"")</f>
        <v/>
      </c>
      <c r="AX1150" s="105">
        <f>IFERROR(BH1150,"")</f>
        <v/>
      </c>
      <c r="AY1150" s="105">
        <f>IFERROR(Driver!$K$19/Data!BH1150/Data!BI1150*Data!BK1150*Data!BL1150,"")</f>
        <v/>
      </c>
      <c r="AZ1150" s="105">
        <f>IFERROR(BI1150*BN1150,"")</f>
        <v/>
      </c>
      <c r="BA1150" s="105" t="n"/>
      <c r="BB1150" s="105" t="n"/>
      <c r="BC1150" s="105">
        <f>IFERROR(BI1150*BN1150*BK1150/BJ1150^(1/2),"")</f>
        <v/>
      </c>
      <c r="BD1150" s="105">
        <f>IFERROR(BH1150*BM1150*BL1150/BJ1150/BK1150,"")</f>
        <v/>
      </c>
      <c r="BE1150" s="105">
        <f>IFERROR(MIN(BI1150/BQ1150/BP1150/BO1150/BH1150,$BE$1),"")</f>
        <v/>
      </c>
      <c r="BF1150" s="105">
        <f>IFERROR(BJ1150*BO1150*BP1150/BK1150,"")</f>
        <v/>
      </c>
      <c r="BG1150" s="105">
        <f>IFERROR(1/BM1150/BH1150*BQ1150,"")</f>
        <v/>
      </c>
      <c r="BH1150" s="102">
        <f>MAX((CE1150-Driver!$F$200)/(Driver!$G$200-Driver!$F$200)*$BI$1,1)</f>
        <v/>
      </c>
      <c r="BI1150" s="102">
        <f>MAX($BI$1*(BY1150-Driver!$F$201)/(Driver!$G$201-Driver!$F$201),1)</f>
        <v/>
      </c>
      <c r="BJ1150" s="102">
        <f>(CB1150-Driver!$F$206)/(Driver!$G$206-Driver!$F$206)*$BI$1</f>
        <v/>
      </c>
      <c r="BK1150" s="102">
        <f>(CD1150-Driver!$F$203)/(Driver!$G$203-Driver!$F$203)*$BI$1</f>
        <v/>
      </c>
      <c r="BL1150" s="102">
        <f>MAX((CR1150-Driver!$F$202)/(Driver!$G$202-Driver!$F$202)*$BI$1,1)</f>
        <v/>
      </c>
      <c r="BM1150" s="102">
        <f>MAX((CH1150-Driver!$F$204)/(Driver!$G$204-Driver!$F$204)*$BI$1,1)</f>
        <v/>
      </c>
      <c r="BN1150" s="102">
        <f>(CI1150-Driver!$F$205)/(Driver!$G$205-Driver!$F$205)*$BI$1</f>
        <v/>
      </c>
      <c r="BO1150" s="102">
        <f>(CK1150-Driver!$F$207)/(Driver!$G$207-Driver!$F$207)*$BI$1</f>
        <v/>
      </c>
      <c r="BP1150" s="102">
        <f>(CM1150-Driver!$F$208)/(Driver!$G$208-Driver!$F$208)*$BI$1</f>
        <v/>
      </c>
      <c r="BQ1150" s="102">
        <f>(CL1150-Driver!$F$209)/(Driver!$G$209-Driver!$F$209)*$BI$1</f>
        <v/>
      </c>
      <c r="BR1150" s="40" t="inlineStr">
        <is>
          <t>21/22</t>
        </is>
      </c>
      <c r="BS1150" s="10" t="inlineStr">
        <is>
          <t xml:space="preserve"> Line</t>
        </is>
      </c>
      <c r="BT1150" s="11" t="inlineStr">
        <is>
          <t>Pandora 94</t>
        </is>
      </c>
      <c r="BU1150" s="13" t="n">
        <v>151</v>
      </c>
      <c r="BV1150" s="11" t="inlineStr">
        <is>
          <t xml:space="preserve"> Women's</t>
        </is>
      </c>
      <c r="BW1150" s="13" t="n">
        <v>151</v>
      </c>
      <c r="BX1150" s="13" t="n">
        <v>151.1</v>
      </c>
      <c r="BY1150" s="13" t="n">
        <v>111</v>
      </c>
      <c r="BZ1150" s="13" t="n">
        <v>125</v>
      </c>
      <c r="CA1150" s="13" t="n">
        <v>130</v>
      </c>
      <c r="CB1150" s="13" t="n">
        <v>93</v>
      </c>
      <c r="CC1150" s="13" t="n">
        <v>116</v>
      </c>
      <c r="CD1150" s="13" t="n">
        <v>12.4</v>
      </c>
      <c r="CE1150" s="13" t="n">
        <v>1354</v>
      </c>
      <c r="CF1150" s="13" t="n">
        <v>1.17</v>
      </c>
      <c r="CG1150" s="13" t="n">
        <v>1586</v>
      </c>
      <c r="CH1150" s="13" t="n">
        <v>117</v>
      </c>
      <c r="CI1150" s="13" t="n">
        <v>60</v>
      </c>
      <c r="CJ1150" s="13" t="n">
        <v>44</v>
      </c>
      <c r="CK1150" s="13" t="n">
        <v>265</v>
      </c>
      <c r="CL1150" s="13" t="n">
        <v>17</v>
      </c>
      <c r="CM1150" s="13" t="n">
        <v>135</v>
      </c>
      <c r="CN1150" s="13" t="n">
        <v>0.388</v>
      </c>
      <c r="CO1150" s="13" t="n">
        <v>141</v>
      </c>
      <c r="CP1150" s="13" t="n">
        <v>117</v>
      </c>
      <c r="CQ1150" s="13" t="n">
        <v>124</v>
      </c>
      <c r="CR1150" s="13" t="n">
        <v>7</v>
      </c>
      <c r="CS1150" s="13" t="n">
        <v>8.300000000000001</v>
      </c>
      <c r="CT1150" s="11" t="inlineStr">
        <is>
          <t xml:space="preserve"> Resort Freeride</t>
        </is>
      </c>
      <c r="CU1150" s="11" t="inlineStr">
        <is>
          <t xml:space="preserve"> Touring</t>
        </is>
      </c>
      <c r="CV1150" s="13" t="n"/>
      <c r="CW1150" s="13" t="n"/>
      <c r="CX1150">
        <f>INDEX('Data_Price '!AG$2:AG$1266,MATCH(Data!$DN1150,'Data_Price '!$AT$2:$AT$1266,0))</f>
        <v/>
      </c>
      <c r="CY1150">
        <f>INDEX('Data_Price '!AH$2:AH$1266,MATCH(Data!$DN1150,'Data_Price '!$AT$2:$AT$1266,0))</f>
        <v/>
      </c>
      <c r="CZ1150">
        <f>INDEX('Data_Price '!AI$2:AI$1266,MATCH(Data!$DN1150,'Data_Price '!$AT$2:$AT$1266,0))</f>
        <v/>
      </c>
      <c r="DA1150">
        <f>INDEX('Data_Price '!AJ$2:AJ$1266,MATCH(Data!$DN1150,'Data_Price '!$AT$2:$AT$1266,0))</f>
        <v/>
      </c>
      <c r="DB1150">
        <f>INDEX('Data_Price '!AK$2:AK$1266,MATCH(Data!$DN1150,'Data_Price '!$AT$2:$AT$1266,0))</f>
        <v/>
      </c>
      <c r="DC1150">
        <f>INDEX('Data_Price '!AL$2:AL$1266,MATCH(Data!$DN1150,'Data_Price '!$AT$2:$AT$1266,0))</f>
        <v/>
      </c>
      <c r="DD1150">
        <f>INDEX('Data_Price '!AM$2:AM$1266,MATCH(Data!$DN1150,'Data_Price '!$AT$2:$AT$1266,0))</f>
        <v/>
      </c>
      <c r="DE1150">
        <f>INDEX('Data_Price '!AN$2:AN$1266,MATCH(Data!$DN1150,'Data_Price '!$AT$2:$AT$1266,0))</f>
        <v/>
      </c>
      <c r="DF1150">
        <f>INDEX('Data_Price '!AO$2:AO$1266,MATCH(Data!$DN1150,'Data_Price '!$AT$2:$AT$1266,0))</f>
        <v/>
      </c>
      <c r="DG1150">
        <f>INDEX('Data_Price '!AP$2:AP$1266,MATCH(Data!$DN1150,'Data_Price '!$AT$2:$AT$1266,0))</f>
        <v/>
      </c>
      <c r="DH1150">
        <f>INDEX('Data_Price '!AQ$2:AQ$1266,MATCH(Data!$DN1150,'Data_Price '!$AT$2:$AT$1266,0))</f>
        <v/>
      </c>
      <c r="DI1150">
        <f>INDEX('Data_Price '!AR$2:AR$1266,MATCH(Data!$DN1150,'Data_Price '!$AT$2:$AT$1266,0))</f>
        <v/>
      </c>
      <c r="DJ1150" s="138">
        <f>DA1150</f>
        <v/>
      </c>
      <c r="DK1150" s="138">
        <f>DE1150</f>
        <v/>
      </c>
      <c r="DL1150" s="138">
        <f>DI1150</f>
        <v/>
      </c>
      <c r="DM1150" s="303">
        <f>IF(LEFT(BT1150,1)=" ",RIGHT(BT1150,LEN(BT1150)-1),BT1150)</f>
        <v/>
      </c>
      <c r="DN1150" s="138">
        <f>_xlfn.CONCAT(BS1150,DM1150,BU1150,BV1150)</f>
        <v/>
      </c>
      <c r="DO1150" s="307" t="inlineStr">
        <is>
          <t>https://images.evo.com/imgp/250/197210/792887/line-skis-pandora-94-skis-women-s-2022-.jpg</t>
        </is>
      </c>
    </row>
    <row r="1151" ht="15.6" customHeight="1" s="184">
      <c r="B1151" s="303">
        <f t="array" ref="B1151">IF(OR(ISERROR(K1151:P1151)),FALSE,TRUE)</f>
        <v/>
      </c>
      <c r="C1151" s="60">
        <f>OR(BR1151=Driver!$G$50,Data!BR327=Driver!$H$50)</f>
        <v/>
      </c>
      <c r="D1151" s="60">
        <f>OR(BV1151=Driver!$G$51,BV1151=Driver!$H$51)</f>
        <v/>
      </c>
      <c r="E1151" s="60">
        <f>AND(BX1151&gt;Driver!$F$54,BX1151&lt;Driver!$G$54)</f>
        <v/>
      </c>
      <c r="F1151" s="60">
        <f>CL1151&gt;Driver!$F$56</f>
        <v/>
      </c>
      <c r="G1151" s="60">
        <f>AND(CB1151&gt;Driver!$F$55,CB1151&lt;Driver!$G$55)</f>
        <v/>
      </c>
      <c r="H1151" s="60">
        <f>AND(B1151:G1151)</f>
        <v/>
      </c>
      <c r="I1151" s="60">
        <f>COUNTIFS($H$9:$H$1273,TRUE,$BT$9:$BT$1273,BT1151)</f>
        <v/>
      </c>
      <c r="J1151" s="60">
        <f t="array" ref="J1151">NOT(OR(($H$9:$H$1273=TRUE)*($I$9:$I$1273&gt;0)*($BT$9:$BT$1273=BT1151)*($K$9:$K$1273&gt;K1151)))</f>
        <v/>
      </c>
      <c r="K1151" s="108">
        <f>IFERROR(1-AVERAGE(X1151:Y1151),"")</f>
        <v/>
      </c>
      <c r="L1151" s="108">
        <f>1-X1151</f>
        <v/>
      </c>
      <c r="M1151" s="108">
        <f>1-Y1151</f>
        <v/>
      </c>
      <c r="N1151" s="108">
        <f>1-Z1151</f>
        <v/>
      </c>
      <c r="O1151" s="108">
        <f>1-AA1151</f>
        <v/>
      </c>
      <c r="P1151" s="108">
        <f>1-AB1151</f>
        <v/>
      </c>
      <c r="Q1151" s="108" t="n"/>
      <c r="R1151" s="108" t="n"/>
      <c r="S1151" s="108">
        <f>1-AE1151</f>
        <v/>
      </c>
      <c r="T1151" s="108">
        <f>1-AF1151</f>
        <v/>
      </c>
      <c r="U1151" s="108">
        <f>1-AG1151</f>
        <v/>
      </c>
      <c r="V1151" s="108">
        <f>1-AH1151</f>
        <v/>
      </c>
      <c r="W1151" s="108">
        <f>1-AI1151</f>
        <v/>
      </c>
      <c r="X1151" s="108">
        <f>ABS(AJ1151-AJ$1)</f>
        <v/>
      </c>
      <c r="Y1151" s="108">
        <f>AVERAGE(Z1151:AB1151)</f>
        <v/>
      </c>
      <c r="Z1151" s="108">
        <f>ABS(AL1151-AL$1)</f>
        <v/>
      </c>
      <c r="AA1151" s="108">
        <f>ABS(AM1151-AM$1)</f>
        <v/>
      </c>
      <c r="AB1151" s="108">
        <f>ABS(AN1151-AN$1)</f>
        <v/>
      </c>
      <c r="AC1151" s="108" t="n"/>
      <c r="AD1151" s="108" t="n"/>
      <c r="AE1151" s="108">
        <f>ABS(AQ$1-AQ1151)</f>
        <v/>
      </c>
      <c r="AF1151" s="108">
        <f>ABS(AR$1-AR1151)</f>
        <v/>
      </c>
      <c r="AG1151" s="108">
        <f>ABS(AS$1-AS1151)</f>
        <v/>
      </c>
      <c r="AH1151" s="108">
        <f>ABS(AT$1-AT1151)</f>
        <v/>
      </c>
      <c r="AI1151" s="108">
        <f>ABS(AU$1-AU1151)</f>
        <v/>
      </c>
      <c r="AJ1151" s="108">
        <f>(AV1151-Driver!$K$179)/(Driver!$L$179-Driver!$K$179)</f>
        <v/>
      </c>
      <c r="AK1151" s="108">
        <f>(AW1151-Driver!$K$180)/(Driver!$L$180-Driver!$K$180)</f>
        <v/>
      </c>
      <c r="AL1151" s="108">
        <f>(AX1151-Driver!$K$181)/(Driver!$L$181-Driver!$K$181)</f>
        <v/>
      </c>
      <c r="AM1151" s="108">
        <f>(AY1151-Driver!$K$182)/(Driver!$L$182-Driver!$K$182)</f>
        <v/>
      </c>
      <c r="AN1151" s="108">
        <f>(AZ1151-Driver!$K$183)/(Driver!$L$183-Driver!$K$183)</f>
        <v/>
      </c>
      <c r="AO1151" s="108" t="n"/>
      <c r="AP1151" s="108" t="n"/>
      <c r="AQ1151" s="108">
        <f>(BC1151-Driver!$K$188)/(Driver!$L$188-Driver!$K$188)</f>
        <v/>
      </c>
      <c r="AR1151" s="108">
        <f>MIN((BD1151-Driver!$K$189)/(Driver!$L$189-Driver!$K$189),100%)</f>
        <v/>
      </c>
      <c r="AS1151" s="108">
        <f>(BE1151-Driver!$K$190)/(Driver!$L$190-Driver!$K$190)</f>
        <v/>
      </c>
      <c r="AT1151" s="108">
        <f>(BF1151-Driver!$K$191)/(Driver!$L$191-Driver!$K$191)</f>
        <v/>
      </c>
      <c r="AU1151" s="108">
        <f>(BG1151-Driver!$K$192)/(Driver!$L$192-Driver!$K$192)</f>
        <v/>
      </c>
      <c r="AV1151" s="105">
        <f>IFERROR(BM1151*BJ1151^1/4,"")</f>
        <v/>
      </c>
      <c r="AW1151" s="105">
        <f>IFERROR(SUM(AX1151:AZ1151),"")</f>
        <v/>
      </c>
      <c r="AX1151" s="105">
        <f>IFERROR(BH1151,"")</f>
        <v/>
      </c>
      <c r="AY1151" s="105">
        <f>IFERROR(Driver!$K$19/Data!BH1151/Data!BI1151*Data!BK1151*Data!BL1151,"")</f>
        <v/>
      </c>
      <c r="AZ1151" s="105">
        <f>IFERROR(BI1151*BN1151,"")</f>
        <v/>
      </c>
      <c r="BA1151" s="105" t="n"/>
      <c r="BB1151" s="105" t="n"/>
      <c r="BC1151" s="105">
        <f>IFERROR(BI1151*BN1151*BK1151/BJ1151^(1/2),"")</f>
        <v/>
      </c>
      <c r="BD1151" s="105">
        <f>IFERROR(BH1151*BM1151*BL1151/BJ1151/BK1151,"")</f>
        <v/>
      </c>
      <c r="BE1151" s="105">
        <f>IFERROR(MIN(BI1151/BQ1151/BP1151/BO1151/BH1151,$BE$1),"")</f>
        <v/>
      </c>
      <c r="BF1151" s="105">
        <f>IFERROR(BJ1151*BO1151*BP1151/BK1151,"")</f>
        <v/>
      </c>
      <c r="BG1151" s="105">
        <f>IFERROR(1/BM1151/BH1151*BQ1151,"")</f>
        <v/>
      </c>
      <c r="BH1151" s="102">
        <f>MAX((CE1151-Driver!$F$200)/(Driver!$G$200-Driver!$F$200)*$BI$1,1)</f>
        <v/>
      </c>
      <c r="BI1151" s="102">
        <f>MAX($BI$1*(BY1151-Driver!$F$201)/(Driver!$G$201-Driver!$F$201),1)</f>
        <v/>
      </c>
      <c r="BJ1151" s="102">
        <f>(CB1151-Driver!$F$206)/(Driver!$G$206-Driver!$F$206)*$BI$1</f>
        <v/>
      </c>
      <c r="BK1151" s="102">
        <f>(CD1151-Driver!$F$203)/(Driver!$G$203-Driver!$F$203)*$BI$1</f>
        <v/>
      </c>
      <c r="BL1151" s="102">
        <f>MAX((CR1151-Driver!$F$202)/(Driver!$G$202-Driver!$F$202)*$BI$1,1)</f>
        <v/>
      </c>
      <c r="BM1151" s="102">
        <f>MAX((CH1151-Driver!$F$204)/(Driver!$G$204-Driver!$F$204)*$BI$1,1)</f>
        <v/>
      </c>
      <c r="BN1151" s="102">
        <f>(CI1151-Driver!$F$205)/(Driver!$G$205-Driver!$F$205)*$BI$1</f>
        <v/>
      </c>
      <c r="BO1151" s="102">
        <f>(CK1151-Driver!$F$207)/(Driver!$G$207-Driver!$F$207)*$BI$1</f>
        <v/>
      </c>
      <c r="BP1151" s="102">
        <f>(CM1151-Driver!$F$208)/(Driver!$G$208-Driver!$F$208)*$BI$1</f>
        <v/>
      </c>
      <c r="BQ1151" s="102">
        <f>(CL1151-Driver!$F$209)/(Driver!$G$209-Driver!$F$209)*$BI$1</f>
        <v/>
      </c>
      <c r="BR1151" s="40" t="inlineStr">
        <is>
          <t>21/22</t>
        </is>
      </c>
      <c r="BS1151" s="10" t="inlineStr">
        <is>
          <t xml:space="preserve"> Blizzard</t>
        </is>
      </c>
      <c r="BT1151" s="11" t="inlineStr">
        <is>
          <t>Zero G 95</t>
        </is>
      </c>
      <c r="BU1151" s="13" t="n">
        <v>157</v>
      </c>
      <c r="BV1151" s="11" t="inlineStr">
        <is>
          <t xml:space="preserve"> Unisex</t>
        </is>
      </c>
      <c r="BW1151" s="13" t="n">
        <v>157</v>
      </c>
      <c r="BX1151" s="13" t="n">
        <v>154.7</v>
      </c>
      <c r="BY1151" s="13" t="n">
        <v>118</v>
      </c>
      <c r="BZ1151" s="13" t="n">
        <v>128</v>
      </c>
      <c r="CA1151" s="13" t="n">
        <v>124</v>
      </c>
      <c r="CB1151" s="13" t="n">
        <v>93</v>
      </c>
      <c r="CC1151" s="13" t="n">
        <v>108</v>
      </c>
      <c r="CD1151" s="13" t="n">
        <v>17.7</v>
      </c>
      <c r="CE1151" s="13" t="n">
        <v>1072</v>
      </c>
      <c r="CF1151" s="13" t="n">
        <v>1.46</v>
      </c>
      <c r="CG1151" s="13" t="n">
        <v>1566</v>
      </c>
      <c r="CH1151" s="13" t="n">
        <v>159</v>
      </c>
      <c r="CI1151" s="13" t="n">
        <v>62</v>
      </c>
      <c r="CJ1151" s="13" t="n">
        <v>57</v>
      </c>
      <c r="CK1151" s="13" t="n">
        <v>216</v>
      </c>
      <c r="CL1151" s="13" t="n">
        <v>8</v>
      </c>
      <c r="CM1151" s="13" t="n">
        <v>155</v>
      </c>
      <c r="CN1151" s="13" t="n">
        <v>0.146</v>
      </c>
      <c r="CO1151" s="13" t="n">
        <v>132</v>
      </c>
      <c r="CP1151" s="13" t="n">
        <v>132</v>
      </c>
      <c r="CQ1151" s="13" t="n">
        <v>85</v>
      </c>
      <c r="CR1151" s="13" t="n">
        <v>5</v>
      </c>
      <c r="CS1151" s="13" t="n">
        <v>10.2</v>
      </c>
      <c r="CT1151" s="11" t="inlineStr">
        <is>
          <t xml:space="preserve"> Touring</t>
        </is>
      </c>
      <c r="CU1151" s="11" t="inlineStr">
        <is>
          <t xml:space="preserve"> Ultralight Touring</t>
        </is>
      </c>
      <c r="CV1151" s="13" t="n"/>
      <c r="CW1151" s="13" t="n"/>
      <c r="CX1151">
        <f>INDEX('Data_Price '!AG$2:AG$1266,MATCH(Data!$DN1151,'Data_Price '!$AT$2:$AT$1266,0))</f>
        <v/>
      </c>
      <c r="CY1151">
        <f>INDEX('Data_Price '!AH$2:AH$1266,MATCH(Data!$DN1151,'Data_Price '!$AT$2:$AT$1266,0))</f>
        <v/>
      </c>
      <c r="CZ1151">
        <f>INDEX('Data_Price '!AI$2:AI$1266,MATCH(Data!$DN1151,'Data_Price '!$AT$2:$AT$1266,0))</f>
        <v/>
      </c>
      <c r="DA1151">
        <f>INDEX('Data_Price '!AJ$2:AJ$1266,MATCH(Data!$DN1151,'Data_Price '!$AT$2:$AT$1266,0))</f>
        <v/>
      </c>
      <c r="DB1151">
        <f>INDEX('Data_Price '!AK$2:AK$1266,MATCH(Data!$DN1151,'Data_Price '!$AT$2:$AT$1266,0))</f>
        <v/>
      </c>
      <c r="DC1151">
        <f>INDEX('Data_Price '!AL$2:AL$1266,MATCH(Data!$DN1151,'Data_Price '!$AT$2:$AT$1266,0))</f>
        <v/>
      </c>
      <c r="DD1151">
        <f>INDEX('Data_Price '!AM$2:AM$1266,MATCH(Data!$DN1151,'Data_Price '!$AT$2:$AT$1266,0))</f>
        <v/>
      </c>
      <c r="DE1151">
        <f>INDEX('Data_Price '!AN$2:AN$1266,MATCH(Data!$DN1151,'Data_Price '!$AT$2:$AT$1266,0))</f>
        <v/>
      </c>
      <c r="DF1151">
        <f>INDEX('Data_Price '!AO$2:AO$1266,MATCH(Data!$DN1151,'Data_Price '!$AT$2:$AT$1266,0))</f>
        <v/>
      </c>
      <c r="DG1151">
        <f>INDEX('Data_Price '!AP$2:AP$1266,MATCH(Data!$DN1151,'Data_Price '!$AT$2:$AT$1266,0))</f>
        <v/>
      </c>
      <c r="DH1151">
        <f>INDEX('Data_Price '!AQ$2:AQ$1266,MATCH(Data!$DN1151,'Data_Price '!$AT$2:$AT$1266,0))</f>
        <v/>
      </c>
      <c r="DI1151">
        <f>INDEX('Data_Price '!AR$2:AR$1266,MATCH(Data!$DN1151,'Data_Price '!$AT$2:$AT$1266,0))</f>
        <v/>
      </c>
      <c r="DJ1151" s="138">
        <f>DA1151</f>
        <v/>
      </c>
      <c r="DK1151" s="138">
        <f>DE1151</f>
        <v/>
      </c>
      <c r="DL1151" s="138">
        <f>DI1151</f>
        <v/>
      </c>
      <c r="DM1151" s="303">
        <f>IF(LEFT(BT1151,1)=" ",RIGHT(BT1151,LEN(BT1151)-1),BT1151)</f>
        <v/>
      </c>
      <c r="DN1151" s="138">
        <f>_xlfn.CONCAT(BS1151,DM1151,BU1151,BV1151)</f>
        <v/>
      </c>
      <c r="DO1151" s="307" t="inlineStr">
        <is>
          <t>https://images.evo.com/imgp/250/197482/830329/blizzard-zero-g-95-skis-2022-.jpg</t>
        </is>
      </c>
    </row>
    <row r="1152" ht="15.6" customHeight="1" s="184">
      <c r="B1152" s="303">
        <f t="array" ref="B1152">IF(OR(ISERROR(K1152:P1152)),FALSE,TRUE)</f>
        <v/>
      </c>
      <c r="C1152" s="60">
        <f>OR(BR1152=Driver!$G$50,Data!BR1024=Driver!$H$50)</f>
        <v/>
      </c>
      <c r="D1152" s="60">
        <f>OR(BV1152=Driver!$G$51,BV1152=Driver!$H$51)</f>
        <v/>
      </c>
      <c r="E1152" s="60">
        <f>AND(BX1152&gt;Driver!$F$54,BX1152&lt;Driver!$G$54)</f>
        <v/>
      </c>
      <c r="F1152" s="60">
        <f>CL1152&gt;Driver!$F$56</f>
        <v/>
      </c>
      <c r="G1152" s="60">
        <f>AND(CB1152&gt;Driver!$F$55,CB1152&lt;Driver!$G$55)</f>
        <v/>
      </c>
      <c r="H1152" s="60">
        <f>AND(B1152:G1152)</f>
        <v/>
      </c>
      <c r="I1152" s="60">
        <f>COUNTIFS($H$9:$H$1273,TRUE,$BT$9:$BT$1273,BT1152)</f>
        <v/>
      </c>
      <c r="J1152" s="60">
        <f t="array" ref="J1152">NOT(OR(($H$9:$H$1273=TRUE)*($I$9:$I$1273&gt;0)*($BT$9:$BT$1273=BT1152)*($K$9:$K$1273&gt;K1152)))</f>
        <v/>
      </c>
      <c r="K1152" s="108">
        <f>IFERROR(1-AVERAGE(X1152:Y1152),"")</f>
        <v/>
      </c>
      <c r="L1152" s="108">
        <f>1-X1152</f>
        <v/>
      </c>
      <c r="M1152" s="108">
        <f>1-Y1152</f>
        <v/>
      </c>
      <c r="N1152" s="108">
        <f>1-Z1152</f>
        <v/>
      </c>
      <c r="O1152" s="108">
        <f>1-AA1152</f>
        <v/>
      </c>
      <c r="P1152" s="108">
        <f>1-AB1152</f>
        <v/>
      </c>
      <c r="Q1152" s="108" t="n"/>
      <c r="R1152" s="108" t="n"/>
      <c r="S1152" s="108">
        <f>1-AE1152</f>
        <v/>
      </c>
      <c r="T1152" s="108">
        <f>1-AF1152</f>
        <v/>
      </c>
      <c r="U1152" s="108">
        <f>1-AG1152</f>
        <v/>
      </c>
      <c r="V1152" s="108">
        <f>1-AH1152</f>
        <v/>
      </c>
      <c r="W1152" s="108">
        <f>1-AI1152</f>
        <v/>
      </c>
      <c r="X1152" s="108">
        <f>ABS(AJ1152-AJ$1)</f>
        <v/>
      </c>
      <c r="Y1152" s="108">
        <f>AVERAGE(Z1152:AB1152)</f>
        <v/>
      </c>
      <c r="Z1152" s="108">
        <f>ABS(AL1152-AL$1)</f>
        <v/>
      </c>
      <c r="AA1152" s="108">
        <f>ABS(AM1152-AM$1)</f>
        <v/>
      </c>
      <c r="AB1152" s="108">
        <f>ABS(AN1152-AN$1)</f>
        <v/>
      </c>
      <c r="AC1152" s="108" t="n"/>
      <c r="AD1152" s="108" t="n"/>
      <c r="AE1152" s="108">
        <f>ABS(AQ$1-AQ1152)</f>
        <v/>
      </c>
      <c r="AF1152" s="108">
        <f>ABS(AR$1-AR1152)</f>
        <v/>
      </c>
      <c r="AG1152" s="108">
        <f>ABS(AS$1-AS1152)</f>
        <v/>
      </c>
      <c r="AH1152" s="108">
        <f>ABS(AT$1-AT1152)</f>
        <v/>
      </c>
      <c r="AI1152" s="108">
        <f>ABS(AU$1-AU1152)</f>
        <v/>
      </c>
      <c r="AJ1152" s="108">
        <f>(AV1152-Driver!$K$179)/(Driver!$L$179-Driver!$K$179)</f>
        <v/>
      </c>
      <c r="AK1152" s="108">
        <f>(AW1152-Driver!$K$180)/(Driver!$L$180-Driver!$K$180)</f>
        <v/>
      </c>
      <c r="AL1152" s="108">
        <f>(AX1152-Driver!$K$181)/(Driver!$L$181-Driver!$K$181)</f>
        <v/>
      </c>
      <c r="AM1152" s="108">
        <f>(AY1152-Driver!$K$182)/(Driver!$L$182-Driver!$K$182)</f>
        <v/>
      </c>
      <c r="AN1152" s="108">
        <f>(AZ1152-Driver!$K$183)/(Driver!$L$183-Driver!$K$183)</f>
        <v/>
      </c>
      <c r="AO1152" s="108" t="n"/>
      <c r="AP1152" s="108" t="n"/>
      <c r="AQ1152" s="108">
        <f>(BC1152-Driver!$K$188)/(Driver!$L$188-Driver!$K$188)</f>
        <v/>
      </c>
      <c r="AR1152" s="108">
        <f>MIN((BD1152-Driver!$K$189)/(Driver!$L$189-Driver!$K$189),100%)</f>
        <v/>
      </c>
      <c r="AS1152" s="108">
        <f>(BE1152-Driver!$K$190)/(Driver!$L$190-Driver!$K$190)</f>
        <v/>
      </c>
      <c r="AT1152" s="108">
        <f>(BF1152-Driver!$K$191)/(Driver!$L$191-Driver!$K$191)</f>
        <v/>
      </c>
      <c r="AU1152" s="108">
        <f>(BG1152-Driver!$K$192)/(Driver!$L$192-Driver!$K$192)</f>
        <v/>
      </c>
      <c r="AV1152" s="105">
        <f>IFERROR(BM1152*BJ1152^1/4,"")</f>
        <v/>
      </c>
      <c r="AW1152" s="105">
        <f>IFERROR(SUM(AX1152:AZ1152),"")</f>
        <v/>
      </c>
      <c r="AX1152" s="105">
        <f>IFERROR(BH1152,"")</f>
        <v/>
      </c>
      <c r="AY1152" s="105">
        <f>IFERROR(Driver!$K$19/Data!BH1152/Data!BI1152*Data!BK1152*Data!BL1152,"")</f>
        <v/>
      </c>
      <c r="AZ1152" s="105">
        <f>IFERROR(BI1152*BN1152,"")</f>
        <v/>
      </c>
      <c r="BA1152" s="105" t="n"/>
      <c r="BB1152" s="105" t="n"/>
      <c r="BC1152" s="105">
        <f>IFERROR(BI1152*BN1152*BK1152/BJ1152^(1/2),"")</f>
        <v/>
      </c>
      <c r="BD1152" s="105">
        <f>IFERROR(BH1152*BM1152*BL1152/BJ1152/BK1152,"")</f>
        <v/>
      </c>
      <c r="BE1152" s="105">
        <f>IFERROR(MIN(BI1152/BQ1152/BP1152/BO1152/BH1152,$BE$1),"")</f>
        <v/>
      </c>
      <c r="BF1152" s="105">
        <f>IFERROR(BJ1152*BO1152*BP1152/BK1152,"")</f>
        <v/>
      </c>
      <c r="BG1152" s="105">
        <f>IFERROR(1/BM1152/BH1152*BQ1152,"")</f>
        <v/>
      </c>
      <c r="BH1152" s="102">
        <f>MAX((CE1152-Driver!$F$200)/(Driver!$G$200-Driver!$F$200)*$BI$1,1)</f>
        <v/>
      </c>
      <c r="BI1152" s="102">
        <f>MAX($BI$1*(BY1152-Driver!$F$201)/(Driver!$G$201-Driver!$F$201),1)</f>
        <v/>
      </c>
      <c r="BJ1152" s="102">
        <f>(CB1152-Driver!$F$206)/(Driver!$G$206-Driver!$F$206)*$BI$1</f>
        <v/>
      </c>
      <c r="BK1152" s="102">
        <f>(CD1152-Driver!$F$203)/(Driver!$G$203-Driver!$F$203)*$BI$1</f>
        <v/>
      </c>
      <c r="BL1152" s="102">
        <f>MAX((CR1152-Driver!$F$202)/(Driver!$G$202-Driver!$F$202)*$BI$1,1)</f>
        <v/>
      </c>
      <c r="BM1152" s="102">
        <f>MAX((CH1152-Driver!$F$204)/(Driver!$G$204-Driver!$F$204)*$BI$1,1)</f>
        <v/>
      </c>
      <c r="BN1152" s="102">
        <f>(CI1152-Driver!$F$205)/(Driver!$G$205-Driver!$F$205)*$BI$1</f>
        <v/>
      </c>
      <c r="BO1152" s="102">
        <f>(CK1152-Driver!$F$207)/(Driver!$G$207-Driver!$F$207)*$BI$1</f>
        <v/>
      </c>
      <c r="BP1152" s="102">
        <f>(CM1152-Driver!$F$208)/(Driver!$G$208-Driver!$F$208)*$BI$1</f>
        <v/>
      </c>
      <c r="BQ1152" s="102">
        <f>(CL1152-Driver!$F$209)/(Driver!$G$209-Driver!$F$209)*$BI$1</f>
        <v/>
      </c>
      <c r="BR1152" s="40" t="inlineStr">
        <is>
          <t>21/22</t>
        </is>
      </c>
      <c r="BS1152" s="10" t="inlineStr">
        <is>
          <t xml:space="preserve"> Rossignol</t>
        </is>
      </c>
      <c r="BT1152" s="11" t="inlineStr">
        <is>
          <t xml:space="preserve"> Hero Elite Long Turn Ti</t>
        </is>
      </c>
      <c r="BU1152" s="13" t="n">
        <v>167</v>
      </c>
      <c r="BV1152" s="11" t="inlineStr">
        <is>
          <t xml:space="preserve"> Unisex</t>
        </is>
      </c>
      <c r="BW1152" s="13" t="n">
        <v>167</v>
      </c>
      <c r="BX1152" s="13" t="n">
        <v>166.3</v>
      </c>
      <c r="BY1152" s="13" t="n">
        <v>145</v>
      </c>
      <c r="BZ1152" s="13" t="n">
        <v>155</v>
      </c>
      <c r="CA1152" s="13" t="n">
        <v>118</v>
      </c>
      <c r="CB1152" s="13" t="n">
        <v>70</v>
      </c>
      <c r="CC1152" s="13" t="n">
        <v>100</v>
      </c>
      <c r="CD1152" s="13" t="n">
        <v>15.3</v>
      </c>
      <c r="CE1152" s="13" t="n">
        <v>1969</v>
      </c>
      <c r="CF1152" s="13" t="n">
        <v>0.71</v>
      </c>
      <c r="CG1152" s="13" t="n">
        <v>1398</v>
      </c>
      <c r="CH1152" s="13" t="n">
        <v>240</v>
      </c>
      <c r="CI1152" s="13" t="n">
        <v>135</v>
      </c>
      <c r="CJ1152" s="13" t="n">
        <v>42</v>
      </c>
      <c r="CK1152" s="13" t="n">
        <v>161</v>
      </c>
      <c r="CL1152" s="13" t="n">
        <v>5</v>
      </c>
      <c r="CM1152" s="13" t="n">
        <v>54</v>
      </c>
      <c r="CN1152" s="13" t="n">
        <v>0.118</v>
      </c>
      <c r="CO1152" s="13" t="n">
        <v>69</v>
      </c>
      <c r="CP1152" s="13" t="n">
        <v>41</v>
      </c>
      <c r="CQ1152" s="13" t="n">
        <v>93</v>
      </c>
      <c r="CR1152" s="13" t="n">
        <v>10</v>
      </c>
      <c r="CS1152" s="13" t="n">
        <v>11.1</v>
      </c>
      <c r="CT1152" s="11" t="inlineStr">
        <is>
          <t xml:space="preserve"> On-Piste Carving</t>
        </is>
      </c>
      <c r="CU1152" s="13" t="n"/>
      <c r="CV1152" s="13" t="n"/>
      <c r="CW1152" s="13" t="n"/>
      <c r="CX1152">
        <f>INDEX('Data_Price '!AG$2:AG$1266,MATCH(Data!$DN1152,'Data_Price '!$AT$2:$AT$1266,0))</f>
        <v/>
      </c>
      <c r="CY1152">
        <f>INDEX('Data_Price '!AH$2:AH$1266,MATCH(Data!$DN1152,'Data_Price '!$AT$2:$AT$1266,0))</f>
        <v/>
      </c>
      <c r="CZ1152">
        <f>INDEX('Data_Price '!AI$2:AI$1266,MATCH(Data!$DN1152,'Data_Price '!$AT$2:$AT$1266,0))</f>
        <v/>
      </c>
      <c r="DA1152">
        <f>INDEX('Data_Price '!AJ$2:AJ$1266,MATCH(Data!$DN1152,'Data_Price '!$AT$2:$AT$1266,0))</f>
        <v/>
      </c>
      <c r="DB1152">
        <f>INDEX('Data_Price '!AK$2:AK$1266,MATCH(Data!$DN1152,'Data_Price '!$AT$2:$AT$1266,0))</f>
        <v/>
      </c>
      <c r="DC1152">
        <f>INDEX('Data_Price '!AL$2:AL$1266,MATCH(Data!$DN1152,'Data_Price '!$AT$2:$AT$1266,0))</f>
        <v/>
      </c>
      <c r="DD1152">
        <f>INDEX('Data_Price '!AM$2:AM$1266,MATCH(Data!$DN1152,'Data_Price '!$AT$2:$AT$1266,0))</f>
        <v/>
      </c>
      <c r="DE1152">
        <f>INDEX('Data_Price '!AN$2:AN$1266,MATCH(Data!$DN1152,'Data_Price '!$AT$2:$AT$1266,0))</f>
        <v/>
      </c>
      <c r="DF1152">
        <f>INDEX('Data_Price '!AO$2:AO$1266,MATCH(Data!$DN1152,'Data_Price '!$AT$2:$AT$1266,0))</f>
        <v/>
      </c>
      <c r="DG1152">
        <f>INDEX('Data_Price '!AP$2:AP$1266,MATCH(Data!$DN1152,'Data_Price '!$AT$2:$AT$1266,0))</f>
        <v/>
      </c>
      <c r="DH1152">
        <f>INDEX('Data_Price '!AQ$2:AQ$1266,MATCH(Data!$DN1152,'Data_Price '!$AT$2:$AT$1266,0))</f>
        <v/>
      </c>
      <c r="DI1152">
        <f>INDEX('Data_Price '!AR$2:AR$1266,MATCH(Data!$DN1152,'Data_Price '!$AT$2:$AT$1266,0))</f>
        <v/>
      </c>
      <c r="DJ1152" s="138">
        <f>DA1152</f>
        <v/>
      </c>
      <c r="DK1152" s="138">
        <f>DE1152</f>
        <v/>
      </c>
      <c r="DL1152" s="138">
        <f>DI1152</f>
        <v/>
      </c>
      <c r="DM1152" s="303">
        <f>IF(LEFT(BT1152,1)=" ",RIGHT(BT1152,LEN(BT1152)-1),BT1152)</f>
        <v/>
      </c>
      <c r="DN1152" s="138">
        <f>_xlfn.CONCAT(BS1152,DM1152,BU1152,BV1152)</f>
        <v/>
      </c>
      <c r="DO1152" s="307" t="n"/>
    </row>
    <row r="1153" ht="15.6" customHeight="1" s="184">
      <c r="B1153" s="303">
        <f t="array" ref="B1153">IF(OR(ISERROR(K1153:P1153)),FALSE,TRUE)</f>
        <v/>
      </c>
      <c r="C1153" s="60">
        <f>OR(BR1153=Driver!$G$50,Data!BR1227=Driver!$H$50)</f>
        <v/>
      </c>
      <c r="D1153" s="60">
        <f>OR(BV1153=Driver!$G$51,BV1153=Driver!$H$51)</f>
        <v/>
      </c>
      <c r="E1153" s="60">
        <f>AND(BX1153&gt;Driver!$F$54,BX1153&lt;Driver!$G$54)</f>
        <v/>
      </c>
      <c r="F1153" s="60">
        <f>CL1153&gt;Driver!$F$56</f>
        <v/>
      </c>
      <c r="G1153" s="60">
        <f>AND(CB1153&gt;Driver!$F$55,CB1153&lt;Driver!$G$55)</f>
        <v/>
      </c>
      <c r="H1153" s="60">
        <f>AND(B1153:G1153)</f>
        <v/>
      </c>
      <c r="I1153" s="60">
        <f>COUNTIFS($H$9:$H$1273,TRUE,$BT$9:$BT$1273,BT1153)</f>
        <v/>
      </c>
      <c r="J1153" s="60">
        <f t="array" ref="J1153">NOT(OR(($H$9:$H$1273=TRUE)*($I$9:$I$1273&gt;0)*($BT$9:$BT$1273=BT1153)*($K$9:$K$1273&gt;K1153)))</f>
        <v/>
      </c>
      <c r="K1153" s="108">
        <f>IFERROR(1-AVERAGE(X1153:Y1153),"")</f>
        <v/>
      </c>
      <c r="L1153" s="108">
        <f>1-X1153</f>
        <v/>
      </c>
      <c r="M1153" s="108">
        <f>1-Y1153</f>
        <v/>
      </c>
      <c r="N1153" s="108">
        <f>1-Z1153</f>
        <v/>
      </c>
      <c r="O1153" s="108">
        <f>1-AA1153</f>
        <v/>
      </c>
      <c r="P1153" s="108">
        <f>1-AB1153</f>
        <v/>
      </c>
      <c r="Q1153" s="108" t="n"/>
      <c r="R1153" s="108" t="n"/>
      <c r="S1153" s="108">
        <f>1-AE1153</f>
        <v/>
      </c>
      <c r="T1153" s="108">
        <f>1-AF1153</f>
        <v/>
      </c>
      <c r="U1153" s="108">
        <f>1-AG1153</f>
        <v/>
      </c>
      <c r="V1153" s="108">
        <f>1-AH1153</f>
        <v/>
      </c>
      <c r="W1153" s="108">
        <f>1-AI1153</f>
        <v/>
      </c>
      <c r="X1153" s="108">
        <f>ABS(AJ1153-AJ$1)</f>
        <v/>
      </c>
      <c r="Y1153" s="108">
        <f>AVERAGE(Z1153:AB1153)</f>
        <v/>
      </c>
      <c r="Z1153" s="108">
        <f>ABS(AL1153-AL$1)</f>
        <v/>
      </c>
      <c r="AA1153" s="108">
        <f>ABS(AM1153-AM$1)</f>
        <v/>
      </c>
      <c r="AB1153" s="108">
        <f>ABS(AN1153-AN$1)</f>
        <v/>
      </c>
      <c r="AC1153" s="108" t="n"/>
      <c r="AD1153" s="108" t="n"/>
      <c r="AE1153" s="108">
        <f>ABS(AQ$1-AQ1153)</f>
        <v/>
      </c>
      <c r="AF1153" s="108">
        <f>ABS(AR$1-AR1153)</f>
        <v/>
      </c>
      <c r="AG1153" s="108">
        <f>ABS(AS$1-AS1153)</f>
        <v/>
      </c>
      <c r="AH1153" s="108">
        <f>ABS(AT$1-AT1153)</f>
        <v/>
      </c>
      <c r="AI1153" s="108">
        <f>ABS(AU$1-AU1153)</f>
        <v/>
      </c>
      <c r="AJ1153" s="108">
        <f>(AV1153-Driver!$K$179)/(Driver!$L$179-Driver!$K$179)</f>
        <v/>
      </c>
      <c r="AK1153" s="108">
        <f>(AW1153-Driver!$K$180)/(Driver!$L$180-Driver!$K$180)</f>
        <v/>
      </c>
      <c r="AL1153" s="108">
        <f>(AX1153-Driver!$K$181)/(Driver!$L$181-Driver!$K$181)</f>
        <v/>
      </c>
      <c r="AM1153" s="108">
        <f>(AY1153-Driver!$K$182)/(Driver!$L$182-Driver!$K$182)</f>
        <v/>
      </c>
      <c r="AN1153" s="108">
        <f>(AZ1153-Driver!$K$183)/(Driver!$L$183-Driver!$K$183)</f>
        <v/>
      </c>
      <c r="AO1153" s="108" t="n"/>
      <c r="AP1153" s="108" t="n"/>
      <c r="AQ1153" s="108">
        <f>(BC1153-Driver!$K$188)/(Driver!$L$188-Driver!$K$188)</f>
        <v/>
      </c>
      <c r="AR1153" s="108">
        <f>MIN((BD1153-Driver!$K$189)/(Driver!$L$189-Driver!$K$189),100%)</f>
        <v/>
      </c>
      <c r="AS1153" s="108">
        <f>(BE1153-Driver!$K$190)/(Driver!$L$190-Driver!$K$190)</f>
        <v/>
      </c>
      <c r="AT1153" s="108">
        <f>(BF1153-Driver!$K$191)/(Driver!$L$191-Driver!$K$191)</f>
        <v/>
      </c>
      <c r="AU1153" s="108">
        <f>(BG1153-Driver!$K$192)/(Driver!$L$192-Driver!$K$192)</f>
        <v/>
      </c>
      <c r="AV1153" s="105">
        <f>IFERROR(BM1153*BJ1153^1/4,"")</f>
        <v/>
      </c>
      <c r="AW1153" s="105">
        <f>IFERROR(SUM(AX1153:AZ1153),"")</f>
        <v/>
      </c>
      <c r="AX1153" s="105">
        <f>IFERROR(BH1153,"")</f>
        <v/>
      </c>
      <c r="AY1153" s="105">
        <f>IFERROR(Driver!$K$19/Data!BH1153/Data!BI1153*Data!BK1153*Data!BL1153,"")</f>
        <v/>
      </c>
      <c r="AZ1153" s="105">
        <f>IFERROR(BI1153*BN1153,"")</f>
        <v/>
      </c>
      <c r="BA1153" s="105" t="n"/>
      <c r="BB1153" s="105" t="n"/>
      <c r="BC1153" s="105">
        <f>IFERROR(BI1153*BN1153*BK1153/BJ1153^(1/2),"")</f>
        <v/>
      </c>
      <c r="BD1153" s="105">
        <f>IFERROR(BH1153*BM1153*BL1153/BJ1153/BK1153,"")</f>
        <v/>
      </c>
      <c r="BE1153" s="105">
        <f>IFERROR(MIN(BI1153/BQ1153/BP1153/BO1153/BH1153,$BE$1),"")</f>
        <v/>
      </c>
      <c r="BF1153" s="105">
        <f>IFERROR(BJ1153*BO1153*BP1153/BK1153,"")</f>
        <v/>
      </c>
      <c r="BG1153" s="105">
        <f>IFERROR(1/BM1153/BH1153*BQ1153,"")</f>
        <v/>
      </c>
      <c r="BH1153" s="102">
        <f>MAX((CE1153-Driver!$F$200)/(Driver!$G$200-Driver!$F$200)*$BI$1,1)</f>
        <v/>
      </c>
      <c r="BI1153" s="102">
        <f>MAX($BI$1*(BY1153-Driver!$F$201)/(Driver!$G$201-Driver!$F$201),1)</f>
        <v/>
      </c>
      <c r="BJ1153" s="102">
        <f>(CB1153-Driver!$F$206)/(Driver!$G$206-Driver!$F$206)*$BI$1</f>
        <v/>
      </c>
      <c r="BK1153" s="102">
        <f>(CD1153-Driver!$F$203)/(Driver!$G$203-Driver!$F$203)*$BI$1</f>
        <v/>
      </c>
      <c r="BL1153" s="102">
        <f>MAX((CR1153-Driver!$F$202)/(Driver!$G$202-Driver!$F$202)*$BI$1,1)</f>
        <v/>
      </c>
      <c r="BM1153" s="102">
        <f>MAX((CH1153-Driver!$F$204)/(Driver!$G$204-Driver!$F$204)*$BI$1,1)</f>
        <v/>
      </c>
      <c r="BN1153" s="102">
        <f>(CI1153-Driver!$F$205)/(Driver!$G$205-Driver!$F$205)*$BI$1</f>
        <v/>
      </c>
      <c r="BO1153" s="102">
        <f>(CK1153-Driver!$F$207)/(Driver!$G$207-Driver!$F$207)*$BI$1</f>
        <v/>
      </c>
      <c r="BP1153" s="102">
        <f>(CM1153-Driver!$F$208)/(Driver!$G$208-Driver!$F$208)*$BI$1</f>
        <v/>
      </c>
      <c r="BQ1153" s="102">
        <f>(CL1153-Driver!$F$209)/(Driver!$G$209-Driver!$F$209)*$BI$1</f>
        <v/>
      </c>
      <c r="BR1153" s="40" t="inlineStr">
        <is>
          <t>21/22</t>
        </is>
      </c>
      <c r="BS1153" s="10" t="inlineStr">
        <is>
          <t xml:space="preserve"> Völkl</t>
        </is>
      </c>
      <c r="BT1153" s="11" t="inlineStr">
        <is>
          <t>Mantra M5</t>
        </is>
      </c>
      <c r="BU1153" s="13" t="n">
        <v>184</v>
      </c>
      <c r="BV1153" s="11" t="inlineStr">
        <is>
          <t xml:space="preserve"> Unisex</t>
        </is>
      </c>
      <c r="BW1153" s="13" t="n">
        <v>184</v>
      </c>
      <c r="BX1153" s="13" t="n">
        <v>183.9</v>
      </c>
      <c r="BY1153" s="13" t="n">
        <v>144</v>
      </c>
      <c r="BZ1153" s="13" t="n">
        <v>160</v>
      </c>
      <c r="CA1153" s="13" t="n">
        <v>133</v>
      </c>
      <c r="CB1153" s="13" t="n">
        <v>95</v>
      </c>
      <c r="CC1153" s="13" t="n">
        <v>116</v>
      </c>
      <c r="CD1153" s="13" t="n">
        <v>21.4</v>
      </c>
      <c r="CE1153" s="13" t="n">
        <v>2122</v>
      </c>
      <c r="CF1153" s="13" t="n">
        <v>0.92</v>
      </c>
      <c r="CG1153" s="13" t="n">
        <v>1958</v>
      </c>
      <c r="CH1153" s="13" t="n">
        <v>239</v>
      </c>
      <c r="CI1153" s="13" t="n">
        <v>147</v>
      </c>
      <c r="CJ1153" s="13" t="n">
        <v>44</v>
      </c>
      <c r="CK1153" s="13" t="n">
        <v>230</v>
      </c>
      <c r="CL1153" s="13" t="n">
        <v>15</v>
      </c>
      <c r="CM1153" s="13" t="n">
        <v>166</v>
      </c>
      <c r="CN1153" s="13" t="n">
        <v>0.347</v>
      </c>
      <c r="CO1153" s="13" t="n">
        <v>138</v>
      </c>
      <c r="CP1153" s="13" t="n">
        <v>106</v>
      </c>
      <c r="CQ1153" s="13" t="n">
        <v>92</v>
      </c>
      <c r="CR1153" s="13" t="n">
        <v>6</v>
      </c>
      <c r="CS1153" s="13" t="n">
        <v>11.2</v>
      </c>
      <c r="CT1153" s="11" t="inlineStr">
        <is>
          <t xml:space="preserve"> Resort Freeride</t>
        </is>
      </c>
      <c r="CU1153" s="13" t="n"/>
      <c r="CV1153" s="13" t="n"/>
      <c r="CW1153" s="13" t="n"/>
      <c r="CX1153">
        <f>INDEX('Data_Price '!AG$2:AG$1266,MATCH(Data!$DN1153,'Data_Price '!$AT$2:$AT$1266,0))</f>
        <v/>
      </c>
      <c r="CY1153">
        <f>INDEX('Data_Price '!AH$2:AH$1266,MATCH(Data!$DN1153,'Data_Price '!$AT$2:$AT$1266,0))</f>
        <v/>
      </c>
      <c r="CZ1153">
        <f>INDEX('Data_Price '!AI$2:AI$1266,MATCH(Data!$DN1153,'Data_Price '!$AT$2:$AT$1266,0))</f>
        <v/>
      </c>
      <c r="DA1153">
        <f>INDEX('Data_Price '!AJ$2:AJ$1266,MATCH(Data!$DN1153,'Data_Price '!$AT$2:$AT$1266,0))</f>
        <v/>
      </c>
      <c r="DB1153">
        <f>INDEX('Data_Price '!AK$2:AK$1266,MATCH(Data!$DN1153,'Data_Price '!$AT$2:$AT$1266,0))</f>
        <v/>
      </c>
      <c r="DC1153">
        <f>INDEX('Data_Price '!AL$2:AL$1266,MATCH(Data!$DN1153,'Data_Price '!$AT$2:$AT$1266,0))</f>
        <v/>
      </c>
      <c r="DD1153">
        <f>INDEX('Data_Price '!AM$2:AM$1266,MATCH(Data!$DN1153,'Data_Price '!$AT$2:$AT$1266,0))</f>
        <v/>
      </c>
      <c r="DE1153">
        <f>INDEX('Data_Price '!AN$2:AN$1266,MATCH(Data!$DN1153,'Data_Price '!$AT$2:$AT$1266,0))</f>
        <v/>
      </c>
      <c r="DF1153">
        <f>INDEX('Data_Price '!AO$2:AO$1266,MATCH(Data!$DN1153,'Data_Price '!$AT$2:$AT$1266,0))</f>
        <v/>
      </c>
      <c r="DG1153">
        <f>INDEX('Data_Price '!AP$2:AP$1266,MATCH(Data!$DN1153,'Data_Price '!$AT$2:$AT$1266,0))</f>
        <v/>
      </c>
      <c r="DH1153">
        <f>INDEX('Data_Price '!AQ$2:AQ$1266,MATCH(Data!$DN1153,'Data_Price '!$AT$2:$AT$1266,0))</f>
        <v/>
      </c>
      <c r="DI1153">
        <f>INDEX('Data_Price '!AR$2:AR$1266,MATCH(Data!$DN1153,'Data_Price '!$AT$2:$AT$1266,0))</f>
        <v/>
      </c>
      <c r="DJ1153" s="138">
        <f>DA1153</f>
        <v/>
      </c>
      <c r="DK1153" s="138">
        <f>DE1153</f>
        <v/>
      </c>
      <c r="DL1153" s="138">
        <f>DI1153</f>
        <v/>
      </c>
      <c r="DM1153" s="303">
        <f>IF(LEFT(BT1153,1)=" ",RIGHT(BT1153,LEN(BT1153)-1),BT1153)</f>
        <v/>
      </c>
      <c r="DN1153" s="138">
        <f>_xlfn.CONCAT(BS1153,DM1153,BU1153,BV1153)</f>
        <v/>
      </c>
      <c r="DO1153" s="307" t="n"/>
    </row>
    <row r="1154" ht="15.6" customHeight="1" s="184">
      <c r="B1154" s="303">
        <f t="array" ref="B1154">IF(OR(ISERROR(K1154:P1154)),FALSE,TRUE)</f>
        <v/>
      </c>
      <c r="C1154" s="60">
        <f>OR(BR1154=Driver!$G$50,Data!BR991=Driver!$H$50)</f>
        <v/>
      </c>
      <c r="D1154" s="60">
        <f>OR(BV1154=Driver!$G$51,BV1154=Driver!$H$51)</f>
        <v/>
      </c>
      <c r="E1154" s="60">
        <f>AND(BX1154&gt;Driver!$F$54,BX1154&lt;Driver!$G$54)</f>
        <v/>
      </c>
      <c r="F1154" s="60">
        <f>CL1154&gt;Driver!$F$56</f>
        <v/>
      </c>
      <c r="G1154" s="60">
        <f>AND(CB1154&gt;Driver!$F$55,CB1154&lt;Driver!$G$55)</f>
        <v/>
      </c>
      <c r="H1154" s="60">
        <f>AND(B1154:G1154)</f>
        <v/>
      </c>
      <c r="I1154" s="60">
        <f>COUNTIFS($H$9:$H$1273,TRUE,$BT$9:$BT$1273,BT1154)</f>
        <v/>
      </c>
      <c r="J1154" s="60">
        <f t="array" ref="J1154">NOT(OR(($H$9:$H$1273=TRUE)*($I$9:$I$1273&gt;0)*($BT$9:$BT$1273=BT1154)*($K$9:$K$1273&gt;K1154)))</f>
        <v/>
      </c>
      <c r="K1154" s="108">
        <f>IFERROR(1-AVERAGE(X1154:Y1154),"")</f>
        <v/>
      </c>
      <c r="L1154" s="108">
        <f>1-X1154</f>
        <v/>
      </c>
      <c r="M1154" s="108">
        <f>1-Y1154</f>
        <v/>
      </c>
      <c r="N1154" s="108">
        <f>1-Z1154</f>
        <v/>
      </c>
      <c r="O1154" s="108">
        <f>1-AA1154</f>
        <v/>
      </c>
      <c r="P1154" s="108">
        <f>1-AB1154</f>
        <v/>
      </c>
      <c r="Q1154" s="108" t="n"/>
      <c r="R1154" s="108" t="n"/>
      <c r="S1154" s="108">
        <f>1-AE1154</f>
        <v/>
      </c>
      <c r="T1154" s="108">
        <f>1-AF1154</f>
        <v/>
      </c>
      <c r="U1154" s="108">
        <f>1-AG1154</f>
        <v/>
      </c>
      <c r="V1154" s="108">
        <f>1-AH1154</f>
        <v/>
      </c>
      <c r="W1154" s="108">
        <f>1-AI1154</f>
        <v/>
      </c>
      <c r="X1154" s="108">
        <f>ABS(AJ1154-AJ$1)</f>
        <v/>
      </c>
      <c r="Y1154" s="108">
        <f>AVERAGE(Z1154:AB1154)</f>
        <v/>
      </c>
      <c r="Z1154" s="108">
        <f>ABS(AL1154-AL$1)</f>
        <v/>
      </c>
      <c r="AA1154" s="108">
        <f>ABS(AM1154-AM$1)</f>
        <v/>
      </c>
      <c r="AB1154" s="108">
        <f>ABS(AN1154-AN$1)</f>
        <v/>
      </c>
      <c r="AC1154" s="108" t="n"/>
      <c r="AD1154" s="108" t="n"/>
      <c r="AE1154" s="108">
        <f>ABS(AQ$1-AQ1154)</f>
        <v/>
      </c>
      <c r="AF1154" s="108">
        <f>ABS(AR$1-AR1154)</f>
        <v/>
      </c>
      <c r="AG1154" s="108">
        <f>ABS(AS$1-AS1154)</f>
        <v/>
      </c>
      <c r="AH1154" s="108">
        <f>ABS(AT$1-AT1154)</f>
        <v/>
      </c>
      <c r="AI1154" s="108">
        <f>ABS(AU$1-AU1154)</f>
        <v/>
      </c>
      <c r="AJ1154" s="108">
        <f>(AV1154-Driver!$K$179)/(Driver!$L$179-Driver!$K$179)</f>
        <v/>
      </c>
      <c r="AK1154" s="108">
        <f>(AW1154-Driver!$K$180)/(Driver!$L$180-Driver!$K$180)</f>
        <v/>
      </c>
      <c r="AL1154" s="108">
        <f>(AX1154-Driver!$K$181)/(Driver!$L$181-Driver!$K$181)</f>
        <v/>
      </c>
      <c r="AM1154" s="108">
        <f>(AY1154-Driver!$K$182)/(Driver!$L$182-Driver!$K$182)</f>
        <v/>
      </c>
      <c r="AN1154" s="108">
        <f>(AZ1154-Driver!$K$183)/(Driver!$L$183-Driver!$K$183)</f>
        <v/>
      </c>
      <c r="AO1154" s="108" t="n"/>
      <c r="AP1154" s="108" t="n"/>
      <c r="AQ1154" s="108">
        <f>(BC1154-Driver!$K$188)/(Driver!$L$188-Driver!$K$188)</f>
        <v/>
      </c>
      <c r="AR1154" s="108">
        <f>MIN((BD1154-Driver!$K$189)/(Driver!$L$189-Driver!$K$189),100%)</f>
        <v/>
      </c>
      <c r="AS1154" s="108">
        <f>(BE1154-Driver!$K$190)/(Driver!$L$190-Driver!$K$190)</f>
        <v/>
      </c>
      <c r="AT1154" s="108">
        <f>(BF1154-Driver!$K$191)/(Driver!$L$191-Driver!$K$191)</f>
        <v/>
      </c>
      <c r="AU1154" s="108">
        <f>(BG1154-Driver!$K$192)/(Driver!$L$192-Driver!$K$192)</f>
        <v/>
      </c>
      <c r="AV1154" s="105">
        <f>IFERROR(BM1154*BJ1154^1/4,"")</f>
        <v/>
      </c>
      <c r="AW1154" s="105">
        <f>IFERROR(SUM(AX1154:AZ1154),"")</f>
        <v/>
      </c>
      <c r="AX1154" s="105">
        <f>IFERROR(BH1154,"")</f>
        <v/>
      </c>
      <c r="AY1154" s="105">
        <f>IFERROR(Driver!$K$19/Data!BH1154/Data!BI1154*Data!BK1154*Data!BL1154,"")</f>
        <v/>
      </c>
      <c r="AZ1154" s="105">
        <f>IFERROR(BI1154*BN1154,"")</f>
        <v/>
      </c>
      <c r="BA1154" s="105" t="n"/>
      <c r="BB1154" s="105" t="n"/>
      <c r="BC1154" s="105">
        <f>IFERROR(BI1154*BN1154*BK1154/BJ1154^(1/2),"")</f>
        <v/>
      </c>
      <c r="BD1154" s="105">
        <f>IFERROR(BH1154*BM1154*BL1154/BJ1154/BK1154,"")</f>
        <v/>
      </c>
      <c r="BE1154" s="105">
        <f>IFERROR(MIN(BI1154/BQ1154/BP1154/BO1154/BH1154,$BE$1),"")</f>
        <v/>
      </c>
      <c r="BF1154" s="105">
        <f>IFERROR(BJ1154*BO1154*BP1154/BK1154,"")</f>
        <v/>
      </c>
      <c r="BG1154" s="105">
        <f>IFERROR(1/BM1154/BH1154*BQ1154,"")</f>
        <v/>
      </c>
      <c r="BH1154" s="102">
        <f>MAX((CE1154-Driver!$F$200)/(Driver!$G$200-Driver!$F$200)*$BI$1,1)</f>
        <v/>
      </c>
      <c r="BI1154" s="102">
        <f>MAX($BI$1*(BY1154-Driver!$F$201)/(Driver!$G$201-Driver!$F$201),1)</f>
        <v/>
      </c>
      <c r="BJ1154" s="102">
        <f>(CB1154-Driver!$F$206)/(Driver!$G$206-Driver!$F$206)*$BI$1</f>
        <v/>
      </c>
      <c r="BK1154" s="102">
        <f>(CD1154-Driver!$F$203)/(Driver!$G$203-Driver!$F$203)*$BI$1</f>
        <v/>
      </c>
      <c r="BL1154" s="102">
        <f>MAX((CR1154-Driver!$F$202)/(Driver!$G$202-Driver!$F$202)*$BI$1,1)</f>
        <v/>
      </c>
      <c r="BM1154" s="102">
        <f>MAX((CH1154-Driver!$F$204)/(Driver!$G$204-Driver!$F$204)*$BI$1,1)</f>
        <v/>
      </c>
      <c r="BN1154" s="102">
        <f>(CI1154-Driver!$F$205)/(Driver!$G$205-Driver!$F$205)*$BI$1</f>
        <v/>
      </c>
      <c r="BO1154" s="102">
        <f>(CK1154-Driver!$F$207)/(Driver!$G$207-Driver!$F$207)*$BI$1</f>
        <v/>
      </c>
      <c r="BP1154" s="102">
        <f>(CM1154-Driver!$F$208)/(Driver!$G$208-Driver!$F$208)*$BI$1</f>
        <v/>
      </c>
      <c r="BQ1154" s="102">
        <f>(CL1154-Driver!$F$209)/(Driver!$G$209-Driver!$F$209)*$BI$1</f>
        <v/>
      </c>
      <c r="BR1154" s="40" t="inlineStr">
        <is>
          <t>21/22</t>
        </is>
      </c>
      <c r="BS1154" s="10" t="inlineStr">
        <is>
          <t xml:space="preserve"> Rossignol</t>
        </is>
      </c>
      <c r="BT1154" s="11" t="inlineStr">
        <is>
          <t xml:space="preserve"> Blackops Smasher</t>
        </is>
      </c>
      <c r="BU1154" s="13" t="n">
        <v>140</v>
      </c>
      <c r="BV1154" s="11" t="inlineStr">
        <is>
          <t xml:space="preserve"> Unisex</t>
        </is>
      </c>
      <c r="BW1154" s="13" t="n">
        <v>140</v>
      </c>
      <c r="BX1154" s="13" t="n">
        <v>138.6</v>
      </c>
      <c r="BY1154" s="13" t="n">
        <v>91</v>
      </c>
      <c r="BZ1154" s="13" t="n">
        <v>116</v>
      </c>
      <c r="CA1154" s="13" t="n">
        <v>117</v>
      </c>
      <c r="CB1154" s="13" t="n">
        <v>89</v>
      </c>
      <c r="CC1154" s="13" t="n">
        <v>107</v>
      </c>
      <c r="CD1154" s="13" t="n">
        <v>13.4</v>
      </c>
      <c r="CE1154" s="13" t="n">
        <v>1345</v>
      </c>
      <c r="CF1154" s="13" t="n">
        <v>1.01</v>
      </c>
      <c r="CG1154" s="13" t="n">
        <v>1352</v>
      </c>
      <c r="CH1154" s="13" t="n">
        <v>146</v>
      </c>
      <c r="CI1154" s="13" t="n">
        <v>55</v>
      </c>
      <c r="CJ1154" s="13" t="n">
        <v>49</v>
      </c>
      <c r="CK1154" s="13" t="n">
        <v>258</v>
      </c>
      <c r="CL1154" s="13" t="n">
        <v>32</v>
      </c>
      <c r="CM1154" s="13" t="n">
        <v>220</v>
      </c>
      <c r="CN1154" s="13" t="n">
        <v>0.647</v>
      </c>
      <c r="CO1154" s="13" t="n">
        <v>119</v>
      </c>
      <c r="CP1154" s="13" t="n">
        <v>111</v>
      </c>
      <c r="CQ1154" s="13" t="n">
        <v>139</v>
      </c>
      <c r="CR1154" s="13" t="n">
        <v>6</v>
      </c>
      <c r="CS1154" s="13" t="n">
        <v>4.6</v>
      </c>
      <c r="CT1154" s="11" t="inlineStr">
        <is>
          <t xml:space="preserve"> Resort Freeride</t>
        </is>
      </c>
      <c r="CU1154" s="13" t="n"/>
      <c r="CV1154" s="13" t="n"/>
      <c r="CW1154" s="13" t="n"/>
      <c r="CX1154">
        <f>INDEX('Data_Price '!AG$2:AG$1266,MATCH(Data!$DN1154,'Data_Price '!$AT$2:$AT$1266,0))</f>
        <v/>
      </c>
      <c r="CY1154">
        <f>INDEX('Data_Price '!AH$2:AH$1266,MATCH(Data!$DN1154,'Data_Price '!$AT$2:$AT$1266,0))</f>
        <v/>
      </c>
      <c r="CZ1154">
        <f>INDEX('Data_Price '!AI$2:AI$1266,MATCH(Data!$DN1154,'Data_Price '!$AT$2:$AT$1266,0))</f>
        <v/>
      </c>
      <c r="DA1154">
        <f>INDEX('Data_Price '!AJ$2:AJ$1266,MATCH(Data!$DN1154,'Data_Price '!$AT$2:$AT$1266,0))</f>
        <v/>
      </c>
      <c r="DB1154">
        <f>INDEX('Data_Price '!AK$2:AK$1266,MATCH(Data!$DN1154,'Data_Price '!$AT$2:$AT$1266,0))</f>
        <v/>
      </c>
      <c r="DC1154">
        <f>INDEX('Data_Price '!AL$2:AL$1266,MATCH(Data!$DN1154,'Data_Price '!$AT$2:$AT$1266,0))</f>
        <v/>
      </c>
      <c r="DD1154">
        <f>INDEX('Data_Price '!AM$2:AM$1266,MATCH(Data!$DN1154,'Data_Price '!$AT$2:$AT$1266,0))</f>
        <v/>
      </c>
      <c r="DE1154">
        <f>INDEX('Data_Price '!AN$2:AN$1266,MATCH(Data!$DN1154,'Data_Price '!$AT$2:$AT$1266,0))</f>
        <v/>
      </c>
      <c r="DF1154">
        <f>INDEX('Data_Price '!AO$2:AO$1266,MATCH(Data!$DN1154,'Data_Price '!$AT$2:$AT$1266,0))</f>
        <v/>
      </c>
      <c r="DG1154">
        <f>INDEX('Data_Price '!AP$2:AP$1266,MATCH(Data!$DN1154,'Data_Price '!$AT$2:$AT$1266,0))</f>
        <v/>
      </c>
      <c r="DH1154">
        <f>INDEX('Data_Price '!AQ$2:AQ$1266,MATCH(Data!$DN1154,'Data_Price '!$AT$2:$AT$1266,0))</f>
        <v/>
      </c>
      <c r="DI1154">
        <f>INDEX('Data_Price '!AR$2:AR$1266,MATCH(Data!$DN1154,'Data_Price '!$AT$2:$AT$1266,0))</f>
        <v/>
      </c>
      <c r="DJ1154" s="138">
        <f>DA1154</f>
        <v/>
      </c>
      <c r="DK1154" s="138">
        <f>DE1154</f>
        <v/>
      </c>
      <c r="DL1154" s="138">
        <f>DI1154</f>
        <v/>
      </c>
      <c r="DM1154" s="303">
        <f>IF(LEFT(BT1154,1)=" ",RIGHT(BT1154,LEN(BT1154)-1),BT1154)</f>
        <v/>
      </c>
      <c r="DN1154" s="138">
        <f>_xlfn.CONCAT(BS1154,DM1154,BU1154,BV1154)</f>
        <v/>
      </c>
      <c r="DO1154" s="307" t="n"/>
    </row>
    <row r="1155" ht="15.6" customHeight="1" s="184">
      <c r="B1155" s="303">
        <f t="array" ref="B1155">IF(OR(ISERROR(K1155:P1155)),FALSE,TRUE)</f>
        <v/>
      </c>
      <c r="C1155" s="60">
        <f>OR(BR1155=Driver!$G$50,Data!BR661=Driver!$H$50)</f>
        <v/>
      </c>
      <c r="D1155" s="60">
        <f>OR(BV1155=Driver!$G$51,BV1155=Driver!$H$51)</f>
        <v/>
      </c>
      <c r="E1155" s="60">
        <f>AND(BX1155&gt;Driver!$F$54,BX1155&lt;Driver!$G$54)</f>
        <v/>
      </c>
      <c r="F1155" s="60">
        <f>CL1155&gt;Driver!$F$56</f>
        <v/>
      </c>
      <c r="G1155" s="60">
        <f>AND(CB1155&gt;Driver!$F$55,CB1155&lt;Driver!$G$55)</f>
        <v/>
      </c>
      <c r="H1155" s="60">
        <f>AND(B1155:G1155)</f>
        <v/>
      </c>
      <c r="I1155" s="60">
        <f>COUNTIFS($H$9:$H$1273,TRUE,$BT$9:$BT$1273,BT1155)</f>
        <v/>
      </c>
      <c r="J1155" s="60">
        <f t="array" ref="J1155">NOT(OR(($H$9:$H$1273=TRUE)*($I$9:$I$1273&gt;0)*($BT$9:$BT$1273=BT1155)*($K$9:$K$1273&gt;K1155)))</f>
        <v/>
      </c>
      <c r="K1155" s="108">
        <f>IFERROR(1-AVERAGE(X1155:Y1155),"")</f>
        <v/>
      </c>
      <c r="L1155" s="108">
        <f>1-X1155</f>
        <v/>
      </c>
      <c r="M1155" s="108">
        <f>1-Y1155</f>
        <v/>
      </c>
      <c r="N1155" s="108">
        <f>1-Z1155</f>
        <v/>
      </c>
      <c r="O1155" s="108">
        <f>1-AA1155</f>
        <v/>
      </c>
      <c r="P1155" s="108">
        <f>1-AB1155</f>
        <v/>
      </c>
      <c r="Q1155" s="108" t="n"/>
      <c r="R1155" s="108" t="n"/>
      <c r="S1155" s="108">
        <f>1-AE1155</f>
        <v/>
      </c>
      <c r="T1155" s="108">
        <f>1-AF1155</f>
        <v/>
      </c>
      <c r="U1155" s="108">
        <f>1-AG1155</f>
        <v/>
      </c>
      <c r="V1155" s="108">
        <f>1-AH1155</f>
        <v/>
      </c>
      <c r="W1155" s="108">
        <f>1-AI1155</f>
        <v/>
      </c>
      <c r="X1155" s="108">
        <f>ABS(AJ1155-AJ$1)</f>
        <v/>
      </c>
      <c r="Y1155" s="108">
        <f>AVERAGE(Z1155:AB1155)</f>
        <v/>
      </c>
      <c r="Z1155" s="108">
        <f>ABS(AL1155-AL$1)</f>
        <v/>
      </c>
      <c r="AA1155" s="108">
        <f>ABS(AM1155-AM$1)</f>
        <v/>
      </c>
      <c r="AB1155" s="108">
        <f>ABS(AN1155-AN$1)</f>
        <v/>
      </c>
      <c r="AC1155" s="108" t="n"/>
      <c r="AD1155" s="108" t="n"/>
      <c r="AE1155" s="108">
        <f>ABS(AQ$1-AQ1155)</f>
        <v/>
      </c>
      <c r="AF1155" s="108">
        <f>ABS(AR$1-AR1155)</f>
        <v/>
      </c>
      <c r="AG1155" s="108">
        <f>ABS(AS$1-AS1155)</f>
        <v/>
      </c>
      <c r="AH1155" s="108">
        <f>ABS(AT$1-AT1155)</f>
        <v/>
      </c>
      <c r="AI1155" s="108">
        <f>ABS(AU$1-AU1155)</f>
        <v/>
      </c>
      <c r="AJ1155" s="108">
        <f>(AV1155-Driver!$K$179)/(Driver!$L$179-Driver!$K$179)</f>
        <v/>
      </c>
      <c r="AK1155" s="108">
        <f>(AW1155-Driver!$K$180)/(Driver!$L$180-Driver!$K$180)</f>
        <v/>
      </c>
      <c r="AL1155" s="108">
        <f>(AX1155-Driver!$K$181)/(Driver!$L$181-Driver!$K$181)</f>
        <v/>
      </c>
      <c r="AM1155" s="108">
        <f>(AY1155-Driver!$K$182)/(Driver!$L$182-Driver!$K$182)</f>
        <v/>
      </c>
      <c r="AN1155" s="108">
        <f>(AZ1155-Driver!$K$183)/(Driver!$L$183-Driver!$K$183)</f>
        <v/>
      </c>
      <c r="AO1155" s="108" t="n"/>
      <c r="AP1155" s="108" t="n"/>
      <c r="AQ1155" s="108">
        <f>(BC1155-Driver!$K$188)/(Driver!$L$188-Driver!$K$188)</f>
        <v/>
      </c>
      <c r="AR1155" s="108">
        <f>MIN((BD1155-Driver!$K$189)/(Driver!$L$189-Driver!$K$189),100%)</f>
        <v/>
      </c>
      <c r="AS1155" s="108">
        <f>(BE1155-Driver!$K$190)/(Driver!$L$190-Driver!$K$190)</f>
        <v/>
      </c>
      <c r="AT1155" s="108">
        <f>(BF1155-Driver!$K$191)/(Driver!$L$191-Driver!$K$191)</f>
        <v/>
      </c>
      <c r="AU1155" s="108">
        <f>(BG1155-Driver!$K$192)/(Driver!$L$192-Driver!$K$192)</f>
        <v/>
      </c>
      <c r="AV1155" s="105">
        <f>IFERROR(BM1155*BJ1155^1/4,"")</f>
        <v/>
      </c>
      <c r="AW1155" s="105">
        <f>IFERROR(SUM(AX1155:AZ1155),"")</f>
        <v/>
      </c>
      <c r="AX1155" s="105">
        <f>IFERROR(BH1155,"")</f>
        <v/>
      </c>
      <c r="AY1155" s="105">
        <f>IFERROR(Driver!$K$19/Data!BH1155/Data!BI1155*Data!BK1155*Data!BL1155,"")</f>
        <v/>
      </c>
      <c r="AZ1155" s="105">
        <f>IFERROR(BI1155*BN1155,"")</f>
        <v/>
      </c>
      <c r="BA1155" s="105" t="n"/>
      <c r="BB1155" s="105" t="n"/>
      <c r="BC1155" s="105">
        <f>IFERROR(BI1155*BN1155*BK1155/BJ1155^(1/2),"")</f>
        <v/>
      </c>
      <c r="BD1155" s="105">
        <f>IFERROR(BH1155*BM1155*BL1155/BJ1155/BK1155,"")</f>
        <v/>
      </c>
      <c r="BE1155" s="105">
        <f>IFERROR(MIN(BI1155/BQ1155/BP1155/BO1155/BH1155,$BE$1),"")</f>
        <v/>
      </c>
      <c r="BF1155" s="105">
        <f>IFERROR(BJ1155*BO1155*BP1155/BK1155,"")</f>
        <v/>
      </c>
      <c r="BG1155" s="105">
        <f>IFERROR(1/BM1155/BH1155*BQ1155,"")</f>
        <v/>
      </c>
      <c r="BH1155" s="102">
        <f>MAX((CE1155-Driver!$F$200)/(Driver!$G$200-Driver!$F$200)*$BI$1,1)</f>
        <v/>
      </c>
      <c r="BI1155" s="102">
        <f>MAX($BI$1*(BY1155-Driver!$F$201)/(Driver!$G$201-Driver!$F$201),1)</f>
        <v/>
      </c>
      <c r="BJ1155" s="102">
        <f>(CB1155-Driver!$F$206)/(Driver!$G$206-Driver!$F$206)*$BI$1</f>
        <v/>
      </c>
      <c r="BK1155" s="102">
        <f>(CD1155-Driver!$F$203)/(Driver!$G$203-Driver!$F$203)*$BI$1</f>
        <v/>
      </c>
      <c r="BL1155" s="102">
        <f>MAX((CR1155-Driver!$F$202)/(Driver!$G$202-Driver!$F$202)*$BI$1,1)</f>
        <v/>
      </c>
      <c r="BM1155" s="102">
        <f>MAX((CH1155-Driver!$F$204)/(Driver!$G$204-Driver!$F$204)*$BI$1,1)</f>
        <v/>
      </c>
      <c r="BN1155" s="102">
        <f>(CI1155-Driver!$F$205)/(Driver!$G$205-Driver!$F$205)*$BI$1</f>
        <v/>
      </c>
      <c r="BO1155" s="102">
        <f>(CK1155-Driver!$F$207)/(Driver!$G$207-Driver!$F$207)*$BI$1</f>
        <v/>
      </c>
      <c r="BP1155" s="102">
        <f>(CM1155-Driver!$F$208)/(Driver!$G$208-Driver!$F$208)*$BI$1</f>
        <v/>
      </c>
      <c r="BQ1155" s="102">
        <f>(CL1155-Driver!$F$209)/(Driver!$G$209-Driver!$F$209)*$BI$1</f>
        <v/>
      </c>
      <c r="BR1155" s="40" t="inlineStr">
        <is>
          <t>21/22</t>
        </is>
      </c>
      <c r="BS1155" s="10" t="inlineStr">
        <is>
          <t xml:space="preserve"> Head</t>
        </is>
      </c>
      <c r="BT1155" s="11" t="inlineStr">
        <is>
          <t>V-Shape V8</t>
        </is>
      </c>
      <c r="BU1155" s="13" t="n">
        <v>156</v>
      </c>
      <c r="BV1155" s="11" t="inlineStr">
        <is>
          <t xml:space="preserve"> Unisex</t>
        </is>
      </c>
      <c r="BW1155" s="13" t="n">
        <v>156</v>
      </c>
      <c r="BX1155" s="13" t="n">
        <v>155.6</v>
      </c>
      <c r="BY1155" s="13" t="n">
        <v>132</v>
      </c>
      <c r="BZ1155" s="13" t="n">
        <v>142</v>
      </c>
      <c r="CA1155" s="13" t="n">
        <v>128</v>
      </c>
      <c r="CB1155" s="13" t="n">
        <v>74</v>
      </c>
      <c r="CC1155" s="13" t="n">
        <v>110</v>
      </c>
      <c r="CD1155" s="13" t="n">
        <v>11.1</v>
      </c>
      <c r="CE1155" s="13" t="n">
        <v>1527</v>
      </c>
      <c r="CF1155" s="13" t="n">
        <v>0.93</v>
      </c>
      <c r="CG1155" s="13" t="n">
        <v>1414</v>
      </c>
      <c r="CH1155" s="13" t="n">
        <v>156</v>
      </c>
      <c r="CI1155" s="13" t="n">
        <v>39</v>
      </c>
      <c r="CJ1155" s="13" t="n">
        <v>41</v>
      </c>
      <c r="CK1155" s="13" t="n">
        <v>164</v>
      </c>
      <c r="CL1155" s="13" t="n">
        <v>10</v>
      </c>
      <c r="CM1155" s="13" t="n">
        <v>68</v>
      </c>
      <c r="CN1155" s="13" t="n">
        <v>0.234</v>
      </c>
      <c r="CO1155" s="13" t="n">
        <v>85</v>
      </c>
      <c r="CP1155" s="13" t="n">
        <v>55</v>
      </c>
      <c r="CQ1155" s="13" t="n">
        <v>79</v>
      </c>
      <c r="CR1155" s="13" t="n">
        <v>6</v>
      </c>
      <c r="CS1155" s="13" t="n">
        <v>11.6</v>
      </c>
      <c r="CT1155" s="11" t="inlineStr">
        <is>
          <t xml:space="preserve"> On-Piste Carving</t>
        </is>
      </c>
      <c r="CU1155" s="13" t="n"/>
      <c r="CV1155" s="13" t="n"/>
      <c r="CW1155" s="13" t="n"/>
      <c r="CX1155">
        <f>INDEX('Data_Price '!AG$2:AG$1266,MATCH(Data!$DN1155,'Data_Price '!$AT$2:$AT$1266,0))</f>
        <v/>
      </c>
      <c r="CY1155">
        <f>INDEX('Data_Price '!AH$2:AH$1266,MATCH(Data!$DN1155,'Data_Price '!$AT$2:$AT$1266,0))</f>
        <v/>
      </c>
      <c r="CZ1155">
        <f>INDEX('Data_Price '!AI$2:AI$1266,MATCH(Data!$DN1155,'Data_Price '!$AT$2:$AT$1266,0))</f>
        <v/>
      </c>
      <c r="DA1155">
        <f>INDEX('Data_Price '!AJ$2:AJ$1266,MATCH(Data!$DN1155,'Data_Price '!$AT$2:$AT$1266,0))</f>
        <v/>
      </c>
      <c r="DB1155">
        <f>INDEX('Data_Price '!AK$2:AK$1266,MATCH(Data!$DN1155,'Data_Price '!$AT$2:$AT$1266,0))</f>
        <v/>
      </c>
      <c r="DC1155">
        <f>INDEX('Data_Price '!AL$2:AL$1266,MATCH(Data!$DN1155,'Data_Price '!$AT$2:$AT$1266,0))</f>
        <v/>
      </c>
      <c r="DD1155">
        <f>INDEX('Data_Price '!AM$2:AM$1266,MATCH(Data!$DN1155,'Data_Price '!$AT$2:$AT$1266,0))</f>
        <v/>
      </c>
      <c r="DE1155">
        <f>INDEX('Data_Price '!AN$2:AN$1266,MATCH(Data!$DN1155,'Data_Price '!$AT$2:$AT$1266,0))</f>
        <v/>
      </c>
      <c r="DF1155">
        <f>INDEX('Data_Price '!AO$2:AO$1266,MATCH(Data!$DN1155,'Data_Price '!$AT$2:$AT$1266,0))</f>
        <v/>
      </c>
      <c r="DG1155">
        <f>INDEX('Data_Price '!AP$2:AP$1266,MATCH(Data!$DN1155,'Data_Price '!$AT$2:$AT$1266,0))</f>
        <v/>
      </c>
      <c r="DH1155">
        <f>INDEX('Data_Price '!AQ$2:AQ$1266,MATCH(Data!$DN1155,'Data_Price '!$AT$2:$AT$1266,0))</f>
        <v/>
      </c>
      <c r="DI1155">
        <f>INDEX('Data_Price '!AR$2:AR$1266,MATCH(Data!$DN1155,'Data_Price '!$AT$2:$AT$1266,0))</f>
        <v/>
      </c>
      <c r="DJ1155" s="138">
        <f>DA1155</f>
        <v/>
      </c>
      <c r="DK1155" s="138">
        <f>DE1155</f>
        <v/>
      </c>
      <c r="DL1155" s="138">
        <f>DI1155</f>
        <v/>
      </c>
      <c r="DM1155" s="303">
        <f>IF(LEFT(BT1155,1)=" ",RIGHT(BT1155,LEN(BT1155)-1),BT1155)</f>
        <v/>
      </c>
      <c r="DN1155" s="138">
        <f>_xlfn.CONCAT(BS1155,DM1155,BU1155,BV1155)</f>
        <v/>
      </c>
      <c r="DO1155" s="307" t="n"/>
    </row>
    <row r="1156" ht="15.6" customHeight="1" s="184">
      <c r="B1156" s="303">
        <f t="array" ref="B1156">IF(OR(ISERROR(K1156:P1156)),FALSE,TRUE)</f>
        <v/>
      </c>
      <c r="C1156" s="60">
        <f>OR(BR1156=Driver!$G$50,Data!BR17=Driver!$H$50)</f>
        <v/>
      </c>
      <c r="D1156" s="60">
        <f>OR(BV1156=Driver!$G$51,BV1156=Driver!$H$51)</f>
        <v/>
      </c>
      <c r="E1156" s="60">
        <f>AND(BX1156&gt;Driver!$F$54,BX1156&lt;Driver!$G$54)</f>
        <v/>
      </c>
      <c r="F1156" s="60">
        <f>CL1156&gt;Driver!$F$56</f>
        <v/>
      </c>
      <c r="G1156" s="60">
        <f>AND(CB1156&gt;Driver!$F$55,CB1156&lt;Driver!$G$55)</f>
        <v/>
      </c>
      <c r="H1156" s="60">
        <f>AND(B1156:G1156)</f>
        <v/>
      </c>
      <c r="I1156" s="60">
        <f>COUNTIFS($H$9:$H$1273,TRUE,$BT$9:$BT$1273,BT1156)</f>
        <v/>
      </c>
      <c r="J1156" s="60">
        <f t="array" ref="J1156">NOT(OR(($H$9:$H$1273=TRUE)*($I$9:$I$1273&gt;0)*($BT$9:$BT$1273=BT1156)*($K$9:$K$1273&gt;K1156)))</f>
        <v/>
      </c>
      <c r="K1156" s="108">
        <f>IFERROR(1-AVERAGE(X1156:Y1156),"")</f>
        <v/>
      </c>
      <c r="L1156" s="108">
        <f>1-X1156</f>
        <v/>
      </c>
      <c r="M1156" s="108">
        <f>1-Y1156</f>
        <v/>
      </c>
      <c r="N1156" s="108">
        <f>1-Z1156</f>
        <v/>
      </c>
      <c r="O1156" s="108">
        <f>1-AA1156</f>
        <v/>
      </c>
      <c r="P1156" s="108">
        <f>1-AB1156</f>
        <v/>
      </c>
      <c r="Q1156" s="108" t="n"/>
      <c r="R1156" s="108" t="n"/>
      <c r="S1156" s="108">
        <f>1-AE1156</f>
        <v/>
      </c>
      <c r="T1156" s="108">
        <f>1-AF1156</f>
        <v/>
      </c>
      <c r="U1156" s="108">
        <f>1-AG1156</f>
        <v/>
      </c>
      <c r="V1156" s="108">
        <f>1-AH1156</f>
        <v/>
      </c>
      <c r="W1156" s="108">
        <f>1-AI1156</f>
        <v/>
      </c>
      <c r="X1156" s="108">
        <f>ABS(AJ1156-AJ$1)</f>
        <v/>
      </c>
      <c r="Y1156" s="108">
        <f>AVERAGE(Z1156:AB1156)</f>
        <v/>
      </c>
      <c r="Z1156" s="108">
        <f>ABS(AL1156-AL$1)</f>
        <v/>
      </c>
      <c r="AA1156" s="108">
        <f>ABS(AM1156-AM$1)</f>
        <v/>
      </c>
      <c r="AB1156" s="108">
        <f>ABS(AN1156-AN$1)</f>
        <v/>
      </c>
      <c r="AC1156" s="108" t="n"/>
      <c r="AD1156" s="108" t="n"/>
      <c r="AE1156" s="108">
        <f>ABS(AQ$1-AQ1156)</f>
        <v/>
      </c>
      <c r="AF1156" s="108">
        <f>ABS(AR$1-AR1156)</f>
        <v/>
      </c>
      <c r="AG1156" s="108">
        <f>ABS(AS$1-AS1156)</f>
        <v/>
      </c>
      <c r="AH1156" s="108">
        <f>ABS(AT$1-AT1156)</f>
        <v/>
      </c>
      <c r="AI1156" s="108">
        <f>ABS(AU$1-AU1156)</f>
        <v/>
      </c>
      <c r="AJ1156" s="108">
        <f>(AV1156-Driver!$K$179)/(Driver!$L$179-Driver!$K$179)</f>
        <v/>
      </c>
      <c r="AK1156" s="108">
        <f>(AW1156-Driver!$K$180)/(Driver!$L$180-Driver!$K$180)</f>
        <v/>
      </c>
      <c r="AL1156" s="108">
        <f>(AX1156-Driver!$K$181)/(Driver!$L$181-Driver!$K$181)</f>
        <v/>
      </c>
      <c r="AM1156" s="108">
        <f>(AY1156-Driver!$K$182)/(Driver!$L$182-Driver!$K$182)</f>
        <v/>
      </c>
      <c r="AN1156" s="108">
        <f>(AZ1156-Driver!$K$183)/(Driver!$L$183-Driver!$K$183)</f>
        <v/>
      </c>
      <c r="AO1156" s="108" t="n"/>
      <c r="AP1156" s="108" t="n"/>
      <c r="AQ1156" s="108">
        <f>(BC1156-Driver!$K$188)/(Driver!$L$188-Driver!$K$188)</f>
        <v/>
      </c>
      <c r="AR1156" s="108">
        <f>MIN((BD1156-Driver!$K$189)/(Driver!$L$189-Driver!$K$189),100%)</f>
        <v/>
      </c>
      <c r="AS1156" s="108">
        <f>(BE1156-Driver!$K$190)/(Driver!$L$190-Driver!$K$190)</f>
        <v/>
      </c>
      <c r="AT1156" s="108">
        <f>(BF1156-Driver!$K$191)/(Driver!$L$191-Driver!$K$191)</f>
        <v/>
      </c>
      <c r="AU1156" s="108">
        <f>(BG1156-Driver!$K$192)/(Driver!$L$192-Driver!$K$192)</f>
        <v/>
      </c>
      <c r="AV1156" s="105">
        <f>IFERROR(BM1156*BJ1156^1/4,"")</f>
        <v/>
      </c>
      <c r="AW1156" s="105">
        <f>IFERROR(SUM(AX1156:AZ1156),"")</f>
        <v/>
      </c>
      <c r="AX1156" s="105">
        <f>IFERROR(BH1156,"")</f>
        <v/>
      </c>
      <c r="AY1156" s="105">
        <f>IFERROR(Driver!$K$19/Data!BH1156/Data!BI1156*Data!BK1156*Data!BL1156,"")</f>
        <v/>
      </c>
      <c r="AZ1156" s="105">
        <f>IFERROR(BI1156*BN1156,"")</f>
        <v/>
      </c>
      <c r="BA1156" s="105" t="n"/>
      <c r="BB1156" s="105" t="n"/>
      <c r="BC1156" s="105">
        <f>IFERROR(BI1156*BN1156*BK1156/BJ1156^(1/2),"")</f>
        <v/>
      </c>
      <c r="BD1156" s="105">
        <f>IFERROR(BH1156*BM1156*BL1156/BJ1156/BK1156,"")</f>
        <v/>
      </c>
      <c r="BE1156" s="105">
        <f>IFERROR(MIN(BI1156/BQ1156/BP1156/BO1156/BH1156,$BE$1),"")</f>
        <v/>
      </c>
      <c r="BF1156" s="105">
        <f>IFERROR(BJ1156*BO1156*BP1156/BK1156,"")</f>
        <v/>
      </c>
      <c r="BG1156" s="105">
        <f>IFERROR(1/BM1156/BH1156*BQ1156,"")</f>
        <v/>
      </c>
      <c r="BH1156" s="102">
        <f>MAX((CE1156-Driver!$F$200)/(Driver!$G$200-Driver!$F$200)*$BI$1,1)</f>
        <v/>
      </c>
      <c r="BI1156" s="102">
        <f>MAX($BI$1*(BY1156-Driver!$F$201)/(Driver!$G$201-Driver!$F$201),1)</f>
        <v/>
      </c>
      <c r="BJ1156" s="102">
        <f>(CB1156-Driver!$F$206)/(Driver!$G$206-Driver!$F$206)*$BI$1</f>
        <v/>
      </c>
      <c r="BK1156" s="102">
        <f>(CD1156-Driver!$F$203)/(Driver!$G$203-Driver!$F$203)*$BI$1</f>
        <v/>
      </c>
      <c r="BL1156" s="102">
        <f>MAX((CR1156-Driver!$F$202)/(Driver!$G$202-Driver!$F$202)*$BI$1,1)</f>
        <v/>
      </c>
      <c r="BM1156" s="102">
        <f>MAX((CH1156-Driver!$F$204)/(Driver!$G$204-Driver!$F$204)*$BI$1,1)</f>
        <v/>
      </c>
      <c r="BN1156" s="102">
        <f>(CI1156-Driver!$F$205)/(Driver!$G$205-Driver!$F$205)*$BI$1</f>
        <v/>
      </c>
      <c r="BO1156" s="102">
        <f>(CK1156-Driver!$F$207)/(Driver!$G$207-Driver!$F$207)*$BI$1</f>
        <v/>
      </c>
      <c r="BP1156" s="102">
        <f>(CM1156-Driver!$F$208)/(Driver!$G$208-Driver!$F$208)*$BI$1</f>
        <v/>
      </c>
      <c r="BQ1156" s="102">
        <f>(CL1156-Driver!$F$209)/(Driver!$G$209-Driver!$F$209)*$BI$1</f>
        <v/>
      </c>
      <c r="BR1156" s="40" t="inlineStr">
        <is>
          <t>21/22</t>
        </is>
      </c>
      <c r="BS1156" s="10" t="inlineStr">
        <is>
          <t xml:space="preserve"> 4FRNT</t>
        </is>
      </c>
      <c r="BT1156" s="11" t="inlineStr">
        <is>
          <t xml:space="preserve"> Hoji CC</t>
        </is>
      </c>
      <c r="BU1156" s="13" t="n">
        <v>177</v>
      </c>
      <c r="BV1156" s="11" t="inlineStr">
        <is>
          <t xml:space="preserve"> Women's</t>
        </is>
      </c>
      <c r="BW1156" s="13" t="n">
        <v>177</v>
      </c>
      <c r="BX1156" s="13" t="n">
        <v>175.5</v>
      </c>
      <c r="BY1156" s="13" t="n">
        <v>0</v>
      </c>
      <c r="BZ1156" s="13" t="n">
        <v>126</v>
      </c>
      <c r="CA1156" s="13" t="n">
        <v>126</v>
      </c>
      <c r="CB1156" s="13" t="n">
        <v>111</v>
      </c>
      <c r="CC1156" s="13" t="n">
        <v>118</v>
      </c>
      <c r="CD1156" s="13" t="n">
        <v>30.4</v>
      </c>
      <c r="CE1156" s="13" t="n">
        <v>1822</v>
      </c>
      <c r="CF1156" s="13" t="n">
        <v>1.11</v>
      </c>
      <c r="CG1156" s="13" t="n">
        <v>2023</v>
      </c>
      <c r="CH1156" s="13" t="n">
        <v>278</v>
      </c>
      <c r="CI1156" s="13" t="n">
        <v>123</v>
      </c>
      <c r="CJ1156" s="13" t="n">
        <v>75</v>
      </c>
      <c r="CK1156" s="13" t="n">
        <v>945</v>
      </c>
      <c r="CL1156" s="13" t="n">
        <v>31</v>
      </c>
      <c r="CM1156" s="13" t="n">
        <v>810</v>
      </c>
      <c r="CN1156" s="13" t="n">
        <v>0.41</v>
      </c>
      <c r="CO1156" s="13" t="n">
        <v>200</v>
      </c>
      <c r="CP1156" s="13" t="n">
        <v>299</v>
      </c>
      <c r="CQ1156" s="13" t="n">
        <v>745</v>
      </c>
      <c r="CR1156" s="13" t="n">
        <v>-11</v>
      </c>
      <c r="CS1156" s="13" t="n">
        <v>6.8</v>
      </c>
      <c r="CT1156" s="11" t="inlineStr">
        <is>
          <t xml:space="preserve"> Powder</t>
        </is>
      </c>
      <c r="CU1156" s="11" t="inlineStr">
        <is>
          <t xml:space="preserve"> Touring</t>
        </is>
      </c>
      <c r="CV1156" s="13" t="n"/>
      <c r="CW1156" s="13" t="n"/>
      <c r="CX1156">
        <f>INDEX('Data_Price '!AG$2:AG$1266,MATCH(Data!$DN1156,'Data_Price '!$AT$2:$AT$1266,0))</f>
        <v/>
      </c>
      <c r="CY1156">
        <f>INDEX('Data_Price '!AH$2:AH$1266,MATCH(Data!$DN1156,'Data_Price '!$AT$2:$AT$1266,0))</f>
        <v/>
      </c>
      <c r="CZ1156">
        <f>INDEX('Data_Price '!AI$2:AI$1266,MATCH(Data!$DN1156,'Data_Price '!$AT$2:$AT$1266,0))</f>
        <v/>
      </c>
      <c r="DA1156">
        <f>INDEX('Data_Price '!AJ$2:AJ$1266,MATCH(Data!$DN1156,'Data_Price '!$AT$2:$AT$1266,0))</f>
        <v/>
      </c>
      <c r="DB1156">
        <f>INDEX('Data_Price '!AK$2:AK$1266,MATCH(Data!$DN1156,'Data_Price '!$AT$2:$AT$1266,0))</f>
        <v/>
      </c>
      <c r="DC1156">
        <f>INDEX('Data_Price '!AL$2:AL$1266,MATCH(Data!$DN1156,'Data_Price '!$AT$2:$AT$1266,0))</f>
        <v/>
      </c>
      <c r="DD1156">
        <f>INDEX('Data_Price '!AM$2:AM$1266,MATCH(Data!$DN1156,'Data_Price '!$AT$2:$AT$1266,0))</f>
        <v/>
      </c>
      <c r="DE1156">
        <f>INDEX('Data_Price '!AN$2:AN$1266,MATCH(Data!$DN1156,'Data_Price '!$AT$2:$AT$1266,0))</f>
        <v/>
      </c>
      <c r="DF1156">
        <f>INDEX('Data_Price '!AO$2:AO$1266,MATCH(Data!$DN1156,'Data_Price '!$AT$2:$AT$1266,0))</f>
        <v/>
      </c>
      <c r="DG1156">
        <f>INDEX('Data_Price '!AP$2:AP$1266,MATCH(Data!$DN1156,'Data_Price '!$AT$2:$AT$1266,0))</f>
        <v/>
      </c>
      <c r="DH1156">
        <f>INDEX('Data_Price '!AQ$2:AQ$1266,MATCH(Data!$DN1156,'Data_Price '!$AT$2:$AT$1266,0))</f>
        <v/>
      </c>
      <c r="DI1156">
        <f>INDEX('Data_Price '!AR$2:AR$1266,MATCH(Data!$DN1156,'Data_Price '!$AT$2:$AT$1266,0))</f>
        <v/>
      </c>
      <c r="DJ1156" s="138">
        <f>DA1156</f>
        <v/>
      </c>
      <c r="DK1156" s="138">
        <f>DE1156</f>
        <v/>
      </c>
      <c r="DL1156" s="138">
        <f>DI1156</f>
        <v/>
      </c>
      <c r="DM1156" s="303">
        <f>IF(LEFT(BT1156,1)=" ",RIGHT(BT1156,LEN(BT1156)-1),BT1156)</f>
        <v/>
      </c>
      <c r="DN1156" s="138">
        <f>_xlfn.CONCAT(BS1156,DM1156,BU1156,BV1156)</f>
        <v/>
      </c>
      <c r="DO1156" s="307" t="n"/>
    </row>
    <row r="1157" ht="15.6" customHeight="1" s="184">
      <c r="B1157" s="303">
        <f t="array" ref="B1157">IF(OR(ISERROR(K1157:P1157)),FALSE,TRUE)</f>
        <v/>
      </c>
      <c r="C1157" s="60">
        <f>OR(BR1157=Driver!$G$50,Data!BR522=Driver!$H$50)</f>
        <v/>
      </c>
      <c r="D1157" s="60">
        <f>OR(BV1157=Driver!$G$51,BV1157=Driver!$H$51)</f>
        <v/>
      </c>
      <c r="E1157" s="60">
        <f>AND(BX1157&gt;Driver!$F$54,BX1157&lt;Driver!$G$54)</f>
        <v/>
      </c>
      <c r="F1157" s="60">
        <f>CL1157&gt;Driver!$F$56</f>
        <v/>
      </c>
      <c r="G1157" s="60">
        <f>AND(CB1157&gt;Driver!$F$55,CB1157&lt;Driver!$G$55)</f>
        <v/>
      </c>
      <c r="H1157" s="60">
        <f>AND(B1157:G1157)</f>
        <v/>
      </c>
      <c r="I1157" s="60">
        <f>COUNTIFS($H$9:$H$1273,TRUE,$BT$9:$BT$1273,BT1157)</f>
        <v/>
      </c>
      <c r="J1157" s="60">
        <f t="array" ref="J1157">NOT(OR(($H$9:$H$1273=TRUE)*($I$9:$I$1273&gt;0)*($BT$9:$BT$1273=BT1157)*($K$9:$K$1273&gt;K1157)))</f>
        <v/>
      </c>
      <c r="K1157" s="108">
        <f>IFERROR(1-AVERAGE(X1157:Y1157),"")</f>
        <v/>
      </c>
      <c r="L1157" s="108">
        <f>1-X1157</f>
        <v/>
      </c>
      <c r="M1157" s="108">
        <f>1-Y1157</f>
        <v/>
      </c>
      <c r="N1157" s="108">
        <f>1-Z1157</f>
        <v/>
      </c>
      <c r="O1157" s="108">
        <f>1-AA1157</f>
        <v/>
      </c>
      <c r="P1157" s="108">
        <f>1-AB1157</f>
        <v/>
      </c>
      <c r="Q1157" s="108" t="n"/>
      <c r="R1157" s="108" t="n"/>
      <c r="S1157" s="108">
        <f>1-AE1157</f>
        <v/>
      </c>
      <c r="T1157" s="108">
        <f>1-AF1157</f>
        <v/>
      </c>
      <c r="U1157" s="108">
        <f>1-AG1157</f>
        <v/>
      </c>
      <c r="V1157" s="108">
        <f>1-AH1157</f>
        <v/>
      </c>
      <c r="W1157" s="108">
        <f>1-AI1157</f>
        <v/>
      </c>
      <c r="X1157" s="108">
        <f>ABS(AJ1157-AJ$1)</f>
        <v/>
      </c>
      <c r="Y1157" s="108">
        <f>AVERAGE(Z1157:AB1157)</f>
        <v/>
      </c>
      <c r="Z1157" s="108">
        <f>ABS(AL1157-AL$1)</f>
        <v/>
      </c>
      <c r="AA1157" s="108">
        <f>ABS(AM1157-AM$1)</f>
        <v/>
      </c>
      <c r="AB1157" s="108">
        <f>ABS(AN1157-AN$1)</f>
        <v/>
      </c>
      <c r="AC1157" s="108" t="n"/>
      <c r="AD1157" s="108" t="n"/>
      <c r="AE1157" s="108">
        <f>ABS(AQ$1-AQ1157)</f>
        <v/>
      </c>
      <c r="AF1157" s="108">
        <f>ABS(AR$1-AR1157)</f>
        <v/>
      </c>
      <c r="AG1157" s="108">
        <f>ABS(AS$1-AS1157)</f>
        <v/>
      </c>
      <c r="AH1157" s="108">
        <f>ABS(AT$1-AT1157)</f>
        <v/>
      </c>
      <c r="AI1157" s="108">
        <f>ABS(AU$1-AU1157)</f>
        <v/>
      </c>
      <c r="AJ1157" s="108">
        <f>(AV1157-Driver!$K$179)/(Driver!$L$179-Driver!$K$179)</f>
        <v/>
      </c>
      <c r="AK1157" s="108">
        <f>(AW1157-Driver!$K$180)/(Driver!$L$180-Driver!$K$180)</f>
        <v/>
      </c>
      <c r="AL1157" s="108">
        <f>(AX1157-Driver!$K$181)/(Driver!$L$181-Driver!$K$181)</f>
        <v/>
      </c>
      <c r="AM1157" s="108">
        <f>(AY1157-Driver!$K$182)/(Driver!$L$182-Driver!$K$182)</f>
        <v/>
      </c>
      <c r="AN1157" s="108">
        <f>(AZ1157-Driver!$K$183)/(Driver!$L$183-Driver!$K$183)</f>
        <v/>
      </c>
      <c r="AO1157" s="108" t="n"/>
      <c r="AP1157" s="108" t="n"/>
      <c r="AQ1157" s="108">
        <f>(BC1157-Driver!$K$188)/(Driver!$L$188-Driver!$K$188)</f>
        <v/>
      </c>
      <c r="AR1157" s="108">
        <f>MIN((BD1157-Driver!$K$189)/(Driver!$L$189-Driver!$K$189),100%)</f>
        <v/>
      </c>
      <c r="AS1157" s="108">
        <f>(BE1157-Driver!$K$190)/(Driver!$L$190-Driver!$K$190)</f>
        <v/>
      </c>
      <c r="AT1157" s="108">
        <f>(BF1157-Driver!$K$191)/(Driver!$L$191-Driver!$K$191)</f>
        <v/>
      </c>
      <c r="AU1157" s="108">
        <f>(BG1157-Driver!$K$192)/(Driver!$L$192-Driver!$K$192)</f>
        <v/>
      </c>
      <c r="AV1157" s="105">
        <f>IFERROR(BM1157*BJ1157^1/4,"")</f>
        <v/>
      </c>
      <c r="AW1157" s="105">
        <f>IFERROR(SUM(AX1157:AZ1157),"")</f>
        <v/>
      </c>
      <c r="AX1157" s="105">
        <f>IFERROR(BH1157,"")</f>
        <v/>
      </c>
      <c r="AY1157" s="105">
        <f>IFERROR(Driver!$K$19/Data!BH1157/Data!BI1157*Data!BK1157*Data!BL1157,"")</f>
        <v/>
      </c>
      <c r="AZ1157" s="105">
        <f>IFERROR(BI1157*BN1157,"")</f>
        <v/>
      </c>
      <c r="BA1157" s="105" t="n"/>
      <c r="BB1157" s="105" t="n"/>
      <c r="BC1157" s="105">
        <f>IFERROR(BI1157*BN1157*BK1157/BJ1157^(1/2),"")</f>
        <v/>
      </c>
      <c r="BD1157" s="105">
        <f>IFERROR(BH1157*BM1157*BL1157/BJ1157/BK1157,"")</f>
        <v/>
      </c>
      <c r="BE1157" s="105">
        <f>IFERROR(MIN(BI1157/BQ1157/BP1157/BO1157/BH1157,$BE$1),"")</f>
        <v/>
      </c>
      <c r="BF1157" s="105">
        <f>IFERROR(BJ1157*BO1157*BP1157/BK1157,"")</f>
        <v/>
      </c>
      <c r="BG1157" s="105">
        <f>IFERROR(1/BM1157/BH1157*BQ1157,"")</f>
        <v/>
      </c>
      <c r="BH1157" s="102">
        <f>MAX((CE1157-Driver!$F$200)/(Driver!$G$200-Driver!$F$200)*$BI$1,1)</f>
        <v/>
      </c>
      <c r="BI1157" s="102">
        <f>MAX($BI$1*(BY1157-Driver!$F$201)/(Driver!$G$201-Driver!$F$201),1)</f>
        <v/>
      </c>
      <c r="BJ1157" s="102">
        <f>(CB1157-Driver!$F$206)/(Driver!$G$206-Driver!$F$206)*$BI$1</f>
        <v/>
      </c>
      <c r="BK1157" s="102">
        <f>(CD1157-Driver!$F$203)/(Driver!$G$203-Driver!$F$203)*$BI$1</f>
        <v/>
      </c>
      <c r="BL1157" s="102">
        <f>MAX((CR1157-Driver!$F$202)/(Driver!$G$202-Driver!$F$202)*$BI$1,1)</f>
        <v/>
      </c>
      <c r="BM1157" s="102">
        <f>MAX((CH1157-Driver!$F$204)/(Driver!$G$204-Driver!$F$204)*$BI$1,1)</f>
        <v/>
      </c>
      <c r="BN1157" s="102">
        <f>(CI1157-Driver!$F$205)/(Driver!$G$205-Driver!$F$205)*$BI$1</f>
        <v/>
      </c>
      <c r="BO1157" s="102">
        <f>(CK1157-Driver!$F$207)/(Driver!$G$207-Driver!$F$207)*$BI$1</f>
        <v/>
      </c>
      <c r="BP1157" s="102">
        <f>(CM1157-Driver!$F$208)/(Driver!$G$208-Driver!$F$208)*$BI$1</f>
        <v/>
      </c>
      <c r="BQ1157" s="102">
        <f>(CL1157-Driver!$F$209)/(Driver!$G$209-Driver!$F$209)*$BI$1</f>
        <v/>
      </c>
      <c r="BR1157" s="40" t="inlineStr">
        <is>
          <t>21/22</t>
        </is>
      </c>
      <c r="BS1157" s="10" t="inlineStr">
        <is>
          <t xml:space="preserve"> Faction</t>
        </is>
      </c>
      <c r="BT1157" s="11" t="inlineStr">
        <is>
          <t xml:space="preserve"> La Machine</t>
        </is>
      </c>
      <c r="BU1157" s="13" t="n">
        <v>178</v>
      </c>
      <c r="BV1157" s="11" t="inlineStr">
        <is>
          <t xml:space="preserve"> Unisex</t>
        </is>
      </c>
      <c r="BW1157" s="13" t="n">
        <v>178</v>
      </c>
      <c r="BX1157" s="13" t="n">
        <v>176.6</v>
      </c>
      <c r="BY1157" s="13" t="n">
        <v>8</v>
      </c>
      <c r="BZ1157" s="13" t="n">
        <v>139</v>
      </c>
      <c r="CA1157" s="13" t="n">
        <v>147</v>
      </c>
      <c r="CB1157" s="13" t="n">
        <v>125</v>
      </c>
      <c r="CC1157" s="13" t="n">
        <v>138</v>
      </c>
      <c r="CD1157" s="13" t="n">
        <v>24.8</v>
      </c>
      <c r="CE1157" s="13" t="n">
        <v>1739</v>
      </c>
      <c r="CF1157" s="13" t="n">
        <v>1.34</v>
      </c>
      <c r="CG1157" s="13" t="n">
        <v>2328</v>
      </c>
      <c r="CH1157" s="13" t="n">
        <v>213</v>
      </c>
      <c r="CI1157" s="13" t="n">
        <v>88</v>
      </c>
      <c r="CJ1157" s="13" t="n">
        <v>68</v>
      </c>
      <c r="CK1157" s="13" t="n">
        <v>1012</v>
      </c>
      <c r="CL1157" s="13" t="n">
        <v>30</v>
      </c>
      <c r="CM1157" s="13" t="n">
        <v>676</v>
      </c>
      <c r="CN1157" s="13" t="n">
        <v>0.445</v>
      </c>
      <c r="CO1157" s="13" t="n">
        <v>224</v>
      </c>
      <c r="CP1157" s="13" t="n">
        <v>151</v>
      </c>
      <c r="CQ1157" s="13" t="n">
        <v>788</v>
      </c>
      <c r="CR1157" s="13" t="n">
        <v>1</v>
      </c>
      <c r="CS1157" s="13" t="n">
        <v>12.9</v>
      </c>
      <c r="CT1157" s="11" t="inlineStr">
        <is>
          <t xml:space="preserve"> Powder</t>
        </is>
      </c>
      <c r="CU1157" s="11" t="inlineStr">
        <is>
          <t xml:space="preserve"> Touring</t>
        </is>
      </c>
      <c r="CV1157" s="11" t="inlineStr">
        <is>
          <t xml:space="preserve"> Ultralight Touring</t>
        </is>
      </c>
      <c r="CW1157" s="13" t="n"/>
      <c r="CX1157">
        <f>INDEX('Data_Price '!AG$2:AG$1266,MATCH(Data!$DN1157,'Data_Price '!$AT$2:$AT$1266,0))</f>
        <v/>
      </c>
      <c r="CY1157">
        <f>INDEX('Data_Price '!AH$2:AH$1266,MATCH(Data!$DN1157,'Data_Price '!$AT$2:$AT$1266,0))</f>
        <v/>
      </c>
      <c r="CZ1157">
        <f>INDEX('Data_Price '!AI$2:AI$1266,MATCH(Data!$DN1157,'Data_Price '!$AT$2:$AT$1266,0))</f>
        <v/>
      </c>
      <c r="DA1157">
        <f>INDEX('Data_Price '!AJ$2:AJ$1266,MATCH(Data!$DN1157,'Data_Price '!$AT$2:$AT$1266,0))</f>
        <v/>
      </c>
      <c r="DB1157">
        <f>INDEX('Data_Price '!AK$2:AK$1266,MATCH(Data!$DN1157,'Data_Price '!$AT$2:$AT$1266,0))</f>
        <v/>
      </c>
      <c r="DC1157">
        <f>INDEX('Data_Price '!AL$2:AL$1266,MATCH(Data!$DN1157,'Data_Price '!$AT$2:$AT$1266,0))</f>
        <v/>
      </c>
      <c r="DD1157">
        <f>INDEX('Data_Price '!AM$2:AM$1266,MATCH(Data!$DN1157,'Data_Price '!$AT$2:$AT$1266,0))</f>
        <v/>
      </c>
      <c r="DE1157">
        <f>INDEX('Data_Price '!AN$2:AN$1266,MATCH(Data!$DN1157,'Data_Price '!$AT$2:$AT$1266,0))</f>
        <v/>
      </c>
      <c r="DF1157">
        <f>INDEX('Data_Price '!AO$2:AO$1266,MATCH(Data!$DN1157,'Data_Price '!$AT$2:$AT$1266,0))</f>
        <v/>
      </c>
      <c r="DG1157">
        <f>INDEX('Data_Price '!AP$2:AP$1266,MATCH(Data!$DN1157,'Data_Price '!$AT$2:$AT$1266,0))</f>
        <v/>
      </c>
      <c r="DH1157">
        <f>INDEX('Data_Price '!AQ$2:AQ$1266,MATCH(Data!$DN1157,'Data_Price '!$AT$2:$AT$1266,0))</f>
        <v/>
      </c>
      <c r="DI1157">
        <f>INDEX('Data_Price '!AR$2:AR$1266,MATCH(Data!$DN1157,'Data_Price '!$AT$2:$AT$1266,0))</f>
        <v/>
      </c>
      <c r="DJ1157" s="138">
        <f>DA1157</f>
        <v/>
      </c>
      <c r="DK1157" s="138">
        <f>DE1157</f>
        <v/>
      </c>
      <c r="DL1157" s="138">
        <f>DI1157</f>
        <v/>
      </c>
      <c r="DM1157" s="303">
        <f>IF(LEFT(BT1157,1)=" ",RIGHT(BT1157,LEN(BT1157)-1),BT1157)</f>
        <v/>
      </c>
      <c r="DN1157" s="138">
        <f>_xlfn.CONCAT(BS1157,DM1157,BU1157,BV1157)</f>
        <v/>
      </c>
      <c r="DO1157" s="307" t="n"/>
    </row>
    <row r="1158" ht="15.6" customHeight="1" s="184">
      <c r="B1158" s="303">
        <f t="array" ref="B1158">IF(OR(ISERROR(K1158:P1158)),FALSE,TRUE)</f>
        <v/>
      </c>
      <c r="C1158" s="60">
        <f>OR(BR1158=Driver!$G$50,Data!BR129=Driver!$H$50)</f>
        <v/>
      </c>
      <c r="D1158" s="60">
        <f>OR(BV1158=Driver!$G$51,BV1158=Driver!$H$51)</f>
        <v/>
      </c>
      <c r="E1158" s="60">
        <f>AND(BX1158&gt;Driver!$F$54,BX1158&lt;Driver!$G$54)</f>
        <v/>
      </c>
      <c r="F1158" s="60">
        <f>CL1158&gt;Driver!$F$56</f>
        <v/>
      </c>
      <c r="G1158" s="60">
        <f>AND(CB1158&gt;Driver!$F$55,CB1158&lt;Driver!$G$55)</f>
        <v/>
      </c>
      <c r="H1158" s="60">
        <f>AND(B1158:G1158)</f>
        <v/>
      </c>
      <c r="I1158" s="60">
        <f>COUNTIFS($H$9:$H$1273,TRUE,$BT$9:$BT$1273,BT1158)</f>
        <v/>
      </c>
      <c r="J1158" s="60">
        <f t="array" ref="J1158">NOT(OR(($H$9:$H$1273=TRUE)*($I$9:$I$1273&gt;0)*($BT$9:$BT$1273=BT1158)*($K$9:$K$1273&gt;K1158)))</f>
        <v/>
      </c>
      <c r="K1158" s="108">
        <f>IFERROR(1-AVERAGE(X1158:Y1158),"")</f>
        <v/>
      </c>
      <c r="L1158" s="108">
        <f>1-X1158</f>
        <v/>
      </c>
      <c r="M1158" s="108">
        <f>1-Y1158</f>
        <v/>
      </c>
      <c r="N1158" s="108">
        <f>1-Z1158</f>
        <v/>
      </c>
      <c r="O1158" s="108">
        <f>1-AA1158</f>
        <v/>
      </c>
      <c r="P1158" s="108">
        <f>1-AB1158</f>
        <v/>
      </c>
      <c r="Q1158" s="108" t="n"/>
      <c r="R1158" s="108" t="n"/>
      <c r="S1158" s="108">
        <f>1-AE1158</f>
        <v/>
      </c>
      <c r="T1158" s="108">
        <f>1-AF1158</f>
        <v/>
      </c>
      <c r="U1158" s="108">
        <f>1-AG1158</f>
        <v/>
      </c>
      <c r="V1158" s="108">
        <f>1-AH1158</f>
        <v/>
      </c>
      <c r="W1158" s="108">
        <f>1-AI1158</f>
        <v/>
      </c>
      <c r="X1158" s="108">
        <f>ABS(AJ1158-AJ$1)</f>
        <v/>
      </c>
      <c r="Y1158" s="108">
        <f>AVERAGE(Z1158:AB1158)</f>
        <v/>
      </c>
      <c r="Z1158" s="108">
        <f>ABS(AL1158-AL$1)</f>
        <v/>
      </c>
      <c r="AA1158" s="108">
        <f>ABS(AM1158-AM$1)</f>
        <v/>
      </c>
      <c r="AB1158" s="108">
        <f>ABS(AN1158-AN$1)</f>
        <v/>
      </c>
      <c r="AC1158" s="108" t="n"/>
      <c r="AD1158" s="108" t="n"/>
      <c r="AE1158" s="108">
        <f>ABS(AQ$1-AQ1158)</f>
        <v/>
      </c>
      <c r="AF1158" s="108">
        <f>ABS(AR$1-AR1158)</f>
        <v/>
      </c>
      <c r="AG1158" s="108">
        <f>ABS(AS$1-AS1158)</f>
        <v/>
      </c>
      <c r="AH1158" s="108">
        <f>ABS(AT$1-AT1158)</f>
        <v/>
      </c>
      <c r="AI1158" s="108">
        <f>ABS(AU$1-AU1158)</f>
        <v/>
      </c>
      <c r="AJ1158" s="108">
        <f>(AV1158-Driver!$K$179)/(Driver!$L$179-Driver!$K$179)</f>
        <v/>
      </c>
      <c r="AK1158" s="108">
        <f>(AW1158-Driver!$K$180)/(Driver!$L$180-Driver!$K$180)</f>
        <v/>
      </c>
      <c r="AL1158" s="108">
        <f>(AX1158-Driver!$K$181)/(Driver!$L$181-Driver!$K$181)</f>
        <v/>
      </c>
      <c r="AM1158" s="108">
        <f>(AY1158-Driver!$K$182)/(Driver!$L$182-Driver!$K$182)</f>
        <v/>
      </c>
      <c r="AN1158" s="108">
        <f>(AZ1158-Driver!$K$183)/(Driver!$L$183-Driver!$K$183)</f>
        <v/>
      </c>
      <c r="AO1158" s="108" t="n"/>
      <c r="AP1158" s="108" t="n"/>
      <c r="AQ1158" s="108">
        <f>(BC1158-Driver!$K$188)/(Driver!$L$188-Driver!$K$188)</f>
        <v/>
      </c>
      <c r="AR1158" s="108">
        <f>MIN((BD1158-Driver!$K$189)/(Driver!$L$189-Driver!$K$189),100%)</f>
        <v/>
      </c>
      <c r="AS1158" s="108">
        <f>(BE1158-Driver!$K$190)/(Driver!$L$190-Driver!$K$190)</f>
        <v/>
      </c>
      <c r="AT1158" s="108">
        <f>(BF1158-Driver!$K$191)/(Driver!$L$191-Driver!$K$191)</f>
        <v/>
      </c>
      <c r="AU1158" s="108">
        <f>(BG1158-Driver!$K$192)/(Driver!$L$192-Driver!$K$192)</f>
        <v/>
      </c>
      <c r="AV1158" s="105">
        <f>IFERROR(BM1158*BJ1158^1/4,"")</f>
        <v/>
      </c>
      <c r="AW1158" s="105">
        <f>IFERROR(SUM(AX1158:AZ1158),"")</f>
        <v/>
      </c>
      <c r="AX1158" s="105">
        <f>IFERROR(BH1158,"")</f>
        <v/>
      </c>
      <c r="AY1158" s="105">
        <f>IFERROR(Driver!$K$19/Data!BH1158/Data!BI1158*Data!BK1158*Data!BL1158,"")</f>
        <v/>
      </c>
      <c r="AZ1158" s="105">
        <f>IFERROR(BI1158*BN1158,"")</f>
        <v/>
      </c>
      <c r="BA1158" s="105" t="n"/>
      <c r="BB1158" s="105" t="n"/>
      <c r="BC1158" s="105">
        <f>IFERROR(BI1158*BN1158*BK1158/BJ1158^(1/2),"")</f>
        <v/>
      </c>
      <c r="BD1158" s="105">
        <f>IFERROR(BH1158*BM1158*BL1158/BJ1158/BK1158,"")</f>
        <v/>
      </c>
      <c r="BE1158" s="105">
        <f>IFERROR(MIN(BI1158/BQ1158/BP1158/BO1158/BH1158,$BE$1),"")</f>
        <v/>
      </c>
      <c r="BF1158" s="105">
        <f>IFERROR(BJ1158*BO1158*BP1158/BK1158,"")</f>
        <v/>
      </c>
      <c r="BG1158" s="105">
        <f>IFERROR(1/BM1158/BH1158*BQ1158,"")</f>
        <v/>
      </c>
      <c r="BH1158" s="102">
        <f>MAX((CE1158-Driver!$F$200)/(Driver!$G$200-Driver!$F$200)*$BI$1,1)</f>
        <v/>
      </c>
      <c r="BI1158" s="102">
        <f>MAX($BI$1*(BY1158-Driver!$F$201)/(Driver!$G$201-Driver!$F$201),1)</f>
        <v/>
      </c>
      <c r="BJ1158" s="102">
        <f>(CB1158-Driver!$F$206)/(Driver!$G$206-Driver!$F$206)*$BI$1</f>
        <v/>
      </c>
      <c r="BK1158" s="102">
        <f>(CD1158-Driver!$F$203)/(Driver!$G$203-Driver!$F$203)*$BI$1</f>
        <v/>
      </c>
      <c r="BL1158" s="102">
        <f>MAX((CR1158-Driver!$F$202)/(Driver!$G$202-Driver!$F$202)*$BI$1,1)</f>
        <v/>
      </c>
      <c r="BM1158" s="102">
        <f>MAX((CH1158-Driver!$F$204)/(Driver!$G$204-Driver!$F$204)*$BI$1,1)</f>
        <v/>
      </c>
      <c r="BN1158" s="102">
        <f>(CI1158-Driver!$F$205)/(Driver!$G$205-Driver!$F$205)*$BI$1</f>
        <v/>
      </c>
      <c r="BO1158" s="102">
        <f>(CK1158-Driver!$F$207)/(Driver!$G$207-Driver!$F$207)*$BI$1</f>
        <v/>
      </c>
      <c r="BP1158" s="102">
        <f>(CM1158-Driver!$F$208)/(Driver!$G$208-Driver!$F$208)*$BI$1</f>
        <v/>
      </c>
      <c r="BQ1158" s="102">
        <f>(CL1158-Driver!$F$209)/(Driver!$G$209-Driver!$F$209)*$BI$1</f>
        <v/>
      </c>
      <c r="BR1158" s="40" t="inlineStr">
        <is>
          <t>21/22</t>
        </is>
      </c>
      <c r="BS1158" s="10" t="inlineStr">
        <is>
          <t xml:space="preserve"> Atomic</t>
        </is>
      </c>
      <c r="BT1158" s="11" t="inlineStr">
        <is>
          <t>Backland 98 W</t>
        </is>
      </c>
      <c r="BU1158" s="13" t="n">
        <v>156</v>
      </c>
      <c r="BV1158" s="11" t="inlineStr">
        <is>
          <t xml:space="preserve"> Unisex</t>
        </is>
      </c>
      <c r="BW1158" s="13" t="n">
        <v>156</v>
      </c>
      <c r="BX1158" s="13" t="n">
        <v>155</v>
      </c>
      <c r="BY1158" s="13" t="n">
        <v>104</v>
      </c>
      <c r="BZ1158" s="13" t="n">
        <v>121</v>
      </c>
      <c r="CA1158" s="13" t="n">
        <v>125</v>
      </c>
      <c r="CB1158" s="13" t="n">
        <v>96</v>
      </c>
      <c r="CC1158" s="13" t="n">
        <v>115</v>
      </c>
      <c r="CD1158" s="13" t="n">
        <v>12.9</v>
      </c>
      <c r="CE1158" s="13" t="n">
        <v>1110</v>
      </c>
      <c r="CF1158" s="13" t="n">
        <v>1.46</v>
      </c>
      <c r="CG1158" s="13" t="n">
        <v>1623</v>
      </c>
      <c r="CH1158" s="13" t="n">
        <v>142</v>
      </c>
      <c r="CI1158" s="13" t="n">
        <v>64</v>
      </c>
      <c r="CJ1158" s="13" t="n">
        <v>53</v>
      </c>
      <c r="CK1158" s="13" t="n">
        <v>296</v>
      </c>
      <c r="CL1158" s="13" t="n">
        <v>16</v>
      </c>
      <c r="CM1158" s="13" t="n">
        <v>214</v>
      </c>
      <c r="CN1158" s="13" t="n">
        <v>0.3</v>
      </c>
      <c r="CO1158" s="13" t="n">
        <v>179</v>
      </c>
      <c r="CP1158" s="13" t="n">
        <v>156</v>
      </c>
      <c r="CQ1158" s="13" t="n">
        <v>117</v>
      </c>
      <c r="CR1158" s="13" t="n">
        <v>3</v>
      </c>
      <c r="CS1158" s="13" t="n">
        <v>8.4</v>
      </c>
      <c r="CT1158" s="11" t="inlineStr">
        <is>
          <t xml:space="preserve"> Touring</t>
        </is>
      </c>
      <c r="CU1158" s="11" t="inlineStr">
        <is>
          <t xml:space="preserve"> Ultralight Touring</t>
        </is>
      </c>
      <c r="CV1158" s="13" t="n"/>
      <c r="CW1158" s="13" t="n"/>
      <c r="CX1158">
        <f>INDEX('Data_Price '!AG$2:AG$1266,MATCH(Data!$DN1158,'Data_Price '!$AT$2:$AT$1266,0))</f>
        <v/>
      </c>
      <c r="CY1158">
        <f>INDEX('Data_Price '!AH$2:AH$1266,MATCH(Data!$DN1158,'Data_Price '!$AT$2:$AT$1266,0))</f>
        <v/>
      </c>
      <c r="CZ1158">
        <f>INDEX('Data_Price '!AI$2:AI$1266,MATCH(Data!$DN1158,'Data_Price '!$AT$2:$AT$1266,0))</f>
        <v/>
      </c>
      <c r="DA1158">
        <f>INDEX('Data_Price '!AJ$2:AJ$1266,MATCH(Data!$DN1158,'Data_Price '!$AT$2:$AT$1266,0))</f>
        <v/>
      </c>
      <c r="DB1158">
        <f>INDEX('Data_Price '!AK$2:AK$1266,MATCH(Data!$DN1158,'Data_Price '!$AT$2:$AT$1266,0))</f>
        <v/>
      </c>
      <c r="DC1158">
        <f>INDEX('Data_Price '!AL$2:AL$1266,MATCH(Data!$DN1158,'Data_Price '!$AT$2:$AT$1266,0))</f>
        <v/>
      </c>
      <c r="DD1158">
        <f>INDEX('Data_Price '!AM$2:AM$1266,MATCH(Data!$DN1158,'Data_Price '!$AT$2:$AT$1266,0))</f>
        <v/>
      </c>
      <c r="DE1158">
        <f>INDEX('Data_Price '!AN$2:AN$1266,MATCH(Data!$DN1158,'Data_Price '!$AT$2:$AT$1266,0))</f>
        <v/>
      </c>
      <c r="DF1158">
        <f>INDEX('Data_Price '!AO$2:AO$1266,MATCH(Data!$DN1158,'Data_Price '!$AT$2:$AT$1266,0))</f>
        <v/>
      </c>
      <c r="DG1158">
        <f>INDEX('Data_Price '!AP$2:AP$1266,MATCH(Data!$DN1158,'Data_Price '!$AT$2:$AT$1266,0))</f>
        <v/>
      </c>
      <c r="DH1158">
        <f>INDEX('Data_Price '!AQ$2:AQ$1266,MATCH(Data!$DN1158,'Data_Price '!$AT$2:$AT$1266,0))</f>
        <v/>
      </c>
      <c r="DI1158">
        <f>INDEX('Data_Price '!AR$2:AR$1266,MATCH(Data!$DN1158,'Data_Price '!$AT$2:$AT$1266,0))</f>
        <v/>
      </c>
      <c r="DJ1158" s="138">
        <f>DA1158</f>
        <v/>
      </c>
      <c r="DK1158" s="138">
        <f>DE1158</f>
        <v/>
      </c>
      <c r="DL1158" s="138">
        <f>DI1158</f>
        <v/>
      </c>
      <c r="DM1158" s="303">
        <f>IF(LEFT(BT1158,1)=" ",RIGHT(BT1158,LEN(BT1158)-1),BT1158)</f>
        <v/>
      </c>
      <c r="DN1158" s="138">
        <f>_xlfn.CONCAT(BS1158,DM1158,BU1158,BV1158)</f>
        <v/>
      </c>
      <c r="DO1158" s="307" t="inlineStr">
        <is>
          <t>https://images.evo.com/imgp/250/197768/826858/atomic-backland-98-w-skis-women-s-2022-.jpg</t>
        </is>
      </c>
    </row>
    <row r="1159" ht="15.6" customHeight="1" s="184">
      <c r="B1159" s="303">
        <f t="array" ref="B1159">IF(OR(ISERROR(K1159:P1159)),FALSE,TRUE)</f>
        <v/>
      </c>
      <c r="C1159" s="60">
        <f>OR(BR1159=Driver!$G$50,Data!BR270=Driver!$H$50)</f>
        <v/>
      </c>
      <c r="D1159" s="60">
        <f>OR(BV1159=Driver!$G$51,BV1159=Driver!$H$51)</f>
        <v/>
      </c>
      <c r="E1159" s="60">
        <f>AND(BX1159&gt;Driver!$F$54,BX1159&lt;Driver!$G$54)</f>
        <v/>
      </c>
      <c r="F1159" s="60">
        <f>CL1159&gt;Driver!$F$56</f>
        <v/>
      </c>
      <c r="G1159" s="60">
        <f>AND(CB1159&gt;Driver!$F$55,CB1159&lt;Driver!$G$55)</f>
        <v/>
      </c>
      <c r="H1159" s="60">
        <f>AND(B1159:G1159)</f>
        <v/>
      </c>
      <c r="I1159" s="60">
        <f>COUNTIFS($H$9:$H$1273,TRUE,$BT$9:$BT$1273,BT1159)</f>
        <v/>
      </c>
      <c r="J1159" s="60">
        <f t="array" ref="J1159">NOT(OR(($H$9:$H$1273=TRUE)*($I$9:$I$1273&gt;0)*($BT$9:$BT$1273=BT1159)*($K$9:$K$1273&gt;K1159)))</f>
        <v/>
      </c>
      <c r="K1159" s="108">
        <f>IFERROR(1-AVERAGE(X1159:Y1159),"")</f>
        <v/>
      </c>
      <c r="L1159" s="108">
        <f>1-X1159</f>
        <v/>
      </c>
      <c r="M1159" s="108">
        <f>1-Y1159</f>
        <v/>
      </c>
      <c r="N1159" s="108">
        <f>1-Z1159</f>
        <v/>
      </c>
      <c r="O1159" s="108">
        <f>1-AA1159</f>
        <v/>
      </c>
      <c r="P1159" s="108">
        <f>1-AB1159</f>
        <v/>
      </c>
      <c r="Q1159" s="108" t="n"/>
      <c r="R1159" s="108" t="n"/>
      <c r="S1159" s="108">
        <f>1-AE1159</f>
        <v/>
      </c>
      <c r="T1159" s="108">
        <f>1-AF1159</f>
        <v/>
      </c>
      <c r="U1159" s="108">
        <f>1-AG1159</f>
        <v/>
      </c>
      <c r="V1159" s="108">
        <f>1-AH1159</f>
        <v/>
      </c>
      <c r="W1159" s="108">
        <f>1-AI1159</f>
        <v/>
      </c>
      <c r="X1159" s="108">
        <f>ABS(AJ1159-AJ$1)</f>
        <v/>
      </c>
      <c r="Y1159" s="108">
        <f>AVERAGE(Z1159:AB1159)</f>
        <v/>
      </c>
      <c r="Z1159" s="108">
        <f>ABS(AL1159-AL$1)</f>
        <v/>
      </c>
      <c r="AA1159" s="108">
        <f>ABS(AM1159-AM$1)</f>
        <v/>
      </c>
      <c r="AB1159" s="108">
        <f>ABS(AN1159-AN$1)</f>
        <v/>
      </c>
      <c r="AC1159" s="108" t="n"/>
      <c r="AD1159" s="108" t="n"/>
      <c r="AE1159" s="108">
        <f>ABS(AQ$1-AQ1159)</f>
        <v/>
      </c>
      <c r="AF1159" s="108">
        <f>ABS(AR$1-AR1159)</f>
        <v/>
      </c>
      <c r="AG1159" s="108">
        <f>ABS(AS$1-AS1159)</f>
        <v/>
      </c>
      <c r="AH1159" s="108">
        <f>ABS(AT$1-AT1159)</f>
        <v/>
      </c>
      <c r="AI1159" s="108">
        <f>ABS(AU$1-AU1159)</f>
        <v/>
      </c>
      <c r="AJ1159" s="108">
        <f>(AV1159-Driver!$K$179)/(Driver!$L$179-Driver!$K$179)</f>
        <v/>
      </c>
      <c r="AK1159" s="108">
        <f>(AW1159-Driver!$K$180)/(Driver!$L$180-Driver!$K$180)</f>
        <v/>
      </c>
      <c r="AL1159" s="108">
        <f>(AX1159-Driver!$K$181)/(Driver!$L$181-Driver!$K$181)</f>
        <v/>
      </c>
      <c r="AM1159" s="108">
        <f>(AY1159-Driver!$K$182)/(Driver!$L$182-Driver!$K$182)</f>
        <v/>
      </c>
      <c r="AN1159" s="108">
        <f>(AZ1159-Driver!$K$183)/(Driver!$L$183-Driver!$K$183)</f>
        <v/>
      </c>
      <c r="AO1159" s="108" t="n"/>
      <c r="AP1159" s="108" t="n"/>
      <c r="AQ1159" s="108">
        <f>(BC1159-Driver!$K$188)/(Driver!$L$188-Driver!$K$188)</f>
        <v/>
      </c>
      <c r="AR1159" s="108">
        <f>MIN((BD1159-Driver!$K$189)/(Driver!$L$189-Driver!$K$189),100%)</f>
        <v/>
      </c>
      <c r="AS1159" s="108">
        <f>(BE1159-Driver!$K$190)/(Driver!$L$190-Driver!$K$190)</f>
        <v/>
      </c>
      <c r="AT1159" s="108">
        <f>(BF1159-Driver!$K$191)/(Driver!$L$191-Driver!$K$191)</f>
        <v/>
      </c>
      <c r="AU1159" s="108">
        <f>(BG1159-Driver!$K$192)/(Driver!$L$192-Driver!$K$192)</f>
        <v/>
      </c>
      <c r="AV1159" s="105">
        <f>IFERROR(BM1159*BJ1159^1/4,"")</f>
        <v/>
      </c>
      <c r="AW1159" s="105">
        <f>IFERROR(SUM(AX1159:AZ1159),"")</f>
        <v/>
      </c>
      <c r="AX1159" s="105">
        <f>IFERROR(BH1159,"")</f>
        <v/>
      </c>
      <c r="AY1159" s="105">
        <f>IFERROR(Driver!$K$19/Data!BH1159/Data!BI1159*Data!BK1159*Data!BL1159,"")</f>
        <v/>
      </c>
      <c r="AZ1159" s="105">
        <f>IFERROR(BI1159*BN1159,"")</f>
        <v/>
      </c>
      <c r="BA1159" s="105" t="n"/>
      <c r="BB1159" s="105" t="n"/>
      <c r="BC1159" s="105">
        <f>IFERROR(BI1159*BN1159*BK1159/BJ1159^(1/2),"")</f>
        <v/>
      </c>
      <c r="BD1159" s="105">
        <f>IFERROR(BH1159*BM1159*BL1159/BJ1159/BK1159,"")</f>
        <v/>
      </c>
      <c r="BE1159" s="105">
        <f>IFERROR(MIN(BI1159/BQ1159/BP1159/BO1159/BH1159,$BE$1),"")</f>
        <v/>
      </c>
      <c r="BF1159" s="105">
        <f>IFERROR(BJ1159*BO1159*BP1159/BK1159,"")</f>
        <v/>
      </c>
      <c r="BG1159" s="105">
        <f>IFERROR(1/BM1159/BH1159*BQ1159,"")</f>
        <v/>
      </c>
      <c r="BH1159" s="102">
        <f>MAX((CE1159-Driver!$F$200)/(Driver!$G$200-Driver!$F$200)*$BI$1,1)</f>
        <v/>
      </c>
      <c r="BI1159" s="102">
        <f>MAX($BI$1*(BY1159-Driver!$F$201)/(Driver!$G$201-Driver!$F$201),1)</f>
        <v/>
      </c>
      <c r="BJ1159" s="102">
        <f>(CB1159-Driver!$F$206)/(Driver!$G$206-Driver!$F$206)*$BI$1</f>
        <v/>
      </c>
      <c r="BK1159" s="102">
        <f>(CD1159-Driver!$F$203)/(Driver!$G$203-Driver!$F$203)*$BI$1</f>
        <v/>
      </c>
      <c r="BL1159" s="102">
        <f>MAX((CR1159-Driver!$F$202)/(Driver!$G$202-Driver!$F$202)*$BI$1,1)</f>
        <v/>
      </c>
      <c r="BM1159" s="102">
        <f>MAX((CH1159-Driver!$F$204)/(Driver!$G$204-Driver!$F$204)*$BI$1,1)</f>
        <v/>
      </c>
      <c r="BN1159" s="102">
        <f>(CI1159-Driver!$F$205)/(Driver!$G$205-Driver!$F$205)*$BI$1</f>
        <v/>
      </c>
      <c r="BO1159" s="102">
        <f>(CK1159-Driver!$F$207)/(Driver!$G$207-Driver!$F$207)*$BI$1</f>
        <v/>
      </c>
      <c r="BP1159" s="102">
        <f>(CM1159-Driver!$F$208)/(Driver!$G$208-Driver!$F$208)*$BI$1</f>
        <v/>
      </c>
      <c r="BQ1159" s="102">
        <f>(CL1159-Driver!$F$209)/(Driver!$G$209-Driver!$F$209)*$BI$1</f>
        <v/>
      </c>
      <c r="BR1159" s="40" t="inlineStr">
        <is>
          <t>21/22</t>
        </is>
      </c>
      <c r="BS1159" s="10" t="inlineStr">
        <is>
          <t xml:space="preserve"> Blizzard</t>
        </is>
      </c>
      <c r="BT1159" s="11" t="inlineStr">
        <is>
          <t>Bonafide 97</t>
        </is>
      </c>
      <c r="BU1159" s="13" t="n">
        <v>183</v>
      </c>
      <c r="BV1159" s="11" t="inlineStr">
        <is>
          <t xml:space="preserve"> Unisex</t>
        </is>
      </c>
      <c r="BW1159" s="13" t="n">
        <v>183</v>
      </c>
      <c r="BX1159" s="13" t="n">
        <v>181.8</v>
      </c>
      <c r="BY1159" s="13" t="n">
        <v>149</v>
      </c>
      <c r="BZ1159" s="13" t="n">
        <v>157</v>
      </c>
      <c r="CA1159" s="13" t="n">
        <v>136</v>
      </c>
      <c r="CB1159" s="13" t="n">
        <v>96</v>
      </c>
      <c r="CC1159" s="13" t="n">
        <v>117</v>
      </c>
      <c r="CD1159" s="13" t="n">
        <v>19.7</v>
      </c>
      <c r="CE1159" s="13" t="n">
        <v>2287</v>
      </c>
      <c r="CF1159" s="13" t="n">
        <v>0.86</v>
      </c>
      <c r="CG1159" s="13" t="n">
        <v>1958</v>
      </c>
      <c r="CH1159" s="13" t="n">
        <v>230</v>
      </c>
      <c r="CI1159" s="13" t="n">
        <v>136</v>
      </c>
      <c r="CJ1159" s="13" t="n">
        <v>52</v>
      </c>
      <c r="CK1159" s="13" t="n">
        <v>226</v>
      </c>
      <c r="CL1159" s="13" t="n">
        <v>6</v>
      </c>
      <c r="CM1159" s="13" t="n">
        <v>101</v>
      </c>
      <c r="CN1159" s="13" t="n">
        <v>0.116</v>
      </c>
      <c r="CO1159" s="13" t="n">
        <v>133</v>
      </c>
      <c r="CP1159" s="13" t="n">
        <v>119</v>
      </c>
      <c r="CQ1159" s="13" t="n">
        <v>93</v>
      </c>
      <c r="CR1159" s="13" t="n">
        <v>8</v>
      </c>
      <c r="CS1159" s="13" t="n">
        <v>11.3</v>
      </c>
      <c r="CT1159" s="11" t="inlineStr">
        <is>
          <t xml:space="preserve"> Resort Freeride</t>
        </is>
      </c>
      <c r="CU1159" s="13" t="n"/>
      <c r="CV1159" s="13" t="n"/>
      <c r="CW1159" s="13" t="n"/>
      <c r="CX1159">
        <f>INDEX('Data_Price '!AG$2:AG$1266,MATCH(Data!$DN1159,'Data_Price '!$AT$2:$AT$1266,0))</f>
        <v/>
      </c>
      <c r="CY1159">
        <f>INDEX('Data_Price '!AH$2:AH$1266,MATCH(Data!$DN1159,'Data_Price '!$AT$2:$AT$1266,0))</f>
        <v/>
      </c>
      <c r="CZ1159">
        <f>INDEX('Data_Price '!AI$2:AI$1266,MATCH(Data!$DN1159,'Data_Price '!$AT$2:$AT$1266,0))</f>
        <v/>
      </c>
      <c r="DA1159">
        <f>INDEX('Data_Price '!AJ$2:AJ$1266,MATCH(Data!$DN1159,'Data_Price '!$AT$2:$AT$1266,0))</f>
        <v/>
      </c>
      <c r="DB1159">
        <f>INDEX('Data_Price '!AK$2:AK$1266,MATCH(Data!$DN1159,'Data_Price '!$AT$2:$AT$1266,0))</f>
        <v/>
      </c>
      <c r="DC1159">
        <f>INDEX('Data_Price '!AL$2:AL$1266,MATCH(Data!$DN1159,'Data_Price '!$AT$2:$AT$1266,0))</f>
        <v/>
      </c>
      <c r="DD1159">
        <f>INDEX('Data_Price '!AM$2:AM$1266,MATCH(Data!$DN1159,'Data_Price '!$AT$2:$AT$1266,0))</f>
        <v/>
      </c>
      <c r="DE1159">
        <f>INDEX('Data_Price '!AN$2:AN$1266,MATCH(Data!$DN1159,'Data_Price '!$AT$2:$AT$1266,0))</f>
        <v/>
      </c>
      <c r="DF1159">
        <f>INDEX('Data_Price '!AO$2:AO$1266,MATCH(Data!$DN1159,'Data_Price '!$AT$2:$AT$1266,0))</f>
        <v/>
      </c>
      <c r="DG1159">
        <f>INDEX('Data_Price '!AP$2:AP$1266,MATCH(Data!$DN1159,'Data_Price '!$AT$2:$AT$1266,0))</f>
        <v/>
      </c>
      <c r="DH1159">
        <f>INDEX('Data_Price '!AQ$2:AQ$1266,MATCH(Data!$DN1159,'Data_Price '!$AT$2:$AT$1266,0))</f>
        <v/>
      </c>
      <c r="DI1159">
        <f>INDEX('Data_Price '!AR$2:AR$1266,MATCH(Data!$DN1159,'Data_Price '!$AT$2:$AT$1266,0))</f>
        <v/>
      </c>
      <c r="DJ1159" s="138">
        <f>DA1159</f>
        <v/>
      </c>
      <c r="DK1159" s="138">
        <f>DE1159</f>
        <v/>
      </c>
      <c r="DL1159" s="138">
        <f>DI1159</f>
        <v/>
      </c>
      <c r="DM1159" s="303">
        <f>IF(LEFT(BT1159,1)=" ",RIGHT(BT1159,LEN(BT1159)-1),BT1159)</f>
        <v/>
      </c>
      <c r="DN1159" s="138">
        <f>_xlfn.CONCAT(BS1159,DM1159,BU1159,BV1159)</f>
        <v/>
      </c>
      <c r="DO1159" s="307" t="inlineStr">
        <is>
          <t>https://images.evo.com/imgp/250/176879/722688/blizzard-bonafide-97-skis-2022-.jpg</t>
        </is>
      </c>
    </row>
    <row r="1160" ht="15.6" customHeight="1" s="184">
      <c r="B1160" s="303">
        <f t="array" ref="B1160">IF(OR(ISERROR(K1160:P1160)),FALSE,TRUE)</f>
        <v/>
      </c>
      <c r="C1160" s="60">
        <f>OR(BR1160=Driver!$G$50,Data!BR648=Driver!$H$50)</f>
        <v/>
      </c>
      <c r="D1160" s="60">
        <f>OR(BV1160=Driver!$G$51,BV1160=Driver!$H$51)</f>
        <v/>
      </c>
      <c r="E1160" s="60">
        <f>AND(BX1160&gt;Driver!$F$54,BX1160&lt;Driver!$G$54)</f>
        <v/>
      </c>
      <c r="F1160" s="60">
        <f>CL1160&gt;Driver!$F$56</f>
        <v/>
      </c>
      <c r="G1160" s="60">
        <f>AND(CB1160&gt;Driver!$F$55,CB1160&lt;Driver!$G$55)</f>
        <v/>
      </c>
      <c r="H1160" s="60">
        <f>AND(B1160:G1160)</f>
        <v/>
      </c>
      <c r="I1160" s="60">
        <f>COUNTIFS($H$9:$H$1273,TRUE,$BT$9:$BT$1273,BT1160)</f>
        <v/>
      </c>
      <c r="J1160" s="60">
        <f t="array" ref="J1160">NOT(OR(($H$9:$H$1273=TRUE)*($I$9:$I$1273&gt;0)*($BT$9:$BT$1273=BT1160)*($K$9:$K$1273&gt;K1160)))</f>
        <v/>
      </c>
      <c r="K1160" s="108">
        <f>IFERROR(1-AVERAGE(X1160:Y1160),"")</f>
        <v/>
      </c>
      <c r="L1160" s="108">
        <f>1-X1160</f>
        <v/>
      </c>
      <c r="M1160" s="108">
        <f>1-Y1160</f>
        <v/>
      </c>
      <c r="N1160" s="108">
        <f>1-Z1160</f>
        <v/>
      </c>
      <c r="O1160" s="108">
        <f>1-AA1160</f>
        <v/>
      </c>
      <c r="P1160" s="108">
        <f>1-AB1160</f>
        <v/>
      </c>
      <c r="Q1160" s="108" t="n"/>
      <c r="R1160" s="108" t="n"/>
      <c r="S1160" s="108">
        <f>1-AE1160</f>
        <v/>
      </c>
      <c r="T1160" s="108">
        <f>1-AF1160</f>
        <v/>
      </c>
      <c r="U1160" s="108">
        <f>1-AG1160</f>
        <v/>
      </c>
      <c r="V1160" s="108">
        <f>1-AH1160</f>
        <v/>
      </c>
      <c r="W1160" s="108">
        <f>1-AI1160</f>
        <v/>
      </c>
      <c r="X1160" s="108">
        <f>ABS(AJ1160-AJ$1)</f>
        <v/>
      </c>
      <c r="Y1160" s="108">
        <f>AVERAGE(Z1160:AB1160)</f>
        <v/>
      </c>
      <c r="Z1160" s="108">
        <f>ABS(AL1160-AL$1)</f>
        <v/>
      </c>
      <c r="AA1160" s="108">
        <f>ABS(AM1160-AM$1)</f>
        <v/>
      </c>
      <c r="AB1160" s="108">
        <f>ABS(AN1160-AN$1)</f>
        <v/>
      </c>
      <c r="AC1160" s="108" t="n"/>
      <c r="AD1160" s="108" t="n"/>
      <c r="AE1160" s="108">
        <f>ABS(AQ$1-AQ1160)</f>
        <v/>
      </c>
      <c r="AF1160" s="108">
        <f>ABS(AR$1-AR1160)</f>
        <v/>
      </c>
      <c r="AG1160" s="108">
        <f>ABS(AS$1-AS1160)</f>
        <v/>
      </c>
      <c r="AH1160" s="108">
        <f>ABS(AT$1-AT1160)</f>
        <v/>
      </c>
      <c r="AI1160" s="108">
        <f>ABS(AU$1-AU1160)</f>
        <v/>
      </c>
      <c r="AJ1160" s="108">
        <f>(AV1160-Driver!$K$179)/(Driver!$L$179-Driver!$K$179)</f>
        <v/>
      </c>
      <c r="AK1160" s="108">
        <f>(AW1160-Driver!$K$180)/(Driver!$L$180-Driver!$K$180)</f>
        <v/>
      </c>
      <c r="AL1160" s="108">
        <f>(AX1160-Driver!$K$181)/(Driver!$L$181-Driver!$K$181)</f>
        <v/>
      </c>
      <c r="AM1160" s="108">
        <f>(AY1160-Driver!$K$182)/(Driver!$L$182-Driver!$K$182)</f>
        <v/>
      </c>
      <c r="AN1160" s="108">
        <f>(AZ1160-Driver!$K$183)/(Driver!$L$183-Driver!$K$183)</f>
        <v/>
      </c>
      <c r="AO1160" s="108" t="n"/>
      <c r="AP1160" s="108" t="n"/>
      <c r="AQ1160" s="108">
        <f>(BC1160-Driver!$K$188)/(Driver!$L$188-Driver!$K$188)</f>
        <v/>
      </c>
      <c r="AR1160" s="108">
        <f>MIN((BD1160-Driver!$K$189)/(Driver!$L$189-Driver!$K$189),100%)</f>
        <v/>
      </c>
      <c r="AS1160" s="108">
        <f>(BE1160-Driver!$K$190)/(Driver!$L$190-Driver!$K$190)</f>
        <v/>
      </c>
      <c r="AT1160" s="108">
        <f>(BF1160-Driver!$K$191)/(Driver!$L$191-Driver!$K$191)</f>
        <v/>
      </c>
      <c r="AU1160" s="108">
        <f>(BG1160-Driver!$K$192)/(Driver!$L$192-Driver!$K$192)</f>
        <v/>
      </c>
      <c r="AV1160" s="105">
        <f>IFERROR(BM1160*BJ1160^1/4,"")</f>
        <v/>
      </c>
      <c r="AW1160" s="105">
        <f>IFERROR(SUM(AX1160:AZ1160),"")</f>
        <v/>
      </c>
      <c r="AX1160" s="105">
        <f>IFERROR(BH1160,"")</f>
        <v/>
      </c>
      <c r="AY1160" s="105">
        <f>IFERROR(Driver!$K$19/Data!BH1160/Data!BI1160*Data!BK1160*Data!BL1160,"")</f>
        <v/>
      </c>
      <c r="AZ1160" s="105">
        <f>IFERROR(BI1160*BN1160,"")</f>
        <v/>
      </c>
      <c r="BA1160" s="105" t="n"/>
      <c r="BB1160" s="105" t="n"/>
      <c r="BC1160" s="105">
        <f>IFERROR(BI1160*BN1160*BK1160/BJ1160^(1/2),"")</f>
        <v/>
      </c>
      <c r="BD1160" s="105">
        <f>IFERROR(BH1160*BM1160*BL1160/BJ1160/BK1160,"")</f>
        <v/>
      </c>
      <c r="BE1160" s="105">
        <f>IFERROR(MIN(BI1160/BQ1160/BP1160/BO1160/BH1160,$BE$1),"")</f>
        <v/>
      </c>
      <c r="BF1160" s="105">
        <f>IFERROR(BJ1160*BO1160*BP1160/BK1160,"")</f>
        <v/>
      </c>
      <c r="BG1160" s="105">
        <f>IFERROR(1/BM1160/BH1160*BQ1160,"")</f>
        <v/>
      </c>
      <c r="BH1160" s="102">
        <f>MAX((CE1160-Driver!$F$200)/(Driver!$G$200-Driver!$F$200)*$BI$1,1)</f>
        <v/>
      </c>
      <c r="BI1160" s="102">
        <f>MAX($BI$1*(BY1160-Driver!$F$201)/(Driver!$G$201-Driver!$F$201),1)</f>
        <v/>
      </c>
      <c r="BJ1160" s="102">
        <f>(CB1160-Driver!$F$206)/(Driver!$G$206-Driver!$F$206)*$BI$1</f>
        <v/>
      </c>
      <c r="BK1160" s="102">
        <f>(CD1160-Driver!$F$203)/(Driver!$G$203-Driver!$F$203)*$BI$1</f>
        <v/>
      </c>
      <c r="BL1160" s="102">
        <f>MAX((CR1160-Driver!$F$202)/(Driver!$G$202-Driver!$F$202)*$BI$1,1)</f>
        <v/>
      </c>
      <c r="BM1160" s="102">
        <f>MAX((CH1160-Driver!$F$204)/(Driver!$G$204-Driver!$F$204)*$BI$1,1)</f>
        <v/>
      </c>
      <c r="BN1160" s="102">
        <f>(CI1160-Driver!$F$205)/(Driver!$G$205-Driver!$F$205)*$BI$1</f>
        <v/>
      </c>
      <c r="BO1160" s="102">
        <f>(CK1160-Driver!$F$207)/(Driver!$G$207-Driver!$F$207)*$BI$1</f>
        <v/>
      </c>
      <c r="BP1160" s="102">
        <f>(CM1160-Driver!$F$208)/(Driver!$G$208-Driver!$F$208)*$BI$1</f>
        <v/>
      </c>
      <c r="BQ1160" s="102">
        <f>(CL1160-Driver!$F$209)/(Driver!$G$209-Driver!$F$209)*$BI$1</f>
        <v/>
      </c>
      <c r="BR1160" s="40" t="inlineStr">
        <is>
          <t>21/22</t>
        </is>
      </c>
      <c r="BS1160" s="10" t="inlineStr">
        <is>
          <t xml:space="preserve"> Head</t>
        </is>
      </c>
      <c r="BT1160" s="11" t="inlineStr">
        <is>
          <t xml:space="preserve"> Supershape e-Speed</t>
        </is>
      </c>
      <c r="BU1160" s="13" t="n">
        <v>177</v>
      </c>
      <c r="BV1160" s="11" t="inlineStr">
        <is>
          <t xml:space="preserve"> Unisex</t>
        </is>
      </c>
      <c r="BW1160" s="13" t="n">
        <v>177</v>
      </c>
      <c r="BX1160" s="13" t="n">
        <v>176.2</v>
      </c>
      <c r="BY1160" s="13" t="n">
        <v>158</v>
      </c>
      <c r="BZ1160" s="13" t="n">
        <v>165</v>
      </c>
      <c r="CA1160" s="13" t="n">
        <v>121</v>
      </c>
      <c r="CB1160" s="13" t="n">
        <v>67</v>
      </c>
      <c r="CC1160" s="13" t="n">
        <v>102</v>
      </c>
      <c r="CD1160" s="13" t="n">
        <v>15.5</v>
      </c>
      <c r="CE1160" s="13" t="n">
        <v>2207</v>
      </c>
      <c r="CF1160" s="13" t="n">
        <v>0.66</v>
      </c>
      <c r="CG1160" s="13" t="n">
        <v>1461</v>
      </c>
      <c r="CH1160" s="13" t="n">
        <v>234</v>
      </c>
      <c r="CI1160" s="13" t="n">
        <v>107</v>
      </c>
      <c r="CJ1160" s="13" t="n">
        <v>37</v>
      </c>
      <c r="CK1160" s="13" t="n">
        <v>137</v>
      </c>
      <c r="CL1160" s="13" t="n">
        <v>3</v>
      </c>
      <c r="CM1160" s="13" t="n">
        <v>45</v>
      </c>
      <c r="CN1160" s="13" t="n">
        <v>0.092</v>
      </c>
      <c r="CO1160" s="13" t="n">
        <v>61</v>
      </c>
      <c r="CP1160" s="13" t="n">
        <v>52</v>
      </c>
      <c r="CQ1160" s="13" t="n">
        <v>76</v>
      </c>
      <c r="CR1160" s="13" t="n">
        <v>10</v>
      </c>
      <c r="CS1160" s="13" t="n">
        <v>12.8</v>
      </c>
      <c r="CT1160" s="11" t="inlineStr">
        <is>
          <t xml:space="preserve"> On-Piste Carving</t>
        </is>
      </c>
      <c r="CU1160" s="13" t="n"/>
      <c r="CV1160" s="13" t="n"/>
      <c r="CW1160" s="13" t="n"/>
      <c r="CX1160">
        <f>INDEX('Data_Price '!AG$2:AG$1266,MATCH(Data!$DN1160,'Data_Price '!$AT$2:$AT$1266,0))</f>
        <v/>
      </c>
      <c r="CY1160">
        <f>INDEX('Data_Price '!AH$2:AH$1266,MATCH(Data!$DN1160,'Data_Price '!$AT$2:$AT$1266,0))</f>
        <v/>
      </c>
      <c r="CZ1160">
        <f>INDEX('Data_Price '!AI$2:AI$1266,MATCH(Data!$DN1160,'Data_Price '!$AT$2:$AT$1266,0))</f>
        <v/>
      </c>
      <c r="DA1160">
        <f>INDEX('Data_Price '!AJ$2:AJ$1266,MATCH(Data!$DN1160,'Data_Price '!$AT$2:$AT$1266,0))</f>
        <v/>
      </c>
      <c r="DB1160">
        <f>INDEX('Data_Price '!AK$2:AK$1266,MATCH(Data!$DN1160,'Data_Price '!$AT$2:$AT$1266,0))</f>
        <v/>
      </c>
      <c r="DC1160">
        <f>INDEX('Data_Price '!AL$2:AL$1266,MATCH(Data!$DN1160,'Data_Price '!$AT$2:$AT$1266,0))</f>
        <v/>
      </c>
      <c r="DD1160">
        <f>INDEX('Data_Price '!AM$2:AM$1266,MATCH(Data!$DN1160,'Data_Price '!$AT$2:$AT$1266,0))</f>
        <v/>
      </c>
      <c r="DE1160">
        <f>INDEX('Data_Price '!AN$2:AN$1266,MATCH(Data!$DN1160,'Data_Price '!$AT$2:$AT$1266,0))</f>
        <v/>
      </c>
      <c r="DF1160">
        <f>INDEX('Data_Price '!AO$2:AO$1266,MATCH(Data!$DN1160,'Data_Price '!$AT$2:$AT$1266,0))</f>
        <v/>
      </c>
      <c r="DG1160">
        <f>INDEX('Data_Price '!AP$2:AP$1266,MATCH(Data!$DN1160,'Data_Price '!$AT$2:$AT$1266,0))</f>
        <v/>
      </c>
      <c r="DH1160">
        <f>INDEX('Data_Price '!AQ$2:AQ$1266,MATCH(Data!$DN1160,'Data_Price '!$AT$2:$AT$1266,0))</f>
        <v/>
      </c>
      <c r="DI1160">
        <f>INDEX('Data_Price '!AR$2:AR$1266,MATCH(Data!$DN1160,'Data_Price '!$AT$2:$AT$1266,0))</f>
        <v/>
      </c>
      <c r="DJ1160" s="138">
        <f>DA1160</f>
        <v/>
      </c>
      <c r="DK1160" s="138">
        <f>DE1160</f>
        <v/>
      </c>
      <c r="DL1160" s="138">
        <f>DI1160</f>
        <v/>
      </c>
      <c r="DM1160" s="303">
        <f>IF(LEFT(BT1160,1)=" ",RIGHT(BT1160,LEN(BT1160)-1),BT1160)</f>
        <v/>
      </c>
      <c r="DN1160" s="138">
        <f>_xlfn.CONCAT(BS1160,DM1160,BU1160,BV1160)</f>
        <v/>
      </c>
      <c r="DO1160" s="307" t="n"/>
    </row>
    <row r="1161" ht="15.6" customHeight="1" s="184">
      <c r="B1161" s="303">
        <f t="array" ref="B1161">IF(OR(ISERROR(K1161:P1161)),FALSE,TRUE)</f>
        <v/>
      </c>
      <c r="C1161" s="60">
        <f>OR(BR1161=Driver!$G$50,Data!BR1052=Driver!$H$50)</f>
        <v/>
      </c>
      <c r="D1161" s="60">
        <f>OR(BV1161=Driver!$G$51,BV1161=Driver!$H$51)</f>
        <v/>
      </c>
      <c r="E1161" s="60">
        <f>AND(BX1161&gt;Driver!$F$54,BX1161&lt;Driver!$G$54)</f>
        <v/>
      </c>
      <c r="F1161" s="60">
        <f>CL1161&gt;Driver!$F$56</f>
        <v/>
      </c>
      <c r="G1161" s="60">
        <f>AND(CB1161&gt;Driver!$F$55,CB1161&lt;Driver!$G$55)</f>
        <v/>
      </c>
      <c r="H1161" s="60">
        <f>AND(B1161:G1161)</f>
        <v/>
      </c>
      <c r="I1161" s="60">
        <f>COUNTIFS($H$9:$H$1273,TRUE,$BT$9:$BT$1273,BT1161)</f>
        <v/>
      </c>
      <c r="J1161" s="60">
        <f t="array" ref="J1161">NOT(OR(($H$9:$H$1273=TRUE)*($I$9:$I$1273&gt;0)*($BT$9:$BT$1273=BT1161)*($K$9:$K$1273&gt;K1161)))</f>
        <v/>
      </c>
      <c r="K1161" s="108">
        <f>IFERROR(1-AVERAGE(X1161:Y1161),"")</f>
        <v/>
      </c>
      <c r="L1161" s="108">
        <f>1-X1161</f>
        <v/>
      </c>
      <c r="M1161" s="108">
        <f>1-Y1161</f>
        <v/>
      </c>
      <c r="N1161" s="108">
        <f>1-Z1161</f>
        <v/>
      </c>
      <c r="O1161" s="108">
        <f>1-AA1161</f>
        <v/>
      </c>
      <c r="P1161" s="108">
        <f>1-AB1161</f>
        <v/>
      </c>
      <c r="Q1161" s="108" t="n"/>
      <c r="R1161" s="108" t="n"/>
      <c r="S1161" s="108">
        <f>1-AE1161</f>
        <v/>
      </c>
      <c r="T1161" s="108">
        <f>1-AF1161</f>
        <v/>
      </c>
      <c r="U1161" s="108">
        <f>1-AG1161</f>
        <v/>
      </c>
      <c r="V1161" s="108">
        <f>1-AH1161</f>
        <v/>
      </c>
      <c r="W1161" s="108">
        <f>1-AI1161</f>
        <v/>
      </c>
      <c r="X1161" s="108">
        <f>ABS(AJ1161-AJ$1)</f>
        <v/>
      </c>
      <c r="Y1161" s="108">
        <f>AVERAGE(Z1161:AB1161)</f>
        <v/>
      </c>
      <c r="Z1161" s="108">
        <f>ABS(AL1161-AL$1)</f>
        <v/>
      </c>
      <c r="AA1161" s="108">
        <f>ABS(AM1161-AM$1)</f>
        <v/>
      </c>
      <c r="AB1161" s="108">
        <f>ABS(AN1161-AN$1)</f>
        <v/>
      </c>
      <c r="AC1161" s="108" t="n"/>
      <c r="AD1161" s="108" t="n"/>
      <c r="AE1161" s="108">
        <f>ABS(AQ$1-AQ1161)</f>
        <v/>
      </c>
      <c r="AF1161" s="108">
        <f>ABS(AR$1-AR1161)</f>
        <v/>
      </c>
      <c r="AG1161" s="108">
        <f>ABS(AS$1-AS1161)</f>
        <v/>
      </c>
      <c r="AH1161" s="108">
        <f>ABS(AT$1-AT1161)</f>
        <v/>
      </c>
      <c r="AI1161" s="108">
        <f>ABS(AU$1-AU1161)</f>
        <v/>
      </c>
      <c r="AJ1161" s="108">
        <f>(AV1161-Driver!$K$179)/(Driver!$L$179-Driver!$K$179)</f>
        <v/>
      </c>
      <c r="AK1161" s="108">
        <f>(AW1161-Driver!$K$180)/(Driver!$L$180-Driver!$K$180)</f>
        <v/>
      </c>
      <c r="AL1161" s="108">
        <f>(AX1161-Driver!$K$181)/(Driver!$L$181-Driver!$K$181)</f>
        <v/>
      </c>
      <c r="AM1161" s="108">
        <f>(AY1161-Driver!$K$182)/(Driver!$L$182-Driver!$K$182)</f>
        <v/>
      </c>
      <c r="AN1161" s="108">
        <f>(AZ1161-Driver!$K$183)/(Driver!$L$183-Driver!$K$183)</f>
        <v/>
      </c>
      <c r="AO1161" s="108" t="n"/>
      <c r="AP1161" s="108" t="n"/>
      <c r="AQ1161" s="108">
        <f>(BC1161-Driver!$K$188)/(Driver!$L$188-Driver!$K$188)</f>
        <v/>
      </c>
      <c r="AR1161" s="108">
        <f>MIN((BD1161-Driver!$K$189)/(Driver!$L$189-Driver!$K$189),100%)</f>
        <v/>
      </c>
      <c r="AS1161" s="108">
        <f>(BE1161-Driver!$K$190)/(Driver!$L$190-Driver!$K$190)</f>
        <v/>
      </c>
      <c r="AT1161" s="108">
        <f>(BF1161-Driver!$K$191)/(Driver!$L$191-Driver!$K$191)</f>
        <v/>
      </c>
      <c r="AU1161" s="108">
        <f>(BG1161-Driver!$K$192)/(Driver!$L$192-Driver!$K$192)</f>
        <v/>
      </c>
      <c r="AV1161" s="105">
        <f>IFERROR(BM1161*BJ1161^1/4,"")</f>
        <v/>
      </c>
      <c r="AW1161" s="105">
        <f>IFERROR(SUM(AX1161:AZ1161),"")</f>
        <v/>
      </c>
      <c r="AX1161" s="105">
        <f>IFERROR(BH1161,"")</f>
        <v/>
      </c>
      <c r="AY1161" s="105">
        <f>IFERROR(Driver!$K$19/Data!BH1161/Data!BI1161*Data!BK1161*Data!BL1161,"")</f>
        <v/>
      </c>
      <c r="AZ1161" s="105">
        <f>IFERROR(BI1161*BN1161,"")</f>
        <v/>
      </c>
      <c r="BA1161" s="105" t="n"/>
      <c r="BB1161" s="105" t="n"/>
      <c r="BC1161" s="105">
        <f>IFERROR(BI1161*BN1161*BK1161/BJ1161^(1/2),"")</f>
        <v/>
      </c>
      <c r="BD1161" s="105">
        <f>IFERROR(BH1161*BM1161*BL1161/BJ1161/BK1161,"")</f>
        <v/>
      </c>
      <c r="BE1161" s="105">
        <f>IFERROR(MIN(BI1161/BQ1161/BP1161/BO1161/BH1161,$BE$1),"")</f>
        <v/>
      </c>
      <c r="BF1161" s="105">
        <f>IFERROR(BJ1161*BO1161*BP1161/BK1161,"")</f>
        <v/>
      </c>
      <c r="BG1161" s="105">
        <f>IFERROR(1/BM1161/BH1161*BQ1161,"")</f>
        <v/>
      </c>
      <c r="BH1161" s="102">
        <f>MAX((CE1161-Driver!$F$200)/(Driver!$G$200-Driver!$F$200)*$BI$1,1)</f>
        <v/>
      </c>
      <c r="BI1161" s="102">
        <f>MAX($BI$1*(BY1161-Driver!$F$201)/(Driver!$G$201-Driver!$F$201),1)</f>
        <v/>
      </c>
      <c r="BJ1161" s="102">
        <f>(CB1161-Driver!$F$206)/(Driver!$G$206-Driver!$F$206)*$BI$1</f>
        <v/>
      </c>
      <c r="BK1161" s="102">
        <f>(CD1161-Driver!$F$203)/(Driver!$G$203-Driver!$F$203)*$BI$1</f>
        <v/>
      </c>
      <c r="BL1161" s="102">
        <f>MAX((CR1161-Driver!$F$202)/(Driver!$G$202-Driver!$F$202)*$BI$1,1)</f>
        <v/>
      </c>
      <c r="BM1161" s="102">
        <f>MAX((CH1161-Driver!$F$204)/(Driver!$G$204-Driver!$F$204)*$BI$1,1)</f>
        <v/>
      </c>
      <c r="BN1161" s="102">
        <f>(CI1161-Driver!$F$205)/(Driver!$G$205-Driver!$F$205)*$BI$1</f>
        <v/>
      </c>
      <c r="BO1161" s="102">
        <f>(CK1161-Driver!$F$207)/(Driver!$G$207-Driver!$F$207)*$BI$1</f>
        <v/>
      </c>
      <c r="BP1161" s="102">
        <f>(CM1161-Driver!$F$208)/(Driver!$G$208-Driver!$F$208)*$BI$1</f>
        <v/>
      </c>
      <c r="BQ1161" s="102">
        <f>(CL1161-Driver!$F$209)/(Driver!$G$209-Driver!$F$209)*$BI$1</f>
        <v/>
      </c>
      <c r="BR1161" s="40" t="inlineStr">
        <is>
          <t>21/22</t>
        </is>
      </c>
      <c r="BS1161" s="10" t="inlineStr">
        <is>
          <t xml:space="preserve"> Rossignol</t>
        </is>
      </c>
      <c r="BT1161" s="11" t="inlineStr">
        <is>
          <t>React 2</t>
        </is>
      </c>
      <c r="BU1161" s="13" t="n">
        <v>154</v>
      </c>
      <c r="BV1161" s="11" t="inlineStr">
        <is>
          <t xml:space="preserve"> Unisex</t>
        </is>
      </c>
      <c r="BW1161" s="13" t="n">
        <v>154</v>
      </c>
      <c r="BX1161" s="13" t="n">
        <v>152.3</v>
      </c>
      <c r="BY1161" s="13" t="n">
        <v>132</v>
      </c>
      <c r="BZ1161" s="13" t="n">
        <v>137</v>
      </c>
      <c r="CA1161" s="13" t="n">
        <v>121</v>
      </c>
      <c r="CB1161" s="13" t="n">
        <v>74</v>
      </c>
      <c r="CC1161" s="13" t="n">
        <v>107</v>
      </c>
      <c r="CD1161" s="13" t="n">
        <v>11.7</v>
      </c>
      <c r="CE1161" s="13" t="n">
        <v>1410</v>
      </c>
      <c r="CF1161" s="13" t="n">
        <v>0.96</v>
      </c>
      <c r="CG1161" s="13" t="n">
        <v>1356</v>
      </c>
      <c r="CH1161" s="13" t="n">
        <v>140</v>
      </c>
      <c r="CI1161" s="13" t="n">
        <v>51</v>
      </c>
      <c r="CJ1161" s="13" t="n">
        <v>33</v>
      </c>
      <c r="CK1161" s="13" t="n">
        <v>136</v>
      </c>
      <c r="CL1161" s="13" t="n">
        <v>5</v>
      </c>
      <c r="CM1161" s="13" t="n">
        <v>64</v>
      </c>
      <c r="CN1161" s="13" t="n">
        <v>0.143</v>
      </c>
      <c r="CO1161" s="13" t="n">
        <v>78</v>
      </c>
      <c r="CP1161" s="13" t="n">
        <v>80</v>
      </c>
      <c r="CQ1161" s="13" t="n">
        <v>58</v>
      </c>
      <c r="CR1161" s="13" t="n">
        <v>12</v>
      </c>
      <c r="CS1161" s="13" t="n">
        <v>8</v>
      </c>
      <c r="CT1161" s="11" t="inlineStr">
        <is>
          <t xml:space="preserve"> On-Piste Carving</t>
        </is>
      </c>
      <c r="CU1161" s="11" t="inlineStr">
        <is>
          <t xml:space="preserve"> On-Piste All-Mountain</t>
        </is>
      </c>
      <c r="CV1161" s="13" t="n"/>
      <c r="CW1161" s="13" t="n"/>
      <c r="CX1161">
        <f>INDEX('Data_Price '!AG$2:AG$1266,MATCH(Data!$DN1161,'Data_Price '!$AT$2:$AT$1266,0))</f>
        <v/>
      </c>
      <c r="CY1161">
        <f>INDEX('Data_Price '!AH$2:AH$1266,MATCH(Data!$DN1161,'Data_Price '!$AT$2:$AT$1266,0))</f>
        <v/>
      </c>
      <c r="CZ1161">
        <f>INDEX('Data_Price '!AI$2:AI$1266,MATCH(Data!$DN1161,'Data_Price '!$AT$2:$AT$1266,0))</f>
        <v/>
      </c>
      <c r="DA1161">
        <f>INDEX('Data_Price '!AJ$2:AJ$1266,MATCH(Data!$DN1161,'Data_Price '!$AT$2:$AT$1266,0))</f>
        <v/>
      </c>
      <c r="DB1161">
        <f>INDEX('Data_Price '!AK$2:AK$1266,MATCH(Data!$DN1161,'Data_Price '!$AT$2:$AT$1266,0))</f>
        <v/>
      </c>
      <c r="DC1161">
        <f>INDEX('Data_Price '!AL$2:AL$1266,MATCH(Data!$DN1161,'Data_Price '!$AT$2:$AT$1266,0))</f>
        <v/>
      </c>
      <c r="DD1161">
        <f>INDEX('Data_Price '!AM$2:AM$1266,MATCH(Data!$DN1161,'Data_Price '!$AT$2:$AT$1266,0))</f>
        <v/>
      </c>
      <c r="DE1161">
        <f>INDEX('Data_Price '!AN$2:AN$1266,MATCH(Data!$DN1161,'Data_Price '!$AT$2:$AT$1266,0))</f>
        <v/>
      </c>
      <c r="DF1161">
        <f>INDEX('Data_Price '!AO$2:AO$1266,MATCH(Data!$DN1161,'Data_Price '!$AT$2:$AT$1266,0))</f>
        <v/>
      </c>
      <c r="DG1161">
        <f>INDEX('Data_Price '!AP$2:AP$1266,MATCH(Data!$DN1161,'Data_Price '!$AT$2:$AT$1266,0))</f>
        <v/>
      </c>
      <c r="DH1161">
        <f>INDEX('Data_Price '!AQ$2:AQ$1266,MATCH(Data!$DN1161,'Data_Price '!$AT$2:$AT$1266,0))</f>
        <v/>
      </c>
      <c r="DI1161">
        <f>INDEX('Data_Price '!AR$2:AR$1266,MATCH(Data!$DN1161,'Data_Price '!$AT$2:$AT$1266,0))</f>
        <v/>
      </c>
      <c r="DJ1161" s="138">
        <f>DA1161</f>
        <v/>
      </c>
      <c r="DK1161" s="138">
        <f>DE1161</f>
        <v/>
      </c>
      <c r="DL1161" s="138">
        <f>DI1161</f>
        <v/>
      </c>
      <c r="DM1161" s="303">
        <f>IF(LEFT(BT1161,1)=" ",RIGHT(BT1161,LEN(BT1161)-1),BT1161)</f>
        <v/>
      </c>
      <c r="DN1161" s="138">
        <f>_xlfn.CONCAT(BS1161,DM1161,BU1161,BV1161)</f>
        <v/>
      </c>
      <c r="DO1161" s="307" t="n"/>
    </row>
    <row r="1162" ht="15.6" customHeight="1" s="184">
      <c r="B1162" s="303">
        <f t="array" ref="B1162">IF(OR(ISERROR(K1162:P1162)),FALSE,TRUE)</f>
        <v/>
      </c>
      <c r="C1162" s="60">
        <f>OR(BR1162=Driver!$G$50,Data!BR310=Driver!$H$50)</f>
        <v/>
      </c>
      <c r="D1162" s="60">
        <f>OR(BV1162=Driver!$G$51,BV1162=Driver!$H$51)</f>
        <v/>
      </c>
      <c r="E1162" s="60">
        <f>AND(BX1162&gt;Driver!$F$54,BX1162&lt;Driver!$G$54)</f>
        <v/>
      </c>
      <c r="F1162" s="60">
        <f>CL1162&gt;Driver!$F$56</f>
        <v/>
      </c>
      <c r="G1162" s="60">
        <f>AND(CB1162&gt;Driver!$F$55,CB1162&lt;Driver!$G$55)</f>
        <v/>
      </c>
      <c r="H1162" s="60">
        <f>AND(B1162:G1162)</f>
        <v/>
      </c>
      <c r="I1162" s="60">
        <f>COUNTIFS($H$9:$H$1273,TRUE,$BT$9:$BT$1273,BT1162)</f>
        <v/>
      </c>
      <c r="J1162" s="60">
        <f t="array" ref="J1162">NOT(OR(($H$9:$H$1273=TRUE)*($I$9:$I$1273&gt;0)*($BT$9:$BT$1273=BT1162)*($K$9:$K$1273&gt;K1162)))</f>
        <v/>
      </c>
      <c r="K1162" s="108">
        <f>IFERROR(1-AVERAGE(X1162:Y1162),"")</f>
        <v/>
      </c>
      <c r="L1162" s="108">
        <f>1-X1162</f>
        <v/>
      </c>
      <c r="M1162" s="108">
        <f>1-Y1162</f>
        <v/>
      </c>
      <c r="N1162" s="108">
        <f>1-Z1162</f>
        <v/>
      </c>
      <c r="O1162" s="108">
        <f>1-AA1162</f>
        <v/>
      </c>
      <c r="P1162" s="108">
        <f>1-AB1162</f>
        <v/>
      </c>
      <c r="Q1162" s="108" t="n"/>
      <c r="R1162" s="108" t="n"/>
      <c r="S1162" s="108">
        <f>1-AE1162</f>
        <v/>
      </c>
      <c r="T1162" s="108">
        <f>1-AF1162</f>
        <v/>
      </c>
      <c r="U1162" s="108">
        <f>1-AG1162</f>
        <v/>
      </c>
      <c r="V1162" s="108">
        <f>1-AH1162</f>
        <v/>
      </c>
      <c r="W1162" s="108">
        <f>1-AI1162</f>
        <v/>
      </c>
      <c r="X1162" s="108">
        <f>ABS(AJ1162-AJ$1)</f>
        <v/>
      </c>
      <c r="Y1162" s="108">
        <f>AVERAGE(Z1162:AB1162)</f>
        <v/>
      </c>
      <c r="Z1162" s="108">
        <f>ABS(AL1162-AL$1)</f>
        <v/>
      </c>
      <c r="AA1162" s="108">
        <f>ABS(AM1162-AM$1)</f>
        <v/>
      </c>
      <c r="AB1162" s="108">
        <f>ABS(AN1162-AN$1)</f>
        <v/>
      </c>
      <c r="AC1162" s="108" t="n"/>
      <c r="AD1162" s="108" t="n"/>
      <c r="AE1162" s="108">
        <f>ABS(AQ$1-AQ1162)</f>
        <v/>
      </c>
      <c r="AF1162" s="108">
        <f>ABS(AR$1-AR1162)</f>
        <v/>
      </c>
      <c r="AG1162" s="108">
        <f>ABS(AS$1-AS1162)</f>
        <v/>
      </c>
      <c r="AH1162" s="108">
        <f>ABS(AT$1-AT1162)</f>
        <v/>
      </c>
      <c r="AI1162" s="108">
        <f>ABS(AU$1-AU1162)</f>
        <v/>
      </c>
      <c r="AJ1162" s="108">
        <f>(AV1162-Driver!$K$179)/(Driver!$L$179-Driver!$K$179)</f>
        <v/>
      </c>
      <c r="AK1162" s="108">
        <f>(AW1162-Driver!$K$180)/(Driver!$L$180-Driver!$K$180)</f>
        <v/>
      </c>
      <c r="AL1162" s="108">
        <f>(AX1162-Driver!$K$181)/(Driver!$L$181-Driver!$K$181)</f>
        <v/>
      </c>
      <c r="AM1162" s="108">
        <f>(AY1162-Driver!$K$182)/(Driver!$L$182-Driver!$K$182)</f>
        <v/>
      </c>
      <c r="AN1162" s="108">
        <f>(AZ1162-Driver!$K$183)/(Driver!$L$183-Driver!$K$183)</f>
        <v/>
      </c>
      <c r="AO1162" s="108" t="n"/>
      <c r="AP1162" s="108" t="n"/>
      <c r="AQ1162" s="108">
        <f>(BC1162-Driver!$K$188)/(Driver!$L$188-Driver!$K$188)</f>
        <v/>
      </c>
      <c r="AR1162" s="108">
        <f>MIN((BD1162-Driver!$K$189)/(Driver!$L$189-Driver!$K$189),100%)</f>
        <v/>
      </c>
      <c r="AS1162" s="108">
        <f>(BE1162-Driver!$K$190)/(Driver!$L$190-Driver!$K$190)</f>
        <v/>
      </c>
      <c r="AT1162" s="108">
        <f>(BF1162-Driver!$K$191)/(Driver!$L$191-Driver!$K$191)</f>
        <v/>
      </c>
      <c r="AU1162" s="108">
        <f>(BG1162-Driver!$K$192)/(Driver!$L$192-Driver!$K$192)</f>
        <v/>
      </c>
      <c r="AV1162" s="105">
        <f>IFERROR(BM1162*BJ1162^1/4,"")</f>
        <v/>
      </c>
      <c r="AW1162" s="105">
        <f>IFERROR(SUM(AX1162:AZ1162),"")</f>
        <v/>
      </c>
      <c r="AX1162" s="105">
        <f>IFERROR(BH1162,"")</f>
        <v/>
      </c>
      <c r="AY1162" s="105">
        <f>IFERROR(Driver!$K$19/Data!BH1162/Data!BI1162*Data!BK1162*Data!BL1162,"")</f>
        <v/>
      </c>
      <c r="AZ1162" s="105">
        <f>IFERROR(BI1162*BN1162,"")</f>
        <v/>
      </c>
      <c r="BA1162" s="105" t="n"/>
      <c r="BB1162" s="105" t="n"/>
      <c r="BC1162" s="105">
        <f>IFERROR(BI1162*BN1162*BK1162/BJ1162^(1/2),"")</f>
        <v/>
      </c>
      <c r="BD1162" s="105">
        <f>IFERROR(BH1162*BM1162*BL1162/BJ1162/BK1162,"")</f>
        <v/>
      </c>
      <c r="BE1162" s="105">
        <f>IFERROR(MIN(BI1162/BQ1162/BP1162/BO1162/BH1162,$BE$1),"")</f>
        <v/>
      </c>
      <c r="BF1162" s="105">
        <f>IFERROR(BJ1162*BO1162*BP1162/BK1162,"")</f>
        <v/>
      </c>
      <c r="BG1162" s="105">
        <f>IFERROR(1/BM1162/BH1162*BQ1162,"")</f>
        <v/>
      </c>
      <c r="BH1162" s="102">
        <f>MAX((CE1162-Driver!$F$200)/(Driver!$G$200-Driver!$F$200)*$BI$1,1)</f>
        <v/>
      </c>
      <c r="BI1162" s="102">
        <f>MAX($BI$1*(BY1162-Driver!$F$201)/(Driver!$G$201-Driver!$F$201),1)</f>
        <v/>
      </c>
      <c r="BJ1162" s="102">
        <f>(CB1162-Driver!$F$206)/(Driver!$G$206-Driver!$F$206)*$BI$1</f>
        <v/>
      </c>
      <c r="BK1162" s="102">
        <f>(CD1162-Driver!$F$203)/(Driver!$G$203-Driver!$F$203)*$BI$1</f>
        <v/>
      </c>
      <c r="BL1162" s="102">
        <f>MAX((CR1162-Driver!$F$202)/(Driver!$G$202-Driver!$F$202)*$BI$1,1)</f>
        <v/>
      </c>
      <c r="BM1162" s="102">
        <f>MAX((CH1162-Driver!$F$204)/(Driver!$G$204-Driver!$F$204)*$BI$1,1)</f>
        <v/>
      </c>
      <c r="BN1162" s="102">
        <f>(CI1162-Driver!$F$205)/(Driver!$G$205-Driver!$F$205)*$BI$1</f>
        <v/>
      </c>
      <c r="BO1162" s="102">
        <f>(CK1162-Driver!$F$207)/(Driver!$G$207-Driver!$F$207)*$BI$1</f>
        <v/>
      </c>
      <c r="BP1162" s="102">
        <f>(CM1162-Driver!$F$208)/(Driver!$G$208-Driver!$F$208)*$BI$1</f>
        <v/>
      </c>
      <c r="BQ1162" s="102">
        <f>(CL1162-Driver!$F$209)/(Driver!$G$209-Driver!$F$209)*$BI$1</f>
        <v/>
      </c>
      <c r="BR1162" s="40" t="inlineStr">
        <is>
          <t>21/22</t>
        </is>
      </c>
      <c r="BS1162" s="10" t="inlineStr">
        <is>
          <t xml:space="preserve"> Blizzard</t>
        </is>
      </c>
      <c r="BT1162" s="11" t="inlineStr">
        <is>
          <t xml:space="preserve"> SRC</t>
        </is>
      </c>
      <c r="BU1162" s="13" t="n">
        <v>165</v>
      </c>
      <c r="BV1162" s="11" t="inlineStr">
        <is>
          <t xml:space="preserve"> Unisex</t>
        </is>
      </c>
      <c r="BW1162" s="13" t="n">
        <v>165</v>
      </c>
      <c r="BX1162" s="13" t="n">
        <v>163.9</v>
      </c>
      <c r="BY1162" s="13" t="n">
        <v>145</v>
      </c>
      <c r="BZ1162" s="13" t="n">
        <v>151</v>
      </c>
      <c r="CA1162" s="13" t="n">
        <v>121</v>
      </c>
      <c r="CB1162" s="13" t="n">
        <v>70</v>
      </c>
      <c r="CC1162" s="13" t="n">
        <v>104</v>
      </c>
      <c r="CD1162" s="13" t="n">
        <v>12.9</v>
      </c>
      <c r="CE1162" s="13" t="n">
        <v>2006</v>
      </c>
      <c r="CF1162" s="13" t="n">
        <v>0.7</v>
      </c>
      <c r="CG1162" s="13" t="n">
        <v>1404</v>
      </c>
      <c r="CH1162" s="13" t="n">
        <v>199</v>
      </c>
      <c r="CI1162" s="13" t="n">
        <v>127</v>
      </c>
      <c r="CJ1162" s="13" t="n">
        <v>38</v>
      </c>
      <c r="CK1162" s="13" t="n">
        <v>138</v>
      </c>
      <c r="CL1162" s="13" t="n">
        <v>7</v>
      </c>
      <c r="CM1162" s="13" t="n">
        <v>52</v>
      </c>
      <c r="CN1162" s="13" t="n">
        <v>0.183</v>
      </c>
      <c r="CO1162" s="13" t="n">
        <v>72</v>
      </c>
      <c r="CP1162" s="13" t="n">
        <v>55</v>
      </c>
      <c r="CQ1162" s="13" t="n">
        <v>66</v>
      </c>
      <c r="CR1162" s="13" t="n">
        <v>12</v>
      </c>
      <c r="CS1162" s="13" t="n">
        <v>11.9</v>
      </c>
      <c r="CT1162" s="11" t="inlineStr">
        <is>
          <t xml:space="preserve"> On-Piste Carving</t>
        </is>
      </c>
      <c r="CU1162" s="13" t="n"/>
      <c r="CV1162" s="13" t="n"/>
      <c r="CW1162" s="13" t="n"/>
      <c r="CX1162">
        <f>INDEX('Data_Price '!AG$2:AG$1266,MATCH(Data!$DN1162,'Data_Price '!$AT$2:$AT$1266,0))</f>
        <v/>
      </c>
      <c r="CY1162">
        <f>INDEX('Data_Price '!AH$2:AH$1266,MATCH(Data!$DN1162,'Data_Price '!$AT$2:$AT$1266,0))</f>
        <v/>
      </c>
      <c r="CZ1162">
        <f>INDEX('Data_Price '!AI$2:AI$1266,MATCH(Data!$DN1162,'Data_Price '!$AT$2:$AT$1266,0))</f>
        <v/>
      </c>
      <c r="DA1162">
        <f>INDEX('Data_Price '!AJ$2:AJ$1266,MATCH(Data!$DN1162,'Data_Price '!$AT$2:$AT$1266,0))</f>
        <v/>
      </c>
      <c r="DB1162">
        <f>INDEX('Data_Price '!AK$2:AK$1266,MATCH(Data!$DN1162,'Data_Price '!$AT$2:$AT$1266,0))</f>
        <v/>
      </c>
      <c r="DC1162">
        <f>INDEX('Data_Price '!AL$2:AL$1266,MATCH(Data!$DN1162,'Data_Price '!$AT$2:$AT$1266,0))</f>
        <v/>
      </c>
      <c r="DD1162">
        <f>INDEX('Data_Price '!AM$2:AM$1266,MATCH(Data!$DN1162,'Data_Price '!$AT$2:$AT$1266,0))</f>
        <v/>
      </c>
      <c r="DE1162">
        <f>INDEX('Data_Price '!AN$2:AN$1266,MATCH(Data!$DN1162,'Data_Price '!$AT$2:$AT$1266,0))</f>
        <v/>
      </c>
      <c r="DF1162">
        <f>INDEX('Data_Price '!AO$2:AO$1266,MATCH(Data!$DN1162,'Data_Price '!$AT$2:$AT$1266,0))</f>
        <v/>
      </c>
      <c r="DG1162">
        <f>INDEX('Data_Price '!AP$2:AP$1266,MATCH(Data!$DN1162,'Data_Price '!$AT$2:$AT$1266,0))</f>
        <v/>
      </c>
      <c r="DH1162">
        <f>INDEX('Data_Price '!AQ$2:AQ$1266,MATCH(Data!$DN1162,'Data_Price '!$AT$2:$AT$1266,0))</f>
        <v/>
      </c>
      <c r="DI1162">
        <f>INDEX('Data_Price '!AR$2:AR$1266,MATCH(Data!$DN1162,'Data_Price '!$AT$2:$AT$1266,0))</f>
        <v/>
      </c>
      <c r="DJ1162" s="138">
        <f>DA1162</f>
        <v/>
      </c>
      <c r="DK1162" s="138">
        <f>DE1162</f>
        <v/>
      </c>
      <c r="DL1162" s="138">
        <f>DI1162</f>
        <v/>
      </c>
      <c r="DM1162" s="303">
        <f>IF(LEFT(BT1162,1)=" ",RIGHT(BT1162,LEN(BT1162)-1),BT1162)</f>
        <v/>
      </c>
      <c r="DN1162" s="138">
        <f>_xlfn.CONCAT(BS1162,DM1162,BU1162,BV1162)</f>
        <v/>
      </c>
      <c r="DO1162" s="307" t="n"/>
    </row>
    <row r="1163" ht="15.6" customHeight="1" s="184">
      <c r="B1163" s="303">
        <f t="array" ref="B1163">IF(OR(ISERROR(K1163:P1163)),FALSE,TRUE)</f>
        <v/>
      </c>
      <c r="C1163" s="60">
        <f>OR(BR1163=Driver!$G$50,Data!BR736=Driver!$H$50)</f>
        <v/>
      </c>
      <c r="D1163" s="60">
        <f>OR(BV1163=Driver!$G$51,BV1163=Driver!$H$51)</f>
        <v/>
      </c>
      <c r="E1163" s="60">
        <f>AND(BX1163&gt;Driver!$F$54,BX1163&lt;Driver!$G$54)</f>
        <v/>
      </c>
      <c r="F1163" s="60">
        <f>CL1163&gt;Driver!$F$56</f>
        <v/>
      </c>
      <c r="G1163" s="60">
        <f>AND(CB1163&gt;Driver!$F$55,CB1163&lt;Driver!$G$55)</f>
        <v/>
      </c>
      <c r="H1163" s="60">
        <f>AND(B1163:G1163)</f>
        <v/>
      </c>
      <c r="I1163" s="60">
        <f>COUNTIFS($H$9:$H$1273,TRUE,$BT$9:$BT$1273,BT1163)</f>
        <v/>
      </c>
      <c r="J1163" s="60">
        <f t="array" ref="J1163">NOT(OR(($H$9:$H$1273=TRUE)*($I$9:$I$1273&gt;0)*($BT$9:$BT$1273=BT1163)*($K$9:$K$1273&gt;K1163)))</f>
        <v/>
      </c>
      <c r="K1163" s="108">
        <f>IFERROR(1-AVERAGE(X1163:Y1163),"")</f>
        <v/>
      </c>
      <c r="L1163" s="108">
        <f>1-X1163</f>
        <v/>
      </c>
      <c r="M1163" s="108">
        <f>1-Y1163</f>
        <v/>
      </c>
      <c r="N1163" s="108">
        <f>1-Z1163</f>
        <v/>
      </c>
      <c r="O1163" s="108">
        <f>1-AA1163</f>
        <v/>
      </c>
      <c r="P1163" s="108">
        <f>1-AB1163</f>
        <v/>
      </c>
      <c r="Q1163" s="108" t="n"/>
      <c r="R1163" s="108" t="n"/>
      <c r="S1163" s="108">
        <f>1-AE1163</f>
        <v/>
      </c>
      <c r="T1163" s="108">
        <f>1-AF1163</f>
        <v/>
      </c>
      <c r="U1163" s="108">
        <f>1-AG1163</f>
        <v/>
      </c>
      <c r="V1163" s="108">
        <f>1-AH1163</f>
        <v/>
      </c>
      <c r="W1163" s="108">
        <f>1-AI1163</f>
        <v/>
      </c>
      <c r="X1163" s="108">
        <f>ABS(AJ1163-AJ$1)</f>
        <v/>
      </c>
      <c r="Y1163" s="108">
        <f>AVERAGE(Z1163:AB1163)</f>
        <v/>
      </c>
      <c r="Z1163" s="108">
        <f>ABS(AL1163-AL$1)</f>
        <v/>
      </c>
      <c r="AA1163" s="108">
        <f>ABS(AM1163-AM$1)</f>
        <v/>
      </c>
      <c r="AB1163" s="108">
        <f>ABS(AN1163-AN$1)</f>
        <v/>
      </c>
      <c r="AC1163" s="108" t="n"/>
      <c r="AD1163" s="108" t="n"/>
      <c r="AE1163" s="108">
        <f>ABS(AQ$1-AQ1163)</f>
        <v/>
      </c>
      <c r="AF1163" s="108">
        <f>ABS(AR$1-AR1163)</f>
        <v/>
      </c>
      <c r="AG1163" s="108">
        <f>ABS(AS$1-AS1163)</f>
        <v/>
      </c>
      <c r="AH1163" s="108">
        <f>ABS(AT$1-AT1163)</f>
        <v/>
      </c>
      <c r="AI1163" s="108">
        <f>ABS(AU$1-AU1163)</f>
        <v/>
      </c>
      <c r="AJ1163" s="108">
        <f>(AV1163-Driver!$K$179)/(Driver!$L$179-Driver!$K$179)</f>
        <v/>
      </c>
      <c r="AK1163" s="108">
        <f>(AW1163-Driver!$K$180)/(Driver!$L$180-Driver!$K$180)</f>
        <v/>
      </c>
      <c r="AL1163" s="108">
        <f>(AX1163-Driver!$K$181)/(Driver!$L$181-Driver!$K$181)</f>
        <v/>
      </c>
      <c r="AM1163" s="108">
        <f>(AY1163-Driver!$K$182)/(Driver!$L$182-Driver!$K$182)</f>
        <v/>
      </c>
      <c r="AN1163" s="108">
        <f>(AZ1163-Driver!$K$183)/(Driver!$L$183-Driver!$K$183)</f>
        <v/>
      </c>
      <c r="AO1163" s="108" t="n"/>
      <c r="AP1163" s="108" t="n"/>
      <c r="AQ1163" s="108">
        <f>(BC1163-Driver!$K$188)/(Driver!$L$188-Driver!$K$188)</f>
        <v/>
      </c>
      <c r="AR1163" s="108">
        <f>MIN((BD1163-Driver!$K$189)/(Driver!$L$189-Driver!$K$189),100%)</f>
        <v/>
      </c>
      <c r="AS1163" s="108">
        <f>(BE1163-Driver!$K$190)/(Driver!$L$190-Driver!$K$190)</f>
        <v/>
      </c>
      <c r="AT1163" s="108">
        <f>(BF1163-Driver!$K$191)/(Driver!$L$191-Driver!$K$191)</f>
        <v/>
      </c>
      <c r="AU1163" s="108">
        <f>(BG1163-Driver!$K$192)/(Driver!$L$192-Driver!$K$192)</f>
        <v/>
      </c>
      <c r="AV1163" s="105">
        <f>IFERROR(BM1163*BJ1163^1/4,"")</f>
        <v/>
      </c>
      <c r="AW1163" s="105">
        <f>IFERROR(SUM(AX1163:AZ1163),"")</f>
        <v/>
      </c>
      <c r="AX1163" s="105">
        <f>IFERROR(BH1163,"")</f>
        <v/>
      </c>
      <c r="AY1163" s="105">
        <f>IFERROR(Driver!$K$19/Data!BH1163/Data!BI1163*Data!BK1163*Data!BL1163,"")</f>
        <v/>
      </c>
      <c r="AZ1163" s="105">
        <f>IFERROR(BI1163*BN1163,"")</f>
        <v/>
      </c>
      <c r="BA1163" s="105" t="n"/>
      <c r="BB1163" s="105" t="n"/>
      <c r="BC1163" s="105">
        <f>IFERROR(BI1163*BN1163*BK1163/BJ1163^(1/2),"")</f>
        <v/>
      </c>
      <c r="BD1163" s="105">
        <f>IFERROR(BH1163*BM1163*BL1163/BJ1163/BK1163,"")</f>
        <v/>
      </c>
      <c r="BE1163" s="105">
        <f>IFERROR(MIN(BI1163/BQ1163/BP1163/BO1163/BH1163,$BE$1),"")</f>
        <v/>
      </c>
      <c r="BF1163" s="105">
        <f>IFERROR(BJ1163*BO1163*BP1163/BK1163,"")</f>
        <v/>
      </c>
      <c r="BG1163" s="105">
        <f>IFERROR(1/BM1163/BH1163*BQ1163,"")</f>
        <v/>
      </c>
      <c r="BH1163" s="102">
        <f>MAX((CE1163-Driver!$F$200)/(Driver!$G$200-Driver!$F$200)*$BI$1,1)</f>
        <v/>
      </c>
      <c r="BI1163" s="102">
        <f>MAX($BI$1*(BY1163-Driver!$F$201)/(Driver!$G$201-Driver!$F$201),1)</f>
        <v/>
      </c>
      <c r="BJ1163" s="102">
        <f>(CB1163-Driver!$F$206)/(Driver!$G$206-Driver!$F$206)*$BI$1</f>
        <v/>
      </c>
      <c r="BK1163" s="102">
        <f>(CD1163-Driver!$F$203)/(Driver!$G$203-Driver!$F$203)*$BI$1</f>
        <v/>
      </c>
      <c r="BL1163" s="102">
        <f>MAX((CR1163-Driver!$F$202)/(Driver!$G$202-Driver!$F$202)*$BI$1,1)</f>
        <v/>
      </c>
      <c r="BM1163" s="102">
        <f>MAX((CH1163-Driver!$F$204)/(Driver!$G$204-Driver!$F$204)*$BI$1,1)</f>
        <v/>
      </c>
      <c r="BN1163" s="102">
        <f>(CI1163-Driver!$F$205)/(Driver!$G$205-Driver!$F$205)*$BI$1</f>
        <v/>
      </c>
      <c r="BO1163" s="102">
        <f>(CK1163-Driver!$F$207)/(Driver!$G$207-Driver!$F$207)*$BI$1</f>
        <v/>
      </c>
      <c r="BP1163" s="102">
        <f>(CM1163-Driver!$F$208)/(Driver!$G$208-Driver!$F$208)*$BI$1</f>
        <v/>
      </c>
      <c r="BQ1163" s="102">
        <f>(CL1163-Driver!$F$209)/(Driver!$G$209-Driver!$F$209)*$BI$1</f>
        <v/>
      </c>
      <c r="BR1163" s="40" t="inlineStr">
        <is>
          <t>21/22</t>
        </is>
      </c>
      <c r="BS1163" s="10" t="inlineStr">
        <is>
          <t xml:space="preserve"> K2</t>
        </is>
      </c>
      <c r="BT1163" s="11" t="inlineStr">
        <is>
          <t>Mindbender 90 C Alliance</t>
        </is>
      </c>
      <c r="BU1163" s="13" t="n">
        <v>149</v>
      </c>
      <c r="BV1163" s="11" t="inlineStr">
        <is>
          <t xml:space="preserve"> Women's</t>
        </is>
      </c>
      <c r="BW1163" s="13" t="n">
        <v>149</v>
      </c>
      <c r="BX1163" s="13" t="n">
        <v>150</v>
      </c>
      <c r="BY1163" s="13" t="n">
        <v>115</v>
      </c>
      <c r="BZ1163" s="13" t="n">
        <v>123</v>
      </c>
      <c r="CA1163" s="13" t="n">
        <v>126</v>
      </c>
      <c r="CB1163" s="13" t="n">
        <v>89</v>
      </c>
      <c r="CC1163" s="13" t="n">
        <v>112</v>
      </c>
      <c r="CD1163" s="13" t="n">
        <v>11.7</v>
      </c>
      <c r="CE1163" s="13" t="n">
        <v>1333</v>
      </c>
      <c r="CF1163" s="13" t="n">
        <v>1.14</v>
      </c>
      <c r="CG1163" s="13" t="n">
        <v>1522</v>
      </c>
      <c r="CH1163" s="13" t="n">
        <v>107</v>
      </c>
      <c r="CI1163" s="13" t="n">
        <v>58</v>
      </c>
      <c r="CJ1163" s="13" t="n">
        <v>38</v>
      </c>
      <c r="CK1163" s="13" t="n">
        <v>216</v>
      </c>
      <c r="CL1163" s="13" t="n">
        <v>10</v>
      </c>
      <c r="CM1163" s="13" t="n">
        <v>135</v>
      </c>
      <c r="CN1163" s="13" t="n">
        <v>0.25</v>
      </c>
      <c r="CO1163" s="13" t="n">
        <v>156</v>
      </c>
      <c r="CP1163" s="13" t="n">
        <v>109</v>
      </c>
      <c r="CQ1163" s="13" t="n">
        <v>59</v>
      </c>
      <c r="CR1163" s="13" t="n">
        <v>9</v>
      </c>
      <c r="CS1163" s="13" t="n">
        <v>9.699999999999999</v>
      </c>
      <c r="CT1163" s="11" t="inlineStr">
        <is>
          <t xml:space="preserve"> Resort Freeride</t>
        </is>
      </c>
      <c r="CU1163" s="11" t="inlineStr">
        <is>
          <t xml:space="preserve"> Touring</t>
        </is>
      </c>
      <c r="CV1163" s="13" t="n"/>
      <c r="CW1163" s="13" t="n"/>
      <c r="CX1163">
        <f>INDEX('Data_Price '!AG$2:AG$1266,MATCH(Data!$DN1163,'Data_Price '!$AT$2:$AT$1266,0))</f>
        <v/>
      </c>
      <c r="CY1163">
        <f>INDEX('Data_Price '!AH$2:AH$1266,MATCH(Data!$DN1163,'Data_Price '!$AT$2:$AT$1266,0))</f>
        <v/>
      </c>
      <c r="CZ1163">
        <f>INDEX('Data_Price '!AI$2:AI$1266,MATCH(Data!$DN1163,'Data_Price '!$AT$2:$AT$1266,0))</f>
        <v/>
      </c>
      <c r="DA1163">
        <f>INDEX('Data_Price '!AJ$2:AJ$1266,MATCH(Data!$DN1163,'Data_Price '!$AT$2:$AT$1266,0))</f>
        <v/>
      </c>
      <c r="DB1163">
        <f>INDEX('Data_Price '!AK$2:AK$1266,MATCH(Data!$DN1163,'Data_Price '!$AT$2:$AT$1266,0))</f>
        <v/>
      </c>
      <c r="DC1163">
        <f>INDEX('Data_Price '!AL$2:AL$1266,MATCH(Data!$DN1163,'Data_Price '!$AT$2:$AT$1266,0))</f>
        <v/>
      </c>
      <c r="DD1163">
        <f>INDEX('Data_Price '!AM$2:AM$1266,MATCH(Data!$DN1163,'Data_Price '!$AT$2:$AT$1266,0))</f>
        <v/>
      </c>
      <c r="DE1163">
        <f>INDEX('Data_Price '!AN$2:AN$1266,MATCH(Data!$DN1163,'Data_Price '!$AT$2:$AT$1266,0))</f>
        <v/>
      </c>
      <c r="DF1163">
        <f>INDEX('Data_Price '!AO$2:AO$1266,MATCH(Data!$DN1163,'Data_Price '!$AT$2:$AT$1266,0))</f>
        <v/>
      </c>
      <c r="DG1163">
        <f>INDEX('Data_Price '!AP$2:AP$1266,MATCH(Data!$DN1163,'Data_Price '!$AT$2:$AT$1266,0))</f>
        <v/>
      </c>
      <c r="DH1163">
        <f>INDEX('Data_Price '!AQ$2:AQ$1266,MATCH(Data!$DN1163,'Data_Price '!$AT$2:$AT$1266,0))</f>
        <v/>
      </c>
      <c r="DI1163">
        <f>INDEX('Data_Price '!AR$2:AR$1266,MATCH(Data!$DN1163,'Data_Price '!$AT$2:$AT$1266,0))</f>
        <v/>
      </c>
      <c r="DJ1163" s="138">
        <f>DA1163</f>
        <v/>
      </c>
      <c r="DK1163" s="138">
        <f>DE1163</f>
        <v/>
      </c>
      <c r="DL1163" s="138">
        <f>DI1163</f>
        <v/>
      </c>
      <c r="DM1163" s="303">
        <f>IF(LEFT(BT1163,1)=" ",RIGHT(BT1163,LEN(BT1163)-1),BT1163)</f>
        <v/>
      </c>
      <c r="DN1163" s="138">
        <f>_xlfn.CONCAT(BS1163,DM1163,BU1163,BV1163)</f>
        <v/>
      </c>
      <c r="DO1163" s="307" t="n"/>
    </row>
    <row r="1164" ht="15.6" customHeight="1" s="184">
      <c r="B1164" s="303">
        <f t="array" ref="B1164">IF(OR(ISERROR(K1164:P1164)),FALSE,TRUE)</f>
        <v/>
      </c>
      <c r="C1164" s="60">
        <f>OR(BR1164=Driver!$G$50,Data!BR667=Driver!$H$50)</f>
        <v/>
      </c>
      <c r="D1164" s="60">
        <f>OR(BV1164=Driver!$G$51,BV1164=Driver!$H$51)</f>
        <v/>
      </c>
      <c r="E1164" s="60">
        <f>AND(BX1164&gt;Driver!$F$54,BX1164&lt;Driver!$G$54)</f>
        <v/>
      </c>
      <c r="F1164" s="60">
        <f>CL1164&gt;Driver!$F$56</f>
        <v/>
      </c>
      <c r="G1164" s="60">
        <f>AND(CB1164&gt;Driver!$F$55,CB1164&lt;Driver!$G$55)</f>
        <v/>
      </c>
      <c r="H1164" s="60">
        <f>AND(B1164:G1164)</f>
        <v/>
      </c>
      <c r="I1164" s="60">
        <f>COUNTIFS($H$9:$H$1273,TRUE,$BT$9:$BT$1273,BT1164)</f>
        <v/>
      </c>
      <c r="J1164" s="60">
        <f t="array" ref="J1164">NOT(OR(($H$9:$H$1273=TRUE)*($I$9:$I$1273&gt;0)*($BT$9:$BT$1273=BT1164)*($K$9:$K$1273&gt;K1164)))</f>
        <v/>
      </c>
      <c r="K1164" s="108">
        <f>IFERROR(1-AVERAGE(X1164:Y1164),"")</f>
        <v/>
      </c>
      <c r="L1164" s="108">
        <f>1-X1164</f>
        <v/>
      </c>
      <c r="M1164" s="108">
        <f>1-Y1164</f>
        <v/>
      </c>
      <c r="N1164" s="108">
        <f>1-Z1164</f>
        <v/>
      </c>
      <c r="O1164" s="108">
        <f>1-AA1164</f>
        <v/>
      </c>
      <c r="P1164" s="108">
        <f>1-AB1164</f>
        <v/>
      </c>
      <c r="Q1164" s="108" t="n"/>
      <c r="R1164" s="108" t="n"/>
      <c r="S1164" s="108">
        <f>1-AE1164</f>
        <v/>
      </c>
      <c r="T1164" s="108">
        <f>1-AF1164</f>
        <v/>
      </c>
      <c r="U1164" s="108">
        <f>1-AG1164</f>
        <v/>
      </c>
      <c r="V1164" s="108">
        <f>1-AH1164</f>
        <v/>
      </c>
      <c r="W1164" s="108">
        <f>1-AI1164</f>
        <v/>
      </c>
      <c r="X1164" s="108">
        <f>ABS(AJ1164-AJ$1)</f>
        <v/>
      </c>
      <c r="Y1164" s="108">
        <f>AVERAGE(Z1164:AB1164)</f>
        <v/>
      </c>
      <c r="Z1164" s="108">
        <f>ABS(AL1164-AL$1)</f>
        <v/>
      </c>
      <c r="AA1164" s="108">
        <f>ABS(AM1164-AM$1)</f>
        <v/>
      </c>
      <c r="AB1164" s="108">
        <f>ABS(AN1164-AN$1)</f>
        <v/>
      </c>
      <c r="AC1164" s="108" t="n"/>
      <c r="AD1164" s="108" t="n"/>
      <c r="AE1164" s="108">
        <f>ABS(AQ$1-AQ1164)</f>
        <v/>
      </c>
      <c r="AF1164" s="108">
        <f>ABS(AR$1-AR1164)</f>
        <v/>
      </c>
      <c r="AG1164" s="108">
        <f>ABS(AS$1-AS1164)</f>
        <v/>
      </c>
      <c r="AH1164" s="108">
        <f>ABS(AT$1-AT1164)</f>
        <v/>
      </c>
      <c r="AI1164" s="108">
        <f>ABS(AU$1-AU1164)</f>
        <v/>
      </c>
      <c r="AJ1164" s="108">
        <f>(AV1164-Driver!$K$179)/(Driver!$L$179-Driver!$K$179)</f>
        <v/>
      </c>
      <c r="AK1164" s="108">
        <f>(AW1164-Driver!$K$180)/(Driver!$L$180-Driver!$K$180)</f>
        <v/>
      </c>
      <c r="AL1164" s="108">
        <f>(AX1164-Driver!$K$181)/(Driver!$L$181-Driver!$K$181)</f>
        <v/>
      </c>
      <c r="AM1164" s="108">
        <f>(AY1164-Driver!$K$182)/(Driver!$L$182-Driver!$K$182)</f>
        <v/>
      </c>
      <c r="AN1164" s="108">
        <f>(AZ1164-Driver!$K$183)/(Driver!$L$183-Driver!$K$183)</f>
        <v/>
      </c>
      <c r="AO1164" s="108" t="n"/>
      <c r="AP1164" s="108" t="n"/>
      <c r="AQ1164" s="108">
        <f>(BC1164-Driver!$K$188)/(Driver!$L$188-Driver!$K$188)</f>
        <v/>
      </c>
      <c r="AR1164" s="108">
        <f>MIN((BD1164-Driver!$K$189)/(Driver!$L$189-Driver!$K$189),100%)</f>
        <v/>
      </c>
      <c r="AS1164" s="108">
        <f>(BE1164-Driver!$K$190)/(Driver!$L$190-Driver!$K$190)</f>
        <v/>
      </c>
      <c r="AT1164" s="108">
        <f>(BF1164-Driver!$K$191)/(Driver!$L$191-Driver!$K$191)</f>
        <v/>
      </c>
      <c r="AU1164" s="108">
        <f>(BG1164-Driver!$K$192)/(Driver!$L$192-Driver!$K$192)</f>
        <v/>
      </c>
      <c r="AV1164" s="105">
        <f>IFERROR(BM1164*BJ1164^1/4,"")</f>
        <v/>
      </c>
      <c r="AW1164" s="105">
        <f>IFERROR(SUM(AX1164:AZ1164),"")</f>
        <v/>
      </c>
      <c r="AX1164" s="105">
        <f>IFERROR(BH1164,"")</f>
        <v/>
      </c>
      <c r="AY1164" s="105">
        <f>IFERROR(Driver!$K$19/Data!BH1164/Data!BI1164*Data!BK1164*Data!BL1164,"")</f>
        <v/>
      </c>
      <c r="AZ1164" s="105">
        <f>IFERROR(BI1164*BN1164,"")</f>
        <v/>
      </c>
      <c r="BA1164" s="105" t="n"/>
      <c r="BB1164" s="105" t="n"/>
      <c r="BC1164" s="105">
        <f>IFERROR(BI1164*BN1164*BK1164/BJ1164^(1/2),"")</f>
        <v/>
      </c>
      <c r="BD1164" s="105">
        <f>IFERROR(BH1164*BM1164*BL1164/BJ1164/BK1164,"")</f>
        <v/>
      </c>
      <c r="BE1164" s="105">
        <f>IFERROR(MIN(BI1164/BQ1164/BP1164/BO1164/BH1164,$BE$1),"")</f>
        <v/>
      </c>
      <c r="BF1164" s="105">
        <f>IFERROR(BJ1164*BO1164*BP1164/BK1164,"")</f>
        <v/>
      </c>
      <c r="BG1164" s="105">
        <f>IFERROR(1/BM1164/BH1164*BQ1164,"")</f>
        <v/>
      </c>
      <c r="BH1164" s="102">
        <f>MAX((CE1164-Driver!$F$200)/(Driver!$G$200-Driver!$F$200)*$BI$1,1)</f>
        <v/>
      </c>
      <c r="BI1164" s="102">
        <f>MAX($BI$1*(BY1164-Driver!$F$201)/(Driver!$G$201-Driver!$F$201),1)</f>
        <v/>
      </c>
      <c r="BJ1164" s="102">
        <f>(CB1164-Driver!$F$206)/(Driver!$G$206-Driver!$F$206)*$BI$1</f>
        <v/>
      </c>
      <c r="BK1164" s="102">
        <f>(CD1164-Driver!$F$203)/(Driver!$G$203-Driver!$F$203)*$BI$1</f>
        <v/>
      </c>
      <c r="BL1164" s="102">
        <f>MAX((CR1164-Driver!$F$202)/(Driver!$G$202-Driver!$F$202)*$BI$1,1)</f>
        <v/>
      </c>
      <c r="BM1164" s="102">
        <f>MAX((CH1164-Driver!$F$204)/(Driver!$G$204-Driver!$F$204)*$BI$1,1)</f>
        <v/>
      </c>
      <c r="BN1164" s="102">
        <f>(CI1164-Driver!$F$205)/(Driver!$G$205-Driver!$F$205)*$BI$1</f>
        <v/>
      </c>
      <c r="BO1164" s="102">
        <f>(CK1164-Driver!$F$207)/(Driver!$G$207-Driver!$F$207)*$BI$1</f>
        <v/>
      </c>
      <c r="BP1164" s="102">
        <f>(CM1164-Driver!$F$208)/(Driver!$G$208-Driver!$F$208)*$BI$1</f>
        <v/>
      </c>
      <c r="BQ1164" s="102">
        <f>(CL1164-Driver!$F$209)/(Driver!$G$209-Driver!$F$209)*$BI$1</f>
        <v/>
      </c>
      <c r="BR1164" s="40" t="inlineStr">
        <is>
          <t>21/22</t>
        </is>
      </c>
      <c r="BS1164" s="10" t="inlineStr">
        <is>
          <t xml:space="preserve"> Head</t>
        </is>
      </c>
      <c r="BT1164" s="11" t="inlineStr">
        <is>
          <t xml:space="preserve"> Worldcup Rebels e-SL</t>
        </is>
      </c>
      <c r="BU1164" s="13" t="n">
        <v>170</v>
      </c>
      <c r="BV1164" s="11" t="inlineStr">
        <is>
          <t xml:space="preserve"> Unisex</t>
        </is>
      </c>
      <c r="BW1164" s="13" t="n">
        <v>170</v>
      </c>
      <c r="BX1164" s="13" t="n">
        <v>168.9</v>
      </c>
      <c r="BY1164" s="13" t="n">
        <v>151</v>
      </c>
      <c r="BZ1164" s="13" t="n">
        <v>159</v>
      </c>
      <c r="CA1164" s="13" t="n">
        <v>122</v>
      </c>
      <c r="CB1164" s="13" t="n">
        <v>67</v>
      </c>
      <c r="CC1164" s="13" t="n">
        <v>107</v>
      </c>
      <c r="CD1164" s="13" t="n">
        <v>13.2</v>
      </c>
      <c r="CE1164" s="13" t="n">
        <v>2386</v>
      </c>
      <c r="CF1164" s="13" t="n">
        <v>0.6</v>
      </c>
      <c r="CG1164" s="13" t="n">
        <v>1420</v>
      </c>
      <c r="CH1164" s="13" t="n">
        <v>221</v>
      </c>
      <c r="CI1164" s="13" t="n">
        <v>97</v>
      </c>
      <c r="CJ1164" s="13" t="n">
        <v>39</v>
      </c>
      <c r="CK1164" s="13" t="n">
        <v>141</v>
      </c>
      <c r="CL1164" s="13" t="n">
        <v>3</v>
      </c>
      <c r="CM1164" s="13" t="n">
        <v>41</v>
      </c>
      <c r="CN1164" s="13" t="n">
        <v>0.067</v>
      </c>
      <c r="CO1164" s="13" t="n">
        <v>58</v>
      </c>
      <c r="CP1164" s="13" t="n">
        <v>36</v>
      </c>
      <c r="CQ1164" s="13" t="n">
        <v>83</v>
      </c>
      <c r="CR1164" s="13" t="n">
        <v>10</v>
      </c>
      <c r="CS1164" s="13" t="n">
        <v>12.5</v>
      </c>
      <c r="CT1164" s="11" t="inlineStr">
        <is>
          <t xml:space="preserve"> On-Piste Carving</t>
        </is>
      </c>
      <c r="CU1164" s="13" t="n"/>
      <c r="CV1164" s="13" t="n"/>
      <c r="CW1164" s="13" t="n"/>
      <c r="CX1164">
        <f>INDEX('Data_Price '!AG$2:AG$1266,MATCH(Data!$DN1164,'Data_Price '!$AT$2:$AT$1266,0))</f>
        <v/>
      </c>
      <c r="CY1164">
        <f>INDEX('Data_Price '!AH$2:AH$1266,MATCH(Data!$DN1164,'Data_Price '!$AT$2:$AT$1266,0))</f>
        <v/>
      </c>
      <c r="CZ1164">
        <f>INDEX('Data_Price '!AI$2:AI$1266,MATCH(Data!$DN1164,'Data_Price '!$AT$2:$AT$1266,0))</f>
        <v/>
      </c>
      <c r="DA1164">
        <f>INDEX('Data_Price '!AJ$2:AJ$1266,MATCH(Data!$DN1164,'Data_Price '!$AT$2:$AT$1266,0))</f>
        <v/>
      </c>
      <c r="DB1164">
        <f>INDEX('Data_Price '!AK$2:AK$1266,MATCH(Data!$DN1164,'Data_Price '!$AT$2:$AT$1266,0))</f>
        <v/>
      </c>
      <c r="DC1164">
        <f>INDEX('Data_Price '!AL$2:AL$1266,MATCH(Data!$DN1164,'Data_Price '!$AT$2:$AT$1266,0))</f>
        <v/>
      </c>
      <c r="DD1164">
        <f>INDEX('Data_Price '!AM$2:AM$1266,MATCH(Data!$DN1164,'Data_Price '!$AT$2:$AT$1266,0))</f>
        <v/>
      </c>
      <c r="DE1164">
        <f>INDEX('Data_Price '!AN$2:AN$1266,MATCH(Data!$DN1164,'Data_Price '!$AT$2:$AT$1266,0))</f>
        <v/>
      </c>
      <c r="DF1164">
        <f>INDEX('Data_Price '!AO$2:AO$1266,MATCH(Data!$DN1164,'Data_Price '!$AT$2:$AT$1266,0))</f>
        <v/>
      </c>
      <c r="DG1164">
        <f>INDEX('Data_Price '!AP$2:AP$1266,MATCH(Data!$DN1164,'Data_Price '!$AT$2:$AT$1266,0))</f>
        <v/>
      </c>
      <c r="DH1164">
        <f>INDEX('Data_Price '!AQ$2:AQ$1266,MATCH(Data!$DN1164,'Data_Price '!$AT$2:$AT$1266,0))</f>
        <v/>
      </c>
      <c r="DI1164">
        <f>INDEX('Data_Price '!AR$2:AR$1266,MATCH(Data!$DN1164,'Data_Price '!$AT$2:$AT$1266,0))</f>
        <v/>
      </c>
      <c r="DJ1164" s="138">
        <f>DA1164</f>
        <v/>
      </c>
      <c r="DK1164" s="138">
        <f>DE1164</f>
        <v/>
      </c>
      <c r="DL1164" s="138">
        <f>DI1164</f>
        <v/>
      </c>
      <c r="DM1164" s="303">
        <f>IF(LEFT(BT1164,1)=" ",RIGHT(BT1164,LEN(BT1164)-1),BT1164)</f>
        <v/>
      </c>
      <c r="DN1164" s="138">
        <f>_xlfn.CONCAT(BS1164,DM1164,BU1164,BV1164)</f>
        <v/>
      </c>
      <c r="DO1164" s="307" t="n"/>
    </row>
    <row r="1165" ht="15.6" customHeight="1" s="184">
      <c r="B1165" s="303">
        <f t="array" ref="B1165">IF(OR(ISERROR(K1165:P1165)),FALSE,TRUE)</f>
        <v/>
      </c>
      <c r="C1165" s="60">
        <f>OR(BR1165=Driver!$G$50,Data!BR289=Driver!$H$50)</f>
        <v/>
      </c>
      <c r="D1165" s="60">
        <f>OR(BV1165=Driver!$G$51,BV1165=Driver!$H$51)</f>
        <v/>
      </c>
      <c r="E1165" s="60">
        <f>AND(BX1165&gt;Driver!$F$54,BX1165&lt;Driver!$G$54)</f>
        <v/>
      </c>
      <c r="F1165" s="60">
        <f>CL1165&gt;Driver!$F$56</f>
        <v/>
      </c>
      <c r="G1165" s="60">
        <f>AND(CB1165&gt;Driver!$F$55,CB1165&lt;Driver!$G$55)</f>
        <v/>
      </c>
      <c r="H1165" s="60">
        <f>AND(B1165:G1165)</f>
        <v/>
      </c>
      <c r="I1165" s="60">
        <f>COUNTIFS($H$9:$H$1273,TRUE,$BT$9:$BT$1273,BT1165)</f>
        <v/>
      </c>
      <c r="J1165" s="60">
        <f t="array" ref="J1165">NOT(OR(($H$9:$H$1273=TRUE)*($I$9:$I$1273&gt;0)*($BT$9:$BT$1273=BT1165)*($K$9:$K$1273&gt;K1165)))</f>
        <v/>
      </c>
      <c r="K1165" s="108">
        <f>IFERROR(1-AVERAGE(X1165:Y1165),"")</f>
        <v/>
      </c>
      <c r="L1165" s="108">
        <f>1-X1165</f>
        <v/>
      </c>
      <c r="M1165" s="108">
        <f>1-Y1165</f>
        <v/>
      </c>
      <c r="N1165" s="108">
        <f>1-Z1165</f>
        <v/>
      </c>
      <c r="O1165" s="108">
        <f>1-AA1165</f>
        <v/>
      </c>
      <c r="P1165" s="108">
        <f>1-AB1165</f>
        <v/>
      </c>
      <c r="Q1165" s="108" t="n"/>
      <c r="R1165" s="108" t="n"/>
      <c r="S1165" s="108">
        <f>1-AE1165</f>
        <v/>
      </c>
      <c r="T1165" s="108">
        <f>1-AF1165</f>
        <v/>
      </c>
      <c r="U1165" s="108">
        <f>1-AG1165</f>
        <v/>
      </c>
      <c r="V1165" s="108">
        <f>1-AH1165</f>
        <v/>
      </c>
      <c r="W1165" s="108">
        <f>1-AI1165</f>
        <v/>
      </c>
      <c r="X1165" s="108">
        <f>ABS(AJ1165-AJ$1)</f>
        <v/>
      </c>
      <c r="Y1165" s="108">
        <f>AVERAGE(Z1165:AB1165)</f>
        <v/>
      </c>
      <c r="Z1165" s="108">
        <f>ABS(AL1165-AL$1)</f>
        <v/>
      </c>
      <c r="AA1165" s="108">
        <f>ABS(AM1165-AM$1)</f>
        <v/>
      </c>
      <c r="AB1165" s="108">
        <f>ABS(AN1165-AN$1)</f>
        <v/>
      </c>
      <c r="AC1165" s="108" t="n"/>
      <c r="AD1165" s="108" t="n"/>
      <c r="AE1165" s="108">
        <f>ABS(AQ$1-AQ1165)</f>
        <v/>
      </c>
      <c r="AF1165" s="108">
        <f>ABS(AR$1-AR1165)</f>
        <v/>
      </c>
      <c r="AG1165" s="108">
        <f>ABS(AS$1-AS1165)</f>
        <v/>
      </c>
      <c r="AH1165" s="108">
        <f>ABS(AT$1-AT1165)</f>
        <v/>
      </c>
      <c r="AI1165" s="108">
        <f>ABS(AU$1-AU1165)</f>
        <v/>
      </c>
      <c r="AJ1165" s="108">
        <f>(AV1165-Driver!$K$179)/(Driver!$L$179-Driver!$K$179)</f>
        <v/>
      </c>
      <c r="AK1165" s="108">
        <f>(AW1165-Driver!$K$180)/(Driver!$L$180-Driver!$K$180)</f>
        <v/>
      </c>
      <c r="AL1165" s="108">
        <f>(AX1165-Driver!$K$181)/(Driver!$L$181-Driver!$K$181)</f>
        <v/>
      </c>
      <c r="AM1165" s="108">
        <f>(AY1165-Driver!$K$182)/(Driver!$L$182-Driver!$K$182)</f>
        <v/>
      </c>
      <c r="AN1165" s="108">
        <f>(AZ1165-Driver!$K$183)/(Driver!$L$183-Driver!$K$183)</f>
        <v/>
      </c>
      <c r="AO1165" s="108" t="n"/>
      <c r="AP1165" s="108" t="n"/>
      <c r="AQ1165" s="108">
        <f>(BC1165-Driver!$K$188)/(Driver!$L$188-Driver!$K$188)</f>
        <v/>
      </c>
      <c r="AR1165" s="108">
        <f>MIN((BD1165-Driver!$K$189)/(Driver!$L$189-Driver!$K$189),100%)</f>
        <v/>
      </c>
      <c r="AS1165" s="108">
        <f>(BE1165-Driver!$K$190)/(Driver!$L$190-Driver!$K$190)</f>
        <v/>
      </c>
      <c r="AT1165" s="108">
        <f>(BF1165-Driver!$K$191)/(Driver!$L$191-Driver!$K$191)</f>
        <v/>
      </c>
      <c r="AU1165" s="108">
        <f>(BG1165-Driver!$K$192)/(Driver!$L$192-Driver!$K$192)</f>
        <v/>
      </c>
      <c r="AV1165" s="105">
        <f>IFERROR(BM1165*BJ1165^1/4,"")</f>
        <v/>
      </c>
      <c r="AW1165" s="105">
        <f>IFERROR(SUM(AX1165:AZ1165),"")</f>
        <v/>
      </c>
      <c r="AX1165" s="105">
        <f>IFERROR(BH1165,"")</f>
        <v/>
      </c>
      <c r="AY1165" s="105">
        <f>IFERROR(Driver!$K$19/Data!BH1165/Data!BI1165*Data!BK1165*Data!BL1165,"")</f>
        <v/>
      </c>
      <c r="AZ1165" s="105">
        <f>IFERROR(BI1165*BN1165,"")</f>
        <v/>
      </c>
      <c r="BA1165" s="105" t="n"/>
      <c r="BB1165" s="105" t="n"/>
      <c r="BC1165" s="105">
        <f>IFERROR(BI1165*BN1165*BK1165/BJ1165^(1/2),"")</f>
        <v/>
      </c>
      <c r="BD1165" s="105">
        <f>IFERROR(BH1165*BM1165*BL1165/BJ1165/BK1165,"")</f>
        <v/>
      </c>
      <c r="BE1165" s="105">
        <f>IFERROR(MIN(BI1165/BQ1165/BP1165/BO1165/BH1165,$BE$1),"")</f>
        <v/>
      </c>
      <c r="BF1165" s="105">
        <f>IFERROR(BJ1165*BO1165*BP1165/BK1165,"")</f>
        <v/>
      </c>
      <c r="BG1165" s="105">
        <f>IFERROR(1/BM1165/BH1165*BQ1165,"")</f>
        <v/>
      </c>
      <c r="BH1165" s="102">
        <f>MAX((CE1165-Driver!$F$200)/(Driver!$G$200-Driver!$F$200)*$BI$1,1)</f>
        <v/>
      </c>
      <c r="BI1165" s="102">
        <f>MAX($BI$1*(BY1165-Driver!$F$201)/(Driver!$G$201-Driver!$F$201),1)</f>
        <v/>
      </c>
      <c r="BJ1165" s="102">
        <f>(CB1165-Driver!$F$206)/(Driver!$G$206-Driver!$F$206)*$BI$1</f>
        <v/>
      </c>
      <c r="BK1165" s="102">
        <f>(CD1165-Driver!$F$203)/(Driver!$G$203-Driver!$F$203)*$BI$1</f>
        <v/>
      </c>
      <c r="BL1165" s="102">
        <f>MAX((CR1165-Driver!$F$202)/(Driver!$G$202-Driver!$F$202)*$BI$1,1)</f>
        <v/>
      </c>
      <c r="BM1165" s="102">
        <f>MAX((CH1165-Driver!$F$204)/(Driver!$G$204-Driver!$F$204)*$BI$1,1)</f>
        <v/>
      </c>
      <c r="BN1165" s="102">
        <f>(CI1165-Driver!$F$205)/(Driver!$G$205-Driver!$F$205)*$BI$1</f>
        <v/>
      </c>
      <c r="BO1165" s="102">
        <f>(CK1165-Driver!$F$207)/(Driver!$G$207-Driver!$F$207)*$BI$1</f>
        <v/>
      </c>
      <c r="BP1165" s="102">
        <f>(CM1165-Driver!$F$208)/(Driver!$G$208-Driver!$F$208)*$BI$1</f>
        <v/>
      </c>
      <c r="BQ1165" s="102">
        <f>(CL1165-Driver!$F$209)/(Driver!$G$209-Driver!$F$209)*$BI$1</f>
        <v/>
      </c>
      <c r="BR1165" s="40" t="inlineStr">
        <is>
          <t>21/22</t>
        </is>
      </c>
      <c r="BS1165" s="10" t="inlineStr">
        <is>
          <t xml:space="preserve"> Blizzard</t>
        </is>
      </c>
      <c r="BT1165" s="11" t="inlineStr">
        <is>
          <t>Rustler 10</t>
        </is>
      </c>
      <c r="BU1165" s="13" t="n">
        <v>188</v>
      </c>
      <c r="BV1165" s="11" t="inlineStr">
        <is>
          <t xml:space="preserve"> Unisex</t>
        </is>
      </c>
      <c r="BW1165" s="13" t="n">
        <v>188</v>
      </c>
      <c r="BX1165" s="13" t="n">
        <v>186.2</v>
      </c>
      <c r="BY1165" s="13" t="n">
        <v>112</v>
      </c>
      <c r="BZ1165" s="13" t="n">
        <v>157</v>
      </c>
      <c r="CA1165" s="13" t="n">
        <v>134</v>
      </c>
      <c r="CB1165" s="13" t="n">
        <v>103</v>
      </c>
      <c r="CC1165" s="13" t="n">
        <v>125</v>
      </c>
      <c r="CD1165" s="13" t="n">
        <v>19.9</v>
      </c>
      <c r="CE1165" s="13" t="n">
        <v>2276</v>
      </c>
      <c r="CF1165" s="13" t="n">
        <v>0.93</v>
      </c>
      <c r="CG1165" s="13" t="n">
        <v>2122</v>
      </c>
      <c r="CH1165" s="13" t="n">
        <v>282</v>
      </c>
      <c r="CI1165" s="13" t="n">
        <v>145</v>
      </c>
      <c r="CJ1165" s="13" t="n">
        <v>68</v>
      </c>
      <c r="CK1165" s="13" t="n">
        <v>417</v>
      </c>
      <c r="CL1165" s="13" t="n">
        <v>33</v>
      </c>
      <c r="CM1165" s="13" t="n">
        <v>326</v>
      </c>
      <c r="CN1165" s="13" t="n">
        <v>0.491</v>
      </c>
      <c r="CO1165" s="13" t="n">
        <v>147</v>
      </c>
      <c r="CP1165" s="13" t="n">
        <v>146</v>
      </c>
      <c r="CQ1165" s="13" t="n">
        <v>270</v>
      </c>
      <c r="CR1165" s="13" t="n">
        <v>3</v>
      </c>
      <c r="CS1165" s="13" t="n">
        <v>7.5</v>
      </c>
      <c r="CT1165" s="11" t="inlineStr">
        <is>
          <t xml:space="preserve"> Resort Freeride</t>
        </is>
      </c>
      <c r="CU1165" s="11" t="inlineStr">
        <is>
          <t xml:space="preserve"> Powder</t>
        </is>
      </c>
      <c r="CV1165" s="13" t="n"/>
      <c r="CW1165" s="13" t="n"/>
      <c r="CX1165">
        <f>INDEX('Data_Price '!AG$2:AG$1266,MATCH(Data!$DN1165,'Data_Price '!$AT$2:$AT$1266,0))</f>
        <v/>
      </c>
      <c r="CY1165">
        <f>INDEX('Data_Price '!AH$2:AH$1266,MATCH(Data!$DN1165,'Data_Price '!$AT$2:$AT$1266,0))</f>
        <v/>
      </c>
      <c r="CZ1165">
        <f>INDEX('Data_Price '!AI$2:AI$1266,MATCH(Data!$DN1165,'Data_Price '!$AT$2:$AT$1266,0))</f>
        <v/>
      </c>
      <c r="DA1165">
        <f>INDEX('Data_Price '!AJ$2:AJ$1266,MATCH(Data!$DN1165,'Data_Price '!$AT$2:$AT$1266,0))</f>
        <v/>
      </c>
      <c r="DB1165">
        <f>INDEX('Data_Price '!AK$2:AK$1266,MATCH(Data!$DN1165,'Data_Price '!$AT$2:$AT$1266,0))</f>
        <v/>
      </c>
      <c r="DC1165">
        <f>INDEX('Data_Price '!AL$2:AL$1266,MATCH(Data!$DN1165,'Data_Price '!$AT$2:$AT$1266,0))</f>
        <v/>
      </c>
      <c r="DD1165">
        <f>INDEX('Data_Price '!AM$2:AM$1266,MATCH(Data!$DN1165,'Data_Price '!$AT$2:$AT$1266,0))</f>
        <v/>
      </c>
      <c r="DE1165">
        <f>INDEX('Data_Price '!AN$2:AN$1266,MATCH(Data!$DN1165,'Data_Price '!$AT$2:$AT$1266,0))</f>
        <v/>
      </c>
      <c r="DF1165">
        <f>INDEX('Data_Price '!AO$2:AO$1266,MATCH(Data!$DN1165,'Data_Price '!$AT$2:$AT$1266,0))</f>
        <v/>
      </c>
      <c r="DG1165">
        <f>INDEX('Data_Price '!AP$2:AP$1266,MATCH(Data!$DN1165,'Data_Price '!$AT$2:$AT$1266,0))</f>
        <v/>
      </c>
      <c r="DH1165">
        <f>INDEX('Data_Price '!AQ$2:AQ$1266,MATCH(Data!$DN1165,'Data_Price '!$AT$2:$AT$1266,0))</f>
        <v/>
      </c>
      <c r="DI1165">
        <f>INDEX('Data_Price '!AR$2:AR$1266,MATCH(Data!$DN1165,'Data_Price '!$AT$2:$AT$1266,0))</f>
        <v/>
      </c>
      <c r="DJ1165" s="138">
        <f>DA1165</f>
        <v/>
      </c>
      <c r="DK1165" s="138">
        <f>DE1165</f>
        <v/>
      </c>
      <c r="DL1165" s="138">
        <f>DI1165</f>
        <v/>
      </c>
      <c r="DM1165" s="303">
        <f>IF(LEFT(BT1165,1)=" ",RIGHT(BT1165,LEN(BT1165)-1),BT1165)</f>
        <v/>
      </c>
      <c r="DN1165" s="138">
        <f>_xlfn.CONCAT(BS1165,DM1165,BU1165,BV1165)</f>
        <v/>
      </c>
      <c r="DO1165" s="307" t="inlineStr">
        <is>
          <t>https://images.evo.com/imgp/250/216620/902901/blizzard-rustler-10-skis-2023-.jpg</t>
        </is>
      </c>
    </row>
    <row r="1166" ht="15.6" customHeight="1" s="184">
      <c r="B1166" s="303">
        <f t="array" ref="B1166">IF(OR(ISERROR(K1166:P1166)),FALSE,TRUE)</f>
        <v/>
      </c>
      <c r="C1166" s="60">
        <f>OR(BR1166=Driver!$G$50,Data!BR595=Driver!$H$50)</f>
        <v/>
      </c>
      <c r="D1166" s="60">
        <f>OR(BV1166=Driver!$G$51,BV1166=Driver!$H$51)</f>
        <v/>
      </c>
      <c r="E1166" s="60">
        <f>AND(BX1166&gt;Driver!$F$54,BX1166&lt;Driver!$G$54)</f>
        <v/>
      </c>
      <c r="F1166" s="60">
        <f>CL1166&gt;Driver!$F$56</f>
        <v/>
      </c>
      <c r="G1166" s="60">
        <f>AND(CB1166&gt;Driver!$F$55,CB1166&lt;Driver!$G$55)</f>
        <v/>
      </c>
      <c r="H1166" s="60">
        <f>AND(B1166:G1166)</f>
        <v/>
      </c>
      <c r="I1166" s="60">
        <f>COUNTIFS($H$9:$H$1273,TRUE,$BT$9:$BT$1273,BT1166)</f>
        <v/>
      </c>
      <c r="J1166" s="60">
        <f t="array" ref="J1166">NOT(OR(($H$9:$H$1273=TRUE)*($I$9:$I$1273&gt;0)*($BT$9:$BT$1273=BT1166)*($K$9:$K$1273&gt;K1166)))</f>
        <v/>
      </c>
      <c r="K1166" s="108">
        <f>IFERROR(1-AVERAGE(X1166:Y1166),"")</f>
        <v/>
      </c>
      <c r="L1166" s="108">
        <f>1-X1166</f>
        <v/>
      </c>
      <c r="M1166" s="108">
        <f>1-Y1166</f>
        <v/>
      </c>
      <c r="N1166" s="108">
        <f>1-Z1166</f>
        <v/>
      </c>
      <c r="O1166" s="108">
        <f>1-AA1166</f>
        <v/>
      </c>
      <c r="P1166" s="108">
        <f>1-AB1166</f>
        <v/>
      </c>
      <c r="Q1166" s="108" t="n"/>
      <c r="R1166" s="108" t="n"/>
      <c r="S1166" s="108">
        <f>1-AE1166</f>
        <v/>
      </c>
      <c r="T1166" s="108">
        <f>1-AF1166</f>
        <v/>
      </c>
      <c r="U1166" s="108">
        <f>1-AG1166</f>
        <v/>
      </c>
      <c r="V1166" s="108">
        <f>1-AH1166</f>
        <v/>
      </c>
      <c r="W1166" s="108">
        <f>1-AI1166</f>
        <v/>
      </c>
      <c r="X1166" s="108">
        <f>ABS(AJ1166-AJ$1)</f>
        <v/>
      </c>
      <c r="Y1166" s="108">
        <f>AVERAGE(Z1166:AB1166)</f>
        <v/>
      </c>
      <c r="Z1166" s="108">
        <f>ABS(AL1166-AL$1)</f>
        <v/>
      </c>
      <c r="AA1166" s="108">
        <f>ABS(AM1166-AM$1)</f>
        <v/>
      </c>
      <c r="AB1166" s="108">
        <f>ABS(AN1166-AN$1)</f>
        <v/>
      </c>
      <c r="AC1166" s="108" t="n"/>
      <c r="AD1166" s="108" t="n"/>
      <c r="AE1166" s="108">
        <f>ABS(AQ$1-AQ1166)</f>
        <v/>
      </c>
      <c r="AF1166" s="108">
        <f>ABS(AR$1-AR1166)</f>
        <v/>
      </c>
      <c r="AG1166" s="108">
        <f>ABS(AS$1-AS1166)</f>
        <v/>
      </c>
      <c r="AH1166" s="108">
        <f>ABS(AT$1-AT1166)</f>
        <v/>
      </c>
      <c r="AI1166" s="108">
        <f>ABS(AU$1-AU1166)</f>
        <v/>
      </c>
      <c r="AJ1166" s="108">
        <f>(AV1166-Driver!$K$179)/(Driver!$L$179-Driver!$K$179)</f>
        <v/>
      </c>
      <c r="AK1166" s="108">
        <f>(AW1166-Driver!$K$180)/(Driver!$L$180-Driver!$K$180)</f>
        <v/>
      </c>
      <c r="AL1166" s="108">
        <f>(AX1166-Driver!$K$181)/(Driver!$L$181-Driver!$K$181)</f>
        <v/>
      </c>
      <c r="AM1166" s="108">
        <f>(AY1166-Driver!$K$182)/(Driver!$L$182-Driver!$K$182)</f>
        <v/>
      </c>
      <c r="AN1166" s="108">
        <f>(AZ1166-Driver!$K$183)/(Driver!$L$183-Driver!$K$183)</f>
        <v/>
      </c>
      <c r="AO1166" s="108" t="n"/>
      <c r="AP1166" s="108" t="n"/>
      <c r="AQ1166" s="108">
        <f>(BC1166-Driver!$K$188)/(Driver!$L$188-Driver!$K$188)</f>
        <v/>
      </c>
      <c r="AR1166" s="108">
        <f>MIN((BD1166-Driver!$K$189)/(Driver!$L$189-Driver!$K$189),100%)</f>
        <v/>
      </c>
      <c r="AS1166" s="108">
        <f>(BE1166-Driver!$K$190)/(Driver!$L$190-Driver!$K$190)</f>
        <v/>
      </c>
      <c r="AT1166" s="108">
        <f>(BF1166-Driver!$K$191)/(Driver!$L$191-Driver!$K$191)</f>
        <v/>
      </c>
      <c r="AU1166" s="108">
        <f>(BG1166-Driver!$K$192)/(Driver!$L$192-Driver!$K$192)</f>
        <v/>
      </c>
      <c r="AV1166" s="105">
        <f>IFERROR(BM1166*BJ1166^1/4,"")</f>
        <v/>
      </c>
      <c r="AW1166" s="105">
        <f>IFERROR(SUM(AX1166:AZ1166),"")</f>
        <v/>
      </c>
      <c r="AX1166" s="105">
        <f>IFERROR(BH1166,"")</f>
        <v/>
      </c>
      <c r="AY1166" s="105">
        <f>IFERROR(Driver!$K$19/Data!BH1166/Data!BI1166*Data!BK1166*Data!BL1166,"")</f>
        <v/>
      </c>
      <c r="AZ1166" s="105">
        <f>IFERROR(BI1166*BN1166,"")</f>
        <v/>
      </c>
      <c r="BA1166" s="105" t="n"/>
      <c r="BB1166" s="105" t="n"/>
      <c r="BC1166" s="105">
        <f>IFERROR(BI1166*BN1166*BK1166/BJ1166^(1/2),"")</f>
        <v/>
      </c>
      <c r="BD1166" s="105">
        <f>IFERROR(BH1166*BM1166*BL1166/BJ1166/BK1166,"")</f>
        <v/>
      </c>
      <c r="BE1166" s="105">
        <f>IFERROR(MIN(BI1166/BQ1166/BP1166/BO1166/BH1166,$BE$1),"")</f>
        <v/>
      </c>
      <c r="BF1166" s="105">
        <f>IFERROR(BJ1166*BO1166*BP1166/BK1166,"")</f>
        <v/>
      </c>
      <c r="BG1166" s="105">
        <f>IFERROR(1/BM1166/BH1166*BQ1166,"")</f>
        <v/>
      </c>
      <c r="BH1166" s="102">
        <f>MAX((CE1166-Driver!$F$200)/(Driver!$G$200-Driver!$F$200)*$BI$1,1)</f>
        <v/>
      </c>
      <c r="BI1166" s="102">
        <f>MAX($BI$1*(BY1166-Driver!$F$201)/(Driver!$G$201-Driver!$F$201),1)</f>
        <v/>
      </c>
      <c r="BJ1166" s="102">
        <f>(CB1166-Driver!$F$206)/(Driver!$G$206-Driver!$F$206)*$BI$1</f>
        <v/>
      </c>
      <c r="BK1166" s="102">
        <f>(CD1166-Driver!$F$203)/(Driver!$G$203-Driver!$F$203)*$BI$1</f>
        <v/>
      </c>
      <c r="BL1166" s="102">
        <f>MAX((CR1166-Driver!$F$202)/(Driver!$G$202-Driver!$F$202)*$BI$1,1)</f>
        <v/>
      </c>
      <c r="BM1166" s="102">
        <f>MAX((CH1166-Driver!$F$204)/(Driver!$G$204-Driver!$F$204)*$BI$1,1)</f>
        <v/>
      </c>
      <c r="BN1166" s="102">
        <f>(CI1166-Driver!$F$205)/(Driver!$G$205-Driver!$F$205)*$BI$1</f>
        <v/>
      </c>
      <c r="BO1166" s="102">
        <f>(CK1166-Driver!$F$207)/(Driver!$G$207-Driver!$F$207)*$BI$1</f>
        <v/>
      </c>
      <c r="BP1166" s="102">
        <f>(CM1166-Driver!$F$208)/(Driver!$G$208-Driver!$F$208)*$BI$1</f>
        <v/>
      </c>
      <c r="BQ1166" s="102">
        <f>(CL1166-Driver!$F$209)/(Driver!$G$209-Driver!$F$209)*$BI$1</f>
        <v/>
      </c>
      <c r="BR1166" s="40" t="inlineStr">
        <is>
          <t>21/22</t>
        </is>
      </c>
      <c r="BS1166" s="10" t="inlineStr">
        <is>
          <t xml:space="preserve"> Fischer</t>
        </is>
      </c>
      <c r="BT1166" s="11" t="inlineStr">
        <is>
          <t>RC4 WC SC</t>
        </is>
      </c>
      <c r="BU1166" s="13" t="n">
        <v>165</v>
      </c>
      <c r="BV1166" s="11" t="inlineStr">
        <is>
          <t xml:space="preserve"> Unisex</t>
        </is>
      </c>
      <c r="BW1166" s="13" t="n">
        <v>165</v>
      </c>
      <c r="BX1166" s="13" t="n">
        <v>164.5</v>
      </c>
      <c r="BY1166" s="13" t="n">
        <v>146</v>
      </c>
      <c r="BZ1166" s="13" t="n">
        <v>155</v>
      </c>
      <c r="CA1166" s="13" t="n">
        <v>120</v>
      </c>
      <c r="CB1166" s="13" t="n">
        <v>66</v>
      </c>
      <c r="CC1166" s="13" t="n">
        <v>103</v>
      </c>
      <c r="CD1166" s="13" t="n">
        <v>12.6</v>
      </c>
      <c r="CE1166" s="13" t="n">
        <v>2012</v>
      </c>
      <c r="CF1166" s="13" t="n">
        <v>0.68</v>
      </c>
      <c r="CG1166" s="13" t="n">
        <v>1373</v>
      </c>
      <c r="CH1166" s="13" t="n">
        <v>212</v>
      </c>
      <c r="CI1166" s="13" t="n">
        <v>130</v>
      </c>
      <c r="CJ1166" s="13" t="n">
        <v>37</v>
      </c>
      <c r="CK1166" s="13" t="n">
        <v>139</v>
      </c>
      <c r="CL1166" s="13" t="n">
        <v>4</v>
      </c>
      <c r="CM1166" s="13" t="n">
        <v>48</v>
      </c>
      <c r="CN1166" s="13" t="n">
        <v>0.097</v>
      </c>
      <c r="CO1166" s="13" t="n">
        <v>47</v>
      </c>
      <c r="CP1166" s="13" t="n">
        <v>45</v>
      </c>
      <c r="CQ1166" s="13" t="n">
        <v>92</v>
      </c>
      <c r="CR1166" s="13" t="n">
        <v>9</v>
      </c>
      <c r="CS1166" s="13" t="n">
        <v>12.9</v>
      </c>
      <c r="CT1166" s="11" t="inlineStr">
        <is>
          <t xml:space="preserve"> On-Piste Carving</t>
        </is>
      </c>
      <c r="CU1166" s="13" t="n"/>
      <c r="CV1166" s="13" t="n"/>
      <c r="CW1166" s="13" t="n"/>
      <c r="CX1166">
        <f>INDEX('Data_Price '!AG$2:AG$1266,MATCH(Data!$DN1166,'Data_Price '!$AT$2:$AT$1266,0))</f>
        <v/>
      </c>
      <c r="CY1166">
        <f>INDEX('Data_Price '!AH$2:AH$1266,MATCH(Data!$DN1166,'Data_Price '!$AT$2:$AT$1266,0))</f>
        <v/>
      </c>
      <c r="CZ1166">
        <f>INDEX('Data_Price '!AI$2:AI$1266,MATCH(Data!$DN1166,'Data_Price '!$AT$2:$AT$1266,0))</f>
        <v/>
      </c>
      <c r="DA1166">
        <f>INDEX('Data_Price '!AJ$2:AJ$1266,MATCH(Data!$DN1166,'Data_Price '!$AT$2:$AT$1266,0))</f>
        <v/>
      </c>
      <c r="DB1166">
        <f>INDEX('Data_Price '!AK$2:AK$1266,MATCH(Data!$DN1166,'Data_Price '!$AT$2:$AT$1266,0))</f>
        <v/>
      </c>
      <c r="DC1166">
        <f>INDEX('Data_Price '!AL$2:AL$1266,MATCH(Data!$DN1166,'Data_Price '!$AT$2:$AT$1266,0))</f>
        <v/>
      </c>
      <c r="DD1166">
        <f>INDEX('Data_Price '!AM$2:AM$1266,MATCH(Data!$DN1166,'Data_Price '!$AT$2:$AT$1266,0))</f>
        <v/>
      </c>
      <c r="DE1166">
        <f>INDEX('Data_Price '!AN$2:AN$1266,MATCH(Data!$DN1166,'Data_Price '!$AT$2:$AT$1266,0))</f>
        <v/>
      </c>
      <c r="DF1166">
        <f>INDEX('Data_Price '!AO$2:AO$1266,MATCH(Data!$DN1166,'Data_Price '!$AT$2:$AT$1266,0))</f>
        <v/>
      </c>
      <c r="DG1166">
        <f>INDEX('Data_Price '!AP$2:AP$1266,MATCH(Data!$DN1166,'Data_Price '!$AT$2:$AT$1266,0))</f>
        <v/>
      </c>
      <c r="DH1166">
        <f>INDEX('Data_Price '!AQ$2:AQ$1266,MATCH(Data!$DN1166,'Data_Price '!$AT$2:$AT$1266,0))</f>
        <v/>
      </c>
      <c r="DI1166">
        <f>INDEX('Data_Price '!AR$2:AR$1266,MATCH(Data!$DN1166,'Data_Price '!$AT$2:$AT$1266,0))</f>
        <v/>
      </c>
      <c r="DJ1166" s="138">
        <f>DA1166</f>
        <v/>
      </c>
      <c r="DK1166" s="138">
        <f>DE1166</f>
        <v/>
      </c>
      <c r="DL1166" s="138">
        <f>DI1166</f>
        <v/>
      </c>
      <c r="DM1166" s="303">
        <f>IF(LEFT(BT1166,1)=" ",RIGHT(BT1166,LEN(BT1166)-1),BT1166)</f>
        <v/>
      </c>
      <c r="DN1166" s="138">
        <f>_xlfn.CONCAT(BS1166,DM1166,BU1166,BV1166)</f>
        <v/>
      </c>
      <c r="DO1166" s="307" t="n"/>
    </row>
    <row r="1167" ht="15.6" customHeight="1" s="184">
      <c r="B1167" s="303">
        <f t="array" ref="B1167">IF(OR(ISERROR(K1167:P1167)),FALSE,TRUE)</f>
        <v/>
      </c>
      <c r="C1167" s="60">
        <f>OR(BR1167=Driver!$G$50,Data!BR1250=Driver!$H$50)</f>
        <v/>
      </c>
      <c r="D1167" s="60">
        <f>OR(BV1167=Driver!$G$51,BV1167=Driver!$H$51)</f>
        <v/>
      </c>
      <c r="E1167" s="60">
        <f>AND(BX1167&gt;Driver!$F$54,BX1167&lt;Driver!$G$54)</f>
        <v/>
      </c>
      <c r="F1167" s="60">
        <f>CL1167&gt;Driver!$F$56</f>
        <v/>
      </c>
      <c r="G1167" s="60">
        <f>AND(CB1167&gt;Driver!$F$55,CB1167&lt;Driver!$G$55)</f>
        <v/>
      </c>
      <c r="H1167" s="60">
        <f>AND(B1167:G1167)</f>
        <v/>
      </c>
      <c r="I1167" s="60">
        <f>COUNTIFS($H$9:$H$1273,TRUE,$BT$9:$BT$1273,BT1167)</f>
        <v/>
      </c>
      <c r="J1167" s="60">
        <f t="array" ref="J1167">NOT(OR(($H$9:$H$1273=TRUE)*($I$9:$I$1273&gt;0)*($BT$9:$BT$1273=BT1167)*($K$9:$K$1273&gt;K1167)))</f>
        <v/>
      </c>
      <c r="K1167" s="108">
        <f>IFERROR(1-AVERAGE(X1167:Y1167),"")</f>
        <v/>
      </c>
      <c r="L1167" s="108">
        <f>1-X1167</f>
        <v/>
      </c>
      <c r="M1167" s="108">
        <f>1-Y1167</f>
        <v/>
      </c>
      <c r="N1167" s="108">
        <f>1-Z1167</f>
        <v/>
      </c>
      <c r="O1167" s="108">
        <f>1-AA1167</f>
        <v/>
      </c>
      <c r="P1167" s="108">
        <f>1-AB1167</f>
        <v/>
      </c>
      <c r="Q1167" s="108" t="n"/>
      <c r="R1167" s="108" t="n"/>
      <c r="S1167" s="108">
        <f>1-AE1167</f>
        <v/>
      </c>
      <c r="T1167" s="108">
        <f>1-AF1167</f>
        <v/>
      </c>
      <c r="U1167" s="108">
        <f>1-AG1167</f>
        <v/>
      </c>
      <c r="V1167" s="108">
        <f>1-AH1167</f>
        <v/>
      </c>
      <c r="W1167" s="108">
        <f>1-AI1167</f>
        <v/>
      </c>
      <c r="X1167" s="108">
        <f>ABS(AJ1167-AJ$1)</f>
        <v/>
      </c>
      <c r="Y1167" s="108">
        <f>AVERAGE(Z1167:AB1167)</f>
        <v/>
      </c>
      <c r="Z1167" s="108">
        <f>ABS(AL1167-AL$1)</f>
        <v/>
      </c>
      <c r="AA1167" s="108">
        <f>ABS(AM1167-AM$1)</f>
        <v/>
      </c>
      <c r="AB1167" s="108">
        <f>ABS(AN1167-AN$1)</f>
        <v/>
      </c>
      <c r="AC1167" s="108" t="n"/>
      <c r="AD1167" s="108" t="n"/>
      <c r="AE1167" s="108">
        <f>ABS(AQ$1-AQ1167)</f>
        <v/>
      </c>
      <c r="AF1167" s="108">
        <f>ABS(AR$1-AR1167)</f>
        <v/>
      </c>
      <c r="AG1167" s="108">
        <f>ABS(AS$1-AS1167)</f>
        <v/>
      </c>
      <c r="AH1167" s="108">
        <f>ABS(AT$1-AT1167)</f>
        <v/>
      </c>
      <c r="AI1167" s="108">
        <f>ABS(AU$1-AU1167)</f>
        <v/>
      </c>
      <c r="AJ1167" s="108">
        <f>(AV1167-Driver!$K$179)/(Driver!$L$179-Driver!$K$179)</f>
        <v/>
      </c>
      <c r="AK1167" s="108">
        <f>(AW1167-Driver!$K$180)/(Driver!$L$180-Driver!$K$180)</f>
        <v/>
      </c>
      <c r="AL1167" s="108">
        <f>(AX1167-Driver!$K$181)/(Driver!$L$181-Driver!$K$181)</f>
        <v/>
      </c>
      <c r="AM1167" s="108">
        <f>(AY1167-Driver!$K$182)/(Driver!$L$182-Driver!$K$182)</f>
        <v/>
      </c>
      <c r="AN1167" s="108">
        <f>(AZ1167-Driver!$K$183)/(Driver!$L$183-Driver!$K$183)</f>
        <v/>
      </c>
      <c r="AO1167" s="108" t="n"/>
      <c r="AP1167" s="108" t="n"/>
      <c r="AQ1167" s="108">
        <f>(BC1167-Driver!$K$188)/(Driver!$L$188-Driver!$K$188)</f>
        <v/>
      </c>
      <c r="AR1167" s="108">
        <f>MIN((BD1167-Driver!$K$189)/(Driver!$L$189-Driver!$K$189),100%)</f>
        <v/>
      </c>
      <c r="AS1167" s="108">
        <f>(BE1167-Driver!$K$190)/(Driver!$L$190-Driver!$K$190)</f>
        <v/>
      </c>
      <c r="AT1167" s="108">
        <f>(BF1167-Driver!$K$191)/(Driver!$L$191-Driver!$K$191)</f>
        <v/>
      </c>
      <c r="AU1167" s="108">
        <f>(BG1167-Driver!$K$192)/(Driver!$L$192-Driver!$K$192)</f>
        <v/>
      </c>
      <c r="AV1167" s="105">
        <f>IFERROR(BM1167*BJ1167^1/4,"")</f>
        <v/>
      </c>
      <c r="AW1167" s="105">
        <f>IFERROR(SUM(AX1167:AZ1167),"")</f>
        <v/>
      </c>
      <c r="AX1167" s="105">
        <f>IFERROR(BH1167,"")</f>
        <v/>
      </c>
      <c r="AY1167" s="105">
        <f>IFERROR(Driver!$K$19/Data!BH1167/Data!BI1167*Data!BK1167*Data!BL1167,"")</f>
        <v/>
      </c>
      <c r="AZ1167" s="105">
        <f>IFERROR(BI1167*BN1167,"")</f>
        <v/>
      </c>
      <c r="BA1167" s="105" t="n"/>
      <c r="BB1167" s="105" t="n"/>
      <c r="BC1167" s="105">
        <f>IFERROR(BI1167*BN1167*BK1167/BJ1167^(1/2),"")</f>
        <v/>
      </c>
      <c r="BD1167" s="105">
        <f>IFERROR(BH1167*BM1167*BL1167/BJ1167/BK1167,"")</f>
        <v/>
      </c>
      <c r="BE1167" s="105">
        <f>IFERROR(MIN(BI1167/BQ1167/BP1167/BO1167/BH1167,$BE$1),"")</f>
        <v/>
      </c>
      <c r="BF1167" s="105">
        <f>IFERROR(BJ1167*BO1167*BP1167/BK1167,"")</f>
        <v/>
      </c>
      <c r="BG1167" s="105">
        <f>IFERROR(1/BM1167/BH1167*BQ1167,"")</f>
        <v/>
      </c>
      <c r="BH1167" s="102">
        <f>MAX((CE1167-Driver!$F$200)/(Driver!$G$200-Driver!$F$200)*$BI$1,1)</f>
        <v/>
      </c>
      <c r="BI1167" s="102">
        <f>MAX($BI$1*(BY1167-Driver!$F$201)/(Driver!$G$201-Driver!$F$201),1)</f>
        <v/>
      </c>
      <c r="BJ1167" s="102">
        <f>(CB1167-Driver!$F$206)/(Driver!$G$206-Driver!$F$206)*$BI$1</f>
        <v/>
      </c>
      <c r="BK1167" s="102">
        <f>(CD1167-Driver!$F$203)/(Driver!$G$203-Driver!$F$203)*$BI$1</f>
        <v/>
      </c>
      <c r="BL1167" s="102">
        <f>MAX((CR1167-Driver!$F$202)/(Driver!$G$202-Driver!$F$202)*$BI$1,1)</f>
        <v/>
      </c>
      <c r="BM1167" s="102">
        <f>MAX((CH1167-Driver!$F$204)/(Driver!$G$204-Driver!$F$204)*$BI$1,1)</f>
        <v/>
      </c>
      <c r="BN1167" s="102">
        <f>(CI1167-Driver!$F$205)/(Driver!$G$205-Driver!$F$205)*$BI$1</f>
        <v/>
      </c>
      <c r="BO1167" s="102">
        <f>(CK1167-Driver!$F$207)/(Driver!$G$207-Driver!$F$207)*$BI$1</f>
        <v/>
      </c>
      <c r="BP1167" s="102">
        <f>(CM1167-Driver!$F$208)/(Driver!$G$208-Driver!$F$208)*$BI$1</f>
        <v/>
      </c>
      <c r="BQ1167" s="102">
        <f>(CL1167-Driver!$F$209)/(Driver!$G$209-Driver!$F$209)*$BI$1</f>
        <v/>
      </c>
      <c r="BR1167" s="40" t="inlineStr">
        <is>
          <t>21/22</t>
        </is>
      </c>
      <c r="BS1167" s="10" t="inlineStr">
        <is>
          <t xml:space="preserve"> Völkl</t>
        </is>
      </c>
      <c r="BT1167" s="11" t="inlineStr">
        <is>
          <t>Rise Beyond 96</t>
        </is>
      </c>
      <c r="BU1167" s="13" t="n">
        <v>156</v>
      </c>
      <c r="BV1167" s="11" t="inlineStr">
        <is>
          <t xml:space="preserve"> Unisex</t>
        </is>
      </c>
      <c r="BW1167" s="13" t="n">
        <v>156</v>
      </c>
      <c r="BX1167" s="13" t="n">
        <v>154.5</v>
      </c>
      <c r="BY1167" s="13" t="n">
        <v>122</v>
      </c>
      <c r="BZ1167" s="13" t="n">
        <v>133</v>
      </c>
      <c r="CA1167" s="13" t="n">
        <v>137</v>
      </c>
      <c r="CB1167" s="13" t="n">
        <v>95</v>
      </c>
      <c r="CC1167" s="13" t="n">
        <v>118</v>
      </c>
      <c r="CD1167" s="13" t="n">
        <v>12.6</v>
      </c>
      <c r="CE1167" s="13" t="n">
        <v>1110</v>
      </c>
      <c r="CF1167" s="13" t="n">
        <v>1.5</v>
      </c>
      <c r="CG1167" s="13" t="n">
        <v>1669</v>
      </c>
      <c r="CH1167" s="13" t="n">
        <v>134</v>
      </c>
      <c r="CI1167" s="13" t="n">
        <v>66</v>
      </c>
      <c r="CJ1167" s="13" t="n">
        <v>37</v>
      </c>
      <c r="CK1167" s="13" t="n">
        <v>261</v>
      </c>
      <c r="CL1167" s="13" t="n">
        <v>5</v>
      </c>
      <c r="CM1167" s="13" t="n">
        <v>68</v>
      </c>
      <c r="CN1167" s="13" t="n">
        <v>0.123</v>
      </c>
      <c r="CO1167" s="13" t="n">
        <v>125</v>
      </c>
      <c r="CP1167" s="13" t="n">
        <v>95</v>
      </c>
      <c r="CQ1167" s="13" t="n">
        <v>136</v>
      </c>
      <c r="CR1167" s="13" t="n">
        <v>4</v>
      </c>
      <c r="CS1167" s="13" t="n">
        <v>10.6</v>
      </c>
      <c r="CT1167" s="11" t="inlineStr">
        <is>
          <t xml:space="preserve"> Touring</t>
        </is>
      </c>
      <c r="CU1167" s="11" t="inlineStr">
        <is>
          <t xml:space="preserve"> Ultralight Touring</t>
        </is>
      </c>
      <c r="CV1167" s="13" t="n"/>
      <c r="CW1167" s="13" t="n"/>
      <c r="CX1167">
        <f>INDEX('Data_Price '!AG$2:AG$1266,MATCH(Data!$DN1167,'Data_Price '!$AT$2:$AT$1266,0))</f>
        <v/>
      </c>
      <c r="CY1167">
        <f>INDEX('Data_Price '!AH$2:AH$1266,MATCH(Data!$DN1167,'Data_Price '!$AT$2:$AT$1266,0))</f>
        <v/>
      </c>
      <c r="CZ1167">
        <f>INDEX('Data_Price '!AI$2:AI$1266,MATCH(Data!$DN1167,'Data_Price '!$AT$2:$AT$1266,0))</f>
        <v/>
      </c>
      <c r="DA1167">
        <f>INDEX('Data_Price '!AJ$2:AJ$1266,MATCH(Data!$DN1167,'Data_Price '!$AT$2:$AT$1266,0))</f>
        <v/>
      </c>
      <c r="DB1167">
        <f>INDEX('Data_Price '!AK$2:AK$1266,MATCH(Data!$DN1167,'Data_Price '!$AT$2:$AT$1266,0))</f>
        <v/>
      </c>
      <c r="DC1167">
        <f>INDEX('Data_Price '!AL$2:AL$1266,MATCH(Data!$DN1167,'Data_Price '!$AT$2:$AT$1266,0))</f>
        <v/>
      </c>
      <c r="DD1167">
        <f>INDEX('Data_Price '!AM$2:AM$1266,MATCH(Data!$DN1167,'Data_Price '!$AT$2:$AT$1266,0))</f>
        <v/>
      </c>
      <c r="DE1167">
        <f>INDEX('Data_Price '!AN$2:AN$1266,MATCH(Data!$DN1167,'Data_Price '!$AT$2:$AT$1266,0))</f>
        <v/>
      </c>
      <c r="DF1167">
        <f>INDEX('Data_Price '!AO$2:AO$1266,MATCH(Data!$DN1167,'Data_Price '!$AT$2:$AT$1266,0))</f>
        <v/>
      </c>
      <c r="DG1167">
        <f>INDEX('Data_Price '!AP$2:AP$1266,MATCH(Data!$DN1167,'Data_Price '!$AT$2:$AT$1266,0))</f>
        <v/>
      </c>
      <c r="DH1167">
        <f>INDEX('Data_Price '!AQ$2:AQ$1266,MATCH(Data!$DN1167,'Data_Price '!$AT$2:$AT$1266,0))</f>
        <v/>
      </c>
      <c r="DI1167">
        <f>INDEX('Data_Price '!AR$2:AR$1266,MATCH(Data!$DN1167,'Data_Price '!$AT$2:$AT$1266,0))</f>
        <v/>
      </c>
      <c r="DJ1167" s="138">
        <f>DA1167</f>
        <v/>
      </c>
      <c r="DK1167" s="138">
        <f>DE1167</f>
        <v/>
      </c>
      <c r="DL1167" s="138">
        <f>DI1167</f>
        <v/>
      </c>
      <c r="DM1167" s="303">
        <f>IF(LEFT(BT1167,1)=" ",RIGHT(BT1167,LEN(BT1167)-1),BT1167)</f>
        <v/>
      </c>
      <c r="DN1167" s="138">
        <f>_xlfn.CONCAT(BS1167,DM1167,BU1167,BV1167)</f>
        <v/>
      </c>
      <c r="DO1167" s="307" t="n"/>
    </row>
    <row r="1168" ht="15.6" customHeight="1" s="184">
      <c r="B1168" s="303">
        <f t="array" ref="B1168">IF(OR(ISERROR(K1168:P1168)),FALSE,TRUE)</f>
        <v/>
      </c>
      <c r="C1168" s="60">
        <f>OR(BR1168=Driver!$G$50,Data!BR183=Driver!$H$50)</f>
        <v/>
      </c>
      <c r="D1168" s="60">
        <f>OR(BV1168=Driver!$G$51,BV1168=Driver!$H$51)</f>
        <v/>
      </c>
      <c r="E1168" s="60">
        <f>AND(BX1168&gt;Driver!$F$54,BX1168&lt;Driver!$G$54)</f>
        <v/>
      </c>
      <c r="F1168" s="60">
        <f>CL1168&gt;Driver!$F$56</f>
        <v/>
      </c>
      <c r="G1168" s="60">
        <f>AND(CB1168&gt;Driver!$F$55,CB1168&lt;Driver!$G$55)</f>
        <v/>
      </c>
      <c r="H1168" s="60">
        <f>AND(B1168:G1168)</f>
        <v/>
      </c>
      <c r="I1168" s="60">
        <f>COUNTIFS($H$9:$H$1273,TRUE,$BT$9:$BT$1273,BT1168)</f>
        <v/>
      </c>
      <c r="J1168" s="60">
        <f t="array" ref="J1168">NOT(OR(($H$9:$H$1273=TRUE)*($I$9:$I$1273&gt;0)*($BT$9:$BT$1273=BT1168)*($K$9:$K$1273&gt;K1168)))</f>
        <v/>
      </c>
      <c r="K1168" s="108">
        <f>IFERROR(1-AVERAGE(X1168:Y1168),"")</f>
        <v/>
      </c>
      <c r="L1168" s="108">
        <f>1-X1168</f>
        <v/>
      </c>
      <c r="M1168" s="108">
        <f>1-Y1168</f>
        <v/>
      </c>
      <c r="N1168" s="108">
        <f>1-Z1168</f>
        <v/>
      </c>
      <c r="O1168" s="108">
        <f>1-AA1168</f>
        <v/>
      </c>
      <c r="P1168" s="108">
        <f>1-AB1168</f>
        <v/>
      </c>
      <c r="Q1168" s="108" t="n"/>
      <c r="R1168" s="108" t="n"/>
      <c r="S1168" s="108">
        <f>1-AE1168</f>
        <v/>
      </c>
      <c r="T1168" s="108">
        <f>1-AF1168</f>
        <v/>
      </c>
      <c r="U1168" s="108">
        <f>1-AG1168</f>
        <v/>
      </c>
      <c r="V1168" s="108">
        <f>1-AH1168</f>
        <v/>
      </c>
      <c r="W1168" s="108">
        <f>1-AI1168</f>
        <v/>
      </c>
      <c r="X1168" s="108">
        <f>ABS(AJ1168-AJ$1)</f>
        <v/>
      </c>
      <c r="Y1168" s="108">
        <f>AVERAGE(Z1168:AB1168)</f>
        <v/>
      </c>
      <c r="Z1168" s="108">
        <f>ABS(AL1168-AL$1)</f>
        <v/>
      </c>
      <c r="AA1168" s="108">
        <f>ABS(AM1168-AM$1)</f>
        <v/>
      </c>
      <c r="AB1168" s="108">
        <f>ABS(AN1168-AN$1)</f>
        <v/>
      </c>
      <c r="AC1168" s="108" t="n"/>
      <c r="AD1168" s="108" t="n"/>
      <c r="AE1168" s="108">
        <f>ABS(AQ$1-AQ1168)</f>
        <v/>
      </c>
      <c r="AF1168" s="108">
        <f>ABS(AR$1-AR1168)</f>
        <v/>
      </c>
      <c r="AG1168" s="108">
        <f>ABS(AS$1-AS1168)</f>
        <v/>
      </c>
      <c r="AH1168" s="108">
        <f>ABS(AT$1-AT1168)</f>
        <v/>
      </c>
      <c r="AI1168" s="108">
        <f>ABS(AU$1-AU1168)</f>
        <v/>
      </c>
      <c r="AJ1168" s="108">
        <f>(AV1168-Driver!$K$179)/(Driver!$L$179-Driver!$K$179)</f>
        <v/>
      </c>
      <c r="AK1168" s="108">
        <f>(AW1168-Driver!$K$180)/(Driver!$L$180-Driver!$K$180)</f>
        <v/>
      </c>
      <c r="AL1168" s="108">
        <f>(AX1168-Driver!$K$181)/(Driver!$L$181-Driver!$K$181)</f>
        <v/>
      </c>
      <c r="AM1168" s="108">
        <f>(AY1168-Driver!$K$182)/(Driver!$L$182-Driver!$K$182)</f>
        <v/>
      </c>
      <c r="AN1168" s="108">
        <f>(AZ1168-Driver!$K$183)/(Driver!$L$183-Driver!$K$183)</f>
        <v/>
      </c>
      <c r="AO1168" s="108" t="n"/>
      <c r="AP1168" s="108" t="n"/>
      <c r="AQ1168" s="108">
        <f>(BC1168-Driver!$K$188)/(Driver!$L$188-Driver!$K$188)</f>
        <v/>
      </c>
      <c r="AR1168" s="108">
        <f>MIN((BD1168-Driver!$K$189)/(Driver!$L$189-Driver!$K$189),100%)</f>
        <v/>
      </c>
      <c r="AS1168" s="108">
        <f>(BE1168-Driver!$K$190)/(Driver!$L$190-Driver!$K$190)</f>
        <v/>
      </c>
      <c r="AT1168" s="108">
        <f>(BF1168-Driver!$K$191)/(Driver!$L$191-Driver!$K$191)</f>
        <v/>
      </c>
      <c r="AU1168" s="108">
        <f>(BG1168-Driver!$K$192)/(Driver!$L$192-Driver!$K$192)</f>
        <v/>
      </c>
      <c r="AV1168" s="105">
        <f>IFERROR(BM1168*BJ1168^1/4,"")</f>
        <v/>
      </c>
      <c r="AW1168" s="105">
        <f>IFERROR(SUM(AX1168:AZ1168),"")</f>
        <v/>
      </c>
      <c r="AX1168" s="105">
        <f>IFERROR(BH1168,"")</f>
        <v/>
      </c>
      <c r="AY1168" s="105">
        <f>IFERROR(Driver!$K$19/Data!BH1168/Data!BI1168*Data!BK1168*Data!BL1168,"")</f>
        <v/>
      </c>
      <c r="AZ1168" s="105">
        <f>IFERROR(BI1168*BN1168,"")</f>
        <v/>
      </c>
      <c r="BA1168" s="105" t="n"/>
      <c r="BB1168" s="105" t="n"/>
      <c r="BC1168" s="105">
        <f>IFERROR(BI1168*BN1168*BK1168/BJ1168^(1/2),"")</f>
        <v/>
      </c>
      <c r="BD1168" s="105">
        <f>IFERROR(BH1168*BM1168*BL1168/BJ1168/BK1168,"")</f>
        <v/>
      </c>
      <c r="BE1168" s="105">
        <f>IFERROR(MIN(BI1168/BQ1168/BP1168/BO1168/BH1168,$BE$1),"")</f>
        <v/>
      </c>
      <c r="BF1168" s="105">
        <f>IFERROR(BJ1168*BO1168*BP1168/BK1168,"")</f>
        <v/>
      </c>
      <c r="BG1168" s="105">
        <f>IFERROR(1/BM1168/BH1168*BQ1168,"")</f>
        <v/>
      </c>
      <c r="BH1168" s="102">
        <f>MAX((CE1168-Driver!$F$200)/(Driver!$G$200-Driver!$F$200)*$BI$1,1)</f>
        <v/>
      </c>
      <c r="BI1168" s="102">
        <f>MAX($BI$1*(BY1168-Driver!$F$201)/(Driver!$G$201-Driver!$F$201),1)</f>
        <v/>
      </c>
      <c r="BJ1168" s="102">
        <f>(CB1168-Driver!$F$206)/(Driver!$G$206-Driver!$F$206)*$BI$1</f>
        <v/>
      </c>
      <c r="BK1168" s="102">
        <f>(CD1168-Driver!$F$203)/(Driver!$G$203-Driver!$F$203)*$BI$1</f>
        <v/>
      </c>
      <c r="BL1168" s="102">
        <f>MAX((CR1168-Driver!$F$202)/(Driver!$G$202-Driver!$F$202)*$BI$1,1)</f>
        <v/>
      </c>
      <c r="BM1168" s="102">
        <f>MAX((CH1168-Driver!$F$204)/(Driver!$G$204-Driver!$F$204)*$BI$1,1)</f>
        <v/>
      </c>
      <c r="BN1168" s="102">
        <f>(CI1168-Driver!$F$205)/(Driver!$G$205-Driver!$F$205)*$BI$1</f>
        <v/>
      </c>
      <c r="BO1168" s="102">
        <f>(CK1168-Driver!$F$207)/(Driver!$G$207-Driver!$F$207)*$BI$1</f>
        <v/>
      </c>
      <c r="BP1168" s="102">
        <f>(CM1168-Driver!$F$208)/(Driver!$G$208-Driver!$F$208)*$BI$1</f>
        <v/>
      </c>
      <c r="BQ1168" s="102">
        <f>(CL1168-Driver!$F$209)/(Driver!$G$209-Driver!$F$209)*$BI$1</f>
        <v/>
      </c>
      <c r="BR1168" s="40" t="inlineStr">
        <is>
          <t>21/22</t>
        </is>
      </c>
      <c r="BS1168" s="10" t="inlineStr">
        <is>
          <t xml:space="preserve"> Atomic</t>
        </is>
      </c>
      <c r="BT1168" s="11" t="inlineStr">
        <is>
          <t>Redster X5</t>
        </is>
      </c>
      <c r="BU1168" s="13" t="n">
        <v>175</v>
      </c>
      <c r="BV1168" s="11" t="inlineStr">
        <is>
          <t xml:space="preserve"> Unisex</t>
        </is>
      </c>
      <c r="BW1168" s="13" t="n">
        <v>175</v>
      </c>
      <c r="BX1168" s="13" t="n">
        <v>174.3</v>
      </c>
      <c r="BY1168" s="13" t="n">
        <v>157</v>
      </c>
      <c r="BZ1168" s="13" t="n">
        <v>160</v>
      </c>
      <c r="CA1168" s="13" t="n">
        <v>120</v>
      </c>
      <c r="CB1168" s="13" t="n">
        <v>70</v>
      </c>
      <c r="CC1168" s="13" t="n">
        <v>103</v>
      </c>
      <c r="CD1168" s="13" t="n">
        <v>15.3</v>
      </c>
      <c r="CE1168" s="13" t="n">
        <v>2053</v>
      </c>
      <c r="CF1168" s="13" t="n">
        <v>0.73</v>
      </c>
      <c r="CG1168" s="13" t="n">
        <v>1496</v>
      </c>
      <c r="CH1168" s="13" t="n">
        <v>218</v>
      </c>
      <c r="CI1168" s="13" t="n">
        <v>119</v>
      </c>
      <c r="CJ1168" s="13" t="n">
        <v>30</v>
      </c>
      <c r="CK1168" s="13" t="n">
        <v>129</v>
      </c>
      <c r="CL1168" s="13" t="n">
        <v>3</v>
      </c>
      <c r="CM1168" s="13" t="n">
        <v>43</v>
      </c>
      <c r="CN1168" s="13" t="n">
        <v>0.097</v>
      </c>
      <c r="CO1168" s="13" t="n">
        <v>86</v>
      </c>
      <c r="CP1168" s="13" t="n">
        <v>55</v>
      </c>
      <c r="CQ1168" s="13" t="n">
        <v>43</v>
      </c>
      <c r="CR1168" s="13" t="n">
        <v>16</v>
      </c>
      <c r="CS1168" s="13" t="n">
        <v>12.4</v>
      </c>
      <c r="CT1168" s="11" t="inlineStr">
        <is>
          <t xml:space="preserve"> On-Piste Carving</t>
        </is>
      </c>
      <c r="CU1168" s="13" t="n"/>
      <c r="CV1168" s="13" t="n"/>
      <c r="CW1168" s="13" t="n"/>
      <c r="CX1168">
        <f>INDEX('Data_Price '!AG$2:AG$1266,MATCH(Data!$DN1168,'Data_Price '!$AT$2:$AT$1266,0))</f>
        <v/>
      </c>
      <c r="CY1168">
        <f>INDEX('Data_Price '!AH$2:AH$1266,MATCH(Data!$DN1168,'Data_Price '!$AT$2:$AT$1266,0))</f>
        <v/>
      </c>
      <c r="CZ1168">
        <f>INDEX('Data_Price '!AI$2:AI$1266,MATCH(Data!$DN1168,'Data_Price '!$AT$2:$AT$1266,0))</f>
        <v/>
      </c>
      <c r="DA1168">
        <f>INDEX('Data_Price '!AJ$2:AJ$1266,MATCH(Data!$DN1168,'Data_Price '!$AT$2:$AT$1266,0))</f>
        <v/>
      </c>
      <c r="DB1168">
        <f>INDEX('Data_Price '!AK$2:AK$1266,MATCH(Data!$DN1168,'Data_Price '!$AT$2:$AT$1266,0))</f>
        <v/>
      </c>
      <c r="DC1168">
        <f>INDEX('Data_Price '!AL$2:AL$1266,MATCH(Data!$DN1168,'Data_Price '!$AT$2:$AT$1266,0))</f>
        <v/>
      </c>
      <c r="DD1168">
        <f>INDEX('Data_Price '!AM$2:AM$1266,MATCH(Data!$DN1168,'Data_Price '!$AT$2:$AT$1266,0))</f>
        <v/>
      </c>
      <c r="DE1168">
        <f>INDEX('Data_Price '!AN$2:AN$1266,MATCH(Data!$DN1168,'Data_Price '!$AT$2:$AT$1266,0))</f>
        <v/>
      </c>
      <c r="DF1168">
        <f>INDEX('Data_Price '!AO$2:AO$1266,MATCH(Data!$DN1168,'Data_Price '!$AT$2:$AT$1266,0))</f>
        <v/>
      </c>
      <c r="DG1168">
        <f>INDEX('Data_Price '!AP$2:AP$1266,MATCH(Data!$DN1168,'Data_Price '!$AT$2:$AT$1266,0))</f>
        <v/>
      </c>
      <c r="DH1168">
        <f>INDEX('Data_Price '!AQ$2:AQ$1266,MATCH(Data!$DN1168,'Data_Price '!$AT$2:$AT$1266,0))</f>
        <v/>
      </c>
      <c r="DI1168">
        <f>INDEX('Data_Price '!AR$2:AR$1266,MATCH(Data!$DN1168,'Data_Price '!$AT$2:$AT$1266,0))</f>
        <v/>
      </c>
      <c r="DJ1168" s="138">
        <f>DA1168</f>
        <v/>
      </c>
      <c r="DK1168" s="138">
        <f>DE1168</f>
        <v/>
      </c>
      <c r="DL1168" s="138">
        <f>DI1168</f>
        <v/>
      </c>
      <c r="DM1168" s="303">
        <f>IF(LEFT(BT1168,1)=" ",RIGHT(BT1168,LEN(BT1168)-1),BT1168)</f>
        <v/>
      </c>
      <c r="DN1168" s="138">
        <f>_xlfn.CONCAT(BS1168,DM1168,BU1168,BV1168)</f>
        <v/>
      </c>
      <c r="DO1168" s="307" t="n"/>
    </row>
    <row r="1169" ht="15.6" customHeight="1" s="184">
      <c r="B1169" s="303">
        <f t="array" ref="B1169">IF(OR(ISERROR(K1169:P1169)),FALSE,TRUE)</f>
        <v/>
      </c>
      <c r="C1169" s="60">
        <f>OR(BR1169=Driver!$G$50,Data!BR1046=Driver!$H$50)</f>
        <v/>
      </c>
      <c r="D1169" s="60">
        <f>OR(BV1169=Driver!$G$51,BV1169=Driver!$H$51)</f>
        <v/>
      </c>
      <c r="E1169" s="60">
        <f>AND(BX1169&gt;Driver!$F$54,BX1169&lt;Driver!$G$54)</f>
        <v/>
      </c>
      <c r="F1169" s="60">
        <f>CL1169&gt;Driver!$F$56</f>
        <v/>
      </c>
      <c r="G1169" s="60">
        <f>AND(CB1169&gt;Driver!$F$55,CB1169&lt;Driver!$G$55)</f>
        <v/>
      </c>
      <c r="H1169" s="60">
        <f>AND(B1169:G1169)</f>
        <v/>
      </c>
      <c r="I1169" s="60">
        <f>COUNTIFS($H$9:$H$1273,TRUE,$BT$9:$BT$1273,BT1169)</f>
        <v/>
      </c>
      <c r="J1169" s="60">
        <f t="array" ref="J1169">NOT(OR(($H$9:$H$1273=TRUE)*($I$9:$I$1273&gt;0)*($BT$9:$BT$1273=BT1169)*($K$9:$K$1273&gt;K1169)))</f>
        <v/>
      </c>
      <c r="K1169" s="108">
        <f>IFERROR(1-AVERAGE(X1169:Y1169),"")</f>
        <v/>
      </c>
      <c r="L1169" s="108">
        <f>1-X1169</f>
        <v/>
      </c>
      <c r="M1169" s="108">
        <f>1-Y1169</f>
        <v/>
      </c>
      <c r="N1169" s="108">
        <f>1-Z1169</f>
        <v/>
      </c>
      <c r="O1169" s="108">
        <f>1-AA1169</f>
        <v/>
      </c>
      <c r="P1169" s="108">
        <f>1-AB1169</f>
        <v/>
      </c>
      <c r="Q1169" s="108" t="n"/>
      <c r="R1169" s="108" t="n"/>
      <c r="S1169" s="108">
        <f>1-AE1169</f>
        <v/>
      </c>
      <c r="T1169" s="108">
        <f>1-AF1169</f>
        <v/>
      </c>
      <c r="U1169" s="108">
        <f>1-AG1169</f>
        <v/>
      </c>
      <c r="V1169" s="108">
        <f>1-AH1169</f>
        <v/>
      </c>
      <c r="W1169" s="108">
        <f>1-AI1169</f>
        <v/>
      </c>
      <c r="X1169" s="108">
        <f>ABS(AJ1169-AJ$1)</f>
        <v/>
      </c>
      <c r="Y1169" s="108">
        <f>AVERAGE(Z1169:AB1169)</f>
        <v/>
      </c>
      <c r="Z1169" s="108">
        <f>ABS(AL1169-AL$1)</f>
        <v/>
      </c>
      <c r="AA1169" s="108">
        <f>ABS(AM1169-AM$1)</f>
        <v/>
      </c>
      <c r="AB1169" s="108">
        <f>ABS(AN1169-AN$1)</f>
        <v/>
      </c>
      <c r="AC1169" s="108" t="n"/>
      <c r="AD1169" s="108" t="n"/>
      <c r="AE1169" s="108">
        <f>ABS(AQ$1-AQ1169)</f>
        <v/>
      </c>
      <c r="AF1169" s="108">
        <f>ABS(AR$1-AR1169)</f>
        <v/>
      </c>
      <c r="AG1169" s="108">
        <f>ABS(AS$1-AS1169)</f>
        <v/>
      </c>
      <c r="AH1169" s="108">
        <f>ABS(AT$1-AT1169)</f>
        <v/>
      </c>
      <c r="AI1169" s="108">
        <f>ABS(AU$1-AU1169)</f>
        <v/>
      </c>
      <c r="AJ1169" s="108">
        <f>(AV1169-Driver!$K$179)/(Driver!$L$179-Driver!$K$179)</f>
        <v/>
      </c>
      <c r="AK1169" s="108">
        <f>(AW1169-Driver!$K$180)/(Driver!$L$180-Driver!$K$180)</f>
        <v/>
      </c>
      <c r="AL1169" s="108">
        <f>(AX1169-Driver!$K$181)/(Driver!$L$181-Driver!$K$181)</f>
        <v/>
      </c>
      <c r="AM1169" s="108">
        <f>(AY1169-Driver!$K$182)/(Driver!$L$182-Driver!$K$182)</f>
        <v/>
      </c>
      <c r="AN1169" s="108">
        <f>(AZ1169-Driver!$K$183)/(Driver!$L$183-Driver!$K$183)</f>
        <v/>
      </c>
      <c r="AO1169" s="108" t="n"/>
      <c r="AP1169" s="108" t="n"/>
      <c r="AQ1169" s="108">
        <f>(BC1169-Driver!$K$188)/(Driver!$L$188-Driver!$K$188)</f>
        <v/>
      </c>
      <c r="AR1169" s="108">
        <f>MIN((BD1169-Driver!$K$189)/(Driver!$L$189-Driver!$K$189),100%)</f>
        <v/>
      </c>
      <c r="AS1169" s="108">
        <f>(BE1169-Driver!$K$190)/(Driver!$L$190-Driver!$K$190)</f>
        <v/>
      </c>
      <c r="AT1169" s="108">
        <f>(BF1169-Driver!$K$191)/(Driver!$L$191-Driver!$K$191)</f>
        <v/>
      </c>
      <c r="AU1169" s="108">
        <f>(BG1169-Driver!$K$192)/(Driver!$L$192-Driver!$K$192)</f>
        <v/>
      </c>
      <c r="AV1169" s="105">
        <f>IFERROR(BM1169*BJ1169^1/4,"")</f>
        <v/>
      </c>
      <c r="AW1169" s="105">
        <f>IFERROR(SUM(AX1169:AZ1169),"")</f>
        <v/>
      </c>
      <c r="AX1169" s="105">
        <f>IFERROR(BH1169,"")</f>
        <v/>
      </c>
      <c r="AY1169" s="105">
        <f>IFERROR(Driver!$K$19/Data!BH1169/Data!BI1169*Data!BK1169*Data!BL1169,"")</f>
        <v/>
      </c>
      <c r="AZ1169" s="105">
        <f>IFERROR(BI1169*BN1169,"")</f>
        <v/>
      </c>
      <c r="BA1169" s="105" t="n"/>
      <c r="BB1169" s="105" t="n"/>
      <c r="BC1169" s="105">
        <f>IFERROR(BI1169*BN1169*BK1169/BJ1169^(1/2),"")</f>
        <v/>
      </c>
      <c r="BD1169" s="105">
        <f>IFERROR(BH1169*BM1169*BL1169/BJ1169/BK1169,"")</f>
        <v/>
      </c>
      <c r="BE1169" s="105">
        <f>IFERROR(MIN(BI1169/BQ1169/BP1169/BO1169/BH1169,$BE$1),"")</f>
        <v/>
      </c>
      <c r="BF1169" s="105">
        <f>IFERROR(BJ1169*BO1169*BP1169/BK1169,"")</f>
        <v/>
      </c>
      <c r="BG1169" s="105">
        <f>IFERROR(1/BM1169/BH1169*BQ1169,"")</f>
        <v/>
      </c>
      <c r="BH1169" s="102">
        <f>MAX((CE1169-Driver!$F$200)/(Driver!$G$200-Driver!$F$200)*$BI$1,1)</f>
        <v/>
      </c>
      <c r="BI1169" s="102">
        <f>MAX($BI$1*(BY1169-Driver!$F$201)/(Driver!$G$201-Driver!$F$201),1)</f>
        <v/>
      </c>
      <c r="BJ1169" s="102">
        <f>(CB1169-Driver!$F$206)/(Driver!$G$206-Driver!$F$206)*$BI$1</f>
        <v/>
      </c>
      <c r="BK1169" s="102">
        <f>(CD1169-Driver!$F$203)/(Driver!$G$203-Driver!$F$203)*$BI$1</f>
        <v/>
      </c>
      <c r="BL1169" s="102">
        <f>MAX((CR1169-Driver!$F$202)/(Driver!$G$202-Driver!$F$202)*$BI$1,1)</f>
        <v/>
      </c>
      <c r="BM1169" s="102">
        <f>MAX((CH1169-Driver!$F$204)/(Driver!$G$204-Driver!$F$204)*$BI$1,1)</f>
        <v/>
      </c>
      <c r="BN1169" s="102">
        <f>(CI1169-Driver!$F$205)/(Driver!$G$205-Driver!$F$205)*$BI$1</f>
        <v/>
      </c>
      <c r="BO1169" s="102">
        <f>(CK1169-Driver!$F$207)/(Driver!$G$207-Driver!$F$207)*$BI$1</f>
        <v/>
      </c>
      <c r="BP1169" s="102">
        <f>(CM1169-Driver!$F$208)/(Driver!$G$208-Driver!$F$208)*$BI$1</f>
        <v/>
      </c>
      <c r="BQ1169" s="102">
        <f>(CL1169-Driver!$F$209)/(Driver!$G$209-Driver!$F$209)*$BI$1</f>
        <v/>
      </c>
      <c r="BR1169" s="40" t="inlineStr">
        <is>
          <t>21/22</t>
        </is>
      </c>
      <c r="BS1169" s="10" t="inlineStr">
        <is>
          <t xml:space="preserve"> Rossignol</t>
        </is>
      </c>
      <c r="BT1169" s="11" t="inlineStr">
        <is>
          <t>Nova 2</t>
        </is>
      </c>
      <c r="BU1169" s="13" t="n">
        <v>144</v>
      </c>
      <c r="BV1169" s="11" t="inlineStr">
        <is>
          <t xml:space="preserve"> Women's</t>
        </is>
      </c>
      <c r="BW1169" s="13" t="n">
        <v>144</v>
      </c>
      <c r="BX1169" s="13" t="n">
        <v>144.3</v>
      </c>
      <c r="BY1169" s="13" t="n">
        <v>124</v>
      </c>
      <c r="BZ1169" s="13" t="n">
        <v>129</v>
      </c>
      <c r="CA1169" s="13" t="n">
        <v>121</v>
      </c>
      <c r="CB1169" s="13" t="n">
        <v>74</v>
      </c>
      <c r="CC1169" s="13" t="n">
        <v>107</v>
      </c>
      <c r="CD1169" s="13" t="n">
        <v>10.2</v>
      </c>
      <c r="CE1169" s="13" t="n">
        <v>1399</v>
      </c>
      <c r="CF1169" s="13" t="n">
        <v>0.92</v>
      </c>
      <c r="CG1169" s="13" t="n">
        <v>1285</v>
      </c>
      <c r="CH1169" s="13" t="n">
        <v>138</v>
      </c>
      <c r="CI1169" s="13" t="n">
        <v>46</v>
      </c>
      <c r="CJ1169" s="13" t="n">
        <v>33</v>
      </c>
      <c r="CK1169" s="13" t="n">
        <v>139</v>
      </c>
      <c r="CL1169" s="13" t="n">
        <v>5</v>
      </c>
      <c r="CM1169" s="13" t="n">
        <v>68</v>
      </c>
      <c r="CN1169" s="13" t="n">
        <v>0.155</v>
      </c>
      <c r="CO1169" s="13" t="n">
        <v>78</v>
      </c>
      <c r="CP1169" s="13" t="n">
        <v>79</v>
      </c>
      <c r="CQ1169" s="13" t="n">
        <v>61</v>
      </c>
      <c r="CR1169" s="13" t="n">
        <v>8</v>
      </c>
      <c r="CS1169" s="13" t="n">
        <v>8</v>
      </c>
      <c r="CT1169" s="11" t="inlineStr">
        <is>
          <t xml:space="preserve"> On-Piste Carving</t>
        </is>
      </c>
      <c r="CU1169" s="11" t="inlineStr">
        <is>
          <t xml:space="preserve"> On-Piste All-Mountain</t>
        </is>
      </c>
      <c r="CV1169" s="13" t="n"/>
      <c r="CW1169" s="13" t="n"/>
      <c r="CX1169">
        <f>INDEX('Data_Price '!AG$2:AG$1266,MATCH(Data!$DN1169,'Data_Price '!$AT$2:$AT$1266,0))</f>
        <v/>
      </c>
      <c r="CY1169">
        <f>INDEX('Data_Price '!AH$2:AH$1266,MATCH(Data!$DN1169,'Data_Price '!$AT$2:$AT$1266,0))</f>
        <v/>
      </c>
      <c r="CZ1169">
        <f>INDEX('Data_Price '!AI$2:AI$1266,MATCH(Data!$DN1169,'Data_Price '!$AT$2:$AT$1266,0))</f>
        <v/>
      </c>
      <c r="DA1169">
        <f>INDEX('Data_Price '!AJ$2:AJ$1266,MATCH(Data!$DN1169,'Data_Price '!$AT$2:$AT$1266,0))</f>
        <v/>
      </c>
      <c r="DB1169">
        <f>INDEX('Data_Price '!AK$2:AK$1266,MATCH(Data!$DN1169,'Data_Price '!$AT$2:$AT$1266,0))</f>
        <v/>
      </c>
      <c r="DC1169">
        <f>INDEX('Data_Price '!AL$2:AL$1266,MATCH(Data!$DN1169,'Data_Price '!$AT$2:$AT$1266,0))</f>
        <v/>
      </c>
      <c r="DD1169">
        <f>INDEX('Data_Price '!AM$2:AM$1266,MATCH(Data!$DN1169,'Data_Price '!$AT$2:$AT$1266,0))</f>
        <v/>
      </c>
      <c r="DE1169">
        <f>INDEX('Data_Price '!AN$2:AN$1266,MATCH(Data!$DN1169,'Data_Price '!$AT$2:$AT$1266,0))</f>
        <v/>
      </c>
      <c r="DF1169">
        <f>INDEX('Data_Price '!AO$2:AO$1266,MATCH(Data!$DN1169,'Data_Price '!$AT$2:$AT$1266,0))</f>
        <v/>
      </c>
      <c r="DG1169">
        <f>INDEX('Data_Price '!AP$2:AP$1266,MATCH(Data!$DN1169,'Data_Price '!$AT$2:$AT$1266,0))</f>
        <v/>
      </c>
      <c r="DH1169">
        <f>INDEX('Data_Price '!AQ$2:AQ$1266,MATCH(Data!$DN1169,'Data_Price '!$AT$2:$AT$1266,0))</f>
        <v/>
      </c>
      <c r="DI1169">
        <f>INDEX('Data_Price '!AR$2:AR$1266,MATCH(Data!$DN1169,'Data_Price '!$AT$2:$AT$1266,0))</f>
        <v/>
      </c>
      <c r="DJ1169" s="138">
        <f>DA1169</f>
        <v/>
      </c>
      <c r="DK1169" s="138">
        <f>DE1169</f>
        <v/>
      </c>
      <c r="DL1169" s="138">
        <f>DI1169</f>
        <v/>
      </c>
      <c r="DM1169" s="303">
        <f>IF(LEFT(BT1169,1)=" ",RIGHT(BT1169,LEN(BT1169)-1),BT1169)</f>
        <v/>
      </c>
      <c r="DN1169" s="138">
        <f>_xlfn.CONCAT(BS1169,DM1169,BU1169,BV1169)</f>
        <v/>
      </c>
      <c r="DO1169" s="307" t="inlineStr">
        <is>
          <t>https://images.evo.com/imgp/250/185226/741469/clone.jpg</t>
        </is>
      </c>
    </row>
    <row r="1170" ht="15.6" customHeight="1" s="184">
      <c r="B1170" s="303">
        <f t="array" ref="B1170">IF(OR(ISERROR(K1170:P1170)),FALSE,TRUE)</f>
        <v/>
      </c>
      <c r="C1170" s="60">
        <f>OR(BR1170=Driver!$G$50,Data!BR605=Driver!$H$50)</f>
        <v/>
      </c>
      <c r="D1170" s="60">
        <f>OR(BV1170=Driver!$G$51,BV1170=Driver!$H$51)</f>
        <v/>
      </c>
      <c r="E1170" s="60">
        <f>AND(BX1170&gt;Driver!$F$54,BX1170&lt;Driver!$G$54)</f>
        <v/>
      </c>
      <c r="F1170" s="60">
        <f>CL1170&gt;Driver!$F$56</f>
        <v/>
      </c>
      <c r="G1170" s="60">
        <f>AND(CB1170&gt;Driver!$F$55,CB1170&lt;Driver!$G$55)</f>
        <v/>
      </c>
      <c r="H1170" s="60">
        <f>AND(B1170:G1170)</f>
        <v/>
      </c>
      <c r="I1170" s="60">
        <f>COUNTIFS($H$9:$H$1273,TRUE,$BT$9:$BT$1273,BT1170)</f>
        <v/>
      </c>
      <c r="J1170" s="60">
        <f t="array" ref="J1170">NOT(OR(($H$9:$H$1273=TRUE)*($I$9:$I$1273&gt;0)*($BT$9:$BT$1273=BT1170)*($K$9:$K$1273&gt;K1170)))</f>
        <v/>
      </c>
      <c r="K1170" s="108">
        <f>IFERROR(1-AVERAGE(X1170:Y1170),"")</f>
        <v/>
      </c>
      <c r="L1170" s="108">
        <f>1-X1170</f>
        <v/>
      </c>
      <c r="M1170" s="108">
        <f>1-Y1170</f>
        <v/>
      </c>
      <c r="N1170" s="108">
        <f>1-Z1170</f>
        <v/>
      </c>
      <c r="O1170" s="108">
        <f>1-AA1170</f>
        <v/>
      </c>
      <c r="P1170" s="108">
        <f>1-AB1170</f>
        <v/>
      </c>
      <c r="Q1170" s="108" t="n"/>
      <c r="R1170" s="108" t="n"/>
      <c r="S1170" s="108">
        <f>1-AE1170</f>
        <v/>
      </c>
      <c r="T1170" s="108">
        <f>1-AF1170</f>
        <v/>
      </c>
      <c r="U1170" s="108">
        <f>1-AG1170</f>
        <v/>
      </c>
      <c r="V1170" s="108">
        <f>1-AH1170</f>
        <v/>
      </c>
      <c r="W1170" s="108">
        <f>1-AI1170</f>
        <v/>
      </c>
      <c r="X1170" s="108">
        <f>ABS(AJ1170-AJ$1)</f>
        <v/>
      </c>
      <c r="Y1170" s="108">
        <f>AVERAGE(Z1170:AB1170)</f>
        <v/>
      </c>
      <c r="Z1170" s="108">
        <f>ABS(AL1170-AL$1)</f>
        <v/>
      </c>
      <c r="AA1170" s="108">
        <f>ABS(AM1170-AM$1)</f>
        <v/>
      </c>
      <c r="AB1170" s="108">
        <f>ABS(AN1170-AN$1)</f>
        <v/>
      </c>
      <c r="AC1170" s="108" t="n"/>
      <c r="AD1170" s="108" t="n"/>
      <c r="AE1170" s="108">
        <f>ABS(AQ$1-AQ1170)</f>
        <v/>
      </c>
      <c r="AF1170" s="108">
        <f>ABS(AR$1-AR1170)</f>
        <v/>
      </c>
      <c r="AG1170" s="108">
        <f>ABS(AS$1-AS1170)</f>
        <v/>
      </c>
      <c r="AH1170" s="108">
        <f>ABS(AT$1-AT1170)</f>
        <v/>
      </c>
      <c r="AI1170" s="108">
        <f>ABS(AU$1-AU1170)</f>
        <v/>
      </c>
      <c r="AJ1170" s="108">
        <f>(AV1170-Driver!$K$179)/(Driver!$L$179-Driver!$K$179)</f>
        <v/>
      </c>
      <c r="AK1170" s="108">
        <f>(AW1170-Driver!$K$180)/(Driver!$L$180-Driver!$K$180)</f>
        <v/>
      </c>
      <c r="AL1170" s="108">
        <f>(AX1170-Driver!$K$181)/(Driver!$L$181-Driver!$K$181)</f>
        <v/>
      </c>
      <c r="AM1170" s="108">
        <f>(AY1170-Driver!$K$182)/(Driver!$L$182-Driver!$K$182)</f>
        <v/>
      </c>
      <c r="AN1170" s="108">
        <f>(AZ1170-Driver!$K$183)/(Driver!$L$183-Driver!$K$183)</f>
        <v/>
      </c>
      <c r="AO1170" s="108" t="n"/>
      <c r="AP1170" s="108" t="n"/>
      <c r="AQ1170" s="108">
        <f>(BC1170-Driver!$K$188)/(Driver!$L$188-Driver!$K$188)</f>
        <v/>
      </c>
      <c r="AR1170" s="108">
        <f>MIN((BD1170-Driver!$K$189)/(Driver!$L$189-Driver!$K$189),100%)</f>
        <v/>
      </c>
      <c r="AS1170" s="108">
        <f>(BE1170-Driver!$K$190)/(Driver!$L$190-Driver!$K$190)</f>
        <v/>
      </c>
      <c r="AT1170" s="108">
        <f>(BF1170-Driver!$K$191)/(Driver!$L$191-Driver!$K$191)</f>
        <v/>
      </c>
      <c r="AU1170" s="108">
        <f>(BG1170-Driver!$K$192)/(Driver!$L$192-Driver!$K$192)</f>
        <v/>
      </c>
      <c r="AV1170" s="105">
        <f>IFERROR(BM1170*BJ1170^1/4,"")</f>
        <v/>
      </c>
      <c r="AW1170" s="105">
        <f>IFERROR(SUM(AX1170:AZ1170),"")</f>
        <v/>
      </c>
      <c r="AX1170" s="105">
        <f>IFERROR(BH1170,"")</f>
        <v/>
      </c>
      <c r="AY1170" s="105">
        <f>IFERROR(Driver!$K$19/Data!BH1170/Data!BI1170*Data!BK1170*Data!BL1170,"")</f>
        <v/>
      </c>
      <c r="AZ1170" s="105">
        <f>IFERROR(BI1170*BN1170,"")</f>
        <v/>
      </c>
      <c r="BA1170" s="105" t="n"/>
      <c r="BB1170" s="105" t="n"/>
      <c r="BC1170" s="105">
        <f>IFERROR(BI1170*BN1170*BK1170/BJ1170^(1/2),"")</f>
        <v/>
      </c>
      <c r="BD1170" s="105">
        <f>IFERROR(BH1170*BM1170*BL1170/BJ1170/BK1170,"")</f>
        <v/>
      </c>
      <c r="BE1170" s="105">
        <f>IFERROR(MIN(BI1170/BQ1170/BP1170/BO1170/BH1170,$BE$1),"")</f>
        <v/>
      </c>
      <c r="BF1170" s="105">
        <f>IFERROR(BJ1170*BO1170*BP1170/BK1170,"")</f>
        <v/>
      </c>
      <c r="BG1170" s="105">
        <f>IFERROR(1/BM1170/BH1170*BQ1170,"")</f>
        <v/>
      </c>
      <c r="BH1170" s="102">
        <f>MAX((CE1170-Driver!$F$200)/(Driver!$G$200-Driver!$F$200)*$BI$1,1)</f>
        <v/>
      </c>
      <c r="BI1170" s="102">
        <f>MAX($BI$1*(BY1170-Driver!$F$201)/(Driver!$G$201-Driver!$F$201),1)</f>
        <v/>
      </c>
      <c r="BJ1170" s="102">
        <f>(CB1170-Driver!$F$206)/(Driver!$G$206-Driver!$F$206)*$BI$1</f>
        <v/>
      </c>
      <c r="BK1170" s="102">
        <f>(CD1170-Driver!$F$203)/(Driver!$G$203-Driver!$F$203)*$BI$1</f>
        <v/>
      </c>
      <c r="BL1170" s="102">
        <f>MAX((CR1170-Driver!$F$202)/(Driver!$G$202-Driver!$F$202)*$BI$1,1)</f>
        <v/>
      </c>
      <c r="BM1170" s="102">
        <f>MAX((CH1170-Driver!$F$204)/(Driver!$G$204-Driver!$F$204)*$BI$1,1)</f>
        <v/>
      </c>
      <c r="BN1170" s="102">
        <f>(CI1170-Driver!$F$205)/(Driver!$G$205-Driver!$F$205)*$BI$1</f>
        <v/>
      </c>
      <c r="BO1170" s="102">
        <f>(CK1170-Driver!$F$207)/(Driver!$G$207-Driver!$F$207)*$BI$1</f>
        <v/>
      </c>
      <c r="BP1170" s="102">
        <f>(CM1170-Driver!$F$208)/(Driver!$G$208-Driver!$F$208)*$BI$1</f>
        <v/>
      </c>
      <c r="BQ1170" s="102">
        <f>(CL1170-Driver!$F$209)/(Driver!$G$209-Driver!$F$209)*$BI$1</f>
        <v/>
      </c>
      <c r="BR1170" s="40" t="inlineStr">
        <is>
          <t>21/22</t>
        </is>
      </c>
      <c r="BS1170" s="10" t="inlineStr">
        <is>
          <t xml:space="preserve"> Head</t>
        </is>
      </c>
      <c r="BT1170" s="11" t="inlineStr">
        <is>
          <t>Kore 111</t>
        </is>
      </c>
      <c r="BU1170" s="13" t="n">
        <v>184</v>
      </c>
      <c r="BV1170" s="11" t="inlineStr">
        <is>
          <t xml:space="preserve"> Unisex</t>
        </is>
      </c>
      <c r="BW1170" s="13" t="n">
        <v>184</v>
      </c>
      <c r="BX1170" s="13" t="n">
        <v>183.2</v>
      </c>
      <c r="BY1170" s="13" t="n">
        <v>129</v>
      </c>
      <c r="BZ1170" s="13" t="n">
        <v>145</v>
      </c>
      <c r="CA1170" s="13" t="n">
        <v>139</v>
      </c>
      <c r="CB1170" s="13" t="n">
        <v>110</v>
      </c>
      <c r="CC1170" s="13" t="n">
        <v>126</v>
      </c>
      <c r="CD1170" s="13" t="n">
        <v>21.6</v>
      </c>
      <c r="CE1170" s="13" t="n">
        <v>1845</v>
      </c>
      <c r="CF1170" s="13" t="n">
        <v>1.19</v>
      </c>
      <c r="CG1170" s="13" t="n">
        <v>2191</v>
      </c>
      <c r="CH1170" s="13" t="n">
        <v>316</v>
      </c>
      <c r="CI1170" s="13" t="n">
        <v>140</v>
      </c>
      <c r="CJ1170" s="13" t="n">
        <v>58</v>
      </c>
      <c r="CK1170" s="13" t="n">
        <v>279</v>
      </c>
      <c r="CL1170" s="13" t="n">
        <v>20</v>
      </c>
      <c r="CM1170" s="13" t="n">
        <v>268</v>
      </c>
      <c r="CN1170" s="13" t="n">
        <v>0.342</v>
      </c>
      <c r="CO1170" s="13" t="n">
        <v>240</v>
      </c>
      <c r="CP1170" s="13" t="n">
        <v>147</v>
      </c>
      <c r="CQ1170" s="13" t="n">
        <v>39</v>
      </c>
      <c r="CR1170" s="13" t="n">
        <v>5</v>
      </c>
      <c r="CS1170" s="13" t="n">
        <v>9.300000000000001</v>
      </c>
      <c r="CT1170" s="11" t="inlineStr">
        <is>
          <t xml:space="preserve"> Big Mountain</t>
        </is>
      </c>
      <c r="CU1170" s="11" t="inlineStr">
        <is>
          <t xml:space="preserve"> Touring</t>
        </is>
      </c>
      <c r="CV1170" s="13" t="n"/>
      <c r="CW1170" s="13" t="n"/>
      <c r="CX1170">
        <f>INDEX('Data_Price '!AG$2:AG$1266,MATCH(Data!$DN1170,'Data_Price '!$AT$2:$AT$1266,0))</f>
        <v/>
      </c>
      <c r="CY1170">
        <f>INDEX('Data_Price '!AH$2:AH$1266,MATCH(Data!$DN1170,'Data_Price '!$AT$2:$AT$1266,0))</f>
        <v/>
      </c>
      <c r="CZ1170">
        <f>INDEX('Data_Price '!AI$2:AI$1266,MATCH(Data!$DN1170,'Data_Price '!$AT$2:$AT$1266,0))</f>
        <v/>
      </c>
      <c r="DA1170">
        <f>INDEX('Data_Price '!AJ$2:AJ$1266,MATCH(Data!$DN1170,'Data_Price '!$AT$2:$AT$1266,0))</f>
        <v/>
      </c>
      <c r="DB1170">
        <f>INDEX('Data_Price '!AK$2:AK$1266,MATCH(Data!$DN1170,'Data_Price '!$AT$2:$AT$1266,0))</f>
        <v/>
      </c>
      <c r="DC1170">
        <f>INDEX('Data_Price '!AL$2:AL$1266,MATCH(Data!$DN1170,'Data_Price '!$AT$2:$AT$1266,0))</f>
        <v/>
      </c>
      <c r="DD1170">
        <f>INDEX('Data_Price '!AM$2:AM$1266,MATCH(Data!$DN1170,'Data_Price '!$AT$2:$AT$1266,0))</f>
        <v/>
      </c>
      <c r="DE1170">
        <f>INDEX('Data_Price '!AN$2:AN$1266,MATCH(Data!$DN1170,'Data_Price '!$AT$2:$AT$1266,0))</f>
        <v/>
      </c>
      <c r="DF1170">
        <f>INDEX('Data_Price '!AO$2:AO$1266,MATCH(Data!$DN1170,'Data_Price '!$AT$2:$AT$1266,0))</f>
        <v/>
      </c>
      <c r="DG1170">
        <f>INDEX('Data_Price '!AP$2:AP$1266,MATCH(Data!$DN1170,'Data_Price '!$AT$2:$AT$1266,0))</f>
        <v/>
      </c>
      <c r="DH1170">
        <f>INDEX('Data_Price '!AQ$2:AQ$1266,MATCH(Data!$DN1170,'Data_Price '!$AT$2:$AT$1266,0))</f>
        <v/>
      </c>
      <c r="DI1170">
        <f>INDEX('Data_Price '!AR$2:AR$1266,MATCH(Data!$DN1170,'Data_Price '!$AT$2:$AT$1266,0))</f>
        <v/>
      </c>
      <c r="DJ1170" s="138">
        <f>DA1170</f>
        <v/>
      </c>
      <c r="DK1170" s="138">
        <f>DE1170</f>
        <v/>
      </c>
      <c r="DL1170" s="138">
        <f>DI1170</f>
        <v/>
      </c>
      <c r="DM1170" s="303">
        <f>IF(LEFT(BT1170,1)=" ",RIGHT(BT1170,LEN(BT1170)-1),BT1170)</f>
        <v/>
      </c>
      <c r="DN1170" s="138">
        <f>_xlfn.CONCAT(BS1170,DM1170,BU1170,BV1170)</f>
        <v/>
      </c>
      <c r="DO1170" s="307" t="inlineStr">
        <is>
          <t>https://images.evo.com/imgp/250/208269/832637/head-kore-111-skis-2022-.jpg</t>
        </is>
      </c>
    </row>
    <row r="1171" ht="15.6" customHeight="1" s="184">
      <c r="B1171" s="303">
        <f t="array" ref="B1171">IF(OR(ISERROR(K1171:P1171)),FALSE,TRUE)</f>
        <v/>
      </c>
      <c r="C1171" s="60">
        <f>OR(BR1171=Driver!$G$50,Data!BR1219=Driver!$H$50)</f>
        <v/>
      </c>
      <c r="D1171" s="60">
        <f>OR(BV1171=Driver!$G$51,BV1171=Driver!$H$51)</f>
        <v/>
      </c>
      <c r="E1171" s="60">
        <f>AND(BX1171&gt;Driver!$F$54,BX1171&lt;Driver!$G$54)</f>
        <v/>
      </c>
      <c r="F1171" s="60">
        <f>CL1171&gt;Driver!$F$56</f>
        <v/>
      </c>
      <c r="G1171" s="60">
        <f>AND(CB1171&gt;Driver!$F$55,CB1171&lt;Driver!$G$55)</f>
        <v/>
      </c>
      <c r="H1171" s="60">
        <f>AND(B1171:G1171)</f>
        <v/>
      </c>
      <c r="I1171" s="60">
        <f>COUNTIFS($H$9:$H$1273,TRUE,$BT$9:$BT$1273,BT1171)</f>
        <v/>
      </c>
      <c r="J1171" s="60">
        <f t="array" ref="J1171">NOT(OR(($H$9:$H$1273=TRUE)*($I$9:$I$1273&gt;0)*($BT$9:$BT$1273=BT1171)*($K$9:$K$1273&gt;K1171)))</f>
        <v/>
      </c>
      <c r="K1171" s="108">
        <f>IFERROR(1-AVERAGE(X1171:Y1171),"")</f>
        <v/>
      </c>
      <c r="L1171" s="108">
        <f>1-X1171</f>
        <v/>
      </c>
      <c r="M1171" s="108">
        <f>1-Y1171</f>
        <v/>
      </c>
      <c r="N1171" s="108">
        <f>1-Z1171</f>
        <v/>
      </c>
      <c r="O1171" s="108">
        <f>1-AA1171</f>
        <v/>
      </c>
      <c r="P1171" s="108">
        <f>1-AB1171</f>
        <v/>
      </c>
      <c r="Q1171" s="108" t="n"/>
      <c r="R1171" s="108" t="n"/>
      <c r="S1171" s="108">
        <f>1-AE1171</f>
        <v/>
      </c>
      <c r="T1171" s="108">
        <f>1-AF1171</f>
        <v/>
      </c>
      <c r="U1171" s="108">
        <f>1-AG1171</f>
        <v/>
      </c>
      <c r="V1171" s="108">
        <f>1-AH1171</f>
        <v/>
      </c>
      <c r="W1171" s="108">
        <f>1-AI1171</f>
        <v/>
      </c>
      <c r="X1171" s="108">
        <f>ABS(AJ1171-AJ$1)</f>
        <v/>
      </c>
      <c r="Y1171" s="108">
        <f>AVERAGE(Z1171:AB1171)</f>
        <v/>
      </c>
      <c r="Z1171" s="108">
        <f>ABS(AL1171-AL$1)</f>
        <v/>
      </c>
      <c r="AA1171" s="108">
        <f>ABS(AM1171-AM$1)</f>
        <v/>
      </c>
      <c r="AB1171" s="108">
        <f>ABS(AN1171-AN$1)</f>
        <v/>
      </c>
      <c r="AC1171" s="108" t="n"/>
      <c r="AD1171" s="108" t="n"/>
      <c r="AE1171" s="108">
        <f>ABS(AQ$1-AQ1171)</f>
        <v/>
      </c>
      <c r="AF1171" s="108">
        <f>ABS(AR$1-AR1171)</f>
        <v/>
      </c>
      <c r="AG1171" s="108">
        <f>ABS(AS$1-AS1171)</f>
        <v/>
      </c>
      <c r="AH1171" s="108">
        <f>ABS(AT$1-AT1171)</f>
        <v/>
      </c>
      <c r="AI1171" s="108">
        <f>ABS(AU$1-AU1171)</f>
        <v/>
      </c>
      <c r="AJ1171" s="108">
        <f>(AV1171-Driver!$K$179)/(Driver!$L$179-Driver!$K$179)</f>
        <v/>
      </c>
      <c r="AK1171" s="108">
        <f>(AW1171-Driver!$K$180)/(Driver!$L$180-Driver!$K$180)</f>
        <v/>
      </c>
      <c r="AL1171" s="108">
        <f>(AX1171-Driver!$K$181)/(Driver!$L$181-Driver!$K$181)</f>
        <v/>
      </c>
      <c r="AM1171" s="108">
        <f>(AY1171-Driver!$K$182)/(Driver!$L$182-Driver!$K$182)</f>
        <v/>
      </c>
      <c r="AN1171" s="108">
        <f>(AZ1171-Driver!$K$183)/(Driver!$L$183-Driver!$K$183)</f>
        <v/>
      </c>
      <c r="AO1171" s="108" t="n"/>
      <c r="AP1171" s="108" t="n"/>
      <c r="AQ1171" s="108">
        <f>(BC1171-Driver!$K$188)/(Driver!$L$188-Driver!$K$188)</f>
        <v/>
      </c>
      <c r="AR1171" s="108">
        <f>MIN((BD1171-Driver!$K$189)/(Driver!$L$189-Driver!$K$189),100%)</f>
        <v/>
      </c>
      <c r="AS1171" s="108">
        <f>(BE1171-Driver!$K$190)/(Driver!$L$190-Driver!$K$190)</f>
        <v/>
      </c>
      <c r="AT1171" s="108">
        <f>(BF1171-Driver!$K$191)/(Driver!$L$191-Driver!$K$191)</f>
        <v/>
      </c>
      <c r="AU1171" s="108">
        <f>(BG1171-Driver!$K$192)/(Driver!$L$192-Driver!$K$192)</f>
        <v/>
      </c>
      <c r="AV1171" s="105">
        <f>IFERROR(BM1171*BJ1171^1/4,"")</f>
        <v/>
      </c>
      <c r="AW1171" s="105">
        <f>IFERROR(SUM(AX1171:AZ1171),"")</f>
        <v/>
      </c>
      <c r="AX1171" s="105">
        <f>IFERROR(BH1171,"")</f>
        <v/>
      </c>
      <c r="AY1171" s="105">
        <f>IFERROR(Driver!$K$19/Data!BH1171/Data!BI1171*Data!BK1171*Data!BL1171,"")</f>
        <v/>
      </c>
      <c r="AZ1171" s="105">
        <f>IFERROR(BI1171*BN1171,"")</f>
        <v/>
      </c>
      <c r="BA1171" s="105" t="n"/>
      <c r="BB1171" s="105" t="n"/>
      <c r="BC1171" s="105">
        <f>IFERROR(BI1171*BN1171*BK1171/BJ1171^(1/2),"")</f>
        <v/>
      </c>
      <c r="BD1171" s="105">
        <f>IFERROR(BH1171*BM1171*BL1171/BJ1171/BK1171,"")</f>
        <v/>
      </c>
      <c r="BE1171" s="105">
        <f>IFERROR(MIN(BI1171/BQ1171/BP1171/BO1171/BH1171,$BE$1),"")</f>
        <v/>
      </c>
      <c r="BF1171" s="105">
        <f>IFERROR(BJ1171*BO1171*BP1171/BK1171,"")</f>
        <v/>
      </c>
      <c r="BG1171" s="105">
        <f>IFERROR(1/BM1171/BH1171*BQ1171,"")</f>
        <v/>
      </c>
      <c r="BH1171" s="102">
        <f>MAX((CE1171-Driver!$F$200)/(Driver!$G$200-Driver!$F$200)*$BI$1,1)</f>
        <v/>
      </c>
      <c r="BI1171" s="102">
        <f>MAX($BI$1*(BY1171-Driver!$F$201)/(Driver!$G$201-Driver!$F$201),1)</f>
        <v/>
      </c>
      <c r="BJ1171" s="102">
        <f>(CB1171-Driver!$F$206)/(Driver!$G$206-Driver!$F$206)*$BI$1</f>
        <v/>
      </c>
      <c r="BK1171" s="102">
        <f>(CD1171-Driver!$F$203)/(Driver!$G$203-Driver!$F$203)*$BI$1</f>
        <v/>
      </c>
      <c r="BL1171" s="102">
        <f>MAX((CR1171-Driver!$F$202)/(Driver!$G$202-Driver!$F$202)*$BI$1,1)</f>
        <v/>
      </c>
      <c r="BM1171" s="102">
        <f>MAX((CH1171-Driver!$F$204)/(Driver!$G$204-Driver!$F$204)*$BI$1,1)</f>
        <v/>
      </c>
      <c r="BN1171" s="102">
        <f>(CI1171-Driver!$F$205)/(Driver!$G$205-Driver!$F$205)*$BI$1</f>
        <v/>
      </c>
      <c r="BO1171" s="102">
        <f>(CK1171-Driver!$F$207)/(Driver!$G$207-Driver!$F$207)*$BI$1</f>
        <v/>
      </c>
      <c r="BP1171" s="102">
        <f>(CM1171-Driver!$F$208)/(Driver!$G$208-Driver!$F$208)*$BI$1</f>
        <v/>
      </c>
      <c r="BQ1171" s="102">
        <f>(CL1171-Driver!$F$209)/(Driver!$G$209-Driver!$F$209)*$BI$1</f>
        <v/>
      </c>
      <c r="BR1171" s="40" t="inlineStr">
        <is>
          <t>21/22</t>
        </is>
      </c>
      <c r="BS1171" s="10" t="inlineStr">
        <is>
          <t xml:space="preserve"> Völkl</t>
        </is>
      </c>
      <c r="BT1171" s="11" t="inlineStr">
        <is>
          <t>M6 Mantra</t>
        </is>
      </c>
      <c r="BU1171" s="13" t="n">
        <v>184</v>
      </c>
      <c r="BV1171" s="11" t="inlineStr">
        <is>
          <t xml:space="preserve"> Unisex</t>
        </is>
      </c>
      <c r="BW1171" s="13" t="n">
        <v>184</v>
      </c>
      <c r="BX1171" s="13" t="n">
        <v>183.8</v>
      </c>
      <c r="BY1171" s="13" t="n">
        <v>141</v>
      </c>
      <c r="BZ1171" s="13" t="n">
        <v>160</v>
      </c>
      <c r="CA1171" s="13" t="n">
        <v>134</v>
      </c>
      <c r="CB1171" s="13" t="n">
        <v>95</v>
      </c>
      <c r="CC1171" s="13" t="n">
        <v>118</v>
      </c>
      <c r="CD1171" s="13" t="n">
        <v>20.1</v>
      </c>
      <c r="CE1171" s="13" t="n">
        <v>2140</v>
      </c>
      <c r="CF1171" s="13" t="n">
        <v>0.92</v>
      </c>
      <c r="CG1171" s="13" t="n">
        <v>1974</v>
      </c>
      <c r="CH1171" s="13" t="n">
        <v>230</v>
      </c>
      <c r="CI1171" s="13" t="n">
        <v>147</v>
      </c>
      <c r="CJ1171" s="13" t="n">
        <v>45</v>
      </c>
      <c r="CK1171" s="13" t="n">
        <v>254</v>
      </c>
      <c r="CL1171" s="13" t="n">
        <v>16</v>
      </c>
      <c r="CM1171" s="13" t="n">
        <v>174</v>
      </c>
      <c r="CN1171" s="13" t="n">
        <v>0.359</v>
      </c>
      <c r="CO1171" s="13" t="n">
        <v>135</v>
      </c>
      <c r="CP1171" s="13" t="n">
        <v>107</v>
      </c>
      <c r="CQ1171" s="13" t="n">
        <v>119</v>
      </c>
      <c r="CR1171" s="13" t="n">
        <v>5</v>
      </c>
      <c r="CS1171" s="13" t="n">
        <v>11.6</v>
      </c>
      <c r="CT1171" s="11" t="inlineStr">
        <is>
          <t xml:space="preserve"> Resort Freeride</t>
        </is>
      </c>
      <c r="CU1171" s="13" t="n"/>
      <c r="CV1171" s="13" t="n"/>
      <c r="CW1171" s="13" t="n"/>
      <c r="CX1171">
        <f>INDEX('Data_Price '!AG$2:AG$1266,MATCH(Data!$DN1171,'Data_Price '!$AT$2:$AT$1266,0))</f>
        <v/>
      </c>
      <c r="CY1171">
        <f>INDEX('Data_Price '!AH$2:AH$1266,MATCH(Data!$DN1171,'Data_Price '!$AT$2:$AT$1266,0))</f>
        <v/>
      </c>
      <c r="CZ1171">
        <f>INDEX('Data_Price '!AI$2:AI$1266,MATCH(Data!$DN1171,'Data_Price '!$AT$2:$AT$1266,0))</f>
        <v/>
      </c>
      <c r="DA1171">
        <f>INDEX('Data_Price '!AJ$2:AJ$1266,MATCH(Data!$DN1171,'Data_Price '!$AT$2:$AT$1266,0))</f>
        <v/>
      </c>
      <c r="DB1171">
        <f>INDEX('Data_Price '!AK$2:AK$1266,MATCH(Data!$DN1171,'Data_Price '!$AT$2:$AT$1266,0))</f>
        <v/>
      </c>
      <c r="DC1171">
        <f>INDEX('Data_Price '!AL$2:AL$1266,MATCH(Data!$DN1171,'Data_Price '!$AT$2:$AT$1266,0))</f>
        <v/>
      </c>
      <c r="DD1171">
        <f>INDEX('Data_Price '!AM$2:AM$1266,MATCH(Data!$DN1171,'Data_Price '!$AT$2:$AT$1266,0))</f>
        <v/>
      </c>
      <c r="DE1171">
        <f>INDEX('Data_Price '!AN$2:AN$1266,MATCH(Data!$DN1171,'Data_Price '!$AT$2:$AT$1266,0))</f>
        <v/>
      </c>
      <c r="DF1171">
        <f>INDEX('Data_Price '!AO$2:AO$1266,MATCH(Data!$DN1171,'Data_Price '!$AT$2:$AT$1266,0))</f>
        <v/>
      </c>
      <c r="DG1171">
        <f>INDEX('Data_Price '!AP$2:AP$1266,MATCH(Data!$DN1171,'Data_Price '!$AT$2:$AT$1266,0))</f>
        <v/>
      </c>
      <c r="DH1171">
        <f>INDEX('Data_Price '!AQ$2:AQ$1266,MATCH(Data!$DN1171,'Data_Price '!$AT$2:$AT$1266,0))</f>
        <v/>
      </c>
      <c r="DI1171">
        <f>INDEX('Data_Price '!AR$2:AR$1266,MATCH(Data!$DN1171,'Data_Price '!$AT$2:$AT$1266,0))</f>
        <v/>
      </c>
      <c r="DJ1171" s="138">
        <f>DA1171</f>
        <v/>
      </c>
      <c r="DK1171" s="138">
        <f>DE1171</f>
        <v/>
      </c>
      <c r="DL1171" s="138">
        <f>DI1171</f>
        <v/>
      </c>
      <c r="DM1171" s="303">
        <f>IF(LEFT(BT1171,1)=" ",RIGHT(BT1171,LEN(BT1171)-1),BT1171)</f>
        <v/>
      </c>
      <c r="DN1171" s="138">
        <f>_xlfn.CONCAT(BS1171,DM1171,BU1171,BV1171)</f>
        <v/>
      </c>
      <c r="DO1171" s="307" t="inlineStr">
        <is>
          <t>https://images.evo.com/imgp/250/201958/795901/volkl-m6-mantra-skis-2022-.jpg</t>
        </is>
      </c>
    </row>
    <row r="1172" ht="15.6" customHeight="1" s="184">
      <c r="B1172" s="303">
        <f t="array" ref="B1172">IF(OR(ISERROR(K1172:P1172)),FALSE,TRUE)</f>
        <v/>
      </c>
      <c r="C1172" s="60">
        <f>OR(BR1172=Driver!$G$50,Data!BR649=Driver!$H$50)</f>
        <v/>
      </c>
      <c r="D1172" s="60">
        <f>OR(BV1172=Driver!$G$51,BV1172=Driver!$H$51)</f>
        <v/>
      </c>
      <c r="E1172" s="60">
        <f>AND(BX1172&gt;Driver!$F$54,BX1172&lt;Driver!$G$54)</f>
        <v/>
      </c>
      <c r="F1172" s="60">
        <f>CL1172&gt;Driver!$F$56</f>
        <v/>
      </c>
      <c r="G1172" s="60">
        <f>AND(CB1172&gt;Driver!$F$55,CB1172&lt;Driver!$G$55)</f>
        <v/>
      </c>
      <c r="H1172" s="60">
        <f>AND(B1172:G1172)</f>
        <v/>
      </c>
      <c r="I1172" s="60">
        <f>COUNTIFS($H$9:$H$1273,TRUE,$BT$9:$BT$1273,BT1172)</f>
        <v/>
      </c>
      <c r="J1172" s="60">
        <f t="array" ref="J1172">NOT(OR(($H$9:$H$1273=TRUE)*($I$9:$I$1273&gt;0)*($BT$9:$BT$1273=BT1172)*($K$9:$K$1273&gt;K1172)))</f>
        <v/>
      </c>
      <c r="K1172" s="108">
        <f>IFERROR(1-AVERAGE(X1172:Y1172),"")</f>
        <v/>
      </c>
      <c r="L1172" s="108">
        <f>1-X1172</f>
        <v/>
      </c>
      <c r="M1172" s="108">
        <f>1-Y1172</f>
        <v/>
      </c>
      <c r="N1172" s="108">
        <f>1-Z1172</f>
        <v/>
      </c>
      <c r="O1172" s="108">
        <f>1-AA1172</f>
        <v/>
      </c>
      <c r="P1172" s="108">
        <f>1-AB1172</f>
        <v/>
      </c>
      <c r="Q1172" s="108" t="n"/>
      <c r="R1172" s="108" t="n"/>
      <c r="S1172" s="108">
        <f>1-AE1172</f>
        <v/>
      </c>
      <c r="T1172" s="108">
        <f>1-AF1172</f>
        <v/>
      </c>
      <c r="U1172" s="108">
        <f>1-AG1172</f>
        <v/>
      </c>
      <c r="V1172" s="108">
        <f>1-AH1172</f>
        <v/>
      </c>
      <c r="W1172" s="108">
        <f>1-AI1172</f>
        <v/>
      </c>
      <c r="X1172" s="108">
        <f>ABS(AJ1172-AJ$1)</f>
        <v/>
      </c>
      <c r="Y1172" s="108">
        <f>AVERAGE(Z1172:AB1172)</f>
        <v/>
      </c>
      <c r="Z1172" s="108">
        <f>ABS(AL1172-AL$1)</f>
        <v/>
      </c>
      <c r="AA1172" s="108">
        <f>ABS(AM1172-AM$1)</f>
        <v/>
      </c>
      <c r="AB1172" s="108">
        <f>ABS(AN1172-AN$1)</f>
        <v/>
      </c>
      <c r="AC1172" s="108" t="n"/>
      <c r="AD1172" s="108" t="n"/>
      <c r="AE1172" s="108">
        <f>ABS(AQ$1-AQ1172)</f>
        <v/>
      </c>
      <c r="AF1172" s="108">
        <f>ABS(AR$1-AR1172)</f>
        <v/>
      </c>
      <c r="AG1172" s="108">
        <f>ABS(AS$1-AS1172)</f>
        <v/>
      </c>
      <c r="AH1172" s="108">
        <f>ABS(AT$1-AT1172)</f>
        <v/>
      </c>
      <c r="AI1172" s="108">
        <f>ABS(AU$1-AU1172)</f>
        <v/>
      </c>
      <c r="AJ1172" s="108">
        <f>(AV1172-Driver!$K$179)/(Driver!$L$179-Driver!$K$179)</f>
        <v/>
      </c>
      <c r="AK1172" s="108">
        <f>(AW1172-Driver!$K$180)/(Driver!$L$180-Driver!$K$180)</f>
        <v/>
      </c>
      <c r="AL1172" s="108">
        <f>(AX1172-Driver!$K$181)/(Driver!$L$181-Driver!$K$181)</f>
        <v/>
      </c>
      <c r="AM1172" s="108">
        <f>(AY1172-Driver!$K$182)/(Driver!$L$182-Driver!$K$182)</f>
        <v/>
      </c>
      <c r="AN1172" s="108">
        <f>(AZ1172-Driver!$K$183)/(Driver!$L$183-Driver!$K$183)</f>
        <v/>
      </c>
      <c r="AO1172" s="108" t="n"/>
      <c r="AP1172" s="108" t="n"/>
      <c r="AQ1172" s="108">
        <f>(BC1172-Driver!$K$188)/(Driver!$L$188-Driver!$K$188)</f>
        <v/>
      </c>
      <c r="AR1172" s="108">
        <f>MIN((BD1172-Driver!$K$189)/(Driver!$L$189-Driver!$K$189),100%)</f>
        <v/>
      </c>
      <c r="AS1172" s="108">
        <f>(BE1172-Driver!$K$190)/(Driver!$L$190-Driver!$K$190)</f>
        <v/>
      </c>
      <c r="AT1172" s="108">
        <f>(BF1172-Driver!$K$191)/(Driver!$L$191-Driver!$K$191)</f>
        <v/>
      </c>
      <c r="AU1172" s="108">
        <f>(BG1172-Driver!$K$192)/(Driver!$L$192-Driver!$K$192)</f>
        <v/>
      </c>
      <c r="AV1172" s="105">
        <f>IFERROR(BM1172*BJ1172^1/4,"")</f>
        <v/>
      </c>
      <c r="AW1172" s="105">
        <f>IFERROR(SUM(AX1172:AZ1172),"")</f>
        <v/>
      </c>
      <c r="AX1172" s="105">
        <f>IFERROR(BH1172,"")</f>
        <v/>
      </c>
      <c r="AY1172" s="105">
        <f>IFERROR(Driver!$K$19/Data!BH1172/Data!BI1172*Data!BK1172*Data!BL1172,"")</f>
        <v/>
      </c>
      <c r="AZ1172" s="105">
        <f>IFERROR(BI1172*BN1172,"")</f>
        <v/>
      </c>
      <c r="BA1172" s="105" t="n"/>
      <c r="BB1172" s="105" t="n"/>
      <c r="BC1172" s="105">
        <f>IFERROR(BI1172*BN1172*BK1172/BJ1172^(1/2),"")</f>
        <v/>
      </c>
      <c r="BD1172" s="105">
        <f>IFERROR(BH1172*BM1172*BL1172/BJ1172/BK1172,"")</f>
        <v/>
      </c>
      <c r="BE1172" s="105">
        <f>IFERROR(MIN(BI1172/BQ1172/BP1172/BO1172/BH1172,$BE$1),"")</f>
        <v/>
      </c>
      <c r="BF1172" s="105">
        <f>IFERROR(BJ1172*BO1172*BP1172/BK1172,"")</f>
        <v/>
      </c>
      <c r="BG1172" s="105">
        <f>IFERROR(1/BM1172/BH1172*BQ1172,"")</f>
        <v/>
      </c>
      <c r="BH1172" s="102">
        <f>MAX((CE1172-Driver!$F$200)/(Driver!$G$200-Driver!$F$200)*$BI$1,1)</f>
        <v/>
      </c>
      <c r="BI1172" s="102">
        <f>MAX($BI$1*(BY1172-Driver!$F$201)/(Driver!$G$201-Driver!$F$201),1)</f>
        <v/>
      </c>
      <c r="BJ1172" s="102">
        <f>(CB1172-Driver!$F$206)/(Driver!$G$206-Driver!$F$206)*$BI$1</f>
        <v/>
      </c>
      <c r="BK1172" s="102">
        <f>(CD1172-Driver!$F$203)/(Driver!$G$203-Driver!$F$203)*$BI$1</f>
        <v/>
      </c>
      <c r="BL1172" s="102">
        <f>MAX((CR1172-Driver!$F$202)/(Driver!$G$202-Driver!$F$202)*$BI$1,1)</f>
        <v/>
      </c>
      <c r="BM1172" s="102">
        <f>MAX((CH1172-Driver!$F$204)/(Driver!$G$204-Driver!$F$204)*$BI$1,1)</f>
        <v/>
      </c>
      <c r="BN1172" s="102">
        <f>(CI1172-Driver!$F$205)/(Driver!$G$205-Driver!$F$205)*$BI$1</f>
        <v/>
      </c>
      <c r="BO1172" s="102">
        <f>(CK1172-Driver!$F$207)/(Driver!$G$207-Driver!$F$207)*$BI$1</f>
        <v/>
      </c>
      <c r="BP1172" s="102">
        <f>(CM1172-Driver!$F$208)/(Driver!$G$208-Driver!$F$208)*$BI$1</f>
        <v/>
      </c>
      <c r="BQ1172" s="102">
        <f>(CL1172-Driver!$F$209)/(Driver!$G$209-Driver!$F$209)*$BI$1</f>
        <v/>
      </c>
      <c r="BR1172" s="40" t="inlineStr">
        <is>
          <t>21/22</t>
        </is>
      </c>
      <c r="BS1172" s="10" t="inlineStr">
        <is>
          <t xml:space="preserve"> Head</t>
        </is>
      </c>
      <c r="BT1172" s="11" t="inlineStr">
        <is>
          <t xml:space="preserve"> Supershape e-Titan</t>
        </is>
      </c>
      <c r="BU1172" s="13" t="n">
        <v>177</v>
      </c>
      <c r="BV1172" s="11" t="inlineStr">
        <is>
          <t xml:space="preserve"> Unisex</t>
        </is>
      </c>
      <c r="BW1172" s="13" t="n">
        <v>177</v>
      </c>
      <c r="BX1172" s="13" t="n">
        <v>175.7</v>
      </c>
      <c r="BY1172" s="13" t="n">
        <v>153</v>
      </c>
      <c r="BZ1172" s="13" t="n">
        <v>164</v>
      </c>
      <c r="CA1172" s="13" t="n">
        <v>132</v>
      </c>
      <c r="CB1172" s="13" t="n">
        <v>83</v>
      </c>
      <c r="CC1172" s="13" t="n">
        <v>114</v>
      </c>
      <c r="CD1172" s="13" t="n">
        <v>17.1</v>
      </c>
      <c r="CE1172" s="13" t="n">
        <v>2234</v>
      </c>
      <c r="CF1172" s="13" t="n">
        <v>0.76</v>
      </c>
      <c r="CG1172" s="13" t="n">
        <v>1701</v>
      </c>
      <c r="CH1172" s="13" t="n">
        <v>256</v>
      </c>
      <c r="CI1172" s="13" t="n">
        <v>125</v>
      </c>
      <c r="CJ1172" s="13" t="n">
        <v>47</v>
      </c>
      <c r="CK1172" s="13" t="n">
        <v>165</v>
      </c>
      <c r="CL1172" s="13" t="n">
        <v>8</v>
      </c>
      <c r="CM1172" s="13" t="n">
        <v>65</v>
      </c>
      <c r="CN1172" s="13" t="n">
        <v>0.166</v>
      </c>
      <c r="CO1172" s="13" t="n">
        <v>69</v>
      </c>
      <c r="CP1172" s="13" t="n">
        <v>48</v>
      </c>
      <c r="CQ1172" s="13" t="n">
        <v>96</v>
      </c>
      <c r="CR1172" s="13" t="n">
        <v>10</v>
      </c>
      <c r="CS1172" s="13" t="n">
        <v>13</v>
      </c>
      <c r="CT1172" s="11" t="inlineStr">
        <is>
          <t xml:space="preserve"> On-Piste Carving</t>
        </is>
      </c>
      <c r="CU1172" s="11" t="inlineStr">
        <is>
          <t xml:space="preserve"> Resort Freeride</t>
        </is>
      </c>
      <c r="CV1172" s="13" t="n"/>
      <c r="CW1172" s="13" t="n"/>
      <c r="CX1172">
        <f>INDEX('Data_Price '!AG$2:AG$1266,MATCH(Data!$DN1172,'Data_Price '!$AT$2:$AT$1266,0))</f>
        <v/>
      </c>
      <c r="CY1172">
        <f>INDEX('Data_Price '!AH$2:AH$1266,MATCH(Data!$DN1172,'Data_Price '!$AT$2:$AT$1266,0))</f>
        <v/>
      </c>
      <c r="CZ1172">
        <f>INDEX('Data_Price '!AI$2:AI$1266,MATCH(Data!$DN1172,'Data_Price '!$AT$2:$AT$1266,0))</f>
        <v/>
      </c>
      <c r="DA1172">
        <f>INDEX('Data_Price '!AJ$2:AJ$1266,MATCH(Data!$DN1172,'Data_Price '!$AT$2:$AT$1266,0))</f>
        <v/>
      </c>
      <c r="DB1172">
        <f>INDEX('Data_Price '!AK$2:AK$1266,MATCH(Data!$DN1172,'Data_Price '!$AT$2:$AT$1266,0))</f>
        <v/>
      </c>
      <c r="DC1172">
        <f>INDEX('Data_Price '!AL$2:AL$1266,MATCH(Data!$DN1172,'Data_Price '!$AT$2:$AT$1266,0))</f>
        <v/>
      </c>
      <c r="DD1172">
        <f>INDEX('Data_Price '!AM$2:AM$1266,MATCH(Data!$DN1172,'Data_Price '!$AT$2:$AT$1266,0))</f>
        <v/>
      </c>
      <c r="DE1172">
        <f>INDEX('Data_Price '!AN$2:AN$1266,MATCH(Data!$DN1172,'Data_Price '!$AT$2:$AT$1266,0))</f>
        <v/>
      </c>
      <c r="DF1172">
        <f>INDEX('Data_Price '!AO$2:AO$1266,MATCH(Data!$DN1172,'Data_Price '!$AT$2:$AT$1266,0))</f>
        <v/>
      </c>
      <c r="DG1172">
        <f>INDEX('Data_Price '!AP$2:AP$1266,MATCH(Data!$DN1172,'Data_Price '!$AT$2:$AT$1266,0))</f>
        <v/>
      </c>
      <c r="DH1172">
        <f>INDEX('Data_Price '!AQ$2:AQ$1266,MATCH(Data!$DN1172,'Data_Price '!$AT$2:$AT$1266,0))</f>
        <v/>
      </c>
      <c r="DI1172">
        <f>INDEX('Data_Price '!AR$2:AR$1266,MATCH(Data!$DN1172,'Data_Price '!$AT$2:$AT$1266,0))</f>
        <v/>
      </c>
      <c r="DJ1172" s="138">
        <f>DA1172</f>
        <v/>
      </c>
      <c r="DK1172" s="138">
        <f>DE1172</f>
        <v/>
      </c>
      <c r="DL1172" s="138">
        <f>DI1172</f>
        <v/>
      </c>
      <c r="DM1172" s="303">
        <f>IF(LEFT(BT1172,1)=" ",RIGHT(BT1172,LEN(BT1172)-1),BT1172)</f>
        <v/>
      </c>
      <c r="DN1172" s="138">
        <f>_xlfn.CONCAT(BS1172,DM1172,BU1172,BV1172)</f>
        <v/>
      </c>
      <c r="DO1172" s="307" t="n"/>
    </row>
    <row r="1173" ht="15.6" customHeight="1" s="184">
      <c r="B1173" s="303">
        <f t="array" ref="B1173">IF(OR(ISERROR(K1173:P1173)),FALSE,TRUE)</f>
        <v/>
      </c>
      <c r="C1173" s="60">
        <f>OR(BR1173=Driver!$G$50,Data!BR1245=Driver!$H$50)</f>
        <v/>
      </c>
      <c r="D1173" s="60">
        <f>OR(BV1173=Driver!$G$51,BV1173=Driver!$H$51)</f>
        <v/>
      </c>
      <c r="E1173" s="60">
        <f>AND(BX1173&gt;Driver!$F$54,BX1173&lt;Driver!$G$54)</f>
        <v/>
      </c>
      <c r="F1173" s="60">
        <f>CL1173&gt;Driver!$F$56</f>
        <v/>
      </c>
      <c r="G1173" s="60">
        <f>AND(CB1173&gt;Driver!$F$55,CB1173&lt;Driver!$G$55)</f>
        <v/>
      </c>
      <c r="H1173" s="60">
        <f>AND(B1173:G1173)</f>
        <v/>
      </c>
      <c r="I1173" s="60">
        <f>COUNTIFS($H$9:$H$1273,TRUE,$BT$9:$BT$1273,BT1173)</f>
        <v/>
      </c>
      <c r="J1173" s="60">
        <f t="array" ref="J1173">NOT(OR(($H$9:$H$1273=TRUE)*($I$9:$I$1273&gt;0)*($BT$9:$BT$1273=BT1173)*($K$9:$K$1273&gt;K1173)))</f>
        <v/>
      </c>
      <c r="K1173" s="108">
        <f>IFERROR(1-AVERAGE(X1173:Y1173),"")</f>
        <v/>
      </c>
      <c r="L1173" s="108">
        <f>1-X1173</f>
        <v/>
      </c>
      <c r="M1173" s="108">
        <f>1-Y1173</f>
        <v/>
      </c>
      <c r="N1173" s="108">
        <f>1-Z1173</f>
        <v/>
      </c>
      <c r="O1173" s="108">
        <f>1-AA1173</f>
        <v/>
      </c>
      <c r="P1173" s="108">
        <f>1-AB1173</f>
        <v/>
      </c>
      <c r="Q1173" s="108" t="n"/>
      <c r="R1173" s="108" t="n"/>
      <c r="S1173" s="108">
        <f>1-AE1173</f>
        <v/>
      </c>
      <c r="T1173" s="108">
        <f>1-AF1173</f>
        <v/>
      </c>
      <c r="U1173" s="108">
        <f>1-AG1173</f>
        <v/>
      </c>
      <c r="V1173" s="108">
        <f>1-AH1173</f>
        <v/>
      </c>
      <c r="W1173" s="108">
        <f>1-AI1173</f>
        <v/>
      </c>
      <c r="X1173" s="108">
        <f>ABS(AJ1173-AJ$1)</f>
        <v/>
      </c>
      <c r="Y1173" s="108">
        <f>AVERAGE(Z1173:AB1173)</f>
        <v/>
      </c>
      <c r="Z1173" s="108">
        <f>ABS(AL1173-AL$1)</f>
        <v/>
      </c>
      <c r="AA1173" s="108">
        <f>ABS(AM1173-AM$1)</f>
        <v/>
      </c>
      <c r="AB1173" s="108">
        <f>ABS(AN1173-AN$1)</f>
        <v/>
      </c>
      <c r="AC1173" s="108" t="n"/>
      <c r="AD1173" s="108" t="n"/>
      <c r="AE1173" s="108">
        <f>ABS(AQ$1-AQ1173)</f>
        <v/>
      </c>
      <c r="AF1173" s="108">
        <f>ABS(AR$1-AR1173)</f>
        <v/>
      </c>
      <c r="AG1173" s="108">
        <f>ABS(AS$1-AS1173)</f>
        <v/>
      </c>
      <c r="AH1173" s="108">
        <f>ABS(AT$1-AT1173)</f>
        <v/>
      </c>
      <c r="AI1173" s="108">
        <f>ABS(AU$1-AU1173)</f>
        <v/>
      </c>
      <c r="AJ1173" s="108">
        <f>(AV1173-Driver!$K$179)/(Driver!$L$179-Driver!$K$179)</f>
        <v/>
      </c>
      <c r="AK1173" s="108">
        <f>(AW1173-Driver!$K$180)/(Driver!$L$180-Driver!$K$180)</f>
        <v/>
      </c>
      <c r="AL1173" s="108">
        <f>(AX1173-Driver!$K$181)/(Driver!$L$181-Driver!$K$181)</f>
        <v/>
      </c>
      <c r="AM1173" s="108">
        <f>(AY1173-Driver!$K$182)/(Driver!$L$182-Driver!$K$182)</f>
        <v/>
      </c>
      <c r="AN1173" s="108">
        <f>(AZ1173-Driver!$K$183)/(Driver!$L$183-Driver!$K$183)</f>
        <v/>
      </c>
      <c r="AO1173" s="108" t="n"/>
      <c r="AP1173" s="108" t="n"/>
      <c r="AQ1173" s="108">
        <f>(BC1173-Driver!$K$188)/(Driver!$L$188-Driver!$K$188)</f>
        <v/>
      </c>
      <c r="AR1173" s="108">
        <f>MIN((BD1173-Driver!$K$189)/(Driver!$L$189-Driver!$K$189),100%)</f>
        <v/>
      </c>
      <c r="AS1173" s="108">
        <f>(BE1173-Driver!$K$190)/(Driver!$L$190-Driver!$K$190)</f>
        <v/>
      </c>
      <c r="AT1173" s="108">
        <f>(BF1173-Driver!$K$191)/(Driver!$L$191-Driver!$K$191)</f>
        <v/>
      </c>
      <c r="AU1173" s="108">
        <f>(BG1173-Driver!$K$192)/(Driver!$L$192-Driver!$K$192)</f>
        <v/>
      </c>
      <c r="AV1173" s="105">
        <f>IFERROR(BM1173*BJ1173^1/4,"")</f>
        <v/>
      </c>
      <c r="AW1173" s="105">
        <f>IFERROR(SUM(AX1173:AZ1173),"")</f>
        <v/>
      </c>
      <c r="AX1173" s="105">
        <f>IFERROR(BH1173,"")</f>
        <v/>
      </c>
      <c r="AY1173" s="105">
        <f>IFERROR(Driver!$K$19/Data!BH1173/Data!BI1173*Data!BK1173*Data!BL1173,"")</f>
        <v/>
      </c>
      <c r="AZ1173" s="105">
        <f>IFERROR(BI1173*BN1173,"")</f>
        <v/>
      </c>
      <c r="BA1173" s="105" t="n"/>
      <c r="BB1173" s="105" t="n"/>
      <c r="BC1173" s="105">
        <f>IFERROR(BI1173*BN1173*BK1173/BJ1173^(1/2),"")</f>
        <v/>
      </c>
      <c r="BD1173" s="105">
        <f>IFERROR(BH1173*BM1173*BL1173/BJ1173/BK1173,"")</f>
        <v/>
      </c>
      <c r="BE1173" s="105">
        <f>IFERROR(MIN(BI1173/BQ1173/BP1173/BO1173/BH1173,$BE$1),"")</f>
        <v/>
      </c>
      <c r="BF1173" s="105">
        <f>IFERROR(BJ1173*BO1173*BP1173/BK1173,"")</f>
        <v/>
      </c>
      <c r="BG1173" s="105">
        <f>IFERROR(1/BM1173/BH1173*BQ1173,"")</f>
        <v/>
      </c>
      <c r="BH1173" s="102">
        <f>MAX((CE1173-Driver!$F$200)/(Driver!$G$200-Driver!$F$200)*$BI$1,1)</f>
        <v/>
      </c>
      <c r="BI1173" s="102">
        <f>MAX($BI$1*(BY1173-Driver!$F$201)/(Driver!$G$201-Driver!$F$201),1)</f>
        <v/>
      </c>
      <c r="BJ1173" s="102">
        <f>(CB1173-Driver!$F$206)/(Driver!$G$206-Driver!$F$206)*$BI$1</f>
        <v/>
      </c>
      <c r="BK1173" s="102">
        <f>(CD1173-Driver!$F$203)/(Driver!$G$203-Driver!$F$203)*$BI$1</f>
        <v/>
      </c>
      <c r="BL1173" s="102">
        <f>MAX((CR1173-Driver!$F$202)/(Driver!$G$202-Driver!$F$202)*$BI$1,1)</f>
        <v/>
      </c>
      <c r="BM1173" s="102">
        <f>MAX((CH1173-Driver!$F$204)/(Driver!$G$204-Driver!$F$204)*$BI$1,1)</f>
        <v/>
      </c>
      <c r="BN1173" s="102">
        <f>(CI1173-Driver!$F$205)/(Driver!$G$205-Driver!$F$205)*$BI$1</f>
        <v/>
      </c>
      <c r="BO1173" s="102">
        <f>(CK1173-Driver!$F$207)/(Driver!$G$207-Driver!$F$207)*$BI$1</f>
        <v/>
      </c>
      <c r="BP1173" s="102">
        <f>(CM1173-Driver!$F$208)/(Driver!$G$208-Driver!$F$208)*$BI$1</f>
        <v/>
      </c>
      <c r="BQ1173" s="102">
        <f>(CL1173-Driver!$F$209)/(Driver!$G$209-Driver!$F$209)*$BI$1</f>
        <v/>
      </c>
      <c r="BR1173" s="40" t="inlineStr">
        <is>
          <t>21/22</t>
        </is>
      </c>
      <c r="BS1173" s="10" t="inlineStr">
        <is>
          <t xml:space="preserve"> Völkl</t>
        </is>
      </c>
      <c r="BT1173" s="11" t="inlineStr">
        <is>
          <t>Rise Above 88</t>
        </is>
      </c>
      <c r="BU1173" s="13" t="n">
        <v>170</v>
      </c>
      <c r="BV1173" s="11" t="inlineStr">
        <is>
          <t xml:space="preserve"> Unisex</t>
        </is>
      </c>
      <c r="BW1173" s="13" t="n">
        <v>170</v>
      </c>
      <c r="BX1173" s="13" t="n">
        <v>169.3</v>
      </c>
      <c r="BY1173" s="13" t="n">
        <v>140</v>
      </c>
      <c r="BZ1173" s="13" t="n">
        <v>147</v>
      </c>
      <c r="CA1173" s="13" t="n">
        <v>130</v>
      </c>
      <c r="CB1173" s="13" t="n">
        <v>87</v>
      </c>
      <c r="CC1173" s="13" t="n">
        <v>111</v>
      </c>
      <c r="CD1173" s="13" t="n">
        <v>15.7</v>
      </c>
      <c r="CE1173" s="13" t="n">
        <v>1167</v>
      </c>
      <c r="CF1173" s="13" t="n">
        <v>1.46</v>
      </c>
      <c r="CG1173" s="13" t="n">
        <v>1700</v>
      </c>
      <c r="CH1173" s="13" t="n">
        <v>150</v>
      </c>
      <c r="CI1173" s="13" t="n">
        <v>57</v>
      </c>
      <c r="CJ1173" s="13" t="n">
        <v>43</v>
      </c>
      <c r="CK1173" s="13" t="n">
        <v>230</v>
      </c>
      <c r="CL1173" s="13" t="n">
        <v>4</v>
      </c>
      <c r="CM1173" s="13" t="n">
        <v>66</v>
      </c>
      <c r="CN1173" s="13" t="n">
        <v>0.104</v>
      </c>
      <c r="CO1173" s="13" t="n">
        <v>124</v>
      </c>
      <c r="CP1173" s="13" t="n">
        <v>95</v>
      </c>
      <c r="CQ1173" s="13" t="n">
        <v>106</v>
      </c>
      <c r="CR1173" s="13" t="n">
        <v>6</v>
      </c>
      <c r="CS1173" s="13" t="n">
        <v>11.6</v>
      </c>
      <c r="CT1173" s="11" t="inlineStr">
        <is>
          <t xml:space="preserve"> Touring</t>
        </is>
      </c>
      <c r="CU1173" s="11" t="inlineStr">
        <is>
          <t xml:space="preserve"> Ultralight Touring</t>
        </is>
      </c>
      <c r="CV1173" s="13" t="n"/>
      <c r="CW1173" s="13" t="n"/>
      <c r="CX1173">
        <f>INDEX('Data_Price '!AG$2:AG$1266,MATCH(Data!$DN1173,'Data_Price '!$AT$2:$AT$1266,0))</f>
        <v/>
      </c>
      <c r="CY1173">
        <f>INDEX('Data_Price '!AH$2:AH$1266,MATCH(Data!$DN1173,'Data_Price '!$AT$2:$AT$1266,0))</f>
        <v/>
      </c>
      <c r="CZ1173">
        <f>INDEX('Data_Price '!AI$2:AI$1266,MATCH(Data!$DN1173,'Data_Price '!$AT$2:$AT$1266,0))</f>
        <v/>
      </c>
      <c r="DA1173">
        <f>INDEX('Data_Price '!AJ$2:AJ$1266,MATCH(Data!$DN1173,'Data_Price '!$AT$2:$AT$1266,0))</f>
        <v/>
      </c>
      <c r="DB1173">
        <f>INDEX('Data_Price '!AK$2:AK$1266,MATCH(Data!$DN1173,'Data_Price '!$AT$2:$AT$1266,0))</f>
        <v/>
      </c>
      <c r="DC1173">
        <f>INDEX('Data_Price '!AL$2:AL$1266,MATCH(Data!$DN1173,'Data_Price '!$AT$2:$AT$1266,0))</f>
        <v/>
      </c>
      <c r="DD1173">
        <f>INDEX('Data_Price '!AM$2:AM$1266,MATCH(Data!$DN1173,'Data_Price '!$AT$2:$AT$1266,0))</f>
        <v/>
      </c>
      <c r="DE1173">
        <f>INDEX('Data_Price '!AN$2:AN$1266,MATCH(Data!$DN1173,'Data_Price '!$AT$2:$AT$1266,0))</f>
        <v/>
      </c>
      <c r="DF1173">
        <f>INDEX('Data_Price '!AO$2:AO$1266,MATCH(Data!$DN1173,'Data_Price '!$AT$2:$AT$1266,0))</f>
        <v/>
      </c>
      <c r="DG1173">
        <f>INDEX('Data_Price '!AP$2:AP$1266,MATCH(Data!$DN1173,'Data_Price '!$AT$2:$AT$1266,0))</f>
        <v/>
      </c>
      <c r="DH1173">
        <f>INDEX('Data_Price '!AQ$2:AQ$1266,MATCH(Data!$DN1173,'Data_Price '!$AT$2:$AT$1266,0))</f>
        <v/>
      </c>
      <c r="DI1173">
        <f>INDEX('Data_Price '!AR$2:AR$1266,MATCH(Data!$DN1173,'Data_Price '!$AT$2:$AT$1266,0))</f>
        <v/>
      </c>
      <c r="DJ1173" s="138">
        <f>DA1173</f>
        <v/>
      </c>
      <c r="DK1173" s="138">
        <f>DE1173</f>
        <v/>
      </c>
      <c r="DL1173" s="138">
        <f>DI1173</f>
        <v/>
      </c>
      <c r="DM1173" s="303">
        <f>IF(LEFT(BT1173,1)=" ",RIGHT(BT1173,LEN(BT1173)-1),BT1173)</f>
        <v/>
      </c>
      <c r="DN1173" s="138">
        <f>_xlfn.CONCAT(BS1173,DM1173,BU1173,BV1173)</f>
        <v/>
      </c>
      <c r="DO1173" s="307" t="n"/>
    </row>
    <row r="1174" ht="15.6" customHeight="1" s="184">
      <c r="B1174" s="303">
        <f t="array" ref="B1174">IF(OR(ISERROR(K1174:P1174)),FALSE,TRUE)</f>
        <v/>
      </c>
      <c r="C1174" s="60">
        <f>OR(BR1174=Driver!$G$50,Data!BR1039=Driver!$H$50)</f>
        <v/>
      </c>
      <c r="D1174" s="60">
        <f>OR(BV1174=Driver!$G$51,BV1174=Driver!$H$51)</f>
        <v/>
      </c>
      <c r="E1174" s="60">
        <f>AND(BX1174&gt;Driver!$F$54,BX1174&lt;Driver!$G$54)</f>
        <v/>
      </c>
      <c r="F1174" s="60">
        <f>CL1174&gt;Driver!$F$56</f>
        <v/>
      </c>
      <c r="G1174" s="60">
        <f>AND(CB1174&gt;Driver!$F$55,CB1174&lt;Driver!$G$55)</f>
        <v/>
      </c>
      <c r="H1174" s="60">
        <f>AND(B1174:G1174)</f>
        <v/>
      </c>
      <c r="I1174" s="60">
        <f>COUNTIFS($H$9:$H$1273,TRUE,$BT$9:$BT$1273,BT1174)</f>
        <v/>
      </c>
      <c r="J1174" s="60">
        <f t="array" ref="J1174">NOT(OR(($H$9:$H$1273=TRUE)*($I$9:$I$1273&gt;0)*($BT$9:$BT$1273=BT1174)*($K$9:$K$1273&gt;K1174)))</f>
        <v/>
      </c>
      <c r="K1174" s="108">
        <f>IFERROR(1-AVERAGE(X1174:Y1174),"")</f>
        <v/>
      </c>
      <c r="L1174" s="108">
        <f>1-X1174</f>
        <v/>
      </c>
      <c r="M1174" s="108">
        <f>1-Y1174</f>
        <v/>
      </c>
      <c r="N1174" s="108">
        <f>1-Z1174</f>
        <v/>
      </c>
      <c r="O1174" s="108">
        <f>1-AA1174</f>
        <v/>
      </c>
      <c r="P1174" s="108">
        <f>1-AB1174</f>
        <v/>
      </c>
      <c r="Q1174" s="108" t="n"/>
      <c r="R1174" s="108" t="n"/>
      <c r="S1174" s="108">
        <f>1-AE1174</f>
        <v/>
      </c>
      <c r="T1174" s="108">
        <f>1-AF1174</f>
        <v/>
      </c>
      <c r="U1174" s="108">
        <f>1-AG1174</f>
        <v/>
      </c>
      <c r="V1174" s="108">
        <f>1-AH1174</f>
        <v/>
      </c>
      <c r="W1174" s="108">
        <f>1-AI1174</f>
        <v/>
      </c>
      <c r="X1174" s="108">
        <f>ABS(AJ1174-AJ$1)</f>
        <v/>
      </c>
      <c r="Y1174" s="108">
        <f>AVERAGE(Z1174:AB1174)</f>
        <v/>
      </c>
      <c r="Z1174" s="108">
        <f>ABS(AL1174-AL$1)</f>
        <v/>
      </c>
      <c r="AA1174" s="108">
        <f>ABS(AM1174-AM$1)</f>
        <v/>
      </c>
      <c r="AB1174" s="108">
        <f>ABS(AN1174-AN$1)</f>
        <v/>
      </c>
      <c r="AC1174" s="108" t="n"/>
      <c r="AD1174" s="108" t="n"/>
      <c r="AE1174" s="108">
        <f>ABS(AQ$1-AQ1174)</f>
        <v/>
      </c>
      <c r="AF1174" s="108">
        <f>ABS(AR$1-AR1174)</f>
        <v/>
      </c>
      <c r="AG1174" s="108">
        <f>ABS(AS$1-AS1174)</f>
        <v/>
      </c>
      <c r="AH1174" s="108">
        <f>ABS(AT$1-AT1174)</f>
        <v/>
      </c>
      <c r="AI1174" s="108">
        <f>ABS(AU$1-AU1174)</f>
        <v/>
      </c>
      <c r="AJ1174" s="108">
        <f>(AV1174-Driver!$K$179)/(Driver!$L$179-Driver!$K$179)</f>
        <v/>
      </c>
      <c r="AK1174" s="108">
        <f>(AW1174-Driver!$K$180)/(Driver!$L$180-Driver!$K$180)</f>
        <v/>
      </c>
      <c r="AL1174" s="108">
        <f>(AX1174-Driver!$K$181)/(Driver!$L$181-Driver!$K$181)</f>
        <v/>
      </c>
      <c r="AM1174" s="108">
        <f>(AY1174-Driver!$K$182)/(Driver!$L$182-Driver!$K$182)</f>
        <v/>
      </c>
      <c r="AN1174" s="108">
        <f>(AZ1174-Driver!$K$183)/(Driver!$L$183-Driver!$K$183)</f>
        <v/>
      </c>
      <c r="AO1174" s="108" t="n"/>
      <c r="AP1174" s="108" t="n"/>
      <c r="AQ1174" s="108">
        <f>(BC1174-Driver!$K$188)/(Driver!$L$188-Driver!$K$188)</f>
        <v/>
      </c>
      <c r="AR1174" s="108">
        <f>MIN((BD1174-Driver!$K$189)/(Driver!$L$189-Driver!$K$189),100%)</f>
        <v/>
      </c>
      <c r="AS1174" s="108">
        <f>(BE1174-Driver!$K$190)/(Driver!$L$190-Driver!$K$190)</f>
        <v/>
      </c>
      <c r="AT1174" s="108">
        <f>(BF1174-Driver!$K$191)/(Driver!$L$191-Driver!$K$191)</f>
        <v/>
      </c>
      <c r="AU1174" s="108">
        <f>(BG1174-Driver!$K$192)/(Driver!$L$192-Driver!$K$192)</f>
        <v/>
      </c>
      <c r="AV1174" s="105">
        <f>IFERROR(BM1174*BJ1174^1/4,"")</f>
        <v/>
      </c>
      <c r="AW1174" s="105">
        <f>IFERROR(SUM(AX1174:AZ1174),"")</f>
        <v/>
      </c>
      <c r="AX1174" s="105">
        <f>IFERROR(BH1174,"")</f>
        <v/>
      </c>
      <c r="AY1174" s="105">
        <f>IFERROR(Driver!$K$19/Data!BH1174/Data!BI1174*Data!BK1174*Data!BL1174,"")</f>
        <v/>
      </c>
      <c r="AZ1174" s="105">
        <f>IFERROR(BI1174*BN1174,"")</f>
        <v/>
      </c>
      <c r="BA1174" s="105" t="n"/>
      <c r="BB1174" s="105" t="n"/>
      <c r="BC1174" s="105">
        <f>IFERROR(BI1174*BN1174*BK1174/BJ1174^(1/2),"")</f>
        <v/>
      </c>
      <c r="BD1174" s="105">
        <f>IFERROR(BH1174*BM1174*BL1174/BJ1174/BK1174,"")</f>
        <v/>
      </c>
      <c r="BE1174" s="105">
        <f>IFERROR(MIN(BI1174/BQ1174/BP1174/BO1174/BH1174,$BE$1),"")</f>
        <v/>
      </c>
      <c r="BF1174" s="105">
        <f>IFERROR(BJ1174*BO1174*BP1174/BK1174,"")</f>
        <v/>
      </c>
      <c r="BG1174" s="105">
        <f>IFERROR(1/BM1174/BH1174*BQ1174,"")</f>
        <v/>
      </c>
      <c r="BH1174" s="102">
        <f>MAX((CE1174-Driver!$F$200)/(Driver!$G$200-Driver!$F$200)*$BI$1,1)</f>
        <v/>
      </c>
      <c r="BI1174" s="102">
        <f>MAX($BI$1*(BY1174-Driver!$F$201)/(Driver!$G$201-Driver!$F$201),1)</f>
        <v/>
      </c>
      <c r="BJ1174" s="102">
        <f>(CB1174-Driver!$F$206)/(Driver!$G$206-Driver!$F$206)*$BI$1</f>
        <v/>
      </c>
      <c r="BK1174" s="102">
        <f>(CD1174-Driver!$F$203)/(Driver!$G$203-Driver!$F$203)*$BI$1</f>
        <v/>
      </c>
      <c r="BL1174" s="102">
        <f>MAX((CR1174-Driver!$F$202)/(Driver!$G$202-Driver!$F$202)*$BI$1,1)</f>
        <v/>
      </c>
      <c r="BM1174" s="102">
        <f>MAX((CH1174-Driver!$F$204)/(Driver!$G$204-Driver!$F$204)*$BI$1,1)</f>
        <v/>
      </c>
      <c r="BN1174" s="102">
        <f>(CI1174-Driver!$F$205)/(Driver!$G$205-Driver!$F$205)*$BI$1</f>
        <v/>
      </c>
      <c r="BO1174" s="102">
        <f>(CK1174-Driver!$F$207)/(Driver!$G$207-Driver!$F$207)*$BI$1</f>
        <v/>
      </c>
      <c r="BP1174" s="102">
        <f>(CM1174-Driver!$F$208)/(Driver!$G$208-Driver!$F$208)*$BI$1</f>
        <v/>
      </c>
      <c r="BQ1174" s="102">
        <f>(CL1174-Driver!$F$209)/(Driver!$G$209-Driver!$F$209)*$BI$1</f>
        <v/>
      </c>
      <c r="BR1174" s="40" t="inlineStr">
        <is>
          <t>21/22</t>
        </is>
      </c>
      <c r="BS1174" s="10" t="inlineStr">
        <is>
          <t xml:space="preserve"> Rossignol</t>
        </is>
      </c>
      <c r="BT1174" s="11" t="inlineStr">
        <is>
          <t>Hero Master M15 (R22)</t>
        </is>
      </c>
      <c r="BU1174" s="13" t="n">
        <v>169</v>
      </c>
      <c r="BV1174" s="11" t="inlineStr">
        <is>
          <t xml:space="preserve"> Unisex</t>
        </is>
      </c>
      <c r="BW1174" s="13" t="n">
        <v>169</v>
      </c>
      <c r="BX1174" s="13" t="n">
        <v>168.5</v>
      </c>
      <c r="BY1174" s="13" t="n">
        <v>151</v>
      </c>
      <c r="BZ1174" s="13" t="n">
        <v>162</v>
      </c>
      <c r="CA1174" s="13" t="n">
        <v>114</v>
      </c>
      <c r="CB1174" s="13" t="n">
        <v>69</v>
      </c>
      <c r="CC1174" s="13" t="n">
        <v>97</v>
      </c>
      <c r="CD1174" s="13" t="n">
        <v>17.7</v>
      </c>
      <c r="CE1174" s="13" t="n">
        <v>2109</v>
      </c>
      <c r="CF1174" s="13" t="n">
        <v>0.65</v>
      </c>
      <c r="CG1174" s="13" t="n">
        <v>1378</v>
      </c>
      <c r="CH1174" s="13" t="n">
        <v>236</v>
      </c>
      <c r="CI1174" s="13" t="n">
        <v>138</v>
      </c>
      <c r="CJ1174" s="13" t="n">
        <v>32</v>
      </c>
      <c r="CK1174" s="13" t="n">
        <v>119</v>
      </c>
      <c r="CL1174" s="13" t="n">
        <v>5</v>
      </c>
      <c r="CM1174" s="13" t="n">
        <v>60</v>
      </c>
      <c r="CN1174" s="13" t="n">
        <v>0.167</v>
      </c>
      <c r="CO1174" s="13" t="n">
        <v>29</v>
      </c>
      <c r="CP1174" s="13" t="n">
        <v>40</v>
      </c>
      <c r="CQ1174" s="13" t="n">
        <v>90</v>
      </c>
      <c r="CR1174" s="13" t="n">
        <v>10</v>
      </c>
      <c r="CS1174" s="13" t="n">
        <v>8.199999999999999</v>
      </c>
      <c r="CT1174" s="11" t="inlineStr">
        <is>
          <t xml:space="preserve"> On-Piste Carving</t>
        </is>
      </c>
      <c r="CU1174" s="13" t="n"/>
      <c r="CV1174" s="13" t="n"/>
      <c r="CW1174" s="13" t="n"/>
      <c r="CX1174">
        <f>INDEX('Data_Price '!AG$2:AG$1266,MATCH(Data!$DN1174,'Data_Price '!$AT$2:$AT$1266,0))</f>
        <v/>
      </c>
      <c r="CY1174">
        <f>INDEX('Data_Price '!AH$2:AH$1266,MATCH(Data!$DN1174,'Data_Price '!$AT$2:$AT$1266,0))</f>
        <v/>
      </c>
      <c r="CZ1174">
        <f>INDEX('Data_Price '!AI$2:AI$1266,MATCH(Data!$DN1174,'Data_Price '!$AT$2:$AT$1266,0))</f>
        <v/>
      </c>
      <c r="DA1174">
        <f>INDEX('Data_Price '!AJ$2:AJ$1266,MATCH(Data!$DN1174,'Data_Price '!$AT$2:$AT$1266,0))</f>
        <v/>
      </c>
      <c r="DB1174">
        <f>INDEX('Data_Price '!AK$2:AK$1266,MATCH(Data!$DN1174,'Data_Price '!$AT$2:$AT$1266,0))</f>
        <v/>
      </c>
      <c r="DC1174">
        <f>INDEX('Data_Price '!AL$2:AL$1266,MATCH(Data!$DN1174,'Data_Price '!$AT$2:$AT$1266,0))</f>
        <v/>
      </c>
      <c r="DD1174">
        <f>INDEX('Data_Price '!AM$2:AM$1266,MATCH(Data!$DN1174,'Data_Price '!$AT$2:$AT$1266,0))</f>
        <v/>
      </c>
      <c r="DE1174">
        <f>INDEX('Data_Price '!AN$2:AN$1266,MATCH(Data!$DN1174,'Data_Price '!$AT$2:$AT$1266,0))</f>
        <v/>
      </c>
      <c r="DF1174">
        <f>INDEX('Data_Price '!AO$2:AO$1266,MATCH(Data!$DN1174,'Data_Price '!$AT$2:$AT$1266,0))</f>
        <v/>
      </c>
      <c r="DG1174">
        <f>INDEX('Data_Price '!AP$2:AP$1266,MATCH(Data!$DN1174,'Data_Price '!$AT$2:$AT$1266,0))</f>
        <v/>
      </c>
      <c r="DH1174">
        <f>INDEX('Data_Price '!AQ$2:AQ$1266,MATCH(Data!$DN1174,'Data_Price '!$AT$2:$AT$1266,0))</f>
        <v/>
      </c>
      <c r="DI1174">
        <f>INDEX('Data_Price '!AR$2:AR$1266,MATCH(Data!$DN1174,'Data_Price '!$AT$2:$AT$1266,0))</f>
        <v/>
      </c>
      <c r="DJ1174" s="138">
        <f>DA1174</f>
        <v/>
      </c>
      <c r="DK1174" s="138">
        <f>DE1174</f>
        <v/>
      </c>
      <c r="DL1174" s="138">
        <f>DI1174</f>
        <v/>
      </c>
      <c r="DM1174" s="303">
        <f>IF(LEFT(BT1174,1)=" ",RIGHT(BT1174,LEN(BT1174)-1),BT1174)</f>
        <v/>
      </c>
      <c r="DN1174" s="138">
        <f>_xlfn.CONCAT(BS1174,DM1174,BU1174,BV1174)</f>
        <v/>
      </c>
      <c r="DO1174" s="307" t="n"/>
    </row>
    <row r="1175" ht="15.6" customHeight="1" s="184">
      <c r="B1175" s="303">
        <f t="array" ref="B1175">IF(OR(ISERROR(K1175:P1175)),FALSE,TRUE)</f>
        <v/>
      </c>
      <c r="C1175" s="60">
        <f>OR(BR1175=Driver!$G$50,Data!BR1223=Driver!$H$50)</f>
        <v/>
      </c>
      <c r="D1175" s="60">
        <f>OR(BV1175=Driver!$G$51,BV1175=Driver!$H$51)</f>
        <v/>
      </c>
      <c r="E1175" s="60">
        <f>AND(BX1175&gt;Driver!$F$54,BX1175&lt;Driver!$G$54)</f>
        <v/>
      </c>
      <c r="F1175" s="60">
        <f>CL1175&gt;Driver!$F$56</f>
        <v/>
      </c>
      <c r="G1175" s="60">
        <f>AND(CB1175&gt;Driver!$F$55,CB1175&lt;Driver!$G$55)</f>
        <v/>
      </c>
      <c r="H1175" s="60">
        <f>AND(B1175:G1175)</f>
        <v/>
      </c>
      <c r="I1175" s="60">
        <f>COUNTIFS($H$9:$H$1273,TRUE,$BT$9:$BT$1273,BT1175)</f>
        <v/>
      </c>
      <c r="J1175" s="60">
        <f t="array" ref="J1175">NOT(OR(($H$9:$H$1273=TRUE)*($I$9:$I$1273&gt;0)*($BT$9:$BT$1273=BT1175)*($K$9:$K$1273&gt;K1175)))</f>
        <v/>
      </c>
      <c r="K1175" s="108">
        <f>IFERROR(1-AVERAGE(X1175:Y1175),"")</f>
        <v/>
      </c>
      <c r="L1175" s="108">
        <f>1-X1175</f>
        <v/>
      </c>
      <c r="M1175" s="108">
        <f>1-Y1175</f>
        <v/>
      </c>
      <c r="N1175" s="108">
        <f>1-Z1175</f>
        <v/>
      </c>
      <c r="O1175" s="108">
        <f>1-AA1175</f>
        <v/>
      </c>
      <c r="P1175" s="108">
        <f>1-AB1175</f>
        <v/>
      </c>
      <c r="Q1175" s="108" t="n"/>
      <c r="R1175" s="108" t="n"/>
      <c r="S1175" s="108">
        <f>1-AE1175</f>
        <v/>
      </c>
      <c r="T1175" s="108">
        <f>1-AF1175</f>
        <v/>
      </c>
      <c r="U1175" s="108">
        <f>1-AG1175</f>
        <v/>
      </c>
      <c r="V1175" s="108">
        <f>1-AH1175</f>
        <v/>
      </c>
      <c r="W1175" s="108">
        <f>1-AI1175</f>
        <v/>
      </c>
      <c r="X1175" s="108">
        <f>ABS(AJ1175-AJ$1)</f>
        <v/>
      </c>
      <c r="Y1175" s="108">
        <f>AVERAGE(Z1175:AB1175)</f>
        <v/>
      </c>
      <c r="Z1175" s="108">
        <f>ABS(AL1175-AL$1)</f>
        <v/>
      </c>
      <c r="AA1175" s="108">
        <f>ABS(AM1175-AM$1)</f>
        <v/>
      </c>
      <c r="AB1175" s="108">
        <f>ABS(AN1175-AN$1)</f>
        <v/>
      </c>
      <c r="AC1175" s="108" t="n"/>
      <c r="AD1175" s="108" t="n"/>
      <c r="AE1175" s="108">
        <f>ABS(AQ$1-AQ1175)</f>
        <v/>
      </c>
      <c r="AF1175" s="108">
        <f>ABS(AR$1-AR1175)</f>
        <v/>
      </c>
      <c r="AG1175" s="108">
        <f>ABS(AS$1-AS1175)</f>
        <v/>
      </c>
      <c r="AH1175" s="108">
        <f>ABS(AT$1-AT1175)</f>
        <v/>
      </c>
      <c r="AI1175" s="108">
        <f>ABS(AU$1-AU1175)</f>
        <v/>
      </c>
      <c r="AJ1175" s="108">
        <f>(AV1175-Driver!$K$179)/(Driver!$L$179-Driver!$K$179)</f>
        <v/>
      </c>
      <c r="AK1175" s="108">
        <f>(AW1175-Driver!$K$180)/(Driver!$L$180-Driver!$K$180)</f>
        <v/>
      </c>
      <c r="AL1175" s="108">
        <f>(AX1175-Driver!$K$181)/(Driver!$L$181-Driver!$K$181)</f>
        <v/>
      </c>
      <c r="AM1175" s="108">
        <f>(AY1175-Driver!$K$182)/(Driver!$L$182-Driver!$K$182)</f>
        <v/>
      </c>
      <c r="AN1175" s="108">
        <f>(AZ1175-Driver!$K$183)/(Driver!$L$183-Driver!$K$183)</f>
        <v/>
      </c>
      <c r="AO1175" s="108" t="n"/>
      <c r="AP1175" s="108" t="n"/>
      <c r="AQ1175" s="108">
        <f>(BC1175-Driver!$K$188)/(Driver!$L$188-Driver!$K$188)</f>
        <v/>
      </c>
      <c r="AR1175" s="108">
        <f>MIN((BD1175-Driver!$K$189)/(Driver!$L$189-Driver!$K$189),100%)</f>
        <v/>
      </c>
      <c r="AS1175" s="108">
        <f>(BE1175-Driver!$K$190)/(Driver!$L$190-Driver!$K$190)</f>
        <v/>
      </c>
      <c r="AT1175" s="108">
        <f>(BF1175-Driver!$K$191)/(Driver!$L$191-Driver!$K$191)</f>
        <v/>
      </c>
      <c r="AU1175" s="108">
        <f>(BG1175-Driver!$K$192)/(Driver!$L$192-Driver!$K$192)</f>
        <v/>
      </c>
      <c r="AV1175" s="105">
        <f>IFERROR(BM1175*BJ1175^1/4,"")</f>
        <v/>
      </c>
      <c r="AW1175" s="105">
        <f>IFERROR(SUM(AX1175:AZ1175),"")</f>
        <v/>
      </c>
      <c r="AX1175" s="105">
        <f>IFERROR(BH1175,"")</f>
        <v/>
      </c>
      <c r="AY1175" s="105">
        <f>IFERROR(Driver!$K$19/Data!BH1175/Data!BI1175*Data!BK1175*Data!BL1175,"")</f>
        <v/>
      </c>
      <c r="AZ1175" s="105">
        <f>IFERROR(BI1175*BN1175,"")</f>
        <v/>
      </c>
      <c r="BA1175" s="105" t="n"/>
      <c r="BB1175" s="105" t="n"/>
      <c r="BC1175" s="105">
        <f>IFERROR(BI1175*BN1175*BK1175/BJ1175^(1/2),"")</f>
        <v/>
      </c>
      <c r="BD1175" s="105">
        <f>IFERROR(BH1175*BM1175*BL1175/BJ1175/BK1175,"")</f>
        <v/>
      </c>
      <c r="BE1175" s="105">
        <f>IFERROR(MIN(BI1175/BQ1175/BP1175/BO1175/BH1175,$BE$1),"")</f>
        <v/>
      </c>
      <c r="BF1175" s="105">
        <f>IFERROR(BJ1175*BO1175*BP1175/BK1175,"")</f>
        <v/>
      </c>
      <c r="BG1175" s="105">
        <f>IFERROR(1/BM1175/BH1175*BQ1175,"")</f>
        <v/>
      </c>
      <c r="BH1175" s="102">
        <f>MAX((CE1175-Driver!$F$200)/(Driver!$G$200-Driver!$F$200)*$BI$1,1)</f>
        <v/>
      </c>
      <c r="BI1175" s="102">
        <f>MAX($BI$1*(BY1175-Driver!$F$201)/(Driver!$G$201-Driver!$F$201),1)</f>
        <v/>
      </c>
      <c r="BJ1175" s="102">
        <f>(CB1175-Driver!$F$206)/(Driver!$G$206-Driver!$F$206)*$BI$1</f>
        <v/>
      </c>
      <c r="BK1175" s="102">
        <f>(CD1175-Driver!$F$203)/(Driver!$G$203-Driver!$F$203)*$BI$1</f>
        <v/>
      </c>
      <c r="BL1175" s="102">
        <f>MAX((CR1175-Driver!$F$202)/(Driver!$G$202-Driver!$F$202)*$BI$1,1)</f>
        <v/>
      </c>
      <c r="BM1175" s="102">
        <f>MAX((CH1175-Driver!$F$204)/(Driver!$G$204-Driver!$F$204)*$BI$1,1)</f>
        <v/>
      </c>
      <c r="BN1175" s="102">
        <f>(CI1175-Driver!$F$205)/(Driver!$G$205-Driver!$F$205)*$BI$1</f>
        <v/>
      </c>
      <c r="BO1175" s="102">
        <f>(CK1175-Driver!$F$207)/(Driver!$G$207-Driver!$F$207)*$BI$1</f>
        <v/>
      </c>
      <c r="BP1175" s="102">
        <f>(CM1175-Driver!$F$208)/(Driver!$G$208-Driver!$F$208)*$BI$1</f>
        <v/>
      </c>
      <c r="BQ1175" s="102">
        <f>(CL1175-Driver!$F$209)/(Driver!$G$209-Driver!$F$209)*$BI$1</f>
        <v/>
      </c>
      <c r="BR1175" s="40" t="inlineStr">
        <is>
          <t>21/22</t>
        </is>
      </c>
      <c r="BS1175" s="10" t="inlineStr">
        <is>
          <t xml:space="preserve"> Völkl</t>
        </is>
      </c>
      <c r="BT1175" s="11" t="inlineStr">
        <is>
          <t>Mantra 102</t>
        </is>
      </c>
      <c r="BU1175" s="13" t="n">
        <v>184</v>
      </c>
      <c r="BV1175" s="11" t="inlineStr">
        <is>
          <t xml:space="preserve"> Unisex</t>
        </is>
      </c>
      <c r="BW1175" s="13" t="n">
        <v>184</v>
      </c>
      <c r="BX1175" s="13" t="n">
        <v>183.6</v>
      </c>
      <c r="BY1175" s="13" t="n">
        <v>119</v>
      </c>
      <c r="BZ1175" s="13" t="n">
        <v>161</v>
      </c>
      <c r="CA1175" s="13" t="n">
        <v>139</v>
      </c>
      <c r="CB1175" s="13" t="n">
        <v>101</v>
      </c>
      <c r="CC1175" s="13" t="n">
        <v>123</v>
      </c>
      <c r="CD1175" s="13" t="n">
        <v>21.3</v>
      </c>
      <c r="CE1175" s="13" t="n">
        <v>2217</v>
      </c>
      <c r="CF1175" s="13" t="n">
        <v>0.93</v>
      </c>
      <c r="CG1175" s="13" t="n">
        <v>2069</v>
      </c>
      <c r="CH1175" s="13" t="n">
        <v>229</v>
      </c>
      <c r="CI1175" s="13" t="n">
        <v>160</v>
      </c>
      <c r="CJ1175" s="13" t="n">
        <v>48</v>
      </c>
      <c r="CK1175" s="13" t="n">
        <v>375</v>
      </c>
      <c r="CL1175" s="13" t="n">
        <v>19</v>
      </c>
      <c r="CM1175" s="13" t="n">
        <v>267</v>
      </c>
      <c r="CN1175" s="13" t="n">
        <v>0.383</v>
      </c>
      <c r="CO1175" s="13" t="n">
        <v>131</v>
      </c>
      <c r="CP1175" s="13" t="n">
        <v>100</v>
      </c>
      <c r="CQ1175" s="13" t="n">
        <v>244</v>
      </c>
      <c r="CR1175" s="13" t="n">
        <v>3</v>
      </c>
      <c r="CS1175" s="13" t="n">
        <v>11.6</v>
      </c>
      <c r="CT1175" s="11" t="inlineStr">
        <is>
          <t xml:space="preserve"> Resort Freeride</t>
        </is>
      </c>
      <c r="CU1175" s="11" t="inlineStr">
        <is>
          <t xml:space="preserve"> Powder</t>
        </is>
      </c>
      <c r="CV1175" s="11" t="inlineStr">
        <is>
          <t xml:space="preserve"> Big Mountain</t>
        </is>
      </c>
      <c r="CW1175" s="13" t="n"/>
      <c r="CX1175">
        <f>INDEX('Data_Price '!AG$2:AG$1266,MATCH(Data!$DN1175,'Data_Price '!$AT$2:$AT$1266,0))</f>
        <v/>
      </c>
      <c r="CY1175">
        <f>INDEX('Data_Price '!AH$2:AH$1266,MATCH(Data!$DN1175,'Data_Price '!$AT$2:$AT$1266,0))</f>
        <v/>
      </c>
      <c r="CZ1175">
        <f>INDEX('Data_Price '!AI$2:AI$1266,MATCH(Data!$DN1175,'Data_Price '!$AT$2:$AT$1266,0))</f>
        <v/>
      </c>
      <c r="DA1175">
        <f>INDEX('Data_Price '!AJ$2:AJ$1266,MATCH(Data!$DN1175,'Data_Price '!$AT$2:$AT$1266,0))</f>
        <v/>
      </c>
      <c r="DB1175">
        <f>INDEX('Data_Price '!AK$2:AK$1266,MATCH(Data!$DN1175,'Data_Price '!$AT$2:$AT$1266,0))</f>
        <v/>
      </c>
      <c r="DC1175">
        <f>INDEX('Data_Price '!AL$2:AL$1266,MATCH(Data!$DN1175,'Data_Price '!$AT$2:$AT$1266,0))</f>
        <v/>
      </c>
      <c r="DD1175">
        <f>INDEX('Data_Price '!AM$2:AM$1266,MATCH(Data!$DN1175,'Data_Price '!$AT$2:$AT$1266,0))</f>
        <v/>
      </c>
      <c r="DE1175">
        <f>INDEX('Data_Price '!AN$2:AN$1266,MATCH(Data!$DN1175,'Data_Price '!$AT$2:$AT$1266,0))</f>
        <v/>
      </c>
      <c r="DF1175">
        <f>INDEX('Data_Price '!AO$2:AO$1266,MATCH(Data!$DN1175,'Data_Price '!$AT$2:$AT$1266,0))</f>
        <v/>
      </c>
      <c r="DG1175">
        <f>INDEX('Data_Price '!AP$2:AP$1266,MATCH(Data!$DN1175,'Data_Price '!$AT$2:$AT$1266,0))</f>
        <v/>
      </c>
      <c r="DH1175">
        <f>INDEX('Data_Price '!AQ$2:AQ$1266,MATCH(Data!$DN1175,'Data_Price '!$AT$2:$AT$1266,0))</f>
        <v/>
      </c>
      <c r="DI1175">
        <f>INDEX('Data_Price '!AR$2:AR$1266,MATCH(Data!$DN1175,'Data_Price '!$AT$2:$AT$1266,0))</f>
        <v/>
      </c>
      <c r="DJ1175" s="138">
        <f>DA1175</f>
        <v/>
      </c>
      <c r="DK1175" s="138">
        <f>DE1175</f>
        <v/>
      </c>
      <c r="DL1175" s="138">
        <f>DI1175</f>
        <v/>
      </c>
      <c r="DM1175" s="303">
        <f>IF(LEFT(BT1175,1)=" ",RIGHT(BT1175,LEN(BT1175)-1),BT1175)</f>
        <v/>
      </c>
      <c r="DN1175" s="138">
        <f>_xlfn.CONCAT(BS1175,DM1175,BU1175,BV1175)</f>
        <v/>
      </c>
      <c r="DO1175" s="307" t="inlineStr">
        <is>
          <t>https://images.evo.com/imgp/250/208360/837592/volkl-mantra-102-skis-2022-.jpg</t>
        </is>
      </c>
    </row>
    <row r="1176" ht="15.6" customHeight="1" s="184">
      <c r="B1176" s="303">
        <f t="array" ref="B1176">IF(OR(ISERROR(K1176:P1176)),FALSE,TRUE)</f>
        <v/>
      </c>
      <c r="C1176" s="60">
        <f>OR(BR1176=Driver!$G$50,Data!BR846=Driver!$H$50)</f>
        <v/>
      </c>
      <c r="D1176" s="60">
        <f>OR(BV1176=Driver!$G$51,BV1176=Driver!$H$51)</f>
        <v/>
      </c>
      <c r="E1176" s="60">
        <f>AND(BX1176&gt;Driver!$F$54,BX1176&lt;Driver!$G$54)</f>
        <v/>
      </c>
      <c r="F1176" s="60">
        <f>CL1176&gt;Driver!$F$56</f>
        <v/>
      </c>
      <c r="G1176" s="60">
        <f>AND(CB1176&gt;Driver!$F$55,CB1176&lt;Driver!$G$55)</f>
        <v/>
      </c>
      <c r="H1176" s="60">
        <f>AND(B1176:G1176)</f>
        <v/>
      </c>
      <c r="I1176" s="60">
        <f>COUNTIFS($H$9:$H$1273,TRUE,$BT$9:$BT$1273,BT1176)</f>
        <v/>
      </c>
      <c r="J1176" s="60">
        <f t="array" ref="J1176">NOT(OR(($H$9:$H$1273=TRUE)*($I$9:$I$1273&gt;0)*($BT$9:$BT$1273=BT1176)*($K$9:$K$1273&gt;K1176)))</f>
        <v/>
      </c>
      <c r="K1176" s="108">
        <f>IFERROR(1-AVERAGE(X1176:Y1176),"")</f>
        <v/>
      </c>
      <c r="L1176" s="108">
        <f>1-X1176</f>
        <v/>
      </c>
      <c r="M1176" s="108">
        <f>1-Y1176</f>
        <v/>
      </c>
      <c r="N1176" s="108">
        <f>1-Z1176</f>
        <v/>
      </c>
      <c r="O1176" s="108">
        <f>1-AA1176</f>
        <v/>
      </c>
      <c r="P1176" s="108">
        <f>1-AB1176</f>
        <v/>
      </c>
      <c r="Q1176" s="108" t="n"/>
      <c r="R1176" s="108" t="n"/>
      <c r="S1176" s="108">
        <f>1-AE1176</f>
        <v/>
      </c>
      <c r="T1176" s="108">
        <f>1-AF1176</f>
        <v/>
      </c>
      <c r="U1176" s="108">
        <f>1-AG1176</f>
        <v/>
      </c>
      <c r="V1176" s="108">
        <f>1-AH1176</f>
        <v/>
      </c>
      <c r="W1176" s="108">
        <f>1-AI1176</f>
        <v/>
      </c>
      <c r="X1176" s="108">
        <f>ABS(AJ1176-AJ$1)</f>
        <v/>
      </c>
      <c r="Y1176" s="108">
        <f>AVERAGE(Z1176:AB1176)</f>
        <v/>
      </c>
      <c r="Z1176" s="108">
        <f>ABS(AL1176-AL$1)</f>
        <v/>
      </c>
      <c r="AA1176" s="108">
        <f>ABS(AM1176-AM$1)</f>
        <v/>
      </c>
      <c r="AB1176" s="108">
        <f>ABS(AN1176-AN$1)</f>
        <v/>
      </c>
      <c r="AC1176" s="108" t="n"/>
      <c r="AD1176" s="108" t="n"/>
      <c r="AE1176" s="108">
        <f>ABS(AQ$1-AQ1176)</f>
        <v/>
      </c>
      <c r="AF1176" s="108">
        <f>ABS(AR$1-AR1176)</f>
        <v/>
      </c>
      <c r="AG1176" s="108">
        <f>ABS(AS$1-AS1176)</f>
        <v/>
      </c>
      <c r="AH1176" s="108">
        <f>ABS(AT$1-AT1176)</f>
        <v/>
      </c>
      <c r="AI1176" s="108">
        <f>ABS(AU$1-AU1176)</f>
        <v/>
      </c>
      <c r="AJ1176" s="108">
        <f>(AV1176-Driver!$K$179)/(Driver!$L$179-Driver!$K$179)</f>
        <v/>
      </c>
      <c r="AK1176" s="108">
        <f>(AW1176-Driver!$K$180)/(Driver!$L$180-Driver!$K$180)</f>
        <v/>
      </c>
      <c r="AL1176" s="108">
        <f>(AX1176-Driver!$K$181)/(Driver!$L$181-Driver!$K$181)</f>
        <v/>
      </c>
      <c r="AM1176" s="108">
        <f>(AY1176-Driver!$K$182)/(Driver!$L$182-Driver!$K$182)</f>
        <v/>
      </c>
      <c r="AN1176" s="108">
        <f>(AZ1176-Driver!$K$183)/(Driver!$L$183-Driver!$K$183)</f>
        <v/>
      </c>
      <c r="AO1176" s="108" t="n"/>
      <c r="AP1176" s="108" t="n"/>
      <c r="AQ1176" s="108">
        <f>(BC1176-Driver!$K$188)/(Driver!$L$188-Driver!$K$188)</f>
        <v/>
      </c>
      <c r="AR1176" s="108">
        <f>MIN((BD1176-Driver!$K$189)/(Driver!$L$189-Driver!$K$189),100%)</f>
        <v/>
      </c>
      <c r="AS1176" s="108">
        <f>(BE1176-Driver!$K$190)/(Driver!$L$190-Driver!$K$190)</f>
        <v/>
      </c>
      <c r="AT1176" s="108">
        <f>(BF1176-Driver!$K$191)/(Driver!$L$191-Driver!$K$191)</f>
        <v/>
      </c>
      <c r="AU1176" s="108">
        <f>(BG1176-Driver!$K$192)/(Driver!$L$192-Driver!$K$192)</f>
        <v/>
      </c>
      <c r="AV1176" s="105">
        <f>IFERROR(BM1176*BJ1176^1/4,"")</f>
        <v/>
      </c>
      <c r="AW1176" s="105">
        <f>IFERROR(SUM(AX1176:AZ1176),"")</f>
        <v/>
      </c>
      <c r="AX1176" s="105">
        <f>IFERROR(BH1176,"")</f>
        <v/>
      </c>
      <c r="AY1176" s="105">
        <f>IFERROR(Driver!$K$19/Data!BH1176/Data!BI1176*Data!BK1176*Data!BL1176,"")</f>
        <v/>
      </c>
      <c r="AZ1176" s="105">
        <f>IFERROR(BI1176*BN1176,"")</f>
        <v/>
      </c>
      <c r="BA1176" s="105" t="n"/>
      <c r="BB1176" s="105" t="n"/>
      <c r="BC1176" s="105">
        <f>IFERROR(BI1176*BN1176*BK1176/BJ1176^(1/2),"")</f>
        <v/>
      </c>
      <c r="BD1176" s="105">
        <f>IFERROR(BH1176*BM1176*BL1176/BJ1176/BK1176,"")</f>
        <v/>
      </c>
      <c r="BE1176" s="105">
        <f>IFERROR(MIN(BI1176/BQ1176/BP1176/BO1176/BH1176,$BE$1),"")</f>
        <v/>
      </c>
      <c r="BF1176" s="105">
        <f>IFERROR(BJ1176*BO1176*BP1176/BK1176,"")</f>
        <v/>
      </c>
      <c r="BG1176" s="105">
        <f>IFERROR(1/BM1176/BH1176*BQ1176,"")</f>
        <v/>
      </c>
      <c r="BH1176" s="102">
        <f>MAX((CE1176-Driver!$F$200)/(Driver!$G$200-Driver!$F$200)*$BI$1,1)</f>
        <v/>
      </c>
      <c r="BI1176" s="102">
        <f>MAX($BI$1*(BY1176-Driver!$F$201)/(Driver!$G$201-Driver!$F$201),1)</f>
        <v/>
      </c>
      <c r="BJ1176" s="102">
        <f>(CB1176-Driver!$F$206)/(Driver!$G$206-Driver!$F$206)*$BI$1</f>
        <v/>
      </c>
      <c r="BK1176" s="102">
        <f>(CD1176-Driver!$F$203)/(Driver!$G$203-Driver!$F$203)*$BI$1</f>
        <v/>
      </c>
      <c r="BL1176" s="102">
        <f>MAX((CR1176-Driver!$F$202)/(Driver!$G$202-Driver!$F$202)*$BI$1,1)</f>
        <v/>
      </c>
      <c r="BM1176" s="102">
        <f>MAX((CH1176-Driver!$F$204)/(Driver!$G$204-Driver!$F$204)*$BI$1,1)</f>
        <v/>
      </c>
      <c r="BN1176" s="102">
        <f>(CI1176-Driver!$F$205)/(Driver!$G$205-Driver!$F$205)*$BI$1</f>
        <v/>
      </c>
      <c r="BO1176" s="102">
        <f>(CK1176-Driver!$F$207)/(Driver!$G$207-Driver!$F$207)*$BI$1</f>
        <v/>
      </c>
      <c r="BP1176" s="102">
        <f>(CM1176-Driver!$F$208)/(Driver!$G$208-Driver!$F$208)*$BI$1</f>
        <v/>
      </c>
      <c r="BQ1176" s="102">
        <f>(CL1176-Driver!$F$209)/(Driver!$G$209-Driver!$F$209)*$BI$1</f>
        <v/>
      </c>
      <c r="BR1176" s="40" t="inlineStr">
        <is>
          <t>21/22</t>
        </is>
      </c>
      <c r="BS1176" s="10" t="inlineStr">
        <is>
          <t xml:space="preserve"> Line</t>
        </is>
      </c>
      <c r="BT1176" s="11" t="inlineStr">
        <is>
          <t>Pandora 110</t>
        </is>
      </c>
      <c r="BU1176" s="13" t="n">
        <v>165</v>
      </c>
      <c r="BV1176" s="11" t="inlineStr">
        <is>
          <t xml:space="preserve"> Women's</t>
        </is>
      </c>
      <c r="BW1176" s="13" t="n">
        <v>165</v>
      </c>
      <c r="BX1176" s="13" t="n">
        <v>160</v>
      </c>
      <c r="BY1176" s="13" t="n">
        <v>98</v>
      </c>
      <c r="BZ1176" s="13" t="n">
        <v>126</v>
      </c>
      <c r="CA1176" s="13" t="n">
        <v>143</v>
      </c>
      <c r="CB1176" s="13" t="n">
        <v>109</v>
      </c>
      <c r="CC1176" s="13" t="n">
        <v>129</v>
      </c>
      <c r="CD1176" s="13" t="n">
        <v>14</v>
      </c>
      <c r="CE1176" s="13" t="n">
        <v>1284</v>
      </c>
      <c r="CF1176" s="13" t="n">
        <v>1.48</v>
      </c>
      <c r="CG1176" s="13" t="n">
        <v>1902</v>
      </c>
      <c r="CH1176" s="13" t="n">
        <v>131</v>
      </c>
      <c r="CI1176" s="13" t="n">
        <v>52</v>
      </c>
      <c r="CJ1176" s="13" t="n">
        <v>47</v>
      </c>
      <c r="CK1176" s="13" t="n">
        <v>332</v>
      </c>
      <c r="CL1176" s="13" t="n">
        <v>27</v>
      </c>
      <c r="CM1176" s="13" t="n">
        <v>290</v>
      </c>
      <c r="CN1176" s="13" t="n">
        <v>0.579</v>
      </c>
      <c r="CO1176" s="13" t="n">
        <v>169</v>
      </c>
      <c r="CP1176" s="13" t="n">
        <v>168</v>
      </c>
      <c r="CQ1176" s="13" t="n">
        <v>163</v>
      </c>
      <c r="CR1176" s="13" t="n">
        <v>5</v>
      </c>
      <c r="CS1176" s="13" t="n">
        <v>6.3</v>
      </c>
      <c r="CT1176" s="11" t="inlineStr">
        <is>
          <t xml:space="preserve"> Powder</t>
        </is>
      </c>
      <c r="CU1176" s="11" t="inlineStr">
        <is>
          <t xml:space="preserve"> Touring</t>
        </is>
      </c>
      <c r="CV1176" s="11" t="inlineStr">
        <is>
          <t xml:space="preserve"> Ultralight Touring</t>
        </is>
      </c>
      <c r="CW1176" s="13" t="n"/>
      <c r="CX1176">
        <f>INDEX('Data_Price '!AG$2:AG$1266,MATCH(Data!$DN1176,'Data_Price '!$AT$2:$AT$1266,0))</f>
        <v/>
      </c>
      <c r="CY1176">
        <f>INDEX('Data_Price '!AH$2:AH$1266,MATCH(Data!$DN1176,'Data_Price '!$AT$2:$AT$1266,0))</f>
        <v/>
      </c>
      <c r="CZ1176">
        <f>INDEX('Data_Price '!AI$2:AI$1266,MATCH(Data!$DN1176,'Data_Price '!$AT$2:$AT$1266,0))</f>
        <v/>
      </c>
      <c r="DA1176">
        <f>INDEX('Data_Price '!AJ$2:AJ$1266,MATCH(Data!$DN1176,'Data_Price '!$AT$2:$AT$1266,0))</f>
        <v/>
      </c>
      <c r="DB1176">
        <f>INDEX('Data_Price '!AK$2:AK$1266,MATCH(Data!$DN1176,'Data_Price '!$AT$2:$AT$1266,0))</f>
        <v/>
      </c>
      <c r="DC1176">
        <f>INDEX('Data_Price '!AL$2:AL$1266,MATCH(Data!$DN1176,'Data_Price '!$AT$2:$AT$1266,0))</f>
        <v/>
      </c>
      <c r="DD1176">
        <f>INDEX('Data_Price '!AM$2:AM$1266,MATCH(Data!$DN1176,'Data_Price '!$AT$2:$AT$1266,0))</f>
        <v/>
      </c>
      <c r="DE1176">
        <f>INDEX('Data_Price '!AN$2:AN$1266,MATCH(Data!$DN1176,'Data_Price '!$AT$2:$AT$1266,0))</f>
        <v/>
      </c>
      <c r="DF1176">
        <f>INDEX('Data_Price '!AO$2:AO$1266,MATCH(Data!$DN1176,'Data_Price '!$AT$2:$AT$1266,0))</f>
        <v/>
      </c>
      <c r="DG1176">
        <f>INDEX('Data_Price '!AP$2:AP$1266,MATCH(Data!$DN1176,'Data_Price '!$AT$2:$AT$1266,0))</f>
        <v/>
      </c>
      <c r="DH1176">
        <f>INDEX('Data_Price '!AQ$2:AQ$1266,MATCH(Data!$DN1176,'Data_Price '!$AT$2:$AT$1266,0))</f>
        <v/>
      </c>
      <c r="DI1176">
        <f>INDEX('Data_Price '!AR$2:AR$1266,MATCH(Data!$DN1176,'Data_Price '!$AT$2:$AT$1266,0))</f>
        <v/>
      </c>
      <c r="DJ1176" s="138">
        <f>DA1176</f>
        <v/>
      </c>
      <c r="DK1176" s="138">
        <f>DE1176</f>
        <v/>
      </c>
      <c r="DL1176" s="138">
        <f>DI1176</f>
        <v/>
      </c>
      <c r="DM1176" s="303">
        <f>IF(LEFT(BT1176,1)=" ",RIGHT(BT1176,LEN(BT1176)-1),BT1176)</f>
        <v/>
      </c>
      <c r="DN1176" s="138">
        <f>_xlfn.CONCAT(BS1176,DM1176,BU1176,BV1176)</f>
        <v/>
      </c>
      <c r="DO1176" s="307" t="inlineStr">
        <is>
          <t>https://images.evo.com/imgp/250/198429/817633/line-skis-pandora-110-skis-women-s-2022-.jpg</t>
        </is>
      </c>
    </row>
    <row r="1177" ht="15.6" customHeight="1" s="184">
      <c r="B1177" s="303">
        <f t="array" ref="B1177">IF(OR(ISERROR(K1177:P1177)),FALSE,TRUE)</f>
        <v/>
      </c>
      <c r="C1177" s="60">
        <f>OR(BR1177=Driver!$G$50,Data!BR1255=Driver!$H$50)</f>
        <v/>
      </c>
      <c r="D1177" s="60">
        <f>OR(BV1177=Driver!$G$51,BV1177=Driver!$H$51)</f>
        <v/>
      </c>
      <c r="E1177" s="60">
        <f>AND(BX1177&gt;Driver!$F$54,BX1177&lt;Driver!$G$54)</f>
        <v/>
      </c>
      <c r="F1177" s="60">
        <f>CL1177&gt;Driver!$F$56</f>
        <v/>
      </c>
      <c r="G1177" s="60">
        <f>AND(CB1177&gt;Driver!$F$55,CB1177&lt;Driver!$G$55)</f>
        <v/>
      </c>
      <c r="H1177" s="60">
        <f>AND(B1177:G1177)</f>
        <v/>
      </c>
      <c r="I1177" s="60">
        <f>COUNTIFS($H$9:$H$1273,TRUE,$BT$9:$BT$1273,BT1177)</f>
        <v/>
      </c>
      <c r="J1177" s="60">
        <f t="array" ref="J1177">NOT(OR(($H$9:$H$1273=TRUE)*($I$9:$I$1273&gt;0)*($BT$9:$BT$1273=BT1177)*($K$9:$K$1273&gt;K1177)))</f>
        <v/>
      </c>
      <c r="K1177" s="108">
        <f>IFERROR(1-AVERAGE(X1177:Y1177),"")</f>
        <v/>
      </c>
      <c r="L1177" s="108">
        <f>1-X1177</f>
        <v/>
      </c>
      <c r="M1177" s="108">
        <f>1-Y1177</f>
        <v/>
      </c>
      <c r="N1177" s="108">
        <f>1-Z1177</f>
        <v/>
      </c>
      <c r="O1177" s="108">
        <f>1-AA1177</f>
        <v/>
      </c>
      <c r="P1177" s="108">
        <f>1-AB1177</f>
        <v/>
      </c>
      <c r="Q1177" s="108" t="n"/>
      <c r="R1177" s="108" t="n"/>
      <c r="S1177" s="108">
        <f>1-AE1177</f>
        <v/>
      </c>
      <c r="T1177" s="108">
        <f>1-AF1177</f>
        <v/>
      </c>
      <c r="U1177" s="108">
        <f>1-AG1177</f>
        <v/>
      </c>
      <c r="V1177" s="108">
        <f>1-AH1177</f>
        <v/>
      </c>
      <c r="W1177" s="108">
        <f>1-AI1177</f>
        <v/>
      </c>
      <c r="X1177" s="108">
        <f>ABS(AJ1177-AJ$1)</f>
        <v/>
      </c>
      <c r="Y1177" s="108">
        <f>AVERAGE(Z1177:AB1177)</f>
        <v/>
      </c>
      <c r="Z1177" s="108">
        <f>ABS(AL1177-AL$1)</f>
        <v/>
      </c>
      <c r="AA1177" s="108">
        <f>ABS(AM1177-AM$1)</f>
        <v/>
      </c>
      <c r="AB1177" s="108">
        <f>ABS(AN1177-AN$1)</f>
        <v/>
      </c>
      <c r="AC1177" s="108" t="n"/>
      <c r="AD1177" s="108" t="n"/>
      <c r="AE1177" s="108">
        <f>ABS(AQ$1-AQ1177)</f>
        <v/>
      </c>
      <c r="AF1177" s="108">
        <f>ABS(AR$1-AR1177)</f>
        <v/>
      </c>
      <c r="AG1177" s="108">
        <f>ABS(AS$1-AS1177)</f>
        <v/>
      </c>
      <c r="AH1177" s="108">
        <f>ABS(AT$1-AT1177)</f>
        <v/>
      </c>
      <c r="AI1177" s="108">
        <f>ABS(AU$1-AU1177)</f>
        <v/>
      </c>
      <c r="AJ1177" s="108">
        <f>(AV1177-Driver!$K$179)/(Driver!$L$179-Driver!$K$179)</f>
        <v/>
      </c>
      <c r="AK1177" s="108">
        <f>(AW1177-Driver!$K$180)/(Driver!$L$180-Driver!$K$180)</f>
        <v/>
      </c>
      <c r="AL1177" s="108">
        <f>(AX1177-Driver!$K$181)/(Driver!$L$181-Driver!$K$181)</f>
        <v/>
      </c>
      <c r="AM1177" s="108">
        <f>(AY1177-Driver!$K$182)/(Driver!$L$182-Driver!$K$182)</f>
        <v/>
      </c>
      <c r="AN1177" s="108">
        <f>(AZ1177-Driver!$K$183)/(Driver!$L$183-Driver!$K$183)</f>
        <v/>
      </c>
      <c r="AO1177" s="108" t="n"/>
      <c r="AP1177" s="108" t="n"/>
      <c r="AQ1177" s="108">
        <f>(BC1177-Driver!$K$188)/(Driver!$L$188-Driver!$K$188)</f>
        <v/>
      </c>
      <c r="AR1177" s="108">
        <f>MIN((BD1177-Driver!$K$189)/(Driver!$L$189-Driver!$K$189),100%)</f>
        <v/>
      </c>
      <c r="AS1177" s="108">
        <f>(BE1177-Driver!$K$190)/(Driver!$L$190-Driver!$K$190)</f>
        <v/>
      </c>
      <c r="AT1177" s="108">
        <f>(BF1177-Driver!$K$191)/(Driver!$L$191-Driver!$K$191)</f>
        <v/>
      </c>
      <c r="AU1177" s="108">
        <f>(BG1177-Driver!$K$192)/(Driver!$L$192-Driver!$K$192)</f>
        <v/>
      </c>
      <c r="AV1177" s="105">
        <f>IFERROR(BM1177*BJ1177^1/4,"")</f>
        <v/>
      </c>
      <c r="AW1177" s="105">
        <f>IFERROR(SUM(AX1177:AZ1177),"")</f>
        <v/>
      </c>
      <c r="AX1177" s="105">
        <f>IFERROR(BH1177,"")</f>
        <v/>
      </c>
      <c r="AY1177" s="105">
        <f>IFERROR(Driver!$K$19/Data!BH1177/Data!BI1177*Data!BK1177*Data!BL1177,"")</f>
        <v/>
      </c>
      <c r="AZ1177" s="105">
        <f>IFERROR(BI1177*BN1177,"")</f>
        <v/>
      </c>
      <c r="BA1177" s="105" t="n"/>
      <c r="BB1177" s="105" t="n"/>
      <c r="BC1177" s="105">
        <f>IFERROR(BI1177*BN1177*BK1177/BJ1177^(1/2),"")</f>
        <v/>
      </c>
      <c r="BD1177" s="105">
        <f>IFERROR(BH1177*BM1177*BL1177/BJ1177/BK1177,"")</f>
        <v/>
      </c>
      <c r="BE1177" s="105">
        <f>IFERROR(MIN(BI1177/BQ1177/BP1177/BO1177/BH1177,$BE$1),"")</f>
        <v/>
      </c>
      <c r="BF1177" s="105">
        <f>IFERROR(BJ1177*BO1177*BP1177/BK1177,"")</f>
        <v/>
      </c>
      <c r="BG1177" s="105">
        <f>IFERROR(1/BM1177/BH1177*BQ1177,"")</f>
        <v/>
      </c>
      <c r="BH1177" s="102">
        <f>MAX((CE1177-Driver!$F$200)/(Driver!$G$200-Driver!$F$200)*$BI$1,1)</f>
        <v/>
      </c>
      <c r="BI1177" s="102">
        <f>MAX($BI$1*(BY1177-Driver!$F$201)/(Driver!$G$201-Driver!$F$201),1)</f>
        <v/>
      </c>
      <c r="BJ1177" s="102">
        <f>(CB1177-Driver!$F$206)/(Driver!$G$206-Driver!$F$206)*$BI$1</f>
        <v/>
      </c>
      <c r="BK1177" s="102">
        <f>(CD1177-Driver!$F$203)/(Driver!$G$203-Driver!$F$203)*$BI$1</f>
        <v/>
      </c>
      <c r="BL1177" s="102">
        <f>MAX((CR1177-Driver!$F$202)/(Driver!$G$202-Driver!$F$202)*$BI$1,1)</f>
        <v/>
      </c>
      <c r="BM1177" s="102">
        <f>MAX((CH1177-Driver!$F$204)/(Driver!$G$204-Driver!$F$204)*$BI$1,1)</f>
        <v/>
      </c>
      <c r="BN1177" s="102">
        <f>(CI1177-Driver!$F$205)/(Driver!$G$205-Driver!$F$205)*$BI$1</f>
        <v/>
      </c>
      <c r="BO1177" s="102">
        <f>(CK1177-Driver!$F$207)/(Driver!$G$207-Driver!$F$207)*$BI$1</f>
        <v/>
      </c>
      <c r="BP1177" s="102">
        <f>(CM1177-Driver!$F$208)/(Driver!$G$208-Driver!$F$208)*$BI$1</f>
        <v/>
      </c>
      <c r="BQ1177" s="102">
        <f>(CL1177-Driver!$F$209)/(Driver!$G$209-Driver!$F$209)*$BI$1</f>
        <v/>
      </c>
      <c r="BR1177" s="40" t="inlineStr">
        <is>
          <t>21/22</t>
        </is>
      </c>
      <c r="BS1177" s="10" t="inlineStr">
        <is>
          <t xml:space="preserve"> Völkl</t>
        </is>
      </c>
      <c r="BT1177" s="11" t="inlineStr">
        <is>
          <t>Rise Beyond 96 W</t>
        </is>
      </c>
      <c r="BU1177" s="13" t="n">
        <v>156</v>
      </c>
      <c r="BV1177" s="11" t="inlineStr">
        <is>
          <t xml:space="preserve"> Women's</t>
        </is>
      </c>
      <c r="BW1177" s="13" t="n">
        <v>156</v>
      </c>
      <c r="BX1177" s="13" t="n">
        <v>154.7</v>
      </c>
      <c r="BY1177" s="13" t="n">
        <v>119</v>
      </c>
      <c r="BZ1177" s="13" t="n">
        <v>133</v>
      </c>
      <c r="CA1177" s="13" t="n">
        <v>137</v>
      </c>
      <c r="CB1177" s="13" t="n">
        <v>95</v>
      </c>
      <c r="CC1177" s="13" t="n">
        <v>118</v>
      </c>
      <c r="CD1177" s="13" t="n">
        <v>13</v>
      </c>
      <c r="CE1177" s="13" t="n">
        <v>1129</v>
      </c>
      <c r="CF1177" s="13" t="n">
        <v>1.48</v>
      </c>
      <c r="CG1177" s="13" t="n">
        <v>1672</v>
      </c>
      <c r="CH1177" s="13" t="n">
        <v>140</v>
      </c>
      <c r="CI1177" s="13" t="n">
        <v>64</v>
      </c>
      <c r="CJ1177" s="13" t="n">
        <v>40</v>
      </c>
      <c r="CK1177" s="13" t="n">
        <v>292</v>
      </c>
      <c r="CL1177" s="13" t="n">
        <v>4</v>
      </c>
      <c r="CM1177" s="13" t="n">
        <v>68</v>
      </c>
      <c r="CN1177" s="13" t="n">
        <v>0.104</v>
      </c>
      <c r="CO1177" s="13" t="n">
        <v>129</v>
      </c>
      <c r="CP1177" s="13" t="n">
        <v>88</v>
      </c>
      <c r="CQ1177" s="13" t="n">
        <v>163</v>
      </c>
      <c r="CR1177" s="13" t="n">
        <v>4</v>
      </c>
      <c r="CS1177" s="13" t="n">
        <v>10.3</v>
      </c>
      <c r="CT1177" s="11" t="inlineStr">
        <is>
          <t xml:space="preserve"> Touring</t>
        </is>
      </c>
      <c r="CU1177" s="11" t="inlineStr">
        <is>
          <t xml:space="preserve"> Ultralight Touring</t>
        </is>
      </c>
      <c r="CV1177" s="13" t="n"/>
      <c r="CW1177" s="13" t="n"/>
      <c r="CX1177">
        <f>INDEX('Data_Price '!AG$2:AG$1266,MATCH(Data!$DN1177,'Data_Price '!$AT$2:$AT$1266,0))</f>
        <v/>
      </c>
      <c r="CY1177">
        <f>INDEX('Data_Price '!AH$2:AH$1266,MATCH(Data!$DN1177,'Data_Price '!$AT$2:$AT$1266,0))</f>
        <v/>
      </c>
      <c r="CZ1177">
        <f>INDEX('Data_Price '!AI$2:AI$1266,MATCH(Data!$DN1177,'Data_Price '!$AT$2:$AT$1266,0))</f>
        <v/>
      </c>
      <c r="DA1177">
        <f>INDEX('Data_Price '!AJ$2:AJ$1266,MATCH(Data!$DN1177,'Data_Price '!$AT$2:$AT$1266,0))</f>
        <v/>
      </c>
      <c r="DB1177">
        <f>INDEX('Data_Price '!AK$2:AK$1266,MATCH(Data!$DN1177,'Data_Price '!$AT$2:$AT$1266,0))</f>
        <v/>
      </c>
      <c r="DC1177">
        <f>INDEX('Data_Price '!AL$2:AL$1266,MATCH(Data!$DN1177,'Data_Price '!$AT$2:$AT$1266,0))</f>
        <v/>
      </c>
      <c r="DD1177">
        <f>INDEX('Data_Price '!AM$2:AM$1266,MATCH(Data!$DN1177,'Data_Price '!$AT$2:$AT$1266,0))</f>
        <v/>
      </c>
      <c r="DE1177">
        <f>INDEX('Data_Price '!AN$2:AN$1266,MATCH(Data!$DN1177,'Data_Price '!$AT$2:$AT$1266,0))</f>
        <v/>
      </c>
      <c r="DF1177">
        <f>INDEX('Data_Price '!AO$2:AO$1266,MATCH(Data!$DN1177,'Data_Price '!$AT$2:$AT$1266,0))</f>
        <v/>
      </c>
      <c r="DG1177">
        <f>INDEX('Data_Price '!AP$2:AP$1266,MATCH(Data!$DN1177,'Data_Price '!$AT$2:$AT$1266,0))</f>
        <v/>
      </c>
      <c r="DH1177">
        <f>INDEX('Data_Price '!AQ$2:AQ$1266,MATCH(Data!$DN1177,'Data_Price '!$AT$2:$AT$1266,0))</f>
        <v/>
      </c>
      <c r="DI1177">
        <f>INDEX('Data_Price '!AR$2:AR$1266,MATCH(Data!$DN1177,'Data_Price '!$AT$2:$AT$1266,0))</f>
        <v/>
      </c>
      <c r="DJ1177" s="138">
        <f>DA1177</f>
        <v/>
      </c>
      <c r="DK1177" s="138">
        <f>DE1177</f>
        <v/>
      </c>
      <c r="DL1177" s="138">
        <f>DI1177</f>
        <v/>
      </c>
      <c r="DM1177" s="303">
        <f>IF(LEFT(BT1177,1)=" ",RIGHT(BT1177,LEN(BT1177)-1),BT1177)</f>
        <v/>
      </c>
      <c r="DN1177" s="138">
        <f>_xlfn.CONCAT(BS1177,DM1177,BU1177,BV1177)</f>
        <v/>
      </c>
      <c r="DO1177" s="307" t="n"/>
    </row>
    <row r="1178" ht="15.6" customHeight="1" s="184">
      <c r="B1178" s="303">
        <f t="array" ref="B1178">IF(OR(ISERROR(K1178:P1178)),FALSE,TRUE)</f>
        <v/>
      </c>
      <c r="C1178" s="60">
        <f>OR(BR1178=Driver!$G$50,Data!BR312=Driver!$H$50)</f>
        <v/>
      </c>
      <c r="D1178" s="60">
        <f>OR(BV1178=Driver!$G$51,BV1178=Driver!$H$51)</f>
        <v/>
      </c>
      <c r="E1178" s="60">
        <f>AND(BX1178&gt;Driver!$F$54,BX1178&lt;Driver!$G$54)</f>
        <v/>
      </c>
      <c r="F1178" s="60">
        <f>CL1178&gt;Driver!$F$56</f>
        <v/>
      </c>
      <c r="G1178" s="60">
        <f>AND(CB1178&gt;Driver!$F$55,CB1178&lt;Driver!$G$55)</f>
        <v/>
      </c>
      <c r="H1178" s="60">
        <f>AND(B1178:G1178)</f>
        <v/>
      </c>
      <c r="I1178" s="60">
        <f>COUNTIFS($H$9:$H$1273,TRUE,$BT$9:$BT$1273,BT1178)</f>
        <v/>
      </c>
      <c r="J1178" s="60">
        <f t="array" ref="J1178">NOT(OR(($H$9:$H$1273=TRUE)*($I$9:$I$1273&gt;0)*($BT$9:$BT$1273=BT1178)*($K$9:$K$1273&gt;K1178)))</f>
        <v/>
      </c>
      <c r="K1178" s="108">
        <f>IFERROR(1-AVERAGE(X1178:Y1178),"")</f>
        <v/>
      </c>
      <c r="L1178" s="108">
        <f>1-X1178</f>
        <v/>
      </c>
      <c r="M1178" s="108">
        <f>1-Y1178</f>
        <v/>
      </c>
      <c r="N1178" s="108">
        <f>1-Z1178</f>
        <v/>
      </c>
      <c r="O1178" s="108">
        <f>1-AA1178</f>
        <v/>
      </c>
      <c r="P1178" s="108">
        <f>1-AB1178</f>
        <v/>
      </c>
      <c r="Q1178" s="108" t="n"/>
      <c r="R1178" s="108" t="n"/>
      <c r="S1178" s="108">
        <f>1-AE1178</f>
        <v/>
      </c>
      <c r="T1178" s="108">
        <f>1-AF1178</f>
        <v/>
      </c>
      <c r="U1178" s="108">
        <f>1-AG1178</f>
        <v/>
      </c>
      <c r="V1178" s="108">
        <f>1-AH1178</f>
        <v/>
      </c>
      <c r="W1178" s="108">
        <f>1-AI1178</f>
        <v/>
      </c>
      <c r="X1178" s="108">
        <f>ABS(AJ1178-AJ$1)</f>
        <v/>
      </c>
      <c r="Y1178" s="108">
        <f>AVERAGE(Z1178:AB1178)</f>
        <v/>
      </c>
      <c r="Z1178" s="108">
        <f>ABS(AL1178-AL$1)</f>
        <v/>
      </c>
      <c r="AA1178" s="108">
        <f>ABS(AM1178-AM$1)</f>
        <v/>
      </c>
      <c r="AB1178" s="108">
        <f>ABS(AN1178-AN$1)</f>
        <v/>
      </c>
      <c r="AC1178" s="108" t="n"/>
      <c r="AD1178" s="108" t="n"/>
      <c r="AE1178" s="108">
        <f>ABS(AQ$1-AQ1178)</f>
        <v/>
      </c>
      <c r="AF1178" s="108">
        <f>ABS(AR$1-AR1178)</f>
        <v/>
      </c>
      <c r="AG1178" s="108">
        <f>ABS(AS$1-AS1178)</f>
        <v/>
      </c>
      <c r="AH1178" s="108">
        <f>ABS(AT$1-AT1178)</f>
        <v/>
      </c>
      <c r="AI1178" s="108">
        <f>ABS(AU$1-AU1178)</f>
        <v/>
      </c>
      <c r="AJ1178" s="108">
        <f>(AV1178-Driver!$K$179)/(Driver!$L$179-Driver!$K$179)</f>
        <v/>
      </c>
      <c r="AK1178" s="108">
        <f>(AW1178-Driver!$K$180)/(Driver!$L$180-Driver!$K$180)</f>
        <v/>
      </c>
      <c r="AL1178" s="108">
        <f>(AX1178-Driver!$K$181)/(Driver!$L$181-Driver!$K$181)</f>
        <v/>
      </c>
      <c r="AM1178" s="108">
        <f>(AY1178-Driver!$K$182)/(Driver!$L$182-Driver!$K$182)</f>
        <v/>
      </c>
      <c r="AN1178" s="108">
        <f>(AZ1178-Driver!$K$183)/(Driver!$L$183-Driver!$K$183)</f>
        <v/>
      </c>
      <c r="AO1178" s="108" t="n"/>
      <c r="AP1178" s="108" t="n"/>
      <c r="AQ1178" s="108">
        <f>(BC1178-Driver!$K$188)/(Driver!$L$188-Driver!$K$188)</f>
        <v/>
      </c>
      <c r="AR1178" s="108">
        <f>MIN((BD1178-Driver!$K$189)/(Driver!$L$189-Driver!$K$189),100%)</f>
        <v/>
      </c>
      <c r="AS1178" s="108">
        <f>(BE1178-Driver!$K$190)/(Driver!$L$190-Driver!$K$190)</f>
        <v/>
      </c>
      <c r="AT1178" s="108">
        <f>(BF1178-Driver!$K$191)/(Driver!$L$191-Driver!$K$191)</f>
        <v/>
      </c>
      <c r="AU1178" s="108">
        <f>(BG1178-Driver!$K$192)/(Driver!$L$192-Driver!$K$192)</f>
        <v/>
      </c>
      <c r="AV1178" s="105">
        <f>IFERROR(BM1178*BJ1178^1/4,"")</f>
        <v/>
      </c>
      <c r="AW1178" s="105">
        <f>IFERROR(SUM(AX1178:AZ1178),"")</f>
        <v/>
      </c>
      <c r="AX1178" s="105">
        <f>IFERROR(BH1178,"")</f>
        <v/>
      </c>
      <c r="AY1178" s="105">
        <f>IFERROR(Driver!$K$19/Data!BH1178/Data!BI1178*Data!BK1178*Data!BL1178,"")</f>
        <v/>
      </c>
      <c r="AZ1178" s="105">
        <f>IFERROR(BI1178*BN1178,"")</f>
        <v/>
      </c>
      <c r="BA1178" s="105" t="n"/>
      <c r="BB1178" s="105" t="n"/>
      <c r="BC1178" s="105">
        <f>IFERROR(BI1178*BN1178*BK1178/BJ1178^(1/2),"")</f>
        <v/>
      </c>
      <c r="BD1178" s="105">
        <f>IFERROR(BH1178*BM1178*BL1178/BJ1178/BK1178,"")</f>
        <v/>
      </c>
      <c r="BE1178" s="105">
        <f>IFERROR(MIN(BI1178/BQ1178/BP1178/BO1178/BH1178,$BE$1),"")</f>
        <v/>
      </c>
      <c r="BF1178" s="105">
        <f>IFERROR(BJ1178*BO1178*BP1178/BK1178,"")</f>
        <v/>
      </c>
      <c r="BG1178" s="105">
        <f>IFERROR(1/BM1178/BH1178*BQ1178,"")</f>
        <v/>
      </c>
      <c r="BH1178" s="102">
        <f>MAX((CE1178-Driver!$F$200)/(Driver!$G$200-Driver!$F$200)*$BI$1,1)</f>
        <v/>
      </c>
      <c r="BI1178" s="102">
        <f>MAX($BI$1*(BY1178-Driver!$F$201)/(Driver!$G$201-Driver!$F$201),1)</f>
        <v/>
      </c>
      <c r="BJ1178" s="102">
        <f>(CB1178-Driver!$F$206)/(Driver!$G$206-Driver!$F$206)*$BI$1</f>
        <v/>
      </c>
      <c r="BK1178" s="102">
        <f>(CD1178-Driver!$F$203)/(Driver!$G$203-Driver!$F$203)*$BI$1</f>
        <v/>
      </c>
      <c r="BL1178" s="102">
        <f>MAX((CR1178-Driver!$F$202)/(Driver!$G$202-Driver!$F$202)*$BI$1,1)</f>
        <v/>
      </c>
      <c r="BM1178" s="102">
        <f>MAX((CH1178-Driver!$F$204)/(Driver!$G$204-Driver!$F$204)*$BI$1,1)</f>
        <v/>
      </c>
      <c r="BN1178" s="102">
        <f>(CI1178-Driver!$F$205)/(Driver!$G$205-Driver!$F$205)*$BI$1</f>
        <v/>
      </c>
      <c r="BO1178" s="102">
        <f>(CK1178-Driver!$F$207)/(Driver!$G$207-Driver!$F$207)*$BI$1</f>
        <v/>
      </c>
      <c r="BP1178" s="102">
        <f>(CM1178-Driver!$F$208)/(Driver!$G$208-Driver!$F$208)*$BI$1</f>
        <v/>
      </c>
      <c r="BQ1178" s="102">
        <f>(CL1178-Driver!$F$209)/(Driver!$G$209-Driver!$F$209)*$BI$1</f>
        <v/>
      </c>
      <c r="BR1178" s="40" t="inlineStr">
        <is>
          <t>21/22</t>
        </is>
      </c>
      <c r="BS1178" s="10" t="inlineStr">
        <is>
          <t xml:space="preserve"> Blizzard</t>
        </is>
      </c>
      <c r="BT1178" s="11" t="inlineStr">
        <is>
          <t>Thunderbird R13</t>
        </is>
      </c>
      <c r="BU1178" s="13" t="n">
        <v>165</v>
      </c>
      <c r="BV1178" s="11" t="inlineStr">
        <is>
          <t xml:space="preserve"> Unisex</t>
        </is>
      </c>
      <c r="BW1178" s="13" t="n">
        <v>165</v>
      </c>
      <c r="BX1178" s="13" t="n">
        <v>163.7</v>
      </c>
      <c r="BY1178" s="13" t="n">
        <v>144</v>
      </c>
      <c r="BZ1178" s="13" t="n">
        <v>151</v>
      </c>
      <c r="CA1178" s="13" t="n">
        <v>122</v>
      </c>
      <c r="CB1178" s="13" t="n">
        <v>70</v>
      </c>
      <c r="CC1178" s="13" t="n">
        <v>105</v>
      </c>
      <c r="CD1178" s="13" t="n">
        <v>13</v>
      </c>
      <c r="CE1178" s="13" t="n">
        <v>2126</v>
      </c>
      <c r="CF1178" s="13" t="n">
        <v>0.67</v>
      </c>
      <c r="CG1178" s="13" t="n">
        <v>1415</v>
      </c>
      <c r="CH1178" s="13" t="n">
        <v>198</v>
      </c>
      <c r="CI1178" s="13" t="n">
        <v>120</v>
      </c>
      <c r="CJ1178" s="13" t="n">
        <v>43</v>
      </c>
      <c r="CK1178" s="13" t="n">
        <v>143</v>
      </c>
      <c r="CL1178" s="13" t="n">
        <v>7</v>
      </c>
      <c r="CM1178" s="13" t="n">
        <v>58</v>
      </c>
      <c r="CN1178" s="13" t="n">
        <v>0.164</v>
      </c>
      <c r="CO1178" s="13" t="n">
        <v>68</v>
      </c>
      <c r="CP1178" s="13" t="n">
        <v>57</v>
      </c>
      <c r="CQ1178" s="13" t="n">
        <v>76</v>
      </c>
      <c r="CR1178" s="13" t="n">
        <v>9</v>
      </c>
      <c r="CS1178" s="13" t="n">
        <v>11.9</v>
      </c>
      <c r="CT1178" s="11" t="inlineStr">
        <is>
          <t xml:space="preserve"> On-Piste Carving</t>
        </is>
      </c>
      <c r="CU1178" s="13" t="n"/>
      <c r="CV1178" s="13" t="n"/>
      <c r="CW1178" s="13" t="n"/>
      <c r="CX1178">
        <f>INDEX('Data_Price '!AG$2:AG$1266,MATCH(Data!$DN1178,'Data_Price '!$AT$2:$AT$1266,0))</f>
        <v/>
      </c>
      <c r="CY1178">
        <f>INDEX('Data_Price '!AH$2:AH$1266,MATCH(Data!$DN1178,'Data_Price '!$AT$2:$AT$1266,0))</f>
        <v/>
      </c>
      <c r="CZ1178">
        <f>INDEX('Data_Price '!AI$2:AI$1266,MATCH(Data!$DN1178,'Data_Price '!$AT$2:$AT$1266,0))</f>
        <v/>
      </c>
      <c r="DA1178">
        <f>INDEX('Data_Price '!AJ$2:AJ$1266,MATCH(Data!$DN1178,'Data_Price '!$AT$2:$AT$1266,0))</f>
        <v/>
      </c>
      <c r="DB1178">
        <f>INDEX('Data_Price '!AK$2:AK$1266,MATCH(Data!$DN1178,'Data_Price '!$AT$2:$AT$1266,0))</f>
        <v/>
      </c>
      <c r="DC1178">
        <f>INDEX('Data_Price '!AL$2:AL$1266,MATCH(Data!$DN1178,'Data_Price '!$AT$2:$AT$1266,0))</f>
        <v/>
      </c>
      <c r="DD1178">
        <f>INDEX('Data_Price '!AM$2:AM$1266,MATCH(Data!$DN1178,'Data_Price '!$AT$2:$AT$1266,0))</f>
        <v/>
      </c>
      <c r="DE1178">
        <f>INDEX('Data_Price '!AN$2:AN$1266,MATCH(Data!$DN1178,'Data_Price '!$AT$2:$AT$1266,0))</f>
        <v/>
      </c>
      <c r="DF1178">
        <f>INDEX('Data_Price '!AO$2:AO$1266,MATCH(Data!$DN1178,'Data_Price '!$AT$2:$AT$1266,0))</f>
        <v/>
      </c>
      <c r="DG1178">
        <f>INDEX('Data_Price '!AP$2:AP$1266,MATCH(Data!$DN1178,'Data_Price '!$AT$2:$AT$1266,0))</f>
        <v/>
      </c>
      <c r="DH1178">
        <f>INDEX('Data_Price '!AQ$2:AQ$1266,MATCH(Data!$DN1178,'Data_Price '!$AT$2:$AT$1266,0))</f>
        <v/>
      </c>
      <c r="DI1178">
        <f>INDEX('Data_Price '!AR$2:AR$1266,MATCH(Data!$DN1178,'Data_Price '!$AT$2:$AT$1266,0))</f>
        <v/>
      </c>
      <c r="DJ1178" s="138">
        <f>DA1178</f>
        <v/>
      </c>
      <c r="DK1178" s="138">
        <f>DE1178</f>
        <v/>
      </c>
      <c r="DL1178" s="138">
        <f>DI1178</f>
        <v/>
      </c>
      <c r="DM1178" s="303">
        <f>IF(LEFT(BT1178,1)=" ",RIGHT(BT1178,LEN(BT1178)-1),BT1178)</f>
        <v/>
      </c>
      <c r="DN1178" s="138">
        <f>_xlfn.CONCAT(BS1178,DM1178,BU1178,BV1178)</f>
        <v/>
      </c>
      <c r="DO1178" s="307" t="n"/>
    </row>
    <row r="1179" ht="15.6" customHeight="1" s="184">
      <c r="B1179" s="303">
        <f t="array" ref="B1179">IF(OR(ISERROR(K1179:P1179)),FALSE,TRUE)</f>
        <v/>
      </c>
      <c r="C1179" s="60">
        <f>OR(BR1179=Driver!$G$50,Data!BR49=Driver!$H$50)</f>
        <v/>
      </c>
      <c r="D1179" s="60">
        <f>OR(BV1179=Driver!$G$51,BV1179=Driver!$H$51)</f>
        <v/>
      </c>
      <c r="E1179" s="60">
        <f>AND(BX1179&gt;Driver!$F$54,BX1179&lt;Driver!$G$54)</f>
        <v/>
      </c>
      <c r="F1179" s="60">
        <f>CL1179&gt;Driver!$F$56</f>
        <v/>
      </c>
      <c r="G1179" s="60">
        <f>AND(CB1179&gt;Driver!$F$55,CB1179&lt;Driver!$G$55)</f>
        <v/>
      </c>
      <c r="H1179" s="60">
        <f>AND(B1179:G1179)</f>
        <v/>
      </c>
      <c r="I1179" s="60">
        <f>COUNTIFS($H$9:$H$1273,TRUE,$BT$9:$BT$1273,BT1179)</f>
        <v/>
      </c>
      <c r="J1179" s="60">
        <f t="array" ref="J1179">NOT(OR(($H$9:$H$1273=TRUE)*($I$9:$I$1273&gt;0)*($BT$9:$BT$1273=BT1179)*($K$9:$K$1273&gt;K1179)))</f>
        <v/>
      </c>
      <c r="K1179" s="108">
        <f>IFERROR(1-AVERAGE(X1179:Y1179),"")</f>
        <v/>
      </c>
      <c r="L1179" s="108">
        <f>1-X1179</f>
        <v/>
      </c>
      <c r="M1179" s="108">
        <f>1-Y1179</f>
        <v/>
      </c>
      <c r="N1179" s="108">
        <f>1-Z1179</f>
        <v/>
      </c>
      <c r="O1179" s="108">
        <f>1-AA1179</f>
        <v/>
      </c>
      <c r="P1179" s="108">
        <f>1-AB1179</f>
        <v/>
      </c>
      <c r="Q1179" s="108" t="n"/>
      <c r="R1179" s="108" t="n"/>
      <c r="S1179" s="108">
        <f>1-AE1179</f>
        <v/>
      </c>
      <c r="T1179" s="108">
        <f>1-AF1179</f>
        <v/>
      </c>
      <c r="U1179" s="108">
        <f>1-AG1179</f>
        <v/>
      </c>
      <c r="V1179" s="108">
        <f>1-AH1179</f>
        <v/>
      </c>
      <c r="W1179" s="108">
        <f>1-AI1179</f>
        <v/>
      </c>
      <c r="X1179" s="108">
        <f>ABS(AJ1179-AJ$1)</f>
        <v/>
      </c>
      <c r="Y1179" s="108">
        <f>AVERAGE(Z1179:AB1179)</f>
        <v/>
      </c>
      <c r="Z1179" s="108">
        <f>ABS(AL1179-AL$1)</f>
        <v/>
      </c>
      <c r="AA1179" s="108">
        <f>ABS(AM1179-AM$1)</f>
        <v/>
      </c>
      <c r="AB1179" s="108">
        <f>ABS(AN1179-AN$1)</f>
        <v/>
      </c>
      <c r="AC1179" s="108" t="n"/>
      <c r="AD1179" s="108" t="n"/>
      <c r="AE1179" s="108">
        <f>ABS(AQ$1-AQ1179)</f>
        <v/>
      </c>
      <c r="AF1179" s="108">
        <f>ABS(AR$1-AR1179)</f>
        <v/>
      </c>
      <c r="AG1179" s="108">
        <f>ABS(AS$1-AS1179)</f>
        <v/>
      </c>
      <c r="AH1179" s="108">
        <f>ABS(AT$1-AT1179)</f>
        <v/>
      </c>
      <c r="AI1179" s="108">
        <f>ABS(AU$1-AU1179)</f>
        <v/>
      </c>
      <c r="AJ1179" s="108">
        <f>(AV1179-Driver!$K$179)/(Driver!$L$179-Driver!$K$179)</f>
        <v/>
      </c>
      <c r="AK1179" s="108">
        <f>(AW1179-Driver!$K$180)/(Driver!$L$180-Driver!$K$180)</f>
        <v/>
      </c>
      <c r="AL1179" s="108">
        <f>(AX1179-Driver!$K$181)/(Driver!$L$181-Driver!$K$181)</f>
        <v/>
      </c>
      <c r="AM1179" s="108">
        <f>(AY1179-Driver!$K$182)/(Driver!$L$182-Driver!$K$182)</f>
        <v/>
      </c>
      <c r="AN1179" s="108">
        <f>(AZ1179-Driver!$K$183)/(Driver!$L$183-Driver!$K$183)</f>
        <v/>
      </c>
      <c r="AO1179" s="108" t="n"/>
      <c r="AP1179" s="108" t="n"/>
      <c r="AQ1179" s="108">
        <f>(BC1179-Driver!$K$188)/(Driver!$L$188-Driver!$K$188)</f>
        <v/>
      </c>
      <c r="AR1179" s="108">
        <f>MIN((BD1179-Driver!$K$189)/(Driver!$L$189-Driver!$K$189),100%)</f>
        <v/>
      </c>
      <c r="AS1179" s="108">
        <f>(BE1179-Driver!$K$190)/(Driver!$L$190-Driver!$K$190)</f>
        <v/>
      </c>
      <c r="AT1179" s="108">
        <f>(BF1179-Driver!$K$191)/(Driver!$L$191-Driver!$K$191)</f>
        <v/>
      </c>
      <c r="AU1179" s="108">
        <f>(BG1179-Driver!$K$192)/(Driver!$L$192-Driver!$K$192)</f>
        <v/>
      </c>
      <c r="AV1179" s="105">
        <f>IFERROR(BM1179*BJ1179^1/4,"")</f>
        <v/>
      </c>
      <c r="AW1179" s="105">
        <f>IFERROR(SUM(AX1179:AZ1179),"")</f>
        <v/>
      </c>
      <c r="AX1179" s="105">
        <f>IFERROR(BH1179,"")</f>
        <v/>
      </c>
      <c r="AY1179" s="105">
        <f>IFERROR(Driver!$K$19/Data!BH1179/Data!BI1179*Data!BK1179*Data!BL1179,"")</f>
        <v/>
      </c>
      <c r="AZ1179" s="105">
        <f>IFERROR(BI1179*BN1179,"")</f>
        <v/>
      </c>
      <c r="BA1179" s="105" t="n"/>
      <c r="BB1179" s="105" t="n"/>
      <c r="BC1179" s="105">
        <f>IFERROR(BI1179*BN1179*BK1179/BJ1179^(1/2),"")</f>
        <v/>
      </c>
      <c r="BD1179" s="105">
        <f>IFERROR(BH1179*BM1179*BL1179/BJ1179/BK1179,"")</f>
        <v/>
      </c>
      <c r="BE1179" s="105">
        <f>IFERROR(MIN(BI1179/BQ1179/BP1179/BO1179/BH1179,$BE$1),"")</f>
        <v/>
      </c>
      <c r="BF1179" s="105">
        <f>IFERROR(BJ1179*BO1179*BP1179/BK1179,"")</f>
        <v/>
      </c>
      <c r="BG1179" s="105">
        <f>IFERROR(1/BM1179/BH1179*BQ1179,"")</f>
        <v/>
      </c>
      <c r="BH1179" s="102">
        <f>MAX((CE1179-Driver!$F$200)/(Driver!$G$200-Driver!$F$200)*$BI$1,1)</f>
        <v/>
      </c>
      <c r="BI1179" s="102">
        <f>MAX($BI$1*(BY1179-Driver!$F$201)/(Driver!$G$201-Driver!$F$201),1)</f>
        <v/>
      </c>
      <c r="BJ1179" s="102">
        <f>(CB1179-Driver!$F$206)/(Driver!$G$206-Driver!$F$206)*$BI$1</f>
        <v/>
      </c>
      <c r="BK1179" s="102">
        <f>(CD1179-Driver!$F$203)/(Driver!$G$203-Driver!$F$203)*$BI$1</f>
        <v/>
      </c>
      <c r="BL1179" s="102">
        <f>MAX((CR1179-Driver!$F$202)/(Driver!$G$202-Driver!$F$202)*$BI$1,1)</f>
        <v/>
      </c>
      <c r="BM1179" s="102">
        <f>MAX((CH1179-Driver!$F$204)/(Driver!$G$204-Driver!$F$204)*$BI$1,1)</f>
        <v/>
      </c>
      <c r="BN1179" s="102">
        <f>(CI1179-Driver!$F$205)/(Driver!$G$205-Driver!$F$205)*$BI$1</f>
        <v/>
      </c>
      <c r="BO1179" s="102">
        <f>(CK1179-Driver!$F$207)/(Driver!$G$207-Driver!$F$207)*$BI$1</f>
        <v/>
      </c>
      <c r="BP1179" s="102">
        <f>(CM1179-Driver!$F$208)/(Driver!$G$208-Driver!$F$208)*$BI$1</f>
        <v/>
      </c>
      <c r="BQ1179" s="102">
        <f>(CL1179-Driver!$F$209)/(Driver!$G$209-Driver!$F$209)*$BI$1</f>
        <v/>
      </c>
      <c r="BR1179" s="40" t="inlineStr">
        <is>
          <t>21/22</t>
        </is>
      </c>
      <c r="BS1179" s="10" t="inlineStr">
        <is>
          <t xml:space="preserve"> Armada</t>
        </is>
      </c>
      <c r="BT1179" s="11" t="inlineStr">
        <is>
          <t>ARW 84</t>
        </is>
      </c>
      <c r="BU1179" s="13" t="n">
        <v>143</v>
      </c>
      <c r="BV1179" s="11" t="inlineStr">
        <is>
          <t xml:space="preserve"> Women's</t>
        </is>
      </c>
      <c r="BW1179" s="13" t="n">
        <v>143</v>
      </c>
      <c r="BX1179" s="13" t="n">
        <v>141.2</v>
      </c>
      <c r="BY1179" s="13" t="n">
        <v>98</v>
      </c>
      <c r="BZ1179" s="13" t="n">
        <v>116</v>
      </c>
      <c r="CA1179" s="13" t="n">
        <v>116</v>
      </c>
      <c r="CB1179" s="13" t="n">
        <v>84</v>
      </c>
      <c r="CC1179" s="13" t="n">
        <v>108</v>
      </c>
      <c r="CD1179" s="13" t="n">
        <v>10.6</v>
      </c>
      <c r="CE1179" s="13" t="n">
        <v>1360</v>
      </c>
      <c r="CF1179" s="13" t="n">
        <v>0.99</v>
      </c>
      <c r="CG1179" s="13" t="n">
        <v>1347</v>
      </c>
      <c r="CH1179" s="13" t="n">
        <v>101</v>
      </c>
      <c r="CI1179" s="13" t="n">
        <v>44</v>
      </c>
      <c r="CJ1179" s="13" t="n">
        <v>49</v>
      </c>
      <c r="CK1179" s="13" t="n">
        <v>246</v>
      </c>
      <c r="CL1179" s="13" t="n">
        <v>37</v>
      </c>
      <c r="CM1179" s="13" t="n">
        <v>190</v>
      </c>
      <c r="CN1179" s="13" t="n">
        <v>0.762</v>
      </c>
      <c r="CO1179" s="13" t="n">
        <v>133</v>
      </c>
      <c r="CP1179" s="13" t="n">
        <v>118</v>
      </c>
      <c r="CQ1179" s="13" t="n">
        <v>113</v>
      </c>
      <c r="CR1179" s="13" t="n">
        <v>6</v>
      </c>
      <c r="CS1179" s="13" t="n">
        <v>5.9</v>
      </c>
      <c r="CT1179" s="11" t="inlineStr">
        <is>
          <t xml:space="preserve"> Resort Freeride</t>
        </is>
      </c>
      <c r="CU1179" s="13" t="n"/>
      <c r="CV1179" s="13" t="n"/>
      <c r="CW1179" s="13" t="n"/>
      <c r="CX1179">
        <f>INDEX('Data_Price '!AG$2:AG$1266,MATCH(Data!$DN1179,'Data_Price '!$AT$2:$AT$1266,0))</f>
        <v/>
      </c>
      <c r="CY1179">
        <f>INDEX('Data_Price '!AH$2:AH$1266,MATCH(Data!$DN1179,'Data_Price '!$AT$2:$AT$1266,0))</f>
        <v/>
      </c>
      <c r="CZ1179">
        <f>INDEX('Data_Price '!AI$2:AI$1266,MATCH(Data!$DN1179,'Data_Price '!$AT$2:$AT$1266,0))</f>
        <v/>
      </c>
      <c r="DA1179">
        <f>INDEX('Data_Price '!AJ$2:AJ$1266,MATCH(Data!$DN1179,'Data_Price '!$AT$2:$AT$1266,0))</f>
        <v/>
      </c>
      <c r="DB1179">
        <f>INDEX('Data_Price '!AK$2:AK$1266,MATCH(Data!$DN1179,'Data_Price '!$AT$2:$AT$1266,0))</f>
        <v/>
      </c>
      <c r="DC1179">
        <f>INDEX('Data_Price '!AL$2:AL$1266,MATCH(Data!$DN1179,'Data_Price '!$AT$2:$AT$1266,0))</f>
        <v/>
      </c>
      <c r="DD1179">
        <f>INDEX('Data_Price '!AM$2:AM$1266,MATCH(Data!$DN1179,'Data_Price '!$AT$2:$AT$1266,0))</f>
        <v/>
      </c>
      <c r="DE1179">
        <f>INDEX('Data_Price '!AN$2:AN$1266,MATCH(Data!$DN1179,'Data_Price '!$AT$2:$AT$1266,0))</f>
        <v/>
      </c>
      <c r="DF1179">
        <f>INDEX('Data_Price '!AO$2:AO$1266,MATCH(Data!$DN1179,'Data_Price '!$AT$2:$AT$1266,0))</f>
        <v/>
      </c>
      <c r="DG1179">
        <f>INDEX('Data_Price '!AP$2:AP$1266,MATCH(Data!$DN1179,'Data_Price '!$AT$2:$AT$1266,0))</f>
        <v/>
      </c>
      <c r="DH1179">
        <f>INDEX('Data_Price '!AQ$2:AQ$1266,MATCH(Data!$DN1179,'Data_Price '!$AT$2:$AT$1266,0))</f>
        <v/>
      </c>
      <c r="DI1179">
        <f>INDEX('Data_Price '!AR$2:AR$1266,MATCH(Data!$DN1179,'Data_Price '!$AT$2:$AT$1266,0))</f>
        <v/>
      </c>
      <c r="DJ1179" s="138">
        <f>DA1179</f>
        <v/>
      </c>
      <c r="DK1179" s="138">
        <f>DE1179</f>
        <v/>
      </c>
      <c r="DL1179" s="138">
        <f>DI1179</f>
        <v/>
      </c>
      <c r="DM1179" s="303">
        <f>IF(LEFT(BT1179,1)=" ",RIGHT(BT1179,LEN(BT1179)-1),BT1179)</f>
        <v/>
      </c>
      <c r="DN1179" s="138">
        <f>_xlfn.CONCAT(BS1179,DM1179,BU1179,BV1179)</f>
        <v/>
      </c>
      <c r="DO1179" s="307" t="inlineStr">
        <is>
          <t>https://images.evo.com/imgp/250/198711/839682/armada-arw-84-skis-girls-2022-.jpg</t>
        </is>
      </c>
    </row>
    <row r="1180" ht="15.6" customHeight="1" s="184">
      <c r="B1180" s="303">
        <f t="array" ref="B1180">IF(OR(ISERROR(K1180:P1180)),FALSE,TRUE)</f>
        <v/>
      </c>
      <c r="C1180" s="60">
        <f>OR(BR1180=Driver!$G$50,Data!BR784=Driver!$H$50)</f>
        <v/>
      </c>
      <c r="D1180" s="60">
        <f>OR(BV1180=Driver!$G$51,BV1180=Driver!$H$51)</f>
        <v/>
      </c>
      <c r="E1180" s="60">
        <f>AND(BX1180&gt;Driver!$F$54,BX1180&lt;Driver!$G$54)</f>
        <v/>
      </c>
      <c r="F1180" s="60">
        <f>CL1180&gt;Driver!$F$56</f>
        <v/>
      </c>
      <c r="G1180" s="60">
        <f>AND(CB1180&gt;Driver!$F$55,CB1180&lt;Driver!$G$55)</f>
        <v/>
      </c>
      <c r="H1180" s="60">
        <f>AND(B1180:G1180)</f>
        <v/>
      </c>
      <c r="I1180" s="60">
        <f>COUNTIFS($H$9:$H$1273,TRUE,$BT$9:$BT$1273,BT1180)</f>
        <v/>
      </c>
      <c r="J1180" s="60">
        <f t="array" ref="J1180">NOT(OR(($H$9:$H$1273=TRUE)*($I$9:$I$1273&gt;0)*($BT$9:$BT$1273=BT1180)*($K$9:$K$1273&gt;K1180)))</f>
        <v/>
      </c>
      <c r="K1180" s="108">
        <f>IFERROR(1-AVERAGE(X1180:Y1180),"")</f>
        <v/>
      </c>
      <c r="L1180" s="108">
        <f>1-X1180</f>
        <v/>
      </c>
      <c r="M1180" s="108">
        <f>1-Y1180</f>
        <v/>
      </c>
      <c r="N1180" s="108">
        <f>1-Z1180</f>
        <v/>
      </c>
      <c r="O1180" s="108">
        <f>1-AA1180</f>
        <v/>
      </c>
      <c r="P1180" s="108">
        <f>1-AB1180</f>
        <v/>
      </c>
      <c r="Q1180" s="108" t="n"/>
      <c r="R1180" s="108" t="n"/>
      <c r="S1180" s="108">
        <f>1-AE1180</f>
        <v/>
      </c>
      <c r="T1180" s="108">
        <f>1-AF1180</f>
        <v/>
      </c>
      <c r="U1180" s="108">
        <f>1-AG1180</f>
        <v/>
      </c>
      <c r="V1180" s="108">
        <f>1-AH1180</f>
        <v/>
      </c>
      <c r="W1180" s="108">
        <f>1-AI1180</f>
        <v/>
      </c>
      <c r="X1180" s="108">
        <f>ABS(AJ1180-AJ$1)</f>
        <v/>
      </c>
      <c r="Y1180" s="108">
        <f>AVERAGE(Z1180:AB1180)</f>
        <v/>
      </c>
      <c r="Z1180" s="108">
        <f>ABS(AL1180-AL$1)</f>
        <v/>
      </c>
      <c r="AA1180" s="108">
        <f>ABS(AM1180-AM$1)</f>
        <v/>
      </c>
      <c r="AB1180" s="108">
        <f>ABS(AN1180-AN$1)</f>
        <v/>
      </c>
      <c r="AC1180" s="108" t="n"/>
      <c r="AD1180" s="108" t="n"/>
      <c r="AE1180" s="108">
        <f>ABS(AQ$1-AQ1180)</f>
        <v/>
      </c>
      <c r="AF1180" s="108">
        <f>ABS(AR$1-AR1180)</f>
        <v/>
      </c>
      <c r="AG1180" s="108">
        <f>ABS(AS$1-AS1180)</f>
        <v/>
      </c>
      <c r="AH1180" s="108">
        <f>ABS(AT$1-AT1180)</f>
        <v/>
      </c>
      <c r="AI1180" s="108">
        <f>ABS(AU$1-AU1180)</f>
        <v/>
      </c>
      <c r="AJ1180" s="108">
        <f>(AV1180-Driver!$K$179)/(Driver!$L$179-Driver!$K$179)</f>
        <v/>
      </c>
      <c r="AK1180" s="108">
        <f>(AW1180-Driver!$K$180)/(Driver!$L$180-Driver!$K$180)</f>
        <v/>
      </c>
      <c r="AL1180" s="108">
        <f>(AX1180-Driver!$K$181)/(Driver!$L$181-Driver!$K$181)</f>
        <v/>
      </c>
      <c r="AM1180" s="108">
        <f>(AY1180-Driver!$K$182)/(Driver!$L$182-Driver!$K$182)</f>
        <v/>
      </c>
      <c r="AN1180" s="108">
        <f>(AZ1180-Driver!$K$183)/(Driver!$L$183-Driver!$K$183)</f>
        <v/>
      </c>
      <c r="AO1180" s="108" t="n"/>
      <c r="AP1180" s="108" t="n"/>
      <c r="AQ1180" s="108">
        <f>(BC1180-Driver!$K$188)/(Driver!$L$188-Driver!$K$188)</f>
        <v/>
      </c>
      <c r="AR1180" s="108">
        <f>MIN((BD1180-Driver!$K$189)/(Driver!$L$189-Driver!$K$189),100%)</f>
        <v/>
      </c>
      <c r="AS1180" s="108">
        <f>(BE1180-Driver!$K$190)/(Driver!$L$190-Driver!$K$190)</f>
        <v/>
      </c>
      <c r="AT1180" s="108">
        <f>(BF1180-Driver!$K$191)/(Driver!$L$191-Driver!$K$191)</f>
        <v/>
      </c>
      <c r="AU1180" s="108">
        <f>(BG1180-Driver!$K$192)/(Driver!$L$192-Driver!$K$192)</f>
        <v/>
      </c>
      <c r="AV1180" s="105">
        <f>IFERROR(BM1180*BJ1180^1/4,"")</f>
        <v/>
      </c>
      <c r="AW1180" s="105">
        <f>IFERROR(SUM(AX1180:AZ1180),"")</f>
        <v/>
      </c>
      <c r="AX1180" s="105">
        <f>IFERROR(BH1180,"")</f>
        <v/>
      </c>
      <c r="AY1180" s="105">
        <f>IFERROR(Driver!$K$19/Data!BH1180/Data!BI1180*Data!BK1180*Data!BL1180,"")</f>
        <v/>
      </c>
      <c r="AZ1180" s="105">
        <f>IFERROR(BI1180*BN1180,"")</f>
        <v/>
      </c>
      <c r="BA1180" s="105" t="n"/>
      <c r="BB1180" s="105" t="n"/>
      <c r="BC1180" s="105">
        <f>IFERROR(BI1180*BN1180*BK1180/BJ1180^(1/2),"")</f>
        <v/>
      </c>
      <c r="BD1180" s="105">
        <f>IFERROR(BH1180*BM1180*BL1180/BJ1180/BK1180,"")</f>
        <v/>
      </c>
      <c r="BE1180" s="105">
        <f>IFERROR(MIN(BI1180/BQ1180/BP1180/BO1180/BH1180,$BE$1),"")</f>
        <v/>
      </c>
      <c r="BF1180" s="105">
        <f>IFERROR(BJ1180*BO1180*BP1180/BK1180,"")</f>
        <v/>
      </c>
      <c r="BG1180" s="105">
        <f>IFERROR(1/BM1180/BH1180*BQ1180,"")</f>
        <v/>
      </c>
      <c r="BH1180" s="102">
        <f>MAX((CE1180-Driver!$F$200)/(Driver!$G$200-Driver!$F$200)*$BI$1,1)</f>
        <v/>
      </c>
      <c r="BI1180" s="102">
        <f>MAX($BI$1*(BY1180-Driver!$F$201)/(Driver!$G$201-Driver!$F$201),1)</f>
        <v/>
      </c>
      <c r="BJ1180" s="102">
        <f>(CB1180-Driver!$F$206)/(Driver!$G$206-Driver!$F$206)*$BI$1</f>
        <v/>
      </c>
      <c r="BK1180" s="102">
        <f>(CD1180-Driver!$F$203)/(Driver!$G$203-Driver!$F$203)*$BI$1</f>
        <v/>
      </c>
      <c r="BL1180" s="102">
        <f>MAX((CR1180-Driver!$F$202)/(Driver!$G$202-Driver!$F$202)*$BI$1,1)</f>
        <v/>
      </c>
      <c r="BM1180" s="102">
        <f>MAX((CH1180-Driver!$F$204)/(Driver!$G$204-Driver!$F$204)*$BI$1,1)</f>
        <v/>
      </c>
      <c r="BN1180" s="102">
        <f>(CI1180-Driver!$F$205)/(Driver!$G$205-Driver!$F$205)*$BI$1</f>
        <v/>
      </c>
      <c r="BO1180" s="102">
        <f>(CK1180-Driver!$F$207)/(Driver!$G$207-Driver!$F$207)*$BI$1</f>
        <v/>
      </c>
      <c r="BP1180" s="102">
        <f>(CM1180-Driver!$F$208)/(Driver!$G$208-Driver!$F$208)*$BI$1</f>
        <v/>
      </c>
      <c r="BQ1180" s="102">
        <f>(CL1180-Driver!$F$209)/(Driver!$G$209-Driver!$F$209)*$BI$1</f>
        <v/>
      </c>
      <c r="BR1180" s="40" t="inlineStr">
        <is>
          <t>21/22</t>
        </is>
      </c>
      <c r="BS1180" s="10" t="inlineStr">
        <is>
          <t xml:space="preserve"> K2</t>
        </is>
      </c>
      <c r="BT1180" s="11" t="inlineStr">
        <is>
          <t>Talkback 96</t>
        </is>
      </c>
      <c r="BU1180" s="13" t="n">
        <v>156</v>
      </c>
      <c r="BV1180" s="11" t="inlineStr">
        <is>
          <t xml:space="preserve"> Women's</t>
        </is>
      </c>
      <c r="BW1180" s="13" t="n">
        <v>156</v>
      </c>
      <c r="BX1180" s="13" t="n">
        <v>155.7</v>
      </c>
      <c r="BY1180" s="13" t="n">
        <v>116</v>
      </c>
      <c r="BZ1180" s="13" t="n">
        <v>129</v>
      </c>
      <c r="CA1180" s="13" t="n">
        <v>127</v>
      </c>
      <c r="CB1180" s="13" t="n">
        <v>95</v>
      </c>
      <c r="CC1180" s="13" t="n">
        <v>114</v>
      </c>
      <c r="CD1180" s="13" t="n">
        <v>16.3</v>
      </c>
      <c r="CE1180" s="13" t="n">
        <v>1129</v>
      </c>
      <c r="CF1180" s="13" t="n">
        <v>1.44</v>
      </c>
      <c r="CG1180" s="13" t="n">
        <v>1626</v>
      </c>
      <c r="CH1180" s="13" t="n">
        <v>127</v>
      </c>
      <c r="CI1180" s="13" t="n">
        <v>57</v>
      </c>
      <c r="CJ1180" s="13" t="n">
        <v>51</v>
      </c>
      <c r="CK1180" s="13" t="n">
        <v>273</v>
      </c>
      <c r="CL1180" s="13" t="n">
        <v>7</v>
      </c>
      <c r="CM1180" s="13" t="n">
        <v>129</v>
      </c>
      <c r="CN1180" s="13" t="n">
        <v>0.135</v>
      </c>
      <c r="CO1180" s="13" t="n">
        <v>159</v>
      </c>
      <c r="CP1180" s="13" t="n">
        <v>109</v>
      </c>
      <c r="CQ1180" s="13" t="n">
        <v>114</v>
      </c>
      <c r="CR1180" s="13" t="n">
        <v>7</v>
      </c>
      <c r="CS1180" s="13" t="n">
        <v>12</v>
      </c>
      <c r="CT1180" s="11" t="inlineStr">
        <is>
          <t xml:space="preserve"> Touring</t>
        </is>
      </c>
      <c r="CU1180" s="11" t="inlineStr">
        <is>
          <t xml:space="preserve"> Ultralight Touring</t>
        </is>
      </c>
      <c r="CV1180" s="13" t="n"/>
      <c r="CW1180" s="13" t="n"/>
      <c r="CX1180">
        <f>INDEX('Data_Price '!AG$2:AG$1266,MATCH(Data!$DN1180,'Data_Price '!$AT$2:$AT$1266,0))</f>
        <v/>
      </c>
      <c r="CY1180">
        <f>INDEX('Data_Price '!AH$2:AH$1266,MATCH(Data!$DN1180,'Data_Price '!$AT$2:$AT$1266,0))</f>
        <v/>
      </c>
      <c r="CZ1180">
        <f>INDEX('Data_Price '!AI$2:AI$1266,MATCH(Data!$DN1180,'Data_Price '!$AT$2:$AT$1266,0))</f>
        <v/>
      </c>
      <c r="DA1180">
        <f>INDEX('Data_Price '!AJ$2:AJ$1266,MATCH(Data!$DN1180,'Data_Price '!$AT$2:$AT$1266,0))</f>
        <v/>
      </c>
      <c r="DB1180">
        <f>INDEX('Data_Price '!AK$2:AK$1266,MATCH(Data!$DN1180,'Data_Price '!$AT$2:$AT$1266,0))</f>
        <v/>
      </c>
      <c r="DC1180">
        <f>INDEX('Data_Price '!AL$2:AL$1266,MATCH(Data!$DN1180,'Data_Price '!$AT$2:$AT$1266,0))</f>
        <v/>
      </c>
      <c r="DD1180">
        <f>INDEX('Data_Price '!AM$2:AM$1266,MATCH(Data!$DN1180,'Data_Price '!$AT$2:$AT$1266,0))</f>
        <v/>
      </c>
      <c r="DE1180">
        <f>INDEX('Data_Price '!AN$2:AN$1266,MATCH(Data!$DN1180,'Data_Price '!$AT$2:$AT$1266,0))</f>
        <v/>
      </c>
      <c r="DF1180">
        <f>INDEX('Data_Price '!AO$2:AO$1266,MATCH(Data!$DN1180,'Data_Price '!$AT$2:$AT$1266,0))</f>
        <v/>
      </c>
      <c r="DG1180">
        <f>INDEX('Data_Price '!AP$2:AP$1266,MATCH(Data!$DN1180,'Data_Price '!$AT$2:$AT$1266,0))</f>
        <v/>
      </c>
      <c r="DH1180">
        <f>INDEX('Data_Price '!AQ$2:AQ$1266,MATCH(Data!$DN1180,'Data_Price '!$AT$2:$AT$1266,0))</f>
        <v/>
      </c>
      <c r="DI1180">
        <f>INDEX('Data_Price '!AR$2:AR$1266,MATCH(Data!$DN1180,'Data_Price '!$AT$2:$AT$1266,0))</f>
        <v/>
      </c>
      <c r="DJ1180" s="138">
        <f>DA1180</f>
        <v/>
      </c>
      <c r="DK1180" s="138">
        <f>DE1180</f>
        <v/>
      </c>
      <c r="DL1180" s="138">
        <f>DI1180</f>
        <v/>
      </c>
      <c r="DM1180" s="303">
        <f>IF(LEFT(BT1180,1)=" ",RIGHT(BT1180,LEN(BT1180)-1),BT1180)</f>
        <v/>
      </c>
      <c r="DN1180" s="138">
        <f>_xlfn.CONCAT(BS1180,DM1180,BU1180,BV1180)</f>
        <v/>
      </c>
      <c r="DO1180" s="307" t="inlineStr">
        <is>
          <t>https://images.evo.com/imgp/250/192583/886393/k2-talkback-96-skis-women-s-2022-.jpg</t>
        </is>
      </c>
    </row>
    <row r="1181" ht="15.6" customHeight="1" s="184">
      <c r="B1181" s="303">
        <f t="array" ref="B1181">IF(OR(ISERROR(K1181:P1181)),FALSE,TRUE)</f>
        <v/>
      </c>
      <c r="C1181" s="60">
        <f>OR(BR1181=Driver!$G$50,Data!BR849=Driver!$H$50)</f>
        <v/>
      </c>
      <c r="D1181" s="60">
        <f>OR(BV1181=Driver!$G$51,BV1181=Driver!$H$51)</f>
        <v/>
      </c>
      <c r="E1181" s="60">
        <f>AND(BX1181&gt;Driver!$F$54,BX1181&lt;Driver!$G$54)</f>
        <v/>
      </c>
      <c r="F1181" s="60">
        <f>CL1181&gt;Driver!$F$56</f>
        <v/>
      </c>
      <c r="G1181" s="60">
        <f>AND(CB1181&gt;Driver!$F$55,CB1181&lt;Driver!$G$55)</f>
        <v/>
      </c>
      <c r="H1181" s="60">
        <f>AND(B1181:G1181)</f>
        <v/>
      </c>
      <c r="I1181" s="60">
        <f>COUNTIFS($H$9:$H$1273,TRUE,$BT$9:$BT$1273,BT1181)</f>
        <v/>
      </c>
      <c r="J1181" s="60">
        <f t="array" ref="J1181">NOT(OR(($H$9:$H$1273=TRUE)*($I$9:$I$1273&gt;0)*($BT$9:$BT$1273=BT1181)*($K$9:$K$1273&gt;K1181)))</f>
        <v/>
      </c>
      <c r="K1181" s="108">
        <f>IFERROR(1-AVERAGE(X1181:Y1181),"")</f>
        <v/>
      </c>
      <c r="L1181" s="108">
        <f>1-X1181</f>
        <v/>
      </c>
      <c r="M1181" s="108">
        <f>1-Y1181</f>
        <v/>
      </c>
      <c r="N1181" s="108">
        <f>1-Z1181</f>
        <v/>
      </c>
      <c r="O1181" s="108">
        <f>1-AA1181</f>
        <v/>
      </c>
      <c r="P1181" s="108">
        <f>1-AB1181</f>
        <v/>
      </c>
      <c r="Q1181" s="108" t="n"/>
      <c r="R1181" s="108" t="n"/>
      <c r="S1181" s="108">
        <f>1-AE1181</f>
        <v/>
      </c>
      <c r="T1181" s="108">
        <f>1-AF1181</f>
        <v/>
      </c>
      <c r="U1181" s="108">
        <f>1-AG1181</f>
        <v/>
      </c>
      <c r="V1181" s="108">
        <f>1-AH1181</f>
        <v/>
      </c>
      <c r="W1181" s="108">
        <f>1-AI1181</f>
        <v/>
      </c>
      <c r="X1181" s="108">
        <f>ABS(AJ1181-AJ$1)</f>
        <v/>
      </c>
      <c r="Y1181" s="108">
        <f>AVERAGE(Z1181:AB1181)</f>
        <v/>
      </c>
      <c r="Z1181" s="108">
        <f>ABS(AL1181-AL$1)</f>
        <v/>
      </c>
      <c r="AA1181" s="108">
        <f>ABS(AM1181-AM$1)</f>
        <v/>
      </c>
      <c r="AB1181" s="108">
        <f>ABS(AN1181-AN$1)</f>
        <v/>
      </c>
      <c r="AC1181" s="108" t="n"/>
      <c r="AD1181" s="108" t="n"/>
      <c r="AE1181" s="108">
        <f>ABS(AQ$1-AQ1181)</f>
        <v/>
      </c>
      <c r="AF1181" s="108">
        <f>ABS(AR$1-AR1181)</f>
        <v/>
      </c>
      <c r="AG1181" s="108">
        <f>ABS(AS$1-AS1181)</f>
        <v/>
      </c>
      <c r="AH1181" s="108">
        <f>ABS(AT$1-AT1181)</f>
        <v/>
      </c>
      <c r="AI1181" s="108">
        <f>ABS(AU$1-AU1181)</f>
        <v/>
      </c>
      <c r="AJ1181" s="108">
        <f>(AV1181-Driver!$K$179)/(Driver!$L$179-Driver!$K$179)</f>
        <v/>
      </c>
      <c r="AK1181" s="108">
        <f>(AW1181-Driver!$K$180)/(Driver!$L$180-Driver!$K$180)</f>
        <v/>
      </c>
      <c r="AL1181" s="108">
        <f>(AX1181-Driver!$K$181)/(Driver!$L$181-Driver!$K$181)</f>
        <v/>
      </c>
      <c r="AM1181" s="108">
        <f>(AY1181-Driver!$K$182)/(Driver!$L$182-Driver!$K$182)</f>
        <v/>
      </c>
      <c r="AN1181" s="108">
        <f>(AZ1181-Driver!$K$183)/(Driver!$L$183-Driver!$K$183)</f>
        <v/>
      </c>
      <c r="AO1181" s="108" t="n"/>
      <c r="AP1181" s="108" t="n"/>
      <c r="AQ1181" s="108">
        <f>(BC1181-Driver!$K$188)/(Driver!$L$188-Driver!$K$188)</f>
        <v/>
      </c>
      <c r="AR1181" s="108">
        <f>MIN((BD1181-Driver!$K$189)/(Driver!$L$189-Driver!$K$189),100%)</f>
        <v/>
      </c>
      <c r="AS1181" s="108">
        <f>(BE1181-Driver!$K$190)/(Driver!$L$190-Driver!$K$190)</f>
        <v/>
      </c>
      <c r="AT1181" s="108">
        <f>(BF1181-Driver!$K$191)/(Driver!$L$191-Driver!$K$191)</f>
        <v/>
      </c>
      <c r="AU1181" s="108">
        <f>(BG1181-Driver!$K$192)/(Driver!$L$192-Driver!$K$192)</f>
        <v/>
      </c>
      <c r="AV1181" s="105">
        <f>IFERROR(BM1181*BJ1181^1/4,"")</f>
        <v/>
      </c>
      <c r="AW1181" s="105">
        <f>IFERROR(SUM(AX1181:AZ1181),"")</f>
        <v/>
      </c>
      <c r="AX1181" s="105">
        <f>IFERROR(BH1181,"")</f>
        <v/>
      </c>
      <c r="AY1181" s="105">
        <f>IFERROR(Driver!$K$19/Data!BH1181/Data!BI1181*Data!BK1181*Data!BL1181,"")</f>
        <v/>
      </c>
      <c r="AZ1181" s="105">
        <f>IFERROR(BI1181*BN1181,"")</f>
        <v/>
      </c>
      <c r="BA1181" s="105" t="n"/>
      <c r="BB1181" s="105" t="n"/>
      <c r="BC1181" s="105">
        <f>IFERROR(BI1181*BN1181*BK1181/BJ1181^(1/2),"")</f>
        <v/>
      </c>
      <c r="BD1181" s="105">
        <f>IFERROR(BH1181*BM1181*BL1181/BJ1181/BK1181,"")</f>
        <v/>
      </c>
      <c r="BE1181" s="105">
        <f>IFERROR(MIN(BI1181/BQ1181/BP1181/BO1181/BH1181,$BE$1),"")</f>
        <v/>
      </c>
      <c r="BF1181" s="105">
        <f>IFERROR(BJ1181*BO1181*BP1181/BK1181,"")</f>
        <v/>
      </c>
      <c r="BG1181" s="105">
        <f>IFERROR(1/BM1181/BH1181*BQ1181,"")</f>
        <v/>
      </c>
      <c r="BH1181" s="102">
        <f>MAX((CE1181-Driver!$F$200)/(Driver!$G$200-Driver!$F$200)*$BI$1,1)</f>
        <v/>
      </c>
      <c r="BI1181" s="102">
        <f>MAX($BI$1*(BY1181-Driver!$F$201)/(Driver!$G$201-Driver!$F$201),1)</f>
        <v/>
      </c>
      <c r="BJ1181" s="102">
        <f>(CB1181-Driver!$F$206)/(Driver!$G$206-Driver!$F$206)*$BI$1</f>
        <v/>
      </c>
      <c r="BK1181" s="102">
        <f>(CD1181-Driver!$F$203)/(Driver!$G$203-Driver!$F$203)*$BI$1</f>
        <v/>
      </c>
      <c r="BL1181" s="102">
        <f>MAX((CR1181-Driver!$F$202)/(Driver!$G$202-Driver!$F$202)*$BI$1,1)</f>
        <v/>
      </c>
      <c r="BM1181" s="102">
        <f>MAX((CH1181-Driver!$F$204)/(Driver!$G$204-Driver!$F$204)*$BI$1,1)</f>
        <v/>
      </c>
      <c r="BN1181" s="102">
        <f>(CI1181-Driver!$F$205)/(Driver!$G$205-Driver!$F$205)*$BI$1</f>
        <v/>
      </c>
      <c r="BO1181" s="102">
        <f>(CK1181-Driver!$F$207)/(Driver!$G$207-Driver!$F$207)*$BI$1</f>
        <v/>
      </c>
      <c r="BP1181" s="102">
        <f>(CM1181-Driver!$F$208)/(Driver!$G$208-Driver!$F$208)*$BI$1</f>
        <v/>
      </c>
      <c r="BQ1181" s="102">
        <f>(CL1181-Driver!$F$209)/(Driver!$G$209-Driver!$F$209)*$BI$1</f>
        <v/>
      </c>
      <c r="BR1181" s="40" t="inlineStr">
        <is>
          <t>21/22</t>
        </is>
      </c>
      <c r="BS1181" s="10" t="inlineStr">
        <is>
          <t xml:space="preserve"> Line</t>
        </is>
      </c>
      <c r="BT1181" s="11" t="inlineStr">
        <is>
          <t>Pandora 84</t>
        </is>
      </c>
      <c r="BU1181" s="13" t="n">
        <v>151</v>
      </c>
      <c r="BV1181" s="11" t="inlineStr">
        <is>
          <t xml:space="preserve"> Women's</t>
        </is>
      </c>
      <c r="BW1181" s="13" t="n">
        <v>151</v>
      </c>
      <c r="BX1181" s="13" t="n">
        <v>150.5</v>
      </c>
      <c r="BY1181" s="13" t="n">
        <v>119</v>
      </c>
      <c r="BZ1181" s="13" t="n">
        <v>127</v>
      </c>
      <c r="CA1181" s="13" t="n">
        <v>121</v>
      </c>
      <c r="CB1181" s="13" t="n">
        <v>83</v>
      </c>
      <c r="CC1181" s="13" t="n">
        <v>109</v>
      </c>
      <c r="CD1181" s="13" t="n">
        <v>12.1</v>
      </c>
      <c r="CE1181" s="13" t="n">
        <v>1252</v>
      </c>
      <c r="CF1181" s="13" t="n">
        <v>1.15</v>
      </c>
      <c r="CG1181" s="13" t="n">
        <v>1443</v>
      </c>
      <c r="CH1181" s="13" t="n">
        <v>110</v>
      </c>
      <c r="CI1181" s="13" t="n">
        <v>59</v>
      </c>
      <c r="CJ1181" s="13" t="n">
        <v>43</v>
      </c>
      <c r="CK1181" s="13" t="n">
        <v>170</v>
      </c>
      <c r="CL1181" s="13" t="n">
        <v>19</v>
      </c>
      <c r="CM1181" s="13" t="n">
        <v>149</v>
      </c>
      <c r="CN1181" s="13" t="n">
        <v>0.433</v>
      </c>
      <c r="CO1181" s="13" t="n">
        <v>133</v>
      </c>
      <c r="CP1181" s="13" t="n">
        <v>104</v>
      </c>
      <c r="CQ1181" s="13" t="n">
        <v>37</v>
      </c>
      <c r="CR1181" s="13" t="n">
        <v>8</v>
      </c>
      <c r="CS1181" s="13" t="n">
        <v>8.5</v>
      </c>
      <c r="CT1181" s="11" t="inlineStr">
        <is>
          <t xml:space="preserve"> On-Piste All-Mountain</t>
        </is>
      </c>
      <c r="CU1181" s="11" t="inlineStr">
        <is>
          <t xml:space="preserve"> Resort Freeride</t>
        </is>
      </c>
      <c r="CV1181" s="11" t="inlineStr">
        <is>
          <t xml:space="preserve"> Touring</t>
        </is>
      </c>
      <c r="CW1181" s="13" t="n"/>
      <c r="CX1181">
        <f>INDEX('Data_Price '!AG$2:AG$1266,MATCH(Data!$DN1181,'Data_Price '!$AT$2:$AT$1266,0))</f>
        <v/>
      </c>
      <c r="CY1181">
        <f>INDEX('Data_Price '!AH$2:AH$1266,MATCH(Data!$DN1181,'Data_Price '!$AT$2:$AT$1266,0))</f>
        <v/>
      </c>
      <c r="CZ1181">
        <f>INDEX('Data_Price '!AI$2:AI$1266,MATCH(Data!$DN1181,'Data_Price '!$AT$2:$AT$1266,0))</f>
        <v/>
      </c>
      <c r="DA1181">
        <f>INDEX('Data_Price '!AJ$2:AJ$1266,MATCH(Data!$DN1181,'Data_Price '!$AT$2:$AT$1266,0))</f>
        <v/>
      </c>
      <c r="DB1181">
        <f>INDEX('Data_Price '!AK$2:AK$1266,MATCH(Data!$DN1181,'Data_Price '!$AT$2:$AT$1266,0))</f>
        <v/>
      </c>
      <c r="DC1181">
        <f>INDEX('Data_Price '!AL$2:AL$1266,MATCH(Data!$DN1181,'Data_Price '!$AT$2:$AT$1266,0))</f>
        <v/>
      </c>
      <c r="DD1181">
        <f>INDEX('Data_Price '!AM$2:AM$1266,MATCH(Data!$DN1181,'Data_Price '!$AT$2:$AT$1266,0))</f>
        <v/>
      </c>
      <c r="DE1181">
        <f>INDEX('Data_Price '!AN$2:AN$1266,MATCH(Data!$DN1181,'Data_Price '!$AT$2:$AT$1266,0))</f>
        <v/>
      </c>
      <c r="DF1181">
        <f>INDEX('Data_Price '!AO$2:AO$1266,MATCH(Data!$DN1181,'Data_Price '!$AT$2:$AT$1266,0))</f>
        <v/>
      </c>
      <c r="DG1181">
        <f>INDEX('Data_Price '!AP$2:AP$1266,MATCH(Data!$DN1181,'Data_Price '!$AT$2:$AT$1266,0))</f>
        <v/>
      </c>
      <c r="DH1181">
        <f>INDEX('Data_Price '!AQ$2:AQ$1266,MATCH(Data!$DN1181,'Data_Price '!$AT$2:$AT$1266,0))</f>
        <v/>
      </c>
      <c r="DI1181">
        <f>INDEX('Data_Price '!AR$2:AR$1266,MATCH(Data!$DN1181,'Data_Price '!$AT$2:$AT$1266,0))</f>
        <v/>
      </c>
      <c r="DJ1181" s="138">
        <f>DA1181</f>
        <v/>
      </c>
      <c r="DK1181" s="138">
        <f>DE1181</f>
        <v/>
      </c>
      <c r="DL1181" s="138">
        <f>DI1181</f>
        <v/>
      </c>
      <c r="DM1181" s="303">
        <f>IF(LEFT(BT1181,1)=" ",RIGHT(BT1181,LEN(BT1181)-1),BT1181)</f>
        <v/>
      </c>
      <c r="DN1181" s="138">
        <f>_xlfn.CONCAT(BS1181,DM1181,BU1181,BV1181)</f>
        <v/>
      </c>
      <c r="DO1181" s="307" t="inlineStr">
        <is>
          <t>https://images.evo.com/imgp/250/198431/817635/line-skis-pandora-84-skis-women-s-2022-.jpg</t>
        </is>
      </c>
    </row>
    <row r="1182" ht="15.6" customHeight="1" s="184">
      <c r="B1182" s="303">
        <f t="array" ref="B1182">IF(OR(ISERROR(K1182:P1182)),FALSE,TRUE)</f>
        <v/>
      </c>
      <c r="C1182" s="60">
        <f>OR(BR1182=Driver!$G$50,Data!BR323=Driver!$H$50)</f>
        <v/>
      </c>
      <c r="D1182" s="60">
        <f>OR(BV1182=Driver!$G$51,BV1182=Driver!$H$51)</f>
        <v/>
      </c>
      <c r="E1182" s="60">
        <f>AND(BX1182&gt;Driver!$F$54,BX1182&lt;Driver!$G$54)</f>
        <v/>
      </c>
      <c r="F1182" s="60">
        <f>CL1182&gt;Driver!$F$56</f>
        <v/>
      </c>
      <c r="G1182" s="60">
        <f>AND(CB1182&gt;Driver!$F$55,CB1182&lt;Driver!$G$55)</f>
        <v/>
      </c>
      <c r="H1182" s="60">
        <f>AND(B1182:G1182)</f>
        <v/>
      </c>
      <c r="I1182" s="60">
        <f>COUNTIFS($H$9:$H$1273,TRUE,$BT$9:$BT$1273,BT1182)</f>
        <v/>
      </c>
      <c r="J1182" s="60">
        <f t="array" ref="J1182">NOT(OR(($H$9:$H$1273=TRUE)*($I$9:$I$1273&gt;0)*($BT$9:$BT$1273=BT1182)*($K$9:$K$1273&gt;K1182)))</f>
        <v/>
      </c>
      <c r="K1182" s="108">
        <f>IFERROR(1-AVERAGE(X1182:Y1182),"")</f>
        <v/>
      </c>
      <c r="L1182" s="108">
        <f>1-X1182</f>
        <v/>
      </c>
      <c r="M1182" s="108">
        <f>1-Y1182</f>
        <v/>
      </c>
      <c r="N1182" s="108">
        <f>1-Z1182</f>
        <v/>
      </c>
      <c r="O1182" s="108">
        <f>1-AA1182</f>
        <v/>
      </c>
      <c r="P1182" s="108">
        <f>1-AB1182</f>
        <v/>
      </c>
      <c r="Q1182" s="108" t="n"/>
      <c r="R1182" s="108" t="n"/>
      <c r="S1182" s="108">
        <f>1-AE1182</f>
        <v/>
      </c>
      <c r="T1182" s="108">
        <f>1-AF1182</f>
        <v/>
      </c>
      <c r="U1182" s="108">
        <f>1-AG1182</f>
        <v/>
      </c>
      <c r="V1182" s="108">
        <f>1-AH1182</f>
        <v/>
      </c>
      <c r="W1182" s="108">
        <f>1-AI1182</f>
        <v/>
      </c>
      <c r="X1182" s="108">
        <f>ABS(AJ1182-AJ$1)</f>
        <v/>
      </c>
      <c r="Y1182" s="108">
        <f>AVERAGE(Z1182:AB1182)</f>
        <v/>
      </c>
      <c r="Z1182" s="108">
        <f>ABS(AL1182-AL$1)</f>
        <v/>
      </c>
      <c r="AA1182" s="108">
        <f>ABS(AM1182-AM$1)</f>
        <v/>
      </c>
      <c r="AB1182" s="108">
        <f>ABS(AN1182-AN$1)</f>
        <v/>
      </c>
      <c r="AC1182" s="108" t="n"/>
      <c r="AD1182" s="108" t="n"/>
      <c r="AE1182" s="108">
        <f>ABS(AQ$1-AQ1182)</f>
        <v/>
      </c>
      <c r="AF1182" s="108">
        <f>ABS(AR$1-AR1182)</f>
        <v/>
      </c>
      <c r="AG1182" s="108">
        <f>ABS(AS$1-AS1182)</f>
        <v/>
      </c>
      <c r="AH1182" s="108">
        <f>ABS(AT$1-AT1182)</f>
        <v/>
      </c>
      <c r="AI1182" s="108">
        <f>ABS(AU$1-AU1182)</f>
        <v/>
      </c>
      <c r="AJ1182" s="108">
        <f>(AV1182-Driver!$K$179)/(Driver!$L$179-Driver!$K$179)</f>
        <v/>
      </c>
      <c r="AK1182" s="108">
        <f>(AW1182-Driver!$K$180)/(Driver!$L$180-Driver!$K$180)</f>
        <v/>
      </c>
      <c r="AL1182" s="108">
        <f>(AX1182-Driver!$K$181)/(Driver!$L$181-Driver!$K$181)</f>
        <v/>
      </c>
      <c r="AM1182" s="108">
        <f>(AY1182-Driver!$K$182)/(Driver!$L$182-Driver!$K$182)</f>
        <v/>
      </c>
      <c r="AN1182" s="108">
        <f>(AZ1182-Driver!$K$183)/(Driver!$L$183-Driver!$K$183)</f>
        <v/>
      </c>
      <c r="AO1182" s="108" t="n"/>
      <c r="AP1182" s="108" t="n"/>
      <c r="AQ1182" s="108">
        <f>(BC1182-Driver!$K$188)/(Driver!$L$188-Driver!$K$188)</f>
        <v/>
      </c>
      <c r="AR1182" s="108">
        <f>MIN((BD1182-Driver!$K$189)/(Driver!$L$189-Driver!$K$189),100%)</f>
        <v/>
      </c>
      <c r="AS1182" s="108">
        <f>(BE1182-Driver!$K$190)/(Driver!$L$190-Driver!$K$190)</f>
        <v/>
      </c>
      <c r="AT1182" s="108">
        <f>(BF1182-Driver!$K$191)/(Driver!$L$191-Driver!$K$191)</f>
        <v/>
      </c>
      <c r="AU1182" s="108">
        <f>(BG1182-Driver!$K$192)/(Driver!$L$192-Driver!$K$192)</f>
        <v/>
      </c>
      <c r="AV1182" s="105">
        <f>IFERROR(BM1182*BJ1182^1/4,"")</f>
        <v/>
      </c>
      <c r="AW1182" s="105">
        <f>IFERROR(SUM(AX1182:AZ1182),"")</f>
        <v/>
      </c>
      <c r="AX1182" s="105">
        <f>IFERROR(BH1182,"")</f>
        <v/>
      </c>
      <c r="AY1182" s="105">
        <f>IFERROR(Driver!$K$19/Data!BH1182/Data!BI1182*Data!BK1182*Data!BL1182,"")</f>
        <v/>
      </c>
      <c r="AZ1182" s="105">
        <f>IFERROR(BI1182*BN1182,"")</f>
        <v/>
      </c>
      <c r="BA1182" s="105" t="n"/>
      <c r="BB1182" s="105" t="n"/>
      <c r="BC1182" s="105">
        <f>IFERROR(BI1182*BN1182*BK1182/BJ1182^(1/2),"")</f>
        <v/>
      </c>
      <c r="BD1182" s="105">
        <f>IFERROR(BH1182*BM1182*BL1182/BJ1182/BK1182,"")</f>
        <v/>
      </c>
      <c r="BE1182" s="105">
        <f>IFERROR(MIN(BI1182/BQ1182/BP1182/BO1182/BH1182,$BE$1),"")</f>
        <v/>
      </c>
      <c r="BF1182" s="105">
        <f>IFERROR(BJ1182*BO1182*BP1182/BK1182,"")</f>
        <v/>
      </c>
      <c r="BG1182" s="105">
        <f>IFERROR(1/BM1182/BH1182*BQ1182,"")</f>
        <v/>
      </c>
      <c r="BH1182" s="102">
        <f>MAX((CE1182-Driver!$F$200)/(Driver!$G$200-Driver!$F$200)*$BI$1,1)</f>
        <v/>
      </c>
      <c r="BI1182" s="102">
        <f>MAX($BI$1*(BY1182-Driver!$F$201)/(Driver!$G$201-Driver!$F$201),1)</f>
        <v/>
      </c>
      <c r="BJ1182" s="102">
        <f>(CB1182-Driver!$F$206)/(Driver!$G$206-Driver!$F$206)*$BI$1</f>
        <v/>
      </c>
      <c r="BK1182" s="102">
        <f>(CD1182-Driver!$F$203)/(Driver!$G$203-Driver!$F$203)*$BI$1</f>
        <v/>
      </c>
      <c r="BL1182" s="102">
        <f>MAX((CR1182-Driver!$F$202)/(Driver!$G$202-Driver!$F$202)*$BI$1,1)</f>
        <v/>
      </c>
      <c r="BM1182" s="102">
        <f>MAX((CH1182-Driver!$F$204)/(Driver!$G$204-Driver!$F$204)*$BI$1,1)</f>
        <v/>
      </c>
      <c r="BN1182" s="102">
        <f>(CI1182-Driver!$F$205)/(Driver!$G$205-Driver!$F$205)*$BI$1</f>
        <v/>
      </c>
      <c r="BO1182" s="102">
        <f>(CK1182-Driver!$F$207)/(Driver!$G$207-Driver!$F$207)*$BI$1</f>
        <v/>
      </c>
      <c r="BP1182" s="102">
        <f>(CM1182-Driver!$F$208)/(Driver!$G$208-Driver!$F$208)*$BI$1</f>
        <v/>
      </c>
      <c r="BQ1182" s="102">
        <f>(CL1182-Driver!$F$209)/(Driver!$G$209-Driver!$F$209)*$BI$1</f>
        <v/>
      </c>
      <c r="BR1182" s="40" t="inlineStr">
        <is>
          <t>21/22</t>
        </is>
      </c>
      <c r="BS1182" s="10" t="inlineStr">
        <is>
          <t xml:space="preserve"> Blizzard</t>
        </is>
      </c>
      <c r="BT1182" s="11" t="inlineStr">
        <is>
          <t>Zero G 85</t>
        </is>
      </c>
      <c r="BU1182" s="13" t="n">
        <v>157</v>
      </c>
      <c r="BV1182" s="11" t="inlineStr">
        <is>
          <t xml:space="preserve"> Unisex</t>
        </is>
      </c>
      <c r="BW1182" s="13" t="n">
        <v>157</v>
      </c>
      <c r="BX1182" s="13" t="n">
        <v>154.7</v>
      </c>
      <c r="BY1182" s="13" t="n">
        <v>116</v>
      </c>
      <c r="BZ1182" s="13" t="n">
        <v>129</v>
      </c>
      <c r="CA1182" s="13" t="n">
        <v>114</v>
      </c>
      <c r="CB1182" s="13" t="n">
        <v>83</v>
      </c>
      <c r="CC1182" s="13" t="n">
        <v>98</v>
      </c>
      <c r="CD1182" s="13" t="n">
        <v>17.9</v>
      </c>
      <c r="CE1182" s="13" t="n">
        <v>975</v>
      </c>
      <c r="CF1182" s="13" t="n">
        <v>1.46</v>
      </c>
      <c r="CG1182" s="13" t="n">
        <v>1422</v>
      </c>
      <c r="CH1182" s="13" t="n">
        <v>169</v>
      </c>
      <c r="CI1182" s="13" t="n">
        <v>54</v>
      </c>
      <c r="CJ1182" s="13" t="n">
        <v>60</v>
      </c>
      <c r="CK1182" s="13" t="n">
        <v>225</v>
      </c>
      <c r="CL1182" s="13" t="n">
        <v>9</v>
      </c>
      <c r="CM1182" s="13" t="n">
        <v>158</v>
      </c>
      <c r="CN1182" s="13" t="n">
        <v>0.147</v>
      </c>
      <c r="CO1182" s="13" t="n">
        <v>135</v>
      </c>
      <c r="CP1182" s="13" t="n">
        <v>124</v>
      </c>
      <c r="CQ1182" s="13" t="n">
        <v>90</v>
      </c>
      <c r="CR1182" s="13" t="n">
        <v>5</v>
      </c>
      <c r="CS1182" s="13" t="n">
        <v>10.8</v>
      </c>
      <c r="CT1182" s="11" t="inlineStr">
        <is>
          <t xml:space="preserve"> Touring</t>
        </is>
      </c>
      <c r="CU1182" s="11" t="inlineStr">
        <is>
          <t xml:space="preserve"> Ultralight Touring</t>
        </is>
      </c>
      <c r="CV1182" s="13" t="n"/>
      <c r="CW1182" s="13" t="n"/>
      <c r="CX1182">
        <f>INDEX('Data_Price '!AG$2:AG$1266,MATCH(Data!$DN1182,'Data_Price '!$AT$2:$AT$1266,0))</f>
        <v/>
      </c>
      <c r="CY1182">
        <f>INDEX('Data_Price '!AH$2:AH$1266,MATCH(Data!$DN1182,'Data_Price '!$AT$2:$AT$1266,0))</f>
        <v/>
      </c>
      <c r="CZ1182">
        <f>INDEX('Data_Price '!AI$2:AI$1266,MATCH(Data!$DN1182,'Data_Price '!$AT$2:$AT$1266,0))</f>
        <v/>
      </c>
      <c r="DA1182">
        <f>INDEX('Data_Price '!AJ$2:AJ$1266,MATCH(Data!$DN1182,'Data_Price '!$AT$2:$AT$1266,0))</f>
        <v/>
      </c>
      <c r="DB1182">
        <f>INDEX('Data_Price '!AK$2:AK$1266,MATCH(Data!$DN1182,'Data_Price '!$AT$2:$AT$1266,0))</f>
        <v/>
      </c>
      <c r="DC1182">
        <f>INDEX('Data_Price '!AL$2:AL$1266,MATCH(Data!$DN1182,'Data_Price '!$AT$2:$AT$1266,0))</f>
        <v/>
      </c>
      <c r="DD1182">
        <f>INDEX('Data_Price '!AM$2:AM$1266,MATCH(Data!$DN1182,'Data_Price '!$AT$2:$AT$1266,0))</f>
        <v/>
      </c>
      <c r="DE1182">
        <f>INDEX('Data_Price '!AN$2:AN$1266,MATCH(Data!$DN1182,'Data_Price '!$AT$2:$AT$1266,0))</f>
        <v/>
      </c>
      <c r="DF1182">
        <f>INDEX('Data_Price '!AO$2:AO$1266,MATCH(Data!$DN1182,'Data_Price '!$AT$2:$AT$1266,0))</f>
        <v/>
      </c>
      <c r="DG1182">
        <f>INDEX('Data_Price '!AP$2:AP$1266,MATCH(Data!$DN1182,'Data_Price '!$AT$2:$AT$1266,0))</f>
        <v/>
      </c>
      <c r="DH1182">
        <f>INDEX('Data_Price '!AQ$2:AQ$1266,MATCH(Data!$DN1182,'Data_Price '!$AT$2:$AT$1266,0))</f>
        <v/>
      </c>
      <c r="DI1182">
        <f>INDEX('Data_Price '!AR$2:AR$1266,MATCH(Data!$DN1182,'Data_Price '!$AT$2:$AT$1266,0))</f>
        <v/>
      </c>
      <c r="DJ1182" s="138">
        <f>DA1182</f>
        <v/>
      </c>
      <c r="DK1182" s="138">
        <f>DE1182</f>
        <v/>
      </c>
      <c r="DL1182" s="138">
        <f>DI1182</f>
        <v/>
      </c>
      <c r="DM1182" s="303">
        <f>IF(LEFT(BT1182,1)=" ",RIGHT(BT1182,LEN(BT1182)-1),BT1182)</f>
        <v/>
      </c>
      <c r="DN1182" s="138">
        <f>_xlfn.CONCAT(BS1182,DM1182,BU1182,BV1182)</f>
        <v/>
      </c>
      <c r="DO1182" s="307" t="n"/>
    </row>
    <row r="1183" ht="15.6" customHeight="1" s="184">
      <c r="B1183" s="303">
        <f t="array" ref="B1183">IF(OR(ISERROR(K1183:P1183)),FALSE,TRUE)</f>
        <v/>
      </c>
      <c r="C1183" s="60">
        <f>OR(BR1183=Driver!$G$50,Data!BR75=Driver!$H$50)</f>
        <v/>
      </c>
      <c r="D1183" s="60">
        <f>OR(BV1183=Driver!$G$51,BV1183=Driver!$H$51)</f>
        <v/>
      </c>
      <c r="E1183" s="60">
        <f>AND(BX1183&gt;Driver!$F$54,BX1183&lt;Driver!$G$54)</f>
        <v/>
      </c>
      <c r="F1183" s="60">
        <f>CL1183&gt;Driver!$F$56</f>
        <v/>
      </c>
      <c r="G1183" s="60">
        <f>AND(CB1183&gt;Driver!$F$55,CB1183&lt;Driver!$G$55)</f>
        <v/>
      </c>
      <c r="H1183" s="60">
        <f>AND(B1183:G1183)</f>
        <v/>
      </c>
      <c r="I1183" s="60">
        <f>COUNTIFS($H$9:$H$1273,TRUE,$BT$9:$BT$1273,BT1183)</f>
        <v/>
      </c>
      <c r="J1183" s="60">
        <f t="array" ref="J1183">NOT(OR(($H$9:$H$1273=TRUE)*($I$9:$I$1273&gt;0)*($BT$9:$BT$1273=BT1183)*($K$9:$K$1273&gt;K1183)))</f>
        <v/>
      </c>
      <c r="K1183" s="108">
        <f>IFERROR(1-AVERAGE(X1183:Y1183),"")</f>
        <v/>
      </c>
      <c r="L1183" s="108">
        <f>1-X1183</f>
        <v/>
      </c>
      <c r="M1183" s="108">
        <f>1-Y1183</f>
        <v/>
      </c>
      <c r="N1183" s="108">
        <f>1-Z1183</f>
        <v/>
      </c>
      <c r="O1183" s="108">
        <f>1-AA1183</f>
        <v/>
      </c>
      <c r="P1183" s="108">
        <f>1-AB1183</f>
        <v/>
      </c>
      <c r="Q1183" s="108" t="n"/>
      <c r="R1183" s="108" t="n"/>
      <c r="S1183" s="108">
        <f>1-AE1183</f>
        <v/>
      </c>
      <c r="T1183" s="108">
        <f>1-AF1183</f>
        <v/>
      </c>
      <c r="U1183" s="108">
        <f>1-AG1183</f>
        <v/>
      </c>
      <c r="V1183" s="108">
        <f>1-AH1183</f>
        <v/>
      </c>
      <c r="W1183" s="108">
        <f>1-AI1183</f>
        <v/>
      </c>
      <c r="X1183" s="108">
        <f>ABS(AJ1183-AJ$1)</f>
        <v/>
      </c>
      <c r="Y1183" s="108">
        <f>AVERAGE(Z1183:AB1183)</f>
        <v/>
      </c>
      <c r="Z1183" s="108">
        <f>ABS(AL1183-AL$1)</f>
        <v/>
      </c>
      <c r="AA1183" s="108">
        <f>ABS(AM1183-AM$1)</f>
        <v/>
      </c>
      <c r="AB1183" s="108">
        <f>ABS(AN1183-AN$1)</f>
        <v/>
      </c>
      <c r="AC1183" s="108" t="n"/>
      <c r="AD1183" s="108" t="n"/>
      <c r="AE1183" s="108">
        <f>ABS(AQ$1-AQ1183)</f>
        <v/>
      </c>
      <c r="AF1183" s="108">
        <f>ABS(AR$1-AR1183)</f>
        <v/>
      </c>
      <c r="AG1183" s="108">
        <f>ABS(AS$1-AS1183)</f>
        <v/>
      </c>
      <c r="AH1183" s="108">
        <f>ABS(AT$1-AT1183)</f>
        <v/>
      </c>
      <c r="AI1183" s="108">
        <f>ABS(AU$1-AU1183)</f>
        <v/>
      </c>
      <c r="AJ1183" s="108">
        <f>(AV1183-Driver!$K$179)/(Driver!$L$179-Driver!$K$179)</f>
        <v/>
      </c>
      <c r="AK1183" s="108">
        <f>(AW1183-Driver!$K$180)/(Driver!$L$180-Driver!$K$180)</f>
        <v/>
      </c>
      <c r="AL1183" s="108">
        <f>(AX1183-Driver!$K$181)/(Driver!$L$181-Driver!$K$181)</f>
        <v/>
      </c>
      <c r="AM1183" s="108">
        <f>(AY1183-Driver!$K$182)/(Driver!$L$182-Driver!$K$182)</f>
        <v/>
      </c>
      <c r="AN1183" s="108">
        <f>(AZ1183-Driver!$K$183)/(Driver!$L$183-Driver!$K$183)</f>
        <v/>
      </c>
      <c r="AO1183" s="108" t="n"/>
      <c r="AP1183" s="108" t="n"/>
      <c r="AQ1183" s="108">
        <f>(BC1183-Driver!$K$188)/(Driver!$L$188-Driver!$K$188)</f>
        <v/>
      </c>
      <c r="AR1183" s="108">
        <f>MIN((BD1183-Driver!$K$189)/(Driver!$L$189-Driver!$K$189),100%)</f>
        <v/>
      </c>
      <c r="AS1183" s="108">
        <f>(BE1183-Driver!$K$190)/(Driver!$L$190-Driver!$K$190)</f>
        <v/>
      </c>
      <c r="AT1183" s="108">
        <f>(BF1183-Driver!$K$191)/(Driver!$L$191-Driver!$K$191)</f>
        <v/>
      </c>
      <c r="AU1183" s="108">
        <f>(BG1183-Driver!$K$192)/(Driver!$L$192-Driver!$K$192)</f>
        <v/>
      </c>
      <c r="AV1183" s="105">
        <f>IFERROR(BM1183*BJ1183^1/4,"")</f>
        <v/>
      </c>
      <c r="AW1183" s="105">
        <f>IFERROR(SUM(AX1183:AZ1183),"")</f>
        <v/>
      </c>
      <c r="AX1183" s="105">
        <f>IFERROR(BH1183,"")</f>
        <v/>
      </c>
      <c r="AY1183" s="105">
        <f>IFERROR(Driver!$K$19/Data!BH1183/Data!BI1183*Data!BK1183*Data!BL1183,"")</f>
        <v/>
      </c>
      <c r="AZ1183" s="105">
        <f>IFERROR(BI1183*BN1183,"")</f>
        <v/>
      </c>
      <c r="BA1183" s="105" t="n"/>
      <c r="BB1183" s="105" t="n"/>
      <c r="BC1183" s="105">
        <f>IFERROR(BI1183*BN1183*BK1183/BJ1183^(1/2),"")</f>
        <v/>
      </c>
      <c r="BD1183" s="105">
        <f>IFERROR(BH1183*BM1183*BL1183/BJ1183/BK1183,"")</f>
        <v/>
      </c>
      <c r="BE1183" s="105">
        <f>IFERROR(MIN(BI1183/BQ1183/BP1183/BO1183/BH1183,$BE$1),"")</f>
        <v/>
      </c>
      <c r="BF1183" s="105">
        <f>IFERROR(BJ1183*BO1183*BP1183/BK1183,"")</f>
        <v/>
      </c>
      <c r="BG1183" s="105">
        <f>IFERROR(1/BM1183/BH1183*BQ1183,"")</f>
        <v/>
      </c>
      <c r="BH1183" s="102">
        <f>MAX((CE1183-Driver!$F$200)/(Driver!$G$200-Driver!$F$200)*$BI$1,1)</f>
        <v/>
      </c>
      <c r="BI1183" s="102">
        <f>MAX($BI$1*(BY1183-Driver!$F$201)/(Driver!$G$201-Driver!$F$201),1)</f>
        <v/>
      </c>
      <c r="BJ1183" s="102">
        <f>(CB1183-Driver!$F$206)/(Driver!$G$206-Driver!$F$206)*$BI$1</f>
        <v/>
      </c>
      <c r="BK1183" s="102">
        <f>(CD1183-Driver!$F$203)/(Driver!$G$203-Driver!$F$203)*$BI$1</f>
        <v/>
      </c>
      <c r="BL1183" s="102">
        <f>MAX((CR1183-Driver!$F$202)/(Driver!$G$202-Driver!$F$202)*$BI$1,1)</f>
        <v/>
      </c>
      <c r="BM1183" s="102">
        <f>MAX((CH1183-Driver!$F$204)/(Driver!$G$204-Driver!$F$204)*$BI$1,1)</f>
        <v/>
      </c>
      <c r="BN1183" s="102">
        <f>(CI1183-Driver!$F$205)/(Driver!$G$205-Driver!$F$205)*$BI$1</f>
        <v/>
      </c>
      <c r="BO1183" s="102">
        <f>(CK1183-Driver!$F$207)/(Driver!$G$207-Driver!$F$207)*$BI$1</f>
        <v/>
      </c>
      <c r="BP1183" s="102">
        <f>(CM1183-Driver!$F$208)/(Driver!$G$208-Driver!$F$208)*$BI$1</f>
        <v/>
      </c>
      <c r="BQ1183" s="102">
        <f>(CL1183-Driver!$F$209)/(Driver!$G$209-Driver!$F$209)*$BI$1</f>
        <v/>
      </c>
      <c r="BR1183" s="40" t="inlineStr">
        <is>
          <t>21/22</t>
        </is>
      </c>
      <c r="BS1183" s="10" t="inlineStr">
        <is>
          <t xml:space="preserve"> Armada</t>
        </is>
      </c>
      <c r="BT1183" s="11" t="inlineStr">
        <is>
          <t>Declivity 92 Ti</t>
        </is>
      </c>
      <c r="BU1183" s="13" t="n">
        <v>188</v>
      </c>
      <c r="BV1183" s="11" t="inlineStr">
        <is>
          <t xml:space="preserve"> Unisex</t>
        </is>
      </c>
      <c r="BW1183" s="13" t="n">
        <v>188</v>
      </c>
      <c r="BX1183" s="13" t="n">
        <v>187.6</v>
      </c>
      <c r="BY1183" s="13" t="n">
        <v>145</v>
      </c>
      <c r="BZ1183" s="13" t="n">
        <v>159</v>
      </c>
      <c r="CA1183" s="13" t="n">
        <v>131</v>
      </c>
      <c r="CB1183" s="13" t="n">
        <v>91</v>
      </c>
      <c r="CC1183" s="13" t="n">
        <v>118</v>
      </c>
      <c r="CD1183" s="13" t="n">
        <v>18.4</v>
      </c>
      <c r="CE1183" s="13" t="n">
        <v>1937</v>
      </c>
      <c r="CF1183" s="13" t="n">
        <v>1.01</v>
      </c>
      <c r="CG1183" s="13" t="n">
        <v>1964</v>
      </c>
      <c r="CH1183" s="13" t="n">
        <v>271</v>
      </c>
      <c r="CI1183" s="13" t="n">
        <v>161</v>
      </c>
      <c r="CJ1183" s="13" t="n">
        <v>49</v>
      </c>
      <c r="CK1183" s="13" t="n">
        <v>262</v>
      </c>
      <c r="CL1183" s="13" t="n">
        <v>20</v>
      </c>
      <c r="CM1183" s="13" t="n">
        <v>162</v>
      </c>
      <c r="CN1183" s="13" t="n">
        <v>0.404</v>
      </c>
      <c r="CO1183" s="13" t="n">
        <v>182</v>
      </c>
      <c r="CP1183" s="13" t="n">
        <v>105</v>
      </c>
      <c r="CQ1183" s="13" t="n">
        <v>80</v>
      </c>
      <c r="CR1183" s="13" t="n">
        <v>8</v>
      </c>
      <c r="CS1183" s="13" t="n">
        <v>9.6</v>
      </c>
      <c r="CT1183" s="11" t="inlineStr">
        <is>
          <t xml:space="preserve"> Resort Freeride</t>
        </is>
      </c>
      <c r="CU1183" s="13" t="n"/>
      <c r="CV1183" s="13" t="n"/>
      <c r="CW1183" s="13" t="n"/>
      <c r="CX1183">
        <f>INDEX('Data_Price '!AG$2:AG$1266,MATCH(Data!$DN1183,'Data_Price '!$AT$2:$AT$1266,0))</f>
        <v/>
      </c>
      <c r="CY1183">
        <f>INDEX('Data_Price '!AH$2:AH$1266,MATCH(Data!$DN1183,'Data_Price '!$AT$2:$AT$1266,0))</f>
        <v/>
      </c>
      <c r="CZ1183">
        <f>INDEX('Data_Price '!AI$2:AI$1266,MATCH(Data!$DN1183,'Data_Price '!$AT$2:$AT$1266,0))</f>
        <v/>
      </c>
      <c r="DA1183">
        <f>INDEX('Data_Price '!AJ$2:AJ$1266,MATCH(Data!$DN1183,'Data_Price '!$AT$2:$AT$1266,0))</f>
        <v/>
      </c>
      <c r="DB1183">
        <f>INDEX('Data_Price '!AK$2:AK$1266,MATCH(Data!$DN1183,'Data_Price '!$AT$2:$AT$1266,0))</f>
        <v/>
      </c>
      <c r="DC1183">
        <f>INDEX('Data_Price '!AL$2:AL$1266,MATCH(Data!$DN1183,'Data_Price '!$AT$2:$AT$1266,0))</f>
        <v/>
      </c>
      <c r="DD1183">
        <f>INDEX('Data_Price '!AM$2:AM$1266,MATCH(Data!$DN1183,'Data_Price '!$AT$2:$AT$1266,0))</f>
        <v/>
      </c>
      <c r="DE1183">
        <f>INDEX('Data_Price '!AN$2:AN$1266,MATCH(Data!$DN1183,'Data_Price '!$AT$2:$AT$1266,0))</f>
        <v/>
      </c>
      <c r="DF1183">
        <f>INDEX('Data_Price '!AO$2:AO$1266,MATCH(Data!$DN1183,'Data_Price '!$AT$2:$AT$1266,0))</f>
        <v/>
      </c>
      <c r="DG1183">
        <f>INDEX('Data_Price '!AP$2:AP$1266,MATCH(Data!$DN1183,'Data_Price '!$AT$2:$AT$1266,0))</f>
        <v/>
      </c>
      <c r="DH1183">
        <f>INDEX('Data_Price '!AQ$2:AQ$1266,MATCH(Data!$DN1183,'Data_Price '!$AT$2:$AT$1266,0))</f>
        <v/>
      </c>
      <c r="DI1183">
        <f>INDEX('Data_Price '!AR$2:AR$1266,MATCH(Data!$DN1183,'Data_Price '!$AT$2:$AT$1266,0))</f>
        <v/>
      </c>
      <c r="DJ1183" s="138">
        <f>DA1183</f>
        <v/>
      </c>
      <c r="DK1183" s="138">
        <f>DE1183</f>
        <v/>
      </c>
      <c r="DL1183" s="138">
        <f>DI1183</f>
        <v/>
      </c>
      <c r="DM1183" s="303">
        <f>IF(LEFT(BT1183,1)=" ",RIGHT(BT1183,LEN(BT1183)-1),BT1183)</f>
        <v/>
      </c>
      <c r="DN1183" s="138">
        <f>_xlfn.CONCAT(BS1183,DM1183,BU1183,BV1183)</f>
        <v/>
      </c>
      <c r="DO1183" s="307" t="inlineStr">
        <is>
          <t>https://images.evo.com/imgp/250/181506/736829/armada-declivity-92-ti-skis-2022-.jpg</t>
        </is>
      </c>
    </row>
    <row r="1184" ht="15.6" customHeight="1" s="184">
      <c r="B1184" s="303">
        <f t="array" ref="B1184">IF(OR(ISERROR(K1184:P1184)),FALSE,TRUE)</f>
        <v/>
      </c>
      <c r="C1184" s="60">
        <f>OR(BR1184=Driver!$G$50,Data!BR79=Driver!$H$50)</f>
        <v/>
      </c>
      <c r="D1184" s="60">
        <f>OR(BV1184=Driver!$G$51,BV1184=Driver!$H$51)</f>
        <v/>
      </c>
      <c r="E1184" s="60">
        <f>AND(BX1184&gt;Driver!$F$54,BX1184&lt;Driver!$G$54)</f>
        <v/>
      </c>
      <c r="F1184" s="60">
        <f>CL1184&gt;Driver!$F$56</f>
        <v/>
      </c>
      <c r="G1184" s="60">
        <f>AND(CB1184&gt;Driver!$F$55,CB1184&lt;Driver!$G$55)</f>
        <v/>
      </c>
      <c r="H1184" s="60">
        <f>AND(B1184:G1184)</f>
        <v/>
      </c>
      <c r="I1184" s="60">
        <f>COUNTIFS($H$9:$H$1273,TRUE,$BT$9:$BT$1273,BT1184)</f>
        <v/>
      </c>
      <c r="J1184" s="60">
        <f t="array" ref="J1184">NOT(OR(($H$9:$H$1273=TRUE)*($I$9:$I$1273&gt;0)*($BT$9:$BT$1273=BT1184)*($K$9:$K$1273&gt;K1184)))</f>
        <v/>
      </c>
      <c r="K1184" s="108">
        <f>IFERROR(1-AVERAGE(X1184:Y1184),"")</f>
        <v/>
      </c>
      <c r="L1184" s="108">
        <f>1-X1184</f>
        <v/>
      </c>
      <c r="M1184" s="108">
        <f>1-Y1184</f>
        <v/>
      </c>
      <c r="N1184" s="108">
        <f>1-Z1184</f>
        <v/>
      </c>
      <c r="O1184" s="108">
        <f>1-AA1184</f>
        <v/>
      </c>
      <c r="P1184" s="108">
        <f>1-AB1184</f>
        <v/>
      </c>
      <c r="Q1184" s="108" t="n"/>
      <c r="R1184" s="108" t="n"/>
      <c r="S1184" s="108">
        <f>1-AE1184</f>
        <v/>
      </c>
      <c r="T1184" s="108">
        <f>1-AF1184</f>
        <v/>
      </c>
      <c r="U1184" s="108">
        <f>1-AG1184</f>
        <v/>
      </c>
      <c r="V1184" s="108">
        <f>1-AH1184</f>
        <v/>
      </c>
      <c r="W1184" s="108">
        <f>1-AI1184</f>
        <v/>
      </c>
      <c r="X1184" s="108">
        <f>ABS(AJ1184-AJ$1)</f>
        <v/>
      </c>
      <c r="Y1184" s="108">
        <f>AVERAGE(Z1184:AB1184)</f>
        <v/>
      </c>
      <c r="Z1184" s="108">
        <f>ABS(AL1184-AL$1)</f>
        <v/>
      </c>
      <c r="AA1184" s="108">
        <f>ABS(AM1184-AM$1)</f>
        <v/>
      </c>
      <c r="AB1184" s="108">
        <f>ABS(AN1184-AN$1)</f>
        <v/>
      </c>
      <c r="AC1184" s="108" t="n"/>
      <c r="AD1184" s="108" t="n"/>
      <c r="AE1184" s="108">
        <f>ABS(AQ$1-AQ1184)</f>
        <v/>
      </c>
      <c r="AF1184" s="108">
        <f>ABS(AR$1-AR1184)</f>
        <v/>
      </c>
      <c r="AG1184" s="108">
        <f>ABS(AS$1-AS1184)</f>
        <v/>
      </c>
      <c r="AH1184" s="108">
        <f>ABS(AT$1-AT1184)</f>
        <v/>
      </c>
      <c r="AI1184" s="108">
        <f>ABS(AU$1-AU1184)</f>
        <v/>
      </c>
      <c r="AJ1184" s="108">
        <f>(AV1184-Driver!$K$179)/(Driver!$L$179-Driver!$K$179)</f>
        <v/>
      </c>
      <c r="AK1184" s="108">
        <f>(AW1184-Driver!$K$180)/(Driver!$L$180-Driver!$K$180)</f>
        <v/>
      </c>
      <c r="AL1184" s="108">
        <f>(AX1184-Driver!$K$181)/(Driver!$L$181-Driver!$K$181)</f>
        <v/>
      </c>
      <c r="AM1184" s="108">
        <f>(AY1184-Driver!$K$182)/(Driver!$L$182-Driver!$K$182)</f>
        <v/>
      </c>
      <c r="AN1184" s="108">
        <f>(AZ1184-Driver!$K$183)/(Driver!$L$183-Driver!$K$183)</f>
        <v/>
      </c>
      <c r="AO1184" s="108" t="n"/>
      <c r="AP1184" s="108" t="n"/>
      <c r="AQ1184" s="108">
        <f>(BC1184-Driver!$K$188)/(Driver!$L$188-Driver!$K$188)</f>
        <v/>
      </c>
      <c r="AR1184" s="108">
        <f>MIN((BD1184-Driver!$K$189)/(Driver!$L$189-Driver!$K$189),100%)</f>
        <v/>
      </c>
      <c r="AS1184" s="108">
        <f>(BE1184-Driver!$K$190)/(Driver!$L$190-Driver!$K$190)</f>
        <v/>
      </c>
      <c r="AT1184" s="108">
        <f>(BF1184-Driver!$K$191)/(Driver!$L$191-Driver!$K$191)</f>
        <v/>
      </c>
      <c r="AU1184" s="108">
        <f>(BG1184-Driver!$K$192)/(Driver!$L$192-Driver!$K$192)</f>
        <v/>
      </c>
      <c r="AV1184" s="105">
        <f>IFERROR(BM1184*BJ1184^1/4,"")</f>
        <v/>
      </c>
      <c r="AW1184" s="105">
        <f>IFERROR(SUM(AX1184:AZ1184),"")</f>
        <v/>
      </c>
      <c r="AX1184" s="105">
        <f>IFERROR(BH1184,"")</f>
        <v/>
      </c>
      <c r="AY1184" s="105">
        <f>IFERROR(Driver!$K$19/Data!BH1184/Data!BI1184*Data!BK1184*Data!BL1184,"")</f>
        <v/>
      </c>
      <c r="AZ1184" s="105">
        <f>IFERROR(BI1184*BN1184,"")</f>
        <v/>
      </c>
      <c r="BA1184" s="105" t="n"/>
      <c r="BB1184" s="105" t="n"/>
      <c r="BC1184" s="105">
        <f>IFERROR(BI1184*BN1184*BK1184/BJ1184^(1/2),"")</f>
        <v/>
      </c>
      <c r="BD1184" s="105">
        <f>IFERROR(BH1184*BM1184*BL1184/BJ1184/BK1184,"")</f>
        <v/>
      </c>
      <c r="BE1184" s="105">
        <f>IFERROR(MIN(BI1184/BQ1184/BP1184/BO1184/BH1184,$BE$1),"")</f>
        <v/>
      </c>
      <c r="BF1184" s="105">
        <f>IFERROR(BJ1184*BO1184*BP1184/BK1184,"")</f>
        <v/>
      </c>
      <c r="BG1184" s="105">
        <f>IFERROR(1/BM1184/BH1184*BQ1184,"")</f>
        <v/>
      </c>
      <c r="BH1184" s="102">
        <f>MAX((CE1184-Driver!$F$200)/(Driver!$G$200-Driver!$F$200)*$BI$1,1)</f>
        <v/>
      </c>
      <c r="BI1184" s="102">
        <f>MAX($BI$1*(BY1184-Driver!$F$201)/(Driver!$G$201-Driver!$F$201),1)</f>
        <v/>
      </c>
      <c r="BJ1184" s="102">
        <f>(CB1184-Driver!$F$206)/(Driver!$G$206-Driver!$F$206)*$BI$1</f>
        <v/>
      </c>
      <c r="BK1184" s="102">
        <f>(CD1184-Driver!$F$203)/(Driver!$G$203-Driver!$F$203)*$BI$1</f>
        <v/>
      </c>
      <c r="BL1184" s="102">
        <f>MAX((CR1184-Driver!$F$202)/(Driver!$G$202-Driver!$F$202)*$BI$1,1)</f>
        <v/>
      </c>
      <c r="BM1184" s="102">
        <f>MAX((CH1184-Driver!$F$204)/(Driver!$G$204-Driver!$F$204)*$BI$1,1)</f>
        <v/>
      </c>
      <c r="BN1184" s="102">
        <f>(CI1184-Driver!$F$205)/(Driver!$G$205-Driver!$F$205)*$BI$1</f>
        <v/>
      </c>
      <c r="BO1184" s="102">
        <f>(CK1184-Driver!$F$207)/(Driver!$G$207-Driver!$F$207)*$BI$1</f>
        <v/>
      </c>
      <c r="BP1184" s="102">
        <f>(CM1184-Driver!$F$208)/(Driver!$G$208-Driver!$F$208)*$BI$1</f>
        <v/>
      </c>
      <c r="BQ1184" s="102">
        <f>(CL1184-Driver!$F$209)/(Driver!$G$209-Driver!$F$209)*$BI$1</f>
        <v/>
      </c>
      <c r="BR1184" s="40" t="inlineStr">
        <is>
          <t>21/22</t>
        </is>
      </c>
      <c r="BS1184" s="10" t="inlineStr">
        <is>
          <t xml:space="preserve"> Armada</t>
        </is>
      </c>
      <c r="BT1184" s="11" t="inlineStr">
        <is>
          <t xml:space="preserve"> Magic J</t>
        </is>
      </c>
      <c r="BU1184" s="13" t="n">
        <v>180</v>
      </c>
      <c r="BV1184" s="11" t="inlineStr">
        <is>
          <t xml:space="preserve"> Unisex</t>
        </is>
      </c>
      <c r="BW1184" s="13" t="n">
        <v>180</v>
      </c>
      <c r="BX1184" s="13" t="n">
        <v>178.7</v>
      </c>
      <c r="BY1184" s="13" t="n">
        <v>99</v>
      </c>
      <c r="BZ1184" s="13" t="n">
        <v>115</v>
      </c>
      <c r="CA1184" s="13" t="n">
        <v>142</v>
      </c>
      <c r="CB1184" s="13" t="n">
        <v>125</v>
      </c>
      <c r="CC1184" s="13" t="n">
        <v>139</v>
      </c>
      <c r="CD1184" s="13" t="n">
        <v>17.9</v>
      </c>
      <c r="CE1184" s="13" t="n">
        <v>2353</v>
      </c>
      <c r="CF1184" s="13" t="n">
        <v>1</v>
      </c>
      <c r="CG1184" s="13" t="n">
        <v>2343</v>
      </c>
      <c r="CH1184" s="13" t="n">
        <v>264</v>
      </c>
      <c r="CI1184" s="13" t="n">
        <v>128</v>
      </c>
      <c r="CJ1184" s="13" t="n">
        <v>60</v>
      </c>
      <c r="CK1184" s="13" t="n">
        <v>414</v>
      </c>
      <c r="CL1184" s="13" t="n">
        <v>58</v>
      </c>
      <c r="CM1184" s="13" t="n">
        <v>383</v>
      </c>
      <c r="CN1184" s="13" t="n">
        <v>0.969</v>
      </c>
      <c r="CO1184" s="13" t="n">
        <v>325</v>
      </c>
      <c r="CP1184" s="13" t="n">
        <v>311</v>
      </c>
      <c r="CQ1184" s="13" t="n">
        <v>89</v>
      </c>
      <c r="CR1184" s="13" t="n">
        <v>7</v>
      </c>
      <c r="CS1184" s="13" t="n">
        <v>4.7</v>
      </c>
      <c r="CT1184" s="11" t="inlineStr">
        <is>
          <t xml:space="preserve"> Freeski</t>
        </is>
      </c>
      <c r="CU1184" s="11" t="inlineStr">
        <is>
          <t xml:space="preserve"> Powder</t>
        </is>
      </c>
      <c r="CV1184" s="13" t="n"/>
      <c r="CW1184" s="13" t="n"/>
      <c r="CX1184">
        <f>INDEX('Data_Price '!AG$2:AG$1266,MATCH(Data!$DN1184,'Data_Price '!$AT$2:$AT$1266,0))</f>
        <v/>
      </c>
      <c r="CY1184">
        <f>INDEX('Data_Price '!AH$2:AH$1266,MATCH(Data!$DN1184,'Data_Price '!$AT$2:$AT$1266,0))</f>
        <v/>
      </c>
      <c r="CZ1184">
        <f>INDEX('Data_Price '!AI$2:AI$1266,MATCH(Data!$DN1184,'Data_Price '!$AT$2:$AT$1266,0))</f>
        <v/>
      </c>
      <c r="DA1184">
        <f>INDEX('Data_Price '!AJ$2:AJ$1266,MATCH(Data!$DN1184,'Data_Price '!$AT$2:$AT$1266,0))</f>
        <v/>
      </c>
      <c r="DB1184">
        <f>INDEX('Data_Price '!AK$2:AK$1266,MATCH(Data!$DN1184,'Data_Price '!$AT$2:$AT$1266,0))</f>
        <v/>
      </c>
      <c r="DC1184">
        <f>INDEX('Data_Price '!AL$2:AL$1266,MATCH(Data!$DN1184,'Data_Price '!$AT$2:$AT$1266,0))</f>
        <v/>
      </c>
      <c r="DD1184">
        <f>INDEX('Data_Price '!AM$2:AM$1266,MATCH(Data!$DN1184,'Data_Price '!$AT$2:$AT$1266,0))</f>
        <v/>
      </c>
      <c r="DE1184">
        <f>INDEX('Data_Price '!AN$2:AN$1266,MATCH(Data!$DN1184,'Data_Price '!$AT$2:$AT$1266,0))</f>
        <v/>
      </c>
      <c r="DF1184">
        <f>INDEX('Data_Price '!AO$2:AO$1266,MATCH(Data!$DN1184,'Data_Price '!$AT$2:$AT$1266,0))</f>
        <v/>
      </c>
      <c r="DG1184">
        <f>INDEX('Data_Price '!AP$2:AP$1266,MATCH(Data!$DN1184,'Data_Price '!$AT$2:$AT$1266,0))</f>
        <v/>
      </c>
      <c r="DH1184">
        <f>INDEX('Data_Price '!AQ$2:AQ$1266,MATCH(Data!$DN1184,'Data_Price '!$AT$2:$AT$1266,0))</f>
        <v/>
      </c>
      <c r="DI1184">
        <f>INDEX('Data_Price '!AR$2:AR$1266,MATCH(Data!$DN1184,'Data_Price '!$AT$2:$AT$1266,0))</f>
        <v/>
      </c>
      <c r="DJ1184" s="138">
        <f>DA1184</f>
        <v/>
      </c>
      <c r="DK1184" s="138">
        <f>DE1184</f>
        <v/>
      </c>
      <c r="DL1184" s="138">
        <f>DI1184</f>
        <v/>
      </c>
      <c r="DM1184" s="303">
        <f>IF(LEFT(BT1184,1)=" ",RIGHT(BT1184,LEN(BT1184)-1),BT1184)</f>
        <v/>
      </c>
      <c r="DN1184" s="138">
        <f>_xlfn.CONCAT(BS1184,DM1184,BU1184,BV1184)</f>
        <v/>
      </c>
      <c r="DO1184" s="307" t="inlineStr">
        <is>
          <t>https://images.evo.com/imgp/250/198692/839658/armada-magic-j-skis-2022-.jpg</t>
        </is>
      </c>
    </row>
    <row r="1185" ht="15.6" customHeight="1" s="184">
      <c r="B1185" s="303">
        <f t="array" ref="B1185">IF(OR(ISERROR(K1185:P1185)),FALSE,TRUE)</f>
        <v/>
      </c>
      <c r="C1185" s="60">
        <f>OR(BR1185=Driver!$G$50,Data!BR313=Driver!$H$50)</f>
        <v/>
      </c>
      <c r="D1185" s="60">
        <f>OR(BV1185=Driver!$G$51,BV1185=Driver!$H$51)</f>
        <v/>
      </c>
      <c r="E1185" s="60">
        <f>AND(BX1185&gt;Driver!$F$54,BX1185&lt;Driver!$G$54)</f>
        <v/>
      </c>
      <c r="F1185" s="60">
        <f>CL1185&gt;Driver!$F$56</f>
        <v/>
      </c>
      <c r="G1185" s="60">
        <f>AND(CB1185&gt;Driver!$F$55,CB1185&lt;Driver!$G$55)</f>
        <v/>
      </c>
      <c r="H1185" s="60">
        <f>AND(B1185:G1185)</f>
        <v/>
      </c>
      <c r="I1185" s="60">
        <f>COUNTIFS($H$9:$H$1273,TRUE,$BT$9:$BT$1273,BT1185)</f>
        <v/>
      </c>
      <c r="J1185" s="60">
        <f t="array" ref="J1185">NOT(OR(($H$9:$H$1273=TRUE)*($I$9:$I$1273&gt;0)*($BT$9:$BT$1273=BT1185)*($K$9:$K$1273&gt;K1185)))</f>
        <v/>
      </c>
      <c r="K1185" s="108">
        <f>IFERROR(1-AVERAGE(X1185:Y1185),"")</f>
        <v/>
      </c>
      <c r="L1185" s="108">
        <f>1-X1185</f>
        <v/>
      </c>
      <c r="M1185" s="108">
        <f>1-Y1185</f>
        <v/>
      </c>
      <c r="N1185" s="108">
        <f>1-Z1185</f>
        <v/>
      </c>
      <c r="O1185" s="108">
        <f>1-AA1185</f>
        <v/>
      </c>
      <c r="P1185" s="108">
        <f>1-AB1185</f>
        <v/>
      </c>
      <c r="Q1185" s="108" t="n"/>
      <c r="R1185" s="108" t="n"/>
      <c r="S1185" s="108">
        <f>1-AE1185</f>
        <v/>
      </c>
      <c r="T1185" s="108">
        <f>1-AF1185</f>
        <v/>
      </c>
      <c r="U1185" s="108">
        <f>1-AG1185</f>
        <v/>
      </c>
      <c r="V1185" s="108">
        <f>1-AH1185</f>
        <v/>
      </c>
      <c r="W1185" s="108">
        <f>1-AI1185</f>
        <v/>
      </c>
      <c r="X1185" s="108">
        <f>ABS(AJ1185-AJ$1)</f>
        <v/>
      </c>
      <c r="Y1185" s="108">
        <f>AVERAGE(Z1185:AB1185)</f>
        <v/>
      </c>
      <c r="Z1185" s="108">
        <f>ABS(AL1185-AL$1)</f>
        <v/>
      </c>
      <c r="AA1185" s="108">
        <f>ABS(AM1185-AM$1)</f>
        <v/>
      </c>
      <c r="AB1185" s="108">
        <f>ABS(AN1185-AN$1)</f>
        <v/>
      </c>
      <c r="AC1185" s="108" t="n"/>
      <c r="AD1185" s="108" t="n"/>
      <c r="AE1185" s="108">
        <f>ABS(AQ$1-AQ1185)</f>
        <v/>
      </c>
      <c r="AF1185" s="108">
        <f>ABS(AR$1-AR1185)</f>
        <v/>
      </c>
      <c r="AG1185" s="108">
        <f>ABS(AS$1-AS1185)</f>
        <v/>
      </c>
      <c r="AH1185" s="108">
        <f>ABS(AT$1-AT1185)</f>
        <v/>
      </c>
      <c r="AI1185" s="108">
        <f>ABS(AU$1-AU1185)</f>
        <v/>
      </c>
      <c r="AJ1185" s="108">
        <f>(AV1185-Driver!$K$179)/(Driver!$L$179-Driver!$K$179)</f>
        <v/>
      </c>
      <c r="AK1185" s="108">
        <f>(AW1185-Driver!$K$180)/(Driver!$L$180-Driver!$K$180)</f>
        <v/>
      </c>
      <c r="AL1185" s="108">
        <f>(AX1185-Driver!$K$181)/(Driver!$L$181-Driver!$K$181)</f>
        <v/>
      </c>
      <c r="AM1185" s="108">
        <f>(AY1185-Driver!$K$182)/(Driver!$L$182-Driver!$K$182)</f>
        <v/>
      </c>
      <c r="AN1185" s="108">
        <f>(AZ1185-Driver!$K$183)/(Driver!$L$183-Driver!$K$183)</f>
        <v/>
      </c>
      <c r="AO1185" s="108" t="n"/>
      <c r="AP1185" s="108" t="n"/>
      <c r="AQ1185" s="108">
        <f>(BC1185-Driver!$K$188)/(Driver!$L$188-Driver!$K$188)</f>
        <v/>
      </c>
      <c r="AR1185" s="108">
        <f>MIN((BD1185-Driver!$K$189)/(Driver!$L$189-Driver!$K$189),100%)</f>
        <v/>
      </c>
      <c r="AS1185" s="108">
        <f>(BE1185-Driver!$K$190)/(Driver!$L$190-Driver!$K$190)</f>
        <v/>
      </c>
      <c r="AT1185" s="108">
        <f>(BF1185-Driver!$K$191)/(Driver!$L$191-Driver!$K$191)</f>
        <v/>
      </c>
      <c r="AU1185" s="108">
        <f>(BG1185-Driver!$K$192)/(Driver!$L$192-Driver!$K$192)</f>
        <v/>
      </c>
      <c r="AV1185" s="105">
        <f>IFERROR(BM1185*BJ1185^1/4,"")</f>
        <v/>
      </c>
      <c r="AW1185" s="105">
        <f>IFERROR(SUM(AX1185:AZ1185),"")</f>
        <v/>
      </c>
      <c r="AX1185" s="105">
        <f>IFERROR(BH1185,"")</f>
        <v/>
      </c>
      <c r="AY1185" s="105">
        <f>IFERROR(Driver!$K$19/Data!BH1185/Data!BI1185*Data!BK1185*Data!BL1185,"")</f>
        <v/>
      </c>
      <c r="AZ1185" s="105">
        <f>IFERROR(BI1185*BN1185,"")</f>
        <v/>
      </c>
      <c r="BA1185" s="105" t="n"/>
      <c r="BB1185" s="105" t="n"/>
      <c r="BC1185" s="105">
        <f>IFERROR(BI1185*BN1185*BK1185/BJ1185^(1/2),"")</f>
        <v/>
      </c>
      <c r="BD1185" s="105">
        <f>IFERROR(BH1185*BM1185*BL1185/BJ1185/BK1185,"")</f>
        <v/>
      </c>
      <c r="BE1185" s="105">
        <f>IFERROR(MIN(BI1185/BQ1185/BP1185/BO1185/BH1185,$BE$1),"")</f>
        <v/>
      </c>
      <c r="BF1185" s="105">
        <f>IFERROR(BJ1185*BO1185*BP1185/BK1185,"")</f>
        <v/>
      </c>
      <c r="BG1185" s="105">
        <f>IFERROR(1/BM1185/BH1185*BQ1185,"")</f>
        <v/>
      </c>
      <c r="BH1185" s="102">
        <f>MAX((CE1185-Driver!$F$200)/(Driver!$G$200-Driver!$F$200)*$BI$1,1)</f>
        <v/>
      </c>
      <c r="BI1185" s="102">
        <f>MAX($BI$1*(BY1185-Driver!$F$201)/(Driver!$G$201-Driver!$F$201),1)</f>
        <v/>
      </c>
      <c r="BJ1185" s="102">
        <f>(CB1185-Driver!$F$206)/(Driver!$G$206-Driver!$F$206)*$BI$1</f>
        <v/>
      </c>
      <c r="BK1185" s="102">
        <f>(CD1185-Driver!$F$203)/(Driver!$G$203-Driver!$F$203)*$BI$1</f>
        <v/>
      </c>
      <c r="BL1185" s="102">
        <f>MAX((CR1185-Driver!$F$202)/(Driver!$G$202-Driver!$F$202)*$BI$1,1)</f>
        <v/>
      </c>
      <c r="BM1185" s="102">
        <f>MAX((CH1185-Driver!$F$204)/(Driver!$G$204-Driver!$F$204)*$BI$1,1)</f>
        <v/>
      </c>
      <c r="BN1185" s="102">
        <f>(CI1185-Driver!$F$205)/(Driver!$G$205-Driver!$F$205)*$BI$1</f>
        <v/>
      </c>
      <c r="BO1185" s="102">
        <f>(CK1185-Driver!$F$207)/(Driver!$G$207-Driver!$F$207)*$BI$1</f>
        <v/>
      </c>
      <c r="BP1185" s="102">
        <f>(CM1185-Driver!$F$208)/(Driver!$G$208-Driver!$F$208)*$BI$1</f>
        <v/>
      </c>
      <c r="BQ1185" s="102">
        <f>(CL1185-Driver!$F$209)/(Driver!$G$209-Driver!$F$209)*$BI$1</f>
        <v/>
      </c>
      <c r="BR1185" s="40" t="inlineStr">
        <is>
          <t>21/22</t>
        </is>
      </c>
      <c r="BS1185" s="10" t="inlineStr">
        <is>
          <t xml:space="preserve"> Blizzard</t>
        </is>
      </c>
      <c r="BT1185" s="11" t="inlineStr">
        <is>
          <t>Thunderbird R15 WB</t>
        </is>
      </c>
      <c r="BU1185" s="13" t="n">
        <v>166</v>
      </c>
      <c r="BV1185" s="11" t="inlineStr">
        <is>
          <t xml:space="preserve"> Unisex</t>
        </is>
      </c>
      <c r="BW1185" s="13" t="n">
        <v>166</v>
      </c>
      <c r="BX1185" s="13" t="n">
        <v>165.1</v>
      </c>
      <c r="BY1185" s="13" t="n">
        <v>146</v>
      </c>
      <c r="BZ1185" s="13" t="n">
        <v>153</v>
      </c>
      <c r="CA1185" s="13" t="n">
        <v>124</v>
      </c>
      <c r="CB1185" s="13" t="n">
        <v>75</v>
      </c>
      <c r="CC1185" s="13" t="n">
        <v>105</v>
      </c>
      <c r="CD1185" s="13" t="n">
        <v>14.7</v>
      </c>
      <c r="CE1185" s="13" t="n">
        <v>2238</v>
      </c>
      <c r="CF1185" s="13" t="n">
        <v>0.66</v>
      </c>
      <c r="CG1185" s="13" t="n">
        <v>1477</v>
      </c>
      <c r="CH1185" s="13" t="n">
        <v>196</v>
      </c>
      <c r="CI1185" s="13" t="n">
        <v>122</v>
      </c>
      <c r="CJ1185" s="13" t="n">
        <v>42</v>
      </c>
      <c r="CK1185" s="13" t="n">
        <v>135</v>
      </c>
      <c r="CL1185" s="13" t="n">
        <v>8</v>
      </c>
      <c r="CM1185" s="13" t="n">
        <v>59</v>
      </c>
      <c r="CN1185" s="13" t="n">
        <v>0.182</v>
      </c>
      <c r="CO1185" s="13" t="n">
        <v>73</v>
      </c>
      <c r="CP1185" s="13" t="n">
        <v>51</v>
      </c>
      <c r="CQ1185" s="13" t="n">
        <v>62</v>
      </c>
      <c r="CR1185" s="13" t="n">
        <v>9</v>
      </c>
      <c r="CS1185" s="13" t="n">
        <v>11.7</v>
      </c>
      <c r="CT1185" s="11" t="inlineStr">
        <is>
          <t xml:space="preserve"> On-Piste Carving</t>
        </is>
      </c>
      <c r="CU1185" s="13" t="n"/>
      <c r="CV1185" s="13" t="n"/>
      <c r="CW1185" s="13" t="n"/>
      <c r="CX1185">
        <f>INDEX('Data_Price '!AG$2:AG$1266,MATCH(Data!$DN1185,'Data_Price '!$AT$2:$AT$1266,0))</f>
        <v/>
      </c>
      <c r="CY1185">
        <f>INDEX('Data_Price '!AH$2:AH$1266,MATCH(Data!$DN1185,'Data_Price '!$AT$2:$AT$1266,0))</f>
        <v/>
      </c>
      <c r="CZ1185">
        <f>INDEX('Data_Price '!AI$2:AI$1266,MATCH(Data!$DN1185,'Data_Price '!$AT$2:$AT$1266,0))</f>
        <v/>
      </c>
      <c r="DA1185">
        <f>INDEX('Data_Price '!AJ$2:AJ$1266,MATCH(Data!$DN1185,'Data_Price '!$AT$2:$AT$1266,0))</f>
        <v/>
      </c>
      <c r="DB1185">
        <f>INDEX('Data_Price '!AK$2:AK$1266,MATCH(Data!$DN1185,'Data_Price '!$AT$2:$AT$1266,0))</f>
        <v/>
      </c>
      <c r="DC1185">
        <f>INDEX('Data_Price '!AL$2:AL$1266,MATCH(Data!$DN1185,'Data_Price '!$AT$2:$AT$1266,0))</f>
        <v/>
      </c>
      <c r="DD1185">
        <f>INDEX('Data_Price '!AM$2:AM$1266,MATCH(Data!$DN1185,'Data_Price '!$AT$2:$AT$1266,0))</f>
        <v/>
      </c>
      <c r="DE1185">
        <f>INDEX('Data_Price '!AN$2:AN$1266,MATCH(Data!$DN1185,'Data_Price '!$AT$2:$AT$1266,0))</f>
        <v/>
      </c>
      <c r="DF1185">
        <f>INDEX('Data_Price '!AO$2:AO$1266,MATCH(Data!$DN1185,'Data_Price '!$AT$2:$AT$1266,0))</f>
        <v/>
      </c>
      <c r="DG1185">
        <f>INDEX('Data_Price '!AP$2:AP$1266,MATCH(Data!$DN1185,'Data_Price '!$AT$2:$AT$1266,0))</f>
        <v/>
      </c>
      <c r="DH1185">
        <f>INDEX('Data_Price '!AQ$2:AQ$1266,MATCH(Data!$DN1185,'Data_Price '!$AT$2:$AT$1266,0))</f>
        <v/>
      </c>
      <c r="DI1185">
        <f>INDEX('Data_Price '!AR$2:AR$1266,MATCH(Data!$DN1185,'Data_Price '!$AT$2:$AT$1266,0))</f>
        <v/>
      </c>
      <c r="DJ1185" s="138">
        <f>DA1185</f>
        <v/>
      </c>
      <c r="DK1185" s="138">
        <f>DE1185</f>
        <v/>
      </c>
      <c r="DL1185" s="138">
        <f>DI1185</f>
        <v/>
      </c>
      <c r="DM1185" s="303">
        <f>IF(LEFT(BT1185,1)=" ",RIGHT(BT1185,LEN(BT1185)-1),BT1185)</f>
        <v/>
      </c>
      <c r="DN1185" s="138">
        <f>_xlfn.CONCAT(BS1185,DM1185,BU1185,BV1185)</f>
        <v/>
      </c>
      <c r="DO1185" s="307" t="n"/>
    </row>
    <row r="1186" ht="15.6" customHeight="1" s="184">
      <c r="B1186" s="303">
        <f t="array" ref="B1186">IF(OR(ISERROR(K1186:P1186)),FALSE,TRUE)</f>
        <v/>
      </c>
      <c r="C1186" s="60">
        <f>OR(BR1186=Driver!$G$50,Data!BR594=Driver!$H$50)</f>
        <v/>
      </c>
      <c r="D1186" s="60">
        <f>OR(BV1186=Driver!$G$51,BV1186=Driver!$H$51)</f>
        <v/>
      </c>
      <c r="E1186" s="60">
        <f>AND(BX1186&gt;Driver!$F$54,BX1186&lt;Driver!$G$54)</f>
        <v/>
      </c>
      <c r="F1186" s="60">
        <f>CL1186&gt;Driver!$F$56</f>
        <v/>
      </c>
      <c r="G1186" s="60">
        <f>AND(CB1186&gt;Driver!$F$55,CB1186&lt;Driver!$G$55)</f>
        <v/>
      </c>
      <c r="H1186" s="60">
        <f>AND(B1186:G1186)</f>
        <v/>
      </c>
      <c r="I1186" s="60">
        <f>COUNTIFS($H$9:$H$1273,TRUE,$BT$9:$BT$1273,BT1186)</f>
        <v/>
      </c>
      <c r="J1186" s="60">
        <f t="array" ref="J1186">NOT(OR(($H$9:$H$1273=TRUE)*($I$9:$I$1273&gt;0)*($BT$9:$BT$1273=BT1186)*($K$9:$K$1273&gt;K1186)))</f>
        <v/>
      </c>
      <c r="K1186" s="108">
        <f>IFERROR(1-AVERAGE(X1186:Y1186),"")</f>
        <v/>
      </c>
      <c r="L1186" s="108">
        <f>1-X1186</f>
        <v/>
      </c>
      <c r="M1186" s="108">
        <f>1-Y1186</f>
        <v/>
      </c>
      <c r="N1186" s="108">
        <f>1-Z1186</f>
        <v/>
      </c>
      <c r="O1186" s="108">
        <f>1-AA1186</f>
        <v/>
      </c>
      <c r="P1186" s="108">
        <f>1-AB1186</f>
        <v/>
      </c>
      <c r="Q1186" s="108" t="n"/>
      <c r="R1186" s="108" t="n"/>
      <c r="S1186" s="108">
        <f>1-AE1186</f>
        <v/>
      </c>
      <c r="T1186" s="108">
        <f>1-AF1186</f>
        <v/>
      </c>
      <c r="U1186" s="108">
        <f>1-AG1186</f>
        <v/>
      </c>
      <c r="V1186" s="108">
        <f>1-AH1186</f>
        <v/>
      </c>
      <c r="W1186" s="108">
        <f>1-AI1186</f>
        <v/>
      </c>
      <c r="X1186" s="108">
        <f>ABS(AJ1186-AJ$1)</f>
        <v/>
      </c>
      <c r="Y1186" s="108">
        <f>AVERAGE(Z1186:AB1186)</f>
        <v/>
      </c>
      <c r="Z1186" s="108">
        <f>ABS(AL1186-AL$1)</f>
        <v/>
      </c>
      <c r="AA1186" s="108">
        <f>ABS(AM1186-AM$1)</f>
        <v/>
      </c>
      <c r="AB1186" s="108">
        <f>ABS(AN1186-AN$1)</f>
        <v/>
      </c>
      <c r="AC1186" s="108" t="n"/>
      <c r="AD1186" s="108" t="n"/>
      <c r="AE1186" s="108">
        <f>ABS(AQ$1-AQ1186)</f>
        <v/>
      </c>
      <c r="AF1186" s="108">
        <f>ABS(AR$1-AR1186)</f>
        <v/>
      </c>
      <c r="AG1186" s="108">
        <f>ABS(AS$1-AS1186)</f>
        <v/>
      </c>
      <c r="AH1186" s="108">
        <f>ABS(AT$1-AT1186)</f>
        <v/>
      </c>
      <c r="AI1186" s="108">
        <f>ABS(AU$1-AU1186)</f>
        <v/>
      </c>
      <c r="AJ1186" s="108">
        <f>(AV1186-Driver!$K$179)/(Driver!$L$179-Driver!$K$179)</f>
        <v/>
      </c>
      <c r="AK1186" s="108">
        <f>(AW1186-Driver!$K$180)/(Driver!$L$180-Driver!$K$180)</f>
        <v/>
      </c>
      <c r="AL1186" s="108">
        <f>(AX1186-Driver!$K$181)/(Driver!$L$181-Driver!$K$181)</f>
        <v/>
      </c>
      <c r="AM1186" s="108">
        <f>(AY1186-Driver!$K$182)/(Driver!$L$182-Driver!$K$182)</f>
        <v/>
      </c>
      <c r="AN1186" s="108">
        <f>(AZ1186-Driver!$K$183)/(Driver!$L$183-Driver!$K$183)</f>
        <v/>
      </c>
      <c r="AO1186" s="108" t="n"/>
      <c r="AP1186" s="108" t="n"/>
      <c r="AQ1186" s="108">
        <f>(BC1186-Driver!$K$188)/(Driver!$L$188-Driver!$K$188)</f>
        <v/>
      </c>
      <c r="AR1186" s="108">
        <f>MIN((BD1186-Driver!$K$189)/(Driver!$L$189-Driver!$K$189),100%)</f>
        <v/>
      </c>
      <c r="AS1186" s="108">
        <f>(BE1186-Driver!$K$190)/(Driver!$L$190-Driver!$K$190)</f>
        <v/>
      </c>
      <c r="AT1186" s="108">
        <f>(BF1186-Driver!$K$191)/(Driver!$L$191-Driver!$K$191)</f>
        <v/>
      </c>
      <c r="AU1186" s="108">
        <f>(BG1186-Driver!$K$192)/(Driver!$L$192-Driver!$K$192)</f>
        <v/>
      </c>
      <c r="AV1186" s="105">
        <f>IFERROR(BM1186*BJ1186^1/4,"")</f>
        <v/>
      </c>
      <c r="AW1186" s="105">
        <f>IFERROR(SUM(AX1186:AZ1186),"")</f>
        <v/>
      </c>
      <c r="AX1186" s="105">
        <f>IFERROR(BH1186,"")</f>
        <v/>
      </c>
      <c r="AY1186" s="105">
        <f>IFERROR(Driver!$K$19/Data!BH1186/Data!BI1186*Data!BK1186*Data!BL1186,"")</f>
        <v/>
      </c>
      <c r="AZ1186" s="105">
        <f>IFERROR(BI1186*BN1186,"")</f>
        <v/>
      </c>
      <c r="BA1186" s="105" t="n"/>
      <c r="BB1186" s="105" t="n"/>
      <c r="BC1186" s="105">
        <f>IFERROR(BI1186*BN1186*BK1186/BJ1186^(1/2),"")</f>
        <v/>
      </c>
      <c r="BD1186" s="105">
        <f>IFERROR(BH1186*BM1186*BL1186/BJ1186/BK1186,"")</f>
        <v/>
      </c>
      <c r="BE1186" s="105">
        <f>IFERROR(MIN(BI1186/BQ1186/BP1186/BO1186/BH1186,$BE$1),"")</f>
        <v/>
      </c>
      <c r="BF1186" s="105">
        <f>IFERROR(BJ1186*BO1186*BP1186/BK1186,"")</f>
        <v/>
      </c>
      <c r="BG1186" s="105">
        <f>IFERROR(1/BM1186/BH1186*BQ1186,"")</f>
        <v/>
      </c>
      <c r="BH1186" s="102">
        <f>MAX((CE1186-Driver!$F$200)/(Driver!$G$200-Driver!$F$200)*$BI$1,1)</f>
        <v/>
      </c>
      <c r="BI1186" s="102">
        <f>MAX($BI$1*(BY1186-Driver!$F$201)/(Driver!$G$201-Driver!$F$201),1)</f>
        <v/>
      </c>
      <c r="BJ1186" s="102">
        <f>(CB1186-Driver!$F$206)/(Driver!$G$206-Driver!$F$206)*$BI$1</f>
        <v/>
      </c>
      <c r="BK1186" s="102">
        <f>(CD1186-Driver!$F$203)/(Driver!$G$203-Driver!$F$203)*$BI$1</f>
        <v/>
      </c>
      <c r="BL1186" s="102">
        <f>MAX((CR1186-Driver!$F$202)/(Driver!$G$202-Driver!$F$202)*$BI$1,1)</f>
        <v/>
      </c>
      <c r="BM1186" s="102">
        <f>MAX((CH1186-Driver!$F$204)/(Driver!$G$204-Driver!$F$204)*$BI$1,1)</f>
        <v/>
      </c>
      <c r="BN1186" s="102">
        <f>(CI1186-Driver!$F$205)/(Driver!$G$205-Driver!$F$205)*$BI$1</f>
        <v/>
      </c>
      <c r="BO1186" s="102">
        <f>(CK1186-Driver!$F$207)/(Driver!$G$207-Driver!$F$207)*$BI$1</f>
        <v/>
      </c>
      <c r="BP1186" s="102">
        <f>(CM1186-Driver!$F$208)/(Driver!$G$208-Driver!$F$208)*$BI$1</f>
        <v/>
      </c>
      <c r="BQ1186" s="102">
        <f>(CL1186-Driver!$F$209)/(Driver!$G$209-Driver!$F$209)*$BI$1</f>
        <v/>
      </c>
      <c r="BR1186" s="40" t="inlineStr">
        <is>
          <t>21/22</t>
        </is>
      </c>
      <c r="BS1186" s="10" t="inlineStr">
        <is>
          <t xml:space="preserve"> Fischer</t>
        </is>
      </c>
      <c r="BT1186" s="11" t="inlineStr">
        <is>
          <t>RC One 82 GT</t>
        </is>
      </c>
      <c r="BU1186" s="13" t="n">
        <v>173</v>
      </c>
      <c r="BV1186" s="11" t="inlineStr">
        <is>
          <t xml:space="preserve"> Unisex</t>
        </is>
      </c>
      <c r="BW1186" s="13" t="n">
        <v>173</v>
      </c>
      <c r="BX1186" s="13" t="n">
        <v>172.3</v>
      </c>
      <c r="BY1186" s="13" t="n">
        <v>133</v>
      </c>
      <c r="BZ1186" s="13" t="n">
        <v>154</v>
      </c>
      <c r="CA1186" s="13" t="n">
        <v>125</v>
      </c>
      <c r="CB1186" s="13" t="n">
        <v>81</v>
      </c>
      <c r="CC1186" s="13" t="n">
        <v>112</v>
      </c>
      <c r="CD1186" s="13" t="n">
        <v>14.6</v>
      </c>
      <c r="CE1186" s="13" t="n">
        <v>2002</v>
      </c>
      <c r="CF1186" s="13" t="n">
        <v>0.82</v>
      </c>
      <c r="CG1186" s="13" t="n">
        <v>1650</v>
      </c>
      <c r="CH1186" s="13" t="n">
        <v>255</v>
      </c>
      <c r="CI1186" s="13" t="n">
        <v>155</v>
      </c>
      <c r="CJ1186" s="13" t="n">
        <v>50</v>
      </c>
      <c r="CK1186" s="13" t="n">
        <v>263</v>
      </c>
      <c r="CL1186" s="13" t="n">
        <v>9</v>
      </c>
      <c r="CM1186" s="13" t="n">
        <v>130</v>
      </c>
      <c r="CN1186" s="13" t="n">
        <v>0.178</v>
      </c>
      <c r="CO1186" s="13" t="n">
        <v>84</v>
      </c>
      <c r="CP1186" s="13" t="n">
        <v>104</v>
      </c>
      <c r="CQ1186" s="13" t="n">
        <v>179</v>
      </c>
      <c r="CR1186" s="13" t="n">
        <v>5</v>
      </c>
      <c r="CS1186" s="13" t="n">
        <v>9.9</v>
      </c>
      <c r="CT1186" s="11" t="inlineStr">
        <is>
          <t xml:space="preserve"> On-Piste All-Mountain</t>
        </is>
      </c>
      <c r="CU1186" s="11" t="inlineStr">
        <is>
          <t xml:space="preserve"> Resort Freeride</t>
        </is>
      </c>
      <c r="CV1186" s="13" t="n"/>
      <c r="CW1186" s="13" t="n"/>
      <c r="CX1186">
        <f>INDEX('Data_Price '!AG$2:AG$1266,MATCH(Data!$DN1186,'Data_Price '!$AT$2:$AT$1266,0))</f>
        <v/>
      </c>
      <c r="CY1186">
        <f>INDEX('Data_Price '!AH$2:AH$1266,MATCH(Data!$DN1186,'Data_Price '!$AT$2:$AT$1266,0))</f>
        <v/>
      </c>
      <c r="CZ1186">
        <f>INDEX('Data_Price '!AI$2:AI$1266,MATCH(Data!$DN1186,'Data_Price '!$AT$2:$AT$1266,0))</f>
        <v/>
      </c>
      <c r="DA1186">
        <f>INDEX('Data_Price '!AJ$2:AJ$1266,MATCH(Data!$DN1186,'Data_Price '!$AT$2:$AT$1266,0))</f>
        <v/>
      </c>
      <c r="DB1186">
        <f>INDEX('Data_Price '!AK$2:AK$1266,MATCH(Data!$DN1186,'Data_Price '!$AT$2:$AT$1266,0))</f>
        <v/>
      </c>
      <c r="DC1186">
        <f>INDEX('Data_Price '!AL$2:AL$1266,MATCH(Data!$DN1186,'Data_Price '!$AT$2:$AT$1266,0))</f>
        <v/>
      </c>
      <c r="DD1186">
        <f>INDEX('Data_Price '!AM$2:AM$1266,MATCH(Data!$DN1186,'Data_Price '!$AT$2:$AT$1266,0))</f>
        <v/>
      </c>
      <c r="DE1186">
        <f>INDEX('Data_Price '!AN$2:AN$1266,MATCH(Data!$DN1186,'Data_Price '!$AT$2:$AT$1266,0))</f>
        <v/>
      </c>
      <c r="DF1186">
        <f>INDEX('Data_Price '!AO$2:AO$1266,MATCH(Data!$DN1186,'Data_Price '!$AT$2:$AT$1266,0))</f>
        <v/>
      </c>
      <c r="DG1186">
        <f>INDEX('Data_Price '!AP$2:AP$1266,MATCH(Data!$DN1186,'Data_Price '!$AT$2:$AT$1266,0))</f>
        <v/>
      </c>
      <c r="DH1186">
        <f>INDEX('Data_Price '!AQ$2:AQ$1266,MATCH(Data!$DN1186,'Data_Price '!$AT$2:$AT$1266,0))</f>
        <v/>
      </c>
      <c r="DI1186">
        <f>INDEX('Data_Price '!AR$2:AR$1266,MATCH(Data!$DN1186,'Data_Price '!$AT$2:$AT$1266,0))</f>
        <v/>
      </c>
      <c r="DJ1186" s="138">
        <f>DA1186</f>
        <v/>
      </c>
      <c r="DK1186" s="138">
        <f>DE1186</f>
        <v/>
      </c>
      <c r="DL1186" s="138">
        <f>DI1186</f>
        <v/>
      </c>
      <c r="DM1186" s="303">
        <f>IF(LEFT(BT1186,1)=" ",RIGHT(BT1186,LEN(BT1186)-1),BT1186)</f>
        <v/>
      </c>
      <c r="DN1186" s="138">
        <f>_xlfn.CONCAT(BS1186,DM1186,BU1186,BV1186)</f>
        <v/>
      </c>
      <c r="DO1186" s="307" t="n"/>
    </row>
    <row r="1187" ht="15.6" customHeight="1" s="184">
      <c r="B1187" s="303">
        <f t="array" ref="B1187">IF(OR(ISERROR(K1187:P1187)),FALSE,TRUE)</f>
        <v/>
      </c>
      <c r="C1187" s="60">
        <f>OR(BR1187=Driver!$G$50,Data!BR373=Driver!$H$50)</f>
        <v/>
      </c>
      <c r="D1187" s="60">
        <f>OR(BV1187=Driver!$G$51,BV1187=Driver!$H$51)</f>
        <v/>
      </c>
      <c r="E1187" s="60">
        <f>AND(BX1187&gt;Driver!$F$54,BX1187&lt;Driver!$G$54)</f>
        <v/>
      </c>
      <c r="F1187" s="60">
        <f>CL1187&gt;Driver!$F$56</f>
        <v/>
      </c>
      <c r="G1187" s="60">
        <f>AND(CB1187&gt;Driver!$F$55,CB1187&lt;Driver!$G$55)</f>
        <v/>
      </c>
      <c r="H1187" s="60">
        <f>AND(B1187:G1187)</f>
        <v/>
      </c>
      <c r="I1187" s="60">
        <f>COUNTIFS($H$9:$H$1273,TRUE,$BT$9:$BT$1273,BT1187)</f>
        <v/>
      </c>
      <c r="J1187" s="60">
        <f t="array" ref="J1187">NOT(OR(($H$9:$H$1273=TRUE)*($I$9:$I$1273&gt;0)*($BT$9:$BT$1273=BT1187)*($K$9:$K$1273&gt;K1187)))</f>
        <v/>
      </c>
      <c r="K1187" s="108">
        <f>IFERROR(1-AVERAGE(X1187:Y1187),"")</f>
        <v/>
      </c>
      <c r="L1187" s="108">
        <f>1-X1187</f>
        <v/>
      </c>
      <c r="M1187" s="108">
        <f>1-Y1187</f>
        <v/>
      </c>
      <c r="N1187" s="108">
        <f>1-Z1187</f>
        <v/>
      </c>
      <c r="O1187" s="108">
        <f>1-AA1187</f>
        <v/>
      </c>
      <c r="P1187" s="108">
        <f>1-AB1187</f>
        <v/>
      </c>
      <c r="Q1187" s="108" t="n"/>
      <c r="R1187" s="108" t="n"/>
      <c r="S1187" s="108">
        <f>1-AE1187</f>
        <v/>
      </c>
      <c r="T1187" s="108">
        <f>1-AF1187</f>
        <v/>
      </c>
      <c r="U1187" s="108">
        <f>1-AG1187</f>
        <v/>
      </c>
      <c r="V1187" s="108">
        <f>1-AH1187</f>
        <v/>
      </c>
      <c r="W1187" s="108">
        <f>1-AI1187</f>
        <v/>
      </c>
      <c r="X1187" s="108">
        <f>ABS(AJ1187-AJ$1)</f>
        <v/>
      </c>
      <c r="Y1187" s="108">
        <f>AVERAGE(Z1187:AB1187)</f>
        <v/>
      </c>
      <c r="Z1187" s="108">
        <f>ABS(AL1187-AL$1)</f>
        <v/>
      </c>
      <c r="AA1187" s="108">
        <f>ABS(AM1187-AM$1)</f>
        <v/>
      </c>
      <c r="AB1187" s="108">
        <f>ABS(AN1187-AN$1)</f>
        <v/>
      </c>
      <c r="AC1187" s="108" t="n"/>
      <c r="AD1187" s="108" t="n"/>
      <c r="AE1187" s="108">
        <f>ABS(AQ$1-AQ1187)</f>
        <v/>
      </c>
      <c r="AF1187" s="108">
        <f>ABS(AR$1-AR1187)</f>
        <v/>
      </c>
      <c r="AG1187" s="108">
        <f>ABS(AS$1-AS1187)</f>
        <v/>
      </c>
      <c r="AH1187" s="108">
        <f>ABS(AT$1-AT1187)</f>
        <v/>
      </c>
      <c r="AI1187" s="108">
        <f>ABS(AU$1-AU1187)</f>
        <v/>
      </c>
      <c r="AJ1187" s="108">
        <f>(AV1187-Driver!$K$179)/(Driver!$L$179-Driver!$K$179)</f>
        <v/>
      </c>
      <c r="AK1187" s="108">
        <f>(AW1187-Driver!$K$180)/(Driver!$L$180-Driver!$K$180)</f>
        <v/>
      </c>
      <c r="AL1187" s="108">
        <f>(AX1187-Driver!$K$181)/(Driver!$L$181-Driver!$K$181)</f>
        <v/>
      </c>
      <c r="AM1187" s="108">
        <f>(AY1187-Driver!$K$182)/(Driver!$L$182-Driver!$K$182)</f>
        <v/>
      </c>
      <c r="AN1187" s="108">
        <f>(AZ1187-Driver!$K$183)/(Driver!$L$183-Driver!$K$183)</f>
        <v/>
      </c>
      <c r="AO1187" s="108" t="n"/>
      <c r="AP1187" s="108" t="n"/>
      <c r="AQ1187" s="108">
        <f>(BC1187-Driver!$K$188)/(Driver!$L$188-Driver!$K$188)</f>
        <v/>
      </c>
      <c r="AR1187" s="108">
        <f>MIN((BD1187-Driver!$K$189)/(Driver!$L$189-Driver!$K$189),100%)</f>
        <v/>
      </c>
      <c r="AS1187" s="108">
        <f>(BE1187-Driver!$K$190)/(Driver!$L$190-Driver!$K$190)</f>
        <v/>
      </c>
      <c r="AT1187" s="108">
        <f>(BF1187-Driver!$K$191)/(Driver!$L$191-Driver!$K$191)</f>
        <v/>
      </c>
      <c r="AU1187" s="108">
        <f>(BG1187-Driver!$K$192)/(Driver!$L$192-Driver!$K$192)</f>
        <v/>
      </c>
      <c r="AV1187" s="105">
        <f>IFERROR(BM1187*BJ1187^1/4,"")</f>
        <v/>
      </c>
      <c r="AW1187" s="105">
        <f>IFERROR(SUM(AX1187:AZ1187),"")</f>
        <v/>
      </c>
      <c r="AX1187" s="105">
        <f>IFERROR(BH1187,"")</f>
        <v/>
      </c>
      <c r="AY1187" s="105">
        <f>IFERROR(Driver!$K$19/Data!BH1187/Data!BI1187*Data!BK1187*Data!BL1187,"")</f>
        <v/>
      </c>
      <c r="AZ1187" s="105">
        <f>IFERROR(BI1187*BN1187,"")</f>
        <v/>
      </c>
      <c r="BA1187" s="105" t="n"/>
      <c r="BB1187" s="105" t="n"/>
      <c r="BC1187" s="105">
        <f>IFERROR(BI1187*BN1187*BK1187/BJ1187^(1/2),"")</f>
        <v/>
      </c>
      <c r="BD1187" s="105">
        <f>IFERROR(BH1187*BM1187*BL1187/BJ1187/BK1187,"")</f>
        <v/>
      </c>
      <c r="BE1187" s="105">
        <f>IFERROR(MIN(BI1187/BQ1187/BP1187/BO1187/BH1187,$BE$1),"")</f>
        <v/>
      </c>
      <c r="BF1187" s="105">
        <f>IFERROR(BJ1187*BO1187*BP1187/BK1187,"")</f>
        <v/>
      </c>
      <c r="BG1187" s="105">
        <f>IFERROR(1/BM1187/BH1187*BQ1187,"")</f>
        <v/>
      </c>
      <c r="BH1187" s="102">
        <f>MAX((CE1187-Driver!$F$200)/(Driver!$G$200-Driver!$F$200)*$BI$1,1)</f>
        <v/>
      </c>
      <c r="BI1187" s="102">
        <f>MAX($BI$1*(BY1187-Driver!$F$201)/(Driver!$G$201-Driver!$F$201),1)</f>
        <v/>
      </c>
      <c r="BJ1187" s="102">
        <f>(CB1187-Driver!$F$206)/(Driver!$G$206-Driver!$F$206)*$BI$1</f>
        <v/>
      </c>
      <c r="BK1187" s="102">
        <f>(CD1187-Driver!$F$203)/(Driver!$G$203-Driver!$F$203)*$BI$1</f>
        <v/>
      </c>
      <c r="BL1187" s="102">
        <f>MAX((CR1187-Driver!$F$202)/(Driver!$G$202-Driver!$F$202)*$BI$1,1)</f>
        <v/>
      </c>
      <c r="BM1187" s="102">
        <f>MAX((CH1187-Driver!$F$204)/(Driver!$G$204-Driver!$F$204)*$BI$1,1)</f>
        <v/>
      </c>
      <c r="BN1187" s="102">
        <f>(CI1187-Driver!$F$205)/(Driver!$G$205-Driver!$F$205)*$BI$1</f>
        <v/>
      </c>
      <c r="BO1187" s="102">
        <f>(CK1187-Driver!$F$207)/(Driver!$G$207-Driver!$F$207)*$BI$1</f>
        <v/>
      </c>
      <c r="BP1187" s="102">
        <f>(CM1187-Driver!$F$208)/(Driver!$G$208-Driver!$F$208)*$BI$1</f>
        <v/>
      </c>
      <c r="BQ1187" s="102">
        <f>(CL1187-Driver!$F$209)/(Driver!$G$209-Driver!$F$209)*$BI$1</f>
        <v/>
      </c>
      <c r="BR1187" s="40" t="inlineStr">
        <is>
          <t>21/22</t>
        </is>
      </c>
      <c r="BS1187" s="10" t="inlineStr">
        <is>
          <t xml:space="preserve"> Dynafit</t>
        </is>
      </c>
      <c r="BT1187" s="11" t="inlineStr">
        <is>
          <t>Blacklight 88 W</t>
        </is>
      </c>
      <c r="BU1187" s="13" t="n">
        <v>151</v>
      </c>
      <c r="BV1187" s="11" t="inlineStr">
        <is>
          <t xml:space="preserve"> Women's</t>
        </is>
      </c>
      <c r="BW1187" s="13" t="n">
        <v>151</v>
      </c>
      <c r="BX1187" s="13" t="n">
        <v>149.2</v>
      </c>
      <c r="BY1187" s="13" t="n">
        <v>114</v>
      </c>
      <c r="BZ1187" s="13" t="n">
        <v>126</v>
      </c>
      <c r="CA1187" s="13" t="n">
        <v>119</v>
      </c>
      <c r="CB1187" s="13" t="n">
        <v>84</v>
      </c>
      <c r="CC1187" s="13" t="n">
        <v>107</v>
      </c>
      <c r="CD1187" s="13" t="n">
        <v>13.3</v>
      </c>
      <c r="CE1187" s="13" t="n">
        <v>962</v>
      </c>
      <c r="CF1187" s="13" t="n">
        <v>1.47</v>
      </c>
      <c r="CG1187" s="13" t="n">
        <v>1410</v>
      </c>
      <c r="CH1187" s="13" t="n">
        <v>153</v>
      </c>
      <c r="CI1187" s="13" t="n">
        <v>55</v>
      </c>
      <c r="CJ1187" s="13" t="n">
        <v>50</v>
      </c>
      <c r="CK1187" s="13" t="n">
        <v>213</v>
      </c>
      <c r="CL1187" s="13" t="n">
        <v>11</v>
      </c>
      <c r="CM1187" s="13" t="n">
        <v>144</v>
      </c>
      <c r="CN1187" s="13" t="n">
        <v>0.216</v>
      </c>
      <c r="CO1187" s="13" t="n">
        <v>140</v>
      </c>
      <c r="CP1187" s="13" t="n">
        <v>89</v>
      </c>
      <c r="CQ1187" s="13" t="n">
        <v>73</v>
      </c>
      <c r="CR1187" s="13" t="n">
        <v>4</v>
      </c>
      <c r="CS1187" s="13" t="n">
        <v>12.4</v>
      </c>
      <c r="CT1187" s="11" t="inlineStr">
        <is>
          <t xml:space="preserve"> Touring</t>
        </is>
      </c>
      <c r="CU1187" s="11" t="inlineStr">
        <is>
          <t xml:space="preserve"> Ultralight Touring</t>
        </is>
      </c>
      <c r="CV1187" s="13" t="n"/>
      <c r="CW1187" s="13" t="n"/>
      <c r="CX1187">
        <f>INDEX('Data_Price '!AG$2:AG$1266,MATCH(Data!$DN1187,'Data_Price '!$AT$2:$AT$1266,0))</f>
        <v/>
      </c>
      <c r="CY1187">
        <f>INDEX('Data_Price '!AH$2:AH$1266,MATCH(Data!$DN1187,'Data_Price '!$AT$2:$AT$1266,0))</f>
        <v/>
      </c>
      <c r="CZ1187">
        <f>INDEX('Data_Price '!AI$2:AI$1266,MATCH(Data!$DN1187,'Data_Price '!$AT$2:$AT$1266,0))</f>
        <v/>
      </c>
      <c r="DA1187">
        <f>INDEX('Data_Price '!AJ$2:AJ$1266,MATCH(Data!$DN1187,'Data_Price '!$AT$2:$AT$1266,0))</f>
        <v/>
      </c>
      <c r="DB1187">
        <f>INDEX('Data_Price '!AK$2:AK$1266,MATCH(Data!$DN1187,'Data_Price '!$AT$2:$AT$1266,0))</f>
        <v/>
      </c>
      <c r="DC1187">
        <f>INDEX('Data_Price '!AL$2:AL$1266,MATCH(Data!$DN1187,'Data_Price '!$AT$2:$AT$1266,0))</f>
        <v/>
      </c>
      <c r="DD1187">
        <f>INDEX('Data_Price '!AM$2:AM$1266,MATCH(Data!$DN1187,'Data_Price '!$AT$2:$AT$1266,0))</f>
        <v/>
      </c>
      <c r="DE1187">
        <f>INDEX('Data_Price '!AN$2:AN$1266,MATCH(Data!$DN1187,'Data_Price '!$AT$2:$AT$1266,0))</f>
        <v/>
      </c>
      <c r="DF1187">
        <f>INDEX('Data_Price '!AO$2:AO$1266,MATCH(Data!$DN1187,'Data_Price '!$AT$2:$AT$1266,0))</f>
        <v/>
      </c>
      <c r="DG1187">
        <f>INDEX('Data_Price '!AP$2:AP$1266,MATCH(Data!$DN1187,'Data_Price '!$AT$2:$AT$1266,0))</f>
        <v/>
      </c>
      <c r="DH1187">
        <f>INDEX('Data_Price '!AQ$2:AQ$1266,MATCH(Data!$DN1187,'Data_Price '!$AT$2:$AT$1266,0))</f>
        <v/>
      </c>
      <c r="DI1187">
        <f>INDEX('Data_Price '!AR$2:AR$1266,MATCH(Data!$DN1187,'Data_Price '!$AT$2:$AT$1266,0))</f>
        <v/>
      </c>
      <c r="DJ1187" s="138">
        <f>DA1187</f>
        <v/>
      </c>
      <c r="DK1187" s="138">
        <f>DE1187</f>
        <v/>
      </c>
      <c r="DL1187" s="138">
        <f>DI1187</f>
        <v/>
      </c>
      <c r="DM1187" s="303">
        <f>IF(LEFT(BT1187,1)=" ",RIGHT(BT1187,LEN(BT1187)-1),BT1187)</f>
        <v/>
      </c>
      <c r="DN1187" s="138">
        <f>_xlfn.CONCAT(BS1187,DM1187,BU1187,BV1187)</f>
        <v/>
      </c>
      <c r="DO1187" s="307" t="n"/>
    </row>
    <row r="1188" ht="15.6" customHeight="1" s="184">
      <c r="B1188" s="303">
        <f t="array" ref="B1188">IF(OR(ISERROR(K1188:P1188)),FALSE,TRUE)</f>
        <v/>
      </c>
      <c r="C1188" s="60">
        <f>OR(BR1188=Driver!$G$50,Data!BR790=Driver!$H$50)</f>
        <v/>
      </c>
      <c r="D1188" s="60">
        <f>OR(BV1188=Driver!$G$51,BV1188=Driver!$H$51)</f>
        <v/>
      </c>
      <c r="E1188" s="60">
        <f>AND(BX1188&gt;Driver!$F$54,BX1188&lt;Driver!$G$54)</f>
        <v/>
      </c>
      <c r="F1188" s="60">
        <f>CL1188&gt;Driver!$F$56</f>
        <v/>
      </c>
      <c r="G1188" s="60">
        <f>AND(CB1188&gt;Driver!$F$55,CB1188&lt;Driver!$G$55)</f>
        <v/>
      </c>
      <c r="H1188" s="60">
        <f>AND(B1188:G1188)</f>
        <v/>
      </c>
      <c r="I1188" s="60">
        <f>COUNTIFS($H$9:$H$1273,TRUE,$BT$9:$BT$1273,BT1188)</f>
        <v/>
      </c>
      <c r="J1188" s="60">
        <f t="array" ref="J1188">NOT(OR(($H$9:$H$1273=TRUE)*($I$9:$I$1273&gt;0)*($BT$9:$BT$1273=BT1188)*($K$9:$K$1273&gt;K1188)))</f>
        <v/>
      </c>
      <c r="K1188" s="108">
        <f>IFERROR(1-AVERAGE(X1188:Y1188),"")</f>
        <v/>
      </c>
      <c r="L1188" s="108">
        <f>1-X1188</f>
        <v/>
      </c>
      <c r="M1188" s="108">
        <f>1-Y1188</f>
        <v/>
      </c>
      <c r="N1188" s="108">
        <f>1-Z1188</f>
        <v/>
      </c>
      <c r="O1188" s="108">
        <f>1-AA1188</f>
        <v/>
      </c>
      <c r="P1188" s="108">
        <f>1-AB1188</f>
        <v/>
      </c>
      <c r="Q1188" s="108" t="n"/>
      <c r="R1188" s="108" t="n"/>
      <c r="S1188" s="108">
        <f>1-AE1188</f>
        <v/>
      </c>
      <c r="T1188" s="108">
        <f>1-AF1188</f>
        <v/>
      </c>
      <c r="U1188" s="108">
        <f>1-AG1188</f>
        <v/>
      </c>
      <c r="V1188" s="108">
        <f>1-AH1188</f>
        <v/>
      </c>
      <c r="W1188" s="108">
        <f>1-AI1188</f>
        <v/>
      </c>
      <c r="X1188" s="108">
        <f>ABS(AJ1188-AJ$1)</f>
        <v/>
      </c>
      <c r="Y1188" s="108">
        <f>AVERAGE(Z1188:AB1188)</f>
        <v/>
      </c>
      <c r="Z1188" s="108">
        <f>ABS(AL1188-AL$1)</f>
        <v/>
      </c>
      <c r="AA1188" s="108">
        <f>ABS(AM1188-AM$1)</f>
        <v/>
      </c>
      <c r="AB1188" s="108">
        <f>ABS(AN1188-AN$1)</f>
        <v/>
      </c>
      <c r="AC1188" s="108" t="n"/>
      <c r="AD1188" s="108" t="n"/>
      <c r="AE1188" s="108">
        <f>ABS(AQ$1-AQ1188)</f>
        <v/>
      </c>
      <c r="AF1188" s="108">
        <f>ABS(AR$1-AR1188)</f>
        <v/>
      </c>
      <c r="AG1188" s="108">
        <f>ABS(AS$1-AS1188)</f>
        <v/>
      </c>
      <c r="AH1188" s="108">
        <f>ABS(AT$1-AT1188)</f>
        <v/>
      </c>
      <c r="AI1188" s="108">
        <f>ABS(AU$1-AU1188)</f>
        <v/>
      </c>
      <c r="AJ1188" s="108">
        <f>(AV1188-Driver!$K$179)/(Driver!$L$179-Driver!$K$179)</f>
        <v/>
      </c>
      <c r="AK1188" s="108">
        <f>(AW1188-Driver!$K$180)/(Driver!$L$180-Driver!$K$180)</f>
        <v/>
      </c>
      <c r="AL1188" s="108">
        <f>(AX1188-Driver!$K$181)/(Driver!$L$181-Driver!$K$181)</f>
        <v/>
      </c>
      <c r="AM1188" s="108">
        <f>(AY1188-Driver!$K$182)/(Driver!$L$182-Driver!$K$182)</f>
        <v/>
      </c>
      <c r="AN1188" s="108">
        <f>(AZ1188-Driver!$K$183)/(Driver!$L$183-Driver!$K$183)</f>
        <v/>
      </c>
      <c r="AO1188" s="108" t="n"/>
      <c r="AP1188" s="108" t="n"/>
      <c r="AQ1188" s="108">
        <f>(BC1188-Driver!$K$188)/(Driver!$L$188-Driver!$K$188)</f>
        <v/>
      </c>
      <c r="AR1188" s="108">
        <f>MIN((BD1188-Driver!$K$189)/(Driver!$L$189-Driver!$K$189),100%)</f>
        <v/>
      </c>
      <c r="AS1188" s="108">
        <f>(BE1188-Driver!$K$190)/(Driver!$L$190-Driver!$K$190)</f>
        <v/>
      </c>
      <c r="AT1188" s="108">
        <f>(BF1188-Driver!$K$191)/(Driver!$L$191-Driver!$K$191)</f>
        <v/>
      </c>
      <c r="AU1188" s="108">
        <f>(BG1188-Driver!$K$192)/(Driver!$L$192-Driver!$K$192)</f>
        <v/>
      </c>
      <c r="AV1188" s="105">
        <f>IFERROR(BM1188*BJ1188^1/4,"")</f>
        <v/>
      </c>
      <c r="AW1188" s="105">
        <f>IFERROR(SUM(AX1188:AZ1188),"")</f>
        <v/>
      </c>
      <c r="AX1188" s="105">
        <f>IFERROR(BH1188,"")</f>
        <v/>
      </c>
      <c r="AY1188" s="105">
        <f>IFERROR(Driver!$K$19/Data!BH1188/Data!BI1188*Data!BK1188*Data!BL1188,"")</f>
        <v/>
      </c>
      <c r="AZ1188" s="105">
        <f>IFERROR(BI1188*BN1188,"")</f>
        <v/>
      </c>
      <c r="BA1188" s="105" t="n"/>
      <c r="BB1188" s="105" t="n"/>
      <c r="BC1188" s="105">
        <f>IFERROR(BI1188*BN1188*BK1188/BJ1188^(1/2),"")</f>
        <v/>
      </c>
      <c r="BD1188" s="105">
        <f>IFERROR(BH1188*BM1188*BL1188/BJ1188/BK1188,"")</f>
        <v/>
      </c>
      <c r="BE1188" s="105">
        <f>IFERROR(MIN(BI1188/BQ1188/BP1188/BO1188/BH1188,$BE$1),"")</f>
        <v/>
      </c>
      <c r="BF1188" s="105">
        <f>IFERROR(BJ1188*BO1188*BP1188/BK1188,"")</f>
        <v/>
      </c>
      <c r="BG1188" s="105">
        <f>IFERROR(1/BM1188/BH1188*BQ1188,"")</f>
        <v/>
      </c>
      <c r="BH1188" s="102">
        <f>MAX((CE1188-Driver!$F$200)/(Driver!$G$200-Driver!$F$200)*$BI$1,1)</f>
        <v/>
      </c>
      <c r="BI1188" s="102">
        <f>MAX($BI$1*(BY1188-Driver!$F$201)/(Driver!$G$201-Driver!$F$201),1)</f>
        <v/>
      </c>
      <c r="BJ1188" s="102">
        <f>(CB1188-Driver!$F$206)/(Driver!$G$206-Driver!$F$206)*$BI$1</f>
        <v/>
      </c>
      <c r="BK1188" s="102">
        <f>(CD1188-Driver!$F$203)/(Driver!$G$203-Driver!$F$203)*$BI$1</f>
        <v/>
      </c>
      <c r="BL1188" s="102">
        <f>MAX((CR1188-Driver!$F$202)/(Driver!$G$202-Driver!$F$202)*$BI$1,1)</f>
        <v/>
      </c>
      <c r="BM1188" s="102">
        <f>MAX((CH1188-Driver!$F$204)/(Driver!$G$204-Driver!$F$204)*$BI$1,1)</f>
        <v/>
      </c>
      <c r="BN1188" s="102">
        <f>(CI1188-Driver!$F$205)/(Driver!$G$205-Driver!$F$205)*$BI$1</f>
        <v/>
      </c>
      <c r="BO1188" s="102">
        <f>(CK1188-Driver!$F$207)/(Driver!$G$207-Driver!$F$207)*$BI$1</f>
        <v/>
      </c>
      <c r="BP1188" s="102">
        <f>(CM1188-Driver!$F$208)/(Driver!$G$208-Driver!$F$208)*$BI$1</f>
        <v/>
      </c>
      <c r="BQ1188" s="102">
        <f>(CL1188-Driver!$F$209)/(Driver!$G$209-Driver!$F$209)*$BI$1</f>
        <v/>
      </c>
      <c r="BR1188" s="40" t="inlineStr">
        <is>
          <t>21/22</t>
        </is>
      </c>
      <c r="BS1188" s="10" t="inlineStr">
        <is>
          <t xml:space="preserve"> K2</t>
        </is>
      </c>
      <c r="BT1188" s="11" t="inlineStr">
        <is>
          <t>Wayback 88</t>
        </is>
      </c>
      <c r="BU1188" s="13" t="n">
        <v>160</v>
      </c>
      <c r="BV1188" s="11" t="inlineStr">
        <is>
          <t xml:space="preserve"> Unisex</t>
        </is>
      </c>
      <c r="BW1188" s="13" t="n">
        <v>160</v>
      </c>
      <c r="BX1188" s="13" t="n">
        <v>159.4</v>
      </c>
      <c r="BY1188" s="13" t="n">
        <v>115</v>
      </c>
      <c r="BZ1188" s="13" t="n">
        <v>134</v>
      </c>
      <c r="CA1188" s="13" t="n">
        <v>120</v>
      </c>
      <c r="CB1188" s="13" t="n">
        <v>87</v>
      </c>
      <c r="CC1188" s="13" t="n">
        <v>108</v>
      </c>
      <c r="CD1188" s="13" t="n">
        <v>16.5</v>
      </c>
      <c r="CE1188" s="13" t="n">
        <v>1100</v>
      </c>
      <c r="CF1188" s="13" t="n">
        <v>1.41</v>
      </c>
      <c r="CG1188" s="13" t="n">
        <v>1554</v>
      </c>
      <c r="CH1188" s="13" t="n">
        <v>149</v>
      </c>
      <c r="CI1188" s="13" t="n">
        <v>62</v>
      </c>
      <c r="CJ1188" s="13" t="n">
        <v>46</v>
      </c>
      <c r="CK1188" s="13" t="n">
        <v>295</v>
      </c>
      <c r="CL1188" s="13" t="n">
        <v>7</v>
      </c>
      <c r="CM1188" s="13" t="n">
        <v>147</v>
      </c>
      <c r="CN1188" s="13" t="n">
        <v>0.161</v>
      </c>
      <c r="CO1188" s="13" t="n">
        <v>153</v>
      </c>
      <c r="CP1188" s="13" t="n">
        <v>98</v>
      </c>
      <c r="CQ1188" s="13" t="n">
        <v>142</v>
      </c>
      <c r="CR1188" s="13" t="n">
        <v>8</v>
      </c>
      <c r="CS1188" s="13" t="n">
        <v>10.6</v>
      </c>
      <c r="CT1188" s="11" t="inlineStr">
        <is>
          <t xml:space="preserve"> Touring</t>
        </is>
      </c>
      <c r="CU1188" s="11" t="inlineStr">
        <is>
          <t xml:space="preserve"> Ultralight Touring</t>
        </is>
      </c>
      <c r="CV1188" s="13" t="n"/>
      <c r="CW1188" s="13" t="n"/>
      <c r="CX1188">
        <f>INDEX('Data_Price '!AG$2:AG$1266,MATCH(Data!$DN1188,'Data_Price '!$AT$2:$AT$1266,0))</f>
        <v/>
      </c>
      <c r="CY1188">
        <f>INDEX('Data_Price '!AH$2:AH$1266,MATCH(Data!$DN1188,'Data_Price '!$AT$2:$AT$1266,0))</f>
        <v/>
      </c>
      <c r="CZ1188">
        <f>INDEX('Data_Price '!AI$2:AI$1266,MATCH(Data!$DN1188,'Data_Price '!$AT$2:$AT$1266,0))</f>
        <v/>
      </c>
      <c r="DA1188">
        <f>INDEX('Data_Price '!AJ$2:AJ$1266,MATCH(Data!$DN1188,'Data_Price '!$AT$2:$AT$1266,0))</f>
        <v/>
      </c>
      <c r="DB1188">
        <f>INDEX('Data_Price '!AK$2:AK$1266,MATCH(Data!$DN1188,'Data_Price '!$AT$2:$AT$1266,0))</f>
        <v/>
      </c>
      <c r="DC1188">
        <f>INDEX('Data_Price '!AL$2:AL$1266,MATCH(Data!$DN1188,'Data_Price '!$AT$2:$AT$1266,0))</f>
        <v/>
      </c>
      <c r="DD1188">
        <f>INDEX('Data_Price '!AM$2:AM$1266,MATCH(Data!$DN1188,'Data_Price '!$AT$2:$AT$1266,0))</f>
        <v/>
      </c>
      <c r="DE1188">
        <f>INDEX('Data_Price '!AN$2:AN$1266,MATCH(Data!$DN1188,'Data_Price '!$AT$2:$AT$1266,0))</f>
        <v/>
      </c>
      <c r="DF1188">
        <f>INDEX('Data_Price '!AO$2:AO$1266,MATCH(Data!$DN1188,'Data_Price '!$AT$2:$AT$1266,0))</f>
        <v/>
      </c>
      <c r="DG1188">
        <f>INDEX('Data_Price '!AP$2:AP$1266,MATCH(Data!$DN1188,'Data_Price '!$AT$2:$AT$1266,0))</f>
        <v/>
      </c>
      <c r="DH1188">
        <f>INDEX('Data_Price '!AQ$2:AQ$1266,MATCH(Data!$DN1188,'Data_Price '!$AT$2:$AT$1266,0))</f>
        <v/>
      </c>
      <c r="DI1188">
        <f>INDEX('Data_Price '!AR$2:AR$1266,MATCH(Data!$DN1188,'Data_Price '!$AT$2:$AT$1266,0))</f>
        <v/>
      </c>
      <c r="DJ1188" s="138">
        <f>DA1188</f>
        <v/>
      </c>
      <c r="DK1188" s="138">
        <f>DE1188</f>
        <v/>
      </c>
      <c r="DL1188" s="138">
        <f>DI1188</f>
        <v/>
      </c>
      <c r="DM1188" s="303">
        <f>IF(LEFT(BT1188,1)=" ",RIGHT(BT1188,LEN(BT1188)-1),BT1188)</f>
        <v/>
      </c>
      <c r="DN1188" s="138">
        <f>_xlfn.CONCAT(BS1188,DM1188,BU1188,BV1188)</f>
        <v/>
      </c>
      <c r="DO1188" s="307" t="n"/>
    </row>
    <row r="1189" ht="15.6" customHeight="1" s="184">
      <c r="B1189" s="303">
        <f t="array" ref="B1189">IF(OR(ISERROR(K1189:P1189)),FALSE,TRUE)</f>
        <v/>
      </c>
      <c r="C1189" s="60">
        <f>OR(BR1189=Driver!$G$50,Data!BR646=Driver!$H$50)</f>
        <v/>
      </c>
      <c r="D1189" s="60">
        <f>OR(BV1189=Driver!$G$51,BV1189=Driver!$H$51)</f>
        <v/>
      </c>
      <c r="E1189" s="60">
        <f>AND(BX1189&gt;Driver!$F$54,BX1189&lt;Driver!$G$54)</f>
        <v/>
      </c>
      <c r="F1189" s="60">
        <f>CL1189&gt;Driver!$F$56</f>
        <v/>
      </c>
      <c r="G1189" s="60">
        <f>AND(CB1189&gt;Driver!$F$55,CB1189&lt;Driver!$G$55)</f>
        <v/>
      </c>
      <c r="H1189" s="60">
        <f>AND(B1189:G1189)</f>
        <v/>
      </c>
      <c r="I1189" s="60">
        <f>COUNTIFS($H$9:$H$1273,TRUE,$BT$9:$BT$1273,BT1189)</f>
        <v/>
      </c>
      <c r="J1189" s="60">
        <f t="array" ref="J1189">NOT(OR(($H$9:$H$1273=TRUE)*($I$9:$I$1273&gt;0)*($BT$9:$BT$1273=BT1189)*($K$9:$K$1273&gt;K1189)))</f>
        <v/>
      </c>
      <c r="K1189" s="108">
        <f>IFERROR(1-AVERAGE(X1189:Y1189),"")</f>
        <v/>
      </c>
      <c r="L1189" s="108">
        <f>1-X1189</f>
        <v/>
      </c>
      <c r="M1189" s="108">
        <f>1-Y1189</f>
        <v/>
      </c>
      <c r="N1189" s="108">
        <f>1-Z1189</f>
        <v/>
      </c>
      <c r="O1189" s="108">
        <f>1-AA1189</f>
        <v/>
      </c>
      <c r="P1189" s="108">
        <f>1-AB1189</f>
        <v/>
      </c>
      <c r="Q1189" s="108" t="n"/>
      <c r="R1189" s="108" t="n"/>
      <c r="S1189" s="108">
        <f>1-AE1189</f>
        <v/>
      </c>
      <c r="T1189" s="108">
        <f>1-AF1189</f>
        <v/>
      </c>
      <c r="U1189" s="108">
        <f>1-AG1189</f>
        <v/>
      </c>
      <c r="V1189" s="108">
        <f>1-AH1189</f>
        <v/>
      </c>
      <c r="W1189" s="108">
        <f>1-AI1189</f>
        <v/>
      </c>
      <c r="X1189" s="108">
        <f>ABS(AJ1189-AJ$1)</f>
        <v/>
      </c>
      <c r="Y1189" s="108">
        <f>AVERAGE(Z1189:AB1189)</f>
        <v/>
      </c>
      <c r="Z1189" s="108">
        <f>ABS(AL1189-AL$1)</f>
        <v/>
      </c>
      <c r="AA1189" s="108">
        <f>ABS(AM1189-AM$1)</f>
        <v/>
      </c>
      <c r="AB1189" s="108">
        <f>ABS(AN1189-AN$1)</f>
        <v/>
      </c>
      <c r="AC1189" s="108" t="n"/>
      <c r="AD1189" s="108" t="n"/>
      <c r="AE1189" s="108">
        <f>ABS(AQ$1-AQ1189)</f>
        <v/>
      </c>
      <c r="AF1189" s="108">
        <f>ABS(AR$1-AR1189)</f>
        <v/>
      </c>
      <c r="AG1189" s="108">
        <f>ABS(AS$1-AS1189)</f>
        <v/>
      </c>
      <c r="AH1189" s="108">
        <f>ABS(AT$1-AT1189)</f>
        <v/>
      </c>
      <c r="AI1189" s="108">
        <f>ABS(AU$1-AU1189)</f>
        <v/>
      </c>
      <c r="AJ1189" s="108">
        <f>(AV1189-Driver!$K$179)/(Driver!$L$179-Driver!$K$179)</f>
        <v/>
      </c>
      <c r="AK1189" s="108">
        <f>(AW1189-Driver!$K$180)/(Driver!$L$180-Driver!$K$180)</f>
        <v/>
      </c>
      <c r="AL1189" s="108">
        <f>(AX1189-Driver!$K$181)/(Driver!$L$181-Driver!$K$181)</f>
        <v/>
      </c>
      <c r="AM1189" s="108">
        <f>(AY1189-Driver!$K$182)/(Driver!$L$182-Driver!$K$182)</f>
        <v/>
      </c>
      <c r="AN1189" s="108">
        <f>(AZ1189-Driver!$K$183)/(Driver!$L$183-Driver!$K$183)</f>
        <v/>
      </c>
      <c r="AO1189" s="108" t="n"/>
      <c r="AP1189" s="108" t="n"/>
      <c r="AQ1189" s="108">
        <f>(BC1189-Driver!$K$188)/(Driver!$L$188-Driver!$K$188)</f>
        <v/>
      </c>
      <c r="AR1189" s="108">
        <f>MIN((BD1189-Driver!$K$189)/(Driver!$L$189-Driver!$K$189),100%)</f>
        <v/>
      </c>
      <c r="AS1189" s="108">
        <f>(BE1189-Driver!$K$190)/(Driver!$L$190-Driver!$K$190)</f>
        <v/>
      </c>
      <c r="AT1189" s="108">
        <f>(BF1189-Driver!$K$191)/(Driver!$L$191-Driver!$K$191)</f>
        <v/>
      </c>
      <c r="AU1189" s="108">
        <f>(BG1189-Driver!$K$192)/(Driver!$L$192-Driver!$K$192)</f>
        <v/>
      </c>
      <c r="AV1189" s="105">
        <f>IFERROR(BM1189*BJ1189^1/4,"")</f>
        <v/>
      </c>
      <c r="AW1189" s="105">
        <f>IFERROR(SUM(AX1189:AZ1189),"")</f>
        <v/>
      </c>
      <c r="AX1189" s="105">
        <f>IFERROR(BH1189,"")</f>
        <v/>
      </c>
      <c r="AY1189" s="105">
        <f>IFERROR(Driver!$K$19/Data!BH1189/Data!BI1189*Data!BK1189*Data!BL1189,"")</f>
        <v/>
      </c>
      <c r="AZ1189" s="105">
        <f>IFERROR(BI1189*BN1189,"")</f>
        <v/>
      </c>
      <c r="BA1189" s="105" t="n"/>
      <c r="BB1189" s="105" t="n"/>
      <c r="BC1189" s="105">
        <f>IFERROR(BI1189*BN1189*BK1189/BJ1189^(1/2),"")</f>
        <v/>
      </c>
      <c r="BD1189" s="105">
        <f>IFERROR(BH1189*BM1189*BL1189/BJ1189/BK1189,"")</f>
        <v/>
      </c>
      <c r="BE1189" s="105">
        <f>IFERROR(MIN(BI1189/BQ1189/BP1189/BO1189/BH1189,$BE$1),"")</f>
        <v/>
      </c>
      <c r="BF1189" s="105">
        <f>IFERROR(BJ1189*BO1189*BP1189/BK1189,"")</f>
        <v/>
      </c>
      <c r="BG1189" s="105">
        <f>IFERROR(1/BM1189/BH1189*BQ1189,"")</f>
        <v/>
      </c>
      <c r="BH1189" s="102">
        <f>MAX((CE1189-Driver!$F$200)/(Driver!$G$200-Driver!$F$200)*$BI$1,1)</f>
        <v/>
      </c>
      <c r="BI1189" s="102">
        <f>MAX($BI$1*(BY1189-Driver!$F$201)/(Driver!$G$201-Driver!$F$201),1)</f>
        <v/>
      </c>
      <c r="BJ1189" s="102">
        <f>(CB1189-Driver!$F$206)/(Driver!$G$206-Driver!$F$206)*$BI$1</f>
        <v/>
      </c>
      <c r="BK1189" s="102">
        <f>(CD1189-Driver!$F$203)/(Driver!$G$203-Driver!$F$203)*$BI$1</f>
        <v/>
      </c>
      <c r="BL1189" s="102">
        <f>MAX((CR1189-Driver!$F$202)/(Driver!$G$202-Driver!$F$202)*$BI$1,1)</f>
        <v/>
      </c>
      <c r="BM1189" s="102">
        <f>MAX((CH1189-Driver!$F$204)/(Driver!$G$204-Driver!$F$204)*$BI$1,1)</f>
        <v/>
      </c>
      <c r="BN1189" s="102">
        <f>(CI1189-Driver!$F$205)/(Driver!$G$205-Driver!$F$205)*$BI$1</f>
        <v/>
      </c>
      <c r="BO1189" s="102">
        <f>(CK1189-Driver!$F$207)/(Driver!$G$207-Driver!$F$207)*$BI$1</f>
        <v/>
      </c>
      <c r="BP1189" s="102">
        <f>(CM1189-Driver!$F$208)/(Driver!$G$208-Driver!$F$208)*$BI$1</f>
        <v/>
      </c>
      <c r="BQ1189" s="102">
        <f>(CL1189-Driver!$F$209)/(Driver!$G$209-Driver!$F$209)*$BI$1</f>
        <v/>
      </c>
      <c r="BR1189" s="40" t="inlineStr">
        <is>
          <t>21/22</t>
        </is>
      </c>
      <c r="BS1189" s="10" t="inlineStr">
        <is>
          <t xml:space="preserve"> Head</t>
        </is>
      </c>
      <c r="BT1189" s="11" t="inlineStr">
        <is>
          <t xml:space="preserve"> Supershape e-Magnum</t>
        </is>
      </c>
      <c r="BU1189" s="13" t="n">
        <v>177</v>
      </c>
      <c r="BV1189" s="11" t="inlineStr">
        <is>
          <t xml:space="preserve"> Unisex</t>
        </is>
      </c>
      <c r="BW1189" s="13" t="n">
        <v>177</v>
      </c>
      <c r="BX1189" s="13" t="n">
        <v>176.3</v>
      </c>
      <c r="BY1189" s="13" t="n">
        <v>157</v>
      </c>
      <c r="BZ1189" s="13" t="n">
        <v>164</v>
      </c>
      <c r="CA1189" s="13" t="n">
        <v>128</v>
      </c>
      <c r="CB1189" s="13" t="n">
        <v>71</v>
      </c>
      <c r="CC1189" s="13" t="n">
        <v>109</v>
      </c>
      <c r="CD1189" s="13" t="n">
        <v>14.4</v>
      </c>
      <c r="CE1189" s="13" t="n">
        <v>2247</v>
      </c>
      <c r="CF1189" s="13" t="n">
        <v>0.6899999999999999</v>
      </c>
      <c r="CG1189" s="13" t="n">
        <v>1551</v>
      </c>
      <c r="CH1189" s="13" t="n">
        <v>229</v>
      </c>
      <c r="CI1189" s="13" t="n">
        <v>113</v>
      </c>
      <c r="CJ1189" s="13" t="n">
        <v>36</v>
      </c>
      <c r="CK1189" s="13" t="n">
        <v>147</v>
      </c>
      <c r="CL1189" s="13" t="n">
        <v>3</v>
      </c>
      <c r="CM1189" s="13" t="n">
        <v>48</v>
      </c>
      <c r="CN1189" s="13" t="n">
        <v>0.09</v>
      </c>
      <c r="CO1189" s="13" t="n">
        <v>66</v>
      </c>
      <c r="CP1189" s="13" t="n">
        <v>55</v>
      </c>
      <c r="CQ1189" s="13" t="n">
        <v>81</v>
      </c>
      <c r="CR1189" s="13" t="n">
        <v>9</v>
      </c>
      <c r="CS1189" s="13" t="n">
        <v>12.7</v>
      </c>
      <c r="CT1189" s="11" t="inlineStr">
        <is>
          <t xml:space="preserve"> On-Piste Carving</t>
        </is>
      </c>
      <c r="CU1189" s="13" t="n"/>
      <c r="CV1189" s="13" t="n"/>
      <c r="CW1189" s="13" t="n"/>
      <c r="CX1189">
        <f>INDEX('Data_Price '!AG$2:AG$1266,MATCH(Data!$DN1189,'Data_Price '!$AT$2:$AT$1266,0))</f>
        <v/>
      </c>
      <c r="CY1189">
        <f>INDEX('Data_Price '!AH$2:AH$1266,MATCH(Data!$DN1189,'Data_Price '!$AT$2:$AT$1266,0))</f>
        <v/>
      </c>
      <c r="CZ1189">
        <f>INDEX('Data_Price '!AI$2:AI$1266,MATCH(Data!$DN1189,'Data_Price '!$AT$2:$AT$1266,0))</f>
        <v/>
      </c>
      <c r="DA1189">
        <f>INDEX('Data_Price '!AJ$2:AJ$1266,MATCH(Data!$DN1189,'Data_Price '!$AT$2:$AT$1266,0))</f>
        <v/>
      </c>
      <c r="DB1189">
        <f>INDEX('Data_Price '!AK$2:AK$1266,MATCH(Data!$DN1189,'Data_Price '!$AT$2:$AT$1266,0))</f>
        <v/>
      </c>
      <c r="DC1189">
        <f>INDEX('Data_Price '!AL$2:AL$1266,MATCH(Data!$DN1189,'Data_Price '!$AT$2:$AT$1266,0))</f>
        <v/>
      </c>
      <c r="DD1189">
        <f>INDEX('Data_Price '!AM$2:AM$1266,MATCH(Data!$DN1189,'Data_Price '!$AT$2:$AT$1266,0))</f>
        <v/>
      </c>
      <c r="DE1189">
        <f>INDEX('Data_Price '!AN$2:AN$1266,MATCH(Data!$DN1189,'Data_Price '!$AT$2:$AT$1266,0))</f>
        <v/>
      </c>
      <c r="DF1189">
        <f>INDEX('Data_Price '!AO$2:AO$1266,MATCH(Data!$DN1189,'Data_Price '!$AT$2:$AT$1266,0))</f>
        <v/>
      </c>
      <c r="DG1189">
        <f>INDEX('Data_Price '!AP$2:AP$1266,MATCH(Data!$DN1189,'Data_Price '!$AT$2:$AT$1266,0))</f>
        <v/>
      </c>
      <c r="DH1189">
        <f>INDEX('Data_Price '!AQ$2:AQ$1266,MATCH(Data!$DN1189,'Data_Price '!$AT$2:$AT$1266,0))</f>
        <v/>
      </c>
      <c r="DI1189">
        <f>INDEX('Data_Price '!AR$2:AR$1266,MATCH(Data!$DN1189,'Data_Price '!$AT$2:$AT$1266,0))</f>
        <v/>
      </c>
      <c r="DJ1189" s="138">
        <f>DA1189</f>
        <v/>
      </c>
      <c r="DK1189" s="138">
        <f>DE1189</f>
        <v/>
      </c>
      <c r="DL1189" s="138">
        <f>DI1189</f>
        <v/>
      </c>
      <c r="DM1189" s="303">
        <f>IF(LEFT(BT1189,1)=" ",RIGHT(BT1189,LEN(BT1189)-1),BT1189)</f>
        <v/>
      </c>
      <c r="DN1189" s="138">
        <f>_xlfn.CONCAT(BS1189,DM1189,BU1189,BV1189)</f>
        <v/>
      </c>
      <c r="DO1189" s="307" t="n"/>
    </row>
    <row r="1190" ht="15.6" customHeight="1" s="184">
      <c r="B1190" s="303">
        <f t="array" ref="B1190">IF(OR(ISERROR(K1190:P1190)),FALSE,TRUE)</f>
        <v/>
      </c>
      <c r="C1190" s="60">
        <f>OR(BR1190=Driver!$G$50,Data!BR782=Driver!$H$50)</f>
        <v/>
      </c>
      <c r="D1190" s="60">
        <f>OR(BV1190=Driver!$G$51,BV1190=Driver!$H$51)</f>
        <v/>
      </c>
      <c r="E1190" s="60">
        <f>AND(BX1190&gt;Driver!$F$54,BX1190&lt;Driver!$G$54)</f>
        <v/>
      </c>
      <c r="F1190" s="60">
        <f>CL1190&gt;Driver!$F$56</f>
        <v/>
      </c>
      <c r="G1190" s="60">
        <f>AND(CB1190&gt;Driver!$F$55,CB1190&lt;Driver!$G$55)</f>
        <v/>
      </c>
      <c r="H1190" s="60">
        <f>AND(B1190:G1190)</f>
        <v/>
      </c>
      <c r="I1190" s="60">
        <f>COUNTIFS($H$9:$H$1273,TRUE,$BT$9:$BT$1273,BT1190)</f>
        <v/>
      </c>
      <c r="J1190" s="60">
        <f t="array" ref="J1190">NOT(OR(($H$9:$H$1273=TRUE)*($I$9:$I$1273&gt;0)*($BT$9:$BT$1273=BT1190)*($K$9:$K$1273&gt;K1190)))</f>
        <v/>
      </c>
      <c r="K1190" s="108">
        <f>IFERROR(1-AVERAGE(X1190:Y1190),"")</f>
        <v/>
      </c>
      <c r="L1190" s="108">
        <f>1-X1190</f>
        <v/>
      </c>
      <c r="M1190" s="108">
        <f>1-Y1190</f>
        <v/>
      </c>
      <c r="N1190" s="108">
        <f>1-Z1190</f>
        <v/>
      </c>
      <c r="O1190" s="108">
        <f>1-AA1190</f>
        <v/>
      </c>
      <c r="P1190" s="108">
        <f>1-AB1190</f>
        <v/>
      </c>
      <c r="Q1190" s="108" t="n"/>
      <c r="R1190" s="108" t="n"/>
      <c r="S1190" s="108">
        <f>1-AE1190</f>
        <v/>
      </c>
      <c r="T1190" s="108">
        <f>1-AF1190</f>
        <v/>
      </c>
      <c r="U1190" s="108">
        <f>1-AG1190</f>
        <v/>
      </c>
      <c r="V1190" s="108">
        <f>1-AH1190</f>
        <v/>
      </c>
      <c r="W1190" s="108">
        <f>1-AI1190</f>
        <v/>
      </c>
      <c r="X1190" s="108">
        <f>ABS(AJ1190-AJ$1)</f>
        <v/>
      </c>
      <c r="Y1190" s="108">
        <f>AVERAGE(Z1190:AB1190)</f>
        <v/>
      </c>
      <c r="Z1190" s="108">
        <f>ABS(AL1190-AL$1)</f>
        <v/>
      </c>
      <c r="AA1190" s="108">
        <f>ABS(AM1190-AM$1)</f>
        <v/>
      </c>
      <c r="AB1190" s="108">
        <f>ABS(AN1190-AN$1)</f>
        <v/>
      </c>
      <c r="AC1190" s="108" t="n"/>
      <c r="AD1190" s="108" t="n"/>
      <c r="AE1190" s="108">
        <f>ABS(AQ$1-AQ1190)</f>
        <v/>
      </c>
      <c r="AF1190" s="108">
        <f>ABS(AR$1-AR1190)</f>
        <v/>
      </c>
      <c r="AG1190" s="108">
        <f>ABS(AS$1-AS1190)</f>
        <v/>
      </c>
      <c r="AH1190" s="108">
        <f>ABS(AT$1-AT1190)</f>
        <v/>
      </c>
      <c r="AI1190" s="108">
        <f>ABS(AU$1-AU1190)</f>
        <v/>
      </c>
      <c r="AJ1190" s="108">
        <f>(AV1190-Driver!$K$179)/(Driver!$L$179-Driver!$K$179)</f>
        <v/>
      </c>
      <c r="AK1190" s="108">
        <f>(AW1190-Driver!$K$180)/(Driver!$L$180-Driver!$K$180)</f>
        <v/>
      </c>
      <c r="AL1190" s="108">
        <f>(AX1190-Driver!$K$181)/(Driver!$L$181-Driver!$K$181)</f>
        <v/>
      </c>
      <c r="AM1190" s="108">
        <f>(AY1190-Driver!$K$182)/(Driver!$L$182-Driver!$K$182)</f>
        <v/>
      </c>
      <c r="AN1190" s="108">
        <f>(AZ1190-Driver!$K$183)/(Driver!$L$183-Driver!$K$183)</f>
        <v/>
      </c>
      <c r="AO1190" s="108" t="n"/>
      <c r="AP1190" s="108" t="n"/>
      <c r="AQ1190" s="108">
        <f>(BC1190-Driver!$K$188)/(Driver!$L$188-Driver!$K$188)</f>
        <v/>
      </c>
      <c r="AR1190" s="108">
        <f>MIN((BD1190-Driver!$K$189)/(Driver!$L$189-Driver!$K$189),100%)</f>
        <v/>
      </c>
      <c r="AS1190" s="108">
        <f>(BE1190-Driver!$K$190)/(Driver!$L$190-Driver!$K$190)</f>
        <v/>
      </c>
      <c r="AT1190" s="108">
        <f>(BF1190-Driver!$K$191)/(Driver!$L$191-Driver!$K$191)</f>
        <v/>
      </c>
      <c r="AU1190" s="108">
        <f>(BG1190-Driver!$K$192)/(Driver!$L$192-Driver!$K$192)</f>
        <v/>
      </c>
      <c r="AV1190" s="105">
        <f>IFERROR(BM1190*BJ1190^1/4,"")</f>
        <v/>
      </c>
      <c r="AW1190" s="105">
        <f>IFERROR(SUM(AX1190:AZ1190),"")</f>
        <v/>
      </c>
      <c r="AX1190" s="105">
        <f>IFERROR(BH1190,"")</f>
        <v/>
      </c>
      <c r="AY1190" s="105">
        <f>IFERROR(Driver!$K$19/Data!BH1190/Data!BI1190*Data!BK1190*Data!BL1190,"")</f>
        <v/>
      </c>
      <c r="AZ1190" s="105">
        <f>IFERROR(BI1190*BN1190,"")</f>
        <v/>
      </c>
      <c r="BA1190" s="105" t="n"/>
      <c r="BB1190" s="105" t="n"/>
      <c r="BC1190" s="105">
        <f>IFERROR(BI1190*BN1190*BK1190/BJ1190^(1/2),"")</f>
        <v/>
      </c>
      <c r="BD1190" s="105">
        <f>IFERROR(BH1190*BM1190*BL1190/BJ1190/BK1190,"")</f>
        <v/>
      </c>
      <c r="BE1190" s="105">
        <f>IFERROR(MIN(BI1190/BQ1190/BP1190/BO1190/BH1190,$BE$1),"")</f>
        <v/>
      </c>
      <c r="BF1190" s="105">
        <f>IFERROR(BJ1190*BO1190*BP1190/BK1190,"")</f>
        <v/>
      </c>
      <c r="BG1190" s="105">
        <f>IFERROR(1/BM1190/BH1190*BQ1190,"")</f>
        <v/>
      </c>
      <c r="BH1190" s="102">
        <f>MAX((CE1190-Driver!$F$200)/(Driver!$G$200-Driver!$F$200)*$BI$1,1)</f>
        <v/>
      </c>
      <c r="BI1190" s="102">
        <f>MAX($BI$1*(BY1190-Driver!$F$201)/(Driver!$G$201-Driver!$F$201),1)</f>
        <v/>
      </c>
      <c r="BJ1190" s="102">
        <f>(CB1190-Driver!$F$206)/(Driver!$G$206-Driver!$F$206)*$BI$1</f>
        <v/>
      </c>
      <c r="BK1190" s="102">
        <f>(CD1190-Driver!$F$203)/(Driver!$G$203-Driver!$F$203)*$BI$1</f>
        <v/>
      </c>
      <c r="BL1190" s="102">
        <f>MAX((CR1190-Driver!$F$202)/(Driver!$G$202-Driver!$F$202)*$BI$1,1)</f>
        <v/>
      </c>
      <c r="BM1190" s="102">
        <f>MAX((CH1190-Driver!$F$204)/(Driver!$G$204-Driver!$F$204)*$BI$1,1)</f>
        <v/>
      </c>
      <c r="BN1190" s="102">
        <f>(CI1190-Driver!$F$205)/(Driver!$G$205-Driver!$F$205)*$BI$1</f>
        <v/>
      </c>
      <c r="BO1190" s="102">
        <f>(CK1190-Driver!$F$207)/(Driver!$G$207-Driver!$F$207)*$BI$1</f>
        <v/>
      </c>
      <c r="BP1190" s="102">
        <f>(CM1190-Driver!$F$208)/(Driver!$G$208-Driver!$F$208)*$BI$1</f>
        <v/>
      </c>
      <c r="BQ1190" s="102">
        <f>(CL1190-Driver!$F$209)/(Driver!$G$209-Driver!$F$209)*$BI$1</f>
        <v/>
      </c>
      <c r="BR1190" s="40" t="inlineStr">
        <is>
          <t>21/22</t>
        </is>
      </c>
      <c r="BS1190" s="10" t="inlineStr">
        <is>
          <t xml:space="preserve"> K2</t>
        </is>
      </c>
      <c r="BT1190" s="11" t="inlineStr">
        <is>
          <t>Talkback 88</t>
        </is>
      </c>
      <c r="BU1190" s="13" t="n">
        <v>160</v>
      </c>
      <c r="BV1190" s="11" t="inlineStr">
        <is>
          <t xml:space="preserve"> Women's</t>
        </is>
      </c>
      <c r="BW1190" s="13" t="n">
        <v>160</v>
      </c>
      <c r="BX1190" s="13" t="n">
        <v>159.7</v>
      </c>
      <c r="BY1190" s="13" t="n">
        <v>120</v>
      </c>
      <c r="BZ1190" s="13" t="n">
        <v>134</v>
      </c>
      <c r="CA1190" s="13" t="n">
        <v>120</v>
      </c>
      <c r="CB1190" s="13" t="n">
        <v>87</v>
      </c>
      <c r="CC1190" s="13" t="n">
        <v>108</v>
      </c>
      <c r="CD1190" s="13" t="n">
        <v>16.3</v>
      </c>
      <c r="CE1190" s="13" t="n">
        <v>1117</v>
      </c>
      <c r="CF1190" s="13" t="n">
        <v>1.39</v>
      </c>
      <c r="CG1190" s="13" t="n">
        <v>1552</v>
      </c>
      <c r="CH1190" s="13" t="n">
        <v>136</v>
      </c>
      <c r="CI1190" s="13" t="n">
        <v>59</v>
      </c>
      <c r="CJ1190" s="13" t="n">
        <v>44</v>
      </c>
      <c r="CK1190" s="13" t="n">
        <v>297</v>
      </c>
      <c r="CL1190" s="13" t="n">
        <v>5</v>
      </c>
      <c r="CM1190" s="13" t="n">
        <v>99</v>
      </c>
      <c r="CN1190" s="13" t="n">
        <v>0.114</v>
      </c>
      <c r="CO1190" s="13" t="n">
        <v>158</v>
      </c>
      <c r="CP1190" s="13" t="n">
        <v>97</v>
      </c>
      <c r="CQ1190" s="13" t="n">
        <v>139</v>
      </c>
      <c r="CR1190" s="13" t="n">
        <v>8</v>
      </c>
      <c r="CS1190" s="13" t="n">
        <v>12</v>
      </c>
      <c r="CT1190" s="11" t="inlineStr">
        <is>
          <t xml:space="preserve"> Touring</t>
        </is>
      </c>
      <c r="CU1190" s="11" t="inlineStr">
        <is>
          <t xml:space="preserve"> Ultralight Touring</t>
        </is>
      </c>
      <c r="CV1190" s="13" t="n"/>
      <c r="CW1190" s="13" t="n"/>
      <c r="CX1190">
        <f>INDEX('Data_Price '!AG$2:AG$1266,MATCH(Data!$DN1190,'Data_Price '!$AT$2:$AT$1266,0))</f>
        <v/>
      </c>
      <c r="CY1190">
        <f>INDEX('Data_Price '!AH$2:AH$1266,MATCH(Data!$DN1190,'Data_Price '!$AT$2:$AT$1266,0))</f>
        <v/>
      </c>
      <c r="CZ1190">
        <f>INDEX('Data_Price '!AI$2:AI$1266,MATCH(Data!$DN1190,'Data_Price '!$AT$2:$AT$1266,0))</f>
        <v/>
      </c>
      <c r="DA1190">
        <f>INDEX('Data_Price '!AJ$2:AJ$1266,MATCH(Data!$DN1190,'Data_Price '!$AT$2:$AT$1266,0))</f>
        <v/>
      </c>
      <c r="DB1190">
        <f>INDEX('Data_Price '!AK$2:AK$1266,MATCH(Data!$DN1190,'Data_Price '!$AT$2:$AT$1266,0))</f>
        <v/>
      </c>
      <c r="DC1190">
        <f>INDEX('Data_Price '!AL$2:AL$1266,MATCH(Data!$DN1190,'Data_Price '!$AT$2:$AT$1266,0))</f>
        <v/>
      </c>
      <c r="DD1190">
        <f>INDEX('Data_Price '!AM$2:AM$1266,MATCH(Data!$DN1190,'Data_Price '!$AT$2:$AT$1266,0))</f>
        <v/>
      </c>
      <c r="DE1190">
        <f>INDEX('Data_Price '!AN$2:AN$1266,MATCH(Data!$DN1190,'Data_Price '!$AT$2:$AT$1266,0))</f>
        <v/>
      </c>
      <c r="DF1190">
        <f>INDEX('Data_Price '!AO$2:AO$1266,MATCH(Data!$DN1190,'Data_Price '!$AT$2:$AT$1266,0))</f>
        <v/>
      </c>
      <c r="DG1190">
        <f>INDEX('Data_Price '!AP$2:AP$1266,MATCH(Data!$DN1190,'Data_Price '!$AT$2:$AT$1266,0))</f>
        <v/>
      </c>
      <c r="DH1190">
        <f>INDEX('Data_Price '!AQ$2:AQ$1266,MATCH(Data!$DN1190,'Data_Price '!$AT$2:$AT$1266,0))</f>
        <v/>
      </c>
      <c r="DI1190">
        <f>INDEX('Data_Price '!AR$2:AR$1266,MATCH(Data!$DN1190,'Data_Price '!$AT$2:$AT$1266,0))</f>
        <v/>
      </c>
      <c r="DJ1190" s="138">
        <f>DA1190</f>
        <v/>
      </c>
      <c r="DK1190" s="138">
        <f>DE1190</f>
        <v/>
      </c>
      <c r="DL1190" s="138">
        <f>DI1190</f>
        <v/>
      </c>
      <c r="DM1190" s="303">
        <f>IF(LEFT(BT1190,1)=" ",RIGHT(BT1190,LEN(BT1190)-1),BT1190)</f>
        <v/>
      </c>
      <c r="DN1190" s="138">
        <f>_xlfn.CONCAT(BS1190,DM1190,BU1190,BV1190)</f>
        <v/>
      </c>
      <c r="DO1190" s="307" t="n"/>
    </row>
    <row r="1191" ht="15.6" customHeight="1" s="184">
      <c r="B1191" s="303">
        <f t="array" ref="B1191">IF(OR(ISERROR(K1191:P1191)),FALSE,TRUE)</f>
        <v/>
      </c>
      <c r="C1191" s="60">
        <f>OR(BR1191=Driver!$G$50,Data!BR455=Driver!$H$50)</f>
        <v/>
      </c>
      <c r="D1191" s="60">
        <f>OR(BV1191=Driver!$G$51,BV1191=Driver!$H$51)</f>
        <v/>
      </c>
      <c r="E1191" s="60">
        <f>AND(BX1191&gt;Driver!$F$54,BX1191&lt;Driver!$G$54)</f>
        <v/>
      </c>
      <c r="F1191" s="60">
        <f>CL1191&gt;Driver!$F$56</f>
        <v/>
      </c>
      <c r="G1191" s="60">
        <f>AND(CB1191&gt;Driver!$F$55,CB1191&lt;Driver!$G$55)</f>
        <v/>
      </c>
      <c r="H1191" s="60">
        <f>AND(B1191:G1191)</f>
        <v/>
      </c>
      <c r="I1191" s="60">
        <f>COUNTIFS($H$9:$H$1273,TRUE,$BT$9:$BT$1273,BT1191)</f>
        <v/>
      </c>
      <c r="J1191" s="60">
        <f t="array" ref="J1191">NOT(OR(($H$9:$H$1273=TRUE)*($I$9:$I$1273&gt;0)*($BT$9:$BT$1273=BT1191)*($K$9:$K$1273&gt;K1191)))</f>
        <v/>
      </c>
      <c r="K1191" s="108">
        <f>IFERROR(1-AVERAGE(X1191:Y1191),"")</f>
        <v/>
      </c>
      <c r="L1191" s="108">
        <f>1-X1191</f>
        <v/>
      </c>
      <c r="M1191" s="108">
        <f>1-Y1191</f>
        <v/>
      </c>
      <c r="N1191" s="108">
        <f>1-Z1191</f>
        <v/>
      </c>
      <c r="O1191" s="108">
        <f>1-AA1191</f>
        <v/>
      </c>
      <c r="P1191" s="108">
        <f>1-AB1191</f>
        <v/>
      </c>
      <c r="Q1191" s="108" t="n"/>
      <c r="R1191" s="108" t="n"/>
      <c r="S1191" s="108">
        <f>1-AE1191</f>
        <v/>
      </c>
      <c r="T1191" s="108">
        <f>1-AF1191</f>
        <v/>
      </c>
      <c r="U1191" s="108">
        <f>1-AG1191</f>
        <v/>
      </c>
      <c r="V1191" s="108">
        <f>1-AH1191</f>
        <v/>
      </c>
      <c r="W1191" s="108">
        <f>1-AI1191</f>
        <v/>
      </c>
      <c r="X1191" s="108">
        <f>ABS(AJ1191-AJ$1)</f>
        <v/>
      </c>
      <c r="Y1191" s="108">
        <f>AVERAGE(Z1191:AB1191)</f>
        <v/>
      </c>
      <c r="Z1191" s="108">
        <f>ABS(AL1191-AL$1)</f>
        <v/>
      </c>
      <c r="AA1191" s="108">
        <f>ABS(AM1191-AM$1)</f>
        <v/>
      </c>
      <c r="AB1191" s="108">
        <f>ABS(AN1191-AN$1)</f>
        <v/>
      </c>
      <c r="AC1191" s="108" t="n"/>
      <c r="AD1191" s="108" t="n"/>
      <c r="AE1191" s="108">
        <f>ABS(AQ$1-AQ1191)</f>
        <v/>
      </c>
      <c r="AF1191" s="108">
        <f>ABS(AR$1-AR1191)</f>
        <v/>
      </c>
      <c r="AG1191" s="108">
        <f>ABS(AS$1-AS1191)</f>
        <v/>
      </c>
      <c r="AH1191" s="108">
        <f>ABS(AT$1-AT1191)</f>
        <v/>
      </c>
      <c r="AI1191" s="108">
        <f>ABS(AU$1-AU1191)</f>
        <v/>
      </c>
      <c r="AJ1191" s="108">
        <f>(AV1191-Driver!$K$179)/(Driver!$L$179-Driver!$K$179)</f>
        <v/>
      </c>
      <c r="AK1191" s="108">
        <f>(AW1191-Driver!$K$180)/(Driver!$L$180-Driver!$K$180)</f>
        <v/>
      </c>
      <c r="AL1191" s="108">
        <f>(AX1191-Driver!$K$181)/(Driver!$L$181-Driver!$K$181)</f>
        <v/>
      </c>
      <c r="AM1191" s="108">
        <f>(AY1191-Driver!$K$182)/(Driver!$L$182-Driver!$K$182)</f>
        <v/>
      </c>
      <c r="AN1191" s="108">
        <f>(AZ1191-Driver!$K$183)/(Driver!$L$183-Driver!$K$183)</f>
        <v/>
      </c>
      <c r="AO1191" s="108" t="n"/>
      <c r="AP1191" s="108" t="n"/>
      <c r="AQ1191" s="108">
        <f>(BC1191-Driver!$K$188)/(Driver!$L$188-Driver!$K$188)</f>
        <v/>
      </c>
      <c r="AR1191" s="108">
        <f>MIN((BD1191-Driver!$K$189)/(Driver!$L$189-Driver!$K$189),100%)</f>
        <v/>
      </c>
      <c r="AS1191" s="108">
        <f>(BE1191-Driver!$K$190)/(Driver!$L$190-Driver!$K$190)</f>
        <v/>
      </c>
      <c r="AT1191" s="108">
        <f>(BF1191-Driver!$K$191)/(Driver!$L$191-Driver!$K$191)</f>
        <v/>
      </c>
      <c r="AU1191" s="108">
        <f>(BG1191-Driver!$K$192)/(Driver!$L$192-Driver!$K$192)</f>
        <v/>
      </c>
      <c r="AV1191" s="105">
        <f>IFERROR(BM1191*BJ1191^1/4,"")</f>
        <v/>
      </c>
      <c r="AW1191" s="105">
        <f>IFERROR(SUM(AX1191:AZ1191),"")</f>
        <v/>
      </c>
      <c r="AX1191" s="105">
        <f>IFERROR(BH1191,"")</f>
        <v/>
      </c>
      <c r="AY1191" s="105">
        <f>IFERROR(Driver!$K$19/Data!BH1191/Data!BI1191*Data!BK1191*Data!BL1191,"")</f>
        <v/>
      </c>
      <c r="AZ1191" s="105">
        <f>IFERROR(BI1191*BN1191,"")</f>
        <v/>
      </c>
      <c r="BA1191" s="105" t="n"/>
      <c r="BB1191" s="105" t="n"/>
      <c r="BC1191" s="105">
        <f>IFERROR(BI1191*BN1191*BK1191/BJ1191^(1/2),"")</f>
        <v/>
      </c>
      <c r="BD1191" s="105">
        <f>IFERROR(BH1191*BM1191*BL1191/BJ1191/BK1191,"")</f>
        <v/>
      </c>
      <c r="BE1191" s="105">
        <f>IFERROR(MIN(BI1191/BQ1191/BP1191/BO1191/BH1191,$BE$1),"")</f>
        <v/>
      </c>
      <c r="BF1191" s="105">
        <f>IFERROR(BJ1191*BO1191*BP1191/BK1191,"")</f>
        <v/>
      </c>
      <c r="BG1191" s="105">
        <f>IFERROR(1/BM1191/BH1191*BQ1191,"")</f>
        <v/>
      </c>
      <c r="BH1191" s="102">
        <f>MAX((CE1191-Driver!$F$200)/(Driver!$G$200-Driver!$F$200)*$BI$1,1)</f>
        <v/>
      </c>
      <c r="BI1191" s="102">
        <f>MAX($BI$1*(BY1191-Driver!$F$201)/(Driver!$G$201-Driver!$F$201),1)</f>
        <v/>
      </c>
      <c r="BJ1191" s="102">
        <f>(CB1191-Driver!$F$206)/(Driver!$G$206-Driver!$F$206)*$BI$1</f>
        <v/>
      </c>
      <c r="BK1191" s="102">
        <f>(CD1191-Driver!$F$203)/(Driver!$G$203-Driver!$F$203)*$BI$1</f>
        <v/>
      </c>
      <c r="BL1191" s="102">
        <f>MAX((CR1191-Driver!$F$202)/(Driver!$G$202-Driver!$F$202)*$BI$1,1)</f>
        <v/>
      </c>
      <c r="BM1191" s="102">
        <f>MAX((CH1191-Driver!$F$204)/(Driver!$G$204-Driver!$F$204)*$BI$1,1)</f>
        <v/>
      </c>
      <c r="BN1191" s="102">
        <f>(CI1191-Driver!$F$205)/(Driver!$G$205-Driver!$F$205)*$BI$1</f>
        <v/>
      </c>
      <c r="BO1191" s="102">
        <f>(CK1191-Driver!$F$207)/(Driver!$G$207-Driver!$F$207)*$BI$1</f>
        <v/>
      </c>
      <c r="BP1191" s="102">
        <f>(CM1191-Driver!$F$208)/(Driver!$G$208-Driver!$F$208)*$BI$1</f>
        <v/>
      </c>
      <c r="BQ1191" s="102">
        <f>(CL1191-Driver!$F$209)/(Driver!$G$209-Driver!$F$209)*$BI$1</f>
        <v/>
      </c>
      <c r="BR1191" s="40" t="inlineStr">
        <is>
          <t>21/22</t>
        </is>
      </c>
      <c r="BS1191" s="10" t="inlineStr">
        <is>
          <t xml:space="preserve"> Elan</t>
        </is>
      </c>
      <c r="BT1191" s="11" t="inlineStr">
        <is>
          <t>Ripstick 88 W</t>
        </is>
      </c>
      <c r="BU1191" s="13" t="n">
        <v>146</v>
      </c>
      <c r="BV1191" s="11" t="inlineStr">
        <is>
          <t xml:space="preserve"> Women's</t>
        </is>
      </c>
      <c r="BW1191" s="13" t="n">
        <v>146</v>
      </c>
      <c r="BX1191" s="13" t="n">
        <v>149.8</v>
      </c>
      <c r="BY1191" s="13" t="n">
        <v>106</v>
      </c>
      <c r="BZ1191" s="13" t="n">
        <v>125</v>
      </c>
      <c r="CA1191" s="13" t="n">
        <v>130</v>
      </c>
      <c r="CB1191" s="13" t="n">
        <v>87</v>
      </c>
      <c r="CC1191" s="13" t="n">
        <v>104</v>
      </c>
      <c r="CD1191" s="13" t="n">
        <v>12.9</v>
      </c>
      <c r="CE1191" s="13" t="n">
        <v>1276</v>
      </c>
      <c r="CF1191" s="13" t="n">
        <v>1.18</v>
      </c>
      <c r="CG1191" s="13" t="n">
        <v>1503</v>
      </c>
      <c r="CH1191" s="13" t="n">
        <v>125</v>
      </c>
      <c r="CI1191" s="13" t="n">
        <v>53</v>
      </c>
      <c r="CJ1191" s="13" t="n">
        <v>50</v>
      </c>
      <c r="CK1191" s="13" t="n">
        <v>300</v>
      </c>
      <c r="CL1191" s="13" t="n">
        <v>12</v>
      </c>
      <c r="CM1191" s="13" t="n">
        <v>142</v>
      </c>
      <c r="CN1191" s="13" t="n">
        <v>0.239</v>
      </c>
      <c r="CO1191" s="13" t="n">
        <v>140</v>
      </c>
      <c r="CP1191" s="13" t="n">
        <v>111</v>
      </c>
      <c r="CQ1191" s="13" t="n">
        <v>159</v>
      </c>
      <c r="CR1191" s="13" t="n">
        <v>3</v>
      </c>
      <c r="CS1191" s="13" t="n">
        <v>7.6</v>
      </c>
      <c r="CT1191" s="11" t="inlineStr">
        <is>
          <t xml:space="preserve"> Resort Freeride</t>
        </is>
      </c>
      <c r="CU1191" s="11" t="inlineStr">
        <is>
          <t xml:space="preserve"> Touring</t>
        </is>
      </c>
      <c r="CV1191" s="13" t="n"/>
      <c r="CW1191" s="13" t="n"/>
      <c r="CX1191">
        <f>INDEX('Data_Price '!AG$2:AG$1266,MATCH(Data!$DN1191,'Data_Price '!$AT$2:$AT$1266,0))</f>
        <v/>
      </c>
      <c r="CY1191">
        <f>INDEX('Data_Price '!AH$2:AH$1266,MATCH(Data!$DN1191,'Data_Price '!$AT$2:$AT$1266,0))</f>
        <v/>
      </c>
      <c r="CZ1191">
        <f>INDEX('Data_Price '!AI$2:AI$1266,MATCH(Data!$DN1191,'Data_Price '!$AT$2:$AT$1266,0))</f>
        <v/>
      </c>
      <c r="DA1191">
        <f>INDEX('Data_Price '!AJ$2:AJ$1266,MATCH(Data!$DN1191,'Data_Price '!$AT$2:$AT$1266,0))</f>
        <v/>
      </c>
      <c r="DB1191">
        <f>INDEX('Data_Price '!AK$2:AK$1266,MATCH(Data!$DN1191,'Data_Price '!$AT$2:$AT$1266,0))</f>
        <v/>
      </c>
      <c r="DC1191">
        <f>INDEX('Data_Price '!AL$2:AL$1266,MATCH(Data!$DN1191,'Data_Price '!$AT$2:$AT$1266,0))</f>
        <v/>
      </c>
      <c r="DD1191">
        <f>INDEX('Data_Price '!AM$2:AM$1266,MATCH(Data!$DN1191,'Data_Price '!$AT$2:$AT$1266,0))</f>
        <v/>
      </c>
      <c r="DE1191">
        <f>INDEX('Data_Price '!AN$2:AN$1266,MATCH(Data!$DN1191,'Data_Price '!$AT$2:$AT$1266,0))</f>
        <v/>
      </c>
      <c r="DF1191">
        <f>INDEX('Data_Price '!AO$2:AO$1266,MATCH(Data!$DN1191,'Data_Price '!$AT$2:$AT$1266,0))</f>
        <v/>
      </c>
      <c r="DG1191">
        <f>INDEX('Data_Price '!AP$2:AP$1266,MATCH(Data!$DN1191,'Data_Price '!$AT$2:$AT$1266,0))</f>
        <v/>
      </c>
      <c r="DH1191">
        <f>INDEX('Data_Price '!AQ$2:AQ$1266,MATCH(Data!$DN1191,'Data_Price '!$AT$2:$AT$1266,0))</f>
        <v/>
      </c>
      <c r="DI1191">
        <f>INDEX('Data_Price '!AR$2:AR$1266,MATCH(Data!$DN1191,'Data_Price '!$AT$2:$AT$1266,0))</f>
        <v/>
      </c>
      <c r="DJ1191" s="138">
        <f>DA1191</f>
        <v/>
      </c>
      <c r="DK1191" s="138">
        <f>DE1191</f>
        <v/>
      </c>
      <c r="DL1191" s="138">
        <f>DI1191</f>
        <v/>
      </c>
      <c r="DM1191" s="303">
        <f>IF(LEFT(BT1191,1)=" ",RIGHT(BT1191,LEN(BT1191)-1),BT1191)</f>
        <v/>
      </c>
      <c r="DN1191" s="138">
        <f>_xlfn.CONCAT(BS1191,DM1191,BU1191,BV1191)</f>
        <v/>
      </c>
      <c r="DO1191" s="307" t="inlineStr">
        <is>
          <t>https://images.evo.com/imgp/250/185141/744749/elan-ripstick-88-w-skis-women-s-2022-.jpg</t>
        </is>
      </c>
    </row>
    <row r="1192" ht="15.6" customHeight="1" s="184">
      <c r="B1192" s="303">
        <f t="array" ref="B1192">IF(OR(ISERROR(K1192:P1192)),FALSE,TRUE)</f>
        <v/>
      </c>
      <c r="C1192" s="60">
        <f>OR(BR1192=Driver!$G$50,Data!BR943=Driver!$H$50)</f>
        <v/>
      </c>
      <c r="D1192" s="60">
        <f>OR(BV1192=Driver!$G$51,BV1192=Driver!$H$51)</f>
        <v/>
      </c>
      <c r="E1192" s="60">
        <f>AND(BX1192&gt;Driver!$F$54,BX1192&lt;Driver!$G$54)</f>
        <v/>
      </c>
      <c r="F1192" s="60">
        <f>CL1192&gt;Driver!$F$56</f>
        <v/>
      </c>
      <c r="G1192" s="60">
        <f>AND(CB1192&gt;Driver!$F$55,CB1192&lt;Driver!$G$55)</f>
        <v/>
      </c>
      <c r="H1192" s="60">
        <f>AND(B1192:G1192)</f>
        <v/>
      </c>
      <c r="I1192" s="60">
        <f>COUNTIFS($H$9:$H$1273,TRUE,$BT$9:$BT$1273,BT1192)</f>
        <v/>
      </c>
      <c r="J1192" s="60">
        <f t="array" ref="J1192">NOT(OR(($H$9:$H$1273=TRUE)*($I$9:$I$1273&gt;0)*($BT$9:$BT$1273=BT1192)*($K$9:$K$1273&gt;K1192)))</f>
        <v/>
      </c>
      <c r="K1192" s="108">
        <f>IFERROR(1-AVERAGE(X1192:Y1192),"")</f>
        <v/>
      </c>
      <c r="L1192" s="108">
        <f>1-X1192</f>
        <v/>
      </c>
      <c r="M1192" s="108">
        <f>1-Y1192</f>
        <v/>
      </c>
      <c r="N1192" s="108">
        <f>1-Z1192</f>
        <v/>
      </c>
      <c r="O1192" s="108">
        <f>1-AA1192</f>
        <v/>
      </c>
      <c r="P1192" s="108">
        <f>1-AB1192</f>
        <v/>
      </c>
      <c r="Q1192" s="108" t="n"/>
      <c r="R1192" s="108" t="n"/>
      <c r="S1192" s="108">
        <f>1-AE1192</f>
        <v/>
      </c>
      <c r="T1192" s="108">
        <f>1-AF1192</f>
        <v/>
      </c>
      <c r="U1192" s="108">
        <f>1-AG1192</f>
        <v/>
      </c>
      <c r="V1192" s="108">
        <f>1-AH1192</f>
        <v/>
      </c>
      <c r="W1192" s="108">
        <f>1-AI1192</f>
        <v/>
      </c>
      <c r="X1192" s="108">
        <f>ABS(AJ1192-AJ$1)</f>
        <v/>
      </c>
      <c r="Y1192" s="108">
        <f>AVERAGE(Z1192:AB1192)</f>
        <v/>
      </c>
      <c r="Z1192" s="108">
        <f>ABS(AL1192-AL$1)</f>
        <v/>
      </c>
      <c r="AA1192" s="108">
        <f>ABS(AM1192-AM$1)</f>
        <v/>
      </c>
      <c r="AB1192" s="108">
        <f>ABS(AN1192-AN$1)</f>
        <v/>
      </c>
      <c r="AC1192" s="108" t="n"/>
      <c r="AD1192" s="108" t="n"/>
      <c r="AE1192" s="108">
        <f>ABS(AQ$1-AQ1192)</f>
        <v/>
      </c>
      <c r="AF1192" s="108">
        <f>ABS(AR$1-AR1192)</f>
        <v/>
      </c>
      <c r="AG1192" s="108">
        <f>ABS(AS$1-AS1192)</f>
        <v/>
      </c>
      <c r="AH1192" s="108">
        <f>ABS(AT$1-AT1192)</f>
        <v/>
      </c>
      <c r="AI1192" s="108">
        <f>ABS(AU$1-AU1192)</f>
        <v/>
      </c>
      <c r="AJ1192" s="108">
        <f>(AV1192-Driver!$K$179)/(Driver!$L$179-Driver!$K$179)</f>
        <v/>
      </c>
      <c r="AK1192" s="108">
        <f>(AW1192-Driver!$K$180)/(Driver!$L$180-Driver!$K$180)</f>
        <v/>
      </c>
      <c r="AL1192" s="108">
        <f>(AX1192-Driver!$K$181)/(Driver!$L$181-Driver!$K$181)</f>
        <v/>
      </c>
      <c r="AM1192" s="108">
        <f>(AY1192-Driver!$K$182)/(Driver!$L$182-Driver!$K$182)</f>
        <v/>
      </c>
      <c r="AN1192" s="108">
        <f>(AZ1192-Driver!$K$183)/(Driver!$L$183-Driver!$K$183)</f>
        <v/>
      </c>
      <c r="AO1192" s="108" t="n"/>
      <c r="AP1192" s="108" t="n"/>
      <c r="AQ1192" s="108">
        <f>(BC1192-Driver!$K$188)/(Driver!$L$188-Driver!$K$188)</f>
        <v/>
      </c>
      <c r="AR1192" s="108">
        <f>MIN((BD1192-Driver!$K$189)/(Driver!$L$189-Driver!$K$189),100%)</f>
        <v/>
      </c>
      <c r="AS1192" s="108">
        <f>(BE1192-Driver!$K$190)/(Driver!$L$190-Driver!$K$190)</f>
        <v/>
      </c>
      <c r="AT1192" s="108">
        <f>(BF1192-Driver!$K$191)/(Driver!$L$191-Driver!$K$191)</f>
        <v/>
      </c>
      <c r="AU1192" s="108">
        <f>(BG1192-Driver!$K$192)/(Driver!$L$192-Driver!$K$192)</f>
        <v/>
      </c>
      <c r="AV1192" s="105">
        <f>IFERROR(BM1192*BJ1192^1/4,"")</f>
        <v/>
      </c>
      <c r="AW1192" s="105">
        <f>IFERROR(SUM(AX1192:AZ1192),"")</f>
        <v/>
      </c>
      <c r="AX1192" s="105">
        <f>IFERROR(BH1192,"")</f>
        <v/>
      </c>
      <c r="AY1192" s="105">
        <f>IFERROR(Driver!$K$19/Data!BH1192/Data!BI1192*Data!BK1192*Data!BL1192,"")</f>
        <v/>
      </c>
      <c r="AZ1192" s="105">
        <f>IFERROR(BI1192*BN1192,"")</f>
        <v/>
      </c>
      <c r="BA1192" s="105" t="n"/>
      <c r="BB1192" s="105" t="n"/>
      <c r="BC1192" s="105">
        <f>IFERROR(BI1192*BN1192*BK1192/BJ1192^(1/2),"")</f>
        <v/>
      </c>
      <c r="BD1192" s="105">
        <f>IFERROR(BH1192*BM1192*BL1192/BJ1192/BK1192,"")</f>
        <v/>
      </c>
      <c r="BE1192" s="105">
        <f>IFERROR(MIN(BI1192/BQ1192/BP1192/BO1192/BH1192,$BE$1),"")</f>
        <v/>
      </c>
      <c r="BF1192" s="105">
        <f>IFERROR(BJ1192*BO1192*BP1192/BK1192,"")</f>
        <v/>
      </c>
      <c r="BG1192" s="105">
        <f>IFERROR(1/BM1192/BH1192*BQ1192,"")</f>
        <v/>
      </c>
      <c r="BH1192" s="102">
        <f>MAX((CE1192-Driver!$F$200)/(Driver!$G$200-Driver!$F$200)*$BI$1,1)</f>
        <v/>
      </c>
      <c r="BI1192" s="102">
        <f>MAX($BI$1*(BY1192-Driver!$F$201)/(Driver!$G$201-Driver!$F$201),1)</f>
        <v/>
      </c>
      <c r="BJ1192" s="102">
        <f>(CB1192-Driver!$F$206)/(Driver!$G$206-Driver!$F$206)*$BI$1</f>
        <v/>
      </c>
      <c r="BK1192" s="102">
        <f>(CD1192-Driver!$F$203)/(Driver!$G$203-Driver!$F$203)*$BI$1</f>
        <v/>
      </c>
      <c r="BL1192" s="102">
        <f>MAX((CR1192-Driver!$F$202)/(Driver!$G$202-Driver!$F$202)*$BI$1,1)</f>
        <v/>
      </c>
      <c r="BM1192" s="102">
        <f>MAX((CH1192-Driver!$F$204)/(Driver!$G$204-Driver!$F$204)*$BI$1,1)</f>
        <v/>
      </c>
      <c r="BN1192" s="102">
        <f>(CI1192-Driver!$F$205)/(Driver!$G$205-Driver!$F$205)*$BI$1</f>
        <v/>
      </c>
      <c r="BO1192" s="102">
        <f>(CK1192-Driver!$F$207)/(Driver!$G$207-Driver!$F$207)*$BI$1</f>
        <v/>
      </c>
      <c r="BP1192" s="102">
        <f>(CM1192-Driver!$F$208)/(Driver!$G$208-Driver!$F$208)*$BI$1</f>
        <v/>
      </c>
      <c r="BQ1192" s="102">
        <f>(CL1192-Driver!$F$209)/(Driver!$G$209-Driver!$F$209)*$BI$1</f>
        <v/>
      </c>
      <c r="BR1192" s="40" t="inlineStr">
        <is>
          <t>21/22</t>
        </is>
      </c>
      <c r="BS1192" s="10" t="inlineStr">
        <is>
          <t xml:space="preserve"> Nordica</t>
        </is>
      </c>
      <c r="BT1192" s="11" t="inlineStr">
        <is>
          <t>Spitfire 70 Pro</t>
        </is>
      </c>
      <c r="BU1192" s="13" t="n">
        <v>170</v>
      </c>
      <c r="BV1192" s="11" t="inlineStr">
        <is>
          <t xml:space="preserve"> Unisex</t>
        </is>
      </c>
      <c r="BW1192" s="13" t="n">
        <v>170</v>
      </c>
      <c r="BX1192" s="13" t="n">
        <v>169.2</v>
      </c>
      <c r="BY1192" s="13" t="n">
        <v>151</v>
      </c>
      <c r="BZ1192" s="13" t="n">
        <v>157</v>
      </c>
      <c r="CA1192" s="13" t="n">
        <v>120</v>
      </c>
      <c r="CB1192" s="13" t="n">
        <v>69</v>
      </c>
      <c r="CC1192" s="13" t="n">
        <v>100</v>
      </c>
      <c r="CD1192" s="13" t="n">
        <v>15.2</v>
      </c>
      <c r="CE1192" s="13" t="n">
        <v>2064</v>
      </c>
      <c r="CF1192" s="13" t="n">
        <v>0.6899999999999999</v>
      </c>
      <c r="CG1192" s="13" t="n">
        <v>1427</v>
      </c>
      <c r="CH1192" s="13" t="n">
        <v>198</v>
      </c>
      <c r="CI1192" s="13" t="n">
        <v>125</v>
      </c>
      <c r="CJ1192" s="13" t="n">
        <v>36</v>
      </c>
      <c r="CK1192" s="13" t="n">
        <v>133</v>
      </c>
      <c r="CL1192" s="13" t="n">
        <v>6</v>
      </c>
      <c r="CM1192" s="13" t="n">
        <v>49</v>
      </c>
      <c r="CN1192" s="13" t="n">
        <v>0.164</v>
      </c>
      <c r="CO1192" s="13" t="n">
        <v>67</v>
      </c>
      <c r="CP1192" s="13" t="n">
        <v>52</v>
      </c>
      <c r="CQ1192" s="13" t="n">
        <v>66</v>
      </c>
      <c r="CR1192" s="13" t="n">
        <v>9</v>
      </c>
      <c r="CS1192" s="13" t="n">
        <v>13.2</v>
      </c>
      <c r="CT1192" s="11" t="inlineStr">
        <is>
          <t xml:space="preserve"> On-Piste Carving</t>
        </is>
      </c>
      <c r="CU1192" s="13" t="n"/>
      <c r="CV1192" s="13" t="n"/>
      <c r="CW1192" s="13" t="n"/>
      <c r="CX1192">
        <f>INDEX('Data_Price '!AG$2:AG$1266,MATCH(Data!$DN1192,'Data_Price '!$AT$2:$AT$1266,0))</f>
        <v/>
      </c>
      <c r="CY1192">
        <f>INDEX('Data_Price '!AH$2:AH$1266,MATCH(Data!$DN1192,'Data_Price '!$AT$2:$AT$1266,0))</f>
        <v/>
      </c>
      <c r="CZ1192">
        <f>INDEX('Data_Price '!AI$2:AI$1266,MATCH(Data!$DN1192,'Data_Price '!$AT$2:$AT$1266,0))</f>
        <v/>
      </c>
      <c r="DA1192">
        <f>INDEX('Data_Price '!AJ$2:AJ$1266,MATCH(Data!$DN1192,'Data_Price '!$AT$2:$AT$1266,0))</f>
        <v/>
      </c>
      <c r="DB1192">
        <f>INDEX('Data_Price '!AK$2:AK$1266,MATCH(Data!$DN1192,'Data_Price '!$AT$2:$AT$1266,0))</f>
        <v/>
      </c>
      <c r="DC1192">
        <f>INDEX('Data_Price '!AL$2:AL$1266,MATCH(Data!$DN1192,'Data_Price '!$AT$2:$AT$1266,0))</f>
        <v/>
      </c>
      <c r="DD1192">
        <f>INDEX('Data_Price '!AM$2:AM$1266,MATCH(Data!$DN1192,'Data_Price '!$AT$2:$AT$1266,0))</f>
        <v/>
      </c>
      <c r="DE1192">
        <f>INDEX('Data_Price '!AN$2:AN$1266,MATCH(Data!$DN1192,'Data_Price '!$AT$2:$AT$1266,0))</f>
        <v/>
      </c>
      <c r="DF1192">
        <f>INDEX('Data_Price '!AO$2:AO$1266,MATCH(Data!$DN1192,'Data_Price '!$AT$2:$AT$1266,0))</f>
        <v/>
      </c>
      <c r="DG1192">
        <f>INDEX('Data_Price '!AP$2:AP$1266,MATCH(Data!$DN1192,'Data_Price '!$AT$2:$AT$1266,0))</f>
        <v/>
      </c>
      <c r="DH1192">
        <f>INDEX('Data_Price '!AQ$2:AQ$1266,MATCH(Data!$DN1192,'Data_Price '!$AT$2:$AT$1266,0))</f>
        <v/>
      </c>
      <c r="DI1192">
        <f>INDEX('Data_Price '!AR$2:AR$1266,MATCH(Data!$DN1192,'Data_Price '!$AT$2:$AT$1266,0))</f>
        <v/>
      </c>
      <c r="DJ1192" s="138">
        <f>DA1192</f>
        <v/>
      </c>
      <c r="DK1192" s="138">
        <f>DE1192</f>
        <v/>
      </c>
      <c r="DL1192" s="138">
        <f>DI1192</f>
        <v/>
      </c>
      <c r="DM1192" s="303">
        <f>IF(LEFT(BT1192,1)=" ",RIGHT(BT1192,LEN(BT1192)-1),BT1192)</f>
        <v/>
      </c>
      <c r="DN1192" s="138">
        <f>_xlfn.CONCAT(BS1192,DM1192,BU1192,BV1192)</f>
        <v/>
      </c>
      <c r="DO1192" s="307" t="n"/>
    </row>
    <row r="1193" ht="15.6" customHeight="1" s="184">
      <c r="B1193" s="303">
        <f t="array" ref="B1193">IF(OR(ISERROR(K1193:P1193)),FALSE,TRUE)</f>
        <v/>
      </c>
      <c r="C1193" s="60">
        <f>OR(BR1193=Driver!$G$50,Data!BR20=Driver!$H$50)</f>
        <v/>
      </c>
      <c r="D1193" s="60">
        <f>OR(BV1193=Driver!$G$51,BV1193=Driver!$H$51)</f>
        <v/>
      </c>
      <c r="E1193" s="60">
        <f>AND(BX1193&gt;Driver!$F$54,BX1193&lt;Driver!$G$54)</f>
        <v/>
      </c>
      <c r="F1193" s="60">
        <f>CL1193&gt;Driver!$F$56</f>
        <v/>
      </c>
      <c r="G1193" s="60">
        <f>AND(CB1193&gt;Driver!$F$55,CB1193&lt;Driver!$G$55)</f>
        <v/>
      </c>
      <c r="H1193" s="60">
        <f>AND(B1193:G1193)</f>
        <v/>
      </c>
      <c r="I1193" s="60">
        <f>COUNTIFS($H$9:$H$1273,TRUE,$BT$9:$BT$1273,BT1193)</f>
        <v/>
      </c>
      <c r="J1193" s="60">
        <f t="array" ref="J1193">NOT(OR(($H$9:$H$1273=TRUE)*($I$9:$I$1273&gt;0)*($BT$9:$BT$1273=BT1193)*($K$9:$K$1273&gt;K1193)))</f>
        <v/>
      </c>
      <c r="K1193" s="108">
        <f>IFERROR(1-AVERAGE(X1193:Y1193),"")</f>
        <v/>
      </c>
      <c r="L1193" s="108">
        <f>1-X1193</f>
        <v/>
      </c>
      <c r="M1193" s="108">
        <f>1-Y1193</f>
        <v/>
      </c>
      <c r="N1193" s="108">
        <f>1-Z1193</f>
        <v/>
      </c>
      <c r="O1193" s="108">
        <f>1-AA1193</f>
        <v/>
      </c>
      <c r="P1193" s="108">
        <f>1-AB1193</f>
        <v/>
      </c>
      <c r="Q1193" s="108" t="n"/>
      <c r="R1193" s="108" t="n"/>
      <c r="S1193" s="108">
        <f>1-AE1193</f>
        <v/>
      </c>
      <c r="T1193" s="108">
        <f>1-AF1193</f>
        <v/>
      </c>
      <c r="U1193" s="108">
        <f>1-AG1193</f>
        <v/>
      </c>
      <c r="V1193" s="108">
        <f>1-AH1193</f>
        <v/>
      </c>
      <c r="W1193" s="108">
        <f>1-AI1193</f>
        <v/>
      </c>
      <c r="X1193" s="108">
        <f>ABS(AJ1193-AJ$1)</f>
        <v/>
      </c>
      <c r="Y1193" s="108">
        <f>AVERAGE(Z1193:AB1193)</f>
        <v/>
      </c>
      <c r="Z1193" s="108">
        <f>ABS(AL1193-AL$1)</f>
        <v/>
      </c>
      <c r="AA1193" s="108">
        <f>ABS(AM1193-AM$1)</f>
        <v/>
      </c>
      <c r="AB1193" s="108">
        <f>ABS(AN1193-AN$1)</f>
        <v/>
      </c>
      <c r="AC1193" s="108" t="n"/>
      <c r="AD1193" s="108" t="n"/>
      <c r="AE1193" s="108">
        <f>ABS(AQ$1-AQ1193)</f>
        <v/>
      </c>
      <c r="AF1193" s="108">
        <f>ABS(AR$1-AR1193)</f>
        <v/>
      </c>
      <c r="AG1193" s="108">
        <f>ABS(AS$1-AS1193)</f>
        <v/>
      </c>
      <c r="AH1193" s="108">
        <f>ABS(AT$1-AT1193)</f>
        <v/>
      </c>
      <c r="AI1193" s="108">
        <f>ABS(AU$1-AU1193)</f>
        <v/>
      </c>
      <c r="AJ1193" s="108">
        <f>(AV1193-Driver!$K$179)/(Driver!$L$179-Driver!$K$179)</f>
        <v/>
      </c>
      <c r="AK1193" s="108">
        <f>(AW1193-Driver!$K$180)/(Driver!$L$180-Driver!$K$180)</f>
        <v/>
      </c>
      <c r="AL1193" s="108">
        <f>(AX1193-Driver!$K$181)/(Driver!$L$181-Driver!$K$181)</f>
        <v/>
      </c>
      <c r="AM1193" s="108">
        <f>(AY1193-Driver!$K$182)/(Driver!$L$182-Driver!$K$182)</f>
        <v/>
      </c>
      <c r="AN1193" s="108">
        <f>(AZ1193-Driver!$K$183)/(Driver!$L$183-Driver!$K$183)</f>
        <v/>
      </c>
      <c r="AO1193" s="108" t="n"/>
      <c r="AP1193" s="108" t="n"/>
      <c r="AQ1193" s="108">
        <f>(BC1193-Driver!$K$188)/(Driver!$L$188-Driver!$K$188)</f>
        <v/>
      </c>
      <c r="AR1193" s="108">
        <f>MIN((BD1193-Driver!$K$189)/(Driver!$L$189-Driver!$K$189),100%)</f>
        <v/>
      </c>
      <c r="AS1193" s="108">
        <f>(BE1193-Driver!$K$190)/(Driver!$L$190-Driver!$K$190)</f>
        <v/>
      </c>
      <c r="AT1193" s="108">
        <f>(BF1193-Driver!$K$191)/(Driver!$L$191-Driver!$K$191)</f>
        <v/>
      </c>
      <c r="AU1193" s="108">
        <f>(BG1193-Driver!$K$192)/(Driver!$L$192-Driver!$K$192)</f>
        <v/>
      </c>
      <c r="AV1193" s="105">
        <f>IFERROR(BM1193*BJ1193^1/4,"")</f>
        <v/>
      </c>
      <c r="AW1193" s="105">
        <f>IFERROR(SUM(AX1193:AZ1193),"")</f>
        <v/>
      </c>
      <c r="AX1193" s="105">
        <f>IFERROR(BH1193,"")</f>
        <v/>
      </c>
      <c r="AY1193" s="105">
        <f>IFERROR(Driver!$K$19/Data!BH1193/Data!BI1193*Data!BK1193*Data!BL1193,"")</f>
        <v/>
      </c>
      <c r="AZ1193" s="105">
        <f>IFERROR(BI1193*BN1193,"")</f>
        <v/>
      </c>
      <c r="BA1193" s="105" t="n"/>
      <c r="BB1193" s="105" t="n"/>
      <c r="BC1193" s="105">
        <f>IFERROR(BI1193*BN1193*BK1193/BJ1193^(1/2),"")</f>
        <v/>
      </c>
      <c r="BD1193" s="105">
        <f>IFERROR(BH1193*BM1193*BL1193/BJ1193/BK1193,"")</f>
        <v/>
      </c>
      <c r="BE1193" s="105">
        <f>IFERROR(MIN(BI1193/BQ1193/BP1193/BO1193/BH1193,$BE$1),"")</f>
        <v/>
      </c>
      <c r="BF1193" s="105">
        <f>IFERROR(BJ1193*BO1193*BP1193/BK1193,"")</f>
        <v/>
      </c>
      <c r="BG1193" s="105">
        <f>IFERROR(1/BM1193/BH1193*BQ1193,"")</f>
        <v/>
      </c>
      <c r="BH1193" s="102">
        <f>MAX((CE1193-Driver!$F$200)/(Driver!$G$200-Driver!$F$200)*$BI$1,1)</f>
        <v/>
      </c>
      <c r="BI1193" s="102">
        <f>MAX($BI$1*(BY1193-Driver!$F$201)/(Driver!$G$201-Driver!$F$201),1)</f>
        <v/>
      </c>
      <c r="BJ1193" s="102">
        <f>(CB1193-Driver!$F$206)/(Driver!$G$206-Driver!$F$206)*$BI$1</f>
        <v/>
      </c>
      <c r="BK1193" s="102">
        <f>(CD1193-Driver!$F$203)/(Driver!$G$203-Driver!$F$203)*$BI$1</f>
        <v/>
      </c>
      <c r="BL1193" s="102">
        <f>MAX((CR1193-Driver!$F$202)/(Driver!$G$202-Driver!$F$202)*$BI$1,1)</f>
        <v/>
      </c>
      <c r="BM1193" s="102">
        <f>MAX((CH1193-Driver!$F$204)/(Driver!$G$204-Driver!$F$204)*$BI$1,1)</f>
        <v/>
      </c>
      <c r="BN1193" s="102">
        <f>(CI1193-Driver!$F$205)/(Driver!$G$205-Driver!$F$205)*$BI$1</f>
        <v/>
      </c>
      <c r="BO1193" s="102">
        <f>(CK1193-Driver!$F$207)/(Driver!$G$207-Driver!$F$207)*$BI$1</f>
        <v/>
      </c>
      <c r="BP1193" s="102">
        <f>(CM1193-Driver!$F$208)/(Driver!$G$208-Driver!$F$208)*$BI$1</f>
        <v/>
      </c>
      <c r="BQ1193" s="102">
        <f>(CL1193-Driver!$F$209)/(Driver!$G$209-Driver!$F$209)*$BI$1</f>
        <v/>
      </c>
      <c r="BR1193" s="40" t="inlineStr">
        <is>
          <t>21/22</t>
        </is>
      </c>
      <c r="BS1193" s="10" t="inlineStr">
        <is>
          <t xml:space="preserve"> 4FRNT</t>
        </is>
      </c>
      <c r="BT1193" s="11" t="inlineStr">
        <is>
          <t>MSP 99</t>
        </is>
      </c>
      <c r="BU1193" s="13" t="n">
        <v>181</v>
      </c>
      <c r="BV1193" s="11" t="inlineStr">
        <is>
          <t xml:space="preserve"> Unisex</t>
        </is>
      </c>
      <c r="BW1193" s="13" t="n">
        <v>181</v>
      </c>
      <c r="BX1193" s="13" t="n">
        <v>180.2</v>
      </c>
      <c r="BY1193" s="13" t="n">
        <v>131</v>
      </c>
      <c r="BZ1193" s="13" t="n">
        <v>151</v>
      </c>
      <c r="CA1193" s="13" t="n">
        <v>134</v>
      </c>
      <c r="CB1193" s="13" t="n">
        <v>98</v>
      </c>
      <c r="CC1193" s="13" t="n">
        <v>122</v>
      </c>
      <c r="CD1193" s="13" t="n">
        <v>17.8</v>
      </c>
      <c r="CE1193" s="13" t="n">
        <v>2261</v>
      </c>
      <c r="CF1193" s="13" t="n">
        <v>0.88</v>
      </c>
      <c r="CG1193" s="13" t="n">
        <v>1982</v>
      </c>
      <c r="CH1193" s="13" t="n">
        <v>248</v>
      </c>
      <c r="CI1193" s="13" t="n">
        <v>153</v>
      </c>
      <c r="CJ1193" s="13" t="n">
        <v>51</v>
      </c>
      <c r="CK1193" s="13" t="n">
        <v>285</v>
      </c>
      <c r="CL1193" s="13" t="n">
        <v>14</v>
      </c>
      <c r="CM1193" s="13" t="n">
        <v>206</v>
      </c>
      <c r="CN1193" s="13" t="n">
        <v>0.283</v>
      </c>
      <c r="CO1193" s="13" t="n">
        <v>160</v>
      </c>
      <c r="CP1193" s="13" t="n">
        <v>132</v>
      </c>
      <c r="CQ1193" s="13" t="n">
        <v>125</v>
      </c>
      <c r="CR1193" s="13" t="n">
        <v>5</v>
      </c>
      <c r="CS1193" s="13" t="n">
        <v>8.9</v>
      </c>
      <c r="CT1193" s="11" t="inlineStr">
        <is>
          <t xml:space="preserve"> Resort Freeride</t>
        </is>
      </c>
      <c r="CU1193" s="13" t="n"/>
      <c r="CV1193" s="13" t="n"/>
      <c r="CW1193" s="13" t="n"/>
      <c r="CX1193">
        <f>INDEX('Data_Price '!AG$2:AG$1266,MATCH(Data!$DN1193,'Data_Price '!$AT$2:$AT$1266,0))</f>
        <v/>
      </c>
      <c r="CY1193">
        <f>INDEX('Data_Price '!AH$2:AH$1266,MATCH(Data!$DN1193,'Data_Price '!$AT$2:$AT$1266,0))</f>
        <v/>
      </c>
      <c r="CZ1193">
        <f>INDEX('Data_Price '!AI$2:AI$1266,MATCH(Data!$DN1193,'Data_Price '!$AT$2:$AT$1266,0))</f>
        <v/>
      </c>
      <c r="DA1193">
        <f>INDEX('Data_Price '!AJ$2:AJ$1266,MATCH(Data!$DN1193,'Data_Price '!$AT$2:$AT$1266,0))</f>
        <v/>
      </c>
      <c r="DB1193">
        <f>INDEX('Data_Price '!AK$2:AK$1266,MATCH(Data!$DN1193,'Data_Price '!$AT$2:$AT$1266,0))</f>
        <v/>
      </c>
      <c r="DC1193">
        <f>INDEX('Data_Price '!AL$2:AL$1266,MATCH(Data!$DN1193,'Data_Price '!$AT$2:$AT$1266,0))</f>
        <v/>
      </c>
      <c r="DD1193">
        <f>INDEX('Data_Price '!AM$2:AM$1266,MATCH(Data!$DN1193,'Data_Price '!$AT$2:$AT$1266,0))</f>
        <v/>
      </c>
      <c r="DE1193">
        <f>INDEX('Data_Price '!AN$2:AN$1266,MATCH(Data!$DN1193,'Data_Price '!$AT$2:$AT$1266,0))</f>
        <v/>
      </c>
      <c r="DF1193">
        <f>INDEX('Data_Price '!AO$2:AO$1266,MATCH(Data!$DN1193,'Data_Price '!$AT$2:$AT$1266,0))</f>
        <v/>
      </c>
      <c r="DG1193">
        <f>INDEX('Data_Price '!AP$2:AP$1266,MATCH(Data!$DN1193,'Data_Price '!$AT$2:$AT$1266,0))</f>
        <v/>
      </c>
      <c r="DH1193">
        <f>INDEX('Data_Price '!AQ$2:AQ$1266,MATCH(Data!$DN1193,'Data_Price '!$AT$2:$AT$1266,0))</f>
        <v/>
      </c>
      <c r="DI1193">
        <f>INDEX('Data_Price '!AR$2:AR$1266,MATCH(Data!$DN1193,'Data_Price '!$AT$2:$AT$1266,0))</f>
        <v/>
      </c>
      <c r="DJ1193" s="138">
        <f>DA1193</f>
        <v/>
      </c>
      <c r="DK1193" s="138">
        <f>DE1193</f>
        <v/>
      </c>
      <c r="DL1193" s="138">
        <f>DI1193</f>
        <v/>
      </c>
      <c r="DM1193" s="303">
        <f>IF(LEFT(BT1193,1)=" ",RIGHT(BT1193,LEN(BT1193)-1),BT1193)</f>
        <v/>
      </c>
      <c r="DN1193" s="138">
        <f>_xlfn.CONCAT(BS1193,DM1193,BU1193,BV1193)</f>
        <v/>
      </c>
      <c r="DO1193" s="307" t="n"/>
    </row>
    <row r="1194" ht="15.6" customHeight="1" s="184">
      <c r="B1194" s="303">
        <f t="array" ref="B1194">IF(OR(ISERROR(K1194:P1194)),FALSE,TRUE)</f>
        <v/>
      </c>
      <c r="C1194" s="60">
        <f>OR(BR1194=Driver!$G$50,Data!BR466=Driver!$H$50)</f>
        <v/>
      </c>
      <c r="D1194" s="60">
        <f>OR(BV1194=Driver!$G$51,BV1194=Driver!$H$51)</f>
        <v/>
      </c>
      <c r="E1194" s="60">
        <f>AND(BX1194&gt;Driver!$F$54,BX1194&lt;Driver!$G$54)</f>
        <v/>
      </c>
      <c r="F1194" s="60">
        <f>CL1194&gt;Driver!$F$56</f>
        <v/>
      </c>
      <c r="G1194" s="60">
        <f>AND(CB1194&gt;Driver!$F$55,CB1194&lt;Driver!$G$55)</f>
        <v/>
      </c>
      <c r="H1194" s="60">
        <f>AND(B1194:G1194)</f>
        <v/>
      </c>
      <c r="I1194" s="60">
        <f>COUNTIFS($H$9:$H$1273,TRUE,$BT$9:$BT$1273,BT1194)</f>
        <v/>
      </c>
      <c r="J1194" s="60">
        <f t="array" ref="J1194">NOT(OR(($H$9:$H$1273=TRUE)*($I$9:$I$1273&gt;0)*($BT$9:$BT$1273=BT1194)*($K$9:$K$1273&gt;K1194)))</f>
        <v/>
      </c>
      <c r="K1194" s="108">
        <f>IFERROR(1-AVERAGE(X1194:Y1194),"")</f>
        <v/>
      </c>
      <c r="L1194" s="108">
        <f>1-X1194</f>
        <v/>
      </c>
      <c r="M1194" s="108">
        <f>1-Y1194</f>
        <v/>
      </c>
      <c r="N1194" s="108">
        <f>1-Z1194</f>
        <v/>
      </c>
      <c r="O1194" s="108">
        <f>1-AA1194</f>
        <v/>
      </c>
      <c r="P1194" s="108">
        <f>1-AB1194</f>
        <v/>
      </c>
      <c r="Q1194" s="108" t="n"/>
      <c r="R1194" s="108" t="n"/>
      <c r="S1194" s="108">
        <f>1-AE1194</f>
        <v/>
      </c>
      <c r="T1194" s="108">
        <f>1-AF1194</f>
        <v/>
      </c>
      <c r="U1194" s="108">
        <f>1-AG1194</f>
        <v/>
      </c>
      <c r="V1194" s="108">
        <f>1-AH1194</f>
        <v/>
      </c>
      <c r="W1194" s="108">
        <f>1-AI1194</f>
        <v/>
      </c>
      <c r="X1194" s="108">
        <f>ABS(AJ1194-AJ$1)</f>
        <v/>
      </c>
      <c r="Y1194" s="108">
        <f>AVERAGE(Z1194:AB1194)</f>
        <v/>
      </c>
      <c r="Z1194" s="108">
        <f>ABS(AL1194-AL$1)</f>
        <v/>
      </c>
      <c r="AA1194" s="108">
        <f>ABS(AM1194-AM$1)</f>
        <v/>
      </c>
      <c r="AB1194" s="108">
        <f>ABS(AN1194-AN$1)</f>
        <v/>
      </c>
      <c r="AC1194" s="108" t="n"/>
      <c r="AD1194" s="108" t="n"/>
      <c r="AE1194" s="108">
        <f>ABS(AQ$1-AQ1194)</f>
        <v/>
      </c>
      <c r="AF1194" s="108">
        <f>ABS(AR$1-AR1194)</f>
        <v/>
      </c>
      <c r="AG1194" s="108">
        <f>ABS(AS$1-AS1194)</f>
        <v/>
      </c>
      <c r="AH1194" s="108">
        <f>ABS(AT$1-AT1194)</f>
        <v/>
      </c>
      <c r="AI1194" s="108">
        <f>ABS(AU$1-AU1194)</f>
        <v/>
      </c>
      <c r="AJ1194" s="108">
        <f>(AV1194-Driver!$K$179)/(Driver!$L$179-Driver!$K$179)</f>
        <v/>
      </c>
      <c r="AK1194" s="108">
        <f>(AW1194-Driver!$K$180)/(Driver!$L$180-Driver!$K$180)</f>
        <v/>
      </c>
      <c r="AL1194" s="108">
        <f>(AX1194-Driver!$K$181)/(Driver!$L$181-Driver!$K$181)</f>
        <v/>
      </c>
      <c r="AM1194" s="108">
        <f>(AY1194-Driver!$K$182)/(Driver!$L$182-Driver!$K$182)</f>
        <v/>
      </c>
      <c r="AN1194" s="108">
        <f>(AZ1194-Driver!$K$183)/(Driver!$L$183-Driver!$K$183)</f>
        <v/>
      </c>
      <c r="AO1194" s="108" t="n"/>
      <c r="AP1194" s="108" t="n"/>
      <c r="AQ1194" s="108">
        <f>(BC1194-Driver!$K$188)/(Driver!$L$188-Driver!$K$188)</f>
        <v/>
      </c>
      <c r="AR1194" s="108">
        <f>MIN((BD1194-Driver!$K$189)/(Driver!$L$189-Driver!$K$189),100%)</f>
        <v/>
      </c>
      <c r="AS1194" s="108">
        <f>(BE1194-Driver!$K$190)/(Driver!$L$190-Driver!$K$190)</f>
        <v/>
      </c>
      <c r="AT1194" s="108">
        <f>(BF1194-Driver!$K$191)/(Driver!$L$191-Driver!$K$191)</f>
        <v/>
      </c>
      <c r="AU1194" s="108">
        <f>(BG1194-Driver!$K$192)/(Driver!$L$192-Driver!$K$192)</f>
        <v/>
      </c>
      <c r="AV1194" s="105">
        <f>IFERROR(BM1194*BJ1194^1/4,"")</f>
        <v/>
      </c>
      <c r="AW1194" s="105">
        <f>IFERROR(SUM(AX1194:AZ1194),"")</f>
        <v/>
      </c>
      <c r="AX1194" s="105">
        <f>IFERROR(BH1194,"")</f>
        <v/>
      </c>
      <c r="AY1194" s="105">
        <f>IFERROR(Driver!$K$19/Data!BH1194/Data!BI1194*Data!BK1194*Data!BL1194,"")</f>
        <v/>
      </c>
      <c r="AZ1194" s="105">
        <f>IFERROR(BI1194*BN1194,"")</f>
        <v/>
      </c>
      <c r="BA1194" s="105" t="n"/>
      <c r="BB1194" s="105" t="n"/>
      <c r="BC1194" s="105">
        <f>IFERROR(BI1194*BN1194*BK1194/BJ1194^(1/2),"")</f>
        <v/>
      </c>
      <c r="BD1194" s="105">
        <f>IFERROR(BH1194*BM1194*BL1194/BJ1194/BK1194,"")</f>
        <v/>
      </c>
      <c r="BE1194" s="105">
        <f>IFERROR(MIN(BI1194/BQ1194/BP1194/BO1194/BH1194,$BE$1),"")</f>
        <v/>
      </c>
      <c r="BF1194" s="105">
        <f>IFERROR(BJ1194*BO1194*BP1194/BK1194,"")</f>
        <v/>
      </c>
      <c r="BG1194" s="105">
        <f>IFERROR(1/BM1194/BH1194*BQ1194,"")</f>
        <v/>
      </c>
      <c r="BH1194" s="102">
        <f>MAX((CE1194-Driver!$F$200)/(Driver!$G$200-Driver!$F$200)*$BI$1,1)</f>
        <v/>
      </c>
      <c r="BI1194" s="102">
        <f>MAX($BI$1*(BY1194-Driver!$F$201)/(Driver!$G$201-Driver!$F$201),1)</f>
        <v/>
      </c>
      <c r="BJ1194" s="102">
        <f>(CB1194-Driver!$F$206)/(Driver!$G$206-Driver!$F$206)*$BI$1</f>
        <v/>
      </c>
      <c r="BK1194" s="102">
        <f>(CD1194-Driver!$F$203)/(Driver!$G$203-Driver!$F$203)*$BI$1</f>
        <v/>
      </c>
      <c r="BL1194" s="102">
        <f>MAX((CR1194-Driver!$F$202)/(Driver!$G$202-Driver!$F$202)*$BI$1,1)</f>
        <v/>
      </c>
      <c r="BM1194" s="102">
        <f>MAX((CH1194-Driver!$F$204)/(Driver!$G$204-Driver!$F$204)*$BI$1,1)</f>
        <v/>
      </c>
      <c r="BN1194" s="102">
        <f>(CI1194-Driver!$F$205)/(Driver!$G$205-Driver!$F$205)*$BI$1</f>
        <v/>
      </c>
      <c r="BO1194" s="102">
        <f>(CK1194-Driver!$F$207)/(Driver!$G$207-Driver!$F$207)*$BI$1</f>
        <v/>
      </c>
      <c r="BP1194" s="102">
        <f>(CM1194-Driver!$F$208)/(Driver!$G$208-Driver!$F$208)*$BI$1</f>
        <v/>
      </c>
      <c r="BQ1194" s="102">
        <f>(CL1194-Driver!$F$209)/(Driver!$G$209-Driver!$F$209)*$BI$1</f>
        <v/>
      </c>
      <c r="BR1194" s="40" t="inlineStr">
        <is>
          <t>21/22</t>
        </is>
      </c>
      <c r="BS1194" s="10" t="inlineStr">
        <is>
          <t xml:space="preserve"> Elan</t>
        </is>
      </c>
      <c r="BT1194" s="11" t="inlineStr">
        <is>
          <t xml:space="preserve"> Snow Black</t>
        </is>
      </c>
      <c r="BU1194" s="13" t="n">
        <v>146</v>
      </c>
      <c r="BV1194" s="11" t="inlineStr">
        <is>
          <t xml:space="preserve"> Women's</t>
        </is>
      </c>
      <c r="BW1194" s="13" t="n">
        <v>146</v>
      </c>
      <c r="BX1194" s="13" t="n">
        <v>145</v>
      </c>
      <c r="BY1194" s="13" t="n">
        <v>123</v>
      </c>
      <c r="BZ1194" s="13" t="n">
        <v>133</v>
      </c>
      <c r="CA1194" s="13" t="n">
        <v>122</v>
      </c>
      <c r="CB1194" s="13" t="n">
        <v>73</v>
      </c>
      <c r="CC1194" s="13" t="n">
        <v>102</v>
      </c>
      <c r="CD1194" s="13" t="n">
        <v>11.5</v>
      </c>
      <c r="CE1194" s="13" t="n">
        <v>1356</v>
      </c>
      <c r="CF1194" s="13" t="n">
        <v>0.9399999999999999</v>
      </c>
      <c r="CG1194" s="13" t="n">
        <v>1273</v>
      </c>
      <c r="CH1194" s="13" t="n">
        <v>135</v>
      </c>
      <c r="CI1194" s="13" t="n">
        <v>48</v>
      </c>
      <c r="CJ1194" s="13" t="n">
        <v>33</v>
      </c>
      <c r="CK1194" s="13" t="n">
        <v>151</v>
      </c>
      <c r="CL1194" s="13" t="n">
        <v>6</v>
      </c>
      <c r="CM1194" s="13" t="n">
        <v>70</v>
      </c>
      <c r="CN1194" s="13" t="n">
        <v>0.175</v>
      </c>
      <c r="CO1194" s="13" t="n">
        <v>78</v>
      </c>
      <c r="CP1194" s="13" t="n">
        <v>37</v>
      </c>
      <c r="CQ1194" s="13" t="n">
        <v>73</v>
      </c>
      <c r="CR1194" s="13" t="n">
        <v>8</v>
      </c>
      <c r="CS1194" s="13" t="n">
        <v>8.5</v>
      </c>
      <c r="CT1194" s="11" t="inlineStr">
        <is>
          <t xml:space="preserve"> On-Piste Carving</t>
        </is>
      </c>
      <c r="CU1194" s="13" t="n"/>
      <c r="CV1194" s="13" t="n"/>
      <c r="CW1194" s="13" t="n"/>
      <c r="CX1194">
        <f>INDEX('Data_Price '!AG$2:AG$1266,MATCH(Data!$DN1194,'Data_Price '!$AT$2:$AT$1266,0))</f>
        <v/>
      </c>
      <c r="CY1194">
        <f>INDEX('Data_Price '!AH$2:AH$1266,MATCH(Data!$DN1194,'Data_Price '!$AT$2:$AT$1266,0))</f>
        <v/>
      </c>
      <c r="CZ1194">
        <f>INDEX('Data_Price '!AI$2:AI$1266,MATCH(Data!$DN1194,'Data_Price '!$AT$2:$AT$1266,0))</f>
        <v/>
      </c>
      <c r="DA1194">
        <f>INDEX('Data_Price '!AJ$2:AJ$1266,MATCH(Data!$DN1194,'Data_Price '!$AT$2:$AT$1266,0))</f>
        <v/>
      </c>
      <c r="DB1194">
        <f>INDEX('Data_Price '!AK$2:AK$1266,MATCH(Data!$DN1194,'Data_Price '!$AT$2:$AT$1266,0))</f>
        <v/>
      </c>
      <c r="DC1194">
        <f>INDEX('Data_Price '!AL$2:AL$1266,MATCH(Data!$DN1194,'Data_Price '!$AT$2:$AT$1266,0))</f>
        <v/>
      </c>
      <c r="DD1194">
        <f>INDEX('Data_Price '!AM$2:AM$1266,MATCH(Data!$DN1194,'Data_Price '!$AT$2:$AT$1266,0))</f>
        <v/>
      </c>
      <c r="DE1194">
        <f>INDEX('Data_Price '!AN$2:AN$1266,MATCH(Data!$DN1194,'Data_Price '!$AT$2:$AT$1266,0))</f>
        <v/>
      </c>
      <c r="DF1194">
        <f>INDEX('Data_Price '!AO$2:AO$1266,MATCH(Data!$DN1194,'Data_Price '!$AT$2:$AT$1266,0))</f>
        <v/>
      </c>
      <c r="DG1194">
        <f>INDEX('Data_Price '!AP$2:AP$1266,MATCH(Data!$DN1194,'Data_Price '!$AT$2:$AT$1266,0))</f>
        <v/>
      </c>
      <c r="DH1194">
        <f>INDEX('Data_Price '!AQ$2:AQ$1266,MATCH(Data!$DN1194,'Data_Price '!$AT$2:$AT$1266,0))</f>
        <v/>
      </c>
      <c r="DI1194">
        <f>INDEX('Data_Price '!AR$2:AR$1266,MATCH(Data!$DN1194,'Data_Price '!$AT$2:$AT$1266,0))</f>
        <v/>
      </c>
      <c r="DJ1194" s="138">
        <f>DA1194</f>
        <v/>
      </c>
      <c r="DK1194" s="138">
        <f>DE1194</f>
        <v/>
      </c>
      <c r="DL1194" s="138">
        <f>DI1194</f>
        <v/>
      </c>
      <c r="DM1194" s="303">
        <f>IF(LEFT(BT1194,1)=" ",RIGHT(BT1194,LEN(BT1194)-1),BT1194)</f>
        <v/>
      </c>
      <c r="DN1194" s="138">
        <f>_xlfn.CONCAT(BS1194,DM1194,BU1194,BV1194)</f>
        <v/>
      </c>
      <c r="DO1194" s="307" t="n"/>
    </row>
    <row r="1195" ht="15.6" customHeight="1" s="184">
      <c r="B1195" s="303">
        <f t="array" ref="B1195">IF(OR(ISERROR(K1195:P1195)),FALSE,TRUE)</f>
        <v/>
      </c>
      <c r="C1195" s="60">
        <f>OR(BR1195=Driver!$G$50,Data!BR532=Driver!$H$50)</f>
        <v/>
      </c>
      <c r="D1195" s="60">
        <f>OR(BV1195=Driver!$G$51,BV1195=Driver!$H$51)</f>
        <v/>
      </c>
      <c r="E1195" s="60">
        <f>AND(BX1195&gt;Driver!$F$54,BX1195&lt;Driver!$G$54)</f>
        <v/>
      </c>
      <c r="F1195" s="60">
        <f>CL1195&gt;Driver!$F$56</f>
        <v/>
      </c>
      <c r="G1195" s="60">
        <f>AND(CB1195&gt;Driver!$F$55,CB1195&lt;Driver!$G$55)</f>
        <v/>
      </c>
      <c r="H1195" s="60">
        <f>AND(B1195:G1195)</f>
        <v/>
      </c>
      <c r="I1195" s="60">
        <f>COUNTIFS($H$9:$H$1273,TRUE,$BT$9:$BT$1273,BT1195)</f>
        <v/>
      </c>
      <c r="J1195" s="60">
        <f t="array" ref="J1195">NOT(OR(($H$9:$H$1273=TRUE)*($I$9:$I$1273&gt;0)*($BT$9:$BT$1273=BT1195)*($K$9:$K$1273&gt;K1195)))</f>
        <v/>
      </c>
      <c r="K1195" s="108">
        <f>IFERROR(1-AVERAGE(X1195:Y1195),"")</f>
        <v/>
      </c>
      <c r="L1195" s="108">
        <f>1-X1195</f>
        <v/>
      </c>
      <c r="M1195" s="108">
        <f>1-Y1195</f>
        <v/>
      </c>
      <c r="N1195" s="108">
        <f>1-Z1195</f>
        <v/>
      </c>
      <c r="O1195" s="108">
        <f>1-AA1195</f>
        <v/>
      </c>
      <c r="P1195" s="108">
        <f>1-AB1195</f>
        <v/>
      </c>
      <c r="Q1195" s="108" t="n"/>
      <c r="R1195" s="108" t="n"/>
      <c r="S1195" s="108">
        <f>1-AE1195</f>
        <v/>
      </c>
      <c r="T1195" s="108">
        <f>1-AF1195</f>
        <v/>
      </c>
      <c r="U1195" s="108">
        <f>1-AG1195</f>
        <v/>
      </c>
      <c r="V1195" s="108">
        <f>1-AH1195</f>
        <v/>
      </c>
      <c r="W1195" s="108">
        <f>1-AI1195</f>
        <v/>
      </c>
      <c r="X1195" s="108">
        <f>ABS(AJ1195-AJ$1)</f>
        <v/>
      </c>
      <c r="Y1195" s="108">
        <f>AVERAGE(Z1195:AB1195)</f>
        <v/>
      </c>
      <c r="Z1195" s="108">
        <f>ABS(AL1195-AL$1)</f>
        <v/>
      </c>
      <c r="AA1195" s="108">
        <f>ABS(AM1195-AM$1)</f>
        <v/>
      </c>
      <c r="AB1195" s="108">
        <f>ABS(AN1195-AN$1)</f>
        <v/>
      </c>
      <c r="AC1195" s="108" t="n"/>
      <c r="AD1195" s="108" t="n"/>
      <c r="AE1195" s="108">
        <f>ABS(AQ$1-AQ1195)</f>
        <v/>
      </c>
      <c r="AF1195" s="108">
        <f>ABS(AR$1-AR1195)</f>
        <v/>
      </c>
      <c r="AG1195" s="108">
        <f>ABS(AS$1-AS1195)</f>
        <v/>
      </c>
      <c r="AH1195" s="108">
        <f>ABS(AT$1-AT1195)</f>
        <v/>
      </c>
      <c r="AI1195" s="108">
        <f>ABS(AU$1-AU1195)</f>
        <v/>
      </c>
      <c r="AJ1195" s="108">
        <f>(AV1195-Driver!$K$179)/(Driver!$L$179-Driver!$K$179)</f>
        <v/>
      </c>
      <c r="AK1195" s="108">
        <f>(AW1195-Driver!$K$180)/(Driver!$L$180-Driver!$K$180)</f>
        <v/>
      </c>
      <c r="AL1195" s="108">
        <f>(AX1195-Driver!$K$181)/(Driver!$L$181-Driver!$K$181)</f>
        <v/>
      </c>
      <c r="AM1195" s="108">
        <f>(AY1195-Driver!$K$182)/(Driver!$L$182-Driver!$K$182)</f>
        <v/>
      </c>
      <c r="AN1195" s="108">
        <f>(AZ1195-Driver!$K$183)/(Driver!$L$183-Driver!$K$183)</f>
        <v/>
      </c>
      <c r="AO1195" s="108" t="n"/>
      <c r="AP1195" s="108" t="n"/>
      <c r="AQ1195" s="108">
        <f>(BC1195-Driver!$K$188)/(Driver!$L$188-Driver!$K$188)</f>
        <v/>
      </c>
      <c r="AR1195" s="108">
        <f>MIN((BD1195-Driver!$K$189)/(Driver!$L$189-Driver!$K$189),100%)</f>
        <v/>
      </c>
      <c r="AS1195" s="108">
        <f>(BE1195-Driver!$K$190)/(Driver!$L$190-Driver!$K$190)</f>
        <v/>
      </c>
      <c r="AT1195" s="108">
        <f>(BF1195-Driver!$K$191)/(Driver!$L$191-Driver!$K$191)</f>
        <v/>
      </c>
      <c r="AU1195" s="108">
        <f>(BG1195-Driver!$K$192)/(Driver!$L$192-Driver!$K$192)</f>
        <v/>
      </c>
      <c r="AV1195" s="105">
        <f>IFERROR(BM1195*BJ1195^1/4,"")</f>
        <v/>
      </c>
      <c r="AW1195" s="105">
        <f>IFERROR(SUM(AX1195:AZ1195),"")</f>
        <v/>
      </c>
      <c r="AX1195" s="105">
        <f>IFERROR(BH1195,"")</f>
        <v/>
      </c>
      <c r="AY1195" s="105">
        <f>IFERROR(Driver!$K$19/Data!BH1195/Data!BI1195*Data!BK1195*Data!BL1195,"")</f>
        <v/>
      </c>
      <c r="AZ1195" s="105">
        <f>IFERROR(BI1195*BN1195,"")</f>
        <v/>
      </c>
      <c r="BA1195" s="105" t="n"/>
      <c r="BB1195" s="105" t="n"/>
      <c r="BC1195" s="105">
        <f>IFERROR(BI1195*BN1195*BK1195/BJ1195^(1/2),"")</f>
        <v/>
      </c>
      <c r="BD1195" s="105">
        <f>IFERROR(BH1195*BM1195*BL1195/BJ1195/BK1195,"")</f>
        <v/>
      </c>
      <c r="BE1195" s="105">
        <f>IFERROR(MIN(BI1195/BQ1195/BP1195/BO1195/BH1195,$BE$1),"")</f>
        <v/>
      </c>
      <c r="BF1195" s="105">
        <f>IFERROR(BJ1195*BO1195*BP1195/BK1195,"")</f>
        <v/>
      </c>
      <c r="BG1195" s="105">
        <f>IFERROR(1/BM1195/BH1195*BQ1195,"")</f>
        <v/>
      </c>
      <c r="BH1195" s="102">
        <f>MAX((CE1195-Driver!$F$200)/(Driver!$G$200-Driver!$F$200)*$BI$1,1)</f>
        <v/>
      </c>
      <c r="BI1195" s="102">
        <f>MAX($BI$1*(BY1195-Driver!$F$201)/(Driver!$G$201-Driver!$F$201),1)</f>
        <v/>
      </c>
      <c r="BJ1195" s="102">
        <f>(CB1195-Driver!$F$206)/(Driver!$G$206-Driver!$F$206)*$BI$1</f>
        <v/>
      </c>
      <c r="BK1195" s="102">
        <f>(CD1195-Driver!$F$203)/(Driver!$G$203-Driver!$F$203)*$BI$1</f>
        <v/>
      </c>
      <c r="BL1195" s="102">
        <f>MAX((CR1195-Driver!$F$202)/(Driver!$G$202-Driver!$F$202)*$BI$1,1)</f>
        <v/>
      </c>
      <c r="BM1195" s="102">
        <f>MAX((CH1195-Driver!$F$204)/(Driver!$G$204-Driver!$F$204)*$BI$1,1)</f>
        <v/>
      </c>
      <c r="BN1195" s="102">
        <f>(CI1195-Driver!$F$205)/(Driver!$G$205-Driver!$F$205)*$BI$1</f>
        <v/>
      </c>
      <c r="BO1195" s="102">
        <f>(CK1195-Driver!$F$207)/(Driver!$G$207-Driver!$F$207)*$BI$1</f>
        <v/>
      </c>
      <c r="BP1195" s="102">
        <f>(CM1195-Driver!$F$208)/(Driver!$G$208-Driver!$F$208)*$BI$1</f>
        <v/>
      </c>
      <c r="BQ1195" s="102">
        <f>(CL1195-Driver!$F$209)/(Driver!$G$209-Driver!$F$209)*$BI$1</f>
        <v/>
      </c>
      <c r="BR1195" s="40" t="inlineStr">
        <is>
          <t>21/22</t>
        </is>
      </c>
      <c r="BS1195" s="10" t="inlineStr">
        <is>
          <t xml:space="preserve"> Faction</t>
        </is>
      </c>
      <c r="BT1195" s="11" t="inlineStr">
        <is>
          <t>Prodigy 1.0 Jr</t>
        </is>
      </c>
      <c r="BU1195" s="13" t="n">
        <v>155</v>
      </c>
      <c r="BV1195" s="11" t="inlineStr">
        <is>
          <t xml:space="preserve"> Junior</t>
        </is>
      </c>
      <c r="BW1195" s="13" t="n">
        <v>155</v>
      </c>
      <c r="BX1195" s="13" t="n">
        <v>153.4</v>
      </c>
      <c r="BY1195" s="13" t="n">
        <v>108</v>
      </c>
      <c r="BZ1195" s="13" t="n">
        <v>130</v>
      </c>
      <c r="CA1195" s="13" t="n">
        <v>114</v>
      </c>
      <c r="CB1195" s="13" t="n">
        <v>83</v>
      </c>
      <c r="CC1195" s="13" t="n">
        <v>110</v>
      </c>
      <c r="CD1195" s="13" t="n">
        <v>14</v>
      </c>
      <c r="CE1195" s="13" t="n">
        <v>1307</v>
      </c>
      <c r="CF1195" s="13" t="n">
        <v>1.11</v>
      </c>
      <c r="CG1195" s="13" t="n">
        <v>1448</v>
      </c>
      <c r="CH1195" s="13" t="n">
        <v>132</v>
      </c>
      <c r="CI1195" s="13" t="n">
        <v>45</v>
      </c>
      <c r="CJ1195" s="13" t="n">
        <v>46</v>
      </c>
      <c r="CK1195" s="13" t="n">
        <v>229</v>
      </c>
      <c r="CL1195" s="13" t="n">
        <v>44</v>
      </c>
      <c r="CM1195" s="13" t="n">
        <v>220</v>
      </c>
      <c r="CN1195" s="13" t="n">
        <v>0.951</v>
      </c>
      <c r="CO1195" s="13" t="n">
        <v>118</v>
      </c>
      <c r="CP1195" s="13" t="n">
        <v>113</v>
      </c>
      <c r="CQ1195" s="13" t="n">
        <v>111</v>
      </c>
      <c r="CR1195" s="13" t="n">
        <v>6</v>
      </c>
      <c r="CS1195" s="13" t="n">
        <v>3.2</v>
      </c>
      <c r="CT1195" s="11" t="inlineStr">
        <is>
          <t xml:space="preserve"> Freeski</t>
        </is>
      </c>
      <c r="CU1195" s="11" t="inlineStr">
        <is>
          <t xml:space="preserve"> Touring</t>
        </is>
      </c>
      <c r="CV1195" s="13" t="n"/>
      <c r="CW1195" s="13" t="n"/>
      <c r="CX1195">
        <f>INDEX('Data_Price '!AG$2:AG$1266,MATCH(Data!$DN1195,'Data_Price '!$AT$2:$AT$1266,0))</f>
        <v/>
      </c>
      <c r="CY1195">
        <f>INDEX('Data_Price '!AH$2:AH$1266,MATCH(Data!$DN1195,'Data_Price '!$AT$2:$AT$1266,0))</f>
        <v/>
      </c>
      <c r="CZ1195">
        <f>INDEX('Data_Price '!AI$2:AI$1266,MATCH(Data!$DN1195,'Data_Price '!$AT$2:$AT$1266,0))</f>
        <v/>
      </c>
      <c r="DA1195">
        <f>INDEX('Data_Price '!AJ$2:AJ$1266,MATCH(Data!$DN1195,'Data_Price '!$AT$2:$AT$1266,0))</f>
        <v/>
      </c>
      <c r="DB1195">
        <f>INDEX('Data_Price '!AK$2:AK$1266,MATCH(Data!$DN1195,'Data_Price '!$AT$2:$AT$1266,0))</f>
        <v/>
      </c>
      <c r="DC1195">
        <f>INDEX('Data_Price '!AL$2:AL$1266,MATCH(Data!$DN1195,'Data_Price '!$AT$2:$AT$1266,0))</f>
        <v/>
      </c>
      <c r="DD1195">
        <f>INDEX('Data_Price '!AM$2:AM$1266,MATCH(Data!$DN1195,'Data_Price '!$AT$2:$AT$1266,0))</f>
        <v/>
      </c>
      <c r="DE1195">
        <f>INDEX('Data_Price '!AN$2:AN$1266,MATCH(Data!$DN1195,'Data_Price '!$AT$2:$AT$1266,0))</f>
        <v/>
      </c>
      <c r="DF1195">
        <f>INDEX('Data_Price '!AO$2:AO$1266,MATCH(Data!$DN1195,'Data_Price '!$AT$2:$AT$1266,0))</f>
        <v/>
      </c>
      <c r="DG1195">
        <f>INDEX('Data_Price '!AP$2:AP$1266,MATCH(Data!$DN1195,'Data_Price '!$AT$2:$AT$1266,0))</f>
        <v/>
      </c>
      <c r="DH1195">
        <f>INDEX('Data_Price '!AQ$2:AQ$1266,MATCH(Data!$DN1195,'Data_Price '!$AT$2:$AT$1266,0))</f>
        <v/>
      </c>
      <c r="DI1195">
        <f>INDEX('Data_Price '!AR$2:AR$1266,MATCH(Data!$DN1195,'Data_Price '!$AT$2:$AT$1266,0))</f>
        <v/>
      </c>
      <c r="DJ1195" s="138">
        <f>DA1195</f>
        <v/>
      </c>
      <c r="DK1195" s="138">
        <f>DE1195</f>
        <v/>
      </c>
      <c r="DL1195" s="138">
        <f>DI1195</f>
        <v/>
      </c>
      <c r="DM1195" s="303">
        <f>IF(LEFT(BT1195,1)=" ",RIGHT(BT1195,LEN(BT1195)-1),BT1195)</f>
        <v/>
      </c>
      <c r="DN1195" s="138">
        <f>_xlfn.CONCAT(BS1195,DM1195,BU1195,BV1195)</f>
        <v/>
      </c>
      <c r="DO1195" s="307" t="n"/>
    </row>
    <row r="1196" ht="15.6" customHeight="1" s="184">
      <c r="B1196" s="303">
        <f t="array" ref="B1196">IF(OR(ISERROR(K1196:P1196)),FALSE,TRUE)</f>
        <v/>
      </c>
      <c r="C1196" s="60">
        <f>OR(BR1196=Driver!$G$50,Data!BR631=Driver!$H$50)</f>
        <v/>
      </c>
      <c r="D1196" s="60">
        <f>OR(BV1196=Driver!$G$51,BV1196=Driver!$H$51)</f>
        <v/>
      </c>
      <c r="E1196" s="60">
        <f>AND(BX1196&gt;Driver!$F$54,BX1196&lt;Driver!$G$54)</f>
        <v/>
      </c>
      <c r="F1196" s="60">
        <f>CL1196&gt;Driver!$F$56</f>
        <v/>
      </c>
      <c r="G1196" s="60">
        <f>AND(CB1196&gt;Driver!$F$55,CB1196&lt;Driver!$G$55)</f>
        <v/>
      </c>
      <c r="H1196" s="60">
        <f>AND(B1196:G1196)</f>
        <v/>
      </c>
      <c r="I1196" s="60">
        <f>COUNTIFS($H$9:$H$1273,TRUE,$BT$9:$BT$1273,BT1196)</f>
        <v/>
      </c>
      <c r="J1196" s="60">
        <f t="array" ref="J1196">NOT(OR(($H$9:$H$1273=TRUE)*($I$9:$I$1273&gt;0)*($BT$9:$BT$1273=BT1196)*($K$9:$K$1273&gt;K1196)))</f>
        <v/>
      </c>
      <c r="K1196" s="108">
        <f>IFERROR(1-AVERAGE(X1196:Y1196),"")</f>
        <v/>
      </c>
      <c r="L1196" s="108">
        <f>1-X1196</f>
        <v/>
      </c>
      <c r="M1196" s="108">
        <f>1-Y1196</f>
        <v/>
      </c>
      <c r="N1196" s="108">
        <f>1-Z1196</f>
        <v/>
      </c>
      <c r="O1196" s="108">
        <f>1-AA1196</f>
        <v/>
      </c>
      <c r="P1196" s="108">
        <f>1-AB1196</f>
        <v/>
      </c>
      <c r="Q1196" s="108" t="n"/>
      <c r="R1196" s="108" t="n"/>
      <c r="S1196" s="108">
        <f>1-AE1196</f>
        <v/>
      </c>
      <c r="T1196" s="108">
        <f>1-AF1196</f>
        <v/>
      </c>
      <c r="U1196" s="108">
        <f>1-AG1196</f>
        <v/>
      </c>
      <c r="V1196" s="108">
        <f>1-AH1196</f>
        <v/>
      </c>
      <c r="W1196" s="108">
        <f>1-AI1196</f>
        <v/>
      </c>
      <c r="X1196" s="108">
        <f>ABS(AJ1196-AJ$1)</f>
        <v/>
      </c>
      <c r="Y1196" s="108">
        <f>AVERAGE(Z1196:AB1196)</f>
        <v/>
      </c>
      <c r="Z1196" s="108">
        <f>ABS(AL1196-AL$1)</f>
        <v/>
      </c>
      <c r="AA1196" s="108">
        <f>ABS(AM1196-AM$1)</f>
        <v/>
      </c>
      <c r="AB1196" s="108">
        <f>ABS(AN1196-AN$1)</f>
        <v/>
      </c>
      <c r="AC1196" s="108" t="n"/>
      <c r="AD1196" s="108" t="n"/>
      <c r="AE1196" s="108">
        <f>ABS(AQ$1-AQ1196)</f>
        <v/>
      </c>
      <c r="AF1196" s="108">
        <f>ABS(AR$1-AR1196)</f>
        <v/>
      </c>
      <c r="AG1196" s="108">
        <f>ABS(AS$1-AS1196)</f>
        <v/>
      </c>
      <c r="AH1196" s="108">
        <f>ABS(AT$1-AT1196)</f>
        <v/>
      </c>
      <c r="AI1196" s="108">
        <f>ABS(AU$1-AU1196)</f>
        <v/>
      </c>
      <c r="AJ1196" s="108">
        <f>(AV1196-Driver!$K$179)/(Driver!$L$179-Driver!$K$179)</f>
        <v/>
      </c>
      <c r="AK1196" s="108">
        <f>(AW1196-Driver!$K$180)/(Driver!$L$180-Driver!$K$180)</f>
        <v/>
      </c>
      <c r="AL1196" s="108">
        <f>(AX1196-Driver!$K$181)/(Driver!$L$181-Driver!$K$181)</f>
        <v/>
      </c>
      <c r="AM1196" s="108">
        <f>(AY1196-Driver!$K$182)/(Driver!$L$182-Driver!$K$182)</f>
        <v/>
      </c>
      <c r="AN1196" s="108">
        <f>(AZ1196-Driver!$K$183)/(Driver!$L$183-Driver!$K$183)</f>
        <v/>
      </c>
      <c r="AO1196" s="108" t="n"/>
      <c r="AP1196" s="108" t="n"/>
      <c r="AQ1196" s="108">
        <f>(BC1196-Driver!$K$188)/(Driver!$L$188-Driver!$K$188)</f>
        <v/>
      </c>
      <c r="AR1196" s="108">
        <f>MIN((BD1196-Driver!$K$189)/(Driver!$L$189-Driver!$K$189),100%)</f>
        <v/>
      </c>
      <c r="AS1196" s="108">
        <f>(BE1196-Driver!$K$190)/(Driver!$L$190-Driver!$K$190)</f>
        <v/>
      </c>
      <c r="AT1196" s="108">
        <f>(BF1196-Driver!$K$191)/(Driver!$L$191-Driver!$K$191)</f>
        <v/>
      </c>
      <c r="AU1196" s="108">
        <f>(BG1196-Driver!$K$192)/(Driver!$L$192-Driver!$K$192)</f>
        <v/>
      </c>
      <c r="AV1196" s="105">
        <f>IFERROR(BM1196*BJ1196^1/4,"")</f>
        <v/>
      </c>
      <c r="AW1196" s="105">
        <f>IFERROR(SUM(AX1196:AZ1196),"")</f>
        <v/>
      </c>
      <c r="AX1196" s="105">
        <f>IFERROR(BH1196,"")</f>
        <v/>
      </c>
      <c r="AY1196" s="105">
        <f>IFERROR(Driver!$K$19/Data!BH1196/Data!BI1196*Data!BK1196*Data!BL1196,"")</f>
        <v/>
      </c>
      <c r="AZ1196" s="105">
        <f>IFERROR(BI1196*BN1196,"")</f>
        <v/>
      </c>
      <c r="BA1196" s="105" t="n"/>
      <c r="BB1196" s="105" t="n"/>
      <c r="BC1196" s="105">
        <f>IFERROR(BI1196*BN1196*BK1196/BJ1196^(1/2),"")</f>
        <v/>
      </c>
      <c r="BD1196" s="105">
        <f>IFERROR(BH1196*BM1196*BL1196/BJ1196/BK1196,"")</f>
        <v/>
      </c>
      <c r="BE1196" s="105">
        <f>IFERROR(MIN(BI1196/BQ1196/BP1196/BO1196/BH1196,$BE$1),"")</f>
        <v/>
      </c>
      <c r="BF1196" s="105">
        <f>IFERROR(BJ1196*BO1196*BP1196/BK1196,"")</f>
        <v/>
      </c>
      <c r="BG1196" s="105">
        <f>IFERROR(1/BM1196/BH1196*BQ1196,"")</f>
        <v/>
      </c>
      <c r="BH1196" s="102">
        <f>MAX((CE1196-Driver!$F$200)/(Driver!$G$200-Driver!$F$200)*$BI$1,1)</f>
        <v/>
      </c>
      <c r="BI1196" s="102">
        <f>MAX($BI$1*(BY1196-Driver!$F$201)/(Driver!$G$201-Driver!$F$201),1)</f>
        <v/>
      </c>
      <c r="BJ1196" s="102">
        <f>(CB1196-Driver!$F$206)/(Driver!$G$206-Driver!$F$206)*$BI$1</f>
        <v/>
      </c>
      <c r="BK1196" s="102">
        <f>(CD1196-Driver!$F$203)/(Driver!$G$203-Driver!$F$203)*$BI$1</f>
        <v/>
      </c>
      <c r="BL1196" s="102">
        <f>MAX((CR1196-Driver!$F$202)/(Driver!$G$202-Driver!$F$202)*$BI$1,1)</f>
        <v/>
      </c>
      <c r="BM1196" s="102">
        <f>MAX((CH1196-Driver!$F$204)/(Driver!$G$204-Driver!$F$204)*$BI$1,1)</f>
        <v/>
      </c>
      <c r="BN1196" s="102">
        <f>(CI1196-Driver!$F$205)/(Driver!$G$205-Driver!$F$205)*$BI$1</f>
        <v/>
      </c>
      <c r="BO1196" s="102">
        <f>(CK1196-Driver!$F$207)/(Driver!$G$207-Driver!$F$207)*$BI$1</f>
        <v/>
      </c>
      <c r="BP1196" s="102">
        <f>(CM1196-Driver!$F$208)/(Driver!$G$208-Driver!$F$208)*$BI$1</f>
        <v/>
      </c>
      <c r="BQ1196" s="102">
        <f>(CL1196-Driver!$F$209)/(Driver!$G$209-Driver!$F$209)*$BI$1</f>
        <v/>
      </c>
      <c r="BR1196" s="40" t="inlineStr">
        <is>
          <t>21/22</t>
        </is>
      </c>
      <c r="BS1196" s="10" t="inlineStr">
        <is>
          <t xml:space="preserve"> Head</t>
        </is>
      </c>
      <c r="BT1196" s="11" t="inlineStr">
        <is>
          <t>Kore 99</t>
        </is>
      </c>
      <c r="BU1196" s="13" t="n">
        <v>184</v>
      </c>
      <c r="BV1196" s="11" t="inlineStr">
        <is>
          <t xml:space="preserve"> Unisex</t>
        </is>
      </c>
      <c r="BW1196" s="13" t="n">
        <v>184</v>
      </c>
      <c r="BX1196" s="13" t="n">
        <v>183.8</v>
      </c>
      <c r="BY1196" s="13" t="n">
        <v>144</v>
      </c>
      <c r="BZ1196" s="13" t="n">
        <v>150</v>
      </c>
      <c r="CA1196" s="13" t="n">
        <v>135</v>
      </c>
      <c r="CB1196" s="13" t="n">
        <v>100</v>
      </c>
      <c r="CC1196" s="13" t="n">
        <v>121</v>
      </c>
      <c r="CD1196" s="13" t="n">
        <v>18.9</v>
      </c>
      <c r="CE1196" s="13" t="n">
        <v>1841</v>
      </c>
      <c r="CF1196" s="13" t="n">
        <v>1.11</v>
      </c>
      <c r="CG1196" s="13" t="n">
        <v>2046</v>
      </c>
      <c r="CH1196" s="13" t="n">
        <v>293</v>
      </c>
      <c r="CI1196" s="13" t="n">
        <v>148</v>
      </c>
      <c r="CJ1196" s="13" t="n">
        <v>51</v>
      </c>
      <c r="CK1196" s="13" t="n">
        <v>231</v>
      </c>
      <c r="CL1196" s="13" t="n">
        <v>17</v>
      </c>
      <c r="CM1196" s="13" t="n">
        <v>164</v>
      </c>
      <c r="CN1196" s="13" t="n">
        <v>0.338</v>
      </c>
      <c r="CO1196" s="13" t="n">
        <v>189</v>
      </c>
      <c r="CP1196" s="13" t="n">
        <v>151</v>
      </c>
      <c r="CQ1196" s="13" t="n">
        <v>42</v>
      </c>
      <c r="CR1196" s="13" t="n">
        <v>7</v>
      </c>
      <c r="CS1196" s="13" t="n">
        <v>10.9</v>
      </c>
      <c r="CT1196" s="11" t="inlineStr">
        <is>
          <t xml:space="preserve"> Resort Freeride</t>
        </is>
      </c>
      <c r="CU1196" s="11" t="inlineStr">
        <is>
          <t xml:space="preserve"> Big Mountain</t>
        </is>
      </c>
      <c r="CV1196" s="11" t="inlineStr">
        <is>
          <t xml:space="preserve"> Touring</t>
        </is>
      </c>
      <c r="CW1196" s="13" t="n"/>
      <c r="CX1196">
        <f>INDEX('Data_Price '!AG$2:AG$1266,MATCH(Data!$DN1196,'Data_Price '!$AT$2:$AT$1266,0))</f>
        <v/>
      </c>
      <c r="CY1196">
        <f>INDEX('Data_Price '!AH$2:AH$1266,MATCH(Data!$DN1196,'Data_Price '!$AT$2:$AT$1266,0))</f>
        <v/>
      </c>
      <c r="CZ1196">
        <f>INDEX('Data_Price '!AI$2:AI$1266,MATCH(Data!$DN1196,'Data_Price '!$AT$2:$AT$1266,0))</f>
        <v/>
      </c>
      <c r="DA1196">
        <f>INDEX('Data_Price '!AJ$2:AJ$1266,MATCH(Data!$DN1196,'Data_Price '!$AT$2:$AT$1266,0))</f>
        <v/>
      </c>
      <c r="DB1196">
        <f>INDEX('Data_Price '!AK$2:AK$1266,MATCH(Data!$DN1196,'Data_Price '!$AT$2:$AT$1266,0))</f>
        <v/>
      </c>
      <c r="DC1196">
        <f>INDEX('Data_Price '!AL$2:AL$1266,MATCH(Data!$DN1196,'Data_Price '!$AT$2:$AT$1266,0))</f>
        <v/>
      </c>
      <c r="DD1196">
        <f>INDEX('Data_Price '!AM$2:AM$1266,MATCH(Data!$DN1196,'Data_Price '!$AT$2:$AT$1266,0))</f>
        <v/>
      </c>
      <c r="DE1196">
        <f>INDEX('Data_Price '!AN$2:AN$1266,MATCH(Data!$DN1196,'Data_Price '!$AT$2:$AT$1266,0))</f>
        <v/>
      </c>
      <c r="DF1196">
        <f>INDEX('Data_Price '!AO$2:AO$1266,MATCH(Data!$DN1196,'Data_Price '!$AT$2:$AT$1266,0))</f>
        <v/>
      </c>
      <c r="DG1196">
        <f>INDEX('Data_Price '!AP$2:AP$1266,MATCH(Data!$DN1196,'Data_Price '!$AT$2:$AT$1266,0))</f>
        <v/>
      </c>
      <c r="DH1196">
        <f>INDEX('Data_Price '!AQ$2:AQ$1266,MATCH(Data!$DN1196,'Data_Price '!$AT$2:$AT$1266,0))</f>
        <v/>
      </c>
      <c r="DI1196">
        <f>INDEX('Data_Price '!AR$2:AR$1266,MATCH(Data!$DN1196,'Data_Price '!$AT$2:$AT$1266,0))</f>
        <v/>
      </c>
      <c r="DJ1196" s="138">
        <f>DA1196</f>
        <v/>
      </c>
      <c r="DK1196" s="138">
        <f>DE1196</f>
        <v/>
      </c>
      <c r="DL1196" s="138">
        <f>DI1196</f>
        <v/>
      </c>
      <c r="DM1196" s="303">
        <f>IF(LEFT(BT1196,1)=" ",RIGHT(BT1196,LEN(BT1196)-1),BT1196)</f>
        <v/>
      </c>
      <c r="DN1196" s="138">
        <f>_xlfn.CONCAT(BS1196,DM1196,BU1196,BV1196)</f>
        <v/>
      </c>
      <c r="DO1196" s="307" t="inlineStr">
        <is>
          <t>https://images.evo.com/imgp/250/208272/832641/clone.jpg</t>
        </is>
      </c>
    </row>
    <row r="1197" ht="15.6" customHeight="1" s="184">
      <c r="B1197" s="303">
        <f t="array" ref="B1197">IF(OR(ISERROR(K1197:P1197)),FALSE,TRUE)</f>
        <v/>
      </c>
      <c r="C1197" s="60">
        <f>OR(BR1197=Driver!$G$50,Data!BR665=Driver!$H$50)</f>
        <v/>
      </c>
      <c r="D1197" s="60">
        <f>OR(BV1197=Driver!$G$51,BV1197=Driver!$H$51)</f>
        <v/>
      </c>
      <c r="E1197" s="60">
        <f>AND(BX1197&gt;Driver!$F$54,BX1197&lt;Driver!$G$54)</f>
        <v/>
      </c>
      <c r="F1197" s="60">
        <f>CL1197&gt;Driver!$F$56</f>
        <v/>
      </c>
      <c r="G1197" s="60">
        <f>AND(CB1197&gt;Driver!$F$55,CB1197&lt;Driver!$G$55)</f>
        <v/>
      </c>
      <c r="H1197" s="60">
        <f>AND(B1197:G1197)</f>
        <v/>
      </c>
      <c r="I1197" s="60">
        <f>COUNTIFS($H$9:$H$1273,TRUE,$BT$9:$BT$1273,BT1197)</f>
        <v/>
      </c>
      <c r="J1197" s="60">
        <f t="array" ref="J1197">NOT(OR(($H$9:$H$1273=TRUE)*($I$9:$I$1273&gt;0)*($BT$9:$BT$1273=BT1197)*($K$9:$K$1273&gt;K1197)))</f>
        <v/>
      </c>
      <c r="K1197" s="108">
        <f>IFERROR(1-AVERAGE(X1197:Y1197),"")</f>
        <v/>
      </c>
      <c r="L1197" s="108">
        <f>1-X1197</f>
        <v/>
      </c>
      <c r="M1197" s="108">
        <f>1-Y1197</f>
        <v/>
      </c>
      <c r="N1197" s="108">
        <f>1-Z1197</f>
        <v/>
      </c>
      <c r="O1197" s="108">
        <f>1-AA1197</f>
        <v/>
      </c>
      <c r="P1197" s="108">
        <f>1-AB1197</f>
        <v/>
      </c>
      <c r="Q1197" s="108" t="n"/>
      <c r="R1197" s="108" t="n"/>
      <c r="S1197" s="108">
        <f>1-AE1197</f>
        <v/>
      </c>
      <c r="T1197" s="108">
        <f>1-AF1197</f>
        <v/>
      </c>
      <c r="U1197" s="108">
        <f>1-AG1197</f>
        <v/>
      </c>
      <c r="V1197" s="108">
        <f>1-AH1197</f>
        <v/>
      </c>
      <c r="W1197" s="108">
        <f>1-AI1197</f>
        <v/>
      </c>
      <c r="X1197" s="108">
        <f>ABS(AJ1197-AJ$1)</f>
        <v/>
      </c>
      <c r="Y1197" s="108">
        <f>AVERAGE(Z1197:AB1197)</f>
        <v/>
      </c>
      <c r="Z1197" s="108">
        <f>ABS(AL1197-AL$1)</f>
        <v/>
      </c>
      <c r="AA1197" s="108">
        <f>ABS(AM1197-AM$1)</f>
        <v/>
      </c>
      <c r="AB1197" s="108">
        <f>ABS(AN1197-AN$1)</f>
        <v/>
      </c>
      <c r="AC1197" s="108" t="n"/>
      <c r="AD1197" s="108" t="n"/>
      <c r="AE1197" s="108">
        <f>ABS(AQ$1-AQ1197)</f>
        <v/>
      </c>
      <c r="AF1197" s="108">
        <f>ABS(AR$1-AR1197)</f>
        <v/>
      </c>
      <c r="AG1197" s="108">
        <f>ABS(AS$1-AS1197)</f>
        <v/>
      </c>
      <c r="AH1197" s="108">
        <f>ABS(AT$1-AT1197)</f>
        <v/>
      </c>
      <c r="AI1197" s="108">
        <f>ABS(AU$1-AU1197)</f>
        <v/>
      </c>
      <c r="AJ1197" s="108">
        <f>(AV1197-Driver!$K$179)/(Driver!$L$179-Driver!$K$179)</f>
        <v/>
      </c>
      <c r="AK1197" s="108">
        <f>(AW1197-Driver!$K$180)/(Driver!$L$180-Driver!$K$180)</f>
        <v/>
      </c>
      <c r="AL1197" s="108">
        <f>(AX1197-Driver!$K$181)/(Driver!$L$181-Driver!$K$181)</f>
        <v/>
      </c>
      <c r="AM1197" s="108">
        <f>(AY1197-Driver!$K$182)/(Driver!$L$182-Driver!$K$182)</f>
        <v/>
      </c>
      <c r="AN1197" s="108">
        <f>(AZ1197-Driver!$K$183)/(Driver!$L$183-Driver!$K$183)</f>
        <v/>
      </c>
      <c r="AO1197" s="108" t="n"/>
      <c r="AP1197" s="108" t="n"/>
      <c r="AQ1197" s="108">
        <f>(BC1197-Driver!$K$188)/(Driver!$L$188-Driver!$K$188)</f>
        <v/>
      </c>
      <c r="AR1197" s="108">
        <f>MIN((BD1197-Driver!$K$189)/(Driver!$L$189-Driver!$K$189),100%)</f>
        <v/>
      </c>
      <c r="AS1197" s="108">
        <f>(BE1197-Driver!$K$190)/(Driver!$L$190-Driver!$K$190)</f>
        <v/>
      </c>
      <c r="AT1197" s="108">
        <f>(BF1197-Driver!$K$191)/(Driver!$L$191-Driver!$K$191)</f>
        <v/>
      </c>
      <c r="AU1197" s="108">
        <f>(BG1197-Driver!$K$192)/(Driver!$L$192-Driver!$K$192)</f>
        <v/>
      </c>
      <c r="AV1197" s="105">
        <f>IFERROR(BM1197*BJ1197^1/4,"")</f>
        <v/>
      </c>
      <c r="AW1197" s="105">
        <f>IFERROR(SUM(AX1197:AZ1197),"")</f>
        <v/>
      </c>
      <c r="AX1197" s="105">
        <f>IFERROR(BH1197,"")</f>
        <v/>
      </c>
      <c r="AY1197" s="105">
        <f>IFERROR(Driver!$K$19/Data!BH1197/Data!BI1197*Data!BK1197*Data!BL1197,"")</f>
        <v/>
      </c>
      <c r="AZ1197" s="105">
        <f>IFERROR(BI1197*BN1197,"")</f>
        <v/>
      </c>
      <c r="BA1197" s="105" t="n"/>
      <c r="BB1197" s="105" t="n"/>
      <c r="BC1197" s="105">
        <f>IFERROR(BI1197*BN1197*BK1197/BJ1197^(1/2),"")</f>
        <v/>
      </c>
      <c r="BD1197" s="105">
        <f>IFERROR(BH1197*BM1197*BL1197/BJ1197/BK1197,"")</f>
        <v/>
      </c>
      <c r="BE1197" s="105">
        <f>IFERROR(MIN(BI1197/BQ1197/BP1197/BO1197/BH1197,$BE$1),"")</f>
        <v/>
      </c>
      <c r="BF1197" s="105">
        <f>IFERROR(BJ1197*BO1197*BP1197/BK1197,"")</f>
        <v/>
      </c>
      <c r="BG1197" s="105">
        <f>IFERROR(1/BM1197/BH1197*BQ1197,"")</f>
        <v/>
      </c>
      <c r="BH1197" s="102">
        <f>MAX((CE1197-Driver!$F$200)/(Driver!$G$200-Driver!$F$200)*$BI$1,1)</f>
        <v/>
      </c>
      <c r="BI1197" s="102">
        <f>MAX($BI$1*(BY1197-Driver!$F$201)/(Driver!$G$201-Driver!$F$201),1)</f>
        <v/>
      </c>
      <c r="BJ1197" s="102">
        <f>(CB1197-Driver!$F$206)/(Driver!$G$206-Driver!$F$206)*$BI$1</f>
        <v/>
      </c>
      <c r="BK1197" s="102">
        <f>(CD1197-Driver!$F$203)/(Driver!$G$203-Driver!$F$203)*$BI$1</f>
        <v/>
      </c>
      <c r="BL1197" s="102">
        <f>MAX((CR1197-Driver!$F$202)/(Driver!$G$202-Driver!$F$202)*$BI$1,1)</f>
        <v/>
      </c>
      <c r="BM1197" s="102">
        <f>MAX((CH1197-Driver!$F$204)/(Driver!$G$204-Driver!$F$204)*$BI$1,1)</f>
        <v/>
      </c>
      <c r="BN1197" s="102">
        <f>(CI1197-Driver!$F$205)/(Driver!$G$205-Driver!$F$205)*$BI$1</f>
        <v/>
      </c>
      <c r="BO1197" s="102">
        <f>(CK1197-Driver!$F$207)/(Driver!$G$207-Driver!$F$207)*$BI$1</f>
        <v/>
      </c>
      <c r="BP1197" s="102">
        <f>(CM1197-Driver!$F$208)/(Driver!$G$208-Driver!$F$208)*$BI$1</f>
        <v/>
      </c>
      <c r="BQ1197" s="102">
        <f>(CL1197-Driver!$F$209)/(Driver!$G$209-Driver!$F$209)*$BI$1</f>
        <v/>
      </c>
      <c r="BR1197" s="40" t="inlineStr">
        <is>
          <t>21/22</t>
        </is>
      </c>
      <c r="BS1197" s="10" t="inlineStr">
        <is>
          <t xml:space="preserve"> Head</t>
        </is>
      </c>
      <c r="BT1197" s="11" t="inlineStr">
        <is>
          <t xml:space="preserve"> Worldcup Rebels e-Race Pro</t>
        </is>
      </c>
      <c r="BU1197" s="13" t="n">
        <v>170</v>
      </c>
      <c r="BV1197" s="11" t="inlineStr">
        <is>
          <t xml:space="preserve"> Unisex</t>
        </is>
      </c>
      <c r="BW1197" s="13" t="n">
        <v>170</v>
      </c>
      <c r="BX1197" s="13" t="n">
        <v>169.3</v>
      </c>
      <c r="BY1197" s="13" t="n">
        <v>151</v>
      </c>
      <c r="BZ1197" s="13" t="n">
        <v>159</v>
      </c>
      <c r="CA1197" s="13" t="n">
        <v>120</v>
      </c>
      <c r="CB1197" s="13" t="n">
        <v>67</v>
      </c>
      <c r="CC1197" s="13" t="n">
        <v>101</v>
      </c>
      <c r="CD1197" s="13" t="n">
        <v>14.5</v>
      </c>
      <c r="CE1197" s="13" t="n">
        <v>2312</v>
      </c>
      <c r="CF1197" s="13" t="n">
        <v>0.61</v>
      </c>
      <c r="CG1197" s="13" t="n">
        <v>1401</v>
      </c>
      <c r="CH1197" s="13" t="n">
        <v>215</v>
      </c>
      <c r="CI1197" s="13" t="n">
        <v>104</v>
      </c>
      <c r="CJ1197" s="13" t="n">
        <v>37</v>
      </c>
      <c r="CK1197" s="13" t="n">
        <v>140</v>
      </c>
      <c r="CL1197" s="13" t="n">
        <v>3</v>
      </c>
      <c r="CM1197" s="13" t="n">
        <v>44</v>
      </c>
      <c r="CN1197" s="13" t="n">
        <v>0.08</v>
      </c>
      <c r="CO1197" s="13" t="n">
        <v>60</v>
      </c>
      <c r="CP1197" s="13" t="n">
        <v>46</v>
      </c>
      <c r="CQ1197" s="13" t="n">
        <v>80</v>
      </c>
      <c r="CR1197" s="13" t="n">
        <v>13</v>
      </c>
      <c r="CS1197" s="13" t="n">
        <v>12.3</v>
      </c>
      <c r="CT1197" s="11" t="inlineStr">
        <is>
          <t xml:space="preserve"> On-Piste Carving</t>
        </is>
      </c>
      <c r="CU1197" s="13" t="n"/>
      <c r="CV1197" s="13" t="n"/>
      <c r="CW1197" s="13" t="n"/>
      <c r="CX1197">
        <f>INDEX('Data_Price '!AG$2:AG$1266,MATCH(Data!$DN1197,'Data_Price '!$AT$2:$AT$1266,0))</f>
        <v/>
      </c>
      <c r="CY1197">
        <f>INDEX('Data_Price '!AH$2:AH$1266,MATCH(Data!$DN1197,'Data_Price '!$AT$2:$AT$1266,0))</f>
        <v/>
      </c>
      <c r="CZ1197">
        <f>INDEX('Data_Price '!AI$2:AI$1266,MATCH(Data!$DN1197,'Data_Price '!$AT$2:$AT$1266,0))</f>
        <v/>
      </c>
      <c r="DA1197">
        <f>INDEX('Data_Price '!AJ$2:AJ$1266,MATCH(Data!$DN1197,'Data_Price '!$AT$2:$AT$1266,0))</f>
        <v/>
      </c>
      <c r="DB1197">
        <f>INDEX('Data_Price '!AK$2:AK$1266,MATCH(Data!$DN1197,'Data_Price '!$AT$2:$AT$1266,0))</f>
        <v/>
      </c>
      <c r="DC1197">
        <f>INDEX('Data_Price '!AL$2:AL$1266,MATCH(Data!$DN1197,'Data_Price '!$AT$2:$AT$1266,0))</f>
        <v/>
      </c>
      <c r="DD1197">
        <f>INDEX('Data_Price '!AM$2:AM$1266,MATCH(Data!$DN1197,'Data_Price '!$AT$2:$AT$1266,0))</f>
        <v/>
      </c>
      <c r="DE1197">
        <f>INDEX('Data_Price '!AN$2:AN$1266,MATCH(Data!$DN1197,'Data_Price '!$AT$2:$AT$1266,0))</f>
        <v/>
      </c>
      <c r="DF1197">
        <f>INDEX('Data_Price '!AO$2:AO$1266,MATCH(Data!$DN1197,'Data_Price '!$AT$2:$AT$1266,0))</f>
        <v/>
      </c>
      <c r="DG1197">
        <f>INDEX('Data_Price '!AP$2:AP$1266,MATCH(Data!$DN1197,'Data_Price '!$AT$2:$AT$1266,0))</f>
        <v/>
      </c>
      <c r="DH1197">
        <f>INDEX('Data_Price '!AQ$2:AQ$1266,MATCH(Data!$DN1197,'Data_Price '!$AT$2:$AT$1266,0))</f>
        <v/>
      </c>
      <c r="DI1197">
        <f>INDEX('Data_Price '!AR$2:AR$1266,MATCH(Data!$DN1197,'Data_Price '!$AT$2:$AT$1266,0))</f>
        <v/>
      </c>
      <c r="DJ1197" s="138">
        <f>DA1197</f>
        <v/>
      </c>
      <c r="DK1197" s="138">
        <f>DE1197</f>
        <v/>
      </c>
      <c r="DL1197" s="138">
        <f>DI1197</f>
        <v/>
      </c>
      <c r="DM1197" s="303">
        <f>IF(LEFT(BT1197,1)=" ",RIGHT(BT1197,LEN(BT1197)-1),BT1197)</f>
        <v/>
      </c>
      <c r="DN1197" s="138">
        <f>_xlfn.CONCAT(BS1197,DM1197,BU1197,BV1197)</f>
        <v/>
      </c>
      <c r="DO1197" s="307" t="n"/>
    </row>
    <row r="1198" ht="15.6" customHeight="1" s="184">
      <c r="B1198" s="303">
        <f t="array" ref="B1198">IF(OR(ISERROR(K1198:P1198)),FALSE,TRUE)</f>
        <v/>
      </c>
      <c r="C1198" s="60">
        <f>OR(BR1198=Driver!$G$50,Data!BR324=Driver!$H$50)</f>
        <v/>
      </c>
      <c r="D1198" s="60">
        <f>OR(BV1198=Driver!$G$51,BV1198=Driver!$H$51)</f>
        <v/>
      </c>
      <c r="E1198" s="60">
        <f>AND(BX1198&gt;Driver!$F$54,BX1198&lt;Driver!$G$54)</f>
        <v/>
      </c>
      <c r="F1198" s="60">
        <f>CL1198&gt;Driver!$F$56</f>
        <v/>
      </c>
      <c r="G1198" s="60">
        <f>AND(CB1198&gt;Driver!$F$55,CB1198&lt;Driver!$G$55)</f>
        <v/>
      </c>
      <c r="H1198" s="60">
        <f>AND(B1198:G1198)</f>
        <v/>
      </c>
      <c r="I1198" s="60">
        <f>COUNTIFS($H$9:$H$1273,TRUE,$BT$9:$BT$1273,BT1198)</f>
        <v/>
      </c>
      <c r="J1198" s="60">
        <f t="array" ref="J1198">NOT(OR(($H$9:$H$1273=TRUE)*($I$9:$I$1273&gt;0)*($BT$9:$BT$1273=BT1198)*($K$9:$K$1273&gt;K1198)))</f>
        <v/>
      </c>
      <c r="K1198" s="108">
        <f>IFERROR(1-AVERAGE(X1198:Y1198),"")</f>
        <v/>
      </c>
      <c r="L1198" s="108">
        <f>1-X1198</f>
        <v/>
      </c>
      <c r="M1198" s="108">
        <f>1-Y1198</f>
        <v/>
      </c>
      <c r="N1198" s="108">
        <f>1-Z1198</f>
        <v/>
      </c>
      <c r="O1198" s="108">
        <f>1-AA1198</f>
        <v/>
      </c>
      <c r="P1198" s="108">
        <f>1-AB1198</f>
        <v/>
      </c>
      <c r="Q1198" s="108" t="n"/>
      <c r="R1198" s="108" t="n"/>
      <c r="S1198" s="108">
        <f>1-AE1198</f>
        <v/>
      </c>
      <c r="T1198" s="108">
        <f>1-AF1198</f>
        <v/>
      </c>
      <c r="U1198" s="108">
        <f>1-AG1198</f>
        <v/>
      </c>
      <c r="V1198" s="108">
        <f>1-AH1198</f>
        <v/>
      </c>
      <c r="W1198" s="108">
        <f>1-AI1198</f>
        <v/>
      </c>
      <c r="X1198" s="108">
        <f>ABS(AJ1198-AJ$1)</f>
        <v/>
      </c>
      <c r="Y1198" s="108">
        <f>AVERAGE(Z1198:AB1198)</f>
        <v/>
      </c>
      <c r="Z1198" s="108">
        <f>ABS(AL1198-AL$1)</f>
        <v/>
      </c>
      <c r="AA1198" s="108">
        <f>ABS(AM1198-AM$1)</f>
        <v/>
      </c>
      <c r="AB1198" s="108">
        <f>ABS(AN1198-AN$1)</f>
        <v/>
      </c>
      <c r="AC1198" s="108" t="n"/>
      <c r="AD1198" s="108" t="n"/>
      <c r="AE1198" s="108">
        <f>ABS(AQ$1-AQ1198)</f>
        <v/>
      </c>
      <c r="AF1198" s="108">
        <f>ABS(AR$1-AR1198)</f>
        <v/>
      </c>
      <c r="AG1198" s="108">
        <f>ABS(AS$1-AS1198)</f>
        <v/>
      </c>
      <c r="AH1198" s="108">
        <f>ABS(AT$1-AT1198)</f>
        <v/>
      </c>
      <c r="AI1198" s="108">
        <f>ABS(AU$1-AU1198)</f>
        <v/>
      </c>
      <c r="AJ1198" s="108">
        <f>(AV1198-Driver!$K$179)/(Driver!$L$179-Driver!$K$179)</f>
        <v/>
      </c>
      <c r="AK1198" s="108">
        <f>(AW1198-Driver!$K$180)/(Driver!$L$180-Driver!$K$180)</f>
        <v/>
      </c>
      <c r="AL1198" s="108">
        <f>(AX1198-Driver!$K$181)/(Driver!$L$181-Driver!$K$181)</f>
        <v/>
      </c>
      <c r="AM1198" s="108">
        <f>(AY1198-Driver!$K$182)/(Driver!$L$182-Driver!$K$182)</f>
        <v/>
      </c>
      <c r="AN1198" s="108">
        <f>(AZ1198-Driver!$K$183)/(Driver!$L$183-Driver!$K$183)</f>
        <v/>
      </c>
      <c r="AO1198" s="108" t="n"/>
      <c r="AP1198" s="108" t="n"/>
      <c r="AQ1198" s="108">
        <f>(BC1198-Driver!$K$188)/(Driver!$L$188-Driver!$K$188)</f>
        <v/>
      </c>
      <c r="AR1198" s="108">
        <f>MIN((BD1198-Driver!$K$189)/(Driver!$L$189-Driver!$K$189),100%)</f>
        <v/>
      </c>
      <c r="AS1198" s="108">
        <f>(BE1198-Driver!$K$190)/(Driver!$L$190-Driver!$K$190)</f>
        <v/>
      </c>
      <c r="AT1198" s="108">
        <f>(BF1198-Driver!$K$191)/(Driver!$L$191-Driver!$K$191)</f>
        <v/>
      </c>
      <c r="AU1198" s="108">
        <f>(BG1198-Driver!$K$192)/(Driver!$L$192-Driver!$K$192)</f>
        <v/>
      </c>
      <c r="AV1198" s="105">
        <f>IFERROR(BM1198*BJ1198^1/4,"")</f>
        <v/>
      </c>
      <c r="AW1198" s="105">
        <f>IFERROR(SUM(AX1198:AZ1198),"")</f>
        <v/>
      </c>
      <c r="AX1198" s="105">
        <f>IFERROR(BH1198,"")</f>
        <v/>
      </c>
      <c r="AY1198" s="105">
        <f>IFERROR(Driver!$K$19/Data!BH1198/Data!BI1198*Data!BK1198*Data!BL1198,"")</f>
        <v/>
      </c>
      <c r="AZ1198" s="105">
        <f>IFERROR(BI1198*BN1198,"")</f>
        <v/>
      </c>
      <c r="BA1198" s="105" t="n"/>
      <c r="BB1198" s="105" t="n"/>
      <c r="BC1198" s="105">
        <f>IFERROR(BI1198*BN1198*BK1198/BJ1198^(1/2),"")</f>
        <v/>
      </c>
      <c r="BD1198" s="105">
        <f>IFERROR(BH1198*BM1198*BL1198/BJ1198/BK1198,"")</f>
        <v/>
      </c>
      <c r="BE1198" s="105">
        <f>IFERROR(MIN(BI1198/BQ1198/BP1198/BO1198/BH1198,$BE$1),"")</f>
        <v/>
      </c>
      <c r="BF1198" s="105">
        <f>IFERROR(BJ1198*BO1198*BP1198/BK1198,"")</f>
        <v/>
      </c>
      <c r="BG1198" s="105">
        <f>IFERROR(1/BM1198/BH1198*BQ1198,"")</f>
        <v/>
      </c>
      <c r="BH1198" s="102">
        <f>MAX((CE1198-Driver!$F$200)/(Driver!$G$200-Driver!$F$200)*$BI$1,1)</f>
        <v/>
      </c>
      <c r="BI1198" s="102">
        <f>MAX($BI$1*(BY1198-Driver!$F$201)/(Driver!$G$201-Driver!$F$201),1)</f>
        <v/>
      </c>
      <c r="BJ1198" s="102">
        <f>(CB1198-Driver!$F$206)/(Driver!$G$206-Driver!$F$206)*$BI$1</f>
        <v/>
      </c>
      <c r="BK1198" s="102">
        <f>(CD1198-Driver!$F$203)/(Driver!$G$203-Driver!$F$203)*$BI$1</f>
        <v/>
      </c>
      <c r="BL1198" s="102">
        <f>MAX((CR1198-Driver!$F$202)/(Driver!$G$202-Driver!$F$202)*$BI$1,1)</f>
        <v/>
      </c>
      <c r="BM1198" s="102">
        <f>MAX((CH1198-Driver!$F$204)/(Driver!$G$204-Driver!$F$204)*$BI$1,1)</f>
        <v/>
      </c>
      <c r="BN1198" s="102">
        <f>(CI1198-Driver!$F$205)/(Driver!$G$205-Driver!$F$205)*$BI$1</f>
        <v/>
      </c>
      <c r="BO1198" s="102">
        <f>(CK1198-Driver!$F$207)/(Driver!$G$207-Driver!$F$207)*$BI$1</f>
        <v/>
      </c>
      <c r="BP1198" s="102">
        <f>(CM1198-Driver!$F$208)/(Driver!$G$208-Driver!$F$208)*$BI$1</f>
        <v/>
      </c>
      <c r="BQ1198" s="102">
        <f>(CL1198-Driver!$F$209)/(Driver!$G$209-Driver!$F$209)*$BI$1</f>
        <v/>
      </c>
      <c r="BR1198" s="40" t="inlineStr">
        <is>
          <t>21/22</t>
        </is>
      </c>
      <c r="BS1198" s="10" t="inlineStr">
        <is>
          <t xml:space="preserve"> Blizzard</t>
        </is>
      </c>
      <c r="BT1198" s="11" t="inlineStr">
        <is>
          <t>Zero G 85</t>
        </is>
      </c>
      <c r="BU1198" s="13" t="n">
        <v>164</v>
      </c>
      <c r="BV1198" s="11" t="inlineStr">
        <is>
          <t xml:space="preserve"> Unisex</t>
        </is>
      </c>
      <c r="BW1198" s="13" t="n">
        <v>164</v>
      </c>
      <c r="BX1198" s="13" t="n">
        <v>161.9</v>
      </c>
      <c r="BY1198" s="13" t="n">
        <v>120</v>
      </c>
      <c r="BZ1198" s="13" t="n">
        <v>135</v>
      </c>
      <c r="CA1198" s="13" t="n">
        <v>114</v>
      </c>
      <c r="CB1198" s="13" t="n">
        <v>83</v>
      </c>
      <c r="CC1198" s="13" t="n">
        <v>98</v>
      </c>
      <c r="CD1198" s="13" t="n">
        <v>19.8</v>
      </c>
      <c r="CE1198" s="13" t="n">
        <v>1014</v>
      </c>
      <c r="CF1198" s="13" t="n">
        <v>1.46</v>
      </c>
      <c r="CG1198" s="13" t="n">
        <v>1484</v>
      </c>
      <c r="CH1198" s="13" t="n">
        <v>164</v>
      </c>
      <c r="CI1198" s="13" t="n">
        <v>57</v>
      </c>
      <c r="CJ1198" s="13" t="n">
        <v>57</v>
      </c>
      <c r="CK1198" s="13" t="n">
        <v>230</v>
      </c>
      <c r="CL1198" s="13" t="n">
        <v>10</v>
      </c>
      <c r="CM1198" s="13" t="n">
        <v>191</v>
      </c>
      <c r="CN1198" s="13" t="n">
        <v>0.17</v>
      </c>
      <c r="CO1198" s="13" t="n">
        <v>139</v>
      </c>
      <c r="CP1198" s="13" t="n">
        <v>127</v>
      </c>
      <c r="CQ1198" s="13" t="n">
        <v>91</v>
      </c>
      <c r="CR1198" s="13" t="n">
        <v>3</v>
      </c>
      <c r="CS1198" s="13" t="n">
        <v>10.6</v>
      </c>
      <c r="CT1198" s="11" t="inlineStr">
        <is>
          <t xml:space="preserve"> Touring</t>
        </is>
      </c>
      <c r="CU1198" s="11" t="inlineStr">
        <is>
          <t xml:space="preserve"> Ultralight Touring</t>
        </is>
      </c>
      <c r="CV1198" s="13" t="n"/>
      <c r="CW1198" s="13" t="n"/>
      <c r="CX1198">
        <f>INDEX('Data_Price '!AG$2:AG$1266,MATCH(Data!$DN1198,'Data_Price '!$AT$2:$AT$1266,0))</f>
        <v/>
      </c>
      <c r="CY1198">
        <f>INDEX('Data_Price '!AH$2:AH$1266,MATCH(Data!$DN1198,'Data_Price '!$AT$2:$AT$1266,0))</f>
        <v/>
      </c>
      <c r="CZ1198">
        <f>INDEX('Data_Price '!AI$2:AI$1266,MATCH(Data!$DN1198,'Data_Price '!$AT$2:$AT$1266,0))</f>
        <v/>
      </c>
      <c r="DA1198">
        <f>INDEX('Data_Price '!AJ$2:AJ$1266,MATCH(Data!$DN1198,'Data_Price '!$AT$2:$AT$1266,0))</f>
        <v/>
      </c>
      <c r="DB1198">
        <f>INDEX('Data_Price '!AK$2:AK$1266,MATCH(Data!$DN1198,'Data_Price '!$AT$2:$AT$1266,0))</f>
        <v/>
      </c>
      <c r="DC1198">
        <f>INDEX('Data_Price '!AL$2:AL$1266,MATCH(Data!$DN1198,'Data_Price '!$AT$2:$AT$1266,0))</f>
        <v/>
      </c>
      <c r="DD1198">
        <f>INDEX('Data_Price '!AM$2:AM$1266,MATCH(Data!$DN1198,'Data_Price '!$AT$2:$AT$1266,0))</f>
        <v/>
      </c>
      <c r="DE1198">
        <f>INDEX('Data_Price '!AN$2:AN$1266,MATCH(Data!$DN1198,'Data_Price '!$AT$2:$AT$1266,0))</f>
        <v/>
      </c>
      <c r="DF1198">
        <f>INDEX('Data_Price '!AO$2:AO$1266,MATCH(Data!$DN1198,'Data_Price '!$AT$2:$AT$1266,0))</f>
        <v/>
      </c>
      <c r="DG1198">
        <f>INDEX('Data_Price '!AP$2:AP$1266,MATCH(Data!$DN1198,'Data_Price '!$AT$2:$AT$1266,0))</f>
        <v/>
      </c>
      <c r="DH1198">
        <f>INDEX('Data_Price '!AQ$2:AQ$1266,MATCH(Data!$DN1198,'Data_Price '!$AT$2:$AT$1266,0))</f>
        <v/>
      </c>
      <c r="DI1198">
        <f>INDEX('Data_Price '!AR$2:AR$1266,MATCH(Data!$DN1198,'Data_Price '!$AT$2:$AT$1266,0))</f>
        <v/>
      </c>
      <c r="DJ1198" s="138">
        <f>DA1198</f>
        <v/>
      </c>
      <c r="DK1198" s="138">
        <f>DE1198</f>
        <v/>
      </c>
      <c r="DL1198" s="138">
        <f>DI1198</f>
        <v/>
      </c>
      <c r="DM1198" s="303">
        <f>IF(LEFT(BT1198,1)=" ",RIGHT(BT1198,LEN(BT1198)-1),BT1198)</f>
        <v/>
      </c>
      <c r="DN1198" s="138">
        <f>_xlfn.CONCAT(BS1198,DM1198,BU1198,BV1198)</f>
        <v/>
      </c>
      <c r="DO1198" s="307" t="n"/>
    </row>
    <row r="1199" ht="15.6" customHeight="1" s="184">
      <c r="B1199" s="303">
        <f t="array" ref="B1199">IF(OR(ISERROR(K1199:P1199)),FALSE,TRUE)</f>
        <v/>
      </c>
      <c r="C1199" s="60">
        <f>OR(BR1199=Driver!$G$50,Data!BR158=Driver!$H$50)</f>
        <v/>
      </c>
      <c r="D1199" s="60">
        <f>OR(BV1199=Driver!$G$51,BV1199=Driver!$H$51)</f>
        <v/>
      </c>
      <c r="E1199" s="60">
        <f>AND(BX1199&gt;Driver!$F$54,BX1199&lt;Driver!$G$54)</f>
        <v/>
      </c>
      <c r="F1199" s="60">
        <f>CL1199&gt;Driver!$F$56</f>
        <v/>
      </c>
      <c r="G1199" s="60">
        <f>AND(CB1199&gt;Driver!$F$55,CB1199&lt;Driver!$G$55)</f>
        <v/>
      </c>
      <c r="H1199" s="60">
        <f>AND(B1199:G1199)</f>
        <v/>
      </c>
      <c r="I1199" s="60">
        <f>COUNTIFS($H$9:$H$1273,TRUE,$BT$9:$BT$1273,BT1199)</f>
        <v/>
      </c>
      <c r="J1199" s="60">
        <f t="array" ref="J1199">NOT(OR(($H$9:$H$1273=TRUE)*($I$9:$I$1273&gt;0)*($BT$9:$BT$1273=BT1199)*($K$9:$K$1273&gt;K1199)))</f>
        <v/>
      </c>
      <c r="K1199" s="108">
        <f>IFERROR(1-AVERAGE(X1199:Y1199),"")</f>
        <v/>
      </c>
      <c r="L1199" s="108">
        <f>1-X1199</f>
        <v/>
      </c>
      <c r="M1199" s="108">
        <f>1-Y1199</f>
        <v/>
      </c>
      <c r="N1199" s="108">
        <f>1-Z1199</f>
        <v/>
      </c>
      <c r="O1199" s="108">
        <f>1-AA1199</f>
        <v/>
      </c>
      <c r="P1199" s="108">
        <f>1-AB1199</f>
        <v/>
      </c>
      <c r="Q1199" s="108" t="n"/>
      <c r="R1199" s="108" t="n"/>
      <c r="S1199" s="108">
        <f>1-AE1199</f>
        <v/>
      </c>
      <c r="T1199" s="108">
        <f>1-AF1199</f>
        <v/>
      </c>
      <c r="U1199" s="108">
        <f>1-AG1199</f>
        <v/>
      </c>
      <c r="V1199" s="108">
        <f>1-AH1199</f>
        <v/>
      </c>
      <c r="W1199" s="108">
        <f>1-AI1199</f>
        <v/>
      </c>
      <c r="X1199" s="108">
        <f>ABS(AJ1199-AJ$1)</f>
        <v/>
      </c>
      <c r="Y1199" s="108">
        <f>AVERAGE(Z1199:AB1199)</f>
        <v/>
      </c>
      <c r="Z1199" s="108">
        <f>ABS(AL1199-AL$1)</f>
        <v/>
      </c>
      <c r="AA1199" s="108">
        <f>ABS(AM1199-AM$1)</f>
        <v/>
      </c>
      <c r="AB1199" s="108">
        <f>ABS(AN1199-AN$1)</f>
        <v/>
      </c>
      <c r="AC1199" s="108" t="n"/>
      <c r="AD1199" s="108" t="n"/>
      <c r="AE1199" s="108">
        <f>ABS(AQ$1-AQ1199)</f>
        <v/>
      </c>
      <c r="AF1199" s="108">
        <f>ABS(AR$1-AR1199)</f>
        <v/>
      </c>
      <c r="AG1199" s="108">
        <f>ABS(AS$1-AS1199)</f>
        <v/>
      </c>
      <c r="AH1199" s="108">
        <f>ABS(AT$1-AT1199)</f>
        <v/>
      </c>
      <c r="AI1199" s="108">
        <f>ABS(AU$1-AU1199)</f>
        <v/>
      </c>
      <c r="AJ1199" s="108">
        <f>(AV1199-Driver!$K$179)/(Driver!$L$179-Driver!$K$179)</f>
        <v/>
      </c>
      <c r="AK1199" s="108">
        <f>(AW1199-Driver!$K$180)/(Driver!$L$180-Driver!$K$180)</f>
        <v/>
      </c>
      <c r="AL1199" s="108">
        <f>(AX1199-Driver!$K$181)/(Driver!$L$181-Driver!$K$181)</f>
        <v/>
      </c>
      <c r="AM1199" s="108">
        <f>(AY1199-Driver!$K$182)/(Driver!$L$182-Driver!$K$182)</f>
        <v/>
      </c>
      <c r="AN1199" s="108">
        <f>(AZ1199-Driver!$K$183)/(Driver!$L$183-Driver!$K$183)</f>
        <v/>
      </c>
      <c r="AO1199" s="108" t="n"/>
      <c r="AP1199" s="108" t="n"/>
      <c r="AQ1199" s="108">
        <f>(BC1199-Driver!$K$188)/(Driver!$L$188-Driver!$K$188)</f>
        <v/>
      </c>
      <c r="AR1199" s="108">
        <f>MIN((BD1199-Driver!$K$189)/(Driver!$L$189-Driver!$K$189),100%)</f>
        <v/>
      </c>
      <c r="AS1199" s="108">
        <f>(BE1199-Driver!$K$190)/(Driver!$L$190-Driver!$K$190)</f>
        <v/>
      </c>
      <c r="AT1199" s="108">
        <f>(BF1199-Driver!$K$191)/(Driver!$L$191-Driver!$K$191)</f>
        <v/>
      </c>
      <c r="AU1199" s="108">
        <f>(BG1199-Driver!$K$192)/(Driver!$L$192-Driver!$K$192)</f>
        <v/>
      </c>
      <c r="AV1199" s="105">
        <f>IFERROR(BM1199*BJ1199^1/4,"")</f>
        <v/>
      </c>
      <c r="AW1199" s="105">
        <f>IFERROR(SUM(AX1199:AZ1199),"")</f>
        <v/>
      </c>
      <c r="AX1199" s="105">
        <f>IFERROR(BH1199,"")</f>
        <v/>
      </c>
      <c r="AY1199" s="105">
        <f>IFERROR(Driver!$K$19/Data!BH1199/Data!BI1199*Data!BK1199*Data!BL1199,"")</f>
        <v/>
      </c>
      <c r="AZ1199" s="105">
        <f>IFERROR(BI1199*BN1199,"")</f>
        <v/>
      </c>
      <c r="BA1199" s="105" t="n"/>
      <c r="BB1199" s="105" t="n"/>
      <c r="BC1199" s="105">
        <f>IFERROR(BI1199*BN1199*BK1199/BJ1199^(1/2),"")</f>
        <v/>
      </c>
      <c r="BD1199" s="105">
        <f>IFERROR(BH1199*BM1199*BL1199/BJ1199/BK1199,"")</f>
        <v/>
      </c>
      <c r="BE1199" s="105">
        <f>IFERROR(MIN(BI1199/BQ1199/BP1199/BO1199/BH1199,$BE$1),"")</f>
        <v/>
      </c>
      <c r="BF1199" s="105">
        <f>IFERROR(BJ1199*BO1199*BP1199/BK1199,"")</f>
        <v/>
      </c>
      <c r="BG1199" s="105">
        <f>IFERROR(1/BM1199/BH1199*BQ1199,"")</f>
        <v/>
      </c>
      <c r="BH1199" s="102">
        <f>MAX((CE1199-Driver!$F$200)/(Driver!$G$200-Driver!$F$200)*$BI$1,1)</f>
        <v/>
      </c>
      <c r="BI1199" s="102">
        <f>MAX($BI$1*(BY1199-Driver!$F$201)/(Driver!$G$201-Driver!$F$201),1)</f>
        <v/>
      </c>
      <c r="BJ1199" s="102">
        <f>(CB1199-Driver!$F$206)/(Driver!$G$206-Driver!$F$206)*$BI$1</f>
        <v/>
      </c>
      <c r="BK1199" s="102">
        <f>(CD1199-Driver!$F$203)/(Driver!$G$203-Driver!$F$203)*$BI$1</f>
        <v/>
      </c>
      <c r="BL1199" s="102">
        <f>MAX((CR1199-Driver!$F$202)/(Driver!$G$202-Driver!$F$202)*$BI$1,1)</f>
        <v/>
      </c>
      <c r="BM1199" s="102">
        <f>MAX((CH1199-Driver!$F$204)/(Driver!$G$204-Driver!$F$204)*$BI$1,1)</f>
        <v/>
      </c>
      <c r="BN1199" s="102">
        <f>(CI1199-Driver!$F$205)/(Driver!$G$205-Driver!$F$205)*$BI$1</f>
        <v/>
      </c>
      <c r="BO1199" s="102">
        <f>(CK1199-Driver!$F$207)/(Driver!$G$207-Driver!$F$207)*$BI$1</f>
        <v/>
      </c>
      <c r="BP1199" s="102">
        <f>(CM1199-Driver!$F$208)/(Driver!$G$208-Driver!$F$208)*$BI$1</f>
        <v/>
      </c>
      <c r="BQ1199" s="102">
        <f>(CL1199-Driver!$F$209)/(Driver!$G$209-Driver!$F$209)*$BI$1</f>
        <v/>
      </c>
      <c r="BR1199" s="40" t="inlineStr">
        <is>
          <t>21/22</t>
        </is>
      </c>
      <c r="BS1199" s="10" t="inlineStr">
        <is>
          <t xml:space="preserve"> Atomic</t>
        </is>
      </c>
      <c r="BT1199" s="11" t="inlineStr">
        <is>
          <t>Maverick 100 Ti</t>
        </is>
      </c>
      <c r="BU1199" s="13" t="n">
        <v>188</v>
      </c>
      <c r="BV1199" s="11" t="inlineStr">
        <is>
          <t xml:space="preserve"> Unisex</t>
        </is>
      </c>
      <c r="BW1199" s="13" t="n">
        <v>188</v>
      </c>
      <c r="BX1199" s="13" t="n">
        <v>187</v>
      </c>
      <c r="BY1199" s="13" t="n">
        <v>132</v>
      </c>
      <c r="BZ1199" s="13" t="n">
        <v>149</v>
      </c>
      <c r="CA1199" s="13" t="n">
        <v>129</v>
      </c>
      <c r="CB1199" s="13" t="n">
        <v>100</v>
      </c>
      <c r="CC1199" s="13" t="n">
        <v>120</v>
      </c>
      <c r="CD1199" s="13" t="n">
        <v>21.5</v>
      </c>
      <c r="CE1199" s="13" t="n">
        <v>1810</v>
      </c>
      <c r="CF1199" s="13" t="n">
        <v>1.12</v>
      </c>
      <c r="CG1199" s="13" t="n">
        <v>2023</v>
      </c>
      <c r="CH1199" s="13" t="n">
        <v>265</v>
      </c>
      <c r="CI1199" s="13" t="n">
        <v>173</v>
      </c>
      <c r="CJ1199" s="13" t="n">
        <v>69</v>
      </c>
      <c r="CK1199" s="13" t="n">
        <v>329</v>
      </c>
      <c r="CL1199" s="13" t="n">
        <v>19</v>
      </c>
      <c r="CM1199" s="13" t="n">
        <v>224</v>
      </c>
      <c r="CN1199" s="13" t="n">
        <v>0.281</v>
      </c>
      <c r="CO1199" s="13" t="n">
        <v>212</v>
      </c>
      <c r="CP1199" s="13" t="n">
        <v>164</v>
      </c>
      <c r="CQ1199" s="13" t="n">
        <v>117</v>
      </c>
      <c r="CR1199" s="13" t="n">
        <v>6</v>
      </c>
      <c r="CS1199" s="13" t="n">
        <v>10.8</v>
      </c>
      <c r="CT1199" s="11" t="inlineStr">
        <is>
          <t xml:space="preserve"> Resort Freeride</t>
        </is>
      </c>
      <c r="CU1199" s="11" t="inlineStr">
        <is>
          <t xml:space="preserve"> Touring</t>
        </is>
      </c>
      <c r="CV1199" s="13" t="n"/>
      <c r="CW1199" s="13" t="n"/>
      <c r="CX1199">
        <f>INDEX('Data_Price '!AG$2:AG$1266,MATCH(Data!$DN1199,'Data_Price '!$AT$2:$AT$1266,0))</f>
        <v/>
      </c>
      <c r="CY1199">
        <f>INDEX('Data_Price '!AH$2:AH$1266,MATCH(Data!$DN1199,'Data_Price '!$AT$2:$AT$1266,0))</f>
        <v/>
      </c>
      <c r="CZ1199">
        <f>INDEX('Data_Price '!AI$2:AI$1266,MATCH(Data!$DN1199,'Data_Price '!$AT$2:$AT$1266,0))</f>
        <v/>
      </c>
      <c r="DA1199">
        <f>INDEX('Data_Price '!AJ$2:AJ$1266,MATCH(Data!$DN1199,'Data_Price '!$AT$2:$AT$1266,0))</f>
        <v/>
      </c>
      <c r="DB1199">
        <f>INDEX('Data_Price '!AK$2:AK$1266,MATCH(Data!$DN1199,'Data_Price '!$AT$2:$AT$1266,0))</f>
        <v/>
      </c>
      <c r="DC1199">
        <f>INDEX('Data_Price '!AL$2:AL$1266,MATCH(Data!$DN1199,'Data_Price '!$AT$2:$AT$1266,0))</f>
        <v/>
      </c>
      <c r="DD1199">
        <f>INDEX('Data_Price '!AM$2:AM$1266,MATCH(Data!$DN1199,'Data_Price '!$AT$2:$AT$1266,0))</f>
        <v/>
      </c>
      <c r="DE1199">
        <f>INDEX('Data_Price '!AN$2:AN$1266,MATCH(Data!$DN1199,'Data_Price '!$AT$2:$AT$1266,0))</f>
        <v/>
      </c>
      <c r="DF1199">
        <f>INDEX('Data_Price '!AO$2:AO$1266,MATCH(Data!$DN1199,'Data_Price '!$AT$2:$AT$1266,0))</f>
        <v/>
      </c>
      <c r="DG1199">
        <f>INDEX('Data_Price '!AP$2:AP$1266,MATCH(Data!$DN1199,'Data_Price '!$AT$2:$AT$1266,0))</f>
        <v/>
      </c>
      <c r="DH1199">
        <f>INDEX('Data_Price '!AQ$2:AQ$1266,MATCH(Data!$DN1199,'Data_Price '!$AT$2:$AT$1266,0))</f>
        <v/>
      </c>
      <c r="DI1199">
        <f>INDEX('Data_Price '!AR$2:AR$1266,MATCH(Data!$DN1199,'Data_Price '!$AT$2:$AT$1266,0))</f>
        <v/>
      </c>
      <c r="DJ1199" s="138">
        <f>DA1199</f>
        <v/>
      </c>
      <c r="DK1199" s="138">
        <f>DE1199</f>
        <v/>
      </c>
      <c r="DL1199" s="138">
        <f>DI1199</f>
        <v/>
      </c>
      <c r="DM1199" s="303">
        <f>IF(LEFT(BT1199,1)=" ",RIGHT(BT1199,LEN(BT1199)-1),BT1199)</f>
        <v/>
      </c>
      <c r="DN1199" s="138">
        <f>_xlfn.CONCAT(BS1199,DM1199,BU1199,BV1199)</f>
        <v/>
      </c>
      <c r="DO1199" s="307" t="inlineStr">
        <is>
          <t>https://images.evo.com/imgp/250/219680/902841/atomic-maverick-100-ti-skis-2023-.jpg</t>
        </is>
      </c>
    </row>
    <row r="1200" ht="15.6" customHeight="1" s="184">
      <c r="B1200" s="303">
        <f t="array" ref="B1200">IF(OR(ISERROR(K1200:P1200)),FALSE,TRUE)</f>
        <v/>
      </c>
      <c r="C1200" s="60">
        <f>OR(BR1200=Driver!$G$50,Data!BR178=Driver!$H$50)</f>
        <v/>
      </c>
      <c r="D1200" s="60">
        <f>OR(BV1200=Driver!$G$51,BV1200=Driver!$H$51)</f>
        <v/>
      </c>
      <c r="E1200" s="60">
        <f>AND(BX1200&gt;Driver!$F$54,BX1200&lt;Driver!$G$54)</f>
        <v/>
      </c>
      <c r="F1200" s="60">
        <f>CL1200&gt;Driver!$F$56</f>
        <v/>
      </c>
      <c r="G1200" s="60">
        <f>AND(CB1200&gt;Driver!$F$55,CB1200&lt;Driver!$G$55)</f>
        <v/>
      </c>
      <c r="H1200" s="60">
        <f>AND(B1200:G1200)</f>
        <v/>
      </c>
      <c r="I1200" s="60">
        <f>COUNTIFS($H$9:$H$1273,TRUE,$BT$9:$BT$1273,BT1200)</f>
        <v/>
      </c>
      <c r="J1200" s="60">
        <f t="array" ref="J1200">NOT(OR(($H$9:$H$1273=TRUE)*($I$9:$I$1273&gt;0)*($BT$9:$BT$1273=BT1200)*($K$9:$K$1273&gt;K1200)))</f>
        <v/>
      </c>
      <c r="K1200" s="108">
        <f>IFERROR(1-AVERAGE(X1200:Y1200),"")</f>
        <v/>
      </c>
      <c r="L1200" s="108">
        <f>1-X1200</f>
        <v/>
      </c>
      <c r="M1200" s="108">
        <f>1-Y1200</f>
        <v/>
      </c>
      <c r="N1200" s="108">
        <f>1-Z1200</f>
        <v/>
      </c>
      <c r="O1200" s="108">
        <f>1-AA1200</f>
        <v/>
      </c>
      <c r="P1200" s="108">
        <f>1-AB1200</f>
        <v/>
      </c>
      <c r="Q1200" s="108" t="n"/>
      <c r="R1200" s="108" t="n"/>
      <c r="S1200" s="108">
        <f>1-AE1200</f>
        <v/>
      </c>
      <c r="T1200" s="108">
        <f>1-AF1200</f>
        <v/>
      </c>
      <c r="U1200" s="108">
        <f>1-AG1200</f>
        <v/>
      </c>
      <c r="V1200" s="108">
        <f>1-AH1200</f>
        <v/>
      </c>
      <c r="W1200" s="108">
        <f>1-AI1200</f>
        <v/>
      </c>
      <c r="X1200" s="108">
        <f>ABS(AJ1200-AJ$1)</f>
        <v/>
      </c>
      <c r="Y1200" s="108">
        <f>AVERAGE(Z1200:AB1200)</f>
        <v/>
      </c>
      <c r="Z1200" s="108">
        <f>ABS(AL1200-AL$1)</f>
        <v/>
      </c>
      <c r="AA1200" s="108">
        <f>ABS(AM1200-AM$1)</f>
        <v/>
      </c>
      <c r="AB1200" s="108">
        <f>ABS(AN1200-AN$1)</f>
        <v/>
      </c>
      <c r="AC1200" s="108" t="n"/>
      <c r="AD1200" s="108" t="n"/>
      <c r="AE1200" s="108">
        <f>ABS(AQ$1-AQ1200)</f>
        <v/>
      </c>
      <c r="AF1200" s="108">
        <f>ABS(AR$1-AR1200)</f>
        <v/>
      </c>
      <c r="AG1200" s="108">
        <f>ABS(AS$1-AS1200)</f>
        <v/>
      </c>
      <c r="AH1200" s="108">
        <f>ABS(AT$1-AT1200)</f>
        <v/>
      </c>
      <c r="AI1200" s="108">
        <f>ABS(AU$1-AU1200)</f>
        <v/>
      </c>
      <c r="AJ1200" s="108">
        <f>(AV1200-Driver!$K$179)/(Driver!$L$179-Driver!$K$179)</f>
        <v/>
      </c>
      <c r="AK1200" s="108">
        <f>(AW1200-Driver!$K$180)/(Driver!$L$180-Driver!$K$180)</f>
        <v/>
      </c>
      <c r="AL1200" s="108">
        <f>(AX1200-Driver!$K$181)/(Driver!$L$181-Driver!$K$181)</f>
        <v/>
      </c>
      <c r="AM1200" s="108">
        <f>(AY1200-Driver!$K$182)/(Driver!$L$182-Driver!$K$182)</f>
        <v/>
      </c>
      <c r="AN1200" s="108">
        <f>(AZ1200-Driver!$K$183)/(Driver!$L$183-Driver!$K$183)</f>
        <v/>
      </c>
      <c r="AO1200" s="108" t="n"/>
      <c r="AP1200" s="108" t="n"/>
      <c r="AQ1200" s="108">
        <f>(BC1200-Driver!$K$188)/(Driver!$L$188-Driver!$K$188)</f>
        <v/>
      </c>
      <c r="AR1200" s="108">
        <f>MIN((BD1200-Driver!$K$189)/(Driver!$L$189-Driver!$K$189),100%)</f>
        <v/>
      </c>
      <c r="AS1200" s="108">
        <f>(BE1200-Driver!$K$190)/(Driver!$L$190-Driver!$K$190)</f>
        <v/>
      </c>
      <c r="AT1200" s="108">
        <f>(BF1200-Driver!$K$191)/(Driver!$L$191-Driver!$K$191)</f>
        <v/>
      </c>
      <c r="AU1200" s="108">
        <f>(BG1200-Driver!$K$192)/(Driver!$L$192-Driver!$K$192)</f>
        <v/>
      </c>
      <c r="AV1200" s="105">
        <f>IFERROR(BM1200*BJ1200^1/4,"")</f>
        <v/>
      </c>
      <c r="AW1200" s="105">
        <f>IFERROR(SUM(AX1200:AZ1200),"")</f>
        <v/>
      </c>
      <c r="AX1200" s="105">
        <f>IFERROR(BH1200,"")</f>
        <v/>
      </c>
      <c r="AY1200" s="105">
        <f>IFERROR(Driver!$K$19/Data!BH1200/Data!BI1200*Data!BK1200*Data!BL1200,"")</f>
        <v/>
      </c>
      <c r="AZ1200" s="105">
        <f>IFERROR(BI1200*BN1200,"")</f>
        <v/>
      </c>
      <c r="BA1200" s="105" t="n"/>
      <c r="BB1200" s="105" t="n"/>
      <c r="BC1200" s="105">
        <f>IFERROR(BI1200*BN1200*BK1200/BJ1200^(1/2),"")</f>
        <v/>
      </c>
      <c r="BD1200" s="105">
        <f>IFERROR(BH1200*BM1200*BL1200/BJ1200/BK1200,"")</f>
        <v/>
      </c>
      <c r="BE1200" s="105">
        <f>IFERROR(MIN(BI1200/BQ1200/BP1200/BO1200/BH1200,$BE$1),"")</f>
        <v/>
      </c>
      <c r="BF1200" s="105">
        <f>IFERROR(BJ1200*BO1200*BP1200/BK1200,"")</f>
        <v/>
      </c>
      <c r="BG1200" s="105">
        <f>IFERROR(1/BM1200/BH1200*BQ1200,"")</f>
        <v/>
      </c>
      <c r="BH1200" s="102">
        <f>MAX((CE1200-Driver!$F$200)/(Driver!$G$200-Driver!$F$200)*$BI$1,1)</f>
        <v/>
      </c>
      <c r="BI1200" s="102">
        <f>MAX($BI$1*(BY1200-Driver!$F$201)/(Driver!$G$201-Driver!$F$201),1)</f>
        <v/>
      </c>
      <c r="BJ1200" s="102">
        <f>(CB1200-Driver!$F$206)/(Driver!$G$206-Driver!$F$206)*$BI$1</f>
        <v/>
      </c>
      <c r="BK1200" s="102">
        <f>(CD1200-Driver!$F$203)/(Driver!$G$203-Driver!$F$203)*$BI$1</f>
        <v/>
      </c>
      <c r="BL1200" s="102">
        <f>MAX((CR1200-Driver!$F$202)/(Driver!$G$202-Driver!$F$202)*$BI$1,1)</f>
        <v/>
      </c>
      <c r="BM1200" s="102">
        <f>MAX((CH1200-Driver!$F$204)/(Driver!$G$204-Driver!$F$204)*$BI$1,1)</f>
        <v/>
      </c>
      <c r="BN1200" s="102">
        <f>(CI1200-Driver!$F$205)/(Driver!$G$205-Driver!$F$205)*$BI$1</f>
        <v/>
      </c>
      <c r="BO1200" s="102">
        <f>(CK1200-Driver!$F$207)/(Driver!$G$207-Driver!$F$207)*$BI$1</f>
        <v/>
      </c>
      <c r="BP1200" s="102">
        <f>(CM1200-Driver!$F$208)/(Driver!$G$208-Driver!$F$208)*$BI$1</f>
        <v/>
      </c>
      <c r="BQ1200" s="102">
        <f>(CL1200-Driver!$F$209)/(Driver!$G$209-Driver!$F$209)*$BI$1</f>
        <v/>
      </c>
      <c r="BR1200" s="40" t="inlineStr">
        <is>
          <t>21/22</t>
        </is>
      </c>
      <c r="BS1200" s="10" t="inlineStr">
        <is>
          <t xml:space="preserve"> Atomic</t>
        </is>
      </c>
      <c r="BT1200" s="11" t="inlineStr">
        <is>
          <t>Redster S9 Revo</t>
        </is>
      </c>
      <c r="BU1200" s="13" t="n">
        <v>170</v>
      </c>
      <c r="BV1200" s="11" t="inlineStr">
        <is>
          <t xml:space="preserve"> Unisex</t>
        </is>
      </c>
      <c r="BW1200" s="13" t="n">
        <v>170</v>
      </c>
      <c r="BX1200" s="13" t="n">
        <v>169.5</v>
      </c>
      <c r="BY1200" s="13" t="n">
        <v>151</v>
      </c>
      <c r="BZ1200" s="13" t="n">
        <v>156</v>
      </c>
      <c r="CA1200" s="13" t="n">
        <v>118</v>
      </c>
      <c r="CB1200" s="13" t="n">
        <v>67</v>
      </c>
      <c r="CC1200" s="13" t="n">
        <v>104</v>
      </c>
      <c r="CD1200" s="13" t="n">
        <v>13.4</v>
      </c>
      <c r="CE1200" s="13" t="n">
        <v>2107</v>
      </c>
      <c r="CF1200" s="13" t="n">
        <v>0.67</v>
      </c>
      <c r="CG1200" s="13" t="n">
        <v>1418</v>
      </c>
      <c r="CH1200" s="13" t="n">
        <v>244</v>
      </c>
      <c r="CI1200" s="13" t="n">
        <v>118</v>
      </c>
      <c r="CJ1200" s="13" t="n">
        <v>33</v>
      </c>
      <c r="CK1200" s="13" t="n">
        <v>139</v>
      </c>
      <c r="CL1200" s="13" t="n">
        <v>4</v>
      </c>
      <c r="CM1200" s="13" t="n">
        <v>49</v>
      </c>
      <c r="CN1200" s="13" t="n">
        <v>0.122</v>
      </c>
      <c r="CO1200" s="13" t="n">
        <v>83</v>
      </c>
      <c r="CP1200" s="13" t="n">
        <v>54</v>
      </c>
      <c r="CQ1200" s="13" t="n">
        <v>56</v>
      </c>
      <c r="CR1200" s="13" t="n">
        <v>12</v>
      </c>
      <c r="CS1200" s="13" t="n">
        <v>13.4</v>
      </c>
      <c r="CT1200" s="11" t="inlineStr">
        <is>
          <t xml:space="preserve"> On-Piste Carving</t>
        </is>
      </c>
      <c r="CU1200" s="13" t="n"/>
      <c r="CV1200" s="13" t="n"/>
      <c r="CW1200" s="13" t="n"/>
      <c r="CX1200">
        <f>INDEX('Data_Price '!AG$2:AG$1266,MATCH(Data!$DN1200,'Data_Price '!$AT$2:$AT$1266,0))</f>
        <v/>
      </c>
      <c r="CY1200">
        <f>INDEX('Data_Price '!AH$2:AH$1266,MATCH(Data!$DN1200,'Data_Price '!$AT$2:$AT$1266,0))</f>
        <v/>
      </c>
      <c r="CZ1200">
        <f>INDEX('Data_Price '!AI$2:AI$1266,MATCH(Data!$DN1200,'Data_Price '!$AT$2:$AT$1266,0))</f>
        <v/>
      </c>
      <c r="DA1200">
        <f>INDEX('Data_Price '!AJ$2:AJ$1266,MATCH(Data!$DN1200,'Data_Price '!$AT$2:$AT$1266,0))</f>
        <v/>
      </c>
      <c r="DB1200">
        <f>INDEX('Data_Price '!AK$2:AK$1266,MATCH(Data!$DN1200,'Data_Price '!$AT$2:$AT$1266,0))</f>
        <v/>
      </c>
      <c r="DC1200">
        <f>INDEX('Data_Price '!AL$2:AL$1266,MATCH(Data!$DN1200,'Data_Price '!$AT$2:$AT$1266,0))</f>
        <v/>
      </c>
      <c r="DD1200">
        <f>INDEX('Data_Price '!AM$2:AM$1266,MATCH(Data!$DN1200,'Data_Price '!$AT$2:$AT$1266,0))</f>
        <v/>
      </c>
      <c r="DE1200">
        <f>INDEX('Data_Price '!AN$2:AN$1266,MATCH(Data!$DN1200,'Data_Price '!$AT$2:$AT$1266,0))</f>
        <v/>
      </c>
      <c r="DF1200">
        <f>INDEX('Data_Price '!AO$2:AO$1266,MATCH(Data!$DN1200,'Data_Price '!$AT$2:$AT$1266,0))</f>
        <v/>
      </c>
      <c r="DG1200">
        <f>INDEX('Data_Price '!AP$2:AP$1266,MATCH(Data!$DN1200,'Data_Price '!$AT$2:$AT$1266,0))</f>
        <v/>
      </c>
      <c r="DH1200">
        <f>INDEX('Data_Price '!AQ$2:AQ$1266,MATCH(Data!$DN1200,'Data_Price '!$AT$2:$AT$1266,0))</f>
        <v/>
      </c>
      <c r="DI1200">
        <f>INDEX('Data_Price '!AR$2:AR$1266,MATCH(Data!$DN1200,'Data_Price '!$AT$2:$AT$1266,0))</f>
        <v/>
      </c>
      <c r="DJ1200" s="138">
        <f>DA1200</f>
        <v/>
      </c>
      <c r="DK1200" s="138">
        <f>DE1200</f>
        <v/>
      </c>
      <c r="DL1200" s="138">
        <f>DI1200</f>
        <v/>
      </c>
      <c r="DM1200" s="303">
        <f>IF(LEFT(BT1200,1)=" ",RIGHT(BT1200,LEN(BT1200)-1),BT1200)</f>
        <v/>
      </c>
      <c r="DN1200" s="138">
        <f>_xlfn.CONCAT(BS1200,DM1200,BU1200,BV1200)</f>
        <v/>
      </c>
      <c r="DO1200" s="307" t="n"/>
    </row>
    <row r="1201" ht="15.6" customHeight="1" s="184">
      <c r="B1201" s="303">
        <f t="array" ref="B1201">IF(OR(ISERROR(K1201:P1201)),FALSE,TRUE)</f>
        <v/>
      </c>
      <c r="C1201" s="60">
        <f>OR(BR1201=Driver!$G$50,Data!BR902=Driver!$H$50)</f>
        <v/>
      </c>
      <c r="D1201" s="60">
        <f>OR(BV1201=Driver!$G$51,BV1201=Driver!$H$51)</f>
        <v/>
      </c>
      <c r="E1201" s="60">
        <f>AND(BX1201&gt;Driver!$F$54,BX1201&lt;Driver!$G$54)</f>
        <v/>
      </c>
      <c r="F1201" s="60">
        <f>CL1201&gt;Driver!$F$56</f>
        <v/>
      </c>
      <c r="G1201" s="60">
        <f>AND(CB1201&gt;Driver!$F$55,CB1201&lt;Driver!$G$55)</f>
        <v/>
      </c>
      <c r="H1201" s="60">
        <f>AND(B1201:G1201)</f>
        <v/>
      </c>
      <c r="I1201" s="60">
        <f>COUNTIFS($H$9:$H$1273,TRUE,$BT$9:$BT$1273,BT1201)</f>
        <v/>
      </c>
      <c r="J1201" s="60">
        <f t="array" ref="J1201">NOT(OR(($H$9:$H$1273=TRUE)*($I$9:$I$1273&gt;0)*($BT$9:$BT$1273=BT1201)*($K$9:$K$1273&gt;K1201)))</f>
        <v/>
      </c>
      <c r="K1201" s="108">
        <f>IFERROR(1-AVERAGE(X1201:Y1201),"")</f>
        <v/>
      </c>
      <c r="L1201" s="108">
        <f>1-X1201</f>
        <v/>
      </c>
      <c r="M1201" s="108">
        <f>1-Y1201</f>
        <v/>
      </c>
      <c r="N1201" s="108">
        <f>1-Z1201</f>
        <v/>
      </c>
      <c r="O1201" s="108">
        <f>1-AA1201</f>
        <v/>
      </c>
      <c r="P1201" s="108">
        <f>1-AB1201</f>
        <v/>
      </c>
      <c r="Q1201" s="108" t="n"/>
      <c r="R1201" s="108" t="n"/>
      <c r="S1201" s="108">
        <f>1-AE1201</f>
        <v/>
      </c>
      <c r="T1201" s="108">
        <f>1-AF1201</f>
        <v/>
      </c>
      <c r="U1201" s="108">
        <f>1-AG1201</f>
        <v/>
      </c>
      <c r="V1201" s="108">
        <f>1-AH1201</f>
        <v/>
      </c>
      <c r="W1201" s="108">
        <f>1-AI1201</f>
        <v/>
      </c>
      <c r="X1201" s="108">
        <f>ABS(AJ1201-AJ$1)</f>
        <v/>
      </c>
      <c r="Y1201" s="108">
        <f>AVERAGE(Z1201:AB1201)</f>
        <v/>
      </c>
      <c r="Z1201" s="108">
        <f>ABS(AL1201-AL$1)</f>
        <v/>
      </c>
      <c r="AA1201" s="108">
        <f>ABS(AM1201-AM$1)</f>
        <v/>
      </c>
      <c r="AB1201" s="108">
        <f>ABS(AN1201-AN$1)</f>
        <v/>
      </c>
      <c r="AC1201" s="108" t="n"/>
      <c r="AD1201" s="108" t="n"/>
      <c r="AE1201" s="108">
        <f>ABS(AQ$1-AQ1201)</f>
        <v/>
      </c>
      <c r="AF1201" s="108">
        <f>ABS(AR$1-AR1201)</f>
        <v/>
      </c>
      <c r="AG1201" s="108">
        <f>ABS(AS$1-AS1201)</f>
        <v/>
      </c>
      <c r="AH1201" s="108">
        <f>ABS(AT$1-AT1201)</f>
        <v/>
      </c>
      <c r="AI1201" s="108">
        <f>ABS(AU$1-AU1201)</f>
        <v/>
      </c>
      <c r="AJ1201" s="108">
        <f>(AV1201-Driver!$K$179)/(Driver!$L$179-Driver!$K$179)</f>
        <v/>
      </c>
      <c r="AK1201" s="108">
        <f>(AW1201-Driver!$K$180)/(Driver!$L$180-Driver!$K$180)</f>
        <v/>
      </c>
      <c r="AL1201" s="108">
        <f>(AX1201-Driver!$K$181)/(Driver!$L$181-Driver!$K$181)</f>
        <v/>
      </c>
      <c r="AM1201" s="108">
        <f>(AY1201-Driver!$K$182)/(Driver!$L$182-Driver!$K$182)</f>
        <v/>
      </c>
      <c r="AN1201" s="108">
        <f>(AZ1201-Driver!$K$183)/(Driver!$L$183-Driver!$K$183)</f>
        <v/>
      </c>
      <c r="AO1201" s="108" t="n"/>
      <c r="AP1201" s="108" t="n"/>
      <c r="AQ1201" s="108">
        <f>(BC1201-Driver!$K$188)/(Driver!$L$188-Driver!$K$188)</f>
        <v/>
      </c>
      <c r="AR1201" s="108">
        <f>MIN((BD1201-Driver!$K$189)/(Driver!$L$189-Driver!$K$189),100%)</f>
        <v/>
      </c>
      <c r="AS1201" s="108">
        <f>(BE1201-Driver!$K$190)/(Driver!$L$190-Driver!$K$190)</f>
        <v/>
      </c>
      <c r="AT1201" s="108">
        <f>(BF1201-Driver!$K$191)/(Driver!$L$191-Driver!$K$191)</f>
        <v/>
      </c>
      <c r="AU1201" s="108">
        <f>(BG1201-Driver!$K$192)/(Driver!$L$192-Driver!$K$192)</f>
        <v/>
      </c>
      <c r="AV1201" s="105">
        <f>IFERROR(BM1201*BJ1201^1/4,"")</f>
        <v/>
      </c>
      <c r="AW1201" s="105">
        <f>IFERROR(SUM(AX1201:AZ1201),"")</f>
        <v/>
      </c>
      <c r="AX1201" s="105">
        <f>IFERROR(BH1201,"")</f>
        <v/>
      </c>
      <c r="AY1201" s="105">
        <f>IFERROR(Driver!$K$19/Data!BH1201/Data!BI1201*Data!BK1201*Data!BL1201,"")</f>
        <v/>
      </c>
      <c r="AZ1201" s="105">
        <f>IFERROR(BI1201*BN1201,"")</f>
        <v/>
      </c>
      <c r="BA1201" s="105" t="n"/>
      <c r="BB1201" s="105" t="n"/>
      <c r="BC1201" s="105">
        <f>IFERROR(BI1201*BN1201*BK1201/BJ1201^(1/2),"")</f>
        <v/>
      </c>
      <c r="BD1201" s="105">
        <f>IFERROR(BH1201*BM1201*BL1201/BJ1201/BK1201,"")</f>
        <v/>
      </c>
      <c r="BE1201" s="105">
        <f>IFERROR(MIN(BI1201/BQ1201/BP1201/BO1201/BH1201,$BE$1),"")</f>
        <v/>
      </c>
      <c r="BF1201" s="105">
        <f>IFERROR(BJ1201*BO1201*BP1201/BK1201,"")</f>
        <v/>
      </c>
      <c r="BG1201" s="105">
        <f>IFERROR(1/BM1201/BH1201*BQ1201,"")</f>
        <v/>
      </c>
      <c r="BH1201" s="102">
        <f>MAX((CE1201-Driver!$F$200)/(Driver!$G$200-Driver!$F$200)*$BI$1,1)</f>
        <v/>
      </c>
      <c r="BI1201" s="102">
        <f>MAX($BI$1*(BY1201-Driver!$F$201)/(Driver!$G$201-Driver!$F$201),1)</f>
        <v/>
      </c>
      <c r="BJ1201" s="102">
        <f>(CB1201-Driver!$F$206)/(Driver!$G$206-Driver!$F$206)*$BI$1</f>
        <v/>
      </c>
      <c r="BK1201" s="102">
        <f>(CD1201-Driver!$F$203)/(Driver!$G$203-Driver!$F$203)*$BI$1</f>
        <v/>
      </c>
      <c r="BL1201" s="102">
        <f>MAX((CR1201-Driver!$F$202)/(Driver!$G$202-Driver!$F$202)*$BI$1,1)</f>
        <v/>
      </c>
      <c r="BM1201" s="102">
        <f>MAX((CH1201-Driver!$F$204)/(Driver!$G$204-Driver!$F$204)*$BI$1,1)</f>
        <v/>
      </c>
      <c r="BN1201" s="102">
        <f>(CI1201-Driver!$F$205)/(Driver!$G$205-Driver!$F$205)*$BI$1</f>
        <v/>
      </c>
      <c r="BO1201" s="102">
        <f>(CK1201-Driver!$F$207)/(Driver!$G$207-Driver!$F$207)*$BI$1</f>
        <v/>
      </c>
      <c r="BP1201" s="102">
        <f>(CM1201-Driver!$F$208)/(Driver!$G$208-Driver!$F$208)*$BI$1</f>
        <v/>
      </c>
      <c r="BQ1201" s="102">
        <f>(CL1201-Driver!$F$209)/(Driver!$G$209-Driver!$F$209)*$BI$1</f>
        <v/>
      </c>
      <c r="BR1201" s="40" t="inlineStr">
        <is>
          <t>21/22</t>
        </is>
      </c>
      <c r="BS1201" s="10" t="inlineStr">
        <is>
          <t xml:space="preserve"> Nordica</t>
        </is>
      </c>
      <c r="BT1201" s="11" t="inlineStr">
        <is>
          <t>Enforcer 110 Free</t>
        </is>
      </c>
      <c r="BU1201" s="13" t="n">
        <v>185</v>
      </c>
      <c r="BV1201" s="11" t="inlineStr">
        <is>
          <t xml:space="preserve"> Unisex</t>
        </is>
      </c>
      <c r="BW1201" s="13" t="n">
        <v>185</v>
      </c>
      <c r="BX1201" s="13" t="n">
        <v>184.1</v>
      </c>
      <c r="BY1201" s="13" t="n">
        <v>125</v>
      </c>
      <c r="BZ1201" s="13" t="n">
        <v>151</v>
      </c>
      <c r="CA1201" s="13" t="n">
        <v>140</v>
      </c>
      <c r="CB1201" s="13" t="n">
        <v>109</v>
      </c>
      <c r="CC1201" s="13" t="n">
        <v>131</v>
      </c>
      <c r="CD1201" s="13" t="n">
        <v>18.8</v>
      </c>
      <c r="CE1201" s="13" t="n">
        <v>2292</v>
      </c>
      <c r="CF1201" s="13" t="n">
        <v>0.96</v>
      </c>
      <c r="CG1201" s="13" t="n">
        <v>2194</v>
      </c>
      <c r="CH1201" s="13" t="n">
        <v>209</v>
      </c>
      <c r="CI1201" s="13" t="n">
        <v>149</v>
      </c>
      <c r="CJ1201" s="13" t="n">
        <v>58</v>
      </c>
      <c r="CK1201" s="13" t="n">
        <v>326</v>
      </c>
      <c r="CL1201" s="13" t="n">
        <v>39</v>
      </c>
      <c r="CM1201" s="13" t="n">
        <v>261</v>
      </c>
      <c r="CN1201" s="13" t="n">
        <v>0.66</v>
      </c>
      <c r="CO1201" s="13" t="n">
        <v>170</v>
      </c>
      <c r="CP1201" s="13" t="n">
        <v>161</v>
      </c>
      <c r="CQ1201" s="13" t="n">
        <v>157</v>
      </c>
      <c r="CR1201" s="13" t="n">
        <v>10</v>
      </c>
      <c r="CS1201" s="13" t="n">
        <v>8.800000000000001</v>
      </c>
      <c r="CT1201" s="11" t="inlineStr">
        <is>
          <t xml:space="preserve"> Powder</t>
        </is>
      </c>
      <c r="CU1201" s="13" t="n"/>
      <c r="CV1201" s="13" t="n"/>
      <c r="CW1201" s="13" t="n"/>
      <c r="CX1201">
        <f>INDEX('Data_Price '!AG$2:AG$1266,MATCH(Data!$DN1201,'Data_Price '!$AT$2:$AT$1266,0))</f>
        <v/>
      </c>
      <c r="CY1201">
        <f>INDEX('Data_Price '!AH$2:AH$1266,MATCH(Data!$DN1201,'Data_Price '!$AT$2:$AT$1266,0))</f>
        <v/>
      </c>
      <c r="CZ1201">
        <f>INDEX('Data_Price '!AI$2:AI$1266,MATCH(Data!$DN1201,'Data_Price '!$AT$2:$AT$1266,0))</f>
        <v/>
      </c>
      <c r="DA1201">
        <f>INDEX('Data_Price '!AJ$2:AJ$1266,MATCH(Data!$DN1201,'Data_Price '!$AT$2:$AT$1266,0))</f>
        <v/>
      </c>
      <c r="DB1201">
        <f>INDEX('Data_Price '!AK$2:AK$1266,MATCH(Data!$DN1201,'Data_Price '!$AT$2:$AT$1266,0))</f>
        <v/>
      </c>
      <c r="DC1201">
        <f>INDEX('Data_Price '!AL$2:AL$1266,MATCH(Data!$DN1201,'Data_Price '!$AT$2:$AT$1266,0))</f>
        <v/>
      </c>
      <c r="DD1201">
        <f>INDEX('Data_Price '!AM$2:AM$1266,MATCH(Data!$DN1201,'Data_Price '!$AT$2:$AT$1266,0))</f>
        <v/>
      </c>
      <c r="DE1201">
        <f>INDEX('Data_Price '!AN$2:AN$1266,MATCH(Data!$DN1201,'Data_Price '!$AT$2:$AT$1266,0))</f>
        <v/>
      </c>
      <c r="DF1201">
        <f>INDEX('Data_Price '!AO$2:AO$1266,MATCH(Data!$DN1201,'Data_Price '!$AT$2:$AT$1266,0))</f>
        <v/>
      </c>
      <c r="DG1201">
        <f>INDEX('Data_Price '!AP$2:AP$1266,MATCH(Data!$DN1201,'Data_Price '!$AT$2:$AT$1266,0))</f>
        <v/>
      </c>
      <c r="DH1201">
        <f>INDEX('Data_Price '!AQ$2:AQ$1266,MATCH(Data!$DN1201,'Data_Price '!$AT$2:$AT$1266,0))</f>
        <v/>
      </c>
      <c r="DI1201">
        <f>INDEX('Data_Price '!AR$2:AR$1266,MATCH(Data!$DN1201,'Data_Price '!$AT$2:$AT$1266,0))</f>
        <v/>
      </c>
      <c r="DJ1201" s="138">
        <f>DA1201</f>
        <v/>
      </c>
      <c r="DK1201" s="138">
        <f>DE1201</f>
        <v/>
      </c>
      <c r="DL1201" s="138">
        <f>DI1201</f>
        <v/>
      </c>
      <c r="DM1201" s="303">
        <f>IF(LEFT(BT1201,1)=" ",RIGHT(BT1201,LEN(BT1201)-1),BT1201)</f>
        <v/>
      </c>
      <c r="DN1201" s="138">
        <f>_xlfn.CONCAT(BS1201,DM1201,BU1201,BV1201)</f>
        <v/>
      </c>
      <c r="DO1201" s="307" t="inlineStr">
        <is>
          <t>https://images.evo.com/imgp/250/198258/835767/nordica-enforcer-110-free-skis-2022-.jpg</t>
        </is>
      </c>
    </row>
    <row r="1202" ht="15.6" customHeight="1" s="184">
      <c r="B1202" s="303">
        <f t="array" ref="B1202">IF(OR(ISERROR(K1202:P1202)),FALSE,TRUE)</f>
        <v/>
      </c>
      <c r="C1202" s="60">
        <f>OR(BR1202=Driver!$G$50,Data!BR281=Driver!$H$50)</f>
        <v/>
      </c>
      <c r="D1202" s="60">
        <f>OR(BV1202=Driver!$G$51,BV1202=Driver!$H$51)</f>
        <v/>
      </c>
      <c r="E1202" s="60">
        <f>AND(BX1202&gt;Driver!$F$54,BX1202&lt;Driver!$G$54)</f>
        <v/>
      </c>
      <c r="F1202" s="60">
        <f>CL1202&gt;Driver!$F$56</f>
        <v/>
      </c>
      <c r="G1202" s="60">
        <f>AND(CB1202&gt;Driver!$F$55,CB1202&lt;Driver!$G$55)</f>
        <v/>
      </c>
      <c r="H1202" s="60">
        <f>AND(B1202:G1202)</f>
        <v/>
      </c>
      <c r="I1202" s="60">
        <f>COUNTIFS($H$9:$H$1273,TRUE,$BT$9:$BT$1273,BT1202)</f>
        <v/>
      </c>
      <c r="J1202" s="60">
        <f t="array" ref="J1202">NOT(OR(($H$9:$H$1273=TRUE)*($I$9:$I$1273&gt;0)*($BT$9:$BT$1273=BT1202)*($K$9:$K$1273&gt;K1202)))</f>
        <v/>
      </c>
      <c r="K1202" s="108">
        <f>IFERROR(1-AVERAGE(X1202:Y1202),"")</f>
        <v/>
      </c>
      <c r="L1202" s="108">
        <f>1-X1202</f>
        <v/>
      </c>
      <c r="M1202" s="108">
        <f>1-Y1202</f>
        <v/>
      </c>
      <c r="N1202" s="108">
        <f>1-Z1202</f>
        <v/>
      </c>
      <c r="O1202" s="108">
        <f>1-AA1202</f>
        <v/>
      </c>
      <c r="P1202" s="108">
        <f>1-AB1202</f>
        <v/>
      </c>
      <c r="Q1202" s="108" t="n"/>
      <c r="R1202" s="108" t="n"/>
      <c r="S1202" s="108">
        <f>1-AE1202</f>
        <v/>
      </c>
      <c r="T1202" s="108">
        <f>1-AF1202</f>
        <v/>
      </c>
      <c r="U1202" s="108">
        <f>1-AG1202</f>
        <v/>
      </c>
      <c r="V1202" s="108">
        <f>1-AH1202</f>
        <v/>
      </c>
      <c r="W1202" s="108">
        <f>1-AI1202</f>
        <v/>
      </c>
      <c r="X1202" s="108">
        <f>ABS(AJ1202-AJ$1)</f>
        <v/>
      </c>
      <c r="Y1202" s="108">
        <f>AVERAGE(Z1202:AB1202)</f>
        <v/>
      </c>
      <c r="Z1202" s="108">
        <f>ABS(AL1202-AL$1)</f>
        <v/>
      </c>
      <c r="AA1202" s="108">
        <f>ABS(AM1202-AM$1)</f>
        <v/>
      </c>
      <c r="AB1202" s="108">
        <f>ABS(AN1202-AN$1)</f>
        <v/>
      </c>
      <c r="AC1202" s="108" t="n"/>
      <c r="AD1202" s="108" t="n"/>
      <c r="AE1202" s="108">
        <f>ABS(AQ$1-AQ1202)</f>
        <v/>
      </c>
      <c r="AF1202" s="108">
        <f>ABS(AR$1-AR1202)</f>
        <v/>
      </c>
      <c r="AG1202" s="108">
        <f>ABS(AS$1-AS1202)</f>
        <v/>
      </c>
      <c r="AH1202" s="108">
        <f>ABS(AT$1-AT1202)</f>
        <v/>
      </c>
      <c r="AI1202" s="108">
        <f>ABS(AU$1-AU1202)</f>
        <v/>
      </c>
      <c r="AJ1202" s="108">
        <f>(AV1202-Driver!$K$179)/(Driver!$L$179-Driver!$K$179)</f>
        <v/>
      </c>
      <c r="AK1202" s="108">
        <f>(AW1202-Driver!$K$180)/(Driver!$L$180-Driver!$K$180)</f>
        <v/>
      </c>
      <c r="AL1202" s="108">
        <f>(AX1202-Driver!$K$181)/(Driver!$L$181-Driver!$K$181)</f>
        <v/>
      </c>
      <c r="AM1202" s="108">
        <f>(AY1202-Driver!$K$182)/(Driver!$L$182-Driver!$K$182)</f>
        <v/>
      </c>
      <c r="AN1202" s="108">
        <f>(AZ1202-Driver!$K$183)/(Driver!$L$183-Driver!$K$183)</f>
        <v/>
      </c>
      <c r="AO1202" s="108" t="n"/>
      <c r="AP1202" s="108" t="n"/>
      <c r="AQ1202" s="108">
        <f>(BC1202-Driver!$K$188)/(Driver!$L$188-Driver!$K$188)</f>
        <v/>
      </c>
      <c r="AR1202" s="108">
        <f>MIN((BD1202-Driver!$K$189)/(Driver!$L$189-Driver!$K$189),100%)</f>
        <v/>
      </c>
      <c r="AS1202" s="108">
        <f>(BE1202-Driver!$K$190)/(Driver!$L$190-Driver!$K$190)</f>
        <v/>
      </c>
      <c r="AT1202" s="108">
        <f>(BF1202-Driver!$K$191)/(Driver!$L$191-Driver!$K$191)</f>
        <v/>
      </c>
      <c r="AU1202" s="108">
        <f>(BG1202-Driver!$K$192)/(Driver!$L$192-Driver!$K$192)</f>
        <v/>
      </c>
      <c r="AV1202" s="105">
        <f>IFERROR(BM1202*BJ1202^1/4,"")</f>
        <v/>
      </c>
      <c r="AW1202" s="105">
        <f>IFERROR(SUM(AX1202:AZ1202),"")</f>
        <v/>
      </c>
      <c r="AX1202" s="105">
        <f>IFERROR(BH1202,"")</f>
        <v/>
      </c>
      <c r="AY1202" s="105">
        <f>IFERROR(Driver!$K$19/Data!BH1202/Data!BI1202*Data!BK1202*Data!BL1202,"")</f>
        <v/>
      </c>
      <c r="AZ1202" s="105">
        <f>IFERROR(BI1202*BN1202,"")</f>
        <v/>
      </c>
      <c r="BA1202" s="105" t="n"/>
      <c r="BB1202" s="105" t="n"/>
      <c r="BC1202" s="105">
        <f>IFERROR(BI1202*BN1202*BK1202/BJ1202^(1/2),"")</f>
        <v/>
      </c>
      <c r="BD1202" s="105">
        <f>IFERROR(BH1202*BM1202*BL1202/BJ1202/BK1202,"")</f>
        <v/>
      </c>
      <c r="BE1202" s="105">
        <f>IFERROR(MIN(BI1202/BQ1202/BP1202/BO1202/BH1202,$BE$1),"")</f>
        <v/>
      </c>
      <c r="BF1202" s="105">
        <f>IFERROR(BJ1202*BO1202*BP1202/BK1202,"")</f>
        <v/>
      </c>
      <c r="BG1202" s="105">
        <f>IFERROR(1/BM1202/BH1202*BQ1202,"")</f>
        <v/>
      </c>
      <c r="BH1202" s="102">
        <f>MAX((CE1202-Driver!$F$200)/(Driver!$G$200-Driver!$F$200)*$BI$1,1)</f>
        <v/>
      </c>
      <c r="BI1202" s="102">
        <f>MAX($BI$1*(BY1202-Driver!$F$201)/(Driver!$G$201-Driver!$F$201),1)</f>
        <v/>
      </c>
      <c r="BJ1202" s="102">
        <f>(CB1202-Driver!$F$206)/(Driver!$G$206-Driver!$F$206)*$BI$1</f>
        <v/>
      </c>
      <c r="BK1202" s="102">
        <f>(CD1202-Driver!$F$203)/(Driver!$G$203-Driver!$F$203)*$BI$1</f>
        <v/>
      </c>
      <c r="BL1202" s="102">
        <f>MAX((CR1202-Driver!$F$202)/(Driver!$G$202-Driver!$F$202)*$BI$1,1)</f>
        <v/>
      </c>
      <c r="BM1202" s="102">
        <f>MAX((CH1202-Driver!$F$204)/(Driver!$G$204-Driver!$F$204)*$BI$1,1)</f>
        <v/>
      </c>
      <c r="BN1202" s="102">
        <f>(CI1202-Driver!$F$205)/(Driver!$G$205-Driver!$F$205)*$BI$1</f>
        <v/>
      </c>
      <c r="BO1202" s="102">
        <f>(CK1202-Driver!$F$207)/(Driver!$G$207-Driver!$F$207)*$BI$1</f>
        <v/>
      </c>
      <c r="BP1202" s="102">
        <f>(CM1202-Driver!$F$208)/(Driver!$G$208-Driver!$F$208)*$BI$1</f>
        <v/>
      </c>
      <c r="BQ1202" s="102">
        <f>(CL1202-Driver!$F$209)/(Driver!$G$209-Driver!$F$209)*$BI$1</f>
        <v/>
      </c>
      <c r="BR1202" s="40" t="inlineStr">
        <is>
          <t>21/22</t>
        </is>
      </c>
      <c r="BS1202" s="10" t="inlineStr">
        <is>
          <t xml:space="preserve"> Blizzard</t>
        </is>
      </c>
      <c r="BT1202" s="11" t="inlineStr">
        <is>
          <t xml:space="preserve"> HRC</t>
        </is>
      </c>
      <c r="BU1202" s="13" t="n">
        <v>166</v>
      </c>
      <c r="BV1202" s="11" t="inlineStr">
        <is>
          <t xml:space="preserve"> Unisex</t>
        </is>
      </c>
      <c r="BW1202" s="13" t="n">
        <v>166</v>
      </c>
      <c r="BX1202" s="13" t="n">
        <v>165.2</v>
      </c>
      <c r="BY1202" s="13" t="n">
        <v>148</v>
      </c>
      <c r="BZ1202" s="13" t="n">
        <v>153</v>
      </c>
      <c r="CA1202" s="13" t="n">
        <v>123</v>
      </c>
      <c r="CB1202" s="13" t="n">
        <v>74</v>
      </c>
      <c r="CC1202" s="13" t="n">
        <v>104</v>
      </c>
      <c r="CD1202" s="13" t="n">
        <v>14.4</v>
      </c>
      <c r="CE1202" s="13" t="n">
        <v>2094</v>
      </c>
      <c r="CF1202" s="13" t="n">
        <v>0.7</v>
      </c>
      <c r="CG1202" s="13" t="n">
        <v>1465</v>
      </c>
      <c r="CH1202" s="13" t="n">
        <v>198</v>
      </c>
      <c r="CI1202" s="13" t="n">
        <v>129</v>
      </c>
      <c r="CJ1202" s="13" t="n">
        <v>36</v>
      </c>
      <c r="CK1202" s="13" t="n">
        <v>123</v>
      </c>
      <c r="CL1202" s="13" t="n">
        <v>5</v>
      </c>
      <c r="CM1202" s="13" t="n">
        <v>49</v>
      </c>
      <c r="CN1202" s="13" t="n">
        <v>0.146</v>
      </c>
      <c r="CO1202" s="13" t="n">
        <v>73</v>
      </c>
      <c r="CP1202" s="13" t="n">
        <v>51</v>
      </c>
      <c r="CQ1202" s="13" t="n">
        <v>50</v>
      </c>
      <c r="CR1202" s="13" t="n">
        <v>10</v>
      </c>
      <c r="CS1202" s="13" t="n">
        <v>11.2</v>
      </c>
      <c r="CT1202" s="11" t="inlineStr">
        <is>
          <t xml:space="preserve"> On-Piste Carving</t>
        </is>
      </c>
      <c r="CU1202" s="13" t="n"/>
      <c r="CV1202" s="13" t="n"/>
      <c r="CW1202" s="13" t="n"/>
      <c r="CX1202">
        <f>INDEX('Data_Price '!AG$2:AG$1266,MATCH(Data!$DN1202,'Data_Price '!$AT$2:$AT$1266,0))</f>
        <v/>
      </c>
      <c r="CY1202">
        <f>INDEX('Data_Price '!AH$2:AH$1266,MATCH(Data!$DN1202,'Data_Price '!$AT$2:$AT$1266,0))</f>
        <v/>
      </c>
      <c r="CZ1202">
        <f>INDEX('Data_Price '!AI$2:AI$1266,MATCH(Data!$DN1202,'Data_Price '!$AT$2:$AT$1266,0))</f>
        <v/>
      </c>
      <c r="DA1202">
        <f>INDEX('Data_Price '!AJ$2:AJ$1266,MATCH(Data!$DN1202,'Data_Price '!$AT$2:$AT$1266,0))</f>
        <v/>
      </c>
      <c r="DB1202">
        <f>INDEX('Data_Price '!AK$2:AK$1266,MATCH(Data!$DN1202,'Data_Price '!$AT$2:$AT$1266,0))</f>
        <v/>
      </c>
      <c r="DC1202">
        <f>INDEX('Data_Price '!AL$2:AL$1266,MATCH(Data!$DN1202,'Data_Price '!$AT$2:$AT$1266,0))</f>
        <v/>
      </c>
      <c r="DD1202">
        <f>INDEX('Data_Price '!AM$2:AM$1266,MATCH(Data!$DN1202,'Data_Price '!$AT$2:$AT$1266,0))</f>
        <v/>
      </c>
      <c r="DE1202">
        <f>INDEX('Data_Price '!AN$2:AN$1266,MATCH(Data!$DN1202,'Data_Price '!$AT$2:$AT$1266,0))</f>
        <v/>
      </c>
      <c r="DF1202">
        <f>INDEX('Data_Price '!AO$2:AO$1266,MATCH(Data!$DN1202,'Data_Price '!$AT$2:$AT$1266,0))</f>
        <v/>
      </c>
      <c r="DG1202">
        <f>INDEX('Data_Price '!AP$2:AP$1266,MATCH(Data!$DN1202,'Data_Price '!$AT$2:$AT$1266,0))</f>
        <v/>
      </c>
      <c r="DH1202">
        <f>INDEX('Data_Price '!AQ$2:AQ$1266,MATCH(Data!$DN1202,'Data_Price '!$AT$2:$AT$1266,0))</f>
        <v/>
      </c>
      <c r="DI1202">
        <f>INDEX('Data_Price '!AR$2:AR$1266,MATCH(Data!$DN1202,'Data_Price '!$AT$2:$AT$1266,0))</f>
        <v/>
      </c>
      <c r="DJ1202" s="138">
        <f>DA1202</f>
        <v/>
      </c>
      <c r="DK1202" s="138">
        <f>DE1202</f>
        <v/>
      </c>
      <c r="DL1202" s="138">
        <f>DI1202</f>
        <v/>
      </c>
      <c r="DM1202" s="303">
        <f>IF(LEFT(BT1202,1)=" ",RIGHT(BT1202,LEN(BT1202)-1),BT1202)</f>
        <v/>
      </c>
      <c r="DN1202" s="138">
        <f>_xlfn.CONCAT(BS1202,DM1202,BU1202,BV1202)</f>
        <v/>
      </c>
      <c r="DO1202" s="307" t="n"/>
    </row>
    <row r="1203" ht="15.6" customHeight="1" s="184">
      <c r="B1203" s="303">
        <f t="array" ref="B1203">IF(OR(ISERROR(K1203:P1203)),FALSE,TRUE)</f>
        <v/>
      </c>
      <c r="C1203" s="60">
        <f>OR(BR1203=Driver!$G$50,Data!BR14=Driver!$H$50)</f>
        <v/>
      </c>
      <c r="D1203" s="60">
        <f>OR(BV1203=Driver!$G$51,BV1203=Driver!$H$51)</f>
        <v/>
      </c>
      <c r="E1203" s="60">
        <f>AND(BX1203&gt;Driver!$F$54,BX1203&lt;Driver!$G$54)</f>
        <v/>
      </c>
      <c r="F1203" s="60">
        <f>CL1203&gt;Driver!$F$56</f>
        <v/>
      </c>
      <c r="G1203" s="60">
        <f>AND(CB1203&gt;Driver!$F$55,CB1203&lt;Driver!$G$55)</f>
        <v/>
      </c>
      <c r="H1203" s="60">
        <f>AND(B1203:G1203)</f>
        <v/>
      </c>
      <c r="I1203" s="60">
        <f>COUNTIFS($H$9:$H$1273,TRUE,$BT$9:$BT$1273,BT1203)</f>
        <v/>
      </c>
      <c r="J1203" s="60">
        <f t="array" ref="J1203">NOT(OR(($H$9:$H$1273=TRUE)*($I$9:$I$1273&gt;0)*($BT$9:$BT$1273=BT1203)*($K$9:$K$1273&gt;K1203)))</f>
        <v/>
      </c>
      <c r="K1203" s="108">
        <f>IFERROR(1-AVERAGE(X1203:Y1203),"")</f>
        <v/>
      </c>
      <c r="L1203" s="108">
        <f>1-X1203</f>
        <v/>
      </c>
      <c r="M1203" s="108">
        <f>1-Y1203</f>
        <v/>
      </c>
      <c r="N1203" s="108">
        <f>1-Z1203</f>
        <v/>
      </c>
      <c r="O1203" s="108">
        <f>1-AA1203</f>
        <v/>
      </c>
      <c r="P1203" s="108">
        <f>1-AB1203</f>
        <v/>
      </c>
      <c r="Q1203" s="108" t="n"/>
      <c r="R1203" s="108" t="n"/>
      <c r="S1203" s="108">
        <f>1-AE1203</f>
        <v/>
      </c>
      <c r="T1203" s="108">
        <f>1-AF1203</f>
        <v/>
      </c>
      <c r="U1203" s="108">
        <f>1-AG1203</f>
        <v/>
      </c>
      <c r="V1203" s="108">
        <f>1-AH1203</f>
        <v/>
      </c>
      <c r="W1203" s="108">
        <f>1-AI1203</f>
        <v/>
      </c>
      <c r="X1203" s="108">
        <f>ABS(AJ1203-AJ$1)</f>
        <v/>
      </c>
      <c r="Y1203" s="108">
        <f>AVERAGE(Z1203:AB1203)</f>
        <v/>
      </c>
      <c r="Z1203" s="108">
        <f>ABS(AL1203-AL$1)</f>
        <v/>
      </c>
      <c r="AA1203" s="108">
        <f>ABS(AM1203-AM$1)</f>
        <v/>
      </c>
      <c r="AB1203" s="108">
        <f>ABS(AN1203-AN$1)</f>
        <v/>
      </c>
      <c r="AC1203" s="108" t="n"/>
      <c r="AD1203" s="108" t="n"/>
      <c r="AE1203" s="108">
        <f>ABS(AQ$1-AQ1203)</f>
        <v/>
      </c>
      <c r="AF1203" s="108">
        <f>ABS(AR$1-AR1203)</f>
        <v/>
      </c>
      <c r="AG1203" s="108">
        <f>ABS(AS$1-AS1203)</f>
        <v/>
      </c>
      <c r="AH1203" s="108">
        <f>ABS(AT$1-AT1203)</f>
        <v/>
      </c>
      <c r="AI1203" s="108">
        <f>ABS(AU$1-AU1203)</f>
        <v/>
      </c>
      <c r="AJ1203" s="108">
        <f>(AV1203-Driver!$K$179)/(Driver!$L$179-Driver!$K$179)</f>
        <v/>
      </c>
      <c r="AK1203" s="108">
        <f>(AW1203-Driver!$K$180)/(Driver!$L$180-Driver!$K$180)</f>
        <v/>
      </c>
      <c r="AL1203" s="108">
        <f>(AX1203-Driver!$K$181)/(Driver!$L$181-Driver!$K$181)</f>
        <v/>
      </c>
      <c r="AM1203" s="108">
        <f>(AY1203-Driver!$K$182)/(Driver!$L$182-Driver!$K$182)</f>
        <v/>
      </c>
      <c r="AN1203" s="108">
        <f>(AZ1203-Driver!$K$183)/(Driver!$L$183-Driver!$K$183)</f>
        <v/>
      </c>
      <c r="AO1203" s="108" t="n"/>
      <c r="AP1203" s="108" t="n"/>
      <c r="AQ1203" s="108">
        <f>(BC1203-Driver!$K$188)/(Driver!$L$188-Driver!$K$188)</f>
        <v/>
      </c>
      <c r="AR1203" s="108">
        <f>MIN((BD1203-Driver!$K$189)/(Driver!$L$189-Driver!$K$189),100%)</f>
        <v/>
      </c>
      <c r="AS1203" s="108">
        <f>(BE1203-Driver!$K$190)/(Driver!$L$190-Driver!$K$190)</f>
        <v/>
      </c>
      <c r="AT1203" s="108">
        <f>(BF1203-Driver!$K$191)/(Driver!$L$191-Driver!$K$191)</f>
        <v/>
      </c>
      <c r="AU1203" s="108">
        <f>(BG1203-Driver!$K$192)/(Driver!$L$192-Driver!$K$192)</f>
        <v/>
      </c>
      <c r="AV1203" s="105">
        <f>IFERROR(BM1203*BJ1203^1/4,"")</f>
        <v/>
      </c>
      <c r="AW1203" s="105">
        <f>IFERROR(SUM(AX1203:AZ1203),"")</f>
        <v/>
      </c>
      <c r="AX1203" s="105">
        <f>IFERROR(BH1203,"")</f>
        <v/>
      </c>
      <c r="AY1203" s="105">
        <f>IFERROR(Driver!$K$19/Data!BH1203/Data!BI1203*Data!BK1203*Data!BL1203,"")</f>
        <v/>
      </c>
      <c r="AZ1203" s="105">
        <f>IFERROR(BI1203*BN1203,"")</f>
        <v/>
      </c>
      <c r="BA1203" s="105" t="n"/>
      <c r="BB1203" s="105" t="n"/>
      <c r="BC1203" s="105">
        <f>IFERROR(BI1203*BN1203*BK1203/BJ1203^(1/2),"")</f>
        <v/>
      </c>
      <c r="BD1203" s="105">
        <f>IFERROR(BH1203*BM1203*BL1203/BJ1203/BK1203,"")</f>
        <v/>
      </c>
      <c r="BE1203" s="105">
        <f>IFERROR(MIN(BI1203/BQ1203/BP1203/BO1203/BH1203,$BE$1),"")</f>
        <v/>
      </c>
      <c r="BF1203" s="105">
        <f>IFERROR(BJ1203*BO1203*BP1203/BK1203,"")</f>
        <v/>
      </c>
      <c r="BG1203" s="105">
        <f>IFERROR(1/BM1203/BH1203*BQ1203,"")</f>
        <v/>
      </c>
      <c r="BH1203" s="102">
        <f>MAX((CE1203-Driver!$F$200)/(Driver!$G$200-Driver!$F$200)*$BI$1,1)</f>
        <v/>
      </c>
      <c r="BI1203" s="102">
        <f>MAX($BI$1*(BY1203-Driver!$F$201)/(Driver!$G$201-Driver!$F$201),1)</f>
        <v/>
      </c>
      <c r="BJ1203" s="102">
        <f>(CB1203-Driver!$F$206)/(Driver!$G$206-Driver!$F$206)*$BI$1</f>
        <v/>
      </c>
      <c r="BK1203" s="102">
        <f>(CD1203-Driver!$F$203)/(Driver!$G$203-Driver!$F$203)*$BI$1</f>
        <v/>
      </c>
      <c r="BL1203" s="102">
        <f>MAX((CR1203-Driver!$F$202)/(Driver!$G$202-Driver!$F$202)*$BI$1,1)</f>
        <v/>
      </c>
      <c r="BM1203" s="102">
        <f>MAX((CH1203-Driver!$F$204)/(Driver!$G$204-Driver!$F$204)*$BI$1,1)</f>
        <v/>
      </c>
      <c r="BN1203" s="102">
        <f>(CI1203-Driver!$F$205)/(Driver!$G$205-Driver!$F$205)*$BI$1</f>
        <v/>
      </c>
      <c r="BO1203" s="102">
        <f>(CK1203-Driver!$F$207)/(Driver!$G$207-Driver!$F$207)*$BI$1</f>
        <v/>
      </c>
      <c r="BP1203" s="102">
        <f>(CM1203-Driver!$F$208)/(Driver!$G$208-Driver!$F$208)*$BI$1</f>
        <v/>
      </c>
      <c r="BQ1203" s="102">
        <f>(CL1203-Driver!$F$209)/(Driver!$G$209-Driver!$F$209)*$BI$1</f>
        <v/>
      </c>
      <c r="BR1203" s="40" t="inlineStr">
        <is>
          <t>21/22</t>
        </is>
      </c>
      <c r="BS1203" s="10" t="inlineStr">
        <is>
          <t xml:space="preserve"> 4FRNT</t>
        </is>
      </c>
      <c r="BT1203" s="11" t="inlineStr">
        <is>
          <t>Devastator</t>
        </is>
      </c>
      <c r="BU1203" s="13" t="n">
        <v>186</v>
      </c>
      <c r="BV1203" s="11" t="inlineStr">
        <is>
          <t xml:space="preserve"> Unisex</t>
        </is>
      </c>
      <c r="BW1203" s="13" t="n">
        <v>186</v>
      </c>
      <c r="BX1203" s="13" t="n">
        <v>183.8</v>
      </c>
      <c r="BY1203" s="13" t="n">
        <v>0</v>
      </c>
      <c r="BZ1203" s="13" t="n">
        <v>151</v>
      </c>
      <c r="CA1203" s="13" t="n">
        <v>136</v>
      </c>
      <c r="CB1203" s="13" t="n">
        <v>107</v>
      </c>
      <c r="CC1203" s="13" t="n">
        <v>130</v>
      </c>
      <c r="CD1203" s="13" t="n">
        <v>20.7</v>
      </c>
      <c r="CE1203" s="13" t="n">
        <v>1970</v>
      </c>
      <c r="CF1203" s="13" t="n">
        <v>1.09</v>
      </c>
      <c r="CG1203" s="13" t="n">
        <v>2144</v>
      </c>
      <c r="CH1203" s="13" t="n">
        <v>310</v>
      </c>
      <c r="CI1203" s="13" t="n">
        <v>129</v>
      </c>
      <c r="CJ1203" s="13" t="n">
        <v>59</v>
      </c>
      <c r="CK1203" s="13" t="n">
        <v>971</v>
      </c>
      <c r="CL1203" s="13" t="n">
        <v>54</v>
      </c>
      <c r="CM1203" s="13" t="n">
        <v>867</v>
      </c>
      <c r="CN1203" s="13" t="n">
        <v>0.902</v>
      </c>
      <c r="CO1203" s="13" t="n">
        <v>165</v>
      </c>
      <c r="CP1203" s="13" t="n">
        <v>159</v>
      </c>
      <c r="CQ1203" s="13" t="n">
        <v>806</v>
      </c>
      <c r="CR1203" s="13" t="n">
        <v>-10</v>
      </c>
      <c r="CS1203" s="13" t="n">
        <v>5.2</v>
      </c>
      <c r="CT1203" s="11" t="inlineStr">
        <is>
          <t xml:space="preserve"> Freeski</t>
        </is>
      </c>
      <c r="CU1203" s="11" t="inlineStr">
        <is>
          <t xml:space="preserve"> Powder</t>
        </is>
      </c>
      <c r="CV1203" s="11" t="inlineStr">
        <is>
          <t xml:space="preserve"> Touring</t>
        </is>
      </c>
      <c r="CW1203" s="13" t="n"/>
      <c r="CX1203">
        <f>INDEX('Data_Price '!AG$2:AG$1266,MATCH(Data!$DN1203,'Data_Price '!$AT$2:$AT$1266,0))</f>
        <v/>
      </c>
      <c r="CY1203">
        <f>INDEX('Data_Price '!AH$2:AH$1266,MATCH(Data!$DN1203,'Data_Price '!$AT$2:$AT$1266,0))</f>
        <v/>
      </c>
      <c r="CZ1203">
        <f>INDEX('Data_Price '!AI$2:AI$1266,MATCH(Data!$DN1203,'Data_Price '!$AT$2:$AT$1266,0))</f>
        <v/>
      </c>
      <c r="DA1203">
        <f>INDEX('Data_Price '!AJ$2:AJ$1266,MATCH(Data!$DN1203,'Data_Price '!$AT$2:$AT$1266,0))</f>
        <v/>
      </c>
      <c r="DB1203">
        <f>INDEX('Data_Price '!AK$2:AK$1266,MATCH(Data!$DN1203,'Data_Price '!$AT$2:$AT$1266,0))</f>
        <v/>
      </c>
      <c r="DC1203">
        <f>INDEX('Data_Price '!AL$2:AL$1266,MATCH(Data!$DN1203,'Data_Price '!$AT$2:$AT$1266,0))</f>
        <v/>
      </c>
      <c r="DD1203">
        <f>INDEX('Data_Price '!AM$2:AM$1266,MATCH(Data!$DN1203,'Data_Price '!$AT$2:$AT$1266,0))</f>
        <v/>
      </c>
      <c r="DE1203">
        <f>INDEX('Data_Price '!AN$2:AN$1266,MATCH(Data!$DN1203,'Data_Price '!$AT$2:$AT$1266,0))</f>
        <v/>
      </c>
      <c r="DF1203">
        <f>INDEX('Data_Price '!AO$2:AO$1266,MATCH(Data!$DN1203,'Data_Price '!$AT$2:$AT$1266,0))</f>
        <v/>
      </c>
      <c r="DG1203">
        <f>INDEX('Data_Price '!AP$2:AP$1266,MATCH(Data!$DN1203,'Data_Price '!$AT$2:$AT$1266,0))</f>
        <v/>
      </c>
      <c r="DH1203">
        <f>INDEX('Data_Price '!AQ$2:AQ$1266,MATCH(Data!$DN1203,'Data_Price '!$AT$2:$AT$1266,0))</f>
        <v/>
      </c>
      <c r="DI1203">
        <f>INDEX('Data_Price '!AR$2:AR$1266,MATCH(Data!$DN1203,'Data_Price '!$AT$2:$AT$1266,0))</f>
        <v/>
      </c>
      <c r="DJ1203" s="138">
        <f>DA1203</f>
        <v/>
      </c>
      <c r="DK1203" s="138">
        <f>DE1203</f>
        <v/>
      </c>
      <c r="DL1203" s="138">
        <f>DI1203</f>
        <v/>
      </c>
      <c r="DM1203" s="303">
        <f>IF(LEFT(BT1203,1)=" ",RIGHT(BT1203,LEN(BT1203)-1),BT1203)</f>
        <v/>
      </c>
      <c r="DN1203" s="138">
        <f>_xlfn.CONCAT(BS1203,DM1203,BU1203,BV1203)</f>
        <v/>
      </c>
      <c r="DO1203" s="307" t="n"/>
    </row>
    <row r="1204" ht="15.6" customHeight="1" s="184">
      <c r="B1204" s="303">
        <f t="array" ref="B1204">IF(OR(ISERROR(K1204:P1204)),FALSE,TRUE)</f>
        <v/>
      </c>
      <c r="C1204" s="60">
        <f>OR(BR1204=Driver!$G$50,Data!BR420=Driver!$H$50)</f>
        <v/>
      </c>
      <c r="D1204" s="60">
        <f>OR(BV1204=Driver!$G$51,BV1204=Driver!$H$51)</f>
        <v/>
      </c>
      <c r="E1204" s="60">
        <f>AND(BX1204&gt;Driver!$F$54,BX1204&lt;Driver!$G$54)</f>
        <v/>
      </c>
      <c r="F1204" s="60">
        <f>CL1204&gt;Driver!$F$56</f>
        <v/>
      </c>
      <c r="G1204" s="60">
        <f>AND(CB1204&gt;Driver!$F$55,CB1204&lt;Driver!$G$55)</f>
        <v/>
      </c>
      <c r="H1204" s="60">
        <f>AND(B1204:G1204)</f>
        <v/>
      </c>
      <c r="I1204" s="60">
        <f>COUNTIFS($H$9:$H$1273,TRUE,$BT$9:$BT$1273,BT1204)</f>
        <v/>
      </c>
      <c r="J1204" s="60">
        <f t="array" ref="J1204">NOT(OR(($H$9:$H$1273=TRUE)*($I$9:$I$1273&gt;0)*($BT$9:$BT$1273=BT1204)*($K$9:$K$1273&gt;K1204)))</f>
        <v/>
      </c>
      <c r="K1204" s="108">
        <f>IFERROR(1-AVERAGE(X1204:Y1204),"")</f>
        <v/>
      </c>
      <c r="L1204" s="108">
        <f>1-X1204</f>
        <v/>
      </c>
      <c r="M1204" s="108">
        <f>1-Y1204</f>
        <v/>
      </c>
      <c r="N1204" s="108">
        <f>1-Z1204</f>
        <v/>
      </c>
      <c r="O1204" s="108">
        <f>1-AA1204</f>
        <v/>
      </c>
      <c r="P1204" s="108">
        <f>1-AB1204</f>
        <v/>
      </c>
      <c r="Q1204" s="108" t="n"/>
      <c r="R1204" s="108" t="n"/>
      <c r="S1204" s="108">
        <f>1-AE1204</f>
        <v/>
      </c>
      <c r="T1204" s="108">
        <f>1-AF1204</f>
        <v/>
      </c>
      <c r="U1204" s="108">
        <f>1-AG1204</f>
        <v/>
      </c>
      <c r="V1204" s="108">
        <f>1-AH1204</f>
        <v/>
      </c>
      <c r="W1204" s="108">
        <f>1-AI1204</f>
        <v/>
      </c>
      <c r="X1204" s="108">
        <f>ABS(AJ1204-AJ$1)</f>
        <v/>
      </c>
      <c r="Y1204" s="108">
        <f>AVERAGE(Z1204:AB1204)</f>
        <v/>
      </c>
      <c r="Z1204" s="108">
        <f>ABS(AL1204-AL$1)</f>
        <v/>
      </c>
      <c r="AA1204" s="108">
        <f>ABS(AM1204-AM$1)</f>
        <v/>
      </c>
      <c r="AB1204" s="108">
        <f>ABS(AN1204-AN$1)</f>
        <v/>
      </c>
      <c r="AC1204" s="108" t="n"/>
      <c r="AD1204" s="108" t="n"/>
      <c r="AE1204" s="108">
        <f>ABS(AQ$1-AQ1204)</f>
        <v/>
      </c>
      <c r="AF1204" s="108">
        <f>ABS(AR$1-AR1204)</f>
        <v/>
      </c>
      <c r="AG1204" s="108">
        <f>ABS(AS$1-AS1204)</f>
        <v/>
      </c>
      <c r="AH1204" s="108">
        <f>ABS(AT$1-AT1204)</f>
        <v/>
      </c>
      <c r="AI1204" s="108">
        <f>ABS(AU$1-AU1204)</f>
        <v/>
      </c>
      <c r="AJ1204" s="108">
        <f>(AV1204-Driver!$K$179)/(Driver!$L$179-Driver!$K$179)</f>
        <v/>
      </c>
      <c r="AK1204" s="108">
        <f>(AW1204-Driver!$K$180)/(Driver!$L$180-Driver!$K$180)</f>
        <v/>
      </c>
      <c r="AL1204" s="108">
        <f>(AX1204-Driver!$K$181)/(Driver!$L$181-Driver!$K$181)</f>
        <v/>
      </c>
      <c r="AM1204" s="108">
        <f>(AY1204-Driver!$K$182)/(Driver!$L$182-Driver!$K$182)</f>
        <v/>
      </c>
      <c r="AN1204" s="108">
        <f>(AZ1204-Driver!$K$183)/(Driver!$L$183-Driver!$K$183)</f>
        <v/>
      </c>
      <c r="AO1204" s="108" t="n"/>
      <c r="AP1204" s="108" t="n"/>
      <c r="AQ1204" s="108">
        <f>(BC1204-Driver!$K$188)/(Driver!$L$188-Driver!$K$188)</f>
        <v/>
      </c>
      <c r="AR1204" s="108">
        <f>MIN((BD1204-Driver!$K$189)/(Driver!$L$189-Driver!$K$189),100%)</f>
        <v/>
      </c>
      <c r="AS1204" s="108">
        <f>(BE1204-Driver!$K$190)/(Driver!$L$190-Driver!$K$190)</f>
        <v/>
      </c>
      <c r="AT1204" s="108">
        <f>(BF1204-Driver!$K$191)/(Driver!$L$191-Driver!$K$191)</f>
        <v/>
      </c>
      <c r="AU1204" s="108">
        <f>(BG1204-Driver!$K$192)/(Driver!$L$192-Driver!$K$192)</f>
        <v/>
      </c>
      <c r="AV1204" s="105">
        <f>IFERROR(BM1204*BJ1204^1/4,"")</f>
        <v/>
      </c>
      <c r="AW1204" s="105">
        <f>IFERROR(SUM(AX1204:AZ1204),"")</f>
        <v/>
      </c>
      <c r="AX1204" s="105">
        <f>IFERROR(BH1204,"")</f>
        <v/>
      </c>
      <c r="AY1204" s="105">
        <f>IFERROR(Driver!$K$19/Data!BH1204/Data!BI1204*Data!BK1204*Data!BL1204,"")</f>
        <v/>
      </c>
      <c r="AZ1204" s="105">
        <f>IFERROR(BI1204*BN1204,"")</f>
        <v/>
      </c>
      <c r="BA1204" s="105" t="n"/>
      <c r="BB1204" s="105" t="n"/>
      <c r="BC1204" s="105">
        <f>IFERROR(BI1204*BN1204*BK1204/BJ1204^(1/2),"")</f>
        <v/>
      </c>
      <c r="BD1204" s="105">
        <f>IFERROR(BH1204*BM1204*BL1204/BJ1204/BK1204,"")</f>
        <v/>
      </c>
      <c r="BE1204" s="105">
        <f>IFERROR(MIN(BI1204/BQ1204/BP1204/BO1204/BH1204,$BE$1),"")</f>
        <v/>
      </c>
      <c r="BF1204" s="105">
        <f>IFERROR(BJ1204*BO1204*BP1204/BK1204,"")</f>
        <v/>
      </c>
      <c r="BG1204" s="105">
        <f>IFERROR(1/BM1204/BH1204*BQ1204,"")</f>
        <v/>
      </c>
      <c r="BH1204" s="102">
        <f>MAX((CE1204-Driver!$F$200)/(Driver!$G$200-Driver!$F$200)*$BI$1,1)</f>
        <v/>
      </c>
      <c r="BI1204" s="102">
        <f>MAX($BI$1*(BY1204-Driver!$F$201)/(Driver!$G$201-Driver!$F$201),1)</f>
        <v/>
      </c>
      <c r="BJ1204" s="102">
        <f>(CB1204-Driver!$F$206)/(Driver!$G$206-Driver!$F$206)*$BI$1</f>
        <v/>
      </c>
      <c r="BK1204" s="102">
        <f>(CD1204-Driver!$F$203)/(Driver!$G$203-Driver!$F$203)*$BI$1</f>
        <v/>
      </c>
      <c r="BL1204" s="102">
        <f>MAX((CR1204-Driver!$F$202)/(Driver!$G$202-Driver!$F$202)*$BI$1,1)</f>
        <v/>
      </c>
      <c r="BM1204" s="102">
        <f>MAX((CH1204-Driver!$F$204)/(Driver!$G$204-Driver!$F$204)*$BI$1,1)</f>
        <v/>
      </c>
      <c r="BN1204" s="102">
        <f>(CI1204-Driver!$F$205)/(Driver!$G$205-Driver!$F$205)*$BI$1</f>
        <v/>
      </c>
      <c r="BO1204" s="102">
        <f>(CK1204-Driver!$F$207)/(Driver!$G$207-Driver!$F$207)*$BI$1</f>
        <v/>
      </c>
      <c r="BP1204" s="102">
        <f>(CM1204-Driver!$F$208)/(Driver!$G$208-Driver!$F$208)*$BI$1</f>
        <v/>
      </c>
      <c r="BQ1204" s="102">
        <f>(CL1204-Driver!$F$209)/(Driver!$G$209-Driver!$F$209)*$BI$1</f>
        <v/>
      </c>
      <c r="BR1204" s="40" t="inlineStr">
        <is>
          <t>21/22</t>
        </is>
      </c>
      <c r="BS1204" s="10" t="inlineStr">
        <is>
          <t xml:space="preserve"> Elan</t>
        </is>
      </c>
      <c r="BT1204" s="11" t="inlineStr">
        <is>
          <t xml:space="preserve"> Ace SLX</t>
        </is>
      </c>
      <c r="BU1204" s="13" t="n">
        <v>159</v>
      </c>
      <c r="BV1204" s="11" t="inlineStr">
        <is>
          <t xml:space="preserve"> Unisex</t>
        </is>
      </c>
      <c r="BW1204" s="13" t="n">
        <v>159</v>
      </c>
      <c r="BX1204" s="13" t="n">
        <v>157.9</v>
      </c>
      <c r="BY1204" s="13" t="n">
        <v>141</v>
      </c>
      <c r="BZ1204" s="13" t="n">
        <v>148</v>
      </c>
      <c r="CA1204" s="13" t="n">
        <v>118</v>
      </c>
      <c r="CB1204" s="13" t="n">
        <v>67</v>
      </c>
      <c r="CC1204" s="13" t="n">
        <v>102</v>
      </c>
      <c r="CD1204" s="13" t="n">
        <v>12.6</v>
      </c>
      <c r="CE1204" s="13" t="n">
        <v>2277</v>
      </c>
      <c r="CF1204" s="13" t="n">
        <v>0.58</v>
      </c>
      <c r="CG1204" s="13" t="n">
        <v>1309</v>
      </c>
      <c r="CH1204" s="13" t="n">
        <v>217</v>
      </c>
      <c r="CI1204" s="13" t="n">
        <v>121</v>
      </c>
      <c r="CJ1204" s="13" t="n">
        <v>36</v>
      </c>
      <c r="CK1204" s="13" t="n">
        <v>131</v>
      </c>
      <c r="CL1204" s="13" t="n">
        <v>3</v>
      </c>
      <c r="CM1204" s="13" t="n">
        <v>41</v>
      </c>
      <c r="CN1204" s="13" t="n">
        <v>0.092</v>
      </c>
      <c r="CO1204" s="13" t="n">
        <v>58</v>
      </c>
      <c r="CP1204" s="13" t="n">
        <v>39</v>
      </c>
      <c r="CQ1204" s="13" t="n">
        <v>74</v>
      </c>
      <c r="CR1204" s="13" t="n">
        <v>10</v>
      </c>
      <c r="CS1204" s="13" t="n">
        <v>9</v>
      </c>
      <c r="CT1204" s="11" t="inlineStr">
        <is>
          <t xml:space="preserve"> On-Piste Carving</t>
        </is>
      </c>
      <c r="CU1204" s="13" t="n"/>
      <c r="CV1204" s="13" t="n"/>
      <c r="CW1204" s="13" t="n"/>
      <c r="CX1204">
        <f>INDEX('Data_Price '!AG$2:AG$1266,MATCH(Data!$DN1204,'Data_Price '!$AT$2:$AT$1266,0))</f>
        <v/>
      </c>
      <c r="CY1204">
        <f>INDEX('Data_Price '!AH$2:AH$1266,MATCH(Data!$DN1204,'Data_Price '!$AT$2:$AT$1266,0))</f>
        <v/>
      </c>
      <c r="CZ1204">
        <f>INDEX('Data_Price '!AI$2:AI$1266,MATCH(Data!$DN1204,'Data_Price '!$AT$2:$AT$1266,0))</f>
        <v/>
      </c>
      <c r="DA1204">
        <f>INDEX('Data_Price '!AJ$2:AJ$1266,MATCH(Data!$DN1204,'Data_Price '!$AT$2:$AT$1266,0))</f>
        <v/>
      </c>
      <c r="DB1204">
        <f>INDEX('Data_Price '!AK$2:AK$1266,MATCH(Data!$DN1204,'Data_Price '!$AT$2:$AT$1266,0))</f>
        <v/>
      </c>
      <c r="DC1204">
        <f>INDEX('Data_Price '!AL$2:AL$1266,MATCH(Data!$DN1204,'Data_Price '!$AT$2:$AT$1266,0))</f>
        <v/>
      </c>
      <c r="DD1204">
        <f>INDEX('Data_Price '!AM$2:AM$1266,MATCH(Data!$DN1204,'Data_Price '!$AT$2:$AT$1266,0))</f>
        <v/>
      </c>
      <c r="DE1204">
        <f>INDEX('Data_Price '!AN$2:AN$1266,MATCH(Data!$DN1204,'Data_Price '!$AT$2:$AT$1266,0))</f>
        <v/>
      </c>
      <c r="DF1204">
        <f>INDEX('Data_Price '!AO$2:AO$1266,MATCH(Data!$DN1204,'Data_Price '!$AT$2:$AT$1266,0))</f>
        <v/>
      </c>
      <c r="DG1204">
        <f>INDEX('Data_Price '!AP$2:AP$1266,MATCH(Data!$DN1204,'Data_Price '!$AT$2:$AT$1266,0))</f>
        <v/>
      </c>
      <c r="DH1204">
        <f>INDEX('Data_Price '!AQ$2:AQ$1266,MATCH(Data!$DN1204,'Data_Price '!$AT$2:$AT$1266,0))</f>
        <v/>
      </c>
      <c r="DI1204">
        <f>INDEX('Data_Price '!AR$2:AR$1266,MATCH(Data!$DN1204,'Data_Price '!$AT$2:$AT$1266,0))</f>
        <v/>
      </c>
      <c r="DJ1204" s="138">
        <f>DA1204</f>
        <v/>
      </c>
      <c r="DK1204" s="138">
        <f>DE1204</f>
        <v/>
      </c>
      <c r="DL1204" s="138">
        <f>DI1204</f>
        <v/>
      </c>
      <c r="DM1204" s="303">
        <f>IF(LEFT(BT1204,1)=" ",RIGHT(BT1204,LEN(BT1204)-1),BT1204)</f>
        <v/>
      </c>
      <c r="DN1204" s="138">
        <f>_xlfn.CONCAT(BS1204,DM1204,BU1204,BV1204)</f>
        <v/>
      </c>
      <c r="DO1204" s="307" t="n"/>
    </row>
    <row r="1205" ht="15.6" customHeight="1" s="184">
      <c r="B1205" s="303">
        <f t="array" ref="B1205">IF(OR(ISERROR(K1205:P1205)),FALSE,TRUE)</f>
        <v/>
      </c>
      <c r="C1205" s="60">
        <f>OR(BR1205=Driver!$G$50,Data!BR98=Driver!$H$50)</f>
        <v/>
      </c>
      <c r="D1205" s="60">
        <f>OR(BV1205=Driver!$G$51,BV1205=Driver!$H$51)</f>
        <v/>
      </c>
      <c r="E1205" s="60">
        <f>AND(BX1205&gt;Driver!$F$54,BX1205&lt;Driver!$G$54)</f>
        <v/>
      </c>
      <c r="F1205" s="60">
        <f>CL1205&gt;Driver!$F$56</f>
        <v/>
      </c>
      <c r="G1205" s="60">
        <f>AND(CB1205&gt;Driver!$F$55,CB1205&lt;Driver!$G$55)</f>
        <v/>
      </c>
      <c r="H1205" s="60">
        <f>AND(B1205:G1205)</f>
        <v/>
      </c>
      <c r="I1205" s="60">
        <f>COUNTIFS($H$9:$H$1273,TRUE,$BT$9:$BT$1273,BT1205)</f>
        <v/>
      </c>
      <c r="J1205" s="60">
        <f t="array" ref="J1205">NOT(OR(($H$9:$H$1273=TRUE)*($I$9:$I$1273&gt;0)*($BT$9:$BT$1273=BT1205)*($K$9:$K$1273&gt;K1205)))</f>
        <v/>
      </c>
      <c r="K1205" s="108">
        <f>IFERROR(1-AVERAGE(X1205:Y1205),"")</f>
        <v/>
      </c>
      <c r="L1205" s="108">
        <f>1-X1205</f>
        <v/>
      </c>
      <c r="M1205" s="108">
        <f>1-Y1205</f>
        <v/>
      </c>
      <c r="N1205" s="108">
        <f>1-Z1205</f>
        <v/>
      </c>
      <c r="O1205" s="108">
        <f>1-AA1205</f>
        <v/>
      </c>
      <c r="P1205" s="108">
        <f>1-AB1205</f>
        <v/>
      </c>
      <c r="Q1205" s="108" t="n"/>
      <c r="R1205" s="108" t="n"/>
      <c r="S1205" s="108">
        <f>1-AE1205</f>
        <v/>
      </c>
      <c r="T1205" s="108">
        <f>1-AF1205</f>
        <v/>
      </c>
      <c r="U1205" s="108">
        <f>1-AG1205</f>
        <v/>
      </c>
      <c r="V1205" s="108">
        <f>1-AH1205</f>
        <v/>
      </c>
      <c r="W1205" s="108">
        <f>1-AI1205</f>
        <v/>
      </c>
      <c r="X1205" s="108">
        <f>ABS(AJ1205-AJ$1)</f>
        <v/>
      </c>
      <c r="Y1205" s="108">
        <f>AVERAGE(Z1205:AB1205)</f>
        <v/>
      </c>
      <c r="Z1205" s="108">
        <f>ABS(AL1205-AL$1)</f>
        <v/>
      </c>
      <c r="AA1205" s="108">
        <f>ABS(AM1205-AM$1)</f>
        <v/>
      </c>
      <c r="AB1205" s="108">
        <f>ABS(AN1205-AN$1)</f>
        <v/>
      </c>
      <c r="AC1205" s="108" t="n"/>
      <c r="AD1205" s="108" t="n"/>
      <c r="AE1205" s="108">
        <f>ABS(AQ$1-AQ1205)</f>
        <v/>
      </c>
      <c r="AF1205" s="108">
        <f>ABS(AR$1-AR1205)</f>
        <v/>
      </c>
      <c r="AG1205" s="108">
        <f>ABS(AS$1-AS1205)</f>
        <v/>
      </c>
      <c r="AH1205" s="108">
        <f>ABS(AT$1-AT1205)</f>
        <v/>
      </c>
      <c r="AI1205" s="108">
        <f>ABS(AU$1-AU1205)</f>
        <v/>
      </c>
      <c r="AJ1205" s="108">
        <f>(AV1205-Driver!$K$179)/(Driver!$L$179-Driver!$K$179)</f>
        <v/>
      </c>
      <c r="AK1205" s="108">
        <f>(AW1205-Driver!$K$180)/(Driver!$L$180-Driver!$K$180)</f>
        <v/>
      </c>
      <c r="AL1205" s="108">
        <f>(AX1205-Driver!$K$181)/(Driver!$L$181-Driver!$K$181)</f>
        <v/>
      </c>
      <c r="AM1205" s="108">
        <f>(AY1205-Driver!$K$182)/(Driver!$L$182-Driver!$K$182)</f>
        <v/>
      </c>
      <c r="AN1205" s="108">
        <f>(AZ1205-Driver!$K$183)/(Driver!$L$183-Driver!$K$183)</f>
        <v/>
      </c>
      <c r="AO1205" s="108" t="n"/>
      <c r="AP1205" s="108" t="n"/>
      <c r="AQ1205" s="108">
        <f>(BC1205-Driver!$K$188)/(Driver!$L$188-Driver!$K$188)</f>
        <v/>
      </c>
      <c r="AR1205" s="108">
        <f>MIN((BD1205-Driver!$K$189)/(Driver!$L$189-Driver!$K$189),100%)</f>
        <v/>
      </c>
      <c r="AS1205" s="108">
        <f>(BE1205-Driver!$K$190)/(Driver!$L$190-Driver!$K$190)</f>
        <v/>
      </c>
      <c r="AT1205" s="108">
        <f>(BF1205-Driver!$K$191)/(Driver!$L$191-Driver!$K$191)</f>
        <v/>
      </c>
      <c r="AU1205" s="108">
        <f>(BG1205-Driver!$K$192)/(Driver!$L$192-Driver!$K$192)</f>
        <v/>
      </c>
      <c r="AV1205" s="105">
        <f>IFERROR(BM1205*BJ1205^1/4,"")</f>
        <v/>
      </c>
      <c r="AW1205" s="105">
        <f>IFERROR(SUM(AX1205:AZ1205),"")</f>
        <v/>
      </c>
      <c r="AX1205" s="105">
        <f>IFERROR(BH1205,"")</f>
        <v/>
      </c>
      <c r="AY1205" s="105">
        <f>IFERROR(Driver!$K$19/Data!BH1205/Data!BI1205*Data!BK1205*Data!BL1205,"")</f>
        <v/>
      </c>
      <c r="AZ1205" s="105">
        <f>IFERROR(BI1205*BN1205,"")</f>
        <v/>
      </c>
      <c r="BA1205" s="105" t="n"/>
      <c r="BB1205" s="105" t="n"/>
      <c r="BC1205" s="105">
        <f>IFERROR(BI1205*BN1205*BK1205/BJ1205^(1/2),"")</f>
        <v/>
      </c>
      <c r="BD1205" s="105">
        <f>IFERROR(BH1205*BM1205*BL1205/BJ1205/BK1205,"")</f>
        <v/>
      </c>
      <c r="BE1205" s="105">
        <f>IFERROR(MIN(BI1205/BQ1205/BP1205/BO1205/BH1205,$BE$1),"")</f>
        <v/>
      </c>
      <c r="BF1205" s="105">
        <f>IFERROR(BJ1205*BO1205*BP1205/BK1205,"")</f>
        <v/>
      </c>
      <c r="BG1205" s="105">
        <f>IFERROR(1/BM1205/BH1205*BQ1205,"")</f>
        <v/>
      </c>
      <c r="BH1205" s="102">
        <f>MAX((CE1205-Driver!$F$200)/(Driver!$G$200-Driver!$F$200)*$BI$1,1)</f>
        <v/>
      </c>
      <c r="BI1205" s="102">
        <f>MAX($BI$1*(BY1205-Driver!$F$201)/(Driver!$G$201-Driver!$F$201),1)</f>
        <v/>
      </c>
      <c r="BJ1205" s="102">
        <f>(CB1205-Driver!$F$206)/(Driver!$G$206-Driver!$F$206)*$BI$1</f>
        <v/>
      </c>
      <c r="BK1205" s="102">
        <f>(CD1205-Driver!$F$203)/(Driver!$G$203-Driver!$F$203)*$BI$1</f>
        <v/>
      </c>
      <c r="BL1205" s="102">
        <f>MAX((CR1205-Driver!$F$202)/(Driver!$G$202-Driver!$F$202)*$BI$1,1)</f>
        <v/>
      </c>
      <c r="BM1205" s="102">
        <f>MAX((CH1205-Driver!$F$204)/(Driver!$G$204-Driver!$F$204)*$BI$1,1)</f>
        <v/>
      </c>
      <c r="BN1205" s="102">
        <f>(CI1205-Driver!$F$205)/(Driver!$G$205-Driver!$F$205)*$BI$1</f>
        <v/>
      </c>
      <c r="BO1205" s="102">
        <f>(CK1205-Driver!$F$207)/(Driver!$G$207-Driver!$F$207)*$BI$1</f>
        <v/>
      </c>
      <c r="BP1205" s="102">
        <f>(CM1205-Driver!$F$208)/(Driver!$G$208-Driver!$F$208)*$BI$1</f>
        <v/>
      </c>
      <c r="BQ1205" s="102">
        <f>(CL1205-Driver!$F$209)/(Driver!$G$209-Driver!$F$209)*$BI$1</f>
        <v/>
      </c>
      <c r="BR1205" s="40" t="inlineStr">
        <is>
          <t>21/22</t>
        </is>
      </c>
      <c r="BS1205" s="10" t="inlineStr">
        <is>
          <t xml:space="preserve"> Armada</t>
        </is>
      </c>
      <c r="BT1205" s="11" t="inlineStr">
        <is>
          <t>Trace 88</t>
        </is>
      </c>
      <c r="BU1205" s="13" t="n">
        <v>152</v>
      </c>
      <c r="BV1205" s="11" t="inlineStr">
        <is>
          <t xml:space="preserve"> Women's</t>
        </is>
      </c>
      <c r="BW1205" s="13" t="n">
        <v>152</v>
      </c>
      <c r="BX1205" s="13" t="n">
        <v>151.3</v>
      </c>
      <c r="BY1205" s="13" t="n">
        <v>121</v>
      </c>
      <c r="BZ1205" s="13" t="n">
        <v>128</v>
      </c>
      <c r="CA1205" s="13" t="n">
        <v>113</v>
      </c>
      <c r="CB1205" s="13" t="n">
        <v>87</v>
      </c>
      <c r="CC1205" s="13" t="n">
        <v>105</v>
      </c>
      <c r="CD1205" s="13" t="n">
        <v>18.9</v>
      </c>
      <c r="CE1205" s="13" t="n">
        <v>1062</v>
      </c>
      <c r="CF1205" s="13" t="n">
        <v>1.35</v>
      </c>
      <c r="CG1205" s="13" t="n">
        <v>1431</v>
      </c>
      <c r="CH1205" s="13" t="n">
        <v>146</v>
      </c>
      <c r="CI1205" s="13" t="n">
        <v>58</v>
      </c>
      <c r="CJ1205" s="13" t="n">
        <v>34</v>
      </c>
      <c r="CK1205" s="13" t="n">
        <v>184</v>
      </c>
      <c r="CL1205" s="13" t="n">
        <v>11</v>
      </c>
      <c r="CM1205" s="13" t="n">
        <v>118</v>
      </c>
      <c r="CN1205" s="13" t="n">
        <v>0.312</v>
      </c>
      <c r="CO1205" s="13" t="n">
        <v>147</v>
      </c>
      <c r="CP1205" s="13" t="n">
        <v>87</v>
      </c>
      <c r="CQ1205" s="13" t="n">
        <v>37</v>
      </c>
      <c r="CR1205" s="13" t="n">
        <v>3</v>
      </c>
      <c r="CS1205" s="13" t="n">
        <v>6.8</v>
      </c>
      <c r="CT1205" s="11" t="inlineStr">
        <is>
          <t xml:space="preserve"> Touring</t>
        </is>
      </c>
      <c r="CU1205" s="11" t="inlineStr">
        <is>
          <t xml:space="preserve"> Ultralight Touring</t>
        </is>
      </c>
      <c r="CV1205" s="13" t="n"/>
      <c r="CW1205" s="13" t="n"/>
      <c r="CX1205">
        <f>INDEX('Data_Price '!AG$2:AG$1266,MATCH(Data!$DN1205,'Data_Price '!$AT$2:$AT$1266,0))</f>
        <v/>
      </c>
      <c r="CY1205">
        <f>INDEX('Data_Price '!AH$2:AH$1266,MATCH(Data!$DN1205,'Data_Price '!$AT$2:$AT$1266,0))</f>
        <v/>
      </c>
      <c r="CZ1205">
        <f>INDEX('Data_Price '!AI$2:AI$1266,MATCH(Data!$DN1205,'Data_Price '!$AT$2:$AT$1266,0))</f>
        <v/>
      </c>
      <c r="DA1205">
        <f>INDEX('Data_Price '!AJ$2:AJ$1266,MATCH(Data!$DN1205,'Data_Price '!$AT$2:$AT$1266,0))</f>
        <v/>
      </c>
      <c r="DB1205">
        <f>INDEX('Data_Price '!AK$2:AK$1266,MATCH(Data!$DN1205,'Data_Price '!$AT$2:$AT$1266,0))</f>
        <v/>
      </c>
      <c r="DC1205">
        <f>INDEX('Data_Price '!AL$2:AL$1266,MATCH(Data!$DN1205,'Data_Price '!$AT$2:$AT$1266,0))</f>
        <v/>
      </c>
      <c r="DD1205">
        <f>INDEX('Data_Price '!AM$2:AM$1266,MATCH(Data!$DN1205,'Data_Price '!$AT$2:$AT$1266,0))</f>
        <v/>
      </c>
      <c r="DE1205">
        <f>INDEX('Data_Price '!AN$2:AN$1266,MATCH(Data!$DN1205,'Data_Price '!$AT$2:$AT$1266,0))</f>
        <v/>
      </c>
      <c r="DF1205">
        <f>INDEX('Data_Price '!AO$2:AO$1266,MATCH(Data!$DN1205,'Data_Price '!$AT$2:$AT$1266,0))</f>
        <v/>
      </c>
      <c r="DG1205">
        <f>INDEX('Data_Price '!AP$2:AP$1266,MATCH(Data!$DN1205,'Data_Price '!$AT$2:$AT$1266,0))</f>
        <v/>
      </c>
      <c r="DH1205">
        <f>INDEX('Data_Price '!AQ$2:AQ$1266,MATCH(Data!$DN1205,'Data_Price '!$AT$2:$AT$1266,0))</f>
        <v/>
      </c>
      <c r="DI1205">
        <f>INDEX('Data_Price '!AR$2:AR$1266,MATCH(Data!$DN1205,'Data_Price '!$AT$2:$AT$1266,0))</f>
        <v/>
      </c>
      <c r="DJ1205" s="138">
        <f>DA1205</f>
        <v/>
      </c>
      <c r="DK1205" s="138">
        <f>DE1205</f>
        <v/>
      </c>
      <c r="DL1205" s="138">
        <f>DI1205</f>
        <v/>
      </c>
      <c r="DM1205" s="303">
        <f>IF(LEFT(BT1205,1)=" ",RIGHT(BT1205,LEN(BT1205)-1),BT1205)</f>
        <v/>
      </c>
      <c r="DN1205" s="138">
        <f>_xlfn.CONCAT(BS1205,DM1205,BU1205,BV1205)</f>
        <v/>
      </c>
      <c r="DO1205" s="307" t="n"/>
    </row>
    <row r="1206" ht="15.6" customHeight="1" s="184">
      <c r="B1206" s="303">
        <f t="array" ref="B1206">IF(OR(ISERROR(K1206:P1206)),FALSE,TRUE)</f>
        <v/>
      </c>
      <c r="C1206" s="60">
        <f>OR(BR1206=Driver!$G$50,Data!BR15=Driver!$H$50)</f>
        <v/>
      </c>
      <c r="D1206" s="60">
        <f>OR(BV1206=Driver!$G$51,BV1206=Driver!$H$51)</f>
        <v/>
      </c>
      <c r="E1206" s="60">
        <f>AND(BX1206&gt;Driver!$F$54,BX1206&lt;Driver!$G$54)</f>
        <v/>
      </c>
      <c r="F1206" s="60">
        <f>CL1206&gt;Driver!$F$56</f>
        <v/>
      </c>
      <c r="G1206" s="60">
        <f>AND(CB1206&gt;Driver!$F$55,CB1206&lt;Driver!$G$55)</f>
        <v/>
      </c>
      <c r="H1206" s="60">
        <f>AND(B1206:G1206)</f>
        <v/>
      </c>
      <c r="I1206" s="60">
        <f>COUNTIFS($H$9:$H$1273,TRUE,$BT$9:$BT$1273,BT1206)</f>
        <v/>
      </c>
      <c r="J1206" s="60">
        <f t="array" ref="J1206">NOT(OR(($H$9:$H$1273=TRUE)*($I$9:$I$1273&gt;0)*($BT$9:$BT$1273=BT1206)*($K$9:$K$1273&gt;K1206)))</f>
        <v/>
      </c>
      <c r="K1206" s="108">
        <f>IFERROR(1-AVERAGE(X1206:Y1206),"")</f>
        <v/>
      </c>
      <c r="L1206" s="108">
        <f>1-X1206</f>
        <v/>
      </c>
      <c r="M1206" s="108">
        <f>1-Y1206</f>
        <v/>
      </c>
      <c r="N1206" s="108">
        <f>1-Z1206</f>
        <v/>
      </c>
      <c r="O1206" s="108">
        <f>1-AA1206</f>
        <v/>
      </c>
      <c r="P1206" s="108">
        <f>1-AB1206</f>
        <v/>
      </c>
      <c r="Q1206" s="108" t="n"/>
      <c r="R1206" s="108" t="n"/>
      <c r="S1206" s="108">
        <f>1-AE1206</f>
        <v/>
      </c>
      <c r="T1206" s="108">
        <f>1-AF1206</f>
        <v/>
      </c>
      <c r="U1206" s="108">
        <f>1-AG1206</f>
        <v/>
      </c>
      <c r="V1206" s="108">
        <f>1-AH1206</f>
        <v/>
      </c>
      <c r="W1206" s="108">
        <f>1-AI1206</f>
        <v/>
      </c>
      <c r="X1206" s="108">
        <f>ABS(AJ1206-AJ$1)</f>
        <v/>
      </c>
      <c r="Y1206" s="108">
        <f>AVERAGE(Z1206:AB1206)</f>
        <v/>
      </c>
      <c r="Z1206" s="108">
        <f>ABS(AL1206-AL$1)</f>
        <v/>
      </c>
      <c r="AA1206" s="108">
        <f>ABS(AM1206-AM$1)</f>
        <v/>
      </c>
      <c r="AB1206" s="108">
        <f>ABS(AN1206-AN$1)</f>
        <v/>
      </c>
      <c r="AC1206" s="108" t="n"/>
      <c r="AD1206" s="108" t="n"/>
      <c r="AE1206" s="108">
        <f>ABS(AQ$1-AQ1206)</f>
        <v/>
      </c>
      <c r="AF1206" s="108">
        <f>ABS(AR$1-AR1206)</f>
        <v/>
      </c>
      <c r="AG1206" s="108">
        <f>ABS(AS$1-AS1206)</f>
        <v/>
      </c>
      <c r="AH1206" s="108">
        <f>ABS(AT$1-AT1206)</f>
        <v/>
      </c>
      <c r="AI1206" s="108">
        <f>ABS(AU$1-AU1206)</f>
        <v/>
      </c>
      <c r="AJ1206" s="108">
        <f>(AV1206-Driver!$K$179)/(Driver!$L$179-Driver!$K$179)</f>
        <v/>
      </c>
      <c r="AK1206" s="108">
        <f>(AW1206-Driver!$K$180)/(Driver!$L$180-Driver!$K$180)</f>
        <v/>
      </c>
      <c r="AL1206" s="108">
        <f>(AX1206-Driver!$K$181)/(Driver!$L$181-Driver!$K$181)</f>
        <v/>
      </c>
      <c r="AM1206" s="108">
        <f>(AY1206-Driver!$K$182)/(Driver!$L$182-Driver!$K$182)</f>
        <v/>
      </c>
      <c r="AN1206" s="108">
        <f>(AZ1206-Driver!$K$183)/(Driver!$L$183-Driver!$K$183)</f>
        <v/>
      </c>
      <c r="AO1206" s="108" t="n"/>
      <c r="AP1206" s="108" t="n"/>
      <c r="AQ1206" s="108">
        <f>(BC1206-Driver!$K$188)/(Driver!$L$188-Driver!$K$188)</f>
        <v/>
      </c>
      <c r="AR1206" s="108">
        <f>MIN((BD1206-Driver!$K$189)/(Driver!$L$189-Driver!$K$189),100%)</f>
        <v/>
      </c>
      <c r="AS1206" s="108">
        <f>(BE1206-Driver!$K$190)/(Driver!$L$190-Driver!$K$190)</f>
        <v/>
      </c>
      <c r="AT1206" s="108">
        <f>(BF1206-Driver!$K$191)/(Driver!$L$191-Driver!$K$191)</f>
        <v/>
      </c>
      <c r="AU1206" s="108">
        <f>(BG1206-Driver!$K$192)/(Driver!$L$192-Driver!$K$192)</f>
        <v/>
      </c>
      <c r="AV1206" s="105">
        <f>IFERROR(BM1206*BJ1206^1/4,"")</f>
        <v/>
      </c>
      <c r="AW1206" s="105">
        <f>IFERROR(SUM(AX1206:AZ1206),"")</f>
        <v/>
      </c>
      <c r="AX1206" s="105">
        <f>IFERROR(BH1206,"")</f>
        <v/>
      </c>
      <c r="AY1206" s="105">
        <f>IFERROR(Driver!$K$19/Data!BH1206/Data!BI1206*Data!BK1206*Data!BL1206,"")</f>
        <v/>
      </c>
      <c r="AZ1206" s="105">
        <f>IFERROR(BI1206*BN1206,"")</f>
        <v/>
      </c>
      <c r="BA1206" s="105" t="n"/>
      <c r="BB1206" s="105" t="n"/>
      <c r="BC1206" s="105">
        <f>IFERROR(BI1206*BN1206*BK1206/BJ1206^(1/2),"")</f>
        <v/>
      </c>
      <c r="BD1206" s="105">
        <f>IFERROR(BH1206*BM1206*BL1206/BJ1206/BK1206,"")</f>
        <v/>
      </c>
      <c r="BE1206" s="105">
        <f>IFERROR(MIN(BI1206/BQ1206/BP1206/BO1206/BH1206,$BE$1),"")</f>
        <v/>
      </c>
      <c r="BF1206" s="105">
        <f>IFERROR(BJ1206*BO1206*BP1206/BK1206,"")</f>
        <v/>
      </c>
      <c r="BG1206" s="105">
        <f>IFERROR(1/BM1206/BH1206*BQ1206,"")</f>
        <v/>
      </c>
      <c r="BH1206" s="102">
        <f>MAX((CE1206-Driver!$F$200)/(Driver!$G$200-Driver!$F$200)*$BI$1,1)</f>
        <v/>
      </c>
      <c r="BI1206" s="102">
        <f>MAX($BI$1*(BY1206-Driver!$F$201)/(Driver!$G$201-Driver!$F$201),1)</f>
        <v/>
      </c>
      <c r="BJ1206" s="102">
        <f>(CB1206-Driver!$F$206)/(Driver!$G$206-Driver!$F$206)*$BI$1</f>
        <v/>
      </c>
      <c r="BK1206" s="102">
        <f>(CD1206-Driver!$F$203)/(Driver!$G$203-Driver!$F$203)*$BI$1</f>
        <v/>
      </c>
      <c r="BL1206" s="102">
        <f>MAX((CR1206-Driver!$F$202)/(Driver!$G$202-Driver!$F$202)*$BI$1,1)</f>
        <v/>
      </c>
      <c r="BM1206" s="102">
        <f>MAX((CH1206-Driver!$F$204)/(Driver!$G$204-Driver!$F$204)*$BI$1,1)</f>
        <v/>
      </c>
      <c r="BN1206" s="102">
        <f>(CI1206-Driver!$F$205)/(Driver!$G$205-Driver!$F$205)*$BI$1</f>
        <v/>
      </c>
      <c r="BO1206" s="102">
        <f>(CK1206-Driver!$F$207)/(Driver!$G$207-Driver!$F$207)*$BI$1</f>
        <v/>
      </c>
      <c r="BP1206" s="102">
        <f>(CM1206-Driver!$F$208)/(Driver!$G$208-Driver!$F$208)*$BI$1</f>
        <v/>
      </c>
      <c r="BQ1206" s="102">
        <f>(CL1206-Driver!$F$209)/(Driver!$G$209-Driver!$F$209)*$BI$1</f>
        <v/>
      </c>
      <c r="BR1206" s="40" t="inlineStr">
        <is>
          <t>21/22</t>
        </is>
      </c>
      <c r="BS1206" s="10" t="inlineStr">
        <is>
          <t xml:space="preserve"> 4FRNT</t>
        </is>
      </c>
      <c r="BT1206" s="11" t="inlineStr">
        <is>
          <t xml:space="preserve"> Hoji</t>
        </is>
      </c>
      <c r="BU1206" s="13" t="n">
        <v>184</v>
      </c>
      <c r="BV1206" s="11" t="inlineStr">
        <is>
          <t xml:space="preserve"> Unisex</t>
        </is>
      </c>
      <c r="BW1206" s="13" t="n">
        <v>184</v>
      </c>
      <c r="BX1206" s="13" t="n">
        <v>182.7</v>
      </c>
      <c r="BY1206" s="13" t="n">
        <v>0</v>
      </c>
      <c r="BZ1206" s="13" t="n">
        <v>132</v>
      </c>
      <c r="CA1206" s="13" t="n">
        <v>128</v>
      </c>
      <c r="CB1206" s="13" t="n">
        <v>112</v>
      </c>
      <c r="CC1206" s="13" t="n">
        <v>119</v>
      </c>
      <c r="CD1206" s="13" t="n">
        <v>30.1</v>
      </c>
      <c r="CE1206" s="13" t="n">
        <v>1920</v>
      </c>
      <c r="CF1206" s="13" t="n">
        <v>1.1</v>
      </c>
      <c r="CG1206" s="13" t="n">
        <v>2118</v>
      </c>
      <c r="CH1206" s="13" t="n">
        <v>297</v>
      </c>
      <c r="CI1206" s="13" t="n">
        <v>117</v>
      </c>
      <c r="CJ1206" s="13" t="n">
        <v>76</v>
      </c>
      <c r="CK1206" s="13" t="n">
        <v>982</v>
      </c>
      <c r="CL1206" s="13" t="n">
        <v>28</v>
      </c>
      <c r="CM1206" s="13" t="n">
        <v>845</v>
      </c>
      <c r="CN1206" s="13" t="n">
        <v>0.366</v>
      </c>
      <c r="CO1206" s="13" t="n">
        <v>209</v>
      </c>
      <c r="CP1206" s="13" t="n">
        <v>301</v>
      </c>
      <c r="CQ1206" s="13" t="n">
        <v>773</v>
      </c>
      <c r="CR1206" s="13" t="n">
        <v>-11</v>
      </c>
      <c r="CS1206" s="13" t="n">
        <v>6.9</v>
      </c>
      <c r="CT1206" s="11" t="inlineStr">
        <is>
          <t xml:space="preserve"> Powder</t>
        </is>
      </c>
      <c r="CU1206" s="11" t="inlineStr">
        <is>
          <t xml:space="preserve"> Big Mountain</t>
        </is>
      </c>
      <c r="CV1206" s="11" t="inlineStr">
        <is>
          <t xml:space="preserve"> Touring</t>
        </is>
      </c>
      <c r="CW1206" s="13" t="n"/>
      <c r="CX1206">
        <f>INDEX('Data_Price '!AG$2:AG$1266,MATCH(Data!$DN1206,'Data_Price '!$AT$2:$AT$1266,0))</f>
        <v/>
      </c>
      <c r="CY1206">
        <f>INDEX('Data_Price '!AH$2:AH$1266,MATCH(Data!$DN1206,'Data_Price '!$AT$2:$AT$1266,0))</f>
        <v/>
      </c>
      <c r="CZ1206">
        <f>INDEX('Data_Price '!AI$2:AI$1266,MATCH(Data!$DN1206,'Data_Price '!$AT$2:$AT$1266,0))</f>
        <v/>
      </c>
      <c r="DA1206">
        <f>INDEX('Data_Price '!AJ$2:AJ$1266,MATCH(Data!$DN1206,'Data_Price '!$AT$2:$AT$1266,0))</f>
        <v/>
      </c>
      <c r="DB1206">
        <f>INDEX('Data_Price '!AK$2:AK$1266,MATCH(Data!$DN1206,'Data_Price '!$AT$2:$AT$1266,0))</f>
        <v/>
      </c>
      <c r="DC1206">
        <f>INDEX('Data_Price '!AL$2:AL$1266,MATCH(Data!$DN1206,'Data_Price '!$AT$2:$AT$1266,0))</f>
        <v/>
      </c>
      <c r="DD1206">
        <f>INDEX('Data_Price '!AM$2:AM$1266,MATCH(Data!$DN1206,'Data_Price '!$AT$2:$AT$1266,0))</f>
        <v/>
      </c>
      <c r="DE1206">
        <f>INDEX('Data_Price '!AN$2:AN$1266,MATCH(Data!$DN1206,'Data_Price '!$AT$2:$AT$1266,0))</f>
        <v/>
      </c>
      <c r="DF1206">
        <f>INDEX('Data_Price '!AO$2:AO$1266,MATCH(Data!$DN1206,'Data_Price '!$AT$2:$AT$1266,0))</f>
        <v/>
      </c>
      <c r="DG1206">
        <f>INDEX('Data_Price '!AP$2:AP$1266,MATCH(Data!$DN1206,'Data_Price '!$AT$2:$AT$1266,0))</f>
        <v/>
      </c>
      <c r="DH1206">
        <f>INDEX('Data_Price '!AQ$2:AQ$1266,MATCH(Data!$DN1206,'Data_Price '!$AT$2:$AT$1266,0))</f>
        <v/>
      </c>
      <c r="DI1206">
        <f>INDEX('Data_Price '!AR$2:AR$1266,MATCH(Data!$DN1206,'Data_Price '!$AT$2:$AT$1266,0))</f>
        <v/>
      </c>
      <c r="DJ1206" s="138">
        <f>DA1206</f>
        <v/>
      </c>
      <c r="DK1206" s="138">
        <f>DE1206</f>
        <v/>
      </c>
      <c r="DL1206" s="138">
        <f>DI1206</f>
        <v/>
      </c>
      <c r="DM1206" s="303">
        <f>IF(LEFT(BT1206,1)=" ",RIGHT(BT1206,LEN(BT1206)-1),BT1206)</f>
        <v/>
      </c>
      <c r="DN1206" s="138">
        <f>_xlfn.CONCAT(BS1206,DM1206,BU1206,BV1206)</f>
        <v/>
      </c>
      <c r="DO1206" s="307" t="n"/>
    </row>
    <row r="1207" ht="15.6" customHeight="1" s="184">
      <c r="B1207" s="303">
        <f t="array" ref="B1207">IF(OR(ISERROR(K1207:P1207)),FALSE,TRUE)</f>
        <v/>
      </c>
      <c r="C1207" s="60">
        <f>OR(BR1207=Driver!$G$50,Data!BR273=Driver!$H$50)</f>
        <v/>
      </c>
      <c r="D1207" s="60">
        <f>OR(BV1207=Driver!$G$51,BV1207=Driver!$H$51)</f>
        <v/>
      </c>
      <c r="E1207" s="60">
        <f>AND(BX1207&gt;Driver!$F$54,BX1207&lt;Driver!$G$54)</f>
        <v/>
      </c>
      <c r="F1207" s="60">
        <f>CL1207&gt;Driver!$F$56</f>
        <v/>
      </c>
      <c r="G1207" s="60">
        <f>AND(CB1207&gt;Driver!$F$55,CB1207&lt;Driver!$G$55)</f>
        <v/>
      </c>
      <c r="H1207" s="60">
        <f>AND(B1207:G1207)</f>
        <v/>
      </c>
      <c r="I1207" s="60">
        <f>COUNTIFS($H$9:$H$1273,TRUE,$BT$9:$BT$1273,BT1207)</f>
        <v/>
      </c>
      <c r="J1207" s="60">
        <f t="array" ref="J1207">NOT(OR(($H$9:$H$1273=TRUE)*($I$9:$I$1273&gt;0)*($BT$9:$BT$1273=BT1207)*($K$9:$K$1273&gt;K1207)))</f>
        <v/>
      </c>
      <c r="K1207" s="108">
        <f>IFERROR(1-AVERAGE(X1207:Y1207),"")</f>
        <v/>
      </c>
      <c r="L1207" s="108">
        <f>1-X1207</f>
        <v/>
      </c>
      <c r="M1207" s="108">
        <f>1-Y1207</f>
        <v/>
      </c>
      <c r="N1207" s="108">
        <f>1-Z1207</f>
        <v/>
      </c>
      <c r="O1207" s="108">
        <f>1-AA1207</f>
        <v/>
      </c>
      <c r="P1207" s="108">
        <f>1-AB1207</f>
        <v/>
      </c>
      <c r="Q1207" s="108" t="n"/>
      <c r="R1207" s="108" t="n"/>
      <c r="S1207" s="108">
        <f>1-AE1207</f>
        <v/>
      </c>
      <c r="T1207" s="108">
        <f>1-AF1207</f>
        <v/>
      </c>
      <c r="U1207" s="108">
        <f>1-AG1207</f>
        <v/>
      </c>
      <c r="V1207" s="108">
        <f>1-AH1207</f>
        <v/>
      </c>
      <c r="W1207" s="108">
        <f>1-AI1207</f>
        <v/>
      </c>
      <c r="X1207" s="108">
        <f>ABS(AJ1207-AJ$1)</f>
        <v/>
      </c>
      <c r="Y1207" s="108">
        <f>AVERAGE(Z1207:AB1207)</f>
        <v/>
      </c>
      <c r="Z1207" s="108">
        <f>ABS(AL1207-AL$1)</f>
        <v/>
      </c>
      <c r="AA1207" s="108">
        <f>ABS(AM1207-AM$1)</f>
        <v/>
      </c>
      <c r="AB1207" s="108">
        <f>ABS(AN1207-AN$1)</f>
        <v/>
      </c>
      <c r="AC1207" s="108" t="n"/>
      <c r="AD1207" s="108" t="n"/>
      <c r="AE1207" s="108">
        <f>ABS(AQ$1-AQ1207)</f>
        <v/>
      </c>
      <c r="AF1207" s="108">
        <f>ABS(AR$1-AR1207)</f>
        <v/>
      </c>
      <c r="AG1207" s="108">
        <f>ABS(AS$1-AS1207)</f>
        <v/>
      </c>
      <c r="AH1207" s="108">
        <f>ABS(AT$1-AT1207)</f>
        <v/>
      </c>
      <c r="AI1207" s="108">
        <f>ABS(AU$1-AU1207)</f>
        <v/>
      </c>
      <c r="AJ1207" s="108">
        <f>(AV1207-Driver!$K$179)/(Driver!$L$179-Driver!$K$179)</f>
        <v/>
      </c>
      <c r="AK1207" s="108">
        <f>(AW1207-Driver!$K$180)/(Driver!$L$180-Driver!$K$180)</f>
        <v/>
      </c>
      <c r="AL1207" s="108">
        <f>(AX1207-Driver!$K$181)/(Driver!$L$181-Driver!$K$181)</f>
        <v/>
      </c>
      <c r="AM1207" s="108">
        <f>(AY1207-Driver!$K$182)/(Driver!$L$182-Driver!$K$182)</f>
        <v/>
      </c>
      <c r="AN1207" s="108">
        <f>(AZ1207-Driver!$K$183)/(Driver!$L$183-Driver!$K$183)</f>
        <v/>
      </c>
      <c r="AO1207" s="108" t="n"/>
      <c r="AP1207" s="108" t="n"/>
      <c r="AQ1207" s="108">
        <f>(BC1207-Driver!$K$188)/(Driver!$L$188-Driver!$K$188)</f>
        <v/>
      </c>
      <c r="AR1207" s="108">
        <f>MIN((BD1207-Driver!$K$189)/(Driver!$L$189-Driver!$K$189),100%)</f>
        <v/>
      </c>
      <c r="AS1207" s="108">
        <f>(BE1207-Driver!$K$190)/(Driver!$L$190-Driver!$K$190)</f>
        <v/>
      </c>
      <c r="AT1207" s="108">
        <f>(BF1207-Driver!$K$191)/(Driver!$L$191-Driver!$K$191)</f>
        <v/>
      </c>
      <c r="AU1207" s="108">
        <f>(BG1207-Driver!$K$192)/(Driver!$L$192-Driver!$K$192)</f>
        <v/>
      </c>
      <c r="AV1207" s="105">
        <f>IFERROR(BM1207*BJ1207^1/4,"")</f>
        <v/>
      </c>
      <c r="AW1207" s="105">
        <f>IFERROR(SUM(AX1207:AZ1207),"")</f>
        <v/>
      </c>
      <c r="AX1207" s="105">
        <f>IFERROR(BH1207,"")</f>
        <v/>
      </c>
      <c r="AY1207" s="105">
        <f>IFERROR(Driver!$K$19/Data!BH1207/Data!BI1207*Data!BK1207*Data!BL1207,"")</f>
        <v/>
      </c>
      <c r="AZ1207" s="105">
        <f>IFERROR(BI1207*BN1207,"")</f>
        <v/>
      </c>
      <c r="BA1207" s="105" t="n"/>
      <c r="BB1207" s="105" t="n"/>
      <c r="BC1207" s="105">
        <f>IFERROR(BI1207*BN1207*BK1207/BJ1207^(1/2),"")</f>
        <v/>
      </c>
      <c r="BD1207" s="105">
        <f>IFERROR(BH1207*BM1207*BL1207/BJ1207/BK1207,"")</f>
        <v/>
      </c>
      <c r="BE1207" s="105">
        <f>IFERROR(MIN(BI1207/BQ1207/BP1207/BO1207/BH1207,$BE$1),"")</f>
        <v/>
      </c>
      <c r="BF1207" s="105">
        <f>IFERROR(BJ1207*BO1207*BP1207/BK1207,"")</f>
        <v/>
      </c>
      <c r="BG1207" s="105">
        <f>IFERROR(1/BM1207/BH1207*BQ1207,"")</f>
        <v/>
      </c>
      <c r="BH1207" s="102">
        <f>MAX((CE1207-Driver!$F$200)/(Driver!$G$200-Driver!$F$200)*$BI$1,1)</f>
        <v/>
      </c>
      <c r="BI1207" s="102">
        <f>MAX($BI$1*(BY1207-Driver!$F$201)/(Driver!$G$201-Driver!$F$201),1)</f>
        <v/>
      </c>
      <c r="BJ1207" s="102">
        <f>(CB1207-Driver!$F$206)/(Driver!$G$206-Driver!$F$206)*$BI$1</f>
        <v/>
      </c>
      <c r="BK1207" s="102">
        <f>(CD1207-Driver!$F$203)/(Driver!$G$203-Driver!$F$203)*$BI$1</f>
        <v/>
      </c>
      <c r="BL1207" s="102">
        <f>MAX((CR1207-Driver!$F$202)/(Driver!$G$202-Driver!$F$202)*$BI$1,1)</f>
        <v/>
      </c>
      <c r="BM1207" s="102">
        <f>MAX((CH1207-Driver!$F$204)/(Driver!$G$204-Driver!$F$204)*$BI$1,1)</f>
        <v/>
      </c>
      <c r="BN1207" s="102">
        <f>(CI1207-Driver!$F$205)/(Driver!$G$205-Driver!$F$205)*$BI$1</f>
        <v/>
      </c>
      <c r="BO1207" s="102">
        <f>(CK1207-Driver!$F$207)/(Driver!$G$207-Driver!$F$207)*$BI$1</f>
        <v/>
      </c>
      <c r="BP1207" s="102">
        <f>(CM1207-Driver!$F$208)/(Driver!$G$208-Driver!$F$208)*$BI$1</f>
        <v/>
      </c>
      <c r="BQ1207" s="102">
        <f>(CL1207-Driver!$F$209)/(Driver!$G$209-Driver!$F$209)*$BI$1</f>
        <v/>
      </c>
      <c r="BR1207" s="40" t="inlineStr">
        <is>
          <t>21/22</t>
        </is>
      </c>
      <c r="BS1207" s="10" t="inlineStr">
        <is>
          <t xml:space="preserve"> Blizzard</t>
        </is>
      </c>
      <c r="BT1207" s="11" t="inlineStr">
        <is>
          <t>Brahma 82</t>
        </is>
      </c>
      <c r="BU1207" s="13" t="n">
        <v>187</v>
      </c>
      <c r="BV1207" s="11" t="inlineStr">
        <is>
          <t xml:space="preserve"> Unisex</t>
        </is>
      </c>
      <c r="BW1207" s="13" t="n">
        <v>187</v>
      </c>
      <c r="BX1207" s="13" t="n">
        <v>185</v>
      </c>
      <c r="BY1207" s="13" t="n">
        <v>150</v>
      </c>
      <c r="BZ1207" s="13" t="n">
        <v>162</v>
      </c>
      <c r="CA1207" s="13" t="n">
        <v>121</v>
      </c>
      <c r="CB1207" s="13" t="n">
        <v>81</v>
      </c>
      <c r="CC1207" s="13" t="n">
        <v>104</v>
      </c>
      <c r="CD1207" s="13" t="n">
        <v>20.5</v>
      </c>
      <c r="CE1207" s="13" t="n">
        <v>2080</v>
      </c>
      <c r="CF1207" s="13" t="n">
        <v>0.83</v>
      </c>
      <c r="CG1207" s="13" t="n">
        <v>1729</v>
      </c>
      <c r="CH1207" s="13" t="n">
        <v>275</v>
      </c>
      <c r="CI1207" s="13" t="n">
        <v>152</v>
      </c>
      <c r="CJ1207" s="13" t="n">
        <v>55</v>
      </c>
      <c r="CK1207" s="13" t="n">
        <v>251</v>
      </c>
      <c r="CL1207" s="13" t="n">
        <v>5</v>
      </c>
      <c r="CM1207" s="13" t="n">
        <v>95</v>
      </c>
      <c r="CN1207" s="13" t="n">
        <v>0.08500000000000001</v>
      </c>
      <c r="CO1207" s="13" t="n">
        <v>122</v>
      </c>
      <c r="CP1207" s="13" t="n">
        <v>110</v>
      </c>
      <c r="CQ1207" s="13" t="n">
        <v>129</v>
      </c>
      <c r="CR1207" s="13" t="n">
        <v>4</v>
      </c>
      <c r="CS1207" s="13" t="n">
        <v>11.1</v>
      </c>
      <c r="CT1207" s="11" t="inlineStr">
        <is>
          <t xml:space="preserve"> On-Piste Carving</t>
        </is>
      </c>
      <c r="CU1207" s="11" t="inlineStr">
        <is>
          <t xml:space="preserve"> On-Piste All-Mountain</t>
        </is>
      </c>
      <c r="CV1207" s="11" t="inlineStr">
        <is>
          <t xml:space="preserve"> Resort Freeride</t>
        </is>
      </c>
      <c r="CW1207" s="13" t="n"/>
      <c r="CX1207">
        <f>INDEX('Data_Price '!AG$2:AG$1266,MATCH(Data!$DN1207,'Data_Price '!$AT$2:$AT$1266,0))</f>
        <v/>
      </c>
      <c r="CY1207">
        <f>INDEX('Data_Price '!AH$2:AH$1266,MATCH(Data!$DN1207,'Data_Price '!$AT$2:$AT$1266,0))</f>
        <v/>
      </c>
      <c r="CZ1207">
        <f>INDEX('Data_Price '!AI$2:AI$1266,MATCH(Data!$DN1207,'Data_Price '!$AT$2:$AT$1266,0))</f>
        <v/>
      </c>
      <c r="DA1207">
        <f>INDEX('Data_Price '!AJ$2:AJ$1266,MATCH(Data!$DN1207,'Data_Price '!$AT$2:$AT$1266,0))</f>
        <v/>
      </c>
      <c r="DB1207">
        <f>INDEX('Data_Price '!AK$2:AK$1266,MATCH(Data!$DN1207,'Data_Price '!$AT$2:$AT$1266,0))</f>
        <v/>
      </c>
      <c r="DC1207">
        <f>INDEX('Data_Price '!AL$2:AL$1266,MATCH(Data!$DN1207,'Data_Price '!$AT$2:$AT$1266,0))</f>
        <v/>
      </c>
      <c r="DD1207">
        <f>INDEX('Data_Price '!AM$2:AM$1266,MATCH(Data!$DN1207,'Data_Price '!$AT$2:$AT$1266,0))</f>
        <v/>
      </c>
      <c r="DE1207">
        <f>INDEX('Data_Price '!AN$2:AN$1266,MATCH(Data!$DN1207,'Data_Price '!$AT$2:$AT$1266,0))</f>
        <v/>
      </c>
      <c r="DF1207">
        <f>INDEX('Data_Price '!AO$2:AO$1266,MATCH(Data!$DN1207,'Data_Price '!$AT$2:$AT$1266,0))</f>
        <v/>
      </c>
      <c r="DG1207">
        <f>INDEX('Data_Price '!AP$2:AP$1266,MATCH(Data!$DN1207,'Data_Price '!$AT$2:$AT$1266,0))</f>
        <v/>
      </c>
      <c r="DH1207">
        <f>INDEX('Data_Price '!AQ$2:AQ$1266,MATCH(Data!$DN1207,'Data_Price '!$AT$2:$AT$1266,0))</f>
        <v/>
      </c>
      <c r="DI1207">
        <f>INDEX('Data_Price '!AR$2:AR$1266,MATCH(Data!$DN1207,'Data_Price '!$AT$2:$AT$1266,0))</f>
        <v/>
      </c>
      <c r="DJ1207" s="138">
        <f>DA1207</f>
        <v/>
      </c>
      <c r="DK1207" s="138">
        <f>DE1207</f>
        <v/>
      </c>
      <c r="DL1207" s="138">
        <f>DI1207</f>
        <v/>
      </c>
      <c r="DM1207" s="303">
        <f>IF(LEFT(BT1207,1)=" ",RIGHT(BT1207,LEN(BT1207)-1),BT1207)</f>
        <v/>
      </c>
      <c r="DN1207" s="138">
        <f>_xlfn.CONCAT(BS1207,DM1207,BU1207,BV1207)</f>
        <v/>
      </c>
      <c r="DO1207" s="307" t="inlineStr">
        <is>
          <t>https://images.evo.com/imgp/250/197472/825187/clone.jpg</t>
        </is>
      </c>
    </row>
    <row r="1208" ht="15.6" customHeight="1" s="184">
      <c r="B1208" s="303">
        <f t="array" ref="B1208">IF(OR(ISERROR(K1208:P1208)),FALSE,TRUE)</f>
        <v/>
      </c>
      <c r="C1208" s="60">
        <f>OR(BR1208=Driver!$G$50,Data!BR898=Driver!$H$50)</f>
        <v/>
      </c>
      <c r="D1208" s="60">
        <f>OR(BV1208=Driver!$G$51,BV1208=Driver!$H$51)</f>
        <v/>
      </c>
      <c r="E1208" s="60">
        <f>AND(BX1208&gt;Driver!$F$54,BX1208&lt;Driver!$G$54)</f>
        <v/>
      </c>
      <c r="F1208" s="60">
        <f>CL1208&gt;Driver!$F$56</f>
        <v/>
      </c>
      <c r="G1208" s="60">
        <f>AND(CB1208&gt;Driver!$F$55,CB1208&lt;Driver!$G$55)</f>
        <v/>
      </c>
      <c r="H1208" s="60">
        <f>AND(B1208:G1208)</f>
        <v/>
      </c>
      <c r="I1208" s="60">
        <f>COUNTIFS($H$9:$H$1273,TRUE,$BT$9:$BT$1273,BT1208)</f>
        <v/>
      </c>
      <c r="J1208" s="60">
        <f t="array" ref="J1208">NOT(OR(($H$9:$H$1273=TRUE)*($I$9:$I$1273&gt;0)*($BT$9:$BT$1273=BT1208)*($K$9:$K$1273&gt;K1208)))</f>
        <v/>
      </c>
      <c r="K1208" s="108">
        <f>IFERROR(1-AVERAGE(X1208:Y1208),"")</f>
        <v/>
      </c>
      <c r="L1208" s="108">
        <f>1-X1208</f>
        <v/>
      </c>
      <c r="M1208" s="108">
        <f>1-Y1208</f>
        <v/>
      </c>
      <c r="N1208" s="108">
        <f>1-Z1208</f>
        <v/>
      </c>
      <c r="O1208" s="108">
        <f>1-AA1208</f>
        <v/>
      </c>
      <c r="P1208" s="108">
        <f>1-AB1208</f>
        <v/>
      </c>
      <c r="Q1208" s="108" t="n"/>
      <c r="R1208" s="108" t="n"/>
      <c r="S1208" s="108">
        <f>1-AE1208</f>
        <v/>
      </c>
      <c r="T1208" s="108">
        <f>1-AF1208</f>
        <v/>
      </c>
      <c r="U1208" s="108">
        <f>1-AG1208</f>
        <v/>
      </c>
      <c r="V1208" s="108">
        <f>1-AH1208</f>
        <v/>
      </c>
      <c r="W1208" s="108">
        <f>1-AI1208</f>
        <v/>
      </c>
      <c r="X1208" s="108">
        <f>ABS(AJ1208-AJ$1)</f>
        <v/>
      </c>
      <c r="Y1208" s="108">
        <f>AVERAGE(Z1208:AB1208)</f>
        <v/>
      </c>
      <c r="Z1208" s="108">
        <f>ABS(AL1208-AL$1)</f>
        <v/>
      </c>
      <c r="AA1208" s="108">
        <f>ABS(AM1208-AM$1)</f>
        <v/>
      </c>
      <c r="AB1208" s="108">
        <f>ABS(AN1208-AN$1)</f>
        <v/>
      </c>
      <c r="AC1208" s="108" t="n"/>
      <c r="AD1208" s="108" t="n"/>
      <c r="AE1208" s="108">
        <f>ABS(AQ$1-AQ1208)</f>
        <v/>
      </c>
      <c r="AF1208" s="108">
        <f>ABS(AR$1-AR1208)</f>
        <v/>
      </c>
      <c r="AG1208" s="108">
        <f>ABS(AS$1-AS1208)</f>
        <v/>
      </c>
      <c r="AH1208" s="108">
        <f>ABS(AT$1-AT1208)</f>
        <v/>
      </c>
      <c r="AI1208" s="108">
        <f>ABS(AU$1-AU1208)</f>
        <v/>
      </c>
      <c r="AJ1208" s="108">
        <f>(AV1208-Driver!$K$179)/(Driver!$L$179-Driver!$K$179)</f>
        <v/>
      </c>
      <c r="AK1208" s="108">
        <f>(AW1208-Driver!$K$180)/(Driver!$L$180-Driver!$K$180)</f>
        <v/>
      </c>
      <c r="AL1208" s="108">
        <f>(AX1208-Driver!$K$181)/(Driver!$L$181-Driver!$K$181)</f>
        <v/>
      </c>
      <c r="AM1208" s="108">
        <f>(AY1208-Driver!$K$182)/(Driver!$L$182-Driver!$K$182)</f>
        <v/>
      </c>
      <c r="AN1208" s="108">
        <f>(AZ1208-Driver!$K$183)/(Driver!$L$183-Driver!$K$183)</f>
        <v/>
      </c>
      <c r="AO1208" s="108" t="n"/>
      <c r="AP1208" s="108" t="n"/>
      <c r="AQ1208" s="108">
        <f>(BC1208-Driver!$K$188)/(Driver!$L$188-Driver!$K$188)</f>
        <v/>
      </c>
      <c r="AR1208" s="108">
        <f>MIN((BD1208-Driver!$K$189)/(Driver!$L$189-Driver!$K$189),100%)</f>
        <v/>
      </c>
      <c r="AS1208" s="108">
        <f>(BE1208-Driver!$K$190)/(Driver!$L$190-Driver!$K$190)</f>
        <v/>
      </c>
      <c r="AT1208" s="108">
        <f>(BF1208-Driver!$K$191)/(Driver!$L$191-Driver!$K$191)</f>
        <v/>
      </c>
      <c r="AU1208" s="108">
        <f>(BG1208-Driver!$K$192)/(Driver!$L$192-Driver!$K$192)</f>
        <v/>
      </c>
      <c r="AV1208" s="105">
        <f>IFERROR(BM1208*BJ1208^1/4,"")</f>
        <v/>
      </c>
      <c r="AW1208" s="105">
        <f>IFERROR(SUM(AX1208:AZ1208),"")</f>
        <v/>
      </c>
      <c r="AX1208" s="105">
        <f>IFERROR(BH1208,"")</f>
        <v/>
      </c>
      <c r="AY1208" s="105">
        <f>IFERROR(Driver!$K$19/Data!BH1208/Data!BI1208*Data!BK1208*Data!BL1208,"")</f>
        <v/>
      </c>
      <c r="AZ1208" s="105">
        <f>IFERROR(BI1208*BN1208,"")</f>
        <v/>
      </c>
      <c r="BA1208" s="105" t="n"/>
      <c r="BB1208" s="105" t="n"/>
      <c r="BC1208" s="105">
        <f>IFERROR(BI1208*BN1208*BK1208/BJ1208^(1/2),"")</f>
        <v/>
      </c>
      <c r="BD1208" s="105">
        <f>IFERROR(BH1208*BM1208*BL1208/BJ1208/BK1208,"")</f>
        <v/>
      </c>
      <c r="BE1208" s="105">
        <f>IFERROR(MIN(BI1208/BQ1208/BP1208/BO1208/BH1208,$BE$1),"")</f>
        <v/>
      </c>
      <c r="BF1208" s="105">
        <f>IFERROR(BJ1208*BO1208*BP1208/BK1208,"")</f>
        <v/>
      </c>
      <c r="BG1208" s="105">
        <f>IFERROR(1/BM1208/BH1208*BQ1208,"")</f>
        <v/>
      </c>
      <c r="BH1208" s="102">
        <f>MAX((CE1208-Driver!$F$200)/(Driver!$G$200-Driver!$F$200)*$BI$1,1)</f>
        <v/>
      </c>
      <c r="BI1208" s="102">
        <f>MAX($BI$1*(BY1208-Driver!$F$201)/(Driver!$G$201-Driver!$F$201),1)</f>
        <v/>
      </c>
      <c r="BJ1208" s="102">
        <f>(CB1208-Driver!$F$206)/(Driver!$G$206-Driver!$F$206)*$BI$1</f>
        <v/>
      </c>
      <c r="BK1208" s="102">
        <f>(CD1208-Driver!$F$203)/(Driver!$G$203-Driver!$F$203)*$BI$1</f>
        <v/>
      </c>
      <c r="BL1208" s="102">
        <f>MAX((CR1208-Driver!$F$202)/(Driver!$G$202-Driver!$F$202)*$BI$1,1)</f>
        <v/>
      </c>
      <c r="BM1208" s="102">
        <f>MAX((CH1208-Driver!$F$204)/(Driver!$G$204-Driver!$F$204)*$BI$1,1)</f>
        <v/>
      </c>
      <c r="BN1208" s="102">
        <f>(CI1208-Driver!$F$205)/(Driver!$G$205-Driver!$F$205)*$BI$1</f>
        <v/>
      </c>
      <c r="BO1208" s="102">
        <f>(CK1208-Driver!$F$207)/(Driver!$G$207-Driver!$F$207)*$BI$1</f>
        <v/>
      </c>
      <c r="BP1208" s="102">
        <f>(CM1208-Driver!$F$208)/(Driver!$G$208-Driver!$F$208)*$BI$1</f>
        <v/>
      </c>
      <c r="BQ1208" s="102">
        <f>(CL1208-Driver!$F$209)/(Driver!$G$209-Driver!$F$209)*$BI$1</f>
        <v/>
      </c>
      <c r="BR1208" s="40" t="inlineStr">
        <is>
          <t>21/22</t>
        </is>
      </c>
      <c r="BS1208" s="10" t="inlineStr">
        <is>
          <t xml:space="preserve"> Nordica</t>
        </is>
      </c>
      <c r="BT1208" s="11" t="inlineStr">
        <is>
          <t>Enforcer 104 Free</t>
        </is>
      </c>
      <c r="BU1208" s="13" t="n">
        <v>186</v>
      </c>
      <c r="BV1208" s="11" t="inlineStr">
        <is>
          <t xml:space="preserve"> Unisex</t>
        </is>
      </c>
      <c r="BW1208" s="13" t="n">
        <v>186</v>
      </c>
      <c r="BX1208" s="13" t="n">
        <v>184.9</v>
      </c>
      <c r="BY1208" s="13" t="n">
        <v>127</v>
      </c>
      <c r="BZ1208" s="13" t="n">
        <v>154</v>
      </c>
      <c r="CA1208" s="13" t="n">
        <v>136</v>
      </c>
      <c r="CB1208" s="13" t="n">
        <v>103</v>
      </c>
      <c r="CC1208" s="13" t="n">
        <v>126</v>
      </c>
      <c r="CD1208" s="13" t="n">
        <v>18.4</v>
      </c>
      <c r="CE1208" s="13" t="n">
        <v>2246</v>
      </c>
      <c r="CF1208" s="13" t="n">
        <v>0.9399999999999999</v>
      </c>
      <c r="CG1208" s="13" t="n">
        <v>2117</v>
      </c>
      <c r="CH1208" s="13" t="n">
        <v>231</v>
      </c>
      <c r="CI1208" s="13" t="n">
        <v>156</v>
      </c>
      <c r="CJ1208" s="13" t="n">
        <v>56</v>
      </c>
      <c r="CK1208" s="13" t="n">
        <v>314</v>
      </c>
      <c r="CL1208" s="13" t="n">
        <v>39</v>
      </c>
      <c r="CM1208" s="13" t="n">
        <v>262</v>
      </c>
      <c r="CN1208" s="13" t="n">
        <v>0.6909999999999999</v>
      </c>
      <c r="CO1208" s="13" t="n">
        <v>162</v>
      </c>
      <c r="CP1208" s="13" t="n">
        <v>151</v>
      </c>
      <c r="CQ1208" s="13" t="n">
        <v>151</v>
      </c>
      <c r="CR1208" s="13" t="n">
        <v>7</v>
      </c>
      <c r="CS1208" s="13" t="n">
        <v>9.199999999999999</v>
      </c>
      <c r="CT1208" s="11" t="inlineStr">
        <is>
          <t xml:space="preserve"> Resort Freeride</t>
        </is>
      </c>
      <c r="CU1208" s="11" t="inlineStr">
        <is>
          <t xml:space="preserve"> Powder</t>
        </is>
      </c>
      <c r="CV1208" s="13" t="n"/>
      <c r="CW1208" s="13" t="n"/>
      <c r="CX1208">
        <f>INDEX('Data_Price '!AG$2:AG$1266,MATCH(Data!$DN1208,'Data_Price '!$AT$2:$AT$1266,0))</f>
        <v/>
      </c>
      <c r="CY1208">
        <f>INDEX('Data_Price '!AH$2:AH$1266,MATCH(Data!$DN1208,'Data_Price '!$AT$2:$AT$1266,0))</f>
        <v/>
      </c>
      <c r="CZ1208">
        <f>INDEX('Data_Price '!AI$2:AI$1266,MATCH(Data!$DN1208,'Data_Price '!$AT$2:$AT$1266,0))</f>
        <v/>
      </c>
      <c r="DA1208">
        <f>INDEX('Data_Price '!AJ$2:AJ$1266,MATCH(Data!$DN1208,'Data_Price '!$AT$2:$AT$1266,0))</f>
        <v/>
      </c>
      <c r="DB1208">
        <f>INDEX('Data_Price '!AK$2:AK$1266,MATCH(Data!$DN1208,'Data_Price '!$AT$2:$AT$1266,0))</f>
        <v/>
      </c>
      <c r="DC1208">
        <f>INDEX('Data_Price '!AL$2:AL$1266,MATCH(Data!$DN1208,'Data_Price '!$AT$2:$AT$1266,0))</f>
        <v/>
      </c>
      <c r="DD1208">
        <f>INDEX('Data_Price '!AM$2:AM$1266,MATCH(Data!$DN1208,'Data_Price '!$AT$2:$AT$1266,0))</f>
        <v/>
      </c>
      <c r="DE1208">
        <f>INDEX('Data_Price '!AN$2:AN$1266,MATCH(Data!$DN1208,'Data_Price '!$AT$2:$AT$1266,0))</f>
        <v/>
      </c>
      <c r="DF1208">
        <f>INDEX('Data_Price '!AO$2:AO$1266,MATCH(Data!$DN1208,'Data_Price '!$AT$2:$AT$1266,0))</f>
        <v/>
      </c>
      <c r="DG1208">
        <f>INDEX('Data_Price '!AP$2:AP$1266,MATCH(Data!$DN1208,'Data_Price '!$AT$2:$AT$1266,0))</f>
        <v/>
      </c>
      <c r="DH1208">
        <f>INDEX('Data_Price '!AQ$2:AQ$1266,MATCH(Data!$DN1208,'Data_Price '!$AT$2:$AT$1266,0))</f>
        <v/>
      </c>
      <c r="DI1208">
        <f>INDEX('Data_Price '!AR$2:AR$1266,MATCH(Data!$DN1208,'Data_Price '!$AT$2:$AT$1266,0))</f>
        <v/>
      </c>
      <c r="DJ1208" s="138">
        <f>DA1208</f>
        <v/>
      </c>
      <c r="DK1208" s="138">
        <f>DE1208</f>
        <v/>
      </c>
      <c r="DL1208" s="138">
        <f>DI1208</f>
        <v/>
      </c>
      <c r="DM1208" s="303">
        <f>IF(LEFT(BT1208,1)=" ",RIGHT(BT1208,LEN(BT1208)-1),BT1208)</f>
        <v/>
      </c>
      <c r="DN1208" s="138">
        <f>_xlfn.CONCAT(BS1208,DM1208,BU1208,BV1208)</f>
        <v/>
      </c>
      <c r="DO1208" s="307" t="inlineStr">
        <is>
          <t>https://images.evo.com/imgp/250/198260/792330/clone.jpg</t>
        </is>
      </c>
    </row>
    <row r="1209" ht="15.6" customHeight="1" s="184">
      <c r="B1209" s="303">
        <f t="array" ref="B1209">IF(OR(ISERROR(K1209:P1209)),FALSE,TRUE)</f>
        <v/>
      </c>
      <c r="C1209" s="60">
        <f>OR(BR1209=Driver!$G$50,Data!BR186=Driver!$H$50)</f>
        <v/>
      </c>
      <c r="D1209" s="60">
        <f>OR(BV1209=Driver!$G$51,BV1209=Driver!$H$51)</f>
        <v/>
      </c>
      <c r="E1209" s="60">
        <f>AND(BX1209&gt;Driver!$F$54,BX1209&lt;Driver!$G$54)</f>
        <v/>
      </c>
      <c r="F1209" s="60">
        <f>CL1209&gt;Driver!$F$56</f>
        <v/>
      </c>
      <c r="G1209" s="60">
        <f>AND(CB1209&gt;Driver!$F$55,CB1209&lt;Driver!$G$55)</f>
        <v/>
      </c>
      <c r="H1209" s="60">
        <f>AND(B1209:G1209)</f>
        <v/>
      </c>
      <c r="I1209" s="60">
        <f>COUNTIFS($H$9:$H$1273,TRUE,$BT$9:$BT$1273,BT1209)</f>
        <v/>
      </c>
      <c r="J1209" s="60">
        <f t="array" ref="J1209">NOT(OR(($H$9:$H$1273=TRUE)*($I$9:$I$1273&gt;0)*($BT$9:$BT$1273=BT1209)*($K$9:$K$1273&gt;K1209)))</f>
        <v/>
      </c>
      <c r="K1209" s="108">
        <f>IFERROR(1-AVERAGE(X1209:Y1209),"")</f>
        <v/>
      </c>
      <c r="L1209" s="108">
        <f>1-X1209</f>
        <v/>
      </c>
      <c r="M1209" s="108">
        <f>1-Y1209</f>
        <v/>
      </c>
      <c r="N1209" s="108">
        <f>1-Z1209</f>
        <v/>
      </c>
      <c r="O1209" s="108">
        <f>1-AA1209</f>
        <v/>
      </c>
      <c r="P1209" s="108">
        <f>1-AB1209</f>
        <v/>
      </c>
      <c r="Q1209" s="108" t="n"/>
      <c r="R1209" s="108" t="n"/>
      <c r="S1209" s="108">
        <f>1-AE1209</f>
        <v/>
      </c>
      <c r="T1209" s="108">
        <f>1-AF1209</f>
        <v/>
      </c>
      <c r="U1209" s="108">
        <f>1-AG1209</f>
        <v/>
      </c>
      <c r="V1209" s="108">
        <f>1-AH1209</f>
        <v/>
      </c>
      <c r="W1209" s="108">
        <f>1-AI1209</f>
        <v/>
      </c>
      <c r="X1209" s="108">
        <f>ABS(AJ1209-AJ$1)</f>
        <v/>
      </c>
      <c r="Y1209" s="108">
        <f>AVERAGE(Z1209:AB1209)</f>
        <v/>
      </c>
      <c r="Z1209" s="108">
        <f>ABS(AL1209-AL$1)</f>
        <v/>
      </c>
      <c r="AA1209" s="108">
        <f>ABS(AM1209-AM$1)</f>
        <v/>
      </c>
      <c r="AB1209" s="108">
        <f>ABS(AN1209-AN$1)</f>
        <v/>
      </c>
      <c r="AC1209" s="108" t="n"/>
      <c r="AD1209" s="108" t="n"/>
      <c r="AE1209" s="108">
        <f>ABS(AQ$1-AQ1209)</f>
        <v/>
      </c>
      <c r="AF1209" s="108">
        <f>ABS(AR$1-AR1209)</f>
        <v/>
      </c>
      <c r="AG1209" s="108">
        <f>ABS(AS$1-AS1209)</f>
        <v/>
      </c>
      <c r="AH1209" s="108">
        <f>ABS(AT$1-AT1209)</f>
        <v/>
      </c>
      <c r="AI1209" s="108">
        <f>ABS(AU$1-AU1209)</f>
        <v/>
      </c>
      <c r="AJ1209" s="108">
        <f>(AV1209-Driver!$K$179)/(Driver!$L$179-Driver!$K$179)</f>
        <v/>
      </c>
      <c r="AK1209" s="108">
        <f>(AW1209-Driver!$K$180)/(Driver!$L$180-Driver!$K$180)</f>
        <v/>
      </c>
      <c r="AL1209" s="108">
        <f>(AX1209-Driver!$K$181)/(Driver!$L$181-Driver!$K$181)</f>
        <v/>
      </c>
      <c r="AM1209" s="108">
        <f>(AY1209-Driver!$K$182)/(Driver!$L$182-Driver!$K$182)</f>
        <v/>
      </c>
      <c r="AN1209" s="108">
        <f>(AZ1209-Driver!$K$183)/(Driver!$L$183-Driver!$K$183)</f>
        <v/>
      </c>
      <c r="AO1209" s="108" t="n"/>
      <c r="AP1209" s="108" t="n"/>
      <c r="AQ1209" s="108">
        <f>(BC1209-Driver!$K$188)/(Driver!$L$188-Driver!$K$188)</f>
        <v/>
      </c>
      <c r="AR1209" s="108">
        <f>MIN((BD1209-Driver!$K$189)/(Driver!$L$189-Driver!$K$189),100%)</f>
        <v/>
      </c>
      <c r="AS1209" s="108">
        <f>(BE1209-Driver!$K$190)/(Driver!$L$190-Driver!$K$190)</f>
        <v/>
      </c>
      <c r="AT1209" s="108">
        <f>(BF1209-Driver!$K$191)/(Driver!$L$191-Driver!$K$191)</f>
        <v/>
      </c>
      <c r="AU1209" s="108">
        <f>(BG1209-Driver!$K$192)/(Driver!$L$192-Driver!$K$192)</f>
        <v/>
      </c>
      <c r="AV1209" s="105">
        <f>IFERROR(BM1209*BJ1209^1/4,"")</f>
        <v/>
      </c>
      <c r="AW1209" s="105">
        <f>IFERROR(SUM(AX1209:AZ1209),"")</f>
        <v/>
      </c>
      <c r="AX1209" s="105">
        <f>IFERROR(BH1209,"")</f>
        <v/>
      </c>
      <c r="AY1209" s="105">
        <f>IFERROR(Driver!$K$19/Data!BH1209/Data!BI1209*Data!BK1209*Data!BL1209,"")</f>
        <v/>
      </c>
      <c r="AZ1209" s="105">
        <f>IFERROR(BI1209*BN1209,"")</f>
        <v/>
      </c>
      <c r="BA1209" s="105" t="n"/>
      <c r="BB1209" s="105" t="n"/>
      <c r="BC1209" s="105">
        <f>IFERROR(BI1209*BN1209*BK1209/BJ1209^(1/2),"")</f>
        <v/>
      </c>
      <c r="BD1209" s="105">
        <f>IFERROR(BH1209*BM1209*BL1209/BJ1209/BK1209,"")</f>
        <v/>
      </c>
      <c r="BE1209" s="105">
        <f>IFERROR(MIN(BI1209/BQ1209/BP1209/BO1209/BH1209,$BE$1),"")</f>
        <v/>
      </c>
      <c r="BF1209" s="105">
        <f>IFERROR(BJ1209*BO1209*BP1209/BK1209,"")</f>
        <v/>
      </c>
      <c r="BG1209" s="105">
        <f>IFERROR(1/BM1209/BH1209*BQ1209,"")</f>
        <v/>
      </c>
      <c r="BH1209" s="102">
        <f>MAX((CE1209-Driver!$F$200)/(Driver!$G$200-Driver!$F$200)*$BI$1,1)</f>
        <v/>
      </c>
      <c r="BI1209" s="102">
        <f>MAX($BI$1*(BY1209-Driver!$F$201)/(Driver!$G$201-Driver!$F$201),1)</f>
        <v/>
      </c>
      <c r="BJ1209" s="102">
        <f>(CB1209-Driver!$F$206)/(Driver!$G$206-Driver!$F$206)*$BI$1</f>
        <v/>
      </c>
      <c r="BK1209" s="102">
        <f>(CD1209-Driver!$F$203)/(Driver!$G$203-Driver!$F$203)*$BI$1</f>
        <v/>
      </c>
      <c r="BL1209" s="102">
        <f>MAX((CR1209-Driver!$F$202)/(Driver!$G$202-Driver!$F$202)*$BI$1,1)</f>
        <v/>
      </c>
      <c r="BM1209" s="102">
        <f>MAX((CH1209-Driver!$F$204)/(Driver!$G$204-Driver!$F$204)*$BI$1,1)</f>
        <v/>
      </c>
      <c r="BN1209" s="102">
        <f>(CI1209-Driver!$F$205)/(Driver!$G$205-Driver!$F$205)*$BI$1</f>
        <v/>
      </c>
      <c r="BO1209" s="102">
        <f>(CK1209-Driver!$F$207)/(Driver!$G$207-Driver!$F$207)*$BI$1</f>
        <v/>
      </c>
      <c r="BP1209" s="102">
        <f>(CM1209-Driver!$F$208)/(Driver!$G$208-Driver!$F$208)*$BI$1</f>
        <v/>
      </c>
      <c r="BQ1209" s="102">
        <f>(CL1209-Driver!$F$209)/(Driver!$G$209-Driver!$F$209)*$BI$1</f>
        <v/>
      </c>
      <c r="BR1209" s="40" t="inlineStr">
        <is>
          <t>21/22</t>
        </is>
      </c>
      <c r="BS1209" s="10" t="inlineStr">
        <is>
          <t xml:space="preserve"> Atomic</t>
        </is>
      </c>
      <c r="BT1209" s="11" t="inlineStr">
        <is>
          <t>Redster X9 WB Revo</t>
        </is>
      </c>
      <c r="BU1209" s="13" t="n">
        <v>168</v>
      </c>
      <c r="BV1209" s="11" t="inlineStr">
        <is>
          <t xml:space="preserve"> Unisex</t>
        </is>
      </c>
      <c r="BW1209" s="13" t="n">
        <v>168</v>
      </c>
      <c r="BX1209" s="13" t="n">
        <v>167.4</v>
      </c>
      <c r="BY1209" s="13" t="n">
        <v>147</v>
      </c>
      <c r="BZ1209" s="13" t="n">
        <v>153</v>
      </c>
      <c r="CA1209" s="13" t="n">
        <v>124</v>
      </c>
      <c r="CB1209" s="13" t="n">
        <v>74</v>
      </c>
      <c r="CC1209" s="13" t="n">
        <v>108</v>
      </c>
      <c r="CD1209" s="13" t="n">
        <v>13.7</v>
      </c>
      <c r="CE1209" s="13" t="n">
        <v>2155</v>
      </c>
      <c r="CF1209" s="13" t="n">
        <v>0.7</v>
      </c>
      <c r="CG1209" s="13" t="n">
        <v>1505</v>
      </c>
      <c r="CH1209" s="13" t="n">
        <v>232</v>
      </c>
      <c r="CI1209" s="13" t="n">
        <v>139</v>
      </c>
      <c r="CJ1209" s="13" t="n">
        <v>37</v>
      </c>
      <c r="CK1209" s="13" t="n">
        <v>142</v>
      </c>
      <c r="CL1209" s="13" t="n">
        <v>5</v>
      </c>
      <c r="CM1209" s="13" t="n">
        <v>62</v>
      </c>
      <c r="CN1209" s="13" t="n">
        <v>0.149</v>
      </c>
      <c r="CO1209" s="13" t="n">
        <v>84</v>
      </c>
      <c r="CP1209" s="13" t="n">
        <v>55</v>
      </c>
      <c r="CQ1209" s="13" t="n">
        <v>58</v>
      </c>
      <c r="CR1209" s="13" t="n">
        <v>5</v>
      </c>
      <c r="CS1209" s="13" t="n">
        <v>12.8</v>
      </c>
      <c r="CT1209" s="11" t="inlineStr">
        <is>
          <t xml:space="preserve"> On-Piste Carving</t>
        </is>
      </c>
      <c r="CU1209" s="13" t="n"/>
      <c r="CV1209" s="13" t="n"/>
      <c r="CW1209" s="13" t="n"/>
      <c r="CX1209">
        <f>INDEX('Data_Price '!AG$2:AG$1266,MATCH(Data!$DN1209,'Data_Price '!$AT$2:$AT$1266,0))</f>
        <v/>
      </c>
      <c r="CY1209">
        <f>INDEX('Data_Price '!AH$2:AH$1266,MATCH(Data!$DN1209,'Data_Price '!$AT$2:$AT$1266,0))</f>
        <v/>
      </c>
      <c r="CZ1209">
        <f>INDEX('Data_Price '!AI$2:AI$1266,MATCH(Data!$DN1209,'Data_Price '!$AT$2:$AT$1266,0))</f>
        <v/>
      </c>
      <c r="DA1209">
        <f>INDEX('Data_Price '!AJ$2:AJ$1266,MATCH(Data!$DN1209,'Data_Price '!$AT$2:$AT$1266,0))</f>
        <v/>
      </c>
      <c r="DB1209">
        <f>INDEX('Data_Price '!AK$2:AK$1266,MATCH(Data!$DN1209,'Data_Price '!$AT$2:$AT$1266,0))</f>
        <v/>
      </c>
      <c r="DC1209">
        <f>INDEX('Data_Price '!AL$2:AL$1266,MATCH(Data!$DN1209,'Data_Price '!$AT$2:$AT$1266,0))</f>
        <v/>
      </c>
      <c r="DD1209">
        <f>INDEX('Data_Price '!AM$2:AM$1266,MATCH(Data!$DN1209,'Data_Price '!$AT$2:$AT$1266,0))</f>
        <v/>
      </c>
      <c r="DE1209">
        <f>INDEX('Data_Price '!AN$2:AN$1266,MATCH(Data!$DN1209,'Data_Price '!$AT$2:$AT$1266,0))</f>
        <v/>
      </c>
      <c r="DF1209">
        <f>INDEX('Data_Price '!AO$2:AO$1266,MATCH(Data!$DN1209,'Data_Price '!$AT$2:$AT$1266,0))</f>
        <v/>
      </c>
      <c r="DG1209">
        <f>INDEX('Data_Price '!AP$2:AP$1266,MATCH(Data!$DN1209,'Data_Price '!$AT$2:$AT$1266,0))</f>
        <v/>
      </c>
      <c r="DH1209">
        <f>INDEX('Data_Price '!AQ$2:AQ$1266,MATCH(Data!$DN1209,'Data_Price '!$AT$2:$AT$1266,0))</f>
        <v/>
      </c>
      <c r="DI1209">
        <f>INDEX('Data_Price '!AR$2:AR$1266,MATCH(Data!$DN1209,'Data_Price '!$AT$2:$AT$1266,0))</f>
        <v/>
      </c>
      <c r="DJ1209" s="138">
        <f>DA1209</f>
        <v/>
      </c>
      <c r="DK1209" s="138">
        <f>DE1209</f>
        <v/>
      </c>
      <c r="DL1209" s="138">
        <f>DI1209</f>
        <v/>
      </c>
      <c r="DM1209" s="303">
        <f>IF(LEFT(BT1209,1)=" ",RIGHT(BT1209,LEN(BT1209)-1),BT1209)</f>
        <v/>
      </c>
      <c r="DN1209" s="138">
        <f>_xlfn.CONCAT(BS1209,DM1209,BU1209,BV1209)</f>
        <v/>
      </c>
      <c r="DO1209" s="307" t="inlineStr">
        <is>
          <t>https://images.evo.com/imgp/250/197809/826883/atomic-redster-x9-wb-revo-skis-x-12-gw-bindings-2022-.jpg</t>
        </is>
      </c>
    </row>
    <row r="1210" ht="15.6" customHeight="1" s="184">
      <c r="B1210" s="303">
        <f t="array" ref="B1210">IF(OR(ISERROR(K1210:P1210)),FALSE,TRUE)</f>
        <v/>
      </c>
      <c r="C1210" s="60">
        <f>OR(BR1210=Driver!$G$50,Data!BR1125=Driver!$H$50)</f>
        <v/>
      </c>
      <c r="D1210" s="60">
        <f>OR(BV1210=Driver!$G$51,BV1210=Driver!$H$51)</f>
        <v/>
      </c>
      <c r="E1210" s="60">
        <f>AND(BX1210&gt;Driver!$F$54,BX1210&lt;Driver!$G$54)</f>
        <v/>
      </c>
      <c r="F1210" s="60">
        <f>CL1210&gt;Driver!$F$56</f>
        <v/>
      </c>
      <c r="G1210" s="60">
        <f>AND(CB1210&gt;Driver!$F$55,CB1210&lt;Driver!$G$55)</f>
        <v/>
      </c>
      <c r="H1210" s="60">
        <f>AND(B1210:G1210)</f>
        <v/>
      </c>
      <c r="I1210" s="60">
        <f>COUNTIFS($H$9:$H$1273,TRUE,$BT$9:$BT$1273,BT1210)</f>
        <v/>
      </c>
      <c r="J1210" s="60">
        <f t="array" ref="J1210">NOT(OR(($H$9:$H$1273=TRUE)*($I$9:$I$1273&gt;0)*($BT$9:$BT$1273=BT1210)*($K$9:$K$1273&gt;K1210)))</f>
        <v/>
      </c>
      <c r="K1210" s="108">
        <f>IFERROR(1-AVERAGE(X1210:Y1210),"")</f>
        <v/>
      </c>
      <c r="L1210" s="108">
        <f>1-X1210</f>
        <v/>
      </c>
      <c r="M1210" s="108">
        <f>1-Y1210</f>
        <v/>
      </c>
      <c r="N1210" s="108">
        <f>1-Z1210</f>
        <v/>
      </c>
      <c r="O1210" s="108">
        <f>1-AA1210</f>
        <v/>
      </c>
      <c r="P1210" s="108">
        <f>1-AB1210</f>
        <v/>
      </c>
      <c r="Q1210" s="108" t="n"/>
      <c r="R1210" s="108" t="n"/>
      <c r="S1210" s="108">
        <f>1-AE1210</f>
        <v/>
      </c>
      <c r="T1210" s="108">
        <f>1-AF1210</f>
        <v/>
      </c>
      <c r="U1210" s="108">
        <f>1-AG1210</f>
        <v/>
      </c>
      <c r="V1210" s="108">
        <f>1-AH1210</f>
        <v/>
      </c>
      <c r="W1210" s="108">
        <f>1-AI1210</f>
        <v/>
      </c>
      <c r="X1210" s="108">
        <f>ABS(AJ1210-AJ$1)</f>
        <v/>
      </c>
      <c r="Y1210" s="108">
        <f>AVERAGE(Z1210:AB1210)</f>
        <v/>
      </c>
      <c r="Z1210" s="108">
        <f>ABS(AL1210-AL$1)</f>
        <v/>
      </c>
      <c r="AA1210" s="108">
        <f>ABS(AM1210-AM$1)</f>
        <v/>
      </c>
      <c r="AB1210" s="108">
        <f>ABS(AN1210-AN$1)</f>
        <v/>
      </c>
      <c r="AC1210" s="108" t="n"/>
      <c r="AD1210" s="108" t="n"/>
      <c r="AE1210" s="108">
        <f>ABS(AQ$1-AQ1210)</f>
        <v/>
      </c>
      <c r="AF1210" s="108">
        <f>ABS(AR$1-AR1210)</f>
        <v/>
      </c>
      <c r="AG1210" s="108">
        <f>ABS(AS$1-AS1210)</f>
        <v/>
      </c>
      <c r="AH1210" s="108">
        <f>ABS(AT$1-AT1210)</f>
        <v/>
      </c>
      <c r="AI1210" s="108">
        <f>ABS(AU$1-AU1210)</f>
        <v/>
      </c>
      <c r="AJ1210" s="108">
        <f>(AV1210-Driver!$K$179)/(Driver!$L$179-Driver!$K$179)</f>
        <v/>
      </c>
      <c r="AK1210" s="108">
        <f>(AW1210-Driver!$K$180)/(Driver!$L$180-Driver!$K$180)</f>
        <v/>
      </c>
      <c r="AL1210" s="108">
        <f>(AX1210-Driver!$K$181)/(Driver!$L$181-Driver!$K$181)</f>
        <v/>
      </c>
      <c r="AM1210" s="108">
        <f>(AY1210-Driver!$K$182)/(Driver!$L$182-Driver!$K$182)</f>
        <v/>
      </c>
      <c r="AN1210" s="108">
        <f>(AZ1210-Driver!$K$183)/(Driver!$L$183-Driver!$K$183)</f>
        <v/>
      </c>
      <c r="AO1210" s="108" t="n"/>
      <c r="AP1210" s="108" t="n"/>
      <c r="AQ1210" s="108">
        <f>(BC1210-Driver!$K$188)/(Driver!$L$188-Driver!$K$188)</f>
        <v/>
      </c>
      <c r="AR1210" s="108">
        <f>MIN((BD1210-Driver!$K$189)/(Driver!$L$189-Driver!$K$189),100%)</f>
        <v/>
      </c>
      <c r="AS1210" s="108">
        <f>(BE1210-Driver!$K$190)/(Driver!$L$190-Driver!$K$190)</f>
        <v/>
      </c>
      <c r="AT1210" s="108">
        <f>(BF1210-Driver!$K$191)/(Driver!$L$191-Driver!$K$191)</f>
        <v/>
      </c>
      <c r="AU1210" s="108">
        <f>(BG1210-Driver!$K$192)/(Driver!$L$192-Driver!$K$192)</f>
        <v/>
      </c>
      <c r="AV1210" s="105">
        <f>IFERROR(BM1210*BJ1210^1/4,"")</f>
        <v/>
      </c>
      <c r="AW1210" s="105">
        <f>IFERROR(SUM(AX1210:AZ1210),"")</f>
        <v/>
      </c>
      <c r="AX1210" s="105">
        <f>IFERROR(BH1210,"")</f>
        <v/>
      </c>
      <c r="AY1210" s="105">
        <f>IFERROR(Driver!$K$19/Data!BH1210/Data!BI1210*Data!BK1210*Data!BL1210,"")</f>
        <v/>
      </c>
      <c r="AZ1210" s="105">
        <f>IFERROR(BI1210*BN1210,"")</f>
        <v/>
      </c>
      <c r="BA1210" s="105" t="n"/>
      <c r="BB1210" s="105" t="n"/>
      <c r="BC1210" s="105">
        <f>IFERROR(BI1210*BN1210*BK1210/BJ1210^(1/2),"")</f>
        <v/>
      </c>
      <c r="BD1210" s="105">
        <f>IFERROR(BH1210*BM1210*BL1210/BJ1210/BK1210,"")</f>
        <v/>
      </c>
      <c r="BE1210" s="105">
        <f>IFERROR(MIN(BI1210/BQ1210/BP1210/BO1210/BH1210,$BE$1),"")</f>
        <v/>
      </c>
      <c r="BF1210" s="105">
        <f>IFERROR(BJ1210*BO1210*BP1210/BK1210,"")</f>
        <v/>
      </c>
      <c r="BG1210" s="105">
        <f>IFERROR(1/BM1210/BH1210*BQ1210,"")</f>
        <v/>
      </c>
      <c r="BH1210" s="102">
        <f>MAX((CE1210-Driver!$F$200)/(Driver!$G$200-Driver!$F$200)*$BI$1,1)</f>
        <v/>
      </c>
      <c r="BI1210" s="102">
        <f>MAX($BI$1*(BY1210-Driver!$F$201)/(Driver!$G$201-Driver!$F$201),1)</f>
        <v/>
      </c>
      <c r="BJ1210" s="102">
        <f>(CB1210-Driver!$F$206)/(Driver!$G$206-Driver!$F$206)*$BI$1</f>
        <v/>
      </c>
      <c r="BK1210" s="102">
        <f>(CD1210-Driver!$F$203)/(Driver!$G$203-Driver!$F$203)*$BI$1</f>
        <v/>
      </c>
      <c r="BL1210" s="102">
        <f>MAX((CR1210-Driver!$F$202)/(Driver!$G$202-Driver!$F$202)*$BI$1,1)</f>
        <v/>
      </c>
      <c r="BM1210" s="102">
        <f>MAX((CH1210-Driver!$F$204)/(Driver!$G$204-Driver!$F$204)*$BI$1,1)</f>
        <v/>
      </c>
      <c r="BN1210" s="102">
        <f>(CI1210-Driver!$F$205)/(Driver!$G$205-Driver!$F$205)*$BI$1</f>
        <v/>
      </c>
      <c r="BO1210" s="102">
        <f>(CK1210-Driver!$F$207)/(Driver!$G$207-Driver!$F$207)*$BI$1</f>
        <v/>
      </c>
      <c r="BP1210" s="102">
        <f>(CM1210-Driver!$F$208)/(Driver!$G$208-Driver!$F$208)*$BI$1</f>
        <v/>
      </c>
      <c r="BQ1210" s="102">
        <f>(CL1210-Driver!$F$209)/(Driver!$G$209-Driver!$F$209)*$BI$1</f>
        <v/>
      </c>
      <c r="BR1210" s="40" t="inlineStr">
        <is>
          <t>21/22</t>
        </is>
      </c>
      <c r="BS1210" s="10" t="inlineStr">
        <is>
          <t xml:space="preserve"> Scott</t>
        </is>
      </c>
      <c r="BT1210" s="11" t="inlineStr">
        <is>
          <t>Superguide 88 W</t>
        </is>
      </c>
      <c r="BU1210" s="13" t="n">
        <v>152</v>
      </c>
      <c r="BV1210" s="11" t="inlineStr">
        <is>
          <t xml:space="preserve"> Women's</t>
        </is>
      </c>
      <c r="BW1210" s="13" t="n">
        <v>152</v>
      </c>
      <c r="BX1210" s="13" t="n">
        <v>150.8</v>
      </c>
      <c r="BY1210" s="13" t="n">
        <v>111</v>
      </c>
      <c r="BZ1210" s="13" t="n">
        <v>133</v>
      </c>
      <c r="CA1210" s="13" t="n">
        <v>120</v>
      </c>
      <c r="CB1210" s="13" t="n">
        <v>82</v>
      </c>
      <c r="CC1210" s="13" t="n">
        <v>105</v>
      </c>
      <c r="CD1210" s="13" t="n">
        <v>14.6</v>
      </c>
      <c r="CE1210" s="13" t="n">
        <v>1093</v>
      </c>
      <c r="CF1210" s="13" t="n">
        <v>1.29</v>
      </c>
      <c r="CG1210" s="13" t="n">
        <v>1414</v>
      </c>
      <c r="CH1210" s="13" t="n">
        <v>145</v>
      </c>
      <c r="CI1210" s="13" t="n">
        <v>54</v>
      </c>
      <c r="CJ1210" s="13" t="n">
        <v>58</v>
      </c>
      <c r="CK1210" s="13" t="n">
        <v>286</v>
      </c>
      <c r="CL1210" s="13" t="n">
        <v>15</v>
      </c>
      <c r="CM1210" s="13" t="n">
        <v>107</v>
      </c>
      <c r="CN1210" s="13" t="n">
        <v>0.257</v>
      </c>
      <c r="CO1210" s="13" t="n">
        <v>104</v>
      </c>
      <c r="CP1210" s="13" t="n">
        <v>76</v>
      </c>
      <c r="CQ1210" s="13" t="n">
        <v>183</v>
      </c>
      <c r="CR1210" s="13" t="n">
        <v>5</v>
      </c>
      <c r="CS1210" s="13" t="n">
        <v>11</v>
      </c>
      <c r="CT1210" s="11" t="inlineStr">
        <is>
          <t xml:space="preserve"> Touring</t>
        </is>
      </c>
      <c r="CU1210" s="11" t="inlineStr">
        <is>
          <t xml:space="preserve"> Ultralight Touring</t>
        </is>
      </c>
      <c r="CV1210" s="13" t="n"/>
      <c r="CW1210" s="13" t="n"/>
      <c r="CX1210">
        <f>INDEX('Data_Price '!AG$2:AG$1266,MATCH(Data!$DN1210,'Data_Price '!$AT$2:$AT$1266,0))</f>
        <v/>
      </c>
      <c r="CY1210">
        <f>INDEX('Data_Price '!AH$2:AH$1266,MATCH(Data!$DN1210,'Data_Price '!$AT$2:$AT$1266,0))</f>
        <v/>
      </c>
      <c r="CZ1210">
        <f>INDEX('Data_Price '!AI$2:AI$1266,MATCH(Data!$DN1210,'Data_Price '!$AT$2:$AT$1266,0))</f>
        <v/>
      </c>
      <c r="DA1210">
        <f>INDEX('Data_Price '!AJ$2:AJ$1266,MATCH(Data!$DN1210,'Data_Price '!$AT$2:$AT$1266,0))</f>
        <v/>
      </c>
      <c r="DB1210">
        <f>INDEX('Data_Price '!AK$2:AK$1266,MATCH(Data!$DN1210,'Data_Price '!$AT$2:$AT$1266,0))</f>
        <v/>
      </c>
      <c r="DC1210">
        <f>INDEX('Data_Price '!AL$2:AL$1266,MATCH(Data!$DN1210,'Data_Price '!$AT$2:$AT$1266,0))</f>
        <v/>
      </c>
      <c r="DD1210">
        <f>INDEX('Data_Price '!AM$2:AM$1266,MATCH(Data!$DN1210,'Data_Price '!$AT$2:$AT$1266,0))</f>
        <v/>
      </c>
      <c r="DE1210">
        <f>INDEX('Data_Price '!AN$2:AN$1266,MATCH(Data!$DN1210,'Data_Price '!$AT$2:$AT$1266,0))</f>
        <v/>
      </c>
      <c r="DF1210">
        <f>INDEX('Data_Price '!AO$2:AO$1266,MATCH(Data!$DN1210,'Data_Price '!$AT$2:$AT$1266,0))</f>
        <v/>
      </c>
      <c r="DG1210">
        <f>INDEX('Data_Price '!AP$2:AP$1266,MATCH(Data!$DN1210,'Data_Price '!$AT$2:$AT$1266,0))</f>
        <v/>
      </c>
      <c r="DH1210">
        <f>INDEX('Data_Price '!AQ$2:AQ$1266,MATCH(Data!$DN1210,'Data_Price '!$AT$2:$AT$1266,0))</f>
        <v/>
      </c>
      <c r="DI1210">
        <f>INDEX('Data_Price '!AR$2:AR$1266,MATCH(Data!$DN1210,'Data_Price '!$AT$2:$AT$1266,0))</f>
        <v/>
      </c>
      <c r="DJ1210" s="138">
        <f>DA1210</f>
        <v/>
      </c>
      <c r="DK1210" s="138">
        <f>DE1210</f>
        <v/>
      </c>
      <c r="DL1210" s="138">
        <f>DI1210</f>
        <v/>
      </c>
      <c r="DM1210" s="303">
        <f>IF(LEFT(BT1210,1)=" ",RIGHT(BT1210,LEN(BT1210)-1),BT1210)</f>
        <v/>
      </c>
      <c r="DN1210" s="138">
        <f>_xlfn.CONCAT(BS1210,DM1210,BU1210,BV1210)</f>
        <v/>
      </c>
      <c r="DO1210" s="307" t="n"/>
    </row>
    <row r="1211" ht="15.6" customHeight="1" s="184">
      <c r="B1211" s="303">
        <f t="array" ref="B1211">IF(OR(ISERROR(K1211:P1211)),FALSE,TRUE)</f>
        <v/>
      </c>
      <c r="C1211" s="60">
        <f>OR(BR1211=Driver!$G$50,Data!BR66=Driver!$H$50)</f>
        <v/>
      </c>
      <c r="D1211" s="60">
        <f>OR(BV1211=Driver!$G$51,BV1211=Driver!$H$51)</f>
        <v/>
      </c>
      <c r="E1211" s="60">
        <f>AND(BX1211&gt;Driver!$F$54,BX1211&lt;Driver!$G$54)</f>
        <v/>
      </c>
      <c r="F1211" s="60">
        <f>CL1211&gt;Driver!$F$56</f>
        <v/>
      </c>
      <c r="G1211" s="60">
        <f>AND(CB1211&gt;Driver!$F$55,CB1211&lt;Driver!$G$55)</f>
        <v/>
      </c>
      <c r="H1211" s="60">
        <f>AND(B1211:G1211)</f>
        <v/>
      </c>
      <c r="I1211" s="60">
        <f>COUNTIFS($H$9:$H$1273,TRUE,$BT$9:$BT$1273,BT1211)</f>
        <v/>
      </c>
      <c r="J1211" s="60">
        <f t="array" ref="J1211">NOT(OR(($H$9:$H$1273=TRUE)*($I$9:$I$1273&gt;0)*($BT$9:$BT$1273=BT1211)*($K$9:$K$1273&gt;K1211)))</f>
        <v/>
      </c>
      <c r="K1211" s="108">
        <f>IFERROR(1-AVERAGE(X1211:Y1211),"")</f>
        <v/>
      </c>
      <c r="L1211" s="108">
        <f>1-X1211</f>
        <v/>
      </c>
      <c r="M1211" s="108">
        <f>1-Y1211</f>
        <v/>
      </c>
      <c r="N1211" s="108">
        <f>1-Z1211</f>
        <v/>
      </c>
      <c r="O1211" s="108">
        <f>1-AA1211</f>
        <v/>
      </c>
      <c r="P1211" s="108">
        <f>1-AB1211</f>
        <v/>
      </c>
      <c r="Q1211" s="108" t="n"/>
      <c r="R1211" s="108" t="n"/>
      <c r="S1211" s="108">
        <f>1-AE1211</f>
        <v/>
      </c>
      <c r="T1211" s="108">
        <f>1-AF1211</f>
        <v/>
      </c>
      <c r="U1211" s="108">
        <f>1-AG1211</f>
        <v/>
      </c>
      <c r="V1211" s="108">
        <f>1-AH1211</f>
        <v/>
      </c>
      <c r="W1211" s="108">
        <f>1-AI1211</f>
        <v/>
      </c>
      <c r="X1211" s="108">
        <f>ABS(AJ1211-AJ$1)</f>
        <v/>
      </c>
      <c r="Y1211" s="108">
        <f>AVERAGE(Z1211:AB1211)</f>
        <v/>
      </c>
      <c r="Z1211" s="108">
        <f>ABS(AL1211-AL$1)</f>
        <v/>
      </c>
      <c r="AA1211" s="108">
        <f>ABS(AM1211-AM$1)</f>
        <v/>
      </c>
      <c r="AB1211" s="108">
        <f>ABS(AN1211-AN$1)</f>
        <v/>
      </c>
      <c r="AC1211" s="108" t="n"/>
      <c r="AD1211" s="108" t="n"/>
      <c r="AE1211" s="108">
        <f>ABS(AQ$1-AQ1211)</f>
        <v/>
      </c>
      <c r="AF1211" s="108">
        <f>ABS(AR$1-AR1211)</f>
        <v/>
      </c>
      <c r="AG1211" s="108">
        <f>ABS(AS$1-AS1211)</f>
        <v/>
      </c>
      <c r="AH1211" s="108">
        <f>ABS(AT$1-AT1211)</f>
        <v/>
      </c>
      <c r="AI1211" s="108">
        <f>ABS(AU$1-AU1211)</f>
        <v/>
      </c>
      <c r="AJ1211" s="108">
        <f>(AV1211-Driver!$K$179)/(Driver!$L$179-Driver!$K$179)</f>
        <v/>
      </c>
      <c r="AK1211" s="108">
        <f>(AW1211-Driver!$K$180)/(Driver!$L$180-Driver!$K$180)</f>
        <v/>
      </c>
      <c r="AL1211" s="108">
        <f>(AX1211-Driver!$K$181)/(Driver!$L$181-Driver!$K$181)</f>
        <v/>
      </c>
      <c r="AM1211" s="108">
        <f>(AY1211-Driver!$K$182)/(Driver!$L$182-Driver!$K$182)</f>
        <v/>
      </c>
      <c r="AN1211" s="108">
        <f>(AZ1211-Driver!$K$183)/(Driver!$L$183-Driver!$K$183)</f>
        <v/>
      </c>
      <c r="AO1211" s="108" t="n"/>
      <c r="AP1211" s="108" t="n"/>
      <c r="AQ1211" s="108">
        <f>(BC1211-Driver!$K$188)/(Driver!$L$188-Driver!$K$188)</f>
        <v/>
      </c>
      <c r="AR1211" s="108">
        <f>MIN((BD1211-Driver!$K$189)/(Driver!$L$189-Driver!$K$189),100%)</f>
        <v/>
      </c>
      <c r="AS1211" s="108">
        <f>(BE1211-Driver!$K$190)/(Driver!$L$190-Driver!$K$190)</f>
        <v/>
      </c>
      <c r="AT1211" s="108">
        <f>(BF1211-Driver!$K$191)/(Driver!$L$191-Driver!$K$191)</f>
        <v/>
      </c>
      <c r="AU1211" s="108">
        <f>(BG1211-Driver!$K$192)/(Driver!$L$192-Driver!$K$192)</f>
        <v/>
      </c>
      <c r="AV1211" s="105">
        <f>IFERROR(BM1211*BJ1211^1/4,"")</f>
        <v/>
      </c>
      <c r="AW1211" s="105">
        <f>IFERROR(SUM(AX1211:AZ1211),"")</f>
        <v/>
      </c>
      <c r="AX1211" s="105">
        <f>IFERROR(BH1211,"")</f>
        <v/>
      </c>
      <c r="AY1211" s="105">
        <f>IFERROR(Driver!$K$19/Data!BH1211/Data!BI1211*Data!BK1211*Data!BL1211,"")</f>
        <v/>
      </c>
      <c r="AZ1211" s="105">
        <f>IFERROR(BI1211*BN1211,"")</f>
        <v/>
      </c>
      <c r="BA1211" s="105" t="n"/>
      <c r="BB1211" s="105" t="n"/>
      <c r="BC1211" s="105">
        <f>IFERROR(BI1211*BN1211*BK1211/BJ1211^(1/2),"")</f>
        <v/>
      </c>
      <c r="BD1211" s="105">
        <f>IFERROR(BH1211*BM1211*BL1211/BJ1211/BK1211,"")</f>
        <v/>
      </c>
      <c r="BE1211" s="105">
        <f>IFERROR(MIN(BI1211/BQ1211/BP1211/BO1211/BH1211,$BE$1),"")</f>
        <v/>
      </c>
      <c r="BF1211" s="105">
        <f>IFERROR(BJ1211*BO1211*BP1211/BK1211,"")</f>
        <v/>
      </c>
      <c r="BG1211" s="105">
        <f>IFERROR(1/BM1211/BH1211*BQ1211,"")</f>
        <v/>
      </c>
      <c r="BH1211" s="102">
        <f>MAX((CE1211-Driver!$F$200)/(Driver!$G$200-Driver!$F$200)*$BI$1,1)</f>
        <v/>
      </c>
      <c r="BI1211" s="102">
        <f>MAX($BI$1*(BY1211-Driver!$F$201)/(Driver!$G$201-Driver!$F$201),1)</f>
        <v/>
      </c>
      <c r="BJ1211" s="102">
        <f>(CB1211-Driver!$F$206)/(Driver!$G$206-Driver!$F$206)*$BI$1</f>
        <v/>
      </c>
      <c r="BK1211" s="102">
        <f>(CD1211-Driver!$F$203)/(Driver!$G$203-Driver!$F$203)*$BI$1</f>
        <v/>
      </c>
      <c r="BL1211" s="102">
        <f>MAX((CR1211-Driver!$F$202)/(Driver!$G$202-Driver!$F$202)*$BI$1,1)</f>
        <v/>
      </c>
      <c r="BM1211" s="102">
        <f>MAX((CH1211-Driver!$F$204)/(Driver!$G$204-Driver!$F$204)*$BI$1,1)</f>
        <v/>
      </c>
      <c r="BN1211" s="102">
        <f>(CI1211-Driver!$F$205)/(Driver!$G$205-Driver!$F$205)*$BI$1</f>
        <v/>
      </c>
      <c r="BO1211" s="102">
        <f>(CK1211-Driver!$F$207)/(Driver!$G$207-Driver!$F$207)*$BI$1</f>
        <v/>
      </c>
      <c r="BP1211" s="102">
        <f>(CM1211-Driver!$F$208)/(Driver!$G$208-Driver!$F$208)*$BI$1</f>
        <v/>
      </c>
      <c r="BQ1211" s="102">
        <f>(CL1211-Driver!$F$209)/(Driver!$G$209-Driver!$F$209)*$BI$1</f>
        <v/>
      </c>
      <c r="BR1211" s="40" t="inlineStr">
        <is>
          <t>21/22</t>
        </is>
      </c>
      <c r="BS1211" s="10" t="inlineStr">
        <is>
          <t xml:space="preserve"> Armada</t>
        </is>
      </c>
      <c r="BT1211" s="11" t="inlineStr">
        <is>
          <t>Declivity 108 Ti</t>
        </is>
      </c>
      <c r="BU1211" s="13" t="n">
        <v>190</v>
      </c>
      <c r="BV1211" s="11" t="inlineStr">
        <is>
          <t xml:space="preserve"> Unisex</t>
        </is>
      </c>
      <c r="BW1211" s="13" t="n">
        <v>190</v>
      </c>
      <c r="BX1211" s="13" t="n">
        <v>189.5</v>
      </c>
      <c r="BY1211" s="13" t="n">
        <v>130</v>
      </c>
      <c r="BZ1211" s="13" t="n">
        <v>150</v>
      </c>
      <c r="CA1211" s="13" t="n">
        <v>135</v>
      </c>
      <c r="CB1211" s="13" t="n">
        <v>107</v>
      </c>
      <c r="CC1211" s="13" t="n">
        <v>126</v>
      </c>
      <c r="CD1211" s="13" t="n">
        <v>22.6</v>
      </c>
      <c r="CE1211" s="13" t="n">
        <v>1894</v>
      </c>
      <c r="CF1211" s="13" t="n">
        <v>1.16</v>
      </c>
      <c r="CG1211" s="13" t="n">
        <v>2205</v>
      </c>
      <c r="CH1211" s="13" t="n">
        <v>272</v>
      </c>
      <c r="CI1211" s="13" t="n">
        <v>164</v>
      </c>
      <c r="CJ1211" s="13" t="n">
        <v>61</v>
      </c>
      <c r="CK1211" s="13" t="n">
        <v>381</v>
      </c>
      <c r="CL1211" s="13" t="n">
        <v>29</v>
      </c>
      <c r="CM1211" s="13" t="n">
        <v>210</v>
      </c>
      <c r="CN1211" s="13" t="n">
        <v>0.47</v>
      </c>
      <c r="CO1211" s="13" t="n">
        <v>245</v>
      </c>
      <c r="CP1211" s="13" t="n">
        <v>145</v>
      </c>
      <c r="CQ1211" s="13" t="n">
        <v>136</v>
      </c>
      <c r="CR1211" s="13" t="n">
        <v>7</v>
      </c>
      <c r="CS1211" s="13" t="n">
        <v>9.300000000000001</v>
      </c>
      <c r="CT1211" s="11" t="inlineStr">
        <is>
          <t xml:space="preserve"> Powder</t>
        </is>
      </c>
      <c r="CU1211" s="11" t="inlineStr">
        <is>
          <t xml:space="preserve"> Touring</t>
        </is>
      </c>
      <c r="CV1211" s="13" t="n"/>
      <c r="CW1211" s="13" t="n"/>
      <c r="CX1211">
        <f>INDEX('Data_Price '!AG$2:AG$1266,MATCH(Data!$DN1211,'Data_Price '!$AT$2:$AT$1266,0))</f>
        <v/>
      </c>
      <c r="CY1211">
        <f>INDEX('Data_Price '!AH$2:AH$1266,MATCH(Data!$DN1211,'Data_Price '!$AT$2:$AT$1266,0))</f>
        <v/>
      </c>
      <c r="CZ1211">
        <f>INDEX('Data_Price '!AI$2:AI$1266,MATCH(Data!$DN1211,'Data_Price '!$AT$2:$AT$1266,0))</f>
        <v/>
      </c>
      <c r="DA1211">
        <f>INDEX('Data_Price '!AJ$2:AJ$1266,MATCH(Data!$DN1211,'Data_Price '!$AT$2:$AT$1266,0))</f>
        <v/>
      </c>
      <c r="DB1211">
        <f>INDEX('Data_Price '!AK$2:AK$1266,MATCH(Data!$DN1211,'Data_Price '!$AT$2:$AT$1266,0))</f>
        <v/>
      </c>
      <c r="DC1211">
        <f>INDEX('Data_Price '!AL$2:AL$1266,MATCH(Data!$DN1211,'Data_Price '!$AT$2:$AT$1266,0))</f>
        <v/>
      </c>
      <c r="DD1211">
        <f>INDEX('Data_Price '!AM$2:AM$1266,MATCH(Data!$DN1211,'Data_Price '!$AT$2:$AT$1266,0))</f>
        <v/>
      </c>
      <c r="DE1211">
        <f>INDEX('Data_Price '!AN$2:AN$1266,MATCH(Data!$DN1211,'Data_Price '!$AT$2:$AT$1266,0))</f>
        <v/>
      </c>
      <c r="DF1211">
        <f>INDEX('Data_Price '!AO$2:AO$1266,MATCH(Data!$DN1211,'Data_Price '!$AT$2:$AT$1266,0))</f>
        <v/>
      </c>
      <c r="DG1211">
        <f>INDEX('Data_Price '!AP$2:AP$1266,MATCH(Data!$DN1211,'Data_Price '!$AT$2:$AT$1266,0))</f>
        <v/>
      </c>
      <c r="DH1211">
        <f>INDEX('Data_Price '!AQ$2:AQ$1266,MATCH(Data!$DN1211,'Data_Price '!$AT$2:$AT$1266,0))</f>
        <v/>
      </c>
      <c r="DI1211">
        <f>INDEX('Data_Price '!AR$2:AR$1266,MATCH(Data!$DN1211,'Data_Price '!$AT$2:$AT$1266,0))</f>
        <v/>
      </c>
      <c r="DJ1211" s="138">
        <f>DA1211</f>
        <v/>
      </c>
      <c r="DK1211" s="138">
        <f>DE1211</f>
        <v/>
      </c>
      <c r="DL1211" s="138">
        <f>DI1211</f>
        <v/>
      </c>
      <c r="DM1211" s="303">
        <f>IF(LEFT(BT1211,1)=" ",RIGHT(BT1211,LEN(BT1211)-1),BT1211)</f>
        <v/>
      </c>
      <c r="DN1211" s="138">
        <f>_xlfn.CONCAT(BS1211,DM1211,BU1211,BV1211)</f>
        <v/>
      </c>
      <c r="DO1211" s="307" t="inlineStr">
        <is>
          <t>https://images.evo.com/imgp/250/198707/839677/clone.jpg</t>
        </is>
      </c>
    </row>
    <row r="1212" ht="15.6" customHeight="1" s="184">
      <c r="B1212" s="303">
        <f t="array" ref="B1212">IF(OR(ISERROR(K1212:P1212)),FALSE,TRUE)</f>
        <v/>
      </c>
      <c r="C1212" s="60">
        <f>OR(BR1212=Driver!$G$50,Data!BR1228=Driver!$H$50)</f>
        <v/>
      </c>
      <c r="D1212" s="60">
        <f>OR(BV1212=Driver!$G$51,BV1212=Driver!$H$51)</f>
        <v/>
      </c>
      <c r="E1212" s="60">
        <f>AND(BX1212&gt;Driver!$F$54,BX1212&lt;Driver!$G$54)</f>
        <v/>
      </c>
      <c r="F1212" s="60">
        <f>CL1212&gt;Driver!$F$56</f>
        <v/>
      </c>
      <c r="G1212" s="60">
        <f>AND(CB1212&gt;Driver!$F$55,CB1212&lt;Driver!$G$55)</f>
        <v/>
      </c>
      <c r="H1212" s="60">
        <f>AND(B1212:G1212)</f>
        <v/>
      </c>
      <c r="I1212" s="60">
        <f>COUNTIFS($H$9:$H$1273,TRUE,$BT$9:$BT$1273,BT1212)</f>
        <v/>
      </c>
      <c r="J1212" s="60">
        <f t="array" ref="J1212">NOT(OR(($H$9:$H$1273=TRUE)*($I$9:$I$1273&gt;0)*($BT$9:$BT$1273=BT1212)*($K$9:$K$1273&gt;K1212)))</f>
        <v/>
      </c>
      <c r="K1212" s="108">
        <f>IFERROR(1-AVERAGE(X1212:Y1212),"")</f>
        <v/>
      </c>
      <c r="L1212" s="108">
        <f>1-X1212</f>
        <v/>
      </c>
      <c r="M1212" s="108">
        <f>1-Y1212</f>
        <v/>
      </c>
      <c r="N1212" s="108">
        <f>1-Z1212</f>
        <v/>
      </c>
      <c r="O1212" s="108">
        <f>1-AA1212</f>
        <v/>
      </c>
      <c r="P1212" s="108">
        <f>1-AB1212</f>
        <v/>
      </c>
      <c r="Q1212" s="108" t="n"/>
      <c r="R1212" s="108" t="n"/>
      <c r="S1212" s="108">
        <f>1-AE1212</f>
        <v/>
      </c>
      <c r="T1212" s="108">
        <f>1-AF1212</f>
        <v/>
      </c>
      <c r="U1212" s="108">
        <f>1-AG1212</f>
        <v/>
      </c>
      <c r="V1212" s="108">
        <f>1-AH1212</f>
        <v/>
      </c>
      <c r="W1212" s="108">
        <f>1-AI1212</f>
        <v/>
      </c>
      <c r="X1212" s="108">
        <f>ABS(AJ1212-AJ$1)</f>
        <v/>
      </c>
      <c r="Y1212" s="108">
        <f>AVERAGE(Z1212:AB1212)</f>
        <v/>
      </c>
      <c r="Z1212" s="108">
        <f>ABS(AL1212-AL$1)</f>
        <v/>
      </c>
      <c r="AA1212" s="108">
        <f>ABS(AM1212-AM$1)</f>
        <v/>
      </c>
      <c r="AB1212" s="108">
        <f>ABS(AN1212-AN$1)</f>
        <v/>
      </c>
      <c r="AC1212" s="108" t="n"/>
      <c r="AD1212" s="108" t="n"/>
      <c r="AE1212" s="108">
        <f>ABS(AQ$1-AQ1212)</f>
        <v/>
      </c>
      <c r="AF1212" s="108">
        <f>ABS(AR$1-AR1212)</f>
        <v/>
      </c>
      <c r="AG1212" s="108">
        <f>ABS(AS$1-AS1212)</f>
        <v/>
      </c>
      <c r="AH1212" s="108">
        <f>ABS(AT$1-AT1212)</f>
        <v/>
      </c>
      <c r="AI1212" s="108">
        <f>ABS(AU$1-AU1212)</f>
        <v/>
      </c>
      <c r="AJ1212" s="108">
        <f>(AV1212-Driver!$K$179)/(Driver!$L$179-Driver!$K$179)</f>
        <v/>
      </c>
      <c r="AK1212" s="108">
        <f>(AW1212-Driver!$K$180)/(Driver!$L$180-Driver!$K$180)</f>
        <v/>
      </c>
      <c r="AL1212" s="108">
        <f>(AX1212-Driver!$K$181)/(Driver!$L$181-Driver!$K$181)</f>
        <v/>
      </c>
      <c r="AM1212" s="108">
        <f>(AY1212-Driver!$K$182)/(Driver!$L$182-Driver!$K$182)</f>
        <v/>
      </c>
      <c r="AN1212" s="108">
        <f>(AZ1212-Driver!$K$183)/(Driver!$L$183-Driver!$K$183)</f>
        <v/>
      </c>
      <c r="AO1212" s="108" t="n"/>
      <c r="AP1212" s="108" t="n"/>
      <c r="AQ1212" s="108">
        <f>(BC1212-Driver!$K$188)/(Driver!$L$188-Driver!$K$188)</f>
        <v/>
      </c>
      <c r="AR1212" s="108">
        <f>MIN((BD1212-Driver!$K$189)/(Driver!$L$189-Driver!$K$189),100%)</f>
        <v/>
      </c>
      <c r="AS1212" s="108">
        <f>(BE1212-Driver!$K$190)/(Driver!$L$190-Driver!$K$190)</f>
        <v/>
      </c>
      <c r="AT1212" s="108">
        <f>(BF1212-Driver!$K$191)/(Driver!$L$191-Driver!$K$191)</f>
        <v/>
      </c>
      <c r="AU1212" s="108">
        <f>(BG1212-Driver!$K$192)/(Driver!$L$192-Driver!$K$192)</f>
        <v/>
      </c>
      <c r="AV1212" s="105">
        <f>IFERROR(BM1212*BJ1212^1/4,"")</f>
        <v/>
      </c>
      <c r="AW1212" s="105">
        <f>IFERROR(SUM(AX1212:AZ1212),"")</f>
        <v/>
      </c>
      <c r="AX1212" s="105">
        <f>IFERROR(BH1212,"")</f>
        <v/>
      </c>
      <c r="AY1212" s="105">
        <f>IFERROR(Driver!$K$19/Data!BH1212/Data!BI1212*Data!BK1212*Data!BL1212,"")</f>
        <v/>
      </c>
      <c r="AZ1212" s="105">
        <f>IFERROR(BI1212*BN1212,"")</f>
        <v/>
      </c>
      <c r="BA1212" s="105" t="n"/>
      <c r="BB1212" s="105" t="n"/>
      <c r="BC1212" s="105">
        <f>IFERROR(BI1212*BN1212*BK1212/BJ1212^(1/2),"")</f>
        <v/>
      </c>
      <c r="BD1212" s="105">
        <f>IFERROR(BH1212*BM1212*BL1212/BJ1212/BK1212,"")</f>
        <v/>
      </c>
      <c r="BE1212" s="105">
        <f>IFERROR(MIN(BI1212/BQ1212/BP1212/BO1212/BH1212,$BE$1),"")</f>
        <v/>
      </c>
      <c r="BF1212" s="105">
        <f>IFERROR(BJ1212*BO1212*BP1212/BK1212,"")</f>
        <v/>
      </c>
      <c r="BG1212" s="105">
        <f>IFERROR(1/BM1212/BH1212*BQ1212,"")</f>
        <v/>
      </c>
      <c r="BH1212" s="102">
        <f>MAX((CE1212-Driver!$F$200)/(Driver!$G$200-Driver!$F$200)*$BI$1,1)</f>
        <v/>
      </c>
      <c r="BI1212" s="102">
        <f>MAX($BI$1*(BY1212-Driver!$F$201)/(Driver!$G$201-Driver!$F$201),1)</f>
        <v/>
      </c>
      <c r="BJ1212" s="102">
        <f>(CB1212-Driver!$F$206)/(Driver!$G$206-Driver!$F$206)*$BI$1</f>
        <v/>
      </c>
      <c r="BK1212" s="102">
        <f>(CD1212-Driver!$F$203)/(Driver!$G$203-Driver!$F$203)*$BI$1</f>
        <v/>
      </c>
      <c r="BL1212" s="102">
        <f>MAX((CR1212-Driver!$F$202)/(Driver!$G$202-Driver!$F$202)*$BI$1,1)</f>
        <v/>
      </c>
      <c r="BM1212" s="102">
        <f>MAX((CH1212-Driver!$F$204)/(Driver!$G$204-Driver!$F$204)*$BI$1,1)</f>
        <v/>
      </c>
      <c r="BN1212" s="102">
        <f>(CI1212-Driver!$F$205)/(Driver!$G$205-Driver!$F$205)*$BI$1</f>
        <v/>
      </c>
      <c r="BO1212" s="102">
        <f>(CK1212-Driver!$F$207)/(Driver!$G$207-Driver!$F$207)*$BI$1</f>
        <v/>
      </c>
      <c r="BP1212" s="102">
        <f>(CM1212-Driver!$F$208)/(Driver!$G$208-Driver!$F$208)*$BI$1</f>
        <v/>
      </c>
      <c r="BQ1212" s="102">
        <f>(CL1212-Driver!$F$209)/(Driver!$G$209-Driver!$F$209)*$BI$1</f>
        <v/>
      </c>
      <c r="BR1212" s="40" t="inlineStr">
        <is>
          <t>21/22</t>
        </is>
      </c>
      <c r="BS1212" s="10" t="inlineStr">
        <is>
          <t xml:space="preserve"> Völkl</t>
        </is>
      </c>
      <c r="BT1212" s="11" t="inlineStr">
        <is>
          <t>Mantra M5</t>
        </is>
      </c>
      <c r="BU1212" s="13" t="n">
        <v>191</v>
      </c>
      <c r="BV1212" s="11" t="inlineStr">
        <is>
          <t xml:space="preserve"> Unisex</t>
        </is>
      </c>
      <c r="BW1212" s="13" t="n">
        <v>191</v>
      </c>
      <c r="BX1212" s="13" t="n">
        <v>190.2</v>
      </c>
      <c r="BY1212" s="13" t="n">
        <v>136</v>
      </c>
      <c r="BZ1212" s="13" t="n">
        <v>168</v>
      </c>
      <c r="CA1212" s="13" t="n">
        <v>133</v>
      </c>
      <c r="CB1212" s="13" t="n">
        <v>95</v>
      </c>
      <c r="CC1212" s="13" t="n">
        <v>116</v>
      </c>
      <c r="CD1212" s="13" t="n">
        <v>23.7</v>
      </c>
      <c r="CE1212" s="13" t="n">
        <v>2258</v>
      </c>
      <c r="CF1212" s="13" t="n">
        <v>0.9</v>
      </c>
      <c r="CG1212" s="13" t="n">
        <v>2026</v>
      </c>
      <c r="CH1212" s="13" t="n">
        <v>247</v>
      </c>
      <c r="CI1212" s="13" t="n">
        <v>155</v>
      </c>
      <c r="CJ1212" s="13" t="n">
        <v>40</v>
      </c>
      <c r="CK1212" s="13" t="n">
        <v>330</v>
      </c>
      <c r="CL1212" s="13" t="n">
        <v>18</v>
      </c>
      <c r="CM1212" s="13" t="n">
        <v>215</v>
      </c>
      <c r="CN1212" s="13" t="n">
        <v>0.45</v>
      </c>
      <c r="CO1212" s="13" t="n">
        <v>123</v>
      </c>
      <c r="CP1212" s="13" t="n">
        <v>100</v>
      </c>
      <c r="CQ1212" s="13" t="n">
        <v>207</v>
      </c>
      <c r="CR1212" s="13" t="n">
        <v>5</v>
      </c>
      <c r="CS1212" s="13" t="n">
        <v>11.2</v>
      </c>
      <c r="CT1212" s="11" t="inlineStr">
        <is>
          <t xml:space="preserve"> Resort Freeride</t>
        </is>
      </c>
      <c r="CU1212" s="13" t="n"/>
      <c r="CV1212" s="13" t="n"/>
      <c r="CW1212" s="13" t="n"/>
      <c r="CX1212">
        <f>INDEX('Data_Price '!AG$2:AG$1266,MATCH(Data!$DN1212,'Data_Price '!$AT$2:$AT$1266,0))</f>
        <v/>
      </c>
      <c r="CY1212">
        <f>INDEX('Data_Price '!AH$2:AH$1266,MATCH(Data!$DN1212,'Data_Price '!$AT$2:$AT$1266,0))</f>
        <v/>
      </c>
      <c r="CZ1212">
        <f>INDEX('Data_Price '!AI$2:AI$1266,MATCH(Data!$DN1212,'Data_Price '!$AT$2:$AT$1266,0))</f>
        <v/>
      </c>
      <c r="DA1212">
        <f>INDEX('Data_Price '!AJ$2:AJ$1266,MATCH(Data!$DN1212,'Data_Price '!$AT$2:$AT$1266,0))</f>
        <v/>
      </c>
      <c r="DB1212">
        <f>INDEX('Data_Price '!AK$2:AK$1266,MATCH(Data!$DN1212,'Data_Price '!$AT$2:$AT$1266,0))</f>
        <v/>
      </c>
      <c r="DC1212">
        <f>INDEX('Data_Price '!AL$2:AL$1266,MATCH(Data!$DN1212,'Data_Price '!$AT$2:$AT$1266,0))</f>
        <v/>
      </c>
      <c r="DD1212">
        <f>INDEX('Data_Price '!AM$2:AM$1266,MATCH(Data!$DN1212,'Data_Price '!$AT$2:$AT$1266,0))</f>
        <v/>
      </c>
      <c r="DE1212">
        <f>INDEX('Data_Price '!AN$2:AN$1266,MATCH(Data!$DN1212,'Data_Price '!$AT$2:$AT$1266,0))</f>
        <v/>
      </c>
      <c r="DF1212">
        <f>INDEX('Data_Price '!AO$2:AO$1266,MATCH(Data!$DN1212,'Data_Price '!$AT$2:$AT$1266,0))</f>
        <v/>
      </c>
      <c r="DG1212">
        <f>INDEX('Data_Price '!AP$2:AP$1266,MATCH(Data!$DN1212,'Data_Price '!$AT$2:$AT$1266,0))</f>
        <v/>
      </c>
      <c r="DH1212">
        <f>INDEX('Data_Price '!AQ$2:AQ$1266,MATCH(Data!$DN1212,'Data_Price '!$AT$2:$AT$1266,0))</f>
        <v/>
      </c>
      <c r="DI1212">
        <f>INDEX('Data_Price '!AR$2:AR$1266,MATCH(Data!$DN1212,'Data_Price '!$AT$2:$AT$1266,0))</f>
        <v/>
      </c>
      <c r="DJ1212" s="138">
        <f>DA1212</f>
        <v/>
      </c>
      <c r="DK1212" s="138">
        <f>DE1212</f>
        <v/>
      </c>
      <c r="DL1212" s="138">
        <f>DI1212</f>
        <v/>
      </c>
      <c r="DM1212" s="303">
        <f>IF(LEFT(BT1212,1)=" ",RIGHT(BT1212,LEN(BT1212)-1),BT1212)</f>
        <v/>
      </c>
      <c r="DN1212" s="138">
        <f>_xlfn.CONCAT(BS1212,DM1212,BU1212,BV1212)</f>
        <v/>
      </c>
      <c r="DO1212" s="307" t="n"/>
    </row>
    <row r="1213" ht="15.6" customHeight="1" s="184">
      <c r="B1213" s="303">
        <f t="array" ref="B1213">IF(OR(ISERROR(K1213:P1213)),FALSE,TRUE)</f>
        <v/>
      </c>
      <c r="C1213" s="60">
        <f>OR(BR1213=Driver!$G$50,Data!BR1113=Driver!$H$50)</f>
        <v/>
      </c>
      <c r="D1213" s="60">
        <f>OR(BV1213=Driver!$G$51,BV1213=Driver!$H$51)</f>
        <v/>
      </c>
      <c r="E1213" s="60">
        <f>AND(BX1213&gt;Driver!$F$54,BX1213&lt;Driver!$G$54)</f>
        <v/>
      </c>
      <c r="F1213" s="60">
        <f>CL1213&gt;Driver!$F$56</f>
        <v/>
      </c>
      <c r="G1213" s="60">
        <f>AND(CB1213&gt;Driver!$F$55,CB1213&lt;Driver!$G$55)</f>
        <v/>
      </c>
      <c r="H1213" s="60">
        <f>AND(B1213:G1213)</f>
        <v/>
      </c>
      <c r="I1213" s="60">
        <f>COUNTIFS($H$9:$H$1273,TRUE,$BT$9:$BT$1273,BT1213)</f>
        <v/>
      </c>
      <c r="J1213" s="60">
        <f t="array" ref="J1213">NOT(OR(($H$9:$H$1273=TRUE)*($I$9:$I$1273&gt;0)*($BT$9:$BT$1273=BT1213)*($K$9:$K$1273&gt;K1213)))</f>
        <v/>
      </c>
      <c r="K1213" s="108">
        <f>IFERROR(1-AVERAGE(X1213:Y1213),"")</f>
        <v/>
      </c>
      <c r="L1213" s="108">
        <f>1-X1213</f>
        <v/>
      </c>
      <c r="M1213" s="108">
        <f>1-Y1213</f>
        <v/>
      </c>
      <c r="N1213" s="108">
        <f>1-Z1213</f>
        <v/>
      </c>
      <c r="O1213" s="108">
        <f>1-AA1213</f>
        <v/>
      </c>
      <c r="P1213" s="108">
        <f>1-AB1213</f>
        <v/>
      </c>
      <c r="Q1213" s="108" t="n"/>
      <c r="R1213" s="108" t="n"/>
      <c r="S1213" s="108">
        <f>1-AE1213</f>
        <v/>
      </c>
      <c r="T1213" s="108">
        <f>1-AF1213</f>
        <v/>
      </c>
      <c r="U1213" s="108">
        <f>1-AG1213</f>
        <v/>
      </c>
      <c r="V1213" s="108">
        <f>1-AH1213</f>
        <v/>
      </c>
      <c r="W1213" s="108">
        <f>1-AI1213</f>
        <v/>
      </c>
      <c r="X1213" s="108">
        <f>ABS(AJ1213-AJ$1)</f>
        <v/>
      </c>
      <c r="Y1213" s="108">
        <f>AVERAGE(Z1213:AB1213)</f>
        <v/>
      </c>
      <c r="Z1213" s="108">
        <f>ABS(AL1213-AL$1)</f>
        <v/>
      </c>
      <c r="AA1213" s="108">
        <f>ABS(AM1213-AM$1)</f>
        <v/>
      </c>
      <c r="AB1213" s="108">
        <f>ABS(AN1213-AN$1)</f>
        <v/>
      </c>
      <c r="AC1213" s="108" t="n"/>
      <c r="AD1213" s="108" t="n"/>
      <c r="AE1213" s="108">
        <f>ABS(AQ$1-AQ1213)</f>
        <v/>
      </c>
      <c r="AF1213" s="108">
        <f>ABS(AR$1-AR1213)</f>
        <v/>
      </c>
      <c r="AG1213" s="108">
        <f>ABS(AS$1-AS1213)</f>
        <v/>
      </c>
      <c r="AH1213" s="108">
        <f>ABS(AT$1-AT1213)</f>
        <v/>
      </c>
      <c r="AI1213" s="108">
        <f>ABS(AU$1-AU1213)</f>
        <v/>
      </c>
      <c r="AJ1213" s="108">
        <f>(AV1213-Driver!$K$179)/(Driver!$L$179-Driver!$K$179)</f>
        <v/>
      </c>
      <c r="AK1213" s="108">
        <f>(AW1213-Driver!$K$180)/(Driver!$L$180-Driver!$K$180)</f>
        <v/>
      </c>
      <c r="AL1213" s="108">
        <f>(AX1213-Driver!$K$181)/(Driver!$L$181-Driver!$K$181)</f>
        <v/>
      </c>
      <c r="AM1213" s="108">
        <f>(AY1213-Driver!$K$182)/(Driver!$L$182-Driver!$K$182)</f>
        <v/>
      </c>
      <c r="AN1213" s="108">
        <f>(AZ1213-Driver!$K$183)/(Driver!$L$183-Driver!$K$183)</f>
        <v/>
      </c>
      <c r="AO1213" s="108" t="n"/>
      <c r="AP1213" s="108" t="n"/>
      <c r="AQ1213" s="108">
        <f>(BC1213-Driver!$K$188)/(Driver!$L$188-Driver!$K$188)</f>
        <v/>
      </c>
      <c r="AR1213" s="108">
        <f>MIN((BD1213-Driver!$K$189)/(Driver!$L$189-Driver!$K$189),100%)</f>
        <v/>
      </c>
      <c r="AS1213" s="108">
        <f>(BE1213-Driver!$K$190)/(Driver!$L$190-Driver!$K$190)</f>
        <v/>
      </c>
      <c r="AT1213" s="108">
        <f>(BF1213-Driver!$K$191)/(Driver!$L$191-Driver!$K$191)</f>
        <v/>
      </c>
      <c r="AU1213" s="108">
        <f>(BG1213-Driver!$K$192)/(Driver!$L$192-Driver!$K$192)</f>
        <v/>
      </c>
      <c r="AV1213" s="105">
        <f>IFERROR(BM1213*BJ1213^1/4,"")</f>
        <v/>
      </c>
      <c r="AW1213" s="105">
        <f>IFERROR(SUM(AX1213:AZ1213),"")</f>
        <v/>
      </c>
      <c r="AX1213" s="105">
        <f>IFERROR(BH1213,"")</f>
        <v/>
      </c>
      <c r="AY1213" s="105">
        <f>IFERROR(Driver!$K$19/Data!BH1213/Data!BI1213*Data!BK1213*Data!BL1213,"")</f>
        <v/>
      </c>
      <c r="AZ1213" s="105">
        <f>IFERROR(BI1213*BN1213,"")</f>
        <v/>
      </c>
      <c r="BA1213" s="105" t="n"/>
      <c r="BB1213" s="105" t="n"/>
      <c r="BC1213" s="105">
        <f>IFERROR(BI1213*BN1213*BK1213/BJ1213^(1/2),"")</f>
        <v/>
      </c>
      <c r="BD1213" s="105">
        <f>IFERROR(BH1213*BM1213*BL1213/BJ1213/BK1213,"")</f>
        <v/>
      </c>
      <c r="BE1213" s="105">
        <f>IFERROR(MIN(BI1213/BQ1213/BP1213/BO1213/BH1213,$BE$1),"")</f>
        <v/>
      </c>
      <c r="BF1213" s="105">
        <f>IFERROR(BJ1213*BO1213*BP1213/BK1213,"")</f>
        <v/>
      </c>
      <c r="BG1213" s="105">
        <f>IFERROR(1/BM1213/BH1213*BQ1213,"")</f>
        <v/>
      </c>
      <c r="BH1213" s="102">
        <f>MAX((CE1213-Driver!$F$200)/(Driver!$G$200-Driver!$F$200)*$BI$1,1)</f>
        <v/>
      </c>
      <c r="BI1213" s="102">
        <f>MAX($BI$1*(BY1213-Driver!$F$201)/(Driver!$G$201-Driver!$F$201),1)</f>
        <v/>
      </c>
      <c r="BJ1213" s="102">
        <f>(CB1213-Driver!$F$206)/(Driver!$G$206-Driver!$F$206)*$BI$1</f>
        <v/>
      </c>
      <c r="BK1213" s="102">
        <f>(CD1213-Driver!$F$203)/(Driver!$G$203-Driver!$F$203)*$BI$1</f>
        <v/>
      </c>
      <c r="BL1213" s="102">
        <f>MAX((CR1213-Driver!$F$202)/(Driver!$G$202-Driver!$F$202)*$BI$1,1)</f>
        <v/>
      </c>
      <c r="BM1213" s="102">
        <f>MAX((CH1213-Driver!$F$204)/(Driver!$G$204-Driver!$F$204)*$BI$1,1)</f>
        <v/>
      </c>
      <c r="BN1213" s="102">
        <f>(CI1213-Driver!$F$205)/(Driver!$G$205-Driver!$F$205)*$BI$1</f>
        <v/>
      </c>
      <c r="BO1213" s="102">
        <f>(CK1213-Driver!$F$207)/(Driver!$G$207-Driver!$F$207)*$BI$1</f>
        <v/>
      </c>
      <c r="BP1213" s="102">
        <f>(CM1213-Driver!$F$208)/(Driver!$G$208-Driver!$F$208)*$BI$1</f>
        <v/>
      </c>
      <c r="BQ1213" s="102">
        <f>(CL1213-Driver!$F$209)/(Driver!$G$209-Driver!$F$209)*$BI$1</f>
        <v/>
      </c>
      <c r="BR1213" s="40" t="inlineStr">
        <is>
          <t>21/22</t>
        </is>
      </c>
      <c r="BS1213" s="10" t="inlineStr">
        <is>
          <t xml:space="preserve"> Salomon</t>
        </is>
      </c>
      <c r="BT1213" s="11" t="inlineStr">
        <is>
          <t>Stance 96</t>
        </is>
      </c>
      <c r="BU1213" s="13" t="n">
        <v>188</v>
      </c>
      <c r="BV1213" s="11" t="inlineStr">
        <is>
          <t xml:space="preserve"> Unisex</t>
        </is>
      </c>
      <c r="BW1213" s="13" t="n">
        <v>188</v>
      </c>
      <c r="BX1213" s="13" t="n">
        <v>187.1</v>
      </c>
      <c r="BY1213" s="13" t="n">
        <v>146</v>
      </c>
      <c r="BZ1213" s="13" t="n">
        <v>157</v>
      </c>
      <c r="CA1213" s="13" t="n">
        <v>134</v>
      </c>
      <c r="CB1213" s="13" t="n">
        <v>95</v>
      </c>
      <c r="CC1213" s="13" t="n">
        <v>116</v>
      </c>
      <c r="CD1213" s="13" t="n">
        <v>19.1</v>
      </c>
      <c r="CE1213" s="13" t="n">
        <v>2106</v>
      </c>
      <c r="CF1213" s="13" t="n">
        <v>0.96</v>
      </c>
      <c r="CG1213" s="13" t="n">
        <v>2016</v>
      </c>
      <c r="CH1213" s="13" t="n">
        <v>236</v>
      </c>
      <c r="CI1213" s="13" t="n">
        <v>159</v>
      </c>
      <c r="CJ1213" s="13" t="n">
        <v>48</v>
      </c>
      <c r="CK1213" s="13" t="n">
        <v>254</v>
      </c>
      <c r="CL1213" s="13" t="n">
        <v>6</v>
      </c>
      <c r="CM1213" s="13" t="n">
        <v>154</v>
      </c>
      <c r="CN1213" s="13" t="n">
        <v>0.127</v>
      </c>
      <c r="CO1213" s="13" t="n">
        <v>158</v>
      </c>
      <c r="CP1213" s="13" t="n">
        <v>142</v>
      </c>
      <c r="CQ1213" s="13" t="n">
        <v>95</v>
      </c>
      <c r="CR1213" s="13" t="n">
        <v>12</v>
      </c>
      <c r="CS1213" s="13" t="n">
        <v>10.5</v>
      </c>
      <c r="CT1213" s="11" t="inlineStr">
        <is>
          <t xml:space="preserve"> Resort Freeride</t>
        </is>
      </c>
      <c r="CU1213" s="13" t="n"/>
      <c r="CV1213" s="13" t="n"/>
      <c r="CW1213" s="13" t="n"/>
      <c r="CX1213">
        <f>INDEX('Data_Price '!AG$2:AG$1266,MATCH(Data!$DN1213,'Data_Price '!$AT$2:$AT$1266,0))</f>
        <v/>
      </c>
      <c r="CY1213">
        <f>INDEX('Data_Price '!AH$2:AH$1266,MATCH(Data!$DN1213,'Data_Price '!$AT$2:$AT$1266,0))</f>
        <v/>
      </c>
      <c r="CZ1213">
        <f>INDEX('Data_Price '!AI$2:AI$1266,MATCH(Data!$DN1213,'Data_Price '!$AT$2:$AT$1266,0))</f>
        <v/>
      </c>
      <c r="DA1213">
        <f>INDEX('Data_Price '!AJ$2:AJ$1266,MATCH(Data!$DN1213,'Data_Price '!$AT$2:$AT$1266,0))</f>
        <v/>
      </c>
      <c r="DB1213">
        <f>INDEX('Data_Price '!AK$2:AK$1266,MATCH(Data!$DN1213,'Data_Price '!$AT$2:$AT$1266,0))</f>
        <v/>
      </c>
      <c r="DC1213">
        <f>INDEX('Data_Price '!AL$2:AL$1266,MATCH(Data!$DN1213,'Data_Price '!$AT$2:$AT$1266,0))</f>
        <v/>
      </c>
      <c r="DD1213">
        <f>INDEX('Data_Price '!AM$2:AM$1266,MATCH(Data!$DN1213,'Data_Price '!$AT$2:$AT$1266,0))</f>
        <v/>
      </c>
      <c r="DE1213">
        <f>INDEX('Data_Price '!AN$2:AN$1266,MATCH(Data!$DN1213,'Data_Price '!$AT$2:$AT$1266,0))</f>
        <v/>
      </c>
      <c r="DF1213">
        <f>INDEX('Data_Price '!AO$2:AO$1266,MATCH(Data!$DN1213,'Data_Price '!$AT$2:$AT$1266,0))</f>
        <v/>
      </c>
      <c r="DG1213">
        <f>INDEX('Data_Price '!AP$2:AP$1266,MATCH(Data!$DN1213,'Data_Price '!$AT$2:$AT$1266,0))</f>
        <v/>
      </c>
      <c r="DH1213">
        <f>INDEX('Data_Price '!AQ$2:AQ$1266,MATCH(Data!$DN1213,'Data_Price '!$AT$2:$AT$1266,0))</f>
        <v/>
      </c>
      <c r="DI1213">
        <f>INDEX('Data_Price '!AR$2:AR$1266,MATCH(Data!$DN1213,'Data_Price '!$AT$2:$AT$1266,0))</f>
        <v/>
      </c>
      <c r="DJ1213" s="138">
        <f>DA1213</f>
        <v/>
      </c>
      <c r="DK1213" s="138">
        <f>DE1213</f>
        <v/>
      </c>
      <c r="DL1213" s="138">
        <f>DI1213</f>
        <v/>
      </c>
      <c r="DM1213" s="303">
        <f>IF(LEFT(BT1213,1)=" ",RIGHT(BT1213,LEN(BT1213)-1),BT1213)</f>
        <v/>
      </c>
      <c r="DN1213" s="138">
        <f>_xlfn.CONCAT(BS1213,DM1213,BU1213,BV1213)</f>
        <v/>
      </c>
      <c r="DO1213" s="307" t="inlineStr">
        <is>
          <t>https://images.evo.com/imgp/250/183472/737233/salomon-stance-96-skis-2022-.jpg</t>
        </is>
      </c>
    </row>
    <row r="1214" ht="15.6" customHeight="1" s="184">
      <c r="B1214" s="303">
        <f t="array" ref="B1214">IF(OR(ISERROR(K1214:P1214)),FALSE,TRUE)</f>
        <v/>
      </c>
      <c r="C1214" s="60">
        <f>OR(BR1214=Driver!$G$50,Data!BR538=Driver!$H$50)</f>
        <v/>
      </c>
      <c r="D1214" s="60">
        <f>OR(BV1214=Driver!$G$51,BV1214=Driver!$H$51)</f>
        <v/>
      </c>
      <c r="E1214" s="60">
        <f>AND(BX1214&gt;Driver!$F$54,BX1214&lt;Driver!$G$54)</f>
        <v/>
      </c>
      <c r="F1214" s="60">
        <f>CL1214&gt;Driver!$F$56</f>
        <v/>
      </c>
      <c r="G1214" s="60">
        <f>AND(CB1214&gt;Driver!$F$55,CB1214&lt;Driver!$G$55)</f>
        <v/>
      </c>
      <c r="H1214" s="60">
        <f>AND(B1214:G1214)</f>
        <v/>
      </c>
      <c r="I1214" s="60">
        <f>COUNTIFS($H$9:$H$1273,TRUE,$BT$9:$BT$1273,BT1214)</f>
        <v/>
      </c>
      <c r="J1214" s="60">
        <f t="array" ref="J1214">NOT(OR(($H$9:$H$1273=TRUE)*($I$9:$I$1273&gt;0)*($BT$9:$BT$1273=BT1214)*($K$9:$K$1273&gt;K1214)))</f>
        <v/>
      </c>
      <c r="K1214" s="108">
        <f>IFERROR(1-AVERAGE(X1214:Y1214),"")</f>
        <v/>
      </c>
      <c r="L1214" s="108">
        <f>1-X1214</f>
        <v/>
      </c>
      <c r="M1214" s="108">
        <f>1-Y1214</f>
        <v/>
      </c>
      <c r="N1214" s="108">
        <f>1-Z1214</f>
        <v/>
      </c>
      <c r="O1214" s="108">
        <f>1-AA1214</f>
        <v/>
      </c>
      <c r="P1214" s="108">
        <f>1-AB1214</f>
        <v/>
      </c>
      <c r="Q1214" s="108" t="n"/>
      <c r="R1214" s="108" t="n"/>
      <c r="S1214" s="108">
        <f>1-AE1214</f>
        <v/>
      </c>
      <c r="T1214" s="108">
        <f>1-AF1214</f>
        <v/>
      </c>
      <c r="U1214" s="108">
        <f>1-AG1214</f>
        <v/>
      </c>
      <c r="V1214" s="108">
        <f>1-AH1214</f>
        <v/>
      </c>
      <c r="W1214" s="108">
        <f>1-AI1214</f>
        <v/>
      </c>
      <c r="X1214" s="108">
        <f>ABS(AJ1214-AJ$1)</f>
        <v/>
      </c>
      <c r="Y1214" s="108">
        <f>AVERAGE(Z1214:AB1214)</f>
        <v/>
      </c>
      <c r="Z1214" s="108">
        <f>ABS(AL1214-AL$1)</f>
        <v/>
      </c>
      <c r="AA1214" s="108">
        <f>ABS(AM1214-AM$1)</f>
        <v/>
      </c>
      <c r="AB1214" s="108">
        <f>ABS(AN1214-AN$1)</f>
        <v/>
      </c>
      <c r="AC1214" s="108" t="n"/>
      <c r="AD1214" s="108" t="n"/>
      <c r="AE1214" s="108">
        <f>ABS(AQ$1-AQ1214)</f>
        <v/>
      </c>
      <c r="AF1214" s="108">
        <f>ABS(AR$1-AR1214)</f>
        <v/>
      </c>
      <c r="AG1214" s="108">
        <f>ABS(AS$1-AS1214)</f>
        <v/>
      </c>
      <c r="AH1214" s="108">
        <f>ABS(AT$1-AT1214)</f>
        <v/>
      </c>
      <c r="AI1214" s="108">
        <f>ABS(AU$1-AU1214)</f>
        <v/>
      </c>
      <c r="AJ1214" s="108">
        <f>(AV1214-Driver!$K$179)/(Driver!$L$179-Driver!$K$179)</f>
        <v/>
      </c>
      <c r="AK1214" s="108">
        <f>(AW1214-Driver!$K$180)/(Driver!$L$180-Driver!$K$180)</f>
        <v/>
      </c>
      <c r="AL1214" s="108">
        <f>(AX1214-Driver!$K$181)/(Driver!$L$181-Driver!$K$181)</f>
        <v/>
      </c>
      <c r="AM1214" s="108">
        <f>(AY1214-Driver!$K$182)/(Driver!$L$182-Driver!$K$182)</f>
        <v/>
      </c>
      <c r="AN1214" s="108">
        <f>(AZ1214-Driver!$K$183)/(Driver!$L$183-Driver!$K$183)</f>
        <v/>
      </c>
      <c r="AO1214" s="108" t="n"/>
      <c r="AP1214" s="108" t="n"/>
      <c r="AQ1214" s="108">
        <f>(BC1214-Driver!$K$188)/(Driver!$L$188-Driver!$K$188)</f>
        <v/>
      </c>
      <c r="AR1214" s="108">
        <f>MIN((BD1214-Driver!$K$189)/(Driver!$L$189-Driver!$K$189),100%)</f>
        <v/>
      </c>
      <c r="AS1214" s="108">
        <f>(BE1214-Driver!$K$190)/(Driver!$L$190-Driver!$K$190)</f>
        <v/>
      </c>
      <c r="AT1214" s="108">
        <f>(BF1214-Driver!$K$191)/(Driver!$L$191-Driver!$K$191)</f>
        <v/>
      </c>
      <c r="AU1214" s="108">
        <f>(BG1214-Driver!$K$192)/(Driver!$L$192-Driver!$K$192)</f>
        <v/>
      </c>
      <c r="AV1214" s="105">
        <f>IFERROR(BM1214*BJ1214^1/4,"")</f>
        <v/>
      </c>
      <c r="AW1214" s="105">
        <f>IFERROR(SUM(AX1214:AZ1214),"")</f>
        <v/>
      </c>
      <c r="AX1214" s="105">
        <f>IFERROR(BH1214,"")</f>
        <v/>
      </c>
      <c r="AY1214" s="105">
        <f>IFERROR(Driver!$K$19/Data!BH1214/Data!BI1214*Data!BK1214*Data!BL1214,"")</f>
        <v/>
      </c>
      <c r="AZ1214" s="105">
        <f>IFERROR(BI1214*BN1214,"")</f>
        <v/>
      </c>
      <c r="BA1214" s="105" t="n"/>
      <c r="BB1214" s="105" t="n"/>
      <c r="BC1214" s="105">
        <f>IFERROR(BI1214*BN1214*BK1214/BJ1214^(1/2),"")</f>
        <v/>
      </c>
      <c r="BD1214" s="105">
        <f>IFERROR(BH1214*BM1214*BL1214/BJ1214/BK1214,"")</f>
        <v/>
      </c>
      <c r="BE1214" s="105">
        <f>IFERROR(MIN(BI1214/BQ1214/BP1214/BO1214/BH1214,$BE$1),"")</f>
        <v/>
      </c>
      <c r="BF1214" s="105">
        <f>IFERROR(BJ1214*BO1214*BP1214/BK1214,"")</f>
        <v/>
      </c>
      <c r="BG1214" s="105">
        <f>IFERROR(1/BM1214/BH1214*BQ1214,"")</f>
        <v/>
      </c>
      <c r="BH1214" s="102">
        <f>MAX((CE1214-Driver!$F$200)/(Driver!$G$200-Driver!$F$200)*$BI$1,1)</f>
        <v/>
      </c>
      <c r="BI1214" s="102">
        <f>MAX($BI$1*(BY1214-Driver!$F$201)/(Driver!$G$201-Driver!$F$201),1)</f>
        <v/>
      </c>
      <c r="BJ1214" s="102">
        <f>(CB1214-Driver!$F$206)/(Driver!$G$206-Driver!$F$206)*$BI$1</f>
        <v/>
      </c>
      <c r="BK1214" s="102">
        <f>(CD1214-Driver!$F$203)/(Driver!$G$203-Driver!$F$203)*$BI$1</f>
        <v/>
      </c>
      <c r="BL1214" s="102">
        <f>MAX((CR1214-Driver!$F$202)/(Driver!$G$202-Driver!$F$202)*$BI$1,1)</f>
        <v/>
      </c>
      <c r="BM1214" s="102">
        <f>MAX((CH1214-Driver!$F$204)/(Driver!$G$204-Driver!$F$204)*$BI$1,1)</f>
        <v/>
      </c>
      <c r="BN1214" s="102">
        <f>(CI1214-Driver!$F$205)/(Driver!$G$205-Driver!$F$205)*$BI$1</f>
        <v/>
      </c>
      <c r="BO1214" s="102">
        <f>(CK1214-Driver!$F$207)/(Driver!$G$207-Driver!$F$207)*$BI$1</f>
        <v/>
      </c>
      <c r="BP1214" s="102">
        <f>(CM1214-Driver!$F$208)/(Driver!$G$208-Driver!$F$208)*$BI$1</f>
        <v/>
      </c>
      <c r="BQ1214" s="102">
        <f>(CL1214-Driver!$F$209)/(Driver!$G$209-Driver!$F$209)*$BI$1</f>
        <v/>
      </c>
      <c r="BR1214" s="40" t="inlineStr">
        <is>
          <t>21/22</t>
        </is>
      </c>
      <c r="BS1214" s="10" t="inlineStr">
        <is>
          <t xml:space="preserve"> Faction</t>
        </is>
      </c>
      <c r="BT1214" s="11" t="inlineStr">
        <is>
          <t>Prodigy 2.0 Jr</t>
        </is>
      </c>
      <c r="BU1214" s="13" t="n">
        <v>149</v>
      </c>
      <c r="BV1214" s="11" t="inlineStr">
        <is>
          <t xml:space="preserve"> Junior</t>
        </is>
      </c>
      <c r="BW1214" s="13" t="n">
        <v>149</v>
      </c>
      <c r="BX1214" s="13" t="n">
        <v>147.3</v>
      </c>
      <c r="BY1214" s="13" t="n">
        <v>104</v>
      </c>
      <c r="BZ1214" s="13" t="n">
        <v>123</v>
      </c>
      <c r="CA1214" s="13" t="n">
        <v>126</v>
      </c>
      <c r="CB1214" s="13" t="n">
        <v>95</v>
      </c>
      <c r="CC1214" s="13" t="n">
        <v>122</v>
      </c>
      <c r="CD1214" s="13" t="n">
        <v>11.8</v>
      </c>
      <c r="CE1214" s="13" t="n">
        <v>1277</v>
      </c>
      <c r="CF1214" s="13" t="n">
        <v>1.23</v>
      </c>
      <c r="CG1214" s="13" t="n">
        <v>1567</v>
      </c>
      <c r="CH1214" s="13" t="n">
        <v>105</v>
      </c>
      <c r="CI1214" s="13" t="n">
        <v>37</v>
      </c>
      <c r="CJ1214" s="13" t="n">
        <v>51</v>
      </c>
      <c r="CK1214" s="13" t="n">
        <v>221</v>
      </c>
      <c r="CL1214" s="13" t="n">
        <v>44</v>
      </c>
      <c r="CM1214" s="13" t="n">
        <v>208</v>
      </c>
      <c r="CN1214" s="13" t="n">
        <v>0.863</v>
      </c>
      <c r="CO1214" s="13" t="n">
        <v>124</v>
      </c>
      <c r="CP1214" s="13" t="n">
        <v>119</v>
      </c>
      <c r="CQ1214" s="13" t="n">
        <v>97</v>
      </c>
      <c r="CR1214" s="13" t="n">
        <v>7</v>
      </c>
      <c r="CS1214" s="13" t="n">
        <v>3</v>
      </c>
      <c r="CT1214" s="11" t="inlineStr">
        <is>
          <t xml:space="preserve"> Freeski</t>
        </is>
      </c>
      <c r="CU1214" s="11" t="inlineStr">
        <is>
          <t xml:space="preserve"> Touring</t>
        </is>
      </c>
      <c r="CV1214" s="13" t="n"/>
      <c r="CW1214" s="13" t="n"/>
      <c r="CX1214">
        <f>INDEX('Data_Price '!AG$2:AG$1266,MATCH(Data!$DN1214,'Data_Price '!$AT$2:$AT$1266,0))</f>
        <v/>
      </c>
      <c r="CY1214">
        <f>INDEX('Data_Price '!AH$2:AH$1266,MATCH(Data!$DN1214,'Data_Price '!$AT$2:$AT$1266,0))</f>
        <v/>
      </c>
      <c r="CZ1214">
        <f>INDEX('Data_Price '!AI$2:AI$1266,MATCH(Data!$DN1214,'Data_Price '!$AT$2:$AT$1266,0))</f>
        <v/>
      </c>
      <c r="DA1214">
        <f>INDEX('Data_Price '!AJ$2:AJ$1266,MATCH(Data!$DN1214,'Data_Price '!$AT$2:$AT$1266,0))</f>
        <v/>
      </c>
      <c r="DB1214">
        <f>INDEX('Data_Price '!AK$2:AK$1266,MATCH(Data!$DN1214,'Data_Price '!$AT$2:$AT$1266,0))</f>
        <v/>
      </c>
      <c r="DC1214">
        <f>INDEX('Data_Price '!AL$2:AL$1266,MATCH(Data!$DN1214,'Data_Price '!$AT$2:$AT$1266,0))</f>
        <v/>
      </c>
      <c r="DD1214">
        <f>INDEX('Data_Price '!AM$2:AM$1266,MATCH(Data!$DN1214,'Data_Price '!$AT$2:$AT$1266,0))</f>
        <v/>
      </c>
      <c r="DE1214">
        <f>INDEX('Data_Price '!AN$2:AN$1266,MATCH(Data!$DN1214,'Data_Price '!$AT$2:$AT$1266,0))</f>
        <v/>
      </c>
      <c r="DF1214">
        <f>INDEX('Data_Price '!AO$2:AO$1266,MATCH(Data!$DN1214,'Data_Price '!$AT$2:$AT$1266,0))</f>
        <v/>
      </c>
      <c r="DG1214">
        <f>INDEX('Data_Price '!AP$2:AP$1266,MATCH(Data!$DN1214,'Data_Price '!$AT$2:$AT$1266,0))</f>
        <v/>
      </c>
      <c r="DH1214">
        <f>INDEX('Data_Price '!AQ$2:AQ$1266,MATCH(Data!$DN1214,'Data_Price '!$AT$2:$AT$1266,0))</f>
        <v/>
      </c>
      <c r="DI1214">
        <f>INDEX('Data_Price '!AR$2:AR$1266,MATCH(Data!$DN1214,'Data_Price '!$AT$2:$AT$1266,0))</f>
        <v/>
      </c>
      <c r="DJ1214" s="138">
        <f>DA1214</f>
        <v/>
      </c>
      <c r="DK1214" s="138">
        <f>DE1214</f>
        <v/>
      </c>
      <c r="DL1214" s="138">
        <f>DI1214</f>
        <v/>
      </c>
      <c r="DM1214" s="303">
        <f>IF(LEFT(BT1214,1)=" ",RIGHT(BT1214,LEN(BT1214)-1),BT1214)</f>
        <v/>
      </c>
      <c r="DN1214" s="138">
        <f>_xlfn.CONCAT(BS1214,DM1214,BU1214,BV1214)</f>
        <v/>
      </c>
      <c r="DO1214" s="307" t="n"/>
    </row>
    <row r="1215" ht="15.6" customHeight="1" s="184">
      <c r="B1215" s="303">
        <f t="array" ref="B1215">IF(OR(ISERROR(K1215:P1215)),FALSE,TRUE)</f>
        <v/>
      </c>
      <c r="C1215" s="60">
        <f>OR(BR1215=Driver!$G$50,Data!BR742=Driver!$H$50)</f>
        <v/>
      </c>
      <c r="D1215" s="60">
        <f>OR(BV1215=Driver!$G$51,BV1215=Driver!$H$51)</f>
        <v/>
      </c>
      <c r="E1215" s="60">
        <f>AND(BX1215&gt;Driver!$F$54,BX1215&lt;Driver!$G$54)</f>
        <v/>
      </c>
      <c r="F1215" s="60">
        <f>CL1215&gt;Driver!$F$56</f>
        <v/>
      </c>
      <c r="G1215" s="60">
        <f>AND(CB1215&gt;Driver!$F$55,CB1215&lt;Driver!$G$55)</f>
        <v/>
      </c>
      <c r="H1215" s="60">
        <f>AND(B1215:G1215)</f>
        <v/>
      </c>
      <c r="I1215" s="60">
        <f>COUNTIFS($H$9:$H$1273,TRUE,$BT$9:$BT$1273,BT1215)</f>
        <v/>
      </c>
      <c r="J1215" s="60">
        <f t="array" ref="J1215">NOT(OR(($H$9:$H$1273=TRUE)*($I$9:$I$1273&gt;0)*($BT$9:$BT$1273=BT1215)*($K$9:$K$1273&gt;K1215)))</f>
        <v/>
      </c>
      <c r="K1215" s="108">
        <f>IFERROR(1-AVERAGE(X1215:Y1215),"")</f>
        <v/>
      </c>
      <c r="L1215" s="108">
        <f>1-X1215</f>
        <v/>
      </c>
      <c r="M1215" s="108">
        <f>1-Y1215</f>
        <v/>
      </c>
      <c r="N1215" s="108">
        <f>1-Z1215</f>
        <v/>
      </c>
      <c r="O1215" s="108">
        <f>1-AA1215</f>
        <v/>
      </c>
      <c r="P1215" s="108">
        <f>1-AB1215</f>
        <v/>
      </c>
      <c r="Q1215" s="108" t="n"/>
      <c r="R1215" s="108" t="n"/>
      <c r="S1215" s="108">
        <f>1-AE1215</f>
        <v/>
      </c>
      <c r="T1215" s="108">
        <f>1-AF1215</f>
        <v/>
      </c>
      <c r="U1215" s="108">
        <f>1-AG1215</f>
        <v/>
      </c>
      <c r="V1215" s="108">
        <f>1-AH1215</f>
        <v/>
      </c>
      <c r="W1215" s="108">
        <f>1-AI1215</f>
        <v/>
      </c>
      <c r="X1215" s="108">
        <f>ABS(AJ1215-AJ$1)</f>
        <v/>
      </c>
      <c r="Y1215" s="108">
        <f>AVERAGE(Z1215:AB1215)</f>
        <v/>
      </c>
      <c r="Z1215" s="108">
        <f>ABS(AL1215-AL$1)</f>
        <v/>
      </c>
      <c r="AA1215" s="108">
        <f>ABS(AM1215-AM$1)</f>
        <v/>
      </c>
      <c r="AB1215" s="108">
        <f>ABS(AN1215-AN$1)</f>
        <v/>
      </c>
      <c r="AC1215" s="108" t="n"/>
      <c r="AD1215" s="108" t="n"/>
      <c r="AE1215" s="108">
        <f>ABS(AQ$1-AQ1215)</f>
        <v/>
      </c>
      <c r="AF1215" s="108">
        <f>ABS(AR$1-AR1215)</f>
        <v/>
      </c>
      <c r="AG1215" s="108">
        <f>ABS(AS$1-AS1215)</f>
        <v/>
      </c>
      <c r="AH1215" s="108">
        <f>ABS(AT$1-AT1215)</f>
        <v/>
      </c>
      <c r="AI1215" s="108">
        <f>ABS(AU$1-AU1215)</f>
        <v/>
      </c>
      <c r="AJ1215" s="108">
        <f>(AV1215-Driver!$K$179)/(Driver!$L$179-Driver!$K$179)</f>
        <v/>
      </c>
      <c r="AK1215" s="108">
        <f>(AW1215-Driver!$K$180)/(Driver!$L$180-Driver!$K$180)</f>
        <v/>
      </c>
      <c r="AL1215" s="108">
        <f>(AX1215-Driver!$K$181)/(Driver!$L$181-Driver!$K$181)</f>
        <v/>
      </c>
      <c r="AM1215" s="108">
        <f>(AY1215-Driver!$K$182)/(Driver!$L$182-Driver!$K$182)</f>
        <v/>
      </c>
      <c r="AN1215" s="108">
        <f>(AZ1215-Driver!$K$183)/(Driver!$L$183-Driver!$K$183)</f>
        <v/>
      </c>
      <c r="AO1215" s="108" t="n"/>
      <c r="AP1215" s="108" t="n"/>
      <c r="AQ1215" s="108">
        <f>(BC1215-Driver!$K$188)/(Driver!$L$188-Driver!$K$188)</f>
        <v/>
      </c>
      <c r="AR1215" s="108">
        <f>MIN((BD1215-Driver!$K$189)/(Driver!$L$189-Driver!$K$189),100%)</f>
        <v/>
      </c>
      <c r="AS1215" s="108">
        <f>(BE1215-Driver!$K$190)/(Driver!$L$190-Driver!$K$190)</f>
        <v/>
      </c>
      <c r="AT1215" s="108">
        <f>(BF1215-Driver!$K$191)/(Driver!$L$191-Driver!$K$191)</f>
        <v/>
      </c>
      <c r="AU1215" s="108">
        <f>(BG1215-Driver!$K$192)/(Driver!$L$192-Driver!$K$192)</f>
        <v/>
      </c>
      <c r="AV1215" s="105">
        <f>IFERROR(BM1215*BJ1215^1/4,"")</f>
        <v/>
      </c>
      <c r="AW1215" s="105">
        <f>IFERROR(SUM(AX1215:AZ1215),"")</f>
        <v/>
      </c>
      <c r="AX1215" s="105">
        <f>IFERROR(BH1215,"")</f>
        <v/>
      </c>
      <c r="AY1215" s="105">
        <f>IFERROR(Driver!$K$19/Data!BH1215/Data!BI1215*Data!BK1215*Data!BL1215,"")</f>
        <v/>
      </c>
      <c r="AZ1215" s="105">
        <f>IFERROR(BI1215*BN1215,"")</f>
        <v/>
      </c>
      <c r="BA1215" s="105" t="n"/>
      <c r="BB1215" s="105" t="n"/>
      <c r="BC1215" s="105">
        <f>IFERROR(BI1215*BN1215*BK1215/BJ1215^(1/2),"")</f>
        <v/>
      </c>
      <c r="BD1215" s="105">
        <f>IFERROR(BH1215*BM1215*BL1215/BJ1215/BK1215,"")</f>
        <v/>
      </c>
      <c r="BE1215" s="105">
        <f>IFERROR(MIN(BI1215/BQ1215/BP1215/BO1215/BH1215,$BE$1),"")</f>
        <v/>
      </c>
      <c r="BF1215" s="105">
        <f>IFERROR(BJ1215*BO1215*BP1215/BK1215,"")</f>
        <v/>
      </c>
      <c r="BG1215" s="105">
        <f>IFERROR(1/BM1215/BH1215*BQ1215,"")</f>
        <v/>
      </c>
      <c r="BH1215" s="102">
        <f>MAX((CE1215-Driver!$F$200)/(Driver!$G$200-Driver!$F$200)*$BI$1,1)</f>
        <v/>
      </c>
      <c r="BI1215" s="102">
        <f>MAX($BI$1*(BY1215-Driver!$F$201)/(Driver!$G$201-Driver!$F$201),1)</f>
        <v/>
      </c>
      <c r="BJ1215" s="102">
        <f>(CB1215-Driver!$F$206)/(Driver!$G$206-Driver!$F$206)*$BI$1</f>
        <v/>
      </c>
      <c r="BK1215" s="102">
        <f>(CD1215-Driver!$F$203)/(Driver!$G$203-Driver!$F$203)*$BI$1</f>
        <v/>
      </c>
      <c r="BL1215" s="102">
        <f>MAX((CR1215-Driver!$F$202)/(Driver!$G$202-Driver!$F$202)*$BI$1,1)</f>
        <v/>
      </c>
      <c r="BM1215" s="102">
        <f>MAX((CH1215-Driver!$F$204)/(Driver!$G$204-Driver!$F$204)*$BI$1,1)</f>
        <v/>
      </c>
      <c r="BN1215" s="102">
        <f>(CI1215-Driver!$F$205)/(Driver!$G$205-Driver!$F$205)*$BI$1</f>
        <v/>
      </c>
      <c r="BO1215" s="102">
        <f>(CK1215-Driver!$F$207)/(Driver!$G$207-Driver!$F$207)*$BI$1</f>
        <v/>
      </c>
      <c r="BP1215" s="102">
        <f>(CM1215-Driver!$F$208)/(Driver!$G$208-Driver!$F$208)*$BI$1</f>
        <v/>
      </c>
      <c r="BQ1215" s="102">
        <f>(CL1215-Driver!$F$209)/(Driver!$G$209-Driver!$F$209)*$BI$1</f>
        <v/>
      </c>
      <c r="BR1215" s="40" t="inlineStr">
        <is>
          <t>21/22</t>
        </is>
      </c>
      <c r="BS1215" s="10" t="inlineStr">
        <is>
          <t xml:space="preserve"> K2</t>
        </is>
      </c>
      <c r="BT1215" s="11" t="inlineStr">
        <is>
          <t>Mindbender 90 Ti</t>
        </is>
      </c>
      <c r="BU1215" s="13" t="n">
        <v>184</v>
      </c>
      <c r="BV1215" s="11" t="inlineStr">
        <is>
          <t xml:space="preserve"> Unisex</t>
        </is>
      </c>
      <c r="BW1215" s="13" t="n">
        <v>184</v>
      </c>
      <c r="BX1215" s="13" t="n">
        <v>183.5</v>
      </c>
      <c r="BY1215" s="13" t="n">
        <v>143</v>
      </c>
      <c r="BZ1215" s="13" t="n">
        <v>159</v>
      </c>
      <c r="CA1215" s="13" t="n">
        <v>126</v>
      </c>
      <c r="CB1215" s="13" t="n">
        <v>89</v>
      </c>
      <c r="CC1215" s="13" t="n">
        <v>113</v>
      </c>
      <c r="CD1215" s="13" t="n">
        <v>19.7</v>
      </c>
      <c r="CE1215" s="13" t="n">
        <v>2028</v>
      </c>
      <c r="CF1215" s="13" t="n">
        <v>0.91</v>
      </c>
      <c r="CG1215" s="13" t="n">
        <v>1854</v>
      </c>
      <c r="CH1215" s="13" t="n">
        <v>222</v>
      </c>
      <c r="CI1215" s="13" t="n">
        <v>155</v>
      </c>
      <c r="CJ1215" s="13" t="n">
        <v>47</v>
      </c>
      <c r="CK1215" s="13" t="n">
        <v>235</v>
      </c>
      <c r="CL1215" s="13" t="n">
        <v>19</v>
      </c>
      <c r="CM1215" s="13" t="n">
        <v>167</v>
      </c>
      <c r="CN1215" s="13" t="n">
        <v>0.415</v>
      </c>
      <c r="CO1215" s="13" t="n">
        <v>141</v>
      </c>
      <c r="CP1215" s="13" t="n">
        <v>105</v>
      </c>
      <c r="CQ1215" s="13" t="n">
        <v>94</v>
      </c>
      <c r="CR1215" s="13" t="n">
        <v>7</v>
      </c>
      <c r="CS1215" s="13" t="n">
        <v>11.6</v>
      </c>
      <c r="CT1215" s="11" t="inlineStr">
        <is>
          <t xml:space="preserve"> Resort Freeride</t>
        </is>
      </c>
      <c r="CU1215" s="13" t="n"/>
      <c r="CV1215" s="13" t="n"/>
      <c r="CW1215" s="13" t="n"/>
      <c r="CX1215">
        <f>INDEX('Data_Price '!AG$2:AG$1266,MATCH(Data!$DN1215,'Data_Price '!$AT$2:$AT$1266,0))</f>
        <v/>
      </c>
      <c r="CY1215">
        <f>INDEX('Data_Price '!AH$2:AH$1266,MATCH(Data!$DN1215,'Data_Price '!$AT$2:$AT$1266,0))</f>
        <v/>
      </c>
      <c r="CZ1215">
        <f>INDEX('Data_Price '!AI$2:AI$1266,MATCH(Data!$DN1215,'Data_Price '!$AT$2:$AT$1266,0))</f>
        <v/>
      </c>
      <c r="DA1215">
        <f>INDEX('Data_Price '!AJ$2:AJ$1266,MATCH(Data!$DN1215,'Data_Price '!$AT$2:$AT$1266,0))</f>
        <v/>
      </c>
      <c r="DB1215">
        <f>INDEX('Data_Price '!AK$2:AK$1266,MATCH(Data!$DN1215,'Data_Price '!$AT$2:$AT$1266,0))</f>
        <v/>
      </c>
      <c r="DC1215">
        <f>INDEX('Data_Price '!AL$2:AL$1266,MATCH(Data!$DN1215,'Data_Price '!$AT$2:$AT$1266,0))</f>
        <v/>
      </c>
      <c r="DD1215">
        <f>INDEX('Data_Price '!AM$2:AM$1266,MATCH(Data!$DN1215,'Data_Price '!$AT$2:$AT$1266,0))</f>
        <v/>
      </c>
      <c r="DE1215">
        <f>INDEX('Data_Price '!AN$2:AN$1266,MATCH(Data!$DN1215,'Data_Price '!$AT$2:$AT$1266,0))</f>
        <v/>
      </c>
      <c r="DF1215">
        <f>INDEX('Data_Price '!AO$2:AO$1266,MATCH(Data!$DN1215,'Data_Price '!$AT$2:$AT$1266,0))</f>
        <v/>
      </c>
      <c r="DG1215">
        <f>INDEX('Data_Price '!AP$2:AP$1266,MATCH(Data!$DN1215,'Data_Price '!$AT$2:$AT$1266,0))</f>
        <v/>
      </c>
      <c r="DH1215">
        <f>INDEX('Data_Price '!AQ$2:AQ$1266,MATCH(Data!$DN1215,'Data_Price '!$AT$2:$AT$1266,0))</f>
        <v/>
      </c>
      <c r="DI1215">
        <f>INDEX('Data_Price '!AR$2:AR$1266,MATCH(Data!$DN1215,'Data_Price '!$AT$2:$AT$1266,0))</f>
        <v/>
      </c>
      <c r="DJ1215" s="138">
        <f>DA1215</f>
        <v/>
      </c>
      <c r="DK1215" s="138">
        <f>DE1215</f>
        <v/>
      </c>
      <c r="DL1215" s="138">
        <f>DI1215</f>
        <v/>
      </c>
      <c r="DM1215" s="303">
        <f>IF(LEFT(BT1215,1)=" ",RIGHT(BT1215,LEN(BT1215)-1),BT1215)</f>
        <v/>
      </c>
      <c r="DN1215" s="138">
        <f>_xlfn.CONCAT(BS1215,DM1215,BU1215,BV1215)</f>
        <v/>
      </c>
      <c r="DO1215" s="307" t="n"/>
    </row>
    <row r="1216" ht="15.6" customHeight="1" s="184">
      <c r="B1216" s="303">
        <f t="array" ref="B1216">IF(OR(ISERROR(K1216:P1216)),FALSE,TRUE)</f>
        <v/>
      </c>
      <c r="C1216" s="60">
        <f>OR(BR1216=Driver!$G$50,Data!BR1061=Driver!$H$50)</f>
        <v/>
      </c>
      <c r="D1216" s="60">
        <f>OR(BV1216=Driver!$G$51,BV1216=Driver!$H$51)</f>
        <v/>
      </c>
      <c r="E1216" s="60">
        <f>AND(BX1216&gt;Driver!$F$54,BX1216&lt;Driver!$G$54)</f>
        <v/>
      </c>
      <c r="F1216" s="60">
        <f>CL1216&gt;Driver!$F$56</f>
        <v/>
      </c>
      <c r="G1216" s="60">
        <f>AND(CB1216&gt;Driver!$F$55,CB1216&lt;Driver!$G$55)</f>
        <v/>
      </c>
      <c r="H1216" s="60">
        <f>AND(B1216:G1216)</f>
        <v/>
      </c>
      <c r="I1216" s="60">
        <f>COUNTIFS($H$9:$H$1273,TRUE,$BT$9:$BT$1273,BT1216)</f>
        <v/>
      </c>
      <c r="J1216" s="60">
        <f t="array" ref="J1216">NOT(OR(($H$9:$H$1273=TRUE)*($I$9:$I$1273&gt;0)*($BT$9:$BT$1273=BT1216)*($K$9:$K$1273&gt;K1216)))</f>
        <v/>
      </c>
      <c r="K1216" s="108">
        <f>IFERROR(1-AVERAGE(X1216:Y1216),"")</f>
        <v/>
      </c>
      <c r="L1216" s="108">
        <f>1-X1216</f>
        <v/>
      </c>
      <c r="M1216" s="108">
        <f>1-Y1216</f>
        <v/>
      </c>
      <c r="N1216" s="108">
        <f>1-Z1216</f>
        <v/>
      </c>
      <c r="O1216" s="108">
        <f>1-AA1216</f>
        <v/>
      </c>
      <c r="P1216" s="108">
        <f>1-AB1216</f>
        <v/>
      </c>
      <c r="Q1216" s="108" t="n"/>
      <c r="R1216" s="108" t="n"/>
      <c r="S1216" s="108">
        <f>1-AE1216</f>
        <v/>
      </c>
      <c r="T1216" s="108">
        <f>1-AF1216</f>
        <v/>
      </c>
      <c r="U1216" s="108">
        <f>1-AG1216</f>
        <v/>
      </c>
      <c r="V1216" s="108">
        <f>1-AH1216</f>
        <v/>
      </c>
      <c r="W1216" s="108">
        <f>1-AI1216</f>
        <v/>
      </c>
      <c r="X1216" s="108">
        <f>ABS(AJ1216-AJ$1)</f>
        <v/>
      </c>
      <c r="Y1216" s="108">
        <f>AVERAGE(Z1216:AB1216)</f>
        <v/>
      </c>
      <c r="Z1216" s="108">
        <f>ABS(AL1216-AL$1)</f>
        <v/>
      </c>
      <c r="AA1216" s="108">
        <f>ABS(AM1216-AM$1)</f>
        <v/>
      </c>
      <c r="AB1216" s="108">
        <f>ABS(AN1216-AN$1)</f>
        <v/>
      </c>
      <c r="AC1216" s="108" t="n"/>
      <c r="AD1216" s="108" t="n"/>
      <c r="AE1216" s="108">
        <f>ABS(AQ$1-AQ1216)</f>
        <v/>
      </c>
      <c r="AF1216" s="108">
        <f>ABS(AR$1-AR1216)</f>
        <v/>
      </c>
      <c r="AG1216" s="108">
        <f>ABS(AS$1-AS1216)</f>
        <v/>
      </c>
      <c r="AH1216" s="108">
        <f>ABS(AT$1-AT1216)</f>
        <v/>
      </c>
      <c r="AI1216" s="108">
        <f>ABS(AU$1-AU1216)</f>
        <v/>
      </c>
      <c r="AJ1216" s="108">
        <f>(AV1216-Driver!$K$179)/(Driver!$L$179-Driver!$K$179)</f>
        <v/>
      </c>
      <c r="AK1216" s="108">
        <f>(AW1216-Driver!$K$180)/(Driver!$L$180-Driver!$K$180)</f>
        <v/>
      </c>
      <c r="AL1216" s="108">
        <f>(AX1216-Driver!$K$181)/(Driver!$L$181-Driver!$K$181)</f>
        <v/>
      </c>
      <c r="AM1216" s="108">
        <f>(AY1216-Driver!$K$182)/(Driver!$L$182-Driver!$K$182)</f>
        <v/>
      </c>
      <c r="AN1216" s="108">
        <f>(AZ1216-Driver!$K$183)/(Driver!$L$183-Driver!$K$183)</f>
        <v/>
      </c>
      <c r="AO1216" s="108" t="n"/>
      <c r="AP1216" s="108" t="n"/>
      <c r="AQ1216" s="108">
        <f>(BC1216-Driver!$K$188)/(Driver!$L$188-Driver!$K$188)</f>
        <v/>
      </c>
      <c r="AR1216" s="108">
        <f>MIN((BD1216-Driver!$K$189)/(Driver!$L$189-Driver!$K$189),100%)</f>
        <v/>
      </c>
      <c r="AS1216" s="108">
        <f>(BE1216-Driver!$K$190)/(Driver!$L$190-Driver!$K$190)</f>
        <v/>
      </c>
      <c r="AT1216" s="108">
        <f>(BF1216-Driver!$K$191)/(Driver!$L$191-Driver!$K$191)</f>
        <v/>
      </c>
      <c r="AU1216" s="108">
        <f>(BG1216-Driver!$K$192)/(Driver!$L$192-Driver!$K$192)</f>
        <v/>
      </c>
      <c r="AV1216" s="105">
        <f>IFERROR(BM1216*BJ1216^1/4,"")</f>
        <v/>
      </c>
      <c r="AW1216" s="105">
        <f>IFERROR(SUM(AX1216:AZ1216),"")</f>
        <v/>
      </c>
      <c r="AX1216" s="105">
        <f>IFERROR(BH1216,"")</f>
        <v/>
      </c>
      <c r="AY1216" s="105">
        <f>IFERROR(Driver!$K$19/Data!BH1216/Data!BI1216*Data!BK1216*Data!BL1216,"")</f>
        <v/>
      </c>
      <c r="AZ1216" s="105">
        <f>IFERROR(BI1216*BN1216,"")</f>
        <v/>
      </c>
      <c r="BA1216" s="105" t="n"/>
      <c r="BB1216" s="105" t="n"/>
      <c r="BC1216" s="105">
        <f>IFERROR(BI1216*BN1216*BK1216/BJ1216^(1/2),"")</f>
        <v/>
      </c>
      <c r="BD1216" s="105">
        <f>IFERROR(BH1216*BM1216*BL1216/BJ1216/BK1216,"")</f>
        <v/>
      </c>
      <c r="BE1216" s="105">
        <f>IFERROR(MIN(BI1216/BQ1216/BP1216/BO1216/BH1216,$BE$1),"")</f>
        <v/>
      </c>
      <c r="BF1216" s="105">
        <f>IFERROR(BJ1216*BO1216*BP1216/BK1216,"")</f>
        <v/>
      </c>
      <c r="BG1216" s="105">
        <f>IFERROR(1/BM1216/BH1216*BQ1216,"")</f>
        <v/>
      </c>
      <c r="BH1216" s="102">
        <f>MAX((CE1216-Driver!$F$200)/(Driver!$G$200-Driver!$F$200)*$BI$1,1)</f>
        <v/>
      </c>
      <c r="BI1216" s="102">
        <f>MAX($BI$1*(BY1216-Driver!$F$201)/(Driver!$G$201-Driver!$F$201),1)</f>
        <v/>
      </c>
      <c r="BJ1216" s="102">
        <f>(CB1216-Driver!$F$206)/(Driver!$G$206-Driver!$F$206)*$BI$1</f>
        <v/>
      </c>
      <c r="BK1216" s="102">
        <f>(CD1216-Driver!$F$203)/(Driver!$G$203-Driver!$F$203)*$BI$1</f>
        <v/>
      </c>
      <c r="BL1216" s="102">
        <f>MAX((CR1216-Driver!$F$202)/(Driver!$G$202-Driver!$F$202)*$BI$1,1)</f>
        <v/>
      </c>
      <c r="BM1216" s="102">
        <f>MAX((CH1216-Driver!$F$204)/(Driver!$G$204-Driver!$F$204)*$BI$1,1)</f>
        <v/>
      </c>
      <c r="BN1216" s="102">
        <f>(CI1216-Driver!$F$205)/(Driver!$G$205-Driver!$F$205)*$BI$1</f>
        <v/>
      </c>
      <c r="BO1216" s="102">
        <f>(CK1216-Driver!$F$207)/(Driver!$G$207-Driver!$F$207)*$BI$1</f>
        <v/>
      </c>
      <c r="BP1216" s="102">
        <f>(CM1216-Driver!$F$208)/(Driver!$G$208-Driver!$F$208)*$BI$1</f>
        <v/>
      </c>
      <c r="BQ1216" s="102">
        <f>(CL1216-Driver!$F$209)/(Driver!$G$209-Driver!$F$209)*$BI$1</f>
        <v/>
      </c>
      <c r="BR1216" s="40" t="inlineStr">
        <is>
          <t>21/22</t>
        </is>
      </c>
      <c r="BS1216" s="10" t="inlineStr">
        <is>
          <t xml:space="preserve"> Salomon</t>
        </is>
      </c>
      <c r="BT1216" s="11" t="inlineStr">
        <is>
          <t>MTN Explore 88 W</t>
        </is>
      </c>
      <c r="BU1216" s="13" t="n">
        <v>153</v>
      </c>
      <c r="BV1216" s="11" t="inlineStr">
        <is>
          <t xml:space="preserve"> Women's</t>
        </is>
      </c>
      <c r="BW1216" s="13" t="n">
        <v>153</v>
      </c>
      <c r="BX1216" s="13" t="n">
        <v>151.7</v>
      </c>
      <c r="BY1216" s="13" t="n">
        <v>124</v>
      </c>
      <c r="BZ1216" s="13" t="n">
        <v>132</v>
      </c>
      <c r="CA1216" s="13" t="n">
        <v>121</v>
      </c>
      <c r="CB1216" s="13" t="n">
        <v>88</v>
      </c>
      <c r="CC1216" s="13" t="n">
        <v>106</v>
      </c>
      <c r="CD1216" s="13" t="n">
        <v>16.7</v>
      </c>
      <c r="CE1216" s="13" t="n">
        <v>1155</v>
      </c>
      <c r="CF1216" s="13" t="n">
        <v>1.29</v>
      </c>
      <c r="CG1216" s="13" t="n">
        <v>1492</v>
      </c>
      <c r="CH1216" s="13" t="n">
        <v>109</v>
      </c>
      <c r="CI1216" s="13" t="n">
        <v>50</v>
      </c>
      <c r="CJ1216" s="13" t="n">
        <v>47</v>
      </c>
      <c r="CK1216" s="13" t="n">
        <v>197</v>
      </c>
      <c r="CL1216" s="13" t="n">
        <v>12</v>
      </c>
      <c r="CM1216" s="13" t="n">
        <v>83</v>
      </c>
      <c r="CN1216" s="13" t="n">
        <v>0.253</v>
      </c>
      <c r="CO1216" s="13" t="n">
        <v>121</v>
      </c>
      <c r="CP1216" s="13" t="n">
        <v>74</v>
      </c>
      <c r="CQ1216" s="13" t="n">
        <v>76</v>
      </c>
      <c r="CR1216" s="13" t="n">
        <v>8</v>
      </c>
      <c r="CS1216" s="13" t="n">
        <v>10.2</v>
      </c>
      <c r="CT1216" s="11" t="inlineStr">
        <is>
          <t xml:space="preserve"> Touring</t>
        </is>
      </c>
      <c r="CU1216" s="11" t="inlineStr">
        <is>
          <t xml:space="preserve"> Ultralight Touring</t>
        </is>
      </c>
      <c r="CV1216" s="13" t="n"/>
      <c r="CW1216" s="13" t="n"/>
      <c r="CX1216">
        <f>INDEX('Data_Price '!AG$2:AG$1266,MATCH(Data!$DN1216,'Data_Price '!$AT$2:$AT$1266,0))</f>
        <v/>
      </c>
      <c r="CY1216">
        <f>INDEX('Data_Price '!AH$2:AH$1266,MATCH(Data!$DN1216,'Data_Price '!$AT$2:$AT$1266,0))</f>
        <v/>
      </c>
      <c r="CZ1216">
        <f>INDEX('Data_Price '!AI$2:AI$1266,MATCH(Data!$DN1216,'Data_Price '!$AT$2:$AT$1266,0))</f>
        <v/>
      </c>
      <c r="DA1216">
        <f>INDEX('Data_Price '!AJ$2:AJ$1266,MATCH(Data!$DN1216,'Data_Price '!$AT$2:$AT$1266,0))</f>
        <v/>
      </c>
      <c r="DB1216">
        <f>INDEX('Data_Price '!AK$2:AK$1266,MATCH(Data!$DN1216,'Data_Price '!$AT$2:$AT$1266,0))</f>
        <v/>
      </c>
      <c r="DC1216">
        <f>INDEX('Data_Price '!AL$2:AL$1266,MATCH(Data!$DN1216,'Data_Price '!$AT$2:$AT$1266,0))</f>
        <v/>
      </c>
      <c r="DD1216">
        <f>INDEX('Data_Price '!AM$2:AM$1266,MATCH(Data!$DN1216,'Data_Price '!$AT$2:$AT$1266,0))</f>
        <v/>
      </c>
      <c r="DE1216">
        <f>INDEX('Data_Price '!AN$2:AN$1266,MATCH(Data!$DN1216,'Data_Price '!$AT$2:$AT$1266,0))</f>
        <v/>
      </c>
      <c r="DF1216">
        <f>INDEX('Data_Price '!AO$2:AO$1266,MATCH(Data!$DN1216,'Data_Price '!$AT$2:$AT$1266,0))</f>
        <v/>
      </c>
      <c r="DG1216">
        <f>INDEX('Data_Price '!AP$2:AP$1266,MATCH(Data!$DN1216,'Data_Price '!$AT$2:$AT$1266,0))</f>
        <v/>
      </c>
      <c r="DH1216">
        <f>INDEX('Data_Price '!AQ$2:AQ$1266,MATCH(Data!$DN1216,'Data_Price '!$AT$2:$AT$1266,0))</f>
        <v/>
      </c>
      <c r="DI1216">
        <f>INDEX('Data_Price '!AR$2:AR$1266,MATCH(Data!$DN1216,'Data_Price '!$AT$2:$AT$1266,0))</f>
        <v/>
      </c>
      <c r="DJ1216" s="138">
        <f>DA1216</f>
        <v/>
      </c>
      <c r="DK1216" s="138">
        <f>DE1216</f>
        <v/>
      </c>
      <c r="DL1216" s="138">
        <f>DI1216</f>
        <v/>
      </c>
      <c r="DM1216" s="303">
        <f>IF(LEFT(BT1216,1)=" ",RIGHT(BT1216,LEN(BT1216)-1),BT1216)</f>
        <v/>
      </c>
      <c r="DN1216" s="138">
        <f>_xlfn.CONCAT(BS1216,DM1216,BU1216,BV1216)</f>
        <v/>
      </c>
      <c r="DO1216" s="307" t="inlineStr">
        <is>
          <t>https://images.evo.com/imgp/250/197286/812038/salomon-mtn-explore-88-w-skis-women-s-2022-.jpg</t>
        </is>
      </c>
    </row>
    <row r="1217" ht="15.6" customHeight="1" s="184">
      <c r="B1217" s="303">
        <f t="array" ref="B1217">IF(OR(ISERROR(K1217:P1217)),FALSE,TRUE)</f>
        <v/>
      </c>
      <c r="C1217" s="60">
        <f>OR(BR1217=Driver!$G$50,Data!BR976=Driver!$H$50)</f>
        <v/>
      </c>
      <c r="D1217" s="60">
        <f>OR(BV1217=Driver!$G$51,BV1217=Driver!$H$51)</f>
        <v/>
      </c>
      <c r="E1217" s="60">
        <f>AND(BX1217&gt;Driver!$F$54,BX1217&lt;Driver!$G$54)</f>
        <v/>
      </c>
      <c r="F1217" s="60">
        <f>CL1217&gt;Driver!$F$56</f>
        <v/>
      </c>
      <c r="G1217" s="60">
        <f>AND(CB1217&gt;Driver!$F$55,CB1217&lt;Driver!$G$55)</f>
        <v/>
      </c>
      <c r="H1217" s="60">
        <f>AND(B1217:G1217)</f>
        <v/>
      </c>
      <c r="I1217" s="60">
        <f>COUNTIFS($H$9:$H$1273,TRUE,$BT$9:$BT$1273,BT1217)</f>
        <v/>
      </c>
      <c r="J1217" s="60">
        <f t="array" ref="J1217">NOT(OR(($H$9:$H$1273=TRUE)*($I$9:$I$1273&gt;0)*($BT$9:$BT$1273=BT1217)*($K$9:$K$1273&gt;K1217)))</f>
        <v/>
      </c>
      <c r="K1217" s="108">
        <f>IFERROR(1-AVERAGE(X1217:Y1217),"")</f>
        <v/>
      </c>
      <c r="L1217" s="108">
        <f>1-X1217</f>
        <v/>
      </c>
      <c r="M1217" s="108">
        <f>1-Y1217</f>
        <v/>
      </c>
      <c r="N1217" s="108">
        <f>1-Z1217</f>
        <v/>
      </c>
      <c r="O1217" s="108">
        <f>1-AA1217</f>
        <v/>
      </c>
      <c r="P1217" s="108">
        <f>1-AB1217</f>
        <v/>
      </c>
      <c r="Q1217" s="108" t="n"/>
      <c r="R1217" s="108" t="n"/>
      <c r="S1217" s="108">
        <f>1-AE1217</f>
        <v/>
      </c>
      <c r="T1217" s="108">
        <f>1-AF1217</f>
        <v/>
      </c>
      <c r="U1217" s="108">
        <f>1-AG1217</f>
        <v/>
      </c>
      <c r="V1217" s="108">
        <f>1-AH1217</f>
        <v/>
      </c>
      <c r="W1217" s="108">
        <f>1-AI1217</f>
        <v/>
      </c>
      <c r="X1217" s="108">
        <f>ABS(AJ1217-AJ$1)</f>
        <v/>
      </c>
      <c r="Y1217" s="108">
        <f>AVERAGE(Z1217:AB1217)</f>
        <v/>
      </c>
      <c r="Z1217" s="108">
        <f>ABS(AL1217-AL$1)</f>
        <v/>
      </c>
      <c r="AA1217" s="108">
        <f>ABS(AM1217-AM$1)</f>
        <v/>
      </c>
      <c r="AB1217" s="108">
        <f>ABS(AN1217-AN$1)</f>
        <v/>
      </c>
      <c r="AC1217" s="108" t="n"/>
      <c r="AD1217" s="108" t="n"/>
      <c r="AE1217" s="108">
        <f>ABS(AQ$1-AQ1217)</f>
        <v/>
      </c>
      <c r="AF1217" s="108">
        <f>ABS(AR$1-AR1217)</f>
        <v/>
      </c>
      <c r="AG1217" s="108">
        <f>ABS(AS$1-AS1217)</f>
        <v/>
      </c>
      <c r="AH1217" s="108">
        <f>ABS(AT$1-AT1217)</f>
        <v/>
      </c>
      <c r="AI1217" s="108">
        <f>ABS(AU$1-AU1217)</f>
        <v/>
      </c>
      <c r="AJ1217" s="108">
        <f>(AV1217-Driver!$K$179)/(Driver!$L$179-Driver!$K$179)</f>
        <v/>
      </c>
      <c r="AK1217" s="108">
        <f>(AW1217-Driver!$K$180)/(Driver!$L$180-Driver!$K$180)</f>
        <v/>
      </c>
      <c r="AL1217" s="108">
        <f>(AX1217-Driver!$K$181)/(Driver!$L$181-Driver!$K$181)</f>
        <v/>
      </c>
      <c r="AM1217" s="108">
        <f>(AY1217-Driver!$K$182)/(Driver!$L$182-Driver!$K$182)</f>
        <v/>
      </c>
      <c r="AN1217" s="108">
        <f>(AZ1217-Driver!$K$183)/(Driver!$L$183-Driver!$K$183)</f>
        <v/>
      </c>
      <c r="AO1217" s="108" t="n"/>
      <c r="AP1217" s="108" t="n"/>
      <c r="AQ1217" s="108">
        <f>(BC1217-Driver!$K$188)/(Driver!$L$188-Driver!$K$188)</f>
        <v/>
      </c>
      <c r="AR1217" s="108">
        <f>MIN((BD1217-Driver!$K$189)/(Driver!$L$189-Driver!$K$189),100%)</f>
        <v/>
      </c>
      <c r="AS1217" s="108">
        <f>(BE1217-Driver!$K$190)/(Driver!$L$190-Driver!$K$190)</f>
        <v/>
      </c>
      <c r="AT1217" s="108">
        <f>(BF1217-Driver!$K$191)/(Driver!$L$191-Driver!$K$191)</f>
        <v/>
      </c>
      <c r="AU1217" s="108">
        <f>(BG1217-Driver!$K$192)/(Driver!$L$192-Driver!$K$192)</f>
        <v/>
      </c>
      <c r="AV1217" s="105">
        <f>IFERROR(BM1217*BJ1217^1/4,"")</f>
        <v/>
      </c>
      <c r="AW1217" s="105">
        <f>IFERROR(SUM(AX1217:AZ1217),"")</f>
        <v/>
      </c>
      <c r="AX1217" s="105">
        <f>IFERROR(BH1217,"")</f>
        <v/>
      </c>
      <c r="AY1217" s="105">
        <f>IFERROR(Driver!$K$19/Data!BH1217/Data!BI1217*Data!BK1217*Data!BL1217,"")</f>
        <v/>
      </c>
      <c r="AZ1217" s="105">
        <f>IFERROR(BI1217*BN1217,"")</f>
        <v/>
      </c>
      <c r="BA1217" s="105" t="n"/>
      <c r="BB1217" s="105" t="n"/>
      <c r="BC1217" s="105">
        <f>IFERROR(BI1217*BN1217*BK1217/BJ1217^(1/2),"")</f>
        <v/>
      </c>
      <c r="BD1217" s="105">
        <f>IFERROR(BH1217*BM1217*BL1217/BJ1217/BK1217,"")</f>
        <v/>
      </c>
      <c r="BE1217" s="105">
        <f>IFERROR(MIN(BI1217/BQ1217/BP1217/BO1217/BH1217,$BE$1),"")</f>
        <v/>
      </c>
      <c r="BF1217" s="105">
        <f>IFERROR(BJ1217*BO1217*BP1217/BK1217,"")</f>
        <v/>
      </c>
      <c r="BG1217" s="105">
        <f>IFERROR(1/BM1217/BH1217*BQ1217,"")</f>
        <v/>
      </c>
      <c r="BH1217" s="102">
        <f>MAX((CE1217-Driver!$F$200)/(Driver!$G$200-Driver!$F$200)*$BI$1,1)</f>
        <v/>
      </c>
      <c r="BI1217" s="102">
        <f>MAX($BI$1*(BY1217-Driver!$F$201)/(Driver!$G$201-Driver!$F$201),1)</f>
        <v/>
      </c>
      <c r="BJ1217" s="102">
        <f>(CB1217-Driver!$F$206)/(Driver!$G$206-Driver!$F$206)*$BI$1</f>
        <v/>
      </c>
      <c r="BK1217" s="102">
        <f>(CD1217-Driver!$F$203)/(Driver!$G$203-Driver!$F$203)*$BI$1</f>
        <v/>
      </c>
      <c r="BL1217" s="102">
        <f>MAX((CR1217-Driver!$F$202)/(Driver!$G$202-Driver!$F$202)*$BI$1,1)</f>
        <v/>
      </c>
      <c r="BM1217" s="102">
        <f>MAX((CH1217-Driver!$F$204)/(Driver!$G$204-Driver!$F$204)*$BI$1,1)</f>
        <v/>
      </c>
      <c r="BN1217" s="102">
        <f>(CI1217-Driver!$F$205)/(Driver!$G$205-Driver!$F$205)*$BI$1</f>
        <v/>
      </c>
      <c r="BO1217" s="102">
        <f>(CK1217-Driver!$F$207)/(Driver!$G$207-Driver!$F$207)*$BI$1</f>
        <v/>
      </c>
      <c r="BP1217" s="102">
        <f>(CM1217-Driver!$F$208)/(Driver!$G$208-Driver!$F$208)*$BI$1</f>
        <v/>
      </c>
      <c r="BQ1217" s="102">
        <f>(CL1217-Driver!$F$209)/(Driver!$G$209-Driver!$F$209)*$BI$1</f>
        <v/>
      </c>
      <c r="BR1217" s="40" t="inlineStr">
        <is>
          <t>21/22</t>
        </is>
      </c>
      <c r="BS1217" s="10" t="inlineStr">
        <is>
          <t xml:space="preserve"> Rossignol</t>
        </is>
      </c>
      <c r="BT1217" s="11" t="inlineStr">
        <is>
          <t xml:space="preserve"> Blackops Gamer</t>
        </is>
      </c>
      <c r="BU1217" s="13" t="n">
        <v>186</v>
      </c>
      <c r="BV1217" s="11" t="inlineStr">
        <is>
          <t xml:space="preserve"> Unisex</t>
        </is>
      </c>
      <c r="BW1217" s="13" t="n">
        <v>186</v>
      </c>
      <c r="BX1217" s="13" t="n">
        <v>184.6</v>
      </c>
      <c r="BY1217" s="13" t="n">
        <v>112</v>
      </c>
      <c r="BZ1217" s="13" t="n">
        <v>157</v>
      </c>
      <c r="CA1217" s="13" t="n">
        <v>144</v>
      </c>
      <c r="CB1217" s="13" t="n">
        <v>116</v>
      </c>
      <c r="CC1217" s="13" t="n">
        <v>139</v>
      </c>
      <c r="CD1217" s="13" t="n">
        <v>21.2</v>
      </c>
      <c r="CE1217" s="13" t="n">
        <v>2470</v>
      </c>
      <c r="CF1217" s="13" t="n">
        <v>0.9399999999999999</v>
      </c>
      <c r="CG1217" s="13" t="n">
        <v>2327</v>
      </c>
      <c r="CH1217" s="13" t="n">
        <v>255</v>
      </c>
      <c r="CI1217" s="13" t="n">
        <v>127</v>
      </c>
      <c r="CJ1217" s="13" t="n">
        <v>63</v>
      </c>
      <c r="CK1217" s="13" t="n">
        <v>367</v>
      </c>
      <c r="CL1217" s="13" t="n">
        <v>52</v>
      </c>
      <c r="CM1217" s="13" t="n">
        <v>356</v>
      </c>
      <c r="CN1217" s="13" t="n">
        <v>0.824</v>
      </c>
      <c r="CO1217" s="13" t="n">
        <v>147</v>
      </c>
      <c r="CP1217" s="13" t="n">
        <v>127</v>
      </c>
      <c r="CQ1217" s="13" t="n">
        <v>220</v>
      </c>
      <c r="CR1217" s="13" t="n">
        <v>5</v>
      </c>
      <c r="CS1217" s="13" t="n">
        <v>2.4</v>
      </c>
      <c r="CT1217" s="11" t="inlineStr">
        <is>
          <t xml:space="preserve"> Freeski</t>
        </is>
      </c>
      <c r="CU1217" s="11" t="inlineStr">
        <is>
          <t xml:space="preserve"> Powder</t>
        </is>
      </c>
      <c r="CV1217" s="13" t="n"/>
      <c r="CW1217" s="13" t="n"/>
      <c r="CX1217">
        <f>INDEX('Data_Price '!AG$2:AG$1266,MATCH(Data!$DN1217,'Data_Price '!$AT$2:$AT$1266,0))</f>
        <v/>
      </c>
      <c r="CY1217">
        <f>INDEX('Data_Price '!AH$2:AH$1266,MATCH(Data!$DN1217,'Data_Price '!$AT$2:$AT$1266,0))</f>
        <v/>
      </c>
      <c r="CZ1217">
        <f>INDEX('Data_Price '!AI$2:AI$1266,MATCH(Data!$DN1217,'Data_Price '!$AT$2:$AT$1266,0))</f>
        <v/>
      </c>
      <c r="DA1217">
        <f>INDEX('Data_Price '!AJ$2:AJ$1266,MATCH(Data!$DN1217,'Data_Price '!$AT$2:$AT$1266,0))</f>
        <v/>
      </c>
      <c r="DB1217">
        <f>INDEX('Data_Price '!AK$2:AK$1266,MATCH(Data!$DN1217,'Data_Price '!$AT$2:$AT$1266,0))</f>
        <v/>
      </c>
      <c r="DC1217">
        <f>INDEX('Data_Price '!AL$2:AL$1266,MATCH(Data!$DN1217,'Data_Price '!$AT$2:$AT$1266,0))</f>
        <v/>
      </c>
      <c r="DD1217">
        <f>INDEX('Data_Price '!AM$2:AM$1266,MATCH(Data!$DN1217,'Data_Price '!$AT$2:$AT$1266,0))</f>
        <v/>
      </c>
      <c r="DE1217">
        <f>INDEX('Data_Price '!AN$2:AN$1266,MATCH(Data!$DN1217,'Data_Price '!$AT$2:$AT$1266,0))</f>
        <v/>
      </c>
      <c r="DF1217">
        <f>INDEX('Data_Price '!AO$2:AO$1266,MATCH(Data!$DN1217,'Data_Price '!$AT$2:$AT$1266,0))</f>
        <v/>
      </c>
      <c r="DG1217">
        <f>INDEX('Data_Price '!AP$2:AP$1266,MATCH(Data!$DN1217,'Data_Price '!$AT$2:$AT$1266,0))</f>
        <v/>
      </c>
      <c r="DH1217">
        <f>INDEX('Data_Price '!AQ$2:AQ$1266,MATCH(Data!$DN1217,'Data_Price '!$AT$2:$AT$1266,0))</f>
        <v/>
      </c>
      <c r="DI1217">
        <f>INDEX('Data_Price '!AR$2:AR$1266,MATCH(Data!$DN1217,'Data_Price '!$AT$2:$AT$1266,0))</f>
        <v/>
      </c>
      <c r="DJ1217" s="138">
        <f>DA1217</f>
        <v/>
      </c>
      <c r="DK1217" s="138">
        <f>DE1217</f>
        <v/>
      </c>
      <c r="DL1217" s="138">
        <f>DI1217</f>
        <v/>
      </c>
      <c r="DM1217" s="303">
        <f>IF(LEFT(BT1217,1)=" ",RIGHT(BT1217,LEN(BT1217)-1),BT1217)</f>
        <v/>
      </c>
      <c r="DN1217" s="138">
        <f>_xlfn.CONCAT(BS1217,DM1217,BU1217,BV1217)</f>
        <v/>
      </c>
      <c r="DO1217" s="307" t="n"/>
    </row>
    <row r="1218" ht="15.6" customHeight="1" s="184">
      <c r="B1218" s="303">
        <f t="array" ref="B1218">IF(OR(ISERROR(K1218:P1218)),FALSE,TRUE)</f>
        <v/>
      </c>
      <c r="C1218" s="60">
        <f>OR(BR1218=Driver!$G$50,Data!BR987=Driver!$H$50)</f>
        <v/>
      </c>
      <c r="D1218" s="60">
        <f>OR(BV1218=Driver!$G$51,BV1218=Driver!$H$51)</f>
        <v/>
      </c>
      <c r="E1218" s="60">
        <f>AND(BX1218&gt;Driver!$F$54,BX1218&lt;Driver!$G$54)</f>
        <v/>
      </c>
      <c r="F1218" s="60">
        <f>CL1218&gt;Driver!$F$56</f>
        <v/>
      </c>
      <c r="G1218" s="60">
        <f>AND(CB1218&gt;Driver!$F$55,CB1218&lt;Driver!$G$55)</f>
        <v/>
      </c>
      <c r="H1218" s="60">
        <f>AND(B1218:G1218)</f>
        <v/>
      </c>
      <c r="I1218" s="60">
        <f>COUNTIFS($H$9:$H$1273,TRUE,$BT$9:$BT$1273,BT1218)</f>
        <v/>
      </c>
      <c r="J1218" s="60">
        <f t="array" ref="J1218">NOT(OR(($H$9:$H$1273=TRUE)*($I$9:$I$1273&gt;0)*($BT$9:$BT$1273=BT1218)*($K$9:$K$1273&gt;K1218)))</f>
        <v/>
      </c>
      <c r="K1218" s="108">
        <f>IFERROR(1-AVERAGE(X1218:Y1218),"")</f>
        <v/>
      </c>
      <c r="L1218" s="108">
        <f>1-X1218</f>
        <v/>
      </c>
      <c r="M1218" s="108">
        <f>1-Y1218</f>
        <v/>
      </c>
      <c r="N1218" s="108">
        <f>1-Z1218</f>
        <v/>
      </c>
      <c r="O1218" s="108">
        <f>1-AA1218</f>
        <v/>
      </c>
      <c r="P1218" s="108">
        <f>1-AB1218</f>
        <v/>
      </c>
      <c r="Q1218" s="108" t="n"/>
      <c r="R1218" s="108" t="n"/>
      <c r="S1218" s="108">
        <f>1-AE1218</f>
        <v/>
      </c>
      <c r="T1218" s="108">
        <f>1-AF1218</f>
        <v/>
      </c>
      <c r="U1218" s="108">
        <f>1-AG1218</f>
        <v/>
      </c>
      <c r="V1218" s="108">
        <f>1-AH1218</f>
        <v/>
      </c>
      <c r="W1218" s="108">
        <f>1-AI1218</f>
        <v/>
      </c>
      <c r="X1218" s="108">
        <f>ABS(AJ1218-AJ$1)</f>
        <v/>
      </c>
      <c r="Y1218" s="108">
        <f>AVERAGE(Z1218:AB1218)</f>
        <v/>
      </c>
      <c r="Z1218" s="108">
        <f>ABS(AL1218-AL$1)</f>
        <v/>
      </c>
      <c r="AA1218" s="108">
        <f>ABS(AM1218-AM$1)</f>
        <v/>
      </c>
      <c r="AB1218" s="108">
        <f>ABS(AN1218-AN$1)</f>
        <v/>
      </c>
      <c r="AC1218" s="108" t="n"/>
      <c r="AD1218" s="108" t="n"/>
      <c r="AE1218" s="108">
        <f>ABS(AQ$1-AQ1218)</f>
        <v/>
      </c>
      <c r="AF1218" s="108">
        <f>ABS(AR$1-AR1218)</f>
        <v/>
      </c>
      <c r="AG1218" s="108">
        <f>ABS(AS$1-AS1218)</f>
        <v/>
      </c>
      <c r="AH1218" s="108">
        <f>ABS(AT$1-AT1218)</f>
        <v/>
      </c>
      <c r="AI1218" s="108">
        <f>ABS(AU$1-AU1218)</f>
        <v/>
      </c>
      <c r="AJ1218" s="108">
        <f>(AV1218-Driver!$K$179)/(Driver!$L$179-Driver!$K$179)</f>
        <v/>
      </c>
      <c r="AK1218" s="108">
        <f>(AW1218-Driver!$K$180)/(Driver!$L$180-Driver!$K$180)</f>
        <v/>
      </c>
      <c r="AL1218" s="108">
        <f>(AX1218-Driver!$K$181)/(Driver!$L$181-Driver!$K$181)</f>
        <v/>
      </c>
      <c r="AM1218" s="108">
        <f>(AY1218-Driver!$K$182)/(Driver!$L$182-Driver!$K$182)</f>
        <v/>
      </c>
      <c r="AN1218" s="108">
        <f>(AZ1218-Driver!$K$183)/(Driver!$L$183-Driver!$K$183)</f>
        <v/>
      </c>
      <c r="AO1218" s="108" t="n"/>
      <c r="AP1218" s="108" t="n"/>
      <c r="AQ1218" s="108">
        <f>(BC1218-Driver!$K$188)/(Driver!$L$188-Driver!$K$188)</f>
        <v/>
      </c>
      <c r="AR1218" s="108">
        <f>MIN((BD1218-Driver!$K$189)/(Driver!$L$189-Driver!$K$189),100%)</f>
        <v/>
      </c>
      <c r="AS1218" s="108">
        <f>(BE1218-Driver!$K$190)/(Driver!$L$190-Driver!$K$190)</f>
        <v/>
      </c>
      <c r="AT1218" s="108">
        <f>(BF1218-Driver!$K$191)/(Driver!$L$191-Driver!$K$191)</f>
        <v/>
      </c>
      <c r="AU1218" s="108">
        <f>(BG1218-Driver!$K$192)/(Driver!$L$192-Driver!$K$192)</f>
        <v/>
      </c>
      <c r="AV1218" s="105">
        <f>IFERROR(BM1218*BJ1218^1/4,"")</f>
        <v/>
      </c>
      <c r="AW1218" s="105">
        <f>IFERROR(SUM(AX1218:AZ1218),"")</f>
        <v/>
      </c>
      <c r="AX1218" s="105">
        <f>IFERROR(BH1218,"")</f>
        <v/>
      </c>
      <c r="AY1218" s="105">
        <f>IFERROR(Driver!$K$19/Data!BH1218/Data!BI1218*Data!BK1218*Data!BL1218,"")</f>
        <v/>
      </c>
      <c r="AZ1218" s="105">
        <f>IFERROR(BI1218*BN1218,"")</f>
        <v/>
      </c>
      <c r="BA1218" s="105" t="n"/>
      <c r="BB1218" s="105" t="n"/>
      <c r="BC1218" s="105">
        <f>IFERROR(BI1218*BN1218*BK1218/BJ1218^(1/2),"")</f>
        <v/>
      </c>
      <c r="BD1218" s="105">
        <f>IFERROR(BH1218*BM1218*BL1218/BJ1218/BK1218,"")</f>
        <v/>
      </c>
      <c r="BE1218" s="105">
        <f>IFERROR(MIN(BI1218/BQ1218/BP1218/BO1218/BH1218,$BE$1),"")</f>
        <v/>
      </c>
      <c r="BF1218" s="105">
        <f>IFERROR(BJ1218*BO1218*BP1218/BK1218,"")</f>
        <v/>
      </c>
      <c r="BG1218" s="105">
        <f>IFERROR(1/BM1218/BH1218*BQ1218,"")</f>
        <v/>
      </c>
      <c r="BH1218" s="102">
        <f>MAX((CE1218-Driver!$F$200)/(Driver!$G$200-Driver!$F$200)*$BI$1,1)</f>
        <v/>
      </c>
      <c r="BI1218" s="102">
        <f>MAX($BI$1*(BY1218-Driver!$F$201)/(Driver!$G$201-Driver!$F$201),1)</f>
        <v/>
      </c>
      <c r="BJ1218" s="102">
        <f>(CB1218-Driver!$F$206)/(Driver!$G$206-Driver!$F$206)*$BI$1</f>
        <v/>
      </c>
      <c r="BK1218" s="102">
        <f>(CD1218-Driver!$F$203)/(Driver!$G$203-Driver!$F$203)*$BI$1</f>
        <v/>
      </c>
      <c r="BL1218" s="102">
        <f>MAX((CR1218-Driver!$F$202)/(Driver!$G$202-Driver!$F$202)*$BI$1,1)</f>
        <v/>
      </c>
      <c r="BM1218" s="102">
        <f>MAX((CH1218-Driver!$F$204)/(Driver!$G$204-Driver!$F$204)*$BI$1,1)</f>
        <v/>
      </c>
      <c r="BN1218" s="102">
        <f>(CI1218-Driver!$F$205)/(Driver!$G$205-Driver!$F$205)*$BI$1</f>
        <v/>
      </c>
      <c r="BO1218" s="102">
        <f>(CK1218-Driver!$F$207)/(Driver!$G$207-Driver!$F$207)*$BI$1</f>
        <v/>
      </c>
      <c r="BP1218" s="102">
        <f>(CM1218-Driver!$F$208)/(Driver!$G$208-Driver!$F$208)*$BI$1</f>
        <v/>
      </c>
      <c r="BQ1218" s="102">
        <f>(CL1218-Driver!$F$209)/(Driver!$G$209-Driver!$F$209)*$BI$1</f>
        <v/>
      </c>
      <c r="BR1218" s="40" t="inlineStr">
        <is>
          <t>21/22</t>
        </is>
      </c>
      <c r="BS1218" s="10" t="inlineStr">
        <is>
          <t xml:space="preserve"> Rossignol</t>
        </is>
      </c>
      <c r="BT1218" s="11" t="inlineStr">
        <is>
          <t xml:space="preserve"> Blackops Sender</t>
        </is>
      </c>
      <c r="BU1218" s="13" t="n">
        <v>186</v>
      </c>
      <c r="BV1218" s="11" t="inlineStr">
        <is>
          <t xml:space="preserve"> Unisex</t>
        </is>
      </c>
      <c r="BW1218" s="13" t="n">
        <v>186</v>
      </c>
      <c r="BX1218" s="13" t="n">
        <v>186.4</v>
      </c>
      <c r="BY1218" s="13" t="n">
        <v>138</v>
      </c>
      <c r="BZ1218" s="13" t="n">
        <v>159</v>
      </c>
      <c r="CA1218" s="13" t="n">
        <v>137</v>
      </c>
      <c r="CB1218" s="13" t="n">
        <v>104</v>
      </c>
      <c r="CC1218" s="13" t="n">
        <v>127</v>
      </c>
      <c r="CD1218" s="13" t="n">
        <v>20.9</v>
      </c>
      <c r="CE1218" s="13" t="n">
        <v>2060</v>
      </c>
      <c r="CF1218" s="13" t="n">
        <v>1.04</v>
      </c>
      <c r="CG1218" s="13" t="n">
        <v>2141</v>
      </c>
      <c r="CH1218" s="13" t="n">
        <v>287</v>
      </c>
      <c r="CI1218" s="13" t="n">
        <v>138</v>
      </c>
      <c r="CJ1218" s="13" t="n">
        <v>50</v>
      </c>
      <c r="CK1218" s="13" t="n">
        <v>301</v>
      </c>
      <c r="CL1218" s="13" t="n">
        <v>12</v>
      </c>
      <c r="CM1218" s="13" t="n">
        <v>182</v>
      </c>
      <c r="CN1218" s="13" t="n">
        <v>0.228</v>
      </c>
      <c r="CO1218" s="13" t="n">
        <v>163</v>
      </c>
      <c r="CP1218" s="13" t="n">
        <v>107</v>
      </c>
      <c r="CQ1218" s="13" t="n">
        <v>138</v>
      </c>
      <c r="CR1218" s="13" t="n">
        <v>6</v>
      </c>
      <c r="CS1218" s="13" t="n">
        <v>7.5</v>
      </c>
      <c r="CT1218" s="11" t="inlineStr">
        <is>
          <t xml:space="preserve"> Resort Freeride</t>
        </is>
      </c>
      <c r="CU1218" s="11" t="inlineStr">
        <is>
          <t xml:space="preserve"> Big Mountain</t>
        </is>
      </c>
      <c r="CV1218" s="13" t="n"/>
      <c r="CW1218" s="13" t="n"/>
      <c r="CX1218">
        <f>INDEX('Data_Price '!AG$2:AG$1266,MATCH(Data!$DN1218,'Data_Price '!$AT$2:$AT$1266,0))</f>
        <v/>
      </c>
      <c r="CY1218">
        <f>INDEX('Data_Price '!AH$2:AH$1266,MATCH(Data!$DN1218,'Data_Price '!$AT$2:$AT$1266,0))</f>
        <v/>
      </c>
      <c r="CZ1218">
        <f>INDEX('Data_Price '!AI$2:AI$1266,MATCH(Data!$DN1218,'Data_Price '!$AT$2:$AT$1266,0))</f>
        <v/>
      </c>
      <c r="DA1218">
        <f>INDEX('Data_Price '!AJ$2:AJ$1266,MATCH(Data!$DN1218,'Data_Price '!$AT$2:$AT$1266,0))</f>
        <v/>
      </c>
      <c r="DB1218">
        <f>INDEX('Data_Price '!AK$2:AK$1266,MATCH(Data!$DN1218,'Data_Price '!$AT$2:$AT$1266,0))</f>
        <v/>
      </c>
      <c r="DC1218">
        <f>INDEX('Data_Price '!AL$2:AL$1266,MATCH(Data!$DN1218,'Data_Price '!$AT$2:$AT$1266,0))</f>
        <v/>
      </c>
      <c r="DD1218">
        <f>INDEX('Data_Price '!AM$2:AM$1266,MATCH(Data!$DN1218,'Data_Price '!$AT$2:$AT$1266,0))</f>
        <v/>
      </c>
      <c r="DE1218">
        <f>INDEX('Data_Price '!AN$2:AN$1266,MATCH(Data!$DN1218,'Data_Price '!$AT$2:$AT$1266,0))</f>
        <v/>
      </c>
      <c r="DF1218">
        <f>INDEX('Data_Price '!AO$2:AO$1266,MATCH(Data!$DN1218,'Data_Price '!$AT$2:$AT$1266,0))</f>
        <v/>
      </c>
      <c r="DG1218">
        <f>INDEX('Data_Price '!AP$2:AP$1266,MATCH(Data!$DN1218,'Data_Price '!$AT$2:$AT$1266,0))</f>
        <v/>
      </c>
      <c r="DH1218">
        <f>INDEX('Data_Price '!AQ$2:AQ$1266,MATCH(Data!$DN1218,'Data_Price '!$AT$2:$AT$1266,0))</f>
        <v/>
      </c>
      <c r="DI1218">
        <f>INDEX('Data_Price '!AR$2:AR$1266,MATCH(Data!$DN1218,'Data_Price '!$AT$2:$AT$1266,0))</f>
        <v/>
      </c>
      <c r="DJ1218" s="138">
        <f>DA1218</f>
        <v/>
      </c>
      <c r="DK1218" s="138">
        <f>DE1218</f>
        <v/>
      </c>
      <c r="DL1218" s="138">
        <f>DI1218</f>
        <v/>
      </c>
      <c r="DM1218" s="303">
        <f>IF(LEFT(BT1218,1)=" ",RIGHT(BT1218,LEN(BT1218)-1),BT1218)</f>
        <v/>
      </c>
      <c r="DN1218" s="138">
        <f>_xlfn.CONCAT(BS1218,DM1218,BU1218,BV1218)</f>
        <v/>
      </c>
      <c r="DO1218" s="307" t="n"/>
    </row>
    <row r="1219" ht="15.6" customHeight="1" s="184">
      <c r="B1219" s="303">
        <f t="array" ref="B1219">IF(OR(ISERROR(K1219:P1219)),FALSE,TRUE)</f>
        <v/>
      </c>
      <c r="C1219" s="60">
        <f>OR(BR1219=Driver!$G$50,Data!BR602=Driver!$H$50)</f>
        <v/>
      </c>
      <c r="D1219" s="60">
        <f>OR(BV1219=Driver!$G$51,BV1219=Driver!$H$51)</f>
        <v/>
      </c>
      <c r="E1219" s="60">
        <f>AND(BX1219&gt;Driver!$F$54,BX1219&lt;Driver!$G$54)</f>
        <v/>
      </c>
      <c r="F1219" s="60">
        <f>CL1219&gt;Driver!$F$56</f>
        <v/>
      </c>
      <c r="G1219" s="60">
        <f>AND(CB1219&gt;Driver!$F$55,CB1219&lt;Driver!$G$55)</f>
        <v/>
      </c>
      <c r="H1219" s="60">
        <f>AND(B1219:G1219)</f>
        <v/>
      </c>
      <c r="I1219" s="60">
        <f>COUNTIFS($H$9:$H$1273,TRUE,$BT$9:$BT$1273,BT1219)</f>
        <v/>
      </c>
      <c r="J1219" s="60">
        <f t="array" ref="J1219">NOT(OR(($H$9:$H$1273=TRUE)*($I$9:$I$1273&gt;0)*($BT$9:$BT$1273=BT1219)*($K$9:$K$1273&gt;K1219)))</f>
        <v/>
      </c>
      <c r="K1219" s="108">
        <f>IFERROR(1-AVERAGE(X1219:Y1219),"")</f>
        <v/>
      </c>
      <c r="L1219" s="108">
        <f>1-X1219</f>
        <v/>
      </c>
      <c r="M1219" s="108">
        <f>1-Y1219</f>
        <v/>
      </c>
      <c r="N1219" s="108">
        <f>1-Z1219</f>
        <v/>
      </c>
      <c r="O1219" s="108">
        <f>1-AA1219</f>
        <v/>
      </c>
      <c r="P1219" s="108">
        <f>1-AB1219</f>
        <v/>
      </c>
      <c r="Q1219" s="108" t="n"/>
      <c r="R1219" s="108" t="n"/>
      <c r="S1219" s="108">
        <f>1-AE1219</f>
        <v/>
      </c>
      <c r="T1219" s="108">
        <f>1-AF1219</f>
        <v/>
      </c>
      <c r="U1219" s="108">
        <f>1-AG1219</f>
        <v/>
      </c>
      <c r="V1219" s="108">
        <f>1-AH1219</f>
        <v/>
      </c>
      <c r="W1219" s="108">
        <f>1-AI1219</f>
        <v/>
      </c>
      <c r="X1219" s="108">
        <f>ABS(AJ1219-AJ$1)</f>
        <v/>
      </c>
      <c r="Y1219" s="108">
        <f>AVERAGE(Z1219:AB1219)</f>
        <v/>
      </c>
      <c r="Z1219" s="108">
        <f>ABS(AL1219-AL$1)</f>
        <v/>
      </c>
      <c r="AA1219" s="108">
        <f>ABS(AM1219-AM$1)</f>
        <v/>
      </c>
      <c r="AB1219" s="108">
        <f>ABS(AN1219-AN$1)</f>
        <v/>
      </c>
      <c r="AC1219" s="108" t="n"/>
      <c r="AD1219" s="108" t="n"/>
      <c r="AE1219" s="108">
        <f>ABS(AQ$1-AQ1219)</f>
        <v/>
      </c>
      <c r="AF1219" s="108">
        <f>ABS(AR$1-AR1219)</f>
        <v/>
      </c>
      <c r="AG1219" s="108">
        <f>ABS(AS$1-AS1219)</f>
        <v/>
      </c>
      <c r="AH1219" s="108">
        <f>ABS(AT$1-AT1219)</f>
        <v/>
      </c>
      <c r="AI1219" s="108">
        <f>ABS(AU$1-AU1219)</f>
        <v/>
      </c>
      <c r="AJ1219" s="108">
        <f>(AV1219-Driver!$K$179)/(Driver!$L$179-Driver!$K$179)</f>
        <v/>
      </c>
      <c r="AK1219" s="108">
        <f>(AW1219-Driver!$K$180)/(Driver!$L$180-Driver!$K$180)</f>
        <v/>
      </c>
      <c r="AL1219" s="108">
        <f>(AX1219-Driver!$K$181)/(Driver!$L$181-Driver!$K$181)</f>
        <v/>
      </c>
      <c r="AM1219" s="108">
        <f>(AY1219-Driver!$K$182)/(Driver!$L$182-Driver!$K$182)</f>
        <v/>
      </c>
      <c r="AN1219" s="108">
        <f>(AZ1219-Driver!$K$183)/(Driver!$L$183-Driver!$K$183)</f>
        <v/>
      </c>
      <c r="AO1219" s="108" t="n"/>
      <c r="AP1219" s="108" t="n"/>
      <c r="AQ1219" s="108">
        <f>(BC1219-Driver!$K$188)/(Driver!$L$188-Driver!$K$188)</f>
        <v/>
      </c>
      <c r="AR1219" s="108">
        <f>MIN((BD1219-Driver!$K$189)/(Driver!$L$189-Driver!$K$189),100%)</f>
        <v/>
      </c>
      <c r="AS1219" s="108">
        <f>(BE1219-Driver!$K$190)/(Driver!$L$190-Driver!$K$190)</f>
        <v/>
      </c>
      <c r="AT1219" s="108">
        <f>(BF1219-Driver!$K$191)/(Driver!$L$191-Driver!$K$191)</f>
        <v/>
      </c>
      <c r="AU1219" s="108">
        <f>(BG1219-Driver!$K$192)/(Driver!$L$192-Driver!$K$192)</f>
        <v/>
      </c>
      <c r="AV1219" s="105">
        <f>IFERROR(BM1219*BJ1219^1/4,"")</f>
        <v/>
      </c>
      <c r="AW1219" s="105">
        <f>IFERROR(SUM(AX1219:AZ1219),"")</f>
        <v/>
      </c>
      <c r="AX1219" s="105">
        <f>IFERROR(BH1219,"")</f>
        <v/>
      </c>
      <c r="AY1219" s="105">
        <f>IFERROR(Driver!$K$19/Data!BH1219/Data!BI1219*Data!BK1219*Data!BL1219,"")</f>
        <v/>
      </c>
      <c r="AZ1219" s="105">
        <f>IFERROR(BI1219*BN1219,"")</f>
        <v/>
      </c>
      <c r="BA1219" s="105" t="n"/>
      <c r="BB1219" s="105" t="n"/>
      <c r="BC1219" s="105">
        <f>IFERROR(BI1219*BN1219*BK1219/BJ1219^(1/2),"")</f>
        <v/>
      </c>
      <c r="BD1219" s="105">
        <f>IFERROR(BH1219*BM1219*BL1219/BJ1219/BK1219,"")</f>
        <v/>
      </c>
      <c r="BE1219" s="105">
        <f>IFERROR(MIN(BI1219/BQ1219/BP1219/BO1219/BH1219,$BE$1),"")</f>
        <v/>
      </c>
      <c r="BF1219" s="105">
        <f>IFERROR(BJ1219*BO1219*BP1219/BK1219,"")</f>
        <v/>
      </c>
      <c r="BG1219" s="105">
        <f>IFERROR(1/BM1219/BH1219*BQ1219,"")</f>
        <v/>
      </c>
      <c r="BH1219" s="102">
        <f>MAX((CE1219-Driver!$F$200)/(Driver!$G$200-Driver!$F$200)*$BI$1,1)</f>
        <v/>
      </c>
      <c r="BI1219" s="102">
        <f>MAX($BI$1*(BY1219-Driver!$F$201)/(Driver!$G$201-Driver!$F$201),1)</f>
        <v/>
      </c>
      <c r="BJ1219" s="102">
        <f>(CB1219-Driver!$F$206)/(Driver!$G$206-Driver!$F$206)*$BI$1</f>
        <v/>
      </c>
      <c r="BK1219" s="102">
        <f>(CD1219-Driver!$F$203)/(Driver!$G$203-Driver!$F$203)*$BI$1</f>
        <v/>
      </c>
      <c r="BL1219" s="102">
        <f>MAX((CR1219-Driver!$F$202)/(Driver!$G$202-Driver!$F$202)*$BI$1,1)</f>
        <v/>
      </c>
      <c r="BM1219" s="102">
        <f>MAX((CH1219-Driver!$F$204)/(Driver!$G$204-Driver!$F$204)*$BI$1,1)</f>
        <v/>
      </c>
      <c r="BN1219" s="102">
        <f>(CI1219-Driver!$F$205)/(Driver!$G$205-Driver!$F$205)*$BI$1</f>
        <v/>
      </c>
      <c r="BO1219" s="102">
        <f>(CK1219-Driver!$F$207)/(Driver!$G$207-Driver!$F$207)*$BI$1</f>
        <v/>
      </c>
      <c r="BP1219" s="102">
        <f>(CM1219-Driver!$F$208)/(Driver!$G$208-Driver!$F$208)*$BI$1</f>
        <v/>
      </c>
      <c r="BQ1219" s="102">
        <f>(CL1219-Driver!$F$209)/(Driver!$G$209-Driver!$F$209)*$BI$1</f>
        <v/>
      </c>
      <c r="BR1219" s="40" t="inlineStr">
        <is>
          <t>21/22</t>
        </is>
      </c>
      <c r="BS1219" s="10" t="inlineStr">
        <is>
          <t xml:space="preserve"> Head</t>
        </is>
      </c>
      <c r="BT1219" s="11" t="inlineStr">
        <is>
          <t>Kore 105</t>
        </is>
      </c>
      <c r="BU1219" s="13" t="n">
        <v>184</v>
      </c>
      <c r="BV1219" s="11" t="inlineStr">
        <is>
          <t xml:space="preserve"> Unisex</t>
        </is>
      </c>
      <c r="BW1219" s="13" t="n">
        <v>184</v>
      </c>
      <c r="BX1219" s="13" t="n">
        <v>183.9</v>
      </c>
      <c r="BY1219" s="13" t="n">
        <v>141</v>
      </c>
      <c r="BZ1219" s="13" t="n">
        <v>142</v>
      </c>
      <c r="CA1219" s="13" t="n">
        <v>135</v>
      </c>
      <c r="CB1219" s="13" t="n">
        <v>104</v>
      </c>
      <c r="CC1219" s="13" t="n">
        <v>123</v>
      </c>
      <c r="CD1219" s="13" t="n">
        <v>18.2</v>
      </c>
      <c r="CE1219" s="13" t="n">
        <v>1851</v>
      </c>
      <c r="CF1219" s="13" t="n">
        <v>1.14</v>
      </c>
      <c r="CG1219" s="13" t="n">
        <v>2105</v>
      </c>
      <c r="CH1219" s="13" t="n">
        <v>302</v>
      </c>
      <c r="CI1219" s="13" t="n">
        <v>148</v>
      </c>
      <c r="CJ1219" s="13" t="n">
        <v>52</v>
      </c>
      <c r="CK1219" s="13" t="n">
        <v>249</v>
      </c>
      <c r="CL1219" s="13" t="n">
        <v>22</v>
      </c>
      <c r="CM1219" s="13" t="n">
        <v>184</v>
      </c>
      <c r="CN1219" s="13" t="n">
        <v>0.417</v>
      </c>
      <c r="CO1219" s="13" t="n">
        <v>266</v>
      </c>
      <c r="CP1219" s="13" t="n">
        <v>157</v>
      </c>
      <c r="CQ1219" s="13" t="n">
        <v>-17</v>
      </c>
      <c r="CR1219" s="13" t="n">
        <v>8</v>
      </c>
      <c r="CS1219" s="13" t="n">
        <v>11</v>
      </c>
      <c r="CT1219" s="11" t="inlineStr">
        <is>
          <t xml:space="preserve"> Resort Freeride</t>
        </is>
      </c>
      <c r="CU1219" s="11" t="inlineStr">
        <is>
          <t xml:space="preserve"> Powder</t>
        </is>
      </c>
      <c r="CV1219" s="11" t="inlineStr">
        <is>
          <t xml:space="preserve"> Touring</t>
        </is>
      </c>
      <c r="CW1219" s="13" t="n"/>
      <c r="CX1219">
        <f>INDEX('Data_Price '!AG$2:AG$1266,MATCH(Data!$DN1219,'Data_Price '!$AT$2:$AT$1266,0))</f>
        <v/>
      </c>
      <c r="CY1219">
        <f>INDEX('Data_Price '!AH$2:AH$1266,MATCH(Data!$DN1219,'Data_Price '!$AT$2:$AT$1266,0))</f>
        <v/>
      </c>
      <c r="CZ1219">
        <f>INDEX('Data_Price '!AI$2:AI$1266,MATCH(Data!$DN1219,'Data_Price '!$AT$2:$AT$1266,0))</f>
        <v/>
      </c>
      <c r="DA1219">
        <f>INDEX('Data_Price '!AJ$2:AJ$1266,MATCH(Data!$DN1219,'Data_Price '!$AT$2:$AT$1266,0))</f>
        <v/>
      </c>
      <c r="DB1219">
        <f>INDEX('Data_Price '!AK$2:AK$1266,MATCH(Data!$DN1219,'Data_Price '!$AT$2:$AT$1266,0))</f>
        <v/>
      </c>
      <c r="DC1219">
        <f>INDEX('Data_Price '!AL$2:AL$1266,MATCH(Data!$DN1219,'Data_Price '!$AT$2:$AT$1266,0))</f>
        <v/>
      </c>
      <c r="DD1219">
        <f>INDEX('Data_Price '!AM$2:AM$1266,MATCH(Data!$DN1219,'Data_Price '!$AT$2:$AT$1266,0))</f>
        <v/>
      </c>
      <c r="DE1219">
        <f>INDEX('Data_Price '!AN$2:AN$1266,MATCH(Data!$DN1219,'Data_Price '!$AT$2:$AT$1266,0))</f>
        <v/>
      </c>
      <c r="DF1219">
        <f>INDEX('Data_Price '!AO$2:AO$1266,MATCH(Data!$DN1219,'Data_Price '!$AT$2:$AT$1266,0))</f>
        <v/>
      </c>
      <c r="DG1219">
        <f>INDEX('Data_Price '!AP$2:AP$1266,MATCH(Data!$DN1219,'Data_Price '!$AT$2:$AT$1266,0))</f>
        <v/>
      </c>
      <c r="DH1219">
        <f>INDEX('Data_Price '!AQ$2:AQ$1266,MATCH(Data!$DN1219,'Data_Price '!$AT$2:$AT$1266,0))</f>
        <v/>
      </c>
      <c r="DI1219">
        <f>INDEX('Data_Price '!AR$2:AR$1266,MATCH(Data!$DN1219,'Data_Price '!$AT$2:$AT$1266,0))</f>
        <v/>
      </c>
      <c r="DJ1219" s="138">
        <f>DA1219</f>
        <v/>
      </c>
      <c r="DK1219" s="138">
        <f>DE1219</f>
        <v/>
      </c>
      <c r="DL1219" s="138">
        <f>DI1219</f>
        <v/>
      </c>
      <c r="DM1219" s="303">
        <f>IF(LEFT(BT1219,1)=" ",RIGHT(BT1219,LEN(BT1219)-1),BT1219)</f>
        <v/>
      </c>
      <c r="DN1219" s="138">
        <f>_xlfn.CONCAT(BS1219,DM1219,BU1219,BV1219)</f>
        <v/>
      </c>
      <c r="DO1219" s="307" t="inlineStr">
        <is>
          <t>https://images.evo.com/imgp/250/208271/832640/head-kore-105-skis-2022-.jpg</t>
        </is>
      </c>
    </row>
    <row r="1220" ht="15.6" customHeight="1" s="184">
      <c r="B1220" s="303">
        <f t="array" ref="B1220">IF(OR(ISERROR(K1220:P1220)),FALSE,TRUE)</f>
        <v/>
      </c>
      <c r="C1220" s="60">
        <f>OR(BR1220=Driver!$G$50,Data!BR115=Driver!$H$50)</f>
        <v/>
      </c>
      <c r="D1220" s="60">
        <f>OR(BV1220=Driver!$G$51,BV1220=Driver!$H$51)</f>
        <v/>
      </c>
      <c r="E1220" s="60">
        <f>AND(BX1220&gt;Driver!$F$54,BX1220&lt;Driver!$G$54)</f>
        <v/>
      </c>
      <c r="F1220" s="60">
        <f>CL1220&gt;Driver!$F$56</f>
        <v/>
      </c>
      <c r="G1220" s="60">
        <f>AND(CB1220&gt;Driver!$F$55,CB1220&lt;Driver!$G$55)</f>
        <v/>
      </c>
      <c r="H1220" s="60">
        <f>AND(B1220:G1220)</f>
        <v/>
      </c>
      <c r="I1220" s="60">
        <f>COUNTIFS($H$9:$H$1273,TRUE,$BT$9:$BT$1273,BT1220)</f>
        <v/>
      </c>
      <c r="J1220" s="60">
        <f t="array" ref="J1220">NOT(OR(($H$9:$H$1273=TRUE)*($I$9:$I$1273&gt;0)*($BT$9:$BT$1273=BT1220)*($K$9:$K$1273&gt;K1220)))</f>
        <v/>
      </c>
      <c r="K1220" s="108">
        <f>IFERROR(1-AVERAGE(X1220:Y1220),"")</f>
        <v/>
      </c>
      <c r="L1220" s="108">
        <f>1-X1220</f>
        <v/>
      </c>
      <c r="M1220" s="108">
        <f>1-Y1220</f>
        <v/>
      </c>
      <c r="N1220" s="108">
        <f>1-Z1220</f>
        <v/>
      </c>
      <c r="O1220" s="108">
        <f>1-AA1220</f>
        <v/>
      </c>
      <c r="P1220" s="108">
        <f>1-AB1220</f>
        <v/>
      </c>
      <c r="Q1220" s="108" t="n"/>
      <c r="R1220" s="108" t="n"/>
      <c r="S1220" s="108">
        <f>1-AE1220</f>
        <v/>
      </c>
      <c r="T1220" s="108">
        <f>1-AF1220</f>
        <v/>
      </c>
      <c r="U1220" s="108">
        <f>1-AG1220</f>
        <v/>
      </c>
      <c r="V1220" s="108">
        <f>1-AH1220</f>
        <v/>
      </c>
      <c r="W1220" s="108">
        <f>1-AI1220</f>
        <v/>
      </c>
      <c r="X1220" s="108">
        <f>ABS(AJ1220-AJ$1)</f>
        <v/>
      </c>
      <c r="Y1220" s="108">
        <f>AVERAGE(Z1220:AB1220)</f>
        <v/>
      </c>
      <c r="Z1220" s="108">
        <f>ABS(AL1220-AL$1)</f>
        <v/>
      </c>
      <c r="AA1220" s="108">
        <f>ABS(AM1220-AM$1)</f>
        <v/>
      </c>
      <c r="AB1220" s="108">
        <f>ABS(AN1220-AN$1)</f>
        <v/>
      </c>
      <c r="AC1220" s="108" t="n"/>
      <c r="AD1220" s="108" t="n"/>
      <c r="AE1220" s="108">
        <f>ABS(AQ$1-AQ1220)</f>
        <v/>
      </c>
      <c r="AF1220" s="108">
        <f>ABS(AR$1-AR1220)</f>
        <v/>
      </c>
      <c r="AG1220" s="108">
        <f>ABS(AS$1-AS1220)</f>
        <v/>
      </c>
      <c r="AH1220" s="108">
        <f>ABS(AT$1-AT1220)</f>
        <v/>
      </c>
      <c r="AI1220" s="108">
        <f>ABS(AU$1-AU1220)</f>
        <v/>
      </c>
      <c r="AJ1220" s="108">
        <f>(AV1220-Driver!$K$179)/(Driver!$L$179-Driver!$K$179)</f>
        <v/>
      </c>
      <c r="AK1220" s="108">
        <f>(AW1220-Driver!$K$180)/(Driver!$L$180-Driver!$K$180)</f>
        <v/>
      </c>
      <c r="AL1220" s="108">
        <f>(AX1220-Driver!$K$181)/(Driver!$L$181-Driver!$K$181)</f>
        <v/>
      </c>
      <c r="AM1220" s="108">
        <f>(AY1220-Driver!$K$182)/(Driver!$L$182-Driver!$K$182)</f>
        <v/>
      </c>
      <c r="AN1220" s="108">
        <f>(AZ1220-Driver!$K$183)/(Driver!$L$183-Driver!$K$183)</f>
        <v/>
      </c>
      <c r="AO1220" s="108" t="n"/>
      <c r="AP1220" s="108" t="n"/>
      <c r="AQ1220" s="108">
        <f>(BC1220-Driver!$K$188)/(Driver!$L$188-Driver!$K$188)</f>
        <v/>
      </c>
      <c r="AR1220" s="108">
        <f>MIN((BD1220-Driver!$K$189)/(Driver!$L$189-Driver!$K$189),100%)</f>
        <v/>
      </c>
      <c r="AS1220" s="108">
        <f>(BE1220-Driver!$K$190)/(Driver!$L$190-Driver!$K$190)</f>
        <v/>
      </c>
      <c r="AT1220" s="108">
        <f>(BF1220-Driver!$K$191)/(Driver!$L$191-Driver!$K$191)</f>
        <v/>
      </c>
      <c r="AU1220" s="108">
        <f>(BG1220-Driver!$K$192)/(Driver!$L$192-Driver!$K$192)</f>
        <v/>
      </c>
      <c r="AV1220" s="105">
        <f>IFERROR(BM1220*BJ1220^1/4,"")</f>
        <v/>
      </c>
      <c r="AW1220" s="105">
        <f>IFERROR(SUM(AX1220:AZ1220),"")</f>
        <v/>
      </c>
      <c r="AX1220" s="105">
        <f>IFERROR(BH1220,"")</f>
        <v/>
      </c>
      <c r="AY1220" s="105">
        <f>IFERROR(Driver!$K$19/Data!BH1220/Data!BI1220*Data!BK1220*Data!BL1220,"")</f>
        <v/>
      </c>
      <c r="AZ1220" s="105">
        <f>IFERROR(BI1220*BN1220,"")</f>
        <v/>
      </c>
      <c r="BA1220" s="105" t="n"/>
      <c r="BB1220" s="105" t="n"/>
      <c r="BC1220" s="105">
        <f>IFERROR(BI1220*BN1220*BK1220/BJ1220^(1/2),"")</f>
        <v/>
      </c>
      <c r="BD1220" s="105">
        <f>IFERROR(BH1220*BM1220*BL1220/BJ1220/BK1220,"")</f>
        <v/>
      </c>
      <c r="BE1220" s="105">
        <f>IFERROR(MIN(BI1220/BQ1220/BP1220/BO1220/BH1220,$BE$1),"")</f>
        <v/>
      </c>
      <c r="BF1220" s="105">
        <f>IFERROR(BJ1220*BO1220*BP1220/BK1220,"")</f>
        <v/>
      </c>
      <c r="BG1220" s="105">
        <f>IFERROR(1/BM1220/BH1220*BQ1220,"")</f>
        <v/>
      </c>
      <c r="BH1220" s="102">
        <f>MAX((CE1220-Driver!$F$200)/(Driver!$G$200-Driver!$F$200)*$BI$1,1)</f>
        <v/>
      </c>
      <c r="BI1220" s="102">
        <f>MAX($BI$1*(BY1220-Driver!$F$201)/(Driver!$G$201-Driver!$F$201),1)</f>
        <v/>
      </c>
      <c r="BJ1220" s="102">
        <f>(CB1220-Driver!$F$206)/(Driver!$G$206-Driver!$F$206)*$BI$1</f>
        <v/>
      </c>
      <c r="BK1220" s="102">
        <f>(CD1220-Driver!$F$203)/(Driver!$G$203-Driver!$F$203)*$BI$1</f>
        <v/>
      </c>
      <c r="BL1220" s="102">
        <f>MAX((CR1220-Driver!$F$202)/(Driver!$G$202-Driver!$F$202)*$BI$1,1)</f>
        <v/>
      </c>
      <c r="BM1220" s="102">
        <f>MAX((CH1220-Driver!$F$204)/(Driver!$G$204-Driver!$F$204)*$BI$1,1)</f>
        <v/>
      </c>
      <c r="BN1220" s="102">
        <f>(CI1220-Driver!$F$205)/(Driver!$G$205-Driver!$F$205)*$BI$1</f>
        <v/>
      </c>
      <c r="BO1220" s="102">
        <f>(CK1220-Driver!$F$207)/(Driver!$G$207-Driver!$F$207)*$BI$1</f>
        <v/>
      </c>
      <c r="BP1220" s="102">
        <f>(CM1220-Driver!$F$208)/(Driver!$G$208-Driver!$F$208)*$BI$1</f>
        <v/>
      </c>
      <c r="BQ1220" s="102">
        <f>(CL1220-Driver!$F$209)/(Driver!$G$209-Driver!$F$209)*$BI$1</f>
        <v/>
      </c>
      <c r="BR1220" s="40" t="inlineStr">
        <is>
          <t>21/22</t>
        </is>
      </c>
      <c r="BS1220" s="10" t="inlineStr">
        <is>
          <t xml:space="preserve"> Armada</t>
        </is>
      </c>
      <c r="BT1220" s="11" t="inlineStr">
        <is>
          <t xml:space="preserve"> Whitewalker</t>
        </is>
      </c>
      <c r="BU1220" s="13" t="n">
        <v>192</v>
      </c>
      <c r="BV1220" s="11" t="inlineStr">
        <is>
          <t xml:space="preserve"> Unisex</t>
        </is>
      </c>
      <c r="BW1220" s="13" t="n">
        <v>192</v>
      </c>
      <c r="BX1220" s="13" t="n">
        <v>190.1</v>
      </c>
      <c r="BY1220" s="13" t="n">
        <v>122</v>
      </c>
      <c r="BZ1220" s="13" t="n">
        <v>141</v>
      </c>
      <c r="CA1220" s="13" t="n">
        <v>139</v>
      </c>
      <c r="CB1220" s="13" t="n">
        <v>115</v>
      </c>
      <c r="CC1220" s="13" t="n">
        <v>135</v>
      </c>
      <c r="CD1220" s="13" t="n">
        <v>19.3</v>
      </c>
      <c r="CE1220" s="13" t="n">
        <v>1981</v>
      </c>
      <c r="CF1220" s="13" t="n">
        <v>1.18</v>
      </c>
      <c r="CG1220" s="13" t="n">
        <v>2337</v>
      </c>
      <c r="CH1220" s="13" t="n">
        <v>281</v>
      </c>
      <c r="CI1220" s="13" t="n">
        <v>152</v>
      </c>
      <c r="CJ1220" s="13" t="n">
        <v>57</v>
      </c>
      <c r="CK1220" s="13" t="n">
        <v>350</v>
      </c>
      <c r="CL1220" s="13" t="n">
        <v>55</v>
      </c>
      <c r="CM1220" s="13" t="n">
        <v>329</v>
      </c>
      <c r="CN1220" s="13" t="n">
        <v>0.956</v>
      </c>
      <c r="CO1220" s="13" t="n">
        <v>258</v>
      </c>
      <c r="CP1220" s="13" t="n">
        <v>229</v>
      </c>
      <c r="CQ1220" s="13" t="n">
        <v>92</v>
      </c>
      <c r="CR1220" s="13" t="n">
        <v>5</v>
      </c>
      <c r="CS1220" s="13" t="n">
        <v>7.6</v>
      </c>
      <c r="CT1220" s="11" t="inlineStr">
        <is>
          <t xml:space="preserve"> Freeski</t>
        </is>
      </c>
      <c r="CU1220" s="11" t="inlineStr">
        <is>
          <t xml:space="preserve"> Powder</t>
        </is>
      </c>
      <c r="CV1220" s="11" t="inlineStr">
        <is>
          <t xml:space="preserve"> Touring</t>
        </is>
      </c>
      <c r="CW1220" s="13" t="n"/>
      <c r="CX1220">
        <f>INDEX('Data_Price '!AG$2:AG$1266,MATCH(Data!$DN1220,'Data_Price '!$AT$2:$AT$1266,0))</f>
        <v/>
      </c>
      <c r="CY1220">
        <f>INDEX('Data_Price '!AH$2:AH$1266,MATCH(Data!$DN1220,'Data_Price '!$AT$2:$AT$1266,0))</f>
        <v/>
      </c>
      <c r="CZ1220">
        <f>INDEX('Data_Price '!AI$2:AI$1266,MATCH(Data!$DN1220,'Data_Price '!$AT$2:$AT$1266,0))</f>
        <v/>
      </c>
      <c r="DA1220">
        <f>INDEX('Data_Price '!AJ$2:AJ$1266,MATCH(Data!$DN1220,'Data_Price '!$AT$2:$AT$1266,0))</f>
        <v/>
      </c>
      <c r="DB1220">
        <f>INDEX('Data_Price '!AK$2:AK$1266,MATCH(Data!$DN1220,'Data_Price '!$AT$2:$AT$1266,0))</f>
        <v/>
      </c>
      <c r="DC1220">
        <f>INDEX('Data_Price '!AL$2:AL$1266,MATCH(Data!$DN1220,'Data_Price '!$AT$2:$AT$1266,0))</f>
        <v/>
      </c>
      <c r="DD1220">
        <f>INDEX('Data_Price '!AM$2:AM$1266,MATCH(Data!$DN1220,'Data_Price '!$AT$2:$AT$1266,0))</f>
        <v/>
      </c>
      <c r="DE1220">
        <f>INDEX('Data_Price '!AN$2:AN$1266,MATCH(Data!$DN1220,'Data_Price '!$AT$2:$AT$1266,0))</f>
        <v/>
      </c>
      <c r="DF1220">
        <f>INDEX('Data_Price '!AO$2:AO$1266,MATCH(Data!$DN1220,'Data_Price '!$AT$2:$AT$1266,0))</f>
        <v/>
      </c>
      <c r="DG1220">
        <f>INDEX('Data_Price '!AP$2:AP$1266,MATCH(Data!$DN1220,'Data_Price '!$AT$2:$AT$1266,0))</f>
        <v/>
      </c>
      <c r="DH1220">
        <f>INDEX('Data_Price '!AQ$2:AQ$1266,MATCH(Data!$DN1220,'Data_Price '!$AT$2:$AT$1266,0))</f>
        <v/>
      </c>
      <c r="DI1220">
        <f>INDEX('Data_Price '!AR$2:AR$1266,MATCH(Data!$DN1220,'Data_Price '!$AT$2:$AT$1266,0))</f>
        <v/>
      </c>
      <c r="DJ1220" s="138">
        <f>DA1220</f>
        <v/>
      </c>
      <c r="DK1220" s="138">
        <f>DE1220</f>
        <v/>
      </c>
      <c r="DL1220" s="138">
        <f>DI1220</f>
        <v/>
      </c>
      <c r="DM1220" s="303">
        <f>IF(LEFT(BT1220,1)=" ",RIGHT(BT1220,LEN(BT1220)-1),BT1220)</f>
        <v/>
      </c>
      <c r="DN1220" s="138">
        <f>_xlfn.CONCAT(BS1220,DM1220,BU1220,BV1220)</f>
        <v/>
      </c>
      <c r="DO1220" s="307" t="inlineStr">
        <is>
          <t>https://images.evo.com/imgp/250/198688/839648/armada-whitewalker-skis-2022-.jpg</t>
        </is>
      </c>
    </row>
    <row r="1221" ht="15.6" customHeight="1" s="184">
      <c r="B1221" s="303">
        <f t="array" ref="B1221">IF(OR(ISERROR(K1221:P1221)),FALSE,TRUE)</f>
        <v/>
      </c>
      <c r="C1221" s="60">
        <f>OR(BR1221=Driver!$G$50,Data!BR1204=Driver!$H$50)</f>
        <v/>
      </c>
      <c r="D1221" s="60">
        <f>OR(BV1221=Driver!$G$51,BV1221=Driver!$H$51)</f>
        <v/>
      </c>
      <c r="E1221" s="60">
        <f>AND(BX1221&gt;Driver!$F$54,BX1221&lt;Driver!$G$54)</f>
        <v/>
      </c>
      <c r="F1221" s="60">
        <f>CL1221&gt;Driver!$F$56</f>
        <v/>
      </c>
      <c r="G1221" s="60">
        <f>AND(CB1221&gt;Driver!$F$55,CB1221&lt;Driver!$G$55)</f>
        <v/>
      </c>
      <c r="H1221" s="60">
        <f>AND(B1221:G1221)</f>
        <v/>
      </c>
      <c r="I1221" s="60">
        <f>COUNTIFS($H$9:$H$1273,TRUE,$BT$9:$BT$1273,BT1221)</f>
        <v/>
      </c>
      <c r="J1221" s="60">
        <f t="array" ref="J1221">NOT(OR(($H$9:$H$1273=TRUE)*($I$9:$I$1273&gt;0)*($BT$9:$BT$1273=BT1221)*($K$9:$K$1273&gt;K1221)))</f>
        <v/>
      </c>
      <c r="K1221" s="108">
        <f>IFERROR(1-AVERAGE(X1221:Y1221),"")</f>
        <v/>
      </c>
      <c r="L1221" s="108">
        <f>1-X1221</f>
        <v/>
      </c>
      <c r="M1221" s="108">
        <f>1-Y1221</f>
        <v/>
      </c>
      <c r="N1221" s="108">
        <f>1-Z1221</f>
        <v/>
      </c>
      <c r="O1221" s="108">
        <f>1-AA1221</f>
        <v/>
      </c>
      <c r="P1221" s="108">
        <f>1-AB1221</f>
        <v/>
      </c>
      <c r="Q1221" s="108" t="n"/>
      <c r="R1221" s="108" t="n"/>
      <c r="S1221" s="108">
        <f>1-AE1221</f>
        <v/>
      </c>
      <c r="T1221" s="108">
        <f>1-AF1221</f>
        <v/>
      </c>
      <c r="U1221" s="108">
        <f>1-AG1221</f>
        <v/>
      </c>
      <c r="V1221" s="108">
        <f>1-AH1221</f>
        <v/>
      </c>
      <c r="W1221" s="108">
        <f>1-AI1221</f>
        <v/>
      </c>
      <c r="X1221" s="108">
        <f>ABS(AJ1221-AJ$1)</f>
        <v/>
      </c>
      <c r="Y1221" s="108">
        <f>AVERAGE(Z1221:AB1221)</f>
        <v/>
      </c>
      <c r="Z1221" s="108">
        <f>ABS(AL1221-AL$1)</f>
        <v/>
      </c>
      <c r="AA1221" s="108">
        <f>ABS(AM1221-AM$1)</f>
        <v/>
      </c>
      <c r="AB1221" s="108">
        <f>ABS(AN1221-AN$1)</f>
        <v/>
      </c>
      <c r="AC1221" s="108" t="n"/>
      <c r="AD1221" s="108" t="n"/>
      <c r="AE1221" s="108">
        <f>ABS(AQ$1-AQ1221)</f>
        <v/>
      </c>
      <c r="AF1221" s="108">
        <f>ABS(AR$1-AR1221)</f>
        <v/>
      </c>
      <c r="AG1221" s="108">
        <f>ABS(AS$1-AS1221)</f>
        <v/>
      </c>
      <c r="AH1221" s="108">
        <f>ABS(AT$1-AT1221)</f>
        <v/>
      </c>
      <c r="AI1221" s="108">
        <f>ABS(AU$1-AU1221)</f>
        <v/>
      </c>
      <c r="AJ1221" s="108">
        <f>(AV1221-Driver!$K$179)/(Driver!$L$179-Driver!$K$179)</f>
        <v/>
      </c>
      <c r="AK1221" s="108">
        <f>(AW1221-Driver!$K$180)/(Driver!$L$180-Driver!$K$180)</f>
        <v/>
      </c>
      <c r="AL1221" s="108">
        <f>(AX1221-Driver!$K$181)/(Driver!$L$181-Driver!$K$181)</f>
        <v/>
      </c>
      <c r="AM1221" s="108">
        <f>(AY1221-Driver!$K$182)/(Driver!$L$182-Driver!$K$182)</f>
        <v/>
      </c>
      <c r="AN1221" s="108">
        <f>(AZ1221-Driver!$K$183)/(Driver!$L$183-Driver!$K$183)</f>
        <v/>
      </c>
      <c r="AO1221" s="108" t="n"/>
      <c r="AP1221" s="108" t="n"/>
      <c r="AQ1221" s="108">
        <f>(BC1221-Driver!$K$188)/(Driver!$L$188-Driver!$K$188)</f>
        <v/>
      </c>
      <c r="AR1221" s="108">
        <f>MIN((BD1221-Driver!$K$189)/(Driver!$L$189-Driver!$K$189),100%)</f>
        <v/>
      </c>
      <c r="AS1221" s="108">
        <f>(BE1221-Driver!$K$190)/(Driver!$L$190-Driver!$K$190)</f>
        <v/>
      </c>
      <c r="AT1221" s="108">
        <f>(BF1221-Driver!$K$191)/(Driver!$L$191-Driver!$K$191)</f>
        <v/>
      </c>
      <c r="AU1221" s="108">
        <f>(BG1221-Driver!$K$192)/(Driver!$L$192-Driver!$K$192)</f>
        <v/>
      </c>
      <c r="AV1221" s="105">
        <f>IFERROR(BM1221*BJ1221^1/4,"")</f>
        <v/>
      </c>
      <c r="AW1221" s="105">
        <f>IFERROR(SUM(AX1221:AZ1221),"")</f>
        <v/>
      </c>
      <c r="AX1221" s="105">
        <f>IFERROR(BH1221,"")</f>
        <v/>
      </c>
      <c r="AY1221" s="105">
        <f>IFERROR(Driver!$K$19/Data!BH1221/Data!BI1221*Data!BK1221*Data!BL1221,"")</f>
        <v/>
      </c>
      <c r="AZ1221" s="105">
        <f>IFERROR(BI1221*BN1221,"")</f>
        <v/>
      </c>
      <c r="BA1221" s="105" t="n"/>
      <c r="BB1221" s="105" t="n"/>
      <c r="BC1221" s="105">
        <f>IFERROR(BI1221*BN1221*BK1221/BJ1221^(1/2),"")</f>
        <v/>
      </c>
      <c r="BD1221" s="105">
        <f>IFERROR(BH1221*BM1221*BL1221/BJ1221/BK1221,"")</f>
        <v/>
      </c>
      <c r="BE1221" s="105">
        <f>IFERROR(MIN(BI1221/BQ1221/BP1221/BO1221/BH1221,$BE$1),"")</f>
        <v/>
      </c>
      <c r="BF1221" s="105">
        <f>IFERROR(BJ1221*BO1221*BP1221/BK1221,"")</f>
        <v/>
      </c>
      <c r="BG1221" s="105">
        <f>IFERROR(1/BM1221/BH1221*BQ1221,"")</f>
        <v/>
      </c>
      <c r="BH1221" s="102">
        <f>MAX((CE1221-Driver!$F$200)/(Driver!$G$200-Driver!$F$200)*$BI$1,1)</f>
        <v/>
      </c>
      <c r="BI1221" s="102">
        <f>MAX($BI$1*(BY1221-Driver!$F$201)/(Driver!$G$201-Driver!$F$201),1)</f>
        <v/>
      </c>
      <c r="BJ1221" s="102">
        <f>(CB1221-Driver!$F$206)/(Driver!$G$206-Driver!$F$206)*$BI$1</f>
        <v/>
      </c>
      <c r="BK1221" s="102">
        <f>(CD1221-Driver!$F$203)/(Driver!$G$203-Driver!$F$203)*$BI$1</f>
        <v/>
      </c>
      <c r="BL1221" s="102">
        <f>MAX((CR1221-Driver!$F$202)/(Driver!$G$202-Driver!$F$202)*$BI$1,1)</f>
        <v/>
      </c>
      <c r="BM1221" s="102">
        <f>MAX((CH1221-Driver!$F$204)/(Driver!$G$204-Driver!$F$204)*$BI$1,1)</f>
        <v/>
      </c>
      <c r="BN1221" s="102">
        <f>(CI1221-Driver!$F$205)/(Driver!$G$205-Driver!$F$205)*$BI$1</f>
        <v/>
      </c>
      <c r="BO1221" s="102">
        <f>(CK1221-Driver!$F$207)/(Driver!$G$207-Driver!$F$207)*$BI$1</f>
        <v/>
      </c>
      <c r="BP1221" s="102">
        <f>(CM1221-Driver!$F$208)/(Driver!$G$208-Driver!$F$208)*$BI$1</f>
        <v/>
      </c>
      <c r="BQ1221" s="102">
        <f>(CL1221-Driver!$F$209)/(Driver!$G$209-Driver!$F$209)*$BI$1</f>
        <v/>
      </c>
      <c r="BR1221" s="40" t="inlineStr">
        <is>
          <t>21/22</t>
        </is>
      </c>
      <c r="BS1221" s="10" t="inlineStr">
        <is>
          <t xml:space="preserve"> Völkl</t>
        </is>
      </c>
      <c r="BT1221" s="11" t="inlineStr">
        <is>
          <t>Katana 108</t>
        </is>
      </c>
      <c r="BU1221" s="13" t="n">
        <v>177</v>
      </c>
      <c r="BV1221" s="11" t="inlineStr">
        <is>
          <t xml:space="preserve"> Unisex</t>
        </is>
      </c>
      <c r="BW1221" s="13" t="n">
        <v>177</v>
      </c>
      <c r="BX1221" s="13" t="n">
        <v>178.1</v>
      </c>
      <c r="BY1221" s="13" t="n">
        <v>135</v>
      </c>
      <c r="BZ1221" s="13" t="n">
        <v>155</v>
      </c>
      <c r="CA1221" s="13" t="n">
        <v>145</v>
      </c>
      <c r="CB1221" s="13" t="n">
        <v>107</v>
      </c>
      <c r="CC1221" s="13" t="n">
        <v>128</v>
      </c>
      <c r="CD1221" s="13" t="n">
        <v>19.4</v>
      </c>
      <c r="CE1221" s="13" t="n">
        <v>2237</v>
      </c>
      <c r="CF1221" s="13" t="n">
        <v>0.95</v>
      </c>
      <c r="CG1221" s="13" t="n">
        <v>2115</v>
      </c>
      <c r="CH1221" s="13" t="n">
        <v>229</v>
      </c>
      <c r="CI1221" s="13" t="n">
        <v>162</v>
      </c>
      <c r="CJ1221" s="13" t="n">
        <v>49</v>
      </c>
      <c r="CK1221" s="13" t="n">
        <v>249</v>
      </c>
      <c r="CL1221" s="13" t="n">
        <v>17</v>
      </c>
      <c r="CM1221" s="13" t="n">
        <v>184</v>
      </c>
      <c r="CN1221" s="13" t="n">
        <v>0.35</v>
      </c>
      <c r="CO1221" s="13" t="n">
        <v>131</v>
      </c>
      <c r="CP1221" s="13" t="n">
        <v>104</v>
      </c>
      <c r="CQ1221" s="13" t="n">
        <v>118</v>
      </c>
      <c r="CR1221" s="13" t="n">
        <v>4</v>
      </c>
      <c r="CS1221" s="13" t="n">
        <v>11.5</v>
      </c>
      <c r="CT1221" s="11" t="inlineStr">
        <is>
          <t xml:space="preserve"> Powder</t>
        </is>
      </c>
      <c r="CU1221" s="11" t="inlineStr">
        <is>
          <t xml:space="preserve"> Big Mountain</t>
        </is>
      </c>
      <c r="CV1221" s="13" t="n"/>
      <c r="CW1221" s="13" t="n"/>
      <c r="CX1221">
        <f>INDEX('Data_Price '!AG$2:AG$1266,MATCH(Data!$DN1221,'Data_Price '!$AT$2:$AT$1266,0))</f>
        <v/>
      </c>
      <c r="CY1221">
        <f>INDEX('Data_Price '!AH$2:AH$1266,MATCH(Data!$DN1221,'Data_Price '!$AT$2:$AT$1266,0))</f>
        <v/>
      </c>
      <c r="CZ1221">
        <f>INDEX('Data_Price '!AI$2:AI$1266,MATCH(Data!$DN1221,'Data_Price '!$AT$2:$AT$1266,0))</f>
        <v/>
      </c>
      <c r="DA1221">
        <f>INDEX('Data_Price '!AJ$2:AJ$1266,MATCH(Data!$DN1221,'Data_Price '!$AT$2:$AT$1266,0))</f>
        <v/>
      </c>
      <c r="DB1221">
        <f>INDEX('Data_Price '!AK$2:AK$1266,MATCH(Data!$DN1221,'Data_Price '!$AT$2:$AT$1266,0))</f>
        <v/>
      </c>
      <c r="DC1221">
        <f>INDEX('Data_Price '!AL$2:AL$1266,MATCH(Data!$DN1221,'Data_Price '!$AT$2:$AT$1266,0))</f>
        <v/>
      </c>
      <c r="DD1221">
        <f>INDEX('Data_Price '!AM$2:AM$1266,MATCH(Data!$DN1221,'Data_Price '!$AT$2:$AT$1266,0))</f>
        <v/>
      </c>
      <c r="DE1221">
        <f>INDEX('Data_Price '!AN$2:AN$1266,MATCH(Data!$DN1221,'Data_Price '!$AT$2:$AT$1266,0))</f>
        <v/>
      </c>
      <c r="DF1221">
        <f>INDEX('Data_Price '!AO$2:AO$1266,MATCH(Data!$DN1221,'Data_Price '!$AT$2:$AT$1266,0))</f>
        <v/>
      </c>
      <c r="DG1221">
        <f>INDEX('Data_Price '!AP$2:AP$1266,MATCH(Data!$DN1221,'Data_Price '!$AT$2:$AT$1266,0))</f>
        <v/>
      </c>
      <c r="DH1221">
        <f>INDEX('Data_Price '!AQ$2:AQ$1266,MATCH(Data!$DN1221,'Data_Price '!$AT$2:$AT$1266,0))</f>
        <v/>
      </c>
      <c r="DI1221">
        <f>INDEX('Data_Price '!AR$2:AR$1266,MATCH(Data!$DN1221,'Data_Price '!$AT$2:$AT$1266,0))</f>
        <v/>
      </c>
      <c r="DJ1221" s="138">
        <f>DA1221</f>
        <v/>
      </c>
      <c r="DK1221" s="138">
        <f>DE1221</f>
        <v/>
      </c>
      <c r="DL1221" s="138">
        <f>DI1221</f>
        <v/>
      </c>
      <c r="DM1221" s="303">
        <f>IF(LEFT(BT1221,1)=" ",RIGHT(BT1221,LEN(BT1221)-1),BT1221)</f>
        <v/>
      </c>
      <c r="DN1221" s="138">
        <f>_xlfn.CONCAT(BS1221,DM1221,BU1221,BV1221)</f>
        <v/>
      </c>
      <c r="DO1221" s="307" t="inlineStr">
        <is>
          <t>https://images.evo.com/imgp/250/208359/837590/volkl-katana-108-skis-2022-.jpg</t>
        </is>
      </c>
    </row>
    <row r="1222" ht="15.6" customHeight="1" s="184">
      <c r="B1222" s="303">
        <f t="array" ref="B1222">IF(OR(ISERROR(K1222:P1222)),FALSE,TRUE)</f>
        <v/>
      </c>
      <c r="C1222" s="60">
        <f>OR(BR1222=Driver!$G$50,Data!BR719=Driver!$H$50)</f>
        <v/>
      </c>
      <c r="D1222" s="60">
        <f>OR(BV1222=Driver!$G$51,BV1222=Driver!$H$51)</f>
        <v/>
      </c>
      <c r="E1222" s="60">
        <f>AND(BX1222&gt;Driver!$F$54,BX1222&lt;Driver!$G$54)</f>
        <v/>
      </c>
      <c r="F1222" s="60">
        <f>CL1222&gt;Driver!$F$56</f>
        <v/>
      </c>
      <c r="G1222" s="60">
        <f>AND(CB1222&gt;Driver!$F$55,CB1222&lt;Driver!$G$55)</f>
        <v/>
      </c>
      <c r="H1222" s="60">
        <f>AND(B1222:G1222)</f>
        <v/>
      </c>
      <c r="I1222" s="60">
        <f>COUNTIFS($H$9:$H$1273,TRUE,$BT$9:$BT$1273,BT1222)</f>
        <v/>
      </c>
      <c r="J1222" s="60">
        <f t="array" ref="J1222">NOT(OR(($H$9:$H$1273=TRUE)*($I$9:$I$1273&gt;0)*($BT$9:$BT$1273=BT1222)*($K$9:$K$1273&gt;K1222)))</f>
        <v/>
      </c>
      <c r="K1222" s="108">
        <f>IFERROR(1-AVERAGE(X1222:Y1222),"")</f>
        <v/>
      </c>
      <c r="L1222" s="108">
        <f>1-X1222</f>
        <v/>
      </c>
      <c r="M1222" s="108">
        <f>1-Y1222</f>
        <v/>
      </c>
      <c r="N1222" s="108">
        <f>1-Z1222</f>
        <v/>
      </c>
      <c r="O1222" s="108">
        <f>1-AA1222</f>
        <v/>
      </c>
      <c r="P1222" s="108">
        <f>1-AB1222</f>
        <v/>
      </c>
      <c r="Q1222" s="108" t="n"/>
      <c r="R1222" s="108" t="n"/>
      <c r="S1222" s="108">
        <f>1-AE1222</f>
        <v/>
      </c>
      <c r="T1222" s="108">
        <f>1-AF1222</f>
        <v/>
      </c>
      <c r="U1222" s="108">
        <f>1-AG1222</f>
        <v/>
      </c>
      <c r="V1222" s="108">
        <f>1-AH1222</f>
        <v/>
      </c>
      <c r="W1222" s="108">
        <f>1-AI1222</f>
        <v/>
      </c>
      <c r="X1222" s="108">
        <f>ABS(AJ1222-AJ$1)</f>
        <v/>
      </c>
      <c r="Y1222" s="108">
        <f>AVERAGE(Z1222:AB1222)</f>
        <v/>
      </c>
      <c r="Z1222" s="108">
        <f>ABS(AL1222-AL$1)</f>
        <v/>
      </c>
      <c r="AA1222" s="108">
        <f>ABS(AM1222-AM$1)</f>
        <v/>
      </c>
      <c r="AB1222" s="108">
        <f>ABS(AN1222-AN$1)</f>
        <v/>
      </c>
      <c r="AC1222" s="108" t="n"/>
      <c r="AD1222" s="108" t="n"/>
      <c r="AE1222" s="108">
        <f>ABS(AQ$1-AQ1222)</f>
        <v/>
      </c>
      <c r="AF1222" s="108">
        <f>ABS(AR$1-AR1222)</f>
        <v/>
      </c>
      <c r="AG1222" s="108">
        <f>ABS(AS$1-AS1222)</f>
        <v/>
      </c>
      <c r="AH1222" s="108">
        <f>ABS(AT$1-AT1222)</f>
        <v/>
      </c>
      <c r="AI1222" s="108">
        <f>ABS(AU$1-AU1222)</f>
        <v/>
      </c>
      <c r="AJ1222" s="108">
        <f>(AV1222-Driver!$K$179)/(Driver!$L$179-Driver!$K$179)</f>
        <v/>
      </c>
      <c r="AK1222" s="108">
        <f>(AW1222-Driver!$K$180)/(Driver!$L$180-Driver!$K$180)</f>
        <v/>
      </c>
      <c r="AL1222" s="108">
        <f>(AX1222-Driver!$K$181)/(Driver!$L$181-Driver!$K$181)</f>
        <v/>
      </c>
      <c r="AM1222" s="108">
        <f>(AY1222-Driver!$K$182)/(Driver!$L$182-Driver!$K$182)</f>
        <v/>
      </c>
      <c r="AN1222" s="108">
        <f>(AZ1222-Driver!$K$183)/(Driver!$L$183-Driver!$K$183)</f>
        <v/>
      </c>
      <c r="AO1222" s="108" t="n"/>
      <c r="AP1222" s="108" t="n"/>
      <c r="AQ1222" s="108">
        <f>(BC1222-Driver!$K$188)/(Driver!$L$188-Driver!$K$188)</f>
        <v/>
      </c>
      <c r="AR1222" s="108">
        <f>MIN((BD1222-Driver!$K$189)/(Driver!$L$189-Driver!$K$189),100%)</f>
        <v/>
      </c>
      <c r="AS1222" s="108">
        <f>(BE1222-Driver!$K$190)/(Driver!$L$190-Driver!$K$190)</f>
        <v/>
      </c>
      <c r="AT1222" s="108">
        <f>(BF1222-Driver!$K$191)/(Driver!$L$191-Driver!$K$191)</f>
        <v/>
      </c>
      <c r="AU1222" s="108">
        <f>(BG1222-Driver!$K$192)/(Driver!$L$192-Driver!$K$192)</f>
        <v/>
      </c>
      <c r="AV1222" s="105">
        <f>IFERROR(BM1222*BJ1222^1/4,"")</f>
        <v/>
      </c>
      <c r="AW1222" s="105">
        <f>IFERROR(SUM(AX1222:AZ1222),"")</f>
        <v/>
      </c>
      <c r="AX1222" s="105">
        <f>IFERROR(BH1222,"")</f>
        <v/>
      </c>
      <c r="AY1222" s="105">
        <f>IFERROR(Driver!$K$19/Data!BH1222/Data!BI1222*Data!BK1222*Data!BL1222,"")</f>
        <v/>
      </c>
      <c r="AZ1222" s="105">
        <f>IFERROR(BI1222*BN1222,"")</f>
        <v/>
      </c>
      <c r="BA1222" s="105" t="n"/>
      <c r="BB1222" s="105" t="n"/>
      <c r="BC1222" s="105">
        <f>IFERROR(BI1222*BN1222*BK1222/BJ1222^(1/2),"")</f>
        <v/>
      </c>
      <c r="BD1222" s="105">
        <f>IFERROR(BH1222*BM1222*BL1222/BJ1222/BK1222,"")</f>
        <v/>
      </c>
      <c r="BE1222" s="105">
        <f>IFERROR(MIN(BI1222/BQ1222/BP1222/BO1222/BH1222,$BE$1),"")</f>
        <v/>
      </c>
      <c r="BF1222" s="105">
        <f>IFERROR(BJ1222*BO1222*BP1222/BK1222,"")</f>
        <v/>
      </c>
      <c r="BG1222" s="105">
        <f>IFERROR(1/BM1222/BH1222*BQ1222,"")</f>
        <v/>
      </c>
      <c r="BH1222" s="102">
        <f>MAX((CE1222-Driver!$F$200)/(Driver!$G$200-Driver!$F$200)*$BI$1,1)</f>
        <v/>
      </c>
      <c r="BI1222" s="102">
        <f>MAX($BI$1*(BY1222-Driver!$F$201)/(Driver!$G$201-Driver!$F$201),1)</f>
        <v/>
      </c>
      <c r="BJ1222" s="102">
        <f>(CB1222-Driver!$F$206)/(Driver!$G$206-Driver!$F$206)*$BI$1</f>
        <v/>
      </c>
      <c r="BK1222" s="102">
        <f>(CD1222-Driver!$F$203)/(Driver!$G$203-Driver!$F$203)*$BI$1</f>
        <v/>
      </c>
      <c r="BL1222" s="102">
        <f>MAX((CR1222-Driver!$F$202)/(Driver!$G$202-Driver!$F$202)*$BI$1,1)</f>
        <v/>
      </c>
      <c r="BM1222" s="102">
        <f>MAX((CH1222-Driver!$F$204)/(Driver!$G$204-Driver!$F$204)*$BI$1,1)</f>
        <v/>
      </c>
      <c r="BN1222" s="102">
        <f>(CI1222-Driver!$F$205)/(Driver!$G$205-Driver!$F$205)*$BI$1</f>
        <v/>
      </c>
      <c r="BO1222" s="102">
        <f>(CK1222-Driver!$F$207)/(Driver!$G$207-Driver!$F$207)*$BI$1</f>
        <v/>
      </c>
      <c r="BP1222" s="102">
        <f>(CM1222-Driver!$F$208)/(Driver!$G$208-Driver!$F$208)*$BI$1</f>
        <v/>
      </c>
      <c r="BQ1222" s="102">
        <f>(CL1222-Driver!$F$209)/(Driver!$G$209-Driver!$F$209)*$BI$1</f>
        <v/>
      </c>
      <c r="BR1222" s="40" t="inlineStr">
        <is>
          <t>21/22</t>
        </is>
      </c>
      <c r="BS1222" s="10" t="inlineStr">
        <is>
          <t xml:space="preserve"> K2</t>
        </is>
      </c>
      <c r="BT1222" s="11" t="inlineStr">
        <is>
          <t>Mindbender 108 Ti</t>
        </is>
      </c>
      <c r="BU1222" s="13" t="n">
        <v>186</v>
      </c>
      <c r="BV1222" s="11" t="inlineStr">
        <is>
          <t xml:space="preserve"> Unisex</t>
        </is>
      </c>
      <c r="BW1222" s="13" t="n">
        <v>186</v>
      </c>
      <c r="BX1222" s="13" t="n">
        <v>185.9</v>
      </c>
      <c r="BY1222" s="13" t="n">
        <v>117</v>
      </c>
      <c r="BZ1222" s="13" t="n">
        <v>150</v>
      </c>
      <c r="CA1222" s="13" t="n">
        <v>136</v>
      </c>
      <c r="CB1222" s="13" t="n">
        <v>107</v>
      </c>
      <c r="CC1222" s="13" t="n">
        <v>124</v>
      </c>
      <c r="CD1222" s="13" t="n">
        <v>23.1</v>
      </c>
      <c r="CE1222" s="13" t="n">
        <v>2141</v>
      </c>
      <c r="CF1222" s="13" t="n">
        <v>1.01</v>
      </c>
      <c r="CG1222" s="13" t="n">
        <v>2160</v>
      </c>
      <c r="CH1222" s="13" t="n">
        <v>236</v>
      </c>
      <c r="CI1222" s="13" t="n">
        <v>172</v>
      </c>
      <c r="CJ1222" s="13" t="n">
        <v>49</v>
      </c>
      <c r="CK1222" s="13" t="n">
        <v>408</v>
      </c>
      <c r="CL1222" s="13" t="n">
        <v>24</v>
      </c>
      <c r="CM1222" s="13" t="n">
        <v>279</v>
      </c>
      <c r="CN1222" s="13" t="n">
        <v>0.488</v>
      </c>
      <c r="CO1222" s="13" t="n">
        <v>182</v>
      </c>
      <c r="CP1222" s="13" t="n">
        <v>180</v>
      </c>
      <c r="CQ1222" s="13" t="n">
        <v>225</v>
      </c>
      <c r="CR1222" s="13" t="n">
        <v>5</v>
      </c>
      <c r="CS1222" s="13" t="n">
        <v>10.5</v>
      </c>
      <c r="CT1222" s="11" t="inlineStr">
        <is>
          <t xml:space="preserve"> Powder</t>
        </is>
      </c>
      <c r="CU1222" s="13" t="n"/>
      <c r="CV1222" s="13" t="n"/>
      <c r="CW1222" s="13" t="n"/>
      <c r="CX1222">
        <f>INDEX('Data_Price '!AG$2:AG$1266,MATCH(Data!$DN1222,'Data_Price '!$AT$2:$AT$1266,0))</f>
        <v/>
      </c>
      <c r="CY1222">
        <f>INDEX('Data_Price '!AH$2:AH$1266,MATCH(Data!$DN1222,'Data_Price '!$AT$2:$AT$1266,0))</f>
        <v/>
      </c>
      <c r="CZ1222">
        <f>INDEX('Data_Price '!AI$2:AI$1266,MATCH(Data!$DN1222,'Data_Price '!$AT$2:$AT$1266,0))</f>
        <v/>
      </c>
      <c r="DA1222">
        <f>INDEX('Data_Price '!AJ$2:AJ$1266,MATCH(Data!$DN1222,'Data_Price '!$AT$2:$AT$1266,0))</f>
        <v/>
      </c>
      <c r="DB1222">
        <f>INDEX('Data_Price '!AK$2:AK$1266,MATCH(Data!$DN1222,'Data_Price '!$AT$2:$AT$1266,0))</f>
        <v/>
      </c>
      <c r="DC1222">
        <f>INDEX('Data_Price '!AL$2:AL$1266,MATCH(Data!$DN1222,'Data_Price '!$AT$2:$AT$1266,0))</f>
        <v/>
      </c>
      <c r="DD1222">
        <f>INDEX('Data_Price '!AM$2:AM$1266,MATCH(Data!$DN1222,'Data_Price '!$AT$2:$AT$1266,0))</f>
        <v/>
      </c>
      <c r="DE1222">
        <f>INDEX('Data_Price '!AN$2:AN$1266,MATCH(Data!$DN1222,'Data_Price '!$AT$2:$AT$1266,0))</f>
        <v/>
      </c>
      <c r="DF1222">
        <f>INDEX('Data_Price '!AO$2:AO$1266,MATCH(Data!$DN1222,'Data_Price '!$AT$2:$AT$1266,0))</f>
        <v/>
      </c>
      <c r="DG1222">
        <f>INDEX('Data_Price '!AP$2:AP$1266,MATCH(Data!$DN1222,'Data_Price '!$AT$2:$AT$1266,0))</f>
        <v/>
      </c>
      <c r="DH1222">
        <f>INDEX('Data_Price '!AQ$2:AQ$1266,MATCH(Data!$DN1222,'Data_Price '!$AT$2:$AT$1266,0))</f>
        <v/>
      </c>
      <c r="DI1222">
        <f>INDEX('Data_Price '!AR$2:AR$1266,MATCH(Data!$DN1222,'Data_Price '!$AT$2:$AT$1266,0))</f>
        <v/>
      </c>
      <c r="DJ1222" s="138">
        <f>DA1222</f>
        <v/>
      </c>
      <c r="DK1222" s="138">
        <f>DE1222</f>
        <v/>
      </c>
      <c r="DL1222" s="138">
        <f>DI1222</f>
        <v/>
      </c>
      <c r="DM1222" s="303">
        <f>IF(LEFT(BT1222,1)=" ",RIGHT(BT1222,LEN(BT1222)-1),BT1222)</f>
        <v/>
      </c>
      <c r="DN1222" s="138">
        <f>_xlfn.CONCAT(BS1222,DM1222,BU1222,BV1222)</f>
        <v/>
      </c>
      <c r="DO1222" s="307" t="inlineStr">
        <is>
          <t>https://images.evo.com/imgp/250/221663/904226/k2-mindbender-108-ti-skis-2023-.jpg</t>
        </is>
      </c>
    </row>
    <row r="1223" ht="15.6" customHeight="1" s="184">
      <c r="B1223" s="303">
        <f t="array" ref="B1223">IF(OR(ISERROR(K1223:P1223)),FALSE,TRUE)</f>
        <v/>
      </c>
      <c r="C1223" s="60">
        <f>OR(BR1223=Driver!$G$50,Data!BR907=Driver!$H$50)</f>
        <v/>
      </c>
      <c r="D1223" s="60">
        <f>OR(BV1223=Driver!$G$51,BV1223=Driver!$H$51)</f>
        <v/>
      </c>
      <c r="E1223" s="60">
        <f>AND(BX1223&gt;Driver!$F$54,BX1223&lt;Driver!$G$54)</f>
        <v/>
      </c>
      <c r="F1223" s="60">
        <f>CL1223&gt;Driver!$F$56</f>
        <v/>
      </c>
      <c r="G1223" s="60">
        <f>AND(CB1223&gt;Driver!$F$55,CB1223&lt;Driver!$G$55)</f>
        <v/>
      </c>
      <c r="H1223" s="60">
        <f>AND(B1223:G1223)</f>
        <v/>
      </c>
      <c r="I1223" s="60">
        <f>COUNTIFS($H$9:$H$1273,TRUE,$BT$9:$BT$1273,BT1223)</f>
        <v/>
      </c>
      <c r="J1223" s="60">
        <f t="array" ref="J1223">NOT(OR(($H$9:$H$1273=TRUE)*($I$9:$I$1273&gt;0)*($BT$9:$BT$1273=BT1223)*($K$9:$K$1273&gt;K1223)))</f>
        <v/>
      </c>
      <c r="K1223" s="108">
        <f>IFERROR(1-AVERAGE(X1223:Y1223),"")</f>
        <v/>
      </c>
      <c r="L1223" s="108">
        <f>1-X1223</f>
        <v/>
      </c>
      <c r="M1223" s="108">
        <f>1-Y1223</f>
        <v/>
      </c>
      <c r="N1223" s="108">
        <f>1-Z1223</f>
        <v/>
      </c>
      <c r="O1223" s="108">
        <f>1-AA1223</f>
        <v/>
      </c>
      <c r="P1223" s="108">
        <f>1-AB1223</f>
        <v/>
      </c>
      <c r="Q1223" s="108" t="n"/>
      <c r="R1223" s="108" t="n"/>
      <c r="S1223" s="108">
        <f>1-AE1223</f>
        <v/>
      </c>
      <c r="T1223" s="108">
        <f>1-AF1223</f>
        <v/>
      </c>
      <c r="U1223" s="108">
        <f>1-AG1223</f>
        <v/>
      </c>
      <c r="V1223" s="108">
        <f>1-AH1223</f>
        <v/>
      </c>
      <c r="W1223" s="108">
        <f>1-AI1223</f>
        <v/>
      </c>
      <c r="X1223" s="108">
        <f>ABS(AJ1223-AJ$1)</f>
        <v/>
      </c>
      <c r="Y1223" s="108">
        <f>AVERAGE(Z1223:AB1223)</f>
        <v/>
      </c>
      <c r="Z1223" s="108">
        <f>ABS(AL1223-AL$1)</f>
        <v/>
      </c>
      <c r="AA1223" s="108">
        <f>ABS(AM1223-AM$1)</f>
        <v/>
      </c>
      <c r="AB1223" s="108">
        <f>ABS(AN1223-AN$1)</f>
        <v/>
      </c>
      <c r="AC1223" s="108" t="n"/>
      <c r="AD1223" s="108" t="n"/>
      <c r="AE1223" s="108">
        <f>ABS(AQ$1-AQ1223)</f>
        <v/>
      </c>
      <c r="AF1223" s="108">
        <f>ABS(AR$1-AR1223)</f>
        <v/>
      </c>
      <c r="AG1223" s="108">
        <f>ABS(AS$1-AS1223)</f>
        <v/>
      </c>
      <c r="AH1223" s="108">
        <f>ABS(AT$1-AT1223)</f>
        <v/>
      </c>
      <c r="AI1223" s="108">
        <f>ABS(AU$1-AU1223)</f>
        <v/>
      </c>
      <c r="AJ1223" s="108">
        <f>(AV1223-Driver!$K$179)/(Driver!$L$179-Driver!$K$179)</f>
        <v/>
      </c>
      <c r="AK1223" s="108">
        <f>(AW1223-Driver!$K$180)/(Driver!$L$180-Driver!$K$180)</f>
        <v/>
      </c>
      <c r="AL1223" s="108">
        <f>(AX1223-Driver!$K$181)/(Driver!$L$181-Driver!$K$181)</f>
        <v/>
      </c>
      <c r="AM1223" s="108">
        <f>(AY1223-Driver!$K$182)/(Driver!$L$182-Driver!$K$182)</f>
        <v/>
      </c>
      <c r="AN1223" s="108">
        <f>(AZ1223-Driver!$K$183)/(Driver!$L$183-Driver!$K$183)</f>
        <v/>
      </c>
      <c r="AO1223" s="108" t="n"/>
      <c r="AP1223" s="108" t="n"/>
      <c r="AQ1223" s="108">
        <f>(BC1223-Driver!$K$188)/(Driver!$L$188-Driver!$K$188)</f>
        <v/>
      </c>
      <c r="AR1223" s="108">
        <f>MIN((BD1223-Driver!$K$189)/(Driver!$L$189-Driver!$K$189),100%)</f>
        <v/>
      </c>
      <c r="AS1223" s="108">
        <f>(BE1223-Driver!$K$190)/(Driver!$L$190-Driver!$K$190)</f>
        <v/>
      </c>
      <c r="AT1223" s="108">
        <f>(BF1223-Driver!$K$191)/(Driver!$L$191-Driver!$K$191)</f>
        <v/>
      </c>
      <c r="AU1223" s="108">
        <f>(BG1223-Driver!$K$192)/(Driver!$L$192-Driver!$K$192)</f>
        <v/>
      </c>
      <c r="AV1223" s="105">
        <f>IFERROR(BM1223*BJ1223^1/4,"")</f>
        <v/>
      </c>
      <c r="AW1223" s="105">
        <f>IFERROR(SUM(AX1223:AZ1223),"")</f>
        <v/>
      </c>
      <c r="AX1223" s="105">
        <f>IFERROR(BH1223,"")</f>
        <v/>
      </c>
      <c r="AY1223" s="105">
        <f>IFERROR(Driver!$K$19/Data!BH1223/Data!BI1223*Data!BK1223*Data!BL1223,"")</f>
        <v/>
      </c>
      <c r="AZ1223" s="105">
        <f>IFERROR(BI1223*BN1223,"")</f>
        <v/>
      </c>
      <c r="BA1223" s="105" t="n"/>
      <c r="BB1223" s="105" t="n"/>
      <c r="BC1223" s="105">
        <f>IFERROR(BI1223*BN1223*BK1223/BJ1223^(1/2),"")</f>
        <v/>
      </c>
      <c r="BD1223" s="105">
        <f>IFERROR(BH1223*BM1223*BL1223/BJ1223/BK1223,"")</f>
        <v/>
      </c>
      <c r="BE1223" s="105">
        <f>IFERROR(MIN(BI1223/BQ1223/BP1223/BO1223/BH1223,$BE$1),"")</f>
        <v/>
      </c>
      <c r="BF1223" s="105">
        <f>IFERROR(BJ1223*BO1223*BP1223/BK1223,"")</f>
        <v/>
      </c>
      <c r="BG1223" s="105">
        <f>IFERROR(1/BM1223/BH1223*BQ1223,"")</f>
        <v/>
      </c>
      <c r="BH1223" s="102">
        <f>MAX((CE1223-Driver!$F$200)/(Driver!$G$200-Driver!$F$200)*$BI$1,1)</f>
        <v/>
      </c>
      <c r="BI1223" s="102">
        <f>MAX($BI$1*(BY1223-Driver!$F$201)/(Driver!$G$201-Driver!$F$201),1)</f>
        <v/>
      </c>
      <c r="BJ1223" s="102">
        <f>(CB1223-Driver!$F$206)/(Driver!$G$206-Driver!$F$206)*$BI$1</f>
        <v/>
      </c>
      <c r="BK1223" s="102">
        <f>(CD1223-Driver!$F$203)/(Driver!$G$203-Driver!$F$203)*$BI$1</f>
        <v/>
      </c>
      <c r="BL1223" s="102">
        <f>MAX((CR1223-Driver!$F$202)/(Driver!$G$202-Driver!$F$202)*$BI$1,1)</f>
        <v/>
      </c>
      <c r="BM1223" s="102">
        <f>MAX((CH1223-Driver!$F$204)/(Driver!$G$204-Driver!$F$204)*$BI$1,1)</f>
        <v/>
      </c>
      <c r="BN1223" s="102">
        <f>(CI1223-Driver!$F$205)/(Driver!$G$205-Driver!$F$205)*$BI$1</f>
        <v/>
      </c>
      <c r="BO1223" s="102">
        <f>(CK1223-Driver!$F$207)/(Driver!$G$207-Driver!$F$207)*$BI$1</f>
        <v/>
      </c>
      <c r="BP1223" s="102">
        <f>(CM1223-Driver!$F$208)/(Driver!$G$208-Driver!$F$208)*$BI$1</f>
        <v/>
      </c>
      <c r="BQ1223" s="102">
        <f>(CL1223-Driver!$F$209)/(Driver!$G$209-Driver!$F$209)*$BI$1</f>
        <v/>
      </c>
      <c r="BR1223" s="40" t="inlineStr">
        <is>
          <t>21/22</t>
        </is>
      </c>
      <c r="BS1223" s="10" t="inlineStr">
        <is>
          <t xml:space="preserve"> Nordica</t>
        </is>
      </c>
      <c r="BT1223" s="11" t="inlineStr">
        <is>
          <t>Enforcer 88</t>
        </is>
      </c>
      <c r="BU1223" s="13" t="n">
        <v>186</v>
      </c>
      <c r="BV1223" s="11" t="inlineStr">
        <is>
          <t xml:space="preserve"> Unisex</t>
        </is>
      </c>
      <c r="BW1223" s="13" t="n">
        <v>186</v>
      </c>
      <c r="BX1223" s="13" t="n">
        <v>185.2</v>
      </c>
      <c r="BY1223" s="13" t="n">
        <v>139</v>
      </c>
      <c r="BZ1223" s="13" t="n">
        <v>157</v>
      </c>
      <c r="CA1223" s="13" t="n">
        <v>124</v>
      </c>
      <c r="CB1223" s="13" t="n">
        <v>87</v>
      </c>
      <c r="CC1223" s="13" t="n">
        <v>110</v>
      </c>
      <c r="CD1223" s="13" t="n">
        <v>17.9</v>
      </c>
      <c r="CE1223" s="13" t="n">
        <v>2137</v>
      </c>
      <c r="CF1223" s="13" t="n">
        <v>0.87</v>
      </c>
      <c r="CG1223" s="13" t="n">
        <v>1851</v>
      </c>
      <c r="CH1223" s="13" t="n">
        <v>286</v>
      </c>
      <c r="CI1223" s="13" t="n">
        <v>162</v>
      </c>
      <c r="CJ1223" s="13" t="n">
        <v>54</v>
      </c>
      <c r="CK1223" s="13" t="n">
        <v>274</v>
      </c>
      <c r="CL1223" s="13" t="n">
        <v>11</v>
      </c>
      <c r="CM1223" s="13" t="n">
        <v>191</v>
      </c>
      <c r="CN1223" s="13" t="n">
        <v>0.208</v>
      </c>
      <c r="CO1223" s="13" t="n">
        <v>124</v>
      </c>
      <c r="CP1223" s="13" t="n">
        <v>155</v>
      </c>
      <c r="CQ1223" s="13" t="n">
        <v>150</v>
      </c>
      <c r="CR1223" s="13" t="n">
        <v>8</v>
      </c>
      <c r="CS1223" s="13" t="n">
        <v>8.5</v>
      </c>
      <c r="CT1223" s="11" t="inlineStr">
        <is>
          <t xml:space="preserve"> Resort Freeride</t>
        </is>
      </c>
      <c r="CU1223" s="13" t="n"/>
      <c r="CV1223" s="13" t="n"/>
      <c r="CW1223" s="13" t="n"/>
      <c r="CX1223">
        <f>INDEX('Data_Price '!AG$2:AG$1266,MATCH(Data!$DN1223,'Data_Price '!$AT$2:$AT$1266,0))</f>
        <v/>
      </c>
      <c r="CY1223">
        <f>INDEX('Data_Price '!AH$2:AH$1266,MATCH(Data!$DN1223,'Data_Price '!$AT$2:$AT$1266,0))</f>
        <v/>
      </c>
      <c r="CZ1223">
        <f>INDEX('Data_Price '!AI$2:AI$1266,MATCH(Data!$DN1223,'Data_Price '!$AT$2:$AT$1266,0))</f>
        <v/>
      </c>
      <c r="DA1223">
        <f>INDEX('Data_Price '!AJ$2:AJ$1266,MATCH(Data!$DN1223,'Data_Price '!$AT$2:$AT$1266,0))</f>
        <v/>
      </c>
      <c r="DB1223">
        <f>INDEX('Data_Price '!AK$2:AK$1266,MATCH(Data!$DN1223,'Data_Price '!$AT$2:$AT$1266,0))</f>
        <v/>
      </c>
      <c r="DC1223">
        <f>INDEX('Data_Price '!AL$2:AL$1266,MATCH(Data!$DN1223,'Data_Price '!$AT$2:$AT$1266,0))</f>
        <v/>
      </c>
      <c r="DD1223">
        <f>INDEX('Data_Price '!AM$2:AM$1266,MATCH(Data!$DN1223,'Data_Price '!$AT$2:$AT$1266,0))</f>
        <v/>
      </c>
      <c r="DE1223">
        <f>INDEX('Data_Price '!AN$2:AN$1266,MATCH(Data!$DN1223,'Data_Price '!$AT$2:$AT$1266,0))</f>
        <v/>
      </c>
      <c r="DF1223">
        <f>INDEX('Data_Price '!AO$2:AO$1266,MATCH(Data!$DN1223,'Data_Price '!$AT$2:$AT$1266,0))</f>
        <v/>
      </c>
      <c r="DG1223">
        <f>INDEX('Data_Price '!AP$2:AP$1266,MATCH(Data!$DN1223,'Data_Price '!$AT$2:$AT$1266,0))</f>
        <v/>
      </c>
      <c r="DH1223">
        <f>INDEX('Data_Price '!AQ$2:AQ$1266,MATCH(Data!$DN1223,'Data_Price '!$AT$2:$AT$1266,0))</f>
        <v/>
      </c>
      <c r="DI1223">
        <f>INDEX('Data_Price '!AR$2:AR$1266,MATCH(Data!$DN1223,'Data_Price '!$AT$2:$AT$1266,0))</f>
        <v/>
      </c>
      <c r="DJ1223" s="138">
        <f>DA1223</f>
        <v/>
      </c>
      <c r="DK1223" s="138">
        <f>DE1223</f>
        <v/>
      </c>
      <c r="DL1223" s="138">
        <f>DI1223</f>
        <v/>
      </c>
      <c r="DM1223" s="303">
        <f>IF(LEFT(BT1223,1)=" ",RIGHT(BT1223,LEN(BT1223)-1),BT1223)</f>
        <v/>
      </c>
      <c r="DN1223" s="138">
        <f>_xlfn.CONCAT(BS1223,DM1223,BU1223,BV1223)</f>
        <v/>
      </c>
      <c r="DO1223" s="307" t="n"/>
    </row>
    <row r="1224" ht="15.6" customHeight="1" s="184">
      <c r="B1224" s="303">
        <f t="array" ref="B1224">IF(OR(ISERROR(K1224:P1224)),FALSE,TRUE)</f>
        <v/>
      </c>
      <c r="C1224" s="60">
        <f>OR(BR1224=Driver!$G$50,Data!BR277=Driver!$H$50)</f>
        <v/>
      </c>
      <c r="D1224" s="60">
        <f>OR(BV1224=Driver!$G$51,BV1224=Driver!$H$51)</f>
        <v/>
      </c>
      <c r="E1224" s="60">
        <f>AND(BX1224&gt;Driver!$F$54,BX1224&lt;Driver!$G$54)</f>
        <v/>
      </c>
      <c r="F1224" s="60">
        <f>CL1224&gt;Driver!$F$56</f>
        <v/>
      </c>
      <c r="G1224" s="60">
        <f>AND(CB1224&gt;Driver!$F$55,CB1224&lt;Driver!$G$55)</f>
        <v/>
      </c>
      <c r="H1224" s="60">
        <f>AND(B1224:G1224)</f>
        <v/>
      </c>
      <c r="I1224" s="60">
        <f>COUNTIFS($H$9:$H$1273,TRUE,$BT$9:$BT$1273,BT1224)</f>
        <v/>
      </c>
      <c r="J1224" s="60">
        <f t="array" ref="J1224">NOT(OR(($H$9:$H$1273=TRUE)*($I$9:$I$1273&gt;0)*($BT$9:$BT$1273=BT1224)*($K$9:$K$1273&gt;K1224)))</f>
        <v/>
      </c>
      <c r="K1224" s="108">
        <f>IFERROR(1-AVERAGE(X1224:Y1224),"")</f>
        <v/>
      </c>
      <c r="L1224" s="108">
        <f>1-X1224</f>
        <v/>
      </c>
      <c r="M1224" s="108">
        <f>1-Y1224</f>
        <v/>
      </c>
      <c r="N1224" s="108">
        <f>1-Z1224</f>
        <v/>
      </c>
      <c r="O1224" s="108">
        <f>1-AA1224</f>
        <v/>
      </c>
      <c r="P1224" s="108">
        <f>1-AB1224</f>
        <v/>
      </c>
      <c r="Q1224" s="108" t="n"/>
      <c r="R1224" s="108" t="n"/>
      <c r="S1224" s="108">
        <f>1-AE1224</f>
        <v/>
      </c>
      <c r="T1224" s="108">
        <f>1-AF1224</f>
        <v/>
      </c>
      <c r="U1224" s="108">
        <f>1-AG1224</f>
        <v/>
      </c>
      <c r="V1224" s="108">
        <f>1-AH1224</f>
        <v/>
      </c>
      <c r="W1224" s="108">
        <f>1-AI1224</f>
        <v/>
      </c>
      <c r="X1224" s="108">
        <f>ABS(AJ1224-AJ$1)</f>
        <v/>
      </c>
      <c r="Y1224" s="108">
        <f>AVERAGE(Z1224:AB1224)</f>
        <v/>
      </c>
      <c r="Z1224" s="108">
        <f>ABS(AL1224-AL$1)</f>
        <v/>
      </c>
      <c r="AA1224" s="108">
        <f>ABS(AM1224-AM$1)</f>
        <v/>
      </c>
      <c r="AB1224" s="108">
        <f>ABS(AN1224-AN$1)</f>
        <v/>
      </c>
      <c r="AC1224" s="108" t="n"/>
      <c r="AD1224" s="108" t="n"/>
      <c r="AE1224" s="108">
        <f>ABS(AQ$1-AQ1224)</f>
        <v/>
      </c>
      <c r="AF1224" s="108">
        <f>ABS(AR$1-AR1224)</f>
        <v/>
      </c>
      <c r="AG1224" s="108">
        <f>ABS(AS$1-AS1224)</f>
        <v/>
      </c>
      <c r="AH1224" s="108">
        <f>ABS(AT$1-AT1224)</f>
        <v/>
      </c>
      <c r="AI1224" s="108">
        <f>ABS(AU$1-AU1224)</f>
        <v/>
      </c>
      <c r="AJ1224" s="108">
        <f>(AV1224-Driver!$K$179)/(Driver!$L$179-Driver!$K$179)</f>
        <v/>
      </c>
      <c r="AK1224" s="108">
        <f>(AW1224-Driver!$K$180)/(Driver!$L$180-Driver!$K$180)</f>
        <v/>
      </c>
      <c r="AL1224" s="108">
        <f>(AX1224-Driver!$K$181)/(Driver!$L$181-Driver!$K$181)</f>
        <v/>
      </c>
      <c r="AM1224" s="108">
        <f>(AY1224-Driver!$K$182)/(Driver!$L$182-Driver!$K$182)</f>
        <v/>
      </c>
      <c r="AN1224" s="108">
        <f>(AZ1224-Driver!$K$183)/(Driver!$L$183-Driver!$K$183)</f>
        <v/>
      </c>
      <c r="AO1224" s="108" t="n"/>
      <c r="AP1224" s="108" t="n"/>
      <c r="AQ1224" s="108">
        <f>(BC1224-Driver!$K$188)/(Driver!$L$188-Driver!$K$188)</f>
        <v/>
      </c>
      <c r="AR1224" s="108">
        <f>MIN((BD1224-Driver!$K$189)/(Driver!$L$189-Driver!$K$189),100%)</f>
        <v/>
      </c>
      <c r="AS1224" s="108">
        <f>(BE1224-Driver!$K$190)/(Driver!$L$190-Driver!$K$190)</f>
        <v/>
      </c>
      <c r="AT1224" s="108">
        <f>(BF1224-Driver!$K$191)/(Driver!$L$191-Driver!$K$191)</f>
        <v/>
      </c>
      <c r="AU1224" s="108">
        <f>(BG1224-Driver!$K$192)/(Driver!$L$192-Driver!$K$192)</f>
        <v/>
      </c>
      <c r="AV1224" s="105">
        <f>IFERROR(BM1224*BJ1224^1/4,"")</f>
        <v/>
      </c>
      <c r="AW1224" s="105">
        <f>IFERROR(SUM(AX1224:AZ1224),"")</f>
        <v/>
      </c>
      <c r="AX1224" s="105">
        <f>IFERROR(BH1224,"")</f>
        <v/>
      </c>
      <c r="AY1224" s="105">
        <f>IFERROR(Driver!$K$19/Data!BH1224/Data!BI1224*Data!BK1224*Data!BL1224,"")</f>
        <v/>
      </c>
      <c r="AZ1224" s="105">
        <f>IFERROR(BI1224*BN1224,"")</f>
        <v/>
      </c>
      <c r="BA1224" s="105" t="n"/>
      <c r="BB1224" s="105" t="n"/>
      <c r="BC1224" s="105">
        <f>IFERROR(BI1224*BN1224*BK1224/BJ1224^(1/2),"")</f>
        <v/>
      </c>
      <c r="BD1224" s="105">
        <f>IFERROR(BH1224*BM1224*BL1224/BJ1224/BK1224,"")</f>
        <v/>
      </c>
      <c r="BE1224" s="105">
        <f>IFERROR(MIN(BI1224/BQ1224/BP1224/BO1224/BH1224,$BE$1),"")</f>
        <v/>
      </c>
      <c r="BF1224" s="105">
        <f>IFERROR(BJ1224*BO1224*BP1224/BK1224,"")</f>
        <v/>
      </c>
      <c r="BG1224" s="105">
        <f>IFERROR(1/BM1224/BH1224*BQ1224,"")</f>
        <v/>
      </c>
      <c r="BH1224" s="102">
        <f>MAX((CE1224-Driver!$F$200)/(Driver!$G$200-Driver!$F$200)*$BI$1,1)</f>
        <v/>
      </c>
      <c r="BI1224" s="102">
        <f>MAX($BI$1*(BY1224-Driver!$F$201)/(Driver!$G$201-Driver!$F$201),1)</f>
        <v/>
      </c>
      <c r="BJ1224" s="102">
        <f>(CB1224-Driver!$F$206)/(Driver!$G$206-Driver!$F$206)*$BI$1</f>
        <v/>
      </c>
      <c r="BK1224" s="102">
        <f>(CD1224-Driver!$F$203)/(Driver!$G$203-Driver!$F$203)*$BI$1</f>
        <v/>
      </c>
      <c r="BL1224" s="102">
        <f>MAX((CR1224-Driver!$F$202)/(Driver!$G$202-Driver!$F$202)*$BI$1,1)</f>
        <v/>
      </c>
      <c r="BM1224" s="102">
        <f>MAX((CH1224-Driver!$F$204)/(Driver!$G$204-Driver!$F$204)*$BI$1,1)</f>
        <v/>
      </c>
      <c r="BN1224" s="102">
        <f>(CI1224-Driver!$F$205)/(Driver!$G$205-Driver!$F$205)*$BI$1</f>
        <v/>
      </c>
      <c r="BO1224" s="102">
        <f>(CK1224-Driver!$F$207)/(Driver!$G$207-Driver!$F$207)*$BI$1</f>
        <v/>
      </c>
      <c r="BP1224" s="102">
        <f>(CM1224-Driver!$F$208)/(Driver!$G$208-Driver!$F$208)*$BI$1</f>
        <v/>
      </c>
      <c r="BQ1224" s="102">
        <f>(CL1224-Driver!$F$209)/(Driver!$G$209-Driver!$F$209)*$BI$1</f>
        <v/>
      </c>
      <c r="BR1224" s="40" t="inlineStr">
        <is>
          <t>21/22</t>
        </is>
      </c>
      <c r="BS1224" s="10" t="inlineStr">
        <is>
          <t xml:space="preserve"> Blizzard</t>
        </is>
      </c>
      <c r="BT1224" s="11" t="inlineStr">
        <is>
          <t>Brahma 88</t>
        </is>
      </c>
      <c r="BU1224" s="13" t="n">
        <v>189</v>
      </c>
      <c r="BV1224" s="11" t="inlineStr">
        <is>
          <t xml:space="preserve"> Unisex</t>
        </is>
      </c>
      <c r="BW1224" s="13" t="n">
        <v>189</v>
      </c>
      <c r="BX1224" s="13" t="n">
        <v>188.1</v>
      </c>
      <c r="BY1224" s="13" t="n">
        <v>160</v>
      </c>
      <c r="BZ1224" s="13" t="n">
        <v>165</v>
      </c>
      <c r="CA1224" s="13" t="n">
        <v>127</v>
      </c>
      <c r="CB1224" s="13" t="n">
        <v>86</v>
      </c>
      <c r="CC1224" s="13" t="n">
        <v>109</v>
      </c>
      <c r="CD1224" s="13" t="n">
        <v>20.5</v>
      </c>
      <c r="CE1224" s="13" t="n">
        <v>2306</v>
      </c>
      <c r="CF1224" s="13" t="n">
        <v>0.8</v>
      </c>
      <c r="CG1224" s="13" t="n">
        <v>1848</v>
      </c>
      <c r="CH1224" s="13" t="n">
        <v>253</v>
      </c>
      <c r="CI1224" s="13" t="n">
        <v>139</v>
      </c>
      <c r="CJ1224" s="13" t="n">
        <v>54</v>
      </c>
      <c r="CK1224" s="13" t="n">
        <v>198</v>
      </c>
      <c r="CL1224" s="13" t="n">
        <v>4</v>
      </c>
      <c r="CM1224" s="13" t="n">
        <v>85</v>
      </c>
      <c r="CN1224" s="13" t="n">
        <v>0.078</v>
      </c>
      <c r="CO1224" s="13" t="n">
        <v>123</v>
      </c>
      <c r="CP1224" s="13" t="n">
        <v>104</v>
      </c>
      <c r="CQ1224" s="13" t="n">
        <v>75</v>
      </c>
      <c r="CR1224" s="13" t="n">
        <v>12</v>
      </c>
      <c r="CS1224" s="13" t="n">
        <v>11</v>
      </c>
      <c r="CT1224" s="11" t="inlineStr">
        <is>
          <t xml:space="preserve"> Resort Freeride</t>
        </is>
      </c>
      <c r="CU1224" s="13" t="n"/>
      <c r="CV1224" s="13" t="n"/>
      <c r="CW1224" s="13" t="n"/>
      <c r="CX1224">
        <f>INDEX('Data_Price '!AG$2:AG$1266,MATCH(Data!$DN1224,'Data_Price '!$AT$2:$AT$1266,0))</f>
        <v/>
      </c>
      <c r="CY1224">
        <f>INDEX('Data_Price '!AH$2:AH$1266,MATCH(Data!$DN1224,'Data_Price '!$AT$2:$AT$1266,0))</f>
        <v/>
      </c>
      <c r="CZ1224">
        <f>INDEX('Data_Price '!AI$2:AI$1266,MATCH(Data!$DN1224,'Data_Price '!$AT$2:$AT$1266,0))</f>
        <v/>
      </c>
      <c r="DA1224">
        <f>INDEX('Data_Price '!AJ$2:AJ$1266,MATCH(Data!$DN1224,'Data_Price '!$AT$2:$AT$1266,0))</f>
        <v/>
      </c>
      <c r="DB1224">
        <f>INDEX('Data_Price '!AK$2:AK$1266,MATCH(Data!$DN1224,'Data_Price '!$AT$2:$AT$1266,0))</f>
        <v/>
      </c>
      <c r="DC1224">
        <f>INDEX('Data_Price '!AL$2:AL$1266,MATCH(Data!$DN1224,'Data_Price '!$AT$2:$AT$1266,0))</f>
        <v/>
      </c>
      <c r="DD1224">
        <f>INDEX('Data_Price '!AM$2:AM$1266,MATCH(Data!$DN1224,'Data_Price '!$AT$2:$AT$1266,0))</f>
        <v/>
      </c>
      <c r="DE1224">
        <f>INDEX('Data_Price '!AN$2:AN$1266,MATCH(Data!$DN1224,'Data_Price '!$AT$2:$AT$1266,0))</f>
        <v/>
      </c>
      <c r="DF1224">
        <f>INDEX('Data_Price '!AO$2:AO$1266,MATCH(Data!$DN1224,'Data_Price '!$AT$2:$AT$1266,0))</f>
        <v/>
      </c>
      <c r="DG1224">
        <f>INDEX('Data_Price '!AP$2:AP$1266,MATCH(Data!$DN1224,'Data_Price '!$AT$2:$AT$1266,0))</f>
        <v/>
      </c>
      <c r="DH1224">
        <f>INDEX('Data_Price '!AQ$2:AQ$1266,MATCH(Data!$DN1224,'Data_Price '!$AT$2:$AT$1266,0))</f>
        <v/>
      </c>
      <c r="DI1224">
        <f>INDEX('Data_Price '!AR$2:AR$1266,MATCH(Data!$DN1224,'Data_Price '!$AT$2:$AT$1266,0))</f>
        <v/>
      </c>
      <c r="DJ1224" s="138">
        <f>DA1224</f>
        <v/>
      </c>
      <c r="DK1224" s="138">
        <f>DE1224</f>
        <v/>
      </c>
      <c r="DL1224" s="138">
        <f>DI1224</f>
        <v/>
      </c>
      <c r="DM1224" s="303">
        <f>IF(LEFT(BT1224,1)=" ",RIGHT(BT1224,LEN(BT1224)-1),BT1224)</f>
        <v/>
      </c>
      <c r="DN1224" s="138">
        <f>_xlfn.CONCAT(BS1224,DM1224,BU1224,BV1224)</f>
        <v/>
      </c>
      <c r="DO1224" s="307" t="n"/>
    </row>
    <row r="1225" ht="15.6" customHeight="1" s="184">
      <c r="B1225" s="303">
        <f t="array" ref="B1225">IF(OR(ISERROR(K1225:P1225)),FALSE,TRUE)</f>
        <v/>
      </c>
      <c r="C1225" s="60">
        <f>OR(BR1225=Driver!$G$50,Data!BR554=Driver!$H$50)</f>
        <v/>
      </c>
      <c r="D1225" s="60">
        <f>OR(BV1225=Driver!$G$51,BV1225=Driver!$H$51)</f>
        <v/>
      </c>
      <c r="E1225" s="60">
        <f>AND(BX1225&gt;Driver!$F$54,BX1225&lt;Driver!$G$54)</f>
        <v/>
      </c>
      <c r="F1225" s="60">
        <f>CL1225&gt;Driver!$F$56</f>
        <v/>
      </c>
      <c r="G1225" s="60">
        <f>AND(CB1225&gt;Driver!$F$55,CB1225&lt;Driver!$G$55)</f>
        <v/>
      </c>
      <c r="H1225" s="60">
        <f>AND(B1225:G1225)</f>
        <v/>
      </c>
      <c r="I1225" s="60">
        <f>COUNTIFS($H$9:$H$1273,TRUE,$BT$9:$BT$1273,BT1225)</f>
        <v/>
      </c>
      <c r="J1225" s="60">
        <f t="array" ref="J1225">NOT(OR(($H$9:$H$1273=TRUE)*($I$9:$I$1273&gt;0)*($BT$9:$BT$1273=BT1225)*($K$9:$K$1273&gt;K1225)))</f>
        <v/>
      </c>
      <c r="K1225" s="108">
        <f>IFERROR(1-AVERAGE(X1225:Y1225),"")</f>
        <v/>
      </c>
      <c r="L1225" s="108">
        <f>1-X1225</f>
        <v/>
      </c>
      <c r="M1225" s="108">
        <f>1-Y1225</f>
        <v/>
      </c>
      <c r="N1225" s="108">
        <f>1-Z1225</f>
        <v/>
      </c>
      <c r="O1225" s="108">
        <f>1-AA1225</f>
        <v/>
      </c>
      <c r="P1225" s="108">
        <f>1-AB1225</f>
        <v/>
      </c>
      <c r="Q1225" s="108" t="n"/>
      <c r="R1225" s="108" t="n"/>
      <c r="S1225" s="108">
        <f>1-AE1225</f>
        <v/>
      </c>
      <c r="T1225" s="108">
        <f>1-AF1225</f>
        <v/>
      </c>
      <c r="U1225" s="108">
        <f>1-AG1225</f>
        <v/>
      </c>
      <c r="V1225" s="108">
        <f>1-AH1225</f>
        <v/>
      </c>
      <c r="W1225" s="108">
        <f>1-AI1225</f>
        <v/>
      </c>
      <c r="X1225" s="108">
        <f>ABS(AJ1225-AJ$1)</f>
        <v/>
      </c>
      <c r="Y1225" s="108">
        <f>AVERAGE(Z1225:AB1225)</f>
        <v/>
      </c>
      <c r="Z1225" s="108">
        <f>ABS(AL1225-AL$1)</f>
        <v/>
      </c>
      <c r="AA1225" s="108">
        <f>ABS(AM1225-AM$1)</f>
        <v/>
      </c>
      <c r="AB1225" s="108">
        <f>ABS(AN1225-AN$1)</f>
        <v/>
      </c>
      <c r="AC1225" s="108" t="n"/>
      <c r="AD1225" s="108" t="n"/>
      <c r="AE1225" s="108">
        <f>ABS(AQ$1-AQ1225)</f>
        <v/>
      </c>
      <c r="AF1225" s="108">
        <f>ABS(AR$1-AR1225)</f>
        <v/>
      </c>
      <c r="AG1225" s="108">
        <f>ABS(AS$1-AS1225)</f>
        <v/>
      </c>
      <c r="AH1225" s="108">
        <f>ABS(AT$1-AT1225)</f>
        <v/>
      </c>
      <c r="AI1225" s="108">
        <f>ABS(AU$1-AU1225)</f>
        <v/>
      </c>
      <c r="AJ1225" s="108">
        <f>(AV1225-Driver!$K$179)/(Driver!$L$179-Driver!$K$179)</f>
        <v/>
      </c>
      <c r="AK1225" s="108">
        <f>(AW1225-Driver!$K$180)/(Driver!$L$180-Driver!$K$180)</f>
        <v/>
      </c>
      <c r="AL1225" s="108">
        <f>(AX1225-Driver!$K$181)/(Driver!$L$181-Driver!$K$181)</f>
        <v/>
      </c>
      <c r="AM1225" s="108">
        <f>(AY1225-Driver!$K$182)/(Driver!$L$182-Driver!$K$182)</f>
        <v/>
      </c>
      <c r="AN1225" s="108">
        <f>(AZ1225-Driver!$K$183)/(Driver!$L$183-Driver!$K$183)</f>
        <v/>
      </c>
      <c r="AO1225" s="108" t="n"/>
      <c r="AP1225" s="108" t="n"/>
      <c r="AQ1225" s="108">
        <f>(BC1225-Driver!$K$188)/(Driver!$L$188-Driver!$K$188)</f>
        <v/>
      </c>
      <c r="AR1225" s="108">
        <f>MIN((BD1225-Driver!$K$189)/(Driver!$L$189-Driver!$K$189),100%)</f>
        <v/>
      </c>
      <c r="AS1225" s="108">
        <f>(BE1225-Driver!$K$190)/(Driver!$L$190-Driver!$K$190)</f>
        <v/>
      </c>
      <c r="AT1225" s="108">
        <f>(BF1225-Driver!$K$191)/(Driver!$L$191-Driver!$K$191)</f>
        <v/>
      </c>
      <c r="AU1225" s="108">
        <f>(BG1225-Driver!$K$192)/(Driver!$L$192-Driver!$K$192)</f>
        <v/>
      </c>
      <c r="AV1225" s="105">
        <f>IFERROR(BM1225*BJ1225^1/4,"")</f>
        <v/>
      </c>
      <c r="AW1225" s="105">
        <f>IFERROR(SUM(AX1225:AZ1225),"")</f>
        <v/>
      </c>
      <c r="AX1225" s="105">
        <f>IFERROR(BH1225,"")</f>
        <v/>
      </c>
      <c r="AY1225" s="105">
        <f>IFERROR(Driver!$K$19/Data!BH1225/Data!BI1225*Data!BK1225*Data!BL1225,"")</f>
        <v/>
      </c>
      <c r="AZ1225" s="105">
        <f>IFERROR(BI1225*BN1225,"")</f>
        <v/>
      </c>
      <c r="BA1225" s="105" t="n"/>
      <c r="BB1225" s="105" t="n"/>
      <c r="BC1225" s="105">
        <f>IFERROR(BI1225*BN1225*BK1225/BJ1225^(1/2),"")</f>
        <v/>
      </c>
      <c r="BD1225" s="105">
        <f>IFERROR(BH1225*BM1225*BL1225/BJ1225/BK1225,"")</f>
        <v/>
      </c>
      <c r="BE1225" s="105">
        <f>IFERROR(MIN(BI1225/BQ1225/BP1225/BO1225/BH1225,$BE$1),"")</f>
        <v/>
      </c>
      <c r="BF1225" s="105">
        <f>IFERROR(BJ1225*BO1225*BP1225/BK1225,"")</f>
        <v/>
      </c>
      <c r="BG1225" s="105">
        <f>IFERROR(1/BM1225/BH1225*BQ1225,"")</f>
        <v/>
      </c>
      <c r="BH1225" s="102">
        <f>MAX((CE1225-Driver!$F$200)/(Driver!$G$200-Driver!$F$200)*$BI$1,1)</f>
        <v/>
      </c>
      <c r="BI1225" s="102">
        <f>MAX($BI$1*(BY1225-Driver!$F$201)/(Driver!$G$201-Driver!$F$201),1)</f>
        <v/>
      </c>
      <c r="BJ1225" s="102">
        <f>(CB1225-Driver!$F$206)/(Driver!$G$206-Driver!$F$206)*$BI$1</f>
        <v/>
      </c>
      <c r="BK1225" s="102">
        <f>(CD1225-Driver!$F$203)/(Driver!$G$203-Driver!$F$203)*$BI$1</f>
        <v/>
      </c>
      <c r="BL1225" s="102">
        <f>MAX((CR1225-Driver!$F$202)/(Driver!$G$202-Driver!$F$202)*$BI$1,1)</f>
        <v/>
      </c>
      <c r="BM1225" s="102">
        <f>MAX((CH1225-Driver!$F$204)/(Driver!$G$204-Driver!$F$204)*$BI$1,1)</f>
        <v/>
      </c>
      <c r="BN1225" s="102">
        <f>(CI1225-Driver!$F$205)/(Driver!$G$205-Driver!$F$205)*$BI$1</f>
        <v/>
      </c>
      <c r="BO1225" s="102">
        <f>(CK1225-Driver!$F$207)/(Driver!$G$207-Driver!$F$207)*$BI$1</f>
        <v/>
      </c>
      <c r="BP1225" s="102">
        <f>(CM1225-Driver!$F$208)/(Driver!$G$208-Driver!$F$208)*$BI$1</f>
        <v/>
      </c>
      <c r="BQ1225" s="102">
        <f>(CL1225-Driver!$F$209)/(Driver!$G$209-Driver!$F$209)*$BI$1</f>
        <v/>
      </c>
      <c r="BR1225" s="40" t="inlineStr">
        <is>
          <t>21/22</t>
        </is>
      </c>
      <c r="BS1225" s="10" t="inlineStr">
        <is>
          <t xml:space="preserve"> Fischer</t>
        </is>
      </c>
      <c r="BT1225" s="11" t="inlineStr">
        <is>
          <t>Hannibal 96</t>
        </is>
      </c>
      <c r="BU1225" s="13" t="n">
        <v>162</v>
      </c>
      <c r="BV1225" s="11" t="inlineStr">
        <is>
          <t xml:space="preserve"> Unisex</t>
        </is>
      </c>
      <c r="BW1225" s="13" t="n">
        <v>162</v>
      </c>
      <c r="BX1225" s="13" t="n">
        <v>161</v>
      </c>
      <c r="BY1225" s="13" t="n">
        <v>116</v>
      </c>
      <c r="BZ1225" s="13" t="n">
        <v>138</v>
      </c>
      <c r="CA1225" s="13" t="n">
        <v>124</v>
      </c>
      <c r="CB1225" s="13" t="n">
        <v>93</v>
      </c>
      <c r="CC1225" s="13" t="n">
        <v>111</v>
      </c>
      <c r="CD1225" s="13" t="n">
        <v>18.5</v>
      </c>
      <c r="CE1225" s="13" t="n">
        <v>1133</v>
      </c>
      <c r="CF1225" s="13" t="n">
        <v>1.45</v>
      </c>
      <c r="CG1225" s="13" t="n">
        <v>1640</v>
      </c>
      <c r="CH1225" s="13" t="n">
        <v>118</v>
      </c>
      <c r="CI1225" s="13" t="n">
        <v>50</v>
      </c>
      <c r="CJ1225" s="13" t="n">
        <v>58</v>
      </c>
      <c r="CK1225" s="13" t="n">
        <v>311</v>
      </c>
      <c r="CL1225" s="13" t="n">
        <v>5</v>
      </c>
      <c r="CM1225" s="13" t="n">
        <v>138</v>
      </c>
      <c r="CN1225" s="13" t="n">
        <v>0.08500000000000001</v>
      </c>
      <c r="CO1225" s="13" t="n">
        <v>150</v>
      </c>
      <c r="CP1225" s="13" t="n">
        <v>76</v>
      </c>
      <c r="CQ1225" s="13" t="n">
        <v>161</v>
      </c>
      <c r="CR1225" s="13" t="n">
        <v>2</v>
      </c>
      <c r="CS1225" s="13" t="n">
        <v>10</v>
      </c>
      <c r="CT1225" s="11" t="inlineStr">
        <is>
          <t xml:space="preserve"> Touring</t>
        </is>
      </c>
      <c r="CU1225" s="11" t="inlineStr">
        <is>
          <t xml:space="preserve"> Ultralight Touring</t>
        </is>
      </c>
      <c r="CV1225" s="13" t="n"/>
      <c r="CW1225" s="13" t="n"/>
      <c r="CX1225">
        <f>INDEX('Data_Price '!AG$2:AG$1266,MATCH(Data!$DN1225,'Data_Price '!$AT$2:$AT$1266,0))</f>
        <v/>
      </c>
      <c r="CY1225">
        <f>INDEX('Data_Price '!AH$2:AH$1266,MATCH(Data!$DN1225,'Data_Price '!$AT$2:$AT$1266,0))</f>
        <v/>
      </c>
      <c r="CZ1225">
        <f>INDEX('Data_Price '!AI$2:AI$1266,MATCH(Data!$DN1225,'Data_Price '!$AT$2:$AT$1266,0))</f>
        <v/>
      </c>
      <c r="DA1225">
        <f>INDEX('Data_Price '!AJ$2:AJ$1266,MATCH(Data!$DN1225,'Data_Price '!$AT$2:$AT$1266,0))</f>
        <v/>
      </c>
      <c r="DB1225">
        <f>INDEX('Data_Price '!AK$2:AK$1266,MATCH(Data!$DN1225,'Data_Price '!$AT$2:$AT$1266,0))</f>
        <v/>
      </c>
      <c r="DC1225">
        <f>INDEX('Data_Price '!AL$2:AL$1266,MATCH(Data!$DN1225,'Data_Price '!$AT$2:$AT$1266,0))</f>
        <v/>
      </c>
      <c r="DD1225">
        <f>INDEX('Data_Price '!AM$2:AM$1266,MATCH(Data!$DN1225,'Data_Price '!$AT$2:$AT$1266,0))</f>
        <v/>
      </c>
      <c r="DE1225">
        <f>INDEX('Data_Price '!AN$2:AN$1266,MATCH(Data!$DN1225,'Data_Price '!$AT$2:$AT$1266,0))</f>
        <v/>
      </c>
      <c r="DF1225">
        <f>INDEX('Data_Price '!AO$2:AO$1266,MATCH(Data!$DN1225,'Data_Price '!$AT$2:$AT$1266,0))</f>
        <v/>
      </c>
      <c r="DG1225">
        <f>INDEX('Data_Price '!AP$2:AP$1266,MATCH(Data!$DN1225,'Data_Price '!$AT$2:$AT$1266,0))</f>
        <v/>
      </c>
      <c r="DH1225">
        <f>INDEX('Data_Price '!AQ$2:AQ$1266,MATCH(Data!$DN1225,'Data_Price '!$AT$2:$AT$1266,0))</f>
        <v/>
      </c>
      <c r="DI1225">
        <f>INDEX('Data_Price '!AR$2:AR$1266,MATCH(Data!$DN1225,'Data_Price '!$AT$2:$AT$1266,0))</f>
        <v/>
      </c>
      <c r="DJ1225" s="138">
        <f>DA1225</f>
        <v/>
      </c>
      <c r="DK1225" s="138">
        <f>DE1225</f>
        <v/>
      </c>
      <c r="DL1225" s="138">
        <f>DI1225</f>
        <v/>
      </c>
      <c r="DM1225" s="303">
        <f>IF(LEFT(BT1225,1)=" ",RIGHT(BT1225,LEN(BT1225)-1),BT1225)</f>
        <v/>
      </c>
      <c r="DN1225" s="138">
        <f>_xlfn.CONCAT(BS1225,DM1225,BU1225,BV1225)</f>
        <v/>
      </c>
      <c r="DO1225" s="307" t="inlineStr">
        <is>
          <t>https://images.evo.com/imgp/250/209040/846563/fischer-hannibal-96-carbon-skis-2022-.jpg</t>
        </is>
      </c>
    </row>
    <row r="1226" ht="15.6" customHeight="1" s="184">
      <c r="B1226" s="303">
        <f t="array" ref="B1226">IF(OR(ISERROR(K1226:P1226)),FALSE,TRUE)</f>
        <v/>
      </c>
      <c r="C1226" s="60">
        <f>OR(BR1226=Driver!$G$50,Data!BR322=Driver!$H$50)</f>
        <v/>
      </c>
      <c r="D1226" s="60">
        <f>OR(BV1226=Driver!$G$51,BV1226=Driver!$H$51)</f>
        <v/>
      </c>
      <c r="E1226" s="60">
        <f>AND(BX1226&gt;Driver!$F$54,BX1226&lt;Driver!$G$54)</f>
        <v/>
      </c>
      <c r="F1226" s="60">
        <f>CL1226&gt;Driver!$F$56</f>
        <v/>
      </c>
      <c r="G1226" s="60">
        <f>AND(CB1226&gt;Driver!$F$55,CB1226&lt;Driver!$G$55)</f>
        <v/>
      </c>
      <c r="H1226" s="60">
        <f>AND(B1226:G1226)</f>
        <v/>
      </c>
      <c r="I1226" s="60">
        <f>COUNTIFS($H$9:$H$1273,TRUE,$BT$9:$BT$1273,BT1226)</f>
        <v/>
      </c>
      <c r="J1226" s="60">
        <f t="array" ref="J1226">NOT(OR(($H$9:$H$1273=TRUE)*($I$9:$I$1273&gt;0)*($BT$9:$BT$1273=BT1226)*($K$9:$K$1273&gt;K1226)))</f>
        <v/>
      </c>
      <c r="K1226" s="108">
        <f>IFERROR(1-AVERAGE(X1226:Y1226),"")</f>
        <v/>
      </c>
      <c r="L1226" s="108">
        <f>1-X1226</f>
        <v/>
      </c>
      <c r="M1226" s="108">
        <f>1-Y1226</f>
        <v/>
      </c>
      <c r="N1226" s="108">
        <f>1-Z1226</f>
        <v/>
      </c>
      <c r="O1226" s="108">
        <f>1-AA1226</f>
        <v/>
      </c>
      <c r="P1226" s="108">
        <f>1-AB1226</f>
        <v/>
      </c>
      <c r="Q1226" s="108" t="n"/>
      <c r="R1226" s="108" t="n"/>
      <c r="S1226" s="108">
        <f>1-AE1226</f>
        <v/>
      </c>
      <c r="T1226" s="108">
        <f>1-AF1226</f>
        <v/>
      </c>
      <c r="U1226" s="108">
        <f>1-AG1226</f>
        <v/>
      </c>
      <c r="V1226" s="108">
        <f>1-AH1226</f>
        <v/>
      </c>
      <c r="W1226" s="108">
        <f>1-AI1226</f>
        <v/>
      </c>
      <c r="X1226" s="108">
        <f>ABS(AJ1226-AJ$1)</f>
        <v/>
      </c>
      <c r="Y1226" s="108">
        <f>AVERAGE(Z1226:AB1226)</f>
        <v/>
      </c>
      <c r="Z1226" s="108">
        <f>ABS(AL1226-AL$1)</f>
        <v/>
      </c>
      <c r="AA1226" s="108">
        <f>ABS(AM1226-AM$1)</f>
        <v/>
      </c>
      <c r="AB1226" s="108">
        <f>ABS(AN1226-AN$1)</f>
        <v/>
      </c>
      <c r="AC1226" s="108" t="n"/>
      <c r="AD1226" s="108" t="n"/>
      <c r="AE1226" s="108">
        <f>ABS(AQ$1-AQ1226)</f>
        <v/>
      </c>
      <c r="AF1226" s="108">
        <f>ABS(AR$1-AR1226)</f>
        <v/>
      </c>
      <c r="AG1226" s="108">
        <f>ABS(AS$1-AS1226)</f>
        <v/>
      </c>
      <c r="AH1226" s="108">
        <f>ABS(AT$1-AT1226)</f>
        <v/>
      </c>
      <c r="AI1226" s="108">
        <f>ABS(AU$1-AU1226)</f>
        <v/>
      </c>
      <c r="AJ1226" s="108">
        <f>(AV1226-Driver!$K$179)/(Driver!$L$179-Driver!$K$179)</f>
        <v/>
      </c>
      <c r="AK1226" s="108">
        <f>(AW1226-Driver!$K$180)/(Driver!$L$180-Driver!$K$180)</f>
        <v/>
      </c>
      <c r="AL1226" s="108">
        <f>(AX1226-Driver!$K$181)/(Driver!$L$181-Driver!$K$181)</f>
        <v/>
      </c>
      <c r="AM1226" s="108">
        <f>(AY1226-Driver!$K$182)/(Driver!$L$182-Driver!$K$182)</f>
        <v/>
      </c>
      <c r="AN1226" s="108">
        <f>(AZ1226-Driver!$K$183)/(Driver!$L$183-Driver!$K$183)</f>
        <v/>
      </c>
      <c r="AO1226" s="108" t="n"/>
      <c r="AP1226" s="108" t="n"/>
      <c r="AQ1226" s="108">
        <f>(BC1226-Driver!$K$188)/(Driver!$L$188-Driver!$K$188)</f>
        <v/>
      </c>
      <c r="AR1226" s="108">
        <f>MIN((BD1226-Driver!$K$189)/(Driver!$L$189-Driver!$K$189),100%)</f>
        <v/>
      </c>
      <c r="AS1226" s="108">
        <f>(BE1226-Driver!$K$190)/(Driver!$L$190-Driver!$K$190)</f>
        <v/>
      </c>
      <c r="AT1226" s="108">
        <f>(BF1226-Driver!$K$191)/(Driver!$L$191-Driver!$K$191)</f>
        <v/>
      </c>
      <c r="AU1226" s="108">
        <f>(BG1226-Driver!$K$192)/(Driver!$L$192-Driver!$K$192)</f>
        <v/>
      </c>
      <c r="AV1226" s="105">
        <f>IFERROR(BM1226*BJ1226^1/4,"")</f>
        <v/>
      </c>
      <c r="AW1226" s="105">
        <f>IFERROR(SUM(AX1226:AZ1226),"")</f>
        <v/>
      </c>
      <c r="AX1226" s="105">
        <f>IFERROR(BH1226,"")</f>
        <v/>
      </c>
      <c r="AY1226" s="105">
        <f>IFERROR(Driver!$K$19/Data!BH1226/Data!BI1226*Data!BK1226*Data!BL1226,"")</f>
        <v/>
      </c>
      <c r="AZ1226" s="105">
        <f>IFERROR(BI1226*BN1226,"")</f>
        <v/>
      </c>
      <c r="BA1226" s="105" t="n"/>
      <c r="BB1226" s="105" t="n"/>
      <c r="BC1226" s="105">
        <f>IFERROR(BI1226*BN1226*BK1226/BJ1226^(1/2),"")</f>
        <v/>
      </c>
      <c r="BD1226" s="105">
        <f>IFERROR(BH1226*BM1226*BL1226/BJ1226/BK1226,"")</f>
        <v/>
      </c>
      <c r="BE1226" s="105">
        <f>IFERROR(MIN(BI1226/BQ1226/BP1226/BO1226/BH1226,$BE$1),"")</f>
        <v/>
      </c>
      <c r="BF1226" s="105">
        <f>IFERROR(BJ1226*BO1226*BP1226/BK1226,"")</f>
        <v/>
      </c>
      <c r="BG1226" s="105">
        <f>IFERROR(1/BM1226/BH1226*BQ1226,"")</f>
        <v/>
      </c>
      <c r="BH1226" s="102">
        <f>MAX((CE1226-Driver!$F$200)/(Driver!$G$200-Driver!$F$200)*$BI$1,1)</f>
        <v/>
      </c>
      <c r="BI1226" s="102">
        <f>MAX($BI$1*(BY1226-Driver!$F$201)/(Driver!$G$201-Driver!$F$201),1)</f>
        <v/>
      </c>
      <c r="BJ1226" s="102">
        <f>(CB1226-Driver!$F$206)/(Driver!$G$206-Driver!$F$206)*$BI$1</f>
        <v/>
      </c>
      <c r="BK1226" s="102">
        <f>(CD1226-Driver!$F$203)/(Driver!$G$203-Driver!$F$203)*$BI$1</f>
        <v/>
      </c>
      <c r="BL1226" s="102">
        <f>MAX((CR1226-Driver!$F$202)/(Driver!$G$202-Driver!$F$202)*$BI$1,1)</f>
        <v/>
      </c>
      <c r="BM1226" s="102">
        <f>MAX((CH1226-Driver!$F$204)/(Driver!$G$204-Driver!$F$204)*$BI$1,1)</f>
        <v/>
      </c>
      <c r="BN1226" s="102">
        <f>(CI1226-Driver!$F$205)/(Driver!$G$205-Driver!$F$205)*$BI$1</f>
        <v/>
      </c>
      <c r="BO1226" s="102">
        <f>(CK1226-Driver!$F$207)/(Driver!$G$207-Driver!$F$207)*$BI$1</f>
        <v/>
      </c>
      <c r="BP1226" s="102">
        <f>(CM1226-Driver!$F$208)/(Driver!$G$208-Driver!$F$208)*$BI$1</f>
        <v/>
      </c>
      <c r="BQ1226" s="102">
        <f>(CL1226-Driver!$F$209)/(Driver!$G$209-Driver!$F$209)*$BI$1</f>
        <v/>
      </c>
      <c r="BR1226" s="40" t="inlineStr">
        <is>
          <t>21/22</t>
        </is>
      </c>
      <c r="BS1226" s="10" t="inlineStr">
        <is>
          <t xml:space="preserve"> Blizzard</t>
        </is>
      </c>
      <c r="BT1226" s="11" t="inlineStr">
        <is>
          <t>Zero G 85</t>
        </is>
      </c>
      <c r="BU1226" s="13" t="n">
        <v>150</v>
      </c>
      <c r="BV1226" s="11" t="inlineStr">
        <is>
          <t xml:space="preserve"> Unisex</t>
        </is>
      </c>
      <c r="BW1226" s="13" t="n">
        <v>150</v>
      </c>
      <c r="BX1226" s="13" t="n">
        <v>147.6</v>
      </c>
      <c r="BY1226" s="13" t="n">
        <v>109</v>
      </c>
      <c r="BZ1226" s="13" t="n">
        <v>123</v>
      </c>
      <c r="CA1226" s="13" t="n">
        <v>112</v>
      </c>
      <c r="CB1226" s="13" t="n">
        <v>82</v>
      </c>
      <c r="CC1226" s="13" t="n">
        <v>95</v>
      </c>
      <c r="CD1226" s="13" t="n">
        <v>17.3</v>
      </c>
      <c r="CE1226" s="13" t="n">
        <v>900</v>
      </c>
      <c r="CF1226" s="13" t="n">
        <v>1.49</v>
      </c>
      <c r="CG1226" s="13" t="n">
        <v>1337</v>
      </c>
      <c r="CH1226" s="13" t="n">
        <v>140</v>
      </c>
      <c r="CI1226" s="13" t="n">
        <v>44</v>
      </c>
      <c r="CJ1226" s="13" t="n">
        <v>58</v>
      </c>
      <c r="CK1226" s="13" t="n">
        <v>216</v>
      </c>
      <c r="CL1226" s="13" t="n">
        <v>11</v>
      </c>
      <c r="CM1226" s="13" t="n">
        <v>172</v>
      </c>
      <c r="CN1226" s="13" t="n">
        <v>0.189</v>
      </c>
      <c r="CO1226" s="13" t="n">
        <v>126</v>
      </c>
      <c r="CP1226" s="13" t="n">
        <v>121</v>
      </c>
      <c r="CQ1226" s="13" t="n">
        <v>90</v>
      </c>
      <c r="CR1226" s="13" t="n">
        <v>4</v>
      </c>
      <c r="CS1226" s="13" t="n">
        <v>10.1</v>
      </c>
      <c r="CT1226" s="11" t="inlineStr">
        <is>
          <t xml:space="preserve"> Touring</t>
        </is>
      </c>
      <c r="CU1226" s="11" t="inlineStr">
        <is>
          <t xml:space="preserve"> Ultralight Touring</t>
        </is>
      </c>
      <c r="CV1226" s="13" t="n"/>
      <c r="CW1226" s="13" t="n"/>
      <c r="CX1226">
        <f>INDEX('Data_Price '!AG$2:AG$1266,MATCH(Data!$DN1226,'Data_Price '!$AT$2:$AT$1266,0))</f>
        <v/>
      </c>
      <c r="CY1226">
        <f>INDEX('Data_Price '!AH$2:AH$1266,MATCH(Data!$DN1226,'Data_Price '!$AT$2:$AT$1266,0))</f>
        <v/>
      </c>
      <c r="CZ1226">
        <f>INDEX('Data_Price '!AI$2:AI$1266,MATCH(Data!$DN1226,'Data_Price '!$AT$2:$AT$1266,0))</f>
        <v/>
      </c>
      <c r="DA1226">
        <f>INDEX('Data_Price '!AJ$2:AJ$1266,MATCH(Data!$DN1226,'Data_Price '!$AT$2:$AT$1266,0))</f>
        <v/>
      </c>
      <c r="DB1226">
        <f>INDEX('Data_Price '!AK$2:AK$1266,MATCH(Data!$DN1226,'Data_Price '!$AT$2:$AT$1266,0))</f>
        <v/>
      </c>
      <c r="DC1226">
        <f>INDEX('Data_Price '!AL$2:AL$1266,MATCH(Data!$DN1226,'Data_Price '!$AT$2:$AT$1266,0))</f>
        <v/>
      </c>
      <c r="DD1226">
        <f>INDEX('Data_Price '!AM$2:AM$1266,MATCH(Data!$DN1226,'Data_Price '!$AT$2:$AT$1266,0))</f>
        <v/>
      </c>
      <c r="DE1226">
        <f>INDEX('Data_Price '!AN$2:AN$1266,MATCH(Data!$DN1226,'Data_Price '!$AT$2:$AT$1266,0))</f>
        <v/>
      </c>
      <c r="DF1226">
        <f>INDEX('Data_Price '!AO$2:AO$1266,MATCH(Data!$DN1226,'Data_Price '!$AT$2:$AT$1266,0))</f>
        <v/>
      </c>
      <c r="DG1226">
        <f>INDEX('Data_Price '!AP$2:AP$1266,MATCH(Data!$DN1226,'Data_Price '!$AT$2:$AT$1266,0))</f>
        <v/>
      </c>
      <c r="DH1226">
        <f>INDEX('Data_Price '!AQ$2:AQ$1266,MATCH(Data!$DN1226,'Data_Price '!$AT$2:$AT$1266,0))</f>
        <v/>
      </c>
      <c r="DI1226">
        <f>INDEX('Data_Price '!AR$2:AR$1266,MATCH(Data!$DN1226,'Data_Price '!$AT$2:$AT$1266,0))</f>
        <v/>
      </c>
      <c r="DJ1226" s="138">
        <f>DA1226</f>
        <v/>
      </c>
      <c r="DK1226" s="138">
        <f>DE1226</f>
        <v/>
      </c>
      <c r="DL1226" s="138">
        <f>DI1226</f>
        <v/>
      </c>
      <c r="DM1226" s="303">
        <f>IF(LEFT(BT1226,1)=" ",RIGHT(BT1226,LEN(BT1226)-1),BT1226)</f>
        <v/>
      </c>
      <c r="DN1226" s="138">
        <f>_xlfn.CONCAT(BS1226,DM1226,BU1226,BV1226)</f>
        <v/>
      </c>
      <c r="DO1226" s="307" t="n"/>
    </row>
    <row r="1227" ht="15.6" customHeight="1" s="184">
      <c r="B1227" s="303">
        <f t="array" ref="B1227">IF(OR(ISERROR(K1227:P1227)),FALSE,TRUE)</f>
        <v/>
      </c>
      <c r="C1227" s="60">
        <f>OR(BR1227=Driver!$G$50,Data!BR345=Driver!$H$50)</f>
        <v/>
      </c>
      <c r="D1227" s="60">
        <f>OR(BV1227=Driver!$G$51,BV1227=Driver!$H$51)</f>
        <v/>
      </c>
      <c r="E1227" s="60">
        <f>AND(BX1227&gt;Driver!$F$54,BX1227&lt;Driver!$G$54)</f>
        <v/>
      </c>
      <c r="F1227" s="60">
        <f>CL1227&gt;Driver!$F$56</f>
        <v/>
      </c>
      <c r="G1227" s="60">
        <f>AND(CB1227&gt;Driver!$F$55,CB1227&lt;Driver!$G$55)</f>
        <v/>
      </c>
      <c r="H1227" s="60">
        <f>AND(B1227:G1227)</f>
        <v/>
      </c>
      <c r="I1227" s="60">
        <f>COUNTIFS($H$9:$H$1273,TRUE,$BT$9:$BT$1273,BT1227)</f>
        <v/>
      </c>
      <c r="J1227" s="60">
        <f t="array" ref="J1227">NOT(OR(($H$9:$H$1273=TRUE)*($I$9:$I$1273&gt;0)*($BT$9:$BT$1273=BT1227)*($K$9:$K$1273&gt;K1227)))</f>
        <v/>
      </c>
      <c r="K1227" s="108">
        <f>IFERROR(1-AVERAGE(X1227:Y1227),"")</f>
        <v/>
      </c>
      <c r="L1227" s="108">
        <f>1-X1227</f>
        <v/>
      </c>
      <c r="M1227" s="108">
        <f>1-Y1227</f>
        <v/>
      </c>
      <c r="N1227" s="108">
        <f>1-Z1227</f>
        <v/>
      </c>
      <c r="O1227" s="108">
        <f>1-AA1227</f>
        <v/>
      </c>
      <c r="P1227" s="108">
        <f>1-AB1227</f>
        <v/>
      </c>
      <c r="Q1227" s="108" t="n"/>
      <c r="R1227" s="108" t="n"/>
      <c r="S1227" s="108">
        <f>1-AE1227</f>
        <v/>
      </c>
      <c r="T1227" s="108">
        <f>1-AF1227</f>
        <v/>
      </c>
      <c r="U1227" s="108">
        <f>1-AG1227</f>
        <v/>
      </c>
      <c r="V1227" s="108">
        <f>1-AH1227</f>
        <v/>
      </c>
      <c r="W1227" s="108">
        <f>1-AI1227</f>
        <v/>
      </c>
      <c r="X1227" s="108">
        <f>ABS(AJ1227-AJ$1)</f>
        <v/>
      </c>
      <c r="Y1227" s="108">
        <f>AVERAGE(Z1227:AB1227)</f>
        <v/>
      </c>
      <c r="Z1227" s="108">
        <f>ABS(AL1227-AL$1)</f>
        <v/>
      </c>
      <c r="AA1227" s="108">
        <f>ABS(AM1227-AM$1)</f>
        <v/>
      </c>
      <c r="AB1227" s="108">
        <f>ABS(AN1227-AN$1)</f>
        <v/>
      </c>
      <c r="AC1227" s="108" t="n"/>
      <c r="AD1227" s="108" t="n"/>
      <c r="AE1227" s="108">
        <f>ABS(AQ$1-AQ1227)</f>
        <v/>
      </c>
      <c r="AF1227" s="108">
        <f>ABS(AR$1-AR1227)</f>
        <v/>
      </c>
      <c r="AG1227" s="108">
        <f>ABS(AS$1-AS1227)</f>
        <v/>
      </c>
      <c r="AH1227" s="108">
        <f>ABS(AT$1-AT1227)</f>
        <v/>
      </c>
      <c r="AI1227" s="108">
        <f>ABS(AU$1-AU1227)</f>
        <v/>
      </c>
      <c r="AJ1227" s="108">
        <f>(AV1227-Driver!$K$179)/(Driver!$L$179-Driver!$K$179)</f>
        <v/>
      </c>
      <c r="AK1227" s="108">
        <f>(AW1227-Driver!$K$180)/(Driver!$L$180-Driver!$K$180)</f>
        <v/>
      </c>
      <c r="AL1227" s="108">
        <f>(AX1227-Driver!$K$181)/(Driver!$L$181-Driver!$K$181)</f>
        <v/>
      </c>
      <c r="AM1227" s="108">
        <f>(AY1227-Driver!$K$182)/(Driver!$L$182-Driver!$K$182)</f>
        <v/>
      </c>
      <c r="AN1227" s="108">
        <f>(AZ1227-Driver!$K$183)/(Driver!$L$183-Driver!$K$183)</f>
        <v/>
      </c>
      <c r="AO1227" s="108" t="n"/>
      <c r="AP1227" s="108" t="n"/>
      <c r="AQ1227" s="108">
        <f>(BC1227-Driver!$K$188)/(Driver!$L$188-Driver!$K$188)</f>
        <v/>
      </c>
      <c r="AR1227" s="108">
        <f>MIN((BD1227-Driver!$K$189)/(Driver!$L$189-Driver!$K$189),100%)</f>
        <v/>
      </c>
      <c r="AS1227" s="108">
        <f>(BE1227-Driver!$K$190)/(Driver!$L$190-Driver!$K$190)</f>
        <v/>
      </c>
      <c r="AT1227" s="108">
        <f>(BF1227-Driver!$K$191)/(Driver!$L$191-Driver!$K$191)</f>
        <v/>
      </c>
      <c r="AU1227" s="108">
        <f>(BG1227-Driver!$K$192)/(Driver!$L$192-Driver!$K$192)</f>
        <v/>
      </c>
      <c r="AV1227" s="105">
        <f>IFERROR(BM1227*BJ1227^1/4,"")</f>
        <v/>
      </c>
      <c r="AW1227" s="105">
        <f>IFERROR(SUM(AX1227:AZ1227),"")</f>
        <v/>
      </c>
      <c r="AX1227" s="105">
        <f>IFERROR(BH1227,"")</f>
        <v/>
      </c>
      <c r="AY1227" s="105">
        <f>IFERROR(Driver!$K$19/Data!BH1227/Data!BI1227*Data!BK1227*Data!BL1227,"")</f>
        <v/>
      </c>
      <c r="AZ1227" s="105">
        <f>IFERROR(BI1227*BN1227,"")</f>
        <v/>
      </c>
      <c r="BA1227" s="105" t="n"/>
      <c r="BB1227" s="105" t="n"/>
      <c r="BC1227" s="105">
        <f>IFERROR(BI1227*BN1227*BK1227/BJ1227^(1/2),"")</f>
        <v/>
      </c>
      <c r="BD1227" s="105">
        <f>IFERROR(BH1227*BM1227*BL1227/BJ1227/BK1227,"")</f>
        <v/>
      </c>
      <c r="BE1227" s="105">
        <f>IFERROR(MIN(BI1227/BQ1227/BP1227/BO1227/BH1227,$BE$1),"")</f>
        <v/>
      </c>
      <c r="BF1227" s="105">
        <f>IFERROR(BJ1227*BO1227*BP1227/BK1227,"")</f>
        <v/>
      </c>
      <c r="BG1227" s="105">
        <f>IFERROR(1/BM1227/BH1227*BQ1227,"")</f>
        <v/>
      </c>
      <c r="BH1227" s="102">
        <f>MAX((CE1227-Driver!$F$200)/(Driver!$G$200-Driver!$F$200)*$BI$1,1)</f>
        <v/>
      </c>
      <c r="BI1227" s="102">
        <f>MAX($BI$1*(BY1227-Driver!$F$201)/(Driver!$G$201-Driver!$F$201),1)</f>
        <v/>
      </c>
      <c r="BJ1227" s="102">
        <f>(CB1227-Driver!$F$206)/(Driver!$G$206-Driver!$F$206)*$BI$1</f>
        <v/>
      </c>
      <c r="BK1227" s="102">
        <f>(CD1227-Driver!$F$203)/(Driver!$G$203-Driver!$F$203)*$BI$1</f>
        <v/>
      </c>
      <c r="BL1227" s="102">
        <f>MAX((CR1227-Driver!$F$202)/(Driver!$G$202-Driver!$F$202)*$BI$1,1)</f>
        <v/>
      </c>
      <c r="BM1227" s="102">
        <f>MAX((CH1227-Driver!$F$204)/(Driver!$G$204-Driver!$F$204)*$BI$1,1)</f>
        <v/>
      </c>
      <c r="BN1227" s="102">
        <f>(CI1227-Driver!$F$205)/(Driver!$G$205-Driver!$F$205)*$BI$1</f>
        <v/>
      </c>
      <c r="BO1227" s="102">
        <f>(CK1227-Driver!$F$207)/(Driver!$G$207-Driver!$F$207)*$BI$1</f>
        <v/>
      </c>
      <c r="BP1227" s="102">
        <f>(CM1227-Driver!$F$208)/(Driver!$G$208-Driver!$F$208)*$BI$1</f>
        <v/>
      </c>
      <c r="BQ1227" s="102">
        <f>(CL1227-Driver!$F$209)/(Driver!$G$209-Driver!$F$209)*$BI$1</f>
        <v/>
      </c>
      <c r="BR1227" s="40" t="inlineStr">
        <is>
          <t>21/22</t>
        </is>
      </c>
      <c r="BS1227" s="10" t="inlineStr">
        <is>
          <t xml:space="preserve"> DPS</t>
        </is>
      </c>
      <c r="BT1227" s="11" t="inlineStr">
        <is>
          <t>Pagoda 112 RP</t>
        </is>
      </c>
      <c r="BU1227" s="13" t="n">
        <v>189</v>
      </c>
      <c r="BV1227" s="11" t="inlineStr">
        <is>
          <t xml:space="preserve"> Unisex</t>
        </is>
      </c>
      <c r="BW1227" s="13" t="n">
        <v>189</v>
      </c>
      <c r="BX1227" s="13" t="n">
        <v>187.8</v>
      </c>
      <c r="BY1227" s="13" t="n">
        <v>121</v>
      </c>
      <c r="BZ1227" s="13" t="n">
        <v>131</v>
      </c>
      <c r="CA1227" s="13" t="n">
        <v>141</v>
      </c>
      <c r="CB1227" s="13" t="n">
        <v>111</v>
      </c>
      <c r="CC1227" s="13" t="n">
        <v>127</v>
      </c>
      <c r="CD1227" s="13" t="n">
        <v>15.3</v>
      </c>
      <c r="CE1227" s="13" t="n">
        <v>2131</v>
      </c>
      <c r="CF1227" s="13" t="n">
        <v>1.07</v>
      </c>
      <c r="CG1227" s="13" t="n">
        <v>2278</v>
      </c>
      <c r="CH1227" s="13" t="n">
        <v>315</v>
      </c>
      <c r="CI1227" s="13" t="n">
        <v>138</v>
      </c>
      <c r="CJ1227" s="13" t="n">
        <v>67</v>
      </c>
      <c r="CK1227" s="13" t="n">
        <v>392</v>
      </c>
      <c r="CL1227" s="13" t="n">
        <v>28</v>
      </c>
      <c r="CM1227" s="13" t="n">
        <v>279</v>
      </c>
      <c r="CN1227" s="13" t="n">
        <v>0.42</v>
      </c>
      <c r="CO1227" s="13" t="n">
        <v>292</v>
      </c>
      <c r="CP1227" s="13" t="n">
        <v>279</v>
      </c>
      <c r="CQ1227" s="13" t="n">
        <v>100</v>
      </c>
      <c r="CR1227" s="13" t="n">
        <v>7</v>
      </c>
      <c r="CS1227" s="13" t="n">
        <v>12.6</v>
      </c>
      <c r="CT1227" s="11" t="inlineStr">
        <is>
          <t xml:space="preserve"> Powder</t>
        </is>
      </c>
      <c r="CU1227" s="11" t="inlineStr">
        <is>
          <t xml:space="preserve"> Touring</t>
        </is>
      </c>
      <c r="CV1227" s="13" t="n"/>
      <c r="CW1227" s="13" t="n"/>
      <c r="CX1227">
        <f>INDEX('Data_Price '!AG$2:AG$1266,MATCH(Data!$DN1227,'Data_Price '!$AT$2:$AT$1266,0))</f>
        <v/>
      </c>
      <c r="CY1227">
        <f>INDEX('Data_Price '!AH$2:AH$1266,MATCH(Data!$DN1227,'Data_Price '!$AT$2:$AT$1266,0))</f>
        <v/>
      </c>
      <c r="CZ1227">
        <f>INDEX('Data_Price '!AI$2:AI$1266,MATCH(Data!$DN1227,'Data_Price '!$AT$2:$AT$1266,0))</f>
        <v/>
      </c>
      <c r="DA1227">
        <f>INDEX('Data_Price '!AJ$2:AJ$1266,MATCH(Data!$DN1227,'Data_Price '!$AT$2:$AT$1266,0))</f>
        <v/>
      </c>
      <c r="DB1227">
        <f>INDEX('Data_Price '!AK$2:AK$1266,MATCH(Data!$DN1227,'Data_Price '!$AT$2:$AT$1266,0))</f>
        <v/>
      </c>
      <c r="DC1227">
        <f>INDEX('Data_Price '!AL$2:AL$1266,MATCH(Data!$DN1227,'Data_Price '!$AT$2:$AT$1266,0))</f>
        <v/>
      </c>
      <c r="DD1227">
        <f>INDEX('Data_Price '!AM$2:AM$1266,MATCH(Data!$DN1227,'Data_Price '!$AT$2:$AT$1266,0))</f>
        <v/>
      </c>
      <c r="DE1227">
        <f>INDEX('Data_Price '!AN$2:AN$1266,MATCH(Data!$DN1227,'Data_Price '!$AT$2:$AT$1266,0))</f>
        <v/>
      </c>
      <c r="DF1227">
        <f>INDEX('Data_Price '!AO$2:AO$1266,MATCH(Data!$DN1227,'Data_Price '!$AT$2:$AT$1266,0))</f>
        <v/>
      </c>
      <c r="DG1227">
        <f>INDEX('Data_Price '!AP$2:AP$1266,MATCH(Data!$DN1227,'Data_Price '!$AT$2:$AT$1266,0))</f>
        <v/>
      </c>
      <c r="DH1227">
        <f>INDEX('Data_Price '!AQ$2:AQ$1266,MATCH(Data!$DN1227,'Data_Price '!$AT$2:$AT$1266,0))</f>
        <v/>
      </c>
      <c r="DI1227">
        <f>INDEX('Data_Price '!AR$2:AR$1266,MATCH(Data!$DN1227,'Data_Price '!$AT$2:$AT$1266,0))</f>
        <v/>
      </c>
      <c r="DJ1227" s="138">
        <f>DA1227</f>
        <v/>
      </c>
      <c r="DK1227" s="138">
        <f>DE1227</f>
        <v/>
      </c>
      <c r="DL1227" s="138">
        <f>DI1227</f>
        <v/>
      </c>
      <c r="DM1227" s="303">
        <f>IF(LEFT(BT1227,1)=" ",RIGHT(BT1227,LEN(BT1227)-1),BT1227)</f>
        <v/>
      </c>
      <c r="DN1227" s="138">
        <f>_xlfn.CONCAT(BS1227,DM1227,BU1227,BV1227)</f>
        <v/>
      </c>
      <c r="DO1227" s="307" t="inlineStr">
        <is>
          <t>https://images.evo.com/imgp/250/183639/728542/dps-pagoda-tour-112-rp-skis-2022-.jpg</t>
        </is>
      </c>
    </row>
    <row r="1228" ht="15.6" customHeight="1" s="184">
      <c r="B1228" s="303">
        <f t="array" ref="B1228">IF(OR(ISERROR(K1228:P1228)),FALSE,TRUE)</f>
        <v/>
      </c>
      <c r="C1228" s="60">
        <f>OR(BR1228=Driver!$G$50,Data!BR1207=Driver!$H$50)</f>
        <v/>
      </c>
      <c r="D1228" s="60">
        <f>OR(BV1228=Driver!$G$51,BV1228=Driver!$H$51)</f>
        <v/>
      </c>
      <c r="E1228" s="60">
        <f>AND(BX1228&gt;Driver!$F$54,BX1228&lt;Driver!$G$54)</f>
        <v/>
      </c>
      <c r="F1228" s="60">
        <f>CL1228&gt;Driver!$F$56</f>
        <v/>
      </c>
      <c r="G1228" s="60">
        <f>AND(CB1228&gt;Driver!$F$55,CB1228&lt;Driver!$G$55)</f>
        <v/>
      </c>
      <c r="H1228" s="60">
        <f>AND(B1228:G1228)</f>
        <v/>
      </c>
      <c r="I1228" s="60">
        <f>COUNTIFS($H$9:$H$1273,TRUE,$BT$9:$BT$1273,BT1228)</f>
        <v/>
      </c>
      <c r="J1228" s="60">
        <f t="array" ref="J1228">NOT(OR(($H$9:$H$1273=TRUE)*($I$9:$I$1273&gt;0)*($BT$9:$BT$1273=BT1228)*($K$9:$K$1273&gt;K1228)))</f>
        <v/>
      </c>
      <c r="K1228" s="108">
        <f>IFERROR(1-AVERAGE(X1228:Y1228),"")</f>
        <v/>
      </c>
      <c r="L1228" s="108">
        <f>1-X1228</f>
        <v/>
      </c>
      <c r="M1228" s="108">
        <f>1-Y1228</f>
        <v/>
      </c>
      <c r="N1228" s="108">
        <f>1-Z1228</f>
        <v/>
      </c>
      <c r="O1228" s="108">
        <f>1-AA1228</f>
        <v/>
      </c>
      <c r="P1228" s="108">
        <f>1-AB1228</f>
        <v/>
      </c>
      <c r="Q1228" s="108" t="n"/>
      <c r="R1228" s="108" t="n"/>
      <c r="S1228" s="108">
        <f>1-AE1228</f>
        <v/>
      </c>
      <c r="T1228" s="108">
        <f>1-AF1228</f>
        <v/>
      </c>
      <c r="U1228" s="108">
        <f>1-AG1228</f>
        <v/>
      </c>
      <c r="V1228" s="108">
        <f>1-AH1228</f>
        <v/>
      </c>
      <c r="W1228" s="108">
        <f>1-AI1228</f>
        <v/>
      </c>
      <c r="X1228" s="108">
        <f>ABS(AJ1228-AJ$1)</f>
        <v/>
      </c>
      <c r="Y1228" s="108">
        <f>AVERAGE(Z1228:AB1228)</f>
        <v/>
      </c>
      <c r="Z1228" s="108">
        <f>ABS(AL1228-AL$1)</f>
        <v/>
      </c>
      <c r="AA1228" s="108">
        <f>ABS(AM1228-AM$1)</f>
        <v/>
      </c>
      <c r="AB1228" s="108">
        <f>ABS(AN1228-AN$1)</f>
        <v/>
      </c>
      <c r="AC1228" s="108" t="n"/>
      <c r="AD1228" s="108" t="n"/>
      <c r="AE1228" s="108">
        <f>ABS(AQ$1-AQ1228)</f>
        <v/>
      </c>
      <c r="AF1228" s="108">
        <f>ABS(AR$1-AR1228)</f>
        <v/>
      </c>
      <c r="AG1228" s="108">
        <f>ABS(AS$1-AS1228)</f>
        <v/>
      </c>
      <c r="AH1228" s="108">
        <f>ABS(AT$1-AT1228)</f>
        <v/>
      </c>
      <c r="AI1228" s="108">
        <f>ABS(AU$1-AU1228)</f>
        <v/>
      </c>
      <c r="AJ1228" s="108">
        <f>(AV1228-Driver!$K$179)/(Driver!$L$179-Driver!$K$179)</f>
        <v/>
      </c>
      <c r="AK1228" s="108">
        <f>(AW1228-Driver!$K$180)/(Driver!$L$180-Driver!$K$180)</f>
        <v/>
      </c>
      <c r="AL1228" s="108">
        <f>(AX1228-Driver!$K$181)/(Driver!$L$181-Driver!$K$181)</f>
        <v/>
      </c>
      <c r="AM1228" s="108">
        <f>(AY1228-Driver!$K$182)/(Driver!$L$182-Driver!$K$182)</f>
        <v/>
      </c>
      <c r="AN1228" s="108">
        <f>(AZ1228-Driver!$K$183)/(Driver!$L$183-Driver!$K$183)</f>
        <v/>
      </c>
      <c r="AO1228" s="108" t="n"/>
      <c r="AP1228" s="108" t="n"/>
      <c r="AQ1228" s="108">
        <f>(BC1228-Driver!$K$188)/(Driver!$L$188-Driver!$K$188)</f>
        <v/>
      </c>
      <c r="AR1228" s="108">
        <f>MIN((BD1228-Driver!$K$189)/(Driver!$L$189-Driver!$K$189),100%)</f>
        <v/>
      </c>
      <c r="AS1228" s="108">
        <f>(BE1228-Driver!$K$190)/(Driver!$L$190-Driver!$K$190)</f>
        <v/>
      </c>
      <c r="AT1228" s="108">
        <f>(BF1228-Driver!$K$191)/(Driver!$L$191-Driver!$K$191)</f>
        <v/>
      </c>
      <c r="AU1228" s="108">
        <f>(BG1228-Driver!$K$192)/(Driver!$L$192-Driver!$K$192)</f>
        <v/>
      </c>
      <c r="AV1228" s="105">
        <f>IFERROR(BM1228*BJ1228^1/4,"")</f>
        <v/>
      </c>
      <c r="AW1228" s="105">
        <f>IFERROR(SUM(AX1228:AZ1228),"")</f>
        <v/>
      </c>
      <c r="AX1228" s="105">
        <f>IFERROR(BH1228,"")</f>
        <v/>
      </c>
      <c r="AY1228" s="105">
        <f>IFERROR(Driver!$K$19/Data!BH1228/Data!BI1228*Data!BK1228*Data!BL1228,"")</f>
        <v/>
      </c>
      <c r="AZ1228" s="105">
        <f>IFERROR(BI1228*BN1228,"")</f>
        <v/>
      </c>
      <c r="BA1228" s="105" t="n"/>
      <c r="BB1228" s="105" t="n"/>
      <c r="BC1228" s="105">
        <f>IFERROR(BI1228*BN1228*BK1228/BJ1228^(1/2),"")</f>
        <v/>
      </c>
      <c r="BD1228" s="105">
        <f>IFERROR(BH1228*BM1228*BL1228/BJ1228/BK1228,"")</f>
        <v/>
      </c>
      <c r="BE1228" s="105">
        <f>IFERROR(MIN(BI1228/BQ1228/BP1228/BO1228/BH1228,$BE$1),"")</f>
        <v/>
      </c>
      <c r="BF1228" s="105">
        <f>IFERROR(BJ1228*BO1228*BP1228/BK1228,"")</f>
        <v/>
      </c>
      <c r="BG1228" s="105">
        <f>IFERROR(1/BM1228/BH1228*BQ1228,"")</f>
        <v/>
      </c>
      <c r="BH1228" s="102">
        <f>MAX((CE1228-Driver!$F$200)/(Driver!$G$200-Driver!$F$200)*$BI$1,1)</f>
        <v/>
      </c>
      <c r="BI1228" s="102">
        <f>MAX($BI$1*(BY1228-Driver!$F$201)/(Driver!$G$201-Driver!$F$201),1)</f>
        <v/>
      </c>
      <c r="BJ1228" s="102">
        <f>(CB1228-Driver!$F$206)/(Driver!$G$206-Driver!$F$206)*$BI$1</f>
        <v/>
      </c>
      <c r="BK1228" s="102">
        <f>(CD1228-Driver!$F$203)/(Driver!$G$203-Driver!$F$203)*$BI$1</f>
        <v/>
      </c>
      <c r="BL1228" s="102">
        <f>MAX((CR1228-Driver!$F$202)/(Driver!$G$202-Driver!$F$202)*$BI$1,1)</f>
        <v/>
      </c>
      <c r="BM1228" s="102">
        <f>MAX((CH1228-Driver!$F$204)/(Driver!$G$204-Driver!$F$204)*$BI$1,1)</f>
        <v/>
      </c>
      <c r="BN1228" s="102">
        <f>(CI1228-Driver!$F$205)/(Driver!$G$205-Driver!$F$205)*$BI$1</f>
        <v/>
      </c>
      <c r="BO1228" s="102">
        <f>(CK1228-Driver!$F$207)/(Driver!$G$207-Driver!$F$207)*$BI$1</f>
        <v/>
      </c>
      <c r="BP1228" s="102">
        <f>(CM1228-Driver!$F$208)/(Driver!$G$208-Driver!$F$208)*$BI$1</f>
        <v/>
      </c>
      <c r="BQ1228" s="102">
        <f>(CL1228-Driver!$F$209)/(Driver!$G$209-Driver!$F$209)*$BI$1</f>
        <v/>
      </c>
      <c r="BR1228" s="40" t="inlineStr">
        <is>
          <t>21/22</t>
        </is>
      </c>
      <c r="BS1228" s="10" t="inlineStr">
        <is>
          <t xml:space="preserve"> Völkl</t>
        </is>
      </c>
      <c r="BT1228" s="11" t="inlineStr">
        <is>
          <t>Katana V.Werks</t>
        </is>
      </c>
      <c r="BU1228" s="13" t="n">
        <v>191</v>
      </c>
      <c r="BV1228" s="11" t="inlineStr">
        <is>
          <t xml:space="preserve"> Unisex</t>
        </is>
      </c>
      <c r="BW1228" s="13" t="n">
        <v>191</v>
      </c>
      <c r="BX1228" s="13" t="n">
        <v>188.9</v>
      </c>
      <c r="BY1228" s="13" t="n">
        <v>0</v>
      </c>
      <c r="BZ1228" s="13" t="n">
        <v>165</v>
      </c>
      <c r="CA1228" s="13" t="n">
        <v>142</v>
      </c>
      <c r="CB1228" s="13" t="n">
        <v>111</v>
      </c>
      <c r="CC1228" s="13" t="n">
        <v>131</v>
      </c>
      <c r="CD1228" s="13" t="n">
        <v>26.4</v>
      </c>
      <c r="CE1228" s="13" t="n">
        <v>2013</v>
      </c>
      <c r="CF1228" s="13" t="n">
        <v>1.13</v>
      </c>
      <c r="CG1228" s="13" t="n">
        <v>2278</v>
      </c>
      <c r="CH1228" s="13" t="n">
        <v>302</v>
      </c>
      <c r="CI1228" s="13" t="n">
        <v>195</v>
      </c>
      <c r="CJ1228" s="13" t="n">
        <v>49</v>
      </c>
      <c r="CK1228" s="13" t="n">
        <v>1077</v>
      </c>
      <c r="CL1228" s="13" t="n">
        <v>17</v>
      </c>
      <c r="CM1228" s="13" t="n">
        <v>812</v>
      </c>
      <c r="CN1228" s="13" t="n">
        <v>0.341</v>
      </c>
      <c r="CO1228" s="13" t="n">
        <v>142</v>
      </c>
      <c r="CP1228" s="13" t="n">
        <v>99</v>
      </c>
      <c r="CQ1228" s="13" t="n">
        <v>935</v>
      </c>
      <c r="CR1228" s="13" t="n">
        <v>-5</v>
      </c>
      <c r="CS1228" s="13" t="n">
        <v>13.3</v>
      </c>
      <c r="CT1228" s="11" t="inlineStr">
        <is>
          <t xml:space="preserve"> Big Mountain</t>
        </is>
      </c>
      <c r="CU1228" s="11" t="inlineStr">
        <is>
          <t xml:space="preserve"> Touring</t>
        </is>
      </c>
      <c r="CV1228" s="13" t="n"/>
      <c r="CW1228" s="13" t="n"/>
      <c r="CX1228">
        <f>INDEX('Data_Price '!AG$2:AG$1266,MATCH(Data!$DN1228,'Data_Price '!$AT$2:$AT$1266,0))</f>
        <v/>
      </c>
      <c r="CY1228">
        <f>INDEX('Data_Price '!AH$2:AH$1266,MATCH(Data!$DN1228,'Data_Price '!$AT$2:$AT$1266,0))</f>
        <v/>
      </c>
      <c r="CZ1228">
        <f>INDEX('Data_Price '!AI$2:AI$1266,MATCH(Data!$DN1228,'Data_Price '!$AT$2:$AT$1266,0))</f>
        <v/>
      </c>
      <c r="DA1228">
        <f>INDEX('Data_Price '!AJ$2:AJ$1266,MATCH(Data!$DN1228,'Data_Price '!$AT$2:$AT$1266,0))</f>
        <v/>
      </c>
      <c r="DB1228">
        <f>INDEX('Data_Price '!AK$2:AK$1266,MATCH(Data!$DN1228,'Data_Price '!$AT$2:$AT$1266,0))</f>
        <v/>
      </c>
      <c r="DC1228">
        <f>INDEX('Data_Price '!AL$2:AL$1266,MATCH(Data!$DN1228,'Data_Price '!$AT$2:$AT$1266,0))</f>
        <v/>
      </c>
      <c r="DD1228">
        <f>INDEX('Data_Price '!AM$2:AM$1266,MATCH(Data!$DN1228,'Data_Price '!$AT$2:$AT$1266,0))</f>
        <v/>
      </c>
      <c r="DE1228">
        <f>INDEX('Data_Price '!AN$2:AN$1266,MATCH(Data!$DN1228,'Data_Price '!$AT$2:$AT$1266,0))</f>
        <v/>
      </c>
      <c r="DF1228">
        <f>INDEX('Data_Price '!AO$2:AO$1266,MATCH(Data!$DN1228,'Data_Price '!$AT$2:$AT$1266,0))</f>
        <v/>
      </c>
      <c r="DG1228">
        <f>INDEX('Data_Price '!AP$2:AP$1266,MATCH(Data!$DN1228,'Data_Price '!$AT$2:$AT$1266,0))</f>
        <v/>
      </c>
      <c r="DH1228">
        <f>INDEX('Data_Price '!AQ$2:AQ$1266,MATCH(Data!$DN1228,'Data_Price '!$AT$2:$AT$1266,0))</f>
        <v/>
      </c>
      <c r="DI1228">
        <f>INDEX('Data_Price '!AR$2:AR$1266,MATCH(Data!$DN1228,'Data_Price '!$AT$2:$AT$1266,0))</f>
        <v/>
      </c>
      <c r="DJ1228" s="138">
        <f>DA1228</f>
        <v/>
      </c>
      <c r="DK1228" s="138">
        <f>DE1228</f>
        <v/>
      </c>
      <c r="DL1228" s="138">
        <f>DI1228</f>
        <v/>
      </c>
      <c r="DM1228" s="303">
        <f>IF(LEFT(BT1228,1)=" ",RIGHT(BT1228,LEN(BT1228)-1),BT1228)</f>
        <v/>
      </c>
      <c r="DN1228" s="138">
        <f>_xlfn.CONCAT(BS1228,DM1228,BU1228,BV1228)</f>
        <v/>
      </c>
      <c r="DO1228" s="307" t="inlineStr">
        <is>
          <t>https://images.evo.com/imgp/250/183420/726707/volkl-katana-v-werks-skis-2022-.jpg</t>
        </is>
      </c>
    </row>
    <row r="1229" ht="15.6" customHeight="1" s="184">
      <c r="B1229" s="303">
        <f t="array" ref="B1229">IF(OR(ISERROR(K1229:P1229)),FALSE,TRUE)</f>
        <v/>
      </c>
      <c r="C1229" s="60">
        <f>OR(BR1229=Driver!$G$50,Data!BR781=Driver!$H$50)</f>
        <v/>
      </c>
      <c r="D1229" s="60">
        <f>OR(BV1229=Driver!$G$51,BV1229=Driver!$H$51)</f>
        <v/>
      </c>
      <c r="E1229" s="60">
        <f>AND(BX1229&gt;Driver!$F$54,BX1229&lt;Driver!$G$54)</f>
        <v/>
      </c>
      <c r="F1229" s="60">
        <f>CL1229&gt;Driver!$F$56</f>
        <v/>
      </c>
      <c r="G1229" s="60">
        <f>AND(CB1229&gt;Driver!$F$55,CB1229&lt;Driver!$G$55)</f>
        <v/>
      </c>
      <c r="H1229" s="60">
        <f>AND(B1229:G1229)</f>
        <v/>
      </c>
      <c r="I1229" s="60">
        <f>COUNTIFS($H$9:$H$1273,TRUE,$BT$9:$BT$1273,BT1229)</f>
        <v/>
      </c>
      <c r="J1229" s="60">
        <f t="array" ref="J1229">NOT(OR(($H$9:$H$1273=TRUE)*($I$9:$I$1273&gt;0)*($BT$9:$BT$1273=BT1229)*($K$9:$K$1273&gt;K1229)))</f>
        <v/>
      </c>
      <c r="K1229" s="108">
        <f>IFERROR(1-AVERAGE(X1229:Y1229),"")</f>
        <v/>
      </c>
      <c r="L1229" s="108">
        <f>1-X1229</f>
        <v/>
      </c>
      <c r="M1229" s="108">
        <f>1-Y1229</f>
        <v/>
      </c>
      <c r="N1229" s="108">
        <f>1-Z1229</f>
        <v/>
      </c>
      <c r="O1229" s="108">
        <f>1-AA1229</f>
        <v/>
      </c>
      <c r="P1229" s="108">
        <f>1-AB1229</f>
        <v/>
      </c>
      <c r="Q1229" s="108" t="n"/>
      <c r="R1229" s="108" t="n"/>
      <c r="S1229" s="108">
        <f>1-AE1229</f>
        <v/>
      </c>
      <c r="T1229" s="108">
        <f>1-AF1229</f>
        <v/>
      </c>
      <c r="U1229" s="108">
        <f>1-AG1229</f>
        <v/>
      </c>
      <c r="V1229" s="108">
        <f>1-AH1229</f>
        <v/>
      </c>
      <c r="W1229" s="108">
        <f>1-AI1229</f>
        <v/>
      </c>
      <c r="X1229" s="108">
        <f>ABS(AJ1229-AJ$1)</f>
        <v/>
      </c>
      <c r="Y1229" s="108">
        <f>AVERAGE(Z1229:AB1229)</f>
        <v/>
      </c>
      <c r="Z1229" s="108">
        <f>ABS(AL1229-AL$1)</f>
        <v/>
      </c>
      <c r="AA1229" s="108">
        <f>ABS(AM1229-AM$1)</f>
        <v/>
      </c>
      <c r="AB1229" s="108">
        <f>ABS(AN1229-AN$1)</f>
        <v/>
      </c>
      <c r="AC1229" s="108" t="n"/>
      <c r="AD1229" s="108" t="n"/>
      <c r="AE1229" s="108">
        <f>ABS(AQ$1-AQ1229)</f>
        <v/>
      </c>
      <c r="AF1229" s="108">
        <f>ABS(AR$1-AR1229)</f>
        <v/>
      </c>
      <c r="AG1229" s="108">
        <f>ABS(AS$1-AS1229)</f>
        <v/>
      </c>
      <c r="AH1229" s="108">
        <f>ABS(AT$1-AT1229)</f>
        <v/>
      </c>
      <c r="AI1229" s="108">
        <f>ABS(AU$1-AU1229)</f>
        <v/>
      </c>
      <c r="AJ1229" s="108">
        <f>(AV1229-Driver!$K$179)/(Driver!$L$179-Driver!$K$179)</f>
        <v/>
      </c>
      <c r="AK1229" s="108">
        <f>(AW1229-Driver!$K$180)/(Driver!$L$180-Driver!$K$180)</f>
        <v/>
      </c>
      <c r="AL1229" s="108">
        <f>(AX1229-Driver!$K$181)/(Driver!$L$181-Driver!$K$181)</f>
        <v/>
      </c>
      <c r="AM1229" s="108">
        <f>(AY1229-Driver!$K$182)/(Driver!$L$182-Driver!$K$182)</f>
        <v/>
      </c>
      <c r="AN1229" s="108">
        <f>(AZ1229-Driver!$K$183)/(Driver!$L$183-Driver!$K$183)</f>
        <v/>
      </c>
      <c r="AO1229" s="108" t="n"/>
      <c r="AP1229" s="108" t="n"/>
      <c r="AQ1229" s="108">
        <f>(BC1229-Driver!$K$188)/(Driver!$L$188-Driver!$K$188)</f>
        <v/>
      </c>
      <c r="AR1229" s="108">
        <f>MIN((BD1229-Driver!$K$189)/(Driver!$L$189-Driver!$K$189),100%)</f>
        <v/>
      </c>
      <c r="AS1229" s="108">
        <f>(BE1229-Driver!$K$190)/(Driver!$L$190-Driver!$K$190)</f>
        <v/>
      </c>
      <c r="AT1229" s="108">
        <f>(BF1229-Driver!$K$191)/(Driver!$L$191-Driver!$K$191)</f>
        <v/>
      </c>
      <c r="AU1229" s="108">
        <f>(BG1229-Driver!$K$192)/(Driver!$L$192-Driver!$K$192)</f>
        <v/>
      </c>
      <c r="AV1229" s="105">
        <f>IFERROR(BM1229*BJ1229^1/4,"")</f>
        <v/>
      </c>
      <c r="AW1229" s="105">
        <f>IFERROR(SUM(AX1229:AZ1229),"")</f>
        <v/>
      </c>
      <c r="AX1229" s="105">
        <f>IFERROR(BH1229,"")</f>
        <v/>
      </c>
      <c r="AY1229" s="105">
        <f>IFERROR(Driver!$K$19/Data!BH1229/Data!BI1229*Data!BK1229*Data!BL1229,"")</f>
        <v/>
      </c>
      <c r="AZ1229" s="105">
        <f>IFERROR(BI1229*BN1229,"")</f>
        <v/>
      </c>
      <c r="BA1229" s="105" t="n"/>
      <c r="BB1229" s="105" t="n"/>
      <c r="BC1229" s="105">
        <f>IFERROR(BI1229*BN1229*BK1229/BJ1229^(1/2),"")</f>
        <v/>
      </c>
      <c r="BD1229" s="105">
        <f>IFERROR(BH1229*BM1229*BL1229/BJ1229/BK1229,"")</f>
        <v/>
      </c>
      <c r="BE1229" s="105">
        <f>IFERROR(MIN(BI1229/BQ1229/BP1229/BO1229/BH1229,$BE$1),"")</f>
        <v/>
      </c>
      <c r="BF1229" s="105">
        <f>IFERROR(BJ1229*BO1229*BP1229/BK1229,"")</f>
        <v/>
      </c>
      <c r="BG1229" s="105">
        <f>IFERROR(1/BM1229/BH1229*BQ1229,"")</f>
        <v/>
      </c>
      <c r="BH1229" s="102">
        <f>MAX((CE1229-Driver!$F$200)/(Driver!$G$200-Driver!$F$200)*$BI$1,1)</f>
        <v/>
      </c>
      <c r="BI1229" s="102">
        <f>MAX($BI$1*(BY1229-Driver!$F$201)/(Driver!$G$201-Driver!$F$201),1)</f>
        <v/>
      </c>
      <c r="BJ1229" s="102">
        <f>(CB1229-Driver!$F$206)/(Driver!$G$206-Driver!$F$206)*$BI$1</f>
        <v/>
      </c>
      <c r="BK1229" s="102">
        <f>(CD1229-Driver!$F$203)/(Driver!$G$203-Driver!$F$203)*$BI$1</f>
        <v/>
      </c>
      <c r="BL1229" s="102">
        <f>MAX((CR1229-Driver!$F$202)/(Driver!$G$202-Driver!$F$202)*$BI$1,1)</f>
        <v/>
      </c>
      <c r="BM1229" s="102">
        <f>MAX((CH1229-Driver!$F$204)/(Driver!$G$204-Driver!$F$204)*$BI$1,1)</f>
        <v/>
      </c>
      <c r="BN1229" s="102">
        <f>(CI1229-Driver!$F$205)/(Driver!$G$205-Driver!$F$205)*$BI$1</f>
        <v/>
      </c>
      <c r="BO1229" s="102">
        <f>(CK1229-Driver!$F$207)/(Driver!$G$207-Driver!$F$207)*$BI$1</f>
        <v/>
      </c>
      <c r="BP1229" s="102">
        <f>(CM1229-Driver!$F$208)/(Driver!$G$208-Driver!$F$208)*$BI$1</f>
        <v/>
      </c>
      <c r="BQ1229" s="102">
        <f>(CL1229-Driver!$F$209)/(Driver!$G$209-Driver!$F$209)*$BI$1</f>
        <v/>
      </c>
      <c r="BR1229" s="40" t="inlineStr">
        <is>
          <t>21/22</t>
        </is>
      </c>
      <c r="BS1229" s="10" t="inlineStr">
        <is>
          <t xml:space="preserve"> K2</t>
        </is>
      </c>
      <c r="BT1229" s="11" t="inlineStr">
        <is>
          <t>Talkback 88</t>
        </is>
      </c>
      <c r="BU1229" s="13" t="n">
        <v>153</v>
      </c>
      <c r="BV1229" s="11" t="inlineStr">
        <is>
          <t xml:space="preserve"> Women's</t>
        </is>
      </c>
      <c r="BW1229" s="13" t="n">
        <v>153</v>
      </c>
      <c r="BX1229" s="13" t="n">
        <v>151.7</v>
      </c>
      <c r="BY1229" s="13" t="n">
        <v>114</v>
      </c>
      <c r="BZ1229" s="13" t="n">
        <v>127</v>
      </c>
      <c r="CA1229" s="13" t="n">
        <v>120</v>
      </c>
      <c r="CB1229" s="13" t="n">
        <v>87</v>
      </c>
      <c r="CC1229" s="13" t="n">
        <v>108</v>
      </c>
      <c r="CD1229" s="13" t="n">
        <v>15</v>
      </c>
      <c r="CE1229" s="13" t="n">
        <v>1048</v>
      </c>
      <c r="CF1229" s="13" t="n">
        <v>1.41</v>
      </c>
      <c r="CG1229" s="13" t="n">
        <v>1477</v>
      </c>
      <c r="CH1229" s="13" t="n">
        <v>128</v>
      </c>
      <c r="CI1229" s="13" t="n">
        <v>53</v>
      </c>
      <c r="CJ1229" s="13" t="n">
        <v>43</v>
      </c>
      <c r="CK1229" s="13" t="n">
        <v>257</v>
      </c>
      <c r="CL1229" s="13" t="n">
        <v>6</v>
      </c>
      <c r="CM1229" s="13" t="n">
        <v>120</v>
      </c>
      <c r="CN1229" s="13" t="n">
        <v>0.141</v>
      </c>
      <c r="CO1229" s="13" t="n">
        <v>145</v>
      </c>
      <c r="CP1229" s="13" t="n">
        <v>97</v>
      </c>
      <c r="CQ1229" s="13" t="n">
        <v>111</v>
      </c>
      <c r="CR1229" s="13" t="n">
        <v>9</v>
      </c>
      <c r="CS1229" s="13" t="n">
        <v>11</v>
      </c>
      <c r="CT1229" s="11" t="inlineStr">
        <is>
          <t xml:space="preserve"> Touring</t>
        </is>
      </c>
      <c r="CU1229" s="11" t="inlineStr">
        <is>
          <t xml:space="preserve"> Ultralight Touring</t>
        </is>
      </c>
      <c r="CV1229" s="13" t="n"/>
      <c r="CW1229" s="13" t="n"/>
      <c r="CX1229">
        <f>INDEX('Data_Price '!AG$2:AG$1266,MATCH(Data!$DN1229,'Data_Price '!$AT$2:$AT$1266,0))</f>
        <v/>
      </c>
      <c r="CY1229">
        <f>INDEX('Data_Price '!AH$2:AH$1266,MATCH(Data!$DN1229,'Data_Price '!$AT$2:$AT$1266,0))</f>
        <v/>
      </c>
      <c r="CZ1229">
        <f>INDEX('Data_Price '!AI$2:AI$1266,MATCH(Data!$DN1229,'Data_Price '!$AT$2:$AT$1266,0))</f>
        <v/>
      </c>
      <c r="DA1229">
        <f>INDEX('Data_Price '!AJ$2:AJ$1266,MATCH(Data!$DN1229,'Data_Price '!$AT$2:$AT$1266,0))</f>
        <v/>
      </c>
      <c r="DB1229">
        <f>INDEX('Data_Price '!AK$2:AK$1266,MATCH(Data!$DN1229,'Data_Price '!$AT$2:$AT$1266,0))</f>
        <v/>
      </c>
      <c r="DC1229">
        <f>INDEX('Data_Price '!AL$2:AL$1266,MATCH(Data!$DN1229,'Data_Price '!$AT$2:$AT$1266,0))</f>
        <v/>
      </c>
      <c r="DD1229">
        <f>INDEX('Data_Price '!AM$2:AM$1266,MATCH(Data!$DN1229,'Data_Price '!$AT$2:$AT$1266,0))</f>
        <v/>
      </c>
      <c r="DE1229">
        <f>INDEX('Data_Price '!AN$2:AN$1266,MATCH(Data!$DN1229,'Data_Price '!$AT$2:$AT$1266,0))</f>
        <v/>
      </c>
      <c r="DF1229">
        <f>INDEX('Data_Price '!AO$2:AO$1266,MATCH(Data!$DN1229,'Data_Price '!$AT$2:$AT$1266,0))</f>
        <v/>
      </c>
      <c r="DG1229">
        <f>INDEX('Data_Price '!AP$2:AP$1266,MATCH(Data!$DN1229,'Data_Price '!$AT$2:$AT$1266,0))</f>
        <v/>
      </c>
      <c r="DH1229">
        <f>INDEX('Data_Price '!AQ$2:AQ$1266,MATCH(Data!$DN1229,'Data_Price '!$AT$2:$AT$1266,0))</f>
        <v/>
      </c>
      <c r="DI1229">
        <f>INDEX('Data_Price '!AR$2:AR$1266,MATCH(Data!$DN1229,'Data_Price '!$AT$2:$AT$1266,0))</f>
        <v/>
      </c>
      <c r="DJ1229" s="138">
        <f>DA1229</f>
        <v/>
      </c>
      <c r="DK1229" s="138">
        <f>DE1229</f>
        <v/>
      </c>
      <c r="DL1229" s="138">
        <f>DI1229</f>
        <v/>
      </c>
      <c r="DM1229" s="303">
        <f>IF(LEFT(BT1229,1)=" ",RIGHT(BT1229,LEN(BT1229)-1),BT1229)</f>
        <v/>
      </c>
      <c r="DN1229" s="138">
        <f>_xlfn.CONCAT(BS1229,DM1229,BU1229,BV1229)</f>
        <v/>
      </c>
      <c r="DO1229" s="307" t="n"/>
    </row>
    <row r="1230" ht="15.6" customHeight="1" s="184">
      <c r="B1230" s="303">
        <f t="array" ref="B1230">IF(OR(ISERROR(K1230:P1230)),FALSE,TRUE)</f>
        <v/>
      </c>
      <c r="C1230" s="60">
        <f>OR(BR1230=Driver!$G$50,Data!BR1092=Driver!$H$50)</f>
        <v/>
      </c>
      <c r="D1230" s="60">
        <f>OR(BV1230=Driver!$G$51,BV1230=Driver!$H$51)</f>
        <v/>
      </c>
      <c r="E1230" s="60">
        <f>AND(BX1230&gt;Driver!$F$54,BX1230&lt;Driver!$G$54)</f>
        <v/>
      </c>
      <c r="F1230" s="60">
        <f>CL1230&gt;Driver!$F$56</f>
        <v/>
      </c>
      <c r="G1230" s="60">
        <f>AND(CB1230&gt;Driver!$F$55,CB1230&lt;Driver!$G$55)</f>
        <v/>
      </c>
      <c r="H1230" s="60">
        <f>AND(B1230:G1230)</f>
        <v/>
      </c>
      <c r="I1230" s="60">
        <f>COUNTIFS($H$9:$H$1273,TRUE,$BT$9:$BT$1273,BT1230)</f>
        <v/>
      </c>
      <c r="J1230" s="60">
        <f t="array" ref="J1230">NOT(OR(($H$9:$H$1273=TRUE)*($I$9:$I$1273&gt;0)*($BT$9:$BT$1273=BT1230)*($K$9:$K$1273&gt;K1230)))</f>
        <v/>
      </c>
      <c r="K1230" s="108">
        <f>IFERROR(1-AVERAGE(X1230:Y1230),"")</f>
        <v/>
      </c>
      <c r="L1230" s="108">
        <f>1-X1230</f>
        <v/>
      </c>
      <c r="M1230" s="108">
        <f>1-Y1230</f>
        <v/>
      </c>
      <c r="N1230" s="108">
        <f>1-Z1230</f>
        <v/>
      </c>
      <c r="O1230" s="108">
        <f>1-AA1230</f>
        <v/>
      </c>
      <c r="P1230" s="108">
        <f>1-AB1230</f>
        <v/>
      </c>
      <c r="Q1230" s="108" t="n"/>
      <c r="R1230" s="108" t="n"/>
      <c r="S1230" s="108">
        <f>1-AE1230</f>
        <v/>
      </c>
      <c r="T1230" s="108">
        <f>1-AF1230</f>
        <v/>
      </c>
      <c r="U1230" s="108">
        <f>1-AG1230</f>
        <v/>
      </c>
      <c r="V1230" s="108">
        <f>1-AH1230</f>
        <v/>
      </c>
      <c r="W1230" s="108">
        <f>1-AI1230</f>
        <v/>
      </c>
      <c r="X1230" s="108">
        <f>ABS(AJ1230-AJ$1)</f>
        <v/>
      </c>
      <c r="Y1230" s="108">
        <f>AVERAGE(Z1230:AB1230)</f>
        <v/>
      </c>
      <c r="Z1230" s="108">
        <f>ABS(AL1230-AL$1)</f>
        <v/>
      </c>
      <c r="AA1230" s="108">
        <f>ABS(AM1230-AM$1)</f>
        <v/>
      </c>
      <c r="AB1230" s="108">
        <f>ABS(AN1230-AN$1)</f>
        <v/>
      </c>
      <c r="AC1230" s="108" t="n"/>
      <c r="AD1230" s="108" t="n"/>
      <c r="AE1230" s="108">
        <f>ABS(AQ$1-AQ1230)</f>
        <v/>
      </c>
      <c r="AF1230" s="108">
        <f>ABS(AR$1-AR1230)</f>
        <v/>
      </c>
      <c r="AG1230" s="108">
        <f>ABS(AS$1-AS1230)</f>
        <v/>
      </c>
      <c r="AH1230" s="108">
        <f>ABS(AT$1-AT1230)</f>
        <v/>
      </c>
      <c r="AI1230" s="108">
        <f>ABS(AU$1-AU1230)</f>
        <v/>
      </c>
      <c r="AJ1230" s="108">
        <f>(AV1230-Driver!$K$179)/(Driver!$L$179-Driver!$K$179)</f>
        <v/>
      </c>
      <c r="AK1230" s="108">
        <f>(AW1230-Driver!$K$180)/(Driver!$L$180-Driver!$K$180)</f>
        <v/>
      </c>
      <c r="AL1230" s="108">
        <f>(AX1230-Driver!$K$181)/(Driver!$L$181-Driver!$K$181)</f>
        <v/>
      </c>
      <c r="AM1230" s="108">
        <f>(AY1230-Driver!$K$182)/(Driver!$L$182-Driver!$K$182)</f>
        <v/>
      </c>
      <c r="AN1230" s="108">
        <f>(AZ1230-Driver!$K$183)/(Driver!$L$183-Driver!$K$183)</f>
        <v/>
      </c>
      <c r="AO1230" s="108" t="n"/>
      <c r="AP1230" s="108" t="n"/>
      <c r="AQ1230" s="108">
        <f>(BC1230-Driver!$K$188)/(Driver!$L$188-Driver!$K$188)</f>
        <v/>
      </c>
      <c r="AR1230" s="108">
        <f>MIN((BD1230-Driver!$K$189)/(Driver!$L$189-Driver!$K$189),100%)</f>
        <v/>
      </c>
      <c r="AS1230" s="108">
        <f>(BE1230-Driver!$K$190)/(Driver!$L$190-Driver!$K$190)</f>
        <v/>
      </c>
      <c r="AT1230" s="108">
        <f>(BF1230-Driver!$K$191)/(Driver!$L$191-Driver!$K$191)</f>
        <v/>
      </c>
      <c r="AU1230" s="108">
        <f>(BG1230-Driver!$K$192)/(Driver!$L$192-Driver!$K$192)</f>
        <v/>
      </c>
      <c r="AV1230" s="105">
        <f>IFERROR(BM1230*BJ1230^1/4,"")</f>
        <v/>
      </c>
      <c r="AW1230" s="105">
        <f>IFERROR(SUM(AX1230:AZ1230),"")</f>
        <v/>
      </c>
      <c r="AX1230" s="105">
        <f>IFERROR(BH1230,"")</f>
        <v/>
      </c>
      <c r="AY1230" s="105">
        <f>IFERROR(Driver!$K$19/Data!BH1230/Data!BI1230*Data!BK1230*Data!BL1230,"")</f>
        <v/>
      </c>
      <c r="AZ1230" s="105">
        <f>IFERROR(BI1230*BN1230,"")</f>
        <v/>
      </c>
      <c r="BA1230" s="105" t="n"/>
      <c r="BB1230" s="105" t="n"/>
      <c r="BC1230" s="105">
        <f>IFERROR(BI1230*BN1230*BK1230/BJ1230^(1/2),"")</f>
        <v/>
      </c>
      <c r="BD1230" s="105">
        <f>IFERROR(BH1230*BM1230*BL1230/BJ1230/BK1230,"")</f>
        <v/>
      </c>
      <c r="BE1230" s="105">
        <f>IFERROR(MIN(BI1230/BQ1230/BP1230/BO1230/BH1230,$BE$1),"")</f>
        <v/>
      </c>
      <c r="BF1230" s="105">
        <f>IFERROR(BJ1230*BO1230*BP1230/BK1230,"")</f>
        <v/>
      </c>
      <c r="BG1230" s="105">
        <f>IFERROR(1/BM1230/BH1230*BQ1230,"")</f>
        <v/>
      </c>
      <c r="BH1230" s="102">
        <f>MAX((CE1230-Driver!$F$200)/(Driver!$G$200-Driver!$F$200)*$BI$1,1)</f>
        <v/>
      </c>
      <c r="BI1230" s="102">
        <f>MAX($BI$1*(BY1230-Driver!$F$201)/(Driver!$G$201-Driver!$F$201),1)</f>
        <v/>
      </c>
      <c r="BJ1230" s="102">
        <f>(CB1230-Driver!$F$206)/(Driver!$G$206-Driver!$F$206)*$BI$1</f>
        <v/>
      </c>
      <c r="BK1230" s="102">
        <f>(CD1230-Driver!$F$203)/(Driver!$G$203-Driver!$F$203)*$BI$1</f>
        <v/>
      </c>
      <c r="BL1230" s="102">
        <f>MAX((CR1230-Driver!$F$202)/(Driver!$G$202-Driver!$F$202)*$BI$1,1)</f>
        <v/>
      </c>
      <c r="BM1230" s="102">
        <f>MAX((CH1230-Driver!$F$204)/(Driver!$G$204-Driver!$F$204)*$BI$1,1)</f>
        <v/>
      </c>
      <c r="BN1230" s="102">
        <f>(CI1230-Driver!$F$205)/(Driver!$G$205-Driver!$F$205)*$BI$1</f>
        <v/>
      </c>
      <c r="BO1230" s="102">
        <f>(CK1230-Driver!$F$207)/(Driver!$G$207-Driver!$F$207)*$BI$1</f>
        <v/>
      </c>
      <c r="BP1230" s="102">
        <f>(CM1230-Driver!$F$208)/(Driver!$G$208-Driver!$F$208)*$BI$1</f>
        <v/>
      </c>
      <c r="BQ1230" s="102">
        <f>(CL1230-Driver!$F$209)/(Driver!$G$209-Driver!$F$209)*$BI$1</f>
        <v/>
      </c>
      <c r="BR1230" s="40" t="inlineStr">
        <is>
          <t>21/22</t>
        </is>
      </c>
      <c r="BS1230" s="10" t="inlineStr">
        <is>
          <t xml:space="preserve"> Salomon</t>
        </is>
      </c>
      <c r="BT1230" s="11" t="inlineStr">
        <is>
          <t>S/Max 12</t>
        </is>
      </c>
      <c r="BU1230" s="13" t="n">
        <v>165</v>
      </c>
      <c r="BV1230" s="11" t="inlineStr">
        <is>
          <t xml:space="preserve"> Unisex</t>
        </is>
      </c>
      <c r="BW1230" s="13" t="n">
        <v>165</v>
      </c>
      <c r="BX1230" s="13" t="n">
        <v>164.4</v>
      </c>
      <c r="BY1230" s="13" t="n">
        <v>145</v>
      </c>
      <c r="BZ1230" s="13" t="n">
        <v>153</v>
      </c>
      <c r="CA1230" s="13" t="n">
        <v>121</v>
      </c>
      <c r="CB1230" s="13" t="n">
        <v>72</v>
      </c>
      <c r="CC1230" s="13" t="n">
        <v>107</v>
      </c>
      <c r="CD1230" s="13" t="n">
        <v>14.2</v>
      </c>
      <c r="CE1230" s="13" t="n">
        <v>1991</v>
      </c>
      <c r="CF1230" s="13" t="n">
        <v>0.73</v>
      </c>
      <c r="CG1230" s="13" t="n">
        <v>1450</v>
      </c>
      <c r="CH1230" s="13" t="n">
        <v>222</v>
      </c>
      <c r="CI1230" s="13" t="n">
        <v>146</v>
      </c>
      <c r="CJ1230" s="13" t="n">
        <v>36</v>
      </c>
      <c r="CK1230" s="13" t="n">
        <v>138</v>
      </c>
      <c r="CL1230" s="13" t="n">
        <v>4</v>
      </c>
      <c r="CM1230" s="13" t="n">
        <v>51</v>
      </c>
      <c r="CN1230" s="13" t="n">
        <v>0.11</v>
      </c>
      <c r="CO1230" s="13" t="n">
        <v>79</v>
      </c>
      <c r="CP1230" s="13" t="n">
        <v>31</v>
      </c>
      <c r="CQ1230" s="13" t="n">
        <v>60</v>
      </c>
      <c r="CR1230" s="13" t="n">
        <v>13</v>
      </c>
      <c r="CS1230" s="13" t="n">
        <v>11.3</v>
      </c>
      <c r="CT1230" s="11" t="inlineStr">
        <is>
          <t xml:space="preserve"> On-Piste Carving</t>
        </is>
      </c>
      <c r="CU1230" s="13" t="n"/>
      <c r="CV1230" s="13" t="n"/>
      <c r="CW1230" s="13" t="n"/>
      <c r="CX1230">
        <f>INDEX('Data_Price '!AG$2:AG$1266,MATCH(Data!$DN1230,'Data_Price '!$AT$2:$AT$1266,0))</f>
        <v/>
      </c>
      <c r="CY1230">
        <f>INDEX('Data_Price '!AH$2:AH$1266,MATCH(Data!$DN1230,'Data_Price '!$AT$2:$AT$1266,0))</f>
        <v/>
      </c>
      <c r="CZ1230">
        <f>INDEX('Data_Price '!AI$2:AI$1266,MATCH(Data!$DN1230,'Data_Price '!$AT$2:$AT$1266,0))</f>
        <v/>
      </c>
      <c r="DA1230">
        <f>INDEX('Data_Price '!AJ$2:AJ$1266,MATCH(Data!$DN1230,'Data_Price '!$AT$2:$AT$1266,0))</f>
        <v/>
      </c>
      <c r="DB1230">
        <f>INDEX('Data_Price '!AK$2:AK$1266,MATCH(Data!$DN1230,'Data_Price '!$AT$2:$AT$1266,0))</f>
        <v/>
      </c>
      <c r="DC1230">
        <f>INDEX('Data_Price '!AL$2:AL$1266,MATCH(Data!$DN1230,'Data_Price '!$AT$2:$AT$1266,0))</f>
        <v/>
      </c>
      <c r="DD1230">
        <f>INDEX('Data_Price '!AM$2:AM$1266,MATCH(Data!$DN1230,'Data_Price '!$AT$2:$AT$1266,0))</f>
        <v/>
      </c>
      <c r="DE1230">
        <f>INDEX('Data_Price '!AN$2:AN$1266,MATCH(Data!$DN1230,'Data_Price '!$AT$2:$AT$1266,0))</f>
        <v/>
      </c>
      <c r="DF1230">
        <f>INDEX('Data_Price '!AO$2:AO$1266,MATCH(Data!$DN1230,'Data_Price '!$AT$2:$AT$1266,0))</f>
        <v/>
      </c>
      <c r="DG1230">
        <f>INDEX('Data_Price '!AP$2:AP$1266,MATCH(Data!$DN1230,'Data_Price '!$AT$2:$AT$1266,0))</f>
        <v/>
      </c>
      <c r="DH1230">
        <f>INDEX('Data_Price '!AQ$2:AQ$1266,MATCH(Data!$DN1230,'Data_Price '!$AT$2:$AT$1266,0))</f>
        <v/>
      </c>
      <c r="DI1230">
        <f>INDEX('Data_Price '!AR$2:AR$1266,MATCH(Data!$DN1230,'Data_Price '!$AT$2:$AT$1266,0))</f>
        <v/>
      </c>
      <c r="DJ1230" s="138">
        <f>DA1230</f>
        <v/>
      </c>
      <c r="DK1230" s="138">
        <f>DE1230</f>
        <v/>
      </c>
      <c r="DL1230" s="138">
        <f>DI1230</f>
        <v/>
      </c>
      <c r="DM1230" s="303">
        <f>IF(LEFT(BT1230,1)=" ",RIGHT(BT1230,LEN(BT1230)-1),BT1230)</f>
        <v/>
      </c>
      <c r="DN1230" s="138">
        <f>_xlfn.CONCAT(BS1230,DM1230,BU1230,BV1230)</f>
        <v/>
      </c>
      <c r="DO1230" s="307" t="n"/>
    </row>
    <row r="1231" ht="15.6" customHeight="1" s="184">
      <c r="B1231" s="303">
        <f t="array" ref="B1231">IF(OR(ISERROR(K1231:P1231)),FALSE,TRUE)</f>
        <v/>
      </c>
      <c r="C1231" s="60">
        <f>OR(BR1231=Driver!$G$50,Data!BR172=Driver!$H$50)</f>
        <v/>
      </c>
      <c r="D1231" s="60">
        <f>OR(BV1231=Driver!$G$51,BV1231=Driver!$H$51)</f>
        <v/>
      </c>
      <c r="E1231" s="60">
        <f>AND(BX1231&gt;Driver!$F$54,BX1231&lt;Driver!$G$54)</f>
        <v/>
      </c>
      <c r="F1231" s="60">
        <f>CL1231&gt;Driver!$F$56</f>
        <v/>
      </c>
      <c r="G1231" s="60">
        <f>AND(CB1231&gt;Driver!$F$55,CB1231&lt;Driver!$G$55)</f>
        <v/>
      </c>
      <c r="H1231" s="60">
        <f>AND(B1231:G1231)</f>
        <v/>
      </c>
      <c r="I1231" s="60">
        <f>COUNTIFS($H$9:$H$1273,TRUE,$BT$9:$BT$1273,BT1231)</f>
        <v/>
      </c>
      <c r="J1231" s="60">
        <f t="array" ref="J1231">NOT(OR(($H$9:$H$1273=TRUE)*($I$9:$I$1273&gt;0)*($BT$9:$BT$1273=BT1231)*($K$9:$K$1273&gt;K1231)))</f>
        <v/>
      </c>
      <c r="K1231" s="108">
        <f>IFERROR(1-AVERAGE(X1231:Y1231),"")</f>
        <v/>
      </c>
      <c r="L1231" s="108">
        <f>1-X1231</f>
        <v/>
      </c>
      <c r="M1231" s="108">
        <f>1-Y1231</f>
        <v/>
      </c>
      <c r="N1231" s="108">
        <f>1-Z1231</f>
        <v/>
      </c>
      <c r="O1231" s="108">
        <f>1-AA1231</f>
        <v/>
      </c>
      <c r="P1231" s="108">
        <f>1-AB1231</f>
        <v/>
      </c>
      <c r="Q1231" s="108" t="n"/>
      <c r="R1231" s="108" t="n"/>
      <c r="S1231" s="108">
        <f>1-AE1231</f>
        <v/>
      </c>
      <c r="T1231" s="108">
        <f>1-AF1231</f>
        <v/>
      </c>
      <c r="U1231" s="108">
        <f>1-AG1231</f>
        <v/>
      </c>
      <c r="V1231" s="108">
        <f>1-AH1231</f>
        <v/>
      </c>
      <c r="W1231" s="108">
        <f>1-AI1231</f>
        <v/>
      </c>
      <c r="X1231" s="108">
        <f>ABS(AJ1231-AJ$1)</f>
        <v/>
      </c>
      <c r="Y1231" s="108">
        <f>AVERAGE(Z1231:AB1231)</f>
        <v/>
      </c>
      <c r="Z1231" s="108">
        <f>ABS(AL1231-AL$1)</f>
        <v/>
      </c>
      <c r="AA1231" s="108">
        <f>ABS(AM1231-AM$1)</f>
        <v/>
      </c>
      <c r="AB1231" s="108">
        <f>ABS(AN1231-AN$1)</f>
        <v/>
      </c>
      <c r="AC1231" s="108" t="n"/>
      <c r="AD1231" s="108" t="n"/>
      <c r="AE1231" s="108">
        <f>ABS(AQ$1-AQ1231)</f>
        <v/>
      </c>
      <c r="AF1231" s="108">
        <f>ABS(AR$1-AR1231)</f>
        <v/>
      </c>
      <c r="AG1231" s="108">
        <f>ABS(AS$1-AS1231)</f>
        <v/>
      </c>
      <c r="AH1231" s="108">
        <f>ABS(AT$1-AT1231)</f>
        <v/>
      </c>
      <c r="AI1231" s="108">
        <f>ABS(AU$1-AU1231)</f>
        <v/>
      </c>
      <c r="AJ1231" s="108">
        <f>(AV1231-Driver!$K$179)/(Driver!$L$179-Driver!$K$179)</f>
        <v/>
      </c>
      <c r="AK1231" s="108">
        <f>(AW1231-Driver!$K$180)/(Driver!$L$180-Driver!$K$180)</f>
        <v/>
      </c>
      <c r="AL1231" s="108">
        <f>(AX1231-Driver!$K$181)/(Driver!$L$181-Driver!$K$181)</f>
        <v/>
      </c>
      <c r="AM1231" s="108">
        <f>(AY1231-Driver!$K$182)/(Driver!$L$182-Driver!$K$182)</f>
        <v/>
      </c>
      <c r="AN1231" s="108">
        <f>(AZ1231-Driver!$K$183)/(Driver!$L$183-Driver!$K$183)</f>
        <v/>
      </c>
      <c r="AO1231" s="108" t="n"/>
      <c r="AP1231" s="108" t="n"/>
      <c r="AQ1231" s="108">
        <f>(BC1231-Driver!$K$188)/(Driver!$L$188-Driver!$K$188)</f>
        <v/>
      </c>
      <c r="AR1231" s="108">
        <f>MIN((BD1231-Driver!$K$189)/(Driver!$L$189-Driver!$K$189),100%)</f>
        <v/>
      </c>
      <c r="AS1231" s="108">
        <f>(BE1231-Driver!$K$190)/(Driver!$L$190-Driver!$K$190)</f>
        <v/>
      </c>
      <c r="AT1231" s="108">
        <f>(BF1231-Driver!$K$191)/(Driver!$L$191-Driver!$K$191)</f>
        <v/>
      </c>
      <c r="AU1231" s="108">
        <f>(BG1231-Driver!$K$192)/(Driver!$L$192-Driver!$K$192)</f>
        <v/>
      </c>
      <c r="AV1231" s="105">
        <f>IFERROR(BM1231*BJ1231^1/4,"")</f>
        <v/>
      </c>
      <c r="AW1231" s="105">
        <f>IFERROR(SUM(AX1231:AZ1231),"")</f>
        <v/>
      </c>
      <c r="AX1231" s="105">
        <f>IFERROR(BH1231,"")</f>
        <v/>
      </c>
      <c r="AY1231" s="105">
        <f>IFERROR(Driver!$K$19/Data!BH1231/Data!BI1231*Data!BK1231*Data!BL1231,"")</f>
        <v/>
      </c>
      <c r="AZ1231" s="105">
        <f>IFERROR(BI1231*BN1231,"")</f>
        <v/>
      </c>
      <c r="BA1231" s="105" t="n"/>
      <c r="BB1231" s="105" t="n"/>
      <c r="BC1231" s="105">
        <f>IFERROR(BI1231*BN1231*BK1231/BJ1231^(1/2),"")</f>
        <v/>
      </c>
      <c r="BD1231" s="105">
        <f>IFERROR(BH1231*BM1231*BL1231/BJ1231/BK1231,"")</f>
        <v/>
      </c>
      <c r="BE1231" s="105">
        <f>IFERROR(MIN(BI1231/BQ1231/BP1231/BO1231/BH1231,$BE$1),"")</f>
        <v/>
      </c>
      <c r="BF1231" s="105">
        <f>IFERROR(BJ1231*BO1231*BP1231/BK1231,"")</f>
        <v/>
      </c>
      <c r="BG1231" s="105">
        <f>IFERROR(1/BM1231/BH1231*BQ1231,"")</f>
        <v/>
      </c>
      <c r="BH1231" s="102">
        <f>MAX((CE1231-Driver!$F$200)/(Driver!$G$200-Driver!$F$200)*$BI$1,1)</f>
        <v/>
      </c>
      <c r="BI1231" s="102">
        <f>MAX($BI$1*(BY1231-Driver!$F$201)/(Driver!$G$201-Driver!$F$201),1)</f>
        <v/>
      </c>
      <c r="BJ1231" s="102">
        <f>(CB1231-Driver!$F$206)/(Driver!$G$206-Driver!$F$206)*$BI$1</f>
        <v/>
      </c>
      <c r="BK1231" s="102">
        <f>(CD1231-Driver!$F$203)/(Driver!$G$203-Driver!$F$203)*$BI$1</f>
        <v/>
      </c>
      <c r="BL1231" s="102">
        <f>MAX((CR1231-Driver!$F$202)/(Driver!$G$202-Driver!$F$202)*$BI$1,1)</f>
        <v/>
      </c>
      <c r="BM1231" s="102">
        <f>MAX((CH1231-Driver!$F$204)/(Driver!$G$204-Driver!$F$204)*$BI$1,1)</f>
        <v/>
      </c>
      <c r="BN1231" s="102">
        <f>(CI1231-Driver!$F$205)/(Driver!$G$205-Driver!$F$205)*$BI$1</f>
        <v/>
      </c>
      <c r="BO1231" s="102">
        <f>(CK1231-Driver!$F$207)/(Driver!$G$207-Driver!$F$207)*$BI$1</f>
        <v/>
      </c>
      <c r="BP1231" s="102">
        <f>(CM1231-Driver!$F$208)/(Driver!$G$208-Driver!$F$208)*$BI$1</f>
        <v/>
      </c>
      <c r="BQ1231" s="102">
        <f>(CL1231-Driver!$F$209)/(Driver!$G$209-Driver!$F$209)*$BI$1</f>
        <v/>
      </c>
      <c r="BR1231" s="40" t="inlineStr">
        <is>
          <t>21/22</t>
        </is>
      </c>
      <c r="BS1231" s="10" t="inlineStr">
        <is>
          <t xml:space="preserve"> Atomic</t>
        </is>
      </c>
      <c r="BT1231" s="11" t="inlineStr">
        <is>
          <t>Maverick 95 Ti</t>
        </is>
      </c>
      <c r="BU1231" s="13" t="n">
        <v>188</v>
      </c>
      <c r="BV1231" s="11" t="inlineStr">
        <is>
          <t xml:space="preserve"> Unisex</t>
        </is>
      </c>
      <c r="BW1231" s="13" t="n">
        <v>188</v>
      </c>
      <c r="BX1231" s="13" t="n">
        <v>187.1</v>
      </c>
      <c r="BY1231" s="13" t="n">
        <v>139</v>
      </c>
      <c r="BZ1231" s="13" t="n">
        <v>154</v>
      </c>
      <c r="CA1231" s="13" t="n">
        <v>129</v>
      </c>
      <c r="CB1231" s="13" t="n">
        <v>93</v>
      </c>
      <c r="CC1231" s="13" t="n">
        <v>114</v>
      </c>
      <c r="CD1231" s="13" t="n">
        <v>20.3</v>
      </c>
      <c r="CE1231" s="13" t="n">
        <v>1964</v>
      </c>
      <c r="CF1231" s="13" t="n">
        <v>0.99</v>
      </c>
      <c r="CG1231" s="13" t="n">
        <v>1952</v>
      </c>
      <c r="CH1231" s="13" t="n">
        <v>279</v>
      </c>
      <c r="CI1231" s="13" t="n">
        <v>178</v>
      </c>
      <c r="CJ1231" s="13" t="n">
        <v>49</v>
      </c>
      <c r="CK1231" s="13" t="n">
        <v>284</v>
      </c>
      <c r="CL1231" s="13" t="n">
        <v>15</v>
      </c>
      <c r="CM1231" s="13" t="n">
        <v>195</v>
      </c>
      <c r="CN1231" s="13" t="n">
        <v>0.303</v>
      </c>
      <c r="CO1231" s="13" t="n">
        <v>176</v>
      </c>
      <c r="CP1231" s="13" t="n">
        <v>150</v>
      </c>
      <c r="CQ1231" s="13" t="n">
        <v>108</v>
      </c>
      <c r="CR1231" s="13" t="n">
        <v>10</v>
      </c>
      <c r="CS1231" s="13" t="n">
        <v>9</v>
      </c>
      <c r="CT1231" s="11" t="inlineStr">
        <is>
          <t xml:space="preserve"> Resort Freeride</t>
        </is>
      </c>
      <c r="CU1231" s="13" t="n"/>
      <c r="CV1231" s="13" t="n"/>
      <c r="CW1231" s="13" t="n"/>
      <c r="CX1231">
        <f>INDEX('Data_Price '!AG$2:AG$1266,MATCH(Data!$DN1231,'Data_Price '!$AT$2:$AT$1266,0))</f>
        <v/>
      </c>
      <c r="CY1231">
        <f>INDEX('Data_Price '!AH$2:AH$1266,MATCH(Data!$DN1231,'Data_Price '!$AT$2:$AT$1266,0))</f>
        <v/>
      </c>
      <c r="CZ1231">
        <f>INDEX('Data_Price '!AI$2:AI$1266,MATCH(Data!$DN1231,'Data_Price '!$AT$2:$AT$1266,0))</f>
        <v/>
      </c>
      <c r="DA1231">
        <f>INDEX('Data_Price '!AJ$2:AJ$1266,MATCH(Data!$DN1231,'Data_Price '!$AT$2:$AT$1266,0))</f>
        <v/>
      </c>
      <c r="DB1231">
        <f>INDEX('Data_Price '!AK$2:AK$1266,MATCH(Data!$DN1231,'Data_Price '!$AT$2:$AT$1266,0))</f>
        <v/>
      </c>
      <c r="DC1231">
        <f>INDEX('Data_Price '!AL$2:AL$1266,MATCH(Data!$DN1231,'Data_Price '!$AT$2:$AT$1266,0))</f>
        <v/>
      </c>
      <c r="DD1231">
        <f>INDEX('Data_Price '!AM$2:AM$1266,MATCH(Data!$DN1231,'Data_Price '!$AT$2:$AT$1266,0))</f>
        <v/>
      </c>
      <c r="DE1231">
        <f>INDEX('Data_Price '!AN$2:AN$1266,MATCH(Data!$DN1231,'Data_Price '!$AT$2:$AT$1266,0))</f>
        <v/>
      </c>
      <c r="DF1231">
        <f>INDEX('Data_Price '!AO$2:AO$1266,MATCH(Data!$DN1231,'Data_Price '!$AT$2:$AT$1266,0))</f>
        <v/>
      </c>
      <c r="DG1231">
        <f>INDEX('Data_Price '!AP$2:AP$1266,MATCH(Data!$DN1231,'Data_Price '!$AT$2:$AT$1266,0))</f>
        <v/>
      </c>
      <c r="DH1231">
        <f>INDEX('Data_Price '!AQ$2:AQ$1266,MATCH(Data!$DN1231,'Data_Price '!$AT$2:$AT$1266,0))</f>
        <v/>
      </c>
      <c r="DI1231">
        <f>INDEX('Data_Price '!AR$2:AR$1266,MATCH(Data!$DN1231,'Data_Price '!$AT$2:$AT$1266,0))</f>
        <v/>
      </c>
      <c r="DJ1231" s="138">
        <f>DA1231</f>
        <v/>
      </c>
      <c r="DK1231" s="138">
        <f>DE1231</f>
        <v/>
      </c>
      <c r="DL1231" s="138">
        <f>DI1231</f>
        <v/>
      </c>
      <c r="DM1231" s="303">
        <f>IF(LEFT(BT1231,1)=" ",RIGHT(BT1231,LEN(BT1231)-1),BT1231)</f>
        <v/>
      </c>
      <c r="DN1231" s="138">
        <f>_xlfn.CONCAT(BS1231,DM1231,BU1231,BV1231)</f>
        <v/>
      </c>
      <c r="DO1231" s="307" t="inlineStr">
        <is>
          <t>https://images.evo.com/imgp/250/219394/902840/atomic-maverick-95-ti-skis-2023-.jpg</t>
        </is>
      </c>
    </row>
    <row r="1232" ht="15.6" customHeight="1" s="184">
      <c r="B1232" s="303">
        <f t="array" ref="B1232">IF(OR(ISERROR(K1232:P1232)),FALSE,TRUE)</f>
        <v/>
      </c>
      <c r="C1232" s="60">
        <f>OR(BR1232=Driver!$G$50,Data!BR1205=Driver!$H$50)</f>
        <v/>
      </c>
      <c r="D1232" s="60">
        <f>OR(BV1232=Driver!$G$51,BV1232=Driver!$H$51)</f>
        <v/>
      </c>
      <c r="E1232" s="60">
        <f>AND(BX1232&gt;Driver!$F$54,BX1232&lt;Driver!$G$54)</f>
        <v/>
      </c>
      <c r="F1232" s="60">
        <f>CL1232&gt;Driver!$F$56</f>
        <v/>
      </c>
      <c r="G1232" s="60">
        <f>AND(CB1232&gt;Driver!$F$55,CB1232&lt;Driver!$G$55)</f>
        <v/>
      </c>
      <c r="H1232" s="60">
        <f>AND(B1232:G1232)</f>
        <v/>
      </c>
      <c r="I1232" s="60">
        <f>COUNTIFS($H$9:$H$1273,TRUE,$BT$9:$BT$1273,BT1232)</f>
        <v/>
      </c>
      <c r="J1232" s="60">
        <f t="array" ref="J1232">NOT(OR(($H$9:$H$1273=TRUE)*($I$9:$I$1273&gt;0)*($BT$9:$BT$1273=BT1232)*($K$9:$K$1273&gt;K1232)))</f>
        <v/>
      </c>
      <c r="K1232" s="108">
        <f>IFERROR(1-AVERAGE(X1232:Y1232),"")</f>
        <v/>
      </c>
      <c r="L1232" s="108">
        <f>1-X1232</f>
        <v/>
      </c>
      <c r="M1232" s="108">
        <f>1-Y1232</f>
        <v/>
      </c>
      <c r="N1232" s="108">
        <f>1-Z1232</f>
        <v/>
      </c>
      <c r="O1232" s="108">
        <f>1-AA1232</f>
        <v/>
      </c>
      <c r="P1232" s="108">
        <f>1-AB1232</f>
        <v/>
      </c>
      <c r="Q1232" s="108" t="n"/>
      <c r="R1232" s="108" t="n"/>
      <c r="S1232" s="108">
        <f>1-AE1232</f>
        <v/>
      </c>
      <c r="T1232" s="108">
        <f>1-AF1232</f>
        <v/>
      </c>
      <c r="U1232" s="108">
        <f>1-AG1232</f>
        <v/>
      </c>
      <c r="V1232" s="108">
        <f>1-AH1232</f>
        <v/>
      </c>
      <c r="W1232" s="108">
        <f>1-AI1232</f>
        <v/>
      </c>
      <c r="X1232" s="108">
        <f>ABS(AJ1232-AJ$1)</f>
        <v/>
      </c>
      <c r="Y1232" s="108">
        <f>AVERAGE(Z1232:AB1232)</f>
        <v/>
      </c>
      <c r="Z1232" s="108">
        <f>ABS(AL1232-AL$1)</f>
        <v/>
      </c>
      <c r="AA1232" s="108">
        <f>ABS(AM1232-AM$1)</f>
        <v/>
      </c>
      <c r="AB1232" s="108">
        <f>ABS(AN1232-AN$1)</f>
        <v/>
      </c>
      <c r="AC1232" s="108" t="n"/>
      <c r="AD1232" s="108" t="n"/>
      <c r="AE1232" s="108">
        <f>ABS(AQ$1-AQ1232)</f>
        <v/>
      </c>
      <c r="AF1232" s="108">
        <f>ABS(AR$1-AR1232)</f>
        <v/>
      </c>
      <c r="AG1232" s="108">
        <f>ABS(AS$1-AS1232)</f>
        <v/>
      </c>
      <c r="AH1232" s="108">
        <f>ABS(AT$1-AT1232)</f>
        <v/>
      </c>
      <c r="AI1232" s="108">
        <f>ABS(AU$1-AU1232)</f>
        <v/>
      </c>
      <c r="AJ1232" s="108">
        <f>(AV1232-Driver!$K$179)/(Driver!$L$179-Driver!$K$179)</f>
        <v/>
      </c>
      <c r="AK1232" s="108">
        <f>(AW1232-Driver!$K$180)/(Driver!$L$180-Driver!$K$180)</f>
        <v/>
      </c>
      <c r="AL1232" s="108">
        <f>(AX1232-Driver!$K$181)/(Driver!$L$181-Driver!$K$181)</f>
        <v/>
      </c>
      <c r="AM1232" s="108">
        <f>(AY1232-Driver!$K$182)/(Driver!$L$182-Driver!$K$182)</f>
        <v/>
      </c>
      <c r="AN1232" s="108">
        <f>(AZ1232-Driver!$K$183)/(Driver!$L$183-Driver!$K$183)</f>
        <v/>
      </c>
      <c r="AO1232" s="108" t="n"/>
      <c r="AP1232" s="108" t="n"/>
      <c r="AQ1232" s="108">
        <f>(BC1232-Driver!$K$188)/(Driver!$L$188-Driver!$K$188)</f>
        <v/>
      </c>
      <c r="AR1232" s="108">
        <f>MIN((BD1232-Driver!$K$189)/(Driver!$L$189-Driver!$K$189),100%)</f>
        <v/>
      </c>
      <c r="AS1232" s="108">
        <f>(BE1232-Driver!$K$190)/(Driver!$L$190-Driver!$K$190)</f>
        <v/>
      </c>
      <c r="AT1232" s="108">
        <f>(BF1232-Driver!$K$191)/(Driver!$L$191-Driver!$K$191)</f>
        <v/>
      </c>
      <c r="AU1232" s="108">
        <f>(BG1232-Driver!$K$192)/(Driver!$L$192-Driver!$K$192)</f>
        <v/>
      </c>
      <c r="AV1232" s="105">
        <f>IFERROR(BM1232*BJ1232^1/4,"")</f>
        <v/>
      </c>
      <c r="AW1232" s="105">
        <f>IFERROR(SUM(AX1232:AZ1232),"")</f>
        <v/>
      </c>
      <c r="AX1232" s="105">
        <f>IFERROR(BH1232,"")</f>
        <v/>
      </c>
      <c r="AY1232" s="105">
        <f>IFERROR(Driver!$K$19/Data!BH1232/Data!BI1232*Data!BK1232*Data!BL1232,"")</f>
        <v/>
      </c>
      <c r="AZ1232" s="105">
        <f>IFERROR(BI1232*BN1232,"")</f>
        <v/>
      </c>
      <c r="BA1232" s="105" t="n"/>
      <c r="BB1232" s="105" t="n"/>
      <c r="BC1232" s="105">
        <f>IFERROR(BI1232*BN1232*BK1232/BJ1232^(1/2),"")</f>
        <v/>
      </c>
      <c r="BD1232" s="105">
        <f>IFERROR(BH1232*BM1232*BL1232/BJ1232/BK1232,"")</f>
        <v/>
      </c>
      <c r="BE1232" s="105">
        <f>IFERROR(MIN(BI1232/BQ1232/BP1232/BO1232/BH1232,$BE$1),"")</f>
        <v/>
      </c>
      <c r="BF1232" s="105">
        <f>IFERROR(BJ1232*BO1232*BP1232/BK1232,"")</f>
        <v/>
      </c>
      <c r="BG1232" s="105">
        <f>IFERROR(1/BM1232/BH1232*BQ1232,"")</f>
        <v/>
      </c>
      <c r="BH1232" s="102">
        <f>MAX((CE1232-Driver!$F$200)/(Driver!$G$200-Driver!$F$200)*$BI$1,1)</f>
        <v/>
      </c>
      <c r="BI1232" s="102">
        <f>MAX($BI$1*(BY1232-Driver!$F$201)/(Driver!$G$201-Driver!$F$201),1)</f>
        <v/>
      </c>
      <c r="BJ1232" s="102">
        <f>(CB1232-Driver!$F$206)/(Driver!$G$206-Driver!$F$206)*$BI$1</f>
        <v/>
      </c>
      <c r="BK1232" s="102">
        <f>(CD1232-Driver!$F$203)/(Driver!$G$203-Driver!$F$203)*$BI$1</f>
        <v/>
      </c>
      <c r="BL1232" s="102">
        <f>MAX((CR1232-Driver!$F$202)/(Driver!$G$202-Driver!$F$202)*$BI$1,1)</f>
        <v/>
      </c>
      <c r="BM1232" s="102">
        <f>MAX((CH1232-Driver!$F$204)/(Driver!$G$204-Driver!$F$204)*$BI$1,1)</f>
        <v/>
      </c>
      <c r="BN1232" s="102">
        <f>(CI1232-Driver!$F$205)/(Driver!$G$205-Driver!$F$205)*$BI$1</f>
        <v/>
      </c>
      <c r="BO1232" s="102">
        <f>(CK1232-Driver!$F$207)/(Driver!$G$207-Driver!$F$207)*$BI$1</f>
        <v/>
      </c>
      <c r="BP1232" s="102">
        <f>(CM1232-Driver!$F$208)/(Driver!$G$208-Driver!$F$208)*$BI$1</f>
        <v/>
      </c>
      <c r="BQ1232" s="102">
        <f>(CL1232-Driver!$F$209)/(Driver!$G$209-Driver!$F$209)*$BI$1</f>
        <v/>
      </c>
      <c r="BR1232" s="40" t="inlineStr">
        <is>
          <t>21/22</t>
        </is>
      </c>
      <c r="BS1232" s="10" t="inlineStr">
        <is>
          <t xml:space="preserve"> Völkl</t>
        </is>
      </c>
      <c r="BT1232" s="11" t="inlineStr">
        <is>
          <t>Katana 108</t>
        </is>
      </c>
      <c r="BU1232" s="13" t="n">
        <v>184</v>
      </c>
      <c r="BV1232" s="11" t="inlineStr">
        <is>
          <t xml:space="preserve"> Unisex</t>
        </is>
      </c>
      <c r="BW1232" s="13" t="n">
        <v>184</v>
      </c>
      <c r="BX1232" s="13" t="n">
        <v>183.1</v>
      </c>
      <c r="BY1232" s="13" t="n">
        <v>129</v>
      </c>
      <c r="BZ1232" s="13" t="n">
        <v>160</v>
      </c>
      <c r="CA1232" s="13" t="n">
        <v>145</v>
      </c>
      <c r="CB1232" s="13" t="n">
        <v>107</v>
      </c>
      <c r="CC1232" s="13" t="n">
        <v>128</v>
      </c>
      <c r="CD1232" s="13" t="n">
        <v>20.5</v>
      </c>
      <c r="CE1232" s="13" t="n">
        <v>2321</v>
      </c>
      <c r="CF1232" s="13" t="n">
        <v>0.9399999999999999</v>
      </c>
      <c r="CG1232" s="13" t="n">
        <v>2175</v>
      </c>
      <c r="CH1232" s="13" t="n">
        <v>234</v>
      </c>
      <c r="CI1232" s="13" t="n">
        <v>157</v>
      </c>
      <c r="CJ1232" s="13" t="n">
        <v>50</v>
      </c>
      <c r="CK1232" s="13" t="n">
        <v>304</v>
      </c>
      <c r="CL1232" s="13" t="n">
        <v>19</v>
      </c>
      <c r="CM1232" s="13" t="n">
        <v>241</v>
      </c>
      <c r="CN1232" s="13" t="n">
        <v>0.388</v>
      </c>
      <c r="CO1232" s="13" t="n">
        <v>128</v>
      </c>
      <c r="CP1232" s="13" t="n">
        <v>104</v>
      </c>
      <c r="CQ1232" s="13" t="n">
        <v>176</v>
      </c>
      <c r="CR1232" s="13" t="n">
        <v>4</v>
      </c>
      <c r="CS1232" s="13" t="n">
        <v>11.8</v>
      </c>
      <c r="CT1232" s="11" t="inlineStr">
        <is>
          <t xml:space="preserve"> Powder</t>
        </is>
      </c>
      <c r="CU1232" s="11" t="inlineStr">
        <is>
          <t xml:space="preserve"> Big Mountain</t>
        </is>
      </c>
      <c r="CV1232" s="13" t="n"/>
      <c r="CW1232" s="13" t="n"/>
      <c r="CX1232">
        <f>INDEX('Data_Price '!AG$2:AG$1266,MATCH(Data!$DN1232,'Data_Price '!$AT$2:$AT$1266,0))</f>
        <v/>
      </c>
      <c r="CY1232">
        <f>INDEX('Data_Price '!AH$2:AH$1266,MATCH(Data!$DN1232,'Data_Price '!$AT$2:$AT$1266,0))</f>
        <v/>
      </c>
      <c r="CZ1232">
        <f>INDEX('Data_Price '!AI$2:AI$1266,MATCH(Data!$DN1232,'Data_Price '!$AT$2:$AT$1266,0))</f>
        <v/>
      </c>
      <c r="DA1232">
        <f>INDEX('Data_Price '!AJ$2:AJ$1266,MATCH(Data!$DN1232,'Data_Price '!$AT$2:$AT$1266,0))</f>
        <v/>
      </c>
      <c r="DB1232">
        <f>INDEX('Data_Price '!AK$2:AK$1266,MATCH(Data!$DN1232,'Data_Price '!$AT$2:$AT$1266,0))</f>
        <v/>
      </c>
      <c r="DC1232">
        <f>INDEX('Data_Price '!AL$2:AL$1266,MATCH(Data!$DN1232,'Data_Price '!$AT$2:$AT$1266,0))</f>
        <v/>
      </c>
      <c r="DD1232">
        <f>INDEX('Data_Price '!AM$2:AM$1266,MATCH(Data!$DN1232,'Data_Price '!$AT$2:$AT$1266,0))</f>
        <v/>
      </c>
      <c r="DE1232">
        <f>INDEX('Data_Price '!AN$2:AN$1266,MATCH(Data!$DN1232,'Data_Price '!$AT$2:$AT$1266,0))</f>
        <v/>
      </c>
      <c r="DF1232">
        <f>INDEX('Data_Price '!AO$2:AO$1266,MATCH(Data!$DN1232,'Data_Price '!$AT$2:$AT$1266,0))</f>
        <v/>
      </c>
      <c r="DG1232">
        <f>INDEX('Data_Price '!AP$2:AP$1266,MATCH(Data!$DN1232,'Data_Price '!$AT$2:$AT$1266,0))</f>
        <v/>
      </c>
      <c r="DH1232">
        <f>INDEX('Data_Price '!AQ$2:AQ$1266,MATCH(Data!$DN1232,'Data_Price '!$AT$2:$AT$1266,0))</f>
        <v/>
      </c>
      <c r="DI1232">
        <f>INDEX('Data_Price '!AR$2:AR$1266,MATCH(Data!$DN1232,'Data_Price '!$AT$2:$AT$1266,0))</f>
        <v/>
      </c>
      <c r="DJ1232" s="138">
        <f>DA1232</f>
        <v/>
      </c>
      <c r="DK1232" s="138">
        <f>DE1232</f>
        <v/>
      </c>
      <c r="DL1232" s="138">
        <f>DI1232</f>
        <v/>
      </c>
      <c r="DM1232" s="303">
        <f>IF(LEFT(BT1232,1)=" ",RIGHT(BT1232,LEN(BT1232)-1),BT1232)</f>
        <v/>
      </c>
      <c r="DN1232" s="138">
        <f>_xlfn.CONCAT(BS1232,DM1232,BU1232,BV1232)</f>
        <v/>
      </c>
      <c r="DO1232" s="307" t="inlineStr">
        <is>
          <t>https://images.evo.com/imgp/250/208359/837590/volkl-katana-108-skis-2022-.jpg</t>
        </is>
      </c>
    </row>
    <row r="1233" ht="15.6" customHeight="1" s="184">
      <c r="B1233" s="303">
        <f t="array" ref="B1233">IF(OR(ISERROR(K1233:P1233)),FALSE,TRUE)</f>
        <v/>
      </c>
      <c r="C1233" s="60">
        <f>OR(BR1233=Driver!$G$50,Data!BR990=Driver!$H$50)</f>
        <v/>
      </c>
      <c r="D1233" s="60">
        <f>OR(BV1233=Driver!$G$51,BV1233=Driver!$H$51)</f>
        <v/>
      </c>
      <c r="E1233" s="60">
        <f>AND(BX1233&gt;Driver!$F$54,BX1233&lt;Driver!$G$54)</f>
        <v/>
      </c>
      <c r="F1233" s="60">
        <f>CL1233&gt;Driver!$F$56</f>
        <v/>
      </c>
      <c r="G1233" s="60">
        <f>AND(CB1233&gt;Driver!$F$55,CB1233&lt;Driver!$G$55)</f>
        <v/>
      </c>
      <c r="H1233" s="60">
        <f>AND(B1233:G1233)</f>
        <v/>
      </c>
      <c r="I1233" s="60">
        <f>COUNTIFS($H$9:$H$1273,TRUE,$BT$9:$BT$1273,BT1233)</f>
        <v/>
      </c>
      <c r="J1233" s="60">
        <f t="array" ref="J1233">NOT(OR(($H$9:$H$1273=TRUE)*($I$9:$I$1273&gt;0)*($BT$9:$BT$1273=BT1233)*($K$9:$K$1273&gt;K1233)))</f>
        <v/>
      </c>
      <c r="K1233" s="108">
        <f>IFERROR(1-AVERAGE(X1233:Y1233),"")</f>
        <v/>
      </c>
      <c r="L1233" s="108">
        <f>1-X1233</f>
        <v/>
      </c>
      <c r="M1233" s="108">
        <f>1-Y1233</f>
        <v/>
      </c>
      <c r="N1233" s="108">
        <f>1-Z1233</f>
        <v/>
      </c>
      <c r="O1233" s="108">
        <f>1-AA1233</f>
        <v/>
      </c>
      <c r="P1233" s="108">
        <f>1-AB1233</f>
        <v/>
      </c>
      <c r="Q1233" s="108" t="n"/>
      <c r="R1233" s="108" t="n"/>
      <c r="S1233" s="108">
        <f>1-AE1233</f>
        <v/>
      </c>
      <c r="T1233" s="108">
        <f>1-AF1233</f>
        <v/>
      </c>
      <c r="U1233" s="108">
        <f>1-AG1233</f>
        <v/>
      </c>
      <c r="V1233" s="108">
        <f>1-AH1233</f>
        <v/>
      </c>
      <c r="W1233" s="108">
        <f>1-AI1233</f>
        <v/>
      </c>
      <c r="X1233" s="108">
        <f>ABS(AJ1233-AJ$1)</f>
        <v/>
      </c>
      <c r="Y1233" s="108">
        <f>AVERAGE(Z1233:AB1233)</f>
        <v/>
      </c>
      <c r="Z1233" s="108">
        <f>ABS(AL1233-AL$1)</f>
        <v/>
      </c>
      <c r="AA1233" s="108">
        <f>ABS(AM1233-AM$1)</f>
        <v/>
      </c>
      <c r="AB1233" s="108">
        <f>ABS(AN1233-AN$1)</f>
        <v/>
      </c>
      <c r="AC1233" s="108" t="n"/>
      <c r="AD1233" s="108" t="n"/>
      <c r="AE1233" s="108">
        <f>ABS(AQ$1-AQ1233)</f>
        <v/>
      </c>
      <c r="AF1233" s="108">
        <f>ABS(AR$1-AR1233)</f>
        <v/>
      </c>
      <c r="AG1233" s="108">
        <f>ABS(AS$1-AS1233)</f>
        <v/>
      </c>
      <c r="AH1233" s="108">
        <f>ABS(AT$1-AT1233)</f>
        <v/>
      </c>
      <c r="AI1233" s="108">
        <f>ABS(AU$1-AU1233)</f>
        <v/>
      </c>
      <c r="AJ1233" s="108">
        <f>(AV1233-Driver!$K$179)/(Driver!$L$179-Driver!$K$179)</f>
        <v/>
      </c>
      <c r="AK1233" s="108">
        <f>(AW1233-Driver!$K$180)/(Driver!$L$180-Driver!$K$180)</f>
        <v/>
      </c>
      <c r="AL1233" s="108">
        <f>(AX1233-Driver!$K$181)/(Driver!$L$181-Driver!$K$181)</f>
        <v/>
      </c>
      <c r="AM1233" s="108">
        <f>(AY1233-Driver!$K$182)/(Driver!$L$182-Driver!$K$182)</f>
        <v/>
      </c>
      <c r="AN1233" s="108">
        <f>(AZ1233-Driver!$K$183)/(Driver!$L$183-Driver!$K$183)</f>
        <v/>
      </c>
      <c r="AO1233" s="108" t="n"/>
      <c r="AP1233" s="108" t="n"/>
      <c r="AQ1233" s="108">
        <f>(BC1233-Driver!$K$188)/(Driver!$L$188-Driver!$K$188)</f>
        <v/>
      </c>
      <c r="AR1233" s="108">
        <f>MIN((BD1233-Driver!$K$189)/(Driver!$L$189-Driver!$K$189),100%)</f>
        <v/>
      </c>
      <c r="AS1233" s="108">
        <f>(BE1233-Driver!$K$190)/(Driver!$L$190-Driver!$K$190)</f>
        <v/>
      </c>
      <c r="AT1233" s="108">
        <f>(BF1233-Driver!$K$191)/(Driver!$L$191-Driver!$K$191)</f>
        <v/>
      </c>
      <c r="AU1233" s="108">
        <f>(BG1233-Driver!$K$192)/(Driver!$L$192-Driver!$K$192)</f>
        <v/>
      </c>
      <c r="AV1233" s="105">
        <f>IFERROR(BM1233*BJ1233^1/4,"")</f>
        <v/>
      </c>
      <c r="AW1233" s="105">
        <f>IFERROR(SUM(AX1233:AZ1233),"")</f>
        <v/>
      </c>
      <c r="AX1233" s="105">
        <f>IFERROR(BH1233,"")</f>
        <v/>
      </c>
      <c r="AY1233" s="105">
        <f>IFERROR(Driver!$K$19/Data!BH1233/Data!BI1233*Data!BK1233*Data!BL1233,"")</f>
        <v/>
      </c>
      <c r="AZ1233" s="105">
        <f>IFERROR(BI1233*BN1233,"")</f>
        <v/>
      </c>
      <c r="BA1233" s="105" t="n"/>
      <c r="BB1233" s="105" t="n"/>
      <c r="BC1233" s="105">
        <f>IFERROR(BI1233*BN1233*BK1233/BJ1233^(1/2),"")</f>
        <v/>
      </c>
      <c r="BD1233" s="105">
        <f>IFERROR(BH1233*BM1233*BL1233/BJ1233/BK1233,"")</f>
        <v/>
      </c>
      <c r="BE1233" s="105">
        <f>IFERROR(MIN(BI1233/BQ1233/BP1233/BO1233/BH1233,$BE$1),"")</f>
        <v/>
      </c>
      <c r="BF1233" s="105">
        <f>IFERROR(BJ1233*BO1233*BP1233/BK1233,"")</f>
        <v/>
      </c>
      <c r="BG1233" s="105">
        <f>IFERROR(1/BM1233/BH1233*BQ1233,"")</f>
        <v/>
      </c>
      <c r="BH1233" s="102">
        <f>MAX((CE1233-Driver!$F$200)/(Driver!$G$200-Driver!$F$200)*$BI$1,1)</f>
        <v/>
      </c>
      <c r="BI1233" s="102">
        <f>MAX($BI$1*(BY1233-Driver!$F$201)/(Driver!$G$201-Driver!$F$201),1)</f>
        <v/>
      </c>
      <c r="BJ1233" s="102">
        <f>(CB1233-Driver!$F$206)/(Driver!$G$206-Driver!$F$206)*$BI$1</f>
        <v/>
      </c>
      <c r="BK1233" s="102">
        <f>(CD1233-Driver!$F$203)/(Driver!$G$203-Driver!$F$203)*$BI$1</f>
        <v/>
      </c>
      <c r="BL1233" s="102">
        <f>MAX((CR1233-Driver!$F$202)/(Driver!$G$202-Driver!$F$202)*$BI$1,1)</f>
        <v/>
      </c>
      <c r="BM1233" s="102">
        <f>MAX((CH1233-Driver!$F$204)/(Driver!$G$204-Driver!$F$204)*$BI$1,1)</f>
        <v/>
      </c>
      <c r="BN1233" s="102">
        <f>(CI1233-Driver!$F$205)/(Driver!$G$205-Driver!$F$205)*$BI$1</f>
        <v/>
      </c>
      <c r="BO1233" s="102">
        <f>(CK1233-Driver!$F$207)/(Driver!$G$207-Driver!$F$207)*$BI$1</f>
        <v/>
      </c>
      <c r="BP1233" s="102">
        <f>(CM1233-Driver!$F$208)/(Driver!$G$208-Driver!$F$208)*$BI$1</f>
        <v/>
      </c>
      <c r="BQ1233" s="102">
        <f>(CL1233-Driver!$F$209)/(Driver!$G$209-Driver!$F$209)*$BI$1</f>
        <v/>
      </c>
      <c r="BR1233" s="40" t="inlineStr">
        <is>
          <t>21/22</t>
        </is>
      </c>
      <c r="BS1233" s="10" t="inlineStr">
        <is>
          <t xml:space="preserve"> Rossignol</t>
        </is>
      </c>
      <c r="BT1233" s="11" t="inlineStr">
        <is>
          <t>Blackops Sender Ti</t>
        </is>
      </c>
      <c r="BU1233" s="13" t="n">
        <v>194</v>
      </c>
      <c r="BV1233" s="11" t="inlineStr">
        <is>
          <t xml:space="preserve"> Unisex</t>
        </is>
      </c>
      <c r="BW1233" s="13" t="n">
        <v>194</v>
      </c>
      <c r="BX1233" s="13" t="n">
        <v>193.9</v>
      </c>
      <c r="BY1233" s="13" t="n">
        <v>145</v>
      </c>
      <c r="BZ1233" s="13" t="n">
        <v>167</v>
      </c>
      <c r="CA1233" s="13" t="n">
        <v>136</v>
      </c>
      <c r="CB1233" s="13" t="n">
        <v>105</v>
      </c>
      <c r="CC1233" s="13" t="n">
        <v>127</v>
      </c>
      <c r="CD1233" s="13" t="n">
        <v>23.9</v>
      </c>
      <c r="CE1233" s="13" t="n">
        <v>2286</v>
      </c>
      <c r="CF1233" s="13" t="n">
        <v>0.98</v>
      </c>
      <c r="CG1233" s="13" t="n">
        <v>2231</v>
      </c>
      <c r="CH1233" s="13" t="n">
        <v>293</v>
      </c>
      <c r="CI1233" s="13" t="n">
        <v>126</v>
      </c>
      <c r="CJ1233" s="13" t="n">
        <v>51</v>
      </c>
      <c r="CK1233" s="13" t="n">
        <v>304</v>
      </c>
      <c r="CL1233" s="13" t="n">
        <v>12</v>
      </c>
      <c r="CM1233" s="13" t="n">
        <v>185</v>
      </c>
      <c r="CN1233" s="13" t="n">
        <v>0.226</v>
      </c>
      <c r="CO1233" s="13" t="n">
        <v>161</v>
      </c>
      <c r="CP1233" s="13" t="n">
        <v>104</v>
      </c>
      <c r="CQ1233" s="13" t="n">
        <v>142</v>
      </c>
      <c r="CR1233" s="13" t="n">
        <v>7</v>
      </c>
      <c r="CS1233" s="13" t="n">
        <v>7.9</v>
      </c>
      <c r="CT1233" s="11" t="inlineStr">
        <is>
          <t xml:space="preserve"> Resort Freeride</t>
        </is>
      </c>
      <c r="CU1233" s="11" t="inlineStr">
        <is>
          <t xml:space="preserve"> Big Mountain</t>
        </is>
      </c>
      <c r="CV1233" s="13" t="n"/>
      <c r="CW1233" s="13" t="n"/>
      <c r="CX1233">
        <f>INDEX('Data_Price '!AG$2:AG$1266,MATCH(Data!$DN1233,'Data_Price '!$AT$2:$AT$1266,0))</f>
        <v/>
      </c>
      <c r="CY1233">
        <f>INDEX('Data_Price '!AH$2:AH$1266,MATCH(Data!$DN1233,'Data_Price '!$AT$2:$AT$1266,0))</f>
        <v/>
      </c>
      <c r="CZ1233">
        <f>INDEX('Data_Price '!AI$2:AI$1266,MATCH(Data!$DN1233,'Data_Price '!$AT$2:$AT$1266,0))</f>
        <v/>
      </c>
      <c r="DA1233">
        <f>INDEX('Data_Price '!AJ$2:AJ$1266,MATCH(Data!$DN1233,'Data_Price '!$AT$2:$AT$1266,0))</f>
        <v/>
      </c>
      <c r="DB1233">
        <f>INDEX('Data_Price '!AK$2:AK$1266,MATCH(Data!$DN1233,'Data_Price '!$AT$2:$AT$1266,0))</f>
        <v/>
      </c>
      <c r="DC1233">
        <f>INDEX('Data_Price '!AL$2:AL$1266,MATCH(Data!$DN1233,'Data_Price '!$AT$2:$AT$1266,0))</f>
        <v/>
      </c>
      <c r="DD1233">
        <f>INDEX('Data_Price '!AM$2:AM$1266,MATCH(Data!$DN1233,'Data_Price '!$AT$2:$AT$1266,0))</f>
        <v/>
      </c>
      <c r="DE1233">
        <f>INDEX('Data_Price '!AN$2:AN$1266,MATCH(Data!$DN1233,'Data_Price '!$AT$2:$AT$1266,0))</f>
        <v/>
      </c>
      <c r="DF1233">
        <f>INDEX('Data_Price '!AO$2:AO$1266,MATCH(Data!$DN1233,'Data_Price '!$AT$2:$AT$1266,0))</f>
        <v/>
      </c>
      <c r="DG1233">
        <f>INDEX('Data_Price '!AP$2:AP$1266,MATCH(Data!$DN1233,'Data_Price '!$AT$2:$AT$1266,0))</f>
        <v/>
      </c>
      <c r="DH1233">
        <f>INDEX('Data_Price '!AQ$2:AQ$1266,MATCH(Data!$DN1233,'Data_Price '!$AT$2:$AT$1266,0))</f>
        <v/>
      </c>
      <c r="DI1233">
        <f>INDEX('Data_Price '!AR$2:AR$1266,MATCH(Data!$DN1233,'Data_Price '!$AT$2:$AT$1266,0))</f>
        <v/>
      </c>
      <c r="DJ1233" s="138">
        <f>DA1233</f>
        <v/>
      </c>
      <c r="DK1233" s="138">
        <f>DE1233</f>
        <v/>
      </c>
      <c r="DL1233" s="138">
        <f>DI1233</f>
        <v/>
      </c>
      <c r="DM1233" s="303">
        <f>IF(LEFT(BT1233,1)=" ",RIGHT(BT1233,LEN(BT1233)-1),BT1233)</f>
        <v/>
      </c>
      <c r="DN1233" s="138">
        <f>_xlfn.CONCAT(BS1233,DM1233,BU1233,BV1233)</f>
        <v/>
      </c>
      <c r="DO1233" s="307" t="n"/>
    </row>
    <row r="1234" ht="15.6" customHeight="1" s="184">
      <c r="B1234" s="303">
        <f t="array" ref="B1234">IF(OR(ISERROR(K1234:P1234)),FALSE,TRUE)</f>
        <v/>
      </c>
      <c r="C1234" s="60">
        <f>OR(BR1234=Driver!$G$50,Data!BR236=Driver!$H$50)</f>
        <v/>
      </c>
      <c r="D1234" s="60">
        <f>OR(BV1234=Driver!$G$51,BV1234=Driver!$H$51)</f>
        <v/>
      </c>
      <c r="E1234" s="60">
        <f>AND(BX1234&gt;Driver!$F$54,BX1234&lt;Driver!$G$54)</f>
        <v/>
      </c>
      <c r="F1234" s="60">
        <f>CL1234&gt;Driver!$F$56</f>
        <v/>
      </c>
      <c r="G1234" s="60">
        <f>AND(CB1234&gt;Driver!$F$55,CB1234&lt;Driver!$G$55)</f>
        <v/>
      </c>
      <c r="H1234" s="60">
        <f>AND(B1234:G1234)</f>
        <v/>
      </c>
      <c r="I1234" s="60">
        <f>COUNTIFS($H$9:$H$1273,TRUE,$BT$9:$BT$1273,BT1234)</f>
        <v/>
      </c>
      <c r="J1234" s="60">
        <f t="array" ref="J1234">NOT(OR(($H$9:$H$1273=TRUE)*($I$9:$I$1273&gt;0)*($BT$9:$BT$1273=BT1234)*($K$9:$K$1273&gt;K1234)))</f>
        <v/>
      </c>
      <c r="K1234" s="108">
        <f>IFERROR(1-AVERAGE(X1234:Y1234),"")</f>
        <v/>
      </c>
      <c r="L1234" s="108">
        <f>1-X1234</f>
        <v/>
      </c>
      <c r="M1234" s="108">
        <f>1-Y1234</f>
        <v/>
      </c>
      <c r="N1234" s="108">
        <f>1-Z1234</f>
        <v/>
      </c>
      <c r="O1234" s="108">
        <f>1-AA1234</f>
        <v/>
      </c>
      <c r="P1234" s="108">
        <f>1-AB1234</f>
        <v/>
      </c>
      <c r="Q1234" s="108" t="n"/>
      <c r="R1234" s="108" t="n"/>
      <c r="S1234" s="108">
        <f>1-AE1234</f>
        <v/>
      </c>
      <c r="T1234" s="108">
        <f>1-AF1234</f>
        <v/>
      </c>
      <c r="U1234" s="108">
        <f>1-AG1234</f>
        <v/>
      </c>
      <c r="V1234" s="108">
        <f>1-AH1234</f>
        <v/>
      </c>
      <c r="W1234" s="108">
        <f>1-AI1234</f>
        <v/>
      </c>
      <c r="X1234" s="108">
        <f>ABS(AJ1234-AJ$1)</f>
        <v/>
      </c>
      <c r="Y1234" s="108">
        <f>AVERAGE(Z1234:AB1234)</f>
        <v/>
      </c>
      <c r="Z1234" s="108">
        <f>ABS(AL1234-AL$1)</f>
        <v/>
      </c>
      <c r="AA1234" s="108">
        <f>ABS(AM1234-AM$1)</f>
        <v/>
      </c>
      <c r="AB1234" s="108">
        <f>ABS(AN1234-AN$1)</f>
        <v/>
      </c>
      <c r="AC1234" s="108" t="n"/>
      <c r="AD1234" s="108" t="n"/>
      <c r="AE1234" s="108">
        <f>ABS(AQ$1-AQ1234)</f>
        <v/>
      </c>
      <c r="AF1234" s="108">
        <f>ABS(AR$1-AR1234)</f>
        <v/>
      </c>
      <c r="AG1234" s="108">
        <f>ABS(AS$1-AS1234)</f>
        <v/>
      </c>
      <c r="AH1234" s="108">
        <f>ABS(AT$1-AT1234)</f>
        <v/>
      </c>
      <c r="AI1234" s="108">
        <f>ABS(AU$1-AU1234)</f>
        <v/>
      </c>
      <c r="AJ1234" s="108">
        <f>(AV1234-Driver!$K$179)/(Driver!$L$179-Driver!$K$179)</f>
        <v/>
      </c>
      <c r="AK1234" s="108">
        <f>(AW1234-Driver!$K$180)/(Driver!$L$180-Driver!$K$180)</f>
        <v/>
      </c>
      <c r="AL1234" s="108">
        <f>(AX1234-Driver!$K$181)/(Driver!$L$181-Driver!$K$181)</f>
        <v/>
      </c>
      <c r="AM1234" s="108">
        <f>(AY1234-Driver!$K$182)/(Driver!$L$182-Driver!$K$182)</f>
        <v/>
      </c>
      <c r="AN1234" s="108">
        <f>(AZ1234-Driver!$K$183)/(Driver!$L$183-Driver!$K$183)</f>
        <v/>
      </c>
      <c r="AO1234" s="108" t="n"/>
      <c r="AP1234" s="108" t="n"/>
      <c r="AQ1234" s="108">
        <f>(BC1234-Driver!$K$188)/(Driver!$L$188-Driver!$K$188)</f>
        <v/>
      </c>
      <c r="AR1234" s="108">
        <f>MIN((BD1234-Driver!$K$189)/(Driver!$L$189-Driver!$K$189),100%)</f>
        <v/>
      </c>
      <c r="AS1234" s="108">
        <f>(BE1234-Driver!$K$190)/(Driver!$L$190-Driver!$K$190)</f>
        <v/>
      </c>
      <c r="AT1234" s="108">
        <f>(BF1234-Driver!$K$191)/(Driver!$L$191-Driver!$K$191)</f>
        <v/>
      </c>
      <c r="AU1234" s="108">
        <f>(BG1234-Driver!$K$192)/(Driver!$L$192-Driver!$K$192)</f>
        <v/>
      </c>
      <c r="AV1234" s="105">
        <f>IFERROR(BM1234*BJ1234^1/4,"")</f>
        <v/>
      </c>
      <c r="AW1234" s="105">
        <f>IFERROR(SUM(AX1234:AZ1234),"")</f>
        <v/>
      </c>
      <c r="AX1234" s="105">
        <f>IFERROR(BH1234,"")</f>
        <v/>
      </c>
      <c r="AY1234" s="105">
        <f>IFERROR(Driver!$K$19/Data!BH1234/Data!BI1234*Data!BK1234*Data!BL1234,"")</f>
        <v/>
      </c>
      <c r="AZ1234" s="105">
        <f>IFERROR(BI1234*BN1234,"")</f>
        <v/>
      </c>
      <c r="BA1234" s="105" t="n"/>
      <c r="BB1234" s="105" t="n"/>
      <c r="BC1234" s="105">
        <f>IFERROR(BI1234*BN1234*BK1234/BJ1234^(1/2),"")</f>
        <v/>
      </c>
      <c r="BD1234" s="105">
        <f>IFERROR(BH1234*BM1234*BL1234/BJ1234/BK1234,"")</f>
        <v/>
      </c>
      <c r="BE1234" s="105">
        <f>IFERROR(MIN(BI1234/BQ1234/BP1234/BO1234/BH1234,$BE$1),"")</f>
        <v/>
      </c>
      <c r="BF1234" s="105">
        <f>IFERROR(BJ1234*BO1234*BP1234/BK1234,"")</f>
        <v/>
      </c>
      <c r="BG1234" s="105">
        <f>IFERROR(1/BM1234/BH1234*BQ1234,"")</f>
        <v/>
      </c>
      <c r="BH1234" s="102">
        <f>MAX((CE1234-Driver!$F$200)/(Driver!$G$200-Driver!$F$200)*$BI$1,1)</f>
        <v/>
      </c>
      <c r="BI1234" s="102">
        <f>MAX($BI$1*(BY1234-Driver!$F$201)/(Driver!$G$201-Driver!$F$201),1)</f>
        <v/>
      </c>
      <c r="BJ1234" s="102">
        <f>(CB1234-Driver!$F$206)/(Driver!$G$206-Driver!$F$206)*$BI$1</f>
        <v/>
      </c>
      <c r="BK1234" s="102">
        <f>(CD1234-Driver!$F$203)/(Driver!$G$203-Driver!$F$203)*$BI$1</f>
        <v/>
      </c>
      <c r="BL1234" s="102">
        <f>MAX((CR1234-Driver!$F$202)/(Driver!$G$202-Driver!$F$202)*$BI$1,1)</f>
        <v/>
      </c>
      <c r="BM1234" s="102">
        <f>MAX((CH1234-Driver!$F$204)/(Driver!$G$204-Driver!$F$204)*$BI$1,1)</f>
        <v/>
      </c>
      <c r="BN1234" s="102">
        <f>(CI1234-Driver!$F$205)/(Driver!$G$205-Driver!$F$205)*$BI$1</f>
        <v/>
      </c>
      <c r="BO1234" s="102">
        <f>(CK1234-Driver!$F$207)/(Driver!$G$207-Driver!$F$207)*$BI$1</f>
        <v/>
      </c>
      <c r="BP1234" s="102">
        <f>(CM1234-Driver!$F$208)/(Driver!$G$208-Driver!$F$208)*$BI$1</f>
        <v/>
      </c>
      <c r="BQ1234" s="102">
        <f>(CL1234-Driver!$F$209)/(Driver!$G$209-Driver!$F$209)*$BI$1</f>
        <v/>
      </c>
      <c r="BR1234" s="40" t="inlineStr">
        <is>
          <t>21/22</t>
        </is>
      </c>
      <c r="BS1234" s="10" t="inlineStr">
        <is>
          <t xml:space="preserve"> Black Crows</t>
        </is>
      </c>
      <c r="BT1234" s="11" t="inlineStr">
        <is>
          <t>Nocta</t>
        </is>
      </c>
      <c r="BU1234" s="13" t="n">
        <v>190.6</v>
      </c>
      <c r="BV1234" s="11" t="inlineStr">
        <is>
          <t xml:space="preserve"> Unisex</t>
        </is>
      </c>
      <c r="BW1234" s="13" t="n">
        <v>190.6</v>
      </c>
      <c r="BX1234" s="13" t="n">
        <v>191</v>
      </c>
      <c r="BY1234" s="13" t="n">
        <v>0</v>
      </c>
      <c r="BZ1234" s="13" t="n">
        <v>142</v>
      </c>
      <c r="CA1234" s="13" t="n">
        <v>140</v>
      </c>
      <c r="CB1234" s="13" t="n">
        <v>121</v>
      </c>
      <c r="CC1234" s="13" t="n">
        <v>133</v>
      </c>
      <c r="CD1234" s="13" t="n">
        <v>27.5</v>
      </c>
      <c r="CE1234" s="13" t="n">
        <v>2228</v>
      </c>
      <c r="CF1234" s="13" t="n">
        <v>1.09</v>
      </c>
      <c r="CG1234" s="13" t="n">
        <v>2427</v>
      </c>
      <c r="CH1234" s="13" t="n">
        <v>235</v>
      </c>
      <c r="CI1234" s="13" t="n">
        <v>103</v>
      </c>
      <c r="CJ1234" s="13" t="n">
        <v>54</v>
      </c>
      <c r="CK1234" s="13" t="n">
        <v>1010</v>
      </c>
      <c r="CL1234" s="13" t="n">
        <v>51</v>
      </c>
      <c r="CM1234" s="13" t="n">
        <v>900</v>
      </c>
      <c r="CN1234" s="13" t="n">
        <v>0.9370000000000001</v>
      </c>
      <c r="CO1234" s="13" t="n">
        <v>255</v>
      </c>
      <c r="CP1234" s="13" t="n">
        <v>232</v>
      </c>
      <c r="CQ1234" s="13" t="n">
        <v>755</v>
      </c>
      <c r="CR1234" s="13" t="n">
        <v>-4</v>
      </c>
      <c r="CS1234" s="13" t="n">
        <v>5.5</v>
      </c>
      <c r="CT1234" s="11" t="inlineStr">
        <is>
          <t xml:space="preserve"> Freeski</t>
        </is>
      </c>
      <c r="CU1234" s="11" t="inlineStr">
        <is>
          <t xml:space="preserve"> Powder</t>
        </is>
      </c>
      <c r="CV1234" s="11" t="inlineStr">
        <is>
          <t xml:space="preserve"> Touring</t>
        </is>
      </c>
      <c r="CW1234" s="13" t="n"/>
      <c r="CX1234">
        <f>INDEX('Data_Price '!AG$2:AG$1266,MATCH(Data!$DN1234,'Data_Price '!$AT$2:$AT$1266,0))</f>
        <v/>
      </c>
      <c r="CY1234">
        <f>INDEX('Data_Price '!AH$2:AH$1266,MATCH(Data!$DN1234,'Data_Price '!$AT$2:$AT$1266,0))</f>
        <v/>
      </c>
      <c r="CZ1234">
        <f>INDEX('Data_Price '!AI$2:AI$1266,MATCH(Data!$DN1234,'Data_Price '!$AT$2:$AT$1266,0))</f>
        <v/>
      </c>
      <c r="DA1234">
        <f>INDEX('Data_Price '!AJ$2:AJ$1266,MATCH(Data!$DN1234,'Data_Price '!$AT$2:$AT$1266,0))</f>
        <v/>
      </c>
      <c r="DB1234">
        <f>INDEX('Data_Price '!AK$2:AK$1266,MATCH(Data!$DN1234,'Data_Price '!$AT$2:$AT$1266,0))</f>
        <v/>
      </c>
      <c r="DC1234">
        <f>INDEX('Data_Price '!AL$2:AL$1266,MATCH(Data!$DN1234,'Data_Price '!$AT$2:$AT$1266,0))</f>
        <v/>
      </c>
      <c r="DD1234">
        <f>INDEX('Data_Price '!AM$2:AM$1266,MATCH(Data!$DN1234,'Data_Price '!$AT$2:$AT$1266,0))</f>
        <v/>
      </c>
      <c r="DE1234">
        <f>INDEX('Data_Price '!AN$2:AN$1266,MATCH(Data!$DN1234,'Data_Price '!$AT$2:$AT$1266,0))</f>
        <v/>
      </c>
      <c r="DF1234">
        <f>INDEX('Data_Price '!AO$2:AO$1266,MATCH(Data!$DN1234,'Data_Price '!$AT$2:$AT$1266,0))</f>
        <v/>
      </c>
      <c r="DG1234">
        <f>INDEX('Data_Price '!AP$2:AP$1266,MATCH(Data!$DN1234,'Data_Price '!$AT$2:$AT$1266,0))</f>
        <v/>
      </c>
      <c r="DH1234">
        <f>INDEX('Data_Price '!AQ$2:AQ$1266,MATCH(Data!$DN1234,'Data_Price '!$AT$2:$AT$1266,0))</f>
        <v/>
      </c>
      <c r="DI1234">
        <f>INDEX('Data_Price '!AR$2:AR$1266,MATCH(Data!$DN1234,'Data_Price '!$AT$2:$AT$1266,0))</f>
        <v/>
      </c>
      <c r="DJ1234" s="138">
        <f>DA1234</f>
        <v/>
      </c>
      <c r="DK1234" s="138">
        <f>DE1234</f>
        <v/>
      </c>
      <c r="DL1234" s="138">
        <f>DI1234</f>
        <v/>
      </c>
      <c r="DM1234" s="303">
        <f>IF(LEFT(BT1234,1)=" ",RIGHT(BT1234,LEN(BT1234)-1),BT1234)</f>
        <v/>
      </c>
      <c r="DN1234" s="138">
        <f>_xlfn.CONCAT(BS1234,DM1234,BU1234,BV1234)</f>
        <v/>
      </c>
      <c r="DO1234" s="307" t="inlineStr">
        <is>
          <t>https://images.evo.com/imgp/250/181601/727255/black-crows-nocta-skis-2022-.jpg</t>
        </is>
      </c>
    </row>
    <row r="1235" ht="15.6" customHeight="1" s="184">
      <c r="B1235" s="303">
        <f t="array" ref="B1235">IF(OR(ISERROR(K1235:P1235)),FALSE,TRUE)</f>
        <v/>
      </c>
      <c r="C1235" s="60">
        <f>OR(BR1235=Driver!$G$50,Data!BR996=Driver!$H$50)</f>
        <v/>
      </c>
      <c r="D1235" s="60">
        <f>OR(BV1235=Driver!$G$51,BV1235=Driver!$H$51)</f>
        <v/>
      </c>
      <c r="E1235" s="60">
        <f>AND(BX1235&gt;Driver!$F$54,BX1235&lt;Driver!$G$54)</f>
        <v/>
      </c>
      <c r="F1235" s="60">
        <f>CL1235&gt;Driver!$F$56</f>
        <v/>
      </c>
      <c r="G1235" s="60">
        <f>AND(CB1235&gt;Driver!$F$55,CB1235&lt;Driver!$G$55)</f>
        <v/>
      </c>
      <c r="H1235" s="60">
        <f>AND(B1235:G1235)</f>
        <v/>
      </c>
      <c r="I1235" s="60">
        <f>COUNTIFS($H$9:$H$1273,TRUE,$BT$9:$BT$1273,BT1235)</f>
        <v/>
      </c>
      <c r="J1235" s="60">
        <f t="array" ref="J1235">NOT(OR(($H$9:$H$1273=TRUE)*($I$9:$I$1273&gt;0)*($BT$9:$BT$1273=BT1235)*($K$9:$K$1273&gt;K1235)))</f>
        <v/>
      </c>
      <c r="K1235" s="108">
        <f>IFERROR(1-AVERAGE(X1235:Y1235),"")</f>
        <v/>
      </c>
      <c r="L1235" s="108">
        <f>1-X1235</f>
        <v/>
      </c>
      <c r="M1235" s="108">
        <f>1-Y1235</f>
        <v/>
      </c>
      <c r="N1235" s="108">
        <f>1-Z1235</f>
        <v/>
      </c>
      <c r="O1235" s="108">
        <f>1-AA1235</f>
        <v/>
      </c>
      <c r="P1235" s="108">
        <f>1-AB1235</f>
        <v/>
      </c>
      <c r="Q1235" s="108" t="n"/>
      <c r="R1235" s="108" t="n"/>
      <c r="S1235" s="108">
        <f>1-AE1235</f>
        <v/>
      </c>
      <c r="T1235" s="108">
        <f>1-AF1235</f>
        <v/>
      </c>
      <c r="U1235" s="108">
        <f>1-AG1235</f>
        <v/>
      </c>
      <c r="V1235" s="108">
        <f>1-AH1235</f>
        <v/>
      </c>
      <c r="W1235" s="108">
        <f>1-AI1235</f>
        <v/>
      </c>
      <c r="X1235" s="108">
        <f>ABS(AJ1235-AJ$1)</f>
        <v/>
      </c>
      <c r="Y1235" s="108">
        <f>AVERAGE(Z1235:AB1235)</f>
        <v/>
      </c>
      <c r="Z1235" s="108">
        <f>ABS(AL1235-AL$1)</f>
        <v/>
      </c>
      <c r="AA1235" s="108">
        <f>ABS(AM1235-AM$1)</f>
        <v/>
      </c>
      <c r="AB1235" s="108">
        <f>ABS(AN1235-AN$1)</f>
        <v/>
      </c>
      <c r="AC1235" s="108" t="n"/>
      <c r="AD1235" s="108" t="n"/>
      <c r="AE1235" s="108">
        <f>ABS(AQ$1-AQ1235)</f>
        <v/>
      </c>
      <c r="AF1235" s="108">
        <f>ABS(AR$1-AR1235)</f>
        <v/>
      </c>
      <c r="AG1235" s="108">
        <f>ABS(AS$1-AS1235)</f>
        <v/>
      </c>
      <c r="AH1235" s="108">
        <f>ABS(AT$1-AT1235)</f>
        <v/>
      </c>
      <c r="AI1235" s="108">
        <f>ABS(AU$1-AU1235)</f>
        <v/>
      </c>
      <c r="AJ1235" s="108">
        <f>(AV1235-Driver!$K$179)/(Driver!$L$179-Driver!$K$179)</f>
        <v/>
      </c>
      <c r="AK1235" s="108">
        <f>(AW1235-Driver!$K$180)/(Driver!$L$180-Driver!$K$180)</f>
        <v/>
      </c>
      <c r="AL1235" s="108">
        <f>(AX1235-Driver!$K$181)/(Driver!$L$181-Driver!$K$181)</f>
        <v/>
      </c>
      <c r="AM1235" s="108">
        <f>(AY1235-Driver!$K$182)/(Driver!$L$182-Driver!$K$182)</f>
        <v/>
      </c>
      <c r="AN1235" s="108">
        <f>(AZ1235-Driver!$K$183)/(Driver!$L$183-Driver!$K$183)</f>
        <v/>
      </c>
      <c r="AO1235" s="108" t="n"/>
      <c r="AP1235" s="108" t="n"/>
      <c r="AQ1235" s="108">
        <f>(BC1235-Driver!$K$188)/(Driver!$L$188-Driver!$K$188)</f>
        <v/>
      </c>
      <c r="AR1235" s="108">
        <f>MIN((BD1235-Driver!$K$189)/(Driver!$L$189-Driver!$K$189),100%)</f>
        <v/>
      </c>
      <c r="AS1235" s="108">
        <f>(BE1235-Driver!$K$190)/(Driver!$L$190-Driver!$K$190)</f>
        <v/>
      </c>
      <c r="AT1235" s="108">
        <f>(BF1235-Driver!$K$191)/(Driver!$L$191-Driver!$K$191)</f>
        <v/>
      </c>
      <c r="AU1235" s="108">
        <f>(BG1235-Driver!$K$192)/(Driver!$L$192-Driver!$K$192)</f>
        <v/>
      </c>
      <c r="AV1235" s="105">
        <f>IFERROR(BM1235*BJ1235^1/4,"")</f>
        <v/>
      </c>
      <c r="AW1235" s="105">
        <f>IFERROR(SUM(AX1235:AZ1235),"")</f>
        <v/>
      </c>
      <c r="AX1235" s="105">
        <f>IFERROR(BH1235,"")</f>
        <v/>
      </c>
      <c r="AY1235" s="105">
        <f>IFERROR(Driver!$K$19/Data!BH1235/Data!BI1235*Data!BK1235*Data!BL1235,"")</f>
        <v/>
      </c>
      <c r="AZ1235" s="105">
        <f>IFERROR(BI1235*BN1235,"")</f>
        <v/>
      </c>
      <c r="BA1235" s="105" t="n"/>
      <c r="BB1235" s="105" t="n"/>
      <c r="BC1235" s="105">
        <f>IFERROR(BI1235*BN1235*BK1235/BJ1235^(1/2),"")</f>
        <v/>
      </c>
      <c r="BD1235" s="105">
        <f>IFERROR(BH1235*BM1235*BL1235/BJ1235/BK1235,"")</f>
        <v/>
      </c>
      <c r="BE1235" s="105">
        <f>IFERROR(MIN(BI1235/BQ1235/BP1235/BO1235/BH1235,$BE$1),"")</f>
        <v/>
      </c>
      <c r="BF1235" s="105">
        <f>IFERROR(BJ1235*BO1235*BP1235/BK1235,"")</f>
        <v/>
      </c>
      <c r="BG1235" s="105">
        <f>IFERROR(1/BM1235/BH1235*BQ1235,"")</f>
        <v/>
      </c>
      <c r="BH1235" s="102">
        <f>MAX((CE1235-Driver!$F$200)/(Driver!$G$200-Driver!$F$200)*$BI$1,1)</f>
        <v/>
      </c>
      <c r="BI1235" s="102">
        <f>MAX($BI$1*(BY1235-Driver!$F$201)/(Driver!$G$201-Driver!$F$201),1)</f>
        <v/>
      </c>
      <c r="BJ1235" s="102">
        <f>(CB1235-Driver!$F$206)/(Driver!$G$206-Driver!$F$206)*$BI$1</f>
        <v/>
      </c>
      <c r="BK1235" s="102">
        <f>(CD1235-Driver!$F$203)/(Driver!$G$203-Driver!$F$203)*$BI$1</f>
        <v/>
      </c>
      <c r="BL1235" s="102">
        <f>MAX((CR1235-Driver!$F$202)/(Driver!$G$202-Driver!$F$202)*$BI$1,1)</f>
        <v/>
      </c>
      <c r="BM1235" s="102">
        <f>MAX((CH1235-Driver!$F$204)/(Driver!$G$204-Driver!$F$204)*$BI$1,1)</f>
        <v/>
      </c>
      <c r="BN1235" s="102">
        <f>(CI1235-Driver!$F$205)/(Driver!$G$205-Driver!$F$205)*$BI$1</f>
        <v/>
      </c>
      <c r="BO1235" s="102">
        <f>(CK1235-Driver!$F$207)/(Driver!$G$207-Driver!$F$207)*$BI$1</f>
        <v/>
      </c>
      <c r="BP1235" s="102">
        <f>(CM1235-Driver!$F$208)/(Driver!$G$208-Driver!$F$208)*$BI$1</f>
        <v/>
      </c>
      <c r="BQ1235" s="102">
        <f>(CL1235-Driver!$F$209)/(Driver!$G$209-Driver!$F$209)*$BI$1</f>
        <v/>
      </c>
      <c r="BR1235" s="40" t="inlineStr">
        <is>
          <t>21/22</t>
        </is>
      </c>
      <c r="BS1235" s="10" t="inlineStr">
        <is>
          <t xml:space="preserve"> Rossignol</t>
        </is>
      </c>
      <c r="BT1235" s="11" t="inlineStr">
        <is>
          <t>Blackops Whizbanger</t>
        </is>
      </c>
      <c r="BU1235" s="13" t="n">
        <v>148</v>
      </c>
      <c r="BV1235" s="11" t="inlineStr">
        <is>
          <t xml:space="preserve"> Unisex</t>
        </is>
      </c>
      <c r="BW1235" s="13" t="n">
        <v>148</v>
      </c>
      <c r="BX1235" s="13" t="n">
        <v>147.3</v>
      </c>
      <c r="BY1235" s="13" t="n">
        <v>119</v>
      </c>
      <c r="BZ1235" s="13" t="n">
        <v>129</v>
      </c>
      <c r="CA1235" s="13" t="n">
        <v>105</v>
      </c>
      <c r="CB1235" s="13" t="n">
        <v>75</v>
      </c>
      <c r="CC1235" s="13" t="n">
        <v>99</v>
      </c>
      <c r="CD1235" s="13" t="n">
        <v>14.7</v>
      </c>
      <c r="CE1235" s="13" t="n">
        <v>1161</v>
      </c>
      <c r="CF1235" s="13" t="n">
        <v>1.08</v>
      </c>
      <c r="CG1235" s="13" t="n">
        <v>1252</v>
      </c>
      <c r="CH1235" s="13" t="n">
        <v>117</v>
      </c>
      <c r="CI1235" s="13" t="n">
        <v>45</v>
      </c>
      <c r="CJ1235" s="13" t="n">
        <v>40</v>
      </c>
      <c r="CK1235" s="13" t="n">
        <v>144</v>
      </c>
      <c r="CL1235" s="13" t="n">
        <v>36</v>
      </c>
      <c r="CM1235" s="13" t="n">
        <v>136</v>
      </c>
      <c r="CN1235" s="13" t="n">
        <v>0.896</v>
      </c>
      <c r="CO1235" s="13" t="n">
        <v>95</v>
      </c>
      <c r="CP1235" s="13" t="n">
        <v>90</v>
      </c>
      <c r="CQ1235" s="13" t="n">
        <v>49</v>
      </c>
      <c r="CR1235" s="13" t="n">
        <v>11</v>
      </c>
      <c r="CS1235" s="13" t="n">
        <v>5.4</v>
      </c>
      <c r="CT1235" s="11" t="inlineStr">
        <is>
          <t xml:space="preserve"> Freeski</t>
        </is>
      </c>
      <c r="CU1235" s="11" t="inlineStr">
        <is>
          <t xml:space="preserve"> Touring</t>
        </is>
      </c>
      <c r="CV1235" s="13" t="n"/>
      <c r="CW1235" s="13" t="n"/>
      <c r="CX1235">
        <f>INDEX('Data_Price '!AG$2:AG$1266,MATCH(Data!$DN1235,'Data_Price '!$AT$2:$AT$1266,0))</f>
        <v/>
      </c>
      <c r="CY1235">
        <f>INDEX('Data_Price '!AH$2:AH$1266,MATCH(Data!$DN1235,'Data_Price '!$AT$2:$AT$1266,0))</f>
        <v/>
      </c>
      <c r="CZ1235">
        <f>INDEX('Data_Price '!AI$2:AI$1266,MATCH(Data!$DN1235,'Data_Price '!$AT$2:$AT$1266,0))</f>
        <v/>
      </c>
      <c r="DA1235">
        <f>INDEX('Data_Price '!AJ$2:AJ$1266,MATCH(Data!$DN1235,'Data_Price '!$AT$2:$AT$1266,0))</f>
        <v/>
      </c>
      <c r="DB1235">
        <f>INDEX('Data_Price '!AK$2:AK$1266,MATCH(Data!$DN1235,'Data_Price '!$AT$2:$AT$1266,0))</f>
        <v/>
      </c>
      <c r="DC1235">
        <f>INDEX('Data_Price '!AL$2:AL$1266,MATCH(Data!$DN1235,'Data_Price '!$AT$2:$AT$1266,0))</f>
        <v/>
      </c>
      <c r="DD1235">
        <f>INDEX('Data_Price '!AM$2:AM$1266,MATCH(Data!$DN1235,'Data_Price '!$AT$2:$AT$1266,0))</f>
        <v/>
      </c>
      <c r="DE1235">
        <f>INDEX('Data_Price '!AN$2:AN$1266,MATCH(Data!$DN1235,'Data_Price '!$AT$2:$AT$1266,0))</f>
        <v/>
      </c>
      <c r="DF1235">
        <f>INDEX('Data_Price '!AO$2:AO$1266,MATCH(Data!$DN1235,'Data_Price '!$AT$2:$AT$1266,0))</f>
        <v/>
      </c>
      <c r="DG1235">
        <f>INDEX('Data_Price '!AP$2:AP$1266,MATCH(Data!$DN1235,'Data_Price '!$AT$2:$AT$1266,0))</f>
        <v/>
      </c>
      <c r="DH1235">
        <f>INDEX('Data_Price '!AQ$2:AQ$1266,MATCH(Data!$DN1235,'Data_Price '!$AT$2:$AT$1266,0))</f>
        <v/>
      </c>
      <c r="DI1235">
        <f>INDEX('Data_Price '!AR$2:AR$1266,MATCH(Data!$DN1235,'Data_Price '!$AT$2:$AT$1266,0))</f>
        <v/>
      </c>
      <c r="DJ1235" s="138">
        <f>DA1235</f>
        <v/>
      </c>
      <c r="DK1235" s="138">
        <f>DE1235</f>
        <v/>
      </c>
      <c r="DL1235" s="138">
        <f>DI1235</f>
        <v/>
      </c>
      <c r="DM1235" s="303">
        <f>IF(LEFT(BT1235,1)=" ",RIGHT(BT1235,LEN(BT1235)-1),BT1235)</f>
        <v/>
      </c>
      <c r="DN1235" s="138">
        <f>_xlfn.CONCAT(BS1235,DM1235,BU1235,BV1235)</f>
        <v/>
      </c>
      <c r="DO1235" s="307" t="n"/>
    </row>
    <row r="1236" ht="15.6" customHeight="1" s="184">
      <c r="B1236" s="303">
        <f t="array" ref="B1236">IF(OR(ISERROR(K1236:P1236)),FALSE,TRUE)</f>
        <v/>
      </c>
      <c r="C1236" s="60">
        <f>OR(BR1236=Driver!$G$50,Data!BR18=Driver!$H$50)</f>
        <v/>
      </c>
      <c r="D1236" s="60">
        <f>OR(BV1236=Driver!$G$51,BV1236=Driver!$H$51)</f>
        <v/>
      </c>
      <c r="E1236" s="60">
        <f>AND(BX1236&gt;Driver!$F$54,BX1236&lt;Driver!$G$54)</f>
        <v/>
      </c>
      <c r="F1236" s="60">
        <f>CL1236&gt;Driver!$F$56</f>
        <v/>
      </c>
      <c r="G1236" s="60">
        <f>AND(CB1236&gt;Driver!$F$55,CB1236&lt;Driver!$G$55)</f>
        <v/>
      </c>
      <c r="H1236" s="60">
        <f>AND(B1236:G1236)</f>
        <v/>
      </c>
      <c r="I1236" s="60">
        <f>COUNTIFS($H$9:$H$1273,TRUE,$BT$9:$BT$1273,BT1236)</f>
        <v/>
      </c>
      <c r="J1236" s="60">
        <f t="array" ref="J1236">NOT(OR(($H$9:$H$1273=TRUE)*($I$9:$I$1273&gt;0)*($BT$9:$BT$1273=BT1236)*($K$9:$K$1273&gt;K1236)))</f>
        <v/>
      </c>
      <c r="K1236" s="108">
        <f>IFERROR(1-AVERAGE(X1236:Y1236),"")</f>
        <v/>
      </c>
      <c r="L1236" s="108">
        <f>1-X1236</f>
        <v/>
      </c>
      <c r="M1236" s="108">
        <f>1-Y1236</f>
        <v/>
      </c>
      <c r="N1236" s="108">
        <f>1-Z1236</f>
        <v/>
      </c>
      <c r="O1236" s="108">
        <f>1-AA1236</f>
        <v/>
      </c>
      <c r="P1236" s="108">
        <f>1-AB1236</f>
        <v/>
      </c>
      <c r="Q1236" s="108" t="n"/>
      <c r="R1236" s="108" t="n"/>
      <c r="S1236" s="108">
        <f>1-AE1236</f>
        <v/>
      </c>
      <c r="T1236" s="108">
        <f>1-AF1236</f>
        <v/>
      </c>
      <c r="U1236" s="108">
        <f>1-AG1236</f>
        <v/>
      </c>
      <c r="V1236" s="108">
        <f>1-AH1236</f>
        <v/>
      </c>
      <c r="W1236" s="108">
        <f>1-AI1236</f>
        <v/>
      </c>
      <c r="X1236" s="108">
        <f>ABS(AJ1236-AJ$1)</f>
        <v/>
      </c>
      <c r="Y1236" s="108">
        <f>AVERAGE(Z1236:AB1236)</f>
        <v/>
      </c>
      <c r="Z1236" s="108">
        <f>ABS(AL1236-AL$1)</f>
        <v/>
      </c>
      <c r="AA1236" s="108">
        <f>ABS(AM1236-AM$1)</f>
        <v/>
      </c>
      <c r="AB1236" s="108">
        <f>ABS(AN1236-AN$1)</f>
        <v/>
      </c>
      <c r="AC1236" s="108" t="n"/>
      <c r="AD1236" s="108" t="n"/>
      <c r="AE1236" s="108">
        <f>ABS(AQ$1-AQ1236)</f>
        <v/>
      </c>
      <c r="AF1236" s="108">
        <f>ABS(AR$1-AR1236)</f>
        <v/>
      </c>
      <c r="AG1236" s="108">
        <f>ABS(AS$1-AS1236)</f>
        <v/>
      </c>
      <c r="AH1236" s="108">
        <f>ABS(AT$1-AT1236)</f>
        <v/>
      </c>
      <c r="AI1236" s="108">
        <f>ABS(AU$1-AU1236)</f>
        <v/>
      </c>
      <c r="AJ1236" s="108">
        <f>(AV1236-Driver!$K$179)/(Driver!$L$179-Driver!$K$179)</f>
        <v/>
      </c>
      <c r="AK1236" s="108">
        <f>(AW1236-Driver!$K$180)/(Driver!$L$180-Driver!$K$180)</f>
        <v/>
      </c>
      <c r="AL1236" s="108">
        <f>(AX1236-Driver!$K$181)/(Driver!$L$181-Driver!$K$181)</f>
        <v/>
      </c>
      <c r="AM1236" s="108">
        <f>(AY1236-Driver!$K$182)/(Driver!$L$182-Driver!$K$182)</f>
        <v/>
      </c>
      <c r="AN1236" s="108">
        <f>(AZ1236-Driver!$K$183)/(Driver!$L$183-Driver!$K$183)</f>
        <v/>
      </c>
      <c r="AO1236" s="108" t="n"/>
      <c r="AP1236" s="108" t="n"/>
      <c r="AQ1236" s="108">
        <f>(BC1236-Driver!$K$188)/(Driver!$L$188-Driver!$K$188)</f>
        <v/>
      </c>
      <c r="AR1236" s="108">
        <f>MIN((BD1236-Driver!$K$189)/(Driver!$L$189-Driver!$K$189),100%)</f>
        <v/>
      </c>
      <c r="AS1236" s="108">
        <f>(BE1236-Driver!$K$190)/(Driver!$L$190-Driver!$K$190)</f>
        <v/>
      </c>
      <c r="AT1236" s="108">
        <f>(BF1236-Driver!$K$191)/(Driver!$L$191-Driver!$K$191)</f>
        <v/>
      </c>
      <c r="AU1236" s="108">
        <f>(BG1236-Driver!$K$192)/(Driver!$L$192-Driver!$K$192)</f>
        <v/>
      </c>
      <c r="AV1236" s="105">
        <f>IFERROR(BM1236*BJ1236^1/4,"")</f>
        <v/>
      </c>
      <c r="AW1236" s="105">
        <f>IFERROR(SUM(AX1236:AZ1236),"")</f>
        <v/>
      </c>
      <c r="AX1236" s="105">
        <f>IFERROR(BH1236,"")</f>
        <v/>
      </c>
      <c r="AY1236" s="105">
        <f>IFERROR(Driver!$K$19/Data!BH1236/Data!BI1236*Data!BK1236*Data!BL1236,"")</f>
        <v/>
      </c>
      <c r="AZ1236" s="105">
        <f>IFERROR(BI1236*BN1236,"")</f>
        <v/>
      </c>
      <c r="BA1236" s="105" t="n"/>
      <c r="BB1236" s="105" t="n"/>
      <c r="BC1236" s="105">
        <f>IFERROR(BI1236*BN1236*BK1236/BJ1236^(1/2),"")</f>
        <v/>
      </c>
      <c r="BD1236" s="105">
        <f>IFERROR(BH1236*BM1236*BL1236/BJ1236/BK1236,"")</f>
        <v/>
      </c>
      <c r="BE1236" s="105">
        <f>IFERROR(MIN(BI1236/BQ1236/BP1236/BO1236/BH1236,$BE$1),"")</f>
        <v/>
      </c>
      <c r="BF1236" s="105">
        <f>IFERROR(BJ1236*BO1236*BP1236/BK1236,"")</f>
        <v/>
      </c>
      <c r="BG1236" s="105">
        <f>IFERROR(1/BM1236/BH1236*BQ1236,"")</f>
        <v/>
      </c>
      <c r="BH1236" s="102">
        <f>MAX((CE1236-Driver!$F$200)/(Driver!$G$200-Driver!$F$200)*$BI$1,1)</f>
        <v/>
      </c>
      <c r="BI1236" s="102">
        <f>MAX($BI$1*(BY1236-Driver!$F$201)/(Driver!$G$201-Driver!$F$201),1)</f>
        <v/>
      </c>
      <c r="BJ1236" s="102">
        <f>(CB1236-Driver!$F$206)/(Driver!$G$206-Driver!$F$206)*$BI$1</f>
        <v/>
      </c>
      <c r="BK1236" s="102">
        <f>(CD1236-Driver!$F$203)/(Driver!$G$203-Driver!$F$203)*$BI$1</f>
        <v/>
      </c>
      <c r="BL1236" s="102">
        <f>MAX((CR1236-Driver!$F$202)/(Driver!$G$202-Driver!$F$202)*$BI$1,1)</f>
        <v/>
      </c>
      <c r="BM1236" s="102">
        <f>MAX((CH1236-Driver!$F$204)/(Driver!$G$204-Driver!$F$204)*$BI$1,1)</f>
        <v/>
      </c>
      <c r="BN1236" s="102">
        <f>(CI1236-Driver!$F$205)/(Driver!$G$205-Driver!$F$205)*$BI$1</f>
        <v/>
      </c>
      <c r="BO1236" s="102">
        <f>(CK1236-Driver!$F$207)/(Driver!$G$207-Driver!$F$207)*$BI$1</f>
        <v/>
      </c>
      <c r="BP1236" s="102">
        <f>(CM1236-Driver!$F$208)/(Driver!$G$208-Driver!$F$208)*$BI$1</f>
        <v/>
      </c>
      <c r="BQ1236" s="102">
        <f>(CL1236-Driver!$F$209)/(Driver!$G$209-Driver!$F$209)*$BI$1</f>
        <v/>
      </c>
      <c r="BR1236" s="40" t="inlineStr">
        <is>
          <t>21/22</t>
        </is>
      </c>
      <c r="BS1236" s="10" t="inlineStr">
        <is>
          <t xml:space="preserve"> 4FRNT</t>
        </is>
      </c>
      <c r="BT1236" s="11" t="inlineStr">
        <is>
          <t>Inthayne</t>
        </is>
      </c>
      <c r="BU1236" s="13" t="n">
        <v>188</v>
      </c>
      <c r="BV1236" s="11" t="inlineStr">
        <is>
          <t xml:space="preserve"> Unisex</t>
        </is>
      </c>
      <c r="BW1236" s="13" t="n">
        <v>188</v>
      </c>
      <c r="BX1236" s="13" t="n">
        <v>185.7</v>
      </c>
      <c r="BY1236" s="13" t="n">
        <v>0</v>
      </c>
      <c r="BZ1236" s="13" t="n">
        <v>136</v>
      </c>
      <c r="CA1236" s="13" t="n">
        <v>137</v>
      </c>
      <c r="CB1236" s="13" t="n">
        <v>117</v>
      </c>
      <c r="CC1236" s="13" t="n">
        <v>128</v>
      </c>
      <c r="CD1236" s="13" t="n">
        <v>25.5</v>
      </c>
      <c r="CE1236" s="13" t="n">
        <v>1998</v>
      </c>
      <c r="CF1236" s="13" t="n">
        <v>1.14</v>
      </c>
      <c r="CG1236" s="13" t="n">
        <v>2273</v>
      </c>
      <c r="CH1236" s="13" t="n">
        <v>275</v>
      </c>
      <c r="CI1236" s="13" t="n">
        <v>106</v>
      </c>
      <c r="CJ1236" s="13" t="n">
        <v>61</v>
      </c>
      <c r="CK1236" s="13" t="n">
        <v>989</v>
      </c>
      <c r="CL1236" s="13" t="n">
        <v>51</v>
      </c>
      <c r="CM1236" s="13" t="n">
        <v>868</v>
      </c>
      <c r="CN1236" s="13" t="n">
        <v>0.837</v>
      </c>
      <c r="CO1236" s="13" t="n">
        <v>229</v>
      </c>
      <c r="CP1236" s="13" t="n">
        <v>272</v>
      </c>
      <c r="CQ1236" s="13" t="n">
        <v>760</v>
      </c>
      <c r="CR1236" s="13" t="n">
        <v>-3</v>
      </c>
      <c r="CS1236" s="13" t="n">
        <v>6</v>
      </c>
      <c r="CT1236" s="11" t="inlineStr">
        <is>
          <t xml:space="preserve"> Freeski</t>
        </is>
      </c>
      <c r="CU1236" s="11" t="inlineStr">
        <is>
          <t xml:space="preserve"> Powder</t>
        </is>
      </c>
      <c r="CV1236" s="11" t="inlineStr">
        <is>
          <t xml:space="preserve"> Touring</t>
        </is>
      </c>
      <c r="CW1236" s="13" t="n"/>
      <c r="CX1236">
        <f>INDEX('Data_Price '!AG$2:AG$1266,MATCH(Data!$DN1236,'Data_Price '!$AT$2:$AT$1266,0))</f>
        <v/>
      </c>
      <c r="CY1236">
        <f>INDEX('Data_Price '!AH$2:AH$1266,MATCH(Data!$DN1236,'Data_Price '!$AT$2:$AT$1266,0))</f>
        <v/>
      </c>
      <c r="CZ1236">
        <f>INDEX('Data_Price '!AI$2:AI$1266,MATCH(Data!$DN1236,'Data_Price '!$AT$2:$AT$1266,0))</f>
        <v/>
      </c>
      <c r="DA1236">
        <f>INDEX('Data_Price '!AJ$2:AJ$1266,MATCH(Data!$DN1236,'Data_Price '!$AT$2:$AT$1266,0))</f>
        <v/>
      </c>
      <c r="DB1236">
        <f>INDEX('Data_Price '!AK$2:AK$1266,MATCH(Data!$DN1236,'Data_Price '!$AT$2:$AT$1266,0))</f>
        <v/>
      </c>
      <c r="DC1236">
        <f>INDEX('Data_Price '!AL$2:AL$1266,MATCH(Data!$DN1236,'Data_Price '!$AT$2:$AT$1266,0))</f>
        <v/>
      </c>
      <c r="DD1236">
        <f>INDEX('Data_Price '!AM$2:AM$1266,MATCH(Data!$DN1236,'Data_Price '!$AT$2:$AT$1266,0))</f>
        <v/>
      </c>
      <c r="DE1236">
        <f>INDEX('Data_Price '!AN$2:AN$1266,MATCH(Data!$DN1236,'Data_Price '!$AT$2:$AT$1266,0))</f>
        <v/>
      </c>
      <c r="DF1236">
        <f>INDEX('Data_Price '!AO$2:AO$1266,MATCH(Data!$DN1236,'Data_Price '!$AT$2:$AT$1266,0))</f>
        <v/>
      </c>
      <c r="DG1236">
        <f>INDEX('Data_Price '!AP$2:AP$1266,MATCH(Data!$DN1236,'Data_Price '!$AT$2:$AT$1266,0))</f>
        <v/>
      </c>
      <c r="DH1236">
        <f>INDEX('Data_Price '!AQ$2:AQ$1266,MATCH(Data!$DN1236,'Data_Price '!$AT$2:$AT$1266,0))</f>
        <v/>
      </c>
      <c r="DI1236">
        <f>INDEX('Data_Price '!AR$2:AR$1266,MATCH(Data!$DN1236,'Data_Price '!$AT$2:$AT$1266,0))</f>
        <v/>
      </c>
      <c r="DJ1236" s="138">
        <f>DA1236</f>
        <v/>
      </c>
      <c r="DK1236" s="138">
        <f>DE1236</f>
        <v/>
      </c>
      <c r="DL1236" s="138">
        <f>DI1236</f>
        <v/>
      </c>
      <c r="DM1236" s="303">
        <f>IF(LEFT(BT1236,1)=" ",RIGHT(BT1236,LEN(BT1236)-1),BT1236)</f>
        <v/>
      </c>
      <c r="DN1236" s="138">
        <f>_xlfn.CONCAT(BS1236,DM1236,BU1236,BV1236)</f>
        <v/>
      </c>
      <c r="DO1236" s="307" t="n"/>
    </row>
    <row r="1237" ht="15.6" customHeight="1" s="184">
      <c r="B1237" s="303">
        <f t="array" ref="B1237">IF(OR(ISERROR(K1237:P1237)),FALSE,TRUE)</f>
        <v/>
      </c>
      <c r="C1237" s="60">
        <f>OR(BR1237=Driver!$G$50,Data!BR961=Driver!$H$50)</f>
        <v/>
      </c>
      <c r="D1237" s="60">
        <f>OR(BV1237=Driver!$G$51,BV1237=Driver!$H$51)</f>
        <v/>
      </c>
      <c r="E1237" s="60">
        <f>AND(BX1237&gt;Driver!$F$54,BX1237&lt;Driver!$G$54)</f>
        <v/>
      </c>
      <c r="F1237" s="60">
        <f>CL1237&gt;Driver!$F$56</f>
        <v/>
      </c>
      <c r="G1237" s="60">
        <f>AND(CB1237&gt;Driver!$F$55,CB1237&lt;Driver!$G$55)</f>
        <v/>
      </c>
      <c r="H1237" s="60">
        <f>AND(B1237:G1237)</f>
        <v/>
      </c>
      <c r="I1237" s="60">
        <f>COUNTIFS($H$9:$H$1273,TRUE,$BT$9:$BT$1273,BT1237)</f>
        <v/>
      </c>
      <c r="J1237" s="60">
        <f t="array" ref="J1237">NOT(OR(($H$9:$H$1273=TRUE)*($I$9:$I$1273&gt;0)*($BT$9:$BT$1273=BT1237)*($K$9:$K$1273&gt;K1237)))</f>
        <v/>
      </c>
      <c r="K1237" s="108">
        <f>IFERROR(1-AVERAGE(X1237:Y1237),"")</f>
        <v/>
      </c>
      <c r="L1237" s="108">
        <f>1-X1237</f>
        <v/>
      </c>
      <c r="M1237" s="108">
        <f>1-Y1237</f>
        <v/>
      </c>
      <c r="N1237" s="108">
        <f>1-Z1237</f>
        <v/>
      </c>
      <c r="O1237" s="108">
        <f>1-AA1237</f>
        <v/>
      </c>
      <c r="P1237" s="108">
        <f>1-AB1237</f>
        <v/>
      </c>
      <c r="Q1237" s="108" t="n"/>
      <c r="R1237" s="108" t="n"/>
      <c r="S1237" s="108">
        <f>1-AE1237</f>
        <v/>
      </c>
      <c r="T1237" s="108">
        <f>1-AF1237</f>
        <v/>
      </c>
      <c r="U1237" s="108">
        <f>1-AG1237</f>
        <v/>
      </c>
      <c r="V1237" s="108">
        <f>1-AH1237</f>
        <v/>
      </c>
      <c r="W1237" s="108">
        <f>1-AI1237</f>
        <v/>
      </c>
      <c r="X1237" s="108">
        <f>ABS(AJ1237-AJ$1)</f>
        <v/>
      </c>
      <c r="Y1237" s="108">
        <f>AVERAGE(Z1237:AB1237)</f>
        <v/>
      </c>
      <c r="Z1237" s="108">
        <f>ABS(AL1237-AL$1)</f>
        <v/>
      </c>
      <c r="AA1237" s="108">
        <f>ABS(AM1237-AM$1)</f>
        <v/>
      </c>
      <c r="AB1237" s="108">
        <f>ABS(AN1237-AN$1)</f>
        <v/>
      </c>
      <c r="AC1237" s="108" t="n"/>
      <c r="AD1237" s="108" t="n"/>
      <c r="AE1237" s="108">
        <f>ABS(AQ$1-AQ1237)</f>
        <v/>
      </c>
      <c r="AF1237" s="108">
        <f>ABS(AR$1-AR1237)</f>
        <v/>
      </c>
      <c r="AG1237" s="108">
        <f>ABS(AS$1-AS1237)</f>
        <v/>
      </c>
      <c r="AH1237" s="108">
        <f>ABS(AT$1-AT1237)</f>
        <v/>
      </c>
      <c r="AI1237" s="108">
        <f>ABS(AU$1-AU1237)</f>
        <v/>
      </c>
      <c r="AJ1237" s="108">
        <f>(AV1237-Driver!$K$179)/(Driver!$L$179-Driver!$K$179)</f>
        <v/>
      </c>
      <c r="AK1237" s="108">
        <f>(AW1237-Driver!$K$180)/(Driver!$L$180-Driver!$K$180)</f>
        <v/>
      </c>
      <c r="AL1237" s="108">
        <f>(AX1237-Driver!$K$181)/(Driver!$L$181-Driver!$K$181)</f>
        <v/>
      </c>
      <c r="AM1237" s="108">
        <f>(AY1237-Driver!$K$182)/(Driver!$L$182-Driver!$K$182)</f>
        <v/>
      </c>
      <c r="AN1237" s="108">
        <f>(AZ1237-Driver!$K$183)/(Driver!$L$183-Driver!$K$183)</f>
        <v/>
      </c>
      <c r="AO1237" s="108" t="n"/>
      <c r="AP1237" s="108" t="n"/>
      <c r="AQ1237" s="108">
        <f>(BC1237-Driver!$K$188)/(Driver!$L$188-Driver!$K$188)</f>
        <v/>
      </c>
      <c r="AR1237" s="108">
        <f>MIN((BD1237-Driver!$K$189)/(Driver!$L$189-Driver!$K$189),100%)</f>
        <v/>
      </c>
      <c r="AS1237" s="108">
        <f>(BE1237-Driver!$K$190)/(Driver!$L$190-Driver!$K$190)</f>
        <v/>
      </c>
      <c r="AT1237" s="108">
        <f>(BF1237-Driver!$K$191)/(Driver!$L$191-Driver!$K$191)</f>
        <v/>
      </c>
      <c r="AU1237" s="108">
        <f>(BG1237-Driver!$K$192)/(Driver!$L$192-Driver!$K$192)</f>
        <v/>
      </c>
      <c r="AV1237" s="105">
        <f>IFERROR(BM1237*BJ1237^1/4,"")</f>
        <v/>
      </c>
      <c r="AW1237" s="105">
        <f>IFERROR(SUM(AX1237:AZ1237),"")</f>
        <v/>
      </c>
      <c r="AX1237" s="105">
        <f>IFERROR(BH1237,"")</f>
        <v/>
      </c>
      <c r="AY1237" s="105">
        <f>IFERROR(Driver!$K$19/Data!BH1237/Data!BI1237*Data!BK1237*Data!BL1237,"")</f>
        <v/>
      </c>
      <c r="AZ1237" s="105">
        <f>IFERROR(BI1237*BN1237,"")</f>
        <v/>
      </c>
      <c r="BA1237" s="105" t="n"/>
      <c r="BB1237" s="105" t="n"/>
      <c r="BC1237" s="105">
        <f>IFERROR(BI1237*BN1237*BK1237/BJ1237^(1/2),"")</f>
        <v/>
      </c>
      <c r="BD1237" s="105">
        <f>IFERROR(BH1237*BM1237*BL1237/BJ1237/BK1237,"")</f>
        <v/>
      </c>
      <c r="BE1237" s="105">
        <f>IFERROR(MIN(BI1237/BQ1237/BP1237/BO1237/BH1237,$BE$1),"")</f>
        <v/>
      </c>
      <c r="BF1237" s="105">
        <f>IFERROR(BJ1237*BO1237*BP1237/BK1237,"")</f>
        <v/>
      </c>
      <c r="BG1237" s="105">
        <f>IFERROR(1/BM1237/BH1237*BQ1237,"")</f>
        <v/>
      </c>
      <c r="BH1237" s="102">
        <f>MAX((CE1237-Driver!$F$200)/(Driver!$G$200-Driver!$F$200)*$BI$1,1)</f>
        <v/>
      </c>
      <c r="BI1237" s="102">
        <f>MAX($BI$1*(BY1237-Driver!$F$201)/(Driver!$G$201-Driver!$F$201),1)</f>
        <v/>
      </c>
      <c r="BJ1237" s="102">
        <f>(CB1237-Driver!$F$206)/(Driver!$G$206-Driver!$F$206)*$BI$1</f>
        <v/>
      </c>
      <c r="BK1237" s="102">
        <f>(CD1237-Driver!$F$203)/(Driver!$G$203-Driver!$F$203)*$BI$1</f>
        <v/>
      </c>
      <c r="BL1237" s="102">
        <f>MAX((CR1237-Driver!$F$202)/(Driver!$G$202-Driver!$F$202)*$BI$1,1)</f>
        <v/>
      </c>
      <c r="BM1237" s="102">
        <f>MAX((CH1237-Driver!$F$204)/(Driver!$G$204-Driver!$F$204)*$BI$1,1)</f>
        <v/>
      </c>
      <c r="BN1237" s="102">
        <f>(CI1237-Driver!$F$205)/(Driver!$G$205-Driver!$F$205)*$BI$1</f>
        <v/>
      </c>
      <c r="BO1237" s="102">
        <f>(CK1237-Driver!$F$207)/(Driver!$G$207-Driver!$F$207)*$BI$1</f>
        <v/>
      </c>
      <c r="BP1237" s="102">
        <f>(CM1237-Driver!$F$208)/(Driver!$G$208-Driver!$F$208)*$BI$1</f>
        <v/>
      </c>
      <c r="BQ1237" s="102">
        <f>(CL1237-Driver!$F$209)/(Driver!$G$209-Driver!$F$209)*$BI$1</f>
        <v/>
      </c>
      <c r="BR1237" s="40" t="inlineStr">
        <is>
          <t>21/22</t>
        </is>
      </c>
      <c r="BS1237" s="10" t="inlineStr">
        <is>
          <t xml:space="preserve"> Raccoon</t>
        </is>
      </c>
      <c r="BT1237" s="11" t="inlineStr">
        <is>
          <t>Le Nomade Ti</t>
        </is>
      </c>
      <c r="BU1237" s="13" t="n">
        <v>171</v>
      </c>
      <c r="BV1237" s="11" t="inlineStr">
        <is>
          <t xml:space="preserve"> Unisex</t>
        </is>
      </c>
      <c r="BW1237" s="13" t="n">
        <v>171</v>
      </c>
      <c r="BX1237" s="13" t="n">
        <v>170.2</v>
      </c>
      <c r="BY1237" s="13" t="n">
        <v>141</v>
      </c>
      <c r="BZ1237" s="13" t="n">
        <v>158</v>
      </c>
      <c r="CA1237" s="13" t="n">
        <v>136</v>
      </c>
      <c r="CB1237" s="13" t="n">
        <v>89</v>
      </c>
      <c r="CC1237" s="13" t="n">
        <v>125</v>
      </c>
      <c r="CD1237" s="13" t="n">
        <v>14.6</v>
      </c>
      <c r="CE1237" s="13" t="n">
        <v>2001</v>
      </c>
      <c r="CF1237" s="13" t="n">
        <v>0.89</v>
      </c>
      <c r="CG1237" s="13" t="n">
        <v>1773</v>
      </c>
      <c r="CH1237" s="13" t="n">
        <v>251</v>
      </c>
      <c r="CI1237" s="13" t="n">
        <v>178</v>
      </c>
      <c r="CJ1237" s="13" t="n">
        <v>51</v>
      </c>
      <c r="CK1237" s="13" t="n">
        <v>213</v>
      </c>
      <c r="CL1237" s="13" t="n">
        <v>9</v>
      </c>
      <c r="CM1237" s="13" t="n">
        <v>75</v>
      </c>
      <c r="CN1237" s="13" t="n">
        <v>0.166</v>
      </c>
      <c r="CO1237" s="13" t="n">
        <v>65</v>
      </c>
      <c r="CP1237" s="13" t="n">
        <v>61</v>
      </c>
      <c r="CQ1237" s="13" t="n">
        <v>148</v>
      </c>
      <c r="CR1237" s="13" t="n">
        <v>7</v>
      </c>
      <c r="CS1237" s="13" t="n">
        <v>10.5</v>
      </c>
      <c r="CT1237" s="11" t="inlineStr">
        <is>
          <t xml:space="preserve"> Resort Freeride</t>
        </is>
      </c>
      <c r="CU1237" s="13" t="n"/>
      <c r="CV1237" s="13" t="n"/>
      <c r="CW1237" s="13" t="n"/>
      <c r="CX1237">
        <f>INDEX('Data_Price '!AG$2:AG$1266,MATCH(Data!$DN1237,'Data_Price '!$AT$2:$AT$1266,0))</f>
        <v/>
      </c>
      <c r="CY1237">
        <f>INDEX('Data_Price '!AH$2:AH$1266,MATCH(Data!$DN1237,'Data_Price '!$AT$2:$AT$1266,0))</f>
        <v/>
      </c>
      <c r="CZ1237">
        <f>INDEX('Data_Price '!AI$2:AI$1266,MATCH(Data!$DN1237,'Data_Price '!$AT$2:$AT$1266,0))</f>
        <v/>
      </c>
      <c r="DA1237">
        <f>INDEX('Data_Price '!AJ$2:AJ$1266,MATCH(Data!$DN1237,'Data_Price '!$AT$2:$AT$1266,0))</f>
        <v/>
      </c>
      <c r="DB1237">
        <f>INDEX('Data_Price '!AK$2:AK$1266,MATCH(Data!$DN1237,'Data_Price '!$AT$2:$AT$1266,0))</f>
        <v/>
      </c>
      <c r="DC1237">
        <f>INDEX('Data_Price '!AL$2:AL$1266,MATCH(Data!$DN1237,'Data_Price '!$AT$2:$AT$1266,0))</f>
        <v/>
      </c>
      <c r="DD1237">
        <f>INDEX('Data_Price '!AM$2:AM$1266,MATCH(Data!$DN1237,'Data_Price '!$AT$2:$AT$1266,0))</f>
        <v/>
      </c>
      <c r="DE1237">
        <f>INDEX('Data_Price '!AN$2:AN$1266,MATCH(Data!$DN1237,'Data_Price '!$AT$2:$AT$1266,0))</f>
        <v/>
      </c>
      <c r="DF1237">
        <f>INDEX('Data_Price '!AO$2:AO$1266,MATCH(Data!$DN1237,'Data_Price '!$AT$2:$AT$1266,0))</f>
        <v/>
      </c>
      <c r="DG1237">
        <f>INDEX('Data_Price '!AP$2:AP$1266,MATCH(Data!$DN1237,'Data_Price '!$AT$2:$AT$1266,0))</f>
        <v/>
      </c>
      <c r="DH1237">
        <f>INDEX('Data_Price '!AQ$2:AQ$1266,MATCH(Data!$DN1237,'Data_Price '!$AT$2:$AT$1266,0))</f>
        <v/>
      </c>
      <c r="DI1237">
        <f>INDEX('Data_Price '!AR$2:AR$1266,MATCH(Data!$DN1237,'Data_Price '!$AT$2:$AT$1266,0))</f>
        <v/>
      </c>
      <c r="DJ1237" s="138">
        <f>DA1237</f>
        <v/>
      </c>
      <c r="DK1237" s="138">
        <f>DE1237</f>
        <v/>
      </c>
      <c r="DL1237" s="138">
        <f>DI1237</f>
        <v/>
      </c>
      <c r="DM1237" s="303">
        <f>IF(LEFT(BT1237,1)=" ",RIGHT(BT1237,LEN(BT1237)-1),BT1237)</f>
        <v/>
      </c>
      <c r="DN1237" s="138">
        <f>_xlfn.CONCAT(BS1237,DM1237,BU1237,BV1237)</f>
        <v/>
      </c>
      <c r="DO1237" s="307" t="n"/>
    </row>
    <row r="1238" ht="15.6" customHeight="1" s="184">
      <c r="B1238" s="303">
        <f t="array" ref="B1238">IF(OR(ISERROR(K1238:P1238)),FALSE,TRUE)</f>
        <v/>
      </c>
      <c r="C1238" s="60">
        <f>OR(BR1238=Driver!$G$50,Data!BR383=Driver!$H$50)</f>
        <v/>
      </c>
      <c r="D1238" s="60">
        <f>OR(BV1238=Driver!$G$51,BV1238=Driver!$H$51)</f>
        <v/>
      </c>
      <c r="E1238" s="60">
        <f>AND(BX1238&gt;Driver!$F$54,BX1238&lt;Driver!$G$54)</f>
        <v/>
      </c>
      <c r="F1238" s="60">
        <f>CL1238&gt;Driver!$F$56</f>
        <v/>
      </c>
      <c r="G1238" s="60">
        <f>AND(CB1238&gt;Driver!$F$55,CB1238&lt;Driver!$G$55)</f>
        <v/>
      </c>
      <c r="H1238" s="60">
        <f>AND(B1238:G1238)</f>
        <v/>
      </c>
      <c r="I1238" s="60">
        <f>COUNTIFS($H$9:$H$1273,TRUE,$BT$9:$BT$1273,BT1238)</f>
        <v/>
      </c>
      <c r="J1238" s="60">
        <f t="array" ref="J1238">NOT(OR(($H$9:$H$1273=TRUE)*($I$9:$I$1273&gt;0)*($BT$9:$BT$1273=BT1238)*($K$9:$K$1273&gt;K1238)))</f>
        <v/>
      </c>
      <c r="K1238" s="108">
        <f>IFERROR(1-AVERAGE(X1238:Y1238),"")</f>
        <v/>
      </c>
      <c r="L1238" s="108">
        <f>1-X1238</f>
        <v/>
      </c>
      <c r="M1238" s="108">
        <f>1-Y1238</f>
        <v/>
      </c>
      <c r="N1238" s="108">
        <f>1-Z1238</f>
        <v/>
      </c>
      <c r="O1238" s="108">
        <f>1-AA1238</f>
        <v/>
      </c>
      <c r="P1238" s="108">
        <f>1-AB1238</f>
        <v/>
      </c>
      <c r="Q1238" s="108" t="n"/>
      <c r="R1238" s="108" t="n"/>
      <c r="S1238" s="108">
        <f>1-AE1238</f>
        <v/>
      </c>
      <c r="T1238" s="108">
        <f>1-AF1238</f>
        <v/>
      </c>
      <c r="U1238" s="108">
        <f>1-AG1238</f>
        <v/>
      </c>
      <c r="V1238" s="108">
        <f>1-AH1238</f>
        <v/>
      </c>
      <c r="W1238" s="108">
        <f>1-AI1238</f>
        <v/>
      </c>
      <c r="X1238" s="108">
        <f>ABS(AJ1238-AJ$1)</f>
        <v/>
      </c>
      <c r="Y1238" s="108">
        <f>AVERAGE(Z1238:AB1238)</f>
        <v/>
      </c>
      <c r="Z1238" s="108">
        <f>ABS(AL1238-AL$1)</f>
        <v/>
      </c>
      <c r="AA1238" s="108">
        <f>ABS(AM1238-AM$1)</f>
        <v/>
      </c>
      <c r="AB1238" s="108">
        <f>ABS(AN1238-AN$1)</f>
        <v/>
      </c>
      <c r="AC1238" s="108" t="n"/>
      <c r="AD1238" s="108" t="n"/>
      <c r="AE1238" s="108">
        <f>ABS(AQ$1-AQ1238)</f>
        <v/>
      </c>
      <c r="AF1238" s="108">
        <f>ABS(AR$1-AR1238)</f>
        <v/>
      </c>
      <c r="AG1238" s="108">
        <f>ABS(AS$1-AS1238)</f>
        <v/>
      </c>
      <c r="AH1238" s="108">
        <f>ABS(AT$1-AT1238)</f>
        <v/>
      </c>
      <c r="AI1238" s="108">
        <f>ABS(AU$1-AU1238)</f>
        <v/>
      </c>
      <c r="AJ1238" s="108">
        <f>(AV1238-Driver!$K$179)/(Driver!$L$179-Driver!$K$179)</f>
        <v/>
      </c>
      <c r="AK1238" s="108">
        <f>(AW1238-Driver!$K$180)/(Driver!$L$180-Driver!$K$180)</f>
        <v/>
      </c>
      <c r="AL1238" s="108">
        <f>(AX1238-Driver!$K$181)/(Driver!$L$181-Driver!$K$181)</f>
        <v/>
      </c>
      <c r="AM1238" s="108">
        <f>(AY1238-Driver!$K$182)/(Driver!$L$182-Driver!$K$182)</f>
        <v/>
      </c>
      <c r="AN1238" s="108">
        <f>(AZ1238-Driver!$K$183)/(Driver!$L$183-Driver!$K$183)</f>
        <v/>
      </c>
      <c r="AO1238" s="108" t="n"/>
      <c r="AP1238" s="108" t="n"/>
      <c r="AQ1238" s="108">
        <f>(BC1238-Driver!$K$188)/(Driver!$L$188-Driver!$K$188)</f>
        <v/>
      </c>
      <c r="AR1238" s="108">
        <f>MIN((BD1238-Driver!$K$189)/(Driver!$L$189-Driver!$K$189),100%)</f>
        <v/>
      </c>
      <c r="AS1238" s="108">
        <f>(BE1238-Driver!$K$190)/(Driver!$L$190-Driver!$K$190)</f>
        <v/>
      </c>
      <c r="AT1238" s="108">
        <f>(BF1238-Driver!$K$191)/(Driver!$L$191-Driver!$K$191)</f>
        <v/>
      </c>
      <c r="AU1238" s="108">
        <f>(BG1238-Driver!$K$192)/(Driver!$L$192-Driver!$K$192)</f>
        <v/>
      </c>
      <c r="AV1238" s="105">
        <f>IFERROR(BM1238*BJ1238^1/4,"")</f>
        <v/>
      </c>
      <c r="AW1238" s="105">
        <f>IFERROR(SUM(AX1238:AZ1238),"")</f>
        <v/>
      </c>
      <c r="AX1238" s="105">
        <f>IFERROR(BH1238,"")</f>
        <v/>
      </c>
      <c r="AY1238" s="105">
        <f>IFERROR(Driver!$K$19/Data!BH1238/Data!BI1238*Data!BK1238*Data!BL1238,"")</f>
        <v/>
      </c>
      <c r="AZ1238" s="105">
        <f>IFERROR(BI1238*BN1238,"")</f>
        <v/>
      </c>
      <c r="BA1238" s="105" t="n"/>
      <c r="BB1238" s="105" t="n"/>
      <c r="BC1238" s="105">
        <f>IFERROR(BI1238*BN1238*BK1238/BJ1238^(1/2),"")</f>
        <v/>
      </c>
      <c r="BD1238" s="105">
        <f>IFERROR(BH1238*BM1238*BL1238/BJ1238/BK1238,"")</f>
        <v/>
      </c>
      <c r="BE1238" s="105">
        <f>IFERROR(MIN(BI1238/BQ1238/BP1238/BO1238/BH1238,$BE$1),"")</f>
        <v/>
      </c>
      <c r="BF1238" s="105">
        <f>IFERROR(BJ1238*BO1238*BP1238/BK1238,"")</f>
        <v/>
      </c>
      <c r="BG1238" s="105">
        <f>IFERROR(1/BM1238/BH1238*BQ1238,"")</f>
        <v/>
      </c>
      <c r="BH1238" s="102">
        <f>MAX((CE1238-Driver!$F$200)/(Driver!$G$200-Driver!$F$200)*$BI$1,1)</f>
        <v/>
      </c>
      <c r="BI1238" s="102">
        <f>MAX($BI$1*(BY1238-Driver!$F$201)/(Driver!$G$201-Driver!$F$201),1)</f>
        <v/>
      </c>
      <c r="BJ1238" s="102">
        <f>(CB1238-Driver!$F$206)/(Driver!$G$206-Driver!$F$206)*$BI$1</f>
        <v/>
      </c>
      <c r="BK1238" s="102">
        <f>(CD1238-Driver!$F$203)/(Driver!$G$203-Driver!$F$203)*$BI$1</f>
        <v/>
      </c>
      <c r="BL1238" s="102">
        <f>MAX((CR1238-Driver!$F$202)/(Driver!$G$202-Driver!$F$202)*$BI$1,1)</f>
        <v/>
      </c>
      <c r="BM1238" s="102">
        <f>MAX((CH1238-Driver!$F$204)/(Driver!$G$204-Driver!$F$204)*$BI$1,1)</f>
        <v/>
      </c>
      <c r="BN1238" s="102">
        <f>(CI1238-Driver!$F$205)/(Driver!$G$205-Driver!$F$205)*$BI$1</f>
        <v/>
      </c>
      <c r="BO1238" s="102">
        <f>(CK1238-Driver!$F$207)/(Driver!$G$207-Driver!$F$207)*$BI$1</f>
        <v/>
      </c>
      <c r="BP1238" s="102">
        <f>(CM1238-Driver!$F$208)/(Driver!$G$208-Driver!$F$208)*$BI$1</f>
        <v/>
      </c>
      <c r="BQ1238" s="102">
        <f>(CL1238-Driver!$F$209)/(Driver!$G$209-Driver!$F$209)*$BI$1</f>
        <v/>
      </c>
      <c r="BR1238" s="40" t="inlineStr">
        <is>
          <t>21/22</t>
        </is>
      </c>
      <c r="BS1238" s="10" t="inlineStr">
        <is>
          <t xml:space="preserve"> Dynastar</t>
        </is>
      </c>
      <c r="BT1238" s="11" t="inlineStr">
        <is>
          <t>M-Free 108</t>
        </is>
      </c>
      <c r="BU1238" s="13" t="n">
        <v>192</v>
      </c>
      <c r="BV1238" s="11" t="inlineStr">
        <is>
          <t xml:space="preserve"> Unisex</t>
        </is>
      </c>
      <c r="BW1238" s="13" t="n">
        <v>192</v>
      </c>
      <c r="BX1238" s="13" t="n">
        <v>191.8</v>
      </c>
      <c r="BY1238" s="13" t="n">
        <v>123</v>
      </c>
      <c r="BZ1238" s="13" t="n">
        <v>152</v>
      </c>
      <c r="CA1238" s="13" t="n">
        <v>137</v>
      </c>
      <c r="CB1238" s="13" t="n">
        <v>107</v>
      </c>
      <c r="CC1238" s="13" t="n">
        <v>127</v>
      </c>
      <c r="CD1238" s="13" t="n">
        <v>20.5</v>
      </c>
      <c r="CE1238" s="13" t="n">
        <v>2330</v>
      </c>
      <c r="CF1238" s="13" t="n">
        <v>0.96</v>
      </c>
      <c r="CG1238" s="13" t="n">
        <v>2226</v>
      </c>
      <c r="CH1238" s="13" t="n">
        <v>282</v>
      </c>
      <c r="CI1238" s="13" t="n">
        <v>151</v>
      </c>
      <c r="CJ1238" s="13" t="n">
        <v>67</v>
      </c>
      <c r="CK1238" s="13" t="n">
        <v>362</v>
      </c>
      <c r="CL1238" s="13" t="n">
        <v>43</v>
      </c>
      <c r="CM1238" s="13" t="n">
        <v>329</v>
      </c>
      <c r="CN1238" s="13" t="n">
        <v>0.645</v>
      </c>
      <c r="CO1238" s="13" t="n">
        <v>216</v>
      </c>
      <c r="CP1238" s="13" t="n">
        <v>181</v>
      </c>
      <c r="CQ1238" s="13" t="n">
        <v>145</v>
      </c>
      <c r="CR1238" s="13" t="n">
        <v>10</v>
      </c>
      <c r="CS1238" s="13" t="n">
        <v>8.699999999999999</v>
      </c>
      <c r="CT1238" s="11" t="inlineStr">
        <is>
          <t xml:space="preserve"> Powder</t>
        </is>
      </c>
      <c r="CU1238" s="13" t="n"/>
      <c r="CV1238" s="13" t="n"/>
      <c r="CW1238" s="13" t="n"/>
      <c r="CX1238">
        <f>INDEX('Data_Price '!AG$2:AG$1266,MATCH(Data!$DN1238,'Data_Price '!$AT$2:$AT$1266,0))</f>
        <v/>
      </c>
      <c r="CY1238">
        <f>INDEX('Data_Price '!AH$2:AH$1266,MATCH(Data!$DN1238,'Data_Price '!$AT$2:$AT$1266,0))</f>
        <v/>
      </c>
      <c r="CZ1238">
        <f>INDEX('Data_Price '!AI$2:AI$1266,MATCH(Data!$DN1238,'Data_Price '!$AT$2:$AT$1266,0))</f>
        <v/>
      </c>
      <c r="DA1238">
        <f>INDEX('Data_Price '!AJ$2:AJ$1266,MATCH(Data!$DN1238,'Data_Price '!$AT$2:$AT$1266,0))</f>
        <v/>
      </c>
      <c r="DB1238">
        <f>INDEX('Data_Price '!AK$2:AK$1266,MATCH(Data!$DN1238,'Data_Price '!$AT$2:$AT$1266,0))</f>
        <v/>
      </c>
      <c r="DC1238">
        <f>INDEX('Data_Price '!AL$2:AL$1266,MATCH(Data!$DN1238,'Data_Price '!$AT$2:$AT$1266,0))</f>
        <v/>
      </c>
      <c r="DD1238">
        <f>INDEX('Data_Price '!AM$2:AM$1266,MATCH(Data!$DN1238,'Data_Price '!$AT$2:$AT$1266,0))</f>
        <v/>
      </c>
      <c r="DE1238">
        <f>INDEX('Data_Price '!AN$2:AN$1266,MATCH(Data!$DN1238,'Data_Price '!$AT$2:$AT$1266,0))</f>
        <v/>
      </c>
      <c r="DF1238">
        <f>INDEX('Data_Price '!AO$2:AO$1266,MATCH(Data!$DN1238,'Data_Price '!$AT$2:$AT$1266,0))</f>
        <v/>
      </c>
      <c r="DG1238">
        <f>INDEX('Data_Price '!AP$2:AP$1266,MATCH(Data!$DN1238,'Data_Price '!$AT$2:$AT$1266,0))</f>
        <v/>
      </c>
      <c r="DH1238">
        <f>INDEX('Data_Price '!AQ$2:AQ$1266,MATCH(Data!$DN1238,'Data_Price '!$AT$2:$AT$1266,0))</f>
        <v/>
      </c>
      <c r="DI1238">
        <f>INDEX('Data_Price '!AR$2:AR$1266,MATCH(Data!$DN1238,'Data_Price '!$AT$2:$AT$1266,0))</f>
        <v/>
      </c>
      <c r="DJ1238" s="138">
        <f>DA1238</f>
        <v/>
      </c>
      <c r="DK1238" s="138">
        <f>DE1238</f>
        <v/>
      </c>
      <c r="DL1238" s="138">
        <f>DI1238</f>
        <v/>
      </c>
      <c r="DM1238" s="303">
        <f>IF(LEFT(BT1238,1)=" ",RIGHT(BT1238,LEN(BT1238)-1),BT1238)</f>
        <v/>
      </c>
      <c r="DN1238" s="138">
        <f>_xlfn.CONCAT(BS1238,DM1238,BU1238,BV1238)</f>
        <v/>
      </c>
      <c r="DO1238" s="307" t="inlineStr">
        <is>
          <t>https://images.evo.com/imgp/250/180346/710820/dynastar-m-free-108-skis-2022-.jpg</t>
        </is>
      </c>
    </row>
    <row r="1239" ht="15.6" customHeight="1" s="184">
      <c r="B1239" s="303">
        <f t="array" ref="B1239">IF(OR(ISERROR(K1239:P1239)),FALSE,TRUE)</f>
        <v/>
      </c>
      <c r="C1239" s="60">
        <f>OR(BR1239=Driver!$G$50,Data!BR500=Driver!$H$50)</f>
        <v/>
      </c>
      <c r="D1239" s="60">
        <f>OR(BV1239=Driver!$G$51,BV1239=Driver!$H$51)</f>
        <v/>
      </c>
      <c r="E1239" s="60">
        <f>AND(BX1239&gt;Driver!$F$54,BX1239&lt;Driver!$G$54)</f>
        <v/>
      </c>
      <c r="F1239" s="60">
        <f>CL1239&gt;Driver!$F$56</f>
        <v/>
      </c>
      <c r="G1239" s="60">
        <f>AND(CB1239&gt;Driver!$F$55,CB1239&lt;Driver!$G$55)</f>
        <v/>
      </c>
      <c r="H1239" s="60">
        <f>AND(B1239:G1239)</f>
        <v/>
      </c>
      <c r="I1239" s="60">
        <f>COUNTIFS($H$9:$H$1273,TRUE,$BT$9:$BT$1273,BT1239)</f>
        <v/>
      </c>
      <c r="J1239" s="60">
        <f t="array" ref="J1239">NOT(OR(($H$9:$H$1273=TRUE)*($I$9:$I$1273&gt;0)*($BT$9:$BT$1273=BT1239)*($K$9:$K$1273&gt;K1239)))</f>
        <v/>
      </c>
      <c r="K1239" s="108">
        <f>IFERROR(1-AVERAGE(X1239:Y1239),"")</f>
        <v/>
      </c>
      <c r="L1239" s="108">
        <f>1-X1239</f>
        <v/>
      </c>
      <c r="M1239" s="108">
        <f>1-Y1239</f>
        <v/>
      </c>
      <c r="N1239" s="108">
        <f>1-Z1239</f>
        <v/>
      </c>
      <c r="O1239" s="108">
        <f>1-AA1239</f>
        <v/>
      </c>
      <c r="P1239" s="108">
        <f>1-AB1239</f>
        <v/>
      </c>
      <c r="Q1239" s="108" t="n"/>
      <c r="R1239" s="108" t="n"/>
      <c r="S1239" s="108">
        <f>1-AE1239</f>
        <v/>
      </c>
      <c r="T1239" s="108">
        <f>1-AF1239</f>
        <v/>
      </c>
      <c r="U1239" s="108">
        <f>1-AG1239</f>
        <v/>
      </c>
      <c r="V1239" s="108">
        <f>1-AH1239</f>
        <v/>
      </c>
      <c r="W1239" s="108">
        <f>1-AI1239</f>
        <v/>
      </c>
      <c r="X1239" s="108">
        <f>ABS(AJ1239-AJ$1)</f>
        <v/>
      </c>
      <c r="Y1239" s="108">
        <f>AVERAGE(Z1239:AB1239)</f>
        <v/>
      </c>
      <c r="Z1239" s="108">
        <f>ABS(AL1239-AL$1)</f>
        <v/>
      </c>
      <c r="AA1239" s="108">
        <f>ABS(AM1239-AM$1)</f>
        <v/>
      </c>
      <c r="AB1239" s="108">
        <f>ABS(AN1239-AN$1)</f>
        <v/>
      </c>
      <c r="AC1239" s="108" t="n"/>
      <c r="AD1239" s="108" t="n"/>
      <c r="AE1239" s="108">
        <f>ABS(AQ$1-AQ1239)</f>
        <v/>
      </c>
      <c r="AF1239" s="108">
        <f>ABS(AR$1-AR1239)</f>
        <v/>
      </c>
      <c r="AG1239" s="108">
        <f>ABS(AS$1-AS1239)</f>
        <v/>
      </c>
      <c r="AH1239" s="108">
        <f>ABS(AT$1-AT1239)</f>
        <v/>
      </c>
      <c r="AI1239" s="108">
        <f>ABS(AU$1-AU1239)</f>
        <v/>
      </c>
      <c r="AJ1239" s="108">
        <f>(AV1239-Driver!$K$179)/(Driver!$L$179-Driver!$K$179)</f>
        <v/>
      </c>
      <c r="AK1239" s="108">
        <f>(AW1239-Driver!$K$180)/(Driver!$L$180-Driver!$K$180)</f>
        <v/>
      </c>
      <c r="AL1239" s="108">
        <f>(AX1239-Driver!$K$181)/(Driver!$L$181-Driver!$K$181)</f>
        <v/>
      </c>
      <c r="AM1239" s="108">
        <f>(AY1239-Driver!$K$182)/(Driver!$L$182-Driver!$K$182)</f>
        <v/>
      </c>
      <c r="AN1239" s="108">
        <f>(AZ1239-Driver!$K$183)/(Driver!$L$183-Driver!$K$183)</f>
        <v/>
      </c>
      <c r="AO1239" s="108" t="n"/>
      <c r="AP1239" s="108" t="n"/>
      <c r="AQ1239" s="108">
        <f>(BC1239-Driver!$K$188)/(Driver!$L$188-Driver!$K$188)</f>
        <v/>
      </c>
      <c r="AR1239" s="108">
        <f>MIN((BD1239-Driver!$K$189)/(Driver!$L$189-Driver!$K$189),100%)</f>
        <v/>
      </c>
      <c r="AS1239" s="108">
        <f>(BE1239-Driver!$K$190)/(Driver!$L$190-Driver!$K$190)</f>
        <v/>
      </c>
      <c r="AT1239" s="108">
        <f>(BF1239-Driver!$K$191)/(Driver!$L$191-Driver!$K$191)</f>
        <v/>
      </c>
      <c r="AU1239" s="108">
        <f>(BG1239-Driver!$K$192)/(Driver!$L$192-Driver!$K$192)</f>
        <v/>
      </c>
      <c r="AV1239" s="105">
        <f>IFERROR(BM1239*BJ1239^1/4,"")</f>
        <v/>
      </c>
      <c r="AW1239" s="105">
        <f>IFERROR(SUM(AX1239:AZ1239),"")</f>
        <v/>
      </c>
      <c r="AX1239" s="105">
        <f>IFERROR(BH1239,"")</f>
        <v/>
      </c>
      <c r="AY1239" s="105">
        <f>IFERROR(Driver!$K$19/Data!BH1239/Data!BI1239*Data!BK1239*Data!BL1239,"")</f>
        <v/>
      </c>
      <c r="AZ1239" s="105">
        <f>IFERROR(BI1239*BN1239,"")</f>
        <v/>
      </c>
      <c r="BA1239" s="105" t="n"/>
      <c r="BB1239" s="105" t="n"/>
      <c r="BC1239" s="105">
        <f>IFERROR(BI1239*BN1239*BK1239/BJ1239^(1/2),"")</f>
        <v/>
      </c>
      <c r="BD1239" s="105">
        <f>IFERROR(BH1239*BM1239*BL1239/BJ1239/BK1239,"")</f>
        <v/>
      </c>
      <c r="BE1239" s="105">
        <f>IFERROR(MIN(BI1239/BQ1239/BP1239/BO1239/BH1239,$BE$1),"")</f>
        <v/>
      </c>
      <c r="BF1239" s="105">
        <f>IFERROR(BJ1239*BO1239*BP1239/BK1239,"")</f>
        <v/>
      </c>
      <c r="BG1239" s="105">
        <f>IFERROR(1/BM1239/BH1239*BQ1239,"")</f>
        <v/>
      </c>
      <c r="BH1239" s="102">
        <f>MAX((CE1239-Driver!$F$200)/(Driver!$G$200-Driver!$F$200)*$BI$1,1)</f>
        <v/>
      </c>
      <c r="BI1239" s="102">
        <f>MAX($BI$1*(BY1239-Driver!$F$201)/(Driver!$G$201-Driver!$F$201),1)</f>
        <v/>
      </c>
      <c r="BJ1239" s="102">
        <f>(CB1239-Driver!$F$206)/(Driver!$G$206-Driver!$F$206)*$BI$1</f>
        <v/>
      </c>
      <c r="BK1239" s="102">
        <f>(CD1239-Driver!$F$203)/(Driver!$G$203-Driver!$F$203)*$BI$1</f>
        <v/>
      </c>
      <c r="BL1239" s="102">
        <f>MAX((CR1239-Driver!$F$202)/(Driver!$G$202-Driver!$F$202)*$BI$1,1)</f>
        <v/>
      </c>
      <c r="BM1239" s="102">
        <f>MAX((CH1239-Driver!$F$204)/(Driver!$G$204-Driver!$F$204)*$BI$1,1)</f>
        <v/>
      </c>
      <c r="BN1239" s="102">
        <f>(CI1239-Driver!$F$205)/(Driver!$G$205-Driver!$F$205)*$BI$1</f>
        <v/>
      </c>
      <c r="BO1239" s="102">
        <f>(CK1239-Driver!$F$207)/(Driver!$G$207-Driver!$F$207)*$BI$1</f>
        <v/>
      </c>
      <c r="BP1239" s="102">
        <f>(CM1239-Driver!$F$208)/(Driver!$G$208-Driver!$F$208)*$BI$1</f>
        <v/>
      </c>
      <c r="BQ1239" s="102">
        <f>(CL1239-Driver!$F$209)/(Driver!$G$209-Driver!$F$209)*$BI$1</f>
        <v/>
      </c>
      <c r="BR1239" s="40" t="inlineStr">
        <is>
          <t>21/22</t>
        </is>
      </c>
      <c r="BS1239" s="10" t="inlineStr">
        <is>
          <t xml:space="preserve"> Faction</t>
        </is>
      </c>
      <c r="BT1239" s="11" t="inlineStr">
        <is>
          <t>CT 1.0 Jr</t>
        </is>
      </c>
      <c r="BU1239" s="13" t="n">
        <v>145</v>
      </c>
      <c r="BV1239" s="11" t="inlineStr">
        <is>
          <t xml:space="preserve"> Junior</t>
        </is>
      </c>
      <c r="BW1239" s="13" t="n">
        <v>145</v>
      </c>
      <c r="BX1239" s="13" t="n">
        <v>143.7</v>
      </c>
      <c r="BY1239" s="13" t="n">
        <v>103</v>
      </c>
      <c r="BZ1239" s="13" t="n">
        <v>120</v>
      </c>
      <c r="CA1239" s="13" t="n">
        <v>114</v>
      </c>
      <c r="CB1239" s="13" t="n">
        <v>83</v>
      </c>
      <c r="CC1239" s="13" t="n">
        <v>110</v>
      </c>
      <c r="CD1239" s="13" t="n">
        <v>11.9</v>
      </c>
      <c r="CE1239" s="13" t="n">
        <v>1202</v>
      </c>
      <c r="CF1239" s="13" t="n">
        <v>1.13</v>
      </c>
      <c r="CG1239" s="13" t="n">
        <v>1355</v>
      </c>
      <c r="CH1239" s="13" t="n">
        <v>108</v>
      </c>
      <c r="CI1239" s="13" t="n">
        <v>33</v>
      </c>
      <c r="CJ1239" s="13" t="n">
        <v>44</v>
      </c>
      <c r="CK1239" s="13" t="n">
        <v>208</v>
      </c>
      <c r="CL1239" s="13" t="n">
        <v>38</v>
      </c>
      <c r="CM1239" s="13" t="n">
        <v>199</v>
      </c>
      <c r="CN1239" s="13" t="n">
        <v>0.856</v>
      </c>
      <c r="CO1239" s="13" t="n">
        <v>123</v>
      </c>
      <c r="CP1239" s="13" t="n">
        <v>110</v>
      </c>
      <c r="CQ1239" s="13" t="n">
        <v>85</v>
      </c>
      <c r="CR1239" s="13" t="n">
        <v>9</v>
      </c>
      <c r="CS1239" s="13" t="n">
        <v>3</v>
      </c>
      <c r="CT1239" s="11" t="inlineStr">
        <is>
          <t xml:space="preserve"> Resort Freeride</t>
        </is>
      </c>
      <c r="CU1239" s="11" t="inlineStr">
        <is>
          <t xml:space="preserve"> Freeski</t>
        </is>
      </c>
      <c r="CV1239" s="11" t="inlineStr">
        <is>
          <t xml:space="preserve"> Touring</t>
        </is>
      </c>
      <c r="CW1239" s="13" t="n"/>
      <c r="CX1239">
        <f>INDEX('Data_Price '!AG$2:AG$1266,MATCH(Data!$DN1239,'Data_Price '!$AT$2:$AT$1266,0))</f>
        <v/>
      </c>
      <c r="CY1239">
        <f>INDEX('Data_Price '!AH$2:AH$1266,MATCH(Data!$DN1239,'Data_Price '!$AT$2:$AT$1266,0))</f>
        <v/>
      </c>
      <c r="CZ1239">
        <f>INDEX('Data_Price '!AI$2:AI$1266,MATCH(Data!$DN1239,'Data_Price '!$AT$2:$AT$1266,0))</f>
        <v/>
      </c>
      <c r="DA1239">
        <f>INDEX('Data_Price '!AJ$2:AJ$1266,MATCH(Data!$DN1239,'Data_Price '!$AT$2:$AT$1266,0))</f>
        <v/>
      </c>
      <c r="DB1239">
        <f>INDEX('Data_Price '!AK$2:AK$1266,MATCH(Data!$DN1239,'Data_Price '!$AT$2:$AT$1266,0))</f>
        <v/>
      </c>
      <c r="DC1239">
        <f>INDEX('Data_Price '!AL$2:AL$1266,MATCH(Data!$DN1239,'Data_Price '!$AT$2:$AT$1266,0))</f>
        <v/>
      </c>
      <c r="DD1239">
        <f>INDEX('Data_Price '!AM$2:AM$1266,MATCH(Data!$DN1239,'Data_Price '!$AT$2:$AT$1266,0))</f>
        <v/>
      </c>
      <c r="DE1239">
        <f>INDEX('Data_Price '!AN$2:AN$1266,MATCH(Data!$DN1239,'Data_Price '!$AT$2:$AT$1266,0))</f>
        <v/>
      </c>
      <c r="DF1239">
        <f>INDEX('Data_Price '!AO$2:AO$1266,MATCH(Data!$DN1239,'Data_Price '!$AT$2:$AT$1266,0))</f>
        <v/>
      </c>
      <c r="DG1239">
        <f>INDEX('Data_Price '!AP$2:AP$1266,MATCH(Data!$DN1239,'Data_Price '!$AT$2:$AT$1266,0))</f>
        <v/>
      </c>
      <c r="DH1239">
        <f>INDEX('Data_Price '!AQ$2:AQ$1266,MATCH(Data!$DN1239,'Data_Price '!$AT$2:$AT$1266,0))</f>
        <v/>
      </c>
      <c r="DI1239">
        <f>INDEX('Data_Price '!AR$2:AR$1266,MATCH(Data!$DN1239,'Data_Price '!$AT$2:$AT$1266,0))</f>
        <v/>
      </c>
      <c r="DJ1239" s="138">
        <f>DA1239</f>
        <v/>
      </c>
      <c r="DK1239" s="138">
        <f>DE1239</f>
        <v/>
      </c>
      <c r="DL1239" s="138">
        <f>DI1239</f>
        <v/>
      </c>
      <c r="DM1239" s="303">
        <f>IF(LEFT(BT1239,1)=" ",RIGHT(BT1239,LEN(BT1239)-1),BT1239)</f>
        <v/>
      </c>
      <c r="DN1239" s="138">
        <f>_xlfn.CONCAT(BS1239,DM1239,BU1239,BV1239)</f>
        <v/>
      </c>
      <c r="DO1239" s="307" t="inlineStr">
        <is>
          <t>https://images.evo.com/imgp/250/208627/839902/clone.jpg</t>
        </is>
      </c>
    </row>
    <row r="1240" ht="15.6" customHeight="1" s="184">
      <c r="B1240" s="303">
        <f t="array" ref="B1240">IF(OR(ISERROR(K1240:P1240)),FALSE,TRUE)</f>
        <v/>
      </c>
      <c r="C1240" s="60">
        <f>OR(BR1240=Driver!$G$50,Data!BR708=Driver!$H$50)</f>
        <v/>
      </c>
      <c r="D1240" s="60">
        <f>OR(BV1240=Driver!$G$51,BV1240=Driver!$H$51)</f>
        <v/>
      </c>
      <c r="E1240" s="60">
        <f>AND(BX1240&gt;Driver!$F$54,BX1240&lt;Driver!$G$54)</f>
        <v/>
      </c>
      <c r="F1240" s="60">
        <f>CL1240&gt;Driver!$F$56</f>
        <v/>
      </c>
      <c r="G1240" s="60">
        <f>AND(CB1240&gt;Driver!$F$55,CB1240&lt;Driver!$G$55)</f>
        <v/>
      </c>
      <c r="H1240" s="60">
        <f>AND(B1240:G1240)</f>
        <v/>
      </c>
      <c r="I1240" s="60">
        <f>COUNTIFS($H$9:$H$1273,TRUE,$BT$9:$BT$1273,BT1240)</f>
        <v/>
      </c>
      <c r="J1240" s="60">
        <f t="array" ref="J1240">NOT(OR(($H$9:$H$1273=TRUE)*($I$9:$I$1273&gt;0)*($BT$9:$BT$1273=BT1240)*($K$9:$K$1273&gt;K1240)))</f>
        <v/>
      </c>
      <c r="K1240" s="108">
        <f>IFERROR(1-AVERAGE(X1240:Y1240),"")</f>
        <v/>
      </c>
      <c r="L1240" s="108">
        <f>1-X1240</f>
        <v/>
      </c>
      <c r="M1240" s="108">
        <f>1-Y1240</f>
        <v/>
      </c>
      <c r="N1240" s="108">
        <f>1-Z1240</f>
        <v/>
      </c>
      <c r="O1240" s="108">
        <f>1-AA1240</f>
        <v/>
      </c>
      <c r="P1240" s="108">
        <f>1-AB1240</f>
        <v/>
      </c>
      <c r="Q1240" s="108" t="n"/>
      <c r="R1240" s="108" t="n"/>
      <c r="S1240" s="108">
        <f>1-AE1240</f>
        <v/>
      </c>
      <c r="T1240" s="108">
        <f>1-AF1240</f>
        <v/>
      </c>
      <c r="U1240" s="108">
        <f>1-AG1240</f>
        <v/>
      </c>
      <c r="V1240" s="108">
        <f>1-AH1240</f>
        <v/>
      </c>
      <c r="W1240" s="108">
        <f>1-AI1240</f>
        <v/>
      </c>
      <c r="X1240" s="108">
        <f>ABS(AJ1240-AJ$1)</f>
        <v/>
      </c>
      <c r="Y1240" s="108">
        <f>AVERAGE(Z1240:AB1240)</f>
        <v/>
      </c>
      <c r="Z1240" s="108">
        <f>ABS(AL1240-AL$1)</f>
        <v/>
      </c>
      <c r="AA1240" s="108">
        <f>ABS(AM1240-AM$1)</f>
        <v/>
      </c>
      <c r="AB1240" s="108">
        <f>ABS(AN1240-AN$1)</f>
        <v/>
      </c>
      <c r="AC1240" s="108" t="n"/>
      <c r="AD1240" s="108" t="n"/>
      <c r="AE1240" s="108">
        <f>ABS(AQ$1-AQ1240)</f>
        <v/>
      </c>
      <c r="AF1240" s="108">
        <f>ABS(AR$1-AR1240)</f>
        <v/>
      </c>
      <c r="AG1240" s="108">
        <f>ABS(AS$1-AS1240)</f>
        <v/>
      </c>
      <c r="AH1240" s="108">
        <f>ABS(AT$1-AT1240)</f>
        <v/>
      </c>
      <c r="AI1240" s="108">
        <f>ABS(AU$1-AU1240)</f>
        <v/>
      </c>
      <c r="AJ1240" s="108">
        <f>(AV1240-Driver!$K$179)/(Driver!$L$179-Driver!$K$179)</f>
        <v/>
      </c>
      <c r="AK1240" s="108">
        <f>(AW1240-Driver!$K$180)/(Driver!$L$180-Driver!$K$180)</f>
        <v/>
      </c>
      <c r="AL1240" s="108">
        <f>(AX1240-Driver!$K$181)/(Driver!$L$181-Driver!$K$181)</f>
        <v/>
      </c>
      <c r="AM1240" s="108">
        <f>(AY1240-Driver!$K$182)/(Driver!$L$182-Driver!$K$182)</f>
        <v/>
      </c>
      <c r="AN1240" s="108">
        <f>(AZ1240-Driver!$K$183)/(Driver!$L$183-Driver!$K$183)</f>
        <v/>
      </c>
      <c r="AO1240" s="108" t="n"/>
      <c r="AP1240" s="108" t="n"/>
      <c r="AQ1240" s="108">
        <f>(BC1240-Driver!$K$188)/(Driver!$L$188-Driver!$K$188)</f>
        <v/>
      </c>
      <c r="AR1240" s="108">
        <f>MIN((BD1240-Driver!$K$189)/(Driver!$L$189-Driver!$K$189),100%)</f>
        <v/>
      </c>
      <c r="AS1240" s="108">
        <f>(BE1240-Driver!$K$190)/(Driver!$L$190-Driver!$K$190)</f>
        <v/>
      </c>
      <c r="AT1240" s="108">
        <f>(BF1240-Driver!$K$191)/(Driver!$L$191-Driver!$K$191)</f>
        <v/>
      </c>
      <c r="AU1240" s="108">
        <f>(BG1240-Driver!$K$192)/(Driver!$L$192-Driver!$K$192)</f>
        <v/>
      </c>
      <c r="AV1240" s="105">
        <f>IFERROR(BM1240*BJ1240^1/4,"")</f>
        <v/>
      </c>
      <c r="AW1240" s="105">
        <f>IFERROR(SUM(AX1240:AZ1240),"")</f>
        <v/>
      </c>
      <c r="AX1240" s="105">
        <f>IFERROR(BH1240,"")</f>
        <v/>
      </c>
      <c r="AY1240" s="105">
        <f>IFERROR(Driver!$K$19/Data!BH1240/Data!BI1240*Data!BK1240*Data!BL1240,"")</f>
        <v/>
      </c>
      <c r="AZ1240" s="105">
        <f>IFERROR(BI1240*BN1240,"")</f>
        <v/>
      </c>
      <c r="BA1240" s="105" t="n"/>
      <c r="BB1240" s="105" t="n"/>
      <c r="BC1240" s="105">
        <f>IFERROR(BI1240*BN1240*BK1240/BJ1240^(1/2),"")</f>
        <v/>
      </c>
      <c r="BD1240" s="105">
        <f>IFERROR(BH1240*BM1240*BL1240/BJ1240/BK1240,"")</f>
        <v/>
      </c>
      <c r="BE1240" s="105">
        <f>IFERROR(MIN(BI1240/BQ1240/BP1240/BO1240/BH1240,$BE$1),"")</f>
        <v/>
      </c>
      <c r="BF1240" s="105">
        <f>IFERROR(BJ1240*BO1240*BP1240/BK1240,"")</f>
        <v/>
      </c>
      <c r="BG1240" s="105">
        <f>IFERROR(1/BM1240/BH1240*BQ1240,"")</f>
        <v/>
      </c>
      <c r="BH1240" s="102">
        <f>MAX((CE1240-Driver!$F$200)/(Driver!$G$200-Driver!$F$200)*$BI$1,1)</f>
        <v/>
      </c>
      <c r="BI1240" s="102">
        <f>MAX($BI$1*(BY1240-Driver!$F$201)/(Driver!$G$201-Driver!$F$201),1)</f>
        <v/>
      </c>
      <c r="BJ1240" s="102">
        <f>(CB1240-Driver!$F$206)/(Driver!$G$206-Driver!$F$206)*$BI$1</f>
        <v/>
      </c>
      <c r="BK1240" s="102">
        <f>(CD1240-Driver!$F$203)/(Driver!$G$203-Driver!$F$203)*$BI$1</f>
        <v/>
      </c>
      <c r="BL1240" s="102">
        <f>MAX((CR1240-Driver!$F$202)/(Driver!$G$202-Driver!$F$202)*$BI$1,1)</f>
        <v/>
      </c>
      <c r="BM1240" s="102">
        <f>MAX((CH1240-Driver!$F$204)/(Driver!$G$204-Driver!$F$204)*$BI$1,1)</f>
        <v/>
      </c>
      <c r="BN1240" s="102">
        <f>(CI1240-Driver!$F$205)/(Driver!$G$205-Driver!$F$205)*$BI$1</f>
        <v/>
      </c>
      <c r="BO1240" s="102">
        <f>(CK1240-Driver!$F$207)/(Driver!$G$207-Driver!$F$207)*$BI$1</f>
        <v/>
      </c>
      <c r="BP1240" s="102">
        <f>(CM1240-Driver!$F$208)/(Driver!$G$208-Driver!$F$208)*$BI$1</f>
        <v/>
      </c>
      <c r="BQ1240" s="102">
        <f>(CL1240-Driver!$F$209)/(Driver!$G$209-Driver!$F$209)*$BI$1</f>
        <v/>
      </c>
      <c r="BR1240" s="40" t="inlineStr">
        <is>
          <t>21/22</t>
        </is>
      </c>
      <c r="BS1240" s="10" t="inlineStr">
        <is>
          <t xml:space="preserve"> K2</t>
        </is>
      </c>
      <c r="BT1240" s="11" t="inlineStr">
        <is>
          <t>Disruption 82 Ti</t>
        </is>
      </c>
      <c r="BU1240" s="13" t="n">
        <v>170</v>
      </c>
      <c r="BV1240" s="11" t="inlineStr">
        <is>
          <t xml:space="preserve"> Unisex</t>
        </is>
      </c>
      <c r="BW1240" s="13" t="n">
        <v>170</v>
      </c>
      <c r="BX1240" s="13" t="n">
        <v>170.5</v>
      </c>
      <c r="BY1240" s="13" t="n">
        <v>149</v>
      </c>
      <c r="BZ1240" s="13" t="n">
        <v>159</v>
      </c>
      <c r="CA1240" s="13" t="n">
        <v>125</v>
      </c>
      <c r="CB1240" s="13" t="n">
        <v>81</v>
      </c>
      <c r="CC1240" s="13" t="n">
        <v>111</v>
      </c>
      <c r="CD1240" s="13" t="n">
        <v>17</v>
      </c>
      <c r="CE1240" s="13" t="n">
        <v>2122</v>
      </c>
      <c r="CF1240" s="13" t="n">
        <v>0.76</v>
      </c>
      <c r="CG1240" s="13" t="n">
        <v>1613</v>
      </c>
      <c r="CH1240" s="13" t="n">
        <v>233</v>
      </c>
      <c r="CI1240" s="13" t="n">
        <v>163</v>
      </c>
      <c r="CJ1240" s="13" t="n">
        <v>32</v>
      </c>
      <c r="CK1240" s="13" t="n">
        <v>144</v>
      </c>
      <c r="CL1240" s="13" t="n">
        <v>7</v>
      </c>
      <c r="CM1240" s="13" t="n">
        <v>68</v>
      </c>
      <c r="CN1240" s="13" t="n">
        <v>0.217</v>
      </c>
      <c r="CO1240" s="13" t="n">
        <v>74</v>
      </c>
      <c r="CP1240" s="13" t="n">
        <v>40</v>
      </c>
      <c r="CQ1240" s="13" t="n">
        <v>70</v>
      </c>
      <c r="CR1240" s="13" t="n">
        <v>9</v>
      </c>
      <c r="CS1240" s="13" t="n">
        <v>10.7</v>
      </c>
      <c r="CT1240" s="11" t="inlineStr">
        <is>
          <t xml:space="preserve"> On-Piste Carving</t>
        </is>
      </c>
      <c r="CU1240" s="11" t="inlineStr">
        <is>
          <t xml:space="preserve"> Resort Freeride</t>
        </is>
      </c>
      <c r="CV1240" s="13" t="n"/>
      <c r="CW1240" s="13" t="n"/>
      <c r="CX1240">
        <f>INDEX('Data_Price '!AG$2:AG$1266,MATCH(Data!$DN1240,'Data_Price '!$AT$2:$AT$1266,0))</f>
        <v/>
      </c>
      <c r="CY1240">
        <f>INDEX('Data_Price '!AH$2:AH$1266,MATCH(Data!$DN1240,'Data_Price '!$AT$2:$AT$1266,0))</f>
        <v/>
      </c>
      <c r="CZ1240">
        <f>INDEX('Data_Price '!AI$2:AI$1266,MATCH(Data!$DN1240,'Data_Price '!$AT$2:$AT$1266,0))</f>
        <v/>
      </c>
      <c r="DA1240">
        <f>INDEX('Data_Price '!AJ$2:AJ$1266,MATCH(Data!$DN1240,'Data_Price '!$AT$2:$AT$1266,0))</f>
        <v/>
      </c>
      <c r="DB1240">
        <f>INDEX('Data_Price '!AK$2:AK$1266,MATCH(Data!$DN1240,'Data_Price '!$AT$2:$AT$1266,0))</f>
        <v/>
      </c>
      <c r="DC1240">
        <f>INDEX('Data_Price '!AL$2:AL$1266,MATCH(Data!$DN1240,'Data_Price '!$AT$2:$AT$1266,0))</f>
        <v/>
      </c>
      <c r="DD1240">
        <f>INDEX('Data_Price '!AM$2:AM$1266,MATCH(Data!$DN1240,'Data_Price '!$AT$2:$AT$1266,0))</f>
        <v/>
      </c>
      <c r="DE1240">
        <f>INDEX('Data_Price '!AN$2:AN$1266,MATCH(Data!$DN1240,'Data_Price '!$AT$2:$AT$1266,0))</f>
        <v/>
      </c>
      <c r="DF1240">
        <f>INDEX('Data_Price '!AO$2:AO$1266,MATCH(Data!$DN1240,'Data_Price '!$AT$2:$AT$1266,0))</f>
        <v/>
      </c>
      <c r="DG1240">
        <f>INDEX('Data_Price '!AP$2:AP$1266,MATCH(Data!$DN1240,'Data_Price '!$AT$2:$AT$1266,0))</f>
        <v/>
      </c>
      <c r="DH1240">
        <f>INDEX('Data_Price '!AQ$2:AQ$1266,MATCH(Data!$DN1240,'Data_Price '!$AT$2:$AT$1266,0))</f>
        <v/>
      </c>
      <c r="DI1240">
        <f>INDEX('Data_Price '!AR$2:AR$1266,MATCH(Data!$DN1240,'Data_Price '!$AT$2:$AT$1266,0))</f>
        <v/>
      </c>
      <c r="DJ1240" s="138">
        <f>DA1240</f>
        <v/>
      </c>
      <c r="DK1240" s="138">
        <f>DE1240</f>
        <v/>
      </c>
      <c r="DL1240" s="138">
        <f>DI1240</f>
        <v/>
      </c>
      <c r="DM1240" s="303">
        <f>IF(LEFT(BT1240,1)=" ",RIGHT(BT1240,LEN(BT1240)-1),BT1240)</f>
        <v/>
      </c>
      <c r="DN1240" s="138">
        <f>_xlfn.CONCAT(BS1240,DM1240,BU1240,BV1240)</f>
        <v/>
      </c>
      <c r="DO1240" s="307" t="n"/>
    </row>
    <row r="1241" ht="15.6" customHeight="1" s="184">
      <c r="B1241" s="303">
        <f t="array" ref="B1241">IF(OR(ISERROR(K1241:P1241)),FALSE,TRUE)</f>
        <v/>
      </c>
      <c r="C1241" s="60">
        <f>OR(BR1241=Driver!$G$50,Data!BR531=Driver!$H$50)</f>
        <v/>
      </c>
      <c r="D1241" s="60">
        <f>OR(BV1241=Driver!$G$51,BV1241=Driver!$H$51)</f>
        <v/>
      </c>
      <c r="E1241" s="60">
        <f>AND(BX1241&gt;Driver!$F$54,BX1241&lt;Driver!$G$54)</f>
        <v/>
      </c>
      <c r="F1241" s="60">
        <f>CL1241&gt;Driver!$F$56</f>
        <v/>
      </c>
      <c r="G1241" s="60">
        <f>AND(CB1241&gt;Driver!$F$55,CB1241&lt;Driver!$G$55)</f>
        <v/>
      </c>
      <c r="H1241" s="60">
        <f>AND(B1241:G1241)</f>
        <v/>
      </c>
      <c r="I1241" s="60">
        <f>COUNTIFS($H$9:$H$1273,TRUE,$BT$9:$BT$1273,BT1241)</f>
        <v/>
      </c>
      <c r="J1241" s="60">
        <f t="array" ref="J1241">NOT(OR(($H$9:$H$1273=TRUE)*($I$9:$I$1273&gt;0)*($BT$9:$BT$1273=BT1241)*($K$9:$K$1273&gt;K1241)))</f>
        <v/>
      </c>
      <c r="K1241" s="108">
        <f>IFERROR(1-AVERAGE(X1241:Y1241),"")</f>
        <v/>
      </c>
      <c r="L1241" s="108">
        <f>1-X1241</f>
        <v/>
      </c>
      <c r="M1241" s="108">
        <f>1-Y1241</f>
        <v/>
      </c>
      <c r="N1241" s="108">
        <f>1-Z1241</f>
        <v/>
      </c>
      <c r="O1241" s="108">
        <f>1-AA1241</f>
        <v/>
      </c>
      <c r="P1241" s="108">
        <f>1-AB1241</f>
        <v/>
      </c>
      <c r="Q1241" s="108" t="n"/>
      <c r="R1241" s="108" t="n"/>
      <c r="S1241" s="108">
        <f>1-AE1241</f>
        <v/>
      </c>
      <c r="T1241" s="108">
        <f>1-AF1241</f>
        <v/>
      </c>
      <c r="U1241" s="108">
        <f>1-AG1241</f>
        <v/>
      </c>
      <c r="V1241" s="108">
        <f>1-AH1241</f>
        <v/>
      </c>
      <c r="W1241" s="108">
        <f>1-AI1241</f>
        <v/>
      </c>
      <c r="X1241" s="108">
        <f>ABS(AJ1241-AJ$1)</f>
        <v/>
      </c>
      <c r="Y1241" s="108">
        <f>AVERAGE(Z1241:AB1241)</f>
        <v/>
      </c>
      <c r="Z1241" s="108">
        <f>ABS(AL1241-AL$1)</f>
        <v/>
      </c>
      <c r="AA1241" s="108">
        <f>ABS(AM1241-AM$1)</f>
        <v/>
      </c>
      <c r="AB1241" s="108">
        <f>ABS(AN1241-AN$1)</f>
        <v/>
      </c>
      <c r="AC1241" s="108" t="n"/>
      <c r="AD1241" s="108" t="n"/>
      <c r="AE1241" s="108">
        <f>ABS(AQ$1-AQ1241)</f>
        <v/>
      </c>
      <c r="AF1241" s="108">
        <f>ABS(AR$1-AR1241)</f>
        <v/>
      </c>
      <c r="AG1241" s="108">
        <f>ABS(AS$1-AS1241)</f>
        <v/>
      </c>
      <c r="AH1241" s="108">
        <f>ABS(AT$1-AT1241)</f>
        <v/>
      </c>
      <c r="AI1241" s="108">
        <f>ABS(AU$1-AU1241)</f>
        <v/>
      </c>
      <c r="AJ1241" s="108">
        <f>(AV1241-Driver!$K$179)/(Driver!$L$179-Driver!$K$179)</f>
        <v/>
      </c>
      <c r="AK1241" s="108">
        <f>(AW1241-Driver!$K$180)/(Driver!$L$180-Driver!$K$180)</f>
        <v/>
      </c>
      <c r="AL1241" s="108">
        <f>(AX1241-Driver!$K$181)/(Driver!$L$181-Driver!$K$181)</f>
        <v/>
      </c>
      <c r="AM1241" s="108">
        <f>(AY1241-Driver!$K$182)/(Driver!$L$182-Driver!$K$182)</f>
        <v/>
      </c>
      <c r="AN1241" s="108">
        <f>(AZ1241-Driver!$K$183)/(Driver!$L$183-Driver!$K$183)</f>
        <v/>
      </c>
      <c r="AO1241" s="108" t="n"/>
      <c r="AP1241" s="108" t="n"/>
      <c r="AQ1241" s="108">
        <f>(BC1241-Driver!$K$188)/(Driver!$L$188-Driver!$K$188)</f>
        <v/>
      </c>
      <c r="AR1241" s="108">
        <f>MIN((BD1241-Driver!$K$189)/(Driver!$L$189-Driver!$K$189),100%)</f>
        <v/>
      </c>
      <c r="AS1241" s="108">
        <f>(BE1241-Driver!$K$190)/(Driver!$L$190-Driver!$K$190)</f>
        <v/>
      </c>
      <c r="AT1241" s="108">
        <f>(BF1241-Driver!$K$191)/(Driver!$L$191-Driver!$K$191)</f>
        <v/>
      </c>
      <c r="AU1241" s="108">
        <f>(BG1241-Driver!$K$192)/(Driver!$L$192-Driver!$K$192)</f>
        <v/>
      </c>
      <c r="AV1241" s="105">
        <f>IFERROR(BM1241*BJ1241^1/4,"")</f>
        <v/>
      </c>
      <c r="AW1241" s="105">
        <f>IFERROR(SUM(AX1241:AZ1241),"")</f>
        <v/>
      </c>
      <c r="AX1241" s="105">
        <f>IFERROR(BH1241,"")</f>
        <v/>
      </c>
      <c r="AY1241" s="105">
        <f>IFERROR(Driver!$K$19/Data!BH1241/Data!BI1241*Data!BK1241*Data!BL1241,"")</f>
        <v/>
      </c>
      <c r="AZ1241" s="105">
        <f>IFERROR(BI1241*BN1241,"")</f>
        <v/>
      </c>
      <c r="BA1241" s="105" t="n"/>
      <c r="BB1241" s="105" t="n"/>
      <c r="BC1241" s="105">
        <f>IFERROR(BI1241*BN1241*BK1241/BJ1241^(1/2),"")</f>
        <v/>
      </c>
      <c r="BD1241" s="105">
        <f>IFERROR(BH1241*BM1241*BL1241/BJ1241/BK1241,"")</f>
        <v/>
      </c>
      <c r="BE1241" s="105">
        <f>IFERROR(MIN(BI1241/BQ1241/BP1241/BO1241/BH1241,$BE$1),"")</f>
        <v/>
      </c>
      <c r="BF1241" s="105">
        <f>IFERROR(BJ1241*BO1241*BP1241/BK1241,"")</f>
        <v/>
      </c>
      <c r="BG1241" s="105">
        <f>IFERROR(1/BM1241/BH1241*BQ1241,"")</f>
        <v/>
      </c>
      <c r="BH1241" s="102">
        <f>MAX((CE1241-Driver!$F$200)/(Driver!$G$200-Driver!$F$200)*$BI$1,1)</f>
        <v/>
      </c>
      <c r="BI1241" s="102">
        <f>MAX($BI$1*(BY1241-Driver!$F$201)/(Driver!$G$201-Driver!$F$201),1)</f>
        <v/>
      </c>
      <c r="BJ1241" s="102">
        <f>(CB1241-Driver!$F$206)/(Driver!$G$206-Driver!$F$206)*$BI$1</f>
        <v/>
      </c>
      <c r="BK1241" s="102">
        <f>(CD1241-Driver!$F$203)/(Driver!$G$203-Driver!$F$203)*$BI$1</f>
        <v/>
      </c>
      <c r="BL1241" s="102">
        <f>MAX((CR1241-Driver!$F$202)/(Driver!$G$202-Driver!$F$202)*$BI$1,1)</f>
        <v/>
      </c>
      <c r="BM1241" s="102">
        <f>MAX((CH1241-Driver!$F$204)/(Driver!$G$204-Driver!$F$204)*$BI$1,1)</f>
        <v/>
      </c>
      <c r="BN1241" s="102">
        <f>(CI1241-Driver!$F$205)/(Driver!$G$205-Driver!$F$205)*$BI$1</f>
        <v/>
      </c>
      <c r="BO1241" s="102">
        <f>(CK1241-Driver!$F$207)/(Driver!$G$207-Driver!$F$207)*$BI$1</f>
        <v/>
      </c>
      <c r="BP1241" s="102">
        <f>(CM1241-Driver!$F$208)/(Driver!$G$208-Driver!$F$208)*$BI$1</f>
        <v/>
      </c>
      <c r="BQ1241" s="102">
        <f>(CL1241-Driver!$F$209)/(Driver!$G$209-Driver!$F$209)*$BI$1</f>
        <v/>
      </c>
      <c r="BR1241" s="40" t="inlineStr">
        <is>
          <t>21/22</t>
        </is>
      </c>
      <c r="BS1241" s="10" t="inlineStr">
        <is>
          <t xml:space="preserve"> Faction</t>
        </is>
      </c>
      <c r="BT1241" s="11" t="inlineStr">
        <is>
          <t>Prodigy 1.0 Jr</t>
        </is>
      </c>
      <c r="BU1241" s="13" t="n">
        <v>145</v>
      </c>
      <c r="BV1241" s="11" t="inlineStr">
        <is>
          <t xml:space="preserve"> Junior</t>
        </is>
      </c>
      <c r="BW1241" s="13" t="n">
        <v>145</v>
      </c>
      <c r="BX1241" s="13" t="n">
        <v>143.7</v>
      </c>
      <c r="BY1241" s="13" t="n">
        <v>103</v>
      </c>
      <c r="BZ1241" s="13" t="n">
        <v>120</v>
      </c>
      <c r="CA1241" s="13" t="n">
        <v>114</v>
      </c>
      <c r="CB1241" s="13" t="n">
        <v>83</v>
      </c>
      <c r="CC1241" s="13" t="n">
        <v>110</v>
      </c>
      <c r="CD1241" s="13" t="n">
        <v>11.8</v>
      </c>
      <c r="CE1241" s="13" t="n">
        <v>1178</v>
      </c>
      <c r="CF1241" s="13" t="n">
        <v>1.15</v>
      </c>
      <c r="CG1241" s="13" t="n">
        <v>1358</v>
      </c>
      <c r="CH1241" s="13" t="n">
        <v>104</v>
      </c>
      <c r="CI1241" s="13" t="n">
        <v>36</v>
      </c>
      <c r="CJ1241" s="13" t="n">
        <v>43</v>
      </c>
      <c r="CK1241" s="13" t="n">
        <v>208</v>
      </c>
      <c r="CL1241" s="13" t="n">
        <v>38</v>
      </c>
      <c r="CM1241" s="13" t="n">
        <v>201</v>
      </c>
      <c r="CN1241" s="13" t="n">
        <v>0.884</v>
      </c>
      <c r="CO1241" s="13" t="n">
        <v>122</v>
      </c>
      <c r="CP1241" s="13" t="n">
        <v>112</v>
      </c>
      <c r="CQ1241" s="13" t="n">
        <v>86</v>
      </c>
      <c r="CR1241" s="13" t="n">
        <v>8</v>
      </c>
      <c r="CS1241" s="13" t="n">
        <v>3</v>
      </c>
      <c r="CT1241" s="11" t="inlineStr">
        <is>
          <t xml:space="preserve"> Freeski</t>
        </is>
      </c>
      <c r="CU1241" s="11" t="inlineStr">
        <is>
          <t xml:space="preserve"> Touring</t>
        </is>
      </c>
      <c r="CV1241" s="13" t="n"/>
      <c r="CW1241" s="13" t="n"/>
      <c r="CX1241">
        <f>INDEX('Data_Price '!AG$2:AG$1266,MATCH(Data!$DN1241,'Data_Price '!$AT$2:$AT$1266,0))</f>
        <v/>
      </c>
      <c r="CY1241">
        <f>INDEX('Data_Price '!AH$2:AH$1266,MATCH(Data!$DN1241,'Data_Price '!$AT$2:$AT$1266,0))</f>
        <v/>
      </c>
      <c r="CZ1241">
        <f>INDEX('Data_Price '!AI$2:AI$1266,MATCH(Data!$DN1241,'Data_Price '!$AT$2:$AT$1266,0))</f>
        <v/>
      </c>
      <c r="DA1241">
        <f>INDEX('Data_Price '!AJ$2:AJ$1266,MATCH(Data!$DN1241,'Data_Price '!$AT$2:$AT$1266,0))</f>
        <v/>
      </c>
      <c r="DB1241">
        <f>INDEX('Data_Price '!AK$2:AK$1266,MATCH(Data!$DN1241,'Data_Price '!$AT$2:$AT$1266,0))</f>
        <v/>
      </c>
      <c r="DC1241">
        <f>INDEX('Data_Price '!AL$2:AL$1266,MATCH(Data!$DN1241,'Data_Price '!$AT$2:$AT$1266,0))</f>
        <v/>
      </c>
      <c r="DD1241">
        <f>INDEX('Data_Price '!AM$2:AM$1266,MATCH(Data!$DN1241,'Data_Price '!$AT$2:$AT$1266,0))</f>
        <v/>
      </c>
      <c r="DE1241">
        <f>INDEX('Data_Price '!AN$2:AN$1266,MATCH(Data!$DN1241,'Data_Price '!$AT$2:$AT$1266,0))</f>
        <v/>
      </c>
      <c r="DF1241">
        <f>INDEX('Data_Price '!AO$2:AO$1266,MATCH(Data!$DN1241,'Data_Price '!$AT$2:$AT$1266,0))</f>
        <v/>
      </c>
      <c r="DG1241">
        <f>INDEX('Data_Price '!AP$2:AP$1266,MATCH(Data!$DN1241,'Data_Price '!$AT$2:$AT$1266,0))</f>
        <v/>
      </c>
      <c r="DH1241">
        <f>INDEX('Data_Price '!AQ$2:AQ$1266,MATCH(Data!$DN1241,'Data_Price '!$AT$2:$AT$1266,0))</f>
        <v/>
      </c>
      <c r="DI1241">
        <f>INDEX('Data_Price '!AR$2:AR$1266,MATCH(Data!$DN1241,'Data_Price '!$AT$2:$AT$1266,0))</f>
        <v/>
      </c>
      <c r="DJ1241" s="138">
        <f>DA1241</f>
        <v/>
      </c>
      <c r="DK1241" s="138">
        <f>DE1241</f>
        <v/>
      </c>
      <c r="DL1241" s="138">
        <f>DI1241</f>
        <v/>
      </c>
      <c r="DM1241" s="303">
        <f>IF(LEFT(BT1241,1)=" ",RIGHT(BT1241,LEN(BT1241)-1),BT1241)</f>
        <v/>
      </c>
      <c r="DN1241" s="138">
        <f>_xlfn.CONCAT(BS1241,DM1241,BU1241,BV1241)</f>
        <v/>
      </c>
      <c r="DO1241" s="307" t="n"/>
    </row>
    <row r="1242" ht="15.6" customHeight="1" s="184">
      <c r="B1242" s="303">
        <f t="array" ref="B1242">IF(OR(ISERROR(K1242:P1242)),FALSE,TRUE)</f>
        <v/>
      </c>
      <c r="C1242" s="60">
        <f>OR(BR1242=Driver!$G$50,Data!BR1093=Driver!$H$50)</f>
        <v/>
      </c>
      <c r="D1242" s="60">
        <f>OR(BV1242=Driver!$G$51,BV1242=Driver!$H$51)</f>
        <v/>
      </c>
      <c r="E1242" s="60">
        <f>AND(BX1242&gt;Driver!$F$54,BX1242&lt;Driver!$G$54)</f>
        <v/>
      </c>
      <c r="F1242" s="60">
        <f>CL1242&gt;Driver!$F$56</f>
        <v/>
      </c>
      <c r="G1242" s="60">
        <f>AND(CB1242&gt;Driver!$F$55,CB1242&lt;Driver!$G$55)</f>
        <v/>
      </c>
      <c r="H1242" s="60">
        <f>AND(B1242:G1242)</f>
        <v/>
      </c>
      <c r="I1242" s="60">
        <f>COUNTIFS($H$9:$H$1273,TRUE,$BT$9:$BT$1273,BT1242)</f>
        <v/>
      </c>
      <c r="J1242" s="60">
        <f t="array" ref="J1242">NOT(OR(($H$9:$H$1273=TRUE)*($I$9:$I$1273&gt;0)*($BT$9:$BT$1273=BT1242)*($K$9:$K$1273&gt;K1242)))</f>
        <v/>
      </c>
      <c r="K1242" s="108">
        <f>IFERROR(1-AVERAGE(X1242:Y1242),"")</f>
        <v/>
      </c>
      <c r="L1242" s="108">
        <f>1-X1242</f>
        <v/>
      </c>
      <c r="M1242" s="108">
        <f>1-Y1242</f>
        <v/>
      </c>
      <c r="N1242" s="108">
        <f>1-Z1242</f>
        <v/>
      </c>
      <c r="O1242" s="108">
        <f>1-AA1242</f>
        <v/>
      </c>
      <c r="P1242" s="108">
        <f>1-AB1242</f>
        <v/>
      </c>
      <c r="Q1242" s="108" t="n"/>
      <c r="R1242" s="108" t="n"/>
      <c r="S1242" s="108">
        <f>1-AE1242</f>
        <v/>
      </c>
      <c r="T1242" s="108">
        <f>1-AF1242</f>
        <v/>
      </c>
      <c r="U1242" s="108">
        <f>1-AG1242</f>
        <v/>
      </c>
      <c r="V1242" s="108">
        <f>1-AH1242</f>
        <v/>
      </c>
      <c r="W1242" s="108">
        <f>1-AI1242</f>
        <v/>
      </c>
      <c r="X1242" s="108">
        <f>ABS(AJ1242-AJ$1)</f>
        <v/>
      </c>
      <c r="Y1242" s="108">
        <f>AVERAGE(Z1242:AB1242)</f>
        <v/>
      </c>
      <c r="Z1242" s="108">
        <f>ABS(AL1242-AL$1)</f>
        <v/>
      </c>
      <c r="AA1242" s="108">
        <f>ABS(AM1242-AM$1)</f>
        <v/>
      </c>
      <c r="AB1242" s="108">
        <f>ABS(AN1242-AN$1)</f>
        <v/>
      </c>
      <c r="AC1242" s="108" t="n"/>
      <c r="AD1242" s="108" t="n"/>
      <c r="AE1242" s="108">
        <f>ABS(AQ$1-AQ1242)</f>
        <v/>
      </c>
      <c r="AF1242" s="108">
        <f>ABS(AR$1-AR1242)</f>
        <v/>
      </c>
      <c r="AG1242" s="108">
        <f>ABS(AS$1-AS1242)</f>
        <v/>
      </c>
      <c r="AH1242" s="108">
        <f>ABS(AT$1-AT1242)</f>
        <v/>
      </c>
      <c r="AI1242" s="108">
        <f>ABS(AU$1-AU1242)</f>
        <v/>
      </c>
      <c r="AJ1242" s="108">
        <f>(AV1242-Driver!$K$179)/(Driver!$L$179-Driver!$K$179)</f>
        <v/>
      </c>
      <c r="AK1242" s="108">
        <f>(AW1242-Driver!$K$180)/(Driver!$L$180-Driver!$K$180)</f>
        <v/>
      </c>
      <c r="AL1242" s="108">
        <f>(AX1242-Driver!$K$181)/(Driver!$L$181-Driver!$K$181)</f>
        <v/>
      </c>
      <c r="AM1242" s="108">
        <f>(AY1242-Driver!$K$182)/(Driver!$L$182-Driver!$K$182)</f>
        <v/>
      </c>
      <c r="AN1242" s="108">
        <f>(AZ1242-Driver!$K$183)/(Driver!$L$183-Driver!$K$183)</f>
        <v/>
      </c>
      <c r="AO1242" s="108" t="n"/>
      <c r="AP1242" s="108" t="n"/>
      <c r="AQ1242" s="108">
        <f>(BC1242-Driver!$K$188)/(Driver!$L$188-Driver!$K$188)</f>
        <v/>
      </c>
      <c r="AR1242" s="108">
        <f>MIN((BD1242-Driver!$K$189)/(Driver!$L$189-Driver!$K$189),100%)</f>
        <v/>
      </c>
      <c r="AS1242" s="108">
        <f>(BE1242-Driver!$K$190)/(Driver!$L$190-Driver!$K$190)</f>
        <v/>
      </c>
      <c r="AT1242" s="108">
        <f>(BF1242-Driver!$K$191)/(Driver!$L$191-Driver!$K$191)</f>
        <v/>
      </c>
      <c r="AU1242" s="108">
        <f>(BG1242-Driver!$K$192)/(Driver!$L$192-Driver!$K$192)</f>
        <v/>
      </c>
      <c r="AV1242" s="105">
        <f>IFERROR(BM1242*BJ1242^1/4,"")</f>
        <v/>
      </c>
      <c r="AW1242" s="105">
        <f>IFERROR(SUM(AX1242:AZ1242),"")</f>
        <v/>
      </c>
      <c r="AX1242" s="105">
        <f>IFERROR(BH1242,"")</f>
        <v/>
      </c>
      <c r="AY1242" s="105">
        <f>IFERROR(Driver!$K$19/Data!BH1242/Data!BI1242*Data!BK1242*Data!BL1242,"")</f>
        <v/>
      </c>
      <c r="AZ1242" s="105">
        <f>IFERROR(BI1242*BN1242,"")</f>
        <v/>
      </c>
      <c r="BA1242" s="105" t="n"/>
      <c r="BB1242" s="105" t="n"/>
      <c r="BC1242" s="105">
        <f>IFERROR(BI1242*BN1242*BK1242/BJ1242^(1/2),"")</f>
        <v/>
      </c>
      <c r="BD1242" s="105">
        <f>IFERROR(BH1242*BM1242*BL1242/BJ1242/BK1242,"")</f>
        <v/>
      </c>
      <c r="BE1242" s="105">
        <f>IFERROR(MIN(BI1242/BQ1242/BP1242/BO1242/BH1242,$BE$1),"")</f>
        <v/>
      </c>
      <c r="BF1242" s="105">
        <f>IFERROR(BJ1242*BO1242*BP1242/BK1242,"")</f>
        <v/>
      </c>
      <c r="BG1242" s="105">
        <f>IFERROR(1/BM1242/BH1242*BQ1242,"")</f>
        <v/>
      </c>
      <c r="BH1242" s="102">
        <f>MAX((CE1242-Driver!$F$200)/(Driver!$G$200-Driver!$F$200)*$BI$1,1)</f>
        <v/>
      </c>
      <c r="BI1242" s="102">
        <f>MAX($BI$1*(BY1242-Driver!$F$201)/(Driver!$G$201-Driver!$F$201),1)</f>
        <v/>
      </c>
      <c r="BJ1242" s="102">
        <f>(CB1242-Driver!$F$206)/(Driver!$G$206-Driver!$F$206)*$BI$1</f>
        <v/>
      </c>
      <c r="BK1242" s="102">
        <f>(CD1242-Driver!$F$203)/(Driver!$G$203-Driver!$F$203)*$BI$1</f>
        <v/>
      </c>
      <c r="BL1242" s="102">
        <f>MAX((CR1242-Driver!$F$202)/(Driver!$G$202-Driver!$F$202)*$BI$1,1)</f>
        <v/>
      </c>
      <c r="BM1242" s="102">
        <f>MAX((CH1242-Driver!$F$204)/(Driver!$G$204-Driver!$F$204)*$BI$1,1)</f>
        <v/>
      </c>
      <c r="BN1242" s="102">
        <f>(CI1242-Driver!$F$205)/(Driver!$G$205-Driver!$F$205)*$BI$1</f>
        <v/>
      </c>
      <c r="BO1242" s="102">
        <f>(CK1242-Driver!$F$207)/(Driver!$G$207-Driver!$F$207)*$BI$1</f>
        <v/>
      </c>
      <c r="BP1242" s="102">
        <f>(CM1242-Driver!$F$208)/(Driver!$G$208-Driver!$F$208)*$BI$1</f>
        <v/>
      </c>
      <c r="BQ1242" s="102">
        <f>(CL1242-Driver!$F$209)/(Driver!$G$209-Driver!$F$209)*$BI$1</f>
        <v/>
      </c>
      <c r="BR1242" s="40" t="inlineStr">
        <is>
          <t>21/22</t>
        </is>
      </c>
      <c r="BS1242" s="10" t="inlineStr">
        <is>
          <t xml:space="preserve"> Salomon</t>
        </is>
      </c>
      <c r="BT1242" s="11" t="inlineStr">
        <is>
          <t>S/Max 12</t>
        </is>
      </c>
      <c r="BU1242" s="13" t="n">
        <v>170</v>
      </c>
      <c r="BV1242" s="11" t="inlineStr">
        <is>
          <t xml:space="preserve"> Unisex</t>
        </is>
      </c>
      <c r="BW1242" s="13" t="n">
        <v>170</v>
      </c>
      <c r="BX1242" s="13" t="n">
        <v>169.4</v>
      </c>
      <c r="BY1242" s="13" t="n">
        <v>151</v>
      </c>
      <c r="BZ1242" s="13" t="n">
        <v>159</v>
      </c>
      <c r="CA1242" s="13" t="n">
        <v>121</v>
      </c>
      <c r="CB1242" s="13" t="n">
        <v>72</v>
      </c>
      <c r="CC1242" s="13" t="n">
        <v>106</v>
      </c>
      <c r="CD1242" s="13" t="n">
        <v>15</v>
      </c>
      <c r="CE1242" s="13" t="n">
        <v>2055</v>
      </c>
      <c r="CF1242" s="13" t="n">
        <v>0.73</v>
      </c>
      <c r="CG1242" s="13" t="n">
        <v>1494</v>
      </c>
      <c r="CH1242" s="13" t="n">
        <v>233</v>
      </c>
      <c r="CI1242" s="13" t="n">
        <v>150</v>
      </c>
      <c r="CJ1242" s="13" t="n">
        <v>32</v>
      </c>
      <c r="CK1242" s="13" t="n">
        <v>132</v>
      </c>
      <c r="CL1242" s="13" t="n">
        <v>4</v>
      </c>
      <c r="CM1242" s="13" t="n">
        <v>53</v>
      </c>
      <c r="CN1242" s="13" t="n">
        <v>0.134</v>
      </c>
      <c r="CO1242" s="13" t="n">
        <v>73</v>
      </c>
      <c r="CP1242" s="13" t="n">
        <v>32</v>
      </c>
      <c r="CQ1242" s="13" t="n">
        <v>59</v>
      </c>
      <c r="CR1242" s="13" t="n">
        <v>13</v>
      </c>
      <c r="CS1242" s="13" t="n">
        <v>11.6</v>
      </c>
      <c r="CT1242" s="11" t="inlineStr">
        <is>
          <t xml:space="preserve"> On-Piste Carving</t>
        </is>
      </c>
      <c r="CU1242" s="13" t="n"/>
      <c r="CV1242" s="13" t="n"/>
      <c r="CW1242" s="13" t="n"/>
      <c r="CX1242">
        <f>INDEX('Data_Price '!AG$2:AG$1266,MATCH(Data!$DN1242,'Data_Price '!$AT$2:$AT$1266,0))</f>
        <v/>
      </c>
      <c r="CY1242">
        <f>INDEX('Data_Price '!AH$2:AH$1266,MATCH(Data!$DN1242,'Data_Price '!$AT$2:$AT$1266,0))</f>
        <v/>
      </c>
      <c r="CZ1242">
        <f>INDEX('Data_Price '!AI$2:AI$1266,MATCH(Data!$DN1242,'Data_Price '!$AT$2:$AT$1266,0))</f>
        <v/>
      </c>
      <c r="DA1242">
        <f>INDEX('Data_Price '!AJ$2:AJ$1266,MATCH(Data!$DN1242,'Data_Price '!$AT$2:$AT$1266,0))</f>
        <v/>
      </c>
      <c r="DB1242">
        <f>INDEX('Data_Price '!AK$2:AK$1266,MATCH(Data!$DN1242,'Data_Price '!$AT$2:$AT$1266,0))</f>
        <v/>
      </c>
      <c r="DC1242">
        <f>INDEX('Data_Price '!AL$2:AL$1266,MATCH(Data!$DN1242,'Data_Price '!$AT$2:$AT$1266,0))</f>
        <v/>
      </c>
      <c r="DD1242">
        <f>INDEX('Data_Price '!AM$2:AM$1266,MATCH(Data!$DN1242,'Data_Price '!$AT$2:$AT$1266,0))</f>
        <v/>
      </c>
      <c r="DE1242">
        <f>INDEX('Data_Price '!AN$2:AN$1266,MATCH(Data!$DN1242,'Data_Price '!$AT$2:$AT$1266,0))</f>
        <v/>
      </c>
      <c r="DF1242">
        <f>INDEX('Data_Price '!AO$2:AO$1266,MATCH(Data!$DN1242,'Data_Price '!$AT$2:$AT$1266,0))</f>
        <v/>
      </c>
      <c r="DG1242">
        <f>INDEX('Data_Price '!AP$2:AP$1266,MATCH(Data!$DN1242,'Data_Price '!$AT$2:$AT$1266,0))</f>
        <v/>
      </c>
      <c r="DH1242">
        <f>INDEX('Data_Price '!AQ$2:AQ$1266,MATCH(Data!$DN1242,'Data_Price '!$AT$2:$AT$1266,0))</f>
        <v/>
      </c>
      <c r="DI1242">
        <f>INDEX('Data_Price '!AR$2:AR$1266,MATCH(Data!$DN1242,'Data_Price '!$AT$2:$AT$1266,0))</f>
        <v/>
      </c>
      <c r="DJ1242" s="138">
        <f>DA1242</f>
        <v/>
      </c>
      <c r="DK1242" s="138">
        <f>DE1242</f>
        <v/>
      </c>
      <c r="DL1242" s="138">
        <f>DI1242</f>
        <v/>
      </c>
      <c r="DM1242" s="303">
        <f>IF(LEFT(BT1242,1)=" ",RIGHT(BT1242,LEN(BT1242)-1),BT1242)</f>
        <v/>
      </c>
      <c r="DN1242" s="138">
        <f>_xlfn.CONCAT(BS1242,DM1242,BU1242,BV1242)</f>
        <v/>
      </c>
      <c r="DO1242" s="307" t="n"/>
    </row>
    <row r="1243" ht="15.6" customHeight="1" s="184">
      <c r="B1243" s="303">
        <f t="array" ref="B1243">IF(OR(ISERROR(K1243:P1243)),FALSE,TRUE)</f>
        <v/>
      </c>
      <c r="C1243" s="60">
        <f>OR(BR1243=Driver!$G$50,Data!BR1025=Driver!$H$50)</f>
        <v/>
      </c>
      <c r="D1243" s="60">
        <f>OR(BV1243=Driver!$G$51,BV1243=Driver!$H$51)</f>
        <v/>
      </c>
      <c r="E1243" s="60">
        <f>AND(BX1243&gt;Driver!$F$54,BX1243&lt;Driver!$G$54)</f>
        <v/>
      </c>
      <c r="F1243" s="60">
        <f>CL1243&gt;Driver!$F$56</f>
        <v/>
      </c>
      <c r="G1243" s="60">
        <f>AND(CB1243&gt;Driver!$F$55,CB1243&lt;Driver!$G$55)</f>
        <v/>
      </c>
      <c r="H1243" s="60">
        <f>AND(B1243:G1243)</f>
        <v/>
      </c>
      <c r="I1243" s="60">
        <f>COUNTIFS($H$9:$H$1273,TRUE,$BT$9:$BT$1273,BT1243)</f>
        <v/>
      </c>
      <c r="J1243" s="60">
        <f t="array" ref="J1243">NOT(OR(($H$9:$H$1273=TRUE)*($I$9:$I$1273&gt;0)*($BT$9:$BT$1273=BT1243)*($K$9:$K$1273&gt;K1243)))</f>
        <v/>
      </c>
      <c r="K1243" s="108">
        <f>IFERROR(1-AVERAGE(X1243:Y1243),"")</f>
        <v/>
      </c>
      <c r="L1243" s="108">
        <f>1-X1243</f>
        <v/>
      </c>
      <c r="M1243" s="108">
        <f>1-Y1243</f>
        <v/>
      </c>
      <c r="N1243" s="108">
        <f>1-Z1243</f>
        <v/>
      </c>
      <c r="O1243" s="108">
        <f>1-AA1243</f>
        <v/>
      </c>
      <c r="P1243" s="108">
        <f>1-AB1243</f>
        <v/>
      </c>
      <c r="Q1243" s="108" t="n"/>
      <c r="R1243" s="108" t="n"/>
      <c r="S1243" s="108">
        <f>1-AE1243</f>
        <v/>
      </c>
      <c r="T1243" s="108">
        <f>1-AF1243</f>
        <v/>
      </c>
      <c r="U1243" s="108">
        <f>1-AG1243</f>
        <v/>
      </c>
      <c r="V1243" s="108">
        <f>1-AH1243</f>
        <v/>
      </c>
      <c r="W1243" s="108">
        <f>1-AI1243</f>
        <v/>
      </c>
      <c r="X1243" s="108">
        <f>ABS(AJ1243-AJ$1)</f>
        <v/>
      </c>
      <c r="Y1243" s="108">
        <f>AVERAGE(Z1243:AB1243)</f>
        <v/>
      </c>
      <c r="Z1243" s="108">
        <f>ABS(AL1243-AL$1)</f>
        <v/>
      </c>
      <c r="AA1243" s="108">
        <f>ABS(AM1243-AM$1)</f>
        <v/>
      </c>
      <c r="AB1243" s="108">
        <f>ABS(AN1243-AN$1)</f>
        <v/>
      </c>
      <c r="AC1243" s="108" t="n"/>
      <c r="AD1243" s="108" t="n"/>
      <c r="AE1243" s="108">
        <f>ABS(AQ$1-AQ1243)</f>
        <v/>
      </c>
      <c r="AF1243" s="108">
        <f>ABS(AR$1-AR1243)</f>
        <v/>
      </c>
      <c r="AG1243" s="108">
        <f>ABS(AS$1-AS1243)</f>
        <v/>
      </c>
      <c r="AH1243" s="108">
        <f>ABS(AT$1-AT1243)</f>
        <v/>
      </c>
      <c r="AI1243" s="108">
        <f>ABS(AU$1-AU1243)</f>
        <v/>
      </c>
      <c r="AJ1243" s="108">
        <f>(AV1243-Driver!$K$179)/(Driver!$L$179-Driver!$K$179)</f>
        <v/>
      </c>
      <c r="AK1243" s="108">
        <f>(AW1243-Driver!$K$180)/(Driver!$L$180-Driver!$K$180)</f>
        <v/>
      </c>
      <c r="AL1243" s="108">
        <f>(AX1243-Driver!$K$181)/(Driver!$L$181-Driver!$K$181)</f>
        <v/>
      </c>
      <c r="AM1243" s="108">
        <f>(AY1243-Driver!$K$182)/(Driver!$L$182-Driver!$K$182)</f>
        <v/>
      </c>
      <c r="AN1243" s="108">
        <f>(AZ1243-Driver!$K$183)/(Driver!$L$183-Driver!$K$183)</f>
        <v/>
      </c>
      <c r="AO1243" s="108" t="n"/>
      <c r="AP1243" s="108" t="n"/>
      <c r="AQ1243" s="108">
        <f>(BC1243-Driver!$K$188)/(Driver!$L$188-Driver!$K$188)</f>
        <v/>
      </c>
      <c r="AR1243" s="108">
        <f>MIN((BD1243-Driver!$K$189)/(Driver!$L$189-Driver!$K$189),100%)</f>
        <v/>
      </c>
      <c r="AS1243" s="108">
        <f>(BE1243-Driver!$K$190)/(Driver!$L$190-Driver!$K$190)</f>
        <v/>
      </c>
      <c r="AT1243" s="108">
        <f>(BF1243-Driver!$K$191)/(Driver!$L$191-Driver!$K$191)</f>
        <v/>
      </c>
      <c r="AU1243" s="108">
        <f>(BG1243-Driver!$K$192)/(Driver!$L$192-Driver!$K$192)</f>
        <v/>
      </c>
      <c r="AV1243" s="105">
        <f>IFERROR(BM1243*BJ1243^1/4,"")</f>
        <v/>
      </c>
      <c r="AW1243" s="105">
        <f>IFERROR(SUM(AX1243:AZ1243),"")</f>
        <v/>
      </c>
      <c r="AX1243" s="105">
        <f>IFERROR(BH1243,"")</f>
        <v/>
      </c>
      <c r="AY1243" s="105">
        <f>IFERROR(Driver!$K$19/Data!BH1243/Data!BI1243*Data!BK1243*Data!BL1243,"")</f>
        <v/>
      </c>
      <c r="AZ1243" s="105">
        <f>IFERROR(BI1243*BN1243,"")</f>
        <v/>
      </c>
      <c r="BA1243" s="105" t="n"/>
      <c r="BB1243" s="105" t="n"/>
      <c r="BC1243" s="105">
        <f>IFERROR(BI1243*BN1243*BK1243/BJ1243^(1/2),"")</f>
        <v/>
      </c>
      <c r="BD1243" s="105">
        <f>IFERROR(BH1243*BM1243*BL1243/BJ1243/BK1243,"")</f>
        <v/>
      </c>
      <c r="BE1243" s="105">
        <f>IFERROR(MIN(BI1243/BQ1243/BP1243/BO1243/BH1243,$BE$1),"")</f>
        <v/>
      </c>
      <c r="BF1243" s="105">
        <f>IFERROR(BJ1243*BO1243*BP1243/BK1243,"")</f>
        <v/>
      </c>
      <c r="BG1243" s="105">
        <f>IFERROR(1/BM1243/BH1243*BQ1243,"")</f>
        <v/>
      </c>
      <c r="BH1243" s="102">
        <f>MAX((CE1243-Driver!$F$200)/(Driver!$G$200-Driver!$F$200)*$BI$1,1)</f>
        <v/>
      </c>
      <c r="BI1243" s="102">
        <f>MAX($BI$1*(BY1243-Driver!$F$201)/(Driver!$G$201-Driver!$F$201),1)</f>
        <v/>
      </c>
      <c r="BJ1243" s="102">
        <f>(CB1243-Driver!$F$206)/(Driver!$G$206-Driver!$F$206)*$BI$1</f>
        <v/>
      </c>
      <c r="BK1243" s="102">
        <f>(CD1243-Driver!$F$203)/(Driver!$G$203-Driver!$F$203)*$BI$1</f>
        <v/>
      </c>
      <c r="BL1243" s="102">
        <f>MAX((CR1243-Driver!$F$202)/(Driver!$G$202-Driver!$F$202)*$BI$1,1)</f>
        <v/>
      </c>
      <c r="BM1243" s="102">
        <f>MAX((CH1243-Driver!$F$204)/(Driver!$G$204-Driver!$F$204)*$BI$1,1)</f>
        <v/>
      </c>
      <c r="BN1243" s="102">
        <f>(CI1243-Driver!$F$205)/(Driver!$G$205-Driver!$F$205)*$BI$1</f>
        <v/>
      </c>
      <c r="BO1243" s="102">
        <f>(CK1243-Driver!$F$207)/(Driver!$G$207-Driver!$F$207)*$BI$1</f>
        <v/>
      </c>
      <c r="BP1243" s="102">
        <f>(CM1243-Driver!$F$208)/(Driver!$G$208-Driver!$F$208)*$BI$1</f>
        <v/>
      </c>
      <c r="BQ1243" s="102">
        <f>(CL1243-Driver!$F$209)/(Driver!$G$209-Driver!$F$209)*$BI$1</f>
        <v/>
      </c>
      <c r="BR1243" s="40" t="inlineStr">
        <is>
          <t>21/22</t>
        </is>
      </c>
      <c r="BS1243" s="10" t="inlineStr">
        <is>
          <t xml:space="preserve"> Rossignol</t>
        </is>
      </c>
      <c r="BT1243" s="11" t="inlineStr">
        <is>
          <t>Hero Elite Long Turn Ti</t>
        </is>
      </c>
      <c r="BU1243" s="13" t="n">
        <v>172</v>
      </c>
      <c r="BV1243" s="11" t="inlineStr">
        <is>
          <t xml:space="preserve"> Unisex</t>
        </is>
      </c>
      <c r="BW1243" s="13" t="n">
        <v>172</v>
      </c>
      <c r="BX1243" s="13" t="n">
        <v>171.4</v>
      </c>
      <c r="BY1243" s="13" t="n">
        <v>151</v>
      </c>
      <c r="BZ1243" s="13" t="n">
        <v>160</v>
      </c>
      <c r="CA1243" s="13" t="n">
        <v>118</v>
      </c>
      <c r="CB1243" s="13" t="n">
        <v>69</v>
      </c>
      <c r="CC1243" s="13" t="n">
        <v>100</v>
      </c>
      <c r="CD1243" s="13" t="n">
        <v>16.4</v>
      </c>
      <c r="CE1243" s="13" t="n">
        <v>2051</v>
      </c>
      <c r="CF1243" s="13" t="n">
        <v>0.7</v>
      </c>
      <c r="CG1243" s="13" t="n">
        <v>1435</v>
      </c>
      <c r="CH1243" s="13" t="n">
        <v>263</v>
      </c>
      <c r="CI1243" s="13" t="n">
        <v>145</v>
      </c>
      <c r="CJ1243" s="13" t="n">
        <v>39</v>
      </c>
      <c r="CK1243" s="13" t="n">
        <v>147</v>
      </c>
      <c r="CL1243" s="13" t="n">
        <v>4</v>
      </c>
      <c r="CM1243" s="13" t="n">
        <v>52</v>
      </c>
      <c r="CN1243" s="13" t="n">
        <v>0.115</v>
      </c>
      <c r="CO1243" s="13" t="n">
        <v>71</v>
      </c>
      <c r="CP1243" s="13" t="n">
        <v>44</v>
      </c>
      <c r="CQ1243" s="13" t="n">
        <v>76</v>
      </c>
      <c r="CR1243" s="13" t="n">
        <v>11</v>
      </c>
      <c r="CS1243" s="13" t="n">
        <v>11.4</v>
      </c>
      <c r="CT1243" s="11" t="inlineStr">
        <is>
          <t xml:space="preserve"> On-Piste Carving</t>
        </is>
      </c>
      <c r="CU1243" s="13" t="n"/>
      <c r="CV1243" s="13" t="n"/>
      <c r="CW1243" s="13" t="n"/>
      <c r="CX1243">
        <f>INDEX('Data_Price '!AG$2:AG$1266,MATCH(Data!$DN1243,'Data_Price '!$AT$2:$AT$1266,0))</f>
        <v/>
      </c>
      <c r="CY1243">
        <f>INDEX('Data_Price '!AH$2:AH$1266,MATCH(Data!$DN1243,'Data_Price '!$AT$2:$AT$1266,0))</f>
        <v/>
      </c>
      <c r="CZ1243">
        <f>INDEX('Data_Price '!AI$2:AI$1266,MATCH(Data!$DN1243,'Data_Price '!$AT$2:$AT$1266,0))</f>
        <v/>
      </c>
      <c r="DA1243">
        <f>INDEX('Data_Price '!AJ$2:AJ$1266,MATCH(Data!$DN1243,'Data_Price '!$AT$2:$AT$1266,0))</f>
        <v/>
      </c>
      <c r="DB1243">
        <f>INDEX('Data_Price '!AK$2:AK$1266,MATCH(Data!$DN1243,'Data_Price '!$AT$2:$AT$1266,0))</f>
        <v/>
      </c>
      <c r="DC1243">
        <f>INDEX('Data_Price '!AL$2:AL$1266,MATCH(Data!$DN1243,'Data_Price '!$AT$2:$AT$1266,0))</f>
        <v/>
      </c>
      <c r="DD1243">
        <f>INDEX('Data_Price '!AM$2:AM$1266,MATCH(Data!$DN1243,'Data_Price '!$AT$2:$AT$1266,0))</f>
        <v/>
      </c>
      <c r="DE1243">
        <f>INDEX('Data_Price '!AN$2:AN$1266,MATCH(Data!$DN1243,'Data_Price '!$AT$2:$AT$1266,0))</f>
        <v/>
      </c>
      <c r="DF1243">
        <f>INDEX('Data_Price '!AO$2:AO$1266,MATCH(Data!$DN1243,'Data_Price '!$AT$2:$AT$1266,0))</f>
        <v/>
      </c>
      <c r="DG1243">
        <f>INDEX('Data_Price '!AP$2:AP$1266,MATCH(Data!$DN1243,'Data_Price '!$AT$2:$AT$1266,0))</f>
        <v/>
      </c>
      <c r="DH1243">
        <f>INDEX('Data_Price '!AQ$2:AQ$1266,MATCH(Data!$DN1243,'Data_Price '!$AT$2:$AT$1266,0))</f>
        <v/>
      </c>
      <c r="DI1243">
        <f>INDEX('Data_Price '!AR$2:AR$1266,MATCH(Data!$DN1243,'Data_Price '!$AT$2:$AT$1266,0))</f>
        <v/>
      </c>
      <c r="DJ1243" s="138">
        <f>DA1243</f>
        <v/>
      </c>
      <c r="DK1243" s="138">
        <f>DE1243</f>
        <v/>
      </c>
      <c r="DL1243" s="138">
        <f>DI1243</f>
        <v/>
      </c>
      <c r="DM1243" s="303">
        <f>IF(LEFT(BT1243,1)=" ",RIGHT(BT1243,LEN(BT1243)-1),BT1243)</f>
        <v/>
      </c>
      <c r="DN1243" s="138">
        <f>_xlfn.CONCAT(BS1243,DM1243,BU1243,BV1243)</f>
        <v/>
      </c>
      <c r="DO1243" s="307" t="n"/>
    </row>
    <row r="1244" ht="15.6" customHeight="1" s="184">
      <c r="B1244" s="303">
        <f t="array" ref="B1244">IF(OR(ISERROR(K1244:P1244)),FALSE,TRUE)</f>
        <v/>
      </c>
      <c r="C1244" s="60">
        <f>OR(BR1244=Driver!$G$50,Data!BR282=Driver!$H$50)</f>
        <v/>
      </c>
      <c r="D1244" s="60">
        <f>OR(BV1244=Driver!$G$51,BV1244=Driver!$H$51)</f>
        <v/>
      </c>
      <c r="E1244" s="60">
        <f>AND(BX1244&gt;Driver!$F$54,BX1244&lt;Driver!$G$54)</f>
        <v/>
      </c>
      <c r="F1244" s="60">
        <f>CL1244&gt;Driver!$F$56</f>
        <v/>
      </c>
      <c r="G1244" s="60">
        <f>AND(CB1244&gt;Driver!$F$55,CB1244&lt;Driver!$G$55)</f>
        <v/>
      </c>
      <c r="H1244" s="60">
        <f>AND(B1244:G1244)</f>
        <v/>
      </c>
      <c r="I1244" s="60">
        <f>COUNTIFS($H$9:$H$1273,TRUE,$BT$9:$BT$1273,BT1244)</f>
        <v/>
      </c>
      <c r="J1244" s="60">
        <f t="array" ref="J1244">NOT(OR(($H$9:$H$1273=TRUE)*($I$9:$I$1273&gt;0)*($BT$9:$BT$1273=BT1244)*($K$9:$K$1273&gt;K1244)))</f>
        <v/>
      </c>
      <c r="K1244" s="108">
        <f>IFERROR(1-AVERAGE(X1244:Y1244),"")</f>
        <v/>
      </c>
      <c r="L1244" s="108">
        <f>1-X1244</f>
        <v/>
      </c>
      <c r="M1244" s="108">
        <f>1-Y1244</f>
        <v/>
      </c>
      <c r="N1244" s="108">
        <f>1-Z1244</f>
        <v/>
      </c>
      <c r="O1244" s="108">
        <f>1-AA1244</f>
        <v/>
      </c>
      <c r="P1244" s="108">
        <f>1-AB1244</f>
        <v/>
      </c>
      <c r="Q1244" s="108" t="n"/>
      <c r="R1244" s="108" t="n"/>
      <c r="S1244" s="108">
        <f>1-AE1244</f>
        <v/>
      </c>
      <c r="T1244" s="108">
        <f>1-AF1244</f>
        <v/>
      </c>
      <c r="U1244" s="108">
        <f>1-AG1244</f>
        <v/>
      </c>
      <c r="V1244" s="108">
        <f>1-AH1244</f>
        <v/>
      </c>
      <c r="W1244" s="108">
        <f>1-AI1244</f>
        <v/>
      </c>
      <c r="X1244" s="108">
        <f>ABS(AJ1244-AJ$1)</f>
        <v/>
      </c>
      <c r="Y1244" s="108">
        <f>AVERAGE(Z1244:AB1244)</f>
        <v/>
      </c>
      <c r="Z1244" s="108">
        <f>ABS(AL1244-AL$1)</f>
        <v/>
      </c>
      <c r="AA1244" s="108">
        <f>ABS(AM1244-AM$1)</f>
        <v/>
      </c>
      <c r="AB1244" s="108">
        <f>ABS(AN1244-AN$1)</f>
        <v/>
      </c>
      <c r="AC1244" s="108" t="n"/>
      <c r="AD1244" s="108" t="n"/>
      <c r="AE1244" s="108">
        <f>ABS(AQ$1-AQ1244)</f>
        <v/>
      </c>
      <c r="AF1244" s="108">
        <f>ABS(AR$1-AR1244)</f>
        <v/>
      </c>
      <c r="AG1244" s="108">
        <f>ABS(AS$1-AS1244)</f>
        <v/>
      </c>
      <c r="AH1244" s="108">
        <f>ABS(AT$1-AT1244)</f>
        <v/>
      </c>
      <c r="AI1244" s="108">
        <f>ABS(AU$1-AU1244)</f>
        <v/>
      </c>
      <c r="AJ1244" s="108">
        <f>(AV1244-Driver!$K$179)/(Driver!$L$179-Driver!$K$179)</f>
        <v/>
      </c>
      <c r="AK1244" s="108">
        <f>(AW1244-Driver!$K$180)/(Driver!$L$180-Driver!$K$180)</f>
        <v/>
      </c>
      <c r="AL1244" s="108">
        <f>(AX1244-Driver!$K$181)/(Driver!$L$181-Driver!$K$181)</f>
        <v/>
      </c>
      <c r="AM1244" s="108">
        <f>(AY1244-Driver!$K$182)/(Driver!$L$182-Driver!$K$182)</f>
        <v/>
      </c>
      <c r="AN1244" s="108">
        <f>(AZ1244-Driver!$K$183)/(Driver!$L$183-Driver!$K$183)</f>
        <v/>
      </c>
      <c r="AO1244" s="108" t="n"/>
      <c r="AP1244" s="108" t="n"/>
      <c r="AQ1244" s="108">
        <f>(BC1244-Driver!$K$188)/(Driver!$L$188-Driver!$K$188)</f>
        <v/>
      </c>
      <c r="AR1244" s="108">
        <f>MIN((BD1244-Driver!$K$189)/(Driver!$L$189-Driver!$K$189),100%)</f>
        <v/>
      </c>
      <c r="AS1244" s="108">
        <f>(BE1244-Driver!$K$190)/(Driver!$L$190-Driver!$K$190)</f>
        <v/>
      </c>
      <c r="AT1244" s="108">
        <f>(BF1244-Driver!$K$191)/(Driver!$L$191-Driver!$K$191)</f>
        <v/>
      </c>
      <c r="AU1244" s="108">
        <f>(BG1244-Driver!$K$192)/(Driver!$L$192-Driver!$K$192)</f>
        <v/>
      </c>
      <c r="AV1244" s="105">
        <f>IFERROR(BM1244*BJ1244^1/4,"")</f>
        <v/>
      </c>
      <c r="AW1244" s="105">
        <f>IFERROR(SUM(AX1244:AZ1244),"")</f>
        <v/>
      </c>
      <c r="AX1244" s="105">
        <f>IFERROR(BH1244,"")</f>
        <v/>
      </c>
      <c r="AY1244" s="105">
        <f>IFERROR(Driver!$K$19/Data!BH1244/Data!BI1244*Data!BK1244*Data!BL1244,"")</f>
        <v/>
      </c>
      <c r="AZ1244" s="105">
        <f>IFERROR(BI1244*BN1244,"")</f>
        <v/>
      </c>
      <c r="BA1244" s="105" t="n"/>
      <c r="BB1244" s="105" t="n"/>
      <c r="BC1244" s="105">
        <f>IFERROR(BI1244*BN1244*BK1244/BJ1244^(1/2),"")</f>
        <v/>
      </c>
      <c r="BD1244" s="105">
        <f>IFERROR(BH1244*BM1244*BL1244/BJ1244/BK1244,"")</f>
        <v/>
      </c>
      <c r="BE1244" s="105">
        <f>IFERROR(MIN(BI1244/BQ1244/BP1244/BO1244/BH1244,$BE$1),"")</f>
        <v/>
      </c>
      <c r="BF1244" s="105">
        <f>IFERROR(BJ1244*BO1244*BP1244/BK1244,"")</f>
        <v/>
      </c>
      <c r="BG1244" s="105">
        <f>IFERROR(1/BM1244/BH1244*BQ1244,"")</f>
        <v/>
      </c>
      <c r="BH1244" s="102">
        <f>MAX((CE1244-Driver!$F$200)/(Driver!$G$200-Driver!$F$200)*$BI$1,1)</f>
        <v/>
      </c>
      <c r="BI1244" s="102">
        <f>MAX($BI$1*(BY1244-Driver!$F$201)/(Driver!$G$201-Driver!$F$201),1)</f>
        <v/>
      </c>
      <c r="BJ1244" s="102">
        <f>(CB1244-Driver!$F$206)/(Driver!$G$206-Driver!$F$206)*$BI$1</f>
        <v/>
      </c>
      <c r="BK1244" s="102">
        <f>(CD1244-Driver!$F$203)/(Driver!$G$203-Driver!$F$203)*$BI$1</f>
        <v/>
      </c>
      <c r="BL1244" s="102">
        <f>MAX((CR1244-Driver!$F$202)/(Driver!$G$202-Driver!$F$202)*$BI$1,1)</f>
        <v/>
      </c>
      <c r="BM1244" s="102">
        <f>MAX((CH1244-Driver!$F$204)/(Driver!$G$204-Driver!$F$204)*$BI$1,1)</f>
        <v/>
      </c>
      <c r="BN1244" s="102">
        <f>(CI1244-Driver!$F$205)/(Driver!$G$205-Driver!$F$205)*$BI$1</f>
        <v/>
      </c>
      <c r="BO1244" s="102">
        <f>(CK1244-Driver!$F$207)/(Driver!$G$207-Driver!$F$207)*$BI$1</f>
        <v/>
      </c>
      <c r="BP1244" s="102">
        <f>(CM1244-Driver!$F$208)/(Driver!$G$208-Driver!$F$208)*$BI$1</f>
        <v/>
      </c>
      <c r="BQ1244" s="102">
        <f>(CL1244-Driver!$F$209)/(Driver!$G$209-Driver!$F$209)*$BI$1</f>
        <v/>
      </c>
      <c r="BR1244" s="40" t="inlineStr">
        <is>
          <t>21/22</t>
        </is>
      </c>
      <c r="BS1244" s="10" t="inlineStr">
        <is>
          <t xml:space="preserve"> Blizzard</t>
        </is>
      </c>
      <c r="BT1244" s="11" t="inlineStr">
        <is>
          <t xml:space="preserve"> HRC</t>
        </is>
      </c>
      <c r="BU1244" s="13" t="n">
        <v>174</v>
      </c>
      <c r="BV1244" s="11" t="inlineStr">
        <is>
          <t xml:space="preserve"> Unisex</t>
        </is>
      </c>
      <c r="BW1244" s="13" t="n">
        <v>174</v>
      </c>
      <c r="BX1244" s="13" t="n">
        <v>173.1</v>
      </c>
      <c r="BY1244" s="13" t="n">
        <v>156</v>
      </c>
      <c r="BZ1244" s="13" t="n">
        <v>160</v>
      </c>
      <c r="CA1244" s="13" t="n">
        <v>125</v>
      </c>
      <c r="CB1244" s="13" t="n">
        <v>75</v>
      </c>
      <c r="CC1244" s="13" t="n">
        <v>106</v>
      </c>
      <c r="CD1244" s="13" t="n">
        <v>15.2</v>
      </c>
      <c r="CE1244" s="13" t="n">
        <v>2192</v>
      </c>
      <c r="CF1244" s="13" t="n">
        <v>0.71</v>
      </c>
      <c r="CG1244" s="13" t="n">
        <v>1555</v>
      </c>
      <c r="CH1244" s="13" t="n">
        <v>229</v>
      </c>
      <c r="CI1244" s="13" t="n">
        <v>142</v>
      </c>
      <c r="CJ1244" s="13" t="n">
        <v>37</v>
      </c>
      <c r="CK1244" s="13" t="n">
        <v>122</v>
      </c>
      <c r="CL1244" s="13" t="n">
        <v>5</v>
      </c>
      <c r="CM1244" s="13" t="n">
        <v>51</v>
      </c>
      <c r="CN1244" s="13" t="n">
        <v>0.148</v>
      </c>
      <c r="CO1244" s="13" t="n">
        <v>76</v>
      </c>
      <c r="CP1244" s="13" t="n">
        <v>52</v>
      </c>
      <c r="CQ1244" s="13" t="n">
        <v>46</v>
      </c>
      <c r="CR1244" s="13" t="n">
        <v>9</v>
      </c>
      <c r="CS1244" s="13" t="n">
        <v>11.1</v>
      </c>
      <c r="CT1244" s="11" t="inlineStr">
        <is>
          <t xml:space="preserve"> On-Piste Carving</t>
        </is>
      </c>
      <c r="CU1244" s="13" t="n"/>
      <c r="CV1244" s="13" t="n"/>
      <c r="CW1244" s="13" t="n"/>
      <c r="CX1244">
        <f>INDEX('Data_Price '!AG$2:AG$1266,MATCH(Data!$DN1244,'Data_Price '!$AT$2:$AT$1266,0))</f>
        <v/>
      </c>
      <c r="CY1244">
        <f>INDEX('Data_Price '!AH$2:AH$1266,MATCH(Data!$DN1244,'Data_Price '!$AT$2:$AT$1266,0))</f>
        <v/>
      </c>
      <c r="CZ1244">
        <f>INDEX('Data_Price '!AI$2:AI$1266,MATCH(Data!$DN1244,'Data_Price '!$AT$2:$AT$1266,0))</f>
        <v/>
      </c>
      <c r="DA1244">
        <f>INDEX('Data_Price '!AJ$2:AJ$1266,MATCH(Data!$DN1244,'Data_Price '!$AT$2:$AT$1266,0))</f>
        <v/>
      </c>
      <c r="DB1244">
        <f>INDEX('Data_Price '!AK$2:AK$1266,MATCH(Data!$DN1244,'Data_Price '!$AT$2:$AT$1266,0))</f>
        <v/>
      </c>
      <c r="DC1244">
        <f>INDEX('Data_Price '!AL$2:AL$1266,MATCH(Data!$DN1244,'Data_Price '!$AT$2:$AT$1266,0))</f>
        <v/>
      </c>
      <c r="DD1244">
        <f>INDEX('Data_Price '!AM$2:AM$1266,MATCH(Data!$DN1244,'Data_Price '!$AT$2:$AT$1266,0))</f>
        <v/>
      </c>
      <c r="DE1244">
        <f>INDEX('Data_Price '!AN$2:AN$1266,MATCH(Data!$DN1244,'Data_Price '!$AT$2:$AT$1266,0))</f>
        <v/>
      </c>
      <c r="DF1244">
        <f>INDEX('Data_Price '!AO$2:AO$1266,MATCH(Data!$DN1244,'Data_Price '!$AT$2:$AT$1266,0))</f>
        <v/>
      </c>
      <c r="DG1244">
        <f>INDEX('Data_Price '!AP$2:AP$1266,MATCH(Data!$DN1244,'Data_Price '!$AT$2:$AT$1266,0))</f>
        <v/>
      </c>
      <c r="DH1244">
        <f>INDEX('Data_Price '!AQ$2:AQ$1266,MATCH(Data!$DN1244,'Data_Price '!$AT$2:$AT$1266,0))</f>
        <v/>
      </c>
      <c r="DI1244">
        <f>INDEX('Data_Price '!AR$2:AR$1266,MATCH(Data!$DN1244,'Data_Price '!$AT$2:$AT$1266,0))</f>
        <v/>
      </c>
      <c r="DJ1244" s="138">
        <f>DA1244</f>
        <v/>
      </c>
      <c r="DK1244" s="138">
        <f>DE1244</f>
        <v/>
      </c>
      <c r="DL1244" s="138">
        <f>DI1244</f>
        <v/>
      </c>
      <c r="DM1244" s="303">
        <f>IF(LEFT(BT1244,1)=" ",RIGHT(BT1244,LEN(BT1244)-1),BT1244)</f>
        <v/>
      </c>
      <c r="DN1244" s="138">
        <f>_xlfn.CONCAT(BS1244,DM1244,BU1244,BV1244)</f>
        <v/>
      </c>
      <c r="DO1244" s="307" t="n"/>
    </row>
    <row r="1245" ht="15.6" customHeight="1" s="184">
      <c r="B1245" s="303">
        <f t="array" ref="B1245">IF(OR(ISERROR(K1245:P1245)),FALSE,TRUE)</f>
        <v/>
      </c>
      <c r="C1245" s="60">
        <f>OR(BR1245=Driver!$G$50,Data!BR80=Driver!$H$50)</f>
        <v/>
      </c>
      <c r="D1245" s="60">
        <f>OR(BV1245=Driver!$G$51,BV1245=Driver!$H$51)</f>
        <v/>
      </c>
      <c r="E1245" s="60">
        <f>AND(BX1245&gt;Driver!$F$54,BX1245&lt;Driver!$G$54)</f>
        <v/>
      </c>
      <c r="F1245" s="60">
        <f>CL1245&gt;Driver!$F$56</f>
        <v/>
      </c>
      <c r="G1245" s="60">
        <f>AND(CB1245&gt;Driver!$F$55,CB1245&lt;Driver!$G$55)</f>
        <v/>
      </c>
      <c r="H1245" s="60">
        <f>AND(B1245:G1245)</f>
        <v/>
      </c>
      <c r="I1245" s="60">
        <f>COUNTIFS($H$9:$H$1273,TRUE,$BT$9:$BT$1273,BT1245)</f>
        <v/>
      </c>
      <c r="J1245" s="60">
        <f t="array" ref="J1245">NOT(OR(($H$9:$H$1273=TRUE)*($I$9:$I$1273&gt;0)*($BT$9:$BT$1273=BT1245)*($K$9:$K$1273&gt;K1245)))</f>
        <v/>
      </c>
      <c r="K1245" s="108">
        <f>IFERROR(1-AVERAGE(X1245:Y1245),"")</f>
        <v/>
      </c>
      <c r="L1245" s="108">
        <f>1-X1245</f>
        <v/>
      </c>
      <c r="M1245" s="108">
        <f>1-Y1245</f>
        <v/>
      </c>
      <c r="N1245" s="108">
        <f>1-Z1245</f>
        <v/>
      </c>
      <c r="O1245" s="108">
        <f>1-AA1245</f>
        <v/>
      </c>
      <c r="P1245" s="108">
        <f>1-AB1245</f>
        <v/>
      </c>
      <c r="Q1245" s="108" t="n"/>
      <c r="R1245" s="108" t="n"/>
      <c r="S1245" s="108">
        <f>1-AE1245</f>
        <v/>
      </c>
      <c r="T1245" s="108">
        <f>1-AF1245</f>
        <v/>
      </c>
      <c r="U1245" s="108">
        <f>1-AG1245</f>
        <v/>
      </c>
      <c r="V1245" s="108">
        <f>1-AH1245</f>
        <v/>
      </c>
      <c r="W1245" s="108">
        <f>1-AI1245</f>
        <v/>
      </c>
      <c r="X1245" s="108">
        <f>ABS(AJ1245-AJ$1)</f>
        <v/>
      </c>
      <c r="Y1245" s="108">
        <f>AVERAGE(Z1245:AB1245)</f>
        <v/>
      </c>
      <c r="Z1245" s="108">
        <f>ABS(AL1245-AL$1)</f>
        <v/>
      </c>
      <c r="AA1245" s="108">
        <f>ABS(AM1245-AM$1)</f>
        <v/>
      </c>
      <c r="AB1245" s="108">
        <f>ABS(AN1245-AN$1)</f>
        <v/>
      </c>
      <c r="AC1245" s="108" t="n"/>
      <c r="AD1245" s="108" t="n"/>
      <c r="AE1245" s="108">
        <f>ABS(AQ$1-AQ1245)</f>
        <v/>
      </c>
      <c r="AF1245" s="108">
        <f>ABS(AR$1-AR1245)</f>
        <v/>
      </c>
      <c r="AG1245" s="108">
        <f>ABS(AS$1-AS1245)</f>
        <v/>
      </c>
      <c r="AH1245" s="108">
        <f>ABS(AT$1-AT1245)</f>
        <v/>
      </c>
      <c r="AI1245" s="108">
        <f>ABS(AU$1-AU1245)</f>
        <v/>
      </c>
      <c r="AJ1245" s="108">
        <f>(AV1245-Driver!$K$179)/(Driver!$L$179-Driver!$K$179)</f>
        <v/>
      </c>
      <c r="AK1245" s="108">
        <f>(AW1245-Driver!$K$180)/(Driver!$L$180-Driver!$K$180)</f>
        <v/>
      </c>
      <c r="AL1245" s="108">
        <f>(AX1245-Driver!$K$181)/(Driver!$L$181-Driver!$K$181)</f>
        <v/>
      </c>
      <c r="AM1245" s="108">
        <f>(AY1245-Driver!$K$182)/(Driver!$L$182-Driver!$K$182)</f>
        <v/>
      </c>
      <c r="AN1245" s="108">
        <f>(AZ1245-Driver!$K$183)/(Driver!$L$183-Driver!$K$183)</f>
        <v/>
      </c>
      <c r="AO1245" s="108" t="n"/>
      <c r="AP1245" s="108" t="n"/>
      <c r="AQ1245" s="108">
        <f>(BC1245-Driver!$K$188)/(Driver!$L$188-Driver!$K$188)</f>
        <v/>
      </c>
      <c r="AR1245" s="108">
        <f>MIN((BD1245-Driver!$K$189)/(Driver!$L$189-Driver!$K$189),100%)</f>
        <v/>
      </c>
      <c r="AS1245" s="108">
        <f>(BE1245-Driver!$K$190)/(Driver!$L$190-Driver!$K$190)</f>
        <v/>
      </c>
      <c r="AT1245" s="108">
        <f>(BF1245-Driver!$K$191)/(Driver!$L$191-Driver!$K$191)</f>
        <v/>
      </c>
      <c r="AU1245" s="108">
        <f>(BG1245-Driver!$K$192)/(Driver!$L$192-Driver!$K$192)</f>
        <v/>
      </c>
      <c r="AV1245" s="105">
        <f>IFERROR(BM1245*BJ1245^1/4,"")</f>
        <v/>
      </c>
      <c r="AW1245" s="105">
        <f>IFERROR(SUM(AX1245:AZ1245),"")</f>
        <v/>
      </c>
      <c r="AX1245" s="105">
        <f>IFERROR(BH1245,"")</f>
        <v/>
      </c>
      <c r="AY1245" s="105">
        <f>IFERROR(Driver!$K$19/Data!BH1245/Data!BI1245*Data!BK1245*Data!BL1245,"")</f>
        <v/>
      </c>
      <c r="AZ1245" s="105">
        <f>IFERROR(BI1245*BN1245,"")</f>
        <v/>
      </c>
      <c r="BA1245" s="105" t="n"/>
      <c r="BB1245" s="105" t="n"/>
      <c r="BC1245" s="105">
        <f>IFERROR(BI1245*BN1245*BK1245/BJ1245^(1/2),"")</f>
        <v/>
      </c>
      <c r="BD1245" s="105">
        <f>IFERROR(BH1245*BM1245*BL1245/BJ1245/BK1245,"")</f>
        <v/>
      </c>
      <c r="BE1245" s="105">
        <f>IFERROR(MIN(BI1245/BQ1245/BP1245/BO1245/BH1245,$BE$1),"")</f>
        <v/>
      </c>
      <c r="BF1245" s="105">
        <f>IFERROR(BJ1245*BO1245*BP1245/BK1245,"")</f>
        <v/>
      </c>
      <c r="BG1245" s="105">
        <f>IFERROR(1/BM1245/BH1245*BQ1245,"")</f>
        <v/>
      </c>
      <c r="BH1245" s="102">
        <f>MAX((CE1245-Driver!$F$200)/(Driver!$G$200-Driver!$F$200)*$BI$1,1)</f>
        <v/>
      </c>
      <c r="BI1245" s="102">
        <f>MAX($BI$1*(BY1245-Driver!$F$201)/(Driver!$G$201-Driver!$F$201),1)</f>
        <v/>
      </c>
      <c r="BJ1245" s="102">
        <f>(CB1245-Driver!$F$206)/(Driver!$G$206-Driver!$F$206)*$BI$1</f>
        <v/>
      </c>
      <c r="BK1245" s="102">
        <f>(CD1245-Driver!$F$203)/(Driver!$G$203-Driver!$F$203)*$BI$1</f>
        <v/>
      </c>
      <c r="BL1245" s="102">
        <f>MAX((CR1245-Driver!$F$202)/(Driver!$G$202-Driver!$F$202)*$BI$1,1)</f>
        <v/>
      </c>
      <c r="BM1245" s="102">
        <f>MAX((CH1245-Driver!$F$204)/(Driver!$G$204-Driver!$F$204)*$BI$1,1)</f>
        <v/>
      </c>
      <c r="BN1245" s="102">
        <f>(CI1245-Driver!$F$205)/(Driver!$G$205-Driver!$F$205)*$BI$1</f>
        <v/>
      </c>
      <c r="BO1245" s="102">
        <f>(CK1245-Driver!$F$207)/(Driver!$G$207-Driver!$F$207)*$BI$1</f>
        <v/>
      </c>
      <c r="BP1245" s="102">
        <f>(CM1245-Driver!$F$208)/(Driver!$G$208-Driver!$F$208)*$BI$1</f>
        <v/>
      </c>
      <c r="BQ1245" s="102">
        <f>(CL1245-Driver!$F$209)/(Driver!$G$209-Driver!$F$209)*$BI$1</f>
        <v/>
      </c>
      <c r="BR1245" s="40" t="inlineStr">
        <is>
          <t>21/22</t>
        </is>
      </c>
      <c r="BS1245" s="10" t="inlineStr">
        <is>
          <t xml:space="preserve"> Armada</t>
        </is>
      </c>
      <c r="BT1245" s="11" t="inlineStr">
        <is>
          <t xml:space="preserve"> Magic J</t>
        </is>
      </c>
      <c r="BU1245" s="13" t="n">
        <v>190</v>
      </c>
      <c r="BV1245" s="11" t="inlineStr">
        <is>
          <t xml:space="preserve"> Unisex</t>
        </is>
      </c>
      <c r="BW1245" s="13" t="n">
        <v>190</v>
      </c>
      <c r="BX1245" s="13" t="n">
        <v>188.7</v>
      </c>
      <c r="BY1245" s="13" t="n">
        <v>110</v>
      </c>
      <c r="BZ1245" s="13" t="n">
        <v>126</v>
      </c>
      <c r="CA1245" s="13" t="n">
        <v>142</v>
      </c>
      <c r="CB1245" s="13" t="n">
        <v>125</v>
      </c>
      <c r="CC1245" s="13" t="n">
        <v>139</v>
      </c>
      <c r="CD1245" s="13" t="n">
        <v>22.7</v>
      </c>
      <c r="CE1245" s="13" t="n">
        <v>2529</v>
      </c>
      <c r="CF1245" s="13" t="n">
        <v>0.98</v>
      </c>
      <c r="CG1245" s="13" t="n">
        <v>2479</v>
      </c>
      <c r="CH1245" s="13" t="n">
        <v>266</v>
      </c>
      <c r="CI1245" s="13" t="n">
        <v>133</v>
      </c>
      <c r="CJ1245" s="13" t="n">
        <v>56</v>
      </c>
      <c r="CK1245" s="13" t="n">
        <v>410</v>
      </c>
      <c r="CL1245" s="13" t="n">
        <v>58</v>
      </c>
      <c r="CM1245" s="13" t="n">
        <v>375</v>
      </c>
      <c r="CN1245" s="13" t="n">
        <v>1.043</v>
      </c>
      <c r="CO1245" s="13" t="n">
        <v>333</v>
      </c>
      <c r="CP1245" s="13" t="n">
        <v>294</v>
      </c>
      <c r="CQ1245" s="13" t="n">
        <v>77</v>
      </c>
      <c r="CR1245" s="13" t="n">
        <v>8</v>
      </c>
      <c r="CS1245" s="13" t="n">
        <v>4.3</v>
      </c>
      <c r="CT1245" s="11" t="inlineStr">
        <is>
          <t xml:space="preserve"> Freeski</t>
        </is>
      </c>
      <c r="CU1245" s="11" t="inlineStr">
        <is>
          <t xml:space="preserve"> Powder</t>
        </is>
      </c>
      <c r="CV1245" s="13" t="n"/>
      <c r="CW1245" s="13" t="n"/>
      <c r="CX1245">
        <f>INDEX('Data_Price '!AG$2:AG$1266,MATCH(Data!$DN1245,'Data_Price '!$AT$2:$AT$1266,0))</f>
        <v/>
      </c>
      <c r="CY1245">
        <f>INDEX('Data_Price '!AH$2:AH$1266,MATCH(Data!$DN1245,'Data_Price '!$AT$2:$AT$1266,0))</f>
        <v/>
      </c>
      <c r="CZ1245">
        <f>INDEX('Data_Price '!AI$2:AI$1266,MATCH(Data!$DN1245,'Data_Price '!$AT$2:$AT$1266,0))</f>
        <v/>
      </c>
      <c r="DA1245">
        <f>INDEX('Data_Price '!AJ$2:AJ$1266,MATCH(Data!$DN1245,'Data_Price '!$AT$2:$AT$1266,0))</f>
        <v/>
      </c>
      <c r="DB1245">
        <f>INDEX('Data_Price '!AK$2:AK$1266,MATCH(Data!$DN1245,'Data_Price '!$AT$2:$AT$1266,0))</f>
        <v/>
      </c>
      <c r="DC1245">
        <f>INDEX('Data_Price '!AL$2:AL$1266,MATCH(Data!$DN1245,'Data_Price '!$AT$2:$AT$1266,0))</f>
        <v/>
      </c>
      <c r="DD1245">
        <f>INDEX('Data_Price '!AM$2:AM$1266,MATCH(Data!$DN1245,'Data_Price '!$AT$2:$AT$1266,0))</f>
        <v/>
      </c>
      <c r="DE1245">
        <f>INDEX('Data_Price '!AN$2:AN$1266,MATCH(Data!$DN1245,'Data_Price '!$AT$2:$AT$1266,0))</f>
        <v/>
      </c>
      <c r="DF1245">
        <f>INDEX('Data_Price '!AO$2:AO$1266,MATCH(Data!$DN1245,'Data_Price '!$AT$2:$AT$1266,0))</f>
        <v/>
      </c>
      <c r="DG1245">
        <f>INDEX('Data_Price '!AP$2:AP$1266,MATCH(Data!$DN1245,'Data_Price '!$AT$2:$AT$1266,0))</f>
        <v/>
      </c>
      <c r="DH1245">
        <f>INDEX('Data_Price '!AQ$2:AQ$1266,MATCH(Data!$DN1245,'Data_Price '!$AT$2:$AT$1266,0))</f>
        <v/>
      </c>
      <c r="DI1245">
        <f>INDEX('Data_Price '!AR$2:AR$1266,MATCH(Data!$DN1245,'Data_Price '!$AT$2:$AT$1266,0))</f>
        <v/>
      </c>
      <c r="DJ1245" s="138">
        <f>DA1245</f>
        <v/>
      </c>
      <c r="DK1245" s="138">
        <f>DE1245</f>
        <v/>
      </c>
      <c r="DL1245" s="138">
        <f>DI1245</f>
        <v/>
      </c>
      <c r="DM1245" s="303">
        <f>IF(LEFT(BT1245,1)=" ",RIGHT(BT1245,LEN(BT1245)-1),BT1245)</f>
        <v/>
      </c>
      <c r="DN1245" s="138">
        <f>_xlfn.CONCAT(BS1245,DM1245,BU1245,BV1245)</f>
        <v/>
      </c>
      <c r="DO1245" s="307" t="inlineStr">
        <is>
          <t>https://images.evo.com/imgp/250/198692/839658/armada-magic-j-skis-2022-.jpg</t>
        </is>
      </c>
    </row>
    <row r="1246" ht="15.6" customHeight="1" s="184">
      <c r="B1246" s="303">
        <f t="array" ref="B1246">IF(OR(ISERROR(K1246:P1246)),FALSE,TRUE)</f>
        <v/>
      </c>
      <c r="C1246" s="60">
        <f>OR(BR1246=Driver!$G$50,Data!BR1235=Driver!$H$50)</f>
        <v/>
      </c>
      <c r="D1246" s="60">
        <f>OR(BV1246=Driver!$G$51,BV1246=Driver!$H$51)</f>
        <v/>
      </c>
      <c r="E1246" s="60">
        <f>AND(BX1246&gt;Driver!$F$54,BX1246&lt;Driver!$G$54)</f>
        <v/>
      </c>
      <c r="F1246" s="60">
        <f>CL1246&gt;Driver!$F$56</f>
        <v/>
      </c>
      <c r="G1246" s="60">
        <f>AND(CB1246&gt;Driver!$F$55,CB1246&lt;Driver!$G$55)</f>
        <v/>
      </c>
      <c r="H1246" s="60">
        <f>AND(B1246:G1246)</f>
        <v/>
      </c>
      <c r="I1246" s="60">
        <f>COUNTIFS($H$9:$H$1273,TRUE,$BT$9:$BT$1273,BT1246)</f>
        <v/>
      </c>
      <c r="J1246" s="60">
        <f t="array" ref="J1246">NOT(OR(($H$9:$H$1273=TRUE)*($I$9:$I$1273&gt;0)*($BT$9:$BT$1273=BT1246)*($K$9:$K$1273&gt;K1246)))</f>
        <v/>
      </c>
      <c r="K1246" s="108">
        <f>IFERROR(1-AVERAGE(X1246:Y1246),"")</f>
        <v/>
      </c>
      <c r="L1246" s="108">
        <f>1-X1246</f>
        <v/>
      </c>
      <c r="M1246" s="108">
        <f>1-Y1246</f>
        <v/>
      </c>
      <c r="N1246" s="108">
        <f>1-Z1246</f>
        <v/>
      </c>
      <c r="O1246" s="108">
        <f>1-AA1246</f>
        <v/>
      </c>
      <c r="P1246" s="108">
        <f>1-AB1246</f>
        <v/>
      </c>
      <c r="Q1246" s="108" t="n"/>
      <c r="R1246" s="108" t="n"/>
      <c r="S1246" s="108">
        <f>1-AE1246</f>
        <v/>
      </c>
      <c r="T1246" s="108">
        <f>1-AF1246</f>
        <v/>
      </c>
      <c r="U1246" s="108">
        <f>1-AG1246</f>
        <v/>
      </c>
      <c r="V1246" s="108">
        <f>1-AH1246</f>
        <v/>
      </c>
      <c r="W1246" s="108">
        <f>1-AI1246</f>
        <v/>
      </c>
      <c r="X1246" s="108">
        <f>ABS(AJ1246-AJ$1)</f>
        <v/>
      </c>
      <c r="Y1246" s="108">
        <f>AVERAGE(Z1246:AB1246)</f>
        <v/>
      </c>
      <c r="Z1246" s="108">
        <f>ABS(AL1246-AL$1)</f>
        <v/>
      </c>
      <c r="AA1246" s="108">
        <f>ABS(AM1246-AM$1)</f>
        <v/>
      </c>
      <c r="AB1246" s="108">
        <f>ABS(AN1246-AN$1)</f>
        <v/>
      </c>
      <c r="AC1246" s="108" t="n"/>
      <c r="AD1246" s="108" t="n"/>
      <c r="AE1246" s="108">
        <f>ABS(AQ$1-AQ1246)</f>
        <v/>
      </c>
      <c r="AF1246" s="108">
        <f>ABS(AR$1-AR1246)</f>
        <v/>
      </c>
      <c r="AG1246" s="108">
        <f>ABS(AS$1-AS1246)</f>
        <v/>
      </c>
      <c r="AH1246" s="108">
        <f>ABS(AT$1-AT1246)</f>
        <v/>
      </c>
      <c r="AI1246" s="108">
        <f>ABS(AU$1-AU1246)</f>
        <v/>
      </c>
      <c r="AJ1246" s="108">
        <f>(AV1246-Driver!$K$179)/(Driver!$L$179-Driver!$K$179)</f>
        <v/>
      </c>
      <c r="AK1246" s="108">
        <f>(AW1246-Driver!$K$180)/(Driver!$L$180-Driver!$K$180)</f>
        <v/>
      </c>
      <c r="AL1246" s="108">
        <f>(AX1246-Driver!$K$181)/(Driver!$L$181-Driver!$K$181)</f>
        <v/>
      </c>
      <c r="AM1246" s="108">
        <f>(AY1246-Driver!$K$182)/(Driver!$L$182-Driver!$K$182)</f>
        <v/>
      </c>
      <c r="AN1246" s="108">
        <f>(AZ1246-Driver!$K$183)/(Driver!$L$183-Driver!$K$183)</f>
        <v/>
      </c>
      <c r="AO1246" s="108" t="n"/>
      <c r="AP1246" s="108" t="n"/>
      <c r="AQ1246" s="108">
        <f>(BC1246-Driver!$K$188)/(Driver!$L$188-Driver!$K$188)</f>
        <v/>
      </c>
      <c r="AR1246" s="108">
        <f>MIN((BD1246-Driver!$K$189)/(Driver!$L$189-Driver!$K$189),100%)</f>
        <v/>
      </c>
      <c r="AS1246" s="108">
        <f>(BE1246-Driver!$K$190)/(Driver!$L$190-Driver!$K$190)</f>
        <v/>
      </c>
      <c r="AT1246" s="108">
        <f>(BF1246-Driver!$K$191)/(Driver!$L$191-Driver!$K$191)</f>
        <v/>
      </c>
      <c r="AU1246" s="108">
        <f>(BG1246-Driver!$K$192)/(Driver!$L$192-Driver!$K$192)</f>
        <v/>
      </c>
      <c r="AV1246" s="105">
        <f>IFERROR(BM1246*BJ1246^1/4,"")</f>
        <v/>
      </c>
      <c r="AW1246" s="105">
        <f>IFERROR(SUM(AX1246:AZ1246),"")</f>
        <v/>
      </c>
      <c r="AX1246" s="105">
        <f>IFERROR(BH1246,"")</f>
        <v/>
      </c>
      <c r="AY1246" s="105">
        <f>IFERROR(Driver!$K$19/Data!BH1246/Data!BI1246*Data!BK1246*Data!BL1246,"")</f>
        <v/>
      </c>
      <c r="AZ1246" s="105">
        <f>IFERROR(BI1246*BN1246,"")</f>
        <v/>
      </c>
      <c r="BA1246" s="105" t="n"/>
      <c r="BB1246" s="105" t="n"/>
      <c r="BC1246" s="105">
        <f>IFERROR(BI1246*BN1246*BK1246/BJ1246^(1/2),"")</f>
        <v/>
      </c>
      <c r="BD1246" s="105">
        <f>IFERROR(BH1246*BM1246*BL1246/BJ1246/BK1246,"")</f>
        <v/>
      </c>
      <c r="BE1246" s="105">
        <f>IFERROR(MIN(BI1246/BQ1246/BP1246/BO1246/BH1246,$BE$1),"")</f>
        <v/>
      </c>
      <c r="BF1246" s="105">
        <f>IFERROR(BJ1246*BO1246*BP1246/BK1246,"")</f>
        <v/>
      </c>
      <c r="BG1246" s="105">
        <f>IFERROR(1/BM1246/BH1246*BQ1246,"")</f>
        <v/>
      </c>
      <c r="BH1246" s="102">
        <f>MAX((CE1246-Driver!$F$200)/(Driver!$G$200-Driver!$F$200)*$BI$1,1)</f>
        <v/>
      </c>
      <c r="BI1246" s="102">
        <f>MAX($BI$1*(BY1246-Driver!$F$201)/(Driver!$G$201-Driver!$F$201),1)</f>
        <v/>
      </c>
      <c r="BJ1246" s="102">
        <f>(CB1246-Driver!$F$206)/(Driver!$G$206-Driver!$F$206)*$BI$1</f>
        <v/>
      </c>
      <c r="BK1246" s="102">
        <f>(CD1246-Driver!$F$203)/(Driver!$G$203-Driver!$F$203)*$BI$1</f>
        <v/>
      </c>
      <c r="BL1246" s="102">
        <f>MAX((CR1246-Driver!$F$202)/(Driver!$G$202-Driver!$F$202)*$BI$1,1)</f>
        <v/>
      </c>
      <c r="BM1246" s="102">
        <f>MAX((CH1246-Driver!$F$204)/(Driver!$G$204-Driver!$F$204)*$BI$1,1)</f>
        <v/>
      </c>
      <c r="BN1246" s="102">
        <f>(CI1246-Driver!$F$205)/(Driver!$G$205-Driver!$F$205)*$BI$1</f>
        <v/>
      </c>
      <c r="BO1246" s="102">
        <f>(CK1246-Driver!$F$207)/(Driver!$G$207-Driver!$F$207)*$BI$1</f>
        <v/>
      </c>
      <c r="BP1246" s="102">
        <f>(CM1246-Driver!$F$208)/(Driver!$G$208-Driver!$F$208)*$BI$1</f>
        <v/>
      </c>
      <c r="BQ1246" s="102">
        <f>(CL1246-Driver!$F$209)/(Driver!$G$209-Driver!$F$209)*$BI$1</f>
        <v/>
      </c>
      <c r="BR1246" s="40" t="inlineStr">
        <is>
          <t>21/22</t>
        </is>
      </c>
      <c r="BS1246" s="10" t="inlineStr">
        <is>
          <t xml:space="preserve"> Völkl</t>
        </is>
      </c>
      <c r="BT1246" s="11" t="inlineStr">
        <is>
          <t xml:space="preserve"> Racetiger SL</t>
        </is>
      </c>
      <c r="BU1246" s="13" t="n">
        <v>170</v>
      </c>
      <c r="BV1246" s="11" t="inlineStr">
        <is>
          <t xml:space="preserve"> Unisex</t>
        </is>
      </c>
      <c r="BW1246" s="13" t="n">
        <v>170</v>
      </c>
      <c r="BX1246" s="13" t="n">
        <v>169.2</v>
      </c>
      <c r="BY1246" s="13" t="n">
        <v>146</v>
      </c>
      <c r="BZ1246" s="13" t="n">
        <v>158</v>
      </c>
      <c r="CA1246" s="13" t="n">
        <v>126</v>
      </c>
      <c r="CB1246" s="13" t="n">
        <v>67</v>
      </c>
      <c r="CC1246" s="13" t="n">
        <v>102</v>
      </c>
      <c r="CD1246" s="13" t="n">
        <v>13.4</v>
      </c>
      <c r="CE1246" s="13" t="n">
        <v>2068</v>
      </c>
      <c r="CF1246" s="13" t="n">
        <v>0.6899999999999999</v>
      </c>
      <c r="CG1246" s="13" t="n">
        <v>1425</v>
      </c>
      <c r="CH1246" s="13" t="n">
        <v>229</v>
      </c>
      <c r="CI1246" s="13" t="n">
        <v>150</v>
      </c>
      <c r="CJ1246" s="13" t="n">
        <v>43</v>
      </c>
      <c r="CK1246" s="13" t="n">
        <v>174</v>
      </c>
      <c r="CL1246" s="13" t="n">
        <v>6</v>
      </c>
      <c r="CM1246" s="13" t="n">
        <v>61</v>
      </c>
      <c r="CN1246" s="13" t="n">
        <v>0.151</v>
      </c>
      <c r="CO1246" s="13" t="n">
        <v>57</v>
      </c>
      <c r="CP1246" s="13" t="n">
        <v>50</v>
      </c>
      <c r="CQ1246" s="13" t="n">
        <v>117</v>
      </c>
      <c r="CR1246" s="13" t="n">
        <v>5</v>
      </c>
      <c r="CS1246" s="13" t="n">
        <v>11.5</v>
      </c>
      <c r="CT1246" s="11" t="inlineStr">
        <is>
          <t xml:space="preserve"> On-Piste Carving</t>
        </is>
      </c>
      <c r="CU1246" s="13" t="n"/>
      <c r="CV1246" s="13" t="n"/>
      <c r="CW1246" s="13" t="n"/>
      <c r="CX1246">
        <f>INDEX('Data_Price '!AG$2:AG$1266,MATCH(Data!$DN1246,'Data_Price '!$AT$2:$AT$1266,0))</f>
        <v/>
      </c>
      <c r="CY1246">
        <f>INDEX('Data_Price '!AH$2:AH$1266,MATCH(Data!$DN1246,'Data_Price '!$AT$2:$AT$1266,0))</f>
        <v/>
      </c>
      <c r="CZ1246">
        <f>INDEX('Data_Price '!AI$2:AI$1266,MATCH(Data!$DN1246,'Data_Price '!$AT$2:$AT$1266,0))</f>
        <v/>
      </c>
      <c r="DA1246">
        <f>INDEX('Data_Price '!AJ$2:AJ$1266,MATCH(Data!$DN1246,'Data_Price '!$AT$2:$AT$1266,0))</f>
        <v/>
      </c>
      <c r="DB1246">
        <f>INDEX('Data_Price '!AK$2:AK$1266,MATCH(Data!$DN1246,'Data_Price '!$AT$2:$AT$1266,0))</f>
        <v/>
      </c>
      <c r="DC1246">
        <f>INDEX('Data_Price '!AL$2:AL$1266,MATCH(Data!$DN1246,'Data_Price '!$AT$2:$AT$1266,0))</f>
        <v/>
      </c>
      <c r="DD1246">
        <f>INDEX('Data_Price '!AM$2:AM$1266,MATCH(Data!$DN1246,'Data_Price '!$AT$2:$AT$1266,0))</f>
        <v/>
      </c>
      <c r="DE1246">
        <f>INDEX('Data_Price '!AN$2:AN$1266,MATCH(Data!$DN1246,'Data_Price '!$AT$2:$AT$1266,0))</f>
        <v/>
      </c>
      <c r="DF1246">
        <f>INDEX('Data_Price '!AO$2:AO$1266,MATCH(Data!$DN1246,'Data_Price '!$AT$2:$AT$1266,0))</f>
        <v/>
      </c>
      <c r="DG1246">
        <f>INDEX('Data_Price '!AP$2:AP$1266,MATCH(Data!$DN1246,'Data_Price '!$AT$2:$AT$1266,0))</f>
        <v/>
      </c>
      <c r="DH1246">
        <f>INDEX('Data_Price '!AQ$2:AQ$1266,MATCH(Data!$DN1246,'Data_Price '!$AT$2:$AT$1266,0))</f>
        <v/>
      </c>
      <c r="DI1246">
        <f>INDEX('Data_Price '!AR$2:AR$1266,MATCH(Data!$DN1246,'Data_Price '!$AT$2:$AT$1266,0))</f>
        <v/>
      </c>
      <c r="DJ1246" s="138">
        <f>DA1246</f>
        <v/>
      </c>
      <c r="DK1246" s="138">
        <f>DE1246</f>
        <v/>
      </c>
      <c r="DL1246" s="138">
        <f>DI1246</f>
        <v/>
      </c>
      <c r="DM1246" s="303">
        <f>IF(LEFT(BT1246,1)=" ",RIGHT(BT1246,LEN(BT1246)-1),BT1246)</f>
        <v/>
      </c>
      <c r="DN1246" s="138">
        <f>_xlfn.CONCAT(BS1246,DM1246,BU1246,BV1246)</f>
        <v/>
      </c>
      <c r="DO1246" s="307" t="n"/>
    </row>
    <row r="1247" ht="15.6" customHeight="1" s="184">
      <c r="B1247" s="303">
        <f t="array" ref="B1247">IF(OR(ISERROR(K1247:P1247)),FALSE,TRUE)</f>
        <v/>
      </c>
      <c r="C1247" s="60">
        <f>OR(BR1247=Driver!$G$50,Data!BR1094=Driver!$H$50)</f>
        <v/>
      </c>
      <c r="D1247" s="60">
        <f>OR(BV1247=Driver!$G$51,BV1247=Driver!$H$51)</f>
        <v/>
      </c>
      <c r="E1247" s="60">
        <f>AND(BX1247&gt;Driver!$F$54,BX1247&lt;Driver!$G$54)</f>
        <v/>
      </c>
      <c r="F1247" s="60">
        <f>CL1247&gt;Driver!$F$56</f>
        <v/>
      </c>
      <c r="G1247" s="60">
        <f>AND(CB1247&gt;Driver!$F$55,CB1247&lt;Driver!$G$55)</f>
        <v/>
      </c>
      <c r="H1247" s="60">
        <f>AND(B1247:G1247)</f>
        <v/>
      </c>
      <c r="I1247" s="60">
        <f>COUNTIFS($H$9:$H$1273,TRUE,$BT$9:$BT$1273,BT1247)</f>
        <v/>
      </c>
      <c r="J1247" s="60">
        <f t="array" ref="J1247">NOT(OR(($H$9:$H$1273=TRUE)*($I$9:$I$1273&gt;0)*($BT$9:$BT$1273=BT1247)*($K$9:$K$1273&gt;K1247)))</f>
        <v/>
      </c>
      <c r="K1247" s="108">
        <f>IFERROR(1-AVERAGE(X1247:Y1247),"")</f>
        <v/>
      </c>
      <c r="L1247" s="108">
        <f>1-X1247</f>
        <v/>
      </c>
      <c r="M1247" s="108">
        <f>1-Y1247</f>
        <v/>
      </c>
      <c r="N1247" s="108">
        <f>1-Z1247</f>
        <v/>
      </c>
      <c r="O1247" s="108">
        <f>1-AA1247</f>
        <v/>
      </c>
      <c r="P1247" s="108">
        <f>1-AB1247</f>
        <v/>
      </c>
      <c r="Q1247" s="108" t="n"/>
      <c r="R1247" s="108" t="n"/>
      <c r="S1247" s="108">
        <f>1-AE1247</f>
        <v/>
      </c>
      <c r="T1247" s="108">
        <f>1-AF1247</f>
        <v/>
      </c>
      <c r="U1247" s="108">
        <f>1-AG1247</f>
        <v/>
      </c>
      <c r="V1247" s="108">
        <f>1-AH1247</f>
        <v/>
      </c>
      <c r="W1247" s="108">
        <f>1-AI1247</f>
        <v/>
      </c>
      <c r="X1247" s="108">
        <f>ABS(AJ1247-AJ$1)</f>
        <v/>
      </c>
      <c r="Y1247" s="108">
        <f>AVERAGE(Z1247:AB1247)</f>
        <v/>
      </c>
      <c r="Z1247" s="108">
        <f>ABS(AL1247-AL$1)</f>
        <v/>
      </c>
      <c r="AA1247" s="108">
        <f>ABS(AM1247-AM$1)</f>
        <v/>
      </c>
      <c r="AB1247" s="108">
        <f>ABS(AN1247-AN$1)</f>
        <v/>
      </c>
      <c r="AC1247" s="108" t="n"/>
      <c r="AD1247" s="108" t="n"/>
      <c r="AE1247" s="108">
        <f>ABS(AQ$1-AQ1247)</f>
        <v/>
      </c>
      <c r="AF1247" s="108">
        <f>ABS(AR$1-AR1247)</f>
        <v/>
      </c>
      <c r="AG1247" s="108">
        <f>ABS(AS$1-AS1247)</f>
        <v/>
      </c>
      <c r="AH1247" s="108">
        <f>ABS(AT$1-AT1247)</f>
        <v/>
      </c>
      <c r="AI1247" s="108">
        <f>ABS(AU$1-AU1247)</f>
        <v/>
      </c>
      <c r="AJ1247" s="108">
        <f>(AV1247-Driver!$K$179)/(Driver!$L$179-Driver!$K$179)</f>
        <v/>
      </c>
      <c r="AK1247" s="108">
        <f>(AW1247-Driver!$K$180)/(Driver!$L$180-Driver!$K$180)</f>
        <v/>
      </c>
      <c r="AL1247" s="108">
        <f>(AX1247-Driver!$K$181)/(Driver!$L$181-Driver!$K$181)</f>
        <v/>
      </c>
      <c r="AM1247" s="108">
        <f>(AY1247-Driver!$K$182)/(Driver!$L$182-Driver!$K$182)</f>
        <v/>
      </c>
      <c r="AN1247" s="108">
        <f>(AZ1247-Driver!$K$183)/(Driver!$L$183-Driver!$K$183)</f>
        <v/>
      </c>
      <c r="AO1247" s="108" t="n"/>
      <c r="AP1247" s="108" t="n"/>
      <c r="AQ1247" s="108">
        <f>(BC1247-Driver!$K$188)/(Driver!$L$188-Driver!$K$188)</f>
        <v/>
      </c>
      <c r="AR1247" s="108">
        <f>MIN((BD1247-Driver!$K$189)/(Driver!$L$189-Driver!$K$189),100%)</f>
        <v/>
      </c>
      <c r="AS1247" s="108">
        <f>(BE1247-Driver!$K$190)/(Driver!$L$190-Driver!$K$190)</f>
        <v/>
      </c>
      <c r="AT1247" s="108">
        <f>(BF1247-Driver!$K$191)/(Driver!$L$191-Driver!$K$191)</f>
        <v/>
      </c>
      <c r="AU1247" s="108">
        <f>(BG1247-Driver!$K$192)/(Driver!$L$192-Driver!$K$192)</f>
        <v/>
      </c>
      <c r="AV1247" s="105">
        <f>IFERROR(BM1247*BJ1247^1/4,"")</f>
        <v/>
      </c>
      <c r="AW1247" s="105">
        <f>IFERROR(SUM(AX1247:AZ1247),"")</f>
        <v/>
      </c>
      <c r="AX1247" s="105">
        <f>IFERROR(BH1247,"")</f>
        <v/>
      </c>
      <c r="AY1247" s="105">
        <f>IFERROR(Driver!$K$19/Data!BH1247/Data!BI1247*Data!BK1247*Data!BL1247,"")</f>
        <v/>
      </c>
      <c r="AZ1247" s="105">
        <f>IFERROR(BI1247*BN1247,"")</f>
        <v/>
      </c>
      <c r="BA1247" s="105" t="n"/>
      <c r="BB1247" s="105" t="n"/>
      <c r="BC1247" s="105">
        <f>IFERROR(BI1247*BN1247*BK1247/BJ1247^(1/2),"")</f>
        <v/>
      </c>
      <c r="BD1247" s="105">
        <f>IFERROR(BH1247*BM1247*BL1247/BJ1247/BK1247,"")</f>
        <v/>
      </c>
      <c r="BE1247" s="105">
        <f>IFERROR(MIN(BI1247/BQ1247/BP1247/BO1247/BH1247,$BE$1),"")</f>
        <v/>
      </c>
      <c r="BF1247" s="105">
        <f>IFERROR(BJ1247*BO1247*BP1247/BK1247,"")</f>
        <v/>
      </c>
      <c r="BG1247" s="105">
        <f>IFERROR(1/BM1247/BH1247*BQ1247,"")</f>
        <v/>
      </c>
      <c r="BH1247" s="102">
        <f>MAX((CE1247-Driver!$F$200)/(Driver!$G$200-Driver!$F$200)*$BI$1,1)</f>
        <v/>
      </c>
      <c r="BI1247" s="102">
        <f>MAX($BI$1*(BY1247-Driver!$F$201)/(Driver!$G$201-Driver!$F$201),1)</f>
        <v/>
      </c>
      <c r="BJ1247" s="102">
        <f>(CB1247-Driver!$F$206)/(Driver!$G$206-Driver!$F$206)*$BI$1</f>
        <v/>
      </c>
      <c r="BK1247" s="102">
        <f>(CD1247-Driver!$F$203)/(Driver!$G$203-Driver!$F$203)*$BI$1</f>
        <v/>
      </c>
      <c r="BL1247" s="102">
        <f>MAX((CR1247-Driver!$F$202)/(Driver!$G$202-Driver!$F$202)*$BI$1,1)</f>
        <v/>
      </c>
      <c r="BM1247" s="102">
        <f>MAX((CH1247-Driver!$F$204)/(Driver!$G$204-Driver!$F$204)*$BI$1,1)</f>
        <v/>
      </c>
      <c r="BN1247" s="102">
        <f>(CI1247-Driver!$F$205)/(Driver!$G$205-Driver!$F$205)*$BI$1</f>
        <v/>
      </c>
      <c r="BO1247" s="102">
        <f>(CK1247-Driver!$F$207)/(Driver!$G$207-Driver!$F$207)*$BI$1</f>
        <v/>
      </c>
      <c r="BP1247" s="102">
        <f>(CM1247-Driver!$F$208)/(Driver!$G$208-Driver!$F$208)*$BI$1</f>
        <v/>
      </c>
      <c r="BQ1247" s="102">
        <f>(CL1247-Driver!$F$209)/(Driver!$G$209-Driver!$F$209)*$BI$1</f>
        <v/>
      </c>
      <c r="BR1247" s="40" t="inlineStr">
        <is>
          <t>21/22</t>
        </is>
      </c>
      <c r="BS1247" s="10" t="inlineStr">
        <is>
          <t xml:space="preserve"> Salomon</t>
        </is>
      </c>
      <c r="BT1247" s="11" t="inlineStr">
        <is>
          <t>S/Max 12</t>
        </is>
      </c>
      <c r="BU1247" s="13" t="n">
        <v>175</v>
      </c>
      <c r="BV1247" s="11" t="inlineStr">
        <is>
          <t xml:space="preserve"> Unisex</t>
        </is>
      </c>
      <c r="BW1247" s="13" t="n">
        <v>175</v>
      </c>
      <c r="BX1247" s="13" t="n">
        <v>174.2</v>
      </c>
      <c r="BY1247" s="13" t="n">
        <v>155</v>
      </c>
      <c r="BZ1247" s="13" t="n">
        <v>163</v>
      </c>
      <c r="CA1247" s="13" t="n">
        <v>121</v>
      </c>
      <c r="CB1247" s="13" t="n">
        <v>72</v>
      </c>
      <c r="CC1247" s="13" t="n">
        <v>107</v>
      </c>
      <c r="CD1247" s="13" t="n">
        <v>15.8</v>
      </c>
      <c r="CE1247" s="13" t="n">
        <v>2067</v>
      </c>
      <c r="CF1247" s="13" t="n">
        <v>0.74</v>
      </c>
      <c r="CG1247" s="13" t="n">
        <v>1533</v>
      </c>
      <c r="CH1247" s="13" t="n">
        <v>236</v>
      </c>
      <c r="CI1247" s="13" t="n">
        <v>149</v>
      </c>
      <c r="CJ1247" s="13" t="n">
        <v>37</v>
      </c>
      <c r="CK1247" s="13" t="n">
        <v>137</v>
      </c>
      <c r="CL1247" s="13" t="n">
        <v>5</v>
      </c>
      <c r="CM1247" s="13" t="n">
        <v>51</v>
      </c>
      <c r="CN1247" s="13" t="n">
        <v>0.127</v>
      </c>
      <c r="CO1247" s="13" t="n">
        <v>80</v>
      </c>
      <c r="CP1247" s="13" t="n">
        <v>34</v>
      </c>
      <c r="CQ1247" s="13" t="n">
        <v>58</v>
      </c>
      <c r="CR1247" s="13" t="n">
        <v>13</v>
      </c>
      <c r="CS1247" s="13" t="n">
        <v>12</v>
      </c>
      <c r="CT1247" s="11" t="inlineStr">
        <is>
          <t xml:space="preserve"> On-Piste Carving</t>
        </is>
      </c>
      <c r="CU1247" s="13" t="n"/>
      <c r="CV1247" s="13" t="n"/>
      <c r="CW1247" s="13" t="n"/>
      <c r="CX1247">
        <f>INDEX('Data_Price '!AG$2:AG$1266,MATCH(Data!$DN1247,'Data_Price '!$AT$2:$AT$1266,0))</f>
        <v/>
      </c>
      <c r="CY1247">
        <f>INDEX('Data_Price '!AH$2:AH$1266,MATCH(Data!$DN1247,'Data_Price '!$AT$2:$AT$1266,0))</f>
        <v/>
      </c>
      <c r="CZ1247">
        <f>INDEX('Data_Price '!AI$2:AI$1266,MATCH(Data!$DN1247,'Data_Price '!$AT$2:$AT$1266,0))</f>
        <v/>
      </c>
      <c r="DA1247">
        <f>INDEX('Data_Price '!AJ$2:AJ$1266,MATCH(Data!$DN1247,'Data_Price '!$AT$2:$AT$1266,0))</f>
        <v/>
      </c>
      <c r="DB1247">
        <f>INDEX('Data_Price '!AK$2:AK$1266,MATCH(Data!$DN1247,'Data_Price '!$AT$2:$AT$1266,0))</f>
        <v/>
      </c>
      <c r="DC1247">
        <f>INDEX('Data_Price '!AL$2:AL$1266,MATCH(Data!$DN1247,'Data_Price '!$AT$2:$AT$1266,0))</f>
        <v/>
      </c>
      <c r="DD1247">
        <f>INDEX('Data_Price '!AM$2:AM$1266,MATCH(Data!$DN1247,'Data_Price '!$AT$2:$AT$1266,0))</f>
        <v/>
      </c>
      <c r="DE1247">
        <f>INDEX('Data_Price '!AN$2:AN$1266,MATCH(Data!$DN1247,'Data_Price '!$AT$2:$AT$1266,0))</f>
        <v/>
      </c>
      <c r="DF1247">
        <f>INDEX('Data_Price '!AO$2:AO$1266,MATCH(Data!$DN1247,'Data_Price '!$AT$2:$AT$1266,0))</f>
        <v/>
      </c>
      <c r="DG1247">
        <f>INDEX('Data_Price '!AP$2:AP$1266,MATCH(Data!$DN1247,'Data_Price '!$AT$2:$AT$1266,0))</f>
        <v/>
      </c>
      <c r="DH1247">
        <f>INDEX('Data_Price '!AQ$2:AQ$1266,MATCH(Data!$DN1247,'Data_Price '!$AT$2:$AT$1266,0))</f>
        <v/>
      </c>
      <c r="DI1247">
        <f>INDEX('Data_Price '!AR$2:AR$1266,MATCH(Data!$DN1247,'Data_Price '!$AT$2:$AT$1266,0))</f>
        <v/>
      </c>
      <c r="DJ1247" s="138">
        <f>DA1247</f>
        <v/>
      </c>
      <c r="DK1247" s="138">
        <f>DE1247</f>
        <v/>
      </c>
      <c r="DL1247" s="138">
        <f>DI1247</f>
        <v/>
      </c>
      <c r="DM1247" s="303">
        <f>IF(LEFT(BT1247,1)=" ",RIGHT(BT1247,LEN(BT1247)-1),BT1247)</f>
        <v/>
      </c>
      <c r="DN1247" s="138">
        <f>_xlfn.CONCAT(BS1247,DM1247,BU1247,BV1247)</f>
        <v/>
      </c>
      <c r="DO1247" s="307" t="n"/>
    </row>
    <row r="1248" ht="15.6" customHeight="1" s="184">
      <c r="B1248" s="303">
        <f t="array" ref="B1248">IF(OR(ISERROR(K1248:P1248)),FALSE,TRUE)</f>
        <v/>
      </c>
      <c r="C1248" s="60">
        <f>OR(BR1248=Driver!$G$50,Data!BR903=Driver!$H$50)</f>
        <v/>
      </c>
      <c r="D1248" s="60">
        <f>OR(BV1248=Driver!$G$51,BV1248=Driver!$H$51)</f>
        <v/>
      </c>
      <c r="E1248" s="60">
        <f>AND(BX1248&gt;Driver!$F$54,BX1248&lt;Driver!$G$54)</f>
        <v/>
      </c>
      <c r="F1248" s="60">
        <f>CL1248&gt;Driver!$F$56</f>
        <v/>
      </c>
      <c r="G1248" s="60">
        <f>AND(CB1248&gt;Driver!$F$55,CB1248&lt;Driver!$G$55)</f>
        <v/>
      </c>
      <c r="H1248" s="60">
        <f>AND(B1248:G1248)</f>
        <v/>
      </c>
      <c r="I1248" s="60">
        <f>COUNTIFS($H$9:$H$1273,TRUE,$BT$9:$BT$1273,BT1248)</f>
        <v/>
      </c>
      <c r="J1248" s="60">
        <f t="array" ref="J1248">NOT(OR(($H$9:$H$1273=TRUE)*($I$9:$I$1273&gt;0)*($BT$9:$BT$1273=BT1248)*($K$9:$K$1273&gt;K1248)))</f>
        <v/>
      </c>
      <c r="K1248" s="108">
        <f>IFERROR(1-AVERAGE(X1248:Y1248),"")</f>
        <v/>
      </c>
      <c r="L1248" s="108">
        <f>1-X1248</f>
        <v/>
      </c>
      <c r="M1248" s="108">
        <f>1-Y1248</f>
        <v/>
      </c>
      <c r="N1248" s="108">
        <f>1-Z1248</f>
        <v/>
      </c>
      <c r="O1248" s="108">
        <f>1-AA1248</f>
        <v/>
      </c>
      <c r="P1248" s="108">
        <f>1-AB1248</f>
        <v/>
      </c>
      <c r="Q1248" s="108" t="n"/>
      <c r="R1248" s="108" t="n"/>
      <c r="S1248" s="108">
        <f>1-AE1248</f>
        <v/>
      </c>
      <c r="T1248" s="108">
        <f>1-AF1248</f>
        <v/>
      </c>
      <c r="U1248" s="108">
        <f>1-AG1248</f>
        <v/>
      </c>
      <c r="V1248" s="108">
        <f>1-AH1248</f>
        <v/>
      </c>
      <c r="W1248" s="108">
        <f>1-AI1248</f>
        <v/>
      </c>
      <c r="X1248" s="108">
        <f>ABS(AJ1248-AJ$1)</f>
        <v/>
      </c>
      <c r="Y1248" s="108">
        <f>AVERAGE(Z1248:AB1248)</f>
        <v/>
      </c>
      <c r="Z1248" s="108">
        <f>ABS(AL1248-AL$1)</f>
        <v/>
      </c>
      <c r="AA1248" s="108">
        <f>ABS(AM1248-AM$1)</f>
        <v/>
      </c>
      <c r="AB1248" s="108">
        <f>ABS(AN1248-AN$1)</f>
        <v/>
      </c>
      <c r="AC1248" s="108" t="n"/>
      <c r="AD1248" s="108" t="n"/>
      <c r="AE1248" s="108">
        <f>ABS(AQ$1-AQ1248)</f>
        <v/>
      </c>
      <c r="AF1248" s="108">
        <f>ABS(AR$1-AR1248)</f>
        <v/>
      </c>
      <c r="AG1248" s="108">
        <f>ABS(AS$1-AS1248)</f>
        <v/>
      </c>
      <c r="AH1248" s="108">
        <f>ABS(AT$1-AT1248)</f>
        <v/>
      </c>
      <c r="AI1248" s="108">
        <f>ABS(AU$1-AU1248)</f>
        <v/>
      </c>
      <c r="AJ1248" s="108">
        <f>(AV1248-Driver!$K$179)/(Driver!$L$179-Driver!$K$179)</f>
        <v/>
      </c>
      <c r="AK1248" s="108">
        <f>(AW1248-Driver!$K$180)/(Driver!$L$180-Driver!$K$180)</f>
        <v/>
      </c>
      <c r="AL1248" s="108">
        <f>(AX1248-Driver!$K$181)/(Driver!$L$181-Driver!$K$181)</f>
        <v/>
      </c>
      <c r="AM1248" s="108">
        <f>(AY1248-Driver!$K$182)/(Driver!$L$182-Driver!$K$182)</f>
        <v/>
      </c>
      <c r="AN1248" s="108">
        <f>(AZ1248-Driver!$K$183)/(Driver!$L$183-Driver!$K$183)</f>
        <v/>
      </c>
      <c r="AO1248" s="108" t="n"/>
      <c r="AP1248" s="108" t="n"/>
      <c r="AQ1248" s="108">
        <f>(BC1248-Driver!$K$188)/(Driver!$L$188-Driver!$K$188)</f>
        <v/>
      </c>
      <c r="AR1248" s="108">
        <f>MIN((BD1248-Driver!$K$189)/(Driver!$L$189-Driver!$K$189),100%)</f>
        <v/>
      </c>
      <c r="AS1248" s="108">
        <f>(BE1248-Driver!$K$190)/(Driver!$L$190-Driver!$K$190)</f>
        <v/>
      </c>
      <c r="AT1248" s="108">
        <f>(BF1248-Driver!$K$191)/(Driver!$L$191-Driver!$K$191)</f>
        <v/>
      </c>
      <c r="AU1248" s="108">
        <f>(BG1248-Driver!$K$192)/(Driver!$L$192-Driver!$K$192)</f>
        <v/>
      </c>
      <c r="AV1248" s="105">
        <f>IFERROR(BM1248*BJ1248^1/4,"")</f>
        <v/>
      </c>
      <c r="AW1248" s="105">
        <f>IFERROR(SUM(AX1248:AZ1248),"")</f>
        <v/>
      </c>
      <c r="AX1248" s="105">
        <f>IFERROR(BH1248,"")</f>
        <v/>
      </c>
      <c r="AY1248" s="105">
        <f>IFERROR(Driver!$K$19/Data!BH1248/Data!BI1248*Data!BK1248*Data!BL1248,"")</f>
        <v/>
      </c>
      <c r="AZ1248" s="105">
        <f>IFERROR(BI1248*BN1248,"")</f>
        <v/>
      </c>
      <c r="BA1248" s="105" t="n"/>
      <c r="BB1248" s="105" t="n"/>
      <c r="BC1248" s="105">
        <f>IFERROR(BI1248*BN1248*BK1248/BJ1248^(1/2),"")</f>
        <v/>
      </c>
      <c r="BD1248" s="105">
        <f>IFERROR(BH1248*BM1248*BL1248/BJ1248/BK1248,"")</f>
        <v/>
      </c>
      <c r="BE1248" s="105">
        <f>IFERROR(MIN(BI1248/BQ1248/BP1248/BO1248/BH1248,$BE$1),"")</f>
        <v/>
      </c>
      <c r="BF1248" s="105">
        <f>IFERROR(BJ1248*BO1248*BP1248/BK1248,"")</f>
        <v/>
      </c>
      <c r="BG1248" s="105">
        <f>IFERROR(1/BM1248/BH1248*BQ1248,"")</f>
        <v/>
      </c>
      <c r="BH1248" s="102">
        <f>MAX((CE1248-Driver!$F$200)/(Driver!$G$200-Driver!$F$200)*$BI$1,1)</f>
        <v/>
      </c>
      <c r="BI1248" s="102">
        <f>MAX($BI$1*(BY1248-Driver!$F$201)/(Driver!$G$201-Driver!$F$201),1)</f>
        <v/>
      </c>
      <c r="BJ1248" s="102">
        <f>(CB1248-Driver!$F$206)/(Driver!$G$206-Driver!$F$206)*$BI$1</f>
        <v/>
      </c>
      <c r="BK1248" s="102">
        <f>(CD1248-Driver!$F$203)/(Driver!$G$203-Driver!$F$203)*$BI$1</f>
        <v/>
      </c>
      <c r="BL1248" s="102">
        <f>MAX((CR1248-Driver!$F$202)/(Driver!$G$202-Driver!$F$202)*$BI$1,1)</f>
        <v/>
      </c>
      <c r="BM1248" s="102">
        <f>MAX((CH1248-Driver!$F$204)/(Driver!$G$204-Driver!$F$204)*$BI$1,1)</f>
        <v/>
      </c>
      <c r="BN1248" s="102">
        <f>(CI1248-Driver!$F$205)/(Driver!$G$205-Driver!$F$205)*$BI$1</f>
        <v/>
      </c>
      <c r="BO1248" s="102">
        <f>(CK1248-Driver!$F$207)/(Driver!$G$207-Driver!$F$207)*$BI$1</f>
        <v/>
      </c>
      <c r="BP1248" s="102">
        <f>(CM1248-Driver!$F$208)/(Driver!$G$208-Driver!$F$208)*$BI$1</f>
        <v/>
      </c>
      <c r="BQ1248" s="102">
        <f>(CL1248-Driver!$F$209)/(Driver!$G$209-Driver!$F$209)*$BI$1</f>
        <v/>
      </c>
      <c r="BR1248" s="40" t="inlineStr">
        <is>
          <t>21/22</t>
        </is>
      </c>
      <c r="BS1248" s="10" t="inlineStr">
        <is>
          <t xml:space="preserve"> Nordica</t>
        </is>
      </c>
      <c r="BT1248" s="11" t="inlineStr">
        <is>
          <t>Enforcer 115 Free</t>
        </is>
      </c>
      <c r="BU1248" s="13" t="n">
        <v>191</v>
      </c>
      <c r="BV1248" s="11" t="inlineStr">
        <is>
          <t xml:space="preserve"> Unisex</t>
        </is>
      </c>
      <c r="BW1248" s="13" t="n">
        <v>191</v>
      </c>
      <c r="BX1248" s="13" t="n">
        <v>189.6</v>
      </c>
      <c r="BY1248" s="13" t="n">
        <v>128</v>
      </c>
      <c r="BZ1248" s="13" t="n">
        <v>154</v>
      </c>
      <c r="CA1248" s="13" t="n">
        <v>144</v>
      </c>
      <c r="CB1248" s="13" t="n">
        <v>114</v>
      </c>
      <c r="CC1248" s="13" t="n">
        <v>134</v>
      </c>
      <c r="CD1248" s="13" t="n">
        <v>21.5</v>
      </c>
      <c r="CE1248" s="13" t="n">
        <v>2292</v>
      </c>
      <c r="CF1248" s="13" t="n">
        <v>1.02</v>
      </c>
      <c r="CG1248" s="13" t="n">
        <v>2347</v>
      </c>
      <c r="CH1248" s="13" t="n">
        <v>283</v>
      </c>
      <c r="CI1248" s="13" t="n">
        <v>142</v>
      </c>
      <c r="CJ1248" s="13" t="n">
        <v>67</v>
      </c>
      <c r="CK1248" s="13" t="n">
        <v>338</v>
      </c>
      <c r="CL1248" s="13" t="n">
        <v>42</v>
      </c>
      <c r="CM1248" s="13" t="n">
        <v>275</v>
      </c>
      <c r="CN1248" s="13" t="n">
        <v>0.632</v>
      </c>
      <c r="CO1248" s="13" t="n">
        <v>182</v>
      </c>
      <c r="CP1248" s="13" t="n">
        <v>175</v>
      </c>
      <c r="CQ1248" s="13" t="n">
        <v>156</v>
      </c>
      <c r="CR1248" s="13" t="n">
        <v>7</v>
      </c>
      <c r="CS1248" s="13" t="n">
        <v>9.4</v>
      </c>
      <c r="CT1248" s="11" t="inlineStr">
        <is>
          <t xml:space="preserve"> Powder</t>
        </is>
      </c>
      <c r="CU1248" s="13" t="n"/>
      <c r="CV1248" s="13" t="n"/>
      <c r="CW1248" s="13" t="n"/>
      <c r="CX1248">
        <f>INDEX('Data_Price '!AG$2:AG$1266,MATCH(Data!$DN1248,'Data_Price '!$AT$2:$AT$1266,0))</f>
        <v/>
      </c>
      <c r="CY1248">
        <f>INDEX('Data_Price '!AH$2:AH$1266,MATCH(Data!$DN1248,'Data_Price '!$AT$2:$AT$1266,0))</f>
        <v/>
      </c>
      <c r="CZ1248">
        <f>INDEX('Data_Price '!AI$2:AI$1266,MATCH(Data!$DN1248,'Data_Price '!$AT$2:$AT$1266,0))</f>
        <v/>
      </c>
      <c r="DA1248">
        <f>INDEX('Data_Price '!AJ$2:AJ$1266,MATCH(Data!$DN1248,'Data_Price '!$AT$2:$AT$1266,0))</f>
        <v/>
      </c>
      <c r="DB1248">
        <f>INDEX('Data_Price '!AK$2:AK$1266,MATCH(Data!$DN1248,'Data_Price '!$AT$2:$AT$1266,0))</f>
        <v/>
      </c>
      <c r="DC1248">
        <f>INDEX('Data_Price '!AL$2:AL$1266,MATCH(Data!$DN1248,'Data_Price '!$AT$2:$AT$1266,0))</f>
        <v/>
      </c>
      <c r="DD1248">
        <f>INDEX('Data_Price '!AM$2:AM$1266,MATCH(Data!$DN1248,'Data_Price '!$AT$2:$AT$1266,0))</f>
        <v/>
      </c>
      <c r="DE1248">
        <f>INDEX('Data_Price '!AN$2:AN$1266,MATCH(Data!$DN1248,'Data_Price '!$AT$2:$AT$1266,0))</f>
        <v/>
      </c>
      <c r="DF1248">
        <f>INDEX('Data_Price '!AO$2:AO$1266,MATCH(Data!$DN1248,'Data_Price '!$AT$2:$AT$1266,0))</f>
        <v/>
      </c>
      <c r="DG1248">
        <f>INDEX('Data_Price '!AP$2:AP$1266,MATCH(Data!$DN1248,'Data_Price '!$AT$2:$AT$1266,0))</f>
        <v/>
      </c>
      <c r="DH1248">
        <f>INDEX('Data_Price '!AQ$2:AQ$1266,MATCH(Data!$DN1248,'Data_Price '!$AT$2:$AT$1266,0))</f>
        <v/>
      </c>
      <c r="DI1248">
        <f>INDEX('Data_Price '!AR$2:AR$1266,MATCH(Data!$DN1248,'Data_Price '!$AT$2:$AT$1266,0))</f>
        <v/>
      </c>
      <c r="DJ1248" s="138">
        <f>DA1248</f>
        <v/>
      </c>
      <c r="DK1248" s="138">
        <f>DE1248</f>
        <v/>
      </c>
      <c r="DL1248" s="138">
        <f>DI1248</f>
        <v/>
      </c>
      <c r="DM1248" s="303">
        <f>IF(LEFT(BT1248,1)=" ",RIGHT(BT1248,LEN(BT1248)-1),BT1248)</f>
        <v/>
      </c>
      <c r="DN1248" s="138">
        <f>_xlfn.CONCAT(BS1248,DM1248,BU1248,BV1248)</f>
        <v/>
      </c>
      <c r="DO1248" s="307" t="inlineStr">
        <is>
          <t>https://images.evo.com/imgp/250/198253/861086/nordica-enforcer-115-free-skis-2022-.jpg</t>
        </is>
      </c>
    </row>
    <row r="1249" ht="15.6" customHeight="1" s="184">
      <c r="B1249" s="303">
        <f t="array" ref="B1249">IF(OR(ISERROR(K1249:P1249)),FALSE,TRUE)</f>
        <v/>
      </c>
      <c r="C1249" s="60">
        <f>OR(BR1249=Driver!$G$50,Data!BR608=Driver!$H$50)</f>
        <v/>
      </c>
      <c r="D1249" s="60">
        <f>OR(BV1249=Driver!$G$51,BV1249=Driver!$H$51)</f>
        <v/>
      </c>
      <c r="E1249" s="60">
        <f>AND(BX1249&gt;Driver!$F$54,BX1249&lt;Driver!$G$54)</f>
        <v/>
      </c>
      <c r="F1249" s="60">
        <f>CL1249&gt;Driver!$F$56</f>
        <v/>
      </c>
      <c r="G1249" s="60">
        <f>AND(CB1249&gt;Driver!$F$55,CB1249&lt;Driver!$G$55)</f>
        <v/>
      </c>
      <c r="H1249" s="60">
        <f>AND(B1249:G1249)</f>
        <v/>
      </c>
      <c r="I1249" s="60">
        <f>COUNTIFS($H$9:$H$1273,TRUE,$BT$9:$BT$1273,BT1249)</f>
        <v/>
      </c>
      <c r="J1249" s="60">
        <f t="array" ref="J1249">NOT(OR(($H$9:$H$1273=TRUE)*($I$9:$I$1273&gt;0)*($BT$9:$BT$1273=BT1249)*($K$9:$K$1273&gt;K1249)))</f>
        <v/>
      </c>
      <c r="K1249" s="108">
        <f>IFERROR(1-AVERAGE(X1249:Y1249),"")</f>
        <v/>
      </c>
      <c r="L1249" s="108">
        <f>1-X1249</f>
        <v/>
      </c>
      <c r="M1249" s="108">
        <f>1-Y1249</f>
        <v/>
      </c>
      <c r="N1249" s="108">
        <f>1-Z1249</f>
        <v/>
      </c>
      <c r="O1249" s="108">
        <f>1-AA1249</f>
        <v/>
      </c>
      <c r="P1249" s="108">
        <f>1-AB1249</f>
        <v/>
      </c>
      <c r="Q1249" s="108" t="n"/>
      <c r="R1249" s="108" t="n"/>
      <c r="S1249" s="108">
        <f>1-AE1249</f>
        <v/>
      </c>
      <c r="T1249" s="108">
        <f>1-AF1249</f>
        <v/>
      </c>
      <c r="U1249" s="108">
        <f>1-AG1249</f>
        <v/>
      </c>
      <c r="V1249" s="108">
        <f>1-AH1249</f>
        <v/>
      </c>
      <c r="W1249" s="108">
        <f>1-AI1249</f>
        <v/>
      </c>
      <c r="X1249" s="108">
        <f>ABS(AJ1249-AJ$1)</f>
        <v/>
      </c>
      <c r="Y1249" s="108">
        <f>AVERAGE(Z1249:AB1249)</f>
        <v/>
      </c>
      <c r="Z1249" s="108">
        <f>ABS(AL1249-AL$1)</f>
        <v/>
      </c>
      <c r="AA1249" s="108">
        <f>ABS(AM1249-AM$1)</f>
        <v/>
      </c>
      <c r="AB1249" s="108">
        <f>ABS(AN1249-AN$1)</f>
        <v/>
      </c>
      <c r="AC1249" s="108" t="n"/>
      <c r="AD1249" s="108" t="n"/>
      <c r="AE1249" s="108">
        <f>ABS(AQ$1-AQ1249)</f>
        <v/>
      </c>
      <c r="AF1249" s="108">
        <f>ABS(AR$1-AR1249)</f>
        <v/>
      </c>
      <c r="AG1249" s="108">
        <f>ABS(AS$1-AS1249)</f>
        <v/>
      </c>
      <c r="AH1249" s="108">
        <f>ABS(AT$1-AT1249)</f>
        <v/>
      </c>
      <c r="AI1249" s="108">
        <f>ABS(AU$1-AU1249)</f>
        <v/>
      </c>
      <c r="AJ1249" s="108">
        <f>(AV1249-Driver!$K$179)/(Driver!$L$179-Driver!$K$179)</f>
        <v/>
      </c>
      <c r="AK1249" s="108">
        <f>(AW1249-Driver!$K$180)/(Driver!$L$180-Driver!$K$180)</f>
        <v/>
      </c>
      <c r="AL1249" s="108">
        <f>(AX1249-Driver!$K$181)/(Driver!$L$181-Driver!$K$181)</f>
        <v/>
      </c>
      <c r="AM1249" s="108">
        <f>(AY1249-Driver!$K$182)/(Driver!$L$182-Driver!$K$182)</f>
        <v/>
      </c>
      <c r="AN1249" s="108">
        <f>(AZ1249-Driver!$K$183)/(Driver!$L$183-Driver!$K$183)</f>
        <v/>
      </c>
      <c r="AO1249" s="108" t="n"/>
      <c r="AP1249" s="108" t="n"/>
      <c r="AQ1249" s="108">
        <f>(BC1249-Driver!$K$188)/(Driver!$L$188-Driver!$K$188)</f>
        <v/>
      </c>
      <c r="AR1249" s="108">
        <f>MIN((BD1249-Driver!$K$189)/(Driver!$L$189-Driver!$K$189),100%)</f>
        <v/>
      </c>
      <c r="AS1249" s="108">
        <f>(BE1249-Driver!$K$190)/(Driver!$L$190-Driver!$K$190)</f>
        <v/>
      </c>
      <c r="AT1249" s="108">
        <f>(BF1249-Driver!$K$191)/(Driver!$L$191-Driver!$K$191)</f>
        <v/>
      </c>
      <c r="AU1249" s="108">
        <f>(BG1249-Driver!$K$192)/(Driver!$L$192-Driver!$K$192)</f>
        <v/>
      </c>
      <c r="AV1249" s="105">
        <f>IFERROR(BM1249*BJ1249^1/4,"")</f>
        <v/>
      </c>
      <c r="AW1249" s="105">
        <f>IFERROR(SUM(AX1249:AZ1249),"")</f>
        <v/>
      </c>
      <c r="AX1249" s="105">
        <f>IFERROR(BH1249,"")</f>
        <v/>
      </c>
      <c r="AY1249" s="105">
        <f>IFERROR(Driver!$K$19/Data!BH1249/Data!BI1249*Data!BK1249*Data!BL1249,"")</f>
        <v/>
      </c>
      <c r="AZ1249" s="105">
        <f>IFERROR(BI1249*BN1249,"")</f>
        <v/>
      </c>
      <c r="BA1249" s="105" t="n"/>
      <c r="BB1249" s="105" t="n"/>
      <c r="BC1249" s="105">
        <f>IFERROR(BI1249*BN1249*BK1249/BJ1249^(1/2),"")</f>
        <v/>
      </c>
      <c r="BD1249" s="105">
        <f>IFERROR(BH1249*BM1249*BL1249/BJ1249/BK1249,"")</f>
        <v/>
      </c>
      <c r="BE1249" s="105">
        <f>IFERROR(MIN(BI1249/BQ1249/BP1249/BO1249/BH1249,$BE$1),"")</f>
        <v/>
      </c>
      <c r="BF1249" s="105">
        <f>IFERROR(BJ1249*BO1249*BP1249/BK1249,"")</f>
        <v/>
      </c>
      <c r="BG1249" s="105">
        <f>IFERROR(1/BM1249/BH1249*BQ1249,"")</f>
        <v/>
      </c>
      <c r="BH1249" s="102">
        <f>MAX((CE1249-Driver!$F$200)/(Driver!$G$200-Driver!$F$200)*$BI$1,1)</f>
        <v/>
      </c>
      <c r="BI1249" s="102">
        <f>MAX($BI$1*(BY1249-Driver!$F$201)/(Driver!$G$201-Driver!$F$201),1)</f>
        <v/>
      </c>
      <c r="BJ1249" s="102">
        <f>(CB1249-Driver!$F$206)/(Driver!$G$206-Driver!$F$206)*$BI$1</f>
        <v/>
      </c>
      <c r="BK1249" s="102">
        <f>(CD1249-Driver!$F$203)/(Driver!$G$203-Driver!$F$203)*$BI$1</f>
        <v/>
      </c>
      <c r="BL1249" s="102">
        <f>MAX((CR1249-Driver!$F$202)/(Driver!$G$202-Driver!$F$202)*$BI$1,1)</f>
        <v/>
      </c>
      <c r="BM1249" s="102">
        <f>MAX((CH1249-Driver!$F$204)/(Driver!$G$204-Driver!$F$204)*$BI$1,1)</f>
        <v/>
      </c>
      <c r="BN1249" s="102">
        <f>(CI1249-Driver!$F$205)/(Driver!$G$205-Driver!$F$205)*$BI$1</f>
        <v/>
      </c>
      <c r="BO1249" s="102">
        <f>(CK1249-Driver!$F$207)/(Driver!$G$207-Driver!$F$207)*$BI$1</f>
        <v/>
      </c>
      <c r="BP1249" s="102">
        <f>(CM1249-Driver!$F$208)/(Driver!$G$208-Driver!$F$208)*$BI$1</f>
        <v/>
      </c>
      <c r="BQ1249" s="102">
        <f>(CL1249-Driver!$F$209)/(Driver!$G$209-Driver!$F$209)*$BI$1</f>
        <v/>
      </c>
      <c r="BR1249" s="40" t="inlineStr">
        <is>
          <t>21/22</t>
        </is>
      </c>
      <c r="BS1249" s="10" t="inlineStr">
        <is>
          <t xml:space="preserve"> Head</t>
        </is>
      </c>
      <c r="BT1249" s="11" t="inlineStr">
        <is>
          <t>Kore 117</t>
        </is>
      </c>
      <c r="BU1249" s="13" t="n">
        <v>184</v>
      </c>
      <c r="BV1249" s="11" t="inlineStr">
        <is>
          <t xml:space="preserve"> Unisex</t>
        </is>
      </c>
      <c r="BW1249" s="13" t="n">
        <v>184</v>
      </c>
      <c r="BX1249" s="13" t="n">
        <v>182.9</v>
      </c>
      <c r="BY1249" s="13" t="n">
        <v>118</v>
      </c>
      <c r="BZ1249" s="13" t="n">
        <v>145</v>
      </c>
      <c r="CA1249" s="13" t="n">
        <v>144</v>
      </c>
      <c r="CB1249" s="13" t="n">
        <v>116</v>
      </c>
      <c r="CC1249" s="13" t="n">
        <v>128</v>
      </c>
      <c r="CD1249" s="13" t="n">
        <v>24.9</v>
      </c>
      <c r="CE1249" s="13" t="n">
        <v>1949</v>
      </c>
      <c r="CF1249" s="13" t="n">
        <v>1.17</v>
      </c>
      <c r="CG1249" s="13" t="n">
        <v>2275</v>
      </c>
      <c r="CH1249" s="13" t="n">
        <v>335</v>
      </c>
      <c r="CI1249" s="13" t="n">
        <v>162</v>
      </c>
      <c r="CJ1249" s="13" t="n">
        <v>63</v>
      </c>
      <c r="CK1249" s="13" t="n">
        <v>288</v>
      </c>
      <c r="CL1249" s="13" t="n">
        <v>22</v>
      </c>
      <c r="CM1249" s="13" t="n">
        <v>359</v>
      </c>
      <c r="CN1249" s="13" t="n">
        <v>0.355</v>
      </c>
      <c r="CO1249" s="13" t="n">
        <v>231</v>
      </c>
      <c r="CP1249" s="13" t="n">
        <v>145</v>
      </c>
      <c r="CQ1249" s="13" t="n">
        <v>57</v>
      </c>
      <c r="CR1249" s="13" t="n">
        <v>5</v>
      </c>
      <c r="CS1249" s="13" t="n">
        <v>7.5</v>
      </c>
      <c r="CT1249" s="11" t="inlineStr">
        <is>
          <t xml:space="preserve"> Powder</t>
        </is>
      </c>
      <c r="CU1249" s="11" t="inlineStr">
        <is>
          <t xml:space="preserve"> Big Mountain</t>
        </is>
      </c>
      <c r="CV1249" s="11" t="inlineStr">
        <is>
          <t xml:space="preserve"> Touring</t>
        </is>
      </c>
      <c r="CW1249" s="13" t="n"/>
      <c r="CX1249">
        <f>INDEX('Data_Price '!AG$2:AG$1266,MATCH(Data!$DN1249,'Data_Price '!$AT$2:$AT$1266,0))</f>
        <v/>
      </c>
      <c r="CY1249">
        <f>INDEX('Data_Price '!AH$2:AH$1266,MATCH(Data!$DN1249,'Data_Price '!$AT$2:$AT$1266,0))</f>
        <v/>
      </c>
      <c r="CZ1249">
        <f>INDEX('Data_Price '!AI$2:AI$1266,MATCH(Data!$DN1249,'Data_Price '!$AT$2:$AT$1266,0))</f>
        <v/>
      </c>
      <c r="DA1249">
        <f>INDEX('Data_Price '!AJ$2:AJ$1266,MATCH(Data!$DN1249,'Data_Price '!$AT$2:$AT$1266,0))</f>
        <v/>
      </c>
      <c r="DB1249">
        <f>INDEX('Data_Price '!AK$2:AK$1266,MATCH(Data!$DN1249,'Data_Price '!$AT$2:$AT$1266,0))</f>
        <v/>
      </c>
      <c r="DC1249">
        <f>INDEX('Data_Price '!AL$2:AL$1266,MATCH(Data!$DN1249,'Data_Price '!$AT$2:$AT$1266,0))</f>
        <v/>
      </c>
      <c r="DD1249">
        <f>INDEX('Data_Price '!AM$2:AM$1266,MATCH(Data!$DN1249,'Data_Price '!$AT$2:$AT$1266,0))</f>
        <v/>
      </c>
      <c r="DE1249">
        <f>INDEX('Data_Price '!AN$2:AN$1266,MATCH(Data!$DN1249,'Data_Price '!$AT$2:$AT$1266,0))</f>
        <v/>
      </c>
      <c r="DF1249">
        <f>INDEX('Data_Price '!AO$2:AO$1266,MATCH(Data!$DN1249,'Data_Price '!$AT$2:$AT$1266,0))</f>
        <v/>
      </c>
      <c r="DG1249">
        <f>INDEX('Data_Price '!AP$2:AP$1266,MATCH(Data!$DN1249,'Data_Price '!$AT$2:$AT$1266,0))</f>
        <v/>
      </c>
      <c r="DH1249">
        <f>INDEX('Data_Price '!AQ$2:AQ$1266,MATCH(Data!$DN1249,'Data_Price '!$AT$2:$AT$1266,0))</f>
        <v/>
      </c>
      <c r="DI1249">
        <f>INDEX('Data_Price '!AR$2:AR$1266,MATCH(Data!$DN1249,'Data_Price '!$AT$2:$AT$1266,0))</f>
        <v/>
      </c>
      <c r="DJ1249" s="138">
        <f>DA1249</f>
        <v/>
      </c>
      <c r="DK1249" s="138">
        <f>DE1249</f>
        <v/>
      </c>
      <c r="DL1249" s="138">
        <f>DI1249</f>
        <v/>
      </c>
      <c r="DM1249" s="303">
        <f>IF(LEFT(BT1249,1)=" ",RIGHT(BT1249,LEN(BT1249)-1),BT1249)</f>
        <v/>
      </c>
      <c r="DN1249" s="138">
        <f>_xlfn.CONCAT(BS1249,DM1249,BU1249,BV1249)</f>
        <v/>
      </c>
      <c r="DO1249" s="307" t="inlineStr">
        <is>
          <t>https://images.evo.com/imgp/250/208267/832638/head-kore-117-skis-2022-.jpg</t>
        </is>
      </c>
    </row>
    <row r="1250" ht="15.6" customHeight="1" s="184">
      <c r="B1250" s="303">
        <f t="array" ref="B1250">IF(OR(ISERROR(K1250:P1250)),FALSE,TRUE)</f>
        <v/>
      </c>
      <c r="C1250" s="60">
        <f>OR(BR1250=Driver!$G$50,Data!BR1206=Driver!$H$50)</f>
        <v/>
      </c>
      <c r="D1250" s="60">
        <f>OR(BV1250=Driver!$G$51,BV1250=Driver!$H$51)</f>
        <v/>
      </c>
      <c r="E1250" s="60">
        <f>AND(BX1250&gt;Driver!$F$54,BX1250&lt;Driver!$G$54)</f>
        <v/>
      </c>
      <c r="F1250" s="60">
        <f>CL1250&gt;Driver!$F$56</f>
        <v/>
      </c>
      <c r="G1250" s="60">
        <f>AND(CB1250&gt;Driver!$F$55,CB1250&lt;Driver!$G$55)</f>
        <v/>
      </c>
      <c r="H1250" s="60">
        <f>AND(B1250:G1250)</f>
        <v/>
      </c>
      <c r="I1250" s="60">
        <f>COUNTIFS($H$9:$H$1273,TRUE,$BT$9:$BT$1273,BT1250)</f>
        <v/>
      </c>
      <c r="J1250" s="60">
        <f t="array" ref="J1250">NOT(OR(($H$9:$H$1273=TRUE)*($I$9:$I$1273&gt;0)*($BT$9:$BT$1273=BT1250)*($K$9:$K$1273&gt;K1250)))</f>
        <v/>
      </c>
      <c r="K1250" s="108">
        <f>IFERROR(1-AVERAGE(X1250:Y1250),"")</f>
        <v/>
      </c>
      <c r="L1250" s="108">
        <f>1-X1250</f>
        <v/>
      </c>
      <c r="M1250" s="108">
        <f>1-Y1250</f>
        <v/>
      </c>
      <c r="N1250" s="108">
        <f>1-Z1250</f>
        <v/>
      </c>
      <c r="O1250" s="108">
        <f>1-AA1250</f>
        <v/>
      </c>
      <c r="P1250" s="108">
        <f>1-AB1250</f>
        <v/>
      </c>
      <c r="Q1250" s="108" t="n"/>
      <c r="R1250" s="108" t="n"/>
      <c r="S1250" s="108">
        <f>1-AE1250</f>
        <v/>
      </c>
      <c r="T1250" s="108">
        <f>1-AF1250</f>
        <v/>
      </c>
      <c r="U1250" s="108">
        <f>1-AG1250</f>
        <v/>
      </c>
      <c r="V1250" s="108">
        <f>1-AH1250</f>
        <v/>
      </c>
      <c r="W1250" s="108">
        <f>1-AI1250</f>
        <v/>
      </c>
      <c r="X1250" s="108">
        <f>ABS(AJ1250-AJ$1)</f>
        <v/>
      </c>
      <c r="Y1250" s="108">
        <f>AVERAGE(Z1250:AB1250)</f>
        <v/>
      </c>
      <c r="Z1250" s="108">
        <f>ABS(AL1250-AL$1)</f>
        <v/>
      </c>
      <c r="AA1250" s="108">
        <f>ABS(AM1250-AM$1)</f>
        <v/>
      </c>
      <c r="AB1250" s="108">
        <f>ABS(AN1250-AN$1)</f>
        <v/>
      </c>
      <c r="AC1250" s="108" t="n"/>
      <c r="AD1250" s="108" t="n"/>
      <c r="AE1250" s="108">
        <f>ABS(AQ$1-AQ1250)</f>
        <v/>
      </c>
      <c r="AF1250" s="108">
        <f>ABS(AR$1-AR1250)</f>
        <v/>
      </c>
      <c r="AG1250" s="108">
        <f>ABS(AS$1-AS1250)</f>
        <v/>
      </c>
      <c r="AH1250" s="108">
        <f>ABS(AT$1-AT1250)</f>
        <v/>
      </c>
      <c r="AI1250" s="108">
        <f>ABS(AU$1-AU1250)</f>
        <v/>
      </c>
      <c r="AJ1250" s="108">
        <f>(AV1250-Driver!$K$179)/(Driver!$L$179-Driver!$K$179)</f>
        <v/>
      </c>
      <c r="AK1250" s="108">
        <f>(AW1250-Driver!$K$180)/(Driver!$L$180-Driver!$K$180)</f>
        <v/>
      </c>
      <c r="AL1250" s="108">
        <f>(AX1250-Driver!$K$181)/(Driver!$L$181-Driver!$K$181)</f>
        <v/>
      </c>
      <c r="AM1250" s="108">
        <f>(AY1250-Driver!$K$182)/(Driver!$L$182-Driver!$K$182)</f>
        <v/>
      </c>
      <c r="AN1250" s="108">
        <f>(AZ1250-Driver!$K$183)/(Driver!$L$183-Driver!$K$183)</f>
        <v/>
      </c>
      <c r="AO1250" s="108" t="n"/>
      <c r="AP1250" s="108" t="n"/>
      <c r="AQ1250" s="108">
        <f>(BC1250-Driver!$K$188)/(Driver!$L$188-Driver!$K$188)</f>
        <v/>
      </c>
      <c r="AR1250" s="108">
        <f>MIN((BD1250-Driver!$K$189)/(Driver!$L$189-Driver!$K$189),100%)</f>
        <v/>
      </c>
      <c r="AS1250" s="108">
        <f>(BE1250-Driver!$K$190)/(Driver!$L$190-Driver!$K$190)</f>
        <v/>
      </c>
      <c r="AT1250" s="108">
        <f>(BF1250-Driver!$K$191)/(Driver!$L$191-Driver!$K$191)</f>
        <v/>
      </c>
      <c r="AU1250" s="108">
        <f>(BG1250-Driver!$K$192)/(Driver!$L$192-Driver!$K$192)</f>
        <v/>
      </c>
      <c r="AV1250" s="105">
        <f>IFERROR(BM1250*BJ1250^1/4,"")</f>
        <v/>
      </c>
      <c r="AW1250" s="105">
        <f>IFERROR(SUM(AX1250:AZ1250),"")</f>
        <v/>
      </c>
      <c r="AX1250" s="105">
        <f>IFERROR(BH1250,"")</f>
        <v/>
      </c>
      <c r="AY1250" s="105">
        <f>IFERROR(Driver!$K$19/Data!BH1250/Data!BI1250*Data!BK1250*Data!BL1250,"")</f>
        <v/>
      </c>
      <c r="AZ1250" s="105">
        <f>IFERROR(BI1250*BN1250,"")</f>
        <v/>
      </c>
      <c r="BA1250" s="105" t="n"/>
      <c r="BB1250" s="105" t="n"/>
      <c r="BC1250" s="105">
        <f>IFERROR(BI1250*BN1250*BK1250/BJ1250^(1/2),"")</f>
        <v/>
      </c>
      <c r="BD1250" s="105">
        <f>IFERROR(BH1250*BM1250*BL1250/BJ1250/BK1250,"")</f>
        <v/>
      </c>
      <c r="BE1250" s="105">
        <f>IFERROR(MIN(BI1250/BQ1250/BP1250/BO1250/BH1250,$BE$1),"")</f>
        <v/>
      </c>
      <c r="BF1250" s="105">
        <f>IFERROR(BJ1250*BO1250*BP1250/BK1250,"")</f>
        <v/>
      </c>
      <c r="BG1250" s="105">
        <f>IFERROR(1/BM1250/BH1250*BQ1250,"")</f>
        <v/>
      </c>
      <c r="BH1250" s="102">
        <f>MAX((CE1250-Driver!$F$200)/(Driver!$G$200-Driver!$F$200)*$BI$1,1)</f>
        <v/>
      </c>
      <c r="BI1250" s="102">
        <f>MAX($BI$1*(BY1250-Driver!$F$201)/(Driver!$G$201-Driver!$F$201),1)</f>
        <v/>
      </c>
      <c r="BJ1250" s="102">
        <f>(CB1250-Driver!$F$206)/(Driver!$G$206-Driver!$F$206)*$BI$1</f>
        <v/>
      </c>
      <c r="BK1250" s="102">
        <f>(CD1250-Driver!$F$203)/(Driver!$G$203-Driver!$F$203)*$BI$1</f>
        <v/>
      </c>
      <c r="BL1250" s="102">
        <f>MAX((CR1250-Driver!$F$202)/(Driver!$G$202-Driver!$F$202)*$BI$1,1)</f>
        <v/>
      </c>
      <c r="BM1250" s="102">
        <f>MAX((CH1250-Driver!$F$204)/(Driver!$G$204-Driver!$F$204)*$BI$1,1)</f>
        <v/>
      </c>
      <c r="BN1250" s="102">
        <f>(CI1250-Driver!$F$205)/(Driver!$G$205-Driver!$F$205)*$BI$1</f>
        <v/>
      </c>
      <c r="BO1250" s="102">
        <f>(CK1250-Driver!$F$207)/(Driver!$G$207-Driver!$F$207)*$BI$1</f>
        <v/>
      </c>
      <c r="BP1250" s="102">
        <f>(CM1250-Driver!$F$208)/(Driver!$G$208-Driver!$F$208)*$BI$1</f>
        <v/>
      </c>
      <c r="BQ1250" s="102">
        <f>(CL1250-Driver!$F$209)/(Driver!$G$209-Driver!$F$209)*$BI$1</f>
        <v/>
      </c>
      <c r="BR1250" s="40" t="inlineStr">
        <is>
          <t>21/22</t>
        </is>
      </c>
      <c r="BS1250" s="10" t="inlineStr">
        <is>
          <t xml:space="preserve"> Völkl</t>
        </is>
      </c>
      <c r="BT1250" s="11" t="inlineStr">
        <is>
          <t>Katana 108</t>
        </is>
      </c>
      <c r="BU1250" s="13" t="n">
        <v>191</v>
      </c>
      <c r="BV1250" s="11" t="inlineStr">
        <is>
          <t xml:space="preserve"> Unisex</t>
        </is>
      </c>
      <c r="BW1250" s="13" t="n">
        <v>191</v>
      </c>
      <c r="BX1250" s="13" t="n">
        <v>191.2</v>
      </c>
      <c r="BY1250" s="13" t="n">
        <v>112</v>
      </c>
      <c r="BZ1250" s="13" t="n">
        <v>167</v>
      </c>
      <c r="CA1250" s="13" t="n">
        <v>145</v>
      </c>
      <c r="CB1250" s="13" t="n">
        <v>108</v>
      </c>
      <c r="CC1250" s="13" t="n">
        <v>129</v>
      </c>
      <c r="CD1250" s="13" t="n">
        <v>22.7</v>
      </c>
      <c r="CE1250" s="13" t="n">
        <v>2405</v>
      </c>
      <c r="CF1250" s="13" t="n">
        <v>0.9399999999999999</v>
      </c>
      <c r="CG1250" s="13" t="n">
        <v>2270</v>
      </c>
      <c r="CH1250" s="13" t="n">
        <v>265</v>
      </c>
      <c r="CI1250" s="13" t="n">
        <v>173</v>
      </c>
      <c r="CJ1250" s="13" t="n">
        <v>53</v>
      </c>
      <c r="CK1250" s="13" t="n">
        <v>457</v>
      </c>
      <c r="CL1250" s="13" t="n">
        <v>24</v>
      </c>
      <c r="CM1250" s="13" t="n">
        <v>332</v>
      </c>
      <c r="CN1250" s="13" t="n">
        <v>0.46</v>
      </c>
      <c r="CO1250" s="13" t="n">
        <v>130</v>
      </c>
      <c r="CP1250" s="13" t="n">
        <v>110</v>
      </c>
      <c r="CQ1250" s="13" t="n">
        <v>327</v>
      </c>
      <c r="CR1250" s="13" t="n">
        <v>1</v>
      </c>
      <c r="CS1250" s="13" t="n">
        <v>11.9</v>
      </c>
      <c r="CT1250" s="11" t="inlineStr">
        <is>
          <t xml:space="preserve"> Powder</t>
        </is>
      </c>
      <c r="CU1250" s="13" t="n"/>
      <c r="CV1250" s="13" t="n"/>
      <c r="CW1250" s="13" t="n"/>
      <c r="CX1250">
        <f>INDEX('Data_Price '!AG$2:AG$1266,MATCH(Data!$DN1250,'Data_Price '!$AT$2:$AT$1266,0))</f>
        <v/>
      </c>
      <c r="CY1250">
        <f>INDEX('Data_Price '!AH$2:AH$1266,MATCH(Data!$DN1250,'Data_Price '!$AT$2:$AT$1266,0))</f>
        <v/>
      </c>
      <c r="CZ1250">
        <f>INDEX('Data_Price '!AI$2:AI$1266,MATCH(Data!$DN1250,'Data_Price '!$AT$2:$AT$1266,0))</f>
        <v/>
      </c>
      <c r="DA1250">
        <f>INDEX('Data_Price '!AJ$2:AJ$1266,MATCH(Data!$DN1250,'Data_Price '!$AT$2:$AT$1266,0))</f>
        <v/>
      </c>
      <c r="DB1250">
        <f>INDEX('Data_Price '!AK$2:AK$1266,MATCH(Data!$DN1250,'Data_Price '!$AT$2:$AT$1266,0))</f>
        <v/>
      </c>
      <c r="DC1250">
        <f>INDEX('Data_Price '!AL$2:AL$1266,MATCH(Data!$DN1250,'Data_Price '!$AT$2:$AT$1266,0))</f>
        <v/>
      </c>
      <c r="DD1250">
        <f>INDEX('Data_Price '!AM$2:AM$1266,MATCH(Data!$DN1250,'Data_Price '!$AT$2:$AT$1266,0))</f>
        <v/>
      </c>
      <c r="DE1250">
        <f>INDEX('Data_Price '!AN$2:AN$1266,MATCH(Data!$DN1250,'Data_Price '!$AT$2:$AT$1266,0))</f>
        <v/>
      </c>
      <c r="DF1250">
        <f>INDEX('Data_Price '!AO$2:AO$1266,MATCH(Data!$DN1250,'Data_Price '!$AT$2:$AT$1266,0))</f>
        <v/>
      </c>
      <c r="DG1250">
        <f>INDEX('Data_Price '!AP$2:AP$1266,MATCH(Data!$DN1250,'Data_Price '!$AT$2:$AT$1266,0))</f>
        <v/>
      </c>
      <c r="DH1250">
        <f>INDEX('Data_Price '!AQ$2:AQ$1266,MATCH(Data!$DN1250,'Data_Price '!$AT$2:$AT$1266,0))</f>
        <v/>
      </c>
      <c r="DI1250">
        <f>INDEX('Data_Price '!AR$2:AR$1266,MATCH(Data!$DN1250,'Data_Price '!$AT$2:$AT$1266,0))</f>
        <v/>
      </c>
      <c r="DJ1250" s="138">
        <f>DA1250</f>
        <v/>
      </c>
      <c r="DK1250" s="138">
        <f>DE1250</f>
        <v/>
      </c>
      <c r="DL1250" s="138">
        <f>DI1250</f>
        <v/>
      </c>
      <c r="DM1250" s="303">
        <f>IF(LEFT(BT1250,1)=" ",RIGHT(BT1250,LEN(BT1250)-1),BT1250)</f>
        <v/>
      </c>
      <c r="DN1250" s="138">
        <f>_xlfn.CONCAT(BS1250,DM1250,BU1250,BV1250)</f>
        <v/>
      </c>
      <c r="DO1250" s="307" t="inlineStr">
        <is>
          <t>https://images.evo.com/imgp/250/208359/837590/volkl-katana-108-skis-2022-.jpg</t>
        </is>
      </c>
    </row>
    <row r="1251" ht="15.6" customHeight="1" s="184">
      <c r="B1251" s="303">
        <f t="array" ref="B1251">IF(OR(ISERROR(K1251:P1251)),FALSE,TRUE)</f>
        <v/>
      </c>
      <c r="C1251" s="60">
        <f>OR(BR1251=Driver!$G$50,Data!BR894=Driver!$H$50)</f>
        <v/>
      </c>
      <c r="D1251" s="60">
        <f>OR(BV1251=Driver!$G$51,BV1251=Driver!$H$51)</f>
        <v/>
      </c>
      <c r="E1251" s="60">
        <f>AND(BX1251&gt;Driver!$F$54,BX1251&lt;Driver!$G$54)</f>
        <v/>
      </c>
      <c r="F1251" s="60">
        <f>CL1251&gt;Driver!$F$56</f>
        <v/>
      </c>
      <c r="G1251" s="60">
        <f>AND(CB1251&gt;Driver!$F$55,CB1251&lt;Driver!$G$55)</f>
        <v/>
      </c>
      <c r="H1251" s="60">
        <f>AND(B1251:G1251)</f>
        <v/>
      </c>
      <c r="I1251" s="60">
        <f>COUNTIFS($H$9:$H$1273,TRUE,$BT$9:$BT$1273,BT1251)</f>
        <v/>
      </c>
      <c r="J1251" s="60">
        <f t="array" ref="J1251">NOT(OR(($H$9:$H$1273=TRUE)*($I$9:$I$1273&gt;0)*($BT$9:$BT$1273=BT1251)*($K$9:$K$1273&gt;K1251)))</f>
        <v/>
      </c>
      <c r="K1251" s="108">
        <f>IFERROR(1-AVERAGE(X1251:Y1251),"")</f>
        <v/>
      </c>
      <c r="L1251" s="108">
        <f>1-X1251</f>
        <v/>
      </c>
      <c r="M1251" s="108">
        <f>1-Y1251</f>
        <v/>
      </c>
      <c r="N1251" s="108">
        <f>1-Z1251</f>
        <v/>
      </c>
      <c r="O1251" s="108">
        <f>1-AA1251</f>
        <v/>
      </c>
      <c r="P1251" s="108">
        <f>1-AB1251</f>
        <v/>
      </c>
      <c r="Q1251" s="108" t="n"/>
      <c r="R1251" s="108" t="n"/>
      <c r="S1251" s="108">
        <f>1-AE1251</f>
        <v/>
      </c>
      <c r="T1251" s="108">
        <f>1-AF1251</f>
        <v/>
      </c>
      <c r="U1251" s="108">
        <f>1-AG1251</f>
        <v/>
      </c>
      <c r="V1251" s="108">
        <f>1-AH1251</f>
        <v/>
      </c>
      <c r="W1251" s="108">
        <f>1-AI1251</f>
        <v/>
      </c>
      <c r="X1251" s="108">
        <f>ABS(AJ1251-AJ$1)</f>
        <v/>
      </c>
      <c r="Y1251" s="108">
        <f>AVERAGE(Z1251:AB1251)</f>
        <v/>
      </c>
      <c r="Z1251" s="108">
        <f>ABS(AL1251-AL$1)</f>
        <v/>
      </c>
      <c r="AA1251" s="108">
        <f>ABS(AM1251-AM$1)</f>
        <v/>
      </c>
      <c r="AB1251" s="108">
        <f>ABS(AN1251-AN$1)</f>
        <v/>
      </c>
      <c r="AC1251" s="108" t="n"/>
      <c r="AD1251" s="108" t="n"/>
      <c r="AE1251" s="108">
        <f>ABS(AQ$1-AQ1251)</f>
        <v/>
      </c>
      <c r="AF1251" s="108">
        <f>ABS(AR$1-AR1251)</f>
        <v/>
      </c>
      <c r="AG1251" s="108">
        <f>ABS(AS$1-AS1251)</f>
        <v/>
      </c>
      <c r="AH1251" s="108">
        <f>ABS(AT$1-AT1251)</f>
        <v/>
      </c>
      <c r="AI1251" s="108">
        <f>ABS(AU$1-AU1251)</f>
        <v/>
      </c>
      <c r="AJ1251" s="108">
        <f>(AV1251-Driver!$K$179)/(Driver!$L$179-Driver!$K$179)</f>
        <v/>
      </c>
      <c r="AK1251" s="108">
        <f>(AW1251-Driver!$K$180)/(Driver!$L$180-Driver!$K$180)</f>
        <v/>
      </c>
      <c r="AL1251" s="108">
        <f>(AX1251-Driver!$K$181)/(Driver!$L$181-Driver!$K$181)</f>
        <v/>
      </c>
      <c r="AM1251" s="108">
        <f>(AY1251-Driver!$K$182)/(Driver!$L$182-Driver!$K$182)</f>
        <v/>
      </c>
      <c r="AN1251" s="108">
        <f>(AZ1251-Driver!$K$183)/(Driver!$L$183-Driver!$K$183)</f>
        <v/>
      </c>
      <c r="AO1251" s="108" t="n"/>
      <c r="AP1251" s="108" t="n"/>
      <c r="AQ1251" s="108">
        <f>(BC1251-Driver!$K$188)/(Driver!$L$188-Driver!$K$188)</f>
        <v/>
      </c>
      <c r="AR1251" s="108">
        <f>MIN((BD1251-Driver!$K$189)/(Driver!$L$189-Driver!$K$189),100%)</f>
        <v/>
      </c>
      <c r="AS1251" s="108">
        <f>(BE1251-Driver!$K$190)/(Driver!$L$190-Driver!$K$190)</f>
        <v/>
      </c>
      <c r="AT1251" s="108">
        <f>(BF1251-Driver!$K$191)/(Driver!$L$191-Driver!$K$191)</f>
        <v/>
      </c>
      <c r="AU1251" s="108">
        <f>(BG1251-Driver!$K$192)/(Driver!$L$192-Driver!$K$192)</f>
        <v/>
      </c>
      <c r="AV1251" s="105">
        <f>IFERROR(BM1251*BJ1251^1/4,"")</f>
        <v/>
      </c>
      <c r="AW1251" s="105">
        <f>IFERROR(SUM(AX1251:AZ1251),"")</f>
        <v/>
      </c>
      <c r="AX1251" s="105">
        <f>IFERROR(BH1251,"")</f>
        <v/>
      </c>
      <c r="AY1251" s="105">
        <f>IFERROR(Driver!$K$19/Data!BH1251/Data!BI1251*Data!BK1251*Data!BL1251,"")</f>
        <v/>
      </c>
      <c r="AZ1251" s="105">
        <f>IFERROR(BI1251*BN1251,"")</f>
        <v/>
      </c>
      <c r="BA1251" s="105" t="n"/>
      <c r="BB1251" s="105" t="n"/>
      <c r="BC1251" s="105">
        <f>IFERROR(BI1251*BN1251*BK1251/BJ1251^(1/2),"")</f>
        <v/>
      </c>
      <c r="BD1251" s="105">
        <f>IFERROR(BH1251*BM1251*BL1251/BJ1251/BK1251,"")</f>
        <v/>
      </c>
      <c r="BE1251" s="105">
        <f>IFERROR(MIN(BI1251/BQ1251/BP1251/BO1251/BH1251,$BE$1),"")</f>
        <v/>
      </c>
      <c r="BF1251" s="105">
        <f>IFERROR(BJ1251*BO1251*BP1251/BK1251,"")</f>
        <v/>
      </c>
      <c r="BG1251" s="105">
        <f>IFERROR(1/BM1251/BH1251*BQ1251,"")</f>
        <v/>
      </c>
      <c r="BH1251" s="102">
        <f>MAX((CE1251-Driver!$F$200)/(Driver!$G$200-Driver!$F$200)*$BI$1,1)</f>
        <v/>
      </c>
      <c r="BI1251" s="102">
        <f>MAX($BI$1*(BY1251-Driver!$F$201)/(Driver!$G$201-Driver!$F$201),1)</f>
        <v/>
      </c>
      <c r="BJ1251" s="102">
        <f>(CB1251-Driver!$F$206)/(Driver!$G$206-Driver!$F$206)*$BI$1</f>
        <v/>
      </c>
      <c r="BK1251" s="102">
        <f>(CD1251-Driver!$F$203)/(Driver!$G$203-Driver!$F$203)*$BI$1</f>
        <v/>
      </c>
      <c r="BL1251" s="102">
        <f>MAX((CR1251-Driver!$F$202)/(Driver!$G$202-Driver!$F$202)*$BI$1,1)</f>
        <v/>
      </c>
      <c r="BM1251" s="102">
        <f>MAX((CH1251-Driver!$F$204)/(Driver!$G$204-Driver!$F$204)*$BI$1,1)</f>
        <v/>
      </c>
      <c r="BN1251" s="102">
        <f>(CI1251-Driver!$F$205)/(Driver!$G$205-Driver!$F$205)*$BI$1</f>
        <v/>
      </c>
      <c r="BO1251" s="102">
        <f>(CK1251-Driver!$F$207)/(Driver!$G$207-Driver!$F$207)*$BI$1</f>
        <v/>
      </c>
      <c r="BP1251" s="102">
        <f>(CM1251-Driver!$F$208)/(Driver!$G$208-Driver!$F$208)*$BI$1</f>
        <v/>
      </c>
      <c r="BQ1251" s="102">
        <f>(CL1251-Driver!$F$209)/(Driver!$G$209-Driver!$F$209)*$BI$1</f>
        <v/>
      </c>
      <c r="BR1251" s="40" t="inlineStr">
        <is>
          <t>21/22</t>
        </is>
      </c>
      <c r="BS1251" s="10" t="inlineStr">
        <is>
          <t xml:space="preserve"> Nordica</t>
        </is>
      </c>
      <c r="BT1251" s="11" t="inlineStr">
        <is>
          <t>Enforcer 100</t>
        </is>
      </c>
      <c r="BU1251" s="13" t="n">
        <v>186</v>
      </c>
      <c r="BV1251" s="11" t="inlineStr">
        <is>
          <t xml:space="preserve"> Unisex</t>
        </is>
      </c>
      <c r="BW1251" s="13" t="n">
        <v>186</v>
      </c>
      <c r="BX1251" s="13" t="n">
        <v>185.3</v>
      </c>
      <c r="BY1251" s="13" t="n">
        <v>136</v>
      </c>
      <c r="BZ1251" s="13" t="n">
        <v>154</v>
      </c>
      <c r="CA1251" s="13" t="n">
        <v>134</v>
      </c>
      <c r="CB1251" s="13" t="n">
        <v>99</v>
      </c>
      <c r="CC1251" s="13" t="n">
        <v>120</v>
      </c>
      <c r="CD1251" s="13" t="n">
        <v>18.3</v>
      </c>
      <c r="CE1251" s="13" t="n">
        <v>2347</v>
      </c>
      <c r="CF1251" s="13" t="n">
        <v>0.87</v>
      </c>
      <c r="CG1251" s="13" t="n">
        <v>2048</v>
      </c>
      <c r="CH1251" s="13" t="n">
        <v>263</v>
      </c>
      <c r="CI1251" s="13" t="n">
        <v>167</v>
      </c>
      <c r="CJ1251" s="13" t="n">
        <v>49</v>
      </c>
      <c r="CK1251" s="13" t="n">
        <v>284</v>
      </c>
      <c r="CL1251" s="13" t="n">
        <v>14</v>
      </c>
      <c r="CM1251" s="13" t="n">
        <v>209</v>
      </c>
      <c r="CN1251" s="13" t="n">
        <v>0.291</v>
      </c>
      <c r="CO1251" s="13" t="n">
        <v>143</v>
      </c>
      <c r="CP1251" s="13" t="n">
        <v>169</v>
      </c>
      <c r="CQ1251" s="13" t="n">
        <v>141</v>
      </c>
      <c r="CR1251" s="13" t="n">
        <v>7</v>
      </c>
      <c r="CS1251" s="13" t="n">
        <v>8.800000000000001</v>
      </c>
      <c r="CT1251" s="11" t="inlineStr">
        <is>
          <t xml:space="preserve"> Resort Freeride</t>
        </is>
      </c>
      <c r="CU1251" s="13" t="n"/>
      <c r="CV1251" s="13" t="n"/>
      <c r="CW1251" s="13" t="n"/>
      <c r="CX1251">
        <f>INDEX('Data_Price '!AG$2:AG$1266,MATCH(Data!$DN1251,'Data_Price '!$AT$2:$AT$1266,0))</f>
        <v/>
      </c>
      <c r="CY1251">
        <f>INDEX('Data_Price '!AH$2:AH$1266,MATCH(Data!$DN1251,'Data_Price '!$AT$2:$AT$1266,0))</f>
        <v/>
      </c>
      <c r="CZ1251">
        <f>INDEX('Data_Price '!AI$2:AI$1266,MATCH(Data!$DN1251,'Data_Price '!$AT$2:$AT$1266,0))</f>
        <v/>
      </c>
      <c r="DA1251">
        <f>INDEX('Data_Price '!AJ$2:AJ$1266,MATCH(Data!$DN1251,'Data_Price '!$AT$2:$AT$1266,0))</f>
        <v/>
      </c>
      <c r="DB1251">
        <f>INDEX('Data_Price '!AK$2:AK$1266,MATCH(Data!$DN1251,'Data_Price '!$AT$2:$AT$1266,0))</f>
        <v/>
      </c>
      <c r="DC1251">
        <f>INDEX('Data_Price '!AL$2:AL$1266,MATCH(Data!$DN1251,'Data_Price '!$AT$2:$AT$1266,0))</f>
        <v/>
      </c>
      <c r="DD1251">
        <f>INDEX('Data_Price '!AM$2:AM$1266,MATCH(Data!$DN1251,'Data_Price '!$AT$2:$AT$1266,0))</f>
        <v/>
      </c>
      <c r="DE1251">
        <f>INDEX('Data_Price '!AN$2:AN$1266,MATCH(Data!$DN1251,'Data_Price '!$AT$2:$AT$1266,0))</f>
        <v/>
      </c>
      <c r="DF1251">
        <f>INDEX('Data_Price '!AO$2:AO$1266,MATCH(Data!$DN1251,'Data_Price '!$AT$2:$AT$1266,0))</f>
        <v/>
      </c>
      <c r="DG1251">
        <f>INDEX('Data_Price '!AP$2:AP$1266,MATCH(Data!$DN1251,'Data_Price '!$AT$2:$AT$1266,0))</f>
        <v/>
      </c>
      <c r="DH1251">
        <f>INDEX('Data_Price '!AQ$2:AQ$1266,MATCH(Data!$DN1251,'Data_Price '!$AT$2:$AT$1266,0))</f>
        <v/>
      </c>
      <c r="DI1251">
        <f>INDEX('Data_Price '!AR$2:AR$1266,MATCH(Data!$DN1251,'Data_Price '!$AT$2:$AT$1266,0))</f>
        <v/>
      </c>
      <c r="DJ1251" s="138">
        <f>DA1251</f>
        <v/>
      </c>
      <c r="DK1251" s="138">
        <f>DE1251</f>
        <v/>
      </c>
      <c r="DL1251" s="138">
        <f>DI1251</f>
        <v/>
      </c>
      <c r="DM1251" s="303">
        <f>IF(LEFT(BT1251,1)=" ",RIGHT(BT1251,LEN(BT1251)-1),BT1251)</f>
        <v/>
      </c>
      <c r="DN1251" s="138">
        <f>_xlfn.CONCAT(BS1251,DM1251,BU1251,BV1251)</f>
        <v/>
      </c>
      <c r="DO1251" s="307" t="inlineStr">
        <is>
          <t>https://images.evo.com/imgp/250/198255/792329/clone.jpg</t>
        </is>
      </c>
    </row>
    <row r="1252" ht="15.6" customHeight="1" s="184">
      <c r="B1252" s="303">
        <f t="array" ref="B1252">IF(OR(ISERROR(K1252:P1252)),FALSE,TRUE)</f>
        <v/>
      </c>
      <c r="C1252" s="60">
        <f>OR(BR1252=Driver!$G$50,Data!BR187=Driver!$H$50)</f>
        <v/>
      </c>
      <c r="D1252" s="60">
        <f>OR(BV1252=Driver!$G$51,BV1252=Driver!$H$51)</f>
        <v/>
      </c>
      <c r="E1252" s="60">
        <f>AND(BX1252&gt;Driver!$F$54,BX1252&lt;Driver!$G$54)</f>
        <v/>
      </c>
      <c r="F1252" s="60">
        <f>CL1252&gt;Driver!$F$56</f>
        <v/>
      </c>
      <c r="G1252" s="60">
        <f>AND(CB1252&gt;Driver!$F$55,CB1252&lt;Driver!$G$55)</f>
        <v/>
      </c>
      <c r="H1252" s="60">
        <f>AND(B1252:G1252)</f>
        <v/>
      </c>
      <c r="I1252" s="60">
        <f>COUNTIFS($H$9:$H$1273,TRUE,$BT$9:$BT$1273,BT1252)</f>
        <v/>
      </c>
      <c r="J1252" s="60">
        <f t="array" ref="J1252">NOT(OR(($H$9:$H$1273=TRUE)*($I$9:$I$1273&gt;0)*($BT$9:$BT$1273=BT1252)*($K$9:$K$1273&gt;K1252)))</f>
        <v/>
      </c>
      <c r="K1252" s="108">
        <f>IFERROR(1-AVERAGE(X1252:Y1252),"")</f>
        <v/>
      </c>
      <c r="L1252" s="108">
        <f>1-X1252</f>
        <v/>
      </c>
      <c r="M1252" s="108">
        <f>1-Y1252</f>
        <v/>
      </c>
      <c r="N1252" s="108">
        <f>1-Z1252</f>
        <v/>
      </c>
      <c r="O1252" s="108">
        <f>1-AA1252</f>
        <v/>
      </c>
      <c r="P1252" s="108">
        <f>1-AB1252</f>
        <v/>
      </c>
      <c r="Q1252" s="108" t="n"/>
      <c r="R1252" s="108" t="n"/>
      <c r="S1252" s="108">
        <f>1-AE1252</f>
        <v/>
      </c>
      <c r="T1252" s="108">
        <f>1-AF1252</f>
        <v/>
      </c>
      <c r="U1252" s="108">
        <f>1-AG1252</f>
        <v/>
      </c>
      <c r="V1252" s="108">
        <f>1-AH1252</f>
        <v/>
      </c>
      <c r="W1252" s="108">
        <f>1-AI1252</f>
        <v/>
      </c>
      <c r="X1252" s="108">
        <f>ABS(AJ1252-AJ$1)</f>
        <v/>
      </c>
      <c r="Y1252" s="108">
        <f>AVERAGE(Z1252:AB1252)</f>
        <v/>
      </c>
      <c r="Z1252" s="108">
        <f>ABS(AL1252-AL$1)</f>
        <v/>
      </c>
      <c r="AA1252" s="108">
        <f>ABS(AM1252-AM$1)</f>
        <v/>
      </c>
      <c r="AB1252" s="108">
        <f>ABS(AN1252-AN$1)</f>
        <v/>
      </c>
      <c r="AC1252" s="108" t="n"/>
      <c r="AD1252" s="108" t="n"/>
      <c r="AE1252" s="108">
        <f>ABS(AQ$1-AQ1252)</f>
        <v/>
      </c>
      <c r="AF1252" s="108">
        <f>ABS(AR$1-AR1252)</f>
        <v/>
      </c>
      <c r="AG1252" s="108">
        <f>ABS(AS$1-AS1252)</f>
        <v/>
      </c>
      <c r="AH1252" s="108">
        <f>ABS(AT$1-AT1252)</f>
        <v/>
      </c>
      <c r="AI1252" s="108">
        <f>ABS(AU$1-AU1252)</f>
        <v/>
      </c>
      <c r="AJ1252" s="108">
        <f>(AV1252-Driver!$K$179)/(Driver!$L$179-Driver!$K$179)</f>
        <v/>
      </c>
      <c r="AK1252" s="108">
        <f>(AW1252-Driver!$K$180)/(Driver!$L$180-Driver!$K$180)</f>
        <v/>
      </c>
      <c r="AL1252" s="108">
        <f>(AX1252-Driver!$K$181)/(Driver!$L$181-Driver!$K$181)</f>
        <v/>
      </c>
      <c r="AM1252" s="108">
        <f>(AY1252-Driver!$K$182)/(Driver!$L$182-Driver!$K$182)</f>
        <v/>
      </c>
      <c r="AN1252" s="108">
        <f>(AZ1252-Driver!$K$183)/(Driver!$L$183-Driver!$K$183)</f>
        <v/>
      </c>
      <c r="AO1252" s="108" t="n"/>
      <c r="AP1252" s="108" t="n"/>
      <c r="AQ1252" s="108">
        <f>(BC1252-Driver!$K$188)/(Driver!$L$188-Driver!$K$188)</f>
        <v/>
      </c>
      <c r="AR1252" s="108">
        <f>MIN((BD1252-Driver!$K$189)/(Driver!$L$189-Driver!$K$189),100%)</f>
        <v/>
      </c>
      <c r="AS1252" s="108">
        <f>(BE1252-Driver!$K$190)/(Driver!$L$190-Driver!$K$190)</f>
        <v/>
      </c>
      <c r="AT1252" s="108">
        <f>(BF1252-Driver!$K$191)/(Driver!$L$191-Driver!$K$191)</f>
        <v/>
      </c>
      <c r="AU1252" s="108">
        <f>(BG1252-Driver!$K$192)/(Driver!$L$192-Driver!$K$192)</f>
        <v/>
      </c>
      <c r="AV1252" s="105">
        <f>IFERROR(BM1252*BJ1252^1/4,"")</f>
        <v/>
      </c>
      <c r="AW1252" s="105">
        <f>IFERROR(SUM(AX1252:AZ1252),"")</f>
        <v/>
      </c>
      <c r="AX1252" s="105">
        <f>IFERROR(BH1252,"")</f>
        <v/>
      </c>
      <c r="AY1252" s="105">
        <f>IFERROR(Driver!$K$19/Data!BH1252/Data!BI1252*Data!BK1252*Data!BL1252,"")</f>
        <v/>
      </c>
      <c r="AZ1252" s="105">
        <f>IFERROR(BI1252*BN1252,"")</f>
        <v/>
      </c>
      <c r="BA1252" s="105" t="n"/>
      <c r="BB1252" s="105" t="n"/>
      <c r="BC1252" s="105">
        <f>IFERROR(BI1252*BN1252*BK1252/BJ1252^(1/2),"")</f>
        <v/>
      </c>
      <c r="BD1252" s="105">
        <f>IFERROR(BH1252*BM1252*BL1252/BJ1252/BK1252,"")</f>
        <v/>
      </c>
      <c r="BE1252" s="105">
        <f>IFERROR(MIN(BI1252/BQ1252/BP1252/BO1252/BH1252,$BE$1),"")</f>
        <v/>
      </c>
      <c r="BF1252" s="105">
        <f>IFERROR(BJ1252*BO1252*BP1252/BK1252,"")</f>
        <v/>
      </c>
      <c r="BG1252" s="105">
        <f>IFERROR(1/BM1252/BH1252*BQ1252,"")</f>
        <v/>
      </c>
      <c r="BH1252" s="102">
        <f>MAX((CE1252-Driver!$F$200)/(Driver!$G$200-Driver!$F$200)*$BI$1,1)</f>
        <v/>
      </c>
      <c r="BI1252" s="102">
        <f>MAX($BI$1*(BY1252-Driver!$F$201)/(Driver!$G$201-Driver!$F$201),1)</f>
        <v/>
      </c>
      <c r="BJ1252" s="102">
        <f>(CB1252-Driver!$F$206)/(Driver!$G$206-Driver!$F$206)*$BI$1</f>
        <v/>
      </c>
      <c r="BK1252" s="102">
        <f>(CD1252-Driver!$F$203)/(Driver!$G$203-Driver!$F$203)*$BI$1</f>
        <v/>
      </c>
      <c r="BL1252" s="102">
        <f>MAX((CR1252-Driver!$F$202)/(Driver!$G$202-Driver!$F$202)*$BI$1,1)</f>
        <v/>
      </c>
      <c r="BM1252" s="102">
        <f>MAX((CH1252-Driver!$F$204)/(Driver!$G$204-Driver!$F$204)*$BI$1,1)</f>
        <v/>
      </c>
      <c r="BN1252" s="102">
        <f>(CI1252-Driver!$F$205)/(Driver!$G$205-Driver!$F$205)*$BI$1</f>
        <v/>
      </c>
      <c r="BO1252" s="102">
        <f>(CK1252-Driver!$F$207)/(Driver!$G$207-Driver!$F$207)*$BI$1</f>
        <v/>
      </c>
      <c r="BP1252" s="102">
        <f>(CM1252-Driver!$F$208)/(Driver!$G$208-Driver!$F$208)*$BI$1</f>
        <v/>
      </c>
      <c r="BQ1252" s="102">
        <f>(CL1252-Driver!$F$209)/(Driver!$G$209-Driver!$F$209)*$BI$1</f>
        <v/>
      </c>
      <c r="BR1252" s="40" t="inlineStr">
        <is>
          <t>21/22</t>
        </is>
      </c>
      <c r="BS1252" s="10" t="inlineStr">
        <is>
          <t xml:space="preserve"> Atomic</t>
        </is>
      </c>
      <c r="BT1252" s="11" t="inlineStr">
        <is>
          <t>Redster X9 WB Revo</t>
        </is>
      </c>
      <c r="BU1252" s="13" t="n">
        <v>176</v>
      </c>
      <c r="BV1252" s="11" t="inlineStr">
        <is>
          <t xml:space="preserve"> Unisex</t>
        </is>
      </c>
      <c r="BW1252" s="13" t="n">
        <v>176</v>
      </c>
      <c r="BX1252" s="13" t="n">
        <v>175.3</v>
      </c>
      <c r="BY1252" s="13" t="n">
        <v>155</v>
      </c>
      <c r="BZ1252" s="13" t="n">
        <v>161</v>
      </c>
      <c r="CA1252" s="13" t="n">
        <v>127</v>
      </c>
      <c r="CB1252" s="13" t="n">
        <v>74</v>
      </c>
      <c r="CC1252" s="13" t="n">
        <v>111</v>
      </c>
      <c r="CD1252" s="13" t="n">
        <v>14.2</v>
      </c>
      <c r="CE1252" s="13" t="n">
        <v>2253</v>
      </c>
      <c r="CF1252" s="13" t="n">
        <v>0.71</v>
      </c>
      <c r="CG1252" s="13" t="n">
        <v>1590</v>
      </c>
      <c r="CH1252" s="13" t="n">
        <v>248</v>
      </c>
      <c r="CI1252" s="13" t="n">
        <v>146</v>
      </c>
      <c r="CJ1252" s="13" t="n">
        <v>37</v>
      </c>
      <c r="CK1252" s="13" t="n">
        <v>143</v>
      </c>
      <c r="CL1252" s="13" t="n">
        <v>5</v>
      </c>
      <c r="CM1252" s="13" t="n">
        <v>57</v>
      </c>
      <c r="CN1252" s="13" t="n">
        <v>0.139</v>
      </c>
      <c r="CO1252" s="13" t="n">
        <v>85</v>
      </c>
      <c r="CP1252" s="13" t="n">
        <v>56</v>
      </c>
      <c r="CQ1252" s="13" t="n">
        <v>59</v>
      </c>
      <c r="CR1252" s="13" t="n">
        <v>9</v>
      </c>
      <c r="CS1252" s="13" t="n">
        <v>12.5</v>
      </c>
      <c r="CT1252" s="11" t="inlineStr">
        <is>
          <t xml:space="preserve"> On-Piste Carving</t>
        </is>
      </c>
      <c r="CU1252" s="13" t="n"/>
      <c r="CV1252" s="13" t="n"/>
      <c r="CW1252" s="13" t="n"/>
      <c r="CX1252">
        <f>INDEX('Data_Price '!AG$2:AG$1266,MATCH(Data!$DN1252,'Data_Price '!$AT$2:$AT$1266,0))</f>
        <v/>
      </c>
      <c r="CY1252">
        <f>INDEX('Data_Price '!AH$2:AH$1266,MATCH(Data!$DN1252,'Data_Price '!$AT$2:$AT$1266,0))</f>
        <v/>
      </c>
      <c r="CZ1252">
        <f>INDEX('Data_Price '!AI$2:AI$1266,MATCH(Data!$DN1252,'Data_Price '!$AT$2:$AT$1266,0))</f>
        <v/>
      </c>
      <c r="DA1252">
        <f>INDEX('Data_Price '!AJ$2:AJ$1266,MATCH(Data!$DN1252,'Data_Price '!$AT$2:$AT$1266,0))</f>
        <v/>
      </c>
      <c r="DB1252">
        <f>INDEX('Data_Price '!AK$2:AK$1266,MATCH(Data!$DN1252,'Data_Price '!$AT$2:$AT$1266,0))</f>
        <v/>
      </c>
      <c r="DC1252">
        <f>INDEX('Data_Price '!AL$2:AL$1266,MATCH(Data!$DN1252,'Data_Price '!$AT$2:$AT$1266,0))</f>
        <v/>
      </c>
      <c r="DD1252">
        <f>INDEX('Data_Price '!AM$2:AM$1266,MATCH(Data!$DN1252,'Data_Price '!$AT$2:$AT$1266,0))</f>
        <v/>
      </c>
      <c r="DE1252">
        <f>INDEX('Data_Price '!AN$2:AN$1266,MATCH(Data!$DN1252,'Data_Price '!$AT$2:$AT$1266,0))</f>
        <v/>
      </c>
      <c r="DF1252">
        <f>INDEX('Data_Price '!AO$2:AO$1266,MATCH(Data!$DN1252,'Data_Price '!$AT$2:$AT$1266,0))</f>
        <v/>
      </c>
      <c r="DG1252">
        <f>INDEX('Data_Price '!AP$2:AP$1266,MATCH(Data!$DN1252,'Data_Price '!$AT$2:$AT$1266,0))</f>
        <v/>
      </c>
      <c r="DH1252">
        <f>INDEX('Data_Price '!AQ$2:AQ$1266,MATCH(Data!$DN1252,'Data_Price '!$AT$2:$AT$1266,0))</f>
        <v/>
      </c>
      <c r="DI1252">
        <f>INDEX('Data_Price '!AR$2:AR$1266,MATCH(Data!$DN1252,'Data_Price '!$AT$2:$AT$1266,0))</f>
        <v/>
      </c>
      <c r="DJ1252" s="138">
        <f>DA1252</f>
        <v/>
      </c>
      <c r="DK1252" s="138">
        <f>DE1252</f>
        <v/>
      </c>
      <c r="DL1252" s="138">
        <f>DI1252</f>
        <v/>
      </c>
      <c r="DM1252" s="303">
        <f>IF(LEFT(BT1252,1)=" ",RIGHT(BT1252,LEN(BT1252)-1),BT1252)</f>
        <v/>
      </c>
      <c r="DN1252" s="138">
        <f>_xlfn.CONCAT(BS1252,DM1252,BU1252,BV1252)</f>
        <v/>
      </c>
      <c r="DO1252" s="307" t="inlineStr">
        <is>
          <t>https://images.evo.com/imgp/250/197809/826883/atomic-redster-x9-wb-revo-skis-x-12-gw-bindings-2022-.jpg</t>
        </is>
      </c>
    </row>
    <row r="1253" ht="15.6" customHeight="1" s="184">
      <c r="B1253" s="303">
        <f t="array" ref="B1253">IF(OR(ISERROR(K1253:P1253)),FALSE,TRUE)</f>
        <v/>
      </c>
      <c r="C1253" s="60">
        <f>OR(BR1253=Driver!$G$50,Data!BR1040=Driver!$H$50)</f>
        <v/>
      </c>
      <c r="D1253" s="60">
        <f>OR(BV1253=Driver!$G$51,BV1253=Driver!$H$51)</f>
        <v/>
      </c>
      <c r="E1253" s="60">
        <f>AND(BX1253&gt;Driver!$F$54,BX1253&lt;Driver!$G$54)</f>
        <v/>
      </c>
      <c r="F1253" s="60">
        <f>CL1253&gt;Driver!$F$56</f>
        <v/>
      </c>
      <c r="G1253" s="60">
        <f>AND(CB1253&gt;Driver!$F$55,CB1253&lt;Driver!$G$55)</f>
        <v/>
      </c>
      <c r="H1253" s="60">
        <f>AND(B1253:G1253)</f>
        <v/>
      </c>
      <c r="I1253" s="60">
        <f>COUNTIFS($H$9:$H$1273,TRUE,$BT$9:$BT$1273,BT1253)</f>
        <v/>
      </c>
      <c r="J1253" s="60">
        <f t="array" ref="J1253">NOT(OR(($H$9:$H$1273=TRUE)*($I$9:$I$1273&gt;0)*($BT$9:$BT$1273=BT1253)*($K$9:$K$1273&gt;K1253)))</f>
        <v/>
      </c>
      <c r="K1253" s="108">
        <f>IFERROR(1-AVERAGE(X1253:Y1253),"")</f>
        <v/>
      </c>
      <c r="L1253" s="108">
        <f>1-X1253</f>
        <v/>
      </c>
      <c r="M1253" s="108">
        <f>1-Y1253</f>
        <v/>
      </c>
      <c r="N1253" s="108">
        <f>1-Z1253</f>
        <v/>
      </c>
      <c r="O1253" s="108">
        <f>1-AA1253</f>
        <v/>
      </c>
      <c r="P1253" s="108">
        <f>1-AB1253</f>
        <v/>
      </c>
      <c r="Q1253" s="108" t="n"/>
      <c r="R1253" s="108" t="n"/>
      <c r="S1253" s="108">
        <f>1-AE1253</f>
        <v/>
      </c>
      <c r="T1253" s="108">
        <f>1-AF1253</f>
        <v/>
      </c>
      <c r="U1253" s="108">
        <f>1-AG1253</f>
        <v/>
      </c>
      <c r="V1253" s="108">
        <f>1-AH1253</f>
        <v/>
      </c>
      <c r="W1253" s="108">
        <f>1-AI1253</f>
        <v/>
      </c>
      <c r="X1253" s="108">
        <f>ABS(AJ1253-AJ$1)</f>
        <v/>
      </c>
      <c r="Y1253" s="108">
        <f>AVERAGE(Z1253:AB1253)</f>
        <v/>
      </c>
      <c r="Z1253" s="108">
        <f>ABS(AL1253-AL$1)</f>
        <v/>
      </c>
      <c r="AA1253" s="108">
        <f>ABS(AM1253-AM$1)</f>
        <v/>
      </c>
      <c r="AB1253" s="108">
        <f>ABS(AN1253-AN$1)</f>
        <v/>
      </c>
      <c r="AC1253" s="108" t="n"/>
      <c r="AD1253" s="108" t="n"/>
      <c r="AE1253" s="108">
        <f>ABS(AQ$1-AQ1253)</f>
        <v/>
      </c>
      <c r="AF1253" s="108">
        <f>ABS(AR$1-AR1253)</f>
        <v/>
      </c>
      <c r="AG1253" s="108">
        <f>ABS(AS$1-AS1253)</f>
        <v/>
      </c>
      <c r="AH1253" s="108">
        <f>ABS(AT$1-AT1253)</f>
        <v/>
      </c>
      <c r="AI1253" s="108">
        <f>ABS(AU$1-AU1253)</f>
        <v/>
      </c>
      <c r="AJ1253" s="108">
        <f>(AV1253-Driver!$K$179)/(Driver!$L$179-Driver!$K$179)</f>
        <v/>
      </c>
      <c r="AK1253" s="108">
        <f>(AW1253-Driver!$K$180)/(Driver!$L$180-Driver!$K$180)</f>
        <v/>
      </c>
      <c r="AL1253" s="108">
        <f>(AX1253-Driver!$K$181)/(Driver!$L$181-Driver!$K$181)</f>
        <v/>
      </c>
      <c r="AM1253" s="108">
        <f>(AY1253-Driver!$K$182)/(Driver!$L$182-Driver!$K$182)</f>
        <v/>
      </c>
      <c r="AN1253" s="108">
        <f>(AZ1253-Driver!$K$183)/(Driver!$L$183-Driver!$K$183)</f>
        <v/>
      </c>
      <c r="AO1253" s="108" t="n"/>
      <c r="AP1253" s="108" t="n"/>
      <c r="AQ1253" s="108">
        <f>(BC1253-Driver!$K$188)/(Driver!$L$188-Driver!$K$188)</f>
        <v/>
      </c>
      <c r="AR1253" s="108">
        <f>MIN((BD1253-Driver!$K$189)/(Driver!$L$189-Driver!$K$189),100%)</f>
        <v/>
      </c>
      <c r="AS1253" s="108">
        <f>(BE1253-Driver!$K$190)/(Driver!$L$190-Driver!$K$190)</f>
        <v/>
      </c>
      <c r="AT1253" s="108">
        <f>(BF1253-Driver!$K$191)/(Driver!$L$191-Driver!$K$191)</f>
        <v/>
      </c>
      <c r="AU1253" s="108">
        <f>(BG1253-Driver!$K$192)/(Driver!$L$192-Driver!$K$192)</f>
        <v/>
      </c>
      <c r="AV1253" s="105">
        <f>IFERROR(BM1253*BJ1253^1/4,"")</f>
        <v/>
      </c>
      <c r="AW1253" s="105">
        <f>IFERROR(SUM(AX1253:AZ1253),"")</f>
        <v/>
      </c>
      <c r="AX1253" s="105">
        <f>IFERROR(BH1253,"")</f>
        <v/>
      </c>
      <c r="AY1253" s="105">
        <f>IFERROR(Driver!$K$19/Data!BH1253/Data!BI1253*Data!BK1253*Data!BL1253,"")</f>
        <v/>
      </c>
      <c r="AZ1253" s="105">
        <f>IFERROR(BI1253*BN1253,"")</f>
        <v/>
      </c>
      <c r="BA1253" s="105" t="n"/>
      <c r="BB1253" s="105" t="n"/>
      <c r="BC1253" s="105">
        <f>IFERROR(BI1253*BN1253*BK1253/BJ1253^(1/2),"")</f>
        <v/>
      </c>
      <c r="BD1253" s="105">
        <f>IFERROR(BH1253*BM1253*BL1253/BJ1253/BK1253,"")</f>
        <v/>
      </c>
      <c r="BE1253" s="105">
        <f>IFERROR(MIN(BI1253/BQ1253/BP1253/BO1253/BH1253,$BE$1),"")</f>
        <v/>
      </c>
      <c r="BF1253" s="105">
        <f>IFERROR(BJ1253*BO1253*BP1253/BK1253,"")</f>
        <v/>
      </c>
      <c r="BG1253" s="105">
        <f>IFERROR(1/BM1253/BH1253*BQ1253,"")</f>
        <v/>
      </c>
      <c r="BH1253" s="102">
        <f>MAX((CE1253-Driver!$F$200)/(Driver!$G$200-Driver!$F$200)*$BI$1,1)</f>
        <v/>
      </c>
      <c r="BI1253" s="102">
        <f>MAX($BI$1*(BY1253-Driver!$F$201)/(Driver!$G$201-Driver!$F$201),1)</f>
        <v/>
      </c>
      <c r="BJ1253" s="102">
        <f>(CB1253-Driver!$F$206)/(Driver!$G$206-Driver!$F$206)*$BI$1</f>
        <v/>
      </c>
      <c r="BK1253" s="102">
        <f>(CD1253-Driver!$F$203)/(Driver!$G$203-Driver!$F$203)*$BI$1</f>
        <v/>
      </c>
      <c r="BL1253" s="102">
        <f>MAX((CR1253-Driver!$F$202)/(Driver!$G$202-Driver!$F$202)*$BI$1,1)</f>
        <v/>
      </c>
      <c r="BM1253" s="102">
        <f>MAX((CH1253-Driver!$F$204)/(Driver!$G$204-Driver!$F$204)*$BI$1,1)</f>
        <v/>
      </c>
      <c r="BN1253" s="102">
        <f>(CI1253-Driver!$F$205)/(Driver!$G$205-Driver!$F$205)*$BI$1</f>
        <v/>
      </c>
      <c r="BO1253" s="102">
        <f>(CK1253-Driver!$F$207)/(Driver!$G$207-Driver!$F$207)*$BI$1</f>
        <v/>
      </c>
      <c r="BP1253" s="102">
        <f>(CM1253-Driver!$F$208)/(Driver!$G$208-Driver!$F$208)*$BI$1</f>
        <v/>
      </c>
      <c r="BQ1253" s="102">
        <f>(CL1253-Driver!$F$209)/(Driver!$G$209-Driver!$F$209)*$BI$1</f>
        <v/>
      </c>
      <c r="BR1253" s="40" t="inlineStr">
        <is>
          <t>21/22</t>
        </is>
      </c>
      <c r="BS1253" s="10" t="inlineStr">
        <is>
          <t xml:space="preserve"> Rossignol</t>
        </is>
      </c>
      <c r="BT1253" s="11" t="inlineStr">
        <is>
          <t>Hero Master M17 (R22)</t>
        </is>
      </c>
      <c r="BU1253" s="13" t="n">
        <v>173</v>
      </c>
      <c r="BV1253" s="11" t="inlineStr">
        <is>
          <t xml:space="preserve"> Unisex</t>
        </is>
      </c>
      <c r="BW1253" s="13" t="n">
        <v>173</v>
      </c>
      <c r="BX1253" s="13" t="n">
        <v>172.3</v>
      </c>
      <c r="BY1253" s="13" t="n">
        <v>156</v>
      </c>
      <c r="BZ1253" s="13" t="n">
        <v>164</v>
      </c>
      <c r="CA1253" s="13" t="n">
        <v>113</v>
      </c>
      <c r="CB1253" s="13" t="n">
        <v>69</v>
      </c>
      <c r="CC1253" s="13" t="n">
        <v>97</v>
      </c>
      <c r="CD1253" s="13" t="n">
        <v>18.3</v>
      </c>
      <c r="CE1253" s="13" t="n">
        <v>2175</v>
      </c>
      <c r="CF1253" s="13" t="n">
        <v>0.65</v>
      </c>
      <c r="CG1253" s="13" t="n">
        <v>1413</v>
      </c>
      <c r="CH1253" s="13" t="n">
        <v>249</v>
      </c>
      <c r="CI1253" s="13" t="n">
        <v>143</v>
      </c>
      <c r="CJ1253" s="13" t="n">
        <v>30</v>
      </c>
      <c r="CK1253" s="13" t="n">
        <v>111</v>
      </c>
      <c r="CL1253" s="13" t="n">
        <v>4</v>
      </c>
      <c r="CM1253" s="13" t="n">
        <v>54</v>
      </c>
      <c r="CN1253" s="13" t="n">
        <v>0.148</v>
      </c>
      <c r="CO1253" s="13" t="n">
        <v>41</v>
      </c>
      <c r="CP1253" s="13" t="n">
        <v>45</v>
      </c>
      <c r="CQ1253" s="13" t="n">
        <v>70</v>
      </c>
      <c r="CR1253" s="13" t="n">
        <v>14</v>
      </c>
      <c r="CS1253" s="13" t="n">
        <v>8.300000000000001</v>
      </c>
      <c r="CT1253" s="11" t="inlineStr">
        <is>
          <t xml:space="preserve"> On-Piste Carving</t>
        </is>
      </c>
      <c r="CU1253" s="13" t="n"/>
      <c r="CV1253" s="13" t="n"/>
      <c r="CW1253" s="13" t="n"/>
      <c r="CX1253">
        <f>INDEX('Data_Price '!AG$2:AG$1266,MATCH(Data!$DN1253,'Data_Price '!$AT$2:$AT$1266,0))</f>
        <v/>
      </c>
      <c r="CY1253">
        <f>INDEX('Data_Price '!AH$2:AH$1266,MATCH(Data!$DN1253,'Data_Price '!$AT$2:$AT$1266,0))</f>
        <v/>
      </c>
      <c r="CZ1253">
        <f>INDEX('Data_Price '!AI$2:AI$1266,MATCH(Data!$DN1253,'Data_Price '!$AT$2:$AT$1266,0))</f>
        <v/>
      </c>
      <c r="DA1253">
        <f>INDEX('Data_Price '!AJ$2:AJ$1266,MATCH(Data!$DN1253,'Data_Price '!$AT$2:$AT$1266,0))</f>
        <v/>
      </c>
      <c r="DB1253">
        <f>INDEX('Data_Price '!AK$2:AK$1266,MATCH(Data!$DN1253,'Data_Price '!$AT$2:$AT$1266,0))</f>
        <v/>
      </c>
      <c r="DC1253">
        <f>INDEX('Data_Price '!AL$2:AL$1266,MATCH(Data!$DN1253,'Data_Price '!$AT$2:$AT$1266,0))</f>
        <v/>
      </c>
      <c r="DD1253">
        <f>INDEX('Data_Price '!AM$2:AM$1266,MATCH(Data!$DN1253,'Data_Price '!$AT$2:$AT$1266,0))</f>
        <v/>
      </c>
      <c r="DE1253">
        <f>INDEX('Data_Price '!AN$2:AN$1266,MATCH(Data!$DN1253,'Data_Price '!$AT$2:$AT$1266,0))</f>
        <v/>
      </c>
      <c r="DF1253">
        <f>INDEX('Data_Price '!AO$2:AO$1266,MATCH(Data!$DN1253,'Data_Price '!$AT$2:$AT$1266,0))</f>
        <v/>
      </c>
      <c r="DG1253">
        <f>INDEX('Data_Price '!AP$2:AP$1266,MATCH(Data!$DN1253,'Data_Price '!$AT$2:$AT$1266,0))</f>
        <v/>
      </c>
      <c r="DH1253">
        <f>INDEX('Data_Price '!AQ$2:AQ$1266,MATCH(Data!$DN1253,'Data_Price '!$AT$2:$AT$1266,0))</f>
        <v/>
      </c>
      <c r="DI1253">
        <f>INDEX('Data_Price '!AR$2:AR$1266,MATCH(Data!$DN1253,'Data_Price '!$AT$2:$AT$1266,0))</f>
        <v/>
      </c>
      <c r="DJ1253" s="138">
        <f>DA1253</f>
        <v/>
      </c>
      <c r="DK1253" s="138">
        <f>DE1253</f>
        <v/>
      </c>
      <c r="DL1253" s="138">
        <f>DI1253</f>
        <v/>
      </c>
      <c r="DM1253" s="303">
        <f>IF(LEFT(BT1253,1)=" ",RIGHT(BT1253,LEN(BT1253)-1),BT1253)</f>
        <v/>
      </c>
      <c r="DN1253" s="138">
        <f>_xlfn.CONCAT(BS1253,DM1253,BU1253,BV1253)</f>
        <v/>
      </c>
      <c r="DO1253" s="307" t="n"/>
    </row>
    <row r="1254" ht="15.6" customHeight="1" s="184">
      <c r="B1254" s="303">
        <f t="array" ref="B1254">IF(OR(ISERROR(K1254:P1254)),FALSE,TRUE)</f>
        <v/>
      </c>
      <c r="C1254" s="60">
        <f>OR(BR1254=Driver!$G$50,Data!BR911=Driver!$H$50)</f>
        <v/>
      </c>
      <c r="D1254" s="60">
        <f>OR(BV1254=Driver!$G$51,BV1254=Driver!$H$51)</f>
        <v/>
      </c>
      <c r="E1254" s="60">
        <f>AND(BX1254&gt;Driver!$F$54,BX1254&lt;Driver!$G$54)</f>
        <v/>
      </c>
      <c r="F1254" s="60">
        <f>CL1254&gt;Driver!$F$56</f>
        <v/>
      </c>
      <c r="G1254" s="60">
        <f>AND(CB1254&gt;Driver!$F$55,CB1254&lt;Driver!$G$55)</f>
        <v/>
      </c>
      <c r="H1254" s="60">
        <f>AND(B1254:G1254)</f>
        <v/>
      </c>
      <c r="I1254" s="60">
        <f>COUNTIFS($H$9:$H$1273,TRUE,$BT$9:$BT$1273,BT1254)</f>
        <v/>
      </c>
      <c r="J1254" s="60">
        <f t="array" ref="J1254">NOT(OR(($H$9:$H$1273=TRUE)*($I$9:$I$1273&gt;0)*($BT$9:$BT$1273=BT1254)*($K$9:$K$1273&gt;K1254)))</f>
        <v/>
      </c>
      <c r="K1254" s="108">
        <f>IFERROR(1-AVERAGE(X1254:Y1254),"")</f>
        <v/>
      </c>
      <c r="L1254" s="108">
        <f>1-X1254</f>
        <v/>
      </c>
      <c r="M1254" s="108">
        <f>1-Y1254</f>
        <v/>
      </c>
      <c r="N1254" s="108">
        <f>1-Z1254</f>
        <v/>
      </c>
      <c r="O1254" s="108">
        <f>1-AA1254</f>
        <v/>
      </c>
      <c r="P1254" s="108">
        <f>1-AB1254</f>
        <v/>
      </c>
      <c r="Q1254" s="108" t="n"/>
      <c r="R1254" s="108" t="n"/>
      <c r="S1254" s="108">
        <f>1-AE1254</f>
        <v/>
      </c>
      <c r="T1254" s="108">
        <f>1-AF1254</f>
        <v/>
      </c>
      <c r="U1254" s="108">
        <f>1-AG1254</f>
        <v/>
      </c>
      <c r="V1254" s="108">
        <f>1-AH1254</f>
        <v/>
      </c>
      <c r="W1254" s="108">
        <f>1-AI1254</f>
        <v/>
      </c>
      <c r="X1254" s="108">
        <f>ABS(AJ1254-AJ$1)</f>
        <v/>
      </c>
      <c r="Y1254" s="108">
        <f>AVERAGE(Z1254:AB1254)</f>
        <v/>
      </c>
      <c r="Z1254" s="108">
        <f>ABS(AL1254-AL$1)</f>
        <v/>
      </c>
      <c r="AA1254" s="108">
        <f>ABS(AM1254-AM$1)</f>
        <v/>
      </c>
      <c r="AB1254" s="108">
        <f>ABS(AN1254-AN$1)</f>
        <v/>
      </c>
      <c r="AC1254" s="108" t="n"/>
      <c r="AD1254" s="108" t="n"/>
      <c r="AE1254" s="108">
        <f>ABS(AQ$1-AQ1254)</f>
        <v/>
      </c>
      <c r="AF1254" s="108">
        <f>ABS(AR$1-AR1254)</f>
        <v/>
      </c>
      <c r="AG1254" s="108">
        <f>ABS(AS$1-AS1254)</f>
        <v/>
      </c>
      <c r="AH1254" s="108">
        <f>ABS(AT$1-AT1254)</f>
        <v/>
      </c>
      <c r="AI1254" s="108">
        <f>ABS(AU$1-AU1254)</f>
        <v/>
      </c>
      <c r="AJ1254" s="108">
        <f>(AV1254-Driver!$K$179)/(Driver!$L$179-Driver!$K$179)</f>
        <v/>
      </c>
      <c r="AK1254" s="108">
        <f>(AW1254-Driver!$K$180)/(Driver!$L$180-Driver!$K$180)</f>
        <v/>
      </c>
      <c r="AL1254" s="108">
        <f>(AX1254-Driver!$K$181)/(Driver!$L$181-Driver!$K$181)</f>
        <v/>
      </c>
      <c r="AM1254" s="108">
        <f>(AY1254-Driver!$K$182)/(Driver!$L$182-Driver!$K$182)</f>
        <v/>
      </c>
      <c r="AN1254" s="108">
        <f>(AZ1254-Driver!$K$183)/(Driver!$L$183-Driver!$K$183)</f>
        <v/>
      </c>
      <c r="AO1254" s="108" t="n"/>
      <c r="AP1254" s="108" t="n"/>
      <c r="AQ1254" s="108">
        <f>(BC1254-Driver!$K$188)/(Driver!$L$188-Driver!$K$188)</f>
        <v/>
      </c>
      <c r="AR1254" s="108">
        <f>MIN((BD1254-Driver!$K$189)/(Driver!$L$189-Driver!$K$189),100%)</f>
        <v/>
      </c>
      <c r="AS1254" s="108">
        <f>(BE1254-Driver!$K$190)/(Driver!$L$190-Driver!$K$190)</f>
        <v/>
      </c>
      <c r="AT1254" s="108">
        <f>(BF1254-Driver!$K$191)/(Driver!$L$191-Driver!$K$191)</f>
        <v/>
      </c>
      <c r="AU1254" s="108">
        <f>(BG1254-Driver!$K$192)/(Driver!$L$192-Driver!$K$192)</f>
        <v/>
      </c>
      <c r="AV1254" s="105">
        <f>IFERROR(BM1254*BJ1254^1/4,"")</f>
        <v/>
      </c>
      <c r="AW1254" s="105">
        <f>IFERROR(SUM(AX1254:AZ1254),"")</f>
        <v/>
      </c>
      <c r="AX1254" s="105">
        <f>IFERROR(BH1254,"")</f>
        <v/>
      </c>
      <c r="AY1254" s="105">
        <f>IFERROR(Driver!$K$19/Data!BH1254/Data!BI1254*Data!BK1254*Data!BL1254,"")</f>
        <v/>
      </c>
      <c r="AZ1254" s="105">
        <f>IFERROR(BI1254*BN1254,"")</f>
        <v/>
      </c>
      <c r="BA1254" s="105" t="n"/>
      <c r="BB1254" s="105" t="n"/>
      <c r="BC1254" s="105">
        <f>IFERROR(BI1254*BN1254*BK1254/BJ1254^(1/2),"")</f>
        <v/>
      </c>
      <c r="BD1254" s="105">
        <f>IFERROR(BH1254*BM1254*BL1254/BJ1254/BK1254,"")</f>
        <v/>
      </c>
      <c r="BE1254" s="105">
        <f>IFERROR(MIN(BI1254/BQ1254/BP1254/BO1254/BH1254,$BE$1),"")</f>
        <v/>
      </c>
      <c r="BF1254" s="105">
        <f>IFERROR(BJ1254*BO1254*BP1254/BK1254,"")</f>
        <v/>
      </c>
      <c r="BG1254" s="105">
        <f>IFERROR(1/BM1254/BH1254*BQ1254,"")</f>
        <v/>
      </c>
      <c r="BH1254" s="102">
        <f>MAX((CE1254-Driver!$F$200)/(Driver!$G$200-Driver!$F$200)*$BI$1,1)</f>
        <v/>
      </c>
      <c r="BI1254" s="102">
        <f>MAX($BI$1*(BY1254-Driver!$F$201)/(Driver!$G$201-Driver!$F$201),1)</f>
        <v/>
      </c>
      <c r="BJ1254" s="102">
        <f>(CB1254-Driver!$F$206)/(Driver!$G$206-Driver!$F$206)*$BI$1</f>
        <v/>
      </c>
      <c r="BK1254" s="102">
        <f>(CD1254-Driver!$F$203)/(Driver!$G$203-Driver!$F$203)*$BI$1</f>
        <v/>
      </c>
      <c r="BL1254" s="102">
        <f>MAX((CR1254-Driver!$F$202)/(Driver!$G$202-Driver!$F$202)*$BI$1,1)</f>
        <v/>
      </c>
      <c r="BM1254" s="102">
        <f>MAX((CH1254-Driver!$F$204)/(Driver!$G$204-Driver!$F$204)*$BI$1,1)</f>
        <v/>
      </c>
      <c r="BN1254" s="102">
        <f>(CI1254-Driver!$F$205)/(Driver!$G$205-Driver!$F$205)*$BI$1</f>
        <v/>
      </c>
      <c r="BO1254" s="102">
        <f>(CK1254-Driver!$F$207)/(Driver!$G$207-Driver!$F$207)*$BI$1</f>
        <v/>
      </c>
      <c r="BP1254" s="102">
        <f>(CM1254-Driver!$F$208)/(Driver!$G$208-Driver!$F$208)*$BI$1</f>
        <v/>
      </c>
      <c r="BQ1254" s="102">
        <f>(CL1254-Driver!$F$209)/(Driver!$G$209-Driver!$F$209)*$BI$1</f>
        <v/>
      </c>
      <c r="BR1254" s="40" t="inlineStr">
        <is>
          <t>21/22</t>
        </is>
      </c>
      <c r="BS1254" s="10" t="inlineStr">
        <is>
          <t xml:space="preserve"> Nordica</t>
        </is>
      </c>
      <c r="BT1254" s="11" t="inlineStr">
        <is>
          <t>Enforcer 94</t>
        </is>
      </c>
      <c r="BU1254" s="13" t="n">
        <v>186</v>
      </c>
      <c r="BV1254" s="11" t="inlineStr">
        <is>
          <t xml:space="preserve"> Unisex</t>
        </is>
      </c>
      <c r="BW1254" s="13" t="n">
        <v>186</v>
      </c>
      <c r="BX1254" s="13" t="n">
        <v>185.1</v>
      </c>
      <c r="BY1254" s="13" t="n">
        <v>137</v>
      </c>
      <c r="BZ1254" s="13" t="n">
        <v>155</v>
      </c>
      <c r="CA1254" s="13" t="n">
        <v>129</v>
      </c>
      <c r="CB1254" s="13" t="n">
        <v>93</v>
      </c>
      <c r="CC1254" s="13" t="n">
        <v>115</v>
      </c>
      <c r="CD1254" s="13" t="n">
        <v>18.1</v>
      </c>
      <c r="CE1254" s="13" t="n">
        <v>2299</v>
      </c>
      <c r="CF1254" s="13" t="n">
        <v>0.85</v>
      </c>
      <c r="CG1254" s="13" t="n">
        <v>1945</v>
      </c>
      <c r="CH1254" s="13" t="n">
        <v>276</v>
      </c>
      <c r="CI1254" s="13" t="n">
        <v>172</v>
      </c>
      <c r="CJ1254" s="13" t="n">
        <v>53</v>
      </c>
      <c r="CK1254" s="13" t="n">
        <v>277</v>
      </c>
      <c r="CL1254" s="13" t="n">
        <v>15</v>
      </c>
      <c r="CM1254" s="13" t="n">
        <v>207</v>
      </c>
      <c r="CN1254" s="13" t="n">
        <v>0.283</v>
      </c>
      <c r="CO1254" s="13" t="n">
        <v>140</v>
      </c>
      <c r="CP1254" s="13" t="n">
        <v>162</v>
      </c>
      <c r="CQ1254" s="13" t="n">
        <v>137</v>
      </c>
      <c r="CR1254" s="13" t="n">
        <v>7</v>
      </c>
      <c r="CS1254" s="13" t="n">
        <v>8.5</v>
      </c>
      <c r="CT1254" s="11" t="inlineStr">
        <is>
          <t xml:space="preserve"> Resort Freeride</t>
        </is>
      </c>
      <c r="CU1254" s="13" t="n"/>
      <c r="CV1254" s="13" t="n"/>
      <c r="CW1254" s="13" t="n"/>
      <c r="CX1254">
        <f>INDEX('Data_Price '!AG$2:AG$1266,MATCH(Data!$DN1254,'Data_Price '!$AT$2:$AT$1266,0))</f>
        <v/>
      </c>
      <c r="CY1254">
        <f>INDEX('Data_Price '!AH$2:AH$1266,MATCH(Data!$DN1254,'Data_Price '!$AT$2:$AT$1266,0))</f>
        <v/>
      </c>
      <c r="CZ1254">
        <f>INDEX('Data_Price '!AI$2:AI$1266,MATCH(Data!$DN1254,'Data_Price '!$AT$2:$AT$1266,0))</f>
        <v/>
      </c>
      <c r="DA1254">
        <f>INDEX('Data_Price '!AJ$2:AJ$1266,MATCH(Data!$DN1254,'Data_Price '!$AT$2:$AT$1266,0))</f>
        <v/>
      </c>
      <c r="DB1254">
        <f>INDEX('Data_Price '!AK$2:AK$1266,MATCH(Data!$DN1254,'Data_Price '!$AT$2:$AT$1266,0))</f>
        <v/>
      </c>
      <c r="DC1254">
        <f>INDEX('Data_Price '!AL$2:AL$1266,MATCH(Data!$DN1254,'Data_Price '!$AT$2:$AT$1266,0))</f>
        <v/>
      </c>
      <c r="DD1254">
        <f>INDEX('Data_Price '!AM$2:AM$1266,MATCH(Data!$DN1254,'Data_Price '!$AT$2:$AT$1266,0))</f>
        <v/>
      </c>
      <c r="DE1254">
        <f>INDEX('Data_Price '!AN$2:AN$1266,MATCH(Data!$DN1254,'Data_Price '!$AT$2:$AT$1266,0))</f>
        <v/>
      </c>
      <c r="DF1254">
        <f>INDEX('Data_Price '!AO$2:AO$1266,MATCH(Data!$DN1254,'Data_Price '!$AT$2:$AT$1266,0))</f>
        <v/>
      </c>
      <c r="DG1254">
        <f>INDEX('Data_Price '!AP$2:AP$1266,MATCH(Data!$DN1254,'Data_Price '!$AT$2:$AT$1266,0))</f>
        <v/>
      </c>
      <c r="DH1254">
        <f>INDEX('Data_Price '!AQ$2:AQ$1266,MATCH(Data!$DN1254,'Data_Price '!$AT$2:$AT$1266,0))</f>
        <v/>
      </c>
      <c r="DI1254">
        <f>INDEX('Data_Price '!AR$2:AR$1266,MATCH(Data!$DN1254,'Data_Price '!$AT$2:$AT$1266,0))</f>
        <v/>
      </c>
      <c r="DJ1254" s="138">
        <f>DA1254</f>
        <v/>
      </c>
      <c r="DK1254" s="138">
        <f>DE1254</f>
        <v/>
      </c>
      <c r="DL1254" s="138">
        <f>DI1254</f>
        <v/>
      </c>
      <c r="DM1254" s="303">
        <f>IF(LEFT(BT1254,1)=" ",RIGHT(BT1254,LEN(BT1254)-1),BT1254)</f>
        <v/>
      </c>
      <c r="DN1254" s="138">
        <f>_xlfn.CONCAT(BS1254,DM1254,BU1254,BV1254)</f>
        <v/>
      </c>
      <c r="DO1254" s="307" t="inlineStr">
        <is>
          <t>https://images.evo.com/imgp/250/198254/792323/nordica-enforcer-94-skis-2022-.jpg</t>
        </is>
      </c>
    </row>
    <row r="1255" ht="15.6" customHeight="1" s="184">
      <c r="B1255" s="303">
        <f t="array" ref="B1255">IF(OR(ISERROR(K1255:P1255)),FALSE,TRUE)</f>
        <v/>
      </c>
      <c r="C1255" s="60">
        <f>OR(BR1255=Driver!$G$50,Data!BR279=Driver!$H$50)</f>
        <v/>
      </c>
      <c r="D1255" s="60">
        <f>OR(BV1255=Driver!$G$51,BV1255=Driver!$H$51)</f>
        <v/>
      </c>
      <c r="E1255" s="60">
        <f>AND(BX1255&gt;Driver!$F$54,BX1255&lt;Driver!$G$54)</f>
        <v/>
      </c>
      <c r="F1255" s="60">
        <f>CL1255&gt;Driver!$F$56</f>
        <v/>
      </c>
      <c r="G1255" s="60">
        <f>AND(CB1255&gt;Driver!$F$55,CB1255&lt;Driver!$G$55)</f>
        <v/>
      </c>
      <c r="H1255" s="60">
        <f>AND(B1255:G1255)</f>
        <v/>
      </c>
      <c r="I1255" s="60">
        <f>COUNTIFS($H$9:$H$1273,TRUE,$BT$9:$BT$1273,BT1255)</f>
        <v/>
      </c>
      <c r="J1255" s="60">
        <f t="array" ref="J1255">NOT(OR(($H$9:$H$1273=TRUE)*($I$9:$I$1273&gt;0)*($BT$9:$BT$1273=BT1255)*($K$9:$K$1273&gt;K1255)))</f>
        <v/>
      </c>
      <c r="K1255" s="108">
        <f>IFERROR(1-AVERAGE(X1255:Y1255),"")</f>
        <v/>
      </c>
      <c r="L1255" s="108">
        <f>1-X1255</f>
        <v/>
      </c>
      <c r="M1255" s="108">
        <f>1-Y1255</f>
        <v/>
      </c>
      <c r="N1255" s="108">
        <f>1-Z1255</f>
        <v/>
      </c>
      <c r="O1255" s="108">
        <f>1-AA1255</f>
        <v/>
      </c>
      <c r="P1255" s="108">
        <f>1-AB1255</f>
        <v/>
      </c>
      <c r="Q1255" s="108" t="n"/>
      <c r="R1255" s="108" t="n"/>
      <c r="S1255" s="108">
        <f>1-AE1255</f>
        <v/>
      </c>
      <c r="T1255" s="108">
        <f>1-AF1255</f>
        <v/>
      </c>
      <c r="U1255" s="108">
        <f>1-AG1255</f>
        <v/>
      </c>
      <c r="V1255" s="108">
        <f>1-AH1255</f>
        <v/>
      </c>
      <c r="W1255" s="108">
        <f>1-AI1255</f>
        <v/>
      </c>
      <c r="X1255" s="108">
        <f>ABS(AJ1255-AJ$1)</f>
        <v/>
      </c>
      <c r="Y1255" s="108">
        <f>AVERAGE(Z1255:AB1255)</f>
        <v/>
      </c>
      <c r="Z1255" s="108">
        <f>ABS(AL1255-AL$1)</f>
        <v/>
      </c>
      <c r="AA1255" s="108">
        <f>ABS(AM1255-AM$1)</f>
        <v/>
      </c>
      <c r="AB1255" s="108">
        <f>ABS(AN1255-AN$1)</f>
        <v/>
      </c>
      <c r="AC1255" s="108" t="n"/>
      <c r="AD1255" s="108" t="n"/>
      <c r="AE1255" s="108">
        <f>ABS(AQ$1-AQ1255)</f>
        <v/>
      </c>
      <c r="AF1255" s="108">
        <f>ABS(AR$1-AR1255)</f>
        <v/>
      </c>
      <c r="AG1255" s="108">
        <f>ABS(AS$1-AS1255)</f>
        <v/>
      </c>
      <c r="AH1255" s="108">
        <f>ABS(AT$1-AT1255)</f>
        <v/>
      </c>
      <c r="AI1255" s="108">
        <f>ABS(AU$1-AU1255)</f>
        <v/>
      </c>
      <c r="AJ1255" s="108">
        <f>(AV1255-Driver!$K$179)/(Driver!$L$179-Driver!$K$179)</f>
        <v/>
      </c>
      <c r="AK1255" s="108">
        <f>(AW1255-Driver!$K$180)/(Driver!$L$180-Driver!$K$180)</f>
        <v/>
      </c>
      <c r="AL1255" s="108">
        <f>(AX1255-Driver!$K$181)/(Driver!$L$181-Driver!$K$181)</f>
        <v/>
      </c>
      <c r="AM1255" s="108">
        <f>(AY1255-Driver!$K$182)/(Driver!$L$182-Driver!$K$182)</f>
        <v/>
      </c>
      <c r="AN1255" s="108">
        <f>(AZ1255-Driver!$K$183)/(Driver!$L$183-Driver!$K$183)</f>
        <v/>
      </c>
      <c r="AO1255" s="108" t="n"/>
      <c r="AP1255" s="108" t="n"/>
      <c r="AQ1255" s="108">
        <f>(BC1255-Driver!$K$188)/(Driver!$L$188-Driver!$K$188)</f>
        <v/>
      </c>
      <c r="AR1255" s="108">
        <f>MIN((BD1255-Driver!$K$189)/(Driver!$L$189-Driver!$K$189),100%)</f>
        <v/>
      </c>
      <c r="AS1255" s="108">
        <f>(BE1255-Driver!$K$190)/(Driver!$L$190-Driver!$K$190)</f>
        <v/>
      </c>
      <c r="AT1255" s="108">
        <f>(BF1255-Driver!$K$191)/(Driver!$L$191-Driver!$K$191)</f>
        <v/>
      </c>
      <c r="AU1255" s="108">
        <f>(BG1255-Driver!$K$192)/(Driver!$L$192-Driver!$K$192)</f>
        <v/>
      </c>
      <c r="AV1255" s="105">
        <f>IFERROR(BM1255*BJ1255^1/4,"")</f>
        <v/>
      </c>
      <c r="AW1255" s="105">
        <f>IFERROR(SUM(AX1255:AZ1255),"")</f>
        <v/>
      </c>
      <c r="AX1255" s="105">
        <f>IFERROR(BH1255,"")</f>
        <v/>
      </c>
      <c r="AY1255" s="105">
        <f>IFERROR(Driver!$K$19/Data!BH1255/Data!BI1255*Data!BK1255*Data!BL1255,"")</f>
        <v/>
      </c>
      <c r="AZ1255" s="105">
        <f>IFERROR(BI1255*BN1255,"")</f>
        <v/>
      </c>
      <c r="BA1255" s="105" t="n"/>
      <c r="BB1255" s="105" t="n"/>
      <c r="BC1255" s="105">
        <f>IFERROR(BI1255*BN1255*BK1255/BJ1255^(1/2),"")</f>
        <v/>
      </c>
      <c r="BD1255" s="105">
        <f>IFERROR(BH1255*BM1255*BL1255/BJ1255/BK1255,"")</f>
        <v/>
      </c>
      <c r="BE1255" s="105">
        <f>IFERROR(MIN(BI1255/BQ1255/BP1255/BO1255/BH1255,$BE$1),"")</f>
        <v/>
      </c>
      <c r="BF1255" s="105">
        <f>IFERROR(BJ1255*BO1255*BP1255/BK1255,"")</f>
        <v/>
      </c>
      <c r="BG1255" s="105">
        <f>IFERROR(1/BM1255/BH1255*BQ1255,"")</f>
        <v/>
      </c>
      <c r="BH1255" s="102">
        <f>MAX((CE1255-Driver!$F$200)/(Driver!$G$200-Driver!$F$200)*$BI$1,1)</f>
        <v/>
      </c>
      <c r="BI1255" s="102">
        <f>MAX($BI$1*(BY1255-Driver!$F$201)/(Driver!$G$201-Driver!$F$201),1)</f>
        <v/>
      </c>
      <c r="BJ1255" s="102">
        <f>(CB1255-Driver!$F$206)/(Driver!$G$206-Driver!$F$206)*$BI$1</f>
        <v/>
      </c>
      <c r="BK1255" s="102">
        <f>(CD1255-Driver!$F$203)/(Driver!$G$203-Driver!$F$203)*$BI$1</f>
        <v/>
      </c>
      <c r="BL1255" s="102">
        <f>MAX((CR1255-Driver!$F$202)/(Driver!$G$202-Driver!$F$202)*$BI$1,1)</f>
        <v/>
      </c>
      <c r="BM1255" s="102">
        <f>MAX((CH1255-Driver!$F$204)/(Driver!$G$204-Driver!$F$204)*$BI$1,1)</f>
        <v/>
      </c>
      <c r="BN1255" s="102">
        <f>(CI1255-Driver!$F$205)/(Driver!$G$205-Driver!$F$205)*$BI$1</f>
        <v/>
      </c>
      <c r="BO1255" s="102">
        <f>(CK1255-Driver!$F$207)/(Driver!$G$207-Driver!$F$207)*$BI$1</f>
        <v/>
      </c>
      <c r="BP1255" s="102">
        <f>(CM1255-Driver!$F$208)/(Driver!$G$208-Driver!$F$208)*$BI$1</f>
        <v/>
      </c>
      <c r="BQ1255" s="102">
        <f>(CL1255-Driver!$F$209)/(Driver!$G$209-Driver!$F$209)*$BI$1</f>
        <v/>
      </c>
      <c r="BR1255" s="40" t="inlineStr">
        <is>
          <t>21/22</t>
        </is>
      </c>
      <c r="BS1255" s="10" t="inlineStr">
        <is>
          <t xml:space="preserve"> Blizzard</t>
        </is>
      </c>
      <c r="BT1255" s="11" t="inlineStr">
        <is>
          <t>Cochise 106</t>
        </is>
      </c>
      <c r="BU1255" s="13" t="n">
        <v>185</v>
      </c>
      <c r="BV1255" s="11" t="inlineStr">
        <is>
          <t xml:space="preserve"> Unisex</t>
        </is>
      </c>
      <c r="BW1255" s="13" t="n">
        <v>185</v>
      </c>
      <c r="BX1255" s="13" t="n">
        <v>182.9</v>
      </c>
      <c r="BY1255" s="13" t="n">
        <v>138</v>
      </c>
      <c r="BZ1255" s="13" t="n">
        <v>157</v>
      </c>
      <c r="CA1255" s="13" t="n">
        <v>136</v>
      </c>
      <c r="CB1255" s="13" t="n">
        <v>106</v>
      </c>
      <c r="CC1255" s="13" t="n">
        <v>123</v>
      </c>
      <c r="CD1255" s="13" t="n">
        <v>25.2</v>
      </c>
      <c r="CE1255" s="13" t="n">
        <v>2372</v>
      </c>
      <c r="CF1255" s="13" t="n">
        <v>0.88</v>
      </c>
      <c r="CG1255" s="13" t="n">
        <v>2096</v>
      </c>
      <c r="CH1255" s="13" t="n">
        <v>255</v>
      </c>
      <c r="CI1255" s="13" t="n">
        <v>165</v>
      </c>
      <c r="CJ1255" s="13" t="n">
        <v>49</v>
      </c>
      <c r="CK1255" s="13" t="n">
        <v>332</v>
      </c>
      <c r="CL1255" s="13" t="n">
        <v>14</v>
      </c>
      <c r="CM1255" s="13" t="n">
        <v>122</v>
      </c>
      <c r="CN1255" s="13" t="n">
        <v>0.283</v>
      </c>
      <c r="CO1255" s="13" t="n">
        <v>142</v>
      </c>
      <c r="CP1255" s="13" t="n">
        <v>117</v>
      </c>
      <c r="CQ1255" s="13" t="n">
        <v>189</v>
      </c>
      <c r="CR1255" s="13" t="n">
        <v>5</v>
      </c>
      <c r="CS1255" s="13" t="n">
        <v>11.4</v>
      </c>
      <c r="CT1255" s="11" t="inlineStr">
        <is>
          <t xml:space="preserve"> Big Mountain</t>
        </is>
      </c>
      <c r="CU1255" s="13" t="n"/>
      <c r="CV1255" s="13" t="n"/>
      <c r="CW1255" s="13" t="n"/>
      <c r="CX1255">
        <f>INDEX('Data_Price '!AG$2:AG$1266,MATCH(Data!$DN1255,'Data_Price '!$AT$2:$AT$1266,0))</f>
        <v/>
      </c>
      <c r="CY1255">
        <f>INDEX('Data_Price '!AH$2:AH$1266,MATCH(Data!$DN1255,'Data_Price '!$AT$2:$AT$1266,0))</f>
        <v/>
      </c>
      <c r="CZ1255">
        <f>INDEX('Data_Price '!AI$2:AI$1266,MATCH(Data!$DN1255,'Data_Price '!$AT$2:$AT$1266,0))</f>
        <v/>
      </c>
      <c r="DA1255">
        <f>INDEX('Data_Price '!AJ$2:AJ$1266,MATCH(Data!$DN1255,'Data_Price '!$AT$2:$AT$1266,0))</f>
        <v/>
      </c>
      <c r="DB1255">
        <f>INDEX('Data_Price '!AK$2:AK$1266,MATCH(Data!$DN1255,'Data_Price '!$AT$2:$AT$1266,0))</f>
        <v/>
      </c>
      <c r="DC1255">
        <f>INDEX('Data_Price '!AL$2:AL$1266,MATCH(Data!$DN1255,'Data_Price '!$AT$2:$AT$1266,0))</f>
        <v/>
      </c>
      <c r="DD1255">
        <f>INDEX('Data_Price '!AM$2:AM$1266,MATCH(Data!$DN1255,'Data_Price '!$AT$2:$AT$1266,0))</f>
        <v/>
      </c>
      <c r="DE1255">
        <f>INDEX('Data_Price '!AN$2:AN$1266,MATCH(Data!$DN1255,'Data_Price '!$AT$2:$AT$1266,0))</f>
        <v/>
      </c>
      <c r="DF1255">
        <f>INDEX('Data_Price '!AO$2:AO$1266,MATCH(Data!$DN1255,'Data_Price '!$AT$2:$AT$1266,0))</f>
        <v/>
      </c>
      <c r="DG1255">
        <f>INDEX('Data_Price '!AP$2:AP$1266,MATCH(Data!$DN1255,'Data_Price '!$AT$2:$AT$1266,0))</f>
        <v/>
      </c>
      <c r="DH1255">
        <f>INDEX('Data_Price '!AQ$2:AQ$1266,MATCH(Data!$DN1255,'Data_Price '!$AT$2:$AT$1266,0))</f>
        <v/>
      </c>
      <c r="DI1255">
        <f>INDEX('Data_Price '!AR$2:AR$1266,MATCH(Data!$DN1255,'Data_Price '!$AT$2:$AT$1266,0))</f>
        <v/>
      </c>
      <c r="DJ1255" s="138">
        <f>DA1255</f>
        <v/>
      </c>
      <c r="DK1255" s="138">
        <f>DE1255</f>
        <v/>
      </c>
      <c r="DL1255" s="138">
        <f>DI1255</f>
        <v/>
      </c>
      <c r="DM1255" s="303">
        <f>IF(LEFT(BT1255,1)=" ",RIGHT(BT1255,LEN(BT1255)-1),BT1255)</f>
        <v/>
      </c>
      <c r="DN1255" s="138">
        <f>_xlfn.CONCAT(BS1255,DM1255,BU1255,BV1255)</f>
        <v/>
      </c>
      <c r="DO1255" s="307" t="n"/>
    </row>
    <row r="1256" ht="15.6" customHeight="1" s="184">
      <c r="B1256" s="303">
        <f t="array" ref="B1256">IF(OR(ISERROR(K1256:P1256)),FALSE,TRUE)</f>
        <v/>
      </c>
      <c r="C1256" s="60">
        <f>OR(BR1256=Driver!$G$50,Data!BR314=Driver!$H$50)</f>
        <v/>
      </c>
      <c r="D1256" s="60">
        <f>OR(BV1256=Driver!$G$51,BV1256=Driver!$H$51)</f>
        <v/>
      </c>
      <c r="E1256" s="60">
        <f>AND(BX1256&gt;Driver!$F$54,BX1256&lt;Driver!$G$54)</f>
        <v/>
      </c>
      <c r="F1256" s="60">
        <f>CL1256&gt;Driver!$F$56</f>
        <v/>
      </c>
      <c r="G1256" s="60">
        <f>AND(CB1256&gt;Driver!$F$55,CB1256&lt;Driver!$G$55)</f>
        <v/>
      </c>
      <c r="H1256" s="60">
        <f>AND(B1256:G1256)</f>
        <v/>
      </c>
      <c r="I1256" s="60">
        <f>COUNTIFS($H$9:$H$1273,TRUE,$BT$9:$BT$1273,BT1256)</f>
        <v/>
      </c>
      <c r="J1256" s="60">
        <f t="array" ref="J1256">NOT(OR(($H$9:$H$1273=TRUE)*($I$9:$I$1273&gt;0)*($BT$9:$BT$1273=BT1256)*($K$9:$K$1273&gt;K1256)))</f>
        <v/>
      </c>
      <c r="K1256" s="108">
        <f>IFERROR(1-AVERAGE(X1256:Y1256),"")</f>
        <v/>
      </c>
      <c r="L1256" s="108">
        <f>1-X1256</f>
        <v/>
      </c>
      <c r="M1256" s="108">
        <f>1-Y1256</f>
        <v/>
      </c>
      <c r="N1256" s="108">
        <f>1-Z1256</f>
        <v/>
      </c>
      <c r="O1256" s="108">
        <f>1-AA1256</f>
        <v/>
      </c>
      <c r="P1256" s="108">
        <f>1-AB1256</f>
        <v/>
      </c>
      <c r="Q1256" s="108" t="n"/>
      <c r="R1256" s="108" t="n"/>
      <c r="S1256" s="108">
        <f>1-AE1256</f>
        <v/>
      </c>
      <c r="T1256" s="108">
        <f>1-AF1256</f>
        <v/>
      </c>
      <c r="U1256" s="108">
        <f>1-AG1256</f>
        <v/>
      </c>
      <c r="V1256" s="108">
        <f>1-AH1256</f>
        <v/>
      </c>
      <c r="W1256" s="108">
        <f>1-AI1256</f>
        <v/>
      </c>
      <c r="X1256" s="108">
        <f>ABS(AJ1256-AJ$1)</f>
        <v/>
      </c>
      <c r="Y1256" s="108">
        <f>AVERAGE(Z1256:AB1256)</f>
        <v/>
      </c>
      <c r="Z1256" s="108">
        <f>ABS(AL1256-AL$1)</f>
        <v/>
      </c>
      <c r="AA1256" s="108">
        <f>ABS(AM1256-AM$1)</f>
        <v/>
      </c>
      <c r="AB1256" s="108">
        <f>ABS(AN1256-AN$1)</f>
        <v/>
      </c>
      <c r="AC1256" s="108" t="n"/>
      <c r="AD1256" s="108" t="n"/>
      <c r="AE1256" s="108">
        <f>ABS(AQ$1-AQ1256)</f>
        <v/>
      </c>
      <c r="AF1256" s="108">
        <f>ABS(AR$1-AR1256)</f>
        <v/>
      </c>
      <c r="AG1256" s="108">
        <f>ABS(AS$1-AS1256)</f>
        <v/>
      </c>
      <c r="AH1256" s="108">
        <f>ABS(AT$1-AT1256)</f>
        <v/>
      </c>
      <c r="AI1256" s="108">
        <f>ABS(AU$1-AU1256)</f>
        <v/>
      </c>
      <c r="AJ1256" s="108">
        <f>(AV1256-Driver!$K$179)/(Driver!$L$179-Driver!$K$179)</f>
        <v/>
      </c>
      <c r="AK1256" s="108">
        <f>(AW1256-Driver!$K$180)/(Driver!$L$180-Driver!$K$180)</f>
        <v/>
      </c>
      <c r="AL1256" s="108">
        <f>(AX1256-Driver!$K$181)/(Driver!$L$181-Driver!$K$181)</f>
        <v/>
      </c>
      <c r="AM1256" s="108">
        <f>(AY1256-Driver!$K$182)/(Driver!$L$182-Driver!$K$182)</f>
        <v/>
      </c>
      <c r="AN1256" s="108">
        <f>(AZ1256-Driver!$K$183)/(Driver!$L$183-Driver!$K$183)</f>
        <v/>
      </c>
      <c r="AO1256" s="108" t="n"/>
      <c r="AP1256" s="108" t="n"/>
      <c r="AQ1256" s="108">
        <f>(BC1256-Driver!$K$188)/(Driver!$L$188-Driver!$K$188)</f>
        <v/>
      </c>
      <c r="AR1256" s="108">
        <f>MIN((BD1256-Driver!$K$189)/(Driver!$L$189-Driver!$K$189),100%)</f>
        <v/>
      </c>
      <c r="AS1256" s="108">
        <f>(BE1256-Driver!$K$190)/(Driver!$L$190-Driver!$K$190)</f>
        <v/>
      </c>
      <c r="AT1256" s="108">
        <f>(BF1256-Driver!$K$191)/(Driver!$L$191-Driver!$K$191)</f>
        <v/>
      </c>
      <c r="AU1256" s="108">
        <f>(BG1256-Driver!$K$192)/(Driver!$L$192-Driver!$K$192)</f>
        <v/>
      </c>
      <c r="AV1256" s="105">
        <f>IFERROR(BM1256*BJ1256^1/4,"")</f>
        <v/>
      </c>
      <c r="AW1256" s="105">
        <f>IFERROR(SUM(AX1256:AZ1256),"")</f>
        <v/>
      </c>
      <c r="AX1256" s="105">
        <f>IFERROR(BH1256,"")</f>
        <v/>
      </c>
      <c r="AY1256" s="105">
        <f>IFERROR(Driver!$K$19/Data!BH1256/Data!BI1256*Data!BK1256*Data!BL1256,"")</f>
        <v/>
      </c>
      <c r="AZ1256" s="105">
        <f>IFERROR(BI1256*BN1256,"")</f>
        <v/>
      </c>
      <c r="BA1256" s="105" t="n"/>
      <c r="BB1256" s="105" t="n"/>
      <c r="BC1256" s="105">
        <f>IFERROR(BI1256*BN1256*BK1256/BJ1256^(1/2),"")</f>
        <v/>
      </c>
      <c r="BD1256" s="105">
        <f>IFERROR(BH1256*BM1256*BL1256/BJ1256/BK1256,"")</f>
        <v/>
      </c>
      <c r="BE1256" s="105">
        <f>IFERROR(MIN(BI1256/BQ1256/BP1256/BO1256/BH1256,$BE$1),"")</f>
        <v/>
      </c>
      <c r="BF1256" s="105">
        <f>IFERROR(BJ1256*BO1256*BP1256/BK1256,"")</f>
        <v/>
      </c>
      <c r="BG1256" s="105">
        <f>IFERROR(1/BM1256/BH1256*BQ1256,"")</f>
        <v/>
      </c>
      <c r="BH1256" s="102">
        <f>MAX((CE1256-Driver!$F$200)/(Driver!$G$200-Driver!$F$200)*$BI$1,1)</f>
        <v/>
      </c>
      <c r="BI1256" s="102">
        <f>MAX($BI$1*(BY1256-Driver!$F$201)/(Driver!$G$201-Driver!$F$201),1)</f>
        <v/>
      </c>
      <c r="BJ1256" s="102">
        <f>(CB1256-Driver!$F$206)/(Driver!$G$206-Driver!$F$206)*$BI$1</f>
        <v/>
      </c>
      <c r="BK1256" s="102">
        <f>(CD1256-Driver!$F$203)/(Driver!$G$203-Driver!$F$203)*$BI$1</f>
        <v/>
      </c>
      <c r="BL1256" s="102">
        <f>MAX((CR1256-Driver!$F$202)/(Driver!$G$202-Driver!$F$202)*$BI$1,1)</f>
        <v/>
      </c>
      <c r="BM1256" s="102">
        <f>MAX((CH1256-Driver!$F$204)/(Driver!$G$204-Driver!$F$204)*$BI$1,1)</f>
        <v/>
      </c>
      <c r="BN1256" s="102">
        <f>(CI1256-Driver!$F$205)/(Driver!$G$205-Driver!$F$205)*$BI$1</f>
        <v/>
      </c>
      <c r="BO1256" s="102">
        <f>(CK1256-Driver!$F$207)/(Driver!$G$207-Driver!$F$207)*$BI$1</f>
        <v/>
      </c>
      <c r="BP1256" s="102">
        <f>(CM1256-Driver!$F$208)/(Driver!$G$208-Driver!$F$208)*$BI$1</f>
        <v/>
      </c>
      <c r="BQ1256" s="102">
        <f>(CL1256-Driver!$F$209)/(Driver!$G$209-Driver!$F$209)*$BI$1</f>
        <v/>
      </c>
      <c r="BR1256" s="40" t="inlineStr">
        <is>
          <t>21/22</t>
        </is>
      </c>
      <c r="BS1256" s="10" t="inlineStr">
        <is>
          <t xml:space="preserve"> Blizzard</t>
        </is>
      </c>
      <c r="BT1256" s="11" t="inlineStr">
        <is>
          <t>Thunderbird R15 WB</t>
        </is>
      </c>
      <c r="BU1256" s="13" t="n">
        <v>174</v>
      </c>
      <c r="BV1256" s="11" t="inlineStr">
        <is>
          <t xml:space="preserve"> Unisex</t>
        </is>
      </c>
      <c r="BW1256" s="13" t="n">
        <v>174</v>
      </c>
      <c r="BX1256" s="13" t="n">
        <v>172.9</v>
      </c>
      <c r="BY1256" s="13" t="n">
        <v>155</v>
      </c>
      <c r="BZ1256" s="13" t="n">
        <v>160</v>
      </c>
      <c r="CA1256" s="13" t="n">
        <v>125</v>
      </c>
      <c r="CB1256" s="13" t="n">
        <v>75</v>
      </c>
      <c r="CC1256" s="13" t="n">
        <v>106</v>
      </c>
      <c r="CD1256" s="13" t="n">
        <v>15.1</v>
      </c>
      <c r="CE1256" s="13" t="n">
        <v>2334</v>
      </c>
      <c r="CF1256" s="13" t="n">
        <v>0.67</v>
      </c>
      <c r="CG1256" s="13" t="n">
        <v>1555</v>
      </c>
      <c r="CH1256" s="13" t="n">
        <v>223</v>
      </c>
      <c r="CI1256" s="13" t="n">
        <v>143</v>
      </c>
      <c r="CJ1256" s="13" t="n">
        <v>40</v>
      </c>
      <c r="CK1256" s="13" t="n">
        <v>127</v>
      </c>
      <c r="CL1256" s="13" t="n">
        <v>6</v>
      </c>
      <c r="CM1256" s="13" t="n">
        <v>56</v>
      </c>
      <c r="CN1256" s="13" t="n">
        <v>0.157</v>
      </c>
      <c r="CO1256" s="13" t="n">
        <v>75</v>
      </c>
      <c r="CP1256" s="13" t="n">
        <v>52</v>
      </c>
      <c r="CQ1256" s="13" t="n">
        <v>52</v>
      </c>
      <c r="CR1256" s="13" t="n">
        <v>8</v>
      </c>
      <c r="CS1256" s="13" t="n">
        <v>11.4</v>
      </c>
      <c r="CT1256" s="11" t="inlineStr">
        <is>
          <t xml:space="preserve"> On-Piste Carving</t>
        </is>
      </c>
      <c r="CU1256" s="13" t="n"/>
      <c r="CV1256" s="13" t="n"/>
      <c r="CW1256" s="13" t="n"/>
      <c r="CX1256">
        <f>INDEX('Data_Price '!AG$2:AG$1266,MATCH(Data!$DN1256,'Data_Price '!$AT$2:$AT$1266,0))</f>
        <v/>
      </c>
      <c r="CY1256">
        <f>INDEX('Data_Price '!AH$2:AH$1266,MATCH(Data!$DN1256,'Data_Price '!$AT$2:$AT$1266,0))</f>
        <v/>
      </c>
      <c r="CZ1256">
        <f>INDEX('Data_Price '!AI$2:AI$1266,MATCH(Data!$DN1256,'Data_Price '!$AT$2:$AT$1266,0))</f>
        <v/>
      </c>
      <c r="DA1256">
        <f>INDEX('Data_Price '!AJ$2:AJ$1266,MATCH(Data!$DN1256,'Data_Price '!$AT$2:$AT$1266,0))</f>
        <v/>
      </c>
      <c r="DB1256">
        <f>INDEX('Data_Price '!AK$2:AK$1266,MATCH(Data!$DN1256,'Data_Price '!$AT$2:$AT$1266,0))</f>
        <v/>
      </c>
      <c r="DC1256">
        <f>INDEX('Data_Price '!AL$2:AL$1266,MATCH(Data!$DN1256,'Data_Price '!$AT$2:$AT$1266,0))</f>
        <v/>
      </c>
      <c r="DD1256">
        <f>INDEX('Data_Price '!AM$2:AM$1266,MATCH(Data!$DN1256,'Data_Price '!$AT$2:$AT$1266,0))</f>
        <v/>
      </c>
      <c r="DE1256">
        <f>INDEX('Data_Price '!AN$2:AN$1266,MATCH(Data!$DN1256,'Data_Price '!$AT$2:$AT$1266,0))</f>
        <v/>
      </c>
      <c r="DF1256">
        <f>INDEX('Data_Price '!AO$2:AO$1266,MATCH(Data!$DN1256,'Data_Price '!$AT$2:$AT$1266,0))</f>
        <v/>
      </c>
      <c r="DG1256">
        <f>INDEX('Data_Price '!AP$2:AP$1266,MATCH(Data!$DN1256,'Data_Price '!$AT$2:$AT$1266,0))</f>
        <v/>
      </c>
      <c r="DH1256">
        <f>INDEX('Data_Price '!AQ$2:AQ$1266,MATCH(Data!$DN1256,'Data_Price '!$AT$2:$AT$1266,0))</f>
        <v/>
      </c>
      <c r="DI1256">
        <f>INDEX('Data_Price '!AR$2:AR$1266,MATCH(Data!$DN1256,'Data_Price '!$AT$2:$AT$1266,0))</f>
        <v/>
      </c>
      <c r="DJ1256" s="138">
        <f>DA1256</f>
        <v/>
      </c>
      <c r="DK1256" s="138">
        <f>DE1256</f>
        <v/>
      </c>
      <c r="DL1256" s="138">
        <f>DI1256</f>
        <v/>
      </c>
      <c r="DM1256" s="303">
        <f>IF(LEFT(BT1256,1)=" ",RIGHT(BT1256,LEN(BT1256)-1),BT1256)</f>
        <v/>
      </c>
      <c r="DN1256" s="138">
        <f>_xlfn.CONCAT(BS1256,DM1256,BU1256,BV1256)</f>
        <v/>
      </c>
      <c r="DO1256" s="307" t="n"/>
    </row>
    <row r="1257" ht="15.6" customHeight="1" s="184">
      <c r="B1257" s="303">
        <f t="array" ref="B1257">IF(OR(ISERROR(K1257:P1257)),FALSE,TRUE)</f>
        <v/>
      </c>
      <c r="C1257" s="60">
        <f>OR(BR1257=Driver!$G$50,Data!BR596=Driver!$H$50)</f>
        <v/>
      </c>
      <c r="D1257" s="60">
        <f>OR(BV1257=Driver!$G$51,BV1257=Driver!$H$51)</f>
        <v/>
      </c>
      <c r="E1257" s="60">
        <f>AND(BX1257&gt;Driver!$F$54,BX1257&lt;Driver!$G$54)</f>
        <v/>
      </c>
      <c r="F1257" s="60">
        <f>CL1257&gt;Driver!$F$56</f>
        <v/>
      </c>
      <c r="G1257" s="60">
        <f>AND(CB1257&gt;Driver!$F$55,CB1257&lt;Driver!$G$55)</f>
        <v/>
      </c>
      <c r="H1257" s="60">
        <f>AND(B1257:G1257)</f>
        <v/>
      </c>
      <c r="I1257" s="60">
        <f>COUNTIFS($H$9:$H$1273,TRUE,$BT$9:$BT$1273,BT1257)</f>
        <v/>
      </c>
      <c r="J1257" s="60">
        <f t="array" ref="J1257">NOT(OR(($H$9:$H$1273=TRUE)*($I$9:$I$1273&gt;0)*($BT$9:$BT$1273=BT1257)*($K$9:$K$1273&gt;K1257)))</f>
        <v/>
      </c>
      <c r="K1257" s="108">
        <f>IFERROR(1-AVERAGE(X1257:Y1257),"")</f>
        <v/>
      </c>
      <c r="L1257" s="108">
        <f>1-X1257</f>
        <v/>
      </c>
      <c r="M1257" s="108">
        <f>1-Y1257</f>
        <v/>
      </c>
      <c r="N1257" s="108">
        <f>1-Z1257</f>
        <v/>
      </c>
      <c r="O1257" s="108">
        <f>1-AA1257</f>
        <v/>
      </c>
      <c r="P1257" s="108">
        <f>1-AB1257</f>
        <v/>
      </c>
      <c r="Q1257" s="108" t="n"/>
      <c r="R1257" s="108" t="n"/>
      <c r="S1257" s="108">
        <f>1-AE1257</f>
        <v/>
      </c>
      <c r="T1257" s="108">
        <f>1-AF1257</f>
        <v/>
      </c>
      <c r="U1257" s="108">
        <f>1-AG1257</f>
        <v/>
      </c>
      <c r="V1257" s="108">
        <f>1-AH1257</f>
        <v/>
      </c>
      <c r="W1257" s="108">
        <f>1-AI1257</f>
        <v/>
      </c>
      <c r="X1257" s="108">
        <f>ABS(AJ1257-AJ$1)</f>
        <v/>
      </c>
      <c r="Y1257" s="108">
        <f>AVERAGE(Z1257:AB1257)</f>
        <v/>
      </c>
      <c r="Z1257" s="108">
        <f>ABS(AL1257-AL$1)</f>
        <v/>
      </c>
      <c r="AA1257" s="108">
        <f>ABS(AM1257-AM$1)</f>
        <v/>
      </c>
      <c r="AB1257" s="108">
        <f>ABS(AN1257-AN$1)</f>
        <v/>
      </c>
      <c r="AC1257" s="108" t="n"/>
      <c r="AD1257" s="108" t="n"/>
      <c r="AE1257" s="108">
        <f>ABS(AQ$1-AQ1257)</f>
        <v/>
      </c>
      <c r="AF1257" s="108">
        <f>ABS(AR$1-AR1257)</f>
        <v/>
      </c>
      <c r="AG1257" s="108">
        <f>ABS(AS$1-AS1257)</f>
        <v/>
      </c>
      <c r="AH1257" s="108">
        <f>ABS(AT$1-AT1257)</f>
        <v/>
      </c>
      <c r="AI1257" s="108">
        <f>ABS(AU$1-AU1257)</f>
        <v/>
      </c>
      <c r="AJ1257" s="108">
        <f>(AV1257-Driver!$K$179)/(Driver!$L$179-Driver!$K$179)</f>
        <v/>
      </c>
      <c r="AK1257" s="108">
        <f>(AW1257-Driver!$K$180)/(Driver!$L$180-Driver!$K$180)</f>
        <v/>
      </c>
      <c r="AL1257" s="108">
        <f>(AX1257-Driver!$K$181)/(Driver!$L$181-Driver!$K$181)</f>
        <v/>
      </c>
      <c r="AM1257" s="108">
        <f>(AY1257-Driver!$K$182)/(Driver!$L$182-Driver!$K$182)</f>
        <v/>
      </c>
      <c r="AN1257" s="108">
        <f>(AZ1257-Driver!$K$183)/(Driver!$L$183-Driver!$K$183)</f>
        <v/>
      </c>
      <c r="AO1257" s="108" t="n"/>
      <c r="AP1257" s="108" t="n"/>
      <c r="AQ1257" s="108">
        <f>(BC1257-Driver!$K$188)/(Driver!$L$188-Driver!$K$188)</f>
        <v/>
      </c>
      <c r="AR1257" s="108">
        <f>MIN((BD1257-Driver!$K$189)/(Driver!$L$189-Driver!$K$189),100%)</f>
        <v/>
      </c>
      <c r="AS1257" s="108">
        <f>(BE1257-Driver!$K$190)/(Driver!$L$190-Driver!$K$190)</f>
        <v/>
      </c>
      <c r="AT1257" s="108">
        <f>(BF1257-Driver!$K$191)/(Driver!$L$191-Driver!$K$191)</f>
        <v/>
      </c>
      <c r="AU1257" s="108">
        <f>(BG1257-Driver!$K$192)/(Driver!$L$192-Driver!$K$192)</f>
        <v/>
      </c>
      <c r="AV1257" s="105">
        <f>IFERROR(BM1257*BJ1257^1/4,"")</f>
        <v/>
      </c>
      <c r="AW1257" s="105">
        <f>IFERROR(SUM(AX1257:AZ1257),"")</f>
        <v/>
      </c>
      <c r="AX1257" s="105">
        <f>IFERROR(BH1257,"")</f>
        <v/>
      </c>
      <c r="AY1257" s="105">
        <f>IFERROR(Driver!$K$19/Data!BH1257/Data!BI1257*Data!BK1257*Data!BL1257,"")</f>
        <v/>
      </c>
      <c r="AZ1257" s="105">
        <f>IFERROR(BI1257*BN1257,"")</f>
        <v/>
      </c>
      <c r="BA1257" s="105" t="n"/>
      <c r="BB1257" s="105" t="n"/>
      <c r="BC1257" s="105">
        <f>IFERROR(BI1257*BN1257*BK1257/BJ1257^(1/2),"")</f>
        <v/>
      </c>
      <c r="BD1257" s="105">
        <f>IFERROR(BH1257*BM1257*BL1257/BJ1257/BK1257,"")</f>
        <v/>
      </c>
      <c r="BE1257" s="105">
        <f>IFERROR(MIN(BI1257/BQ1257/BP1257/BO1257/BH1257,$BE$1),"")</f>
        <v/>
      </c>
      <c r="BF1257" s="105">
        <f>IFERROR(BJ1257*BO1257*BP1257/BK1257,"")</f>
        <v/>
      </c>
      <c r="BG1257" s="105">
        <f>IFERROR(1/BM1257/BH1257*BQ1257,"")</f>
        <v/>
      </c>
      <c r="BH1257" s="102">
        <f>MAX((CE1257-Driver!$F$200)/(Driver!$G$200-Driver!$F$200)*$BI$1,1)</f>
        <v/>
      </c>
      <c r="BI1257" s="102">
        <f>MAX($BI$1*(BY1257-Driver!$F$201)/(Driver!$G$201-Driver!$F$201),1)</f>
        <v/>
      </c>
      <c r="BJ1257" s="102">
        <f>(CB1257-Driver!$F$206)/(Driver!$G$206-Driver!$F$206)*$BI$1</f>
        <v/>
      </c>
      <c r="BK1257" s="102">
        <f>(CD1257-Driver!$F$203)/(Driver!$G$203-Driver!$F$203)*$BI$1</f>
        <v/>
      </c>
      <c r="BL1257" s="102">
        <f>MAX((CR1257-Driver!$F$202)/(Driver!$G$202-Driver!$F$202)*$BI$1,1)</f>
        <v/>
      </c>
      <c r="BM1257" s="102">
        <f>MAX((CH1257-Driver!$F$204)/(Driver!$G$204-Driver!$F$204)*$BI$1,1)</f>
        <v/>
      </c>
      <c r="BN1257" s="102">
        <f>(CI1257-Driver!$F$205)/(Driver!$G$205-Driver!$F$205)*$BI$1</f>
        <v/>
      </c>
      <c r="BO1257" s="102">
        <f>(CK1257-Driver!$F$207)/(Driver!$G$207-Driver!$F$207)*$BI$1</f>
        <v/>
      </c>
      <c r="BP1257" s="102">
        <f>(CM1257-Driver!$F$208)/(Driver!$G$208-Driver!$F$208)*$BI$1</f>
        <v/>
      </c>
      <c r="BQ1257" s="102">
        <f>(CL1257-Driver!$F$209)/(Driver!$G$209-Driver!$F$209)*$BI$1</f>
        <v/>
      </c>
      <c r="BR1257" s="40" t="inlineStr">
        <is>
          <t>21/22</t>
        </is>
      </c>
      <c r="BS1257" s="10" t="inlineStr">
        <is>
          <t xml:space="preserve"> Fischer</t>
        </is>
      </c>
      <c r="BT1257" s="11" t="inlineStr">
        <is>
          <t>RC4 WC SC</t>
        </is>
      </c>
      <c r="BU1257" s="13" t="n">
        <v>170</v>
      </c>
      <c r="BV1257" s="11" t="inlineStr">
        <is>
          <t xml:space="preserve"> Unisex</t>
        </is>
      </c>
      <c r="BW1257" s="13" t="n">
        <v>170</v>
      </c>
      <c r="BX1257" s="13" t="n">
        <v>169.2</v>
      </c>
      <c r="BY1257" s="13" t="n">
        <v>150</v>
      </c>
      <c r="BZ1257" s="13" t="n">
        <v>160</v>
      </c>
      <c r="CA1257" s="13" t="n">
        <v>121</v>
      </c>
      <c r="CB1257" s="13" t="n">
        <v>66</v>
      </c>
      <c r="CC1257" s="13" t="n">
        <v>104</v>
      </c>
      <c r="CD1257" s="13" t="n">
        <v>13.1</v>
      </c>
      <c r="CE1257" s="13" t="n">
        <v>2126</v>
      </c>
      <c r="CF1257" s="13" t="n">
        <v>0.67</v>
      </c>
      <c r="CG1257" s="13" t="n">
        <v>1419</v>
      </c>
      <c r="CH1257" s="13" t="n">
        <v>246</v>
      </c>
      <c r="CI1257" s="13" t="n">
        <v>166</v>
      </c>
      <c r="CJ1257" s="13" t="n">
        <v>36</v>
      </c>
      <c r="CK1257" s="13" t="n">
        <v>137</v>
      </c>
      <c r="CL1257" s="13" t="n">
        <v>4</v>
      </c>
      <c r="CM1257" s="13" t="n">
        <v>50</v>
      </c>
      <c r="CN1257" s="13" t="n">
        <v>0.107</v>
      </c>
      <c r="CO1257" s="13" t="n">
        <v>47</v>
      </c>
      <c r="CP1257" s="13" t="n">
        <v>43</v>
      </c>
      <c r="CQ1257" s="13" t="n">
        <v>91</v>
      </c>
      <c r="CR1257" s="13" t="n">
        <v>8</v>
      </c>
      <c r="CS1257" s="13" t="n">
        <v>13.1</v>
      </c>
      <c r="CT1257" s="11" t="inlineStr">
        <is>
          <t xml:space="preserve"> On-Piste Carving</t>
        </is>
      </c>
      <c r="CU1257" s="13" t="n"/>
      <c r="CV1257" s="13" t="n"/>
      <c r="CW1257" s="13" t="n"/>
      <c r="CX1257">
        <f>INDEX('Data_Price '!AG$2:AG$1266,MATCH(Data!$DN1257,'Data_Price '!$AT$2:$AT$1266,0))</f>
        <v/>
      </c>
      <c r="CY1257">
        <f>INDEX('Data_Price '!AH$2:AH$1266,MATCH(Data!$DN1257,'Data_Price '!$AT$2:$AT$1266,0))</f>
        <v/>
      </c>
      <c r="CZ1257">
        <f>INDEX('Data_Price '!AI$2:AI$1266,MATCH(Data!$DN1257,'Data_Price '!$AT$2:$AT$1266,0))</f>
        <v/>
      </c>
      <c r="DA1257">
        <f>INDEX('Data_Price '!AJ$2:AJ$1266,MATCH(Data!$DN1257,'Data_Price '!$AT$2:$AT$1266,0))</f>
        <v/>
      </c>
      <c r="DB1257">
        <f>INDEX('Data_Price '!AK$2:AK$1266,MATCH(Data!$DN1257,'Data_Price '!$AT$2:$AT$1266,0))</f>
        <v/>
      </c>
      <c r="DC1257">
        <f>INDEX('Data_Price '!AL$2:AL$1266,MATCH(Data!$DN1257,'Data_Price '!$AT$2:$AT$1266,0))</f>
        <v/>
      </c>
      <c r="DD1257">
        <f>INDEX('Data_Price '!AM$2:AM$1266,MATCH(Data!$DN1257,'Data_Price '!$AT$2:$AT$1266,0))</f>
        <v/>
      </c>
      <c r="DE1257">
        <f>INDEX('Data_Price '!AN$2:AN$1266,MATCH(Data!$DN1257,'Data_Price '!$AT$2:$AT$1266,0))</f>
        <v/>
      </c>
      <c r="DF1257">
        <f>INDEX('Data_Price '!AO$2:AO$1266,MATCH(Data!$DN1257,'Data_Price '!$AT$2:$AT$1266,0))</f>
        <v/>
      </c>
      <c r="DG1257">
        <f>INDEX('Data_Price '!AP$2:AP$1266,MATCH(Data!$DN1257,'Data_Price '!$AT$2:$AT$1266,0))</f>
        <v/>
      </c>
      <c r="DH1257">
        <f>INDEX('Data_Price '!AQ$2:AQ$1266,MATCH(Data!$DN1257,'Data_Price '!$AT$2:$AT$1266,0))</f>
        <v/>
      </c>
      <c r="DI1257">
        <f>INDEX('Data_Price '!AR$2:AR$1266,MATCH(Data!$DN1257,'Data_Price '!$AT$2:$AT$1266,0))</f>
        <v/>
      </c>
      <c r="DJ1257" s="138">
        <f>DA1257</f>
        <v/>
      </c>
      <c r="DK1257" s="138">
        <f>DE1257</f>
        <v/>
      </c>
      <c r="DL1257" s="138">
        <f>DI1257</f>
        <v/>
      </c>
      <c r="DM1257" s="303">
        <f>IF(LEFT(BT1257,1)=" ",RIGHT(BT1257,LEN(BT1257)-1),BT1257)</f>
        <v/>
      </c>
      <c r="DN1257" s="138">
        <f>_xlfn.CONCAT(BS1257,DM1257,BU1257,BV1257)</f>
        <v/>
      </c>
      <c r="DO1257" s="307" t="n"/>
    </row>
    <row r="1258" ht="15.6" customHeight="1" s="184">
      <c r="B1258" s="303">
        <f t="array" ref="B1258">IF(OR(ISERROR(K1258:P1258)),FALSE,TRUE)</f>
        <v/>
      </c>
      <c r="C1258" s="60">
        <f>OR(BR1258=Driver!$G$50,Data!BR422=Driver!$H$50)</f>
        <v/>
      </c>
      <c r="D1258" s="60">
        <f>OR(BV1258=Driver!$G$51,BV1258=Driver!$H$51)</f>
        <v/>
      </c>
      <c r="E1258" s="60">
        <f>AND(BX1258&gt;Driver!$F$54,BX1258&lt;Driver!$G$54)</f>
        <v/>
      </c>
      <c r="F1258" s="60">
        <f>CL1258&gt;Driver!$F$56</f>
        <v/>
      </c>
      <c r="G1258" s="60">
        <f>AND(CB1258&gt;Driver!$F$55,CB1258&lt;Driver!$G$55)</f>
        <v/>
      </c>
      <c r="H1258" s="60">
        <f>AND(B1258:G1258)</f>
        <v/>
      </c>
      <c r="I1258" s="60">
        <f>COUNTIFS($H$9:$H$1273,TRUE,$BT$9:$BT$1273,BT1258)</f>
        <v/>
      </c>
      <c r="J1258" s="60">
        <f t="array" ref="J1258">NOT(OR(($H$9:$H$1273=TRUE)*($I$9:$I$1273&gt;0)*($BT$9:$BT$1273=BT1258)*($K$9:$K$1273&gt;K1258)))</f>
        <v/>
      </c>
      <c r="K1258" s="108">
        <f>IFERROR(1-AVERAGE(X1258:Y1258),"")</f>
        <v/>
      </c>
      <c r="L1258" s="108">
        <f>1-X1258</f>
        <v/>
      </c>
      <c r="M1258" s="108">
        <f>1-Y1258</f>
        <v/>
      </c>
      <c r="N1258" s="108">
        <f>1-Z1258</f>
        <v/>
      </c>
      <c r="O1258" s="108">
        <f>1-AA1258</f>
        <v/>
      </c>
      <c r="P1258" s="108">
        <f>1-AB1258</f>
        <v/>
      </c>
      <c r="Q1258" s="108" t="n"/>
      <c r="R1258" s="108" t="n"/>
      <c r="S1258" s="108">
        <f>1-AE1258</f>
        <v/>
      </c>
      <c r="T1258" s="108">
        <f>1-AF1258</f>
        <v/>
      </c>
      <c r="U1258" s="108">
        <f>1-AG1258</f>
        <v/>
      </c>
      <c r="V1258" s="108">
        <f>1-AH1258</f>
        <v/>
      </c>
      <c r="W1258" s="108">
        <f>1-AI1258</f>
        <v/>
      </c>
      <c r="X1258" s="108">
        <f>ABS(AJ1258-AJ$1)</f>
        <v/>
      </c>
      <c r="Y1258" s="108">
        <f>AVERAGE(Z1258:AB1258)</f>
        <v/>
      </c>
      <c r="Z1258" s="108">
        <f>ABS(AL1258-AL$1)</f>
        <v/>
      </c>
      <c r="AA1258" s="108">
        <f>ABS(AM1258-AM$1)</f>
        <v/>
      </c>
      <c r="AB1258" s="108">
        <f>ABS(AN1258-AN$1)</f>
        <v/>
      </c>
      <c r="AC1258" s="108" t="n"/>
      <c r="AD1258" s="108" t="n"/>
      <c r="AE1258" s="108">
        <f>ABS(AQ$1-AQ1258)</f>
        <v/>
      </c>
      <c r="AF1258" s="108">
        <f>ABS(AR$1-AR1258)</f>
        <v/>
      </c>
      <c r="AG1258" s="108">
        <f>ABS(AS$1-AS1258)</f>
        <v/>
      </c>
      <c r="AH1258" s="108">
        <f>ABS(AT$1-AT1258)</f>
        <v/>
      </c>
      <c r="AI1258" s="108">
        <f>ABS(AU$1-AU1258)</f>
        <v/>
      </c>
      <c r="AJ1258" s="108">
        <f>(AV1258-Driver!$K$179)/(Driver!$L$179-Driver!$K$179)</f>
        <v/>
      </c>
      <c r="AK1258" s="108">
        <f>(AW1258-Driver!$K$180)/(Driver!$L$180-Driver!$K$180)</f>
        <v/>
      </c>
      <c r="AL1258" s="108">
        <f>(AX1258-Driver!$K$181)/(Driver!$L$181-Driver!$K$181)</f>
        <v/>
      </c>
      <c r="AM1258" s="108">
        <f>(AY1258-Driver!$K$182)/(Driver!$L$182-Driver!$K$182)</f>
        <v/>
      </c>
      <c r="AN1258" s="108">
        <f>(AZ1258-Driver!$K$183)/(Driver!$L$183-Driver!$K$183)</f>
        <v/>
      </c>
      <c r="AO1258" s="108" t="n"/>
      <c r="AP1258" s="108" t="n"/>
      <c r="AQ1258" s="108">
        <f>(BC1258-Driver!$K$188)/(Driver!$L$188-Driver!$K$188)</f>
        <v/>
      </c>
      <c r="AR1258" s="108">
        <f>MIN((BD1258-Driver!$K$189)/(Driver!$L$189-Driver!$K$189),100%)</f>
        <v/>
      </c>
      <c r="AS1258" s="108">
        <f>(BE1258-Driver!$K$190)/(Driver!$L$190-Driver!$K$190)</f>
        <v/>
      </c>
      <c r="AT1258" s="108">
        <f>(BF1258-Driver!$K$191)/(Driver!$L$191-Driver!$K$191)</f>
        <v/>
      </c>
      <c r="AU1258" s="108">
        <f>(BG1258-Driver!$K$192)/(Driver!$L$192-Driver!$K$192)</f>
        <v/>
      </c>
      <c r="AV1258" s="105">
        <f>IFERROR(BM1258*BJ1258^1/4,"")</f>
        <v/>
      </c>
      <c r="AW1258" s="105">
        <f>IFERROR(SUM(AX1258:AZ1258),"")</f>
        <v/>
      </c>
      <c r="AX1258" s="105">
        <f>IFERROR(BH1258,"")</f>
        <v/>
      </c>
      <c r="AY1258" s="105">
        <f>IFERROR(Driver!$K$19/Data!BH1258/Data!BI1258*Data!BK1258*Data!BL1258,"")</f>
        <v/>
      </c>
      <c r="AZ1258" s="105">
        <f>IFERROR(BI1258*BN1258,"")</f>
        <v/>
      </c>
      <c r="BA1258" s="105" t="n"/>
      <c r="BB1258" s="105" t="n"/>
      <c r="BC1258" s="105">
        <f>IFERROR(BI1258*BN1258*BK1258/BJ1258^(1/2),"")</f>
        <v/>
      </c>
      <c r="BD1258" s="105">
        <f>IFERROR(BH1258*BM1258*BL1258/BJ1258/BK1258,"")</f>
        <v/>
      </c>
      <c r="BE1258" s="105">
        <f>IFERROR(MIN(BI1258/BQ1258/BP1258/BO1258/BH1258,$BE$1),"")</f>
        <v/>
      </c>
      <c r="BF1258" s="105">
        <f>IFERROR(BJ1258*BO1258*BP1258/BK1258,"")</f>
        <v/>
      </c>
      <c r="BG1258" s="105">
        <f>IFERROR(1/BM1258/BH1258*BQ1258,"")</f>
        <v/>
      </c>
      <c r="BH1258" s="102">
        <f>MAX((CE1258-Driver!$F$200)/(Driver!$G$200-Driver!$F$200)*$BI$1,1)</f>
        <v/>
      </c>
      <c r="BI1258" s="102">
        <f>MAX($BI$1*(BY1258-Driver!$F$201)/(Driver!$G$201-Driver!$F$201),1)</f>
        <v/>
      </c>
      <c r="BJ1258" s="102">
        <f>(CB1258-Driver!$F$206)/(Driver!$G$206-Driver!$F$206)*$BI$1</f>
        <v/>
      </c>
      <c r="BK1258" s="102">
        <f>(CD1258-Driver!$F$203)/(Driver!$G$203-Driver!$F$203)*$BI$1</f>
        <v/>
      </c>
      <c r="BL1258" s="102">
        <f>MAX((CR1258-Driver!$F$202)/(Driver!$G$202-Driver!$F$202)*$BI$1,1)</f>
        <v/>
      </c>
      <c r="BM1258" s="102">
        <f>MAX((CH1258-Driver!$F$204)/(Driver!$G$204-Driver!$F$204)*$BI$1,1)</f>
        <v/>
      </c>
      <c r="BN1258" s="102">
        <f>(CI1258-Driver!$F$205)/(Driver!$G$205-Driver!$F$205)*$BI$1</f>
        <v/>
      </c>
      <c r="BO1258" s="102">
        <f>(CK1258-Driver!$F$207)/(Driver!$G$207-Driver!$F$207)*$BI$1</f>
        <v/>
      </c>
      <c r="BP1258" s="102">
        <f>(CM1258-Driver!$F$208)/(Driver!$G$208-Driver!$F$208)*$BI$1</f>
        <v/>
      </c>
      <c r="BQ1258" s="102">
        <f>(CL1258-Driver!$F$209)/(Driver!$G$209-Driver!$F$209)*$BI$1</f>
        <v/>
      </c>
      <c r="BR1258" s="40" t="inlineStr">
        <is>
          <t>21/22</t>
        </is>
      </c>
      <c r="BS1258" s="10" t="inlineStr">
        <is>
          <t xml:space="preserve"> Elan</t>
        </is>
      </c>
      <c r="BT1258" s="11" t="inlineStr">
        <is>
          <t xml:space="preserve"> Ace SLX</t>
        </is>
      </c>
      <c r="BU1258" s="13" t="n">
        <v>169</v>
      </c>
      <c r="BV1258" s="11" t="inlineStr">
        <is>
          <t xml:space="preserve"> Unisex</t>
        </is>
      </c>
      <c r="BW1258" s="13" t="n">
        <v>169</v>
      </c>
      <c r="BX1258" s="13" t="n">
        <v>168.1</v>
      </c>
      <c r="BY1258" s="13" t="n">
        <v>151</v>
      </c>
      <c r="BZ1258" s="13" t="n">
        <v>158</v>
      </c>
      <c r="CA1258" s="13" t="n">
        <v>121</v>
      </c>
      <c r="CB1258" s="13" t="n">
        <v>67</v>
      </c>
      <c r="CC1258" s="13" t="n">
        <v>104</v>
      </c>
      <c r="CD1258" s="13" t="n">
        <v>13.3</v>
      </c>
      <c r="CE1258" s="13" t="n">
        <v>2460</v>
      </c>
      <c r="CF1258" s="13" t="n">
        <v>0.58</v>
      </c>
      <c r="CG1258" s="13" t="n">
        <v>1418</v>
      </c>
      <c r="CH1258" s="13" t="n">
        <v>244</v>
      </c>
      <c r="CI1258" s="13" t="n">
        <v>136</v>
      </c>
      <c r="CJ1258" s="13" t="n">
        <v>37</v>
      </c>
      <c r="CK1258" s="13" t="n">
        <v>131</v>
      </c>
      <c r="CL1258" s="13" t="n">
        <v>3</v>
      </c>
      <c r="CM1258" s="13" t="n">
        <v>42</v>
      </c>
      <c r="CN1258" s="13" t="n">
        <v>0.074</v>
      </c>
      <c r="CO1258" s="13" t="n">
        <v>56</v>
      </c>
      <c r="CP1258" s="13" t="n">
        <v>41</v>
      </c>
      <c r="CQ1258" s="13" t="n">
        <v>75</v>
      </c>
      <c r="CR1258" s="13" t="n">
        <v>11</v>
      </c>
      <c r="CS1258" s="13" t="n">
        <v>8.6</v>
      </c>
      <c r="CT1258" s="11" t="inlineStr">
        <is>
          <t xml:space="preserve"> On-Piste Carving</t>
        </is>
      </c>
      <c r="CU1258" s="13" t="n"/>
      <c r="CV1258" s="13" t="n"/>
      <c r="CW1258" s="13" t="n"/>
      <c r="CX1258">
        <f>INDEX('Data_Price '!AG$2:AG$1266,MATCH(Data!$DN1258,'Data_Price '!$AT$2:$AT$1266,0))</f>
        <v/>
      </c>
      <c r="CY1258">
        <f>INDEX('Data_Price '!AH$2:AH$1266,MATCH(Data!$DN1258,'Data_Price '!$AT$2:$AT$1266,0))</f>
        <v/>
      </c>
      <c r="CZ1258">
        <f>INDEX('Data_Price '!AI$2:AI$1266,MATCH(Data!$DN1258,'Data_Price '!$AT$2:$AT$1266,0))</f>
        <v/>
      </c>
      <c r="DA1258">
        <f>INDEX('Data_Price '!AJ$2:AJ$1266,MATCH(Data!$DN1258,'Data_Price '!$AT$2:$AT$1266,0))</f>
        <v/>
      </c>
      <c r="DB1258">
        <f>INDEX('Data_Price '!AK$2:AK$1266,MATCH(Data!$DN1258,'Data_Price '!$AT$2:$AT$1266,0))</f>
        <v/>
      </c>
      <c r="DC1258">
        <f>INDEX('Data_Price '!AL$2:AL$1266,MATCH(Data!$DN1258,'Data_Price '!$AT$2:$AT$1266,0))</f>
        <v/>
      </c>
      <c r="DD1258">
        <f>INDEX('Data_Price '!AM$2:AM$1266,MATCH(Data!$DN1258,'Data_Price '!$AT$2:$AT$1266,0))</f>
        <v/>
      </c>
      <c r="DE1258">
        <f>INDEX('Data_Price '!AN$2:AN$1266,MATCH(Data!$DN1258,'Data_Price '!$AT$2:$AT$1266,0))</f>
        <v/>
      </c>
      <c r="DF1258">
        <f>INDEX('Data_Price '!AO$2:AO$1266,MATCH(Data!$DN1258,'Data_Price '!$AT$2:$AT$1266,0))</f>
        <v/>
      </c>
      <c r="DG1258">
        <f>INDEX('Data_Price '!AP$2:AP$1266,MATCH(Data!$DN1258,'Data_Price '!$AT$2:$AT$1266,0))</f>
        <v/>
      </c>
      <c r="DH1258">
        <f>INDEX('Data_Price '!AQ$2:AQ$1266,MATCH(Data!$DN1258,'Data_Price '!$AT$2:$AT$1266,0))</f>
        <v/>
      </c>
      <c r="DI1258">
        <f>INDEX('Data_Price '!AR$2:AR$1266,MATCH(Data!$DN1258,'Data_Price '!$AT$2:$AT$1266,0))</f>
        <v/>
      </c>
      <c r="DJ1258" s="138">
        <f>DA1258</f>
        <v/>
      </c>
      <c r="DK1258" s="138">
        <f>DE1258</f>
        <v/>
      </c>
      <c r="DL1258" s="138">
        <f>DI1258</f>
        <v/>
      </c>
      <c r="DM1258" s="303">
        <f>IF(LEFT(BT1258,1)=" ",RIGHT(BT1258,LEN(BT1258)-1),BT1258)</f>
        <v/>
      </c>
      <c r="DN1258" s="138">
        <f>_xlfn.CONCAT(BS1258,DM1258,BU1258,BV1258)</f>
        <v/>
      </c>
      <c r="DO1258" s="307" t="n"/>
    </row>
    <row r="1259" ht="15.6" customHeight="1" s="184">
      <c r="B1259" s="303">
        <f t="array" ref="B1259">IF(OR(ISERROR(K1259:P1259)),FALSE,TRUE)</f>
        <v/>
      </c>
      <c r="C1259" s="60">
        <f>OR(BR1259=Driver!$G$50,Data!BR703=Driver!$H$50)</f>
        <v/>
      </c>
      <c r="D1259" s="60">
        <f>OR(BV1259=Driver!$G$51,BV1259=Driver!$H$51)</f>
        <v/>
      </c>
      <c r="E1259" s="60">
        <f>AND(BX1259&gt;Driver!$F$54,BX1259&lt;Driver!$G$54)</f>
        <v/>
      </c>
      <c r="F1259" s="60">
        <f>CL1259&gt;Driver!$F$56</f>
        <v/>
      </c>
      <c r="G1259" s="60">
        <f>AND(CB1259&gt;Driver!$F$55,CB1259&lt;Driver!$G$55)</f>
        <v/>
      </c>
      <c r="H1259" s="60">
        <f>AND(B1259:G1259)</f>
        <v/>
      </c>
      <c r="I1259" s="60">
        <f>COUNTIFS($H$9:$H$1273,TRUE,$BT$9:$BT$1273,BT1259)</f>
        <v/>
      </c>
      <c r="J1259" s="60">
        <f t="array" ref="J1259">NOT(OR(($H$9:$H$1273=TRUE)*($I$9:$I$1273&gt;0)*($BT$9:$BT$1273=BT1259)*($K$9:$K$1273&gt;K1259)))</f>
        <v/>
      </c>
      <c r="K1259" s="108">
        <f>IFERROR(1-AVERAGE(X1259:Y1259),"")</f>
        <v/>
      </c>
      <c r="L1259" s="108">
        <f>1-X1259</f>
        <v/>
      </c>
      <c r="M1259" s="108">
        <f>1-Y1259</f>
        <v/>
      </c>
      <c r="N1259" s="108">
        <f>1-Z1259</f>
        <v/>
      </c>
      <c r="O1259" s="108">
        <f>1-AA1259</f>
        <v/>
      </c>
      <c r="P1259" s="108">
        <f>1-AB1259</f>
        <v/>
      </c>
      <c r="Q1259" s="108" t="n"/>
      <c r="R1259" s="108" t="n"/>
      <c r="S1259" s="108">
        <f>1-AE1259</f>
        <v/>
      </c>
      <c r="T1259" s="108">
        <f>1-AF1259</f>
        <v/>
      </c>
      <c r="U1259" s="108">
        <f>1-AG1259</f>
        <v/>
      </c>
      <c r="V1259" s="108">
        <f>1-AH1259</f>
        <v/>
      </c>
      <c r="W1259" s="108">
        <f>1-AI1259</f>
        <v/>
      </c>
      <c r="X1259" s="108">
        <f>ABS(AJ1259-AJ$1)</f>
        <v/>
      </c>
      <c r="Y1259" s="108">
        <f>AVERAGE(Z1259:AB1259)</f>
        <v/>
      </c>
      <c r="Z1259" s="108">
        <f>ABS(AL1259-AL$1)</f>
        <v/>
      </c>
      <c r="AA1259" s="108">
        <f>ABS(AM1259-AM$1)</f>
        <v/>
      </c>
      <c r="AB1259" s="108">
        <f>ABS(AN1259-AN$1)</f>
        <v/>
      </c>
      <c r="AC1259" s="108" t="n"/>
      <c r="AD1259" s="108" t="n"/>
      <c r="AE1259" s="108">
        <f>ABS(AQ$1-AQ1259)</f>
        <v/>
      </c>
      <c r="AF1259" s="108">
        <f>ABS(AR$1-AR1259)</f>
        <v/>
      </c>
      <c r="AG1259" s="108">
        <f>ABS(AS$1-AS1259)</f>
        <v/>
      </c>
      <c r="AH1259" s="108">
        <f>ABS(AT$1-AT1259)</f>
        <v/>
      </c>
      <c r="AI1259" s="108">
        <f>ABS(AU$1-AU1259)</f>
        <v/>
      </c>
      <c r="AJ1259" s="108">
        <f>(AV1259-Driver!$K$179)/(Driver!$L$179-Driver!$K$179)</f>
        <v/>
      </c>
      <c r="AK1259" s="108">
        <f>(AW1259-Driver!$K$180)/(Driver!$L$180-Driver!$K$180)</f>
        <v/>
      </c>
      <c r="AL1259" s="108">
        <f>(AX1259-Driver!$K$181)/(Driver!$L$181-Driver!$K$181)</f>
        <v/>
      </c>
      <c r="AM1259" s="108">
        <f>(AY1259-Driver!$K$182)/(Driver!$L$182-Driver!$K$182)</f>
        <v/>
      </c>
      <c r="AN1259" s="108">
        <f>(AZ1259-Driver!$K$183)/(Driver!$L$183-Driver!$K$183)</f>
        <v/>
      </c>
      <c r="AO1259" s="108" t="n"/>
      <c r="AP1259" s="108" t="n"/>
      <c r="AQ1259" s="108">
        <f>(BC1259-Driver!$K$188)/(Driver!$L$188-Driver!$K$188)</f>
        <v/>
      </c>
      <c r="AR1259" s="108">
        <f>MIN((BD1259-Driver!$K$189)/(Driver!$L$189-Driver!$K$189),100%)</f>
        <v/>
      </c>
      <c r="AS1259" s="108">
        <f>(BE1259-Driver!$K$190)/(Driver!$L$190-Driver!$K$190)</f>
        <v/>
      </c>
      <c r="AT1259" s="108">
        <f>(BF1259-Driver!$K$191)/(Driver!$L$191-Driver!$K$191)</f>
        <v/>
      </c>
      <c r="AU1259" s="108">
        <f>(BG1259-Driver!$K$192)/(Driver!$L$192-Driver!$K$192)</f>
        <v/>
      </c>
      <c r="AV1259" s="105">
        <f>IFERROR(BM1259*BJ1259^1/4,"")</f>
        <v/>
      </c>
      <c r="AW1259" s="105">
        <f>IFERROR(SUM(AX1259:AZ1259),"")</f>
        <v/>
      </c>
      <c r="AX1259" s="105">
        <f>IFERROR(BH1259,"")</f>
        <v/>
      </c>
      <c r="AY1259" s="105">
        <f>IFERROR(Driver!$K$19/Data!BH1259/Data!BI1259*Data!BK1259*Data!BL1259,"")</f>
        <v/>
      </c>
      <c r="AZ1259" s="105">
        <f>IFERROR(BI1259*BN1259,"")</f>
        <v/>
      </c>
      <c r="BA1259" s="105" t="n"/>
      <c r="BB1259" s="105" t="n"/>
      <c r="BC1259" s="105">
        <f>IFERROR(BI1259*BN1259*BK1259/BJ1259^(1/2),"")</f>
        <v/>
      </c>
      <c r="BD1259" s="105">
        <f>IFERROR(BH1259*BM1259*BL1259/BJ1259/BK1259,"")</f>
        <v/>
      </c>
      <c r="BE1259" s="105">
        <f>IFERROR(MIN(BI1259/BQ1259/BP1259/BO1259/BH1259,$BE$1),"")</f>
        <v/>
      </c>
      <c r="BF1259" s="105">
        <f>IFERROR(BJ1259*BO1259*BP1259/BK1259,"")</f>
        <v/>
      </c>
      <c r="BG1259" s="105">
        <f>IFERROR(1/BM1259/BH1259*BQ1259,"")</f>
        <v/>
      </c>
      <c r="BH1259" s="102">
        <f>MAX((CE1259-Driver!$F$200)/(Driver!$G$200-Driver!$F$200)*$BI$1,1)</f>
        <v/>
      </c>
      <c r="BI1259" s="102">
        <f>MAX($BI$1*(BY1259-Driver!$F$201)/(Driver!$G$201-Driver!$F$201),1)</f>
        <v/>
      </c>
      <c r="BJ1259" s="102">
        <f>(CB1259-Driver!$F$206)/(Driver!$G$206-Driver!$F$206)*$BI$1</f>
        <v/>
      </c>
      <c r="BK1259" s="102">
        <f>(CD1259-Driver!$F$203)/(Driver!$G$203-Driver!$F$203)*$BI$1</f>
        <v/>
      </c>
      <c r="BL1259" s="102">
        <f>MAX((CR1259-Driver!$F$202)/(Driver!$G$202-Driver!$F$202)*$BI$1,1)</f>
        <v/>
      </c>
      <c r="BM1259" s="102">
        <f>MAX((CH1259-Driver!$F$204)/(Driver!$G$204-Driver!$F$204)*$BI$1,1)</f>
        <v/>
      </c>
      <c r="BN1259" s="102">
        <f>(CI1259-Driver!$F$205)/(Driver!$G$205-Driver!$F$205)*$BI$1</f>
        <v/>
      </c>
      <c r="BO1259" s="102">
        <f>(CK1259-Driver!$F$207)/(Driver!$G$207-Driver!$F$207)*$BI$1</f>
        <v/>
      </c>
      <c r="BP1259" s="102">
        <f>(CM1259-Driver!$F$208)/(Driver!$G$208-Driver!$F$208)*$BI$1</f>
        <v/>
      </c>
      <c r="BQ1259" s="102">
        <f>(CL1259-Driver!$F$209)/(Driver!$G$209-Driver!$F$209)*$BI$1</f>
        <v/>
      </c>
      <c r="BR1259" s="40" t="inlineStr">
        <is>
          <t>21/22</t>
        </is>
      </c>
      <c r="BS1259" s="10" t="inlineStr">
        <is>
          <t xml:space="preserve"> K2</t>
        </is>
      </c>
      <c r="BT1259" s="11" t="inlineStr">
        <is>
          <t>Disruption 78 Ti</t>
        </is>
      </c>
      <c r="BU1259" s="13" t="n">
        <v>177</v>
      </c>
      <c r="BV1259" s="11" t="inlineStr">
        <is>
          <t xml:space="preserve"> Unisex</t>
        </is>
      </c>
      <c r="BW1259" s="13" t="n">
        <v>177</v>
      </c>
      <c r="BX1259" s="13" t="n">
        <v>177.5</v>
      </c>
      <c r="BY1259" s="13" t="n">
        <v>154</v>
      </c>
      <c r="BZ1259" s="13" t="n">
        <v>165</v>
      </c>
      <c r="CA1259" s="13" t="n">
        <v>123</v>
      </c>
      <c r="CB1259" s="13" t="n">
        <v>78</v>
      </c>
      <c r="CC1259" s="13" t="n">
        <v>109</v>
      </c>
      <c r="CD1259" s="13" t="n">
        <v>17.7</v>
      </c>
      <c r="CE1259" s="13" t="n">
        <v>2146</v>
      </c>
      <c r="CF1259" s="13" t="n">
        <v>0.76</v>
      </c>
      <c r="CG1259" s="13" t="n">
        <v>1624</v>
      </c>
      <c r="CH1259" s="13" t="n">
        <v>249</v>
      </c>
      <c r="CI1259" s="13" t="n">
        <v>174</v>
      </c>
      <c r="CJ1259" s="13" t="n">
        <v>35</v>
      </c>
      <c r="CK1259" s="13" t="n">
        <v>166</v>
      </c>
      <c r="CL1259" s="13" t="n">
        <v>7</v>
      </c>
      <c r="CM1259" s="13" t="n">
        <v>73</v>
      </c>
      <c r="CN1259" s="13" t="n">
        <v>0.204</v>
      </c>
      <c r="CO1259" s="13" t="n">
        <v>81</v>
      </c>
      <c r="CP1259" s="13" t="n">
        <v>43</v>
      </c>
      <c r="CQ1259" s="13" t="n">
        <v>85</v>
      </c>
      <c r="CR1259" s="13" t="n">
        <v>9</v>
      </c>
      <c r="CS1259" s="13" t="n">
        <v>10.1</v>
      </c>
      <c r="CT1259" s="11" t="inlineStr">
        <is>
          <t xml:space="preserve"> On-Piste Carving</t>
        </is>
      </c>
      <c r="CU1259" s="13" t="n"/>
      <c r="CV1259" s="13" t="n"/>
      <c r="CW1259" s="13" t="n"/>
      <c r="CX1259">
        <f>INDEX('Data_Price '!AG$2:AG$1266,MATCH(Data!$DN1259,'Data_Price '!$AT$2:$AT$1266,0))</f>
        <v/>
      </c>
      <c r="CY1259">
        <f>INDEX('Data_Price '!AH$2:AH$1266,MATCH(Data!$DN1259,'Data_Price '!$AT$2:$AT$1266,0))</f>
        <v/>
      </c>
      <c r="CZ1259">
        <f>INDEX('Data_Price '!AI$2:AI$1266,MATCH(Data!$DN1259,'Data_Price '!$AT$2:$AT$1266,0))</f>
        <v/>
      </c>
      <c r="DA1259">
        <f>INDEX('Data_Price '!AJ$2:AJ$1266,MATCH(Data!$DN1259,'Data_Price '!$AT$2:$AT$1266,0))</f>
        <v/>
      </c>
      <c r="DB1259">
        <f>INDEX('Data_Price '!AK$2:AK$1266,MATCH(Data!$DN1259,'Data_Price '!$AT$2:$AT$1266,0))</f>
        <v/>
      </c>
      <c r="DC1259">
        <f>INDEX('Data_Price '!AL$2:AL$1266,MATCH(Data!$DN1259,'Data_Price '!$AT$2:$AT$1266,0))</f>
        <v/>
      </c>
      <c r="DD1259">
        <f>INDEX('Data_Price '!AM$2:AM$1266,MATCH(Data!$DN1259,'Data_Price '!$AT$2:$AT$1266,0))</f>
        <v/>
      </c>
      <c r="DE1259">
        <f>INDEX('Data_Price '!AN$2:AN$1266,MATCH(Data!$DN1259,'Data_Price '!$AT$2:$AT$1266,0))</f>
        <v/>
      </c>
      <c r="DF1259">
        <f>INDEX('Data_Price '!AO$2:AO$1266,MATCH(Data!$DN1259,'Data_Price '!$AT$2:$AT$1266,0))</f>
        <v/>
      </c>
      <c r="DG1259">
        <f>INDEX('Data_Price '!AP$2:AP$1266,MATCH(Data!$DN1259,'Data_Price '!$AT$2:$AT$1266,0))</f>
        <v/>
      </c>
      <c r="DH1259">
        <f>INDEX('Data_Price '!AQ$2:AQ$1266,MATCH(Data!$DN1259,'Data_Price '!$AT$2:$AT$1266,0))</f>
        <v/>
      </c>
      <c r="DI1259">
        <f>INDEX('Data_Price '!AR$2:AR$1266,MATCH(Data!$DN1259,'Data_Price '!$AT$2:$AT$1266,0))</f>
        <v/>
      </c>
      <c r="DJ1259" s="138">
        <f>DA1259</f>
        <v/>
      </c>
      <c r="DK1259" s="138">
        <f>DE1259</f>
        <v/>
      </c>
      <c r="DL1259" s="138">
        <f>DI1259</f>
        <v/>
      </c>
      <c r="DM1259" s="303">
        <f>IF(LEFT(BT1259,1)=" ",RIGHT(BT1259,LEN(BT1259)-1),BT1259)</f>
        <v/>
      </c>
      <c r="DN1259" s="138">
        <f>_xlfn.CONCAT(BS1259,DM1259,BU1259,BV1259)</f>
        <v/>
      </c>
      <c r="DO1259" s="307" t="n"/>
    </row>
    <row r="1260" ht="15.6" customHeight="1" s="184">
      <c r="B1260" s="303">
        <f t="array" ref="B1260">IF(OR(ISERROR(K1260:P1260)),FALSE,TRUE)</f>
        <v/>
      </c>
      <c r="C1260" s="60">
        <f>OR(BR1260=Driver!$G$50,Data!BR709=Driver!$H$50)</f>
        <v/>
      </c>
      <c r="D1260" s="60">
        <f>OR(BV1260=Driver!$G$51,BV1260=Driver!$H$51)</f>
        <v/>
      </c>
      <c r="E1260" s="60">
        <f>AND(BX1260&gt;Driver!$F$54,BX1260&lt;Driver!$G$54)</f>
        <v/>
      </c>
      <c r="F1260" s="60">
        <f>CL1260&gt;Driver!$F$56</f>
        <v/>
      </c>
      <c r="G1260" s="60">
        <f>AND(CB1260&gt;Driver!$F$55,CB1260&lt;Driver!$G$55)</f>
        <v/>
      </c>
      <c r="H1260" s="60">
        <f>AND(B1260:G1260)</f>
        <v/>
      </c>
      <c r="I1260" s="60">
        <f>COUNTIFS($H$9:$H$1273,TRUE,$BT$9:$BT$1273,BT1260)</f>
        <v/>
      </c>
      <c r="J1260" s="60">
        <f t="array" ref="J1260">NOT(OR(($H$9:$H$1273=TRUE)*($I$9:$I$1273&gt;0)*($BT$9:$BT$1273=BT1260)*($K$9:$K$1273&gt;K1260)))</f>
        <v/>
      </c>
      <c r="K1260" s="108">
        <f>IFERROR(1-AVERAGE(X1260:Y1260),"")</f>
        <v/>
      </c>
      <c r="L1260" s="108">
        <f>1-X1260</f>
        <v/>
      </c>
      <c r="M1260" s="108">
        <f>1-Y1260</f>
        <v/>
      </c>
      <c r="N1260" s="108">
        <f>1-Z1260</f>
        <v/>
      </c>
      <c r="O1260" s="108">
        <f>1-AA1260</f>
        <v/>
      </c>
      <c r="P1260" s="108">
        <f>1-AB1260</f>
        <v/>
      </c>
      <c r="Q1260" s="108" t="n"/>
      <c r="R1260" s="108" t="n"/>
      <c r="S1260" s="108">
        <f>1-AE1260</f>
        <v/>
      </c>
      <c r="T1260" s="108">
        <f>1-AF1260</f>
        <v/>
      </c>
      <c r="U1260" s="108">
        <f>1-AG1260</f>
        <v/>
      </c>
      <c r="V1260" s="108">
        <f>1-AH1260</f>
        <v/>
      </c>
      <c r="W1260" s="108">
        <f>1-AI1260</f>
        <v/>
      </c>
      <c r="X1260" s="108">
        <f>ABS(AJ1260-AJ$1)</f>
        <v/>
      </c>
      <c r="Y1260" s="108">
        <f>AVERAGE(Z1260:AB1260)</f>
        <v/>
      </c>
      <c r="Z1260" s="108">
        <f>ABS(AL1260-AL$1)</f>
        <v/>
      </c>
      <c r="AA1260" s="108">
        <f>ABS(AM1260-AM$1)</f>
        <v/>
      </c>
      <c r="AB1260" s="108">
        <f>ABS(AN1260-AN$1)</f>
        <v/>
      </c>
      <c r="AC1260" s="108" t="n"/>
      <c r="AD1260" s="108" t="n"/>
      <c r="AE1260" s="108">
        <f>ABS(AQ$1-AQ1260)</f>
        <v/>
      </c>
      <c r="AF1260" s="108">
        <f>ABS(AR$1-AR1260)</f>
        <v/>
      </c>
      <c r="AG1260" s="108">
        <f>ABS(AS$1-AS1260)</f>
        <v/>
      </c>
      <c r="AH1260" s="108">
        <f>ABS(AT$1-AT1260)</f>
        <v/>
      </c>
      <c r="AI1260" s="108">
        <f>ABS(AU$1-AU1260)</f>
        <v/>
      </c>
      <c r="AJ1260" s="108">
        <f>(AV1260-Driver!$K$179)/(Driver!$L$179-Driver!$K$179)</f>
        <v/>
      </c>
      <c r="AK1260" s="108">
        <f>(AW1260-Driver!$K$180)/(Driver!$L$180-Driver!$K$180)</f>
        <v/>
      </c>
      <c r="AL1260" s="108">
        <f>(AX1260-Driver!$K$181)/(Driver!$L$181-Driver!$K$181)</f>
        <v/>
      </c>
      <c r="AM1260" s="108">
        <f>(AY1260-Driver!$K$182)/(Driver!$L$182-Driver!$K$182)</f>
        <v/>
      </c>
      <c r="AN1260" s="108">
        <f>(AZ1260-Driver!$K$183)/(Driver!$L$183-Driver!$K$183)</f>
        <v/>
      </c>
      <c r="AO1260" s="108" t="n"/>
      <c r="AP1260" s="108" t="n"/>
      <c r="AQ1260" s="108">
        <f>(BC1260-Driver!$K$188)/(Driver!$L$188-Driver!$K$188)</f>
        <v/>
      </c>
      <c r="AR1260" s="108">
        <f>MIN((BD1260-Driver!$K$189)/(Driver!$L$189-Driver!$K$189),100%)</f>
        <v/>
      </c>
      <c r="AS1260" s="108">
        <f>(BE1260-Driver!$K$190)/(Driver!$L$190-Driver!$K$190)</f>
        <v/>
      </c>
      <c r="AT1260" s="108">
        <f>(BF1260-Driver!$K$191)/(Driver!$L$191-Driver!$K$191)</f>
        <v/>
      </c>
      <c r="AU1260" s="108">
        <f>(BG1260-Driver!$K$192)/(Driver!$L$192-Driver!$K$192)</f>
        <v/>
      </c>
      <c r="AV1260" s="105">
        <f>IFERROR(BM1260*BJ1260^1/4,"")</f>
        <v/>
      </c>
      <c r="AW1260" s="105">
        <f>IFERROR(SUM(AX1260:AZ1260),"")</f>
        <v/>
      </c>
      <c r="AX1260" s="105">
        <f>IFERROR(BH1260,"")</f>
        <v/>
      </c>
      <c r="AY1260" s="105">
        <f>IFERROR(Driver!$K$19/Data!BH1260/Data!BI1260*Data!BK1260*Data!BL1260,"")</f>
        <v/>
      </c>
      <c r="AZ1260" s="105">
        <f>IFERROR(BI1260*BN1260,"")</f>
        <v/>
      </c>
      <c r="BA1260" s="105" t="n"/>
      <c r="BB1260" s="105" t="n"/>
      <c r="BC1260" s="105">
        <f>IFERROR(BI1260*BN1260*BK1260/BJ1260^(1/2),"")</f>
        <v/>
      </c>
      <c r="BD1260" s="105">
        <f>IFERROR(BH1260*BM1260*BL1260/BJ1260/BK1260,"")</f>
        <v/>
      </c>
      <c r="BE1260" s="105">
        <f>IFERROR(MIN(BI1260/BQ1260/BP1260/BO1260/BH1260,$BE$1),"")</f>
        <v/>
      </c>
      <c r="BF1260" s="105">
        <f>IFERROR(BJ1260*BO1260*BP1260/BK1260,"")</f>
        <v/>
      </c>
      <c r="BG1260" s="105">
        <f>IFERROR(1/BM1260/BH1260*BQ1260,"")</f>
        <v/>
      </c>
      <c r="BH1260" s="102">
        <f>MAX((CE1260-Driver!$F$200)/(Driver!$G$200-Driver!$F$200)*$BI$1,1)</f>
        <v/>
      </c>
      <c r="BI1260" s="102">
        <f>MAX($BI$1*(BY1260-Driver!$F$201)/(Driver!$G$201-Driver!$F$201),1)</f>
        <v/>
      </c>
      <c r="BJ1260" s="102">
        <f>(CB1260-Driver!$F$206)/(Driver!$G$206-Driver!$F$206)*$BI$1</f>
        <v/>
      </c>
      <c r="BK1260" s="102">
        <f>(CD1260-Driver!$F$203)/(Driver!$G$203-Driver!$F$203)*$BI$1</f>
        <v/>
      </c>
      <c r="BL1260" s="102">
        <f>MAX((CR1260-Driver!$F$202)/(Driver!$G$202-Driver!$F$202)*$BI$1,1)</f>
        <v/>
      </c>
      <c r="BM1260" s="102">
        <f>MAX((CH1260-Driver!$F$204)/(Driver!$G$204-Driver!$F$204)*$BI$1,1)</f>
        <v/>
      </c>
      <c r="BN1260" s="102">
        <f>(CI1260-Driver!$F$205)/(Driver!$G$205-Driver!$F$205)*$BI$1</f>
        <v/>
      </c>
      <c r="BO1260" s="102">
        <f>(CK1260-Driver!$F$207)/(Driver!$G$207-Driver!$F$207)*$BI$1</f>
        <v/>
      </c>
      <c r="BP1260" s="102">
        <f>(CM1260-Driver!$F$208)/(Driver!$G$208-Driver!$F$208)*$BI$1</f>
        <v/>
      </c>
      <c r="BQ1260" s="102">
        <f>(CL1260-Driver!$F$209)/(Driver!$G$209-Driver!$F$209)*$BI$1</f>
        <v/>
      </c>
      <c r="BR1260" s="40" t="inlineStr">
        <is>
          <t>21/22</t>
        </is>
      </c>
      <c r="BS1260" s="10" t="inlineStr">
        <is>
          <t xml:space="preserve"> K2</t>
        </is>
      </c>
      <c r="BT1260" s="11" t="inlineStr">
        <is>
          <t>Disruption 82 Ti</t>
        </is>
      </c>
      <c r="BU1260" s="13" t="n">
        <v>177</v>
      </c>
      <c r="BV1260" s="11" t="inlineStr">
        <is>
          <t xml:space="preserve"> Unisex</t>
        </is>
      </c>
      <c r="BW1260" s="13" t="n">
        <v>177</v>
      </c>
      <c r="BX1260" s="13" t="n">
        <v>177.6</v>
      </c>
      <c r="BY1260" s="13" t="n">
        <v>147</v>
      </c>
      <c r="BZ1260" s="13" t="n">
        <v>165</v>
      </c>
      <c r="CA1260" s="13" t="n">
        <v>124</v>
      </c>
      <c r="CB1260" s="13" t="n">
        <v>81</v>
      </c>
      <c r="CC1260" s="13" t="n">
        <v>111</v>
      </c>
      <c r="CD1260" s="13" t="n">
        <v>18.4</v>
      </c>
      <c r="CE1260" s="13" t="n">
        <v>2209</v>
      </c>
      <c r="CF1260" s="13" t="n">
        <v>0.76</v>
      </c>
      <c r="CG1260" s="13" t="n">
        <v>1678</v>
      </c>
      <c r="CH1260" s="13" t="n">
        <v>258</v>
      </c>
      <c r="CI1260" s="13" t="n">
        <v>188</v>
      </c>
      <c r="CJ1260" s="13" t="n">
        <v>34</v>
      </c>
      <c r="CK1260" s="13" t="n">
        <v>176</v>
      </c>
      <c r="CL1260" s="13" t="n">
        <v>9</v>
      </c>
      <c r="CM1260" s="13" t="n">
        <v>128</v>
      </c>
      <c r="CN1260" s="13" t="n">
        <v>0.253</v>
      </c>
      <c r="CO1260" s="13" t="n">
        <v>81</v>
      </c>
      <c r="CP1260" s="13" t="n">
        <v>44</v>
      </c>
      <c r="CQ1260" s="13" t="n">
        <v>95</v>
      </c>
      <c r="CR1260" s="13" t="n">
        <v>8</v>
      </c>
      <c r="CS1260" s="13" t="n">
        <v>11.5</v>
      </c>
      <c r="CT1260" s="11" t="inlineStr">
        <is>
          <t xml:space="preserve"> Resort Freeride</t>
        </is>
      </c>
      <c r="CU1260" s="13" t="n"/>
      <c r="CV1260" s="13" t="n"/>
      <c r="CW1260" s="13" t="n"/>
      <c r="CX1260">
        <f>INDEX('Data_Price '!AG$2:AG$1266,MATCH(Data!$DN1260,'Data_Price '!$AT$2:$AT$1266,0))</f>
        <v/>
      </c>
      <c r="CY1260">
        <f>INDEX('Data_Price '!AH$2:AH$1266,MATCH(Data!$DN1260,'Data_Price '!$AT$2:$AT$1266,0))</f>
        <v/>
      </c>
      <c r="CZ1260">
        <f>INDEX('Data_Price '!AI$2:AI$1266,MATCH(Data!$DN1260,'Data_Price '!$AT$2:$AT$1266,0))</f>
        <v/>
      </c>
      <c r="DA1260">
        <f>INDEX('Data_Price '!AJ$2:AJ$1266,MATCH(Data!$DN1260,'Data_Price '!$AT$2:$AT$1266,0))</f>
        <v/>
      </c>
      <c r="DB1260">
        <f>INDEX('Data_Price '!AK$2:AK$1266,MATCH(Data!$DN1260,'Data_Price '!$AT$2:$AT$1266,0))</f>
        <v/>
      </c>
      <c r="DC1260">
        <f>INDEX('Data_Price '!AL$2:AL$1266,MATCH(Data!$DN1260,'Data_Price '!$AT$2:$AT$1266,0))</f>
        <v/>
      </c>
      <c r="DD1260">
        <f>INDEX('Data_Price '!AM$2:AM$1266,MATCH(Data!$DN1260,'Data_Price '!$AT$2:$AT$1266,0))</f>
        <v/>
      </c>
      <c r="DE1260">
        <f>INDEX('Data_Price '!AN$2:AN$1266,MATCH(Data!$DN1260,'Data_Price '!$AT$2:$AT$1266,0))</f>
        <v/>
      </c>
      <c r="DF1260">
        <f>INDEX('Data_Price '!AO$2:AO$1266,MATCH(Data!$DN1260,'Data_Price '!$AT$2:$AT$1266,0))</f>
        <v/>
      </c>
      <c r="DG1260">
        <f>INDEX('Data_Price '!AP$2:AP$1266,MATCH(Data!$DN1260,'Data_Price '!$AT$2:$AT$1266,0))</f>
        <v/>
      </c>
      <c r="DH1260">
        <f>INDEX('Data_Price '!AQ$2:AQ$1266,MATCH(Data!$DN1260,'Data_Price '!$AT$2:$AT$1266,0))</f>
        <v/>
      </c>
      <c r="DI1260">
        <f>INDEX('Data_Price '!AR$2:AR$1266,MATCH(Data!$DN1260,'Data_Price '!$AT$2:$AT$1266,0))</f>
        <v/>
      </c>
      <c r="DJ1260" s="138">
        <f>DA1260</f>
        <v/>
      </c>
      <c r="DK1260" s="138">
        <f>DE1260</f>
        <v/>
      </c>
      <c r="DL1260" s="138">
        <f>DI1260</f>
        <v/>
      </c>
      <c r="DM1260" s="303">
        <f>IF(LEFT(BT1260,1)=" ",RIGHT(BT1260,LEN(BT1260)-1),BT1260)</f>
        <v/>
      </c>
      <c r="DN1260" s="138">
        <f>_xlfn.CONCAT(BS1260,DM1260,BU1260,BV1260)</f>
        <v/>
      </c>
      <c r="DO1260" s="307" t="n"/>
    </row>
    <row r="1261" ht="15.6" customHeight="1" s="184">
      <c r="B1261" s="303">
        <f t="array" ref="B1261">IF(OR(ISERROR(K1261:P1261)),FALSE,TRUE)</f>
        <v/>
      </c>
      <c r="C1261" s="60">
        <f>OR(BR1261=Driver!$G$50,Data!BR711=Driver!$H$50)</f>
        <v/>
      </c>
      <c r="D1261" s="60">
        <f>OR(BV1261=Driver!$G$51,BV1261=Driver!$H$51)</f>
        <v/>
      </c>
      <c r="E1261" s="60">
        <f>AND(BX1261&gt;Driver!$F$54,BX1261&lt;Driver!$G$54)</f>
        <v/>
      </c>
      <c r="F1261" s="60">
        <f>CL1261&gt;Driver!$F$56</f>
        <v/>
      </c>
      <c r="G1261" s="60">
        <f>AND(CB1261&gt;Driver!$F$55,CB1261&lt;Driver!$G$55)</f>
        <v/>
      </c>
      <c r="H1261" s="60">
        <f>AND(B1261:G1261)</f>
        <v/>
      </c>
      <c r="I1261" s="60">
        <f>COUNTIFS($H$9:$H$1273,TRUE,$BT$9:$BT$1273,BT1261)</f>
        <v/>
      </c>
      <c r="J1261" s="60">
        <f t="array" ref="J1261">NOT(OR(($H$9:$H$1273=TRUE)*($I$9:$I$1273&gt;0)*($BT$9:$BT$1273=BT1261)*($K$9:$K$1273&gt;K1261)))</f>
        <v/>
      </c>
      <c r="K1261" s="108">
        <f>IFERROR(1-AVERAGE(X1261:Y1261),"")</f>
        <v/>
      </c>
      <c r="L1261" s="108">
        <f>1-X1261</f>
        <v/>
      </c>
      <c r="M1261" s="108">
        <f>1-Y1261</f>
        <v/>
      </c>
      <c r="N1261" s="108">
        <f>1-Z1261</f>
        <v/>
      </c>
      <c r="O1261" s="108">
        <f>1-AA1261</f>
        <v/>
      </c>
      <c r="P1261" s="108">
        <f>1-AB1261</f>
        <v/>
      </c>
      <c r="Q1261" s="108" t="n"/>
      <c r="R1261" s="108" t="n"/>
      <c r="S1261" s="108">
        <f>1-AE1261</f>
        <v/>
      </c>
      <c r="T1261" s="108">
        <f>1-AF1261</f>
        <v/>
      </c>
      <c r="U1261" s="108">
        <f>1-AG1261</f>
        <v/>
      </c>
      <c r="V1261" s="108">
        <f>1-AH1261</f>
        <v/>
      </c>
      <c r="W1261" s="108">
        <f>1-AI1261</f>
        <v/>
      </c>
      <c r="X1261" s="108">
        <f>ABS(AJ1261-AJ$1)</f>
        <v/>
      </c>
      <c r="Y1261" s="108">
        <f>AVERAGE(Z1261:AB1261)</f>
        <v/>
      </c>
      <c r="Z1261" s="108">
        <f>ABS(AL1261-AL$1)</f>
        <v/>
      </c>
      <c r="AA1261" s="108">
        <f>ABS(AM1261-AM$1)</f>
        <v/>
      </c>
      <c r="AB1261" s="108">
        <f>ABS(AN1261-AN$1)</f>
        <v/>
      </c>
      <c r="AC1261" s="108" t="n"/>
      <c r="AD1261" s="108" t="n"/>
      <c r="AE1261" s="108">
        <f>ABS(AQ$1-AQ1261)</f>
        <v/>
      </c>
      <c r="AF1261" s="108">
        <f>ABS(AR$1-AR1261)</f>
        <v/>
      </c>
      <c r="AG1261" s="108">
        <f>ABS(AS$1-AS1261)</f>
        <v/>
      </c>
      <c r="AH1261" s="108">
        <f>ABS(AT$1-AT1261)</f>
        <v/>
      </c>
      <c r="AI1261" s="108">
        <f>ABS(AU$1-AU1261)</f>
        <v/>
      </c>
      <c r="AJ1261" s="108">
        <f>(AV1261-Driver!$K$179)/(Driver!$L$179-Driver!$K$179)</f>
        <v/>
      </c>
      <c r="AK1261" s="108">
        <f>(AW1261-Driver!$K$180)/(Driver!$L$180-Driver!$K$180)</f>
        <v/>
      </c>
      <c r="AL1261" s="108">
        <f>(AX1261-Driver!$K$181)/(Driver!$L$181-Driver!$K$181)</f>
        <v/>
      </c>
      <c r="AM1261" s="108">
        <f>(AY1261-Driver!$K$182)/(Driver!$L$182-Driver!$K$182)</f>
        <v/>
      </c>
      <c r="AN1261" s="108">
        <f>(AZ1261-Driver!$K$183)/(Driver!$L$183-Driver!$K$183)</f>
        <v/>
      </c>
      <c r="AO1261" s="108" t="n"/>
      <c r="AP1261" s="108" t="n"/>
      <c r="AQ1261" s="108">
        <f>(BC1261-Driver!$K$188)/(Driver!$L$188-Driver!$K$188)</f>
        <v/>
      </c>
      <c r="AR1261" s="108">
        <f>MIN((BD1261-Driver!$K$189)/(Driver!$L$189-Driver!$K$189),100%)</f>
        <v/>
      </c>
      <c r="AS1261" s="108">
        <f>(BE1261-Driver!$K$190)/(Driver!$L$190-Driver!$K$190)</f>
        <v/>
      </c>
      <c r="AT1261" s="108">
        <f>(BF1261-Driver!$K$191)/(Driver!$L$191-Driver!$K$191)</f>
        <v/>
      </c>
      <c r="AU1261" s="108">
        <f>(BG1261-Driver!$K$192)/(Driver!$L$192-Driver!$K$192)</f>
        <v/>
      </c>
      <c r="AV1261" s="105">
        <f>IFERROR(BM1261*BJ1261^1/4,"")</f>
        <v/>
      </c>
      <c r="AW1261" s="105">
        <f>IFERROR(SUM(AX1261:AZ1261),"")</f>
        <v/>
      </c>
      <c r="AX1261" s="105">
        <f>IFERROR(BH1261,"")</f>
        <v/>
      </c>
      <c r="AY1261" s="105">
        <f>IFERROR(Driver!$K$19/Data!BH1261/Data!BI1261*Data!BK1261*Data!BL1261,"")</f>
        <v/>
      </c>
      <c r="AZ1261" s="105">
        <f>IFERROR(BI1261*BN1261,"")</f>
        <v/>
      </c>
      <c r="BA1261" s="105" t="n"/>
      <c r="BB1261" s="105" t="n"/>
      <c r="BC1261" s="105">
        <f>IFERROR(BI1261*BN1261*BK1261/BJ1261^(1/2),"")</f>
        <v/>
      </c>
      <c r="BD1261" s="105">
        <f>IFERROR(BH1261*BM1261*BL1261/BJ1261/BK1261,"")</f>
        <v/>
      </c>
      <c r="BE1261" s="105">
        <f>IFERROR(MIN(BI1261/BQ1261/BP1261/BO1261/BH1261,$BE$1),"")</f>
        <v/>
      </c>
      <c r="BF1261" s="105">
        <f>IFERROR(BJ1261*BO1261*BP1261/BK1261,"")</f>
        <v/>
      </c>
      <c r="BG1261" s="105">
        <f>IFERROR(1/BM1261/BH1261*BQ1261,"")</f>
        <v/>
      </c>
      <c r="BH1261" s="102">
        <f>MAX((CE1261-Driver!$F$200)/(Driver!$G$200-Driver!$F$200)*$BI$1,1)</f>
        <v/>
      </c>
      <c r="BI1261" s="102">
        <f>MAX($BI$1*(BY1261-Driver!$F$201)/(Driver!$G$201-Driver!$F$201),1)</f>
        <v/>
      </c>
      <c r="BJ1261" s="102">
        <f>(CB1261-Driver!$F$206)/(Driver!$G$206-Driver!$F$206)*$BI$1</f>
        <v/>
      </c>
      <c r="BK1261" s="102">
        <f>(CD1261-Driver!$F$203)/(Driver!$G$203-Driver!$F$203)*$BI$1</f>
        <v/>
      </c>
      <c r="BL1261" s="102">
        <f>MAX((CR1261-Driver!$F$202)/(Driver!$G$202-Driver!$F$202)*$BI$1,1)</f>
        <v/>
      </c>
      <c r="BM1261" s="102">
        <f>MAX((CH1261-Driver!$F$204)/(Driver!$G$204-Driver!$F$204)*$BI$1,1)</f>
        <v/>
      </c>
      <c r="BN1261" s="102">
        <f>(CI1261-Driver!$F$205)/(Driver!$G$205-Driver!$F$205)*$BI$1</f>
        <v/>
      </c>
      <c r="BO1261" s="102">
        <f>(CK1261-Driver!$F$207)/(Driver!$G$207-Driver!$F$207)*$BI$1</f>
        <v/>
      </c>
      <c r="BP1261" s="102">
        <f>(CM1261-Driver!$F$208)/(Driver!$G$208-Driver!$F$208)*$BI$1</f>
        <v/>
      </c>
      <c r="BQ1261" s="102">
        <f>(CL1261-Driver!$F$209)/(Driver!$G$209-Driver!$F$209)*$BI$1</f>
        <v/>
      </c>
      <c r="BR1261" s="40" t="inlineStr">
        <is>
          <t>21/22</t>
        </is>
      </c>
      <c r="BS1261" s="10" t="inlineStr">
        <is>
          <t xml:space="preserve"> K2</t>
        </is>
      </c>
      <c r="BT1261" s="11" t="inlineStr">
        <is>
          <t xml:space="preserve"> Disruption Mti</t>
        </is>
      </c>
      <c r="BU1261" s="13" t="n">
        <v>175</v>
      </c>
      <c r="BV1261" s="11" t="inlineStr">
        <is>
          <t xml:space="preserve"> Unisex</t>
        </is>
      </c>
      <c r="BW1261" s="13" t="n">
        <v>175</v>
      </c>
      <c r="BX1261" s="13" t="n">
        <v>175.6</v>
      </c>
      <c r="BY1261" s="13" t="n">
        <v>160</v>
      </c>
      <c r="BZ1261" s="13" t="n">
        <v>165</v>
      </c>
      <c r="CA1261" s="13" t="n">
        <v>118</v>
      </c>
      <c r="CB1261" s="13" t="n">
        <v>73</v>
      </c>
      <c r="CC1261" s="13" t="n">
        <v>103</v>
      </c>
      <c r="CD1261" s="13" t="n">
        <v>18</v>
      </c>
      <c r="CE1261" s="13" t="n">
        <v>2280</v>
      </c>
      <c r="CF1261" s="13" t="n">
        <v>0.67</v>
      </c>
      <c r="CG1261" s="13" t="n">
        <v>1528</v>
      </c>
      <c r="CH1261" s="13" t="n">
        <v>230</v>
      </c>
      <c r="CI1261" s="13" t="n">
        <v>153</v>
      </c>
      <c r="CJ1261" s="13" t="n">
        <v>24</v>
      </c>
      <c r="CK1261" s="13" t="n">
        <v>110</v>
      </c>
      <c r="CL1261" s="13" t="n">
        <v>3</v>
      </c>
      <c r="CM1261" s="13" t="n">
        <v>43</v>
      </c>
      <c r="CN1261" s="13" t="n">
        <v>0.125</v>
      </c>
      <c r="CO1261" s="13" t="n">
        <v>73</v>
      </c>
      <c r="CP1261" s="13" t="n">
        <v>30</v>
      </c>
      <c r="CQ1261" s="13" t="n">
        <v>37</v>
      </c>
      <c r="CR1261" s="13" t="n">
        <v>12</v>
      </c>
      <c r="CS1261" s="13" t="n">
        <v>12.7</v>
      </c>
      <c r="CT1261" s="11" t="inlineStr">
        <is>
          <t xml:space="preserve"> On-Piste Carving</t>
        </is>
      </c>
      <c r="CU1261" s="13" t="n"/>
      <c r="CV1261" s="13" t="n"/>
      <c r="CW1261" s="13" t="n"/>
      <c r="CX1261">
        <f>INDEX('Data_Price '!AG$2:AG$1266,MATCH(Data!$DN1261,'Data_Price '!$AT$2:$AT$1266,0))</f>
        <v/>
      </c>
      <c r="CY1261">
        <f>INDEX('Data_Price '!AH$2:AH$1266,MATCH(Data!$DN1261,'Data_Price '!$AT$2:$AT$1266,0))</f>
        <v/>
      </c>
      <c r="CZ1261">
        <f>INDEX('Data_Price '!AI$2:AI$1266,MATCH(Data!$DN1261,'Data_Price '!$AT$2:$AT$1266,0))</f>
        <v/>
      </c>
      <c r="DA1261">
        <f>INDEX('Data_Price '!AJ$2:AJ$1266,MATCH(Data!$DN1261,'Data_Price '!$AT$2:$AT$1266,0))</f>
        <v/>
      </c>
      <c r="DB1261">
        <f>INDEX('Data_Price '!AK$2:AK$1266,MATCH(Data!$DN1261,'Data_Price '!$AT$2:$AT$1266,0))</f>
        <v/>
      </c>
      <c r="DC1261">
        <f>INDEX('Data_Price '!AL$2:AL$1266,MATCH(Data!$DN1261,'Data_Price '!$AT$2:$AT$1266,0))</f>
        <v/>
      </c>
      <c r="DD1261">
        <f>INDEX('Data_Price '!AM$2:AM$1266,MATCH(Data!$DN1261,'Data_Price '!$AT$2:$AT$1266,0))</f>
        <v/>
      </c>
      <c r="DE1261">
        <f>INDEX('Data_Price '!AN$2:AN$1266,MATCH(Data!$DN1261,'Data_Price '!$AT$2:$AT$1266,0))</f>
        <v/>
      </c>
      <c r="DF1261">
        <f>INDEX('Data_Price '!AO$2:AO$1266,MATCH(Data!$DN1261,'Data_Price '!$AT$2:$AT$1266,0))</f>
        <v/>
      </c>
      <c r="DG1261">
        <f>INDEX('Data_Price '!AP$2:AP$1266,MATCH(Data!$DN1261,'Data_Price '!$AT$2:$AT$1266,0))</f>
        <v/>
      </c>
      <c r="DH1261">
        <f>INDEX('Data_Price '!AQ$2:AQ$1266,MATCH(Data!$DN1261,'Data_Price '!$AT$2:$AT$1266,0))</f>
        <v/>
      </c>
      <c r="DI1261">
        <f>INDEX('Data_Price '!AR$2:AR$1266,MATCH(Data!$DN1261,'Data_Price '!$AT$2:$AT$1266,0))</f>
        <v/>
      </c>
      <c r="DJ1261" s="138">
        <f>DA1261</f>
        <v/>
      </c>
      <c r="DK1261" s="138">
        <f>DE1261</f>
        <v/>
      </c>
      <c r="DL1261" s="138">
        <f>DI1261</f>
        <v/>
      </c>
      <c r="DM1261" s="303">
        <f>IF(LEFT(BT1261,1)=" ",RIGHT(BT1261,LEN(BT1261)-1),BT1261)</f>
        <v/>
      </c>
      <c r="DN1261" s="138">
        <f>_xlfn.CONCAT(BS1261,DM1261,BU1261,BV1261)</f>
        <v/>
      </c>
      <c r="DO1261" s="307" t="inlineStr">
        <is>
          <t>https://images.evo.com/imgp/250/182215/728626/k2-disruption-mti-alliance-skis-erc-11-tcx-light-quikclik-bindings-women-s-2022-.jpg</t>
        </is>
      </c>
    </row>
    <row r="1262" ht="15.6" customHeight="1" s="184">
      <c r="B1262" s="303">
        <f t="array" ref="B1262">IF(OR(ISERROR(K1262:P1262)),FALSE,TRUE)</f>
        <v/>
      </c>
      <c r="C1262" s="60">
        <f>OR(BR1262=Driver!$G$50,Data!BR962=Driver!$H$50)</f>
        <v/>
      </c>
      <c r="D1262" s="60">
        <f>OR(BV1262=Driver!$G$51,BV1262=Driver!$H$51)</f>
        <v/>
      </c>
      <c r="E1262" s="60">
        <f>AND(BX1262&gt;Driver!$F$54,BX1262&lt;Driver!$G$54)</f>
        <v/>
      </c>
      <c r="F1262" s="60">
        <f>CL1262&gt;Driver!$F$56</f>
        <v/>
      </c>
      <c r="G1262" s="60">
        <f>AND(CB1262&gt;Driver!$F$55,CB1262&lt;Driver!$G$55)</f>
        <v/>
      </c>
      <c r="H1262" s="60">
        <f>AND(B1262:G1262)</f>
        <v/>
      </c>
      <c r="I1262" s="60">
        <f>COUNTIFS($H$9:$H$1273,TRUE,$BT$9:$BT$1273,BT1262)</f>
        <v/>
      </c>
      <c r="J1262" s="60">
        <f t="array" ref="J1262">NOT(OR(($H$9:$H$1273=TRUE)*($I$9:$I$1273&gt;0)*($BT$9:$BT$1273=BT1262)*($K$9:$K$1273&gt;K1262)))</f>
        <v/>
      </c>
      <c r="K1262" s="108">
        <f>IFERROR(1-AVERAGE(X1262:Y1262),"")</f>
        <v/>
      </c>
      <c r="L1262" s="108">
        <f>1-X1262</f>
        <v/>
      </c>
      <c r="M1262" s="108">
        <f>1-Y1262</f>
        <v/>
      </c>
      <c r="N1262" s="108">
        <f>1-Z1262</f>
        <v/>
      </c>
      <c r="O1262" s="108">
        <f>1-AA1262</f>
        <v/>
      </c>
      <c r="P1262" s="108">
        <f>1-AB1262</f>
        <v/>
      </c>
      <c r="Q1262" s="108" t="n"/>
      <c r="R1262" s="108" t="n"/>
      <c r="S1262" s="108">
        <f>1-AE1262</f>
        <v/>
      </c>
      <c r="T1262" s="108">
        <f>1-AF1262</f>
        <v/>
      </c>
      <c r="U1262" s="108">
        <f>1-AG1262</f>
        <v/>
      </c>
      <c r="V1262" s="108">
        <f>1-AH1262</f>
        <v/>
      </c>
      <c r="W1262" s="108">
        <f>1-AI1262</f>
        <v/>
      </c>
      <c r="X1262" s="108">
        <f>ABS(AJ1262-AJ$1)</f>
        <v/>
      </c>
      <c r="Y1262" s="108">
        <f>AVERAGE(Z1262:AB1262)</f>
        <v/>
      </c>
      <c r="Z1262" s="108">
        <f>ABS(AL1262-AL$1)</f>
        <v/>
      </c>
      <c r="AA1262" s="108">
        <f>ABS(AM1262-AM$1)</f>
        <v/>
      </c>
      <c r="AB1262" s="108">
        <f>ABS(AN1262-AN$1)</f>
        <v/>
      </c>
      <c r="AC1262" s="108" t="n"/>
      <c r="AD1262" s="108" t="n"/>
      <c r="AE1262" s="108">
        <f>ABS(AQ$1-AQ1262)</f>
        <v/>
      </c>
      <c r="AF1262" s="108">
        <f>ABS(AR$1-AR1262)</f>
        <v/>
      </c>
      <c r="AG1262" s="108">
        <f>ABS(AS$1-AS1262)</f>
        <v/>
      </c>
      <c r="AH1262" s="108">
        <f>ABS(AT$1-AT1262)</f>
        <v/>
      </c>
      <c r="AI1262" s="108">
        <f>ABS(AU$1-AU1262)</f>
        <v/>
      </c>
      <c r="AJ1262" s="108">
        <f>(AV1262-Driver!$K$179)/(Driver!$L$179-Driver!$K$179)</f>
        <v/>
      </c>
      <c r="AK1262" s="108">
        <f>(AW1262-Driver!$K$180)/(Driver!$L$180-Driver!$K$180)</f>
        <v/>
      </c>
      <c r="AL1262" s="108">
        <f>(AX1262-Driver!$K$181)/(Driver!$L$181-Driver!$K$181)</f>
        <v/>
      </c>
      <c r="AM1262" s="108">
        <f>(AY1262-Driver!$K$182)/(Driver!$L$182-Driver!$K$182)</f>
        <v/>
      </c>
      <c r="AN1262" s="108">
        <f>(AZ1262-Driver!$K$183)/(Driver!$L$183-Driver!$K$183)</f>
        <v/>
      </c>
      <c r="AO1262" s="108" t="n"/>
      <c r="AP1262" s="108" t="n"/>
      <c r="AQ1262" s="108">
        <f>(BC1262-Driver!$K$188)/(Driver!$L$188-Driver!$K$188)</f>
        <v/>
      </c>
      <c r="AR1262" s="108">
        <f>MIN((BD1262-Driver!$K$189)/(Driver!$L$189-Driver!$K$189),100%)</f>
        <v/>
      </c>
      <c r="AS1262" s="108">
        <f>(BE1262-Driver!$K$190)/(Driver!$L$190-Driver!$K$190)</f>
        <v/>
      </c>
      <c r="AT1262" s="108">
        <f>(BF1262-Driver!$K$191)/(Driver!$L$191-Driver!$K$191)</f>
        <v/>
      </c>
      <c r="AU1262" s="108">
        <f>(BG1262-Driver!$K$192)/(Driver!$L$192-Driver!$K$192)</f>
        <v/>
      </c>
      <c r="AV1262" s="105">
        <f>IFERROR(BM1262*BJ1262^1/4,"")</f>
        <v/>
      </c>
      <c r="AW1262" s="105">
        <f>IFERROR(SUM(AX1262:AZ1262),"")</f>
        <v/>
      </c>
      <c r="AX1262" s="105">
        <f>IFERROR(BH1262,"")</f>
        <v/>
      </c>
      <c r="AY1262" s="105">
        <f>IFERROR(Driver!$K$19/Data!BH1262/Data!BI1262*Data!BK1262*Data!BL1262,"")</f>
        <v/>
      </c>
      <c r="AZ1262" s="105">
        <f>IFERROR(BI1262*BN1262,"")</f>
        <v/>
      </c>
      <c r="BA1262" s="105" t="n"/>
      <c r="BB1262" s="105" t="n"/>
      <c r="BC1262" s="105">
        <f>IFERROR(BI1262*BN1262*BK1262/BJ1262^(1/2),"")</f>
        <v/>
      </c>
      <c r="BD1262" s="105">
        <f>IFERROR(BH1262*BM1262*BL1262/BJ1262/BK1262,"")</f>
        <v/>
      </c>
      <c r="BE1262" s="105">
        <f>IFERROR(MIN(BI1262/BQ1262/BP1262/BO1262/BH1262,$BE$1),"")</f>
        <v/>
      </c>
      <c r="BF1262" s="105">
        <f>IFERROR(BJ1262*BO1262*BP1262/BK1262,"")</f>
        <v/>
      </c>
      <c r="BG1262" s="105">
        <f>IFERROR(1/BM1262/BH1262*BQ1262,"")</f>
        <v/>
      </c>
      <c r="BH1262" s="102">
        <f>MAX((CE1262-Driver!$F$200)/(Driver!$G$200-Driver!$F$200)*$BI$1,1)</f>
        <v/>
      </c>
      <c r="BI1262" s="102">
        <f>MAX($BI$1*(BY1262-Driver!$F$201)/(Driver!$G$201-Driver!$F$201),1)</f>
        <v/>
      </c>
      <c r="BJ1262" s="102">
        <f>(CB1262-Driver!$F$206)/(Driver!$G$206-Driver!$F$206)*$BI$1</f>
        <v/>
      </c>
      <c r="BK1262" s="102">
        <f>(CD1262-Driver!$F$203)/(Driver!$G$203-Driver!$F$203)*$BI$1</f>
        <v/>
      </c>
      <c r="BL1262" s="102">
        <f>MAX((CR1262-Driver!$F$202)/(Driver!$G$202-Driver!$F$202)*$BI$1,1)</f>
        <v/>
      </c>
      <c r="BM1262" s="102">
        <f>MAX((CH1262-Driver!$F$204)/(Driver!$G$204-Driver!$F$204)*$BI$1,1)</f>
        <v/>
      </c>
      <c r="BN1262" s="102">
        <f>(CI1262-Driver!$F$205)/(Driver!$G$205-Driver!$F$205)*$BI$1</f>
        <v/>
      </c>
      <c r="BO1262" s="102">
        <f>(CK1262-Driver!$F$207)/(Driver!$G$207-Driver!$F$207)*$BI$1</f>
        <v/>
      </c>
      <c r="BP1262" s="102">
        <f>(CM1262-Driver!$F$208)/(Driver!$G$208-Driver!$F$208)*$BI$1</f>
        <v/>
      </c>
      <c r="BQ1262" s="102">
        <f>(CL1262-Driver!$F$209)/(Driver!$G$209-Driver!$F$209)*$BI$1</f>
        <v/>
      </c>
      <c r="BR1262" s="40" t="inlineStr">
        <is>
          <t>21/22</t>
        </is>
      </c>
      <c r="BS1262" s="10" t="inlineStr">
        <is>
          <t xml:space="preserve"> Raccoon</t>
        </is>
      </c>
      <c r="BT1262" s="11" t="inlineStr">
        <is>
          <t xml:space="preserve"> Le Nomade Ti</t>
        </is>
      </c>
      <c r="BU1262" s="13" t="n">
        <v>178</v>
      </c>
      <c r="BV1262" s="11" t="inlineStr">
        <is>
          <t xml:space="preserve"> Unisex</t>
        </is>
      </c>
      <c r="BW1262" s="13" t="n">
        <v>178</v>
      </c>
      <c r="BX1262" s="13" t="n">
        <v>177.3</v>
      </c>
      <c r="BY1262" s="13" t="n">
        <v>147</v>
      </c>
      <c r="BZ1262" s="13" t="n">
        <v>165</v>
      </c>
      <c r="CA1262" s="13" t="n">
        <v>136</v>
      </c>
      <c r="CB1262" s="13" t="n">
        <v>89</v>
      </c>
      <c r="CC1262" s="13" t="n">
        <v>124</v>
      </c>
      <c r="CD1262" s="13" t="n">
        <v>16</v>
      </c>
      <c r="CE1262" s="13" t="n">
        <v>2110</v>
      </c>
      <c r="CF1262" s="13" t="n">
        <v>0.87</v>
      </c>
      <c r="CG1262" s="13" t="n">
        <v>1838</v>
      </c>
      <c r="CH1262" s="13" t="n">
        <v>273</v>
      </c>
      <c r="CI1262" s="13" t="n">
        <v>201</v>
      </c>
      <c r="CJ1262" s="13" t="n">
        <v>51</v>
      </c>
      <c r="CK1262" s="13" t="n">
        <v>221</v>
      </c>
      <c r="CL1262" s="13" t="n">
        <v>9</v>
      </c>
      <c r="CM1262" s="13" t="n">
        <v>82</v>
      </c>
      <c r="CN1262" s="13" t="n">
        <v>0.183</v>
      </c>
      <c r="CO1262" s="13" t="n">
        <v>62</v>
      </c>
      <c r="CP1262" s="13" t="n">
        <v>58</v>
      </c>
      <c r="CQ1262" s="13" t="n">
        <v>159</v>
      </c>
      <c r="CR1262" s="13" t="n">
        <v>8</v>
      </c>
      <c r="CS1262" s="13" t="n">
        <v>13.2</v>
      </c>
      <c r="CT1262" s="11" t="inlineStr">
        <is>
          <t xml:space="preserve"> Resort Freeride</t>
        </is>
      </c>
      <c r="CU1262" s="13" t="n"/>
      <c r="CV1262" s="13" t="n"/>
      <c r="CW1262" s="13" t="n"/>
      <c r="CX1262">
        <f>INDEX('Data_Price '!AG$2:AG$1266,MATCH(Data!$DN1262,'Data_Price '!$AT$2:$AT$1266,0))</f>
        <v/>
      </c>
      <c r="CY1262">
        <f>INDEX('Data_Price '!AH$2:AH$1266,MATCH(Data!$DN1262,'Data_Price '!$AT$2:$AT$1266,0))</f>
        <v/>
      </c>
      <c r="CZ1262">
        <f>INDEX('Data_Price '!AI$2:AI$1266,MATCH(Data!$DN1262,'Data_Price '!$AT$2:$AT$1266,0))</f>
        <v/>
      </c>
      <c r="DA1262">
        <f>INDEX('Data_Price '!AJ$2:AJ$1266,MATCH(Data!$DN1262,'Data_Price '!$AT$2:$AT$1266,0))</f>
        <v/>
      </c>
      <c r="DB1262">
        <f>INDEX('Data_Price '!AK$2:AK$1266,MATCH(Data!$DN1262,'Data_Price '!$AT$2:$AT$1266,0))</f>
        <v/>
      </c>
      <c r="DC1262">
        <f>INDEX('Data_Price '!AL$2:AL$1266,MATCH(Data!$DN1262,'Data_Price '!$AT$2:$AT$1266,0))</f>
        <v/>
      </c>
      <c r="DD1262">
        <f>INDEX('Data_Price '!AM$2:AM$1266,MATCH(Data!$DN1262,'Data_Price '!$AT$2:$AT$1266,0))</f>
        <v/>
      </c>
      <c r="DE1262">
        <f>INDEX('Data_Price '!AN$2:AN$1266,MATCH(Data!$DN1262,'Data_Price '!$AT$2:$AT$1266,0))</f>
        <v/>
      </c>
      <c r="DF1262">
        <f>INDEX('Data_Price '!AO$2:AO$1266,MATCH(Data!$DN1262,'Data_Price '!$AT$2:$AT$1266,0))</f>
        <v/>
      </c>
      <c r="DG1262">
        <f>INDEX('Data_Price '!AP$2:AP$1266,MATCH(Data!$DN1262,'Data_Price '!$AT$2:$AT$1266,0))</f>
        <v/>
      </c>
      <c r="DH1262">
        <f>INDEX('Data_Price '!AQ$2:AQ$1266,MATCH(Data!$DN1262,'Data_Price '!$AT$2:$AT$1266,0))</f>
        <v/>
      </c>
      <c r="DI1262">
        <f>INDEX('Data_Price '!AR$2:AR$1266,MATCH(Data!$DN1262,'Data_Price '!$AT$2:$AT$1266,0))</f>
        <v/>
      </c>
      <c r="DJ1262" s="138">
        <f>DA1262</f>
        <v/>
      </c>
      <c r="DK1262" s="138">
        <f>DE1262</f>
        <v/>
      </c>
      <c r="DL1262" s="138">
        <f>DI1262</f>
        <v/>
      </c>
      <c r="DM1262" s="303">
        <f>IF(LEFT(BT1262,1)=" ",RIGHT(BT1262,LEN(BT1262)-1),BT1262)</f>
        <v/>
      </c>
      <c r="DN1262" s="138">
        <f>_xlfn.CONCAT(BS1262,DM1262,BU1262,BV1262)</f>
        <v/>
      </c>
      <c r="DO1262" s="307" t="n"/>
    </row>
    <row r="1263" ht="15.6" customHeight="1" s="184">
      <c r="B1263" s="303">
        <f t="array" ref="B1263">IF(OR(ISERROR(K1263:P1263)),FALSE,TRUE)</f>
        <v/>
      </c>
      <c r="C1263" s="60">
        <f>OR(BR1263=Driver!$G$50,Data!BR899=Driver!$H$50)</f>
        <v/>
      </c>
      <c r="D1263" s="60">
        <f>OR(BV1263=Driver!$G$51,BV1263=Driver!$H$51)</f>
        <v/>
      </c>
      <c r="E1263" s="60">
        <f>AND(BX1263&gt;Driver!$F$54,BX1263&lt;Driver!$G$54)</f>
        <v/>
      </c>
      <c r="F1263" s="60">
        <f>CL1263&gt;Driver!$F$56</f>
        <v/>
      </c>
      <c r="G1263" s="60">
        <f>AND(CB1263&gt;Driver!$F$55,CB1263&lt;Driver!$G$55)</f>
        <v/>
      </c>
      <c r="H1263" s="60">
        <f>AND(B1263:G1263)</f>
        <v/>
      </c>
      <c r="I1263" s="60">
        <f>COUNTIFS($H$9:$H$1273,TRUE,$BT$9:$BT$1273,BT1263)</f>
        <v/>
      </c>
      <c r="J1263" s="60">
        <f t="array" ref="J1263">NOT(OR(($H$9:$H$1273=TRUE)*($I$9:$I$1273&gt;0)*($BT$9:$BT$1273=BT1263)*($K$9:$K$1273&gt;K1263)))</f>
        <v/>
      </c>
      <c r="K1263" s="108">
        <f>IFERROR(1-AVERAGE(X1263:Y1263),"")</f>
        <v/>
      </c>
      <c r="L1263" s="108">
        <f>1-X1263</f>
        <v/>
      </c>
      <c r="M1263" s="108">
        <f>1-Y1263</f>
        <v/>
      </c>
      <c r="N1263" s="108">
        <f>1-Z1263</f>
        <v/>
      </c>
      <c r="O1263" s="108">
        <f>1-AA1263</f>
        <v/>
      </c>
      <c r="P1263" s="108">
        <f>1-AB1263</f>
        <v/>
      </c>
      <c r="Q1263" s="108" t="n"/>
      <c r="R1263" s="108" t="n"/>
      <c r="S1263" s="108">
        <f>1-AE1263</f>
        <v/>
      </c>
      <c r="T1263" s="108">
        <f>1-AF1263</f>
        <v/>
      </c>
      <c r="U1263" s="108">
        <f>1-AG1263</f>
        <v/>
      </c>
      <c r="V1263" s="108">
        <f>1-AH1263</f>
        <v/>
      </c>
      <c r="W1263" s="108">
        <f>1-AI1263</f>
        <v/>
      </c>
      <c r="X1263" s="108">
        <f>ABS(AJ1263-AJ$1)</f>
        <v/>
      </c>
      <c r="Y1263" s="108">
        <f>AVERAGE(Z1263:AB1263)</f>
        <v/>
      </c>
      <c r="Z1263" s="108">
        <f>ABS(AL1263-AL$1)</f>
        <v/>
      </c>
      <c r="AA1263" s="108">
        <f>ABS(AM1263-AM$1)</f>
        <v/>
      </c>
      <c r="AB1263" s="108">
        <f>ABS(AN1263-AN$1)</f>
        <v/>
      </c>
      <c r="AC1263" s="108" t="n"/>
      <c r="AD1263" s="108" t="n"/>
      <c r="AE1263" s="108">
        <f>ABS(AQ$1-AQ1263)</f>
        <v/>
      </c>
      <c r="AF1263" s="108">
        <f>ABS(AR$1-AR1263)</f>
        <v/>
      </c>
      <c r="AG1263" s="108">
        <f>ABS(AS$1-AS1263)</f>
        <v/>
      </c>
      <c r="AH1263" s="108">
        <f>ABS(AT$1-AT1263)</f>
        <v/>
      </c>
      <c r="AI1263" s="108">
        <f>ABS(AU$1-AU1263)</f>
        <v/>
      </c>
      <c r="AJ1263" s="108">
        <f>(AV1263-Driver!$K$179)/(Driver!$L$179-Driver!$K$179)</f>
        <v/>
      </c>
      <c r="AK1263" s="108">
        <f>(AW1263-Driver!$K$180)/(Driver!$L$180-Driver!$K$180)</f>
        <v/>
      </c>
      <c r="AL1263" s="108">
        <f>(AX1263-Driver!$K$181)/(Driver!$L$181-Driver!$K$181)</f>
        <v/>
      </c>
      <c r="AM1263" s="108">
        <f>(AY1263-Driver!$K$182)/(Driver!$L$182-Driver!$K$182)</f>
        <v/>
      </c>
      <c r="AN1263" s="108">
        <f>(AZ1263-Driver!$K$183)/(Driver!$L$183-Driver!$K$183)</f>
        <v/>
      </c>
      <c r="AO1263" s="108" t="n"/>
      <c r="AP1263" s="108" t="n"/>
      <c r="AQ1263" s="108">
        <f>(BC1263-Driver!$K$188)/(Driver!$L$188-Driver!$K$188)</f>
        <v/>
      </c>
      <c r="AR1263" s="108">
        <f>MIN((BD1263-Driver!$K$189)/(Driver!$L$189-Driver!$K$189),100%)</f>
        <v/>
      </c>
      <c r="AS1263" s="108">
        <f>(BE1263-Driver!$K$190)/(Driver!$L$190-Driver!$K$190)</f>
        <v/>
      </c>
      <c r="AT1263" s="108">
        <f>(BF1263-Driver!$K$191)/(Driver!$L$191-Driver!$K$191)</f>
        <v/>
      </c>
      <c r="AU1263" s="108">
        <f>(BG1263-Driver!$K$192)/(Driver!$L$192-Driver!$K$192)</f>
        <v/>
      </c>
      <c r="AV1263" s="105">
        <f>IFERROR(BM1263*BJ1263^1/4,"")</f>
        <v/>
      </c>
      <c r="AW1263" s="105">
        <f>IFERROR(SUM(AX1263:AZ1263),"")</f>
        <v/>
      </c>
      <c r="AX1263" s="105">
        <f>IFERROR(BH1263,"")</f>
        <v/>
      </c>
      <c r="AY1263" s="105">
        <f>IFERROR(Driver!$K$19/Data!BH1263/Data!BI1263*Data!BK1263*Data!BL1263,"")</f>
        <v/>
      </c>
      <c r="AZ1263" s="105">
        <f>IFERROR(BI1263*BN1263,"")</f>
        <v/>
      </c>
      <c r="BA1263" s="105" t="n"/>
      <c r="BB1263" s="105" t="n"/>
      <c r="BC1263" s="105">
        <f>IFERROR(BI1263*BN1263*BK1263/BJ1263^(1/2),"")</f>
        <v/>
      </c>
      <c r="BD1263" s="105">
        <f>IFERROR(BH1263*BM1263*BL1263/BJ1263/BK1263,"")</f>
        <v/>
      </c>
      <c r="BE1263" s="105">
        <f>IFERROR(MIN(BI1263/BQ1263/BP1263/BO1263/BH1263,$BE$1),"")</f>
        <v/>
      </c>
      <c r="BF1263" s="105">
        <f>IFERROR(BJ1263*BO1263*BP1263/BK1263,"")</f>
        <v/>
      </c>
      <c r="BG1263" s="105">
        <f>IFERROR(1/BM1263/BH1263*BQ1263,"")</f>
        <v/>
      </c>
      <c r="BH1263" s="102">
        <f>MAX((CE1263-Driver!$F$200)/(Driver!$G$200-Driver!$F$200)*$BI$1,1)</f>
        <v/>
      </c>
      <c r="BI1263" s="102">
        <f>MAX($BI$1*(BY1263-Driver!$F$201)/(Driver!$G$201-Driver!$F$201),1)</f>
        <v/>
      </c>
      <c r="BJ1263" s="102">
        <f>(CB1263-Driver!$F$206)/(Driver!$G$206-Driver!$F$206)*$BI$1</f>
        <v/>
      </c>
      <c r="BK1263" s="102">
        <f>(CD1263-Driver!$F$203)/(Driver!$G$203-Driver!$F$203)*$BI$1</f>
        <v/>
      </c>
      <c r="BL1263" s="102">
        <f>MAX((CR1263-Driver!$F$202)/(Driver!$G$202-Driver!$F$202)*$BI$1,1)</f>
        <v/>
      </c>
      <c r="BM1263" s="102">
        <f>MAX((CH1263-Driver!$F$204)/(Driver!$G$204-Driver!$F$204)*$BI$1,1)</f>
        <v/>
      </c>
      <c r="BN1263" s="102">
        <f>(CI1263-Driver!$F$205)/(Driver!$G$205-Driver!$F$205)*$BI$1</f>
        <v/>
      </c>
      <c r="BO1263" s="102">
        <f>(CK1263-Driver!$F$207)/(Driver!$G$207-Driver!$F$207)*$BI$1</f>
        <v/>
      </c>
      <c r="BP1263" s="102">
        <f>(CM1263-Driver!$F$208)/(Driver!$G$208-Driver!$F$208)*$BI$1</f>
        <v/>
      </c>
      <c r="BQ1263" s="102">
        <f>(CL1263-Driver!$F$209)/(Driver!$G$209-Driver!$F$209)*$BI$1</f>
        <v/>
      </c>
      <c r="BR1263" s="40" t="inlineStr">
        <is>
          <t>21/22</t>
        </is>
      </c>
      <c r="BS1263" s="10" t="inlineStr">
        <is>
          <t xml:space="preserve"> Nordica</t>
        </is>
      </c>
      <c r="BT1263" s="11" t="inlineStr">
        <is>
          <t>Enforcer 104 Free</t>
        </is>
      </c>
      <c r="BU1263" s="13" t="n">
        <v>191</v>
      </c>
      <c r="BV1263" s="11" t="inlineStr">
        <is>
          <t xml:space="preserve"> Unisex</t>
        </is>
      </c>
      <c r="BW1263" s="13" t="n">
        <v>191</v>
      </c>
      <c r="BX1263" s="13" t="n">
        <v>189.9</v>
      </c>
      <c r="BY1263" s="13" t="n">
        <v>132</v>
      </c>
      <c r="BZ1263" s="13" t="n">
        <v>158</v>
      </c>
      <c r="CA1263" s="13" t="n">
        <v>135</v>
      </c>
      <c r="CB1263" s="13" t="n">
        <v>103</v>
      </c>
      <c r="CC1263" s="13" t="n">
        <v>126</v>
      </c>
      <c r="CD1263" s="13" t="n">
        <v>19.8</v>
      </c>
      <c r="CE1263" s="13" t="n">
        <v>2364</v>
      </c>
      <c r="CF1263" s="13" t="n">
        <v>0.92</v>
      </c>
      <c r="CG1263" s="13" t="n">
        <v>2165</v>
      </c>
      <c r="CH1263" s="13" t="n">
        <v>274</v>
      </c>
      <c r="CI1263" s="13" t="n">
        <v>182</v>
      </c>
      <c r="CJ1263" s="13" t="n">
        <v>62</v>
      </c>
      <c r="CK1263" s="13" t="n">
        <v>328</v>
      </c>
      <c r="CL1263" s="13" t="n">
        <v>35</v>
      </c>
      <c r="CM1263" s="13" t="n">
        <v>247</v>
      </c>
      <c r="CN1263" s="13" t="n">
        <v>0.5659999999999999</v>
      </c>
      <c r="CO1263" s="13" t="n">
        <v>167</v>
      </c>
      <c r="CP1263" s="13" t="n">
        <v>155</v>
      </c>
      <c r="CQ1263" s="13" t="n">
        <v>160</v>
      </c>
      <c r="CR1263" s="13" t="n">
        <v>10</v>
      </c>
      <c r="CS1263" s="13" t="n">
        <v>9.1</v>
      </c>
      <c r="CT1263" s="11" t="inlineStr">
        <is>
          <t xml:space="preserve"> Resort Freeride</t>
        </is>
      </c>
      <c r="CU1263" s="11" t="inlineStr">
        <is>
          <t xml:space="preserve"> Powder</t>
        </is>
      </c>
      <c r="CV1263" s="13" t="n"/>
      <c r="CW1263" s="13" t="n"/>
      <c r="CX1263">
        <f>INDEX('Data_Price '!AG$2:AG$1266,MATCH(Data!$DN1263,'Data_Price '!$AT$2:$AT$1266,0))</f>
        <v/>
      </c>
      <c r="CY1263">
        <f>INDEX('Data_Price '!AH$2:AH$1266,MATCH(Data!$DN1263,'Data_Price '!$AT$2:$AT$1266,0))</f>
        <v/>
      </c>
      <c r="CZ1263">
        <f>INDEX('Data_Price '!AI$2:AI$1266,MATCH(Data!$DN1263,'Data_Price '!$AT$2:$AT$1266,0))</f>
        <v/>
      </c>
      <c r="DA1263">
        <f>INDEX('Data_Price '!AJ$2:AJ$1266,MATCH(Data!$DN1263,'Data_Price '!$AT$2:$AT$1266,0))</f>
        <v/>
      </c>
      <c r="DB1263">
        <f>INDEX('Data_Price '!AK$2:AK$1266,MATCH(Data!$DN1263,'Data_Price '!$AT$2:$AT$1266,0))</f>
        <v/>
      </c>
      <c r="DC1263">
        <f>INDEX('Data_Price '!AL$2:AL$1266,MATCH(Data!$DN1263,'Data_Price '!$AT$2:$AT$1266,0))</f>
        <v/>
      </c>
      <c r="DD1263">
        <f>INDEX('Data_Price '!AM$2:AM$1266,MATCH(Data!$DN1263,'Data_Price '!$AT$2:$AT$1266,0))</f>
        <v/>
      </c>
      <c r="DE1263">
        <f>INDEX('Data_Price '!AN$2:AN$1266,MATCH(Data!$DN1263,'Data_Price '!$AT$2:$AT$1266,0))</f>
        <v/>
      </c>
      <c r="DF1263">
        <f>INDEX('Data_Price '!AO$2:AO$1266,MATCH(Data!$DN1263,'Data_Price '!$AT$2:$AT$1266,0))</f>
        <v/>
      </c>
      <c r="DG1263">
        <f>INDEX('Data_Price '!AP$2:AP$1266,MATCH(Data!$DN1263,'Data_Price '!$AT$2:$AT$1266,0))</f>
        <v/>
      </c>
      <c r="DH1263">
        <f>INDEX('Data_Price '!AQ$2:AQ$1266,MATCH(Data!$DN1263,'Data_Price '!$AT$2:$AT$1266,0))</f>
        <v/>
      </c>
      <c r="DI1263">
        <f>INDEX('Data_Price '!AR$2:AR$1266,MATCH(Data!$DN1263,'Data_Price '!$AT$2:$AT$1266,0))</f>
        <v/>
      </c>
      <c r="DJ1263" s="138">
        <f>DA1263</f>
        <v/>
      </c>
      <c r="DK1263" s="138">
        <f>DE1263</f>
        <v/>
      </c>
      <c r="DL1263" s="138">
        <f>DI1263</f>
        <v/>
      </c>
      <c r="DM1263" s="303">
        <f>IF(LEFT(BT1263,1)=" ",RIGHT(BT1263,LEN(BT1263)-1),BT1263)</f>
        <v/>
      </c>
      <c r="DN1263" s="138">
        <f>_xlfn.CONCAT(BS1263,DM1263,BU1263,BV1263)</f>
        <v/>
      </c>
      <c r="DO1263" s="307" t="inlineStr">
        <is>
          <t>https://images.evo.com/imgp/250/198260/792330/clone.jpg</t>
        </is>
      </c>
    </row>
    <row r="1264" ht="15.6" customHeight="1" s="184">
      <c r="B1264" s="303">
        <f t="array" ref="B1264">IF(OR(ISERROR(K1264:P1264)),FALSE,TRUE)</f>
        <v/>
      </c>
      <c r="C1264" s="60">
        <f>OR(BR1264=Driver!$G$50,Data!BR753=Driver!$H$50)</f>
        <v/>
      </c>
      <c r="D1264" s="60">
        <f>OR(BV1264=Driver!$G$51,BV1264=Driver!$H$51)</f>
        <v/>
      </c>
      <c r="E1264" s="60">
        <f>AND(BX1264&gt;Driver!$F$54,BX1264&lt;Driver!$G$54)</f>
        <v/>
      </c>
      <c r="F1264" s="60">
        <f>CL1264&gt;Driver!$F$56</f>
        <v/>
      </c>
      <c r="G1264" s="60">
        <f>AND(CB1264&gt;Driver!$F$55,CB1264&lt;Driver!$G$55)</f>
        <v/>
      </c>
      <c r="H1264" s="60">
        <f>AND(B1264:G1264)</f>
        <v/>
      </c>
      <c r="I1264" s="60">
        <f>COUNTIFS($H$9:$H$1273,TRUE,$BT$9:$BT$1273,BT1264)</f>
        <v/>
      </c>
      <c r="J1264" s="60">
        <f t="array" ref="J1264">NOT(OR(($H$9:$H$1273=TRUE)*($I$9:$I$1273&gt;0)*($BT$9:$BT$1273=BT1264)*($K$9:$K$1273&gt;K1264)))</f>
        <v/>
      </c>
      <c r="K1264" s="108">
        <f>IFERROR(1-AVERAGE(X1264:Y1264),"")</f>
        <v/>
      </c>
      <c r="L1264" s="108">
        <f>1-X1264</f>
        <v/>
      </c>
      <c r="M1264" s="108">
        <f>1-Y1264</f>
        <v/>
      </c>
      <c r="N1264" s="108">
        <f>1-Z1264</f>
        <v/>
      </c>
      <c r="O1264" s="108">
        <f>1-AA1264</f>
        <v/>
      </c>
      <c r="P1264" s="108">
        <f>1-AB1264</f>
        <v/>
      </c>
      <c r="Q1264" s="108" t="n"/>
      <c r="R1264" s="108" t="n"/>
      <c r="S1264" s="108">
        <f>1-AE1264</f>
        <v/>
      </c>
      <c r="T1264" s="108">
        <f>1-AF1264</f>
        <v/>
      </c>
      <c r="U1264" s="108">
        <f>1-AG1264</f>
        <v/>
      </c>
      <c r="V1264" s="108">
        <f>1-AH1264</f>
        <v/>
      </c>
      <c r="W1264" s="108">
        <f>1-AI1264</f>
        <v/>
      </c>
      <c r="X1264" s="108">
        <f>ABS(AJ1264-AJ$1)</f>
        <v/>
      </c>
      <c r="Y1264" s="108">
        <f>AVERAGE(Z1264:AB1264)</f>
        <v/>
      </c>
      <c r="Z1264" s="108">
        <f>ABS(AL1264-AL$1)</f>
        <v/>
      </c>
      <c r="AA1264" s="108">
        <f>ABS(AM1264-AM$1)</f>
        <v/>
      </c>
      <c r="AB1264" s="108">
        <f>ABS(AN1264-AN$1)</f>
        <v/>
      </c>
      <c r="AC1264" s="108" t="n"/>
      <c r="AD1264" s="108" t="n"/>
      <c r="AE1264" s="108">
        <f>ABS(AQ$1-AQ1264)</f>
        <v/>
      </c>
      <c r="AF1264" s="108">
        <f>ABS(AR$1-AR1264)</f>
        <v/>
      </c>
      <c r="AG1264" s="108">
        <f>ABS(AS$1-AS1264)</f>
        <v/>
      </c>
      <c r="AH1264" s="108">
        <f>ABS(AT$1-AT1264)</f>
        <v/>
      </c>
      <c r="AI1264" s="108">
        <f>ABS(AU$1-AU1264)</f>
        <v/>
      </c>
      <c r="AJ1264" s="108">
        <f>(AV1264-Driver!$K$179)/(Driver!$L$179-Driver!$K$179)</f>
        <v/>
      </c>
      <c r="AK1264" s="108">
        <f>(AW1264-Driver!$K$180)/(Driver!$L$180-Driver!$K$180)</f>
        <v/>
      </c>
      <c r="AL1264" s="108">
        <f>(AX1264-Driver!$K$181)/(Driver!$L$181-Driver!$K$181)</f>
        <v/>
      </c>
      <c r="AM1264" s="108">
        <f>(AY1264-Driver!$K$182)/(Driver!$L$182-Driver!$K$182)</f>
        <v/>
      </c>
      <c r="AN1264" s="108">
        <f>(AZ1264-Driver!$K$183)/(Driver!$L$183-Driver!$K$183)</f>
        <v/>
      </c>
      <c r="AO1264" s="108" t="n"/>
      <c r="AP1264" s="108" t="n"/>
      <c r="AQ1264" s="108">
        <f>(BC1264-Driver!$K$188)/(Driver!$L$188-Driver!$K$188)</f>
        <v/>
      </c>
      <c r="AR1264" s="108">
        <f>MIN((BD1264-Driver!$K$189)/(Driver!$L$189-Driver!$K$189),100%)</f>
        <v/>
      </c>
      <c r="AS1264" s="108">
        <f>(BE1264-Driver!$K$190)/(Driver!$L$190-Driver!$K$190)</f>
        <v/>
      </c>
      <c r="AT1264" s="108">
        <f>(BF1264-Driver!$K$191)/(Driver!$L$191-Driver!$K$191)</f>
        <v/>
      </c>
      <c r="AU1264" s="108">
        <f>(BG1264-Driver!$K$192)/(Driver!$L$192-Driver!$K$192)</f>
        <v/>
      </c>
      <c r="AV1264" s="105">
        <f>IFERROR(BM1264*BJ1264^1/4,"")</f>
        <v/>
      </c>
      <c r="AW1264" s="105">
        <f>IFERROR(SUM(AX1264:AZ1264),"")</f>
        <v/>
      </c>
      <c r="AX1264" s="105">
        <f>IFERROR(BH1264,"")</f>
        <v/>
      </c>
      <c r="AY1264" s="105">
        <f>IFERROR(Driver!$K$19/Data!BH1264/Data!BI1264*Data!BK1264*Data!BL1264,"")</f>
        <v/>
      </c>
      <c r="AZ1264" s="105">
        <f>IFERROR(BI1264*BN1264,"")</f>
        <v/>
      </c>
      <c r="BA1264" s="105" t="n"/>
      <c r="BB1264" s="105" t="n"/>
      <c r="BC1264" s="105">
        <f>IFERROR(BI1264*BN1264*BK1264/BJ1264^(1/2),"")</f>
        <v/>
      </c>
      <c r="BD1264" s="105">
        <f>IFERROR(BH1264*BM1264*BL1264/BJ1264/BK1264,"")</f>
        <v/>
      </c>
      <c r="BE1264" s="105">
        <f>IFERROR(MIN(BI1264/BQ1264/BP1264/BO1264/BH1264,$BE$1),"")</f>
        <v/>
      </c>
      <c r="BF1264" s="105">
        <f>IFERROR(BJ1264*BO1264*BP1264/BK1264,"")</f>
        <v/>
      </c>
      <c r="BG1264" s="105">
        <f>IFERROR(1/BM1264/BH1264*BQ1264,"")</f>
        <v/>
      </c>
      <c r="BH1264" s="102">
        <f>MAX((CE1264-Driver!$F$200)/(Driver!$G$200-Driver!$F$200)*$BI$1,1)</f>
        <v/>
      </c>
      <c r="BI1264" s="102">
        <f>MAX($BI$1*(BY1264-Driver!$F$201)/(Driver!$G$201-Driver!$F$201),1)</f>
        <v/>
      </c>
      <c r="BJ1264" s="102">
        <f>(CB1264-Driver!$F$206)/(Driver!$G$206-Driver!$F$206)*$BI$1</f>
        <v/>
      </c>
      <c r="BK1264" s="102">
        <f>(CD1264-Driver!$F$203)/(Driver!$G$203-Driver!$F$203)*$BI$1</f>
        <v/>
      </c>
      <c r="BL1264" s="102">
        <f>MAX((CR1264-Driver!$F$202)/(Driver!$G$202-Driver!$F$202)*$BI$1,1)</f>
        <v/>
      </c>
      <c r="BM1264" s="102">
        <f>MAX((CH1264-Driver!$F$204)/(Driver!$G$204-Driver!$F$204)*$BI$1,1)</f>
        <v/>
      </c>
      <c r="BN1264" s="102">
        <f>(CI1264-Driver!$F$205)/(Driver!$G$205-Driver!$F$205)*$BI$1</f>
        <v/>
      </c>
      <c r="BO1264" s="102">
        <f>(CK1264-Driver!$F$207)/(Driver!$G$207-Driver!$F$207)*$BI$1</f>
        <v/>
      </c>
      <c r="BP1264" s="102">
        <f>(CM1264-Driver!$F$208)/(Driver!$G$208-Driver!$F$208)*$BI$1</f>
        <v/>
      </c>
      <c r="BQ1264" s="102">
        <f>(CL1264-Driver!$F$209)/(Driver!$G$209-Driver!$F$209)*$BI$1</f>
        <v/>
      </c>
      <c r="BR1264" s="40" t="inlineStr">
        <is>
          <t>21/22</t>
        </is>
      </c>
      <c r="BS1264" s="10" t="inlineStr">
        <is>
          <t xml:space="preserve"> K2</t>
        </is>
      </c>
      <c r="BT1264" s="11" t="inlineStr">
        <is>
          <t>Mindbender 99 Ti</t>
        </is>
      </c>
      <c r="BU1264" s="13" t="n">
        <v>191</v>
      </c>
      <c r="BV1264" s="11" t="inlineStr">
        <is>
          <t xml:space="preserve"> Unisex</t>
        </is>
      </c>
      <c r="BW1264" s="13" t="n">
        <v>191</v>
      </c>
      <c r="BX1264" s="13" t="n">
        <v>190.8</v>
      </c>
      <c r="BY1264" s="13" t="n">
        <v>143</v>
      </c>
      <c r="BZ1264" s="13" t="n">
        <v>163</v>
      </c>
      <c r="CA1264" s="13" t="n">
        <v>137</v>
      </c>
      <c r="CB1264" s="13" t="n">
        <v>98</v>
      </c>
      <c r="CC1264" s="13" t="n">
        <v>122</v>
      </c>
      <c r="CD1264" s="13" t="n">
        <v>20.8</v>
      </c>
      <c r="CE1264" s="13" t="n">
        <v>2358</v>
      </c>
      <c r="CF1264" s="13" t="n">
        <v>0.89</v>
      </c>
      <c r="CG1264" s="13" t="n">
        <v>2098</v>
      </c>
      <c r="CH1264" s="13" t="n">
        <v>314</v>
      </c>
      <c r="CI1264" s="13" t="n">
        <v>180</v>
      </c>
      <c r="CJ1264" s="13" t="n">
        <v>53</v>
      </c>
      <c r="CK1264" s="13" t="n">
        <v>301</v>
      </c>
      <c r="CL1264" s="13" t="n">
        <v>17</v>
      </c>
      <c r="CM1264" s="13" t="n">
        <v>182</v>
      </c>
      <c r="CN1264" s="13" t="n">
        <v>0.324</v>
      </c>
      <c r="CO1264" s="13" t="n">
        <v>151</v>
      </c>
      <c r="CP1264" s="13" t="n">
        <v>123</v>
      </c>
      <c r="CQ1264" s="13" t="n">
        <v>149</v>
      </c>
      <c r="CR1264" s="13" t="n">
        <v>8</v>
      </c>
      <c r="CS1264" s="13" t="n">
        <v>12</v>
      </c>
      <c r="CT1264" s="11" t="inlineStr">
        <is>
          <t xml:space="preserve"> Resort Freeride</t>
        </is>
      </c>
      <c r="CU1264" s="13" t="n"/>
      <c r="CV1264" s="13" t="n"/>
      <c r="CW1264" s="13" t="n"/>
      <c r="CX1264">
        <f>INDEX('Data_Price '!AG$2:AG$1266,MATCH(Data!$DN1264,'Data_Price '!$AT$2:$AT$1266,0))</f>
        <v/>
      </c>
      <c r="CY1264">
        <f>INDEX('Data_Price '!AH$2:AH$1266,MATCH(Data!$DN1264,'Data_Price '!$AT$2:$AT$1266,0))</f>
        <v/>
      </c>
      <c r="CZ1264">
        <f>INDEX('Data_Price '!AI$2:AI$1266,MATCH(Data!$DN1264,'Data_Price '!$AT$2:$AT$1266,0))</f>
        <v/>
      </c>
      <c r="DA1264">
        <f>INDEX('Data_Price '!AJ$2:AJ$1266,MATCH(Data!$DN1264,'Data_Price '!$AT$2:$AT$1266,0))</f>
        <v/>
      </c>
      <c r="DB1264">
        <f>INDEX('Data_Price '!AK$2:AK$1266,MATCH(Data!$DN1264,'Data_Price '!$AT$2:$AT$1266,0))</f>
        <v/>
      </c>
      <c r="DC1264">
        <f>INDEX('Data_Price '!AL$2:AL$1266,MATCH(Data!$DN1264,'Data_Price '!$AT$2:$AT$1266,0))</f>
        <v/>
      </c>
      <c r="DD1264">
        <f>INDEX('Data_Price '!AM$2:AM$1266,MATCH(Data!$DN1264,'Data_Price '!$AT$2:$AT$1266,0))</f>
        <v/>
      </c>
      <c r="DE1264">
        <f>INDEX('Data_Price '!AN$2:AN$1266,MATCH(Data!$DN1264,'Data_Price '!$AT$2:$AT$1266,0))</f>
        <v/>
      </c>
      <c r="DF1264">
        <f>INDEX('Data_Price '!AO$2:AO$1266,MATCH(Data!$DN1264,'Data_Price '!$AT$2:$AT$1266,0))</f>
        <v/>
      </c>
      <c r="DG1264">
        <f>INDEX('Data_Price '!AP$2:AP$1266,MATCH(Data!$DN1264,'Data_Price '!$AT$2:$AT$1266,0))</f>
        <v/>
      </c>
      <c r="DH1264">
        <f>INDEX('Data_Price '!AQ$2:AQ$1266,MATCH(Data!$DN1264,'Data_Price '!$AT$2:$AT$1266,0))</f>
        <v/>
      </c>
      <c r="DI1264">
        <f>INDEX('Data_Price '!AR$2:AR$1266,MATCH(Data!$DN1264,'Data_Price '!$AT$2:$AT$1266,0))</f>
        <v/>
      </c>
      <c r="DJ1264" s="138">
        <f>DA1264</f>
        <v/>
      </c>
      <c r="DK1264" s="138">
        <f>DE1264</f>
        <v/>
      </c>
      <c r="DL1264" s="138">
        <f>DI1264</f>
        <v/>
      </c>
      <c r="DM1264" s="303">
        <f>IF(LEFT(BT1264,1)=" ",RIGHT(BT1264,LEN(BT1264)-1),BT1264)</f>
        <v/>
      </c>
      <c r="DN1264" s="138">
        <f>_xlfn.CONCAT(BS1264,DM1264,BU1264,BV1264)</f>
        <v/>
      </c>
      <c r="DO1264" s="307" t="n"/>
    </row>
    <row r="1265" ht="15.6" customHeight="1" s="184">
      <c r="B1265" s="303">
        <f t="array" ref="B1265">IF(OR(ISERROR(K1265:P1265)),FALSE,TRUE)</f>
        <v/>
      </c>
      <c r="C1265" s="60">
        <f>OR(BR1265=Driver!$G$50,Data!BR720=Driver!$H$50)</f>
        <v/>
      </c>
      <c r="D1265" s="60">
        <f>OR(BV1265=Driver!$G$51,BV1265=Driver!$H$51)</f>
        <v/>
      </c>
      <c r="E1265" s="60">
        <f>AND(BX1265&gt;Driver!$F$54,BX1265&lt;Driver!$G$54)</f>
        <v/>
      </c>
      <c r="F1265" s="60">
        <f>CL1265&gt;Driver!$F$56</f>
        <v/>
      </c>
      <c r="G1265" s="60">
        <f>AND(CB1265&gt;Driver!$F$55,CB1265&lt;Driver!$G$55)</f>
        <v/>
      </c>
      <c r="H1265" s="60">
        <f>AND(B1265:G1265)</f>
        <v/>
      </c>
      <c r="I1265" s="60">
        <f>COUNTIFS($H$9:$H$1273,TRUE,$BT$9:$BT$1273,BT1265)</f>
        <v/>
      </c>
      <c r="J1265" s="60">
        <f t="array" ref="J1265">NOT(OR(($H$9:$H$1273=TRUE)*($I$9:$I$1273&gt;0)*($BT$9:$BT$1273=BT1265)*($K$9:$K$1273&gt;K1265)))</f>
        <v/>
      </c>
      <c r="K1265" s="108">
        <f>IFERROR(1-AVERAGE(X1265:Y1265),"")</f>
        <v/>
      </c>
      <c r="L1265" s="108">
        <f>1-X1265</f>
        <v/>
      </c>
      <c r="M1265" s="108">
        <f>1-Y1265</f>
        <v/>
      </c>
      <c r="N1265" s="108">
        <f>1-Z1265</f>
        <v/>
      </c>
      <c r="O1265" s="108">
        <f>1-AA1265</f>
        <v/>
      </c>
      <c r="P1265" s="108">
        <f>1-AB1265</f>
        <v/>
      </c>
      <c r="Q1265" s="108" t="n"/>
      <c r="R1265" s="108" t="n"/>
      <c r="S1265" s="108">
        <f>1-AE1265</f>
        <v/>
      </c>
      <c r="T1265" s="108">
        <f>1-AF1265</f>
        <v/>
      </c>
      <c r="U1265" s="108">
        <f>1-AG1265</f>
        <v/>
      </c>
      <c r="V1265" s="108">
        <f>1-AH1265</f>
        <v/>
      </c>
      <c r="W1265" s="108">
        <f>1-AI1265</f>
        <v/>
      </c>
      <c r="X1265" s="108">
        <f>ABS(AJ1265-AJ$1)</f>
        <v/>
      </c>
      <c r="Y1265" s="108">
        <f>AVERAGE(Z1265:AB1265)</f>
        <v/>
      </c>
      <c r="Z1265" s="108">
        <f>ABS(AL1265-AL$1)</f>
        <v/>
      </c>
      <c r="AA1265" s="108">
        <f>ABS(AM1265-AM$1)</f>
        <v/>
      </c>
      <c r="AB1265" s="108">
        <f>ABS(AN1265-AN$1)</f>
        <v/>
      </c>
      <c r="AC1265" s="108" t="n"/>
      <c r="AD1265" s="108" t="n"/>
      <c r="AE1265" s="108">
        <f>ABS(AQ$1-AQ1265)</f>
        <v/>
      </c>
      <c r="AF1265" s="108">
        <f>ABS(AR$1-AR1265)</f>
        <v/>
      </c>
      <c r="AG1265" s="108">
        <f>ABS(AS$1-AS1265)</f>
        <v/>
      </c>
      <c r="AH1265" s="108">
        <f>ABS(AT$1-AT1265)</f>
        <v/>
      </c>
      <c r="AI1265" s="108">
        <f>ABS(AU$1-AU1265)</f>
        <v/>
      </c>
      <c r="AJ1265" s="108">
        <f>(AV1265-Driver!$K$179)/(Driver!$L$179-Driver!$K$179)</f>
        <v/>
      </c>
      <c r="AK1265" s="108">
        <f>(AW1265-Driver!$K$180)/(Driver!$L$180-Driver!$K$180)</f>
        <v/>
      </c>
      <c r="AL1265" s="108">
        <f>(AX1265-Driver!$K$181)/(Driver!$L$181-Driver!$K$181)</f>
        <v/>
      </c>
      <c r="AM1265" s="108">
        <f>(AY1265-Driver!$K$182)/(Driver!$L$182-Driver!$K$182)</f>
        <v/>
      </c>
      <c r="AN1265" s="108">
        <f>(AZ1265-Driver!$K$183)/(Driver!$L$183-Driver!$K$183)</f>
        <v/>
      </c>
      <c r="AO1265" s="108" t="n"/>
      <c r="AP1265" s="108" t="n"/>
      <c r="AQ1265" s="108">
        <f>(BC1265-Driver!$K$188)/(Driver!$L$188-Driver!$K$188)</f>
        <v/>
      </c>
      <c r="AR1265" s="108">
        <f>MIN((BD1265-Driver!$K$189)/(Driver!$L$189-Driver!$K$189),100%)</f>
        <v/>
      </c>
      <c r="AS1265" s="108">
        <f>(BE1265-Driver!$K$190)/(Driver!$L$190-Driver!$K$190)</f>
        <v/>
      </c>
      <c r="AT1265" s="108">
        <f>(BF1265-Driver!$K$191)/(Driver!$L$191-Driver!$K$191)</f>
        <v/>
      </c>
      <c r="AU1265" s="108">
        <f>(BG1265-Driver!$K$192)/(Driver!$L$192-Driver!$K$192)</f>
        <v/>
      </c>
      <c r="AV1265" s="105">
        <f>IFERROR(BM1265*BJ1265^1/4,"")</f>
        <v/>
      </c>
      <c r="AW1265" s="105">
        <f>IFERROR(SUM(AX1265:AZ1265),"")</f>
        <v/>
      </c>
      <c r="AX1265" s="105">
        <f>IFERROR(BH1265,"")</f>
        <v/>
      </c>
      <c r="AY1265" s="105">
        <f>IFERROR(Driver!$K$19/Data!BH1265/Data!BI1265*Data!BK1265*Data!BL1265,"")</f>
        <v/>
      </c>
      <c r="AZ1265" s="105">
        <f>IFERROR(BI1265*BN1265,"")</f>
        <v/>
      </c>
      <c r="BA1265" s="105" t="n"/>
      <c r="BB1265" s="105" t="n"/>
      <c r="BC1265" s="105">
        <f>IFERROR(BI1265*BN1265*BK1265/BJ1265^(1/2),"")</f>
        <v/>
      </c>
      <c r="BD1265" s="105">
        <f>IFERROR(BH1265*BM1265*BL1265/BJ1265/BK1265,"")</f>
        <v/>
      </c>
      <c r="BE1265" s="105">
        <f>IFERROR(MIN(BI1265/BQ1265/BP1265/BO1265/BH1265,$BE$1),"")</f>
        <v/>
      </c>
      <c r="BF1265" s="105">
        <f>IFERROR(BJ1265*BO1265*BP1265/BK1265,"")</f>
        <v/>
      </c>
      <c r="BG1265" s="105">
        <f>IFERROR(1/BM1265/BH1265*BQ1265,"")</f>
        <v/>
      </c>
      <c r="BH1265" s="102">
        <f>MAX((CE1265-Driver!$F$200)/(Driver!$G$200-Driver!$F$200)*$BI$1,1)</f>
        <v/>
      </c>
      <c r="BI1265" s="102">
        <f>MAX($BI$1*(BY1265-Driver!$F$201)/(Driver!$G$201-Driver!$F$201),1)</f>
        <v/>
      </c>
      <c r="BJ1265" s="102">
        <f>(CB1265-Driver!$F$206)/(Driver!$G$206-Driver!$F$206)*$BI$1</f>
        <v/>
      </c>
      <c r="BK1265" s="102">
        <f>(CD1265-Driver!$F$203)/(Driver!$G$203-Driver!$F$203)*$BI$1</f>
        <v/>
      </c>
      <c r="BL1265" s="102">
        <f>MAX((CR1265-Driver!$F$202)/(Driver!$G$202-Driver!$F$202)*$BI$1,1)</f>
        <v/>
      </c>
      <c r="BM1265" s="102">
        <f>MAX((CH1265-Driver!$F$204)/(Driver!$G$204-Driver!$F$204)*$BI$1,1)</f>
        <v/>
      </c>
      <c r="BN1265" s="102">
        <f>(CI1265-Driver!$F$205)/(Driver!$G$205-Driver!$F$205)*$BI$1</f>
        <v/>
      </c>
      <c r="BO1265" s="102">
        <f>(CK1265-Driver!$F$207)/(Driver!$G$207-Driver!$F$207)*$BI$1</f>
        <v/>
      </c>
      <c r="BP1265" s="102">
        <f>(CM1265-Driver!$F$208)/(Driver!$G$208-Driver!$F$208)*$BI$1</f>
        <v/>
      </c>
      <c r="BQ1265" s="102">
        <f>(CL1265-Driver!$F$209)/(Driver!$G$209-Driver!$F$209)*$BI$1</f>
        <v/>
      </c>
      <c r="BR1265" s="40" t="inlineStr">
        <is>
          <t>21/22</t>
        </is>
      </c>
      <c r="BS1265" s="10" t="inlineStr">
        <is>
          <t xml:space="preserve"> K2</t>
        </is>
      </c>
      <c r="BT1265" s="11" t="inlineStr">
        <is>
          <t>Mindbender 108 Ti</t>
        </is>
      </c>
      <c r="BU1265" s="13" t="n">
        <v>193</v>
      </c>
      <c r="BV1265" s="11" t="inlineStr">
        <is>
          <t xml:space="preserve"> Unisex</t>
        </is>
      </c>
      <c r="BW1265" s="13" t="n">
        <v>193</v>
      </c>
      <c r="BX1265" s="13" t="n">
        <v>193</v>
      </c>
      <c r="BY1265" s="13" t="n">
        <v>123</v>
      </c>
      <c r="BZ1265" s="13" t="n">
        <v>156</v>
      </c>
      <c r="CA1265" s="13" t="n">
        <v>136</v>
      </c>
      <c r="CB1265" s="13" t="n">
        <v>107</v>
      </c>
      <c r="CC1265" s="13" t="n">
        <v>125</v>
      </c>
      <c r="CD1265" s="13" t="n">
        <v>24.9</v>
      </c>
      <c r="CE1265" s="13" t="n">
        <v>2265</v>
      </c>
      <c r="CF1265" s="13" t="n">
        <v>0.99</v>
      </c>
      <c r="CG1265" s="13" t="n">
        <v>2238</v>
      </c>
      <c r="CH1265" s="13" t="n">
        <v>280</v>
      </c>
      <c r="CI1265" s="13" t="n">
        <v>196</v>
      </c>
      <c r="CJ1265" s="13" t="n">
        <v>48</v>
      </c>
      <c r="CK1265" s="13" t="n">
        <v>399</v>
      </c>
      <c r="CL1265" s="13" t="n">
        <v>24</v>
      </c>
      <c r="CM1265" s="13" t="n">
        <v>302</v>
      </c>
      <c r="CN1265" s="13" t="n">
        <v>0.491</v>
      </c>
      <c r="CO1265" s="13" t="n">
        <v>181</v>
      </c>
      <c r="CP1265" s="13" t="n">
        <v>184</v>
      </c>
      <c r="CQ1265" s="13" t="n">
        <v>217</v>
      </c>
      <c r="CR1265" s="13" t="n">
        <v>6</v>
      </c>
      <c r="CS1265" s="13" t="n">
        <v>11</v>
      </c>
      <c r="CT1265" s="11" t="inlineStr">
        <is>
          <t xml:space="preserve"> Powder</t>
        </is>
      </c>
      <c r="CU1265" s="13" t="n"/>
      <c r="CV1265" s="13" t="n"/>
      <c r="CW1265" s="13" t="n"/>
      <c r="CX1265">
        <f>INDEX('Data_Price '!AG$2:AG$1266,MATCH(Data!$DN1265,'Data_Price '!$AT$2:$AT$1266,0))</f>
        <v/>
      </c>
      <c r="CY1265">
        <f>INDEX('Data_Price '!AH$2:AH$1266,MATCH(Data!$DN1265,'Data_Price '!$AT$2:$AT$1266,0))</f>
        <v/>
      </c>
      <c r="CZ1265">
        <f>INDEX('Data_Price '!AI$2:AI$1266,MATCH(Data!$DN1265,'Data_Price '!$AT$2:$AT$1266,0))</f>
        <v/>
      </c>
      <c r="DA1265">
        <f>INDEX('Data_Price '!AJ$2:AJ$1266,MATCH(Data!$DN1265,'Data_Price '!$AT$2:$AT$1266,0))</f>
        <v/>
      </c>
      <c r="DB1265">
        <f>INDEX('Data_Price '!AK$2:AK$1266,MATCH(Data!$DN1265,'Data_Price '!$AT$2:$AT$1266,0))</f>
        <v/>
      </c>
      <c r="DC1265">
        <f>INDEX('Data_Price '!AL$2:AL$1266,MATCH(Data!$DN1265,'Data_Price '!$AT$2:$AT$1266,0))</f>
        <v/>
      </c>
      <c r="DD1265">
        <f>INDEX('Data_Price '!AM$2:AM$1266,MATCH(Data!$DN1265,'Data_Price '!$AT$2:$AT$1266,0))</f>
        <v/>
      </c>
      <c r="DE1265">
        <f>INDEX('Data_Price '!AN$2:AN$1266,MATCH(Data!$DN1265,'Data_Price '!$AT$2:$AT$1266,0))</f>
        <v/>
      </c>
      <c r="DF1265">
        <f>INDEX('Data_Price '!AO$2:AO$1266,MATCH(Data!$DN1265,'Data_Price '!$AT$2:$AT$1266,0))</f>
        <v/>
      </c>
      <c r="DG1265">
        <f>INDEX('Data_Price '!AP$2:AP$1266,MATCH(Data!$DN1265,'Data_Price '!$AT$2:$AT$1266,0))</f>
        <v/>
      </c>
      <c r="DH1265">
        <f>INDEX('Data_Price '!AQ$2:AQ$1266,MATCH(Data!$DN1265,'Data_Price '!$AT$2:$AT$1266,0))</f>
        <v/>
      </c>
      <c r="DI1265">
        <f>INDEX('Data_Price '!AR$2:AR$1266,MATCH(Data!$DN1265,'Data_Price '!$AT$2:$AT$1266,0))</f>
        <v/>
      </c>
      <c r="DJ1265" s="138">
        <f>DA1265</f>
        <v/>
      </c>
      <c r="DK1265" s="138">
        <f>DE1265</f>
        <v/>
      </c>
      <c r="DL1265" s="138">
        <f>DI1265</f>
        <v/>
      </c>
      <c r="DM1265" s="303">
        <f>IF(LEFT(BT1265,1)=" ",RIGHT(BT1265,LEN(BT1265)-1),BT1265)</f>
        <v/>
      </c>
      <c r="DN1265" s="138">
        <f>_xlfn.CONCAT(BS1265,DM1265,BU1265,BV1265)</f>
        <v/>
      </c>
      <c r="DO1265" s="307" t="inlineStr">
        <is>
          <t>https://images.evo.com/imgp/250/221663/904226/k2-mindbender-108-ti-skis-2023-.jpg</t>
        </is>
      </c>
    </row>
    <row r="1266" ht="15.6" customHeight="1" s="184">
      <c r="B1266" s="303">
        <f t="array" ref="B1266">IF(OR(ISERROR(K1266:P1266)),FALSE,TRUE)</f>
        <v/>
      </c>
      <c r="C1266" s="60">
        <f>OR(BR1266=Driver!$G$50,Data!BR606=Driver!$H$50)</f>
        <v/>
      </c>
      <c r="D1266" s="60">
        <f>OR(BV1266=Driver!$G$51,BV1266=Driver!$H$51)</f>
        <v/>
      </c>
      <c r="E1266" s="60">
        <f>AND(BX1266&gt;Driver!$F$54,BX1266&lt;Driver!$G$54)</f>
        <v/>
      </c>
      <c r="F1266" s="60">
        <f>CL1266&gt;Driver!$F$56</f>
        <v/>
      </c>
      <c r="G1266" s="60">
        <f>AND(CB1266&gt;Driver!$F$55,CB1266&lt;Driver!$G$55)</f>
        <v/>
      </c>
      <c r="H1266" s="60">
        <f>AND(B1266:G1266)</f>
        <v/>
      </c>
      <c r="I1266" s="60">
        <f>COUNTIFS($H$9:$H$1273,TRUE,$BT$9:$BT$1273,BT1266)</f>
        <v/>
      </c>
      <c r="J1266" s="60">
        <f t="array" ref="J1266">NOT(OR(($H$9:$H$1273=TRUE)*($I$9:$I$1273&gt;0)*($BT$9:$BT$1273=BT1266)*($K$9:$K$1273&gt;K1266)))</f>
        <v/>
      </c>
      <c r="K1266" s="108">
        <f>IFERROR(1-AVERAGE(X1266:Y1266),"")</f>
        <v/>
      </c>
      <c r="L1266" s="108">
        <f>1-X1266</f>
        <v/>
      </c>
      <c r="M1266" s="108">
        <f>1-Y1266</f>
        <v/>
      </c>
      <c r="N1266" s="108">
        <f>1-Z1266</f>
        <v/>
      </c>
      <c r="O1266" s="108">
        <f>1-AA1266</f>
        <v/>
      </c>
      <c r="P1266" s="108">
        <f>1-AB1266</f>
        <v/>
      </c>
      <c r="Q1266" s="108" t="n"/>
      <c r="R1266" s="108" t="n"/>
      <c r="S1266" s="108">
        <f>1-AE1266</f>
        <v/>
      </c>
      <c r="T1266" s="108">
        <f>1-AF1266</f>
        <v/>
      </c>
      <c r="U1266" s="108">
        <f>1-AG1266</f>
        <v/>
      </c>
      <c r="V1266" s="108">
        <f>1-AH1266</f>
        <v/>
      </c>
      <c r="W1266" s="108">
        <f>1-AI1266</f>
        <v/>
      </c>
      <c r="X1266" s="108">
        <f>ABS(AJ1266-AJ$1)</f>
        <v/>
      </c>
      <c r="Y1266" s="108">
        <f>AVERAGE(Z1266:AB1266)</f>
        <v/>
      </c>
      <c r="Z1266" s="108">
        <f>ABS(AL1266-AL$1)</f>
        <v/>
      </c>
      <c r="AA1266" s="108">
        <f>ABS(AM1266-AM$1)</f>
        <v/>
      </c>
      <c r="AB1266" s="108">
        <f>ABS(AN1266-AN$1)</f>
        <v/>
      </c>
      <c r="AC1266" s="108" t="n"/>
      <c r="AD1266" s="108" t="n"/>
      <c r="AE1266" s="108">
        <f>ABS(AQ$1-AQ1266)</f>
        <v/>
      </c>
      <c r="AF1266" s="108">
        <f>ABS(AR$1-AR1266)</f>
        <v/>
      </c>
      <c r="AG1266" s="108">
        <f>ABS(AS$1-AS1266)</f>
        <v/>
      </c>
      <c r="AH1266" s="108">
        <f>ABS(AT$1-AT1266)</f>
        <v/>
      </c>
      <c r="AI1266" s="108">
        <f>ABS(AU$1-AU1266)</f>
        <v/>
      </c>
      <c r="AJ1266" s="108">
        <f>(AV1266-Driver!$K$179)/(Driver!$L$179-Driver!$K$179)</f>
        <v/>
      </c>
      <c r="AK1266" s="108">
        <f>(AW1266-Driver!$K$180)/(Driver!$L$180-Driver!$K$180)</f>
        <v/>
      </c>
      <c r="AL1266" s="108">
        <f>(AX1266-Driver!$K$181)/(Driver!$L$181-Driver!$K$181)</f>
        <v/>
      </c>
      <c r="AM1266" s="108">
        <f>(AY1266-Driver!$K$182)/(Driver!$L$182-Driver!$K$182)</f>
        <v/>
      </c>
      <c r="AN1266" s="108">
        <f>(AZ1266-Driver!$K$183)/(Driver!$L$183-Driver!$K$183)</f>
        <v/>
      </c>
      <c r="AO1266" s="108" t="n"/>
      <c r="AP1266" s="108" t="n"/>
      <c r="AQ1266" s="108">
        <f>(BC1266-Driver!$K$188)/(Driver!$L$188-Driver!$K$188)</f>
        <v/>
      </c>
      <c r="AR1266" s="108">
        <f>MIN((BD1266-Driver!$K$189)/(Driver!$L$189-Driver!$K$189),100%)</f>
        <v/>
      </c>
      <c r="AS1266" s="108">
        <f>(BE1266-Driver!$K$190)/(Driver!$L$190-Driver!$K$190)</f>
        <v/>
      </c>
      <c r="AT1266" s="108">
        <f>(BF1266-Driver!$K$191)/(Driver!$L$191-Driver!$K$191)</f>
        <v/>
      </c>
      <c r="AU1266" s="108">
        <f>(BG1266-Driver!$K$192)/(Driver!$L$192-Driver!$K$192)</f>
        <v/>
      </c>
      <c r="AV1266" s="105">
        <f>IFERROR(BM1266*BJ1266^1/4,"")</f>
        <v/>
      </c>
      <c r="AW1266" s="105">
        <f>IFERROR(SUM(AX1266:AZ1266),"")</f>
        <v/>
      </c>
      <c r="AX1266" s="105">
        <f>IFERROR(BH1266,"")</f>
        <v/>
      </c>
      <c r="AY1266" s="105">
        <f>IFERROR(Driver!$K$19/Data!BH1266/Data!BI1266*Data!BK1266*Data!BL1266,"")</f>
        <v/>
      </c>
      <c r="AZ1266" s="105">
        <f>IFERROR(BI1266*BN1266,"")</f>
        <v/>
      </c>
      <c r="BA1266" s="105" t="n"/>
      <c r="BB1266" s="105" t="n"/>
      <c r="BC1266" s="105">
        <f>IFERROR(BI1266*BN1266*BK1266/BJ1266^(1/2),"")</f>
        <v/>
      </c>
      <c r="BD1266" s="105">
        <f>IFERROR(BH1266*BM1266*BL1266/BJ1266/BK1266,"")</f>
        <v/>
      </c>
      <c r="BE1266" s="105">
        <f>IFERROR(MIN(BI1266/BQ1266/BP1266/BO1266/BH1266,$BE$1),"")</f>
        <v/>
      </c>
      <c r="BF1266" s="105">
        <f>IFERROR(BJ1266*BO1266*BP1266/BK1266,"")</f>
        <v/>
      </c>
      <c r="BG1266" s="105">
        <f>IFERROR(1/BM1266/BH1266*BQ1266,"")</f>
        <v/>
      </c>
      <c r="BH1266" s="102">
        <f>MAX((CE1266-Driver!$F$200)/(Driver!$G$200-Driver!$F$200)*$BI$1,1)</f>
        <v/>
      </c>
      <c r="BI1266" s="102">
        <f>MAX($BI$1*(BY1266-Driver!$F$201)/(Driver!$G$201-Driver!$F$201),1)</f>
        <v/>
      </c>
      <c r="BJ1266" s="102">
        <f>(CB1266-Driver!$F$206)/(Driver!$G$206-Driver!$F$206)*$BI$1</f>
        <v/>
      </c>
      <c r="BK1266" s="102">
        <f>(CD1266-Driver!$F$203)/(Driver!$G$203-Driver!$F$203)*$BI$1</f>
        <v/>
      </c>
      <c r="BL1266" s="102">
        <f>MAX((CR1266-Driver!$F$202)/(Driver!$G$202-Driver!$F$202)*$BI$1,1)</f>
        <v/>
      </c>
      <c r="BM1266" s="102">
        <f>MAX((CH1266-Driver!$F$204)/(Driver!$G$204-Driver!$F$204)*$BI$1,1)</f>
        <v/>
      </c>
      <c r="BN1266" s="102">
        <f>(CI1266-Driver!$F$205)/(Driver!$G$205-Driver!$F$205)*$BI$1</f>
        <v/>
      </c>
      <c r="BO1266" s="102">
        <f>(CK1266-Driver!$F$207)/(Driver!$G$207-Driver!$F$207)*$BI$1</f>
        <v/>
      </c>
      <c r="BP1266" s="102">
        <f>(CM1266-Driver!$F$208)/(Driver!$G$208-Driver!$F$208)*$BI$1</f>
        <v/>
      </c>
      <c r="BQ1266" s="102">
        <f>(CL1266-Driver!$F$209)/(Driver!$G$209-Driver!$F$209)*$BI$1</f>
        <v/>
      </c>
      <c r="BR1266" s="40" t="inlineStr">
        <is>
          <t>21/22</t>
        </is>
      </c>
      <c r="BS1266" s="10" t="inlineStr">
        <is>
          <t xml:space="preserve"> Head</t>
        </is>
      </c>
      <c r="BT1266" s="11" t="inlineStr">
        <is>
          <t>Kore 111</t>
        </is>
      </c>
      <c r="BU1266" s="13" t="n">
        <v>191</v>
      </c>
      <c r="BV1266" s="11" t="inlineStr">
        <is>
          <t xml:space="preserve"> Unisex</t>
        </is>
      </c>
      <c r="BW1266" s="13" t="n">
        <v>191</v>
      </c>
      <c r="BX1266" s="13" t="n">
        <v>190.2</v>
      </c>
      <c r="BY1266" s="13" t="n">
        <v>138</v>
      </c>
      <c r="BZ1266" s="13" t="n">
        <v>153</v>
      </c>
      <c r="CA1266" s="13" t="n">
        <v>142</v>
      </c>
      <c r="CB1266" s="13" t="n">
        <v>112</v>
      </c>
      <c r="CC1266" s="13" t="n">
        <v>128</v>
      </c>
      <c r="CD1266" s="13" t="n">
        <v>23.7</v>
      </c>
      <c r="CE1266" s="13" t="n">
        <v>1946</v>
      </c>
      <c r="CF1266" s="13" t="n">
        <v>1.19</v>
      </c>
      <c r="CG1266" s="13" t="n">
        <v>2317</v>
      </c>
      <c r="CH1266" s="13" t="n">
        <v>324</v>
      </c>
      <c r="CI1266" s="13" t="n">
        <v>176</v>
      </c>
      <c r="CJ1266" s="13" t="n">
        <v>56</v>
      </c>
      <c r="CK1266" s="13" t="n">
        <v>269</v>
      </c>
      <c r="CL1266" s="13" t="n">
        <v>20</v>
      </c>
      <c r="CM1266" s="13" t="n">
        <v>255</v>
      </c>
      <c r="CN1266" s="13" t="n">
        <v>0.365</v>
      </c>
      <c r="CO1266" s="13" t="n">
        <v>230</v>
      </c>
      <c r="CP1266" s="13" t="n">
        <v>142</v>
      </c>
      <c r="CQ1266" s="13" t="n">
        <v>39</v>
      </c>
      <c r="CR1266" s="13" t="n">
        <v>8</v>
      </c>
      <c r="CS1266" s="13" t="n">
        <v>9.9</v>
      </c>
      <c r="CT1266" s="11" t="inlineStr">
        <is>
          <t xml:space="preserve"> Powder</t>
        </is>
      </c>
      <c r="CU1266" s="11" t="inlineStr">
        <is>
          <t xml:space="preserve"> Big Mountain</t>
        </is>
      </c>
      <c r="CV1266" s="11" t="inlineStr">
        <is>
          <t xml:space="preserve"> Touring</t>
        </is>
      </c>
      <c r="CW1266" s="13" t="n"/>
      <c r="CX1266">
        <f>INDEX('Data_Price '!AG$2:AG$1266,MATCH(Data!$DN1266,'Data_Price '!$AT$2:$AT$1266,0))</f>
        <v/>
      </c>
      <c r="CY1266">
        <f>INDEX('Data_Price '!AH$2:AH$1266,MATCH(Data!$DN1266,'Data_Price '!$AT$2:$AT$1266,0))</f>
        <v/>
      </c>
      <c r="CZ1266">
        <f>INDEX('Data_Price '!AI$2:AI$1266,MATCH(Data!$DN1266,'Data_Price '!$AT$2:$AT$1266,0))</f>
        <v/>
      </c>
      <c r="DA1266">
        <f>INDEX('Data_Price '!AJ$2:AJ$1266,MATCH(Data!$DN1266,'Data_Price '!$AT$2:$AT$1266,0))</f>
        <v/>
      </c>
      <c r="DB1266">
        <f>INDEX('Data_Price '!AK$2:AK$1266,MATCH(Data!$DN1266,'Data_Price '!$AT$2:$AT$1266,0))</f>
        <v/>
      </c>
      <c r="DC1266">
        <f>INDEX('Data_Price '!AL$2:AL$1266,MATCH(Data!$DN1266,'Data_Price '!$AT$2:$AT$1266,0))</f>
        <v/>
      </c>
      <c r="DD1266">
        <f>INDEX('Data_Price '!AM$2:AM$1266,MATCH(Data!$DN1266,'Data_Price '!$AT$2:$AT$1266,0))</f>
        <v/>
      </c>
      <c r="DE1266">
        <f>INDEX('Data_Price '!AN$2:AN$1266,MATCH(Data!$DN1266,'Data_Price '!$AT$2:$AT$1266,0))</f>
        <v/>
      </c>
      <c r="DF1266">
        <f>INDEX('Data_Price '!AO$2:AO$1266,MATCH(Data!$DN1266,'Data_Price '!$AT$2:$AT$1266,0))</f>
        <v/>
      </c>
      <c r="DG1266">
        <f>INDEX('Data_Price '!AP$2:AP$1266,MATCH(Data!$DN1266,'Data_Price '!$AT$2:$AT$1266,0))</f>
        <v/>
      </c>
      <c r="DH1266">
        <f>INDEX('Data_Price '!AQ$2:AQ$1266,MATCH(Data!$DN1266,'Data_Price '!$AT$2:$AT$1266,0))</f>
        <v/>
      </c>
      <c r="DI1266">
        <f>INDEX('Data_Price '!AR$2:AR$1266,MATCH(Data!$DN1266,'Data_Price '!$AT$2:$AT$1266,0))</f>
        <v/>
      </c>
      <c r="DJ1266" s="138">
        <f>DA1266</f>
        <v/>
      </c>
      <c r="DK1266" s="138">
        <f>DE1266</f>
        <v/>
      </c>
      <c r="DL1266" s="138">
        <f>DI1266</f>
        <v/>
      </c>
      <c r="DM1266" s="303">
        <f>IF(LEFT(BT1266,1)=" ",RIGHT(BT1266,LEN(BT1266)-1),BT1266)</f>
        <v/>
      </c>
      <c r="DN1266" s="138">
        <f>_xlfn.CONCAT(BS1266,DM1266,BU1266,BV1266)</f>
        <v/>
      </c>
      <c r="DO1266" s="307" t="inlineStr">
        <is>
          <t>https://images.evo.com/imgp/250/208269/832637/head-kore-111-skis-2022-.jpg</t>
        </is>
      </c>
    </row>
    <row r="1267" ht="15.6" customHeight="1" s="184">
      <c r="B1267" s="303">
        <f t="array" ref="B1267">IF(OR(ISERROR(K1267:P1267)),FALSE,TRUE)</f>
        <v/>
      </c>
      <c r="C1267" s="60">
        <f>OR(BR1267=Driver!$G$50,Data!BR1041=Driver!$H$50)</f>
        <v/>
      </c>
      <c r="D1267" s="60">
        <f>OR(BV1267=Driver!$G$51,BV1267=Driver!$H$51)</f>
        <v/>
      </c>
      <c r="E1267" s="60">
        <f>AND(BX1267&gt;Driver!$F$54,BX1267&lt;Driver!$G$54)</f>
        <v/>
      </c>
      <c r="F1267" s="60">
        <f>CL1267&gt;Driver!$F$56</f>
        <v/>
      </c>
      <c r="G1267" s="60">
        <f>AND(CB1267&gt;Driver!$F$55,CB1267&lt;Driver!$G$55)</f>
        <v/>
      </c>
      <c r="H1267" s="60">
        <f>AND(B1267:G1267)</f>
        <v/>
      </c>
      <c r="I1267" s="60">
        <f>COUNTIFS($H$9:$H$1273,TRUE,$BT$9:$BT$1273,BT1267)</f>
        <v/>
      </c>
      <c r="J1267" s="60">
        <f t="array" ref="J1267">NOT(OR(($H$9:$H$1273=TRUE)*($I$9:$I$1273&gt;0)*($BT$9:$BT$1273=BT1267)*($K$9:$K$1273&gt;K1267)))</f>
        <v/>
      </c>
      <c r="K1267" s="108">
        <f>IFERROR(1-AVERAGE(X1267:Y1267),"")</f>
        <v/>
      </c>
      <c r="L1267" s="108">
        <f>1-X1267</f>
        <v/>
      </c>
      <c r="M1267" s="108">
        <f>1-Y1267</f>
        <v/>
      </c>
      <c r="N1267" s="108">
        <f>1-Z1267</f>
        <v/>
      </c>
      <c r="O1267" s="108">
        <f>1-AA1267</f>
        <v/>
      </c>
      <c r="P1267" s="108">
        <f>1-AB1267</f>
        <v/>
      </c>
      <c r="Q1267" s="108" t="n"/>
      <c r="R1267" s="108" t="n"/>
      <c r="S1267" s="108">
        <f>1-AE1267</f>
        <v/>
      </c>
      <c r="T1267" s="108">
        <f>1-AF1267</f>
        <v/>
      </c>
      <c r="U1267" s="108">
        <f>1-AG1267</f>
        <v/>
      </c>
      <c r="V1267" s="108">
        <f>1-AH1267</f>
        <v/>
      </c>
      <c r="W1267" s="108">
        <f>1-AI1267</f>
        <v/>
      </c>
      <c r="X1267" s="108">
        <f>ABS(AJ1267-AJ$1)</f>
        <v/>
      </c>
      <c r="Y1267" s="108">
        <f>AVERAGE(Z1267:AB1267)</f>
        <v/>
      </c>
      <c r="Z1267" s="108">
        <f>ABS(AL1267-AL$1)</f>
        <v/>
      </c>
      <c r="AA1267" s="108">
        <f>ABS(AM1267-AM$1)</f>
        <v/>
      </c>
      <c r="AB1267" s="108">
        <f>ABS(AN1267-AN$1)</f>
        <v/>
      </c>
      <c r="AC1267" s="108" t="n"/>
      <c r="AD1267" s="108" t="n"/>
      <c r="AE1267" s="108">
        <f>ABS(AQ$1-AQ1267)</f>
        <v/>
      </c>
      <c r="AF1267" s="108">
        <f>ABS(AR$1-AR1267)</f>
        <v/>
      </c>
      <c r="AG1267" s="108">
        <f>ABS(AS$1-AS1267)</f>
        <v/>
      </c>
      <c r="AH1267" s="108">
        <f>ABS(AT$1-AT1267)</f>
        <v/>
      </c>
      <c r="AI1267" s="108">
        <f>ABS(AU$1-AU1267)</f>
        <v/>
      </c>
      <c r="AJ1267" s="108">
        <f>(AV1267-Driver!$K$179)/(Driver!$L$179-Driver!$K$179)</f>
        <v/>
      </c>
      <c r="AK1267" s="108">
        <f>(AW1267-Driver!$K$180)/(Driver!$L$180-Driver!$K$180)</f>
        <v/>
      </c>
      <c r="AL1267" s="108">
        <f>(AX1267-Driver!$K$181)/(Driver!$L$181-Driver!$K$181)</f>
        <v/>
      </c>
      <c r="AM1267" s="108">
        <f>(AY1267-Driver!$K$182)/(Driver!$L$182-Driver!$K$182)</f>
        <v/>
      </c>
      <c r="AN1267" s="108">
        <f>(AZ1267-Driver!$K$183)/(Driver!$L$183-Driver!$K$183)</f>
        <v/>
      </c>
      <c r="AO1267" s="108" t="n"/>
      <c r="AP1267" s="108" t="n"/>
      <c r="AQ1267" s="108">
        <f>(BC1267-Driver!$K$188)/(Driver!$L$188-Driver!$K$188)</f>
        <v/>
      </c>
      <c r="AR1267" s="108">
        <f>MIN((BD1267-Driver!$K$189)/(Driver!$L$189-Driver!$K$189),100%)</f>
        <v/>
      </c>
      <c r="AS1267" s="108">
        <f>(BE1267-Driver!$K$190)/(Driver!$L$190-Driver!$K$190)</f>
        <v/>
      </c>
      <c r="AT1267" s="108">
        <f>(BF1267-Driver!$K$191)/(Driver!$L$191-Driver!$K$191)</f>
        <v/>
      </c>
      <c r="AU1267" s="108">
        <f>(BG1267-Driver!$K$192)/(Driver!$L$192-Driver!$K$192)</f>
        <v/>
      </c>
      <c r="AV1267" s="105">
        <f>IFERROR(BM1267*BJ1267^1/4,"")</f>
        <v/>
      </c>
      <c r="AW1267" s="105">
        <f>IFERROR(SUM(AX1267:AZ1267),"")</f>
        <v/>
      </c>
      <c r="AX1267" s="105">
        <f>IFERROR(BH1267,"")</f>
        <v/>
      </c>
      <c r="AY1267" s="105">
        <f>IFERROR(Driver!$K$19/Data!BH1267/Data!BI1267*Data!BK1267*Data!BL1267,"")</f>
        <v/>
      </c>
      <c r="AZ1267" s="105">
        <f>IFERROR(BI1267*BN1267,"")</f>
        <v/>
      </c>
      <c r="BA1267" s="105" t="n"/>
      <c r="BB1267" s="105" t="n"/>
      <c r="BC1267" s="105">
        <f>IFERROR(BI1267*BN1267*BK1267/BJ1267^(1/2),"")</f>
        <v/>
      </c>
      <c r="BD1267" s="105">
        <f>IFERROR(BH1267*BM1267*BL1267/BJ1267/BK1267,"")</f>
        <v/>
      </c>
      <c r="BE1267" s="105">
        <f>IFERROR(MIN(BI1267/BQ1267/BP1267/BO1267/BH1267,$BE$1),"")</f>
        <v/>
      </c>
      <c r="BF1267" s="105">
        <f>IFERROR(BJ1267*BO1267*BP1267/BK1267,"")</f>
        <v/>
      </c>
      <c r="BG1267" s="105">
        <f>IFERROR(1/BM1267/BH1267*BQ1267,"")</f>
        <v/>
      </c>
      <c r="BH1267" s="102">
        <f>MAX((CE1267-Driver!$F$200)/(Driver!$G$200-Driver!$F$200)*$BI$1,1)</f>
        <v/>
      </c>
      <c r="BI1267" s="102">
        <f>MAX($BI$1*(BY1267-Driver!$F$201)/(Driver!$G$201-Driver!$F$201),1)</f>
        <v/>
      </c>
      <c r="BJ1267" s="102">
        <f>(CB1267-Driver!$F$206)/(Driver!$G$206-Driver!$F$206)*$BI$1</f>
        <v/>
      </c>
      <c r="BK1267" s="102">
        <f>(CD1267-Driver!$F$203)/(Driver!$G$203-Driver!$F$203)*$BI$1</f>
        <v/>
      </c>
      <c r="BL1267" s="102">
        <f>MAX((CR1267-Driver!$F$202)/(Driver!$G$202-Driver!$F$202)*$BI$1,1)</f>
        <v/>
      </c>
      <c r="BM1267" s="102">
        <f>MAX((CH1267-Driver!$F$204)/(Driver!$G$204-Driver!$F$204)*$BI$1,1)</f>
        <v/>
      </c>
      <c r="BN1267" s="102">
        <f>(CI1267-Driver!$F$205)/(Driver!$G$205-Driver!$F$205)*$BI$1</f>
        <v/>
      </c>
      <c r="BO1267" s="102">
        <f>(CK1267-Driver!$F$207)/(Driver!$G$207-Driver!$F$207)*$BI$1</f>
        <v/>
      </c>
      <c r="BP1267" s="102">
        <f>(CM1267-Driver!$F$208)/(Driver!$G$208-Driver!$F$208)*$BI$1</f>
        <v/>
      </c>
      <c r="BQ1267" s="102">
        <f>(CL1267-Driver!$F$209)/(Driver!$G$209-Driver!$F$209)*$BI$1</f>
        <v/>
      </c>
      <c r="BR1267" s="40" t="inlineStr">
        <is>
          <t>21/22</t>
        </is>
      </c>
      <c r="BS1267" s="10" t="inlineStr">
        <is>
          <t xml:space="preserve"> Rossignol</t>
        </is>
      </c>
      <c r="BT1267" s="11" t="inlineStr">
        <is>
          <t>Hero Master M19 (R22)</t>
        </is>
      </c>
      <c r="BU1267" s="13" t="n">
        <v>179</v>
      </c>
      <c r="BV1267" s="11" t="inlineStr">
        <is>
          <t xml:space="preserve"> Unisex</t>
        </is>
      </c>
      <c r="BW1267" s="13" t="n">
        <v>179</v>
      </c>
      <c r="BX1267" s="13" t="n">
        <v>177.8</v>
      </c>
      <c r="BY1267" s="13" t="n">
        <v>160</v>
      </c>
      <c r="BZ1267" s="13" t="n">
        <v>171</v>
      </c>
      <c r="CA1267" s="13" t="n">
        <v>114</v>
      </c>
      <c r="CB1267" s="13" t="n">
        <v>69</v>
      </c>
      <c r="CC1267" s="13" t="n">
        <v>96</v>
      </c>
      <c r="CD1267" s="13" t="n">
        <v>20.2</v>
      </c>
      <c r="CE1267" s="13" t="n">
        <v>2241</v>
      </c>
      <c r="CF1267" s="13" t="n">
        <v>0.65</v>
      </c>
      <c r="CG1267" s="13" t="n">
        <v>1447</v>
      </c>
      <c r="CH1267" s="13" t="n">
        <v>271</v>
      </c>
      <c r="CI1267" s="13" t="n">
        <v>164</v>
      </c>
      <c r="CJ1267" s="13" t="n">
        <v>31</v>
      </c>
      <c r="CK1267" s="13" t="n">
        <v>121</v>
      </c>
      <c r="CL1267" s="13" t="n">
        <v>5</v>
      </c>
      <c r="CM1267" s="13" t="n">
        <v>58</v>
      </c>
      <c r="CN1267" s="13" t="n">
        <v>0.156</v>
      </c>
      <c r="CO1267" s="13" t="n">
        <v>30</v>
      </c>
      <c r="CP1267" s="13" t="n">
        <v>35</v>
      </c>
      <c r="CQ1267" s="13" t="n">
        <v>91</v>
      </c>
      <c r="CR1267" s="13" t="n">
        <v>10</v>
      </c>
      <c r="CS1267" s="13" t="n">
        <v>8.800000000000001</v>
      </c>
      <c r="CT1267" s="11" t="inlineStr">
        <is>
          <t xml:space="preserve"> On-Piste Carving</t>
        </is>
      </c>
      <c r="CU1267" s="13" t="n"/>
      <c r="CV1267" s="13" t="n"/>
      <c r="CW1267" s="13" t="n"/>
      <c r="CX1267">
        <f>INDEX('Data_Price '!AG$2:AG$1266,MATCH(Data!$DN1267,'Data_Price '!$AT$2:$AT$1266,0))</f>
        <v/>
      </c>
      <c r="CY1267">
        <f>INDEX('Data_Price '!AH$2:AH$1266,MATCH(Data!$DN1267,'Data_Price '!$AT$2:$AT$1266,0))</f>
        <v/>
      </c>
      <c r="CZ1267">
        <f>INDEX('Data_Price '!AI$2:AI$1266,MATCH(Data!$DN1267,'Data_Price '!$AT$2:$AT$1266,0))</f>
        <v/>
      </c>
      <c r="DA1267">
        <f>INDEX('Data_Price '!AJ$2:AJ$1266,MATCH(Data!$DN1267,'Data_Price '!$AT$2:$AT$1266,0))</f>
        <v/>
      </c>
      <c r="DB1267">
        <f>INDEX('Data_Price '!AK$2:AK$1266,MATCH(Data!$DN1267,'Data_Price '!$AT$2:$AT$1266,0))</f>
        <v/>
      </c>
      <c r="DC1267">
        <f>INDEX('Data_Price '!AL$2:AL$1266,MATCH(Data!$DN1267,'Data_Price '!$AT$2:$AT$1266,0))</f>
        <v/>
      </c>
      <c r="DD1267">
        <f>INDEX('Data_Price '!AM$2:AM$1266,MATCH(Data!$DN1267,'Data_Price '!$AT$2:$AT$1266,0))</f>
        <v/>
      </c>
      <c r="DE1267">
        <f>INDEX('Data_Price '!AN$2:AN$1266,MATCH(Data!$DN1267,'Data_Price '!$AT$2:$AT$1266,0))</f>
        <v/>
      </c>
      <c r="DF1267">
        <f>INDEX('Data_Price '!AO$2:AO$1266,MATCH(Data!$DN1267,'Data_Price '!$AT$2:$AT$1266,0))</f>
        <v/>
      </c>
      <c r="DG1267">
        <f>INDEX('Data_Price '!AP$2:AP$1266,MATCH(Data!$DN1267,'Data_Price '!$AT$2:$AT$1266,0))</f>
        <v/>
      </c>
      <c r="DH1267">
        <f>INDEX('Data_Price '!AQ$2:AQ$1266,MATCH(Data!$DN1267,'Data_Price '!$AT$2:$AT$1266,0))</f>
        <v/>
      </c>
      <c r="DI1267">
        <f>INDEX('Data_Price '!AR$2:AR$1266,MATCH(Data!$DN1267,'Data_Price '!$AT$2:$AT$1266,0))</f>
        <v/>
      </c>
      <c r="DJ1267" s="138">
        <f>DA1267</f>
        <v/>
      </c>
      <c r="DK1267" s="138">
        <f>DE1267</f>
        <v/>
      </c>
      <c r="DL1267" s="138">
        <f>DI1267</f>
        <v/>
      </c>
      <c r="DM1267" s="303">
        <f>IF(LEFT(BT1267,1)=" ",RIGHT(BT1267,LEN(BT1267)-1),BT1267)</f>
        <v/>
      </c>
      <c r="DN1267" s="138">
        <f>_xlfn.CONCAT(BS1267,DM1267,BU1267,BV1267)</f>
        <v/>
      </c>
      <c r="DO1267" s="307" t="n"/>
    </row>
    <row r="1268" ht="15.6" customHeight="1" s="184">
      <c r="B1268" s="303">
        <f t="array" ref="B1268">IF(OR(ISERROR(K1268:P1268)),FALSE,TRUE)</f>
        <v/>
      </c>
      <c r="C1268" s="60">
        <f>OR(BR1268=Driver!$G$50,Data!BR307=Driver!$H$50)</f>
        <v/>
      </c>
      <c r="D1268" s="60">
        <f>OR(BV1268=Driver!$G$51,BV1268=Driver!$H$51)</f>
        <v/>
      </c>
      <c r="E1268" s="60">
        <f>AND(BX1268&gt;Driver!$F$54,BX1268&lt;Driver!$G$54)</f>
        <v/>
      </c>
      <c r="F1268" s="60">
        <f>CL1268&gt;Driver!$F$56</f>
        <v/>
      </c>
      <c r="G1268" s="60">
        <f>AND(CB1268&gt;Driver!$F$55,CB1268&lt;Driver!$G$55)</f>
        <v/>
      </c>
      <c r="H1268" s="60">
        <f>AND(B1268:G1268)</f>
        <v/>
      </c>
      <c r="I1268" s="60">
        <f>COUNTIFS($H$9:$H$1273,TRUE,$BT$9:$BT$1273,BT1268)</f>
        <v/>
      </c>
      <c r="J1268" s="60">
        <f t="array" ref="J1268">NOT(OR(($H$9:$H$1273=TRUE)*($I$9:$I$1273&gt;0)*($BT$9:$BT$1273=BT1268)*($K$9:$K$1273&gt;K1268)))</f>
        <v/>
      </c>
      <c r="K1268" s="108">
        <f>IFERROR(1-AVERAGE(X1268:Y1268),"")</f>
        <v/>
      </c>
      <c r="L1268" s="108">
        <f>1-X1268</f>
        <v/>
      </c>
      <c r="M1268" s="108">
        <f>1-Y1268</f>
        <v/>
      </c>
      <c r="N1268" s="108">
        <f>1-Z1268</f>
        <v/>
      </c>
      <c r="O1268" s="108">
        <f>1-AA1268</f>
        <v/>
      </c>
      <c r="P1268" s="108">
        <f>1-AB1268</f>
        <v/>
      </c>
      <c r="Q1268" s="108" t="n"/>
      <c r="R1268" s="108" t="n"/>
      <c r="S1268" s="108">
        <f>1-AE1268</f>
        <v/>
      </c>
      <c r="T1268" s="108">
        <f>1-AF1268</f>
        <v/>
      </c>
      <c r="U1268" s="108">
        <f>1-AG1268</f>
        <v/>
      </c>
      <c r="V1268" s="108">
        <f>1-AH1268</f>
        <v/>
      </c>
      <c r="W1268" s="108">
        <f>1-AI1268</f>
        <v/>
      </c>
      <c r="X1268" s="108">
        <f>ABS(AJ1268-AJ$1)</f>
        <v/>
      </c>
      <c r="Y1268" s="108">
        <f>AVERAGE(Z1268:AB1268)</f>
        <v/>
      </c>
      <c r="Z1268" s="108">
        <f>ABS(AL1268-AL$1)</f>
        <v/>
      </c>
      <c r="AA1268" s="108">
        <f>ABS(AM1268-AM$1)</f>
        <v/>
      </c>
      <c r="AB1268" s="108">
        <f>ABS(AN1268-AN$1)</f>
        <v/>
      </c>
      <c r="AC1268" s="108" t="n"/>
      <c r="AD1268" s="108" t="n"/>
      <c r="AE1268" s="108">
        <f>ABS(AQ$1-AQ1268)</f>
        <v/>
      </c>
      <c r="AF1268" s="108">
        <f>ABS(AR$1-AR1268)</f>
        <v/>
      </c>
      <c r="AG1268" s="108">
        <f>ABS(AS$1-AS1268)</f>
        <v/>
      </c>
      <c r="AH1268" s="108">
        <f>ABS(AT$1-AT1268)</f>
        <v/>
      </c>
      <c r="AI1268" s="108">
        <f>ABS(AU$1-AU1268)</f>
        <v/>
      </c>
      <c r="AJ1268" s="108">
        <f>(AV1268-Driver!$K$179)/(Driver!$L$179-Driver!$K$179)</f>
        <v/>
      </c>
      <c r="AK1268" s="108">
        <f>(AW1268-Driver!$K$180)/(Driver!$L$180-Driver!$K$180)</f>
        <v/>
      </c>
      <c r="AL1268" s="108">
        <f>(AX1268-Driver!$K$181)/(Driver!$L$181-Driver!$K$181)</f>
        <v/>
      </c>
      <c r="AM1268" s="108">
        <f>(AY1268-Driver!$K$182)/(Driver!$L$182-Driver!$K$182)</f>
        <v/>
      </c>
      <c r="AN1268" s="108">
        <f>(AZ1268-Driver!$K$183)/(Driver!$L$183-Driver!$K$183)</f>
        <v/>
      </c>
      <c r="AO1268" s="108" t="n"/>
      <c r="AP1268" s="108" t="n"/>
      <c r="AQ1268" s="108">
        <f>(BC1268-Driver!$K$188)/(Driver!$L$188-Driver!$K$188)</f>
        <v/>
      </c>
      <c r="AR1268" s="108">
        <f>MIN((BD1268-Driver!$K$189)/(Driver!$L$189-Driver!$K$189),100%)</f>
        <v/>
      </c>
      <c r="AS1268" s="108">
        <f>(BE1268-Driver!$K$190)/(Driver!$L$190-Driver!$K$190)</f>
        <v/>
      </c>
      <c r="AT1268" s="108">
        <f>(BF1268-Driver!$K$191)/(Driver!$L$191-Driver!$K$191)</f>
        <v/>
      </c>
      <c r="AU1268" s="108">
        <f>(BG1268-Driver!$K$192)/(Driver!$L$192-Driver!$K$192)</f>
        <v/>
      </c>
      <c r="AV1268" s="105">
        <f>IFERROR(BM1268*BJ1268^1/4,"")</f>
        <v/>
      </c>
      <c r="AW1268" s="105">
        <f>IFERROR(SUM(AX1268:AZ1268),"")</f>
        <v/>
      </c>
      <c r="AX1268" s="105">
        <f>IFERROR(BH1268,"")</f>
        <v/>
      </c>
      <c r="AY1268" s="105">
        <f>IFERROR(Driver!$K$19/Data!BH1268/Data!BI1268*Data!BK1268*Data!BL1268,"")</f>
        <v/>
      </c>
      <c r="AZ1268" s="105">
        <f>IFERROR(BI1268*BN1268,"")</f>
        <v/>
      </c>
      <c r="BA1268" s="105" t="n"/>
      <c r="BB1268" s="105" t="n"/>
      <c r="BC1268" s="105">
        <f>IFERROR(BI1268*BN1268*BK1268/BJ1268^(1/2),"")</f>
        <v/>
      </c>
      <c r="BD1268" s="105">
        <f>IFERROR(BH1268*BM1268*BL1268/BJ1268/BK1268,"")</f>
        <v/>
      </c>
      <c r="BE1268" s="105">
        <f>IFERROR(MIN(BI1268/BQ1268/BP1268/BO1268/BH1268,$BE$1),"")</f>
        <v/>
      </c>
      <c r="BF1268" s="105">
        <f>IFERROR(BJ1268*BO1268*BP1268/BK1268,"")</f>
        <v/>
      </c>
      <c r="BG1268" s="105">
        <f>IFERROR(1/BM1268/BH1268*BQ1268,"")</f>
        <v/>
      </c>
      <c r="BH1268" s="102">
        <f>MAX((CE1268-Driver!$F$200)/(Driver!$G$200-Driver!$F$200)*$BI$1,1)</f>
        <v/>
      </c>
      <c r="BI1268" s="102">
        <f>MAX($BI$1*(BY1268-Driver!$F$201)/(Driver!$G$201-Driver!$F$201),1)</f>
        <v/>
      </c>
      <c r="BJ1268" s="102">
        <f>(CB1268-Driver!$F$206)/(Driver!$G$206-Driver!$F$206)*$BI$1</f>
        <v/>
      </c>
      <c r="BK1268" s="102">
        <f>(CD1268-Driver!$F$203)/(Driver!$G$203-Driver!$F$203)*$BI$1</f>
        <v/>
      </c>
      <c r="BL1268" s="102">
        <f>MAX((CR1268-Driver!$F$202)/(Driver!$G$202-Driver!$F$202)*$BI$1,1)</f>
        <v/>
      </c>
      <c r="BM1268" s="102">
        <f>MAX((CH1268-Driver!$F$204)/(Driver!$G$204-Driver!$F$204)*$BI$1,1)</f>
        <v/>
      </c>
      <c r="BN1268" s="102">
        <f>(CI1268-Driver!$F$205)/(Driver!$G$205-Driver!$F$205)*$BI$1</f>
        <v/>
      </c>
      <c r="BO1268" s="102">
        <f>(CK1268-Driver!$F$207)/(Driver!$G$207-Driver!$F$207)*$BI$1</f>
        <v/>
      </c>
      <c r="BP1268" s="102">
        <f>(CM1268-Driver!$F$208)/(Driver!$G$208-Driver!$F$208)*$BI$1</f>
        <v/>
      </c>
      <c r="BQ1268" s="102">
        <f>(CL1268-Driver!$F$209)/(Driver!$G$209-Driver!$F$209)*$BI$1</f>
        <v/>
      </c>
      <c r="BR1268" s="40" t="inlineStr">
        <is>
          <t>21/22</t>
        </is>
      </c>
      <c r="BS1268" s="10" t="inlineStr">
        <is>
          <t xml:space="preserve"> Blizzard</t>
        </is>
      </c>
      <c r="BT1268" s="11" t="inlineStr">
        <is>
          <t>Spur</t>
        </is>
      </c>
      <c r="BU1268" s="13" t="n">
        <v>189</v>
      </c>
      <c r="BV1268" s="11" t="inlineStr">
        <is>
          <t xml:space="preserve"> Unisex</t>
        </is>
      </c>
      <c r="BW1268" s="13" t="n">
        <v>189</v>
      </c>
      <c r="BX1268" s="13" t="n">
        <v>188.3</v>
      </c>
      <c r="BY1268" s="13" t="n">
        <v>131</v>
      </c>
      <c r="BZ1268" s="13" t="n">
        <v>137</v>
      </c>
      <c r="CA1268" s="13" t="n">
        <v>148</v>
      </c>
      <c r="CB1268" s="13" t="n">
        <v>127</v>
      </c>
      <c r="CC1268" s="13" t="n">
        <v>135</v>
      </c>
      <c r="CD1268" s="13" t="n">
        <v>30.2</v>
      </c>
      <c r="CE1268" s="13" t="n">
        <v>2214</v>
      </c>
      <c r="CF1268" s="13" t="n">
        <v>1.12</v>
      </c>
      <c r="CG1268" s="13" t="n">
        <v>2489</v>
      </c>
      <c r="CH1268" s="13" t="n">
        <v>298</v>
      </c>
      <c r="CI1268" s="13" t="n">
        <v>163</v>
      </c>
      <c r="CJ1268" s="13" t="n">
        <v>53</v>
      </c>
      <c r="CK1268" s="13" t="n">
        <v>445</v>
      </c>
      <c r="CL1268" s="13" t="n">
        <v>14</v>
      </c>
      <c r="CM1268" s="13" t="n">
        <v>131</v>
      </c>
      <c r="CN1268" s="13" t="n">
        <v>0.267</v>
      </c>
      <c r="CO1268" s="13" t="n">
        <v>273</v>
      </c>
      <c r="CP1268" s="13" t="n">
        <v>242</v>
      </c>
      <c r="CQ1268" s="13" t="n">
        <v>172</v>
      </c>
      <c r="CR1268" s="13" t="n">
        <v>3</v>
      </c>
      <c r="CS1268" s="13" t="n">
        <v>10.7</v>
      </c>
      <c r="CT1268" s="11" t="inlineStr">
        <is>
          <t xml:space="preserve"> Big Mountain</t>
        </is>
      </c>
      <c r="CU1268" s="11" t="inlineStr">
        <is>
          <t xml:space="preserve"> Touring</t>
        </is>
      </c>
      <c r="CV1268" s="13" t="n"/>
      <c r="CW1268" s="13" t="n"/>
      <c r="CX1268">
        <f>INDEX('Data_Price '!AG$2:AG$1266,MATCH(Data!$DN1268,'Data_Price '!$AT$2:$AT$1266,0))</f>
        <v/>
      </c>
      <c r="CY1268">
        <f>INDEX('Data_Price '!AH$2:AH$1266,MATCH(Data!$DN1268,'Data_Price '!$AT$2:$AT$1266,0))</f>
        <v/>
      </c>
      <c r="CZ1268">
        <f>INDEX('Data_Price '!AI$2:AI$1266,MATCH(Data!$DN1268,'Data_Price '!$AT$2:$AT$1266,0))</f>
        <v/>
      </c>
      <c r="DA1268">
        <f>INDEX('Data_Price '!AJ$2:AJ$1266,MATCH(Data!$DN1268,'Data_Price '!$AT$2:$AT$1266,0))</f>
        <v/>
      </c>
      <c r="DB1268">
        <f>INDEX('Data_Price '!AK$2:AK$1266,MATCH(Data!$DN1268,'Data_Price '!$AT$2:$AT$1266,0))</f>
        <v/>
      </c>
      <c r="DC1268">
        <f>INDEX('Data_Price '!AL$2:AL$1266,MATCH(Data!$DN1268,'Data_Price '!$AT$2:$AT$1266,0))</f>
        <v/>
      </c>
      <c r="DD1268">
        <f>INDEX('Data_Price '!AM$2:AM$1266,MATCH(Data!$DN1268,'Data_Price '!$AT$2:$AT$1266,0))</f>
        <v/>
      </c>
      <c r="DE1268">
        <f>INDEX('Data_Price '!AN$2:AN$1266,MATCH(Data!$DN1268,'Data_Price '!$AT$2:$AT$1266,0))</f>
        <v/>
      </c>
      <c r="DF1268">
        <f>INDEX('Data_Price '!AO$2:AO$1266,MATCH(Data!$DN1268,'Data_Price '!$AT$2:$AT$1266,0))</f>
        <v/>
      </c>
      <c r="DG1268">
        <f>INDEX('Data_Price '!AP$2:AP$1266,MATCH(Data!$DN1268,'Data_Price '!$AT$2:$AT$1266,0))</f>
        <v/>
      </c>
      <c r="DH1268">
        <f>INDEX('Data_Price '!AQ$2:AQ$1266,MATCH(Data!$DN1268,'Data_Price '!$AT$2:$AT$1266,0))</f>
        <v/>
      </c>
      <c r="DI1268">
        <f>INDEX('Data_Price '!AR$2:AR$1266,MATCH(Data!$DN1268,'Data_Price '!$AT$2:$AT$1266,0))</f>
        <v/>
      </c>
      <c r="DJ1268" s="138">
        <f>DA1268</f>
        <v/>
      </c>
      <c r="DK1268" s="138">
        <f>DE1268</f>
        <v/>
      </c>
      <c r="DL1268" s="138">
        <f>DI1268</f>
        <v/>
      </c>
      <c r="DM1268" s="303">
        <f>IF(LEFT(BT1268,1)=" ",RIGHT(BT1268,LEN(BT1268)-1),BT1268)</f>
        <v/>
      </c>
      <c r="DN1268" s="138">
        <f>_xlfn.CONCAT(BS1268,DM1268,BU1268,BV1268)</f>
        <v/>
      </c>
      <c r="DO1268" s="307" t="inlineStr">
        <is>
          <t>https://images.evo.com/imgp/250/176886/722696/clone.jpg</t>
        </is>
      </c>
    </row>
    <row r="1269" ht="15.6" customHeight="1" s="184">
      <c r="B1269" s="303">
        <f t="array" ref="B1269">IF(OR(ISERROR(K1269:P1269)),FALSE,TRUE)</f>
        <v/>
      </c>
      <c r="C1269" s="60">
        <f>OR(BR1269=Driver!$G$50,Data!BR1224=Driver!$H$50)</f>
        <v/>
      </c>
      <c r="D1269" s="60">
        <f>OR(BV1269=Driver!$G$51,BV1269=Driver!$H$51)</f>
        <v/>
      </c>
      <c r="E1269" s="60">
        <f>AND(BX1269&gt;Driver!$F$54,BX1269&lt;Driver!$G$54)</f>
        <v/>
      </c>
      <c r="F1269" s="60">
        <f>CL1269&gt;Driver!$F$56</f>
        <v/>
      </c>
      <c r="G1269" s="60">
        <f>AND(CB1269&gt;Driver!$F$55,CB1269&lt;Driver!$G$55)</f>
        <v/>
      </c>
      <c r="H1269" s="60">
        <f>AND(B1269:G1269)</f>
        <v/>
      </c>
      <c r="I1269" s="60">
        <f>COUNTIFS($H$9:$H$1273,TRUE,$BT$9:$BT$1273,BT1269)</f>
        <v/>
      </c>
      <c r="J1269" s="60">
        <f t="array" ref="J1269">NOT(OR(($H$9:$H$1273=TRUE)*($I$9:$I$1273&gt;0)*($BT$9:$BT$1273=BT1269)*($K$9:$K$1273&gt;K1269)))</f>
        <v/>
      </c>
      <c r="K1269" s="108">
        <f>IFERROR(1-AVERAGE(X1269:Y1269),"")</f>
        <v/>
      </c>
      <c r="L1269" s="108">
        <f>1-X1269</f>
        <v/>
      </c>
      <c r="M1269" s="108">
        <f>1-Y1269</f>
        <v/>
      </c>
      <c r="N1269" s="108">
        <f>1-Z1269</f>
        <v/>
      </c>
      <c r="O1269" s="108">
        <f>1-AA1269</f>
        <v/>
      </c>
      <c r="P1269" s="108">
        <f>1-AB1269</f>
        <v/>
      </c>
      <c r="Q1269" s="108" t="n"/>
      <c r="R1269" s="108" t="n"/>
      <c r="S1269" s="108">
        <f>1-AE1269</f>
        <v/>
      </c>
      <c r="T1269" s="108">
        <f>1-AF1269</f>
        <v/>
      </c>
      <c r="U1269" s="108">
        <f>1-AG1269</f>
        <v/>
      </c>
      <c r="V1269" s="108">
        <f>1-AH1269</f>
        <v/>
      </c>
      <c r="W1269" s="108">
        <f>1-AI1269</f>
        <v/>
      </c>
      <c r="X1269" s="108">
        <f>ABS(AJ1269-AJ$1)</f>
        <v/>
      </c>
      <c r="Y1269" s="108">
        <f>AVERAGE(Z1269:AB1269)</f>
        <v/>
      </c>
      <c r="Z1269" s="108">
        <f>ABS(AL1269-AL$1)</f>
        <v/>
      </c>
      <c r="AA1269" s="108">
        <f>ABS(AM1269-AM$1)</f>
        <v/>
      </c>
      <c r="AB1269" s="108">
        <f>ABS(AN1269-AN$1)</f>
        <v/>
      </c>
      <c r="AC1269" s="108" t="n"/>
      <c r="AD1269" s="108" t="n"/>
      <c r="AE1269" s="108">
        <f>ABS(AQ$1-AQ1269)</f>
        <v/>
      </c>
      <c r="AF1269" s="108">
        <f>ABS(AR$1-AR1269)</f>
        <v/>
      </c>
      <c r="AG1269" s="108">
        <f>ABS(AS$1-AS1269)</f>
        <v/>
      </c>
      <c r="AH1269" s="108">
        <f>ABS(AT$1-AT1269)</f>
        <v/>
      </c>
      <c r="AI1269" s="108">
        <f>ABS(AU$1-AU1269)</f>
        <v/>
      </c>
      <c r="AJ1269" s="108">
        <f>(AV1269-Driver!$K$179)/(Driver!$L$179-Driver!$K$179)</f>
        <v/>
      </c>
      <c r="AK1269" s="108">
        <f>(AW1269-Driver!$K$180)/(Driver!$L$180-Driver!$K$180)</f>
        <v/>
      </c>
      <c r="AL1269" s="108">
        <f>(AX1269-Driver!$K$181)/(Driver!$L$181-Driver!$K$181)</f>
        <v/>
      </c>
      <c r="AM1269" s="108">
        <f>(AY1269-Driver!$K$182)/(Driver!$L$182-Driver!$K$182)</f>
        <v/>
      </c>
      <c r="AN1269" s="108">
        <f>(AZ1269-Driver!$K$183)/(Driver!$L$183-Driver!$K$183)</f>
        <v/>
      </c>
      <c r="AO1269" s="108" t="n"/>
      <c r="AP1269" s="108" t="n"/>
      <c r="AQ1269" s="108">
        <f>(BC1269-Driver!$K$188)/(Driver!$L$188-Driver!$K$188)</f>
        <v/>
      </c>
      <c r="AR1269" s="108">
        <f>MIN((BD1269-Driver!$K$189)/(Driver!$L$189-Driver!$K$189),100%)</f>
        <v/>
      </c>
      <c r="AS1269" s="108">
        <f>(BE1269-Driver!$K$190)/(Driver!$L$190-Driver!$K$190)</f>
        <v/>
      </c>
      <c r="AT1269" s="108">
        <f>(BF1269-Driver!$K$191)/(Driver!$L$191-Driver!$K$191)</f>
        <v/>
      </c>
      <c r="AU1269" s="108">
        <f>(BG1269-Driver!$K$192)/(Driver!$L$192-Driver!$K$192)</f>
        <v/>
      </c>
      <c r="AV1269" s="105">
        <f>IFERROR(BM1269*BJ1269^1/4,"")</f>
        <v/>
      </c>
      <c r="AW1269" s="105">
        <f>IFERROR(SUM(AX1269:AZ1269),"")</f>
        <v/>
      </c>
      <c r="AX1269" s="105">
        <f>IFERROR(BH1269,"")</f>
        <v/>
      </c>
      <c r="AY1269" s="105">
        <f>IFERROR(Driver!$K$19/Data!BH1269/Data!BI1269*Data!BK1269*Data!BL1269,"")</f>
        <v/>
      </c>
      <c r="AZ1269" s="105">
        <f>IFERROR(BI1269*BN1269,"")</f>
        <v/>
      </c>
      <c r="BA1269" s="105" t="n"/>
      <c r="BB1269" s="105" t="n"/>
      <c r="BC1269" s="105">
        <f>IFERROR(BI1269*BN1269*BK1269/BJ1269^(1/2),"")</f>
        <v/>
      </c>
      <c r="BD1269" s="105">
        <f>IFERROR(BH1269*BM1269*BL1269/BJ1269/BK1269,"")</f>
        <v/>
      </c>
      <c r="BE1269" s="105">
        <f>IFERROR(MIN(BI1269/BQ1269/BP1269/BO1269/BH1269,$BE$1),"")</f>
        <v/>
      </c>
      <c r="BF1269" s="105">
        <f>IFERROR(BJ1269*BO1269*BP1269/BK1269,"")</f>
        <v/>
      </c>
      <c r="BG1269" s="105">
        <f>IFERROR(1/BM1269/BH1269*BQ1269,"")</f>
        <v/>
      </c>
      <c r="BH1269" s="102">
        <f>MAX((CE1269-Driver!$F$200)/(Driver!$G$200-Driver!$F$200)*$BI$1,1)</f>
        <v/>
      </c>
      <c r="BI1269" s="102">
        <f>MAX($BI$1*(BY1269-Driver!$F$201)/(Driver!$G$201-Driver!$F$201),1)</f>
        <v/>
      </c>
      <c r="BJ1269" s="102">
        <f>(CB1269-Driver!$F$206)/(Driver!$G$206-Driver!$F$206)*$BI$1</f>
        <v/>
      </c>
      <c r="BK1269" s="102">
        <f>(CD1269-Driver!$F$203)/(Driver!$G$203-Driver!$F$203)*$BI$1</f>
        <v/>
      </c>
      <c r="BL1269" s="102">
        <f>MAX((CR1269-Driver!$F$202)/(Driver!$G$202-Driver!$F$202)*$BI$1,1)</f>
        <v/>
      </c>
      <c r="BM1269" s="102">
        <f>MAX((CH1269-Driver!$F$204)/(Driver!$G$204-Driver!$F$204)*$BI$1,1)</f>
        <v/>
      </c>
      <c r="BN1269" s="102">
        <f>(CI1269-Driver!$F$205)/(Driver!$G$205-Driver!$F$205)*$BI$1</f>
        <v/>
      </c>
      <c r="BO1269" s="102">
        <f>(CK1269-Driver!$F$207)/(Driver!$G$207-Driver!$F$207)*$BI$1</f>
        <v/>
      </c>
      <c r="BP1269" s="102">
        <f>(CM1269-Driver!$F$208)/(Driver!$G$208-Driver!$F$208)*$BI$1</f>
        <v/>
      </c>
      <c r="BQ1269" s="102">
        <f>(CL1269-Driver!$F$209)/(Driver!$G$209-Driver!$F$209)*$BI$1</f>
        <v/>
      </c>
      <c r="BR1269" s="40" t="inlineStr">
        <is>
          <t>21/22</t>
        </is>
      </c>
      <c r="BS1269" s="10" t="inlineStr">
        <is>
          <t xml:space="preserve"> Völkl</t>
        </is>
      </c>
      <c r="BT1269" s="11" t="inlineStr">
        <is>
          <t>Mantra 102</t>
        </is>
      </c>
      <c r="BU1269" s="13" t="n">
        <v>191</v>
      </c>
      <c r="BV1269" s="11" t="inlineStr">
        <is>
          <t xml:space="preserve"> Unisex</t>
        </is>
      </c>
      <c r="BW1269" s="13" t="n">
        <v>191</v>
      </c>
      <c r="BX1269" s="13" t="n">
        <v>191.5</v>
      </c>
      <c r="BY1269" s="13" t="n">
        <v>150</v>
      </c>
      <c r="BZ1269" s="13" t="n">
        <v>169</v>
      </c>
      <c r="CA1269" s="13" t="n">
        <v>139</v>
      </c>
      <c r="CB1269" s="13" t="n">
        <v>101</v>
      </c>
      <c r="CC1269" s="13" t="n">
        <v>122</v>
      </c>
      <c r="CD1269" s="13" t="n">
        <v>23.4</v>
      </c>
      <c r="CE1269" s="13" t="n">
        <v>2410</v>
      </c>
      <c r="CF1269" s="13" t="n">
        <v>0.89</v>
      </c>
      <c r="CG1269" s="13" t="n">
        <v>2155</v>
      </c>
      <c r="CH1269" s="13" t="n">
        <v>263</v>
      </c>
      <c r="CI1269" s="13" t="n">
        <v>184</v>
      </c>
      <c r="CJ1269" s="13" t="n">
        <v>44</v>
      </c>
      <c r="CK1269" s="13" t="n">
        <v>251</v>
      </c>
      <c r="CL1269" s="13" t="n">
        <v>15</v>
      </c>
      <c r="CM1269" s="13" t="n">
        <v>163</v>
      </c>
      <c r="CN1269" s="13" t="n">
        <v>0.343</v>
      </c>
      <c r="CO1269" s="13" t="n">
        <v>130</v>
      </c>
      <c r="CP1269" s="13" t="n">
        <v>98</v>
      </c>
      <c r="CQ1269" s="13" t="n">
        <v>122</v>
      </c>
      <c r="CR1269" s="13" t="n">
        <v>5</v>
      </c>
      <c r="CS1269" s="13" t="n">
        <v>11.8</v>
      </c>
      <c r="CT1269" s="11" t="inlineStr">
        <is>
          <t xml:space="preserve"> Resort Freeride</t>
        </is>
      </c>
      <c r="CU1269" s="11" t="inlineStr">
        <is>
          <t xml:space="preserve"> Big Mountain</t>
        </is>
      </c>
      <c r="CV1269" s="13" t="n"/>
      <c r="CW1269" s="13" t="n"/>
      <c r="CX1269">
        <f>INDEX('Data_Price '!AG$2:AG$1266,MATCH(Data!$DN1269,'Data_Price '!$AT$2:$AT$1266,0))</f>
        <v/>
      </c>
      <c r="CY1269">
        <f>INDEX('Data_Price '!AH$2:AH$1266,MATCH(Data!$DN1269,'Data_Price '!$AT$2:$AT$1266,0))</f>
        <v/>
      </c>
      <c r="CZ1269">
        <f>INDEX('Data_Price '!AI$2:AI$1266,MATCH(Data!$DN1269,'Data_Price '!$AT$2:$AT$1266,0))</f>
        <v/>
      </c>
      <c r="DA1269">
        <f>INDEX('Data_Price '!AJ$2:AJ$1266,MATCH(Data!$DN1269,'Data_Price '!$AT$2:$AT$1266,0))</f>
        <v/>
      </c>
      <c r="DB1269">
        <f>INDEX('Data_Price '!AK$2:AK$1266,MATCH(Data!$DN1269,'Data_Price '!$AT$2:$AT$1266,0))</f>
        <v/>
      </c>
      <c r="DC1269">
        <f>INDEX('Data_Price '!AL$2:AL$1266,MATCH(Data!$DN1269,'Data_Price '!$AT$2:$AT$1266,0))</f>
        <v/>
      </c>
      <c r="DD1269">
        <f>INDEX('Data_Price '!AM$2:AM$1266,MATCH(Data!$DN1269,'Data_Price '!$AT$2:$AT$1266,0))</f>
        <v/>
      </c>
      <c r="DE1269">
        <f>INDEX('Data_Price '!AN$2:AN$1266,MATCH(Data!$DN1269,'Data_Price '!$AT$2:$AT$1266,0))</f>
        <v/>
      </c>
      <c r="DF1269">
        <f>INDEX('Data_Price '!AO$2:AO$1266,MATCH(Data!$DN1269,'Data_Price '!$AT$2:$AT$1266,0))</f>
        <v/>
      </c>
      <c r="DG1269">
        <f>INDEX('Data_Price '!AP$2:AP$1266,MATCH(Data!$DN1269,'Data_Price '!$AT$2:$AT$1266,0))</f>
        <v/>
      </c>
      <c r="DH1269">
        <f>INDEX('Data_Price '!AQ$2:AQ$1266,MATCH(Data!$DN1269,'Data_Price '!$AT$2:$AT$1266,0))</f>
        <v/>
      </c>
      <c r="DI1269">
        <f>INDEX('Data_Price '!AR$2:AR$1266,MATCH(Data!$DN1269,'Data_Price '!$AT$2:$AT$1266,0))</f>
        <v/>
      </c>
      <c r="DJ1269" s="138">
        <f>DA1269</f>
        <v/>
      </c>
      <c r="DK1269" s="138">
        <f>DE1269</f>
        <v/>
      </c>
      <c r="DL1269" s="138">
        <f>DI1269</f>
        <v/>
      </c>
      <c r="DM1269" s="303">
        <f>IF(LEFT(BT1269,1)=" ",RIGHT(BT1269,LEN(BT1269)-1),BT1269)</f>
        <v/>
      </c>
      <c r="DN1269" s="138">
        <f>_xlfn.CONCAT(BS1269,DM1269,BU1269,BV1269)</f>
        <v/>
      </c>
      <c r="DO1269" s="307" t="inlineStr">
        <is>
          <t>https://images.evo.com/imgp/250/208360/837592/volkl-mantra-102-skis-2022-.jpg</t>
        </is>
      </c>
    </row>
    <row r="1270">
      <c r="B1270" s="303">
        <f t="array" ref="B1270">IF(OR(ISERROR(K1270:P1270)),FALSE,TRUE)</f>
        <v/>
      </c>
      <c r="C1270" s="60">
        <f>OR(BR1270=Driver!$G$50,Data!BR710=Driver!$H$50)</f>
        <v/>
      </c>
      <c r="D1270" s="60">
        <f>OR(BV1270=Driver!$G$51,BV1270=Driver!$H$51)</f>
        <v/>
      </c>
      <c r="E1270" s="60">
        <f>AND(BX1270&gt;Driver!$F$54,BX1270&lt;Driver!$G$54)</f>
        <v/>
      </c>
      <c r="F1270" s="60">
        <f>CL1270&gt;Driver!$F$56</f>
        <v/>
      </c>
      <c r="G1270" s="60">
        <f>AND(CB1270&gt;Driver!$F$55,CB1270&lt;Driver!$G$55)</f>
        <v/>
      </c>
      <c r="H1270" s="60">
        <f>AND(B1270:G1270)</f>
        <v/>
      </c>
      <c r="I1270" s="60">
        <f>COUNTIFS($H$9:$H$1273,TRUE,$BT$9:$BT$1273,BT1270)</f>
        <v/>
      </c>
      <c r="J1270" s="60">
        <f t="array" ref="J1270">NOT(OR(($H$9:$H$1273=TRUE)*($I$9:$I$1273&gt;0)*($BT$9:$BT$1273=BT1270)*($K$9:$K$1273&gt;K1270)))</f>
        <v/>
      </c>
      <c r="K1270" s="108">
        <f>IFERROR(1-AVERAGE(X1270:Y1270),"")</f>
        <v/>
      </c>
      <c r="L1270" s="108">
        <f>1-X1270</f>
        <v/>
      </c>
      <c r="M1270" s="108">
        <f>1-Y1270</f>
        <v/>
      </c>
      <c r="N1270" s="108">
        <f>1-Z1270</f>
        <v/>
      </c>
      <c r="O1270" s="108">
        <f>1-AA1270</f>
        <v/>
      </c>
      <c r="P1270" s="108">
        <f>1-AB1270</f>
        <v/>
      </c>
      <c r="Q1270" s="108" t="n"/>
      <c r="R1270" s="108" t="n"/>
      <c r="S1270" s="108">
        <f>1-AE1270</f>
        <v/>
      </c>
      <c r="T1270" s="108">
        <f>1-AF1270</f>
        <v/>
      </c>
      <c r="U1270" s="108">
        <f>1-AG1270</f>
        <v/>
      </c>
      <c r="V1270" s="108">
        <f>1-AH1270</f>
        <v/>
      </c>
      <c r="W1270" s="108">
        <f>1-AI1270</f>
        <v/>
      </c>
      <c r="X1270" s="108">
        <f>ABS(AJ1270-AJ$1)</f>
        <v/>
      </c>
      <c r="Y1270" s="108">
        <f>AVERAGE(Z1270:AB1270)</f>
        <v/>
      </c>
      <c r="Z1270" s="108">
        <f>ABS(AL1270-AL$1)</f>
        <v/>
      </c>
      <c r="AA1270" s="108">
        <f>ABS(AM1270-AM$1)</f>
        <v/>
      </c>
      <c r="AB1270" s="108">
        <f>ABS(AN1270-AN$1)</f>
        <v/>
      </c>
      <c r="AC1270" s="108" t="n"/>
      <c r="AD1270" s="108" t="n"/>
      <c r="AE1270" s="108">
        <f>ABS(AQ$1-AQ1270)</f>
        <v/>
      </c>
      <c r="AF1270" s="108">
        <f>ABS(AR$1-AR1270)</f>
        <v/>
      </c>
      <c r="AG1270" s="108">
        <f>ABS(AS$1-AS1270)</f>
        <v/>
      </c>
      <c r="AH1270" s="108">
        <f>ABS(AT$1-AT1270)</f>
        <v/>
      </c>
      <c r="AI1270" s="108">
        <f>ABS(AU$1-AU1270)</f>
        <v/>
      </c>
      <c r="AJ1270" s="108">
        <f>(AV1270-Driver!$K$179)/(Driver!$L$179-Driver!$K$179)</f>
        <v/>
      </c>
      <c r="AK1270" s="108">
        <f>(AW1270-Driver!$K$180)/(Driver!$L$180-Driver!$K$180)</f>
        <v/>
      </c>
      <c r="AL1270" s="108">
        <f>(AX1270-Driver!$K$181)/(Driver!$L$181-Driver!$K$181)</f>
        <v/>
      </c>
      <c r="AM1270" s="108">
        <f>(AY1270-Driver!$K$182)/(Driver!$L$182-Driver!$K$182)</f>
        <v/>
      </c>
      <c r="AN1270" s="108">
        <f>(AZ1270-Driver!$K$183)/(Driver!$L$183-Driver!$K$183)</f>
        <v/>
      </c>
      <c r="AO1270" s="108" t="n"/>
      <c r="AP1270" s="108" t="n"/>
      <c r="AQ1270" s="108">
        <f>(BC1270-Driver!$K$188)/(Driver!$L$188-Driver!$K$188)</f>
        <v/>
      </c>
      <c r="AR1270" s="108">
        <f>MIN((BD1270-Driver!$K$189)/(Driver!$L$189-Driver!$K$189),100%)</f>
        <v/>
      </c>
      <c r="AS1270" s="108">
        <f>(BE1270-Driver!$K$190)/(Driver!$L$190-Driver!$K$190)</f>
        <v/>
      </c>
      <c r="AT1270" s="108">
        <f>(BF1270-Driver!$K$191)/(Driver!$L$191-Driver!$K$191)</f>
        <v/>
      </c>
      <c r="AU1270" s="108">
        <f>(BG1270-Driver!$K$192)/(Driver!$L$192-Driver!$K$192)</f>
        <v/>
      </c>
      <c r="AV1270" s="105">
        <f>IFERROR(BM1270*BJ1270^1/4,"")</f>
        <v/>
      </c>
      <c r="AW1270" s="105">
        <f>IFERROR(SUM(AX1270:AZ1270),"")</f>
        <v/>
      </c>
      <c r="AX1270" s="105">
        <f>IFERROR(BH1270,"")</f>
        <v/>
      </c>
      <c r="AY1270" s="105">
        <f>IFERROR(Driver!$K$19/Data!BH1270/Data!BI1270*Data!BK1270*Data!BL1270,"")</f>
        <v/>
      </c>
      <c r="AZ1270" s="105">
        <f>IFERROR(BI1270*BN1270,"")</f>
        <v/>
      </c>
      <c r="BA1270" s="105" t="n"/>
      <c r="BB1270" s="105" t="n"/>
      <c r="BC1270" s="105">
        <f>IFERROR(BI1270*BN1270*BK1270/BJ1270^(1/2),"")</f>
        <v/>
      </c>
      <c r="BD1270" s="105">
        <f>IFERROR(BH1270*BM1270*BL1270/BJ1270/BK1270,"")</f>
        <v/>
      </c>
      <c r="BE1270" s="105">
        <f>IFERROR(MIN(BI1270/BQ1270/BP1270/BO1270/BH1270,$BE$1),"")</f>
        <v/>
      </c>
      <c r="BF1270" s="105">
        <f>IFERROR(BJ1270*BO1270*BP1270/BK1270,"")</f>
        <v/>
      </c>
      <c r="BG1270" s="105">
        <f>IFERROR(1/BM1270/BH1270*BQ1270,"")</f>
        <v/>
      </c>
      <c r="BH1270" s="102">
        <f>MAX((CE1270-Driver!$F$200)/(Driver!$G$200-Driver!$F$200)*$BI$1,1)</f>
        <v/>
      </c>
      <c r="BI1270" s="102">
        <f>MAX($BI$1*(BY1270-Driver!$F$201)/(Driver!$G$201-Driver!$F$201),1)</f>
        <v/>
      </c>
      <c r="BJ1270" s="102">
        <f>(CB1270-Driver!$F$206)/(Driver!$G$206-Driver!$F$206)*$BI$1</f>
        <v/>
      </c>
      <c r="BK1270" s="102">
        <f>(CD1270-Driver!$F$203)/(Driver!$G$203-Driver!$F$203)*$BI$1</f>
        <v/>
      </c>
      <c r="BL1270" s="102">
        <f>MAX((CR1270-Driver!$F$202)/(Driver!$G$202-Driver!$F$202)*$BI$1,1)</f>
        <v/>
      </c>
      <c r="BM1270" s="102">
        <f>MAX((CH1270-Driver!$F$204)/(Driver!$G$204-Driver!$F$204)*$BI$1,1)</f>
        <v/>
      </c>
      <c r="BN1270" s="102">
        <f>(CI1270-Driver!$F$205)/(Driver!$G$205-Driver!$F$205)*$BI$1</f>
        <v/>
      </c>
      <c r="BO1270" s="102">
        <f>(CK1270-Driver!$F$207)/(Driver!$G$207-Driver!$F$207)*$BI$1</f>
        <v/>
      </c>
      <c r="BP1270" s="102">
        <f>(CM1270-Driver!$F$208)/(Driver!$G$208-Driver!$F$208)*$BI$1</f>
        <v/>
      </c>
      <c r="BQ1270" s="102">
        <f>(CL1270-Driver!$F$209)/(Driver!$G$209-Driver!$F$209)*$BI$1</f>
        <v/>
      </c>
      <c r="BR1270" s="40" t="inlineStr">
        <is>
          <t>21/22</t>
        </is>
      </c>
      <c r="BS1270" s="10" t="inlineStr">
        <is>
          <t xml:space="preserve"> K2</t>
        </is>
      </c>
      <c r="BT1270" s="11" t="inlineStr">
        <is>
          <t>Disruption 82 Ti</t>
        </is>
      </c>
      <c r="BU1270" s="13" t="n">
        <v>184</v>
      </c>
      <c r="BV1270" s="11" t="inlineStr">
        <is>
          <t xml:space="preserve"> Unisex</t>
        </is>
      </c>
      <c r="BW1270" s="13" t="n">
        <v>184</v>
      </c>
      <c r="BX1270" s="13" t="n">
        <v>184.5</v>
      </c>
      <c r="BY1270" s="13" t="n">
        <v>152</v>
      </c>
      <c r="BZ1270" s="13" t="n">
        <v>173</v>
      </c>
      <c r="CA1270" s="13" t="n">
        <v>125</v>
      </c>
      <c r="CB1270" s="13" t="n">
        <v>81</v>
      </c>
      <c r="CC1270" s="13" t="n">
        <v>111</v>
      </c>
      <c r="CD1270" s="13" t="n">
        <v>20.3</v>
      </c>
      <c r="CE1270" s="13" t="n">
        <v>2322</v>
      </c>
      <c r="CF1270" s="13" t="n">
        <v>0.75</v>
      </c>
      <c r="CG1270" s="13" t="n">
        <v>1743</v>
      </c>
      <c r="CH1270" s="13" t="n">
        <v>301</v>
      </c>
      <c r="CI1270" s="13" t="n">
        <v>203</v>
      </c>
      <c r="CJ1270" s="13" t="n">
        <v>35</v>
      </c>
      <c r="CK1270" s="13" t="n">
        <v>160</v>
      </c>
      <c r="CL1270" s="13" t="n">
        <v>8</v>
      </c>
      <c r="CM1270" s="13" t="n">
        <v>162</v>
      </c>
      <c r="CN1270" s="13" t="n">
        <v>0.233</v>
      </c>
      <c r="CO1270" s="13" t="n">
        <v>74</v>
      </c>
      <c r="CP1270" s="13" t="n">
        <v>40</v>
      </c>
      <c r="CQ1270" s="13" t="n">
        <v>86</v>
      </c>
      <c r="CR1270" s="13" t="n">
        <v>10</v>
      </c>
      <c r="CS1270" s="13" t="n">
        <v>11.4</v>
      </c>
      <c r="CT1270" s="11" t="inlineStr">
        <is>
          <t xml:space="preserve"> Resort Freeride</t>
        </is>
      </c>
      <c r="CU1270" s="13" t="n"/>
      <c r="CV1270" s="13" t="n"/>
      <c r="CW1270" s="13" t="n"/>
      <c r="CX1270">
        <f>INDEX('Data_Price '!AG$2:AG$1266,MATCH(Data!$DN1270,'Data_Price '!$AT$2:$AT$1266,0))</f>
        <v/>
      </c>
      <c r="CY1270">
        <f>INDEX('Data_Price '!AH$2:AH$1266,MATCH(Data!$DN1270,'Data_Price '!$AT$2:$AT$1266,0))</f>
        <v/>
      </c>
      <c r="CZ1270">
        <f>INDEX('Data_Price '!AI$2:AI$1266,MATCH(Data!$DN1270,'Data_Price '!$AT$2:$AT$1266,0))</f>
        <v/>
      </c>
      <c r="DA1270">
        <f>INDEX('Data_Price '!AJ$2:AJ$1266,MATCH(Data!$DN1270,'Data_Price '!$AT$2:$AT$1266,0))</f>
        <v/>
      </c>
      <c r="DB1270">
        <f>INDEX('Data_Price '!AK$2:AK$1266,MATCH(Data!$DN1270,'Data_Price '!$AT$2:$AT$1266,0))</f>
        <v/>
      </c>
      <c r="DC1270">
        <f>INDEX('Data_Price '!AL$2:AL$1266,MATCH(Data!$DN1270,'Data_Price '!$AT$2:$AT$1266,0))</f>
        <v/>
      </c>
      <c r="DD1270">
        <f>INDEX('Data_Price '!AM$2:AM$1266,MATCH(Data!$DN1270,'Data_Price '!$AT$2:$AT$1266,0))</f>
        <v/>
      </c>
      <c r="DE1270">
        <f>INDEX('Data_Price '!AN$2:AN$1266,MATCH(Data!$DN1270,'Data_Price '!$AT$2:$AT$1266,0))</f>
        <v/>
      </c>
      <c r="DF1270">
        <f>INDEX('Data_Price '!AO$2:AO$1266,MATCH(Data!$DN1270,'Data_Price '!$AT$2:$AT$1266,0))</f>
        <v/>
      </c>
      <c r="DG1270">
        <f>INDEX('Data_Price '!AP$2:AP$1266,MATCH(Data!$DN1270,'Data_Price '!$AT$2:$AT$1266,0))</f>
        <v/>
      </c>
      <c r="DH1270">
        <f>INDEX('Data_Price '!AQ$2:AQ$1266,MATCH(Data!$DN1270,'Data_Price '!$AT$2:$AT$1266,0))</f>
        <v/>
      </c>
      <c r="DI1270">
        <f>INDEX('Data_Price '!AR$2:AR$1266,MATCH(Data!$DN1270,'Data_Price '!$AT$2:$AT$1266,0))</f>
        <v/>
      </c>
      <c r="DJ1270" s="138">
        <f>DA1270</f>
        <v/>
      </c>
      <c r="DK1270" s="138">
        <f>DE1270</f>
        <v/>
      </c>
      <c r="DL1270" s="138">
        <f>DI1270</f>
        <v/>
      </c>
      <c r="DM1270" s="303">
        <f>IF(LEFT(BT1270,1)=" ",RIGHT(BT1270,LEN(BT1270)-1),BT1270)</f>
        <v/>
      </c>
      <c r="DN1270" s="138">
        <f>_xlfn.CONCAT(BS1270,DM1270,BU1270,BV1270)</f>
        <v/>
      </c>
    </row>
    <row r="1271">
      <c r="B1271" s="303">
        <f t="array" ref="B1271">IF(OR(ISERROR(K1271:P1271)),FALSE,TRUE)</f>
        <v/>
      </c>
      <c r="C1271" s="60">
        <f>OR(BR1271=Driver!$G$50,Data!BR1042=Driver!$H$50)</f>
        <v/>
      </c>
      <c r="D1271" s="60">
        <f>OR(BV1271=Driver!$G$51,BV1271=Driver!$H$51)</f>
        <v/>
      </c>
      <c r="E1271" s="60">
        <f>AND(BX1271&gt;Driver!$F$54,BX1271&lt;Driver!$G$54)</f>
        <v/>
      </c>
      <c r="F1271" s="60">
        <f>CL1271&gt;Driver!$F$56</f>
        <v/>
      </c>
      <c r="G1271" s="60">
        <f>AND(CB1271&gt;Driver!$F$55,CB1271&lt;Driver!$G$55)</f>
        <v/>
      </c>
      <c r="H1271" s="60">
        <f>AND(B1271:G1271)</f>
        <v/>
      </c>
      <c r="I1271" s="60">
        <f>COUNTIFS($H$9:$H$1273,TRUE,$BT$9:$BT$1273,BT1271)</f>
        <v/>
      </c>
      <c r="J1271" s="60">
        <f t="array" ref="J1271">NOT(OR(($H$9:$H$1273=TRUE)*($I$9:$I$1273&gt;0)*($BT$9:$BT$1273=BT1271)*($K$9:$K$1273&gt;K1271)))</f>
        <v/>
      </c>
      <c r="K1271" s="108">
        <f>IFERROR(1-AVERAGE(X1271:Y1271),"")</f>
        <v/>
      </c>
      <c r="L1271" s="108">
        <f>1-X1271</f>
        <v/>
      </c>
      <c r="M1271" s="108">
        <f>1-Y1271</f>
        <v/>
      </c>
      <c r="N1271" s="108">
        <f>1-Z1271</f>
        <v/>
      </c>
      <c r="O1271" s="108">
        <f>1-AA1271</f>
        <v/>
      </c>
      <c r="P1271" s="108">
        <f>1-AB1271</f>
        <v/>
      </c>
      <c r="Q1271" s="108" t="n"/>
      <c r="R1271" s="108" t="n"/>
      <c r="S1271" s="108">
        <f>1-AE1271</f>
        <v/>
      </c>
      <c r="T1271" s="108">
        <f>1-AF1271</f>
        <v/>
      </c>
      <c r="U1271" s="108">
        <f>1-AG1271</f>
        <v/>
      </c>
      <c r="V1271" s="108">
        <f>1-AH1271</f>
        <v/>
      </c>
      <c r="W1271" s="108">
        <f>1-AI1271</f>
        <v/>
      </c>
      <c r="X1271" s="108">
        <f>ABS(AJ1271-AJ$1)</f>
        <v/>
      </c>
      <c r="Y1271" s="108">
        <f>AVERAGE(Z1271:AB1271)</f>
        <v/>
      </c>
      <c r="Z1271" s="108">
        <f>ABS(AL1271-AL$1)</f>
        <v/>
      </c>
      <c r="AA1271" s="108">
        <f>ABS(AM1271-AM$1)</f>
        <v/>
      </c>
      <c r="AB1271" s="108">
        <f>ABS(AN1271-AN$1)</f>
        <v/>
      </c>
      <c r="AC1271" s="108" t="n"/>
      <c r="AD1271" s="108" t="n"/>
      <c r="AE1271" s="108">
        <f>ABS(AQ$1-AQ1271)</f>
        <v/>
      </c>
      <c r="AF1271" s="108">
        <f>ABS(AR$1-AR1271)</f>
        <v/>
      </c>
      <c r="AG1271" s="108">
        <f>ABS(AS$1-AS1271)</f>
        <v/>
      </c>
      <c r="AH1271" s="108">
        <f>ABS(AT$1-AT1271)</f>
        <v/>
      </c>
      <c r="AI1271" s="108">
        <f>ABS(AU$1-AU1271)</f>
        <v/>
      </c>
      <c r="AJ1271" s="108">
        <f>(AV1271-Driver!$K$179)/(Driver!$L$179-Driver!$K$179)</f>
        <v/>
      </c>
      <c r="AK1271" s="108">
        <f>(AW1271-Driver!$K$180)/(Driver!$L$180-Driver!$K$180)</f>
        <v/>
      </c>
      <c r="AL1271" s="108">
        <f>(AX1271-Driver!$K$181)/(Driver!$L$181-Driver!$K$181)</f>
        <v/>
      </c>
      <c r="AM1271" s="108">
        <f>(AY1271-Driver!$K$182)/(Driver!$L$182-Driver!$K$182)</f>
        <v/>
      </c>
      <c r="AN1271" s="108">
        <f>(AZ1271-Driver!$K$183)/(Driver!$L$183-Driver!$K$183)</f>
        <v/>
      </c>
      <c r="AO1271" s="108" t="n"/>
      <c r="AP1271" s="108" t="n"/>
      <c r="AQ1271" s="108">
        <f>(BC1271-Driver!$K$188)/(Driver!$L$188-Driver!$K$188)</f>
        <v/>
      </c>
      <c r="AR1271" s="108">
        <f>MIN((BD1271-Driver!$K$189)/(Driver!$L$189-Driver!$K$189),100%)</f>
        <v/>
      </c>
      <c r="AS1271" s="108">
        <f>(BE1271-Driver!$K$190)/(Driver!$L$190-Driver!$K$190)</f>
        <v/>
      </c>
      <c r="AT1271" s="108">
        <f>(BF1271-Driver!$K$191)/(Driver!$L$191-Driver!$K$191)</f>
        <v/>
      </c>
      <c r="AU1271" s="108">
        <f>(BG1271-Driver!$K$192)/(Driver!$L$192-Driver!$K$192)</f>
        <v/>
      </c>
      <c r="AV1271" s="105">
        <f>IFERROR(BM1271*BJ1271^1/4,"")</f>
        <v/>
      </c>
      <c r="AW1271" s="105">
        <f>IFERROR(SUM(AX1271:AZ1271),"")</f>
        <v/>
      </c>
      <c r="AX1271" s="105">
        <f>IFERROR(BH1271,"")</f>
        <v/>
      </c>
      <c r="AY1271" s="105">
        <f>IFERROR(Driver!$K$19/Data!BH1271/Data!BI1271*Data!BK1271*Data!BL1271,"")</f>
        <v/>
      </c>
      <c r="AZ1271" s="105">
        <f>IFERROR(BI1271*BN1271,"")</f>
        <v/>
      </c>
      <c r="BA1271" s="105" t="n"/>
      <c r="BB1271" s="105" t="n"/>
      <c r="BC1271" s="105">
        <f>IFERROR(BI1271*BN1271*BK1271/BJ1271^(1/2),"")</f>
        <v/>
      </c>
      <c r="BD1271" s="105">
        <f>IFERROR(BH1271*BM1271*BL1271/BJ1271/BK1271,"")</f>
        <v/>
      </c>
      <c r="BE1271" s="105">
        <f>IFERROR(MIN(BI1271/BQ1271/BP1271/BO1271/BH1271,$BE$1),"")</f>
        <v/>
      </c>
      <c r="BF1271" s="105">
        <f>IFERROR(BJ1271*BO1271*BP1271/BK1271,"")</f>
        <v/>
      </c>
      <c r="BG1271" s="105">
        <f>IFERROR(1/BM1271/BH1271*BQ1271,"")</f>
        <v/>
      </c>
      <c r="BH1271" s="102">
        <f>MAX((CE1271-Driver!$F$200)/(Driver!$G$200-Driver!$F$200)*$BI$1,1)</f>
        <v/>
      </c>
      <c r="BI1271" s="102">
        <f>MAX($BI$1*(BY1271-Driver!$F$201)/(Driver!$G$201-Driver!$F$201),1)</f>
        <v/>
      </c>
      <c r="BJ1271" s="102">
        <f>(CB1271-Driver!$F$206)/(Driver!$G$206-Driver!$F$206)*$BI$1</f>
        <v/>
      </c>
      <c r="BK1271" s="102">
        <f>(CD1271-Driver!$F$203)/(Driver!$G$203-Driver!$F$203)*$BI$1</f>
        <v/>
      </c>
      <c r="BL1271" s="102">
        <f>MAX((CR1271-Driver!$F$202)/(Driver!$G$202-Driver!$F$202)*$BI$1,1)</f>
        <v/>
      </c>
      <c r="BM1271" s="102">
        <f>MAX((CH1271-Driver!$F$204)/(Driver!$G$204-Driver!$F$204)*$BI$1,1)</f>
        <v/>
      </c>
      <c r="BN1271" s="102">
        <f>(CI1271-Driver!$F$205)/(Driver!$G$205-Driver!$F$205)*$BI$1</f>
        <v/>
      </c>
      <c r="BO1271" s="102">
        <f>(CK1271-Driver!$F$207)/(Driver!$G$207-Driver!$F$207)*$BI$1</f>
        <v/>
      </c>
      <c r="BP1271" s="102">
        <f>(CM1271-Driver!$F$208)/(Driver!$G$208-Driver!$F$208)*$BI$1</f>
        <v/>
      </c>
      <c r="BQ1271" s="102">
        <f>(CL1271-Driver!$F$209)/(Driver!$G$209-Driver!$F$209)*$BI$1</f>
        <v/>
      </c>
      <c r="BR1271" s="40" t="inlineStr">
        <is>
          <t>21/22</t>
        </is>
      </c>
      <c r="BS1271" s="10" t="inlineStr">
        <is>
          <t xml:space="preserve"> Rossignol</t>
        </is>
      </c>
      <c r="BT1271" s="11" t="inlineStr">
        <is>
          <t>Hero Master M21 (R22)</t>
        </is>
      </c>
      <c r="BU1271" s="13" t="n">
        <v>183</v>
      </c>
      <c r="BV1271" s="11" t="inlineStr">
        <is>
          <t xml:space="preserve"> Unisex</t>
        </is>
      </c>
      <c r="BW1271" s="13" t="n">
        <v>183</v>
      </c>
      <c r="BX1271" s="13" t="n">
        <v>183.1</v>
      </c>
      <c r="BY1271" s="13" t="n">
        <v>166</v>
      </c>
      <c r="BZ1271" s="13" t="n">
        <v>175</v>
      </c>
      <c r="CA1271" s="13" t="n">
        <v>114</v>
      </c>
      <c r="CB1271" s="13" t="n">
        <v>70</v>
      </c>
      <c r="CC1271" s="13" t="n">
        <v>95</v>
      </c>
      <c r="CD1271" s="13" t="n">
        <v>22.8</v>
      </c>
      <c r="CE1271" s="13" t="n">
        <v>2376</v>
      </c>
      <c r="CF1271" s="13" t="n">
        <v>0.63</v>
      </c>
      <c r="CG1271" s="13" t="n">
        <v>1500</v>
      </c>
      <c r="CH1271" s="13" t="n">
        <v>306</v>
      </c>
      <c r="CI1271" s="13" t="n">
        <v>173</v>
      </c>
      <c r="CJ1271" s="13" t="n">
        <v>31</v>
      </c>
      <c r="CK1271" s="13" t="n">
        <v>113</v>
      </c>
      <c r="CL1271" s="13" t="n">
        <v>5</v>
      </c>
      <c r="CM1271" s="13" t="n">
        <v>53</v>
      </c>
      <c r="CN1271" s="13" t="n">
        <v>0.153</v>
      </c>
      <c r="CO1271" s="13" t="n">
        <v>32</v>
      </c>
      <c r="CP1271" s="13" t="n">
        <v>48</v>
      </c>
      <c r="CQ1271" s="13" t="n">
        <v>82</v>
      </c>
      <c r="CR1271" s="13" t="n">
        <v>12</v>
      </c>
      <c r="CS1271" s="13" t="n">
        <v>8.9</v>
      </c>
      <c r="CT1271" s="11" t="inlineStr">
        <is>
          <t xml:space="preserve"> On-Piste Carving</t>
        </is>
      </c>
      <c r="CU1271" s="13" t="n"/>
      <c r="CV1271" s="13" t="n"/>
      <c r="CW1271" s="13" t="n"/>
      <c r="CX1271">
        <f>INDEX('Data_Price '!AG$2:AG$1266,MATCH(Data!$DN1271,'Data_Price '!$AT$2:$AT$1266,0))</f>
        <v/>
      </c>
      <c r="CY1271">
        <f>INDEX('Data_Price '!AH$2:AH$1266,MATCH(Data!$DN1271,'Data_Price '!$AT$2:$AT$1266,0))</f>
        <v/>
      </c>
      <c r="CZ1271">
        <f>INDEX('Data_Price '!AI$2:AI$1266,MATCH(Data!$DN1271,'Data_Price '!$AT$2:$AT$1266,0))</f>
        <v/>
      </c>
      <c r="DA1271">
        <f>INDEX('Data_Price '!AJ$2:AJ$1266,MATCH(Data!$DN1271,'Data_Price '!$AT$2:$AT$1266,0))</f>
        <v/>
      </c>
      <c r="DB1271">
        <f>INDEX('Data_Price '!AK$2:AK$1266,MATCH(Data!$DN1271,'Data_Price '!$AT$2:$AT$1266,0))</f>
        <v/>
      </c>
      <c r="DC1271">
        <f>INDEX('Data_Price '!AL$2:AL$1266,MATCH(Data!$DN1271,'Data_Price '!$AT$2:$AT$1266,0))</f>
        <v/>
      </c>
      <c r="DD1271">
        <f>INDEX('Data_Price '!AM$2:AM$1266,MATCH(Data!$DN1271,'Data_Price '!$AT$2:$AT$1266,0))</f>
        <v/>
      </c>
      <c r="DE1271">
        <f>INDEX('Data_Price '!AN$2:AN$1266,MATCH(Data!$DN1271,'Data_Price '!$AT$2:$AT$1266,0))</f>
        <v/>
      </c>
      <c r="DF1271">
        <f>INDEX('Data_Price '!AO$2:AO$1266,MATCH(Data!$DN1271,'Data_Price '!$AT$2:$AT$1266,0))</f>
        <v/>
      </c>
      <c r="DG1271">
        <f>INDEX('Data_Price '!AP$2:AP$1266,MATCH(Data!$DN1271,'Data_Price '!$AT$2:$AT$1266,0))</f>
        <v/>
      </c>
      <c r="DH1271">
        <f>INDEX('Data_Price '!AQ$2:AQ$1266,MATCH(Data!$DN1271,'Data_Price '!$AT$2:$AT$1266,0))</f>
        <v/>
      </c>
      <c r="DI1271">
        <f>INDEX('Data_Price '!AR$2:AR$1266,MATCH(Data!$DN1271,'Data_Price '!$AT$2:$AT$1266,0))</f>
        <v/>
      </c>
      <c r="DJ1271" s="138">
        <f>DA1271</f>
        <v/>
      </c>
      <c r="DK1271" s="138">
        <f>DE1271</f>
        <v/>
      </c>
      <c r="DL1271" s="138">
        <f>DI1271</f>
        <v/>
      </c>
      <c r="DM1271" s="303">
        <f>IF(LEFT(BT1271,1)=" ",RIGHT(BT1271,LEN(BT1271)-1),BT1271)</f>
        <v/>
      </c>
      <c r="DN1271" s="138">
        <f>_xlfn.CONCAT(BS1271,DM1271,BU1271,BV1271)</f>
        <v/>
      </c>
    </row>
    <row r="1272">
      <c r="B1272" s="303">
        <f t="array" ref="B1272">IF(OR(ISERROR(K1272:P1272)),FALSE,TRUE)</f>
        <v/>
      </c>
      <c r="C1272" s="60">
        <f>OR(BR1272=Driver!$G$50,Data!BR280=Driver!$H$50)</f>
        <v/>
      </c>
      <c r="D1272" s="60">
        <f>OR(BV1272=Driver!$G$51,BV1272=Driver!$H$51)</f>
        <v/>
      </c>
      <c r="E1272" s="60">
        <f>AND(BX1272&gt;Driver!$F$54,BX1272&lt;Driver!$G$54)</f>
        <v/>
      </c>
      <c r="F1272" s="60">
        <f>CL1272&gt;Driver!$F$56</f>
        <v/>
      </c>
      <c r="G1272" s="60">
        <f>AND(CB1272&gt;Driver!$F$55,CB1272&lt;Driver!$G$55)</f>
        <v/>
      </c>
      <c r="H1272" s="60">
        <f>AND(B1272:G1272)</f>
        <v/>
      </c>
      <c r="I1272" s="60">
        <f>COUNTIFS($H$9:$H$1273,TRUE,$BT$9:$BT$1273,BT1272)</f>
        <v/>
      </c>
      <c r="J1272" s="60">
        <f t="array" ref="J1272">NOT(OR(($H$9:$H$1273=TRUE)*($I$9:$I$1273&gt;0)*($BT$9:$BT$1273=BT1272)*($K$9:$K$1273&gt;K1272)))</f>
        <v/>
      </c>
      <c r="K1272" s="108">
        <f>IFERROR(1-AVERAGE(X1272:Y1272),"")</f>
        <v/>
      </c>
      <c r="L1272" s="108">
        <f>1-X1272</f>
        <v/>
      </c>
      <c r="M1272" s="108">
        <f>1-Y1272</f>
        <v/>
      </c>
      <c r="N1272" s="108">
        <f>1-Z1272</f>
        <v/>
      </c>
      <c r="O1272" s="108">
        <f>1-AA1272</f>
        <v/>
      </c>
      <c r="P1272" s="108">
        <f>1-AB1272</f>
        <v/>
      </c>
      <c r="Q1272" s="108" t="n"/>
      <c r="R1272" s="108" t="n"/>
      <c r="S1272" s="108">
        <f>1-AE1272</f>
        <v/>
      </c>
      <c r="T1272" s="108">
        <f>1-AF1272</f>
        <v/>
      </c>
      <c r="U1272" s="108">
        <f>1-AG1272</f>
        <v/>
      </c>
      <c r="V1272" s="108">
        <f>1-AH1272</f>
        <v/>
      </c>
      <c r="W1272" s="108">
        <f>1-AI1272</f>
        <v/>
      </c>
      <c r="X1272" s="108">
        <f>ABS(AJ1272-AJ$1)</f>
        <v/>
      </c>
      <c r="Y1272" s="108">
        <f>AVERAGE(Z1272:AB1272)</f>
        <v/>
      </c>
      <c r="Z1272" s="108">
        <f>ABS(AL1272-AL$1)</f>
        <v/>
      </c>
      <c r="AA1272" s="108">
        <f>ABS(AM1272-AM$1)</f>
        <v/>
      </c>
      <c r="AB1272" s="108">
        <f>ABS(AN1272-AN$1)</f>
        <v/>
      </c>
      <c r="AC1272" s="108" t="n"/>
      <c r="AD1272" s="108" t="n"/>
      <c r="AE1272" s="108">
        <f>ABS(AQ$1-AQ1272)</f>
        <v/>
      </c>
      <c r="AF1272" s="108">
        <f>ABS(AR$1-AR1272)</f>
        <v/>
      </c>
      <c r="AG1272" s="108">
        <f>ABS(AS$1-AS1272)</f>
        <v/>
      </c>
      <c r="AH1272" s="108">
        <f>ABS(AT$1-AT1272)</f>
        <v/>
      </c>
      <c r="AI1272" s="108">
        <f>ABS(AU$1-AU1272)</f>
        <v/>
      </c>
      <c r="AJ1272" s="108">
        <f>(AV1272-Driver!$K$179)/(Driver!$L$179-Driver!$K$179)</f>
        <v/>
      </c>
      <c r="AK1272" s="108">
        <f>(AW1272-Driver!$K$180)/(Driver!$L$180-Driver!$K$180)</f>
        <v/>
      </c>
      <c r="AL1272" s="108">
        <f>(AX1272-Driver!$K$181)/(Driver!$L$181-Driver!$K$181)</f>
        <v/>
      </c>
      <c r="AM1272" s="108">
        <f>(AY1272-Driver!$K$182)/(Driver!$L$182-Driver!$K$182)</f>
        <v/>
      </c>
      <c r="AN1272" s="108">
        <f>(AZ1272-Driver!$K$183)/(Driver!$L$183-Driver!$K$183)</f>
        <v/>
      </c>
      <c r="AO1272" s="108" t="n"/>
      <c r="AP1272" s="108" t="n"/>
      <c r="AQ1272" s="108">
        <f>(BC1272-Driver!$K$188)/(Driver!$L$188-Driver!$K$188)</f>
        <v/>
      </c>
      <c r="AR1272" s="108">
        <f>MIN((BD1272-Driver!$K$189)/(Driver!$L$189-Driver!$K$189),100%)</f>
        <v/>
      </c>
      <c r="AS1272" s="108">
        <f>(BE1272-Driver!$K$190)/(Driver!$L$190-Driver!$K$190)</f>
        <v/>
      </c>
      <c r="AT1272" s="108">
        <f>(BF1272-Driver!$K$191)/(Driver!$L$191-Driver!$K$191)</f>
        <v/>
      </c>
      <c r="AU1272" s="108">
        <f>(BG1272-Driver!$K$192)/(Driver!$L$192-Driver!$K$192)</f>
        <v/>
      </c>
      <c r="AV1272" s="105">
        <f>IFERROR(BM1272*BJ1272^1/4,"")</f>
        <v/>
      </c>
      <c r="AW1272" s="105">
        <f>IFERROR(SUM(AX1272:AZ1272),"")</f>
        <v/>
      </c>
      <c r="AX1272" s="105">
        <f>IFERROR(BH1272,"")</f>
        <v/>
      </c>
      <c r="AY1272" s="105">
        <f>IFERROR(Driver!$K$19/Data!BH1272/Data!BI1272*Data!BK1272*Data!BL1272,"")</f>
        <v/>
      </c>
      <c r="AZ1272" s="105">
        <f>IFERROR(BI1272*BN1272,"")</f>
        <v/>
      </c>
      <c r="BA1272" s="105" t="n"/>
      <c r="BB1272" s="105" t="n"/>
      <c r="BC1272" s="105">
        <f>IFERROR(BI1272*BN1272*BK1272/BJ1272^(1/2),"")</f>
        <v/>
      </c>
      <c r="BD1272" s="105">
        <f>IFERROR(BH1272*BM1272*BL1272/BJ1272/BK1272,"")</f>
        <v/>
      </c>
      <c r="BE1272" s="105">
        <f>IFERROR(MIN(BI1272/BQ1272/BP1272/BO1272/BH1272,$BE$1),"")</f>
        <v/>
      </c>
      <c r="BF1272" s="105">
        <f>IFERROR(BJ1272*BO1272*BP1272/BK1272,"")</f>
        <v/>
      </c>
      <c r="BG1272" s="105">
        <f>IFERROR(1/BM1272/BH1272*BQ1272,"")</f>
        <v/>
      </c>
      <c r="BH1272" s="102">
        <f>MAX((CE1272-Driver!$F$200)/(Driver!$G$200-Driver!$F$200)*$BI$1,1)</f>
        <v/>
      </c>
      <c r="BI1272" s="102">
        <f>MAX($BI$1*(BY1272-Driver!$F$201)/(Driver!$G$201-Driver!$F$201),1)</f>
        <v/>
      </c>
      <c r="BJ1272" s="102">
        <f>(CB1272-Driver!$F$206)/(Driver!$G$206-Driver!$F$206)*$BI$1</f>
        <v/>
      </c>
      <c r="BK1272" s="102">
        <f>(CD1272-Driver!$F$203)/(Driver!$G$203-Driver!$F$203)*$BI$1</f>
        <v/>
      </c>
      <c r="BL1272" s="102">
        <f>MAX((CR1272-Driver!$F$202)/(Driver!$G$202-Driver!$F$202)*$BI$1,1)</f>
        <v/>
      </c>
      <c r="BM1272" s="102">
        <f>MAX((CH1272-Driver!$F$204)/(Driver!$G$204-Driver!$F$204)*$BI$1,1)</f>
        <v/>
      </c>
      <c r="BN1272" s="102">
        <f>(CI1272-Driver!$F$205)/(Driver!$G$205-Driver!$F$205)*$BI$1</f>
        <v/>
      </c>
      <c r="BO1272" s="102">
        <f>(CK1272-Driver!$F$207)/(Driver!$G$207-Driver!$F$207)*$BI$1</f>
        <v/>
      </c>
      <c r="BP1272" s="102">
        <f>(CM1272-Driver!$F$208)/(Driver!$G$208-Driver!$F$208)*$BI$1</f>
        <v/>
      </c>
      <c r="BQ1272" s="102">
        <f>(CL1272-Driver!$F$209)/(Driver!$G$209-Driver!$F$209)*$BI$1</f>
        <v/>
      </c>
      <c r="BR1272" s="40" t="inlineStr">
        <is>
          <t>21/22</t>
        </is>
      </c>
      <c r="BS1272" s="10" t="inlineStr">
        <is>
          <t xml:space="preserve"> Blizzard</t>
        </is>
      </c>
      <c r="BT1272" s="11" t="inlineStr">
        <is>
          <t>Cochise 106</t>
        </is>
      </c>
      <c r="BU1272" s="13" t="n">
        <v>192</v>
      </c>
      <c r="BV1272" s="11" t="inlineStr">
        <is>
          <t xml:space="preserve"> Unisex</t>
        </is>
      </c>
      <c r="BW1272" s="13" t="n">
        <v>192</v>
      </c>
      <c r="BX1272" s="13" t="n">
        <v>190.3</v>
      </c>
      <c r="BY1272" s="13" t="n">
        <v>144</v>
      </c>
      <c r="BZ1272" s="13" t="n">
        <v>164</v>
      </c>
      <c r="CA1272" s="13" t="n">
        <v>136</v>
      </c>
      <c r="CB1272" s="13" t="n">
        <v>106</v>
      </c>
      <c r="CC1272" s="13" t="n">
        <v>123</v>
      </c>
      <c r="CD1272" s="13" t="n">
        <v>26.9</v>
      </c>
      <c r="CE1272" s="13" t="n">
        <v>2576</v>
      </c>
      <c r="CF1272" s="13" t="n">
        <v>0.84</v>
      </c>
      <c r="CG1272" s="13" t="n">
        <v>2176</v>
      </c>
      <c r="CH1272" s="13" t="n">
        <v>296</v>
      </c>
      <c r="CI1272" s="13" t="n">
        <v>195</v>
      </c>
      <c r="CJ1272" s="13" t="n">
        <v>52</v>
      </c>
      <c r="CK1272" s="13" t="n">
        <v>345</v>
      </c>
      <c r="CL1272" s="13" t="n">
        <v>13</v>
      </c>
      <c r="CM1272" s="13" t="n">
        <v>115</v>
      </c>
      <c r="CN1272" s="13" t="n">
        <v>0.255</v>
      </c>
      <c r="CO1272" s="13" t="n">
        <v>148</v>
      </c>
      <c r="CP1272" s="13" t="n">
        <v>112</v>
      </c>
      <c r="CQ1272" s="13" t="n">
        <v>197</v>
      </c>
      <c r="CR1272" s="13" t="n">
        <v>7</v>
      </c>
      <c r="CS1272" s="13" t="n">
        <v>11</v>
      </c>
      <c r="CT1272" s="11" t="inlineStr">
        <is>
          <t xml:space="preserve"> Big Mountain</t>
        </is>
      </c>
      <c r="CU1272" s="13" t="n"/>
      <c r="CV1272" s="13" t="n"/>
      <c r="CW1272" s="13" t="n"/>
      <c r="CX1272">
        <f>INDEX('Data_Price '!AG$2:AG$1266,MATCH(Data!$DN1272,'Data_Price '!$AT$2:$AT$1266,0))</f>
        <v/>
      </c>
      <c r="CY1272">
        <f>INDEX('Data_Price '!AH$2:AH$1266,MATCH(Data!$DN1272,'Data_Price '!$AT$2:$AT$1266,0))</f>
        <v/>
      </c>
      <c r="CZ1272">
        <f>INDEX('Data_Price '!AI$2:AI$1266,MATCH(Data!$DN1272,'Data_Price '!$AT$2:$AT$1266,0))</f>
        <v/>
      </c>
      <c r="DA1272">
        <f>INDEX('Data_Price '!AJ$2:AJ$1266,MATCH(Data!$DN1272,'Data_Price '!$AT$2:$AT$1266,0))</f>
        <v/>
      </c>
      <c r="DB1272">
        <f>INDEX('Data_Price '!AK$2:AK$1266,MATCH(Data!$DN1272,'Data_Price '!$AT$2:$AT$1266,0))</f>
        <v/>
      </c>
      <c r="DC1272">
        <f>INDEX('Data_Price '!AL$2:AL$1266,MATCH(Data!$DN1272,'Data_Price '!$AT$2:$AT$1266,0))</f>
        <v/>
      </c>
      <c r="DD1272">
        <f>INDEX('Data_Price '!AM$2:AM$1266,MATCH(Data!$DN1272,'Data_Price '!$AT$2:$AT$1266,0))</f>
        <v/>
      </c>
      <c r="DE1272">
        <f>INDEX('Data_Price '!AN$2:AN$1266,MATCH(Data!$DN1272,'Data_Price '!$AT$2:$AT$1266,0))</f>
        <v/>
      </c>
      <c r="DF1272">
        <f>INDEX('Data_Price '!AO$2:AO$1266,MATCH(Data!$DN1272,'Data_Price '!$AT$2:$AT$1266,0))</f>
        <v/>
      </c>
      <c r="DG1272">
        <f>INDEX('Data_Price '!AP$2:AP$1266,MATCH(Data!$DN1272,'Data_Price '!$AT$2:$AT$1266,0))</f>
        <v/>
      </c>
      <c r="DH1272">
        <f>INDEX('Data_Price '!AQ$2:AQ$1266,MATCH(Data!$DN1272,'Data_Price '!$AT$2:$AT$1266,0))</f>
        <v/>
      </c>
      <c r="DI1272">
        <f>INDEX('Data_Price '!AR$2:AR$1266,MATCH(Data!$DN1272,'Data_Price '!$AT$2:$AT$1266,0))</f>
        <v/>
      </c>
      <c r="DJ1272" s="138">
        <f>DA1272</f>
        <v/>
      </c>
      <c r="DK1272" s="138">
        <f>DE1272</f>
        <v/>
      </c>
      <c r="DL1272" s="138">
        <f>DI1272</f>
        <v/>
      </c>
      <c r="DM1272" s="303">
        <f>IF(LEFT(BT1272,1)=" ",RIGHT(BT1272,LEN(BT1272)-1),BT1272)</f>
        <v/>
      </c>
      <c r="DN1272" s="138">
        <f>_xlfn.CONCAT(BS1272,DM1272,BU1272,BV1272)</f>
        <v/>
      </c>
    </row>
    <row r="1273">
      <c r="B1273" s="303">
        <f t="array" ref="B1273">IF(OR(ISERROR(K1273:P1273)),FALSE,TRUE)</f>
        <v/>
      </c>
      <c r="C1273" s="60">
        <f>OR(BR1273=Driver!$G$50,Data!BR409=Driver!$H$50)</f>
        <v/>
      </c>
      <c r="D1273" s="60">
        <f>OR(BV1273=Driver!$G$51,BV1273=Driver!$H$51)</f>
        <v/>
      </c>
      <c r="E1273" s="60">
        <f>AND(BX1273&gt;Driver!$F$54,BX1273&lt;Driver!$G$54)</f>
        <v/>
      </c>
      <c r="F1273" s="60">
        <f>CL1273&gt;Driver!$F$56</f>
        <v/>
      </c>
      <c r="G1273" s="60">
        <f>AND(CB1273&gt;Driver!$F$55,CB1273&lt;Driver!$G$55)</f>
        <v/>
      </c>
      <c r="H1273" s="60">
        <f>AND(B1273:G1273)</f>
        <v/>
      </c>
      <c r="I1273" s="60">
        <f>COUNTIFS($H$9:$H$1273,TRUE,$BT$9:$BT$1273,BT1273)</f>
        <v/>
      </c>
      <c r="J1273" s="60">
        <f t="array" ref="J1273">NOT(OR(($H$9:$H$1273=TRUE)*($I$9:$I$1273&gt;0)*($BT$9:$BT$1273=BT1273)*($K$9:$K$1273&gt;K1273)))</f>
        <v/>
      </c>
      <c r="K1273" s="108">
        <f>IFERROR(1-AVERAGE(X1273:Y1273),"")</f>
        <v/>
      </c>
      <c r="L1273" s="108">
        <f>1-X1273</f>
        <v/>
      </c>
      <c r="M1273" s="108">
        <f>1-Y1273</f>
        <v/>
      </c>
      <c r="N1273" s="108">
        <f>1-Z1273</f>
        <v/>
      </c>
      <c r="O1273" s="108">
        <f>1-AA1273</f>
        <v/>
      </c>
      <c r="P1273" s="108">
        <f>1-AB1273</f>
        <v/>
      </c>
      <c r="Q1273" s="108" t="n"/>
      <c r="R1273" s="108" t="n"/>
      <c r="S1273" s="108">
        <f>1-AE1273</f>
        <v/>
      </c>
      <c r="T1273" s="108">
        <f>1-AF1273</f>
        <v/>
      </c>
      <c r="U1273" s="108">
        <f>1-AG1273</f>
        <v/>
      </c>
      <c r="V1273" s="108">
        <f>1-AH1273</f>
        <v/>
      </c>
      <c r="W1273" s="108">
        <f>1-AI1273</f>
        <v/>
      </c>
      <c r="X1273" s="108">
        <f>ABS(AJ1273-AJ$1)</f>
        <v/>
      </c>
      <c r="Y1273" s="108">
        <f>AVERAGE(Z1273:AB1273)</f>
        <v/>
      </c>
      <c r="Z1273" s="108">
        <f>ABS(AL1273-AL$1)</f>
        <v/>
      </c>
      <c r="AA1273" s="108">
        <f>ABS(AM1273-AM$1)</f>
        <v/>
      </c>
      <c r="AB1273" s="108">
        <f>ABS(AN1273-AN$1)</f>
        <v/>
      </c>
      <c r="AC1273" s="108" t="n"/>
      <c r="AD1273" s="108" t="n"/>
      <c r="AE1273" s="108">
        <f>ABS(AQ$1-AQ1273)</f>
        <v/>
      </c>
      <c r="AF1273" s="108">
        <f>ABS(AR$1-AR1273)</f>
        <v/>
      </c>
      <c r="AG1273" s="108">
        <f>ABS(AS$1-AS1273)</f>
        <v/>
      </c>
      <c r="AH1273" s="108">
        <f>ABS(AT$1-AT1273)</f>
        <v/>
      </c>
      <c r="AI1273" s="108">
        <f>ABS(AU$1-AU1273)</f>
        <v/>
      </c>
      <c r="AJ1273" s="108">
        <f>(AV1273-Driver!$K$179)/(Driver!$L$179-Driver!$K$179)</f>
        <v/>
      </c>
      <c r="AK1273" s="108">
        <f>(AW1273-Driver!$K$180)/(Driver!$L$180-Driver!$K$180)</f>
        <v/>
      </c>
      <c r="AL1273" s="108">
        <f>(AX1273-Driver!$K$181)/(Driver!$L$181-Driver!$K$181)</f>
        <v/>
      </c>
      <c r="AM1273" s="108">
        <f>(AY1273-Driver!$K$182)/(Driver!$L$182-Driver!$K$182)</f>
        <v/>
      </c>
      <c r="AN1273" s="108">
        <f>(AZ1273-Driver!$K$183)/(Driver!$L$183-Driver!$K$183)</f>
        <v/>
      </c>
      <c r="AO1273" s="108" t="n"/>
      <c r="AP1273" s="108" t="n"/>
      <c r="AQ1273" s="108">
        <f>(BC1273-Driver!$K$188)/(Driver!$L$188-Driver!$K$188)</f>
        <v/>
      </c>
      <c r="AR1273" s="108">
        <f>MIN((BD1273-Driver!$K$189)/(Driver!$L$189-Driver!$K$189),100%)</f>
        <v/>
      </c>
      <c r="AS1273" s="108">
        <f>(BE1273-Driver!$K$190)/(Driver!$L$190-Driver!$K$190)</f>
        <v/>
      </c>
      <c r="AT1273" s="108">
        <f>(BF1273-Driver!$K$191)/(Driver!$L$191-Driver!$K$191)</f>
        <v/>
      </c>
      <c r="AU1273" s="108">
        <f>(BG1273-Driver!$K$192)/(Driver!$L$192-Driver!$K$192)</f>
        <v/>
      </c>
      <c r="AV1273" s="105">
        <f>IFERROR(BM1273*BJ1273^1/4,"")</f>
        <v/>
      </c>
      <c r="AW1273" s="105">
        <f>IFERROR(SUM(AX1273:AZ1273),"")</f>
        <v/>
      </c>
      <c r="AX1273" s="105">
        <f>IFERROR(BH1273,"")</f>
        <v/>
      </c>
      <c r="AY1273" s="105">
        <f>IFERROR(Driver!$K$19/Data!BH1273/Data!BI1273*Data!BK1273*Data!BL1273,"")</f>
        <v/>
      </c>
      <c r="AZ1273" s="105">
        <f>IFERROR(BI1273*BN1273,"")</f>
        <v/>
      </c>
      <c r="BA1273" s="105" t="n"/>
      <c r="BB1273" s="105" t="n"/>
      <c r="BC1273" s="105">
        <f>IFERROR(BI1273*BN1273*BK1273/BJ1273^(1/2),"")</f>
        <v/>
      </c>
      <c r="BD1273" s="105">
        <f>IFERROR(BH1273*BM1273*BL1273/BJ1273/BK1273,"")</f>
        <v/>
      </c>
      <c r="BE1273" s="105">
        <f>IFERROR(MIN(BI1273/BQ1273/BP1273/BO1273/BH1273,$BE$1),"")</f>
        <v/>
      </c>
      <c r="BF1273" s="105">
        <f>IFERROR(BJ1273*BO1273*BP1273/BK1273,"")</f>
        <v/>
      </c>
      <c r="BG1273" s="105">
        <f>IFERROR(1/BM1273/BH1273*BQ1273,"")</f>
        <v/>
      </c>
      <c r="BH1273" s="102">
        <f>MAX((CE1273-Driver!$F$200)/(Driver!$G$200-Driver!$F$200)*$BI$1,1)</f>
        <v/>
      </c>
      <c r="BI1273" s="102">
        <f>MAX($BI$1*(BY1273-Driver!$F$201)/(Driver!$G$201-Driver!$F$201),1)</f>
        <v/>
      </c>
      <c r="BJ1273" s="102">
        <f>(CB1273-Driver!$F$206)/(Driver!$G$206-Driver!$F$206)*$BI$1</f>
        <v/>
      </c>
      <c r="BK1273" s="102">
        <f>(CD1273-Driver!$F$203)/(Driver!$G$203-Driver!$F$203)*$BI$1</f>
        <v/>
      </c>
      <c r="BL1273" s="102">
        <f>MAX((CR1273-Driver!$F$202)/(Driver!$G$202-Driver!$F$202)*$BI$1,1)</f>
        <v/>
      </c>
      <c r="BM1273" s="102">
        <f>MAX((CH1273-Driver!$F$204)/(Driver!$G$204-Driver!$F$204)*$BI$1,1)</f>
        <v/>
      </c>
      <c r="BN1273" s="102">
        <f>(CI1273-Driver!$F$205)/(Driver!$G$205-Driver!$F$205)*$BI$1</f>
        <v/>
      </c>
      <c r="BO1273" s="102">
        <f>(CK1273-Driver!$F$207)/(Driver!$G$207-Driver!$F$207)*$BI$1</f>
        <v/>
      </c>
      <c r="BP1273" s="102">
        <f>(CM1273-Driver!$F$208)/(Driver!$G$208-Driver!$F$208)*$BI$1</f>
        <v/>
      </c>
      <c r="BQ1273" s="102">
        <f>(CL1273-Driver!$F$209)/(Driver!$G$209-Driver!$F$209)*$BI$1</f>
        <v/>
      </c>
      <c r="BR1273" s="40" t="inlineStr">
        <is>
          <t>21/22</t>
        </is>
      </c>
      <c r="BS1273" s="10" t="inlineStr">
        <is>
          <t xml:space="preserve"> Dynastar</t>
        </is>
      </c>
      <c r="BT1273" s="11" t="inlineStr">
        <is>
          <t>M-Pro Pro Rider</t>
        </is>
      </c>
      <c r="BU1273" s="13" t="n">
        <v>192</v>
      </c>
      <c r="BV1273" s="11" t="inlineStr">
        <is>
          <t xml:space="preserve"> Unisex</t>
        </is>
      </c>
      <c r="BW1273" s="13" t="n">
        <v>192</v>
      </c>
      <c r="BX1273" s="13" t="n">
        <v>191</v>
      </c>
      <c r="BY1273" s="13" t="n">
        <v>159</v>
      </c>
      <c r="BZ1273" s="13" t="n">
        <v>161</v>
      </c>
      <c r="CA1273" s="13" t="n">
        <v>132</v>
      </c>
      <c r="CB1273" s="13" t="n">
        <v>104</v>
      </c>
      <c r="CC1273" s="13" t="n">
        <v>120</v>
      </c>
      <c r="CD1273" s="13" t="n">
        <v>27.9</v>
      </c>
      <c r="CE1273" s="13" t="n">
        <v>2657</v>
      </c>
      <c r="CF1273" s="13" t="n">
        <v>0.8100000000000001</v>
      </c>
      <c r="CG1273" s="13" t="n">
        <v>2147</v>
      </c>
      <c r="CH1273" s="13" t="n">
        <v>276</v>
      </c>
      <c r="CI1273" s="13" t="n">
        <v>174</v>
      </c>
      <c r="CJ1273" s="13" t="n">
        <v>33</v>
      </c>
      <c r="CK1273" s="13" t="n">
        <v>221</v>
      </c>
      <c r="CL1273" s="13" t="n">
        <v>11</v>
      </c>
      <c r="CM1273" s="13" t="n">
        <v>98</v>
      </c>
      <c r="CN1273" s="13" t="n">
        <v>0.32</v>
      </c>
      <c r="CO1273" s="13" t="n">
        <v>187</v>
      </c>
      <c r="CP1273" s="13" t="n">
        <v>114</v>
      </c>
      <c r="CQ1273" s="13" t="n">
        <v>34</v>
      </c>
      <c r="CR1273" s="13" t="n">
        <v>16</v>
      </c>
      <c r="CS1273" s="13" t="n">
        <v>12.4</v>
      </c>
      <c r="CT1273" s="11" t="inlineStr">
        <is>
          <t xml:space="preserve"> Resort Freeride</t>
        </is>
      </c>
      <c r="CU1273" s="11" t="inlineStr">
        <is>
          <t xml:space="preserve"> Big Mountain</t>
        </is>
      </c>
      <c r="CV1273" s="13" t="n"/>
      <c r="CW1273" s="13" t="n"/>
      <c r="CX1273">
        <f>INDEX('Data_Price '!AG$2:AG$1266,MATCH(Data!$DN1273,'Data_Price '!$AT$2:$AT$1266,0))</f>
        <v/>
      </c>
      <c r="CY1273">
        <f>INDEX('Data_Price '!AH$2:AH$1266,MATCH(Data!$DN1273,'Data_Price '!$AT$2:$AT$1266,0))</f>
        <v/>
      </c>
      <c r="CZ1273">
        <f>INDEX('Data_Price '!AI$2:AI$1266,MATCH(Data!$DN1273,'Data_Price '!$AT$2:$AT$1266,0))</f>
        <v/>
      </c>
      <c r="DA1273">
        <f>INDEX('Data_Price '!AJ$2:AJ$1266,MATCH(Data!$DN1273,'Data_Price '!$AT$2:$AT$1266,0))</f>
        <v/>
      </c>
      <c r="DB1273">
        <f>INDEX('Data_Price '!AK$2:AK$1266,MATCH(Data!$DN1273,'Data_Price '!$AT$2:$AT$1266,0))</f>
        <v/>
      </c>
      <c r="DC1273">
        <f>INDEX('Data_Price '!AL$2:AL$1266,MATCH(Data!$DN1273,'Data_Price '!$AT$2:$AT$1266,0))</f>
        <v/>
      </c>
      <c r="DD1273">
        <f>INDEX('Data_Price '!AM$2:AM$1266,MATCH(Data!$DN1273,'Data_Price '!$AT$2:$AT$1266,0))</f>
        <v/>
      </c>
      <c r="DE1273">
        <f>INDEX('Data_Price '!AN$2:AN$1266,MATCH(Data!$DN1273,'Data_Price '!$AT$2:$AT$1266,0))</f>
        <v/>
      </c>
      <c r="DF1273">
        <f>INDEX('Data_Price '!AO$2:AO$1266,MATCH(Data!$DN1273,'Data_Price '!$AT$2:$AT$1266,0))</f>
        <v/>
      </c>
      <c r="DG1273">
        <f>INDEX('Data_Price '!AP$2:AP$1266,MATCH(Data!$DN1273,'Data_Price '!$AT$2:$AT$1266,0))</f>
        <v/>
      </c>
      <c r="DH1273">
        <f>INDEX('Data_Price '!AQ$2:AQ$1266,MATCH(Data!$DN1273,'Data_Price '!$AT$2:$AT$1266,0))</f>
        <v/>
      </c>
      <c r="DI1273">
        <f>INDEX('Data_Price '!AR$2:AR$1266,MATCH(Data!$DN1273,'Data_Price '!$AT$2:$AT$1266,0))</f>
        <v/>
      </c>
      <c r="DJ1273" s="138">
        <f>DA1273</f>
        <v/>
      </c>
      <c r="DK1273" s="138">
        <f>DE1273</f>
        <v/>
      </c>
      <c r="DL1273" s="138">
        <f>DI1273</f>
        <v/>
      </c>
      <c r="DM1273" s="303">
        <f>IF(LEFT(BT1273,1)=" ",RIGHT(BT1273,LEN(BT1273)-1),BT1273)</f>
        <v/>
      </c>
      <c r="DN1273" s="138">
        <f>_xlfn.CONCAT(BS1273,DM1273,BU1273,BV1273)</f>
        <v/>
      </c>
    </row>
  </sheetData>
  <autoFilter ref="A8:DU1273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1"/>
  <sheetViews>
    <sheetView showGridLines="0" topLeftCell="A69" workbookViewId="0">
      <selection activeCell="G25" sqref="G25"/>
    </sheetView>
  </sheetViews>
  <sheetFormatPr baseColWidth="8"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T1480"/>
  <sheetViews>
    <sheetView showGridLines="0" workbookViewId="0">
      <selection activeCell="AS5" sqref="AS5"/>
    </sheetView>
  </sheetViews>
  <sheetFormatPr baseColWidth="8" defaultColWidth="8.6640625" defaultRowHeight="13.2" outlineLevelCol="0"/>
  <cols>
    <col width="2.77734375" customWidth="1" style="138" min="1" max="1"/>
    <col width="3.21875" customWidth="1" style="138" min="2" max="2"/>
    <col width="3.33203125" customWidth="1" style="138" min="3" max="4"/>
    <col width="16.33203125" customWidth="1" style="138" min="5" max="5"/>
    <col width="11.6640625" customWidth="1" style="138" min="6" max="6"/>
    <col width="13.21875" customWidth="1" style="138" min="7" max="7"/>
    <col width="17.44140625" customWidth="1" style="138" min="8" max="8"/>
    <col width="11.77734375" customWidth="1" style="138" min="9" max="11"/>
    <col width="12.33203125" customWidth="1" style="138" min="12" max="14"/>
    <col width="10.33203125" customWidth="1" style="138" min="15" max="37"/>
    <col width="8.6640625" customWidth="1" style="138" min="38" max="16384"/>
  </cols>
  <sheetData>
    <row r="1" customFormat="1" s="35">
      <c r="B1" s="32" t="inlineStr">
        <is>
          <t>Summary</t>
        </is>
      </c>
    </row>
    <row r="2" customFormat="1" s="33">
      <c r="C2" s="34" t="inlineStr">
        <is>
          <t>Survey line</t>
        </is>
      </c>
      <c r="D2" s="34" t="n"/>
    </row>
    <row r="3" customFormat="1" s="138">
      <c r="B3" s="245" t="n"/>
    </row>
    <row r="4" customFormat="1" s="138">
      <c r="A4" s="273" t="inlineStr">
        <is>
          <t>Start Date</t>
        </is>
      </c>
      <c r="B4" s="273" t="inlineStr">
        <is>
          <t>End Date</t>
        </is>
      </c>
      <c r="C4" s="273" t="inlineStr">
        <is>
          <t>Response Type</t>
        </is>
      </c>
      <c r="D4" s="273" t="inlineStr">
        <is>
          <t>IP Address</t>
        </is>
      </c>
      <c r="E4" s="273" t="inlineStr">
        <is>
          <t>Progress</t>
        </is>
      </c>
      <c r="F4" s="273" t="inlineStr">
        <is>
          <t>Duration (in seconds)</t>
        </is>
      </c>
      <c r="G4" s="273" t="inlineStr">
        <is>
          <t>Finished</t>
        </is>
      </c>
      <c r="H4" s="273" t="inlineStr">
        <is>
          <t>Recorded Date</t>
        </is>
      </c>
      <c r="I4" s="273" t="inlineStr">
        <is>
          <t>Response ID</t>
        </is>
      </c>
      <c r="J4" s="273" t="inlineStr">
        <is>
          <t>Recipient Last Name</t>
        </is>
      </c>
      <c r="K4" s="273" t="inlineStr">
        <is>
          <t>Recipient First Name</t>
        </is>
      </c>
      <c r="L4" s="273" t="inlineStr">
        <is>
          <t>Recipient Email</t>
        </is>
      </c>
      <c r="M4" s="273" t="inlineStr">
        <is>
          <t>External Data Reference</t>
        </is>
      </c>
      <c r="N4" s="273" t="inlineStr">
        <is>
          <t>Location Latitude</t>
        </is>
      </c>
      <c r="O4" s="273" t="inlineStr">
        <is>
          <t>Location Longitude</t>
        </is>
      </c>
      <c r="P4" s="273" t="inlineStr">
        <is>
          <t>Distribution Channel</t>
        </is>
      </c>
      <c r="Q4" s="273" t="inlineStr">
        <is>
          <t>User Language</t>
        </is>
      </c>
      <c r="R4" s="273" t="inlineStr">
        <is>
          <t>About yourself - Height</t>
        </is>
      </c>
      <c r="S4" s="273" t="inlineStr">
        <is>
          <t>About yourself - Weight (lbs)</t>
        </is>
      </c>
      <c r="T4" s="273" t="inlineStr">
        <is>
          <t>What are you looking for?</t>
        </is>
      </c>
      <c r="U4" s="273" t="inlineStr">
        <is>
          <t>Gender</t>
        </is>
      </c>
      <c r="V4" s="273" t="inlineStr">
        <is>
          <t>Time on each run type This helps us identify your ideal ski geometry and mechanical properties - Groomers</t>
        </is>
      </c>
      <c r="W4" s="273" t="inlineStr">
        <is>
          <t>Time on each run type This helps us identify your ideal ski geometry and mechanical properties - Moguls</t>
        </is>
      </c>
      <c r="X4" s="273" t="inlineStr">
        <is>
          <t>Time on each run type This helps us identify your ideal ski geometry and mechanical properties - Trees</t>
        </is>
      </c>
      <c r="Y4" s="273" t="inlineStr">
        <is>
          <t>Time on each run type This helps us identify your ideal ski geometry and mechanical properties - Powder</t>
        </is>
      </c>
      <c r="Z4" s="273" t="inlineStr">
        <is>
          <t>Time on each run type This helps us identify your ideal ski geometry and mechanical properties - Park</t>
        </is>
      </c>
      <c r="AA4" s="273" t="inlineStr">
        <is>
          <t>Speed versus maneuverability on groomers - Group</t>
        </is>
      </c>
      <c r="AB4" s="273" t="inlineStr">
        <is>
          <t>Speed versus maneuverability on groomers</t>
        </is>
      </c>
      <c r="AC4" s="273" t="inlineStr">
        <is>
          <t>Text</t>
        </is>
      </c>
      <c r="AD4" s="273" t="inlineStr">
        <is>
          <t>Time by run difficulty - IM_eWMyQtWz4rCJnj8</t>
        </is>
      </c>
      <c r="AE4" s="273" t="inlineStr">
        <is>
          <t>Time by run difficulty - IM_2aZzTj6El7gMR9Q</t>
        </is>
      </c>
      <c r="AF4" s="273" t="inlineStr">
        <is>
          <t>Time by run difficulty - IM_efJNaG01ezcxTIW</t>
        </is>
      </c>
      <c r="AG4" s="273" t="inlineStr">
        <is>
          <t>Time by run difficulty - IM_a33dip6GA1ZuyZ8</t>
        </is>
      </c>
      <c r="AH4" s="273" t="inlineStr">
        <is>
          <t>Time by run difficulty - IM_1GnlrPaWwPd6NJI</t>
        </is>
      </c>
      <c r="AI4" s="273" t="inlineStr">
        <is>
          <t>Will you ski backwards?
  This helps determine the tail type of your ski</t>
        </is>
      </c>
      <c r="AJ4" s="273" t="inlineStr">
        <is>
          <t>How often do you ride switch?</t>
        </is>
      </c>
      <c r="AK4" s="273" t="inlineStr">
        <is>
          <t>Budget - Selected Choice</t>
        </is>
      </c>
      <c r="AL4" s="273" t="inlineStr">
        <is>
          <t>Budget - Maximum budget, in $: - Text</t>
        </is>
      </c>
      <c r="AM4" s="273" t="inlineStr">
        <is>
          <t>Do you care about how your skis look?
  Don't worry, this won't remove any matches. Just helps us find your perfect ski</t>
        </is>
      </c>
      <c r="AN4" s="273" t="inlineStr">
        <is>
          <t>Desired theme and accent colors
select all</t>
        </is>
      </c>
      <c r="AO4" s="273" t="inlineStr">
        <is>
          <t>Desired styles</t>
        </is>
      </c>
      <c r="AP4" s="273" t="inlineStr">
        <is>
          <t>Where can we send your recommendation? - First name</t>
        </is>
      </c>
      <c r="AQ4" s="273" t="inlineStr">
        <is>
          <t>Where can we send your recommendation? - Email</t>
        </is>
      </c>
      <c r="AR4" s="273" t="inlineStr">
        <is>
          <t>Where can we send your recommendation? - Phone number</t>
        </is>
      </c>
    </row>
    <row r="5" s="184">
      <c r="A5" s="274" t="inlineStr">
        <is>
          <t>02/04/22 13:31</t>
        </is>
      </c>
      <c r="B5" s="274" t="inlineStr">
        <is>
          <t>02/04/22 13:34</t>
        </is>
      </c>
      <c r="C5" s="275" t="inlineStr">
        <is>
          <t>IP Address</t>
        </is>
      </c>
      <c r="D5" s="275" t="inlineStr">
        <is>
          <t>99.230.201.36</t>
        </is>
      </c>
      <c r="E5" t="n">
        <v>100</v>
      </c>
      <c r="F5" t="n">
        <v>206</v>
      </c>
      <c r="G5" s="275" t="b">
        <v>1</v>
      </c>
      <c r="H5" s="274" t="inlineStr">
        <is>
          <t>02/04/22 13:34</t>
        </is>
      </c>
      <c r="I5" s="275" t="inlineStr">
        <is>
          <t>R_2axhFwOGCDqg7tQ</t>
        </is>
      </c>
      <c r="J5" s="275" t="inlineStr"/>
      <c r="K5" s="275" t="inlineStr"/>
      <c r="L5" s="275" t="inlineStr"/>
      <c r="M5" s="275" t="inlineStr"/>
      <c r="N5" t="n">
        <v>43.66549683</v>
      </c>
      <c r="O5" t="n">
        <v>-79.42040253</v>
      </c>
      <c r="P5" s="275" t="inlineStr">
        <is>
          <t>anonymous</t>
        </is>
      </c>
      <c r="Q5" s="275" t="inlineStr">
        <is>
          <t>EN</t>
        </is>
      </c>
      <c r="R5" s="275" t="inlineStr"/>
      <c r="S5" s="275" t="inlineStr"/>
      <c r="T5" s="275" t="inlineStr"/>
      <c r="U5" s="275" t="inlineStr"/>
      <c r="V5" t="n">
        <v>23</v>
      </c>
      <c r="W5" t="inlineStr"/>
      <c r="X5" t="n">
        <v>37</v>
      </c>
      <c r="Y5" t="n">
        <v>41</v>
      </c>
      <c r="Z5" t="inlineStr"/>
      <c r="AA5" s="275" t="inlineStr">
        <is>
          <t>Detractor</t>
        </is>
      </c>
      <c r="AB5" s="275" t="n">
        <v>2</v>
      </c>
      <c r="AC5" s="275" t="inlineStr">
        <is>
          <t>Lake Louise</t>
        </is>
      </c>
      <c r="AD5" s="275" t="inlineStr"/>
      <c r="AE5" t="n">
        <v>12</v>
      </c>
      <c r="AF5" t="n">
        <v>53</v>
      </c>
      <c r="AG5" t="n">
        <v>46</v>
      </c>
      <c r="AH5" t="inlineStr"/>
      <c r="AI5" s="275" t="inlineStr"/>
      <c r="AJ5" s="275" t="inlineStr"/>
      <c r="AK5" s="275" t="inlineStr">
        <is>
          <t>Show me everything (default)</t>
        </is>
      </c>
      <c r="AL5" s="275" t="inlineStr"/>
      <c r="AM5" s="275" t="inlineStr">
        <is>
          <t>No, I mostly care about performance</t>
        </is>
      </c>
      <c r="AN5" s="275" t="inlineStr"/>
      <c r="AO5" s="275" t="inlineStr"/>
      <c r="AP5" s="275" t="inlineStr">
        <is>
          <t>Don</t>
        </is>
      </c>
      <c r="AQ5" s="275" t="inlineStr">
        <is>
          <t>Donforbes@hotmail.com</t>
        </is>
      </c>
      <c r="AR5" s="275" t="inlineStr">
        <is>
          <t>4165555454</t>
        </is>
      </c>
      <c r="AS5" s="275" t="n"/>
      <c r="AT5" s="275" t="n"/>
    </row>
    <row r="6" ht="13.8" customFormat="1" customHeight="1" s="241">
      <c r="A6" s="242" t="n"/>
      <c r="B6" s="242" t="n"/>
      <c r="C6" s="243" t="n"/>
      <c r="D6" s="243" t="n"/>
      <c r="G6" s="243" t="n"/>
      <c r="H6" s="242" t="n"/>
      <c r="I6" s="243" t="n"/>
      <c r="J6" s="243" t="n"/>
      <c r="K6" s="243" t="n"/>
      <c r="L6" s="243" t="n"/>
      <c r="M6" s="243" t="n"/>
      <c r="P6" s="243" t="n"/>
      <c r="Q6" s="243" t="n"/>
      <c r="R6" s="243" t="n"/>
      <c r="S6" s="243" t="n"/>
      <c r="T6" s="243" t="n"/>
      <c r="U6" s="243" t="n"/>
      <c r="V6" s="243" t="n"/>
      <c r="W6" s="243" t="n"/>
      <c r="AC6" s="243" t="n"/>
      <c r="AE6" s="243" t="n"/>
      <c r="AK6" s="243" t="n"/>
      <c r="AL6" s="243" t="n"/>
      <c r="AM6" s="243" t="n"/>
      <c r="AN6" s="243" t="n"/>
    </row>
    <row r="7" customFormat="1" s="33">
      <c r="C7" s="34" t="inlineStr">
        <is>
          <t>Inputs</t>
        </is>
      </c>
      <c r="D7" s="34" t="n"/>
    </row>
    <row r="9">
      <c r="E9" s="162" t="inlineStr">
        <is>
          <t>Input</t>
        </is>
      </c>
    </row>
    <row r="10">
      <c r="E10" s="17" t="inlineStr">
        <is>
          <t>Assumption</t>
        </is>
      </c>
    </row>
    <row r="11">
      <c r="E11" s="17" t="n"/>
    </row>
    <row r="12">
      <c r="E12" s="99" t="inlineStr">
        <is>
          <t>Physical</t>
        </is>
      </c>
    </row>
    <row r="13">
      <c r="E13" s="179" t="inlineStr">
        <is>
          <t>Height</t>
        </is>
      </c>
      <c r="F13" s="298">
        <f>R5</f>
        <v/>
      </c>
    </row>
    <row r="14">
      <c r="E14" s="203" t="inlineStr">
        <is>
          <t>Height, mod (ft)</t>
        </is>
      </c>
      <c r="F14" s="137">
        <f>LEFT(F13,FIND("'",F13,1)-1)</f>
        <v/>
      </c>
      <c r="H14" s="138" t="n"/>
      <c r="I14" s="138" t="n"/>
    </row>
    <row r="15">
      <c r="E15" s="203" t="inlineStr">
        <is>
          <t>Height, mod (in)</t>
        </is>
      </c>
      <c r="F15" s="137">
        <f>LEFT(RIGHT(F13,LEN(F13)-FIND(" ",F13,1)),LEN(F13)-5)</f>
        <v/>
      </c>
      <c r="H15" s="138" t="n"/>
      <c r="I15" s="138" t="n"/>
    </row>
    <row r="16">
      <c r="E16" s="203" t="inlineStr">
        <is>
          <t>Height (cm)</t>
        </is>
      </c>
      <c r="F16" s="138">
        <f>(F14*12+F15)*2.54</f>
        <v/>
      </c>
      <c r="H16" s="138" t="n"/>
      <c r="I16" s="138" t="n"/>
    </row>
    <row r="17">
      <c r="H17" s="138" t="n"/>
      <c r="I17" s="138" t="n"/>
    </row>
    <row r="18">
      <c r="G18" s="138" t="inlineStr">
        <is>
          <t xml:space="preserve">Min </t>
        </is>
      </c>
      <c r="H18" s="138" t="inlineStr">
        <is>
          <t>Max</t>
        </is>
      </c>
      <c r="I18" s="138" t="inlineStr">
        <is>
          <t>ND-min</t>
        </is>
      </c>
      <c r="J18" s="138" t="inlineStr">
        <is>
          <t>ND-max</t>
        </is>
      </c>
      <c r="K18" s="138" t="inlineStr">
        <is>
          <t>Non-dimensional</t>
        </is>
      </c>
    </row>
    <row r="19">
      <c r="E19" s="138" t="inlineStr">
        <is>
          <t>Weight</t>
        </is>
      </c>
      <c r="F19" s="276">
        <f>S5</f>
        <v/>
      </c>
      <c r="G19" s="138" t="n">
        <v>100</v>
      </c>
      <c r="H19" s="138" t="n">
        <v>200</v>
      </c>
      <c r="I19" s="91" t="n">
        <v>0</v>
      </c>
      <c r="J19" s="91">
        <f>100%</f>
        <v/>
      </c>
      <c r="K19" s="91">
        <f>MIN((F19-G19)/(H19-G19),100%)</f>
        <v/>
      </c>
    </row>
    <row r="20">
      <c r="H20" s="138" t="n"/>
      <c r="I20" s="138" t="n"/>
    </row>
    <row r="21">
      <c r="E21" s="99" t="inlineStr">
        <is>
          <t>Run type</t>
        </is>
      </c>
      <c r="F21" s="138" t="n"/>
      <c r="G21" s="138" t="n"/>
      <c r="H21" s="138" t="n"/>
      <c r="I21" s="138" t="n"/>
      <c r="J21" s="16" t="n"/>
    </row>
    <row r="22">
      <c r="E22" s="138" t="inlineStr">
        <is>
          <t>Groomers</t>
        </is>
      </c>
      <c r="F22" s="162">
        <f t="array" ref="F22:F26">TRANSPOSE(V5:Z5)</f>
        <v/>
      </c>
      <c r="G22" s="91">
        <f>IFERROR(F22/100,0%)</f>
        <v/>
      </c>
      <c r="H22" s="138" t="n"/>
      <c r="I22" s="138" t="n"/>
    </row>
    <row r="23">
      <c r="E23" s="89" t="inlineStr">
        <is>
          <t>Moguls</t>
        </is>
      </c>
      <c r="F23" s="162" t="n">
        <v>10</v>
      </c>
      <c r="G23" s="91">
        <f>IFERROR(F23/100,0%)</f>
        <v/>
      </c>
      <c r="H23" s="58" t="inlineStr">
        <is>
          <t>&lt;--seems like good "mogul" skis are diverse, and no one is doing perfect hard packed moguls, so this will vary</t>
        </is>
      </c>
      <c r="I23" s="138" t="n"/>
    </row>
    <row r="24">
      <c r="E24" s="138" t="inlineStr">
        <is>
          <t>Trees</t>
        </is>
      </c>
      <c r="F24" s="162" t="n">
        <v>77</v>
      </c>
      <c r="G24" s="91">
        <f>IFERROR(F24/100,0%)</f>
        <v/>
      </c>
      <c r="H24" s="138" t="n"/>
      <c r="I24" s="138" t="n"/>
    </row>
    <row r="25">
      <c r="E25" s="138" t="inlineStr">
        <is>
          <t>Powder</t>
        </is>
      </c>
      <c r="F25" s="162" t="n">
        <v>50</v>
      </c>
      <c r="G25" s="91">
        <f>IFERROR(F25/100,0%)</f>
        <v/>
      </c>
      <c r="H25" s="138" t="n"/>
      <c r="I25" s="138" t="n"/>
    </row>
    <row r="26">
      <c r="E26" s="89" t="inlineStr">
        <is>
          <t>Park</t>
        </is>
      </c>
      <c r="F26" s="162" t="n">
        <v>85</v>
      </c>
      <c r="G26" s="91">
        <f>IFERROR(F26/100,0%)</f>
        <v/>
      </c>
      <c r="H26" s="89" t="inlineStr">
        <is>
          <t>&lt;--deprioritize and create "coming soon" in input survey explanation</t>
        </is>
      </c>
      <c r="I26" s="138" t="n"/>
    </row>
    <row r="27">
      <c r="E27" s="92" t="inlineStr">
        <is>
          <t>Non-groomer</t>
        </is>
      </c>
      <c r="F27" s="138">
        <f>SUM(F23:F25)</f>
        <v/>
      </c>
      <c r="G27" s="91">
        <f>IFERROR(F27/100,0%)</f>
        <v/>
      </c>
      <c r="H27" s="138" t="n"/>
      <c r="I27" s="138" t="n"/>
    </row>
    <row r="28">
      <c r="H28" s="138" t="n"/>
      <c r="I28" s="138" t="n"/>
    </row>
    <row r="29">
      <c r="E29" s="99" t="inlineStr">
        <is>
          <t>Skill level</t>
        </is>
      </c>
      <c r="I29" s="138" t="n"/>
      <c r="J29" s="138" t="n"/>
      <c r="K29" s="138" t="n"/>
      <c r="L29" s="138" t="n"/>
    </row>
    <row r="30">
      <c r="F30" s="138" t="inlineStr">
        <is>
          <t>Input (raw)</t>
        </is>
      </c>
      <c r="G30" s="138" t="inlineStr">
        <is>
          <t>Relative input (%)</t>
        </is>
      </c>
      <c r="H30" s="138" t="inlineStr">
        <is>
          <t>Skill weight</t>
        </is>
      </c>
      <c r="I30" s="138" t="n"/>
    </row>
    <row r="31">
      <c r="E31" s="138" t="inlineStr">
        <is>
          <t>Easiest (green)</t>
        </is>
      </c>
      <c r="F31" s="18">
        <f t="array" ref="F31:F35">TRANSPOSE(AD5:AH5)</f>
        <v/>
      </c>
      <c r="G31" s="91">
        <f>IFERROR(F31/SUM($F$31:$F$34),0%)</f>
        <v/>
      </c>
      <c r="H31" s="17" t="n">
        <v>1</v>
      </c>
      <c r="I31" s="138" t="n"/>
    </row>
    <row r="32">
      <c r="E32" s="138" t="inlineStr">
        <is>
          <t>Difficult (blue)</t>
        </is>
      </c>
      <c r="F32" s="18" t="n">
        <v>8</v>
      </c>
      <c r="G32" s="91">
        <f>IFERROR(F32/SUM($F$31:$F$34),0%)</f>
        <v/>
      </c>
      <c r="H32" s="17" t="n">
        <v>2</v>
      </c>
      <c r="I32" s="138" t="n"/>
    </row>
    <row r="33">
      <c r="E33" s="138" t="inlineStr">
        <is>
          <t>More difficult (black)</t>
        </is>
      </c>
      <c r="F33" s="18" t="n">
        <v>62</v>
      </c>
      <c r="G33" s="91">
        <f>IFERROR(F33/SUM($F$31:$F$34),0%)</f>
        <v/>
      </c>
      <c r="H33" s="17" t="n">
        <v>3</v>
      </c>
      <c r="I33" s="138" t="n"/>
    </row>
    <row r="34">
      <c r="E34" s="138" t="inlineStr">
        <is>
          <t>Most difficult (double)</t>
        </is>
      </c>
      <c r="F34" s="18" t="n">
        <v>100</v>
      </c>
      <c r="G34" s="91">
        <f>IFERROR(F34/SUM($F$31:$F$34),0%)</f>
        <v/>
      </c>
      <c r="H34" s="17" t="n">
        <v>5</v>
      </c>
      <c r="I34" s="92" t="inlineStr">
        <is>
          <t>Note more emphasis put on doubles</t>
        </is>
      </c>
    </row>
    <row r="35">
      <c r="E35" s="246" t="inlineStr">
        <is>
          <t>Freestyle</t>
        </is>
      </c>
      <c r="F35" s="246" t="n">
        <v>100</v>
      </c>
      <c r="H35" s="246" t="n"/>
      <c r="I35" s="138" t="n"/>
    </row>
    <row r="36">
      <c r="E36" s="138" t="n"/>
      <c r="F36" s="138" t="n"/>
      <c r="G36" s="138" t="n"/>
      <c r="H36" s="138" t="n"/>
    </row>
    <row r="37">
      <c r="E37" s="138" t="n"/>
      <c r="F37" s="138" t="inlineStr">
        <is>
          <t>Absolute</t>
        </is>
      </c>
      <c r="G37" s="138" t="inlineStr">
        <is>
          <t>Min</t>
        </is>
      </c>
      <c r="H37" s="138" t="inlineStr">
        <is>
          <t>Max</t>
        </is>
      </c>
      <c r="I37" s="138" t="inlineStr">
        <is>
          <t>ND-min</t>
        </is>
      </c>
      <c r="J37" s="138" t="inlineStr">
        <is>
          <t>ND-max</t>
        </is>
      </c>
      <c r="K37" s="138" t="inlineStr">
        <is>
          <t>Non-dimensional</t>
        </is>
      </c>
    </row>
    <row r="38">
      <c r="E38" s="138" t="inlineStr">
        <is>
          <t>Skill level</t>
        </is>
      </c>
      <c r="F38" s="16">
        <f>SUMPRODUCT(G31:G34,H31:H34)</f>
        <v/>
      </c>
      <c r="G38" s="138">
        <f>100%*1</f>
        <v/>
      </c>
      <c r="H38" s="138">
        <f>100%*H34</f>
        <v/>
      </c>
      <c r="I38" s="91" t="n">
        <v>0</v>
      </c>
      <c r="J38" s="91">
        <f>100%</f>
        <v/>
      </c>
      <c r="K38" s="91">
        <f>(F38-G38)/(H38-G38)</f>
        <v/>
      </c>
    </row>
    <row r="39">
      <c r="E39" s="138" t="inlineStr">
        <is>
          <t>Speed</t>
        </is>
      </c>
      <c r="F39" s="162">
        <f>IF(AB5="",5,AB5)</f>
        <v/>
      </c>
      <c r="G39" s="138" t="n">
        <v>0</v>
      </c>
      <c r="H39" s="138" t="n">
        <v>10</v>
      </c>
      <c r="I39" s="91">
        <f>G39-G39</f>
        <v/>
      </c>
      <c r="J39" s="91" t="n">
        <v>1</v>
      </c>
      <c r="K39" s="91">
        <f>(F39-G39)/(H39-G39)</f>
        <v/>
      </c>
    </row>
    <row r="40">
      <c r="E40" s="138" t="inlineStr">
        <is>
          <t>Control</t>
        </is>
      </c>
      <c r="F40" s="162">
        <f>10-F39</f>
        <v/>
      </c>
      <c r="G40" s="138" t="n">
        <v>0</v>
      </c>
      <c r="H40" s="138" t="n">
        <v>10</v>
      </c>
      <c r="I40" s="91">
        <f>G40-G40</f>
        <v/>
      </c>
      <c r="J40" s="91" t="n">
        <v>1</v>
      </c>
      <c r="K40" s="91">
        <f>(F40-G40)/(H40-G40)</f>
        <v/>
      </c>
    </row>
    <row r="41">
      <c r="H41" s="138" t="n"/>
      <c r="I41" s="138" t="n"/>
    </row>
    <row r="42">
      <c r="E42" s="99" t="inlineStr">
        <is>
          <t>Ski backwards</t>
        </is>
      </c>
    </row>
    <row r="43">
      <c r="E43" s="138" t="inlineStr">
        <is>
          <t>Target</t>
        </is>
      </c>
      <c r="F43" s="277">
        <f>AI5</f>
        <v/>
      </c>
      <c r="G43" s="138">
        <f>IF(F43="Yes",TRUE,FALSE)</f>
        <v/>
      </c>
    </row>
    <row r="45" customFormat="1" s="33">
      <c r="B45" s="34" t="inlineStr">
        <is>
          <t>Tier 1 properties</t>
        </is>
      </c>
      <c r="C45" s="34" t="n"/>
    </row>
    <row r="46" ht="14.4" customFormat="1" customHeight="1" s="72">
      <c r="C46" s="75" t="inlineStr">
        <is>
          <t>Summary</t>
        </is>
      </c>
      <c r="D46" s="140" t="n"/>
      <c r="E46" s="73" t="n"/>
    </row>
    <row r="48" ht="14.4" customHeight="1" s="184">
      <c r="E48" s="31" t="inlineStr">
        <is>
          <t>Tier 1 Parameters (X)</t>
        </is>
      </c>
    </row>
    <row r="49" ht="14.4" customHeight="1" s="184">
      <c r="E49" s="217" t="inlineStr">
        <is>
          <t>Properties</t>
        </is>
      </c>
      <c r="F49" s="138" t="inlineStr">
        <is>
          <t>Type</t>
        </is>
      </c>
      <c r="G49" s="138" t="inlineStr">
        <is>
          <t>Option 1</t>
        </is>
      </c>
      <c r="H49" s="138" t="inlineStr">
        <is>
          <t>Option 2</t>
        </is>
      </c>
    </row>
    <row r="50" ht="14.4" customHeight="1" s="184">
      <c r="E50" s="122" t="inlineStr">
        <is>
          <t>Year</t>
        </is>
      </c>
      <c r="F50" s="138" t="inlineStr">
        <is>
          <t>OR</t>
        </is>
      </c>
      <c r="G50" s="138" t="inlineStr">
        <is>
          <t>21/22</t>
        </is>
      </c>
      <c r="H50" s="138" t="inlineStr">
        <is>
          <t>22/23</t>
        </is>
      </c>
    </row>
    <row r="51" ht="14.4" customHeight="1" s="184">
      <c r="E51" s="122" t="inlineStr">
        <is>
          <t>Gender</t>
        </is>
      </c>
      <c r="F51" s="138" t="inlineStr">
        <is>
          <t>OR</t>
        </is>
      </c>
      <c r="G51" s="138" t="inlineStr">
        <is>
          <t>Unisex</t>
        </is>
      </c>
      <c r="H51" s="138" t="inlineStr">
        <is>
          <t xml:space="preserve"> Unisex</t>
        </is>
      </c>
    </row>
    <row r="52" ht="14.4" customHeight="1" s="184">
      <c r="E52" s="122" t="n"/>
    </row>
    <row r="53" ht="14.4" customHeight="1" s="184">
      <c r="E53" s="217" t="inlineStr">
        <is>
          <t>Technical specifications</t>
        </is>
      </c>
      <c r="F53" s="138" t="inlineStr">
        <is>
          <t>Min (cm)</t>
        </is>
      </c>
      <c r="G53" s="138" t="inlineStr">
        <is>
          <t>Max (cm)</t>
        </is>
      </c>
      <c r="H53" s="138" t="inlineStr">
        <is>
          <t>Min (%)</t>
        </is>
      </c>
      <c r="I53" s="138" t="inlineStr">
        <is>
          <t>Max (%)</t>
        </is>
      </c>
    </row>
    <row r="54" ht="14.4" customHeight="1" s="184">
      <c r="E54" s="122" t="inlineStr">
        <is>
          <t>Length</t>
        </is>
      </c>
      <c r="F54" s="100">
        <f>$F$16*(1+H54)</f>
        <v/>
      </c>
      <c r="G54" s="100">
        <f>$F$16*(1+I54)</f>
        <v/>
      </c>
      <c r="H54" s="91">
        <f>INDEX($G$78:$G$82,MATCH(TRUE,$F$78:$F$82,0))</f>
        <v/>
      </c>
      <c r="I54" s="91">
        <f>INDEX($H$78:$H$82,MATCH(TRUE,$F$78:$F$82,0))</f>
        <v/>
      </c>
    </row>
    <row r="55" ht="14.4" customHeight="1" s="184">
      <c r="E55" s="122" t="inlineStr">
        <is>
          <t>Underfoot width</t>
        </is>
      </c>
      <c r="F55" s="138">
        <f>INDEX(H$95:H$100,MATCH(TRUE,$K$95:$K$100,0))</f>
        <v/>
      </c>
      <c r="G55" s="138">
        <f>INDEX(I$95:I$100,MATCH(TRUE,$K$95:$K$100,0))</f>
        <v/>
      </c>
    </row>
    <row r="56" ht="14.4" customHeight="1" s="184">
      <c r="E56" s="122" t="inlineStr">
        <is>
          <t>Tail height</t>
        </is>
      </c>
      <c r="F56" s="138">
        <f>IF(G43,$F$128,0)</f>
        <v/>
      </c>
      <c r="G56" s="138" t="inlineStr">
        <is>
          <t>n/a</t>
        </is>
      </c>
    </row>
    <row r="57" ht="14.4" customHeight="1" s="184">
      <c r="E57" s="122" t="n"/>
    </row>
    <row r="58" ht="14.4" customFormat="1" customHeight="1" s="72">
      <c r="C58" s="75" t="inlineStr">
        <is>
          <t>Length</t>
        </is>
      </c>
      <c r="D58" s="140" t="n"/>
      <c r="E58" s="73" t="n"/>
    </row>
    <row r="59" ht="14.4" customHeight="1" s="184">
      <c r="B59" s="122" t="n"/>
    </row>
    <row r="60" ht="39.6" customHeight="1" s="184">
      <c r="B60" s="122" t="n"/>
      <c r="E60" s="303" t="inlineStr">
        <is>
          <t>Skier height (ft'in")</t>
        </is>
      </c>
      <c r="F60" s="303" t="inlineStr">
        <is>
          <t>Skier height (cm)</t>
        </is>
      </c>
      <c r="G60" s="303" t="inlineStr">
        <is>
          <t>Suggested length range (cm)</t>
        </is>
      </c>
      <c r="H60" s="303" t="inlineStr">
        <is>
          <t>Min</t>
        </is>
      </c>
      <c r="I60" s="303" t="inlineStr">
        <is>
          <t>Max</t>
        </is>
      </c>
      <c r="J60" s="303" t="inlineStr">
        <is>
          <t>Min below height</t>
        </is>
      </c>
      <c r="K60" s="303" t="inlineStr">
        <is>
          <t>Max above height</t>
        </is>
      </c>
      <c r="L60" s="303" t="inlineStr">
        <is>
          <t>Min below height (%)</t>
        </is>
      </c>
      <c r="M60" s="303" t="inlineStr">
        <is>
          <t>Max above height (%)</t>
        </is>
      </c>
    </row>
    <row r="61" ht="14.4" customHeight="1" s="184">
      <c r="B61" s="122" t="n"/>
      <c r="E61" s="138" t="inlineStr">
        <is>
          <t>4'4"</t>
        </is>
      </c>
      <c r="F61" s="138" t="inlineStr">
        <is>
          <t>132&lt;</t>
        </is>
      </c>
      <c r="G61" s="138" t="inlineStr">
        <is>
          <t>115-130</t>
        </is>
      </c>
      <c r="H61" s="138">
        <f>LEFT(G61,3)</f>
        <v/>
      </c>
      <c r="I61" s="138">
        <f>RIGHT(G61,3)</f>
        <v/>
      </c>
      <c r="J61" s="138">
        <f>H61-$C61</f>
        <v/>
      </c>
      <c r="K61" s="138">
        <f>I61-$C61</f>
        <v/>
      </c>
      <c r="L61" s="138">
        <f>H61/$F61-1</f>
        <v/>
      </c>
      <c r="M61" s="138">
        <f>I61/$F61-1</f>
        <v/>
      </c>
    </row>
    <row r="62" ht="14.4" customHeight="1" s="184">
      <c r="B62" s="122" t="n"/>
      <c r="E62" s="138" t="inlineStr">
        <is>
          <t>4'6"</t>
        </is>
      </c>
      <c r="F62" s="138" t="n">
        <v>137</v>
      </c>
      <c r="G62" s="138" t="inlineStr">
        <is>
          <t>125-140</t>
        </is>
      </c>
      <c r="H62" s="138">
        <f>LEFT(G62,3)</f>
        <v/>
      </c>
      <c r="I62" s="138">
        <f>RIGHT(G62,3)</f>
        <v/>
      </c>
      <c r="J62" s="138">
        <f>H62-$C62</f>
        <v/>
      </c>
      <c r="K62" s="138">
        <f>I62-$C62</f>
        <v/>
      </c>
      <c r="L62" s="138">
        <f>H62/$F62-1</f>
        <v/>
      </c>
      <c r="M62" s="138">
        <f>I62/$F62-1</f>
        <v/>
      </c>
    </row>
    <row r="63" ht="14.4" customHeight="1" s="184">
      <c r="B63" s="122" t="n"/>
      <c r="E63" s="138" t="inlineStr">
        <is>
          <t>4'8"</t>
        </is>
      </c>
      <c r="F63" s="138" t="n">
        <v>142</v>
      </c>
      <c r="G63" s="138" t="inlineStr">
        <is>
          <t>130-145</t>
        </is>
      </c>
      <c r="H63" s="138">
        <f>LEFT(G63,3)</f>
        <v/>
      </c>
      <c r="I63" s="138">
        <f>RIGHT(G63,3)</f>
        <v/>
      </c>
      <c r="J63" s="138">
        <f>H63-$C63</f>
        <v/>
      </c>
      <c r="K63" s="138">
        <f>I63-$C63</f>
        <v/>
      </c>
      <c r="L63" s="138">
        <f>H63/$F63-1</f>
        <v/>
      </c>
      <c r="M63" s="138">
        <f>I63/$F63-1</f>
        <v/>
      </c>
    </row>
    <row r="64" ht="14.4" customHeight="1" s="184">
      <c r="B64" s="122" t="n"/>
      <c r="E64" s="138" t="inlineStr">
        <is>
          <t>4'10"</t>
        </is>
      </c>
      <c r="F64" s="138" t="n">
        <v>147</v>
      </c>
      <c r="G64" s="138" t="inlineStr">
        <is>
          <t>135-150</t>
        </is>
      </c>
      <c r="H64" s="138">
        <f>LEFT(G64,3)</f>
        <v/>
      </c>
      <c r="I64" s="138">
        <f>RIGHT(G64,3)</f>
        <v/>
      </c>
      <c r="J64" s="138">
        <f>H64-$C64</f>
        <v/>
      </c>
      <c r="K64" s="138">
        <f>I64-$C64</f>
        <v/>
      </c>
      <c r="L64" s="138">
        <f>H64/$F64-1</f>
        <v/>
      </c>
      <c r="M64" s="138">
        <f>I64/$F64-1</f>
        <v/>
      </c>
    </row>
    <row r="65" ht="14.4" customHeight="1" s="184">
      <c r="B65" s="122" t="n"/>
      <c r="E65" s="138" t="inlineStr">
        <is>
          <t>5'</t>
        </is>
      </c>
      <c r="F65" s="138" t="n">
        <v>152</v>
      </c>
      <c r="G65" s="138" t="inlineStr">
        <is>
          <t>140-155</t>
        </is>
      </c>
      <c r="H65" s="138">
        <f>LEFT(G65,3)</f>
        <v/>
      </c>
      <c r="I65" s="138">
        <f>RIGHT(G65,3)</f>
        <v/>
      </c>
      <c r="J65" s="138">
        <f>H65-$C65</f>
        <v/>
      </c>
      <c r="K65" s="138">
        <f>I65-$C65</f>
        <v/>
      </c>
      <c r="L65" s="138">
        <f>H65/$F65-1</f>
        <v/>
      </c>
      <c r="M65" s="138">
        <f>I65/$F65-1</f>
        <v/>
      </c>
    </row>
    <row r="66" ht="14.4" customHeight="1" s="184">
      <c r="B66" s="122" t="n"/>
      <c r="E66" s="138" t="inlineStr">
        <is>
          <t>5'2"</t>
        </is>
      </c>
      <c r="F66" s="138" t="n">
        <v>158</v>
      </c>
      <c r="G66" s="138" t="inlineStr">
        <is>
          <t>145-165</t>
        </is>
      </c>
      <c r="H66" s="138">
        <f>LEFT(G66,3)</f>
        <v/>
      </c>
      <c r="I66" s="138">
        <f>RIGHT(G66,3)</f>
        <v/>
      </c>
      <c r="J66" s="138">
        <f>H66-$C66</f>
        <v/>
      </c>
      <c r="K66" s="138">
        <f>I66-$C66</f>
        <v/>
      </c>
      <c r="L66" s="138">
        <f>H66/$F66-1</f>
        <v/>
      </c>
      <c r="M66" s="138">
        <f>I66/$F66-1</f>
        <v/>
      </c>
    </row>
    <row r="67" ht="14.4" customHeight="1" s="184">
      <c r="B67" s="122" t="n"/>
      <c r="E67" s="138" t="inlineStr">
        <is>
          <t>5'4"</t>
        </is>
      </c>
      <c r="F67" s="138" t="n">
        <v>163</v>
      </c>
      <c r="G67" s="138" t="inlineStr">
        <is>
          <t>150-170</t>
        </is>
      </c>
      <c r="H67" s="138">
        <f>LEFT(G67,3)</f>
        <v/>
      </c>
      <c r="I67" s="138">
        <f>RIGHT(G67,3)</f>
        <v/>
      </c>
      <c r="J67" s="138">
        <f>H67-$C67</f>
        <v/>
      </c>
      <c r="K67" s="138">
        <f>I67-$C67</f>
        <v/>
      </c>
      <c r="L67" s="138">
        <f>H67/$F67-1</f>
        <v/>
      </c>
      <c r="M67" s="138">
        <f>I67/$F67-1</f>
        <v/>
      </c>
    </row>
    <row r="68" ht="14.4" customHeight="1" s="184">
      <c r="B68" s="122" t="n"/>
      <c r="E68" s="138" t="inlineStr">
        <is>
          <t>5'6"</t>
        </is>
      </c>
      <c r="F68" s="138" t="n">
        <v>168</v>
      </c>
      <c r="G68" s="138" t="inlineStr">
        <is>
          <t>155-175</t>
        </is>
      </c>
      <c r="H68" s="138">
        <f>LEFT(G68,3)</f>
        <v/>
      </c>
      <c r="I68" s="138">
        <f>RIGHT(G68,3)</f>
        <v/>
      </c>
      <c r="J68" s="138">
        <f>H68-$C68</f>
        <v/>
      </c>
      <c r="K68" s="138">
        <f>I68-$C68</f>
        <v/>
      </c>
      <c r="L68" s="138">
        <f>H68/$F68-1</f>
        <v/>
      </c>
      <c r="M68" s="138">
        <f>I68/$F68-1</f>
        <v/>
      </c>
    </row>
    <row r="69" ht="14.4" customHeight="1" s="184">
      <c r="B69" s="122" t="n"/>
      <c r="E69" s="138" t="inlineStr">
        <is>
          <t>5'8"</t>
        </is>
      </c>
      <c r="F69" s="138" t="n">
        <v>173</v>
      </c>
      <c r="G69" s="138" t="inlineStr">
        <is>
          <t>160-180</t>
        </is>
      </c>
      <c r="H69" s="138">
        <f>LEFT(G69,3)</f>
        <v/>
      </c>
      <c r="I69" s="138">
        <f>RIGHT(G69,3)</f>
        <v/>
      </c>
      <c r="J69" s="138">
        <f>H69-$C69</f>
        <v/>
      </c>
      <c r="K69" s="138">
        <f>I69-$C69</f>
        <v/>
      </c>
      <c r="L69" s="138">
        <f>H69/$F69-1</f>
        <v/>
      </c>
      <c r="M69" s="138">
        <f>I69/$F69-1</f>
        <v/>
      </c>
    </row>
    <row r="70" ht="14.4" customHeight="1" s="184">
      <c r="B70" s="122" t="n"/>
      <c r="E70" s="138" t="inlineStr">
        <is>
          <t>5'10"</t>
        </is>
      </c>
      <c r="F70" s="138" t="n">
        <v>178</v>
      </c>
      <c r="G70" s="138" t="inlineStr">
        <is>
          <t>165-185</t>
        </is>
      </c>
      <c r="H70" s="138">
        <f>LEFT(G70,3)</f>
        <v/>
      </c>
      <c r="I70" s="138">
        <f>RIGHT(G70,3)</f>
        <v/>
      </c>
      <c r="J70" s="138">
        <f>H70-$C70</f>
        <v/>
      </c>
      <c r="K70" s="138">
        <f>I70-$C70</f>
        <v/>
      </c>
      <c r="L70" s="138">
        <f>H70/$F70-1</f>
        <v/>
      </c>
      <c r="M70" s="138">
        <f>I70/$F70-1</f>
        <v/>
      </c>
    </row>
    <row r="71" ht="14.4" customHeight="1" s="184">
      <c r="B71" s="122" t="n"/>
      <c r="E71" s="138" t="inlineStr">
        <is>
          <t>6'</t>
        </is>
      </c>
      <c r="F71" s="138" t="n">
        <v>183</v>
      </c>
      <c r="G71" s="138" t="inlineStr">
        <is>
          <t>170-190</t>
        </is>
      </c>
      <c r="H71" s="138">
        <f>LEFT(G71,3)</f>
        <v/>
      </c>
      <c r="I71" s="138">
        <f>RIGHT(G71,3)</f>
        <v/>
      </c>
      <c r="J71" s="138">
        <f>H71-$C71</f>
        <v/>
      </c>
      <c r="K71" s="138">
        <f>I71-$C71</f>
        <v/>
      </c>
      <c r="L71" s="138">
        <f>H71/$F71-1</f>
        <v/>
      </c>
      <c r="M71" s="138">
        <f>I71/$F71-1</f>
        <v/>
      </c>
    </row>
    <row r="72" ht="14.4" customHeight="1" s="184">
      <c r="B72" s="122" t="n"/>
      <c r="E72" s="138" t="inlineStr">
        <is>
          <t>6'2"</t>
        </is>
      </c>
      <c r="F72" s="138" t="n">
        <v>188</v>
      </c>
      <c r="G72" s="138" t="inlineStr">
        <is>
          <t>175-195</t>
        </is>
      </c>
      <c r="H72" s="138">
        <f>LEFT(G72,3)</f>
        <v/>
      </c>
      <c r="I72" s="138">
        <f>RIGHT(G72,3)</f>
        <v/>
      </c>
      <c r="J72" s="138">
        <f>H72-$C72</f>
        <v/>
      </c>
      <c r="K72" s="138">
        <f>I72-$C72</f>
        <v/>
      </c>
      <c r="L72" s="138">
        <f>H72/$F72-1</f>
        <v/>
      </c>
      <c r="M72" s="138">
        <f>I72/$F72-1</f>
        <v/>
      </c>
    </row>
    <row r="73" ht="14.4" customHeight="1" s="184">
      <c r="B73" s="122" t="n"/>
      <c r="E73" s="138" t="inlineStr">
        <is>
          <t>6'4"</t>
        </is>
      </c>
      <c r="F73" s="138" t="n">
        <v>193</v>
      </c>
      <c r="G73" s="138" t="inlineStr">
        <is>
          <t>180-200</t>
        </is>
      </c>
      <c r="H73" s="138">
        <f>LEFT(G73,3)</f>
        <v/>
      </c>
      <c r="I73" s="138">
        <f>RIGHT(G73,3)</f>
        <v/>
      </c>
      <c r="J73" s="138">
        <f>H73-$C73</f>
        <v/>
      </c>
      <c r="K73" s="138">
        <f>I73-$C73</f>
        <v/>
      </c>
      <c r="L73" s="138">
        <f>H73/$F73-1</f>
        <v/>
      </c>
      <c r="M73" s="138">
        <f>I73/$F73-1</f>
        <v/>
      </c>
    </row>
    <row r="74" ht="14.4" customHeight="1" s="184">
      <c r="B74" s="122" t="n"/>
    </row>
    <row r="75" ht="14.4" customHeight="1" s="184">
      <c r="B75" s="122" t="n"/>
      <c r="K75" s="138" t="inlineStr">
        <is>
          <t>Max range</t>
        </is>
      </c>
      <c r="L75" s="91">
        <f>MIN(L62:L73)</f>
        <v/>
      </c>
      <c r="M75" s="91">
        <f>MAX(M62:M73)</f>
        <v/>
      </c>
    </row>
    <row r="76" ht="14.4" customHeight="1" s="184">
      <c r="B76" s="122" t="n"/>
      <c r="E76" s="138" t="n"/>
      <c r="G76" s="81" t="inlineStr">
        <is>
          <t>Length range</t>
        </is>
      </c>
      <c r="H76" s="81" t="n"/>
      <c r="L76" s="91" t="n"/>
      <c r="M76" s="91" t="n"/>
    </row>
    <row r="77" ht="14.4" customHeight="1" s="184">
      <c r="B77" s="122" t="n"/>
      <c r="E77" s="81" t="inlineStr">
        <is>
          <t>Minimum skill</t>
        </is>
      </c>
      <c r="F77" s="81" t="inlineStr">
        <is>
          <t>Choose range</t>
        </is>
      </c>
      <c r="G77" s="130" t="inlineStr">
        <is>
          <t>Min</t>
        </is>
      </c>
      <c r="H77" s="130" t="inlineStr">
        <is>
          <t>Max</t>
        </is>
      </c>
      <c r="L77" s="91" t="n"/>
      <c r="M77" s="91" t="n"/>
    </row>
    <row r="78" ht="14.4" customHeight="1" s="184">
      <c r="B78" s="122" t="n"/>
      <c r="E78" s="91" t="n">
        <v>0</v>
      </c>
      <c r="F78" s="138">
        <f>IF(AND($K$38&gt;E78,$K$38&lt;E80),TRUE,FALSE)</f>
        <v/>
      </c>
      <c r="G78" s="91" t="n">
        <v>-0.09</v>
      </c>
      <c r="H78" s="91" t="n">
        <v>-0.04</v>
      </c>
      <c r="J78" s="138" t="inlineStr">
        <is>
          <t>Note: Insight here is that although 100% is the max, it is very hard to get there for most resort skiers. Someone with 50% blues, 25% greens, and 25% blacks will be 26.67%</t>
        </is>
      </c>
      <c r="L78" s="91" t="n"/>
      <c r="M78" s="91" t="n"/>
    </row>
    <row r="79" ht="14.4" customHeight="1" s="184">
      <c r="B79" s="122" t="n"/>
      <c r="E79" s="91" t="n">
        <v>0.15</v>
      </c>
      <c r="F79" s="138">
        <f>IF(AND($K$38&gt;E79,$K$38&lt;E80),TRUE,FALSE)</f>
        <v/>
      </c>
      <c r="G79" s="91" t="n">
        <v>-0.08</v>
      </c>
      <c r="H79" s="91" t="n">
        <v>-0.03</v>
      </c>
      <c r="L79" s="91" t="n"/>
      <c r="M79" s="91" t="n"/>
    </row>
    <row r="80" ht="14.4" customHeight="1" s="184">
      <c r="B80" s="122" t="n"/>
      <c r="E80" s="91" t="n">
        <v>0.3</v>
      </c>
      <c r="F80" s="138">
        <f>IF(AND($K$38&gt;E80,$K$38&lt;E81),TRUE,FALSE)</f>
        <v/>
      </c>
      <c r="G80" s="91" t="n">
        <v>-0.07000000000000001</v>
      </c>
      <c r="H80" s="91" t="n">
        <v>0</v>
      </c>
      <c r="L80" s="91" t="n"/>
      <c r="M80" s="91" t="n"/>
    </row>
    <row r="81" ht="14.4" customHeight="1" s="184">
      <c r="B81" s="122" t="n"/>
      <c r="E81" s="91" t="n">
        <v>0.45</v>
      </c>
      <c r="F81" s="138">
        <f>IF(AND($K$38&gt;E81,$K$38&lt;E82),TRUE,FALSE)</f>
        <v/>
      </c>
      <c r="G81" s="91" t="n">
        <v>-0.06</v>
      </c>
      <c r="H81" s="91" t="n">
        <v>0.02</v>
      </c>
      <c r="L81" s="91" t="n"/>
      <c r="M81" s="91" t="n"/>
    </row>
    <row r="82" ht="14.4" customHeight="1" s="184">
      <c r="B82" s="122" t="n"/>
      <c r="E82" s="91" t="n">
        <v>0.8</v>
      </c>
      <c r="F82" s="138">
        <f>IF(AND($K$38&gt;E82,$K$38&lt;E83),TRUE,FALSE)</f>
        <v/>
      </c>
      <c r="G82" s="91" t="n">
        <v>-0.05</v>
      </c>
      <c r="H82" s="91" t="n">
        <v>0.03</v>
      </c>
      <c r="L82" s="91" t="n"/>
      <c r="M82" s="91" t="n"/>
    </row>
    <row r="83" ht="14.4" customHeight="1" s="184">
      <c r="B83" s="122" t="n"/>
      <c r="E83" s="91" t="n">
        <v>1</v>
      </c>
      <c r="F83" s="137" t="inlineStr">
        <is>
          <t>-</t>
        </is>
      </c>
      <c r="G83" s="137" t="inlineStr">
        <is>
          <t>-</t>
        </is>
      </c>
      <c r="H83" s="137" t="inlineStr">
        <is>
          <t>-</t>
        </is>
      </c>
      <c r="L83" s="91" t="n"/>
      <c r="M83" s="91" t="n"/>
    </row>
    <row r="84" ht="14.4" customHeight="1" s="184">
      <c r="B84" s="122" t="n"/>
      <c r="E84" s="91" t="n"/>
      <c r="L84" s="91" t="n"/>
      <c r="M84" s="91" t="n"/>
    </row>
    <row r="85" ht="14.4" customFormat="1" customHeight="1" s="72">
      <c r="C85" s="75" t="inlineStr">
        <is>
          <t>Underfoot width</t>
        </is>
      </c>
      <c r="D85" s="140" t="n"/>
      <c r="E85" s="73" t="n"/>
    </row>
    <row r="86" ht="14.4" customHeight="1" s="184">
      <c r="B86" s="122" t="n"/>
      <c r="L86" s="91" t="n"/>
      <c r="M86" s="91" t="n"/>
    </row>
    <row r="87" ht="14.4" customHeight="1" s="184">
      <c r="B87" s="122" t="n"/>
      <c r="E87" s="240" t="inlineStr">
        <is>
          <t>Type</t>
        </is>
      </c>
      <c r="F87" s="240" t="inlineStr">
        <is>
          <t>Width (mm)</t>
        </is>
      </c>
      <c r="G87" s="138" t="inlineStr">
        <is>
          <t>Min</t>
        </is>
      </c>
      <c r="H87" s="138" t="inlineStr">
        <is>
          <t>Max</t>
        </is>
      </c>
      <c r="L87" s="91" t="n"/>
      <c r="M87" s="91" t="n"/>
    </row>
    <row r="88" ht="14.4" customHeight="1" s="184">
      <c r="B88" s="122" t="n"/>
      <c r="E88" s="244" t="inlineStr">
        <is>
          <t>Groomers</t>
        </is>
      </c>
      <c r="F88" s="244" t="inlineStr">
        <is>
          <t>70-85</t>
        </is>
      </c>
      <c r="G88" s="138" t="n">
        <v>70</v>
      </c>
      <c r="H88" s="138" t="n">
        <v>85</v>
      </c>
      <c r="L88" s="91" t="n"/>
      <c r="M88" s="91" t="n"/>
    </row>
    <row r="89" ht="14.4" customHeight="1" s="184">
      <c r="B89" s="122" t="n"/>
      <c r="E89" s="244" t="inlineStr">
        <is>
          <t>All mountain</t>
        </is>
      </c>
      <c r="F89" s="244" t="inlineStr">
        <is>
          <t>85-95</t>
        </is>
      </c>
      <c r="G89" s="138" t="n">
        <v>85</v>
      </c>
      <c r="H89" s="138" t="n">
        <v>96</v>
      </c>
      <c r="L89" s="91" t="n"/>
      <c r="M89" s="91" t="n"/>
    </row>
    <row r="90" ht="28.8" customHeight="1" s="184">
      <c r="B90" s="122" t="n"/>
      <c r="E90" s="244" t="inlineStr">
        <is>
          <t>All mountain freestyle</t>
        </is>
      </c>
      <c r="F90" s="244" t="inlineStr">
        <is>
          <t>95-109</t>
        </is>
      </c>
      <c r="G90" s="138" t="n">
        <v>96</v>
      </c>
      <c r="H90" s="138" t="n">
        <v>109</v>
      </c>
      <c r="L90" s="91" t="n"/>
      <c r="M90" s="91" t="n"/>
    </row>
    <row r="91" ht="14.4" customHeight="1" s="184">
      <c r="B91" s="122" t="n"/>
      <c r="E91" s="244" t="inlineStr">
        <is>
          <t>Powder</t>
        </is>
      </c>
      <c r="F91" s="244" t="inlineStr">
        <is>
          <t>109-115</t>
        </is>
      </c>
      <c r="G91" s="138" t="n">
        <v>109</v>
      </c>
      <c r="H91" s="138" t="n">
        <v>115</v>
      </c>
      <c r="L91" s="91" t="n"/>
      <c r="M91" s="91" t="n"/>
    </row>
    <row r="92" ht="14.4" customHeight="1" s="184">
      <c r="B92" s="122" t="n"/>
      <c r="E92" s="244" t="inlineStr">
        <is>
          <t>Ultra-powder</t>
        </is>
      </c>
      <c r="F92" s="244" t="inlineStr">
        <is>
          <t>115-125+</t>
        </is>
      </c>
      <c r="G92" s="138" t="n">
        <v>115</v>
      </c>
      <c r="H92" s="138" t="n">
        <v>130</v>
      </c>
      <c r="L92" s="91" t="n"/>
      <c r="M92" s="91" t="n"/>
    </row>
    <row r="93" ht="14.4" customHeight="1" s="184">
      <c r="B93" s="122" t="n"/>
      <c r="L93" s="91" t="n"/>
      <c r="M93" s="91" t="n"/>
    </row>
    <row r="94" ht="14.4" customHeight="1" s="184">
      <c r="B94" s="122" t="n"/>
      <c r="E94" s="138" t="inlineStr">
        <is>
          <t>Parameter</t>
        </is>
      </c>
      <c r="F94" s="138" t="inlineStr">
        <is>
          <t>Test</t>
        </is>
      </c>
      <c r="G94" s="138" t="inlineStr">
        <is>
          <t>Input threshold</t>
        </is>
      </c>
      <c r="H94" s="138" t="inlineStr">
        <is>
          <t>Min</t>
        </is>
      </c>
      <c r="I94" s="138" t="inlineStr">
        <is>
          <t>Max</t>
        </is>
      </c>
      <c r="J94" s="138" t="inlineStr">
        <is>
          <t>Tier 1 test</t>
        </is>
      </c>
      <c r="K94" s="138" t="inlineStr">
        <is>
          <t>Last false</t>
        </is>
      </c>
      <c r="L94" s="138" t="inlineStr">
        <is>
          <t>Sum helper</t>
        </is>
      </c>
      <c r="M94" s="91" t="inlineStr">
        <is>
          <t>&lt;--somehow find the proper column and boil up</t>
        </is>
      </c>
    </row>
    <row r="95" ht="14.4" customHeight="1" s="184">
      <c r="B95" s="122" t="n"/>
      <c r="E95" s="138" t="inlineStr">
        <is>
          <t>Groomer</t>
        </is>
      </c>
      <c r="F95" s="138" t="inlineStr">
        <is>
          <t>Greater than</t>
        </is>
      </c>
      <c r="G95" s="91" t="n">
        <v>0.92</v>
      </c>
      <c r="H95" s="138" t="n">
        <v>70</v>
      </c>
      <c r="I95" s="138" t="n">
        <v>85</v>
      </c>
      <c r="J95" s="91">
        <f>$G$22&gt;G95</f>
        <v/>
      </c>
      <c r="K95" s="91">
        <f>J95</f>
        <v/>
      </c>
      <c r="L95" s="138">
        <f>IF(J95,1,0)</f>
        <v/>
      </c>
      <c r="M95" s="91" t="n"/>
    </row>
    <row r="96" ht="14.4" customHeight="1" s="184">
      <c r="B96" s="122" t="n"/>
      <c r="E96" s="138" t="inlineStr">
        <is>
          <t>Non-groomer</t>
        </is>
      </c>
      <c r="F96" s="138" t="inlineStr">
        <is>
          <t>Greater than</t>
        </is>
      </c>
      <c r="G96" s="91" t="n">
        <v>0.08</v>
      </c>
      <c r="H96" s="138" t="n">
        <v>85</v>
      </c>
      <c r="I96" s="138" t="n">
        <v>95</v>
      </c>
      <c r="J96" s="138">
        <f>$G$27&gt;G96</f>
        <v/>
      </c>
      <c r="K96" s="138">
        <f>IF(J96,IF(J97,FALSE,J96),J96)</f>
        <v/>
      </c>
      <c r="L96" s="138">
        <f>IF(J96,1,0)</f>
        <v/>
      </c>
      <c r="M96" s="91" t="n"/>
    </row>
    <row r="97" ht="14.4" customHeight="1" s="184">
      <c r="B97" s="122" t="n"/>
      <c r="E97" s="138" t="inlineStr">
        <is>
          <t>Non-groomer</t>
        </is>
      </c>
      <c r="F97" s="138" t="inlineStr">
        <is>
          <t>Greater than</t>
        </is>
      </c>
      <c r="G97" s="91" t="n">
        <v>0.25</v>
      </c>
      <c r="H97" s="138" t="n">
        <v>90</v>
      </c>
      <c r="I97" s="138" t="n">
        <v>100</v>
      </c>
      <c r="J97" s="91">
        <f>$G$27&gt;G97</f>
        <v/>
      </c>
      <c r="K97" s="138">
        <f>IF(J97,IF(J98,FALSE,J97),J97)</f>
        <v/>
      </c>
      <c r="L97" s="138">
        <f>IF(J97,1,0)</f>
        <v/>
      </c>
      <c r="M97" s="91" t="n"/>
    </row>
    <row r="98" ht="14.4" customHeight="1" s="184">
      <c r="B98" s="122" t="n"/>
      <c r="E98" s="138" t="inlineStr">
        <is>
          <t>Powder</t>
        </is>
      </c>
      <c r="F98" s="138" t="inlineStr">
        <is>
          <t>Greater than</t>
        </is>
      </c>
      <c r="G98" s="91" t="n">
        <v>0.2</v>
      </c>
      <c r="H98" s="138" t="n">
        <v>95</v>
      </c>
      <c r="I98" s="138" t="n">
        <v>105</v>
      </c>
      <c r="J98" s="91">
        <f>$G$25&gt;G98</f>
        <v/>
      </c>
      <c r="K98" s="138">
        <f>IF(J98,IF(J99,FALSE,J98),J98)</f>
        <v/>
      </c>
      <c r="L98" s="138">
        <f>IF(J98,1,0)</f>
        <v/>
      </c>
      <c r="M98" s="91" t="n"/>
    </row>
    <row r="99" ht="14.4" customHeight="1" s="184">
      <c r="B99" s="122" t="n"/>
      <c r="E99" s="138" t="inlineStr">
        <is>
          <t>Powder</t>
        </is>
      </c>
      <c r="F99" s="138" t="inlineStr">
        <is>
          <t>Greater than</t>
        </is>
      </c>
      <c r="G99" s="91" t="n">
        <v>0.3</v>
      </c>
      <c r="H99" s="138" t="n">
        <v>100</v>
      </c>
      <c r="I99" s="138" t="n">
        <v>112</v>
      </c>
      <c r="J99" s="91">
        <f>$G$25&gt;G99</f>
        <v/>
      </c>
      <c r="K99" s="138">
        <f>IF(J99,IF(J100,FALSE,J99),J99)</f>
        <v/>
      </c>
      <c r="L99" s="138">
        <f>IF(J99,1,0)</f>
        <v/>
      </c>
      <c r="M99" s="91" t="n"/>
    </row>
    <row r="100" ht="14.4" customHeight="1" s="184">
      <c r="B100" s="122" t="n"/>
      <c r="E100" s="138" t="inlineStr">
        <is>
          <t>Powder</t>
        </is>
      </c>
      <c r="F100" s="138" t="inlineStr">
        <is>
          <t>Greater than</t>
        </is>
      </c>
      <c r="G100" s="91" t="n">
        <v>0.75</v>
      </c>
      <c r="H100" s="138" t="n">
        <v>105</v>
      </c>
      <c r="I100" s="138" t="n">
        <v>130</v>
      </c>
      <c r="J100" s="91">
        <f>$G$25&gt;G100</f>
        <v/>
      </c>
      <c r="K100" s="91">
        <f>J100</f>
        <v/>
      </c>
      <c r="L100" s="138">
        <f>IF(J100,1,0)</f>
        <v/>
      </c>
      <c r="M100" s="91" t="n"/>
    </row>
    <row r="101" ht="14.4" customHeight="1" s="184">
      <c r="B101" s="122" t="n"/>
      <c r="L101" s="91" t="n"/>
      <c r="M101" s="91" t="n"/>
    </row>
    <row r="102" ht="14.4" customHeight="1" s="184">
      <c r="B102" s="122" t="n"/>
      <c r="E102" s="158" t="inlineStr">
        <is>
          <t>Baseline facts about underfoot width</t>
        </is>
      </c>
      <c r="L102" s="91" t="n"/>
      <c r="M102" s="91" t="n"/>
    </row>
    <row r="103" ht="14.4" customHeight="1" s="184">
      <c r="B103" s="122" t="n"/>
      <c r="E103" s="138" t="inlineStr">
        <is>
          <t>You have to buy for the limiting cases (e.g., powder over groomer) that you will ski a sufficient portion of the time (&gt;10%)</t>
        </is>
      </c>
      <c r="L103" s="91" t="n"/>
      <c r="M103" s="91" t="n"/>
    </row>
    <row r="104" ht="14.4" customHeight="1" s="184">
      <c r="B104" s="122" t="n"/>
      <c r="E104" s="138" t="inlineStr">
        <is>
          <t>Powder &gt;10% merits a minimum of 96mm underfoot</t>
        </is>
      </c>
      <c r="L104" s="91" t="n"/>
      <c r="M104" s="91" t="n"/>
    </row>
    <row r="105" ht="14.4" customHeight="1" s="184">
      <c r="B105" s="122" t="n"/>
      <c r="E105" s="138" t="inlineStr">
        <is>
          <t xml:space="preserve">Powder &lt;50% merits not an ultra powder ski  </t>
        </is>
      </c>
      <c r="L105" s="91" t="n"/>
      <c r="M105" s="91" t="n"/>
    </row>
    <row r="106" ht="14.4" customHeight="1" s="184">
      <c r="B106" s="122" t="n"/>
      <c r="E106" s="138" t="inlineStr">
        <is>
          <t>Powder 50-60% merits a scaling of width</t>
        </is>
      </c>
      <c r="L106" s="91" t="n"/>
      <c r="M106" s="91" t="n"/>
    </row>
    <row r="107" ht="14.4" customHeight="1" s="184">
      <c r="B107" s="122" t="n"/>
      <c r="E107" s="138" t="inlineStr">
        <is>
          <t>Trees merits at least 88mm</t>
        </is>
      </c>
      <c r="L107" s="91" t="n"/>
      <c r="M107" s="91" t="n"/>
    </row>
    <row r="108" ht="14.4" customHeight="1" s="184">
      <c r="B108" s="122" t="n"/>
      <c r="E108" s="138" t="inlineStr">
        <is>
          <t>If non-groomers is greater than 35%, you want all mountain freestyle</t>
        </is>
      </c>
      <c r="L108" s="91" t="n"/>
      <c r="M108" s="91" t="n"/>
    </row>
    <row r="109" ht="14.4" customHeight="1" s="184">
      <c r="B109" s="122" t="n"/>
      <c r="E109" s="138" t="inlineStr">
        <is>
          <t>If non-groomers is greater than 8%, you want all mountain</t>
        </is>
      </c>
    </row>
    <row r="110" ht="14.4" customHeight="1" s="184">
      <c r="B110" s="122" t="n"/>
    </row>
    <row r="111" ht="14.4" customHeight="1" s="184">
      <c r="B111" s="122" t="n"/>
    </row>
    <row r="112" ht="14.4" customHeight="1" s="184">
      <c r="B112" s="122" t="n"/>
    </row>
    <row r="113" ht="14.4" customHeight="1" s="184">
      <c r="B113" s="122" t="n"/>
    </row>
    <row r="114" ht="14.4" customFormat="1" customHeight="1" s="72">
      <c r="C114" s="75" t="inlineStr">
        <is>
          <t>Tail height</t>
        </is>
      </c>
      <c r="D114" s="140" t="n"/>
      <c r="E114" s="73" t="n"/>
    </row>
    <row r="115" ht="14.4" customHeight="1" s="184">
      <c r="B115" s="122" t="n"/>
    </row>
    <row r="116" ht="14.4" customHeight="1" s="184">
      <c r="B116" s="122" t="n"/>
      <c r="F116" s="138" t="inlineStr">
        <is>
          <t>Tail Height</t>
        </is>
      </c>
      <c r="L116" s="138" t="inlineStr">
        <is>
          <t>Width</t>
        </is>
      </c>
    </row>
    <row r="117" ht="14.4" customHeight="1" s="184">
      <c r="B117" s="122" t="n"/>
      <c r="F117" s="138" t="inlineStr">
        <is>
          <t>Percentiles</t>
        </is>
      </c>
      <c r="J117" s="138" t="inlineStr">
        <is>
          <t>Max</t>
        </is>
      </c>
      <c r="L117" s="138" t="inlineStr">
        <is>
          <t>Percentiles</t>
        </is>
      </c>
      <c r="P117" s="138" t="inlineStr">
        <is>
          <t>Max</t>
        </is>
      </c>
    </row>
    <row r="118" ht="14.4" customHeight="1" s="184">
      <c r="B118" s="122" t="n"/>
      <c r="E118" s="158" t="inlineStr">
        <is>
          <t>Statistical analysis</t>
        </is>
      </c>
      <c r="F118" s="91" t="n">
        <v>0</v>
      </c>
      <c r="G118" s="91" t="n">
        <v>0.25</v>
      </c>
      <c r="H118" s="91" t="n">
        <v>0.5</v>
      </c>
      <c r="I118" s="91" t="n">
        <v>0.75</v>
      </c>
      <c r="J118" s="91" t="n">
        <v>1</v>
      </c>
      <c r="L118" s="91" t="n">
        <v>0</v>
      </c>
      <c r="M118" s="91" t="n">
        <v>0.25</v>
      </c>
      <c r="N118" s="91" t="n">
        <v>0.5</v>
      </c>
      <c r="O118" s="91" t="n">
        <v>0.75</v>
      </c>
      <c r="P118" s="91" t="n">
        <v>1</v>
      </c>
    </row>
    <row r="119" ht="14.4" customHeight="1" s="184">
      <c r="B119" s="122" t="n"/>
      <c r="E119" s="138" t="inlineStr">
        <is>
          <t xml:space="preserve"> Powder</t>
        </is>
      </c>
      <c r="F119" s="101">
        <f t="array" ref="F119">PERCENTILE(IF(Table4[ [ Powder] ]=$E119,Table4[Tip Height (mm)]),F$118)</f>
        <v/>
      </c>
      <c r="G119" s="101">
        <f t="array" ref="G119">PERCENTILE(IF(Table4[ [ Powder] ]=$E119,Table4[Tip Height (mm)]),G$118)</f>
        <v/>
      </c>
      <c r="H119" s="101">
        <f t="array" ref="H119">PERCENTILE(IF(Table4[ [ Powder] ]=$E119,Table4[Tip Height (mm)]),H$118)</f>
        <v/>
      </c>
      <c r="I119" s="101">
        <f t="array" ref="I119">PERCENTILE(IF(Table4[ [ Powder] ]=$E119,Table4[Tip Height (mm)]),I$118)</f>
        <v/>
      </c>
      <c r="J119" s="101">
        <f t="array" ref="J119">PERCENTILE(IF(Table4[ [ Powder] ]=$E119,Table4[Tip Height (mm)]),J$118)</f>
        <v/>
      </c>
      <c r="L119" s="101">
        <f t="array" ref="L119">PERCENTILE(IF(Table4[ [ Powder] ]=$E119,Table4[Waist width (mm) ]),L$118)</f>
        <v/>
      </c>
      <c r="M119" s="101">
        <f t="array" ref="M119">PERCENTILE(IF(Table4[ [ Powder] ]=$E119,Table4[Waist width (mm) ]),M$118)</f>
        <v/>
      </c>
      <c r="N119" s="101">
        <f t="array" ref="N119">PERCENTILE(IF(Table4[ [ Powder] ]=$E119,Table4[Waist width (mm) ]),N$118)</f>
        <v/>
      </c>
      <c r="O119" s="101">
        <f t="array" ref="O119">PERCENTILE(IF(Table4[ [ Powder] ]=$E119,Table4[Waist width (mm) ]),O$118)</f>
        <v/>
      </c>
      <c r="P119" s="101">
        <f t="array" ref="P119">PERCENTILE(IF(Table4[ [ Powder] ]=$E119,Table4[Waist width (mm) ]),P$118)</f>
        <v/>
      </c>
    </row>
    <row r="120" ht="14.4" customHeight="1" s="184">
      <c r="B120" s="122" t="n"/>
      <c r="E120" s="138" t="inlineStr">
        <is>
          <t xml:space="preserve"> Touring</t>
        </is>
      </c>
      <c r="F120" s="101">
        <f t="array" ref="F120">PERCENTILE(IF(Table4[ [ Powder] ]=$E120,Table4[Tip Height (mm)]),F$118)</f>
        <v/>
      </c>
      <c r="G120" s="101">
        <f t="array" ref="G120">PERCENTILE(IF(Table4[ [ Powder] ]=$E120,Table4[Tip Height (mm)]),G$118)</f>
        <v/>
      </c>
      <c r="H120" s="101">
        <f t="array" ref="H120">PERCENTILE(IF(Table4[ [ Powder] ]=$E120,Table4[Tip Height (mm)]),H$118)</f>
        <v/>
      </c>
      <c r="I120" s="101">
        <f t="array" ref="I120">PERCENTILE(IF(Table4[ [ Powder] ]=$E120,Table4[Tip Height (mm)]),I$118)</f>
        <v/>
      </c>
      <c r="J120" s="101">
        <f t="array" ref="J120">PERCENTILE(IF(Table4[ [ Powder] ]=$E120,Table4[Tip Height (mm)]),J$118)</f>
        <v/>
      </c>
      <c r="L120" s="101">
        <f t="array" ref="L120">PERCENTILE(IF(Table4[ [ Powder] ]=$E120,Table4[Waist width (mm) ]),L$118)</f>
        <v/>
      </c>
      <c r="M120" s="101">
        <f t="array" ref="M120">PERCENTILE(IF(Table4[ [ Powder] ]=$E120,Table4[Waist width (mm) ]),M$118)</f>
        <v/>
      </c>
      <c r="N120" s="101">
        <f t="array" ref="N120">PERCENTILE(IF(Table4[ [ Powder] ]=$E120,Table4[Waist width (mm) ]),N$118)</f>
        <v/>
      </c>
      <c r="O120" s="101">
        <f t="array" ref="O120">PERCENTILE(IF(Table4[ [ Powder] ]=$E120,Table4[Waist width (mm) ]),O$118)</f>
        <v/>
      </c>
      <c r="P120" s="101">
        <f t="array" ref="P120">PERCENTILE(IF(Table4[ [ Powder] ]=$E120,Table4[Waist width (mm) ]),P$118)</f>
        <v/>
      </c>
    </row>
    <row r="121" ht="14.4" customHeight="1" s="184">
      <c r="B121" s="122" t="n"/>
      <c r="E121" s="138" t="inlineStr">
        <is>
          <t xml:space="preserve"> Freeski</t>
        </is>
      </c>
      <c r="F121" s="101">
        <f t="array" ref="F121">PERCENTILE(IF(Table4[ [ Powder] ]=$E121,Table4[Tip Height (mm)]),F$118)</f>
        <v/>
      </c>
      <c r="G121" s="101">
        <f t="array" ref="G121">PERCENTILE(IF(Table4[ [ Powder] ]=$E121,Table4[Tip Height (mm)]),G$118)</f>
        <v/>
      </c>
      <c r="H121" s="101">
        <f t="array" ref="H121">PERCENTILE(IF(Table4[ [ Powder] ]=$E121,Table4[Tip Height (mm)]),H$118)</f>
        <v/>
      </c>
      <c r="I121" s="101">
        <f t="array" ref="I121">PERCENTILE(IF(Table4[ [ Powder] ]=$E121,Table4[Tip Height (mm)]),I$118)</f>
        <v/>
      </c>
      <c r="J121" s="101">
        <f t="array" ref="J121">PERCENTILE(IF(Table4[ [ Powder] ]=$E121,Table4[Tip Height (mm)]),J$118)</f>
        <v/>
      </c>
      <c r="L121" s="101">
        <f t="array" ref="L121">PERCENTILE(IF(Table4[ [ Powder] ]=$E121,Table4[Waist width (mm) ]),L$118)</f>
        <v/>
      </c>
      <c r="M121" s="101">
        <f t="array" ref="M121">PERCENTILE(IF(Table4[ [ Powder] ]=$E121,Table4[Waist width (mm) ]),M$118)</f>
        <v/>
      </c>
      <c r="N121" s="101">
        <f t="array" ref="N121">PERCENTILE(IF(Table4[ [ Powder] ]=$E121,Table4[Waist width (mm) ]),N$118)</f>
        <v/>
      </c>
      <c r="O121" s="101">
        <f t="array" ref="O121">PERCENTILE(IF(Table4[ [ Powder] ]=$E121,Table4[Waist width (mm) ]),O$118)</f>
        <v/>
      </c>
      <c r="P121" s="101">
        <f t="array" ref="P121">PERCENTILE(IF(Table4[ [ Powder] ]=$E121,Table4[Waist width (mm) ]),P$118)</f>
        <v/>
      </c>
    </row>
    <row r="122" ht="14.4" customHeight="1" s="184">
      <c r="B122" s="122" t="n"/>
      <c r="E122" s="138" t="inlineStr">
        <is>
          <t xml:space="preserve"> Big Mountain</t>
        </is>
      </c>
      <c r="F122" s="101">
        <f t="array" ref="F122">PERCENTILE(IF(Table4[ [ Powder] ]=$E122,Table4[Tip Height (mm)]),F$118)</f>
        <v/>
      </c>
      <c r="G122" s="101">
        <f t="array" ref="G122">PERCENTILE(IF(Table4[ [ Powder] ]=$E122,Table4[Tip Height (mm)]),G$118)</f>
        <v/>
      </c>
      <c r="H122" s="101">
        <f t="array" ref="H122">PERCENTILE(IF(Table4[ [ Powder] ]=$E122,Table4[Tip Height (mm)]),H$118)</f>
        <v/>
      </c>
      <c r="I122" s="101">
        <f t="array" ref="I122">PERCENTILE(IF(Table4[ [ Powder] ]=$E122,Table4[Tip Height (mm)]),I$118)</f>
        <v/>
      </c>
      <c r="J122" s="101">
        <f t="array" ref="J122">PERCENTILE(IF(Table4[ [ Powder] ]=$E122,Table4[Tip Height (mm)]),J$118)</f>
        <v/>
      </c>
      <c r="L122" s="101">
        <f t="array" ref="L122">PERCENTILE(IF(Table4[ [ Powder] ]=$E122,Table4[Waist width (mm) ]),L$118)</f>
        <v/>
      </c>
      <c r="M122" s="101">
        <f t="array" ref="M122">PERCENTILE(IF(Table4[ [ Powder] ]=$E122,Table4[Waist width (mm) ]),M$118)</f>
        <v/>
      </c>
      <c r="N122" s="101">
        <f t="array" ref="N122">PERCENTILE(IF(Table4[ [ Powder] ]=$E122,Table4[Waist width (mm) ]),N$118)</f>
        <v/>
      </c>
      <c r="O122" s="101">
        <f t="array" ref="O122">PERCENTILE(IF(Table4[ [ Powder] ]=$E122,Table4[Waist width (mm) ]),O$118)</f>
        <v/>
      </c>
      <c r="P122" s="101">
        <f t="array" ref="P122">PERCENTILE(IF(Table4[ [ Powder] ]=$E122,Table4[Waist width (mm) ]),P$118)</f>
        <v/>
      </c>
    </row>
    <row r="123" ht="14.4" customHeight="1" s="184">
      <c r="B123" s="122" t="n"/>
      <c r="E123" s="138" t="inlineStr">
        <is>
          <t xml:space="preserve"> Resort Freeride</t>
        </is>
      </c>
      <c r="F123" s="101">
        <f t="array" ref="F123">PERCENTILE(IF(Table4[ [ Powder] ]=$E123,Table4[Tip Height (mm)]),F$118)</f>
        <v/>
      </c>
      <c r="G123" s="101">
        <f t="array" ref="G123">PERCENTILE(IF(Table4[ [ Powder] ]=$E123,Table4[Tip Height (mm)]),G$118)</f>
        <v/>
      </c>
      <c r="H123" s="101">
        <f t="array" ref="H123">PERCENTILE(IF(Table4[ [ Powder] ]=$E123,Table4[Tip Height (mm)]),H$118)</f>
        <v/>
      </c>
      <c r="I123" s="101">
        <f t="array" ref="I123">PERCENTILE(IF(Table4[ [ Powder] ]=$E123,Table4[Tip Height (mm)]),I$118)</f>
        <v/>
      </c>
      <c r="J123" s="101">
        <f t="array" ref="J123">PERCENTILE(IF(Table4[ [ Powder] ]=$E123,Table4[Tip Height (mm)]),J$118)</f>
        <v/>
      </c>
      <c r="L123" s="101">
        <f t="array" ref="L123">PERCENTILE(IF(Table4[ [ Powder] ]=$E123,Table4[Waist width (mm) ]),L$118)</f>
        <v/>
      </c>
      <c r="M123" s="101">
        <f t="array" ref="M123">PERCENTILE(IF(Table4[ [ Powder] ]=$E123,Table4[Waist width (mm) ]),M$118)</f>
        <v/>
      </c>
      <c r="N123" s="101">
        <f t="array" ref="N123">PERCENTILE(IF(Table4[ [ Powder] ]=$E123,Table4[Waist width (mm) ]),N$118)</f>
        <v/>
      </c>
      <c r="O123" s="101">
        <f t="array" ref="O123">PERCENTILE(IF(Table4[ [ Powder] ]=$E123,Table4[Waist width (mm) ]),O$118)</f>
        <v/>
      </c>
      <c r="P123" s="101">
        <f t="array" ref="P123">PERCENTILE(IF(Table4[ [ Powder] ]=$E123,Table4[Waist width (mm) ]),P$118)</f>
        <v/>
      </c>
    </row>
    <row r="124" ht="14.4" customHeight="1" s="184">
      <c r="B124" s="122" t="n"/>
      <c r="E124" s="138" t="inlineStr">
        <is>
          <t xml:space="preserve"> On-Piste All-Mountain</t>
        </is>
      </c>
      <c r="F124" s="101">
        <f t="array" ref="F124">PERCENTILE(IF(Table4[ [ Powder] ]=$E124,Table4[Tip Height (mm)]),F$118)</f>
        <v/>
      </c>
      <c r="G124" s="101">
        <f t="array" ref="G124">PERCENTILE(IF(Table4[ [ Powder] ]=$E124,Table4[Tip Height (mm)]),G$118)</f>
        <v/>
      </c>
      <c r="H124" s="101">
        <f t="array" ref="H124">PERCENTILE(IF(Table4[ [ Powder] ]=$E124,Table4[Tip Height (mm)]),H$118)</f>
        <v/>
      </c>
      <c r="I124" s="101">
        <f t="array" ref="I124">PERCENTILE(IF(Table4[ [ Powder] ]=$E124,Table4[Tip Height (mm)]),I$118)</f>
        <v/>
      </c>
      <c r="J124" s="101">
        <f t="array" ref="J124">PERCENTILE(IF(Table4[ [ Powder] ]=$E124,Table4[Tip Height (mm)]),J$118)</f>
        <v/>
      </c>
      <c r="L124" s="101">
        <f t="array" ref="L124">PERCENTILE(IF(Table4[ [ Powder] ]=$E124,Table4[Waist width (mm) ]),L$118)</f>
        <v/>
      </c>
      <c r="M124" s="101">
        <f t="array" ref="M124">PERCENTILE(IF(Table4[ [ Powder] ]=$E124,Table4[Waist width (mm) ]),M$118)</f>
        <v/>
      </c>
      <c r="N124" s="101">
        <f t="array" ref="N124">PERCENTILE(IF(Table4[ [ Powder] ]=$E124,Table4[Waist width (mm) ]),N$118)</f>
        <v/>
      </c>
      <c r="O124" s="101">
        <f t="array" ref="O124">PERCENTILE(IF(Table4[ [ Powder] ]=$E124,Table4[Waist width (mm) ]),O$118)</f>
        <v/>
      </c>
      <c r="P124" s="101">
        <f t="array" ref="P124">PERCENTILE(IF(Table4[ [ Powder] ]=$E124,Table4[Waist width (mm) ]),P$118)</f>
        <v/>
      </c>
    </row>
    <row r="125" ht="14.4" customHeight="1" s="184">
      <c r="B125" s="122" t="n"/>
      <c r="E125" s="138" t="inlineStr">
        <is>
          <t xml:space="preserve"> On-Piste Carving</t>
        </is>
      </c>
      <c r="F125" s="101">
        <f t="array" ref="F125">PERCENTILE(IF(Table4[ [ Powder] ]=$E125,Table4[Tip Height (mm)]),F$118)</f>
        <v/>
      </c>
      <c r="G125" s="101">
        <f t="array" ref="G125">PERCENTILE(IF(Table4[ [ Powder] ]=$E125,Table4[Tip Height (mm)]),G$118)</f>
        <v/>
      </c>
      <c r="H125" s="101">
        <f t="array" ref="H125">PERCENTILE(IF(Table4[ [ Powder] ]=$E125,Table4[Tip Height (mm)]),H$118)</f>
        <v/>
      </c>
      <c r="I125" s="101">
        <f t="array" ref="I125">PERCENTILE(IF(Table4[ [ Powder] ]=$E125,Table4[Tip Height (mm)]),I$118)</f>
        <v/>
      </c>
      <c r="J125" s="101">
        <f t="array" ref="J125">PERCENTILE(IF(Table4[ [ Powder] ]=$E125,Table4[Tip Height (mm)]),J$118)</f>
        <v/>
      </c>
      <c r="L125" s="101">
        <f t="array" ref="L125">PERCENTILE(IF(Table4[ [ Powder] ]=$E125,Table4[Waist width (mm) ]),L$118)</f>
        <v/>
      </c>
      <c r="M125" s="101">
        <f t="array" ref="M125">PERCENTILE(IF(Table4[ [ Powder] ]=$E125,Table4[Waist width (mm) ]),M$118)</f>
        <v/>
      </c>
      <c r="N125" s="101">
        <f t="array" ref="N125">PERCENTILE(IF(Table4[ [ Powder] ]=$E125,Table4[Waist width (mm) ]),N$118)</f>
        <v/>
      </c>
      <c r="O125" s="101">
        <f t="array" ref="O125">PERCENTILE(IF(Table4[ [ Powder] ]=$E125,Table4[Waist width (mm) ]),O$118)</f>
        <v/>
      </c>
      <c r="P125" s="101">
        <f t="array" ref="P125">PERCENTILE(IF(Table4[ [ Powder] ]=$E125,Table4[Waist width (mm) ]),P$118)</f>
        <v/>
      </c>
    </row>
    <row r="126" ht="14.4" customHeight="1" s="184">
      <c r="B126" s="122" t="n"/>
      <c r="E126" s="138" t="inlineStr">
        <is>
          <t xml:space="preserve"> Other</t>
        </is>
      </c>
      <c r="F126" s="101">
        <f t="array" ref="F126">PERCENTILE(IF(Table4[ [ Powder] ]=$E126,Table4[Tip Height (mm)]),F$118)</f>
        <v/>
      </c>
      <c r="G126" s="101">
        <f t="array" ref="G126">PERCENTILE(IF(Table4[ [ Powder] ]=$E126,Table4[Tip Height (mm)]),G$118)</f>
        <v/>
      </c>
      <c r="H126" s="101">
        <f t="array" ref="H126">PERCENTILE(IF(Table4[ [ Powder] ]=$E126,Table4[Tip Height (mm)]),H$118)</f>
        <v/>
      </c>
      <c r="I126" s="101">
        <f t="array" ref="I126">PERCENTILE(IF(Table4[ [ Powder] ]=$E126,Table4[Tip Height (mm)]),I$118)</f>
        <v/>
      </c>
      <c r="J126" s="101">
        <f t="array" ref="J126">PERCENTILE(IF(Table4[ [ Powder] ]=$E126,Table4[Tip Height (mm)]),J$118)</f>
        <v/>
      </c>
      <c r="L126" s="101">
        <f t="array" ref="L126">PERCENTILE(IF(Table4[ [ Powder] ]=$E126,Table4[Waist width (mm) ]),L$118)</f>
        <v/>
      </c>
      <c r="M126" s="101">
        <f t="array" ref="M126">PERCENTILE(IF(Table4[ [ Powder] ]=$E126,Table4[Waist width (mm) ]),M$118)</f>
        <v/>
      </c>
      <c r="N126" s="101">
        <f t="array" ref="N126">PERCENTILE(IF(Table4[ [ Powder] ]=$E126,Table4[Waist width (mm) ]),N$118)</f>
        <v/>
      </c>
      <c r="O126" s="101">
        <f t="array" ref="O126">PERCENTILE(IF(Table4[ [ Powder] ]=$E126,Table4[Waist width (mm) ]),O$118)</f>
        <v/>
      </c>
      <c r="P126" s="101">
        <f t="array" ref="P126">PERCENTILE(IF(Table4[ [ Powder] ]=$E126,Table4[Waist width (mm) ]),P$118)</f>
        <v/>
      </c>
    </row>
    <row r="127" ht="14.4" customHeight="1" s="184">
      <c r="B127" s="122" t="n"/>
    </row>
    <row r="128" ht="26.4" customHeight="1" s="184">
      <c r="B128" s="122" t="n"/>
      <c r="E128" s="303" t="inlineStr">
        <is>
          <t>Minimum threshold to ski backwards</t>
        </is>
      </c>
      <c r="F128" s="56" t="n">
        <v>30</v>
      </c>
      <c r="G128" s="92" t="inlineStr">
        <is>
          <t>Note: This is a best guess. It does not apear easy to tell based on tail height alone if the ski can go backwards. Test with output</t>
        </is>
      </c>
    </row>
    <row r="129" ht="14.4" customHeight="1" s="184">
      <c r="B129" s="122" t="n"/>
    </row>
    <row r="130" ht="14.4" customHeight="1" s="184">
      <c r="E130" s="122" t="n"/>
    </row>
    <row r="131" customFormat="1" s="33">
      <c r="C131" s="34" t="inlineStr">
        <is>
          <t>Tier 2 properties</t>
        </is>
      </c>
    </row>
    <row r="132" ht="14.4" customFormat="1" customHeight="1" s="72">
      <c r="D132" s="73" t="inlineStr">
        <is>
          <t>Approach</t>
        </is>
      </c>
      <c r="E132" s="73" t="n"/>
    </row>
    <row r="133" ht="14.4" customHeight="1" s="184">
      <c r="E133" s="122" t="n"/>
    </row>
    <row r="134">
      <c r="E134" s="99" t="inlineStr">
        <is>
          <t>Technical specs used</t>
        </is>
      </c>
    </row>
    <row r="135">
      <c r="E135" s="138" t="inlineStr">
        <is>
          <t xml:space="preserve">Turning radius </t>
        </is>
      </c>
    </row>
    <row r="136">
      <c r="E136" s="138" t="inlineStr">
        <is>
          <t xml:space="preserve">Underfoot width </t>
        </is>
      </c>
    </row>
    <row r="137">
      <c r="E137" s="138" t="inlineStr">
        <is>
          <t>Bending stiffness (break down between tip, middle, tail?)</t>
        </is>
      </c>
    </row>
    <row r="138">
      <c r="E138" s="138" t="inlineStr">
        <is>
          <t>Torsional rigidity (break down between tip, middle, tail?)</t>
        </is>
      </c>
    </row>
    <row r="139">
      <c r="E139" s="138" t="inlineStr">
        <is>
          <t>Ski mass</t>
        </is>
      </c>
    </row>
    <row r="140">
      <c r="E140" s="138" t="inlineStr">
        <is>
          <t>Camber</t>
        </is>
      </c>
    </row>
    <row r="141">
      <c r="E141" s="138" t="inlineStr">
        <is>
          <t>Tip rocker</t>
        </is>
      </c>
    </row>
    <row r="142">
      <c r="E142" s="138" t="inlineStr">
        <is>
          <t>Tail rocker</t>
        </is>
      </c>
    </row>
    <row r="143">
      <c r="E143" s="138" t="inlineStr">
        <is>
          <t>Tip height / rocker?</t>
        </is>
      </c>
    </row>
    <row r="144">
      <c r="E144" s="138" t="inlineStr">
        <is>
          <t>Tail height / rocker?</t>
        </is>
      </c>
    </row>
    <row r="145" ht="14.4" customHeight="1" s="184">
      <c r="E145" s="122" t="n"/>
    </row>
    <row r="146">
      <c r="E146" s="71" t="inlineStr">
        <is>
          <t>Approach</t>
        </is>
      </c>
    </row>
    <row r="147">
      <c r="E147" s="138" t="inlineStr">
        <is>
          <t>Determine user's ideal/desired ski properties</t>
        </is>
      </c>
    </row>
    <row r="148">
      <c r="E148" s="138" t="inlineStr">
        <is>
          <t>Determine ski's properties for that user's body</t>
        </is>
      </c>
    </row>
    <row r="149">
      <c r="E149" s="138" t="inlineStr">
        <is>
          <t>Create match % based from delta between user and ski properties</t>
        </is>
      </c>
    </row>
    <row r="150" ht="14.4" customHeight="1" s="184">
      <c r="E150" s="122" t="n"/>
    </row>
    <row r="151" ht="14.4" customHeight="1" s="184">
      <c r="E151" s="103" t="inlineStr">
        <is>
          <t>Future improvements</t>
        </is>
      </c>
    </row>
    <row r="152" ht="14.4" customHeight="1" s="184">
      <c r="E152" s="104" t="inlineStr">
        <is>
          <t>Re-dimensionalize required parameters or multiply values to avoid dividing by near 0 numbers</t>
        </is>
      </c>
    </row>
    <row r="153" ht="14.4" customHeight="1" s="184">
      <c r="E153" s="104" t="inlineStr">
        <is>
          <t>Add torsional rigidity to turning (somehow fit in carving/edgehold)</t>
        </is>
      </c>
    </row>
    <row r="154" ht="14.4" customHeight="1" s="184">
      <c r="E154" s="122" t="inlineStr">
        <is>
          <t>Change how overal manueverability is calculated</t>
        </is>
      </c>
    </row>
    <row r="155" ht="14.4" customHeight="1" s="184">
      <c r="E155" s="122" t="inlineStr">
        <is>
          <t>If you are going to score user input to run type on a relative basis, then ski properties also have to be relative (how?)</t>
        </is>
      </c>
    </row>
    <row r="156" ht="14.4" customFormat="1" customHeight="1" s="138">
      <c r="E156" s="122" t="n"/>
    </row>
    <row r="157" ht="14.4" customHeight="1" s="184">
      <c r="E157" s="122" t="n"/>
      <c r="F157" s="92" t="inlineStr">
        <is>
          <t>Target (from inputs)</t>
        </is>
      </c>
      <c r="J157" s="92" t="inlineStr">
        <is>
          <t>Equation from tech specs</t>
        </is>
      </c>
    </row>
    <row r="158" ht="14.4" customHeight="1" s="184">
      <c r="E158" s="85" t="inlineStr">
        <is>
          <t>Performance</t>
        </is>
      </c>
    </row>
    <row r="159">
      <c r="E159" s="138" t="inlineStr">
        <is>
          <t>Speed</t>
        </is>
      </c>
      <c r="F159" s="138" t="inlineStr">
        <is>
          <t>Skill level*(speed vs. control)</t>
        </is>
      </c>
      <c r="J159" s="138" t="inlineStr">
        <is>
          <t>Bending stiffness/width^1/4</t>
        </is>
      </c>
    </row>
    <row r="160">
      <c r="E160" s="138" t="inlineStr">
        <is>
          <t>Manueverability</t>
        </is>
      </c>
      <c r="F160" s="138" t="inlineStr">
        <is>
          <t>Multiply all below</t>
        </is>
      </c>
      <c r="J160" s="138" t="inlineStr">
        <is>
          <t>Multiply all below</t>
        </is>
      </c>
    </row>
    <row r="161">
      <c r="E161" s="203" t="inlineStr">
        <is>
          <t>Weight</t>
        </is>
      </c>
      <c r="F161" s="138" t="inlineStr">
        <is>
          <t>User weight*skill level (display 1*weight)</t>
        </is>
      </c>
      <c r="J161" s="138" t="inlineStr">
        <is>
          <t>1/Weight (display 1*Weight)</t>
        </is>
      </c>
    </row>
    <row r="162">
      <c r="E162" s="203" t="inlineStr">
        <is>
          <t>Turning</t>
        </is>
      </c>
      <c r="F162" s="138" t="inlineStr">
        <is>
          <t>Trees*moguls*skill level + (1-skill level)*Groomers</t>
        </is>
      </c>
      <c r="J162" s="138" t="inlineStr">
        <is>
          <t>User weight/ski weight/running length*turn radius*camber</t>
        </is>
      </c>
    </row>
    <row r="163">
      <c r="E163" s="203" t="inlineStr">
        <is>
          <t>Braking</t>
        </is>
      </c>
      <c r="F163" s="138" t="inlineStr">
        <is>
          <t>Control input*skill level</t>
        </is>
      </c>
      <c r="J163" s="138" t="inlineStr">
        <is>
          <t>running length*torsional rigidity</t>
        </is>
      </c>
    </row>
    <row r="164" ht="14.4" customHeight="1" s="184">
      <c r="E164" s="85" t="inlineStr">
        <is>
          <t>Buying factors</t>
        </is>
      </c>
    </row>
    <row r="165">
      <c r="E165" s="138" t="inlineStr">
        <is>
          <t>Cost (also cost/MSRP)</t>
        </is>
      </c>
      <c r="F165" s="138" t="inlineStr">
        <is>
          <t>Cost input</t>
        </is>
      </c>
      <c r="J165" s="138" t="inlineStr">
        <is>
          <t>Online cost</t>
        </is>
      </c>
    </row>
    <row r="166">
      <c r="E166" s="138" t="inlineStr">
        <is>
          <t>Design</t>
        </is>
      </c>
      <c r="F166" s="138" t="inlineStr">
        <is>
          <t>Coming soon!</t>
        </is>
      </c>
      <c r="J166" s="138" t="inlineStr">
        <is>
          <t>Image processing analysis (Dhruva/Rajas)</t>
        </is>
      </c>
    </row>
    <row r="167">
      <c r="E167" s="99" t="inlineStr">
        <is>
          <t>By run type</t>
        </is>
      </c>
    </row>
    <row r="168">
      <c r="E168" s="65" t="inlineStr">
        <is>
          <t>Groomers</t>
        </is>
      </c>
      <c r="F168" s="138" t="inlineStr">
        <is>
          <t>%Groomers</t>
        </is>
      </c>
      <c r="J168" s="138" t="inlineStr">
        <is>
          <t>Effective edge*torsional rigidity*turning radius/width^1/2</t>
        </is>
      </c>
    </row>
    <row r="169">
      <c r="E169" s="65" t="inlineStr">
        <is>
          <t>Moguls</t>
        </is>
      </c>
      <c r="F169" s="138" t="inlineStr">
        <is>
          <t>%Moguls</t>
        </is>
      </c>
      <c r="J169" s="138" t="inlineStr">
        <is>
          <t>Weight*bending stiffness*camber/width/turn radius</t>
        </is>
      </c>
    </row>
    <row r="170">
      <c r="E170" s="65" t="inlineStr">
        <is>
          <t>Trees</t>
        </is>
      </c>
      <c r="F170" s="138" t="inlineStr">
        <is>
          <t>%Trees</t>
        </is>
      </c>
      <c r="J170" s="138" t="inlineStr">
        <is>
          <t>Effective edge/tail height/tail rocker/tip rocker/mass</t>
        </is>
      </c>
    </row>
    <row r="171">
      <c r="E171" s="65" t="inlineStr">
        <is>
          <t>Powder</t>
        </is>
      </c>
      <c r="F171" s="138" t="inlineStr">
        <is>
          <t>%Powder</t>
        </is>
      </c>
      <c r="J171" s="138" t="inlineStr">
        <is>
          <t>Width*tip rocker*tail rocker/camber</t>
        </is>
      </c>
    </row>
    <row r="172">
      <c r="E172" s="65" t="inlineStr">
        <is>
          <t>Park</t>
        </is>
      </c>
      <c r="F172" s="138" t="inlineStr">
        <is>
          <t>%Park</t>
        </is>
      </c>
      <c r="J172" s="138" t="inlineStr">
        <is>
          <t>1/bending stiffness/weight*tailheight</t>
        </is>
      </c>
    </row>
    <row r="173" ht="14.4" customHeight="1" s="184">
      <c r="J173" s="82" t="n"/>
    </row>
    <row r="174" ht="14.4" customFormat="1" customHeight="1" s="72">
      <c r="D174" s="75" t="inlineStr">
        <is>
          <t xml:space="preserve">Analysis </t>
        </is>
      </c>
      <c r="J174" s="74" t="n"/>
    </row>
    <row r="175" ht="14.4" customFormat="1" customHeight="1" s="138">
      <c r="D175" s="158" t="n"/>
      <c r="J175" s="82" t="n"/>
    </row>
    <row r="176" ht="14.4" customHeight="1" s="184">
      <c r="F176" s="81" t="inlineStr">
        <is>
          <t>User properties</t>
        </is>
      </c>
      <c r="G176" s="81" t="n"/>
      <c r="H176" s="81" t="n"/>
      <c r="I176" s="82" t="n"/>
      <c r="J176" s="114" t="n"/>
      <c r="K176" s="81" t="inlineStr">
        <is>
          <t>Ski properties</t>
        </is>
      </c>
      <c r="L176" s="81" t="n"/>
      <c r="M176" s="81" t="n"/>
      <c r="N176" s="81" t="n"/>
    </row>
    <row r="177" ht="14.4" customHeight="1" s="184">
      <c r="E177" s="80" t="inlineStr">
        <is>
          <t>Parameter</t>
        </is>
      </c>
      <c r="F177" s="81" t="inlineStr">
        <is>
          <t>Target</t>
        </is>
      </c>
      <c r="G177" s="81" t="inlineStr">
        <is>
          <t>Min</t>
        </is>
      </c>
      <c r="H177" s="81" t="inlineStr">
        <is>
          <t>Max</t>
        </is>
      </c>
      <c r="I177" s="130" t="inlineStr">
        <is>
          <t>ND</t>
        </is>
      </c>
      <c r="J177" s="114" t="inlineStr">
        <is>
          <t>Display, ND</t>
        </is>
      </c>
      <c r="K177" s="81" t="inlineStr">
        <is>
          <t>Min</t>
        </is>
      </c>
      <c r="L177" s="81" t="inlineStr">
        <is>
          <t>Max</t>
        </is>
      </c>
      <c r="M177" s="81" t="inlineStr">
        <is>
          <t xml:space="preserve">Accepted Min </t>
        </is>
      </c>
      <c r="N177" s="81" t="inlineStr">
        <is>
          <t>Accepted Max</t>
        </is>
      </c>
    </row>
    <row r="178" ht="14.4" customHeight="1" s="184">
      <c r="E178" s="85" t="inlineStr">
        <is>
          <t>Performance</t>
        </is>
      </c>
      <c r="F178" s="138" t="n"/>
      <c r="G178" s="138" t="n"/>
      <c r="H178" s="138" t="n"/>
      <c r="I178" s="138" t="n"/>
      <c r="J178" s="111" t="n"/>
      <c r="K178" s="138" t="n"/>
      <c r="L178" s="138" t="n"/>
      <c r="M178" s="138" t="n"/>
      <c r="N178" s="138" t="n"/>
    </row>
    <row r="179">
      <c r="E179" s="138" t="inlineStr">
        <is>
          <t>Speed</t>
        </is>
      </c>
      <c r="F179" s="91">
        <f>K38*K39</f>
        <v/>
      </c>
      <c r="G179" s="91">
        <f>I39*I38</f>
        <v/>
      </c>
      <c r="H179" s="91">
        <f>J38*J39</f>
        <v/>
      </c>
      <c r="I179" s="91">
        <f>F179/H179</f>
        <v/>
      </c>
      <c r="J179" s="115">
        <f>K39</f>
        <v/>
      </c>
      <c r="K179" s="100">
        <f t="array" ref="K179:K183">TRANSPOSE(P179:T179)</f>
        <v/>
      </c>
      <c r="L179" s="100">
        <f t="array" ref="L179:L183">TRANSPOSE(P180:T180)</f>
        <v/>
      </c>
      <c r="P179" s="16">
        <f>MIN(Data!AV9:AV1273)</f>
        <v/>
      </c>
      <c r="Q179" s="16">
        <f>MIN(Data!AW9:AW1273)</f>
        <v/>
      </c>
      <c r="R179" s="16">
        <f>MIN(Data!AX9:AX1273)</f>
        <v/>
      </c>
      <c r="S179" s="16">
        <f>MIN(Data!AY9:AY1273)</f>
        <v/>
      </c>
      <c r="T179" s="16">
        <f>MIN(Data!AZ9:AZ1273)</f>
        <v/>
      </c>
    </row>
    <row r="180">
      <c r="E180" s="138" t="inlineStr">
        <is>
          <t>Manueverability</t>
        </is>
      </c>
      <c r="G180" s="91" t="n"/>
      <c r="I180" s="91" t="n"/>
      <c r="J180" s="111" t="n"/>
      <c r="K180" s="100" t="n">
        <v>2.101473158654007</v>
      </c>
      <c r="L180" s="100" t="n">
        <v>99.47801166462605</v>
      </c>
      <c r="P180" s="16">
        <f>MAX(Data!AV9:AV1273)</f>
        <v/>
      </c>
      <c r="Q180" s="16">
        <f>MAX(Data!AW9:AW1273)</f>
        <v/>
      </c>
      <c r="R180" s="16">
        <f>MAX(Data!AX9:AX1273)</f>
        <v/>
      </c>
      <c r="S180" s="16">
        <f>MAX(Data!AY9:AY1273)</f>
        <v/>
      </c>
      <c r="T180" s="16">
        <f>MAX(Data!AZ9:AZ1273)</f>
        <v/>
      </c>
    </row>
    <row r="181">
      <c r="E181" s="203" t="inlineStr">
        <is>
          <t>Weight</t>
        </is>
      </c>
      <c r="F181" s="91">
        <f>K19*K38</f>
        <v/>
      </c>
      <c r="G181" s="91">
        <f>I38*I19</f>
        <v/>
      </c>
      <c r="H181" s="91">
        <f>J38*J19</f>
        <v/>
      </c>
      <c r="I181" s="91">
        <f>F181/H181</f>
        <v/>
      </c>
      <c r="J181" s="115">
        <f>K19</f>
        <v/>
      </c>
      <c r="K181" s="100" t="n">
        <v>1</v>
      </c>
      <c r="L181" s="100" t="n">
        <v>10</v>
      </c>
    </row>
    <row r="182">
      <c r="E182" s="203" t="inlineStr">
        <is>
          <t>Turning</t>
        </is>
      </c>
      <c r="F182" s="91">
        <f>G24*G23*K38+(1-K38)*G22</f>
        <v/>
      </c>
      <c r="G182" s="91" t="n">
        <v>0</v>
      </c>
      <c r="H182" s="91" t="n">
        <v>1</v>
      </c>
      <c r="I182" s="91">
        <f>F182/H182</f>
        <v/>
      </c>
      <c r="J182" s="115">
        <f>I182</f>
        <v/>
      </c>
      <c r="K182" s="100" t="n">
        <v>0</v>
      </c>
      <c r="L182" s="100" t="n">
        <v>3.060745928005916</v>
      </c>
      <c r="P182" s="16">
        <f>_xlfn.PERCENTILE.EXC(Data!AV12:AV1276,0.05)</f>
        <v/>
      </c>
      <c r="Q182" s="16">
        <f>_xlfn.PERCENTILE.EXC(Data!AW12:AW1276,0.05)</f>
        <v/>
      </c>
      <c r="R182" s="16">
        <f>_xlfn.PERCENTILE.EXC(Data!AX12:AX1276,0.05)</f>
        <v/>
      </c>
      <c r="S182" s="16">
        <f>_xlfn.PERCENTILE.EXC(Data!AY12:AY1276,0.05)</f>
        <v/>
      </c>
      <c r="T182" s="16">
        <f>_xlfn.PERCENTILE.EXC(Data!AZ12:AZ1276,0.05)</f>
        <v/>
      </c>
    </row>
    <row r="183">
      <c r="E183" s="203" t="inlineStr">
        <is>
          <t>Braking</t>
        </is>
      </c>
      <c r="F183" s="91">
        <f>K40*K38</f>
        <v/>
      </c>
      <c r="G183" s="91">
        <f>I40*I38</f>
        <v/>
      </c>
      <c r="H183" s="91">
        <f>J40*J38</f>
        <v/>
      </c>
      <c r="I183" s="91">
        <f>F183/H183</f>
        <v/>
      </c>
      <c r="J183" s="115">
        <f>I183</f>
        <v/>
      </c>
      <c r="K183" s="100" t="n">
        <v>0</v>
      </c>
      <c r="L183" s="100" t="n">
        <v>91.13924050632912</v>
      </c>
      <c r="P183" s="16">
        <f>_xlfn.PERCENTILE.EXC(Data!AV12:AV1276,0.95)</f>
        <v/>
      </c>
      <c r="Q183" s="16">
        <f>_xlfn.PERCENTILE.EXC(Data!AW12:AW1276,0.95)</f>
        <v/>
      </c>
      <c r="R183" s="16">
        <f>_xlfn.PERCENTILE.EXC(Data!AX12:AX1276,0.95)</f>
        <v/>
      </c>
      <c r="S183" s="16">
        <f>_xlfn.PERCENTILE.EXC(Data!AY12:AY1276,0.95)</f>
        <v/>
      </c>
      <c r="T183" s="16">
        <f>_xlfn.PERCENTILE.EXC(Data!AZ12:AZ1276,0.95)</f>
        <v/>
      </c>
    </row>
    <row r="184" ht="14.4" customHeight="1" s="184">
      <c r="E184" s="85" t="inlineStr">
        <is>
          <t>Buying factors</t>
        </is>
      </c>
      <c r="J184" s="111" t="n"/>
    </row>
    <row r="185">
      <c r="E185" s="138" t="inlineStr">
        <is>
          <t>Cost (also cost/MSRP)</t>
        </is>
      </c>
      <c r="F185" s="137" t="inlineStr">
        <is>
          <t>see input</t>
        </is>
      </c>
      <c r="J185" s="111" t="n"/>
    </row>
    <row r="186">
      <c r="E186" s="138" t="inlineStr">
        <is>
          <t>Design</t>
        </is>
      </c>
      <c r="J186" s="111" t="n"/>
    </row>
    <row r="187">
      <c r="E187" s="99" t="inlineStr">
        <is>
          <t>By run type</t>
        </is>
      </c>
      <c r="J187" s="111" t="n"/>
    </row>
    <row r="188">
      <c r="E188" s="65" t="inlineStr">
        <is>
          <t>Groomers</t>
        </is>
      </c>
      <c r="F188" s="91">
        <f>G22</f>
        <v/>
      </c>
      <c r="G188" s="91" t="n">
        <v>0</v>
      </c>
      <c r="H188" s="91" t="n">
        <v>1</v>
      </c>
      <c r="I188" s="68">
        <f>F188/H188</f>
        <v/>
      </c>
      <c r="J188" s="112">
        <f>I188</f>
        <v/>
      </c>
      <c r="K188" s="100">
        <f t="array" ref="K188:K192">TRANSPOSE(P188:T188)</f>
        <v/>
      </c>
      <c r="L188" s="100">
        <f t="array" ref="L188:L192">TRANSPOSE(P189:T189)</f>
        <v/>
      </c>
      <c r="P188" s="100">
        <f>MIN(Data!BC9:BC1273)</f>
        <v/>
      </c>
      <c r="Q188" s="100">
        <f>_xlfn.PERCENTILE.EXC(Data!BD9:BD1273,0.05)</f>
        <v/>
      </c>
      <c r="R188" s="100">
        <f>MIN(Data!BE9:BE1273)</f>
        <v/>
      </c>
      <c r="S188" s="100">
        <f>MIN(Data!BF9:BF1273)</f>
        <v/>
      </c>
      <c r="T188" s="100">
        <f>MIN(Data!BG9:BG1273)</f>
        <v/>
      </c>
    </row>
    <row r="189">
      <c r="E189" s="65" t="inlineStr">
        <is>
          <t>Moguls</t>
        </is>
      </c>
      <c r="F189" s="91">
        <f>G23</f>
        <v/>
      </c>
      <c r="G189" s="91" t="n">
        <v>0</v>
      </c>
      <c r="H189" s="91" t="n">
        <v>1</v>
      </c>
      <c r="I189" s="68">
        <f>F189/H189</f>
        <v/>
      </c>
      <c r="J189" s="112">
        <f>I189</f>
        <v/>
      </c>
      <c r="K189" s="100" t="n">
        <v>1.720822884097727</v>
      </c>
      <c r="L189" s="100" t="n">
        <v>90.21905098894628</v>
      </c>
      <c r="P189" s="100">
        <f>MAX(Data!BC9:BC1273)</f>
        <v/>
      </c>
      <c r="Q189" s="100">
        <f>_xlfn.PERCENTILE.EXC(Data!BD9:BD1273,0.95)</f>
        <v/>
      </c>
      <c r="R189" s="100">
        <f>MAX(Data!BE9:BE1273)</f>
        <v/>
      </c>
      <c r="S189" s="100">
        <f>MAX(Data!BF9:BF1273)</f>
        <v/>
      </c>
      <c r="T189" s="100">
        <f>MAX(Data!BG9:BG1273)</f>
        <v/>
      </c>
    </row>
    <row r="190">
      <c r="E190" s="65" t="inlineStr">
        <is>
          <t>Trees</t>
        </is>
      </c>
      <c r="F190" s="91">
        <f>G24</f>
        <v/>
      </c>
      <c r="G190" s="91" t="n">
        <v>0</v>
      </c>
      <c r="H190" s="91" t="n">
        <v>1</v>
      </c>
      <c r="I190" s="68">
        <f>F190/H190</f>
        <v/>
      </c>
      <c r="J190" s="112">
        <f>I190</f>
        <v/>
      </c>
      <c r="K190" s="100" t="n">
        <v>0.0001783887445205659</v>
      </c>
      <c r="L190" s="100" t="n">
        <v>1</v>
      </c>
    </row>
    <row r="191">
      <c r="E191" s="65" t="inlineStr">
        <is>
          <t>Powder</t>
        </is>
      </c>
      <c r="F191" s="91">
        <f>G25</f>
        <v/>
      </c>
      <c r="G191" s="91" t="n">
        <v>0</v>
      </c>
      <c r="H191" s="91" t="n">
        <v>1</v>
      </c>
      <c r="I191" s="68">
        <f>F191/H191</f>
        <v/>
      </c>
      <c r="J191" s="112">
        <f>I191</f>
        <v/>
      </c>
      <c r="K191" s="100" t="n">
        <v>0</v>
      </c>
      <c r="L191" s="100" t="n">
        <v>112.9429746023902</v>
      </c>
    </row>
    <row r="192">
      <c r="E192" s="65" t="inlineStr">
        <is>
          <t>Park</t>
        </is>
      </c>
      <c r="F192" s="91">
        <f>G26</f>
        <v/>
      </c>
      <c r="G192" s="91" t="n">
        <v>0</v>
      </c>
      <c r="H192" s="91" t="n">
        <v>1</v>
      </c>
      <c r="I192" s="68">
        <f>F192/H192</f>
        <v/>
      </c>
      <c r="J192" s="112">
        <f>I192</f>
        <v/>
      </c>
      <c r="K192" s="100" t="n">
        <v>0</v>
      </c>
      <c r="L192" s="100" t="n">
        <v>3.786637931034483</v>
      </c>
    </row>
    <row r="193">
      <c r="E193" s="65" t="n"/>
      <c r="F193" s="91" t="n"/>
      <c r="G193" s="91" t="n"/>
      <c r="H193" s="91" t="n"/>
      <c r="I193" s="68" t="n"/>
      <c r="J193" s="68" t="n"/>
    </row>
    <row r="194" ht="14.4" customFormat="1" customHeight="1" s="72">
      <c r="D194" s="75" t="inlineStr">
        <is>
          <t>Required parameters</t>
        </is>
      </c>
      <c r="J194" s="74" t="n"/>
    </row>
    <row r="195" ht="14.4" customFormat="1" customHeight="1" s="138">
      <c r="D195" s="158" t="n"/>
      <c r="J195" s="82" t="n"/>
    </row>
    <row r="196" ht="14.4" customFormat="1" customHeight="1" s="138">
      <c r="D196" s="158" t="n"/>
      <c r="E196" s="138" t="inlineStr">
        <is>
          <t>Outlier percentile</t>
        </is>
      </c>
      <c r="F196" s="91" t="n">
        <v>0.05</v>
      </c>
      <c r="J196" s="82" t="n"/>
    </row>
    <row r="197" ht="14.4" customFormat="1" customHeight="1" s="138">
      <c r="D197" s="158" t="n"/>
      <c r="H197" s="82" t="n"/>
    </row>
    <row r="198" customFormat="1" s="138">
      <c r="D198" s="158" t="n"/>
      <c r="E198" s="138" t="inlineStr">
        <is>
          <t xml:space="preserve">Parameter </t>
        </is>
      </c>
      <c r="F198" s="138" t="inlineStr">
        <is>
          <t>Min</t>
        </is>
      </c>
      <c r="G198" s="138" t="inlineStr">
        <is>
          <t>Max</t>
        </is>
      </c>
      <c r="H198" s="138" t="inlineStr">
        <is>
          <t>Min*</t>
        </is>
      </c>
      <c r="I198" s="138" t="inlineStr">
        <is>
          <t>Max</t>
        </is>
      </c>
      <c r="K198" s="138" t="inlineStr">
        <is>
          <t>*The min is used to remove automatically existing value</t>
        </is>
      </c>
    </row>
    <row r="199" customFormat="1" s="138">
      <c r="D199" s="158" t="n"/>
      <c r="E199" s="99" t="inlineStr">
        <is>
          <t>Ski properties</t>
        </is>
      </c>
      <c r="K199" s="138" t="inlineStr">
        <is>
          <t>More functionality: Change percentile toggle by row (so you can take 0 and 100% where you want pure min/max)</t>
        </is>
      </c>
    </row>
    <row r="200" customFormat="1" s="138">
      <c r="D200" s="158" t="n"/>
      <c r="E200" s="138" t="inlineStr">
        <is>
          <t>Mass</t>
        </is>
      </c>
      <c r="F200" s="138">
        <f>MIN(Table4[Mass (g)])</f>
        <v/>
      </c>
      <c r="G200" s="138">
        <f>MAX(Table4[Mass (g)])</f>
        <v/>
      </c>
      <c r="H200" s="101">
        <f>_xlfn.PERCENTILE.INC(Table4[Mass (g)],$F$196)</f>
        <v/>
      </c>
      <c r="I200" s="101">
        <f>_xlfn.PERCENTILE.INC(Table4[Mass (g)],1-$F$196)</f>
        <v/>
      </c>
    </row>
    <row r="201" customFormat="1" s="138">
      <c r="D201" s="158" t="n"/>
      <c r="E201" s="138" t="inlineStr">
        <is>
          <t>Running length</t>
        </is>
      </c>
      <c r="F201" s="138">
        <f t="array" ref="F201">MIN(IF(Table4[Camber (mm)]&gt;0,Table4[Running lenght (cm)]))</f>
        <v/>
      </c>
      <c r="G201" s="138">
        <f>MAX(Table4[Running lenght (cm)])</f>
        <v/>
      </c>
      <c r="H201" s="138">
        <f>_xlfn.PERCENTILE.INC(Table4[Running lenght (cm)],$F$196)</f>
        <v/>
      </c>
      <c r="I201" s="138">
        <f>_xlfn.PERCENTILE.INC(Table4[Running lenght (cm)],1-$F$196)</f>
        <v/>
      </c>
    </row>
    <row r="202" customFormat="1" s="138">
      <c r="D202" s="158" t="n"/>
      <c r="E202" s="138" t="inlineStr">
        <is>
          <t>Camber</t>
        </is>
      </c>
      <c r="F202" s="138">
        <f>MIN(Table4[Camber (mm)])</f>
        <v/>
      </c>
      <c r="G202" s="138">
        <f>MAX(Table4[Camber (mm)])</f>
        <v/>
      </c>
      <c r="H202" s="138">
        <f>_xlfn.PERCENTILE.INC(Table4[Camber (mm)],$F$196)</f>
        <v/>
      </c>
      <c r="I202" s="138">
        <f>_xlfn.PERCENTILE.INC(Table4[Camber (mm)],1-$F$196)</f>
        <v/>
      </c>
    </row>
    <row r="203" customFormat="1" s="138">
      <c r="D203" s="158" t="n"/>
      <c r="E203" s="138" t="inlineStr">
        <is>
          <t>Turn radius</t>
        </is>
      </c>
      <c r="F203" s="138">
        <f>MIN(Table4[Sidecut radius (m)])</f>
        <v/>
      </c>
      <c r="G203" s="138">
        <f>MAX(Table4[Sidecut radius (m)])</f>
        <v/>
      </c>
      <c r="H203" s="138">
        <f>_xlfn.PERCENTILE.INC(Table4[Sidecut radius (m)],$F$196)</f>
        <v/>
      </c>
      <c r="I203" s="100">
        <f>_xlfn.PERCENTILE.INC(Table4[Sidecut radius (m)],1-$F$196)</f>
        <v/>
      </c>
    </row>
    <row r="204" customFormat="1" s="138">
      <c r="D204" s="158" t="n"/>
      <c r="E204" s="138" t="inlineStr">
        <is>
          <t>Bending stiffness</t>
        </is>
      </c>
      <c r="F204" s="138">
        <f>MIN(Table4[Avg Bending Stiffness (El)])</f>
        <v/>
      </c>
      <c r="G204" s="138">
        <f>MAX(Table4[Avg Bending Stiffness (El)])</f>
        <v/>
      </c>
      <c r="H204" s="138">
        <f>_xlfn.PERCENTILE.INC(Table4[Avg Bending Stiffness (El)],$F$196)</f>
        <v/>
      </c>
      <c r="I204" s="138">
        <f>_xlfn.PERCENTILE.INC(Table4[Avg Bending Stiffness (El)],1-$F$196)</f>
        <v/>
      </c>
    </row>
    <row r="205" customFormat="1" s="138">
      <c r="D205" s="158" t="n"/>
      <c r="E205" s="138" t="inlineStr">
        <is>
          <t>Torsional rigidity</t>
        </is>
      </c>
      <c r="F205" s="138">
        <f>MIN(Table4[Avg Torsional  Stiffness (GJ)])</f>
        <v/>
      </c>
      <c r="G205" s="138">
        <f>MAX(Table4[Avg Torsional  Stiffness (GJ)])</f>
        <v/>
      </c>
      <c r="H205" s="138">
        <f>_xlfn.PERCENTILE.INC(Table4[Avg Torsional  Stiffness (GJ)],$F$196)</f>
        <v/>
      </c>
      <c r="I205" s="138">
        <f>_xlfn.PERCENTILE.INC(Table4[Avg Torsional  Stiffness (GJ)],1-$F$196)</f>
        <v/>
      </c>
    </row>
    <row r="206" ht="14.4" customFormat="1" customHeight="1" s="138">
      <c r="D206" s="158" t="n"/>
      <c r="E206" s="138" t="inlineStr">
        <is>
          <t>Waist width</t>
        </is>
      </c>
      <c r="F206" s="138">
        <f>MIN(Table4[Waist width (mm) ])</f>
        <v/>
      </c>
      <c r="G206" s="138">
        <f>MAX(Table4[Waist width (mm) ])</f>
        <v/>
      </c>
      <c r="H206" s="138">
        <f>_xlfn.PERCENTILE.INC(Table4[Waist width (mm) ],F196)</f>
        <v/>
      </c>
      <c r="I206" s="138">
        <f>_xlfn.PERCENTILE.INC(Table4[Waist width (mm) ],1-F196)</f>
        <v/>
      </c>
      <c r="J206" s="82" t="n"/>
    </row>
    <row r="207" ht="14.4" customFormat="1" customHeight="1" s="138">
      <c r="D207" s="158" t="n"/>
      <c r="E207" s="138" t="inlineStr">
        <is>
          <t>Tip rocker</t>
        </is>
      </c>
      <c r="F207" s="138">
        <f>MIN(Table4[Tip Rocker Length (mm)])</f>
        <v/>
      </c>
      <c r="G207" s="138">
        <f>MAX(Table4[Tip Rocker Length (mm)])</f>
        <v/>
      </c>
      <c r="H207" s="138">
        <f>_xlfn.PERCENTILE.INC(Table4[Tip Rocker Length (mm)],$F$196)</f>
        <v/>
      </c>
      <c r="I207" s="138">
        <f>_xlfn.PERCENTILE.INC(Table4[Tip Rocker Length (mm)],1-$F$196)</f>
        <v/>
      </c>
      <c r="J207" s="82" t="n"/>
    </row>
    <row r="208" ht="14.4" customFormat="1" customHeight="1" s="138">
      <c r="D208" s="158" t="n"/>
      <c r="E208" s="138" t="inlineStr">
        <is>
          <t>Tail rocker</t>
        </is>
      </c>
      <c r="F208" s="138">
        <f>MIN(Table4[Tail Rocker Length (mm)])</f>
        <v/>
      </c>
      <c r="G208" s="138">
        <f>MAX(Table4[Tail Rocker Length (mm)])</f>
        <v/>
      </c>
      <c r="H208" s="138">
        <f>_xlfn.PERCENTILE.INC(Table4[Tail Rocker Length (mm)],$F$196)</f>
        <v/>
      </c>
      <c r="I208" s="138">
        <f>_xlfn.PERCENTILE.INC(Table4[Tail Rocker Length (mm)],1-$F$196)</f>
        <v/>
      </c>
      <c r="J208" s="82" t="n"/>
    </row>
    <row r="209" ht="14.4" customFormat="1" customHeight="1" s="138">
      <c r="D209" s="158" t="n"/>
      <c r="E209" s="138" t="inlineStr">
        <is>
          <t>Tail height</t>
        </is>
      </c>
      <c r="F209" s="138">
        <f>MIN(Table4[Tail height (mm)])</f>
        <v/>
      </c>
      <c r="G209" s="138">
        <f>MAX(Table4[Tail height (mm)])</f>
        <v/>
      </c>
      <c r="H209" s="138">
        <f>_xlfn.PERCENTILE.INC(Table4[Tail height (mm)],$F$196)</f>
        <v/>
      </c>
      <c r="I209" s="138">
        <f>_xlfn.PERCENTILE.INC(Table4[Tail height (mm)],1-$F$196)</f>
        <v/>
      </c>
      <c r="J209" s="82" t="n"/>
    </row>
    <row r="210" ht="14.4" customFormat="1" customHeight="1" s="138">
      <c r="D210" s="158" t="n"/>
      <c r="J210" s="82" t="n"/>
    </row>
    <row r="211" ht="14.4" customHeight="1" s="184">
      <c r="B211" s="28" t="n"/>
      <c r="E211" s="65" t="n"/>
    </row>
    <row r="212" ht="14.4" customFormat="1" customHeight="1" s="35">
      <c r="B212" s="29" t="inlineStr">
        <is>
          <t>Technical specifications</t>
        </is>
      </c>
    </row>
    <row r="213" ht="14.4" customFormat="1" customHeight="1" s="35">
      <c r="B213" s="29" t="inlineStr">
        <is>
          <t>Data</t>
        </is>
      </c>
    </row>
    <row r="214" ht="14.4" customHeight="1" s="184">
      <c r="B214" s="122" t="n"/>
    </row>
    <row r="215">
      <c r="E215" s="44" t="inlineStr">
        <is>
          <t>Year</t>
        </is>
      </c>
      <c r="F215" s="45" t="inlineStr">
        <is>
          <t>Brand</t>
        </is>
      </c>
      <c r="G215" s="45" t="inlineStr">
        <is>
          <t>Model</t>
        </is>
      </c>
      <c r="H215" s="45" t="inlineStr">
        <is>
          <t>Nominal Length (cm)</t>
        </is>
      </c>
      <c r="I215" s="45" t="inlineStr">
        <is>
          <t>Gender</t>
        </is>
      </c>
      <c r="J215" s="45" t="inlineStr">
        <is>
          <t>Nominal Length (cm)2</t>
        </is>
      </c>
      <c r="K215" s="45" t="inlineStr">
        <is>
          <t>Actual Length (cm)</t>
        </is>
      </c>
      <c r="L215" s="45" t="inlineStr">
        <is>
          <t>Running lenght (cm)</t>
        </is>
      </c>
      <c r="M215" s="45" t="inlineStr">
        <is>
          <t>Sidecut length (cm)</t>
        </is>
      </c>
      <c r="N215" s="45" t="inlineStr">
        <is>
          <t>Tip width (mm)</t>
        </is>
      </c>
      <c r="O215" s="45" t="inlineStr">
        <is>
          <t xml:space="preserve">Waist width (mm) </t>
        </is>
      </c>
      <c r="P215" s="45" t="inlineStr">
        <is>
          <t>Tail width (mm)</t>
        </is>
      </c>
      <c r="Q215" s="45" t="inlineStr">
        <is>
          <t>Sidecut radius (m)</t>
        </is>
      </c>
      <c r="R215" s="45" t="inlineStr">
        <is>
          <t>Mass (g)</t>
        </is>
      </c>
      <c r="S215" s="45" t="inlineStr">
        <is>
          <t>Surface-to-weight Ratio (cm^2/g)</t>
        </is>
      </c>
      <c r="T215" s="45" t="inlineStr">
        <is>
          <t>Base area (cm2)</t>
        </is>
      </c>
      <c r="U215" s="45" t="inlineStr">
        <is>
          <t>Avg Bending Stiffness (El)</t>
        </is>
      </c>
      <c r="V215" s="45" t="inlineStr">
        <is>
          <t>Avg Torsional  Stiffness (GJ)</t>
        </is>
      </c>
      <c r="W215" s="45" t="inlineStr">
        <is>
          <t>Tip Height (mm)</t>
        </is>
      </c>
      <c r="X215" s="45" t="inlineStr">
        <is>
          <t>Tip Rocker Length (mm)</t>
        </is>
      </c>
      <c r="Y215" s="45" t="inlineStr">
        <is>
          <t>Tail height (mm)</t>
        </is>
      </c>
      <c r="Z215" s="45" t="inlineStr">
        <is>
          <t>Tail Rocker Length (mm)</t>
        </is>
      </c>
      <c r="AA215" s="45" t="inlineStr">
        <is>
          <t>Tail/Tip Height Ratio (%)</t>
        </is>
      </c>
      <c r="AB215" s="45" t="inlineStr">
        <is>
          <t>Tip  Taper Length (mm)</t>
        </is>
      </c>
      <c r="AC215" s="45" t="inlineStr">
        <is>
          <t>Tail Taper Length (mm)</t>
        </is>
      </c>
      <c r="AD215" s="45" t="inlineStr">
        <is>
          <t>Front  Contact Point Range (mm)</t>
        </is>
      </c>
      <c r="AE215" s="45" t="inlineStr">
        <is>
          <t>Camber (mm)</t>
        </is>
      </c>
      <c r="AF215" s="45" t="inlineStr">
        <is>
          <t>Setback (cm)</t>
        </is>
      </c>
      <c r="AG215" s="45" t="inlineStr">
        <is>
          <t xml:space="preserve"> Powder</t>
        </is>
      </c>
      <c r="AH215" s="45" t="inlineStr">
        <is>
          <t>Category</t>
        </is>
      </c>
      <c r="AI215" s="46" t="inlineStr">
        <is>
          <t>Column3</t>
        </is>
      </c>
      <c r="AJ215" s="46" t="inlineStr">
        <is>
          <t>Column4</t>
        </is>
      </c>
      <c r="AK215" s="47" t="inlineStr">
        <is>
          <t>Column5</t>
        </is>
      </c>
    </row>
    <row r="216">
      <c r="E216" s="39" t="inlineStr">
        <is>
          <t>22/23</t>
        </is>
      </c>
      <c r="F216" s="5" t="inlineStr">
        <is>
          <t xml:space="preserve"> DPS</t>
        </is>
      </c>
      <c r="G216" s="6" t="inlineStr">
        <is>
          <t>Pagoda Tour 100 RP</t>
        </is>
      </c>
      <c r="H216" s="8" t="n">
        <v>171</v>
      </c>
      <c r="I216" s="6" t="inlineStr">
        <is>
          <t xml:space="preserve"> Unisex</t>
        </is>
      </c>
      <c r="J216" s="8" t="n">
        <v>171</v>
      </c>
      <c r="K216" s="8" t="n">
        <v>169.4</v>
      </c>
      <c r="L216" s="8" t="n">
        <v>107</v>
      </c>
      <c r="M216" s="8" t="n">
        <v>130</v>
      </c>
      <c r="N216" s="8" t="n">
        <v>129</v>
      </c>
      <c r="O216" s="8" t="n">
        <v>100</v>
      </c>
      <c r="P216" s="8" t="n">
        <v>115</v>
      </c>
      <c r="Q216" s="8" t="n">
        <v>15.3</v>
      </c>
      <c r="R216" s="8" t="n">
        <v>1410</v>
      </c>
      <c r="S216" s="8" t="n">
        <v>1.32</v>
      </c>
      <c r="T216" s="8" t="n">
        <v>1864</v>
      </c>
      <c r="U216" s="8" t="n">
        <v>217</v>
      </c>
      <c r="V216" s="8" t="n">
        <v>104</v>
      </c>
      <c r="W216" s="8" t="n">
        <v>61</v>
      </c>
      <c r="X216" s="8" t="n">
        <v>353</v>
      </c>
      <c r="Y216" s="8" t="n">
        <v>14</v>
      </c>
      <c r="Z216" s="8" t="n">
        <v>267</v>
      </c>
      <c r="AA216" s="8" t="n">
        <v>0.233</v>
      </c>
      <c r="AB216" s="8" t="n">
        <v>214</v>
      </c>
      <c r="AC216" s="8" t="n">
        <v>182</v>
      </c>
      <c r="AD216" s="8" t="n">
        <v>139</v>
      </c>
      <c r="AE216" s="8" t="n">
        <v>4</v>
      </c>
      <c r="AF216" s="8" t="n">
        <v>11.9</v>
      </c>
      <c r="AG216" s="6" t="inlineStr">
        <is>
          <t xml:space="preserve"> Touring</t>
        </is>
      </c>
      <c r="AH216" s="6" t="inlineStr">
        <is>
          <t xml:space="preserve"> Ultralight Touring</t>
        </is>
      </c>
      <c r="AI216" s="8" t="n"/>
      <c r="AJ216" s="8" t="n"/>
      <c r="AK216" s="41" t="n"/>
    </row>
    <row r="217">
      <c r="E217" s="40" t="inlineStr">
        <is>
          <t>22/23</t>
        </is>
      </c>
      <c r="F217" s="10" t="inlineStr">
        <is>
          <t xml:space="preserve"> DPS</t>
        </is>
      </c>
      <c r="G217" s="11" t="inlineStr">
        <is>
          <t>Pagoda Tour 106 W</t>
        </is>
      </c>
      <c r="H217" s="13" t="n">
        <v>163</v>
      </c>
      <c r="I217" s="11" t="inlineStr">
        <is>
          <t xml:space="preserve"> Women's</t>
        </is>
      </c>
      <c r="J217" s="13" t="n">
        <v>163</v>
      </c>
      <c r="K217" s="13" t="n">
        <v>161.7</v>
      </c>
      <c r="L217" s="13" t="n">
        <v>111</v>
      </c>
      <c r="M217" s="13" t="n">
        <v>124</v>
      </c>
      <c r="N217" s="13" t="n">
        <v>132</v>
      </c>
      <c r="O217" s="13" t="n">
        <v>106</v>
      </c>
      <c r="P217" s="13" t="n">
        <v>118</v>
      </c>
      <c r="Q217" s="13" t="n">
        <v>18.9</v>
      </c>
      <c r="R217" s="13" t="n">
        <v>1364</v>
      </c>
      <c r="S217" s="13" t="n">
        <v>1.35</v>
      </c>
      <c r="T217" s="13" t="n">
        <v>1840</v>
      </c>
      <c r="U217" s="13" t="n">
        <v>210</v>
      </c>
      <c r="V217" s="13" t="n">
        <v>97</v>
      </c>
      <c r="W217" s="13" t="n">
        <v>43</v>
      </c>
      <c r="X217" s="13" t="n">
        <v>273</v>
      </c>
      <c r="Y217" s="13" t="n">
        <v>22</v>
      </c>
      <c r="Z217" s="13" t="n">
        <v>231</v>
      </c>
      <c r="AA217" s="13" t="n">
        <v>0.523</v>
      </c>
      <c r="AB217" s="13" t="n">
        <v>194</v>
      </c>
      <c r="AC217" s="13" t="n">
        <v>181</v>
      </c>
      <c r="AD217" s="13" t="n">
        <v>79</v>
      </c>
      <c r="AE217" s="13" t="n">
        <v>5</v>
      </c>
      <c r="AF217" s="13" t="n">
        <v>10.7</v>
      </c>
      <c r="AG217" s="11" t="inlineStr">
        <is>
          <t xml:space="preserve"> Powder</t>
        </is>
      </c>
      <c r="AH217" s="11" t="inlineStr">
        <is>
          <t xml:space="preserve"> Touring</t>
        </is>
      </c>
      <c r="AI217" s="11" t="inlineStr">
        <is>
          <t xml:space="preserve"> Ultralight Touring</t>
        </is>
      </c>
      <c r="AJ217" s="13" t="n"/>
      <c r="AK217" s="42" t="n"/>
    </row>
    <row r="218">
      <c r="E218" s="40" t="inlineStr">
        <is>
          <t>22/23</t>
        </is>
      </c>
      <c r="F218" s="10" t="inlineStr">
        <is>
          <t xml:space="preserve"> DPS</t>
        </is>
      </c>
      <c r="G218" s="11" t="inlineStr">
        <is>
          <t>Pagoda Tour 112 W</t>
        </is>
      </c>
      <c r="H218" s="13" t="n">
        <v>168</v>
      </c>
      <c r="I218" s="11" t="inlineStr">
        <is>
          <t xml:space="preserve"> Women's</t>
        </is>
      </c>
      <c r="J218" s="13" t="n">
        <v>168</v>
      </c>
      <c r="K218" s="13" t="n">
        <v>166.3</v>
      </c>
      <c r="L218" s="13" t="n">
        <v>95</v>
      </c>
      <c r="M218" s="13" t="n">
        <v>111</v>
      </c>
      <c r="N218" s="13" t="n">
        <v>136</v>
      </c>
      <c r="O218" s="13" t="n">
        <v>112</v>
      </c>
      <c r="P218" s="13" t="n">
        <v>124</v>
      </c>
      <c r="Q218" s="13" t="n">
        <v>15.2</v>
      </c>
      <c r="R218" s="13" t="n">
        <v>1419</v>
      </c>
      <c r="S218" s="13" t="n">
        <v>1.4</v>
      </c>
      <c r="T218" s="13" t="n">
        <v>1992</v>
      </c>
      <c r="U218" s="13" t="n">
        <v>212</v>
      </c>
      <c r="V218" s="13" t="n">
        <v>112</v>
      </c>
      <c r="W218" s="13" t="n">
        <v>64</v>
      </c>
      <c r="X218" s="13" t="n">
        <v>403</v>
      </c>
      <c r="Y218" s="13" t="n">
        <v>36</v>
      </c>
      <c r="Z218" s="13" t="n">
        <v>309</v>
      </c>
      <c r="AA218" s="13" t="n">
        <v>0.556</v>
      </c>
      <c r="AB218" s="13" t="n">
        <v>298</v>
      </c>
      <c r="AC218" s="13" t="n">
        <v>253</v>
      </c>
      <c r="AD218" s="13" t="n">
        <v>104</v>
      </c>
      <c r="AE218" s="13" t="n">
        <v>4</v>
      </c>
      <c r="AF218" s="13" t="n">
        <v>13.3</v>
      </c>
      <c r="AG218" s="11" t="inlineStr">
        <is>
          <t xml:space="preserve"> Powder</t>
        </is>
      </c>
      <c r="AH218" s="11" t="inlineStr">
        <is>
          <t xml:space="preserve"> Touring</t>
        </is>
      </c>
      <c r="AI218" s="11" t="inlineStr">
        <is>
          <t xml:space="preserve"> Ultralight Touring</t>
        </is>
      </c>
      <c r="AJ218" s="13" t="n"/>
      <c r="AK218" s="42" t="n"/>
    </row>
    <row r="219">
      <c r="E219" s="40" t="inlineStr">
        <is>
          <t>22/23</t>
        </is>
      </c>
      <c r="F219" s="10" t="inlineStr">
        <is>
          <t xml:space="preserve"> DPS</t>
        </is>
      </c>
      <c r="G219" s="11" t="inlineStr">
        <is>
          <t>Pagoda Tour 90</t>
        </is>
      </c>
      <c r="H219" s="13" t="n">
        <v>178</v>
      </c>
      <c r="I219" s="11" t="inlineStr">
        <is>
          <t xml:space="preserve"> Unisex</t>
        </is>
      </c>
      <c r="J219" s="13" t="n">
        <v>178</v>
      </c>
      <c r="K219" s="13" t="n">
        <v>177.6</v>
      </c>
      <c r="L219" s="13" t="n">
        <v>118</v>
      </c>
      <c r="M219" s="13" t="n">
        <v>135</v>
      </c>
      <c r="N219" s="13" t="n">
        <v>125</v>
      </c>
      <c r="O219" s="13" t="n">
        <v>90</v>
      </c>
      <c r="P219" s="13" t="n">
        <v>109</v>
      </c>
      <c r="Q219" s="13" t="n">
        <v>15</v>
      </c>
      <c r="R219" s="13" t="n">
        <v>1319</v>
      </c>
      <c r="S219" s="13" t="n">
        <v>1.38</v>
      </c>
      <c r="T219" s="13" t="n">
        <v>1819</v>
      </c>
      <c r="U219" s="13" t="n">
        <v>201</v>
      </c>
      <c r="V219" s="13" t="n">
        <v>92</v>
      </c>
      <c r="W219" s="13" t="n">
        <v>60</v>
      </c>
      <c r="X219" s="13" t="n">
        <v>342</v>
      </c>
      <c r="Y219" s="13" t="n">
        <v>13</v>
      </c>
      <c r="Z219" s="13" t="n">
        <v>254</v>
      </c>
      <c r="AA219" s="13" t="n">
        <v>0.215</v>
      </c>
      <c r="AB219" s="13" t="n">
        <v>197</v>
      </c>
      <c r="AC219" s="13" t="n">
        <v>230</v>
      </c>
      <c r="AD219" s="13" t="n">
        <v>144</v>
      </c>
      <c r="AE219" s="13" t="n">
        <v>8</v>
      </c>
      <c r="AF219" s="13" t="n">
        <v>13</v>
      </c>
      <c r="AG219" s="11" t="inlineStr">
        <is>
          <t xml:space="preserve"> Touring</t>
        </is>
      </c>
      <c r="AH219" s="11" t="inlineStr">
        <is>
          <t xml:space="preserve"> Ultralight Touring</t>
        </is>
      </c>
      <c r="AI219" s="13" t="n"/>
      <c r="AJ219" s="13" t="n"/>
      <c r="AK219" s="42" t="n"/>
    </row>
    <row r="220">
      <c r="E220" s="40" t="inlineStr">
        <is>
          <t>22/23</t>
        </is>
      </c>
      <c r="F220" s="10" t="inlineStr">
        <is>
          <t xml:space="preserve"> DPS</t>
        </is>
      </c>
      <c r="G220" s="11" t="inlineStr">
        <is>
          <t>Pagoda Tour 94</t>
        </is>
      </c>
      <c r="H220" s="13" t="n">
        <v>178</v>
      </c>
      <c r="I220" s="11" t="inlineStr">
        <is>
          <t xml:space="preserve"> Unisex</t>
        </is>
      </c>
      <c r="J220" s="13" t="n">
        <v>178</v>
      </c>
      <c r="K220" s="13" t="n">
        <v>176.2</v>
      </c>
      <c r="L220" s="13" t="n">
        <v>130</v>
      </c>
      <c r="M220" s="13" t="n">
        <v>146</v>
      </c>
      <c r="N220" s="13" t="n">
        <v>131</v>
      </c>
      <c r="O220" s="13" t="n">
        <v>94</v>
      </c>
      <c r="P220" s="13" t="n">
        <v>111</v>
      </c>
      <c r="Q220" s="13" t="n">
        <v>18.9</v>
      </c>
      <c r="R220" s="13" t="n">
        <v>1372</v>
      </c>
      <c r="S220" s="13" t="n">
        <v>1.35</v>
      </c>
      <c r="T220" s="13" t="n">
        <v>1846</v>
      </c>
      <c r="U220" s="13" t="n">
        <v>227</v>
      </c>
      <c r="V220" s="13" t="n">
        <v>101</v>
      </c>
      <c r="W220" s="13" t="n">
        <v>53</v>
      </c>
      <c r="X220" s="13" t="n">
        <v>269</v>
      </c>
      <c r="Y220" s="13" t="n">
        <v>23</v>
      </c>
      <c r="Z220" s="13" t="n">
        <v>189</v>
      </c>
      <c r="AA220" s="13" t="n">
        <v>0.437</v>
      </c>
      <c r="AB220" s="13" t="n">
        <v>143</v>
      </c>
      <c r="AC220" s="13" t="n">
        <v>159</v>
      </c>
      <c r="AD220" s="13" t="n">
        <v>125</v>
      </c>
      <c r="AE220" s="13" t="n">
        <v>6</v>
      </c>
      <c r="AF220" s="13" t="n">
        <v>10.8</v>
      </c>
      <c r="AG220" s="11" t="inlineStr">
        <is>
          <t xml:space="preserve"> Touring</t>
        </is>
      </c>
      <c r="AH220" s="11" t="inlineStr">
        <is>
          <t xml:space="preserve"> Ultralight Touring</t>
        </is>
      </c>
      <c r="AI220" s="13" t="n"/>
      <c r="AJ220" s="13" t="n"/>
      <c r="AK220" s="42" t="n"/>
    </row>
    <row r="221">
      <c r="E221" s="40" t="inlineStr">
        <is>
          <t>21/22</t>
        </is>
      </c>
      <c r="F221" s="10" t="inlineStr">
        <is>
          <t>4FRNT</t>
        </is>
      </c>
      <c r="G221" s="11" t="inlineStr">
        <is>
          <t xml:space="preserve"> Devastator</t>
        </is>
      </c>
      <c r="H221" s="13" t="n">
        <v>186</v>
      </c>
      <c r="I221" s="11" t="inlineStr">
        <is>
          <t xml:space="preserve"> Unisex</t>
        </is>
      </c>
      <c r="J221" s="13" t="n">
        <v>186</v>
      </c>
      <c r="K221" s="13" t="n">
        <v>183.8</v>
      </c>
      <c r="L221" s="13" t="n">
        <v>0</v>
      </c>
      <c r="M221" s="13" t="n">
        <v>151</v>
      </c>
      <c r="N221" s="13" t="n">
        <v>136</v>
      </c>
      <c r="O221" s="13" t="n">
        <v>107</v>
      </c>
      <c r="P221" s="13" t="n">
        <v>130</v>
      </c>
      <c r="Q221" s="13" t="n">
        <v>20.7</v>
      </c>
      <c r="R221" s="13" t="n">
        <v>1970</v>
      </c>
      <c r="S221" s="13" t="n">
        <v>1.09</v>
      </c>
      <c r="T221" s="13" t="n">
        <v>2144</v>
      </c>
      <c r="U221" s="13" t="n">
        <v>310</v>
      </c>
      <c r="V221" s="13" t="n">
        <v>129</v>
      </c>
      <c r="W221" s="13" t="n">
        <v>59</v>
      </c>
      <c r="X221" s="13" t="n">
        <v>971</v>
      </c>
      <c r="Y221" s="13" t="n">
        <v>54</v>
      </c>
      <c r="Z221" s="13" t="n">
        <v>867</v>
      </c>
      <c r="AA221" s="13" t="n">
        <v>0.902</v>
      </c>
      <c r="AB221" s="13" t="n">
        <v>165</v>
      </c>
      <c r="AC221" s="13" t="n">
        <v>159</v>
      </c>
      <c r="AD221" s="13" t="n">
        <v>806</v>
      </c>
      <c r="AE221" s="13" t="n">
        <v>-10</v>
      </c>
      <c r="AF221" s="13" t="n">
        <v>5.2</v>
      </c>
      <c r="AG221" s="11" t="inlineStr">
        <is>
          <t xml:space="preserve"> Freeski</t>
        </is>
      </c>
      <c r="AH221" s="11" t="inlineStr">
        <is>
          <t xml:space="preserve"> Powder</t>
        </is>
      </c>
      <c r="AI221" s="11" t="inlineStr">
        <is>
          <t xml:space="preserve"> Touring</t>
        </is>
      </c>
      <c r="AJ221" s="13" t="n"/>
      <c r="AK221" s="42" t="n"/>
    </row>
    <row r="222">
      <c r="E222" s="40" t="inlineStr">
        <is>
          <t>21/22</t>
        </is>
      </c>
      <c r="F222" s="10" t="inlineStr">
        <is>
          <t>4FRNT</t>
        </is>
      </c>
      <c r="G222" s="11" t="inlineStr">
        <is>
          <t xml:space="preserve"> Hoji</t>
        </is>
      </c>
      <c r="H222" s="13" t="n">
        <v>184</v>
      </c>
      <c r="I222" s="11" t="inlineStr">
        <is>
          <t xml:space="preserve"> Unisex</t>
        </is>
      </c>
      <c r="J222" s="13" t="n">
        <v>184</v>
      </c>
      <c r="K222" s="13" t="n">
        <v>182.7</v>
      </c>
      <c r="L222" s="13" t="n">
        <v>0</v>
      </c>
      <c r="M222" s="13" t="n">
        <v>132</v>
      </c>
      <c r="N222" s="13" t="n">
        <v>128</v>
      </c>
      <c r="O222" s="13" t="n">
        <v>112</v>
      </c>
      <c r="P222" s="13" t="n">
        <v>119</v>
      </c>
      <c r="Q222" s="13" t="n">
        <v>30.1</v>
      </c>
      <c r="R222" s="13" t="n">
        <v>1920</v>
      </c>
      <c r="S222" s="13" t="n">
        <v>1.1</v>
      </c>
      <c r="T222" s="13" t="n">
        <v>2118</v>
      </c>
      <c r="U222" s="13" t="n">
        <v>297</v>
      </c>
      <c r="V222" s="13" t="n">
        <v>117</v>
      </c>
      <c r="W222" s="13" t="n">
        <v>76</v>
      </c>
      <c r="X222" s="13" t="n">
        <v>982</v>
      </c>
      <c r="Y222" s="13" t="n">
        <v>28</v>
      </c>
      <c r="Z222" s="13" t="n">
        <v>845</v>
      </c>
      <c r="AA222" s="13" t="n">
        <v>0.366</v>
      </c>
      <c r="AB222" s="13" t="n">
        <v>209</v>
      </c>
      <c r="AC222" s="13" t="n">
        <v>301</v>
      </c>
      <c r="AD222" s="13" t="n">
        <v>773</v>
      </c>
      <c r="AE222" s="13" t="n">
        <v>-11</v>
      </c>
      <c r="AF222" s="13" t="n">
        <v>6.9</v>
      </c>
      <c r="AG222" s="11" t="inlineStr">
        <is>
          <t xml:space="preserve"> Powder</t>
        </is>
      </c>
      <c r="AH222" s="11" t="inlineStr">
        <is>
          <t xml:space="preserve"> Big Mountain</t>
        </is>
      </c>
      <c r="AI222" s="11" t="inlineStr">
        <is>
          <t xml:space="preserve"> Touring</t>
        </is>
      </c>
      <c r="AJ222" s="13" t="n"/>
      <c r="AK222" s="42" t="n"/>
    </row>
    <row r="223">
      <c r="E223" s="40" t="inlineStr">
        <is>
          <t>21/22</t>
        </is>
      </c>
      <c r="F223" s="10" t="inlineStr">
        <is>
          <t>4FRNT</t>
        </is>
      </c>
      <c r="G223" s="11" t="inlineStr">
        <is>
          <t xml:space="preserve"> Hoji CC</t>
        </is>
      </c>
      <c r="H223" s="13" t="n">
        <v>170</v>
      </c>
      <c r="I223" s="11" t="inlineStr">
        <is>
          <t xml:space="preserve"> Women's</t>
        </is>
      </c>
      <c r="J223" s="13" t="n">
        <v>170</v>
      </c>
      <c r="K223" s="13" t="n">
        <v>168.6</v>
      </c>
      <c r="L223" s="13" t="n">
        <v>0</v>
      </c>
      <c r="M223" s="13" t="n">
        <v>117</v>
      </c>
      <c r="N223" s="13" t="n">
        <v>125</v>
      </c>
      <c r="O223" s="13" t="n">
        <v>111</v>
      </c>
      <c r="P223" s="13" t="n">
        <v>117</v>
      </c>
      <c r="Q223" s="13" t="n">
        <v>29.9</v>
      </c>
      <c r="R223" s="13" t="n">
        <v>1785</v>
      </c>
      <c r="S223" s="13" t="n">
        <v>1.08</v>
      </c>
      <c r="T223" s="13" t="n">
        <v>1933</v>
      </c>
      <c r="U223" s="13" t="n">
        <v>258</v>
      </c>
      <c r="V223" s="13" t="n">
        <v>120</v>
      </c>
      <c r="W223" s="13" t="n">
        <v>76</v>
      </c>
      <c r="X223" s="13" t="n">
        <v>911</v>
      </c>
      <c r="Y223" s="13" t="n">
        <v>31</v>
      </c>
      <c r="Z223" s="13" t="n">
        <v>775</v>
      </c>
      <c r="AA223" s="13" t="n">
        <v>0.411</v>
      </c>
      <c r="AB223" s="13" t="n">
        <v>200</v>
      </c>
      <c r="AC223" s="13" t="n">
        <v>314</v>
      </c>
      <c r="AD223" s="13" t="n">
        <v>711</v>
      </c>
      <c r="AE223" s="13" t="n">
        <v>-11</v>
      </c>
      <c r="AF223" s="13" t="n">
        <v>6.8</v>
      </c>
      <c r="AG223" s="11" t="inlineStr">
        <is>
          <t xml:space="preserve"> Powder</t>
        </is>
      </c>
      <c r="AH223" s="11" t="inlineStr">
        <is>
          <t xml:space="preserve"> Touring</t>
        </is>
      </c>
      <c r="AI223" s="13" t="n"/>
      <c r="AJ223" s="13" t="n"/>
      <c r="AK223" s="42" t="n"/>
    </row>
    <row r="224">
      <c r="E224" s="40" t="inlineStr">
        <is>
          <t>21/22</t>
        </is>
      </c>
      <c r="F224" s="10" t="inlineStr">
        <is>
          <t>4FRNT</t>
        </is>
      </c>
      <c r="G224" s="11" t="inlineStr">
        <is>
          <t xml:space="preserve"> Hoji CC</t>
        </is>
      </c>
      <c r="H224" s="13" t="n">
        <v>177</v>
      </c>
      <c r="I224" s="11" t="inlineStr">
        <is>
          <t xml:space="preserve"> Women's</t>
        </is>
      </c>
      <c r="J224" s="13" t="n">
        <v>177</v>
      </c>
      <c r="K224" s="13" t="n">
        <v>175.5</v>
      </c>
      <c r="L224" s="13" t="n">
        <v>0</v>
      </c>
      <c r="M224" s="13" t="n">
        <v>126</v>
      </c>
      <c r="N224" s="13" t="n">
        <v>126</v>
      </c>
      <c r="O224" s="13" t="n">
        <v>111</v>
      </c>
      <c r="P224" s="13" t="n">
        <v>118</v>
      </c>
      <c r="Q224" s="13" t="n">
        <v>30.4</v>
      </c>
      <c r="R224" s="13" t="n">
        <v>1822</v>
      </c>
      <c r="S224" s="13" t="n">
        <v>1.11</v>
      </c>
      <c r="T224" s="13" t="n">
        <v>2023</v>
      </c>
      <c r="U224" s="13" t="n">
        <v>278</v>
      </c>
      <c r="V224" s="13" t="n">
        <v>123</v>
      </c>
      <c r="W224" s="13" t="n">
        <v>75</v>
      </c>
      <c r="X224" s="13" t="n">
        <v>945</v>
      </c>
      <c r="Y224" s="13" t="n">
        <v>31</v>
      </c>
      <c r="Z224" s="13" t="n">
        <v>810</v>
      </c>
      <c r="AA224" s="13" t="n">
        <v>0.41</v>
      </c>
      <c r="AB224" s="13" t="n">
        <v>200</v>
      </c>
      <c r="AC224" s="13" t="n">
        <v>299</v>
      </c>
      <c r="AD224" s="13" t="n">
        <v>745</v>
      </c>
      <c r="AE224" s="13" t="n">
        <v>-11</v>
      </c>
      <c r="AF224" s="13" t="n">
        <v>6.8</v>
      </c>
      <c r="AG224" s="11" t="inlineStr">
        <is>
          <t xml:space="preserve"> Powder</t>
        </is>
      </c>
      <c r="AH224" s="11" t="inlineStr">
        <is>
          <t xml:space="preserve"> Touring</t>
        </is>
      </c>
      <c r="AI224" s="13" t="n"/>
      <c r="AJ224" s="13" t="n"/>
      <c r="AK224" s="42" t="n"/>
    </row>
    <row r="225">
      <c r="E225" s="40" t="inlineStr">
        <is>
          <t>21/22</t>
        </is>
      </c>
      <c r="F225" s="10" t="inlineStr">
        <is>
          <t>4FRNT</t>
        </is>
      </c>
      <c r="G225" s="11" t="inlineStr">
        <is>
          <t xml:space="preserve"> Inthayne</t>
        </is>
      </c>
      <c r="H225" s="13" t="n">
        <v>188</v>
      </c>
      <c r="I225" s="11" t="inlineStr">
        <is>
          <t xml:space="preserve"> Unisex</t>
        </is>
      </c>
      <c r="J225" s="13" t="n">
        <v>188</v>
      </c>
      <c r="K225" s="13" t="n">
        <v>185.7</v>
      </c>
      <c r="L225" s="13" t="n">
        <v>0</v>
      </c>
      <c r="M225" s="13" t="n">
        <v>136</v>
      </c>
      <c r="N225" s="13" t="n">
        <v>137</v>
      </c>
      <c r="O225" s="13" t="n">
        <v>117</v>
      </c>
      <c r="P225" s="13" t="n">
        <v>128</v>
      </c>
      <c r="Q225" s="13" t="n">
        <v>25.5</v>
      </c>
      <c r="R225" s="13" t="n">
        <v>1998</v>
      </c>
      <c r="S225" s="13" t="n">
        <v>1.14</v>
      </c>
      <c r="T225" s="13" t="n">
        <v>2273</v>
      </c>
      <c r="U225" s="13" t="n">
        <v>275</v>
      </c>
      <c r="V225" s="13" t="n">
        <v>106</v>
      </c>
      <c r="W225" s="13" t="n">
        <v>61</v>
      </c>
      <c r="X225" s="13" t="n">
        <v>989</v>
      </c>
      <c r="Y225" s="13" t="n">
        <v>51</v>
      </c>
      <c r="Z225" s="13" t="n">
        <v>868</v>
      </c>
      <c r="AA225" s="13" t="n">
        <v>0.837</v>
      </c>
      <c r="AB225" s="13" t="n">
        <v>229</v>
      </c>
      <c r="AC225" s="13" t="n">
        <v>272</v>
      </c>
      <c r="AD225" s="13" t="n">
        <v>760</v>
      </c>
      <c r="AE225" s="13" t="n">
        <v>-3</v>
      </c>
      <c r="AF225" s="13" t="n">
        <v>6</v>
      </c>
      <c r="AG225" s="11" t="inlineStr">
        <is>
          <t xml:space="preserve"> Freeski</t>
        </is>
      </c>
      <c r="AH225" s="11" t="inlineStr">
        <is>
          <t xml:space="preserve"> Powder</t>
        </is>
      </c>
      <c r="AI225" s="11" t="inlineStr">
        <is>
          <t xml:space="preserve"> Touring</t>
        </is>
      </c>
      <c r="AJ225" s="13" t="n"/>
      <c r="AK225" s="42" t="n"/>
    </row>
    <row r="226">
      <c r="E226" s="40" t="inlineStr">
        <is>
          <t>21/22</t>
        </is>
      </c>
      <c r="F226" s="10" t="inlineStr">
        <is>
          <t>4FRNT</t>
        </is>
      </c>
      <c r="G226" s="11" t="inlineStr">
        <is>
          <t>MSP 107</t>
        </is>
      </c>
      <c r="H226" s="13" t="n">
        <v>181</v>
      </c>
      <c r="I226" s="11" t="inlineStr">
        <is>
          <t xml:space="preserve"> Unisex</t>
        </is>
      </c>
      <c r="J226" s="13" t="n">
        <v>181</v>
      </c>
      <c r="K226" s="13" t="n">
        <v>179.9</v>
      </c>
      <c r="L226" s="13" t="n">
        <v>126</v>
      </c>
      <c r="M226" s="13" t="n">
        <v>149</v>
      </c>
      <c r="N226" s="13" t="n">
        <v>138</v>
      </c>
      <c r="O226" s="13" t="n">
        <v>106</v>
      </c>
      <c r="P226" s="13" t="n">
        <v>128</v>
      </c>
      <c r="Q226" s="13" t="n">
        <v>19.9</v>
      </c>
      <c r="R226" s="13" t="n">
        <v>2090</v>
      </c>
      <c r="S226" s="13" t="n">
        <v>1</v>
      </c>
      <c r="T226" s="13" t="n">
        <v>2091</v>
      </c>
      <c r="U226" s="13" t="n">
        <v>221</v>
      </c>
      <c r="V226" s="13" t="n">
        <v>113</v>
      </c>
      <c r="W226" s="13" t="n">
        <v>58</v>
      </c>
      <c r="X226" s="13" t="n">
        <v>316</v>
      </c>
      <c r="Y226" s="13" t="n">
        <v>19</v>
      </c>
      <c r="Z226" s="13" t="n">
        <v>221</v>
      </c>
      <c r="AA226" s="13" t="n">
        <v>0.322</v>
      </c>
      <c r="AB226" s="13" t="n">
        <v>169</v>
      </c>
      <c r="AC226" s="13" t="n">
        <v>141</v>
      </c>
      <c r="AD226" s="13" t="n">
        <v>147</v>
      </c>
      <c r="AE226" s="13" t="n">
        <v>5</v>
      </c>
      <c r="AF226" s="13" t="n">
        <v>8.800000000000001</v>
      </c>
      <c r="AG226" s="11" t="inlineStr">
        <is>
          <t xml:space="preserve"> Big Mountain</t>
        </is>
      </c>
      <c r="AH226" s="13" t="n"/>
      <c r="AI226" s="13" t="n"/>
      <c r="AJ226" s="13" t="n"/>
      <c r="AK226" s="42" t="n"/>
    </row>
    <row r="227">
      <c r="E227" s="40" t="inlineStr">
        <is>
          <t>21/22</t>
        </is>
      </c>
      <c r="F227" s="10" t="inlineStr">
        <is>
          <t>4FRNT</t>
        </is>
      </c>
      <c r="G227" s="11" t="inlineStr">
        <is>
          <t>MSP 99</t>
        </is>
      </c>
      <c r="H227" s="13" t="n">
        <v>181</v>
      </c>
      <c r="I227" s="11" t="inlineStr">
        <is>
          <t xml:space="preserve"> Unisex</t>
        </is>
      </c>
      <c r="J227" s="13" t="n">
        <v>181</v>
      </c>
      <c r="K227" s="13" t="n">
        <v>180.2</v>
      </c>
      <c r="L227" s="13" t="n">
        <v>131</v>
      </c>
      <c r="M227" s="13" t="n">
        <v>151</v>
      </c>
      <c r="N227" s="13" t="n">
        <v>134</v>
      </c>
      <c r="O227" s="13" t="n">
        <v>98</v>
      </c>
      <c r="P227" s="13" t="n">
        <v>122</v>
      </c>
      <c r="Q227" s="13" t="n">
        <v>17.8</v>
      </c>
      <c r="R227" s="13" t="n">
        <v>2261</v>
      </c>
      <c r="S227" s="13" t="n">
        <v>0.88</v>
      </c>
      <c r="T227" s="13" t="n">
        <v>1982</v>
      </c>
      <c r="U227" s="13" t="n">
        <v>248</v>
      </c>
      <c r="V227" s="13" t="n">
        <v>153</v>
      </c>
      <c r="W227" s="13" t="n">
        <v>51</v>
      </c>
      <c r="X227" s="13" t="n">
        <v>285</v>
      </c>
      <c r="Y227" s="13" t="n">
        <v>14</v>
      </c>
      <c r="Z227" s="13" t="n">
        <v>206</v>
      </c>
      <c r="AA227" s="13" t="n">
        <v>0.283</v>
      </c>
      <c r="AB227" s="13" t="n">
        <v>160</v>
      </c>
      <c r="AC227" s="13" t="n">
        <v>132</v>
      </c>
      <c r="AD227" s="13" t="n">
        <v>125</v>
      </c>
      <c r="AE227" s="13" t="n">
        <v>5</v>
      </c>
      <c r="AF227" s="13" t="n">
        <v>8.9</v>
      </c>
      <c r="AG227" s="11" t="inlineStr">
        <is>
          <t xml:space="preserve"> Resort Freeride</t>
        </is>
      </c>
      <c r="AH227" s="13" t="n"/>
      <c r="AI227" s="13" t="n"/>
      <c r="AJ227" s="13" t="n"/>
      <c r="AK227" s="42" t="n"/>
    </row>
    <row r="228">
      <c r="E228" s="40" t="inlineStr">
        <is>
          <t>21/22</t>
        </is>
      </c>
      <c r="F228" s="10" t="inlineStr">
        <is>
          <t>4FRNT</t>
        </is>
      </c>
      <c r="G228" s="11" t="inlineStr">
        <is>
          <t xml:space="preserve"> MSP CC</t>
        </is>
      </c>
      <c r="H228" s="13" t="n">
        <v>171</v>
      </c>
      <c r="I228" s="11" t="inlineStr">
        <is>
          <t xml:space="preserve"> Women's</t>
        </is>
      </c>
      <c r="J228" s="13" t="n">
        <v>171</v>
      </c>
      <c r="K228" s="13" t="n">
        <v>170.4</v>
      </c>
      <c r="L228" s="13" t="n">
        <v>128</v>
      </c>
      <c r="M228" s="13" t="n">
        <v>143</v>
      </c>
      <c r="N228" s="13" t="n">
        <v>133</v>
      </c>
      <c r="O228" s="13" t="n">
        <v>98</v>
      </c>
      <c r="P228" s="13" t="n">
        <v>121</v>
      </c>
      <c r="Q228" s="13" t="n">
        <v>16.6</v>
      </c>
      <c r="R228" s="13" t="n">
        <v>1988</v>
      </c>
      <c r="S228" s="13" t="n">
        <v>0.9399999999999999</v>
      </c>
      <c r="T228" s="13" t="n">
        <v>1865</v>
      </c>
      <c r="U228" s="13" t="n">
        <v>205</v>
      </c>
      <c r="V228" s="13" t="n">
        <v>125</v>
      </c>
      <c r="W228" s="13" t="n">
        <v>43</v>
      </c>
      <c r="X228" s="13" t="n">
        <v>257</v>
      </c>
      <c r="Y228" s="13" t="n">
        <v>8</v>
      </c>
      <c r="Z228" s="13" t="n">
        <v>162</v>
      </c>
      <c r="AA228" s="13" t="n">
        <v>0.191</v>
      </c>
      <c r="AB228" s="13" t="n">
        <v>151</v>
      </c>
      <c r="AC228" s="13" t="n">
        <v>125</v>
      </c>
      <c r="AD228" s="13" t="n">
        <v>107</v>
      </c>
      <c r="AE228" s="13" t="n">
        <v>8</v>
      </c>
      <c r="AF228" s="13" t="n">
        <v>7.9</v>
      </c>
      <c r="AG228" s="11" t="inlineStr">
        <is>
          <t xml:space="preserve"> Resort Freeride</t>
        </is>
      </c>
      <c r="AH228" s="13" t="n"/>
      <c r="AI228" s="13" t="n"/>
      <c r="AJ228" s="13" t="n"/>
      <c r="AK228" s="42" t="n"/>
    </row>
    <row r="229">
      <c r="E229" s="40" t="inlineStr">
        <is>
          <t>21/22</t>
        </is>
      </c>
      <c r="F229" s="10" t="inlineStr">
        <is>
          <t>4FRNT</t>
        </is>
      </c>
      <c r="G229" s="11" t="inlineStr">
        <is>
          <t xml:space="preserve"> Raven</t>
        </is>
      </c>
      <c r="H229" s="13" t="n">
        <v>184</v>
      </c>
      <c r="I229" s="11" t="inlineStr">
        <is>
          <t xml:space="preserve"> Unisex</t>
        </is>
      </c>
      <c r="J229" s="13" t="n">
        <v>184</v>
      </c>
      <c r="K229" s="13" t="n">
        <v>182.6</v>
      </c>
      <c r="L229" s="13" t="n">
        <v>0</v>
      </c>
      <c r="M229" s="13" t="n">
        <v>130</v>
      </c>
      <c r="N229" s="13" t="n">
        <v>121</v>
      </c>
      <c r="O229" s="13" t="n">
        <v>103</v>
      </c>
      <c r="P229" s="13" t="n">
        <v>111</v>
      </c>
      <c r="Q229" s="13" t="n">
        <v>28.4</v>
      </c>
      <c r="R229" s="13" t="n">
        <v>1810</v>
      </c>
      <c r="S229" s="13" t="n">
        <v>1.09</v>
      </c>
      <c r="T229" s="13" t="n">
        <v>1969</v>
      </c>
      <c r="U229" s="13" t="n">
        <v>221</v>
      </c>
      <c r="V229" s="13" t="n">
        <v>96</v>
      </c>
      <c r="W229" s="13" t="n">
        <v>67</v>
      </c>
      <c r="X229" s="13" t="n">
        <v>972</v>
      </c>
      <c r="Y229" s="13" t="n">
        <v>26</v>
      </c>
      <c r="Z229" s="13" t="n">
        <v>854</v>
      </c>
      <c r="AA229" s="13" t="n">
        <v>0.394</v>
      </c>
      <c r="AB229" s="13" t="n">
        <v>216</v>
      </c>
      <c r="AC229" s="13" t="n">
        <v>309</v>
      </c>
      <c r="AD229" s="13" t="n">
        <v>756</v>
      </c>
      <c r="AE229" s="13" t="n">
        <v>-7</v>
      </c>
      <c r="AF229" s="13" t="n">
        <v>5.9</v>
      </c>
      <c r="AG229" s="11" t="inlineStr">
        <is>
          <t xml:space="preserve"> Resort Freeride</t>
        </is>
      </c>
      <c r="AH229" s="11" t="inlineStr">
        <is>
          <t xml:space="preserve"> Powder</t>
        </is>
      </c>
      <c r="AI229" s="11" t="inlineStr">
        <is>
          <t xml:space="preserve"> Big Mountain</t>
        </is>
      </c>
      <c r="AJ229" s="11" t="inlineStr">
        <is>
          <t xml:space="preserve"> Touring</t>
        </is>
      </c>
      <c r="AK229" s="42" t="n"/>
    </row>
    <row r="230">
      <c r="E230" s="40" t="inlineStr">
        <is>
          <t>21/22</t>
        </is>
      </c>
      <c r="F230" s="10" t="inlineStr">
        <is>
          <t>4FRNT</t>
        </is>
      </c>
      <c r="G230" s="11" t="inlineStr">
        <is>
          <t xml:space="preserve"> Renegade</t>
        </is>
      </c>
      <c r="H230" s="13" t="n">
        <v>184</v>
      </c>
      <c r="I230" s="11" t="inlineStr">
        <is>
          <t xml:space="preserve"> Unisex</t>
        </is>
      </c>
      <c r="J230" s="13" t="n">
        <v>184</v>
      </c>
      <c r="K230" s="13" t="n">
        <v>182.2</v>
      </c>
      <c r="L230" s="13" t="n">
        <v>0</v>
      </c>
      <c r="M230" s="13" t="n">
        <v>131</v>
      </c>
      <c r="N230" s="13" t="n">
        <v>136</v>
      </c>
      <c r="O230" s="13" t="n">
        <v>122</v>
      </c>
      <c r="P230" s="13" t="n">
        <v>129</v>
      </c>
      <c r="Q230" s="13" t="n">
        <v>31.2</v>
      </c>
      <c r="R230" s="13" t="n">
        <v>2031</v>
      </c>
      <c r="S230" s="13" t="n">
        <v>1.12</v>
      </c>
      <c r="T230" s="13" t="n">
        <v>2279</v>
      </c>
      <c r="U230" s="13" t="n">
        <v>287</v>
      </c>
      <c r="V230" s="13" t="n">
        <v>124</v>
      </c>
      <c r="W230" s="13" t="n">
        <v>83</v>
      </c>
      <c r="X230" s="13" t="n">
        <v>968</v>
      </c>
      <c r="Y230" s="13" t="n">
        <v>34</v>
      </c>
      <c r="Z230" s="13" t="n">
        <v>854</v>
      </c>
      <c r="AA230" s="13" t="n">
        <v>0.405</v>
      </c>
      <c r="AB230" s="13" t="n">
        <v>238</v>
      </c>
      <c r="AC230" s="13" t="n">
        <v>276</v>
      </c>
      <c r="AD230" s="13" t="n">
        <v>730</v>
      </c>
      <c r="AE230" s="13" t="n">
        <v>-10</v>
      </c>
      <c r="AF230" s="13" t="n">
        <v>5.7</v>
      </c>
      <c r="AG230" s="11" t="inlineStr">
        <is>
          <t xml:space="preserve"> Powder</t>
        </is>
      </c>
      <c r="AH230" s="11" t="inlineStr">
        <is>
          <t xml:space="preserve"> Touring</t>
        </is>
      </c>
      <c r="AI230" s="13" t="n"/>
      <c r="AJ230" s="13" t="n"/>
      <c r="AK230" s="42" t="n"/>
    </row>
    <row r="231">
      <c r="E231" s="40" t="inlineStr">
        <is>
          <t>21/22</t>
        </is>
      </c>
      <c r="F231" s="10" t="inlineStr">
        <is>
          <t>4FRNT</t>
        </is>
      </c>
      <c r="G231" s="11" t="inlineStr">
        <is>
          <t xml:space="preserve"> Switch</t>
        </is>
      </c>
      <c r="H231" s="13" t="n">
        <v>184</v>
      </c>
      <c r="I231" s="11" t="inlineStr">
        <is>
          <t xml:space="preserve"> Unisex</t>
        </is>
      </c>
      <c r="J231" s="13" t="n">
        <v>184</v>
      </c>
      <c r="K231" s="13" t="n">
        <v>182.1</v>
      </c>
      <c r="L231" s="13" t="n">
        <v>146</v>
      </c>
      <c r="M231" s="13" t="n">
        <v>149</v>
      </c>
      <c r="N231" s="13" t="n">
        <v>126</v>
      </c>
      <c r="O231" s="13" t="n">
        <v>98</v>
      </c>
      <c r="P231" s="13" t="n">
        <v>122</v>
      </c>
      <c r="Q231" s="13" t="n">
        <v>18.8</v>
      </c>
      <c r="R231" s="13" t="n">
        <v>1760</v>
      </c>
      <c r="S231" s="13" t="n">
        <v>1.12</v>
      </c>
      <c r="T231" s="13" t="n">
        <v>1978</v>
      </c>
      <c r="U231" s="13" t="n">
        <v>181</v>
      </c>
      <c r="V231" s="13" t="n">
        <v>87</v>
      </c>
      <c r="W231" s="13" t="n">
        <v>40</v>
      </c>
      <c r="X231" s="13" t="n">
        <v>202</v>
      </c>
      <c r="Y231" s="13" t="n">
        <v>30</v>
      </c>
      <c r="Z231" s="13" t="n">
        <v>155</v>
      </c>
      <c r="AA231" s="13" t="n">
        <v>0.746</v>
      </c>
      <c r="AB231" s="13" t="n">
        <v>176</v>
      </c>
      <c r="AC231" s="13" t="n">
        <v>154</v>
      </c>
      <c r="AD231" s="13" t="n">
        <v>27</v>
      </c>
      <c r="AE231" s="13" t="n">
        <v>8</v>
      </c>
      <c r="AF231" s="13" t="n">
        <v>3.6</v>
      </c>
      <c r="AG231" s="11" t="inlineStr">
        <is>
          <t xml:space="preserve"> Resort Freeride</t>
        </is>
      </c>
      <c r="AH231" s="11" t="inlineStr">
        <is>
          <t xml:space="preserve"> Touring</t>
        </is>
      </c>
      <c r="AI231" s="13" t="n"/>
      <c r="AJ231" s="13" t="n"/>
      <c r="AK231" s="42" t="n"/>
    </row>
    <row r="232">
      <c r="E232" s="40" t="inlineStr">
        <is>
          <t>21/22</t>
        </is>
      </c>
      <c r="F232" s="10" t="inlineStr">
        <is>
          <t xml:space="preserve"> Armada</t>
        </is>
      </c>
      <c r="G232" s="11" t="inlineStr">
        <is>
          <t>ARV 106</t>
        </is>
      </c>
      <c r="H232" s="13" t="n">
        <v>172</v>
      </c>
      <c r="I232" s="11" t="inlineStr">
        <is>
          <t xml:space="preserve"> Unisex</t>
        </is>
      </c>
      <c r="J232" s="13" t="n">
        <v>172</v>
      </c>
      <c r="K232" s="13" t="n">
        <v>170.4</v>
      </c>
      <c r="L232" s="13" t="n">
        <v>119</v>
      </c>
      <c r="M232" s="13" t="n">
        <v>140</v>
      </c>
      <c r="N232" s="13" t="n">
        <v>132</v>
      </c>
      <c r="O232" s="13" t="n">
        <v>105</v>
      </c>
      <c r="P232" s="13" t="n">
        <v>122</v>
      </c>
      <c r="Q232" s="13" t="n">
        <v>20</v>
      </c>
      <c r="R232" s="13" t="n">
        <v>1948</v>
      </c>
      <c r="S232" s="13" t="n">
        <v>0.98</v>
      </c>
      <c r="T232" s="13" t="n">
        <v>1900</v>
      </c>
      <c r="U232" s="13" t="n">
        <v>187</v>
      </c>
      <c r="V232" s="13" t="n">
        <v>103</v>
      </c>
      <c r="W232" s="13" t="n">
        <v>55</v>
      </c>
      <c r="X232" s="13" t="n">
        <v>280</v>
      </c>
      <c r="Y232" s="13" t="n">
        <v>43</v>
      </c>
      <c r="Z232" s="13" t="n">
        <v>237</v>
      </c>
      <c r="AA232" s="13" t="n">
        <v>0.78</v>
      </c>
      <c r="AB232" s="13" t="n">
        <v>150</v>
      </c>
      <c r="AC232" s="13" t="n">
        <v>155</v>
      </c>
      <c r="AD232" s="13" t="n">
        <v>130</v>
      </c>
      <c r="AE232" s="13" t="n">
        <v>7</v>
      </c>
      <c r="AF232" s="13" t="n">
        <v>5.4</v>
      </c>
      <c r="AG232" s="11" t="inlineStr">
        <is>
          <t xml:space="preserve"> Resort Freeride</t>
        </is>
      </c>
      <c r="AH232" s="11" t="inlineStr">
        <is>
          <t xml:space="preserve"> Powder</t>
        </is>
      </c>
      <c r="AI232" s="13" t="n"/>
      <c r="AJ232" s="13" t="n"/>
      <c r="AK232" s="42" t="n"/>
    </row>
    <row r="233">
      <c r="E233" s="40" t="inlineStr">
        <is>
          <t>21/22</t>
        </is>
      </c>
      <c r="F233" s="10" t="inlineStr">
        <is>
          <t xml:space="preserve"> Armada</t>
        </is>
      </c>
      <c r="G233" s="11" t="inlineStr">
        <is>
          <t>ARV 106</t>
        </is>
      </c>
      <c r="H233" s="13" t="n">
        <v>180</v>
      </c>
      <c r="I233" s="11" t="inlineStr">
        <is>
          <t xml:space="preserve"> Unisex</t>
        </is>
      </c>
      <c r="J233" s="13" t="n">
        <v>180</v>
      </c>
      <c r="K233" s="13" t="n">
        <v>177.9</v>
      </c>
      <c r="L233" s="13" t="n">
        <v>125</v>
      </c>
      <c r="M233" s="13" t="n">
        <v>140</v>
      </c>
      <c r="N233" s="13" t="n">
        <v>132</v>
      </c>
      <c r="O233" s="13" t="n">
        <v>105</v>
      </c>
      <c r="P233" s="13" t="n">
        <v>121</v>
      </c>
      <c r="Q233" s="13" t="n">
        <v>20.7</v>
      </c>
      <c r="R233" s="13" t="n">
        <v>2142</v>
      </c>
      <c r="S233" s="13" t="n">
        <v>0.93</v>
      </c>
      <c r="T233" s="13" t="n">
        <v>1983</v>
      </c>
      <c r="U233" s="13" t="n">
        <v>242</v>
      </c>
      <c r="V233" s="13" t="n">
        <v>119</v>
      </c>
      <c r="W233" s="13" t="n">
        <v>53</v>
      </c>
      <c r="X233" s="13" t="n">
        <v>285</v>
      </c>
      <c r="Y233" s="13" t="n">
        <v>46</v>
      </c>
      <c r="Z233" s="13" t="n">
        <v>242</v>
      </c>
      <c r="AA233" s="13" t="n">
        <v>0.852</v>
      </c>
      <c r="AB233" s="13" t="n">
        <v>177</v>
      </c>
      <c r="AC233" s="13" t="n">
        <v>200</v>
      </c>
      <c r="AD233" s="13" t="n">
        <v>108</v>
      </c>
      <c r="AE233" s="13" t="n">
        <v>8</v>
      </c>
      <c r="AF233" s="13" t="n">
        <v>5.4</v>
      </c>
      <c r="AG233" s="11" t="inlineStr">
        <is>
          <t xml:space="preserve"> Resort Freeride</t>
        </is>
      </c>
      <c r="AH233" s="11" t="inlineStr">
        <is>
          <t xml:space="preserve"> Freeski</t>
        </is>
      </c>
      <c r="AI233" s="11" t="inlineStr">
        <is>
          <t xml:space="preserve"> Powder</t>
        </is>
      </c>
      <c r="AJ233" s="13" t="n"/>
      <c r="AK233" s="42" t="n"/>
    </row>
    <row r="234">
      <c r="E234" s="40" t="inlineStr">
        <is>
          <t>21/22</t>
        </is>
      </c>
      <c r="F234" s="10" t="inlineStr">
        <is>
          <t xml:space="preserve"> Armada</t>
        </is>
      </c>
      <c r="G234" s="11" t="inlineStr">
        <is>
          <t>ARV 106</t>
        </is>
      </c>
      <c r="H234" s="13" t="n">
        <v>188</v>
      </c>
      <c r="I234" s="11" t="inlineStr">
        <is>
          <t xml:space="preserve"> Unisex</t>
        </is>
      </c>
      <c r="J234" s="13" t="n">
        <v>188</v>
      </c>
      <c r="K234" s="13" t="n">
        <v>186.1</v>
      </c>
      <c r="L234" s="13" t="n">
        <v>131</v>
      </c>
      <c r="M234" s="13" t="n">
        <v>151</v>
      </c>
      <c r="N234" s="13" t="n">
        <v>136</v>
      </c>
      <c r="O234" s="13" t="n">
        <v>105</v>
      </c>
      <c r="P234" s="13" t="n">
        <v>124</v>
      </c>
      <c r="Q234" s="13" t="n">
        <v>21.8</v>
      </c>
      <c r="R234" s="13" t="n">
        <v>2335</v>
      </c>
      <c r="S234" s="13" t="n">
        <v>0.9</v>
      </c>
      <c r="T234" s="13" t="n">
        <v>2091</v>
      </c>
      <c r="U234" s="13" t="n">
        <v>263</v>
      </c>
      <c r="V234" s="13" t="n">
        <v>135</v>
      </c>
      <c r="W234" s="13" t="n">
        <v>56</v>
      </c>
      <c r="X234" s="13" t="n">
        <v>298</v>
      </c>
      <c r="Y234" s="13" t="n">
        <v>46</v>
      </c>
      <c r="Z234" s="13" t="n">
        <v>253</v>
      </c>
      <c r="AA234" s="13" t="n">
        <v>0.823</v>
      </c>
      <c r="AB234" s="13" t="n">
        <v>174</v>
      </c>
      <c r="AC234" s="13" t="n">
        <v>174</v>
      </c>
      <c r="AD234" s="13" t="n">
        <v>125</v>
      </c>
      <c r="AE234" s="13" t="n">
        <v>9</v>
      </c>
      <c r="AF234" s="13" t="n">
        <v>5.2</v>
      </c>
      <c r="AG234" s="11" t="inlineStr">
        <is>
          <t xml:space="preserve"> Resort Freeride</t>
        </is>
      </c>
      <c r="AH234" s="11" t="inlineStr">
        <is>
          <t xml:space="preserve"> Freeski</t>
        </is>
      </c>
      <c r="AI234" s="11" t="inlineStr">
        <is>
          <t xml:space="preserve"> Powder</t>
        </is>
      </c>
      <c r="AJ234" s="13" t="n"/>
      <c r="AK234" s="42" t="n"/>
    </row>
    <row r="235">
      <c r="E235" s="40" t="inlineStr">
        <is>
          <t>21/22</t>
        </is>
      </c>
      <c r="F235" s="10" t="inlineStr">
        <is>
          <t xml:space="preserve"> Armada</t>
        </is>
      </c>
      <c r="G235" s="11" t="inlineStr">
        <is>
          <t>ARV 116 JJ UL</t>
        </is>
      </c>
      <c r="H235" s="13" t="n">
        <v>165</v>
      </c>
      <c r="I235" s="11" t="inlineStr">
        <is>
          <t xml:space="preserve"> Unisex</t>
        </is>
      </c>
      <c r="J235" s="13" t="n">
        <v>165</v>
      </c>
      <c r="K235" s="13" t="n">
        <v>163.4</v>
      </c>
      <c r="L235" s="13" t="n">
        <v>101</v>
      </c>
      <c r="M235" s="13" t="n">
        <v>122</v>
      </c>
      <c r="N235" s="13" t="n">
        <v>137</v>
      </c>
      <c r="O235" s="13" t="n">
        <v>115</v>
      </c>
      <c r="P235" s="13" t="n">
        <v>133</v>
      </c>
      <c r="Q235" s="13" t="n">
        <v>16.2</v>
      </c>
      <c r="R235" s="13" t="n">
        <v>1617</v>
      </c>
      <c r="S235" s="13" t="n">
        <v>1.24</v>
      </c>
      <c r="T235" s="13" t="n">
        <v>2008</v>
      </c>
      <c r="U235" s="13" t="n">
        <v>166</v>
      </c>
      <c r="V235" s="13" t="n">
        <v>94</v>
      </c>
      <c r="W235" s="13" t="n">
        <v>57</v>
      </c>
      <c r="X235" s="13" t="n">
        <v>324</v>
      </c>
      <c r="Y235" s="13" t="n">
        <v>56</v>
      </c>
      <c r="Z235" s="13" t="n">
        <v>304</v>
      </c>
      <c r="AA235" s="13" t="n">
        <v>0.987</v>
      </c>
      <c r="AB235" s="13" t="n">
        <v>226</v>
      </c>
      <c r="AC235" s="13" t="n">
        <v>188</v>
      </c>
      <c r="AD235" s="13" t="n">
        <v>98</v>
      </c>
      <c r="AE235" s="13" t="n">
        <v>5</v>
      </c>
      <c r="AF235" s="13" t="n">
        <v>5.8</v>
      </c>
      <c r="AG235" s="11" t="inlineStr">
        <is>
          <t xml:space="preserve"> Freeski</t>
        </is>
      </c>
      <c r="AH235" s="11" t="inlineStr">
        <is>
          <t xml:space="preserve"> Powder</t>
        </is>
      </c>
      <c r="AI235" s="11" t="inlineStr">
        <is>
          <t xml:space="preserve"> Touring</t>
        </is>
      </c>
      <c r="AJ235" s="13" t="n"/>
      <c r="AK235" s="42" t="n"/>
    </row>
    <row r="236">
      <c r="E236" s="40" t="inlineStr">
        <is>
          <t>21/22</t>
        </is>
      </c>
      <c r="F236" s="10" t="inlineStr">
        <is>
          <t xml:space="preserve"> Armada</t>
        </is>
      </c>
      <c r="G236" s="11" t="inlineStr">
        <is>
          <t>ARV 116 JJ UL</t>
        </is>
      </c>
      <c r="H236" s="13" t="n">
        <v>175</v>
      </c>
      <c r="I236" s="11" t="inlineStr">
        <is>
          <t xml:space="preserve"> Unisex</t>
        </is>
      </c>
      <c r="J236" s="13" t="n">
        <v>175</v>
      </c>
      <c r="K236" s="13" t="n">
        <v>173.2</v>
      </c>
      <c r="L236" s="13" t="n">
        <v>103</v>
      </c>
      <c r="M236" s="13" t="n">
        <v>130</v>
      </c>
      <c r="N236" s="13" t="n">
        <v>138</v>
      </c>
      <c r="O236" s="13" t="n">
        <v>115</v>
      </c>
      <c r="P236" s="13" t="n">
        <v>135</v>
      </c>
      <c r="Q236" s="13" t="n">
        <v>17.5</v>
      </c>
      <c r="R236" s="13" t="n">
        <v>1700</v>
      </c>
      <c r="S236" s="13" t="n">
        <v>1.24</v>
      </c>
      <c r="T236" s="13" t="n">
        <v>2109</v>
      </c>
      <c r="U236" s="13" t="n">
        <v>185</v>
      </c>
      <c r="V236" s="13" t="n">
        <v>96</v>
      </c>
      <c r="W236" s="13" t="n">
        <v>63</v>
      </c>
      <c r="X236" s="13" t="n">
        <v>359</v>
      </c>
      <c r="Y236" s="13" t="n">
        <v>63</v>
      </c>
      <c r="Z236" s="13" t="n">
        <v>344</v>
      </c>
      <c r="AA236" s="13" t="n">
        <v>0.986</v>
      </c>
      <c r="AB236" s="13" t="n">
        <v>239</v>
      </c>
      <c r="AC236" s="13" t="n">
        <v>197</v>
      </c>
      <c r="AD236" s="13" t="n">
        <v>120</v>
      </c>
      <c r="AE236" s="13" t="n">
        <v>3</v>
      </c>
      <c r="AF236" s="13" t="n">
        <v>6</v>
      </c>
      <c r="AG236" s="11" t="inlineStr">
        <is>
          <t xml:space="preserve"> Freeski</t>
        </is>
      </c>
      <c r="AH236" s="11" t="inlineStr">
        <is>
          <t xml:space="preserve"> Powder</t>
        </is>
      </c>
      <c r="AI236" s="11" t="inlineStr">
        <is>
          <t xml:space="preserve"> Touring</t>
        </is>
      </c>
      <c r="AJ236" s="13" t="n"/>
      <c r="AK236" s="42" t="n"/>
    </row>
    <row r="237">
      <c r="E237" s="40" t="inlineStr">
        <is>
          <t>21/22</t>
        </is>
      </c>
      <c r="F237" s="10" t="inlineStr">
        <is>
          <t xml:space="preserve"> Armada</t>
        </is>
      </c>
      <c r="G237" s="11" t="inlineStr">
        <is>
          <t>ARV 116 JJ UL</t>
        </is>
      </c>
      <c r="H237" s="13" t="n">
        <v>185</v>
      </c>
      <c r="I237" s="11" t="inlineStr">
        <is>
          <t xml:space="preserve"> Unisex</t>
        </is>
      </c>
      <c r="J237" s="13" t="n">
        <v>185</v>
      </c>
      <c r="K237" s="13" t="n">
        <v>183</v>
      </c>
      <c r="L237" s="13" t="n">
        <v>113</v>
      </c>
      <c r="M237" s="13" t="n">
        <v>136</v>
      </c>
      <c r="N237" s="13" t="n">
        <v>138</v>
      </c>
      <c r="O237" s="13" t="n">
        <v>115</v>
      </c>
      <c r="P237" s="13" t="n">
        <v>134</v>
      </c>
      <c r="Q237" s="13" t="n">
        <v>18.5</v>
      </c>
      <c r="R237" s="13" t="n">
        <v>1783</v>
      </c>
      <c r="S237" s="13" t="n">
        <v>1.24</v>
      </c>
      <c r="T237" s="13" t="n">
        <v>2218</v>
      </c>
      <c r="U237" s="13" t="n">
        <v>203</v>
      </c>
      <c r="V237" s="13" t="n">
        <v>103</v>
      </c>
      <c r="W237" s="13" t="n">
        <v>66</v>
      </c>
      <c r="X237" s="13" t="n">
        <v>361</v>
      </c>
      <c r="Y237" s="13" t="n">
        <v>63</v>
      </c>
      <c r="Z237" s="13" t="n">
        <v>340</v>
      </c>
      <c r="AA237" s="13" t="n">
        <v>0.953</v>
      </c>
      <c r="AB237" s="13" t="n">
        <v>236</v>
      </c>
      <c r="AC237" s="13" t="n">
        <v>231</v>
      </c>
      <c r="AD237" s="13" t="n">
        <v>124</v>
      </c>
      <c r="AE237" s="13" t="n">
        <v>4</v>
      </c>
      <c r="AF237" s="13" t="n">
        <v>5.4</v>
      </c>
      <c r="AG237" s="11" t="inlineStr">
        <is>
          <t xml:space="preserve"> Freeski</t>
        </is>
      </c>
      <c r="AH237" s="11" t="inlineStr">
        <is>
          <t xml:space="preserve"> Powder</t>
        </is>
      </c>
      <c r="AI237" s="11" t="inlineStr">
        <is>
          <t xml:space="preserve"> Touring</t>
        </is>
      </c>
      <c r="AJ237" s="13" t="n"/>
      <c r="AK237" s="42" t="n"/>
    </row>
    <row r="238">
      <c r="E238" s="40" t="inlineStr">
        <is>
          <t>21/22</t>
        </is>
      </c>
      <c r="F238" s="10" t="inlineStr">
        <is>
          <t xml:space="preserve"> Armada</t>
        </is>
      </c>
      <c r="G238" s="11" t="inlineStr">
        <is>
          <t>ARV 116 JJ UL</t>
        </is>
      </c>
      <c r="H238" s="13" t="n">
        <v>192</v>
      </c>
      <c r="I238" s="11" t="inlineStr">
        <is>
          <t xml:space="preserve"> Unisex</t>
        </is>
      </c>
      <c r="J238" s="13" t="n">
        <v>192</v>
      </c>
      <c r="K238" s="13" t="n">
        <v>188.2</v>
      </c>
      <c r="L238" s="13" t="n">
        <v>121</v>
      </c>
      <c r="M238" s="13" t="n">
        <v>138</v>
      </c>
      <c r="N238" s="13" t="n">
        <v>138</v>
      </c>
      <c r="O238" s="13" t="n">
        <v>115</v>
      </c>
      <c r="P238" s="13" t="n">
        <v>134</v>
      </c>
      <c r="Q238" s="13" t="n">
        <v>19.3</v>
      </c>
      <c r="R238" s="13" t="n">
        <v>1874</v>
      </c>
      <c r="S238" s="13" t="n">
        <v>1.21</v>
      </c>
      <c r="T238" s="13" t="n">
        <v>2270</v>
      </c>
      <c r="U238" s="13" t="n">
        <v>239</v>
      </c>
      <c r="V238" s="13" t="n">
        <v>118</v>
      </c>
      <c r="W238" s="13" t="n">
        <v>62</v>
      </c>
      <c r="X238" s="13" t="n">
        <v>359</v>
      </c>
      <c r="Y238" s="13" t="n">
        <v>52</v>
      </c>
      <c r="Z238" s="13" t="n">
        <v>318</v>
      </c>
      <c r="AA238" s="13" t="n">
        <v>0.839</v>
      </c>
      <c r="AB238" s="13" t="n">
        <v>270</v>
      </c>
      <c r="AC238" s="13" t="n">
        <v>234</v>
      </c>
      <c r="AD238" s="13" t="n">
        <v>89</v>
      </c>
      <c r="AE238" s="13" t="n">
        <v>5</v>
      </c>
      <c r="AF238" s="13" t="n">
        <v>6.7</v>
      </c>
      <c r="AG238" s="11" t="inlineStr">
        <is>
          <t xml:space="preserve"> Freeski</t>
        </is>
      </c>
      <c r="AH238" s="11" t="inlineStr">
        <is>
          <t xml:space="preserve"> Powder</t>
        </is>
      </c>
      <c r="AI238" s="11" t="inlineStr">
        <is>
          <t xml:space="preserve"> Touring</t>
        </is>
      </c>
      <c r="AJ238" s="13" t="n"/>
      <c r="AK238" s="42" t="n"/>
    </row>
    <row r="239">
      <c r="E239" s="40" t="inlineStr">
        <is>
          <t>21/22</t>
        </is>
      </c>
      <c r="F239" s="10" t="inlineStr">
        <is>
          <t xml:space="preserve"> Armada</t>
        </is>
      </c>
      <c r="G239" s="11" t="inlineStr">
        <is>
          <t>ARV 84</t>
        </is>
      </c>
      <c r="H239" s="13" t="n">
        <v>143</v>
      </c>
      <c r="I239" s="11" t="inlineStr">
        <is>
          <t xml:space="preserve"> Unisex</t>
        </is>
      </c>
      <c r="J239" s="13" t="n">
        <v>143</v>
      </c>
      <c r="K239" s="13" t="n">
        <v>140.9</v>
      </c>
      <c r="L239" s="13" t="n">
        <v>98</v>
      </c>
      <c r="M239" s="13" t="n">
        <v>116</v>
      </c>
      <c r="N239" s="13" t="n">
        <v>116</v>
      </c>
      <c r="O239" s="13" t="n">
        <v>84</v>
      </c>
      <c r="P239" s="13" t="n">
        <v>108</v>
      </c>
      <c r="Q239" s="13" t="n">
        <v>10.5</v>
      </c>
      <c r="R239" s="13" t="n">
        <v>1373</v>
      </c>
      <c r="S239" s="13" t="n">
        <v>0.99</v>
      </c>
      <c r="T239" s="13" t="n">
        <v>1353</v>
      </c>
      <c r="U239" s="13" t="n">
        <v>112</v>
      </c>
      <c r="V239" s="13" t="n">
        <v>43</v>
      </c>
      <c r="W239" s="13" t="n">
        <v>47</v>
      </c>
      <c r="X239" s="13" t="n">
        <v>245</v>
      </c>
      <c r="Y239" s="13" t="n">
        <v>37</v>
      </c>
      <c r="Z239" s="13" t="n">
        <v>189</v>
      </c>
      <c r="AA239" s="13" t="n">
        <v>0.769</v>
      </c>
      <c r="AB239" s="13" t="n">
        <v>130</v>
      </c>
      <c r="AC239" s="13" t="n">
        <v>114</v>
      </c>
      <c r="AD239" s="13" t="n">
        <v>115</v>
      </c>
      <c r="AE239" s="13" t="n">
        <v>5</v>
      </c>
      <c r="AF239" s="13" t="n">
        <v>9.1</v>
      </c>
      <c r="AG239" s="11" t="inlineStr">
        <is>
          <t xml:space="preserve"> Resort Freeride</t>
        </is>
      </c>
      <c r="AH239" s="13" t="n"/>
      <c r="AI239" s="13" t="n"/>
      <c r="AJ239" s="13" t="n"/>
      <c r="AK239" s="42" t="n"/>
    </row>
    <row r="240">
      <c r="E240" s="40" t="inlineStr">
        <is>
          <t>21/22</t>
        </is>
      </c>
      <c r="F240" s="10" t="inlineStr">
        <is>
          <t xml:space="preserve"> Armada</t>
        </is>
      </c>
      <c r="G240" s="11" t="inlineStr">
        <is>
          <t>ARV 84</t>
        </is>
      </c>
      <c r="H240" s="13" t="n">
        <v>150</v>
      </c>
      <c r="I240" s="11" t="inlineStr">
        <is>
          <t xml:space="preserve"> Unisex</t>
        </is>
      </c>
      <c r="J240" s="13" t="n">
        <v>150</v>
      </c>
      <c r="K240" s="13" t="n">
        <v>148</v>
      </c>
      <c r="L240" s="13" t="n">
        <v>103</v>
      </c>
      <c r="M240" s="13" t="n">
        <v>122</v>
      </c>
      <c r="N240" s="13" t="n">
        <v>116</v>
      </c>
      <c r="O240" s="13" t="n">
        <v>84</v>
      </c>
      <c r="P240" s="13" t="n">
        <v>107</v>
      </c>
      <c r="Q240" s="13" t="n">
        <v>12</v>
      </c>
      <c r="R240" s="13" t="n">
        <v>1466</v>
      </c>
      <c r="S240" s="13" t="n">
        <v>0.96</v>
      </c>
      <c r="T240" s="13" t="n">
        <v>1412</v>
      </c>
      <c r="U240" s="13" t="n">
        <v>124</v>
      </c>
      <c r="V240" s="13" t="n">
        <v>45</v>
      </c>
      <c r="W240" s="13" t="n">
        <v>49</v>
      </c>
      <c r="X240" s="13" t="n">
        <v>256</v>
      </c>
      <c r="Y240" s="13" t="n">
        <v>38</v>
      </c>
      <c r="Z240" s="13" t="n">
        <v>198</v>
      </c>
      <c r="AA240" s="13" t="n">
        <v>0.769</v>
      </c>
      <c r="AB240" s="13" t="n">
        <v>138</v>
      </c>
      <c r="AC240" s="13" t="n">
        <v>121</v>
      </c>
      <c r="AD240" s="13" t="n">
        <v>118</v>
      </c>
      <c r="AE240" s="13" t="n">
        <v>7</v>
      </c>
      <c r="AF240" s="13" t="n">
        <v>5.8</v>
      </c>
      <c r="AG240" s="11" t="inlineStr">
        <is>
          <t xml:space="preserve"> Resort Freeride</t>
        </is>
      </c>
      <c r="AH240" s="13" t="n"/>
      <c r="AI240" s="13" t="n"/>
      <c r="AJ240" s="13" t="n"/>
      <c r="AK240" s="42" t="n"/>
    </row>
    <row r="241">
      <c r="E241" s="40" t="inlineStr">
        <is>
          <t>21/22</t>
        </is>
      </c>
      <c r="F241" s="10" t="inlineStr">
        <is>
          <t xml:space="preserve"> Armada</t>
        </is>
      </c>
      <c r="G241" s="11" t="inlineStr">
        <is>
          <t>ARV 84</t>
        </is>
      </c>
      <c r="H241" s="13" t="n">
        <v>157</v>
      </c>
      <c r="I241" s="11" t="inlineStr">
        <is>
          <t xml:space="preserve"> Unisex</t>
        </is>
      </c>
      <c r="J241" s="13" t="n">
        <v>157</v>
      </c>
      <c r="K241" s="13" t="n">
        <v>155.4</v>
      </c>
      <c r="L241" s="13" t="n">
        <v>111</v>
      </c>
      <c r="M241" s="13" t="n">
        <v>128</v>
      </c>
      <c r="N241" s="13" t="n">
        <v>116</v>
      </c>
      <c r="O241" s="13" t="n">
        <v>84</v>
      </c>
      <c r="P241" s="13" t="n">
        <v>108</v>
      </c>
      <c r="Q241" s="13" t="n">
        <v>13.3</v>
      </c>
      <c r="R241" s="13" t="n">
        <v>1533</v>
      </c>
      <c r="S241" s="13" t="n">
        <v>0.96</v>
      </c>
      <c r="T241" s="13" t="n">
        <v>1479</v>
      </c>
      <c r="U241" s="13" t="n">
        <v>130</v>
      </c>
      <c r="V241" s="13" t="n">
        <v>47</v>
      </c>
      <c r="W241" s="13" t="n">
        <v>46</v>
      </c>
      <c r="X241" s="13" t="n">
        <v>248</v>
      </c>
      <c r="Y241" s="13" t="n">
        <v>37</v>
      </c>
      <c r="Z241" s="13" t="n">
        <v>192</v>
      </c>
      <c r="AA241" s="13" t="n">
        <v>0.798</v>
      </c>
      <c r="AB241" s="13" t="n">
        <v>144</v>
      </c>
      <c r="AC241" s="13" t="n">
        <v>126</v>
      </c>
      <c r="AD241" s="13" t="n">
        <v>104</v>
      </c>
      <c r="AE241" s="13" t="n">
        <v>8</v>
      </c>
      <c r="AF241" s="13" t="n">
        <v>6.8</v>
      </c>
      <c r="AG241" s="11" t="inlineStr">
        <is>
          <t xml:space="preserve"> Resort Freeride</t>
        </is>
      </c>
      <c r="AH241" s="13" t="n"/>
      <c r="AI241" s="13" t="n"/>
      <c r="AJ241" s="13" t="n"/>
      <c r="AK241" s="42" t="n"/>
    </row>
    <row r="242">
      <c r="E242" s="40" t="inlineStr">
        <is>
          <t>21/22</t>
        </is>
      </c>
      <c r="F242" s="10" t="inlineStr">
        <is>
          <t xml:space="preserve"> Armada</t>
        </is>
      </c>
      <c r="G242" s="11" t="inlineStr">
        <is>
          <t>ARV 84</t>
        </is>
      </c>
      <c r="H242" s="13" t="n">
        <v>164</v>
      </c>
      <c r="I242" s="11" t="inlineStr">
        <is>
          <t xml:space="preserve"> Unisex</t>
        </is>
      </c>
      <c r="J242" s="13" t="n">
        <v>164</v>
      </c>
      <c r="K242" s="13" t="n">
        <v>162.4</v>
      </c>
      <c r="L242" s="13" t="n">
        <v>116</v>
      </c>
      <c r="M242" s="13" t="n">
        <v>137</v>
      </c>
      <c r="N242" s="13" t="n">
        <v>117</v>
      </c>
      <c r="O242" s="13" t="n">
        <v>84</v>
      </c>
      <c r="P242" s="13" t="n">
        <v>108</v>
      </c>
      <c r="Q242" s="13" t="n">
        <v>15.1</v>
      </c>
      <c r="R242" s="13" t="n">
        <v>1673</v>
      </c>
      <c r="S242" s="13" t="n">
        <v>0.93</v>
      </c>
      <c r="T242" s="13" t="n">
        <v>1556</v>
      </c>
      <c r="U242" s="13" t="n">
        <v>151</v>
      </c>
      <c r="V242" s="13" t="n">
        <v>59</v>
      </c>
      <c r="W242" s="13" t="n">
        <v>46</v>
      </c>
      <c r="X242" s="13" t="n">
        <v>267</v>
      </c>
      <c r="Y242" s="13" t="n">
        <v>35</v>
      </c>
      <c r="Z242" s="13" t="n">
        <v>200</v>
      </c>
      <c r="AA242" s="13" t="n">
        <v>0.756</v>
      </c>
      <c r="AB242" s="13" t="n">
        <v>137</v>
      </c>
      <c r="AC242" s="13" t="n">
        <v>117</v>
      </c>
      <c r="AD242" s="13" t="n">
        <v>130</v>
      </c>
      <c r="AE242" s="13" t="n">
        <v>7</v>
      </c>
      <c r="AF242" s="13" t="n">
        <v>7.1</v>
      </c>
      <c r="AG242" s="11" t="inlineStr">
        <is>
          <t xml:space="preserve"> Resort Freeride</t>
        </is>
      </c>
      <c r="AH242" s="13" t="n"/>
      <c r="AI242" s="13" t="n"/>
      <c r="AJ242" s="13" t="n"/>
      <c r="AK242" s="42" t="n"/>
    </row>
    <row r="243">
      <c r="E243" s="40" t="inlineStr">
        <is>
          <t>21/22</t>
        </is>
      </c>
      <c r="F243" s="10" t="inlineStr">
        <is>
          <t xml:space="preserve"> Armada</t>
        </is>
      </c>
      <c r="G243" s="11" t="inlineStr">
        <is>
          <t>ARV 84</t>
        </is>
      </c>
      <c r="H243" s="13" t="n">
        <v>171</v>
      </c>
      <c r="I243" s="11" t="inlineStr">
        <is>
          <t xml:space="preserve"> Unisex</t>
        </is>
      </c>
      <c r="J243" s="13" t="n">
        <v>171</v>
      </c>
      <c r="K243" s="13" t="n">
        <v>169.7</v>
      </c>
      <c r="L243" s="13" t="n">
        <v>120</v>
      </c>
      <c r="M243" s="13" t="n">
        <v>141</v>
      </c>
      <c r="N243" s="13" t="n">
        <v>116</v>
      </c>
      <c r="O243" s="13" t="n">
        <v>83</v>
      </c>
      <c r="P243" s="13" t="n">
        <v>108</v>
      </c>
      <c r="Q243" s="13" t="n">
        <v>16.5</v>
      </c>
      <c r="R243" s="13" t="n">
        <v>1790</v>
      </c>
      <c r="S243" s="13" t="n">
        <v>0.9</v>
      </c>
      <c r="T243" s="13" t="n">
        <v>1612</v>
      </c>
      <c r="U243" s="13" t="n">
        <v>176</v>
      </c>
      <c r="V243" s="13" t="n">
        <v>69</v>
      </c>
      <c r="W243" s="13" t="n">
        <v>49</v>
      </c>
      <c r="X243" s="13" t="n">
        <v>283</v>
      </c>
      <c r="Y243" s="13" t="n">
        <v>37</v>
      </c>
      <c r="Z243" s="13" t="n">
        <v>214</v>
      </c>
      <c r="AA243" s="13" t="n">
        <v>0.749</v>
      </c>
      <c r="AB243" s="13" t="n">
        <v>159</v>
      </c>
      <c r="AC243" s="13" t="n">
        <v>128</v>
      </c>
      <c r="AD243" s="13" t="n">
        <v>124</v>
      </c>
      <c r="AE243" s="13" t="n">
        <v>8</v>
      </c>
      <c r="AF243" s="13" t="n">
        <v>7.2</v>
      </c>
      <c r="AG243" s="11" t="inlineStr">
        <is>
          <t xml:space="preserve"> Resort Freeride</t>
        </is>
      </c>
      <c r="AH243" s="13" t="n"/>
      <c r="AI243" s="13" t="n"/>
      <c r="AJ243" s="13" t="n"/>
      <c r="AK243" s="42" t="n"/>
    </row>
    <row r="244">
      <c r="E244" s="40" t="inlineStr">
        <is>
          <t>21/22</t>
        </is>
      </c>
      <c r="F244" s="10" t="inlineStr">
        <is>
          <t xml:space="preserve"> Armada</t>
        </is>
      </c>
      <c r="G244" s="11" t="inlineStr">
        <is>
          <t>ARV 86</t>
        </is>
      </c>
      <c r="H244" s="13" t="n">
        <v>163</v>
      </c>
      <c r="I244" s="11" t="inlineStr">
        <is>
          <t xml:space="preserve"> Unisex</t>
        </is>
      </c>
      <c r="J244" s="13" t="n">
        <v>163</v>
      </c>
      <c r="K244" s="13" t="n">
        <v>161.2</v>
      </c>
      <c r="L244" s="13" t="n">
        <v>126</v>
      </c>
      <c r="M244" s="13" t="n">
        <v>137</v>
      </c>
      <c r="N244" s="13" t="n">
        <v>114</v>
      </c>
      <c r="O244" s="13" t="n">
        <v>86</v>
      </c>
      <c r="P244" s="13" t="n">
        <v>108</v>
      </c>
      <c r="Q244" s="13" t="n">
        <v>16.9</v>
      </c>
      <c r="R244" s="13" t="n">
        <v>1525</v>
      </c>
      <c r="S244" s="13" t="n">
        <v>1.01</v>
      </c>
      <c r="T244" s="13" t="n">
        <v>1537</v>
      </c>
      <c r="U244" s="13" t="n">
        <v>151</v>
      </c>
      <c r="V244" s="13" t="n">
        <v>81</v>
      </c>
      <c r="W244" s="13" t="n">
        <v>44</v>
      </c>
      <c r="X244" s="13" t="n">
        <v>182</v>
      </c>
      <c r="Y244" s="13" t="n">
        <v>41</v>
      </c>
      <c r="Z244" s="13" t="n">
        <v>173</v>
      </c>
      <c r="AA244" s="13" t="n">
        <v>0.919</v>
      </c>
      <c r="AB244" s="13" t="n">
        <v>104</v>
      </c>
      <c r="AC244" s="13" t="n">
        <v>138</v>
      </c>
      <c r="AD244" s="13" t="n">
        <v>78</v>
      </c>
      <c r="AE244" s="13" t="n">
        <v>11</v>
      </c>
      <c r="AF244" s="13" t="n">
        <v>3.5</v>
      </c>
      <c r="AG244" s="11" t="inlineStr">
        <is>
          <t xml:space="preserve"> Freeski</t>
        </is>
      </c>
      <c r="AH244" s="13" t="n"/>
      <c r="AI244" s="13" t="n"/>
      <c r="AJ244" s="13" t="n"/>
      <c r="AK244" s="42" t="n"/>
    </row>
    <row r="245">
      <c r="E245" s="40" t="inlineStr">
        <is>
          <t>21/22</t>
        </is>
      </c>
      <c r="F245" s="10" t="inlineStr">
        <is>
          <t xml:space="preserve"> Armada</t>
        </is>
      </c>
      <c r="G245" s="11" t="inlineStr">
        <is>
          <t>ARV 86</t>
        </is>
      </c>
      <c r="H245" s="13" t="n">
        <v>170</v>
      </c>
      <c r="I245" s="11" t="inlineStr">
        <is>
          <t xml:space="preserve"> Unisex</t>
        </is>
      </c>
      <c r="J245" s="13" t="n">
        <v>170</v>
      </c>
      <c r="K245" s="13" t="n">
        <v>167.9</v>
      </c>
      <c r="L245" s="13" t="n">
        <v>134</v>
      </c>
      <c r="M245" s="13" t="n">
        <v>142</v>
      </c>
      <c r="N245" s="13" t="n">
        <v>114</v>
      </c>
      <c r="O245" s="13" t="n">
        <v>85</v>
      </c>
      <c r="P245" s="13" t="n">
        <v>108</v>
      </c>
      <c r="Q245" s="13" t="n">
        <v>17.7</v>
      </c>
      <c r="R245" s="13" t="n">
        <v>1710</v>
      </c>
      <c r="S245" s="13" t="n">
        <v>0.9399999999999999</v>
      </c>
      <c r="T245" s="13" t="n">
        <v>1606</v>
      </c>
      <c r="U245" s="13" t="n">
        <v>175</v>
      </c>
      <c r="V245" s="13" t="n">
        <v>103</v>
      </c>
      <c r="W245" s="13" t="n">
        <v>43</v>
      </c>
      <c r="X245" s="13" t="n">
        <v>179</v>
      </c>
      <c r="Y245" s="13" t="n">
        <v>37</v>
      </c>
      <c r="Z245" s="13" t="n">
        <v>162</v>
      </c>
      <c r="AA245" s="13" t="n">
        <v>0.869</v>
      </c>
      <c r="AB245" s="13" t="n">
        <v>125</v>
      </c>
      <c r="AC245" s="13" t="n">
        <v>130</v>
      </c>
      <c r="AD245" s="13" t="n">
        <v>54</v>
      </c>
      <c r="AE245" s="13" t="n">
        <v>11</v>
      </c>
      <c r="AF245" s="13" t="n">
        <v>3.6</v>
      </c>
      <c r="AG245" s="11" t="inlineStr">
        <is>
          <t xml:space="preserve"> Freeski</t>
        </is>
      </c>
      <c r="AH245" s="13" t="n"/>
      <c r="AI245" s="13" t="n"/>
      <c r="AJ245" s="13" t="n"/>
      <c r="AK245" s="42" t="n"/>
    </row>
    <row r="246">
      <c r="E246" s="40" t="inlineStr">
        <is>
          <t>21/22</t>
        </is>
      </c>
      <c r="F246" s="10" t="inlineStr">
        <is>
          <t xml:space="preserve"> Armada</t>
        </is>
      </c>
      <c r="G246" s="11" t="inlineStr">
        <is>
          <t>ARV 86</t>
        </is>
      </c>
      <c r="H246" s="13" t="n">
        <v>177</v>
      </c>
      <c r="I246" s="11" t="inlineStr">
        <is>
          <t xml:space="preserve"> Unisex</t>
        </is>
      </c>
      <c r="J246" s="13" t="n">
        <v>177</v>
      </c>
      <c r="K246" s="13" t="n">
        <v>174.9</v>
      </c>
      <c r="L246" s="13" t="n">
        <v>140</v>
      </c>
      <c r="M246" s="13" t="n">
        <v>152</v>
      </c>
      <c r="N246" s="13" t="n">
        <v>118</v>
      </c>
      <c r="O246" s="13" t="n">
        <v>85</v>
      </c>
      <c r="P246" s="13" t="n">
        <v>112</v>
      </c>
      <c r="Q246" s="13" t="n">
        <v>18</v>
      </c>
      <c r="R246" s="13" t="n">
        <v>1819</v>
      </c>
      <c r="S246" s="13" t="n">
        <v>0.93</v>
      </c>
      <c r="T246" s="13" t="n">
        <v>1694</v>
      </c>
      <c r="U246" s="13" t="n">
        <v>204</v>
      </c>
      <c r="V246" s="13" t="n">
        <v>97</v>
      </c>
      <c r="W246" s="13" t="n">
        <v>44</v>
      </c>
      <c r="X246" s="13" t="n">
        <v>181</v>
      </c>
      <c r="Y246" s="13" t="n">
        <v>38</v>
      </c>
      <c r="Z246" s="13" t="n">
        <v>169</v>
      </c>
      <c r="AA246" s="13" t="n">
        <v>0.853</v>
      </c>
      <c r="AB246" s="13" t="n">
        <v>108</v>
      </c>
      <c r="AC246" s="13" t="n">
        <v>120</v>
      </c>
      <c r="AD246" s="13" t="n">
        <v>73</v>
      </c>
      <c r="AE246" s="13" t="n">
        <v>11</v>
      </c>
      <c r="AF246" s="13" t="n">
        <v>4</v>
      </c>
      <c r="AG246" s="11" t="inlineStr">
        <is>
          <t xml:space="preserve"> Resort Freeride</t>
        </is>
      </c>
      <c r="AH246" s="11" t="inlineStr">
        <is>
          <t xml:space="preserve"> Freeski</t>
        </is>
      </c>
      <c r="AI246" s="13" t="n"/>
      <c r="AJ246" s="13" t="n"/>
      <c r="AK246" s="42" t="n"/>
    </row>
    <row r="247">
      <c r="E247" s="40" t="inlineStr">
        <is>
          <t>21/22</t>
        </is>
      </c>
      <c r="F247" s="10" t="inlineStr">
        <is>
          <t xml:space="preserve"> Armada</t>
        </is>
      </c>
      <c r="G247" s="11" t="inlineStr">
        <is>
          <t>ARV 86</t>
        </is>
      </c>
      <c r="H247" s="13" t="n">
        <v>184</v>
      </c>
      <c r="I247" s="11" t="inlineStr">
        <is>
          <t xml:space="preserve"> Unisex</t>
        </is>
      </c>
      <c r="J247" s="13" t="n">
        <v>184</v>
      </c>
      <c r="K247" s="13" t="n">
        <v>181.7</v>
      </c>
      <c r="L247" s="13" t="n">
        <v>147</v>
      </c>
      <c r="M247" s="13" t="n">
        <v>157</v>
      </c>
      <c r="N247" s="13" t="n">
        <v>118</v>
      </c>
      <c r="O247" s="13" t="n">
        <v>86</v>
      </c>
      <c r="P247" s="13" t="n">
        <v>112</v>
      </c>
      <c r="Q247" s="13" t="n">
        <v>18.7</v>
      </c>
      <c r="R247" s="13" t="n">
        <v>1901</v>
      </c>
      <c r="S247" s="13" t="n">
        <v>0.93</v>
      </c>
      <c r="T247" s="13" t="n">
        <v>1766</v>
      </c>
      <c r="U247" s="13" t="n">
        <v>222</v>
      </c>
      <c r="V247" s="13" t="n">
        <v>114</v>
      </c>
      <c r="W247" s="13" t="n">
        <v>45</v>
      </c>
      <c r="X247" s="13" t="n">
        <v>187</v>
      </c>
      <c r="Y247" s="13" t="n">
        <v>37</v>
      </c>
      <c r="Z247" s="13" t="n">
        <v>158</v>
      </c>
      <c r="AA247" s="13" t="n">
        <v>0.838</v>
      </c>
      <c r="AB247" s="13" t="n">
        <v>116</v>
      </c>
      <c r="AC247" s="13" t="n">
        <v>129</v>
      </c>
      <c r="AD247" s="13" t="n">
        <v>72</v>
      </c>
      <c r="AE247" s="13" t="n">
        <v>10</v>
      </c>
      <c r="AF247" s="13" t="n">
        <v>4.6</v>
      </c>
      <c r="AG247" s="11" t="inlineStr">
        <is>
          <t xml:space="preserve"> Resort Freeride</t>
        </is>
      </c>
      <c r="AH247" s="11" t="inlineStr">
        <is>
          <t xml:space="preserve"> Freeski</t>
        </is>
      </c>
      <c r="AI247" s="13" t="n"/>
      <c r="AJ247" s="13" t="n"/>
      <c r="AK247" s="42" t="n"/>
    </row>
    <row r="248">
      <c r="E248" s="40" t="inlineStr">
        <is>
          <t>21/22</t>
        </is>
      </c>
      <c r="F248" s="10" t="inlineStr">
        <is>
          <t xml:space="preserve"> Armada</t>
        </is>
      </c>
      <c r="G248" s="11" t="inlineStr">
        <is>
          <t>ARV 96</t>
        </is>
      </c>
      <c r="H248" s="13" t="n">
        <v>163</v>
      </c>
      <c r="I248" s="11" t="inlineStr">
        <is>
          <t xml:space="preserve"> Unisex</t>
        </is>
      </c>
      <c r="J248" s="13" t="n">
        <v>163</v>
      </c>
      <c r="K248" s="13" t="n">
        <v>161.6</v>
      </c>
      <c r="L248" s="13" t="n">
        <v>117</v>
      </c>
      <c r="M248" s="13" t="n">
        <v>133</v>
      </c>
      <c r="N248" s="13" t="n">
        <v>122</v>
      </c>
      <c r="O248" s="13" t="n">
        <v>95</v>
      </c>
      <c r="P248" s="13" t="n">
        <v>114</v>
      </c>
      <c r="Q248" s="13" t="n">
        <v>17.7</v>
      </c>
      <c r="R248" s="13" t="n">
        <v>1627</v>
      </c>
      <c r="S248" s="13" t="n">
        <v>1.03</v>
      </c>
      <c r="T248" s="13" t="n">
        <v>1675</v>
      </c>
      <c r="U248" s="13" t="n">
        <v>141</v>
      </c>
      <c r="V248" s="13" t="n">
        <v>86</v>
      </c>
      <c r="W248" s="13" t="n">
        <v>48</v>
      </c>
      <c r="X248" s="13" t="n">
        <v>237</v>
      </c>
      <c r="Y248" s="13" t="n">
        <v>39</v>
      </c>
      <c r="Z248" s="13" t="n">
        <v>213</v>
      </c>
      <c r="AA248" s="13" t="n">
        <v>0.8129999999999999</v>
      </c>
      <c r="AB248" s="13" t="n">
        <v>133</v>
      </c>
      <c r="AC248" s="13" t="n">
        <v>155</v>
      </c>
      <c r="AD248" s="13" t="n">
        <v>104</v>
      </c>
      <c r="AE248" s="13" t="n">
        <v>9</v>
      </c>
      <c r="AF248" s="13" t="n">
        <v>4.7</v>
      </c>
      <c r="AG248" s="11" t="inlineStr">
        <is>
          <t xml:space="preserve"> Resort Freeride</t>
        </is>
      </c>
      <c r="AH248" s="11" t="inlineStr">
        <is>
          <t xml:space="preserve"> Freeski</t>
        </is>
      </c>
      <c r="AI248" s="13" t="n"/>
      <c r="AJ248" s="13" t="n"/>
      <c r="AK248" s="42" t="n"/>
    </row>
    <row r="249">
      <c r="E249" s="40" t="inlineStr">
        <is>
          <t>21/22</t>
        </is>
      </c>
      <c r="F249" s="10" t="inlineStr">
        <is>
          <t xml:space="preserve"> Armada</t>
        </is>
      </c>
      <c r="G249" s="11" t="inlineStr">
        <is>
          <t>ARV 96</t>
        </is>
      </c>
      <c r="H249" s="13" t="n">
        <v>170</v>
      </c>
      <c r="I249" s="11" t="inlineStr">
        <is>
          <t xml:space="preserve"> Unisex</t>
        </is>
      </c>
      <c r="J249" s="13" t="n">
        <v>170</v>
      </c>
      <c r="K249" s="13" t="n">
        <v>168.9</v>
      </c>
      <c r="L249" s="13" t="n">
        <v>126</v>
      </c>
      <c r="M249" s="13" t="n">
        <v>141</v>
      </c>
      <c r="N249" s="13" t="n">
        <v>123</v>
      </c>
      <c r="O249" s="13" t="n">
        <v>95</v>
      </c>
      <c r="P249" s="13" t="n">
        <v>115</v>
      </c>
      <c r="Q249" s="13" t="n">
        <v>18.7</v>
      </c>
      <c r="R249" s="13" t="n">
        <v>1729</v>
      </c>
      <c r="S249" s="13" t="n">
        <v>1.02</v>
      </c>
      <c r="T249" s="13" t="n">
        <v>1755</v>
      </c>
      <c r="U249" s="13" t="n">
        <v>155</v>
      </c>
      <c r="V249" s="13" t="n">
        <v>92</v>
      </c>
      <c r="W249" s="13" t="n">
        <v>44</v>
      </c>
      <c r="X249" s="13" t="n">
        <v>226</v>
      </c>
      <c r="Y249" s="13" t="n">
        <v>37</v>
      </c>
      <c r="Z249" s="13" t="n">
        <v>205</v>
      </c>
      <c r="AA249" s="13" t="n">
        <v>0.836</v>
      </c>
      <c r="AB249" s="13" t="n">
        <v>135</v>
      </c>
      <c r="AC249" s="13" t="n">
        <v>141</v>
      </c>
      <c r="AD249" s="13" t="n">
        <v>91</v>
      </c>
      <c r="AE249" s="13" t="n">
        <v>11</v>
      </c>
      <c r="AF249" s="13" t="n">
        <v>4.8</v>
      </c>
      <c r="AG249" s="11" t="inlineStr">
        <is>
          <t xml:space="preserve"> Resort Freeride</t>
        </is>
      </c>
      <c r="AH249" s="11" t="inlineStr">
        <is>
          <t xml:space="preserve"> Freeski</t>
        </is>
      </c>
      <c r="AI249" s="13" t="n"/>
      <c r="AJ249" s="13" t="n"/>
      <c r="AK249" s="42" t="n"/>
    </row>
    <row r="250">
      <c r="E250" s="40" t="inlineStr">
        <is>
          <t>21/22</t>
        </is>
      </c>
      <c r="F250" s="10" t="inlineStr">
        <is>
          <t xml:space="preserve"> Armada</t>
        </is>
      </c>
      <c r="G250" s="11" t="inlineStr">
        <is>
          <t>ARV 96</t>
        </is>
      </c>
      <c r="H250" s="13" t="n">
        <v>177</v>
      </c>
      <c r="I250" s="11" t="inlineStr">
        <is>
          <t xml:space="preserve"> Unisex</t>
        </is>
      </c>
      <c r="J250" s="13" t="n">
        <v>177</v>
      </c>
      <c r="K250" s="13" t="n">
        <v>175.2</v>
      </c>
      <c r="L250" s="13" t="n">
        <v>130</v>
      </c>
      <c r="M250" s="13" t="n">
        <v>146</v>
      </c>
      <c r="N250" s="13" t="n">
        <v>125</v>
      </c>
      <c r="O250" s="13" t="n">
        <v>95</v>
      </c>
      <c r="P250" s="13" t="n">
        <v>116</v>
      </c>
      <c r="Q250" s="13" t="n">
        <v>18.9</v>
      </c>
      <c r="R250" s="13" t="n">
        <v>1938</v>
      </c>
      <c r="S250" s="13" t="n">
        <v>0.95</v>
      </c>
      <c r="T250" s="13" t="n">
        <v>1845</v>
      </c>
      <c r="U250" s="13" t="n">
        <v>215</v>
      </c>
      <c r="V250" s="13" t="n">
        <v>115</v>
      </c>
      <c r="W250" s="13" t="n">
        <v>45</v>
      </c>
      <c r="X250" s="13" t="n">
        <v>233</v>
      </c>
      <c r="Y250" s="13" t="n">
        <v>38</v>
      </c>
      <c r="Z250" s="13" t="n">
        <v>217</v>
      </c>
      <c r="AA250" s="13" t="n">
        <v>0.852</v>
      </c>
      <c r="AB250" s="13" t="n">
        <v>155</v>
      </c>
      <c r="AC250" s="13" t="n">
        <v>138</v>
      </c>
      <c r="AD250" s="13" t="n">
        <v>78</v>
      </c>
      <c r="AE250" s="13" t="n">
        <v>9</v>
      </c>
      <c r="AF250" s="13" t="n">
        <v>5.2</v>
      </c>
      <c r="AG250" s="11" t="inlineStr">
        <is>
          <t xml:space="preserve"> Resort Freeride</t>
        </is>
      </c>
      <c r="AH250" s="11" t="inlineStr">
        <is>
          <t xml:space="preserve"> Freeski</t>
        </is>
      </c>
      <c r="AI250" s="13" t="n"/>
      <c r="AJ250" s="13" t="n"/>
      <c r="AK250" s="42" t="n"/>
    </row>
    <row r="251">
      <c r="E251" s="40" t="inlineStr">
        <is>
          <t>21/22</t>
        </is>
      </c>
      <c r="F251" s="10" t="inlineStr">
        <is>
          <t xml:space="preserve"> Armada</t>
        </is>
      </c>
      <c r="G251" s="11" t="inlineStr">
        <is>
          <t>ARV 96</t>
        </is>
      </c>
      <c r="H251" s="13" t="n">
        <v>184</v>
      </c>
      <c r="I251" s="11" t="inlineStr">
        <is>
          <t xml:space="preserve"> Unisex</t>
        </is>
      </c>
      <c r="J251" s="13" t="n">
        <v>184</v>
      </c>
      <c r="K251" s="13" t="n">
        <v>182</v>
      </c>
      <c r="L251" s="13" t="n">
        <v>138</v>
      </c>
      <c r="M251" s="13" t="n">
        <v>152</v>
      </c>
      <c r="N251" s="13" t="n">
        <v>126</v>
      </c>
      <c r="O251" s="13" t="n">
        <v>95</v>
      </c>
      <c r="P251" s="13" t="n">
        <v>118</v>
      </c>
      <c r="Q251" s="13" t="n">
        <v>19.6</v>
      </c>
      <c r="R251" s="13" t="n">
        <v>2068</v>
      </c>
      <c r="S251" s="13" t="n">
        <v>0.93</v>
      </c>
      <c r="T251" s="13" t="n">
        <v>1924</v>
      </c>
      <c r="U251" s="13" t="n">
        <v>233</v>
      </c>
      <c r="V251" s="13" t="n">
        <v>123</v>
      </c>
      <c r="W251" s="13" t="n">
        <v>45</v>
      </c>
      <c r="X251" s="13" t="n">
        <v>233</v>
      </c>
      <c r="Y251" s="13" t="n">
        <v>38</v>
      </c>
      <c r="Z251" s="13" t="n">
        <v>211</v>
      </c>
      <c r="AA251" s="13" t="n">
        <v>0.848</v>
      </c>
      <c r="AB251" s="13" t="n">
        <v>148</v>
      </c>
      <c r="AC251" s="13" t="n">
        <v>156</v>
      </c>
      <c r="AD251" s="13" t="n">
        <v>85</v>
      </c>
      <c r="AE251" s="13" t="n">
        <v>11</v>
      </c>
      <c r="AF251" s="13" t="n">
        <v>5.4</v>
      </c>
      <c r="AG251" s="11" t="inlineStr">
        <is>
          <t xml:space="preserve"> Resort Freeride</t>
        </is>
      </c>
      <c r="AH251" s="11" t="inlineStr">
        <is>
          <t xml:space="preserve"> Freeski</t>
        </is>
      </c>
      <c r="AI251" s="13" t="n"/>
      <c r="AJ251" s="13" t="n"/>
      <c r="AK251" s="42" t="n"/>
    </row>
    <row r="252">
      <c r="E252" s="40" t="inlineStr">
        <is>
          <t>21/22</t>
        </is>
      </c>
      <c r="F252" s="10" t="inlineStr">
        <is>
          <t xml:space="preserve"> Armada</t>
        </is>
      </c>
      <c r="G252" s="11" t="inlineStr">
        <is>
          <t>ARW 106 UL</t>
        </is>
      </c>
      <c r="H252" s="13" t="n">
        <v>164</v>
      </c>
      <c r="I252" s="11" t="inlineStr">
        <is>
          <t xml:space="preserve"> Women's</t>
        </is>
      </c>
      <c r="J252" s="13" t="n">
        <v>164</v>
      </c>
      <c r="K252" s="13" t="n">
        <v>161.8</v>
      </c>
      <c r="L252" s="13" t="n">
        <v>111</v>
      </c>
      <c r="M252" s="13" t="n">
        <v>129</v>
      </c>
      <c r="N252" s="13" t="n">
        <v>131</v>
      </c>
      <c r="O252" s="13" t="n">
        <v>105</v>
      </c>
      <c r="P252" s="13" t="n">
        <v>120</v>
      </c>
      <c r="Q252" s="13" t="n">
        <v>18.4</v>
      </c>
      <c r="R252" s="13" t="n">
        <v>1668</v>
      </c>
      <c r="S252" s="13" t="n">
        <v>1.09</v>
      </c>
      <c r="T252" s="13" t="n">
        <v>1816</v>
      </c>
      <c r="U252" s="13" t="n">
        <v>174</v>
      </c>
      <c r="V252" s="13" t="n">
        <v>85</v>
      </c>
      <c r="W252" s="13" t="n">
        <v>52</v>
      </c>
      <c r="X252" s="13" t="n">
        <v>274</v>
      </c>
      <c r="Y252" s="13" t="n">
        <v>44</v>
      </c>
      <c r="Z252" s="13" t="n">
        <v>233</v>
      </c>
      <c r="AA252" s="13" t="n">
        <v>0.845</v>
      </c>
      <c r="AB252" s="13" t="n">
        <v>144</v>
      </c>
      <c r="AC252" s="13" t="n">
        <v>188</v>
      </c>
      <c r="AD252" s="13" t="n">
        <v>129</v>
      </c>
      <c r="AE252" s="13" t="n">
        <v>5</v>
      </c>
      <c r="AF252" s="13" t="n">
        <v>2.6</v>
      </c>
      <c r="AG252" s="11" t="inlineStr">
        <is>
          <t xml:space="preserve"> Resort Freeride</t>
        </is>
      </c>
      <c r="AH252" s="11" t="inlineStr">
        <is>
          <t xml:space="preserve"> Freeski</t>
        </is>
      </c>
      <c r="AI252" s="11" t="inlineStr">
        <is>
          <t xml:space="preserve"> Powder</t>
        </is>
      </c>
      <c r="AJ252" s="11" t="inlineStr">
        <is>
          <t xml:space="preserve"> Touring</t>
        </is>
      </c>
      <c r="AK252" s="42" t="n"/>
    </row>
    <row r="253">
      <c r="E253" s="40" t="inlineStr">
        <is>
          <t>21/22</t>
        </is>
      </c>
      <c r="F253" s="10" t="inlineStr">
        <is>
          <t xml:space="preserve"> Armada</t>
        </is>
      </c>
      <c r="G253" s="11" t="inlineStr">
        <is>
          <t>ARW 106 UL</t>
        </is>
      </c>
      <c r="H253" s="13" t="n">
        <v>172</v>
      </c>
      <c r="I253" s="11" t="inlineStr">
        <is>
          <t xml:space="preserve"> Women's</t>
        </is>
      </c>
      <c r="J253" s="13" t="n">
        <v>172</v>
      </c>
      <c r="K253" s="13" t="n">
        <v>170.1</v>
      </c>
      <c r="L253" s="13" t="n">
        <v>119</v>
      </c>
      <c r="M253" s="13" t="n">
        <v>137</v>
      </c>
      <c r="N253" s="13" t="n">
        <v>133</v>
      </c>
      <c r="O253" s="13" t="n">
        <v>105</v>
      </c>
      <c r="P253" s="13" t="n">
        <v>122</v>
      </c>
      <c r="Q253" s="13" t="n">
        <v>19.3</v>
      </c>
      <c r="R253" s="13" t="n">
        <v>1762</v>
      </c>
      <c r="S253" s="13" t="n">
        <v>1.09</v>
      </c>
      <c r="T253" s="13" t="n">
        <v>1917</v>
      </c>
      <c r="U253" s="13" t="n">
        <v>200</v>
      </c>
      <c r="V253" s="13" t="n">
        <v>97</v>
      </c>
      <c r="W253" s="13" t="n">
        <v>54</v>
      </c>
      <c r="X253" s="13" t="n">
        <v>275</v>
      </c>
      <c r="Y253" s="13" t="n">
        <v>44</v>
      </c>
      <c r="Z253" s="13" t="n">
        <v>241</v>
      </c>
      <c r="AA253" s="13" t="n">
        <v>0.823</v>
      </c>
      <c r="AB253" s="13" t="n">
        <v>146</v>
      </c>
      <c r="AC253" s="13" t="n">
        <v>180</v>
      </c>
      <c r="AD253" s="13" t="n">
        <v>129</v>
      </c>
      <c r="AE253" s="13" t="n">
        <v>7</v>
      </c>
      <c r="AF253" s="13" t="n">
        <v>6.1</v>
      </c>
      <c r="AG253" s="11" t="inlineStr">
        <is>
          <t xml:space="preserve"> Resort Freeride</t>
        </is>
      </c>
      <c r="AH253" s="11" t="inlineStr">
        <is>
          <t xml:space="preserve"> Freeski</t>
        </is>
      </c>
      <c r="AI253" s="11" t="inlineStr">
        <is>
          <t xml:space="preserve"> Powder</t>
        </is>
      </c>
      <c r="AJ253" s="11" t="inlineStr">
        <is>
          <t xml:space="preserve"> Touring</t>
        </is>
      </c>
      <c r="AK253" s="42" t="n"/>
    </row>
    <row r="254">
      <c r="E254" s="40" t="inlineStr">
        <is>
          <t>21/22</t>
        </is>
      </c>
      <c r="F254" s="10" t="inlineStr">
        <is>
          <t xml:space="preserve"> Armada</t>
        </is>
      </c>
      <c r="G254" s="11" t="inlineStr">
        <is>
          <t>ARW 106 UL</t>
        </is>
      </c>
      <c r="H254" s="13" t="n">
        <v>180</v>
      </c>
      <c r="I254" s="11" t="inlineStr">
        <is>
          <t xml:space="preserve"> Women's</t>
        </is>
      </c>
      <c r="J254" s="13" t="n">
        <v>180</v>
      </c>
      <c r="K254" s="13" t="n">
        <v>177.6</v>
      </c>
      <c r="L254" s="13" t="n">
        <v>124</v>
      </c>
      <c r="M254" s="13" t="n">
        <v>142</v>
      </c>
      <c r="N254" s="13" t="n">
        <v>134</v>
      </c>
      <c r="O254" s="13" t="n">
        <v>105</v>
      </c>
      <c r="P254" s="13" t="n">
        <v>124</v>
      </c>
      <c r="Q254" s="13" t="n">
        <v>20.2</v>
      </c>
      <c r="R254" s="13" t="n">
        <v>1853</v>
      </c>
      <c r="S254" s="13" t="n">
        <v>1.09</v>
      </c>
      <c r="T254" s="13" t="n">
        <v>2011</v>
      </c>
      <c r="U254" s="13" t="n">
        <v>229</v>
      </c>
      <c r="V254" s="13" t="n">
        <v>103</v>
      </c>
      <c r="W254" s="13" t="n">
        <v>57</v>
      </c>
      <c r="X254" s="13" t="n">
        <v>291</v>
      </c>
      <c r="Y254" s="13" t="n">
        <v>47</v>
      </c>
      <c r="Z254" s="13" t="n">
        <v>249</v>
      </c>
      <c r="AA254" s="13" t="n">
        <v>0.832</v>
      </c>
      <c r="AB254" s="13" t="n">
        <v>172</v>
      </c>
      <c r="AC254" s="13" t="n">
        <v>184</v>
      </c>
      <c r="AD254" s="13" t="n">
        <v>119</v>
      </c>
      <c r="AE254" s="13" t="n">
        <v>7</v>
      </c>
      <c r="AF254" s="13" t="n">
        <v>2.6</v>
      </c>
      <c r="AG254" s="11" t="inlineStr">
        <is>
          <t xml:space="preserve"> Resort Freeride</t>
        </is>
      </c>
      <c r="AH254" s="11" t="inlineStr">
        <is>
          <t xml:space="preserve"> Freeski</t>
        </is>
      </c>
      <c r="AI254" s="11" t="inlineStr">
        <is>
          <t xml:space="preserve"> Powder</t>
        </is>
      </c>
      <c r="AJ254" s="11" t="inlineStr">
        <is>
          <t xml:space="preserve"> Touring</t>
        </is>
      </c>
      <c r="AK254" s="42" t="n"/>
    </row>
    <row r="255">
      <c r="E255" s="40" t="inlineStr">
        <is>
          <t>21/22</t>
        </is>
      </c>
      <c r="F255" s="10" t="inlineStr">
        <is>
          <t xml:space="preserve"> Armada</t>
        </is>
      </c>
      <c r="G255" s="11" t="inlineStr">
        <is>
          <t>ARW 106 UL</t>
        </is>
      </c>
      <c r="H255" s="13" t="n">
        <v>188</v>
      </c>
      <c r="I255" s="11" t="inlineStr">
        <is>
          <t xml:space="preserve"> Women's</t>
        </is>
      </c>
      <c r="J255" s="13" t="n">
        <v>188</v>
      </c>
      <c r="K255" s="13" t="n">
        <v>183.1</v>
      </c>
      <c r="L255" s="13" t="n">
        <v>129</v>
      </c>
      <c r="M255" s="13" t="n">
        <v>150</v>
      </c>
      <c r="N255" s="13" t="n">
        <v>136</v>
      </c>
      <c r="O255" s="13" t="n">
        <v>105</v>
      </c>
      <c r="P255" s="13" t="n">
        <v>125</v>
      </c>
      <c r="Q255" s="13" t="n">
        <v>21.8</v>
      </c>
      <c r="R255" s="13" t="n">
        <v>1953</v>
      </c>
      <c r="S255" s="13" t="n">
        <v>1.07</v>
      </c>
      <c r="T255" s="13" t="n">
        <v>2093</v>
      </c>
      <c r="U255" s="13" t="n">
        <v>266</v>
      </c>
      <c r="V255" s="13" t="n">
        <v>129</v>
      </c>
      <c r="W255" s="13" t="n">
        <v>58</v>
      </c>
      <c r="X255" s="13" t="n">
        <v>308</v>
      </c>
      <c r="Y255" s="13" t="n">
        <v>34</v>
      </c>
      <c r="Z255" s="13" t="n">
        <v>236</v>
      </c>
      <c r="AA255" s="13" t="n">
        <v>0.59</v>
      </c>
      <c r="AB255" s="13" t="n">
        <v>176</v>
      </c>
      <c r="AC255" s="13" t="n">
        <v>151</v>
      </c>
      <c r="AD255" s="13" t="n">
        <v>132</v>
      </c>
      <c r="AE255" s="13" t="n">
        <v>6</v>
      </c>
      <c r="AF255" s="13" t="n">
        <v>4.1</v>
      </c>
      <c r="AG255" s="11" t="inlineStr">
        <is>
          <t xml:space="preserve"> Resort Freeride</t>
        </is>
      </c>
      <c r="AH255" s="11" t="inlineStr">
        <is>
          <t xml:space="preserve"> Powder</t>
        </is>
      </c>
      <c r="AI255" s="11" t="inlineStr">
        <is>
          <t xml:space="preserve"> Touring</t>
        </is>
      </c>
      <c r="AJ255" s="13" t="n"/>
      <c r="AK255" s="42" t="n"/>
    </row>
    <row r="256">
      <c r="E256" s="40" t="inlineStr">
        <is>
          <t>21/22</t>
        </is>
      </c>
      <c r="F256" s="10" t="inlineStr">
        <is>
          <t xml:space="preserve"> Armada</t>
        </is>
      </c>
      <c r="G256" s="11" t="inlineStr">
        <is>
          <t>ARW 84</t>
        </is>
      </c>
      <c r="H256" s="13" t="n">
        <v>143</v>
      </c>
      <c r="I256" s="11" t="inlineStr">
        <is>
          <t xml:space="preserve"> Women's</t>
        </is>
      </c>
      <c r="J256" s="13" t="n">
        <v>143</v>
      </c>
      <c r="K256" s="13" t="n">
        <v>141.2</v>
      </c>
      <c r="L256" s="13" t="n">
        <v>98</v>
      </c>
      <c r="M256" s="13" t="n">
        <v>116</v>
      </c>
      <c r="N256" s="13" t="n">
        <v>116</v>
      </c>
      <c r="O256" s="13" t="n">
        <v>84</v>
      </c>
      <c r="P256" s="13" t="n">
        <v>108</v>
      </c>
      <c r="Q256" s="13" t="n">
        <v>10.6</v>
      </c>
      <c r="R256" s="13" t="n">
        <v>1360</v>
      </c>
      <c r="S256" s="13" t="n">
        <v>0.99</v>
      </c>
      <c r="T256" s="13" t="n">
        <v>1347</v>
      </c>
      <c r="U256" s="13" t="n">
        <v>101</v>
      </c>
      <c r="V256" s="13" t="n">
        <v>44</v>
      </c>
      <c r="W256" s="13" t="n">
        <v>49</v>
      </c>
      <c r="X256" s="13" t="n">
        <v>246</v>
      </c>
      <c r="Y256" s="13" t="n">
        <v>37</v>
      </c>
      <c r="Z256" s="13" t="n">
        <v>190</v>
      </c>
      <c r="AA256" s="13" t="n">
        <v>0.762</v>
      </c>
      <c r="AB256" s="13" t="n">
        <v>133</v>
      </c>
      <c r="AC256" s="13" t="n">
        <v>118</v>
      </c>
      <c r="AD256" s="13" t="n">
        <v>113</v>
      </c>
      <c r="AE256" s="13" t="n">
        <v>6</v>
      </c>
      <c r="AF256" s="13" t="n">
        <v>5.9</v>
      </c>
      <c r="AG256" s="11" t="inlineStr">
        <is>
          <t xml:space="preserve"> Resort Freeride</t>
        </is>
      </c>
      <c r="AH256" s="13" t="n"/>
      <c r="AI256" s="13" t="n"/>
      <c r="AJ256" s="13" t="n"/>
      <c r="AK256" s="42" t="n"/>
    </row>
    <row r="257">
      <c r="E257" s="40" t="inlineStr">
        <is>
          <t>21/22</t>
        </is>
      </c>
      <c r="F257" s="10" t="inlineStr">
        <is>
          <t xml:space="preserve"> Armada</t>
        </is>
      </c>
      <c r="G257" s="11" t="inlineStr">
        <is>
          <t>ARW 84</t>
        </is>
      </c>
      <c r="H257" s="13" t="n">
        <v>150</v>
      </c>
      <c r="I257" s="11" t="inlineStr">
        <is>
          <t xml:space="preserve"> Women's</t>
        </is>
      </c>
      <c r="J257" s="13" t="n">
        <v>150</v>
      </c>
      <c r="K257" s="13" t="n">
        <v>148.1</v>
      </c>
      <c r="L257" s="13" t="n">
        <v>102</v>
      </c>
      <c r="M257" s="13" t="n">
        <v>122</v>
      </c>
      <c r="N257" s="13" t="n">
        <v>116</v>
      </c>
      <c r="O257" s="13" t="n">
        <v>84</v>
      </c>
      <c r="P257" s="13" t="n">
        <v>108</v>
      </c>
      <c r="Q257" s="13" t="n">
        <v>12</v>
      </c>
      <c r="R257" s="13" t="n">
        <v>1453</v>
      </c>
      <c r="S257" s="13" t="n">
        <v>0.97</v>
      </c>
      <c r="T257" s="13" t="n">
        <v>1412</v>
      </c>
      <c r="U257" s="13" t="n">
        <v>110</v>
      </c>
      <c r="V257" s="13" t="n">
        <v>46</v>
      </c>
      <c r="W257" s="13" t="n">
        <v>49</v>
      </c>
      <c r="X257" s="13" t="n">
        <v>257</v>
      </c>
      <c r="Y257" s="13" t="n">
        <v>39</v>
      </c>
      <c r="Z257" s="13" t="n">
        <v>207</v>
      </c>
      <c r="AA257" s="13" t="n">
        <v>0.803</v>
      </c>
      <c r="AB257" s="13" t="n">
        <v>134</v>
      </c>
      <c r="AC257" s="13" t="n">
        <v>123</v>
      </c>
      <c r="AD257" s="13" t="n">
        <v>123</v>
      </c>
      <c r="AE257" s="13" t="n">
        <v>6</v>
      </c>
      <c r="AF257" s="13" t="n">
        <v>6</v>
      </c>
      <c r="AG257" s="11" t="inlineStr">
        <is>
          <t xml:space="preserve"> Resort Freeride</t>
        </is>
      </c>
      <c r="AH257" s="11" t="inlineStr">
        <is>
          <t xml:space="preserve"> Freeski</t>
        </is>
      </c>
      <c r="AI257" s="13" t="n"/>
      <c r="AJ257" s="13" t="n"/>
      <c r="AK257" s="42" t="n"/>
    </row>
    <row r="258">
      <c r="E258" s="40" t="inlineStr">
        <is>
          <t>21/22</t>
        </is>
      </c>
      <c r="F258" s="10" t="inlineStr">
        <is>
          <t xml:space="preserve"> Armada</t>
        </is>
      </c>
      <c r="G258" s="11" t="inlineStr">
        <is>
          <t>ARW 84</t>
        </is>
      </c>
      <c r="H258" s="13" t="n">
        <v>157</v>
      </c>
      <c r="I258" s="11" t="inlineStr">
        <is>
          <t xml:space="preserve"> Women's</t>
        </is>
      </c>
      <c r="J258" s="13" t="n">
        <v>157</v>
      </c>
      <c r="K258" s="13" t="n">
        <v>155.4</v>
      </c>
      <c r="L258" s="13" t="n">
        <v>110</v>
      </c>
      <c r="M258" s="13" t="n">
        <v>128</v>
      </c>
      <c r="N258" s="13" t="n">
        <v>116</v>
      </c>
      <c r="O258" s="13" t="n">
        <v>84</v>
      </c>
      <c r="P258" s="13" t="n">
        <v>108</v>
      </c>
      <c r="Q258" s="13" t="n">
        <v>13.4</v>
      </c>
      <c r="R258" s="13" t="n">
        <v>1546</v>
      </c>
      <c r="S258" s="13" t="n">
        <v>0.96</v>
      </c>
      <c r="T258" s="13" t="n">
        <v>1484</v>
      </c>
      <c r="U258" s="13" t="n">
        <v>136</v>
      </c>
      <c r="V258" s="13" t="n">
        <v>46</v>
      </c>
      <c r="W258" s="13" t="n">
        <v>46</v>
      </c>
      <c r="X258" s="13" t="n">
        <v>251</v>
      </c>
      <c r="Y258" s="13" t="n">
        <v>38</v>
      </c>
      <c r="Z258" s="13" t="n">
        <v>201</v>
      </c>
      <c r="AA258" s="13" t="n">
        <v>0.819</v>
      </c>
      <c r="AB258" s="13" t="n">
        <v>142</v>
      </c>
      <c r="AC258" s="13" t="n">
        <v>128</v>
      </c>
      <c r="AD258" s="13" t="n">
        <v>109</v>
      </c>
      <c r="AE258" s="13" t="n">
        <v>8</v>
      </c>
      <c r="AF258" s="13" t="n">
        <v>6.6</v>
      </c>
      <c r="AG258" s="11" t="inlineStr">
        <is>
          <t xml:space="preserve"> Resort Freeride</t>
        </is>
      </c>
      <c r="AH258" s="11" t="inlineStr">
        <is>
          <t xml:space="preserve"> Freeski</t>
        </is>
      </c>
      <c r="AI258" s="13" t="n"/>
      <c r="AJ258" s="13" t="n"/>
      <c r="AK258" s="42" t="n"/>
    </row>
    <row r="259">
      <c r="E259" s="40" t="inlineStr">
        <is>
          <t>21/22</t>
        </is>
      </c>
      <c r="F259" s="10" t="inlineStr">
        <is>
          <t xml:space="preserve"> Armada</t>
        </is>
      </c>
      <c r="G259" s="11" t="inlineStr">
        <is>
          <t>ARW 84</t>
        </is>
      </c>
      <c r="H259" s="13" t="n">
        <v>164</v>
      </c>
      <c r="I259" s="11" t="inlineStr">
        <is>
          <t xml:space="preserve"> Women's</t>
        </is>
      </c>
      <c r="J259" s="13" t="n">
        <v>164</v>
      </c>
      <c r="K259" s="13" t="n">
        <v>162.5</v>
      </c>
      <c r="L259" s="13" t="n">
        <v>117</v>
      </c>
      <c r="M259" s="13" t="n">
        <v>134</v>
      </c>
      <c r="N259" s="13" t="n">
        <v>117</v>
      </c>
      <c r="O259" s="13" t="n">
        <v>85</v>
      </c>
      <c r="P259" s="13" t="n">
        <v>109</v>
      </c>
      <c r="Q259" s="13" t="n">
        <v>14.7</v>
      </c>
      <c r="R259" s="13" t="n">
        <v>1659</v>
      </c>
      <c r="S259" s="13" t="n">
        <v>0.9399999999999999</v>
      </c>
      <c r="T259" s="13" t="n">
        <v>1566</v>
      </c>
      <c r="U259" s="13" t="n">
        <v>150</v>
      </c>
      <c r="V259" s="13" t="n">
        <v>65</v>
      </c>
      <c r="W259" s="13" t="n">
        <v>44</v>
      </c>
      <c r="X259" s="13" t="n">
        <v>250</v>
      </c>
      <c r="Y259" s="13" t="n">
        <v>37</v>
      </c>
      <c r="Z259" s="13" t="n">
        <v>210</v>
      </c>
      <c r="AA259" s="13" t="n">
        <v>0.833</v>
      </c>
      <c r="AB259" s="13" t="n">
        <v>158</v>
      </c>
      <c r="AC259" s="13" t="n">
        <v>123</v>
      </c>
      <c r="AD259" s="13" t="n">
        <v>92</v>
      </c>
      <c r="AE259" s="13" t="n">
        <v>9</v>
      </c>
      <c r="AF259" s="13" t="n">
        <v>9.9</v>
      </c>
      <c r="AG259" s="11" t="inlineStr">
        <is>
          <t xml:space="preserve"> Resort Freeride</t>
        </is>
      </c>
      <c r="AH259" s="11" t="inlineStr">
        <is>
          <t xml:space="preserve"> Freeski</t>
        </is>
      </c>
      <c r="AI259" s="13" t="n"/>
      <c r="AJ259" s="13" t="n"/>
      <c r="AK259" s="42" t="n"/>
    </row>
    <row r="260">
      <c r="E260" s="40" t="inlineStr">
        <is>
          <t>21/22</t>
        </is>
      </c>
      <c r="F260" s="10" t="inlineStr">
        <is>
          <t xml:space="preserve"> Armada</t>
        </is>
      </c>
      <c r="G260" s="11" t="inlineStr">
        <is>
          <t>ARW 86</t>
        </is>
      </c>
      <c r="H260" s="13" t="n">
        <v>156</v>
      </c>
      <c r="I260" s="11" t="inlineStr">
        <is>
          <t xml:space="preserve"> Women's</t>
        </is>
      </c>
      <c r="J260" s="13" t="n">
        <v>156</v>
      </c>
      <c r="K260" s="13" t="n">
        <v>154</v>
      </c>
      <c r="L260" s="13" t="n">
        <v>118</v>
      </c>
      <c r="M260" s="13" t="n">
        <v>132</v>
      </c>
      <c r="N260" s="13" t="n">
        <v>111</v>
      </c>
      <c r="O260" s="13" t="n">
        <v>85</v>
      </c>
      <c r="P260" s="13" t="n">
        <v>106</v>
      </c>
      <c r="Q260" s="13" t="n">
        <v>16.5</v>
      </c>
      <c r="R260" s="13" t="n">
        <v>1469</v>
      </c>
      <c r="S260" s="13" t="n">
        <v>0.99</v>
      </c>
      <c r="T260" s="13" t="n">
        <v>1455</v>
      </c>
      <c r="U260" s="13" t="n">
        <v>136</v>
      </c>
      <c r="V260" s="13" t="n">
        <v>72</v>
      </c>
      <c r="W260" s="13" t="n">
        <v>44</v>
      </c>
      <c r="X260" s="13" t="n">
        <v>186</v>
      </c>
      <c r="Y260" s="13" t="n">
        <v>39</v>
      </c>
      <c r="Z260" s="13" t="n">
        <v>169</v>
      </c>
      <c r="AA260" s="13" t="n">
        <v>0.87</v>
      </c>
      <c r="AB260" s="13" t="n">
        <v>110</v>
      </c>
      <c r="AC260" s="13" t="n">
        <v>106</v>
      </c>
      <c r="AD260" s="13" t="n">
        <v>76</v>
      </c>
      <c r="AE260" s="13" t="n">
        <v>9</v>
      </c>
      <c r="AF260" s="13" t="n">
        <v>4.2</v>
      </c>
      <c r="AG260" s="11" t="inlineStr">
        <is>
          <t xml:space="preserve"> Freeski</t>
        </is>
      </c>
      <c r="AH260" s="13" t="n"/>
      <c r="AI260" s="13" t="n"/>
      <c r="AJ260" s="13" t="n"/>
      <c r="AK260" s="42" t="n"/>
    </row>
    <row r="261">
      <c r="E261" s="40" t="inlineStr">
        <is>
          <t>21/22</t>
        </is>
      </c>
      <c r="F261" s="10" t="inlineStr">
        <is>
          <t xml:space="preserve"> Armada</t>
        </is>
      </c>
      <c r="G261" s="11" t="inlineStr">
        <is>
          <t>ARW 86</t>
        </is>
      </c>
      <c r="H261" s="13" t="n">
        <v>163</v>
      </c>
      <c r="I261" s="11" t="inlineStr">
        <is>
          <t xml:space="preserve"> Women's</t>
        </is>
      </c>
      <c r="J261" s="13" t="n">
        <v>163</v>
      </c>
      <c r="K261" s="13" t="n">
        <v>160.9</v>
      </c>
      <c r="L261" s="13" t="n">
        <v>127</v>
      </c>
      <c r="M261" s="13" t="n">
        <v>137</v>
      </c>
      <c r="N261" s="13" t="n">
        <v>113</v>
      </c>
      <c r="O261" s="13" t="n">
        <v>85</v>
      </c>
      <c r="P261" s="13" t="n">
        <v>107</v>
      </c>
      <c r="Q261" s="13" t="n">
        <v>17.3</v>
      </c>
      <c r="R261" s="13" t="n">
        <v>1552</v>
      </c>
      <c r="S261" s="13" t="n">
        <v>0.98</v>
      </c>
      <c r="T261" s="13" t="n">
        <v>1524</v>
      </c>
      <c r="U261" s="13" t="n">
        <v>140</v>
      </c>
      <c r="V261" s="13" t="n">
        <v>83</v>
      </c>
      <c r="W261" s="13" t="n">
        <v>43</v>
      </c>
      <c r="X261" s="13" t="n">
        <v>178</v>
      </c>
      <c r="Y261" s="13" t="n">
        <v>38</v>
      </c>
      <c r="Z261" s="13" t="n">
        <v>160</v>
      </c>
      <c r="AA261" s="13" t="n">
        <v>0.866</v>
      </c>
      <c r="AB261" s="13" t="n">
        <v>107</v>
      </c>
      <c r="AC261" s="13" t="n">
        <v>127</v>
      </c>
      <c r="AD261" s="13" t="n">
        <v>71</v>
      </c>
      <c r="AE261" s="13" t="n">
        <v>12</v>
      </c>
      <c r="AF261" s="13" t="n">
        <v>3.8</v>
      </c>
      <c r="AG261" s="11" t="inlineStr">
        <is>
          <t xml:space="preserve"> Freeski</t>
        </is>
      </c>
      <c r="AH261" s="13" t="n"/>
      <c r="AI261" s="13" t="n"/>
      <c r="AJ261" s="13" t="n"/>
      <c r="AK261" s="42" t="n"/>
    </row>
    <row r="262">
      <c r="E262" s="40" t="inlineStr">
        <is>
          <t>21/22</t>
        </is>
      </c>
      <c r="F262" s="10" t="inlineStr">
        <is>
          <t xml:space="preserve"> Armada</t>
        </is>
      </c>
      <c r="G262" s="11" t="inlineStr">
        <is>
          <t>ARW 86</t>
        </is>
      </c>
      <c r="H262" s="13" t="n">
        <v>170</v>
      </c>
      <c r="I262" s="11" t="inlineStr">
        <is>
          <t xml:space="preserve"> Women's</t>
        </is>
      </c>
      <c r="J262" s="13" t="n">
        <v>170</v>
      </c>
      <c r="K262" s="13" t="n">
        <v>168.2</v>
      </c>
      <c r="L262" s="13" t="n">
        <v>135</v>
      </c>
      <c r="M262" s="13" t="n">
        <v>139</v>
      </c>
      <c r="N262" s="13" t="n">
        <v>114</v>
      </c>
      <c r="O262" s="13" t="n">
        <v>85</v>
      </c>
      <c r="P262" s="13" t="n">
        <v>108</v>
      </c>
      <c r="Q262" s="13" t="n">
        <v>17.6</v>
      </c>
      <c r="R262" s="13" t="n">
        <v>1704</v>
      </c>
      <c r="S262" s="13" t="n">
        <v>0.9399999999999999</v>
      </c>
      <c r="T262" s="13" t="n">
        <v>1604</v>
      </c>
      <c r="U262" s="13" t="n">
        <v>166</v>
      </c>
      <c r="V262" s="13" t="n">
        <v>95</v>
      </c>
      <c r="W262" s="13" t="n">
        <v>44</v>
      </c>
      <c r="X262" s="13" t="n">
        <v>168</v>
      </c>
      <c r="Y262" s="13" t="n">
        <v>38</v>
      </c>
      <c r="Z262" s="13" t="n">
        <v>167</v>
      </c>
      <c r="AA262" s="13" t="n">
        <v>0.87</v>
      </c>
      <c r="AB262" s="13" t="n">
        <v>139</v>
      </c>
      <c r="AC262" s="13" t="n">
        <v>152</v>
      </c>
      <c r="AD262" s="13" t="n">
        <v>29</v>
      </c>
      <c r="AE262" s="13" t="n">
        <v>12</v>
      </c>
      <c r="AF262" s="13" t="n">
        <v>3.8</v>
      </c>
      <c r="AG262" s="11" t="inlineStr">
        <is>
          <t xml:space="preserve"> Freeski</t>
        </is>
      </c>
      <c r="AH262" s="13" t="n"/>
      <c r="AI262" s="13" t="n"/>
      <c r="AJ262" s="13" t="n"/>
      <c r="AK262" s="42" t="n"/>
    </row>
    <row r="263">
      <c r="E263" s="40" t="inlineStr">
        <is>
          <t>21/22</t>
        </is>
      </c>
      <c r="F263" s="10" t="inlineStr">
        <is>
          <t xml:space="preserve"> Armada</t>
        </is>
      </c>
      <c r="G263" s="11" t="inlineStr">
        <is>
          <t>ARW 96</t>
        </is>
      </c>
      <c r="H263" s="13" t="n">
        <v>156</v>
      </c>
      <c r="I263" s="11" t="inlineStr">
        <is>
          <t xml:space="preserve"> Women's</t>
        </is>
      </c>
      <c r="J263" s="13" t="n">
        <v>156</v>
      </c>
      <c r="K263" s="13" t="n">
        <v>154</v>
      </c>
      <c r="L263" s="13" t="n">
        <v>106</v>
      </c>
      <c r="M263" s="13" t="n">
        <v>129</v>
      </c>
      <c r="N263" s="13" t="n">
        <v>120</v>
      </c>
      <c r="O263" s="13" t="n">
        <v>95</v>
      </c>
      <c r="P263" s="13" t="n">
        <v>113</v>
      </c>
      <c r="Q263" s="13" t="n">
        <v>16.9</v>
      </c>
      <c r="R263" s="13" t="n">
        <v>1615</v>
      </c>
      <c r="S263" s="13" t="n">
        <v>0.98</v>
      </c>
      <c r="T263" s="13" t="n">
        <v>1588</v>
      </c>
      <c r="U263" s="13" t="n">
        <v>155</v>
      </c>
      <c r="V263" s="13" t="n">
        <v>88</v>
      </c>
      <c r="W263" s="13" t="n">
        <v>48</v>
      </c>
      <c r="X263" s="13" t="n">
        <v>247</v>
      </c>
      <c r="Y263" s="13" t="n">
        <v>42</v>
      </c>
      <c r="Z263" s="13" t="n">
        <v>230</v>
      </c>
      <c r="AA263" s="13" t="n">
        <v>0.873</v>
      </c>
      <c r="AB263" s="13" t="n">
        <v>118</v>
      </c>
      <c r="AC263" s="13" t="n">
        <v>134</v>
      </c>
      <c r="AD263" s="13" t="n">
        <v>128</v>
      </c>
      <c r="AE263" s="13" t="n">
        <v>6</v>
      </c>
      <c r="AF263" s="13" t="n">
        <v>5.3</v>
      </c>
      <c r="AG263" s="11" t="inlineStr">
        <is>
          <t xml:space="preserve"> Freeski</t>
        </is>
      </c>
      <c r="AH263" s="13" t="n"/>
      <c r="AI263" s="13" t="n"/>
      <c r="AJ263" s="13" t="n"/>
      <c r="AK263" s="42" t="n"/>
    </row>
    <row r="264">
      <c r="E264" s="40" t="inlineStr">
        <is>
          <t>21/22</t>
        </is>
      </c>
      <c r="F264" s="10" t="inlineStr">
        <is>
          <t xml:space="preserve"> Armada</t>
        </is>
      </c>
      <c r="G264" s="11" t="inlineStr">
        <is>
          <t>ARW 96</t>
        </is>
      </c>
      <c r="H264" s="13" t="n">
        <v>163</v>
      </c>
      <c r="I264" s="11" t="inlineStr">
        <is>
          <t xml:space="preserve"> Women's</t>
        </is>
      </c>
      <c r="J264" s="13" t="n">
        <v>163</v>
      </c>
      <c r="K264" s="13" t="n">
        <v>161.2</v>
      </c>
      <c r="L264" s="13" t="n">
        <v>116</v>
      </c>
      <c r="M264" s="13" t="n">
        <v>135</v>
      </c>
      <c r="N264" s="13" t="n">
        <v>123</v>
      </c>
      <c r="O264" s="13" t="n">
        <v>95</v>
      </c>
      <c r="P264" s="13" t="n">
        <v>115</v>
      </c>
      <c r="Q264" s="13" t="n">
        <v>17.4</v>
      </c>
      <c r="R264" s="13" t="n">
        <v>1678</v>
      </c>
      <c r="S264" s="13" t="n">
        <v>1</v>
      </c>
      <c r="T264" s="13" t="n">
        <v>1683</v>
      </c>
      <c r="U264" s="13" t="n">
        <v>155</v>
      </c>
      <c r="V264" s="13" t="n">
        <v>88</v>
      </c>
      <c r="W264" s="13" t="n">
        <v>45</v>
      </c>
      <c r="X264" s="13" t="n">
        <v>236</v>
      </c>
      <c r="Y264" s="13" t="n">
        <v>38</v>
      </c>
      <c r="Z264" s="13" t="n">
        <v>214</v>
      </c>
      <c r="AA264" s="13" t="n">
        <v>0.853</v>
      </c>
      <c r="AB264" s="13" t="n">
        <v>118</v>
      </c>
      <c r="AC264" s="13" t="n">
        <v>147</v>
      </c>
      <c r="AD264" s="13" t="n">
        <v>118</v>
      </c>
      <c r="AE264" s="13" t="n">
        <v>10</v>
      </c>
      <c r="AF264" s="13" t="n">
        <v>5.3</v>
      </c>
      <c r="AG264" s="11" t="inlineStr">
        <is>
          <t xml:space="preserve"> Resort Freeride</t>
        </is>
      </c>
      <c r="AH264" s="11" t="inlineStr">
        <is>
          <t xml:space="preserve"> Freeski</t>
        </is>
      </c>
      <c r="AI264" s="13" t="n"/>
      <c r="AJ264" s="13" t="n"/>
      <c r="AK264" s="42" t="n"/>
    </row>
    <row r="265">
      <c r="E265" s="40" t="inlineStr">
        <is>
          <t>21/22</t>
        </is>
      </c>
      <c r="F265" s="10" t="inlineStr">
        <is>
          <t xml:space="preserve"> Armada</t>
        </is>
      </c>
      <c r="G265" s="11" t="inlineStr">
        <is>
          <t>ARW 96</t>
        </is>
      </c>
      <c r="H265" s="13" t="n">
        <v>170</v>
      </c>
      <c r="I265" s="11" t="inlineStr">
        <is>
          <t xml:space="preserve"> Women's</t>
        </is>
      </c>
      <c r="J265" s="13" t="n">
        <v>170</v>
      </c>
      <c r="K265" s="13" t="n">
        <v>168.4</v>
      </c>
      <c r="L265" s="13" t="n">
        <v>123</v>
      </c>
      <c r="M265" s="13" t="n">
        <v>139</v>
      </c>
      <c r="N265" s="13" t="n">
        <v>123</v>
      </c>
      <c r="O265" s="13" t="n">
        <v>95</v>
      </c>
      <c r="P265" s="13" t="n">
        <v>115</v>
      </c>
      <c r="Q265" s="13" t="n">
        <v>18.2</v>
      </c>
      <c r="R265" s="13" t="n">
        <v>1769</v>
      </c>
      <c r="S265" s="13" t="n">
        <v>0.99</v>
      </c>
      <c r="T265" s="13" t="n">
        <v>1756</v>
      </c>
      <c r="U265" s="13" t="n">
        <v>183</v>
      </c>
      <c r="V265" s="13" t="n">
        <v>96</v>
      </c>
      <c r="W265" s="13" t="n">
        <v>47</v>
      </c>
      <c r="X265" s="13" t="n">
        <v>236</v>
      </c>
      <c r="Y265" s="13" t="n">
        <v>40</v>
      </c>
      <c r="Z265" s="13" t="n">
        <v>221</v>
      </c>
      <c r="AA265" s="13" t="n">
        <v>0.86</v>
      </c>
      <c r="AB265" s="13" t="n">
        <v>141</v>
      </c>
      <c r="AC265" s="13" t="n">
        <v>152</v>
      </c>
      <c r="AD265" s="13" t="n">
        <v>94</v>
      </c>
      <c r="AE265" s="13" t="n">
        <v>10</v>
      </c>
      <c r="AF265" s="13" t="n">
        <v>5</v>
      </c>
      <c r="AG265" s="11" t="inlineStr">
        <is>
          <t xml:space="preserve"> Resort Freeride</t>
        </is>
      </c>
      <c r="AH265" s="11" t="inlineStr">
        <is>
          <t xml:space="preserve"> Freeski</t>
        </is>
      </c>
      <c r="AI265" s="13" t="n"/>
      <c r="AJ265" s="13" t="n"/>
      <c r="AK265" s="42" t="n"/>
    </row>
    <row r="266">
      <c r="E266" s="40" t="inlineStr">
        <is>
          <t>21/22</t>
        </is>
      </c>
      <c r="F266" s="10" t="inlineStr">
        <is>
          <t xml:space="preserve"> Armada</t>
        </is>
      </c>
      <c r="G266" s="11" t="inlineStr">
        <is>
          <t xml:space="preserve"> Bdog</t>
        </is>
      </c>
      <c r="H266" s="13" t="n">
        <v>164</v>
      </c>
      <c r="I266" s="11" t="inlineStr">
        <is>
          <t xml:space="preserve"> Unisex</t>
        </is>
      </c>
      <c r="J266" s="13" t="n">
        <v>164</v>
      </c>
      <c r="K266" s="13" t="n">
        <v>162.7</v>
      </c>
      <c r="L266" s="13" t="n">
        <v>111</v>
      </c>
      <c r="M266" s="13" t="n">
        <v>133</v>
      </c>
      <c r="N266" s="13" t="n">
        <v>121</v>
      </c>
      <c r="O266" s="13" t="n">
        <v>93</v>
      </c>
      <c r="P266" s="13" t="n">
        <v>116</v>
      </c>
      <c r="Q266" s="13" t="n">
        <v>14.9</v>
      </c>
      <c r="R266" s="13" t="n">
        <v>1792</v>
      </c>
      <c r="S266" s="13" t="n">
        <v>0.9399999999999999</v>
      </c>
      <c r="T266" s="13" t="n">
        <v>1693</v>
      </c>
      <c r="U266" s="13" t="n">
        <v>152</v>
      </c>
      <c r="V266" s="13" t="n">
        <v>59</v>
      </c>
      <c r="W266" s="13" t="n">
        <v>43</v>
      </c>
      <c r="X266" s="13" t="n">
        <v>262</v>
      </c>
      <c r="Y266" s="13" t="n">
        <v>39</v>
      </c>
      <c r="Z266" s="13" t="n">
        <v>250</v>
      </c>
      <c r="AA266" s="13" t="n">
        <v>0.895</v>
      </c>
      <c r="AB266" s="13" t="n">
        <v>165</v>
      </c>
      <c r="AC266" s="13" t="n">
        <v>131</v>
      </c>
      <c r="AD266" s="13" t="n">
        <v>98</v>
      </c>
      <c r="AE266" s="13" t="n">
        <v>7</v>
      </c>
      <c r="AF266" s="13" t="n">
        <v>0.2</v>
      </c>
      <c r="AG266" s="11" t="inlineStr">
        <is>
          <t xml:space="preserve"> Freeski</t>
        </is>
      </c>
      <c r="AH266" s="13" t="n"/>
      <c r="AI266" s="13" t="n"/>
      <c r="AJ266" s="13" t="n"/>
      <c r="AK266" s="42" t="n"/>
    </row>
    <row r="267">
      <c r="E267" s="40" t="inlineStr">
        <is>
          <t>21/22</t>
        </is>
      </c>
      <c r="F267" s="10" t="inlineStr">
        <is>
          <t xml:space="preserve"> Armada</t>
        </is>
      </c>
      <c r="G267" s="11" t="inlineStr">
        <is>
          <t xml:space="preserve"> Bdog</t>
        </is>
      </c>
      <c r="H267" s="13" t="n">
        <v>172</v>
      </c>
      <c r="I267" s="11" t="inlineStr">
        <is>
          <t xml:space="preserve"> Unisex</t>
        </is>
      </c>
      <c r="J267" s="13" t="n">
        <v>172</v>
      </c>
      <c r="K267" s="13" t="n">
        <v>170.8</v>
      </c>
      <c r="L267" s="13" t="n">
        <v>117</v>
      </c>
      <c r="M267" s="13" t="n">
        <v>135</v>
      </c>
      <c r="N267" s="13" t="n">
        <v>121</v>
      </c>
      <c r="O267" s="13" t="n">
        <v>93</v>
      </c>
      <c r="P267" s="13" t="n">
        <v>116</v>
      </c>
      <c r="Q267" s="13" t="n">
        <v>13.9</v>
      </c>
      <c r="R267" s="13" t="n">
        <v>1975</v>
      </c>
      <c r="S267" s="13" t="n">
        <v>0.91</v>
      </c>
      <c r="T267" s="13" t="n">
        <v>1795</v>
      </c>
      <c r="U267" s="13" t="n">
        <v>175</v>
      </c>
      <c r="V267" s="13" t="n">
        <v>69</v>
      </c>
      <c r="W267" s="13" t="n">
        <v>44</v>
      </c>
      <c r="X267" s="13" t="n">
        <v>271</v>
      </c>
      <c r="Y267" s="13" t="n">
        <v>42</v>
      </c>
      <c r="Z267" s="13" t="n">
        <v>267</v>
      </c>
      <c r="AA267" s="13" t="n">
        <v>0.959</v>
      </c>
      <c r="AB267" s="13" t="n">
        <v>196</v>
      </c>
      <c r="AC267" s="13" t="n">
        <v>162</v>
      </c>
      <c r="AD267" s="13" t="n">
        <v>75</v>
      </c>
      <c r="AE267" s="13" t="n">
        <v>9</v>
      </c>
      <c r="AF267" s="13" t="n">
        <v>0.7</v>
      </c>
      <c r="AG267" s="11" t="inlineStr">
        <is>
          <t xml:space="preserve"> Freeski</t>
        </is>
      </c>
      <c r="AH267" s="13" t="n"/>
      <c r="AI267" s="13" t="n"/>
      <c r="AJ267" s="13" t="n"/>
      <c r="AK267" s="42" t="n"/>
    </row>
    <row r="268">
      <c r="E268" s="40" t="inlineStr">
        <is>
          <t>21/22</t>
        </is>
      </c>
      <c r="F268" s="10" t="inlineStr">
        <is>
          <t xml:space="preserve"> Armada</t>
        </is>
      </c>
      <c r="G268" s="11" t="inlineStr">
        <is>
          <t xml:space="preserve"> Bdog</t>
        </is>
      </c>
      <c r="H268" s="13" t="n">
        <v>180</v>
      </c>
      <c r="I268" s="11" t="inlineStr">
        <is>
          <t xml:space="preserve"> Unisex</t>
        </is>
      </c>
      <c r="J268" s="13" t="n">
        <v>180</v>
      </c>
      <c r="K268" s="13" t="n">
        <v>177.7</v>
      </c>
      <c r="L268" s="13" t="n">
        <v>121</v>
      </c>
      <c r="M268" s="13" t="n">
        <v>142</v>
      </c>
      <c r="N268" s="13" t="n">
        <v>121</v>
      </c>
      <c r="O268" s="13" t="n">
        <v>93</v>
      </c>
      <c r="P268" s="13" t="n">
        <v>116</v>
      </c>
      <c r="Q268" s="13" t="n">
        <v>15.5</v>
      </c>
      <c r="R268" s="13" t="n">
        <v>1998</v>
      </c>
      <c r="S268" s="13" t="n">
        <v>0.9399999999999999</v>
      </c>
      <c r="T268" s="13" t="n">
        <v>1872</v>
      </c>
      <c r="U268" s="13" t="n">
        <v>178</v>
      </c>
      <c r="V268" s="13" t="n">
        <v>76</v>
      </c>
      <c r="W268" s="13" t="n">
        <v>49</v>
      </c>
      <c r="X268" s="13" t="n">
        <v>291</v>
      </c>
      <c r="Y268" s="13" t="n">
        <v>39</v>
      </c>
      <c r="Z268" s="13" t="n">
        <v>276</v>
      </c>
      <c r="AA268" s="13" t="n">
        <v>0.804</v>
      </c>
      <c r="AB268" s="13" t="n">
        <v>234</v>
      </c>
      <c r="AC268" s="13" t="n">
        <v>124</v>
      </c>
      <c r="AD268" s="13" t="n">
        <v>57</v>
      </c>
      <c r="AE268" s="13" t="n">
        <v>8</v>
      </c>
      <c r="AF268" s="13" t="n">
        <v>1.3</v>
      </c>
      <c r="AG268" s="11" t="inlineStr">
        <is>
          <t xml:space="preserve"> Resort Freeride</t>
        </is>
      </c>
      <c r="AH268" s="11" t="inlineStr">
        <is>
          <t xml:space="preserve"> Freeski</t>
        </is>
      </c>
      <c r="AI268" s="13" t="n"/>
      <c r="AJ268" s="13" t="n"/>
      <c r="AK268" s="42" t="n"/>
    </row>
    <row r="269">
      <c r="E269" s="40" t="inlineStr">
        <is>
          <t>21/22</t>
        </is>
      </c>
      <c r="F269" s="10" t="inlineStr">
        <is>
          <t xml:space="preserve"> Armada</t>
        </is>
      </c>
      <c r="G269" s="11" t="inlineStr">
        <is>
          <t xml:space="preserve"> Bdog Edgeless</t>
        </is>
      </c>
      <c r="H269" s="13" t="n">
        <v>172</v>
      </c>
      <c r="I269" s="11" t="inlineStr">
        <is>
          <t xml:space="preserve"> Unisex</t>
        </is>
      </c>
      <c r="J269" s="13" t="n">
        <v>172</v>
      </c>
      <c r="K269" s="13" t="n">
        <v>170.2</v>
      </c>
      <c r="L269" s="13" t="n">
        <v>112</v>
      </c>
      <c r="M269" s="13" t="n">
        <v>127</v>
      </c>
      <c r="N269" s="13" t="n">
        <v>120</v>
      </c>
      <c r="O269" s="13" t="n">
        <v>93</v>
      </c>
      <c r="P269" s="13" t="n">
        <v>116</v>
      </c>
      <c r="Q269" s="13" t="n">
        <v>14.1</v>
      </c>
      <c r="R269" s="13" t="n">
        <v>1801</v>
      </c>
      <c r="S269" s="13" t="n">
        <v>0.99</v>
      </c>
      <c r="T269" s="13" t="n">
        <v>1789</v>
      </c>
      <c r="U269" s="13" t="n">
        <v>133</v>
      </c>
      <c r="V269" s="13" t="n">
        <v>66</v>
      </c>
      <c r="W269" s="13" t="n">
        <v>50</v>
      </c>
      <c r="X269" s="13" t="n">
        <v>291</v>
      </c>
      <c r="Y269" s="13" t="n">
        <v>47</v>
      </c>
      <c r="Z269" s="13" t="n">
        <v>292</v>
      </c>
      <c r="AA269" s="13" t="n">
        <v>0.9379999999999999</v>
      </c>
      <c r="AB269" s="13" t="n">
        <v>227</v>
      </c>
      <c r="AC269" s="13" t="n">
        <v>207</v>
      </c>
      <c r="AD269" s="13" t="n">
        <v>64</v>
      </c>
      <c r="AE269" s="13" t="n">
        <v>4</v>
      </c>
      <c r="AF269" s="13" t="n">
        <v>0.2</v>
      </c>
      <c r="AG269" s="11" t="inlineStr">
        <is>
          <t xml:space="preserve"> Freeski</t>
        </is>
      </c>
      <c r="AH269" s="13" t="n"/>
      <c r="AI269" s="13" t="n"/>
      <c r="AJ269" s="13" t="n"/>
      <c r="AK269" s="42" t="n"/>
    </row>
    <row r="270">
      <c r="E270" s="40" t="inlineStr">
        <is>
          <t>21/22</t>
        </is>
      </c>
      <c r="F270" s="10" t="inlineStr">
        <is>
          <t xml:space="preserve"> Armada</t>
        </is>
      </c>
      <c r="G270" s="11" t="inlineStr">
        <is>
          <t>Declivity 102 Ti</t>
        </is>
      </c>
      <c r="H270" s="13" t="n">
        <v>172</v>
      </c>
      <c r="I270" s="11" t="inlineStr">
        <is>
          <t xml:space="preserve"> Unisex</t>
        </is>
      </c>
      <c r="J270" s="13" t="n">
        <v>172</v>
      </c>
      <c r="K270" s="13" t="n">
        <v>171.7</v>
      </c>
      <c r="L270" s="13" t="n">
        <v>126</v>
      </c>
      <c r="M270" s="13" t="n">
        <v>142</v>
      </c>
      <c r="N270" s="13" t="n">
        <v>133</v>
      </c>
      <c r="O270" s="13" t="n">
        <v>101</v>
      </c>
      <c r="P270" s="13" t="n">
        <v>123</v>
      </c>
      <c r="Q270" s="13" t="n">
        <v>17.8</v>
      </c>
      <c r="R270" s="13" t="n">
        <v>1896</v>
      </c>
      <c r="S270" s="13" t="n">
        <v>1.01</v>
      </c>
      <c r="T270" s="13" t="n">
        <v>1914</v>
      </c>
      <c r="U270" s="13" t="n">
        <v>209</v>
      </c>
      <c r="V270" s="13" t="n">
        <v>123</v>
      </c>
      <c r="W270" s="13" t="n">
        <v>54</v>
      </c>
      <c r="X270" s="13" t="n">
        <v>291</v>
      </c>
      <c r="Y270" s="13" t="n">
        <v>18</v>
      </c>
      <c r="Z270" s="13" t="n">
        <v>164</v>
      </c>
      <c r="AA270" s="13" t="n">
        <v>0.332</v>
      </c>
      <c r="AB270" s="13" t="n">
        <v>173</v>
      </c>
      <c r="AC270" s="13" t="n">
        <v>120</v>
      </c>
      <c r="AD270" s="13" t="n">
        <v>118</v>
      </c>
      <c r="AE270" s="13" t="n">
        <v>7</v>
      </c>
      <c r="AF270" s="13" t="n">
        <v>7.7</v>
      </c>
      <c r="AG270" s="11" t="inlineStr">
        <is>
          <t xml:space="preserve"> Resort Freeride</t>
        </is>
      </c>
      <c r="AH270" s="11" t="inlineStr">
        <is>
          <t xml:space="preserve"> Big Mountain</t>
        </is>
      </c>
      <c r="AI270" s="13" t="n"/>
      <c r="AJ270" s="13" t="n"/>
      <c r="AK270" s="42" t="n"/>
    </row>
    <row r="271">
      <c r="E271" s="40" t="inlineStr">
        <is>
          <t>21/22</t>
        </is>
      </c>
      <c r="F271" s="10" t="inlineStr">
        <is>
          <t xml:space="preserve"> Armada</t>
        </is>
      </c>
      <c r="G271" s="11" t="inlineStr">
        <is>
          <t>Declivity 102 Ti</t>
        </is>
      </c>
      <c r="H271" s="13" t="n">
        <v>180</v>
      </c>
      <c r="I271" s="11" t="inlineStr">
        <is>
          <t xml:space="preserve"> Unisex</t>
        </is>
      </c>
      <c r="J271" s="13" t="n">
        <v>180</v>
      </c>
      <c r="K271" s="13" t="n">
        <v>179.5</v>
      </c>
      <c r="L271" s="13" t="n">
        <v>131</v>
      </c>
      <c r="M271" s="13" t="n">
        <v>147</v>
      </c>
      <c r="N271" s="13" t="n">
        <v>134</v>
      </c>
      <c r="O271" s="13" t="n">
        <v>101</v>
      </c>
      <c r="P271" s="13" t="n">
        <v>123</v>
      </c>
      <c r="Q271" s="13" t="n">
        <v>18.5</v>
      </c>
      <c r="R271" s="13" t="n">
        <v>1958</v>
      </c>
      <c r="S271" s="13" t="n">
        <v>1.03</v>
      </c>
      <c r="T271" s="13" t="n">
        <v>2011</v>
      </c>
      <c r="U271" s="13" t="n">
        <v>219</v>
      </c>
      <c r="V271" s="13" t="n">
        <v>136</v>
      </c>
      <c r="W271" s="13" t="n">
        <v>57</v>
      </c>
      <c r="X271" s="13" t="n">
        <v>308</v>
      </c>
      <c r="Y271" s="13" t="n">
        <v>19</v>
      </c>
      <c r="Z271" s="13" t="n">
        <v>180</v>
      </c>
      <c r="AA271" s="13" t="n">
        <v>0.339</v>
      </c>
      <c r="AB271" s="13" t="n">
        <v>188</v>
      </c>
      <c r="AC271" s="13" t="n">
        <v>139</v>
      </c>
      <c r="AD271" s="13" t="n">
        <v>121</v>
      </c>
      <c r="AE271" s="13" t="n">
        <v>8</v>
      </c>
      <c r="AF271" s="13" t="n">
        <v>8.800000000000001</v>
      </c>
      <c r="AG271" s="11" t="inlineStr">
        <is>
          <t xml:space="preserve"> Resort Freeride</t>
        </is>
      </c>
      <c r="AH271" s="11" t="inlineStr">
        <is>
          <t xml:space="preserve"> Big Mountain</t>
        </is>
      </c>
      <c r="AI271" s="13" t="n"/>
      <c r="AJ271" s="13" t="n"/>
      <c r="AK271" s="42" t="n"/>
    </row>
    <row r="272">
      <c r="E272" s="40" t="inlineStr">
        <is>
          <t>21/22</t>
        </is>
      </c>
      <c r="F272" s="10" t="inlineStr">
        <is>
          <t xml:space="preserve"> Armada</t>
        </is>
      </c>
      <c r="G272" s="11" t="inlineStr">
        <is>
          <t>Declivity 108 Ti</t>
        </is>
      </c>
      <c r="H272" s="13" t="n">
        <v>182</v>
      </c>
      <c r="I272" s="11" t="inlineStr">
        <is>
          <t xml:space="preserve"> Unisex</t>
        </is>
      </c>
      <c r="J272" s="13" t="n">
        <v>182</v>
      </c>
      <c r="K272" s="13" t="n">
        <v>181.5</v>
      </c>
      <c r="L272" s="13" t="n">
        <v>126</v>
      </c>
      <c r="M272" s="13" t="n">
        <v>147</v>
      </c>
      <c r="N272" s="13" t="n">
        <v>135</v>
      </c>
      <c r="O272" s="13" t="n">
        <v>107</v>
      </c>
      <c r="P272" s="13" t="n">
        <v>124</v>
      </c>
      <c r="Q272" s="13" t="n">
        <v>22.1</v>
      </c>
      <c r="R272" s="13" t="n">
        <v>1962</v>
      </c>
      <c r="S272" s="13" t="n">
        <v>1.07</v>
      </c>
      <c r="T272" s="13" t="n">
        <v>2102</v>
      </c>
      <c r="U272" s="13" t="n">
        <v>251</v>
      </c>
      <c r="V272" s="13" t="n">
        <v>152</v>
      </c>
      <c r="W272" s="13" t="n">
        <v>56</v>
      </c>
      <c r="X272" s="13" t="n">
        <v>369</v>
      </c>
      <c r="Y272" s="13" t="n">
        <v>25</v>
      </c>
      <c r="Z272" s="13" t="n">
        <v>187</v>
      </c>
      <c r="AA272" s="13" t="n">
        <v>0.453</v>
      </c>
      <c r="AB272" s="13" t="n">
        <v>210</v>
      </c>
      <c r="AC272" s="13" t="n">
        <v>139</v>
      </c>
      <c r="AD272" s="13" t="n">
        <v>159</v>
      </c>
      <c r="AE272" s="13" t="n">
        <v>7</v>
      </c>
      <c r="AF272" s="13" t="n">
        <v>10.6</v>
      </c>
      <c r="AG272" s="11" t="inlineStr">
        <is>
          <t xml:space="preserve"> Powder</t>
        </is>
      </c>
      <c r="AH272" s="11" t="inlineStr">
        <is>
          <t xml:space="preserve"> Touring</t>
        </is>
      </c>
      <c r="AI272" s="13" t="n"/>
      <c r="AJ272" s="13" t="n"/>
      <c r="AK272" s="42" t="n"/>
    </row>
    <row r="273">
      <c r="E273" s="40" t="inlineStr">
        <is>
          <t>21/22</t>
        </is>
      </c>
      <c r="F273" s="10" t="inlineStr">
        <is>
          <t xml:space="preserve"> Armada</t>
        </is>
      </c>
      <c r="G273" s="11" t="inlineStr">
        <is>
          <t>Declivity 108 Ti</t>
        </is>
      </c>
      <c r="H273" s="13" t="n">
        <v>190</v>
      </c>
      <c r="I273" s="11" t="inlineStr">
        <is>
          <t xml:space="preserve"> Unisex</t>
        </is>
      </c>
      <c r="J273" s="13" t="n">
        <v>190</v>
      </c>
      <c r="K273" s="13" t="n">
        <v>189.5</v>
      </c>
      <c r="L273" s="13" t="n">
        <v>130</v>
      </c>
      <c r="M273" s="13" t="n">
        <v>150</v>
      </c>
      <c r="N273" s="13" t="n">
        <v>135</v>
      </c>
      <c r="O273" s="13" t="n">
        <v>107</v>
      </c>
      <c r="P273" s="13" t="n">
        <v>126</v>
      </c>
      <c r="Q273" s="13" t="n">
        <v>22.6</v>
      </c>
      <c r="R273" s="13" t="n">
        <v>1894</v>
      </c>
      <c r="S273" s="13" t="n">
        <v>1.16</v>
      </c>
      <c r="T273" s="13" t="n">
        <v>2205</v>
      </c>
      <c r="U273" s="13" t="n">
        <v>272</v>
      </c>
      <c r="V273" s="13" t="n">
        <v>164</v>
      </c>
      <c r="W273" s="13" t="n">
        <v>61</v>
      </c>
      <c r="X273" s="13" t="n">
        <v>381</v>
      </c>
      <c r="Y273" s="13" t="n">
        <v>29</v>
      </c>
      <c r="Z273" s="13" t="n">
        <v>210</v>
      </c>
      <c r="AA273" s="13" t="n">
        <v>0.47</v>
      </c>
      <c r="AB273" s="13" t="n">
        <v>245</v>
      </c>
      <c r="AC273" s="13" t="n">
        <v>145</v>
      </c>
      <c r="AD273" s="13" t="n">
        <v>136</v>
      </c>
      <c r="AE273" s="13" t="n">
        <v>7</v>
      </c>
      <c r="AF273" s="13" t="n">
        <v>9.300000000000001</v>
      </c>
      <c r="AG273" s="11" t="inlineStr">
        <is>
          <t xml:space="preserve"> Powder</t>
        </is>
      </c>
      <c r="AH273" s="11" t="inlineStr">
        <is>
          <t xml:space="preserve"> Touring</t>
        </is>
      </c>
      <c r="AI273" s="13" t="n"/>
      <c r="AJ273" s="13" t="n"/>
      <c r="AK273" s="42" t="n"/>
    </row>
    <row r="274">
      <c r="E274" s="40" t="inlineStr">
        <is>
          <t>21/22</t>
        </is>
      </c>
      <c r="F274" s="10" t="inlineStr">
        <is>
          <t xml:space="preserve"> Armada</t>
        </is>
      </c>
      <c r="G274" s="11" t="inlineStr">
        <is>
          <t>Declivity 82 Ti</t>
        </is>
      </c>
      <c r="H274" s="13" t="n">
        <v>166</v>
      </c>
      <c r="I274" s="11" t="inlineStr">
        <is>
          <t xml:space="preserve"> Unisex</t>
        </is>
      </c>
      <c r="J274" s="13" t="n">
        <v>166</v>
      </c>
      <c r="K274" s="13" t="n">
        <v>165.6</v>
      </c>
      <c r="L274" s="13" t="n">
        <v>139</v>
      </c>
      <c r="M274" s="13" t="n">
        <v>148</v>
      </c>
      <c r="N274" s="13" t="n">
        <v>125</v>
      </c>
      <c r="O274" s="13" t="n">
        <v>81</v>
      </c>
      <c r="P274" s="13" t="n">
        <v>108</v>
      </c>
      <c r="Q274" s="13" t="n">
        <v>15.4</v>
      </c>
      <c r="R274" s="13" t="n">
        <v>1536</v>
      </c>
      <c r="S274" s="13" t="n">
        <v>1.02</v>
      </c>
      <c r="T274" s="13" t="n">
        <v>1569</v>
      </c>
      <c r="U274" s="13" t="n">
        <v>211</v>
      </c>
      <c r="V274" s="13" t="n">
        <v>119</v>
      </c>
      <c r="W274" s="13" t="n">
        <v>35</v>
      </c>
      <c r="X274" s="13" t="n">
        <v>172</v>
      </c>
      <c r="Y274" s="13" t="n">
        <v>10</v>
      </c>
      <c r="Z274" s="13" t="n">
        <v>98</v>
      </c>
      <c r="AA274" s="13" t="n">
        <v>0.282</v>
      </c>
      <c r="AB274" s="13" t="n">
        <v>114</v>
      </c>
      <c r="AC274" s="13" t="n">
        <v>58</v>
      </c>
      <c r="AD274" s="13" t="n">
        <v>58</v>
      </c>
      <c r="AE274" s="13" t="n">
        <v>10</v>
      </c>
      <c r="AF274" s="13" t="n">
        <v>10.2</v>
      </c>
      <c r="AG274" s="11" t="inlineStr">
        <is>
          <t xml:space="preserve"> On-Piste All-Mountain</t>
        </is>
      </c>
      <c r="AH274" s="11" t="inlineStr">
        <is>
          <t xml:space="preserve"> Resort Freeride</t>
        </is>
      </c>
      <c r="AI274" s="13" t="n"/>
      <c r="AJ274" s="13" t="n"/>
      <c r="AK274" s="42" t="n"/>
    </row>
    <row r="275">
      <c r="E275" s="40" t="inlineStr">
        <is>
          <t>21/22</t>
        </is>
      </c>
      <c r="F275" s="10" t="inlineStr">
        <is>
          <t xml:space="preserve"> Armada</t>
        </is>
      </c>
      <c r="G275" s="11" t="inlineStr">
        <is>
          <t>Declivity 82 Ti</t>
        </is>
      </c>
      <c r="H275" s="13" t="n">
        <v>174</v>
      </c>
      <c r="I275" s="11" t="inlineStr">
        <is>
          <t xml:space="preserve"> Unisex</t>
        </is>
      </c>
      <c r="J275" s="13" t="n">
        <v>174</v>
      </c>
      <c r="K275" s="13" t="n">
        <v>173.5</v>
      </c>
      <c r="L275" s="13" t="n">
        <v>142</v>
      </c>
      <c r="M275" s="13" t="n">
        <v>154</v>
      </c>
      <c r="N275" s="13" t="n">
        <v>127</v>
      </c>
      <c r="O275" s="13" t="n">
        <v>81</v>
      </c>
      <c r="P275" s="13" t="n">
        <v>109</v>
      </c>
      <c r="Q275" s="13" t="n">
        <v>15.9</v>
      </c>
      <c r="R275" s="13" t="n">
        <v>1648</v>
      </c>
      <c r="S275" s="13" t="n">
        <v>1.01</v>
      </c>
      <c r="T275" s="13" t="n">
        <v>1659</v>
      </c>
      <c r="U275" s="13" t="n">
        <v>230</v>
      </c>
      <c r="V275" s="13" t="n">
        <v>139</v>
      </c>
      <c r="W275" s="13" t="n">
        <v>42</v>
      </c>
      <c r="X275" s="13" t="n">
        <v>198</v>
      </c>
      <c r="Y275" s="13" t="n">
        <v>12</v>
      </c>
      <c r="Z275" s="13" t="n">
        <v>121</v>
      </c>
      <c r="AA275" s="13" t="n">
        <v>0.291</v>
      </c>
      <c r="AB275" s="13" t="n">
        <v>120</v>
      </c>
      <c r="AC275" s="13" t="n">
        <v>72</v>
      </c>
      <c r="AD275" s="13" t="n">
        <v>78</v>
      </c>
      <c r="AE275" s="13" t="n">
        <v>7</v>
      </c>
      <c r="AF275" s="13" t="n">
        <v>9.4</v>
      </c>
      <c r="AG275" s="11" t="inlineStr">
        <is>
          <t xml:space="preserve"> On-Piste All-Mountain</t>
        </is>
      </c>
      <c r="AH275" s="11" t="inlineStr">
        <is>
          <t xml:space="preserve"> Resort Freeride</t>
        </is>
      </c>
      <c r="AI275" s="13" t="n"/>
      <c r="AJ275" s="13" t="n"/>
      <c r="AK275" s="42" t="n"/>
    </row>
    <row r="276">
      <c r="E276" s="40" t="inlineStr">
        <is>
          <t>21/22</t>
        </is>
      </c>
      <c r="F276" s="10" t="inlineStr">
        <is>
          <t xml:space="preserve"> Armada</t>
        </is>
      </c>
      <c r="G276" s="11" t="inlineStr">
        <is>
          <t>Declivity 82 Ti</t>
        </is>
      </c>
      <c r="H276" s="13" t="n">
        <v>182</v>
      </c>
      <c r="I276" s="11" t="inlineStr">
        <is>
          <t xml:space="preserve"> Unisex</t>
        </is>
      </c>
      <c r="J276" s="13" t="n">
        <v>182</v>
      </c>
      <c r="K276" s="13" t="n">
        <v>181.5</v>
      </c>
      <c r="L276" s="13" t="n">
        <v>150</v>
      </c>
      <c r="M276" s="13" t="n">
        <v>161</v>
      </c>
      <c r="N276" s="13" t="n">
        <v>129</v>
      </c>
      <c r="O276" s="13" t="n">
        <v>81</v>
      </c>
      <c r="P276" s="13" t="n">
        <v>110</v>
      </c>
      <c r="Q276" s="13" t="n">
        <v>16.7</v>
      </c>
      <c r="R276" s="13" t="n">
        <v>1734</v>
      </c>
      <c r="S276" s="13" t="n">
        <v>1</v>
      </c>
      <c r="T276" s="13" t="n">
        <v>1742</v>
      </c>
      <c r="U276" s="13" t="n">
        <v>245</v>
      </c>
      <c r="V276" s="13" t="n">
        <v>129</v>
      </c>
      <c r="W276" s="13" t="n">
        <v>41</v>
      </c>
      <c r="X276" s="13" t="n">
        <v>197</v>
      </c>
      <c r="Y276" s="13" t="n">
        <v>12</v>
      </c>
      <c r="Z276" s="13" t="n">
        <v>123</v>
      </c>
      <c r="AA276" s="13" t="n">
        <v>0.289</v>
      </c>
      <c r="AB276" s="13" t="n">
        <v>131</v>
      </c>
      <c r="AC276" s="13" t="n">
        <v>73</v>
      </c>
      <c r="AD276" s="13" t="n">
        <v>66</v>
      </c>
      <c r="AE276" s="13" t="n">
        <v>9</v>
      </c>
      <c r="AF276" s="13" t="n">
        <v>9.6</v>
      </c>
      <c r="AG276" s="11" t="inlineStr">
        <is>
          <t xml:space="preserve"> On-Piste All-Mountain</t>
        </is>
      </c>
      <c r="AH276" s="11" t="inlineStr">
        <is>
          <t xml:space="preserve"> Resort Freeride</t>
        </is>
      </c>
      <c r="AI276" s="13" t="n"/>
      <c r="AJ276" s="13" t="n"/>
      <c r="AK276" s="42" t="n"/>
    </row>
    <row r="277">
      <c r="E277" s="40" t="inlineStr">
        <is>
          <t>21/22</t>
        </is>
      </c>
      <c r="F277" s="10" t="inlineStr">
        <is>
          <t xml:space="preserve"> Armada</t>
        </is>
      </c>
      <c r="G277" s="11" t="inlineStr">
        <is>
          <t>Declivity 88 Ca</t>
        </is>
      </c>
      <c r="H277" s="13" t="n">
        <v>160</v>
      </c>
      <c r="I277" s="11" t="inlineStr">
        <is>
          <t xml:space="preserve"> Unisex</t>
        </is>
      </c>
      <c r="J277" s="13" t="n">
        <v>160</v>
      </c>
      <c r="K277" s="13" t="n">
        <v>159.6</v>
      </c>
      <c r="L277" s="13" t="n">
        <v>133</v>
      </c>
      <c r="M277" s="13" t="n">
        <v>142</v>
      </c>
      <c r="N277" s="13" t="n">
        <v>127</v>
      </c>
      <c r="O277" s="13" t="n">
        <v>87</v>
      </c>
      <c r="P277" s="13" t="n">
        <v>109</v>
      </c>
      <c r="Q277" s="13" t="n">
        <v>16.1</v>
      </c>
      <c r="R277" s="13" t="n">
        <v>1440</v>
      </c>
      <c r="S277" s="13" t="n">
        <v>1.09</v>
      </c>
      <c r="T277" s="13" t="n">
        <v>1574</v>
      </c>
      <c r="U277" s="13" t="n">
        <v>223</v>
      </c>
      <c r="V277" s="13" t="n">
        <v>102</v>
      </c>
      <c r="W277" s="13" t="n">
        <v>37</v>
      </c>
      <c r="X277" s="13" t="n">
        <v>169</v>
      </c>
      <c r="Y277" s="13" t="n">
        <v>9</v>
      </c>
      <c r="Z277" s="13" t="n">
        <v>94</v>
      </c>
      <c r="AA277" s="13" t="n">
        <v>0.239</v>
      </c>
      <c r="AB277" s="13" t="n">
        <v>114</v>
      </c>
      <c r="AC277" s="13" t="n">
        <v>65</v>
      </c>
      <c r="AD277" s="13" t="n">
        <v>55</v>
      </c>
      <c r="AE277" s="13" t="n">
        <v>6</v>
      </c>
      <c r="AF277" s="13" t="n">
        <v>11</v>
      </c>
      <c r="AG277" s="11" t="inlineStr">
        <is>
          <t xml:space="preserve"> Resort Freeride</t>
        </is>
      </c>
      <c r="AH277" s="11" t="inlineStr">
        <is>
          <t xml:space="preserve"> Touring</t>
        </is>
      </c>
      <c r="AI277" s="13" t="n"/>
      <c r="AJ277" s="13" t="n"/>
      <c r="AK277" s="42" t="n"/>
    </row>
    <row r="278">
      <c r="E278" s="40" t="inlineStr">
        <is>
          <t>21/22</t>
        </is>
      </c>
      <c r="F278" s="10" t="inlineStr">
        <is>
          <t xml:space="preserve"> Armada</t>
        </is>
      </c>
      <c r="G278" s="11" t="inlineStr">
        <is>
          <t>Declivity 88 Ca</t>
        </is>
      </c>
      <c r="H278" s="13" t="n">
        <v>168</v>
      </c>
      <c r="I278" s="11" t="inlineStr">
        <is>
          <t xml:space="preserve"> Unisex</t>
        </is>
      </c>
      <c r="J278" s="13" t="n">
        <v>168</v>
      </c>
      <c r="K278" s="13" t="n">
        <v>167.5</v>
      </c>
      <c r="L278" s="13" t="n">
        <v>139</v>
      </c>
      <c r="M278" s="13" t="n">
        <v>148</v>
      </c>
      <c r="N278" s="13" t="n">
        <v>129</v>
      </c>
      <c r="O278" s="13" t="n">
        <v>87</v>
      </c>
      <c r="P278" s="13" t="n">
        <v>110</v>
      </c>
      <c r="Q278" s="13" t="n">
        <v>17</v>
      </c>
      <c r="R278" s="13" t="n">
        <v>1562</v>
      </c>
      <c r="S278" s="13" t="n">
        <v>1.07</v>
      </c>
      <c r="T278" s="13" t="n">
        <v>1666</v>
      </c>
      <c r="U278" s="13" t="n">
        <v>236</v>
      </c>
      <c r="V278" s="13" t="n">
        <v>109</v>
      </c>
      <c r="W278" s="13" t="n">
        <v>39</v>
      </c>
      <c r="X278" s="13" t="n">
        <v>182</v>
      </c>
      <c r="Y278" s="13" t="n">
        <v>9</v>
      </c>
      <c r="Z278" s="13" t="n">
        <v>105</v>
      </c>
      <c r="AA278" s="13" t="n">
        <v>0.239</v>
      </c>
      <c r="AB278" s="13" t="n">
        <v>118</v>
      </c>
      <c r="AC278" s="13" t="n">
        <v>74</v>
      </c>
      <c r="AD278" s="13" t="n">
        <v>65</v>
      </c>
      <c r="AE278" s="13" t="n">
        <v>5</v>
      </c>
      <c r="AF278" s="13" t="n">
        <v>11.3</v>
      </c>
      <c r="AG278" s="11" t="inlineStr">
        <is>
          <t xml:space="preserve"> Resort Freeride</t>
        </is>
      </c>
      <c r="AH278" s="11" t="inlineStr">
        <is>
          <t xml:space="preserve"> Touring</t>
        </is>
      </c>
      <c r="AI278" s="13" t="n"/>
      <c r="AJ278" s="13" t="n"/>
      <c r="AK278" s="42" t="n"/>
    </row>
    <row r="279">
      <c r="E279" s="40" t="inlineStr">
        <is>
          <t>21/22</t>
        </is>
      </c>
      <c r="F279" s="10" t="inlineStr">
        <is>
          <t xml:space="preserve"> Armada</t>
        </is>
      </c>
      <c r="G279" s="11" t="inlineStr">
        <is>
          <t>Declivity 88 Ca</t>
        </is>
      </c>
      <c r="H279" s="13" t="n">
        <v>176</v>
      </c>
      <c r="I279" s="11" t="inlineStr">
        <is>
          <t xml:space="preserve"> Unisex</t>
        </is>
      </c>
      <c r="J279" s="13" t="n">
        <v>176</v>
      </c>
      <c r="K279" s="13" t="n">
        <v>175.4</v>
      </c>
      <c r="L279" s="13" t="n">
        <v>145</v>
      </c>
      <c r="M279" s="13" t="n">
        <v>154</v>
      </c>
      <c r="N279" s="13" t="n">
        <v>131</v>
      </c>
      <c r="O279" s="13" t="n">
        <v>87</v>
      </c>
      <c r="P279" s="13" t="n">
        <v>111</v>
      </c>
      <c r="Q279" s="13" t="n">
        <v>17.2</v>
      </c>
      <c r="R279" s="13" t="n">
        <v>1632</v>
      </c>
      <c r="S279" s="13" t="n">
        <v>1.08</v>
      </c>
      <c r="T279" s="13" t="n">
        <v>1766</v>
      </c>
      <c r="U279" s="13" t="n">
        <v>276</v>
      </c>
      <c r="V279" s="13" t="n">
        <v>116</v>
      </c>
      <c r="W279" s="13" t="n">
        <v>40</v>
      </c>
      <c r="X279" s="13" t="n">
        <v>189</v>
      </c>
      <c r="Y279" s="13" t="n">
        <v>11</v>
      </c>
      <c r="Z279" s="13" t="n">
        <v>117</v>
      </c>
      <c r="AA279" s="13" t="n">
        <v>0.272</v>
      </c>
      <c r="AB279" s="13" t="n">
        <v>138</v>
      </c>
      <c r="AC279" s="13" t="n">
        <v>80</v>
      </c>
      <c r="AD279" s="13" t="n">
        <v>51</v>
      </c>
      <c r="AE279" s="13" t="n">
        <v>6</v>
      </c>
      <c r="AF279" s="13" t="n">
        <v>11.8</v>
      </c>
      <c r="AG279" s="11" t="inlineStr">
        <is>
          <t xml:space="preserve"> Resort Freeride</t>
        </is>
      </c>
      <c r="AH279" s="11" t="inlineStr">
        <is>
          <t xml:space="preserve"> Touring</t>
        </is>
      </c>
      <c r="AI279" s="13" t="n"/>
      <c r="AJ279" s="13" t="n"/>
      <c r="AK279" s="42" t="n"/>
    </row>
    <row r="280">
      <c r="E280" s="40" t="inlineStr">
        <is>
          <t>21/22</t>
        </is>
      </c>
      <c r="F280" s="10" t="inlineStr">
        <is>
          <t xml:space="preserve"> Armada</t>
        </is>
      </c>
      <c r="G280" s="11" t="inlineStr">
        <is>
          <t>Declivity 92 Ti</t>
        </is>
      </c>
      <c r="H280" s="13" t="n">
        <v>164</v>
      </c>
      <c r="I280" s="11" t="inlineStr">
        <is>
          <t xml:space="preserve"> Unisex</t>
        </is>
      </c>
      <c r="J280" s="13" t="n">
        <v>164</v>
      </c>
      <c r="K280" s="13" t="n">
        <v>163.8</v>
      </c>
      <c r="L280" s="13" t="n">
        <v>126</v>
      </c>
      <c r="M280" s="13" t="n">
        <v>143</v>
      </c>
      <c r="N280" s="13" t="n">
        <v>129</v>
      </c>
      <c r="O280" s="13" t="n">
        <v>91</v>
      </c>
      <c r="P280" s="13" t="n">
        <v>114</v>
      </c>
      <c r="Q280" s="13" t="n">
        <v>16.4</v>
      </c>
      <c r="R280" s="13" t="n">
        <v>1621</v>
      </c>
      <c r="S280" s="13" t="n">
        <v>1.04</v>
      </c>
      <c r="T280" s="13" t="n">
        <v>1688</v>
      </c>
      <c r="U280" s="13" t="n">
        <v>188</v>
      </c>
      <c r="V280" s="13" t="n">
        <v>101</v>
      </c>
      <c r="W280" s="13" t="n">
        <v>42</v>
      </c>
      <c r="X280" s="13" t="n">
        <v>231</v>
      </c>
      <c r="Y280" s="13" t="n">
        <v>18</v>
      </c>
      <c r="Z280" s="13" t="n">
        <v>145</v>
      </c>
      <c r="AA280" s="13" t="n">
        <v>0.43</v>
      </c>
      <c r="AB280" s="13" t="n">
        <v>131</v>
      </c>
      <c r="AC280" s="13" t="n">
        <v>74</v>
      </c>
      <c r="AD280" s="13" t="n">
        <v>100</v>
      </c>
      <c r="AE280" s="13" t="n">
        <v>7</v>
      </c>
      <c r="AF280" s="13" t="n">
        <v>10.3</v>
      </c>
      <c r="AG280" s="11" t="inlineStr">
        <is>
          <t xml:space="preserve"> Resort Freeride</t>
        </is>
      </c>
      <c r="AH280" s="13" t="n"/>
      <c r="AI280" s="13" t="n"/>
      <c r="AJ280" s="13" t="n"/>
      <c r="AK280" s="42" t="n"/>
    </row>
    <row r="281">
      <c r="E281" s="40" t="inlineStr">
        <is>
          <t>21/22</t>
        </is>
      </c>
      <c r="F281" s="10" t="inlineStr">
        <is>
          <t xml:space="preserve"> Armada</t>
        </is>
      </c>
      <c r="G281" s="11" t="inlineStr">
        <is>
          <t>Declivity 92 Ti</t>
        </is>
      </c>
      <c r="H281" s="13" t="n">
        <v>180</v>
      </c>
      <c r="I281" s="11" t="inlineStr">
        <is>
          <t xml:space="preserve"> Unisex</t>
        </is>
      </c>
      <c r="J281" s="13" t="n">
        <v>180</v>
      </c>
      <c r="K281" s="13" t="n">
        <v>179.8</v>
      </c>
      <c r="L281" s="13" t="n">
        <v>141</v>
      </c>
      <c r="M281" s="13" t="n">
        <v>154</v>
      </c>
      <c r="N281" s="13" t="n">
        <v>130</v>
      </c>
      <c r="O281" s="13" t="n">
        <v>91</v>
      </c>
      <c r="P281" s="13" t="n">
        <v>116</v>
      </c>
      <c r="Q281" s="13" t="n">
        <v>17.9</v>
      </c>
      <c r="R281" s="13" t="n">
        <v>1858</v>
      </c>
      <c r="S281" s="13" t="n">
        <v>1.01</v>
      </c>
      <c r="T281" s="13" t="n">
        <v>1871</v>
      </c>
      <c r="U281" s="13" t="n">
        <v>240</v>
      </c>
      <c r="V281" s="13" t="n">
        <v>141</v>
      </c>
      <c r="W281" s="13" t="n">
        <v>45</v>
      </c>
      <c r="X281" s="13" t="n">
        <v>243</v>
      </c>
      <c r="Y281" s="13" t="n">
        <v>16</v>
      </c>
      <c r="Z281" s="13" t="n">
        <v>143</v>
      </c>
      <c r="AA281" s="13" t="n">
        <v>0.356</v>
      </c>
      <c r="AB281" s="13" t="n">
        <v>159</v>
      </c>
      <c r="AC281" s="13" t="n">
        <v>95</v>
      </c>
      <c r="AD281" s="13" t="n">
        <v>84</v>
      </c>
      <c r="AE281" s="13" t="n">
        <v>10</v>
      </c>
      <c r="AF281" s="13" t="n">
        <v>10.5</v>
      </c>
      <c r="AG281" s="11" t="inlineStr">
        <is>
          <t xml:space="preserve"> Resort Freeride</t>
        </is>
      </c>
      <c r="AH281" s="13" t="n"/>
      <c r="AI281" s="13" t="n"/>
      <c r="AJ281" s="13" t="n"/>
      <c r="AK281" s="42" t="n"/>
    </row>
    <row r="282">
      <c r="E282" s="40" t="inlineStr">
        <is>
          <t>21/22</t>
        </is>
      </c>
      <c r="F282" s="10" t="inlineStr">
        <is>
          <t xml:space="preserve"> Armada</t>
        </is>
      </c>
      <c r="G282" s="11" t="inlineStr">
        <is>
          <t>Declivity 92 Ti</t>
        </is>
      </c>
      <c r="H282" s="13" t="n">
        <v>188</v>
      </c>
      <c r="I282" s="11" t="inlineStr">
        <is>
          <t xml:space="preserve"> Unisex</t>
        </is>
      </c>
      <c r="J282" s="13" t="n">
        <v>188</v>
      </c>
      <c r="K282" s="13" t="n">
        <v>187.6</v>
      </c>
      <c r="L282" s="13" t="n">
        <v>145</v>
      </c>
      <c r="M282" s="13" t="n">
        <v>159</v>
      </c>
      <c r="N282" s="13" t="n">
        <v>131</v>
      </c>
      <c r="O282" s="13" t="n">
        <v>91</v>
      </c>
      <c r="P282" s="13" t="n">
        <v>118</v>
      </c>
      <c r="Q282" s="13" t="n">
        <v>18.4</v>
      </c>
      <c r="R282" s="13" t="n">
        <v>1937</v>
      </c>
      <c r="S282" s="13" t="n">
        <v>1.01</v>
      </c>
      <c r="T282" s="13" t="n">
        <v>1964</v>
      </c>
      <c r="U282" s="13" t="n">
        <v>271</v>
      </c>
      <c r="V282" s="13" t="n">
        <v>161</v>
      </c>
      <c r="W282" s="13" t="n">
        <v>49</v>
      </c>
      <c r="X282" s="13" t="n">
        <v>262</v>
      </c>
      <c r="Y282" s="13" t="n">
        <v>20</v>
      </c>
      <c r="Z282" s="13" t="n">
        <v>162</v>
      </c>
      <c r="AA282" s="13" t="n">
        <v>0.404</v>
      </c>
      <c r="AB282" s="13" t="n">
        <v>182</v>
      </c>
      <c r="AC282" s="13" t="n">
        <v>105</v>
      </c>
      <c r="AD282" s="13" t="n">
        <v>80</v>
      </c>
      <c r="AE282" s="13" t="n">
        <v>8</v>
      </c>
      <c r="AF282" s="13" t="n">
        <v>9.6</v>
      </c>
      <c r="AG282" s="11" t="inlineStr">
        <is>
          <t xml:space="preserve"> Resort Freeride</t>
        </is>
      </c>
      <c r="AH282" s="13" t="n"/>
      <c r="AI282" s="13" t="n"/>
      <c r="AJ282" s="13" t="n"/>
      <c r="AK282" s="42" t="n"/>
    </row>
    <row r="283">
      <c r="E283" s="40" t="inlineStr">
        <is>
          <t>21/22</t>
        </is>
      </c>
      <c r="F283" s="10" t="inlineStr">
        <is>
          <t xml:space="preserve"> Armada</t>
        </is>
      </c>
      <c r="G283" s="11" t="inlineStr">
        <is>
          <t xml:space="preserve"> Edollo</t>
        </is>
      </c>
      <c r="H283" s="13" t="n">
        <v>164</v>
      </c>
      <c r="I283" s="11" t="inlineStr">
        <is>
          <t xml:space="preserve"> Unisex</t>
        </is>
      </c>
      <c r="J283" s="13" t="n">
        <v>164</v>
      </c>
      <c r="K283" s="13" t="n">
        <v>162.1</v>
      </c>
      <c r="L283" s="13" t="n">
        <v>120</v>
      </c>
      <c r="M283" s="13" t="n">
        <v>143</v>
      </c>
      <c r="N283" s="13" t="n">
        <v>128</v>
      </c>
      <c r="O283" s="13" t="n">
        <v>97</v>
      </c>
      <c r="P283" s="13" t="n">
        <v>119</v>
      </c>
      <c r="Q283" s="13" t="n">
        <v>18.6</v>
      </c>
      <c r="R283" s="13" t="n">
        <v>1828</v>
      </c>
      <c r="S283" s="13" t="n">
        <v>0.9399999999999999</v>
      </c>
      <c r="T283" s="13" t="n">
        <v>1720</v>
      </c>
      <c r="U283" s="13" t="n">
        <v>164</v>
      </c>
      <c r="V283" s="13" t="n">
        <v>68</v>
      </c>
      <c r="W283" s="13" t="n">
        <v>48</v>
      </c>
      <c r="X283" s="13" t="n">
        <v>253</v>
      </c>
      <c r="Y283" s="13" t="n">
        <v>45</v>
      </c>
      <c r="Z283" s="13" t="n">
        <v>165</v>
      </c>
      <c r="AA283" s="13" t="n">
        <v>0.947</v>
      </c>
      <c r="AB283" s="13" t="n">
        <v>93</v>
      </c>
      <c r="AC283" s="13" t="n">
        <v>102</v>
      </c>
      <c r="AD283" s="13" t="n">
        <v>160</v>
      </c>
      <c r="AE283" s="13" t="n">
        <v>8</v>
      </c>
      <c r="AF283" s="13" t="n">
        <v>2.3</v>
      </c>
      <c r="AG283" s="11" t="inlineStr">
        <is>
          <t xml:space="preserve"> Freeski</t>
        </is>
      </c>
      <c r="AH283" s="13" t="n"/>
      <c r="AI283" s="13" t="n"/>
      <c r="AJ283" s="13" t="n"/>
      <c r="AK283" s="42" t="n"/>
    </row>
    <row r="284">
      <c r="E284" s="40" t="inlineStr">
        <is>
          <t>21/22</t>
        </is>
      </c>
      <c r="F284" s="10" t="inlineStr">
        <is>
          <t xml:space="preserve"> Armada</t>
        </is>
      </c>
      <c r="G284" s="11" t="inlineStr">
        <is>
          <t xml:space="preserve"> Edollo</t>
        </is>
      </c>
      <c r="H284" s="13" t="n">
        <v>172</v>
      </c>
      <c r="I284" s="11" t="inlineStr">
        <is>
          <t xml:space="preserve"> Unisex</t>
        </is>
      </c>
      <c r="J284" s="13" t="n">
        <v>172</v>
      </c>
      <c r="K284" s="13" t="n">
        <v>170</v>
      </c>
      <c r="L284" s="13" t="n">
        <v>126</v>
      </c>
      <c r="M284" s="13" t="n">
        <v>150</v>
      </c>
      <c r="N284" s="13" t="n">
        <v>130</v>
      </c>
      <c r="O284" s="13" t="n">
        <v>97</v>
      </c>
      <c r="P284" s="13" t="n">
        <v>120</v>
      </c>
      <c r="Q284" s="13" t="n">
        <v>19.6</v>
      </c>
      <c r="R284" s="13" t="n">
        <v>1915</v>
      </c>
      <c r="S284" s="13" t="n">
        <v>0.95</v>
      </c>
      <c r="T284" s="13" t="n">
        <v>1816</v>
      </c>
      <c r="U284" s="13" t="n">
        <v>170</v>
      </c>
      <c r="V284" s="13" t="n">
        <v>87</v>
      </c>
      <c r="W284" s="13" t="n">
        <v>55</v>
      </c>
      <c r="X284" s="13" t="n">
        <v>273</v>
      </c>
      <c r="Y284" s="13" t="n">
        <v>46</v>
      </c>
      <c r="Z284" s="13" t="n">
        <v>168</v>
      </c>
      <c r="AA284" s="13" t="n">
        <v>0.841</v>
      </c>
      <c r="AB284" s="13" t="n">
        <v>96</v>
      </c>
      <c r="AC284" s="13" t="n">
        <v>101</v>
      </c>
      <c r="AD284" s="13" t="n">
        <v>176</v>
      </c>
      <c r="AE284" s="13" t="n">
        <v>7</v>
      </c>
      <c r="AF284" s="13" t="n">
        <v>3.5</v>
      </c>
      <c r="AG284" s="11" t="inlineStr">
        <is>
          <t xml:space="preserve"> Resort Freeride</t>
        </is>
      </c>
      <c r="AH284" s="11" t="inlineStr">
        <is>
          <t xml:space="preserve"> Freeski</t>
        </is>
      </c>
      <c r="AI284" s="13" t="n"/>
      <c r="AJ284" s="13" t="n"/>
      <c r="AK284" s="42" t="n"/>
    </row>
    <row r="285">
      <c r="E285" s="40" t="inlineStr">
        <is>
          <t>21/22</t>
        </is>
      </c>
      <c r="F285" s="10" t="inlineStr">
        <is>
          <t xml:space="preserve"> Armada</t>
        </is>
      </c>
      <c r="G285" s="11" t="inlineStr">
        <is>
          <t xml:space="preserve"> Edollo</t>
        </is>
      </c>
      <c r="H285" s="13" t="n">
        <v>180</v>
      </c>
      <c r="I285" s="11" t="inlineStr">
        <is>
          <t xml:space="preserve"> Unisex</t>
        </is>
      </c>
      <c r="J285" s="13" t="n">
        <v>180</v>
      </c>
      <c r="K285" s="13" t="n">
        <v>178</v>
      </c>
      <c r="L285" s="13" t="n">
        <v>134</v>
      </c>
      <c r="M285" s="13" t="n">
        <v>159</v>
      </c>
      <c r="N285" s="13" t="n">
        <v>132</v>
      </c>
      <c r="O285" s="13" t="n">
        <v>97</v>
      </c>
      <c r="P285" s="13" t="n">
        <v>122</v>
      </c>
      <c r="Q285" s="13" t="n">
        <v>20.4</v>
      </c>
      <c r="R285" s="13" t="n">
        <v>2021</v>
      </c>
      <c r="S285" s="13" t="n">
        <v>0.95</v>
      </c>
      <c r="T285" s="13" t="n">
        <v>1913</v>
      </c>
      <c r="U285" s="13" t="n">
        <v>198</v>
      </c>
      <c r="V285" s="13" t="n">
        <v>87</v>
      </c>
      <c r="W285" s="13" t="n">
        <v>50</v>
      </c>
      <c r="X285" s="13" t="n">
        <v>266</v>
      </c>
      <c r="Y285" s="13" t="n">
        <v>48</v>
      </c>
      <c r="Z285" s="13" t="n">
        <v>172</v>
      </c>
      <c r="AA285" s="13" t="n">
        <v>0.957</v>
      </c>
      <c r="AB285" s="13" t="n">
        <v>87</v>
      </c>
      <c r="AC285" s="13" t="n">
        <v>98</v>
      </c>
      <c r="AD285" s="13" t="n">
        <v>179</v>
      </c>
      <c r="AE285" s="13" t="n">
        <v>8</v>
      </c>
      <c r="AF285" s="13" t="n">
        <v>3.2</v>
      </c>
      <c r="AG285" s="11" t="inlineStr">
        <is>
          <t xml:space="preserve"> Freeski</t>
        </is>
      </c>
      <c r="AH285" s="13" t="n"/>
      <c r="AI285" s="13" t="n"/>
      <c r="AJ285" s="13" t="n"/>
      <c r="AK285" s="42" t="n"/>
    </row>
    <row r="286">
      <c r="E286" s="40" t="inlineStr">
        <is>
          <t>21/22</t>
        </is>
      </c>
      <c r="F286" s="10" t="inlineStr">
        <is>
          <t xml:space="preserve"> Armada</t>
        </is>
      </c>
      <c r="G286" s="11" t="inlineStr">
        <is>
          <t xml:space="preserve"> Magic J</t>
        </is>
      </c>
      <c r="H286" s="13" t="n">
        <v>180</v>
      </c>
      <c r="I286" s="11" t="inlineStr">
        <is>
          <t xml:space="preserve"> Unisex</t>
        </is>
      </c>
      <c r="J286" s="13" t="n">
        <v>180</v>
      </c>
      <c r="K286" s="13" t="n">
        <v>178.7</v>
      </c>
      <c r="L286" s="13" t="n">
        <v>99</v>
      </c>
      <c r="M286" s="13" t="n">
        <v>115</v>
      </c>
      <c r="N286" s="13" t="n">
        <v>142</v>
      </c>
      <c r="O286" s="13" t="n">
        <v>125</v>
      </c>
      <c r="P286" s="13" t="n">
        <v>139</v>
      </c>
      <c r="Q286" s="13" t="n">
        <v>17.9</v>
      </c>
      <c r="R286" s="13" t="n">
        <v>2353</v>
      </c>
      <c r="S286" s="13" t="n">
        <v>1</v>
      </c>
      <c r="T286" s="13" t="n">
        <v>2343</v>
      </c>
      <c r="U286" s="13" t="n">
        <v>264</v>
      </c>
      <c r="V286" s="13" t="n">
        <v>128</v>
      </c>
      <c r="W286" s="13" t="n">
        <v>60</v>
      </c>
      <c r="X286" s="13" t="n">
        <v>414</v>
      </c>
      <c r="Y286" s="13" t="n">
        <v>58</v>
      </c>
      <c r="Z286" s="13" t="n">
        <v>383</v>
      </c>
      <c r="AA286" s="13" t="n">
        <v>0.969</v>
      </c>
      <c r="AB286" s="13" t="n">
        <v>325</v>
      </c>
      <c r="AC286" s="13" t="n">
        <v>311</v>
      </c>
      <c r="AD286" s="13" t="n">
        <v>89</v>
      </c>
      <c r="AE286" s="13" t="n">
        <v>7</v>
      </c>
      <c r="AF286" s="13" t="n">
        <v>4.7</v>
      </c>
      <c r="AG286" s="11" t="inlineStr">
        <is>
          <t xml:space="preserve"> Freeski</t>
        </is>
      </c>
      <c r="AH286" s="11" t="inlineStr">
        <is>
          <t xml:space="preserve"> Powder</t>
        </is>
      </c>
      <c r="AI286" s="13" t="n"/>
      <c r="AJ286" s="13" t="n"/>
      <c r="AK286" s="42" t="n"/>
    </row>
    <row r="287">
      <c r="E287" s="40" t="inlineStr">
        <is>
          <t>21/22</t>
        </is>
      </c>
      <c r="F287" s="10" t="inlineStr">
        <is>
          <t xml:space="preserve"> Armada</t>
        </is>
      </c>
      <c r="G287" s="11" t="inlineStr">
        <is>
          <t xml:space="preserve"> Magic J</t>
        </is>
      </c>
      <c r="H287" s="13" t="n">
        <v>190</v>
      </c>
      <c r="I287" s="11" t="inlineStr">
        <is>
          <t xml:space="preserve"> Unisex</t>
        </is>
      </c>
      <c r="J287" s="13" t="n">
        <v>190</v>
      </c>
      <c r="K287" s="13" t="n">
        <v>188.7</v>
      </c>
      <c r="L287" s="13" t="n">
        <v>110</v>
      </c>
      <c r="M287" s="13" t="n">
        <v>126</v>
      </c>
      <c r="N287" s="13" t="n">
        <v>142</v>
      </c>
      <c r="O287" s="13" t="n">
        <v>125</v>
      </c>
      <c r="P287" s="13" t="n">
        <v>139</v>
      </c>
      <c r="Q287" s="13" t="n">
        <v>22.7</v>
      </c>
      <c r="R287" s="13" t="n">
        <v>2529</v>
      </c>
      <c r="S287" s="13" t="n">
        <v>0.98</v>
      </c>
      <c r="T287" s="13" t="n">
        <v>2479</v>
      </c>
      <c r="U287" s="13" t="n">
        <v>266</v>
      </c>
      <c r="V287" s="13" t="n">
        <v>133</v>
      </c>
      <c r="W287" s="13" t="n">
        <v>56</v>
      </c>
      <c r="X287" s="13" t="n">
        <v>410</v>
      </c>
      <c r="Y287" s="13" t="n">
        <v>58</v>
      </c>
      <c r="Z287" s="13" t="n">
        <v>375</v>
      </c>
      <c r="AA287" s="13" t="n">
        <v>1.043</v>
      </c>
      <c r="AB287" s="13" t="n">
        <v>333</v>
      </c>
      <c r="AC287" s="13" t="n">
        <v>294</v>
      </c>
      <c r="AD287" s="13" t="n">
        <v>77</v>
      </c>
      <c r="AE287" s="13" t="n">
        <v>8</v>
      </c>
      <c r="AF287" s="13" t="n">
        <v>4.3</v>
      </c>
      <c r="AG287" s="11" t="inlineStr">
        <is>
          <t xml:space="preserve"> Freeski</t>
        </is>
      </c>
      <c r="AH287" s="11" t="inlineStr">
        <is>
          <t xml:space="preserve"> Powder</t>
        </is>
      </c>
      <c r="AI287" s="13" t="n"/>
      <c r="AJ287" s="13" t="n"/>
      <c r="AK287" s="42" t="n"/>
    </row>
    <row r="288">
      <c r="E288" s="40" t="inlineStr">
        <is>
          <t>21/22</t>
        </is>
      </c>
      <c r="F288" s="10" t="inlineStr">
        <is>
          <t xml:space="preserve"> Armada</t>
        </is>
      </c>
      <c r="G288" s="11" t="inlineStr">
        <is>
          <t>Reliance 102 Ti</t>
        </is>
      </c>
      <c r="H288" s="13" t="n">
        <v>164</v>
      </c>
      <c r="I288" s="11" t="inlineStr">
        <is>
          <t xml:space="preserve"> Women's</t>
        </is>
      </c>
      <c r="J288" s="13" t="n">
        <v>164</v>
      </c>
      <c r="K288" s="13" t="n">
        <v>163.5</v>
      </c>
      <c r="L288" s="13" t="n">
        <v>117</v>
      </c>
      <c r="M288" s="13" t="n">
        <v>136</v>
      </c>
      <c r="N288" s="13" t="n">
        <v>132</v>
      </c>
      <c r="O288" s="13" t="n">
        <v>101</v>
      </c>
      <c r="P288" s="13" t="n">
        <v>122</v>
      </c>
      <c r="Q288" s="13" t="n">
        <v>16.9</v>
      </c>
      <c r="R288" s="13" t="n">
        <v>1707</v>
      </c>
      <c r="S288" s="13" t="n">
        <v>1.07</v>
      </c>
      <c r="T288" s="13" t="n">
        <v>1819</v>
      </c>
      <c r="U288" s="13" t="n">
        <v>190</v>
      </c>
      <c r="V288" s="13" t="n">
        <v>112</v>
      </c>
      <c r="W288" s="13" t="n">
        <v>53</v>
      </c>
      <c r="X288" s="13" t="n">
        <v>304</v>
      </c>
      <c r="Y288" s="13" t="n">
        <v>18</v>
      </c>
      <c r="Z288" s="13" t="n">
        <v>157</v>
      </c>
      <c r="AA288" s="13" t="n">
        <v>0.33</v>
      </c>
      <c r="AB288" s="13" t="n">
        <v>162</v>
      </c>
      <c r="AC288" s="13" t="n">
        <v>116</v>
      </c>
      <c r="AD288" s="13" t="n">
        <v>142</v>
      </c>
      <c r="AE288" s="13" t="n">
        <v>4</v>
      </c>
      <c r="AF288" s="13" t="n">
        <v>7.5</v>
      </c>
      <c r="AG288" s="11" t="inlineStr">
        <is>
          <t xml:space="preserve"> Resort Freeride</t>
        </is>
      </c>
      <c r="AH288" s="11" t="inlineStr">
        <is>
          <t xml:space="preserve"> Big Mountain</t>
        </is>
      </c>
      <c r="AI288" s="11" t="inlineStr">
        <is>
          <t xml:space="preserve"> Touring</t>
        </is>
      </c>
      <c r="AJ288" s="13" t="n"/>
      <c r="AK288" s="42" t="n"/>
    </row>
    <row r="289">
      <c r="E289" s="40" t="inlineStr">
        <is>
          <t>21/22</t>
        </is>
      </c>
      <c r="F289" s="10" t="inlineStr">
        <is>
          <t xml:space="preserve"> Armada</t>
        </is>
      </c>
      <c r="G289" s="11" t="inlineStr">
        <is>
          <t>Reliance 102 Ti</t>
        </is>
      </c>
      <c r="H289" s="13" t="n">
        <v>172</v>
      </c>
      <c r="I289" s="11" t="inlineStr">
        <is>
          <t xml:space="preserve"> Women's</t>
        </is>
      </c>
      <c r="J289" s="13" t="n">
        <v>172</v>
      </c>
      <c r="K289" s="13" t="n">
        <v>171.4</v>
      </c>
      <c r="L289" s="13" t="n">
        <v>127</v>
      </c>
      <c r="M289" s="13" t="n">
        <v>141</v>
      </c>
      <c r="N289" s="13" t="n">
        <v>133</v>
      </c>
      <c r="O289" s="13" t="n">
        <v>101</v>
      </c>
      <c r="P289" s="13" t="n">
        <v>123</v>
      </c>
      <c r="Q289" s="13" t="n">
        <v>17.4</v>
      </c>
      <c r="R289" s="13" t="n">
        <v>1873</v>
      </c>
      <c r="S289" s="13" t="n">
        <v>1.02</v>
      </c>
      <c r="T289" s="13" t="n">
        <v>1917</v>
      </c>
      <c r="U289" s="13" t="n">
        <v>213</v>
      </c>
      <c r="V289" s="13" t="n">
        <v>131</v>
      </c>
      <c r="W289" s="13" t="n">
        <v>52</v>
      </c>
      <c r="X289" s="13" t="n">
        <v>285</v>
      </c>
      <c r="Y289" s="13" t="n">
        <v>17</v>
      </c>
      <c r="Z289" s="13" t="n">
        <v>161</v>
      </c>
      <c r="AA289" s="13" t="n">
        <v>0.336</v>
      </c>
      <c r="AB289" s="13" t="n">
        <v>181</v>
      </c>
      <c r="AC289" s="13" t="n">
        <v>127</v>
      </c>
      <c r="AD289" s="13" t="n">
        <v>105</v>
      </c>
      <c r="AE289" s="13" t="n">
        <v>8</v>
      </c>
      <c r="AF289" s="13" t="n">
        <v>8.4</v>
      </c>
      <c r="AG289" s="11" t="inlineStr">
        <is>
          <t xml:space="preserve"> Resort Freeride</t>
        </is>
      </c>
      <c r="AH289" s="11" t="inlineStr">
        <is>
          <t xml:space="preserve"> Big Mountain</t>
        </is>
      </c>
      <c r="AI289" s="13" t="n"/>
      <c r="AJ289" s="13" t="n"/>
      <c r="AK289" s="42" t="n"/>
    </row>
    <row r="290">
      <c r="E290" s="40" t="inlineStr">
        <is>
          <t>21/22</t>
        </is>
      </c>
      <c r="F290" s="10" t="inlineStr">
        <is>
          <t xml:space="preserve"> Armada</t>
        </is>
      </c>
      <c r="G290" s="11" t="inlineStr">
        <is>
          <t>Reliance 82 Ti</t>
        </is>
      </c>
      <c r="H290" s="13" t="n">
        <v>150</v>
      </c>
      <c r="I290" s="11" t="inlineStr">
        <is>
          <t xml:space="preserve"> Women's</t>
        </is>
      </c>
      <c r="J290" s="13" t="n">
        <v>150</v>
      </c>
      <c r="K290" s="13" t="n">
        <v>149.7</v>
      </c>
      <c r="L290" s="13" t="n">
        <v>124</v>
      </c>
      <c r="M290" s="13" t="n">
        <v>135</v>
      </c>
      <c r="N290" s="13" t="n">
        <v>121</v>
      </c>
      <c r="O290" s="13" t="n">
        <v>81</v>
      </c>
      <c r="P290" s="13" t="n">
        <v>107</v>
      </c>
      <c r="Q290" s="13" t="n">
        <v>14</v>
      </c>
      <c r="R290" s="13" t="n">
        <v>1348</v>
      </c>
      <c r="S290" s="13" t="n">
        <v>1.04</v>
      </c>
      <c r="T290" s="13" t="n">
        <v>1398</v>
      </c>
      <c r="U290" s="13" t="n">
        <v>161</v>
      </c>
      <c r="V290" s="13" t="n">
        <v>97</v>
      </c>
      <c r="W290" s="13" t="n">
        <v>35</v>
      </c>
      <c r="X290" s="13" t="n">
        <v>164</v>
      </c>
      <c r="Y290" s="13" t="n">
        <v>10</v>
      </c>
      <c r="Z290" s="13" t="n">
        <v>96</v>
      </c>
      <c r="AA290" s="13" t="n">
        <v>0.286</v>
      </c>
      <c r="AB290" s="13" t="n">
        <v>91</v>
      </c>
      <c r="AC290" s="13" t="n">
        <v>53</v>
      </c>
      <c r="AD290" s="13" t="n">
        <v>73</v>
      </c>
      <c r="AE290" s="13" t="n">
        <v>7</v>
      </c>
      <c r="AF290" s="13" t="n">
        <v>8.199999999999999</v>
      </c>
      <c r="AG290" s="11" t="inlineStr">
        <is>
          <t xml:space="preserve"> Resort Freeride</t>
        </is>
      </c>
      <c r="AH290" s="13" t="n"/>
      <c r="AI290" s="13" t="n"/>
      <c r="AJ290" s="13" t="n"/>
      <c r="AK290" s="42" t="n"/>
    </row>
    <row r="291">
      <c r="E291" s="40" t="inlineStr">
        <is>
          <t>21/22</t>
        </is>
      </c>
      <c r="F291" s="10" t="inlineStr">
        <is>
          <t xml:space="preserve"> Armada</t>
        </is>
      </c>
      <c r="G291" s="11" t="inlineStr">
        <is>
          <t>Reliance 82 Ti</t>
        </is>
      </c>
      <c r="H291" s="13" t="n">
        <v>166</v>
      </c>
      <c r="I291" s="11" t="inlineStr">
        <is>
          <t xml:space="preserve"> Women's</t>
        </is>
      </c>
      <c r="J291" s="13" t="n">
        <v>166</v>
      </c>
      <c r="K291" s="13" t="n">
        <v>165.5</v>
      </c>
      <c r="L291" s="13" t="n">
        <v>138</v>
      </c>
      <c r="M291" s="13" t="n">
        <v>149</v>
      </c>
      <c r="N291" s="13" t="n">
        <v>125</v>
      </c>
      <c r="O291" s="13" t="n">
        <v>81</v>
      </c>
      <c r="P291" s="13" t="n">
        <v>108</v>
      </c>
      <c r="Q291" s="13" t="n">
        <v>15.4</v>
      </c>
      <c r="R291" s="13" t="n">
        <v>1533</v>
      </c>
      <c r="S291" s="13" t="n">
        <v>1.02</v>
      </c>
      <c r="T291" s="13" t="n">
        <v>1569</v>
      </c>
      <c r="U291" s="13" t="n">
        <v>205</v>
      </c>
      <c r="V291" s="13" t="n">
        <v>122</v>
      </c>
      <c r="W291" s="13" t="n">
        <v>36</v>
      </c>
      <c r="X291" s="13" t="n">
        <v>176</v>
      </c>
      <c r="Y291" s="13" t="n">
        <v>10</v>
      </c>
      <c r="Z291" s="13" t="n">
        <v>104</v>
      </c>
      <c r="AA291" s="13" t="n">
        <v>0.269</v>
      </c>
      <c r="AB291" s="13" t="n">
        <v>112</v>
      </c>
      <c r="AC291" s="13" t="n">
        <v>55</v>
      </c>
      <c r="AD291" s="13" t="n">
        <v>64</v>
      </c>
      <c r="AE291" s="13" t="n">
        <v>9</v>
      </c>
      <c r="AF291" s="13" t="n">
        <v>10.3</v>
      </c>
      <c r="AG291" s="11" t="inlineStr">
        <is>
          <t xml:space="preserve"> On-Piste All-Mountain</t>
        </is>
      </c>
      <c r="AH291" s="11" t="inlineStr">
        <is>
          <t xml:space="preserve"> Resort Freeride</t>
        </is>
      </c>
      <c r="AI291" s="13" t="n"/>
      <c r="AJ291" s="13" t="n"/>
      <c r="AK291" s="42" t="n"/>
    </row>
    <row r="292">
      <c r="E292" s="40" t="inlineStr">
        <is>
          <t>21/22</t>
        </is>
      </c>
      <c r="F292" s="10" t="inlineStr">
        <is>
          <t xml:space="preserve"> Armada</t>
        </is>
      </c>
      <c r="G292" s="11" t="inlineStr">
        <is>
          <t>Reliance 82 Ti</t>
        </is>
      </c>
      <c r="H292" s="13" t="n">
        <v>174</v>
      </c>
      <c r="I292" s="11" t="inlineStr">
        <is>
          <t xml:space="preserve"> Women's</t>
        </is>
      </c>
      <c r="J292" s="13" t="n">
        <v>174</v>
      </c>
      <c r="K292" s="13" t="n">
        <v>173.3</v>
      </c>
      <c r="L292" s="13" t="n">
        <v>142</v>
      </c>
      <c r="M292" s="13" t="n">
        <v>155</v>
      </c>
      <c r="N292" s="13" t="n">
        <v>127</v>
      </c>
      <c r="O292" s="13" t="n">
        <v>81</v>
      </c>
      <c r="P292" s="13" t="n">
        <v>109</v>
      </c>
      <c r="Q292" s="13" t="n">
        <v>15.9</v>
      </c>
      <c r="R292" s="13" t="n">
        <v>1650</v>
      </c>
      <c r="S292" s="13" t="n">
        <v>1</v>
      </c>
      <c r="T292" s="13" t="n">
        <v>1654</v>
      </c>
      <c r="U292" s="13" t="n">
        <v>245</v>
      </c>
      <c r="V292" s="13" t="n">
        <v>133</v>
      </c>
      <c r="W292" s="13" t="n">
        <v>45</v>
      </c>
      <c r="X292" s="13" t="n">
        <v>197</v>
      </c>
      <c r="Y292" s="13" t="n">
        <v>11</v>
      </c>
      <c r="Z292" s="13" t="n">
        <v>115</v>
      </c>
      <c r="AA292" s="13" t="n">
        <v>0.248</v>
      </c>
      <c r="AB292" s="13" t="n">
        <v>115</v>
      </c>
      <c r="AC292" s="13" t="n">
        <v>70</v>
      </c>
      <c r="AD292" s="13" t="n">
        <v>82</v>
      </c>
      <c r="AE292" s="13" t="n">
        <v>10</v>
      </c>
      <c r="AF292" s="13" t="n">
        <v>9.6</v>
      </c>
      <c r="AG292" s="11" t="inlineStr">
        <is>
          <t xml:space="preserve"> On-Piste All-Mountain</t>
        </is>
      </c>
      <c r="AH292" s="11" t="inlineStr">
        <is>
          <t xml:space="preserve"> Resort Freeride</t>
        </is>
      </c>
      <c r="AI292" s="13" t="n"/>
      <c r="AJ292" s="13" t="n"/>
      <c r="AK292" s="42" t="n"/>
    </row>
    <row r="293">
      <c r="E293" s="40" t="inlineStr">
        <is>
          <t>21/22</t>
        </is>
      </c>
      <c r="F293" s="10" t="inlineStr">
        <is>
          <t xml:space="preserve"> Armada</t>
        </is>
      </c>
      <c r="G293" s="11" t="inlineStr">
        <is>
          <t>Reliance 88 Ca</t>
        </is>
      </c>
      <c r="H293" s="13" t="n">
        <v>152</v>
      </c>
      <c r="I293" s="11" t="inlineStr">
        <is>
          <t xml:space="preserve"> Women's</t>
        </is>
      </c>
      <c r="J293" s="13" t="n">
        <v>152</v>
      </c>
      <c r="K293" s="13" t="n">
        <v>152</v>
      </c>
      <c r="L293" s="13" t="n">
        <v>124</v>
      </c>
      <c r="M293" s="13" t="n">
        <v>134</v>
      </c>
      <c r="N293" s="13" t="n">
        <v>124</v>
      </c>
      <c r="O293" s="13" t="n">
        <v>87</v>
      </c>
      <c r="P293" s="13" t="n">
        <v>106</v>
      </c>
      <c r="Q293" s="13" t="n">
        <v>15.9</v>
      </c>
      <c r="R293" s="13" t="n">
        <v>1345</v>
      </c>
      <c r="S293" s="13" t="n">
        <v>1.11</v>
      </c>
      <c r="T293" s="13" t="n">
        <v>1488</v>
      </c>
      <c r="U293" s="13" t="n">
        <v>178</v>
      </c>
      <c r="V293" s="13" t="n">
        <v>85</v>
      </c>
      <c r="W293" s="13" t="n">
        <v>41</v>
      </c>
      <c r="X293" s="13" t="n">
        <v>177</v>
      </c>
      <c r="Y293" s="13" t="n">
        <v>9</v>
      </c>
      <c r="Z293" s="13" t="n">
        <v>99</v>
      </c>
      <c r="AA293" s="13" t="n">
        <v>0.218</v>
      </c>
      <c r="AB293" s="13" t="n">
        <v>110</v>
      </c>
      <c r="AC293" s="13" t="n">
        <v>66</v>
      </c>
      <c r="AD293" s="13" t="n">
        <v>67</v>
      </c>
      <c r="AE293" s="13" t="n">
        <v>5</v>
      </c>
      <c r="AF293" s="13" t="n">
        <v>10.6</v>
      </c>
      <c r="AG293" s="11" t="inlineStr">
        <is>
          <t xml:space="preserve"> Resort Freeride</t>
        </is>
      </c>
      <c r="AH293" s="11" t="inlineStr">
        <is>
          <t xml:space="preserve"> Touring</t>
        </is>
      </c>
      <c r="AI293" s="13" t="n"/>
      <c r="AJ293" s="13" t="n"/>
      <c r="AK293" s="42" t="n"/>
    </row>
    <row r="294">
      <c r="E294" s="40" t="inlineStr">
        <is>
          <t>21/22</t>
        </is>
      </c>
      <c r="F294" s="10" t="inlineStr">
        <is>
          <t xml:space="preserve"> Armada</t>
        </is>
      </c>
      <c r="G294" s="11" t="inlineStr">
        <is>
          <t>Reliance 88 Ca</t>
        </is>
      </c>
      <c r="H294" s="13" t="n">
        <v>160</v>
      </c>
      <c r="I294" s="11" t="inlineStr">
        <is>
          <t xml:space="preserve"> Women's</t>
        </is>
      </c>
      <c r="J294" s="13" t="n">
        <v>160</v>
      </c>
      <c r="K294" s="13" t="n">
        <v>159.5</v>
      </c>
      <c r="L294" s="13" t="n">
        <v>132</v>
      </c>
      <c r="M294" s="13" t="n">
        <v>142</v>
      </c>
      <c r="N294" s="13" t="n">
        <v>127</v>
      </c>
      <c r="O294" s="13" t="n">
        <v>87</v>
      </c>
      <c r="P294" s="13" t="n">
        <v>109</v>
      </c>
      <c r="Q294" s="13" t="n">
        <v>16.3</v>
      </c>
      <c r="R294" s="13" t="n">
        <v>1478</v>
      </c>
      <c r="S294" s="13" t="n">
        <v>1.06</v>
      </c>
      <c r="T294" s="13" t="n">
        <v>1574</v>
      </c>
      <c r="U294" s="13" t="n">
        <v>222</v>
      </c>
      <c r="V294" s="13" t="n">
        <v>104</v>
      </c>
      <c r="W294" s="13" t="n">
        <v>39</v>
      </c>
      <c r="X294" s="13" t="n">
        <v>172</v>
      </c>
      <c r="Y294" s="13" t="n">
        <v>10</v>
      </c>
      <c r="Z294" s="13" t="n">
        <v>100</v>
      </c>
      <c r="AA294" s="13" t="n">
        <v>0.245</v>
      </c>
      <c r="AB294" s="13" t="n">
        <v>112</v>
      </c>
      <c r="AC294" s="13" t="n">
        <v>62</v>
      </c>
      <c r="AD294" s="13" t="n">
        <v>60</v>
      </c>
      <c r="AE294" s="13" t="n">
        <v>5</v>
      </c>
      <c r="AF294" s="13" t="n">
        <v>11.4</v>
      </c>
      <c r="AG294" s="11" t="inlineStr">
        <is>
          <t xml:space="preserve"> Resort Freeride</t>
        </is>
      </c>
      <c r="AH294" s="11" t="inlineStr">
        <is>
          <t xml:space="preserve"> Touring</t>
        </is>
      </c>
      <c r="AI294" s="13" t="n"/>
      <c r="AJ294" s="13" t="n"/>
      <c r="AK294" s="42" t="n"/>
    </row>
    <row r="295">
      <c r="E295" s="40" t="inlineStr">
        <is>
          <t>21/22</t>
        </is>
      </c>
      <c r="F295" s="10" t="inlineStr">
        <is>
          <t xml:space="preserve"> Armada</t>
        </is>
      </c>
      <c r="G295" s="11" t="inlineStr">
        <is>
          <t>Reliance 88 Ca</t>
        </is>
      </c>
      <c r="H295" s="13" t="n">
        <v>168</v>
      </c>
      <c r="I295" s="11" t="inlineStr">
        <is>
          <t xml:space="preserve"> Women's</t>
        </is>
      </c>
      <c r="J295" s="13" t="n">
        <v>168</v>
      </c>
      <c r="K295" s="13" t="n">
        <v>167.4</v>
      </c>
      <c r="L295" s="13" t="n">
        <v>138</v>
      </c>
      <c r="M295" s="13" t="n">
        <v>149</v>
      </c>
      <c r="N295" s="13" t="n">
        <v>128</v>
      </c>
      <c r="O295" s="13" t="n">
        <v>87</v>
      </c>
      <c r="P295" s="13" t="n">
        <v>109</v>
      </c>
      <c r="Q295" s="13" t="n">
        <v>16.9</v>
      </c>
      <c r="R295" s="13" t="n">
        <v>1550</v>
      </c>
      <c r="S295" s="13" t="n">
        <v>1.07</v>
      </c>
      <c r="T295" s="13" t="n">
        <v>1664</v>
      </c>
      <c r="U295" s="13" t="n">
        <v>243</v>
      </c>
      <c r="V295" s="13" t="n">
        <v>106</v>
      </c>
      <c r="W295" s="13" t="n">
        <v>41</v>
      </c>
      <c r="X295" s="13" t="n">
        <v>186</v>
      </c>
      <c r="Y295" s="13" t="n">
        <v>11</v>
      </c>
      <c r="Z295" s="13" t="n">
        <v>112</v>
      </c>
      <c r="AA295" s="13" t="n">
        <v>0.258</v>
      </c>
      <c r="AB295" s="13" t="n">
        <v>114</v>
      </c>
      <c r="AC295" s="13" t="n">
        <v>74</v>
      </c>
      <c r="AD295" s="13" t="n">
        <v>72</v>
      </c>
      <c r="AE295" s="13" t="n">
        <v>5</v>
      </c>
      <c r="AF295" s="13" t="n">
        <v>11.8</v>
      </c>
      <c r="AG295" s="11" t="inlineStr">
        <is>
          <t xml:space="preserve"> Resort Freeride</t>
        </is>
      </c>
      <c r="AH295" s="11" t="inlineStr">
        <is>
          <t xml:space="preserve"> Touring</t>
        </is>
      </c>
      <c r="AI295" s="13" t="n"/>
      <c r="AJ295" s="13" t="n"/>
      <c r="AK295" s="42" t="n"/>
    </row>
    <row r="296">
      <c r="E296" s="40" t="inlineStr">
        <is>
          <t>21/22</t>
        </is>
      </c>
      <c r="F296" s="10" t="inlineStr">
        <is>
          <t xml:space="preserve"> Armada</t>
        </is>
      </c>
      <c r="G296" s="11" t="inlineStr">
        <is>
          <t>Reliance 92 Ti</t>
        </is>
      </c>
      <c r="H296" s="13" t="n">
        <v>156</v>
      </c>
      <c r="I296" s="11" t="inlineStr">
        <is>
          <t xml:space="preserve"> Women's</t>
        </is>
      </c>
      <c r="J296" s="13" t="n">
        <v>156</v>
      </c>
      <c r="K296" s="13" t="n">
        <v>155.6</v>
      </c>
      <c r="L296" s="13" t="n">
        <v>119</v>
      </c>
      <c r="M296" s="13" t="n">
        <v>136</v>
      </c>
      <c r="N296" s="13" t="n">
        <v>128</v>
      </c>
      <c r="O296" s="13" t="n">
        <v>91</v>
      </c>
      <c r="P296" s="13" t="n">
        <v>114</v>
      </c>
      <c r="Q296" s="13" t="n">
        <v>15.5</v>
      </c>
      <c r="R296" s="13" t="n">
        <v>1492</v>
      </c>
      <c r="S296" s="13" t="n">
        <v>1.07</v>
      </c>
      <c r="T296" s="13" t="n">
        <v>1595</v>
      </c>
      <c r="U296" s="13" t="n">
        <v>169</v>
      </c>
      <c r="V296" s="13" t="n">
        <v>94</v>
      </c>
      <c r="W296" s="13" t="n">
        <v>43</v>
      </c>
      <c r="X296" s="13" t="n">
        <v>226</v>
      </c>
      <c r="Y296" s="13" t="n">
        <v>17</v>
      </c>
      <c r="Z296" s="13" t="n">
        <v>145</v>
      </c>
      <c r="AA296" s="13" t="n">
        <v>0.386</v>
      </c>
      <c r="AB296" s="13" t="n">
        <v>128</v>
      </c>
      <c r="AC296" s="13" t="n">
        <v>70</v>
      </c>
      <c r="AD296" s="13" t="n">
        <v>98</v>
      </c>
      <c r="AE296" s="13" t="n">
        <v>6</v>
      </c>
      <c r="AF296" s="13" t="n">
        <v>9.800000000000001</v>
      </c>
      <c r="AG296" s="11" t="inlineStr">
        <is>
          <t xml:space="preserve"> Resort Freeride</t>
        </is>
      </c>
      <c r="AH296" s="11" t="inlineStr">
        <is>
          <t xml:space="preserve"> Touring</t>
        </is>
      </c>
      <c r="AI296" s="13" t="n"/>
      <c r="AJ296" s="13" t="n"/>
      <c r="AK296" s="42" t="n"/>
    </row>
    <row r="297">
      <c r="E297" s="40" t="inlineStr">
        <is>
          <t>21/22</t>
        </is>
      </c>
      <c r="F297" s="10" t="inlineStr">
        <is>
          <t xml:space="preserve"> Armada</t>
        </is>
      </c>
      <c r="G297" s="11" t="inlineStr">
        <is>
          <t>Reliance 92 Ti</t>
        </is>
      </c>
      <c r="H297" s="13" t="n">
        <v>164</v>
      </c>
      <c r="I297" s="11" t="inlineStr">
        <is>
          <t xml:space="preserve"> Women's</t>
        </is>
      </c>
      <c r="J297" s="13" t="n">
        <v>164</v>
      </c>
      <c r="K297" s="13" t="n">
        <v>163.6</v>
      </c>
      <c r="L297" s="13" t="n">
        <v>126</v>
      </c>
      <c r="M297" s="13" t="n">
        <v>143</v>
      </c>
      <c r="N297" s="13" t="n">
        <v>129</v>
      </c>
      <c r="O297" s="13" t="n">
        <v>91</v>
      </c>
      <c r="P297" s="13" t="n">
        <v>114</v>
      </c>
      <c r="Q297" s="13" t="n">
        <v>16.4</v>
      </c>
      <c r="R297" s="13" t="n">
        <v>1610</v>
      </c>
      <c r="S297" s="13" t="n">
        <v>1.05</v>
      </c>
      <c r="T297" s="13" t="n">
        <v>1687</v>
      </c>
      <c r="U297" s="13" t="n">
        <v>203</v>
      </c>
      <c r="V297" s="13" t="n">
        <v>125</v>
      </c>
      <c r="W297" s="13" t="n">
        <v>40</v>
      </c>
      <c r="X297" s="13" t="n">
        <v>229</v>
      </c>
      <c r="Y297" s="13" t="n">
        <v>17</v>
      </c>
      <c r="Z297" s="13" t="n">
        <v>146</v>
      </c>
      <c r="AA297" s="13" t="n">
        <v>0.417</v>
      </c>
      <c r="AB297" s="13" t="n">
        <v>130</v>
      </c>
      <c r="AC297" s="13" t="n">
        <v>78</v>
      </c>
      <c r="AD297" s="13" t="n">
        <v>99</v>
      </c>
      <c r="AE297" s="13" t="n">
        <v>8</v>
      </c>
      <c r="AF297" s="13" t="n">
        <v>9.9</v>
      </c>
      <c r="AG297" s="11" t="inlineStr">
        <is>
          <t xml:space="preserve"> Resort Freeride</t>
        </is>
      </c>
      <c r="AH297" s="13" t="n"/>
      <c r="AI297" s="13" t="n"/>
      <c r="AJ297" s="13" t="n"/>
      <c r="AK297" s="42" t="n"/>
    </row>
    <row r="298">
      <c r="E298" s="40" t="inlineStr">
        <is>
          <t>21/22</t>
        </is>
      </c>
      <c r="F298" s="10" t="inlineStr">
        <is>
          <t xml:space="preserve"> Armada</t>
        </is>
      </c>
      <c r="G298" s="11" t="inlineStr">
        <is>
          <t>Reliance 92 Ti</t>
        </is>
      </c>
      <c r="H298" s="13" t="n">
        <v>172</v>
      </c>
      <c r="I298" s="11" t="inlineStr">
        <is>
          <t xml:space="preserve"> Women's</t>
        </is>
      </c>
      <c r="J298" s="13" t="n">
        <v>172</v>
      </c>
      <c r="K298" s="13" t="n">
        <v>172.1</v>
      </c>
      <c r="L298" s="13" t="n">
        <v>134</v>
      </c>
      <c r="M298" s="13" t="n">
        <v>149</v>
      </c>
      <c r="N298" s="13" t="n">
        <v>130</v>
      </c>
      <c r="O298" s="13" t="n">
        <v>91</v>
      </c>
      <c r="P298" s="13" t="n">
        <v>116</v>
      </c>
      <c r="Q298" s="13" t="n">
        <v>16.9</v>
      </c>
      <c r="R298" s="13" t="n">
        <v>1690</v>
      </c>
      <c r="S298" s="13" t="n">
        <v>1.05</v>
      </c>
      <c r="T298" s="13" t="n">
        <v>1780</v>
      </c>
      <c r="U298" s="13" t="n">
        <v>208</v>
      </c>
      <c r="V298" s="13" t="n">
        <v>140</v>
      </c>
      <c r="W298" s="13" t="n">
        <v>40</v>
      </c>
      <c r="X298" s="13" t="n">
        <v>237</v>
      </c>
      <c r="Y298" s="13" t="n">
        <v>16</v>
      </c>
      <c r="Z298" s="13" t="n">
        <v>145</v>
      </c>
      <c r="AA298" s="13" t="n">
        <v>0.409</v>
      </c>
      <c r="AB298" s="13" t="n">
        <v>147</v>
      </c>
      <c r="AC298" s="13" t="n">
        <v>87</v>
      </c>
      <c r="AD298" s="13" t="n">
        <v>90</v>
      </c>
      <c r="AE298" s="13" t="n">
        <v>9</v>
      </c>
      <c r="AF298" s="13" t="n">
        <v>9.6</v>
      </c>
      <c r="AG298" s="11" t="inlineStr">
        <is>
          <t xml:space="preserve"> Resort Freeride</t>
        </is>
      </c>
      <c r="AH298" s="11" t="inlineStr">
        <is>
          <t xml:space="preserve"> Touring</t>
        </is>
      </c>
      <c r="AI298" s="13" t="n"/>
      <c r="AJ298" s="13" t="n"/>
      <c r="AK298" s="42" t="n"/>
    </row>
    <row r="299">
      <c r="E299" s="40" t="inlineStr">
        <is>
          <t>21/22</t>
        </is>
      </c>
      <c r="F299" s="10" t="inlineStr">
        <is>
          <t xml:space="preserve"> Armada</t>
        </is>
      </c>
      <c r="G299" s="11" t="inlineStr">
        <is>
          <t xml:space="preserve"> Stranger</t>
        </is>
      </c>
      <c r="H299" s="13" t="n">
        <v>172</v>
      </c>
      <c r="I299" s="11" t="inlineStr">
        <is>
          <t xml:space="preserve"> Unisex</t>
        </is>
      </c>
      <c r="J299" s="13" t="n">
        <v>172</v>
      </c>
      <c r="K299" s="13" t="n">
        <v>170.9</v>
      </c>
      <c r="L299" s="13" t="n">
        <v>119</v>
      </c>
      <c r="M299" s="13" t="n">
        <v>140</v>
      </c>
      <c r="N299" s="13" t="n">
        <v>138</v>
      </c>
      <c r="O299" s="13" t="n">
        <v>99</v>
      </c>
      <c r="P299" s="13" t="n">
        <v>119</v>
      </c>
      <c r="Q299" s="13" t="n">
        <v>15.2</v>
      </c>
      <c r="R299" s="13" t="n">
        <v>2003</v>
      </c>
      <c r="S299" s="13" t="n">
        <v>0.96</v>
      </c>
      <c r="T299" s="13" t="n">
        <v>1924</v>
      </c>
      <c r="U299" s="13" t="n">
        <v>163</v>
      </c>
      <c r="V299" s="13" t="n">
        <v>75</v>
      </c>
      <c r="W299" s="13" t="n">
        <v>57</v>
      </c>
      <c r="X299" s="13" t="n">
        <v>294</v>
      </c>
      <c r="Y299" s="13" t="n">
        <v>35</v>
      </c>
      <c r="Z299" s="13" t="n">
        <v>226</v>
      </c>
      <c r="AA299" s="13" t="n">
        <v>0.605</v>
      </c>
      <c r="AB299" s="13" t="n">
        <v>196</v>
      </c>
      <c r="AC299" s="13" t="n">
        <v>111</v>
      </c>
      <c r="AD299" s="13" t="n">
        <v>97</v>
      </c>
      <c r="AE299" s="13" t="n">
        <v>8</v>
      </c>
      <c r="AF299" s="13" t="n">
        <v>10.1</v>
      </c>
      <c r="AG299" s="11" t="inlineStr">
        <is>
          <t xml:space="preserve"> Resort Freeride</t>
        </is>
      </c>
      <c r="AH299" s="13" t="n"/>
      <c r="AI299" s="13" t="n"/>
      <c r="AJ299" s="13" t="n"/>
      <c r="AK299" s="42" t="n"/>
    </row>
    <row r="300">
      <c r="E300" s="40" t="inlineStr">
        <is>
          <t>21/22</t>
        </is>
      </c>
      <c r="F300" s="10" t="inlineStr">
        <is>
          <t xml:space="preserve"> Armada</t>
        </is>
      </c>
      <c r="G300" s="11" t="inlineStr">
        <is>
          <t xml:space="preserve"> Stranger</t>
        </is>
      </c>
      <c r="H300" s="13" t="n">
        <v>180</v>
      </c>
      <c r="I300" s="11" t="inlineStr">
        <is>
          <t xml:space="preserve"> Unisex</t>
        </is>
      </c>
      <c r="J300" s="13" t="n">
        <v>180</v>
      </c>
      <c r="K300" s="13" t="n">
        <v>179.4</v>
      </c>
      <c r="L300" s="13" t="n">
        <v>125</v>
      </c>
      <c r="M300" s="13" t="n">
        <v>149</v>
      </c>
      <c r="N300" s="13" t="n">
        <v>138</v>
      </c>
      <c r="O300" s="13" t="n">
        <v>99</v>
      </c>
      <c r="P300" s="13" t="n">
        <v>120</v>
      </c>
      <c r="Q300" s="13" t="n">
        <v>16.1</v>
      </c>
      <c r="R300" s="13" t="n">
        <v>2185</v>
      </c>
      <c r="S300" s="13" t="n">
        <v>0.92</v>
      </c>
      <c r="T300" s="13" t="n">
        <v>2019</v>
      </c>
      <c r="U300" s="13" t="n">
        <v>191</v>
      </c>
      <c r="V300" s="13" t="n">
        <v>90</v>
      </c>
      <c r="W300" s="13" t="n">
        <v>61</v>
      </c>
      <c r="X300" s="13" t="n">
        <v>308</v>
      </c>
      <c r="Y300" s="13" t="n">
        <v>40</v>
      </c>
      <c r="Z300" s="13" t="n">
        <v>240</v>
      </c>
      <c r="AA300" s="13" t="n">
        <v>0.648</v>
      </c>
      <c r="AB300" s="13" t="n">
        <v>197</v>
      </c>
      <c r="AC300" s="13" t="n">
        <v>112</v>
      </c>
      <c r="AD300" s="13" t="n">
        <v>112</v>
      </c>
      <c r="AE300" s="13" t="n">
        <v>8</v>
      </c>
      <c r="AF300" s="13" t="n">
        <v>9.4</v>
      </c>
      <c r="AG300" s="11" t="inlineStr">
        <is>
          <t xml:space="preserve"> Resort Freeride</t>
        </is>
      </c>
      <c r="AH300" s="13" t="n"/>
      <c r="AI300" s="13" t="n"/>
      <c r="AJ300" s="13" t="n"/>
      <c r="AK300" s="42" t="n"/>
    </row>
    <row r="301">
      <c r="E301" s="40" t="inlineStr">
        <is>
          <t>21/22</t>
        </is>
      </c>
      <c r="F301" s="10" t="inlineStr">
        <is>
          <t xml:space="preserve"> Armada</t>
        </is>
      </c>
      <c r="G301" s="11" t="inlineStr">
        <is>
          <t xml:space="preserve"> Tantrum</t>
        </is>
      </c>
      <c r="H301" s="13" t="n">
        <v>138</v>
      </c>
      <c r="I301" s="11" t="inlineStr">
        <is>
          <t xml:space="preserve"> Junior</t>
        </is>
      </c>
      <c r="J301" s="13" t="n">
        <v>138</v>
      </c>
      <c r="K301" s="13" t="n">
        <v>137</v>
      </c>
      <c r="L301" s="13" t="n">
        <v>91</v>
      </c>
      <c r="M301" s="13" t="n">
        <v>100</v>
      </c>
      <c r="N301" s="13" t="n">
        <v>124</v>
      </c>
      <c r="O301" s="13" t="n">
        <v>97</v>
      </c>
      <c r="P301" s="13" t="n">
        <v>114</v>
      </c>
      <c r="Q301" s="13" t="n">
        <v>9.9</v>
      </c>
      <c r="R301" s="13" t="n">
        <v>1318</v>
      </c>
      <c r="S301" s="13" t="n">
        <v>1.11</v>
      </c>
      <c r="T301" s="13" t="n">
        <v>1457</v>
      </c>
      <c r="U301" s="13" t="n">
        <v>124</v>
      </c>
      <c r="V301" s="13" t="n">
        <v>61</v>
      </c>
      <c r="W301" s="13" t="n">
        <v>47</v>
      </c>
      <c r="X301" s="13" t="n">
        <v>313</v>
      </c>
      <c r="Y301" s="13" t="n">
        <v>31</v>
      </c>
      <c r="Z301" s="13" t="n">
        <v>144</v>
      </c>
      <c r="AA301" s="13" t="n">
        <v>0.668</v>
      </c>
      <c r="AB301" s="13" t="n">
        <v>229</v>
      </c>
      <c r="AC301" s="13" t="n">
        <v>137</v>
      </c>
      <c r="AD301" s="13" t="n">
        <v>84</v>
      </c>
      <c r="AE301" s="13" t="n">
        <v>8</v>
      </c>
      <c r="AF301" s="13" t="n">
        <v>6.9</v>
      </c>
      <c r="AG301" s="11" t="inlineStr">
        <is>
          <t xml:space="preserve"> Resort Freeride</t>
        </is>
      </c>
      <c r="AH301" s="11" t="inlineStr">
        <is>
          <t xml:space="preserve"> Touring</t>
        </is>
      </c>
      <c r="AI301" s="13" t="n"/>
      <c r="AJ301" s="13" t="n"/>
      <c r="AK301" s="42" t="n"/>
    </row>
    <row r="302">
      <c r="E302" s="40" t="inlineStr">
        <is>
          <t>21/22</t>
        </is>
      </c>
      <c r="F302" s="10" t="inlineStr">
        <is>
          <t xml:space="preserve"> Armada</t>
        </is>
      </c>
      <c r="G302" s="11" t="inlineStr">
        <is>
          <t xml:space="preserve"> Tantrum</t>
        </is>
      </c>
      <c r="H302" s="13" t="n">
        <v>147</v>
      </c>
      <c r="I302" s="11" t="inlineStr">
        <is>
          <t xml:space="preserve"> Junior</t>
        </is>
      </c>
      <c r="J302" s="13" t="n">
        <v>147</v>
      </c>
      <c r="K302" s="13" t="n">
        <v>146</v>
      </c>
      <c r="L302" s="13" t="n">
        <v>96</v>
      </c>
      <c r="M302" s="13" t="n">
        <v>106</v>
      </c>
      <c r="N302" s="13" t="n">
        <v>127</v>
      </c>
      <c r="O302" s="13" t="n">
        <v>98</v>
      </c>
      <c r="P302" s="13" t="n">
        <v>117</v>
      </c>
      <c r="Q302" s="13" t="n">
        <v>10.1</v>
      </c>
      <c r="R302" s="13" t="n">
        <v>1409</v>
      </c>
      <c r="S302" s="13" t="n">
        <v>1.13</v>
      </c>
      <c r="T302" s="13" t="n">
        <v>1591</v>
      </c>
      <c r="U302" s="13" t="n">
        <v>123</v>
      </c>
      <c r="V302" s="13" t="n">
        <v>71</v>
      </c>
      <c r="W302" s="13" t="n">
        <v>46</v>
      </c>
      <c r="X302" s="13" t="n">
        <v>349</v>
      </c>
      <c r="Y302" s="13" t="n">
        <v>34</v>
      </c>
      <c r="Z302" s="13" t="n">
        <v>152</v>
      </c>
      <c r="AA302" s="13" t="n">
        <v>0.741</v>
      </c>
      <c r="AB302" s="13" t="n">
        <v>262</v>
      </c>
      <c r="AC302" s="13" t="n">
        <v>135</v>
      </c>
      <c r="AD302" s="13" t="n">
        <v>87</v>
      </c>
      <c r="AE302" s="13" t="n">
        <v>8</v>
      </c>
      <c r="AF302" s="13" t="n">
        <v>8</v>
      </c>
      <c r="AG302" s="11" t="inlineStr">
        <is>
          <t xml:space="preserve"> Resort Freeride</t>
        </is>
      </c>
      <c r="AH302" s="11" t="inlineStr">
        <is>
          <t xml:space="preserve"> Touring</t>
        </is>
      </c>
      <c r="AI302" s="13" t="n"/>
      <c r="AJ302" s="13" t="n"/>
      <c r="AK302" s="42" t="n"/>
    </row>
    <row r="303">
      <c r="E303" s="40" t="inlineStr">
        <is>
          <t>21/22</t>
        </is>
      </c>
      <c r="F303" s="10" t="inlineStr">
        <is>
          <t xml:space="preserve"> Armada</t>
        </is>
      </c>
      <c r="G303" s="11" t="inlineStr">
        <is>
          <t>Trace 108</t>
        </is>
      </c>
      <c r="H303" s="13" t="n">
        <v>164</v>
      </c>
      <c r="I303" s="11" t="inlineStr">
        <is>
          <t xml:space="preserve"> Women's</t>
        </is>
      </c>
      <c r="J303" s="13" t="n">
        <v>164</v>
      </c>
      <c r="K303" s="13" t="n">
        <v>163.5</v>
      </c>
      <c r="L303" s="13" t="n">
        <v>114</v>
      </c>
      <c r="M303" s="13" t="n">
        <v>132</v>
      </c>
      <c r="N303" s="13" t="n">
        <v>131</v>
      </c>
      <c r="O303" s="13" t="n">
        <v>107</v>
      </c>
      <c r="P303" s="13" t="n">
        <v>124</v>
      </c>
      <c r="Q303" s="13" t="n">
        <v>17.4</v>
      </c>
      <c r="R303" s="13" t="n">
        <v>1466</v>
      </c>
      <c r="S303" s="13" t="n">
        <v>1.29</v>
      </c>
      <c r="T303" s="13" t="n">
        <v>1884</v>
      </c>
      <c r="U303" s="13" t="n">
        <v>145</v>
      </c>
      <c r="V303" s="13" t="n">
        <v>82</v>
      </c>
      <c r="W303" s="13" t="n">
        <v>43</v>
      </c>
      <c r="X303" s="13" t="n">
        <v>336</v>
      </c>
      <c r="Y303" s="13" t="n">
        <v>27</v>
      </c>
      <c r="Z303" s="13" t="n">
        <v>162</v>
      </c>
      <c r="AA303" s="13" t="n">
        <v>0.632</v>
      </c>
      <c r="AB303" s="13" t="n">
        <v>180</v>
      </c>
      <c r="AC303" s="13" t="n">
        <v>132</v>
      </c>
      <c r="AD303" s="13" t="n">
        <v>157</v>
      </c>
      <c r="AE303" s="13" t="n">
        <v>6</v>
      </c>
      <c r="AF303" s="13" t="n">
        <v>10</v>
      </c>
      <c r="AG303" s="11" t="inlineStr">
        <is>
          <t xml:space="preserve"> Powder</t>
        </is>
      </c>
      <c r="AH303" s="11" t="inlineStr">
        <is>
          <t xml:space="preserve"> Touring</t>
        </is>
      </c>
      <c r="AI303" s="11" t="inlineStr">
        <is>
          <t xml:space="preserve"> Ultralight Touring</t>
        </is>
      </c>
      <c r="AJ303" s="13" t="n"/>
      <c r="AK303" s="42" t="n"/>
    </row>
    <row r="304">
      <c r="E304" s="40" t="inlineStr">
        <is>
          <t>21/22</t>
        </is>
      </c>
      <c r="F304" s="10" t="inlineStr">
        <is>
          <t xml:space="preserve"> Armada</t>
        </is>
      </c>
      <c r="G304" s="11" t="inlineStr">
        <is>
          <t>Trace 108</t>
        </is>
      </c>
      <c r="H304" s="13" t="n">
        <v>172</v>
      </c>
      <c r="I304" s="11" t="inlineStr">
        <is>
          <t xml:space="preserve"> Women's</t>
        </is>
      </c>
      <c r="J304" s="13" t="n">
        <v>172</v>
      </c>
      <c r="K304" s="13" t="n">
        <v>171.3</v>
      </c>
      <c r="L304" s="13" t="n">
        <v>119</v>
      </c>
      <c r="M304" s="13" t="n">
        <v>136</v>
      </c>
      <c r="N304" s="13" t="n">
        <v>133</v>
      </c>
      <c r="O304" s="13" t="n">
        <v>107</v>
      </c>
      <c r="P304" s="13" t="n">
        <v>125</v>
      </c>
      <c r="Q304" s="13" t="n">
        <v>18.1</v>
      </c>
      <c r="R304" s="13" t="n">
        <v>1596</v>
      </c>
      <c r="S304" s="13" t="n">
        <v>1.25</v>
      </c>
      <c r="T304" s="13" t="n">
        <v>1989</v>
      </c>
      <c r="U304" s="13" t="n">
        <v>163</v>
      </c>
      <c r="V304" s="13" t="n">
        <v>93</v>
      </c>
      <c r="W304" s="13" t="n">
        <v>45</v>
      </c>
      <c r="X304" s="13" t="n">
        <v>355</v>
      </c>
      <c r="Y304" s="13" t="n">
        <v>28</v>
      </c>
      <c r="Z304" s="13" t="n">
        <v>167</v>
      </c>
      <c r="AA304" s="13" t="n">
        <v>0.622</v>
      </c>
      <c r="AB304" s="13" t="n">
        <v>208</v>
      </c>
      <c r="AC304" s="13" t="n">
        <v>143</v>
      </c>
      <c r="AD304" s="13" t="n">
        <v>147</v>
      </c>
      <c r="AE304" s="13" t="n">
        <v>5</v>
      </c>
      <c r="AF304" s="13" t="n">
        <v>9.800000000000001</v>
      </c>
      <c r="AG304" s="11" t="inlineStr">
        <is>
          <t xml:space="preserve"> Powder</t>
        </is>
      </c>
      <c r="AH304" s="11" t="inlineStr">
        <is>
          <t xml:space="preserve"> Touring</t>
        </is>
      </c>
      <c r="AI304" s="13" t="n"/>
      <c r="AJ304" s="13" t="n"/>
      <c r="AK304" s="42" t="n"/>
    </row>
    <row r="305">
      <c r="E305" s="40" t="inlineStr">
        <is>
          <t>21/22</t>
        </is>
      </c>
      <c r="F305" s="10" t="inlineStr">
        <is>
          <t xml:space="preserve"> Armada</t>
        </is>
      </c>
      <c r="G305" s="11" t="inlineStr">
        <is>
          <t>Trace 88</t>
        </is>
      </c>
      <c r="H305" s="13" t="n">
        <v>152</v>
      </c>
      <c r="I305" s="11" t="inlineStr">
        <is>
          <t xml:space="preserve"> Women's</t>
        </is>
      </c>
      <c r="J305" s="13" t="n">
        <v>152</v>
      </c>
      <c r="K305" s="13" t="n">
        <v>151.3</v>
      </c>
      <c r="L305" s="13" t="n">
        <v>121</v>
      </c>
      <c r="M305" s="13" t="n">
        <v>128</v>
      </c>
      <c r="N305" s="13" t="n">
        <v>113</v>
      </c>
      <c r="O305" s="13" t="n">
        <v>87</v>
      </c>
      <c r="P305" s="13" t="n">
        <v>105</v>
      </c>
      <c r="Q305" s="13" t="n">
        <v>18.9</v>
      </c>
      <c r="R305" s="13" t="n">
        <v>1062</v>
      </c>
      <c r="S305" s="13" t="n">
        <v>1.35</v>
      </c>
      <c r="T305" s="13" t="n">
        <v>1431</v>
      </c>
      <c r="U305" s="13" t="n">
        <v>146</v>
      </c>
      <c r="V305" s="13" t="n">
        <v>58</v>
      </c>
      <c r="W305" s="13" t="n">
        <v>34</v>
      </c>
      <c r="X305" s="13" t="n">
        <v>184</v>
      </c>
      <c r="Y305" s="13" t="n">
        <v>11</v>
      </c>
      <c r="Z305" s="13" t="n">
        <v>118</v>
      </c>
      <c r="AA305" s="13" t="n">
        <v>0.312</v>
      </c>
      <c r="AB305" s="13" t="n">
        <v>147</v>
      </c>
      <c r="AC305" s="13" t="n">
        <v>87</v>
      </c>
      <c r="AD305" s="13" t="n">
        <v>37</v>
      </c>
      <c r="AE305" s="13" t="n">
        <v>3</v>
      </c>
      <c r="AF305" s="13" t="n">
        <v>6.8</v>
      </c>
      <c r="AG305" s="11" t="inlineStr">
        <is>
          <t xml:space="preserve"> Touring</t>
        </is>
      </c>
      <c r="AH305" s="11" t="inlineStr">
        <is>
          <t xml:space="preserve"> Ultralight Touring</t>
        </is>
      </c>
      <c r="AI305" s="13" t="n"/>
      <c r="AJ305" s="13" t="n"/>
      <c r="AK305" s="42" t="n"/>
    </row>
    <row r="306">
      <c r="E306" s="40" t="inlineStr">
        <is>
          <t>21/22</t>
        </is>
      </c>
      <c r="F306" s="10" t="inlineStr">
        <is>
          <t xml:space="preserve"> Armada</t>
        </is>
      </c>
      <c r="G306" s="11" t="inlineStr">
        <is>
          <t>Trace 88</t>
        </is>
      </c>
      <c r="H306" s="13" t="n">
        <v>162</v>
      </c>
      <c r="I306" s="11" t="inlineStr">
        <is>
          <t xml:space="preserve"> Women's</t>
        </is>
      </c>
      <c r="J306" s="13" t="n">
        <v>162</v>
      </c>
      <c r="K306" s="13" t="n">
        <v>161.2</v>
      </c>
      <c r="L306" s="13" t="n">
        <v>130</v>
      </c>
      <c r="M306" s="13" t="n">
        <v>135</v>
      </c>
      <c r="N306" s="13" t="n">
        <v>114</v>
      </c>
      <c r="O306" s="13" t="n">
        <v>87</v>
      </c>
      <c r="P306" s="13" t="n">
        <v>106</v>
      </c>
      <c r="Q306" s="13" t="n">
        <v>19.6</v>
      </c>
      <c r="R306" s="13" t="n">
        <v>1166</v>
      </c>
      <c r="S306" s="13" t="n">
        <v>1.32</v>
      </c>
      <c r="T306" s="13" t="n">
        <v>1535</v>
      </c>
      <c r="U306" s="13" t="n">
        <v>173</v>
      </c>
      <c r="V306" s="13" t="n">
        <v>74</v>
      </c>
      <c r="W306" s="13" t="n">
        <v>38</v>
      </c>
      <c r="X306" s="13" t="n">
        <v>194</v>
      </c>
      <c r="Y306" s="13" t="n">
        <v>11</v>
      </c>
      <c r="Z306" s="13" t="n">
        <v>123</v>
      </c>
      <c r="AA306" s="13" t="n">
        <v>0.298</v>
      </c>
      <c r="AB306" s="13" t="n">
        <v>153</v>
      </c>
      <c r="AC306" s="13" t="n">
        <v>104</v>
      </c>
      <c r="AD306" s="13" t="n">
        <v>40</v>
      </c>
      <c r="AE306" s="13" t="n">
        <v>5</v>
      </c>
      <c r="AF306" s="13" t="n">
        <v>6.1</v>
      </c>
      <c r="AG306" s="11" t="inlineStr">
        <is>
          <t xml:space="preserve"> Touring</t>
        </is>
      </c>
      <c r="AH306" s="11" t="inlineStr">
        <is>
          <t xml:space="preserve"> Ultralight Touring</t>
        </is>
      </c>
      <c r="AI306" s="13" t="n"/>
      <c r="AJ306" s="13" t="n"/>
      <c r="AK306" s="42" t="n"/>
    </row>
    <row r="307">
      <c r="E307" s="40" t="inlineStr">
        <is>
          <t>21/22</t>
        </is>
      </c>
      <c r="F307" s="10" t="inlineStr">
        <is>
          <t xml:space="preserve"> Armada</t>
        </is>
      </c>
      <c r="G307" s="11" t="inlineStr">
        <is>
          <t>Trace 88</t>
        </is>
      </c>
      <c r="H307" s="13" t="n">
        <v>172</v>
      </c>
      <c r="I307" s="11" t="inlineStr">
        <is>
          <t xml:space="preserve"> Women's</t>
        </is>
      </c>
      <c r="J307" s="13" t="n">
        <v>172</v>
      </c>
      <c r="K307" s="13" t="n">
        <v>171.2</v>
      </c>
      <c r="L307" s="13" t="n">
        <v>139</v>
      </c>
      <c r="M307" s="13" t="n">
        <v>144</v>
      </c>
      <c r="N307" s="13" t="n">
        <v>115</v>
      </c>
      <c r="O307" s="13" t="n">
        <v>87</v>
      </c>
      <c r="P307" s="13" t="n">
        <v>107</v>
      </c>
      <c r="Q307" s="13" t="n">
        <v>20.4</v>
      </c>
      <c r="R307" s="13" t="n">
        <v>1246</v>
      </c>
      <c r="S307" s="13" t="n">
        <v>1.32</v>
      </c>
      <c r="T307" s="13" t="n">
        <v>1643</v>
      </c>
      <c r="U307" s="13" t="n">
        <v>190</v>
      </c>
      <c r="V307" s="13" t="n">
        <v>84</v>
      </c>
      <c r="W307" s="13" t="n">
        <v>42</v>
      </c>
      <c r="X307" s="13" t="n">
        <v>205</v>
      </c>
      <c r="Y307" s="13" t="n">
        <v>11</v>
      </c>
      <c r="Z307" s="13" t="n">
        <v>121</v>
      </c>
      <c r="AA307" s="13" t="n">
        <v>0.253</v>
      </c>
      <c r="AB307" s="13" t="n">
        <v>166</v>
      </c>
      <c r="AC307" s="13" t="n">
        <v>106</v>
      </c>
      <c r="AD307" s="13" t="n">
        <v>39</v>
      </c>
      <c r="AE307" s="13" t="n">
        <v>4</v>
      </c>
      <c r="AF307" s="13" t="n">
        <v>7</v>
      </c>
      <c r="AG307" s="11" t="inlineStr">
        <is>
          <t xml:space="preserve"> Touring</t>
        </is>
      </c>
      <c r="AH307" s="11" t="inlineStr">
        <is>
          <t xml:space="preserve"> Ultralight Touring</t>
        </is>
      </c>
      <c r="AI307" s="13" t="n"/>
      <c r="AJ307" s="13" t="n"/>
      <c r="AK307" s="42" t="n"/>
    </row>
    <row r="308">
      <c r="E308" s="40" t="inlineStr">
        <is>
          <t>21/22</t>
        </is>
      </c>
      <c r="F308" s="10" t="inlineStr">
        <is>
          <t xml:space="preserve"> Armada</t>
        </is>
      </c>
      <c r="G308" s="11" t="inlineStr">
        <is>
          <t>Trace 98</t>
        </is>
      </c>
      <c r="H308" s="13" t="n">
        <v>156</v>
      </c>
      <c r="I308" s="11" t="inlineStr">
        <is>
          <t xml:space="preserve"> Women's</t>
        </is>
      </c>
      <c r="J308" s="13" t="n">
        <v>156</v>
      </c>
      <c r="K308" s="13" t="n">
        <v>155.7</v>
      </c>
      <c r="L308" s="13" t="n">
        <v>116</v>
      </c>
      <c r="M308" s="13" t="n">
        <v>129</v>
      </c>
      <c r="N308" s="13" t="n">
        <v>124</v>
      </c>
      <c r="O308" s="13" t="n">
        <v>97</v>
      </c>
      <c r="P308" s="13" t="n">
        <v>117</v>
      </c>
      <c r="Q308" s="13" t="n">
        <v>16.2</v>
      </c>
      <c r="R308" s="13" t="n">
        <v>1337</v>
      </c>
      <c r="S308" s="13" t="n">
        <v>1.23</v>
      </c>
      <c r="T308" s="13" t="n">
        <v>1645</v>
      </c>
      <c r="U308" s="13" t="n">
        <v>133</v>
      </c>
      <c r="V308" s="13" t="n">
        <v>78</v>
      </c>
      <c r="W308" s="13" t="n">
        <v>37</v>
      </c>
      <c r="X308" s="13" t="n">
        <v>240</v>
      </c>
      <c r="Y308" s="13" t="n">
        <v>16</v>
      </c>
      <c r="Z308" s="13" t="n">
        <v>153</v>
      </c>
      <c r="AA308" s="13" t="n">
        <v>0.432</v>
      </c>
      <c r="AB308" s="13" t="n">
        <v>165</v>
      </c>
      <c r="AC308" s="13" t="n">
        <v>103</v>
      </c>
      <c r="AD308" s="13" t="n">
        <v>74</v>
      </c>
      <c r="AE308" s="13" t="n">
        <v>5</v>
      </c>
      <c r="AF308" s="13" t="n">
        <v>9</v>
      </c>
      <c r="AG308" s="11" t="inlineStr">
        <is>
          <t xml:space="preserve"> Resort Freeride</t>
        </is>
      </c>
      <c r="AH308" s="11" t="inlineStr">
        <is>
          <t xml:space="preserve"> Touring</t>
        </is>
      </c>
      <c r="AI308" s="13" t="n"/>
      <c r="AJ308" s="13" t="n"/>
      <c r="AK308" s="42" t="n"/>
    </row>
    <row r="309">
      <c r="E309" s="40" t="inlineStr">
        <is>
          <t>21/22</t>
        </is>
      </c>
      <c r="F309" s="10" t="inlineStr">
        <is>
          <t xml:space="preserve"> Armada</t>
        </is>
      </c>
      <c r="G309" s="11" t="inlineStr">
        <is>
          <t>Trace 98</t>
        </is>
      </c>
      <c r="H309" s="13" t="n">
        <v>164</v>
      </c>
      <c r="I309" s="11" t="inlineStr">
        <is>
          <t xml:space="preserve"> Women's</t>
        </is>
      </c>
      <c r="J309" s="13" t="n">
        <v>164</v>
      </c>
      <c r="K309" s="13" t="n">
        <v>163.7</v>
      </c>
      <c r="L309" s="13" t="n">
        <v>125</v>
      </c>
      <c r="M309" s="13" t="n">
        <v>136</v>
      </c>
      <c r="N309" s="13" t="n">
        <v>126</v>
      </c>
      <c r="O309" s="13" t="n">
        <v>97</v>
      </c>
      <c r="P309" s="13" t="n">
        <v>119</v>
      </c>
      <c r="Q309" s="13" t="n">
        <v>16.7</v>
      </c>
      <c r="R309" s="13" t="n">
        <v>1433</v>
      </c>
      <c r="S309" s="13" t="n">
        <v>1.22</v>
      </c>
      <c r="T309" s="13" t="n">
        <v>1745</v>
      </c>
      <c r="U309" s="13" t="n">
        <v>143</v>
      </c>
      <c r="V309" s="13" t="n">
        <v>88</v>
      </c>
      <c r="W309" s="13" t="n">
        <v>37</v>
      </c>
      <c r="X309" s="13" t="n">
        <v>233</v>
      </c>
      <c r="Y309" s="13" t="n">
        <v>17</v>
      </c>
      <c r="Z309" s="13" t="n">
        <v>155</v>
      </c>
      <c r="AA309" s="13" t="n">
        <v>0.457</v>
      </c>
      <c r="AB309" s="13" t="n">
        <v>177</v>
      </c>
      <c r="AC309" s="13" t="n">
        <v>102</v>
      </c>
      <c r="AD309" s="13" t="n">
        <v>57</v>
      </c>
      <c r="AE309" s="13" t="n">
        <v>7</v>
      </c>
      <c r="AF309" s="13" t="n">
        <v>9.5</v>
      </c>
      <c r="AG309" s="11" t="inlineStr">
        <is>
          <t xml:space="preserve"> Resort Freeride</t>
        </is>
      </c>
      <c r="AH309" s="11" t="inlineStr">
        <is>
          <t xml:space="preserve"> Touring</t>
        </is>
      </c>
      <c r="AI309" s="13" t="n"/>
      <c r="AJ309" s="13" t="n"/>
      <c r="AK309" s="42" t="n"/>
    </row>
    <row r="310">
      <c r="E310" s="40" t="inlineStr">
        <is>
          <t>21/22</t>
        </is>
      </c>
      <c r="F310" s="10" t="inlineStr">
        <is>
          <t xml:space="preserve"> Armada</t>
        </is>
      </c>
      <c r="G310" s="11" t="inlineStr">
        <is>
          <t>Trace 98</t>
        </is>
      </c>
      <c r="H310" s="13" t="n">
        <v>172</v>
      </c>
      <c r="I310" s="11" t="inlineStr">
        <is>
          <t xml:space="preserve"> Women's</t>
        </is>
      </c>
      <c r="J310" s="13" t="n">
        <v>172</v>
      </c>
      <c r="K310" s="13" t="n">
        <v>171.6</v>
      </c>
      <c r="L310" s="13" t="n">
        <v>130</v>
      </c>
      <c r="M310" s="13" t="n">
        <v>144</v>
      </c>
      <c r="N310" s="13" t="n">
        <v>128</v>
      </c>
      <c r="O310" s="13" t="n">
        <v>97</v>
      </c>
      <c r="P310" s="13" t="n">
        <v>120</v>
      </c>
      <c r="Q310" s="13" t="n">
        <v>17.4</v>
      </c>
      <c r="R310" s="13" t="n">
        <v>1520</v>
      </c>
      <c r="S310" s="13" t="n">
        <v>1.21</v>
      </c>
      <c r="T310" s="13" t="n">
        <v>1843</v>
      </c>
      <c r="U310" s="13" t="n">
        <v>175</v>
      </c>
      <c r="V310" s="13" t="n">
        <v>98</v>
      </c>
      <c r="W310" s="13" t="n">
        <v>43</v>
      </c>
      <c r="X310" s="13" t="n">
        <v>256</v>
      </c>
      <c r="Y310" s="13" t="n">
        <v>18</v>
      </c>
      <c r="Z310" s="13" t="n">
        <v>158</v>
      </c>
      <c r="AA310" s="13" t="n">
        <v>0.407</v>
      </c>
      <c r="AB310" s="13" t="n">
        <v>171</v>
      </c>
      <c r="AC310" s="13" t="n">
        <v>104</v>
      </c>
      <c r="AD310" s="13" t="n">
        <v>85</v>
      </c>
      <c r="AE310" s="13" t="n">
        <v>5</v>
      </c>
      <c r="AF310" s="13" t="n">
        <v>9.5</v>
      </c>
      <c r="AG310" s="11" t="inlineStr">
        <is>
          <t xml:space="preserve"> Resort Freeride</t>
        </is>
      </c>
      <c r="AH310" s="11" t="inlineStr">
        <is>
          <t xml:space="preserve"> Touring</t>
        </is>
      </c>
      <c r="AI310" s="13" t="n"/>
      <c r="AJ310" s="13" t="n"/>
      <c r="AK310" s="42" t="n"/>
    </row>
    <row r="311">
      <c r="E311" s="40" t="inlineStr">
        <is>
          <t>21/22</t>
        </is>
      </c>
      <c r="F311" s="10" t="inlineStr">
        <is>
          <t xml:space="preserve"> Armada</t>
        </is>
      </c>
      <c r="G311" s="11" t="inlineStr">
        <is>
          <t>Tracer 108</t>
        </is>
      </c>
      <c r="H311" s="13" t="n">
        <v>164</v>
      </c>
      <c r="I311" s="11" t="inlineStr">
        <is>
          <t xml:space="preserve"> Unisex</t>
        </is>
      </c>
      <c r="J311" s="13" t="n">
        <v>164</v>
      </c>
      <c r="K311" s="13" t="n">
        <v>163.2</v>
      </c>
      <c r="L311" s="13" t="n">
        <v>112</v>
      </c>
      <c r="M311" s="13" t="n">
        <v>132</v>
      </c>
      <c r="N311" s="13" t="n">
        <v>130</v>
      </c>
      <c r="O311" s="13" t="n">
        <v>107</v>
      </c>
      <c r="P311" s="13" t="n">
        <v>124</v>
      </c>
      <c r="Q311" s="13" t="n">
        <v>17.6</v>
      </c>
      <c r="R311" s="13" t="n">
        <v>1465</v>
      </c>
      <c r="S311" s="13" t="n">
        <v>1.28</v>
      </c>
      <c r="T311" s="13" t="n">
        <v>1880</v>
      </c>
      <c r="U311" s="13" t="n">
        <v>133</v>
      </c>
      <c r="V311" s="13" t="n">
        <v>90</v>
      </c>
      <c r="W311" s="13" t="n">
        <v>49</v>
      </c>
      <c r="X311" s="13" t="n">
        <v>348</v>
      </c>
      <c r="Y311" s="13" t="n">
        <v>29</v>
      </c>
      <c r="Z311" s="13" t="n">
        <v>165</v>
      </c>
      <c r="AA311" s="13" t="n">
        <v>0.581</v>
      </c>
      <c r="AB311" s="13" t="n">
        <v>167</v>
      </c>
      <c r="AC311" s="13" t="n">
        <v>147</v>
      </c>
      <c r="AD311" s="13" t="n">
        <v>181</v>
      </c>
      <c r="AE311" s="13" t="n">
        <v>5</v>
      </c>
      <c r="AF311" s="13" t="n">
        <v>9.6</v>
      </c>
      <c r="AG311" s="11" t="inlineStr">
        <is>
          <t xml:space="preserve"> Powder</t>
        </is>
      </c>
      <c r="AH311" s="11" t="inlineStr">
        <is>
          <t xml:space="preserve"> Touring</t>
        </is>
      </c>
      <c r="AI311" s="11" t="inlineStr">
        <is>
          <t xml:space="preserve"> Ultralight Touring</t>
        </is>
      </c>
      <c r="AJ311" s="13" t="n"/>
      <c r="AK311" s="42" t="n"/>
    </row>
    <row r="312">
      <c r="E312" s="40" t="inlineStr">
        <is>
          <t>21/22</t>
        </is>
      </c>
      <c r="F312" s="10" t="inlineStr">
        <is>
          <t xml:space="preserve"> Armada</t>
        </is>
      </c>
      <c r="G312" s="11" t="inlineStr">
        <is>
          <t>Tracer 108</t>
        </is>
      </c>
      <c r="H312" s="13" t="n">
        <v>172</v>
      </c>
      <c r="I312" s="11" t="inlineStr">
        <is>
          <t xml:space="preserve"> Unisex</t>
        </is>
      </c>
      <c r="J312" s="13" t="n">
        <v>172</v>
      </c>
      <c r="K312" s="13" t="n">
        <v>171.3</v>
      </c>
      <c r="L312" s="13" t="n">
        <v>118</v>
      </c>
      <c r="M312" s="13" t="n">
        <v>135</v>
      </c>
      <c r="N312" s="13" t="n">
        <v>133</v>
      </c>
      <c r="O312" s="13" t="n">
        <v>107</v>
      </c>
      <c r="P312" s="13" t="n">
        <v>125</v>
      </c>
      <c r="Q312" s="13" t="n">
        <v>17.7</v>
      </c>
      <c r="R312" s="13" t="n">
        <v>1625</v>
      </c>
      <c r="S312" s="13" t="n">
        <v>1.23</v>
      </c>
      <c r="T312" s="13" t="n">
        <v>1991</v>
      </c>
      <c r="U312" s="13" t="n">
        <v>166</v>
      </c>
      <c r="V312" s="13" t="n">
        <v>92</v>
      </c>
      <c r="W312" s="13" t="n">
        <v>47</v>
      </c>
      <c r="X312" s="13" t="n">
        <v>371</v>
      </c>
      <c r="Y312" s="13" t="n">
        <v>28</v>
      </c>
      <c r="Z312" s="13" t="n">
        <v>162</v>
      </c>
      <c r="AA312" s="13" t="n">
        <v>0.591</v>
      </c>
      <c r="AB312" s="13" t="n">
        <v>212</v>
      </c>
      <c r="AC312" s="13" t="n">
        <v>150</v>
      </c>
      <c r="AD312" s="13" t="n">
        <v>159</v>
      </c>
      <c r="AE312" s="13" t="n">
        <v>5</v>
      </c>
      <c r="AF312" s="13" t="n">
        <v>10.2</v>
      </c>
      <c r="AG312" s="11" t="inlineStr">
        <is>
          <t xml:space="preserve"> Powder</t>
        </is>
      </c>
      <c r="AH312" s="11" t="inlineStr">
        <is>
          <t xml:space="preserve"> Touring</t>
        </is>
      </c>
      <c r="AI312" s="13" t="n"/>
      <c r="AJ312" s="13" t="n"/>
      <c r="AK312" s="42" t="n"/>
    </row>
    <row r="313">
      <c r="E313" s="40" t="inlineStr">
        <is>
          <t>21/22</t>
        </is>
      </c>
      <c r="F313" s="10" t="inlineStr">
        <is>
          <t xml:space="preserve"> Armada</t>
        </is>
      </c>
      <c r="G313" s="11" t="inlineStr">
        <is>
          <t>Tracer 108</t>
        </is>
      </c>
      <c r="H313" s="13" t="n">
        <v>180</v>
      </c>
      <c r="I313" s="11" t="inlineStr">
        <is>
          <t xml:space="preserve"> Unisex</t>
        </is>
      </c>
      <c r="J313" s="13" t="n">
        <v>180</v>
      </c>
      <c r="K313" s="13" t="n">
        <v>179.4</v>
      </c>
      <c r="L313" s="13" t="n">
        <v>125</v>
      </c>
      <c r="M313" s="13" t="n">
        <v>139</v>
      </c>
      <c r="N313" s="13" t="n">
        <v>133</v>
      </c>
      <c r="O313" s="13" t="n">
        <v>107</v>
      </c>
      <c r="P313" s="13" t="n">
        <v>125</v>
      </c>
      <c r="Q313" s="13" t="n">
        <v>19.2</v>
      </c>
      <c r="R313" s="13" t="n">
        <v>1712</v>
      </c>
      <c r="S313" s="13" t="n">
        <v>1.22</v>
      </c>
      <c r="T313" s="13" t="n">
        <v>2087</v>
      </c>
      <c r="U313" s="13" t="n">
        <v>204</v>
      </c>
      <c r="V313" s="13" t="n">
        <v>111</v>
      </c>
      <c r="W313" s="13" t="n">
        <v>44</v>
      </c>
      <c r="X313" s="13" t="n">
        <v>388</v>
      </c>
      <c r="Y313" s="13" t="n">
        <v>27</v>
      </c>
      <c r="Z313" s="13" t="n">
        <v>159</v>
      </c>
      <c r="AA313" s="13" t="n">
        <v>0.609</v>
      </c>
      <c r="AB313" s="13" t="n">
        <v>236</v>
      </c>
      <c r="AC313" s="13" t="n">
        <v>164</v>
      </c>
      <c r="AD313" s="13" t="n">
        <v>152</v>
      </c>
      <c r="AE313" s="13" t="n">
        <v>5</v>
      </c>
      <c r="AF313" s="13" t="n">
        <v>9.5</v>
      </c>
      <c r="AG313" s="11" t="inlineStr">
        <is>
          <t xml:space="preserve"> Powder</t>
        </is>
      </c>
      <c r="AH313" s="11" t="inlineStr">
        <is>
          <t xml:space="preserve"> Touring</t>
        </is>
      </c>
      <c r="AI313" s="13" t="n"/>
      <c r="AJ313" s="13" t="n"/>
      <c r="AK313" s="42" t="n"/>
    </row>
    <row r="314">
      <c r="E314" s="40" t="inlineStr">
        <is>
          <t>21/22</t>
        </is>
      </c>
      <c r="F314" s="10" t="inlineStr">
        <is>
          <t xml:space="preserve"> Armada</t>
        </is>
      </c>
      <c r="G314" s="11" t="inlineStr">
        <is>
          <t>Tracer 108</t>
        </is>
      </c>
      <c r="H314" s="13" t="n">
        <v>188</v>
      </c>
      <c r="I314" s="11" t="inlineStr">
        <is>
          <t xml:space="preserve"> Unisex</t>
        </is>
      </c>
      <c r="J314" s="13" t="n">
        <v>188</v>
      </c>
      <c r="K314" s="13" t="n">
        <v>187.3</v>
      </c>
      <c r="L314" s="13" t="n">
        <v>128</v>
      </c>
      <c r="M314" s="13" t="n">
        <v>149</v>
      </c>
      <c r="N314" s="13" t="n">
        <v>134</v>
      </c>
      <c r="O314" s="13" t="n">
        <v>107</v>
      </c>
      <c r="P314" s="13" t="n">
        <v>125</v>
      </c>
      <c r="Q314" s="13" t="n">
        <v>20.7</v>
      </c>
      <c r="R314" s="13" t="n">
        <v>1799</v>
      </c>
      <c r="S314" s="13" t="n">
        <v>1.21</v>
      </c>
      <c r="T314" s="13" t="n">
        <v>2185</v>
      </c>
      <c r="U314" s="13" t="n">
        <v>210</v>
      </c>
      <c r="V314" s="13" t="n">
        <v>122</v>
      </c>
      <c r="W314" s="13" t="n">
        <v>49</v>
      </c>
      <c r="X314" s="13" t="n">
        <v>426</v>
      </c>
      <c r="Y314" s="13" t="n">
        <v>28</v>
      </c>
      <c r="Z314" s="13" t="n">
        <v>169</v>
      </c>
      <c r="AA314" s="13" t="n">
        <v>0.58</v>
      </c>
      <c r="AB314" s="13" t="n">
        <v>211</v>
      </c>
      <c r="AC314" s="13" t="n">
        <v>170</v>
      </c>
      <c r="AD314" s="13" t="n">
        <v>215</v>
      </c>
      <c r="AE314" s="13" t="n">
        <v>4</v>
      </c>
      <c r="AF314" s="13" t="n">
        <v>10.8</v>
      </c>
      <c r="AG314" s="11" t="inlineStr">
        <is>
          <t xml:space="preserve"> Powder</t>
        </is>
      </c>
      <c r="AH314" s="11" t="inlineStr">
        <is>
          <t xml:space="preserve"> Touring</t>
        </is>
      </c>
      <c r="AI314" s="13" t="n"/>
      <c r="AJ314" s="13" t="n"/>
      <c r="AK314" s="42" t="n"/>
    </row>
    <row r="315">
      <c r="E315" s="40" t="inlineStr">
        <is>
          <t>21/22</t>
        </is>
      </c>
      <c r="F315" s="10" t="inlineStr">
        <is>
          <t xml:space="preserve"> Armada</t>
        </is>
      </c>
      <c r="G315" s="11" t="inlineStr">
        <is>
          <t>Tracer 88</t>
        </is>
      </c>
      <c r="H315" s="13" t="n">
        <v>172</v>
      </c>
      <c r="I315" s="11" t="inlineStr">
        <is>
          <t xml:space="preserve"> Unisex</t>
        </is>
      </c>
      <c r="J315" s="13" t="n">
        <v>172</v>
      </c>
      <c r="K315" s="13" t="n">
        <v>171.2</v>
      </c>
      <c r="L315" s="13" t="n">
        <v>139</v>
      </c>
      <c r="M315" s="13" t="n">
        <v>143</v>
      </c>
      <c r="N315" s="13" t="n">
        <v>115</v>
      </c>
      <c r="O315" s="13" t="n">
        <v>87</v>
      </c>
      <c r="P315" s="13" t="n">
        <v>107</v>
      </c>
      <c r="Q315" s="13" t="n">
        <v>20.6</v>
      </c>
      <c r="R315" s="13" t="n">
        <v>1228</v>
      </c>
      <c r="S315" s="13" t="n">
        <v>1.34</v>
      </c>
      <c r="T315" s="13" t="n">
        <v>1641</v>
      </c>
      <c r="U315" s="13" t="n">
        <v>192</v>
      </c>
      <c r="V315" s="13" t="n">
        <v>76</v>
      </c>
      <c r="W315" s="13" t="n">
        <v>41</v>
      </c>
      <c r="X315" s="13" t="n">
        <v>199</v>
      </c>
      <c r="Y315" s="13" t="n">
        <v>11</v>
      </c>
      <c r="Z315" s="13" t="n">
        <v>121</v>
      </c>
      <c r="AA315" s="13" t="n">
        <v>0.279</v>
      </c>
      <c r="AB315" s="13" t="n">
        <v>169</v>
      </c>
      <c r="AC315" s="13" t="n">
        <v>109</v>
      </c>
      <c r="AD315" s="13" t="n">
        <v>30</v>
      </c>
      <c r="AE315" s="13" t="n">
        <v>6</v>
      </c>
      <c r="AF315" s="13" t="n">
        <v>7.3</v>
      </c>
      <c r="AG315" s="11" t="inlineStr">
        <is>
          <t xml:space="preserve"> Touring</t>
        </is>
      </c>
      <c r="AH315" s="11" t="inlineStr">
        <is>
          <t xml:space="preserve"> Ultralight Touring</t>
        </is>
      </c>
      <c r="AI315" s="13" t="n"/>
      <c r="AJ315" s="13" t="n"/>
      <c r="AK315" s="42" t="n"/>
    </row>
    <row r="316">
      <c r="E316" s="40" t="inlineStr">
        <is>
          <t>21/22</t>
        </is>
      </c>
      <c r="F316" s="10" t="inlineStr">
        <is>
          <t xml:space="preserve"> Armada</t>
        </is>
      </c>
      <c r="G316" s="11" t="inlineStr">
        <is>
          <t>Tracer 88</t>
        </is>
      </c>
      <c r="H316" s="13" t="n">
        <v>182</v>
      </c>
      <c r="I316" s="11" t="inlineStr">
        <is>
          <t xml:space="preserve"> Unisex</t>
        </is>
      </c>
      <c r="J316" s="13" t="n">
        <v>182</v>
      </c>
      <c r="K316" s="13" t="n">
        <v>181.2</v>
      </c>
      <c r="L316" s="13" t="n">
        <v>146</v>
      </c>
      <c r="M316" s="13" t="n">
        <v>151</v>
      </c>
      <c r="N316" s="13" t="n">
        <v>116</v>
      </c>
      <c r="O316" s="13" t="n">
        <v>87</v>
      </c>
      <c r="P316" s="13" t="n">
        <v>108</v>
      </c>
      <c r="Q316" s="13" t="n">
        <v>21.7</v>
      </c>
      <c r="R316" s="13" t="n">
        <v>1329</v>
      </c>
      <c r="S316" s="13" t="n">
        <v>1.31</v>
      </c>
      <c r="T316" s="13" t="n">
        <v>1745</v>
      </c>
      <c r="U316" s="13" t="n">
        <v>226</v>
      </c>
      <c r="V316" s="13" t="n">
        <v>96</v>
      </c>
      <c r="W316" s="13" t="n">
        <v>41</v>
      </c>
      <c r="X316" s="13" t="n">
        <v>215</v>
      </c>
      <c r="Y316" s="13" t="n">
        <v>11</v>
      </c>
      <c r="Z316" s="13" t="n">
        <v>134</v>
      </c>
      <c r="AA316" s="13" t="n">
        <v>0.267</v>
      </c>
      <c r="AB316" s="13" t="n">
        <v>186</v>
      </c>
      <c r="AC316" s="13" t="n">
        <v>115</v>
      </c>
      <c r="AD316" s="13" t="n">
        <v>29</v>
      </c>
      <c r="AE316" s="13" t="n">
        <v>5</v>
      </c>
      <c r="AF316" s="13" t="n">
        <v>8.300000000000001</v>
      </c>
      <c r="AG316" s="11" t="inlineStr">
        <is>
          <t xml:space="preserve"> Touring</t>
        </is>
      </c>
      <c r="AH316" s="11" t="inlineStr">
        <is>
          <t xml:space="preserve"> Ultralight Touring</t>
        </is>
      </c>
      <c r="AI316" s="13" t="n"/>
      <c r="AJ316" s="13" t="n"/>
      <c r="AK316" s="42" t="n"/>
    </row>
    <row r="317">
      <c r="E317" s="40" t="inlineStr">
        <is>
          <t>21/22</t>
        </is>
      </c>
      <c r="F317" s="10" t="inlineStr">
        <is>
          <t xml:space="preserve"> Armada</t>
        </is>
      </c>
      <c r="G317" s="11" t="inlineStr">
        <is>
          <t>Tracer 98</t>
        </is>
      </c>
      <c r="H317" s="13" t="n">
        <v>164</v>
      </c>
      <c r="I317" s="11" t="inlineStr">
        <is>
          <t xml:space="preserve"> Unisex</t>
        </is>
      </c>
      <c r="J317" s="13" t="n">
        <v>164</v>
      </c>
      <c r="K317" s="13" t="n">
        <v>163.7</v>
      </c>
      <c r="L317" s="13" t="n">
        <v>125</v>
      </c>
      <c r="M317" s="13" t="n">
        <v>137</v>
      </c>
      <c r="N317" s="13" t="n">
        <v>126</v>
      </c>
      <c r="O317" s="13" t="n">
        <v>97</v>
      </c>
      <c r="P317" s="13" t="n">
        <v>119</v>
      </c>
      <c r="Q317" s="13" t="n">
        <v>16.8</v>
      </c>
      <c r="R317" s="13" t="n">
        <v>1419</v>
      </c>
      <c r="S317" s="13" t="n">
        <v>1.23</v>
      </c>
      <c r="T317" s="13" t="n">
        <v>1749</v>
      </c>
      <c r="U317" s="13" t="n">
        <v>139</v>
      </c>
      <c r="V317" s="13" t="n">
        <v>85</v>
      </c>
      <c r="W317" s="13" t="n">
        <v>37</v>
      </c>
      <c r="X317" s="13" t="n">
        <v>237</v>
      </c>
      <c r="Y317" s="13" t="n">
        <v>16</v>
      </c>
      <c r="Z317" s="13" t="n">
        <v>146</v>
      </c>
      <c r="AA317" s="13" t="n">
        <v>0.422</v>
      </c>
      <c r="AB317" s="13" t="n">
        <v>172</v>
      </c>
      <c r="AC317" s="13" t="n">
        <v>99</v>
      </c>
      <c r="AD317" s="13" t="n">
        <v>65</v>
      </c>
      <c r="AE317" s="13" t="n">
        <v>8</v>
      </c>
      <c r="AF317" s="13" t="n">
        <v>9.300000000000001</v>
      </c>
      <c r="AG317" s="11" t="inlineStr">
        <is>
          <t xml:space="preserve"> Resort Freeride</t>
        </is>
      </c>
      <c r="AH317" s="11" t="inlineStr">
        <is>
          <t xml:space="preserve"> Touring</t>
        </is>
      </c>
      <c r="AI317" s="13" t="n"/>
      <c r="AJ317" s="13" t="n"/>
      <c r="AK317" s="42" t="n"/>
    </row>
    <row r="318">
      <c r="E318" s="40" t="inlineStr">
        <is>
          <t>21/22</t>
        </is>
      </c>
      <c r="F318" s="10" t="inlineStr">
        <is>
          <t xml:space="preserve"> Armada</t>
        </is>
      </c>
      <c r="G318" s="11" t="inlineStr">
        <is>
          <t>Tracer 98</t>
        </is>
      </c>
      <c r="H318" s="13" t="n">
        <v>172</v>
      </c>
      <c r="I318" s="11" t="inlineStr">
        <is>
          <t xml:space="preserve"> Unisex</t>
        </is>
      </c>
      <c r="J318" s="13" t="n">
        <v>172</v>
      </c>
      <c r="K318" s="13" t="n">
        <v>171.5</v>
      </c>
      <c r="L318" s="13" t="n">
        <v>132</v>
      </c>
      <c r="M318" s="13" t="n">
        <v>143</v>
      </c>
      <c r="N318" s="13" t="n">
        <v>129</v>
      </c>
      <c r="O318" s="13" t="n">
        <v>97</v>
      </c>
      <c r="P318" s="13" t="n">
        <v>120</v>
      </c>
      <c r="Q318" s="13" t="n">
        <v>17.3</v>
      </c>
      <c r="R318" s="13" t="n">
        <v>1497</v>
      </c>
      <c r="S318" s="13" t="n">
        <v>1.23</v>
      </c>
      <c r="T318" s="13" t="n">
        <v>1844</v>
      </c>
      <c r="U318" s="13" t="n">
        <v>163</v>
      </c>
      <c r="V318" s="13" t="n">
        <v>102</v>
      </c>
      <c r="W318" s="13" t="n">
        <v>41</v>
      </c>
      <c r="X318" s="13" t="n">
        <v>250</v>
      </c>
      <c r="Y318" s="13" t="n">
        <v>15</v>
      </c>
      <c r="Z318" s="13" t="n">
        <v>145</v>
      </c>
      <c r="AA318" s="13" t="n">
        <v>0.369</v>
      </c>
      <c r="AB318" s="13" t="n">
        <v>171</v>
      </c>
      <c r="AC318" s="13" t="n">
        <v>112</v>
      </c>
      <c r="AD318" s="13" t="n">
        <v>79</v>
      </c>
      <c r="AE318" s="13" t="n">
        <v>6</v>
      </c>
      <c r="AF318" s="13" t="n">
        <v>10</v>
      </c>
      <c r="AG318" s="11" t="inlineStr">
        <is>
          <t xml:space="preserve"> Resort Freeride</t>
        </is>
      </c>
      <c r="AH318" s="11" t="inlineStr">
        <is>
          <t xml:space="preserve"> Touring</t>
        </is>
      </c>
      <c r="AI318" s="13" t="n"/>
      <c r="AJ318" s="13" t="n"/>
      <c r="AK318" s="42" t="n"/>
    </row>
    <row r="319">
      <c r="E319" s="40" t="inlineStr">
        <is>
          <t>21/22</t>
        </is>
      </c>
      <c r="F319" s="10" t="inlineStr">
        <is>
          <t xml:space="preserve"> Armada</t>
        </is>
      </c>
      <c r="G319" s="11" t="inlineStr">
        <is>
          <t>Tracer 98</t>
        </is>
      </c>
      <c r="H319" s="13" t="n">
        <v>180</v>
      </c>
      <c r="I319" s="11" t="inlineStr">
        <is>
          <t xml:space="preserve"> Unisex</t>
        </is>
      </c>
      <c r="J319" s="13" t="n">
        <v>180</v>
      </c>
      <c r="K319" s="13" t="n">
        <v>179.4</v>
      </c>
      <c r="L319" s="13" t="n">
        <v>136</v>
      </c>
      <c r="M319" s="13" t="n">
        <v>151</v>
      </c>
      <c r="N319" s="13" t="n">
        <v>131</v>
      </c>
      <c r="O319" s="13" t="n">
        <v>97</v>
      </c>
      <c r="P319" s="13" t="n">
        <v>122</v>
      </c>
      <c r="Q319" s="13" t="n">
        <v>17.9</v>
      </c>
      <c r="R319" s="13" t="n">
        <v>1601</v>
      </c>
      <c r="S319" s="13" t="n">
        <v>1.21</v>
      </c>
      <c r="T319" s="13" t="n">
        <v>1945</v>
      </c>
      <c r="U319" s="13" t="n">
        <v>200</v>
      </c>
      <c r="V319" s="13" t="n">
        <v>108</v>
      </c>
      <c r="W319" s="13" t="n">
        <v>46</v>
      </c>
      <c r="X319" s="13" t="n">
        <v>260</v>
      </c>
      <c r="Y319" s="13" t="n">
        <v>19</v>
      </c>
      <c r="Z319" s="13" t="n">
        <v>169</v>
      </c>
      <c r="AA319" s="13" t="n">
        <v>0.423</v>
      </c>
      <c r="AB319" s="13" t="n">
        <v>174</v>
      </c>
      <c r="AC319" s="13" t="n">
        <v>109</v>
      </c>
      <c r="AD319" s="13" t="n">
        <v>86</v>
      </c>
      <c r="AE319" s="13" t="n">
        <v>5</v>
      </c>
      <c r="AF319" s="13" t="n">
        <v>10.3</v>
      </c>
      <c r="AG319" s="11" t="inlineStr">
        <is>
          <t xml:space="preserve"> Resort Freeride</t>
        </is>
      </c>
      <c r="AH319" s="11" t="inlineStr">
        <is>
          <t xml:space="preserve"> Touring</t>
        </is>
      </c>
      <c r="AI319" s="13" t="n"/>
      <c r="AJ319" s="13" t="n"/>
      <c r="AK319" s="42" t="n"/>
    </row>
    <row r="320">
      <c r="E320" s="40" t="inlineStr">
        <is>
          <t>21/22</t>
        </is>
      </c>
      <c r="F320" s="10" t="inlineStr">
        <is>
          <t xml:space="preserve"> Armada</t>
        </is>
      </c>
      <c r="G320" s="11" t="inlineStr">
        <is>
          <t>Tracer 98</t>
        </is>
      </c>
      <c r="H320" s="13" t="n">
        <v>188</v>
      </c>
      <c r="I320" s="11" t="inlineStr">
        <is>
          <t xml:space="preserve"> Unisex</t>
        </is>
      </c>
      <c r="J320" s="13" t="n">
        <v>188</v>
      </c>
      <c r="K320" s="13" t="n">
        <v>187.8</v>
      </c>
      <c r="L320" s="13" t="n">
        <v>145</v>
      </c>
      <c r="M320" s="13" t="n">
        <v>159</v>
      </c>
      <c r="N320" s="13" t="n">
        <v>131</v>
      </c>
      <c r="O320" s="13" t="n">
        <v>97</v>
      </c>
      <c r="P320" s="13" t="n">
        <v>122</v>
      </c>
      <c r="Q320" s="13" t="n">
        <v>18.9</v>
      </c>
      <c r="R320" s="13" t="n">
        <v>1700</v>
      </c>
      <c r="S320" s="13" t="n">
        <v>1.2</v>
      </c>
      <c r="T320" s="13" t="n">
        <v>2046</v>
      </c>
      <c r="U320" s="13" t="n">
        <v>193</v>
      </c>
      <c r="V320" s="13" t="n">
        <v>127</v>
      </c>
      <c r="W320" s="13" t="n">
        <v>50</v>
      </c>
      <c r="X320" s="13" t="n">
        <v>272</v>
      </c>
      <c r="Y320" s="13" t="n">
        <v>18</v>
      </c>
      <c r="Z320" s="13" t="n">
        <v>161</v>
      </c>
      <c r="AA320" s="13" t="n">
        <v>0.365</v>
      </c>
      <c r="AB320" s="13" t="n">
        <v>177</v>
      </c>
      <c r="AC320" s="13" t="n">
        <v>112</v>
      </c>
      <c r="AD320" s="13" t="n">
        <v>95</v>
      </c>
      <c r="AE320" s="13" t="n">
        <v>8</v>
      </c>
      <c r="AF320" s="13" t="n">
        <v>9.800000000000001</v>
      </c>
      <c r="AG320" s="11" t="inlineStr">
        <is>
          <t xml:space="preserve"> Resort Freeride</t>
        </is>
      </c>
      <c r="AH320" s="11" t="inlineStr">
        <is>
          <t xml:space="preserve"> Touring</t>
        </is>
      </c>
      <c r="AI320" s="13" t="n"/>
      <c r="AJ320" s="13" t="n"/>
      <c r="AK320" s="42" t="n"/>
    </row>
    <row r="321">
      <c r="E321" s="40" t="inlineStr">
        <is>
          <t>21/22</t>
        </is>
      </c>
      <c r="F321" s="10" t="inlineStr">
        <is>
          <t xml:space="preserve"> Armada</t>
        </is>
      </c>
      <c r="G321" s="11" t="inlineStr">
        <is>
          <t xml:space="preserve"> Whitewalker</t>
        </is>
      </c>
      <c r="H321" s="13" t="n">
        <v>185</v>
      </c>
      <c r="I321" s="11" t="inlineStr">
        <is>
          <t xml:space="preserve"> Unisex</t>
        </is>
      </c>
      <c r="J321" s="13" t="n">
        <v>185</v>
      </c>
      <c r="K321" s="13" t="n">
        <v>183.2</v>
      </c>
      <c r="L321" s="13" t="n">
        <v>113</v>
      </c>
      <c r="M321" s="13" t="n">
        <v>133</v>
      </c>
      <c r="N321" s="13" t="n">
        <v>138</v>
      </c>
      <c r="O321" s="13" t="n">
        <v>115</v>
      </c>
      <c r="P321" s="13" t="n">
        <v>134</v>
      </c>
      <c r="Q321" s="13" t="n">
        <v>18.2</v>
      </c>
      <c r="R321" s="13" t="n">
        <v>1891</v>
      </c>
      <c r="S321" s="13" t="n">
        <v>1.19</v>
      </c>
      <c r="T321" s="13" t="n">
        <v>2242</v>
      </c>
      <c r="U321" s="13" t="n">
        <v>278</v>
      </c>
      <c r="V321" s="13" t="n">
        <v>144</v>
      </c>
      <c r="W321" s="13" t="n">
        <v>64</v>
      </c>
      <c r="X321" s="13" t="n">
        <v>362</v>
      </c>
      <c r="Y321" s="13" t="n">
        <v>61</v>
      </c>
      <c r="Z321" s="13" t="n">
        <v>338</v>
      </c>
      <c r="AA321" s="13" t="n">
        <v>0.957</v>
      </c>
      <c r="AB321" s="13" t="n">
        <v>256</v>
      </c>
      <c r="AC321" s="13" t="n">
        <v>248</v>
      </c>
      <c r="AD321" s="13" t="n">
        <v>106</v>
      </c>
      <c r="AE321" s="13" t="n">
        <v>4</v>
      </c>
      <c r="AF321" s="13" t="n">
        <v>5.7</v>
      </c>
      <c r="AG321" s="11" t="inlineStr">
        <is>
          <t xml:space="preserve"> Freeski</t>
        </is>
      </c>
      <c r="AH321" s="11" t="inlineStr">
        <is>
          <t xml:space="preserve"> Powder</t>
        </is>
      </c>
      <c r="AI321" s="11" t="inlineStr">
        <is>
          <t xml:space="preserve"> Touring</t>
        </is>
      </c>
      <c r="AJ321" s="13" t="n"/>
      <c r="AK321" s="42" t="n"/>
    </row>
    <row r="322">
      <c r="E322" s="40" t="inlineStr">
        <is>
          <t>21/22</t>
        </is>
      </c>
      <c r="F322" s="10" t="inlineStr">
        <is>
          <t xml:space="preserve"> Armada</t>
        </is>
      </c>
      <c r="G322" s="11" t="inlineStr">
        <is>
          <t xml:space="preserve"> Whitewalker</t>
        </is>
      </c>
      <c r="H322" s="13" t="n">
        <v>192</v>
      </c>
      <c r="I322" s="11" t="inlineStr">
        <is>
          <t xml:space="preserve"> Unisex</t>
        </is>
      </c>
      <c r="J322" s="13" t="n">
        <v>192</v>
      </c>
      <c r="K322" s="13" t="n">
        <v>190.1</v>
      </c>
      <c r="L322" s="13" t="n">
        <v>122</v>
      </c>
      <c r="M322" s="13" t="n">
        <v>141</v>
      </c>
      <c r="N322" s="13" t="n">
        <v>139</v>
      </c>
      <c r="O322" s="13" t="n">
        <v>115</v>
      </c>
      <c r="P322" s="13" t="n">
        <v>135</v>
      </c>
      <c r="Q322" s="13" t="n">
        <v>19.3</v>
      </c>
      <c r="R322" s="13" t="n">
        <v>1981</v>
      </c>
      <c r="S322" s="13" t="n">
        <v>1.18</v>
      </c>
      <c r="T322" s="13" t="n">
        <v>2337</v>
      </c>
      <c r="U322" s="13" t="n">
        <v>281</v>
      </c>
      <c r="V322" s="13" t="n">
        <v>152</v>
      </c>
      <c r="W322" s="13" t="n">
        <v>57</v>
      </c>
      <c r="X322" s="13" t="n">
        <v>350</v>
      </c>
      <c r="Y322" s="13" t="n">
        <v>55</v>
      </c>
      <c r="Z322" s="13" t="n">
        <v>329</v>
      </c>
      <c r="AA322" s="13" t="n">
        <v>0.956</v>
      </c>
      <c r="AB322" s="13" t="n">
        <v>258</v>
      </c>
      <c r="AC322" s="13" t="n">
        <v>229</v>
      </c>
      <c r="AD322" s="13" t="n">
        <v>92</v>
      </c>
      <c r="AE322" s="13" t="n">
        <v>5</v>
      </c>
      <c r="AF322" s="13" t="n">
        <v>7.6</v>
      </c>
      <c r="AG322" s="11" t="inlineStr">
        <is>
          <t xml:space="preserve"> Freeski</t>
        </is>
      </c>
      <c r="AH322" s="11" t="inlineStr">
        <is>
          <t xml:space="preserve"> Powder</t>
        </is>
      </c>
      <c r="AI322" s="11" t="inlineStr">
        <is>
          <t xml:space="preserve"> Touring</t>
        </is>
      </c>
      <c r="AJ322" s="13" t="n"/>
      <c r="AK322" s="42" t="n"/>
    </row>
    <row r="323">
      <c r="E323" s="40" t="inlineStr">
        <is>
          <t>21/22</t>
        </is>
      </c>
      <c r="F323" s="10" t="inlineStr">
        <is>
          <t xml:space="preserve"> Atomic</t>
        </is>
      </c>
      <c r="G323" s="11" t="inlineStr">
        <is>
          <t>Backland 100</t>
        </is>
      </c>
      <c r="H323" s="13" t="n">
        <v>164</v>
      </c>
      <c r="I323" s="11" t="inlineStr">
        <is>
          <t xml:space="preserve"> Unisex</t>
        </is>
      </c>
      <c r="J323" s="13" t="n">
        <v>164</v>
      </c>
      <c r="K323" s="13" t="n">
        <v>163</v>
      </c>
      <c r="L323" s="13" t="n">
        <v>108</v>
      </c>
      <c r="M323" s="13" t="n">
        <v>129</v>
      </c>
      <c r="N323" s="13" t="n">
        <v>126</v>
      </c>
      <c r="O323" s="13" t="n">
        <v>97</v>
      </c>
      <c r="P323" s="13" t="n">
        <v>117</v>
      </c>
      <c r="Q323" s="13" t="n">
        <v>15</v>
      </c>
      <c r="R323" s="13" t="n">
        <v>1182</v>
      </c>
      <c r="S323" s="13" t="n">
        <v>1.46</v>
      </c>
      <c r="T323" s="13" t="n">
        <v>1728</v>
      </c>
      <c r="U323" s="13" t="n">
        <v>160</v>
      </c>
      <c r="V323" s="13" t="n">
        <v>69</v>
      </c>
      <c r="W323" s="13" t="n">
        <v>56</v>
      </c>
      <c r="X323" s="13" t="n">
        <v>329</v>
      </c>
      <c r="Y323" s="13" t="n">
        <v>16</v>
      </c>
      <c r="Z323" s="13" t="n">
        <v>223</v>
      </c>
      <c r="AA323" s="13" t="n">
        <v>0.28</v>
      </c>
      <c r="AB323" s="13" t="n">
        <v>173</v>
      </c>
      <c r="AC323" s="13" t="n">
        <v>165</v>
      </c>
      <c r="AD323" s="13" t="n">
        <v>156</v>
      </c>
      <c r="AE323" s="13" t="n">
        <v>3</v>
      </c>
      <c r="AF323" s="13" t="n">
        <v>8.300000000000001</v>
      </c>
      <c r="AG323" s="11" t="inlineStr">
        <is>
          <t xml:space="preserve"> Touring</t>
        </is>
      </c>
      <c r="AH323" s="11" t="inlineStr">
        <is>
          <t xml:space="preserve"> Ultralight Touring</t>
        </is>
      </c>
      <c r="AI323" s="13" t="n"/>
      <c r="AJ323" s="13" t="n"/>
      <c r="AK323" s="42" t="n"/>
    </row>
    <row r="324">
      <c r="E324" s="40" t="inlineStr">
        <is>
          <t>21/22</t>
        </is>
      </c>
      <c r="F324" s="10" t="inlineStr">
        <is>
          <t xml:space="preserve"> Atomic</t>
        </is>
      </c>
      <c r="G324" s="11" t="inlineStr">
        <is>
          <t>Backland 100</t>
        </is>
      </c>
      <c r="H324" s="13" t="n">
        <v>172</v>
      </c>
      <c r="I324" s="11" t="inlineStr">
        <is>
          <t xml:space="preserve"> Unisex</t>
        </is>
      </c>
      <c r="J324" s="13" t="n">
        <v>172</v>
      </c>
      <c r="K324" s="13" t="n">
        <v>171.1</v>
      </c>
      <c r="L324" s="13" t="n">
        <v>123</v>
      </c>
      <c r="M324" s="13" t="n">
        <v>138</v>
      </c>
      <c r="N324" s="13" t="n">
        <v>127</v>
      </c>
      <c r="O324" s="13" t="n">
        <v>98</v>
      </c>
      <c r="P324" s="13" t="n">
        <v>117</v>
      </c>
      <c r="Q324" s="13" t="n">
        <v>17.5</v>
      </c>
      <c r="R324" s="13" t="n">
        <v>1227</v>
      </c>
      <c r="S324" s="13" t="n">
        <v>1.49</v>
      </c>
      <c r="T324" s="13" t="n">
        <v>1825</v>
      </c>
      <c r="U324" s="13" t="n">
        <v>161</v>
      </c>
      <c r="V324" s="13" t="n">
        <v>88</v>
      </c>
      <c r="W324" s="13" t="n">
        <v>53</v>
      </c>
      <c r="X324" s="13" t="n">
        <v>291</v>
      </c>
      <c r="Y324" s="13" t="n">
        <v>14</v>
      </c>
      <c r="Z324" s="13" t="n">
        <v>191</v>
      </c>
      <c r="AA324" s="13" t="n">
        <v>0.272</v>
      </c>
      <c r="AB324" s="13" t="n">
        <v>172</v>
      </c>
      <c r="AC324" s="13" t="n">
        <v>163</v>
      </c>
      <c r="AD324" s="13" t="n">
        <v>120</v>
      </c>
      <c r="AE324" s="13" t="n">
        <v>5</v>
      </c>
      <c r="AF324" s="13" t="n">
        <v>7.9</v>
      </c>
      <c r="AG324" s="11" t="inlineStr">
        <is>
          <t xml:space="preserve"> Touring</t>
        </is>
      </c>
      <c r="AH324" s="11" t="inlineStr">
        <is>
          <t xml:space="preserve"> Ultralight Touring</t>
        </is>
      </c>
      <c r="AI324" s="13" t="n"/>
      <c r="AJ324" s="13" t="n"/>
      <c r="AK324" s="42" t="n"/>
    </row>
    <row r="325">
      <c r="E325" s="40" t="inlineStr">
        <is>
          <t>21/22</t>
        </is>
      </c>
      <c r="F325" s="10" t="inlineStr">
        <is>
          <t xml:space="preserve"> Atomic</t>
        </is>
      </c>
      <c r="G325" s="11" t="inlineStr">
        <is>
          <t>Backland 100</t>
        </is>
      </c>
      <c r="H325" s="13" t="n">
        <v>180</v>
      </c>
      <c r="I325" s="11" t="inlineStr">
        <is>
          <t xml:space="preserve"> Unisex</t>
        </is>
      </c>
      <c r="J325" s="13" t="n">
        <v>180</v>
      </c>
      <c r="K325" s="13" t="n">
        <v>178.3</v>
      </c>
      <c r="L325" s="13" t="n">
        <v>129</v>
      </c>
      <c r="M325" s="13" t="n">
        <v>144</v>
      </c>
      <c r="N325" s="13" t="n">
        <v>129</v>
      </c>
      <c r="O325" s="13" t="n">
        <v>99</v>
      </c>
      <c r="P325" s="13" t="n">
        <v>119</v>
      </c>
      <c r="Q325" s="13" t="n">
        <v>19.3</v>
      </c>
      <c r="R325" s="13" t="n">
        <v>1344</v>
      </c>
      <c r="S325" s="13" t="n">
        <v>1.44</v>
      </c>
      <c r="T325" s="13" t="n">
        <v>1931</v>
      </c>
      <c r="U325" s="13" t="n">
        <v>190</v>
      </c>
      <c r="V325" s="13" t="n">
        <v>88</v>
      </c>
      <c r="W325" s="13" t="n">
        <v>53</v>
      </c>
      <c r="X325" s="13" t="n">
        <v>284</v>
      </c>
      <c r="Y325" s="13" t="n">
        <v>16</v>
      </c>
      <c r="Z325" s="13" t="n">
        <v>208</v>
      </c>
      <c r="AA325" s="13" t="n">
        <v>0.306</v>
      </c>
      <c r="AB325" s="13" t="n">
        <v>177</v>
      </c>
      <c r="AC325" s="13" t="n">
        <v>167</v>
      </c>
      <c r="AD325" s="13" t="n">
        <v>107</v>
      </c>
      <c r="AE325" s="13" t="n">
        <v>4</v>
      </c>
      <c r="AF325" s="13" t="n">
        <v>8.5</v>
      </c>
      <c r="AG325" s="11" t="inlineStr">
        <is>
          <t xml:space="preserve"> Touring</t>
        </is>
      </c>
      <c r="AH325" s="11" t="inlineStr">
        <is>
          <t xml:space="preserve"> Ultralight Touring</t>
        </is>
      </c>
      <c r="AI325" s="13" t="n"/>
      <c r="AJ325" s="13" t="n"/>
      <c r="AK325" s="42" t="n"/>
    </row>
    <row r="326">
      <c r="E326" s="40" t="inlineStr">
        <is>
          <t>21/22</t>
        </is>
      </c>
      <c r="F326" s="10" t="inlineStr">
        <is>
          <t xml:space="preserve"> Atomic</t>
        </is>
      </c>
      <c r="G326" s="11" t="inlineStr">
        <is>
          <t>Backland 100</t>
        </is>
      </c>
      <c r="H326" s="13" t="n">
        <v>188</v>
      </c>
      <c r="I326" s="11" t="inlineStr">
        <is>
          <t xml:space="preserve"> Unisex</t>
        </is>
      </c>
      <c r="J326" s="13" t="n">
        <v>188</v>
      </c>
      <c r="K326" s="13" t="n">
        <v>186.7</v>
      </c>
      <c r="L326" s="13" t="n">
        <v>140</v>
      </c>
      <c r="M326" s="13" t="n">
        <v>150</v>
      </c>
      <c r="N326" s="13" t="n">
        <v>129</v>
      </c>
      <c r="O326" s="13" t="n">
        <v>100</v>
      </c>
      <c r="P326" s="13" t="n">
        <v>120</v>
      </c>
      <c r="Q326" s="13" t="n">
        <v>21.5</v>
      </c>
      <c r="R326" s="13" t="n">
        <v>1435</v>
      </c>
      <c r="S326" s="13" t="n">
        <v>1.4</v>
      </c>
      <c r="T326" s="13" t="n">
        <v>2009</v>
      </c>
      <c r="U326" s="13" t="n">
        <v>217</v>
      </c>
      <c r="V326" s="13" t="n">
        <v>112</v>
      </c>
      <c r="W326" s="13" t="n">
        <v>54</v>
      </c>
      <c r="X326" s="13" t="n">
        <v>286</v>
      </c>
      <c r="Y326" s="13" t="n">
        <v>14</v>
      </c>
      <c r="Z326" s="13" t="n">
        <v>180</v>
      </c>
      <c r="AA326" s="13" t="n">
        <v>0.251</v>
      </c>
      <c r="AB326" s="13" t="n">
        <v>195</v>
      </c>
      <c r="AC326" s="13" t="n">
        <v>169</v>
      </c>
      <c r="AD326" s="13" t="n">
        <v>90</v>
      </c>
      <c r="AE326" s="13" t="n">
        <v>7</v>
      </c>
      <c r="AF326" s="13" t="n">
        <v>9</v>
      </c>
      <c r="AG326" s="11" t="inlineStr">
        <is>
          <t xml:space="preserve"> Touring</t>
        </is>
      </c>
      <c r="AH326" s="11" t="inlineStr">
        <is>
          <t xml:space="preserve"> Ultralight Touring</t>
        </is>
      </c>
      <c r="AI326" s="13" t="n"/>
      <c r="AJ326" s="13" t="n"/>
      <c r="AK326" s="42" t="n"/>
    </row>
    <row r="327">
      <c r="E327" s="40" t="inlineStr">
        <is>
          <t>21/22</t>
        </is>
      </c>
      <c r="F327" s="10" t="inlineStr">
        <is>
          <t xml:space="preserve"> Atomic</t>
        </is>
      </c>
      <c r="G327" s="11" t="inlineStr">
        <is>
          <t>Backland 107</t>
        </is>
      </c>
      <c r="H327" s="13" t="n">
        <v>175</v>
      </c>
      <c r="I327" s="11" t="inlineStr">
        <is>
          <t xml:space="preserve"> Unisex</t>
        </is>
      </c>
      <c r="J327" s="13" t="n">
        <v>175</v>
      </c>
      <c r="K327" s="13" t="n">
        <v>174.5</v>
      </c>
      <c r="L327" s="13" t="n">
        <v>114</v>
      </c>
      <c r="M327" s="13" t="n">
        <v>134</v>
      </c>
      <c r="N327" s="13" t="n">
        <v>135</v>
      </c>
      <c r="O327" s="13" t="n">
        <v>107</v>
      </c>
      <c r="P327" s="13" t="n">
        <v>122</v>
      </c>
      <c r="Q327" s="13" t="n">
        <v>18.1</v>
      </c>
      <c r="R327" s="13" t="n">
        <v>1508</v>
      </c>
      <c r="S327" s="13" t="n">
        <v>1.33</v>
      </c>
      <c r="T327" s="13" t="n">
        <v>2013</v>
      </c>
      <c r="U327" s="13" t="n">
        <v>178</v>
      </c>
      <c r="V327" s="13" t="n">
        <v>89</v>
      </c>
      <c r="W327" s="13" t="n">
        <v>51</v>
      </c>
      <c r="X327" s="13" t="n">
        <v>367</v>
      </c>
      <c r="Y327" s="13" t="n">
        <v>16</v>
      </c>
      <c r="Z327" s="13" t="n">
        <v>234</v>
      </c>
      <c r="AA327" s="13" t="n">
        <v>0.32</v>
      </c>
      <c r="AB327" s="13" t="n">
        <v>225</v>
      </c>
      <c r="AC327" s="13" t="n">
        <v>185</v>
      </c>
      <c r="AD327" s="13" t="n">
        <v>143</v>
      </c>
      <c r="AE327" s="13" t="n">
        <v>4</v>
      </c>
      <c r="AF327" s="13" t="n">
        <v>9.699999999999999</v>
      </c>
      <c r="AG327" s="11" t="inlineStr">
        <is>
          <t xml:space="preserve"> Big Mountain</t>
        </is>
      </c>
      <c r="AH327" s="11" t="inlineStr">
        <is>
          <t xml:space="preserve"> Touring</t>
        </is>
      </c>
      <c r="AI327" s="11" t="inlineStr">
        <is>
          <t xml:space="preserve"> Ultralight Touring</t>
        </is>
      </c>
      <c r="AJ327" s="13" t="n"/>
      <c r="AK327" s="42" t="n"/>
    </row>
    <row r="328">
      <c r="E328" s="40" t="inlineStr">
        <is>
          <t>21/22</t>
        </is>
      </c>
      <c r="F328" s="10" t="inlineStr">
        <is>
          <t xml:space="preserve"> Atomic</t>
        </is>
      </c>
      <c r="G328" s="11" t="inlineStr">
        <is>
          <t>Backland 107</t>
        </is>
      </c>
      <c r="H328" s="13" t="n">
        <v>182</v>
      </c>
      <c r="I328" s="11" t="inlineStr">
        <is>
          <t xml:space="preserve"> Unisex</t>
        </is>
      </c>
      <c r="J328" s="13" t="n">
        <v>182</v>
      </c>
      <c r="K328" s="13" t="n">
        <v>181.2</v>
      </c>
      <c r="L328" s="13" t="n">
        <v>121</v>
      </c>
      <c r="M328" s="13" t="n">
        <v>143</v>
      </c>
      <c r="N328" s="13" t="n">
        <v>136</v>
      </c>
      <c r="O328" s="13" t="n">
        <v>107</v>
      </c>
      <c r="P328" s="13" t="n">
        <v>123</v>
      </c>
      <c r="Q328" s="13" t="n">
        <v>19.2</v>
      </c>
      <c r="R328" s="13" t="n">
        <v>1649</v>
      </c>
      <c r="S328" s="13" t="n">
        <v>1.27</v>
      </c>
      <c r="T328" s="13" t="n">
        <v>2094</v>
      </c>
      <c r="U328" s="13" t="n">
        <v>190</v>
      </c>
      <c r="V328" s="13" t="n">
        <v>102</v>
      </c>
      <c r="W328" s="13" t="n">
        <v>47</v>
      </c>
      <c r="X328" s="13" t="n">
        <v>373</v>
      </c>
      <c r="Y328" s="13" t="n">
        <v>16</v>
      </c>
      <c r="Z328" s="13" t="n">
        <v>230</v>
      </c>
      <c r="AA328" s="13" t="n">
        <v>0.347</v>
      </c>
      <c r="AB328" s="13" t="n">
        <v>214</v>
      </c>
      <c r="AC328" s="13" t="n">
        <v>170</v>
      </c>
      <c r="AD328" s="13" t="n">
        <v>160</v>
      </c>
      <c r="AE328" s="13" t="n">
        <v>7</v>
      </c>
      <c r="AF328" s="13" t="n">
        <v>9.800000000000001</v>
      </c>
      <c r="AG328" s="11" t="inlineStr">
        <is>
          <t xml:space="preserve"> Big Mountain</t>
        </is>
      </c>
      <c r="AH328" s="11" t="inlineStr">
        <is>
          <t xml:space="preserve"> Touring</t>
        </is>
      </c>
      <c r="AI328" s="11" t="inlineStr">
        <is>
          <t xml:space="preserve"> Ultralight Touring</t>
        </is>
      </c>
      <c r="AJ328" s="13" t="n"/>
      <c r="AK328" s="42" t="n"/>
    </row>
    <row r="329">
      <c r="E329" s="40" t="inlineStr">
        <is>
          <t>21/22</t>
        </is>
      </c>
      <c r="F329" s="10" t="inlineStr">
        <is>
          <t xml:space="preserve"> Atomic</t>
        </is>
      </c>
      <c r="G329" s="11" t="inlineStr">
        <is>
          <t>Backland 107 W</t>
        </is>
      </c>
      <c r="H329" s="13" t="n">
        <v>159</v>
      </c>
      <c r="I329" s="11" t="inlineStr">
        <is>
          <t xml:space="preserve"> Unisex</t>
        </is>
      </c>
      <c r="J329" s="13" t="n">
        <v>159</v>
      </c>
      <c r="K329" s="13" t="n">
        <v>158.7</v>
      </c>
      <c r="L329" s="13" t="n">
        <v>102</v>
      </c>
      <c r="M329" s="13" t="n">
        <v>121</v>
      </c>
      <c r="N329" s="13" t="n">
        <v>133</v>
      </c>
      <c r="O329" s="13" t="n">
        <v>107</v>
      </c>
      <c r="P329" s="13" t="n">
        <v>120</v>
      </c>
      <c r="Q329" s="13" t="n">
        <v>15.4</v>
      </c>
      <c r="R329" s="13" t="n">
        <v>1350</v>
      </c>
      <c r="S329" s="13" t="n">
        <v>1.34</v>
      </c>
      <c r="T329" s="13" t="n">
        <v>1816</v>
      </c>
      <c r="U329" s="13" t="n">
        <v>139</v>
      </c>
      <c r="V329" s="13" t="n">
        <v>74</v>
      </c>
      <c r="W329" s="13" t="n">
        <v>46</v>
      </c>
      <c r="X329" s="13" t="n">
        <v>354</v>
      </c>
      <c r="Y329" s="13" t="n">
        <v>13</v>
      </c>
      <c r="Z329" s="13" t="n">
        <v>213</v>
      </c>
      <c r="AA329" s="13" t="n">
        <v>0.288</v>
      </c>
      <c r="AB329" s="13" t="n">
        <v>207</v>
      </c>
      <c r="AC329" s="13" t="n">
        <v>171</v>
      </c>
      <c r="AD329" s="13" t="n">
        <v>147</v>
      </c>
      <c r="AE329" s="13" t="n">
        <v>5</v>
      </c>
      <c r="AF329" s="13" t="n">
        <v>9.5</v>
      </c>
      <c r="AG329" s="11" t="inlineStr">
        <is>
          <t xml:space="preserve"> Big Mountain</t>
        </is>
      </c>
      <c r="AH329" s="11" t="inlineStr">
        <is>
          <t xml:space="preserve"> Touring</t>
        </is>
      </c>
      <c r="AI329" s="11" t="inlineStr">
        <is>
          <t xml:space="preserve"> Ultralight Touring</t>
        </is>
      </c>
      <c r="AJ329" s="13" t="n"/>
      <c r="AK329" s="42" t="n"/>
    </row>
    <row r="330">
      <c r="E330" s="40" t="inlineStr">
        <is>
          <t>21/22</t>
        </is>
      </c>
      <c r="F330" s="10" t="inlineStr">
        <is>
          <t xml:space="preserve"> Atomic</t>
        </is>
      </c>
      <c r="G330" s="11" t="inlineStr">
        <is>
          <t>Backland 107 W</t>
        </is>
      </c>
      <c r="H330" s="13" t="n">
        <v>167</v>
      </c>
      <c r="I330" s="11" t="inlineStr">
        <is>
          <t xml:space="preserve"> Unisex</t>
        </is>
      </c>
      <c r="J330" s="13" t="n">
        <v>167</v>
      </c>
      <c r="K330" s="13" t="n">
        <v>166.7</v>
      </c>
      <c r="L330" s="13" t="n">
        <v>106</v>
      </c>
      <c r="M330" s="13" t="n">
        <v>127</v>
      </c>
      <c r="N330" s="13" t="n">
        <v>134</v>
      </c>
      <c r="O330" s="13" t="n">
        <v>107</v>
      </c>
      <c r="P330" s="13" t="n">
        <v>121</v>
      </c>
      <c r="Q330" s="13" t="n">
        <v>16.5</v>
      </c>
      <c r="R330" s="13" t="n">
        <v>1470</v>
      </c>
      <c r="S330" s="13" t="n">
        <v>1.31</v>
      </c>
      <c r="T330" s="13" t="n">
        <v>1921</v>
      </c>
      <c r="U330" s="13" t="n">
        <v>156</v>
      </c>
      <c r="V330" s="13" t="n">
        <v>76</v>
      </c>
      <c r="W330" s="13" t="n">
        <v>46</v>
      </c>
      <c r="X330" s="13" t="n">
        <v>380</v>
      </c>
      <c r="Y330" s="13" t="n">
        <v>14</v>
      </c>
      <c r="Z330" s="13" t="n">
        <v>225</v>
      </c>
      <c r="AA330" s="13" t="n">
        <v>0.306</v>
      </c>
      <c r="AB330" s="13" t="n">
        <v>228</v>
      </c>
      <c r="AC330" s="13" t="n">
        <v>166</v>
      </c>
      <c r="AD330" s="13" t="n">
        <v>151</v>
      </c>
      <c r="AE330" s="13" t="n">
        <v>5</v>
      </c>
      <c r="AF330" s="13" t="n">
        <v>9.699999999999999</v>
      </c>
      <c r="AG330" s="11" t="inlineStr">
        <is>
          <t xml:space="preserve"> Big Mountain</t>
        </is>
      </c>
      <c r="AH330" s="11" t="inlineStr">
        <is>
          <t xml:space="preserve"> Touring</t>
        </is>
      </c>
      <c r="AI330" s="11" t="inlineStr">
        <is>
          <t xml:space="preserve"> Ultralight Touring</t>
        </is>
      </c>
      <c r="AJ330" s="13" t="n"/>
      <c r="AK330" s="42" t="n"/>
    </row>
    <row r="331">
      <c r="E331" s="40" t="inlineStr">
        <is>
          <t>21/22</t>
        </is>
      </c>
      <c r="F331" s="10" t="inlineStr">
        <is>
          <t xml:space="preserve"> Atomic</t>
        </is>
      </c>
      <c r="G331" s="11" t="inlineStr">
        <is>
          <t>Backland 86 SL</t>
        </is>
      </c>
      <c r="H331" s="13" t="n">
        <v>158</v>
      </c>
      <c r="I331" s="11" t="inlineStr">
        <is>
          <t xml:space="preserve"> Unisex</t>
        </is>
      </c>
      <c r="J331" s="13" t="n">
        <v>158</v>
      </c>
      <c r="K331" s="13" t="n">
        <v>157.1</v>
      </c>
      <c r="L331" s="13" t="n">
        <v>118</v>
      </c>
      <c r="M331" s="13" t="n">
        <v>130</v>
      </c>
      <c r="N331" s="13" t="n">
        <v>115</v>
      </c>
      <c r="O331" s="13" t="n">
        <v>86</v>
      </c>
      <c r="P331" s="13" t="n">
        <v>103</v>
      </c>
      <c r="Q331" s="13" t="n">
        <v>15.4</v>
      </c>
      <c r="R331" s="13" t="n">
        <v>1116</v>
      </c>
      <c r="S331" s="13" t="n">
        <v>1.34</v>
      </c>
      <c r="T331" s="13" t="n">
        <v>1490</v>
      </c>
      <c r="U331" s="13" t="n">
        <v>150</v>
      </c>
      <c r="V331" s="13" t="n">
        <v>68</v>
      </c>
      <c r="W331" s="13" t="n">
        <v>52</v>
      </c>
      <c r="X331" s="13" t="n">
        <v>247</v>
      </c>
      <c r="Y331" s="13" t="n">
        <v>11</v>
      </c>
      <c r="Z331" s="13" t="n">
        <v>144</v>
      </c>
      <c r="AA331" s="13" t="n">
        <v>0.216</v>
      </c>
      <c r="AB331" s="13" t="n">
        <v>156</v>
      </c>
      <c r="AC331" s="13" t="n">
        <v>117</v>
      </c>
      <c r="AD331" s="13" t="n">
        <v>91</v>
      </c>
      <c r="AE331" s="13" t="n">
        <v>4</v>
      </c>
      <c r="AF331" s="13" t="n">
        <v>12.4</v>
      </c>
      <c r="AG331" s="11" t="inlineStr">
        <is>
          <t xml:space="preserve"> Touring</t>
        </is>
      </c>
      <c r="AH331" s="11" t="inlineStr">
        <is>
          <t xml:space="preserve"> Ultralight Touring</t>
        </is>
      </c>
      <c r="AI331" s="13" t="n"/>
      <c r="AJ331" s="13" t="n"/>
      <c r="AK331" s="42" t="n"/>
    </row>
    <row r="332">
      <c r="E332" s="40" t="inlineStr">
        <is>
          <t>21/22</t>
        </is>
      </c>
      <c r="F332" s="10" t="inlineStr">
        <is>
          <t xml:space="preserve"> Atomic</t>
        </is>
      </c>
      <c r="G332" s="11" t="inlineStr">
        <is>
          <t>Backland 86 SL</t>
        </is>
      </c>
      <c r="H332" s="13" t="n">
        <v>165</v>
      </c>
      <c r="I332" s="11" t="inlineStr">
        <is>
          <t xml:space="preserve"> Unisex</t>
        </is>
      </c>
      <c r="J332" s="13" t="n">
        <v>165</v>
      </c>
      <c r="K332" s="13" t="n">
        <v>164.1</v>
      </c>
      <c r="L332" s="13" t="n">
        <v>126</v>
      </c>
      <c r="M332" s="13" t="n">
        <v>135</v>
      </c>
      <c r="N332" s="13" t="n">
        <v>115</v>
      </c>
      <c r="O332" s="13" t="n">
        <v>85</v>
      </c>
      <c r="P332" s="13" t="n">
        <v>104</v>
      </c>
      <c r="Q332" s="13" t="n">
        <v>16.6</v>
      </c>
      <c r="R332" s="13" t="n">
        <v>1180</v>
      </c>
      <c r="S332" s="13" t="n">
        <v>1.32</v>
      </c>
      <c r="T332" s="13" t="n">
        <v>1557</v>
      </c>
      <c r="U332" s="13" t="n">
        <v>163</v>
      </c>
      <c r="V332" s="13" t="n">
        <v>68</v>
      </c>
      <c r="W332" s="13" t="n">
        <v>52</v>
      </c>
      <c r="X332" s="13" t="n">
        <v>245</v>
      </c>
      <c r="Y332" s="13" t="n">
        <v>10</v>
      </c>
      <c r="Z332" s="13" t="n">
        <v>140</v>
      </c>
      <c r="AA332" s="13" t="n">
        <v>0.2</v>
      </c>
      <c r="AB332" s="13" t="n">
        <v>172</v>
      </c>
      <c r="AC332" s="13" t="n">
        <v>118</v>
      </c>
      <c r="AD332" s="13" t="n">
        <v>74</v>
      </c>
      <c r="AE332" s="13" t="n">
        <v>7</v>
      </c>
      <c r="AF332" s="13" t="n">
        <v>12.5</v>
      </c>
      <c r="AG332" s="11" t="inlineStr">
        <is>
          <t xml:space="preserve"> Touring</t>
        </is>
      </c>
      <c r="AH332" s="11" t="inlineStr">
        <is>
          <t xml:space="preserve"> Ultralight Touring</t>
        </is>
      </c>
      <c r="AI332" s="13" t="n"/>
      <c r="AJ332" s="13" t="n"/>
      <c r="AK332" s="42" t="n"/>
    </row>
    <row r="333">
      <c r="E333" s="40" t="inlineStr">
        <is>
          <t>21/22</t>
        </is>
      </c>
      <c r="F333" s="10" t="inlineStr">
        <is>
          <t xml:space="preserve"> Atomic</t>
        </is>
      </c>
      <c r="G333" s="11" t="inlineStr">
        <is>
          <t>Backland 86 SL</t>
        </is>
      </c>
      <c r="H333" s="13" t="n">
        <v>179</v>
      </c>
      <c r="I333" s="11" t="inlineStr">
        <is>
          <t xml:space="preserve"> Unisex</t>
        </is>
      </c>
      <c r="J333" s="13" t="n">
        <v>179</v>
      </c>
      <c r="K333" s="13" t="n">
        <v>177.9</v>
      </c>
      <c r="L333" s="13" t="n">
        <v>139</v>
      </c>
      <c r="M333" s="13" t="n">
        <v>149</v>
      </c>
      <c r="N333" s="13" t="n">
        <v>118</v>
      </c>
      <c r="O333" s="13" t="n">
        <v>86</v>
      </c>
      <c r="P333" s="13" t="n">
        <v>106</v>
      </c>
      <c r="Q333" s="13" t="n">
        <v>19.2</v>
      </c>
      <c r="R333" s="13" t="n">
        <v>1301</v>
      </c>
      <c r="S333" s="13" t="n">
        <v>1.31</v>
      </c>
      <c r="T333" s="13" t="n">
        <v>1700</v>
      </c>
      <c r="U333" s="13" t="n">
        <v>215</v>
      </c>
      <c r="V333" s="13" t="n">
        <v>84</v>
      </c>
      <c r="W333" s="13" t="n">
        <v>50</v>
      </c>
      <c r="X333" s="13" t="n">
        <v>242</v>
      </c>
      <c r="Y333" s="13" t="n">
        <v>13</v>
      </c>
      <c r="Z333" s="13" t="n">
        <v>145</v>
      </c>
      <c r="AA333" s="13" t="n">
        <v>0.255</v>
      </c>
      <c r="AB333" s="13" t="n">
        <v>175</v>
      </c>
      <c r="AC333" s="13" t="n">
        <v>113</v>
      </c>
      <c r="AD333" s="13" t="n">
        <v>67</v>
      </c>
      <c r="AE333" s="13" t="n">
        <v>6</v>
      </c>
      <c r="AF333" s="13" t="n">
        <v>12.1</v>
      </c>
      <c r="AG333" s="11" t="inlineStr">
        <is>
          <t xml:space="preserve"> Touring</t>
        </is>
      </c>
      <c r="AH333" s="11" t="inlineStr">
        <is>
          <t xml:space="preserve"> Ultralight Touring</t>
        </is>
      </c>
      <c r="AI333" s="13" t="n"/>
      <c r="AJ333" s="13" t="n"/>
      <c r="AK333" s="42" t="n"/>
    </row>
    <row r="334">
      <c r="E334" s="40" t="inlineStr">
        <is>
          <t>21/22</t>
        </is>
      </c>
      <c r="F334" s="10" t="inlineStr">
        <is>
          <t xml:space="preserve"> Atomic</t>
        </is>
      </c>
      <c r="G334" s="11" t="inlineStr">
        <is>
          <t>Backland 95</t>
        </is>
      </c>
      <c r="H334" s="13" t="n">
        <v>169</v>
      </c>
      <c r="I334" s="11" t="inlineStr">
        <is>
          <t xml:space="preserve"> Unisex</t>
        </is>
      </c>
      <c r="J334" s="13" t="n">
        <v>169</v>
      </c>
      <c r="K334" s="13" t="n">
        <v>167.5</v>
      </c>
      <c r="L334" s="13" t="n">
        <v>127</v>
      </c>
      <c r="M334" s="13" t="n">
        <v>138</v>
      </c>
      <c r="N334" s="13" t="n">
        <v>125</v>
      </c>
      <c r="O334" s="13" t="n">
        <v>93</v>
      </c>
      <c r="P334" s="13" t="n">
        <v>113</v>
      </c>
      <c r="Q334" s="13" t="n">
        <v>17.3</v>
      </c>
      <c r="R334" s="13" t="n">
        <v>1331</v>
      </c>
      <c r="S334" s="13" t="n">
        <v>1.3</v>
      </c>
      <c r="T334" s="13" t="n">
        <v>1725</v>
      </c>
      <c r="U334" s="13" t="n">
        <v>187</v>
      </c>
      <c r="V334" s="13" t="n">
        <v>85</v>
      </c>
      <c r="W334" s="13" t="n">
        <v>49</v>
      </c>
      <c r="X334" s="13" t="n">
        <v>243</v>
      </c>
      <c r="Y334" s="13" t="n">
        <v>10</v>
      </c>
      <c r="Z334" s="13" t="n">
        <v>159</v>
      </c>
      <c r="AA334" s="13" t="n">
        <v>0.196</v>
      </c>
      <c r="AB334" s="13" t="n">
        <v>175</v>
      </c>
      <c r="AC334" s="13" t="n">
        <v>117</v>
      </c>
      <c r="AD334" s="13" t="n">
        <v>68</v>
      </c>
      <c r="AE334" s="13" t="n">
        <v>4</v>
      </c>
      <c r="AF334" s="13" t="n">
        <v>11.6</v>
      </c>
      <c r="AG334" s="11" t="inlineStr">
        <is>
          <t xml:space="preserve"> Touring</t>
        </is>
      </c>
      <c r="AH334" s="11" t="inlineStr">
        <is>
          <t xml:space="preserve"> Ultralight Touring</t>
        </is>
      </c>
      <c r="AI334" s="13" t="n"/>
      <c r="AJ334" s="13" t="n"/>
      <c r="AK334" s="42" t="n"/>
    </row>
    <row r="335">
      <c r="E335" s="40" t="inlineStr">
        <is>
          <t>21/22</t>
        </is>
      </c>
      <c r="F335" s="10" t="inlineStr">
        <is>
          <t xml:space="preserve"> Atomic</t>
        </is>
      </c>
      <c r="G335" s="11" t="inlineStr">
        <is>
          <t>Backland 95</t>
        </is>
      </c>
      <c r="H335" s="13" t="n">
        <v>177</v>
      </c>
      <c r="I335" s="11" t="inlineStr">
        <is>
          <t xml:space="preserve"> Unisex</t>
        </is>
      </c>
      <c r="J335" s="13" t="n">
        <v>177</v>
      </c>
      <c r="K335" s="13" t="n">
        <v>176</v>
      </c>
      <c r="L335" s="13" t="n">
        <v>136</v>
      </c>
      <c r="M335" s="13" t="n">
        <v>146</v>
      </c>
      <c r="N335" s="13" t="n">
        <v>126</v>
      </c>
      <c r="O335" s="13" t="n">
        <v>93</v>
      </c>
      <c r="P335" s="13" t="n">
        <v>115</v>
      </c>
      <c r="Q335" s="13" t="n">
        <v>18.2</v>
      </c>
      <c r="R335" s="13" t="n">
        <v>1416</v>
      </c>
      <c r="S335" s="13" t="n">
        <v>1.29</v>
      </c>
      <c r="T335" s="13" t="n">
        <v>1830</v>
      </c>
      <c r="U335" s="13" t="n">
        <v>214</v>
      </c>
      <c r="V335" s="13" t="n">
        <v>92</v>
      </c>
      <c r="W335" s="13" t="n">
        <v>50</v>
      </c>
      <c r="X335" s="13" t="n">
        <v>243</v>
      </c>
      <c r="Y335" s="13" t="n">
        <v>10</v>
      </c>
      <c r="Z335" s="13" t="n">
        <v>160</v>
      </c>
      <c r="AA335" s="13" t="n">
        <v>0.209</v>
      </c>
      <c r="AB335" s="13" t="n">
        <v>174</v>
      </c>
      <c r="AC335" s="13" t="n">
        <v>123</v>
      </c>
      <c r="AD335" s="13" t="n">
        <v>69</v>
      </c>
      <c r="AE335" s="13" t="n">
        <v>6</v>
      </c>
      <c r="AF335" s="13" t="n">
        <v>11.1</v>
      </c>
      <c r="AG335" s="11" t="inlineStr">
        <is>
          <t xml:space="preserve"> Touring</t>
        </is>
      </c>
      <c r="AH335" s="11" t="inlineStr">
        <is>
          <t xml:space="preserve"> Ultralight Touring</t>
        </is>
      </c>
      <c r="AI335" s="13" t="n"/>
      <c r="AJ335" s="13" t="n"/>
      <c r="AK335" s="42" t="n"/>
    </row>
    <row r="336">
      <c r="E336" s="40" t="inlineStr">
        <is>
          <t>21/22</t>
        </is>
      </c>
      <c r="F336" s="10" t="inlineStr">
        <is>
          <t xml:space="preserve"> Atomic</t>
        </is>
      </c>
      <c r="G336" s="11" t="inlineStr">
        <is>
          <t>Backland 98 W</t>
        </is>
      </c>
      <c r="H336" s="13" t="n">
        <v>156</v>
      </c>
      <c r="I336" s="11" t="inlineStr">
        <is>
          <t xml:space="preserve"> Unisex</t>
        </is>
      </c>
      <c r="J336" s="13" t="n">
        <v>156</v>
      </c>
      <c r="K336" s="13" t="n">
        <v>155</v>
      </c>
      <c r="L336" s="13" t="n">
        <v>104</v>
      </c>
      <c r="M336" s="13" t="n">
        <v>121</v>
      </c>
      <c r="N336" s="13" t="n">
        <v>125</v>
      </c>
      <c r="O336" s="13" t="n">
        <v>96</v>
      </c>
      <c r="P336" s="13" t="n">
        <v>115</v>
      </c>
      <c r="Q336" s="13" t="n">
        <v>12.9</v>
      </c>
      <c r="R336" s="13" t="n">
        <v>1110</v>
      </c>
      <c r="S336" s="13" t="n">
        <v>1.46</v>
      </c>
      <c r="T336" s="13" t="n">
        <v>1623</v>
      </c>
      <c r="U336" s="13" t="n">
        <v>142</v>
      </c>
      <c r="V336" s="13" t="n">
        <v>64</v>
      </c>
      <c r="W336" s="13" t="n">
        <v>53</v>
      </c>
      <c r="X336" s="13" t="n">
        <v>296</v>
      </c>
      <c r="Y336" s="13" t="n">
        <v>16</v>
      </c>
      <c r="Z336" s="13" t="n">
        <v>214</v>
      </c>
      <c r="AA336" s="13" t="n">
        <v>0.3</v>
      </c>
      <c r="AB336" s="13" t="n">
        <v>179</v>
      </c>
      <c r="AC336" s="13" t="n">
        <v>156</v>
      </c>
      <c r="AD336" s="13" t="n">
        <v>117</v>
      </c>
      <c r="AE336" s="13" t="n">
        <v>3</v>
      </c>
      <c r="AF336" s="13" t="n">
        <v>8.4</v>
      </c>
      <c r="AG336" s="11" t="inlineStr">
        <is>
          <t xml:space="preserve"> Touring</t>
        </is>
      </c>
      <c r="AH336" s="11" t="inlineStr">
        <is>
          <t xml:space="preserve"> Ultralight Touring</t>
        </is>
      </c>
      <c r="AI336" s="13" t="n"/>
      <c r="AJ336" s="13" t="n"/>
      <c r="AK336" s="42" t="n"/>
    </row>
    <row r="337">
      <c r="E337" s="40" t="inlineStr">
        <is>
          <t>21/22</t>
        </is>
      </c>
      <c r="F337" s="10" t="inlineStr">
        <is>
          <t xml:space="preserve"> Atomic</t>
        </is>
      </c>
      <c r="G337" s="11" t="inlineStr">
        <is>
          <t>Backland 98 W</t>
        </is>
      </c>
      <c r="H337" s="13" t="n">
        <v>164</v>
      </c>
      <c r="I337" s="11" t="inlineStr">
        <is>
          <t xml:space="preserve"> Unisex</t>
        </is>
      </c>
      <c r="J337" s="13" t="n">
        <v>164</v>
      </c>
      <c r="K337" s="13" t="n">
        <v>162.9</v>
      </c>
      <c r="L337" s="13" t="n">
        <v>110</v>
      </c>
      <c r="M337" s="13" t="n">
        <v>126</v>
      </c>
      <c r="N337" s="13" t="n">
        <v>126</v>
      </c>
      <c r="O337" s="13" t="n">
        <v>97</v>
      </c>
      <c r="P337" s="13" t="n">
        <v>116</v>
      </c>
      <c r="Q337" s="13" t="n">
        <v>15</v>
      </c>
      <c r="R337" s="13" t="n">
        <v>1152</v>
      </c>
      <c r="S337" s="13" t="n">
        <v>1.49</v>
      </c>
      <c r="T337" s="13" t="n">
        <v>1722</v>
      </c>
      <c r="U337" s="13" t="n">
        <v>155</v>
      </c>
      <c r="V337" s="13" t="n">
        <v>71</v>
      </c>
      <c r="W337" s="13" t="n">
        <v>56</v>
      </c>
      <c r="X337" s="13" t="n">
        <v>316</v>
      </c>
      <c r="Y337" s="13" t="n">
        <v>18</v>
      </c>
      <c r="Z337" s="13" t="n">
        <v>215</v>
      </c>
      <c r="AA337" s="13" t="n">
        <v>0.324</v>
      </c>
      <c r="AB337" s="13" t="n">
        <v>201</v>
      </c>
      <c r="AC337" s="13" t="n">
        <v>168</v>
      </c>
      <c r="AD337" s="13" t="n">
        <v>115</v>
      </c>
      <c r="AE337" s="13" t="n">
        <v>3</v>
      </c>
      <c r="AF337" s="13" t="n">
        <v>8.199999999999999</v>
      </c>
      <c r="AG337" s="11" t="inlineStr">
        <is>
          <t xml:space="preserve"> Touring</t>
        </is>
      </c>
      <c r="AH337" s="11" t="inlineStr">
        <is>
          <t xml:space="preserve"> Ultralight Touring</t>
        </is>
      </c>
      <c r="AI337" s="13" t="n"/>
      <c r="AJ337" s="13" t="n"/>
      <c r="AK337" s="42" t="n"/>
    </row>
    <row r="338">
      <c r="E338" s="40" t="inlineStr">
        <is>
          <t>21/22</t>
        </is>
      </c>
      <c r="F338" s="10" t="inlineStr">
        <is>
          <t xml:space="preserve"> Atomic</t>
        </is>
      </c>
      <c r="G338" s="11" t="inlineStr">
        <is>
          <t>Bent Chetler 100</t>
        </is>
      </c>
      <c r="H338" s="13" t="n">
        <v>164</v>
      </c>
      <c r="I338" s="11" t="inlineStr">
        <is>
          <t xml:space="preserve"> Unisex</t>
        </is>
      </c>
      <c r="J338" s="13" t="n">
        <v>164</v>
      </c>
      <c r="K338" s="13" t="n">
        <v>163.4</v>
      </c>
      <c r="L338" s="13" t="n">
        <v>115</v>
      </c>
      <c r="M338" s="13" t="n">
        <v>129</v>
      </c>
      <c r="N338" s="13" t="n">
        <v>127</v>
      </c>
      <c r="O338" s="13" t="n">
        <v>99</v>
      </c>
      <c r="P338" s="13" t="n">
        <v>117</v>
      </c>
      <c r="Q338" s="13" t="n">
        <v>16.3</v>
      </c>
      <c r="R338" s="13" t="n">
        <v>1568</v>
      </c>
      <c r="S338" s="13" t="n">
        <v>1.11</v>
      </c>
      <c r="T338" s="13" t="n">
        <v>1733</v>
      </c>
      <c r="U338" s="13" t="n">
        <v>165</v>
      </c>
      <c r="V338" s="13" t="n">
        <v>99</v>
      </c>
      <c r="W338" s="13" t="n">
        <v>48</v>
      </c>
      <c r="X338" s="13" t="n">
        <v>297</v>
      </c>
      <c r="Y338" s="13" t="n">
        <v>30</v>
      </c>
      <c r="Z338" s="13" t="n">
        <v>187</v>
      </c>
      <c r="AA338" s="13" t="n">
        <v>0.619</v>
      </c>
      <c r="AB338" s="13" t="n">
        <v>187</v>
      </c>
      <c r="AC338" s="13" t="n">
        <v>160</v>
      </c>
      <c r="AD338" s="13" t="n">
        <v>110</v>
      </c>
      <c r="AE338" s="13" t="n">
        <v>8</v>
      </c>
      <c r="AF338" s="13" t="n">
        <v>7.9</v>
      </c>
      <c r="AG338" s="11" t="inlineStr">
        <is>
          <t xml:space="preserve"> Resort Freeride</t>
        </is>
      </c>
      <c r="AH338" s="11" t="inlineStr">
        <is>
          <t xml:space="preserve"> Touring</t>
        </is>
      </c>
      <c r="AI338" s="13" t="n"/>
      <c r="AJ338" s="13" t="n"/>
      <c r="AK338" s="42" t="n"/>
    </row>
    <row r="339">
      <c r="E339" s="40" t="inlineStr">
        <is>
          <t>21/22</t>
        </is>
      </c>
      <c r="F339" s="10" t="inlineStr">
        <is>
          <t xml:space="preserve"> Atomic</t>
        </is>
      </c>
      <c r="G339" s="11" t="inlineStr">
        <is>
          <t>Bent Chetler 100</t>
        </is>
      </c>
      <c r="H339" s="13" t="n">
        <v>172</v>
      </c>
      <c r="I339" s="11" t="inlineStr">
        <is>
          <t xml:space="preserve"> Unisex</t>
        </is>
      </c>
      <c r="J339" s="13" t="n">
        <v>172</v>
      </c>
      <c r="K339" s="13" t="n">
        <v>171.4</v>
      </c>
      <c r="L339" s="13" t="n">
        <v>124</v>
      </c>
      <c r="M339" s="13" t="n">
        <v>139</v>
      </c>
      <c r="N339" s="13" t="n">
        <v>128</v>
      </c>
      <c r="O339" s="13" t="n">
        <v>99</v>
      </c>
      <c r="P339" s="13" t="n">
        <v>118</v>
      </c>
      <c r="Q339" s="13" t="n">
        <v>17.7</v>
      </c>
      <c r="R339" s="13" t="n">
        <v>1678</v>
      </c>
      <c r="S339" s="13" t="n">
        <v>1.09</v>
      </c>
      <c r="T339" s="13" t="n">
        <v>1829</v>
      </c>
      <c r="U339" s="13" t="n">
        <v>190</v>
      </c>
      <c r="V339" s="13" t="n">
        <v>108</v>
      </c>
      <c r="W339" s="13" t="n">
        <v>46</v>
      </c>
      <c r="X339" s="13" t="n">
        <v>293</v>
      </c>
      <c r="Y339" s="13" t="n">
        <v>29</v>
      </c>
      <c r="Z339" s="13" t="n">
        <v>182</v>
      </c>
      <c r="AA339" s="13" t="n">
        <v>0.643</v>
      </c>
      <c r="AB339" s="13" t="n">
        <v>180</v>
      </c>
      <c r="AC339" s="13" t="n">
        <v>147</v>
      </c>
      <c r="AD339" s="13" t="n">
        <v>113</v>
      </c>
      <c r="AE339" s="13" t="n">
        <v>10</v>
      </c>
      <c r="AF339" s="13" t="n">
        <v>7.9</v>
      </c>
      <c r="AG339" s="11" t="inlineStr">
        <is>
          <t xml:space="preserve"> Resort Freeride</t>
        </is>
      </c>
      <c r="AH339" s="11" t="inlineStr">
        <is>
          <t xml:space="preserve"> Touring</t>
        </is>
      </c>
      <c r="AI339" s="13" t="n"/>
      <c r="AJ339" s="13" t="n"/>
      <c r="AK339" s="42" t="n"/>
    </row>
    <row r="340">
      <c r="E340" s="40" t="inlineStr">
        <is>
          <t>21/22</t>
        </is>
      </c>
      <c r="F340" s="10" t="inlineStr">
        <is>
          <t xml:space="preserve"> Atomic</t>
        </is>
      </c>
      <c r="G340" s="11" t="inlineStr">
        <is>
          <t>Bent Chetler 100</t>
        </is>
      </c>
      <c r="H340" s="13" t="n">
        <v>180</v>
      </c>
      <c r="I340" s="11" t="inlineStr">
        <is>
          <t xml:space="preserve"> Unisex</t>
        </is>
      </c>
      <c r="J340" s="13" t="n">
        <v>180</v>
      </c>
      <c r="K340" s="13" t="n">
        <v>179.3</v>
      </c>
      <c r="L340" s="13" t="n">
        <v>135</v>
      </c>
      <c r="M340" s="13" t="n">
        <v>146</v>
      </c>
      <c r="N340" s="13" t="n">
        <v>129</v>
      </c>
      <c r="O340" s="13" t="n">
        <v>99</v>
      </c>
      <c r="P340" s="13" t="n">
        <v>119</v>
      </c>
      <c r="Q340" s="13" t="n">
        <v>19.6</v>
      </c>
      <c r="R340" s="13" t="n">
        <v>1763</v>
      </c>
      <c r="S340" s="13" t="n">
        <v>1.09</v>
      </c>
      <c r="T340" s="13" t="n">
        <v>1921</v>
      </c>
      <c r="U340" s="13" t="n">
        <v>208</v>
      </c>
      <c r="V340" s="13" t="n">
        <v>113</v>
      </c>
      <c r="W340" s="13" t="n">
        <v>45</v>
      </c>
      <c r="X340" s="13" t="n">
        <v>277</v>
      </c>
      <c r="Y340" s="13" t="n">
        <v>26</v>
      </c>
      <c r="Z340" s="13" t="n">
        <v>168</v>
      </c>
      <c r="AA340" s="13" t="n">
        <v>0.583</v>
      </c>
      <c r="AB340" s="13" t="n">
        <v>184</v>
      </c>
      <c r="AC340" s="13" t="n">
        <v>147</v>
      </c>
      <c r="AD340" s="13" t="n">
        <v>94</v>
      </c>
      <c r="AE340" s="13" t="n">
        <v>12</v>
      </c>
      <c r="AF340" s="13" t="n">
        <v>8.199999999999999</v>
      </c>
      <c r="AG340" s="11" t="inlineStr">
        <is>
          <t xml:space="preserve"> Resort Freeride</t>
        </is>
      </c>
      <c r="AH340" s="11" t="inlineStr">
        <is>
          <t xml:space="preserve"> Touring</t>
        </is>
      </c>
      <c r="AI340" s="13" t="n"/>
      <c r="AJ340" s="13" t="n"/>
      <c r="AK340" s="42" t="n"/>
    </row>
    <row r="341">
      <c r="E341" s="40" t="inlineStr">
        <is>
          <t>21/22</t>
        </is>
      </c>
      <c r="F341" s="10" t="inlineStr">
        <is>
          <t xml:space="preserve"> Atomic</t>
        </is>
      </c>
      <c r="G341" s="11" t="inlineStr">
        <is>
          <t>Bent Chetler 100</t>
        </is>
      </c>
      <c r="H341" s="13" t="n">
        <v>188</v>
      </c>
      <c r="I341" s="11" t="inlineStr">
        <is>
          <t xml:space="preserve"> Unisex</t>
        </is>
      </c>
      <c r="J341" s="13" t="n">
        <v>188</v>
      </c>
      <c r="K341" s="13" t="n">
        <v>187.2</v>
      </c>
      <c r="L341" s="13" t="n">
        <v>144</v>
      </c>
      <c r="M341" s="13" t="n">
        <v>155</v>
      </c>
      <c r="N341" s="13" t="n">
        <v>130</v>
      </c>
      <c r="O341" s="13" t="n">
        <v>99</v>
      </c>
      <c r="P341" s="13" t="n">
        <v>120</v>
      </c>
      <c r="Q341" s="13" t="n">
        <v>21</v>
      </c>
      <c r="R341" s="13" t="n">
        <v>1877</v>
      </c>
      <c r="S341" s="13" t="n">
        <v>1.07</v>
      </c>
      <c r="T341" s="13" t="n">
        <v>2007</v>
      </c>
      <c r="U341" s="13" t="n">
        <v>234</v>
      </c>
      <c r="V341" s="13" t="n">
        <v>135</v>
      </c>
      <c r="W341" s="13" t="n">
        <v>41</v>
      </c>
      <c r="X341" s="13" t="n">
        <v>270</v>
      </c>
      <c r="Y341" s="13" t="n">
        <v>27</v>
      </c>
      <c r="Z341" s="13" t="n">
        <v>165</v>
      </c>
      <c r="AA341" s="13" t="n">
        <v>0.665</v>
      </c>
      <c r="AB341" s="13" t="n">
        <v>176</v>
      </c>
      <c r="AC341" s="13" t="n">
        <v>149</v>
      </c>
      <c r="AD341" s="13" t="n">
        <v>94</v>
      </c>
      <c r="AE341" s="13" t="n">
        <v>11</v>
      </c>
      <c r="AF341" s="13" t="n">
        <v>8.1</v>
      </c>
      <c r="AG341" s="11" t="inlineStr">
        <is>
          <t xml:space="preserve"> Resort Freeride</t>
        </is>
      </c>
      <c r="AH341" s="11" t="inlineStr">
        <is>
          <t xml:space="preserve"> Touring</t>
        </is>
      </c>
      <c r="AI341" s="13" t="n"/>
      <c r="AJ341" s="13" t="n"/>
      <c r="AK341" s="42" t="n"/>
    </row>
    <row r="342">
      <c r="E342" s="40" t="inlineStr">
        <is>
          <t>21/22</t>
        </is>
      </c>
      <c r="F342" s="10" t="inlineStr">
        <is>
          <t xml:space="preserve"> Atomic</t>
        </is>
      </c>
      <c r="G342" s="11" t="inlineStr">
        <is>
          <t>Bent Chetler 120</t>
        </is>
      </c>
      <c r="H342" s="13" t="n">
        <v>176</v>
      </c>
      <c r="I342" s="11" t="inlineStr">
        <is>
          <t xml:space="preserve"> Unisex</t>
        </is>
      </c>
      <c r="J342" s="13" t="n">
        <v>176</v>
      </c>
      <c r="K342" s="13" t="n">
        <v>174.7</v>
      </c>
      <c r="L342" s="13" t="n">
        <v>99</v>
      </c>
      <c r="M342" s="13" t="n">
        <v>123</v>
      </c>
      <c r="N342" s="13" t="n">
        <v>141</v>
      </c>
      <c r="O342" s="13" t="n">
        <v>119</v>
      </c>
      <c r="P342" s="13" t="n">
        <v>132</v>
      </c>
      <c r="Q342" s="13" t="n">
        <v>18.8</v>
      </c>
      <c r="R342" s="13" t="n">
        <v>1779</v>
      </c>
      <c r="S342" s="13" t="n">
        <v>1.21</v>
      </c>
      <c r="T342" s="13" t="n">
        <v>2159</v>
      </c>
      <c r="U342" s="13" t="n">
        <v>217</v>
      </c>
      <c r="V342" s="13" t="n">
        <v>91</v>
      </c>
      <c r="W342" s="13" t="n">
        <v>55</v>
      </c>
      <c r="X342" s="13" t="n">
        <v>399</v>
      </c>
      <c r="Y342" s="13" t="n">
        <v>52</v>
      </c>
      <c r="Z342" s="13" t="n">
        <v>362</v>
      </c>
      <c r="AA342" s="13" t="n">
        <v>0.958</v>
      </c>
      <c r="AB342" s="13" t="n">
        <v>215</v>
      </c>
      <c r="AC342" s="13" t="n">
        <v>302</v>
      </c>
      <c r="AD342" s="13" t="n">
        <v>184</v>
      </c>
      <c r="AE342" s="13" t="n">
        <v>4</v>
      </c>
      <c r="AF342" s="13" t="n">
        <v>3.1</v>
      </c>
      <c r="AG342" s="11" t="inlineStr">
        <is>
          <t xml:space="preserve"> Freeski</t>
        </is>
      </c>
      <c r="AH342" s="11" t="inlineStr">
        <is>
          <t xml:space="preserve"> Powder</t>
        </is>
      </c>
      <c r="AI342" s="11" t="inlineStr">
        <is>
          <t xml:space="preserve"> Touring</t>
        </is>
      </c>
      <c r="AJ342" s="13" t="n"/>
      <c r="AK342" s="42" t="n"/>
    </row>
    <row r="343">
      <c r="E343" s="40" t="inlineStr">
        <is>
          <t>21/22</t>
        </is>
      </c>
      <c r="F343" s="10" t="inlineStr">
        <is>
          <t xml:space="preserve"> Atomic</t>
        </is>
      </c>
      <c r="G343" s="11" t="inlineStr">
        <is>
          <t>Bent Chetler 120</t>
        </is>
      </c>
      <c r="H343" s="13" t="n">
        <v>184</v>
      </c>
      <c r="I343" s="11" t="inlineStr">
        <is>
          <t xml:space="preserve"> Unisex</t>
        </is>
      </c>
      <c r="J343" s="13" t="n">
        <v>184</v>
      </c>
      <c r="K343" s="13" t="n">
        <v>182.6</v>
      </c>
      <c r="L343" s="13" t="n">
        <v>107</v>
      </c>
      <c r="M343" s="13" t="n">
        <v>137</v>
      </c>
      <c r="N343" s="13" t="n">
        <v>142</v>
      </c>
      <c r="O343" s="13" t="n">
        <v>119</v>
      </c>
      <c r="P343" s="13" t="n">
        <v>133</v>
      </c>
      <c r="Q343" s="13" t="n">
        <v>20.2</v>
      </c>
      <c r="R343" s="13" t="n">
        <v>1816</v>
      </c>
      <c r="S343" s="13" t="n">
        <v>1.25</v>
      </c>
      <c r="T343" s="13" t="n">
        <v>2262</v>
      </c>
      <c r="U343" s="13" t="n">
        <v>255</v>
      </c>
      <c r="V343" s="13" t="n">
        <v>103</v>
      </c>
      <c r="W343" s="13" t="n">
        <v>54</v>
      </c>
      <c r="X343" s="13" t="n">
        <v>395</v>
      </c>
      <c r="Y343" s="13" t="n">
        <v>53</v>
      </c>
      <c r="Z343" s="13" t="n">
        <v>359</v>
      </c>
      <c r="AA343" s="13" t="n">
        <v>0.988</v>
      </c>
      <c r="AB343" s="13" t="n">
        <v>204</v>
      </c>
      <c r="AC343" s="13" t="n">
        <v>255</v>
      </c>
      <c r="AD343" s="13" t="n">
        <v>191</v>
      </c>
      <c r="AE343" s="13" t="n">
        <v>5</v>
      </c>
      <c r="AF343" s="13" t="n">
        <v>3.9</v>
      </c>
      <c r="AG343" s="11" t="inlineStr">
        <is>
          <t xml:space="preserve"> Freeski</t>
        </is>
      </c>
      <c r="AH343" s="11" t="inlineStr">
        <is>
          <t xml:space="preserve"> Powder</t>
        </is>
      </c>
      <c r="AI343" s="11" t="inlineStr">
        <is>
          <t xml:space="preserve"> Touring</t>
        </is>
      </c>
      <c r="AJ343" s="13" t="n"/>
      <c r="AK343" s="42" t="n"/>
    </row>
    <row r="344">
      <c r="E344" s="40" t="inlineStr">
        <is>
          <t>21/22</t>
        </is>
      </c>
      <c r="F344" s="10" t="inlineStr">
        <is>
          <t xml:space="preserve"> Atomic</t>
        </is>
      </c>
      <c r="G344" s="11" t="inlineStr">
        <is>
          <t>Bent Chetler 120</t>
        </is>
      </c>
      <c r="H344" s="13" t="n">
        <v>192</v>
      </c>
      <c r="I344" s="11" t="inlineStr">
        <is>
          <t xml:space="preserve"> Unisex</t>
        </is>
      </c>
      <c r="J344" s="13" t="n">
        <v>192</v>
      </c>
      <c r="K344" s="13" t="n">
        <v>188.1</v>
      </c>
      <c r="L344" s="13" t="n">
        <v>115</v>
      </c>
      <c r="M344" s="13" t="n">
        <v>143</v>
      </c>
      <c r="N344" s="13" t="n">
        <v>143</v>
      </c>
      <c r="O344" s="13" t="n">
        <v>119</v>
      </c>
      <c r="P344" s="13" t="n">
        <v>134</v>
      </c>
      <c r="Q344" s="13" t="n">
        <v>21.4</v>
      </c>
      <c r="R344" s="13" t="n">
        <v>1970</v>
      </c>
      <c r="S344" s="13" t="n">
        <v>1.19</v>
      </c>
      <c r="T344" s="13" t="n">
        <v>2341</v>
      </c>
      <c r="U344" s="13" t="n">
        <v>275</v>
      </c>
      <c r="V344" s="13" t="n">
        <v>115</v>
      </c>
      <c r="W344" s="13" t="n">
        <v>56</v>
      </c>
      <c r="X344" s="13" t="n">
        <v>398</v>
      </c>
      <c r="Y344" s="13" t="n">
        <v>42</v>
      </c>
      <c r="Z344" s="13" t="n">
        <v>329</v>
      </c>
      <c r="AA344" s="13" t="n">
        <v>0.762</v>
      </c>
      <c r="AB344" s="13" t="n">
        <v>204</v>
      </c>
      <c r="AC344" s="13" t="n">
        <v>252</v>
      </c>
      <c r="AD344" s="13" t="n">
        <v>194</v>
      </c>
      <c r="AE344" s="13" t="n">
        <v>5</v>
      </c>
      <c r="AF344" s="13" t="n">
        <v>6.5</v>
      </c>
      <c r="AG344" s="11" t="inlineStr">
        <is>
          <t xml:space="preserve"> Powder</t>
        </is>
      </c>
      <c r="AH344" s="11" t="inlineStr">
        <is>
          <t xml:space="preserve"> Touring</t>
        </is>
      </c>
      <c r="AI344" s="13" t="n"/>
      <c r="AJ344" s="13" t="n"/>
      <c r="AK344" s="42" t="n"/>
    </row>
    <row r="345">
      <c r="E345" s="40" t="inlineStr">
        <is>
          <t>21/22</t>
        </is>
      </c>
      <c r="F345" s="10" t="inlineStr">
        <is>
          <t xml:space="preserve"> Atomic</t>
        </is>
      </c>
      <c r="G345" s="11" t="inlineStr">
        <is>
          <t xml:space="preserve"> Bent Chetler JR</t>
        </is>
      </c>
      <c r="H345" s="13" t="n">
        <v>140</v>
      </c>
      <c r="I345" s="11" t="inlineStr">
        <is>
          <t xml:space="preserve"> Junior</t>
        </is>
      </c>
      <c r="J345" s="13" t="n">
        <v>140</v>
      </c>
      <c r="K345" s="13" t="n">
        <v>139.6</v>
      </c>
      <c r="L345" s="13" t="n">
        <v>101</v>
      </c>
      <c r="M345" s="13" t="n">
        <v>121</v>
      </c>
      <c r="N345" s="13" t="n">
        <v>121</v>
      </c>
      <c r="O345" s="13" t="n">
        <v>83</v>
      </c>
      <c r="P345" s="13" t="n">
        <v>111</v>
      </c>
      <c r="Q345" s="13" t="n">
        <v>10.8</v>
      </c>
      <c r="R345" s="13" t="n">
        <v>1483</v>
      </c>
      <c r="S345" s="13" t="n">
        <v>0.9</v>
      </c>
      <c r="T345" s="13" t="n">
        <v>1331</v>
      </c>
      <c r="U345" s="13" t="n">
        <v>114</v>
      </c>
      <c r="V345" s="13" t="n">
        <v>62</v>
      </c>
      <c r="W345" s="13" t="n">
        <v>40</v>
      </c>
      <c r="X345" s="13" t="n">
        <v>198</v>
      </c>
      <c r="Y345" s="13" t="n">
        <v>30</v>
      </c>
      <c r="Z345" s="13" t="n">
        <v>186</v>
      </c>
      <c r="AA345" s="13" t="n">
        <v>0.759</v>
      </c>
      <c r="AB345" s="13" t="n">
        <v>89</v>
      </c>
      <c r="AC345" s="13" t="n">
        <v>93</v>
      </c>
      <c r="AD345" s="13" t="n">
        <v>109</v>
      </c>
      <c r="AE345" s="13" t="n">
        <v>4</v>
      </c>
      <c r="AF345" s="13" t="n">
        <v>3.7</v>
      </c>
      <c r="AG345" s="11" t="inlineStr">
        <is>
          <t xml:space="preserve"> Resort Freeride</t>
        </is>
      </c>
      <c r="AH345" s="13" t="n"/>
      <c r="AI345" s="13" t="n"/>
      <c r="AJ345" s="13" t="n"/>
      <c r="AK345" s="42" t="n"/>
    </row>
    <row r="346">
      <c r="E346" s="40" t="inlineStr">
        <is>
          <t>21/22</t>
        </is>
      </c>
      <c r="F346" s="10" t="inlineStr">
        <is>
          <t xml:space="preserve"> Atomic</t>
        </is>
      </c>
      <c r="G346" s="11" t="inlineStr">
        <is>
          <t xml:space="preserve"> Bent Chetler JR</t>
        </is>
      </c>
      <c r="H346" s="13" t="n">
        <v>150</v>
      </c>
      <c r="I346" s="11" t="inlineStr">
        <is>
          <t xml:space="preserve"> Junior</t>
        </is>
      </c>
      <c r="J346" s="13" t="n">
        <v>150</v>
      </c>
      <c r="K346" s="13" t="n">
        <v>149.8</v>
      </c>
      <c r="L346" s="13" t="n">
        <v>118</v>
      </c>
      <c r="M346" s="13" t="n">
        <v>131</v>
      </c>
      <c r="N346" s="13" t="n">
        <v>121</v>
      </c>
      <c r="O346" s="13" t="n">
        <v>83</v>
      </c>
      <c r="P346" s="13" t="n">
        <v>110</v>
      </c>
      <c r="Q346" s="13" t="n">
        <v>12.9</v>
      </c>
      <c r="R346" s="13" t="n">
        <v>1631</v>
      </c>
      <c r="S346" s="13" t="n">
        <v>0.87</v>
      </c>
      <c r="T346" s="13" t="n">
        <v>1427</v>
      </c>
      <c r="U346" s="13" t="n">
        <v>137</v>
      </c>
      <c r="V346" s="13" t="n">
        <v>63</v>
      </c>
      <c r="W346" s="13" t="n">
        <v>41</v>
      </c>
      <c r="X346" s="13" t="n">
        <v>182</v>
      </c>
      <c r="Y346" s="13" t="n">
        <v>29</v>
      </c>
      <c r="Z346" s="13" t="n">
        <v>133</v>
      </c>
      <c r="AA346" s="13" t="n">
        <v>0.699</v>
      </c>
      <c r="AB346" s="13" t="n">
        <v>89</v>
      </c>
      <c r="AC346" s="13" t="n">
        <v>98</v>
      </c>
      <c r="AD346" s="13" t="n">
        <v>93</v>
      </c>
      <c r="AE346" s="13" t="n">
        <v>7</v>
      </c>
      <c r="AF346" s="13" t="n">
        <v>5</v>
      </c>
      <c r="AG346" s="11" t="inlineStr">
        <is>
          <t xml:space="preserve"> Resort Freeride</t>
        </is>
      </c>
      <c r="AH346" s="13" t="n"/>
      <c r="AI346" s="13" t="n"/>
      <c r="AJ346" s="13" t="n"/>
      <c r="AK346" s="42" t="n"/>
    </row>
    <row r="347">
      <c r="E347" s="40" t="inlineStr">
        <is>
          <t>21/22</t>
        </is>
      </c>
      <c r="F347" s="10" t="inlineStr">
        <is>
          <t xml:space="preserve"> Atomic</t>
        </is>
      </c>
      <c r="G347" s="11" t="inlineStr">
        <is>
          <t>Cloud C11 WB</t>
        </is>
      </c>
      <c r="H347" s="13" t="n">
        <v>160</v>
      </c>
      <c r="I347" s="11" t="inlineStr">
        <is>
          <t xml:space="preserve"> Women's</t>
        </is>
      </c>
      <c r="J347" s="13" t="n">
        <v>160</v>
      </c>
      <c r="K347" s="13" t="n">
        <v>159.3</v>
      </c>
      <c r="L347" s="13" t="n">
        <v>138</v>
      </c>
      <c r="M347" s="13" t="n">
        <v>145</v>
      </c>
      <c r="N347" s="13" t="n">
        <v>122</v>
      </c>
      <c r="O347" s="13" t="n">
        <v>74</v>
      </c>
      <c r="P347" s="13" t="n">
        <v>106</v>
      </c>
      <c r="Q347" s="13" t="n">
        <v>13</v>
      </c>
      <c r="R347" s="13" t="n">
        <v>1544</v>
      </c>
      <c r="S347" s="13" t="n">
        <v>0.92</v>
      </c>
      <c r="T347" s="13" t="n">
        <v>1425</v>
      </c>
      <c r="U347" s="13" t="n">
        <v>180</v>
      </c>
      <c r="V347" s="13" t="n">
        <v>65</v>
      </c>
      <c r="W347" s="13" t="n">
        <v>39</v>
      </c>
      <c r="X347" s="13" t="n">
        <v>149</v>
      </c>
      <c r="Y347" s="13" t="n">
        <v>5</v>
      </c>
      <c r="Z347" s="13" t="n">
        <v>59</v>
      </c>
      <c r="AA347" s="13" t="n">
        <v>0.121</v>
      </c>
      <c r="AB347" s="13" t="n">
        <v>83</v>
      </c>
      <c r="AC347" s="13" t="n">
        <v>56</v>
      </c>
      <c r="AD347" s="13" t="n">
        <v>66</v>
      </c>
      <c r="AE347" s="13" t="n">
        <v>3</v>
      </c>
      <c r="AF347" s="13" t="n">
        <v>13.2</v>
      </c>
      <c r="AG347" s="11" t="inlineStr">
        <is>
          <t xml:space="preserve"> On-Piste Carving</t>
        </is>
      </c>
      <c r="AH347" s="13" t="n"/>
      <c r="AI347" s="13" t="n"/>
      <c r="AJ347" s="13" t="n"/>
      <c r="AK347" s="42" t="n"/>
    </row>
    <row r="348">
      <c r="E348" s="40" t="inlineStr">
        <is>
          <t>21/22</t>
        </is>
      </c>
      <c r="F348" s="10" t="inlineStr">
        <is>
          <t xml:space="preserve"> Atomic</t>
        </is>
      </c>
      <c r="G348" s="11" t="inlineStr">
        <is>
          <t>Cloud C12 Servo</t>
        </is>
      </c>
      <c r="H348" s="13" t="n">
        <v>147</v>
      </c>
      <c r="I348" s="11" t="inlineStr">
        <is>
          <t xml:space="preserve"> Women's</t>
        </is>
      </c>
      <c r="J348" s="13" t="n">
        <v>147</v>
      </c>
      <c r="K348" s="13" t="n">
        <v>146.6</v>
      </c>
      <c r="L348" s="13" t="n">
        <v>127</v>
      </c>
      <c r="M348" s="13" t="n">
        <v>134</v>
      </c>
      <c r="N348" s="13" t="n">
        <v>107</v>
      </c>
      <c r="O348" s="13" t="n">
        <v>69</v>
      </c>
      <c r="P348" s="13" t="n">
        <v>95</v>
      </c>
      <c r="Q348" s="13" t="n">
        <v>13.1</v>
      </c>
      <c r="R348" s="13" t="n">
        <v>1663</v>
      </c>
      <c r="S348" s="13" t="n">
        <v>0.72</v>
      </c>
      <c r="T348" s="13" t="n">
        <v>1193</v>
      </c>
      <c r="U348" s="13" t="n">
        <v>134</v>
      </c>
      <c r="V348" s="13" t="n">
        <v>45</v>
      </c>
      <c r="W348" s="13" t="n">
        <v>36</v>
      </c>
      <c r="X348" s="13" t="n">
        <v>140</v>
      </c>
      <c r="Y348" s="13" t="n">
        <v>4</v>
      </c>
      <c r="Z348" s="13" t="n">
        <v>52</v>
      </c>
      <c r="AA348" s="13" t="n">
        <v>0.117</v>
      </c>
      <c r="AB348" s="13" t="n">
        <v>80</v>
      </c>
      <c r="AC348" s="13" t="n">
        <v>49</v>
      </c>
      <c r="AD348" s="13" t="n">
        <v>60</v>
      </c>
      <c r="AE348" s="13" t="n">
        <v>7</v>
      </c>
      <c r="AF348" s="13" t="n">
        <v>12.3</v>
      </c>
      <c r="AG348" s="11" t="inlineStr">
        <is>
          <t xml:space="preserve"> On-Piste Carving</t>
        </is>
      </c>
      <c r="AH348" s="13" t="n"/>
      <c r="AI348" s="13" t="n"/>
      <c r="AJ348" s="13" t="n"/>
      <c r="AK348" s="42" t="n"/>
    </row>
    <row r="349">
      <c r="E349" s="40" t="inlineStr">
        <is>
          <t>21/22</t>
        </is>
      </c>
      <c r="F349" s="10" t="inlineStr">
        <is>
          <t xml:space="preserve"> Atomic</t>
        </is>
      </c>
      <c r="G349" s="11" t="inlineStr">
        <is>
          <t>Cloud C12 Servo</t>
        </is>
      </c>
      <c r="H349" s="13" t="n">
        <v>154</v>
      </c>
      <c r="I349" s="11" t="inlineStr">
        <is>
          <t xml:space="preserve"> Women's</t>
        </is>
      </c>
      <c r="J349" s="13" t="n">
        <v>154</v>
      </c>
      <c r="K349" s="13" t="n">
        <v>153.6</v>
      </c>
      <c r="L349" s="13" t="n">
        <v>134</v>
      </c>
      <c r="M349" s="13" t="n">
        <v>140</v>
      </c>
      <c r="N349" s="13" t="n">
        <v>109</v>
      </c>
      <c r="O349" s="13" t="n">
        <v>69</v>
      </c>
      <c r="P349" s="13" t="n">
        <v>97</v>
      </c>
      <c r="Q349" s="13" t="n">
        <v>13.8</v>
      </c>
      <c r="R349" s="13" t="n">
        <v>1767</v>
      </c>
      <c r="S349" s="13" t="n">
        <v>0.71</v>
      </c>
      <c r="T349" s="13" t="n">
        <v>1256</v>
      </c>
      <c r="U349" s="13" t="n">
        <v>158</v>
      </c>
      <c r="V349" s="13" t="n">
        <v>52</v>
      </c>
      <c r="W349" s="13" t="n">
        <v>37</v>
      </c>
      <c r="X349" s="13" t="n">
        <v>143</v>
      </c>
      <c r="Y349" s="13" t="n">
        <v>5</v>
      </c>
      <c r="Z349" s="13" t="n">
        <v>56</v>
      </c>
      <c r="AA349" s="13" t="n">
        <v>0.123</v>
      </c>
      <c r="AB349" s="13" t="n">
        <v>84</v>
      </c>
      <c r="AC349" s="13" t="n">
        <v>53</v>
      </c>
      <c r="AD349" s="13" t="n">
        <v>59</v>
      </c>
      <c r="AE349" s="13" t="n">
        <v>6</v>
      </c>
      <c r="AF349" s="13" t="n">
        <v>12.4</v>
      </c>
      <c r="AG349" s="11" t="inlineStr">
        <is>
          <t xml:space="preserve"> On-Piste Carving</t>
        </is>
      </c>
      <c r="AH349" s="13" t="n"/>
      <c r="AI349" s="13" t="n"/>
      <c r="AJ349" s="13" t="n"/>
      <c r="AK349" s="42" t="n"/>
    </row>
    <row r="350">
      <c r="E350" s="40" t="inlineStr">
        <is>
          <t>21/22</t>
        </is>
      </c>
      <c r="F350" s="10" t="inlineStr">
        <is>
          <t xml:space="preserve"> Atomic</t>
        </is>
      </c>
      <c r="G350" s="11" t="inlineStr">
        <is>
          <t>Cloud C12 Servo</t>
        </is>
      </c>
      <c r="H350" s="13" t="n">
        <v>161</v>
      </c>
      <c r="I350" s="11" t="inlineStr">
        <is>
          <t xml:space="preserve"> Women's</t>
        </is>
      </c>
      <c r="J350" s="13" t="n">
        <v>161</v>
      </c>
      <c r="K350" s="13" t="n">
        <v>160.3</v>
      </c>
      <c r="L350" s="13" t="n">
        <v>141</v>
      </c>
      <c r="M350" s="13" t="n">
        <v>147</v>
      </c>
      <c r="N350" s="13" t="n">
        <v>110</v>
      </c>
      <c r="O350" s="13" t="n">
        <v>69</v>
      </c>
      <c r="P350" s="13" t="n">
        <v>99</v>
      </c>
      <c r="Q350" s="13" t="n">
        <v>14.5</v>
      </c>
      <c r="R350" s="13" t="n">
        <v>1803</v>
      </c>
      <c r="S350" s="13" t="n">
        <v>0.73</v>
      </c>
      <c r="T350" s="13" t="n">
        <v>1319</v>
      </c>
      <c r="U350" s="13" t="n">
        <v>163</v>
      </c>
      <c r="V350" s="13" t="n">
        <v>56</v>
      </c>
      <c r="W350" s="13" t="n">
        <v>38</v>
      </c>
      <c r="X350" s="13" t="n">
        <v>145</v>
      </c>
      <c r="Y350" s="13" t="n">
        <v>4</v>
      </c>
      <c r="Z350" s="13" t="n">
        <v>50</v>
      </c>
      <c r="AA350" s="13" t="n">
        <v>0.097</v>
      </c>
      <c r="AB350" s="13" t="n">
        <v>80</v>
      </c>
      <c r="AC350" s="13" t="n">
        <v>53</v>
      </c>
      <c r="AD350" s="13" t="n">
        <v>65</v>
      </c>
      <c r="AE350" s="13" t="n">
        <v>8</v>
      </c>
      <c r="AF350" s="13" t="n">
        <v>12.5</v>
      </c>
      <c r="AG350" s="11" t="inlineStr">
        <is>
          <t xml:space="preserve"> On-Piste Carving</t>
        </is>
      </c>
      <c r="AH350" s="13" t="n"/>
      <c r="AI350" s="13" t="n"/>
      <c r="AJ350" s="13" t="n"/>
      <c r="AK350" s="42" t="n"/>
    </row>
    <row r="351">
      <c r="E351" s="40" t="inlineStr">
        <is>
          <t>21/22</t>
        </is>
      </c>
      <c r="F351" s="10" t="inlineStr">
        <is>
          <t xml:space="preserve"> Atomic</t>
        </is>
      </c>
      <c r="G351" s="11" t="inlineStr">
        <is>
          <t>Cloud C9</t>
        </is>
      </c>
      <c r="H351" s="13" t="n">
        <v>143</v>
      </c>
      <c r="I351" s="11" t="inlineStr">
        <is>
          <t xml:space="preserve"> Women's</t>
        </is>
      </c>
      <c r="J351" s="13" t="n">
        <v>143</v>
      </c>
      <c r="K351" s="13" t="n">
        <v>142.9</v>
      </c>
      <c r="L351" s="13" t="n">
        <v>125</v>
      </c>
      <c r="M351" s="13" t="n">
        <v>129</v>
      </c>
      <c r="N351" s="13" t="n">
        <v>108</v>
      </c>
      <c r="O351" s="13" t="n">
        <v>72</v>
      </c>
      <c r="P351" s="13" t="n">
        <v>94</v>
      </c>
      <c r="Q351" s="13" t="n">
        <v>13.7</v>
      </c>
      <c r="R351" s="13" t="n">
        <v>1478</v>
      </c>
      <c r="S351" s="13" t="n">
        <v>0.8</v>
      </c>
      <c r="T351" s="13" t="n">
        <v>1189</v>
      </c>
      <c r="U351" s="13" t="n">
        <v>119</v>
      </c>
      <c r="V351" s="13" t="n">
        <v>57</v>
      </c>
      <c r="W351" s="13" t="n">
        <v>32</v>
      </c>
      <c r="X351" s="13" t="n">
        <v>133</v>
      </c>
      <c r="Y351" s="13" t="n">
        <v>4</v>
      </c>
      <c r="Z351" s="13" t="n">
        <v>48</v>
      </c>
      <c r="AA351" s="13" t="n">
        <v>0.117</v>
      </c>
      <c r="AB351" s="13" t="n">
        <v>89</v>
      </c>
      <c r="AC351" s="13" t="n">
        <v>52</v>
      </c>
      <c r="AD351" s="13" t="n">
        <v>45</v>
      </c>
      <c r="AE351" s="13" t="n">
        <v>11</v>
      </c>
      <c r="AF351" s="13" t="n">
        <v>12.6</v>
      </c>
      <c r="AG351" s="11" t="inlineStr">
        <is>
          <t xml:space="preserve"> On-Piste Carving</t>
        </is>
      </c>
      <c r="AH351" s="13" t="n"/>
      <c r="AI351" s="13" t="n"/>
      <c r="AJ351" s="13" t="n"/>
      <c r="AK351" s="42" t="n"/>
    </row>
    <row r="352">
      <c r="E352" s="40" t="inlineStr">
        <is>
          <t>21/22</t>
        </is>
      </c>
      <c r="F352" s="10" t="inlineStr">
        <is>
          <t xml:space="preserve"> Atomic</t>
        </is>
      </c>
      <c r="G352" s="11" t="inlineStr">
        <is>
          <t>Cloud C9</t>
        </is>
      </c>
      <c r="H352" s="13" t="n">
        <v>150</v>
      </c>
      <c r="I352" s="11" t="inlineStr">
        <is>
          <t xml:space="preserve"> Women's</t>
        </is>
      </c>
      <c r="J352" s="13" t="n">
        <v>150</v>
      </c>
      <c r="K352" s="13" t="n">
        <v>149.7</v>
      </c>
      <c r="L352" s="13" t="n">
        <v>132</v>
      </c>
      <c r="M352" s="13" t="n">
        <v>135</v>
      </c>
      <c r="N352" s="13" t="n">
        <v>110</v>
      </c>
      <c r="O352" s="13" t="n">
        <v>71</v>
      </c>
      <c r="P352" s="13" t="n">
        <v>96</v>
      </c>
      <c r="Q352" s="13" t="n">
        <v>14.2</v>
      </c>
      <c r="R352" s="13" t="n">
        <v>1528</v>
      </c>
      <c r="S352" s="13" t="n">
        <v>0.82</v>
      </c>
      <c r="T352" s="13" t="n">
        <v>1247</v>
      </c>
      <c r="U352" s="13" t="n">
        <v>128</v>
      </c>
      <c r="V352" s="13" t="n">
        <v>67</v>
      </c>
      <c r="W352" s="13" t="n">
        <v>30</v>
      </c>
      <c r="X352" s="13" t="n">
        <v>134</v>
      </c>
      <c r="Y352" s="13" t="n">
        <v>4</v>
      </c>
      <c r="Z352" s="13" t="n">
        <v>47</v>
      </c>
      <c r="AA352" s="13" t="n">
        <v>0.119</v>
      </c>
      <c r="AB352" s="13" t="n">
        <v>95</v>
      </c>
      <c r="AC352" s="13" t="n">
        <v>55</v>
      </c>
      <c r="AD352" s="13" t="n">
        <v>38</v>
      </c>
      <c r="AE352" s="13" t="n">
        <v>11</v>
      </c>
      <c r="AF352" s="13" t="n">
        <v>12.1</v>
      </c>
      <c r="AG352" s="11" t="inlineStr">
        <is>
          <t xml:space="preserve"> On-Piste Carving</t>
        </is>
      </c>
      <c r="AH352" s="11" t="inlineStr">
        <is>
          <t xml:space="preserve"> On-Piste All-Mountain</t>
        </is>
      </c>
      <c r="AI352" s="13" t="n"/>
      <c r="AJ352" s="13" t="n"/>
      <c r="AK352" s="42" t="n"/>
    </row>
    <row r="353">
      <c r="E353" s="40" t="inlineStr">
        <is>
          <t>21/22</t>
        </is>
      </c>
      <c r="F353" s="10" t="inlineStr">
        <is>
          <t xml:space="preserve"> Atomic</t>
        </is>
      </c>
      <c r="G353" s="11" t="inlineStr">
        <is>
          <t>Cloud C9</t>
        </is>
      </c>
      <c r="H353" s="13" t="n">
        <v>157</v>
      </c>
      <c r="I353" s="11" t="inlineStr">
        <is>
          <t xml:space="preserve"> Women's</t>
        </is>
      </c>
      <c r="J353" s="13" t="n">
        <v>157</v>
      </c>
      <c r="K353" s="13" t="n">
        <v>156.9</v>
      </c>
      <c r="L353" s="13" t="n">
        <v>138</v>
      </c>
      <c r="M353" s="13" t="n">
        <v>142</v>
      </c>
      <c r="N353" s="13" t="n">
        <v>112</v>
      </c>
      <c r="O353" s="13" t="n">
        <v>72</v>
      </c>
      <c r="P353" s="13" t="n">
        <v>98</v>
      </c>
      <c r="Q353" s="13" t="n">
        <v>14.8</v>
      </c>
      <c r="R353" s="13" t="n">
        <v>1646</v>
      </c>
      <c r="S353" s="13" t="n">
        <v>0.8100000000000001</v>
      </c>
      <c r="T353" s="13" t="n">
        <v>1328</v>
      </c>
      <c r="U353" s="13" t="n">
        <v>150</v>
      </c>
      <c r="V353" s="13" t="n">
        <v>75</v>
      </c>
      <c r="W353" s="13" t="n">
        <v>32</v>
      </c>
      <c r="X353" s="13" t="n">
        <v>138</v>
      </c>
      <c r="Y353" s="13" t="n">
        <v>4</v>
      </c>
      <c r="Z353" s="13" t="n">
        <v>48</v>
      </c>
      <c r="AA353" s="13" t="n">
        <v>0.127</v>
      </c>
      <c r="AB353" s="13" t="n">
        <v>94</v>
      </c>
      <c r="AC353" s="13" t="n">
        <v>54</v>
      </c>
      <c r="AD353" s="13" t="n">
        <v>44</v>
      </c>
      <c r="AE353" s="13" t="n">
        <v>11</v>
      </c>
      <c r="AF353" s="13" t="n">
        <v>12.4</v>
      </c>
      <c r="AG353" s="11" t="inlineStr">
        <is>
          <t xml:space="preserve"> On-Piste Carving</t>
        </is>
      </c>
      <c r="AH353" s="13" t="n"/>
      <c r="AI353" s="13" t="n"/>
      <c r="AJ353" s="13" t="n"/>
      <c r="AK353" s="42" t="n"/>
    </row>
    <row r="354">
      <c r="E354" s="40" t="inlineStr">
        <is>
          <t>21/22</t>
        </is>
      </c>
      <c r="F354" s="10" t="inlineStr">
        <is>
          <t xml:space="preserve"> Atomic</t>
        </is>
      </c>
      <c r="G354" s="11" t="inlineStr">
        <is>
          <t>Cloud C9</t>
        </is>
      </c>
      <c r="H354" s="13" t="n">
        <v>164</v>
      </c>
      <c r="I354" s="11" t="inlineStr">
        <is>
          <t xml:space="preserve"> Women's</t>
        </is>
      </c>
      <c r="J354" s="13" t="n">
        <v>164</v>
      </c>
      <c r="K354" s="13" t="n">
        <v>163.5</v>
      </c>
      <c r="L354" s="13" t="n">
        <v>146</v>
      </c>
      <c r="M354" s="13" t="n">
        <v>148</v>
      </c>
      <c r="N354" s="13" t="n">
        <v>114</v>
      </c>
      <c r="O354" s="13" t="n">
        <v>72</v>
      </c>
      <c r="P354" s="13" t="n">
        <v>101</v>
      </c>
      <c r="Q354" s="13" t="n">
        <v>15.4</v>
      </c>
      <c r="R354" s="13" t="n">
        <v>1747</v>
      </c>
      <c r="S354" s="13" t="n">
        <v>0.8</v>
      </c>
      <c r="T354" s="13" t="n">
        <v>1399</v>
      </c>
      <c r="U354" s="13" t="n">
        <v>163</v>
      </c>
      <c r="V354" s="13" t="n">
        <v>79</v>
      </c>
      <c r="W354" s="13" t="n">
        <v>30</v>
      </c>
      <c r="X354" s="13" t="n">
        <v>132</v>
      </c>
      <c r="Y354" s="13" t="n">
        <v>3</v>
      </c>
      <c r="Z354" s="13" t="n">
        <v>47</v>
      </c>
      <c r="AA354" s="13" t="n">
        <v>0.111</v>
      </c>
      <c r="AB354" s="13" t="n">
        <v>93</v>
      </c>
      <c r="AC354" s="13" t="n">
        <v>57</v>
      </c>
      <c r="AD354" s="13" t="n">
        <v>39</v>
      </c>
      <c r="AE354" s="13" t="n">
        <v>15</v>
      </c>
      <c r="AF354" s="13" t="n">
        <v>12.5</v>
      </c>
      <c r="AG354" s="11" t="inlineStr">
        <is>
          <t xml:space="preserve"> On-Piste Carving</t>
        </is>
      </c>
      <c r="AH354" s="13" t="n"/>
      <c r="AI354" s="13" t="n"/>
      <c r="AJ354" s="13" t="n"/>
      <c r="AK354" s="42" t="n"/>
    </row>
    <row r="355">
      <c r="E355" s="40" t="inlineStr">
        <is>
          <t>21/22</t>
        </is>
      </c>
      <c r="F355" s="10" t="inlineStr">
        <is>
          <t xml:space="preserve"> Atomic</t>
        </is>
      </c>
      <c r="G355" s="11" t="inlineStr">
        <is>
          <t>Maven 86</t>
        </is>
      </c>
      <c r="H355" s="13" t="n">
        <v>147</v>
      </c>
      <c r="I355" s="11" t="inlineStr">
        <is>
          <t xml:space="preserve"> Women's</t>
        </is>
      </c>
      <c r="J355" s="13" t="n">
        <v>147</v>
      </c>
      <c r="K355" s="13" t="n">
        <v>146</v>
      </c>
      <c r="L355" s="13" t="n">
        <v>95</v>
      </c>
      <c r="M355" s="13" t="n">
        <v>121</v>
      </c>
      <c r="N355" s="13" t="n">
        <v>118</v>
      </c>
      <c r="O355" s="13" t="n">
        <v>85</v>
      </c>
      <c r="P355" s="13" t="n">
        <v>101</v>
      </c>
      <c r="Q355" s="13" t="n">
        <v>13.6</v>
      </c>
      <c r="R355" s="13" t="n">
        <v>1280</v>
      </c>
      <c r="S355" s="13" t="n">
        <v>1.09</v>
      </c>
      <c r="T355" s="13" t="n">
        <v>1391</v>
      </c>
      <c r="U355" s="13" t="n">
        <v>173</v>
      </c>
      <c r="V355" s="13" t="n">
        <v>73</v>
      </c>
      <c r="W355" s="13" t="n">
        <v>52</v>
      </c>
      <c r="X355" s="13" t="n">
        <v>303</v>
      </c>
      <c r="Y355" s="13" t="n">
        <v>14</v>
      </c>
      <c r="Z355" s="13" t="n">
        <v>206</v>
      </c>
      <c r="AA355" s="13" t="n">
        <v>0.273</v>
      </c>
      <c r="AB355" s="13" t="n">
        <v>158</v>
      </c>
      <c r="AC355" s="13" t="n">
        <v>94</v>
      </c>
      <c r="AD355" s="13" t="n">
        <v>144</v>
      </c>
      <c r="AE355" s="13" t="n">
        <v>2</v>
      </c>
      <c r="AF355" s="13" t="n">
        <v>8.300000000000001</v>
      </c>
      <c r="AG355" s="11" t="inlineStr">
        <is>
          <t xml:space="preserve"> On-Piste All-Mountain</t>
        </is>
      </c>
      <c r="AH355" s="11" t="inlineStr">
        <is>
          <t xml:space="preserve"> Resort Freeride</t>
        </is>
      </c>
      <c r="AI355" s="11" t="inlineStr">
        <is>
          <t xml:space="preserve"> Touring</t>
        </is>
      </c>
      <c r="AJ355" s="13" t="n"/>
      <c r="AK355" s="42" t="n"/>
    </row>
    <row r="356">
      <c r="E356" s="40" t="inlineStr">
        <is>
          <t>21/22</t>
        </is>
      </c>
      <c r="F356" s="10" t="inlineStr">
        <is>
          <t xml:space="preserve"> Atomic</t>
        </is>
      </c>
      <c r="G356" s="11" t="inlineStr">
        <is>
          <t>Maven 86</t>
        </is>
      </c>
      <c r="H356" s="13" t="n">
        <v>153</v>
      </c>
      <c r="I356" s="11" t="inlineStr">
        <is>
          <t xml:space="preserve"> Women's</t>
        </is>
      </c>
      <c r="J356" s="13" t="n">
        <v>153</v>
      </c>
      <c r="K356" s="13" t="n">
        <v>152.1</v>
      </c>
      <c r="L356" s="13" t="n">
        <v>104</v>
      </c>
      <c r="M356" s="13" t="n">
        <v>127</v>
      </c>
      <c r="N356" s="13" t="n">
        <v>120</v>
      </c>
      <c r="O356" s="13" t="n">
        <v>86</v>
      </c>
      <c r="P356" s="13" t="n">
        <v>103</v>
      </c>
      <c r="Q356" s="13" t="n">
        <v>14.2</v>
      </c>
      <c r="R356" s="13" t="n">
        <v>1338</v>
      </c>
      <c r="S356" s="13" t="n">
        <v>1.1</v>
      </c>
      <c r="T356" s="13" t="n">
        <v>1467</v>
      </c>
      <c r="U356" s="13" t="n">
        <v>184</v>
      </c>
      <c r="V356" s="13" t="n">
        <v>76</v>
      </c>
      <c r="W356" s="13" t="n">
        <v>47</v>
      </c>
      <c r="X356" s="13" t="n">
        <v>284</v>
      </c>
      <c r="Y356" s="13" t="n">
        <v>13</v>
      </c>
      <c r="Z356" s="13" t="n">
        <v>200</v>
      </c>
      <c r="AA356" s="13" t="n">
        <v>0.272</v>
      </c>
      <c r="AB356" s="13" t="n">
        <v>153</v>
      </c>
      <c r="AC356" s="13" t="n">
        <v>102</v>
      </c>
      <c r="AD356" s="13" t="n">
        <v>131</v>
      </c>
      <c r="AE356" s="13" t="n">
        <v>3</v>
      </c>
      <c r="AF356" s="13" t="n">
        <v>8.300000000000001</v>
      </c>
      <c r="AG356" s="11" t="inlineStr">
        <is>
          <t xml:space="preserve"> Resort Freeride</t>
        </is>
      </c>
      <c r="AH356" s="11" t="inlineStr">
        <is>
          <t xml:space="preserve"> Touring</t>
        </is>
      </c>
      <c r="AI356" s="13" t="n"/>
      <c r="AJ356" s="13" t="n"/>
      <c r="AK356" s="42" t="n"/>
    </row>
    <row r="357">
      <c r="E357" s="40" t="inlineStr">
        <is>
          <t>21/22</t>
        </is>
      </c>
      <c r="F357" s="10" t="inlineStr">
        <is>
          <t xml:space="preserve"> Atomic</t>
        </is>
      </c>
      <c r="G357" s="11" t="inlineStr">
        <is>
          <t>Maven 86</t>
        </is>
      </c>
      <c r="H357" s="13" t="n">
        <v>161</v>
      </c>
      <c r="I357" s="11" t="inlineStr">
        <is>
          <t xml:space="preserve"> Women's</t>
        </is>
      </c>
      <c r="J357" s="13" t="n">
        <v>161</v>
      </c>
      <c r="K357" s="13" t="n">
        <v>160.2</v>
      </c>
      <c r="L357" s="13" t="n">
        <v>113</v>
      </c>
      <c r="M357" s="13" t="n">
        <v>133</v>
      </c>
      <c r="N357" s="13" t="n">
        <v>121</v>
      </c>
      <c r="O357" s="13" t="n">
        <v>86</v>
      </c>
      <c r="P357" s="13" t="n">
        <v>104</v>
      </c>
      <c r="Q357" s="13" t="n">
        <v>16</v>
      </c>
      <c r="R357" s="13" t="n">
        <v>1403</v>
      </c>
      <c r="S357" s="13" t="n">
        <v>1.11</v>
      </c>
      <c r="T357" s="13" t="n">
        <v>1551</v>
      </c>
      <c r="U357" s="13" t="n">
        <v>191</v>
      </c>
      <c r="V357" s="13" t="n">
        <v>82</v>
      </c>
      <c r="W357" s="13" t="n">
        <v>48</v>
      </c>
      <c r="X357" s="13" t="n">
        <v>277</v>
      </c>
      <c r="Y357" s="13" t="n">
        <v>12</v>
      </c>
      <c r="Z357" s="13" t="n">
        <v>191</v>
      </c>
      <c r="AA357" s="13" t="n">
        <v>0.255</v>
      </c>
      <c r="AB357" s="13" t="n">
        <v>166</v>
      </c>
      <c r="AC357" s="13" t="n">
        <v>104</v>
      </c>
      <c r="AD357" s="13" t="n">
        <v>111</v>
      </c>
      <c r="AE357" s="13" t="n">
        <v>4</v>
      </c>
      <c r="AF357" s="13" t="n">
        <v>8.699999999999999</v>
      </c>
      <c r="AG357" s="11" t="inlineStr">
        <is>
          <t xml:space="preserve"> Resort Freeride</t>
        </is>
      </c>
      <c r="AH357" s="11" t="inlineStr">
        <is>
          <t xml:space="preserve"> Touring</t>
        </is>
      </c>
      <c r="AI357" s="13" t="n"/>
      <c r="AJ357" s="13" t="n"/>
      <c r="AK357" s="42" t="n"/>
    </row>
    <row r="358">
      <c r="E358" s="40" t="inlineStr">
        <is>
          <t>21/22</t>
        </is>
      </c>
      <c r="F358" s="10" t="inlineStr">
        <is>
          <t xml:space="preserve"> Atomic</t>
        </is>
      </c>
      <c r="G358" s="11" t="inlineStr">
        <is>
          <t>Maven 86 C</t>
        </is>
      </c>
      <c r="H358" s="13" t="n">
        <v>153</v>
      </c>
      <c r="I358" s="11" t="inlineStr">
        <is>
          <t xml:space="preserve"> Women's</t>
        </is>
      </c>
      <c r="J358" s="13" t="n">
        <v>153</v>
      </c>
      <c r="K358" s="13" t="n">
        <v>152</v>
      </c>
      <c r="L358" s="13" t="n">
        <v>102</v>
      </c>
      <c r="M358" s="13" t="n">
        <v>126</v>
      </c>
      <c r="N358" s="13" t="n">
        <v>120</v>
      </c>
      <c r="O358" s="13" t="n">
        <v>86</v>
      </c>
      <c r="P358" s="13" t="n">
        <v>103</v>
      </c>
      <c r="Q358" s="13" t="n">
        <v>14.1</v>
      </c>
      <c r="R358" s="13" t="n">
        <v>1332</v>
      </c>
      <c r="S358" s="13" t="n">
        <v>1.1</v>
      </c>
      <c r="T358" s="13" t="n">
        <v>1465</v>
      </c>
      <c r="U358" s="13" t="n">
        <v>178</v>
      </c>
      <c r="V358" s="13" t="n">
        <v>75</v>
      </c>
      <c r="W358" s="13" t="n">
        <v>49</v>
      </c>
      <c r="X358" s="13" t="n">
        <v>292</v>
      </c>
      <c r="Y358" s="13" t="n">
        <v>13</v>
      </c>
      <c r="Z358" s="13" t="n">
        <v>205</v>
      </c>
      <c r="AA358" s="13" t="n">
        <v>0.271</v>
      </c>
      <c r="AB358" s="13" t="n">
        <v>157</v>
      </c>
      <c r="AC358" s="13" t="n">
        <v>103</v>
      </c>
      <c r="AD358" s="13" t="n">
        <v>135</v>
      </c>
      <c r="AE358" s="13" t="n">
        <v>2</v>
      </c>
      <c r="AF358" s="13" t="n">
        <v>8.5</v>
      </c>
      <c r="AG358" s="11" t="inlineStr">
        <is>
          <t xml:space="preserve"> Resort Freeride</t>
        </is>
      </c>
      <c r="AH358" s="11" t="inlineStr">
        <is>
          <t xml:space="preserve"> Touring</t>
        </is>
      </c>
      <c r="AI358" s="13" t="n"/>
      <c r="AJ358" s="13" t="n"/>
      <c r="AK358" s="42" t="n"/>
    </row>
    <row r="359">
      <c r="E359" s="40" t="inlineStr">
        <is>
          <t>21/22</t>
        </is>
      </c>
      <c r="F359" s="10" t="inlineStr">
        <is>
          <t xml:space="preserve"> Atomic</t>
        </is>
      </c>
      <c r="G359" s="11" t="inlineStr">
        <is>
          <t>Maven 86 C</t>
        </is>
      </c>
      <c r="H359" s="13" t="n">
        <v>161</v>
      </c>
      <c r="I359" s="11" t="inlineStr">
        <is>
          <t xml:space="preserve"> Women's</t>
        </is>
      </c>
      <c r="J359" s="13" t="n">
        <v>161</v>
      </c>
      <c r="K359" s="13" t="n">
        <v>160.3</v>
      </c>
      <c r="L359" s="13" t="n">
        <v>112</v>
      </c>
      <c r="M359" s="13" t="n">
        <v>133</v>
      </c>
      <c r="N359" s="13" t="n">
        <v>122</v>
      </c>
      <c r="O359" s="13" t="n">
        <v>86</v>
      </c>
      <c r="P359" s="13" t="n">
        <v>104</v>
      </c>
      <c r="Q359" s="13" t="n">
        <v>15.6</v>
      </c>
      <c r="R359" s="13" t="n">
        <v>1424</v>
      </c>
      <c r="S359" s="13" t="n">
        <v>1.09</v>
      </c>
      <c r="T359" s="13" t="n">
        <v>1557</v>
      </c>
      <c r="U359" s="13" t="n">
        <v>202</v>
      </c>
      <c r="V359" s="13" t="n">
        <v>85</v>
      </c>
      <c r="W359" s="13" t="n">
        <v>45</v>
      </c>
      <c r="X359" s="13" t="n">
        <v>280</v>
      </c>
      <c r="Y359" s="13" t="n">
        <v>13</v>
      </c>
      <c r="Z359" s="13" t="n">
        <v>208</v>
      </c>
      <c r="AA359" s="13" t="n">
        <v>0.288</v>
      </c>
      <c r="AB359" s="13" t="n">
        <v>166</v>
      </c>
      <c r="AC359" s="13" t="n">
        <v>108</v>
      </c>
      <c r="AD359" s="13" t="n">
        <v>114</v>
      </c>
      <c r="AE359" s="13" t="n">
        <v>2</v>
      </c>
      <c r="AF359" s="13" t="n">
        <v>8.9</v>
      </c>
      <c r="AG359" s="11" t="inlineStr">
        <is>
          <t xml:space="preserve"> Resort Freeride</t>
        </is>
      </c>
      <c r="AH359" s="11" t="inlineStr">
        <is>
          <t xml:space="preserve"> Touring</t>
        </is>
      </c>
      <c r="AI359" s="13" t="n"/>
      <c r="AJ359" s="13" t="n"/>
      <c r="AK359" s="42" t="n"/>
    </row>
    <row r="360">
      <c r="E360" s="40" t="inlineStr">
        <is>
          <t>21/22</t>
        </is>
      </c>
      <c r="F360" s="10" t="inlineStr">
        <is>
          <t xml:space="preserve"> Atomic</t>
        </is>
      </c>
      <c r="G360" s="11" t="inlineStr">
        <is>
          <t>Maven 93 C</t>
        </is>
      </c>
      <c r="H360" s="13" t="n">
        <v>156</v>
      </c>
      <c r="I360" s="11" t="inlineStr">
        <is>
          <t xml:space="preserve"> Women's</t>
        </is>
      </c>
      <c r="J360" s="13" t="n">
        <v>156</v>
      </c>
      <c r="K360" s="13" t="n">
        <v>155.2</v>
      </c>
      <c r="L360" s="13" t="n">
        <v>105</v>
      </c>
      <c r="M360" s="13" t="n">
        <v>126</v>
      </c>
      <c r="N360" s="13" t="n">
        <v>124</v>
      </c>
      <c r="O360" s="13" t="n">
        <v>92</v>
      </c>
      <c r="P360" s="13" t="n">
        <v>108</v>
      </c>
      <c r="Q360" s="13" t="n">
        <v>15</v>
      </c>
      <c r="R360" s="13" t="n">
        <v>1407</v>
      </c>
      <c r="S360" s="13" t="n">
        <v>1.13</v>
      </c>
      <c r="T360" s="13" t="n">
        <v>1583</v>
      </c>
      <c r="U360" s="13" t="n">
        <v>171</v>
      </c>
      <c r="V360" s="13" t="n">
        <v>86</v>
      </c>
      <c r="W360" s="13" t="n">
        <v>51</v>
      </c>
      <c r="X360" s="13" t="n">
        <v>304</v>
      </c>
      <c r="Y360" s="13" t="n">
        <v>15</v>
      </c>
      <c r="Z360" s="13" t="n">
        <v>200</v>
      </c>
      <c r="AA360" s="13" t="n">
        <v>0.286</v>
      </c>
      <c r="AB360" s="13" t="n">
        <v>167</v>
      </c>
      <c r="AC360" s="13" t="n">
        <v>125</v>
      </c>
      <c r="AD360" s="13" t="n">
        <v>137</v>
      </c>
      <c r="AE360" s="13" t="n">
        <v>3</v>
      </c>
      <c r="AF360" s="13" t="n">
        <v>8.6</v>
      </c>
      <c r="AG360" s="11" t="inlineStr">
        <is>
          <t xml:space="preserve"> Resort Freeride</t>
        </is>
      </c>
      <c r="AH360" s="11" t="inlineStr">
        <is>
          <t xml:space="preserve"> Touring</t>
        </is>
      </c>
      <c r="AI360" s="13" t="n"/>
      <c r="AJ360" s="13" t="n"/>
      <c r="AK360" s="42" t="n"/>
    </row>
    <row r="361">
      <c r="E361" s="40" t="inlineStr">
        <is>
          <t>21/22</t>
        </is>
      </c>
      <c r="F361" s="10" t="inlineStr">
        <is>
          <t xml:space="preserve"> Atomic</t>
        </is>
      </c>
      <c r="G361" s="11" t="inlineStr">
        <is>
          <t>Maven 93 C</t>
        </is>
      </c>
      <c r="H361" s="13" t="n">
        <v>164</v>
      </c>
      <c r="I361" s="11" t="inlineStr">
        <is>
          <t xml:space="preserve"> Women's</t>
        </is>
      </c>
      <c r="J361" s="13" t="n">
        <v>164</v>
      </c>
      <c r="K361" s="13" t="n">
        <v>163.4</v>
      </c>
      <c r="L361" s="13" t="n">
        <v>113</v>
      </c>
      <c r="M361" s="13" t="n">
        <v>134</v>
      </c>
      <c r="N361" s="13" t="n">
        <v>125</v>
      </c>
      <c r="O361" s="13" t="n">
        <v>92</v>
      </c>
      <c r="P361" s="13" t="n">
        <v>109</v>
      </c>
      <c r="Q361" s="13" t="n">
        <v>16.6</v>
      </c>
      <c r="R361" s="13" t="n">
        <v>1489</v>
      </c>
      <c r="S361" s="13" t="n">
        <v>1.12</v>
      </c>
      <c r="T361" s="13" t="n">
        <v>1669</v>
      </c>
      <c r="U361" s="13" t="n">
        <v>218</v>
      </c>
      <c r="V361" s="13" t="n">
        <v>87</v>
      </c>
      <c r="W361" s="13" t="n">
        <v>53</v>
      </c>
      <c r="X361" s="13" t="n">
        <v>303</v>
      </c>
      <c r="Y361" s="13" t="n">
        <v>13</v>
      </c>
      <c r="Z361" s="13" t="n">
        <v>197</v>
      </c>
      <c r="AA361" s="13" t="n">
        <v>0.255</v>
      </c>
      <c r="AB361" s="13" t="n">
        <v>163</v>
      </c>
      <c r="AC361" s="13" t="n">
        <v>135</v>
      </c>
      <c r="AD361" s="13" t="n">
        <v>140</v>
      </c>
      <c r="AE361" s="13" t="n">
        <v>4</v>
      </c>
      <c r="AF361" s="13" t="n">
        <v>9.5</v>
      </c>
      <c r="AG361" s="11" t="inlineStr">
        <is>
          <t xml:space="preserve"> Resort Freeride</t>
        </is>
      </c>
      <c r="AH361" s="11" t="inlineStr">
        <is>
          <t xml:space="preserve"> Touring</t>
        </is>
      </c>
      <c r="AI361" s="13" t="n"/>
      <c r="AJ361" s="13" t="n"/>
      <c r="AK361" s="42" t="n"/>
    </row>
    <row r="362">
      <c r="E362" s="40" t="inlineStr">
        <is>
          <t>21/22</t>
        </is>
      </c>
      <c r="F362" s="10" t="inlineStr">
        <is>
          <t xml:space="preserve"> Atomic</t>
        </is>
      </c>
      <c r="G362" s="11" t="inlineStr">
        <is>
          <t>Maven 93 C</t>
        </is>
      </c>
      <c r="H362" s="13" t="n">
        <v>172</v>
      </c>
      <c r="I362" s="11" t="inlineStr">
        <is>
          <t xml:space="preserve"> Women's</t>
        </is>
      </c>
      <c r="J362" s="13" t="n">
        <v>172</v>
      </c>
      <c r="K362" s="13" t="n">
        <v>171.4</v>
      </c>
      <c r="L362" s="13" t="n">
        <v>122</v>
      </c>
      <c r="M362" s="13" t="n">
        <v>140</v>
      </c>
      <c r="N362" s="13" t="n">
        <v>127</v>
      </c>
      <c r="O362" s="13" t="n">
        <v>92</v>
      </c>
      <c r="P362" s="13" t="n">
        <v>110</v>
      </c>
      <c r="Q362" s="13" t="n">
        <v>17.9</v>
      </c>
      <c r="R362" s="13" t="n">
        <v>1642</v>
      </c>
      <c r="S362" s="13" t="n">
        <v>1.07</v>
      </c>
      <c r="T362" s="13" t="n">
        <v>1761</v>
      </c>
      <c r="U362" s="13" t="n">
        <v>219</v>
      </c>
      <c r="V362" s="13" t="n">
        <v>107</v>
      </c>
      <c r="W362" s="13" t="n">
        <v>52</v>
      </c>
      <c r="X362" s="13" t="n">
        <v>297</v>
      </c>
      <c r="Y362" s="13" t="n">
        <v>14</v>
      </c>
      <c r="Z362" s="13" t="n">
        <v>194</v>
      </c>
      <c r="AA362" s="13" t="n">
        <v>0.269</v>
      </c>
      <c r="AB362" s="13" t="n">
        <v>183</v>
      </c>
      <c r="AC362" s="13" t="n">
        <v>133</v>
      </c>
      <c r="AD362" s="13" t="n">
        <v>114</v>
      </c>
      <c r="AE362" s="13" t="n">
        <v>5</v>
      </c>
      <c r="AF362" s="13" t="n">
        <v>8.800000000000001</v>
      </c>
      <c r="AG362" s="11" t="inlineStr">
        <is>
          <t xml:space="preserve"> Resort Freeride</t>
        </is>
      </c>
      <c r="AH362" s="11" t="inlineStr">
        <is>
          <t xml:space="preserve"> Touring</t>
        </is>
      </c>
      <c r="AI362" s="13" t="n"/>
      <c r="AJ362" s="13" t="n"/>
      <c r="AK362" s="42" t="n"/>
    </row>
    <row r="363">
      <c r="E363" s="40" t="inlineStr">
        <is>
          <t>21/22</t>
        </is>
      </c>
      <c r="F363" s="10" t="inlineStr">
        <is>
          <t xml:space="preserve"> Atomic</t>
        </is>
      </c>
      <c r="G363" s="11" t="inlineStr">
        <is>
          <t>Maverick 100 Ti</t>
        </is>
      </c>
      <c r="H363" s="13" t="n">
        <v>172</v>
      </c>
      <c r="I363" s="11" t="inlineStr">
        <is>
          <t xml:space="preserve"> Unisex</t>
        </is>
      </c>
      <c r="J363" s="13" t="n">
        <v>172</v>
      </c>
      <c r="K363" s="13" t="n">
        <v>171.4</v>
      </c>
      <c r="L363" s="13" t="n">
        <v>122</v>
      </c>
      <c r="M363" s="13" t="n">
        <v>136</v>
      </c>
      <c r="N363" s="13" t="n">
        <v>127</v>
      </c>
      <c r="O363" s="13" t="n">
        <v>98</v>
      </c>
      <c r="P363" s="13" t="n">
        <v>117</v>
      </c>
      <c r="Q363" s="13" t="n">
        <v>17.8</v>
      </c>
      <c r="R363" s="13" t="n">
        <v>1629</v>
      </c>
      <c r="S363" s="13" t="n">
        <v>1.12</v>
      </c>
      <c r="T363" s="13" t="n">
        <v>1830</v>
      </c>
      <c r="U363" s="13" t="n">
        <v>203</v>
      </c>
      <c r="V363" s="13" t="n">
        <v>150</v>
      </c>
      <c r="W363" s="13" t="n">
        <v>56</v>
      </c>
      <c r="X363" s="13" t="n">
        <v>294</v>
      </c>
      <c r="Y363" s="13" t="n">
        <v>17</v>
      </c>
      <c r="Z363" s="13" t="n">
        <v>203</v>
      </c>
      <c r="AA363" s="13" t="n">
        <v>0.31</v>
      </c>
      <c r="AB363" s="13" t="n">
        <v>189</v>
      </c>
      <c r="AC363" s="13" t="n">
        <v>164</v>
      </c>
      <c r="AD363" s="13" t="n">
        <v>105</v>
      </c>
      <c r="AE363" s="13" t="n">
        <v>7</v>
      </c>
      <c r="AF363" s="13" t="n">
        <v>9.800000000000001</v>
      </c>
      <c r="AG363" s="11" t="inlineStr">
        <is>
          <t xml:space="preserve"> Resort Freeride</t>
        </is>
      </c>
      <c r="AH363" s="11" t="inlineStr">
        <is>
          <t xml:space="preserve"> Touring</t>
        </is>
      </c>
      <c r="AI363" s="13" t="n"/>
      <c r="AJ363" s="13" t="n"/>
      <c r="AK363" s="42" t="n"/>
    </row>
    <row r="364">
      <c r="E364" s="40" t="inlineStr">
        <is>
          <t>21/22</t>
        </is>
      </c>
      <c r="F364" s="10" t="inlineStr">
        <is>
          <t xml:space="preserve"> Atomic</t>
        </is>
      </c>
      <c r="G364" s="11" t="inlineStr">
        <is>
          <t>Maverick 100 Ti</t>
        </is>
      </c>
      <c r="H364" s="13" t="n">
        <v>180</v>
      </c>
      <c r="I364" s="11" t="inlineStr">
        <is>
          <t xml:space="preserve"> Unisex</t>
        </is>
      </c>
      <c r="J364" s="13" t="n">
        <v>180</v>
      </c>
      <c r="K364" s="13" t="n">
        <v>178</v>
      </c>
      <c r="L364" s="13" t="n">
        <v>129</v>
      </c>
      <c r="M364" s="13" t="n">
        <v>144</v>
      </c>
      <c r="N364" s="13" t="n">
        <v>128</v>
      </c>
      <c r="O364" s="13" t="n">
        <v>99</v>
      </c>
      <c r="P364" s="13" t="n">
        <v>118</v>
      </c>
      <c r="Q364" s="13" t="n">
        <v>19.8</v>
      </c>
      <c r="R364" s="13" t="n">
        <v>1744</v>
      </c>
      <c r="S364" s="13" t="n">
        <v>1.1</v>
      </c>
      <c r="T364" s="13" t="n">
        <v>1914</v>
      </c>
      <c r="U364" s="13" t="n">
        <v>227</v>
      </c>
      <c r="V364" s="13" t="n">
        <v>166</v>
      </c>
      <c r="W364" s="13" t="n">
        <v>60</v>
      </c>
      <c r="X364" s="13" t="n">
        <v>293</v>
      </c>
      <c r="Y364" s="13" t="n">
        <v>18</v>
      </c>
      <c r="Z364" s="13" t="n">
        <v>199</v>
      </c>
      <c r="AA364" s="13" t="n">
        <v>0.299</v>
      </c>
      <c r="AB364" s="13" t="n">
        <v>180</v>
      </c>
      <c r="AC364" s="13" t="n">
        <v>163</v>
      </c>
      <c r="AD364" s="13" t="n">
        <v>114</v>
      </c>
      <c r="AE364" s="13" t="n">
        <v>7</v>
      </c>
      <c r="AF364" s="13" t="n">
        <v>9.199999999999999</v>
      </c>
      <c r="AG364" s="11" t="inlineStr">
        <is>
          <t xml:space="preserve"> Resort Freeride</t>
        </is>
      </c>
      <c r="AH364" s="11" t="inlineStr">
        <is>
          <t xml:space="preserve"> Touring</t>
        </is>
      </c>
      <c r="AI364" s="13" t="n"/>
      <c r="AJ364" s="13" t="n"/>
      <c r="AK364" s="42" t="n"/>
    </row>
    <row r="365">
      <c r="E365" s="40" t="inlineStr">
        <is>
          <t>21/22</t>
        </is>
      </c>
      <c r="F365" s="10" t="inlineStr">
        <is>
          <t xml:space="preserve"> Atomic</t>
        </is>
      </c>
      <c r="G365" s="11" t="inlineStr">
        <is>
          <t>Maverick 100 Ti</t>
        </is>
      </c>
      <c r="H365" s="13" t="n">
        <v>188</v>
      </c>
      <c r="I365" s="11" t="inlineStr">
        <is>
          <t xml:space="preserve"> Unisex</t>
        </is>
      </c>
      <c r="J365" s="13" t="n">
        <v>188</v>
      </c>
      <c r="K365" s="13" t="n">
        <v>187</v>
      </c>
      <c r="L365" s="13" t="n">
        <v>132</v>
      </c>
      <c r="M365" s="13" t="n">
        <v>149</v>
      </c>
      <c r="N365" s="13" t="n">
        <v>129</v>
      </c>
      <c r="O365" s="13" t="n">
        <v>100</v>
      </c>
      <c r="P365" s="13" t="n">
        <v>120</v>
      </c>
      <c r="Q365" s="13" t="n">
        <v>21.5</v>
      </c>
      <c r="R365" s="13" t="n">
        <v>1810</v>
      </c>
      <c r="S365" s="13" t="n">
        <v>1.12</v>
      </c>
      <c r="T365" s="13" t="n">
        <v>2023</v>
      </c>
      <c r="U365" s="13" t="n">
        <v>265</v>
      </c>
      <c r="V365" s="13" t="n">
        <v>173</v>
      </c>
      <c r="W365" s="13" t="n">
        <v>69</v>
      </c>
      <c r="X365" s="13" t="n">
        <v>329</v>
      </c>
      <c r="Y365" s="13" t="n">
        <v>19</v>
      </c>
      <c r="Z365" s="13" t="n">
        <v>224</v>
      </c>
      <c r="AA365" s="13" t="n">
        <v>0.281</v>
      </c>
      <c r="AB365" s="13" t="n">
        <v>212</v>
      </c>
      <c r="AC365" s="13" t="n">
        <v>164</v>
      </c>
      <c r="AD365" s="13" t="n">
        <v>117</v>
      </c>
      <c r="AE365" s="13" t="n">
        <v>6</v>
      </c>
      <c r="AF365" s="13" t="n">
        <v>10.8</v>
      </c>
      <c r="AG365" s="11" t="inlineStr">
        <is>
          <t xml:space="preserve"> Resort Freeride</t>
        </is>
      </c>
      <c r="AH365" s="11" t="inlineStr">
        <is>
          <t xml:space="preserve"> Touring</t>
        </is>
      </c>
      <c r="AI365" s="13" t="n"/>
      <c r="AJ365" s="13" t="n"/>
      <c r="AK365" s="42" t="n"/>
    </row>
    <row r="366">
      <c r="E366" s="40" t="inlineStr">
        <is>
          <t>21/22</t>
        </is>
      </c>
      <c r="F366" s="10" t="inlineStr">
        <is>
          <t xml:space="preserve"> Atomic</t>
        </is>
      </c>
      <c r="G366" s="11" t="inlineStr">
        <is>
          <t>Maverick 83</t>
        </is>
      </c>
      <c r="H366" s="13" t="n">
        <v>157</v>
      </c>
      <c r="I366" s="11" t="inlineStr">
        <is>
          <t xml:space="preserve"> Unisex</t>
        </is>
      </c>
      <c r="J366" s="13" t="n">
        <v>157</v>
      </c>
      <c r="K366" s="13" t="n">
        <v>155.8</v>
      </c>
      <c r="L366" s="13" t="n">
        <v>127</v>
      </c>
      <c r="M366" s="13" t="n">
        <v>136</v>
      </c>
      <c r="N366" s="13" t="n">
        <v>119</v>
      </c>
      <c r="O366" s="13" t="n">
        <v>82</v>
      </c>
      <c r="P366" s="13" t="n">
        <v>103</v>
      </c>
      <c r="Q366" s="13" t="n">
        <v>14.3</v>
      </c>
      <c r="R366" s="13" t="n">
        <v>1696</v>
      </c>
      <c r="S366" s="13" t="n">
        <v>0.86</v>
      </c>
      <c r="T366" s="13" t="n">
        <v>1459</v>
      </c>
      <c r="U366" s="13" t="n">
        <v>152</v>
      </c>
      <c r="V366" s="13" t="n">
        <v>63</v>
      </c>
      <c r="W366" s="13" t="n">
        <v>42</v>
      </c>
      <c r="X366" s="13" t="n">
        <v>177</v>
      </c>
      <c r="Y366" s="13" t="n">
        <v>21</v>
      </c>
      <c r="Z366" s="13" t="n">
        <v>113</v>
      </c>
      <c r="AA366" s="13" t="n">
        <v>0.504</v>
      </c>
      <c r="AB366" s="13" t="n">
        <v>113</v>
      </c>
      <c r="AC366" s="13" t="n">
        <v>88</v>
      </c>
      <c r="AD366" s="13" t="n">
        <v>63</v>
      </c>
      <c r="AE366" s="13" t="n">
        <v>11</v>
      </c>
      <c r="AF366" s="13" t="n">
        <v>8.199999999999999</v>
      </c>
      <c r="AG366" s="11" t="inlineStr">
        <is>
          <t xml:space="preserve"> Resort Freeride</t>
        </is>
      </c>
      <c r="AH366" s="13" t="n"/>
      <c r="AI366" s="13" t="n"/>
      <c r="AJ366" s="13" t="n"/>
      <c r="AK366" s="42" t="n"/>
    </row>
    <row r="367">
      <c r="E367" s="40" t="inlineStr">
        <is>
          <t>21/22</t>
        </is>
      </c>
      <c r="F367" s="10" t="inlineStr">
        <is>
          <t xml:space="preserve"> Atomic</t>
        </is>
      </c>
      <c r="G367" s="11" t="inlineStr">
        <is>
          <t>Maverick 83</t>
        </is>
      </c>
      <c r="H367" s="13" t="n">
        <v>165</v>
      </c>
      <c r="I367" s="11" t="inlineStr">
        <is>
          <t xml:space="preserve"> Unisex</t>
        </is>
      </c>
      <c r="J367" s="13" t="n">
        <v>165</v>
      </c>
      <c r="K367" s="13" t="n">
        <v>163.8</v>
      </c>
      <c r="L367" s="13" t="n">
        <v>132</v>
      </c>
      <c r="M367" s="13" t="n">
        <v>142</v>
      </c>
      <c r="N367" s="13" t="n">
        <v>121</v>
      </c>
      <c r="O367" s="13" t="n">
        <v>81</v>
      </c>
      <c r="P367" s="13" t="n">
        <v>105</v>
      </c>
      <c r="Q367" s="13" t="n">
        <v>14.9</v>
      </c>
      <c r="R367" s="13" t="n">
        <v>1825</v>
      </c>
      <c r="S367" s="13" t="n">
        <v>0.84</v>
      </c>
      <c r="T367" s="13" t="n">
        <v>1542</v>
      </c>
      <c r="U367" s="13" t="n">
        <v>165</v>
      </c>
      <c r="V367" s="13" t="n">
        <v>71</v>
      </c>
      <c r="W367" s="13" t="n">
        <v>44</v>
      </c>
      <c r="X367" s="13" t="n">
        <v>196</v>
      </c>
      <c r="Y367" s="13" t="n">
        <v>23</v>
      </c>
      <c r="Z367" s="13" t="n">
        <v>118</v>
      </c>
      <c r="AA367" s="13" t="n">
        <v>0.517</v>
      </c>
      <c r="AB367" s="13" t="n">
        <v>124</v>
      </c>
      <c r="AC367" s="13" t="n">
        <v>90</v>
      </c>
      <c r="AD367" s="13" t="n">
        <v>73</v>
      </c>
      <c r="AE367" s="13" t="n">
        <v>8</v>
      </c>
      <c r="AF367" s="13" t="n">
        <v>8.1</v>
      </c>
      <c r="AG367" s="11" t="inlineStr">
        <is>
          <t xml:space="preserve"> Resort Freeride</t>
        </is>
      </c>
      <c r="AH367" s="13" t="n"/>
      <c r="AI367" s="13" t="n"/>
      <c r="AJ367" s="13" t="n"/>
      <c r="AK367" s="42" t="n"/>
    </row>
    <row r="368">
      <c r="E368" s="40" t="inlineStr">
        <is>
          <t>21/22</t>
        </is>
      </c>
      <c r="F368" s="10" t="inlineStr">
        <is>
          <t xml:space="preserve"> Atomic</t>
        </is>
      </c>
      <c r="G368" s="11" t="inlineStr">
        <is>
          <t>Maverick 83</t>
        </is>
      </c>
      <c r="H368" s="13" t="n">
        <v>173</v>
      </c>
      <c r="I368" s="11" t="inlineStr">
        <is>
          <t xml:space="preserve"> Unisex</t>
        </is>
      </c>
      <c r="J368" s="13" t="n">
        <v>173</v>
      </c>
      <c r="K368" s="13" t="n">
        <v>171.9</v>
      </c>
      <c r="L368" s="13" t="n">
        <v>141</v>
      </c>
      <c r="M368" s="13" t="n">
        <v>151</v>
      </c>
      <c r="N368" s="13" t="n">
        <v>122</v>
      </c>
      <c r="O368" s="13" t="n">
        <v>81</v>
      </c>
      <c r="P368" s="13" t="n">
        <v>106</v>
      </c>
      <c r="Q368" s="13" t="n">
        <v>15.7</v>
      </c>
      <c r="R368" s="13" t="n">
        <v>1980</v>
      </c>
      <c r="S368" s="13" t="n">
        <v>0.82</v>
      </c>
      <c r="T368" s="13" t="n">
        <v>1626</v>
      </c>
      <c r="U368" s="13" t="n">
        <v>199</v>
      </c>
      <c r="V368" s="13" t="n">
        <v>87</v>
      </c>
      <c r="W368" s="13" t="n">
        <v>41</v>
      </c>
      <c r="X368" s="13" t="n">
        <v>191</v>
      </c>
      <c r="Y368" s="13" t="n">
        <v>22</v>
      </c>
      <c r="Z368" s="13" t="n">
        <v>117</v>
      </c>
      <c r="AA368" s="13" t="n">
        <v>0.541</v>
      </c>
      <c r="AB368" s="13" t="n">
        <v>116</v>
      </c>
      <c r="AC368" s="13" t="n">
        <v>92</v>
      </c>
      <c r="AD368" s="13" t="n">
        <v>75</v>
      </c>
      <c r="AE368" s="13" t="n">
        <v>11</v>
      </c>
      <c r="AF368" s="13" t="n">
        <v>8.300000000000001</v>
      </c>
      <c r="AG368" s="11" t="inlineStr">
        <is>
          <t xml:space="preserve"> Resort Freeride</t>
        </is>
      </c>
      <c r="AH368" s="13" t="n"/>
      <c r="AI368" s="13" t="n"/>
      <c r="AJ368" s="13" t="n"/>
      <c r="AK368" s="42" t="n"/>
    </row>
    <row r="369">
      <c r="E369" s="40" t="inlineStr">
        <is>
          <t>21/22</t>
        </is>
      </c>
      <c r="F369" s="10" t="inlineStr">
        <is>
          <t xml:space="preserve"> Atomic</t>
        </is>
      </c>
      <c r="G369" s="11" t="inlineStr">
        <is>
          <t>Maverick 83</t>
        </is>
      </c>
      <c r="H369" s="13" t="n">
        <v>181</v>
      </c>
      <c r="I369" s="11" t="inlineStr">
        <is>
          <t xml:space="preserve"> Unisex</t>
        </is>
      </c>
      <c r="J369" s="13" t="n">
        <v>181</v>
      </c>
      <c r="K369" s="13" t="n">
        <v>179.6</v>
      </c>
      <c r="L369" s="13" t="n">
        <v>151</v>
      </c>
      <c r="M369" s="13" t="n">
        <v>159</v>
      </c>
      <c r="N369" s="13" t="n">
        <v>123</v>
      </c>
      <c r="O369" s="13" t="n">
        <v>81</v>
      </c>
      <c r="P369" s="13" t="n">
        <v>107</v>
      </c>
      <c r="Q369" s="13" t="n">
        <v>16.9</v>
      </c>
      <c r="R369" s="13" t="n">
        <v>2079</v>
      </c>
      <c r="S369" s="13" t="n">
        <v>0.82</v>
      </c>
      <c r="T369" s="13" t="n">
        <v>1704</v>
      </c>
      <c r="U369" s="13" t="n">
        <v>213</v>
      </c>
      <c r="V369" s="13" t="n">
        <v>102</v>
      </c>
      <c r="W369" s="13" t="n">
        <v>42</v>
      </c>
      <c r="X369" s="13" t="n">
        <v>178</v>
      </c>
      <c r="Y369" s="13" t="n">
        <v>21</v>
      </c>
      <c r="Z369" s="13" t="n">
        <v>111</v>
      </c>
      <c r="AA369" s="13" t="n">
        <v>0.495</v>
      </c>
      <c r="AB369" s="13" t="n">
        <v>112</v>
      </c>
      <c r="AC369" s="13" t="n">
        <v>91</v>
      </c>
      <c r="AD369" s="13" t="n">
        <v>66</v>
      </c>
      <c r="AE369" s="13" t="n">
        <v>13</v>
      </c>
      <c r="AF369" s="13" t="n">
        <v>8.5</v>
      </c>
      <c r="AG369" s="11" t="inlineStr">
        <is>
          <t xml:space="preserve"> Resort Freeride</t>
        </is>
      </c>
      <c r="AH369" s="13" t="n"/>
      <c r="AI369" s="13" t="n"/>
      <c r="AJ369" s="13" t="n"/>
      <c r="AK369" s="42" t="n"/>
    </row>
    <row r="370">
      <c r="E370" s="40" t="inlineStr">
        <is>
          <t>21/22</t>
        </is>
      </c>
      <c r="F370" s="10" t="inlineStr">
        <is>
          <t xml:space="preserve"> Atomic</t>
        </is>
      </c>
      <c r="G370" s="11" t="inlineStr">
        <is>
          <t>Maverick 86 C</t>
        </is>
      </c>
      <c r="H370" s="13" t="n">
        <v>161</v>
      </c>
      <c r="I370" s="11" t="inlineStr">
        <is>
          <t xml:space="preserve"> Unisex</t>
        </is>
      </c>
      <c r="J370" s="13" t="n">
        <v>161</v>
      </c>
      <c r="K370" s="13" t="n">
        <v>160.1</v>
      </c>
      <c r="L370" s="13" t="n">
        <v>114</v>
      </c>
      <c r="M370" s="13" t="n">
        <v>135</v>
      </c>
      <c r="N370" s="13" t="n">
        <v>121</v>
      </c>
      <c r="O370" s="13" t="n">
        <v>86</v>
      </c>
      <c r="P370" s="13" t="n">
        <v>104</v>
      </c>
      <c r="Q370" s="13" t="n">
        <v>15.6</v>
      </c>
      <c r="R370" s="13" t="n">
        <v>1400</v>
      </c>
      <c r="S370" s="13" t="n">
        <v>1.11</v>
      </c>
      <c r="T370" s="13" t="n">
        <v>1548</v>
      </c>
      <c r="U370" s="13" t="n">
        <v>180</v>
      </c>
      <c r="V370" s="13" t="n">
        <v>86</v>
      </c>
      <c r="W370" s="13" t="n">
        <v>48</v>
      </c>
      <c r="X370" s="13" t="n">
        <v>282</v>
      </c>
      <c r="Y370" s="13" t="n">
        <v>11</v>
      </c>
      <c r="Z370" s="13" t="n">
        <v>183</v>
      </c>
      <c r="AA370" s="13" t="n">
        <v>0.225</v>
      </c>
      <c r="AB370" s="13" t="n">
        <v>153</v>
      </c>
      <c r="AC370" s="13" t="n">
        <v>103</v>
      </c>
      <c r="AD370" s="13" t="n">
        <v>128</v>
      </c>
      <c r="AE370" s="13" t="n">
        <v>5</v>
      </c>
      <c r="AF370" s="13" t="n">
        <v>8.800000000000001</v>
      </c>
      <c r="AG370" s="11" t="inlineStr">
        <is>
          <t xml:space="preserve"> Resort Freeride</t>
        </is>
      </c>
      <c r="AH370" s="11" t="inlineStr">
        <is>
          <t xml:space="preserve"> Touring</t>
        </is>
      </c>
      <c r="AI370" s="13" t="n"/>
      <c r="AJ370" s="13" t="n"/>
      <c r="AK370" s="42" t="n"/>
    </row>
    <row r="371">
      <c r="E371" s="40" t="inlineStr">
        <is>
          <t>21/22</t>
        </is>
      </c>
      <c r="F371" s="10" t="inlineStr">
        <is>
          <t xml:space="preserve"> Atomic</t>
        </is>
      </c>
      <c r="G371" s="11" t="inlineStr">
        <is>
          <t>Maverick 86 C</t>
        </is>
      </c>
      <c r="H371" s="13" t="n">
        <v>169</v>
      </c>
      <c r="I371" s="11" t="inlineStr">
        <is>
          <t xml:space="preserve"> Unisex</t>
        </is>
      </c>
      <c r="J371" s="13" t="n">
        <v>169</v>
      </c>
      <c r="K371" s="13" t="n">
        <v>168.3</v>
      </c>
      <c r="L371" s="13" t="n">
        <v>117</v>
      </c>
      <c r="M371" s="13" t="n">
        <v>142</v>
      </c>
      <c r="N371" s="13" t="n">
        <v>122</v>
      </c>
      <c r="O371" s="13" t="n">
        <v>86</v>
      </c>
      <c r="P371" s="13" t="n">
        <v>106</v>
      </c>
      <c r="Q371" s="13" t="n">
        <v>17</v>
      </c>
      <c r="R371" s="13" t="n">
        <v>1462</v>
      </c>
      <c r="S371" s="13" t="n">
        <v>1.12</v>
      </c>
      <c r="T371" s="13" t="n">
        <v>1634</v>
      </c>
      <c r="U371" s="13" t="n">
        <v>188</v>
      </c>
      <c r="V371" s="13" t="n">
        <v>87</v>
      </c>
      <c r="W371" s="13" t="n">
        <v>50</v>
      </c>
      <c r="X371" s="13" t="n">
        <v>299</v>
      </c>
      <c r="Y371" s="13" t="n">
        <v>15</v>
      </c>
      <c r="Z371" s="13" t="n">
        <v>215</v>
      </c>
      <c r="AA371" s="13" t="n">
        <v>0.295</v>
      </c>
      <c r="AB371" s="13" t="n">
        <v>166</v>
      </c>
      <c r="AC371" s="13" t="n">
        <v>100</v>
      </c>
      <c r="AD371" s="13" t="n">
        <v>133</v>
      </c>
      <c r="AE371" s="13" t="n">
        <v>2</v>
      </c>
      <c r="AF371" s="13" t="n">
        <v>8.9</v>
      </c>
      <c r="AG371" s="11" t="inlineStr">
        <is>
          <t xml:space="preserve"> Resort Freeride</t>
        </is>
      </c>
      <c r="AH371" s="11" t="inlineStr">
        <is>
          <t xml:space="preserve"> Touring</t>
        </is>
      </c>
      <c r="AI371" s="13" t="n"/>
      <c r="AJ371" s="13" t="n"/>
      <c r="AK371" s="42" t="n"/>
    </row>
    <row r="372">
      <c r="E372" s="40" t="inlineStr">
        <is>
          <t>21/22</t>
        </is>
      </c>
      <c r="F372" s="10" t="inlineStr">
        <is>
          <t xml:space="preserve"> Atomic</t>
        </is>
      </c>
      <c r="G372" s="11" t="inlineStr">
        <is>
          <t>Maverick 86 C</t>
        </is>
      </c>
      <c r="H372" s="13" t="n">
        <v>176</v>
      </c>
      <c r="I372" s="11" t="inlineStr">
        <is>
          <t xml:space="preserve"> Unisex</t>
        </is>
      </c>
      <c r="J372" s="13" t="n">
        <v>176</v>
      </c>
      <c r="K372" s="13" t="n">
        <v>175.3</v>
      </c>
      <c r="L372" s="13" t="n">
        <v>131</v>
      </c>
      <c r="M372" s="13" t="n">
        <v>147</v>
      </c>
      <c r="N372" s="13" t="n">
        <v>124</v>
      </c>
      <c r="O372" s="13" t="n">
        <v>87</v>
      </c>
      <c r="P372" s="13" t="n">
        <v>107</v>
      </c>
      <c r="Q372" s="13" t="n">
        <v>18.3</v>
      </c>
      <c r="R372" s="13" t="n">
        <v>1547</v>
      </c>
      <c r="S372" s="13" t="n">
        <v>1.11</v>
      </c>
      <c r="T372" s="13" t="n">
        <v>1719</v>
      </c>
      <c r="U372" s="13" t="n">
        <v>217</v>
      </c>
      <c r="V372" s="13" t="n">
        <v>99</v>
      </c>
      <c r="W372" s="13" t="n">
        <v>45</v>
      </c>
      <c r="X372" s="13" t="n">
        <v>268</v>
      </c>
      <c r="Y372" s="13" t="n">
        <v>11</v>
      </c>
      <c r="Z372" s="13" t="n">
        <v>173</v>
      </c>
      <c r="AA372" s="13" t="n">
        <v>0.24</v>
      </c>
      <c r="AB372" s="13" t="n">
        <v>170</v>
      </c>
      <c r="AC372" s="13" t="n">
        <v>109</v>
      </c>
      <c r="AD372" s="13" t="n">
        <v>98</v>
      </c>
      <c r="AE372" s="13" t="n">
        <v>6</v>
      </c>
      <c r="AF372" s="13" t="n">
        <v>8.800000000000001</v>
      </c>
      <c r="AG372" s="11" t="inlineStr">
        <is>
          <t xml:space="preserve"> Resort Freeride</t>
        </is>
      </c>
      <c r="AH372" s="11" t="inlineStr">
        <is>
          <t xml:space="preserve"> Touring</t>
        </is>
      </c>
      <c r="AI372" s="13" t="n"/>
      <c r="AJ372" s="13" t="n"/>
      <c r="AK372" s="42" t="n"/>
    </row>
    <row r="373">
      <c r="E373" s="40" t="inlineStr">
        <is>
          <t>21/22</t>
        </is>
      </c>
      <c r="F373" s="10" t="inlineStr">
        <is>
          <t xml:space="preserve"> Atomic</t>
        </is>
      </c>
      <c r="G373" s="11" t="inlineStr">
        <is>
          <t>Maverick 88 Ti</t>
        </is>
      </c>
      <c r="H373" s="13" t="n">
        <v>169</v>
      </c>
      <c r="I373" s="11" t="inlineStr">
        <is>
          <t xml:space="preserve"> Unisex</t>
        </is>
      </c>
      <c r="J373" s="13" t="n">
        <v>169</v>
      </c>
      <c r="K373" s="13" t="n">
        <v>168</v>
      </c>
      <c r="L373" s="13" t="n">
        <v>120</v>
      </c>
      <c r="M373" s="13" t="n">
        <v>144</v>
      </c>
      <c r="N373" s="13" t="n">
        <v>122</v>
      </c>
      <c r="O373" s="13" t="n">
        <v>86</v>
      </c>
      <c r="P373" s="13" t="n">
        <v>106</v>
      </c>
      <c r="Q373" s="13" t="n">
        <v>17.1</v>
      </c>
      <c r="R373" s="13" t="n">
        <v>1591</v>
      </c>
      <c r="S373" s="13" t="n">
        <v>1.03</v>
      </c>
      <c r="T373" s="13" t="n">
        <v>1637</v>
      </c>
      <c r="U373" s="13" t="n">
        <v>189</v>
      </c>
      <c r="V373" s="13" t="n">
        <v>122</v>
      </c>
      <c r="W373" s="13" t="n">
        <v>53</v>
      </c>
      <c r="X373" s="13" t="n">
        <v>288</v>
      </c>
      <c r="Y373" s="13" t="n">
        <v>13</v>
      </c>
      <c r="Z373" s="13" t="n">
        <v>192</v>
      </c>
      <c r="AA373" s="13" t="n">
        <v>0.251</v>
      </c>
      <c r="AB373" s="13" t="n">
        <v>148</v>
      </c>
      <c r="AC373" s="13" t="n">
        <v>94</v>
      </c>
      <c r="AD373" s="13" t="n">
        <v>139</v>
      </c>
      <c r="AE373" s="13" t="n">
        <v>6</v>
      </c>
      <c r="AF373" s="13" t="n">
        <v>8.800000000000001</v>
      </c>
      <c r="AG373" s="11" t="inlineStr">
        <is>
          <t xml:space="preserve"> Resort Freeride</t>
        </is>
      </c>
      <c r="AH373" s="13" t="n"/>
      <c r="AI373" s="13" t="n"/>
      <c r="AJ373" s="13" t="n"/>
      <c r="AK373" s="42" t="n"/>
    </row>
    <row r="374">
      <c r="E374" s="40" t="inlineStr">
        <is>
          <t>21/22</t>
        </is>
      </c>
      <c r="F374" s="10" t="inlineStr">
        <is>
          <t xml:space="preserve"> Atomic</t>
        </is>
      </c>
      <c r="G374" s="11" t="inlineStr">
        <is>
          <t>Maverick 88 Ti</t>
        </is>
      </c>
      <c r="H374" s="13" t="n">
        <v>176</v>
      </c>
      <c r="I374" s="11" t="inlineStr">
        <is>
          <t xml:space="preserve"> Unisex</t>
        </is>
      </c>
      <c r="J374" s="13" t="n">
        <v>176</v>
      </c>
      <c r="K374" s="13" t="n">
        <v>175.1</v>
      </c>
      <c r="L374" s="13" t="n">
        <v>132</v>
      </c>
      <c r="M374" s="13" t="n">
        <v>149</v>
      </c>
      <c r="N374" s="13" t="n">
        <v>124</v>
      </c>
      <c r="O374" s="13" t="n">
        <v>87</v>
      </c>
      <c r="P374" s="13" t="n">
        <v>107</v>
      </c>
      <c r="Q374" s="13" t="n">
        <v>18.3</v>
      </c>
      <c r="R374" s="13" t="n">
        <v>1694</v>
      </c>
      <c r="S374" s="13" t="n">
        <v>1.02</v>
      </c>
      <c r="T374" s="13" t="n">
        <v>1721</v>
      </c>
      <c r="U374" s="13" t="n">
        <v>215</v>
      </c>
      <c r="V374" s="13" t="n">
        <v>143</v>
      </c>
      <c r="W374" s="13" t="n">
        <v>46</v>
      </c>
      <c r="X374" s="13" t="n">
        <v>253</v>
      </c>
      <c r="Y374" s="13" t="n">
        <v>11</v>
      </c>
      <c r="Z374" s="13" t="n">
        <v>176</v>
      </c>
      <c r="AA374" s="13" t="n">
        <v>0.238</v>
      </c>
      <c r="AB374" s="13" t="n">
        <v>155</v>
      </c>
      <c r="AC374" s="13" t="n">
        <v>111</v>
      </c>
      <c r="AD374" s="13" t="n">
        <v>98</v>
      </c>
      <c r="AE374" s="13" t="n">
        <v>9</v>
      </c>
      <c r="AF374" s="13" t="n">
        <v>8.6</v>
      </c>
      <c r="AG374" s="11" t="inlineStr">
        <is>
          <t xml:space="preserve"> Resort Freeride</t>
        </is>
      </c>
      <c r="AH374" s="13" t="n"/>
      <c r="AI374" s="13" t="n"/>
      <c r="AJ374" s="13" t="n"/>
      <c r="AK374" s="42" t="n"/>
    </row>
    <row r="375">
      <c r="E375" s="40" t="inlineStr">
        <is>
          <t>21/22</t>
        </is>
      </c>
      <c r="F375" s="10" t="inlineStr">
        <is>
          <t xml:space="preserve"> Atomic</t>
        </is>
      </c>
      <c r="G375" s="11" t="inlineStr">
        <is>
          <t>Maverick 88 Ti</t>
        </is>
      </c>
      <c r="H375" s="13" t="n">
        <v>184</v>
      </c>
      <c r="I375" s="11" t="inlineStr">
        <is>
          <t xml:space="preserve"> Unisex</t>
        </is>
      </c>
      <c r="J375" s="13" t="n">
        <v>184</v>
      </c>
      <c r="K375" s="13" t="n">
        <v>182.9</v>
      </c>
      <c r="L375" s="13" t="n">
        <v>135</v>
      </c>
      <c r="M375" s="13" t="n">
        <v>156</v>
      </c>
      <c r="N375" s="13" t="n">
        <v>125</v>
      </c>
      <c r="O375" s="13" t="n">
        <v>87</v>
      </c>
      <c r="P375" s="13" t="n">
        <v>109</v>
      </c>
      <c r="Q375" s="13" t="n">
        <v>19.7</v>
      </c>
      <c r="R375" s="13" t="n">
        <v>1853</v>
      </c>
      <c r="S375" s="13" t="n">
        <v>0.98</v>
      </c>
      <c r="T375" s="13" t="n">
        <v>1808</v>
      </c>
      <c r="U375" s="13" t="n">
        <v>261</v>
      </c>
      <c r="V375" s="13" t="n">
        <v>167</v>
      </c>
      <c r="W375" s="13" t="n">
        <v>52</v>
      </c>
      <c r="X375" s="13" t="n">
        <v>291</v>
      </c>
      <c r="Y375" s="13" t="n">
        <v>13</v>
      </c>
      <c r="Z375" s="13" t="n">
        <v>189</v>
      </c>
      <c r="AA375" s="13" t="n">
        <v>0.257</v>
      </c>
      <c r="AB375" s="13" t="n">
        <v>161</v>
      </c>
      <c r="AC375" s="13" t="n">
        <v>107</v>
      </c>
      <c r="AD375" s="13" t="n">
        <v>130</v>
      </c>
      <c r="AE375" s="13" t="n">
        <v>7</v>
      </c>
      <c r="AF375" s="13" t="n">
        <v>8.5</v>
      </c>
      <c r="AG375" s="11" t="inlineStr">
        <is>
          <t xml:space="preserve"> Resort Freeride</t>
        </is>
      </c>
      <c r="AH375" s="13" t="n"/>
      <c r="AI375" s="13" t="n"/>
      <c r="AJ375" s="13" t="n"/>
      <c r="AK375" s="42" t="n"/>
    </row>
    <row r="376">
      <c r="E376" s="40" t="inlineStr">
        <is>
          <t>21/22</t>
        </is>
      </c>
      <c r="F376" s="10" t="inlineStr">
        <is>
          <t xml:space="preserve"> Atomic</t>
        </is>
      </c>
      <c r="G376" s="11" t="inlineStr">
        <is>
          <t>Maverick 95 Ti</t>
        </is>
      </c>
      <c r="H376" s="13" t="n">
        <v>164</v>
      </c>
      <c r="I376" s="11" t="inlineStr">
        <is>
          <t xml:space="preserve"> Unisex</t>
        </is>
      </c>
      <c r="J376" s="13" t="n">
        <v>164</v>
      </c>
      <c r="K376" s="13" t="n">
        <v>163.1</v>
      </c>
      <c r="L376" s="13" t="n">
        <v>116</v>
      </c>
      <c r="M376" s="13" t="n">
        <v>132</v>
      </c>
      <c r="N376" s="13" t="n">
        <v>125</v>
      </c>
      <c r="O376" s="13" t="n">
        <v>92</v>
      </c>
      <c r="P376" s="13" t="n">
        <v>109</v>
      </c>
      <c r="Q376" s="13" t="n">
        <v>16.4</v>
      </c>
      <c r="R376" s="13" t="n">
        <v>1566</v>
      </c>
      <c r="S376" s="13" t="n">
        <v>1.06</v>
      </c>
      <c r="T376" s="13" t="n">
        <v>1663</v>
      </c>
      <c r="U376" s="13" t="n">
        <v>169</v>
      </c>
      <c r="V376" s="13" t="n">
        <v>131</v>
      </c>
      <c r="W376" s="13" t="n">
        <v>53</v>
      </c>
      <c r="X376" s="13" t="n">
        <v>288</v>
      </c>
      <c r="Y376" s="13" t="n">
        <v>13</v>
      </c>
      <c r="Z376" s="13" t="n">
        <v>183</v>
      </c>
      <c r="AA376" s="13" t="n">
        <v>0.253</v>
      </c>
      <c r="AB376" s="13" t="n">
        <v>173</v>
      </c>
      <c r="AC376" s="13" t="n">
        <v>140</v>
      </c>
      <c r="AD376" s="13" t="n">
        <v>115</v>
      </c>
      <c r="AE376" s="13" t="n">
        <v>6</v>
      </c>
      <c r="AF376" s="13" t="n">
        <v>9.300000000000001</v>
      </c>
      <c r="AG376" s="11" t="inlineStr">
        <is>
          <t xml:space="preserve"> Resort Freeride</t>
        </is>
      </c>
      <c r="AH376" s="11" t="inlineStr">
        <is>
          <t xml:space="preserve"> Touring</t>
        </is>
      </c>
      <c r="AI376" s="13" t="n"/>
      <c r="AJ376" s="13" t="n"/>
      <c r="AK376" s="42" t="n"/>
    </row>
    <row r="377">
      <c r="E377" s="40" t="inlineStr">
        <is>
          <t>21/22</t>
        </is>
      </c>
      <c r="F377" s="10" t="inlineStr">
        <is>
          <t xml:space="preserve"> Atomic</t>
        </is>
      </c>
      <c r="G377" s="11" t="inlineStr">
        <is>
          <t>Maverick 95 Ti</t>
        </is>
      </c>
      <c r="H377" s="13" t="n">
        <v>172</v>
      </c>
      <c r="I377" s="11" t="inlineStr">
        <is>
          <t xml:space="preserve"> Unisex</t>
        </is>
      </c>
      <c r="J377" s="13" t="n">
        <v>172</v>
      </c>
      <c r="K377" s="13" t="n">
        <v>171.3</v>
      </c>
      <c r="L377" s="13" t="n">
        <v>122</v>
      </c>
      <c r="M377" s="13" t="n">
        <v>141</v>
      </c>
      <c r="N377" s="13" t="n">
        <v>126</v>
      </c>
      <c r="O377" s="13" t="n">
        <v>93</v>
      </c>
      <c r="P377" s="13" t="n">
        <v>111</v>
      </c>
      <c r="Q377" s="13" t="n">
        <v>17.7</v>
      </c>
      <c r="R377" s="13" t="n">
        <v>1699</v>
      </c>
      <c r="S377" s="13" t="n">
        <v>1.04</v>
      </c>
      <c r="T377" s="13" t="n">
        <v>1768</v>
      </c>
      <c r="U377" s="13" t="n">
        <v>203</v>
      </c>
      <c r="V377" s="13" t="n">
        <v>144</v>
      </c>
      <c r="W377" s="13" t="n">
        <v>55</v>
      </c>
      <c r="X377" s="13" t="n">
        <v>298</v>
      </c>
      <c r="Y377" s="13" t="n">
        <v>15</v>
      </c>
      <c r="Z377" s="13" t="n">
        <v>197</v>
      </c>
      <c r="AA377" s="13" t="n">
        <v>0.267</v>
      </c>
      <c r="AB377" s="13" t="n">
        <v>171</v>
      </c>
      <c r="AC377" s="13" t="n">
        <v>136</v>
      </c>
      <c r="AD377" s="13" t="n">
        <v>127</v>
      </c>
      <c r="AE377" s="13" t="n">
        <v>7</v>
      </c>
      <c r="AF377" s="13" t="n">
        <v>8.9</v>
      </c>
      <c r="AG377" s="11" t="inlineStr">
        <is>
          <t xml:space="preserve"> Resort Freeride</t>
        </is>
      </c>
      <c r="AH377" s="13" t="n"/>
      <c r="AI377" s="13" t="n"/>
      <c r="AJ377" s="13" t="n"/>
      <c r="AK377" s="42" t="n"/>
    </row>
    <row r="378">
      <c r="E378" s="40" t="inlineStr">
        <is>
          <t>21/22</t>
        </is>
      </c>
      <c r="F378" s="10" t="inlineStr">
        <is>
          <t xml:space="preserve"> Atomic</t>
        </is>
      </c>
      <c r="G378" s="11" t="inlineStr">
        <is>
          <t>Maverick 95 Ti</t>
        </is>
      </c>
      <c r="H378" s="13" t="n">
        <v>180</v>
      </c>
      <c r="I378" s="11" t="inlineStr">
        <is>
          <t xml:space="preserve"> Unisex</t>
        </is>
      </c>
      <c r="J378" s="13" t="n">
        <v>180</v>
      </c>
      <c r="K378" s="13" t="n">
        <v>179.1</v>
      </c>
      <c r="L378" s="13" t="n">
        <v>128</v>
      </c>
      <c r="M378" s="13" t="n">
        <v>148</v>
      </c>
      <c r="N378" s="13" t="n">
        <v>128</v>
      </c>
      <c r="O378" s="13" t="n">
        <v>93</v>
      </c>
      <c r="P378" s="13" t="n">
        <v>112</v>
      </c>
      <c r="Q378" s="13" t="n">
        <v>19.2</v>
      </c>
      <c r="R378" s="13" t="n">
        <v>1781</v>
      </c>
      <c r="S378" s="13" t="n">
        <v>1.05</v>
      </c>
      <c r="T378" s="13" t="n">
        <v>1863</v>
      </c>
      <c r="U378" s="13" t="n">
        <v>240</v>
      </c>
      <c r="V378" s="13" t="n">
        <v>169</v>
      </c>
      <c r="W378" s="13" t="n">
        <v>55</v>
      </c>
      <c r="X378" s="13" t="n">
        <v>314</v>
      </c>
      <c r="Y378" s="13" t="n">
        <v>14</v>
      </c>
      <c r="Z378" s="13" t="n">
        <v>197</v>
      </c>
      <c r="AA378" s="13" t="n">
        <v>0.254</v>
      </c>
      <c r="AB378" s="13" t="n">
        <v>169</v>
      </c>
      <c r="AC378" s="13" t="n">
        <v>142</v>
      </c>
      <c r="AD378" s="13" t="n">
        <v>145</v>
      </c>
      <c r="AE378" s="13" t="n">
        <v>5</v>
      </c>
      <c r="AF378" s="13" t="n">
        <v>9</v>
      </c>
      <c r="AG378" s="11" t="inlineStr">
        <is>
          <t xml:space="preserve"> Resort Freeride</t>
        </is>
      </c>
      <c r="AH378" s="13" t="n"/>
      <c r="AI378" s="13" t="n"/>
      <c r="AJ378" s="13" t="n"/>
      <c r="AK378" s="42" t="n"/>
    </row>
    <row r="379">
      <c r="E379" s="40" t="inlineStr">
        <is>
          <t>21/22</t>
        </is>
      </c>
      <c r="F379" s="10" t="inlineStr">
        <is>
          <t xml:space="preserve"> Atomic</t>
        </is>
      </c>
      <c r="G379" s="11" t="inlineStr">
        <is>
          <t>Maverick 95 Ti</t>
        </is>
      </c>
      <c r="H379" s="13" t="n">
        <v>188</v>
      </c>
      <c r="I379" s="11" t="inlineStr">
        <is>
          <t xml:space="preserve"> Unisex</t>
        </is>
      </c>
      <c r="J379" s="13" t="n">
        <v>188</v>
      </c>
      <c r="K379" s="13" t="n">
        <v>187.1</v>
      </c>
      <c r="L379" s="13" t="n">
        <v>139</v>
      </c>
      <c r="M379" s="13" t="n">
        <v>154</v>
      </c>
      <c r="N379" s="13" t="n">
        <v>129</v>
      </c>
      <c r="O379" s="13" t="n">
        <v>93</v>
      </c>
      <c r="P379" s="13" t="n">
        <v>114</v>
      </c>
      <c r="Q379" s="13" t="n">
        <v>20.3</v>
      </c>
      <c r="R379" s="13" t="n">
        <v>1964</v>
      </c>
      <c r="S379" s="13" t="n">
        <v>0.99</v>
      </c>
      <c r="T379" s="13" t="n">
        <v>1952</v>
      </c>
      <c r="U379" s="13" t="n">
        <v>279</v>
      </c>
      <c r="V379" s="13" t="n">
        <v>178</v>
      </c>
      <c r="W379" s="13" t="n">
        <v>49</v>
      </c>
      <c r="X379" s="13" t="n">
        <v>284</v>
      </c>
      <c r="Y379" s="13" t="n">
        <v>15</v>
      </c>
      <c r="Z379" s="13" t="n">
        <v>195</v>
      </c>
      <c r="AA379" s="13" t="n">
        <v>0.303</v>
      </c>
      <c r="AB379" s="13" t="n">
        <v>176</v>
      </c>
      <c r="AC379" s="13" t="n">
        <v>150</v>
      </c>
      <c r="AD379" s="13" t="n">
        <v>108</v>
      </c>
      <c r="AE379" s="13" t="n">
        <v>10</v>
      </c>
      <c r="AF379" s="13" t="n">
        <v>9</v>
      </c>
      <c r="AG379" s="11" t="inlineStr">
        <is>
          <t xml:space="preserve"> Resort Freeride</t>
        </is>
      </c>
      <c r="AH379" s="13" t="n"/>
      <c r="AI379" s="13" t="n"/>
      <c r="AJ379" s="13" t="n"/>
      <c r="AK379" s="42" t="n"/>
    </row>
    <row r="380">
      <c r="E380" s="40" t="inlineStr">
        <is>
          <t>21/22</t>
        </is>
      </c>
      <c r="F380" s="10" t="inlineStr">
        <is>
          <t xml:space="preserve"> Atomic</t>
        </is>
      </c>
      <c r="G380" s="11" t="inlineStr">
        <is>
          <t>Redster S7</t>
        </is>
      </c>
      <c r="H380" s="13" t="n">
        <v>149</v>
      </c>
      <c r="I380" s="11" t="inlineStr">
        <is>
          <t xml:space="preserve"> Unisex</t>
        </is>
      </c>
      <c r="J380" s="13" t="n">
        <v>149</v>
      </c>
      <c r="K380" s="13" t="n">
        <v>146</v>
      </c>
      <c r="L380" s="13" t="n">
        <v>125</v>
      </c>
      <c r="M380" s="13" t="n">
        <v>133</v>
      </c>
      <c r="N380" s="13" t="n">
        <v>108</v>
      </c>
      <c r="O380" s="13" t="n">
        <v>69</v>
      </c>
      <c r="P380" s="13" t="n">
        <v>96</v>
      </c>
      <c r="Q380" s="13" t="n">
        <v>13</v>
      </c>
      <c r="R380" s="13" t="n">
        <v>1474</v>
      </c>
      <c r="S380" s="13" t="n">
        <v>0.8100000000000001</v>
      </c>
      <c r="T380" s="13" t="n">
        <v>1195</v>
      </c>
      <c r="U380" s="13" t="n">
        <v>153</v>
      </c>
      <c r="V380" s="13" t="n">
        <v>69</v>
      </c>
      <c r="W380" s="13" t="n">
        <v>40</v>
      </c>
      <c r="X380" s="13" t="n">
        <v>151</v>
      </c>
      <c r="Y380" s="13" t="n">
        <v>5</v>
      </c>
      <c r="Z380" s="13" t="n">
        <v>58</v>
      </c>
      <c r="AA380" s="13" t="n">
        <v>0.122</v>
      </c>
      <c r="AB380" s="13" t="n">
        <v>83</v>
      </c>
      <c r="AC380" s="13" t="n">
        <v>52</v>
      </c>
      <c r="AD380" s="13" t="n">
        <v>68</v>
      </c>
      <c r="AE380" s="13" t="n">
        <v>6</v>
      </c>
      <c r="AF380" s="13" t="n">
        <v>12.4</v>
      </c>
      <c r="AG380" s="11" t="inlineStr">
        <is>
          <t xml:space="preserve"> On-Piste Carving</t>
        </is>
      </c>
      <c r="AH380" s="13" t="n"/>
      <c r="AI380" s="13" t="n"/>
      <c r="AJ380" s="13" t="n"/>
      <c r="AK380" s="42" t="n"/>
    </row>
    <row r="381">
      <c r="E381" s="40" t="inlineStr">
        <is>
          <t>21/22</t>
        </is>
      </c>
      <c r="F381" s="10" t="inlineStr">
        <is>
          <t xml:space="preserve"> Atomic</t>
        </is>
      </c>
      <c r="G381" s="11" t="inlineStr">
        <is>
          <t>Redster S7</t>
        </is>
      </c>
      <c r="H381" s="13" t="n">
        <v>156</v>
      </c>
      <c r="I381" s="11" t="inlineStr">
        <is>
          <t xml:space="preserve"> Unisex</t>
        </is>
      </c>
      <c r="J381" s="13" t="n">
        <v>156</v>
      </c>
      <c r="K381" s="13" t="n">
        <v>153.4</v>
      </c>
      <c r="L381" s="13" t="n">
        <v>133</v>
      </c>
      <c r="M381" s="13" t="n">
        <v>140</v>
      </c>
      <c r="N381" s="13" t="n">
        <v>109</v>
      </c>
      <c r="O381" s="13" t="n">
        <v>70</v>
      </c>
      <c r="P381" s="13" t="n">
        <v>97</v>
      </c>
      <c r="Q381" s="13" t="n">
        <v>13.8</v>
      </c>
      <c r="R381" s="13" t="n">
        <v>1573</v>
      </c>
      <c r="S381" s="13" t="n">
        <v>0.8</v>
      </c>
      <c r="T381" s="13" t="n">
        <v>1265</v>
      </c>
      <c r="U381" s="13" t="n">
        <v>175</v>
      </c>
      <c r="V381" s="13" t="n">
        <v>83</v>
      </c>
      <c r="W381" s="13" t="n">
        <v>39</v>
      </c>
      <c r="X381" s="13" t="n">
        <v>146</v>
      </c>
      <c r="Y381" s="13" t="n">
        <v>5</v>
      </c>
      <c r="Z381" s="13" t="n">
        <v>62</v>
      </c>
      <c r="AA381" s="13" t="n">
        <v>0.131</v>
      </c>
      <c r="AB381" s="13" t="n">
        <v>84</v>
      </c>
      <c r="AC381" s="13" t="n">
        <v>53</v>
      </c>
      <c r="AD381" s="13" t="n">
        <v>62</v>
      </c>
      <c r="AE381" s="13" t="n">
        <v>6</v>
      </c>
      <c r="AF381" s="13" t="n">
        <v>12.4</v>
      </c>
      <c r="AG381" s="11" t="inlineStr">
        <is>
          <t xml:space="preserve"> On-Piste Carving</t>
        </is>
      </c>
      <c r="AH381" s="13" t="n"/>
      <c r="AI381" s="13" t="n"/>
      <c r="AJ381" s="13" t="n"/>
      <c r="AK381" s="42" t="n"/>
    </row>
    <row r="382">
      <c r="E382" s="40" t="inlineStr">
        <is>
          <t>21/22</t>
        </is>
      </c>
      <c r="F382" s="10" t="inlineStr">
        <is>
          <t xml:space="preserve"> Atomic</t>
        </is>
      </c>
      <c r="G382" s="11" t="inlineStr">
        <is>
          <t>Redster S7</t>
        </is>
      </c>
      <c r="H382" s="13" t="n">
        <v>163</v>
      </c>
      <c r="I382" s="11" t="inlineStr">
        <is>
          <t xml:space="preserve"> Unisex</t>
        </is>
      </c>
      <c r="J382" s="13" t="n">
        <v>163</v>
      </c>
      <c r="K382" s="13" t="n">
        <v>160.4</v>
      </c>
      <c r="L382" s="13" t="n">
        <v>139</v>
      </c>
      <c r="M382" s="13" t="n">
        <v>146</v>
      </c>
      <c r="N382" s="13" t="n">
        <v>111</v>
      </c>
      <c r="O382" s="13" t="n">
        <v>69</v>
      </c>
      <c r="P382" s="13" t="n">
        <v>99</v>
      </c>
      <c r="Q382" s="13" t="n">
        <v>14.5</v>
      </c>
      <c r="R382" s="13" t="n">
        <v>1682</v>
      </c>
      <c r="S382" s="13" t="n">
        <v>0.79</v>
      </c>
      <c r="T382" s="13" t="n">
        <v>1331</v>
      </c>
      <c r="U382" s="13" t="n">
        <v>198</v>
      </c>
      <c r="V382" s="13" t="n">
        <v>98</v>
      </c>
      <c r="W382" s="13" t="n">
        <v>40</v>
      </c>
      <c r="X382" s="13" t="n">
        <v>147</v>
      </c>
      <c r="Y382" s="13" t="n">
        <v>5</v>
      </c>
      <c r="Z382" s="13" t="n">
        <v>64</v>
      </c>
      <c r="AA382" s="13" t="n">
        <v>0.138</v>
      </c>
      <c r="AB382" s="13" t="n">
        <v>83</v>
      </c>
      <c r="AC382" s="13" t="n">
        <v>57</v>
      </c>
      <c r="AD382" s="13" t="n">
        <v>65</v>
      </c>
      <c r="AE382" s="13" t="n">
        <v>6</v>
      </c>
      <c r="AF382" s="13" t="n">
        <v>12.5</v>
      </c>
      <c r="AG382" s="11" t="inlineStr">
        <is>
          <t xml:space="preserve"> On-Piste Carving</t>
        </is>
      </c>
      <c r="AH382" s="13" t="n"/>
      <c r="AI382" s="13" t="n"/>
      <c r="AJ382" s="13" t="n"/>
      <c r="AK382" s="42" t="n"/>
    </row>
    <row r="383">
      <c r="E383" s="40" t="inlineStr">
        <is>
          <t>21/22</t>
        </is>
      </c>
      <c r="F383" s="10" t="inlineStr">
        <is>
          <t xml:space="preserve"> Atomic</t>
        </is>
      </c>
      <c r="G383" s="11" t="inlineStr">
        <is>
          <t>Redster S9 Revo</t>
        </is>
      </c>
      <c r="H383" s="13" t="n">
        <v>160</v>
      </c>
      <c r="I383" s="11" t="inlineStr">
        <is>
          <t xml:space="preserve"> Unisex</t>
        </is>
      </c>
      <c r="J383" s="13" t="n">
        <v>160</v>
      </c>
      <c r="K383" s="13" t="n">
        <v>159.6</v>
      </c>
      <c r="L383" s="13" t="n">
        <v>140</v>
      </c>
      <c r="M383" s="13" t="n">
        <v>146</v>
      </c>
      <c r="N383" s="13" t="n">
        <v>115</v>
      </c>
      <c r="O383" s="13" t="n">
        <v>67</v>
      </c>
      <c r="P383" s="13" t="n">
        <v>101</v>
      </c>
      <c r="Q383" s="13" t="n">
        <v>12.5</v>
      </c>
      <c r="R383" s="13" t="n">
        <v>1985</v>
      </c>
      <c r="S383" s="13" t="n">
        <v>0.66</v>
      </c>
      <c r="T383" s="13" t="n">
        <v>1316</v>
      </c>
      <c r="U383" s="13" t="n">
        <v>196</v>
      </c>
      <c r="V383" s="13" t="n">
        <v>97</v>
      </c>
      <c r="W383" s="13" t="n">
        <v>32</v>
      </c>
      <c r="X383" s="13" t="n">
        <v>141</v>
      </c>
      <c r="Y383" s="13" t="n">
        <v>4</v>
      </c>
      <c r="Z383" s="13" t="n">
        <v>51</v>
      </c>
      <c r="AA383" s="13" t="n">
        <v>0.13</v>
      </c>
      <c r="AB383" s="13" t="n">
        <v>80</v>
      </c>
      <c r="AC383" s="13" t="n">
        <v>51</v>
      </c>
      <c r="AD383" s="13" t="n">
        <v>60</v>
      </c>
      <c r="AE383" s="13" t="n">
        <v>11</v>
      </c>
      <c r="AF383" s="13" t="n">
        <v>13.6</v>
      </c>
      <c r="AG383" s="11" t="inlineStr">
        <is>
          <t xml:space="preserve"> On-Piste Carving</t>
        </is>
      </c>
      <c r="AH383" s="13" t="n"/>
      <c r="AI383" s="13" t="n"/>
      <c r="AJ383" s="13" t="n"/>
      <c r="AK383" s="42" t="n"/>
    </row>
    <row r="384">
      <c r="E384" s="40" t="inlineStr">
        <is>
          <t>21/22</t>
        </is>
      </c>
      <c r="F384" s="10" t="inlineStr">
        <is>
          <t xml:space="preserve"> Atomic</t>
        </is>
      </c>
      <c r="G384" s="11" t="inlineStr">
        <is>
          <t>Redster S9 Revo</t>
        </is>
      </c>
      <c r="H384" s="13" t="n">
        <v>165</v>
      </c>
      <c r="I384" s="11" t="inlineStr">
        <is>
          <t xml:space="preserve"> Unisex</t>
        </is>
      </c>
      <c r="J384" s="13" t="n">
        <v>165</v>
      </c>
      <c r="K384" s="13" t="n">
        <v>164.7</v>
      </c>
      <c r="L384" s="13" t="n">
        <v>145</v>
      </c>
      <c r="M384" s="13" t="n">
        <v>151</v>
      </c>
      <c r="N384" s="13" t="n">
        <v>116</v>
      </c>
      <c r="O384" s="13" t="n">
        <v>67</v>
      </c>
      <c r="P384" s="13" t="n">
        <v>102</v>
      </c>
      <c r="Q384" s="13" t="n">
        <v>13.1</v>
      </c>
      <c r="R384" s="13" t="n">
        <v>2072</v>
      </c>
      <c r="S384" s="13" t="n">
        <v>0.66</v>
      </c>
      <c r="T384" s="13" t="n">
        <v>1364</v>
      </c>
      <c r="U384" s="13" t="n">
        <v>220</v>
      </c>
      <c r="V384" s="13" t="n">
        <v>101</v>
      </c>
      <c r="W384" s="13" t="n">
        <v>33</v>
      </c>
      <c r="X384" s="13" t="n">
        <v>143</v>
      </c>
      <c r="Y384" s="13" t="n">
        <v>4</v>
      </c>
      <c r="Z384" s="13" t="n">
        <v>49</v>
      </c>
      <c r="AA384" s="13" t="n">
        <v>0.131</v>
      </c>
      <c r="AB384" s="13" t="n">
        <v>82</v>
      </c>
      <c r="AC384" s="13" t="n">
        <v>56</v>
      </c>
      <c r="AD384" s="13" t="n">
        <v>61</v>
      </c>
      <c r="AE384" s="13" t="n">
        <v>13</v>
      </c>
      <c r="AF384" s="13" t="n">
        <v>13.8</v>
      </c>
      <c r="AG384" s="11" t="inlineStr">
        <is>
          <t xml:space="preserve"> On-Piste Carving</t>
        </is>
      </c>
      <c r="AH384" s="13" t="n"/>
      <c r="AI384" s="13" t="n"/>
      <c r="AJ384" s="13" t="n"/>
      <c r="AK384" s="42" t="n"/>
    </row>
    <row r="385">
      <c r="E385" s="40" t="inlineStr">
        <is>
          <t>21/22</t>
        </is>
      </c>
      <c r="F385" s="10" t="inlineStr">
        <is>
          <t xml:space="preserve"> Atomic</t>
        </is>
      </c>
      <c r="G385" s="11" t="inlineStr">
        <is>
          <t>Redster S9 Revo</t>
        </is>
      </c>
      <c r="H385" s="13" t="n">
        <v>170</v>
      </c>
      <c r="I385" s="11" t="inlineStr">
        <is>
          <t xml:space="preserve"> Unisex</t>
        </is>
      </c>
      <c r="J385" s="13" t="n">
        <v>170</v>
      </c>
      <c r="K385" s="13" t="n">
        <v>169.5</v>
      </c>
      <c r="L385" s="13" t="n">
        <v>151</v>
      </c>
      <c r="M385" s="13" t="n">
        <v>156</v>
      </c>
      <c r="N385" s="13" t="n">
        <v>118</v>
      </c>
      <c r="O385" s="13" t="n">
        <v>67</v>
      </c>
      <c r="P385" s="13" t="n">
        <v>104</v>
      </c>
      <c r="Q385" s="13" t="n">
        <v>13.4</v>
      </c>
      <c r="R385" s="13" t="n">
        <v>2107</v>
      </c>
      <c r="S385" s="13" t="n">
        <v>0.67</v>
      </c>
      <c r="T385" s="13" t="n">
        <v>1418</v>
      </c>
      <c r="U385" s="13" t="n">
        <v>244</v>
      </c>
      <c r="V385" s="13" t="n">
        <v>118</v>
      </c>
      <c r="W385" s="13" t="n">
        <v>33</v>
      </c>
      <c r="X385" s="13" t="n">
        <v>139</v>
      </c>
      <c r="Y385" s="13" t="n">
        <v>4</v>
      </c>
      <c r="Z385" s="13" t="n">
        <v>49</v>
      </c>
      <c r="AA385" s="13" t="n">
        <v>0.122</v>
      </c>
      <c r="AB385" s="13" t="n">
        <v>83</v>
      </c>
      <c r="AC385" s="13" t="n">
        <v>54</v>
      </c>
      <c r="AD385" s="13" t="n">
        <v>56</v>
      </c>
      <c r="AE385" s="13" t="n">
        <v>12</v>
      </c>
      <c r="AF385" s="13" t="n">
        <v>13.4</v>
      </c>
      <c r="AG385" s="11" t="inlineStr">
        <is>
          <t xml:space="preserve"> On-Piste Carving</t>
        </is>
      </c>
      <c r="AH385" s="13" t="n"/>
      <c r="AI385" s="13" t="n"/>
      <c r="AJ385" s="13" t="n"/>
      <c r="AK385" s="42" t="n"/>
    </row>
    <row r="386">
      <c r="E386" s="40" t="inlineStr">
        <is>
          <t>21/22</t>
        </is>
      </c>
      <c r="F386" s="10" t="inlineStr">
        <is>
          <t xml:space="preserve"> Atomic</t>
        </is>
      </c>
      <c r="G386" s="11" t="inlineStr">
        <is>
          <t>Redster S9 Servo</t>
        </is>
      </c>
      <c r="H386" s="13" t="n">
        <v>159</v>
      </c>
      <c r="I386" s="11" t="inlineStr">
        <is>
          <t xml:space="preserve"> Unisex</t>
        </is>
      </c>
      <c r="J386" s="13" t="n">
        <v>159</v>
      </c>
      <c r="K386" s="13" t="n">
        <v>158</v>
      </c>
      <c r="L386" s="13" t="n">
        <v>137</v>
      </c>
      <c r="M386" s="13" t="n">
        <v>145</v>
      </c>
      <c r="N386" s="13" t="n">
        <v>117</v>
      </c>
      <c r="O386" s="13" t="n">
        <v>69</v>
      </c>
      <c r="P386" s="13" t="n">
        <v>103</v>
      </c>
      <c r="Q386" s="13" t="n">
        <v>12.1</v>
      </c>
      <c r="R386" s="13" t="n">
        <v>2069</v>
      </c>
      <c r="S386" s="13" t="n">
        <v>0.64</v>
      </c>
      <c r="T386" s="13" t="n">
        <v>1334</v>
      </c>
      <c r="U386" s="13" t="n">
        <v>206</v>
      </c>
      <c r="V386" s="13" t="n">
        <v>102</v>
      </c>
      <c r="W386" s="13" t="n">
        <v>33</v>
      </c>
      <c r="X386" s="13" t="n">
        <v>153</v>
      </c>
      <c r="Y386" s="13" t="n">
        <v>6</v>
      </c>
      <c r="Z386" s="13" t="n">
        <v>53</v>
      </c>
      <c r="AA386" s="13" t="n">
        <v>0.171</v>
      </c>
      <c r="AB386" s="13" t="n">
        <v>81</v>
      </c>
      <c r="AC386" s="13" t="n">
        <v>54</v>
      </c>
      <c r="AD386" s="13" t="n">
        <v>72</v>
      </c>
      <c r="AE386" s="13" t="n">
        <v>10</v>
      </c>
      <c r="AF386" s="13" t="n">
        <v>13.7</v>
      </c>
      <c r="AG386" s="11" t="inlineStr">
        <is>
          <t xml:space="preserve"> On-Piste Carving</t>
        </is>
      </c>
      <c r="AH386" s="13" t="n"/>
      <c r="AI386" s="13" t="n"/>
      <c r="AJ386" s="13" t="n"/>
      <c r="AK386" s="42" t="n"/>
    </row>
    <row r="387">
      <c r="E387" s="40" t="inlineStr">
        <is>
          <t>21/22</t>
        </is>
      </c>
      <c r="F387" s="10" t="inlineStr">
        <is>
          <t xml:space="preserve"> Atomic</t>
        </is>
      </c>
      <c r="G387" s="11" t="inlineStr">
        <is>
          <t>Redster S9 Servo</t>
        </is>
      </c>
      <c r="H387" s="13" t="n">
        <v>165</v>
      </c>
      <c r="I387" s="11" t="inlineStr">
        <is>
          <t xml:space="preserve"> Unisex</t>
        </is>
      </c>
      <c r="J387" s="13" t="n">
        <v>165</v>
      </c>
      <c r="K387" s="13" t="n">
        <v>163.8</v>
      </c>
      <c r="L387" s="13" t="n">
        <v>143</v>
      </c>
      <c r="M387" s="13" t="n">
        <v>151</v>
      </c>
      <c r="N387" s="13" t="n">
        <v>117</v>
      </c>
      <c r="O387" s="13" t="n">
        <v>67</v>
      </c>
      <c r="P387" s="13" t="n">
        <v>103</v>
      </c>
      <c r="Q387" s="13" t="n">
        <v>12.8</v>
      </c>
      <c r="R387" s="13" t="n">
        <v>2148</v>
      </c>
      <c r="S387" s="13" t="n">
        <v>0.63</v>
      </c>
      <c r="T387" s="13" t="n">
        <v>1362</v>
      </c>
      <c r="U387" s="13" t="n">
        <v>213</v>
      </c>
      <c r="V387" s="13" t="n">
        <v>108</v>
      </c>
      <c r="W387" s="13" t="n">
        <v>34</v>
      </c>
      <c r="X387" s="13" t="n">
        <v>153</v>
      </c>
      <c r="Y387" s="13" t="n">
        <v>5</v>
      </c>
      <c r="Z387" s="13" t="n">
        <v>54</v>
      </c>
      <c r="AA387" s="13" t="n">
        <v>0.16</v>
      </c>
      <c r="AB387" s="13" t="n">
        <v>79</v>
      </c>
      <c r="AC387" s="13" t="n">
        <v>53</v>
      </c>
      <c r="AD387" s="13" t="n">
        <v>74</v>
      </c>
      <c r="AE387" s="13" t="n">
        <v>10</v>
      </c>
      <c r="AF387" s="13" t="n">
        <v>13.6</v>
      </c>
      <c r="AG387" s="11" t="inlineStr">
        <is>
          <t xml:space="preserve"> On-Piste Carving</t>
        </is>
      </c>
      <c r="AH387" s="13" t="n"/>
      <c r="AI387" s="13" t="n"/>
      <c r="AJ387" s="13" t="n"/>
      <c r="AK387" s="42" t="n"/>
    </row>
    <row r="388">
      <c r="E388" s="40" t="inlineStr">
        <is>
          <t>21/22</t>
        </is>
      </c>
      <c r="F388" s="10" t="inlineStr">
        <is>
          <t xml:space="preserve"> Atomic</t>
        </is>
      </c>
      <c r="G388" s="11" t="inlineStr">
        <is>
          <t>Redster X5</t>
        </is>
      </c>
      <c r="H388" s="13" t="n">
        <v>154</v>
      </c>
      <c r="I388" s="11" t="inlineStr">
        <is>
          <t xml:space="preserve"> Unisex</t>
        </is>
      </c>
      <c r="J388" s="13" t="n">
        <v>154</v>
      </c>
      <c r="K388" s="13" t="n">
        <v>153.4</v>
      </c>
      <c r="L388" s="13" t="n">
        <v>133</v>
      </c>
      <c r="M388" s="13" t="n">
        <v>139</v>
      </c>
      <c r="N388" s="13" t="n">
        <v>117</v>
      </c>
      <c r="O388" s="13" t="n">
        <v>69</v>
      </c>
      <c r="P388" s="13" t="n">
        <v>100</v>
      </c>
      <c r="Q388" s="13" t="n">
        <v>11.8</v>
      </c>
      <c r="R388" s="13" t="n">
        <v>1659</v>
      </c>
      <c r="S388" s="13" t="n">
        <v>0.78</v>
      </c>
      <c r="T388" s="13" t="n">
        <v>1290</v>
      </c>
      <c r="U388" s="13" t="n">
        <v>165</v>
      </c>
      <c r="V388" s="13" t="n">
        <v>88</v>
      </c>
      <c r="W388" s="13" t="n">
        <v>36</v>
      </c>
      <c r="X388" s="13" t="n">
        <v>150</v>
      </c>
      <c r="Y388" s="13" t="n">
        <v>3</v>
      </c>
      <c r="Z388" s="13" t="n">
        <v>52</v>
      </c>
      <c r="AA388" s="13" t="n">
        <v>0.092</v>
      </c>
      <c r="AB388" s="13" t="n">
        <v>88</v>
      </c>
      <c r="AC388" s="13" t="n">
        <v>59</v>
      </c>
      <c r="AD388" s="13" t="n">
        <v>62</v>
      </c>
      <c r="AE388" s="13" t="n">
        <v>7</v>
      </c>
      <c r="AF388" s="13" t="n">
        <v>12.8</v>
      </c>
      <c r="AG388" s="11" t="inlineStr">
        <is>
          <t xml:space="preserve"> On-Piste Carving</t>
        </is>
      </c>
      <c r="AH388" s="13" t="n"/>
      <c r="AI388" s="13" t="n"/>
      <c r="AJ388" s="13" t="n"/>
      <c r="AK388" s="42" t="n"/>
    </row>
    <row r="389">
      <c r="E389" s="40" t="inlineStr">
        <is>
          <t>21/22</t>
        </is>
      </c>
      <c r="F389" s="10" t="inlineStr">
        <is>
          <t xml:space="preserve"> Atomic</t>
        </is>
      </c>
      <c r="G389" s="11" t="inlineStr">
        <is>
          <t>Redster X5</t>
        </is>
      </c>
      <c r="H389" s="13" t="n">
        <v>168</v>
      </c>
      <c r="I389" s="11" t="inlineStr">
        <is>
          <t xml:space="preserve"> Unisex</t>
        </is>
      </c>
      <c r="J389" s="13" t="n">
        <v>168</v>
      </c>
      <c r="K389" s="13" t="n">
        <v>167.3</v>
      </c>
      <c r="L389" s="13" t="n">
        <v>149</v>
      </c>
      <c r="M389" s="13" t="n">
        <v>153</v>
      </c>
      <c r="N389" s="13" t="n">
        <v>119</v>
      </c>
      <c r="O389" s="13" t="n">
        <v>70</v>
      </c>
      <c r="P389" s="13" t="n">
        <v>102</v>
      </c>
      <c r="Q389" s="13" t="n">
        <v>14.1</v>
      </c>
      <c r="R389" s="13" t="n">
        <v>1854</v>
      </c>
      <c r="S389" s="13" t="n">
        <v>0.77</v>
      </c>
      <c r="T389" s="13" t="n">
        <v>1428</v>
      </c>
      <c r="U389" s="13" t="n">
        <v>211</v>
      </c>
      <c r="V389" s="13" t="n">
        <v>105</v>
      </c>
      <c r="W389" s="13" t="n">
        <v>34</v>
      </c>
      <c r="X389" s="13" t="n">
        <v>139</v>
      </c>
      <c r="Y389" s="13" t="n">
        <v>3</v>
      </c>
      <c r="Z389" s="13" t="n">
        <v>47</v>
      </c>
      <c r="AA389" s="13" t="n">
        <v>0.095</v>
      </c>
      <c r="AB389" s="13" t="n">
        <v>88</v>
      </c>
      <c r="AC389" s="13" t="n">
        <v>57</v>
      </c>
      <c r="AD389" s="13" t="n">
        <v>51</v>
      </c>
      <c r="AE389" s="13" t="n">
        <v>12</v>
      </c>
      <c r="AF389" s="13" t="n">
        <v>13.1</v>
      </c>
      <c r="AG389" s="11" t="inlineStr">
        <is>
          <t xml:space="preserve"> On-Piste Carving</t>
        </is>
      </c>
      <c r="AH389" s="13" t="n"/>
      <c r="AI389" s="13" t="n"/>
      <c r="AJ389" s="13" t="n"/>
      <c r="AK389" s="42" t="n"/>
    </row>
    <row r="390">
      <c r="E390" s="40" t="inlineStr">
        <is>
          <t>21/22</t>
        </is>
      </c>
      <c r="F390" s="10" t="inlineStr">
        <is>
          <t xml:space="preserve"> Atomic</t>
        </is>
      </c>
      <c r="G390" s="11" t="inlineStr">
        <is>
          <t>Redster X5</t>
        </is>
      </c>
      <c r="H390" s="13" t="n">
        <v>175</v>
      </c>
      <c r="I390" s="11" t="inlineStr">
        <is>
          <t xml:space="preserve"> Unisex</t>
        </is>
      </c>
      <c r="J390" s="13" t="n">
        <v>175</v>
      </c>
      <c r="K390" s="13" t="n">
        <v>174.3</v>
      </c>
      <c r="L390" s="13" t="n">
        <v>157</v>
      </c>
      <c r="M390" s="13" t="n">
        <v>160</v>
      </c>
      <c r="N390" s="13" t="n">
        <v>120</v>
      </c>
      <c r="O390" s="13" t="n">
        <v>70</v>
      </c>
      <c r="P390" s="13" t="n">
        <v>103</v>
      </c>
      <c r="Q390" s="13" t="n">
        <v>15.3</v>
      </c>
      <c r="R390" s="13" t="n">
        <v>2053</v>
      </c>
      <c r="S390" s="13" t="n">
        <v>0.73</v>
      </c>
      <c r="T390" s="13" t="n">
        <v>1496</v>
      </c>
      <c r="U390" s="13" t="n">
        <v>218</v>
      </c>
      <c r="V390" s="13" t="n">
        <v>119</v>
      </c>
      <c r="W390" s="13" t="n">
        <v>30</v>
      </c>
      <c r="X390" s="13" t="n">
        <v>129</v>
      </c>
      <c r="Y390" s="13" t="n">
        <v>3</v>
      </c>
      <c r="Z390" s="13" t="n">
        <v>43</v>
      </c>
      <c r="AA390" s="13" t="n">
        <v>0.097</v>
      </c>
      <c r="AB390" s="13" t="n">
        <v>86</v>
      </c>
      <c r="AC390" s="13" t="n">
        <v>55</v>
      </c>
      <c r="AD390" s="13" t="n">
        <v>43</v>
      </c>
      <c r="AE390" s="13" t="n">
        <v>16</v>
      </c>
      <c r="AF390" s="13" t="n">
        <v>12.4</v>
      </c>
      <c r="AG390" s="11" t="inlineStr">
        <is>
          <t xml:space="preserve"> On-Piste Carving</t>
        </is>
      </c>
      <c r="AH390" s="13" t="n"/>
      <c r="AI390" s="13" t="n"/>
      <c r="AJ390" s="13" t="n"/>
      <c r="AK390" s="42" t="n"/>
    </row>
    <row r="391">
      <c r="E391" s="40" t="inlineStr">
        <is>
          <t>21/22</t>
        </is>
      </c>
      <c r="F391" s="10" t="inlineStr">
        <is>
          <t xml:space="preserve"> Atomic</t>
        </is>
      </c>
      <c r="G391" s="11" t="inlineStr">
        <is>
          <t>Redster X7 WB</t>
        </is>
      </c>
      <c r="H391" s="13" t="n">
        <v>160</v>
      </c>
      <c r="I391" s="11" t="inlineStr">
        <is>
          <t xml:space="preserve"> Unisex</t>
        </is>
      </c>
      <c r="J391" s="13" t="n">
        <v>160</v>
      </c>
      <c r="K391" s="13" t="n">
        <v>159.3</v>
      </c>
      <c r="L391" s="13" t="n">
        <v>140</v>
      </c>
      <c r="M391" s="13" t="n">
        <v>145</v>
      </c>
      <c r="N391" s="13" t="n">
        <v>123</v>
      </c>
      <c r="O391" s="13" t="n">
        <v>75</v>
      </c>
      <c r="P391" s="13" t="n">
        <v>106</v>
      </c>
      <c r="Q391" s="13" t="n">
        <v>13</v>
      </c>
      <c r="R391" s="13" t="n">
        <v>1663</v>
      </c>
      <c r="S391" s="13" t="n">
        <v>0.86</v>
      </c>
      <c r="T391" s="13" t="n">
        <v>1425</v>
      </c>
      <c r="U391" s="13" t="n">
        <v>168</v>
      </c>
      <c r="V391" s="13" t="n">
        <v>74</v>
      </c>
      <c r="W391" s="13" t="n">
        <v>38</v>
      </c>
      <c r="X391" s="13" t="n">
        <v>142</v>
      </c>
      <c r="Y391" s="13" t="n">
        <v>5</v>
      </c>
      <c r="Z391" s="13" t="n">
        <v>53</v>
      </c>
      <c r="AA391" s="13" t="n">
        <v>0.129</v>
      </c>
      <c r="AB391" s="13" t="n">
        <v>89</v>
      </c>
      <c r="AC391" s="13" t="n">
        <v>54</v>
      </c>
      <c r="AD391" s="13" t="n">
        <v>54</v>
      </c>
      <c r="AE391" s="13" t="n">
        <v>9</v>
      </c>
      <c r="AF391" s="13" t="n">
        <v>12.6</v>
      </c>
      <c r="AG391" s="11" t="inlineStr">
        <is>
          <t xml:space="preserve"> On-Piste Carving</t>
        </is>
      </c>
      <c r="AH391" s="13" t="n"/>
      <c r="AI391" s="13" t="n"/>
      <c r="AJ391" s="13" t="n"/>
      <c r="AK391" s="42" t="n"/>
    </row>
    <row r="392">
      <c r="E392" s="40" t="inlineStr">
        <is>
          <t>21/22</t>
        </is>
      </c>
      <c r="F392" s="10" t="inlineStr">
        <is>
          <t xml:space="preserve"> Atomic</t>
        </is>
      </c>
      <c r="G392" s="11" t="inlineStr">
        <is>
          <t>Redster X7 WB</t>
        </is>
      </c>
      <c r="H392" s="13" t="n">
        <v>168</v>
      </c>
      <c r="I392" s="11" t="inlineStr">
        <is>
          <t xml:space="preserve"> Unisex</t>
        </is>
      </c>
      <c r="J392" s="13" t="n">
        <v>168</v>
      </c>
      <c r="K392" s="13" t="n">
        <v>167.4</v>
      </c>
      <c r="L392" s="13" t="n">
        <v>148</v>
      </c>
      <c r="M392" s="13" t="n">
        <v>153</v>
      </c>
      <c r="N392" s="13" t="n">
        <v>125</v>
      </c>
      <c r="O392" s="13" t="n">
        <v>75</v>
      </c>
      <c r="P392" s="13" t="n">
        <v>109</v>
      </c>
      <c r="Q392" s="13" t="n">
        <v>13.7</v>
      </c>
      <c r="R392" s="13" t="n">
        <v>1748</v>
      </c>
      <c r="S392" s="13" t="n">
        <v>0.87</v>
      </c>
      <c r="T392" s="13" t="n">
        <v>1512</v>
      </c>
      <c r="U392" s="13" t="n">
        <v>192</v>
      </c>
      <c r="V392" s="13" t="n">
        <v>83</v>
      </c>
      <c r="W392" s="13" t="n">
        <v>38</v>
      </c>
      <c r="X392" s="13" t="n">
        <v>146</v>
      </c>
      <c r="Y392" s="13" t="n">
        <v>5</v>
      </c>
      <c r="Z392" s="13" t="n">
        <v>51</v>
      </c>
      <c r="AA392" s="13" t="n">
        <v>0.118</v>
      </c>
      <c r="AB392" s="13" t="n">
        <v>90</v>
      </c>
      <c r="AC392" s="13" t="n">
        <v>53</v>
      </c>
      <c r="AD392" s="13" t="n">
        <v>56</v>
      </c>
      <c r="AE392" s="13" t="n">
        <v>7</v>
      </c>
      <c r="AF392" s="13" t="n">
        <v>12.9</v>
      </c>
      <c r="AG392" s="11" t="inlineStr">
        <is>
          <t xml:space="preserve"> On-Piste Carving</t>
        </is>
      </c>
      <c r="AH392" s="13" t="n"/>
      <c r="AI392" s="13" t="n"/>
      <c r="AJ392" s="13" t="n"/>
      <c r="AK392" s="42" t="n"/>
    </row>
    <row r="393">
      <c r="E393" s="40" t="inlineStr">
        <is>
          <t>21/22</t>
        </is>
      </c>
      <c r="F393" s="10" t="inlineStr">
        <is>
          <t xml:space="preserve"> Atomic</t>
        </is>
      </c>
      <c r="G393" s="11" t="inlineStr">
        <is>
          <t>Redster X9 WB Revo</t>
        </is>
      </c>
      <c r="H393" s="13" t="n">
        <v>168</v>
      </c>
      <c r="I393" s="11" t="inlineStr">
        <is>
          <t xml:space="preserve"> Unisex</t>
        </is>
      </c>
      <c r="J393" s="13" t="n">
        <v>168</v>
      </c>
      <c r="K393" s="13" t="n">
        <v>167.4</v>
      </c>
      <c r="L393" s="13" t="n">
        <v>147</v>
      </c>
      <c r="M393" s="13" t="n">
        <v>153</v>
      </c>
      <c r="N393" s="13" t="n">
        <v>124</v>
      </c>
      <c r="O393" s="13" t="n">
        <v>74</v>
      </c>
      <c r="P393" s="13" t="n">
        <v>108</v>
      </c>
      <c r="Q393" s="13" t="n">
        <v>13.7</v>
      </c>
      <c r="R393" s="13" t="n">
        <v>2155</v>
      </c>
      <c r="S393" s="13" t="n">
        <v>0.7</v>
      </c>
      <c r="T393" s="13" t="n">
        <v>1505</v>
      </c>
      <c r="U393" s="13" t="n">
        <v>232</v>
      </c>
      <c r="V393" s="13" t="n">
        <v>139</v>
      </c>
      <c r="W393" s="13" t="n">
        <v>37</v>
      </c>
      <c r="X393" s="13" t="n">
        <v>142</v>
      </c>
      <c r="Y393" s="13" t="n">
        <v>5</v>
      </c>
      <c r="Z393" s="13" t="n">
        <v>62</v>
      </c>
      <c r="AA393" s="13" t="n">
        <v>0.149</v>
      </c>
      <c r="AB393" s="13" t="n">
        <v>84</v>
      </c>
      <c r="AC393" s="13" t="n">
        <v>55</v>
      </c>
      <c r="AD393" s="13" t="n">
        <v>58</v>
      </c>
      <c r="AE393" s="13" t="n">
        <v>5</v>
      </c>
      <c r="AF393" s="13" t="n">
        <v>12.8</v>
      </c>
      <c r="AG393" s="11" t="inlineStr">
        <is>
          <t xml:space="preserve"> On-Piste Carving</t>
        </is>
      </c>
      <c r="AH393" s="13" t="n"/>
      <c r="AI393" s="13" t="n"/>
      <c r="AJ393" s="13" t="n"/>
      <c r="AK393" s="42" t="n"/>
    </row>
    <row r="394">
      <c r="E394" s="40" t="inlineStr">
        <is>
          <t>21/22</t>
        </is>
      </c>
      <c r="F394" s="10" t="inlineStr">
        <is>
          <t xml:space="preserve"> Atomic</t>
        </is>
      </c>
      <c r="G394" s="11" t="inlineStr">
        <is>
          <t>Redster X9 WB Revo</t>
        </is>
      </c>
      <c r="H394" s="13" t="n">
        <v>176</v>
      </c>
      <c r="I394" s="11" t="inlineStr">
        <is>
          <t xml:space="preserve"> Unisex</t>
        </is>
      </c>
      <c r="J394" s="13" t="n">
        <v>176</v>
      </c>
      <c r="K394" s="13" t="n">
        <v>175.3</v>
      </c>
      <c r="L394" s="13" t="n">
        <v>155</v>
      </c>
      <c r="M394" s="13" t="n">
        <v>161</v>
      </c>
      <c r="N394" s="13" t="n">
        <v>127</v>
      </c>
      <c r="O394" s="13" t="n">
        <v>74</v>
      </c>
      <c r="P394" s="13" t="n">
        <v>111</v>
      </c>
      <c r="Q394" s="13" t="n">
        <v>14.2</v>
      </c>
      <c r="R394" s="13" t="n">
        <v>2253</v>
      </c>
      <c r="S394" s="13" t="n">
        <v>0.71</v>
      </c>
      <c r="T394" s="13" t="n">
        <v>1590</v>
      </c>
      <c r="U394" s="13" t="n">
        <v>248</v>
      </c>
      <c r="V394" s="13" t="n">
        <v>146</v>
      </c>
      <c r="W394" s="13" t="n">
        <v>37</v>
      </c>
      <c r="X394" s="13" t="n">
        <v>143</v>
      </c>
      <c r="Y394" s="13" t="n">
        <v>5</v>
      </c>
      <c r="Z394" s="13" t="n">
        <v>57</v>
      </c>
      <c r="AA394" s="13" t="n">
        <v>0.139</v>
      </c>
      <c r="AB394" s="13" t="n">
        <v>85</v>
      </c>
      <c r="AC394" s="13" t="n">
        <v>56</v>
      </c>
      <c r="AD394" s="13" t="n">
        <v>59</v>
      </c>
      <c r="AE394" s="13" t="n">
        <v>9</v>
      </c>
      <c r="AF394" s="13" t="n">
        <v>12.5</v>
      </c>
      <c r="AG394" s="11" t="inlineStr">
        <is>
          <t xml:space="preserve"> On-Piste Carving</t>
        </is>
      </c>
      <c r="AH394" s="13" t="n"/>
      <c r="AI394" s="13" t="n"/>
      <c r="AJ394" s="13" t="n"/>
      <c r="AK394" s="42" t="n"/>
    </row>
    <row r="395">
      <c r="E395" s="40" t="inlineStr">
        <is>
          <t>21/22</t>
        </is>
      </c>
      <c r="F395" s="10" t="inlineStr">
        <is>
          <t xml:space="preserve"> Atomic</t>
        </is>
      </c>
      <c r="G395" s="11" t="inlineStr">
        <is>
          <t>Vantage 75</t>
        </is>
      </c>
      <c r="H395" s="13" t="n">
        <v>161</v>
      </c>
      <c r="I395" s="11" t="inlineStr">
        <is>
          <t xml:space="preserve"> Unisex</t>
        </is>
      </c>
      <c r="J395" s="13" t="n">
        <v>161</v>
      </c>
      <c r="K395" s="13" t="n">
        <v>160.5</v>
      </c>
      <c r="L395" s="13" t="n">
        <v>135</v>
      </c>
      <c r="M395" s="13" t="n">
        <v>143</v>
      </c>
      <c r="N395" s="13" t="n">
        <v>114</v>
      </c>
      <c r="O395" s="13" t="n">
        <v>74</v>
      </c>
      <c r="P395" s="13" t="n">
        <v>99</v>
      </c>
      <c r="Q395" s="13" t="n">
        <v>15.2</v>
      </c>
      <c r="R395" s="13" t="n">
        <v>1774</v>
      </c>
      <c r="S395" s="13" t="n">
        <v>0.78</v>
      </c>
      <c r="T395" s="13" t="n">
        <v>1388</v>
      </c>
      <c r="U395" s="13" t="n">
        <v>166</v>
      </c>
      <c r="V395" s="13" t="n">
        <v>84</v>
      </c>
      <c r="W395" s="13" t="n">
        <v>39</v>
      </c>
      <c r="X395" s="13" t="n">
        <v>176</v>
      </c>
      <c r="Y395" s="13" t="n">
        <v>4</v>
      </c>
      <c r="Z395" s="13" t="n">
        <v>78</v>
      </c>
      <c r="AA395" s="13" t="n">
        <v>0.112</v>
      </c>
      <c r="AB395" s="13" t="n">
        <v>100</v>
      </c>
      <c r="AC395" s="13" t="n">
        <v>76</v>
      </c>
      <c r="AD395" s="13" t="n">
        <v>76</v>
      </c>
      <c r="AE395" s="13" t="n">
        <v>11</v>
      </c>
      <c r="AF395" s="13" t="n">
        <v>10.5</v>
      </c>
      <c r="AG395" s="11" t="inlineStr">
        <is>
          <t xml:space="preserve"> On-Piste Carving</t>
        </is>
      </c>
      <c r="AH395" s="11" t="inlineStr">
        <is>
          <t xml:space="preserve"> On-Piste All-Mountain</t>
        </is>
      </c>
      <c r="AI395" s="13" t="n"/>
      <c r="AJ395" s="13" t="n"/>
      <c r="AK395" s="42" t="n"/>
    </row>
    <row r="396">
      <c r="E396" s="40" t="inlineStr">
        <is>
          <t>21/22</t>
        </is>
      </c>
      <c r="F396" s="10" t="inlineStr">
        <is>
          <t xml:space="preserve"> Atomic</t>
        </is>
      </c>
      <c r="G396" s="11" t="inlineStr">
        <is>
          <t>Vantage 75</t>
        </is>
      </c>
      <c r="H396" s="13" t="n">
        <v>169</v>
      </c>
      <c r="I396" s="11" t="inlineStr">
        <is>
          <t xml:space="preserve"> Unisex</t>
        </is>
      </c>
      <c r="J396" s="13" t="n">
        <v>169</v>
      </c>
      <c r="K396" s="13" t="n">
        <v>168.5</v>
      </c>
      <c r="L396" s="13" t="n">
        <v>142</v>
      </c>
      <c r="M396" s="13" t="n">
        <v>152</v>
      </c>
      <c r="N396" s="13" t="n">
        <v>115</v>
      </c>
      <c r="O396" s="13" t="n">
        <v>74</v>
      </c>
      <c r="P396" s="13" t="n">
        <v>100</v>
      </c>
      <c r="Q396" s="13" t="n">
        <v>16.2</v>
      </c>
      <c r="R396" s="13" t="n">
        <v>1889</v>
      </c>
      <c r="S396" s="13" t="n">
        <v>0.77</v>
      </c>
      <c r="T396" s="13" t="n">
        <v>1464</v>
      </c>
      <c r="U396" s="13" t="n">
        <v>188</v>
      </c>
      <c r="V396" s="13" t="n">
        <v>91</v>
      </c>
      <c r="W396" s="13" t="n">
        <v>39</v>
      </c>
      <c r="X396" s="13" t="n">
        <v>185</v>
      </c>
      <c r="Y396" s="13" t="n">
        <v>4</v>
      </c>
      <c r="Z396" s="13" t="n">
        <v>76</v>
      </c>
      <c r="AA396" s="13" t="n">
        <v>0.116</v>
      </c>
      <c r="AB396" s="13" t="n">
        <v>97</v>
      </c>
      <c r="AC396" s="13" t="n">
        <v>73</v>
      </c>
      <c r="AD396" s="13" t="n">
        <v>87</v>
      </c>
      <c r="AE396" s="13" t="n">
        <v>10</v>
      </c>
      <c r="AF396" s="13" t="n">
        <v>10.4</v>
      </c>
      <c r="AG396" s="11" t="inlineStr">
        <is>
          <t xml:space="preserve"> On-Piste Carving</t>
        </is>
      </c>
      <c r="AH396" s="11" t="inlineStr">
        <is>
          <t xml:space="preserve"> On-Piste All-Mountain</t>
        </is>
      </c>
      <c r="AI396" s="13" t="n"/>
      <c r="AJ396" s="13" t="n"/>
      <c r="AK396" s="42" t="n"/>
    </row>
    <row r="397">
      <c r="E397" s="40" t="inlineStr">
        <is>
          <t>21/22</t>
        </is>
      </c>
      <c r="F397" s="10" t="inlineStr">
        <is>
          <t xml:space="preserve"> Atomic</t>
        </is>
      </c>
      <c r="G397" s="11" t="inlineStr">
        <is>
          <t>Vantage 75 C</t>
        </is>
      </c>
      <c r="H397" s="13" t="n">
        <v>154</v>
      </c>
      <c r="I397" s="11" t="inlineStr">
        <is>
          <t xml:space="preserve"> Unisex</t>
        </is>
      </c>
      <c r="J397" s="13" t="n">
        <v>154</v>
      </c>
      <c r="K397" s="13" t="n">
        <v>153.5</v>
      </c>
      <c r="L397" s="13" t="n">
        <v>129</v>
      </c>
      <c r="M397" s="13" t="n">
        <v>137</v>
      </c>
      <c r="N397" s="13" t="n">
        <v>113</v>
      </c>
      <c r="O397" s="13" t="n">
        <v>74</v>
      </c>
      <c r="P397" s="13" t="n">
        <v>98</v>
      </c>
      <c r="Q397" s="13" t="n">
        <v>14.2</v>
      </c>
      <c r="R397" s="11" t="inlineStr">
        <is>
          <t xml:space="preserve"> None</t>
        </is>
      </c>
      <c r="S397" s="11" t="inlineStr">
        <is>
          <t xml:space="preserve"> None</t>
        </is>
      </c>
      <c r="T397" s="13" t="n">
        <v>1328</v>
      </c>
      <c r="U397" s="13" t="n">
        <v>154</v>
      </c>
      <c r="V397" s="13" t="n">
        <v>67</v>
      </c>
      <c r="W397" s="13" t="n">
        <v>35</v>
      </c>
      <c r="X397" s="13" t="n">
        <v>169</v>
      </c>
      <c r="Y397" s="13" t="n">
        <v>6</v>
      </c>
      <c r="Z397" s="13" t="n">
        <v>73</v>
      </c>
      <c r="AA397" s="13" t="n">
        <v>0.16</v>
      </c>
      <c r="AB397" s="13" t="n">
        <v>98</v>
      </c>
      <c r="AC397" s="13" t="n">
        <v>70</v>
      </c>
      <c r="AD397" s="13" t="n">
        <v>71</v>
      </c>
      <c r="AE397" s="13" t="n">
        <v>10</v>
      </c>
      <c r="AF397" s="13" t="n">
        <v>10.7</v>
      </c>
      <c r="AG397" s="11" t="inlineStr">
        <is>
          <t xml:space="preserve"> Other</t>
        </is>
      </c>
      <c r="AH397" s="13" t="n"/>
      <c r="AI397" s="13" t="n"/>
      <c r="AJ397" s="13" t="n"/>
      <c r="AK397" s="42" t="n"/>
    </row>
    <row r="398">
      <c r="E398" s="40" t="inlineStr">
        <is>
          <t>21/22</t>
        </is>
      </c>
      <c r="F398" s="10" t="inlineStr">
        <is>
          <t xml:space="preserve"> Atomic</t>
        </is>
      </c>
      <c r="G398" s="11" t="inlineStr">
        <is>
          <t>Vantage 75 C</t>
        </is>
      </c>
      <c r="H398" s="13" t="n">
        <v>161</v>
      </c>
      <c r="I398" s="11" t="inlineStr">
        <is>
          <t xml:space="preserve"> Unisex</t>
        </is>
      </c>
      <c r="J398" s="13" t="n">
        <v>161</v>
      </c>
      <c r="K398" s="13" t="n">
        <v>160.4</v>
      </c>
      <c r="L398" s="13" t="n">
        <v>135</v>
      </c>
      <c r="M398" s="13" t="n">
        <v>143</v>
      </c>
      <c r="N398" s="13" t="n">
        <v>115</v>
      </c>
      <c r="O398" s="13" t="n">
        <v>74</v>
      </c>
      <c r="P398" s="13" t="n">
        <v>99</v>
      </c>
      <c r="Q398" s="13" t="n">
        <v>15.3</v>
      </c>
      <c r="R398" s="13" t="n">
        <v>1731</v>
      </c>
      <c r="S398" s="13" t="n">
        <v>0.8100000000000001</v>
      </c>
      <c r="T398" s="13" t="n">
        <v>1394</v>
      </c>
      <c r="U398" s="13" t="n">
        <v>156</v>
      </c>
      <c r="V398" s="13" t="n">
        <v>67</v>
      </c>
      <c r="W398" s="13" t="n">
        <v>39</v>
      </c>
      <c r="X398" s="13" t="n">
        <v>178</v>
      </c>
      <c r="Y398" s="13" t="n">
        <v>4</v>
      </c>
      <c r="Z398" s="13" t="n">
        <v>76</v>
      </c>
      <c r="AA398" s="13" t="n">
        <v>0.113</v>
      </c>
      <c r="AB398" s="13" t="n">
        <v>98</v>
      </c>
      <c r="AC398" s="13" t="n">
        <v>71</v>
      </c>
      <c r="AD398" s="13" t="n">
        <v>79</v>
      </c>
      <c r="AE398" s="13" t="n">
        <v>10</v>
      </c>
      <c r="AF398" s="13" t="n">
        <v>10.4</v>
      </c>
      <c r="AG398" s="11" t="inlineStr">
        <is>
          <t xml:space="preserve"> On-Piste Carving</t>
        </is>
      </c>
      <c r="AH398" s="11" t="inlineStr">
        <is>
          <t xml:space="preserve"> On-Piste All-Mountain</t>
        </is>
      </c>
      <c r="AI398" s="13" t="n"/>
      <c r="AJ398" s="13" t="n"/>
      <c r="AK398" s="42" t="n"/>
    </row>
    <row r="399">
      <c r="E399" s="40" t="inlineStr">
        <is>
          <t>21/22</t>
        </is>
      </c>
      <c r="F399" s="10" t="inlineStr">
        <is>
          <t xml:space="preserve"> Atomic</t>
        </is>
      </c>
      <c r="G399" s="11" t="inlineStr">
        <is>
          <t>Vantage 75 C W</t>
        </is>
      </c>
      <c r="H399" s="13" t="n">
        <v>161</v>
      </c>
      <c r="I399" s="11" t="inlineStr">
        <is>
          <t xml:space="preserve"> Women's</t>
        </is>
      </c>
      <c r="J399" s="13" t="n">
        <v>161</v>
      </c>
      <c r="K399" s="13" t="n">
        <v>160.5</v>
      </c>
      <c r="L399" s="13" t="n">
        <v>135</v>
      </c>
      <c r="M399" s="13" t="n">
        <v>144</v>
      </c>
      <c r="N399" s="13" t="n">
        <v>115</v>
      </c>
      <c r="O399" s="13" t="n">
        <v>74</v>
      </c>
      <c r="P399" s="13" t="n">
        <v>99</v>
      </c>
      <c r="Q399" s="13" t="n">
        <v>15.2</v>
      </c>
      <c r="R399" s="11" t="inlineStr">
        <is>
          <t xml:space="preserve"> None</t>
        </is>
      </c>
      <c r="S399" s="11" t="inlineStr">
        <is>
          <t xml:space="preserve"> None</t>
        </is>
      </c>
      <c r="T399" s="13" t="n">
        <v>1397</v>
      </c>
      <c r="U399" s="13" t="n">
        <v>161</v>
      </c>
      <c r="V399" s="13" t="n">
        <v>69</v>
      </c>
      <c r="W399" s="13" t="n">
        <v>38</v>
      </c>
      <c r="X399" s="13" t="n">
        <v>177</v>
      </c>
      <c r="Y399" s="13" t="n">
        <v>5</v>
      </c>
      <c r="Z399" s="13" t="n">
        <v>82</v>
      </c>
      <c r="AA399" s="13" t="n">
        <v>0.119</v>
      </c>
      <c r="AB399" s="13" t="n">
        <v>97</v>
      </c>
      <c r="AC399" s="13" t="n">
        <v>71</v>
      </c>
      <c r="AD399" s="13" t="n">
        <v>80</v>
      </c>
      <c r="AE399" s="13" t="n">
        <v>10</v>
      </c>
      <c r="AF399" s="13" t="n">
        <v>10.6</v>
      </c>
      <c r="AG399" s="11" t="inlineStr">
        <is>
          <t xml:space="preserve"> Other</t>
        </is>
      </c>
      <c r="AH399" s="13" t="n"/>
      <c r="AI399" s="13" t="n"/>
      <c r="AJ399" s="13" t="n"/>
      <c r="AK399" s="42" t="n"/>
    </row>
    <row r="400">
      <c r="E400" s="40" t="inlineStr">
        <is>
          <t>21/22</t>
        </is>
      </c>
      <c r="F400" s="10" t="inlineStr">
        <is>
          <t xml:space="preserve"> Atomic</t>
        </is>
      </c>
      <c r="G400" s="11" t="inlineStr">
        <is>
          <t>Vantage 79 Ti</t>
        </is>
      </c>
      <c r="H400" s="13" t="n">
        <v>163</v>
      </c>
      <c r="I400" s="11" t="inlineStr">
        <is>
          <t xml:space="preserve"> Unisex</t>
        </is>
      </c>
      <c r="J400" s="13" t="n">
        <v>163</v>
      </c>
      <c r="K400" s="13" t="n">
        <v>162.5</v>
      </c>
      <c r="L400" s="13" t="n">
        <v>136</v>
      </c>
      <c r="M400" s="13" t="n">
        <v>146</v>
      </c>
      <c r="N400" s="13" t="n">
        <v>118</v>
      </c>
      <c r="O400" s="13" t="n">
        <v>77</v>
      </c>
      <c r="P400" s="13" t="n">
        <v>103</v>
      </c>
      <c r="Q400" s="13" t="n">
        <v>15.3</v>
      </c>
      <c r="R400" s="13" t="n">
        <v>1917</v>
      </c>
      <c r="S400" s="13" t="n">
        <v>0.77</v>
      </c>
      <c r="T400" s="13" t="n">
        <v>1469</v>
      </c>
      <c r="U400" s="13" t="n">
        <v>193</v>
      </c>
      <c r="V400" s="13" t="n">
        <v>82</v>
      </c>
      <c r="W400" s="13" t="n">
        <v>39</v>
      </c>
      <c r="X400" s="13" t="n">
        <v>179</v>
      </c>
      <c r="Y400" s="13" t="n">
        <v>5</v>
      </c>
      <c r="Z400" s="13" t="n">
        <v>82</v>
      </c>
      <c r="AA400" s="13" t="n">
        <v>0.126</v>
      </c>
      <c r="AB400" s="13" t="n">
        <v>90</v>
      </c>
      <c r="AC400" s="13" t="n">
        <v>72</v>
      </c>
      <c r="AD400" s="13" t="n">
        <v>89</v>
      </c>
      <c r="AE400" s="13" t="n">
        <v>8</v>
      </c>
      <c r="AF400" s="13" t="n">
        <v>11.4</v>
      </c>
      <c r="AG400" s="11" t="inlineStr">
        <is>
          <t xml:space="preserve"> On-Piste Carving</t>
        </is>
      </c>
      <c r="AH400" s="13" t="n"/>
      <c r="AI400" s="13" t="n"/>
      <c r="AJ400" s="13" t="n"/>
      <c r="AK400" s="42" t="n"/>
    </row>
    <row r="401">
      <c r="E401" s="40" t="inlineStr">
        <is>
          <t>21/22</t>
        </is>
      </c>
      <c r="F401" s="10" t="inlineStr">
        <is>
          <t xml:space="preserve"> Atomic</t>
        </is>
      </c>
      <c r="G401" s="11" t="inlineStr">
        <is>
          <t>Vantage 82 Ti</t>
        </is>
      </c>
      <c r="H401" s="13" t="n">
        <v>159</v>
      </c>
      <c r="I401" s="11" t="inlineStr">
        <is>
          <t xml:space="preserve"> Unisex</t>
        </is>
      </c>
      <c r="J401" s="13" t="n">
        <v>159</v>
      </c>
      <c r="K401" s="13" t="n">
        <v>158.4</v>
      </c>
      <c r="L401" s="13" t="n">
        <v>130</v>
      </c>
      <c r="M401" s="13" t="n">
        <v>143</v>
      </c>
      <c r="N401" s="13" t="n">
        <v>118</v>
      </c>
      <c r="O401" s="13" t="n">
        <v>79</v>
      </c>
      <c r="P401" s="13" t="n">
        <v>104</v>
      </c>
      <c r="Q401" s="13" t="n">
        <v>14.8</v>
      </c>
      <c r="R401" s="13" t="n">
        <v>1506</v>
      </c>
      <c r="S401" s="13" t="n">
        <v>0.97</v>
      </c>
      <c r="T401" s="13" t="n">
        <v>1456</v>
      </c>
      <c r="U401" s="13" t="n">
        <v>184</v>
      </c>
      <c r="V401" s="13" t="n">
        <v>75</v>
      </c>
      <c r="W401" s="13" t="n">
        <v>45</v>
      </c>
      <c r="X401" s="13" t="n">
        <v>199</v>
      </c>
      <c r="Y401" s="13" t="n">
        <v>6</v>
      </c>
      <c r="Z401" s="13" t="n">
        <v>89</v>
      </c>
      <c r="AA401" s="13" t="n">
        <v>0.132</v>
      </c>
      <c r="AB401" s="13" t="n">
        <v>86</v>
      </c>
      <c r="AC401" s="13" t="n">
        <v>69</v>
      </c>
      <c r="AD401" s="13" t="n">
        <v>113</v>
      </c>
      <c r="AE401" s="13" t="n">
        <v>5</v>
      </c>
      <c r="AF401" s="13" t="n">
        <v>11</v>
      </c>
      <c r="AG401" s="11" t="inlineStr">
        <is>
          <t xml:space="preserve"> On-Piste Carving</t>
        </is>
      </c>
      <c r="AH401" s="13" t="n"/>
      <c r="AI401" s="13" t="n"/>
      <c r="AJ401" s="13" t="n"/>
      <c r="AK401" s="42" t="n"/>
    </row>
    <row r="402">
      <c r="E402" s="40" t="inlineStr">
        <is>
          <t>21/22</t>
        </is>
      </c>
      <c r="F402" s="10" t="inlineStr">
        <is>
          <t xml:space="preserve"> Atomic</t>
        </is>
      </c>
      <c r="G402" s="11" t="inlineStr">
        <is>
          <t>Vantage 82 Ti</t>
        </is>
      </c>
      <c r="H402" s="13" t="n">
        <v>174</v>
      </c>
      <c r="I402" s="11" t="inlineStr">
        <is>
          <t xml:space="preserve"> Unisex</t>
        </is>
      </c>
      <c r="J402" s="13" t="n">
        <v>174</v>
      </c>
      <c r="K402" s="13" t="n">
        <v>173.3</v>
      </c>
      <c r="L402" s="13" t="n">
        <v>146</v>
      </c>
      <c r="M402" s="13" t="n">
        <v>156</v>
      </c>
      <c r="N402" s="13" t="n">
        <v>122</v>
      </c>
      <c r="O402" s="13" t="n">
        <v>82</v>
      </c>
      <c r="P402" s="13" t="n">
        <v>108</v>
      </c>
      <c r="Q402" s="13" t="n">
        <v>17.3</v>
      </c>
      <c r="R402" s="13" t="n">
        <v>1882</v>
      </c>
      <c r="S402" s="13" t="n">
        <v>0.87</v>
      </c>
      <c r="T402" s="13" t="n">
        <v>1639</v>
      </c>
      <c r="U402" s="13" t="n">
        <v>244</v>
      </c>
      <c r="V402" s="13" t="n">
        <v>104</v>
      </c>
      <c r="W402" s="13" t="n">
        <v>41</v>
      </c>
      <c r="X402" s="13" t="n">
        <v>183</v>
      </c>
      <c r="Y402" s="13" t="n">
        <v>5</v>
      </c>
      <c r="Z402" s="13" t="n">
        <v>86</v>
      </c>
      <c r="AA402" s="13" t="n">
        <v>0.12</v>
      </c>
      <c r="AB402" s="13" t="n">
        <v>101</v>
      </c>
      <c r="AC402" s="13" t="n">
        <v>72</v>
      </c>
      <c r="AD402" s="13" t="n">
        <v>82</v>
      </c>
      <c r="AE402" s="13" t="n">
        <v>7</v>
      </c>
      <c r="AF402" s="13" t="n">
        <v>11.1</v>
      </c>
      <c r="AG402" s="11" t="inlineStr">
        <is>
          <t xml:space="preserve"> On-Piste Carving</t>
        </is>
      </c>
      <c r="AH402" s="11" t="inlineStr">
        <is>
          <t xml:space="preserve"> Resort Freeride</t>
        </is>
      </c>
      <c r="AI402" s="13" t="n"/>
      <c r="AJ402" s="13" t="n"/>
      <c r="AK402" s="42" t="n"/>
    </row>
    <row r="403">
      <c r="E403" s="40" t="inlineStr">
        <is>
          <t>21/22</t>
        </is>
      </c>
      <c r="F403" s="10" t="inlineStr">
        <is>
          <t xml:space="preserve"> Black Crows</t>
        </is>
      </c>
      <c r="G403" s="11" t="inlineStr">
        <is>
          <t xml:space="preserve"> Anima</t>
        </is>
      </c>
      <c r="H403" s="13" t="n">
        <v>182.1</v>
      </c>
      <c r="I403" s="11" t="inlineStr">
        <is>
          <t xml:space="preserve"> Unisex</t>
        </is>
      </c>
      <c r="J403" s="13" t="n">
        <v>182.1</v>
      </c>
      <c r="K403" s="13" t="n">
        <v>180.9</v>
      </c>
      <c r="L403" s="13" t="n">
        <v>115</v>
      </c>
      <c r="M403" s="13" t="n">
        <v>148</v>
      </c>
      <c r="N403" s="13" t="n">
        <v>145</v>
      </c>
      <c r="O403" s="13" t="n">
        <v>114</v>
      </c>
      <c r="P403" s="13" t="n">
        <v>134</v>
      </c>
      <c r="Q403" s="13" t="n">
        <v>19.3</v>
      </c>
      <c r="R403" s="13" t="n">
        <v>2227</v>
      </c>
      <c r="S403" s="13" t="n">
        <v>1.01</v>
      </c>
      <c r="T403" s="13" t="n">
        <v>2241</v>
      </c>
      <c r="U403" s="13" t="n">
        <v>230</v>
      </c>
      <c r="V403" s="13" t="n">
        <v>107</v>
      </c>
      <c r="W403" s="13" t="n">
        <v>50</v>
      </c>
      <c r="X403" s="13" t="n">
        <v>375</v>
      </c>
      <c r="Y403" s="13" t="n">
        <v>47</v>
      </c>
      <c r="Z403" s="13" t="n">
        <v>286</v>
      </c>
      <c r="AA403" s="13" t="n">
        <v>0.928</v>
      </c>
      <c r="AB403" s="13" t="n">
        <v>185</v>
      </c>
      <c r="AC403" s="13" t="n">
        <v>145</v>
      </c>
      <c r="AD403" s="13" t="n">
        <v>191</v>
      </c>
      <c r="AE403" s="13" t="n">
        <v>7</v>
      </c>
      <c r="AF403" s="13" t="n">
        <v>7.1</v>
      </c>
      <c r="AG403" s="11" t="inlineStr">
        <is>
          <t xml:space="preserve"> Freeski</t>
        </is>
      </c>
      <c r="AH403" s="11" t="inlineStr">
        <is>
          <t xml:space="preserve"> Powder</t>
        </is>
      </c>
      <c r="AI403" s="13" t="n"/>
      <c r="AJ403" s="13" t="n"/>
      <c r="AK403" s="42" t="n"/>
    </row>
    <row r="404">
      <c r="E404" s="40" t="inlineStr">
        <is>
          <t>21/22</t>
        </is>
      </c>
      <c r="F404" s="10" t="inlineStr">
        <is>
          <t xml:space="preserve"> Black Crows</t>
        </is>
      </c>
      <c r="G404" s="11" t="inlineStr">
        <is>
          <t xml:space="preserve"> Atris</t>
        </is>
      </c>
      <c r="H404" s="13" t="n">
        <v>178.3</v>
      </c>
      <c r="I404" s="11" t="inlineStr">
        <is>
          <t xml:space="preserve"> Unisex</t>
        </is>
      </c>
      <c r="J404" s="13" t="n">
        <v>178.3</v>
      </c>
      <c r="K404" s="13" t="n">
        <v>176.9</v>
      </c>
      <c r="L404" s="13" t="n">
        <v>122</v>
      </c>
      <c r="M404" s="13" t="n">
        <v>145</v>
      </c>
      <c r="N404" s="13" t="n">
        <v>138</v>
      </c>
      <c r="O404" s="13" t="n">
        <v>108</v>
      </c>
      <c r="P404" s="13" t="n">
        <v>125</v>
      </c>
      <c r="Q404" s="13" t="n">
        <v>20.4</v>
      </c>
      <c r="R404" s="13" t="n">
        <v>1900</v>
      </c>
      <c r="S404" s="13" t="n">
        <v>1.09</v>
      </c>
      <c r="T404" s="13" t="n">
        <v>2078</v>
      </c>
      <c r="U404" s="13" t="n">
        <v>197</v>
      </c>
      <c r="V404" s="13" t="n">
        <v>85</v>
      </c>
      <c r="W404" s="13" t="n">
        <v>53</v>
      </c>
      <c r="X404" s="13" t="n">
        <v>339</v>
      </c>
      <c r="Y404" s="13" t="n">
        <v>30</v>
      </c>
      <c r="Z404" s="13" t="n">
        <v>214</v>
      </c>
      <c r="AA404" s="13" t="n">
        <v>0.578</v>
      </c>
      <c r="AB404" s="13" t="n">
        <v>198</v>
      </c>
      <c r="AC404" s="13" t="n">
        <v>118</v>
      </c>
      <c r="AD404" s="13" t="n">
        <v>140</v>
      </c>
      <c r="AE404" s="13" t="n">
        <v>5</v>
      </c>
      <c r="AF404" s="13" t="n">
        <v>8.1</v>
      </c>
      <c r="AG404" s="11" t="inlineStr">
        <is>
          <t xml:space="preserve"> Powder</t>
        </is>
      </c>
      <c r="AH404" s="11" t="inlineStr">
        <is>
          <t xml:space="preserve"> Touring</t>
        </is>
      </c>
      <c r="AI404" s="13" t="n"/>
      <c r="AJ404" s="13" t="n"/>
      <c r="AK404" s="42" t="n"/>
    </row>
    <row r="405">
      <c r="E405" s="40" t="inlineStr">
        <is>
          <t>21/22</t>
        </is>
      </c>
      <c r="F405" s="10" t="inlineStr">
        <is>
          <t xml:space="preserve"> Black Crows</t>
        </is>
      </c>
      <c r="G405" s="11" t="inlineStr">
        <is>
          <t xml:space="preserve"> Atris</t>
        </is>
      </c>
      <c r="H405" s="13" t="n">
        <v>184.2</v>
      </c>
      <c r="I405" s="11" t="inlineStr">
        <is>
          <t xml:space="preserve"> Unisex</t>
        </is>
      </c>
      <c r="J405" s="13" t="n">
        <v>184.2</v>
      </c>
      <c r="K405" s="13" t="n">
        <v>182.7</v>
      </c>
      <c r="L405" s="13" t="n">
        <v>121</v>
      </c>
      <c r="M405" s="13" t="n">
        <v>148</v>
      </c>
      <c r="N405" s="13" t="n">
        <v>138</v>
      </c>
      <c r="O405" s="13" t="n">
        <v>107</v>
      </c>
      <c r="P405" s="13" t="n">
        <v>125</v>
      </c>
      <c r="Q405" s="13" t="n">
        <v>20.4</v>
      </c>
      <c r="R405" s="13" t="n">
        <v>2066</v>
      </c>
      <c r="S405" s="13" t="n">
        <v>1.04</v>
      </c>
      <c r="T405" s="13" t="n">
        <v>2146</v>
      </c>
      <c r="U405" s="13" t="n">
        <v>247</v>
      </c>
      <c r="V405" s="13" t="n">
        <v>99</v>
      </c>
      <c r="W405" s="13" t="n">
        <v>57</v>
      </c>
      <c r="X405" s="13" t="n">
        <v>356</v>
      </c>
      <c r="Y405" s="13" t="n">
        <v>32</v>
      </c>
      <c r="Z405" s="13" t="n">
        <v>260</v>
      </c>
      <c r="AA405" s="13" t="n">
        <v>0.5600000000000001</v>
      </c>
      <c r="AB405" s="13" t="n">
        <v>227</v>
      </c>
      <c r="AC405" s="13" t="n">
        <v>121</v>
      </c>
      <c r="AD405" s="13" t="n">
        <v>128</v>
      </c>
      <c r="AE405" s="13" t="n">
        <v>3</v>
      </c>
      <c r="AF405" s="13" t="n">
        <v>7.9</v>
      </c>
      <c r="AG405" s="11" t="inlineStr">
        <is>
          <t xml:space="preserve"> Powder</t>
        </is>
      </c>
      <c r="AH405" s="13" t="n"/>
      <c r="AI405" s="13" t="n"/>
      <c r="AJ405" s="13" t="n"/>
      <c r="AK405" s="42" t="n"/>
    </row>
    <row r="406">
      <c r="E406" s="40" t="inlineStr">
        <is>
          <t>21/22</t>
        </is>
      </c>
      <c r="F406" s="10" t="inlineStr">
        <is>
          <t xml:space="preserve"> Black Crows</t>
        </is>
      </c>
      <c r="G406" s="11" t="inlineStr">
        <is>
          <t xml:space="preserve"> Atris</t>
        </is>
      </c>
      <c r="H406" s="13" t="n">
        <v>189.7</v>
      </c>
      <c r="I406" s="11" t="inlineStr">
        <is>
          <t xml:space="preserve"> Unisex</t>
        </is>
      </c>
      <c r="J406" s="13" t="n">
        <v>189.7</v>
      </c>
      <c r="K406" s="13" t="n">
        <v>187.6</v>
      </c>
      <c r="L406" s="13" t="n">
        <v>131</v>
      </c>
      <c r="M406" s="13" t="n">
        <v>151</v>
      </c>
      <c r="N406" s="13" t="n">
        <v>139</v>
      </c>
      <c r="O406" s="13" t="n">
        <v>107</v>
      </c>
      <c r="P406" s="13" t="n">
        <v>126</v>
      </c>
      <c r="Q406" s="13" t="n">
        <v>20.4</v>
      </c>
      <c r="R406" s="13" t="n">
        <v>2131</v>
      </c>
      <c r="S406" s="13" t="n">
        <v>1.04</v>
      </c>
      <c r="T406" s="13" t="n">
        <v>2208</v>
      </c>
      <c r="U406" s="13" t="n">
        <v>251</v>
      </c>
      <c r="V406" s="13" t="n">
        <v>121</v>
      </c>
      <c r="W406" s="13" t="n">
        <v>52</v>
      </c>
      <c r="X406" s="13" t="n">
        <v>334</v>
      </c>
      <c r="Y406" s="13" t="n">
        <v>34</v>
      </c>
      <c r="Z406" s="13" t="n">
        <v>234</v>
      </c>
      <c r="AA406" s="13" t="n">
        <v>0.65</v>
      </c>
      <c r="AB406" s="13" t="n">
        <v>227</v>
      </c>
      <c r="AC406" s="13" t="n">
        <v>141</v>
      </c>
      <c r="AD406" s="13" t="n">
        <v>108</v>
      </c>
      <c r="AE406" s="13" t="n">
        <v>5</v>
      </c>
      <c r="AF406" s="13" t="n">
        <v>8.1</v>
      </c>
      <c r="AG406" s="11" t="inlineStr">
        <is>
          <t xml:space="preserve"> Powder</t>
        </is>
      </c>
      <c r="AH406" s="13" t="n"/>
      <c r="AI406" s="13" t="n"/>
      <c r="AJ406" s="13" t="n"/>
      <c r="AK406" s="42" t="n"/>
    </row>
    <row r="407">
      <c r="E407" s="40" t="inlineStr">
        <is>
          <t>21/22</t>
        </is>
      </c>
      <c r="F407" s="10" t="inlineStr">
        <is>
          <t xml:space="preserve"> Black Crows</t>
        </is>
      </c>
      <c r="G407" s="11" t="inlineStr">
        <is>
          <t xml:space="preserve"> Atris Birdie</t>
        </is>
      </c>
      <c r="H407" s="13" t="n">
        <v>160.1</v>
      </c>
      <c r="I407" s="11" t="inlineStr">
        <is>
          <t xml:space="preserve"> Women's</t>
        </is>
      </c>
      <c r="J407" s="13" t="n">
        <v>160.1</v>
      </c>
      <c r="K407" s="13" t="n">
        <v>158.9</v>
      </c>
      <c r="L407" s="13" t="n">
        <v>112</v>
      </c>
      <c r="M407" s="13" t="n">
        <v>133</v>
      </c>
      <c r="N407" s="13" t="n">
        <v>135</v>
      </c>
      <c r="O407" s="13" t="n">
        <v>106</v>
      </c>
      <c r="P407" s="13" t="n">
        <v>121</v>
      </c>
      <c r="Q407" s="13" t="n">
        <v>19.2</v>
      </c>
      <c r="R407" s="13" t="n">
        <v>1649</v>
      </c>
      <c r="S407" s="13" t="n">
        <v>1.11</v>
      </c>
      <c r="T407" s="13" t="n">
        <v>1831</v>
      </c>
      <c r="U407" s="13" t="n">
        <v>121</v>
      </c>
      <c r="V407" s="13" t="n">
        <v>57</v>
      </c>
      <c r="W407" s="13" t="n">
        <v>50</v>
      </c>
      <c r="X407" s="13" t="n">
        <v>283</v>
      </c>
      <c r="Y407" s="13" t="n">
        <v>30</v>
      </c>
      <c r="Z407" s="13" t="n">
        <v>184</v>
      </c>
      <c r="AA407" s="13" t="n">
        <v>0.604</v>
      </c>
      <c r="AB407" s="13" t="n">
        <v>155</v>
      </c>
      <c r="AC407" s="13" t="n">
        <v>100</v>
      </c>
      <c r="AD407" s="13" t="n">
        <v>128</v>
      </c>
      <c r="AE407" s="13" t="n">
        <v>7</v>
      </c>
      <c r="AF407" s="13" t="n">
        <v>8.5</v>
      </c>
      <c r="AG407" s="11" t="inlineStr">
        <is>
          <t xml:space="preserve"> Powder</t>
        </is>
      </c>
      <c r="AH407" s="11" t="inlineStr">
        <is>
          <t xml:space="preserve"> Touring</t>
        </is>
      </c>
      <c r="AI407" s="13" t="n"/>
      <c r="AJ407" s="13" t="n"/>
      <c r="AK407" s="42" t="n"/>
    </row>
    <row r="408">
      <c r="E408" s="40" t="inlineStr">
        <is>
          <t>21/22</t>
        </is>
      </c>
      <c r="F408" s="10" t="inlineStr">
        <is>
          <t xml:space="preserve"> Black Crows</t>
        </is>
      </c>
      <c r="G408" s="11" t="inlineStr">
        <is>
          <t xml:space="preserve"> Atris Birdie</t>
        </is>
      </c>
      <c r="H408" s="13" t="n">
        <v>169.1</v>
      </c>
      <c r="I408" s="11" t="inlineStr">
        <is>
          <t xml:space="preserve"> Women's</t>
        </is>
      </c>
      <c r="J408" s="13" t="n">
        <v>169.1</v>
      </c>
      <c r="K408" s="13" t="n">
        <v>167.9</v>
      </c>
      <c r="L408" s="13" t="n">
        <v>120</v>
      </c>
      <c r="M408" s="13" t="n">
        <v>139</v>
      </c>
      <c r="N408" s="13" t="n">
        <v>136</v>
      </c>
      <c r="O408" s="13" t="n">
        <v>107</v>
      </c>
      <c r="P408" s="13" t="n">
        <v>122</v>
      </c>
      <c r="Q408" s="13" t="n">
        <v>20.3</v>
      </c>
      <c r="R408" s="13" t="n">
        <v>1780</v>
      </c>
      <c r="S408" s="13" t="n">
        <v>1.09</v>
      </c>
      <c r="T408" s="13" t="n">
        <v>1946</v>
      </c>
      <c r="U408" s="13" t="n">
        <v>167</v>
      </c>
      <c r="V408" s="13" t="n">
        <v>70</v>
      </c>
      <c r="W408" s="13" t="n">
        <v>46</v>
      </c>
      <c r="X408" s="13" t="n">
        <v>268</v>
      </c>
      <c r="Y408" s="13" t="n">
        <v>32</v>
      </c>
      <c r="Z408" s="13" t="n">
        <v>212</v>
      </c>
      <c r="AA408" s="13" t="n">
        <v>0.6870000000000001</v>
      </c>
      <c r="AB408" s="13" t="n">
        <v>173</v>
      </c>
      <c r="AC408" s="13" t="n">
        <v>117</v>
      </c>
      <c r="AD408" s="13" t="n">
        <v>95</v>
      </c>
      <c r="AE408" s="13" t="n">
        <v>5</v>
      </c>
      <c r="AF408" s="13" t="n">
        <v>8.4</v>
      </c>
      <c r="AG408" s="11" t="inlineStr">
        <is>
          <t xml:space="preserve"> Powder</t>
        </is>
      </c>
      <c r="AH408" s="11" t="inlineStr">
        <is>
          <t xml:space="preserve"> Touring</t>
        </is>
      </c>
      <c r="AI408" s="13" t="n"/>
      <c r="AJ408" s="13" t="n"/>
      <c r="AK408" s="42" t="n"/>
    </row>
    <row r="409">
      <c r="E409" s="40" t="inlineStr">
        <is>
          <t>21/22</t>
        </is>
      </c>
      <c r="F409" s="10" t="inlineStr">
        <is>
          <t xml:space="preserve"> Black Crows</t>
        </is>
      </c>
      <c r="G409" s="11" t="inlineStr">
        <is>
          <t xml:space="preserve"> Camox</t>
        </is>
      </c>
      <c r="H409" s="13" t="n">
        <v>168.1</v>
      </c>
      <c r="I409" s="11" t="inlineStr">
        <is>
          <t xml:space="preserve"> Unisex</t>
        </is>
      </c>
      <c r="J409" s="13" t="n">
        <v>168.1</v>
      </c>
      <c r="K409" s="13" t="n">
        <v>167.5</v>
      </c>
      <c r="L409" s="13" t="n">
        <v>130</v>
      </c>
      <c r="M409" s="13" t="n">
        <v>144</v>
      </c>
      <c r="N409" s="13" t="n">
        <v>127</v>
      </c>
      <c r="O409" s="13" t="n">
        <v>96</v>
      </c>
      <c r="P409" s="13" t="n">
        <v>116</v>
      </c>
      <c r="Q409" s="13" t="n">
        <v>18.7</v>
      </c>
      <c r="R409" s="13" t="n">
        <v>1696</v>
      </c>
      <c r="S409" s="13" t="n">
        <v>1.04</v>
      </c>
      <c r="T409" s="13" t="n">
        <v>1772</v>
      </c>
      <c r="U409" s="13" t="n">
        <v>141</v>
      </c>
      <c r="V409" s="13" t="n">
        <v>74</v>
      </c>
      <c r="W409" s="13" t="n">
        <v>46</v>
      </c>
      <c r="X409" s="13" t="n">
        <v>225</v>
      </c>
      <c r="Y409" s="13" t="n">
        <v>29</v>
      </c>
      <c r="Z409" s="13" t="n">
        <v>150</v>
      </c>
      <c r="AA409" s="13" t="n">
        <v>0.632</v>
      </c>
      <c r="AB409" s="13" t="n">
        <v>128</v>
      </c>
      <c r="AC409" s="13" t="n">
        <v>112</v>
      </c>
      <c r="AD409" s="13" t="n">
        <v>97</v>
      </c>
      <c r="AE409" s="13" t="n">
        <v>14</v>
      </c>
      <c r="AF409" s="13" t="n">
        <v>6.2</v>
      </c>
      <c r="AG409" s="11" t="inlineStr">
        <is>
          <t xml:space="preserve"> Resort Freeride</t>
        </is>
      </c>
      <c r="AH409" s="13" t="n"/>
      <c r="AI409" s="13" t="n"/>
      <c r="AJ409" s="13" t="n"/>
      <c r="AK409" s="42" t="n"/>
    </row>
    <row r="410">
      <c r="E410" s="40" t="inlineStr">
        <is>
          <t>21/22</t>
        </is>
      </c>
      <c r="F410" s="10" t="inlineStr">
        <is>
          <t xml:space="preserve"> Black Crows</t>
        </is>
      </c>
      <c r="G410" s="11" t="inlineStr">
        <is>
          <t xml:space="preserve"> Camox</t>
        </is>
      </c>
      <c r="H410" s="13" t="n">
        <v>174.2</v>
      </c>
      <c r="I410" s="11" t="inlineStr">
        <is>
          <t xml:space="preserve"> Unisex</t>
        </is>
      </c>
      <c r="J410" s="13" t="n">
        <v>174.2</v>
      </c>
      <c r="K410" s="13" t="n">
        <v>173.3</v>
      </c>
      <c r="L410" s="13" t="n">
        <v>135</v>
      </c>
      <c r="M410" s="13" t="n">
        <v>150</v>
      </c>
      <c r="N410" s="13" t="n">
        <v>128</v>
      </c>
      <c r="O410" s="13" t="n">
        <v>96</v>
      </c>
      <c r="P410" s="13" t="n">
        <v>116</v>
      </c>
      <c r="Q410" s="13" t="n">
        <v>20.6</v>
      </c>
      <c r="R410" s="13" t="n">
        <v>1773</v>
      </c>
      <c r="S410" s="13" t="n">
        <v>1.03</v>
      </c>
      <c r="T410" s="13" t="n">
        <v>1830</v>
      </c>
      <c r="U410" s="13" t="n">
        <v>168</v>
      </c>
      <c r="V410" s="13" t="n">
        <v>86</v>
      </c>
      <c r="W410" s="13" t="n">
        <v>44</v>
      </c>
      <c r="X410" s="13" t="n">
        <v>227</v>
      </c>
      <c r="Y410" s="13" t="n">
        <v>30</v>
      </c>
      <c r="Z410" s="13" t="n">
        <v>153</v>
      </c>
      <c r="AA410" s="13" t="n">
        <v>0.671</v>
      </c>
      <c r="AB410" s="13" t="n">
        <v>118</v>
      </c>
      <c r="AC410" s="13" t="n">
        <v>111</v>
      </c>
      <c r="AD410" s="13" t="n">
        <v>109</v>
      </c>
      <c r="AE410" s="13" t="n">
        <v>12</v>
      </c>
      <c r="AF410" s="13" t="n">
        <v>6.4</v>
      </c>
      <c r="AG410" s="11" t="inlineStr">
        <is>
          <t xml:space="preserve"> Resort Freeride</t>
        </is>
      </c>
      <c r="AH410" s="13" t="n"/>
      <c r="AI410" s="13" t="n"/>
      <c r="AJ410" s="13" t="n"/>
      <c r="AK410" s="42" t="n"/>
    </row>
    <row r="411">
      <c r="E411" s="40" t="inlineStr">
        <is>
          <t>21/22</t>
        </is>
      </c>
      <c r="F411" s="10" t="inlineStr">
        <is>
          <t xml:space="preserve"> Black Crows</t>
        </is>
      </c>
      <c r="G411" s="11" t="inlineStr">
        <is>
          <t xml:space="preserve"> Camox</t>
        </is>
      </c>
      <c r="H411" s="13" t="n">
        <v>180.4</v>
      </c>
      <c r="I411" s="11" t="inlineStr">
        <is>
          <t xml:space="preserve"> Unisex</t>
        </is>
      </c>
      <c r="J411" s="13" t="n">
        <v>180.4</v>
      </c>
      <c r="K411" s="13" t="n">
        <v>179.2</v>
      </c>
      <c r="L411" s="13" t="n">
        <v>143</v>
      </c>
      <c r="M411" s="13" t="n">
        <v>157</v>
      </c>
      <c r="N411" s="13" t="n">
        <v>129</v>
      </c>
      <c r="O411" s="13" t="n">
        <v>96</v>
      </c>
      <c r="P411" s="13" t="n">
        <v>118</v>
      </c>
      <c r="Q411" s="13" t="n">
        <v>20.2</v>
      </c>
      <c r="R411" s="13" t="n">
        <v>1790</v>
      </c>
      <c r="S411" s="13" t="n">
        <v>1.07</v>
      </c>
      <c r="T411" s="13" t="n">
        <v>1910</v>
      </c>
      <c r="U411" s="13" t="n">
        <v>177</v>
      </c>
      <c r="V411" s="13" t="n">
        <v>83</v>
      </c>
      <c r="W411" s="13" t="n">
        <v>44</v>
      </c>
      <c r="X411" s="13" t="n">
        <v>214</v>
      </c>
      <c r="Y411" s="13" t="n">
        <v>29</v>
      </c>
      <c r="Z411" s="13" t="n">
        <v>145</v>
      </c>
      <c r="AA411" s="13" t="n">
        <v>0.667</v>
      </c>
      <c r="AB411" s="13" t="n">
        <v>137</v>
      </c>
      <c r="AC411" s="13" t="n">
        <v>86</v>
      </c>
      <c r="AD411" s="13" t="n">
        <v>77</v>
      </c>
      <c r="AE411" s="13" t="n">
        <v>15</v>
      </c>
      <c r="AF411" s="13" t="n">
        <v>6.7</v>
      </c>
      <c r="AG411" s="11" t="inlineStr">
        <is>
          <t xml:space="preserve"> Resort Freeride</t>
        </is>
      </c>
      <c r="AH411" s="11" t="inlineStr">
        <is>
          <t xml:space="preserve"> Touring</t>
        </is>
      </c>
      <c r="AI411" s="13" t="n"/>
      <c r="AJ411" s="13" t="n"/>
      <c r="AK411" s="42" t="n"/>
    </row>
    <row r="412">
      <c r="E412" s="40" t="inlineStr">
        <is>
          <t>21/22</t>
        </is>
      </c>
      <c r="F412" s="10" t="inlineStr">
        <is>
          <t xml:space="preserve"> Black Crows</t>
        </is>
      </c>
      <c r="G412" s="11" t="inlineStr">
        <is>
          <t xml:space="preserve"> Camox</t>
        </is>
      </c>
      <c r="H412" s="13" t="n">
        <v>186.5</v>
      </c>
      <c r="I412" s="11" t="inlineStr">
        <is>
          <t xml:space="preserve"> Unisex</t>
        </is>
      </c>
      <c r="J412" s="13" t="n">
        <v>186.5</v>
      </c>
      <c r="K412" s="13" t="n">
        <v>185.4</v>
      </c>
      <c r="L412" s="13" t="n">
        <v>148</v>
      </c>
      <c r="M412" s="13" t="n">
        <v>159</v>
      </c>
      <c r="N412" s="13" t="n">
        <v>131</v>
      </c>
      <c r="O412" s="13" t="n">
        <v>96</v>
      </c>
      <c r="P412" s="13" t="n">
        <v>119</v>
      </c>
      <c r="Q412" s="13" t="n">
        <v>20.3</v>
      </c>
      <c r="R412" s="13" t="n">
        <v>1958</v>
      </c>
      <c r="S412" s="13" t="n">
        <v>1.02</v>
      </c>
      <c r="T412" s="13" t="n">
        <v>1990</v>
      </c>
      <c r="U412" s="13" t="n">
        <v>198</v>
      </c>
      <c r="V412" s="13" t="n">
        <v>96</v>
      </c>
      <c r="W412" s="13" t="n">
        <v>43</v>
      </c>
      <c r="X412" s="13" t="n">
        <v>219</v>
      </c>
      <c r="Y412" s="13" t="n">
        <v>30</v>
      </c>
      <c r="Z412" s="13" t="n">
        <v>155</v>
      </c>
      <c r="AA412" s="13" t="n">
        <v>0.709</v>
      </c>
      <c r="AB412" s="13" t="n">
        <v>139</v>
      </c>
      <c r="AC412" s="13" t="n">
        <v>127</v>
      </c>
      <c r="AD412" s="13" t="n">
        <v>80</v>
      </c>
      <c r="AE412" s="13" t="n">
        <v>17</v>
      </c>
      <c r="AF412" s="13" t="n">
        <v>6</v>
      </c>
      <c r="AG412" s="11" t="inlineStr">
        <is>
          <t xml:space="preserve"> Resort Freeride</t>
        </is>
      </c>
      <c r="AH412" s="13" t="n"/>
      <c r="AI412" s="13" t="n"/>
      <c r="AJ412" s="13" t="n"/>
      <c r="AK412" s="42" t="n"/>
    </row>
    <row r="413">
      <c r="E413" s="40" t="inlineStr">
        <is>
          <t>21/22</t>
        </is>
      </c>
      <c r="F413" s="10" t="inlineStr">
        <is>
          <t xml:space="preserve"> Black Crows</t>
        </is>
      </c>
      <c r="G413" s="11" t="inlineStr">
        <is>
          <t xml:space="preserve"> Camox Birdie</t>
        </is>
      </c>
      <c r="H413" s="13" t="n">
        <v>156.1</v>
      </c>
      <c r="I413" s="11" t="inlineStr">
        <is>
          <t xml:space="preserve"> Women's</t>
        </is>
      </c>
      <c r="J413" s="13" t="n">
        <v>156.1</v>
      </c>
      <c r="K413" s="13" t="n">
        <v>154.9</v>
      </c>
      <c r="L413" s="13" t="n">
        <v>120</v>
      </c>
      <c r="M413" s="13" t="n">
        <v>136</v>
      </c>
      <c r="N413" s="13" t="n">
        <v>126</v>
      </c>
      <c r="O413" s="13" t="n">
        <v>95</v>
      </c>
      <c r="P413" s="13" t="n">
        <v>114</v>
      </c>
      <c r="Q413" s="13" t="n">
        <v>18.4</v>
      </c>
      <c r="R413" s="13" t="n">
        <v>1543</v>
      </c>
      <c r="S413" s="13" t="n">
        <v>1.05</v>
      </c>
      <c r="T413" s="13" t="n">
        <v>1616</v>
      </c>
      <c r="U413" s="13" t="n">
        <v>148</v>
      </c>
      <c r="V413" s="13" t="n">
        <v>61</v>
      </c>
      <c r="W413" s="13" t="n">
        <v>38</v>
      </c>
      <c r="X413" s="13" t="n">
        <v>198</v>
      </c>
      <c r="Y413" s="13" t="n">
        <v>30</v>
      </c>
      <c r="Z413" s="13" t="n">
        <v>156</v>
      </c>
      <c r="AA413" s="13" t="n">
        <v>0.787</v>
      </c>
      <c r="AB413" s="13" t="n">
        <v>100</v>
      </c>
      <c r="AC413" s="13" t="n">
        <v>94</v>
      </c>
      <c r="AD413" s="13" t="n">
        <v>98</v>
      </c>
      <c r="AE413" s="13" t="n">
        <v>14</v>
      </c>
      <c r="AF413" s="13" t="n">
        <v>6.6</v>
      </c>
      <c r="AG413" s="11" t="inlineStr">
        <is>
          <t xml:space="preserve"> Resort Freeride</t>
        </is>
      </c>
      <c r="AH413" s="13" t="n"/>
      <c r="AI413" s="13" t="n"/>
      <c r="AJ413" s="13" t="n"/>
      <c r="AK413" s="42" t="n"/>
    </row>
    <row r="414">
      <c r="E414" s="40" t="inlineStr">
        <is>
          <t>21/22</t>
        </is>
      </c>
      <c r="F414" s="10" t="inlineStr">
        <is>
          <t xml:space="preserve"> Black Crows</t>
        </is>
      </c>
      <c r="G414" s="11" t="inlineStr">
        <is>
          <t xml:space="preserve"> Camox Birdie</t>
        </is>
      </c>
      <c r="H414" s="13" t="n">
        <v>162.3</v>
      </c>
      <c r="I414" s="11" t="inlineStr">
        <is>
          <t xml:space="preserve"> Women's</t>
        </is>
      </c>
      <c r="J414" s="13" t="n">
        <v>162.3</v>
      </c>
      <c r="K414" s="13" t="n">
        <v>160.8</v>
      </c>
      <c r="L414" s="13" t="n">
        <v>117</v>
      </c>
      <c r="M414" s="13" t="n">
        <v>140</v>
      </c>
      <c r="N414" s="13" t="n">
        <v>129</v>
      </c>
      <c r="O414" s="13" t="n">
        <v>97</v>
      </c>
      <c r="P414" s="13" t="n">
        <v>117</v>
      </c>
      <c r="Q414" s="13" t="n">
        <v>18.3</v>
      </c>
      <c r="R414" s="13" t="n">
        <v>1601</v>
      </c>
      <c r="S414" s="13" t="n">
        <v>1.07</v>
      </c>
      <c r="T414" s="13" t="n">
        <v>1720</v>
      </c>
      <c r="U414" s="13" t="n">
        <v>142</v>
      </c>
      <c r="V414" s="13" t="n">
        <v>74</v>
      </c>
      <c r="W414" s="13" t="n">
        <v>45</v>
      </c>
      <c r="X414" s="13" t="n">
        <v>246</v>
      </c>
      <c r="Y414" s="13" t="n">
        <v>32</v>
      </c>
      <c r="Z414" s="13" t="n">
        <v>194</v>
      </c>
      <c r="AA414" s="13" t="n">
        <v>0.715</v>
      </c>
      <c r="AB414" s="13" t="n">
        <v>103</v>
      </c>
      <c r="AC414" s="13" t="n">
        <v>110</v>
      </c>
      <c r="AD414" s="13" t="n">
        <v>143</v>
      </c>
      <c r="AE414" s="13" t="n">
        <v>8</v>
      </c>
      <c r="AF414" s="13" t="n">
        <v>6.4</v>
      </c>
      <c r="AG414" s="11" t="inlineStr">
        <is>
          <t xml:space="preserve"> Resort Freeride</t>
        </is>
      </c>
      <c r="AH414" s="11" t="inlineStr">
        <is>
          <t xml:space="preserve"> Touring</t>
        </is>
      </c>
      <c r="AI414" s="13" t="n"/>
      <c r="AJ414" s="13" t="n"/>
      <c r="AK414" s="42" t="n"/>
    </row>
    <row r="415">
      <c r="E415" s="40" t="inlineStr">
        <is>
          <t>21/22</t>
        </is>
      </c>
      <c r="F415" s="10" t="inlineStr">
        <is>
          <t xml:space="preserve"> Black Crows</t>
        </is>
      </c>
      <c r="G415" s="11" t="inlineStr">
        <is>
          <t xml:space="preserve"> Camox Birdie</t>
        </is>
      </c>
      <c r="H415" s="13" t="n">
        <v>168.1</v>
      </c>
      <c r="I415" s="11" t="inlineStr">
        <is>
          <t xml:space="preserve"> Women's</t>
        </is>
      </c>
      <c r="J415" s="13" t="n">
        <v>168.1</v>
      </c>
      <c r="K415" s="13" t="n">
        <v>166.9</v>
      </c>
      <c r="L415" s="13" t="n">
        <v>121</v>
      </c>
      <c r="M415" s="13" t="n">
        <v>144</v>
      </c>
      <c r="N415" s="13" t="n">
        <v>130</v>
      </c>
      <c r="O415" s="13" t="n">
        <v>97</v>
      </c>
      <c r="P415" s="13" t="n">
        <v>119</v>
      </c>
      <c r="Q415" s="13" t="n">
        <v>18.5</v>
      </c>
      <c r="R415" s="13" t="n">
        <v>1719</v>
      </c>
      <c r="S415" s="13" t="n">
        <v>1.05</v>
      </c>
      <c r="T415" s="13" t="n">
        <v>1798</v>
      </c>
      <c r="U415" s="13" t="n">
        <v>172</v>
      </c>
      <c r="V415" s="13" t="n">
        <v>75</v>
      </c>
      <c r="W415" s="13" t="n">
        <v>49</v>
      </c>
      <c r="X415" s="13" t="n">
        <v>260</v>
      </c>
      <c r="Y415" s="13" t="n">
        <v>35</v>
      </c>
      <c r="Z415" s="13" t="n">
        <v>198</v>
      </c>
      <c r="AA415" s="13" t="n">
        <v>0.709</v>
      </c>
      <c r="AB415" s="13" t="n">
        <v>122</v>
      </c>
      <c r="AC415" s="13" t="n">
        <v>109</v>
      </c>
      <c r="AD415" s="13" t="n">
        <v>139</v>
      </c>
      <c r="AE415" s="13" t="n">
        <v>6</v>
      </c>
      <c r="AF415" s="13" t="n">
        <v>6.6</v>
      </c>
      <c r="AG415" s="11" t="inlineStr">
        <is>
          <t xml:space="preserve"> Resort Freeride</t>
        </is>
      </c>
      <c r="AH415" s="13" t="n"/>
      <c r="AI415" s="13" t="n"/>
      <c r="AJ415" s="13" t="n"/>
      <c r="AK415" s="42" t="n"/>
    </row>
    <row r="416">
      <c r="E416" s="40" t="inlineStr">
        <is>
          <t>21/22</t>
        </is>
      </c>
      <c r="F416" s="10" t="inlineStr">
        <is>
          <t xml:space="preserve"> Black Crows</t>
        </is>
      </c>
      <c r="G416" s="11" t="inlineStr">
        <is>
          <t xml:space="preserve"> Camox Freebird</t>
        </is>
      </c>
      <c r="H416" s="13" t="n">
        <v>160.2</v>
      </c>
      <c r="I416" s="11" t="inlineStr">
        <is>
          <t xml:space="preserve"> Unisex</t>
        </is>
      </c>
      <c r="J416" s="13" t="n">
        <v>160.2</v>
      </c>
      <c r="K416" s="13" t="n">
        <v>159.8</v>
      </c>
      <c r="L416" s="13" t="n">
        <v>114</v>
      </c>
      <c r="M416" s="13" t="n">
        <v>135</v>
      </c>
      <c r="N416" s="13" t="n">
        <v>128</v>
      </c>
      <c r="O416" s="13" t="n">
        <v>95</v>
      </c>
      <c r="P416" s="13" t="n">
        <v>112</v>
      </c>
      <c r="Q416" s="13" t="n">
        <v>17.3</v>
      </c>
      <c r="R416" s="13" t="n">
        <v>1331</v>
      </c>
      <c r="S416" s="13" t="n">
        <v>1.26</v>
      </c>
      <c r="T416" s="13" t="n">
        <v>1675</v>
      </c>
      <c r="U416" s="13" t="n">
        <v>155</v>
      </c>
      <c r="V416" s="13" t="n">
        <v>77</v>
      </c>
      <c r="W416" s="13" t="n">
        <v>52</v>
      </c>
      <c r="X416" s="13" t="n">
        <v>307</v>
      </c>
      <c r="Y416" s="13" t="n">
        <v>15</v>
      </c>
      <c r="Z416" s="13" t="n">
        <v>155</v>
      </c>
      <c r="AA416" s="13" t="n">
        <v>0.291</v>
      </c>
      <c r="AB416" s="13" t="n">
        <v>149</v>
      </c>
      <c r="AC416" s="13" t="n">
        <v>104</v>
      </c>
      <c r="AD416" s="13" t="n">
        <v>158</v>
      </c>
      <c r="AE416" s="13" t="n">
        <v>3</v>
      </c>
      <c r="AF416" s="13" t="n">
        <v>8.1</v>
      </c>
      <c r="AG416" s="11" t="inlineStr">
        <is>
          <t xml:space="preserve"> Resort Freeride</t>
        </is>
      </c>
      <c r="AH416" s="11" t="inlineStr">
        <is>
          <t xml:space="preserve"> Touring</t>
        </is>
      </c>
      <c r="AI416" s="11" t="inlineStr">
        <is>
          <t xml:space="preserve"> Ultralight Touring</t>
        </is>
      </c>
      <c r="AJ416" s="13" t="n"/>
      <c r="AK416" s="42" t="n"/>
    </row>
    <row r="417">
      <c r="E417" s="40" t="inlineStr">
        <is>
          <t>21/22</t>
        </is>
      </c>
      <c r="F417" s="10" t="inlineStr">
        <is>
          <t xml:space="preserve"> Black Crows</t>
        </is>
      </c>
      <c r="G417" s="11" t="inlineStr">
        <is>
          <t xml:space="preserve"> Camox Freebird</t>
        </is>
      </c>
      <c r="H417" s="13" t="n">
        <v>166.2</v>
      </c>
      <c r="I417" s="11" t="inlineStr">
        <is>
          <t xml:space="preserve"> Unisex</t>
        </is>
      </c>
      <c r="J417" s="13" t="n">
        <v>166.2</v>
      </c>
      <c r="K417" s="13" t="n">
        <v>165.4</v>
      </c>
      <c r="L417" s="13" t="n">
        <v>127</v>
      </c>
      <c r="M417" s="13" t="n">
        <v>139</v>
      </c>
      <c r="N417" s="13" t="n">
        <v>132</v>
      </c>
      <c r="O417" s="13" t="n">
        <v>95</v>
      </c>
      <c r="P417" s="13" t="n">
        <v>114</v>
      </c>
      <c r="Q417" s="13" t="n">
        <v>16.7</v>
      </c>
      <c r="R417" s="13" t="n">
        <v>1393</v>
      </c>
      <c r="S417" s="13" t="n">
        <v>1.26</v>
      </c>
      <c r="T417" s="13" t="n">
        <v>1758</v>
      </c>
      <c r="U417" s="13" t="n">
        <v>167</v>
      </c>
      <c r="V417" s="13" t="n">
        <v>84</v>
      </c>
      <c r="W417" s="13" t="n">
        <v>44</v>
      </c>
      <c r="X417" s="13" t="n">
        <v>247</v>
      </c>
      <c r="Y417" s="13" t="n">
        <v>12</v>
      </c>
      <c r="Z417" s="13" t="n">
        <v>139</v>
      </c>
      <c r="AA417" s="13" t="n">
        <v>0.277</v>
      </c>
      <c r="AB417" s="13" t="n">
        <v>149</v>
      </c>
      <c r="AC417" s="13" t="n">
        <v>119</v>
      </c>
      <c r="AD417" s="13" t="n">
        <v>98</v>
      </c>
      <c r="AE417" s="13" t="n">
        <v>10</v>
      </c>
      <c r="AF417" s="13" t="n">
        <v>9.1</v>
      </c>
      <c r="AG417" s="11" t="inlineStr">
        <is>
          <t xml:space="preserve"> Resort Freeride</t>
        </is>
      </c>
      <c r="AH417" s="11" t="inlineStr">
        <is>
          <t xml:space="preserve"> Touring</t>
        </is>
      </c>
      <c r="AI417" s="11" t="inlineStr">
        <is>
          <t xml:space="preserve"> Ultralight Touring</t>
        </is>
      </c>
      <c r="AJ417" s="13" t="n"/>
      <c r="AK417" s="42" t="n"/>
    </row>
    <row r="418">
      <c r="E418" s="40" t="inlineStr">
        <is>
          <t>21/22</t>
        </is>
      </c>
      <c r="F418" s="10" t="inlineStr">
        <is>
          <t xml:space="preserve"> Black Crows</t>
        </is>
      </c>
      <c r="G418" s="11" t="inlineStr">
        <is>
          <t xml:space="preserve"> Camox Freebird</t>
        </is>
      </c>
      <c r="H418" s="13" t="n">
        <v>172.2</v>
      </c>
      <c r="I418" s="11" t="inlineStr">
        <is>
          <t xml:space="preserve"> Unisex</t>
        </is>
      </c>
      <c r="J418" s="13" t="n">
        <v>172.2</v>
      </c>
      <c r="K418" s="13" t="n">
        <v>171.3</v>
      </c>
      <c r="L418" s="13" t="n">
        <v>132</v>
      </c>
      <c r="M418" s="13" t="n">
        <v>144</v>
      </c>
      <c r="N418" s="13" t="n">
        <v>132</v>
      </c>
      <c r="O418" s="13" t="n">
        <v>95</v>
      </c>
      <c r="P418" s="13" t="n">
        <v>114</v>
      </c>
      <c r="Q418" s="13" t="n">
        <v>17.1</v>
      </c>
      <c r="R418" s="13" t="n">
        <v>1468</v>
      </c>
      <c r="S418" s="13" t="n">
        <v>1.24</v>
      </c>
      <c r="T418" s="13" t="n">
        <v>1822</v>
      </c>
      <c r="U418" s="13" t="n">
        <v>192</v>
      </c>
      <c r="V418" s="13" t="n">
        <v>99</v>
      </c>
      <c r="W418" s="13" t="n">
        <v>43</v>
      </c>
      <c r="X418" s="13" t="n">
        <v>252</v>
      </c>
      <c r="Y418" s="13" t="n">
        <v>11</v>
      </c>
      <c r="Z418" s="13" t="n">
        <v>137</v>
      </c>
      <c r="AA418" s="13" t="n">
        <v>0.259</v>
      </c>
      <c r="AB418" s="13" t="n">
        <v>164</v>
      </c>
      <c r="AC418" s="13" t="n">
        <v>110</v>
      </c>
      <c r="AD418" s="13" t="n">
        <v>88</v>
      </c>
      <c r="AE418" s="13" t="n">
        <v>9</v>
      </c>
      <c r="AF418" s="13" t="n">
        <v>9.4</v>
      </c>
      <c r="AG418" s="11" t="inlineStr">
        <is>
          <t xml:space="preserve"> Resort Freeride</t>
        </is>
      </c>
      <c r="AH418" s="11" t="inlineStr">
        <is>
          <t xml:space="preserve"> Touring</t>
        </is>
      </c>
      <c r="AI418" s="13" t="n"/>
      <c r="AJ418" s="13" t="n"/>
      <c r="AK418" s="42" t="n"/>
    </row>
    <row r="419">
      <c r="E419" s="40" t="inlineStr">
        <is>
          <t>21/22</t>
        </is>
      </c>
      <c r="F419" s="10" t="inlineStr">
        <is>
          <t xml:space="preserve"> Black Crows</t>
        </is>
      </c>
      <c r="G419" s="11" t="inlineStr">
        <is>
          <t xml:space="preserve"> Camox Freebird</t>
        </is>
      </c>
      <c r="H419" s="13" t="n">
        <v>178.2</v>
      </c>
      <c r="I419" s="11" t="inlineStr">
        <is>
          <t xml:space="preserve"> Unisex</t>
        </is>
      </c>
      <c r="J419" s="13" t="n">
        <v>178.2</v>
      </c>
      <c r="K419" s="13" t="n">
        <v>177.2</v>
      </c>
      <c r="L419" s="13" t="n">
        <v>137</v>
      </c>
      <c r="M419" s="13" t="n">
        <v>147</v>
      </c>
      <c r="N419" s="13" t="n">
        <v>134</v>
      </c>
      <c r="O419" s="13" t="n">
        <v>95</v>
      </c>
      <c r="P419" s="13" t="n">
        <v>114</v>
      </c>
      <c r="Q419" s="13" t="n">
        <v>17.1</v>
      </c>
      <c r="R419" s="13" t="n">
        <v>1505</v>
      </c>
      <c r="S419" s="13" t="n">
        <v>1.26</v>
      </c>
      <c r="T419" s="13" t="n">
        <v>1902</v>
      </c>
      <c r="U419" s="13" t="n">
        <v>208</v>
      </c>
      <c r="V419" s="13" t="n">
        <v>111</v>
      </c>
      <c r="W419" s="13" t="n">
        <v>44</v>
      </c>
      <c r="X419" s="13" t="n">
        <v>254</v>
      </c>
      <c r="Y419" s="13" t="n">
        <v>12</v>
      </c>
      <c r="Z419" s="13" t="n">
        <v>144</v>
      </c>
      <c r="AA419" s="13" t="n">
        <v>0.273</v>
      </c>
      <c r="AB419" s="13" t="n">
        <v>169</v>
      </c>
      <c r="AC419" s="13" t="n">
        <v>133</v>
      </c>
      <c r="AD419" s="13" t="n">
        <v>85</v>
      </c>
      <c r="AE419" s="13" t="n">
        <v>8</v>
      </c>
      <c r="AF419" s="13" t="n">
        <v>9.199999999999999</v>
      </c>
      <c r="AG419" s="11" t="inlineStr">
        <is>
          <t xml:space="preserve"> Resort Freeride</t>
        </is>
      </c>
      <c r="AH419" s="11" t="inlineStr">
        <is>
          <t xml:space="preserve"> Touring</t>
        </is>
      </c>
      <c r="AI419" s="11" t="inlineStr">
        <is>
          <t xml:space="preserve"> Ultralight Touring</t>
        </is>
      </c>
      <c r="AJ419" s="13" t="n"/>
      <c r="AK419" s="42" t="n"/>
    </row>
    <row r="420">
      <c r="E420" s="40" t="inlineStr">
        <is>
          <t>21/22</t>
        </is>
      </c>
      <c r="F420" s="10" t="inlineStr">
        <is>
          <t xml:space="preserve"> Black Crows</t>
        </is>
      </c>
      <c r="G420" s="11" t="inlineStr">
        <is>
          <t xml:space="preserve"> Camox Freebird</t>
        </is>
      </c>
      <c r="H420" s="13" t="n">
        <v>183.3</v>
      </c>
      <c r="I420" s="11" t="inlineStr">
        <is>
          <t xml:space="preserve"> Unisex</t>
        </is>
      </c>
      <c r="J420" s="13" t="n">
        <v>183.3</v>
      </c>
      <c r="K420" s="13" t="n">
        <v>182.3</v>
      </c>
      <c r="L420" s="13" t="n">
        <v>141</v>
      </c>
      <c r="M420" s="13" t="n">
        <v>150</v>
      </c>
      <c r="N420" s="13" t="n">
        <v>136</v>
      </c>
      <c r="O420" s="13" t="n">
        <v>95</v>
      </c>
      <c r="P420" s="13" t="n">
        <v>116</v>
      </c>
      <c r="Q420" s="13" t="n">
        <v>17.3</v>
      </c>
      <c r="R420" s="13" t="n">
        <v>1615</v>
      </c>
      <c r="S420" s="13" t="n">
        <v>1.22</v>
      </c>
      <c r="T420" s="13" t="n">
        <v>1966</v>
      </c>
      <c r="U420" s="13" t="n">
        <v>229</v>
      </c>
      <c r="V420" s="13" t="n">
        <v>113</v>
      </c>
      <c r="W420" s="13" t="n">
        <v>43</v>
      </c>
      <c r="X420" s="13" t="n">
        <v>248</v>
      </c>
      <c r="Y420" s="13" t="n">
        <v>13</v>
      </c>
      <c r="Z420" s="13" t="n">
        <v>167</v>
      </c>
      <c r="AA420" s="13" t="n">
        <v>0.312</v>
      </c>
      <c r="AB420" s="13" t="n">
        <v>179</v>
      </c>
      <c r="AC420" s="13" t="n">
        <v>142</v>
      </c>
      <c r="AD420" s="13" t="n">
        <v>69</v>
      </c>
      <c r="AE420" s="13" t="n">
        <v>8</v>
      </c>
      <c r="AF420" s="13" t="n">
        <v>9</v>
      </c>
      <c r="AG420" s="11" t="inlineStr">
        <is>
          <t xml:space="preserve"> Resort Freeride</t>
        </is>
      </c>
      <c r="AH420" s="11" t="inlineStr">
        <is>
          <t xml:space="preserve"> Touring</t>
        </is>
      </c>
      <c r="AI420" s="13" t="n"/>
      <c r="AJ420" s="13" t="n"/>
      <c r="AK420" s="42" t="n"/>
    </row>
    <row r="421">
      <c r="E421" s="40" t="inlineStr">
        <is>
          <t>21/22</t>
        </is>
      </c>
      <c r="F421" s="10" t="inlineStr">
        <is>
          <t xml:space="preserve"> Black Crows</t>
        </is>
      </c>
      <c r="G421" s="11" t="inlineStr">
        <is>
          <t xml:space="preserve"> Camox Freebird</t>
        </is>
      </c>
      <c r="H421" s="13" t="n">
        <v>188.3</v>
      </c>
      <c r="I421" s="11" t="inlineStr">
        <is>
          <t xml:space="preserve"> Unisex</t>
        </is>
      </c>
      <c r="J421" s="13" t="n">
        <v>188.3</v>
      </c>
      <c r="K421" s="13" t="n">
        <v>187.7</v>
      </c>
      <c r="L421" s="13" t="n">
        <v>142</v>
      </c>
      <c r="M421" s="13" t="n">
        <v>154</v>
      </c>
      <c r="N421" s="13" t="n">
        <v>135</v>
      </c>
      <c r="O421" s="13" t="n">
        <v>95</v>
      </c>
      <c r="P421" s="13" t="n">
        <v>117</v>
      </c>
      <c r="Q421" s="13" t="n">
        <v>17.5</v>
      </c>
      <c r="R421" s="13" t="n">
        <v>1704</v>
      </c>
      <c r="S421" s="13" t="n">
        <v>1.19</v>
      </c>
      <c r="T421" s="13" t="n">
        <v>2028</v>
      </c>
      <c r="U421" s="13" t="n">
        <v>261</v>
      </c>
      <c r="V421" s="13" t="n">
        <v>124</v>
      </c>
      <c r="W421" s="13" t="n">
        <v>48</v>
      </c>
      <c r="X421" s="13" t="n">
        <v>290</v>
      </c>
      <c r="Y421" s="13" t="n">
        <v>13</v>
      </c>
      <c r="Z421" s="13" t="n">
        <v>168</v>
      </c>
      <c r="AA421" s="13" t="n">
        <v>0.264</v>
      </c>
      <c r="AB421" s="13" t="n">
        <v>205</v>
      </c>
      <c r="AC421" s="13" t="n">
        <v>131</v>
      </c>
      <c r="AD421" s="13" t="n">
        <v>85</v>
      </c>
      <c r="AE421" s="13" t="n">
        <v>6</v>
      </c>
      <c r="AF421" s="13" t="n">
        <v>8.9</v>
      </c>
      <c r="AG421" s="11" t="inlineStr">
        <is>
          <t xml:space="preserve"> Resort Freeride</t>
        </is>
      </c>
      <c r="AH421" s="11" t="inlineStr">
        <is>
          <t xml:space="preserve"> Touring</t>
        </is>
      </c>
      <c r="AI421" s="13" t="n"/>
      <c r="AJ421" s="13" t="n"/>
      <c r="AK421" s="42" t="n"/>
    </row>
    <row r="422">
      <c r="E422" s="40" t="inlineStr">
        <is>
          <t>21/22</t>
        </is>
      </c>
      <c r="F422" s="10" t="inlineStr">
        <is>
          <t xml:space="preserve"> Black Crows</t>
        </is>
      </c>
      <c r="G422" s="11" t="inlineStr">
        <is>
          <t xml:space="preserve"> Captis</t>
        </is>
      </c>
      <c r="H422" s="13" t="n">
        <v>171.1</v>
      </c>
      <c r="I422" s="11" t="inlineStr">
        <is>
          <t xml:space="preserve"> Unisex</t>
        </is>
      </c>
      <c r="J422" s="13" t="n">
        <v>171.1</v>
      </c>
      <c r="K422" s="13" t="n">
        <v>169.9</v>
      </c>
      <c r="L422" s="13" t="n">
        <v>119</v>
      </c>
      <c r="M422" s="13" t="n">
        <v>137</v>
      </c>
      <c r="N422" s="13" t="n">
        <v>118</v>
      </c>
      <c r="O422" s="13" t="n">
        <v>89</v>
      </c>
      <c r="P422" s="13" t="n">
        <v>110</v>
      </c>
      <c r="Q422" s="13" t="n">
        <v>17.3</v>
      </c>
      <c r="R422" s="13" t="n">
        <v>1634</v>
      </c>
      <c r="S422" s="13" t="n">
        <v>1.04</v>
      </c>
      <c r="T422" s="13" t="n">
        <v>1703</v>
      </c>
      <c r="U422" s="13" t="n">
        <v>147</v>
      </c>
      <c r="V422" s="13" t="n">
        <v>71</v>
      </c>
      <c r="W422" s="13" t="n">
        <v>41</v>
      </c>
      <c r="X422" s="13" t="n">
        <v>315</v>
      </c>
      <c r="Y422" s="13" t="n">
        <v>34</v>
      </c>
      <c r="Z422" s="13" t="n">
        <v>198</v>
      </c>
      <c r="AA422" s="13" t="n">
        <v>0.819</v>
      </c>
      <c r="AB422" s="13" t="n">
        <v>207</v>
      </c>
      <c r="AC422" s="13" t="n">
        <v>120</v>
      </c>
      <c r="AD422" s="13" t="n">
        <v>108</v>
      </c>
      <c r="AE422" s="13" t="n">
        <v>4</v>
      </c>
      <c r="AF422" s="13" t="n">
        <v>6.5</v>
      </c>
      <c r="AG422" s="11" t="inlineStr">
        <is>
          <t xml:space="preserve"> Resort Freeride</t>
        </is>
      </c>
      <c r="AH422" s="11" t="inlineStr">
        <is>
          <t xml:space="preserve"> Freeski</t>
        </is>
      </c>
      <c r="AI422" s="13" t="n"/>
      <c r="AJ422" s="13" t="n"/>
      <c r="AK422" s="42" t="n"/>
    </row>
    <row r="423">
      <c r="E423" s="40" t="inlineStr">
        <is>
          <t>21/22</t>
        </is>
      </c>
      <c r="F423" s="10" t="inlineStr">
        <is>
          <t xml:space="preserve"> Black Crows</t>
        </is>
      </c>
      <c r="G423" s="11" t="inlineStr">
        <is>
          <t xml:space="preserve"> Captis</t>
        </is>
      </c>
      <c r="H423" s="13" t="n">
        <v>178.3</v>
      </c>
      <c r="I423" s="11" t="inlineStr">
        <is>
          <t xml:space="preserve"> Unisex</t>
        </is>
      </c>
      <c r="J423" s="13" t="n">
        <v>178.3</v>
      </c>
      <c r="K423" s="13" t="n">
        <v>176.7</v>
      </c>
      <c r="L423" s="13" t="n">
        <v>132</v>
      </c>
      <c r="M423" s="13" t="n">
        <v>143</v>
      </c>
      <c r="N423" s="13" t="n">
        <v>120</v>
      </c>
      <c r="O423" s="13" t="n">
        <v>89</v>
      </c>
      <c r="P423" s="13" t="n">
        <v>111</v>
      </c>
      <c r="Q423" s="13" t="n">
        <v>17.5</v>
      </c>
      <c r="R423" s="13" t="n">
        <v>1708</v>
      </c>
      <c r="S423" s="13" t="n">
        <v>1.04</v>
      </c>
      <c r="T423" s="13" t="n">
        <v>1782</v>
      </c>
      <c r="U423" s="13" t="n">
        <v>175</v>
      </c>
      <c r="V423" s="13" t="n">
        <v>80</v>
      </c>
      <c r="W423" s="13" t="n">
        <v>39</v>
      </c>
      <c r="X423" s="13" t="n">
        <v>242</v>
      </c>
      <c r="Y423" s="13" t="n">
        <v>34</v>
      </c>
      <c r="Z423" s="13" t="n">
        <v>201</v>
      </c>
      <c r="AA423" s="13" t="n">
        <v>0.885</v>
      </c>
      <c r="AB423" s="13" t="n">
        <v>204</v>
      </c>
      <c r="AC423" s="13" t="n">
        <v>136</v>
      </c>
      <c r="AD423" s="13" t="n">
        <v>38</v>
      </c>
      <c r="AE423" s="13" t="n">
        <v>4</v>
      </c>
      <c r="AF423" s="13" t="n">
        <v>6.3</v>
      </c>
      <c r="AG423" s="11" t="inlineStr">
        <is>
          <t xml:space="preserve"> Freeski</t>
        </is>
      </c>
      <c r="AH423" s="13" t="n"/>
      <c r="AI423" s="13" t="n"/>
      <c r="AJ423" s="13" t="n"/>
      <c r="AK423" s="42" t="n"/>
    </row>
    <row r="424">
      <c r="E424" s="40" t="inlineStr">
        <is>
          <t>21/22</t>
        </is>
      </c>
      <c r="F424" s="10" t="inlineStr">
        <is>
          <t xml:space="preserve"> Black Crows</t>
        </is>
      </c>
      <c r="G424" s="11" t="inlineStr">
        <is>
          <t xml:space="preserve"> Corvus</t>
        </is>
      </c>
      <c r="H424" s="13" t="n">
        <v>188.2</v>
      </c>
      <c r="I424" s="11" t="inlineStr">
        <is>
          <t xml:space="preserve"> Unisex</t>
        </is>
      </c>
      <c r="J424" s="13" t="n">
        <v>188.2</v>
      </c>
      <c r="K424" s="13" t="n">
        <v>187.7</v>
      </c>
      <c r="L424" s="13" t="n">
        <v>0</v>
      </c>
      <c r="M424" s="13" t="n">
        <v>164</v>
      </c>
      <c r="N424" s="13" t="n">
        <v>137</v>
      </c>
      <c r="O424" s="13" t="n">
        <v>106</v>
      </c>
      <c r="P424" s="13" t="n">
        <v>126</v>
      </c>
      <c r="Q424" s="13" t="n">
        <v>25.6</v>
      </c>
      <c r="R424" s="13" t="n">
        <v>1981</v>
      </c>
      <c r="S424" s="13" t="n">
        <v>1.09</v>
      </c>
      <c r="T424" s="13" t="n">
        <v>2162</v>
      </c>
      <c r="U424" s="13" t="n">
        <v>269</v>
      </c>
      <c r="V424" s="13" t="n">
        <v>173</v>
      </c>
      <c r="W424" s="13" t="n">
        <v>46</v>
      </c>
      <c r="X424" s="13" t="n">
        <v>1016</v>
      </c>
      <c r="Y424" s="13" t="n">
        <v>10</v>
      </c>
      <c r="Z424" s="13" t="n">
        <v>861</v>
      </c>
      <c r="AA424" s="13" t="n">
        <v>0.215</v>
      </c>
      <c r="AB424" s="13" t="n">
        <v>146</v>
      </c>
      <c r="AC424" s="13" t="n">
        <v>93</v>
      </c>
      <c r="AD424" s="13" t="n">
        <v>870</v>
      </c>
      <c r="AE424" s="13" t="n">
        <v>-4</v>
      </c>
      <c r="AF424" s="13" t="n">
        <v>7.8</v>
      </c>
      <c r="AG424" s="11" t="inlineStr">
        <is>
          <t xml:space="preserve"> Big Mountain</t>
        </is>
      </c>
      <c r="AH424" s="11" t="inlineStr">
        <is>
          <t xml:space="preserve"> Touring</t>
        </is>
      </c>
      <c r="AI424" s="13" t="n"/>
      <c r="AJ424" s="13" t="n"/>
      <c r="AK424" s="42" t="n"/>
    </row>
    <row r="425">
      <c r="E425" s="40" t="inlineStr">
        <is>
          <t>21/22</t>
        </is>
      </c>
      <c r="F425" s="10" t="inlineStr">
        <is>
          <t xml:space="preserve"> Black Crows</t>
        </is>
      </c>
      <c r="G425" s="11" t="inlineStr">
        <is>
          <t xml:space="preserve"> Corvus Freebird</t>
        </is>
      </c>
      <c r="H425" s="13" t="n">
        <v>176</v>
      </c>
      <c r="I425" s="11" t="inlineStr">
        <is>
          <t xml:space="preserve"> Unisex</t>
        </is>
      </c>
      <c r="J425" s="13" t="n">
        <v>176</v>
      </c>
      <c r="K425" s="13" t="n">
        <v>175.6</v>
      </c>
      <c r="L425" s="13" t="n">
        <v>140</v>
      </c>
      <c r="M425" s="13" t="n">
        <v>143</v>
      </c>
      <c r="N425" s="13" t="n">
        <v>141</v>
      </c>
      <c r="O425" s="13" t="n">
        <v>106</v>
      </c>
      <c r="P425" s="13" t="n">
        <v>118</v>
      </c>
      <c r="Q425" s="13" t="n">
        <v>20.8</v>
      </c>
      <c r="R425" s="13" t="n">
        <v>1817</v>
      </c>
      <c r="S425" s="13" t="n">
        <v>1.12</v>
      </c>
      <c r="T425" s="13" t="n">
        <v>2035</v>
      </c>
      <c r="U425" s="13" t="n">
        <v>189</v>
      </c>
      <c r="V425" s="13" t="n">
        <v>103</v>
      </c>
      <c r="W425" s="13" t="n">
        <v>45</v>
      </c>
      <c r="X425" s="13" t="n">
        <v>274</v>
      </c>
      <c r="Y425" s="13" t="n">
        <v>4</v>
      </c>
      <c r="Z425" s="13" t="n">
        <v>83</v>
      </c>
      <c r="AA425" s="13" t="n">
        <v>0.08</v>
      </c>
      <c r="AB425" s="13" t="n">
        <v>193</v>
      </c>
      <c r="AC425" s="13" t="n">
        <v>138</v>
      </c>
      <c r="AD425" s="13" t="n">
        <v>81</v>
      </c>
      <c r="AE425" s="13" t="n">
        <v>9</v>
      </c>
      <c r="AF425" s="13" t="n">
        <v>10.3</v>
      </c>
      <c r="AG425" s="11" t="inlineStr">
        <is>
          <t xml:space="preserve"> Big Mountain</t>
        </is>
      </c>
      <c r="AH425" s="11" t="inlineStr">
        <is>
          <t xml:space="preserve"> Touring</t>
        </is>
      </c>
      <c r="AI425" s="13" t="n"/>
      <c r="AJ425" s="13" t="n"/>
      <c r="AK425" s="42" t="n"/>
    </row>
    <row r="426">
      <c r="E426" s="40" t="inlineStr">
        <is>
          <t>21/22</t>
        </is>
      </c>
      <c r="F426" s="10" t="inlineStr">
        <is>
          <t xml:space="preserve"> Black Crows</t>
        </is>
      </c>
      <c r="G426" s="11" t="inlineStr">
        <is>
          <t xml:space="preserve"> Corvus Freebird</t>
        </is>
      </c>
      <c r="H426" s="13" t="n">
        <v>183.4</v>
      </c>
      <c r="I426" s="11" t="inlineStr">
        <is>
          <t xml:space="preserve"> Unisex</t>
        </is>
      </c>
      <c r="J426" s="13" t="n">
        <v>183.4</v>
      </c>
      <c r="K426" s="13" t="n">
        <v>182.6</v>
      </c>
      <c r="L426" s="13" t="n">
        <v>145</v>
      </c>
      <c r="M426" s="13" t="n">
        <v>148</v>
      </c>
      <c r="N426" s="13" t="n">
        <v>141</v>
      </c>
      <c r="O426" s="13" t="n">
        <v>105</v>
      </c>
      <c r="P426" s="13" t="n">
        <v>118</v>
      </c>
      <c r="Q426" s="13" t="n">
        <v>21</v>
      </c>
      <c r="R426" s="13" t="n">
        <v>1950</v>
      </c>
      <c r="S426" s="13" t="n">
        <v>1.08</v>
      </c>
      <c r="T426" s="13" t="n">
        <v>2112</v>
      </c>
      <c r="U426" s="13" t="n">
        <v>230</v>
      </c>
      <c r="V426" s="13" t="n">
        <v>107</v>
      </c>
      <c r="W426" s="13" t="n">
        <v>46</v>
      </c>
      <c r="X426" s="13" t="n">
        <v>282</v>
      </c>
      <c r="Y426" s="13" t="n">
        <v>6</v>
      </c>
      <c r="Z426" s="13" t="n">
        <v>91</v>
      </c>
      <c r="AA426" s="13" t="n">
        <v>0.129</v>
      </c>
      <c r="AB426" s="13" t="n">
        <v>192</v>
      </c>
      <c r="AC426" s="13" t="n">
        <v>155</v>
      </c>
      <c r="AD426" s="13" t="n">
        <v>90</v>
      </c>
      <c r="AE426" s="13" t="n">
        <v>8</v>
      </c>
      <c r="AF426" s="13" t="n">
        <v>10.4</v>
      </c>
      <c r="AG426" s="11" t="inlineStr">
        <is>
          <t xml:space="preserve"> Big Mountain</t>
        </is>
      </c>
      <c r="AH426" s="11" t="inlineStr">
        <is>
          <t xml:space="preserve"> Touring</t>
        </is>
      </c>
      <c r="AI426" s="13" t="n"/>
      <c r="AJ426" s="13" t="n"/>
      <c r="AK426" s="42" t="n"/>
    </row>
    <row r="427">
      <c r="E427" s="40" t="inlineStr">
        <is>
          <t>21/22</t>
        </is>
      </c>
      <c r="F427" s="10" t="inlineStr">
        <is>
          <t xml:space="preserve"> Black Crows</t>
        </is>
      </c>
      <c r="G427" s="11" t="inlineStr">
        <is>
          <t xml:space="preserve"> Corvus Freebird</t>
        </is>
      </c>
      <c r="H427" s="13" t="n">
        <v>188.2</v>
      </c>
      <c r="I427" s="11" t="inlineStr">
        <is>
          <t xml:space="preserve"> Unisex</t>
        </is>
      </c>
      <c r="J427" s="13" t="n">
        <v>188.2</v>
      </c>
      <c r="K427" s="13" t="n">
        <v>187.1</v>
      </c>
      <c r="L427" s="13" t="n">
        <v>153</v>
      </c>
      <c r="M427" s="13" t="n">
        <v>151</v>
      </c>
      <c r="N427" s="13" t="n">
        <v>142</v>
      </c>
      <c r="O427" s="13" t="n">
        <v>105</v>
      </c>
      <c r="P427" s="13" t="n">
        <v>119</v>
      </c>
      <c r="Q427" s="13" t="n">
        <v>21.2</v>
      </c>
      <c r="R427" s="13" t="n">
        <v>1929</v>
      </c>
      <c r="S427" s="13" t="n">
        <v>1.13</v>
      </c>
      <c r="T427" s="13" t="n">
        <v>2173</v>
      </c>
      <c r="U427" s="13" t="n">
        <v>228</v>
      </c>
      <c r="V427" s="13" t="n">
        <v>126</v>
      </c>
      <c r="W427" s="13" t="n">
        <v>44</v>
      </c>
      <c r="X427" s="13" t="n">
        <v>279</v>
      </c>
      <c r="Y427" s="13" t="n">
        <v>2</v>
      </c>
      <c r="Z427" s="13" t="n">
        <v>66</v>
      </c>
      <c r="AA427" s="13" t="n">
        <v>0.055</v>
      </c>
      <c r="AB427" s="13" t="n">
        <v>205</v>
      </c>
      <c r="AC427" s="13" t="n">
        <v>156</v>
      </c>
      <c r="AD427" s="13" t="n">
        <v>74</v>
      </c>
      <c r="AE427" s="13" t="n">
        <v>9</v>
      </c>
      <c r="AF427" s="13" t="n">
        <v>10.6</v>
      </c>
      <c r="AG427" s="11" t="inlineStr">
        <is>
          <t xml:space="preserve"> Big Mountain</t>
        </is>
      </c>
      <c r="AH427" s="11" t="inlineStr">
        <is>
          <t xml:space="preserve"> Touring</t>
        </is>
      </c>
      <c r="AI427" s="13" t="n"/>
      <c r="AJ427" s="13" t="n"/>
      <c r="AK427" s="42" t="n"/>
    </row>
    <row r="428">
      <c r="E428" s="40" t="inlineStr">
        <is>
          <t>21/22</t>
        </is>
      </c>
      <c r="F428" s="10" t="inlineStr">
        <is>
          <t xml:space="preserve"> Black Crows</t>
        </is>
      </c>
      <c r="G428" s="11" t="inlineStr">
        <is>
          <t xml:space="preserve"> Divus</t>
        </is>
      </c>
      <c r="H428" s="13" t="n">
        <v>167.2</v>
      </c>
      <c r="I428" s="11" t="inlineStr">
        <is>
          <t xml:space="preserve"> Unisex</t>
        </is>
      </c>
      <c r="J428" s="13" t="n">
        <v>167.2</v>
      </c>
      <c r="K428" s="13" t="n">
        <v>166.5</v>
      </c>
      <c r="L428" s="13" t="n">
        <v>115</v>
      </c>
      <c r="M428" s="13" t="n">
        <v>147</v>
      </c>
      <c r="N428" s="13" t="n">
        <v>121</v>
      </c>
      <c r="O428" s="13" t="n">
        <v>81</v>
      </c>
      <c r="P428" s="13" t="n">
        <v>105</v>
      </c>
      <c r="Q428" s="13" t="n">
        <v>16.1</v>
      </c>
      <c r="R428" s="13" t="n">
        <v>1519</v>
      </c>
      <c r="S428" s="13" t="n">
        <v>1.02</v>
      </c>
      <c r="T428" s="13" t="n">
        <v>1554</v>
      </c>
      <c r="U428" s="13" t="n">
        <v>165</v>
      </c>
      <c r="V428" s="13" t="n">
        <v>98</v>
      </c>
      <c r="W428" s="13" t="n">
        <v>35</v>
      </c>
      <c r="X428" s="13" t="n">
        <v>319</v>
      </c>
      <c r="Y428" s="13" t="n">
        <v>19</v>
      </c>
      <c r="Z428" s="13" t="n">
        <v>192</v>
      </c>
      <c r="AA428" s="13" t="n">
        <v>0.537</v>
      </c>
      <c r="AB428" s="13" t="n">
        <v>110</v>
      </c>
      <c r="AC428" s="13" t="n">
        <v>88</v>
      </c>
      <c r="AD428" s="13" t="n">
        <v>209</v>
      </c>
      <c r="AE428" s="13" t="n">
        <v>4</v>
      </c>
      <c r="AF428" s="13" t="n">
        <v>10.5</v>
      </c>
      <c r="AG428" s="11" t="inlineStr">
        <is>
          <t xml:space="preserve"> Resort Freeride</t>
        </is>
      </c>
      <c r="AH428" s="13" t="n"/>
      <c r="AI428" s="13" t="n"/>
      <c r="AJ428" s="13" t="n"/>
      <c r="AK428" s="42" t="n"/>
    </row>
    <row r="429">
      <c r="E429" s="40" t="inlineStr">
        <is>
          <t>21/22</t>
        </is>
      </c>
      <c r="F429" s="10" t="inlineStr">
        <is>
          <t xml:space="preserve"> Black Crows</t>
        </is>
      </c>
      <c r="G429" s="11" t="inlineStr">
        <is>
          <t xml:space="preserve"> Divus</t>
        </is>
      </c>
      <c r="H429" s="13" t="n">
        <v>172.1</v>
      </c>
      <c r="I429" s="11" t="inlineStr">
        <is>
          <t xml:space="preserve"> Unisex</t>
        </is>
      </c>
      <c r="J429" s="13" t="n">
        <v>172.1</v>
      </c>
      <c r="K429" s="13" t="n">
        <v>171.1</v>
      </c>
      <c r="L429" s="13" t="n">
        <v>136</v>
      </c>
      <c r="M429" s="13" t="n">
        <v>151</v>
      </c>
      <c r="N429" s="13" t="n">
        <v>123</v>
      </c>
      <c r="O429" s="13" t="n">
        <v>81</v>
      </c>
      <c r="P429" s="13" t="n">
        <v>109</v>
      </c>
      <c r="Q429" s="13" t="n">
        <v>15.9</v>
      </c>
      <c r="R429" s="13" t="n">
        <v>1580</v>
      </c>
      <c r="S429" s="13" t="n">
        <v>1.02</v>
      </c>
      <c r="T429" s="13" t="n">
        <v>1614</v>
      </c>
      <c r="U429" s="13" t="n">
        <v>183</v>
      </c>
      <c r="V429" s="13" t="n">
        <v>97</v>
      </c>
      <c r="W429" s="13" t="n">
        <v>36</v>
      </c>
      <c r="X429" s="13" t="n">
        <v>199</v>
      </c>
      <c r="Y429" s="13" t="n">
        <v>17</v>
      </c>
      <c r="Z429" s="13" t="n">
        <v>157</v>
      </c>
      <c r="AA429" s="13" t="n">
        <v>0.476</v>
      </c>
      <c r="AB429" s="13" t="n">
        <v>113</v>
      </c>
      <c r="AC429" s="13" t="n">
        <v>84</v>
      </c>
      <c r="AD429" s="13" t="n">
        <v>86</v>
      </c>
      <c r="AE429" s="13" t="n">
        <v>7</v>
      </c>
      <c r="AF429" s="13" t="n">
        <v>10.4</v>
      </c>
      <c r="AG429" s="11" t="inlineStr">
        <is>
          <t xml:space="preserve"> Resort Freeride</t>
        </is>
      </c>
      <c r="AH429" s="13" t="n"/>
      <c r="AI429" s="13" t="n"/>
      <c r="AJ429" s="13" t="n"/>
      <c r="AK429" s="42" t="n"/>
    </row>
    <row r="430">
      <c r="E430" s="40" t="inlineStr">
        <is>
          <t>21/22</t>
        </is>
      </c>
      <c r="F430" s="10" t="inlineStr">
        <is>
          <t xml:space="preserve"> Black Crows</t>
        </is>
      </c>
      <c r="G430" s="11" t="inlineStr">
        <is>
          <t xml:space="preserve"> Divus</t>
        </is>
      </c>
      <c r="H430" s="13" t="n">
        <v>177.3</v>
      </c>
      <c r="I430" s="11" t="inlineStr">
        <is>
          <t xml:space="preserve"> Unisex</t>
        </is>
      </c>
      <c r="J430" s="13" t="n">
        <v>177.3</v>
      </c>
      <c r="K430" s="13" t="n">
        <v>176.1</v>
      </c>
      <c r="L430" s="13" t="n">
        <v>137</v>
      </c>
      <c r="M430" s="13" t="n">
        <v>156</v>
      </c>
      <c r="N430" s="13" t="n">
        <v>123</v>
      </c>
      <c r="O430" s="13" t="n">
        <v>81</v>
      </c>
      <c r="P430" s="13" t="n">
        <v>109</v>
      </c>
      <c r="Q430" s="13" t="n">
        <v>17</v>
      </c>
      <c r="R430" s="13" t="n">
        <v>1748</v>
      </c>
      <c r="S430" s="13" t="n">
        <v>0.95</v>
      </c>
      <c r="T430" s="13" t="n">
        <v>1660</v>
      </c>
      <c r="U430" s="13" t="n">
        <v>203</v>
      </c>
      <c r="V430" s="13" t="n">
        <v>106</v>
      </c>
      <c r="W430" s="13" t="n">
        <v>42</v>
      </c>
      <c r="X430" s="13" t="n">
        <v>237</v>
      </c>
      <c r="Y430" s="13" t="n">
        <v>17</v>
      </c>
      <c r="Z430" s="13" t="n">
        <v>152</v>
      </c>
      <c r="AA430" s="13" t="n">
        <v>0.4</v>
      </c>
      <c r="AB430" s="13" t="n">
        <v>112</v>
      </c>
      <c r="AC430" s="13" t="n">
        <v>87</v>
      </c>
      <c r="AD430" s="13" t="n">
        <v>125</v>
      </c>
      <c r="AE430" s="13" t="n">
        <v>7</v>
      </c>
      <c r="AF430" s="13" t="n">
        <v>10.2</v>
      </c>
      <c r="AG430" s="11" t="inlineStr">
        <is>
          <t xml:space="preserve"> On-Piste All-Mountain</t>
        </is>
      </c>
      <c r="AH430" s="11" t="inlineStr">
        <is>
          <t xml:space="preserve"> Resort Freeride</t>
        </is>
      </c>
      <c r="AI430" s="13" t="n"/>
      <c r="AJ430" s="13" t="n"/>
      <c r="AK430" s="42" t="n"/>
    </row>
    <row r="431">
      <c r="E431" s="40" t="inlineStr">
        <is>
          <t>21/22</t>
        </is>
      </c>
      <c r="F431" s="10" t="inlineStr">
        <is>
          <t xml:space="preserve"> Black Crows</t>
        </is>
      </c>
      <c r="G431" s="11" t="inlineStr">
        <is>
          <t xml:space="preserve"> Ferox Freebird</t>
        </is>
      </c>
      <c r="H431" s="13" t="n">
        <v>170.1</v>
      </c>
      <c r="I431" s="11" t="inlineStr">
        <is>
          <t xml:space="preserve"> Unisex</t>
        </is>
      </c>
      <c r="J431" s="13" t="n">
        <v>170.1</v>
      </c>
      <c r="K431" s="13" t="n">
        <v>168.7</v>
      </c>
      <c r="L431" s="13" t="n">
        <v>122</v>
      </c>
      <c r="M431" s="13" t="n">
        <v>136</v>
      </c>
      <c r="N431" s="13" t="n">
        <v>135</v>
      </c>
      <c r="O431" s="13" t="n">
        <v>108</v>
      </c>
      <c r="P431" s="13" t="n">
        <v>124</v>
      </c>
      <c r="Q431" s="13" t="n">
        <v>20.9</v>
      </c>
      <c r="R431" s="13" t="n">
        <v>1727</v>
      </c>
      <c r="S431" s="13" t="n">
        <v>1.14</v>
      </c>
      <c r="T431" s="13" t="n">
        <v>1960</v>
      </c>
      <c r="U431" s="13" t="n">
        <v>180</v>
      </c>
      <c r="V431" s="13" t="n">
        <v>73</v>
      </c>
      <c r="W431" s="13" t="n">
        <v>39</v>
      </c>
      <c r="X431" s="13" t="n">
        <v>200</v>
      </c>
      <c r="Y431" s="13" t="n">
        <v>36</v>
      </c>
      <c r="Z431" s="13" t="n">
        <v>271</v>
      </c>
      <c r="AA431" s="13" t="n">
        <v>0.908</v>
      </c>
      <c r="AB431" s="13" t="n">
        <v>190</v>
      </c>
      <c r="AC431" s="13" t="n">
        <v>141</v>
      </c>
      <c r="AD431" s="13" t="n">
        <v>10</v>
      </c>
      <c r="AE431" s="13" t="n">
        <v>3</v>
      </c>
      <c r="AF431" s="13" t="n">
        <v>8.5</v>
      </c>
      <c r="AG431" s="11" t="inlineStr">
        <is>
          <t xml:space="preserve"> Freeski</t>
        </is>
      </c>
      <c r="AH431" s="11" t="inlineStr">
        <is>
          <t xml:space="preserve"> Powder</t>
        </is>
      </c>
      <c r="AI431" s="11" t="inlineStr">
        <is>
          <t xml:space="preserve"> Touring</t>
        </is>
      </c>
      <c r="AJ431" s="13" t="n"/>
      <c r="AK431" s="42" t="n"/>
    </row>
    <row r="432">
      <c r="E432" s="40" t="inlineStr">
        <is>
          <t>21/22</t>
        </is>
      </c>
      <c r="F432" s="10" t="inlineStr">
        <is>
          <t xml:space="preserve"> Black Crows</t>
        </is>
      </c>
      <c r="G432" s="11" t="inlineStr">
        <is>
          <t xml:space="preserve"> Ferox Freebird</t>
        </is>
      </c>
      <c r="H432" s="13" t="n">
        <v>176.7</v>
      </c>
      <c r="I432" s="11" t="inlineStr">
        <is>
          <t xml:space="preserve"> Unisex</t>
        </is>
      </c>
      <c r="J432" s="13" t="n">
        <v>176.7</v>
      </c>
      <c r="K432" s="13" t="n">
        <v>174.7</v>
      </c>
      <c r="L432" s="13" t="n">
        <v>130</v>
      </c>
      <c r="M432" s="13" t="n">
        <v>139</v>
      </c>
      <c r="N432" s="13" t="n">
        <v>138</v>
      </c>
      <c r="O432" s="13" t="n">
        <v>110</v>
      </c>
      <c r="P432" s="13" t="n">
        <v>127</v>
      </c>
      <c r="Q432" s="13" t="n">
        <v>21.1</v>
      </c>
      <c r="R432" s="13" t="n">
        <v>1878</v>
      </c>
      <c r="S432" s="13" t="n">
        <v>1.1</v>
      </c>
      <c r="T432" s="13" t="n">
        <v>2065</v>
      </c>
      <c r="U432" s="13" t="n">
        <v>209</v>
      </c>
      <c r="V432" s="13" t="n">
        <v>79</v>
      </c>
      <c r="W432" s="13" t="n">
        <v>44</v>
      </c>
      <c r="X432" s="13" t="n">
        <v>219</v>
      </c>
      <c r="Y432" s="13" t="n">
        <v>34</v>
      </c>
      <c r="Z432" s="13" t="n">
        <v>230</v>
      </c>
      <c r="AA432" s="13" t="n">
        <v>0.78</v>
      </c>
      <c r="AB432" s="13" t="n">
        <v>196</v>
      </c>
      <c r="AC432" s="13" t="n">
        <v>159</v>
      </c>
      <c r="AD432" s="13" t="n">
        <v>23</v>
      </c>
      <c r="AE432" s="13" t="n">
        <v>3</v>
      </c>
      <c r="AF432" s="13" t="n">
        <v>8.300000000000001</v>
      </c>
      <c r="AG432" s="11" t="inlineStr">
        <is>
          <t xml:space="preserve"> Powder</t>
        </is>
      </c>
      <c r="AH432" s="11" t="inlineStr">
        <is>
          <t xml:space="preserve"> Touring</t>
        </is>
      </c>
      <c r="AI432" s="13" t="n"/>
      <c r="AJ432" s="13" t="n"/>
      <c r="AK432" s="42" t="n"/>
    </row>
    <row r="433">
      <c r="E433" s="40" t="inlineStr">
        <is>
          <t>21/22</t>
        </is>
      </c>
      <c r="F433" s="10" t="inlineStr">
        <is>
          <t xml:space="preserve"> Black Crows</t>
        </is>
      </c>
      <c r="G433" s="11" t="inlineStr">
        <is>
          <t xml:space="preserve"> Ferox Freebird</t>
        </is>
      </c>
      <c r="H433" s="13" t="n">
        <v>181.4</v>
      </c>
      <c r="I433" s="11" t="inlineStr">
        <is>
          <t xml:space="preserve"> Unisex</t>
        </is>
      </c>
      <c r="J433" s="13" t="n">
        <v>181.4</v>
      </c>
      <c r="K433" s="13" t="n">
        <v>179.6</v>
      </c>
      <c r="L433" s="13" t="n">
        <v>106</v>
      </c>
      <c r="M433" s="13" t="n">
        <v>142</v>
      </c>
      <c r="N433" s="13" t="n">
        <v>137</v>
      </c>
      <c r="O433" s="13" t="n">
        <v>108</v>
      </c>
      <c r="P433" s="13" t="n">
        <v>126</v>
      </c>
      <c r="Q433" s="13" t="n">
        <v>21.2</v>
      </c>
      <c r="R433" s="13" t="n">
        <v>1915</v>
      </c>
      <c r="S433" s="13" t="n">
        <v>1.1</v>
      </c>
      <c r="T433" s="13" t="n">
        <v>2104</v>
      </c>
      <c r="U433" s="13" t="n">
        <v>210</v>
      </c>
      <c r="V433" s="13" t="n">
        <v>89</v>
      </c>
      <c r="W433" s="13" t="n">
        <v>44</v>
      </c>
      <c r="X433" s="13" t="n">
        <v>514</v>
      </c>
      <c r="Y433" s="13" t="n">
        <v>33</v>
      </c>
      <c r="Z433" s="13" t="n">
        <v>220</v>
      </c>
      <c r="AA433" s="13" t="n">
        <v>0.751</v>
      </c>
      <c r="AB433" s="13" t="n">
        <v>210</v>
      </c>
      <c r="AC433" s="13" t="n">
        <v>163</v>
      </c>
      <c r="AD433" s="13" t="n">
        <v>305</v>
      </c>
      <c r="AE433" s="13" t="n">
        <v>2</v>
      </c>
      <c r="AF433" s="13" t="n">
        <v>8.300000000000001</v>
      </c>
      <c r="AG433" s="11" t="inlineStr">
        <is>
          <t xml:space="preserve"> Powder</t>
        </is>
      </c>
      <c r="AH433" s="11" t="inlineStr">
        <is>
          <t xml:space="preserve"> Touring</t>
        </is>
      </c>
      <c r="AI433" s="13" t="n"/>
      <c r="AJ433" s="13" t="n"/>
      <c r="AK433" s="42" t="n"/>
    </row>
    <row r="434">
      <c r="E434" s="40" t="inlineStr">
        <is>
          <t>21/22</t>
        </is>
      </c>
      <c r="F434" s="10" t="inlineStr">
        <is>
          <t xml:space="preserve"> Black Crows</t>
        </is>
      </c>
      <c r="G434" s="11" t="inlineStr">
        <is>
          <t xml:space="preserve"> Ferox Freebird</t>
        </is>
      </c>
      <c r="H434" s="13" t="n">
        <v>186.2</v>
      </c>
      <c r="I434" s="11" t="inlineStr">
        <is>
          <t xml:space="preserve"> Unisex</t>
        </is>
      </c>
      <c r="J434" s="13" t="n">
        <v>186.2</v>
      </c>
      <c r="K434" s="13" t="n">
        <v>184.6</v>
      </c>
      <c r="L434" s="13" t="n">
        <v>136</v>
      </c>
      <c r="M434" s="13" t="n">
        <v>145</v>
      </c>
      <c r="N434" s="13" t="n">
        <v>138</v>
      </c>
      <c r="O434" s="13" t="n">
        <v>109</v>
      </c>
      <c r="P434" s="13" t="n">
        <v>127</v>
      </c>
      <c r="Q434" s="13" t="n">
        <v>21.2</v>
      </c>
      <c r="R434" s="13" t="n">
        <v>1964</v>
      </c>
      <c r="S434" s="13" t="n">
        <v>1.11</v>
      </c>
      <c r="T434" s="13" t="n">
        <v>2179</v>
      </c>
      <c r="U434" s="13" t="n">
        <v>210</v>
      </c>
      <c r="V434" s="13" t="n">
        <v>94</v>
      </c>
      <c r="W434" s="13" t="n">
        <v>42</v>
      </c>
      <c r="X434" s="13" t="n">
        <v>195</v>
      </c>
      <c r="Y434" s="13" t="n">
        <v>39</v>
      </c>
      <c r="Z434" s="13" t="n">
        <v>293</v>
      </c>
      <c r="AA434" s="13" t="n">
        <v>0.928</v>
      </c>
      <c r="AB434" s="13" t="n">
        <v>220</v>
      </c>
      <c r="AC434" s="13" t="n">
        <v>174</v>
      </c>
      <c r="AD434" s="13" t="n">
        <v>-25</v>
      </c>
      <c r="AE434" s="13" t="n">
        <v>3</v>
      </c>
      <c r="AF434" s="13" t="n">
        <v>8.199999999999999</v>
      </c>
      <c r="AG434" s="11" t="inlineStr">
        <is>
          <t xml:space="preserve"> Freeski</t>
        </is>
      </c>
      <c r="AH434" s="11" t="inlineStr">
        <is>
          <t xml:space="preserve"> Powder</t>
        </is>
      </c>
      <c r="AI434" s="11" t="inlineStr">
        <is>
          <t xml:space="preserve"> Touring</t>
        </is>
      </c>
      <c r="AJ434" s="13" t="n"/>
      <c r="AK434" s="42" t="n"/>
    </row>
    <row r="435">
      <c r="E435" s="40" t="inlineStr">
        <is>
          <t>21/22</t>
        </is>
      </c>
      <c r="F435" s="10" t="inlineStr">
        <is>
          <t xml:space="preserve"> Black Crows</t>
        </is>
      </c>
      <c r="G435" s="11" t="inlineStr">
        <is>
          <t xml:space="preserve"> Justis</t>
        </is>
      </c>
      <c r="H435" s="13" t="n">
        <v>177.4</v>
      </c>
      <c r="I435" s="11" t="inlineStr">
        <is>
          <t xml:space="preserve"> Unisex</t>
        </is>
      </c>
      <c r="J435" s="13" t="n">
        <v>177.4</v>
      </c>
      <c r="K435" s="13" t="n">
        <v>176.1</v>
      </c>
      <c r="L435" s="13" t="n">
        <v>104</v>
      </c>
      <c r="M435" s="13" t="n">
        <v>157</v>
      </c>
      <c r="N435" s="13" t="n">
        <v>137</v>
      </c>
      <c r="O435" s="13" t="n">
        <v>98</v>
      </c>
      <c r="P435" s="13" t="n">
        <v>122</v>
      </c>
      <c r="Q435" s="13" t="n">
        <v>19.4</v>
      </c>
      <c r="R435" s="13" t="n">
        <v>1952</v>
      </c>
      <c r="S435" s="13" t="n">
        <v>0.99</v>
      </c>
      <c r="T435" s="13" t="n">
        <v>1934</v>
      </c>
      <c r="U435" s="13" t="n">
        <v>262</v>
      </c>
      <c r="V435" s="13" t="n">
        <v>114</v>
      </c>
      <c r="W435" s="13" t="n">
        <v>53</v>
      </c>
      <c r="X435" s="13" t="n">
        <v>426</v>
      </c>
      <c r="Y435" s="13" t="n">
        <v>30</v>
      </c>
      <c r="Z435" s="13" t="n">
        <v>295</v>
      </c>
      <c r="AA435" s="13" t="n">
        <v>0.573</v>
      </c>
      <c r="AB435" s="13" t="n">
        <v>112</v>
      </c>
      <c r="AC435" s="13" t="n">
        <v>84</v>
      </c>
      <c r="AD435" s="13" t="n">
        <v>314</v>
      </c>
      <c r="AE435" s="13" t="n">
        <v>2</v>
      </c>
      <c r="AF435" s="13" t="n">
        <v>8.5</v>
      </c>
      <c r="AG435" s="11" t="inlineStr">
        <is>
          <t xml:space="preserve"> Resort Freeride</t>
        </is>
      </c>
      <c r="AH435" s="13" t="n"/>
      <c r="AI435" s="13" t="n"/>
      <c r="AJ435" s="13" t="n"/>
      <c r="AK435" s="42" t="n"/>
    </row>
    <row r="436">
      <c r="E436" s="40" t="inlineStr">
        <is>
          <t>21/22</t>
        </is>
      </c>
      <c r="F436" s="10" t="inlineStr">
        <is>
          <t xml:space="preserve"> Black Crows</t>
        </is>
      </c>
      <c r="G436" s="11" t="inlineStr">
        <is>
          <t xml:space="preserve"> Justis</t>
        </is>
      </c>
      <c r="H436" s="13" t="n">
        <v>183.1</v>
      </c>
      <c r="I436" s="11" t="inlineStr">
        <is>
          <t xml:space="preserve"> Unisex</t>
        </is>
      </c>
      <c r="J436" s="13" t="n">
        <v>183.1</v>
      </c>
      <c r="K436" s="13" t="n">
        <v>182</v>
      </c>
      <c r="L436" s="13" t="n">
        <v>109</v>
      </c>
      <c r="M436" s="13" t="n">
        <v>163</v>
      </c>
      <c r="N436" s="13" t="n">
        <v>137</v>
      </c>
      <c r="O436" s="13" t="n">
        <v>98</v>
      </c>
      <c r="P436" s="13" t="n">
        <v>122</v>
      </c>
      <c r="Q436" s="13" t="n">
        <v>20.8</v>
      </c>
      <c r="R436" s="13" t="n">
        <v>2045</v>
      </c>
      <c r="S436" s="13" t="n">
        <v>0.98</v>
      </c>
      <c r="T436" s="13" t="n">
        <v>1997</v>
      </c>
      <c r="U436" s="13" t="n">
        <v>292</v>
      </c>
      <c r="V436" s="13" t="n">
        <v>134</v>
      </c>
      <c r="W436" s="13" t="n">
        <v>48</v>
      </c>
      <c r="X436" s="13" t="n">
        <v>428</v>
      </c>
      <c r="Y436" s="13" t="n">
        <v>33</v>
      </c>
      <c r="Z436" s="13" t="n">
        <v>299</v>
      </c>
      <c r="AA436" s="13" t="n">
        <v>0.677</v>
      </c>
      <c r="AB436" s="13" t="n">
        <v>107</v>
      </c>
      <c r="AC436" s="13" t="n">
        <v>86</v>
      </c>
      <c r="AD436" s="13" t="n">
        <v>321</v>
      </c>
      <c r="AE436" s="13" t="n">
        <v>3</v>
      </c>
      <c r="AF436" s="13" t="n">
        <v>8.300000000000001</v>
      </c>
      <c r="AG436" s="11" t="inlineStr">
        <is>
          <t xml:space="preserve"> Resort Freeride</t>
        </is>
      </c>
      <c r="AH436" s="13" t="n"/>
      <c r="AI436" s="13" t="n"/>
      <c r="AJ436" s="13" t="n"/>
      <c r="AK436" s="42" t="n"/>
    </row>
    <row r="437">
      <c r="E437" s="40" t="inlineStr">
        <is>
          <t>21/22</t>
        </is>
      </c>
      <c r="F437" s="10" t="inlineStr">
        <is>
          <t xml:space="preserve"> Black Crows</t>
        </is>
      </c>
      <c r="G437" s="11" t="inlineStr">
        <is>
          <t xml:space="preserve"> Mirus Cor</t>
        </is>
      </c>
      <c r="H437" s="13" t="n">
        <v>173.2</v>
      </c>
      <c r="I437" s="11" t="inlineStr">
        <is>
          <t xml:space="preserve"> Unisex</t>
        </is>
      </c>
      <c r="J437" s="13" t="n">
        <v>173.2</v>
      </c>
      <c r="K437" s="13" t="n">
        <v>171.7</v>
      </c>
      <c r="L437" s="13" t="n">
        <v>119</v>
      </c>
      <c r="M437" s="13" t="n">
        <v>147</v>
      </c>
      <c r="N437" s="13" t="n">
        <v>130</v>
      </c>
      <c r="O437" s="13" t="n">
        <v>86</v>
      </c>
      <c r="P437" s="13" t="n">
        <v>121</v>
      </c>
      <c r="Q437" s="13" t="n">
        <v>12.7</v>
      </c>
      <c r="R437" s="13" t="n">
        <v>1725</v>
      </c>
      <c r="S437" s="13" t="n">
        <v>1.02</v>
      </c>
      <c r="T437" s="13" t="n">
        <v>1763</v>
      </c>
      <c r="U437" s="13" t="n">
        <v>177</v>
      </c>
      <c r="V437" s="13" t="n">
        <v>71</v>
      </c>
      <c r="W437" s="13" t="n">
        <v>42</v>
      </c>
      <c r="X437" s="13" t="n">
        <v>279</v>
      </c>
      <c r="Y437" s="13" t="n">
        <v>36</v>
      </c>
      <c r="Z437" s="13" t="n">
        <v>249</v>
      </c>
      <c r="AA437" s="13" t="n">
        <v>0.858</v>
      </c>
      <c r="AB437" s="13" t="n">
        <v>139</v>
      </c>
      <c r="AC437" s="13" t="n">
        <v>113</v>
      </c>
      <c r="AD437" s="13" t="n">
        <v>140</v>
      </c>
      <c r="AE437" s="13" t="n">
        <v>3</v>
      </c>
      <c r="AF437" s="13" t="n">
        <v>3.5</v>
      </c>
      <c r="AG437" s="11" t="inlineStr">
        <is>
          <t xml:space="preserve"> Resort Freeride</t>
        </is>
      </c>
      <c r="AH437" s="11" t="inlineStr">
        <is>
          <t xml:space="preserve"> Freeski</t>
        </is>
      </c>
      <c r="AI437" s="13" t="n"/>
      <c r="AJ437" s="13" t="n"/>
      <c r="AK437" s="42" t="n"/>
    </row>
    <row r="438">
      <c r="E438" s="40" t="inlineStr">
        <is>
          <t>21/22</t>
        </is>
      </c>
      <c r="F438" s="10" t="inlineStr">
        <is>
          <t xml:space="preserve"> Black Crows</t>
        </is>
      </c>
      <c r="G438" s="11" t="inlineStr">
        <is>
          <t xml:space="preserve"> Mirus Cor</t>
        </is>
      </c>
      <c r="H438" s="13" t="n">
        <v>178</v>
      </c>
      <c r="I438" s="11" t="inlineStr">
        <is>
          <t xml:space="preserve"> Unisex</t>
        </is>
      </c>
      <c r="J438" s="13" t="n">
        <v>178</v>
      </c>
      <c r="K438" s="13" t="n">
        <v>176.7</v>
      </c>
      <c r="L438" s="13" t="n">
        <v>118</v>
      </c>
      <c r="M438" s="13" t="n">
        <v>152</v>
      </c>
      <c r="N438" s="13" t="n">
        <v>133</v>
      </c>
      <c r="O438" s="13" t="n">
        <v>86</v>
      </c>
      <c r="P438" s="13" t="n">
        <v>123</v>
      </c>
      <c r="Q438" s="13" t="n">
        <v>12.7</v>
      </c>
      <c r="R438" s="13" t="n">
        <v>1860</v>
      </c>
      <c r="S438" s="13" t="n">
        <v>0.98</v>
      </c>
      <c r="T438" s="13" t="n">
        <v>1827</v>
      </c>
      <c r="U438" s="13" t="n">
        <v>192</v>
      </c>
      <c r="V438" s="13" t="n">
        <v>73</v>
      </c>
      <c r="W438" s="13" t="n">
        <v>36</v>
      </c>
      <c r="X438" s="13" t="n">
        <v>271</v>
      </c>
      <c r="Y438" s="13" t="n">
        <v>37</v>
      </c>
      <c r="Z438" s="13" t="n">
        <v>316</v>
      </c>
      <c r="AA438" s="13" t="n">
        <v>1.025</v>
      </c>
      <c r="AB438" s="13" t="n">
        <v>138</v>
      </c>
      <c r="AC438" s="13" t="n">
        <v>112</v>
      </c>
      <c r="AD438" s="13" t="n">
        <v>133</v>
      </c>
      <c r="AE438" s="13" t="n">
        <v>3</v>
      </c>
      <c r="AF438" s="13" t="n">
        <v>4.6</v>
      </c>
      <c r="AG438" s="11" t="inlineStr">
        <is>
          <t xml:space="preserve"> Freeski</t>
        </is>
      </c>
      <c r="AH438" s="13" t="n"/>
      <c r="AI438" s="13" t="n"/>
      <c r="AJ438" s="13" t="n"/>
      <c r="AK438" s="42" t="n"/>
    </row>
    <row r="439">
      <c r="E439" s="40" t="inlineStr">
        <is>
          <t>21/22</t>
        </is>
      </c>
      <c r="F439" s="10" t="inlineStr">
        <is>
          <t xml:space="preserve"> Black Crows</t>
        </is>
      </c>
      <c r="G439" s="11" t="inlineStr">
        <is>
          <t xml:space="preserve"> Navis Freebird</t>
        </is>
      </c>
      <c r="H439" s="13" t="n">
        <v>167.1</v>
      </c>
      <c r="I439" s="11" t="inlineStr">
        <is>
          <t xml:space="preserve"> Unisex</t>
        </is>
      </c>
      <c r="J439" s="13" t="n">
        <v>167.1</v>
      </c>
      <c r="K439" s="13" t="n">
        <v>166.5</v>
      </c>
      <c r="L439" s="13" t="n">
        <v>114</v>
      </c>
      <c r="M439" s="13" t="n">
        <v>140</v>
      </c>
      <c r="N439" s="13" t="n">
        <v>137</v>
      </c>
      <c r="O439" s="13" t="n">
        <v>100</v>
      </c>
      <c r="P439" s="13" t="n">
        <v>117</v>
      </c>
      <c r="Q439" s="13" t="n">
        <v>18.2</v>
      </c>
      <c r="R439" s="13" t="n">
        <v>1576</v>
      </c>
      <c r="S439" s="13" t="n">
        <v>1.17</v>
      </c>
      <c r="T439" s="13" t="n">
        <v>1847</v>
      </c>
      <c r="U439" s="13" t="n">
        <v>185</v>
      </c>
      <c r="V439" s="13" t="n">
        <v>82</v>
      </c>
      <c r="W439" s="13" t="n">
        <v>46</v>
      </c>
      <c r="X439" s="13" t="n">
        <v>309</v>
      </c>
      <c r="Y439" s="13" t="n">
        <v>17</v>
      </c>
      <c r="Z439" s="13" t="n">
        <v>215</v>
      </c>
      <c r="AA439" s="13" t="n">
        <v>0.361</v>
      </c>
      <c r="AB439" s="13" t="n">
        <v>138</v>
      </c>
      <c r="AC439" s="13" t="n">
        <v>122</v>
      </c>
      <c r="AD439" s="13" t="n">
        <v>171</v>
      </c>
      <c r="AE439" s="13" t="n">
        <v>4</v>
      </c>
      <c r="AF439" s="13" t="n">
        <v>9.300000000000001</v>
      </c>
      <c r="AG439" s="11" t="inlineStr">
        <is>
          <t xml:space="preserve"> Resort Freeride</t>
        </is>
      </c>
      <c r="AH439" s="11" t="inlineStr">
        <is>
          <t xml:space="preserve"> Powder</t>
        </is>
      </c>
      <c r="AI439" s="11" t="inlineStr">
        <is>
          <t xml:space="preserve"> Big Mountain</t>
        </is>
      </c>
      <c r="AJ439" s="11" t="inlineStr">
        <is>
          <t xml:space="preserve"> Touring</t>
        </is>
      </c>
      <c r="AK439" s="42" t="n"/>
    </row>
    <row r="440">
      <c r="E440" s="40" t="inlineStr">
        <is>
          <t>21/22</t>
        </is>
      </c>
      <c r="F440" s="10" t="inlineStr">
        <is>
          <t xml:space="preserve"> Black Crows</t>
        </is>
      </c>
      <c r="G440" s="11" t="inlineStr">
        <is>
          <t xml:space="preserve"> Navis Freebird</t>
        </is>
      </c>
      <c r="H440" s="13" t="n">
        <v>173.4</v>
      </c>
      <c r="I440" s="11" t="inlineStr">
        <is>
          <t xml:space="preserve"> Unisex</t>
        </is>
      </c>
      <c r="J440" s="13" t="n">
        <v>173.4</v>
      </c>
      <c r="K440" s="13" t="n">
        <v>171.8</v>
      </c>
      <c r="L440" s="13" t="n">
        <v>122</v>
      </c>
      <c r="M440" s="13" t="n">
        <v>145</v>
      </c>
      <c r="N440" s="13" t="n">
        <v>138</v>
      </c>
      <c r="O440" s="13" t="n">
        <v>100</v>
      </c>
      <c r="P440" s="13" t="n">
        <v>118</v>
      </c>
      <c r="Q440" s="13" t="n">
        <v>18.7</v>
      </c>
      <c r="R440" s="13" t="n">
        <v>1671</v>
      </c>
      <c r="S440" s="13" t="n">
        <v>1.14</v>
      </c>
      <c r="T440" s="13" t="n">
        <v>1913</v>
      </c>
      <c r="U440" s="13" t="n">
        <v>209</v>
      </c>
      <c r="V440" s="13" t="n">
        <v>95</v>
      </c>
      <c r="W440" s="13" t="n">
        <v>44</v>
      </c>
      <c r="X440" s="13" t="n">
        <v>292</v>
      </c>
      <c r="Y440" s="13" t="n">
        <v>16</v>
      </c>
      <c r="Z440" s="13" t="n">
        <v>202</v>
      </c>
      <c r="AA440" s="13" t="n">
        <v>0.352</v>
      </c>
      <c r="AB440" s="13" t="n">
        <v>157</v>
      </c>
      <c r="AC440" s="13" t="n">
        <v>116</v>
      </c>
      <c r="AD440" s="13" t="n">
        <v>135</v>
      </c>
      <c r="AE440" s="13" t="n">
        <v>4</v>
      </c>
      <c r="AF440" s="13" t="n">
        <v>9.699999999999999</v>
      </c>
      <c r="AG440" s="11" t="inlineStr">
        <is>
          <t xml:space="preserve"> Resort Freeride</t>
        </is>
      </c>
      <c r="AH440" s="11" t="inlineStr">
        <is>
          <t xml:space="preserve"> Powder</t>
        </is>
      </c>
      <c r="AI440" s="11" t="inlineStr">
        <is>
          <t xml:space="preserve"> Big Mountain</t>
        </is>
      </c>
      <c r="AJ440" s="11" t="inlineStr">
        <is>
          <t xml:space="preserve"> Touring</t>
        </is>
      </c>
      <c r="AK440" s="42" t="n"/>
    </row>
    <row r="441">
      <c r="E441" s="40" t="inlineStr">
        <is>
          <t>21/22</t>
        </is>
      </c>
      <c r="F441" s="10" t="inlineStr">
        <is>
          <t xml:space="preserve"> Black Crows</t>
        </is>
      </c>
      <c r="G441" s="11" t="inlineStr">
        <is>
          <t xml:space="preserve"> Navis Freebird</t>
        </is>
      </c>
      <c r="H441" s="13" t="n">
        <v>179.1</v>
      </c>
      <c r="I441" s="11" t="inlineStr">
        <is>
          <t xml:space="preserve"> Unisex</t>
        </is>
      </c>
      <c r="J441" s="13" t="n">
        <v>179.1</v>
      </c>
      <c r="K441" s="13" t="n">
        <v>178.4</v>
      </c>
      <c r="L441" s="13" t="n">
        <v>125</v>
      </c>
      <c r="M441" s="13" t="n">
        <v>149</v>
      </c>
      <c r="N441" s="13" t="n">
        <v>138</v>
      </c>
      <c r="O441" s="13" t="n">
        <v>100</v>
      </c>
      <c r="P441" s="13" t="n">
        <v>119</v>
      </c>
      <c r="Q441" s="13" t="n">
        <v>19</v>
      </c>
      <c r="R441" s="13" t="n">
        <v>1748</v>
      </c>
      <c r="S441" s="13" t="n">
        <v>1.14</v>
      </c>
      <c r="T441" s="13" t="n">
        <v>1996</v>
      </c>
      <c r="U441" s="13" t="n">
        <v>231</v>
      </c>
      <c r="V441" s="13" t="n">
        <v>108</v>
      </c>
      <c r="W441" s="13" t="n">
        <v>45</v>
      </c>
      <c r="X441" s="13" t="n">
        <v>338</v>
      </c>
      <c r="Y441" s="13" t="n">
        <v>15</v>
      </c>
      <c r="Z441" s="13" t="n">
        <v>196</v>
      </c>
      <c r="AA441" s="13" t="n">
        <v>0.333</v>
      </c>
      <c r="AB441" s="13" t="n">
        <v>166</v>
      </c>
      <c r="AC441" s="13" t="n">
        <v>130</v>
      </c>
      <c r="AD441" s="13" t="n">
        <v>171</v>
      </c>
      <c r="AE441" s="13" t="n">
        <v>5</v>
      </c>
      <c r="AF441" s="13" t="n">
        <v>9.4</v>
      </c>
      <c r="AG441" s="11" t="inlineStr">
        <is>
          <t xml:space="preserve"> Resort Freeride</t>
        </is>
      </c>
      <c r="AH441" s="11" t="inlineStr">
        <is>
          <t xml:space="preserve"> Big Mountain</t>
        </is>
      </c>
      <c r="AI441" s="11" t="inlineStr">
        <is>
          <t xml:space="preserve"> Touring</t>
        </is>
      </c>
      <c r="AJ441" s="13" t="n"/>
      <c r="AK441" s="42" t="n"/>
    </row>
    <row r="442">
      <c r="E442" s="40" t="inlineStr">
        <is>
          <t>21/22</t>
        </is>
      </c>
      <c r="F442" s="10" t="inlineStr">
        <is>
          <t xml:space="preserve"> Black Crows</t>
        </is>
      </c>
      <c r="G442" s="11" t="inlineStr">
        <is>
          <t xml:space="preserve"> Navis Freebird</t>
        </is>
      </c>
      <c r="H442" s="13" t="n">
        <v>185.8</v>
      </c>
      <c r="I442" s="11" t="inlineStr">
        <is>
          <t xml:space="preserve"> Unisex</t>
        </is>
      </c>
      <c r="J442" s="13" t="n">
        <v>185.8</v>
      </c>
      <c r="K442" s="13" t="n">
        <v>184.5</v>
      </c>
      <c r="L442" s="13" t="n">
        <v>143</v>
      </c>
      <c r="M442" s="13" t="n">
        <v>152</v>
      </c>
      <c r="N442" s="13" t="n">
        <v>139</v>
      </c>
      <c r="O442" s="13" t="n">
        <v>100</v>
      </c>
      <c r="P442" s="13" t="n">
        <v>120</v>
      </c>
      <c r="Q442" s="13" t="n">
        <v>19.1</v>
      </c>
      <c r="R442" s="13" t="n">
        <v>1800</v>
      </c>
      <c r="S442" s="13" t="n">
        <v>1.15</v>
      </c>
      <c r="T442" s="13" t="n">
        <v>2071</v>
      </c>
      <c r="U442" s="13" t="n">
        <v>239</v>
      </c>
      <c r="V442" s="13" t="n">
        <v>116</v>
      </c>
      <c r="W442" s="13" t="n">
        <v>41</v>
      </c>
      <c r="X442" s="13" t="n">
        <v>213</v>
      </c>
      <c r="Y442" s="13" t="n">
        <v>15</v>
      </c>
      <c r="Z442" s="13" t="n">
        <v>202</v>
      </c>
      <c r="AA442" s="13" t="n">
        <v>0.371</v>
      </c>
      <c r="AB442" s="13" t="n">
        <v>182</v>
      </c>
      <c r="AC442" s="13" t="n">
        <v>142</v>
      </c>
      <c r="AD442" s="13" t="n">
        <v>31</v>
      </c>
      <c r="AE442" s="13" t="n">
        <v>7</v>
      </c>
      <c r="AF442" s="13" t="n">
        <v>9.5</v>
      </c>
      <c r="AG442" s="11" t="inlineStr">
        <is>
          <t xml:space="preserve"> Resort Freeride</t>
        </is>
      </c>
      <c r="AH442" s="11" t="inlineStr">
        <is>
          <t xml:space="preserve"> Powder</t>
        </is>
      </c>
      <c r="AI442" s="11" t="inlineStr">
        <is>
          <t xml:space="preserve"> Big Mountain</t>
        </is>
      </c>
      <c r="AJ442" s="11" t="inlineStr">
        <is>
          <t xml:space="preserve"> Touring</t>
        </is>
      </c>
      <c r="AK442" s="42" t="n"/>
    </row>
    <row r="443">
      <c r="E443" s="40" t="inlineStr">
        <is>
          <t>21/22</t>
        </is>
      </c>
      <c r="F443" s="10" t="inlineStr">
        <is>
          <t xml:space="preserve"> Black Crows</t>
        </is>
      </c>
      <c r="G443" s="11" t="inlineStr">
        <is>
          <t xml:space="preserve"> Nocta</t>
        </is>
      </c>
      <c r="H443" s="13" t="n">
        <v>190.6</v>
      </c>
      <c r="I443" s="11" t="inlineStr">
        <is>
          <t xml:space="preserve"> Unisex</t>
        </is>
      </c>
      <c r="J443" s="13" t="n">
        <v>190.6</v>
      </c>
      <c r="K443" s="13" t="n">
        <v>191</v>
      </c>
      <c r="L443" s="13" t="n">
        <v>0</v>
      </c>
      <c r="M443" s="13" t="n">
        <v>142</v>
      </c>
      <c r="N443" s="13" t="n">
        <v>140</v>
      </c>
      <c r="O443" s="13" t="n">
        <v>121</v>
      </c>
      <c r="P443" s="13" t="n">
        <v>133</v>
      </c>
      <c r="Q443" s="13" t="n">
        <v>27.5</v>
      </c>
      <c r="R443" s="13" t="n">
        <v>2228</v>
      </c>
      <c r="S443" s="13" t="n">
        <v>1.09</v>
      </c>
      <c r="T443" s="13" t="n">
        <v>2427</v>
      </c>
      <c r="U443" s="13" t="n">
        <v>235</v>
      </c>
      <c r="V443" s="13" t="n">
        <v>103</v>
      </c>
      <c r="W443" s="13" t="n">
        <v>54</v>
      </c>
      <c r="X443" s="13" t="n">
        <v>1010</v>
      </c>
      <c r="Y443" s="13" t="n">
        <v>51</v>
      </c>
      <c r="Z443" s="13" t="n">
        <v>900</v>
      </c>
      <c r="AA443" s="13" t="n">
        <v>0.9370000000000001</v>
      </c>
      <c r="AB443" s="13" t="n">
        <v>255</v>
      </c>
      <c r="AC443" s="13" t="n">
        <v>232</v>
      </c>
      <c r="AD443" s="13" t="n">
        <v>755</v>
      </c>
      <c r="AE443" s="13" t="n">
        <v>-4</v>
      </c>
      <c r="AF443" s="13" t="n">
        <v>5.5</v>
      </c>
      <c r="AG443" s="11" t="inlineStr">
        <is>
          <t xml:space="preserve"> Freeski</t>
        </is>
      </c>
      <c r="AH443" s="11" t="inlineStr">
        <is>
          <t xml:space="preserve"> Powder</t>
        </is>
      </c>
      <c r="AI443" s="11" t="inlineStr">
        <is>
          <t xml:space="preserve"> Touring</t>
        </is>
      </c>
      <c r="AJ443" s="13" t="n"/>
      <c r="AK443" s="42" t="n"/>
    </row>
    <row r="444">
      <c r="E444" s="40" t="inlineStr">
        <is>
          <t>21/22</t>
        </is>
      </c>
      <c r="F444" s="10" t="inlineStr">
        <is>
          <t xml:space="preserve"> Black Crows</t>
        </is>
      </c>
      <c r="G444" s="11" t="inlineStr">
        <is>
          <t xml:space="preserve"> Orb</t>
        </is>
      </c>
      <c r="H444" s="13" t="n">
        <v>169.2</v>
      </c>
      <c r="I444" s="11" t="inlineStr">
        <is>
          <t xml:space="preserve"> Unisex</t>
        </is>
      </c>
      <c r="J444" s="13" t="n">
        <v>169.2</v>
      </c>
      <c r="K444" s="13" t="n">
        <v>168.8</v>
      </c>
      <c r="L444" s="13" t="n">
        <v>104</v>
      </c>
      <c r="M444" s="13" t="n">
        <v>151</v>
      </c>
      <c r="N444" s="13" t="n">
        <v>122</v>
      </c>
      <c r="O444" s="13" t="n">
        <v>87</v>
      </c>
      <c r="P444" s="13" t="n">
        <v>106</v>
      </c>
      <c r="Q444" s="13" t="n">
        <v>21.1</v>
      </c>
      <c r="R444" s="13" t="n">
        <v>1615</v>
      </c>
      <c r="S444" s="13" t="n">
        <v>1.02</v>
      </c>
      <c r="T444" s="13" t="n">
        <v>1640</v>
      </c>
      <c r="U444" s="13" t="n">
        <v>190</v>
      </c>
      <c r="V444" s="13" t="n">
        <v>109</v>
      </c>
      <c r="W444" s="13" t="n">
        <v>43</v>
      </c>
      <c r="X444" s="13" t="n">
        <v>396</v>
      </c>
      <c r="Y444" s="13" t="n">
        <v>19</v>
      </c>
      <c r="Z444" s="13" t="n">
        <v>251</v>
      </c>
      <c r="AA444" s="13" t="n">
        <v>0.45</v>
      </c>
      <c r="AB444" s="13" t="n">
        <v>97</v>
      </c>
      <c r="AC444" s="13" t="n">
        <v>78</v>
      </c>
      <c r="AD444" s="13" t="n">
        <v>299</v>
      </c>
      <c r="AE444" s="13" t="n">
        <v>4</v>
      </c>
      <c r="AF444" s="13" t="n">
        <v>9.9</v>
      </c>
      <c r="AG444" s="11" t="inlineStr">
        <is>
          <t xml:space="preserve"> Resort Freeride</t>
        </is>
      </c>
      <c r="AH444" s="13" t="n"/>
      <c r="AI444" s="13" t="n"/>
      <c r="AJ444" s="13" t="n"/>
      <c r="AK444" s="42" t="n"/>
    </row>
    <row r="445">
      <c r="E445" s="40" t="inlineStr">
        <is>
          <t>21/22</t>
        </is>
      </c>
      <c r="F445" s="10" t="inlineStr">
        <is>
          <t xml:space="preserve"> Black Crows</t>
        </is>
      </c>
      <c r="G445" s="11" t="inlineStr">
        <is>
          <t xml:space="preserve"> Orb</t>
        </is>
      </c>
      <c r="H445" s="13" t="n">
        <v>179.1</v>
      </c>
      <c r="I445" s="11" t="inlineStr">
        <is>
          <t xml:space="preserve"> Unisex</t>
        </is>
      </c>
      <c r="J445" s="13" t="n">
        <v>179.1</v>
      </c>
      <c r="K445" s="13" t="n">
        <v>178.6</v>
      </c>
      <c r="L445" s="13" t="n">
        <v>139</v>
      </c>
      <c r="M445" s="13" t="n">
        <v>159</v>
      </c>
      <c r="N445" s="13" t="n">
        <v>123</v>
      </c>
      <c r="O445" s="13" t="n">
        <v>87</v>
      </c>
      <c r="P445" s="13" t="n">
        <v>108</v>
      </c>
      <c r="Q445" s="13" t="n">
        <v>21.7</v>
      </c>
      <c r="R445" s="13" t="n">
        <v>1801</v>
      </c>
      <c r="S445" s="13" t="n">
        <v>0.97</v>
      </c>
      <c r="T445" s="13" t="n">
        <v>1747</v>
      </c>
      <c r="U445" s="13" t="n">
        <v>209</v>
      </c>
      <c r="V445" s="13" t="n">
        <v>119</v>
      </c>
      <c r="W445" s="13" t="n">
        <v>44</v>
      </c>
      <c r="X445" s="13" t="n">
        <v>233</v>
      </c>
      <c r="Y445" s="13" t="n">
        <v>16</v>
      </c>
      <c r="Z445" s="13" t="n">
        <v>167</v>
      </c>
      <c r="AA445" s="13" t="n">
        <v>0.364</v>
      </c>
      <c r="AB445" s="13" t="n">
        <v>111</v>
      </c>
      <c r="AC445" s="13" t="n">
        <v>90</v>
      </c>
      <c r="AD445" s="13" t="n">
        <v>122</v>
      </c>
      <c r="AE445" s="13" t="n">
        <v>5</v>
      </c>
      <c r="AF445" s="13" t="n">
        <v>9.699999999999999</v>
      </c>
      <c r="AG445" s="11" t="inlineStr">
        <is>
          <t xml:space="preserve"> Resort Freeride</t>
        </is>
      </c>
      <c r="AH445" s="13" t="n"/>
      <c r="AI445" s="13" t="n"/>
      <c r="AJ445" s="13" t="n"/>
      <c r="AK445" s="42" t="n"/>
    </row>
    <row r="446">
      <c r="E446" s="40" t="inlineStr">
        <is>
          <t>21/22</t>
        </is>
      </c>
      <c r="F446" s="10" t="inlineStr">
        <is>
          <t xml:space="preserve"> Black Crows</t>
        </is>
      </c>
      <c r="G446" s="11" t="inlineStr">
        <is>
          <t xml:space="preserve"> Orb Freebird</t>
        </is>
      </c>
      <c r="H446" s="13" t="n">
        <v>167.2</v>
      </c>
      <c r="I446" s="11" t="inlineStr">
        <is>
          <t xml:space="preserve"> Unisex</t>
        </is>
      </c>
      <c r="J446" s="13" t="n">
        <v>167.2</v>
      </c>
      <c r="K446" s="13" t="n">
        <v>166.1</v>
      </c>
      <c r="L446" s="13" t="n">
        <v>127</v>
      </c>
      <c r="M446" s="13" t="n">
        <v>146</v>
      </c>
      <c r="N446" s="13" t="n">
        <v>124</v>
      </c>
      <c r="O446" s="13" t="n">
        <v>88</v>
      </c>
      <c r="P446" s="13" t="n">
        <v>110</v>
      </c>
      <c r="Q446" s="13" t="n">
        <v>17.5</v>
      </c>
      <c r="R446" s="13" t="n">
        <v>1306</v>
      </c>
      <c r="S446" s="13" t="n">
        <v>1.27</v>
      </c>
      <c r="T446" s="13" t="n">
        <v>1656</v>
      </c>
      <c r="U446" s="13" t="n">
        <v>144</v>
      </c>
      <c r="V446" s="13" t="n">
        <v>71</v>
      </c>
      <c r="W446" s="13" t="n">
        <v>40</v>
      </c>
      <c r="X446" s="13" t="n">
        <v>245</v>
      </c>
      <c r="Y446" s="13" t="n">
        <v>10</v>
      </c>
      <c r="Z446" s="13" t="n">
        <v>142</v>
      </c>
      <c r="AA446" s="13" t="n">
        <v>0.251</v>
      </c>
      <c r="AB446" s="13" t="n">
        <v>96</v>
      </c>
      <c r="AC446" s="13" t="n">
        <v>103</v>
      </c>
      <c r="AD446" s="13" t="n">
        <v>148</v>
      </c>
      <c r="AE446" s="13" t="n">
        <v>7</v>
      </c>
      <c r="AF446" s="13" t="n">
        <v>10.3</v>
      </c>
      <c r="AG446" s="11" t="inlineStr">
        <is>
          <t xml:space="preserve"> Resort Freeride</t>
        </is>
      </c>
      <c r="AH446" s="11" t="inlineStr">
        <is>
          <t xml:space="preserve"> Touring</t>
        </is>
      </c>
      <c r="AI446" s="11" t="inlineStr">
        <is>
          <t xml:space="preserve"> Ultralight Touring</t>
        </is>
      </c>
      <c r="AJ446" s="13" t="n"/>
      <c r="AK446" s="42" t="n"/>
    </row>
    <row r="447">
      <c r="E447" s="40" t="inlineStr">
        <is>
          <t>21/22</t>
        </is>
      </c>
      <c r="F447" s="10" t="inlineStr">
        <is>
          <t xml:space="preserve"> Black Crows</t>
        </is>
      </c>
      <c r="G447" s="11" t="inlineStr">
        <is>
          <t xml:space="preserve"> Orb Freebird</t>
        </is>
      </c>
      <c r="H447" s="13" t="n">
        <v>173.1</v>
      </c>
      <c r="I447" s="11" t="inlineStr">
        <is>
          <t xml:space="preserve"> Unisex</t>
        </is>
      </c>
      <c r="J447" s="13" t="n">
        <v>173.1</v>
      </c>
      <c r="K447" s="13" t="n">
        <v>172.3</v>
      </c>
      <c r="L447" s="13" t="n">
        <v>132</v>
      </c>
      <c r="M447" s="13" t="n">
        <v>149</v>
      </c>
      <c r="N447" s="13" t="n">
        <v>126</v>
      </c>
      <c r="O447" s="13" t="n">
        <v>88</v>
      </c>
      <c r="P447" s="13" t="n">
        <v>110</v>
      </c>
      <c r="Q447" s="13" t="n">
        <v>17.6</v>
      </c>
      <c r="R447" s="13" t="n">
        <v>1417</v>
      </c>
      <c r="S447" s="13" t="n">
        <v>1.22</v>
      </c>
      <c r="T447" s="13" t="n">
        <v>1722</v>
      </c>
      <c r="U447" s="13" t="n">
        <v>164</v>
      </c>
      <c r="V447" s="13" t="n">
        <v>72</v>
      </c>
      <c r="W447" s="13" t="n">
        <v>41</v>
      </c>
      <c r="X447" s="13" t="n">
        <v>254</v>
      </c>
      <c r="Y447" s="13" t="n">
        <v>11</v>
      </c>
      <c r="Z447" s="13" t="n">
        <v>152</v>
      </c>
      <c r="AA447" s="13" t="n">
        <v>0.278</v>
      </c>
      <c r="AB447" s="13" t="n">
        <v>113</v>
      </c>
      <c r="AC447" s="13" t="n">
        <v>121</v>
      </c>
      <c r="AD447" s="13" t="n">
        <v>141</v>
      </c>
      <c r="AE447" s="13" t="n">
        <v>6</v>
      </c>
      <c r="AF447" s="13" t="n">
        <v>10.8</v>
      </c>
      <c r="AG447" s="11" t="inlineStr">
        <is>
          <t xml:space="preserve"> Resort Freeride</t>
        </is>
      </c>
      <c r="AH447" s="11" t="inlineStr">
        <is>
          <t xml:space="preserve"> Touring</t>
        </is>
      </c>
      <c r="AI447" s="13" t="n"/>
      <c r="AJ447" s="13" t="n"/>
      <c r="AK447" s="42" t="n"/>
    </row>
    <row r="448">
      <c r="E448" s="40" t="inlineStr">
        <is>
          <t>21/22</t>
        </is>
      </c>
      <c r="F448" s="10" t="inlineStr">
        <is>
          <t xml:space="preserve"> Black Crows</t>
        </is>
      </c>
      <c r="G448" s="11" t="inlineStr">
        <is>
          <t xml:space="preserve"> Orb Freebird</t>
        </is>
      </c>
      <c r="H448" s="13" t="n">
        <v>179.3</v>
      </c>
      <c r="I448" s="11" t="inlineStr">
        <is>
          <t xml:space="preserve"> Unisex</t>
        </is>
      </c>
      <c r="J448" s="13" t="n">
        <v>179.3</v>
      </c>
      <c r="K448" s="13" t="n">
        <v>178.4</v>
      </c>
      <c r="L448" s="13" t="n">
        <v>139</v>
      </c>
      <c r="M448" s="13" t="n">
        <v>150</v>
      </c>
      <c r="N448" s="13" t="n">
        <v>127</v>
      </c>
      <c r="O448" s="13" t="n">
        <v>88</v>
      </c>
      <c r="P448" s="13" t="n">
        <v>111</v>
      </c>
      <c r="Q448" s="13" t="n">
        <v>17.6</v>
      </c>
      <c r="R448" s="13" t="n">
        <v>1450</v>
      </c>
      <c r="S448" s="13" t="n">
        <v>1.24</v>
      </c>
      <c r="T448" s="13" t="n">
        <v>1793</v>
      </c>
      <c r="U448" s="13" t="n">
        <v>189</v>
      </c>
      <c r="V448" s="13" t="n">
        <v>89</v>
      </c>
      <c r="W448" s="13" t="n">
        <v>39</v>
      </c>
      <c r="X448" s="13" t="n">
        <v>254</v>
      </c>
      <c r="Y448" s="13" t="n">
        <v>11</v>
      </c>
      <c r="Z448" s="13" t="n">
        <v>143</v>
      </c>
      <c r="AA448" s="13" t="n">
        <v>0.27</v>
      </c>
      <c r="AB448" s="13" t="n">
        <v>139</v>
      </c>
      <c r="AC448" s="13" t="n">
        <v>142</v>
      </c>
      <c r="AD448" s="13" t="n">
        <v>115</v>
      </c>
      <c r="AE448" s="13" t="n">
        <v>7</v>
      </c>
      <c r="AF448" s="13" t="n">
        <v>10.4</v>
      </c>
      <c r="AG448" s="11" t="inlineStr">
        <is>
          <t xml:space="preserve"> Resort Freeride</t>
        </is>
      </c>
      <c r="AH448" s="11" t="inlineStr">
        <is>
          <t xml:space="preserve"> Touring</t>
        </is>
      </c>
      <c r="AI448" s="13" t="n"/>
      <c r="AJ448" s="13" t="n"/>
      <c r="AK448" s="42" t="n"/>
    </row>
    <row r="449">
      <c r="E449" s="40" t="inlineStr">
        <is>
          <t>21/22</t>
        </is>
      </c>
      <c r="F449" s="10" t="inlineStr">
        <is>
          <t xml:space="preserve"> Black Crows</t>
        </is>
      </c>
      <c r="G449" s="11" t="inlineStr">
        <is>
          <t xml:space="preserve"> Serpo</t>
        </is>
      </c>
      <c r="H449" s="13" t="n">
        <v>168.2</v>
      </c>
      <c r="I449" s="11" t="inlineStr">
        <is>
          <t xml:space="preserve"> Unisex</t>
        </is>
      </c>
      <c r="J449" s="13" t="n">
        <v>168.2</v>
      </c>
      <c r="K449" s="13" t="n">
        <v>167.8</v>
      </c>
      <c r="L449" s="13" t="n">
        <v>112</v>
      </c>
      <c r="M449" s="13" t="n">
        <v>149</v>
      </c>
      <c r="N449" s="13" t="n">
        <v>128</v>
      </c>
      <c r="O449" s="13" t="n">
        <v>92</v>
      </c>
      <c r="P449" s="13" t="n">
        <v>111</v>
      </c>
      <c r="Q449" s="13" t="n">
        <v>19.7</v>
      </c>
      <c r="R449" s="13" t="n">
        <v>1721</v>
      </c>
      <c r="S449" s="13" t="n">
        <v>1</v>
      </c>
      <c r="T449" s="13" t="n">
        <v>1713</v>
      </c>
      <c r="U449" s="13" t="n">
        <v>167</v>
      </c>
      <c r="V449" s="13" t="n">
        <v>89</v>
      </c>
      <c r="W449" s="13" t="n">
        <v>46</v>
      </c>
      <c r="X449" s="13" t="n">
        <v>309</v>
      </c>
      <c r="Y449" s="13" t="n">
        <v>13</v>
      </c>
      <c r="Z449" s="13" t="n">
        <v>246</v>
      </c>
      <c r="AA449" s="13" t="n">
        <v>0.28</v>
      </c>
      <c r="AB449" s="13" t="n">
        <v>100</v>
      </c>
      <c r="AC449" s="13" t="n">
        <v>89</v>
      </c>
      <c r="AD449" s="13" t="n">
        <v>209</v>
      </c>
      <c r="AE449" s="13" t="n">
        <v>4</v>
      </c>
      <c r="AF449" s="13" t="n">
        <v>7.9</v>
      </c>
      <c r="AG449" s="11" t="inlineStr">
        <is>
          <t xml:space="preserve"> Resort Freeride</t>
        </is>
      </c>
      <c r="AH449" s="13" t="n"/>
      <c r="AI449" s="13" t="n"/>
      <c r="AJ449" s="13" t="n"/>
      <c r="AK449" s="42" t="n"/>
    </row>
    <row r="450">
      <c r="E450" s="40" t="inlineStr">
        <is>
          <t>21/22</t>
        </is>
      </c>
      <c r="F450" s="10" t="inlineStr">
        <is>
          <t xml:space="preserve"> Black Crows</t>
        </is>
      </c>
      <c r="G450" s="11" t="inlineStr">
        <is>
          <t xml:space="preserve"> Serpo</t>
        </is>
      </c>
      <c r="H450" s="13" t="n">
        <v>174.1</v>
      </c>
      <c r="I450" s="11" t="inlineStr">
        <is>
          <t xml:space="preserve"> Unisex</t>
        </is>
      </c>
      <c r="J450" s="13" t="n">
        <v>174.1</v>
      </c>
      <c r="K450" s="13" t="n">
        <v>173.5</v>
      </c>
      <c r="L450" s="13" t="n">
        <v>117</v>
      </c>
      <c r="M450" s="13" t="n">
        <v>153</v>
      </c>
      <c r="N450" s="13" t="n">
        <v>129</v>
      </c>
      <c r="O450" s="13" t="n">
        <v>92</v>
      </c>
      <c r="P450" s="13" t="n">
        <v>112</v>
      </c>
      <c r="Q450" s="13" t="n">
        <v>19.8</v>
      </c>
      <c r="R450" s="13" t="n">
        <v>1752</v>
      </c>
      <c r="S450" s="13" t="n">
        <v>1.02</v>
      </c>
      <c r="T450" s="13" t="n">
        <v>1784</v>
      </c>
      <c r="U450" s="13" t="n">
        <v>185</v>
      </c>
      <c r="V450" s="13" t="n">
        <v>80</v>
      </c>
      <c r="W450" s="13" t="n">
        <v>42</v>
      </c>
      <c r="X450" s="13" t="n">
        <v>292</v>
      </c>
      <c r="Y450" s="13" t="n">
        <v>14</v>
      </c>
      <c r="Z450" s="13" t="n">
        <v>276</v>
      </c>
      <c r="AA450" s="13" t="n">
        <v>0.324</v>
      </c>
      <c r="AB450" s="13" t="n">
        <v>107</v>
      </c>
      <c r="AC450" s="13" t="n">
        <v>95</v>
      </c>
      <c r="AD450" s="13" t="n">
        <v>185</v>
      </c>
      <c r="AE450" s="13" t="n">
        <v>3</v>
      </c>
      <c r="AF450" s="13" t="n">
        <v>8.5</v>
      </c>
      <c r="AG450" s="11" t="inlineStr">
        <is>
          <t xml:space="preserve"> Resort Freeride</t>
        </is>
      </c>
      <c r="AH450" s="13" t="n"/>
      <c r="AI450" s="13" t="n"/>
      <c r="AJ450" s="13" t="n"/>
      <c r="AK450" s="42" t="n"/>
    </row>
    <row r="451">
      <c r="E451" s="40" t="inlineStr">
        <is>
          <t>21/22</t>
        </is>
      </c>
      <c r="F451" s="10" t="inlineStr">
        <is>
          <t xml:space="preserve"> Black Crows</t>
        </is>
      </c>
      <c r="G451" s="11" t="inlineStr">
        <is>
          <t xml:space="preserve"> Serpo</t>
        </is>
      </c>
      <c r="H451" s="13" t="n">
        <v>180.1</v>
      </c>
      <c r="I451" s="11" t="inlineStr">
        <is>
          <t xml:space="preserve"> Unisex</t>
        </is>
      </c>
      <c r="J451" s="13" t="n">
        <v>180.1</v>
      </c>
      <c r="K451" s="13" t="n">
        <v>179.2</v>
      </c>
      <c r="L451" s="13" t="n">
        <v>123</v>
      </c>
      <c r="M451" s="13" t="n">
        <v>157</v>
      </c>
      <c r="N451" s="13" t="n">
        <v>131</v>
      </c>
      <c r="O451" s="13" t="n">
        <v>92</v>
      </c>
      <c r="P451" s="13" t="n">
        <v>114</v>
      </c>
      <c r="Q451" s="13" t="n">
        <v>19.4</v>
      </c>
      <c r="R451" s="13" t="n">
        <v>1828</v>
      </c>
      <c r="S451" s="13" t="n">
        <v>1.01</v>
      </c>
      <c r="T451" s="13" t="n">
        <v>1855</v>
      </c>
      <c r="U451" s="13" t="n">
        <v>221</v>
      </c>
      <c r="V451" s="13" t="n">
        <v>97</v>
      </c>
      <c r="W451" s="13" t="n">
        <v>54</v>
      </c>
      <c r="X451" s="13" t="n">
        <v>333</v>
      </c>
      <c r="Y451" s="13" t="n">
        <v>11</v>
      </c>
      <c r="Z451" s="13" t="n">
        <v>230</v>
      </c>
      <c r="AA451" s="13" t="n">
        <v>0.198</v>
      </c>
      <c r="AB451" s="13" t="n">
        <v>111</v>
      </c>
      <c r="AC451" s="13" t="n">
        <v>109</v>
      </c>
      <c r="AD451" s="13" t="n">
        <v>222</v>
      </c>
      <c r="AE451" s="13" t="n">
        <v>4</v>
      </c>
      <c r="AF451" s="13" t="n">
        <v>8.199999999999999</v>
      </c>
      <c r="AG451" s="11" t="inlineStr">
        <is>
          <t xml:space="preserve"> Resort Freeride</t>
        </is>
      </c>
      <c r="AH451" s="13" t="n"/>
      <c r="AI451" s="13" t="n"/>
      <c r="AJ451" s="13" t="n"/>
      <c r="AK451" s="42" t="n"/>
    </row>
    <row r="452">
      <c r="E452" s="40" t="inlineStr">
        <is>
          <t>21/22</t>
        </is>
      </c>
      <c r="F452" s="10" t="inlineStr">
        <is>
          <t xml:space="preserve"> Black Crows</t>
        </is>
      </c>
      <c r="G452" s="11" t="inlineStr">
        <is>
          <t xml:space="preserve"> Serpo</t>
        </is>
      </c>
      <c r="H452" s="13" t="n">
        <v>186.3</v>
      </c>
      <c r="I452" s="11" t="inlineStr">
        <is>
          <t xml:space="preserve"> Unisex</t>
        </is>
      </c>
      <c r="J452" s="13" t="n">
        <v>186.3</v>
      </c>
      <c r="K452" s="13" t="n">
        <v>185.8</v>
      </c>
      <c r="L452" s="13" t="n">
        <v>119</v>
      </c>
      <c r="M452" s="13" t="n">
        <v>162</v>
      </c>
      <c r="N452" s="13" t="n">
        <v>131</v>
      </c>
      <c r="O452" s="13" t="n">
        <v>91</v>
      </c>
      <c r="P452" s="13" t="n">
        <v>114</v>
      </c>
      <c r="Q452" s="13" t="n">
        <v>19.8</v>
      </c>
      <c r="R452" s="13" t="n">
        <v>1964</v>
      </c>
      <c r="S452" s="13" t="n">
        <v>0.98</v>
      </c>
      <c r="T452" s="13" t="n">
        <v>1927</v>
      </c>
      <c r="U452" s="13" t="n">
        <v>220</v>
      </c>
      <c r="V452" s="13" t="n">
        <v>113</v>
      </c>
      <c r="W452" s="13" t="n">
        <v>51</v>
      </c>
      <c r="X452" s="13" t="n">
        <v>362</v>
      </c>
      <c r="Y452" s="13" t="n">
        <v>15</v>
      </c>
      <c r="Z452" s="13" t="n">
        <v>310</v>
      </c>
      <c r="AA452" s="13" t="n">
        <v>0.296</v>
      </c>
      <c r="AB452" s="13" t="n">
        <v>121</v>
      </c>
      <c r="AC452" s="13" t="n">
        <v>115</v>
      </c>
      <c r="AD452" s="13" t="n">
        <v>241</v>
      </c>
      <c r="AE452" s="13" t="n">
        <v>2</v>
      </c>
      <c r="AF452" s="13" t="n">
        <v>8.1</v>
      </c>
      <c r="AG452" s="11" t="inlineStr">
        <is>
          <t xml:space="preserve"> Resort Freeride</t>
        </is>
      </c>
      <c r="AH452" s="13" t="n"/>
      <c r="AI452" s="13" t="n"/>
      <c r="AJ452" s="13" t="n"/>
      <c r="AK452" s="42" t="n"/>
    </row>
    <row r="453">
      <c r="E453" s="40" t="inlineStr">
        <is>
          <t>21/22</t>
        </is>
      </c>
      <c r="F453" s="10" t="inlineStr">
        <is>
          <t xml:space="preserve"> Black Diamond</t>
        </is>
      </c>
      <c r="G453" s="11" t="inlineStr">
        <is>
          <t>Impulse 104</t>
        </is>
      </c>
      <c r="H453" s="13" t="n">
        <v>165</v>
      </c>
      <c r="I453" s="11" t="inlineStr">
        <is>
          <t xml:space="preserve"> Unisex</t>
        </is>
      </c>
      <c r="J453" s="13" t="n">
        <v>165</v>
      </c>
      <c r="K453" s="13" t="n">
        <v>165.7</v>
      </c>
      <c r="L453" s="13" t="n">
        <v>120</v>
      </c>
      <c r="M453" s="13" t="n">
        <v>131</v>
      </c>
      <c r="N453" s="13" t="n">
        <v>134</v>
      </c>
      <c r="O453" s="13" t="n">
        <v>103</v>
      </c>
      <c r="P453" s="13" t="n">
        <v>122</v>
      </c>
      <c r="Q453" s="13" t="n">
        <v>15.9</v>
      </c>
      <c r="R453" s="13" t="n">
        <v>1780</v>
      </c>
      <c r="S453" s="13" t="n">
        <v>1.05</v>
      </c>
      <c r="T453" s="13" t="n">
        <v>1864</v>
      </c>
      <c r="U453" s="13" t="n">
        <v>185</v>
      </c>
      <c r="V453" s="13" t="n">
        <v>75</v>
      </c>
      <c r="W453" s="13" t="n">
        <v>39</v>
      </c>
      <c r="X453" s="13" t="n">
        <v>272</v>
      </c>
      <c r="Y453" s="13" t="n">
        <v>19</v>
      </c>
      <c r="Z453" s="13" t="n">
        <v>185</v>
      </c>
      <c r="AA453" s="13" t="n">
        <v>0.493</v>
      </c>
      <c r="AB453" s="13" t="n">
        <v>214</v>
      </c>
      <c r="AC453" s="13" t="n">
        <v>137</v>
      </c>
      <c r="AD453" s="13" t="n">
        <v>58</v>
      </c>
      <c r="AE453" s="13" t="n">
        <v>8</v>
      </c>
      <c r="AF453" s="13" t="n">
        <v>8.4</v>
      </c>
      <c r="AG453" s="11" t="inlineStr">
        <is>
          <t xml:space="preserve"> Resort Freeride</t>
        </is>
      </c>
      <c r="AH453" s="11" t="inlineStr">
        <is>
          <t xml:space="preserve"> Powder</t>
        </is>
      </c>
      <c r="AI453" s="13" t="n"/>
      <c r="AJ453" s="13" t="n"/>
      <c r="AK453" s="42" t="n"/>
    </row>
    <row r="454">
      <c r="E454" s="40" t="inlineStr">
        <is>
          <t>21/22</t>
        </is>
      </c>
      <c r="F454" s="10" t="inlineStr">
        <is>
          <t xml:space="preserve"> Black Diamond</t>
        </is>
      </c>
      <c r="G454" s="11" t="inlineStr">
        <is>
          <t>Impulse 104</t>
        </is>
      </c>
      <c r="H454" s="13" t="n">
        <v>172</v>
      </c>
      <c r="I454" s="11" t="inlineStr">
        <is>
          <t xml:space="preserve"> Unisex</t>
        </is>
      </c>
      <c r="J454" s="13" t="n">
        <v>172</v>
      </c>
      <c r="K454" s="13" t="n">
        <v>172.7</v>
      </c>
      <c r="L454" s="13" t="n">
        <v>124</v>
      </c>
      <c r="M454" s="13" t="n">
        <v>135</v>
      </c>
      <c r="N454" s="13" t="n">
        <v>134</v>
      </c>
      <c r="O454" s="13" t="n">
        <v>103</v>
      </c>
      <c r="P454" s="13" t="n">
        <v>122</v>
      </c>
      <c r="Q454" s="13" t="n">
        <v>17</v>
      </c>
      <c r="R454" s="13" t="n">
        <v>1822</v>
      </c>
      <c r="S454" s="13" t="n">
        <v>1.07</v>
      </c>
      <c r="T454" s="13" t="n">
        <v>1948</v>
      </c>
      <c r="U454" s="13" t="n">
        <v>186</v>
      </c>
      <c r="V454" s="13" t="n">
        <v>82</v>
      </c>
      <c r="W454" s="13" t="n">
        <v>40</v>
      </c>
      <c r="X454" s="13" t="n">
        <v>282</v>
      </c>
      <c r="Y454" s="13" t="n">
        <v>22</v>
      </c>
      <c r="Z454" s="13" t="n">
        <v>205</v>
      </c>
      <c r="AA454" s="13" t="n">
        <v>0.554</v>
      </c>
      <c r="AB454" s="13" t="n">
        <v>232</v>
      </c>
      <c r="AC454" s="13" t="n">
        <v>147</v>
      </c>
      <c r="AD454" s="13" t="n">
        <v>50</v>
      </c>
      <c r="AE454" s="13" t="n">
        <v>7</v>
      </c>
      <c r="AF454" s="13" t="n">
        <v>8.9</v>
      </c>
      <c r="AG454" s="11" t="inlineStr">
        <is>
          <t xml:space="preserve"> Resort Freeride</t>
        </is>
      </c>
      <c r="AH454" s="11" t="inlineStr">
        <is>
          <t xml:space="preserve"> Powder</t>
        </is>
      </c>
      <c r="AI454" s="11" t="inlineStr">
        <is>
          <t xml:space="preserve"> Touring</t>
        </is>
      </c>
      <c r="AJ454" s="13" t="n"/>
      <c r="AK454" s="42" t="n"/>
    </row>
    <row r="455">
      <c r="E455" s="40" t="inlineStr">
        <is>
          <t>21/22</t>
        </is>
      </c>
      <c r="F455" s="10" t="inlineStr">
        <is>
          <t xml:space="preserve"> Black Diamond</t>
        </is>
      </c>
      <c r="G455" s="11" t="inlineStr">
        <is>
          <t>Impulse 104</t>
        </is>
      </c>
      <c r="H455" s="13" t="n">
        <v>179</v>
      </c>
      <c r="I455" s="11" t="inlineStr">
        <is>
          <t xml:space="preserve"> Unisex</t>
        </is>
      </c>
      <c r="J455" s="13" t="n">
        <v>179</v>
      </c>
      <c r="K455" s="13" t="n">
        <v>179.6</v>
      </c>
      <c r="L455" s="13" t="n">
        <v>129</v>
      </c>
      <c r="M455" s="13" t="n">
        <v>141</v>
      </c>
      <c r="N455" s="13" t="n">
        <v>135</v>
      </c>
      <c r="O455" s="13" t="n">
        <v>103</v>
      </c>
      <c r="P455" s="13" t="n">
        <v>122</v>
      </c>
      <c r="Q455" s="13" t="n">
        <v>18.1</v>
      </c>
      <c r="R455" s="13" t="n">
        <v>1929</v>
      </c>
      <c r="S455" s="13" t="n">
        <v>1.05</v>
      </c>
      <c r="T455" s="13" t="n">
        <v>2028</v>
      </c>
      <c r="U455" s="13" t="n">
        <v>201</v>
      </c>
      <c r="V455" s="13" t="n">
        <v>80</v>
      </c>
      <c r="W455" s="13" t="n">
        <v>46</v>
      </c>
      <c r="X455" s="13" t="n">
        <v>293</v>
      </c>
      <c r="Y455" s="13" t="n">
        <v>24</v>
      </c>
      <c r="Z455" s="13" t="n">
        <v>212</v>
      </c>
      <c r="AA455" s="13" t="n">
        <v>0.519</v>
      </c>
      <c r="AB455" s="13" t="n">
        <v>233</v>
      </c>
      <c r="AC455" s="13" t="n">
        <v>151</v>
      </c>
      <c r="AD455" s="13" t="n">
        <v>60</v>
      </c>
      <c r="AE455" s="13" t="n">
        <v>8</v>
      </c>
      <c r="AF455" s="13" t="n">
        <v>9.199999999999999</v>
      </c>
      <c r="AG455" s="11" t="inlineStr">
        <is>
          <t xml:space="preserve"> Resort Freeride</t>
        </is>
      </c>
      <c r="AH455" s="11" t="inlineStr">
        <is>
          <t xml:space="preserve"> Powder</t>
        </is>
      </c>
      <c r="AI455" s="11" t="inlineStr">
        <is>
          <t xml:space="preserve"> Touring</t>
        </is>
      </c>
      <c r="AJ455" s="13" t="n"/>
      <c r="AK455" s="42" t="n"/>
    </row>
    <row r="456">
      <c r="E456" s="40" t="inlineStr">
        <is>
          <t>21/22</t>
        </is>
      </c>
      <c r="F456" s="10" t="inlineStr">
        <is>
          <t xml:space="preserve"> Black Diamond</t>
        </is>
      </c>
      <c r="G456" s="11" t="inlineStr">
        <is>
          <t>Impulse 104</t>
        </is>
      </c>
      <c r="H456" s="13" t="n">
        <v>186</v>
      </c>
      <c r="I456" s="11" t="inlineStr">
        <is>
          <t xml:space="preserve"> Unisex</t>
        </is>
      </c>
      <c r="J456" s="13" t="n">
        <v>186</v>
      </c>
      <c r="K456" s="13" t="n">
        <v>186.6</v>
      </c>
      <c r="L456" s="13" t="n">
        <v>136</v>
      </c>
      <c r="M456" s="13" t="n">
        <v>147</v>
      </c>
      <c r="N456" s="13" t="n">
        <v>136</v>
      </c>
      <c r="O456" s="13" t="n">
        <v>103</v>
      </c>
      <c r="P456" s="13" t="n">
        <v>123</v>
      </c>
      <c r="Q456" s="13" t="n">
        <v>19</v>
      </c>
      <c r="R456" s="13" t="n">
        <v>2084</v>
      </c>
      <c r="S456" s="13" t="n">
        <v>1.02</v>
      </c>
      <c r="T456" s="13" t="n">
        <v>2118</v>
      </c>
      <c r="U456" s="13" t="n">
        <v>225</v>
      </c>
      <c r="V456" s="13" t="n">
        <v>95</v>
      </c>
      <c r="W456" s="13" t="n">
        <v>46</v>
      </c>
      <c r="X456" s="13" t="n">
        <v>300</v>
      </c>
      <c r="Y456" s="13" t="n">
        <v>22</v>
      </c>
      <c r="Z456" s="13" t="n">
        <v>207</v>
      </c>
      <c r="AA456" s="13" t="n">
        <v>0.491</v>
      </c>
      <c r="AB456" s="13" t="n">
        <v>240</v>
      </c>
      <c r="AC456" s="13" t="n">
        <v>160</v>
      </c>
      <c r="AD456" s="13" t="n">
        <v>60</v>
      </c>
      <c r="AE456" s="13" t="n">
        <v>9</v>
      </c>
      <c r="AF456" s="13" t="n">
        <v>9.199999999999999</v>
      </c>
      <c r="AG456" s="11" t="inlineStr">
        <is>
          <t xml:space="preserve"> Resort Freeride</t>
        </is>
      </c>
      <c r="AH456" s="11" t="inlineStr">
        <is>
          <t xml:space="preserve"> Powder</t>
        </is>
      </c>
      <c r="AI456" s="13" t="n"/>
      <c r="AJ456" s="13" t="n"/>
      <c r="AK456" s="42" t="n"/>
    </row>
    <row r="457">
      <c r="E457" s="40" t="inlineStr">
        <is>
          <t>21/22</t>
        </is>
      </c>
      <c r="F457" s="10" t="inlineStr">
        <is>
          <t xml:space="preserve"> Black Diamond</t>
        </is>
      </c>
      <c r="G457" s="11" t="inlineStr">
        <is>
          <t>Impulse 98</t>
        </is>
      </c>
      <c r="H457" s="13" t="n">
        <v>161</v>
      </c>
      <c r="I457" s="11" t="inlineStr">
        <is>
          <t xml:space="preserve"> Unisex</t>
        </is>
      </c>
      <c r="J457" s="13" t="n">
        <v>161</v>
      </c>
      <c r="K457" s="13" t="n">
        <v>161.6</v>
      </c>
      <c r="L457" s="13" t="n">
        <v>118</v>
      </c>
      <c r="M457" s="13" t="n">
        <v>132</v>
      </c>
      <c r="N457" s="13" t="n">
        <v>129</v>
      </c>
      <c r="O457" s="13" t="n">
        <v>97</v>
      </c>
      <c r="P457" s="13" t="n">
        <v>117</v>
      </c>
      <c r="Q457" s="13" t="n">
        <v>14.9</v>
      </c>
      <c r="R457" s="13" t="n">
        <v>1702</v>
      </c>
      <c r="S457" s="13" t="n">
        <v>1.02</v>
      </c>
      <c r="T457" s="13" t="n">
        <v>1732</v>
      </c>
      <c r="U457" s="13" t="n">
        <v>179</v>
      </c>
      <c r="V457" s="13" t="n">
        <v>76</v>
      </c>
      <c r="W457" s="13" t="n">
        <v>35</v>
      </c>
      <c r="X457" s="13" t="n">
        <v>253</v>
      </c>
      <c r="Y457" s="13" t="n">
        <v>19</v>
      </c>
      <c r="Z457" s="13" t="n">
        <v>186</v>
      </c>
      <c r="AA457" s="13" t="n">
        <v>0.556</v>
      </c>
      <c r="AB457" s="13" t="n">
        <v>183</v>
      </c>
      <c r="AC457" s="13" t="n">
        <v>118</v>
      </c>
      <c r="AD457" s="13" t="n">
        <v>71</v>
      </c>
      <c r="AE457" s="13" t="n">
        <v>9</v>
      </c>
      <c r="AF457" s="13" t="n">
        <v>8.199999999999999</v>
      </c>
      <c r="AG457" s="11" t="inlineStr">
        <is>
          <t xml:space="preserve"> Resort Freeride</t>
        </is>
      </c>
      <c r="AH457" s="13" t="n"/>
      <c r="AI457" s="13" t="n"/>
      <c r="AJ457" s="13" t="n"/>
      <c r="AK457" s="42" t="n"/>
    </row>
    <row r="458">
      <c r="E458" s="40" t="inlineStr">
        <is>
          <t>21/22</t>
        </is>
      </c>
      <c r="F458" s="10" t="inlineStr">
        <is>
          <t xml:space="preserve"> Black Diamond</t>
        </is>
      </c>
      <c r="G458" s="11" t="inlineStr">
        <is>
          <t>Impulse 98</t>
        </is>
      </c>
      <c r="H458" s="13" t="n">
        <v>175</v>
      </c>
      <c r="I458" s="11" t="inlineStr">
        <is>
          <t xml:space="preserve"> Unisex</t>
        </is>
      </c>
      <c r="J458" s="13" t="n">
        <v>175</v>
      </c>
      <c r="K458" s="13" t="n">
        <v>175.7</v>
      </c>
      <c r="L458" s="13" t="n">
        <v>128</v>
      </c>
      <c r="M458" s="13" t="n">
        <v>141</v>
      </c>
      <c r="N458" s="13" t="n">
        <v>130</v>
      </c>
      <c r="O458" s="13" t="n">
        <v>97</v>
      </c>
      <c r="P458" s="13" t="n">
        <v>118</v>
      </c>
      <c r="Q458" s="13" t="n">
        <v>16.8</v>
      </c>
      <c r="R458" s="13" t="n">
        <v>1856</v>
      </c>
      <c r="S458" s="13" t="n">
        <v>1.02</v>
      </c>
      <c r="T458" s="13" t="n">
        <v>1896</v>
      </c>
      <c r="U458" s="13" t="n">
        <v>212</v>
      </c>
      <c r="V458" s="13" t="n">
        <v>85</v>
      </c>
      <c r="W458" s="13" t="n">
        <v>40</v>
      </c>
      <c r="X458" s="13" t="n">
        <v>273</v>
      </c>
      <c r="Y458" s="13" t="n">
        <v>22</v>
      </c>
      <c r="Z458" s="13" t="n">
        <v>202</v>
      </c>
      <c r="AA458" s="13" t="n">
        <v>0.5610000000000001</v>
      </c>
      <c r="AB458" s="13" t="n">
        <v>217</v>
      </c>
      <c r="AC458" s="13" t="n">
        <v>131</v>
      </c>
      <c r="AD458" s="13" t="n">
        <v>57</v>
      </c>
      <c r="AE458" s="13" t="n">
        <v>10</v>
      </c>
      <c r="AF458" s="13" t="n">
        <v>8.5</v>
      </c>
      <c r="AG458" s="11" t="inlineStr">
        <is>
          <t xml:space="preserve"> Resort Freeride</t>
        </is>
      </c>
      <c r="AH458" s="13" t="n"/>
      <c r="AI458" s="13" t="n"/>
      <c r="AJ458" s="13" t="n"/>
      <c r="AK458" s="42" t="n"/>
    </row>
    <row r="459">
      <c r="E459" s="40" t="inlineStr">
        <is>
          <t>21/22</t>
        </is>
      </c>
      <c r="F459" s="10" t="inlineStr">
        <is>
          <t xml:space="preserve"> Black Diamond</t>
        </is>
      </c>
      <c r="G459" s="11" t="inlineStr">
        <is>
          <t>Impulse 98</t>
        </is>
      </c>
      <c r="H459" s="13" t="n">
        <v>182</v>
      </c>
      <c r="I459" s="11" t="inlineStr">
        <is>
          <t xml:space="preserve"> Unisex</t>
        </is>
      </c>
      <c r="J459" s="13" t="n">
        <v>182</v>
      </c>
      <c r="K459" s="13" t="n">
        <v>182.6</v>
      </c>
      <c r="L459" s="13" t="n">
        <v>130</v>
      </c>
      <c r="M459" s="13" t="n">
        <v>148</v>
      </c>
      <c r="N459" s="13" t="n">
        <v>131</v>
      </c>
      <c r="O459" s="13" t="n">
        <v>97</v>
      </c>
      <c r="P459" s="13" t="n">
        <v>118</v>
      </c>
      <c r="Q459" s="13" t="n">
        <v>17.9</v>
      </c>
      <c r="R459" s="13" t="n">
        <v>1920</v>
      </c>
      <c r="S459" s="13" t="n">
        <v>1.03</v>
      </c>
      <c r="T459" s="13" t="n">
        <v>1975</v>
      </c>
      <c r="U459" s="13" t="n">
        <v>224</v>
      </c>
      <c r="V459" s="13" t="n">
        <v>96</v>
      </c>
      <c r="W459" s="13" t="n">
        <v>46</v>
      </c>
      <c r="X459" s="13" t="n">
        <v>300</v>
      </c>
      <c r="Y459" s="13" t="n">
        <v>25</v>
      </c>
      <c r="Z459" s="13" t="n">
        <v>223</v>
      </c>
      <c r="AA459" s="13" t="n">
        <v>0.552</v>
      </c>
      <c r="AB459" s="13" t="n">
        <v>215</v>
      </c>
      <c r="AC459" s="13" t="n">
        <v>135</v>
      </c>
      <c r="AD459" s="13" t="n">
        <v>85</v>
      </c>
      <c r="AE459" s="13" t="n">
        <v>6</v>
      </c>
      <c r="AF459" s="13" t="n">
        <v>8.9</v>
      </c>
      <c r="AG459" s="11" t="inlineStr">
        <is>
          <t xml:space="preserve"> Resort Freeride</t>
        </is>
      </c>
      <c r="AH459" s="13" t="n"/>
      <c r="AI459" s="13" t="n"/>
      <c r="AJ459" s="13" t="n"/>
      <c r="AK459" s="42" t="n"/>
    </row>
    <row r="460">
      <c r="E460" s="40" t="inlineStr">
        <is>
          <t>21/22</t>
        </is>
      </c>
      <c r="F460" s="10" t="inlineStr">
        <is>
          <t xml:space="preserve"> Blizzard</t>
        </is>
      </c>
      <c r="G460" s="11" t="inlineStr">
        <is>
          <t>Black Pearl 82</t>
        </is>
      </c>
      <c r="H460" s="13" t="n">
        <v>145</v>
      </c>
      <c r="I460" s="11" t="inlineStr">
        <is>
          <t xml:space="preserve"> Women's</t>
        </is>
      </c>
      <c r="J460" s="13" t="n">
        <v>145</v>
      </c>
      <c r="K460" s="13" t="n">
        <v>143.5</v>
      </c>
      <c r="L460" s="13" t="n">
        <v>112</v>
      </c>
      <c r="M460" s="13" t="n">
        <v>121</v>
      </c>
      <c r="N460" s="13" t="n">
        <v>118</v>
      </c>
      <c r="O460" s="13" t="n">
        <v>81</v>
      </c>
      <c r="P460" s="13" t="n">
        <v>102</v>
      </c>
      <c r="Q460" s="13" t="n">
        <v>11.7</v>
      </c>
      <c r="R460" s="13" t="n">
        <v>1395</v>
      </c>
      <c r="S460" s="13" t="n">
        <v>0.96</v>
      </c>
      <c r="T460" s="13" t="n">
        <v>1335</v>
      </c>
      <c r="U460" s="13" t="n">
        <v>123</v>
      </c>
      <c r="V460" s="13" t="n">
        <v>66</v>
      </c>
      <c r="W460" s="13" t="n">
        <v>52</v>
      </c>
      <c r="X460" s="13" t="n">
        <v>204</v>
      </c>
      <c r="Y460" s="13" t="n">
        <v>7</v>
      </c>
      <c r="Z460" s="13" t="n">
        <v>111</v>
      </c>
      <c r="AA460" s="13" t="n">
        <v>0.14</v>
      </c>
      <c r="AB460" s="13" t="n">
        <v>121</v>
      </c>
      <c r="AC460" s="13" t="n">
        <v>107</v>
      </c>
      <c r="AD460" s="13" t="n">
        <v>83</v>
      </c>
      <c r="AE460" s="13" t="n">
        <v>5</v>
      </c>
      <c r="AF460" s="13" t="n">
        <v>10.9</v>
      </c>
      <c r="AG460" s="11" t="inlineStr">
        <is>
          <t xml:space="preserve"> On-Piste All-Mountain</t>
        </is>
      </c>
      <c r="AH460" s="11" t="inlineStr">
        <is>
          <t xml:space="preserve"> Resort Freeride</t>
        </is>
      </c>
      <c r="AI460" s="13" t="n"/>
      <c r="AJ460" s="13" t="n"/>
      <c r="AK460" s="42" t="n"/>
    </row>
    <row r="461">
      <c r="E461" s="40" t="inlineStr">
        <is>
          <t>21/22</t>
        </is>
      </c>
      <c r="F461" s="10" t="inlineStr">
        <is>
          <t xml:space="preserve"> Blizzard</t>
        </is>
      </c>
      <c r="G461" s="11" t="inlineStr">
        <is>
          <t>Black Pearl 82</t>
        </is>
      </c>
      <c r="H461" s="13" t="n">
        <v>152</v>
      </c>
      <c r="I461" s="11" t="inlineStr">
        <is>
          <t xml:space="preserve"> Women's</t>
        </is>
      </c>
      <c r="J461" s="13" t="n">
        <v>152</v>
      </c>
      <c r="K461" s="13" t="n">
        <v>150.1</v>
      </c>
      <c r="L461" s="13" t="n">
        <v>114</v>
      </c>
      <c r="M461" s="13" t="n">
        <v>129</v>
      </c>
      <c r="N461" s="13" t="n">
        <v>118</v>
      </c>
      <c r="O461" s="13" t="n">
        <v>81</v>
      </c>
      <c r="P461" s="13" t="n">
        <v>102</v>
      </c>
      <c r="Q461" s="13" t="n">
        <v>13.4</v>
      </c>
      <c r="R461" s="13" t="n">
        <v>1479</v>
      </c>
      <c r="S461" s="13" t="n">
        <v>0.9399999999999999</v>
      </c>
      <c r="T461" s="13" t="n">
        <v>1391</v>
      </c>
      <c r="U461" s="13" t="n">
        <v>154</v>
      </c>
      <c r="V461" s="13" t="n">
        <v>73</v>
      </c>
      <c r="W461" s="13" t="n">
        <v>54</v>
      </c>
      <c r="X461" s="13" t="n">
        <v>252</v>
      </c>
      <c r="Y461" s="13" t="n">
        <v>7</v>
      </c>
      <c r="Z461" s="13" t="n">
        <v>109</v>
      </c>
      <c r="AA461" s="13" t="n">
        <v>0.132</v>
      </c>
      <c r="AB461" s="13" t="n">
        <v>114</v>
      </c>
      <c r="AC461" s="13" t="n">
        <v>99</v>
      </c>
      <c r="AD461" s="13" t="n">
        <v>138</v>
      </c>
      <c r="AE461" s="13" t="n">
        <v>3</v>
      </c>
      <c r="AF461" s="13" t="n">
        <v>10.9</v>
      </c>
      <c r="AG461" s="11" t="inlineStr">
        <is>
          <t xml:space="preserve"> On-Piste All-Mountain</t>
        </is>
      </c>
      <c r="AH461" s="11" t="inlineStr">
        <is>
          <t xml:space="preserve"> Resort Freeride</t>
        </is>
      </c>
      <c r="AI461" s="13" t="n"/>
      <c r="AJ461" s="13" t="n"/>
      <c r="AK461" s="42" t="n"/>
    </row>
    <row r="462">
      <c r="E462" s="40" t="inlineStr">
        <is>
          <t>21/22</t>
        </is>
      </c>
      <c r="F462" s="10" t="inlineStr">
        <is>
          <t xml:space="preserve"> Blizzard</t>
        </is>
      </c>
      <c r="G462" s="11" t="inlineStr">
        <is>
          <t>Black Pearl 82</t>
        </is>
      </c>
      <c r="H462" s="13" t="n">
        <v>159</v>
      </c>
      <c r="I462" s="11" t="inlineStr">
        <is>
          <t xml:space="preserve"> Women's</t>
        </is>
      </c>
      <c r="J462" s="13" t="n">
        <v>159</v>
      </c>
      <c r="K462" s="13" t="n">
        <v>157</v>
      </c>
      <c r="L462" s="13" t="n">
        <v>103</v>
      </c>
      <c r="M462" s="13" t="n">
        <v>135</v>
      </c>
      <c r="N462" s="13" t="n">
        <v>120</v>
      </c>
      <c r="O462" s="13" t="n">
        <v>82</v>
      </c>
      <c r="P462" s="13" t="n">
        <v>103</v>
      </c>
      <c r="Q462" s="13" t="n">
        <v>14.3</v>
      </c>
      <c r="R462" s="13" t="n">
        <v>1551</v>
      </c>
      <c r="S462" s="13" t="n">
        <v>0.95</v>
      </c>
      <c r="T462" s="13" t="n">
        <v>1472</v>
      </c>
      <c r="U462" s="13" t="n">
        <v>189</v>
      </c>
      <c r="V462" s="13" t="n">
        <v>91</v>
      </c>
      <c r="W462" s="13" t="n">
        <v>59</v>
      </c>
      <c r="X462" s="13" t="n">
        <v>301</v>
      </c>
      <c r="Y462" s="13" t="n">
        <v>9</v>
      </c>
      <c r="Z462" s="13" t="n">
        <v>240</v>
      </c>
      <c r="AA462" s="13" t="n">
        <v>0.158</v>
      </c>
      <c r="AB462" s="13" t="n">
        <v>114</v>
      </c>
      <c r="AC462" s="13" t="n">
        <v>102</v>
      </c>
      <c r="AD462" s="13" t="n">
        <v>187</v>
      </c>
      <c r="AE462" s="13" t="n">
        <v>2</v>
      </c>
      <c r="AF462" s="13" t="n">
        <v>10.5</v>
      </c>
      <c r="AG462" s="11" t="inlineStr">
        <is>
          <t xml:space="preserve"> On-Piste All-Mountain</t>
        </is>
      </c>
      <c r="AH462" s="11" t="inlineStr">
        <is>
          <t xml:space="preserve"> Resort Freeride</t>
        </is>
      </c>
      <c r="AI462" s="13" t="n"/>
      <c r="AJ462" s="13" t="n"/>
      <c r="AK462" s="42" t="n"/>
    </row>
    <row r="463">
      <c r="E463" s="40" t="inlineStr">
        <is>
          <t>21/22</t>
        </is>
      </c>
      <c r="F463" s="10" t="inlineStr">
        <is>
          <t xml:space="preserve"> Blizzard</t>
        </is>
      </c>
      <c r="G463" s="11" t="inlineStr">
        <is>
          <t>Black Pearl 82</t>
        </is>
      </c>
      <c r="H463" s="13" t="n">
        <v>166</v>
      </c>
      <c r="I463" s="11" t="inlineStr">
        <is>
          <t xml:space="preserve"> Women's</t>
        </is>
      </c>
      <c r="J463" s="13" t="n">
        <v>166</v>
      </c>
      <c r="K463" s="13" t="n">
        <v>163.7</v>
      </c>
      <c r="L463" s="13" t="n">
        <v>118</v>
      </c>
      <c r="M463" s="13" t="n">
        <v>142</v>
      </c>
      <c r="N463" s="13" t="n">
        <v>121</v>
      </c>
      <c r="O463" s="13" t="n">
        <v>82</v>
      </c>
      <c r="P463" s="13" t="n">
        <v>104</v>
      </c>
      <c r="Q463" s="13" t="n">
        <v>15.4</v>
      </c>
      <c r="R463" s="13" t="n">
        <v>1679</v>
      </c>
      <c r="S463" s="13" t="n">
        <v>0.92</v>
      </c>
      <c r="T463" s="13" t="n">
        <v>1539</v>
      </c>
      <c r="U463" s="13" t="n">
        <v>181</v>
      </c>
      <c r="V463" s="13" t="n">
        <v>88</v>
      </c>
      <c r="W463" s="13" t="n">
        <v>62</v>
      </c>
      <c r="X463" s="13" t="n">
        <v>310</v>
      </c>
      <c r="Y463" s="13" t="n">
        <v>8</v>
      </c>
      <c r="Z463" s="13" t="n">
        <v>150</v>
      </c>
      <c r="AA463" s="13" t="n">
        <v>0.136</v>
      </c>
      <c r="AB463" s="13" t="n">
        <v>122</v>
      </c>
      <c r="AC463" s="13" t="n">
        <v>94</v>
      </c>
      <c r="AD463" s="13" t="n">
        <v>189</v>
      </c>
      <c r="AE463" s="13" t="n">
        <v>3</v>
      </c>
      <c r="AF463" s="13" t="n">
        <v>10.5</v>
      </c>
      <c r="AG463" s="11" t="inlineStr">
        <is>
          <t xml:space="preserve"> On-Piste All-Mountain</t>
        </is>
      </c>
      <c r="AH463" s="11" t="inlineStr">
        <is>
          <t xml:space="preserve"> Resort Freeride</t>
        </is>
      </c>
      <c r="AI463" s="13" t="n"/>
      <c r="AJ463" s="13" t="n"/>
      <c r="AK463" s="42" t="n"/>
    </row>
    <row r="464">
      <c r="E464" s="40" t="inlineStr">
        <is>
          <t>21/22</t>
        </is>
      </c>
      <c r="F464" s="10" t="inlineStr">
        <is>
          <t xml:space="preserve"> Blizzard</t>
        </is>
      </c>
      <c r="G464" s="11" t="inlineStr">
        <is>
          <t>Black Pearl 82</t>
        </is>
      </c>
      <c r="H464" s="13" t="n">
        <v>173</v>
      </c>
      <c r="I464" s="11" t="inlineStr">
        <is>
          <t xml:space="preserve"> Women's</t>
        </is>
      </c>
      <c r="J464" s="13" t="n">
        <v>173</v>
      </c>
      <c r="K464" s="13" t="n">
        <v>171.3</v>
      </c>
      <c r="L464" s="13" t="n">
        <v>138</v>
      </c>
      <c r="M464" s="13" t="n">
        <v>148</v>
      </c>
      <c r="N464" s="13" t="n">
        <v>121</v>
      </c>
      <c r="O464" s="13" t="n">
        <v>81</v>
      </c>
      <c r="P464" s="13" t="n">
        <v>104</v>
      </c>
      <c r="Q464" s="13" t="n">
        <v>17</v>
      </c>
      <c r="R464" s="13" t="n">
        <v>1783</v>
      </c>
      <c r="S464" s="13" t="n">
        <v>0.9</v>
      </c>
      <c r="T464" s="13" t="n">
        <v>1600</v>
      </c>
      <c r="U464" s="13" t="n">
        <v>215</v>
      </c>
      <c r="V464" s="13" t="n">
        <v>109</v>
      </c>
      <c r="W464" s="13" t="n">
        <v>50</v>
      </c>
      <c r="X464" s="13" t="n">
        <v>231</v>
      </c>
      <c r="Y464" s="13" t="n">
        <v>7</v>
      </c>
      <c r="Z464" s="13" t="n">
        <v>107</v>
      </c>
      <c r="AA464" s="13" t="n">
        <v>0.135</v>
      </c>
      <c r="AB464" s="13" t="n">
        <v>120</v>
      </c>
      <c r="AC464" s="13" t="n">
        <v>109</v>
      </c>
      <c r="AD464" s="13" t="n">
        <v>111</v>
      </c>
      <c r="AE464" s="13" t="n">
        <v>6</v>
      </c>
      <c r="AF464" s="13" t="n">
        <v>11.4</v>
      </c>
      <c r="AG464" s="11" t="inlineStr">
        <is>
          <t xml:space="preserve"> On-Piste All-Mountain</t>
        </is>
      </c>
      <c r="AH464" s="11" t="inlineStr">
        <is>
          <t xml:space="preserve"> Resort Freeride</t>
        </is>
      </c>
      <c r="AI464" s="13" t="n"/>
      <c r="AJ464" s="13" t="n"/>
      <c r="AK464" s="42" t="n"/>
    </row>
    <row r="465">
      <c r="E465" s="40" t="inlineStr">
        <is>
          <t>21/22</t>
        </is>
      </c>
      <c r="F465" s="10" t="inlineStr">
        <is>
          <t xml:space="preserve"> Blizzard</t>
        </is>
      </c>
      <c r="G465" s="11" t="inlineStr">
        <is>
          <t>Black Pearl 88</t>
        </is>
      </c>
      <c r="H465" s="13" t="n">
        <v>147</v>
      </c>
      <c r="I465" s="11" t="inlineStr">
        <is>
          <t xml:space="preserve"> Women's</t>
        </is>
      </c>
      <c r="J465" s="13" t="n">
        <v>147</v>
      </c>
      <c r="K465" s="13" t="n">
        <v>145.4</v>
      </c>
      <c r="L465" s="13" t="n">
        <v>114</v>
      </c>
      <c r="M465" s="13" t="n">
        <v>124</v>
      </c>
      <c r="N465" s="13" t="n">
        <v>125</v>
      </c>
      <c r="O465" s="13" t="n">
        <v>86</v>
      </c>
      <c r="P465" s="13" t="n">
        <v>107</v>
      </c>
      <c r="Q465" s="13" t="n">
        <v>11.8</v>
      </c>
      <c r="R465" s="13" t="n">
        <v>1483</v>
      </c>
      <c r="S465" s="13" t="n">
        <v>0.96</v>
      </c>
      <c r="T465" s="13" t="n">
        <v>1422</v>
      </c>
      <c r="U465" s="13" t="n">
        <v>127</v>
      </c>
      <c r="V465" s="13" t="n">
        <v>62</v>
      </c>
      <c r="W465" s="13" t="n">
        <v>62</v>
      </c>
      <c r="X465" s="13" t="n">
        <v>207</v>
      </c>
      <c r="Y465" s="13" t="n">
        <v>7</v>
      </c>
      <c r="Z465" s="13" t="n">
        <v>106</v>
      </c>
      <c r="AA465" s="13" t="n">
        <v>0.112</v>
      </c>
      <c r="AB465" s="13" t="n">
        <v>113</v>
      </c>
      <c r="AC465" s="13" t="n">
        <v>104</v>
      </c>
      <c r="AD465" s="13" t="n">
        <v>95</v>
      </c>
      <c r="AE465" s="13" t="n">
        <v>6</v>
      </c>
      <c r="AF465" s="13" t="n">
        <v>11.1</v>
      </c>
      <c r="AG465" s="11" t="inlineStr">
        <is>
          <t xml:space="preserve"> Resort Freeride</t>
        </is>
      </c>
      <c r="AH465" s="13" t="n"/>
      <c r="AI465" s="13" t="n"/>
      <c r="AJ465" s="13" t="n"/>
      <c r="AK465" s="42" t="n"/>
    </row>
    <row r="466">
      <c r="E466" s="40" t="inlineStr">
        <is>
          <t>21/22</t>
        </is>
      </c>
      <c r="F466" s="10" t="inlineStr">
        <is>
          <t xml:space="preserve"> Blizzard</t>
        </is>
      </c>
      <c r="G466" s="11" t="inlineStr">
        <is>
          <t>Black Pearl 88</t>
        </is>
      </c>
      <c r="H466" s="13" t="n">
        <v>153</v>
      </c>
      <c r="I466" s="11" t="inlineStr">
        <is>
          <t xml:space="preserve"> Women's</t>
        </is>
      </c>
      <c r="J466" s="13" t="n">
        <v>153</v>
      </c>
      <c r="K466" s="13" t="n">
        <v>151.6</v>
      </c>
      <c r="L466" s="13" t="n">
        <v>122</v>
      </c>
      <c r="M466" s="13" t="n">
        <v>129</v>
      </c>
      <c r="N466" s="13" t="n">
        <v>125</v>
      </c>
      <c r="O466" s="13" t="n">
        <v>86</v>
      </c>
      <c r="P466" s="13" t="n">
        <v>107</v>
      </c>
      <c r="Q466" s="13" t="n">
        <v>13.2</v>
      </c>
      <c r="R466" s="13" t="n">
        <v>1585</v>
      </c>
      <c r="S466" s="13" t="n">
        <v>0.9399999999999999</v>
      </c>
      <c r="T466" s="13" t="n">
        <v>1484</v>
      </c>
      <c r="U466" s="13" t="n">
        <v>141</v>
      </c>
      <c r="V466" s="13" t="n">
        <v>70</v>
      </c>
      <c r="W466" s="13" t="n">
        <v>60</v>
      </c>
      <c r="X466" s="13" t="n">
        <v>193</v>
      </c>
      <c r="Y466" s="13" t="n">
        <v>8</v>
      </c>
      <c r="Z466" s="13" t="n">
        <v>99</v>
      </c>
      <c r="AA466" s="13" t="n">
        <v>0.135</v>
      </c>
      <c r="AB466" s="13" t="n">
        <v>116</v>
      </c>
      <c r="AC466" s="13" t="n">
        <v>105</v>
      </c>
      <c r="AD466" s="13" t="n">
        <v>77</v>
      </c>
      <c r="AE466" s="13" t="n">
        <v>7</v>
      </c>
      <c r="AF466" s="13" t="n">
        <v>11.3</v>
      </c>
      <c r="AG466" s="11" t="inlineStr">
        <is>
          <t xml:space="preserve"> Resort Freeride</t>
        </is>
      </c>
      <c r="AH466" s="13" t="n"/>
      <c r="AI466" s="13" t="n"/>
      <c r="AJ466" s="13" t="n"/>
      <c r="AK466" s="42" t="n"/>
    </row>
    <row r="467">
      <c r="E467" s="40" t="inlineStr">
        <is>
          <t>21/22</t>
        </is>
      </c>
      <c r="F467" s="10" t="inlineStr">
        <is>
          <t xml:space="preserve"> Blizzard</t>
        </is>
      </c>
      <c r="G467" s="11" t="inlineStr">
        <is>
          <t>Black Pearl 88</t>
        </is>
      </c>
      <c r="H467" s="13" t="n">
        <v>159</v>
      </c>
      <c r="I467" s="11" t="inlineStr">
        <is>
          <t xml:space="preserve"> Women's</t>
        </is>
      </c>
      <c r="J467" s="13" t="n">
        <v>159</v>
      </c>
      <c r="K467" s="13" t="n">
        <v>157.8</v>
      </c>
      <c r="L467" s="13" t="n">
        <v>126</v>
      </c>
      <c r="M467" s="13" t="n">
        <v>134</v>
      </c>
      <c r="N467" s="13" t="n">
        <v>126</v>
      </c>
      <c r="O467" s="13" t="n">
        <v>86</v>
      </c>
      <c r="P467" s="13" t="n">
        <v>108</v>
      </c>
      <c r="Q467" s="13" t="n">
        <v>13.9</v>
      </c>
      <c r="R467" s="13" t="n">
        <v>1654</v>
      </c>
      <c r="S467" s="13" t="n">
        <v>0.9399999999999999</v>
      </c>
      <c r="T467" s="13" t="n">
        <v>1549</v>
      </c>
      <c r="U467" s="13" t="n">
        <v>151</v>
      </c>
      <c r="V467" s="13" t="n">
        <v>74</v>
      </c>
      <c r="W467" s="13" t="n">
        <v>59</v>
      </c>
      <c r="X467" s="13" t="n">
        <v>219</v>
      </c>
      <c r="Y467" s="13" t="n">
        <v>7</v>
      </c>
      <c r="Z467" s="13" t="n">
        <v>99</v>
      </c>
      <c r="AA467" s="13" t="n">
        <v>0.126</v>
      </c>
      <c r="AB467" s="13" t="n">
        <v>124</v>
      </c>
      <c r="AC467" s="13" t="n">
        <v>112</v>
      </c>
      <c r="AD467" s="13" t="n">
        <v>95</v>
      </c>
      <c r="AE467" s="13" t="n">
        <v>8</v>
      </c>
      <c r="AF467" s="13" t="n">
        <v>11.4</v>
      </c>
      <c r="AG467" s="11" t="inlineStr">
        <is>
          <t xml:space="preserve"> Resort Freeride</t>
        </is>
      </c>
      <c r="AH467" s="13" t="n"/>
      <c r="AI467" s="13" t="n"/>
      <c r="AJ467" s="13" t="n"/>
      <c r="AK467" s="42" t="n"/>
    </row>
    <row r="468">
      <c r="E468" s="40" t="inlineStr">
        <is>
          <t>21/22</t>
        </is>
      </c>
      <c r="F468" s="10" t="inlineStr">
        <is>
          <t xml:space="preserve"> Blizzard</t>
        </is>
      </c>
      <c r="G468" s="11" t="inlineStr">
        <is>
          <t>Black Pearl 88</t>
        </is>
      </c>
      <c r="H468" s="13" t="n">
        <v>165</v>
      </c>
      <c r="I468" s="11" t="inlineStr">
        <is>
          <t xml:space="preserve"> Women's</t>
        </is>
      </c>
      <c r="J468" s="13" t="n">
        <v>165</v>
      </c>
      <c r="K468" s="13" t="n">
        <v>163.7</v>
      </c>
      <c r="L468" s="13" t="n">
        <v>133</v>
      </c>
      <c r="M468" s="13" t="n">
        <v>141</v>
      </c>
      <c r="N468" s="13" t="n">
        <v>128</v>
      </c>
      <c r="O468" s="13" t="n">
        <v>86</v>
      </c>
      <c r="P468" s="13" t="n">
        <v>109</v>
      </c>
      <c r="Q468" s="13" t="n">
        <v>14.9</v>
      </c>
      <c r="R468" s="13" t="n">
        <v>1757</v>
      </c>
      <c r="S468" s="13" t="n">
        <v>0.92</v>
      </c>
      <c r="T468" s="13" t="n">
        <v>1613</v>
      </c>
      <c r="U468" s="13" t="n">
        <v>177</v>
      </c>
      <c r="V468" s="13" t="n">
        <v>91</v>
      </c>
      <c r="W468" s="13" t="n">
        <v>63</v>
      </c>
      <c r="X468" s="13" t="n">
        <v>209</v>
      </c>
      <c r="Y468" s="13" t="n">
        <v>7</v>
      </c>
      <c r="Z468" s="13" t="n">
        <v>96</v>
      </c>
      <c r="AA468" s="13" t="n">
        <v>0.118</v>
      </c>
      <c r="AB468" s="13" t="n">
        <v>123</v>
      </c>
      <c r="AC468" s="13" t="n">
        <v>106</v>
      </c>
      <c r="AD468" s="13" t="n">
        <v>86</v>
      </c>
      <c r="AE468" s="13" t="n">
        <v>8</v>
      </c>
      <c r="AF468" s="13" t="n">
        <v>11.1</v>
      </c>
      <c r="AG468" s="11" t="inlineStr">
        <is>
          <t xml:space="preserve"> Resort Freeride</t>
        </is>
      </c>
      <c r="AH468" s="13" t="n"/>
      <c r="AI468" s="13" t="n"/>
      <c r="AJ468" s="13" t="n"/>
      <c r="AK468" s="42" t="n"/>
    </row>
    <row r="469">
      <c r="E469" s="40" t="inlineStr">
        <is>
          <t>21/22</t>
        </is>
      </c>
      <c r="F469" s="10" t="inlineStr">
        <is>
          <t xml:space="preserve"> Blizzard</t>
        </is>
      </c>
      <c r="G469" s="11" t="inlineStr">
        <is>
          <t>Black Pearl 88</t>
        </is>
      </c>
      <c r="H469" s="13" t="n">
        <v>171</v>
      </c>
      <c r="I469" s="11" t="inlineStr">
        <is>
          <t xml:space="preserve"> Women's</t>
        </is>
      </c>
      <c r="J469" s="13" t="n">
        <v>171</v>
      </c>
      <c r="K469" s="13" t="n">
        <v>172.4</v>
      </c>
      <c r="L469" s="13" t="n">
        <v>137</v>
      </c>
      <c r="M469" s="13" t="n">
        <v>147</v>
      </c>
      <c r="N469" s="13" t="n">
        <v>127</v>
      </c>
      <c r="O469" s="13" t="n">
        <v>86</v>
      </c>
      <c r="P469" s="13" t="n">
        <v>109</v>
      </c>
      <c r="Q469" s="13" t="n">
        <v>16</v>
      </c>
      <c r="R469" s="13" t="n">
        <v>1893</v>
      </c>
      <c r="S469" s="13" t="n">
        <v>0.89</v>
      </c>
      <c r="T469" s="13" t="n">
        <v>1689</v>
      </c>
      <c r="U469" s="13" t="n">
        <v>224</v>
      </c>
      <c r="V469" s="13" t="n">
        <v>103</v>
      </c>
      <c r="W469" s="13" t="n">
        <v>58</v>
      </c>
      <c r="X469" s="13" t="n">
        <v>217</v>
      </c>
      <c r="Y469" s="13" t="n">
        <v>12</v>
      </c>
      <c r="Z469" s="13" t="n">
        <v>140</v>
      </c>
      <c r="AA469" s="13" t="n">
        <v>0.215</v>
      </c>
      <c r="AB469" s="13" t="n">
        <v>118</v>
      </c>
      <c r="AC469" s="13" t="n">
        <v>134</v>
      </c>
      <c r="AD469" s="13" t="n">
        <v>99</v>
      </c>
      <c r="AE469" s="13" t="n">
        <v>6</v>
      </c>
      <c r="AF469" s="13" t="n">
        <v>9.699999999999999</v>
      </c>
      <c r="AG469" s="11" t="inlineStr">
        <is>
          <t xml:space="preserve"> Resort Freeride</t>
        </is>
      </c>
      <c r="AH469" s="13" t="n"/>
      <c r="AI469" s="13" t="n"/>
      <c r="AJ469" s="13" t="n"/>
      <c r="AK469" s="42" t="n"/>
    </row>
    <row r="470">
      <c r="E470" s="40" t="inlineStr">
        <is>
          <t>21/22</t>
        </is>
      </c>
      <c r="F470" s="10" t="inlineStr">
        <is>
          <t xml:space="preserve"> Blizzard</t>
        </is>
      </c>
      <c r="G470" s="11" t="inlineStr">
        <is>
          <t>Black Pearl 88</t>
        </is>
      </c>
      <c r="H470" s="13" t="n">
        <v>177</v>
      </c>
      <c r="I470" s="11" t="inlineStr">
        <is>
          <t xml:space="preserve"> Women's</t>
        </is>
      </c>
      <c r="J470" s="13" t="n">
        <v>177</v>
      </c>
      <c r="K470" s="13" t="n">
        <v>175.8</v>
      </c>
      <c r="L470" s="13" t="n">
        <v>145</v>
      </c>
      <c r="M470" s="13" t="n">
        <v>153</v>
      </c>
      <c r="N470" s="13" t="n">
        <v>127</v>
      </c>
      <c r="O470" s="13" t="n">
        <v>86</v>
      </c>
      <c r="P470" s="13" t="n">
        <v>109</v>
      </c>
      <c r="Q470" s="13" t="n">
        <v>17.7</v>
      </c>
      <c r="R470" s="13" t="n">
        <v>1933</v>
      </c>
      <c r="S470" s="13" t="n">
        <v>0.89</v>
      </c>
      <c r="T470" s="13" t="n">
        <v>1730</v>
      </c>
      <c r="U470" s="13" t="n">
        <v>225</v>
      </c>
      <c r="V470" s="13" t="n">
        <v>109</v>
      </c>
      <c r="W470" s="13" t="n">
        <v>57</v>
      </c>
      <c r="X470" s="13" t="n">
        <v>209</v>
      </c>
      <c r="Y470" s="13" t="n">
        <v>6</v>
      </c>
      <c r="Z470" s="13" t="n">
        <v>95</v>
      </c>
      <c r="AA470" s="13" t="n">
        <v>0.111</v>
      </c>
      <c r="AB470" s="13" t="n">
        <v>127</v>
      </c>
      <c r="AC470" s="13" t="n">
        <v>97</v>
      </c>
      <c r="AD470" s="13" t="n">
        <v>83</v>
      </c>
      <c r="AE470" s="13" t="n">
        <v>9</v>
      </c>
      <c r="AF470" s="13" t="n">
        <v>11</v>
      </c>
      <c r="AG470" s="11" t="inlineStr">
        <is>
          <t xml:space="preserve"> Resort Freeride</t>
        </is>
      </c>
      <c r="AH470" s="13" t="n"/>
      <c r="AI470" s="13" t="n"/>
      <c r="AJ470" s="13" t="n"/>
      <c r="AK470" s="42" t="n"/>
    </row>
    <row r="471">
      <c r="E471" s="40" t="inlineStr">
        <is>
          <t>21/22</t>
        </is>
      </c>
      <c r="F471" s="10" t="inlineStr">
        <is>
          <t xml:space="preserve"> Blizzard</t>
        </is>
      </c>
      <c r="G471" s="11" t="inlineStr">
        <is>
          <t>Black Pearl 97</t>
        </is>
      </c>
      <c r="H471" s="13" t="n">
        <v>153</v>
      </c>
      <c r="I471" s="11" t="inlineStr">
        <is>
          <t xml:space="preserve"> Women's</t>
        </is>
      </c>
      <c r="J471" s="13" t="n">
        <v>153</v>
      </c>
      <c r="K471" s="13" t="n">
        <v>151.4</v>
      </c>
      <c r="L471" s="13" t="n">
        <v>119</v>
      </c>
      <c r="M471" s="13" t="n">
        <v>128</v>
      </c>
      <c r="N471" s="13" t="n">
        <v>134</v>
      </c>
      <c r="O471" s="13" t="n">
        <v>96</v>
      </c>
      <c r="P471" s="13" t="n">
        <v>116</v>
      </c>
      <c r="Q471" s="13" t="n">
        <v>13.7</v>
      </c>
      <c r="R471" s="13" t="n">
        <v>1655</v>
      </c>
      <c r="S471" s="13" t="n">
        <v>0.98</v>
      </c>
      <c r="T471" s="13" t="n">
        <v>1626</v>
      </c>
      <c r="U471" s="13" t="n">
        <v>135</v>
      </c>
      <c r="V471" s="13" t="n">
        <v>72</v>
      </c>
      <c r="W471" s="13" t="n">
        <v>63</v>
      </c>
      <c r="X471" s="13" t="n">
        <v>222</v>
      </c>
      <c r="Y471" s="13" t="n">
        <v>8</v>
      </c>
      <c r="Z471" s="13" t="n">
        <v>104</v>
      </c>
      <c r="AA471" s="13" t="n">
        <v>0.124</v>
      </c>
      <c r="AB471" s="13" t="n">
        <v>122</v>
      </c>
      <c r="AC471" s="13" t="n">
        <v>111</v>
      </c>
      <c r="AD471" s="13" t="n">
        <v>100</v>
      </c>
      <c r="AE471" s="13" t="n">
        <v>5</v>
      </c>
      <c r="AF471" s="13" t="n">
        <v>11.2</v>
      </c>
      <c r="AG471" s="11" t="inlineStr">
        <is>
          <t xml:space="preserve"> Resort Freeride</t>
        </is>
      </c>
      <c r="AH471" s="13" t="n"/>
      <c r="AI471" s="13" t="n"/>
      <c r="AJ471" s="13" t="n"/>
      <c r="AK471" s="42" t="n"/>
    </row>
    <row r="472">
      <c r="E472" s="40" t="inlineStr">
        <is>
          <t>21/22</t>
        </is>
      </c>
      <c r="F472" s="10" t="inlineStr">
        <is>
          <t xml:space="preserve"> Blizzard</t>
        </is>
      </c>
      <c r="G472" s="11" t="inlineStr">
        <is>
          <t>Black Pearl 97</t>
        </is>
      </c>
      <c r="H472" s="13" t="n">
        <v>159</v>
      </c>
      <c r="I472" s="11" t="inlineStr">
        <is>
          <t xml:space="preserve"> Women's</t>
        </is>
      </c>
      <c r="J472" s="13" t="n">
        <v>159</v>
      </c>
      <c r="K472" s="13" t="n">
        <v>157.7</v>
      </c>
      <c r="L472" s="13" t="n">
        <v>124</v>
      </c>
      <c r="M472" s="13" t="n">
        <v>134</v>
      </c>
      <c r="N472" s="13" t="n">
        <v>135</v>
      </c>
      <c r="O472" s="13" t="n">
        <v>96</v>
      </c>
      <c r="P472" s="13" t="n">
        <v>117</v>
      </c>
      <c r="Q472" s="13" t="n">
        <v>14.4</v>
      </c>
      <c r="R472" s="13" t="n">
        <v>1753</v>
      </c>
      <c r="S472" s="13" t="n">
        <v>0.97</v>
      </c>
      <c r="T472" s="13" t="n">
        <v>1700</v>
      </c>
      <c r="U472" s="13" t="n">
        <v>155</v>
      </c>
      <c r="V472" s="13" t="n">
        <v>83</v>
      </c>
      <c r="W472" s="13" t="n">
        <v>59</v>
      </c>
      <c r="X472" s="13" t="n">
        <v>230</v>
      </c>
      <c r="Y472" s="13" t="n">
        <v>7</v>
      </c>
      <c r="Z472" s="13" t="n">
        <v>112</v>
      </c>
      <c r="AA472" s="13" t="n">
        <v>0.126</v>
      </c>
      <c r="AB472" s="13" t="n">
        <v>130</v>
      </c>
      <c r="AC472" s="13" t="n">
        <v>109</v>
      </c>
      <c r="AD472" s="13" t="n">
        <v>99</v>
      </c>
      <c r="AE472" s="13" t="n">
        <v>5</v>
      </c>
      <c r="AF472" s="13" t="n">
        <v>11.3</v>
      </c>
      <c r="AG472" s="11" t="inlineStr">
        <is>
          <t xml:space="preserve"> Resort Freeride</t>
        </is>
      </c>
      <c r="AH472" s="13" t="n"/>
      <c r="AI472" s="13" t="n"/>
      <c r="AJ472" s="13" t="n"/>
      <c r="AK472" s="42" t="n"/>
    </row>
    <row r="473">
      <c r="E473" s="40" t="inlineStr">
        <is>
          <t>21/22</t>
        </is>
      </c>
      <c r="F473" s="10" t="inlineStr">
        <is>
          <t xml:space="preserve"> Blizzard</t>
        </is>
      </c>
      <c r="G473" s="11" t="inlineStr">
        <is>
          <t>Black Pearl 97</t>
        </is>
      </c>
      <c r="H473" s="13" t="n">
        <v>165</v>
      </c>
      <c r="I473" s="11" t="inlineStr">
        <is>
          <t xml:space="preserve"> Women's</t>
        </is>
      </c>
      <c r="J473" s="13" t="n">
        <v>165</v>
      </c>
      <c r="K473" s="13" t="n">
        <v>163.8</v>
      </c>
      <c r="L473" s="13" t="n">
        <v>130</v>
      </c>
      <c r="M473" s="13" t="n">
        <v>140</v>
      </c>
      <c r="N473" s="13" t="n">
        <v>136</v>
      </c>
      <c r="O473" s="13" t="n">
        <v>96</v>
      </c>
      <c r="P473" s="13" t="n">
        <v>118</v>
      </c>
      <c r="Q473" s="13" t="n">
        <v>15.3</v>
      </c>
      <c r="R473" s="13" t="n">
        <v>1911</v>
      </c>
      <c r="S473" s="13" t="n">
        <v>0.92</v>
      </c>
      <c r="T473" s="13" t="n">
        <v>1766</v>
      </c>
      <c r="U473" s="13" t="n">
        <v>191</v>
      </c>
      <c r="V473" s="13" t="n">
        <v>95</v>
      </c>
      <c r="W473" s="13" t="n">
        <v>59</v>
      </c>
      <c r="X473" s="13" t="n">
        <v>228</v>
      </c>
      <c r="Y473" s="13" t="n">
        <v>9</v>
      </c>
      <c r="Z473" s="13" t="n">
        <v>112</v>
      </c>
      <c r="AA473" s="13" t="n">
        <v>0.16</v>
      </c>
      <c r="AB473" s="13" t="n">
        <v>126</v>
      </c>
      <c r="AC473" s="13" t="n">
        <v>108</v>
      </c>
      <c r="AD473" s="13" t="n">
        <v>102</v>
      </c>
      <c r="AE473" s="13" t="n">
        <v>6</v>
      </c>
      <c r="AF473" s="13" t="n">
        <v>11.4</v>
      </c>
      <c r="AG473" s="11" t="inlineStr">
        <is>
          <t xml:space="preserve"> Resort Freeride</t>
        </is>
      </c>
      <c r="AH473" s="13" t="n"/>
      <c r="AI473" s="13" t="n"/>
      <c r="AJ473" s="13" t="n"/>
      <c r="AK473" s="42" t="n"/>
    </row>
    <row r="474">
      <c r="E474" s="40" t="inlineStr">
        <is>
          <t>21/22</t>
        </is>
      </c>
      <c r="F474" s="10" t="inlineStr">
        <is>
          <t xml:space="preserve"> Blizzard</t>
        </is>
      </c>
      <c r="G474" s="11" t="inlineStr">
        <is>
          <t>Black Pearl 97</t>
        </is>
      </c>
      <c r="H474" s="13" t="n">
        <v>171</v>
      </c>
      <c r="I474" s="11" t="inlineStr">
        <is>
          <t xml:space="preserve"> Women's</t>
        </is>
      </c>
      <c r="J474" s="13" t="n">
        <v>171</v>
      </c>
      <c r="K474" s="13" t="n">
        <v>169.8</v>
      </c>
      <c r="L474" s="13" t="n">
        <v>134</v>
      </c>
      <c r="M474" s="13" t="n">
        <v>146</v>
      </c>
      <c r="N474" s="13" t="n">
        <v>136</v>
      </c>
      <c r="O474" s="13" t="n">
        <v>96</v>
      </c>
      <c r="P474" s="13" t="n">
        <v>118</v>
      </c>
      <c r="Q474" s="13" t="n">
        <v>16.8</v>
      </c>
      <c r="R474" s="13" t="n">
        <v>1926</v>
      </c>
      <c r="S474" s="13" t="n">
        <v>0.95</v>
      </c>
      <c r="T474" s="13" t="n">
        <v>1836</v>
      </c>
      <c r="U474" s="13" t="n">
        <v>190</v>
      </c>
      <c r="V474" s="13" t="n">
        <v>105</v>
      </c>
      <c r="W474" s="13" t="n">
        <v>57</v>
      </c>
      <c r="X474" s="13" t="n">
        <v>244</v>
      </c>
      <c r="Y474" s="13" t="n">
        <v>8</v>
      </c>
      <c r="Z474" s="13" t="n">
        <v>116</v>
      </c>
      <c r="AA474" s="13" t="n">
        <v>0.14</v>
      </c>
      <c r="AB474" s="13" t="n">
        <v>128</v>
      </c>
      <c r="AC474" s="13" t="n">
        <v>112</v>
      </c>
      <c r="AD474" s="13" t="n">
        <v>116</v>
      </c>
      <c r="AE474" s="13" t="n">
        <v>4</v>
      </c>
      <c r="AF474" s="13" t="n">
        <v>11.4</v>
      </c>
      <c r="AG474" s="11" t="inlineStr">
        <is>
          <t xml:space="preserve"> Resort Freeride</t>
        </is>
      </c>
      <c r="AH474" s="13" t="n"/>
      <c r="AI474" s="13" t="n"/>
      <c r="AJ474" s="13" t="n"/>
      <c r="AK474" s="42" t="n"/>
    </row>
    <row r="475">
      <c r="E475" s="40" t="inlineStr">
        <is>
          <t>21/22</t>
        </is>
      </c>
      <c r="F475" s="10" t="inlineStr">
        <is>
          <t xml:space="preserve"> Blizzard</t>
        </is>
      </c>
      <c r="G475" s="11" t="inlineStr">
        <is>
          <t>Bonafide 97</t>
        </is>
      </c>
      <c r="H475" s="13" t="n">
        <v>171</v>
      </c>
      <c r="I475" s="11" t="inlineStr">
        <is>
          <t xml:space="preserve"> Unisex</t>
        </is>
      </c>
      <c r="J475" s="13" t="n">
        <v>171</v>
      </c>
      <c r="K475" s="13" t="n">
        <v>169.8</v>
      </c>
      <c r="L475" s="13" t="n">
        <v>140</v>
      </c>
      <c r="M475" s="13" t="n">
        <v>146</v>
      </c>
      <c r="N475" s="13" t="n">
        <v>136</v>
      </c>
      <c r="O475" s="13" t="n">
        <v>96</v>
      </c>
      <c r="P475" s="13" t="n">
        <v>117</v>
      </c>
      <c r="Q475" s="13" t="n">
        <v>16.7</v>
      </c>
      <c r="R475" s="13" t="n">
        <v>2154</v>
      </c>
      <c r="S475" s="13" t="n">
        <v>0.85</v>
      </c>
      <c r="T475" s="13" t="n">
        <v>1824</v>
      </c>
      <c r="U475" s="13" t="n">
        <v>170</v>
      </c>
      <c r="V475" s="13" t="n">
        <v>107</v>
      </c>
      <c r="W475" s="13" t="n">
        <v>51</v>
      </c>
      <c r="X475" s="13" t="n">
        <v>195</v>
      </c>
      <c r="Y475" s="13" t="n">
        <v>7</v>
      </c>
      <c r="Z475" s="13" t="n">
        <v>98</v>
      </c>
      <c r="AA475" s="13" t="n">
        <v>0.132</v>
      </c>
      <c r="AB475" s="13" t="n">
        <v>129</v>
      </c>
      <c r="AC475" s="13" t="n">
        <v>105</v>
      </c>
      <c r="AD475" s="13" t="n">
        <v>66</v>
      </c>
      <c r="AE475" s="13" t="n">
        <v>9</v>
      </c>
      <c r="AF475" s="13" t="n">
        <v>11.5</v>
      </c>
      <c r="AG475" s="11" t="inlineStr">
        <is>
          <t xml:space="preserve"> Resort Freeride</t>
        </is>
      </c>
      <c r="AH475" s="13" t="n"/>
      <c r="AI475" s="13" t="n"/>
      <c r="AJ475" s="13" t="n"/>
      <c r="AK475" s="42" t="n"/>
    </row>
    <row r="476">
      <c r="E476" s="40" t="inlineStr">
        <is>
          <t>21/22</t>
        </is>
      </c>
      <c r="F476" s="10" t="inlineStr">
        <is>
          <t xml:space="preserve"> Blizzard</t>
        </is>
      </c>
      <c r="G476" s="11" t="inlineStr">
        <is>
          <t>Bonafide 97</t>
        </is>
      </c>
      <c r="H476" s="13" t="n">
        <v>177</v>
      </c>
      <c r="I476" s="11" t="inlineStr">
        <is>
          <t xml:space="preserve"> Unisex</t>
        </is>
      </c>
      <c r="J476" s="13" t="n">
        <v>177</v>
      </c>
      <c r="K476" s="13" t="n">
        <v>176.1</v>
      </c>
      <c r="L476" s="13" t="n">
        <v>148</v>
      </c>
      <c r="M476" s="13" t="n">
        <v>151</v>
      </c>
      <c r="N476" s="13" t="n">
        <v>136</v>
      </c>
      <c r="O476" s="13" t="n">
        <v>96</v>
      </c>
      <c r="P476" s="13" t="n">
        <v>118</v>
      </c>
      <c r="Q476" s="13" t="n">
        <v>18.2</v>
      </c>
      <c r="R476" s="13" t="n">
        <v>2255</v>
      </c>
      <c r="S476" s="13" t="n">
        <v>0.84</v>
      </c>
      <c r="T476" s="13" t="n">
        <v>1898</v>
      </c>
      <c r="U476" s="13" t="n">
        <v>192</v>
      </c>
      <c r="V476" s="13" t="n">
        <v>121</v>
      </c>
      <c r="W476" s="13" t="n">
        <v>44</v>
      </c>
      <c r="X476" s="13" t="n">
        <v>188</v>
      </c>
      <c r="Y476" s="13" t="n">
        <v>6</v>
      </c>
      <c r="Z476" s="13" t="n">
        <v>98</v>
      </c>
      <c r="AA476" s="13" t="n">
        <v>0.133</v>
      </c>
      <c r="AB476" s="13" t="n">
        <v>134</v>
      </c>
      <c r="AC476" s="13" t="n">
        <v>113</v>
      </c>
      <c r="AD476" s="13" t="n">
        <v>54</v>
      </c>
      <c r="AE476" s="13" t="n">
        <v>10</v>
      </c>
      <c r="AF476" s="13" t="n">
        <v>11.3</v>
      </c>
      <c r="AG476" s="11" t="inlineStr">
        <is>
          <t xml:space="preserve"> Resort Freeride</t>
        </is>
      </c>
      <c r="AH476" s="13" t="n"/>
      <c r="AI476" s="13" t="n"/>
      <c r="AJ476" s="13" t="n"/>
      <c r="AK476" s="42" t="n"/>
    </row>
    <row r="477">
      <c r="E477" s="40" t="inlineStr">
        <is>
          <t>21/22</t>
        </is>
      </c>
      <c r="F477" s="10" t="inlineStr">
        <is>
          <t xml:space="preserve"> Blizzard</t>
        </is>
      </c>
      <c r="G477" s="11" t="inlineStr">
        <is>
          <t>Bonafide 97</t>
        </is>
      </c>
      <c r="H477" s="13" t="n">
        <v>183</v>
      </c>
      <c r="I477" s="11" t="inlineStr">
        <is>
          <t xml:space="preserve"> Unisex</t>
        </is>
      </c>
      <c r="J477" s="13" t="n">
        <v>183</v>
      </c>
      <c r="K477" s="13" t="n">
        <v>181.8</v>
      </c>
      <c r="L477" s="13" t="n">
        <v>149</v>
      </c>
      <c r="M477" s="13" t="n">
        <v>157</v>
      </c>
      <c r="N477" s="13" t="n">
        <v>136</v>
      </c>
      <c r="O477" s="13" t="n">
        <v>96</v>
      </c>
      <c r="P477" s="13" t="n">
        <v>117</v>
      </c>
      <c r="Q477" s="13" t="n">
        <v>19.7</v>
      </c>
      <c r="R477" s="13" t="n">
        <v>2287</v>
      </c>
      <c r="S477" s="13" t="n">
        <v>0.86</v>
      </c>
      <c r="T477" s="13" t="n">
        <v>1958</v>
      </c>
      <c r="U477" s="13" t="n">
        <v>230</v>
      </c>
      <c r="V477" s="13" t="n">
        <v>136</v>
      </c>
      <c r="W477" s="13" t="n">
        <v>52</v>
      </c>
      <c r="X477" s="13" t="n">
        <v>226</v>
      </c>
      <c r="Y477" s="13" t="n">
        <v>6</v>
      </c>
      <c r="Z477" s="13" t="n">
        <v>101</v>
      </c>
      <c r="AA477" s="13" t="n">
        <v>0.116</v>
      </c>
      <c r="AB477" s="13" t="n">
        <v>133</v>
      </c>
      <c r="AC477" s="13" t="n">
        <v>119</v>
      </c>
      <c r="AD477" s="13" t="n">
        <v>93</v>
      </c>
      <c r="AE477" s="13" t="n">
        <v>8</v>
      </c>
      <c r="AF477" s="13" t="n">
        <v>11.3</v>
      </c>
      <c r="AG477" s="11" t="inlineStr">
        <is>
          <t xml:space="preserve"> Resort Freeride</t>
        </is>
      </c>
      <c r="AH477" s="13" t="n"/>
      <c r="AI477" s="13" t="n"/>
      <c r="AJ477" s="13" t="n"/>
      <c r="AK477" s="42" t="n"/>
    </row>
    <row r="478">
      <c r="E478" s="40" t="inlineStr">
        <is>
          <t>21/22</t>
        </is>
      </c>
      <c r="F478" s="10" t="inlineStr">
        <is>
          <t xml:space="preserve"> Blizzard</t>
        </is>
      </c>
      <c r="G478" s="11" t="inlineStr">
        <is>
          <t>Brahma 82</t>
        </is>
      </c>
      <c r="H478" s="13" t="n">
        <v>173</v>
      </c>
      <c r="I478" s="11" t="inlineStr">
        <is>
          <t xml:space="preserve"> Unisex</t>
        </is>
      </c>
      <c r="J478" s="13" t="n">
        <v>173</v>
      </c>
      <c r="K478" s="13" t="n">
        <v>171.1</v>
      </c>
      <c r="L478" s="13" t="n">
        <v>136</v>
      </c>
      <c r="M478" s="13" t="n">
        <v>147</v>
      </c>
      <c r="N478" s="13" t="n">
        <v>121</v>
      </c>
      <c r="O478" s="13" t="n">
        <v>81</v>
      </c>
      <c r="P478" s="13" t="n">
        <v>104</v>
      </c>
      <c r="Q478" s="13" t="n">
        <v>17</v>
      </c>
      <c r="R478" s="13" t="n">
        <v>1888</v>
      </c>
      <c r="S478" s="13" t="n">
        <v>0.85</v>
      </c>
      <c r="T478" s="13" t="n">
        <v>1600</v>
      </c>
      <c r="U478" s="13" t="n">
        <v>190</v>
      </c>
      <c r="V478" s="13" t="n">
        <v>122</v>
      </c>
      <c r="W478" s="13" t="n">
        <v>53</v>
      </c>
      <c r="X478" s="13" t="n">
        <v>251</v>
      </c>
      <c r="Y478" s="13" t="n">
        <v>5</v>
      </c>
      <c r="Z478" s="13" t="n">
        <v>97</v>
      </c>
      <c r="AA478" s="13" t="n">
        <v>0.103</v>
      </c>
      <c r="AB478" s="13" t="n">
        <v>126</v>
      </c>
      <c r="AC478" s="13" t="n">
        <v>112</v>
      </c>
      <c r="AD478" s="13" t="n">
        <v>125</v>
      </c>
      <c r="AE478" s="13" t="n">
        <v>4</v>
      </c>
      <c r="AF478" s="13" t="n">
        <v>10.6</v>
      </c>
      <c r="AG478" s="11" t="inlineStr">
        <is>
          <t xml:space="preserve"> On-Piste Carving</t>
        </is>
      </c>
      <c r="AH478" s="11" t="inlineStr">
        <is>
          <t xml:space="preserve"> On-Piste All-Mountain</t>
        </is>
      </c>
      <c r="AI478" s="11" t="inlineStr">
        <is>
          <t xml:space="preserve"> Resort Freeride</t>
        </is>
      </c>
      <c r="AJ478" s="13" t="n"/>
      <c r="AK478" s="42" t="n"/>
    </row>
    <row r="479">
      <c r="E479" s="40" t="inlineStr">
        <is>
          <t>21/22</t>
        </is>
      </c>
      <c r="F479" s="10" t="inlineStr">
        <is>
          <t xml:space="preserve"> Blizzard</t>
        </is>
      </c>
      <c r="G479" s="11" t="inlineStr">
        <is>
          <t>Brahma 82</t>
        </is>
      </c>
      <c r="H479" s="13" t="n">
        <v>180</v>
      </c>
      <c r="I479" s="11" t="inlineStr">
        <is>
          <t xml:space="preserve"> Unisex</t>
        </is>
      </c>
      <c r="J479" s="13" t="n">
        <v>180</v>
      </c>
      <c r="K479" s="13" t="n">
        <v>178</v>
      </c>
      <c r="L479" s="13" t="n">
        <v>148</v>
      </c>
      <c r="M479" s="13" t="n">
        <v>156</v>
      </c>
      <c r="N479" s="13" t="n">
        <v>120</v>
      </c>
      <c r="O479" s="13" t="n">
        <v>81</v>
      </c>
      <c r="P479" s="13" t="n">
        <v>104</v>
      </c>
      <c r="Q479" s="13" t="n">
        <v>19</v>
      </c>
      <c r="R479" s="13" t="n">
        <v>2010</v>
      </c>
      <c r="S479" s="13" t="n">
        <v>0.83</v>
      </c>
      <c r="T479" s="13" t="n">
        <v>1661</v>
      </c>
      <c r="U479" s="13" t="n">
        <v>210</v>
      </c>
      <c r="V479" s="13" t="n">
        <v>127</v>
      </c>
      <c r="W479" s="13" t="n">
        <v>53</v>
      </c>
      <c r="X479" s="13" t="n">
        <v>220</v>
      </c>
      <c r="Y479" s="13" t="n">
        <v>5</v>
      </c>
      <c r="Z479" s="13" t="n">
        <v>81</v>
      </c>
      <c r="AA479" s="13" t="n">
        <v>0.096</v>
      </c>
      <c r="AB479" s="13" t="n">
        <v>119</v>
      </c>
      <c r="AC479" s="13" t="n">
        <v>106</v>
      </c>
      <c r="AD479" s="13" t="n">
        <v>102</v>
      </c>
      <c r="AE479" s="13" t="n">
        <v>9</v>
      </c>
      <c r="AF479" s="13" t="n">
        <v>11.2</v>
      </c>
      <c r="AG479" s="11" t="inlineStr">
        <is>
          <t xml:space="preserve"> On-Piste Carving</t>
        </is>
      </c>
      <c r="AH479" s="11" t="inlineStr">
        <is>
          <t xml:space="preserve"> On-Piste All-Mountain</t>
        </is>
      </c>
      <c r="AI479" s="11" t="inlineStr">
        <is>
          <t xml:space="preserve"> Resort Freeride</t>
        </is>
      </c>
      <c r="AJ479" s="13" t="n"/>
      <c r="AK479" s="42" t="n"/>
    </row>
    <row r="480">
      <c r="E480" s="40" t="inlineStr">
        <is>
          <t>21/22</t>
        </is>
      </c>
      <c r="F480" s="10" t="inlineStr">
        <is>
          <t xml:space="preserve"> Blizzard</t>
        </is>
      </c>
      <c r="G480" s="11" t="inlineStr">
        <is>
          <t>Brahma 82</t>
        </is>
      </c>
      <c r="H480" s="13" t="n">
        <v>187</v>
      </c>
      <c r="I480" s="11" t="inlineStr">
        <is>
          <t xml:space="preserve"> Unisex</t>
        </is>
      </c>
      <c r="J480" s="13" t="n">
        <v>187</v>
      </c>
      <c r="K480" s="13" t="n">
        <v>185</v>
      </c>
      <c r="L480" s="13" t="n">
        <v>150</v>
      </c>
      <c r="M480" s="13" t="n">
        <v>162</v>
      </c>
      <c r="N480" s="13" t="n">
        <v>121</v>
      </c>
      <c r="O480" s="13" t="n">
        <v>81</v>
      </c>
      <c r="P480" s="13" t="n">
        <v>104</v>
      </c>
      <c r="Q480" s="13" t="n">
        <v>20.5</v>
      </c>
      <c r="R480" s="13" t="n">
        <v>2080</v>
      </c>
      <c r="S480" s="13" t="n">
        <v>0.83</v>
      </c>
      <c r="T480" s="13" t="n">
        <v>1729</v>
      </c>
      <c r="U480" s="13" t="n">
        <v>275</v>
      </c>
      <c r="V480" s="13" t="n">
        <v>152</v>
      </c>
      <c r="W480" s="13" t="n">
        <v>55</v>
      </c>
      <c r="X480" s="13" t="n">
        <v>251</v>
      </c>
      <c r="Y480" s="13" t="n">
        <v>5</v>
      </c>
      <c r="Z480" s="13" t="n">
        <v>95</v>
      </c>
      <c r="AA480" s="13" t="n">
        <v>0.08500000000000001</v>
      </c>
      <c r="AB480" s="13" t="n">
        <v>122</v>
      </c>
      <c r="AC480" s="13" t="n">
        <v>110</v>
      </c>
      <c r="AD480" s="13" t="n">
        <v>129</v>
      </c>
      <c r="AE480" s="13" t="n">
        <v>4</v>
      </c>
      <c r="AF480" s="13" t="n">
        <v>11.1</v>
      </c>
      <c r="AG480" s="11" t="inlineStr">
        <is>
          <t xml:space="preserve"> On-Piste Carving</t>
        </is>
      </c>
      <c r="AH480" s="11" t="inlineStr">
        <is>
          <t xml:space="preserve"> On-Piste All-Mountain</t>
        </is>
      </c>
      <c r="AI480" s="11" t="inlineStr">
        <is>
          <t xml:space="preserve"> Resort Freeride</t>
        </is>
      </c>
      <c r="AJ480" s="13" t="n"/>
      <c r="AK480" s="42" t="n"/>
    </row>
    <row r="481">
      <c r="E481" s="40" t="inlineStr">
        <is>
          <t>21/22</t>
        </is>
      </c>
      <c r="F481" s="10" t="inlineStr">
        <is>
          <t xml:space="preserve"> Blizzard</t>
        </is>
      </c>
      <c r="G481" s="11" t="inlineStr">
        <is>
          <t>Brahma 88</t>
        </is>
      </c>
      <c r="H481" s="13" t="n">
        <v>165</v>
      </c>
      <c r="I481" s="11" t="inlineStr">
        <is>
          <t xml:space="preserve"> Unisex</t>
        </is>
      </c>
      <c r="J481" s="13" t="n">
        <v>165</v>
      </c>
      <c r="K481" s="13" t="n">
        <v>163.5</v>
      </c>
      <c r="L481" s="13" t="n">
        <v>133</v>
      </c>
      <c r="M481" s="13" t="n">
        <v>141</v>
      </c>
      <c r="N481" s="13" t="n">
        <v>128</v>
      </c>
      <c r="O481" s="13" t="n">
        <v>86</v>
      </c>
      <c r="P481" s="13" t="n">
        <v>109</v>
      </c>
      <c r="Q481" s="13" t="n">
        <v>14.6</v>
      </c>
      <c r="R481" s="13" t="n">
        <v>1894</v>
      </c>
      <c r="S481" s="13" t="n">
        <v>0.85</v>
      </c>
      <c r="T481" s="13" t="n">
        <v>1618</v>
      </c>
      <c r="U481" s="13" t="n">
        <v>178</v>
      </c>
      <c r="V481" s="13" t="n">
        <v>89</v>
      </c>
      <c r="W481" s="13" t="n">
        <v>59</v>
      </c>
      <c r="X481" s="13" t="n">
        <v>202</v>
      </c>
      <c r="Y481" s="13" t="n">
        <v>7</v>
      </c>
      <c r="Z481" s="13" t="n">
        <v>101</v>
      </c>
      <c r="AA481" s="13" t="n">
        <v>0.113</v>
      </c>
      <c r="AB481" s="13" t="n">
        <v>122</v>
      </c>
      <c r="AC481" s="13" t="n">
        <v>103</v>
      </c>
      <c r="AD481" s="13" t="n">
        <v>80</v>
      </c>
      <c r="AE481" s="13" t="n">
        <v>8</v>
      </c>
      <c r="AF481" s="13" t="n">
        <v>11</v>
      </c>
      <c r="AG481" s="11" t="inlineStr">
        <is>
          <t xml:space="preserve"> Resort Freeride</t>
        </is>
      </c>
      <c r="AH481" s="13" t="n"/>
      <c r="AI481" s="13" t="n"/>
      <c r="AJ481" s="13" t="n"/>
      <c r="AK481" s="42" t="n"/>
    </row>
    <row r="482">
      <c r="E482" s="40" t="inlineStr">
        <is>
          <t>21/22</t>
        </is>
      </c>
      <c r="F482" s="10" t="inlineStr">
        <is>
          <t xml:space="preserve"> Blizzard</t>
        </is>
      </c>
      <c r="G482" s="11" t="inlineStr">
        <is>
          <t>Brahma 88</t>
        </is>
      </c>
      <c r="H482" s="13" t="n">
        <v>177</v>
      </c>
      <c r="I482" s="11" t="inlineStr">
        <is>
          <t xml:space="preserve"> Unisex</t>
        </is>
      </c>
      <c r="J482" s="13" t="n">
        <v>177</v>
      </c>
      <c r="K482" s="13" t="n">
        <v>175.9</v>
      </c>
      <c r="L482" s="13" t="n">
        <v>144</v>
      </c>
      <c r="M482" s="13" t="n">
        <v>154</v>
      </c>
      <c r="N482" s="13" t="n">
        <v>128</v>
      </c>
      <c r="O482" s="13" t="n">
        <v>86</v>
      </c>
      <c r="P482" s="13" t="n">
        <v>109</v>
      </c>
      <c r="Q482" s="13" t="n">
        <v>17.3</v>
      </c>
      <c r="R482" s="13" t="n">
        <v>2133</v>
      </c>
      <c r="S482" s="13" t="n">
        <v>0.8100000000000001</v>
      </c>
      <c r="T482" s="13" t="n">
        <v>1735</v>
      </c>
      <c r="U482" s="13" t="n">
        <v>219</v>
      </c>
      <c r="V482" s="13" t="n">
        <v>115</v>
      </c>
      <c r="W482" s="13" t="n">
        <v>53</v>
      </c>
      <c r="X482" s="13" t="n">
        <v>211</v>
      </c>
      <c r="Y482" s="13" t="n">
        <v>8</v>
      </c>
      <c r="Z482" s="13" t="n">
        <v>112</v>
      </c>
      <c r="AA482" s="13" t="n">
        <v>0.147</v>
      </c>
      <c r="AB482" s="13" t="n">
        <v>119</v>
      </c>
      <c r="AC482" s="13" t="n">
        <v>99</v>
      </c>
      <c r="AD482" s="13" t="n">
        <v>92</v>
      </c>
      <c r="AE482" s="13" t="n">
        <v>5</v>
      </c>
      <c r="AF482" s="13" t="n">
        <v>11.1</v>
      </c>
      <c r="AG482" s="11" t="inlineStr">
        <is>
          <t xml:space="preserve"> Resort Freeride</t>
        </is>
      </c>
      <c r="AH482" s="13" t="n"/>
      <c r="AI482" s="13" t="n"/>
      <c r="AJ482" s="13" t="n"/>
      <c r="AK482" s="42" t="n"/>
    </row>
    <row r="483">
      <c r="E483" s="40" t="inlineStr">
        <is>
          <t>21/22</t>
        </is>
      </c>
      <c r="F483" s="10" t="inlineStr">
        <is>
          <t xml:space="preserve"> Blizzard</t>
        </is>
      </c>
      <c r="G483" s="11" t="inlineStr">
        <is>
          <t>Brahma 88</t>
        </is>
      </c>
      <c r="H483" s="13" t="n">
        <v>183</v>
      </c>
      <c r="I483" s="11" t="inlineStr">
        <is>
          <t xml:space="preserve"> Unisex</t>
        </is>
      </c>
      <c r="J483" s="13" t="n">
        <v>183</v>
      </c>
      <c r="K483" s="13" t="n">
        <v>181.8</v>
      </c>
      <c r="L483" s="13" t="n">
        <v>152</v>
      </c>
      <c r="M483" s="13" t="n">
        <v>159</v>
      </c>
      <c r="N483" s="13" t="n">
        <v>128</v>
      </c>
      <c r="O483" s="13" t="n">
        <v>86</v>
      </c>
      <c r="P483" s="13" t="n">
        <v>110</v>
      </c>
      <c r="Q483" s="13" t="n">
        <v>18.8</v>
      </c>
      <c r="R483" s="13" t="n">
        <v>2198</v>
      </c>
      <c r="S483" s="13" t="n">
        <v>0.82</v>
      </c>
      <c r="T483" s="13" t="n">
        <v>1796</v>
      </c>
      <c r="U483" s="13" t="n">
        <v>229</v>
      </c>
      <c r="V483" s="13" t="n">
        <v>127</v>
      </c>
      <c r="W483" s="13" t="n">
        <v>51</v>
      </c>
      <c r="X483" s="13" t="n">
        <v>205</v>
      </c>
      <c r="Y483" s="13" t="n">
        <v>5</v>
      </c>
      <c r="Z483" s="13" t="n">
        <v>89</v>
      </c>
      <c r="AA483" s="13" t="n">
        <v>0.095</v>
      </c>
      <c r="AB483" s="13" t="n">
        <v>122</v>
      </c>
      <c r="AC483" s="13" t="n">
        <v>106</v>
      </c>
      <c r="AD483" s="13" t="n">
        <v>83</v>
      </c>
      <c r="AE483" s="13" t="n">
        <v>11</v>
      </c>
      <c r="AF483" s="13" t="n">
        <v>11.1</v>
      </c>
      <c r="AG483" s="11" t="inlineStr">
        <is>
          <t xml:space="preserve"> Resort Freeride</t>
        </is>
      </c>
      <c r="AH483" s="13" t="n"/>
      <c r="AI483" s="13" t="n"/>
      <c r="AJ483" s="13" t="n"/>
      <c r="AK483" s="42" t="n"/>
    </row>
    <row r="484">
      <c r="E484" s="40" t="inlineStr">
        <is>
          <t>21/22</t>
        </is>
      </c>
      <c r="F484" s="10" t="inlineStr">
        <is>
          <t xml:space="preserve"> Blizzard</t>
        </is>
      </c>
      <c r="G484" s="11" t="inlineStr">
        <is>
          <t>Brahma 88</t>
        </is>
      </c>
      <c r="H484" s="13" t="n">
        <v>189</v>
      </c>
      <c r="I484" s="11" t="inlineStr">
        <is>
          <t xml:space="preserve"> Unisex</t>
        </is>
      </c>
      <c r="J484" s="13" t="n">
        <v>189</v>
      </c>
      <c r="K484" s="13" t="n">
        <v>188.1</v>
      </c>
      <c r="L484" s="13" t="n">
        <v>160</v>
      </c>
      <c r="M484" s="13" t="n">
        <v>165</v>
      </c>
      <c r="N484" s="13" t="n">
        <v>127</v>
      </c>
      <c r="O484" s="13" t="n">
        <v>86</v>
      </c>
      <c r="P484" s="13" t="n">
        <v>109</v>
      </c>
      <c r="Q484" s="13" t="n">
        <v>20.5</v>
      </c>
      <c r="R484" s="13" t="n">
        <v>2306</v>
      </c>
      <c r="S484" s="13" t="n">
        <v>0.8</v>
      </c>
      <c r="T484" s="13" t="n">
        <v>1848</v>
      </c>
      <c r="U484" s="13" t="n">
        <v>253</v>
      </c>
      <c r="V484" s="13" t="n">
        <v>139</v>
      </c>
      <c r="W484" s="13" t="n">
        <v>54</v>
      </c>
      <c r="X484" s="13" t="n">
        <v>198</v>
      </c>
      <c r="Y484" s="13" t="n">
        <v>4</v>
      </c>
      <c r="Z484" s="13" t="n">
        <v>85</v>
      </c>
      <c r="AA484" s="13" t="n">
        <v>0.078</v>
      </c>
      <c r="AB484" s="13" t="n">
        <v>123</v>
      </c>
      <c r="AC484" s="13" t="n">
        <v>104</v>
      </c>
      <c r="AD484" s="13" t="n">
        <v>75</v>
      </c>
      <c r="AE484" s="13" t="n">
        <v>12</v>
      </c>
      <c r="AF484" s="13" t="n">
        <v>11</v>
      </c>
      <c r="AG484" s="11" t="inlineStr">
        <is>
          <t xml:space="preserve"> Resort Freeride</t>
        </is>
      </c>
      <c r="AH484" s="13" t="n"/>
      <c r="AI484" s="13" t="n"/>
      <c r="AJ484" s="13" t="n"/>
      <c r="AK484" s="42" t="n"/>
    </row>
    <row r="485">
      <c r="E485" s="40" t="inlineStr">
        <is>
          <t>21/22</t>
        </is>
      </c>
      <c r="F485" s="10" t="inlineStr">
        <is>
          <t xml:space="preserve"> Blizzard</t>
        </is>
      </c>
      <c r="G485" s="11" t="inlineStr">
        <is>
          <t>Cochise 106</t>
        </is>
      </c>
      <c r="H485" s="13" t="n">
        <v>177</v>
      </c>
      <c r="I485" s="11" t="inlineStr">
        <is>
          <t xml:space="preserve"> Unisex</t>
        </is>
      </c>
      <c r="J485" s="13" t="n">
        <v>177</v>
      </c>
      <c r="K485" s="13" t="n">
        <v>175.1</v>
      </c>
      <c r="L485" s="13" t="n">
        <v>114</v>
      </c>
      <c r="M485" s="13" t="n">
        <v>149</v>
      </c>
      <c r="N485" s="13" t="n">
        <v>135</v>
      </c>
      <c r="O485" s="13" t="n">
        <v>106</v>
      </c>
      <c r="P485" s="13" t="n">
        <v>123</v>
      </c>
      <c r="Q485" s="13" t="n">
        <v>23.9</v>
      </c>
      <c r="R485" s="13" t="n">
        <v>2214</v>
      </c>
      <c r="S485" s="13" t="n">
        <v>0.9</v>
      </c>
      <c r="T485" s="13" t="n">
        <v>2003</v>
      </c>
      <c r="U485" s="13" t="n">
        <v>203</v>
      </c>
      <c r="V485" s="13" t="n">
        <v>129</v>
      </c>
      <c r="W485" s="13" t="n">
        <v>47</v>
      </c>
      <c r="X485" s="13" t="n">
        <v>316</v>
      </c>
      <c r="Y485" s="13" t="n">
        <v>16</v>
      </c>
      <c r="Z485" s="13" t="n">
        <v>291</v>
      </c>
      <c r="AA485" s="13" t="n">
        <v>0.348</v>
      </c>
      <c r="AB485" s="13" t="n">
        <v>151</v>
      </c>
      <c r="AC485" s="13" t="n">
        <v>114</v>
      </c>
      <c r="AD485" s="13" t="n">
        <v>165</v>
      </c>
      <c r="AE485" s="13" t="n">
        <v>4</v>
      </c>
      <c r="AF485" s="13" t="n">
        <v>11.4</v>
      </c>
      <c r="AG485" s="11" t="inlineStr">
        <is>
          <t xml:space="preserve"> Big Mountain</t>
        </is>
      </c>
      <c r="AH485" s="13" t="n"/>
      <c r="AI485" s="13" t="n"/>
      <c r="AJ485" s="13" t="n"/>
      <c r="AK485" s="42" t="n"/>
    </row>
    <row r="486">
      <c r="E486" s="40" t="inlineStr">
        <is>
          <t>21/22</t>
        </is>
      </c>
      <c r="F486" s="10" t="inlineStr">
        <is>
          <t xml:space="preserve"> Blizzard</t>
        </is>
      </c>
      <c r="G486" s="11" t="inlineStr">
        <is>
          <t>Cochise 106</t>
        </is>
      </c>
      <c r="H486" s="13" t="n">
        <v>185</v>
      </c>
      <c r="I486" s="11" t="inlineStr">
        <is>
          <t xml:space="preserve"> Unisex</t>
        </is>
      </c>
      <c r="J486" s="13" t="n">
        <v>185</v>
      </c>
      <c r="K486" s="13" t="n">
        <v>182.9</v>
      </c>
      <c r="L486" s="13" t="n">
        <v>138</v>
      </c>
      <c r="M486" s="13" t="n">
        <v>157</v>
      </c>
      <c r="N486" s="13" t="n">
        <v>136</v>
      </c>
      <c r="O486" s="13" t="n">
        <v>106</v>
      </c>
      <c r="P486" s="13" t="n">
        <v>123</v>
      </c>
      <c r="Q486" s="13" t="n">
        <v>25.2</v>
      </c>
      <c r="R486" s="13" t="n">
        <v>2372</v>
      </c>
      <c r="S486" s="13" t="n">
        <v>0.88</v>
      </c>
      <c r="T486" s="13" t="n">
        <v>2096</v>
      </c>
      <c r="U486" s="13" t="n">
        <v>255</v>
      </c>
      <c r="V486" s="13" t="n">
        <v>165</v>
      </c>
      <c r="W486" s="13" t="n">
        <v>49</v>
      </c>
      <c r="X486" s="13" t="n">
        <v>332</v>
      </c>
      <c r="Y486" s="13" t="n">
        <v>14</v>
      </c>
      <c r="Z486" s="13" t="n">
        <v>122</v>
      </c>
      <c r="AA486" s="13" t="n">
        <v>0.283</v>
      </c>
      <c r="AB486" s="13" t="n">
        <v>142</v>
      </c>
      <c r="AC486" s="13" t="n">
        <v>117</v>
      </c>
      <c r="AD486" s="13" t="n">
        <v>189</v>
      </c>
      <c r="AE486" s="13" t="n">
        <v>5</v>
      </c>
      <c r="AF486" s="13" t="n">
        <v>11.4</v>
      </c>
      <c r="AG486" s="11" t="inlineStr">
        <is>
          <t xml:space="preserve"> Big Mountain</t>
        </is>
      </c>
      <c r="AH486" s="13" t="n"/>
      <c r="AI486" s="13" t="n"/>
      <c r="AJ486" s="13" t="n"/>
      <c r="AK486" s="42" t="n"/>
    </row>
    <row r="487">
      <c r="E487" s="40" t="inlineStr">
        <is>
          <t>21/22</t>
        </is>
      </c>
      <c r="F487" s="10" t="inlineStr">
        <is>
          <t xml:space="preserve"> Blizzard</t>
        </is>
      </c>
      <c r="G487" s="11" t="inlineStr">
        <is>
          <t>Cochise 106</t>
        </is>
      </c>
      <c r="H487" s="13" t="n">
        <v>192</v>
      </c>
      <c r="I487" s="11" t="inlineStr">
        <is>
          <t xml:space="preserve"> Unisex</t>
        </is>
      </c>
      <c r="J487" s="13" t="n">
        <v>192</v>
      </c>
      <c r="K487" s="13" t="n">
        <v>190.3</v>
      </c>
      <c r="L487" s="13" t="n">
        <v>144</v>
      </c>
      <c r="M487" s="13" t="n">
        <v>164</v>
      </c>
      <c r="N487" s="13" t="n">
        <v>136</v>
      </c>
      <c r="O487" s="13" t="n">
        <v>106</v>
      </c>
      <c r="P487" s="13" t="n">
        <v>123</v>
      </c>
      <c r="Q487" s="13" t="n">
        <v>26.9</v>
      </c>
      <c r="R487" s="13" t="n">
        <v>2576</v>
      </c>
      <c r="S487" s="13" t="n">
        <v>0.84</v>
      </c>
      <c r="T487" s="13" t="n">
        <v>2176</v>
      </c>
      <c r="U487" s="13" t="n">
        <v>296</v>
      </c>
      <c r="V487" s="13" t="n">
        <v>195</v>
      </c>
      <c r="W487" s="13" t="n">
        <v>52</v>
      </c>
      <c r="X487" s="13" t="n">
        <v>345</v>
      </c>
      <c r="Y487" s="13" t="n">
        <v>13</v>
      </c>
      <c r="Z487" s="13" t="n">
        <v>115</v>
      </c>
      <c r="AA487" s="13" t="n">
        <v>0.255</v>
      </c>
      <c r="AB487" s="13" t="n">
        <v>148</v>
      </c>
      <c r="AC487" s="13" t="n">
        <v>112</v>
      </c>
      <c r="AD487" s="13" t="n">
        <v>197</v>
      </c>
      <c r="AE487" s="13" t="n">
        <v>7</v>
      </c>
      <c r="AF487" s="13" t="n">
        <v>11</v>
      </c>
      <c r="AG487" s="11" t="inlineStr">
        <is>
          <t xml:space="preserve"> Big Mountain</t>
        </is>
      </c>
      <c r="AH487" s="13" t="n"/>
      <c r="AI487" s="13" t="n"/>
      <c r="AJ487" s="13" t="n"/>
      <c r="AK487" s="42" t="n"/>
    </row>
    <row r="488">
      <c r="E488" s="40" t="inlineStr">
        <is>
          <t>21/22</t>
        </is>
      </c>
      <c r="F488" s="10" t="inlineStr">
        <is>
          <t xml:space="preserve"> Blizzard</t>
        </is>
      </c>
      <c r="G488" s="11" t="inlineStr">
        <is>
          <t xml:space="preserve"> HRC</t>
        </is>
      </c>
      <c r="H488" s="13" t="n">
        <v>166</v>
      </c>
      <c r="I488" s="11" t="inlineStr">
        <is>
          <t xml:space="preserve"> Unisex</t>
        </is>
      </c>
      <c r="J488" s="13" t="n">
        <v>166</v>
      </c>
      <c r="K488" s="13" t="n">
        <v>165.2</v>
      </c>
      <c r="L488" s="13" t="n">
        <v>148</v>
      </c>
      <c r="M488" s="13" t="n">
        <v>153</v>
      </c>
      <c r="N488" s="13" t="n">
        <v>123</v>
      </c>
      <c r="O488" s="13" t="n">
        <v>74</v>
      </c>
      <c r="P488" s="13" t="n">
        <v>104</v>
      </c>
      <c r="Q488" s="13" t="n">
        <v>14.4</v>
      </c>
      <c r="R488" s="13" t="n">
        <v>2094</v>
      </c>
      <c r="S488" s="13" t="n">
        <v>0.7</v>
      </c>
      <c r="T488" s="13" t="n">
        <v>1465</v>
      </c>
      <c r="U488" s="13" t="n">
        <v>198</v>
      </c>
      <c r="V488" s="13" t="n">
        <v>129</v>
      </c>
      <c r="W488" s="13" t="n">
        <v>36</v>
      </c>
      <c r="X488" s="13" t="n">
        <v>123</v>
      </c>
      <c r="Y488" s="13" t="n">
        <v>5</v>
      </c>
      <c r="Z488" s="13" t="n">
        <v>49</v>
      </c>
      <c r="AA488" s="13" t="n">
        <v>0.146</v>
      </c>
      <c r="AB488" s="13" t="n">
        <v>73</v>
      </c>
      <c r="AC488" s="13" t="n">
        <v>51</v>
      </c>
      <c r="AD488" s="13" t="n">
        <v>50</v>
      </c>
      <c r="AE488" s="13" t="n">
        <v>10</v>
      </c>
      <c r="AF488" s="13" t="n">
        <v>11.2</v>
      </c>
      <c r="AG488" s="11" t="inlineStr">
        <is>
          <t xml:space="preserve"> On-Piste Carving</t>
        </is>
      </c>
      <c r="AH488" s="13" t="n"/>
      <c r="AI488" s="13" t="n"/>
      <c r="AJ488" s="13" t="n"/>
      <c r="AK488" s="42" t="n"/>
    </row>
    <row r="489">
      <c r="E489" s="40" t="inlineStr">
        <is>
          <t>21/22</t>
        </is>
      </c>
      <c r="F489" s="10" t="inlineStr">
        <is>
          <t xml:space="preserve"> Blizzard</t>
        </is>
      </c>
      <c r="G489" s="11" t="inlineStr">
        <is>
          <t xml:space="preserve"> HRC</t>
        </is>
      </c>
      <c r="H489" s="13" t="n">
        <v>174</v>
      </c>
      <c r="I489" s="11" t="inlineStr">
        <is>
          <t xml:space="preserve"> Unisex</t>
        </is>
      </c>
      <c r="J489" s="13" t="n">
        <v>174</v>
      </c>
      <c r="K489" s="13" t="n">
        <v>173.1</v>
      </c>
      <c r="L489" s="13" t="n">
        <v>156</v>
      </c>
      <c r="M489" s="13" t="n">
        <v>160</v>
      </c>
      <c r="N489" s="13" t="n">
        <v>125</v>
      </c>
      <c r="O489" s="13" t="n">
        <v>75</v>
      </c>
      <c r="P489" s="13" t="n">
        <v>106</v>
      </c>
      <c r="Q489" s="13" t="n">
        <v>15.2</v>
      </c>
      <c r="R489" s="13" t="n">
        <v>2192</v>
      </c>
      <c r="S489" s="13" t="n">
        <v>0.71</v>
      </c>
      <c r="T489" s="13" t="n">
        <v>1555</v>
      </c>
      <c r="U489" s="13" t="n">
        <v>229</v>
      </c>
      <c r="V489" s="13" t="n">
        <v>142</v>
      </c>
      <c r="W489" s="13" t="n">
        <v>37</v>
      </c>
      <c r="X489" s="13" t="n">
        <v>122</v>
      </c>
      <c r="Y489" s="13" t="n">
        <v>5</v>
      </c>
      <c r="Z489" s="13" t="n">
        <v>51</v>
      </c>
      <c r="AA489" s="13" t="n">
        <v>0.148</v>
      </c>
      <c r="AB489" s="13" t="n">
        <v>76</v>
      </c>
      <c r="AC489" s="13" t="n">
        <v>52</v>
      </c>
      <c r="AD489" s="13" t="n">
        <v>46</v>
      </c>
      <c r="AE489" s="13" t="n">
        <v>9</v>
      </c>
      <c r="AF489" s="13" t="n">
        <v>11.1</v>
      </c>
      <c r="AG489" s="11" t="inlineStr">
        <is>
          <t xml:space="preserve"> On-Piste Carving</t>
        </is>
      </c>
      <c r="AH489" s="13" t="n"/>
      <c r="AI489" s="13" t="n"/>
      <c r="AJ489" s="13" t="n"/>
      <c r="AK489" s="42" t="n"/>
    </row>
    <row r="490">
      <c r="E490" s="40" t="inlineStr">
        <is>
          <t>21/22</t>
        </is>
      </c>
      <c r="F490" s="10" t="inlineStr">
        <is>
          <t xml:space="preserve"> Blizzard</t>
        </is>
      </c>
      <c r="G490" s="11" t="inlineStr">
        <is>
          <t>Phoenix 7.2</t>
        </is>
      </c>
      <c r="H490" s="13" t="n">
        <v>153</v>
      </c>
      <c r="I490" s="11" t="inlineStr">
        <is>
          <t xml:space="preserve"> Women's</t>
        </is>
      </c>
      <c r="J490" s="13" t="n">
        <v>153</v>
      </c>
      <c r="K490" s="13" t="n">
        <v>151.4</v>
      </c>
      <c r="L490" s="13" t="n">
        <v>132</v>
      </c>
      <c r="M490" s="13" t="n">
        <v>139</v>
      </c>
      <c r="N490" s="13" t="n">
        <v>119</v>
      </c>
      <c r="O490" s="13" t="n">
        <v>71</v>
      </c>
      <c r="P490" s="13" t="n">
        <v>101</v>
      </c>
      <c r="Q490" s="13" t="n">
        <v>12.5</v>
      </c>
      <c r="R490" s="13" t="n">
        <v>1608</v>
      </c>
      <c r="S490" s="13" t="n">
        <v>0.8</v>
      </c>
      <c r="T490" s="13" t="n">
        <v>1292</v>
      </c>
      <c r="U490" s="13" t="n">
        <v>202</v>
      </c>
      <c r="V490" s="13" t="n">
        <v>74</v>
      </c>
      <c r="W490" s="13" t="n">
        <v>31</v>
      </c>
      <c r="X490" s="13" t="n">
        <v>133</v>
      </c>
      <c r="Y490" s="13" t="n">
        <v>8</v>
      </c>
      <c r="Z490" s="13" t="n">
        <v>64</v>
      </c>
      <c r="AA490" s="13" t="n">
        <v>0.259</v>
      </c>
      <c r="AB490" s="13" t="n">
        <v>73</v>
      </c>
      <c r="AC490" s="13" t="n">
        <v>51</v>
      </c>
      <c r="AD490" s="13" t="n">
        <v>59</v>
      </c>
      <c r="AE490" s="13" t="n">
        <v>7</v>
      </c>
      <c r="AF490" s="13" t="n">
        <v>10.2</v>
      </c>
      <c r="AG490" s="11" t="inlineStr">
        <is>
          <t xml:space="preserve"> On-Piste Carving</t>
        </is>
      </c>
      <c r="AH490" s="13" t="n"/>
      <c r="AI490" s="13" t="n"/>
      <c r="AJ490" s="13" t="n"/>
      <c r="AK490" s="42" t="n"/>
    </row>
    <row r="491">
      <c r="E491" s="40" t="inlineStr">
        <is>
          <t>21/22</t>
        </is>
      </c>
      <c r="F491" s="10" t="inlineStr">
        <is>
          <t xml:space="preserve"> Blizzard</t>
        </is>
      </c>
      <c r="G491" s="11" t="inlineStr">
        <is>
          <t>Phoenix 7.2</t>
        </is>
      </c>
      <c r="H491" s="13" t="n">
        <v>160</v>
      </c>
      <c r="I491" s="11" t="inlineStr">
        <is>
          <t xml:space="preserve"> Women's</t>
        </is>
      </c>
      <c r="J491" s="13" t="n">
        <v>160</v>
      </c>
      <c r="K491" s="13" t="n">
        <v>158.5</v>
      </c>
      <c r="L491" s="13" t="n">
        <v>133</v>
      </c>
      <c r="M491" s="13" t="n">
        <v>146</v>
      </c>
      <c r="N491" s="13" t="n">
        <v>118</v>
      </c>
      <c r="O491" s="13" t="n">
        <v>71</v>
      </c>
      <c r="P491" s="13" t="n">
        <v>101</v>
      </c>
      <c r="Q491" s="13" t="n">
        <v>13.8</v>
      </c>
      <c r="R491" s="13" t="n">
        <v>1809</v>
      </c>
      <c r="S491" s="13" t="n">
        <v>0.74</v>
      </c>
      <c r="T491" s="13" t="n">
        <v>1346</v>
      </c>
      <c r="U491" s="13" t="n">
        <v>227</v>
      </c>
      <c r="V491" s="13" t="n">
        <v>89</v>
      </c>
      <c r="W491" s="13" t="n">
        <v>34</v>
      </c>
      <c r="X491" s="13" t="n">
        <v>186</v>
      </c>
      <c r="Y491" s="13" t="n">
        <v>8</v>
      </c>
      <c r="Z491" s="13" t="n">
        <v>74</v>
      </c>
      <c r="AA491" s="13" t="n">
        <v>0.249</v>
      </c>
      <c r="AB491" s="13" t="n">
        <v>76</v>
      </c>
      <c r="AC491" s="13" t="n">
        <v>54</v>
      </c>
      <c r="AD491" s="13" t="n">
        <v>111</v>
      </c>
      <c r="AE491" s="13" t="n">
        <v>7</v>
      </c>
      <c r="AF491" s="13" t="n">
        <v>10.2</v>
      </c>
      <c r="AG491" s="11" t="inlineStr">
        <is>
          <t xml:space="preserve"> On-Piste Carving</t>
        </is>
      </c>
      <c r="AH491" s="13" t="n"/>
      <c r="AI491" s="13" t="n"/>
      <c r="AJ491" s="13" t="n"/>
      <c r="AK491" s="42" t="n"/>
    </row>
    <row r="492">
      <c r="E492" s="40" t="inlineStr">
        <is>
          <t>21/22</t>
        </is>
      </c>
      <c r="F492" s="10" t="inlineStr">
        <is>
          <t xml:space="preserve"> Blizzard</t>
        </is>
      </c>
      <c r="G492" s="11" t="inlineStr">
        <is>
          <t>Phoenix S R13 Ti</t>
        </is>
      </c>
      <c r="H492" s="13" t="n">
        <v>156</v>
      </c>
      <c r="I492" s="11" t="inlineStr">
        <is>
          <t xml:space="preserve"> Women's</t>
        </is>
      </c>
      <c r="J492" s="13" t="n">
        <v>156</v>
      </c>
      <c r="K492" s="13" t="n">
        <v>154.2</v>
      </c>
      <c r="L492" s="13" t="n">
        <v>130</v>
      </c>
      <c r="M492" s="13" t="n">
        <v>142</v>
      </c>
      <c r="N492" s="13" t="n">
        <v>116</v>
      </c>
      <c r="O492" s="13" t="n">
        <v>71</v>
      </c>
      <c r="P492" s="13" t="n">
        <v>99</v>
      </c>
      <c r="Q492" s="13" t="n">
        <v>13.8</v>
      </c>
      <c r="R492" s="13" t="n">
        <v>1682</v>
      </c>
      <c r="S492" s="13" t="n">
        <v>0.78</v>
      </c>
      <c r="T492" s="13" t="n">
        <v>1304</v>
      </c>
      <c r="U492" s="13" t="n">
        <v>180</v>
      </c>
      <c r="V492" s="13" t="n">
        <v>78</v>
      </c>
      <c r="W492" s="13" t="n">
        <v>42</v>
      </c>
      <c r="X492" s="13" t="n">
        <v>168</v>
      </c>
      <c r="Y492" s="13" t="n">
        <v>8</v>
      </c>
      <c r="Z492" s="13" t="n">
        <v>70</v>
      </c>
      <c r="AA492" s="13" t="n">
        <v>0.197</v>
      </c>
      <c r="AB492" s="13" t="n">
        <v>67</v>
      </c>
      <c r="AC492" s="13" t="n">
        <v>52</v>
      </c>
      <c r="AD492" s="13" t="n">
        <v>101</v>
      </c>
      <c r="AE492" s="13" t="n">
        <v>5</v>
      </c>
      <c r="AF492" s="13" t="n">
        <v>10.1</v>
      </c>
      <c r="AG492" s="11" t="inlineStr">
        <is>
          <t xml:space="preserve"> On-Piste Carving</t>
        </is>
      </c>
      <c r="AH492" s="13" t="n"/>
      <c r="AI492" s="13" t="n"/>
      <c r="AJ492" s="13" t="n"/>
      <c r="AK492" s="42" t="n"/>
    </row>
    <row r="493">
      <c r="E493" s="40" t="inlineStr">
        <is>
          <t>21/22</t>
        </is>
      </c>
      <c r="F493" s="10" t="inlineStr">
        <is>
          <t xml:space="preserve"> Blizzard</t>
        </is>
      </c>
      <c r="G493" s="11" t="inlineStr">
        <is>
          <t>Rustler 10</t>
        </is>
      </c>
      <c r="H493" s="13" t="n">
        <v>164</v>
      </c>
      <c r="I493" s="11" t="inlineStr">
        <is>
          <t xml:space="preserve"> Unisex</t>
        </is>
      </c>
      <c r="J493" s="13" t="n">
        <v>164</v>
      </c>
      <c r="K493" s="13" t="n">
        <v>162.4</v>
      </c>
      <c r="L493" s="13" t="n">
        <v>98</v>
      </c>
      <c r="M493" s="13" t="n">
        <v>133</v>
      </c>
      <c r="N493" s="13" t="n">
        <v>131</v>
      </c>
      <c r="O493" s="13" t="n">
        <v>101</v>
      </c>
      <c r="P493" s="13" t="n">
        <v>121</v>
      </c>
      <c r="Q493" s="13" t="n">
        <v>15.4</v>
      </c>
      <c r="R493" s="13" t="n">
        <v>1840</v>
      </c>
      <c r="S493" s="13" t="n">
        <v>0.99</v>
      </c>
      <c r="T493" s="13" t="n">
        <v>1813</v>
      </c>
      <c r="U493" s="13" t="n">
        <v>157</v>
      </c>
      <c r="V493" s="13" t="n">
        <v>84</v>
      </c>
      <c r="W493" s="13" t="n">
        <v>66</v>
      </c>
      <c r="X493" s="13" t="n">
        <v>361</v>
      </c>
      <c r="Y493" s="13" t="n">
        <v>33</v>
      </c>
      <c r="Z493" s="13" t="n">
        <v>279</v>
      </c>
      <c r="AA493" s="13" t="n">
        <v>0.503</v>
      </c>
      <c r="AB493" s="13" t="n">
        <v>161</v>
      </c>
      <c r="AC493" s="13" t="n">
        <v>136</v>
      </c>
      <c r="AD493" s="13" t="n">
        <v>200</v>
      </c>
      <c r="AE493" s="13" t="n">
        <v>4</v>
      </c>
      <c r="AF493" s="13" t="n">
        <v>7</v>
      </c>
      <c r="AG493" s="11" t="inlineStr">
        <is>
          <t xml:space="preserve"> Resort Freeride</t>
        </is>
      </c>
      <c r="AH493" s="11" t="inlineStr">
        <is>
          <t xml:space="preserve"> Powder</t>
        </is>
      </c>
      <c r="AI493" s="13" t="n"/>
      <c r="AJ493" s="13" t="n"/>
      <c r="AK493" s="42" t="n"/>
    </row>
    <row r="494">
      <c r="E494" s="40" t="inlineStr">
        <is>
          <t>21/22</t>
        </is>
      </c>
      <c r="F494" s="10" t="inlineStr">
        <is>
          <t xml:space="preserve"> Blizzard</t>
        </is>
      </c>
      <c r="G494" s="11" t="inlineStr">
        <is>
          <t>Rustler 10</t>
        </is>
      </c>
      <c r="H494" s="13" t="n">
        <v>172</v>
      </c>
      <c r="I494" s="11" t="inlineStr">
        <is>
          <t xml:space="preserve"> Unisex</t>
        </is>
      </c>
      <c r="J494" s="13" t="n">
        <v>172</v>
      </c>
      <c r="K494" s="13" t="n">
        <v>170.5</v>
      </c>
      <c r="L494" s="13" t="n">
        <v>103</v>
      </c>
      <c r="M494" s="13" t="n">
        <v>141</v>
      </c>
      <c r="N494" s="13" t="n">
        <v>132</v>
      </c>
      <c r="O494" s="13" t="n">
        <v>101</v>
      </c>
      <c r="P494" s="13" t="n">
        <v>121</v>
      </c>
      <c r="Q494" s="13" t="n">
        <v>17.1</v>
      </c>
      <c r="R494" s="13" t="n">
        <v>1908</v>
      </c>
      <c r="S494" s="13" t="n">
        <v>1</v>
      </c>
      <c r="T494" s="13" t="n">
        <v>1903</v>
      </c>
      <c r="U494" s="13" t="n">
        <v>181</v>
      </c>
      <c r="V494" s="13" t="n">
        <v>99</v>
      </c>
      <c r="W494" s="13" t="n">
        <v>65</v>
      </c>
      <c r="X494" s="13" t="n">
        <v>375</v>
      </c>
      <c r="Y494" s="13" t="n">
        <v>36</v>
      </c>
      <c r="Z494" s="13" t="n">
        <v>300</v>
      </c>
      <c r="AA494" s="13" t="n">
        <v>0.552</v>
      </c>
      <c r="AB494" s="13" t="n">
        <v>155</v>
      </c>
      <c r="AC494" s="13" t="n">
        <v>139</v>
      </c>
      <c r="AD494" s="13" t="n">
        <v>220</v>
      </c>
      <c r="AE494" s="13" t="n">
        <v>4</v>
      </c>
      <c r="AF494" s="13" t="n">
        <v>7.6</v>
      </c>
      <c r="AG494" s="11" t="inlineStr">
        <is>
          <t xml:space="preserve"> Resort Freeride</t>
        </is>
      </c>
      <c r="AH494" s="11" t="inlineStr">
        <is>
          <t xml:space="preserve"> Powder</t>
        </is>
      </c>
      <c r="AI494" s="13" t="n"/>
      <c r="AJ494" s="13" t="n"/>
      <c r="AK494" s="42" t="n"/>
    </row>
    <row r="495">
      <c r="E495" s="40" t="inlineStr">
        <is>
          <t>21/22</t>
        </is>
      </c>
      <c r="F495" s="10" t="inlineStr">
        <is>
          <t xml:space="preserve"> Blizzard</t>
        </is>
      </c>
      <c r="G495" s="11" t="inlineStr">
        <is>
          <t>Rustler 10</t>
        </is>
      </c>
      <c r="H495" s="13" t="n">
        <v>180</v>
      </c>
      <c r="I495" s="11" t="inlineStr">
        <is>
          <t xml:space="preserve"> Unisex</t>
        </is>
      </c>
      <c r="J495" s="13" t="n">
        <v>180</v>
      </c>
      <c r="K495" s="13" t="n">
        <v>178.3</v>
      </c>
      <c r="L495" s="13" t="n">
        <v>109</v>
      </c>
      <c r="M495" s="13" t="n">
        <v>150</v>
      </c>
      <c r="N495" s="13" t="n">
        <v>132</v>
      </c>
      <c r="O495" s="13" t="n">
        <v>101</v>
      </c>
      <c r="P495" s="13" t="n">
        <v>122</v>
      </c>
      <c r="Q495" s="13" t="n">
        <v>18.6</v>
      </c>
      <c r="R495" s="13" t="n">
        <v>2008</v>
      </c>
      <c r="S495" s="13" t="n">
        <v>0.99</v>
      </c>
      <c r="T495" s="13" t="n">
        <v>1996</v>
      </c>
      <c r="U495" s="13" t="n">
        <v>209</v>
      </c>
      <c r="V495" s="13" t="n">
        <v>99</v>
      </c>
      <c r="W495" s="13" t="n">
        <v>63</v>
      </c>
      <c r="X495" s="13" t="n">
        <v>386</v>
      </c>
      <c r="Y495" s="13" t="n">
        <v>36</v>
      </c>
      <c r="Z495" s="13" t="n">
        <v>312</v>
      </c>
      <c r="AA495" s="13" t="n">
        <v>0.5659999999999999</v>
      </c>
      <c r="AB495" s="13" t="n">
        <v>145</v>
      </c>
      <c r="AC495" s="13" t="n">
        <v>142</v>
      </c>
      <c r="AD495" s="13" t="n">
        <v>241</v>
      </c>
      <c r="AE495" s="13" t="n">
        <v>4</v>
      </c>
      <c r="AF495" s="13" t="n">
        <v>7.6</v>
      </c>
      <c r="AG495" s="11" t="inlineStr">
        <is>
          <t xml:space="preserve"> Resort Freeride</t>
        </is>
      </c>
      <c r="AH495" s="11" t="inlineStr">
        <is>
          <t xml:space="preserve"> Powder</t>
        </is>
      </c>
      <c r="AI495" s="13" t="n"/>
      <c r="AJ495" s="13" t="n"/>
      <c r="AK495" s="42" t="n"/>
    </row>
    <row r="496">
      <c r="E496" s="40" t="inlineStr">
        <is>
          <t>21/22</t>
        </is>
      </c>
      <c r="F496" s="10" t="inlineStr">
        <is>
          <t xml:space="preserve"> Blizzard</t>
        </is>
      </c>
      <c r="G496" s="11" t="inlineStr">
        <is>
          <t>Rustler 10</t>
        </is>
      </c>
      <c r="H496" s="13" t="n">
        <v>188</v>
      </c>
      <c r="I496" s="11" t="inlineStr">
        <is>
          <t xml:space="preserve"> Unisex</t>
        </is>
      </c>
      <c r="J496" s="13" t="n">
        <v>188</v>
      </c>
      <c r="K496" s="13" t="n">
        <v>186.2</v>
      </c>
      <c r="L496" s="13" t="n">
        <v>112</v>
      </c>
      <c r="M496" s="13" t="n">
        <v>157</v>
      </c>
      <c r="N496" s="13" t="n">
        <v>134</v>
      </c>
      <c r="O496" s="13" t="n">
        <v>103</v>
      </c>
      <c r="P496" s="13" t="n">
        <v>125</v>
      </c>
      <c r="Q496" s="13" t="n">
        <v>19.9</v>
      </c>
      <c r="R496" s="13" t="n">
        <v>2276</v>
      </c>
      <c r="S496" s="13" t="n">
        <v>0.93</v>
      </c>
      <c r="T496" s="13" t="n">
        <v>2122</v>
      </c>
      <c r="U496" s="13" t="n">
        <v>282</v>
      </c>
      <c r="V496" s="13" t="n">
        <v>145</v>
      </c>
      <c r="W496" s="13" t="n">
        <v>68</v>
      </c>
      <c r="X496" s="13" t="n">
        <v>417</v>
      </c>
      <c r="Y496" s="13" t="n">
        <v>33</v>
      </c>
      <c r="Z496" s="13" t="n">
        <v>326</v>
      </c>
      <c r="AA496" s="13" t="n">
        <v>0.491</v>
      </c>
      <c r="AB496" s="13" t="n">
        <v>147</v>
      </c>
      <c r="AC496" s="13" t="n">
        <v>146</v>
      </c>
      <c r="AD496" s="13" t="n">
        <v>270</v>
      </c>
      <c r="AE496" s="13" t="n">
        <v>3</v>
      </c>
      <c r="AF496" s="13" t="n">
        <v>7.5</v>
      </c>
      <c r="AG496" s="11" t="inlineStr">
        <is>
          <t xml:space="preserve"> Resort Freeride</t>
        </is>
      </c>
      <c r="AH496" s="11" t="inlineStr">
        <is>
          <t xml:space="preserve"> Powder</t>
        </is>
      </c>
      <c r="AI496" s="13" t="n"/>
      <c r="AJ496" s="13" t="n"/>
      <c r="AK496" s="42" t="n"/>
    </row>
    <row r="497">
      <c r="E497" s="40" t="inlineStr">
        <is>
          <t>21/22</t>
        </is>
      </c>
      <c r="F497" s="10" t="inlineStr">
        <is>
          <t xml:space="preserve"> Blizzard</t>
        </is>
      </c>
      <c r="G497" s="11" t="inlineStr">
        <is>
          <t>Rustler 11</t>
        </is>
      </c>
      <c r="H497" s="13" t="n">
        <v>172</v>
      </c>
      <c r="I497" s="11" t="inlineStr">
        <is>
          <t xml:space="preserve"> Unisex</t>
        </is>
      </c>
      <c r="J497" s="13" t="n">
        <v>172</v>
      </c>
      <c r="K497" s="13" t="n">
        <v>170.8</v>
      </c>
      <c r="L497" s="13" t="n">
        <v>103</v>
      </c>
      <c r="M497" s="13" t="n">
        <v>140</v>
      </c>
      <c r="N497" s="13" t="n">
        <v>138</v>
      </c>
      <c r="O497" s="13" t="n">
        <v>111</v>
      </c>
      <c r="P497" s="13" t="n">
        <v>127</v>
      </c>
      <c r="Q497" s="13" t="n">
        <v>19.5</v>
      </c>
      <c r="R497" s="13" t="n">
        <v>1985</v>
      </c>
      <c r="S497" s="13" t="n">
        <v>1.03</v>
      </c>
      <c r="T497" s="13" t="n">
        <v>2043</v>
      </c>
      <c r="U497" s="13" t="n">
        <v>194</v>
      </c>
      <c r="V497" s="13" t="n">
        <v>100</v>
      </c>
      <c r="W497" s="13" t="n">
        <v>63</v>
      </c>
      <c r="X497" s="13" t="n">
        <v>391</v>
      </c>
      <c r="Y497" s="13" t="n">
        <v>24</v>
      </c>
      <c r="Z497" s="13" t="n">
        <v>284</v>
      </c>
      <c r="AA497" s="13" t="n">
        <v>0.382</v>
      </c>
      <c r="AB497" s="13" t="n">
        <v>161</v>
      </c>
      <c r="AC497" s="13" t="n">
        <v>144</v>
      </c>
      <c r="AD497" s="13" t="n">
        <v>230</v>
      </c>
      <c r="AE497" s="13" t="n">
        <v>4</v>
      </c>
      <c r="AF497" s="13" t="n">
        <v>7.2</v>
      </c>
      <c r="AG497" s="11" t="inlineStr">
        <is>
          <t xml:space="preserve"> Powder</t>
        </is>
      </c>
      <c r="AH497" s="11" t="inlineStr">
        <is>
          <t xml:space="preserve"> Big Mountain</t>
        </is>
      </c>
      <c r="AI497" s="13" t="n"/>
      <c r="AJ497" s="13" t="n"/>
      <c r="AK497" s="42" t="n"/>
    </row>
    <row r="498">
      <c r="E498" s="40" t="inlineStr">
        <is>
          <t>21/22</t>
        </is>
      </c>
      <c r="F498" s="10" t="inlineStr">
        <is>
          <t xml:space="preserve"> Blizzard</t>
        </is>
      </c>
      <c r="G498" s="11" t="inlineStr">
        <is>
          <t>Rustler 11</t>
        </is>
      </c>
      <c r="H498" s="13" t="n">
        <v>180</v>
      </c>
      <c r="I498" s="11" t="inlineStr">
        <is>
          <t xml:space="preserve"> Unisex</t>
        </is>
      </c>
      <c r="J498" s="13" t="n">
        <v>180</v>
      </c>
      <c r="K498" s="13" t="n">
        <v>178.8</v>
      </c>
      <c r="L498" s="13" t="n">
        <v>111</v>
      </c>
      <c r="M498" s="13" t="n">
        <v>147</v>
      </c>
      <c r="N498" s="13" t="n">
        <v>139</v>
      </c>
      <c r="O498" s="13" t="n">
        <v>111</v>
      </c>
      <c r="P498" s="13" t="n">
        <v>129</v>
      </c>
      <c r="Q498" s="13" t="n">
        <v>20.5</v>
      </c>
      <c r="R498" s="13" t="n">
        <v>2055</v>
      </c>
      <c r="S498" s="13" t="n">
        <v>1.05</v>
      </c>
      <c r="T498" s="13" t="n">
        <v>2150</v>
      </c>
      <c r="U498" s="13" t="n">
        <v>218</v>
      </c>
      <c r="V498" s="13" t="n">
        <v>123</v>
      </c>
      <c r="W498" s="13" t="n">
        <v>57</v>
      </c>
      <c r="X498" s="13" t="n">
        <v>372</v>
      </c>
      <c r="Y498" s="13" t="n">
        <v>28</v>
      </c>
      <c r="Z498" s="13" t="n">
        <v>306</v>
      </c>
      <c r="AA498" s="13" t="n">
        <v>0.493</v>
      </c>
      <c r="AB498" s="13" t="n">
        <v>168</v>
      </c>
      <c r="AC498" s="13" t="n">
        <v>150</v>
      </c>
      <c r="AD498" s="13" t="n">
        <v>204</v>
      </c>
      <c r="AE498" s="13" t="n">
        <v>6</v>
      </c>
      <c r="AF498" s="13" t="n">
        <v>9.4</v>
      </c>
      <c r="AG498" s="11" t="inlineStr">
        <is>
          <t xml:space="preserve"> Powder</t>
        </is>
      </c>
      <c r="AH498" s="13" t="n"/>
      <c r="AI498" s="13" t="n"/>
      <c r="AJ498" s="13" t="n"/>
      <c r="AK498" s="42" t="n"/>
    </row>
    <row r="499">
      <c r="E499" s="40" t="inlineStr">
        <is>
          <t>21/22</t>
        </is>
      </c>
      <c r="F499" s="10" t="inlineStr">
        <is>
          <t xml:space="preserve"> Blizzard</t>
        </is>
      </c>
      <c r="G499" s="11" t="inlineStr">
        <is>
          <t>Rustler 11</t>
        </is>
      </c>
      <c r="H499" s="13" t="n">
        <v>188</v>
      </c>
      <c r="I499" s="11" t="inlineStr">
        <is>
          <t xml:space="preserve"> Unisex</t>
        </is>
      </c>
      <c r="J499" s="13" t="n">
        <v>188</v>
      </c>
      <c r="K499" s="13" t="n">
        <v>186.4</v>
      </c>
      <c r="L499" s="13" t="n">
        <v>108</v>
      </c>
      <c r="M499" s="13" t="n">
        <v>156</v>
      </c>
      <c r="N499" s="13" t="n">
        <v>141</v>
      </c>
      <c r="O499" s="13" t="n">
        <v>113</v>
      </c>
      <c r="P499" s="13" t="n">
        <v>131</v>
      </c>
      <c r="Q499" s="13" t="n">
        <v>23</v>
      </c>
      <c r="R499" s="13" t="n">
        <v>2186</v>
      </c>
      <c r="S499" s="13" t="n">
        <v>1.04</v>
      </c>
      <c r="T499" s="13" t="n">
        <v>2277</v>
      </c>
      <c r="U499" s="13" t="n">
        <v>268</v>
      </c>
      <c r="V499" s="13" t="n">
        <v>129</v>
      </c>
      <c r="W499" s="13" t="n">
        <v>61</v>
      </c>
      <c r="X499" s="13" t="n">
        <v>440</v>
      </c>
      <c r="Y499" s="13" t="n">
        <v>31</v>
      </c>
      <c r="Z499" s="13" t="n">
        <v>340</v>
      </c>
      <c r="AA499" s="13" t="n">
        <v>0.505</v>
      </c>
      <c r="AB499" s="13" t="n">
        <v>159</v>
      </c>
      <c r="AC499" s="13" t="n">
        <v>147</v>
      </c>
      <c r="AD499" s="13" t="n">
        <v>281</v>
      </c>
      <c r="AE499" s="13" t="n">
        <v>4</v>
      </c>
      <c r="AF499" s="13" t="n">
        <v>8.1</v>
      </c>
      <c r="AG499" s="11" t="inlineStr">
        <is>
          <t xml:space="preserve"> Powder</t>
        </is>
      </c>
      <c r="AH499" s="13" t="n"/>
      <c r="AI499" s="13" t="n"/>
      <c r="AJ499" s="13" t="n"/>
      <c r="AK499" s="42" t="n"/>
    </row>
    <row r="500">
      <c r="E500" s="40" t="inlineStr">
        <is>
          <t>21/22</t>
        </is>
      </c>
      <c r="F500" s="10" t="inlineStr">
        <is>
          <t xml:space="preserve"> Blizzard</t>
        </is>
      </c>
      <c r="G500" s="11" t="inlineStr">
        <is>
          <t>Rustler 9</t>
        </is>
      </c>
      <c r="H500" s="13" t="n">
        <v>164</v>
      </c>
      <c r="I500" s="11" t="inlineStr">
        <is>
          <t xml:space="preserve"> Unisex</t>
        </is>
      </c>
      <c r="J500" s="13" t="n">
        <v>164</v>
      </c>
      <c r="K500" s="13" t="n">
        <v>162.8</v>
      </c>
      <c r="L500" s="13" t="n">
        <v>109</v>
      </c>
      <c r="M500" s="13" t="n">
        <v>135</v>
      </c>
      <c r="N500" s="13" t="n">
        <v>123</v>
      </c>
      <c r="O500" s="13" t="n">
        <v>91</v>
      </c>
      <c r="P500" s="13" t="n">
        <v>113</v>
      </c>
      <c r="Q500" s="13" t="n">
        <v>14.6</v>
      </c>
      <c r="R500" s="13" t="n">
        <v>1794</v>
      </c>
      <c r="S500" s="13" t="n">
        <v>0.93</v>
      </c>
      <c r="T500" s="13" t="n">
        <v>1671</v>
      </c>
      <c r="U500" s="13" t="n">
        <v>185</v>
      </c>
      <c r="V500" s="13" t="n">
        <v>89</v>
      </c>
      <c r="W500" s="13" t="n">
        <v>62</v>
      </c>
      <c r="X500" s="13" t="n">
        <v>307</v>
      </c>
      <c r="Y500" s="13" t="n">
        <v>31</v>
      </c>
      <c r="Z500" s="13" t="n">
        <v>229</v>
      </c>
      <c r="AA500" s="13" t="n">
        <v>0.498</v>
      </c>
      <c r="AB500" s="13" t="n">
        <v>149</v>
      </c>
      <c r="AC500" s="13" t="n">
        <v>134</v>
      </c>
      <c r="AD500" s="13" t="n">
        <v>158</v>
      </c>
      <c r="AE500" s="13" t="n">
        <v>3</v>
      </c>
      <c r="AF500" s="13" t="n">
        <v>7.2</v>
      </c>
      <c r="AG500" s="11" t="inlineStr">
        <is>
          <t xml:space="preserve"> Resort Freeride</t>
        </is>
      </c>
      <c r="AH500" s="13" t="n"/>
      <c r="AI500" s="13" t="n"/>
      <c r="AJ500" s="13" t="n"/>
      <c r="AK500" s="42" t="n"/>
    </row>
    <row r="501">
      <c r="E501" s="40" t="inlineStr">
        <is>
          <t>21/22</t>
        </is>
      </c>
      <c r="F501" s="10" t="inlineStr">
        <is>
          <t xml:space="preserve"> Blizzard</t>
        </is>
      </c>
      <c r="G501" s="11" t="inlineStr">
        <is>
          <t>Rustler 9</t>
        </is>
      </c>
      <c r="H501" s="13" t="n">
        <v>172</v>
      </c>
      <c r="I501" s="11" t="inlineStr">
        <is>
          <t xml:space="preserve"> Unisex</t>
        </is>
      </c>
      <c r="J501" s="13" t="n">
        <v>172</v>
      </c>
      <c r="K501" s="13" t="n">
        <v>170.8</v>
      </c>
      <c r="L501" s="13" t="n">
        <v>118</v>
      </c>
      <c r="M501" s="13" t="n">
        <v>142</v>
      </c>
      <c r="N501" s="13" t="n">
        <v>124</v>
      </c>
      <c r="O501" s="13" t="n">
        <v>91</v>
      </c>
      <c r="P501" s="13" t="n">
        <v>113</v>
      </c>
      <c r="Q501" s="13" t="n">
        <v>15.9</v>
      </c>
      <c r="R501" s="13" t="n">
        <v>1914</v>
      </c>
      <c r="S501" s="13" t="n">
        <v>0.92</v>
      </c>
      <c r="T501" s="13" t="n">
        <v>1751</v>
      </c>
      <c r="U501" s="13" t="n">
        <v>200</v>
      </c>
      <c r="V501" s="13" t="n">
        <v>109</v>
      </c>
      <c r="W501" s="13" t="n">
        <v>62</v>
      </c>
      <c r="X501" s="13" t="n">
        <v>320</v>
      </c>
      <c r="Y501" s="13" t="n">
        <v>27</v>
      </c>
      <c r="Z501" s="13" t="n">
        <v>208</v>
      </c>
      <c r="AA501" s="13" t="n">
        <v>0.436</v>
      </c>
      <c r="AB501" s="13" t="n">
        <v>153</v>
      </c>
      <c r="AC501" s="13" t="n">
        <v>133</v>
      </c>
      <c r="AD501" s="13" t="n">
        <v>167</v>
      </c>
      <c r="AE501" s="13" t="n">
        <v>5</v>
      </c>
      <c r="AF501" s="13" t="n">
        <v>7.2</v>
      </c>
      <c r="AG501" s="11" t="inlineStr">
        <is>
          <t xml:space="preserve"> Resort Freeride</t>
        </is>
      </c>
      <c r="AH501" s="13" t="n"/>
      <c r="AI501" s="13" t="n"/>
      <c r="AJ501" s="13" t="n"/>
      <c r="AK501" s="42" t="n"/>
    </row>
    <row r="502">
      <c r="E502" s="40" t="inlineStr">
        <is>
          <t>21/22</t>
        </is>
      </c>
      <c r="F502" s="10" t="inlineStr">
        <is>
          <t xml:space="preserve"> Blizzard</t>
        </is>
      </c>
      <c r="G502" s="11" t="inlineStr">
        <is>
          <t>Rustler 9</t>
        </is>
      </c>
      <c r="H502" s="13" t="n">
        <v>180</v>
      </c>
      <c r="I502" s="11" t="inlineStr">
        <is>
          <t xml:space="preserve"> Unisex</t>
        </is>
      </c>
      <c r="J502" s="13" t="n">
        <v>180</v>
      </c>
      <c r="K502" s="13" t="n">
        <v>178.6</v>
      </c>
      <c r="L502" s="13" t="n">
        <v>121</v>
      </c>
      <c r="M502" s="13" t="n">
        <v>150</v>
      </c>
      <c r="N502" s="13" t="n">
        <v>127</v>
      </c>
      <c r="O502" s="13" t="n">
        <v>93</v>
      </c>
      <c r="P502" s="13" t="n">
        <v>117</v>
      </c>
      <c r="Q502" s="13" t="n">
        <v>17.3</v>
      </c>
      <c r="R502" s="13" t="n">
        <v>2073</v>
      </c>
      <c r="S502" s="13" t="n">
        <v>0.91</v>
      </c>
      <c r="T502" s="13" t="n">
        <v>1880</v>
      </c>
      <c r="U502" s="13" t="n">
        <v>230</v>
      </c>
      <c r="V502" s="13" t="n">
        <v>114</v>
      </c>
      <c r="W502" s="13" t="n">
        <v>63</v>
      </c>
      <c r="X502" s="13" t="n">
        <v>335</v>
      </c>
      <c r="Y502" s="13" t="n">
        <v>27</v>
      </c>
      <c r="Z502" s="13" t="n">
        <v>242</v>
      </c>
      <c r="AA502" s="13" t="n">
        <v>0.427</v>
      </c>
      <c r="AB502" s="13" t="n">
        <v>148</v>
      </c>
      <c r="AC502" s="13" t="n">
        <v>140</v>
      </c>
      <c r="AD502" s="13" t="n">
        <v>187</v>
      </c>
      <c r="AE502" s="13" t="n">
        <v>3</v>
      </c>
      <c r="AF502" s="13" t="n">
        <v>7.9</v>
      </c>
      <c r="AG502" s="11" t="inlineStr">
        <is>
          <t xml:space="preserve"> Resort Freeride</t>
        </is>
      </c>
      <c r="AH502" s="13" t="n"/>
      <c r="AI502" s="13" t="n"/>
      <c r="AJ502" s="13" t="n"/>
      <c r="AK502" s="42" t="n"/>
    </row>
    <row r="503">
      <c r="E503" s="40" t="inlineStr">
        <is>
          <t>21/22</t>
        </is>
      </c>
      <c r="F503" s="10" t="inlineStr">
        <is>
          <t xml:space="preserve"> Blizzard</t>
        </is>
      </c>
      <c r="G503" s="11" t="inlineStr">
        <is>
          <t>Rustler 9</t>
        </is>
      </c>
      <c r="H503" s="13" t="n">
        <v>188</v>
      </c>
      <c r="I503" s="11" t="inlineStr">
        <is>
          <t xml:space="preserve"> Unisex</t>
        </is>
      </c>
      <c r="J503" s="13" t="n">
        <v>188</v>
      </c>
      <c r="K503" s="13" t="n">
        <v>186.7</v>
      </c>
      <c r="L503" s="13" t="n">
        <v>129</v>
      </c>
      <c r="M503" s="13" t="n">
        <v>158</v>
      </c>
      <c r="N503" s="13" t="n">
        <v>127</v>
      </c>
      <c r="O503" s="13" t="n">
        <v>93</v>
      </c>
      <c r="P503" s="13" t="n">
        <v>116</v>
      </c>
      <c r="Q503" s="13" t="n">
        <v>19.4</v>
      </c>
      <c r="R503" s="13" t="n">
        <v>2205</v>
      </c>
      <c r="S503" s="13" t="n">
        <v>0.89</v>
      </c>
      <c r="T503" s="13" t="n">
        <v>1954</v>
      </c>
      <c r="U503" s="13" t="n">
        <v>262</v>
      </c>
      <c r="V503" s="13" t="n">
        <v>135</v>
      </c>
      <c r="W503" s="13" t="n">
        <v>62</v>
      </c>
      <c r="X503" s="13" t="n">
        <v>343</v>
      </c>
      <c r="Y503" s="13" t="n">
        <v>27</v>
      </c>
      <c r="Z503" s="13" t="n">
        <v>238</v>
      </c>
      <c r="AA503" s="13" t="n">
        <v>0.427</v>
      </c>
      <c r="AB503" s="13" t="n">
        <v>158</v>
      </c>
      <c r="AC503" s="13" t="n">
        <v>131</v>
      </c>
      <c r="AD503" s="13" t="n">
        <v>185</v>
      </c>
      <c r="AE503" s="13" t="n">
        <v>5</v>
      </c>
      <c r="AF503" s="13" t="n">
        <v>7.5</v>
      </c>
      <c r="AG503" s="11" t="inlineStr">
        <is>
          <t xml:space="preserve"> Resort Freeride</t>
        </is>
      </c>
      <c r="AH503" s="13" t="n"/>
      <c r="AI503" s="13" t="n"/>
      <c r="AJ503" s="13" t="n"/>
      <c r="AK503" s="42" t="n"/>
    </row>
    <row r="504">
      <c r="E504" s="40" t="inlineStr">
        <is>
          <t>21/22</t>
        </is>
      </c>
      <c r="F504" s="10" t="inlineStr">
        <is>
          <t xml:space="preserve"> Blizzard</t>
        </is>
      </c>
      <c r="G504" s="11" t="inlineStr">
        <is>
          <t>Sheeva 10</t>
        </is>
      </c>
      <c r="H504" s="13" t="n">
        <v>156</v>
      </c>
      <c r="I504" s="11" t="inlineStr">
        <is>
          <t xml:space="preserve"> Women's</t>
        </is>
      </c>
      <c r="J504" s="13" t="n">
        <v>156</v>
      </c>
      <c r="K504" s="13" t="n">
        <v>154.5</v>
      </c>
      <c r="L504" s="13" t="n">
        <v>90</v>
      </c>
      <c r="M504" s="13" t="n">
        <v>126</v>
      </c>
      <c r="N504" s="13" t="n">
        <v>131</v>
      </c>
      <c r="O504" s="13" t="n">
        <v>101</v>
      </c>
      <c r="P504" s="13" t="n">
        <v>120</v>
      </c>
      <c r="Q504" s="13" t="n">
        <v>14</v>
      </c>
      <c r="R504" s="13" t="n">
        <v>1708</v>
      </c>
      <c r="S504" s="13" t="n">
        <v>1.01</v>
      </c>
      <c r="T504" s="13" t="n">
        <v>1721</v>
      </c>
      <c r="U504" s="13" t="n">
        <v>134</v>
      </c>
      <c r="V504" s="13" t="n">
        <v>72</v>
      </c>
      <c r="W504" s="13" t="n">
        <v>68</v>
      </c>
      <c r="X504" s="13" t="n">
        <v>361</v>
      </c>
      <c r="Y504" s="13" t="n">
        <v>39</v>
      </c>
      <c r="Z504" s="13" t="n">
        <v>285</v>
      </c>
      <c r="AA504" s="13" t="n">
        <v>0.5669999999999999</v>
      </c>
      <c r="AB504" s="13" t="n">
        <v>157</v>
      </c>
      <c r="AC504" s="13" t="n">
        <v>130</v>
      </c>
      <c r="AD504" s="13" t="n">
        <v>204</v>
      </c>
      <c r="AE504" s="13" t="n">
        <v>3</v>
      </c>
      <c r="AF504" s="13" t="n">
        <v>7.2</v>
      </c>
      <c r="AG504" s="11" t="inlineStr">
        <is>
          <t xml:space="preserve"> Resort Freeride</t>
        </is>
      </c>
      <c r="AH504" s="11" t="inlineStr">
        <is>
          <t xml:space="preserve"> Powder</t>
        </is>
      </c>
      <c r="AI504" s="13" t="n"/>
      <c r="AJ504" s="13" t="n"/>
      <c r="AK504" s="42" t="n"/>
    </row>
    <row r="505">
      <c r="E505" s="40" t="inlineStr">
        <is>
          <t>21/22</t>
        </is>
      </c>
      <c r="F505" s="10" t="inlineStr">
        <is>
          <t xml:space="preserve"> Blizzard</t>
        </is>
      </c>
      <c r="G505" s="11" t="inlineStr">
        <is>
          <t>Sheeva 10</t>
        </is>
      </c>
      <c r="H505" s="13" t="n">
        <v>164</v>
      </c>
      <c r="I505" s="11" t="inlineStr">
        <is>
          <t xml:space="preserve"> Women's</t>
        </is>
      </c>
      <c r="J505" s="13" t="n">
        <v>164</v>
      </c>
      <c r="K505" s="13" t="n">
        <v>162.4</v>
      </c>
      <c r="L505" s="13" t="n">
        <v>98</v>
      </c>
      <c r="M505" s="13" t="n">
        <v>133</v>
      </c>
      <c r="N505" s="13" t="n">
        <v>131</v>
      </c>
      <c r="O505" s="13" t="n">
        <v>101</v>
      </c>
      <c r="P505" s="13" t="n">
        <v>121</v>
      </c>
      <c r="Q505" s="13" t="n">
        <v>15.3</v>
      </c>
      <c r="R505" s="13" t="n">
        <v>1807</v>
      </c>
      <c r="S505" s="13" t="n">
        <v>1</v>
      </c>
      <c r="T505" s="13" t="n">
        <v>1813</v>
      </c>
      <c r="U505" s="13" t="n">
        <v>150</v>
      </c>
      <c r="V505" s="13" t="n">
        <v>75</v>
      </c>
      <c r="W505" s="13" t="n">
        <v>68</v>
      </c>
      <c r="X505" s="13" t="n">
        <v>359</v>
      </c>
      <c r="Y505" s="13" t="n">
        <v>35</v>
      </c>
      <c r="Z505" s="13" t="n">
        <v>280</v>
      </c>
      <c r="AA505" s="13" t="n">
        <v>0.509</v>
      </c>
      <c r="AB505" s="13" t="n">
        <v>156</v>
      </c>
      <c r="AC505" s="13" t="n">
        <v>139</v>
      </c>
      <c r="AD505" s="13" t="n">
        <v>204</v>
      </c>
      <c r="AE505" s="13" t="n">
        <v>4</v>
      </c>
      <c r="AF505" s="13" t="n">
        <v>7</v>
      </c>
      <c r="AG505" s="11" t="inlineStr">
        <is>
          <t xml:space="preserve"> Resort Freeride</t>
        </is>
      </c>
      <c r="AH505" s="11" t="inlineStr">
        <is>
          <t xml:space="preserve"> Powder</t>
        </is>
      </c>
      <c r="AI505" s="13" t="n"/>
      <c r="AJ505" s="13" t="n"/>
      <c r="AK505" s="42" t="n"/>
    </row>
    <row r="506">
      <c r="E506" s="40" t="inlineStr">
        <is>
          <t>21/22</t>
        </is>
      </c>
      <c r="F506" s="10" t="inlineStr">
        <is>
          <t xml:space="preserve"> Blizzard</t>
        </is>
      </c>
      <c r="G506" s="11" t="inlineStr">
        <is>
          <t>Sheeva 10</t>
        </is>
      </c>
      <c r="H506" s="13" t="n">
        <v>172</v>
      </c>
      <c r="I506" s="11" t="inlineStr">
        <is>
          <t xml:space="preserve"> Women's</t>
        </is>
      </c>
      <c r="J506" s="13" t="n">
        <v>172</v>
      </c>
      <c r="K506" s="13" t="n">
        <v>170.1</v>
      </c>
      <c r="L506" s="13" t="n">
        <v>100</v>
      </c>
      <c r="M506" s="13" t="n">
        <v>141</v>
      </c>
      <c r="N506" s="13" t="n">
        <v>132</v>
      </c>
      <c r="O506" s="13" t="n">
        <v>101</v>
      </c>
      <c r="P506" s="13" t="n">
        <v>122</v>
      </c>
      <c r="Q506" s="13" t="n">
        <v>17.1</v>
      </c>
      <c r="R506" s="13" t="n">
        <v>1919</v>
      </c>
      <c r="S506" s="13" t="n">
        <v>0.99</v>
      </c>
      <c r="T506" s="13" t="n">
        <v>1903</v>
      </c>
      <c r="U506" s="13" t="n">
        <v>190</v>
      </c>
      <c r="V506" s="13" t="n">
        <v>106</v>
      </c>
      <c r="W506" s="13" t="n">
        <v>72</v>
      </c>
      <c r="X506" s="13" t="n">
        <v>387</v>
      </c>
      <c r="Y506" s="13" t="n">
        <v>37</v>
      </c>
      <c r="Z506" s="13" t="n">
        <v>313</v>
      </c>
      <c r="AA506" s="13" t="n">
        <v>0.517</v>
      </c>
      <c r="AB506" s="13" t="n">
        <v>147</v>
      </c>
      <c r="AC506" s="13" t="n">
        <v>145</v>
      </c>
      <c r="AD506" s="13" t="n">
        <v>240</v>
      </c>
      <c r="AE506" s="13" t="n">
        <v>3</v>
      </c>
      <c r="AF506" s="13" t="n">
        <v>7.5</v>
      </c>
      <c r="AG506" s="11" t="inlineStr">
        <is>
          <t xml:space="preserve"> Resort Freeride</t>
        </is>
      </c>
      <c r="AH506" s="11" t="inlineStr">
        <is>
          <t xml:space="preserve"> Powder</t>
        </is>
      </c>
      <c r="AI506" s="13" t="n"/>
      <c r="AJ506" s="13" t="n"/>
      <c r="AK506" s="42" t="n"/>
    </row>
    <row r="507">
      <c r="E507" s="40" t="inlineStr">
        <is>
          <t>21/22</t>
        </is>
      </c>
      <c r="F507" s="10" t="inlineStr">
        <is>
          <t xml:space="preserve"> Blizzard</t>
        </is>
      </c>
      <c r="G507" s="11" t="inlineStr">
        <is>
          <t>Sheeva 11</t>
        </is>
      </c>
      <c r="H507" s="13" t="n">
        <v>164</v>
      </c>
      <c r="I507" s="11" t="inlineStr">
        <is>
          <t xml:space="preserve"> Women's</t>
        </is>
      </c>
      <c r="J507" s="13" t="n">
        <v>164</v>
      </c>
      <c r="K507" s="13" t="n">
        <v>162.8</v>
      </c>
      <c r="L507" s="13" t="n">
        <v>92</v>
      </c>
      <c r="M507" s="13" t="n">
        <v>131</v>
      </c>
      <c r="N507" s="13" t="n">
        <v>138</v>
      </c>
      <c r="O507" s="13" t="n">
        <v>112</v>
      </c>
      <c r="P507" s="13" t="n">
        <v>128</v>
      </c>
      <c r="Q507" s="13" t="n">
        <v>17.4</v>
      </c>
      <c r="R507" s="13" t="n">
        <v>1810</v>
      </c>
      <c r="S507" s="13" t="n">
        <v>1.08</v>
      </c>
      <c r="T507" s="13" t="n">
        <v>1955</v>
      </c>
      <c r="U507" s="13" t="n">
        <v>161</v>
      </c>
      <c r="V507" s="13" t="n">
        <v>97</v>
      </c>
      <c r="W507" s="13" t="n">
        <v>67</v>
      </c>
      <c r="X507" s="13" t="n">
        <v>403</v>
      </c>
      <c r="Y507" s="13" t="n">
        <v>27</v>
      </c>
      <c r="Z507" s="13" t="n">
        <v>309</v>
      </c>
      <c r="AA507" s="13" t="n">
        <v>0.403</v>
      </c>
      <c r="AB507" s="13" t="n">
        <v>167</v>
      </c>
      <c r="AC507" s="13" t="n">
        <v>150</v>
      </c>
      <c r="AD507" s="13" t="n">
        <v>235</v>
      </c>
      <c r="AE507" s="13" t="n">
        <v>3</v>
      </c>
      <c r="AF507" s="13" t="n">
        <v>7.6</v>
      </c>
      <c r="AG507" s="11" t="inlineStr">
        <is>
          <t xml:space="preserve"> Powder</t>
        </is>
      </c>
      <c r="AH507" s="11" t="inlineStr">
        <is>
          <t xml:space="preserve"> Touring</t>
        </is>
      </c>
      <c r="AI507" s="13" t="n"/>
      <c r="AJ507" s="13" t="n"/>
      <c r="AK507" s="42" t="n"/>
    </row>
    <row r="508">
      <c r="E508" s="40" t="inlineStr">
        <is>
          <t>21/22</t>
        </is>
      </c>
      <c r="F508" s="10" t="inlineStr">
        <is>
          <t xml:space="preserve"> Blizzard</t>
        </is>
      </c>
      <c r="G508" s="11" t="inlineStr">
        <is>
          <t>Sheeva 9</t>
        </is>
      </c>
      <c r="H508" s="13" t="n">
        <v>148</v>
      </c>
      <c r="I508" s="11" t="inlineStr">
        <is>
          <t xml:space="preserve"> Women's</t>
        </is>
      </c>
      <c r="J508" s="13" t="n">
        <v>148</v>
      </c>
      <c r="K508" s="13" t="n">
        <v>147.3</v>
      </c>
      <c r="L508" s="13" t="n">
        <v>103</v>
      </c>
      <c r="M508" s="13" t="n">
        <v>115</v>
      </c>
      <c r="N508" s="13" t="n">
        <v>117</v>
      </c>
      <c r="O508" s="13" t="n">
        <v>89</v>
      </c>
      <c r="P508" s="13" t="n">
        <v>107</v>
      </c>
      <c r="Q508" s="13" t="n">
        <v>12.7</v>
      </c>
      <c r="R508" s="13" t="n">
        <v>1323</v>
      </c>
      <c r="S508" s="13" t="n">
        <v>1.1</v>
      </c>
      <c r="T508" s="13" t="n">
        <v>1457</v>
      </c>
      <c r="U508" s="13" t="n">
        <v>122</v>
      </c>
      <c r="V508" s="13" t="n">
        <v>59</v>
      </c>
      <c r="W508" s="13" t="n">
        <v>48</v>
      </c>
      <c r="X508" s="13" t="n">
        <v>269</v>
      </c>
      <c r="Y508" s="13" t="n">
        <v>21</v>
      </c>
      <c r="Z508" s="13" t="n">
        <v>172</v>
      </c>
      <c r="AA508" s="13" t="n">
        <v>0.435</v>
      </c>
      <c r="AB508" s="13" t="n">
        <v>149</v>
      </c>
      <c r="AC508" s="13" t="n">
        <v>174</v>
      </c>
      <c r="AD508" s="13" t="n">
        <v>121</v>
      </c>
      <c r="AE508" s="13" t="n">
        <v>5</v>
      </c>
      <c r="AF508" s="13" t="n">
        <v>6.5</v>
      </c>
      <c r="AG508" s="11" t="inlineStr">
        <is>
          <t xml:space="preserve"> Resort Freeride</t>
        </is>
      </c>
      <c r="AH508" s="11" t="inlineStr">
        <is>
          <t xml:space="preserve"> Touring</t>
        </is>
      </c>
      <c r="AI508" s="13" t="n"/>
      <c r="AJ508" s="13" t="n"/>
      <c r="AK508" s="42" t="n"/>
    </row>
    <row r="509">
      <c r="E509" s="40" t="inlineStr">
        <is>
          <t>21/22</t>
        </is>
      </c>
      <c r="F509" s="10" t="inlineStr">
        <is>
          <t xml:space="preserve"> Blizzard</t>
        </is>
      </c>
      <c r="G509" s="11" t="inlineStr">
        <is>
          <t>Sheeva 9</t>
        </is>
      </c>
      <c r="H509" s="13" t="n">
        <v>157</v>
      </c>
      <c r="I509" s="11" t="inlineStr">
        <is>
          <t xml:space="preserve"> Women's</t>
        </is>
      </c>
      <c r="J509" s="13" t="n">
        <v>157</v>
      </c>
      <c r="K509" s="13" t="n">
        <v>155.7</v>
      </c>
      <c r="L509" s="13" t="n">
        <v>104</v>
      </c>
      <c r="M509" s="13" t="n">
        <v>127</v>
      </c>
      <c r="N509" s="13" t="n">
        <v>122</v>
      </c>
      <c r="O509" s="13" t="n">
        <v>91</v>
      </c>
      <c r="P509" s="13" t="n">
        <v>112</v>
      </c>
      <c r="Q509" s="13" t="n">
        <v>13.9</v>
      </c>
      <c r="R509" s="13" t="n">
        <v>1689</v>
      </c>
      <c r="S509" s="13" t="n">
        <v>0.9399999999999999</v>
      </c>
      <c r="T509" s="13" t="n">
        <v>1585</v>
      </c>
      <c r="U509" s="13" t="n">
        <v>161</v>
      </c>
      <c r="V509" s="13" t="n">
        <v>83</v>
      </c>
      <c r="W509" s="13" t="n">
        <v>63</v>
      </c>
      <c r="X509" s="13" t="n">
        <v>307</v>
      </c>
      <c r="Y509" s="13" t="n">
        <v>28</v>
      </c>
      <c r="Z509" s="13" t="n">
        <v>206</v>
      </c>
      <c r="AA509" s="13" t="n">
        <v>0.442</v>
      </c>
      <c r="AB509" s="13" t="n">
        <v>146</v>
      </c>
      <c r="AC509" s="13" t="n">
        <v>137</v>
      </c>
      <c r="AD509" s="13" t="n">
        <v>160</v>
      </c>
      <c r="AE509" s="13" t="n">
        <v>4</v>
      </c>
      <c r="AF509" s="13" t="n">
        <v>6.3</v>
      </c>
      <c r="AG509" s="11" t="inlineStr">
        <is>
          <t xml:space="preserve"> Resort Freeride</t>
        </is>
      </c>
      <c r="AH509" s="13" t="n"/>
      <c r="AI509" s="13" t="n"/>
      <c r="AJ509" s="13" t="n"/>
      <c r="AK509" s="42" t="n"/>
    </row>
    <row r="510">
      <c r="E510" s="40" t="inlineStr">
        <is>
          <t>21/22</t>
        </is>
      </c>
      <c r="F510" s="10" t="inlineStr">
        <is>
          <t xml:space="preserve"> Blizzard</t>
        </is>
      </c>
      <c r="G510" s="11" t="inlineStr">
        <is>
          <t>Sheeva 9</t>
        </is>
      </c>
      <c r="H510" s="13" t="n">
        <v>164</v>
      </c>
      <c r="I510" s="11" t="inlineStr">
        <is>
          <t xml:space="preserve"> Women's</t>
        </is>
      </c>
      <c r="J510" s="13" t="n">
        <v>164</v>
      </c>
      <c r="K510" s="13" t="n">
        <v>162.8</v>
      </c>
      <c r="L510" s="13" t="n">
        <v>110</v>
      </c>
      <c r="M510" s="13" t="n">
        <v>135</v>
      </c>
      <c r="N510" s="13" t="n">
        <v>124</v>
      </c>
      <c r="O510" s="13" t="n">
        <v>91</v>
      </c>
      <c r="P510" s="13" t="n">
        <v>113</v>
      </c>
      <c r="Q510" s="13" t="n">
        <v>14.4</v>
      </c>
      <c r="R510" s="13" t="n">
        <v>1799</v>
      </c>
      <c r="S510" s="13" t="n">
        <v>0.93</v>
      </c>
      <c r="T510" s="13" t="n">
        <v>1673</v>
      </c>
      <c r="U510" s="13" t="n">
        <v>185</v>
      </c>
      <c r="V510" s="13" t="n">
        <v>88</v>
      </c>
      <c r="W510" s="13" t="n">
        <v>61</v>
      </c>
      <c r="X510" s="13" t="n">
        <v>303</v>
      </c>
      <c r="Y510" s="13" t="n">
        <v>28</v>
      </c>
      <c r="Z510" s="13" t="n">
        <v>223</v>
      </c>
      <c r="AA510" s="13" t="n">
        <v>0.454</v>
      </c>
      <c r="AB510" s="13" t="n">
        <v>147</v>
      </c>
      <c r="AC510" s="13" t="n">
        <v>134</v>
      </c>
      <c r="AD510" s="13" t="n">
        <v>156</v>
      </c>
      <c r="AE510" s="13" t="n">
        <v>4</v>
      </c>
      <c r="AF510" s="13" t="n">
        <v>7.2</v>
      </c>
      <c r="AG510" s="11" t="inlineStr">
        <is>
          <t xml:space="preserve"> Resort Freeride</t>
        </is>
      </c>
      <c r="AH510" s="13" t="n"/>
      <c r="AI510" s="13" t="n"/>
      <c r="AJ510" s="13" t="n"/>
      <c r="AK510" s="42" t="n"/>
    </row>
    <row r="511">
      <c r="E511" s="40" t="inlineStr">
        <is>
          <t>21/22</t>
        </is>
      </c>
      <c r="F511" s="10" t="inlineStr">
        <is>
          <t xml:space="preserve"> Blizzard</t>
        </is>
      </c>
      <c r="G511" s="11" t="inlineStr">
        <is>
          <t>Sheeva 9</t>
        </is>
      </c>
      <c r="H511" s="13" t="n">
        <v>172</v>
      </c>
      <c r="I511" s="11" t="inlineStr">
        <is>
          <t xml:space="preserve"> Women's</t>
        </is>
      </c>
      <c r="J511" s="13" t="n">
        <v>172</v>
      </c>
      <c r="K511" s="13" t="n">
        <v>170.8</v>
      </c>
      <c r="L511" s="13" t="n">
        <v>115</v>
      </c>
      <c r="M511" s="13" t="n">
        <v>142</v>
      </c>
      <c r="N511" s="13" t="n">
        <v>124</v>
      </c>
      <c r="O511" s="13" t="n">
        <v>91</v>
      </c>
      <c r="P511" s="13" t="n">
        <v>114</v>
      </c>
      <c r="Q511" s="13" t="n">
        <v>16.4</v>
      </c>
      <c r="R511" s="13" t="n">
        <v>1938</v>
      </c>
      <c r="S511" s="13" t="n">
        <v>0.91</v>
      </c>
      <c r="T511" s="13" t="n">
        <v>1757</v>
      </c>
      <c r="U511" s="13" t="n">
        <v>190</v>
      </c>
      <c r="V511" s="13" t="n">
        <v>95</v>
      </c>
      <c r="W511" s="13" t="n">
        <v>65</v>
      </c>
      <c r="X511" s="13" t="n">
        <v>325</v>
      </c>
      <c r="Y511" s="13" t="n">
        <v>31</v>
      </c>
      <c r="Z511" s="13" t="n">
        <v>237</v>
      </c>
      <c r="AA511" s="13" t="n">
        <v>0.485</v>
      </c>
      <c r="AB511" s="13" t="n">
        <v>146</v>
      </c>
      <c r="AC511" s="13" t="n">
        <v>138</v>
      </c>
      <c r="AD511" s="13" t="n">
        <v>179</v>
      </c>
      <c r="AE511" s="13" t="n">
        <v>4</v>
      </c>
      <c r="AF511" s="13" t="n">
        <v>8</v>
      </c>
      <c r="AG511" s="11" t="inlineStr">
        <is>
          <t xml:space="preserve"> Resort Freeride</t>
        </is>
      </c>
      <c r="AH511" s="13" t="n"/>
      <c r="AI511" s="13" t="n"/>
      <c r="AJ511" s="13" t="n"/>
      <c r="AK511" s="42" t="n"/>
    </row>
    <row r="512">
      <c r="E512" s="40" t="inlineStr">
        <is>
          <t>21/22</t>
        </is>
      </c>
      <c r="F512" s="10" t="inlineStr">
        <is>
          <t xml:space="preserve"> Blizzard</t>
        </is>
      </c>
      <c r="G512" s="11" t="inlineStr">
        <is>
          <t xml:space="preserve"> Spur</t>
        </is>
      </c>
      <c r="H512" s="13" t="n">
        <v>159</v>
      </c>
      <c r="I512" s="11" t="inlineStr">
        <is>
          <t xml:space="preserve"> Unisex</t>
        </is>
      </c>
      <c r="J512" s="13" t="n">
        <v>159</v>
      </c>
      <c r="K512" s="13" t="n">
        <v>158.3</v>
      </c>
      <c r="L512" s="13" t="n">
        <v>80</v>
      </c>
      <c r="M512" s="13" t="n">
        <v>108</v>
      </c>
      <c r="N512" s="13" t="n">
        <v>145</v>
      </c>
      <c r="O512" s="13" t="n">
        <v>124</v>
      </c>
      <c r="P512" s="13" t="n">
        <v>129</v>
      </c>
      <c r="Q512" s="13" t="n">
        <v>20.7</v>
      </c>
      <c r="R512" s="13" t="n">
        <v>1702</v>
      </c>
      <c r="S512" s="13" t="n">
        <v>1.2</v>
      </c>
      <c r="T512" s="13" t="n">
        <v>2044</v>
      </c>
      <c r="U512" s="13" t="n">
        <v>138</v>
      </c>
      <c r="V512" s="13" t="n">
        <v>86</v>
      </c>
      <c r="W512" s="13" t="n">
        <v>53</v>
      </c>
      <c r="X512" s="13" t="n">
        <v>489</v>
      </c>
      <c r="Y512" s="13" t="n">
        <v>15</v>
      </c>
      <c r="Z512" s="13" t="n">
        <v>293</v>
      </c>
      <c r="AA512" s="13" t="n">
        <v>0.279</v>
      </c>
      <c r="AB512" s="13" t="n">
        <v>272</v>
      </c>
      <c r="AC512" s="13" t="n">
        <v>231</v>
      </c>
      <c r="AD512" s="13" t="n">
        <v>217</v>
      </c>
      <c r="AE512" s="13" t="n">
        <v>2</v>
      </c>
      <c r="AF512" s="13" t="n">
        <v>10.8</v>
      </c>
      <c r="AG512" s="11" t="inlineStr">
        <is>
          <t xml:space="preserve"> Big Mountain</t>
        </is>
      </c>
      <c r="AH512" s="11" t="inlineStr">
        <is>
          <t xml:space="preserve"> Touring</t>
        </is>
      </c>
      <c r="AI512" s="13" t="n"/>
      <c r="AJ512" s="13" t="n"/>
      <c r="AK512" s="42" t="n"/>
    </row>
    <row r="513">
      <c r="E513" s="40" t="inlineStr">
        <is>
          <t>21/22</t>
        </is>
      </c>
      <c r="F513" s="10" t="inlineStr">
        <is>
          <t xml:space="preserve"> Blizzard</t>
        </is>
      </c>
      <c r="G513" s="11" t="inlineStr">
        <is>
          <t xml:space="preserve"> Spur</t>
        </is>
      </c>
      <c r="H513" s="13" t="n">
        <v>179</v>
      </c>
      <c r="I513" s="11" t="inlineStr">
        <is>
          <t xml:space="preserve"> Unisex</t>
        </is>
      </c>
      <c r="J513" s="13" t="n">
        <v>179</v>
      </c>
      <c r="K513" s="13" t="n">
        <v>177.8</v>
      </c>
      <c r="L513" s="13" t="n">
        <v>108</v>
      </c>
      <c r="M513" s="13" t="n">
        <v>132</v>
      </c>
      <c r="N513" s="13" t="n">
        <v>147</v>
      </c>
      <c r="O513" s="13" t="n">
        <v>126</v>
      </c>
      <c r="P513" s="13" t="n">
        <v>135</v>
      </c>
      <c r="Q513" s="13" t="n">
        <v>25</v>
      </c>
      <c r="R513" s="13" t="n">
        <v>2094</v>
      </c>
      <c r="S513" s="13" t="n">
        <v>1.11</v>
      </c>
      <c r="T513" s="13" t="n">
        <v>2332</v>
      </c>
      <c r="U513" s="13" t="n">
        <v>234</v>
      </c>
      <c r="V513" s="13" t="n">
        <v>128</v>
      </c>
      <c r="W513" s="13" t="n">
        <v>61</v>
      </c>
      <c r="X513" s="13" t="n">
        <v>443</v>
      </c>
      <c r="Y513" s="13" t="n">
        <v>17</v>
      </c>
      <c r="Z513" s="13" t="n">
        <v>260</v>
      </c>
      <c r="AA513" s="13" t="n">
        <v>0.275</v>
      </c>
      <c r="AB513" s="13" t="n">
        <v>233</v>
      </c>
      <c r="AC513" s="13" t="n">
        <v>229</v>
      </c>
      <c r="AD513" s="13" t="n">
        <v>209</v>
      </c>
      <c r="AE513" s="13" t="n">
        <v>1</v>
      </c>
      <c r="AF513" s="13" t="n">
        <v>10.6</v>
      </c>
      <c r="AG513" s="11" t="inlineStr">
        <is>
          <t xml:space="preserve"> Big Mountain</t>
        </is>
      </c>
      <c r="AH513" s="11" t="inlineStr">
        <is>
          <t xml:space="preserve"> Touring</t>
        </is>
      </c>
      <c r="AI513" s="13" t="n"/>
      <c r="AJ513" s="13" t="n"/>
      <c r="AK513" s="42" t="n"/>
    </row>
    <row r="514">
      <c r="E514" s="40" t="inlineStr">
        <is>
          <t>21/22</t>
        </is>
      </c>
      <c r="F514" s="10" t="inlineStr">
        <is>
          <t xml:space="preserve"> Blizzard</t>
        </is>
      </c>
      <c r="G514" s="11" t="inlineStr">
        <is>
          <t xml:space="preserve"> Spur</t>
        </is>
      </c>
      <c r="H514" s="13" t="n">
        <v>189</v>
      </c>
      <c r="I514" s="11" t="inlineStr">
        <is>
          <t xml:space="preserve"> Unisex</t>
        </is>
      </c>
      <c r="J514" s="13" t="n">
        <v>189</v>
      </c>
      <c r="K514" s="13" t="n">
        <v>188.3</v>
      </c>
      <c r="L514" s="13" t="n">
        <v>131</v>
      </c>
      <c r="M514" s="13" t="n">
        <v>137</v>
      </c>
      <c r="N514" s="13" t="n">
        <v>148</v>
      </c>
      <c r="O514" s="13" t="n">
        <v>127</v>
      </c>
      <c r="P514" s="13" t="n">
        <v>135</v>
      </c>
      <c r="Q514" s="13" t="n">
        <v>30.2</v>
      </c>
      <c r="R514" s="13" t="n">
        <v>2214</v>
      </c>
      <c r="S514" s="13" t="n">
        <v>1.12</v>
      </c>
      <c r="T514" s="13" t="n">
        <v>2489</v>
      </c>
      <c r="U514" s="13" t="n">
        <v>298</v>
      </c>
      <c r="V514" s="13" t="n">
        <v>163</v>
      </c>
      <c r="W514" s="13" t="n">
        <v>53</v>
      </c>
      <c r="X514" s="13" t="n">
        <v>445</v>
      </c>
      <c r="Y514" s="13" t="n">
        <v>14</v>
      </c>
      <c r="Z514" s="13" t="n">
        <v>131</v>
      </c>
      <c r="AA514" s="13" t="n">
        <v>0.267</v>
      </c>
      <c r="AB514" s="13" t="n">
        <v>273</v>
      </c>
      <c r="AC514" s="13" t="n">
        <v>242</v>
      </c>
      <c r="AD514" s="13" t="n">
        <v>172</v>
      </c>
      <c r="AE514" s="13" t="n">
        <v>3</v>
      </c>
      <c r="AF514" s="13" t="n">
        <v>10.7</v>
      </c>
      <c r="AG514" s="11" t="inlineStr">
        <is>
          <t xml:space="preserve"> Big Mountain</t>
        </is>
      </c>
      <c r="AH514" s="11" t="inlineStr">
        <is>
          <t xml:space="preserve"> Touring</t>
        </is>
      </c>
      <c r="AI514" s="13" t="n"/>
      <c r="AJ514" s="13" t="n"/>
      <c r="AK514" s="42" t="n"/>
    </row>
    <row r="515">
      <c r="E515" s="40" t="inlineStr">
        <is>
          <t>21/22</t>
        </is>
      </c>
      <c r="F515" s="10" t="inlineStr">
        <is>
          <t xml:space="preserve"> Blizzard</t>
        </is>
      </c>
      <c r="G515" s="11" t="inlineStr">
        <is>
          <t xml:space="preserve"> SRC</t>
        </is>
      </c>
      <c r="H515" s="13" t="n">
        <v>155</v>
      </c>
      <c r="I515" s="11" t="inlineStr">
        <is>
          <t xml:space="preserve"> Unisex</t>
        </is>
      </c>
      <c r="J515" s="13" t="n">
        <v>155</v>
      </c>
      <c r="K515" s="13" t="n">
        <v>154.1</v>
      </c>
      <c r="L515" s="13" t="n">
        <v>135</v>
      </c>
      <c r="M515" s="13" t="n">
        <v>141</v>
      </c>
      <c r="N515" s="13" t="n">
        <v>120</v>
      </c>
      <c r="O515" s="13" t="n">
        <v>70</v>
      </c>
      <c r="P515" s="13" t="n">
        <v>103</v>
      </c>
      <c r="Q515" s="13" t="n">
        <v>11.5</v>
      </c>
      <c r="R515" s="13" t="n">
        <v>1931</v>
      </c>
      <c r="S515" s="13" t="n">
        <v>0.68</v>
      </c>
      <c r="T515" s="13" t="n">
        <v>1318</v>
      </c>
      <c r="U515" s="13" t="n">
        <v>180</v>
      </c>
      <c r="V515" s="13" t="n">
        <v>121</v>
      </c>
      <c r="W515" s="13" t="n">
        <v>40</v>
      </c>
      <c r="X515" s="13" t="n">
        <v>140</v>
      </c>
      <c r="Y515" s="13" t="n">
        <v>5</v>
      </c>
      <c r="Z515" s="13" t="n">
        <v>47</v>
      </c>
      <c r="AA515" s="13" t="n">
        <v>0.124</v>
      </c>
      <c r="AB515" s="13" t="n">
        <v>74</v>
      </c>
      <c r="AC515" s="13" t="n">
        <v>56</v>
      </c>
      <c r="AD515" s="13" t="n">
        <v>66</v>
      </c>
      <c r="AE515" s="13" t="n">
        <v>13</v>
      </c>
      <c r="AF515" s="13" t="n">
        <v>12.3</v>
      </c>
      <c r="AG515" s="11" t="inlineStr">
        <is>
          <t xml:space="preserve"> On-Piste Carving</t>
        </is>
      </c>
      <c r="AH515" s="13" t="n"/>
      <c r="AI515" s="13" t="n"/>
      <c r="AJ515" s="13" t="n"/>
      <c r="AK515" s="42" t="n"/>
    </row>
    <row r="516">
      <c r="E516" s="40" t="inlineStr">
        <is>
          <t>21/22</t>
        </is>
      </c>
      <c r="F516" s="10" t="inlineStr">
        <is>
          <t xml:space="preserve"> Blizzard</t>
        </is>
      </c>
      <c r="G516" s="11" t="inlineStr">
        <is>
          <t xml:space="preserve"> SRC</t>
        </is>
      </c>
      <c r="H516" s="13" t="n">
        <v>160</v>
      </c>
      <c r="I516" s="11" t="inlineStr">
        <is>
          <t xml:space="preserve"> Unisex</t>
        </is>
      </c>
      <c r="J516" s="13" t="n">
        <v>160</v>
      </c>
      <c r="K516" s="13" t="n">
        <v>159.1</v>
      </c>
      <c r="L516" s="13" t="n">
        <v>141</v>
      </c>
      <c r="M516" s="13" t="n">
        <v>146</v>
      </c>
      <c r="N516" s="13" t="n">
        <v>119</v>
      </c>
      <c r="O516" s="13" t="n">
        <v>69</v>
      </c>
      <c r="P516" s="13" t="n">
        <v>103</v>
      </c>
      <c r="Q516" s="13" t="n">
        <v>12.2</v>
      </c>
      <c r="R516" s="13" t="n">
        <v>1970</v>
      </c>
      <c r="S516" s="13" t="n">
        <v>0.6899999999999999</v>
      </c>
      <c r="T516" s="13" t="n">
        <v>1350</v>
      </c>
      <c r="U516" s="13" t="n">
        <v>195</v>
      </c>
      <c r="V516" s="13" t="n">
        <v>125</v>
      </c>
      <c r="W516" s="13" t="n">
        <v>39</v>
      </c>
      <c r="X516" s="13" t="n">
        <v>136</v>
      </c>
      <c r="Y516" s="13" t="n">
        <v>5</v>
      </c>
      <c r="Z516" s="13" t="n">
        <v>48</v>
      </c>
      <c r="AA516" s="13" t="n">
        <v>0.117</v>
      </c>
      <c r="AB516" s="13" t="n">
        <v>70</v>
      </c>
      <c r="AC516" s="13" t="n">
        <v>57</v>
      </c>
      <c r="AD516" s="13" t="n">
        <v>66</v>
      </c>
      <c r="AE516" s="13" t="n">
        <v>15</v>
      </c>
      <c r="AF516" s="13" t="n">
        <v>11.8</v>
      </c>
      <c r="AG516" s="11" t="inlineStr">
        <is>
          <t xml:space="preserve"> On-Piste Carving</t>
        </is>
      </c>
      <c r="AH516" s="13" t="n"/>
      <c r="AI516" s="13" t="n"/>
      <c r="AJ516" s="13" t="n"/>
      <c r="AK516" s="42" t="n"/>
    </row>
    <row r="517">
      <c r="E517" s="40" t="inlineStr">
        <is>
          <t>21/22</t>
        </is>
      </c>
      <c r="F517" s="10" t="inlineStr">
        <is>
          <t xml:space="preserve"> Blizzard</t>
        </is>
      </c>
      <c r="G517" s="11" t="inlineStr">
        <is>
          <t xml:space="preserve"> SRC</t>
        </is>
      </c>
      <c r="H517" s="13" t="n">
        <v>165</v>
      </c>
      <c r="I517" s="11" t="inlineStr">
        <is>
          <t xml:space="preserve"> Unisex</t>
        </is>
      </c>
      <c r="J517" s="13" t="n">
        <v>165</v>
      </c>
      <c r="K517" s="13" t="n">
        <v>163.9</v>
      </c>
      <c r="L517" s="13" t="n">
        <v>145</v>
      </c>
      <c r="M517" s="13" t="n">
        <v>151</v>
      </c>
      <c r="N517" s="13" t="n">
        <v>121</v>
      </c>
      <c r="O517" s="13" t="n">
        <v>70</v>
      </c>
      <c r="P517" s="13" t="n">
        <v>104</v>
      </c>
      <c r="Q517" s="13" t="n">
        <v>12.9</v>
      </c>
      <c r="R517" s="13" t="n">
        <v>2006</v>
      </c>
      <c r="S517" s="13" t="n">
        <v>0.7</v>
      </c>
      <c r="T517" s="13" t="n">
        <v>1404</v>
      </c>
      <c r="U517" s="13" t="n">
        <v>199</v>
      </c>
      <c r="V517" s="13" t="n">
        <v>127</v>
      </c>
      <c r="W517" s="13" t="n">
        <v>38</v>
      </c>
      <c r="X517" s="13" t="n">
        <v>138</v>
      </c>
      <c r="Y517" s="13" t="n">
        <v>7</v>
      </c>
      <c r="Z517" s="13" t="n">
        <v>52</v>
      </c>
      <c r="AA517" s="13" t="n">
        <v>0.183</v>
      </c>
      <c r="AB517" s="13" t="n">
        <v>72</v>
      </c>
      <c r="AC517" s="13" t="n">
        <v>55</v>
      </c>
      <c r="AD517" s="13" t="n">
        <v>66</v>
      </c>
      <c r="AE517" s="13" t="n">
        <v>12</v>
      </c>
      <c r="AF517" s="13" t="n">
        <v>11.9</v>
      </c>
      <c r="AG517" s="11" t="inlineStr">
        <is>
          <t xml:space="preserve"> On-Piste Carving</t>
        </is>
      </c>
      <c r="AH517" s="13" t="n"/>
      <c r="AI517" s="13" t="n"/>
      <c r="AJ517" s="13" t="n"/>
      <c r="AK517" s="42" t="n"/>
    </row>
    <row r="518">
      <c r="E518" s="40" t="inlineStr">
        <is>
          <t>21/22</t>
        </is>
      </c>
      <c r="F518" s="10" t="inlineStr">
        <is>
          <t xml:space="preserve"> Blizzard</t>
        </is>
      </c>
      <c r="G518" s="11" t="inlineStr">
        <is>
          <t>Thunderbird R13</t>
        </is>
      </c>
      <c r="H518" s="13" t="n">
        <v>160</v>
      </c>
      <c r="I518" s="11" t="inlineStr">
        <is>
          <t xml:space="preserve"> Unisex</t>
        </is>
      </c>
      <c r="J518" s="13" t="n">
        <v>160</v>
      </c>
      <c r="K518" s="13" t="n">
        <v>158.9</v>
      </c>
      <c r="L518" s="13" t="n">
        <v>139</v>
      </c>
      <c r="M518" s="13" t="n">
        <v>146</v>
      </c>
      <c r="N518" s="13" t="n">
        <v>122</v>
      </c>
      <c r="O518" s="13" t="n">
        <v>71</v>
      </c>
      <c r="P518" s="13" t="n">
        <v>105</v>
      </c>
      <c r="Q518" s="13" t="n">
        <v>12.4</v>
      </c>
      <c r="R518" s="13" t="n">
        <v>2080</v>
      </c>
      <c r="S518" s="13" t="n">
        <v>0.67</v>
      </c>
      <c r="T518" s="13" t="n">
        <v>1384</v>
      </c>
      <c r="U518" s="13" t="n">
        <v>178</v>
      </c>
      <c r="V518" s="13" t="n">
        <v>113</v>
      </c>
      <c r="W518" s="13" t="n">
        <v>43</v>
      </c>
      <c r="X518" s="13" t="n">
        <v>143</v>
      </c>
      <c r="Y518" s="13" t="n">
        <v>7</v>
      </c>
      <c r="Z518" s="13" t="n">
        <v>55</v>
      </c>
      <c r="AA518" s="13" t="n">
        <v>0.156</v>
      </c>
      <c r="AB518" s="13" t="n">
        <v>75</v>
      </c>
      <c r="AC518" s="13" t="n">
        <v>54</v>
      </c>
      <c r="AD518" s="13" t="n">
        <v>68</v>
      </c>
      <c r="AE518" s="13" t="n">
        <v>10</v>
      </c>
      <c r="AF518" s="13" t="n">
        <v>12.1</v>
      </c>
      <c r="AG518" s="11" t="inlineStr">
        <is>
          <t xml:space="preserve"> On-Piste Carving</t>
        </is>
      </c>
      <c r="AH518" s="13" t="n"/>
      <c r="AI518" s="13" t="n"/>
      <c r="AJ518" s="13" t="n"/>
      <c r="AK518" s="42" t="n"/>
    </row>
    <row r="519">
      <c r="E519" s="40" t="inlineStr">
        <is>
          <t>21/22</t>
        </is>
      </c>
      <c r="F519" s="10" t="inlineStr">
        <is>
          <t xml:space="preserve"> Blizzard</t>
        </is>
      </c>
      <c r="G519" s="11" t="inlineStr">
        <is>
          <t>Thunderbird R13</t>
        </is>
      </c>
      <c r="H519" s="13" t="n">
        <v>165</v>
      </c>
      <c r="I519" s="11" t="inlineStr">
        <is>
          <t xml:space="preserve"> Unisex</t>
        </is>
      </c>
      <c r="J519" s="13" t="n">
        <v>165</v>
      </c>
      <c r="K519" s="13" t="n">
        <v>163.7</v>
      </c>
      <c r="L519" s="13" t="n">
        <v>144</v>
      </c>
      <c r="M519" s="13" t="n">
        <v>151</v>
      </c>
      <c r="N519" s="13" t="n">
        <v>122</v>
      </c>
      <c r="O519" s="13" t="n">
        <v>70</v>
      </c>
      <c r="P519" s="13" t="n">
        <v>105</v>
      </c>
      <c r="Q519" s="13" t="n">
        <v>13</v>
      </c>
      <c r="R519" s="13" t="n">
        <v>2126</v>
      </c>
      <c r="S519" s="13" t="n">
        <v>0.67</v>
      </c>
      <c r="T519" s="13" t="n">
        <v>1415</v>
      </c>
      <c r="U519" s="13" t="n">
        <v>198</v>
      </c>
      <c r="V519" s="13" t="n">
        <v>120</v>
      </c>
      <c r="W519" s="13" t="n">
        <v>43</v>
      </c>
      <c r="X519" s="13" t="n">
        <v>143</v>
      </c>
      <c r="Y519" s="13" t="n">
        <v>7</v>
      </c>
      <c r="Z519" s="13" t="n">
        <v>58</v>
      </c>
      <c r="AA519" s="13" t="n">
        <v>0.164</v>
      </c>
      <c r="AB519" s="13" t="n">
        <v>68</v>
      </c>
      <c r="AC519" s="13" t="n">
        <v>57</v>
      </c>
      <c r="AD519" s="13" t="n">
        <v>76</v>
      </c>
      <c r="AE519" s="13" t="n">
        <v>9</v>
      </c>
      <c r="AF519" s="13" t="n">
        <v>11.9</v>
      </c>
      <c r="AG519" s="11" t="inlineStr">
        <is>
          <t xml:space="preserve"> On-Piste Carving</t>
        </is>
      </c>
      <c r="AH519" s="13" t="n"/>
      <c r="AI519" s="13" t="n"/>
      <c r="AJ519" s="13" t="n"/>
      <c r="AK519" s="42" t="n"/>
    </row>
    <row r="520">
      <c r="E520" s="40" t="inlineStr">
        <is>
          <t>21/22</t>
        </is>
      </c>
      <c r="F520" s="10" t="inlineStr">
        <is>
          <t xml:space="preserve"> Blizzard</t>
        </is>
      </c>
      <c r="G520" s="11" t="inlineStr">
        <is>
          <t>Thunderbird R15 WB</t>
        </is>
      </c>
      <c r="H520" s="13" t="n">
        <v>166</v>
      </c>
      <c r="I520" s="11" t="inlineStr">
        <is>
          <t xml:space="preserve"> Unisex</t>
        </is>
      </c>
      <c r="J520" s="13" t="n">
        <v>166</v>
      </c>
      <c r="K520" s="13" t="n">
        <v>165.1</v>
      </c>
      <c r="L520" s="13" t="n">
        <v>146</v>
      </c>
      <c r="M520" s="13" t="n">
        <v>153</v>
      </c>
      <c r="N520" s="13" t="n">
        <v>124</v>
      </c>
      <c r="O520" s="13" t="n">
        <v>75</v>
      </c>
      <c r="P520" s="13" t="n">
        <v>105</v>
      </c>
      <c r="Q520" s="13" t="n">
        <v>14.7</v>
      </c>
      <c r="R520" s="13" t="n">
        <v>2238</v>
      </c>
      <c r="S520" s="13" t="n">
        <v>0.66</v>
      </c>
      <c r="T520" s="13" t="n">
        <v>1477</v>
      </c>
      <c r="U520" s="13" t="n">
        <v>196</v>
      </c>
      <c r="V520" s="13" t="n">
        <v>122</v>
      </c>
      <c r="W520" s="13" t="n">
        <v>42</v>
      </c>
      <c r="X520" s="13" t="n">
        <v>135</v>
      </c>
      <c r="Y520" s="13" t="n">
        <v>8</v>
      </c>
      <c r="Z520" s="13" t="n">
        <v>59</v>
      </c>
      <c r="AA520" s="13" t="n">
        <v>0.182</v>
      </c>
      <c r="AB520" s="13" t="n">
        <v>73</v>
      </c>
      <c r="AC520" s="13" t="n">
        <v>51</v>
      </c>
      <c r="AD520" s="13" t="n">
        <v>62</v>
      </c>
      <c r="AE520" s="13" t="n">
        <v>9</v>
      </c>
      <c r="AF520" s="13" t="n">
        <v>11.7</v>
      </c>
      <c r="AG520" s="11" t="inlineStr">
        <is>
          <t xml:space="preserve"> On-Piste Carving</t>
        </is>
      </c>
      <c r="AH520" s="13" t="n"/>
      <c r="AI520" s="13" t="n"/>
      <c r="AJ520" s="13" t="n"/>
      <c r="AK520" s="42" t="n"/>
    </row>
    <row r="521">
      <c r="E521" s="40" t="inlineStr">
        <is>
          <t>21/22</t>
        </is>
      </c>
      <c r="F521" s="10" t="inlineStr">
        <is>
          <t xml:space="preserve"> Blizzard</t>
        </is>
      </c>
      <c r="G521" s="11" t="inlineStr">
        <is>
          <t>Thunderbird R15 WB</t>
        </is>
      </c>
      <c r="H521" s="13" t="n">
        <v>174</v>
      </c>
      <c r="I521" s="11" t="inlineStr">
        <is>
          <t xml:space="preserve"> Unisex</t>
        </is>
      </c>
      <c r="J521" s="13" t="n">
        <v>174</v>
      </c>
      <c r="K521" s="13" t="n">
        <v>172.9</v>
      </c>
      <c r="L521" s="13" t="n">
        <v>155</v>
      </c>
      <c r="M521" s="13" t="n">
        <v>160</v>
      </c>
      <c r="N521" s="13" t="n">
        <v>125</v>
      </c>
      <c r="O521" s="13" t="n">
        <v>75</v>
      </c>
      <c r="P521" s="13" t="n">
        <v>106</v>
      </c>
      <c r="Q521" s="13" t="n">
        <v>15.1</v>
      </c>
      <c r="R521" s="13" t="n">
        <v>2334</v>
      </c>
      <c r="S521" s="13" t="n">
        <v>0.67</v>
      </c>
      <c r="T521" s="13" t="n">
        <v>1555</v>
      </c>
      <c r="U521" s="13" t="n">
        <v>223</v>
      </c>
      <c r="V521" s="13" t="n">
        <v>143</v>
      </c>
      <c r="W521" s="13" t="n">
        <v>40</v>
      </c>
      <c r="X521" s="13" t="n">
        <v>127</v>
      </c>
      <c r="Y521" s="13" t="n">
        <v>6</v>
      </c>
      <c r="Z521" s="13" t="n">
        <v>56</v>
      </c>
      <c r="AA521" s="13" t="n">
        <v>0.157</v>
      </c>
      <c r="AB521" s="13" t="n">
        <v>75</v>
      </c>
      <c r="AC521" s="13" t="n">
        <v>52</v>
      </c>
      <c r="AD521" s="13" t="n">
        <v>52</v>
      </c>
      <c r="AE521" s="13" t="n">
        <v>8</v>
      </c>
      <c r="AF521" s="13" t="n">
        <v>11.4</v>
      </c>
      <c r="AG521" s="11" t="inlineStr">
        <is>
          <t xml:space="preserve"> On-Piste Carving</t>
        </is>
      </c>
      <c r="AH521" s="13" t="n"/>
      <c r="AI521" s="13" t="n"/>
      <c r="AJ521" s="13" t="n"/>
      <c r="AK521" s="42" t="n"/>
    </row>
    <row r="522">
      <c r="E522" s="40" t="inlineStr">
        <is>
          <t>21/22</t>
        </is>
      </c>
      <c r="F522" s="10" t="inlineStr">
        <is>
          <t xml:space="preserve"> Blizzard</t>
        </is>
      </c>
      <c r="G522" s="11" t="inlineStr">
        <is>
          <t xml:space="preserve"> Thunderbird Sport Ti</t>
        </is>
      </c>
      <c r="H522" s="13" t="n">
        <v>160</v>
      </c>
      <c r="I522" s="11" t="inlineStr">
        <is>
          <t xml:space="preserve"> Unisex</t>
        </is>
      </c>
      <c r="J522" s="13" t="n">
        <v>160</v>
      </c>
      <c r="K522" s="13" t="n">
        <v>159.6</v>
      </c>
      <c r="L522" s="13" t="n">
        <v>141</v>
      </c>
      <c r="M522" s="13" t="n">
        <v>147</v>
      </c>
      <c r="N522" s="13" t="n">
        <v>125</v>
      </c>
      <c r="O522" s="13" t="n">
        <v>76</v>
      </c>
      <c r="P522" s="13" t="n">
        <v>105</v>
      </c>
      <c r="Q522" s="13" t="n">
        <v>13.7</v>
      </c>
      <c r="R522" s="13" t="n">
        <v>1818</v>
      </c>
      <c r="S522" s="13" t="n">
        <v>0.8</v>
      </c>
      <c r="T522" s="13" t="n">
        <v>1448</v>
      </c>
      <c r="U522" s="13" t="n">
        <v>192</v>
      </c>
      <c r="V522" s="13" t="n">
        <v>95</v>
      </c>
      <c r="W522" s="13" t="n">
        <v>37</v>
      </c>
      <c r="X522" s="13" t="n">
        <v>137</v>
      </c>
      <c r="Y522" s="13" t="n">
        <v>6</v>
      </c>
      <c r="Z522" s="13" t="n">
        <v>51</v>
      </c>
      <c r="AA522" s="13" t="n">
        <v>0.168</v>
      </c>
      <c r="AB522" s="13" t="n">
        <v>76</v>
      </c>
      <c r="AC522" s="13" t="n">
        <v>52</v>
      </c>
      <c r="AD522" s="13" t="n">
        <v>61</v>
      </c>
      <c r="AE522" s="13" t="n">
        <v>7</v>
      </c>
      <c r="AF522" s="13" t="n">
        <v>12.1</v>
      </c>
      <c r="AG522" s="11" t="inlineStr">
        <is>
          <t xml:space="preserve"> On-Piste Carving</t>
        </is>
      </c>
      <c r="AH522" s="13" t="n"/>
      <c r="AI522" s="13" t="n"/>
      <c r="AJ522" s="13" t="n"/>
      <c r="AK522" s="42" t="n"/>
    </row>
    <row r="523">
      <c r="E523" s="40" t="inlineStr">
        <is>
          <t>21/22</t>
        </is>
      </c>
      <c r="F523" s="10" t="inlineStr">
        <is>
          <t xml:space="preserve"> Blizzard</t>
        </is>
      </c>
      <c r="G523" s="11" t="inlineStr">
        <is>
          <t xml:space="preserve"> Thunderbird Sport Ti</t>
        </is>
      </c>
      <c r="H523" s="13" t="n">
        <v>165</v>
      </c>
      <c r="I523" s="11" t="inlineStr">
        <is>
          <t xml:space="preserve"> Unisex</t>
        </is>
      </c>
      <c r="J523" s="13" t="n">
        <v>165</v>
      </c>
      <c r="K523" s="13" t="n">
        <v>164.3</v>
      </c>
      <c r="L523" s="13" t="n">
        <v>143</v>
      </c>
      <c r="M523" s="13" t="n">
        <v>152</v>
      </c>
      <c r="N523" s="13" t="n">
        <v>124</v>
      </c>
      <c r="O523" s="13" t="n">
        <v>75</v>
      </c>
      <c r="P523" s="13" t="n">
        <v>104</v>
      </c>
      <c r="Q523" s="13" t="n">
        <v>14.5</v>
      </c>
      <c r="R523" s="13" t="n">
        <v>1866</v>
      </c>
      <c r="S523" s="13" t="n">
        <v>0.79</v>
      </c>
      <c r="T523" s="13" t="n">
        <v>1470</v>
      </c>
      <c r="U523" s="13" t="n">
        <v>205</v>
      </c>
      <c r="V523" s="13" t="n">
        <v>100</v>
      </c>
      <c r="W523" s="13" t="n">
        <v>42</v>
      </c>
      <c r="X523" s="13" t="n">
        <v>164</v>
      </c>
      <c r="Y523" s="13" t="n">
        <v>6</v>
      </c>
      <c r="Z523" s="13" t="n">
        <v>51</v>
      </c>
      <c r="AA523" s="13" t="n">
        <v>0.152</v>
      </c>
      <c r="AB523" s="13" t="n">
        <v>69</v>
      </c>
      <c r="AC523" s="13" t="n">
        <v>58</v>
      </c>
      <c r="AD523" s="13" t="n">
        <v>95</v>
      </c>
      <c r="AE523" s="13" t="n">
        <v>6</v>
      </c>
      <c r="AF523" s="13" t="n">
        <v>11.7</v>
      </c>
      <c r="AG523" s="11" t="inlineStr">
        <is>
          <t xml:space="preserve"> On-Piste Carving</t>
        </is>
      </c>
      <c r="AH523" s="13" t="n"/>
      <c r="AI523" s="13" t="n"/>
      <c r="AJ523" s="13" t="n"/>
      <c r="AK523" s="42" t="n"/>
    </row>
    <row r="524">
      <c r="E524" s="40" t="inlineStr">
        <is>
          <t>21/22</t>
        </is>
      </c>
      <c r="F524" s="10" t="inlineStr">
        <is>
          <t xml:space="preserve"> Blizzard</t>
        </is>
      </c>
      <c r="G524" s="11" t="inlineStr">
        <is>
          <t xml:space="preserve"> Thunderbird Sport Ti</t>
        </is>
      </c>
      <c r="H524" s="13" t="n">
        <v>170</v>
      </c>
      <c r="I524" s="11" t="inlineStr">
        <is>
          <t xml:space="preserve"> Unisex</t>
        </is>
      </c>
      <c r="J524" s="13" t="n">
        <v>170</v>
      </c>
      <c r="K524" s="13" t="n">
        <v>169.1</v>
      </c>
      <c r="L524" s="13" t="n">
        <v>148</v>
      </c>
      <c r="M524" s="13" t="n">
        <v>157</v>
      </c>
      <c r="N524" s="13" t="n">
        <v>124</v>
      </c>
      <c r="O524" s="13" t="n">
        <v>76</v>
      </c>
      <c r="P524" s="13" t="n">
        <v>104</v>
      </c>
      <c r="Q524" s="13" t="n">
        <v>15.5</v>
      </c>
      <c r="R524" s="13" t="n">
        <v>1971</v>
      </c>
      <c r="S524" s="13" t="n">
        <v>0.77</v>
      </c>
      <c r="T524" s="13" t="n">
        <v>1521</v>
      </c>
      <c r="U524" s="13" t="n">
        <v>234</v>
      </c>
      <c r="V524" s="13" t="n">
        <v>110</v>
      </c>
      <c r="W524" s="13" t="n">
        <v>41</v>
      </c>
      <c r="X524" s="13" t="n">
        <v>163</v>
      </c>
      <c r="Y524" s="13" t="n">
        <v>5</v>
      </c>
      <c r="Z524" s="13" t="n">
        <v>51</v>
      </c>
      <c r="AA524" s="13" t="n">
        <v>0.131</v>
      </c>
      <c r="AB524" s="13" t="n">
        <v>71</v>
      </c>
      <c r="AC524" s="13" t="n">
        <v>55</v>
      </c>
      <c r="AD524" s="13" t="n">
        <v>93</v>
      </c>
      <c r="AE524" s="13" t="n">
        <v>6</v>
      </c>
      <c r="AF524" s="13" t="n">
        <v>12.1</v>
      </c>
      <c r="AG524" s="11" t="inlineStr">
        <is>
          <t xml:space="preserve"> On-Piste Carving</t>
        </is>
      </c>
      <c r="AH524" s="13" t="n"/>
      <c r="AI524" s="13" t="n"/>
      <c r="AJ524" s="13" t="n"/>
      <c r="AK524" s="42" t="n"/>
    </row>
    <row r="525">
      <c r="E525" s="40" t="inlineStr">
        <is>
          <t>21/22</t>
        </is>
      </c>
      <c r="F525" s="10" t="inlineStr">
        <is>
          <t xml:space="preserve"> Blizzard</t>
        </is>
      </c>
      <c r="G525" s="11" t="inlineStr">
        <is>
          <t>Zero G 105</t>
        </is>
      </c>
      <c r="H525" s="13" t="n">
        <v>164</v>
      </c>
      <c r="I525" s="11" t="inlineStr">
        <is>
          <t xml:space="preserve"> Unisex</t>
        </is>
      </c>
      <c r="J525" s="13" t="n">
        <v>164</v>
      </c>
      <c r="K525" s="13" t="n">
        <v>162</v>
      </c>
      <c r="L525" s="13" t="n">
        <v>114</v>
      </c>
      <c r="M525" s="13" t="n">
        <v>132</v>
      </c>
      <c r="N525" s="13" t="n">
        <v>130</v>
      </c>
      <c r="O525" s="13" t="n">
        <v>102</v>
      </c>
      <c r="P525" s="13" t="n">
        <v>116</v>
      </c>
      <c r="Q525" s="13" t="n">
        <v>18.6</v>
      </c>
      <c r="R525" s="13" t="n">
        <v>1343</v>
      </c>
      <c r="S525" s="13" t="n">
        <v>1.33</v>
      </c>
      <c r="T525" s="13" t="n">
        <v>1786</v>
      </c>
      <c r="U525" s="13" t="n">
        <v>166</v>
      </c>
      <c r="V525" s="13" t="n">
        <v>59</v>
      </c>
      <c r="W525" s="13" t="n">
        <v>58</v>
      </c>
      <c r="X525" s="13" t="n">
        <v>311</v>
      </c>
      <c r="Y525" s="13" t="n">
        <v>17</v>
      </c>
      <c r="Z525" s="13" t="n">
        <v>170</v>
      </c>
      <c r="AA525" s="13" t="n">
        <v>0.288</v>
      </c>
      <c r="AB525" s="13" t="n">
        <v>157</v>
      </c>
      <c r="AC525" s="13" t="n">
        <v>147</v>
      </c>
      <c r="AD525" s="13" t="n">
        <v>155</v>
      </c>
      <c r="AE525" s="13" t="n">
        <v>5</v>
      </c>
      <c r="AF525" s="13" t="n">
        <v>8.9</v>
      </c>
      <c r="AG525" s="11" t="inlineStr">
        <is>
          <t xml:space="preserve"> Big Mountain</t>
        </is>
      </c>
      <c r="AH525" s="11" t="inlineStr">
        <is>
          <t xml:space="preserve"> Touring</t>
        </is>
      </c>
      <c r="AI525" s="11" t="inlineStr">
        <is>
          <t xml:space="preserve"> Ultralight Touring</t>
        </is>
      </c>
      <c r="AJ525" s="13" t="n"/>
      <c r="AK525" s="42" t="n"/>
    </row>
    <row r="526">
      <c r="E526" s="40" t="inlineStr">
        <is>
          <t>21/22</t>
        </is>
      </c>
      <c r="F526" s="10" t="inlineStr">
        <is>
          <t xml:space="preserve"> Blizzard</t>
        </is>
      </c>
      <c r="G526" s="11" t="inlineStr">
        <is>
          <t>Zero G 105</t>
        </is>
      </c>
      <c r="H526" s="13" t="n">
        <v>172</v>
      </c>
      <c r="I526" s="11" t="inlineStr">
        <is>
          <t xml:space="preserve"> Unisex</t>
        </is>
      </c>
      <c r="J526" s="13" t="n">
        <v>172</v>
      </c>
      <c r="K526" s="13" t="n">
        <v>169.8</v>
      </c>
      <c r="L526" s="13" t="n">
        <v>124</v>
      </c>
      <c r="M526" s="13" t="n">
        <v>139</v>
      </c>
      <c r="N526" s="13" t="n">
        <v>130</v>
      </c>
      <c r="O526" s="13" t="n">
        <v>102</v>
      </c>
      <c r="P526" s="13" t="n">
        <v>116</v>
      </c>
      <c r="Q526" s="13" t="n">
        <v>21.4</v>
      </c>
      <c r="R526" s="13" t="n">
        <v>1416</v>
      </c>
      <c r="S526" s="13" t="n">
        <v>1.32</v>
      </c>
      <c r="T526" s="13" t="n">
        <v>1874</v>
      </c>
      <c r="U526" s="13" t="n">
        <v>189</v>
      </c>
      <c r="V526" s="13" t="n">
        <v>64</v>
      </c>
      <c r="W526" s="13" t="n">
        <v>54</v>
      </c>
      <c r="X526" s="13" t="n">
        <v>297</v>
      </c>
      <c r="Y526" s="13" t="n">
        <v>18</v>
      </c>
      <c r="Z526" s="13" t="n">
        <v>165</v>
      </c>
      <c r="AA526" s="13" t="n">
        <v>0.332</v>
      </c>
      <c r="AB526" s="13" t="n">
        <v>160</v>
      </c>
      <c r="AC526" s="13" t="n">
        <v>148</v>
      </c>
      <c r="AD526" s="13" t="n">
        <v>137</v>
      </c>
      <c r="AE526" s="13" t="n">
        <v>6</v>
      </c>
      <c r="AF526" s="13" t="n">
        <v>9.800000000000001</v>
      </c>
      <c r="AG526" s="11" t="inlineStr">
        <is>
          <t xml:space="preserve"> Big Mountain</t>
        </is>
      </c>
      <c r="AH526" s="11" t="inlineStr">
        <is>
          <t xml:space="preserve"> Touring</t>
        </is>
      </c>
      <c r="AI526" s="11" t="inlineStr">
        <is>
          <t xml:space="preserve"> Ultralight Touring</t>
        </is>
      </c>
      <c r="AJ526" s="13" t="n"/>
      <c r="AK526" s="42" t="n"/>
    </row>
    <row r="527">
      <c r="E527" s="40" t="inlineStr">
        <is>
          <t>21/22</t>
        </is>
      </c>
      <c r="F527" s="10" t="inlineStr">
        <is>
          <t xml:space="preserve"> Blizzard</t>
        </is>
      </c>
      <c r="G527" s="11" t="inlineStr">
        <is>
          <t>Zero G 105</t>
        </is>
      </c>
      <c r="H527" s="13" t="n">
        <v>180</v>
      </c>
      <c r="I527" s="11" t="inlineStr">
        <is>
          <t xml:space="preserve"> Unisex</t>
        </is>
      </c>
      <c r="J527" s="13" t="n">
        <v>180</v>
      </c>
      <c r="K527" s="13" t="n">
        <v>177.9</v>
      </c>
      <c r="L527" s="13" t="n">
        <v>120</v>
      </c>
      <c r="M527" s="13" t="n">
        <v>148</v>
      </c>
      <c r="N527" s="13" t="n">
        <v>132</v>
      </c>
      <c r="O527" s="13" t="n">
        <v>104</v>
      </c>
      <c r="P527" s="13" t="n">
        <v>118</v>
      </c>
      <c r="Q527" s="13" t="n">
        <v>23.8</v>
      </c>
      <c r="R527" s="13" t="n">
        <v>1487</v>
      </c>
      <c r="S527" s="13" t="n">
        <v>1.34</v>
      </c>
      <c r="T527" s="13" t="n">
        <v>1999</v>
      </c>
      <c r="U527" s="13" t="n">
        <v>208</v>
      </c>
      <c r="V527" s="13" t="n">
        <v>78</v>
      </c>
      <c r="W527" s="13" t="n">
        <v>58</v>
      </c>
      <c r="X527" s="13" t="n">
        <v>336</v>
      </c>
      <c r="Y527" s="13" t="n">
        <v>24</v>
      </c>
      <c r="Z527" s="13" t="n">
        <v>243</v>
      </c>
      <c r="AA527" s="13" t="n">
        <v>0.414</v>
      </c>
      <c r="AB527" s="13" t="n">
        <v>152</v>
      </c>
      <c r="AC527" s="13" t="n">
        <v>145</v>
      </c>
      <c r="AD527" s="13" t="n">
        <v>184</v>
      </c>
      <c r="AE527" s="13" t="n">
        <v>3</v>
      </c>
      <c r="AF527" s="13" t="n">
        <v>9.199999999999999</v>
      </c>
      <c r="AG527" s="11" t="inlineStr">
        <is>
          <t xml:space="preserve"> Powder</t>
        </is>
      </c>
      <c r="AH527" s="11" t="inlineStr">
        <is>
          <t xml:space="preserve"> Touring</t>
        </is>
      </c>
      <c r="AI527" s="11" t="inlineStr">
        <is>
          <t xml:space="preserve"> Ultralight Touring</t>
        </is>
      </c>
      <c r="AJ527" s="13" t="n"/>
      <c r="AK527" s="42" t="n"/>
    </row>
    <row r="528">
      <c r="E528" s="40" t="inlineStr">
        <is>
          <t>21/22</t>
        </is>
      </c>
      <c r="F528" s="10" t="inlineStr">
        <is>
          <t xml:space="preserve"> Blizzard</t>
        </is>
      </c>
      <c r="G528" s="11" t="inlineStr">
        <is>
          <t>Zero G 105</t>
        </is>
      </c>
      <c r="H528" s="13" t="n">
        <v>188</v>
      </c>
      <c r="I528" s="11" t="inlineStr">
        <is>
          <t xml:space="preserve"> Unisex</t>
        </is>
      </c>
      <c r="J528" s="13" t="n">
        <v>188</v>
      </c>
      <c r="K528" s="13" t="n">
        <v>185.8</v>
      </c>
      <c r="L528" s="13" t="n">
        <v>126</v>
      </c>
      <c r="M528" s="13" t="n">
        <v>155</v>
      </c>
      <c r="N528" s="13" t="n">
        <v>133</v>
      </c>
      <c r="O528" s="13" t="n">
        <v>104</v>
      </c>
      <c r="P528" s="13" t="n">
        <v>119</v>
      </c>
      <c r="Q528" s="13" t="n">
        <v>25.3</v>
      </c>
      <c r="R528" s="13" t="n">
        <v>1645</v>
      </c>
      <c r="S528" s="13" t="n">
        <v>1.27</v>
      </c>
      <c r="T528" s="13" t="n">
        <v>2096</v>
      </c>
      <c r="U528" s="13" t="n">
        <v>265</v>
      </c>
      <c r="V528" s="13" t="n">
        <v>95</v>
      </c>
      <c r="W528" s="13" t="n">
        <v>52</v>
      </c>
      <c r="X528" s="13" t="n">
        <v>333</v>
      </c>
      <c r="Y528" s="13" t="n">
        <v>22</v>
      </c>
      <c r="Z528" s="13" t="n">
        <v>265</v>
      </c>
      <c r="AA528" s="13" t="n">
        <v>0.425</v>
      </c>
      <c r="AB528" s="13" t="n">
        <v>160</v>
      </c>
      <c r="AC528" s="13" t="n">
        <v>145</v>
      </c>
      <c r="AD528" s="13" t="n">
        <v>173</v>
      </c>
      <c r="AE528" s="13" t="n">
        <v>4</v>
      </c>
      <c r="AF528" s="13" t="n">
        <v>9.6</v>
      </c>
      <c r="AG528" s="11" t="inlineStr">
        <is>
          <t xml:space="preserve"> Resort Freeride</t>
        </is>
      </c>
      <c r="AH528" s="11" t="inlineStr">
        <is>
          <t xml:space="preserve"> Powder</t>
        </is>
      </c>
      <c r="AI528" s="11" t="inlineStr">
        <is>
          <t xml:space="preserve"> Touring</t>
        </is>
      </c>
      <c r="AJ528" s="11" t="inlineStr">
        <is>
          <t xml:space="preserve"> Ultralight Touring</t>
        </is>
      </c>
      <c r="AK528" s="42" t="n"/>
    </row>
    <row r="529">
      <c r="E529" s="40" t="inlineStr">
        <is>
          <t>21/22</t>
        </is>
      </c>
      <c r="F529" s="10" t="inlineStr">
        <is>
          <t xml:space="preserve"> Blizzard</t>
        </is>
      </c>
      <c r="G529" s="11" t="inlineStr">
        <is>
          <t>Zero G 85</t>
        </is>
      </c>
      <c r="H529" s="13" t="n">
        <v>150</v>
      </c>
      <c r="I529" s="11" t="inlineStr">
        <is>
          <t xml:space="preserve"> Unisex</t>
        </is>
      </c>
      <c r="J529" s="13" t="n">
        <v>150</v>
      </c>
      <c r="K529" s="13" t="n">
        <v>147.6</v>
      </c>
      <c r="L529" s="13" t="n">
        <v>109</v>
      </c>
      <c r="M529" s="13" t="n">
        <v>123</v>
      </c>
      <c r="N529" s="13" t="n">
        <v>112</v>
      </c>
      <c r="O529" s="13" t="n">
        <v>82</v>
      </c>
      <c r="P529" s="13" t="n">
        <v>95</v>
      </c>
      <c r="Q529" s="13" t="n">
        <v>17.3</v>
      </c>
      <c r="R529" s="13" t="n">
        <v>900</v>
      </c>
      <c r="S529" s="13" t="n">
        <v>1.49</v>
      </c>
      <c r="T529" s="13" t="n">
        <v>1337</v>
      </c>
      <c r="U529" s="13" t="n">
        <v>140</v>
      </c>
      <c r="V529" s="13" t="n">
        <v>44</v>
      </c>
      <c r="W529" s="13" t="n">
        <v>58</v>
      </c>
      <c r="X529" s="13" t="n">
        <v>216</v>
      </c>
      <c r="Y529" s="13" t="n">
        <v>11</v>
      </c>
      <c r="Z529" s="13" t="n">
        <v>172</v>
      </c>
      <c r="AA529" s="13" t="n">
        <v>0.189</v>
      </c>
      <c r="AB529" s="13" t="n">
        <v>126</v>
      </c>
      <c r="AC529" s="13" t="n">
        <v>121</v>
      </c>
      <c r="AD529" s="13" t="n">
        <v>90</v>
      </c>
      <c r="AE529" s="13" t="n">
        <v>4</v>
      </c>
      <c r="AF529" s="13" t="n">
        <v>10.1</v>
      </c>
      <c r="AG529" s="11" t="inlineStr">
        <is>
          <t xml:space="preserve"> Touring</t>
        </is>
      </c>
      <c r="AH529" s="11" t="inlineStr">
        <is>
          <t xml:space="preserve"> Ultralight Touring</t>
        </is>
      </c>
      <c r="AI529" s="13" t="n"/>
      <c r="AJ529" s="13" t="n"/>
      <c r="AK529" s="42" t="n"/>
    </row>
    <row r="530">
      <c r="E530" s="40" t="inlineStr">
        <is>
          <t>21/22</t>
        </is>
      </c>
      <c r="F530" s="10" t="inlineStr">
        <is>
          <t xml:space="preserve"> Blizzard</t>
        </is>
      </c>
      <c r="G530" s="11" t="inlineStr">
        <is>
          <t>Zero G 85</t>
        </is>
      </c>
      <c r="H530" s="13" t="n">
        <v>157</v>
      </c>
      <c r="I530" s="11" t="inlineStr">
        <is>
          <t xml:space="preserve"> Unisex</t>
        </is>
      </c>
      <c r="J530" s="13" t="n">
        <v>157</v>
      </c>
      <c r="K530" s="13" t="n">
        <v>154.7</v>
      </c>
      <c r="L530" s="13" t="n">
        <v>116</v>
      </c>
      <c r="M530" s="13" t="n">
        <v>129</v>
      </c>
      <c r="N530" s="13" t="n">
        <v>114</v>
      </c>
      <c r="O530" s="13" t="n">
        <v>83</v>
      </c>
      <c r="P530" s="13" t="n">
        <v>98</v>
      </c>
      <c r="Q530" s="13" t="n">
        <v>17.9</v>
      </c>
      <c r="R530" s="13" t="n">
        <v>975</v>
      </c>
      <c r="S530" s="13" t="n">
        <v>1.46</v>
      </c>
      <c r="T530" s="13" t="n">
        <v>1422</v>
      </c>
      <c r="U530" s="13" t="n">
        <v>169</v>
      </c>
      <c r="V530" s="13" t="n">
        <v>54</v>
      </c>
      <c r="W530" s="13" t="n">
        <v>60</v>
      </c>
      <c r="X530" s="13" t="n">
        <v>225</v>
      </c>
      <c r="Y530" s="13" t="n">
        <v>9</v>
      </c>
      <c r="Z530" s="13" t="n">
        <v>158</v>
      </c>
      <c r="AA530" s="13" t="n">
        <v>0.147</v>
      </c>
      <c r="AB530" s="13" t="n">
        <v>135</v>
      </c>
      <c r="AC530" s="13" t="n">
        <v>124</v>
      </c>
      <c r="AD530" s="13" t="n">
        <v>90</v>
      </c>
      <c r="AE530" s="13" t="n">
        <v>5</v>
      </c>
      <c r="AF530" s="13" t="n">
        <v>10.8</v>
      </c>
      <c r="AG530" s="11" t="inlineStr">
        <is>
          <t xml:space="preserve"> Touring</t>
        </is>
      </c>
      <c r="AH530" s="11" t="inlineStr">
        <is>
          <t xml:space="preserve"> Ultralight Touring</t>
        </is>
      </c>
      <c r="AI530" s="13" t="n"/>
      <c r="AJ530" s="13" t="n"/>
      <c r="AK530" s="42" t="n"/>
    </row>
    <row r="531">
      <c r="E531" s="40" t="inlineStr">
        <is>
          <t>21/22</t>
        </is>
      </c>
      <c r="F531" s="10" t="inlineStr">
        <is>
          <t xml:space="preserve"> Blizzard</t>
        </is>
      </c>
      <c r="G531" s="11" t="inlineStr">
        <is>
          <t>Zero G 85</t>
        </is>
      </c>
      <c r="H531" s="13" t="n">
        <v>164</v>
      </c>
      <c r="I531" s="11" t="inlineStr">
        <is>
          <t xml:space="preserve"> Unisex</t>
        </is>
      </c>
      <c r="J531" s="13" t="n">
        <v>164</v>
      </c>
      <c r="K531" s="13" t="n">
        <v>161.9</v>
      </c>
      <c r="L531" s="13" t="n">
        <v>120</v>
      </c>
      <c r="M531" s="13" t="n">
        <v>135</v>
      </c>
      <c r="N531" s="13" t="n">
        <v>114</v>
      </c>
      <c r="O531" s="13" t="n">
        <v>83</v>
      </c>
      <c r="P531" s="13" t="n">
        <v>98</v>
      </c>
      <c r="Q531" s="13" t="n">
        <v>19.8</v>
      </c>
      <c r="R531" s="13" t="n">
        <v>1014</v>
      </c>
      <c r="S531" s="13" t="n">
        <v>1.46</v>
      </c>
      <c r="T531" s="13" t="n">
        <v>1484</v>
      </c>
      <c r="U531" s="13" t="n">
        <v>164</v>
      </c>
      <c r="V531" s="13" t="n">
        <v>57</v>
      </c>
      <c r="W531" s="13" t="n">
        <v>57</v>
      </c>
      <c r="X531" s="13" t="n">
        <v>230</v>
      </c>
      <c r="Y531" s="13" t="n">
        <v>10</v>
      </c>
      <c r="Z531" s="13" t="n">
        <v>191</v>
      </c>
      <c r="AA531" s="13" t="n">
        <v>0.17</v>
      </c>
      <c r="AB531" s="13" t="n">
        <v>139</v>
      </c>
      <c r="AC531" s="13" t="n">
        <v>127</v>
      </c>
      <c r="AD531" s="13" t="n">
        <v>91</v>
      </c>
      <c r="AE531" s="13" t="n">
        <v>3</v>
      </c>
      <c r="AF531" s="13" t="n">
        <v>10.6</v>
      </c>
      <c r="AG531" s="11" t="inlineStr">
        <is>
          <t xml:space="preserve"> Touring</t>
        </is>
      </c>
      <c r="AH531" s="11" t="inlineStr">
        <is>
          <t xml:space="preserve"> Ultralight Touring</t>
        </is>
      </c>
      <c r="AI531" s="13" t="n"/>
      <c r="AJ531" s="13" t="n"/>
      <c r="AK531" s="42" t="n"/>
    </row>
    <row r="532">
      <c r="E532" s="40" t="inlineStr">
        <is>
          <t>21/22</t>
        </is>
      </c>
      <c r="F532" s="10" t="inlineStr">
        <is>
          <t xml:space="preserve"> Blizzard</t>
        </is>
      </c>
      <c r="G532" s="11" t="inlineStr">
        <is>
          <t>Zero G 85</t>
        </is>
      </c>
      <c r="H532" s="13" t="n">
        <v>171</v>
      </c>
      <c r="I532" s="11" t="inlineStr">
        <is>
          <t xml:space="preserve"> Unisex</t>
        </is>
      </c>
      <c r="J532" s="13" t="n">
        <v>171</v>
      </c>
      <c r="K532" s="13" t="n">
        <v>168.9</v>
      </c>
      <c r="L532" s="13" t="n">
        <v>127</v>
      </c>
      <c r="M532" s="13" t="n">
        <v>144</v>
      </c>
      <c r="N532" s="13" t="n">
        <v>114</v>
      </c>
      <c r="O532" s="13" t="n">
        <v>83</v>
      </c>
      <c r="P532" s="13" t="n">
        <v>98</v>
      </c>
      <c r="Q532" s="13" t="n">
        <v>22</v>
      </c>
      <c r="R532" s="13" t="n">
        <v>1122</v>
      </c>
      <c r="S532" s="13" t="n">
        <v>1.38</v>
      </c>
      <c r="T532" s="13" t="n">
        <v>1546</v>
      </c>
      <c r="U532" s="13" t="n">
        <v>197</v>
      </c>
      <c r="V532" s="13" t="n">
        <v>69</v>
      </c>
      <c r="W532" s="13" t="n">
        <v>55</v>
      </c>
      <c r="X532" s="13" t="n">
        <v>244</v>
      </c>
      <c r="Y532" s="13" t="n">
        <v>10</v>
      </c>
      <c r="Z532" s="13" t="n">
        <v>171</v>
      </c>
      <c r="AA532" s="13" t="n">
        <v>0.188</v>
      </c>
      <c r="AB532" s="13" t="n">
        <v>130</v>
      </c>
      <c r="AC532" s="13" t="n">
        <v>122</v>
      </c>
      <c r="AD532" s="13" t="n">
        <v>114</v>
      </c>
      <c r="AE532" s="13" t="n">
        <v>4</v>
      </c>
      <c r="AF532" s="13" t="n">
        <v>10.5</v>
      </c>
      <c r="AG532" s="11" t="inlineStr">
        <is>
          <t xml:space="preserve"> Touring</t>
        </is>
      </c>
      <c r="AH532" s="11" t="inlineStr">
        <is>
          <t xml:space="preserve"> Ultralight Touring</t>
        </is>
      </c>
      <c r="AI532" s="13" t="n"/>
      <c r="AJ532" s="13" t="n"/>
      <c r="AK532" s="42" t="n"/>
    </row>
    <row r="533">
      <c r="E533" s="40" t="inlineStr">
        <is>
          <t>21/22</t>
        </is>
      </c>
      <c r="F533" s="10" t="inlineStr">
        <is>
          <t xml:space="preserve"> Blizzard</t>
        </is>
      </c>
      <c r="G533" s="11" t="inlineStr">
        <is>
          <t>Zero G 85</t>
        </is>
      </c>
      <c r="H533" s="13" t="n">
        <v>178</v>
      </c>
      <c r="I533" s="11" t="inlineStr">
        <is>
          <t xml:space="preserve"> Unisex</t>
        </is>
      </c>
      <c r="J533" s="13" t="n">
        <v>178</v>
      </c>
      <c r="K533" s="13" t="n">
        <v>176</v>
      </c>
      <c r="L533" s="13" t="n">
        <v>132</v>
      </c>
      <c r="M533" s="13" t="n">
        <v>149</v>
      </c>
      <c r="N533" s="13" t="n">
        <v>117</v>
      </c>
      <c r="O533" s="13" t="n">
        <v>83</v>
      </c>
      <c r="P533" s="13" t="n">
        <v>100</v>
      </c>
      <c r="Q533" s="13" t="n">
        <v>22</v>
      </c>
      <c r="R533" s="13" t="n">
        <v>1151</v>
      </c>
      <c r="S533" s="13" t="n">
        <v>1.42</v>
      </c>
      <c r="T533" s="13" t="n">
        <v>1635</v>
      </c>
      <c r="U533" s="13" t="n">
        <v>231</v>
      </c>
      <c r="V533" s="13" t="n">
        <v>78</v>
      </c>
      <c r="W533" s="13" t="n">
        <v>54</v>
      </c>
      <c r="X533" s="13" t="n">
        <v>252</v>
      </c>
      <c r="Y533" s="13" t="n">
        <v>10</v>
      </c>
      <c r="Z533" s="13" t="n">
        <v>184</v>
      </c>
      <c r="AA533" s="13" t="n">
        <v>0.176</v>
      </c>
      <c r="AB533" s="13" t="n">
        <v>133</v>
      </c>
      <c r="AC533" s="13" t="n">
        <v>132</v>
      </c>
      <c r="AD533" s="13" t="n">
        <v>118</v>
      </c>
      <c r="AE533" s="13" t="n">
        <v>4</v>
      </c>
      <c r="AF533" s="13" t="n">
        <v>10.5</v>
      </c>
      <c r="AG533" s="11" t="inlineStr">
        <is>
          <t xml:space="preserve"> Touring</t>
        </is>
      </c>
      <c r="AH533" s="11" t="inlineStr">
        <is>
          <t xml:space="preserve"> Ultralight Touring</t>
        </is>
      </c>
      <c r="AI533" s="13" t="n"/>
      <c r="AJ533" s="13" t="n"/>
      <c r="AK533" s="42" t="n"/>
    </row>
    <row r="534">
      <c r="E534" s="40" t="inlineStr">
        <is>
          <t>21/22</t>
        </is>
      </c>
      <c r="F534" s="10" t="inlineStr">
        <is>
          <t xml:space="preserve"> Blizzard</t>
        </is>
      </c>
      <c r="G534" s="11" t="inlineStr">
        <is>
          <t>Zero G 95</t>
        </is>
      </c>
      <c r="H534" s="13" t="n">
        <v>157</v>
      </c>
      <c r="I534" s="11" t="inlineStr">
        <is>
          <t xml:space="preserve"> Unisex</t>
        </is>
      </c>
      <c r="J534" s="13" t="n">
        <v>157</v>
      </c>
      <c r="K534" s="13" t="n">
        <v>154.7</v>
      </c>
      <c r="L534" s="13" t="n">
        <v>118</v>
      </c>
      <c r="M534" s="13" t="n">
        <v>128</v>
      </c>
      <c r="N534" s="13" t="n">
        <v>124</v>
      </c>
      <c r="O534" s="13" t="n">
        <v>93</v>
      </c>
      <c r="P534" s="13" t="n">
        <v>108</v>
      </c>
      <c r="Q534" s="13" t="n">
        <v>17.7</v>
      </c>
      <c r="R534" s="13" t="n">
        <v>1072</v>
      </c>
      <c r="S534" s="13" t="n">
        <v>1.46</v>
      </c>
      <c r="T534" s="13" t="n">
        <v>1566</v>
      </c>
      <c r="U534" s="13" t="n">
        <v>159</v>
      </c>
      <c r="V534" s="13" t="n">
        <v>62</v>
      </c>
      <c r="W534" s="13" t="n">
        <v>57</v>
      </c>
      <c r="X534" s="13" t="n">
        <v>216</v>
      </c>
      <c r="Y534" s="13" t="n">
        <v>8</v>
      </c>
      <c r="Z534" s="13" t="n">
        <v>155</v>
      </c>
      <c r="AA534" s="13" t="n">
        <v>0.146</v>
      </c>
      <c r="AB534" s="13" t="n">
        <v>132</v>
      </c>
      <c r="AC534" s="13" t="n">
        <v>132</v>
      </c>
      <c r="AD534" s="13" t="n">
        <v>85</v>
      </c>
      <c r="AE534" s="13" t="n">
        <v>5</v>
      </c>
      <c r="AF534" s="13" t="n">
        <v>10.2</v>
      </c>
      <c r="AG534" s="11" t="inlineStr">
        <is>
          <t xml:space="preserve"> Touring</t>
        </is>
      </c>
      <c r="AH534" s="11" t="inlineStr">
        <is>
          <t xml:space="preserve"> Ultralight Touring</t>
        </is>
      </c>
      <c r="AI534" s="13" t="n"/>
      <c r="AJ534" s="13" t="n"/>
      <c r="AK534" s="42" t="n"/>
    </row>
    <row r="535">
      <c r="E535" s="40" t="inlineStr">
        <is>
          <t>21/22</t>
        </is>
      </c>
      <c r="F535" s="10" t="inlineStr">
        <is>
          <t xml:space="preserve"> Blizzard</t>
        </is>
      </c>
      <c r="G535" s="11" t="inlineStr">
        <is>
          <t>Zero G 95</t>
        </is>
      </c>
      <c r="H535" s="13" t="n">
        <v>164</v>
      </c>
      <c r="I535" s="11" t="inlineStr">
        <is>
          <t xml:space="preserve"> Unisex</t>
        </is>
      </c>
      <c r="J535" s="13" t="n">
        <v>164</v>
      </c>
      <c r="K535" s="13" t="n">
        <v>161.7</v>
      </c>
      <c r="L535" s="13" t="n">
        <v>115</v>
      </c>
      <c r="M535" s="13" t="n">
        <v>135</v>
      </c>
      <c r="N535" s="13" t="n">
        <v>124</v>
      </c>
      <c r="O535" s="13" t="n">
        <v>93</v>
      </c>
      <c r="P535" s="13" t="n">
        <v>108</v>
      </c>
      <c r="Q535" s="13" t="n">
        <v>19.5</v>
      </c>
      <c r="R535" s="13" t="n">
        <v>1113</v>
      </c>
      <c r="S535" s="13" t="n">
        <v>1.47</v>
      </c>
      <c r="T535" s="13" t="n">
        <v>1639</v>
      </c>
      <c r="U535" s="13" t="n">
        <v>186</v>
      </c>
      <c r="V535" s="13" t="n">
        <v>62</v>
      </c>
      <c r="W535" s="13" t="n">
        <v>58</v>
      </c>
      <c r="X535" s="13" t="n">
        <v>267</v>
      </c>
      <c r="Y535" s="13" t="n">
        <v>11</v>
      </c>
      <c r="Z535" s="13" t="n">
        <v>201</v>
      </c>
      <c r="AA535" s="13" t="n">
        <v>0.196</v>
      </c>
      <c r="AB535" s="13" t="n">
        <v>142</v>
      </c>
      <c r="AC535" s="13" t="n">
        <v>120</v>
      </c>
      <c r="AD535" s="13" t="n">
        <v>125</v>
      </c>
      <c r="AE535" s="13" t="n">
        <v>3</v>
      </c>
      <c r="AF535" s="13" t="n">
        <v>10</v>
      </c>
      <c r="AG535" s="11" t="inlineStr">
        <is>
          <t xml:space="preserve"> Touring</t>
        </is>
      </c>
      <c r="AH535" s="11" t="inlineStr">
        <is>
          <t xml:space="preserve"> Ultralight Touring</t>
        </is>
      </c>
      <c r="AI535" s="13" t="n"/>
      <c r="AJ535" s="13" t="n"/>
      <c r="AK535" s="42" t="n"/>
    </row>
    <row r="536">
      <c r="E536" s="40" t="inlineStr">
        <is>
          <t>21/22</t>
        </is>
      </c>
      <c r="F536" s="10" t="inlineStr">
        <is>
          <t xml:space="preserve"> Blizzard</t>
        </is>
      </c>
      <c r="G536" s="11" t="inlineStr">
        <is>
          <t>Zero G 95</t>
        </is>
      </c>
      <c r="H536" s="13" t="n">
        <v>171</v>
      </c>
      <c r="I536" s="11" t="inlineStr">
        <is>
          <t xml:space="preserve"> Unisex</t>
        </is>
      </c>
      <c r="J536" s="13" t="n">
        <v>171</v>
      </c>
      <c r="K536" s="13" t="n">
        <v>169</v>
      </c>
      <c r="L536" s="13" t="n">
        <v>120</v>
      </c>
      <c r="M536" s="13" t="n">
        <v>143</v>
      </c>
      <c r="N536" s="13" t="n">
        <v>124</v>
      </c>
      <c r="O536" s="13" t="n">
        <v>93</v>
      </c>
      <c r="P536" s="13" t="n">
        <v>107</v>
      </c>
      <c r="Q536" s="13" t="n">
        <v>22</v>
      </c>
      <c r="R536" s="13" t="n">
        <v>1201</v>
      </c>
      <c r="S536" s="13" t="n">
        <v>1.42</v>
      </c>
      <c r="T536" s="13" t="n">
        <v>1709</v>
      </c>
      <c r="U536" s="13" t="n">
        <v>207</v>
      </c>
      <c r="V536" s="13" t="n">
        <v>75</v>
      </c>
      <c r="W536" s="13" t="n">
        <v>55</v>
      </c>
      <c r="X536" s="13" t="n">
        <v>273</v>
      </c>
      <c r="Y536" s="13" t="n">
        <v>11</v>
      </c>
      <c r="Z536" s="13" t="n">
        <v>216</v>
      </c>
      <c r="AA536" s="13" t="n">
        <v>0.191</v>
      </c>
      <c r="AB536" s="13" t="n">
        <v>130</v>
      </c>
      <c r="AC536" s="13" t="n">
        <v>134</v>
      </c>
      <c r="AD536" s="13" t="n">
        <v>143</v>
      </c>
      <c r="AE536" s="13" t="n">
        <v>3</v>
      </c>
      <c r="AF536" s="13" t="n">
        <v>10.5</v>
      </c>
      <c r="AG536" s="11" t="inlineStr">
        <is>
          <t xml:space="preserve"> Touring</t>
        </is>
      </c>
      <c r="AH536" s="11" t="inlineStr">
        <is>
          <t xml:space="preserve"> Ultralight Touring</t>
        </is>
      </c>
      <c r="AI536" s="13" t="n"/>
      <c r="AJ536" s="13" t="n"/>
      <c r="AK536" s="42" t="n"/>
    </row>
    <row r="537">
      <c r="E537" s="40" t="inlineStr">
        <is>
          <t>21/22</t>
        </is>
      </c>
      <c r="F537" s="10" t="inlineStr">
        <is>
          <t xml:space="preserve"> Blizzard</t>
        </is>
      </c>
      <c r="G537" s="11" t="inlineStr">
        <is>
          <t>Zero G 95</t>
        </is>
      </c>
      <c r="H537" s="13" t="n">
        <v>178</v>
      </c>
      <c r="I537" s="11" t="inlineStr">
        <is>
          <t xml:space="preserve"> Unisex</t>
        </is>
      </c>
      <c r="J537" s="13" t="n">
        <v>178</v>
      </c>
      <c r="K537" s="13" t="n">
        <v>176</v>
      </c>
      <c r="L537" s="13" t="n">
        <v>125</v>
      </c>
      <c r="M537" s="13" t="n">
        <v>149</v>
      </c>
      <c r="N537" s="13" t="n">
        <v>126</v>
      </c>
      <c r="O537" s="13" t="n">
        <v>93</v>
      </c>
      <c r="P537" s="13" t="n">
        <v>110</v>
      </c>
      <c r="Q537" s="13" t="n">
        <v>22.1</v>
      </c>
      <c r="R537" s="13" t="n">
        <v>1284</v>
      </c>
      <c r="S537" s="13" t="n">
        <v>1.4</v>
      </c>
      <c r="T537" s="13" t="n">
        <v>1794</v>
      </c>
      <c r="U537" s="13" t="n">
        <v>242</v>
      </c>
      <c r="V537" s="13" t="n">
        <v>84</v>
      </c>
      <c r="W537" s="13" t="n">
        <v>54</v>
      </c>
      <c r="X537" s="13" t="n">
        <v>304</v>
      </c>
      <c r="Y537" s="13" t="n">
        <v>12</v>
      </c>
      <c r="Z537" s="13" t="n">
        <v>210</v>
      </c>
      <c r="AA537" s="13" t="n">
        <v>0.219</v>
      </c>
      <c r="AB537" s="13" t="n">
        <v>138</v>
      </c>
      <c r="AC537" s="13" t="n">
        <v>129</v>
      </c>
      <c r="AD537" s="13" t="n">
        <v>166</v>
      </c>
      <c r="AE537" s="13" t="n">
        <v>3</v>
      </c>
      <c r="AF537" s="13" t="n">
        <v>10.5</v>
      </c>
      <c r="AG537" s="11" t="inlineStr">
        <is>
          <t xml:space="preserve"> Touring</t>
        </is>
      </c>
      <c r="AH537" s="11" t="inlineStr">
        <is>
          <t xml:space="preserve"> Ultralight Touring</t>
        </is>
      </c>
      <c r="AI537" s="13" t="n"/>
      <c r="AJ537" s="13" t="n"/>
      <c r="AK537" s="42" t="n"/>
    </row>
    <row r="538">
      <c r="E538" s="40" t="inlineStr">
        <is>
          <t>21/22</t>
        </is>
      </c>
      <c r="F538" s="10" t="inlineStr">
        <is>
          <t xml:space="preserve"> Blizzard</t>
        </is>
      </c>
      <c r="G538" s="11" t="inlineStr">
        <is>
          <t>Zero G 95</t>
        </is>
      </c>
      <c r="H538" s="13" t="n">
        <v>185</v>
      </c>
      <c r="I538" s="11" t="inlineStr">
        <is>
          <t xml:space="preserve"> Unisex</t>
        </is>
      </c>
      <c r="J538" s="13" t="n">
        <v>185</v>
      </c>
      <c r="K538" s="13" t="n">
        <v>182.7</v>
      </c>
      <c r="L538" s="13" t="n">
        <v>141</v>
      </c>
      <c r="M538" s="13" t="n">
        <v>156</v>
      </c>
      <c r="N538" s="13" t="n">
        <v>127</v>
      </c>
      <c r="O538" s="13" t="n">
        <v>93</v>
      </c>
      <c r="P538" s="13" t="n">
        <v>110</v>
      </c>
      <c r="Q538" s="13" t="n">
        <v>24</v>
      </c>
      <c r="R538" s="13" t="n">
        <v>1374</v>
      </c>
      <c r="S538" s="13" t="n">
        <v>1.36</v>
      </c>
      <c r="T538" s="13" t="n">
        <v>1865</v>
      </c>
      <c r="U538" s="13" t="n">
        <v>275</v>
      </c>
      <c r="V538" s="13" t="n">
        <v>104</v>
      </c>
      <c r="W538" s="13" t="n">
        <v>56</v>
      </c>
      <c r="X538" s="13" t="n">
        <v>276</v>
      </c>
      <c r="Y538" s="13" t="n">
        <v>9</v>
      </c>
      <c r="Z538" s="13" t="n">
        <v>143</v>
      </c>
      <c r="AA538" s="13" t="n">
        <v>0.167</v>
      </c>
      <c r="AB538" s="13" t="n">
        <v>134</v>
      </c>
      <c r="AC538" s="13" t="n">
        <v>137</v>
      </c>
      <c r="AD538" s="13" t="n">
        <v>142</v>
      </c>
      <c r="AE538" s="13" t="n">
        <v>4</v>
      </c>
      <c r="AF538" s="13" t="n">
        <v>10.8</v>
      </c>
      <c r="AG538" s="11" t="inlineStr">
        <is>
          <t xml:space="preserve"> Touring</t>
        </is>
      </c>
      <c r="AH538" s="11" t="inlineStr">
        <is>
          <t xml:space="preserve"> Ultralight Touring</t>
        </is>
      </c>
      <c r="AI538" s="13" t="n"/>
      <c r="AJ538" s="13" t="n"/>
      <c r="AK538" s="42" t="n"/>
    </row>
    <row r="539">
      <c r="E539" s="40" t="inlineStr">
        <is>
          <t>21/22</t>
        </is>
      </c>
      <c r="F539" s="10" t="inlineStr">
        <is>
          <t xml:space="preserve"> DPS</t>
        </is>
      </c>
      <c r="G539" s="11" t="inlineStr">
        <is>
          <t>Foundation 103 Koala</t>
        </is>
      </c>
      <c r="H539" s="13" t="n">
        <v>168</v>
      </c>
      <c r="I539" s="11" t="inlineStr">
        <is>
          <t xml:space="preserve"> Unisex</t>
        </is>
      </c>
      <c r="J539" s="13" t="n">
        <v>168</v>
      </c>
      <c r="K539" s="13" t="n">
        <v>167.4</v>
      </c>
      <c r="L539" s="13" t="n">
        <v>108</v>
      </c>
      <c r="M539" s="13" t="n">
        <v>133</v>
      </c>
      <c r="N539" s="13" t="n">
        <v>128</v>
      </c>
      <c r="O539" s="13" t="n">
        <v>103</v>
      </c>
      <c r="P539" s="13" t="n">
        <v>117</v>
      </c>
      <c r="Q539" s="13" t="n">
        <v>18.2</v>
      </c>
      <c r="R539" s="13" t="n">
        <v>1615</v>
      </c>
      <c r="S539" s="13" t="n">
        <v>1.15</v>
      </c>
      <c r="T539" s="13" t="n">
        <v>1863</v>
      </c>
      <c r="U539" s="13" t="n">
        <v>173</v>
      </c>
      <c r="V539" s="13" t="n">
        <v>79</v>
      </c>
      <c r="W539" s="13" t="n">
        <v>50</v>
      </c>
      <c r="X539" s="13" t="n">
        <v>313</v>
      </c>
      <c r="Y539" s="13" t="n">
        <v>33</v>
      </c>
      <c r="Z539" s="13" t="n">
        <v>278</v>
      </c>
      <c r="AA539" s="13" t="n">
        <v>0.661</v>
      </c>
      <c r="AB539" s="13" t="n">
        <v>198</v>
      </c>
      <c r="AC539" s="13" t="n">
        <v>147</v>
      </c>
      <c r="AD539" s="13" t="n">
        <v>115</v>
      </c>
      <c r="AE539" s="13" t="n">
        <v>5</v>
      </c>
      <c r="AF539" s="13" t="n">
        <v>6.5</v>
      </c>
      <c r="AG539" s="11" t="inlineStr">
        <is>
          <t xml:space="preserve"> Resort Freeride</t>
        </is>
      </c>
      <c r="AH539" s="11" t="inlineStr">
        <is>
          <t xml:space="preserve"> Powder</t>
        </is>
      </c>
      <c r="AI539" s="11" t="inlineStr">
        <is>
          <t xml:space="preserve"> Touring</t>
        </is>
      </c>
      <c r="AJ539" s="13" t="n"/>
      <c r="AK539" s="42" t="n"/>
    </row>
    <row r="540">
      <c r="E540" s="40" t="inlineStr">
        <is>
          <t>21/22</t>
        </is>
      </c>
      <c r="F540" s="10" t="inlineStr">
        <is>
          <t xml:space="preserve"> DPS</t>
        </is>
      </c>
      <c r="G540" s="11" t="inlineStr">
        <is>
          <t>Foundation 103 Koala</t>
        </is>
      </c>
      <c r="H540" s="13" t="n">
        <v>176</v>
      </c>
      <c r="I540" s="11" t="inlineStr">
        <is>
          <t xml:space="preserve"> Unisex</t>
        </is>
      </c>
      <c r="J540" s="13" t="n">
        <v>176</v>
      </c>
      <c r="K540" s="13" t="n">
        <v>175.1</v>
      </c>
      <c r="L540" s="13" t="n">
        <v>117</v>
      </c>
      <c r="M540" s="13" t="n">
        <v>140</v>
      </c>
      <c r="N540" s="13" t="n">
        <v>131</v>
      </c>
      <c r="O540" s="13" t="n">
        <v>103</v>
      </c>
      <c r="P540" s="13" t="n">
        <v>120</v>
      </c>
      <c r="Q540" s="13" t="n">
        <v>18.3</v>
      </c>
      <c r="R540" s="13" t="n">
        <v>1804</v>
      </c>
      <c r="S540" s="13" t="n">
        <v>1.09</v>
      </c>
      <c r="T540" s="13" t="n">
        <v>1972</v>
      </c>
      <c r="U540" s="13" t="n">
        <v>210</v>
      </c>
      <c r="V540" s="13" t="n">
        <v>95</v>
      </c>
      <c r="W540" s="13" t="n">
        <v>48</v>
      </c>
      <c r="X540" s="13" t="n">
        <v>298</v>
      </c>
      <c r="Y540" s="13" t="n">
        <v>37</v>
      </c>
      <c r="Z540" s="13" t="n">
        <v>280</v>
      </c>
      <c r="AA540" s="13" t="n">
        <v>0.777</v>
      </c>
      <c r="AB540" s="13" t="n">
        <v>184</v>
      </c>
      <c r="AC540" s="13" t="n">
        <v>167</v>
      </c>
      <c r="AD540" s="13" t="n">
        <v>114</v>
      </c>
      <c r="AE540" s="13" t="n">
        <v>7</v>
      </c>
      <c r="AF540" s="13" t="n">
        <v>6.3</v>
      </c>
      <c r="AG540" s="11" t="inlineStr">
        <is>
          <t xml:space="preserve"> Resort Freeride</t>
        </is>
      </c>
      <c r="AH540" s="11" t="inlineStr">
        <is>
          <t xml:space="preserve"> Powder</t>
        </is>
      </c>
      <c r="AI540" s="11" t="inlineStr">
        <is>
          <t xml:space="preserve"> Touring</t>
        </is>
      </c>
      <c r="AJ540" s="13" t="n"/>
      <c r="AK540" s="42" t="n"/>
    </row>
    <row r="541">
      <c r="E541" s="40" t="inlineStr">
        <is>
          <t>21/22</t>
        </is>
      </c>
      <c r="F541" s="10" t="inlineStr">
        <is>
          <t xml:space="preserve"> DPS</t>
        </is>
      </c>
      <c r="G541" s="11" t="inlineStr">
        <is>
          <t>Foundation 103 Koala</t>
        </is>
      </c>
      <c r="H541" s="13" t="n">
        <v>184</v>
      </c>
      <c r="I541" s="11" t="inlineStr">
        <is>
          <t xml:space="preserve"> Unisex</t>
        </is>
      </c>
      <c r="J541" s="13" t="n">
        <v>184</v>
      </c>
      <c r="K541" s="13" t="n">
        <v>182.8</v>
      </c>
      <c r="L541" s="13" t="n">
        <v>121</v>
      </c>
      <c r="M541" s="13" t="n">
        <v>149</v>
      </c>
      <c r="N541" s="13" t="n">
        <v>132</v>
      </c>
      <c r="O541" s="13" t="n">
        <v>103</v>
      </c>
      <c r="P541" s="13" t="n">
        <v>121</v>
      </c>
      <c r="Q541" s="13" t="n">
        <v>18.5</v>
      </c>
      <c r="R541" s="13" t="n">
        <v>2074</v>
      </c>
      <c r="S541" s="13" t="n">
        <v>1</v>
      </c>
      <c r="T541" s="13" t="n">
        <v>2076</v>
      </c>
      <c r="U541" s="13" t="n">
        <v>264</v>
      </c>
      <c r="V541" s="13" t="n">
        <v>120</v>
      </c>
      <c r="W541" s="13" t="n">
        <v>53</v>
      </c>
      <c r="X541" s="13" t="n">
        <v>331</v>
      </c>
      <c r="Y541" s="13" t="n">
        <v>39</v>
      </c>
      <c r="Z541" s="13" t="n">
        <v>290</v>
      </c>
      <c r="AA541" s="13" t="n">
        <v>0.738</v>
      </c>
      <c r="AB541" s="13" t="n">
        <v>204</v>
      </c>
      <c r="AC541" s="13" t="n">
        <v>137</v>
      </c>
      <c r="AD541" s="13" t="n">
        <v>128</v>
      </c>
      <c r="AE541" s="13" t="n">
        <v>7</v>
      </c>
      <c r="AF541" s="13" t="n">
        <v>6.9</v>
      </c>
      <c r="AG541" s="11" t="inlineStr">
        <is>
          <t xml:space="preserve"> Resort Freeride</t>
        </is>
      </c>
      <c r="AH541" s="11" t="inlineStr">
        <is>
          <t xml:space="preserve"> Powder</t>
        </is>
      </c>
      <c r="AI541" s="13" t="n"/>
      <c r="AJ541" s="13" t="n"/>
      <c r="AK541" s="42" t="n"/>
    </row>
    <row r="542">
      <c r="E542" s="40" t="inlineStr">
        <is>
          <t>21/22</t>
        </is>
      </c>
      <c r="F542" s="10" t="inlineStr">
        <is>
          <t xml:space="preserve"> DPS</t>
        </is>
      </c>
      <c r="G542" s="11" t="inlineStr">
        <is>
          <t>Foundation 103 Koala</t>
        </is>
      </c>
      <c r="H542" s="13" t="n">
        <v>189</v>
      </c>
      <c r="I542" s="11" t="inlineStr">
        <is>
          <t xml:space="preserve"> Unisex</t>
        </is>
      </c>
      <c r="J542" s="13" t="n">
        <v>189</v>
      </c>
      <c r="K542" s="13" t="n">
        <v>187.4</v>
      </c>
      <c r="L542" s="13" t="n">
        <v>120</v>
      </c>
      <c r="M542" s="13" t="n">
        <v>145</v>
      </c>
      <c r="N542" s="13" t="n">
        <v>134</v>
      </c>
      <c r="O542" s="13" t="n">
        <v>102</v>
      </c>
      <c r="P542" s="13" t="n">
        <v>122</v>
      </c>
      <c r="Q542" s="13" t="n">
        <v>18.1</v>
      </c>
      <c r="R542" s="13" t="n">
        <v>2041</v>
      </c>
      <c r="S542" s="13" t="n">
        <v>1.04</v>
      </c>
      <c r="T542" s="13" t="n">
        <v>2132</v>
      </c>
      <c r="U542" s="13" t="n">
        <v>250</v>
      </c>
      <c r="V542" s="13" t="n">
        <v>115</v>
      </c>
      <c r="W542" s="13" t="n">
        <v>61</v>
      </c>
      <c r="X542" s="13" t="n">
        <v>350</v>
      </c>
      <c r="Y542" s="13" t="n">
        <v>45</v>
      </c>
      <c r="Z542" s="13" t="n">
        <v>327</v>
      </c>
      <c r="AA542" s="13" t="n">
        <v>0.741</v>
      </c>
      <c r="AB542" s="13" t="n">
        <v>243</v>
      </c>
      <c r="AC542" s="13" t="n">
        <v>180</v>
      </c>
      <c r="AD542" s="13" t="n">
        <v>107</v>
      </c>
      <c r="AE542" s="13" t="n">
        <v>4</v>
      </c>
      <c r="AF542" s="13" t="n">
        <v>7.2</v>
      </c>
      <c r="AG542" s="11" t="inlineStr">
        <is>
          <t xml:space="preserve"> Resort Freeride</t>
        </is>
      </c>
      <c r="AH542" s="11" t="inlineStr">
        <is>
          <t xml:space="preserve"> Powder</t>
        </is>
      </c>
      <c r="AI542" s="13" t="n"/>
      <c r="AJ542" s="13" t="n"/>
      <c r="AK542" s="42" t="n"/>
    </row>
    <row r="543">
      <c r="E543" s="40" t="inlineStr">
        <is>
          <t>21/22</t>
        </is>
      </c>
      <c r="F543" s="10" t="inlineStr">
        <is>
          <t xml:space="preserve"> DPS</t>
        </is>
      </c>
      <c r="G543" s="11" t="inlineStr">
        <is>
          <t>Pagoda 100 RP</t>
        </is>
      </c>
      <c r="H543" s="13" t="n">
        <v>171</v>
      </c>
      <c r="I543" s="11" t="inlineStr">
        <is>
          <t xml:space="preserve"> Unisex</t>
        </is>
      </c>
      <c r="J543" s="13" t="n">
        <v>171</v>
      </c>
      <c r="K543" s="13" t="n">
        <v>169.1</v>
      </c>
      <c r="L543" s="13" t="n">
        <v>112</v>
      </c>
      <c r="M543" s="13" t="n">
        <v>124</v>
      </c>
      <c r="N543" s="13" t="n">
        <v>129</v>
      </c>
      <c r="O543" s="13" t="n">
        <v>100</v>
      </c>
      <c r="P543" s="13" t="n">
        <v>115</v>
      </c>
      <c r="Q543" s="13" t="n">
        <v>15</v>
      </c>
      <c r="R543" s="13" t="n">
        <v>1718</v>
      </c>
      <c r="S543" s="13" t="n">
        <v>1.08</v>
      </c>
      <c r="T543" s="13" t="n">
        <v>1858</v>
      </c>
      <c r="U543" s="13" t="n">
        <v>192</v>
      </c>
      <c r="V543" s="13" t="n">
        <v>99</v>
      </c>
      <c r="W543" s="13" t="n">
        <v>56</v>
      </c>
      <c r="X543" s="13" t="n">
        <v>335</v>
      </c>
      <c r="Y543" s="13" t="n">
        <v>26</v>
      </c>
      <c r="Z543" s="13" t="n">
        <v>233</v>
      </c>
      <c r="AA543" s="13" t="n">
        <v>0.456</v>
      </c>
      <c r="AB543" s="13" t="n">
        <v>237</v>
      </c>
      <c r="AC543" s="13" t="n">
        <v>211</v>
      </c>
      <c r="AD543" s="13" t="n">
        <v>98</v>
      </c>
      <c r="AE543" s="13" t="n">
        <v>8</v>
      </c>
      <c r="AF543" s="13" t="n">
        <v>12.4</v>
      </c>
      <c r="AG543" s="11" t="inlineStr">
        <is>
          <t xml:space="preserve"> Resort Freeride</t>
        </is>
      </c>
      <c r="AH543" s="11" t="inlineStr">
        <is>
          <t xml:space="preserve"> Touring</t>
        </is>
      </c>
      <c r="AI543" s="13" t="n"/>
      <c r="AJ543" s="13" t="n"/>
      <c r="AK543" s="42" t="n"/>
    </row>
    <row r="544">
      <c r="E544" s="40" t="inlineStr">
        <is>
          <t>21/22</t>
        </is>
      </c>
      <c r="F544" s="10" t="inlineStr">
        <is>
          <t xml:space="preserve"> DPS</t>
        </is>
      </c>
      <c r="G544" s="11" t="inlineStr">
        <is>
          <t>Pagoda 106 C2</t>
        </is>
      </c>
      <c r="H544" s="13" t="n">
        <v>155</v>
      </c>
      <c r="I544" s="11" t="inlineStr">
        <is>
          <t xml:space="preserve"> Unisex</t>
        </is>
      </c>
      <c r="J544" s="13" t="n">
        <v>155</v>
      </c>
      <c r="K544" s="13" t="n">
        <v>154</v>
      </c>
      <c r="L544" s="13" t="n">
        <v>107</v>
      </c>
      <c r="M544" s="13" t="n">
        <v>119</v>
      </c>
      <c r="N544" s="13" t="n">
        <v>129</v>
      </c>
      <c r="O544" s="13" t="n">
        <v>106</v>
      </c>
      <c r="P544" s="13" t="n">
        <v>116</v>
      </c>
      <c r="Q544" s="13" t="n">
        <v>19.3</v>
      </c>
      <c r="R544" s="13" t="n">
        <v>1590</v>
      </c>
      <c r="S544" s="13" t="n">
        <v>1.09</v>
      </c>
      <c r="T544" s="13" t="n">
        <v>1730</v>
      </c>
      <c r="U544" s="13" t="n">
        <v>187</v>
      </c>
      <c r="V544" s="13" t="n">
        <v>95</v>
      </c>
      <c r="W544" s="13" t="n">
        <v>39</v>
      </c>
      <c r="X544" s="13" t="n">
        <v>261</v>
      </c>
      <c r="Y544" s="13" t="n">
        <v>19</v>
      </c>
      <c r="Z544" s="13" t="n">
        <v>204</v>
      </c>
      <c r="AA544" s="13" t="n">
        <v>0.49</v>
      </c>
      <c r="AB544" s="13" t="n">
        <v>188</v>
      </c>
      <c r="AC544" s="13" t="n">
        <v>165</v>
      </c>
      <c r="AD544" s="13" t="n">
        <v>73</v>
      </c>
      <c r="AE544" s="13" t="n">
        <v>5</v>
      </c>
      <c r="AF544" s="13" t="n">
        <v>11.5</v>
      </c>
      <c r="AG544" s="11" t="inlineStr">
        <is>
          <t xml:space="preserve"> Powder</t>
        </is>
      </c>
      <c r="AH544" s="11" t="inlineStr">
        <is>
          <t xml:space="preserve"> Touring</t>
        </is>
      </c>
      <c r="AI544" s="13" t="n"/>
      <c r="AJ544" s="13" t="n"/>
      <c r="AK544" s="42" t="n"/>
    </row>
    <row r="545">
      <c r="E545" s="40" t="inlineStr">
        <is>
          <t>21/22</t>
        </is>
      </c>
      <c r="F545" s="10" t="inlineStr">
        <is>
          <t xml:space="preserve"> DPS</t>
        </is>
      </c>
      <c r="G545" s="11" t="inlineStr">
        <is>
          <t>Pagoda 106 C2</t>
        </is>
      </c>
      <c r="H545" s="13" t="n">
        <v>163</v>
      </c>
      <c r="I545" s="11" t="inlineStr">
        <is>
          <t xml:space="preserve"> Unisex</t>
        </is>
      </c>
      <c r="J545" s="13" t="n">
        <v>163</v>
      </c>
      <c r="K545" s="13" t="n">
        <v>162</v>
      </c>
      <c r="L545" s="13" t="n">
        <v>113</v>
      </c>
      <c r="M545" s="13" t="n">
        <v>126</v>
      </c>
      <c r="N545" s="13" t="n">
        <v>131</v>
      </c>
      <c r="O545" s="13" t="n">
        <v>105</v>
      </c>
      <c r="P545" s="13" t="n">
        <v>117</v>
      </c>
      <c r="Q545" s="13" t="n">
        <v>19.2</v>
      </c>
      <c r="R545" s="13" t="n">
        <v>1720</v>
      </c>
      <c r="S545" s="13" t="n">
        <v>1.06</v>
      </c>
      <c r="T545" s="13" t="n">
        <v>1832</v>
      </c>
      <c r="U545" s="13" t="n">
        <v>212</v>
      </c>
      <c r="V545" s="13" t="n">
        <v>109</v>
      </c>
      <c r="W545" s="13" t="n">
        <v>43</v>
      </c>
      <c r="X545" s="13" t="n">
        <v>278</v>
      </c>
      <c r="Y545" s="13" t="n">
        <v>20</v>
      </c>
      <c r="Z545" s="13" t="n">
        <v>214</v>
      </c>
      <c r="AA545" s="13" t="n">
        <v>0.463</v>
      </c>
      <c r="AB545" s="13" t="n">
        <v>192</v>
      </c>
      <c r="AC545" s="13" t="n">
        <v>173</v>
      </c>
      <c r="AD545" s="13" t="n">
        <v>86</v>
      </c>
      <c r="AE545" s="13" t="n">
        <v>6</v>
      </c>
      <c r="AF545" s="13" t="n">
        <v>9.5</v>
      </c>
      <c r="AG545" s="11" t="inlineStr">
        <is>
          <t xml:space="preserve"> Powder</t>
        </is>
      </c>
      <c r="AH545" s="11" t="inlineStr">
        <is>
          <t xml:space="preserve"> Touring</t>
        </is>
      </c>
      <c r="AI545" s="13" t="n"/>
      <c r="AJ545" s="13" t="n"/>
      <c r="AK545" s="42" t="n"/>
    </row>
    <row r="546">
      <c r="E546" s="40" t="inlineStr">
        <is>
          <t>21/22</t>
        </is>
      </c>
      <c r="F546" s="10" t="inlineStr">
        <is>
          <t xml:space="preserve"> DPS</t>
        </is>
      </c>
      <c r="G546" s="11" t="inlineStr">
        <is>
          <t>Pagoda 106 C2</t>
        </is>
      </c>
      <c r="H546" s="13" t="n">
        <v>171</v>
      </c>
      <c r="I546" s="11" t="inlineStr">
        <is>
          <t xml:space="preserve"> Unisex</t>
        </is>
      </c>
      <c r="J546" s="13" t="n">
        <v>171</v>
      </c>
      <c r="K546" s="13" t="n">
        <v>169.4</v>
      </c>
      <c r="L546" s="13" t="n">
        <v>123</v>
      </c>
      <c r="M546" s="13" t="n">
        <v>131</v>
      </c>
      <c r="N546" s="13" t="n">
        <v>134</v>
      </c>
      <c r="O546" s="13" t="n">
        <v>106</v>
      </c>
      <c r="P546" s="13" t="n">
        <v>119</v>
      </c>
      <c r="Q546" s="13" t="n">
        <v>19</v>
      </c>
      <c r="R546" s="13" t="n">
        <v>1843</v>
      </c>
      <c r="S546" s="13" t="n">
        <v>1.05</v>
      </c>
      <c r="T546" s="13" t="n">
        <v>1938</v>
      </c>
      <c r="U546" s="13" t="n">
        <v>209</v>
      </c>
      <c r="V546" s="13" t="n">
        <v>116</v>
      </c>
      <c r="W546" s="13" t="n">
        <v>34</v>
      </c>
      <c r="X546" s="13" t="n">
        <v>261</v>
      </c>
      <c r="Y546" s="13" t="n">
        <v>21</v>
      </c>
      <c r="Z546" s="13" t="n">
        <v>203</v>
      </c>
      <c r="AA546" s="13" t="n">
        <v>0.607</v>
      </c>
      <c r="AB546" s="13" t="n">
        <v>199</v>
      </c>
      <c r="AC546" s="13" t="n">
        <v>188</v>
      </c>
      <c r="AD546" s="13" t="n">
        <v>62</v>
      </c>
      <c r="AE546" s="13" t="n">
        <v>9</v>
      </c>
      <c r="AF546" s="13" t="n">
        <v>10.6</v>
      </c>
      <c r="AG546" s="11" t="inlineStr">
        <is>
          <t xml:space="preserve"> Powder</t>
        </is>
      </c>
      <c r="AH546" s="11" t="inlineStr">
        <is>
          <t xml:space="preserve"> Touring</t>
        </is>
      </c>
      <c r="AI546" s="13" t="n"/>
      <c r="AJ546" s="13" t="n"/>
      <c r="AK546" s="42" t="n"/>
    </row>
    <row r="547">
      <c r="E547" s="40" t="inlineStr">
        <is>
          <t>21/22</t>
        </is>
      </c>
      <c r="F547" s="10" t="inlineStr">
        <is>
          <t xml:space="preserve"> DPS</t>
        </is>
      </c>
      <c r="G547" s="11" t="inlineStr">
        <is>
          <t>Pagoda 106 C2</t>
        </is>
      </c>
      <c r="H547" s="13" t="n">
        <v>179</v>
      </c>
      <c r="I547" s="11" t="inlineStr">
        <is>
          <t xml:space="preserve"> Unisex</t>
        </is>
      </c>
      <c r="J547" s="13" t="n">
        <v>179</v>
      </c>
      <c r="K547" s="13" t="n">
        <v>177.3</v>
      </c>
      <c r="L547" s="13" t="n">
        <v>127</v>
      </c>
      <c r="M547" s="13" t="n">
        <v>138</v>
      </c>
      <c r="N547" s="13" t="n">
        <v>137</v>
      </c>
      <c r="O547" s="13" t="n">
        <v>106</v>
      </c>
      <c r="P547" s="13" t="n">
        <v>121</v>
      </c>
      <c r="Q547" s="13" t="n">
        <v>19</v>
      </c>
      <c r="R547" s="13" t="n">
        <v>2005</v>
      </c>
      <c r="S547" s="13" t="n">
        <v>1.02</v>
      </c>
      <c r="T547" s="13" t="n">
        <v>2052</v>
      </c>
      <c r="U547" s="13" t="n">
        <v>264</v>
      </c>
      <c r="V547" s="13" t="n">
        <v>137</v>
      </c>
      <c r="W547" s="13" t="n">
        <v>47</v>
      </c>
      <c r="X547" s="13" t="n">
        <v>287</v>
      </c>
      <c r="Y547" s="13" t="n">
        <v>23</v>
      </c>
      <c r="Z547" s="13" t="n">
        <v>220</v>
      </c>
      <c r="AA547" s="13" t="n">
        <v>0.499</v>
      </c>
      <c r="AB547" s="13" t="n">
        <v>202</v>
      </c>
      <c r="AC547" s="13" t="n">
        <v>188</v>
      </c>
      <c r="AD547" s="13" t="n">
        <v>86</v>
      </c>
      <c r="AE547" s="13" t="n">
        <v>9</v>
      </c>
      <c r="AF547" s="13" t="n">
        <v>11.8</v>
      </c>
      <c r="AG547" s="11" t="inlineStr">
        <is>
          <t xml:space="preserve"> Powder</t>
        </is>
      </c>
      <c r="AH547" s="13" t="n"/>
      <c r="AI547" s="13" t="n"/>
      <c r="AJ547" s="13" t="n"/>
      <c r="AK547" s="42" t="n"/>
    </row>
    <row r="548">
      <c r="E548" s="40" t="inlineStr">
        <is>
          <t>21/22</t>
        </is>
      </c>
      <c r="F548" s="10" t="inlineStr">
        <is>
          <t xml:space="preserve"> DPS</t>
        </is>
      </c>
      <c r="G548" s="11" t="inlineStr">
        <is>
          <t>Pagoda 106 C2</t>
        </is>
      </c>
      <c r="H548" s="13" t="n">
        <v>184</v>
      </c>
      <c r="I548" s="11" t="inlineStr">
        <is>
          <t xml:space="preserve"> Unisex</t>
        </is>
      </c>
      <c r="J548" s="13" t="n">
        <v>184</v>
      </c>
      <c r="K548" s="13" t="n">
        <v>183.7</v>
      </c>
      <c r="L548" s="13" t="n">
        <v>126</v>
      </c>
      <c r="M548" s="13" t="n">
        <v>143</v>
      </c>
      <c r="N548" s="13" t="n">
        <v>138</v>
      </c>
      <c r="O548" s="13" t="n">
        <v>106</v>
      </c>
      <c r="P548" s="13" t="n">
        <v>121</v>
      </c>
      <c r="Q548" s="13" t="n">
        <v>19.1</v>
      </c>
      <c r="R548" s="13" t="n">
        <v>2040</v>
      </c>
      <c r="S548" s="13" t="n">
        <v>1.04</v>
      </c>
      <c r="T548" s="13" t="n">
        <v>2125</v>
      </c>
      <c r="U548" s="13" t="n">
        <v>254</v>
      </c>
      <c r="V548" s="13" t="n">
        <v>139</v>
      </c>
      <c r="W548" s="13" t="n">
        <v>54</v>
      </c>
      <c r="X548" s="13" t="n">
        <v>330</v>
      </c>
      <c r="Y548" s="13" t="n">
        <v>27</v>
      </c>
      <c r="Z548" s="13" t="n">
        <v>248</v>
      </c>
      <c r="AA548" s="13" t="n">
        <v>0.501</v>
      </c>
      <c r="AB548" s="13" t="n">
        <v>214</v>
      </c>
      <c r="AC548" s="13" t="n">
        <v>196</v>
      </c>
      <c r="AD548" s="13" t="n">
        <v>116</v>
      </c>
      <c r="AE548" s="13" t="n">
        <v>9</v>
      </c>
      <c r="AF548" s="13" t="n">
        <v>10.8</v>
      </c>
      <c r="AG548" s="11" t="inlineStr">
        <is>
          <t xml:space="preserve"> Powder</t>
        </is>
      </c>
      <c r="AH548" s="13" t="n"/>
      <c r="AI548" s="13" t="n"/>
      <c r="AJ548" s="13" t="n"/>
      <c r="AK548" s="42" t="n"/>
    </row>
    <row r="549">
      <c r="E549" s="40" t="inlineStr">
        <is>
          <t>21/22</t>
        </is>
      </c>
      <c r="F549" s="10" t="inlineStr">
        <is>
          <t xml:space="preserve"> DPS</t>
        </is>
      </c>
      <c r="G549" s="11" t="inlineStr">
        <is>
          <t>Pagoda 112 RP</t>
        </is>
      </c>
      <c r="H549" s="13" t="n">
        <v>168</v>
      </c>
      <c r="I549" s="11" t="inlineStr">
        <is>
          <t xml:space="preserve"> Unisex</t>
        </is>
      </c>
      <c r="J549" s="13" t="n">
        <v>168</v>
      </c>
      <c r="K549" s="13" t="n">
        <v>166.6</v>
      </c>
      <c r="L549" s="13" t="n">
        <v>98</v>
      </c>
      <c r="M549" s="13" t="n">
        <v>112</v>
      </c>
      <c r="N549" s="13" t="n">
        <v>136</v>
      </c>
      <c r="O549" s="13" t="n">
        <v>112</v>
      </c>
      <c r="P549" s="13" t="n">
        <v>124</v>
      </c>
      <c r="Q549" s="13" t="n">
        <v>15.2</v>
      </c>
      <c r="R549" s="13" t="n">
        <v>1732</v>
      </c>
      <c r="S549" s="13" t="n">
        <v>1.15</v>
      </c>
      <c r="T549" s="13" t="n">
        <v>1985</v>
      </c>
      <c r="U549" s="13" t="n">
        <v>154</v>
      </c>
      <c r="V549" s="13" t="n">
        <v>96</v>
      </c>
      <c r="W549" s="13" t="n">
        <v>59</v>
      </c>
      <c r="X549" s="13" t="n">
        <v>395</v>
      </c>
      <c r="Y549" s="13" t="n">
        <v>32</v>
      </c>
      <c r="Z549" s="13" t="n">
        <v>287</v>
      </c>
      <c r="AA549" s="13" t="n">
        <v>0.543</v>
      </c>
      <c r="AB549" s="13" t="n">
        <v>306</v>
      </c>
      <c r="AC549" s="13" t="n">
        <v>243</v>
      </c>
      <c r="AD549" s="13" t="n">
        <v>89</v>
      </c>
      <c r="AE549" s="13" t="n">
        <v>6</v>
      </c>
      <c r="AF549" s="13" t="n">
        <v>14</v>
      </c>
      <c r="AG549" s="11" t="inlineStr">
        <is>
          <t xml:space="preserve"> Powder</t>
        </is>
      </c>
      <c r="AH549" s="11" t="inlineStr">
        <is>
          <t xml:space="preserve"> Touring</t>
        </is>
      </c>
      <c r="AI549" s="13" t="n"/>
      <c r="AJ549" s="13" t="n"/>
      <c r="AK549" s="42" t="n"/>
    </row>
    <row r="550">
      <c r="E550" s="40" t="inlineStr">
        <is>
          <t>21/22</t>
        </is>
      </c>
      <c r="F550" s="10" t="inlineStr">
        <is>
          <t xml:space="preserve"> DPS</t>
        </is>
      </c>
      <c r="G550" s="11" t="inlineStr">
        <is>
          <t>Pagoda 112 RP</t>
        </is>
      </c>
      <c r="H550" s="13" t="n">
        <v>178</v>
      </c>
      <c r="I550" s="11" t="inlineStr">
        <is>
          <t xml:space="preserve"> Unisex</t>
        </is>
      </c>
      <c r="J550" s="13" t="n">
        <v>178</v>
      </c>
      <c r="K550" s="13" t="n">
        <v>176.7</v>
      </c>
      <c r="L550" s="13" t="n">
        <v>105</v>
      </c>
      <c r="M550" s="13" t="n">
        <v>124</v>
      </c>
      <c r="N550" s="13" t="n">
        <v>138</v>
      </c>
      <c r="O550" s="13" t="n">
        <v>112</v>
      </c>
      <c r="P550" s="13" t="n">
        <v>126</v>
      </c>
      <c r="Q550" s="13" t="n">
        <v>15.7</v>
      </c>
      <c r="R550" s="13" t="n">
        <v>1887</v>
      </c>
      <c r="S550" s="13" t="n">
        <v>1.13</v>
      </c>
      <c r="T550" s="13" t="n">
        <v>2127</v>
      </c>
      <c r="U550" s="13" t="n">
        <v>187</v>
      </c>
      <c r="V550" s="13" t="n">
        <v>110</v>
      </c>
      <c r="W550" s="13" t="n">
        <v>63</v>
      </c>
      <c r="X550" s="13" t="n">
        <v>411</v>
      </c>
      <c r="Y550" s="13" t="n">
        <v>34</v>
      </c>
      <c r="Z550" s="13" t="n">
        <v>303</v>
      </c>
      <c r="AA550" s="13" t="n">
        <v>0.542</v>
      </c>
      <c r="AB550" s="13" t="n">
        <v>322</v>
      </c>
      <c r="AC550" s="13" t="n">
        <v>201</v>
      </c>
      <c r="AD550" s="13" t="n">
        <v>89</v>
      </c>
      <c r="AE550" s="13" t="n">
        <v>6</v>
      </c>
      <c r="AF550" s="13" t="n">
        <v>14.8</v>
      </c>
      <c r="AG550" s="11" t="inlineStr">
        <is>
          <t xml:space="preserve"> Powder</t>
        </is>
      </c>
      <c r="AH550" s="11" t="inlineStr">
        <is>
          <t xml:space="preserve"> Touring</t>
        </is>
      </c>
      <c r="AI550" s="13" t="n"/>
      <c r="AJ550" s="13" t="n"/>
      <c r="AK550" s="42" t="n"/>
    </row>
    <row r="551">
      <c r="E551" s="40" t="inlineStr">
        <is>
          <t>21/22</t>
        </is>
      </c>
      <c r="F551" s="10" t="inlineStr">
        <is>
          <t xml:space="preserve"> DPS</t>
        </is>
      </c>
      <c r="G551" s="11" t="inlineStr">
        <is>
          <t>Pagoda 112 RP</t>
        </is>
      </c>
      <c r="H551" s="13" t="n">
        <v>184</v>
      </c>
      <c r="I551" s="11" t="inlineStr">
        <is>
          <t xml:space="preserve"> Unisex</t>
        </is>
      </c>
      <c r="J551" s="13" t="n">
        <v>184</v>
      </c>
      <c r="K551" s="13" t="n">
        <v>182.6</v>
      </c>
      <c r="L551" s="13" t="n">
        <v>109</v>
      </c>
      <c r="M551" s="13" t="n">
        <v>125</v>
      </c>
      <c r="N551" s="13" t="n">
        <v>140</v>
      </c>
      <c r="O551" s="13" t="n">
        <v>112</v>
      </c>
      <c r="P551" s="13" t="n">
        <v>127</v>
      </c>
      <c r="Q551" s="13" t="n">
        <v>15.5</v>
      </c>
      <c r="R551" s="13" t="n">
        <v>2062</v>
      </c>
      <c r="S551" s="13" t="n">
        <v>1.07</v>
      </c>
      <c r="T551" s="13" t="n">
        <v>2207</v>
      </c>
      <c r="U551" s="13" t="n">
        <v>267</v>
      </c>
      <c r="V551" s="13" t="n">
        <v>128</v>
      </c>
      <c r="W551" s="13" t="n">
        <v>77</v>
      </c>
      <c r="X551" s="13" t="n">
        <v>424</v>
      </c>
      <c r="Y551" s="13" t="n">
        <v>34</v>
      </c>
      <c r="Z551" s="13" t="n">
        <v>316</v>
      </c>
      <c r="AA551" s="13" t="n">
        <v>0.444</v>
      </c>
      <c r="AB551" s="13" t="n">
        <v>310</v>
      </c>
      <c r="AC551" s="13" t="n">
        <v>270</v>
      </c>
      <c r="AD551" s="13" t="n">
        <v>114</v>
      </c>
      <c r="AE551" s="13" t="n">
        <v>4</v>
      </c>
      <c r="AF551" s="13" t="n">
        <v>13.5</v>
      </c>
      <c r="AG551" s="11" t="inlineStr">
        <is>
          <t xml:space="preserve"> Powder</t>
        </is>
      </c>
      <c r="AH551" s="11" t="inlineStr">
        <is>
          <t xml:space="preserve"> Touring</t>
        </is>
      </c>
      <c r="AI551" s="13" t="n"/>
      <c r="AJ551" s="13" t="n"/>
      <c r="AK551" s="42" t="n"/>
    </row>
    <row r="552">
      <c r="E552" s="40" t="inlineStr">
        <is>
          <t>21/22</t>
        </is>
      </c>
      <c r="F552" s="10" t="inlineStr">
        <is>
          <t xml:space="preserve"> DPS</t>
        </is>
      </c>
      <c r="G552" s="11" t="inlineStr">
        <is>
          <t>Pagoda 112 RP</t>
        </is>
      </c>
      <c r="H552" s="13" t="n">
        <v>189</v>
      </c>
      <c r="I552" s="11" t="inlineStr">
        <is>
          <t xml:space="preserve"> Unisex</t>
        </is>
      </c>
      <c r="J552" s="13" t="n">
        <v>189</v>
      </c>
      <c r="K552" s="13" t="n">
        <v>187.8</v>
      </c>
      <c r="L552" s="13" t="n">
        <v>121</v>
      </c>
      <c r="M552" s="13" t="n">
        <v>131</v>
      </c>
      <c r="N552" s="13" t="n">
        <v>141</v>
      </c>
      <c r="O552" s="13" t="n">
        <v>111</v>
      </c>
      <c r="P552" s="13" t="n">
        <v>127</v>
      </c>
      <c r="Q552" s="13" t="n">
        <v>15.3</v>
      </c>
      <c r="R552" s="13" t="n">
        <v>2131</v>
      </c>
      <c r="S552" s="13" t="n">
        <v>1.07</v>
      </c>
      <c r="T552" s="13" t="n">
        <v>2278</v>
      </c>
      <c r="U552" s="13" t="n">
        <v>315</v>
      </c>
      <c r="V552" s="13" t="n">
        <v>138</v>
      </c>
      <c r="W552" s="13" t="n">
        <v>67</v>
      </c>
      <c r="X552" s="13" t="n">
        <v>392</v>
      </c>
      <c r="Y552" s="13" t="n">
        <v>28</v>
      </c>
      <c r="Z552" s="13" t="n">
        <v>279</v>
      </c>
      <c r="AA552" s="13" t="n">
        <v>0.42</v>
      </c>
      <c r="AB552" s="13" t="n">
        <v>292</v>
      </c>
      <c r="AC552" s="13" t="n">
        <v>279</v>
      </c>
      <c r="AD552" s="13" t="n">
        <v>100</v>
      </c>
      <c r="AE552" s="13" t="n">
        <v>7</v>
      </c>
      <c r="AF552" s="13" t="n">
        <v>12.6</v>
      </c>
      <c r="AG552" s="11" t="inlineStr">
        <is>
          <t xml:space="preserve"> Powder</t>
        </is>
      </c>
      <c r="AH552" s="11" t="inlineStr">
        <is>
          <t xml:space="preserve"> Touring</t>
        </is>
      </c>
      <c r="AI552" s="13" t="n"/>
      <c r="AJ552" s="13" t="n"/>
      <c r="AK552" s="42" t="n"/>
    </row>
    <row r="553">
      <c r="E553" s="40" t="inlineStr">
        <is>
          <t>21/22</t>
        </is>
      </c>
      <c r="F553" s="10" t="inlineStr">
        <is>
          <t xml:space="preserve"> DPS</t>
        </is>
      </c>
      <c r="G553" s="11" t="inlineStr">
        <is>
          <t>Pagoda Piste 100 C2</t>
        </is>
      </c>
      <c r="H553" s="13" t="n">
        <v>157</v>
      </c>
      <c r="I553" s="11" t="inlineStr">
        <is>
          <t xml:space="preserve"> Unisex</t>
        </is>
      </c>
      <c r="J553" s="13" t="n">
        <v>157</v>
      </c>
      <c r="K553" s="13" t="n">
        <v>156.8</v>
      </c>
      <c r="L553" s="13" t="n">
        <v>118</v>
      </c>
      <c r="M553" s="13" t="n">
        <v>121</v>
      </c>
      <c r="N553" s="13" t="n">
        <v>125</v>
      </c>
      <c r="O553" s="13" t="n">
        <v>100</v>
      </c>
      <c r="P553" s="13" t="n">
        <v>111</v>
      </c>
      <c r="Q553" s="13" t="n">
        <v>18.8</v>
      </c>
      <c r="R553" s="13" t="n">
        <v>1559</v>
      </c>
      <c r="S553" s="13" t="n">
        <v>1.08</v>
      </c>
      <c r="T553" s="13" t="n">
        <v>1683</v>
      </c>
      <c r="U553" s="13" t="n">
        <v>175</v>
      </c>
      <c r="V553" s="13" t="n">
        <v>104</v>
      </c>
      <c r="W553" s="13" t="n">
        <v>35</v>
      </c>
      <c r="X553" s="13" t="n">
        <v>223</v>
      </c>
      <c r="Y553" s="13" t="n">
        <v>18</v>
      </c>
      <c r="Z553" s="13" t="n">
        <v>169</v>
      </c>
      <c r="AA553" s="13" t="n">
        <v>0.508</v>
      </c>
      <c r="AB553" s="13" t="n">
        <v>170</v>
      </c>
      <c r="AC553" s="13" t="n">
        <v>184</v>
      </c>
      <c r="AD553" s="13" t="n">
        <v>53</v>
      </c>
      <c r="AE553" s="13" t="n">
        <v>7</v>
      </c>
      <c r="AF553" s="13" t="n">
        <v>10.2</v>
      </c>
      <c r="AG553" s="11" t="inlineStr">
        <is>
          <t xml:space="preserve"> Resort Freeride</t>
        </is>
      </c>
      <c r="AH553" s="11" t="inlineStr">
        <is>
          <t xml:space="preserve"> Touring</t>
        </is>
      </c>
      <c r="AI553" s="13" t="n"/>
      <c r="AJ553" s="13" t="n"/>
      <c r="AK553" s="42" t="n"/>
    </row>
    <row r="554">
      <c r="E554" s="40" t="inlineStr">
        <is>
          <t>21/22</t>
        </is>
      </c>
      <c r="F554" s="10" t="inlineStr">
        <is>
          <t xml:space="preserve"> DPS</t>
        </is>
      </c>
      <c r="G554" s="11" t="inlineStr">
        <is>
          <t>Pagoda Piste 100 C2</t>
        </is>
      </c>
      <c r="H554" s="13" t="n">
        <v>165</v>
      </c>
      <c r="I554" s="11" t="inlineStr">
        <is>
          <t xml:space="preserve"> Unisex</t>
        </is>
      </c>
      <c r="J554" s="13" t="n">
        <v>165</v>
      </c>
      <c r="K554" s="13" t="n">
        <v>164.5</v>
      </c>
      <c r="L554" s="13" t="n">
        <v>123</v>
      </c>
      <c r="M554" s="13" t="n">
        <v>128</v>
      </c>
      <c r="N554" s="13" t="n">
        <v>127</v>
      </c>
      <c r="O554" s="13" t="n">
        <v>100</v>
      </c>
      <c r="P554" s="13" t="n">
        <v>112</v>
      </c>
      <c r="Q554" s="13" t="n">
        <v>18.9</v>
      </c>
      <c r="R554" s="13" t="n">
        <v>1732</v>
      </c>
      <c r="S554" s="13" t="n">
        <v>1.03</v>
      </c>
      <c r="T554" s="13" t="n">
        <v>1777</v>
      </c>
      <c r="U554" s="13" t="n">
        <v>183</v>
      </c>
      <c r="V554" s="13" t="n">
        <v>117</v>
      </c>
      <c r="W554" s="13" t="n">
        <v>39</v>
      </c>
      <c r="X554" s="13" t="n">
        <v>238</v>
      </c>
      <c r="Y554" s="13" t="n">
        <v>19</v>
      </c>
      <c r="Z554" s="13" t="n">
        <v>180</v>
      </c>
      <c r="AA554" s="13" t="n">
        <v>0.48</v>
      </c>
      <c r="AB554" s="13" t="n">
        <v>186</v>
      </c>
      <c r="AC554" s="13" t="n">
        <v>183</v>
      </c>
      <c r="AD554" s="13" t="n">
        <v>52</v>
      </c>
      <c r="AE554" s="13" t="n">
        <v>6</v>
      </c>
      <c r="AF554" s="13" t="n">
        <v>10.4</v>
      </c>
      <c r="AG554" s="11" t="inlineStr">
        <is>
          <t xml:space="preserve"> Resort Freeride</t>
        </is>
      </c>
      <c r="AH554" s="13" t="n"/>
      <c r="AI554" s="13" t="n"/>
      <c r="AJ554" s="13" t="n"/>
      <c r="AK554" s="42" t="n"/>
    </row>
    <row r="555">
      <c r="E555" s="40" t="inlineStr">
        <is>
          <t>21/22</t>
        </is>
      </c>
      <c r="F555" s="10" t="inlineStr">
        <is>
          <t xml:space="preserve"> DPS</t>
        </is>
      </c>
      <c r="G555" s="11" t="inlineStr">
        <is>
          <t>Pagoda Piste 100 C2</t>
        </is>
      </c>
      <c r="H555" s="13" t="n">
        <v>171</v>
      </c>
      <c r="I555" s="11" t="inlineStr">
        <is>
          <t xml:space="preserve"> Unisex</t>
        </is>
      </c>
      <c r="J555" s="13" t="n">
        <v>171</v>
      </c>
      <c r="K555" s="13" t="n">
        <v>170.9</v>
      </c>
      <c r="L555" s="13" t="n">
        <v>127</v>
      </c>
      <c r="M555" s="13" t="n">
        <v>135</v>
      </c>
      <c r="N555" s="13" t="n">
        <v>128</v>
      </c>
      <c r="O555" s="13" t="n">
        <v>99</v>
      </c>
      <c r="P555" s="13" t="n">
        <v>115</v>
      </c>
      <c r="Q555" s="13" t="n">
        <v>19.4</v>
      </c>
      <c r="R555" s="13" t="n">
        <v>1793</v>
      </c>
      <c r="S555" s="13" t="n">
        <v>1.03</v>
      </c>
      <c r="T555" s="13" t="n">
        <v>1849</v>
      </c>
      <c r="U555" s="13" t="n">
        <v>192</v>
      </c>
      <c r="V555" s="13" t="n">
        <v>106</v>
      </c>
      <c r="W555" s="13" t="n">
        <v>43</v>
      </c>
      <c r="X555" s="13" t="n">
        <v>252</v>
      </c>
      <c r="Y555" s="13" t="n">
        <v>21</v>
      </c>
      <c r="Z555" s="13" t="n">
        <v>184</v>
      </c>
      <c r="AA555" s="13" t="n">
        <v>0.488</v>
      </c>
      <c r="AB555" s="13" t="n">
        <v>185</v>
      </c>
      <c r="AC555" s="13" t="n">
        <v>176</v>
      </c>
      <c r="AD555" s="13" t="n">
        <v>67</v>
      </c>
      <c r="AE555" s="13" t="n">
        <v>8</v>
      </c>
      <c r="AF555" s="13" t="n">
        <v>10.4</v>
      </c>
      <c r="AG555" s="11" t="inlineStr">
        <is>
          <t xml:space="preserve"> Resort Freeride</t>
        </is>
      </c>
      <c r="AH555" s="13" t="n"/>
      <c r="AI555" s="13" t="n"/>
      <c r="AJ555" s="13" t="n"/>
      <c r="AK555" s="42" t="n"/>
    </row>
    <row r="556">
      <c r="E556" s="40" t="inlineStr">
        <is>
          <t>21/22</t>
        </is>
      </c>
      <c r="F556" s="10" t="inlineStr">
        <is>
          <t xml:space="preserve"> DPS</t>
        </is>
      </c>
      <c r="G556" s="11" t="inlineStr">
        <is>
          <t>Pagoda Piste 100 C2</t>
        </is>
      </c>
      <c r="H556" s="13" t="n">
        <v>179</v>
      </c>
      <c r="I556" s="11" t="inlineStr">
        <is>
          <t xml:space="preserve"> Unisex</t>
        </is>
      </c>
      <c r="J556" s="13" t="n">
        <v>179</v>
      </c>
      <c r="K556" s="13" t="n">
        <v>177.7</v>
      </c>
      <c r="L556" s="13" t="n">
        <v>132</v>
      </c>
      <c r="M556" s="13" t="n">
        <v>142</v>
      </c>
      <c r="N556" s="13" t="n">
        <v>132</v>
      </c>
      <c r="O556" s="13" t="n">
        <v>100</v>
      </c>
      <c r="P556" s="13" t="n">
        <v>115</v>
      </c>
      <c r="Q556" s="13" t="n">
        <v>19.6</v>
      </c>
      <c r="R556" s="13" t="n">
        <v>1975</v>
      </c>
      <c r="S556" s="13" t="n">
        <v>0.99</v>
      </c>
      <c r="T556" s="13" t="n">
        <v>1953</v>
      </c>
      <c r="U556" s="13" t="n">
        <v>251</v>
      </c>
      <c r="V556" s="13" t="n">
        <v>143</v>
      </c>
      <c r="W556" s="13" t="n">
        <v>47</v>
      </c>
      <c r="X556" s="13" t="n">
        <v>267</v>
      </c>
      <c r="Y556" s="13" t="n">
        <v>18</v>
      </c>
      <c r="Z556" s="13" t="n">
        <v>190</v>
      </c>
      <c r="AA556" s="13" t="n">
        <v>0.387</v>
      </c>
      <c r="AB556" s="13" t="n">
        <v>189</v>
      </c>
      <c r="AC556" s="13" t="n">
        <v>173</v>
      </c>
      <c r="AD556" s="13" t="n">
        <v>78</v>
      </c>
      <c r="AE556" s="13" t="n">
        <v>7</v>
      </c>
      <c r="AF556" s="13" t="n">
        <v>11.3</v>
      </c>
      <c r="AG556" s="11" t="inlineStr">
        <is>
          <t xml:space="preserve"> Resort Freeride</t>
        </is>
      </c>
      <c r="AH556" s="13" t="n"/>
      <c r="AI556" s="13" t="n"/>
      <c r="AJ556" s="13" t="n"/>
      <c r="AK556" s="42" t="n"/>
    </row>
    <row r="557">
      <c r="E557" s="40" t="inlineStr">
        <is>
          <t>21/22</t>
        </is>
      </c>
      <c r="F557" s="10" t="inlineStr">
        <is>
          <t xml:space="preserve"> DPS</t>
        </is>
      </c>
      <c r="G557" s="11" t="inlineStr">
        <is>
          <t>Pagoda Piste 100 C2</t>
        </is>
      </c>
      <c r="H557" s="13" t="n">
        <v>184</v>
      </c>
      <c r="I557" s="11" t="inlineStr">
        <is>
          <t xml:space="preserve"> Unisex</t>
        </is>
      </c>
      <c r="J557" s="13" t="n">
        <v>184</v>
      </c>
      <c r="K557" s="13" t="n">
        <v>183.4</v>
      </c>
      <c r="L557" s="13" t="n">
        <v>133</v>
      </c>
      <c r="M557" s="13" t="n">
        <v>146</v>
      </c>
      <c r="N557" s="13" t="n">
        <v>132</v>
      </c>
      <c r="O557" s="13" t="n">
        <v>100</v>
      </c>
      <c r="P557" s="13" t="n">
        <v>116</v>
      </c>
      <c r="Q557" s="13" t="n">
        <v>19.2</v>
      </c>
      <c r="R557" s="13" t="n">
        <v>2074</v>
      </c>
      <c r="S557" s="13" t="n">
        <v>0.97</v>
      </c>
      <c r="T557" s="13" t="n">
        <v>2019</v>
      </c>
      <c r="U557" s="13" t="n">
        <v>249</v>
      </c>
      <c r="V557" s="13" t="n">
        <v>138</v>
      </c>
      <c r="W557" s="13" t="n">
        <v>54</v>
      </c>
      <c r="X557" s="13" t="n">
        <v>278</v>
      </c>
      <c r="Y557" s="13" t="n">
        <v>24</v>
      </c>
      <c r="Z557" s="13" t="n">
        <v>223</v>
      </c>
      <c r="AA557" s="13" t="n">
        <v>0.451</v>
      </c>
      <c r="AB557" s="13" t="n">
        <v>181</v>
      </c>
      <c r="AC557" s="13" t="n">
        <v>189</v>
      </c>
      <c r="AD557" s="13" t="n">
        <v>96</v>
      </c>
      <c r="AE557" s="13" t="n">
        <v>7</v>
      </c>
      <c r="AF557" s="13" t="n">
        <v>10.8</v>
      </c>
      <c r="AG557" s="11" t="inlineStr">
        <is>
          <t xml:space="preserve"> Resort Freeride</t>
        </is>
      </c>
      <c r="AH557" s="13" t="n"/>
      <c r="AI557" s="13" t="n"/>
      <c r="AJ557" s="13" t="n"/>
      <c r="AK557" s="42" t="n"/>
    </row>
    <row r="558">
      <c r="E558" s="40" t="inlineStr">
        <is>
          <t>21/22</t>
        </is>
      </c>
      <c r="F558" s="10" t="inlineStr">
        <is>
          <t xml:space="preserve"> DPS</t>
        </is>
      </c>
      <c r="G558" s="11" t="inlineStr">
        <is>
          <t>Pagoda Piste 90 RP</t>
        </is>
      </c>
      <c r="H558" s="13" t="n">
        <v>171</v>
      </c>
      <c r="I558" s="11" t="inlineStr">
        <is>
          <t xml:space="preserve"> Unisex</t>
        </is>
      </c>
      <c r="J558" s="13" t="n">
        <v>171</v>
      </c>
      <c r="K558" s="13" t="n">
        <v>169.2</v>
      </c>
      <c r="L558" s="13" t="n">
        <v>124</v>
      </c>
      <c r="M558" s="13" t="n">
        <v>130</v>
      </c>
      <c r="N558" s="13" t="n">
        <v>122</v>
      </c>
      <c r="O558" s="13" t="n">
        <v>90</v>
      </c>
      <c r="P558" s="13" t="n">
        <v>107</v>
      </c>
      <c r="Q558" s="13" t="n">
        <v>15</v>
      </c>
      <c r="R558" s="13" t="n">
        <v>1643</v>
      </c>
      <c r="S558" s="13" t="n">
        <v>1.04</v>
      </c>
      <c r="T558" s="13" t="n">
        <v>1714</v>
      </c>
      <c r="U558" s="13" t="n">
        <v>217</v>
      </c>
      <c r="V558" s="13" t="n">
        <v>112</v>
      </c>
      <c r="W558" s="13" t="n">
        <v>49</v>
      </c>
      <c r="X558" s="13" t="n">
        <v>310</v>
      </c>
      <c r="Y558" s="13" t="n">
        <v>7</v>
      </c>
      <c r="Z558" s="13" t="n">
        <v>140</v>
      </c>
      <c r="AA558" s="13" t="n">
        <v>0.148</v>
      </c>
      <c r="AB558" s="13" t="n">
        <v>199</v>
      </c>
      <c r="AC558" s="13" t="n">
        <v>197</v>
      </c>
      <c r="AD558" s="13" t="n">
        <v>111</v>
      </c>
      <c r="AE558" s="13" t="n">
        <v>9</v>
      </c>
      <c r="AF558" s="13" t="n">
        <v>11.8</v>
      </c>
      <c r="AG558" s="11" t="inlineStr">
        <is>
          <t xml:space="preserve"> Resort Freeride</t>
        </is>
      </c>
      <c r="AH558" s="13" t="n"/>
      <c r="AI558" s="13" t="n"/>
      <c r="AJ558" s="13" t="n"/>
      <c r="AK558" s="42" t="n"/>
    </row>
    <row r="559">
      <c r="E559" s="40" t="inlineStr">
        <is>
          <t>21/22</t>
        </is>
      </c>
      <c r="F559" s="10" t="inlineStr">
        <is>
          <t xml:space="preserve"> DPS</t>
        </is>
      </c>
      <c r="G559" s="11" t="inlineStr">
        <is>
          <t>Pagoda Piste 90 RP</t>
        </is>
      </c>
      <c r="H559" s="13" t="n">
        <v>179</v>
      </c>
      <c r="I559" s="11" t="inlineStr">
        <is>
          <t xml:space="preserve"> Unisex</t>
        </is>
      </c>
      <c r="J559" s="13" t="n">
        <v>179</v>
      </c>
      <c r="K559" s="13" t="n">
        <v>178.4</v>
      </c>
      <c r="L559" s="13" t="n">
        <v>125</v>
      </c>
      <c r="M559" s="13" t="n">
        <v>137</v>
      </c>
      <c r="N559" s="13" t="n">
        <v>125</v>
      </c>
      <c r="O559" s="13" t="n">
        <v>90</v>
      </c>
      <c r="P559" s="13" t="n">
        <v>109</v>
      </c>
      <c r="Q559" s="13" t="n">
        <v>14.9</v>
      </c>
      <c r="R559" s="13" t="n">
        <v>1826</v>
      </c>
      <c r="S559" s="13" t="n">
        <v>1</v>
      </c>
      <c r="T559" s="13" t="n">
        <v>1819</v>
      </c>
      <c r="U559" s="13" t="n">
        <v>234</v>
      </c>
      <c r="V559" s="13" t="n">
        <v>110</v>
      </c>
      <c r="W559" s="13" t="n">
        <v>56</v>
      </c>
      <c r="X559" s="13" t="n">
        <v>336</v>
      </c>
      <c r="Y559" s="13" t="n">
        <v>11</v>
      </c>
      <c r="Z559" s="13" t="n">
        <v>194</v>
      </c>
      <c r="AA559" s="13" t="n">
        <v>0.199</v>
      </c>
      <c r="AB559" s="13" t="n">
        <v>203</v>
      </c>
      <c r="AC559" s="13" t="n">
        <v>212</v>
      </c>
      <c r="AD559" s="13" t="n">
        <v>133</v>
      </c>
      <c r="AE559" s="13" t="n">
        <v>10</v>
      </c>
      <c r="AF559" s="13" t="n">
        <v>11.7</v>
      </c>
      <c r="AG559" s="11" t="inlineStr">
        <is>
          <t xml:space="preserve"> Resort Freeride</t>
        </is>
      </c>
      <c r="AH559" s="13" t="n"/>
      <c r="AI559" s="13" t="n"/>
      <c r="AJ559" s="13" t="n"/>
      <c r="AK559" s="42" t="n"/>
    </row>
    <row r="560">
      <c r="E560" s="40" t="inlineStr">
        <is>
          <t>21/22</t>
        </is>
      </c>
      <c r="F560" s="10" t="inlineStr">
        <is>
          <t xml:space="preserve"> DPS</t>
        </is>
      </c>
      <c r="G560" s="11" t="inlineStr">
        <is>
          <t>Pagoda Piste 90 RP</t>
        </is>
      </c>
      <c r="H560" s="13" t="n">
        <v>184</v>
      </c>
      <c r="I560" s="11" t="inlineStr">
        <is>
          <t xml:space="preserve"> Unisex</t>
        </is>
      </c>
      <c r="J560" s="13" t="n">
        <v>184</v>
      </c>
      <c r="K560" s="13" t="n">
        <v>183.3</v>
      </c>
      <c r="L560" s="13" t="n">
        <v>131</v>
      </c>
      <c r="M560" s="13" t="n">
        <v>140</v>
      </c>
      <c r="N560" s="13" t="n">
        <v>127</v>
      </c>
      <c r="O560" s="13" t="n">
        <v>90</v>
      </c>
      <c r="P560" s="13" t="n">
        <v>110</v>
      </c>
      <c r="Q560" s="13" t="n">
        <v>14.9</v>
      </c>
      <c r="R560" s="13" t="n">
        <v>1885</v>
      </c>
      <c r="S560" s="13" t="n">
        <v>1</v>
      </c>
      <c r="T560" s="13" t="n">
        <v>1885</v>
      </c>
      <c r="U560" s="13" t="n">
        <v>245</v>
      </c>
      <c r="V560" s="13" t="n">
        <v>117</v>
      </c>
      <c r="W560" s="13" t="n">
        <v>58</v>
      </c>
      <c r="X560" s="13" t="n">
        <v>339</v>
      </c>
      <c r="Y560" s="13" t="n">
        <v>11</v>
      </c>
      <c r="Z560" s="13" t="n">
        <v>184</v>
      </c>
      <c r="AA560" s="13" t="n">
        <v>0.184</v>
      </c>
      <c r="AB560" s="13" t="n">
        <v>203</v>
      </c>
      <c r="AC560" s="13" t="n">
        <v>227</v>
      </c>
      <c r="AD560" s="13" t="n">
        <v>136</v>
      </c>
      <c r="AE560" s="13" t="n">
        <v>9</v>
      </c>
      <c r="AF560" s="13" t="n">
        <v>12</v>
      </c>
      <c r="AG560" s="11" t="inlineStr">
        <is>
          <t xml:space="preserve"> Resort Freeride</t>
        </is>
      </c>
      <c r="AH560" s="13" t="n"/>
      <c r="AI560" s="13" t="n"/>
      <c r="AJ560" s="13" t="n"/>
      <c r="AK560" s="42" t="n"/>
    </row>
    <row r="561">
      <c r="E561" s="40" t="inlineStr">
        <is>
          <t>21/22</t>
        </is>
      </c>
      <c r="F561" s="10" t="inlineStr">
        <is>
          <t xml:space="preserve"> DPS</t>
        </is>
      </c>
      <c r="G561" s="11" t="inlineStr">
        <is>
          <t>Pagoda Tour 100 RP</t>
        </is>
      </c>
      <c r="H561" s="13" t="n">
        <v>153</v>
      </c>
      <c r="I561" s="11" t="inlineStr">
        <is>
          <t xml:space="preserve"> Unisex</t>
        </is>
      </c>
      <c r="J561" s="13" t="n">
        <v>153</v>
      </c>
      <c r="K561" s="13" t="n">
        <v>151.8</v>
      </c>
      <c r="L561" s="13" t="n">
        <v>103</v>
      </c>
      <c r="M561" s="13" t="n">
        <v>111</v>
      </c>
      <c r="N561" s="13" t="n">
        <v>124</v>
      </c>
      <c r="O561" s="13" t="n">
        <v>100</v>
      </c>
      <c r="P561" s="13" t="n">
        <v>112</v>
      </c>
      <c r="Q561" s="13" t="n">
        <v>14.9</v>
      </c>
      <c r="R561" s="13" t="n">
        <v>1170</v>
      </c>
      <c r="S561" s="13" t="n">
        <v>1.4</v>
      </c>
      <c r="T561" s="13" t="n">
        <v>1633</v>
      </c>
      <c r="U561" s="13" t="n">
        <v>143</v>
      </c>
      <c r="V561" s="13" t="n">
        <v>70</v>
      </c>
      <c r="W561" s="13" t="n">
        <v>33</v>
      </c>
      <c r="X561" s="13" t="n">
        <v>255</v>
      </c>
      <c r="Y561" s="13" t="n">
        <v>16</v>
      </c>
      <c r="Z561" s="13" t="n">
        <v>229</v>
      </c>
      <c r="AA561" s="13" t="n">
        <v>0.466</v>
      </c>
      <c r="AB561" s="13" t="n">
        <v>215</v>
      </c>
      <c r="AC561" s="13" t="n">
        <v>188</v>
      </c>
      <c r="AD561" s="13" t="n">
        <v>40</v>
      </c>
      <c r="AE561" s="13" t="n">
        <v>6</v>
      </c>
      <c r="AF561" s="13" t="n">
        <v>11.5</v>
      </c>
      <c r="AG561" s="11" t="inlineStr">
        <is>
          <t xml:space="preserve"> Touring</t>
        </is>
      </c>
      <c r="AH561" s="11" t="inlineStr">
        <is>
          <t xml:space="preserve"> Ultralight Touring</t>
        </is>
      </c>
      <c r="AI561" s="13" t="n"/>
      <c r="AJ561" s="13" t="n"/>
      <c r="AK561" s="42" t="n"/>
    </row>
    <row r="562">
      <c r="E562" s="40" t="inlineStr">
        <is>
          <t>21/22</t>
        </is>
      </c>
      <c r="F562" s="10" t="inlineStr">
        <is>
          <t xml:space="preserve"> DPS</t>
        </is>
      </c>
      <c r="G562" s="11" t="inlineStr">
        <is>
          <t>Pagoda Tour 100 RP</t>
        </is>
      </c>
      <c r="H562" s="13" t="n">
        <v>163</v>
      </c>
      <c r="I562" s="11" t="inlineStr">
        <is>
          <t xml:space="preserve"> Unisex</t>
        </is>
      </c>
      <c r="J562" s="13" t="n">
        <v>163</v>
      </c>
      <c r="K562" s="13" t="n">
        <v>161.4</v>
      </c>
      <c r="L562" s="13" t="n">
        <v>107</v>
      </c>
      <c r="M562" s="13" t="n">
        <v>121</v>
      </c>
      <c r="N562" s="13" t="n">
        <v>126</v>
      </c>
      <c r="O562" s="13" t="n">
        <v>100</v>
      </c>
      <c r="P562" s="13" t="n">
        <v>113</v>
      </c>
      <c r="Q562" s="13" t="n">
        <v>15.1</v>
      </c>
      <c r="R562" s="13" t="n">
        <v>1280</v>
      </c>
      <c r="S562" s="13" t="n">
        <v>1.37</v>
      </c>
      <c r="T562" s="13" t="n">
        <v>1755</v>
      </c>
      <c r="U562" s="13" t="n">
        <v>173</v>
      </c>
      <c r="V562" s="13" t="n">
        <v>79</v>
      </c>
      <c r="W562" s="13" t="n">
        <v>54</v>
      </c>
      <c r="X562" s="13" t="n">
        <v>325</v>
      </c>
      <c r="Y562" s="13" t="n">
        <v>11</v>
      </c>
      <c r="Z562" s="13" t="n">
        <v>215</v>
      </c>
      <c r="AA562" s="13" t="n">
        <v>0.2</v>
      </c>
      <c r="AB562" s="13" t="n">
        <v>221</v>
      </c>
      <c r="AC562" s="13" t="n">
        <v>188</v>
      </c>
      <c r="AD562" s="13" t="n">
        <v>104</v>
      </c>
      <c r="AE562" s="13" t="n">
        <v>7</v>
      </c>
      <c r="AF562" s="13" t="n">
        <v>11.8</v>
      </c>
      <c r="AG562" s="11" t="inlineStr">
        <is>
          <t xml:space="preserve"> Touring</t>
        </is>
      </c>
      <c r="AH562" s="11" t="inlineStr">
        <is>
          <t xml:space="preserve"> Ultralight Touring</t>
        </is>
      </c>
      <c r="AI562" s="13" t="n"/>
      <c r="AJ562" s="13" t="n"/>
      <c r="AK562" s="42" t="n"/>
    </row>
    <row r="563">
      <c r="E563" s="40" t="inlineStr">
        <is>
          <t>21/22</t>
        </is>
      </c>
      <c r="F563" s="10" t="inlineStr">
        <is>
          <t xml:space="preserve"> DPS</t>
        </is>
      </c>
      <c r="G563" s="11" t="inlineStr">
        <is>
          <t>Pagoda Tour 100 RP</t>
        </is>
      </c>
      <c r="H563" s="13" t="n">
        <v>171</v>
      </c>
      <c r="I563" s="11" t="inlineStr">
        <is>
          <t xml:space="preserve"> Unisex</t>
        </is>
      </c>
      <c r="J563" s="13" t="n">
        <v>171</v>
      </c>
      <c r="K563" s="13" t="n">
        <v>169.5</v>
      </c>
      <c r="L563" s="13" t="n">
        <v>115</v>
      </c>
      <c r="M563" s="13" t="n">
        <v>125</v>
      </c>
      <c r="N563" s="13" t="n">
        <v>129</v>
      </c>
      <c r="O563" s="13" t="n">
        <v>100</v>
      </c>
      <c r="P563" s="13" t="n">
        <v>115</v>
      </c>
      <c r="Q563" s="13" t="n">
        <v>15</v>
      </c>
      <c r="R563" s="13" t="n">
        <v>1431</v>
      </c>
      <c r="S563" s="13" t="n">
        <v>1.3</v>
      </c>
      <c r="T563" s="13" t="n">
        <v>1861</v>
      </c>
      <c r="U563" s="13" t="n">
        <v>203</v>
      </c>
      <c r="V563" s="13" t="n">
        <v>94</v>
      </c>
      <c r="W563" s="13" t="n">
        <v>57</v>
      </c>
      <c r="X563" s="13" t="n">
        <v>332</v>
      </c>
      <c r="Y563" s="13" t="n">
        <v>12</v>
      </c>
      <c r="Z563" s="13" t="n">
        <v>210</v>
      </c>
      <c r="AA563" s="13" t="n">
        <v>0.209</v>
      </c>
      <c r="AB563" s="13" t="n">
        <v>230</v>
      </c>
      <c r="AC563" s="13" t="n">
        <v>213</v>
      </c>
      <c r="AD563" s="13" t="n">
        <v>102</v>
      </c>
      <c r="AE563" s="13" t="n">
        <v>6</v>
      </c>
      <c r="AF563" s="13" t="n">
        <v>11.9</v>
      </c>
      <c r="AG563" s="11" t="inlineStr">
        <is>
          <t xml:space="preserve"> Touring</t>
        </is>
      </c>
      <c r="AH563" s="11" t="inlineStr">
        <is>
          <t xml:space="preserve"> Ultralight Touring</t>
        </is>
      </c>
      <c r="AI563" s="13" t="n"/>
      <c r="AJ563" s="13" t="n"/>
      <c r="AK563" s="42" t="n"/>
    </row>
    <row r="564">
      <c r="E564" s="40" t="inlineStr">
        <is>
          <t>21/22</t>
        </is>
      </c>
      <c r="F564" s="10" t="inlineStr">
        <is>
          <t xml:space="preserve"> DPS</t>
        </is>
      </c>
      <c r="G564" s="11" t="inlineStr">
        <is>
          <t>Pagoda Tour 100 RP</t>
        </is>
      </c>
      <c r="H564" s="13" t="n">
        <v>179</v>
      </c>
      <c r="I564" s="11" t="inlineStr">
        <is>
          <t xml:space="preserve"> Unisex</t>
        </is>
      </c>
      <c r="J564" s="13" t="n">
        <v>179</v>
      </c>
      <c r="K564" s="13" t="n">
        <v>177.4</v>
      </c>
      <c r="L564" s="13" t="n">
        <v>115</v>
      </c>
      <c r="M564" s="13" t="n">
        <v>132</v>
      </c>
      <c r="N564" s="13" t="n">
        <v>132</v>
      </c>
      <c r="O564" s="13" t="n">
        <v>99</v>
      </c>
      <c r="P564" s="13" t="n">
        <v>117</v>
      </c>
      <c r="Q564" s="13" t="n">
        <v>15</v>
      </c>
      <c r="R564" s="13" t="n">
        <v>1545</v>
      </c>
      <c r="S564" s="13" t="n">
        <v>1.27</v>
      </c>
      <c r="T564" s="13" t="n">
        <v>1968</v>
      </c>
      <c r="U564" s="13" t="n">
        <v>235</v>
      </c>
      <c r="V564" s="13" t="n">
        <v>111</v>
      </c>
      <c r="W564" s="13" t="n">
        <v>62</v>
      </c>
      <c r="X564" s="13" t="n">
        <v>354</v>
      </c>
      <c r="Y564" s="13" t="n">
        <v>16</v>
      </c>
      <c r="Z564" s="13" t="n">
        <v>270</v>
      </c>
      <c r="AA564" s="13" t="n">
        <v>0.256</v>
      </c>
      <c r="AB564" s="13" t="n">
        <v>231</v>
      </c>
      <c r="AC564" s="13" t="n">
        <v>222</v>
      </c>
      <c r="AD564" s="13" t="n">
        <v>123</v>
      </c>
      <c r="AE564" s="13" t="n">
        <v>6</v>
      </c>
      <c r="AF564" s="13" t="n">
        <v>12.2</v>
      </c>
      <c r="AG564" s="11" t="inlineStr">
        <is>
          <t xml:space="preserve"> Resort Freeride</t>
        </is>
      </c>
      <c r="AH564" s="11" t="inlineStr">
        <is>
          <t xml:space="preserve"> Touring</t>
        </is>
      </c>
      <c r="AI564" s="11" t="inlineStr">
        <is>
          <t xml:space="preserve"> Ultralight Touring</t>
        </is>
      </c>
      <c r="AJ564" s="13" t="n"/>
      <c r="AK564" s="42" t="n"/>
    </row>
    <row r="565">
      <c r="E565" s="40" t="inlineStr">
        <is>
          <t>21/22</t>
        </is>
      </c>
      <c r="F565" s="10" t="inlineStr">
        <is>
          <t xml:space="preserve"> DPS</t>
        </is>
      </c>
      <c r="G565" s="11" t="inlineStr">
        <is>
          <t>Pagoda Tour 100 RP</t>
        </is>
      </c>
      <c r="H565" s="13" t="n">
        <v>184</v>
      </c>
      <c r="I565" s="11" t="inlineStr">
        <is>
          <t xml:space="preserve"> Unisex</t>
        </is>
      </c>
      <c r="J565" s="13" t="n">
        <v>184</v>
      </c>
      <c r="K565" s="13" t="n">
        <v>182.4</v>
      </c>
      <c r="L565" s="13" t="n">
        <v>120</v>
      </c>
      <c r="M565" s="13" t="n">
        <v>134</v>
      </c>
      <c r="N565" s="13" t="n">
        <v>133</v>
      </c>
      <c r="O565" s="13" t="n">
        <v>99</v>
      </c>
      <c r="P565" s="13" t="n">
        <v>118</v>
      </c>
      <c r="Q565" s="13" t="n">
        <v>15</v>
      </c>
      <c r="R565" s="13" t="n">
        <v>1575</v>
      </c>
      <c r="S565" s="13" t="n">
        <v>1.29</v>
      </c>
      <c r="T565" s="13" t="n">
        <v>2033</v>
      </c>
      <c r="U565" s="13" t="n">
        <v>254</v>
      </c>
      <c r="V565" s="13" t="n">
        <v>123</v>
      </c>
      <c r="W565" s="13" t="n">
        <v>68</v>
      </c>
      <c r="X565" s="13" t="n">
        <v>372</v>
      </c>
      <c r="Y565" s="13" t="n">
        <v>16</v>
      </c>
      <c r="Z565" s="13" t="n">
        <v>256</v>
      </c>
      <c r="AA565" s="13" t="n">
        <v>0.232</v>
      </c>
      <c r="AB565" s="13" t="n">
        <v>250</v>
      </c>
      <c r="AC565" s="13" t="n">
        <v>231</v>
      </c>
      <c r="AD565" s="13" t="n">
        <v>122</v>
      </c>
      <c r="AE565" s="13" t="n">
        <v>6</v>
      </c>
      <c r="AF565" s="13" t="n">
        <v>12.8</v>
      </c>
      <c r="AG565" s="11" t="inlineStr">
        <is>
          <t xml:space="preserve"> Touring</t>
        </is>
      </c>
      <c r="AH565" s="11" t="inlineStr">
        <is>
          <t xml:space="preserve"> Ultralight Touring</t>
        </is>
      </c>
      <c r="AI565" s="13" t="n"/>
      <c r="AJ565" s="13" t="n"/>
      <c r="AK565" s="42" t="n"/>
    </row>
    <row r="566">
      <c r="E566" s="40" t="inlineStr">
        <is>
          <t>21/22</t>
        </is>
      </c>
      <c r="F566" s="10" t="inlineStr">
        <is>
          <t xml:space="preserve"> DPS</t>
        </is>
      </c>
      <c r="G566" s="11" t="inlineStr">
        <is>
          <t>Pagoda Tour 112 RP</t>
        </is>
      </c>
      <c r="H566" s="13" t="n">
        <v>158</v>
      </c>
      <c r="I566" s="11" t="inlineStr">
        <is>
          <t xml:space="preserve"> Unisex</t>
        </is>
      </c>
      <c r="J566" s="13" t="n">
        <v>158</v>
      </c>
      <c r="K566" s="13" t="n">
        <v>156.5</v>
      </c>
      <c r="L566" s="13" t="n">
        <v>91</v>
      </c>
      <c r="M566" s="13" t="n">
        <v>104</v>
      </c>
      <c r="N566" s="13" t="n">
        <v>133</v>
      </c>
      <c r="O566" s="13" t="n">
        <v>111</v>
      </c>
      <c r="P566" s="13" t="n">
        <v>121</v>
      </c>
      <c r="Q566" s="13" t="n">
        <v>15.2</v>
      </c>
      <c r="R566" s="13" t="n">
        <v>1294</v>
      </c>
      <c r="S566" s="13" t="n">
        <v>1.42</v>
      </c>
      <c r="T566" s="13" t="n">
        <v>1841</v>
      </c>
      <c r="U566" s="13" t="n">
        <v>153</v>
      </c>
      <c r="V566" s="13" t="n">
        <v>86</v>
      </c>
      <c r="W566" s="13" t="n">
        <v>62</v>
      </c>
      <c r="X566" s="13" t="n">
        <v>374</v>
      </c>
      <c r="Y566" s="13" t="n">
        <v>31</v>
      </c>
      <c r="Z566" s="13" t="n">
        <v>282</v>
      </c>
      <c r="AA566" s="13" t="n">
        <v>0.491</v>
      </c>
      <c r="AB566" s="13" t="n">
        <v>312</v>
      </c>
      <c r="AC566" s="13" t="n">
        <v>212</v>
      </c>
      <c r="AD566" s="13" t="n">
        <v>62</v>
      </c>
      <c r="AE566" s="13" t="n">
        <v>4</v>
      </c>
      <c r="AF566" s="13" t="n">
        <v>13.5</v>
      </c>
      <c r="AG566" s="11" t="inlineStr">
        <is>
          <t xml:space="preserve"> Powder</t>
        </is>
      </c>
      <c r="AH566" s="11" t="inlineStr">
        <is>
          <t xml:space="preserve"> Touring</t>
        </is>
      </c>
      <c r="AI566" s="11" t="inlineStr">
        <is>
          <t xml:space="preserve"> Ultralight Touring</t>
        </is>
      </c>
      <c r="AJ566" s="13" t="n"/>
      <c r="AK566" s="42" t="n"/>
    </row>
    <row r="567">
      <c r="E567" s="40" t="inlineStr">
        <is>
          <t>21/22</t>
        </is>
      </c>
      <c r="F567" s="10" t="inlineStr">
        <is>
          <t xml:space="preserve"> DPS</t>
        </is>
      </c>
      <c r="G567" s="11" t="inlineStr">
        <is>
          <t>Pagoda Tour 112 RP</t>
        </is>
      </c>
      <c r="H567" s="13" t="n">
        <v>168</v>
      </c>
      <c r="I567" s="11" t="inlineStr">
        <is>
          <t xml:space="preserve"> Unisex</t>
        </is>
      </c>
      <c r="J567" s="13" t="n">
        <v>168</v>
      </c>
      <c r="K567" s="13" t="n">
        <v>166.2</v>
      </c>
      <c r="L567" s="13" t="n">
        <v>96</v>
      </c>
      <c r="M567" s="13" t="n">
        <v>112</v>
      </c>
      <c r="N567" s="13" t="n">
        <v>136</v>
      </c>
      <c r="O567" s="13" t="n">
        <v>112</v>
      </c>
      <c r="P567" s="13" t="n">
        <v>124</v>
      </c>
      <c r="Q567" s="13" t="n">
        <v>15.1</v>
      </c>
      <c r="R567" s="13" t="n">
        <v>1370</v>
      </c>
      <c r="S567" s="13" t="n">
        <v>1.45</v>
      </c>
      <c r="T567" s="13" t="n">
        <v>1988</v>
      </c>
      <c r="U567" s="13" t="n">
        <v>163</v>
      </c>
      <c r="V567" s="13" t="n">
        <v>79</v>
      </c>
      <c r="W567" s="13" t="n">
        <v>59</v>
      </c>
      <c r="X567" s="13" t="n">
        <v>398</v>
      </c>
      <c r="Y567" s="13" t="n">
        <v>32</v>
      </c>
      <c r="Z567" s="13" t="n">
        <v>303</v>
      </c>
      <c r="AA567" s="13" t="n">
        <v>0.548</v>
      </c>
      <c r="AB567" s="13" t="n">
        <v>296</v>
      </c>
      <c r="AC567" s="13" t="n">
        <v>242</v>
      </c>
      <c r="AD567" s="13" t="n">
        <v>102</v>
      </c>
      <c r="AE567" s="13" t="n">
        <v>4</v>
      </c>
      <c r="AF567" s="13" t="n">
        <v>13.7</v>
      </c>
      <c r="AG567" s="11" t="inlineStr">
        <is>
          <t xml:space="preserve"> Powder</t>
        </is>
      </c>
      <c r="AH567" s="11" t="inlineStr">
        <is>
          <t xml:space="preserve"> Touring</t>
        </is>
      </c>
      <c r="AI567" s="11" t="inlineStr">
        <is>
          <t xml:space="preserve"> Ultralight Touring</t>
        </is>
      </c>
      <c r="AJ567" s="13" t="n"/>
      <c r="AK567" s="42" t="n"/>
    </row>
    <row r="568">
      <c r="E568" s="40" t="inlineStr">
        <is>
          <t>21/22</t>
        </is>
      </c>
      <c r="F568" s="10" t="inlineStr">
        <is>
          <t xml:space="preserve"> DPS</t>
        </is>
      </c>
      <c r="G568" s="11" t="inlineStr">
        <is>
          <t>Pagoda Tour 112 RP</t>
        </is>
      </c>
      <c r="H568" s="13" t="n">
        <v>178</v>
      </c>
      <c r="I568" s="11" t="inlineStr">
        <is>
          <t xml:space="preserve"> Unisex</t>
        </is>
      </c>
      <c r="J568" s="13" t="n">
        <v>178</v>
      </c>
      <c r="K568" s="13" t="n">
        <v>176.4</v>
      </c>
      <c r="L568" s="13" t="n">
        <v>94</v>
      </c>
      <c r="M568" s="13" t="n">
        <v>123</v>
      </c>
      <c r="N568" s="13" t="n">
        <v>139</v>
      </c>
      <c r="O568" s="13" t="n">
        <v>112</v>
      </c>
      <c r="P568" s="13" t="n">
        <v>126</v>
      </c>
      <c r="Q568" s="13" t="n">
        <v>15.3</v>
      </c>
      <c r="R568" s="13" t="n">
        <v>1572</v>
      </c>
      <c r="S568" s="13" t="n">
        <v>1.35</v>
      </c>
      <c r="T568" s="13" t="n">
        <v>2127</v>
      </c>
      <c r="U568" s="13" t="n">
        <v>211</v>
      </c>
      <c r="V568" s="13" t="n">
        <v>110</v>
      </c>
      <c r="W568" s="13" t="n">
        <v>62</v>
      </c>
      <c r="X568" s="13" t="n">
        <v>439</v>
      </c>
      <c r="Y568" s="13" t="n">
        <v>39</v>
      </c>
      <c r="Z568" s="13" t="n">
        <v>389</v>
      </c>
      <c r="AA568" s="13" t="n">
        <v>0.631</v>
      </c>
      <c r="AB568" s="13" t="n">
        <v>290</v>
      </c>
      <c r="AC568" s="13" t="n">
        <v>248</v>
      </c>
      <c r="AD568" s="13" t="n">
        <v>149</v>
      </c>
      <c r="AE568" s="13" t="n">
        <v>3</v>
      </c>
      <c r="AF568" s="13" t="n">
        <v>14.6</v>
      </c>
      <c r="AG568" s="11" t="inlineStr">
        <is>
          <t xml:space="preserve"> Powder</t>
        </is>
      </c>
      <c r="AH568" s="11" t="inlineStr">
        <is>
          <t xml:space="preserve"> Touring</t>
        </is>
      </c>
      <c r="AI568" s="11" t="inlineStr">
        <is>
          <t xml:space="preserve"> Ultralight Touring</t>
        </is>
      </c>
      <c r="AJ568" s="13" t="n"/>
      <c r="AK568" s="42" t="n"/>
    </row>
    <row r="569">
      <c r="E569" s="40" t="inlineStr">
        <is>
          <t>21/22</t>
        </is>
      </c>
      <c r="F569" s="10" t="inlineStr">
        <is>
          <t xml:space="preserve"> DPS</t>
        </is>
      </c>
      <c r="G569" s="11" t="inlineStr">
        <is>
          <t>Pagoda Tour 112 RP</t>
        </is>
      </c>
      <c r="H569" s="13" t="n">
        <v>184</v>
      </c>
      <c r="I569" s="11" t="inlineStr">
        <is>
          <t xml:space="preserve"> Unisex</t>
        </is>
      </c>
      <c r="J569" s="13" t="n">
        <v>184</v>
      </c>
      <c r="K569" s="13" t="n">
        <v>182.2</v>
      </c>
      <c r="L569" s="13" t="n">
        <v>107</v>
      </c>
      <c r="M569" s="13" t="n">
        <v>125</v>
      </c>
      <c r="N569" s="13" t="n">
        <v>140</v>
      </c>
      <c r="O569" s="13" t="n">
        <v>112</v>
      </c>
      <c r="P569" s="13" t="n">
        <v>127</v>
      </c>
      <c r="Q569" s="13" t="n">
        <v>15.2</v>
      </c>
      <c r="R569" s="13" t="n">
        <v>1661</v>
      </c>
      <c r="S569" s="13" t="n">
        <v>1.33</v>
      </c>
      <c r="T569" s="13" t="n">
        <v>2209</v>
      </c>
      <c r="U569" s="13" t="n">
        <v>229</v>
      </c>
      <c r="V569" s="13" t="n">
        <v>112</v>
      </c>
      <c r="W569" s="13" t="n">
        <v>73</v>
      </c>
      <c r="X569" s="13" t="n">
        <v>422</v>
      </c>
      <c r="Y569" s="13" t="n">
        <v>34</v>
      </c>
      <c r="Z569" s="13" t="n">
        <v>330</v>
      </c>
      <c r="AA569" s="13" t="n">
        <v>0.464</v>
      </c>
      <c r="AB569" s="13" t="n">
        <v>304</v>
      </c>
      <c r="AC569" s="13" t="n">
        <v>270</v>
      </c>
      <c r="AD569" s="13" t="n">
        <v>118</v>
      </c>
      <c r="AE569" s="13" t="n">
        <v>4</v>
      </c>
      <c r="AF569" s="13" t="n">
        <v>13.2</v>
      </c>
      <c r="AG569" s="11" t="inlineStr">
        <is>
          <t xml:space="preserve"> Powder</t>
        </is>
      </c>
      <c r="AH569" s="11" t="inlineStr">
        <is>
          <t xml:space="preserve"> Touring</t>
        </is>
      </c>
      <c r="AI569" s="11" t="inlineStr">
        <is>
          <t xml:space="preserve"> Ultralight Touring</t>
        </is>
      </c>
      <c r="AJ569" s="13" t="n"/>
      <c r="AK569" s="42" t="n"/>
    </row>
    <row r="570">
      <c r="E570" s="40" t="inlineStr">
        <is>
          <t>21/22</t>
        </is>
      </c>
      <c r="F570" s="10" t="inlineStr">
        <is>
          <t xml:space="preserve"> Dynafit</t>
        </is>
      </c>
      <c r="G570" s="11" t="inlineStr">
        <is>
          <t>Beast 108</t>
        </is>
      </c>
      <c r="H570" s="13" t="n">
        <v>173</v>
      </c>
      <c r="I570" s="11" t="inlineStr">
        <is>
          <t xml:space="preserve"> Unisex</t>
        </is>
      </c>
      <c r="J570" s="13" t="n">
        <v>173</v>
      </c>
      <c r="K570" s="13" t="n">
        <v>171.8</v>
      </c>
      <c r="L570" s="13" t="n">
        <v>109</v>
      </c>
      <c r="M570" s="13" t="n">
        <v>137</v>
      </c>
      <c r="N570" s="13" t="n">
        <v>133</v>
      </c>
      <c r="O570" s="13" t="n">
        <v>105</v>
      </c>
      <c r="P570" s="13" t="n">
        <v>123</v>
      </c>
      <c r="Q570" s="13" t="n">
        <v>18.7</v>
      </c>
      <c r="R570" s="13" t="n">
        <v>1538</v>
      </c>
      <c r="S570" s="13" t="n">
        <v>1.28</v>
      </c>
      <c r="T570" s="13" t="n">
        <v>1962</v>
      </c>
      <c r="U570" s="13" t="n">
        <v>211</v>
      </c>
      <c r="V570" s="13" t="n">
        <v>101</v>
      </c>
      <c r="W570" s="13" t="n">
        <v>70</v>
      </c>
      <c r="X570" s="13" t="n">
        <v>443</v>
      </c>
      <c r="Y570" s="13" t="n">
        <v>15</v>
      </c>
      <c r="Z570" s="13" t="n">
        <v>189</v>
      </c>
      <c r="AA570" s="13" t="n">
        <v>0.214</v>
      </c>
      <c r="AB570" s="13" t="n">
        <v>198</v>
      </c>
      <c r="AC570" s="13" t="n">
        <v>150</v>
      </c>
      <c r="AD570" s="13" t="n">
        <v>244</v>
      </c>
      <c r="AE570" s="13" t="n">
        <v>4</v>
      </c>
      <c r="AF570" s="13" t="n">
        <v>8</v>
      </c>
      <c r="AG570" s="11" t="inlineStr">
        <is>
          <t xml:space="preserve"> Resort Freeride</t>
        </is>
      </c>
      <c r="AH570" s="11" t="inlineStr">
        <is>
          <t xml:space="preserve"> Big Mountain</t>
        </is>
      </c>
      <c r="AI570" s="11" t="inlineStr">
        <is>
          <t xml:space="preserve"> Touring</t>
        </is>
      </c>
      <c r="AJ570" s="11" t="inlineStr">
        <is>
          <t xml:space="preserve"> Ultralight Touring</t>
        </is>
      </c>
      <c r="AK570" s="42" t="n"/>
    </row>
    <row r="571">
      <c r="E571" s="40" t="inlineStr">
        <is>
          <t>21/22</t>
        </is>
      </c>
      <c r="F571" s="10" t="inlineStr">
        <is>
          <t xml:space="preserve"> Dynafit</t>
        </is>
      </c>
      <c r="G571" s="11" t="inlineStr">
        <is>
          <t>Beast 98</t>
        </is>
      </c>
      <c r="H571" s="13" t="n">
        <v>170</v>
      </c>
      <c r="I571" s="11" t="inlineStr">
        <is>
          <t xml:space="preserve"> Unisex</t>
        </is>
      </c>
      <c r="J571" s="13" t="n">
        <v>170</v>
      </c>
      <c r="K571" s="13" t="n">
        <v>169</v>
      </c>
      <c r="L571" s="13" t="n">
        <v>108</v>
      </c>
      <c r="M571" s="13" t="n">
        <v>136</v>
      </c>
      <c r="N571" s="13" t="n">
        <v>123</v>
      </c>
      <c r="O571" s="13" t="n">
        <v>95</v>
      </c>
      <c r="P571" s="13" t="n">
        <v>112</v>
      </c>
      <c r="Q571" s="13" t="n">
        <v>17.2</v>
      </c>
      <c r="R571" s="13" t="n">
        <v>1326</v>
      </c>
      <c r="S571" s="13" t="n">
        <v>1.33</v>
      </c>
      <c r="T571" s="13" t="n">
        <v>1760</v>
      </c>
      <c r="U571" s="13" t="n">
        <v>154</v>
      </c>
      <c r="V571" s="13" t="n">
        <v>74</v>
      </c>
      <c r="W571" s="13" t="n">
        <v>62</v>
      </c>
      <c r="X571" s="13" t="n">
        <v>382</v>
      </c>
      <c r="Y571" s="13" t="n">
        <v>14</v>
      </c>
      <c r="Z571" s="13" t="n">
        <v>229</v>
      </c>
      <c r="AA571" s="13" t="n">
        <v>0.233</v>
      </c>
      <c r="AB571" s="13" t="n">
        <v>172</v>
      </c>
      <c r="AC571" s="13" t="n">
        <v>155</v>
      </c>
      <c r="AD571" s="13" t="n">
        <v>210</v>
      </c>
      <c r="AE571" s="13" t="n">
        <v>3</v>
      </c>
      <c r="AF571" s="13" t="n">
        <v>8.6</v>
      </c>
      <c r="AG571" s="11" t="inlineStr">
        <is>
          <t xml:space="preserve"> Touring</t>
        </is>
      </c>
      <c r="AH571" s="11" t="inlineStr">
        <is>
          <t xml:space="preserve"> Ultralight Touring</t>
        </is>
      </c>
      <c r="AI571" s="13" t="n"/>
      <c r="AJ571" s="13" t="n"/>
      <c r="AK571" s="42" t="n"/>
    </row>
    <row r="572">
      <c r="E572" s="40" t="inlineStr">
        <is>
          <t>21/22</t>
        </is>
      </c>
      <c r="F572" s="10" t="inlineStr">
        <is>
          <t xml:space="preserve"> Dynafit</t>
        </is>
      </c>
      <c r="G572" s="11" t="inlineStr">
        <is>
          <t>Beast 98</t>
        </is>
      </c>
      <c r="H572" s="13" t="n">
        <v>177</v>
      </c>
      <c r="I572" s="11" t="inlineStr">
        <is>
          <t xml:space="preserve"> Unisex</t>
        </is>
      </c>
      <c r="J572" s="13" t="n">
        <v>177</v>
      </c>
      <c r="K572" s="13" t="n">
        <v>175.8</v>
      </c>
      <c r="L572" s="13" t="n">
        <v>115</v>
      </c>
      <c r="M572" s="13" t="n">
        <v>142</v>
      </c>
      <c r="N572" s="13" t="n">
        <v>125</v>
      </c>
      <c r="O572" s="13" t="n">
        <v>96</v>
      </c>
      <c r="P572" s="13" t="n">
        <v>115</v>
      </c>
      <c r="Q572" s="13" t="n">
        <v>18.4</v>
      </c>
      <c r="R572" s="13" t="n">
        <v>1525</v>
      </c>
      <c r="S572" s="13" t="n">
        <v>1.22</v>
      </c>
      <c r="T572" s="13" t="n">
        <v>1867</v>
      </c>
      <c r="U572" s="13" t="n">
        <v>187</v>
      </c>
      <c r="V572" s="13" t="n">
        <v>92</v>
      </c>
      <c r="W572" s="13" t="n">
        <v>59</v>
      </c>
      <c r="X572" s="13" t="n">
        <v>442</v>
      </c>
      <c r="Y572" s="13" t="n">
        <v>13</v>
      </c>
      <c r="Z572" s="13" t="n">
        <v>167</v>
      </c>
      <c r="AA572" s="13" t="n">
        <v>0.224</v>
      </c>
      <c r="AB572" s="13" t="n">
        <v>183</v>
      </c>
      <c r="AC572" s="13" t="n">
        <v>151</v>
      </c>
      <c r="AD572" s="13" t="n">
        <v>259</v>
      </c>
      <c r="AE572" s="13" t="n">
        <v>3</v>
      </c>
      <c r="AF572" s="13" t="n">
        <v>8.5</v>
      </c>
      <c r="AG572" s="11" t="inlineStr">
        <is>
          <t xml:space="preserve"> Resort Freeride</t>
        </is>
      </c>
      <c r="AH572" s="11" t="inlineStr">
        <is>
          <t xml:space="preserve"> Touring</t>
        </is>
      </c>
      <c r="AI572" s="13" t="n"/>
      <c r="AJ572" s="13" t="n"/>
      <c r="AK572" s="42" t="n"/>
    </row>
    <row r="573">
      <c r="E573" s="40" t="inlineStr">
        <is>
          <t>21/22</t>
        </is>
      </c>
      <c r="F573" s="10" t="inlineStr">
        <is>
          <t xml:space="preserve"> Dynafit</t>
        </is>
      </c>
      <c r="G573" s="11" t="inlineStr">
        <is>
          <t>Blacklight 80</t>
        </is>
      </c>
      <c r="H573" s="13" t="n">
        <v>165</v>
      </c>
      <c r="I573" s="11" t="inlineStr">
        <is>
          <t xml:space="preserve"> Unisex</t>
        </is>
      </c>
      <c r="J573" s="13" t="n">
        <v>165</v>
      </c>
      <c r="K573" s="13" t="n">
        <v>162.9</v>
      </c>
      <c r="L573" s="13" t="n">
        <v>122</v>
      </c>
      <c r="M573" s="13" t="n">
        <v>140</v>
      </c>
      <c r="N573" s="13" t="n">
        <v>114</v>
      </c>
      <c r="O573" s="13" t="n">
        <v>78</v>
      </c>
      <c r="P573" s="13" t="n">
        <v>98</v>
      </c>
      <c r="Q573" s="13" t="n">
        <v>17.4</v>
      </c>
      <c r="R573" s="13" t="n">
        <v>1053</v>
      </c>
      <c r="S573" s="13" t="n">
        <v>1.37</v>
      </c>
      <c r="T573" s="13" t="n">
        <v>1440</v>
      </c>
      <c r="U573" s="13" t="n">
        <v>218</v>
      </c>
      <c r="V573" s="13" t="n">
        <v>73</v>
      </c>
      <c r="W573" s="13" t="n">
        <v>58</v>
      </c>
      <c r="X573" s="13" t="n">
        <v>258</v>
      </c>
      <c r="Y573" s="13" t="n">
        <v>12</v>
      </c>
      <c r="Z573" s="13" t="n">
        <v>152</v>
      </c>
      <c r="AA573" s="13" t="n">
        <v>0.199</v>
      </c>
      <c r="AB573" s="13" t="n">
        <v>135</v>
      </c>
      <c r="AC573" s="13" t="n">
        <v>91</v>
      </c>
      <c r="AD573" s="13" t="n">
        <v>122</v>
      </c>
      <c r="AE573" s="13" t="n">
        <v>4</v>
      </c>
      <c r="AF573" s="13" t="n">
        <v>12.1</v>
      </c>
      <c r="AG573" s="11" t="inlineStr">
        <is>
          <t xml:space="preserve"> Touring</t>
        </is>
      </c>
      <c r="AH573" s="11" t="inlineStr">
        <is>
          <t xml:space="preserve"> Ultralight Touring</t>
        </is>
      </c>
      <c r="AI573" s="13" t="n"/>
      <c r="AJ573" s="13" t="n"/>
      <c r="AK573" s="42" t="n"/>
    </row>
    <row r="574">
      <c r="E574" s="40" t="inlineStr">
        <is>
          <t>21/22</t>
        </is>
      </c>
      <c r="F574" s="10" t="inlineStr">
        <is>
          <t xml:space="preserve"> Dynafit</t>
        </is>
      </c>
      <c r="G574" s="11" t="inlineStr">
        <is>
          <t>Blacklight 80</t>
        </is>
      </c>
      <c r="H574" s="13" t="n">
        <v>172</v>
      </c>
      <c r="I574" s="11" t="inlineStr">
        <is>
          <t xml:space="preserve"> Unisex</t>
        </is>
      </c>
      <c r="J574" s="13" t="n">
        <v>172</v>
      </c>
      <c r="K574" s="13" t="n">
        <v>169.8</v>
      </c>
      <c r="L574" s="13" t="n">
        <v>132</v>
      </c>
      <c r="M574" s="13" t="n">
        <v>148</v>
      </c>
      <c r="N574" s="13" t="n">
        <v>115</v>
      </c>
      <c r="O574" s="13" t="n">
        <v>79</v>
      </c>
      <c r="P574" s="13" t="n">
        <v>99</v>
      </c>
      <c r="Q574" s="13" t="n">
        <v>19.2</v>
      </c>
      <c r="R574" s="13" t="n">
        <v>1127</v>
      </c>
      <c r="S574" s="13" t="n">
        <v>1.35</v>
      </c>
      <c r="T574" s="13" t="n">
        <v>1520</v>
      </c>
      <c r="U574" s="13" t="n">
        <v>261</v>
      </c>
      <c r="V574" s="13" t="n">
        <v>91</v>
      </c>
      <c r="W574" s="13" t="n">
        <v>53</v>
      </c>
      <c r="X574" s="13" t="n">
        <v>278</v>
      </c>
      <c r="Y574" s="13" t="n">
        <v>9</v>
      </c>
      <c r="Z574" s="13" t="n">
        <v>103</v>
      </c>
      <c r="AA574" s="13" t="n">
        <v>0.166</v>
      </c>
      <c r="AB574" s="13" t="n">
        <v>134</v>
      </c>
      <c r="AC574" s="13" t="n">
        <v>86</v>
      </c>
      <c r="AD574" s="13" t="n">
        <v>144</v>
      </c>
      <c r="AE574" s="13" t="n">
        <v>5</v>
      </c>
      <c r="AF574" s="13" t="n">
        <v>12.6</v>
      </c>
      <c r="AG574" s="11" t="inlineStr">
        <is>
          <t xml:space="preserve"> Touring</t>
        </is>
      </c>
      <c r="AH574" s="11" t="inlineStr">
        <is>
          <t xml:space="preserve"> Ultralight Touring</t>
        </is>
      </c>
      <c r="AI574" s="13" t="n"/>
      <c r="AJ574" s="13" t="n"/>
      <c r="AK574" s="42" t="n"/>
    </row>
    <row r="575">
      <c r="E575" s="40" t="inlineStr">
        <is>
          <t>21/22</t>
        </is>
      </c>
      <c r="F575" s="10" t="inlineStr">
        <is>
          <t xml:space="preserve"> Dynafit</t>
        </is>
      </c>
      <c r="G575" s="11" t="inlineStr">
        <is>
          <t>Blacklight 80</t>
        </is>
      </c>
      <c r="H575" s="13" t="n">
        <v>178</v>
      </c>
      <c r="I575" s="11" t="inlineStr">
        <is>
          <t xml:space="preserve"> Unisex</t>
        </is>
      </c>
      <c r="J575" s="13" t="n">
        <v>178</v>
      </c>
      <c r="K575" s="13" t="n">
        <v>175.8</v>
      </c>
      <c r="L575" s="13" t="n">
        <v>138</v>
      </c>
      <c r="M575" s="13" t="n">
        <v>153</v>
      </c>
      <c r="N575" s="13" t="n">
        <v>116</v>
      </c>
      <c r="O575" s="13" t="n">
        <v>80</v>
      </c>
      <c r="P575" s="13" t="n">
        <v>100</v>
      </c>
      <c r="Q575" s="13" t="n">
        <v>20.6</v>
      </c>
      <c r="R575" s="13" t="n">
        <v>1175</v>
      </c>
      <c r="S575" s="13" t="n">
        <v>1.35</v>
      </c>
      <c r="T575" s="13" t="n">
        <v>1590</v>
      </c>
      <c r="U575" s="13" t="n">
        <v>285</v>
      </c>
      <c r="V575" s="13" t="n">
        <v>102</v>
      </c>
      <c r="W575" s="13" t="n">
        <v>56</v>
      </c>
      <c r="X575" s="13" t="n">
        <v>280</v>
      </c>
      <c r="Y575" s="13" t="n">
        <v>9</v>
      </c>
      <c r="Z575" s="13" t="n">
        <v>95</v>
      </c>
      <c r="AA575" s="13" t="n">
        <v>0.163</v>
      </c>
      <c r="AB575" s="13" t="n">
        <v>136</v>
      </c>
      <c r="AC575" s="13" t="n">
        <v>90</v>
      </c>
      <c r="AD575" s="13" t="n">
        <v>144</v>
      </c>
      <c r="AE575" s="13" t="n">
        <v>5</v>
      </c>
      <c r="AF575" s="13" t="n">
        <v>12.3</v>
      </c>
      <c r="AG575" s="11" t="inlineStr">
        <is>
          <t xml:space="preserve"> Touring</t>
        </is>
      </c>
      <c r="AH575" s="11" t="inlineStr">
        <is>
          <t xml:space="preserve"> Ultralight Touring</t>
        </is>
      </c>
      <c r="AI575" s="13" t="n"/>
      <c r="AJ575" s="13" t="n"/>
      <c r="AK575" s="42" t="n"/>
    </row>
    <row r="576">
      <c r="E576" s="40" t="inlineStr">
        <is>
          <t>21/22</t>
        </is>
      </c>
      <c r="F576" s="10" t="inlineStr">
        <is>
          <t xml:space="preserve"> Dynafit</t>
        </is>
      </c>
      <c r="G576" s="11" t="inlineStr">
        <is>
          <t>Blacklight 88</t>
        </is>
      </c>
      <c r="H576" s="13" t="n">
        <v>158</v>
      </c>
      <c r="I576" s="11" t="inlineStr">
        <is>
          <t xml:space="preserve"> Unisex</t>
        </is>
      </c>
      <c r="J576" s="13" t="n">
        <v>158</v>
      </c>
      <c r="K576" s="13" t="n">
        <v>156</v>
      </c>
      <c r="L576" s="13" t="n">
        <v>110</v>
      </c>
      <c r="M576" s="13" t="n">
        <v>133</v>
      </c>
      <c r="N576" s="13" t="n">
        <v>120</v>
      </c>
      <c r="O576" s="13" t="n">
        <v>85</v>
      </c>
      <c r="P576" s="13" t="n">
        <v>108</v>
      </c>
      <c r="Q576" s="13" t="n">
        <v>14.9</v>
      </c>
      <c r="R576" s="13" t="n">
        <v>1056</v>
      </c>
      <c r="S576" s="13" t="n">
        <v>1.41</v>
      </c>
      <c r="T576" s="13" t="n">
        <v>1491</v>
      </c>
      <c r="U576" s="13" t="n">
        <v>204</v>
      </c>
      <c r="V576" s="13" t="n">
        <v>71</v>
      </c>
      <c r="W576" s="13" t="n">
        <v>54</v>
      </c>
      <c r="X576" s="13" t="n">
        <v>304</v>
      </c>
      <c r="Y576" s="13" t="n">
        <v>11</v>
      </c>
      <c r="Z576" s="13" t="n">
        <v>152</v>
      </c>
      <c r="AA576" s="13" t="n">
        <v>0.197</v>
      </c>
      <c r="AB576" s="13" t="n">
        <v>137</v>
      </c>
      <c r="AC576" s="13" t="n">
        <v>90</v>
      </c>
      <c r="AD576" s="13" t="n">
        <v>168</v>
      </c>
      <c r="AE576" s="13" t="n">
        <v>5</v>
      </c>
      <c r="AF576" s="13" t="n">
        <v>12.3</v>
      </c>
      <c r="AG576" s="11" t="inlineStr">
        <is>
          <t xml:space="preserve"> Touring</t>
        </is>
      </c>
      <c r="AH576" s="11" t="inlineStr">
        <is>
          <t xml:space="preserve"> Ultralight Touring</t>
        </is>
      </c>
      <c r="AI576" s="13" t="n"/>
      <c r="AJ576" s="13" t="n"/>
      <c r="AK576" s="42" t="n"/>
    </row>
    <row r="577">
      <c r="E577" s="40" t="inlineStr">
        <is>
          <t>21/22</t>
        </is>
      </c>
      <c r="F577" s="10" t="inlineStr">
        <is>
          <t xml:space="preserve"> Dynafit</t>
        </is>
      </c>
      <c r="G577" s="11" t="inlineStr">
        <is>
          <t>Blacklight 88</t>
        </is>
      </c>
      <c r="H577" s="13" t="n">
        <v>165</v>
      </c>
      <c r="I577" s="11" t="inlineStr">
        <is>
          <t xml:space="preserve"> Unisex</t>
        </is>
      </c>
      <c r="J577" s="13" t="n">
        <v>165</v>
      </c>
      <c r="K577" s="13" t="n">
        <v>163.1</v>
      </c>
      <c r="L577" s="13" t="n">
        <v>114</v>
      </c>
      <c r="M577" s="13" t="n">
        <v>140</v>
      </c>
      <c r="N577" s="13" t="n">
        <v>121</v>
      </c>
      <c r="O577" s="13" t="n">
        <v>86</v>
      </c>
      <c r="P577" s="13" t="n">
        <v>109</v>
      </c>
      <c r="Q577" s="13" t="n">
        <v>16.6</v>
      </c>
      <c r="R577" s="13" t="n">
        <v>1101</v>
      </c>
      <c r="S577" s="13" t="n">
        <v>1.43</v>
      </c>
      <c r="T577" s="13" t="n">
        <v>1571</v>
      </c>
      <c r="U577" s="13" t="n">
        <v>228</v>
      </c>
      <c r="V577" s="13" t="n">
        <v>77</v>
      </c>
      <c r="W577" s="13" t="n">
        <v>54</v>
      </c>
      <c r="X577" s="13" t="n">
        <v>318</v>
      </c>
      <c r="Y577" s="13" t="n">
        <v>12</v>
      </c>
      <c r="Z577" s="13" t="n">
        <v>168</v>
      </c>
      <c r="AA577" s="13" t="n">
        <v>0.225</v>
      </c>
      <c r="AB577" s="13" t="n">
        <v>140</v>
      </c>
      <c r="AC577" s="13" t="n">
        <v>93</v>
      </c>
      <c r="AD577" s="13" t="n">
        <v>179</v>
      </c>
      <c r="AE577" s="13" t="n">
        <v>5</v>
      </c>
      <c r="AF577" s="13" t="n">
        <v>12.4</v>
      </c>
      <c r="AG577" s="11" t="inlineStr">
        <is>
          <t xml:space="preserve"> Touring</t>
        </is>
      </c>
      <c r="AH577" s="11" t="inlineStr">
        <is>
          <t xml:space="preserve"> Ultralight Touring</t>
        </is>
      </c>
      <c r="AI577" s="13" t="n"/>
      <c r="AJ577" s="13" t="n"/>
      <c r="AK577" s="42" t="n"/>
    </row>
    <row r="578">
      <c r="E578" s="40" t="inlineStr">
        <is>
          <t>21/22</t>
        </is>
      </c>
      <c r="F578" s="10" t="inlineStr">
        <is>
          <t xml:space="preserve"> Dynafit</t>
        </is>
      </c>
      <c r="G578" s="11" t="inlineStr">
        <is>
          <t>Blacklight 88</t>
        </is>
      </c>
      <c r="H578" s="13" t="n">
        <v>172</v>
      </c>
      <c r="I578" s="11" t="inlineStr">
        <is>
          <t xml:space="preserve"> Unisex</t>
        </is>
      </c>
      <c r="J578" s="13" t="n">
        <v>172</v>
      </c>
      <c r="K578" s="13" t="n">
        <v>169.7</v>
      </c>
      <c r="L578" s="13" t="n">
        <v>117</v>
      </c>
      <c r="M578" s="13" t="n">
        <v>146</v>
      </c>
      <c r="N578" s="13" t="n">
        <v>122</v>
      </c>
      <c r="O578" s="13" t="n">
        <v>87</v>
      </c>
      <c r="P578" s="13" t="n">
        <v>110</v>
      </c>
      <c r="Q578" s="13" t="n">
        <v>18.1</v>
      </c>
      <c r="R578" s="13" t="n">
        <v>1186</v>
      </c>
      <c r="S578" s="13" t="n">
        <v>1.39</v>
      </c>
      <c r="T578" s="13" t="n">
        <v>1652</v>
      </c>
      <c r="U578" s="13" t="n">
        <v>256</v>
      </c>
      <c r="V578" s="13" t="n">
        <v>87</v>
      </c>
      <c r="W578" s="13" t="n">
        <v>60</v>
      </c>
      <c r="X578" s="13" t="n">
        <v>348</v>
      </c>
      <c r="Y578" s="13" t="n">
        <v>10</v>
      </c>
      <c r="Z578" s="13" t="n">
        <v>179</v>
      </c>
      <c r="AA578" s="13" t="n">
        <v>0.165</v>
      </c>
      <c r="AB578" s="13" t="n">
        <v>136</v>
      </c>
      <c r="AC578" s="13" t="n">
        <v>104</v>
      </c>
      <c r="AD578" s="13" t="n">
        <v>213</v>
      </c>
      <c r="AE578" s="13" t="n">
        <v>4</v>
      </c>
      <c r="AF578" s="13" t="n">
        <v>12.6</v>
      </c>
      <c r="AG578" s="11" t="inlineStr">
        <is>
          <t xml:space="preserve"> Touring</t>
        </is>
      </c>
      <c r="AH578" s="11" t="inlineStr">
        <is>
          <t xml:space="preserve"> Ultralight Touring</t>
        </is>
      </c>
      <c r="AI578" s="13" t="n"/>
      <c r="AJ578" s="13" t="n"/>
      <c r="AK578" s="42" t="n"/>
    </row>
    <row r="579">
      <c r="E579" s="40" t="inlineStr">
        <is>
          <t>21/22</t>
        </is>
      </c>
      <c r="F579" s="10" t="inlineStr">
        <is>
          <t xml:space="preserve"> Dynafit</t>
        </is>
      </c>
      <c r="G579" s="11" t="inlineStr">
        <is>
          <t>Blacklight 88</t>
        </is>
      </c>
      <c r="H579" s="13" t="n">
        <v>178</v>
      </c>
      <c r="I579" s="11" t="inlineStr">
        <is>
          <t xml:space="preserve"> Unisex</t>
        </is>
      </c>
      <c r="J579" s="13" t="n">
        <v>178</v>
      </c>
      <c r="K579" s="13" t="n">
        <v>175.9</v>
      </c>
      <c r="L579" s="13" t="n">
        <v>123</v>
      </c>
      <c r="M579" s="13" t="n">
        <v>153</v>
      </c>
      <c r="N579" s="13" t="n">
        <v>123</v>
      </c>
      <c r="O579" s="13" t="n">
        <v>88</v>
      </c>
      <c r="P579" s="13" t="n">
        <v>111</v>
      </c>
      <c r="Q579" s="13" t="n">
        <v>19.8</v>
      </c>
      <c r="R579" s="13" t="n">
        <v>1263</v>
      </c>
      <c r="S579" s="13" t="n">
        <v>1.37</v>
      </c>
      <c r="T579" s="13" t="n">
        <v>1727</v>
      </c>
      <c r="U579" s="13" t="n">
        <v>312</v>
      </c>
      <c r="V579" s="13" t="n">
        <v>103</v>
      </c>
      <c r="W579" s="13" t="n">
        <v>54</v>
      </c>
      <c r="X579" s="13" t="n">
        <v>364</v>
      </c>
      <c r="Y579" s="13" t="n">
        <v>10</v>
      </c>
      <c r="Z579" s="13" t="n">
        <v>167</v>
      </c>
      <c r="AA579" s="13" t="n">
        <v>0.18</v>
      </c>
      <c r="AB579" s="13" t="n">
        <v>138</v>
      </c>
      <c r="AC579" s="13" t="n">
        <v>96</v>
      </c>
      <c r="AD579" s="13" t="n">
        <v>226</v>
      </c>
      <c r="AE579" s="13" t="n">
        <v>2</v>
      </c>
      <c r="AF579" s="13" t="n">
        <v>12.4</v>
      </c>
      <c r="AG579" s="11" t="inlineStr">
        <is>
          <t xml:space="preserve"> Touring</t>
        </is>
      </c>
      <c r="AH579" s="11" t="inlineStr">
        <is>
          <t xml:space="preserve"> Ultralight Touring</t>
        </is>
      </c>
      <c r="AI579" s="13" t="n"/>
      <c r="AJ579" s="13" t="n"/>
      <c r="AK579" s="42" t="n"/>
    </row>
    <row r="580">
      <c r="E580" s="40" t="inlineStr">
        <is>
          <t>21/22</t>
        </is>
      </c>
      <c r="F580" s="10" t="inlineStr">
        <is>
          <t xml:space="preserve"> Dynafit</t>
        </is>
      </c>
      <c r="G580" s="11" t="inlineStr">
        <is>
          <t>Blacklight 88 W</t>
        </is>
      </c>
      <c r="H580" s="13" t="n">
        <v>151</v>
      </c>
      <c r="I580" s="11" t="inlineStr">
        <is>
          <t xml:space="preserve"> Women's</t>
        </is>
      </c>
      <c r="J580" s="13" t="n">
        <v>151</v>
      </c>
      <c r="K580" s="13" t="n">
        <v>149.2</v>
      </c>
      <c r="L580" s="13" t="n">
        <v>114</v>
      </c>
      <c r="M580" s="13" t="n">
        <v>126</v>
      </c>
      <c r="N580" s="13" t="n">
        <v>119</v>
      </c>
      <c r="O580" s="13" t="n">
        <v>84</v>
      </c>
      <c r="P580" s="13" t="n">
        <v>107</v>
      </c>
      <c r="Q580" s="13" t="n">
        <v>13.3</v>
      </c>
      <c r="R580" s="13" t="n">
        <v>962</v>
      </c>
      <c r="S580" s="13" t="n">
        <v>1.47</v>
      </c>
      <c r="T580" s="13" t="n">
        <v>1410</v>
      </c>
      <c r="U580" s="13" t="n">
        <v>153</v>
      </c>
      <c r="V580" s="13" t="n">
        <v>55</v>
      </c>
      <c r="W580" s="13" t="n">
        <v>50</v>
      </c>
      <c r="X580" s="13" t="n">
        <v>213</v>
      </c>
      <c r="Y580" s="13" t="n">
        <v>11</v>
      </c>
      <c r="Z580" s="13" t="n">
        <v>144</v>
      </c>
      <c r="AA580" s="13" t="n">
        <v>0.216</v>
      </c>
      <c r="AB580" s="13" t="n">
        <v>140</v>
      </c>
      <c r="AC580" s="13" t="n">
        <v>89</v>
      </c>
      <c r="AD580" s="13" t="n">
        <v>73</v>
      </c>
      <c r="AE580" s="13" t="n">
        <v>4</v>
      </c>
      <c r="AF580" s="13" t="n">
        <v>12.4</v>
      </c>
      <c r="AG580" s="11" t="inlineStr">
        <is>
          <t xml:space="preserve"> Touring</t>
        </is>
      </c>
      <c r="AH580" s="11" t="inlineStr">
        <is>
          <t xml:space="preserve"> Ultralight Touring</t>
        </is>
      </c>
      <c r="AI580" s="13" t="n"/>
      <c r="AJ580" s="13" t="n"/>
      <c r="AK580" s="42" t="n"/>
    </row>
    <row r="581">
      <c r="E581" s="40" t="inlineStr">
        <is>
          <t>21/22</t>
        </is>
      </c>
      <c r="F581" s="10" t="inlineStr">
        <is>
          <t xml:space="preserve"> Dynafit</t>
        </is>
      </c>
      <c r="G581" s="11" t="inlineStr">
        <is>
          <t>Blacklight 88 W</t>
        </is>
      </c>
      <c r="H581" s="13" t="n">
        <v>158</v>
      </c>
      <c r="I581" s="11" t="inlineStr">
        <is>
          <t xml:space="preserve"> Women's</t>
        </is>
      </c>
      <c r="J581" s="13" t="n">
        <v>158</v>
      </c>
      <c r="K581" s="13" t="n">
        <v>156.2</v>
      </c>
      <c r="L581" s="13" t="n">
        <v>109</v>
      </c>
      <c r="M581" s="13" t="n">
        <v>134</v>
      </c>
      <c r="N581" s="13" t="n">
        <v>121</v>
      </c>
      <c r="O581" s="13" t="n">
        <v>85</v>
      </c>
      <c r="P581" s="13" t="n">
        <v>108</v>
      </c>
      <c r="Q581" s="13" t="n">
        <v>14.9</v>
      </c>
      <c r="R581" s="13" t="n">
        <v>1055</v>
      </c>
      <c r="S581" s="13" t="n">
        <v>1.41</v>
      </c>
      <c r="T581" s="13" t="n">
        <v>1491</v>
      </c>
      <c r="U581" s="13" t="n">
        <v>196</v>
      </c>
      <c r="V581" s="13" t="n">
        <v>68</v>
      </c>
      <c r="W581" s="13" t="n">
        <v>52</v>
      </c>
      <c r="X581" s="13" t="n">
        <v>312</v>
      </c>
      <c r="Y581" s="13" t="n">
        <v>12</v>
      </c>
      <c r="Z581" s="13" t="n">
        <v>162</v>
      </c>
      <c r="AA581" s="13" t="n">
        <v>0.228</v>
      </c>
      <c r="AB581" s="13" t="n">
        <v>136</v>
      </c>
      <c r="AC581" s="13" t="n">
        <v>90</v>
      </c>
      <c r="AD581" s="13" t="n">
        <v>176</v>
      </c>
      <c r="AE581" s="13" t="n">
        <v>4</v>
      </c>
      <c r="AF581" s="13" t="n">
        <v>12.6</v>
      </c>
      <c r="AG581" s="11" t="inlineStr">
        <is>
          <t xml:space="preserve"> Touring</t>
        </is>
      </c>
      <c r="AH581" s="11" t="inlineStr">
        <is>
          <t xml:space="preserve"> Ultralight Touring</t>
        </is>
      </c>
      <c r="AI581" s="13" t="n"/>
      <c r="AJ581" s="13" t="n"/>
      <c r="AK581" s="42" t="n"/>
    </row>
    <row r="582">
      <c r="E582" s="40" t="inlineStr">
        <is>
          <t>21/22</t>
        </is>
      </c>
      <c r="F582" s="10" t="inlineStr">
        <is>
          <t xml:space="preserve"> Dynafit</t>
        </is>
      </c>
      <c r="G582" s="11" t="inlineStr">
        <is>
          <t>Blacklight 95</t>
        </is>
      </c>
      <c r="H582" s="13" t="n">
        <v>172</v>
      </c>
      <c r="I582" s="11" t="inlineStr">
        <is>
          <t xml:space="preserve"> Unisex</t>
        </is>
      </c>
      <c r="J582" s="13" t="n">
        <v>172</v>
      </c>
      <c r="K582" s="13" t="n">
        <v>170.2</v>
      </c>
      <c r="L582" s="13" t="n">
        <v>127</v>
      </c>
      <c r="M582" s="13" t="n">
        <v>146</v>
      </c>
      <c r="N582" s="13" t="n">
        <v>126</v>
      </c>
      <c r="O582" s="13" t="n">
        <v>94</v>
      </c>
      <c r="P582" s="13" t="n">
        <v>113</v>
      </c>
      <c r="Q582" s="13" t="n">
        <v>20</v>
      </c>
      <c r="R582" s="13" t="n">
        <v>1202</v>
      </c>
      <c r="S582" s="13" t="n">
        <v>1.45</v>
      </c>
      <c r="T582" s="13" t="n">
        <v>1748</v>
      </c>
      <c r="U582" s="13" t="n">
        <v>235</v>
      </c>
      <c r="V582" s="13" t="n">
        <v>95</v>
      </c>
      <c r="W582" s="13" t="n">
        <v>48</v>
      </c>
      <c r="X582" s="13" t="n">
        <v>268</v>
      </c>
      <c r="Y582" s="13" t="n">
        <v>11</v>
      </c>
      <c r="Z582" s="13" t="n">
        <v>159</v>
      </c>
      <c r="AA582" s="13" t="n">
        <v>0.234</v>
      </c>
      <c r="AB582" s="13" t="n">
        <v>137</v>
      </c>
      <c r="AC582" s="13" t="n">
        <v>100</v>
      </c>
      <c r="AD582" s="13" t="n">
        <v>131</v>
      </c>
      <c r="AE582" s="13" t="n">
        <v>4</v>
      </c>
      <c r="AF582" s="13" t="n">
        <v>12.6</v>
      </c>
      <c r="AG582" s="11" t="inlineStr">
        <is>
          <t xml:space="preserve"> Touring</t>
        </is>
      </c>
      <c r="AH582" s="11" t="inlineStr">
        <is>
          <t xml:space="preserve"> Ultralight Touring</t>
        </is>
      </c>
      <c r="AI582" s="13" t="n"/>
      <c r="AJ582" s="13" t="n"/>
      <c r="AK582" s="42" t="n"/>
    </row>
    <row r="583">
      <c r="E583" s="40" t="inlineStr">
        <is>
          <t>21/22</t>
        </is>
      </c>
      <c r="F583" s="10" t="inlineStr">
        <is>
          <t xml:space="preserve"> Dynafit</t>
        </is>
      </c>
      <c r="G583" s="11" t="inlineStr">
        <is>
          <t>Blacklight 95</t>
        </is>
      </c>
      <c r="H583" s="13" t="n">
        <v>178</v>
      </c>
      <c r="I583" s="11" t="inlineStr">
        <is>
          <t xml:space="preserve"> Unisex</t>
        </is>
      </c>
      <c r="J583" s="13" t="n">
        <v>178</v>
      </c>
      <c r="K583" s="13" t="n">
        <v>175.9</v>
      </c>
      <c r="L583" s="13" t="n">
        <v>125</v>
      </c>
      <c r="M583" s="13" t="n">
        <v>152</v>
      </c>
      <c r="N583" s="13" t="n">
        <v>127</v>
      </c>
      <c r="O583" s="13" t="n">
        <v>95</v>
      </c>
      <c r="P583" s="13" t="n">
        <v>115</v>
      </c>
      <c r="Q583" s="13" t="n">
        <v>22.1</v>
      </c>
      <c r="R583" s="13" t="n">
        <v>1278</v>
      </c>
      <c r="S583" s="13" t="n">
        <v>1.43</v>
      </c>
      <c r="T583" s="13" t="n">
        <v>1825</v>
      </c>
      <c r="U583" s="13" t="n">
        <v>276</v>
      </c>
      <c r="V583" s="13" t="n">
        <v>94</v>
      </c>
      <c r="W583" s="13" t="n">
        <v>50</v>
      </c>
      <c r="X583" s="13" t="n">
        <v>326</v>
      </c>
      <c r="Y583" s="13" t="n">
        <v>12</v>
      </c>
      <c r="Z583" s="13" t="n">
        <v>179</v>
      </c>
      <c r="AA583" s="13" t="n">
        <v>0.235</v>
      </c>
      <c r="AB583" s="13" t="n">
        <v>143</v>
      </c>
      <c r="AC583" s="13" t="n">
        <v>95</v>
      </c>
      <c r="AD583" s="13" t="n">
        <v>183</v>
      </c>
      <c r="AE583" s="13" t="n">
        <v>4</v>
      </c>
      <c r="AF583" s="13" t="n">
        <v>12.3</v>
      </c>
      <c r="AG583" s="11" t="inlineStr">
        <is>
          <t xml:space="preserve"> Touring</t>
        </is>
      </c>
      <c r="AH583" s="11" t="inlineStr">
        <is>
          <t xml:space="preserve"> Ultralight Touring</t>
        </is>
      </c>
      <c r="AI583" s="13" t="n"/>
      <c r="AJ583" s="13" t="n"/>
      <c r="AK583" s="42" t="n"/>
    </row>
    <row r="584">
      <c r="E584" s="40" t="inlineStr">
        <is>
          <t>21/22</t>
        </is>
      </c>
      <c r="F584" s="10" t="inlineStr">
        <is>
          <t xml:space="preserve"> Dynafit</t>
        </is>
      </c>
      <c r="G584" s="11" t="inlineStr">
        <is>
          <t>Blacklight 95</t>
        </is>
      </c>
      <c r="H584" s="13" t="n">
        <v>184</v>
      </c>
      <c r="I584" s="11" t="inlineStr">
        <is>
          <t xml:space="preserve"> Unisex</t>
        </is>
      </c>
      <c r="J584" s="13" t="n">
        <v>184</v>
      </c>
      <c r="K584" s="13" t="n">
        <v>182</v>
      </c>
      <c r="L584" s="13" t="n">
        <v>145</v>
      </c>
      <c r="M584" s="13" t="n">
        <v>158</v>
      </c>
      <c r="N584" s="13" t="n">
        <v>128</v>
      </c>
      <c r="O584" s="13" t="n">
        <v>96</v>
      </c>
      <c r="P584" s="13" t="n">
        <v>116</v>
      </c>
      <c r="Q584" s="13" t="n">
        <v>23.7</v>
      </c>
      <c r="R584" s="13" t="n">
        <v>1367</v>
      </c>
      <c r="S584" s="13" t="n">
        <v>1.39</v>
      </c>
      <c r="T584" s="13" t="n">
        <v>1903</v>
      </c>
      <c r="U584" s="13" t="n">
        <v>292</v>
      </c>
      <c r="V584" s="13" t="n">
        <v>103</v>
      </c>
      <c r="W584" s="13" t="n">
        <v>51</v>
      </c>
      <c r="X584" s="13" t="n">
        <v>277</v>
      </c>
      <c r="Y584" s="13" t="n">
        <v>8</v>
      </c>
      <c r="Z584" s="13" t="n">
        <v>97</v>
      </c>
      <c r="AA584" s="13" t="n">
        <v>0.157</v>
      </c>
      <c r="AB584" s="13" t="n">
        <v>146</v>
      </c>
      <c r="AC584" s="13" t="n">
        <v>99</v>
      </c>
      <c r="AD584" s="13" t="n">
        <v>131</v>
      </c>
      <c r="AE584" s="13" t="n">
        <v>6</v>
      </c>
      <c r="AF584" s="13" t="n">
        <v>12.4</v>
      </c>
      <c r="AG584" s="11" t="inlineStr">
        <is>
          <t xml:space="preserve"> Touring</t>
        </is>
      </c>
      <c r="AH584" s="11" t="inlineStr">
        <is>
          <t xml:space="preserve"> Ultralight Touring</t>
        </is>
      </c>
      <c r="AI584" s="13" t="n"/>
      <c r="AJ584" s="13" t="n"/>
      <c r="AK584" s="42" t="n"/>
    </row>
    <row r="585">
      <c r="E585" s="40" t="inlineStr">
        <is>
          <t>21/22</t>
        </is>
      </c>
      <c r="F585" s="10" t="inlineStr">
        <is>
          <t xml:space="preserve"> Dynafit</t>
        </is>
      </c>
      <c r="G585" s="11" t="inlineStr">
        <is>
          <t xml:space="preserve"> Seven Summits</t>
        </is>
      </c>
      <c r="H585" s="13" t="n">
        <v>166</v>
      </c>
      <c r="I585" s="11" t="inlineStr">
        <is>
          <t xml:space="preserve"> Unisex</t>
        </is>
      </c>
      <c r="J585" s="13" t="n">
        <v>166</v>
      </c>
      <c r="K585" s="13" t="n">
        <v>165.4</v>
      </c>
      <c r="L585" s="13" t="n">
        <v>132</v>
      </c>
      <c r="M585" s="13" t="n">
        <v>139</v>
      </c>
      <c r="N585" s="13" t="n">
        <v>113</v>
      </c>
      <c r="O585" s="13" t="n">
        <v>83</v>
      </c>
      <c r="P585" s="13" t="n">
        <v>103</v>
      </c>
      <c r="Q585" s="13" t="n">
        <v>18.2</v>
      </c>
      <c r="R585" s="13" t="n">
        <v>1911</v>
      </c>
      <c r="S585" s="13" t="n">
        <v>0.8100000000000001</v>
      </c>
      <c r="T585" s="13" t="n">
        <v>1544</v>
      </c>
      <c r="U585" s="13" t="n">
        <v>176</v>
      </c>
      <c r="V585" s="13" t="n">
        <v>72</v>
      </c>
      <c r="W585" s="13" t="n">
        <v>47</v>
      </c>
      <c r="X585" s="13" t="n">
        <v>247</v>
      </c>
      <c r="Y585" s="13" t="n">
        <v>7</v>
      </c>
      <c r="Z585" s="13" t="n">
        <v>84</v>
      </c>
      <c r="AA585" s="13" t="n">
        <v>0.149</v>
      </c>
      <c r="AB585" s="13" t="n">
        <v>185</v>
      </c>
      <c r="AC585" s="13" t="n">
        <v>79</v>
      </c>
      <c r="AD585" s="13" t="n">
        <v>62</v>
      </c>
      <c r="AE585" s="13" t="n">
        <v>6</v>
      </c>
      <c r="AF585" s="13" t="n">
        <v>11.8</v>
      </c>
      <c r="AG585" s="11" t="inlineStr">
        <is>
          <t xml:space="preserve"> On-Piste Carving</t>
        </is>
      </c>
      <c r="AH585" s="11" t="inlineStr">
        <is>
          <t xml:space="preserve"> On-Piste All-Mountain</t>
        </is>
      </c>
      <c r="AI585" s="11" t="inlineStr">
        <is>
          <t xml:space="preserve"> Resort Freeride</t>
        </is>
      </c>
      <c r="AJ585" s="13" t="n"/>
      <c r="AK585" s="42" t="n"/>
    </row>
    <row r="586">
      <c r="E586" s="40" t="inlineStr">
        <is>
          <t>21/22</t>
        </is>
      </c>
      <c r="F586" s="10" t="inlineStr">
        <is>
          <t xml:space="preserve"> Dynafit</t>
        </is>
      </c>
      <c r="G586" s="11" t="inlineStr">
        <is>
          <t xml:space="preserve"> Seven Summits</t>
        </is>
      </c>
      <c r="H586" s="13" t="n">
        <v>174</v>
      </c>
      <c r="I586" s="11" t="inlineStr">
        <is>
          <t xml:space="preserve"> Unisex</t>
        </is>
      </c>
      <c r="J586" s="13" t="n">
        <v>174</v>
      </c>
      <c r="K586" s="13" t="n">
        <v>173.4</v>
      </c>
      <c r="L586" s="13" t="n">
        <v>138</v>
      </c>
      <c r="M586" s="13" t="n">
        <v>146</v>
      </c>
      <c r="N586" s="13" t="n">
        <v>115</v>
      </c>
      <c r="O586" s="13" t="n">
        <v>84</v>
      </c>
      <c r="P586" s="13" t="n">
        <v>104</v>
      </c>
      <c r="Q586" s="13" t="n">
        <v>19.8</v>
      </c>
      <c r="R586" s="13" t="n">
        <v>1961</v>
      </c>
      <c r="S586" s="13" t="n">
        <v>0.84</v>
      </c>
      <c r="T586" s="13" t="n">
        <v>1638</v>
      </c>
      <c r="U586" s="13" t="n">
        <v>211</v>
      </c>
      <c r="V586" s="13" t="n">
        <v>82</v>
      </c>
      <c r="W586" s="13" t="n">
        <v>50</v>
      </c>
      <c r="X586" s="13" t="n">
        <v>261</v>
      </c>
      <c r="Y586" s="13" t="n">
        <v>8</v>
      </c>
      <c r="Z586" s="13" t="n">
        <v>93</v>
      </c>
      <c r="AA586" s="13" t="n">
        <v>0.165</v>
      </c>
      <c r="AB586" s="13" t="n">
        <v>196</v>
      </c>
      <c r="AC586" s="13" t="n">
        <v>83</v>
      </c>
      <c r="AD586" s="13" t="n">
        <v>65</v>
      </c>
      <c r="AE586" s="13" t="n">
        <v>5</v>
      </c>
      <c r="AF586" s="13" t="n">
        <v>11.8</v>
      </c>
      <c r="AG586" s="11" t="inlineStr">
        <is>
          <t xml:space="preserve"> On-Piste Carving</t>
        </is>
      </c>
      <c r="AH586" s="11" t="inlineStr">
        <is>
          <t xml:space="preserve"> On-Piste All-Mountain</t>
        </is>
      </c>
      <c r="AI586" s="11" t="inlineStr">
        <is>
          <t xml:space="preserve"> Resort Freeride</t>
        </is>
      </c>
      <c r="AJ586" s="13" t="n"/>
      <c r="AK586" s="42" t="n"/>
    </row>
    <row r="587">
      <c r="E587" s="40" t="inlineStr">
        <is>
          <t>21/22</t>
        </is>
      </c>
      <c r="F587" s="10" t="inlineStr">
        <is>
          <t xml:space="preserve"> Dynastar</t>
        </is>
      </c>
      <c r="G587" s="11" t="inlineStr">
        <is>
          <t>E Lite 7</t>
        </is>
      </c>
      <c r="H587" s="13" t="n">
        <v>162</v>
      </c>
      <c r="I587" s="11" t="inlineStr">
        <is>
          <t xml:space="preserve"> Women's</t>
        </is>
      </c>
      <c r="J587" s="13" t="n">
        <v>162</v>
      </c>
      <c r="K587" s="13" t="n">
        <v>162.2</v>
      </c>
      <c r="L587" s="13" t="n">
        <v>141</v>
      </c>
      <c r="M587" s="13" t="n">
        <v>148</v>
      </c>
      <c r="N587" s="13" t="n">
        <v>123</v>
      </c>
      <c r="O587" s="13" t="n">
        <v>74</v>
      </c>
      <c r="P587" s="13" t="n">
        <v>109</v>
      </c>
      <c r="Q587" s="13" t="n">
        <v>13</v>
      </c>
      <c r="R587" s="13" t="n">
        <v>1591</v>
      </c>
      <c r="S587" s="13" t="n">
        <v>0.91</v>
      </c>
      <c r="T587" s="13" t="n">
        <v>1445</v>
      </c>
      <c r="U587" s="13" t="n">
        <v>170</v>
      </c>
      <c r="V587" s="13" t="n">
        <v>62</v>
      </c>
      <c r="W587" s="13" t="n">
        <v>43</v>
      </c>
      <c r="X587" s="13" t="n">
        <v>153</v>
      </c>
      <c r="Y587" s="13" t="n">
        <v>4</v>
      </c>
      <c r="Z587" s="13" t="n">
        <v>54</v>
      </c>
      <c r="AA587" s="13" t="n">
        <v>0.102</v>
      </c>
      <c r="AB587" s="13" t="n">
        <v>80</v>
      </c>
      <c r="AC587" s="13" t="n">
        <v>59</v>
      </c>
      <c r="AD587" s="13" t="n">
        <v>73</v>
      </c>
      <c r="AE587" s="13" t="n">
        <v>12</v>
      </c>
      <c r="AF587" s="13" t="n">
        <v>10.1</v>
      </c>
      <c r="AG587" s="11" t="inlineStr">
        <is>
          <t xml:space="preserve"> On-Piste Carving</t>
        </is>
      </c>
      <c r="AH587" s="13" t="n"/>
      <c r="AI587" s="13" t="n"/>
      <c r="AJ587" s="13" t="n"/>
      <c r="AK587" s="42" t="n"/>
    </row>
    <row r="588">
      <c r="E588" s="40" t="inlineStr">
        <is>
          <t>21/22</t>
        </is>
      </c>
      <c r="F588" s="10" t="inlineStr">
        <is>
          <t xml:space="preserve"> Dynastar</t>
        </is>
      </c>
      <c r="G588" s="11" t="inlineStr">
        <is>
          <t>M-Free 108</t>
        </is>
      </c>
      <c r="H588" s="13" t="n">
        <v>172</v>
      </c>
      <c r="I588" s="11" t="inlineStr">
        <is>
          <t xml:space="preserve"> Unisex</t>
        </is>
      </c>
      <c r="J588" s="13" t="n">
        <v>172</v>
      </c>
      <c r="K588" s="13" t="n">
        <v>170</v>
      </c>
      <c r="L588" s="13" t="n">
        <v>107</v>
      </c>
      <c r="M588" s="13" t="n">
        <v>133</v>
      </c>
      <c r="N588" s="13" t="n">
        <v>137</v>
      </c>
      <c r="O588" s="13" t="n">
        <v>107</v>
      </c>
      <c r="P588" s="13" t="n">
        <v>127</v>
      </c>
      <c r="Q588" s="13" t="n">
        <v>15.1</v>
      </c>
      <c r="R588" s="13" t="n">
        <v>1972</v>
      </c>
      <c r="S588" s="13" t="n">
        <v>1.01</v>
      </c>
      <c r="T588" s="13" t="n">
        <v>1986</v>
      </c>
      <c r="U588" s="13" t="n">
        <v>197</v>
      </c>
      <c r="V588" s="13" t="n">
        <v>95</v>
      </c>
      <c r="W588" s="13" t="n">
        <v>57</v>
      </c>
      <c r="X588" s="13" t="n">
        <v>334</v>
      </c>
      <c r="Y588" s="13" t="n">
        <v>40</v>
      </c>
      <c r="Z588" s="13" t="n">
        <v>300</v>
      </c>
      <c r="AA588" s="13" t="n">
        <v>0.699</v>
      </c>
      <c r="AB588" s="13" t="n">
        <v>198</v>
      </c>
      <c r="AC588" s="13" t="n">
        <v>172</v>
      </c>
      <c r="AD588" s="13" t="n">
        <v>135</v>
      </c>
      <c r="AE588" s="13" t="n">
        <v>7</v>
      </c>
      <c r="AF588" s="13" t="n">
        <v>7.4</v>
      </c>
      <c r="AG588" s="11" t="inlineStr">
        <is>
          <t xml:space="preserve"> Powder</t>
        </is>
      </c>
      <c r="AH588" s="13" t="n"/>
      <c r="AI588" s="13" t="n"/>
      <c r="AJ588" s="13" t="n"/>
      <c r="AK588" s="42" t="n"/>
    </row>
    <row r="589">
      <c r="E589" s="40" t="inlineStr">
        <is>
          <t>21/22</t>
        </is>
      </c>
      <c r="F589" s="10" t="inlineStr">
        <is>
          <t xml:space="preserve"> Dynastar</t>
        </is>
      </c>
      <c r="G589" s="11" t="inlineStr">
        <is>
          <t>M-Free 108</t>
        </is>
      </c>
      <c r="H589" s="13" t="n">
        <v>182</v>
      </c>
      <c r="I589" s="11" t="inlineStr">
        <is>
          <t xml:space="preserve"> Unisex</t>
        </is>
      </c>
      <c r="J589" s="13" t="n">
        <v>182</v>
      </c>
      <c r="K589" s="13" t="n">
        <v>181.7</v>
      </c>
      <c r="L589" s="13" t="n">
        <v>116</v>
      </c>
      <c r="M589" s="13" t="n">
        <v>145</v>
      </c>
      <c r="N589" s="13" t="n">
        <v>136</v>
      </c>
      <c r="O589" s="13" t="n">
        <v>107</v>
      </c>
      <c r="P589" s="13" t="n">
        <v>127</v>
      </c>
      <c r="Q589" s="13" t="n">
        <v>18.3</v>
      </c>
      <c r="R589" s="13" t="n">
        <v>2192</v>
      </c>
      <c r="S589" s="13" t="n">
        <v>0.97</v>
      </c>
      <c r="T589" s="13" t="n">
        <v>2122</v>
      </c>
      <c r="U589" s="13" t="n">
        <v>260</v>
      </c>
      <c r="V589" s="13" t="n">
        <v>117</v>
      </c>
      <c r="W589" s="13" t="n">
        <v>58</v>
      </c>
      <c r="X589" s="13" t="n">
        <v>316</v>
      </c>
      <c r="Y589" s="13" t="n">
        <v>41</v>
      </c>
      <c r="Z589" s="13" t="n">
        <v>340</v>
      </c>
      <c r="AA589" s="13" t="n">
        <v>0.716</v>
      </c>
      <c r="AB589" s="13" t="n">
        <v>189</v>
      </c>
      <c r="AC589" s="13" t="n">
        <v>180</v>
      </c>
      <c r="AD589" s="13" t="n">
        <v>127</v>
      </c>
      <c r="AE589" s="13" t="n">
        <v>7</v>
      </c>
      <c r="AF589" s="13" t="n">
        <v>8.4</v>
      </c>
      <c r="AG589" s="11" t="inlineStr">
        <is>
          <t xml:space="preserve"> Powder</t>
        </is>
      </c>
      <c r="AH589" s="13" t="n"/>
      <c r="AI589" s="13" t="n"/>
      <c r="AJ589" s="13" t="n"/>
      <c r="AK589" s="42" t="n"/>
    </row>
    <row r="590">
      <c r="E590" s="40" t="inlineStr">
        <is>
          <t>21/22</t>
        </is>
      </c>
      <c r="F590" s="10" t="inlineStr">
        <is>
          <t xml:space="preserve"> Dynastar</t>
        </is>
      </c>
      <c r="G590" s="11" t="inlineStr">
        <is>
          <t>M-Free 108</t>
        </is>
      </c>
      <c r="H590" s="13" t="n">
        <v>192</v>
      </c>
      <c r="I590" s="11" t="inlineStr">
        <is>
          <t xml:space="preserve"> Unisex</t>
        </is>
      </c>
      <c r="J590" s="13" t="n">
        <v>192</v>
      </c>
      <c r="K590" s="13" t="n">
        <v>191.8</v>
      </c>
      <c r="L590" s="13" t="n">
        <v>123</v>
      </c>
      <c r="M590" s="13" t="n">
        <v>152</v>
      </c>
      <c r="N590" s="13" t="n">
        <v>137</v>
      </c>
      <c r="O590" s="13" t="n">
        <v>107</v>
      </c>
      <c r="P590" s="13" t="n">
        <v>127</v>
      </c>
      <c r="Q590" s="13" t="n">
        <v>20.5</v>
      </c>
      <c r="R590" s="13" t="n">
        <v>2330</v>
      </c>
      <c r="S590" s="13" t="n">
        <v>0.96</v>
      </c>
      <c r="T590" s="13" t="n">
        <v>2226</v>
      </c>
      <c r="U590" s="13" t="n">
        <v>282</v>
      </c>
      <c r="V590" s="13" t="n">
        <v>151</v>
      </c>
      <c r="W590" s="13" t="n">
        <v>67</v>
      </c>
      <c r="X590" s="13" t="n">
        <v>362</v>
      </c>
      <c r="Y590" s="13" t="n">
        <v>43</v>
      </c>
      <c r="Z590" s="13" t="n">
        <v>329</v>
      </c>
      <c r="AA590" s="13" t="n">
        <v>0.645</v>
      </c>
      <c r="AB590" s="13" t="n">
        <v>216</v>
      </c>
      <c r="AC590" s="13" t="n">
        <v>181</v>
      </c>
      <c r="AD590" s="13" t="n">
        <v>145</v>
      </c>
      <c r="AE590" s="13" t="n">
        <v>10</v>
      </c>
      <c r="AF590" s="13" t="n">
        <v>8.699999999999999</v>
      </c>
      <c r="AG590" s="11" t="inlineStr">
        <is>
          <t xml:space="preserve"> Powder</t>
        </is>
      </c>
      <c r="AH590" s="13" t="n"/>
      <c r="AI590" s="13" t="n"/>
      <c r="AJ590" s="13" t="n"/>
      <c r="AK590" s="42" t="n"/>
    </row>
    <row r="591">
      <c r="E591" s="40" t="inlineStr">
        <is>
          <t>21/22</t>
        </is>
      </c>
      <c r="F591" s="10" t="inlineStr">
        <is>
          <t xml:space="preserve"> Dynastar</t>
        </is>
      </c>
      <c r="G591" s="11" t="inlineStr">
        <is>
          <t>M-Free 118</t>
        </is>
      </c>
      <c r="H591" s="13" t="n">
        <v>180</v>
      </c>
      <c r="I591" s="11" t="inlineStr">
        <is>
          <t xml:space="preserve"> Unisex</t>
        </is>
      </c>
      <c r="J591" s="13" t="n">
        <v>180</v>
      </c>
      <c r="K591" s="13" t="n">
        <v>179.3</v>
      </c>
      <c r="L591" s="13" t="n">
        <v>117</v>
      </c>
      <c r="M591" s="13" t="n">
        <v>135</v>
      </c>
      <c r="N591" s="13" t="n">
        <v>144</v>
      </c>
      <c r="O591" s="13" t="n">
        <v>117</v>
      </c>
      <c r="P591" s="13" t="n">
        <v>134</v>
      </c>
      <c r="Q591" s="13" t="n">
        <v>18.4</v>
      </c>
      <c r="R591" s="13" t="n">
        <v>2269</v>
      </c>
      <c r="S591" s="13" t="n">
        <v>0.99</v>
      </c>
      <c r="T591" s="13" t="n">
        <v>2240</v>
      </c>
      <c r="U591" s="13" t="n">
        <v>226</v>
      </c>
      <c r="V591" s="13" t="n">
        <v>101</v>
      </c>
      <c r="W591" s="13" t="n">
        <v>56</v>
      </c>
      <c r="X591" s="13" t="n">
        <v>338</v>
      </c>
      <c r="Y591" s="13" t="n">
        <v>32</v>
      </c>
      <c r="Z591" s="13" t="n">
        <v>287</v>
      </c>
      <c r="AA591" s="13" t="n">
        <v>0.577</v>
      </c>
      <c r="AB591" s="13" t="n">
        <v>264</v>
      </c>
      <c r="AC591" s="13" t="n">
        <v>182</v>
      </c>
      <c r="AD591" s="13" t="n">
        <v>74</v>
      </c>
      <c r="AE591" s="13" t="n">
        <v>8</v>
      </c>
      <c r="AF591" s="13" t="n">
        <v>9.4</v>
      </c>
      <c r="AG591" s="11" t="inlineStr">
        <is>
          <t xml:space="preserve"> Powder</t>
        </is>
      </c>
      <c r="AH591" s="13" t="n"/>
      <c r="AI591" s="13" t="n"/>
      <c r="AJ591" s="13" t="n"/>
      <c r="AK591" s="42" t="n"/>
    </row>
    <row r="592">
      <c r="E592" s="40" t="inlineStr">
        <is>
          <t>21/22</t>
        </is>
      </c>
      <c r="F592" s="10" t="inlineStr">
        <is>
          <t xml:space="preserve"> Dynastar</t>
        </is>
      </c>
      <c r="G592" s="11" t="inlineStr">
        <is>
          <t>M-Free 118</t>
        </is>
      </c>
      <c r="H592" s="13" t="n">
        <v>189</v>
      </c>
      <c r="I592" s="11" t="inlineStr">
        <is>
          <t xml:space="preserve"> Unisex</t>
        </is>
      </c>
      <c r="J592" s="13" t="n">
        <v>189</v>
      </c>
      <c r="K592" s="13" t="n">
        <v>186.9</v>
      </c>
      <c r="L592" s="13" t="n">
        <v>125</v>
      </c>
      <c r="M592" s="13" t="n">
        <v>141</v>
      </c>
      <c r="N592" s="13" t="n">
        <v>144</v>
      </c>
      <c r="O592" s="13" t="n">
        <v>117</v>
      </c>
      <c r="P592" s="13" t="n">
        <v>134</v>
      </c>
      <c r="Q592" s="13" t="n">
        <v>20.9</v>
      </c>
      <c r="R592" s="13" t="n">
        <v>2472</v>
      </c>
      <c r="S592" s="13" t="n">
        <v>0.9399999999999999</v>
      </c>
      <c r="T592" s="13" t="n">
        <v>2327</v>
      </c>
      <c r="U592" s="13" t="n">
        <v>237</v>
      </c>
      <c r="V592" s="13" t="n">
        <v>122</v>
      </c>
      <c r="W592" s="13" t="n">
        <v>61</v>
      </c>
      <c r="X592" s="13" t="n">
        <v>352</v>
      </c>
      <c r="Y592" s="13" t="n">
        <v>30</v>
      </c>
      <c r="Z592" s="13" t="n">
        <v>268</v>
      </c>
      <c r="AA592" s="13" t="n">
        <v>0.488</v>
      </c>
      <c r="AB592" s="13" t="n">
        <v>271</v>
      </c>
      <c r="AC592" s="13" t="n">
        <v>189</v>
      </c>
      <c r="AD592" s="13" t="n">
        <v>82</v>
      </c>
      <c r="AE592" s="13" t="n">
        <v>10</v>
      </c>
      <c r="AF592" s="13" t="n">
        <v>9.9</v>
      </c>
      <c r="AG592" s="11" t="inlineStr">
        <is>
          <t xml:space="preserve"> Powder</t>
        </is>
      </c>
      <c r="AH592" s="13" t="n"/>
      <c r="AI592" s="13" t="n"/>
      <c r="AJ592" s="13" t="n"/>
      <c r="AK592" s="42" t="n"/>
    </row>
    <row r="593">
      <c r="E593" s="40" t="inlineStr">
        <is>
          <t>21/22</t>
        </is>
      </c>
      <c r="F593" s="10" t="inlineStr">
        <is>
          <t xml:space="preserve"> Dynastar</t>
        </is>
      </c>
      <c r="G593" s="11" t="inlineStr">
        <is>
          <t>M-Free 99</t>
        </is>
      </c>
      <c r="H593" s="13" t="n">
        <v>171</v>
      </c>
      <c r="I593" s="11" t="inlineStr">
        <is>
          <t xml:space="preserve"> Unisex</t>
        </is>
      </c>
      <c r="J593" s="13" t="n">
        <v>171</v>
      </c>
      <c r="K593" s="13" t="n">
        <v>170</v>
      </c>
      <c r="L593" s="13" t="n">
        <v>102</v>
      </c>
      <c r="M593" s="13" t="n">
        <v>136</v>
      </c>
      <c r="N593" s="13" t="n">
        <v>127</v>
      </c>
      <c r="O593" s="13" t="n">
        <v>96</v>
      </c>
      <c r="P593" s="13" t="n">
        <v>119</v>
      </c>
      <c r="Q593" s="13" t="n">
        <v>14.8</v>
      </c>
      <c r="R593" s="13" t="n">
        <v>1768</v>
      </c>
      <c r="S593" s="13" t="n">
        <v>1.03</v>
      </c>
      <c r="T593" s="13" t="n">
        <v>1829</v>
      </c>
      <c r="U593" s="13" t="n">
        <v>181</v>
      </c>
      <c r="V593" s="13" t="n">
        <v>91</v>
      </c>
      <c r="W593" s="13" t="n">
        <v>57</v>
      </c>
      <c r="X593" s="13" t="n">
        <v>342</v>
      </c>
      <c r="Y593" s="13" t="n">
        <v>44</v>
      </c>
      <c r="Z593" s="13" t="n">
        <v>339</v>
      </c>
      <c r="AA593" s="13" t="n">
        <v>0.764</v>
      </c>
      <c r="AB593" s="13" t="n">
        <v>199</v>
      </c>
      <c r="AC593" s="13" t="n">
        <v>144</v>
      </c>
      <c r="AD593" s="13" t="n">
        <v>143</v>
      </c>
      <c r="AE593" s="13" t="n">
        <v>6</v>
      </c>
      <c r="AF593" s="13" t="n">
        <v>7.3</v>
      </c>
      <c r="AG593" s="11" t="inlineStr">
        <is>
          <t xml:space="preserve"> Resort Freeride</t>
        </is>
      </c>
      <c r="AH593" s="13" t="n"/>
      <c r="AI593" s="13" t="n"/>
      <c r="AJ593" s="13" t="n"/>
      <c r="AK593" s="42" t="n"/>
    </row>
    <row r="594">
      <c r="E594" s="40" t="inlineStr">
        <is>
          <t>21/22</t>
        </is>
      </c>
      <c r="F594" s="10" t="inlineStr">
        <is>
          <t xml:space="preserve"> Dynastar</t>
        </is>
      </c>
      <c r="G594" s="11" t="inlineStr">
        <is>
          <t>M-Free 99</t>
        </is>
      </c>
      <c r="H594" s="13" t="n">
        <v>179</v>
      </c>
      <c r="I594" s="11" t="inlineStr">
        <is>
          <t xml:space="preserve"> Unisex</t>
        </is>
      </c>
      <c r="J594" s="13" t="n">
        <v>179</v>
      </c>
      <c r="K594" s="13" t="n">
        <v>177.9</v>
      </c>
      <c r="L594" s="13" t="n">
        <v>110</v>
      </c>
      <c r="M594" s="13" t="n">
        <v>143</v>
      </c>
      <c r="N594" s="13" t="n">
        <v>127</v>
      </c>
      <c r="O594" s="13" t="n">
        <v>97</v>
      </c>
      <c r="P594" s="13" t="n">
        <v>119</v>
      </c>
      <c r="Q594" s="13" t="n">
        <v>16.7</v>
      </c>
      <c r="R594" s="13" t="n">
        <v>1935</v>
      </c>
      <c r="S594" s="13" t="n">
        <v>0.99</v>
      </c>
      <c r="T594" s="13" t="n">
        <v>1914</v>
      </c>
      <c r="U594" s="13" t="n">
        <v>228</v>
      </c>
      <c r="V594" s="13" t="n">
        <v>106</v>
      </c>
      <c r="W594" s="13" t="n">
        <v>54</v>
      </c>
      <c r="X594" s="13" t="n">
        <v>335</v>
      </c>
      <c r="Y594" s="13" t="n">
        <v>46</v>
      </c>
      <c r="Z594" s="13" t="n">
        <v>343</v>
      </c>
      <c r="AA594" s="13" t="n">
        <v>0.852</v>
      </c>
      <c r="AB594" s="13" t="n">
        <v>198</v>
      </c>
      <c r="AC594" s="13" t="n">
        <v>155</v>
      </c>
      <c r="AD594" s="13" t="n">
        <v>137</v>
      </c>
      <c r="AE594" s="13" t="n">
        <v>7</v>
      </c>
      <c r="AF594" s="13" t="n">
        <v>8</v>
      </c>
      <c r="AG594" s="11" t="inlineStr">
        <is>
          <t xml:space="preserve"> Resort Freeride</t>
        </is>
      </c>
      <c r="AH594" s="11" t="inlineStr">
        <is>
          <t xml:space="preserve"> Freeski</t>
        </is>
      </c>
      <c r="AI594" s="13" t="n"/>
      <c r="AJ594" s="13" t="n"/>
      <c r="AK594" s="42" t="n"/>
    </row>
    <row r="595">
      <c r="E595" s="40" t="inlineStr">
        <is>
          <t>21/22</t>
        </is>
      </c>
      <c r="F595" s="10" t="inlineStr">
        <is>
          <t xml:space="preserve"> Dynastar</t>
        </is>
      </c>
      <c r="G595" s="11" t="inlineStr">
        <is>
          <t>M-Free 99</t>
        </is>
      </c>
      <c r="H595" s="13" t="n">
        <v>185</v>
      </c>
      <c r="I595" s="11" t="inlineStr">
        <is>
          <t xml:space="preserve"> Unisex</t>
        </is>
      </c>
      <c r="J595" s="13" t="n">
        <v>185</v>
      </c>
      <c r="K595" s="13" t="n">
        <v>184.2</v>
      </c>
      <c r="L595" s="13" t="n">
        <v>112</v>
      </c>
      <c r="M595" s="13" t="n">
        <v>149</v>
      </c>
      <c r="N595" s="13" t="n">
        <v>127</v>
      </c>
      <c r="O595" s="13" t="n">
        <v>96</v>
      </c>
      <c r="P595" s="13" t="n">
        <v>119</v>
      </c>
      <c r="Q595" s="13" t="n">
        <v>17.9</v>
      </c>
      <c r="R595" s="13" t="n">
        <v>1999</v>
      </c>
      <c r="S595" s="13" t="n">
        <v>0.98</v>
      </c>
      <c r="T595" s="13" t="n">
        <v>1968</v>
      </c>
      <c r="U595" s="13" t="n">
        <v>242</v>
      </c>
      <c r="V595" s="13" t="n">
        <v>114</v>
      </c>
      <c r="W595" s="13" t="n">
        <v>59</v>
      </c>
      <c r="X595" s="13" t="n">
        <v>341</v>
      </c>
      <c r="Y595" s="13" t="n">
        <v>60</v>
      </c>
      <c r="Z595" s="13" t="n">
        <v>382</v>
      </c>
      <c r="AA595" s="13" t="n">
        <v>1.028</v>
      </c>
      <c r="AB595" s="13" t="n">
        <v>184</v>
      </c>
      <c r="AC595" s="13" t="n">
        <v>170</v>
      </c>
      <c r="AD595" s="13" t="n">
        <v>157</v>
      </c>
      <c r="AE595" s="13" t="n">
        <v>7</v>
      </c>
      <c r="AF595" s="13" t="n">
        <v>6.5</v>
      </c>
      <c r="AG595" s="11" t="inlineStr">
        <is>
          <t xml:space="preserve"> Freeski</t>
        </is>
      </c>
      <c r="AH595" s="13" t="n"/>
      <c r="AI595" s="13" t="n"/>
      <c r="AJ595" s="13" t="n"/>
      <c r="AK595" s="42" t="n"/>
    </row>
    <row r="596">
      <c r="E596" s="40" t="inlineStr">
        <is>
          <t>21/22</t>
        </is>
      </c>
      <c r="F596" s="10" t="inlineStr">
        <is>
          <t xml:space="preserve"> Dynastar</t>
        </is>
      </c>
      <c r="G596" s="11" t="inlineStr">
        <is>
          <t>M-Menace 90</t>
        </is>
      </c>
      <c r="H596" s="13" t="n">
        <v>140</v>
      </c>
      <c r="I596" s="11" t="inlineStr">
        <is>
          <t xml:space="preserve"> Unisex</t>
        </is>
      </c>
      <c r="J596" s="13" t="n">
        <v>140</v>
      </c>
      <c r="K596" s="13" t="n">
        <v>138.6</v>
      </c>
      <c r="L596" s="13" t="n">
        <v>90</v>
      </c>
      <c r="M596" s="13" t="n">
        <v>115</v>
      </c>
      <c r="N596" s="13" t="n">
        <v>117</v>
      </c>
      <c r="O596" s="13" t="n">
        <v>89</v>
      </c>
      <c r="P596" s="13" t="n">
        <v>107</v>
      </c>
      <c r="Q596" s="13" t="n">
        <v>13.4</v>
      </c>
      <c r="R596" s="13" t="n">
        <v>1412</v>
      </c>
      <c r="S596" s="13" t="n">
        <v>0.96</v>
      </c>
      <c r="T596" s="13" t="n">
        <v>1359</v>
      </c>
      <c r="U596" s="13" t="n">
        <v>153</v>
      </c>
      <c r="V596" s="13" t="n">
        <v>67</v>
      </c>
      <c r="W596" s="13" t="n">
        <v>49</v>
      </c>
      <c r="X596" s="13" t="n">
        <v>259</v>
      </c>
      <c r="Y596" s="13" t="n">
        <v>33</v>
      </c>
      <c r="Z596" s="13" t="n">
        <v>223</v>
      </c>
      <c r="AA596" s="13" t="n">
        <v>0.67</v>
      </c>
      <c r="AB596" s="13" t="n">
        <v>114</v>
      </c>
      <c r="AC596" s="13" t="n">
        <v>124</v>
      </c>
      <c r="AD596" s="13" t="n">
        <v>145</v>
      </c>
      <c r="AE596" s="13" t="n">
        <v>5</v>
      </c>
      <c r="AF596" s="13" t="n">
        <v>6.8</v>
      </c>
      <c r="AG596" s="11" t="inlineStr">
        <is>
          <t xml:space="preserve"> Resort Freeride</t>
        </is>
      </c>
      <c r="AH596" s="13" t="n"/>
      <c r="AI596" s="13" t="n"/>
      <c r="AJ596" s="13" t="n"/>
      <c r="AK596" s="42" t="n"/>
    </row>
    <row r="597">
      <c r="E597" s="40" t="inlineStr">
        <is>
          <t>21/22</t>
        </is>
      </c>
      <c r="F597" s="10" t="inlineStr">
        <is>
          <t xml:space="preserve"> Dynastar</t>
        </is>
      </c>
      <c r="G597" s="11" t="inlineStr">
        <is>
          <t>M-Menace 90</t>
        </is>
      </c>
      <c r="H597" s="13" t="n">
        <v>150</v>
      </c>
      <c r="I597" s="11" t="inlineStr">
        <is>
          <t xml:space="preserve"> Unisex</t>
        </is>
      </c>
      <c r="J597" s="13" t="n">
        <v>150</v>
      </c>
      <c r="K597" s="13" t="n">
        <v>148.5</v>
      </c>
      <c r="L597" s="13" t="n">
        <v>100</v>
      </c>
      <c r="M597" s="13" t="n">
        <v>123</v>
      </c>
      <c r="N597" s="13" t="n">
        <v>118</v>
      </c>
      <c r="O597" s="13" t="n">
        <v>89</v>
      </c>
      <c r="P597" s="13" t="n">
        <v>107</v>
      </c>
      <c r="Q597" s="13" t="n">
        <v>17</v>
      </c>
      <c r="R597" s="13" t="n">
        <v>1464</v>
      </c>
      <c r="S597" s="13" t="n">
        <v>0.99</v>
      </c>
      <c r="T597" s="13" t="n">
        <v>1453</v>
      </c>
      <c r="U597" s="13" t="n">
        <v>149</v>
      </c>
      <c r="V597" s="13" t="n">
        <v>60</v>
      </c>
      <c r="W597" s="13" t="n">
        <v>50</v>
      </c>
      <c r="X597" s="13" t="n">
        <v>258</v>
      </c>
      <c r="Y597" s="13" t="n">
        <v>31</v>
      </c>
      <c r="Z597" s="13" t="n">
        <v>227</v>
      </c>
      <c r="AA597" s="13" t="n">
        <v>0.63</v>
      </c>
      <c r="AB597" s="13" t="n">
        <v>126</v>
      </c>
      <c r="AC597" s="13" t="n">
        <v>132</v>
      </c>
      <c r="AD597" s="13" t="n">
        <v>132</v>
      </c>
      <c r="AE597" s="13" t="n">
        <v>5</v>
      </c>
      <c r="AF597" s="13" t="n">
        <v>6.8</v>
      </c>
      <c r="AG597" s="11" t="inlineStr">
        <is>
          <t xml:space="preserve"> Resort Freeride</t>
        </is>
      </c>
      <c r="AH597" s="13" t="n"/>
      <c r="AI597" s="13" t="n"/>
      <c r="AJ597" s="13" t="n"/>
      <c r="AK597" s="42" t="n"/>
    </row>
    <row r="598">
      <c r="E598" s="40" t="inlineStr">
        <is>
          <t>21/22</t>
        </is>
      </c>
      <c r="F598" s="10" t="inlineStr">
        <is>
          <t xml:space="preserve"> Dynastar</t>
        </is>
      </c>
      <c r="G598" s="11" t="inlineStr">
        <is>
          <t>M-Menace 90</t>
        </is>
      </c>
      <c r="H598" s="13" t="n">
        <v>160</v>
      </c>
      <c r="I598" s="11" t="inlineStr">
        <is>
          <t xml:space="preserve"> Unisex</t>
        </is>
      </c>
      <c r="J598" s="13" t="n">
        <v>160</v>
      </c>
      <c r="K598" s="13" t="n">
        <v>158.5</v>
      </c>
      <c r="L598" s="13" t="n">
        <v>112</v>
      </c>
      <c r="M598" s="13" t="n">
        <v>134</v>
      </c>
      <c r="N598" s="13" t="n">
        <v>117</v>
      </c>
      <c r="O598" s="13" t="n">
        <v>89</v>
      </c>
      <c r="P598" s="13" t="n">
        <v>107</v>
      </c>
      <c r="Q598" s="13" t="n">
        <v>20.5</v>
      </c>
      <c r="R598" s="13" t="n">
        <v>1535</v>
      </c>
      <c r="S598" s="13" t="n">
        <v>1.01</v>
      </c>
      <c r="T598" s="13" t="n">
        <v>1545</v>
      </c>
      <c r="U598" s="13" t="n">
        <v>157</v>
      </c>
      <c r="V598" s="13" t="n">
        <v>59</v>
      </c>
      <c r="W598" s="13" t="n">
        <v>48</v>
      </c>
      <c r="X598" s="13" t="n">
        <v>257</v>
      </c>
      <c r="Y598" s="13" t="n">
        <v>29</v>
      </c>
      <c r="Z598" s="13" t="n">
        <v>212</v>
      </c>
      <c r="AA598" s="13" t="n">
        <v>0.601</v>
      </c>
      <c r="AB598" s="13" t="n">
        <v>117</v>
      </c>
      <c r="AC598" s="13" t="n">
        <v>126</v>
      </c>
      <c r="AD598" s="13" t="n">
        <v>140</v>
      </c>
      <c r="AE598" s="13" t="n">
        <v>5</v>
      </c>
      <c r="AF598" s="13" t="n">
        <v>7.2</v>
      </c>
      <c r="AG598" s="11" t="inlineStr">
        <is>
          <t xml:space="preserve"> Resort Freeride</t>
        </is>
      </c>
      <c r="AH598" s="13" t="n"/>
      <c r="AI598" s="13" t="n"/>
      <c r="AJ598" s="13" t="n"/>
      <c r="AK598" s="42" t="n"/>
    </row>
    <row r="599">
      <c r="E599" s="40" t="inlineStr">
        <is>
          <t>21/22</t>
        </is>
      </c>
      <c r="F599" s="10" t="inlineStr">
        <is>
          <t xml:space="preserve"> Dynastar</t>
        </is>
      </c>
      <c r="G599" s="11" t="inlineStr">
        <is>
          <t>M-Menace 90</t>
        </is>
      </c>
      <c r="H599" s="13" t="n">
        <v>170</v>
      </c>
      <c r="I599" s="11" t="inlineStr">
        <is>
          <t xml:space="preserve"> Unisex</t>
        </is>
      </c>
      <c r="J599" s="13" t="n">
        <v>170</v>
      </c>
      <c r="K599" s="13" t="n">
        <v>168.5</v>
      </c>
      <c r="L599" s="13" t="n">
        <v>121</v>
      </c>
      <c r="M599" s="13" t="n">
        <v>142</v>
      </c>
      <c r="N599" s="13" t="n">
        <v>118</v>
      </c>
      <c r="O599" s="13" t="n">
        <v>91</v>
      </c>
      <c r="P599" s="13" t="n">
        <v>108</v>
      </c>
      <c r="Q599" s="13" t="n">
        <v>22.3</v>
      </c>
      <c r="R599" s="13" t="n">
        <v>1662</v>
      </c>
      <c r="S599" s="13" t="n">
        <v>1.01</v>
      </c>
      <c r="T599" s="13" t="n">
        <v>1679</v>
      </c>
      <c r="U599" s="13" t="n">
        <v>187</v>
      </c>
      <c r="V599" s="13" t="n">
        <v>74</v>
      </c>
      <c r="W599" s="13" t="n">
        <v>50</v>
      </c>
      <c r="X599" s="13" t="n">
        <v>249</v>
      </c>
      <c r="Y599" s="13" t="n">
        <v>32</v>
      </c>
      <c r="Z599" s="13" t="n">
        <v>223</v>
      </c>
      <c r="AA599" s="13" t="n">
        <v>0.638</v>
      </c>
      <c r="AB599" s="13" t="n">
        <v>132</v>
      </c>
      <c r="AC599" s="13" t="n">
        <v>134</v>
      </c>
      <c r="AD599" s="13" t="n">
        <v>118</v>
      </c>
      <c r="AE599" s="13" t="n">
        <v>8</v>
      </c>
      <c r="AF599" s="13" t="n">
        <v>7.4</v>
      </c>
      <c r="AG599" s="11" t="inlineStr">
        <is>
          <t xml:space="preserve"> Resort Freeride</t>
        </is>
      </c>
      <c r="AH599" s="13" t="n"/>
      <c r="AI599" s="13" t="n"/>
      <c r="AJ599" s="13" t="n"/>
      <c r="AK599" s="42" t="n"/>
    </row>
    <row r="600">
      <c r="E600" s="40" t="inlineStr">
        <is>
          <t>21/22</t>
        </is>
      </c>
      <c r="F600" s="10" t="inlineStr">
        <is>
          <t xml:space="preserve"> Dynastar</t>
        </is>
      </c>
      <c r="G600" s="11" t="inlineStr">
        <is>
          <t>M-Pro 84</t>
        </is>
      </c>
      <c r="H600" s="13" t="n">
        <v>170</v>
      </c>
      <c r="I600" s="11" t="inlineStr">
        <is>
          <t xml:space="preserve"> Unisex</t>
        </is>
      </c>
      <c r="J600" s="13" t="n">
        <v>170</v>
      </c>
      <c r="K600" s="13" t="n">
        <v>171.1</v>
      </c>
      <c r="L600" s="13" t="n">
        <v>139</v>
      </c>
      <c r="M600" s="13" t="n">
        <v>140</v>
      </c>
      <c r="N600" s="13" t="n">
        <v>121</v>
      </c>
      <c r="O600" s="13" t="n">
        <v>82</v>
      </c>
      <c r="P600" s="13" t="n">
        <v>103</v>
      </c>
      <c r="Q600" s="13" t="n">
        <v>15.6</v>
      </c>
      <c r="R600" s="13" t="n">
        <v>1610</v>
      </c>
      <c r="S600" s="13" t="n">
        <v>1</v>
      </c>
      <c r="T600" s="13" t="n">
        <v>1615</v>
      </c>
      <c r="U600" s="13" t="n">
        <v>186</v>
      </c>
      <c r="V600" s="13" t="n">
        <v>84</v>
      </c>
      <c r="W600" s="13" t="n">
        <v>41</v>
      </c>
      <c r="X600" s="13" t="n">
        <v>260</v>
      </c>
      <c r="Y600" s="13" t="n">
        <v>5</v>
      </c>
      <c r="Z600" s="13" t="n">
        <v>59</v>
      </c>
      <c r="AA600" s="13" t="n">
        <v>0.115</v>
      </c>
      <c r="AB600" s="13" t="n">
        <v>164</v>
      </c>
      <c r="AC600" s="13" t="n">
        <v>148</v>
      </c>
      <c r="AD600" s="13" t="n">
        <v>96</v>
      </c>
      <c r="AE600" s="13" t="n">
        <v>11</v>
      </c>
      <c r="AF600" s="13" t="n">
        <v>6.2</v>
      </c>
      <c r="AG600" s="11" t="inlineStr">
        <is>
          <t xml:space="preserve"> On-Piste All-Mountain</t>
        </is>
      </c>
      <c r="AH600" s="11" t="inlineStr">
        <is>
          <t xml:space="preserve"> Resort Freeride</t>
        </is>
      </c>
      <c r="AI600" s="13" t="n"/>
      <c r="AJ600" s="13" t="n"/>
      <c r="AK600" s="42" t="n"/>
    </row>
    <row r="601">
      <c r="E601" s="40" t="inlineStr">
        <is>
          <t>21/22</t>
        </is>
      </c>
      <c r="F601" s="10" t="inlineStr">
        <is>
          <t xml:space="preserve"> Dynastar</t>
        </is>
      </c>
      <c r="G601" s="11" t="inlineStr">
        <is>
          <t>M-Pro 84</t>
        </is>
      </c>
      <c r="H601" s="13" t="n">
        <v>177</v>
      </c>
      <c r="I601" s="11" t="inlineStr">
        <is>
          <t xml:space="preserve"> Unisex</t>
        </is>
      </c>
      <c r="J601" s="13" t="n">
        <v>177</v>
      </c>
      <c r="K601" s="13" t="n">
        <v>177</v>
      </c>
      <c r="L601" s="13" t="n">
        <v>146</v>
      </c>
      <c r="M601" s="13" t="n">
        <v>143</v>
      </c>
      <c r="N601" s="13" t="n">
        <v>120</v>
      </c>
      <c r="O601" s="13" t="n">
        <v>82</v>
      </c>
      <c r="P601" s="13" t="n">
        <v>105</v>
      </c>
      <c r="Q601" s="13" t="n">
        <v>16.4</v>
      </c>
      <c r="R601" s="13" t="n">
        <v>1760</v>
      </c>
      <c r="S601" s="13" t="n">
        <v>0.95</v>
      </c>
      <c r="T601" s="13" t="n">
        <v>1670</v>
      </c>
      <c r="U601" s="13" t="n">
        <v>223</v>
      </c>
      <c r="V601" s="13" t="n">
        <v>99</v>
      </c>
      <c r="W601" s="13" t="n">
        <v>40</v>
      </c>
      <c r="X601" s="13" t="n">
        <v>252</v>
      </c>
      <c r="Y601" s="13" t="n">
        <v>5</v>
      </c>
      <c r="Z601" s="13" t="n">
        <v>63</v>
      </c>
      <c r="AA601" s="13" t="n">
        <v>0.137</v>
      </c>
      <c r="AB601" s="13" t="n">
        <v>167</v>
      </c>
      <c r="AC601" s="13" t="n">
        <v>175</v>
      </c>
      <c r="AD601" s="13" t="n">
        <v>85</v>
      </c>
      <c r="AE601" s="13" t="n">
        <v>9</v>
      </c>
      <c r="AF601" s="13" t="n">
        <v>6.6</v>
      </c>
      <c r="AG601" s="11" t="inlineStr">
        <is>
          <t xml:space="preserve"> On-Piste Carving</t>
        </is>
      </c>
      <c r="AH601" s="11" t="inlineStr">
        <is>
          <t xml:space="preserve"> On-Piste All-Mountain</t>
        </is>
      </c>
      <c r="AI601" s="11" t="inlineStr">
        <is>
          <t xml:space="preserve"> Resort Freeride</t>
        </is>
      </c>
      <c r="AJ601" s="13" t="n"/>
      <c r="AK601" s="42" t="n"/>
    </row>
    <row r="602">
      <c r="E602" s="40" t="inlineStr">
        <is>
          <t>21/22</t>
        </is>
      </c>
      <c r="F602" s="10" t="inlineStr">
        <is>
          <t xml:space="preserve"> Dynastar</t>
        </is>
      </c>
      <c r="G602" s="11" t="inlineStr">
        <is>
          <t>M-Pro 84</t>
        </is>
      </c>
      <c r="H602" s="13" t="n">
        <v>184</v>
      </c>
      <c r="I602" s="11" t="inlineStr">
        <is>
          <t xml:space="preserve"> Unisex</t>
        </is>
      </c>
      <c r="J602" s="13" t="n">
        <v>184</v>
      </c>
      <c r="K602" s="13" t="n">
        <v>184.4</v>
      </c>
      <c r="L602" s="13" t="n">
        <v>153</v>
      </c>
      <c r="M602" s="13" t="n">
        <v>152</v>
      </c>
      <c r="N602" s="13" t="n">
        <v>121</v>
      </c>
      <c r="O602" s="13" t="n">
        <v>82</v>
      </c>
      <c r="P602" s="13" t="n">
        <v>104</v>
      </c>
      <c r="Q602" s="13" t="n">
        <v>18.6</v>
      </c>
      <c r="R602" s="13" t="n">
        <v>1884</v>
      </c>
      <c r="S602" s="13" t="n">
        <v>0.92</v>
      </c>
      <c r="T602" s="13" t="n">
        <v>1740</v>
      </c>
      <c r="U602" s="13" t="n">
        <v>239</v>
      </c>
      <c r="V602" s="13" t="n">
        <v>113</v>
      </c>
      <c r="W602" s="13" t="n">
        <v>39</v>
      </c>
      <c r="X602" s="13" t="n">
        <v>249</v>
      </c>
      <c r="Y602" s="13" t="n">
        <v>6</v>
      </c>
      <c r="Z602" s="13" t="n">
        <v>65</v>
      </c>
      <c r="AA602" s="13" t="n">
        <v>0.145</v>
      </c>
      <c r="AB602" s="13" t="n">
        <v>164</v>
      </c>
      <c r="AC602" s="13" t="n">
        <v>162</v>
      </c>
      <c r="AD602" s="13" t="n">
        <v>85</v>
      </c>
      <c r="AE602" s="13" t="n">
        <v>10</v>
      </c>
      <c r="AF602" s="13" t="n">
        <v>6.9</v>
      </c>
      <c r="AG602" s="11" t="inlineStr">
        <is>
          <t xml:space="preserve"> On-Piste Carving</t>
        </is>
      </c>
      <c r="AH602" s="11" t="inlineStr">
        <is>
          <t xml:space="preserve"> On-Piste All-Mountain</t>
        </is>
      </c>
      <c r="AI602" s="11" t="inlineStr">
        <is>
          <t xml:space="preserve"> Resort Freeride</t>
        </is>
      </c>
      <c r="AJ602" s="13" t="n"/>
      <c r="AK602" s="42" t="n"/>
    </row>
    <row r="603">
      <c r="E603" s="40" t="inlineStr">
        <is>
          <t>21/22</t>
        </is>
      </c>
      <c r="F603" s="10" t="inlineStr">
        <is>
          <t xml:space="preserve"> Dynastar</t>
        </is>
      </c>
      <c r="G603" s="11" t="inlineStr">
        <is>
          <t>M-Pro 84 W</t>
        </is>
      </c>
      <c r="H603" s="13" t="n">
        <v>149</v>
      </c>
      <c r="I603" s="11" t="inlineStr">
        <is>
          <t xml:space="preserve"> Women's</t>
        </is>
      </c>
      <c r="J603" s="13" t="n">
        <v>149</v>
      </c>
      <c r="K603" s="13" t="n">
        <v>148.7</v>
      </c>
      <c r="L603" s="13" t="n">
        <v>116</v>
      </c>
      <c r="M603" s="13" t="n">
        <v>119</v>
      </c>
      <c r="N603" s="13" t="n">
        <v>121</v>
      </c>
      <c r="O603" s="13" t="n">
        <v>82</v>
      </c>
      <c r="P603" s="13" t="n">
        <v>103</v>
      </c>
      <c r="Q603" s="13" t="n">
        <v>10.8</v>
      </c>
      <c r="R603" s="13" t="n">
        <v>1401</v>
      </c>
      <c r="S603" s="13" t="n">
        <v>1.01</v>
      </c>
      <c r="T603" s="13" t="n">
        <v>1409</v>
      </c>
      <c r="U603" s="13" t="n">
        <v>162</v>
      </c>
      <c r="V603" s="13" t="n">
        <v>78</v>
      </c>
      <c r="W603" s="13" t="n">
        <v>41</v>
      </c>
      <c r="X603" s="13" t="n">
        <v>266</v>
      </c>
      <c r="Y603" s="13" t="n">
        <v>5</v>
      </c>
      <c r="Z603" s="13" t="n">
        <v>60</v>
      </c>
      <c r="AA603" s="13" t="n">
        <v>0.113</v>
      </c>
      <c r="AB603" s="13" t="n">
        <v>156</v>
      </c>
      <c r="AC603" s="13" t="n">
        <v>140</v>
      </c>
      <c r="AD603" s="13" t="n">
        <v>110</v>
      </c>
      <c r="AE603" s="13" t="n">
        <v>8</v>
      </c>
      <c r="AF603" s="13" t="n">
        <v>6</v>
      </c>
      <c r="AG603" s="11" t="inlineStr">
        <is>
          <t xml:space="preserve"> On-Piste All-Mountain</t>
        </is>
      </c>
      <c r="AH603" s="11" t="inlineStr">
        <is>
          <t xml:space="preserve"> Resort Freeride</t>
        </is>
      </c>
      <c r="AI603" s="13" t="n"/>
      <c r="AJ603" s="13" t="n"/>
      <c r="AK603" s="42" t="n"/>
    </row>
    <row r="604">
      <c r="E604" s="40" t="inlineStr">
        <is>
          <t>21/22</t>
        </is>
      </c>
      <c r="F604" s="10" t="inlineStr">
        <is>
          <t xml:space="preserve"> Dynastar</t>
        </is>
      </c>
      <c r="G604" s="11" t="inlineStr">
        <is>
          <t>M-Pro 84 W</t>
        </is>
      </c>
      <c r="H604" s="13" t="n">
        <v>156</v>
      </c>
      <c r="I604" s="11" t="inlineStr">
        <is>
          <t xml:space="preserve"> Women's</t>
        </is>
      </c>
      <c r="J604" s="13" t="n">
        <v>156</v>
      </c>
      <c r="K604" s="13" t="n">
        <v>156.7</v>
      </c>
      <c r="L604" s="13" t="n">
        <v>124</v>
      </c>
      <c r="M604" s="13" t="n">
        <v>125</v>
      </c>
      <c r="N604" s="13" t="n">
        <v>121</v>
      </c>
      <c r="O604" s="13" t="n">
        <v>82</v>
      </c>
      <c r="P604" s="13" t="n">
        <v>103</v>
      </c>
      <c r="Q604" s="13" t="n">
        <v>12.3</v>
      </c>
      <c r="R604" s="13" t="n">
        <v>1435</v>
      </c>
      <c r="S604" s="13" t="n">
        <v>1.03</v>
      </c>
      <c r="T604" s="13" t="n">
        <v>1485</v>
      </c>
      <c r="U604" s="13" t="n">
        <v>165</v>
      </c>
      <c r="V604" s="13" t="n">
        <v>70</v>
      </c>
      <c r="W604" s="13" t="n">
        <v>40</v>
      </c>
      <c r="X604" s="13" t="n">
        <v>266</v>
      </c>
      <c r="Y604" s="13" t="n">
        <v>5</v>
      </c>
      <c r="Z604" s="13" t="n">
        <v>62</v>
      </c>
      <c r="AA604" s="13" t="n">
        <v>0.124</v>
      </c>
      <c r="AB604" s="13" t="n">
        <v>169</v>
      </c>
      <c r="AC604" s="13" t="n">
        <v>143</v>
      </c>
      <c r="AD604" s="13" t="n">
        <v>96</v>
      </c>
      <c r="AE604" s="13" t="n">
        <v>8</v>
      </c>
      <c r="AF604" s="13" t="n">
        <v>6</v>
      </c>
      <c r="AG604" s="11" t="inlineStr">
        <is>
          <t xml:space="preserve"> On-Piste All-Mountain</t>
        </is>
      </c>
      <c r="AH604" s="11" t="inlineStr">
        <is>
          <t xml:space="preserve"> Resort Freeride</t>
        </is>
      </c>
      <c r="AI604" s="13" t="n"/>
      <c r="AJ604" s="13" t="n"/>
      <c r="AK604" s="42" t="n"/>
    </row>
    <row r="605">
      <c r="E605" s="40" t="inlineStr">
        <is>
          <t>21/22</t>
        </is>
      </c>
      <c r="F605" s="10" t="inlineStr">
        <is>
          <t xml:space="preserve"> Dynastar</t>
        </is>
      </c>
      <c r="G605" s="11" t="inlineStr">
        <is>
          <t>M-Pro 84 W</t>
        </is>
      </c>
      <c r="H605" s="13" t="n">
        <v>163</v>
      </c>
      <c r="I605" s="11" t="inlineStr">
        <is>
          <t xml:space="preserve"> Women's</t>
        </is>
      </c>
      <c r="J605" s="13" t="n">
        <v>163</v>
      </c>
      <c r="K605" s="13" t="n">
        <v>163.9</v>
      </c>
      <c r="L605" s="13" t="n">
        <v>133</v>
      </c>
      <c r="M605" s="13" t="n">
        <v>133</v>
      </c>
      <c r="N605" s="13" t="n">
        <v>121</v>
      </c>
      <c r="O605" s="13" t="n">
        <v>82</v>
      </c>
      <c r="P605" s="13" t="n">
        <v>104</v>
      </c>
      <c r="Q605" s="13" t="n">
        <v>13.8</v>
      </c>
      <c r="R605" s="13" t="n">
        <v>1543</v>
      </c>
      <c r="S605" s="13" t="n">
        <v>1</v>
      </c>
      <c r="T605" s="13" t="n">
        <v>1551</v>
      </c>
      <c r="U605" s="13" t="n">
        <v>184</v>
      </c>
      <c r="V605" s="13" t="n">
        <v>74</v>
      </c>
      <c r="W605" s="13" t="n">
        <v>38</v>
      </c>
      <c r="X605" s="13" t="n">
        <v>248</v>
      </c>
      <c r="Y605" s="13" t="n">
        <v>5</v>
      </c>
      <c r="Z605" s="13" t="n">
        <v>64</v>
      </c>
      <c r="AA605" s="13" t="n">
        <v>0.141</v>
      </c>
      <c r="AB605" s="13" t="n">
        <v>159</v>
      </c>
      <c r="AC605" s="13" t="n">
        <v>147</v>
      </c>
      <c r="AD605" s="13" t="n">
        <v>90</v>
      </c>
      <c r="AE605" s="13" t="n">
        <v>8</v>
      </c>
      <c r="AF605" s="13" t="n">
        <v>6.6</v>
      </c>
      <c r="AG605" s="11" t="inlineStr">
        <is>
          <t xml:space="preserve"> On-Piste All-Mountain</t>
        </is>
      </c>
      <c r="AH605" s="11" t="inlineStr">
        <is>
          <t xml:space="preserve"> Resort Freeride</t>
        </is>
      </c>
      <c r="AI605" s="13" t="n"/>
      <c r="AJ605" s="13" t="n"/>
      <c r="AK605" s="42" t="n"/>
    </row>
    <row r="606">
      <c r="E606" s="40" t="inlineStr">
        <is>
          <t>21/22</t>
        </is>
      </c>
      <c r="F606" s="10" t="inlineStr">
        <is>
          <t xml:space="preserve"> Dynastar</t>
        </is>
      </c>
      <c r="G606" s="11" t="inlineStr">
        <is>
          <t>M-Pro 90</t>
        </is>
      </c>
      <c r="H606" s="13" t="n">
        <v>170</v>
      </c>
      <c r="I606" s="11" t="inlineStr">
        <is>
          <t xml:space="preserve"> Unisex</t>
        </is>
      </c>
      <c r="J606" s="13" t="n">
        <v>170</v>
      </c>
      <c r="K606" s="13" t="n">
        <v>170</v>
      </c>
      <c r="L606" s="13" t="n">
        <v>121</v>
      </c>
      <c r="M606" s="13" t="n">
        <v>140</v>
      </c>
      <c r="N606" s="13" t="n">
        <v>118</v>
      </c>
      <c r="O606" s="13" t="n">
        <v>87</v>
      </c>
      <c r="P606" s="13" t="n">
        <v>108</v>
      </c>
      <c r="Q606" s="13" t="n">
        <v>16.5</v>
      </c>
      <c r="R606" s="13" t="n">
        <v>1683</v>
      </c>
      <c r="S606" s="13" t="n">
        <v>0.99</v>
      </c>
      <c r="T606" s="13" t="n">
        <v>1668</v>
      </c>
      <c r="U606" s="13" t="n">
        <v>223</v>
      </c>
      <c r="V606" s="13" t="n">
        <v>89</v>
      </c>
      <c r="W606" s="13" t="n">
        <v>62</v>
      </c>
      <c r="X606" s="13" t="n">
        <v>334</v>
      </c>
      <c r="Y606" s="13" t="n">
        <v>15</v>
      </c>
      <c r="Z606" s="13" t="n">
        <v>153</v>
      </c>
      <c r="AA606" s="13" t="n">
        <v>0.234</v>
      </c>
      <c r="AB606" s="13" t="n">
        <v>187</v>
      </c>
      <c r="AC606" s="13" t="n">
        <v>117</v>
      </c>
      <c r="AD606" s="13" t="n">
        <v>147</v>
      </c>
      <c r="AE606" s="13" t="n">
        <v>6</v>
      </c>
      <c r="AF606" s="13" t="n">
        <v>11.4</v>
      </c>
      <c r="AG606" s="11" t="inlineStr">
        <is>
          <t xml:space="preserve"> Resort Freeride</t>
        </is>
      </c>
      <c r="AH606" s="13" t="n"/>
      <c r="AI606" s="13" t="n"/>
      <c r="AJ606" s="13" t="n"/>
      <c r="AK606" s="42" t="n"/>
    </row>
    <row r="607">
      <c r="E607" s="40" t="inlineStr">
        <is>
          <t>21/22</t>
        </is>
      </c>
      <c r="F607" s="10" t="inlineStr">
        <is>
          <t xml:space="preserve"> Dynastar</t>
        </is>
      </c>
      <c r="G607" s="11" t="inlineStr">
        <is>
          <t>M-Pro 90</t>
        </is>
      </c>
      <c r="H607" s="13" t="n">
        <v>178</v>
      </c>
      <c r="I607" s="11" t="inlineStr">
        <is>
          <t xml:space="preserve"> Unisex</t>
        </is>
      </c>
      <c r="J607" s="13" t="n">
        <v>178</v>
      </c>
      <c r="K607" s="13" t="n">
        <v>177.3</v>
      </c>
      <c r="L607" s="13" t="n">
        <v>130</v>
      </c>
      <c r="M607" s="13" t="n">
        <v>147</v>
      </c>
      <c r="N607" s="13" t="n">
        <v>119</v>
      </c>
      <c r="O607" s="13" t="n">
        <v>88</v>
      </c>
      <c r="P607" s="13" t="n">
        <v>109</v>
      </c>
      <c r="Q607" s="13" t="n">
        <v>18.3</v>
      </c>
      <c r="R607" s="13" t="n">
        <v>1765</v>
      </c>
      <c r="S607" s="13" t="n">
        <v>1</v>
      </c>
      <c r="T607" s="13" t="n">
        <v>1756</v>
      </c>
      <c r="U607" s="13" t="n">
        <v>245</v>
      </c>
      <c r="V607" s="13" t="n">
        <v>97</v>
      </c>
      <c r="W607" s="13" t="n">
        <v>60</v>
      </c>
      <c r="X607" s="13" t="n">
        <v>325</v>
      </c>
      <c r="Y607" s="13" t="n">
        <v>13</v>
      </c>
      <c r="Z607" s="13" t="n">
        <v>147</v>
      </c>
      <c r="AA607" s="13" t="n">
        <v>0.22</v>
      </c>
      <c r="AB607" s="13" t="n">
        <v>187</v>
      </c>
      <c r="AC607" s="13" t="n">
        <v>119</v>
      </c>
      <c r="AD607" s="13" t="n">
        <v>137</v>
      </c>
      <c r="AE607" s="13" t="n">
        <v>7</v>
      </c>
      <c r="AF607" s="13" t="n">
        <v>11.9</v>
      </c>
      <c r="AG607" s="11" t="inlineStr">
        <is>
          <t xml:space="preserve"> Resort Freeride</t>
        </is>
      </c>
      <c r="AH607" s="13" t="n"/>
      <c r="AI607" s="13" t="n"/>
      <c r="AJ607" s="13" t="n"/>
      <c r="AK607" s="42" t="n"/>
    </row>
    <row r="608">
      <c r="E608" s="40" t="inlineStr">
        <is>
          <t>21/22</t>
        </is>
      </c>
      <c r="F608" s="10" t="inlineStr">
        <is>
          <t xml:space="preserve"> Dynastar</t>
        </is>
      </c>
      <c r="G608" s="11" t="inlineStr">
        <is>
          <t>M-Pro 90</t>
        </is>
      </c>
      <c r="H608" s="13" t="n">
        <v>186</v>
      </c>
      <c r="I608" s="11" t="inlineStr">
        <is>
          <t xml:space="preserve"> Unisex</t>
        </is>
      </c>
      <c r="J608" s="13" t="n">
        <v>186</v>
      </c>
      <c r="K608" s="13" t="n">
        <v>185.6</v>
      </c>
      <c r="L608" s="13" t="n">
        <v>137</v>
      </c>
      <c r="M608" s="13" t="n">
        <v>154</v>
      </c>
      <c r="N608" s="13" t="n">
        <v>119</v>
      </c>
      <c r="O608" s="13" t="n">
        <v>88</v>
      </c>
      <c r="P608" s="13" t="n">
        <v>108</v>
      </c>
      <c r="Q608" s="13" t="n">
        <v>20.5</v>
      </c>
      <c r="R608" s="13" t="n">
        <v>1922</v>
      </c>
      <c r="S608" s="13" t="n">
        <v>0.95</v>
      </c>
      <c r="T608" s="13" t="n">
        <v>1834</v>
      </c>
      <c r="U608" s="13" t="n">
        <v>286</v>
      </c>
      <c r="V608" s="13" t="n">
        <v>116</v>
      </c>
      <c r="W608" s="13" t="n">
        <v>66</v>
      </c>
      <c r="X608" s="13" t="n">
        <v>334</v>
      </c>
      <c r="Y608" s="13" t="n">
        <v>14</v>
      </c>
      <c r="Z608" s="13" t="n">
        <v>152</v>
      </c>
      <c r="AA608" s="13" t="n">
        <v>0.219</v>
      </c>
      <c r="AB608" s="13" t="n">
        <v>203</v>
      </c>
      <c r="AC608" s="13" t="n">
        <v>116</v>
      </c>
      <c r="AD608" s="13" t="n">
        <v>131</v>
      </c>
      <c r="AE608" s="13" t="n">
        <v>7</v>
      </c>
      <c r="AF608" s="13" t="n">
        <v>11.7</v>
      </c>
      <c r="AG608" s="11" t="inlineStr">
        <is>
          <t xml:space="preserve"> Resort Freeride</t>
        </is>
      </c>
      <c r="AH608" s="13" t="n"/>
      <c r="AI608" s="13" t="n"/>
      <c r="AJ608" s="13" t="n"/>
      <c r="AK608" s="42" t="n"/>
    </row>
    <row r="609">
      <c r="E609" s="40" t="inlineStr">
        <is>
          <t>21/22</t>
        </is>
      </c>
      <c r="F609" s="10" t="inlineStr">
        <is>
          <t xml:space="preserve"> Dynastar</t>
        </is>
      </c>
      <c r="G609" s="11" t="inlineStr">
        <is>
          <t>M-Pro 90 W</t>
        </is>
      </c>
      <c r="H609" s="13" t="n">
        <v>154</v>
      </c>
      <c r="I609" s="11" t="inlineStr">
        <is>
          <t xml:space="preserve"> Women's</t>
        </is>
      </c>
      <c r="J609" s="13" t="n">
        <v>154</v>
      </c>
      <c r="K609" s="13" t="n">
        <v>153.5</v>
      </c>
      <c r="L609" s="13" t="n">
        <v>104</v>
      </c>
      <c r="M609" s="13" t="n">
        <v>123</v>
      </c>
      <c r="N609" s="13" t="n">
        <v>117</v>
      </c>
      <c r="O609" s="13" t="n">
        <v>86</v>
      </c>
      <c r="P609" s="13" t="n">
        <v>107</v>
      </c>
      <c r="Q609" s="13" t="n">
        <v>12.5</v>
      </c>
      <c r="R609" s="13" t="n">
        <v>1460</v>
      </c>
      <c r="S609" s="13" t="n">
        <v>1.03</v>
      </c>
      <c r="T609" s="13" t="n">
        <v>1499</v>
      </c>
      <c r="U609" s="13" t="n">
        <v>229</v>
      </c>
      <c r="V609" s="13" t="n">
        <v>85</v>
      </c>
      <c r="W609" s="13" t="n">
        <v>64</v>
      </c>
      <c r="X609" s="13" t="n">
        <v>334</v>
      </c>
      <c r="Y609" s="13" t="n">
        <v>15</v>
      </c>
      <c r="Z609" s="13" t="n">
        <v>160</v>
      </c>
      <c r="AA609" s="13" t="n">
        <v>0.233</v>
      </c>
      <c r="AB609" s="13" t="n">
        <v>210</v>
      </c>
      <c r="AC609" s="13" t="n">
        <v>99</v>
      </c>
      <c r="AD609" s="13" t="n">
        <v>125</v>
      </c>
      <c r="AE609" s="13" t="n">
        <v>4</v>
      </c>
      <c r="AF609" s="13" t="n">
        <v>11.6</v>
      </c>
      <c r="AG609" s="11" t="inlineStr">
        <is>
          <t xml:space="preserve"> Resort Freeride</t>
        </is>
      </c>
      <c r="AH609" s="13" t="n"/>
      <c r="AI609" s="13" t="n"/>
      <c r="AJ609" s="13" t="n"/>
      <c r="AK609" s="42" t="n"/>
    </row>
    <row r="610">
      <c r="E610" s="40" t="inlineStr">
        <is>
          <t>21/22</t>
        </is>
      </c>
      <c r="F610" s="10" t="inlineStr">
        <is>
          <t xml:space="preserve"> Dynastar</t>
        </is>
      </c>
      <c r="G610" s="11" t="inlineStr">
        <is>
          <t>M-Pro 99</t>
        </is>
      </c>
      <c r="H610" s="13" t="n">
        <v>170</v>
      </c>
      <c r="I610" s="11" t="inlineStr">
        <is>
          <t xml:space="preserve"> Unisex</t>
        </is>
      </c>
      <c r="J610" s="13" t="n">
        <v>170</v>
      </c>
      <c r="K610" s="13" t="n">
        <v>169</v>
      </c>
      <c r="L610" s="13" t="n">
        <v>121</v>
      </c>
      <c r="M610" s="13" t="n">
        <v>137</v>
      </c>
      <c r="N610" s="13" t="n">
        <v>125</v>
      </c>
      <c r="O610" s="13" t="n">
        <v>96</v>
      </c>
      <c r="P610" s="13" t="n">
        <v>115</v>
      </c>
      <c r="Q610" s="13" t="n">
        <v>17.6</v>
      </c>
      <c r="R610" s="13" t="n">
        <v>1830</v>
      </c>
      <c r="S610" s="13" t="n">
        <v>0.98</v>
      </c>
      <c r="T610" s="13" t="n">
        <v>1791</v>
      </c>
      <c r="U610" s="13" t="n">
        <v>253</v>
      </c>
      <c r="V610" s="13" t="n">
        <v>93</v>
      </c>
      <c r="W610" s="13" t="n">
        <v>60</v>
      </c>
      <c r="X610" s="13" t="n">
        <v>330</v>
      </c>
      <c r="Y610" s="13" t="n">
        <v>12</v>
      </c>
      <c r="Z610" s="13" t="n">
        <v>146</v>
      </c>
      <c r="AA610" s="13" t="n">
        <v>0.197</v>
      </c>
      <c r="AB610" s="13" t="n">
        <v>202</v>
      </c>
      <c r="AC610" s="13" t="n">
        <v>116</v>
      </c>
      <c r="AD610" s="13" t="n">
        <v>127</v>
      </c>
      <c r="AE610" s="13" t="n">
        <v>6</v>
      </c>
      <c r="AF610" s="13" t="n">
        <v>12.1</v>
      </c>
      <c r="AG610" s="11" t="inlineStr">
        <is>
          <t xml:space="preserve"> Resort Freeride</t>
        </is>
      </c>
      <c r="AH610" s="13" t="n"/>
      <c r="AI610" s="13" t="n"/>
      <c r="AJ610" s="13" t="n"/>
      <c r="AK610" s="42" t="n"/>
    </row>
    <row r="611">
      <c r="E611" s="40" t="inlineStr">
        <is>
          <t>21/22</t>
        </is>
      </c>
      <c r="F611" s="10" t="inlineStr">
        <is>
          <t xml:space="preserve"> Dynastar</t>
        </is>
      </c>
      <c r="G611" s="11" t="inlineStr">
        <is>
          <t>M-Pro 99</t>
        </is>
      </c>
      <c r="H611" s="13" t="n">
        <v>178</v>
      </c>
      <c r="I611" s="11" t="inlineStr">
        <is>
          <t xml:space="preserve"> Unisex</t>
        </is>
      </c>
      <c r="J611" s="13" t="n">
        <v>178</v>
      </c>
      <c r="K611" s="13" t="n">
        <v>177.3</v>
      </c>
      <c r="L611" s="13" t="n">
        <v>129</v>
      </c>
      <c r="M611" s="13" t="n">
        <v>146</v>
      </c>
      <c r="N611" s="13" t="n">
        <v>126</v>
      </c>
      <c r="O611" s="13" t="n">
        <v>97</v>
      </c>
      <c r="P611" s="13" t="n">
        <v>116</v>
      </c>
      <c r="Q611" s="13" t="n">
        <v>19.7</v>
      </c>
      <c r="R611" s="13" t="n">
        <v>1920</v>
      </c>
      <c r="S611" s="13" t="n">
        <v>0.99</v>
      </c>
      <c r="T611" s="13" t="n">
        <v>1893</v>
      </c>
      <c r="U611" s="13" t="n">
        <v>267</v>
      </c>
      <c r="V611" s="13" t="n">
        <v>109</v>
      </c>
      <c r="W611" s="13" t="n">
        <v>62</v>
      </c>
      <c r="X611" s="13" t="n">
        <v>327</v>
      </c>
      <c r="Y611" s="13" t="n">
        <v>14</v>
      </c>
      <c r="Z611" s="13" t="n">
        <v>151</v>
      </c>
      <c r="AA611" s="13" t="n">
        <v>0.229</v>
      </c>
      <c r="AB611" s="13" t="n">
        <v>189</v>
      </c>
      <c r="AC611" s="13" t="n">
        <v>125</v>
      </c>
      <c r="AD611" s="13" t="n">
        <v>138</v>
      </c>
      <c r="AE611" s="13" t="n">
        <v>6</v>
      </c>
      <c r="AF611" s="13" t="n">
        <v>12.2</v>
      </c>
      <c r="AG611" s="11" t="inlineStr">
        <is>
          <t xml:space="preserve"> Resort Freeride</t>
        </is>
      </c>
      <c r="AH611" s="13" t="n"/>
      <c r="AI611" s="13" t="n"/>
      <c r="AJ611" s="13" t="n"/>
      <c r="AK611" s="42" t="n"/>
    </row>
    <row r="612">
      <c r="E612" s="40" t="inlineStr">
        <is>
          <t>21/22</t>
        </is>
      </c>
      <c r="F612" s="10" t="inlineStr">
        <is>
          <t xml:space="preserve"> Dynastar</t>
        </is>
      </c>
      <c r="G612" s="11" t="inlineStr">
        <is>
          <t>M-Pro 99</t>
        </is>
      </c>
      <c r="H612" s="13" t="n">
        <v>186</v>
      </c>
      <c r="I612" s="11" t="inlineStr">
        <is>
          <t xml:space="preserve"> Unisex</t>
        </is>
      </c>
      <c r="J612" s="13" t="n">
        <v>186</v>
      </c>
      <c r="K612" s="13" t="n">
        <v>185.2</v>
      </c>
      <c r="L612" s="13" t="n">
        <v>136</v>
      </c>
      <c r="M612" s="13" t="n">
        <v>153</v>
      </c>
      <c r="N612" s="13" t="n">
        <v>126</v>
      </c>
      <c r="O612" s="13" t="n">
        <v>97</v>
      </c>
      <c r="P612" s="13" t="n">
        <v>116</v>
      </c>
      <c r="Q612" s="13" t="n">
        <v>21.9</v>
      </c>
      <c r="R612" s="13" t="n">
        <v>2038</v>
      </c>
      <c r="S612" s="13" t="n">
        <v>0.97</v>
      </c>
      <c r="T612" s="13" t="n">
        <v>1973</v>
      </c>
      <c r="U612" s="13" t="n">
        <v>275</v>
      </c>
      <c r="V612" s="13" t="n">
        <v>118</v>
      </c>
      <c r="W612" s="13" t="n">
        <v>61</v>
      </c>
      <c r="X612" s="13" t="n">
        <v>330</v>
      </c>
      <c r="Y612" s="13" t="n">
        <v>16</v>
      </c>
      <c r="Z612" s="13" t="n">
        <v>162</v>
      </c>
      <c r="AA612" s="13" t="n">
        <v>0.271</v>
      </c>
      <c r="AB612" s="13" t="n">
        <v>202</v>
      </c>
      <c r="AC612" s="13" t="n">
        <v>123</v>
      </c>
      <c r="AD612" s="13" t="n">
        <v>128</v>
      </c>
      <c r="AE612" s="13" t="n">
        <v>5</v>
      </c>
      <c r="AF612" s="13" t="n">
        <v>12.4</v>
      </c>
      <c r="AG612" s="11" t="inlineStr">
        <is>
          <t xml:space="preserve"> Resort Freeride</t>
        </is>
      </c>
      <c r="AH612" s="13" t="n"/>
      <c r="AI612" s="13" t="n"/>
      <c r="AJ612" s="13" t="n"/>
      <c r="AK612" s="42" t="n"/>
    </row>
    <row r="613">
      <c r="E613" s="40" t="inlineStr">
        <is>
          <t>21/22</t>
        </is>
      </c>
      <c r="F613" s="10" t="inlineStr">
        <is>
          <t xml:space="preserve"> Dynastar</t>
        </is>
      </c>
      <c r="G613" s="11" t="inlineStr">
        <is>
          <t>M-Pro 99 W</t>
        </is>
      </c>
      <c r="H613" s="13" t="n">
        <v>154</v>
      </c>
      <c r="I613" s="11" t="inlineStr">
        <is>
          <t xml:space="preserve"> Women's</t>
        </is>
      </c>
      <c r="J613" s="13" t="n">
        <v>154</v>
      </c>
      <c r="K613" s="13" t="n">
        <v>153.7</v>
      </c>
      <c r="L613" s="13" t="n">
        <v>105</v>
      </c>
      <c r="M613" s="13" t="n">
        <v>124</v>
      </c>
      <c r="N613" s="13" t="n">
        <v>124</v>
      </c>
      <c r="O613" s="13" t="n">
        <v>95</v>
      </c>
      <c r="P613" s="13" t="n">
        <v>114</v>
      </c>
      <c r="Q613" s="13" t="n">
        <v>13.8</v>
      </c>
      <c r="R613" s="13" t="n">
        <v>1561</v>
      </c>
      <c r="S613" s="13" t="n">
        <v>1.03</v>
      </c>
      <c r="T613" s="13" t="n">
        <v>1614</v>
      </c>
      <c r="U613" s="13" t="n">
        <v>205</v>
      </c>
      <c r="V613" s="13" t="n">
        <v>91</v>
      </c>
      <c r="W613" s="13" t="n">
        <v>64</v>
      </c>
      <c r="X613" s="13" t="n">
        <v>334</v>
      </c>
      <c r="Y613" s="13" t="n">
        <v>14</v>
      </c>
      <c r="Z613" s="13" t="n">
        <v>150</v>
      </c>
      <c r="AA613" s="13" t="n">
        <v>0.225</v>
      </c>
      <c r="AB613" s="13" t="n">
        <v>194</v>
      </c>
      <c r="AC613" s="13" t="n">
        <v>99</v>
      </c>
      <c r="AD613" s="13" t="n">
        <v>140</v>
      </c>
      <c r="AE613" s="13" t="n">
        <v>4</v>
      </c>
      <c r="AF613" s="13" t="n">
        <v>11.2</v>
      </c>
      <c r="AG613" s="11" t="inlineStr">
        <is>
          <t xml:space="preserve"> Resort Freeride</t>
        </is>
      </c>
      <c r="AH613" s="13" t="n"/>
      <c r="AI613" s="13" t="n"/>
      <c r="AJ613" s="13" t="n"/>
      <c r="AK613" s="42" t="n"/>
    </row>
    <row r="614">
      <c r="E614" s="40" t="inlineStr">
        <is>
          <t>21/22</t>
        </is>
      </c>
      <c r="F614" s="10" t="inlineStr">
        <is>
          <t xml:space="preserve"> Dynastar</t>
        </is>
      </c>
      <c r="G614" s="11" t="inlineStr">
        <is>
          <t>M-Pro 99 W</t>
        </is>
      </c>
      <c r="H614" s="13" t="n">
        <v>162</v>
      </c>
      <c r="I614" s="11" t="inlineStr">
        <is>
          <t xml:space="preserve"> Women's</t>
        </is>
      </c>
      <c r="J614" s="13" t="n">
        <v>162</v>
      </c>
      <c r="K614" s="13" t="n">
        <v>161.4</v>
      </c>
      <c r="L614" s="13" t="n">
        <v>113</v>
      </c>
      <c r="M614" s="13" t="n">
        <v>132</v>
      </c>
      <c r="N614" s="13" t="n">
        <v>124</v>
      </c>
      <c r="O614" s="13" t="n">
        <v>95</v>
      </c>
      <c r="P614" s="13" t="n">
        <v>114</v>
      </c>
      <c r="Q614" s="13" t="n">
        <v>15.4</v>
      </c>
      <c r="R614" s="13" t="n">
        <v>1710</v>
      </c>
      <c r="S614" s="13" t="n">
        <v>0.99</v>
      </c>
      <c r="T614" s="13" t="n">
        <v>1698</v>
      </c>
      <c r="U614" s="13" t="n">
        <v>249</v>
      </c>
      <c r="V614" s="13" t="n">
        <v>95</v>
      </c>
      <c r="W614" s="13" t="n">
        <v>59</v>
      </c>
      <c r="X614" s="13" t="n">
        <v>332</v>
      </c>
      <c r="Y614" s="13" t="n">
        <v>15</v>
      </c>
      <c r="Z614" s="13" t="n">
        <v>157</v>
      </c>
      <c r="AA614" s="13" t="n">
        <v>0.254</v>
      </c>
      <c r="AB614" s="13" t="n">
        <v>192</v>
      </c>
      <c r="AC614" s="13" t="n">
        <v>105</v>
      </c>
      <c r="AD614" s="13" t="n">
        <v>140</v>
      </c>
      <c r="AE614" s="13" t="n">
        <v>5</v>
      </c>
      <c r="AF614" s="13" t="n">
        <v>12</v>
      </c>
      <c r="AG614" s="11" t="inlineStr">
        <is>
          <t xml:space="preserve"> Resort Freeride</t>
        </is>
      </c>
      <c r="AH614" s="13" t="n"/>
      <c r="AI614" s="13" t="n"/>
      <c r="AJ614" s="13" t="n"/>
      <c r="AK614" s="42" t="n"/>
    </row>
    <row r="615">
      <c r="E615" s="40" t="inlineStr">
        <is>
          <t>21/22</t>
        </is>
      </c>
      <c r="F615" s="10" t="inlineStr">
        <is>
          <t xml:space="preserve"> Dynastar</t>
        </is>
      </c>
      <c r="G615" s="11" t="inlineStr">
        <is>
          <t>M-Pro 99 W</t>
        </is>
      </c>
      <c r="H615" s="13" t="n">
        <v>170</v>
      </c>
      <c r="I615" s="11" t="inlineStr">
        <is>
          <t xml:space="preserve"> Women's</t>
        </is>
      </c>
      <c r="J615" s="13" t="n">
        <v>170</v>
      </c>
      <c r="K615" s="13" t="n">
        <v>169.6</v>
      </c>
      <c r="L615" s="13" t="n">
        <v>122</v>
      </c>
      <c r="M615" s="13" t="n">
        <v>139</v>
      </c>
      <c r="N615" s="13" t="n">
        <v>125</v>
      </c>
      <c r="O615" s="13" t="n">
        <v>96</v>
      </c>
      <c r="P615" s="13" t="n">
        <v>114</v>
      </c>
      <c r="Q615" s="13" t="n">
        <v>17.3</v>
      </c>
      <c r="R615" s="13" t="n">
        <v>1768</v>
      </c>
      <c r="S615" s="13" t="n">
        <v>1.01</v>
      </c>
      <c r="T615" s="13" t="n">
        <v>1789</v>
      </c>
      <c r="U615" s="13" t="n">
        <v>227</v>
      </c>
      <c r="V615" s="13" t="n">
        <v>99</v>
      </c>
      <c r="W615" s="13" t="n">
        <v>60</v>
      </c>
      <c r="X615" s="13" t="n">
        <v>325</v>
      </c>
      <c r="Y615" s="13" t="n">
        <v>14</v>
      </c>
      <c r="Z615" s="13" t="n">
        <v>148</v>
      </c>
      <c r="AA615" s="13" t="n">
        <v>0.229</v>
      </c>
      <c r="AB615" s="13" t="n">
        <v>199</v>
      </c>
      <c r="AC615" s="13" t="n">
        <v>107</v>
      </c>
      <c r="AD615" s="13" t="n">
        <v>126</v>
      </c>
      <c r="AE615" s="13" t="n">
        <v>9</v>
      </c>
      <c r="AF615" s="13" t="n">
        <v>11.6</v>
      </c>
      <c r="AG615" s="11" t="inlineStr">
        <is>
          <t xml:space="preserve"> Resort Freeride</t>
        </is>
      </c>
      <c r="AH615" s="13" t="n"/>
      <c r="AI615" s="13" t="n"/>
      <c r="AJ615" s="13" t="n"/>
      <c r="AK615" s="42" t="n"/>
    </row>
    <row r="616">
      <c r="E616" s="40" t="inlineStr">
        <is>
          <t>21/22</t>
        </is>
      </c>
      <c r="F616" s="10" t="inlineStr">
        <is>
          <t xml:space="preserve"> Dynastar</t>
        </is>
      </c>
      <c r="G616" s="11" t="inlineStr">
        <is>
          <t xml:space="preserve"> M-Pro Pro Rider</t>
        </is>
      </c>
      <c r="H616" s="13" t="n">
        <v>192</v>
      </c>
      <c r="I616" s="11" t="inlineStr">
        <is>
          <t xml:space="preserve"> Unisex</t>
        </is>
      </c>
      <c r="J616" s="13" t="n">
        <v>192</v>
      </c>
      <c r="K616" s="13" t="n">
        <v>191</v>
      </c>
      <c r="L616" s="13" t="n">
        <v>159</v>
      </c>
      <c r="M616" s="13" t="n">
        <v>161</v>
      </c>
      <c r="N616" s="13" t="n">
        <v>132</v>
      </c>
      <c r="O616" s="13" t="n">
        <v>104</v>
      </c>
      <c r="P616" s="13" t="n">
        <v>120</v>
      </c>
      <c r="Q616" s="13" t="n">
        <v>27.9</v>
      </c>
      <c r="R616" s="13" t="n">
        <v>2657</v>
      </c>
      <c r="S616" s="13" t="n">
        <v>0.8100000000000001</v>
      </c>
      <c r="T616" s="13" t="n">
        <v>2147</v>
      </c>
      <c r="U616" s="13" t="n">
        <v>276</v>
      </c>
      <c r="V616" s="13" t="n">
        <v>174</v>
      </c>
      <c r="W616" s="13" t="n">
        <v>33</v>
      </c>
      <c r="X616" s="13" t="n">
        <v>221</v>
      </c>
      <c r="Y616" s="13" t="n">
        <v>11</v>
      </c>
      <c r="Z616" s="13" t="n">
        <v>98</v>
      </c>
      <c r="AA616" s="13" t="n">
        <v>0.32</v>
      </c>
      <c r="AB616" s="13" t="n">
        <v>187</v>
      </c>
      <c r="AC616" s="13" t="n">
        <v>114</v>
      </c>
      <c r="AD616" s="13" t="n">
        <v>34</v>
      </c>
      <c r="AE616" s="13" t="n">
        <v>16</v>
      </c>
      <c r="AF616" s="13" t="n">
        <v>12.4</v>
      </c>
      <c r="AG616" s="11" t="inlineStr">
        <is>
          <t xml:space="preserve"> Resort Freeride</t>
        </is>
      </c>
      <c r="AH616" s="11" t="inlineStr">
        <is>
          <t xml:space="preserve"> Big Mountain</t>
        </is>
      </c>
      <c r="AI616" s="13" t="n"/>
      <c r="AJ616" s="13" t="n"/>
      <c r="AK616" s="42" t="n"/>
    </row>
    <row r="617">
      <c r="E617" s="40" t="inlineStr">
        <is>
          <t>21/22</t>
        </is>
      </c>
      <c r="F617" s="10" t="inlineStr">
        <is>
          <t xml:space="preserve"> Dynastar</t>
        </is>
      </c>
      <c r="G617" s="11" t="inlineStr">
        <is>
          <t>M-Tour 87 Ca</t>
        </is>
      </c>
      <c r="H617" s="13" t="n">
        <v>171</v>
      </c>
      <c r="I617" s="11" t="inlineStr">
        <is>
          <t xml:space="preserve"> Unisex</t>
        </is>
      </c>
      <c r="J617" s="13" t="n">
        <v>171</v>
      </c>
      <c r="K617" s="13" t="n">
        <v>170.5</v>
      </c>
      <c r="L617" s="13" t="n">
        <v>130</v>
      </c>
      <c r="M617" s="13" t="n">
        <v>127</v>
      </c>
      <c r="N617" s="13" t="n">
        <v>127</v>
      </c>
      <c r="O617" s="13" t="n">
        <v>86</v>
      </c>
      <c r="P617" s="13" t="n">
        <v>103</v>
      </c>
      <c r="Q617" s="13" t="n">
        <v>13.8</v>
      </c>
      <c r="R617" s="13" t="n">
        <v>1250</v>
      </c>
      <c r="S617" s="13" t="n">
        <v>1.34</v>
      </c>
      <c r="T617" s="13" t="n">
        <v>1673</v>
      </c>
      <c r="U617" s="13" t="n">
        <v>223</v>
      </c>
      <c r="V617" s="13" t="n">
        <v>66</v>
      </c>
      <c r="W617" s="13" t="n">
        <v>74</v>
      </c>
      <c r="X617" s="13" t="n">
        <v>353</v>
      </c>
      <c r="Y617" s="13" t="n">
        <v>4</v>
      </c>
      <c r="Z617" s="13" t="n">
        <v>49</v>
      </c>
      <c r="AA617" s="13" t="n">
        <v>0.048</v>
      </c>
      <c r="AB617" s="13" t="n">
        <v>198</v>
      </c>
      <c r="AC617" s="13" t="n">
        <v>240</v>
      </c>
      <c r="AD617" s="13" t="n">
        <v>154</v>
      </c>
      <c r="AE617" s="13" t="n">
        <v>5</v>
      </c>
      <c r="AF617" s="13" t="n">
        <v>11.8</v>
      </c>
      <c r="AG617" s="11" t="inlineStr">
        <is>
          <t xml:space="preserve"> Touring</t>
        </is>
      </c>
      <c r="AH617" s="11" t="inlineStr">
        <is>
          <t xml:space="preserve"> Ultralight Touring</t>
        </is>
      </c>
      <c r="AI617" s="13" t="n"/>
      <c r="AJ617" s="13" t="n"/>
      <c r="AK617" s="42" t="n"/>
    </row>
    <row r="618">
      <c r="E618" s="40" t="inlineStr">
        <is>
          <t>21/22</t>
        </is>
      </c>
      <c r="F618" s="10" t="inlineStr">
        <is>
          <t xml:space="preserve"> Dynastar</t>
        </is>
      </c>
      <c r="G618" s="11" t="inlineStr">
        <is>
          <t>M-Tour 87 Ca</t>
        </is>
      </c>
      <c r="H618" s="13" t="n">
        <v>179</v>
      </c>
      <c r="I618" s="11" t="inlineStr">
        <is>
          <t xml:space="preserve"> Unisex</t>
        </is>
      </c>
      <c r="J618" s="13" t="n">
        <v>179</v>
      </c>
      <c r="K618" s="13" t="n">
        <v>176.4</v>
      </c>
      <c r="L618" s="13" t="n">
        <v>138</v>
      </c>
      <c r="M618" s="13" t="n">
        <v>132</v>
      </c>
      <c r="N618" s="13" t="n">
        <v>127</v>
      </c>
      <c r="O618" s="13" t="n">
        <v>86</v>
      </c>
      <c r="P618" s="13" t="n">
        <v>102</v>
      </c>
      <c r="Q618" s="13" t="n">
        <v>15.4</v>
      </c>
      <c r="R618" s="13" t="n">
        <v>1272</v>
      </c>
      <c r="S618" s="13" t="n">
        <v>1.36</v>
      </c>
      <c r="T618" s="13" t="n">
        <v>1734</v>
      </c>
      <c r="U618" s="13" t="n">
        <v>236</v>
      </c>
      <c r="V618" s="13" t="n">
        <v>74</v>
      </c>
      <c r="W618" s="13" t="n">
        <v>72</v>
      </c>
      <c r="X618" s="13" t="n">
        <v>339</v>
      </c>
      <c r="Y618" s="13" t="n">
        <v>5</v>
      </c>
      <c r="Z618" s="13" t="n">
        <v>49</v>
      </c>
      <c r="AA618" s="13" t="n">
        <v>0.068</v>
      </c>
      <c r="AB618" s="13" t="n">
        <v>208</v>
      </c>
      <c r="AC618" s="13" t="n">
        <v>232</v>
      </c>
      <c r="AD618" s="13" t="n">
        <v>131</v>
      </c>
      <c r="AE618" s="13" t="n">
        <v>6</v>
      </c>
      <c r="AF618" s="13" t="n">
        <v>12.9</v>
      </c>
      <c r="AG618" s="11" t="inlineStr">
        <is>
          <t xml:space="preserve"> Touring</t>
        </is>
      </c>
      <c r="AH618" s="11" t="inlineStr">
        <is>
          <t xml:space="preserve"> Ultralight Touring</t>
        </is>
      </c>
      <c r="AI618" s="13" t="n"/>
      <c r="AJ618" s="13" t="n"/>
      <c r="AK618" s="42" t="n"/>
    </row>
    <row r="619">
      <c r="E619" s="40" t="inlineStr">
        <is>
          <t>21/22</t>
        </is>
      </c>
      <c r="F619" s="10" t="inlineStr">
        <is>
          <t xml:space="preserve"> Dynastar</t>
        </is>
      </c>
      <c r="G619" s="11" t="inlineStr">
        <is>
          <t>M-Tour 99</t>
        </is>
      </c>
      <c r="H619" s="13" t="n">
        <v>170</v>
      </c>
      <c r="I619" s="11" t="inlineStr">
        <is>
          <t xml:space="preserve"> Unisex</t>
        </is>
      </c>
      <c r="J619" s="13" t="n">
        <v>170</v>
      </c>
      <c r="K619" s="13" t="n">
        <v>169.6</v>
      </c>
      <c r="L619" s="13" t="n">
        <v>123</v>
      </c>
      <c r="M619" s="13" t="n">
        <v>136</v>
      </c>
      <c r="N619" s="13" t="n">
        <v>125</v>
      </c>
      <c r="O619" s="13" t="n">
        <v>96</v>
      </c>
      <c r="P619" s="13" t="n">
        <v>115</v>
      </c>
      <c r="Q619" s="13" t="n">
        <v>17.6</v>
      </c>
      <c r="R619" s="13" t="n">
        <v>1245</v>
      </c>
      <c r="S619" s="13" t="n">
        <v>1.44</v>
      </c>
      <c r="T619" s="13" t="n">
        <v>1796</v>
      </c>
      <c r="U619" s="13" t="n">
        <v>189</v>
      </c>
      <c r="V619" s="13" t="n">
        <v>80</v>
      </c>
      <c r="W619" s="13" t="n">
        <v>55</v>
      </c>
      <c r="X619" s="13" t="n">
        <v>320</v>
      </c>
      <c r="Y619" s="13" t="n">
        <v>14</v>
      </c>
      <c r="Z619" s="13" t="n">
        <v>149</v>
      </c>
      <c r="AA619" s="13" t="n">
        <v>0.255</v>
      </c>
      <c r="AB619" s="13" t="n">
        <v>201</v>
      </c>
      <c r="AC619" s="13" t="n">
        <v>132</v>
      </c>
      <c r="AD619" s="13" t="n">
        <v>120</v>
      </c>
      <c r="AE619" s="13" t="n">
        <v>6</v>
      </c>
      <c r="AF619" s="13" t="n">
        <v>11.9</v>
      </c>
      <c r="AG619" s="11" t="inlineStr">
        <is>
          <t xml:space="preserve"> Touring</t>
        </is>
      </c>
      <c r="AH619" s="11" t="inlineStr">
        <is>
          <t xml:space="preserve"> Ultralight Touring</t>
        </is>
      </c>
      <c r="AI619" s="13" t="n"/>
      <c r="AJ619" s="13" t="n"/>
      <c r="AK619" s="42" t="n"/>
    </row>
    <row r="620">
      <c r="E620" s="40" t="inlineStr">
        <is>
          <t>21/22</t>
        </is>
      </c>
      <c r="F620" s="10" t="inlineStr">
        <is>
          <t xml:space="preserve"> Dynastar</t>
        </is>
      </c>
      <c r="G620" s="11" t="inlineStr">
        <is>
          <t>M-Tour 99</t>
        </is>
      </c>
      <c r="H620" s="13" t="n">
        <v>178</v>
      </c>
      <c r="I620" s="11" t="inlineStr">
        <is>
          <t xml:space="preserve"> Unisex</t>
        </is>
      </c>
      <c r="J620" s="13" t="n">
        <v>178</v>
      </c>
      <c r="K620" s="13" t="n">
        <v>177.2</v>
      </c>
      <c r="L620" s="13" t="n">
        <v>131</v>
      </c>
      <c r="M620" s="13" t="n">
        <v>145</v>
      </c>
      <c r="N620" s="13" t="n">
        <v>126</v>
      </c>
      <c r="O620" s="13" t="n">
        <v>97</v>
      </c>
      <c r="P620" s="13" t="n">
        <v>116</v>
      </c>
      <c r="Q620" s="13" t="n">
        <v>19.8</v>
      </c>
      <c r="R620" s="13" t="n">
        <v>1334</v>
      </c>
      <c r="S620" s="13" t="n">
        <v>1.42</v>
      </c>
      <c r="T620" s="13" t="n">
        <v>1897</v>
      </c>
      <c r="U620" s="13" t="n">
        <v>243</v>
      </c>
      <c r="V620" s="13" t="n">
        <v>77</v>
      </c>
      <c r="W620" s="13" t="n">
        <v>59</v>
      </c>
      <c r="X620" s="13" t="n">
        <v>324</v>
      </c>
      <c r="Y620" s="13" t="n">
        <v>11</v>
      </c>
      <c r="Z620" s="13" t="n">
        <v>140</v>
      </c>
      <c r="AA620" s="13" t="n">
        <v>0.181</v>
      </c>
      <c r="AB620" s="13" t="n">
        <v>196</v>
      </c>
      <c r="AC620" s="13" t="n">
        <v>126</v>
      </c>
      <c r="AD620" s="13" t="n">
        <v>128</v>
      </c>
      <c r="AE620" s="13" t="n">
        <v>7</v>
      </c>
      <c r="AF620" s="13" t="n">
        <v>12.2</v>
      </c>
      <c r="AG620" s="11" t="inlineStr">
        <is>
          <t xml:space="preserve"> Touring</t>
        </is>
      </c>
      <c r="AH620" s="11" t="inlineStr">
        <is>
          <t xml:space="preserve"> Ultralight Touring</t>
        </is>
      </c>
      <c r="AI620" s="13" t="n"/>
      <c r="AJ620" s="13" t="n"/>
      <c r="AK620" s="42" t="n"/>
    </row>
    <row r="621">
      <c r="E621" s="40" t="inlineStr">
        <is>
          <t>21/22</t>
        </is>
      </c>
      <c r="F621" s="10" t="inlineStr">
        <is>
          <t xml:space="preserve"> Dynastar</t>
        </is>
      </c>
      <c r="G621" s="11" t="inlineStr">
        <is>
          <t>M-Tour 99</t>
        </is>
      </c>
      <c r="H621" s="13" t="n">
        <v>186</v>
      </c>
      <c r="I621" s="11" t="inlineStr">
        <is>
          <t xml:space="preserve"> Unisex</t>
        </is>
      </c>
      <c r="J621" s="13" t="n">
        <v>186</v>
      </c>
      <c r="K621" s="13" t="n">
        <v>185.2</v>
      </c>
      <c r="L621" s="13" t="n">
        <v>138</v>
      </c>
      <c r="M621" s="13" t="n">
        <v>153</v>
      </c>
      <c r="N621" s="13" t="n">
        <v>126</v>
      </c>
      <c r="O621" s="13" t="n">
        <v>97</v>
      </c>
      <c r="P621" s="13" t="n">
        <v>116</v>
      </c>
      <c r="Q621" s="13" t="n">
        <v>22.1</v>
      </c>
      <c r="R621" s="13" t="n">
        <v>1421</v>
      </c>
      <c r="S621" s="13" t="n">
        <v>1.39</v>
      </c>
      <c r="T621" s="13" t="n">
        <v>1975</v>
      </c>
      <c r="U621" s="13" t="n">
        <v>278</v>
      </c>
      <c r="V621" s="13" t="n">
        <v>92</v>
      </c>
      <c r="W621" s="13" t="n">
        <v>56</v>
      </c>
      <c r="X621" s="13" t="n">
        <v>324</v>
      </c>
      <c r="Y621" s="13" t="n">
        <v>12</v>
      </c>
      <c r="Z621" s="13" t="n">
        <v>145</v>
      </c>
      <c r="AA621" s="13" t="n">
        <v>0.214</v>
      </c>
      <c r="AB621" s="13" t="n">
        <v>201</v>
      </c>
      <c r="AC621" s="13" t="n">
        <v>122</v>
      </c>
      <c r="AD621" s="13" t="n">
        <v>123</v>
      </c>
      <c r="AE621" s="13" t="n">
        <v>7</v>
      </c>
      <c r="AF621" s="13" t="n">
        <v>12.4</v>
      </c>
      <c r="AG621" s="11" t="inlineStr">
        <is>
          <t xml:space="preserve"> Touring</t>
        </is>
      </c>
      <c r="AH621" s="11" t="inlineStr">
        <is>
          <t xml:space="preserve"> Ultralight Touring</t>
        </is>
      </c>
      <c r="AI621" s="13" t="n"/>
      <c r="AJ621" s="13" t="n"/>
      <c r="AK621" s="42" t="n"/>
    </row>
    <row r="622">
      <c r="E622" s="40" t="inlineStr">
        <is>
          <t>21/22</t>
        </is>
      </c>
      <c r="F622" s="10" t="inlineStr">
        <is>
          <t xml:space="preserve"> Dynastar</t>
        </is>
      </c>
      <c r="G622" s="11" t="inlineStr">
        <is>
          <t>Speed 563</t>
        </is>
      </c>
      <c r="H622" s="13" t="n">
        <v>155</v>
      </c>
      <c r="I622" s="11" t="inlineStr">
        <is>
          <t xml:space="preserve"> Unisex</t>
        </is>
      </c>
      <c r="J622" s="13" t="n">
        <v>155</v>
      </c>
      <c r="K622" s="13" t="n">
        <v>155.3</v>
      </c>
      <c r="L622" s="13" t="n">
        <v>135</v>
      </c>
      <c r="M622" s="13" t="n">
        <v>141</v>
      </c>
      <c r="N622" s="13" t="n">
        <v>123</v>
      </c>
      <c r="O622" s="13" t="n">
        <v>74</v>
      </c>
      <c r="P622" s="13" t="n">
        <v>109</v>
      </c>
      <c r="Q622" s="13" t="n">
        <v>11.8</v>
      </c>
      <c r="R622" s="13" t="n">
        <v>1474</v>
      </c>
      <c r="S622" s="13" t="n">
        <v>0.9399999999999999</v>
      </c>
      <c r="T622" s="13" t="n">
        <v>1387</v>
      </c>
      <c r="U622" s="13" t="n">
        <v>147</v>
      </c>
      <c r="V622" s="13" t="n">
        <v>50</v>
      </c>
      <c r="W622" s="13" t="n">
        <v>40</v>
      </c>
      <c r="X622" s="13" t="n">
        <v>147</v>
      </c>
      <c r="Y622" s="13" t="n">
        <v>5</v>
      </c>
      <c r="Z622" s="13" t="n">
        <v>54</v>
      </c>
      <c r="AA622" s="13" t="n">
        <v>0.129</v>
      </c>
      <c r="AB622" s="13" t="n">
        <v>84</v>
      </c>
      <c r="AC622" s="13" t="n">
        <v>58</v>
      </c>
      <c r="AD622" s="13" t="n">
        <v>63</v>
      </c>
      <c r="AE622" s="13" t="n">
        <v>7</v>
      </c>
      <c r="AF622" s="13" t="n">
        <v>9.9</v>
      </c>
      <c r="AG622" s="11" t="inlineStr">
        <is>
          <t xml:space="preserve"> On-Piste Carving</t>
        </is>
      </c>
      <c r="AH622" s="13" t="n"/>
      <c r="AI622" s="13" t="n"/>
      <c r="AJ622" s="13" t="n"/>
      <c r="AK622" s="42" t="n"/>
    </row>
    <row r="623">
      <c r="E623" s="40" t="inlineStr">
        <is>
          <t>21/22</t>
        </is>
      </c>
      <c r="F623" s="10" t="inlineStr">
        <is>
          <t xml:space="preserve"> Dynastar</t>
        </is>
      </c>
      <c r="G623" s="11" t="inlineStr">
        <is>
          <t>Speed 563</t>
        </is>
      </c>
      <c r="H623" s="13" t="n">
        <v>170</v>
      </c>
      <c r="I623" s="11" t="inlineStr">
        <is>
          <t xml:space="preserve"> Unisex</t>
        </is>
      </c>
      <c r="J623" s="13" t="n">
        <v>170</v>
      </c>
      <c r="K623" s="13" t="n">
        <v>168.6</v>
      </c>
      <c r="L623" s="13" t="n">
        <v>148</v>
      </c>
      <c r="M623" s="13" t="n">
        <v>155</v>
      </c>
      <c r="N623" s="13" t="n">
        <v>123</v>
      </c>
      <c r="O623" s="13" t="n">
        <v>74</v>
      </c>
      <c r="P623" s="13" t="n">
        <v>110</v>
      </c>
      <c r="Q623" s="13" t="n">
        <v>14.4</v>
      </c>
      <c r="R623" s="13" t="n">
        <v>1638</v>
      </c>
      <c r="S623" s="13" t="n">
        <v>0.92</v>
      </c>
      <c r="T623" s="13" t="n">
        <v>1502</v>
      </c>
      <c r="U623" s="13" t="n">
        <v>194</v>
      </c>
      <c r="V623" s="13" t="n">
        <v>64</v>
      </c>
      <c r="W623" s="13" t="n">
        <v>43</v>
      </c>
      <c r="X623" s="13" t="n">
        <v>152</v>
      </c>
      <c r="Y623" s="13" t="n">
        <v>4</v>
      </c>
      <c r="Z623" s="13" t="n">
        <v>54</v>
      </c>
      <c r="AA623" s="13" t="n">
        <v>0.098</v>
      </c>
      <c r="AB623" s="13" t="n">
        <v>80</v>
      </c>
      <c r="AC623" s="13" t="n">
        <v>52</v>
      </c>
      <c r="AD623" s="13" t="n">
        <v>72</v>
      </c>
      <c r="AE623" s="13" t="n">
        <v>9</v>
      </c>
      <c r="AF623" s="13" t="n">
        <v>10.5</v>
      </c>
      <c r="AG623" s="11" t="inlineStr">
        <is>
          <t xml:space="preserve"> On-Piste Carving</t>
        </is>
      </c>
      <c r="AH623" s="13" t="n"/>
      <c r="AI623" s="13" t="n"/>
      <c r="AJ623" s="13" t="n"/>
      <c r="AK623" s="42" t="n"/>
    </row>
    <row r="624">
      <c r="E624" s="40" t="inlineStr">
        <is>
          <t>21/22</t>
        </is>
      </c>
      <c r="F624" s="10" t="inlineStr">
        <is>
          <t xml:space="preserve"> Dynastar</t>
        </is>
      </c>
      <c r="G624" s="11" t="inlineStr">
        <is>
          <t>Speed 763</t>
        </is>
      </c>
      <c r="H624" s="13" t="n">
        <v>158</v>
      </c>
      <c r="I624" s="11" t="inlineStr">
        <is>
          <t xml:space="preserve"> Unisex</t>
        </is>
      </c>
      <c r="J624" s="13" t="n">
        <v>158</v>
      </c>
      <c r="K624" s="13" t="n">
        <v>157.5</v>
      </c>
      <c r="L624" s="13" t="n">
        <v>136</v>
      </c>
      <c r="M624" s="13" t="n">
        <v>143</v>
      </c>
      <c r="N624" s="13" t="n">
        <v>121</v>
      </c>
      <c r="O624" s="13" t="n">
        <v>72</v>
      </c>
      <c r="P624" s="13" t="n">
        <v>106</v>
      </c>
      <c r="Q624" s="13" t="n">
        <v>12.1</v>
      </c>
      <c r="R624" s="13" t="n">
        <v>1913</v>
      </c>
      <c r="S624" s="13" t="n">
        <v>0.72</v>
      </c>
      <c r="T624" s="13" t="n">
        <v>1372</v>
      </c>
      <c r="U624" s="13" t="n">
        <v>220</v>
      </c>
      <c r="V624" s="13" t="n">
        <v>115</v>
      </c>
      <c r="W624" s="13" t="n">
        <v>40</v>
      </c>
      <c r="X624" s="13" t="n">
        <v>151</v>
      </c>
      <c r="Y624" s="13" t="n">
        <v>7</v>
      </c>
      <c r="Z624" s="13" t="n">
        <v>62</v>
      </c>
      <c r="AA624" s="13" t="n">
        <v>0.189</v>
      </c>
      <c r="AB624" s="13" t="n">
        <v>84</v>
      </c>
      <c r="AC624" s="13" t="n">
        <v>64</v>
      </c>
      <c r="AD624" s="13" t="n">
        <v>67</v>
      </c>
      <c r="AE624" s="13" t="n">
        <v>10</v>
      </c>
      <c r="AF624" s="13" t="n">
        <v>11.1</v>
      </c>
      <c r="AG624" s="11" t="inlineStr">
        <is>
          <t xml:space="preserve"> On-Piste Carving</t>
        </is>
      </c>
      <c r="AH624" s="13" t="n"/>
      <c r="AI624" s="13" t="n"/>
      <c r="AJ624" s="13" t="n"/>
      <c r="AK624" s="42" t="n"/>
    </row>
    <row r="625">
      <c r="E625" s="40" t="inlineStr">
        <is>
          <t>21/22</t>
        </is>
      </c>
      <c r="F625" s="10" t="inlineStr">
        <is>
          <t xml:space="preserve"> Dynastar</t>
        </is>
      </c>
      <c r="G625" s="11" t="inlineStr">
        <is>
          <t>Speed 763</t>
        </is>
      </c>
      <c r="H625" s="13" t="n">
        <v>166</v>
      </c>
      <c r="I625" s="11" t="inlineStr">
        <is>
          <t xml:space="preserve"> Unisex</t>
        </is>
      </c>
      <c r="J625" s="13" t="n">
        <v>166</v>
      </c>
      <c r="K625" s="13" t="n">
        <v>165.1</v>
      </c>
      <c r="L625" s="13" t="n">
        <v>144</v>
      </c>
      <c r="M625" s="13" t="n">
        <v>150</v>
      </c>
      <c r="N625" s="13" t="n">
        <v>120</v>
      </c>
      <c r="O625" s="13" t="n">
        <v>72</v>
      </c>
      <c r="P625" s="13" t="n">
        <v>106</v>
      </c>
      <c r="Q625" s="13" t="n">
        <v>13.5</v>
      </c>
      <c r="R625" s="13" t="n">
        <v>1994</v>
      </c>
      <c r="S625" s="13" t="n">
        <v>0.72</v>
      </c>
      <c r="T625" s="13" t="n">
        <v>1439</v>
      </c>
      <c r="U625" s="13" t="n">
        <v>213</v>
      </c>
      <c r="V625" s="13" t="n">
        <v>106</v>
      </c>
      <c r="W625" s="13" t="n">
        <v>41</v>
      </c>
      <c r="X625" s="13" t="n">
        <v>153</v>
      </c>
      <c r="Y625" s="13" t="n">
        <v>7</v>
      </c>
      <c r="Z625" s="13" t="n">
        <v>58</v>
      </c>
      <c r="AA625" s="13" t="n">
        <v>0.164</v>
      </c>
      <c r="AB625" s="13" t="n">
        <v>87</v>
      </c>
      <c r="AC625" s="13" t="n">
        <v>62</v>
      </c>
      <c r="AD625" s="13" t="n">
        <v>66</v>
      </c>
      <c r="AE625" s="13" t="n">
        <v>11</v>
      </c>
      <c r="AF625" s="13" t="n">
        <v>11.5</v>
      </c>
      <c r="AG625" s="11" t="inlineStr">
        <is>
          <t xml:space="preserve"> On-Piste Carving</t>
        </is>
      </c>
      <c r="AH625" s="13" t="n"/>
      <c r="AI625" s="13" t="n"/>
      <c r="AJ625" s="13" t="n"/>
      <c r="AK625" s="42" t="n"/>
    </row>
    <row r="626">
      <c r="E626" s="40" t="inlineStr">
        <is>
          <t>21/22</t>
        </is>
      </c>
      <c r="F626" s="10" t="inlineStr">
        <is>
          <t xml:space="preserve"> Dynastar</t>
        </is>
      </c>
      <c r="G626" s="11" t="inlineStr">
        <is>
          <t>Speed 763</t>
        </is>
      </c>
      <c r="H626" s="13" t="n">
        <v>174</v>
      </c>
      <c r="I626" s="11" t="inlineStr">
        <is>
          <t xml:space="preserve"> Unisex</t>
        </is>
      </c>
      <c r="J626" s="13" t="n">
        <v>174</v>
      </c>
      <c r="K626" s="13" t="n">
        <v>173.1</v>
      </c>
      <c r="L626" s="13" t="n">
        <v>153</v>
      </c>
      <c r="M626" s="13" t="n">
        <v>159</v>
      </c>
      <c r="N626" s="13" t="n">
        <v>121</v>
      </c>
      <c r="O626" s="13" t="n">
        <v>72</v>
      </c>
      <c r="P626" s="13" t="n">
        <v>105</v>
      </c>
      <c r="Q626" s="13" t="n">
        <v>15.1</v>
      </c>
      <c r="R626" s="13" t="n">
        <v>2102</v>
      </c>
      <c r="S626" s="13" t="n">
        <v>0.72</v>
      </c>
      <c r="T626" s="13" t="n">
        <v>1507</v>
      </c>
      <c r="U626" s="13" t="n">
        <v>224</v>
      </c>
      <c r="V626" s="13" t="n">
        <v>112</v>
      </c>
      <c r="W626" s="13" t="n">
        <v>39</v>
      </c>
      <c r="X626" s="13" t="n">
        <v>144</v>
      </c>
      <c r="Y626" s="13" t="n">
        <v>7</v>
      </c>
      <c r="Z626" s="13" t="n">
        <v>58</v>
      </c>
      <c r="AA626" s="13" t="n">
        <v>0.177</v>
      </c>
      <c r="AB626" s="13" t="n">
        <v>82</v>
      </c>
      <c r="AC626" s="13" t="n">
        <v>62</v>
      </c>
      <c r="AD626" s="13" t="n">
        <v>62</v>
      </c>
      <c r="AE626" s="13" t="n">
        <v>12</v>
      </c>
      <c r="AF626" s="13" t="n">
        <v>11.8</v>
      </c>
      <c r="AG626" s="11" t="inlineStr">
        <is>
          <t xml:space="preserve"> On-Piste Carving</t>
        </is>
      </c>
      <c r="AH626" s="13" t="n"/>
      <c r="AI626" s="13" t="n"/>
      <c r="AJ626" s="13" t="n"/>
      <c r="AK626" s="42" t="n"/>
    </row>
    <row r="627">
      <c r="E627" s="40" t="inlineStr">
        <is>
          <t>21/22</t>
        </is>
      </c>
      <c r="F627" s="10" t="inlineStr">
        <is>
          <t xml:space="preserve"> Elan</t>
        </is>
      </c>
      <c r="G627" s="11" t="inlineStr">
        <is>
          <t xml:space="preserve"> Ace SLX</t>
        </is>
      </c>
      <c r="H627" s="13" t="n">
        <v>159</v>
      </c>
      <c r="I627" s="11" t="inlineStr">
        <is>
          <t xml:space="preserve"> Unisex</t>
        </is>
      </c>
      <c r="J627" s="13" t="n">
        <v>159</v>
      </c>
      <c r="K627" s="13" t="n">
        <v>157.9</v>
      </c>
      <c r="L627" s="13" t="n">
        <v>141</v>
      </c>
      <c r="M627" s="13" t="n">
        <v>148</v>
      </c>
      <c r="N627" s="13" t="n">
        <v>118</v>
      </c>
      <c r="O627" s="13" t="n">
        <v>67</v>
      </c>
      <c r="P627" s="13" t="n">
        <v>102</v>
      </c>
      <c r="Q627" s="13" t="n">
        <v>12.6</v>
      </c>
      <c r="R627" s="13" t="n">
        <v>2277</v>
      </c>
      <c r="S627" s="13" t="n">
        <v>0.58</v>
      </c>
      <c r="T627" s="13" t="n">
        <v>1309</v>
      </c>
      <c r="U627" s="13" t="n">
        <v>217</v>
      </c>
      <c r="V627" s="13" t="n">
        <v>121</v>
      </c>
      <c r="W627" s="13" t="n">
        <v>36</v>
      </c>
      <c r="X627" s="13" t="n">
        <v>131</v>
      </c>
      <c r="Y627" s="13" t="n">
        <v>3</v>
      </c>
      <c r="Z627" s="13" t="n">
        <v>41</v>
      </c>
      <c r="AA627" s="13" t="n">
        <v>0.092</v>
      </c>
      <c r="AB627" s="13" t="n">
        <v>58</v>
      </c>
      <c r="AC627" s="13" t="n">
        <v>39</v>
      </c>
      <c r="AD627" s="13" t="n">
        <v>74</v>
      </c>
      <c r="AE627" s="13" t="n">
        <v>10</v>
      </c>
      <c r="AF627" s="13" t="n">
        <v>9</v>
      </c>
      <c r="AG627" s="11" t="inlineStr">
        <is>
          <t xml:space="preserve"> On-Piste Carving</t>
        </is>
      </c>
      <c r="AH627" s="13" t="n"/>
      <c r="AI627" s="13" t="n"/>
      <c r="AJ627" s="13" t="n"/>
      <c r="AK627" s="42" t="n"/>
    </row>
    <row r="628">
      <c r="E628" s="40" t="inlineStr">
        <is>
          <t>21/22</t>
        </is>
      </c>
      <c r="F628" s="10" t="inlineStr">
        <is>
          <t xml:space="preserve"> Elan</t>
        </is>
      </c>
      <c r="G628" s="11" t="inlineStr">
        <is>
          <t xml:space="preserve"> Ace SLX</t>
        </is>
      </c>
      <c r="H628" s="13" t="n">
        <v>164</v>
      </c>
      <c r="I628" s="11" t="inlineStr">
        <is>
          <t xml:space="preserve"> Unisex</t>
        </is>
      </c>
      <c r="J628" s="13" t="n">
        <v>164</v>
      </c>
      <c r="K628" s="13" t="n">
        <v>162.9</v>
      </c>
      <c r="L628" s="13" t="n">
        <v>146</v>
      </c>
      <c r="M628" s="13" t="n">
        <v>153</v>
      </c>
      <c r="N628" s="13" t="n">
        <v>120</v>
      </c>
      <c r="O628" s="13" t="n">
        <v>67</v>
      </c>
      <c r="P628" s="13" t="n">
        <v>103</v>
      </c>
      <c r="Q628" s="13" t="n">
        <v>12.8</v>
      </c>
      <c r="R628" s="11" t="inlineStr">
        <is>
          <t xml:space="preserve"> None</t>
        </is>
      </c>
      <c r="S628" s="11" t="inlineStr">
        <is>
          <t xml:space="preserve"> None</t>
        </is>
      </c>
      <c r="T628" s="13" t="n">
        <v>1363</v>
      </c>
      <c r="U628" s="13" t="n">
        <v>216</v>
      </c>
      <c r="V628" s="13" t="n">
        <v>116</v>
      </c>
      <c r="W628" s="13" t="n">
        <v>37</v>
      </c>
      <c r="X628" s="13" t="n">
        <v>127</v>
      </c>
      <c r="Y628" s="13" t="n">
        <v>3</v>
      </c>
      <c r="Z628" s="13" t="n">
        <v>42</v>
      </c>
      <c r="AA628" s="13" t="n">
        <v>0.075</v>
      </c>
      <c r="AB628" s="13" t="n">
        <v>60</v>
      </c>
      <c r="AC628" s="13" t="n">
        <v>39</v>
      </c>
      <c r="AD628" s="13" t="n">
        <v>67</v>
      </c>
      <c r="AE628" s="13" t="n">
        <v>10</v>
      </c>
      <c r="AF628" s="13" t="n">
        <v>8.4</v>
      </c>
      <c r="AG628" s="11" t="inlineStr">
        <is>
          <t xml:space="preserve"> Other</t>
        </is>
      </c>
      <c r="AH628" s="13" t="n"/>
      <c r="AI628" s="13" t="n"/>
      <c r="AJ628" s="13" t="n"/>
      <c r="AK628" s="42" t="n"/>
    </row>
    <row r="629">
      <c r="E629" s="40" t="inlineStr">
        <is>
          <t>21/22</t>
        </is>
      </c>
      <c r="F629" s="10" t="inlineStr">
        <is>
          <t xml:space="preserve"> Elan</t>
        </is>
      </c>
      <c r="G629" s="11" t="inlineStr">
        <is>
          <t xml:space="preserve"> Ace SLX</t>
        </is>
      </c>
      <c r="H629" s="13" t="n">
        <v>169</v>
      </c>
      <c r="I629" s="11" t="inlineStr">
        <is>
          <t xml:space="preserve"> Unisex</t>
        </is>
      </c>
      <c r="J629" s="13" t="n">
        <v>169</v>
      </c>
      <c r="K629" s="13" t="n">
        <v>168.1</v>
      </c>
      <c r="L629" s="13" t="n">
        <v>151</v>
      </c>
      <c r="M629" s="13" t="n">
        <v>158</v>
      </c>
      <c r="N629" s="13" t="n">
        <v>121</v>
      </c>
      <c r="O629" s="13" t="n">
        <v>67</v>
      </c>
      <c r="P629" s="13" t="n">
        <v>104</v>
      </c>
      <c r="Q629" s="13" t="n">
        <v>13.3</v>
      </c>
      <c r="R629" s="13" t="n">
        <v>2460</v>
      </c>
      <c r="S629" s="13" t="n">
        <v>0.58</v>
      </c>
      <c r="T629" s="13" t="n">
        <v>1418</v>
      </c>
      <c r="U629" s="13" t="n">
        <v>244</v>
      </c>
      <c r="V629" s="13" t="n">
        <v>136</v>
      </c>
      <c r="W629" s="13" t="n">
        <v>37</v>
      </c>
      <c r="X629" s="13" t="n">
        <v>131</v>
      </c>
      <c r="Y629" s="13" t="n">
        <v>3</v>
      </c>
      <c r="Z629" s="13" t="n">
        <v>42</v>
      </c>
      <c r="AA629" s="13" t="n">
        <v>0.074</v>
      </c>
      <c r="AB629" s="13" t="n">
        <v>56</v>
      </c>
      <c r="AC629" s="13" t="n">
        <v>41</v>
      </c>
      <c r="AD629" s="13" t="n">
        <v>75</v>
      </c>
      <c r="AE629" s="13" t="n">
        <v>11</v>
      </c>
      <c r="AF629" s="13" t="n">
        <v>8.6</v>
      </c>
      <c r="AG629" s="11" t="inlineStr">
        <is>
          <t xml:space="preserve"> On-Piste Carving</t>
        </is>
      </c>
      <c r="AH629" s="13" t="n"/>
      <c r="AI629" s="13" t="n"/>
      <c r="AJ629" s="13" t="n"/>
      <c r="AK629" s="42" t="n"/>
    </row>
    <row r="630">
      <c r="E630" s="40" t="inlineStr">
        <is>
          <t>21/22</t>
        </is>
      </c>
      <c r="F630" s="10" t="inlineStr">
        <is>
          <t xml:space="preserve"> Elan</t>
        </is>
      </c>
      <c r="G630" s="11" t="inlineStr">
        <is>
          <t xml:space="preserve"> Ace Speed Magic</t>
        </is>
      </c>
      <c r="H630" s="13" t="n">
        <v>149</v>
      </c>
      <c r="I630" s="11" t="inlineStr">
        <is>
          <t xml:space="preserve"> Women's</t>
        </is>
      </c>
      <c r="J630" s="13" t="n">
        <v>149</v>
      </c>
      <c r="K630" s="13" t="n">
        <v>147.7</v>
      </c>
      <c r="L630" s="13" t="n">
        <v>131</v>
      </c>
      <c r="M630" s="13" t="n">
        <v>138</v>
      </c>
      <c r="N630" s="13" t="n">
        <v>109</v>
      </c>
      <c r="O630" s="13" t="n">
        <v>67</v>
      </c>
      <c r="P630" s="13" t="n">
        <v>95</v>
      </c>
      <c r="Q630" s="13" t="n">
        <v>12.7</v>
      </c>
      <c r="R630" s="13" t="n">
        <v>1569</v>
      </c>
      <c r="S630" s="13" t="n">
        <v>0.76</v>
      </c>
      <c r="T630" s="13" t="n">
        <v>1185</v>
      </c>
      <c r="U630" s="13" t="n">
        <v>222</v>
      </c>
      <c r="V630" s="13" t="n">
        <v>98</v>
      </c>
      <c r="W630" s="13" t="n">
        <v>34</v>
      </c>
      <c r="X630" s="13" t="n">
        <v>125</v>
      </c>
      <c r="Y630" s="13" t="n">
        <v>3</v>
      </c>
      <c r="Z630" s="13" t="n">
        <v>44</v>
      </c>
      <c r="AA630" s="13" t="n">
        <v>0.079</v>
      </c>
      <c r="AB630" s="13" t="n">
        <v>57</v>
      </c>
      <c r="AC630" s="13" t="n">
        <v>40</v>
      </c>
      <c r="AD630" s="13" t="n">
        <v>68</v>
      </c>
      <c r="AE630" s="13" t="n">
        <v>6</v>
      </c>
      <c r="AF630" s="13" t="n">
        <v>11</v>
      </c>
      <c r="AG630" s="11" t="inlineStr">
        <is>
          <t xml:space="preserve"> On-Piste Carving</t>
        </is>
      </c>
      <c r="AH630" s="13" t="n"/>
      <c r="AI630" s="13" t="n"/>
      <c r="AJ630" s="13" t="n"/>
      <c r="AK630" s="42" t="n"/>
    </row>
    <row r="631">
      <c r="E631" s="40" t="inlineStr">
        <is>
          <t>21/22</t>
        </is>
      </c>
      <c r="F631" s="10" t="inlineStr">
        <is>
          <t xml:space="preserve"> Elan</t>
        </is>
      </c>
      <c r="G631" s="11" t="inlineStr">
        <is>
          <t xml:space="preserve"> Ace Speed Magic</t>
        </is>
      </c>
      <c r="H631" s="13" t="n">
        <v>155</v>
      </c>
      <c r="I631" s="11" t="inlineStr">
        <is>
          <t xml:space="preserve"> Women's</t>
        </is>
      </c>
      <c r="J631" s="13" t="n">
        <v>155</v>
      </c>
      <c r="K631" s="13" t="n">
        <v>153.6</v>
      </c>
      <c r="L631" s="13" t="n">
        <v>137</v>
      </c>
      <c r="M631" s="13" t="n">
        <v>143</v>
      </c>
      <c r="N631" s="13" t="n">
        <v>110</v>
      </c>
      <c r="O631" s="13" t="n">
        <v>66</v>
      </c>
      <c r="P631" s="13" t="n">
        <v>96</v>
      </c>
      <c r="Q631" s="13" t="n">
        <v>13.5</v>
      </c>
      <c r="R631" s="13" t="n">
        <v>1676</v>
      </c>
      <c r="S631" s="13" t="n">
        <v>0.74</v>
      </c>
      <c r="T631" s="13" t="n">
        <v>1233</v>
      </c>
      <c r="U631" s="13" t="n">
        <v>223</v>
      </c>
      <c r="V631" s="13" t="n">
        <v>107</v>
      </c>
      <c r="W631" s="13" t="n">
        <v>36</v>
      </c>
      <c r="X631" s="13" t="n">
        <v>126</v>
      </c>
      <c r="Y631" s="13" t="n">
        <v>3</v>
      </c>
      <c r="Z631" s="13" t="n">
        <v>40</v>
      </c>
      <c r="AA631" s="13" t="n">
        <v>0.074</v>
      </c>
      <c r="AB631" s="13" t="n">
        <v>64</v>
      </c>
      <c r="AC631" s="13" t="n">
        <v>40</v>
      </c>
      <c r="AD631" s="13" t="n">
        <v>62</v>
      </c>
      <c r="AE631" s="13" t="n">
        <v>8</v>
      </c>
      <c r="AF631" s="13" t="n">
        <v>10.4</v>
      </c>
      <c r="AG631" s="11" t="inlineStr">
        <is>
          <t xml:space="preserve"> On-Piste Carving</t>
        </is>
      </c>
      <c r="AH631" s="13" t="n"/>
      <c r="AI631" s="13" t="n"/>
      <c r="AJ631" s="13" t="n"/>
      <c r="AK631" s="42" t="n"/>
    </row>
    <row r="632">
      <c r="E632" s="40" t="inlineStr">
        <is>
          <t>21/22</t>
        </is>
      </c>
      <c r="F632" s="10" t="inlineStr">
        <is>
          <t xml:space="preserve"> Elan</t>
        </is>
      </c>
      <c r="G632" s="11" t="inlineStr">
        <is>
          <t>Amphibio 14 Ti</t>
        </is>
      </c>
      <c r="H632" s="13" t="n">
        <v>160</v>
      </c>
      <c r="I632" s="11" t="inlineStr">
        <is>
          <t xml:space="preserve"> Unisex</t>
        </is>
      </c>
      <c r="J632" s="13" t="n">
        <v>160</v>
      </c>
      <c r="K632" s="13" t="n">
        <v>159.1</v>
      </c>
      <c r="L632" s="13" t="n">
        <v>138</v>
      </c>
      <c r="M632" s="13" t="n">
        <v>143</v>
      </c>
      <c r="N632" s="13" t="n">
        <v>125</v>
      </c>
      <c r="O632" s="13" t="n">
        <v>76</v>
      </c>
      <c r="P632" s="13" t="n">
        <v>104</v>
      </c>
      <c r="Q632" s="13" t="n">
        <v>13.2</v>
      </c>
      <c r="R632" s="13" t="n">
        <v>1926</v>
      </c>
      <c r="S632" s="13" t="n">
        <v>0.75</v>
      </c>
      <c r="T632" s="13" t="n">
        <v>1448</v>
      </c>
      <c r="U632" s="13" t="n">
        <v>176</v>
      </c>
      <c r="V632" s="13" t="n">
        <v>79</v>
      </c>
      <c r="W632" s="13" t="n">
        <v>32</v>
      </c>
      <c r="X632" s="13" t="n">
        <v>140</v>
      </c>
      <c r="Y632" s="13" t="n">
        <v>10</v>
      </c>
      <c r="Z632" s="13" t="n">
        <v>69</v>
      </c>
      <c r="AA632" s="13" t="n">
        <v>0.307</v>
      </c>
      <c r="AB632" s="13" t="n">
        <v>98</v>
      </c>
      <c r="AC632" s="13" t="n">
        <v>61</v>
      </c>
      <c r="AD632" s="13" t="n">
        <v>42</v>
      </c>
      <c r="AE632" s="13" t="n">
        <v>11</v>
      </c>
      <c r="AF632" s="13" t="n">
        <v>9.5</v>
      </c>
      <c r="AG632" s="11" t="inlineStr">
        <is>
          <t xml:space="preserve"> On-Piste Carving</t>
        </is>
      </c>
      <c r="AH632" s="11" t="inlineStr">
        <is>
          <t xml:space="preserve"> On-Piste All-Mountain</t>
        </is>
      </c>
      <c r="AI632" s="13" t="n"/>
      <c r="AJ632" s="13" t="n"/>
      <c r="AK632" s="42" t="n"/>
    </row>
    <row r="633">
      <c r="E633" s="40" t="inlineStr">
        <is>
          <t>21/22</t>
        </is>
      </c>
      <c r="F633" s="10" t="inlineStr">
        <is>
          <t xml:space="preserve"> Elan</t>
        </is>
      </c>
      <c r="G633" s="11" t="inlineStr">
        <is>
          <t>Amphibio 14 Ti</t>
        </is>
      </c>
      <c r="H633" s="13" t="n">
        <v>168</v>
      </c>
      <c r="I633" s="11" t="inlineStr">
        <is>
          <t xml:space="preserve"> Unisex</t>
        </is>
      </c>
      <c r="J633" s="13" t="n">
        <v>168</v>
      </c>
      <c r="K633" s="13" t="n">
        <v>167.3</v>
      </c>
      <c r="L633" s="13" t="n">
        <v>146</v>
      </c>
      <c r="M633" s="13" t="n">
        <v>153</v>
      </c>
      <c r="N633" s="13" t="n">
        <v>124</v>
      </c>
      <c r="O633" s="13" t="n">
        <v>75</v>
      </c>
      <c r="P633" s="13" t="n">
        <v>103</v>
      </c>
      <c r="Q633" s="13" t="n">
        <v>14.8</v>
      </c>
      <c r="R633" s="13" t="n">
        <v>2032</v>
      </c>
      <c r="S633" s="13" t="n">
        <v>0.74</v>
      </c>
      <c r="T633" s="13" t="n">
        <v>1498</v>
      </c>
      <c r="U633" s="13" t="n">
        <v>208</v>
      </c>
      <c r="V633" s="13" t="n">
        <v>93</v>
      </c>
      <c r="W633" s="13" t="n">
        <v>31</v>
      </c>
      <c r="X633" s="13" t="n">
        <v>144</v>
      </c>
      <c r="Y633" s="13" t="n">
        <v>10</v>
      </c>
      <c r="Z633" s="13" t="n">
        <v>72</v>
      </c>
      <c r="AA633" s="13" t="n">
        <v>0.322</v>
      </c>
      <c r="AB633" s="13" t="n">
        <v>85</v>
      </c>
      <c r="AC633" s="13" t="n">
        <v>60</v>
      </c>
      <c r="AD633" s="13" t="n">
        <v>59</v>
      </c>
      <c r="AE633" s="13" t="n">
        <v>11</v>
      </c>
      <c r="AF633" s="13" t="n">
        <v>9.4</v>
      </c>
      <c r="AG633" s="11" t="inlineStr">
        <is>
          <t xml:space="preserve"> On-Piste Carving</t>
        </is>
      </c>
      <c r="AH633" s="13" t="n"/>
      <c r="AI633" s="13" t="n"/>
      <c r="AJ633" s="13" t="n"/>
      <c r="AK633" s="42" t="n"/>
    </row>
    <row r="634">
      <c r="E634" s="40" t="inlineStr">
        <is>
          <t>21/22</t>
        </is>
      </c>
      <c r="F634" s="10" t="inlineStr">
        <is>
          <t xml:space="preserve"> Elan</t>
        </is>
      </c>
      <c r="G634" s="11" t="inlineStr">
        <is>
          <t xml:space="preserve"> Amphibio STI</t>
        </is>
      </c>
      <c r="H634" s="13" t="n">
        <v>160</v>
      </c>
      <c r="I634" s="11" t="inlineStr">
        <is>
          <t xml:space="preserve"> Unisex</t>
        </is>
      </c>
      <c r="J634" s="13" t="n">
        <v>160</v>
      </c>
      <c r="K634" s="13" t="n">
        <v>159</v>
      </c>
      <c r="L634" s="13" t="n">
        <v>138</v>
      </c>
      <c r="M634" s="13" t="n">
        <v>145</v>
      </c>
      <c r="N634" s="13" t="n">
        <v>126</v>
      </c>
      <c r="O634" s="13" t="n">
        <v>75</v>
      </c>
      <c r="P634" s="13" t="n">
        <v>104</v>
      </c>
      <c r="Q634" s="13" t="n">
        <v>12.9</v>
      </c>
      <c r="R634" s="13" t="n">
        <v>1562</v>
      </c>
      <c r="S634" s="13" t="n">
        <v>0.92</v>
      </c>
      <c r="T634" s="13" t="n">
        <v>1434</v>
      </c>
      <c r="U634" s="13" t="n">
        <v>153</v>
      </c>
      <c r="V634" s="13" t="n">
        <v>71</v>
      </c>
      <c r="W634" s="13" t="n">
        <v>40</v>
      </c>
      <c r="X634" s="13" t="n">
        <v>146</v>
      </c>
      <c r="Y634" s="13" t="n">
        <v>6</v>
      </c>
      <c r="Z634" s="13" t="n">
        <v>62</v>
      </c>
      <c r="AA634" s="13" t="n">
        <v>0.154</v>
      </c>
      <c r="AB634" s="13" t="n">
        <v>95</v>
      </c>
      <c r="AC634" s="13" t="n">
        <v>49</v>
      </c>
      <c r="AD634" s="13" t="n">
        <v>51</v>
      </c>
      <c r="AE634" s="13" t="n">
        <v>11</v>
      </c>
      <c r="AF634" s="13" t="n">
        <v>10</v>
      </c>
      <c r="AG634" s="11" t="inlineStr">
        <is>
          <t xml:space="preserve"> On-Piste Carving</t>
        </is>
      </c>
      <c r="AH634" s="13" t="n"/>
      <c r="AI634" s="13" t="n"/>
      <c r="AJ634" s="13" t="n"/>
      <c r="AK634" s="42" t="n"/>
    </row>
    <row r="635">
      <c r="E635" s="40" t="inlineStr">
        <is>
          <t>21/22</t>
        </is>
      </c>
      <c r="F635" s="10" t="inlineStr">
        <is>
          <t xml:space="preserve"> Elan</t>
        </is>
      </c>
      <c r="G635" s="11" t="inlineStr">
        <is>
          <t xml:space="preserve"> Amphibio STI</t>
        </is>
      </c>
      <c r="H635" s="13" t="n">
        <v>176</v>
      </c>
      <c r="I635" s="11" t="inlineStr">
        <is>
          <t xml:space="preserve"> Unisex</t>
        </is>
      </c>
      <c r="J635" s="13" t="n">
        <v>176</v>
      </c>
      <c r="K635" s="13" t="n">
        <v>174.8</v>
      </c>
      <c r="L635" s="13" t="n">
        <v>154</v>
      </c>
      <c r="M635" s="13" t="n">
        <v>161</v>
      </c>
      <c r="N635" s="13" t="n">
        <v>126</v>
      </c>
      <c r="O635" s="13" t="n">
        <v>75</v>
      </c>
      <c r="P635" s="13" t="n">
        <v>104</v>
      </c>
      <c r="Q635" s="13" t="n">
        <v>16.2</v>
      </c>
      <c r="R635" s="13" t="n">
        <v>1827</v>
      </c>
      <c r="S635" s="13" t="n">
        <v>0.86</v>
      </c>
      <c r="T635" s="13" t="n">
        <v>1572</v>
      </c>
      <c r="U635" s="13" t="n">
        <v>232</v>
      </c>
      <c r="V635" s="13" t="n">
        <v>93</v>
      </c>
      <c r="W635" s="13" t="n">
        <v>39</v>
      </c>
      <c r="X635" s="13" t="n">
        <v>140</v>
      </c>
      <c r="Y635" s="13" t="n">
        <v>7</v>
      </c>
      <c r="Z635" s="13" t="n">
        <v>68</v>
      </c>
      <c r="AA635" s="13" t="n">
        <v>0.176</v>
      </c>
      <c r="AB635" s="13" t="n">
        <v>87</v>
      </c>
      <c r="AC635" s="13" t="n">
        <v>52</v>
      </c>
      <c r="AD635" s="13" t="n">
        <v>53</v>
      </c>
      <c r="AE635" s="13" t="n">
        <v>9</v>
      </c>
      <c r="AF635" s="13" t="n">
        <v>10.5</v>
      </c>
      <c r="AG635" s="11" t="inlineStr">
        <is>
          <t xml:space="preserve"> On-Piste Carving</t>
        </is>
      </c>
      <c r="AH635" s="13" t="n"/>
      <c r="AI635" s="13" t="n"/>
      <c r="AJ635" s="13" t="n"/>
      <c r="AK635" s="42" t="n"/>
    </row>
    <row r="636">
      <c r="E636" s="40" t="inlineStr">
        <is>
          <t>21/22</t>
        </is>
      </c>
      <c r="F636" s="10" t="inlineStr">
        <is>
          <t xml:space="preserve"> Elan</t>
        </is>
      </c>
      <c r="G636" s="11" t="inlineStr">
        <is>
          <t xml:space="preserve"> Element</t>
        </is>
      </c>
      <c r="H636" s="13" t="n">
        <v>144</v>
      </c>
      <c r="I636" s="11" t="inlineStr">
        <is>
          <t xml:space="preserve"> Unisex</t>
        </is>
      </c>
      <c r="J636" s="13" t="n">
        <v>144</v>
      </c>
      <c r="K636" s="13" t="n">
        <v>143.2</v>
      </c>
      <c r="L636" s="13" t="n">
        <v>111</v>
      </c>
      <c r="M636" s="13" t="n">
        <v>130</v>
      </c>
      <c r="N636" s="13" t="n">
        <v>125</v>
      </c>
      <c r="O636" s="13" t="n">
        <v>74</v>
      </c>
      <c r="P636" s="13" t="n">
        <v>100</v>
      </c>
      <c r="Q636" s="13" t="n">
        <v>10.5</v>
      </c>
      <c r="R636" s="13" t="n">
        <v>1485</v>
      </c>
      <c r="S636" s="13" t="n">
        <v>0.86</v>
      </c>
      <c r="T636" s="13" t="n">
        <v>1277</v>
      </c>
      <c r="U636" s="13" t="n">
        <v>142</v>
      </c>
      <c r="V636" s="13" t="n">
        <v>51</v>
      </c>
      <c r="W636" s="13" t="n">
        <v>38</v>
      </c>
      <c r="X636" s="13" t="n">
        <v>186</v>
      </c>
      <c r="Y636" s="13" t="n">
        <v>10</v>
      </c>
      <c r="Z636" s="13" t="n">
        <v>132</v>
      </c>
      <c r="AA636" s="13" t="n">
        <v>0.274</v>
      </c>
      <c r="AB636" s="13" t="n">
        <v>81</v>
      </c>
      <c r="AC636" s="13" t="n">
        <v>55</v>
      </c>
      <c r="AD636" s="13" t="n">
        <v>105</v>
      </c>
      <c r="AE636" s="13" t="n">
        <v>3</v>
      </c>
      <c r="AF636" s="13" t="n">
        <v>10.1</v>
      </c>
      <c r="AG636" s="11" t="inlineStr">
        <is>
          <t xml:space="preserve"> Other</t>
        </is>
      </c>
      <c r="AH636" s="13" t="n"/>
      <c r="AI636" s="13" t="n"/>
      <c r="AJ636" s="13" t="n"/>
      <c r="AK636" s="42" t="n"/>
    </row>
    <row r="637">
      <c r="E637" s="40" t="inlineStr">
        <is>
          <t>21/22</t>
        </is>
      </c>
      <c r="F637" s="10" t="inlineStr">
        <is>
          <t xml:space="preserve"> Elan</t>
        </is>
      </c>
      <c r="G637" s="11" t="inlineStr">
        <is>
          <t xml:space="preserve"> Element</t>
        </is>
      </c>
      <c r="H637" s="13" t="n">
        <v>152</v>
      </c>
      <c r="I637" s="11" t="inlineStr">
        <is>
          <t xml:space="preserve"> Unisex</t>
        </is>
      </c>
      <c r="J637" s="13" t="n">
        <v>152</v>
      </c>
      <c r="K637" s="13" t="n">
        <v>151.3</v>
      </c>
      <c r="L637" s="13" t="n">
        <v>128</v>
      </c>
      <c r="M637" s="13" t="n">
        <v>137</v>
      </c>
      <c r="N637" s="13" t="n">
        <v>125</v>
      </c>
      <c r="O637" s="13" t="n">
        <v>74</v>
      </c>
      <c r="P637" s="13" t="n">
        <v>100</v>
      </c>
      <c r="Q637" s="13" t="n">
        <v>12</v>
      </c>
      <c r="R637" s="13" t="n">
        <v>1543</v>
      </c>
      <c r="S637" s="13" t="n">
        <v>0.87</v>
      </c>
      <c r="T637" s="13" t="n">
        <v>1349</v>
      </c>
      <c r="U637" s="13" t="n">
        <v>144</v>
      </c>
      <c r="V637" s="13" t="n">
        <v>54</v>
      </c>
      <c r="W637" s="13" t="n">
        <v>35</v>
      </c>
      <c r="X637" s="13" t="n">
        <v>159</v>
      </c>
      <c r="Y637" s="13" t="n">
        <v>9</v>
      </c>
      <c r="Z637" s="13" t="n">
        <v>70</v>
      </c>
      <c r="AA637" s="13" t="n">
        <v>0.256</v>
      </c>
      <c r="AB637" s="13" t="n">
        <v>91</v>
      </c>
      <c r="AC637" s="13" t="n">
        <v>53</v>
      </c>
      <c r="AD637" s="13" t="n">
        <v>69</v>
      </c>
      <c r="AE637" s="13" t="n">
        <v>6</v>
      </c>
      <c r="AF637" s="13" t="n">
        <v>11.5</v>
      </c>
      <c r="AG637" s="11" t="inlineStr">
        <is>
          <t xml:space="preserve"> On-Piste Carving</t>
        </is>
      </c>
      <c r="AH637" s="13" t="n"/>
      <c r="AI637" s="13" t="n"/>
      <c r="AJ637" s="13" t="n"/>
      <c r="AK637" s="42" t="n"/>
    </row>
    <row r="638">
      <c r="E638" s="40" t="inlineStr">
        <is>
          <t>21/22</t>
        </is>
      </c>
      <c r="F638" s="10" t="inlineStr">
        <is>
          <t xml:space="preserve"> Elan</t>
        </is>
      </c>
      <c r="G638" s="11" t="inlineStr">
        <is>
          <t xml:space="preserve"> Element</t>
        </is>
      </c>
      <c r="H638" s="13" t="n">
        <v>160</v>
      </c>
      <c r="I638" s="11" t="inlineStr">
        <is>
          <t xml:space="preserve"> Unisex</t>
        </is>
      </c>
      <c r="J638" s="13" t="n">
        <v>160</v>
      </c>
      <c r="K638" s="13" t="n">
        <v>159.5</v>
      </c>
      <c r="L638" s="13" t="n">
        <v>135</v>
      </c>
      <c r="M638" s="13" t="n">
        <v>146</v>
      </c>
      <c r="N638" s="13" t="n">
        <v>126</v>
      </c>
      <c r="O638" s="13" t="n">
        <v>75</v>
      </c>
      <c r="P638" s="13" t="n">
        <v>101</v>
      </c>
      <c r="Q638" s="13" t="n">
        <v>13.5</v>
      </c>
      <c r="R638" s="13" t="n">
        <v>1710</v>
      </c>
      <c r="S638" s="13" t="n">
        <v>0.84</v>
      </c>
      <c r="T638" s="13" t="n">
        <v>1435</v>
      </c>
      <c r="U638" s="13" t="n">
        <v>172</v>
      </c>
      <c r="V638" s="13" t="n">
        <v>63</v>
      </c>
      <c r="W638" s="13" t="n">
        <v>38</v>
      </c>
      <c r="X638" s="13" t="n">
        <v>167</v>
      </c>
      <c r="Y638" s="13" t="n">
        <v>10</v>
      </c>
      <c r="Z638" s="13" t="n">
        <v>74</v>
      </c>
      <c r="AA638" s="13" t="n">
        <v>0.258</v>
      </c>
      <c r="AB638" s="13" t="n">
        <v>80</v>
      </c>
      <c r="AC638" s="13" t="n">
        <v>56</v>
      </c>
      <c r="AD638" s="13" t="n">
        <v>87</v>
      </c>
      <c r="AE638" s="13" t="n">
        <v>6</v>
      </c>
      <c r="AF638" s="13" t="n">
        <v>11.3</v>
      </c>
      <c r="AG638" s="11" t="inlineStr">
        <is>
          <t xml:space="preserve"> On-Piste Carving</t>
        </is>
      </c>
      <c r="AH638" s="13" t="n"/>
      <c r="AI638" s="13" t="n"/>
      <c r="AJ638" s="13" t="n"/>
      <c r="AK638" s="42" t="n"/>
    </row>
    <row r="639">
      <c r="E639" s="40" t="inlineStr">
        <is>
          <t>21/22</t>
        </is>
      </c>
      <c r="F639" s="10" t="inlineStr">
        <is>
          <t xml:space="preserve"> Elan</t>
        </is>
      </c>
      <c r="G639" s="11" t="inlineStr">
        <is>
          <t xml:space="preserve"> Element</t>
        </is>
      </c>
      <c r="H639" s="13" t="n">
        <v>168</v>
      </c>
      <c r="I639" s="11" t="inlineStr">
        <is>
          <t xml:space="preserve"> Unisex</t>
        </is>
      </c>
      <c r="J639" s="13" t="n">
        <v>168</v>
      </c>
      <c r="K639" s="13" t="n">
        <v>167.4</v>
      </c>
      <c r="L639" s="13" t="n">
        <v>144</v>
      </c>
      <c r="M639" s="13" t="n">
        <v>153</v>
      </c>
      <c r="N639" s="13" t="n">
        <v>126</v>
      </c>
      <c r="O639" s="13" t="n">
        <v>75</v>
      </c>
      <c r="P639" s="13" t="n">
        <v>101</v>
      </c>
      <c r="Q639" s="13" t="n">
        <v>15.1</v>
      </c>
      <c r="R639" s="13" t="n">
        <v>1822</v>
      </c>
      <c r="S639" s="13" t="n">
        <v>0.83</v>
      </c>
      <c r="T639" s="13" t="n">
        <v>1504</v>
      </c>
      <c r="U639" s="13" t="n">
        <v>203</v>
      </c>
      <c r="V639" s="13" t="n">
        <v>74</v>
      </c>
      <c r="W639" s="13" t="n">
        <v>34</v>
      </c>
      <c r="X639" s="13" t="n">
        <v>153</v>
      </c>
      <c r="Y639" s="13" t="n">
        <v>10</v>
      </c>
      <c r="Z639" s="13" t="n">
        <v>79</v>
      </c>
      <c r="AA639" s="13" t="n">
        <v>0.296</v>
      </c>
      <c r="AB639" s="13" t="n">
        <v>86</v>
      </c>
      <c r="AC639" s="13" t="n">
        <v>58</v>
      </c>
      <c r="AD639" s="13" t="n">
        <v>68</v>
      </c>
      <c r="AE639" s="13" t="n">
        <v>6</v>
      </c>
      <c r="AF639" s="13" t="n">
        <v>11.1</v>
      </c>
      <c r="AG639" s="11" t="inlineStr">
        <is>
          <t xml:space="preserve"> On-Piste Carving</t>
        </is>
      </c>
      <c r="AH639" s="13" t="n"/>
      <c r="AI639" s="13" t="n"/>
      <c r="AJ639" s="13" t="n"/>
      <c r="AK639" s="42" t="n"/>
    </row>
    <row r="640">
      <c r="E640" s="40" t="inlineStr">
        <is>
          <t>21/22</t>
        </is>
      </c>
      <c r="F640" s="10" t="inlineStr">
        <is>
          <t xml:space="preserve"> Elan</t>
        </is>
      </c>
      <c r="G640" s="11" t="inlineStr">
        <is>
          <t xml:space="preserve"> Element</t>
        </is>
      </c>
      <c r="H640" s="13" t="n">
        <v>176</v>
      </c>
      <c r="I640" s="11" t="inlineStr">
        <is>
          <t xml:space="preserve"> Unisex</t>
        </is>
      </c>
      <c r="J640" s="13" t="n">
        <v>176</v>
      </c>
      <c r="K640" s="13" t="n">
        <v>175.4</v>
      </c>
      <c r="L640" s="13" t="n">
        <v>149</v>
      </c>
      <c r="M640" s="13" t="n">
        <v>161</v>
      </c>
      <c r="N640" s="13" t="n">
        <v>128</v>
      </c>
      <c r="O640" s="13" t="n">
        <v>77</v>
      </c>
      <c r="P640" s="13" t="n">
        <v>104</v>
      </c>
      <c r="Q640" s="13" t="n">
        <v>16.8</v>
      </c>
      <c r="R640" s="13" t="n">
        <v>1957</v>
      </c>
      <c r="S640" s="13" t="n">
        <v>0.82</v>
      </c>
      <c r="T640" s="13" t="n">
        <v>1604</v>
      </c>
      <c r="U640" s="13" t="n">
        <v>220</v>
      </c>
      <c r="V640" s="13" t="n">
        <v>73</v>
      </c>
      <c r="W640" s="13" t="n">
        <v>35</v>
      </c>
      <c r="X640" s="13" t="n">
        <v>170</v>
      </c>
      <c r="Y640" s="13" t="n">
        <v>10</v>
      </c>
      <c r="Z640" s="13" t="n">
        <v>92</v>
      </c>
      <c r="AA640" s="13" t="n">
        <v>0.297</v>
      </c>
      <c r="AB640" s="13" t="n">
        <v>85</v>
      </c>
      <c r="AC640" s="13" t="n">
        <v>58</v>
      </c>
      <c r="AD640" s="13" t="n">
        <v>85</v>
      </c>
      <c r="AE640" s="13" t="n">
        <v>5</v>
      </c>
      <c r="AF640" s="13" t="n">
        <v>11.2</v>
      </c>
      <c r="AG640" s="11" t="inlineStr">
        <is>
          <t xml:space="preserve"> On-Piste Carving</t>
        </is>
      </c>
      <c r="AH640" s="13" t="n"/>
      <c r="AI640" s="13" t="n"/>
      <c r="AJ640" s="13" t="n"/>
      <c r="AK640" s="42" t="n"/>
    </row>
    <row r="641">
      <c r="E641" s="40" t="inlineStr">
        <is>
          <t>21/22</t>
        </is>
      </c>
      <c r="F641" s="10" t="inlineStr">
        <is>
          <t xml:space="preserve"> Elan</t>
        </is>
      </c>
      <c r="G641" s="11" t="inlineStr">
        <is>
          <t xml:space="preserve"> Element W</t>
        </is>
      </c>
      <c r="H641" s="13" t="n">
        <v>152</v>
      </c>
      <c r="I641" s="11" t="inlineStr">
        <is>
          <t xml:space="preserve"> Women's</t>
        </is>
      </c>
      <c r="J641" s="13" t="n">
        <v>152</v>
      </c>
      <c r="K641" s="13" t="n">
        <v>151.3</v>
      </c>
      <c r="L641" s="13" t="n">
        <v>124</v>
      </c>
      <c r="M641" s="13" t="n">
        <v>138</v>
      </c>
      <c r="N641" s="13" t="n">
        <v>126</v>
      </c>
      <c r="O641" s="13" t="n">
        <v>74</v>
      </c>
      <c r="P641" s="13" t="n">
        <v>101</v>
      </c>
      <c r="Q641" s="13" t="n">
        <v>12</v>
      </c>
      <c r="R641" s="13" t="n">
        <v>1553</v>
      </c>
      <c r="S641" s="13" t="n">
        <v>0.87</v>
      </c>
      <c r="T641" s="13" t="n">
        <v>1355</v>
      </c>
      <c r="U641" s="13" t="n">
        <v>160</v>
      </c>
      <c r="V641" s="13" t="n">
        <v>53</v>
      </c>
      <c r="W641" s="13" t="n">
        <v>38</v>
      </c>
      <c r="X641" s="13" t="n">
        <v>181</v>
      </c>
      <c r="Y641" s="13" t="n">
        <v>11</v>
      </c>
      <c r="Z641" s="13" t="n">
        <v>92</v>
      </c>
      <c r="AA641" s="13" t="n">
        <v>0.278</v>
      </c>
      <c r="AB641" s="13" t="n">
        <v>76</v>
      </c>
      <c r="AC641" s="13" t="n">
        <v>55</v>
      </c>
      <c r="AD641" s="13" t="n">
        <v>105</v>
      </c>
      <c r="AE641" s="13" t="n">
        <v>6</v>
      </c>
      <c r="AF641" s="13" t="n">
        <v>10.4</v>
      </c>
      <c r="AG641" s="11" t="inlineStr">
        <is>
          <t xml:space="preserve"> Other</t>
        </is>
      </c>
      <c r="AH641" s="13" t="n"/>
      <c r="AI641" s="13" t="n"/>
      <c r="AJ641" s="13" t="n"/>
      <c r="AK641" s="42" t="n"/>
    </row>
    <row r="642">
      <c r="E642" s="40" t="inlineStr">
        <is>
          <t>21/22</t>
        </is>
      </c>
      <c r="F642" s="10" t="inlineStr">
        <is>
          <t xml:space="preserve"> Elan</t>
        </is>
      </c>
      <c r="G642" s="11" t="inlineStr">
        <is>
          <t xml:space="preserve"> Element W</t>
        </is>
      </c>
      <c r="H642" s="13" t="n">
        <v>160</v>
      </c>
      <c r="I642" s="11" t="inlineStr">
        <is>
          <t xml:space="preserve"> Women's</t>
        </is>
      </c>
      <c r="J642" s="13" t="n">
        <v>160</v>
      </c>
      <c r="K642" s="13" t="n">
        <v>159.5</v>
      </c>
      <c r="L642" s="13" t="n">
        <v>136</v>
      </c>
      <c r="M642" s="13" t="n">
        <v>145</v>
      </c>
      <c r="N642" s="13" t="n">
        <v>127</v>
      </c>
      <c r="O642" s="13" t="n">
        <v>75</v>
      </c>
      <c r="P642" s="13" t="n">
        <v>102</v>
      </c>
      <c r="Q642" s="13" t="n">
        <v>13.4</v>
      </c>
      <c r="R642" s="13" t="n">
        <v>1737</v>
      </c>
      <c r="S642" s="13" t="n">
        <v>0.83</v>
      </c>
      <c r="T642" s="13" t="n">
        <v>1440</v>
      </c>
      <c r="U642" s="13" t="n">
        <v>176</v>
      </c>
      <c r="V642" s="13" t="n">
        <v>61</v>
      </c>
      <c r="W642" s="13" t="n">
        <v>37</v>
      </c>
      <c r="X642" s="13" t="n">
        <v>164</v>
      </c>
      <c r="Y642" s="13" t="n">
        <v>10</v>
      </c>
      <c r="Z642" s="13" t="n">
        <v>73</v>
      </c>
      <c r="AA642" s="13" t="n">
        <v>0.268</v>
      </c>
      <c r="AB642" s="13" t="n">
        <v>82</v>
      </c>
      <c r="AC642" s="13" t="n">
        <v>59</v>
      </c>
      <c r="AD642" s="13" t="n">
        <v>82</v>
      </c>
      <c r="AE642" s="13" t="n">
        <v>8</v>
      </c>
      <c r="AF642" s="13" t="n">
        <v>10.5</v>
      </c>
      <c r="AG642" s="11" t="inlineStr">
        <is>
          <t xml:space="preserve"> On-Piste Carving</t>
        </is>
      </c>
      <c r="AH642" s="13" t="n"/>
      <c r="AI642" s="13" t="n"/>
      <c r="AJ642" s="13" t="n"/>
      <c r="AK642" s="42" t="n"/>
    </row>
    <row r="643">
      <c r="E643" s="40" t="inlineStr">
        <is>
          <t>21/22</t>
        </is>
      </c>
      <c r="F643" s="10" t="inlineStr">
        <is>
          <t xml:space="preserve"> Elan</t>
        </is>
      </c>
      <c r="G643" s="11" t="inlineStr">
        <is>
          <t xml:space="preserve"> Element W</t>
        </is>
      </c>
      <c r="H643" s="13" t="n">
        <v>168</v>
      </c>
      <c r="I643" s="11" t="inlineStr">
        <is>
          <t xml:space="preserve"> Women's</t>
        </is>
      </c>
      <c r="J643" s="13" t="n">
        <v>168</v>
      </c>
      <c r="K643" s="13" t="n">
        <v>167.5</v>
      </c>
      <c r="L643" s="13" t="n">
        <v>144</v>
      </c>
      <c r="M643" s="13" t="n">
        <v>153</v>
      </c>
      <c r="N643" s="13" t="n">
        <v>127</v>
      </c>
      <c r="O643" s="13" t="n">
        <v>75</v>
      </c>
      <c r="P643" s="13" t="n">
        <v>102</v>
      </c>
      <c r="Q643" s="13" t="n">
        <v>15.1</v>
      </c>
      <c r="R643" s="13" t="n">
        <v>1819</v>
      </c>
      <c r="S643" s="13" t="n">
        <v>0.83</v>
      </c>
      <c r="T643" s="13" t="n">
        <v>1513</v>
      </c>
      <c r="U643" s="13" t="n">
        <v>203</v>
      </c>
      <c r="V643" s="13" t="n">
        <v>70</v>
      </c>
      <c r="W643" s="13" t="n">
        <v>34</v>
      </c>
      <c r="X643" s="13" t="n">
        <v>154</v>
      </c>
      <c r="Y643" s="13" t="n">
        <v>10</v>
      </c>
      <c r="Z643" s="13" t="n">
        <v>77</v>
      </c>
      <c r="AA643" s="13" t="n">
        <v>0.286</v>
      </c>
      <c r="AB643" s="13" t="n">
        <v>85</v>
      </c>
      <c r="AC643" s="13" t="n">
        <v>59</v>
      </c>
      <c r="AD643" s="13" t="n">
        <v>69</v>
      </c>
      <c r="AE643" s="13" t="n">
        <v>8</v>
      </c>
      <c r="AF643" s="13" t="n">
        <v>10.5</v>
      </c>
      <c r="AG643" s="11" t="inlineStr">
        <is>
          <t xml:space="preserve"> On-Piste Carving</t>
        </is>
      </c>
      <c r="AH643" s="13" t="n"/>
      <c r="AI643" s="13" t="n"/>
      <c r="AJ643" s="13" t="n"/>
      <c r="AK643" s="42" t="n"/>
    </row>
    <row r="644">
      <c r="E644" s="40" t="inlineStr">
        <is>
          <t>21/22</t>
        </is>
      </c>
      <c r="F644" s="10" t="inlineStr">
        <is>
          <t xml:space="preserve"> Elan</t>
        </is>
      </c>
      <c r="G644" s="11" t="inlineStr">
        <is>
          <t>Insomnia 12 C</t>
        </is>
      </c>
      <c r="H644" s="13" t="n">
        <v>158</v>
      </c>
      <c r="I644" s="11" t="inlineStr">
        <is>
          <t xml:space="preserve"> Women's</t>
        </is>
      </c>
      <c r="J644" s="13" t="n">
        <v>158</v>
      </c>
      <c r="K644" s="13" t="n">
        <v>159.1</v>
      </c>
      <c r="L644" s="13" t="n">
        <v>138</v>
      </c>
      <c r="M644" s="13" t="n">
        <v>144</v>
      </c>
      <c r="N644" s="13" t="n">
        <v>125</v>
      </c>
      <c r="O644" s="13" t="n">
        <v>76</v>
      </c>
      <c r="P644" s="13" t="n">
        <v>105</v>
      </c>
      <c r="Q644" s="13" t="n">
        <v>13.1</v>
      </c>
      <c r="R644" s="13" t="n">
        <v>1731</v>
      </c>
      <c r="S644" s="13" t="n">
        <v>0.84</v>
      </c>
      <c r="T644" s="13" t="n">
        <v>1451</v>
      </c>
      <c r="U644" s="13" t="n">
        <v>161</v>
      </c>
      <c r="V644" s="13" t="n">
        <v>62</v>
      </c>
      <c r="W644" s="13" t="n">
        <v>32</v>
      </c>
      <c r="X644" s="13" t="n">
        <v>142</v>
      </c>
      <c r="Y644" s="13" t="n">
        <v>10</v>
      </c>
      <c r="Z644" s="13" t="n">
        <v>70</v>
      </c>
      <c r="AA644" s="13" t="n">
        <v>0.302</v>
      </c>
      <c r="AB644" s="13" t="n">
        <v>93</v>
      </c>
      <c r="AC644" s="13" t="n">
        <v>60</v>
      </c>
      <c r="AD644" s="13" t="n">
        <v>49</v>
      </c>
      <c r="AE644" s="13" t="n">
        <v>8</v>
      </c>
      <c r="AF644" s="13" t="n">
        <v>8.699999999999999</v>
      </c>
      <c r="AG644" s="11" t="inlineStr">
        <is>
          <t xml:space="preserve"> On-Piste Carving</t>
        </is>
      </c>
      <c r="AH644" s="13" t="n"/>
      <c r="AI644" s="13" t="n"/>
      <c r="AJ644" s="13" t="n"/>
      <c r="AK644" s="42" t="n"/>
    </row>
    <row r="645">
      <c r="E645" s="40" t="inlineStr">
        <is>
          <t>21/22</t>
        </is>
      </c>
      <c r="F645" s="10" t="inlineStr">
        <is>
          <t xml:space="preserve"> Elan</t>
        </is>
      </c>
      <c r="G645" s="11" t="inlineStr">
        <is>
          <t>Insomnia 14 Ti</t>
        </is>
      </c>
      <c r="H645" s="13" t="n">
        <v>158</v>
      </c>
      <c r="I645" s="11" t="inlineStr">
        <is>
          <t xml:space="preserve"> Women's</t>
        </is>
      </c>
      <c r="J645" s="13" t="n">
        <v>158</v>
      </c>
      <c r="K645" s="13" t="n">
        <v>159.1</v>
      </c>
      <c r="L645" s="13" t="n">
        <v>138</v>
      </c>
      <c r="M645" s="13" t="n">
        <v>144</v>
      </c>
      <c r="N645" s="13" t="n">
        <v>125</v>
      </c>
      <c r="O645" s="13" t="n">
        <v>76</v>
      </c>
      <c r="P645" s="13" t="n">
        <v>105</v>
      </c>
      <c r="Q645" s="13" t="n">
        <v>13.1</v>
      </c>
      <c r="R645" s="13" t="n">
        <v>1773</v>
      </c>
      <c r="S645" s="13" t="n">
        <v>0.82</v>
      </c>
      <c r="T645" s="13" t="n">
        <v>1451</v>
      </c>
      <c r="U645" s="13" t="n">
        <v>182</v>
      </c>
      <c r="V645" s="13" t="n">
        <v>79</v>
      </c>
      <c r="W645" s="13" t="n">
        <v>32</v>
      </c>
      <c r="X645" s="13" t="n">
        <v>140</v>
      </c>
      <c r="Y645" s="13" t="n">
        <v>10</v>
      </c>
      <c r="Z645" s="13" t="n">
        <v>69</v>
      </c>
      <c r="AA645" s="13" t="n">
        <v>0.302</v>
      </c>
      <c r="AB645" s="13" t="n">
        <v>92</v>
      </c>
      <c r="AC645" s="13" t="n">
        <v>62</v>
      </c>
      <c r="AD645" s="13" t="n">
        <v>48</v>
      </c>
      <c r="AE645" s="13" t="n">
        <v>10</v>
      </c>
      <c r="AF645" s="13" t="n">
        <v>8.699999999999999</v>
      </c>
      <c r="AG645" s="11" t="inlineStr">
        <is>
          <t xml:space="preserve"> On-Piste Carving</t>
        </is>
      </c>
      <c r="AH645" s="13" t="n"/>
      <c r="AI645" s="13" t="n"/>
      <c r="AJ645" s="13" t="n"/>
      <c r="AK645" s="42" t="n"/>
    </row>
    <row r="646">
      <c r="E646" s="40" t="inlineStr">
        <is>
          <t>21/22</t>
        </is>
      </c>
      <c r="F646" s="10" t="inlineStr">
        <is>
          <t xml:space="preserve"> Elan</t>
        </is>
      </c>
      <c r="G646" s="11" t="inlineStr">
        <is>
          <t>Insomnia 16 Ti</t>
        </is>
      </c>
      <c r="H646" s="13" t="n">
        <v>152</v>
      </c>
      <c r="I646" s="11" t="inlineStr">
        <is>
          <t xml:space="preserve"> Women's</t>
        </is>
      </c>
      <c r="J646" s="13" t="n">
        <v>152</v>
      </c>
      <c r="K646" s="13" t="n">
        <v>152.8</v>
      </c>
      <c r="L646" s="13" t="n">
        <v>134</v>
      </c>
      <c r="M646" s="13" t="n">
        <v>142</v>
      </c>
      <c r="N646" s="13" t="n">
        <v>121</v>
      </c>
      <c r="O646" s="13" t="n">
        <v>72</v>
      </c>
      <c r="P646" s="13" t="n">
        <v>103</v>
      </c>
      <c r="Q646" s="13" t="n">
        <v>12.3</v>
      </c>
      <c r="R646" s="13" t="n">
        <v>1690</v>
      </c>
      <c r="S646" s="13" t="n">
        <v>0.79</v>
      </c>
      <c r="T646" s="13" t="n">
        <v>1337</v>
      </c>
      <c r="U646" s="13" t="n">
        <v>183</v>
      </c>
      <c r="V646" s="13" t="n">
        <v>72</v>
      </c>
      <c r="W646" s="13" t="n">
        <v>41</v>
      </c>
      <c r="X646" s="13" t="n">
        <v>136</v>
      </c>
      <c r="Y646" s="13" t="n">
        <v>4</v>
      </c>
      <c r="Z646" s="13" t="n">
        <v>49</v>
      </c>
      <c r="AA646" s="13" t="n">
        <v>0.096</v>
      </c>
      <c r="AB646" s="13" t="n">
        <v>74</v>
      </c>
      <c r="AC646" s="13" t="n">
        <v>39</v>
      </c>
      <c r="AD646" s="13" t="n">
        <v>63</v>
      </c>
      <c r="AE646" s="13" t="n">
        <v>6</v>
      </c>
      <c r="AF646" s="13" t="n">
        <v>10.1</v>
      </c>
      <c r="AG646" s="11" t="inlineStr">
        <is>
          <t xml:space="preserve"> On-Piste Carving</t>
        </is>
      </c>
      <c r="AH646" s="13" t="n"/>
      <c r="AI646" s="13" t="n"/>
      <c r="AJ646" s="13" t="n"/>
      <c r="AK646" s="42" t="n"/>
    </row>
    <row r="647">
      <c r="E647" s="40" t="inlineStr">
        <is>
          <t>21/22</t>
        </is>
      </c>
      <c r="F647" s="10" t="inlineStr">
        <is>
          <t xml:space="preserve"> Elan</t>
        </is>
      </c>
      <c r="G647" s="11" t="inlineStr">
        <is>
          <t>Insomnia 16 Ti</t>
        </is>
      </c>
      <c r="H647" s="13" t="n">
        <v>158</v>
      </c>
      <c r="I647" s="11" t="inlineStr">
        <is>
          <t xml:space="preserve"> Women's</t>
        </is>
      </c>
      <c r="J647" s="13" t="n">
        <v>158</v>
      </c>
      <c r="K647" s="13" t="n">
        <v>159</v>
      </c>
      <c r="L647" s="13" t="n">
        <v>140</v>
      </c>
      <c r="M647" s="13" t="n">
        <v>147</v>
      </c>
      <c r="N647" s="13" t="n">
        <v>122</v>
      </c>
      <c r="O647" s="13" t="n">
        <v>73</v>
      </c>
      <c r="P647" s="13" t="n">
        <v>104</v>
      </c>
      <c r="Q647" s="13" t="n">
        <v>13.4</v>
      </c>
      <c r="R647" s="13" t="n">
        <v>1753</v>
      </c>
      <c r="S647" s="13" t="n">
        <v>0.8</v>
      </c>
      <c r="T647" s="13" t="n">
        <v>1395</v>
      </c>
      <c r="U647" s="13" t="n">
        <v>186</v>
      </c>
      <c r="V647" s="13" t="n">
        <v>75</v>
      </c>
      <c r="W647" s="13" t="n">
        <v>41</v>
      </c>
      <c r="X647" s="13" t="n">
        <v>138</v>
      </c>
      <c r="Y647" s="13" t="n">
        <v>3</v>
      </c>
      <c r="Z647" s="13" t="n">
        <v>48</v>
      </c>
      <c r="AA647" s="13" t="n">
        <v>0.076</v>
      </c>
      <c r="AB647" s="13" t="n">
        <v>78</v>
      </c>
      <c r="AC647" s="13" t="n">
        <v>38</v>
      </c>
      <c r="AD647" s="13" t="n">
        <v>60</v>
      </c>
      <c r="AE647" s="13" t="n">
        <v>8</v>
      </c>
      <c r="AF647" s="13" t="n">
        <v>9.800000000000001</v>
      </c>
      <c r="AG647" s="11" t="inlineStr">
        <is>
          <t xml:space="preserve"> On-Piste Carving</t>
        </is>
      </c>
      <c r="AH647" s="13" t="n"/>
      <c r="AI647" s="13" t="n"/>
      <c r="AJ647" s="13" t="n"/>
      <c r="AK647" s="42" t="n"/>
    </row>
    <row r="648">
      <c r="E648" s="40" t="inlineStr">
        <is>
          <t>21/22</t>
        </is>
      </c>
      <c r="F648" s="10" t="inlineStr">
        <is>
          <t xml:space="preserve"> Elan</t>
        </is>
      </c>
      <c r="G648" s="11" t="inlineStr">
        <is>
          <t>Insomnia 16 Ti</t>
        </is>
      </c>
      <c r="H648" s="13" t="n">
        <v>164</v>
      </c>
      <c r="I648" s="11" t="inlineStr">
        <is>
          <t xml:space="preserve"> Women's</t>
        </is>
      </c>
      <c r="J648" s="13" t="n">
        <v>164</v>
      </c>
      <c r="K648" s="13" t="n">
        <v>164.9</v>
      </c>
      <c r="L648" s="13" t="n">
        <v>147</v>
      </c>
      <c r="M648" s="13" t="n">
        <v>153</v>
      </c>
      <c r="N648" s="13" t="n">
        <v>121</v>
      </c>
      <c r="O648" s="13" t="n">
        <v>73</v>
      </c>
      <c r="P648" s="13" t="n">
        <v>104</v>
      </c>
      <c r="Q648" s="13" t="n">
        <v>14.6</v>
      </c>
      <c r="R648" s="13" t="n">
        <v>1813</v>
      </c>
      <c r="S648" s="13" t="n">
        <v>0.8</v>
      </c>
      <c r="T648" s="13" t="n">
        <v>1444</v>
      </c>
      <c r="U648" s="13" t="n">
        <v>207</v>
      </c>
      <c r="V648" s="13" t="n">
        <v>79</v>
      </c>
      <c r="W648" s="13" t="n">
        <v>41</v>
      </c>
      <c r="X648" s="13" t="n">
        <v>138</v>
      </c>
      <c r="Y648" s="13" t="n">
        <v>3</v>
      </c>
      <c r="Z648" s="13" t="n">
        <v>46</v>
      </c>
      <c r="AA648" s="13" t="n">
        <v>0.06900000000000001</v>
      </c>
      <c r="AB648" s="13" t="n">
        <v>82</v>
      </c>
      <c r="AC648" s="13" t="n">
        <v>38</v>
      </c>
      <c r="AD648" s="13" t="n">
        <v>56</v>
      </c>
      <c r="AE648" s="13" t="n">
        <v>9</v>
      </c>
      <c r="AF648" s="13" t="n">
        <v>9.6</v>
      </c>
      <c r="AG648" s="11" t="inlineStr">
        <is>
          <t xml:space="preserve"> On-Piste Carving</t>
        </is>
      </c>
      <c r="AH648" s="13" t="n"/>
      <c r="AI648" s="13" t="n"/>
      <c r="AJ648" s="13" t="n"/>
      <c r="AK648" s="42" t="n"/>
    </row>
    <row r="649">
      <c r="E649" s="40" t="inlineStr">
        <is>
          <t>21/22</t>
        </is>
      </c>
      <c r="F649" s="10" t="inlineStr">
        <is>
          <t xml:space="preserve"> Elan</t>
        </is>
      </c>
      <c r="G649" s="11" t="inlineStr">
        <is>
          <t>Ripstick 102 W</t>
        </is>
      </c>
      <c r="H649" s="13" t="n">
        <v>154</v>
      </c>
      <c r="I649" s="11" t="inlineStr">
        <is>
          <t xml:space="preserve"> Women's</t>
        </is>
      </c>
      <c r="J649" s="13" t="n">
        <v>154</v>
      </c>
      <c r="K649" s="13" t="n">
        <v>154.8</v>
      </c>
      <c r="L649" s="13" t="n">
        <v>109</v>
      </c>
      <c r="M649" s="13" t="n">
        <v>123</v>
      </c>
      <c r="N649" s="13" t="n">
        <v>137</v>
      </c>
      <c r="O649" s="13" t="n">
        <v>101</v>
      </c>
      <c r="P649" s="13" t="n">
        <v>115</v>
      </c>
      <c r="Q649" s="13" t="n">
        <v>14.8</v>
      </c>
      <c r="R649" s="13" t="n">
        <v>1507</v>
      </c>
      <c r="S649" s="13" t="n">
        <v>1.15</v>
      </c>
      <c r="T649" s="13" t="n">
        <v>1733</v>
      </c>
      <c r="U649" s="13" t="n">
        <v>140</v>
      </c>
      <c r="V649" s="13" t="n">
        <v>68</v>
      </c>
      <c r="W649" s="13" t="n">
        <v>49</v>
      </c>
      <c r="X649" s="13" t="n">
        <v>296</v>
      </c>
      <c r="Y649" s="13" t="n">
        <v>15</v>
      </c>
      <c r="Z649" s="13" t="n">
        <v>159</v>
      </c>
      <c r="AA649" s="13" t="n">
        <v>0.298</v>
      </c>
      <c r="AB649" s="13" t="n">
        <v>166</v>
      </c>
      <c r="AC649" s="13" t="n">
        <v>156</v>
      </c>
      <c r="AD649" s="13" t="n">
        <v>130</v>
      </c>
      <c r="AE649" s="13" t="n">
        <v>4</v>
      </c>
      <c r="AF649" s="13" t="n">
        <v>9.1</v>
      </c>
      <c r="AG649" s="11" t="inlineStr">
        <is>
          <t xml:space="preserve"> Resort Freeride</t>
        </is>
      </c>
      <c r="AH649" s="11" t="inlineStr">
        <is>
          <t xml:space="preserve"> Big Mountain</t>
        </is>
      </c>
      <c r="AI649" s="11" t="inlineStr">
        <is>
          <t xml:space="preserve"> Touring</t>
        </is>
      </c>
      <c r="AJ649" s="13" t="n"/>
      <c r="AK649" s="42" t="n"/>
    </row>
    <row r="650">
      <c r="E650" s="40" t="inlineStr">
        <is>
          <t>21/22</t>
        </is>
      </c>
      <c r="F650" s="10" t="inlineStr">
        <is>
          <t xml:space="preserve"> Elan</t>
        </is>
      </c>
      <c r="G650" s="11" t="inlineStr">
        <is>
          <t>Ripstick 102 W</t>
        </is>
      </c>
      <c r="H650" s="13" t="n">
        <v>162</v>
      </c>
      <c r="I650" s="11" t="inlineStr">
        <is>
          <t xml:space="preserve"> Women's</t>
        </is>
      </c>
      <c r="J650" s="13" t="n">
        <v>162</v>
      </c>
      <c r="K650" s="13" t="n">
        <v>161.8</v>
      </c>
      <c r="L650" s="13" t="n">
        <v>106</v>
      </c>
      <c r="M650" s="13" t="n">
        <v>129</v>
      </c>
      <c r="N650" s="13" t="n">
        <v>140</v>
      </c>
      <c r="O650" s="13" t="n">
        <v>103</v>
      </c>
      <c r="P650" s="13" t="n">
        <v>118</v>
      </c>
      <c r="Q650" s="13" t="n">
        <v>15.6</v>
      </c>
      <c r="R650" s="13" t="n">
        <v>1581</v>
      </c>
      <c r="S650" s="13" t="n">
        <v>1.17</v>
      </c>
      <c r="T650" s="13" t="n">
        <v>1847</v>
      </c>
      <c r="U650" s="13" t="n">
        <v>181</v>
      </c>
      <c r="V650" s="13" t="n">
        <v>78</v>
      </c>
      <c r="W650" s="13" t="n">
        <v>54</v>
      </c>
      <c r="X650" s="13" t="n">
        <v>320</v>
      </c>
      <c r="Y650" s="13" t="n">
        <v>22</v>
      </c>
      <c r="Z650" s="13" t="n">
        <v>241</v>
      </c>
      <c r="AA650" s="13" t="n">
        <v>0.402</v>
      </c>
      <c r="AB650" s="13" t="n">
        <v>166</v>
      </c>
      <c r="AC650" s="13" t="n">
        <v>164</v>
      </c>
      <c r="AD650" s="13" t="n">
        <v>154</v>
      </c>
      <c r="AE650" s="13" t="n">
        <v>2</v>
      </c>
      <c r="AF650" s="13" t="n">
        <v>6.1</v>
      </c>
      <c r="AG650" s="11" t="inlineStr">
        <is>
          <t xml:space="preserve"> Resort Freeride</t>
        </is>
      </c>
      <c r="AH650" s="11" t="inlineStr">
        <is>
          <t xml:space="preserve"> Powder</t>
        </is>
      </c>
      <c r="AI650" s="11" t="inlineStr">
        <is>
          <t xml:space="preserve"> Touring</t>
        </is>
      </c>
      <c r="AJ650" s="13" t="n"/>
      <c r="AK650" s="42" t="n"/>
    </row>
    <row r="651">
      <c r="E651" s="40" t="inlineStr">
        <is>
          <t>21/22</t>
        </is>
      </c>
      <c r="F651" s="10" t="inlineStr">
        <is>
          <t xml:space="preserve"> Elan</t>
        </is>
      </c>
      <c r="G651" s="11" t="inlineStr">
        <is>
          <t>Ripstick 102 W</t>
        </is>
      </c>
      <c r="H651" s="13" t="n">
        <v>170</v>
      </c>
      <c r="I651" s="11" t="inlineStr">
        <is>
          <t xml:space="preserve"> Women's</t>
        </is>
      </c>
      <c r="J651" s="13" t="n">
        <v>170</v>
      </c>
      <c r="K651" s="13" t="n">
        <v>170.3</v>
      </c>
      <c r="L651" s="13" t="n">
        <v>127</v>
      </c>
      <c r="M651" s="13" t="n">
        <v>136</v>
      </c>
      <c r="N651" s="13" t="n">
        <v>143</v>
      </c>
      <c r="O651" s="13" t="n">
        <v>105</v>
      </c>
      <c r="P651" s="13" t="n">
        <v>120</v>
      </c>
      <c r="Q651" s="13" t="n">
        <v>16.4</v>
      </c>
      <c r="R651" s="13" t="n">
        <v>1797</v>
      </c>
      <c r="S651" s="13" t="n">
        <v>1.1</v>
      </c>
      <c r="T651" s="13" t="n">
        <v>1982</v>
      </c>
      <c r="U651" s="13" t="n">
        <v>205</v>
      </c>
      <c r="V651" s="13" t="n">
        <v>86</v>
      </c>
      <c r="W651" s="13" t="n">
        <v>47</v>
      </c>
      <c r="X651" s="13" t="n">
        <v>266</v>
      </c>
      <c r="Y651" s="13" t="n">
        <v>17</v>
      </c>
      <c r="Z651" s="13" t="n">
        <v>167</v>
      </c>
      <c r="AA651" s="13" t="n">
        <v>0.355</v>
      </c>
      <c r="AB651" s="13" t="n">
        <v>174</v>
      </c>
      <c r="AC651" s="13" t="n">
        <v>167</v>
      </c>
      <c r="AD651" s="13" t="n">
        <v>92</v>
      </c>
      <c r="AE651" s="13" t="n">
        <v>5</v>
      </c>
      <c r="AF651" s="13" t="n">
        <v>8.699999999999999</v>
      </c>
      <c r="AG651" s="11" t="inlineStr">
        <is>
          <t xml:space="preserve"> Resort Freeride</t>
        </is>
      </c>
      <c r="AH651" s="11" t="inlineStr">
        <is>
          <t xml:space="preserve"> Powder</t>
        </is>
      </c>
      <c r="AI651" s="11" t="inlineStr">
        <is>
          <t xml:space="preserve"> Big Mountain</t>
        </is>
      </c>
      <c r="AJ651" s="11" t="inlineStr">
        <is>
          <t xml:space="preserve"> Touring</t>
        </is>
      </c>
      <c r="AK651" s="42" t="n"/>
    </row>
    <row r="652">
      <c r="E652" s="40" t="inlineStr">
        <is>
          <t>21/22</t>
        </is>
      </c>
      <c r="F652" s="10" t="inlineStr">
        <is>
          <t xml:space="preserve"> Elan</t>
        </is>
      </c>
      <c r="G652" s="11" t="inlineStr">
        <is>
          <t>Ripstick 106</t>
        </is>
      </c>
      <c r="H652" s="13" t="n">
        <v>172</v>
      </c>
      <c r="I652" s="11" t="inlineStr">
        <is>
          <t xml:space="preserve"> Unisex</t>
        </is>
      </c>
      <c r="J652" s="13" t="n">
        <v>172</v>
      </c>
      <c r="K652" s="13" t="n">
        <v>170.4</v>
      </c>
      <c r="L652" s="13" t="n">
        <v>128</v>
      </c>
      <c r="M652" s="13" t="n">
        <v>136</v>
      </c>
      <c r="N652" s="13" t="n">
        <v>143</v>
      </c>
      <c r="O652" s="13" t="n">
        <v>104</v>
      </c>
      <c r="P652" s="13" t="n">
        <v>120</v>
      </c>
      <c r="Q652" s="13" t="n">
        <v>16.4</v>
      </c>
      <c r="R652" s="13" t="n">
        <v>1544</v>
      </c>
      <c r="S652" s="13" t="n">
        <v>1.28</v>
      </c>
      <c r="T652" s="13" t="n">
        <v>1975</v>
      </c>
      <c r="U652" s="13" t="n">
        <v>199</v>
      </c>
      <c r="V652" s="13" t="n">
        <v>85</v>
      </c>
      <c r="W652" s="13" t="n">
        <v>48</v>
      </c>
      <c r="X652" s="13" t="n">
        <v>246</v>
      </c>
      <c r="Y652" s="13" t="n">
        <v>17</v>
      </c>
      <c r="Z652" s="13" t="n">
        <v>181</v>
      </c>
      <c r="AA652" s="13" t="n">
        <v>0.351</v>
      </c>
      <c r="AB652" s="13" t="n">
        <v>175</v>
      </c>
      <c r="AC652" s="13" t="n">
        <v>167</v>
      </c>
      <c r="AD652" s="13" t="n">
        <v>71</v>
      </c>
      <c r="AE652" s="13" t="n">
        <v>5</v>
      </c>
      <c r="AF652" s="13" t="n">
        <v>9.800000000000001</v>
      </c>
      <c r="AG652" s="11" t="inlineStr">
        <is>
          <t xml:space="preserve"> Resort Freeride</t>
        </is>
      </c>
      <c r="AH652" s="11" t="inlineStr">
        <is>
          <t xml:space="preserve"> Powder</t>
        </is>
      </c>
      <c r="AI652" s="11" t="inlineStr">
        <is>
          <t xml:space="preserve"> Big Mountain</t>
        </is>
      </c>
      <c r="AJ652" s="11" t="inlineStr">
        <is>
          <t xml:space="preserve"> Touring</t>
        </is>
      </c>
      <c r="AK652" s="43" t="inlineStr">
        <is>
          <t xml:space="preserve"> Ultralight Touring</t>
        </is>
      </c>
    </row>
    <row r="653">
      <c r="E653" s="40" t="inlineStr">
        <is>
          <t>21/22</t>
        </is>
      </c>
      <c r="F653" s="10" t="inlineStr">
        <is>
          <t xml:space="preserve"> Elan</t>
        </is>
      </c>
      <c r="G653" s="11" t="inlineStr">
        <is>
          <t>Ripstick 106</t>
        </is>
      </c>
      <c r="H653" s="13" t="n">
        <v>180</v>
      </c>
      <c r="I653" s="11" t="inlineStr">
        <is>
          <t xml:space="preserve"> Unisex</t>
        </is>
      </c>
      <c r="J653" s="13" t="n">
        <v>180</v>
      </c>
      <c r="K653" s="13" t="n">
        <v>177.3</v>
      </c>
      <c r="L653" s="13" t="n">
        <v>125</v>
      </c>
      <c r="M653" s="13" t="n">
        <v>142</v>
      </c>
      <c r="N653" s="13" t="n">
        <v>143</v>
      </c>
      <c r="O653" s="13" t="n">
        <v>104</v>
      </c>
      <c r="P653" s="13" t="n">
        <v>119</v>
      </c>
      <c r="Q653" s="13" t="n">
        <v>18.3</v>
      </c>
      <c r="R653" s="13" t="n">
        <v>1799</v>
      </c>
      <c r="S653" s="13" t="n">
        <v>1.14</v>
      </c>
      <c r="T653" s="13" t="n">
        <v>2050</v>
      </c>
      <c r="U653" s="13" t="n">
        <v>242</v>
      </c>
      <c r="V653" s="13" t="n">
        <v>109</v>
      </c>
      <c r="W653" s="13" t="n">
        <v>52</v>
      </c>
      <c r="X653" s="13" t="n">
        <v>310</v>
      </c>
      <c r="Y653" s="13" t="n">
        <v>17</v>
      </c>
      <c r="Z653" s="13" t="n">
        <v>213</v>
      </c>
      <c r="AA653" s="13" t="n">
        <v>0.324</v>
      </c>
      <c r="AB653" s="13" t="n">
        <v>176</v>
      </c>
      <c r="AC653" s="13" t="n">
        <v>180</v>
      </c>
      <c r="AD653" s="13" t="n">
        <v>134</v>
      </c>
      <c r="AE653" s="13" t="n">
        <v>4</v>
      </c>
      <c r="AF653" s="13" t="n">
        <v>10</v>
      </c>
      <c r="AG653" s="11" t="inlineStr">
        <is>
          <t xml:space="preserve"> Resort Freeride</t>
        </is>
      </c>
      <c r="AH653" s="11" t="inlineStr">
        <is>
          <t xml:space="preserve"> Big Mountain</t>
        </is>
      </c>
      <c r="AI653" s="11" t="inlineStr">
        <is>
          <t xml:space="preserve"> Touring</t>
        </is>
      </c>
      <c r="AJ653" s="13" t="n"/>
      <c r="AK653" s="42" t="n"/>
    </row>
    <row r="654">
      <c r="E654" s="40" t="inlineStr">
        <is>
          <t>21/22</t>
        </is>
      </c>
      <c r="F654" s="10" t="inlineStr">
        <is>
          <t xml:space="preserve"> Elan</t>
        </is>
      </c>
      <c r="G654" s="11" t="inlineStr">
        <is>
          <t>Ripstick 106</t>
        </is>
      </c>
      <c r="H654" s="13" t="n">
        <v>188</v>
      </c>
      <c r="I654" s="11" t="inlineStr">
        <is>
          <t xml:space="preserve"> Unisex</t>
        </is>
      </c>
      <c r="J654" s="13" t="n">
        <v>188</v>
      </c>
      <c r="K654" s="13" t="n">
        <v>184.7</v>
      </c>
      <c r="L654" s="13" t="n">
        <v>134</v>
      </c>
      <c r="M654" s="13" t="n">
        <v>150</v>
      </c>
      <c r="N654" s="13" t="n">
        <v>143</v>
      </c>
      <c r="O654" s="13" t="n">
        <v>104</v>
      </c>
      <c r="P654" s="13" t="n">
        <v>119</v>
      </c>
      <c r="Q654" s="13" t="n">
        <v>20.3</v>
      </c>
      <c r="R654" s="13" t="n">
        <v>1959</v>
      </c>
      <c r="S654" s="13" t="n">
        <v>1.09</v>
      </c>
      <c r="T654" s="13" t="n">
        <v>2136</v>
      </c>
      <c r="U654" s="13" t="n">
        <v>290</v>
      </c>
      <c r="V654" s="13" t="n">
        <v>109</v>
      </c>
      <c r="W654" s="13" t="n">
        <v>49</v>
      </c>
      <c r="X654" s="13" t="n">
        <v>235</v>
      </c>
      <c r="Y654" s="13" t="n">
        <v>18</v>
      </c>
      <c r="Z654" s="13" t="n">
        <v>274</v>
      </c>
      <c r="AA654" s="13" t="n">
        <v>0.361</v>
      </c>
      <c r="AB654" s="13" t="n">
        <v>179</v>
      </c>
      <c r="AC654" s="13" t="n">
        <v>173</v>
      </c>
      <c r="AD654" s="13" t="n">
        <v>55</v>
      </c>
      <c r="AE654" s="13" t="n">
        <v>4</v>
      </c>
      <c r="AF654" s="13" t="n">
        <v>10.3</v>
      </c>
      <c r="AG654" s="11" t="inlineStr">
        <is>
          <t xml:space="preserve"> Resort Freeride</t>
        </is>
      </c>
      <c r="AH654" s="11" t="inlineStr">
        <is>
          <t xml:space="preserve"> Powder</t>
        </is>
      </c>
      <c r="AI654" s="11" t="inlineStr">
        <is>
          <t xml:space="preserve"> Big Mountain</t>
        </is>
      </c>
      <c r="AJ654" s="11" t="inlineStr">
        <is>
          <t xml:space="preserve"> Touring</t>
        </is>
      </c>
      <c r="AK654" s="42" t="n"/>
    </row>
    <row r="655">
      <c r="E655" s="40" t="inlineStr">
        <is>
          <t>21/22</t>
        </is>
      </c>
      <c r="F655" s="10" t="inlineStr">
        <is>
          <t xml:space="preserve"> Elan</t>
        </is>
      </c>
      <c r="G655" s="11" t="inlineStr">
        <is>
          <t>Ripstick 106 Black Edition</t>
        </is>
      </c>
      <c r="H655" s="13" t="n">
        <v>180</v>
      </c>
      <c r="I655" s="11" t="inlineStr">
        <is>
          <t xml:space="preserve"> Unisex</t>
        </is>
      </c>
      <c r="J655" s="13" t="n">
        <v>180</v>
      </c>
      <c r="K655" s="13" t="n">
        <v>177.3</v>
      </c>
      <c r="L655" s="13" t="n">
        <v>134</v>
      </c>
      <c r="M655" s="13" t="n">
        <v>143</v>
      </c>
      <c r="N655" s="13" t="n">
        <v>142</v>
      </c>
      <c r="O655" s="13" t="n">
        <v>104</v>
      </c>
      <c r="P655" s="13" t="n">
        <v>120</v>
      </c>
      <c r="Q655" s="13" t="n">
        <v>18.5</v>
      </c>
      <c r="R655" s="13" t="n">
        <v>1929</v>
      </c>
      <c r="S655" s="13" t="n">
        <v>1.06</v>
      </c>
      <c r="T655" s="13" t="n">
        <v>2054</v>
      </c>
      <c r="U655" s="13" t="n">
        <v>272</v>
      </c>
      <c r="V655" s="13" t="n">
        <v>120</v>
      </c>
      <c r="W655" s="13" t="n">
        <v>48</v>
      </c>
      <c r="X655" s="13" t="n">
        <v>269</v>
      </c>
      <c r="Y655" s="13" t="n">
        <v>14</v>
      </c>
      <c r="Z655" s="13" t="n">
        <v>165</v>
      </c>
      <c r="AA655" s="13" t="n">
        <v>0.304</v>
      </c>
      <c r="AB655" s="13" t="n">
        <v>174</v>
      </c>
      <c r="AC655" s="13" t="n">
        <v>173</v>
      </c>
      <c r="AD655" s="13" t="n">
        <v>95</v>
      </c>
      <c r="AE655" s="13" t="n">
        <v>5</v>
      </c>
      <c r="AF655" s="13" t="n">
        <v>10.1</v>
      </c>
      <c r="AG655" s="11" t="inlineStr">
        <is>
          <t xml:space="preserve"> Resort Freeride</t>
        </is>
      </c>
      <c r="AH655" s="11" t="inlineStr">
        <is>
          <t xml:space="preserve"> Big Mountain</t>
        </is>
      </c>
      <c r="AI655" s="11" t="inlineStr">
        <is>
          <t xml:space="preserve"> Touring</t>
        </is>
      </c>
      <c r="AJ655" s="13" t="n"/>
      <c r="AK655" s="42" t="n"/>
    </row>
    <row r="656">
      <c r="E656" s="40" t="inlineStr">
        <is>
          <t>21/22</t>
        </is>
      </c>
      <c r="F656" s="10" t="inlineStr">
        <is>
          <t xml:space="preserve"> Elan</t>
        </is>
      </c>
      <c r="G656" s="11" t="inlineStr">
        <is>
          <t>Ripstick 106 Black Edition</t>
        </is>
      </c>
      <c r="H656" s="13" t="n">
        <v>188</v>
      </c>
      <c r="I656" s="11" t="inlineStr">
        <is>
          <t xml:space="preserve"> Unisex</t>
        </is>
      </c>
      <c r="J656" s="13" t="n">
        <v>188</v>
      </c>
      <c r="K656" s="13" t="n">
        <v>184.7</v>
      </c>
      <c r="L656" s="13" t="n">
        <v>129</v>
      </c>
      <c r="M656" s="13" t="n">
        <v>149</v>
      </c>
      <c r="N656" s="13" t="n">
        <v>143</v>
      </c>
      <c r="O656" s="13" t="n">
        <v>104</v>
      </c>
      <c r="P656" s="13" t="n">
        <v>120</v>
      </c>
      <c r="Q656" s="13" t="n">
        <v>20.3</v>
      </c>
      <c r="R656" s="13" t="n">
        <v>2041</v>
      </c>
      <c r="S656" s="13" t="n">
        <v>1.05</v>
      </c>
      <c r="T656" s="13" t="n">
        <v>2137</v>
      </c>
      <c r="U656" s="13" t="n">
        <v>290</v>
      </c>
      <c r="V656" s="13" t="n">
        <v>122</v>
      </c>
      <c r="W656" s="13" t="n">
        <v>51</v>
      </c>
      <c r="X656" s="13" t="n">
        <v>301</v>
      </c>
      <c r="Y656" s="13" t="n">
        <v>17</v>
      </c>
      <c r="Z656" s="13" t="n">
        <v>253</v>
      </c>
      <c r="AA656" s="13" t="n">
        <v>0.332</v>
      </c>
      <c r="AB656" s="13" t="n">
        <v>185</v>
      </c>
      <c r="AC656" s="13" t="n">
        <v>170</v>
      </c>
      <c r="AD656" s="13" t="n">
        <v>117</v>
      </c>
      <c r="AE656" s="13" t="n">
        <v>3</v>
      </c>
      <c r="AF656" s="13" t="n">
        <v>10</v>
      </c>
      <c r="AG656" s="11" t="inlineStr">
        <is>
          <t xml:space="preserve"> Resort Freeride</t>
        </is>
      </c>
      <c r="AH656" s="11" t="inlineStr">
        <is>
          <t xml:space="preserve"> Big Mountain</t>
        </is>
      </c>
      <c r="AI656" s="13" t="n"/>
      <c r="AJ656" s="13" t="n"/>
      <c r="AK656" s="42" t="n"/>
    </row>
    <row r="657">
      <c r="E657" s="40" t="inlineStr">
        <is>
          <t>21/22</t>
        </is>
      </c>
      <c r="F657" s="10" t="inlineStr">
        <is>
          <t xml:space="preserve"> Elan</t>
        </is>
      </c>
      <c r="G657" s="11" t="inlineStr">
        <is>
          <t>Ripstick 116</t>
        </is>
      </c>
      <c r="H657" s="13" t="n">
        <v>185</v>
      </c>
      <c r="I657" s="11" t="inlineStr">
        <is>
          <t xml:space="preserve"> Unisex</t>
        </is>
      </c>
      <c r="J657" s="13" t="n">
        <v>185</v>
      </c>
      <c r="K657" s="13" t="n">
        <v>183.4</v>
      </c>
      <c r="L657" s="13" t="n">
        <v>133</v>
      </c>
      <c r="M657" s="13" t="n">
        <v>145</v>
      </c>
      <c r="N657" s="13" t="n">
        <v>145</v>
      </c>
      <c r="O657" s="13" t="n">
        <v>114</v>
      </c>
      <c r="P657" s="13" t="n">
        <v>131</v>
      </c>
      <c r="Q657" s="13" t="n">
        <v>20.5</v>
      </c>
      <c r="R657" s="13" t="n">
        <v>2023</v>
      </c>
      <c r="S657" s="13" t="n">
        <v>1.12</v>
      </c>
      <c r="T657" s="13" t="n">
        <v>2266</v>
      </c>
      <c r="U657" s="13" t="n">
        <v>241</v>
      </c>
      <c r="V657" s="13" t="n">
        <v>104</v>
      </c>
      <c r="W657" s="13" t="n">
        <v>41</v>
      </c>
      <c r="X657" s="13" t="n">
        <v>282</v>
      </c>
      <c r="Y657" s="13" t="n">
        <v>26</v>
      </c>
      <c r="Z657" s="13" t="n">
        <v>223</v>
      </c>
      <c r="AA657" s="13" t="n">
        <v>0.617</v>
      </c>
      <c r="AB657" s="13" t="n">
        <v>186</v>
      </c>
      <c r="AC657" s="13" t="n">
        <v>198</v>
      </c>
      <c r="AD657" s="13" t="n">
        <v>95</v>
      </c>
      <c r="AE657" s="13" t="n">
        <v>4</v>
      </c>
      <c r="AF657" s="13" t="n">
        <v>6</v>
      </c>
      <c r="AG657" s="11" t="inlineStr">
        <is>
          <t xml:space="preserve"> Powder</t>
        </is>
      </c>
      <c r="AH657" s="11" t="inlineStr">
        <is>
          <t xml:space="preserve"> Touring</t>
        </is>
      </c>
      <c r="AI657" s="13" t="n"/>
      <c r="AJ657" s="13" t="n"/>
      <c r="AK657" s="42" t="n"/>
    </row>
    <row r="658">
      <c r="E658" s="40" t="inlineStr">
        <is>
          <t>21/22</t>
        </is>
      </c>
      <c r="F658" s="10" t="inlineStr">
        <is>
          <t xml:space="preserve"> Elan</t>
        </is>
      </c>
      <c r="G658" s="11" t="inlineStr">
        <is>
          <t>Ripstick 88</t>
        </is>
      </c>
      <c r="H658" s="13" t="n">
        <v>164</v>
      </c>
      <c r="I658" s="11" t="inlineStr">
        <is>
          <t xml:space="preserve"> Unisex</t>
        </is>
      </c>
      <c r="J658" s="13" t="n">
        <v>164</v>
      </c>
      <c r="K658" s="13" t="n">
        <v>163.8</v>
      </c>
      <c r="L658" s="13" t="n">
        <v>125</v>
      </c>
      <c r="M658" s="13" t="n">
        <v>134</v>
      </c>
      <c r="N658" s="13" t="n">
        <v>129</v>
      </c>
      <c r="O658" s="13" t="n">
        <v>87</v>
      </c>
      <c r="P658" s="13" t="n">
        <v>104</v>
      </c>
      <c r="Q658" s="13" t="n">
        <v>14.2</v>
      </c>
      <c r="R658" s="13" t="n">
        <v>1383</v>
      </c>
      <c r="S658" s="13" t="n">
        <v>1.19</v>
      </c>
      <c r="T658" s="13" t="n">
        <v>1644</v>
      </c>
      <c r="U658" s="13" t="n">
        <v>136</v>
      </c>
      <c r="V658" s="13" t="n">
        <v>57</v>
      </c>
      <c r="W658" s="13" t="n">
        <v>48</v>
      </c>
      <c r="X658" s="13" t="n">
        <v>229</v>
      </c>
      <c r="Y658" s="13" t="n">
        <v>13</v>
      </c>
      <c r="Z658" s="13" t="n">
        <v>160</v>
      </c>
      <c r="AA658" s="13" t="n">
        <v>0.263</v>
      </c>
      <c r="AB658" s="13" t="n">
        <v>159</v>
      </c>
      <c r="AC658" s="13" t="n">
        <v>141</v>
      </c>
      <c r="AD658" s="13" t="n">
        <v>70</v>
      </c>
      <c r="AE658" s="13" t="n">
        <v>5</v>
      </c>
      <c r="AF658" s="13" t="n">
        <v>9.6</v>
      </c>
      <c r="AG658" s="11" t="inlineStr">
        <is>
          <t xml:space="preserve"> Resort Freeride</t>
        </is>
      </c>
      <c r="AH658" s="11" t="inlineStr">
        <is>
          <t xml:space="preserve"> Touring</t>
        </is>
      </c>
      <c r="AI658" s="13" t="n"/>
      <c r="AJ658" s="13" t="n"/>
      <c r="AK658" s="42" t="n"/>
    </row>
    <row r="659">
      <c r="E659" s="40" t="inlineStr">
        <is>
          <t>21/22</t>
        </is>
      </c>
      <c r="F659" s="10" t="inlineStr">
        <is>
          <t xml:space="preserve"> Elan</t>
        </is>
      </c>
      <c r="G659" s="11" t="inlineStr">
        <is>
          <t>Ripstick 88</t>
        </is>
      </c>
      <c r="H659" s="13" t="n">
        <v>172</v>
      </c>
      <c r="I659" s="11" t="inlineStr">
        <is>
          <t xml:space="preserve"> Unisex</t>
        </is>
      </c>
      <c r="J659" s="13" t="n">
        <v>172</v>
      </c>
      <c r="K659" s="13" t="n">
        <v>170.4</v>
      </c>
      <c r="L659" s="13" t="n">
        <v>128</v>
      </c>
      <c r="M659" s="13" t="n">
        <v>138</v>
      </c>
      <c r="N659" s="13" t="n">
        <v>129</v>
      </c>
      <c r="O659" s="13" t="n">
        <v>87</v>
      </c>
      <c r="P659" s="13" t="n">
        <v>104</v>
      </c>
      <c r="Q659" s="13" t="n">
        <v>15.4</v>
      </c>
      <c r="R659" s="13" t="n">
        <v>1539</v>
      </c>
      <c r="S659" s="13" t="n">
        <v>1.11</v>
      </c>
      <c r="T659" s="13" t="n">
        <v>1713</v>
      </c>
      <c r="U659" s="13" t="n">
        <v>182</v>
      </c>
      <c r="V659" s="13" t="n">
        <v>67</v>
      </c>
      <c r="W659" s="13" t="n">
        <v>49</v>
      </c>
      <c r="X659" s="13" t="n">
        <v>233</v>
      </c>
      <c r="Y659" s="13" t="n">
        <v>16</v>
      </c>
      <c r="Z659" s="13" t="n">
        <v>191</v>
      </c>
      <c r="AA659" s="13" t="n">
        <v>0.324</v>
      </c>
      <c r="AB659" s="13" t="n">
        <v>152</v>
      </c>
      <c r="AC659" s="13" t="n">
        <v>167</v>
      </c>
      <c r="AD659" s="13" t="n">
        <v>81</v>
      </c>
      <c r="AE659" s="13" t="n">
        <v>4</v>
      </c>
      <c r="AF659" s="13" t="n">
        <v>9.300000000000001</v>
      </c>
      <c r="AG659" s="11" t="inlineStr">
        <is>
          <t xml:space="preserve"> Resort Freeride</t>
        </is>
      </c>
      <c r="AH659" s="11" t="inlineStr">
        <is>
          <t xml:space="preserve"> Touring</t>
        </is>
      </c>
      <c r="AI659" s="13" t="n"/>
      <c r="AJ659" s="13" t="n"/>
      <c r="AK659" s="42" t="n"/>
    </row>
    <row r="660">
      <c r="E660" s="40" t="inlineStr">
        <is>
          <t>21/22</t>
        </is>
      </c>
      <c r="F660" s="10" t="inlineStr">
        <is>
          <t xml:space="preserve"> Elan</t>
        </is>
      </c>
      <c r="G660" s="11" t="inlineStr">
        <is>
          <t>Ripstick 88</t>
        </is>
      </c>
      <c r="H660" s="13" t="n">
        <v>180</v>
      </c>
      <c r="I660" s="11" t="inlineStr">
        <is>
          <t xml:space="preserve"> Unisex</t>
        </is>
      </c>
      <c r="J660" s="13" t="n">
        <v>180</v>
      </c>
      <c r="K660" s="13" t="n">
        <v>177</v>
      </c>
      <c r="L660" s="13" t="n">
        <v>139</v>
      </c>
      <c r="M660" s="13" t="n">
        <v>144</v>
      </c>
      <c r="N660" s="13" t="n">
        <v>129</v>
      </c>
      <c r="O660" s="13" t="n">
        <v>87</v>
      </c>
      <c r="P660" s="13" t="n">
        <v>104</v>
      </c>
      <c r="Q660" s="13" t="n">
        <v>17.1</v>
      </c>
      <c r="R660" s="13" t="n">
        <v>1569</v>
      </c>
      <c r="S660" s="13" t="n">
        <v>1.13</v>
      </c>
      <c r="T660" s="13" t="n">
        <v>1777</v>
      </c>
      <c r="U660" s="13" t="n">
        <v>193</v>
      </c>
      <c r="V660" s="13" t="n">
        <v>71</v>
      </c>
      <c r="W660" s="13" t="n">
        <v>50</v>
      </c>
      <c r="X660" s="13" t="n">
        <v>230</v>
      </c>
      <c r="Y660" s="13" t="n">
        <v>14</v>
      </c>
      <c r="Z660" s="13" t="n">
        <v>154</v>
      </c>
      <c r="AA660" s="13" t="n">
        <v>0.284</v>
      </c>
      <c r="AB660" s="13" t="n">
        <v>161</v>
      </c>
      <c r="AC660" s="13" t="n">
        <v>174</v>
      </c>
      <c r="AD660" s="13" t="n">
        <v>69</v>
      </c>
      <c r="AE660" s="13" t="n">
        <v>5</v>
      </c>
      <c r="AF660" s="13" t="n">
        <v>9.1</v>
      </c>
      <c r="AG660" s="11" t="inlineStr">
        <is>
          <t xml:space="preserve"> Resort Freeride</t>
        </is>
      </c>
      <c r="AH660" s="11" t="inlineStr">
        <is>
          <t xml:space="preserve"> Touring</t>
        </is>
      </c>
      <c r="AI660" s="13" t="n"/>
      <c r="AJ660" s="13" t="n"/>
      <c r="AK660" s="42" t="n"/>
    </row>
    <row r="661">
      <c r="E661" s="40" t="inlineStr">
        <is>
          <t>21/22</t>
        </is>
      </c>
      <c r="F661" s="10" t="inlineStr">
        <is>
          <t xml:space="preserve"> Elan</t>
        </is>
      </c>
      <c r="G661" s="11" t="inlineStr">
        <is>
          <t>Ripstick 88</t>
        </is>
      </c>
      <c r="H661" s="13" t="n">
        <v>188</v>
      </c>
      <c r="I661" s="11" t="inlineStr">
        <is>
          <t xml:space="preserve"> Unisex</t>
        </is>
      </c>
      <c r="J661" s="13" t="n">
        <v>188</v>
      </c>
      <c r="K661" s="13" t="n">
        <v>184.3</v>
      </c>
      <c r="L661" s="13" t="n">
        <v>142</v>
      </c>
      <c r="M661" s="13" t="n">
        <v>153</v>
      </c>
      <c r="N661" s="13" t="n">
        <v>129</v>
      </c>
      <c r="O661" s="13" t="n">
        <v>87</v>
      </c>
      <c r="P661" s="13" t="n">
        <v>104</v>
      </c>
      <c r="Q661" s="13" t="n">
        <v>18.8</v>
      </c>
      <c r="R661" s="13" t="n">
        <v>1663</v>
      </c>
      <c r="S661" s="13" t="n">
        <v>1.11</v>
      </c>
      <c r="T661" s="13" t="n">
        <v>1848</v>
      </c>
      <c r="U661" s="13" t="n">
        <v>176</v>
      </c>
      <c r="V661" s="13" t="n">
        <v>69</v>
      </c>
      <c r="W661" s="13" t="n">
        <v>49</v>
      </c>
      <c r="X661" s="13" t="n">
        <v>225</v>
      </c>
      <c r="Y661" s="13" t="n">
        <v>16</v>
      </c>
      <c r="Z661" s="13" t="n">
        <v>195</v>
      </c>
      <c r="AA661" s="13" t="n">
        <v>0.321</v>
      </c>
      <c r="AB661" s="13" t="n">
        <v>147</v>
      </c>
      <c r="AC661" s="13" t="n">
        <v>166</v>
      </c>
      <c r="AD661" s="13" t="n">
        <v>77</v>
      </c>
      <c r="AE661" s="13" t="n">
        <v>7</v>
      </c>
      <c r="AF661" s="13" t="n">
        <v>9.5</v>
      </c>
      <c r="AG661" s="11" t="inlineStr">
        <is>
          <t xml:space="preserve"> Resort Freeride</t>
        </is>
      </c>
      <c r="AH661" s="11" t="inlineStr">
        <is>
          <t xml:space="preserve"> Touring</t>
        </is>
      </c>
      <c r="AI661" s="13" t="n"/>
      <c r="AJ661" s="13" t="n"/>
      <c r="AK661" s="42" t="n"/>
    </row>
    <row r="662">
      <c r="E662" s="40" t="inlineStr">
        <is>
          <t>21/22</t>
        </is>
      </c>
      <c r="F662" s="10" t="inlineStr">
        <is>
          <t xml:space="preserve"> Elan</t>
        </is>
      </c>
      <c r="G662" s="11" t="inlineStr">
        <is>
          <t>Ripstick 88 W</t>
        </is>
      </c>
      <c r="H662" s="13" t="n">
        <v>146</v>
      </c>
      <c r="I662" s="11" t="inlineStr">
        <is>
          <t xml:space="preserve"> Women's</t>
        </is>
      </c>
      <c r="J662" s="13" t="n">
        <v>146</v>
      </c>
      <c r="K662" s="13" t="n">
        <v>149.8</v>
      </c>
      <c r="L662" s="13" t="n">
        <v>106</v>
      </c>
      <c r="M662" s="13" t="n">
        <v>125</v>
      </c>
      <c r="N662" s="13" t="n">
        <v>130</v>
      </c>
      <c r="O662" s="13" t="n">
        <v>87</v>
      </c>
      <c r="P662" s="13" t="n">
        <v>104</v>
      </c>
      <c r="Q662" s="13" t="n">
        <v>12.9</v>
      </c>
      <c r="R662" s="13" t="n">
        <v>1276</v>
      </c>
      <c r="S662" s="13" t="n">
        <v>1.18</v>
      </c>
      <c r="T662" s="13" t="n">
        <v>1503</v>
      </c>
      <c r="U662" s="13" t="n">
        <v>125</v>
      </c>
      <c r="V662" s="13" t="n">
        <v>53</v>
      </c>
      <c r="W662" s="13" t="n">
        <v>50</v>
      </c>
      <c r="X662" s="13" t="n">
        <v>300</v>
      </c>
      <c r="Y662" s="13" t="n">
        <v>12</v>
      </c>
      <c r="Z662" s="13" t="n">
        <v>142</v>
      </c>
      <c r="AA662" s="13" t="n">
        <v>0.239</v>
      </c>
      <c r="AB662" s="13" t="n">
        <v>140</v>
      </c>
      <c r="AC662" s="13" t="n">
        <v>111</v>
      </c>
      <c r="AD662" s="13" t="n">
        <v>159</v>
      </c>
      <c r="AE662" s="13" t="n">
        <v>3</v>
      </c>
      <c r="AF662" s="13" t="n">
        <v>7.6</v>
      </c>
      <c r="AG662" s="11" t="inlineStr">
        <is>
          <t xml:space="preserve"> Resort Freeride</t>
        </is>
      </c>
      <c r="AH662" s="11" t="inlineStr">
        <is>
          <t xml:space="preserve"> Touring</t>
        </is>
      </c>
      <c r="AI662" s="13" t="n"/>
      <c r="AJ662" s="13" t="n"/>
      <c r="AK662" s="42" t="n"/>
    </row>
    <row r="663">
      <c r="E663" s="40" t="inlineStr">
        <is>
          <t>21/22</t>
        </is>
      </c>
      <c r="F663" s="10" t="inlineStr">
        <is>
          <t xml:space="preserve"> Elan</t>
        </is>
      </c>
      <c r="G663" s="11" t="inlineStr">
        <is>
          <t>Ripstick 88 W</t>
        </is>
      </c>
      <c r="H663" s="13" t="n">
        <v>154</v>
      </c>
      <c r="I663" s="11" t="inlineStr">
        <is>
          <t xml:space="preserve"> Women's</t>
        </is>
      </c>
      <c r="J663" s="13" t="n">
        <v>154</v>
      </c>
      <c r="K663" s="13" t="n">
        <v>156.4</v>
      </c>
      <c r="L663" s="13" t="n">
        <v>121</v>
      </c>
      <c r="M663" s="13" t="n">
        <v>132</v>
      </c>
      <c r="N663" s="13" t="n">
        <v>129</v>
      </c>
      <c r="O663" s="13" t="n">
        <v>87</v>
      </c>
      <c r="P663" s="13" t="n">
        <v>105</v>
      </c>
      <c r="Q663" s="13" t="n">
        <v>13.6</v>
      </c>
      <c r="R663" s="13" t="n">
        <v>1327</v>
      </c>
      <c r="S663" s="13" t="n">
        <v>1.18</v>
      </c>
      <c r="T663" s="13" t="n">
        <v>1572</v>
      </c>
      <c r="U663" s="13" t="n">
        <v>121</v>
      </c>
      <c r="V663" s="13" t="n">
        <v>56</v>
      </c>
      <c r="W663" s="13" t="n">
        <v>46</v>
      </c>
      <c r="X663" s="13" t="n">
        <v>221</v>
      </c>
      <c r="Y663" s="13" t="n">
        <v>11</v>
      </c>
      <c r="Z663" s="13" t="n">
        <v>133</v>
      </c>
      <c r="AA663" s="13" t="n">
        <v>0.243</v>
      </c>
      <c r="AB663" s="13" t="n">
        <v>136</v>
      </c>
      <c r="AC663" s="13" t="n">
        <v>104</v>
      </c>
      <c r="AD663" s="13" t="n">
        <v>84</v>
      </c>
      <c r="AE663" s="13" t="n">
        <v>4</v>
      </c>
      <c r="AF663" s="13" t="n">
        <v>8.5</v>
      </c>
      <c r="AG663" s="11" t="inlineStr">
        <is>
          <t xml:space="preserve"> Resort Freeride</t>
        </is>
      </c>
      <c r="AH663" s="11" t="inlineStr">
        <is>
          <t xml:space="preserve"> Touring</t>
        </is>
      </c>
      <c r="AI663" s="13" t="n"/>
      <c r="AJ663" s="13" t="n"/>
      <c r="AK663" s="42" t="n"/>
    </row>
    <row r="664">
      <c r="E664" s="40" t="inlineStr">
        <is>
          <t>21/22</t>
        </is>
      </c>
      <c r="F664" s="10" t="inlineStr">
        <is>
          <t xml:space="preserve"> Elan</t>
        </is>
      </c>
      <c r="G664" s="11" t="inlineStr">
        <is>
          <t>Ripstick 88 W</t>
        </is>
      </c>
      <c r="H664" s="13" t="n">
        <v>162</v>
      </c>
      <c r="I664" s="11" t="inlineStr">
        <is>
          <t xml:space="preserve"> Women's</t>
        </is>
      </c>
      <c r="J664" s="13" t="n">
        <v>162</v>
      </c>
      <c r="K664" s="13" t="n">
        <v>163.9</v>
      </c>
      <c r="L664" s="13" t="n">
        <v>123</v>
      </c>
      <c r="M664" s="13" t="n">
        <v>133</v>
      </c>
      <c r="N664" s="13" t="n">
        <v>130</v>
      </c>
      <c r="O664" s="13" t="n">
        <v>87</v>
      </c>
      <c r="P664" s="13" t="n">
        <v>105</v>
      </c>
      <c r="Q664" s="13" t="n">
        <v>14.1</v>
      </c>
      <c r="R664" s="13" t="n">
        <v>1404</v>
      </c>
      <c r="S664" s="13" t="n">
        <v>1.18</v>
      </c>
      <c r="T664" s="13" t="n">
        <v>1651</v>
      </c>
      <c r="U664" s="13" t="n">
        <v>130</v>
      </c>
      <c r="V664" s="13" t="n">
        <v>61</v>
      </c>
      <c r="W664" s="13" t="n">
        <v>46</v>
      </c>
      <c r="X664" s="13" t="n">
        <v>260</v>
      </c>
      <c r="Y664" s="13" t="n">
        <v>13</v>
      </c>
      <c r="Z664" s="13" t="n">
        <v>149</v>
      </c>
      <c r="AA664" s="13" t="n">
        <v>0.275</v>
      </c>
      <c r="AB664" s="13" t="n">
        <v>157</v>
      </c>
      <c r="AC664" s="13" t="n">
        <v>153</v>
      </c>
      <c r="AD664" s="13" t="n">
        <v>103</v>
      </c>
      <c r="AE664" s="13" t="n">
        <v>4</v>
      </c>
      <c r="AF664" s="13" t="n">
        <v>8.5</v>
      </c>
      <c r="AG664" s="11" t="inlineStr">
        <is>
          <t xml:space="preserve"> Resort Freeride</t>
        </is>
      </c>
      <c r="AH664" s="11" t="inlineStr">
        <is>
          <t xml:space="preserve"> Touring</t>
        </is>
      </c>
      <c r="AI664" s="13" t="n"/>
      <c r="AJ664" s="13" t="n"/>
      <c r="AK664" s="42" t="n"/>
    </row>
    <row r="665">
      <c r="E665" s="40" t="inlineStr">
        <is>
          <t>21/22</t>
        </is>
      </c>
      <c r="F665" s="10" t="inlineStr">
        <is>
          <t xml:space="preserve"> Elan</t>
        </is>
      </c>
      <c r="G665" s="11" t="inlineStr">
        <is>
          <t>Ripstick 88 W</t>
        </is>
      </c>
      <c r="H665" s="13" t="n">
        <v>170</v>
      </c>
      <c r="I665" s="11" t="inlineStr">
        <is>
          <t xml:space="preserve"> Women's</t>
        </is>
      </c>
      <c r="J665" s="13" t="n">
        <v>170</v>
      </c>
      <c r="K665" s="13" t="n">
        <v>170.5</v>
      </c>
      <c r="L665" s="13" t="n">
        <v>128</v>
      </c>
      <c r="M665" s="13" t="n">
        <v>138</v>
      </c>
      <c r="N665" s="13" t="n">
        <v>129</v>
      </c>
      <c r="O665" s="13" t="n">
        <v>88</v>
      </c>
      <c r="P665" s="13" t="n">
        <v>105</v>
      </c>
      <c r="Q665" s="13" t="n">
        <v>15.4</v>
      </c>
      <c r="R665" s="13" t="n">
        <v>1501</v>
      </c>
      <c r="S665" s="13" t="n">
        <v>1.14</v>
      </c>
      <c r="T665" s="13" t="n">
        <v>1718</v>
      </c>
      <c r="U665" s="13" t="n">
        <v>157</v>
      </c>
      <c r="V665" s="13" t="n">
        <v>60</v>
      </c>
      <c r="W665" s="13" t="n">
        <v>49</v>
      </c>
      <c r="X665" s="13" t="n">
        <v>231</v>
      </c>
      <c r="Y665" s="13" t="n">
        <v>16</v>
      </c>
      <c r="Z665" s="13" t="n">
        <v>198</v>
      </c>
      <c r="AA665" s="13" t="n">
        <v>0.338</v>
      </c>
      <c r="AB665" s="13" t="n">
        <v>157</v>
      </c>
      <c r="AC665" s="13" t="n">
        <v>168</v>
      </c>
      <c r="AD665" s="13" t="n">
        <v>74</v>
      </c>
      <c r="AE665" s="13" t="n">
        <v>4</v>
      </c>
      <c r="AF665" s="13" t="n">
        <v>8.699999999999999</v>
      </c>
      <c r="AG665" s="11" t="inlineStr">
        <is>
          <t xml:space="preserve"> Resort Freeride</t>
        </is>
      </c>
      <c r="AH665" s="11" t="inlineStr">
        <is>
          <t xml:space="preserve"> Touring</t>
        </is>
      </c>
      <c r="AI665" s="13" t="n"/>
      <c r="AJ665" s="13" t="n"/>
      <c r="AK665" s="42" t="n"/>
    </row>
    <row r="666">
      <c r="E666" s="40" t="inlineStr">
        <is>
          <t>21/22</t>
        </is>
      </c>
      <c r="F666" s="10" t="inlineStr">
        <is>
          <t xml:space="preserve"> Elan</t>
        </is>
      </c>
      <c r="G666" s="11" t="inlineStr">
        <is>
          <t>Ripstick 94 W</t>
        </is>
      </c>
      <c r="H666" s="13" t="n">
        <v>154</v>
      </c>
      <c r="I666" s="11" t="inlineStr">
        <is>
          <t xml:space="preserve"> Women's</t>
        </is>
      </c>
      <c r="J666" s="13" t="n">
        <v>154</v>
      </c>
      <c r="K666" s="13" t="n">
        <v>154.9</v>
      </c>
      <c r="L666" s="13" t="n">
        <v>105</v>
      </c>
      <c r="M666" s="13" t="n">
        <v>121</v>
      </c>
      <c r="N666" s="13" t="n">
        <v>131</v>
      </c>
      <c r="O666" s="13" t="n">
        <v>94</v>
      </c>
      <c r="P666" s="13" t="n">
        <v>107</v>
      </c>
      <c r="Q666" s="13" t="n">
        <v>13.9</v>
      </c>
      <c r="R666" s="13" t="n">
        <v>1394</v>
      </c>
      <c r="S666" s="13" t="n">
        <v>1.17</v>
      </c>
      <c r="T666" s="13" t="n">
        <v>1628</v>
      </c>
      <c r="U666" s="13" t="n">
        <v>146</v>
      </c>
      <c r="V666" s="13" t="n">
        <v>62</v>
      </c>
      <c r="W666" s="13" t="n">
        <v>49</v>
      </c>
      <c r="X666" s="13" t="n">
        <v>298</v>
      </c>
      <c r="Y666" s="13" t="n">
        <v>16</v>
      </c>
      <c r="Z666" s="13" t="n">
        <v>203</v>
      </c>
      <c r="AA666" s="13" t="n">
        <v>0.322</v>
      </c>
      <c r="AB666" s="13" t="n">
        <v>176</v>
      </c>
      <c r="AC666" s="13" t="n">
        <v>161</v>
      </c>
      <c r="AD666" s="13" t="n">
        <v>122</v>
      </c>
      <c r="AE666" s="13" t="n">
        <v>3</v>
      </c>
      <c r="AF666" s="13" t="n">
        <v>7</v>
      </c>
      <c r="AG666" s="11" t="inlineStr">
        <is>
          <t xml:space="preserve"> Resort Freeride</t>
        </is>
      </c>
      <c r="AH666" s="11" t="inlineStr">
        <is>
          <t xml:space="preserve"> Touring</t>
        </is>
      </c>
      <c r="AI666" s="13" t="n"/>
      <c r="AJ666" s="13" t="n"/>
      <c r="AK666" s="42" t="n"/>
    </row>
    <row r="667">
      <c r="E667" s="40" t="inlineStr">
        <is>
          <t>21/22</t>
        </is>
      </c>
      <c r="F667" s="10" t="inlineStr">
        <is>
          <t xml:space="preserve"> Elan</t>
        </is>
      </c>
      <c r="G667" s="11" t="inlineStr">
        <is>
          <t>Ripstick 94 W</t>
        </is>
      </c>
      <c r="H667" s="13" t="n">
        <v>162</v>
      </c>
      <c r="I667" s="11" t="inlineStr">
        <is>
          <t xml:space="preserve"> Women's</t>
        </is>
      </c>
      <c r="J667" s="13" t="n">
        <v>162</v>
      </c>
      <c r="K667" s="13" t="n">
        <v>162.1</v>
      </c>
      <c r="L667" s="13" t="n">
        <v>116</v>
      </c>
      <c r="M667" s="13" t="n">
        <v>129</v>
      </c>
      <c r="N667" s="13" t="n">
        <v>133</v>
      </c>
      <c r="O667" s="13" t="n">
        <v>94</v>
      </c>
      <c r="P667" s="13" t="n">
        <v>108</v>
      </c>
      <c r="Q667" s="13" t="n">
        <v>14.9</v>
      </c>
      <c r="R667" s="13" t="n">
        <v>1451</v>
      </c>
      <c r="S667" s="13" t="n">
        <v>1.18</v>
      </c>
      <c r="T667" s="13" t="n">
        <v>1717</v>
      </c>
      <c r="U667" s="13" t="n">
        <v>156</v>
      </c>
      <c r="V667" s="13" t="n">
        <v>60</v>
      </c>
      <c r="W667" s="13" t="n">
        <v>45</v>
      </c>
      <c r="X667" s="13" t="n">
        <v>279</v>
      </c>
      <c r="Y667" s="13" t="n">
        <v>14</v>
      </c>
      <c r="Z667" s="13" t="n">
        <v>183</v>
      </c>
      <c r="AA667" s="13" t="n">
        <v>0.31</v>
      </c>
      <c r="AB667" s="13" t="n">
        <v>166</v>
      </c>
      <c r="AC667" s="13" t="n">
        <v>162</v>
      </c>
      <c r="AD667" s="13" t="n">
        <v>113</v>
      </c>
      <c r="AE667" s="13" t="n">
        <v>5</v>
      </c>
      <c r="AF667" s="13" t="n">
        <v>7.2</v>
      </c>
      <c r="AG667" s="11" t="inlineStr">
        <is>
          <t xml:space="preserve"> Resort Freeride</t>
        </is>
      </c>
      <c r="AH667" s="11" t="inlineStr">
        <is>
          <t xml:space="preserve"> Touring</t>
        </is>
      </c>
      <c r="AI667" s="13" t="n"/>
      <c r="AJ667" s="13" t="n"/>
      <c r="AK667" s="42" t="n"/>
    </row>
    <row r="668">
      <c r="E668" s="40" t="inlineStr">
        <is>
          <t>21/22</t>
        </is>
      </c>
      <c r="F668" s="10" t="inlineStr">
        <is>
          <t xml:space="preserve"> Elan</t>
        </is>
      </c>
      <c r="G668" s="11" t="inlineStr">
        <is>
          <t>Ripstick 94 W</t>
        </is>
      </c>
      <c r="H668" s="13" t="n">
        <v>170</v>
      </c>
      <c r="I668" s="11" t="inlineStr">
        <is>
          <t xml:space="preserve"> Women's</t>
        </is>
      </c>
      <c r="J668" s="13" t="n">
        <v>170</v>
      </c>
      <c r="K668" s="13" t="n">
        <v>170.4</v>
      </c>
      <c r="L668" s="13" t="n">
        <v>128</v>
      </c>
      <c r="M668" s="13" t="n">
        <v>137</v>
      </c>
      <c r="N668" s="13" t="n">
        <v>136</v>
      </c>
      <c r="O668" s="13" t="n">
        <v>95</v>
      </c>
      <c r="P668" s="13" t="n">
        <v>111</v>
      </c>
      <c r="Q668" s="13" t="n">
        <v>15.7</v>
      </c>
      <c r="R668" s="13" t="n">
        <v>1612</v>
      </c>
      <c r="S668" s="13" t="n">
        <v>1.13</v>
      </c>
      <c r="T668" s="13" t="n">
        <v>1827</v>
      </c>
      <c r="U668" s="13" t="n">
        <v>187</v>
      </c>
      <c r="V668" s="13" t="n">
        <v>74</v>
      </c>
      <c r="W668" s="13" t="n">
        <v>47</v>
      </c>
      <c r="X668" s="13" t="n">
        <v>242</v>
      </c>
      <c r="Y668" s="13" t="n">
        <v>16</v>
      </c>
      <c r="Z668" s="13" t="n">
        <v>181</v>
      </c>
      <c r="AA668" s="13" t="n">
        <v>0.347</v>
      </c>
      <c r="AB668" s="13" t="n">
        <v>176</v>
      </c>
      <c r="AC668" s="13" t="n">
        <v>163</v>
      </c>
      <c r="AD668" s="13" t="n">
        <v>66</v>
      </c>
      <c r="AE668" s="13" t="n">
        <v>4</v>
      </c>
      <c r="AF668" s="13" t="n">
        <v>6.8</v>
      </c>
      <c r="AG668" s="11" t="inlineStr">
        <is>
          <t xml:space="preserve"> Resort Freeride</t>
        </is>
      </c>
      <c r="AH668" s="11" t="inlineStr">
        <is>
          <t xml:space="preserve"> Touring</t>
        </is>
      </c>
      <c r="AI668" s="13" t="n"/>
      <c r="AJ668" s="13" t="n"/>
      <c r="AK668" s="42" t="n"/>
    </row>
    <row r="669">
      <c r="E669" s="40" t="inlineStr">
        <is>
          <t>21/22</t>
        </is>
      </c>
      <c r="F669" s="10" t="inlineStr">
        <is>
          <t xml:space="preserve"> Elan</t>
        </is>
      </c>
      <c r="G669" s="11" t="inlineStr">
        <is>
          <t>Ripstick 96</t>
        </is>
      </c>
      <c r="H669" s="13" t="n">
        <v>172</v>
      </c>
      <c r="I669" s="11" t="inlineStr">
        <is>
          <t xml:space="preserve"> Unisex</t>
        </is>
      </c>
      <c r="J669" s="13" t="n">
        <v>172</v>
      </c>
      <c r="K669" s="13" t="n">
        <v>170.3</v>
      </c>
      <c r="L669" s="13" t="n">
        <v>127</v>
      </c>
      <c r="M669" s="13" t="n">
        <v>136</v>
      </c>
      <c r="N669" s="13" t="n">
        <v>136</v>
      </c>
      <c r="O669" s="13" t="n">
        <v>94</v>
      </c>
      <c r="P669" s="13" t="n">
        <v>110</v>
      </c>
      <c r="Q669" s="13" t="n">
        <v>15.6</v>
      </c>
      <c r="R669" s="13" t="n">
        <v>1577</v>
      </c>
      <c r="S669" s="13" t="n">
        <v>1.16</v>
      </c>
      <c r="T669" s="13" t="n">
        <v>1823</v>
      </c>
      <c r="U669" s="13" t="n">
        <v>190</v>
      </c>
      <c r="V669" s="13" t="n">
        <v>74</v>
      </c>
      <c r="W669" s="13" t="n">
        <v>51</v>
      </c>
      <c r="X669" s="13" t="n">
        <v>274</v>
      </c>
      <c r="Y669" s="13" t="n">
        <v>15</v>
      </c>
      <c r="Z669" s="13" t="n">
        <v>159</v>
      </c>
      <c r="AA669" s="13" t="n">
        <v>0.3</v>
      </c>
      <c r="AB669" s="13" t="n">
        <v>178</v>
      </c>
      <c r="AC669" s="13" t="n">
        <v>166</v>
      </c>
      <c r="AD669" s="13" t="n">
        <v>96</v>
      </c>
      <c r="AE669" s="13" t="n">
        <v>4</v>
      </c>
      <c r="AF669" s="13" t="n">
        <v>7.7</v>
      </c>
      <c r="AG669" s="11" t="inlineStr">
        <is>
          <t xml:space="preserve"> Resort Freeride</t>
        </is>
      </c>
      <c r="AH669" s="11" t="inlineStr">
        <is>
          <t xml:space="preserve"> Touring</t>
        </is>
      </c>
      <c r="AI669" s="13" t="n"/>
      <c r="AJ669" s="13" t="n"/>
      <c r="AK669" s="42" t="n"/>
    </row>
    <row r="670">
      <c r="E670" s="40" t="inlineStr">
        <is>
          <t>21/22</t>
        </is>
      </c>
      <c r="F670" s="10" t="inlineStr">
        <is>
          <t xml:space="preserve"> Elan</t>
        </is>
      </c>
      <c r="G670" s="11" t="inlineStr">
        <is>
          <t>Ripstick 96</t>
        </is>
      </c>
      <c r="H670" s="13" t="n">
        <v>180</v>
      </c>
      <c r="I670" s="11" t="inlineStr">
        <is>
          <t xml:space="preserve"> Unisex</t>
        </is>
      </c>
      <c r="J670" s="13" t="n">
        <v>180</v>
      </c>
      <c r="K670" s="13" t="n">
        <v>177.1</v>
      </c>
      <c r="L670" s="13" t="n">
        <v>139</v>
      </c>
      <c r="M670" s="13" t="n">
        <v>144</v>
      </c>
      <c r="N670" s="13" t="n">
        <v>136</v>
      </c>
      <c r="O670" s="13" t="n">
        <v>94</v>
      </c>
      <c r="P670" s="13" t="n">
        <v>110</v>
      </c>
      <c r="Q670" s="13" t="n">
        <v>17.5</v>
      </c>
      <c r="R670" s="13" t="n">
        <v>1720</v>
      </c>
      <c r="S670" s="13" t="n">
        <v>1.1</v>
      </c>
      <c r="T670" s="13" t="n">
        <v>1895</v>
      </c>
      <c r="U670" s="13" t="n">
        <v>187</v>
      </c>
      <c r="V670" s="13" t="n">
        <v>73</v>
      </c>
      <c r="W670" s="13" t="n">
        <v>44</v>
      </c>
      <c r="X670" s="13" t="n">
        <v>219</v>
      </c>
      <c r="Y670" s="13" t="n">
        <v>16</v>
      </c>
      <c r="Z670" s="13" t="n">
        <v>166</v>
      </c>
      <c r="AA670" s="13" t="n">
        <v>0.352</v>
      </c>
      <c r="AB670" s="13" t="n">
        <v>172</v>
      </c>
      <c r="AC670" s="13" t="n">
        <v>158</v>
      </c>
      <c r="AD670" s="13" t="n">
        <v>47</v>
      </c>
      <c r="AE670" s="13" t="n">
        <v>9</v>
      </c>
      <c r="AF670" s="13" t="n">
        <v>8.300000000000001</v>
      </c>
      <c r="AG670" s="11" t="inlineStr">
        <is>
          <t xml:space="preserve"> Resort Freeride</t>
        </is>
      </c>
      <c r="AH670" s="11" t="inlineStr">
        <is>
          <t xml:space="preserve"> Touring</t>
        </is>
      </c>
      <c r="AI670" s="13" t="n"/>
      <c r="AJ670" s="13" t="n"/>
      <c r="AK670" s="42" t="n"/>
    </row>
    <row r="671">
      <c r="E671" s="40" t="inlineStr">
        <is>
          <t>21/22</t>
        </is>
      </c>
      <c r="F671" s="10" t="inlineStr">
        <is>
          <t xml:space="preserve"> Elan</t>
        </is>
      </c>
      <c r="G671" s="11" t="inlineStr">
        <is>
          <t>Ripstick 96</t>
        </is>
      </c>
      <c r="H671" s="13" t="n">
        <v>188</v>
      </c>
      <c r="I671" s="11" t="inlineStr">
        <is>
          <t xml:space="preserve"> Unisex</t>
        </is>
      </c>
      <c r="J671" s="13" t="n">
        <v>188</v>
      </c>
      <c r="K671" s="13" t="n">
        <v>184.2</v>
      </c>
      <c r="L671" s="13" t="n">
        <v>135</v>
      </c>
      <c r="M671" s="13" t="n">
        <v>150</v>
      </c>
      <c r="N671" s="13" t="n">
        <v>136</v>
      </c>
      <c r="O671" s="13" t="n">
        <v>94</v>
      </c>
      <c r="P671" s="13" t="n">
        <v>110</v>
      </c>
      <c r="Q671" s="13" t="n">
        <v>19</v>
      </c>
      <c r="R671" s="13" t="n">
        <v>1789</v>
      </c>
      <c r="S671" s="13" t="n">
        <v>1.09</v>
      </c>
      <c r="T671" s="13" t="n">
        <v>1958</v>
      </c>
      <c r="U671" s="13" t="n">
        <v>239</v>
      </c>
      <c r="V671" s="13" t="n">
        <v>92</v>
      </c>
      <c r="W671" s="13" t="n">
        <v>45</v>
      </c>
      <c r="X671" s="13" t="n">
        <v>259</v>
      </c>
      <c r="Y671" s="13" t="n">
        <v>12</v>
      </c>
      <c r="Z671" s="13" t="n">
        <v>233</v>
      </c>
      <c r="AA671" s="13" t="n">
        <v>0.276</v>
      </c>
      <c r="AB671" s="13" t="n">
        <v>170</v>
      </c>
      <c r="AC671" s="13" t="n">
        <v>168</v>
      </c>
      <c r="AD671" s="13" t="n">
        <v>88</v>
      </c>
      <c r="AE671" s="13" t="n">
        <v>4</v>
      </c>
      <c r="AF671" s="13" t="n">
        <v>7.7</v>
      </c>
      <c r="AG671" s="11" t="inlineStr">
        <is>
          <t xml:space="preserve"> Resort Freeride</t>
        </is>
      </c>
      <c r="AH671" s="11" t="inlineStr">
        <is>
          <t xml:space="preserve"> Touring</t>
        </is>
      </c>
      <c r="AI671" s="13" t="n"/>
      <c r="AJ671" s="13" t="n"/>
      <c r="AK671" s="42" t="n"/>
    </row>
    <row r="672">
      <c r="E672" s="40" t="inlineStr">
        <is>
          <t>21/22</t>
        </is>
      </c>
      <c r="F672" s="10" t="inlineStr">
        <is>
          <t xml:space="preserve"> Elan</t>
        </is>
      </c>
      <c r="G672" s="11" t="inlineStr">
        <is>
          <t>Ripstick 96 Black Edition</t>
        </is>
      </c>
      <c r="H672" s="13" t="n">
        <v>188</v>
      </c>
      <c r="I672" s="11" t="inlineStr">
        <is>
          <t xml:space="preserve"> Unisex</t>
        </is>
      </c>
      <c r="J672" s="13" t="n">
        <v>188</v>
      </c>
      <c r="K672" s="13" t="n">
        <v>184</v>
      </c>
      <c r="L672" s="13" t="n">
        <v>132</v>
      </c>
      <c r="M672" s="13" t="n">
        <v>151</v>
      </c>
      <c r="N672" s="13" t="n">
        <v>136</v>
      </c>
      <c r="O672" s="13" t="n">
        <v>94</v>
      </c>
      <c r="P672" s="13" t="n">
        <v>110</v>
      </c>
      <c r="Q672" s="13" t="n">
        <v>18.9</v>
      </c>
      <c r="R672" s="13" t="n">
        <v>1775</v>
      </c>
      <c r="S672" s="13" t="n">
        <v>1.1</v>
      </c>
      <c r="T672" s="13" t="n">
        <v>1957</v>
      </c>
      <c r="U672" s="13" t="n">
        <v>261</v>
      </c>
      <c r="V672" s="13" t="n">
        <v>107</v>
      </c>
      <c r="W672" s="13" t="n">
        <v>49</v>
      </c>
      <c r="X672" s="13" t="n">
        <v>264</v>
      </c>
      <c r="Y672" s="13" t="n">
        <v>18</v>
      </c>
      <c r="Z672" s="13" t="n">
        <v>260</v>
      </c>
      <c r="AA672" s="13" t="n">
        <v>0.371</v>
      </c>
      <c r="AB672" s="13" t="n">
        <v>172</v>
      </c>
      <c r="AC672" s="13" t="n">
        <v>159</v>
      </c>
      <c r="AD672" s="13" t="n">
        <v>93</v>
      </c>
      <c r="AE672" s="13" t="n">
        <v>5</v>
      </c>
      <c r="AF672" s="13" t="n">
        <v>8.1</v>
      </c>
      <c r="AG672" s="11" t="inlineStr">
        <is>
          <t xml:space="preserve"> Resort Freeride</t>
        </is>
      </c>
      <c r="AH672" s="11" t="inlineStr">
        <is>
          <t xml:space="preserve"> Touring</t>
        </is>
      </c>
      <c r="AI672" s="13" t="n"/>
      <c r="AJ672" s="13" t="n"/>
      <c r="AK672" s="42" t="n"/>
    </row>
    <row r="673">
      <c r="E673" s="40" t="inlineStr">
        <is>
          <t>21/22</t>
        </is>
      </c>
      <c r="F673" s="10" t="inlineStr">
        <is>
          <t xml:space="preserve"> Elan</t>
        </is>
      </c>
      <c r="G673" s="11" t="inlineStr">
        <is>
          <t xml:space="preserve"> Snow Black</t>
        </is>
      </c>
      <c r="H673" s="13" t="n">
        <v>146</v>
      </c>
      <c r="I673" s="11" t="inlineStr">
        <is>
          <t xml:space="preserve"> Women's</t>
        </is>
      </c>
      <c r="J673" s="13" t="n">
        <v>146</v>
      </c>
      <c r="K673" s="13" t="n">
        <v>145</v>
      </c>
      <c r="L673" s="13" t="n">
        <v>123</v>
      </c>
      <c r="M673" s="13" t="n">
        <v>133</v>
      </c>
      <c r="N673" s="13" t="n">
        <v>122</v>
      </c>
      <c r="O673" s="13" t="n">
        <v>73</v>
      </c>
      <c r="P673" s="13" t="n">
        <v>102</v>
      </c>
      <c r="Q673" s="13" t="n">
        <v>11.5</v>
      </c>
      <c r="R673" s="13" t="n">
        <v>1356</v>
      </c>
      <c r="S673" s="13" t="n">
        <v>0.9399999999999999</v>
      </c>
      <c r="T673" s="13" t="n">
        <v>1273</v>
      </c>
      <c r="U673" s="13" t="n">
        <v>135</v>
      </c>
      <c r="V673" s="13" t="n">
        <v>48</v>
      </c>
      <c r="W673" s="13" t="n">
        <v>33</v>
      </c>
      <c r="X673" s="13" t="n">
        <v>151</v>
      </c>
      <c r="Y673" s="13" t="n">
        <v>6</v>
      </c>
      <c r="Z673" s="13" t="n">
        <v>70</v>
      </c>
      <c r="AA673" s="13" t="n">
        <v>0.175</v>
      </c>
      <c r="AB673" s="13" t="n">
        <v>78</v>
      </c>
      <c r="AC673" s="13" t="n">
        <v>37</v>
      </c>
      <c r="AD673" s="13" t="n">
        <v>73</v>
      </c>
      <c r="AE673" s="13" t="n">
        <v>8</v>
      </c>
      <c r="AF673" s="13" t="n">
        <v>8.5</v>
      </c>
      <c r="AG673" s="11" t="inlineStr">
        <is>
          <t xml:space="preserve"> On-Piste Carving</t>
        </is>
      </c>
      <c r="AH673" s="13" t="n"/>
      <c r="AI673" s="13" t="n"/>
      <c r="AJ673" s="13" t="n"/>
      <c r="AK673" s="42" t="n"/>
    </row>
    <row r="674">
      <c r="E674" s="40" t="inlineStr">
        <is>
          <t>21/22</t>
        </is>
      </c>
      <c r="F674" s="10" t="inlineStr">
        <is>
          <t xml:space="preserve"> Elan</t>
        </is>
      </c>
      <c r="G674" s="11" t="inlineStr">
        <is>
          <t xml:space="preserve"> Snow Black</t>
        </is>
      </c>
      <c r="H674" s="13" t="n">
        <v>158</v>
      </c>
      <c r="I674" s="11" t="inlineStr">
        <is>
          <t xml:space="preserve"> Women's</t>
        </is>
      </c>
      <c r="J674" s="13" t="n">
        <v>158</v>
      </c>
      <c r="K674" s="13" t="n">
        <v>159.2</v>
      </c>
      <c r="L674" s="13" t="n">
        <v>138</v>
      </c>
      <c r="M674" s="13" t="n">
        <v>147</v>
      </c>
      <c r="N674" s="13" t="n">
        <v>122</v>
      </c>
      <c r="O674" s="13" t="n">
        <v>74</v>
      </c>
      <c r="P674" s="13" t="n">
        <v>103</v>
      </c>
      <c r="Q674" s="13" t="n">
        <v>13.9</v>
      </c>
      <c r="R674" s="13" t="n">
        <v>1522</v>
      </c>
      <c r="S674" s="13" t="n">
        <v>0.92</v>
      </c>
      <c r="T674" s="13" t="n">
        <v>1401</v>
      </c>
      <c r="U674" s="13" t="n">
        <v>187</v>
      </c>
      <c r="V674" s="13" t="n">
        <v>60</v>
      </c>
      <c r="W674" s="13" t="n">
        <v>34</v>
      </c>
      <c r="X674" s="13" t="n">
        <v>141</v>
      </c>
      <c r="Y674" s="13" t="n">
        <v>6</v>
      </c>
      <c r="Z674" s="13" t="n">
        <v>71</v>
      </c>
      <c r="AA674" s="13" t="n">
        <v>0.186</v>
      </c>
      <c r="AB674" s="13" t="n">
        <v>79</v>
      </c>
      <c r="AC674" s="13" t="n">
        <v>39</v>
      </c>
      <c r="AD674" s="13" t="n">
        <v>62</v>
      </c>
      <c r="AE674" s="13" t="n">
        <v>9</v>
      </c>
      <c r="AF674" s="13" t="n">
        <v>9.1</v>
      </c>
      <c r="AG674" s="11" t="inlineStr">
        <is>
          <t xml:space="preserve"> On-Piste Carving</t>
        </is>
      </c>
      <c r="AH674" s="13" t="n"/>
      <c r="AI674" s="13" t="n"/>
      <c r="AJ674" s="13" t="n"/>
      <c r="AK674" s="42" t="n"/>
    </row>
    <row r="675">
      <c r="E675" s="40" t="inlineStr">
        <is>
          <t>21/22</t>
        </is>
      </c>
      <c r="F675" s="10" t="inlineStr">
        <is>
          <t xml:space="preserve"> Elan</t>
        </is>
      </c>
      <c r="G675" s="11" t="inlineStr">
        <is>
          <t xml:space="preserve"> Voyager</t>
        </is>
      </c>
      <c r="H675" s="13" t="n">
        <v>166</v>
      </c>
      <c r="I675" s="11" t="inlineStr">
        <is>
          <t xml:space="preserve"> Unisex</t>
        </is>
      </c>
      <c r="J675" s="13" t="n">
        <v>166</v>
      </c>
      <c r="K675" s="13" t="n">
        <v>164.3</v>
      </c>
      <c r="L675" s="13" t="n">
        <v>145</v>
      </c>
      <c r="M675" s="13" t="n">
        <v>151</v>
      </c>
      <c r="N675" s="13" t="n">
        <v>127</v>
      </c>
      <c r="O675" s="13" t="n">
        <v>77</v>
      </c>
      <c r="P675" s="13" t="n">
        <v>110</v>
      </c>
      <c r="Q675" s="13" t="n">
        <v>13.6</v>
      </c>
      <c r="R675" s="11" t="inlineStr">
        <is>
          <t xml:space="preserve"> None</t>
        </is>
      </c>
      <c r="S675" s="11" t="inlineStr">
        <is>
          <t xml:space="preserve"> None</t>
        </is>
      </c>
      <c r="T675" s="13" t="n">
        <v>1528</v>
      </c>
      <c r="U675" s="13" t="n">
        <v>204</v>
      </c>
      <c r="V675" s="13" t="n">
        <v>76</v>
      </c>
      <c r="W675" s="13" t="n">
        <v>39</v>
      </c>
      <c r="X675" s="13" t="n">
        <v>133</v>
      </c>
      <c r="Y675" s="13" t="n">
        <v>7</v>
      </c>
      <c r="Z675" s="13" t="n">
        <v>57</v>
      </c>
      <c r="AA675" s="13" t="n">
        <v>0.182</v>
      </c>
      <c r="AB675" s="13" t="n">
        <v>84</v>
      </c>
      <c r="AC675" s="13" t="n">
        <v>47</v>
      </c>
      <c r="AD675" s="13" t="n">
        <v>49</v>
      </c>
      <c r="AE675" s="13" t="n">
        <v>15</v>
      </c>
      <c r="AF675" s="13" t="n">
        <v>7.5</v>
      </c>
      <c r="AG675" s="11" t="inlineStr">
        <is>
          <t xml:space="preserve"> Other</t>
        </is>
      </c>
      <c r="AH675" s="13" t="n"/>
      <c r="AI675" s="13" t="n"/>
      <c r="AJ675" s="13" t="n"/>
      <c r="AK675" s="42" t="n"/>
    </row>
    <row r="676">
      <c r="E676" s="40" t="inlineStr">
        <is>
          <t>21/22</t>
        </is>
      </c>
      <c r="F676" s="10" t="inlineStr">
        <is>
          <t xml:space="preserve"> Elan</t>
        </is>
      </c>
      <c r="G676" s="11" t="inlineStr">
        <is>
          <t>Wildcat 76</t>
        </is>
      </c>
      <c r="H676" s="13" t="n">
        <v>150</v>
      </c>
      <c r="I676" s="11" t="inlineStr">
        <is>
          <t xml:space="preserve"> Women's</t>
        </is>
      </c>
      <c r="J676" s="13" t="n">
        <v>150</v>
      </c>
      <c r="K676" s="13" t="n">
        <v>150.2</v>
      </c>
      <c r="L676" s="13" t="n">
        <v>131</v>
      </c>
      <c r="M676" s="13" t="n">
        <v>136</v>
      </c>
      <c r="N676" s="13" t="n">
        <v>127</v>
      </c>
      <c r="O676" s="13" t="n">
        <v>75</v>
      </c>
      <c r="P676" s="13" t="n">
        <v>105</v>
      </c>
      <c r="Q676" s="13" t="n">
        <v>11.5</v>
      </c>
      <c r="R676" s="13" t="n">
        <v>1415</v>
      </c>
      <c r="S676" s="13" t="n">
        <v>0.96</v>
      </c>
      <c r="T676" s="13" t="n">
        <v>1365</v>
      </c>
      <c r="U676" s="13" t="n">
        <v>135</v>
      </c>
      <c r="V676" s="13" t="n">
        <v>60</v>
      </c>
      <c r="W676" s="13" t="n">
        <v>38</v>
      </c>
      <c r="X676" s="13" t="n">
        <v>132</v>
      </c>
      <c r="Y676" s="13" t="n">
        <v>6</v>
      </c>
      <c r="Z676" s="13" t="n">
        <v>63</v>
      </c>
      <c r="AA676" s="13" t="n">
        <v>0.159</v>
      </c>
      <c r="AB676" s="13" t="n">
        <v>89</v>
      </c>
      <c r="AC676" s="13" t="n">
        <v>49</v>
      </c>
      <c r="AD676" s="13" t="n">
        <v>43</v>
      </c>
      <c r="AE676" s="13" t="n">
        <v>8</v>
      </c>
      <c r="AF676" s="13" t="n">
        <v>9.699999999999999</v>
      </c>
      <c r="AG676" s="11" t="inlineStr">
        <is>
          <t xml:space="preserve"> On-Piste Carving</t>
        </is>
      </c>
      <c r="AH676" s="13" t="n"/>
      <c r="AI676" s="13" t="n"/>
      <c r="AJ676" s="13" t="n"/>
      <c r="AK676" s="42" t="n"/>
    </row>
    <row r="677">
      <c r="E677" s="40" t="inlineStr">
        <is>
          <t>21/22</t>
        </is>
      </c>
      <c r="F677" s="10" t="inlineStr">
        <is>
          <t xml:space="preserve"> Elan</t>
        </is>
      </c>
      <c r="G677" s="11" t="inlineStr">
        <is>
          <t>Wildcat 76</t>
        </is>
      </c>
      <c r="H677" s="13" t="n">
        <v>158</v>
      </c>
      <c r="I677" s="11" t="inlineStr">
        <is>
          <t xml:space="preserve"> Women's</t>
        </is>
      </c>
      <c r="J677" s="13" t="n">
        <v>158</v>
      </c>
      <c r="K677" s="13" t="n">
        <v>158.4</v>
      </c>
      <c r="L677" s="13" t="n">
        <v>138</v>
      </c>
      <c r="M677" s="13" t="n">
        <v>145</v>
      </c>
      <c r="N677" s="13" t="n">
        <v>127</v>
      </c>
      <c r="O677" s="13" t="n">
        <v>75</v>
      </c>
      <c r="P677" s="13" t="n">
        <v>104</v>
      </c>
      <c r="Q677" s="13" t="n">
        <v>13</v>
      </c>
      <c r="R677" s="13" t="n">
        <v>1515</v>
      </c>
      <c r="S677" s="13" t="n">
        <v>0.95</v>
      </c>
      <c r="T677" s="13" t="n">
        <v>1438</v>
      </c>
      <c r="U677" s="13" t="n">
        <v>163</v>
      </c>
      <c r="V677" s="13" t="n">
        <v>69</v>
      </c>
      <c r="W677" s="13" t="n">
        <v>37</v>
      </c>
      <c r="X677" s="13" t="n">
        <v>141</v>
      </c>
      <c r="Y677" s="13" t="n">
        <v>7</v>
      </c>
      <c r="Z677" s="13" t="n">
        <v>68</v>
      </c>
      <c r="AA677" s="13" t="n">
        <v>0.187</v>
      </c>
      <c r="AB677" s="13" t="n">
        <v>88</v>
      </c>
      <c r="AC677" s="13" t="n">
        <v>49</v>
      </c>
      <c r="AD677" s="13" t="n">
        <v>53</v>
      </c>
      <c r="AE677" s="13" t="n">
        <v>9</v>
      </c>
      <c r="AF677" s="13" t="n">
        <v>9.199999999999999</v>
      </c>
      <c r="AG677" s="11" t="inlineStr">
        <is>
          <t xml:space="preserve"> On-Piste Carving</t>
        </is>
      </c>
      <c r="AH677" s="13" t="n"/>
      <c r="AI677" s="13" t="n"/>
      <c r="AJ677" s="13" t="n"/>
      <c r="AK677" s="42" t="n"/>
    </row>
    <row r="678">
      <c r="E678" s="40" t="inlineStr">
        <is>
          <t>21/22</t>
        </is>
      </c>
      <c r="F678" s="10" t="inlineStr">
        <is>
          <t xml:space="preserve"> Elan</t>
        </is>
      </c>
      <c r="G678" s="11" t="inlineStr">
        <is>
          <t>Wildcat 82 C</t>
        </is>
      </c>
      <c r="H678" s="13" t="n">
        <v>152</v>
      </c>
      <c r="I678" s="11" t="inlineStr">
        <is>
          <t xml:space="preserve"> Women's</t>
        </is>
      </c>
      <c r="J678" s="13" t="n">
        <v>152</v>
      </c>
      <c r="K678" s="13" t="n">
        <v>153.1</v>
      </c>
      <c r="L678" s="13" t="n">
        <v>122</v>
      </c>
      <c r="M678" s="13" t="n">
        <v>133</v>
      </c>
      <c r="N678" s="13" t="n">
        <v>129</v>
      </c>
      <c r="O678" s="13" t="n">
        <v>81</v>
      </c>
      <c r="P678" s="13" t="n">
        <v>112</v>
      </c>
      <c r="Q678" s="13" t="n">
        <v>10.9</v>
      </c>
      <c r="R678" s="13" t="n">
        <v>1695</v>
      </c>
      <c r="S678" s="13" t="n">
        <v>0.87</v>
      </c>
      <c r="T678" s="13" t="n">
        <v>1483</v>
      </c>
      <c r="U678" s="13" t="n">
        <v>210</v>
      </c>
      <c r="V678" s="13" t="n">
        <v>81</v>
      </c>
      <c r="W678" s="13" t="n">
        <v>40</v>
      </c>
      <c r="X678" s="13" t="n">
        <v>190</v>
      </c>
      <c r="Y678" s="13" t="n">
        <v>9</v>
      </c>
      <c r="Z678" s="13" t="n">
        <v>121</v>
      </c>
      <c r="AA678" s="13" t="n">
        <v>0.235</v>
      </c>
      <c r="AB678" s="13" t="n">
        <v>110</v>
      </c>
      <c r="AC678" s="13" t="n">
        <v>92</v>
      </c>
      <c r="AD678" s="13" t="n">
        <v>80</v>
      </c>
      <c r="AE678" s="13" t="n">
        <v>6</v>
      </c>
      <c r="AF678" s="13" t="n">
        <v>8.5</v>
      </c>
      <c r="AG678" s="11" t="inlineStr">
        <is>
          <t xml:space="preserve"> On-Piste All-Mountain</t>
        </is>
      </c>
      <c r="AH678" s="11" t="inlineStr">
        <is>
          <t xml:space="preserve"> Resort Freeride</t>
        </is>
      </c>
      <c r="AI678" s="13" t="n"/>
      <c r="AJ678" s="13" t="n"/>
      <c r="AK678" s="42" t="n"/>
    </row>
    <row r="679">
      <c r="E679" s="40" t="inlineStr">
        <is>
          <t>21/22</t>
        </is>
      </c>
      <c r="F679" s="10" t="inlineStr">
        <is>
          <t xml:space="preserve"> Elan</t>
        </is>
      </c>
      <c r="G679" s="11" t="inlineStr">
        <is>
          <t>Wildcat 82 C</t>
        </is>
      </c>
      <c r="H679" s="13" t="n">
        <v>158</v>
      </c>
      <c r="I679" s="11" t="inlineStr">
        <is>
          <t xml:space="preserve"> Women's</t>
        </is>
      </c>
      <c r="J679" s="13" t="n">
        <v>158</v>
      </c>
      <c r="K679" s="13" t="n">
        <v>161.7</v>
      </c>
      <c r="L679" s="13" t="n">
        <v>128</v>
      </c>
      <c r="M679" s="13" t="n">
        <v>139</v>
      </c>
      <c r="N679" s="13" t="n">
        <v>128</v>
      </c>
      <c r="O679" s="13" t="n">
        <v>81</v>
      </c>
      <c r="P679" s="13" t="n">
        <v>112</v>
      </c>
      <c r="Q679" s="13" t="n">
        <v>12</v>
      </c>
      <c r="R679" s="13" t="n">
        <v>1726</v>
      </c>
      <c r="S679" s="13" t="n">
        <v>0.9</v>
      </c>
      <c r="T679" s="13" t="n">
        <v>1560</v>
      </c>
      <c r="U679" s="13" t="n">
        <v>207</v>
      </c>
      <c r="V679" s="13" t="n">
        <v>81</v>
      </c>
      <c r="W679" s="13" t="n">
        <v>42</v>
      </c>
      <c r="X679" s="13" t="n">
        <v>188</v>
      </c>
      <c r="Y679" s="13" t="n">
        <v>12</v>
      </c>
      <c r="Z679" s="13" t="n">
        <v>145</v>
      </c>
      <c r="AA679" s="13" t="n">
        <v>0.281</v>
      </c>
      <c r="AB679" s="13" t="n">
        <v>110</v>
      </c>
      <c r="AC679" s="13" t="n">
        <v>115</v>
      </c>
      <c r="AD679" s="13" t="n">
        <v>78</v>
      </c>
      <c r="AE679" s="13" t="n">
        <v>6</v>
      </c>
      <c r="AF679" s="13" t="n">
        <v>7.4</v>
      </c>
      <c r="AG679" s="11" t="inlineStr">
        <is>
          <t xml:space="preserve"> On-Piste All-Mountain</t>
        </is>
      </c>
      <c r="AH679" s="11" t="inlineStr">
        <is>
          <t xml:space="preserve"> Resort Freeride</t>
        </is>
      </c>
      <c r="AI679" s="13" t="n"/>
      <c r="AJ679" s="13" t="n"/>
      <c r="AK679" s="42" t="n"/>
    </row>
    <row r="680">
      <c r="E680" s="40" t="inlineStr">
        <is>
          <t>21/22</t>
        </is>
      </c>
      <c r="F680" s="10" t="inlineStr">
        <is>
          <t xml:space="preserve"> Elan</t>
        </is>
      </c>
      <c r="G680" s="11" t="inlineStr">
        <is>
          <t>Wildcat 82 C</t>
        </is>
      </c>
      <c r="H680" s="13" t="n">
        <v>164</v>
      </c>
      <c r="I680" s="11" t="inlineStr">
        <is>
          <t xml:space="preserve"> Women's</t>
        </is>
      </c>
      <c r="J680" s="13" t="n">
        <v>164</v>
      </c>
      <c r="K680" s="13" t="n">
        <v>165.1</v>
      </c>
      <c r="L680" s="13" t="n">
        <v>135</v>
      </c>
      <c r="M680" s="13" t="n">
        <v>145</v>
      </c>
      <c r="N680" s="13" t="n">
        <v>129</v>
      </c>
      <c r="O680" s="13" t="n">
        <v>82</v>
      </c>
      <c r="P680" s="13" t="n">
        <v>112</v>
      </c>
      <c r="Q680" s="13" t="n">
        <v>13.1</v>
      </c>
      <c r="R680" s="13" t="n">
        <v>1818</v>
      </c>
      <c r="S680" s="13" t="n">
        <v>0.88</v>
      </c>
      <c r="T680" s="13" t="n">
        <v>1600</v>
      </c>
      <c r="U680" s="13" t="n">
        <v>222</v>
      </c>
      <c r="V680" s="13" t="n">
        <v>89</v>
      </c>
      <c r="W680" s="13" t="n">
        <v>41</v>
      </c>
      <c r="X680" s="13" t="n">
        <v>185</v>
      </c>
      <c r="Y680" s="13" t="n">
        <v>9</v>
      </c>
      <c r="Z680" s="13" t="n">
        <v>117</v>
      </c>
      <c r="AA680" s="13" t="n">
        <v>0.22</v>
      </c>
      <c r="AB680" s="13" t="n">
        <v>109</v>
      </c>
      <c r="AC680" s="13" t="n">
        <v>91</v>
      </c>
      <c r="AD680" s="13" t="n">
        <v>76</v>
      </c>
      <c r="AE680" s="13" t="n">
        <v>8</v>
      </c>
      <c r="AF680" s="13" t="n">
        <v>8.6</v>
      </c>
      <c r="AG680" s="11" t="inlineStr">
        <is>
          <t xml:space="preserve"> On-Piste All-Mountain</t>
        </is>
      </c>
      <c r="AH680" s="11" t="inlineStr">
        <is>
          <t xml:space="preserve"> Resort Freeride</t>
        </is>
      </c>
      <c r="AI680" s="13" t="n"/>
      <c r="AJ680" s="13" t="n"/>
      <c r="AK680" s="42" t="n"/>
    </row>
    <row r="681">
      <c r="E681" s="40" t="inlineStr">
        <is>
          <t>21/22</t>
        </is>
      </c>
      <c r="F681" s="10" t="inlineStr">
        <is>
          <t xml:space="preserve"> Elan</t>
        </is>
      </c>
      <c r="G681" s="11" t="inlineStr">
        <is>
          <t>Wildcat 82 CX</t>
        </is>
      </c>
      <c r="H681" s="13" t="n">
        <v>158</v>
      </c>
      <c r="I681" s="11" t="inlineStr">
        <is>
          <t xml:space="preserve"> Women's</t>
        </is>
      </c>
      <c r="J681" s="13" t="n">
        <v>158</v>
      </c>
      <c r="K681" s="13" t="n">
        <v>159.3</v>
      </c>
      <c r="L681" s="13" t="n">
        <v>126</v>
      </c>
      <c r="M681" s="13" t="n">
        <v>139</v>
      </c>
      <c r="N681" s="13" t="n">
        <v>129</v>
      </c>
      <c r="O681" s="13" t="n">
        <v>81</v>
      </c>
      <c r="P681" s="13" t="n">
        <v>112</v>
      </c>
      <c r="Q681" s="13" t="n">
        <v>12</v>
      </c>
      <c r="R681" s="13" t="n">
        <v>1737</v>
      </c>
      <c r="S681" s="13" t="n">
        <v>0.89</v>
      </c>
      <c r="T681" s="13" t="n">
        <v>1543</v>
      </c>
      <c r="U681" s="13" t="n">
        <v>192</v>
      </c>
      <c r="V681" s="13" t="n">
        <v>75</v>
      </c>
      <c r="W681" s="13" t="n">
        <v>45</v>
      </c>
      <c r="X681" s="13" t="n">
        <v>196</v>
      </c>
      <c r="Y681" s="13" t="n">
        <v>11</v>
      </c>
      <c r="Z681" s="13" t="n">
        <v>133</v>
      </c>
      <c r="AA681" s="13" t="n">
        <v>0.24</v>
      </c>
      <c r="AB681" s="13" t="n">
        <v>110</v>
      </c>
      <c r="AC681" s="13" t="n">
        <v>94</v>
      </c>
      <c r="AD681" s="13" t="n">
        <v>86</v>
      </c>
      <c r="AE681" s="13" t="n">
        <v>6</v>
      </c>
      <c r="AF681" s="13" t="n">
        <v>8.4</v>
      </c>
      <c r="AG681" s="11" t="inlineStr">
        <is>
          <t xml:space="preserve"> On-Piste All-Mountain</t>
        </is>
      </c>
      <c r="AH681" s="11" t="inlineStr">
        <is>
          <t xml:space="preserve"> Resort Freeride</t>
        </is>
      </c>
      <c r="AI681" s="13" t="n"/>
      <c r="AJ681" s="13" t="n"/>
      <c r="AK681" s="42" t="n"/>
    </row>
    <row r="682">
      <c r="E682" s="40" t="inlineStr">
        <is>
          <t>21/22</t>
        </is>
      </c>
      <c r="F682" s="10" t="inlineStr">
        <is>
          <t xml:space="preserve"> Elan</t>
        </is>
      </c>
      <c r="G682" s="11" t="inlineStr">
        <is>
          <t>Wildcat 82 CX</t>
        </is>
      </c>
      <c r="H682" s="13" t="n">
        <v>164</v>
      </c>
      <c r="I682" s="11" t="inlineStr">
        <is>
          <t xml:space="preserve"> Women's</t>
        </is>
      </c>
      <c r="J682" s="13" t="n">
        <v>164</v>
      </c>
      <c r="K682" s="13" t="n">
        <v>165.2</v>
      </c>
      <c r="L682" s="13" t="n">
        <v>136</v>
      </c>
      <c r="M682" s="13" t="n">
        <v>145</v>
      </c>
      <c r="N682" s="13" t="n">
        <v>128</v>
      </c>
      <c r="O682" s="13" t="n">
        <v>82</v>
      </c>
      <c r="P682" s="13" t="n">
        <v>112</v>
      </c>
      <c r="Q682" s="13" t="n">
        <v>13.1</v>
      </c>
      <c r="R682" s="13" t="n">
        <v>1790</v>
      </c>
      <c r="S682" s="13" t="n">
        <v>0.89</v>
      </c>
      <c r="T682" s="13" t="n">
        <v>1600</v>
      </c>
      <c r="U682" s="13" t="n">
        <v>206</v>
      </c>
      <c r="V682" s="13" t="n">
        <v>91</v>
      </c>
      <c r="W682" s="13" t="n">
        <v>41</v>
      </c>
      <c r="X682" s="13" t="n">
        <v>179</v>
      </c>
      <c r="Y682" s="13" t="n">
        <v>9</v>
      </c>
      <c r="Z682" s="13" t="n">
        <v>118</v>
      </c>
      <c r="AA682" s="13" t="n">
        <v>0.214</v>
      </c>
      <c r="AB682" s="13" t="n">
        <v>106</v>
      </c>
      <c r="AC682" s="13" t="n">
        <v>92</v>
      </c>
      <c r="AD682" s="13" t="n">
        <v>72</v>
      </c>
      <c r="AE682" s="13" t="n">
        <v>8</v>
      </c>
      <c r="AF682" s="13" t="n">
        <v>8.4</v>
      </c>
      <c r="AG682" s="11" t="inlineStr">
        <is>
          <t xml:space="preserve"> On-Piste All-Mountain</t>
        </is>
      </c>
      <c r="AH682" s="11" t="inlineStr">
        <is>
          <t xml:space="preserve"> Resort Freeride</t>
        </is>
      </c>
      <c r="AI682" s="13" t="n"/>
      <c r="AJ682" s="13" t="n"/>
      <c r="AK682" s="42" t="n"/>
    </row>
    <row r="683">
      <c r="E683" s="40" t="inlineStr">
        <is>
          <t>21/22</t>
        </is>
      </c>
      <c r="F683" s="10" t="inlineStr">
        <is>
          <t xml:space="preserve"> Elan</t>
        </is>
      </c>
      <c r="G683" s="11" t="inlineStr">
        <is>
          <t>Wingman 78 Ti</t>
        </is>
      </c>
      <c r="H683" s="13" t="n">
        <v>160</v>
      </c>
      <c r="I683" s="11" t="inlineStr">
        <is>
          <t xml:space="preserve"> Unisex</t>
        </is>
      </c>
      <c r="J683" s="13" t="n">
        <v>160</v>
      </c>
      <c r="K683" s="13" t="n">
        <v>158.5</v>
      </c>
      <c r="L683" s="13" t="n">
        <v>138</v>
      </c>
      <c r="M683" s="13" t="n">
        <v>144</v>
      </c>
      <c r="N683" s="13" t="n">
        <v>125</v>
      </c>
      <c r="O683" s="13" t="n">
        <v>76</v>
      </c>
      <c r="P683" s="13" t="n">
        <v>105</v>
      </c>
      <c r="Q683" s="13" t="n">
        <v>13.2</v>
      </c>
      <c r="R683" s="13" t="n">
        <v>1808</v>
      </c>
      <c r="S683" s="13" t="n">
        <v>0.8</v>
      </c>
      <c r="T683" s="13" t="n">
        <v>1443</v>
      </c>
      <c r="U683" s="13" t="n">
        <v>176</v>
      </c>
      <c r="V683" s="13" t="n">
        <v>81</v>
      </c>
      <c r="W683" s="13" t="n">
        <v>29</v>
      </c>
      <c r="X683" s="13" t="n">
        <v>138</v>
      </c>
      <c r="Y683" s="13" t="n">
        <v>11</v>
      </c>
      <c r="Z683" s="13" t="n">
        <v>72</v>
      </c>
      <c r="AA683" s="13" t="n">
        <v>0.369</v>
      </c>
      <c r="AB683" s="13" t="n">
        <v>86</v>
      </c>
      <c r="AC683" s="13" t="n">
        <v>60</v>
      </c>
      <c r="AD683" s="13" t="n">
        <v>52</v>
      </c>
      <c r="AE683" s="13" t="n">
        <v>9</v>
      </c>
      <c r="AF683" s="13" t="n">
        <v>8.9</v>
      </c>
      <c r="AG683" s="11" t="inlineStr">
        <is>
          <t xml:space="preserve"> On-Piste Carving</t>
        </is>
      </c>
      <c r="AH683" s="13" t="n"/>
      <c r="AI683" s="13" t="n"/>
      <c r="AJ683" s="13" t="n"/>
      <c r="AK683" s="42" t="n"/>
    </row>
    <row r="684">
      <c r="E684" s="40" t="inlineStr">
        <is>
          <t>21/22</t>
        </is>
      </c>
      <c r="F684" s="10" t="inlineStr">
        <is>
          <t xml:space="preserve"> Elan</t>
        </is>
      </c>
      <c r="G684" s="11" t="inlineStr">
        <is>
          <t>Wingman 78 Ti</t>
        </is>
      </c>
      <c r="H684" s="13" t="n">
        <v>168</v>
      </c>
      <c r="I684" s="11" t="inlineStr">
        <is>
          <t xml:space="preserve"> Unisex</t>
        </is>
      </c>
      <c r="J684" s="13" t="n">
        <v>168</v>
      </c>
      <c r="K684" s="13" t="n">
        <v>166.3</v>
      </c>
      <c r="L684" s="13" t="n">
        <v>146</v>
      </c>
      <c r="M684" s="13" t="n">
        <v>153</v>
      </c>
      <c r="N684" s="13" t="n">
        <v>124</v>
      </c>
      <c r="O684" s="13" t="n">
        <v>75</v>
      </c>
      <c r="P684" s="13" t="n">
        <v>103</v>
      </c>
      <c r="Q684" s="13" t="n">
        <v>14.8</v>
      </c>
      <c r="R684" s="13" t="n">
        <v>1913</v>
      </c>
      <c r="S684" s="13" t="n">
        <v>0.78</v>
      </c>
      <c r="T684" s="13" t="n">
        <v>1490</v>
      </c>
      <c r="U684" s="13" t="n">
        <v>199</v>
      </c>
      <c r="V684" s="13" t="n">
        <v>88</v>
      </c>
      <c r="W684" s="13" t="n">
        <v>28</v>
      </c>
      <c r="X684" s="13" t="n">
        <v>132</v>
      </c>
      <c r="Y684" s="13" t="n">
        <v>10</v>
      </c>
      <c r="Z684" s="13" t="n">
        <v>70</v>
      </c>
      <c r="AA684" s="13" t="n">
        <v>0.353</v>
      </c>
      <c r="AB684" s="13" t="n">
        <v>76</v>
      </c>
      <c r="AC684" s="13" t="n">
        <v>56</v>
      </c>
      <c r="AD684" s="13" t="n">
        <v>56</v>
      </c>
      <c r="AE684" s="13" t="n">
        <v>10</v>
      </c>
      <c r="AF684" s="13" t="n">
        <v>9</v>
      </c>
      <c r="AG684" s="11" t="inlineStr">
        <is>
          <t xml:space="preserve"> On-Piste Carving</t>
        </is>
      </c>
      <c r="AH684" s="13" t="n"/>
      <c r="AI684" s="13" t="n"/>
      <c r="AJ684" s="13" t="n"/>
      <c r="AK684" s="42" t="n"/>
    </row>
    <row r="685">
      <c r="E685" s="40" t="inlineStr">
        <is>
          <t>21/22</t>
        </is>
      </c>
      <c r="F685" s="10" t="inlineStr">
        <is>
          <t xml:space="preserve"> Elan</t>
        </is>
      </c>
      <c r="G685" s="11" t="inlineStr">
        <is>
          <t>Wingman 78 Ti</t>
        </is>
      </c>
      <c r="H685" s="13" t="n">
        <v>176</v>
      </c>
      <c r="I685" s="11" t="inlineStr">
        <is>
          <t xml:space="preserve"> Unisex</t>
        </is>
      </c>
      <c r="J685" s="13" t="n">
        <v>176</v>
      </c>
      <c r="K685" s="13" t="n">
        <v>174</v>
      </c>
      <c r="L685" s="13" t="n">
        <v>155</v>
      </c>
      <c r="M685" s="13" t="n">
        <v>160</v>
      </c>
      <c r="N685" s="13" t="n">
        <v>125</v>
      </c>
      <c r="O685" s="13" t="n">
        <v>76</v>
      </c>
      <c r="P685" s="13" t="n">
        <v>105</v>
      </c>
      <c r="Q685" s="13" t="n">
        <v>16.2</v>
      </c>
      <c r="R685" s="13" t="n">
        <v>2041</v>
      </c>
      <c r="S685" s="13" t="n">
        <v>0.77</v>
      </c>
      <c r="T685" s="13" t="n">
        <v>1576</v>
      </c>
      <c r="U685" s="13" t="n">
        <v>228</v>
      </c>
      <c r="V685" s="13" t="n">
        <v>102</v>
      </c>
      <c r="W685" s="13" t="n">
        <v>27</v>
      </c>
      <c r="X685" s="13" t="n">
        <v>127</v>
      </c>
      <c r="Y685" s="13" t="n">
        <v>9</v>
      </c>
      <c r="Z685" s="13" t="n">
        <v>67</v>
      </c>
      <c r="AA685" s="13" t="n">
        <v>0.334</v>
      </c>
      <c r="AB685" s="13" t="n">
        <v>79</v>
      </c>
      <c r="AC685" s="13" t="n">
        <v>60</v>
      </c>
      <c r="AD685" s="13" t="n">
        <v>49</v>
      </c>
      <c r="AE685" s="13" t="n">
        <v>14</v>
      </c>
      <c r="AF685" s="13" t="n">
        <v>9.199999999999999</v>
      </c>
      <c r="AG685" s="11" t="inlineStr">
        <is>
          <t xml:space="preserve"> On-Piste Carving</t>
        </is>
      </c>
      <c r="AH685" s="13" t="n"/>
      <c r="AI685" s="13" t="n"/>
      <c r="AJ685" s="13" t="n"/>
      <c r="AK685" s="42" t="n"/>
    </row>
    <row r="686">
      <c r="E686" s="40" t="inlineStr">
        <is>
          <t>21/22</t>
        </is>
      </c>
      <c r="F686" s="10" t="inlineStr">
        <is>
          <t xml:space="preserve"> Elan</t>
        </is>
      </c>
      <c r="G686" s="11" t="inlineStr">
        <is>
          <t>Wingman 82 CTi</t>
        </is>
      </c>
      <c r="H686" s="13" t="n">
        <v>172</v>
      </c>
      <c r="I686" s="11" t="inlineStr">
        <is>
          <t xml:space="preserve"> Unisex</t>
        </is>
      </c>
      <c r="J686" s="13" t="n">
        <v>172</v>
      </c>
      <c r="K686" s="13" t="n">
        <v>171.3</v>
      </c>
      <c r="L686" s="13" t="n">
        <v>142</v>
      </c>
      <c r="M686" s="13" t="n">
        <v>151</v>
      </c>
      <c r="N686" s="13" t="n">
        <v>128</v>
      </c>
      <c r="O686" s="13" t="n">
        <v>81</v>
      </c>
      <c r="P686" s="13" t="n">
        <v>111</v>
      </c>
      <c r="Q686" s="13" t="n">
        <v>14.2</v>
      </c>
      <c r="R686" s="13" t="n">
        <v>2130</v>
      </c>
      <c r="S686" s="13" t="n">
        <v>0.78</v>
      </c>
      <c r="T686" s="13" t="n">
        <v>1653</v>
      </c>
      <c r="U686" s="13" t="n">
        <v>261</v>
      </c>
      <c r="V686" s="13" t="n">
        <v>113</v>
      </c>
      <c r="W686" s="13" t="n">
        <v>39</v>
      </c>
      <c r="X686" s="13" t="n">
        <v>175</v>
      </c>
      <c r="Y686" s="13" t="n">
        <v>10</v>
      </c>
      <c r="Z686" s="13" t="n">
        <v>120</v>
      </c>
      <c r="AA686" s="13" t="n">
        <v>0.258</v>
      </c>
      <c r="AB686" s="13" t="n">
        <v>110</v>
      </c>
      <c r="AC686" s="13" t="n">
        <v>92</v>
      </c>
      <c r="AD686" s="13" t="n">
        <v>66</v>
      </c>
      <c r="AE686" s="13" t="n">
        <v>9</v>
      </c>
      <c r="AF686" s="13" t="n">
        <v>10</v>
      </c>
      <c r="AG686" s="11" t="inlineStr">
        <is>
          <t xml:space="preserve"> On-Piste All-Mountain</t>
        </is>
      </c>
      <c r="AH686" s="11" t="inlineStr">
        <is>
          <t xml:space="preserve"> Resort Freeride</t>
        </is>
      </c>
      <c r="AI686" s="13" t="n"/>
      <c r="AJ686" s="13" t="n"/>
      <c r="AK686" s="42" t="n"/>
    </row>
    <row r="687">
      <c r="E687" s="40" t="inlineStr">
        <is>
          <t>21/22</t>
        </is>
      </c>
      <c r="F687" s="10" t="inlineStr">
        <is>
          <t xml:space="preserve"> Elan</t>
        </is>
      </c>
      <c r="G687" s="11" t="inlineStr">
        <is>
          <t>Wingman 82 Ti</t>
        </is>
      </c>
      <c r="H687" s="13" t="n">
        <v>172</v>
      </c>
      <c r="I687" s="11" t="inlineStr">
        <is>
          <t xml:space="preserve"> Unisex</t>
        </is>
      </c>
      <c r="J687" s="13" t="n">
        <v>172</v>
      </c>
      <c r="K687" s="13" t="n">
        <v>171.3</v>
      </c>
      <c r="L687" s="13" t="n">
        <v>142</v>
      </c>
      <c r="M687" s="13" t="n">
        <v>151</v>
      </c>
      <c r="N687" s="13" t="n">
        <v>128</v>
      </c>
      <c r="O687" s="13" t="n">
        <v>81</v>
      </c>
      <c r="P687" s="13" t="n">
        <v>111</v>
      </c>
      <c r="Q687" s="13" t="n">
        <v>14.3</v>
      </c>
      <c r="R687" s="13" t="n">
        <v>1910</v>
      </c>
      <c r="S687" s="13" t="n">
        <v>0.86</v>
      </c>
      <c r="T687" s="13" t="n">
        <v>1651</v>
      </c>
      <c r="U687" s="13" t="n">
        <v>231</v>
      </c>
      <c r="V687" s="13" t="n">
        <v>99</v>
      </c>
      <c r="W687" s="13" t="n">
        <v>37</v>
      </c>
      <c r="X687" s="13" t="n">
        <v>170</v>
      </c>
      <c r="Y687" s="13" t="n">
        <v>12</v>
      </c>
      <c r="Z687" s="13" t="n">
        <v>122</v>
      </c>
      <c r="AA687" s="13" t="n">
        <v>0.313</v>
      </c>
      <c r="AB687" s="13" t="n">
        <v>105</v>
      </c>
      <c r="AC687" s="13" t="n">
        <v>95</v>
      </c>
      <c r="AD687" s="13" t="n">
        <v>66</v>
      </c>
      <c r="AE687" s="13" t="n">
        <v>11</v>
      </c>
      <c r="AF687" s="13" t="n">
        <v>10</v>
      </c>
      <c r="AG687" s="11" t="inlineStr">
        <is>
          <t xml:space="preserve"> On-Piste All-Mountain</t>
        </is>
      </c>
      <c r="AH687" s="11" t="inlineStr">
        <is>
          <t xml:space="preserve"> Resort Freeride</t>
        </is>
      </c>
      <c r="AI687" s="13" t="n"/>
      <c r="AJ687" s="13" t="n"/>
      <c r="AK687" s="42" t="n"/>
    </row>
    <row r="688">
      <c r="E688" s="40" t="inlineStr">
        <is>
          <t>21/22</t>
        </is>
      </c>
      <c r="F688" s="10" t="inlineStr">
        <is>
          <t xml:space="preserve"> Elan</t>
        </is>
      </c>
      <c r="G688" s="11" t="inlineStr">
        <is>
          <t>Wingman 86 CTi</t>
        </is>
      </c>
      <c r="H688" s="13" t="n">
        <v>172</v>
      </c>
      <c r="I688" s="11" t="inlineStr">
        <is>
          <t xml:space="preserve"> Unisex</t>
        </is>
      </c>
      <c r="J688" s="13" t="n">
        <v>172</v>
      </c>
      <c r="K688" s="13" t="n">
        <v>171.4</v>
      </c>
      <c r="L688" s="13" t="n">
        <v>137</v>
      </c>
      <c r="M688" s="13" t="n">
        <v>152</v>
      </c>
      <c r="N688" s="13" t="n">
        <v>128</v>
      </c>
      <c r="O688" s="13" t="n">
        <v>85</v>
      </c>
      <c r="P688" s="13" t="n">
        <v>114</v>
      </c>
      <c r="Q688" s="13" t="n">
        <v>15.4</v>
      </c>
      <c r="R688" s="13" t="n">
        <v>2080</v>
      </c>
      <c r="S688" s="13" t="n">
        <v>0.82</v>
      </c>
      <c r="T688" s="13" t="n">
        <v>1700</v>
      </c>
      <c r="U688" s="13" t="n">
        <v>206</v>
      </c>
      <c r="V688" s="13" t="n">
        <v>92</v>
      </c>
      <c r="W688" s="13" t="n">
        <v>42</v>
      </c>
      <c r="X688" s="13" t="n">
        <v>214</v>
      </c>
      <c r="Y688" s="13" t="n">
        <v>8</v>
      </c>
      <c r="Z688" s="13" t="n">
        <v>130</v>
      </c>
      <c r="AA688" s="13" t="n">
        <v>0.202</v>
      </c>
      <c r="AB688" s="13" t="n">
        <v>102</v>
      </c>
      <c r="AC688" s="13" t="n">
        <v>93</v>
      </c>
      <c r="AD688" s="13" t="n">
        <v>112</v>
      </c>
      <c r="AE688" s="13" t="n">
        <v>8</v>
      </c>
      <c r="AF688" s="13" t="n">
        <v>8.9</v>
      </c>
      <c r="AG688" s="11" t="inlineStr">
        <is>
          <t xml:space="preserve"> Resort Freeride</t>
        </is>
      </c>
      <c r="AH688" s="13" t="n"/>
      <c r="AI688" s="13" t="n"/>
      <c r="AJ688" s="13" t="n"/>
      <c r="AK688" s="42" t="n"/>
    </row>
    <row r="689">
      <c r="E689" s="40" t="inlineStr">
        <is>
          <t>21/22</t>
        </is>
      </c>
      <c r="F689" s="10" t="inlineStr">
        <is>
          <t xml:space="preserve"> Elan</t>
        </is>
      </c>
      <c r="G689" s="11" t="inlineStr">
        <is>
          <t>Wingman 86 CTi</t>
        </is>
      </c>
      <c r="H689" s="13" t="n">
        <v>178</v>
      </c>
      <c r="I689" s="11" t="inlineStr">
        <is>
          <t xml:space="preserve"> Unisex</t>
        </is>
      </c>
      <c r="J689" s="13" t="n">
        <v>178</v>
      </c>
      <c r="K689" s="13" t="n">
        <v>177.5</v>
      </c>
      <c r="L689" s="13" t="n">
        <v>144</v>
      </c>
      <c r="M689" s="13" t="n">
        <v>157</v>
      </c>
      <c r="N689" s="13" t="n">
        <v>130</v>
      </c>
      <c r="O689" s="13" t="n">
        <v>85</v>
      </c>
      <c r="P689" s="13" t="n">
        <v>114</v>
      </c>
      <c r="Q689" s="13" t="n">
        <v>16.4</v>
      </c>
      <c r="R689" s="13" t="n">
        <v>2172</v>
      </c>
      <c r="S689" s="13" t="n">
        <v>0.8100000000000001</v>
      </c>
      <c r="T689" s="13" t="n">
        <v>1765</v>
      </c>
      <c r="U689" s="13" t="n">
        <v>250</v>
      </c>
      <c r="V689" s="13" t="n">
        <v>106</v>
      </c>
      <c r="W689" s="13" t="n">
        <v>38</v>
      </c>
      <c r="X689" s="13" t="n">
        <v>207</v>
      </c>
      <c r="Y689" s="13" t="n">
        <v>7</v>
      </c>
      <c r="Z689" s="13" t="n">
        <v>130</v>
      </c>
      <c r="AA689" s="13" t="n">
        <v>0.196</v>
      </c>
      <c r="AB689" s="13" t="n">
        <v>106</v>
      </c>
      <c r="AC689" s="13" t="n">
        <v>97</v>
      </c>
      <c r="AD689" s="13" t="n">
        <v>100</v>
      </c>
      <c r="AE689" s="13" t="n">
        <v>9</v>
      </c>
      <c r="AF689" s="13" t="n">
        <v>9.199999999999999</v>
      </c>
      <c r="AG689" s="11" t="inlineStr">
        <is>
          <t xml:space="preserve"> Resort Freeride</t>
        </is>
      </c>
      <c r="AH689" s="13" t="n"/>
      <c r="AI689" s="13" t="n"/>
      <c r="AJ689" s="13" t="n"/>
      <c r="AK689" s="42" t="n"/>
    </row>
    <row r="690">
      <c r="E690" s="40" t="inlineStr">
        <is>
          <t>21/22</t>
        </is>
      </c>
      <c r="F690" s="10" t="inlineStr">
        <is>
          <t xml:space="preserve"> Elan</t>
        </is>
      </c>
      <c r="G690" s="11" t="inlineStr">
        <is>
          <t>Wingman 86 Ti</t>
        </is>
      </c>
      <c r="H690" s="13" t="n">
        <v>166</v>
      </c>
      <c r="I690" s="11" t="inlineStr">
        <is>
          <t xml:space="preserve"> Unisex</t>
        </is>
      </c>
      <c r="J690" s="13" t="n">
        <v>166</v>
      </c>
      <c r="K690" s="13" t="n">
        <v>165.2</v>
      </c>
      <c r="L690" s="13" t="n">
        <v>134</v>
      </c>
      <c r="M690" s="13" t="n">
        <v>146</v>
      </c>
      <c r="N690" s="13" t="n">
        <v>127</v>
      </c>
      <c r="O690" s="13" t="n">
        <v>85</v>
      </c>
      <c r="P690" s="13" t="n">
        <v>113</v>
      </c>
      <c r="Q690" s="13" t="n">
        <v>14.7</v>
      </c>
      <c r="R690" s="13" t="n">
        <v>2004</v>
      </c>
      <c r="S690" s="13" t="n">
        <v>0.82</v>
      </c>
      <c r="T690" s="13" t="n">
        <v>1638</v>
      </c>
      <c r="U690" s="13" t="n">
        <v>191</v>
      </c>
      <c r="V690" s="13" t="n">
        <v>93</v>
      </c>
      <c r="W690" s="13" t="n">
        <v>41</v>
      </c>
      <c r="X690" s="13" t="n">
        <v>206</v>
      </c>
      <c r="Y690" s="13" t="n">
        <v>7</v>
      </c>
      <c r="Z690" s="13" t="n">
        <v>106</v>
      </c>
      <c r="AA690" s="13" t="n">
        <v>0.166</v>
      </c>
      <c r="AB690" s="13" t="n">
        <v>98</v>
      </c>
      <c r="AC690" s="13" t="n">
        <v>95</v>
      </c>
      <c r="AD690" s="13" t="n">
        <v>108</v>
      </c>
      <c r="AE690" s="13" t="n">
        <v>10</v>
      </c>
      <c r="AF690" s="13" t="n">
        <v>8.9</v>
      </c>
      <c r="AG690" s="11" t="inlineStr">
        <is>
          <t xml:space="preserve"> Resort Freeride</t>
        </is>
      </c>
      <c r="AH690" s="13" t="n"/>
      <c r="AI690" s="13" t="n"/>
      <c r="AJ690" s="13" t="n"/>
      <c r="AK690" s="42" t="n"/>
    </row>
    <row r="691">
      <c r="E691" s="40" t="inlineStr">
        <is>
          <t>21/22</t>
        </is>
      </c>
      <c r="F691" s="10" t="inlineStr">
        <is>
          <t xml:space="preserve"> Elan</t>
        </is>
      </c>
      <c r="G691" s="11" t="inlineStr">
        <is>
          <t>Wingman 86 Ti</t>
        </is>
      </c>
      <c r="H691" s="13" t="n">
        <v>172</v>
      </c>
      <c r="I691" s="11" t="inlineStr">
        <is>
          <t xml:space="preserve"> Unisex</t>
        </is>
      </c>
      <c r="J691" s="13" t="n">
        <v>172</v>
      </c>
      <c r="K691" s="13" t="n">
        <v>171.3</v>
      </c>
      <c r="L691" s="13" t="n">
        <v>135</v>
      </c>
      <c r="M691" s="13" t="n">
        <v>152</v>
      </c>
      <c r="N691" s="13" t="n">
        <v>128</v>
      </c>
      <c r="O691" s="13" t="n">
        <v>85</v>
      </c>
      <c r="P691" s="13" t="n">
        <v>114</v>
      </c>
      <c r="Q691" s="13" t="n">
        <v>15.5</v>
      </c>
      <c r="R691" s="13" t="n">
        <v>2093</v>
      </c>
      <c r="S691" s="13" t="n">
        <v>0.8100000000000001</v>
      </c>
      <c r="T691" s="13" t="n">
        <v>1700</v>
      </c>
      <c r="U691" s="13" t="n">
        <v>205</v>
      </c>
      <c r="V691" s="13" t="n">
        <v>97</v>
      </c>
      <c r="W691" s="13" t="n">
        <v>41</v>
      </c>
      <c r="X691" s="13" t="n">
        <v>224</v>
      </c>
      <c r="Y691" s="13" t="n">
        <v>8</v>
      </c>
      <c r="Z691" s="13" t="n">
        <v>135</v>
      </c>
      <c r="AA691" s="13" t="n">
        <v>0.204</v>
      </c>
      <c r="AB691" s="13" t="n">
        <v>97</v>
      </c>
      <c r="AC691" s="13" t="n">
        <v>96</v>
      </c>
      <c r="AD691" s="13" t="n">
        <v>126</v>
      </c>
      <c r="AE691" s="13" t="n">
        <v>6</v>
      </c>
      <c r="AF691" s="13" t="n">
        <v>9.199999999999999</v>
      </c>
      <c r="AG691" s="11" t="inlineStr">
        <is>
          <t xml:space="preserve"> Resort Freeride</t>
        </is>
      </c>
      <c r="AH691" s="13" t="n"/>
      <c r="AI691" s="13" t="n"/>
      <c r="AJ691" s="13" t="n"/>
      <c r="AK691" s="42" t="n"/>
    </row>
    <row r="692">
      <c r="E692" s="40" t="inlineStr">
        <is>
          <t>21/22</t>
        </is>
      </c>
      <c r="F692" s="10" t="inlineStr">
        <is>
          <t xml:space="preserve"> Elan</t>
        </is>
      </c>
      <c r="G692" s="11" t="inlineStr">
        <is>
          <t>Wingman 86 Ti</t>
        </is>
      </c>
      <c r="H692" s="13" t="n">
        <v>178</v>
      </c>
      <c r="I692" s="11" t="inlineStr">
        <is>
          <t xml:space="preserve"> Unisex</t>
        </is>
      </c>
      <c r="J692" s="13" t="n">
        <v>178</v>
      </c>
      <c r="K692" s="13" t="n">
        <v>177.4</v>
      </c>
      <c r="L692" s="13" t="n">
        <v>143</v>
      </c>
      <c r="M692" s="13" t="n">
        <v>158</v>
      </c>
      <c r="N692" s="13" t="n">
        <v>130</v>
      </c>
      <c r="O692" s="13" t="n">
        <v>86</v>
      </c>
      <c r="P692" s="13" t="n">
        <v>114</v>
      </c>
      <c r="Q692" s="13" t="n">
        <v>16.4</v>
      </c>
      <c r="R692" s="13" t="n">
        <v>2178</v>
      </c>
      <c r="S692" s="13" t="n">
        <v>0.8100000000000001</v>
      </c>
      <c r="T692" s="13" t="n">
        <v>1770</v>
      </c>
      <c r="U692" s="13" t="n">
        <v>222</v>
      </c>
      <c r="V692" s="13" t="n">
        <v>110</v>
      </c>
      <c r="W692" s="13" t="n">
        <v>39</v>
      </c>
      <c r="X692" s="13" t="n">
        <v>213</v>
      </c>
      <c r="Y692" s="13" t="n">
        <v>8</v>
      </c>
      <c r="Z692" s="13" t="n">
        <v>128</v>
      </c>
      <c r="AA692" s="13" t="n">
        <v>0.205</v>
      </c>
      <c r="AB692" s="13" t="n">
        <v>100</v>
      </c>
      <c r="AC692" s="13" t="n">
        <v>96</v>
      </c>
      <c r="AD692" s="13" t="n">
        <v>113</v>
      </c>
      <c r="AE692" s="13" t="n">
        <v>8</v>
      </c>
      <c r="AF692" s="13" t="n">
        <v>9</v>
      </c>
      <c r="AG692" s="11" t="inlineStr">
        <is>
          <t xml:space="preserve"> Resort Freeride</t>
        </is>
      </c>
      <c r="AH692" s="13" t="n"/>
      <c r="AI692" s="13" t="n"/>
      <c r="AJ692" s="13" t="n"/>
      <c r="AK692" s="42" t="n"/>
    </row>
    <row r="693">
      <c r="E693" s="40" t="inlineStr">
        <is>
          <t>21/22</t>
        </is>
      </c>
      <c r="F693" s="10" t="inlineStr">
        <is>
          <t xml:space="preserve"> Faction</t>
        </is>
      </c>
      <c r="G693" s="11" t="inlineStr">
        <is>
          <t>Agent 1.0 X</t>
        </is>
      </c>
      <c r="H693" s="13" t="n">
        <v>154</v>
      </c>
      <c r="I693" s="11" t="inlineStr">
        <is>
          <t xml:space="preserve"> Women's</t>
        </is>
      </c>
      <c r="J693" s="13" t="n">
        <v>154</v>
      </c>
      <c r="K693" s="13" t="n">
        <v>152.2</v>
      </c>
      <c r="L693" s="13" t="n">
        <v>118</v>
      </c>
      <c r="M693" s="13" t="n">
        <v>129</v>
      </c>
      <c r="N693" s="13" t="n">
        <v>119</v>
      </c>
      <c r="O693" s="13" t="n">
        <v>85</v>
      </c>
      <c r="P693" s="13" t="n">
        <v>109</v>
      </c>
      <c r="Q693" s="13" t="n">
        <v>13.2</v>
      </c>
      <c r="R693" s="13" t="n">
        <v>1297</v>
      </c>
      <c r="S693" s="13" t="n">
        <v>1.14</v>
      </c>
      <c r="T693" s="13" t="n">
        <v>1476</v>
      </c>
      <c r="U693" s="13" t="n">
        <v>172</v>
      </c>
      <c r="V693" s="13" t="n">
        <v>76</v>
      </c>
      <c r="W693" s="13" t="n">
        <v>51</v>
      </c>
      <c r="X693" s="13" t="n">
        <v>206</v>
      </c>
      <c r="Y693" s="13" t="n">
        <v>19</v>
      </c>
      <c r="Z693" s="13" t="n">
        <v>133</v>
      </c>
      <c r="AA693" s="13" t="n">
        <v>0.376</v>
      </c>
      <c r="AB693" s="13" t="n">
        <v>138</v>
      </c>
      <c r="AC693" s="13" t="n">
        <v>96</v>
      </c>
      <c r="AD693" s="13" t="n">
        <v>68</v>
      </c>
      <c r="AE693" s="13" t="n">
        <v>6</v>
      </c>
      <c r="AF693" s="13" t="n">
        <v>9.199999999999999</v>
      </c>
      <c r="AG693" s="11" t="inlineStr">
        <is>
          <t xml:space="preserve"> Resort Freeride</t>
        </is>
      </c>
      <c r="AH693" s="11" t="inlineStr">
        <is>
          <t xml:space="preserve"> Touring</t>
        </is>
      </c>
      <c r="AI693" s="13" t="n"/>
      <c r="AJ693" s="13" t="n"/>
      <c r="AK693" s="42" t="n"/>
    </row>
    <row r="694">
      <c r="E694" s="40" t="inlineStr">
        <is>
          <t>21/22</t>
        </is>
      </c>
      <c r="F694" s="10" t="inlineStr">
        <is>
          <t xml:space="preserve"> Faction</t>
        </is>
      </c>
      <c r="G694" s="11" t="inlineStr">
        <is>
          <t>Agent 1.0 X</t>
        </is>
      </c>
      <c r="H694" s="13" t="n">
        <v>162</v>
      </c>
      <c r="I694" s="11" t="inlineStr">
        <is>
          <t xml:space="preserve"> Women's</t>
        </is>
      </c>
      <c r="J694" s="13" t="n">
        <v>162</v>
      </c>
      <c r="K694" s="13" t="n">
        <v>160.3</v>
      </c>
      <c r="L694" s="13" t="n">
        <v>125</v>
      </c>
      <c r="M694" s="13" t="n">
        <v>137</v>
      </c>
      <c r="N694" s="13" t="n">
        <v>119</v>
      </c>
      <c r="O694" s="13" t="n">
        <v>85</v>
      </c>
      <c r="P694" s="13" t="n">
        <v>109</v>
      </c>
      <c r="Q694" s="13" t="n">
        <v>14.9</v>
      </c>
      <c r="R694" s="13" t="n">
        <v>1390</v>
      </c>
      <c r="S694" s="13" t="n">
        <v>1.12</v>
      </c>
      <c r="T694" s="13" t="n">
        <v>1552</v>
      </c>
      <c r="U694" s="13" t="n">
        <v>169</v>
      </c>
      <c r="V694" s="13" t="n">
        <v>80</v>
      </c>
      <c r="W694" s="13" t="n">
        <v>50</v>
      </c>
      <c r="X694" s="13" t="n">
        <v>212</v>
      </c>
      <c r="Y694" s="13" t="n">
        <v>20</v>
      </c>
      <c r="Z694" s="13" t="n">
        <v>142</v>
      </c>
      <c r="AA694" s="13" t="n">
        <v>0.406</v>
      </c>
      <c r="AB694" s="13" t="n">
        <v>150</v>
      </c>
      <c r="AC694" s="13" t="n">
        <v>86</v>
      </c>
      <c r="AD694" s="13" t="n">
        <v>63</v>
      </c>
      <c r="AE694" s="13" t="n">
        <v>7</v>
      </c>
      <c r="AF694" s="13" t="n">
        <v>9.5</v>
      </c>
      <c r="AG694" s="11" t="inlineStr">
        <is>
          <t xml:space="preserve"> Resort Freeride</t>
        </is>
      </c>
      <c r="AH694" s="11" t="inlineStr">
        <is>
          <t xml:space="preserve"> Touring</t>
        </is>
      </c>
      <c r="AI694" s="13" t="n"/>
      <c r="AJ694" s="13" t="n"/>
      <c r="AK694" s="42" t="n"/>
    </row>
    <row r="695">
      <c r="E695" s="40" t="inlineStr">
        <is>
          <t>21/22</t>
        </is>
      </c>
      <c r="F695" s="10" t="inlineStr">
        <is>
          <t xml:space="preserve"> Faction</t>
        </is>
      </c>
      <c r="G695" s="11" t="inlineStr">
        <is>
          <t>Agent 1.0 X</t>
        </is>
      </c>
      <c r="H695" s="13" t="n">
        <v>170</v>
      </c>
      <c r="I695" s="11" t="inlineStr">
        <is>
          <t xml:space="preserve"> Women's</t>
        </is>
      </c>
      <c r="J695" s="13" t="n">
        <v>170</v>
      </c>
      <c r="K695" s="13" t="n">
        <v>168.4</v>
      </c>
      <c r="L695" s="13" t="n">
        <v>130</v>
      </c>
      <c r="M695" s="13" t="n">
        <v>143</v>
      </c>
      <c r="N695" s="13" t="n">
        <v>119</v>
      </c>
      <c r="O695" s="13" t="n">
        <v>85</v>
      </c>
      <c r="P695" s="13" t="n">
        <v>109</v>
      </c>
      <c r="Q695" s="13" t="n">
        <v>16.8</v>
      </c>
      <c r="R695" s="13" t="n">
        <v>1447</v>
      </c>
      <c r="S695" s="13" t="n">
        <v>1.13</v>
      </c>
      <c r="T695" s="13" t="n">
        <v>1629</v>
      </c>
      <c r="U695" s="13" t="n">
        <v>208</v>
      </c>
      <c r="V695" s="13" t="n">
        <v>96</v>
      </c>
      <c r="W695" s="13" t="n">
        <v>50</v>
      </c>
      <c r="X695" s="13" t="n">
        <v>228</v>
      </c>
      <c r="Y695" s="13" t="n">
        <v>21</v>
      </c>
      <c r="Z695" s="13" t="n">
        <v>157</v>
      </c>
      <c r="AA695" s="13" t="n">
        <v>0.412</v>
      </c>
      <c r="AB695" s="13" t="n">
        <v>148</v>
      </c>
      <c r="AC695" s="13" t="n">
        <v>103</v>
      </c>
      <c r="AD695" s="13" t="n">
        <v>80</v>
      </c>
      <c r="AE695" s="13" t="n">
        <v>8</v>
      </c>
      <c r="AF695" s="13" t="n">
        <v>9.9</v>
      </c>
      <c r="AG695" s="11" t="inlineStr">
        <is>
          <t xml:space="preserve"> Resort Freeride</t>
        </is>
      </c>
      <c r="AH695" s="11" t="inlineStr">
        <is>
          <t xml:space="preserve"> Touring</t>
        </is>
      </c>
      <c r="AI695" s="13" t="n"/>
      <c r="AJ695" s="13" t="n"/>
      <c r="AK695" s="42" t="n"/>
    </row>
    <row r="696">
      <c r="E696" s="40" t="inlineStr">
        <is>
          <t>21/22</t>
        </is>
      </c>
      <c r="F696" s="10" t="inlineStr">
        <is>
          <t xml:space="preserve"> Faction</t>
        </is>
      </c>
      <c r="G696" s="11" t="inlineStr">
        <is>
          <t>Agent 2.0</t>
        </is>
      </c>
      <c r="H696" s="13" t="n">
        <v>171</v>
      </c>
      <c r="I696" s="11" t="inlineStr">
        <is>
          <t xml:space="preserve"> Unisex</t>
        </is>
      </c>
      <c r="J696" s="13" t="n">
        <v>171</v>
      </c>
      <c r="K696" s="13" t="n">
        <v>169.4</v>
      </c>
      <c r="L696" s="13" t="n">
        <v>126</v>
      </c>
      <c r="M696" s="13" t="n">
        <v>143</v>
      </c>
      <c r="N696" s="13" t="n">
        <v>127</v>
      </c>
      <c r="O696" s="13" t="n">
        <v>95</v>
      </c>
      <c r="P696" s="13" t="n">
        <v>117</v>
      </c>
      <c r="Q696" s="13" t="n">
        <v>17.6</v>
      </c>
      <c r="R696" s="13" t="n">
        <v>1566</v>
      </c>
      <c r="S696" s="13" t="n">
        <v>1.15</v>
      </c>
      <c r="T696" s="13" t="n">
        <v>1801</v>
      </c>
      <c r="U696" s="13" t="n">
        <v>206</v>
      </c>
      <c r="V696" s="13" t="n">
        <v>96</v>
      </c>
      <c r="W696" s="13" t="n">
        <v>52</v>
      </c>
      <c r="X696" s="13" t="n">
        <v>247</v>
      </c>
      <c r="Y696" s="13" t="n">
        <v>20</v>
      </c>
      <c r="Z696" s="13" t="n">
        <v>186</v>
      </c>
      <c r="AA696" s="13" t="n">
        <v>0.388</v>
      </c>
      <c r="AB696" s="13" t="n">
        <v>161</v>
      </c>
      <c r="AC696" s="13" t="n">
        <v>107</v>
      </c>
      <c r="AD696" s="13" t="n">
        <v>86</v>
      </c>
      <c r="AE696" s="13" t="n">
        <v>6</v>
      </c>
      <c r="AF696" s="13" t="n">
        <v>11.4</v>
      </c>
      <c r="AG696" s="11" t="inlineStr">
        <is>
          <t xml:space="preserve"> Resort Freeride</t>
        </is>
      </c>
      <c r="AH696" s="11" t="inlineStr">
        <is>
          <t xml:space="preserve"> Touring</t>
        </is>
      </c>
      <c r="AI696" s="13" t="n"/>
      <c r="AJ696" s="13" t="n"/>
      <c r="AK696" s="42" t="n"/>
    </row>
    <row r="697">
      <c r="E697" s="40" t="inlineStr">
        <is>
          <t>21/22</t>
        </is>
      </c>
      <c r="F697" s="10" t="inlineStr">
        <is>
          <t xml:space="preserve"> Faction</t>
        </is>
      </c>
      <c r="G697" s="11" t="inlineStr">
        <is>
          <t>Agent 2.0</t>
        </is>
      </c>
      <c r="H697" s="13" t="n">
        <v>179</v>
      </c>
      <c r="I697" s="11" t="inlineStr">
        <is>
          <t xml:space="preserve"> Unisex</t>
        </is>
      </c>
      <c r="J697" s="13" t="n">
        <v>179</v>
      </c>
      <c r="K697" s="13" t="n">
        <v>177.3</v>
      </c>
      <c r="L697" s="13" t="n">
        <v>134</v>
      </c>
      <c r="M697" s="13" t="n">
        <v>149</v>
      </c>
      <c r="N697" s="13" t="n">
        <v>127</v>
      </c>
      <c r="O697" s="13" t="n">
        <v>95</v>
      </c>
      <c r="P697" s="13" t="n">
        <v>117</v>
      </c>
      <c r="Q697" s="13" t="n">
        <v>19.7</v>
      </c>
      <c r="R697" s="13" t="n">
        <v>1630</v>
      </c>
      <c r="S697" s="13" t="n">
        <v>1.16</v>
      </c>
      <c r="T697" s="13" t="n">
        <v>1883</v>
      </c>
      <c r="U697" s="13" t="n">
        <v>218</v>
      </c>
      <c r="V697" s="13" t="n">
        <v>115</v>
      </c>
      <c r="W697" s="13" t="n">
        <v>52</v>
      </c>
      <c r="X697" s="13" t="n">
        <v>259</v>
      </c>
      <c r="Y697" s="13" t="n">
        <v>21</v>
      </c>
      <c r="Z697" s="13" t="n">
        <v>177</v>
      </c>
      <c r="AA697" s="13" t="n">
        <v>0.396</v>
      </c>
      <c r="AB697" s="13" t="n">
        <v>174</v>
      </c>
      <c r="AC697" s="13" t="n">
        <v>104</v>
      </c>
      <c r="AD697" s="13" t="n">
        <v>85</v>
      </c>
      <c r="AE697" s="13" t="n">
        <v>8</v>
      </c>
      <c r="AF697" s="13" t="n">
        <v>11.3</v>
      </c>
      <c r="AG697" s="11" t="inlineStr">
        <is>
          <t xml:space="preserve"> Resort Freeride</t>
        </is>
      </c>
      <c r="AH697" s="11" t="inlineStr">
        <is>
          <t xml:space="preserve"> Touring</t>
        </is>
      </c>
      <c r="AI697" s="13" t="n"/>
      <c r="AJ697" s="13" t="n"/>
      <c r="AK697" s="42" t="n"/>
    </row>
    <row r="698">
      <c r="E698" s="40" t="inlineStr">
        <is>
          <t>21/22</t>
        </is>
      </c>
      <c r="F698" s="10" t="inlineStr">
        <is>
          <t xml:space="preserve"> Faction</t>
        </is>
      </c>
      <c r="G698" s="11" t="inlineStr">
        <is>
          <t>Agent 2.0 X</t>
        </is>
      </c>
      <c r="H698" s="13" t="n">
        <v>155</v>
      </c>
      <c r="I698" s="11" t="inlineStr">
        <is>
          <t xml:space="preserve"> Women's</t>
        </is>
      </c>
      <c r="J698" s="13" t="n">
        <v>155</v>
      </c>
      <c r="K698" s="13" t="n">
        <v>153.3</v>
      </c>
      <c r="L698" s="13" t="n">
        <v>115</v>
      </c>
      <c r="M698" s="13" t="n">
        <v>127</v>
      </c>
      <c r="N698" s="13" t="n">
        <v>126</v>
      </c>
      <c r="O698" s="13" t="n">
        <v>95</v>
      </c>
      <c r="P698" s="13" t="n">
        <v>116</v>
      </c>
      <c r="Q698" s="13" t="n">
        <v>13.9</v>
      </c>
      <c r="R698" s="13" t="n">
        <v>1418</v>
      </c>
      <c r="S698" s="13" t="n">
        <v>1.14</v>
      </c>
      <c r="T698" s="13" t="n">
        <v>1623</v>
      </c>
      <c r="U698" s="13" t="n">
        <v>162</v>
      </c>
      <c r="V698" s="13" t="n">
        <v>84</v>
      </c>
      <c r="W698" s="13" t="n">
        <v>52</v>
      </c>
      <c r="X698" s="13" t="n">
        <v>229</v>
      </c>
      <c r="Y698" s="13" t="n">
        <v>21</v>
      </c>
      <c r="Z698" s="13" t="n">
        <v>155</v>
      </c>
      <c r="AA698" s="13" t="n">
        <v>0.392</v>
      </c>
      <c r="AB698" s="13" t="n">
        <v>172</v>
      </c>
      <c r="AC698" s="13" t="n">
        <v>92</v>
      </c>
      <c r="AD698" s="13" t="n">
        <v>57</v>
      </c>
      <c r="AE698" s="13" t="n">
        <v>7</v>
      </c>
      <c r="AF698" s="13" t="n">
        <v>10.6</v>
      </c>
      <c r="AG698" s="11" t="inlineStr">
        <is>
          <t xml:space="preserve"> Resort Freeride</t>
        </is>
      </c>
      <c r="AH698" s="11" t="inlineStr">
        <is>
          <t xml:space="preserve"> Touring</t>
        </is>
      </c>
      <c r="AI698" s="13" t="n"/>
      <c r="AJ698" s="13" t="n"/>
      <c r="AK698" s="42" t="n"/>
    </row>
    <row r="699">
      <c r="E699" s="40" t="inlineStr">
        <is>
          <t>21/22</t>
        </is>
      </c>
      <c r="F699" s="10" t="inlineStr">
        <is>
          <t xml:space="preserve"> Faction</t>
        </is>
      </c>
      <c r="G699" s="11" t="inlineStr">
        <is>
          <t>Agent 2.0 X</t>
        </is>
      </c>
      <c r="H699" s="13" t="n">
        <v>163</v>
      </c>
      <c r="I699" s="11" t="inlineStr">
        <is>
          <t xml:space="preserve"> Women's</t>
        </is>
      </c>
      <c r="J699" s="13" t="n">
        <v>163</v>
      </c>
      <c r="K699" s="13" t="n">
        <v>169.5</v>
      </c>
      <c r="L699" s="13" t="n">
        <v>126</v>
      </c>
      <c r="M699" s="13" t="n">
        <v>140</v>
      </c>
      <c r="N699" s="13" t="n">
        <v>126</v>
      </c>
      <c r="O699" s="13" t="n">
        <v>95</v>
      </c>
      <c r="P699" s="13" t="n">
        <v>116</v>
      </c>
      <c r="Q699" s="13" t="n">
        <v>17.6</v>
      </c>
      <c r="R699" s="13" t="n">
        <v>1528</v>
      </c>
      <c r="S699" s="13" t="n">
        <v>1.17</v>
      </c>
      <c r="T699" s="13" t="n">
        <v>1793</v>
      </c>
      <c r="U699" s="13" t="n">
        <v>221</v>
      </c>
      <c r="V699" s="13" t="n">
        <v>107</v>
      </c>
      <c r="W699" s="13" t="n">
        <v>52</v>
      </c>
      <c r="X699" s="13" t="n">
        <v>247</v>
      </c>
      <c r="Y699" s="13" t="n">
        <v>21</v>
      </c>
      <c r="Z699" s="13" t="n">
        <v>186</v>
      </c>
      <c r="AA699" s="13" t="n">
        <v>0.405</v>
      </c>
      <c r="AB699" s="13" t="n">
        <v>173</v>
      </c>
      <c r="AC699" s="13" t="n">
        <v>120</v>
      </c>
      <c r="AD699" s="13" t="n">
        <v>74</v>
      </c>
      <c r="AE699" s="13" t="n">
        <v>6</v>
      </c>
      <c r="AF699" s="13" t="n">
        <v>10.9</v>
      </c>
      <c r="AG699" s="11" t="inlineStr">
        <is>
          <t xml:space="preserve"> Resort Freeride</t>
        </is>
      </c>
      <c r="AH699" s="11" t="inlineStr">
        <is>
          <t xml:space="preserve"> Touring</t>
        </is>
      </c>
      <c r="AI699" s="13" t="n"/>
      <c r="AJ699" s="13" t="n"/>
      <c r="AK699" s="42" t="n"/>
    </row>
    <row r="700">
      <c r="E700" s="40" t="inlineStr">
        <is>
          <t>21/22</t>
        </is>
      </c>
      <c r="F700" s="10" t="inlineStr">
        <is>
          <t xml:space="preserve"> Faction</t>
        </is>
      </c>
      <c r="G700" s="11" t="inlineStr">
        <is>
          <t>Agent 2.0 X</t>
        </is>
      </c>
      <c r="H700" s="13" t="n">
        <v>171</v>
      </c>
      <c r="I700" s="11" t="inlineStr">
        <is>
          <t xml:space="preserve"> Women's</t>
        </is>
      </c>
      <c r="J700" s="13" t="n">
        <v>171</v>
      </c>
      <c r="K700" s="13" t="n">
        <v>153.3</v>
      </c>
      <c r="L700" s="13" t="n">
        <v>115</v>
      </c>
      <c r="M700" s="13" t="n">
        <v>127</v>
      </c>
      <c r="N700" s="13" t="n">
        <v>126</v>
      </c>
      <c r="O700" s="13" t="n">
        <v>95</v>
      </c>
      <c r="P700" s="13" t="n">
        <v>116</v>
      </c>
      <c r="Q700" s="13" t="n">
        <v>13.9</v>
      </c>
      <c r="R700" s="13" t="n">
        <v>1641</v>
      </c>
      <c r="S700" s="13" t="n">
        <v>0.99</v>
      </c>
      <c r="T700" s="13" t="n">
        <v>1623</v>
      </c>
      <c r="U700" s="13" t="n">
        <v>162</v>
      </c>
      <c r="V700" s="13" t="n">
        <v>84</v>
      </c>
      <c r="W700" s="13" t="n">
        <v>52</v>
      </c>
      <c r="X700" s="13" t="n">
        <v>229</v>
      </c>
      <c r="Y700" s="13" t="n">
        <v>21</v>
      </c>
      <c r="Z700" s="13" t="n">
        <v>155</v>
      </c>
      <c r="AA700" s="13" t="n">
        <v>0.392</v>
      </c>
      <c r="AB700" s="13" t="n">
        <v>172</v>
      </c>
      <c r="AC700" s="13" t="n">
        <v>92</v>
      </c>
      <c r="AD700" s="13" t="n">
        <v>57</v>
      </c>
      <c r="AE700" s="13" t="n">
        <v>7</v>
      </c>
      <c r="AF700" s="13" t="n">
        <v>10.6</v>
      </c>
      <c r="AG700" s="11" t="inlineStr">
        <is>
          <t xml:space="preserve"> Resort Freeride</t>
        </is>
      </c>
      <c r="AH700" s="13" t="n"/>
      <c r="AI700" s="13" t="n"/>
      <c r="AJ700" s="13" t="n"/>
      <c r="AK700" s="42" t="n"/>
    </row>
    <row r="701">
      <c r="E701" s="40" t="inlineStr">
        <is>
          <t>21/22</t>
        </is>
      </c>
      <c r="F701" s="10" t="inlineStr">
        <is>
          <t xml:space="preserve"> Faction</t>
        </is>
      </c>
      <c r="G701" s="11" t="inlineStr">
        <is>
          <t>Agent 3.0</t>
        </is>
      </c>
      <c r="H701" s="13" t="n">
        <v>172</v>
      </c>
      <c r="I701" s="11" t="inlineStr">
        <is>
          <t xml:space="preserve"> Unisex</t>
        </is>
      </c>
      <c r="J701" s="13" t="n">
        <v>172</v>
      </c>
      <c r="K701" s="13" t="n">
        <v>170.6</v>
      </c>
      <c r="L701" s="13" t="n">
        <v>122</v>
      </c>
      <c r="M701" s="13" t="n">
        <v>139</v>
      </c>
      <c r="N701" s="13" t="n">
        <v>134</v>
      </c>
      <c r="O701" s="13" t="n">
        <v>106</v>
      </c>
      <c r="P701" s="13" t="n">
        <v>124</v>
      </c>
      <c r="Q701" s="13" t="n">
        <v>18.8</v>
      </c>
      <c r="R701" s="13" t="n">
        <v>1724</v>
      </c>
      <c r="S701" s="13" t="n">
        <v>1.14</v>
      </c>
      <c r="T701" s="13" t="n">
        <v>1964</v>
      </c>
      <c r="U701" s="13" t="n">
        <v>202</v>
      </c>
      <c r="V701" s="13" t="n">
        <v>107</v>
      </c>
      <c r="W701" s="13" t="n">
        <v>55</v>
      </c>
      <c r="X701" s="13" t="n">
        <v>291</v>
      </c>
      <c r="Y701" s="13" t="n">
        <v>21</v>
      </c>
      <c r="Z701" s="13" t="n">
        <v>198</v>
      </c>
      <c r="AA701" s="13" t="n">
        <v>0.378</v>
      </c>
      <c r="AB701" s="13" t="n">
        <v>200</v>
      </c>
      <c r="AC701" s="13" t="n">
        <v>121</v>
      </c>
      <c r="AD701" s="13" t="n">
        <v>91</v>
      </c>
      <c r="AE701" s="13" t="n">
        <v>6</v>
      </c>
      <c r="AF701" s="13" t="n">
        <v>11.1</v>
      </c>
      <c r="AG701" s="11" t="inlineStr">
        <is>
          <t xml:space="preserve"> Powder</t>
        </is>
      </c>
      <c r="AH701" s="11" t="inlineStr">
        <is>
          <t xml:space="preserve"> Big Mountain</t>
        </is>
      </c>
      <c r="AI701" s="11" t="inlineStr">
        <is>
          <t xml:space="preserve"> Touring</t>
        </is>
      </c>
      <c r="AJ701" s="13" t="n"/>
      <c r="AK701" s="42" t="n"/>
    </row>
    <row r="702">
      <c r="E702" s="40" t="inlineStr">
        <is>
          <t>21/22</t>
        </is>
      </c>
      <c r="F702" s="10" t="inlineStr">
        <is>
          <t xml:space="preserve"> Faction</t>
        </is>
      </c>
      <c r="G702" s="11" t="inlineStr">
        <is>
          <t>Agent 3.0</t>
        </is>
      </c>
      <c r="H702" s="13" t="n">
        <v>180</v>
      </c>
      <c r="I702" s="11" t="inlineStr">
        <is>
          <t xml:space="preserve"> Unisex</t>
        </is>
      </c>
      <c r="J702" s="13" t="n">
        <v>180</v>
      </c>
      <c r="K702" s="13" t="n">
        <v>178.8</v>
      </c>
      <c r="L702" s="13" t="n">
        <v>132</v>
      </c>
      <c r="M702" s="13" t="n">
        <v>147</v>
      </c>
      <c r="N702" s="13" t="n">
        <v>134</v>
      </c>
      <c r="O702" s="13" t="n">
        <v>106</v>
      </c>
      <c r="P702" s="13" t="n">
        <v>124</v>
      </c>
      <c r="Q702" s="13" t="n">
        <v>21</v>
      </c>
      <c r="R702" s="13" t="n">
        <v>1752</v>
      </c>
      <c r="S702" s="13" t="n">
        <v>1.18</v>
      </c>
      <c r="T702" s="13" t="n">
        <v>2059</v>
      </c>
      <c r="U702" s="13" t="n">
        <v>223</v>
      </c>
      <c r="V702" s="13" t="n">
        <v>106</v>
      </c>
      <c r="W702" s="13" t="n">
        <v>51</v>
      </c>
      <c r="X702" s="13" t="n">
        <v>275</v>
      </c>
      <c r="Y702" s="13" t="n">
        <v>20</v>
      </c>
      <c r="Z702" s="13" t="n">
        <v>194</v>
      </c>
      <c r="AA702" s="13" t="n">
        <v>0.391</v>
      </c>
      <c r="AB702" s="13" t="n">
        <v>198</v>
      </c>
      <c r="AC702" s="13" t="n">
        <v>116</v>
      </c>
      <c r="AD702" s="13" t="n">
        <v>77</v>
      </c>
      <c r="AE702" s="13" t="n">
        <v>5</v>
      </c>
      <c r="AF702" s="13" t="n">
        <v>11.5</v>
      </c>
      <c r="AG702" s="11" t="inlineStr">
        <is>
          <t xml:space="preserve"> Powder</t>
        </is>
      </c>
      <c r="AH702" s="11" t="inlineStr">
        <is>
          <t xml:space="preserve"> Big Mountain</t>
        </is>
      </c>
      <c r="AI702" s="11" t="inlineStr">
        <is>
          <t xml:space="preserve"> Touring</t>
        </is>
      </c>
      <c r="AJ702" s="13" t="n"/>
      <c r="AK702" s="42" t="n"/>
    </row>
    <row r="703">
      <c r="E703" s="40" t="inlineStr">
        <is>
          <t>21/22</t>
        </is>
      </c>
      <c r="F703" s="10" t="inlineStr">
        <is>
          <t xml:space="preserve"> Faction</t>
        </is>
      </c>
      <c r="G703" s="11" t="inlineStr">
        <is>
          <t>Agent 3.0</t>
        </is>
      </c>
      <c r="H703" s="13" t="n">
        <v>188</v>
      </c>
      <c r="I703" s="11" t="inlineStr">
        <is>
          <t xml:space="preserve"> Unisex</t>
        </is>
      </c>
      <c r="J703" s="13" t="n">
        <v>188</v>
      </c>
      <c r="K703" s="13" t="n">
        <v>186.5</v>
      </c>
      <c r="L703" s="13" t="n">
        <v>130</v>
      </c>
      <c r="M703" s="13" t="n">
        <v>156</v>
      </c>
      <c r="N703" s="13" t="n">
        <v>133</v>
      </c>
      <c r="O703" s="13" t="n">
        <v>105</v>
      </c>
      <c r="P703" s="13" t="n">
        <v>123</v>
      </c>
      <c r="Q703" s="13" t="n">
        <v>23.5</v>
      </c>
      <c r="R703" s="13" t="n">
        <v>1873</v>
      </c>
      <c r="S703" s="13" t="n">
        <v>1.14</v>
      </c>
      <c r="T703" s="13" t="n">
        <v>2138</v>
      </c>
      <c r="U703" s="13" t="n">
        <v>262</v>
      </c>
      <c r="V703" s="13" t="n">
        <v>127</v>
      </c>
      <c r="W703" s="13" t="n">
        <v>55</v>
      </c>
      <c r="X703" s="13" t="n">
        <v>339</v>
      </c>
      <c r="Y703" s="13" t="n">
        <v>23</v>
      </c>
      <c r="Z703" s="13" t="n">
        <v>227</v>
      </c>
      <c r="AA703" s="13" t="n">
        <v>0.42</v>
      </c>
      <c r="AB703" s="13" t="n">
        <v>191</v>
      </c>
      <c r="AC703" s="13" t="n">
        <v>114</v>
      </c>
      <c r="AD703" s="13" t="n">
        <v>148</v>
      </c>
      <c r="AE703" s="13" t="n">
        <v>4</v>
      </c>
      <c r="AF703" s="13" t="n">
        <v>11.7</v>
      </c>
      <c r="AG703" s="11" t="inlineStr">
        <is>
          <t xml:space="preserve"> Powder</t>
        </is>
      </c>
      <c r="AH703" s="11" t="inlineStr">
        <is>
          <t xml:space="preserve"> Touring</t>
        </is>
      </c>
      <c r="AI703" s="13" t="n"/>
      <c r="AJ703" s="13" t="n"/>
      <c r="AK703" s="42" t="n"/>
    </row>
    <row r="704">
      <c r="E704" s="40" t="inlineStr">
        <is>
          <t>21/22</t>
        </is>
      </c>
      <c r="F704" s="10" t="inlineStr">
        <is>
          <t xml:space="preserve"> Faction</t>
        </is>
      </c>
      <c r="G704" s="11" t="inlineStr">
        <is>
          <t>Agent 3.0 X</t>
        </is>
      </c>
      <c r="H704" s="13" t="n">
        <v>164</v>
      </c>
      <c r="I704" s="11" t="inlineStr">
        <is>
          <t xml:space="preserve"> Women's</t>
        </is>
      </c>
      <c r="J704" s="13" t="n">
        <v>164</v>
      </c>
      <c r="K704" s="13" t="n">
        <v>162.6</v>
      </c>
      <c r="L704" s="13" t="n">
        <v>117</v>
      </c>
      <c r="M704" s="13" t="n">
        <v>134</v>
      </c>
      <c r="N704" s="13" t="n">
        <v>133</v>
      </c>
      <c r="O704" s="13" t="n">
        <v>106</v>
      </c>
      <c r="P704" s="13" t="n">
        <v>124</v>
      </c>
      <c r="Q704" s="13" t="n">
        <v>16.8</v>
      </c>
      <c r="R704" s="13" t="n">
        <v>1604</v>
      </c>
      <c r="S704" s="13" t="n">
        <v>1.17</v>
      </c>
      <c r="T704" s="13" t="n">
        <v>1872</v>
      </c>
      <c r="U704" s="13" t="n">
        <v>182</v>
      </c>
      <c r="V704" s="13" t="n">
        <v>88</v>
      </c>
      <c r="W704" s="13" t="n">
        <v>53</v>
      </c>
      <c r="X704" s="13" t="n">
        <v>275</v>
      </c>
      <c r="Y704" s="13" t="n">
        <v>20</v>
      </c>
      <c r="Z704" s="13" t="n">
        <v>179</v>
      </c>
      <c r="AA704" s="13" t="n">
        <v>0.378</v>
      </c>
      <c r="AB704" s="13" t="n">
        <v>179</v>
      </c>
      <c r="AC704" s="13" t="n">
        <v>111</v>
      </c>
      <c r="AD704" s="13" t="n">
        <v>96</v>
      </c>
      <c r="AE704" s="13" t="n">
        <v>5</v>
      </c>
      <c r="AF704" s="13" t="n">
        <v>10.6</v>
      </c>
      <c r="AG704" s="11" t="inlineStr">
        <is>
          <t xml:space="preserve"> Powder</t>
        </is>
      </c>
      <c r="AH704" s="11" t="inlineStr">
        <is>
          <t xml:space="preserve"> Big Mountain</t>
        </is>
      </c>
      <c r="AI704" s="11" t="inlineStr">
        <is>
          <t xml:space="preserve"> Touring</t>
        </is>
      </c>
      <c r="AJ704" s="13" t="n"/>
      <c r="AK704" s="42" t="n"/>
    </row>
    <row r="705">
      <c r="E705" s="40" t="inlineStr">
        <is>
          <t>21/22</t>
        </is>
      </c>
      <c r="F705" s="10" t="inlineStr">
        <is>
          <t xml:space="preserve"> Faction</t>
        </is>
      </c>
      <c r="G705" s="11" t="inlineStr">
        <is>
          <t>Agent 3.0 X</t>
        </is>
      </c>
      <c r="H705" s="13" t="n">
        <v>172</v>
      </c>
      <c r="I705" s="11" t="inlineStr">
        <is>
          <t xml:space="preserve"> Women's</t>
        </is>
      </c>
      <c r="J705" s="13" t="n">
        <v>172</v>
      </c>
      <c r="K705" s="13" t="n">
        <v>170.6</v>
      </c>
      <c r="L705" s="13" t="n">
        <v>123</v>
      </c>
      <c r="M705" s="13" t="n">
        <v>139</v>
      </c>
      <c r="N705" s="13" t="n">
        <v>134</v>
      </c>
      <c r="O705" s="13" t="n">
        <v>106</v>
      </c>
      <c r="P705" s="13" t="n">
        <v>124</v>
      </c>
      <c r="Q705" s="13" t="n">
        <v>19</v>
      </c>
      <c r="R705" s="13" t="n">
        <v>1685</v>
      </c>
      <c r="S705" s="13" t="n">
        <v>1.16</v>
      </c>
      <c r="T705" s="13" t="n">
        <v>1962</v>
      </c>
      <c r="U705" s="13" t="n">
        <v>218</v>
      </c>
      <c r="V705" s="13" t="n">
        <v>103</v>
      </c>
      <c r="W705" s="13" t="n">
        <v>55</v>
      </c>
      <c r="X705" s="13" t="n">
        <v>296</v>
      </c>
      <c r="Y705" s="13" t="n">
        <v>23</v>
      </c>
      <c r="Z705" s="13" t="n">
        <v>184</v>
      </c>
      <c r="AA705" s="13" t="n">
        <v>0.419</v>
      </c>
      <c r="AB705" s="13" t="n">
        <v>194</v>
      </c>
      <c r="AC705" s="13" t="n">
        <v>121</v>
      </c>
      <c r="AD705" s="13" t="n">
        <v>102</v>
      </c>
      <c r="AE705" s="13" t="n">
        <v>6</v>
      </c>
      <c r="AF705" s="13" t="n">
        <v>11.1</v>
      </c>
      <c r="AG705" s="11" t="inlineStr">
        <is>
          <t xml:space="preserve"> Powder</t>
        </is>
      </c>
      <c r="AH705" s="11" t="inlineStr">
        <is>
          <t xml:space="preserve"> Touring</t>
        </is>
      </c>
      <c r="AI705" s="13" t="n"/>
      <c r="AJ705" s="13" t="n"/>
      <c r="AK705" s="42" t="n"/>
    </row>
    <row r="706">
      <c r="E706" s="40" t="inlineStr">
        <is>
          <t>21/22</t>
        </is>
      </c>
      <c r="F706" s="10" t="inlineStr">
        <is>
          <t xml:space="preserve"> Faction</t>
        </is>
      </c>
      <c r="G706" s="11" t="inlineStr">
        <is>
          <t>Agent 4.0</t>
        </is>
      </c>
      <c r="H706" s="13" t="n">
        <v>179</v>
      </c>
      <c r="I706" s="11" t="inlineStr">
        <is>
          <t xml:space="preserve"> Unisex</t>
        </is>
      </c>
      <c r="J706" s="13" t="n">
        <v>179</v>
      </c>
      <c r="K706" s="13" t="n">
        <v>177.4</v>
      </c>
      <c r="L706" s="13" t="n">
        <v>111</v>
      </c>
      <c r="M706" s="13" t="n">
        <v>143</v>
      </c>
      <c r="N706" s="13" t="n">
        <v>140</v>
      </c>
      <c r="O706" s="13" t="n">
        <v>115</v>
      </c>
      <c r="P706" s="13" t="n">
        <v>131</v>
      </c>
      <c r="Q706" s="13" t="n">
        <v>21.9</v>
      </c>
      <c r="R706" s="13" t="n">
        <v>1717</v>
      </c>
      <c r="S706" s="13" t="n">
        <v>1.28</v>
      </c>
      <c r="T706" s="13" t="n">
        <v>2191</v>
      </c>
      <c r="U706" s="13" t="n">
        <v>207</v>
      </c>
      <c r="V706" s="13" t="n">
        <v>89</v>
      </c>
      <c r="W706" s="13" t="n">
        <v>64</v>
      </c>
      <c r="X706" s="13" t="n">
        <v>368</v>
      </c>
      <c r="Y706" s="13" t="n">
        <v>20</v>
      </c>
      <c r="Z706" s="13" t="n">
        <v>292</v>
      </c>
      <c r="AA706" s="13" t="n">
        <v>0.315</v>
      </c>
      <c r="AB706" s="13" t="n">
        <v>212</v>
      </c>
      <c r="AC706" s="13" t="n">
        <v>135</v>
      </c>
      <c r="AD706" s="13" t="n">
        <v>156</v>
      </c>
      <c r="AE706" s="13" t="n">
        <v>3</v>
      </c>
      <c r="AF706" s="13" t="n">
        <v>12.2</v>
      </c>
      <c r="AG706" s="11" t="inlineStr">
        <is>
          <t xml:space="preserve"> Big Mountain</t>
        </is>
      </c>
      <c r="AH706" s="11" t="inlineStr">
        <is>
          <t xml:space="preserve"> Touring</t>
        </is>
      </c>
      <c r="AI706" s="11" t="inlineStr">
        <is>
          <t xml:space="preserve"> Ultralight Touring</t>
        </is>
      </c>
      <c r="AJ706" s="13" t="n"/>
      <c r="AK706" s="42" t="n"/>
    </row>
    <row r="707">
      <c r="E707" s="40" t="inlineStr">
        <is>
          <t>21/22</t>
        </is>
      </c>
      <c r="F707" s="10" t="inlineStr">
        <is>
          <t xml:space="preserve"> Faction</t>
        </is>
      </c>
      <c r="G707" s="11" t="inlineStr">
        <is>
          <t>CT 1.0 Jr</t>
        </is>
      </c>
      <c r="H707" s="13" t="n">
        <v>145</v>
      </c>
      <c r="I707" s="11" t="inlineStr">
        <is>
          <t xml:space="preserve"> Junior</t>
        </is>
      </c>
      <c r="J707" s="13" t="n">
        <v>145</v>
      </c>
      <c r="K707" s="13" t="n">
        <v>143.7</v>
      </c>
      <c r="L707" s="13" t="n">
        <v>103</v>
      </c>
      <c r="M707" s="13" t="n">
        <v>120</v>
      </c>
      <c r="N707" s="13" t="n">
        <v>114</v>
      </c>
      <c r="O707" s="13" t="n">
        <v>83</v>
      </c>
      <c r="P707" s="13" t="n">
        <v>110</v>
      </c>
      <c r="Q707" s="13" t="n">
        <v>11.9</v>
      </c>
      <c r="R707" s="13" t="n">
        <v>1202</v>
      </c>
      <c r="S707" s="13" t="n">
        <v>1.13</v>
      </c>
      <c r="T707" s="13" t="n">
        <v>1355</v>
      </c>
      <c r="U707" s="13" t="n">
        <v>108</v>
      </c>
      <c r="V707" s="13" t="n">
        <v>33</v>
      </c>
      <c r="W707" s="13" t="n">
        <v>44</v>
      </c>
      <c r="X707" s="13" t="n">
        <v>208</v>
      </c>
      <c r="Y707" s="13" t="n">
        <v>38</v>
      </c>
      <c r="Z707" s="13" t="n">
        <v>199</v>
      </c>
      <c r="AA707" s="13" t="n">
        <v>0.856</v>
      </c>
      <c r="AB707" s="13" t="n">
        <v>123</v>
      </c>
      <c r="AC707" s="13" t="n">
        <v>110</v>
      </c>
      <c r="AD707" s="13" t="n">
        <v>85</v>
      </c>
      <c r="AE707" s="13" t="n">
        <v>9</v>
      </c>
      <c r="AF707" s="13" t="n">
        <v>3</v>
      </c>
      <c r="AG707" s="11" t="inlineStr">
        <is>
          <t xml:space="preserve"> Resort Freeride</t>
        </is>
      </c>
      <c r="AH707" s="11" t="inlineStr">
        <is>
          <t xml:space="preserve"> Freeski</t>
        </is>
      </c>
      <c r="AI707" s="11" t="inlineStr">
        <is>
          <t xml:space="preserve"> Touring</t>
        </is>
      </c>
      <c r="AJ707" s="13" t="n"/>
      <c r="AK707" s="42" t="n"/>
    </row>
    <row r="708">
      <c r="E708" s="40" t="inlineStr">
        <is>
          <t>21/22</t>
        </is>
      </c>
      <c r="F708" s="10" t="inlineStr">
        <is>
          <t xml:space="preserve"> Faction</t>
        </is>
      </c>
      <c r="G708" s="11" t="inlineStr">
        <is>
          <t>CT 2.0</t>
        </is>
      </c>
      <c r="H708" s="13" t="n">
        <v>166</v>
      </c>
      <c r="I708" s="11" t="inlineStr">
        <is>
          <t xml:space="preserve"> Unisex</t>
        </is>
      </c>
      <c r="J708" s="13" t="n">
        <v>166</v>
      </c>
      <c r="K708" s="13" t="n">
        <v>163.9</v>
      </c>
      <c r="L708" s="13" t="n">
        <v>108</v>
      </c>
      <c r="M708" s="13" t="n">
        <v>138</v>
      </c>
      <c r="N708" s="13" t="n">
        <v>131</v>
      </c>
      <c r="O708" s="13" t="n">
        <v>102</v>
      </c>
      <c r="P708" s="13" t="n">
        <v>127</v>
      </c>
      <c r="Q708" s="13" t="n">
        <v>16.2</v>
      </c>
      <c r="R708" s="13" t="n">
        <v>1726</v>
      </c>
      <c r="S708" s="13" t="n">
        <v>1.06</v>
      </c>
      <c r="T708" s="13" t="n">
        <v>1831</v>
      </c>
      <c r="U708" s="13" t="n">
        <v>204</v>
      </c>
      <c r="V708" s="13" t="n">
        <v>92</v>
      </c>
      <c r="W708" s="13" t="n">
        <v>51</v>
      </c>
      <c r="X708" s="13" t="n">
        <v>285</v>
      </c>
      <c r="Y708" s="13" t="n">
        <v>51</v>
      </c>
      <c r="Z708" s="13" t="n">
        <v>278</v>
      </c>
      <c r="AA708" s="13" t="n">
        <v>0.993</v>
      </c>
      <c r="AB708" s="13" t="n">
        <v>133</v>
      </c>
      <c r="AC708" s="13" t="n">
        <v>130</v>
      </c>
      <c r="AD708" s="13" t="n">
        <v>151</v>
      </c>
      <c r="AE708" s="13" t="n">
        <v>6</v>
      </c>
      <c r="AF708" s="13" t="n">
        <v>3.8</v>
      </c>
      <c r="AG708" s="11" t="inlineStr">
        <is>
          <t xml:space="preserve"> Freeski</t>
        </is>
      </c>
      <c r="AH708" s="11" t="inlineStr">
        <is>
          <t xml:space="preserve"> Powder</t>
        </is>
      </c>
      <c r="AI708" s="11" t="inlineStr">
        <is>
          <t xml:space="preserve"> Touring</t>
        </is>
      </c>
      <c r="AJ708" s="13" t="n"/>
      <c r="AK708" s="42" t="n"/>
    </row>
    <row r="709">
      <c r="E709" s="40" t="inlineStr">
        <is>
          <t>21/22</t>
        </is>
      </c>
      <c r="F709" s="10" t="inlineStr">
        <is>
          <t xml:space="preserve"> Faction</t>
        </is>
      </c>
      <c r="G709" s="11" t="inlineStr">
        <is>
          <t>CT 2.0</t>
        </is>
      </c>
      <c r="H709" s="13" t="n">
        <v>173</v>
      </c>
      <c r="I709" s="11" t="inlineStr">
        <is>
          <t xml:space="preserve"> Unisex</t>
        </is>
      </c>
      <c r="J709" s="13" t="n">
        <v>173</v>
      </c>
      <c r="K709" s="13" t="n">
        <v>171.1</v>
      </c>
      <c r="L709" s="13" t="n">
        <v>112</v>
      </c>
      <c r="M709" s="13" t="n">
        <v>145</v>
      </c>
      <c r="N709" s="13" t="n">
        <v>131</v>
      </c>
      <c r="O709" s="13" t="n">
        <v>102</v>
      </c>
      <c r="P709" s="13" t="n">
        <v>127</v>
      </c>
      <c r="Q709" s="13" t="n">
        <v>18.1</v>
      </c>
      <c r="R709" s="13" t="n">
        <v>1782</v>
      </c>
      <c r="S709" s="13" t="n">
        <v>1.07</v>
      </c>
      <c r="T709" s="13" t="n">
        <v>1913</v>
      </c>
      <c r="U709" s="13" t="n">
        <v>213</v>
      </c>
      <c r="V709" s="13" t="n">
        <v>96</v>
      </c>
      <c r="W709" s="13" t="n">
        <v>57</v>
      </c>
      <c r="X709" s="13" t="n">
        <v>316</v>
      </c>
      <c r="Y709" s="13" t="n">
        <v>51</v>
      </c>
      <c r="Z709" s="13" t="n">
        <v>278</v>
      </c>
      <c r="AA709" s="13" t="n">
        <v>0.887</v>
      </c>
      <c r="AB709" s="13" t="n">
        <v>136</v>
      </c>
      <c r="AC709" s="13" t="n">
        <v>123</v>
      </c>
      <c r="AD709" s="13" t="n">
        <v>179</v>
      </c>
      <c r="AE709" s="13" t="n">
        <v>5</v>
      </c>
      <c r="AF709" s="13" t="n">
        <v>4</v>
      </c>
      <c r="AG709" s="11" t="inlineStr">
        <is>
          <t xml:space="preserve"> Freeski</t>
        </is>
      </c>
      <c r="AH709" s="11" t="inlineStr">
        <is>
          <t xml:space="preserve"> Powder</t>
        </is>
      </c>
      <c r="AI709" s="11" t="inlineStr">
        <is>
          <t xml:space="preserve"> Touring</t>
        </is>
      </c>
      <c r="AJ709" s="13" t="n"/>
      <c r="AK709" s="42" t="n"/>
    </row>
    <row r="710">
      <c r="E710" s="40" t="inlineStr">
        <is>
          <t>21/22</t>
        </is>
      </c>
      <c r="F710" s="10" t="inlineStr">
        <is>
          <t xml:space="preserve"> Faction</t>
        </is>
      </c>
      <c r="G710" s="11" t="inlineStr">
        <is>
          <t>CT 2.0</t>
        </is>
      </c>
      <c r="H710" s="13" t="n">
        <v>178</v>
      </c>
      <c r="I710" s="11" t="inlineStr">
        <is>
          <t xml:space="preserve"> Unisex</t>
        </is>
      </c>
      <c r="J710" s="13" t="n">
        <v>178</v>
      </c>
      <c r="K710" s="13" t="n">
        <v>176.1</v>
      </c>
      <c r="L710" s="13" t="n">
        <v>119</v>
      </c>
      <c r="M710" s="13" t="n">
        <v>147</v>
      </c>
      <c r="N710" s="13" t="n">
        <v>131</v>
      </c>
      <c r="O710" s="13" t="n">
        <v>102</v>
      </c>
      <c r="P710" s="13" t="n">
        <v>127</v>
      </c>
      <c r="Q710" s="13" t="n">
        <v>19.4</v>
      </c>
      <c r="R710" s="13" t="n">
        <v>1905</v>
      </c>
      <c r="S710" s="13" t="n">
        <v>1.03</v>
      </c>
      <c r="T710" s="13" t="n">
        <v>1969</v>
      </c>
      <c r="U710" s="13" t="n">
        <v>227</v>
      </c>
      <c r="V710" s="13" t="n">
        <v>97</v>
      </c>
      <c r="W710" s="13" t="n">
        <v>55</v>
      </c>
      <c r="X710" s="13" t="n">
        <v>302</v>
      </c>
      <c r="Y710" s="13" t="n">
        <v>49</v>
      </c>
      <c r="Z710" s="13" t="n">
        <v>270</v>
      </c>
      <c r="AA710" s="13" t="n">
        <v>0.891</v>
      </c>
      <c r="AB710" s="13" t="n">
        <v>149</v>
      </c>
      <c r="AC710" s="13" t="n">
        <v>141</v>
      </c>
      <c r="AD710" s="13" t="n">
        <v>153</v>
      </c>
      <c r="AE710" s="13" t="n">
        <v>7</v>
      </c>
      <c r="AF710" s="13" t="n">
        <v>4.6</v>
      </c>
      <c r="AG710" s="11" t="inlineStr">
        <is>
          <t xml:space="preserve"> Freeski</t>
        </is>
      </c>
      <c r="AH710" s="11" t="inlineStr">
        <is>
          <t xml:space="preserve"> Powder</t>
        </is>
      </c>
      <c r="AI710" s="13" t="n"/>
      <c r="AJ710" s="13" t="n"/>
      <c r="AK710" s="42" t="n"/>
    </row>
    <row r="711">
      <c r="E711" s="40" t="inlineStr">
        <is>
          <t>21/22</t>
        </is>
      </c>
      <c r="F711" s="10" t="inlineStr">
        <is>
          <t xml:space="preserve"> Faction</t>
        </is>
      </c>
      <c r="G711" s="11" t="inlineStr">
        <is>
          <t>CT 2.0</t>
        </is>
      </c>
      <c r="H711" s="13" t="n">
        <v>183</v>
      </c>
      <c r="I711" s="11" t="inlineStr">
        <is>
          <t xml:space="preserve"> Unisex</t>
        </is>
      </c>
      <c r="J711" s="13" t="n">
        <v>183</v>
      </c>
      <c r="K711" s="13" t="n">
        <v>181.1</v>
      </c>
      <c r="L711" s="13" t="n">
        <v>120</v>
      </c>
      <c r="M711" s="13" t="n">
        <v>154</v>
      </c>
      <c r="N711" s="13" t="n">
        <v>131</v>
      </c>
      <c r="O711" s="13" t="n">
        <v>101</v>
      </c>
      <c r="P711" s="13" t="n">
        <v>127</v>
      </c>
      <c r="Q711" s="13" t="n">
        <v>20.7</v>
      </c>
      <c r="R711" s="13" t="n">
        <v>1912</v>
      </c>
      <c r="S711" s="13" t="n">
        <v>1.06</v>
      </c>
      <c r="T711" s="13" t="n">
        <v>2023</v>
      </c>
      <c r="U711" s="13" t="n">
        <v>245</v>
      </c>
      <c r="V711" s="13" t="n">
        <v>102</v>
      </c>
      <c r="W711" s="13" t="n">
        <v>54</v>
      </c>
      <c r="X711" s="13" t="n">
        <v>320</v>
      </c>
      <c r="Y711" s="13" t="n">
        <v>49</v>
      </c>
      <c r="Z711" s="13" t="n">
        <v>291</v>
      </c>
      <c r="AA711" s="13" t="n">
        <v>0.909</v>
      </c>
      <c r="AB711" s="13" t="n">
        <v>143</v>
      </c>
      <c r="AC711" s="13" t="n">
        <v>130</v>
      </c>
      <c r="AD711" s="13" t="n">
        <v>177</v>
      </c>
      <c r="AE711" s="13" t="n">
        <v>6</v>
      </c>
      <c r="AF711" s="13" t="n">
        <v>4.1</v>
      </c>
      <c r="AG711" s="11" t="inlineStr">
        <is>
          <t xml:space="preserve"> Freeski</t>
        </is>
      </c>
      <c r="AH711" s="11" t="inlineStr">
        <is>
          <t xml:space="preserve"> Powder</t>
        </is>
      </c>
      <c r="AI711" s="11" t="inlineStr">
        <is>
          <t xml:space="preserve"> Touring</t>
        </is>
      </c>
      <c r="AJ711" s="13" t="n"/>
      <c r="AK711" s="42" t="n"/>
    </row>
    <row r="712">
      <c r="E712" s="40" t="inlineStr">
        <is>
          <t>21/22</t>
        </is>
      </c>
      <c r="F712" s="10" t="inlineStr">
        <is>
          <t xml:space="preserve"> Faction</t>
        </is>
      </c>
      <c r="G712" s="11" t="inlineStr">
        <is>
          <t>CT 2.0 Jr</t>
        </is>
      </c>
      <c r="H712" s="13" t="n">
        <v>159</v>
      </c>
      <c r="I712" s="11" t="inlineStr">
        <is>
          <t xml:space="preserve"> Junior</t>
        </is>
      </c>
      <c r="J712" s="13" t="n">
        <v>159</v>
      </c>
      <c r="K712" s="13" t="n">
        <v>157.1</v>
      </c>
      <c r="L712" s="13" t="n">
        <v>110</v>
      </c>
      <c r="M712" s="13" t="n">
        <v>132</v>
      </c>
      <c r="N712" s="13" t="n">
        <v>128</v>
      </c>
      <c r="O712" s="13" t="n">
        <v>97</v>
      </c>
      <c r="P712" s="13" t="n">
        <v>124</v>
      </c>
      <c r="Q712" s="13" t="n">
        <v>13.8</v>
      </c>
      <c r="R712" s="13" t="n">
        <v>1435</v>
      </c>
      <c r="S712" s="13" t="n">
        <v>1.18</v>
      </c>
      <c r="T712" s="13" t="n">
        <v>1700</v>
      </c>
      <c r="U712" s="13" t="n">
        <v>130</v>
      </c>
      <c r="V712" s="13" t="n">
        <v>44</v>
      </c>
      <c r="W712" s="13" t="n">
        <v>55</v>
      </c>
      <c r="X712" s="13" t="n">
        <v>240</v>
      </c>
      <c r="Y712" s="13" t="n">
        <v>46</v>
      </c>
      <c r="Z712" s="13" t="n">
        <v>232</v>
      </c>
      <c r="AA712" s="13" t="n">
        <v>0.837</v>
      </c>
      <c r="AB712" s="13" t="n">
        <v>131</v>
      </c>
      <c r="AC712" s="13" t="n">
        <v>123</v>
      </c>
      <c r="AD712" s="13" t="n">
        <v>108</v>
      </c>
      <c r="AE712" s="13" t="n">
        <v>5</v>
      </c>
      <c r="AF712" s="13" t="n">
        <v>3.2</v>
      </c>
      <c r="AG712" s="11" t="inlineStr">
        <is>
          <t xml:space="preserve"> Resort Freeride</t>
        </is>
      </c>
      <c r="AH712" s="11" t="inlineStr">
        <is>
          <t xml:space="preserve"> Freeski</t>
        </is>
      </c>
      <c r="AI712" s="11" t="inlineStr">
        <is>
          <t xml:space="preserve"> Touring</t>
        </is>
      </c>
      <c r="AJ712" s="13" t="n"/>
      <c r="AK712" s="42" t="n"/>
    </row>
    <row r="713">
      <c r="E713" s="40" t="inlineStr">
        <is>
          <t>21/22</t>
        </is>
      </c>
      <c r="F713" s="10" t="inlineStr">
        <is>
          <t xml:space="preserve"> Faction</t>
        </is>
      </c>
      <c r="G713" s="11" t="inlineStr">
        <is>
          <t>CT 3.0</t>
        </is>
      </c>
      <c r="H713" s="13" t="n">
        <v>178</v>
      </c>
      <c r="I713" s="11" t="inlineStr">
        <is>
          <t xml:space="preserve"> Unisex</t>
        </is>
      </c>
      <c r="J713" s="13" t="n">
        <v>178</v>
      </c>
      <c r="K713" s="13" t="n">
        <v>176.4</v>
      </c>
      <c r="L713" s="13" t="n">
        <v>111</v>
      </c>
      <c r="M713" s="13" t="n">
        <v>147</v>
      </c>
      <c r="N713" s="13" t="n">
        <v>139</v>
      </c>
      <c r="O713" s="13" t="n">
        <v>111</v>
      </c>
      <c r="P713" s="13" t="n">
        <v>133</v>
      </c>
      <c r="Q713" s="13" t="n">
        <v>20</v>
      </c>
      <c r="R713" s="13" t="n">
        <v>1931</v>
      </c>
      <c r="S713" s="13" t="n">
        <v>1.1</v>
      </c>
      <c r="T713" s="13" t="n">
        <v>2119</v>
      </c>
      <c r="U713" s="13" t="n">
        <v>221</v>
      </c>
      <c r="V713" s="13" t="n">
        <v>106</v>
      </c>
      <c r="W713" s="13" t="n">
        <v>59</v>
      </c>
      <c r="X713" s="13" t="n">
        <v>346</v>
      </c>
      <c r="Y713" s="13" t="n">
        <v>52</v>
      </c>
      <c r="Z713" s="13" t="n">
        <v>305</v>
      </c>
      <c r="AA713" s="13" t="n">
        <v>0.882</v>
      </c>
      <c r="AB713" s="13" t="n">
        <v>148</v>
      </c>
      <c r="AC713" s="13" t="n">
        <v>147</v>
      </c>
      <c r="AD713" s="13" t="n">
        <v>198</v>
      </c>
      <c r="AE713" s="13" t="n">
        <v>6</v>
      </c>
      <c r="AF713" s="13" t="n">
        <v>5.6</v>
      </c>
      <c r="AG713" s="11" t="inlineStr">
        <is>
          <t xml:space="preserve"> Freeski</t>
        </is>
      </c>
      <c r="AH713" s="11" t="inlineStr">
        <is>
          <t xml:space="preserve"> Powder</t>
        </is>
      </c>
      <c r="AI713" s="11" t="inlineStr">
        <is>
          <t xml:space="preserve"> Touring</t>
        </is>
      </c>
      <c r="AJ713" s="13" t="n"/>
      <c r="AK713" s="42" t="n"/>
    </row>
    <row r="714">
      <c r="E714" s="40" t="inlineStr">
        <is>
          <t>21/22</t>
        </is>
      </c>
      <c r="F714" s="10" t="inlineStr">
        <is>
          <t xml:space="preserve"> Faction</t>
        </is>
      </c>
      <c r="G714" s="11" t="inlineStr">
        <is>
          <t>CT 3.0</t>
        </is>
      </c>
      <c r="H714" s="13" t="n">
        <v>184</v>
      </c>
      <c r="I714" s="11" t="inlineStr">
        <is>
          <t xml:space="preserve"> Unisex</t>
        </is>
      </c>
      <c r="J714" s="13" t="n">
        <v>184</v>
      </c>
      <c r="K714" s="13" t="n">
        <v>182.3</v>
      </c>
      <c r="L714" s="13" t="n">
        <v>113</v>
      </c>
      <c r="M714" s="13" t="n">
        <v>153</v>
      </c>
      <c r="N714" s="13" t="n">
        <v>139</v>
      </c>
      <c r="O714" s="13" t="n">
        <v>111</v>
      </c>
      <c r="P714" s="13" t="n">
        <v>133</v>
      </c>
      <c r="Q714" s="13" t="n">
        <v>21.9</v>
      </c>
      <c r="R714" s="13" t="n">
        <v>2007</v>
      </c>
      <c r="S714" s="13" t="n">
        <v>1.09</v>
      </c>
      <c r="T714" s="13" t="n">
        <v>2189</v>
      </c>
      <c r="U714" s="13" t="n">
        <v>237</v>
      </c>
      <c r="V714" s="13" t="n">
        <v>115</v>
      </c>
      <c r="W714" s="13" t="n">
        <v>57</v>
      </c>
      <c r="X714" s="13" t="n">
        <v>370</v>
      </c>
      <c r="Y714" s="13" t="n">
        <v>52</v>
      </c>
      <c r="Z714" s="13" t="n">
        <v>325</v>
      </c>
      <c r="AA714" s="13" t="n">
        <v>0.922</v>
      </c>
      <c r="AB714" s="13" t="n">
        <v>158</v>
      </c>
      <c r="AC714" s="13" t="n">
        <v>132</v>
      </c>
      <c r="AD714" s="13" t="n">
        <v>212</v>
      </c>
      <c r="AE714" s="13" t="n">
        <v>5</v>
      </c>
      <c r="AF714" s="13" t="n">
        <v>6.1</v>
      </c>
      <c r="AG714" s="11" t="inlineStr">
        <is>
          <t xml:space="preserve"> Freeski</t>
        </is>
      </c>
      <c r="AH714" s="11" t="inlineStr">
        <is>
          <t xml:space="preserve"> Powder</t>
        </is>
      </c>
      <c r="AI714" s="11" t="inlineStr">
        <is>
          <t xml:space="preserve"> Touring</t>
        </is>
      </c>
      <c r="AJ714" s="13" t="n"/>
      <c r="AK714" s="42" t="n"/>
    </row>
    <row r="715">
      <c r="E715" s="40" t="inlineStr">
        <is>
          <t>21/22</t>
        </is>
      </c>
      <c r="F715" s="10" t="inlineStr">
        <is>
          <t xml:space="preserve"> Faction</t>
        </is>
      </c>
      <c r="G715" s="11" t="inlineStr">
        <is>
          <t>Dictator 1.0</t>
        </is>
      </c>
      <c r="H715" s="13" t="n">
        <v>170</v>
      </c>
      <c r="I715" s="11" t="inlineStr">
        <is>
          <t xml:space="preserve"> Unisex</t>
        </is>
      </c>
      <c r="J715" s="13" t="n">
        <v>170</v>
      </c>
      <c r="K715" s="13" t="n">
        <v>168.5</v>
      </c>
      <c r="L715" s="13" t="n">
        <v>130</v>
      </c>
      <c r="M715" s="13" t="n">
        <v>144</v>
      </c>
      <c r="N715" s="13" t="n">
        <v>119</v>
      </c>
      <c r="O715" s="13" t="n">
        <v>85</v>
      </c>
      <c r="P715" s="13" t="n">
        <v>109</v>
      </c>
      <c r="Q715" s="13" t="n">
        <v>16.6</v>
      </c>
      <c r="R715" s="13" t="n">
        <v>1686</v>
      </c>
      <c r="S715" s="13" t="n">
        <v>0.97</v>
      </c>
      <c r="T715" s="13" t="n">
        <v>1628</v>
      </c>
      <c r="U715" s="13" t="n">
        <v>208</v>
      </c>
      <c r="V715" s="13" t="n">
        <v>127</v>
      </c>
      <c r="W715" s="13" t="n">
        <v>49</v>
      </c>
      <c r="X715" s="13" t="n">
        <v>223</v>
      </c>
      <c r="Y715" s="13" t="n">
        <v>20</v>
      </c>
      <c r="Z715" s="13" t="n">
        <v>158</v>
      </c>
      <c r="AA715" s="13" t="n">
        <v>0.412</v>
      </c>
      <c r="AB715" s="13" t="n">
        <v>154</v>
      </c>
      <c r="AC715" s="13" t="n">
        <v>90</v>
      </c>
      <c r="AD715" s="13" t="n">
        <v>69</v>
      </c>
      <c r="AE715" s="13" t="n">
        <v>7</v>
      </c>
      <c r="AF715" s="13" t="n">
        <v>10.1</v>
      </c>
      <c r="AG715" s="11" t="inlineStr">
        <is>
          <t xml:space="preserve"> On-Piste All-Mountain</t>
        </is>
      </c>
      <c r="AH715" s="11" t="inlineStr">
        <is>
          <t xml:space="preserve"> Resort Freeride</t>
        </is>
      </c>
      <c r="AI715" s="13" t="n"/>
      <c r="AJ715" s="13" t="n"/>
      <c r="AK715" s="42" t="n"/>
    </row>
    <row r="716">
      <c r="E716" s="40" t="inlineStr">
        <is>
          <t>21/22</t>
        </is>
      </c>
      <c r="F716" s="10" t="inlineStr">
        <is>
          <t xml:space="preserve"> Faction</t>
        </is>
      </c>
      <c r="G716" s="11" t="inlineStr">
        <is>
          <t>Dictator 1.0</t>
        </is>
      </c>
      <c r="H716" s="13" t="n">
        <v>178</v>
      </c>
      <c r="I716" s="11" t="inlineStr">
        <is>
          <t xml:space="preserve"> Unisex</t>
        </is>
      </c>
      <c r="J716" s="13" t="n">
        <v>178</v>
      </c>
      <c r="K716" s="13" t="n">
        <v>176.4</v>
      </c>
      <c r="L716" s="13" t="n">
        <v>135</v>
      </c>
      <c r="M716" s="13" t="n">
        <v>151</v>
      </c>
      <c r="N716" s="13" t="n">
        <v>119</v>
      </c>
      <c r="O716" s="13" t="n">
        <v>85</v>
      </c>
      <c r="P716" s="13" t="n">
        <v>109</v>
      </c>
      <c r="Q716" s="13" t="n">
        <v>18.7</v>
      </c>
      <c r="R716" s="13" t="n">
        <v>1694</v>
      </c>
      <c r="S716" s="13" t="n">
        <v>1.01</v>
      </c>
      <c r="T716" s="13" t="n">
        <v>1703</v>
      </c>
      <c r="U716" s="13" t="n">
        <v>243</v>
      </c>
      <c r="V716" s="13" t="n">
        <v>143</v>
      </c>
      <c r="W716" s="13" t="n">
        <v>51</v>
      </c>
      <c r="X716" s="13" t="n">
        <v>247</v>
      </c>
      <c r="Y716" s="13" t="n">
        <v>20</v>
      </c>
      <c r="Z716" s="13" t="n">
        <v>166</v>
      </c>
      <c r="AA716" s="13" t="n">
        <v>0.39</v>
      </c>
      <c r="AB716" s="13" t="n">
        <v>155</v>
      </c>
      <c r="AC716" s="13" t="n">
        <v>97</v>
      </c>
      <c r="AD716" s="13" t="n">
        <v>91</v>
      </c>
      <c r="AE716" s="13" t="n">
        <v>8</v>
      </c>
      <c r="AF716" s="13" t="n">
        <v>9.5</v>
      </c>
      <c r="AG716" s="11" t="inlineStr">
        <is>
          <t xml:space="preserve"> On-Piste All-Mountain</t>
        </is>
      </c>
      <c r="AH716" s="11" t="inlineStr">
        <is>
          <t xml:space="preserve"> Resort Freeride</t>
        </is>
      </c>
      <c r="AI716" s="13" t="n"/>
      <c r="AJ716" s="13" t="n"/>
      <c r="AK716" s="42" t="n"/>
    </row>
    <row r="717">
      <c r="E717" s="40" t="inlineStr">
        <is>
          <t>21/22</t>
        </is>
      </c>
      <c r="F717" s="10" t="inlineStr">
        <is>
          <t xml:space="preserve"> Faction</t>
        </is>
      </c>
      <c r="G717" s="11" t="inlineStr">
        <is>
          <t>Dictator 1.0 X</t>
        </is>
      </c>
      <c r="H717" s="13" t="n">
        <v>162</v>
      </c>
      <c r="I717" s="11" t="inlineStr">
        <is>
          <t xml:space="preserve"> Women's</t>
        </is>
      </c>
      <c r="J717" s="13" t="n">
        <v>162</v>
      </c>
      <c r="K717" s="13" t="n">
        <v>160.3</v>
      </c>
      <c r="L717" s="13" t="n">
        <v>122</v>
      </c>
      <c r="M717" s="13" t="n">
        <v>136</v>
      </c>
      <c r="N717" s="13" t="n">
        <v>120</v>
      </c>
      <c r="O717" s="13" t="n">
        <v>86</v>
      </c>
      <c r="P717" s="13" t="n">
        <v>110</v>
      </c>
      <c r="Q717" s="13" t="n">
        <v>15</v>
      </c>
      <c r="R717" s="13" t="n">
        <v>1574</v>
      </c>
      <c r="S717" s="13" t="n">
        <v>0.99</v>
      </c>
      <c r="T717" s="13" t="n">
        <v>1561</v>
      </c>
      <c r="U717" s="13" t="n">
        <v>190</v>
      </c>
      <c r="V717" s="13" t="n">
        <v>116</v>
      </c>
      <c r="W717" s="13" t="n">
        <v>50</v>
      </c>
      <c r="X717" s="13" t="n">
        <v>230</v>
      </c>
      <c r="Y717" s="13" t="n">
        <v>20</v>
      </c>
      <c r="Z717" s="13" t="n">
        <v>150</v>
      </c>
      <c r="AA717" s="13" t="n">
        <v>0.404</v>
      </c>
      <c r="AB717" s="13" t="n">
        <v>154</v>
      </c>
      <c r="AC717" s="13" t="n">
        <v>88</v>
      </c>
      <c r="AD717" s="13" t="n">
        <v>76</v>
      </c>
      <c r="AE717" s="13" t="n">
        <v>6</v>
      </c>
      <c r="AF717" s="13" t="n">
        <v>9.4</v>
      </c>
      <c r="AG717" s="11" t="inlineStr">
        <is>
          <t xml:space="preserve"> Resort Freeride</t>
        </is>
      </c>
      <c r="AH717" s="13" t="n"/>
      <c r="AI717" s="13" t="n"/>
      <c r="AJ717" s="13" t="n"/>
      <c r="AK717" s="42" t="n"/>
    </row>
    <row r="718">
      <c r="E718" s="40" t="inlineStr">
        <is>
          <t>21/22</t>
        </is>
      </c>
      <c r="F718" s="10" t="inlineStr">
        <is>
          <t xml:space="preserve"> Faction</t>
        </is>
      </c>
      <c r="G718" s="11" t="inlineStr">
        <is>
          <t>Dictator 2.0</t>
        </is>
      </c>
      <c r="H718" s="13" t="n">
        <v>163</v>
      </c>
      <c r="I718" s="11" t="inlineStr">
        <is>
          <t xml:space="preserve"> Unisex</t>
        </is>
      </c>
      <c r="J718" s="13" t="n">
        <v>163</v>
      </c>
      <c r="K718" s="13" t="n">
        <v>163</v>
      </c>
      <c r="L718" s="13" t="n">
        <v>119</v>
      </c>
      <c r="M718" s="13" t="n">
        <v>135</v>
      </c>
      <c r="N718" s="13" t="n">
        <v>127</v>
      </c>
      <c r="O718" s="13" t="n">
        <v>96</v>
      </c>
      <c r="P718" s="13" t="n">
        <v>117</v>
      </c>
      <c r="Q718" s="13" t="n">
        <v>15.6</v>
      </c>
      <c r="R718" s="13" t="n">
        <v>1699</v>
      </c>
      <c r="S718" s="13" t="n">
        <v>1.02</v>
      </c>
      <c r="T718" s="13" t="n">
        <v>1730</v>
      </c>
      <c r="U718" s="13" t="n">
        <v>183</v>
      </c>
      <c r="V718" s="13" t="n">
        <v>117</v>
      </c>
      <c r="W718" s="13" t="n">
        <v>56</v>
      </c>
      <c r="X718" s="13" t="n">
        <v>253</v>
      </c>
      <c r="Y718" s="13" t="n">
        <v>25</v>
      </c>
      <c r="Z718" s="13" t="n">
        <v>184</v>
      </c>
      <c r="AA718" s="13" t="n">
        <v>0.456</v>
      </c>
      <c r="AB718" s="13" t="n">
        <v>162</v>
      </c>
      <c r="AC718" s="13" t="n">
        <v>120</v>
      </c>
      <c r="AD718" s="13" t="n">
        <v>91</v>
      </c>
      <c r="AE718" s="13" t="n">
        <v>5</v>
      </c>
      <c r="AF718" s="13" t="n">
        <v>9.9</v>
      </c>
      <c r="AG718" s="11" t="inlineStr">
        <is>
          <t xml:space="preserve"> Resort Freeride</t>
        </is>
      </c>
      <c r="AH718" s="13" t="n"/>
      <c r="AI718" s="13" t="n"/>
      <c r="AJ718" s="13" t="n"/>
      <c r="AK718" s="42" t="n"/>
    </row>
    <row r="719">
      <c r="E719" s="40" t="inlineStr">
        <is>
          <t>21/22</t>
        </is>
      </c>
      <c r="F719" s="10" t="inlineStr">
        <is>
          <t xml:space="preserve"> Faction</t>
        </is>
      </c>
      <c r="G719" s="11" t="inlineStr">
        <is>
          <t>Dictator 2.0</t>
        </is>
      </c>
      <c r="H719" s="13" t="n">
        <v>171</v>
      </c>
      <c r="I719" s="11" t="inlineStr">
        <is>
          <t xml:space="preserve"> Unisex</t>
        </is>
      </c>
      <c r="J719" s="13" t="n">
        <v>171</v>
      </c>
      <c r="K719" s="13" t="n">
        <v>169.5</v>
      </c>
      <c r="L719" s="13" t="n">
        <v>128</v>
      </c>
      <c r="M719" s="13" t="n">
        <v>141</v>
      </c>
      <c r="N719" s="13" t="n">
        <v>126</v>
      </c>
      <c r="O719" s="13" t="n">
        <v>95</v>
      </c>
      <c r="P719" s="13" t="n">
        <v>116</v>
      </c>
      <c r="Q719" s="13" t="n">
        <v>17.6</v>
      </c>
      <c r="R719" s="13" t="n">
        <v>1848</v>
      </c>
      <c r="S719" s="13" t="n">
        <v>0.97</v>
      </c>
      <c r="T719" s="13" t="n">
        <v>1789</v>
      </c>
      <c r="U719" s="13" t="n">
        <v>226</v>
      </c>
      <c r="V719" s="13" t="n">
        <v>130</v>
      </c>
      <c r="W719" s="13" t="n">
        <v>52</v>
      </c>
      <c r="X719" s="13" t="n">
        <v>240</v>
      </c>
      <c r="Y719" s="13" t="n">
        <v>22</v>
      </c>
      <c r="Z719" s="13" t="n">
        <v>177</v>
      </c>
      <c r="AA719" s="13" t="n">
        <v>0.42</v>
      </c>
      <c r="AB719" s="13" t="n">
        <v>176</v>
      </c>
      <c r="AC719" s="13" t="n">
        <v>105</v>
      </c>
      <c r="AD719" s="13" t="n">
        <v>64</v>
      </c>
      <c r="AE719" s="13" t="n">
        <v>8</v>
      </c>
      <c r="AF719" s="13" t="n">
        <v>10.9</v>
      </c>
      <c r="AG719" s="11" t="inlineStr">
        <is>
          <t xml:space="preserve"> Resort Freeride</t>
        </is>
      </c>
      <c r="AH719" s="13" t="n"/>
      <c r="AI719" s="13" t="n"/>
      <c r="AJ719" s="13" t="n"/>
      <c r="AK719" s="42" t="n"/>
    </row>
    <row r="720">
      <c r="E720" s="40" t="inlineStr">
        <is>
          <t>21/22</t>
        </is>
      </c>
      <c r="F720" s="10" t="inlineStr">
        <is>
          <t xml:space="preserve"> Faction</t>
        </is>
      </c>
      <c r="G720" s="11" t="inlineStr">
        <is>
          <t>Dictator 2.0</t>
        </is>
      </c>
      <c r="H720" s="13" t="n">
        <v>179</v>
      </c>
      <c r="I720" s="11" t="inlineStr">
        <is>
          <t xml:space="preserve"> Unisex</t>
        </is>
      </c>
      <c r="J720" s="13" t="n">
        <v>179</v>
      </c>
      <c r="K720" s="13" t="n">
        <v>177.5</v>
      </c>
      <c r="L720" s="13" t="n">
        <v>135</v>
      </c>
      <c r="M720" s="13" t="n">
        <v>151</v>
      </c>
      <c r="N720" s="13" t="n">
        <v>127</v>
      </c>
      <c r="O720" s="13" t="n">
        <v>96</v>
      </c>
      <c r="P720" s="13" t="n">
        <v>117</v>
      </c>
      <c r="Q720" s="13" t="n">
        <v>19.6</v>
      </c>
      <c r="R720" s="13" t="n">
        <v>1844</v>
      </c>
      <c r="S720" s="13" t="n">
        <v>1.02</v>
      </c>
      <c r="T720" s="13" t="n">
        <v>1887</v>
      </c>
      <c r="U720" s="13" t="n">
        <v>241</v>
      </c>
      <c r="V720" s="13" t="n">
        <v>151</v>
      </c>
      <c r="W720" s="13" t="n">
        <v>53</v>
      </c>
      <c r="X720" s="13" t="n">
        <v>259</v>
      </c>
      <c r="Y720" s="13" t="n">
        <v>19</v>
      </c>
      <c r="Z720" s="13" t="n">
        <v>171</v>
      </c>
      <c r="AA720" s="13" t="n">
        <v>0.358</v>
      </c>
      <c r="AB720" s="13" t="n">
        <v>165</v>
      </c>
      <c r="AC720" s="13" t="n">
        <v>103</v>
      </c>
      <c r="AD720" s="13" t="n">
        <v>94</v>
      </c>
      <c r="AE720" s="13" t="n">
        <v>9</v>
      </c>
      <c r="AF720" s="13" t="n">
        <v>11.1</v>
      </c>
      <c r="AG720" s="11" t="inlineStr">
        <is>
          <t xml:space="preserve"> Resort Freeride</t>
        </is>
      </c>
      <c r="AH720" s="13" t="n"/>
      <c r="AI720" s="13" t="n"/>
      <c r="AJ720" s="13" t="n"/>
      <c r="AK720" s="42" t="n"/>
    </row>
    <row r="721">
      <c r="E721" s="40" t="inlineStr">
        <is>
          <t>21/22</t>
        </is>
      </c>
      <c r="F721" s="10" t="inlineStr">
        <is>
          <t xml:space="preserve"> Faction</t>
        </is>
      </c>
      <c r="G721" s="11" t="inlineStr">
        <is>
          <t>Dictator 2.0 X</t>
        </is>
      </c>
      <c r="H721" s="13" t="n">
        <v>163</v>
      </c>
      <c r="I721" s="11" t="inlineStr">
        <is>
          <t xml:space="preserve"> Women's</t>
        </is>
      </c>
      <c r="J721" s="13" t="n">
        <v>163</v>
      </c>
      <c r="K721" s="13" t="n">
        <v>161.6</v>
      </c>
      <c r="L721" s="13" t="n">
        <v>119</v>
      </c>
      <c r="M721" s="13" t="n">
        <v>134</v>
      </c>
      <c r="N721" s="13" t="n">
        <v>127</v>
      </c>
      <c r="O721" s="13" t="n">
        <v>96</v>
      </c>
      <c r="P721" s="13" t="n">
        <v>117</v>
      </c>
      <c r="Q721" s="13" t="n">
        <v>15.4</v>
      </c>
      <c r="R721" s="13" t="n">
        <v>1753</v>
      </c>
      <c r="S721" s="13" t="n">
        <v>0.98</v>
      </c>
      <c r="T721" s="13" t="n">
        <v>1719</v>
      </c>
      <c r="U721" s="13" t="n">
        <v>197</v>
      </c>
      <c r="V721" s="13" t="n">
        <v>122</v>
      </c>
      <c r="W721" s="13" t="n">
        <v>54</v>
      </c>
      <c r="X721" s="13" t="n">
        <v>252</v>
      </c>
      <c r="Y721" s="13" t="n">
        <v>20</v>
      </c>
      <c r="Z721" s="13" t="n">
        <v>170</v>
      </c>
      <c r="AA721" s="13" t="n">
        <v>0.377</v>
      </c>
      <c r="AB721" s="13" t="n">
        <v>168</v>
      </c>
      <c r="AC721" s="13" t="n">
        <v>108</v>
      </c>
      <c r="AD721" s="13" t="n">
        <v>84</v>
      </c>
      <c r="AE721" s="13" t="n">
        <v>5</v>
      </c>
      <c r="AF721" s="13" t="n">
        <v>10.4</v>
      </c>
      <c r="AG721" s="11" t="inlineStr">
        <is>
          <t xml:space="preserve"> Resort Freeride</t>
        </is>
      </c>
      <c r="AH721" s="13" t="n"/>
      <c r="AI721" s="13" t="n"/>
      <c r="AJ721" s="13" t="n"/>
      <c r="AK721" s="42" t="n"/>
    </row>
    <row r="722">
      <c r="E722" s="40" t="inlineStr">
        <is>
          <t>21/22</t>
        </is>
      </c>
      <c r="F722" s="10" t="inlineStr">
        <is>
          <t xml:space="preserve"> Faction</t>
        </is>
      </c>
      <c r="G722" s="11" t="inlineStr">
        <is>
          <t>Dictator 3.0</t>
        </is>
      </c>
      <c r="H722" s="13" t="n">
        <v>172</v>
      </c>
      <c r="I722" s="11" t="inlineStr">
        <is>
          <t xml:space="preserve"> Unisex</t>
        </is>
      </c>
      <c r="J722" s="13" t="n">
        <v>172</v>
      </c>
      <c r="K722" s="13" t="n">
        <v>170.3</v>
      </c>
      <c r="L722" s="13" t="n">
        <v>117</v>
      </c>
      <c r="M722" s="13" t="n">
        <v>139</v>
      </c>
      <c r="N722" s="13" t="n">
        <v>133</v>
      </c>
      <c r="O722" s="13" t="n">
        <v>106</v>
      </c>
      <c r="P722" s="13" t="n">
        <v>124</v>
      </c>
      <c r="Q722" s="13" t="n">
        <v>18.9</v>
      </c>
      <c r="R722" s="13" t="n">
        <v>1898</v>
      </c>
      <c r="S722" s="13" t="n">
        <v>1.03</v>
      </c>
      <c r="T722" s="13" t="n">
        <v>1959</v>
      </c>
      <c r="U722" s="13" t="n">
        <v>210</v>
      </c>
      <c r="V722" s="13" t="n">
        <v>136</v>
      </c>
      <c r="W722" s="13" t="n">
        <v>63</v>
      </c>
      <c r="X722" s="13" t="n">
        <v>325</v>
      </c>
      <c r="Y722" s="13" t="n">
        <v>22</v>
      </c>
      <c r="Z722" s="13" t="n">
        <v>212</v>
      </c>
      <c r="AA722" s="13" t="n">
        <v>0.354</v>
      </c>
      <c r="AB722" s="13" t="n">
        <v>186</v>
      </c>
      <c r="AC722" s="13" t="n">
        <v>124</v>
      </c>
      <c r="AD722" s="13" t="n">
        <v>138</v>
      </c>
      <c r="AE722" s="13" t="n">
        <v>4</v>
      </c>
      <c r="AF722" s="13" t="n">
        <v>10.8</v>
      </c>
      <c r="AG722" s="11" t="inlineStr">
        <is>
          <t xml:space="preserve"> Powder</t>
        </is>
      </c>
      <c r="AH722" s="11" t="inlineStr">
        <is>
          <t xml:space="preserve"> Big Mountain</t>
        </is>
      </c>
      <c r="AI722" s="13" t="n"/>
      <c r="AJ722" s="13" t="n"/>
      <c r="AK722" s="42" t="n"/>
    </row>
    <row r="723">
      <c r="E723" s="40" t="inlineStr">
        <is>
          <t>21/22</t>
        </is>
      </c>
      <c r="F723" s="10" t="inlineStr">
        <is>
          <t xml:space="preserve"> Faction</t>
        </is>
      </c>
      <c r="G723" s="11" t="inlineStr">
        <is>
          <t>Dictator 3.0</t>
        </is>
      </c>
      <c r="H723" s="13" t="n">
        <v>180</v>
      </c>
      <c r="I723" s="11" t="inlineStr">
        <is>
          <t xml:space="preserve"> Unisex</t>
        </is>
      </c>
      <c r="J723" s="13" t="n">
        <v>180</v>
      </c>
      <c r="K723" s="13" t="n">
        <v>178.8</v>
      </c>
      <c r="L723" s="13" t="n">
        <v>130</v>
      </c>
      <c r="M723" s="13" t="n">
        <v>150</v>
      </c>
      <c r="N723" s="13" t="n">
        <v>134</v>
      </c>
      <c r="O723" s="13" t="n">
        <v>106</v>
      </c>
      <c r="P723" s="13" t="n">
        <v>123</v>
      </c>
      <c r="Q723" s="13" t="n">
        <v>21.1</v>
      </c>
      <c r="R723" s="13" t="n">
        <v>2041</v>
      </c>
      <c r="S723" s="13" t="n">
        <v>1.01</v>
      </c>
      <c r="T723" s="13" t="n">
        <v>2057</v>
      </c>
      <c r="U723" s="13" t="n">
        <v>234</v>
      </c>
      <c r="V723" s="13" t="n">
        <v>148</v>
      </c>
      <c r="W723" s="13" t="n">
        <v>56</v>
      </c>
      <c r="X723" s="13" t="n">
        <v>290</v>
      </c>
      <c r="Y723" s="13" t="n">
        <v>20</v>
      </c>
      <c r="Z723" s="13" t="n">
        <v>198</v>
      </c>
      <c r="AA723" s="13" t="n">
        <v>0.352</v>
      </c>
      <c r="AB723" s="13" t="n">
        <v>182</v>
      </c>
      <c r="AC723" s="13" t="n">
        <v>110</v>
      </c>
      <c r="AD723" s="13" t="n">
        <v>108</v>
      </c>
      <c r="AE723" s="13" t="n">
        <v>7</v>
      </c>
      <c r="AF723" s="13" t="n">
        <v>11.1</v>
      </c>
      <c r="AG723" s="11" t="inlineStr">
        <is>
          <t xml:space="preserve"> Powder</t>
        </is>
      </c>
      <c r="AH723" s="11" t="inlineStr">
        <is>
          <t xml:space="preserve"> Big Mountain</t>
        </is>
      </c>
      <c r="AI723" s="13" t="n"/>
      <c r="AJ723" s="13" t="n"/>
      <c r="AK723" s="42" t="n"/>
    </row>
    <row r="724">
      <c r="E724" s="40" t="inlineStr">
        <is>
          <t>21/22</t>
        </is>
      </c>
      <c r="F724" s="10" t="inlineStr">
        <is>
          <t xml:space="preserve"> Faction</t>
        </is>
      </c>
      <c r="G724" s="11" t="inlineStr">
        <is>
          <t>Dictator FG 1.0</t>
        </is>
      </c>
      <c r="H724" s="13" t="n">
        <v>154</v>
      </c>
      <c r="I724" s="11" t="inlineStr">
        <is>
          <t xml:space="preserve"> Unisex</t>
        </is>
      </c>
      <c r="J724" s="13" t="n">
        <v>154</v>
      </c>
      <c r="K724" s="13" t="n">
        <v>152.3</v>
      </c>
      <c r="L724" s="13" t="n">
        <v>118</v>
      </c>
      <c r="M724" s="13" t="n">
        <v>128</v>
      </c>
      <c r="N724" s="13" t="n">
        <v>119</v>
      </c>
      <c r="O724" s="13" t="n">
        <v>85</v>
      </c>
      <c r="P724" s="13" t="n">
        <v>109</v>
      </c>
      <c r="Q724" s="13" t="n">
        <v>13.2</v>
      </c>
      <c r="R724" s="13" t="n">
        <v>1380</v>
      </c>
      <c r="S724" s="13" t="n">
        <v>1.07</v>
      </c>
      <c r="T724" s="13" t="n">
        <v>1471</v>
      </c>
      <c r="U724" s="13" t="n">
        <v>144</v>
      </c>
      <c r="V724" s="13" t="n">
        <v>66</v>
      </c>
      <c r="W724" s="13" t="n">
        <v>48</v>
      </c>
      <c r="X724" s="13" t="n">
        <v>211</v>
      </c>
      <c r="Y724" s="13" t="n">
        <v>18</v>
      </c>
      <c r="Z724" s="13" t="n">
        <v>132</v>
      </c>
      <c r="AA724" s="13" t="n">
        <v>0.382</v>
      </c>
      <c r="AB724" s="13" t="n">
        <v>151</v>
      </c>
      <c r="AC724" s="13" t="n">
        <v>95</v>
      </c>
      <c r="AD724" s="13" t="n">
        <v>59</v>
      </c>
      <c r="AE724" s="13" t="n">
        <v>10</v>
      </c>
      <c r="AF724" s="13" t="n">
        <v>9.1</v>
      </c>
      <c r="AG724" s="11" t="inlineStr">
        <is>
          <t xml:space="preserve"> On-Piste All-Mountain</t>
        </is>
      </c>
      <c r="AH724" s="11" t="inlineStr">
        <is>
          <t xml:space="preserve"> Resort Freeride</t>
        </is>
      </c>
      <c r="AI724" s="11" t="inlineStr">
        <is>
          <t xml:space="preserve"> Touring</t>
        </is>
      </c>
      <c r="AJ724" s="13" t="n"/>
      <c r="AK724" s="42" t="n"/>
    </row>
    <row r="725">
      <c r="E725" s="40" t="inlineStr">
        <is>
          <t>21/22</t>
        </is>
      </c>
      <c r="F725" s="10" t="inlineStr">
        <is>
          <t xml:space="preserve"> Faction</t>
        </is>
      </c>
      <c r="G725" s="11" t="inlineStr">
        <is>
          <t>Dictator FG 1.0</t>
        </is>
      </c>
      <c r="H725" s="13" t="n">
        <v>162</v>
      </c>
      <c r="I725" s="11" t="inlineStr">
        <is>
          <t xml:space="preserve"> Unisex</t>
        </is>
      </c>
      <c r="J725" s="13" t="n">
        <v>162</v>
      </c>
      <c r="K725" s="13" t="n">
        <v>160.4</v>
      </c>
      <c r="L725" s="13" t="n">
        <v>125</v>
      </c>
      <c r="M725" s="13" t="n">
        <v>136</v>
      </c>
      <c r="N725" s="13" t="n">
        <v>119</v>
      </c>
      <c r="O725" s="13" t="n">
        <v>85</v>
      </c>
      <c r="P725" s="13" t="n">
        <v>109</v>
      </c>
      <c r="Q725" s="13" t="n">
        <v>14.9</v>
      </c>
      <c r="R725" s="13" t="n">
        <v>1438</v>
      </c>
      <c r="S725" s="13" t="n">
        <v>1.08</v>
      </c>
      <c r="T725" s="13" t="n">
        <v>1548</v>
      </c>
      <c r="U725" s="13" t="n">
        <v>156</v>
      </c>
      <c r="V725" s="13" t="n">
        <v>73</v>
      </c>
      <c r="W725" s="13" t="n">
        <v>52</v>
      </c>
      <c r="X725" s="13" t="n">
        <v>219</v>
      </c>
      <c r="Y725" s="13" t="n">
        <v>18</v>
      </c>
      <c r="Z725" s="13" t="n">
        <v>137</v>
      </c>
      <c r="AA725" s="13" t="n">
        <v>0.337</v>
      </c>
      <c r="AB725" s="13" t="n">
        <v>152</v>
      </c>
      <c r="AC725" s="13" t="n">
        <v>96</v>
      </c>
      <c r="AD725" s="13" t="n">
        <v>67</v>
      </c>
      <c r="AE725" s="13" t="n">
        <v>9</v>
      </c>
      <c r="AF725" s="13" t="n">
        <v>9.5</v>
      </c>
      <c r="AG725" s="11" t="inlineStr">
        <is>
          <t xml:space="preserve"> On-Piste All-Mountain</t>
        </is>
      </c>
      <c r="AH725" s="11" t="inlineStr">
        <is>
          <t xml:space="preserve"> Resort Freeride</t>
        </is>
      </c>
      <c r="AI725" s="11" t="inlineStr">
        <is>
          <t xml:space="preserve"> Touring</t>
        </is>
      </c>
      <c r="AJ725" s="13" t="n"/>
      <c r="AK725" s="42" t="n"/>
    </row>
    <row r="726">
      <c r="E726" s="40" t="inlineStr">
        <is>
          <t>21/22</t>
        </is>
      </c>
      <c r="F726" s="10" t="inlineStr">
        <is>
          <t xml:space="preserve"> Faction</t>
        </is>
      </c>
      <c r="G726" s="11" t="inlineStr">
        <is>
          <t>Dictator FG 1.0</t>
        </is>
      </c>
      <c r="H726" s="13" t="n">
        <v>178</v>
      </c>
      <c r="I726" s="11" t="inlineStr">
        <is>
          <t xml:space="preserve"> Unisex</t>
        </is>
      </c>
      <c r="J726" s="13" t="n">
        <v>178</v>
      </c>
      <c r="K726" s="13" t="n">
        <v>176.5</v>
      </c>
      <c r="L726" s="13" t="n">
        <v>139</v>
      </c>
      <c r="M726" s="13" t="n">
        <v>151</v>
      </c>
      <c r="N726" s="13" t="n">
        <v>119</v>
      </c>
      <c r="O726" s="13" t="n">
        <v>85</v>
      </c>
      <c r="P726" s="13" t="n">
        <v>109</v>
      </c>
      <c r="Q726" s="13" t="n">
        <v>18.8</v>
      </c>
      <c r="R726" s="13" t="n">
        <v>1648</v>
      </c>
      <c r="S726" s="13" t="n">
        <v>1.03</v>
      </c>
      <c r="T726" s="13" t="n">
        <v>1703</v>
      </c>
      <c r="U726" s="13" t="n">
        <v>216</v>
      </c>
      <c r="V726" s="13" t="n">
        <v>96</v>
      </c>
      <c r="W726" s="13" t="n">
        <v>48</v>
      </c>
      <c r="X726" s="13" t="n">
        <v>226</v>
      </c>
      <c r="Y726" s="13" t="n">
        <v>17</v>
      </c>
      <c r="Z726" s="13" t="n">
        <v>146</v>
      </c>
      <c r="AA726" s="13" t="n">
        <v>0.345</v>
      </c>
      <c r="AB726" s="13" t="n">
        <v>157</v>
      </c>
      <c r="AC726" s="13" t="n">
        <v>97</v>
      </c>
      <c r="AD726" s="13" t="n">
        <v>69</v>
      </c>
      <c r="AE726" s="13" t="n">
        <v>9</v>
      </c>
      <c r="AF726" s="13" t="n">
        <v>10.3</v>
      </c>
      <c r="AG726" s="11" t="inlineStr">
        <is>
          <t xml:space="preserve"> On-Piste All-Mountain</t>
        </is>
      </c>
      <c r="AH726" s="11" t="inlineStr">
        <is>
          <t xml:space="preserve"> Resort Freeride</t>
        </is>
      </c>
      <c r="AI726" s="13" t="n"/>
      <c r="AJ726" s="13" t="n"/>
      <c r="AK726" s="42" t="n"/>
    </row>
    <row r="727">
      <c r="E727" s="40" t="inlineStr">
        <is>
          <t>21/22</t>
        </is>
      </c>
      <c r="F727" s="10" t="inlineStr">
        <is>
          <t xml:space="preserve"> Faction</t>
        </is>
      </c>
      <c r="G727" s="11" t="inlineStr">
        <is>
          <t>Dictator FG 2.0</t>
        </is>
      </c>
      <c r="H727" s="13" t="n">
        <v>171</v>
      </c>
      <c r="I727" s="11" t="inlineStr">
        <is>
          <t xml:space="preserve"> Unisex</t>
        </is>
      </c>
      <c r="J727" s="13" t="n">
        <v>171</v>
      </c>
      <c r="K727" s="13" t="n">
        <v>169.4</v>
      </c>
      <c r="L727" s="13" t="n">
        <v>127</v>
      </c>
      <c r="M727" s="13" t="n">
        <v>142</v>
      </c>
      <c r="N727" s="13" t="n">
        <v>126</v>
      </c>
      <c r="O727" s="13" t="n">
        <v>94</v>
      </c>
      <c r="P727" s="13" t="n">
        <v>116</v>
      </c>
      <c r="Q727" s="13" t="n">
        <v>17.4</v>
      </c>
      <c r="R727" s="13" t="n">
        <v>1721</v>
      </c>
      <c r="S727" s="13" t="n">
        <v>1.04</v>
      </c>
      <c r="T727" s="13" t="n">
        <v>1784</v>
      </c>
      <c r="U727" s="13" t="n">
        <v>205</v>
      </c>
      <c r="V727" s="13" t="n">
        <v>87</v>
      </c>
      <c r="W727" s="13" t="n">
        <v>49</v>
      </c>
      <c r="X727" s="13" t="n">
        <v>248</v>
      </c>
      <c r="Y727" s="13" t="n">
        <v>21</v>
      </c>
      <c r="Z727" s="13" t="n">
        <v>174</v>
      </c>
      <c r="AA727" s="13" t="n">
        <v>0.424</v>
      </c>
      <c r="AB727" s="13" t="n">
        <v>172</v>
      </c>
      <c r="AC727" s="13" t="n">
        <v>107</v>
      </c>
      <c r="AD727" s="13" t="n">
        <v>76</v>
      </c>
      <c r="AE727" s="13" t="n">
        <v>9</v>
      </c>
      <c r="AF727" s="13" t="n">
        <v>10.9</v>
      </c>
      <c r="AG727" s="11" t="inlineStr">
        <is>
          <t xml:space="preserve"> Resort Freeride</t>
        </is>
      </c>
      <c r="AH727" s="13" t="n"/>
      <c r="AI727" s="13" t="n"/>
      <c r="AJ727" s="13" t="n"/>
      <c r="AK727" s="42" t="n"/>
    </row>
    <row r="728">
      <c r="E728" s="40" t="inlineStr">
        <is>
          <t>21/22</t>
        </is>
      </c>
      <c r="F728" s="10" t="inlineStr">
        <is>
          <t xml:space="preserve"> Faction</t>
        </is>
      </c>
      <c r="G728" s="11" t="inlineStr">
        <is>
          <t>Dictator FG 2.0</t>
        </is>
      </c>
      <c r="H728" s="13" t="n">
        <v>179</v>
      </c>
      <c r="I728" s="11" t="inlineStr">
        <is>
          <t xml:space="preserve"> Unisex</t>
        </is>
      </c>
      <c r="J728" s="13" t="n">
        <v>179</v>
      </c>
      <c r="K728" s="13" t="n">
        <v>177.6</v>
      </c>
      <c r="L728" s="13" t="n">
        <v>134</v>
      </c>
      <c r="M728" s="13" t="n">
        <v>150</v>
      </c>
      <c r="N728" s="13" t="n">
        <v>126</v>
      </c>
      <c r="O728" s="13" t="n">
        <v>95</v>
      </c>
      <c r="P728" s="13" t="n">
        <v>116</v>
      </c>
      <c r="Q728" s="13" t="n">
        <v>19.6</v>
      </c>
      <c r="R728" s="13" t="n">
        <v>1784</v>
      </c>
      <c r="S728" s="13" t="n">
        <v>1.05</v>
      </c>
      <c r="T728" s="13" t="n">
        <v>1869</v>
      </c>
      <c r="U728" s="13" t="n">
        <v>220</v>
      </c>
      <c r="V728" s="13" t="n">
        <v>98</v>
      </c>
      <c r="W728" s="13" t="n">
        <v>52</v>
      </c>
      <c r="X728" s="13" t="n">
        <v>269</v>
      </c>
      <c r="Y728" s="13" t="n">
        <v>19</v>
      </c>
      <c r="Z728" s="13" t="n">
        <v>171</v>
      </c>
      <c r="AA728" s="13" t="n">
        <v>0.365</v>
      </c>
      <c r="AB728" s="13" t="n">
        <v>168</v>
      </c>
      <c r="AC728" s="13" t="n">
        <v>107</v>
      </c>
      <c r="AD728" s="13" t="n">
        <v>101</v>
      </c>
      <c r="AE728" s="13" t="n">
        <v>8</v>
      </c>
      <c r="AF728" s="13" t="n">
        <v>11.3</v>
      </c>
      <c r="AG728" s="11" t="inlineStr">
        <is>
          <t xml:space="preserve"> Resort Freeride</t>
        </is>
      </c>
      <c r="AH728" s="13" t="n"/>
      <c r="AI728" s="13" t="n"/>
      <c r="AJ728" s="13" t="n"/>
      <c r="AK728" s="42" t="n"/>
    </row>
    <row r="729">
      <c r="E729" s="40" t="inlineStr">
        <is>
          <t>21/22</t>
        </is>
      </c>
      <c r="F729" s="10" t="inlineStr">
        <is>
          <t xml:space="preserve"> Faction</t>
        </is>
      </c>
      <c r="G729" s="11" t="inlineStr">
        <is>
          <t xml:space="preserve"> La Machine</t>
        </is>
      </c>
      <c r="H729" s="13" t="n">
        <v>178</v>
      </c>
      <c r="I729" s="11" t="inlineStr">
        <is>
          <t xml:space="preserve"> Unisex</t>
        </is>
      </c>
      <c r="J729" s="13" t="n">
        <v>178</v>
      </c>
      <c r="K729" s="13" t="n">
        <v>176.6</v>
      </c>
      <c r="L729" s="13" t="n">
        <v>8</v>
      </c>
      <c r="M729" s="13" t="n">
        <v>139</v>
      </c>
      <c r="N729" s="13" t="n">
        <v>147</v>
      </c>
      <c r="O729" s="13" t="n">
        <v>125</v>
      </c>
      <c r="P729" s="13" t="n">
        <v>138</v>
      </c>
      <c r="Q729" s="13" t="n">
        <v>24.8</v>
      </c>
      <c r="R729" s="13" t="n">
        <v>1739</v>
      </c>
      <c r="S729" s="13" t="n">
        <v>1.34</v>
      </c>
      <c r="T729" s="13" t="n">
        <v>2328</v>
      </c>
      <c r="U729" s="13" t="n">
        <v>213</v>
      </c>
      <c r="V729" s="13" t="n">
        <v>88</v>
      </c>
      <c r="W729" s="13" t="n">
        <v>68</v>
      </c>
      <c r="X729" s="13" t="n">
        <v>1012</v>
      </c>
      <c r="Y729" s="13" t="n">
        <v>30</v>
      </c>
      <c r="Z729" s="13" t="n">
        <v>676</v>
      </c>
      <c r="AA729" s="13" t="n">
        <v>0.445</v>
      </c>
      <c r="AB729" s="13" t="n">
        <v>224</v>
      </c>
      <c r="AC729" s="13" t="n">
        <v>151</v>
      </c>
      <c r="AD729" s="13" t="n">
        <v>788</v>
      </c>
      <c r="AE729" s="13" t="n">
        <v>1</v>
      </c>
      <c r="AF729" s="13" t="n">
        <v>12.9</v>
      </c>
      <c r="AG729" s="11" t="inlineStr">
        <is>
          <t xml:space="preserve"> Powder</t>
        </is>
      </c>
      <c r="AH729" s="11" t="inlineStr">
        <is>
          <t xml:space="preserve"> Touring</t>
        </is>
      </c>
      <c r="AI729" s="11" t="inlineStr">
        <is>
          <t xml:space="preserve"> Ultralight Touring</t>
        </is>
      </c>
      <c r="AJ729" s="13" t="n"/>
      <c r="AK729" s="42" t="n"/>
    </row>
    <row r="730">
      <c r="E730" s="40" t="inlineStr">
        <is>
          <t>21/22</t>
        </is>
      </c>
      <c r="F730" s="10" t="inlineStr">
        <is>
          <t xml:space="preserve"> Faction</t>
        </is>
      </c>
      <c r="G730" s="11" t="inlineStr">
        <is>
          <t>Prodigy 0.0</t>
        </is>
      </c>
      <c r="H730" s="13" t="n">
        <v>150</v>
      </c>
      <c r="I730" s="11" t="inlineStr">
        <is>
          <t xml:space="preserve"> Unisex</t>
        </is>
      </c>
      <c r="J730" s="13" t="n">
        <v>150</v>
      </c>
      <c r="K730" s="13" t="n">
        <v>148.1</v>
      </c>
      <c r="L730" s="13" t="n">
        <v>102</v>
      </c>
      <c r="M730" s="13" t="n">
        <v>124</v>
      </c>
      <c r="N730" s="13" t="n">
        <v>116</v>
      </c>
      <c r="O730" s="13" t="n">
        <v>84</v>
      </c>
      <c r="P730" s="13" t="n">
        <v>108</v>
      </c>
      <c r="Q730" s="13" t="n">
        <v>11.9</v>
      </c>
      <c r="R730" s="13" t="n">
        <v>1453</v>
      </c>
      <c r="S730" s="13" t="n">
        <v>0.97</v>
      </c>
      <c r="T730" s="13" t="n">
        <v>1415</v>
      </c>
      <c r="U730" s="13" t="n">
        <v>123</v>
      </c>
      <c r="V730" s="13" t="n">
        <v>54</v>
      </c>
      <c r="W730" s="13" t="n">
        <v>50</v>
      </c>
      <c r="X730" s="13" t="n">
        <v>262</v>
      </c>
      <c r="Y730" s="13" t="n">
        <v>37</v>
      </c>
      <c r="Z730" s="13" t="n">
        <v>203</v>
      </c>
      <c r="AA730" s="13" t="n">
        <v>0.743</v>
      </c>
      <c r="AB730" s="13" t="n">
        <v>131</v>
      </c>
      <c r="AC730" s="13" t="n">
        <v>112</v>
      </c>
      <c r="AD730" s="13" t="n">
        <v>130</v>
      </c>
      <c r="AE730" s="13" t="n">
        <v>5</v>
      </c>
      <c r="AF730" s="13" t="n">
        <v>5.7</v>
      </c>
      <c r="AG730" s="11" t="inlineStr">
        <is>
          <t xml:space="preserve"> Resort Freeride</t>
        </is>
      </c>
      <c r="AH730" s="13" t="n"/>
      <c r="AI730" s="13" t="n"/>
      <c r="AJ730" s="13" t="n"/>
      <c r="AK730" s="42" t="n"/>
    </row>
    <row r="731">
      <c r="E731" s="40" t="inlineStr">
        <is>
          <t>21/22</t>
        </is>
      </c>
      <c r="F731" s="10" t="inlineStr">
        <is>
          <t xml:space="preserve"> Faction</t>
        </is>
      </c>
      <c r="G731" s="11" t="inlineStr">
        <is>
          <t>Prodigy 0.0</t>
        </is>
      </c>
      <c r="H731" s="13" t="n">
        <v>157</v>
      </c>
      <c r="I731" s="11" t="inlineStr">
        <is>
          <t xml:space="preserve"> Unisex</t>
        </is>
      </c>
      <c r="J731" s="13" t="n">
        <v>157</v>
      </c>
      <c r="K731" s="13" t="n">
        <v>155.2</v>
      </c>
      <c r="L731" s="13" t="n">
        <v>108</v>
      </c>
      <c r="M731" s="13" t="n">
        <v>130</v>
      </c>
      <c r="N731" s="13" t="n">
        <v>116</v>
      </c>
      <c r="O731" s="13" t="n">
        <v>84</v>
      </c>
      <c r="P731" s="13" t="n">
        <v>108</v>
      </c>
      <c r="Q731" s="13" t="n">
        <v>13.3</v>
      </c>
      <c r="R731" s="13" t="n">
        <v>1553</v>
      </c>
      <c r="S731" s="13" t="n">
        <v>0.95</v>
      </c>
      <c r="T731" s="13" t="n">
        <v>1480</v>
      </c>
      <c r="U731" s="13" t="n">
        <v>127</v>
      </c>
      <c r="V731" s="13" t="n">
        <v>59</v>
      </c>
      <c r="W731" s="13" t="n">
        <v>47</v>
      </c>
      <c r="X731" s="13" t="n">
        <v>262</v>
      </c>
      <c r="Y731" s="13" t="n">
        <v>36</v>
      </c>
      <c r="Z731" s="13" t="n">
        <v>208</v>
      </c>
      <c r="AA731" s="13" t="n">
        <v>0.763</v>
      </c>
      <c r="AB731" s="13" t="n">
        <v>131</v>
      </c>
      <c r="AC731" s="13" t="n">
        <v>120</v>
      </c>
      <c r="AD731" s="13" t="n">
        <v>131</v>
      </c>
      <c r="AE731" s="13" t="n">
        <v>6</v>
      </c>
      <c r="AF731" s="13" t="n">
        <v>6.4</v>
      </c>
      <c r="AG731" s="11" t="inlineStr">
        <is>
          <t xml:space="preserve"> Resort Freeride</t>
        </is>
      </c>
      <c r="AH731" s="13" t="n"/>
      <c r="AI731" s="13" t="n"/>
      <c r="AJ731" s="13" t="n"/>
      <c r="AK731" s="42" t="n"/>
    </row>
    <row r="732">
      <c r="E732" s="40" t="inlineStr">
        <is>
          <t>21/22</t>
        </is>
      </c>
      <c r="F732" s="10" t="inlineStr">
        <is>
          <t xml:space="preserve"> Faction</t>
        </is>
      </c>
      <c r="G732" s="11" t="inlineStr">
        <is>
          <t>Prodigy 0.0</t>
        </is>
      </c>
      <c r="H732" s="13" t="n">
        <v>164</v>
      </c>
      <c r="I732" s="11" t="inlineStr">
        <is>
          <t xml:space="preserve"> Unisex</t>
        </is>
      </c>
      <c r="J732" s="13" t="n">
        <v>164</v>
      </c>
      <c r="K732" s="13" t="n">
        <v>162.5</v>
      </c>
      <c r="L732" s="13" t="n">
        <v>112</v>
      </c>
      <c r="M732" s="13" t="n">
        <v>138</v>
      </c>
      <c r="N732" s="13" t="n">
        <v>117</v>
      </c>
      <c r="O732" s="13" t="n">
        <v>84</v>
      </c>
      <c r="P732" s="13" t="n">
        <v>109</v>
      </c>
      <c r="Q732" s="13" t="n">
        <v>14.7</v>
      </c>
      <c r="R732" s="13" t="n">
        <v>1659</v>
      </c>
      <c r="S732" s="13" t="n">
        <v>0.9399999999999999</v>
      </c>
      <c r="T732" s="13" t="n">
        <v>1559</v>
      </c>
      <c r="U732" s="13" t="n">
        <v>152</v>
      </c>
      <c r="V732" s="13" t="n">
        <v>69</v>
      </c>
      <c r="W732" s="13" t="n">
        <v>49</v>
      </c>
      <c r="X732" s="13" t="n">
        <v>282</v>
      </c>
      <c r="Y732" s="13" t="n">
        <v>36</v>
      </c>
      <c r="Z732" s="13" t="n">
        <v>221</v>
      </c>
      <c r="AA732" s="13" t="n">
        <v>0.728</v>
      </c>
      <c r="AB732" s="13" t="n">
        <v>136</v>
      </c>
      <c r="AC732" s="13" t="n">
        <v>114</v>
      </c>
      <c r="AD732" s="13" t="n">
        <v>146</v>
      </c>
      <c r="AE732" s="13" t="n">
        <v>5</v>
      </c>
      <c r="AF732" s="13" t="n">
        <v>6.9</v>
      </c>
      <c r="AG732" s="11" t="inlineStr">
        <is>
          <t xml:space="preserve"> Resort Freeride</t>
        </is>
      </c>
      <c r="AH732" s="13" t="n"/>
      <c r="AI732" s="13" t="n"/>
      <c r="AJ732" s="13" t="n"/>
      <c r="AK732" s="42" t="n"/>
    </row>
    <row r="733">
      <c r="E733" s="40" t="inlineStr">
        <is>
          <t>21/22</t>
        </is>
      </c>
      <c r="F733" s="10" t="inlineStr">
        <is>
          <t xml:space="preserve"> Faction</t>
        </is>
      </c>
      <c r="G733" s="11" t="inlineStr">
        <is>
          <t>Prodigy 0.0</t>
        </is>
      </c>
      <c r="H733" s="13" t="n">
        <v>171</v>
      </c>
      <c r="I733" s="11" t="inlineStr">
        <is>
          <t xml:space="preserve"> Unisex</t>
        </is>
      </c>
      <c r="J733" s="13" t="n">
        <v>171</v>
      </c>
      <c r="K733" s="13" t="n">
        <v>169.5</v>
      </c>
      <c r="L733" s="13" t="n">
        <v>120</v>
      </c>
      <c r="M733" s="13" t="n">
        <v>143</v>
      </c>
      <c r="N733" s="13" t="n">
        <v>116</v>
      </c>
      <c r="O733" s="13" t="n">
        <v>84</v>
      </c>
      <c r="P733" s="13" t="n">
        <v>108</v>
      </c>
      <c r="Q733" s="13" t="n">
        <v>16.4</v>
      </c>
      <c r="R733" s="13" t="n">
        <v>1766</v>
      </c>
      <c r="S733" s="13" t="n">
        <v>0.91</v>
      </c>
      <c r="T733" s="13" t="n">
        <v>1614</v>
      </c>
      <c r="U733" s="13" t="n">
        <v>176</v>
      </c>
      <c r="V733" s="13" t="n">
        <v>81</v>
      </c>
      <c r="W733" s="13" t="n">
        <v>47</v>
      </c>
      <c r="X733" s="13" t="n">
        <v>281</v>
      </c>
      <c r="Y733" s="13" t="n">
        <v>35</v>
      </c>
      <c r="Z733" s="13" t="n">
        <v>209</v>
      </c>
      <c r="AA733" s="13" t="n">
        <v>0.745</v>
      </c>
      <c r="AB733" s="13" t="n">
        <v>145</v>
      </c>
      <c r="AC733" s="13" t="n">
        <v>118</v>
      </c>
      <c r="AD733" s="13" t="n">
        <v>136</v>
      </c>
      <c r="AE733" s="13" t="n">
        <v>9</v>
      </c>
      <c r="AF733" s="13" t="n">
        <v>6.9</v>
      </c>
      <c r="AG733" s="11" t="inlineStr">
        <is>
          <t xml:space="preserve"> Resort Freeride</t>
        </is>
      </c>
      <c r="AH733" s="13" t="n"/>
      <c r="AI733" s="13" t="n"/>
      <c r="AJ733" s="13" t="n"/>
      <c r="AK733" s="42" t="n"/>
    </row>
    <row r="734">
      <c r="E734" s="40" t="inlineStr">
        <is>
          <t>21/22</t>
        </is>
      </c>
      <c r="F734" s="10" t="inlineStr">
        <is>
          <t xml:space="preserve"> Faction</t>
        </is>
      </c>
      <c r="G734" s="11" t="inlineStr">
        <is>
          <t>Prodigy 0.0 X</t>
        </is>
      </c>
      <c r="H734" s="13" t="n">
        <v>150</v>
      </c>
      <c r="I734" s="11" t="inlineStr">
        <is>
          <t xml:space="preserve"> Women's</t>
        </is>
      </c>
      <c r="J734" s="13" t="n">
        <v>150</v>
      </c>
      <c r="K734" s="13" t="n">
        <v>148</v>
      </c>
      <c r="L734" s="13" t="n">
        <v>104</v>
      </c>
      <c r="M734" s="13" t="n">
        <v>122</v>
      </c>
      <c r="N734" s="13" t="n">
        <v>116</v>
      </c>
      <c r="O734" s="13" t="n">
        <v>84</v>
      </c>
      <c r="P734" s="13" t="n">
        <v>108</v>
      </c>
      <c r="Q734" s="13" t="n">
        <v>11.9</v>
      </c>
      <c r="R734" s="13" t="n">
        <v>1451</v>
      </c>
      <c r="S734" s="13" t="n">
        <v>0.98</v>
      </c>
      <c r="T734" s="13" t="n">
        <v>1416</v>
      </c>
      <c r="U734" s="13" t="n">
        <v>124</v>
      </c>
      <c r="V734" s="13" t="n">
        <v>51</v>
      </c>
      <c r="W734" s="13" t="n">
        <v>46</v>
      </c>
      <c r="X734" s="13" t="n">
        <v>243</v>
      </c>
      <c r="Y734" s="13" t="n">
        <v>38</v>
      </c>
      <c r="Z734" s="13" t="n">
        <v>194</v>
      </c>
      <c r="AA734" s="13" t="n">
        <v>0.8139999999999999</v>
      </c>
      <c r="AB734" s="13" t="n">
        <v>135</v>
      </c>
      <c r="AC734" s="13" t="n">
        <v>122</v>
      </c>
      <c r="AD734" s="13" t="n">
        <v>108</v>
      </c>
      <c r="AE734" s="13" t="n">
        <v>8</v>
      </c>
      <c r="AF734" s="13" t="n">
        <v>6.4</v>
      </c>
      <c r="AG734" s="11" t="inlineStr">
        <is>
          <t xml:space="preserve"> Resort Freeride</t>
        </is>
      </c>
      <c r="AH734" s="11" t="inlineStr">
        <is>
          <t xml:space="preserve"> Freeski</t>
        </is>
      </c>
      <c r="AI734" s="13" t="n"/>
      <c r="AJ734" s="13" t="n"/>
      <c r="AK734" s="42" t="n"/>
    </row>
    <row r="735">
      <c r="E735" s="40" t="inlineStr">
        <is>
          <t>21/22</t>
        </is>
      </c>
      <c r="F735" s="10" t="inlineStr">
        <is>
          <t xml:space="preserve"> Faction</t>
        </is>
      </c>
      <c r="G735" s="11" t="inlineStr">
        <is>
          <t>Prodigy 1.0</t>
        </is>
      </c>
      <c r="H735" s="13" t="n">
        <v>164</v>
      </c>
      <c r="I735" s="11" t="inlineStr">
        <is>
          <t xml:space="preserve"> Unisex</t>
        </is>
      </c>
      <c r="J735" s="13" t="n">
        <v>164</v>
      </c>
      <c r="K735" s="13" t="n">
        <v>161.9</v>
      </c>
      <c r="L735" s="13" t="n">
        <v>117</v>
      </c>
      <c r="M735" s="13" t="n">
        <v>136</v>
      </c>
      <c r="N735" s="13" t="n">
        <v>119</v>
      </c>
      <c r="O735" s="13" t="n">
        <v>87</v>
      </c>
      <c r="P735" s="13" t="n">
        <v>112</v>
      </c>
      <c r="Q735" s="13" t="n">
        <v>14.6</v>
      </c>
      <c r="R735" s="13" t="n">
        <v>1587</v>
      </c>
      <c r="S735" s="13" t="n">
        <v>1.01</v>
      </c>
      <c r="T735" s="13" t="n">
        <v>1604</v>
      </c>
      <c r="U735" s="13" t="n">
        <v>170</v>
      </c>
      <c r="V735" s="13" t="n">
        <v>70</v>
      </c>
      <c r="W735" s="13" t="n">
        <v>53</v>
      </c>
      <c r="X735" s="13" t="n">
        <v>265</v>
      </c>
      <c r="Y735" s="13" t="n">
        <v>38</v>
      </c>
      <c r="Z735" s="13" t="n">
        <v>188</v>
      </c>
      <c r="AA735" s="13" t="n">
        <v>0.705</v>
      </c>
      <c r="AB735" s="13" t="n">
        <v>134</v>
      </c>
      <c r="AC735" s="13" t="n">
        <v>126</v>
      </c>
      <c r="AD735" s="13" t="n">
        <v>131</v>
      </c>
      <c r="AE735" s="13" t="n">
        <v>9</v>
      </c>
      <c r="AF735" s="13" t="n">
        <v>6.5</v>
      </c>
      <c r="AG735" s="11" t="inlineStr">
        <is>
          <t xml:space="preserve"> Resort Freeride</t>
        </is>
      </c>
      <c r="AH735" s="13" t="n"/>
      <c r="AI735" s="13" t="n"/>
      <c r="AJ735" s="13" t="n"/>
      <c r="AK735" s="42" t="n"/>
    </row>
    <row r="736">
      <c r="E736" s="40" t="inlineStr">
        <is>
          <t>21/22</t>
        </is>
      </c>
      <c r="F736" s="10" t="inlineStr">
        <is>
          <t xml:space="preserve"> Faction</t>
        </is>
      </c>
      <c r="G736" s="11" t="inlineStr">
        <is>
          <t>Prodigy 1.0</t>
        </is>
      </c>
      <c r="H736" s="13" t="n">
        <v>171</v>
      </c>
      <c r="I736" s="11" t="inlineStr">
        <is>
          <t xml:space="preserve"> Unisex</t>
        </is>
      </c>
      <c r="J736" s="13" t="n">
        <v>171</v>
      </c>
      <c r="K736" s="13" t="n">
        <v>169.3</v>
      </c>
      <c r="L736" s="13" t="n">
        <v>121</v>
      </c>
      <c r="M736" s="13" t="n">
        <v>142</v>
      </c>
      <c r="N736" s="13" t="n">
        <v>120</v>
      </c>
      <c r="O736" s="13" t="n">
        <v>87</v>
      </c>
      <c r="P736" s="13" t="n">
        <v>112</v>
      </c>
      <c r="Q736" s="13" t="n">
        <v>16.3</v>
      </c>
      <c r="R736" s="13" t="n">
        <v>1794</v>
      </c>
      <c r="S736" s="13" t="n">
        <v>0.93</v>
      </c>
      <c r="T736" s="13" t="n">
        <v>1674</v>
      </c>
      <c r="U736" s="13" t="n">
        <v>185</v>
      </c>
      <c r="V736" s="13" t="n">
        <v>87</v>
      </c>
      <c r="W736" s="13" t="n">
        <v>53</v>
      </c>
      <c r="X736" s="13" t="n">
        <v>277</v>
      </c>
      <c r="Y736" s="13" t="n">
        <v>38</v>
      </c>
      <c r="Z736" s="13" t="n">
        <v>203</v>
      </c>
      <c r="AA736" s="13" t="n">
        <v>0.726</v>
      </c>
      <c r="AB736" s="13" t="n">
        <v>147</v>
      </c>
      <c r="AC736" s="13" t="n">
        <v>122</v>
      </c>
      <c r="AD736" s="13" t="n">
        <v>129</v>
      </c>
      <c r="AE736" s="13" t="n">
        <v>7</v>
      </c>
      <c r="AF736" s="13" t="n">
        <v>7.1</v>
      </c>
      <c r="AG736" s="11" t="inlineStr">
        <is>
          <t xml:space="preserve"> Resort Freeride</t>
        </is>
      </c>
      <c r="AH736" s="13" t="n"/>
      <c r="AI736" s="13" t="n"/>
      <c r="AJ736" s="13" t="n"/>
      <c r="AK736" s="42" t="n"/>
    </row>
    <row r="737">
      <c r="E737" s="40" t="inlineStr">
        <is>
          <t>21/22</t>
        </is>
      </c>
      <c r="F737" s="10" t="inlineStr">
        <is>
          <t xml:space="preserve"> Faction</t>
        </is>
      </c>
      <c r="G737" s="11" t="inlineStr">
        <is>
          <t>Prodigy 1.0</t>
        </is>
      </c>
      <c r="H737" s="13" t="n">
        <v>178</v>
      </c>
      <c r="I737" s="11" t="inlineStr">
        <is>
          <t xml:space="preserve"> Unisex</t>
        </is>
      </c>
      <c r="J737" s="13" t="n">
        <v>178</v>
      </c>
      <c r="K737" s="13" t="n">
        <v>176.4</v>
      </c>
      <c r="L737" s="13" t="n">
        <v>135</v>
      </c>
      <c r="M737" s="13" t="n">
        <v>149</v>
      </c>
      <c r="N737" s="13" t="n">
        <v>120</v>
      </c>
      <c r="O737" s="13" t="n">
        <v>88</v>
      </c>
      <c r="P737" s="13" t="n">
        <v>112</v>
      </c>
      <c r="Q737" s="13" t="n">
        <v>17.9</v>
      </c>
      <c r="R737" s="13" t="n">
        <v>1894</v>
      </c>
      <c r="S737" s="13" t="n">
        <v>0.92</v>
      </c>
      <c r="T737" s="13" t="n">
        <v>1751</v>
      </c>
      <c r="U737" s="13" t="n">
        <v>201</v>
      </c>
      <c r="V737" s="13" t="n">
        <v>88</v>
      </c>
      <c r="W737" s="13" t="n">
        <v>43</v>
      </c>
      <c r="X737" s="13" t="n">
        <v>223</v>
      </c>
      <c r="Y737" s="13" t="n">
        <v>36</v>
      </c>
      <c r="Z737" s="13" t="n">
        <v>187</v>
      </c>
      <c r="AA737" s="13" t="n">
        <v>0.836</v>
      </c>
      <c r="AB737" s="13" t="n">
        <v>145</v>
      </c>
      <c r="AC737" s="13" t="n">
        <v>124</v>
      </c>
      <c r="AD737" s="13" t="n">
        <v>78</v>
      </c>
      <c r="AE737" s="13" t="n">
        <v>14</v>
      </c>
      <c r="AF737" s="13" t="n">
        <v>7.7</v>
      </c>
      <c r="AG737" s="11" t="inlineStr">
        <is>
          <t xml:space="preserve"> Resort Freeride</t>
        </is>
      </c>
      <c r="AH737" s="11" t="inlineStr">
        <is>
          <t xml:space="preserve"> Freeski</t>
        </is>
      </c>
      <c r="AI737" s="13" t="n"/>
      <c r="AJ737" s="13" t="n"/>
      <c r="AK737" s="42" t="n"/>
    </row>
    <row r="738">
      <c r="E738" s="40" t="inlineStr">
        <is>
          <t>21/22</t>
        </is>
      </c>
      <c r="F738" s="10" t="inlineStr">
        <is>
          <t xml:space="preserve"> Faction</t>
        </is>
      </c>
      <c r="G738" s="11" t="inlineStr">
        <is>
          <t>Prodigy 1.0 Jr</t>
        </is>
      </c>
      <c r="H738" s="13" t="n">
        <v>145</v>
      </c>
      <c r="I738" s="11" t="inlineStr">
        <is>
          <t xml:space="preserve"> Junior</t>
        </is>
      </c>
      <c r="J738" s="13" t="n">
        <v>145</v>
      </c>
      <c r="K738" s="13" t="n">
        <v>143.7</v>
      </c>
      <c r="L738" s="13" t="n">
        <v>103</v>
      </c>
      <c r="M738" s="13" t="n">
        <v>120</v>
      </c>
      <c r="N738" s="13" t="n">
        <v>114</v>
      </c>
      <c r="O738" s="13" t="n">
        <v>83</v>
      </c>
      <c r="P738" s="13" t="n">
        <v>110</v>
      </c>
      <c r="Q738" s="13" t="n">
        <v>11.8</v>
      </c>
      <c r="R738" s="13" t="n">
        <v>1178</v>
      </c>
      <c r="S738" s="13" t="n">
        <v>1.15</v>
      </c>
      <c r="T738" s="13" t="n">
        <v>1358</v>
      </c>
      <c r="U738" s="13" t="n">
        <v>104</v>
      </c>
      <c r="V738" s="13" t="n">
        <v>36</v>
      </c>
      <c r="W738" s="13" t="n">
        <v>43</v>
      </c>
      <c r="X738" s="13" t="n">
        <v>208</v>
      </c>
      <c r="Y738" s="13" t="n">
        <v>38</v>
      </c>
      <c r="Z738" s="13" t="n">
        <v>201</v>
      </c>
      <c r="AA738" s="13" t="n">
        <v>0.884</v>
      </c>
      <c r="AB738" s="13" t="n">
        <v>122</v>
      </c>
      <c r="AC738" s="13" t="n">
        <v>112</v>
      </c>
      <c r="AD738" s="13" t="n">
        <v>86</v>
      </c>
      <c r="AE738" s="13" t="n">
        <v>8</v>
      </c>
      <c r="AF738" s="13" t="n">
        <v>3</v>
      </c>
      <c r="AG738" s="11" t="inlineStr">
        <is>
          <t xml:space="preserve"> Freeski</t>
        </is>
      </c>
      <c r="AH738" s="11" t="inlineStr">
        <is>
          <t xml:space="preserve"> Touring</t>
        </is>
      </c>
      <c r="AI738" s="13" t="n"/>
      <c r="AJ738" s="13" t="n"/>
      <c r="AK738" s="42" t="n"/>
    </row>
    <row r="739">
      <c r="E739" s="40" t="inlineStr">
        <is>
          <t>21/22</t>
        </is>
      </c>
      <c r="F739" s="10" t="inlineStr">
        <is>
          <t xml:space="preserve"> Faction</t>
        </is>
      </c>
      <c r="G739" s="11" t="inlineStr">
        <is>
          <t>Prodigy 1.0 Jr</t>
        </is>
      </c>
      <c r="H739" s="13" t="n">
        <v>155</v>
      </c>
      <c r="I739" s="11" t="inlineStr">
        <is>
          <t xml:space="preserve"> Junior</t>
        </is>
      </c>
      <c r="J739" s="13" t="n">
        <v>155</v>
      </c>
      <c r="K739" s="13" t="n">
        <v>153.4</v>
      </c>
      <c r="L739" s="13" t="n">
        <v>108</v>
      </c>
      <c r="M739" s="13" t="n">
        <v>130</v>
      </c>
      <c r="N739" s="13" t="n">
        <v>114</v>
      </c>
      <c r="O739" s="13" t="n">
        <v>83</v>
      </c>
      <c r="P739" s="13" t="n">
        <v>110</v>
      </c>
      <c r="Q739" s="13" t="n">
        <v>14</v>
      </c>
      <c r="R739" s="13" t="n">
        <v>1307</v>
      </c>
      <c r="S739" s="13" t="n">
        <v>1.11</v>
      </c>
      <c r="T739" s="13" t="n">
        <v>1448</v>
      </c>
      <c r="U739" s="13" t="n">
        <v>132</v>
      </c>
      <c r="V739" s="13" t="n">
        <v>45</v>
      </c>
      <c r="W739" s="13" t="n">
        <v>46</v>
      </c>
      <c r="X739" s="13" t="n">
        <v>229</v>
      </c>
      <c r="Y739" s="13" t="n">
        <v>44</v>
      </c>
      <c r="Z739" s="13" t="n">
        <v>220</v>
      </c>
      <c r="AA739" s="13" t="n">
        <v>0.951</v>
      </c>
      <c r="AB739" s="13" t="n">
        <v>118</v>
      </c>
      <c r="AC739" s="13" t="n">
        <v>113</v>
      </c>
      <c r="AD739" s="13" t="n">
        <v>111</v>
      </c>
      <c r="AE739" s="13" t="n">
        <v>6</v>
      </c>
      <c r="AF739" s="13" t="n">
        <v>3.2</v>
      </c>
      <c r="AG739" s="11" t="inlineStr">
        <is>
          <t xml:space="preserve"> Freeski</t>
        </is>
      </c>
      <c r="AH739" s="11" t="inlineStr">
        <is>
          <t xml:space="preserve"> Touring</t>
        </is>
      </c>
      <c r="AI739" s="13" t="n"/>
      <c r="AJ739" s="13" t="n"/>
      <c r="AK739" s="42" t="n"/>
    </row>
    <row r="740">
      <c r="E740" s="40" t="inlineStr">
        <is>
          <t>21/22</t>
        </is>
      </c>
      <c r="F740" s="10" t="inlineStr">
        <is>
          <t xml:space="preserve"> Faction</t>
        </is>
      </c>
      <c r="G740" s="11" t="inlineStr">
        <is>
          <t>Prodigy 1.0 X</t>
        </is>
      </c>
      <c r="H740" s="13" t="n">
        <v>158</v>
      </c>
      <c r="I740" s="11" t="inlineStr">
        <is>
          <t xml:space="preserve"> Women's</t>
        </is>
      </c>
      <c r="J740" s="13" t="n">
        <v>158</v>
      </c>
      <c r="K740" s="13" t="n">
        <v>155.9</v>
      </c>
      <c r="L740" s="13" t="n">
        <v>111</v>
      </c>
      <c r="M740" s="13" t="n">
        <v>129</v>
      </c>
      <c r="N740" s="13" t="n">
        <v>119</v>
      </c>
      <c r="O740" s="13" t="n">
        <v>87</v>
      </c>
      <c r="P740" s="13" t="n">
        <v>112</v>
      </c>
      <c r="Q740" s="13" t="n">
        <v>13</v>
      </c>
      <c r="R740" s="13" t="n">
        <v>1577</v>
      </c>
      <c r="S740" s="13" t="n">
        <v>0.98</v>
      </c>
      <c r="T740" s="13" t="n">
        <v>1544</v>
      </c>
      <c r="U740" s="13" t="n">
        <v>159</v>
      </c>
      <c r="V740" s="13" t="n">
        <v>79</v>
      </c>
      <c r="W740" s="13" t="n">
        <v>53</v>
      </c>
      <c r="X740" s="13" t="n">
        <v>259</v>
      </c>
      <c r="Y740" s="13" t="n">
        <v>39</v>
      </c>
      <c r="Z740" s="13" t="n">
        <v>195</v>
      </c>
      <c r="AA740" s="13" t="n">
        <v>0.734</v>
      </c>
      <c r="AB740" s="13" t="n">
        <v>145</v>
      </c>
      <c r="AC740" s="13" t="n">
        <v>121</v>
      </c>
      <c r="AD740" s="13" t="n">
        <v>113</v>
      </c>
      <c r="AE740" s="13" t="n">
        <v>6</v>
      </c>
      <c r="AF740" s="13" t="n">
        <v>6.8</v>
      </c>
      <c r="AG740" s="11" t="inlineStr">
        <is>
          <t xml:space="preserve"> Resort Freeride</t>
        </is>
      </c>
      <c r="AH740" s="13" t="n"/>
      <c r="AI740" s="13" t="n"/>
      <c r="AJ740" s="13" t="n"/>
      <c r="AK740" s="42" t="n"/>
    </row>
    <row r="741">
      <c r="E741" s="40" t="inlineStr">
        <is>
          <t>21/22</t>
        </is>
      </c>
      <c r="F741" s="10" t="inlineStr">
        <is>
          <t xml:space="preserve"> Faction</t>
        </is>
      </c>
      <c r="G741" s="11" t="inlineStr">
        <is>
          <t>Prodigy 1.0 X</t>
        </is>
      </c>
      <c r="H741" s="13" t="n">
        <v>164</v>
      </c>
      <c r="I741" s="11" t="inlineStr">
        <is>
          <t xml:space="preserve"> Women's</t>
        </is>
      </c>
      <c r="J741" s="13" t="n">
        <v>164</v>
      </c>
      <c r="K741" s="13" t="n">
        <v>162.1</v>
      </c>
      <c r="L741" s="13" t="n">
        <v>118</v>
      </c>
      <c r="M741" s="13" t="n">
        <v>135</v>
      </c>
      <c r="N741" s="13" t="n">
        <v>119</v>
      </c>
      <c r="O741" s="13" t="n">
        <v>87</v>
      </c>
      <c r="P741" s="13" t="n">
        <v>111</v>
      </c>
      <c r="Q741" s="13" t="n">
        <v>14.7</v>
      </c>
      <c r="R741" s="13" t="n">
        <v>1614</v>
      </c>
      <c r="S741" s="13" t="n">
        <v>0.99</v>
      </c>
      <c r="T741" s="13" t="n">
        <v>1604</v>
      </c>
      <c r="U741" s="13" t="n">
        <v>153</v>
      </c>
      <c r="V741" s="13" t="n">
        <v>61</v>
      </c>
      <c r="W741" s="13" t="n">
        <v>53</v>
      </c>
      <c r="X741" s="13" t="n">
        <v>259</v>
      </c>
      <c r="Y741" s="13" t="n">
        <v>37</v>
      </c>
      <c r="Z741" s="13" t="n">
        <v>179</v>
      </c>
      <c r="AA741" s="13" t="n">
        <v>0.697</v>
      </c>
      <c r="AB741" s="13" t="n">
        <v>143</v>
      </c>
      <c r="AC741" s="13" t="n">
        <v>129</v>
      </c>
      <c r="AD741" s="13" t="n">
        <v>117</v>
      </c>
      <c r="AE741" s="13" t="n">
        <v>9</v>
      </c>
      <c r="AF741" s="13" t="n">
        <v>7.2</v>
      </c>
      <c r="AG741" s="11" t="inlineStr">
        <is>
          <t xml:space="preserve"> Resort Freeride</t>
        </is>
      </c>
      <c r="AH741" s="13" t="n"/>
      <c r="AI741" s="13" t="n"/>
      <c r="AJ741" s="13" t="n"/>
      <c r="AK741" s="42" t="n"/>
    </row>
    <row r="742">
      <c r="E742" s="40" t="inlineStr">
        <is>
          <t>21/22</t>
        </is>
      </c>
      <c r="F742" s="10" t="inlineStr">
        <is>
          <t xml:space="preserve"> Faction</t>
        </is>
      </c>
      <c r="G742" s="11" t="inlineStr">
        <is>
          <t>Prodigy 2.0</t>
        </is>
      </c>
      <c r="H742" s="13" t="n">
        <v>171</v>
      </c>
      <c r="I742" s="11" t="inlineStr">
        <is>
          <t xml:space="preserve"> Unisex</t>
        </is>
      </c>
      <c r="J742" s="13" t="n">
        <v>171</v>
      </c>
      <c r="K742" s="13" t="n">
        <v>169.3</v>
      </c>
      <c r="L742" s="13" t="n">
        <v>114</v>
      </c>
      <c r="M742" s="13" t="n">
        <v>139</v>
      </c>
      <c r="N742" s="13" t="n">
        <v>126</v>
      </c>
      <c r="O742" s="13" t="n">
        <v>97</v>
      </c>
      <c r="P742" s="13" t="n">
        <v>119</v>
      </c>
      <c r="Q742" s="13" t="n">
        <v>17.3</v>
      </c>
      <c r="R742" s="13" t="n">
        <v>1904</v>
      </c>
      <c r="S742" s="13" t="n">
        <v>0.96</v>
      </c>
      <c r="T742" s="13" t="n">
        <v>1824</v>
      </c>
      <c r="U742" s="13" t="n">
        <v>200</v>
      </c>
      <c r="V742" s="13" t="n">
        <v>90</v>
      </c>
      <c r="W742" s="13" t="n">
        <v>52</v>
      </c>
      <c r="X742" s="13" t="n">
        <v>304</v>
      </c>
      <c r="Y742" s="13" t="n">
        <v>43</v>
      </c>
      <c r="Z742" s="13" t="n">
        <v>250</v>
      </c>
      <c r="AA742" s="13" t="n">
        <v>0.831</v>
      </c>
      <c r="AB742" s="13" t="n">
        <v>162</v>
      </c>
      <c r="AC742" s="13" t="n">
        <v>144</v>
      </c>
      <c r="AD742" s="13" t="n">
        <v>142</v>
      </c>
      <c r="AE742" s="13" t="n">
        <v>5</v>
      </c>
      <c r="AF742" s="13" t="n">
        <v>8.1</v>
      </c>
      <c r="AG742" s="11" t="inlineStr">
        <is>
          <t xml:space="preserve"> Resort Freeride</t>
        </is>
      </c>
      <c r="AH742" s="11" t="inlineStr">
        <is>
          <t xml:space="preserve"> Freeski</t>
        </is>
      </c>
      <c r="AI742" s="13" t="n"/>
      <c r="AJ742" s="13" t="n"/>
      <c r="AK742" s="42" t="n"/>
    </row>
    <row r="743">
      <c r="E743" s="40" t="inlineStr">
        <is>
          <t>21/22</t>
        </is>
      </c>
      <c r="F743" s="10" t="inlineStr">
        <is>
          <t xml:space="preserve"> Faction</t>
        </is>
      </c>
      <c r="G743" s="11" t="inlineStr">
        <is>
          <t>Prodigy 2.0</t>
        </is>
      </c>
      <c r="H743" s="13" t="n">
        <v>177</v>
      </c>
      <c r="I743" s="11" t="inlineStr">
        <is>
          <t xml:space="preserve"> Unisex</t>
        </is>
      </c>
      <c r="J743" s="13" t="n">
        <v>177</v>
      </c>
      <c r="K743" s="13" t="n">
        <v>175.3</v>
      </c>
      <c r="L743" s="13" t="n">
        <v>126</v>
      </c>
      <c r="M743" s="13" t="n">
        <v>145</v>
      </c>
      <c r="N743" s="13" t="n">
        <v>127</v>
      </c>
      <c r="O743" s="13" t="n">
        <v>97</v>
      </c>
      <c r="P743" s="13" t="n">
        <v>119</v>
      </c>
      <c r="Q743" s="13" t="n">
        <v>18.7</v>
      </c>
      <c r="R743" s="13" t="n">
        <v>1891</v>
      </c>
      <c r="S743" s="13" t="n">
        <v>1</v>
      </c>
      <c r="T743" s="13" t="n">
        <v>1887</v>
      </c>
      <c r="U743" s="13" t="n">
        <v>219</v>
      </c>
      <c r="V743" s="13" t="n">
        <v>99</v>
      </c>
      <c r="W743" s="13" t="n">
        <v>51</v>
      </c>
      <c r="X743" s="13" t="n">
        <v>272</v>
      </c>
      <c r="Y743" s="13" t="n">
        <v>43</v>
      </c>
      <c r="Z743" s="13" t="n">
        <v>225</v>
      </c>
      <c r="AA743" s="13" t="n">
        <v>0.829</v>
      </c>
      <c r="AB743" s="13" t="n">
        <v>167</v>
      </c>
      <c r="AC743" s="13" t="n">
        <v>138</v>
      </c>
      <c r="AD743" s="13" t="n">
        <v>105</v>
      </c>
      <c r="AE743" s="13" t="n">
        <v>8</v>
      </c>
      <c r="AF743" s="13" t="n">
        <v>7.6</v>
      </c>
      <c r="AG743" s="11" t="inlineStr">
        <is>
          <t xml:space="preserve"> Resort Freeride</t>
        </is>
      </c>
      <c r="AH743" s="11" t="inlineStr">
        <is>
          <t xml:space="preserve"> Freeski</t>
        </is>
      </c>
      <c r="AI743" s="13" t="n"/>
      <c r="AJ743" s="13" t="n"/>
      <c r="AK743" s="42" t="n"/>
    </row>
    <row r="744">
      <c r="E744" s="40" t="inlineStr">
        <is>
          <t>21/22</t>
        </is>
      </c>
      <c r="F744" s="10" t="inlineStr">
        <is>
          <t xml:space="preserve"> Faction</t>
        </is>
      </c>
      <c r="G744" s="11" t="inlineStr">
        <is>
          <t>Prodigy 2.0</t>
        </is>
      </c>
      <c r="H744" s="13" t="n">
        <v>183</v>
      </c>
      <c r="I744" s="11" t="inlineStr">
        <is>
          <t xml:space="preserve"> Unisex</t>
        </is>
      </c>
      <c r="J744" s="13" t="n">
        <v>183</v>
      </c>
      <c r="K744" s="13" t="n">
        <v>181.4</v>
      </c>
      <c r="L744" s="13" t="n">
        <v>128</v>
      </c>
      <c r="M744" s="13" t="n">
        <v>150</v>
      </c>
      <c r="N744" s="13" t="n">
        <v>127</v>
      </c>
      <c r="O744" s="13" t="n">
        <v>97</v>
      </c>
      <c r="P744" s="13" t="n">
        <v>119</v>
      </c>
      <c r="Q744" s="13" t="n">
        <v>20.1</v>
      </c>
      <c r="R744" s="13" t="n">
        <v>2125</v>
      </c>
      <c r="S744" s="13" t="n">
        <v>0.92</v>
      </c>
      <c r="T744" s="13" t="n">
        <v>1955</v>
      </c>
      <c r="U744" s="13" t="n">
        <v>253</v>
      </c>
      <c r="V744" s="13" t="n">
        <v>118</v>
      </c>
      <c r="W744" s="13" t="n">
        <v>51</v>
      </c>
      <c r="X744" s="13" t="n">
        <v>282</v>
      </c>
      <c r="Y744" s="13" t="n">
        <v>45</v>
      </c>
      <c r="Z744" s="13" t="n">
        <v>254</v>
      </c>
      <c r="AA744" s="13" t="n">
        <v>0.889</v>
      </c>
      <c r="AB744" s="13" t="n">
        <v>169</v>
      </c>
      <c r="AC744" s="13" t="n">
        <v>146</v>
      </c>
      <c r="AD744" s="13" t="n">
        <v>113</v>
      </c>
      <c r="AE744" s="13" t="n">
        <v>6</v>
      </c>
      <c r="AF744" s="13" t="n">
        <v>8.4</v>
      </c>
      <c r="AG744" s="11" t="inlineStr">
        <is>
          <t xml:space="preserve"> Freeski</t>
        </is>
      </c>
      <c r="AH744" s="13" t="n"/>
      <c r="AI744" s="13" t="n"/>
      <c r="AJ744" s="13" t="n"/>
      <c r="AK744" s="42" t="n"/>
    </row>
    <row r="745">
      <c r="E745" s="40" t="inlineStr">
        <is>
          <t>21/22</t>
        </is>
      </c>
      <c r="F745" s="10" t="inlineStr">
        <is>
          <t xml:space="preserve"> Faction</t>
        </is>
      </c>
      <c r="G745" s="11" t="inlineStr">
        <is>
          <t>Prodigy 2.0 Jr</t>
        </is>
      </c>
      <c r="H745" s="13" t="n">
        <v>149</v>
      </c>
      <c r="I745" s="11" t="inlineStr">
        <is>
          <t xml:space="preserve"> Junior</t>
        </is>
      </c>
      <c r="J745" s="13" t="n">
        <v>149</v>
      </c>
      <c r="K745" s="13" t="n">
        <v>147.3</v>
      </c>
      <c r="L745" s="13" t="n">
        <v>104</v>
      </c>
      <c r="M745" s="13" t="n">
        <v>123</v>
      </c>
      <c r="N745" s="13" t="n">
        <v>126</v>
      </c>
      <c r="O745" s="13" t="n">
        <v>95</v>
      </c>
      <c r="P745" s="13" t="n">
        <v>122</v>
      </c>
      <c r="Q745" s="13" t="n">
        <v>11.8</v>
      </c>
      <c r="R745" s="13" t="n">
        <v>1277</v>
      </c>
      <c r="S745" s="13" t="n">
        <v>1.23</v>
      </c>
      <c r="T745" s="13" t="n">
        <v>1567</v>
      </c>
      <c r="U745" s="13" t="n">
        <v>105</v>
      </c>
      <c r="V745" s="13" t="n">
        <v>37</v>
      </c>
      <c r="W745" s="13" t="n">
        <v>51</v>
      </c>
      <c r="X745" s="13" t="n">
        <v>221</v>
      </c>
      <c r="Y745" s="13" t="n">
        <v>44</v>
      </c>
      <c r="Z745" s="13" t="n">
        <v>208</v>
      </c>
      <c r="AA745" s="13" t="n">
        <v>0.863</v>
      </c>
      <c r="AB745" s="13" t="n">
        <v>124</v>
      </c>
      <c r="AC745" s="13" t="n">
        <v>119</v>
      </c>
      <c r="AD745" s="13" t="n">
        <v>97</v>
      </c>
      <c r="AE745" s="13" t="n">
        <v>7</v>
      </c>
      <c r="AF745" s="13" t="n">
        <v>3</v>
      </c>
      <c r="AG745" s="11" t="inlineStr">
        <is>
          <t xml:space="preserve"> Freeski</t>
        </is>
      </c>
      <c r="AH745" s="11" t="inlineStr">
        <is>
          <t xml:space="preserve"> Touring</t>
        </is>
      </c>
      <c r="AI745" s="13" t="n"/>
      <c r="AJ745" s="13" t="n"/>
      <c r="AK745" s="42" t="n"/>
    </row>
    <row r="746">
      <c r="E746" s="40" t="inlineStr">
        <is>
          <t>21/22</t>
        </is>
      </c>
      <c r="F746" s="10" t="inlineStr">
        <is>
          <t xml:space="preserve"> Faction</t>
        </is>
      </c>
      <c r="G746" s="11" t="inlineStr">
        <is>
          <t>Prodigy 2.0 Jr</t>
        </is>
      </c>
      <c r="H746" s="13" t="n">
        <v>159</v>
      </c>
      <c r="I746" s="11" t="inlineStr">
        <is>
          <t xml:space="preserve"> Junior</t>
        </is>
      </c>
      <c r="J746" s="13" t="n">
        <v>159</v>
      </c>
      <c r="K746" s="13" t="n">
        <v>157.1</v>
      </c>
      <c r="L746" s="13" t="n">
        <v>113</v>
      </c>
      <c r="M746" s="13" t="n">
        <v>133</v>
      </c>
      <c r="N746" s="13" t="n">
        <v>128</v>
      </c>
      <c r="O746" s="13" t="n">
        <v>97</v>
      </c>
      <c r="P746" s="13" t="n">
        <v>124</v>
      </c>
      <c r="Q746" s="13" t="n">
        <v>13.9</v>
      </c>
      <c r="R746" s="13" t="n">
        <v>1460</v>
      </c>
      <c r="S746" s="13" t="n">
        <v>1.16</v>
      </c>
      <c r="T746" s="13" t="n">
        <v>1699</v>
      </c>
      <c r="U746" s="13" t="n">
        <v>131</v>
      </c>
      <c r="V746" s="13" t="n">
        <v>45</v>
      </c>
      <c r="W746" s="13" t="n">
        <v>52</v>
      </c>
      <c r="X746" s="13" t="n">
        <v>227</v>
      </c>
      <c r="Y746" s="13" t="n">
        <v>45</v>
      </c>
      <c r="Z746" s="13" t="n">
        <v>211</v>
      </c>
      <c r="AA746" s="13" t="n">
        <v>0.874</v>
      </c>
      <c r="AB746" s="13" t="n">
        <v>128</v>
      </c>
      <c r="AC746" s="13" t="n">
        <v>113</v>
      </c>
      <c r="AD746" s="13" t="n">
        <v>99</v>
      </c>
      <c r="AE746" s="13" t="n">
        <v>8</v>
      </c>
      <c r="AF746" s="13" t="n">
        <v>3.4</v>
      </c>
      <c r="AG746" s="11" t="inlineStr">
        <is>
          <t xml:space="preserve"> Freeski</t>
        </is>
      </c>
      <c r="AH746" s="11" t="inlineStr">
        <is>
          <t xml:space="preserve"> Touring</t>
        </is>
      </c>
      <c r="AI746" s="13" t="n"/>
      <c r="AJ746" s="13" t="n"/>
      <c r="AK746" s="42" t="n"/>
    </row>
    <row r="747">
      <c r="E747" s="40" t="inlineStr">
        <is>
          <t>21/22</t>
        </is>
      </c>
      <c r="F747" s="10" t="inlineStr">
        <is>
          <t xml:space="preserve"> Faction</t>
        </is>
      </c>
      <c r="G747" s="11" t="inlineStr">
        <is>
          <t>Prodigy 3.0</t>
        </is>
      </c>
      <c r="H747" s="13" t="n">
        <v>172</v>
      </c>
      <c r="I747" s="11" t="inlineStr">
        <is>
          <t xml:space="preserve"> Unisex</t>
        </is>
      </c>
      <c r="J747" s="13" t="n">
        <v>172</v>
      </c>
      <c r="K747" s="13" t="n">
        <v>170.5</v>
      </c>
      <c r="L747" s="13" t="n">
        <v>118</v>
      </c>
      <c r="M747" s="13" t="n">
        <v>138</v>
      </c>
      <c r="N747" s="13" t="n">
        <v>132</v>
      </c>
      <c r="O747" s="13" t="n">
        <v>105</v>
      </c>
      <c r="P747" s="13" t="n">
        <v>125</v>
      </c>
      <c r="Q747" s="13" t="n">
        <v>17.8</v>
      </c>
      <c r="R747" s="13" t="n">
        <v>1914</v>
      </c>
      <c r="S747" s="13" t="n">
        <v>1.02</v>
      </c>
      <c r="T747" s="13" t="n">
        <v>1960</v>
      </c>
      <c r="U747" s="13" t="n">
        <v>152</v>
      </c>
      <c r="V747" s="13" t="n">
        <v>80</v>
      </c>
      <c r="W747" s="13" t="n">
        <v>51</v>
      </c>
      <c r="X747" s="13" t="n">
        <v>289</v>
      </c>
      <c r="Y747" s="13" t="n">
        <v>43</v>
      </c>
      <c r="Z747" s="13" t="n">
        <v>237</v>
      </c>
      <c r="AA747" s="13" t="n">
        <v>0.843</v>
      </c>
      <c r="AB747" s="13" t="n">
        <v>183</v>
      </c>
      <c r="AC747" s="13" t="n">
        <v>145</v>
      </c>
      <c r="AD747" s="13" t="n">
        <v>107</v>
      </c>
      <c r="AE747" s="13" t="n">
        <v>7</v>
      </c>
      <c r="AF747" s="13" t="n">
        <v>8.300000000000001</v>
      </c>
      <c r="AG747" s="11" t="inlineStr">
        <is>
          <t xml:space="preserve"> Freeski</t>
        </is>
      </c>
      <c r="AH747" s="11" t="inlineStr">
        <is>
          <t xml:space="preserve"> Powder</t>
        </is>
      </c>
      <c r="AI747" s="13" t="n"/>
      <c r="AJ747" s="13" t="n"/>
      <c r="AK747" s="42" t="n"/>
    </row>
    <row r="748">
      <c r="E748" s="40" t="inlineStr">
        <is>
          <t>21/22</t>
        </is>
      </c>
      <c r="F748" s="10" t="inlineStr">
        <is>
          <t xml:space="preserve"> Faction</t>
        </is>
      </c>
      <c r="G748" s="11" t="inlineStr">
        <is>
          <t>Prodigy 3.0</t>
        </is>
      </c>
      <c r="H748" s="13" t="n">
        <v>178</v>
      </c>
      <c r="I748" s="11" t="inlineStr">
        <is>
          <t xml:space="preserve"> Unisex</t>
        </is>
      </c>
      <c r="J748" s="13" t="n">
        <v>178</v>
      </c>
      <c r="K748" s="13" t="n">
        <v>176.5</v>
      </c>
      <c r="L748" s="13" t="n">
        <v>122</v>
      </c>
      <c r="M748" s="13" t="n">
        <v>142</v>
      </c>
      <c r="N748" s="13" t="n">
        <v>132</v>
      </c>
      <c r="O748" s="13" t="n">
        <v>105</v>
      </c>
      <c r="P748" s="13" t="n">
        <v>125</v>
      </c>
      <c r="Q748" s="13" t="n">
        <v>19.4</v>
      </c>
      <c r="R748" s="13" t="n">
        <v>2049</v>
      </c>
      <c r="S748" s="13" t="n">
        <v>0.99</v>
      </c>
      <c r="T748" s="13" t="n">
        <v>2028</v>
      </c>
      <c r="U748" s="13" t="n">
        <v>211</v>
      </c>
      <c r="V748" s="13" t="n">
        <v>99</v>
      </c>
      <c r="W748" s="13" t="n">
        <v>52</v>
      </c>
      <c r="X748" s="13" t="n">
        <v>290</v>
      </c>
      <c r="Y748" s="13" t="n">
        <v>43</v>
      </c>
      <c r="Z748" s="13" t="n">
        <v>252</v>
      </c>
      <c r="AA748" s="13" t="n">
        <v>0.833</v>
      </c>
      <c r="AB748" s="13" t="n">
        <v>180</v>
      </c>
      <c r="AC748" s="13" t="n">
        <v>165</v>
      </c>
      <c r="AD748" s="13" t="n">
        <v>111</v>
      </c>
      <c r="AE748" s="13" t="n">
        <v>9</v>
      </c>
      <c r="AF748" s="13" t="n">
        <v>9</v>
      </c>
      <c r="AG748" s="11" t="inlineStr">
        <is>
          <t xml:space="preserve"> Freeski</t>
        </is>
      </c>
      <c r="AH748" s="11" t="inlineStr">
        <is>
          <t xml:space="preserve"> Powder</t>
        </is>
      </c>
      <c r="AI748" s="13" t="n"/>
      <c r="AJ748" s="13" t="n"/>
      <c r="AK748" s="42" t="n"/>
    </row>
    <row r="749">
      <c r="E749" s="40" t="inlineStr">
        <is>
          <t>21/22</t>
        </is>
      </c>
      <c r="F749" s="10" t="inlineStr">
        <is>
          <t xml:space="preserve"> Faction</t>
        </is>
      </c>
      <c r="G749" s="11" t="inlineStr">
        <is>
          <t>Prodigy 3.0</t>
        </is>
      </c>
      <c r="H749" s="13" t="n">
        <v>184</v>
      </c>
      <c r="I749" s="11" t="inlineStr">
        <is>
          <t xml:space="preserve"> Unisex</t>
        </is>
      </c>
      <c r="J749" s="13" t="n">
        <v>184</v>
      </c>
      <c r="K749" s="13" t="n">
        <v>182.6</v>
      </c>
      <c r="L749" s="13" t="n">
        <v>124</v>
      </c>
      <c r="M749" s="13" t="n">
        <v>147</v>
      </c>
      <c r="N749" s="13" t="n">
        <v>132</v>
      </c>
      <c r="O749" s="13" t="n">
        <v>105</v>
      </c>
      <c r="P749" s="13" t="n">
        <v>125</v>
      </c>
      <c r="Q749" s="13" t="n">
        <v>21</v>
      </c>
      <c r="R749" s="13" t="n">
        <v>2000</v>
      </c>
      <c r="S749" s="13" t="n">
        <v>1.05</v>
      </c>
      <c r="T749" s="13" t="n">
        <v>2096</v>
      </c>
      <c r="U749" s="13" t="n">
        <v>206</v>
      </c>
      <c r="V749" s="13" t="n">
        <v>97</v>
      </c>
      <c r="W749" s="13" t="n">
        <v>51</v>
      </c>
      <c r="X749" s="13" t="n">
        <v>328</v>
      </c>
      <c r="Y749" s="13" t="n">
        <v>43</v>
      </c>
      <c r="Z749" s="13" t="n">
        <v>261</v>
      </c>
      <c r="AA749" s="13" t="n">
        <v>0.846</v>
      </c>
      <c r="AB749" s="13" t="n">
        <v>192</v>
      </c>
      <c r="AC749" s="13" t="n">
        <v>164</v>
      </c>
      <c r="AD749" s="13" t="n">
        <v>137</v>
      </c>
      <c r="AE749" s="13" t="n">
        <v>7</v>
      </c>
      <c r="AF749" s="13" t="n">
        <v>9.300000000000001</v>
      </c>
      <c r="AG749" s="11" t="inlineStr">
        <is>
          <t xml:space="preserve"> Freeski</t>
        </is>
      </c>
      <c r="AH749" s="11" t="inlineStr">
        <is>
          <t xml:space="preserve"> Powder</t>
        </is>
      </c>
      <c r="AI749" s="13" t="n"/>
      <c r="AJ749" s="13" t="n"/>
      <c r="AK749" s="42" t="n"/>
    </row>
    <row r="750">
      <c r="E750" s="40" t="inlineStr">
        <is>
          <t>21/22</t>
        </is>
      </c>
      <c r="F750" s="10" t="inlineStr">
        <is>
          <t xml:space="preserve"> Ferreol</t>
        </is>
      </c>
      <c r="G750" s="11" t="inlineStr">
        <is>
          <t>Explo 96</t>
        </is>
      </c>
      <c r="H750" s="13" t="n">
        <v>162</v>
      </c>
      <c r="I750" s="11" t="inlineStr">
        <is>
          <t xml:space="preserve"> Unisex</t>
        </is>
      </c>
      <c r="J750" s="13" t="n">
        <v>162</v>
      </c>
      <c r="K750" s="13" t="n">
        <v>160.5</v>
      </c>
      <c r="L750" s="13" t="n">
        <v>115</v>
      </c>
      <c r="M750" s="13" t="n">
        <v>135</v>
      </c>
      <c r="N750" s="13" t="n">
        <v>129</v>
      </c>
      <c r="O750" s="13" t="n">
        <v>96</v>
      </c>
      <c r="P750" s="13" t="n">
        <v>118</v>
      </c>
      <c r="Q750" s="13" t="n">
        <v>14.3</v>
      </c>
      <c r="R750" s="13" t="n">
        <v>1565</v>
      </c>
      <c r="S750" s="13" t="n">
        <v>1.11</v>
      </c>
      <c r="T750" s="13" t="n">
        <v>1734</v>
      </c>
      <c r="U750" s="13" t="n">
        <v>197</v>
      </c>
      <c r="V750" s="13" t="n">
        <v>89</v>
      </c>
      <c r="W750" s="13" t="n">
        <v>59</v>
      </c>
      <c r="X750" s="13" t="n">
        <v>270</v>
      </c>
      <c r="Y750" s="13" t="n">
        <v>27</v>
      </c>
      <c r="Z750" s="13" t="n">
        <v>185</v>
      </c>
      <c r="AA750" s="13" t="n">
        <v>0.464</v>
      </c>
      <c r="AB750" s="13" t="n">
        <v>132</v>
      </c>
      <c r="AC750" s="13" t="n">
        <v>119</v>
      </c>
      <c r="AD750" s="13" t="n">
        <v>138</v>
      </c>
      <c r="AE750" s="13" t="n">
        <v>11</v>
      </c>
      <c r="AF750" s="13" t="n">
        <v>7.8</v>
      </c>
      <c r="AG750" s="11" t="inlineStr">
        <is>
          <t xml:space="preserve"> Resort Freeride</t>
        </is>
      </c>
      <c r="AH750" s="11" t="inlineStr">
        <is>
          <t xml:space="preserve"> Touring</t>
        </is>
      </c>
      <c r="AI750" s="13" t="n"/>
      <c r="AJ750" s="13" t="n"/>
      <c r="AK750" s="42" t="n"/>
    </row>
    <row r="751">
      <c r="E751" s="40" t="inlineStr">
        <is>
          <t>21/22</t>
        </is>
      </c>
      <c r="F751" s="10" t="inlineStr">
        <is>
          <t xml:space="preserve"> Ferreol</t>
        </is>
      </c>
      <c r="G751" s="11" t="inlineStr">
        <is>
          <t>Explo 96</t>
        </is>
      </c>
      <c r="H751" s="13" t="n">
        <v>172</v>
      </c>
      <c r="I751" s="11" t="inlineStr">
        <is>
          <t xml:space="preserve"> Unisex</t>
        </is>
      </c>
      <c r="J751" s="13" t="n">
        <v>172</v>
      </c>
      <c r="K751" s="13" t="n">
        <v>170.1</v>
      </c>
      <c r="L751" s="13" t="n">
        <v>123</v>
      </c>
      <c r="M751" s="13" t="n">
        <v>145</v>
      </c>
      <c r="N751" s="13" t="n">
        <v>129</v>
      </c>
      <c r="O751" s="13" t="n">
        <v>96</v>
      </c>
      <c r="P751" s="13" t="n">
        <v>119</v>
      </c>
      <c r="Q751" s="13" t="n">
        <v>15.4</v>
      </c>
      <c r="R751" s="13" t="n">
        <v>1584</v>
      </c>
      <c r="S751" s="13" t="n">
        <v>1.16</v>
      </c>
      <c r="T751" s="13" t="n">
        <v>1844</v>
      </c>
      <c r="U751" s="13" t="n">
        <v>184</v>
      </c>
      <c r="V751" s="13" t="n">
        <v>87</v>
      </c>
      <c r="W751" s="13" t="n">
        <v>60</v>
      </c>
      <c r="X751" s="13" t="n">
        <v>275</v>
      </c>
      <c r="Y751" s="13" t="n">
        <v>29</v>
      </c>
      <c r="Z751" s="13" t="n">
        <v>195</v>
      </c>
      <c r="AA751" s="13" t="n">
        <v>0.485</v>
      </c>
      <c r="AB751" s="13" t="n">
        <v>136</v>
      </c>
      <c r="AC751" s="13" t="n">
        <v>120</v>
      </c>
      <c r="AD751" s="13" t="n">
        <v>139</v>
      </c>
      <c r="AE751" s="13" t="n">
        <v>9</v>
      </c>
      <c r="AF751" s="13" t="n">
        <v>8</v>
      </c>
      <c r="AG751" s="11" t="inlineStr">
        <is>
          <t xml:space="preserve"> Resort Freeride</t>
        </is>
      </c>
      <c r="AH751" s="11" t="inlineStr">
        <is>
          <t xml:space="preserve"> Touring</t>
        </is>
      </c>
      <c r="AI751" s="13" t="n"/>
      <c r="AJ751" s="13" t="n"/>
      <c r="AK751" s="42" t="n"/>
    </row>
    <row r="752">
      <c r="E752" s="40" t="inlineStr">
        <is>
          <t>21/22</t>
        </is>
      </c>
      <c r="F752" s="10" t="inlineStr">
        <is>
          <t xml:space="preserve"> Ferreol</t>
        </is>
      </c>
      <c r="G752" s="11" t="inlineStr">
        <is>
          <t>Explo 96</t>
        </is>
      </c>
      <c r="H752" s="13" t="n">
        <v>182</v>
      </c>
      <c r="I752" s="11" t="inlineStr">
        <is>
          <t xml:space="preserve"> Unisex</t>
        </is>
      </c>
      <c r="J752" s="13" t="n">
        <v>182</v>
      </c>
      <c r="K752" s="13" t="n">
        <v>179.8</v>
      </c>
      <c r="L752" s="13" t="n">
        <v>134</v>
      </c>
      <c r="M752" s="13" t="n">
        <v>152</v>
      </c>
      <c r="N752" s="13" t="n">
        <v>130</v>
      </c>
      <c r="O752" s="13" t="n">
        <v>97</v>
      </c>
      <c r="P752" s="13" t="n">
        <v>120</v>
      </c>
      <c r="Q752" s="13" t="n">
        <v>17</v>
      </c>
      <c r="R752" s="13" t="n">
        <v>1714</v>
      </c>
      <c r="S752" s="13" t="n">
        <v>1.15</v>
      </c>
      <c r="T752" s="13" t="n">
        <v>1972</v>
      </c>
      <c r="U752" s="13" t="n">
        <v>195</v>
      </c>
      <c r="V752" s="13" t="n">
        <v>90</v>
      </c>
      <c r="W752" s="13" t="n">
        <v>56</v>
      </c>
      <c r="X752" s="13" t="n">
        <v>266</v>
      </c>
      <c r="Y752" s="13" t="n">
        <v>28</v>
      </c>
      <c r="Z752" s="13" t="n">
        <v>187</v>
      </c>
      <c r="AA752" s="13" t="n">
        <v>0.501</v>
      </c>
      <c r="AB752" s="13" t="n">
        <v>160</v>
      </c>
      <c r="AC752" s="13" t="n">
        <v>117</v>
      </c>
      <c r="AD752" s="13" t="n">
        <v>106</v>
      </c>
      <c r="AE752" s="13" t="n">
        <v>11</v>
      </c>
      <c r="AF752" s="13" t="n">
        <v>8</v>
      </c>
      <c r="AG752" s="11" t="inlineStr">
        <is>
          <t xml:space="preserve"> Resort Freeride</t>
        </is>
      </c>
      <c r="AH752" s="11" t="inlineStr">
        <is>
          <t xml:space="preserve"> Touring</t>
        </is>
      </c>
      <c r="AI752" s="13" t="n"/>
      <c r="AJ752" s="13" t="n"/>
      <c r="AK752" s="42" t="n"/>
    </row>
    <row r="753">
      <c r="E753" s="40" t="inlineStr">
        <is>
          <t>21/22</t>
        </is>
      </c>
      <c r="F753" s="10" t="inlineStr">
        <is>
          <t xml:space="preserve"> Ferreol</t>
        </is>
      </c>
      <c r="G753" s="11" t="inlineStr">
        <is>
          <t>Pionnier 104</t>
        </is>
      </c>
      <c r="H753" s="13" t="n">
        <v>164</v>
      </c>
      <c r="I753" s="11" t="inlineStr">
        <is>
          <t xml:space="preserve"> Unisex</t>
        </is>
      </c>
      <c r="J753" s="13" t="n">
        <v>164</v>
      </c>
      <c r="K753" s="13" t="n">
        <v>164.8</v>
      </c>
      <c r="L753" s="13" t="n">
        <v>110</v>
      </c>
      <c r="M753" s="13" t="n">
        <v>131</v>
      </c>
      <c r="N753" s="13" t="n">
        <v>132</v>
      </c>
      <c r="O753" s="13" t="n">
        <v>103</v>
      </c>
      <c r="P753" s="13" t="n">
        <v>124</v>
      </c>
      <c r="Q753" s="13" t="n">
        <v>14.2</v>
      </c>
      <c r="R753" s="13" t="n">
        <v>1634</v>
      </c>
      <c r="S753" s="13" t="n">
        <v>1.15</v>
      </c>
      <c r="T753" s="13" t="n">
        <v>1876</v>
      </c>
      <c r="U753" s="13" t="n">
        <v>194</v>
      </c>
      <c r="V753" s="13" t="n">
        <v>73</v>
      </c>
      <c r="W753" s="13" t="n">
        <v>46</v>
      </c>
      <c r="X753" s="13" t="n">
        <v>324</v>
      </c>
      <c r="Y753" s="13" t="n">
        <v>27</v>
      </c>
      <c r="Z753" s="13" t="n">
        <v>222</v>
      </c>
      <c r="AA753" s="13" t="n">
        <v>0.585</v>
      </c>
      <c r="AB753" s="13" t="n">
        <v>227</v>
      </c>
      <c r="AC753" s="13" t="n">
        <v>107</v>
      </c>
      <c r="AD753" s="13" t="n">
        <v>97</v>
      </c>
      <c r="AE753" s="13" t="n">
        <v>10</v>
      </c>
      <c r="AF753" s="13" t="n">
        <v>7.9</v>
      </c>
      <c r="AG753" s="11" t="inlineStr">
        <is>
          <t xml:space="preserve"> Resort Freeride</t>
        </is>
      </c>
      <c r="AH753" s="11" t="inlineStr">
        <is>
          <t xml:space="preserve"> Powder</t>
        </is>
      </c>
      <c r="AI753" s="11" t="inlineStr">
        <is>
          <t xml:space="preserve"> Touring</t>
        </is>
      </c>
      <c r="AJ753" s="13" t="n"/>
      <c r="AK753" s="42" t="n"/>
    </row>
    <row r="754">
      <c r="E754" s="40" t="inlineStr">
        <is>
          <t>21/22</t>
        </is>
      </c>
      <c r="F754" s="10" t="inlineStr">
        <is>
          <t xml:space="preserve"> Ferreol</t>
        </is>
      </c>
      <c r="G754" s="11" t="inlineStr">
        <is>
          <t>Pionnier 104</t>
        </is>
      </c>
      <c r="H754" s="13" t="n">
        <v>172</v>
      </c>
      <c r="I754" s="11" t="inlineStr">
        <is>
          <t xml:space="preserve"> Unisex</t>
        </is>
      </c>
      <c r="J754" s="13" t="n">
        <v>172</v>
      </c>
      <c r="K754" s="13" t="n">
        <v>172.7</v>
      </c>
      <c r="L754" s="13" t="n">
        <v>118</v>
      </c>
      <c r="M754" s="13" t="n">
        <v>136</v>
      </c>
      <c r="N754" s="13" t="n">
        <v>133</v>
      </c>
      <c r="O754" s="13" t="n">
        <v>103</v>
      </c>
      <c r="P754" s="13" t="n">
        <v>125</v>
      </c>
      <c r="Q754" s="13" t="n">
        <v>14.8</v>
      </c>
      <c r="R754" s="13" t="n">
        <v>1660</v>
      </c>
      <c r="S754" s="13" t="n">
        <v>1.19</v>
      </c>
      <c r="T754" s="13" t="n">
        <v>1973</v>
      </c>
      <c r="U754" s="13" t="n">
        <v>201</v>
      </c>
      <c r="V754" s="13" t="n">
        <v>84</v>
      </c>
      <c r="W754" s="13" t="n">
        <v>46</v>
      </c>
      <c r="X754" s="13" t="n">
        <v>328</v>
      </c>
      <c r="Y754" s="13" t="n">
        <v>27</v>
      </c>
      <c r="Z754" s="13" t="n">
        <v>220</v>
      </c>
      <c r="AA754" s="13" t="n">
        <v>0.572</v>
      </c>
      <c r="AB754" s="13" t="n">
        <v>250</v>
      </c>
      <c r="AC754" s="13" t="n">
        <v>116</v>
      </c>
      <c r="AD754" s="13" t="n">
        <v>78</v>
      </c>
      <c r="AE754" s="13" t="n">
        <v>10</v>
      </c>
      <c r="AF754" s="13" t="n">
        <v>9.5</v>
      </c>
      <c r="AG754" s="11" t="inlineStr">
        <is>
          <t xml:space="preserve"> Resort Freeride</t>
        </is>
      </c>
      <c r="AH754" s="11" t="inlineStr">
        <is>
          <t xml:space="preserve"> Powder</t>
        </is>
      </c>
      <c r="AI754" s="11" t="inlineStr">
        <is>
          <t xml:space="preserve"> Touring</t>
        </is>
      </c>
      <c r="AJ754" s="13" t="n"/>
      <c r="AK754" s="42" t="n"/>
    </row>
    <row r="755">
      <c r="E755" s="40" t="inlineStr">
        <is>
          <t>21/22</t>
        </is>
      </c>
      <c r="F755" s="10" t="inlineStr">
        <is>
          <t xml:space="preserve"> Ferreol</t>
        </is>
      </c>
      <c r="G755" s="11" t="inlineStr">
        <is>
          <t>Pionnier 104</t>
        </is>
      </c>
      <c r="H755" s="13" t="n">
        <v>180</v>
      </c>
      <c r="I755" s="11" t="inlineStr">
        <is>
          <t xml:space="preserve"> Unisex</t>
        </is>
      </c>
      <c r="J755" s="13" t="n">
        <v>180</v>
      </c>
      <c r="K755" s="13" t="n">
        <v>179.2</v>
      </c>
      <c r="L755" s="13" t="n">
        <v>125</v>
      </c>
      <c r="M755" s="13" t="n">
        <v>143</v>
      </c>
      <c r="N755" s="13" t="n">
        <v>133</v>
      </c>
      <c r="O755" s="13" t="n">
        <v>103</v>
      </c>
      <c r="P755" s="13" t="n">
        <v>125</v>
      </c>
      <c r="Q755" s="13" t="n">
        <v>16.4</v>
      </c>
      <c r="R755" s="13" t="n">
        <v>1720</v>
      </c>
      <c r="S755" s="13" t="n">
        <v>1.19</v>
      </c>
      <c r="T755" s="13" t="n">
        <v>2048</v>
      </c>
      <c r="U755" s="13" t="n">
        <v>224</v>
      </c>
      <c r="V755" s="13" t="n">
        <v>88</v>
      </c>
      <c r="W755" s="13" t="n">
        <v>44</v>
      </c>
      <c r="X755" s="13" t="n">
        <v>326</v>
      </c>
      <c r="Y755" s="13" t="n">
        <v>26</v>
      </c>
      <c r="Z755" s="13" t="n">
        <v>219</v>
      </c>
      <c r="AA755" s="13" t="n">
        <v>0.599</v>
      </c>
      <c r="AB755" s="13" t="n">
        <v>244</v>
      </c>
      <c r="AC755" s="13" t="n">
        <v>116</v>
      </c>
      <c r="AD755" s="13" t="n">
        <v>82</v>
      </c>
      <c r="AE755" s="13" t="n">
        <v>10</v>
      </c>
      <c r="AF755" s="13" t="n">
        <v>9</v>
      </c>
      <c r="AG755" s="11" t="inlineStr">
        <is>
          <t xml:space="preserve"> Resort Freeride</t>
        </is>
      </c>
      <c r="AH755" s="11" t="inlineStr">
        <is>
          <t xml:space="preserve"> Powder</t>
        </is>
      </c>
      <c r="AI755" s="11" t="inlineStr">
        <is>
          <t xml:space="preserve"> Touring</t>
        </is>
      </c>
      <c r="AJ755" s="13" t="n"/>
      <c r="AK755" s="42" t="n"/>
    </row>
    <row r="756">
      <c r="E756" s="40" t="inlineStr">
        <is>
          <t>21/22</t>
        </is>
      </c>
      <c r="F756" s="10" t="inlineStr">
        <is>
          <t xml:space="preserve"> Ferreol</t>
        </is>
      </c>
      <c r="G756" s="11" t="inlineStr">
        <is>
          <t>Pionnier 104</t>
        </is>
      </c>
      <c r="H756" s="13" t="n">
        <v>188</v>
      </c>
      <c r="I756" s="11" t="inlineStr">
        <is>
          <t xml:space="preserve"> Unisex</t>
        </is>
      </c>
      <c r="J756" s="13" t="n">
        <v>188</v>
      </c>
      <c r="K756" s="13" t="n">
        <v>188.6</v>
      </c>
      <c r="L756" s="13" t="n">
        <v>134</v>
      </c>
      <c r="M756" s="13" t="n">
        <v>149</v>
      </c>
      <c r="N756" s="13" t="n">
        <v>136</v>
      </c>
      <c r="O756" s="13" t="n">
        <v>104</v>
      </c>
      <c r="P756" s="13" t="n">
        <v>126</v>
      </c>
      <c r="Q756" s="13" t="n">
        <v>17.4</v>
      </c>
      <c r="R756" s="13" t="n">
        <v>1891</v>
      </c>
      <c r="S756" s="13" t="n">
        <v>1.15</v>
      </c>
      <c r="T756" s="13" t="n">
        <v>2168</v>
      </c>
      <c r="U756" s="13" t="n">
        <v>237</v>
      </c>
      <c r="V756" s="13" t="n">
        <v>89</v>
      </c>
      <c r="W756" s="13" t="n">
        <v>45</v>
      </c>
      <c r="X756" s="13" t="n">
        <v>322</v>
      </c>
      <c r="Y756" s="13" t="n">
        <v>26</v>
      </c>
      <c r="Z756" s="13" t="n">
        <v>221</v>
      </c>
      <c r="AA756" s="13" t="n">
        <v>0.5679999999999999</v>
      </c>
      <c r="AB756" s="13" t="n">
        <v>271</v>
      </c>
      <c r="AC756" s="13" t="n">
        <v>124</v>
      </c>
      <c r="AD756" s="13" t="n">
        <v>51</v>
      </c>
      <c r="AE756" s="13" t="n">
        <v>11</v>
      </c>
      <c r="AF756" s="13" t="n">
        <v>10.6</v>
      </c>
      <c r="AG756" s="11" t="inlineStr">
        <is>
          <t xml:space="preserve"> Resort Freeride</t>
        </is>
      </c>
      <c r="AH756" s="11" t="inlineStr">
        <is>
          <t xml:space="preserve"> Powder</t>
        </is>
      </c>
      <c r="AI756" s="11" t="inlineStr">
        <is>
          <t xml:space="preserve"> Touring</t>
        </is>
      </c>
      <c r="AJ756" s="13" t="n"/>
      <c r="AK756" s="42" t="n"/>
    </row>
    <row r="757">
      <c r="E757" s="40" t="inlineStr">
        <is>
          <t>21/22</t>
        </is>
      </c>
      <c r="F757" s="10" t="inlineStr">
        <is>
          <t xml:space="preserve"> Ferreol</t>
        </is>
      </c>
      <c r="G757" s="11" t="inlineStr">
        <is>
          <t>Zigzag 92</t>
        </is>
      </c>
      <c r="H757" s="13" t="n">
        <v>177</v>
      </c>
      <c r="I757" s="11" t="inlineStr">
        <is>
          <t xml:space="preserve"> Unisex</t>
        </is>
      </c>
      <c r="J757" s="13" t="n">
        <v>177</v>
      </c>
      <c r="K757" s="13" t="n">
        <v>175.8</v>
      </c>
      <c r="L757" s="13" t="n">
        <v>117</v>
      </c>
      <c r="M757" s="13" t="n">
        <v>155</v>
      </c>
      <c r="N757" s="13" t="n">
        <v>127</v>
      </c>
      <c r="O757" s="13" t="n">
        <v>91</v>
      </c>
      <c r="P757" s="13" t="n">
        <v>124</v>
      </c>
      <c r="Q757" s="13" t="n">
        <v>16.4</v>
      </c>
      <c r="R757" s="13" t="n">
        <v>1863</v>
      </c>
      <c r="S757" s="13" t="n">
        <v>0.98</v>
      </c>
      <c r="T757" s="13" t="n">
        <v>1825</v>
      </c>
      <c r="U757" s="13" t="n">
        <v>186</v>
      </c>
      <c r="V757" s="13" t="n">
        <v>68</v>
      </c>
      <c r="W757" s="13" t="n">
        <v>46</v>
      </c>
      <c r="X757" s="13" t="n">
        <v>267</v>
      </c>
      <c r="Y757" s="13" t="n">
        <v>41</v>
      </c>
      <c r="Z757" s="13" t="n">
        <v>325</v>
      </c>
      <c r="AA757" s="13" t="n">
        <v>0.892</v>
      </c>
      <c r="AB757" s="13" t="n">
        <v>125</v>
      </c>
      <c r="AC757" s="13" t="n">
        <v>82</v>
      </c>
      <c r="AD757" s="13" t="n">
        <v>142</v>
      </c>
      <c r="AE757" s="13" t="n">
        <v>7</v>
      </c>
      <c r="AF757" s="13" t="n">
        <v>3.5</v>
      </c>
      <c r="AG757" s="11" t="inlineStr">
        <is>
          <t xml:space="preserve"> Freeski</t>
        </is>
      </c>
      <c r="AH757" s="13" t="n"/>
      <c r="AI757" s="13" t="n"/>
      <c r="AJ757" s="13" t="n"/>
      <c r="AK757" s="42" t="n"/>
    </row>
    <row r="758">
      <c r="E758" s="40" t="inlineStr">
        <is>
          <t>21/22</t>
        </is>
      </c>
      <c r="F758" s="10" t="inlineStr">
        <is>
          <t xml:space="preserve"> Fischer</t>
        </is>
      </c>
      <c r="G758" s="11" t="inlineStr">
        <is>
          <t>Hannibal 106</t>
        </is>
      </c>
      <c r="H758" s="13" t="n">
        <v>171</v>
      </c>
      <c r="I758" s="11" t="inlineStr">
        <is>
          <t xml:space="preserve"> Unisex</t>
        </is>
      </c>
      <c r="J758" s="13" t="n">
        <v>171</v>
      </c>
      <c r="K758" s="13" t="n">
        <v>169.8</v>
      </c>
      <c r="L758" s="13" t="n">
        <v>111</v>
      </c>
      <c r="M758" s="13" t="n">
        <v>142</v>
      </c>
      <c r="N758" s="13" t="n">
        <v>135</v>
      </c>
      <c r="O758" s="13" t="n">
        <v>103</v>
      </c>
      <c r="P758" s="13" t="n">
        <v>118</v>
      </c>
      <c r="Q758" s="13" t="n">
        <v>20.4</v>
      </c>
      <c r="R758" s="13" t="n">
        <v>1463</v>
      </c>
      <c r="S758" s="13" t="n">
        <v>1.3</v>
      </c>
      <c r="T758" s="13" t="n">
        <v>1895</v>
      </c>
      <c r="U758" s="13" t="n">
        <v>216</v>
      </c>
      <c r="V758" s="13" t="n">
        <v>93</v>
      </c>
      <c r="W758" s="13" t="n">
        <v>65</v>
      </c>
      <c r="X758" s="13" t="n">
        <v>419</v>
      </c>
      <c r="Y758" s="13" t="n">
        <v>14</v>
      </c>
      <c r="Z758" s="13" t="n">
        <v>165</v>
      </c>
      <c r="AA758" s="13" t="n">
        <v>0.216</v>
      </c>
      <c r="AB758" s="13" t="n">
        <v>163</v>
      </c>
      <c r="AC758" s="13" t="n">
        <v>119</v>
      </c>
      <c r="AD758" s="13" t="n">
        <v>256</v>
      </c>
      <c r="AE758" s="13" t="n">
        <v>1</v>
      </c>
      <c r="AF758" s="13" t="n">
        <v>12.9</v>
      </c>
      <c r="AG758" s="11" t="inlineStr">
        <is>
          <t xml:space="preserve"> Big Mountain</t>
        </is>
      </c>
      <c r="AH758" s="11" t="inlineStr">
        <is>
          <t xml:space="preserve"> Touring</t>
        </is>
      </c>
      <c r="AI758" s="11" t="inlineStr">
        <is>
          <t xml:space="preserve"> Ultralight Touring</t>
        </is>
      </c>
      <c r="AJ758" s="13" t="n"/>
      <c r="AK758" s="42" t="n"/>
    </row>
    <row r="759">
      <c r="E759" s="40" t="inlineStr">
        <is>
          <t>21/22</t>
        </is>
      </c>
      <c r="F759" s="10" t="inlineStr">
        <is>
          <t xml:space="preserve"> Fischer</t>
        </is>
      </c>
      <c r="G759" s="11" t="inlineStr">
        <is>
          <t>Hannibal 106</t>
        </is>
      </c>
      <c r="H759" s="13" t="n">
        <v>178</v>
      </c>
      <c r="I759" s="11" t="inlineStr">
        <is>
          <t xml:space="preserve"> Unisex</t>
        </is>
      </c>
      <c r="J759" s="13" t="n">
        <v>178</v>
      </c>
      <c r="K759" s="13" t="n">
        <v>176.9</v>
      </c>
      <c r="L759" s="13" t="n">
        <v>118</v>
      </c>
      <c r="M759" s="13" t="n">
        <v>148</v>
      </c>
      <c r="N759" s="13" t="n">
        <v>137</v>
      </c>
      <c r="O759" s="13" t="n">
        <v>104</v>
      </c>
      <c r="P759" s="13" t="n">
        <v>120</v>
      </c>
      <c r="Q759" s="13" t="n">
        <v>21.7</v>
      </c>
      <c r="R759" s="13" t="n">
        <v>1560</v>
      </c>
      <c r="S759" s="13" t="n">
        <v>1.29</v>
      </c>
      <c r="T759" s="13" t="n">
        <v>2007</v>
      </c>
      <c r="U759" s="13" t="n">
        <v>243</v>
      </c>
      <c r="V759" s="13" t="n">
        <v>107</v>
      </c>
      <c r="W759" s="13" t="n">
        <v>63</v>
      </c>
      <c r="X759" s="13" t="n">
        <v>411</v>
      </c>
      <c r="Y759" s="13" t="n">
        <v>13</v>
      </c>
      <c r="Z759" s="13" t="n">
        <v>175</v>
      </c>
      <c r="AA759" s="13" t="n">
        <v>0.205</v>
      </c>
      <c r="AB759" s="13" t="n">
        <v>164</v>
      </c>
      <c r="AC759" s="13" t="n">
        <v>126</v>
      </c>
      <c r="AD759" s="13" t="n">
        <v>247</v>
      </c>
      <c r="AE759" s="13" t="n">
        <v>4</v>
      </c>
      <c r="AF759" s="13" t="n">
        <v>11.4</v>
      </c>
      <c r="AG759" s="11" t="inlineStr">
        <is>
          <t xml:space="preserve"> Resort Freeride</t>
        </is>
      </c>
      <c r="AH759" s="11" t="inlineStr">
        <is>
          <t xml:space="preserve"> Big Mountain</t>
        </is>
      </c>
      <c r="AI759" s="11" t="inlineStr">
        <is>
          <t xml:space="preserve"> Touring</t>
        </is>
      </c>
      <c r="AJ759" s="11" t="inlineStr">
        <is>
          <t xml:space="preserve"> Ultralight Touring</t>
        </is>
      </c>
      <c r="AK759" s="42" t="n"/>
    </row>
    <row r="760">
      <c r="E760" s="40" t="inlineStr">
        <is>
          <t>21/22</t>
        </is>
      </c>
      <c r="F760" s="10" t="inlineStr">
        <is>
          <t xml:space="preserve"> Fischer</t>
        </is>
      </c>
      <c r="G760" s="11" t="inlineStr">
        <is>
          <t>Hannibal 106</t>
        </is>
      </c>
      <c r="H760" s="13" t="n">
        <v>185</v>
      </c>
      <c r="I760" s="11" t="inlineStr">
        <is>
          <t xml:space="preserve"> Unisex</t>
        </is>
      </c>
      <c r="J760" s="13" t="n">
        <v>185</v>
      </c>
      <c r="K760" s="13" t="n">
        <v>183.6</v>
      </c>
      <c r="L760" s="13" t="n">
        <v>118</v>
      </c>
      <c r="M760" s="13" t="n">
        <v>152</v>
      </c>
      <c r="N760" s="13" t="n">
        <v>139</v>
      </c>
      <c r="O760" s="13" t="n">
        <v>107</v>
      </c>
      <c r="P760" s="13" t="n">
        <v>123</v>
      </c>
      <c r="Q760" s="13" t="n">
        <v>22.7</v>
      </c>
      <c r="R760" s="13" t="n">
        <v>1692</v>
      </c>
      <c r="S760" s="13" t="n">
        <v>1.26</v>
      </c>
      <c r="T760" s="13" t="n">
        <v>2133</v>
      </c>
      <c r="U760" s="13" t="n">
        <v>264</v>
      </c>
      <c r="V760" s="13" t="n">
        <v>124</v>
      </c>
      <c r="W760" s="13" t="n">
        <v>69</v>
      </c>
      <c r="X760" s="13" t="n">
        <v>464</v>
      </c>
      <c r="Y760" s="13" t="n">
        <v>9</v>
      </c>
      <c r="Z760" s="13" t="n">
        <v>189</v>
      </c>
      <c r="AA760" s="13" t="n">
        <v>0.131</v>
      </c>
      <c r="AB760" s="13" t="n">
        <v>185</v>
      </c>
      <c r="AC760" s="13" t="n">
        <v>135</v>
      </c>
      <c r="AD760" s="13" t="n">
        <v>280</v>
      </c>
      <c r="AE760" s="13" t="n">
        <v>4</v>
      </c>
      <c r="AF760" s="13" t="n">
        <v>11.8</v>
      </c>
      <c r="AG760" s="11" t="inlineStr">
        <is>
          <t xml:space="preserve"> Big Mountain</t>
        </is>
      </c>
      <c r="AH760" s="11" t="inlineStr">
        <is>
          <t xml:space="preserve"> Touring</t>
        </is>
      </c>
      <c r="AI760" s="11" t="inlineStr">
        <is>
          <t xml:space="preserve"> Ultralight Touring</t>
        </is>
      </c>
      <c r="AJ760" s="13" t="n"/>
      <c r="AK760" s="42" t="n"/>
    </row>
    <row r="761">
      <c r="E761" s="40" t="inlineStr">
        <is>
          <t>21/22</t>
        </is>
      </c>
      <c r="F761" s="10" t="inlineStr">
        <is>
          <t xml:space="preserve"> Fischer</t>
        </is>
      </c>
      <c r="G761" s="11" t="inlineStr">
        <is>
          <t>Hannibal 96</t>
        </is>
      </c>
      <c r="H761" s="13" t="n">
        <v>162</v>
      </c>
      <c r="I761" s="11" t="inlineStr">
        <is>
          <t xml:space="preserve"> Unisex</t>
        </is>
      </c>
      <c r="J761" s="13" t="n">
        <v>162</v>
      </c>
      <c r="K761" s="13" t="n">
        <v>161</v>
      </c>
      <c r="L761" s="13" t="n">
        <v>116</v>
      </c>
      <c r="M761" s="13" t="n">
        <v>138</v>
      </c>
      <c r="N761" s="13" t="n">
        <v>124</v>
      </c>
      <c r="O761" s="13" t="n">
        <v>93</v>
      </c>
      <c r="P761" s="13" t="n">
        <v>111</v>
      </c>
      <c r="Q761" s="13" t="n">
        <v>18.5</v>
      </c>
      <c r="R761" s="13" t="n">
        <v>1133</v>
      </c>
      <c r="S761" s="13" t="n">
        <v>1.45</v>
      </c>
      <c r="T761" s="13" t="n">
        <v>1640</v>
      </c>
      <c r="U761" s="13" t="n">
        <v>118</v>
      </c>
      <c r="V761" s="13" t="n">
        <v>50</v>
      </c>
      <c r="W761" s="13" t="n">
        <v>58</v>
      </c>
      <c r="X761" s="13" t="n">
        <v>311</v>
      </c>
      <c r="Y761" s="13" t="n">
        <v>5</v>
      </c>
      <c r="Z761" s="13" t="n">
        <v>138</v>
      </c>
      <c r="AA761" s="13" t="n">
        <v>0.08500000000000001</v>
      </c>
      <c r="AB761" s="13" t="n">
        <v>150</v>
      </c>
      <c r="AC761" s="13" t="n">
        <v>76</v>
      </c>
      <c r="AD761" s="13" t="n">
        <v>161</v>
      </c>
      <c r="AE761" s="13" t="n">
        <v>2</v>
      </c>
      <c r="AF761" s="13" t="n">
        <v>10</v>
      </c>
      <c r="AG761" s="11" t="inlineStr">
        <is>
          <t xml:space="preserve"> Touring</t>
        </is>
      </c>
      <c r="AH761" s="11" t="inlineStr">
        <is>
          <t xml:space="preserve"> Ultralight Touring</t>
        </is>
      </c>
      <c r="AI761" s="13" t="n"/>
      <c r="AJ761" s="13" t="n"/>
      <c r="AK761" s="42" t="n"/>
    </row>
    <row r="762">
      <c r="E762" s="40" t="inlineStr">
        <is>
          <t>21/22</t>
        </is>
      </c>
      <c r="F762" s="10" t="inlineStr">
        <is>
          <t xml:space="preserve"> Fischer</t>
        </is>
      </c>
      <c r="G762" s="11" t="inlineStr">
        <is>
          <t>Hannibal 96</t>
        </is>
      </c>
      <c r="H762" s="13" t="n">
        <v>169</v>
      </c>
      <c r="I762" s="11" t="inlineStr">
        <is>
          <t xml:space="preserve"> Unisex</t>
        </is>
      </c>
      <c r="J762" s="13" t="n">
        <v>169</v>
      </c>
      <c r="K762" s="13" t="n">
        <v>168.5</v>
      </c>
      <c r="L762" s="13" t="n">
        <v>130</v>
      </c>
      <c r="M762" s="13" t="n">
        <v>144</v>
      </c>
      <c r="N762" s="13" t="n">
        <v>125</v>
      </c>
      <c r="O762" s="13" t="n">
        <v>94</v>
      </c>
      <c r="P762" s="13" t="n">
        <v>111</v>
      </c>
      <c r="Q762" s="13" t="n">
        <v>19.9</v>
      </c>
      <c r="R762" s="13" t="n">
        <v>1198</v>
      </c>
      <c r="S762" s="13" t="n">
        <v>1.45</v>
      </c>
      <c r="T762" s="13" t="n">
        <v>1735</v>
      </c>
      <c r="U762" s="13" t="n">
        <v>136</v>
      </c>
      <c r="V762" s="13" t="n">
        <v>58</v>
      </c>
      <c r="W762" s="13" t="n">
        <v>54</v>
      </c>
      <c r="X762" s="13" t="n">
        <v>280</v>
      </c>
      <c r="Y762" s="13" t="n">
        <v>3</v>
      </c>
      <c r="Z762" s="13" t="n">
        <v>106</v>
      </c>
      <c r="AA762" s="13" t="n">
        <v>0.062</v>
      </c>
      <c r="AB762" s="13" t="n">
        <v>161</v>
      </c>
      <c r="AC762" s="13" t="n">
        <v>87</v>
      </c>
      <c r="AD762" s="13" t="n">
        <v>119</v>
      </c>
      <c r="AE762" s="13" t="n">
        <v>6</v>
      </c>
      <c r="AF762" s="13" t="n">
        <v>9.800000000000001</v>
      </c>
      <c r="AG762" s="11" t="inlineStr">
        <is>
          <t xml:space="preserve"> Touring</t>
        </is>
      </c>
      <c r="AH762" s="11" t="inlineStr">
        <is>
          <t xml:space="preserve"> Ultralight Touring</t>
        </is>
      </c>
      <c r="AI762" s="13" t="n"/>
      <c r="AJ762" s="13" t="n"/>
      <c r="AK762" s="42" t="n"/>
    </row>
    <row r="763">
      <c r="E763" s="40" t="inlineStr">
        <is>
          <t>21/22</t>
        </is>
      </c>
      <c r="F763" s="10" t="inlineStr">
        <is>
          <t xml:space="preserve"> Fischer</t>
        </is>
      </c>
      <c r="G763" s="11" t="inlineStr">
        <is>
          <t>Hannibal 96</t>
        </is>
      </c>
      <c r="H763" s="13" t="n">
        <v>176</v>
      </c>
      <c r="I763" s="11" t="inlineStr">
        <is>
          <t xml:space="preserve"> Unisex</t>
        </is>
      </c>
      <c r="J763" s="13" t="n">
        <v>176</v>
      </c>
      <c r="K763" s="13" t="n">
        <v>174.7</v>
      </c>
      <c r="L763" s="13" t="n">
        <v>130</v>
      </c>
      <c r="M763" s="13" t="n">
        <v>150</v>
      </c>
      <c r="N763" s="13" t="n">
        <v>126</v>
      </c>
      <c r="O763" s="13" t="n">
        <v>95</v>
      </c>
      <c r="P763" s="13" t="n">
        <v>112</v>
      </c>
      <c r="Q763" s="13" t="n">
        <v>21</v>
      </c>
      <c r="R763" s="13" t="n">
        <v>1265</v>
      </c>
      <c r="S763" s="13" t="n">
        <v>1.44</v>
      </c>
      <c r="T763" s="13" t="n">
        <v>1824</v>
      </c>
      <c r="U763" s="13" t="n">
        <v>155</v>
      </c>
      <c r="V763" s="13" t="n">
        <v>66</v>
      </c>
      <c r="W763" s="13" t="n">
        <v>65</v>
      </c>
      <c r="X763" s="13" t="n">
        <v>301</v>
      </c>
      <c r="Y763" s="13" t="n">
        <v>5</v>
      </c>
      <c r="Z763" s="13" t="n">
        <v>149</v>
      </c>
      <c r="AA763" s="13" t="n">
        <v>0.076</v>
      </c>
      <c r="AB763" s="13" t="n">
        <v>161</v>
      </c>
      <c r="AC763" s="13" t="n">
        <v>90</v>
      </c>
      <c r="AD763" s="13" t="n">
        <v>140</v>
      </c>
      <c r="AE763" s="13" t="n">
        <v>5</v>
      </c>
      <c r="AF763" s="13" t="n">
        <v>9.300000000000001</v>
      </c>
      <c r="AG763" s="11" t="inlineStr">
        <is>
          <t xml:space="preserve"> Touring</t>
        </is>
      </c>
      <c r="AH763" s="11" t="inlineStr">
        <is>
          <t xml:space="preserve"> Ultralight Touring</t>
        </is>
      </c>
      <c r="AI763" s="13" t="n"/>
      <c r="AJ763" s="13" t="n"/>
      <c r="AK763" s="42" t="n"/>
    </row>
    <row r="764">
      <c r="E764" s="40" t="inlineStr">
        <is>
          <t>21/22</t>
        </is>
      </c>
      <c r="F764" s="10" t="inlineStr">
        <is>
          <t xml:space="preserve"> Fischer</t>
        </is>
      </c>
      <c r="G764" s="11" t="inlineStr">
        <is>
          <t>Hannibal 96</t>
        </is>
      </c>
      <c r="H764" s="13" t="n">
        <v>183</v>
      </c>
      <c r="I764" s="11" t="inlineStr">
        <is>
          <t xml:space="preserve"> Unisex</t>
        </is>
      </c>
      <c r="J764" s="13" t="n">
        <v>183</v>
      </c>
      <c r="K764" s="13" t="n">
        <v>181.9</v>
      </c>
      <c r="L764" s="13" t="n">
        <v>139</v>
      </c>
      <c r="M764" s="13" t="n">
        <v>156</v>
      </c>
      <c r="N764" s="13" t="n">
        <v>127</v>
      </c>
      <c r="O764" s="13" t="n">
        <v>96</v>
      </c>
      <c r="P764" s="13" t="n">
        <v>114</v>
      </c>
      <c r="Q764" s="13" t="n">
        <v>22.3</v>
      </c>
      <c r="R764" s="13" t="n">
        <v>1367</v>
      </c>
      <c r="S764" s="13" t="n">
        <v>1.4</v>
      </c>
      <c r="T764" s="13" t="n">
        <v>1919</v>
      </c>
      <c r="U764" s="13" t="n">
        <v>179</v>
      </c>
      <c r="V764" s="13" t="n">
        <v>78</v>
      </c>
      <c r="W764" s="13" t="n">
        <v>60</v>
      </c>
      <c r="X764" s="13" t="n">
        <v>308</v>
      </c>
      <c r="Y764" s="13" t="n">
        <v>3</v>
      </c>
      <c r="Z764" s="13" t="n">
        <v>125</v>
      </c>
      <c r="AA764" s="13" t="n">
        <v>0.058</v>
      </c>
      <c r="AB764" s="13" t="n">
        <v>172</v>
      </c>
      <c r="AC764" s="13" t="n">
        <v>91</v>
      </c>
      <c r="AD764" s="13" t="n">
        <v>136</v>
      </c>
      <c r="AE764" s="13" t="n">
        <v>6</v>
      </c>
      <c r="AF764" s="13" t="n">
        <v>9.6</v>
      </c>
      <c r="AG764" s="11" t="inlineStr">
        <is>
          <t xml:space="preserve"> Touring</t>
        </is>
      </c>
      <c r="AH764" s="11" t="inlineStr">
        <is>
          <t xml:space="preserve"> Ultralight Touring</t>
        </is>
      </c>
      <c r="AI764" s="13" t="n"/>
      <c r="AJ764" s="13" t="n"/>
      <c r="AK764" s="42" t="n"/>
    </row>
    <row r="765">
      <c r="E765" s="40" t="inlineStr">
        <is>
          <t>21/22</t>
        </is>
      </c>
      <c r="F765" s="10" t="inlineStr">
        <is>
          <t xml:space="preserve"> Fischer</t>
        </is>
      </c>
      <c r="G765" s="11" t="inlineStr">
        <is>
          <t xml:space="preserve"> Nightstick Team</t>
        </is>
      </c>
      <c r="H765" s="13" t="n">
        <v>151</v>
      </c>
      <c r="I765" s="11" t="inlineStr">
        <is>
          <t xml:space="preserve"> Junior</t>
        </is>
      </c>
      <c r="J765" s="13" t="n">
        <v>151</v>
      </c>
      <c r="K765" s="13" t="n">
        <v>149.2</v>
      </c>
      <c r="L765" s="13" t="n">
        <v>121</v>
      </c>
      <c r="M765" s="13" t="n">
        <v>130</v>
      </c>
      <c r="N765" s="13" t="n">
        <v>117</v>
      </c>
      <c r="O765" s="13" t="n">
        <v>81</v>
      </c>
      <c r="P765" s="13" t="n">
        <v>106</v>
      </c>
      <c r="Q765" s="13" t="n">
        <v>14.1</v>
      </c>
      <c r="R765" s="13" t="n">
        <v>1365</v>
      </c>
      <c r="S765" s="13" t="n">
        <v>1</v>
      </c>
      <c r="T765" s="13" t="n">
        <v>1370</v>
      </c>
      <c r="U765" s="13" t="n">
        <v>114</v>
      </c>
      <c r="V765" s="13" t="n">
        <v>43</v>
      </c>
      <c r="W765" s="13" t="n">
        <v>47</v>
      </c>
      <c r="X765" s="13" t="n">
        <v>151</v>
      </c>
      <c r="Y765" s="13" t="n">
        <v>33</v>
      </c>
      <c r="Z765" s="13" t="n">
        <v>127</v>
      </c>
      <c r="AA765" s="13" t="n">
        <v>0.71</v>
      </c>
      <c r="AB765" s="13" t="n">
        <v>100</v>
      </c>
      <c r="AC765" s="13" t="n">
        <v>91</v>
      </c>
      <c r="AD765" s="13" t="n">
        <v>51</v>
      </c>
      <c r="AE765" s="13" t="n">
        <v>12</v>
      </c>
      <c r="AF765" s="13" t="n">
        <v>-0.9</v>
      </c>
      <c r="AG765" s="11" t="inlineStr">
        <is>
          <t xml:space="preserve"> Resort Freeride</t>
        </is>
      </c>
      <c r="AH765" s="13" t="n"/>
      <c r="AI765" s="13" t="n"/>
      <c r="AJ765" s="13" t="n"/>
      <c r="AK765" s="42" t="n"/>
    </row>
    <row r="766">
      <c r="E766" s="40" t="inlineStr">
        <is>
          <t>21/22</t>
        </is>
      </c>
      <c r="F766" s="10" t="inlineStr">
        <is>
          <t xml:space="preserve"> Fischer</t>
        </is>
      </c>
      <c r="G766" s="11" t="inlineStr">
        <is>
          <t xml:space="preserve"> Nightstick Team</t>
        </is>
      </c>
      <c r="H766" s="13" t="n">
        <v>161</v>
      </c>
      <c r="I766" s="11" t="inlineStr">
        <is>
          <t xml:space="preserve"> Junior</t>
        </is>
      </c>
      <c r="J766" s="13" t="n">
        <v>161</v>
      </c>
      <c r="K766" s="13" t="n">
        <v>159.1</v>
      </c>
      <c r="L766" s="13" t="n">
        <v>130</v>
      </c>
      <c r="M766" s="13" t="n">
        <v>141</v>
      </c>
      <c r="N766" s="13" t="n">
        <v>118</v>
      </c>
      <c r="O766" s="13" t="n">
        <v>82</v>
      </c>
      <c r="P766" s="13" t="n">
        <v>107</v>
      </c>
      <c r="Q766" s="13" t="n">
        <v>15.7</v>
      </c>
      <c r="R766" s="13" t="n">
        <v>1564</v>
      </c>
      <c r="S766" s="13" t="n">
        <v>0.95</v>
      </c>
      <c r="T766" s="13" t="n">
        <v>1482</v>
      </c>
      <c r="U766" s="13" t="n">
        <v>156</v>
      </c>
      <c r="V766" s="13" t="n">
        <v>56</v>
      </c>
      <c r="W766" s="13" t="n">
        <v>47</v>
      </c>
      <c r="X766" s="13" t="n">
        <v>156</v>
      </c>
      <c r="Y766" s="13" t="n">
        <v>36</v>
      </c>
      <c r="Z766" s="13" t="n">
        <v>139</v>
      </c>
      <c r="AA766" s="13" t="n">
        <v>0.752</v>
      </c>
      <c r="AB766" s="13" t="n">
        <v>94</v>
      </c>
      <c r="AC766" s="13" t="n">
        <v>90</v>
      </c>
      <c r="AD766" s="13" t="n">
        <v>62</v>
      </c>
      <c r="AE766" s="13" t="n">
        <v>9</v>
      </c>
      <c r="AF766" s="13" t="n">
        <v>-1.3</v>
      </c>
      <c r="AG766" s="11" t="inlineStr">
        <is>
          <t xml:space="preserve"> Resort Freeride</t>
        </is>
      </c>
      <c r="AH766" s="13" t="n"/>
      <c r="AI766" s="13" t="n"/>
      <c r="AJ766" s="13" t="n"/>
      <c r="AK766" s="42" t="n"/>
    </row>
    <row r="767">
      <c r="E767" s="40" t="inlineStr">
        <is>
          <t>21/22</t>
        </is>
      </c>
      <c r="F767" s="10" t="inlineStr">
        <is>
          <t xml:space="preserve"> Fischer</t>
        </is>
      </c>
      <c r="G767" s="11" t="inlineStr">
        <is>
          <t>Ranger 102 FR</t>
        </is>
      </c>
      <c r="H767" s="13" t="n">
        <v>170</v>
      </c>
      <c r="I767" s="11" t="inlineStr">
        <is>
          <t xml:space="preserve"> Unisex</t>
        </is>
      </c>
      <c r="J767" s="13" t="n">
        <v>170</v>
      </c>
      <c r="K767" s="13" t="n">
        <v>168.7</v>
      </c>
      <c r="L767" s="13" t="n">
        <v>116</v>
      </c>
      <c r="M767" s="13" t="n">
        <v>139</v>
      </c>
      <c r="N767" s="13" t="n">
        <v>134</v>
      </c>
      <c r="O767" s="13" t="n">
        <v>100</v>
      </c>
      <c r="P767" s="13" t="n">
        <v>124</v>
      </c>
      <c r="Q767" s="13" t="n">
        <v>13.9</v>
      </c>
      <c r="R767" s="13" t="n">
        <v>1664</v>
      </c>
      <c r="S767" s="13" t="n">
        <v>1.14</v>
      </c>
      <c r="T767" s="13" t="n">
        <v>1900</v>
      </c>
      <c r="U767" s="13" t="n">
        <v>172</v>
      </c>
      <c r="V767" s="13" t="n">
        <v>89</v>
      </c>
      <c r="W767" s="13" t="n">
        <v>48</v>
      </c>
      <c r="X767" s="13" t="n">
        <v>342</v>
      </c>
      <c r="Y767" s="13" t="n">
        <v>29</v>
      </c>
      <c r="Z767" s="13" t="n">
        <v>182</v>
      </c>
      <c r="AA767" s="13" t="n">
        <v>0.601</v>
      </c>
      <c r="AB767" s="13" t="n">
        <v>153</v>
      </c>
      <c r="AC767" s="13" t="n">
        <v>145</v>
      </c>
      <c r="AD767" s="13" t="n">
        <v>189</v>
      </c>
      <c r="AE767" s="13" t="n">
        <v>7</v>
      </c>
      <c r="AF767" s="13" t="n">
        <v>9.5</v>
      </c>
      <c r="AG767" s="11" t="inlineStr">
        <is>
          <t xml:space="preserve"> Resort Freeride</t>
        </is>
      </c>
      <c r="AH767" s="11" t="inlineStr">
        <is>
          <t xml:space="preserve"> Touring</t>
        </is>
      </c>
      <c r="AI767" s="13" t="n"/>
      <c r="AJ767" s="13" t="n"/>
      <c r="AK767" s="42" t="n"/>
    </row>
    <row r="768">
      <c r="E768" s="40" t="inlineStr">
        <is>
          <t>21/22</t>
        </is>
      </c>
      <c r="F768" s="10" t="inlineStr">
        <is>
          <t xml:space="preserve"> Fischer</t>
        </is>
      </c>
      <c r="G768" s="11" t="inlineStr">
        <is>
          <t>Ranger 102 FR</t>
        </is>
      </c>
      <c r="H768" s="13" t="n">
        <v>177</v>
      </c>
      <c r="I768" s="11" t="inlineStr">
        <is>
          <t xml:space="preserve"> Unisex</t>
        </is>
      </c>
      <c r="J768" s="13" t="n">
        <v>177</v>
      </c>
      <c r="K768" s="13" t="n">
        <v>176.8</v>
      </c>
      <c r="L768" s="13" t="n">
        <v>121</v>
      </c>
      <c r="M768" s="13" t="n">
        <v>146</v>
      </c>
      <c r="N768" s="13" t="n">
        <v>135</v>
      </c>
      <c r="O768" s="13" t="n">
        <v>101</v>
      </c>
      <c r="P768" s="13" t="n">
        <v>125</v>
      </c>
      <c r="Q768" s="13" t="n">
        <v>15.4</v>
      </c>
      <c r="R768" s="13" t="n">
        <v>1850</v>
      </c>
      <c r="S768" s="13" t="n">
        <v>1.08</v>
      </c>
      <c r="T768" s="13" t="n">
        <v>2004</v>
      </c>
      <c r="U768" s="13" t="n">
        <v>214</v>
      </c>
      <c r="V768" s="13" t="n">
        <v>104</v>
      </c>
      <c r="W768" s="13" t="n">
        <v>49</v>
      </c>
      <c r="X768" s="13" t="n">
        <v>368</v>
      </c>
      <c r="Y768" s="13" t="n">
        <v>29</v>
      </c>
      <c r="Z768" s="13" t="n">
        <v>195</v>
      </c>
      <c r="AA768" s="13" t="n">
        <v>0.598</v>
      </c>
      <c r="AB768" s="13" t="n">
        <v>158</v>
      </c>
      <c r="AC768" s="13" t="n">
        <v>154</v>
      </c>
      <c r="AD768" s="13" t="n">
        <v>210</v>
      </c>
      <c r="AE768" s="13" t="n">
        <v>6</v>
      </c>
      <c r="AF768" s="13" t="n">
        <v>9.199999999999999</v>
      </c>
      <c r="AG768" s="11" t="inlineStr">
        <is>
          <t xml:space="preserve"> Resort Freeride</t>
        </is>
      </c>
      <c r="AH768" s="11" t="inlineStr">
        <is>
          <t xml:space="preserve"> Powder</t>
        </is>
      </c>
      <c r="AI768" s="11" t="inlineStr">
        <is>
          <t xml:space="preserve"> Touring</t>
        </is>
      </c>
      <c r="AJ768" s="13" t="n"/>
      <c r="AK768" s="42" t="n"/>
    </row>
    <row r="769">
      <c r="E769" s="40" t="inlineStr">
        <is>
          <t>21/22</t>
        </is>
      </c>
      <c r="F769" s="10" t="inlineStr">
        <is>
          <t xml:space="preserve"> Fischer</t>
        </is>
      </c>
      <c r="G769" s="11" t="inlineStr">
        <is>
          <t>Ranger 102 FR</t>
        </is>
      </c>
      <c r="H769" s="13" t="n">
        <v>191</v>
      </c>
      <c r="I769" s="11" t="inlineStr">
        <is>
          <t xml:space="preserve"> Unisex</t>
        </is>
      </c>
      <c r="J769" s="13" t="n">
        <v>191</v>
      </c>
      <c r="K769" s="13" t="n">
        <v>190.7</v>
      </c>
      <c r="L769" s="13" t="n">
        <v>132</v>
      </c>
      <c r="M769" s="13" t="n">
        <v>157</v>
      </c>
      <c r="N769" s="13" t="n">
        <v>137</v>
      </c>
      <c r="O769" s="13" t="n">
        <v>103</v>
      </c>
      <c r="P769" s="13" t="n">
        <v>127</v>
      </c>
      <c r="Q769" s="13" t="n">
        <v>17.7</v>
      </c>
      <c r="R769" s="13" t="n">
        <v>2039</v>
      </c>
      <c r="S769" s="13" t="n">
        <v>1.08</v>
      </c>
      <c r="T769" s="13" t="n">
        <v>2209</v>
      </c>
      <c r="U769" s="13" t="n">
        <v>251</v>
      </c>
      <c r="V769" s="13" t="n">
        <v>121</v>
      </c>
      <c r="W769" s="13" t="n">
        <v>50</v>
      </c>
      <c r="X769" s="13" t="n">
        <v>379</v>
      </c>
      <c r="Y769" s="13" t="n">
        <v>28</v>
      </c>
      <c r="Z769" s="13" t="n">
        <v>212</v>
      </c>
      <c r="AA769" s="13" t="n">
        <v>0.552</v>
      </c>
      <c r="AB769" s="13" t="n">
        <v>174</v>
      </c>
      <c r="AC769" s="13" t="n">
        <v>163</v>
      </c>
      <c r="AD769" s="13" t="n">
        <v>204</v>
      </c>
      <c r="AE769" s="13" t="n">
        <v>6</v>
      </c>
      <c r="AF769" s="13" t="n">
        <v>10.6</v>
      </c>
      <c r="AG769" s="11" t="inlineStr">
        <is>
          <t xml:space="preserve"> Resort Freeride</t>
        </is>
      </c>
      <c r="AH769" s="11" t="inlineStr">
        <is>
          <t xml:space="preserve"> Powder</t>
        </is>
      </c>
      <c r="AI769" s="11" t="inlineStr">
        <is>
          <t xml:space="preserve"> Touring</t>
        </is>
      </c>
      <c r="AJ769" s="13" t="n"/>
      <c r="AK769" s="42" t="n"/>
    </row>
    <row r="770">
      <c r="E770" s="40" t="inlineStr">
        <is>
          <t>21/22</t>
        </is>
      </c>
      <c r="F770" s="10" t="inlineStr">
        <is>
          <t xml:space="preserve"> Fischer</t>
        </is>
      </c>
      <c r="G770" s="11" t="inlineStr">
        <is>
          <t>Ranger 102 FR W</t>
        </is>
      </c>
      <c r="H770" s="13" t="n">
        <v>156</v>
      </c>
      <c r="I770" s="11" t="inlineStr">
        <is>
          <t xml:space="preserve"> Women's</t>
        </is>
      </c>
      <c r="J770" s="13" t="n">
        <v>156</v>
      </c>
      <c r="K770" s="13" t="n">
        <v>154.8</v>
      </c>
      <c r="L770" s="13" t="n">
        <v>109</v>
      </c>
      <c r="M770" s="13" t="n">
        <v>128</v>
      </c>
      <c r="N770" s="13" t="n">
        <v>132</v>
      </c>
      <c r="O770" s="13" t="n">
        <v>98</v>
      </c>
      <c r="P770" s="13" t="n">
        <v>122</v>
      </c>
      <c r="Q770" s="13" t="n">
        <v>11.9</v>
      </c>
      <c r="R770" s="13" t="n">
        <v>1519</v>
      </c>
      <c r="S770" s="13" t="n">
        <v>1.13</v>
      </c>
      <c r="T770" s="13" t="n">
        <v>1716</v>
      </c>
      <c r="U770" s="13" t="n">
        <v>159</v>
      </c>
      <c r="V770" s="13" t="n">
        <v>80</v>
      </c>
      <c r="W770" s="13" t="n">
        <v>48</v>
      </c>
      <c r="X770" s="13" t="n">
        <v>257</v>
      </c>
      <c r="Y770" s="13" t="n">
        <v>34</v>
      </c>
      <c r="Z770" s="13" t="n">
        <v>198</v>
      </c>
      <c r="AA770" s="13" t="n">
        <v>0.719</v>
      </c>
      <c r="AB770" s="13" t="n">
        <v>132</v>
      </c>
      <c r="AC770" s="13" t="n">
        <v>137</v>
      </c>
      <c r="AD770" s="13" t="n">
        <v>125</v>
      </c>
      <c r="AE770" s="13" t="n">
        <v>4</v>
      </c>
      <c r="AF770" s="13" t="n">
        <v>9</v>
      </c>
      <c r="AG770" s="11" t="inlineStr">
        <is>
          <t xml:space="preserve"> Resort Freeride</t>
        </is>
      </c>
      <c r="AH770" s="11" t="inlineStr">
        <is>
          <t xml:space="preserve"> Touring</t>
        </is>
      </c>
      <c r="AI770" s="13" t="n"/>
      <c r="AJ770" s="13" t="n"/>
      <c r="AK770" s="42" t="n"/>
    </row>
    <row r="771">
      <c r="E771" s="40" t="inlineStr">
        <is>
          <t>21/22</t>
        </is>
      </c>
      <c r="F771" s="10" t="inlineStr">
        <is>
          <t xml:space="preserve"> Fischer</t>
        </is>
      </c>
      <c r="G771" s="11" t="inlineStr">
        <is>
          <t>Ranger 102 FR W</t>
        </is>
      </c>
      <c r="H771" s="13" t="n">
        <v>163</v>
      </c>
      <c r="I771" s="11" t="inlineStr">
        <is>
          <t xml:space="preserve"> Women's</t>
        </is>
      </c>
      <c r="J771" s="13" t="n">
        <v>163</v>
      </c>
      <c r="K771" s="13" t="n">
        <v>162.4</v>
      </c>
      <c r="L771" s="13" t="n">
        <v>106</v>
      </c>
      <c r="M771" s="13" t="n">
        <v>134</v>
      </c>
      <c r="N771" s="13" t="n">
        <v>134</v>
      </c>
      <c r="O771" s="13" t="n">
        <v>99</v>
      </c>
      <c r="P771" s="13" t="n">
        <v>124</v>
      </c>
      <c r="Q771" s="13" t="n">
        <v>12.7</v>
      </c>
      <c r="R771" s="13" t="n">
        <v>1609</v>
      </c>
      <c r="S771" s="13" t="n">
        <v>1.13</v>
      </c>
      <c r="T771" s="13" t="n">
        <v>1821</v>
      </c>
      <c r="U771" s="13" t="n">
        <v>170</v>
      </c>
      <c r="V771" s="13" t="n">
        <v>82</v>
      </c>
      <c r="W771" s="13" t="n">
        <v>51</v>
      </c>
      <c r="X771" s="13" t="n">
        <v>345</v>
      </c>
      <c r="Y771" s="13" t="n">
        <v>32</v>
      </c>
      <c r="Z771" s="13" t="n">
        <v>218</v>
      </c>
      <c r="AA771" s="13" t="n">
        <v>0.623</v>
      </c>
      <c r="AB771" s="13" t="n">
        <v>143</v>
      </c>
      <c r="AC771" s="13" t="n">
        <v>145</v>
      </c>
      <c r="AD771" s="13" t="n">
        <v>202</v>
      </c>
      <c r="AE771" s="13" t="n">
        <v>5</v>
      </c>
      <c r="AF771" s="13" t="n">
        <v>9.9</v>
      </c>
      <c r="AG771" s="11" t="inlineStr">
        <is>
          <t xml:space="preserve"> Resort Freeride</t>
        </is>
      </c>
      <c r="AH771" s="11" t="inlineStr">
        <is>
          <t xml:space="preserve"> Touring</t>
        </is>
      </c>
      <c r="AI771" s="13" t="n"/>
      <c r="AJ771" s="13" t="n"/>
      <c r="AK771" s="42" t="n"/>
    </row>
    <row r="772">
      <c r="E772" s="40" t="inlineStr">
        <is>
          <t>21/22</t>
        </is>
      </c>
      <c r="F772" s="10" t="inlineStr">
        <is>
          <t xml:space="preserve"> Fischer</t>
        </is>
      </c>
      <c r="G772" s="11" t="inlineStr">
        <is>
          <t>Ranger 102 FR W</t>
        </is>
      </c>
      <c r="H772" s="13" t="n">
        <v>170</v>
      </c>
      <c r="I772" s="11" t="inlineStr">
        <is>
          <t xml:space="preserve"> Women's</t>
        </is>
      </c>
      <c r="J772" s="13" t="n">
        <v>170</v>
      </c>
      <c r="K772" s="13" t="n">
        <v>168.3</v>
      </c>
      <c r="L772" s="13" t="n">
        <v>113</v>
      </c>
      <c r="M772" s="13" t="n">
        <v>139</v>
      </c>
      <c r="N772" s="13" t="n">
        <v>135</v>
      </c>
      <c r="O772" s="13" t="n">
        <v>100</v>
      </c>
      <c r="P772" s="13" t="n">
        <v>124</v>
      </c>
      <c r="Q772" s="13" t="n">
        <v>13.7</v>
      </c>
      <c r="R772" s="13" t="n">
        <v>1700</v>
      </c>
      <c r="S772" s="13" t="n">
        <v>1.12</v>
      </c>
      <c r="T772" s="13" t="n">
        <v>1900</v>
      </c>
      <c r="U772" s="13" t="n">
        <v>191</v>
      </c>
      <c r="V772" s="13" t="n">
        <v>86</v>
      </c>
      <c r="W772" s="13" t="n">
        <v>50</v>
      </c>
      <c r="X772" s="13" t="n">
        <v>361</v>
      </c>
      <c r="Y772" s="13" t="n">
        <v>30</v>
      </c>
      <c r="Z772" s="13" t="n">
        <v>189</v>
      </c>
      <c r="AA772" s="13" t="n">
        <v>0.594</v>
      </c>
      <c r="AB772" s="13" t="n">
        <v>153</v>
      </c>
      <c r="AC772" s="13" t="n">
        <v>139</v>
      </c>
      <c r="AD772" s="13" t="n">
        <v>208</v>
      </c>
      <c r="AE772" s="13" t="n">
        <v>6</v>
      </c>
      <c r="AF772" s="13" t="n">
        <v>10.5</v>
      </c>
      <c r="AG772" s="11" t="inlineStr">
        <is>
          <t xml:space="preserve"> Resort Freeride</t>
        </is>
      </c>
      <c r="AH772" s="11" t="inlineStr">
        <is>
          <t xml:space="preserve"> Touring</t>
        </is>
      </c>
      <c r="AI772" s="13" t="n"/>
      <c r="AJ772" s="13" t="n"/>
      <c r="AK772" s="42" t="n"/>
    </row>
    <row r="773">
      <c r="E773" s="40" t="inlineStr">
        <is>
          <t>21/22</t>
        </is>
      </c>
      <c r="F773" s="10" t="inlineStr">
        <is>
          <t xml:space="preserve"> Fischer</t>
        </is>
      </c>
      <c r="G773" s="11" t="inlineStr">
        <is>
          <t>Ranger 102 FR W</t>
        </is>
      </c>
      <c r="H773" s="13" t="n">
        <v>177</v>
      </c>
      <c r="I773" s="11" t="inlineStr">
        <is>
          <t xml:space="preserve"> Women's</t>
        </is>
      </c>
      <c r="J773" s="13" t="n">
        <v>177</v>
      </c>
      <c r="K773" s="13" t="n">
        <v>176.5</v>
      </c>
      <c r="L773" s="13" t="n">
        <v>119</v>
      </c>
      <c r="M773" s="13" t="n">
        <v>147</v>
      </c>
      <c r="N773" s="13" t="n">
        <v>135</v>
      </c>
      <c r="O773" s="13" t="n">
        <v>101</v>
      </c>
      <c r="P773" s="13" t="n">
        <v>125</v>
      </c>
      <c r="Q773" s="13" t="n">
        <v>15.2</v>
      </c>
      <c r="R773" s="13" t="n">
        <v>1771</v>
      </c>
      <c r="S773" s="13" t="n">
        <v>1.13</v>
      </c>
      <c r="T773" s="13" t="n">
        <v>2009</v>
      </c>
      <c r="U773" s="13" t="n">
        <v>229</v>
      </c>
      <c r="V773" s="13" t="n">
        <v>105</v>
      </c>
      <c r="W773" s="13" t="n">
        <v>49</v>
      </c>
      <c r="X773" s="13" t="n">
        <v>380</v>
      </c>
      <c r="Y773" s="13" t="n">
        <v>28</v>
      </c>
      <c r="Z773" s="13" t="n">
        <v>192</v>
      </c>
      <c r="AA773" s="13" t="n">
        <v>0.575</v>
      </c>
      <c r="AB773" s="13" t="n">
        <v>148</v>
      </c>
      <c r="AC773" s="13" t="n">
        <v>152</v>
      </c>
      <c r="AD773" s="13" t="n">
        <v>232</v>
      </c>
      <c r="AE773" s="13" t="n">
        <v>6</v>
      </c>
      <c r="AF773" s="13" t="n">
        <v>10.7</v>
      </c>
      <c r="AG773" s="11" t="inlineStr">
        <is>
          <t xml:space="preserve"> Resort Freeride</t>
        </is>
      </c>
      <c r="AH773" s="11" t="inlineStr">
        <is>
          <t xml:space="preserve"> Powder</t>
        </is>
      </c>
      <c r="AI773" s="11" t="inlineStr">
        <is>
          <t xml:space="preserve"> Touring</t>
        </is>
      </c>
      <c r="AJ773" s="13" t="n"/>
      <c r="AK773" s="42" t="n"/>
    </row>
    <row r="774">
      <c r="E774" s="40" t="inlineStr">
        <is>
          <t>21/22</t>
        </is>
      </c>
      <c r="F774" s="10" t="inlineStr">
        <is>
          <t xml:space="preserve"> Fischer</t>
        </is>
      </c>
      <c r="G774" s="11" t="inlineStr">
        <is>
          <t>Ranger 102 FR W</t>
        </is>
      </c>
      <c r="H774" s="13" t="n">
        <v>184</v>
      </c>
      <c r="I774" s="11" t="inlineStr">
        <is>
          <t xml:space="preserve"> Women's</t>
        </is>
      </c>
      <c r="J774" s="13" t="n">
        <v>184</v>
      </c>
      <c r="K774" s="13" t="n">
        <v>184.2</v>
      </c>
      <c r="L774" s="13" t="n">
        <v>125</v>
      </c>
      <c r="M774" s="13" t="n">
        <v>152</v>
      </c>
      <c r="N774" s="13" t="n">
        <v>137</v>
      </c>
      <c r="O774" s="13" t="n">
        <v>102</v>
      </c>
      <c r="P774" s="13" t="n">
        <v>127</v>
      </c>
      <c r="Q774" s="13" t="n">
        <v>16.1</v>
      </c>
      <c r="R774" s="13" t="n">
        <v>1930</v>
      </c>
      <c r="S774" s="13" t="n">
        <v>1.1</v>
      </c>
      <c r="T774" s="13" t="n">
        <v>2127</v>
      </c>
      <c r="U774" s="13" t="n">
        <v>230</v>
      </c>
      <c r="V774" s="13" t="n">
        <v>108</v>
      </c>
      <c r="W774" s="13" t="n">
        <v>51</v>
      </c>
      <c r="X774" s="13" t="n">
        <v>396</v>
      </c>
      <c r="Y774" s="13" t="n">
        <v>28</v>
      </c>
      <c r="Z774" s="13" t="n">
        <v>199</v>
      </c>
      <c r="AA774" s="13" t="n">
        <v>0.552</v>
      </c>
      <c r="AB774" s="13" t="n">
        <v>156</v>
      </c>
      <c r="AC774" s="13" t="n">
        <v>168</v>
      </c>
      <c r="AD774" s="13" t="n">
        <v>240</v>
      </c>
      <c r="AE774" s="13" t="n">
        <v>5</v>
      </c>
      <c r="AF774" s="13" t="n">
        <v>10</v>
      </c>
      <c r="AG774" s="11" t="inlineStr">
        <is>
          <t xml:space="preserve"> Resort Freeride</t>
        </is>
      </c>
      <c r="AH774" s="11" t="inlineStr">
        <is>
          <t xml:space="preserve"> Powder</t>
        </is>
      </c>
      <c r="AI774" s="11" t="inlineStr">
        <is>
          <t xml:space="preserve"> Touring</t>
        </is>
      </c>
      <c r="AJ774" s="13" t="n"/>
      <c r="AK774" s="42" t="n"/>
    </row>
    <row r="775">
      <c r="E775" s="40" t="inlineStr">
        <is>
          <t>21/22</t>
        </is>
      </c>
      <c r="F775" s="10" t="inlineStr">
        <is>
          <t xml:space="preserve"> Fischer</t>
        </is>
      </c>
      <c r="G775" s="11" t="inlineStr">
        <is>
          <t>Ranger 102 FR W</t>
        </is>
      </c>
      <c r="H775" s="13" t="n">
        <v>191</v>
      </c>
      <c r="I775" s="11" t="inlineStr">
        <is>
          <t xml:space="preserve"> Women's</t>
        </is>
      </c>
      <c r="J775" s="13" t="n">
        <v>191</v>
      </c>
      <c r="K775" s="13" t="n">
        <v>190.3</v>
      </c>
      <c r="L775" s="13" t="n">
        <v>131</v>
      </c>
      <c r="M775" s="13" t="n">
        <v>157</v>
      </c>
      <c r="N775" s="13" t="n">
        <v>137</v>
      </c>
      <c r="O775" s="13" t="n">
        <v>103</v>
      </c>
      <c r="P775" s="13" t="n">
        <v>127</v>
      </c>
      <c r="Q775" s="13" t="n">
        <v>17.7</v>
      </c>
      <c r="R775" s="13" t="n">
        <v>2039</v>
      </c>
      <c r="S775" s="13" t="n">
        <v>1.08</v>
      </c>
      <c r="T775" s="13" t="n">
        <v>2205</v>
      </c>
      <c r="U775" s="13" t="n">
        <v>247</v>
      </c>
      <c r="V775" s="13" t="n">
        <v>126</v>
      </c>
      <c r="W775" s="13" t="n">
        <v>49</v>
      </c>
      <c r="X775" s="13" t="n">
        <v>379</v>
      </c>
      <c r="Y775" s="13" t="n">
        <v>27</v>
      </c>
      <c r="Z775" s="13" t="n">
        <v>212</v>
      </c>
      <c r="AA775" s="13" t="n">
        <v>0.551</v>
      </c>
      <c r="AB775" s="13" t="n">
        <v>174</v>
      </c>
      <c r="AC775" s="13" t="n">
        <v>155</v>
      </c>
      <c r="AD775" s="13" t="n">
        <v>205</v>
      </c>
      <c r="AE775" s="13" t="n">
        <v>7</v>
      </c>
      <c r="AF775" s="13" t="n">
        <v>10.7</v>
      </c>
      <c r="AG775" s="11" t="inlineStr">
        <is>
          <t xml:space="preserve"> Resort Freeride</t>
        </is>
      </c>
      <c r="AH775" s="11" t="inlineStr">
        <is>
          <t xml:space="preserve"> Powder</t>
        </is>
      </c>
      <c r="AI775" s="11" t="inlineStr">
        <is>
          <t xml:space="preserve"> Touring</t>
        </is>
      </c>
      <c r="AJ775" s="13" t="n"/>
      <c r="AK775" s="42" t="n"/>
    </row>
    <row r="776">
      <c r="E776" s="40" t="inlineStr">
        <is>
          <t>21/22</t>
        </is>
      </c>
      <c r="F776" s="10" t="inlineStr">
        <is>
          <t xml:space="preserve"> Fischer</t>
        </is>
      </c>
      <c r="G776" s="11" t="inlineStr">
        <is>
          <t>Ranger 115 FR Big Stix</t>
        </is>
      </c>
      <c r="H776" s="13" t="n">
        <v>172</v>
      </c>
      <c r="I776" s="11" t="inlineStr">
        <is>
          <t xml:space="preserve"> Unisex</t>
        </is>
      </c>
      <c r="J776" s="13" t="n">
        <v>172</v>
      </c>
      <c r="K776" s="13" t="n">
        <v>171.2</v>
      </c>
      <c r="L776" s="13" t="n">
        <v>117</v>
      </c>
      <c r="M776" s="13" t="n">
        <v>140</v>
      </c>
      <c r="N776" s="13" t="n">
        <v>138</v>
      </c>
      <c r="O776" s="13" t="n">
        <v>109</v>
      </c>
      <c r="P776" s="13" t="n">
        <v>128</v>
      </c>
      <c r="Q776" s="13" t="n">
        <v>17.3</v>
      </c>
      <c r="R776" s="13" t="n">
        <v>1827</v>
      </c>
      <c r="S776" s="13" t="n">
        <v>1.11</v>
      </c>
      <c r="T776" s="13" t="n">
        <v>2027</v>
      </c>
      <c r="U776" s="13" t="n">
        <v>186</v>
      </c>
      <c r="V776" s="13" t="n">
        <v>91</v>
      </c>
      <c r="W776" s="13" t="n">
        <v>51</v>
      </c>
      <c r="X776" s="13" t="n">
        <v>340</v>
      </c>
      <c r="Y776" s="13" t="n">
        <v>30</v>
      </c>
      <c r="Z776" s="13" t="n">
        <v>205</v>
      </c>
      <c r="AA776" s="13" t="n">
        <v>0.587</v>
      </c>
      <c r="AB776" s="13" t="n">
        <v>159</v>
      </c>
      <c r="AC776" s="13" t="n">
        <v>152</v>
      </c>
      <c r="AD776" s="13" t="n">
        <v>180</v>
      </c>
      <c r="AE776" s="13" t="n">
        <v>7</v>
      </c>
      <c r="AF776" s="13" t="n">
        <v>9.6</v>
      </c>
      <c r="AG776" s="11" t="inlineStr">
        <is>
          <t xml:space="preserve"> Powder</t>
        </is>
      </c>
      <c r="AH776" s="11" t="inlineStr">
        <is>
          <t xml:space="preserve"> Touring</t>
        </is>
      </c>
      <c r="AI776" s="13" t="n"/>
      <c r="AJ776" s="13" t="n"/>
      <c r="AK776" s="42" t="n"/>
    </row>
    <row r="777">
      <c r="E777" s="40" t="inlineStr">
        <is>
          <t>21/22</t>
        </is>
      </c>
      <c r="F777" s="10" t="inlineStr">
        <is>
          <t xml:space="preserve"> Fischer</t>
        </is>
      </c>
      <c r="G777" s="11" t="inlineStr">
        <is>
          <t>Ranger 115 FR Big Stix</t>
        </is>
      </c>
      <c r="H777" s="13" t="n">
        <v>178</v>
      </c>
      <c r="I777" s="11" t="inlineStr">
        <is>
          <t xml:space="preserve"> Unisex</t>
        </is>
      </c>
      <c r="J777" s="13" t="n">
        <v>178</v>
      </c>
      <c r="K777" s="13" t="n">
        <v>179</v>
      </c>
      <c r="L777" s="13" t="n">
        <v>130</v>
      </c>
      <c r="M777" s="13" t="n">
        <v>148</v>
      </c>
      <c r="N777" s="13" t="n">
        <v>140</v>
      </c>
      <c r="O777" s="13" t="n">
        <v>111</v>
      </c>
      <c r="P777" s="13" t="n">
        <v>130</v>
      </c>
      <c r="Q777" s="13" t="n">
        <v>19</v>
      </c>
      <c r="R777" s="13" t="n">
        <v>1998</v>
      </c>
      <c r="S777" s="13" t="n">
        <v>1.08</v>
      </c>
      <c r="T777" s="13" t="n">
        <v>2157</v>
      </c>
      <c r="U777" s="13" t="n">
        <v>203</v>
      </c>
      <c r="V777" s="13" t="n">
        <v>91</v>
      </c>
      <c r="W777" s="13" t="n">
        <v>46</v>
      </c>
      <c r="X777" s="13" t="n">
        <v>316</v>
      </c>
      <c r="Y777" s="13" t="n">
        <v>31</v>
      </c>
      <c r="Z777" s="13" t="n">
        <v>179</v>
      </c>
      <c r="AA777" s="13" t="n">
        <v>0.674</v>
      </c>
      <c r="AB777" s="13" t="n">
        <v>149</v>
      </c>
      <c r="AC777" s="13" t="n">
        <v>160</v>
      </c>
      <c r="AD777" s="13" t="n">
        <v>167</v>
      </c>
      <c r="AE777" s="13" t="n">
        <v>9</v>
      </c>
      <c r="AF777" s="13" t="n">
        <v>9.5</v>
      </c>
      <c r="AG777" s="11" t="inlineStr">
        <is>
          <t xml:space="preserve"> Powder</t>
        </is>
      </c>
      <c r="AH777" s="11" t="inlineStr">
        <is>
          <t xml:space="preserve"> Touring</t>
        </is>
      </c>
      <c r="AI777" s="13" t="n"/>
      <c r="AJ777" s="13" t="n"/>
      <c r="AK777" s="42" t="n"/>
    </row>
    <row r="778">
      <c r="E778" s="40" t="inlineStr">
        <is>
          <t>21/22</t>
        </is>
      </c>
      <c r="F778" s="10" t="inlineStr">
        <is>
          <t xml:space="preserve"> Fischer</t>
        </is>
      </c>
      <c r="G778" s="11" t="inlineStr">
        <is>
          <t>Ranger 115 FR Big Stix</t>
        </is>
      </c>
      <c r="H778" s="13" t="n">
        <v>188</v>
      </c>
      <c r="I778" s="11" t="inlineStr">
        <is>
          <t xml:space="preserve"> Unisex</t>
        </is>
      </c>
      <c r="J778" s="13" t="n">
        <v>188</v>
      </c>
      <c r="K778" s="13" t="n">
        <v>186.8</v>
      </c>
      <c r="L778" s="13" t="n">
        <v>125</v>
      </c>
      <c r="M778" s="13" t="n">
        <v>152</v>
      </c>
      <c r="N778" s="13" t="n">
        <v>144</v>
      </c>
      <c r="O778" s="13" t="n">
        <v>114</v>
      </c>
      <c r="P778" s="13" t="n">
        <v>134</v>
      </c>
      <c r="Q778" s="13" t="n">
        <v>20.2</v>
      </c>
      <c r="R778" s="13" t="n">
        <v>2104</v>
      </c>
      <c r="S778" s="13" t="n">
        <v>1.1</v>
      </c>
      <c r="T778" s="13" t="n">
        <v>2309</v>
      </c>
      <c r="U778" s="13" t="n">
        <v>245</v>
      </c>
      <c r="V778" s="13" t="n">
        <v>101</v>
      </c>
      <c r="W778" s="13" t="n">
        <v>51</v>
      </c>
      <c r="X778" s="13" t="n">
        <v>401</v>
      </c>
      <c r="Y778" s="13" t="n">
        <v>38</v>
      </c>
      <c r="Z778" s="13" t="n">
        <v>214</v>
      </c>
      <c r="AA778" s="13" t="n">
        <v>0.738</v>
      </c>
      <c r="AB778" s="13" t="n">
        <v>173</v>
      </c>
      <c r="AC778" s="13" t="n">
        <v>175</v>
      </c>
      <c r="AD778" s="13" t="n">
        <v>228</v>
      </c>
      <c r="AE778" s="13" t="n">
        <v>7</v>
      </c>
      <c r="AF778" s="13" t="n">
        <v>9.300000000000001</v>
      </c>
      <c r="AG778" s="11" t="inlineStr">
        <is>
          <t xml:space="preserve"> Powder</t>
        </is>
      </c>
      <c r="AH778" s="11" t="inlineStr">
        <is>
          <t xml:space="preserve"> Touring</t>
        </is>
      </c>
      <c r="AI778" s="13" t="n"/>
      <c r="AJ778" s="13" t="n"/>
      <c r="AK778" s="42" t="n"/>
    </row>
    <row r="779">
      <c r="E779" s="40" t="inlineStr">
        <is>
          <t>21/22</t>
        </is>
      </c>
      <c r="F779" s="10" t="inlineStr">
        <is>
          <t xml:space="preserve"> Fischer</t>
        </is>
      </c>
      <c r="G779" s="11" t="inlineStr">
        <is>
          <t>Ranger 115 FR Big Stix</t>
        </is>
      </c>
      <c r="H779" s="13" t="n">
        <v>196</v>
      </c>
      <c r="I779" s="11" t="inlineStr">
        <is>
          <t xml:space="preserve"> Unisex</t>
        </is>
      </c>
      <c r="J779" s="13" t="n">
        <v>196</v>
      </c>
      <c r="K779" s="13" t="n">
        <v>195.1</v>
      </c>
      <c r="L779" s="13" t="n">
        <v>136</v>
      </c>
      <c r="M779" s="13" t="n">
        <v>159</v>
      </c>
      <c r="N779" s="13" t="n">
        <v>146</v>
      </c>
      <c r="O779" s="13" t="n">
        <v>116</v>
      </c>
      <c r="P779" s="13" t="n">
        <v>136</v>
      </c>
      <c r="Q779" s="13" t="n">
        <v>21.7</v>
      </c>
      <c r="R779" s="13" t="n">
        <v>2307</v>
      </c>
      <c r="S779" s="13" t="n">
        <v>1.07</v>
      </c>
      <c r="T779" s="13" t="n">
        <v>2465</v>
      </c>
      <c r="U779" s="13" t="n">
        <v>240</v>
      </c>
      <c r="V779" s="13" t="n">
        <v>114</v>
      </c>
      <c r="W779" s="13" t="n">
        <v>51</v>
      </c>
      <c r="X779" s="13" t="n">
        <v>361</v>
      </c>
      <c r="Y779" s="13" t="n">
        <v>38</v>
      </c>
      <c r="Z779" s="13" t="n">
        <v>227</v>
      </c>
      <c r="AA779" s="13" t="n">
        <v>0.757</v>
      </c>
      <c r="AB779" s="13" t="n">
        <v>176</v>
      </c>
      <c r="AC779" s="13" t="n">
        <v>184</v>
      </c>
      <c r="AD779" s="13" t="n">
        <v>185</v>
      </c>
      <c r="AE779" s="13" t="n">
        <v>10</v>
      </c>
      <c r="AF779" s="13" t="n">
        <v>8.699999999999999</v>
      </c>
      <c r="AG779" s="11" t="inlineStr">
        <is>
          <t xml:space="preserve"> Powder</t>
        </is>
      </c>
      <c r="AH779" s="11" t="inlineStr">
        <is>
          <t xml:space="preserve"> Touring</t>
        </is>
      </c>
      <c r="AI779" s="13" t="n"/>
      <c r="AJ779" s="13" t="n"/>
      <c r="AK779" s="42" t="n"/>
    </row>
    <row r="780">
      <c r="E780" s="40" t="inlineStr">
        <is>
          <t>21/22</t>
        </is>
      </c>
      <c r="F780" s="10" t="inlineStr">
        <is>
          <t xml:space="preserve"> Fischer</t>
        </is>
      </c>
      <c r="G780" s="11" t="inlineStr">
        <is>
          <t>Ranger 90 FR</t>
        </is>
      </c>
      <c r="H780" s="13" t="n">
        <v>172</v>
      </c>
      <c r="I780" s="11" t="inlineStr">
        <is>
          <t xml:space="preserve"> Unisex</t>
        </is>
      </c>
      <c r="J780" s="13" t="n">
        <v>172</v>
      </c>
      <c r="K780" s="13" t="n">
        <v>170.6</v>
      </c>
      <c r="L780" s="13" t="n">
        <v>138</v>
      </c>
      <c r="M780" s="13" t="n">
        <v>145</v>
      </c>
      <c r="N780" s="13" t="n">
        <v>129</v>
      </c>
      <c r="O780" s="13" t="n">
        <v>92</v>
      </c>
      <c r="P780" s="13" t="n">
        <v>117</v>
      </c>
      <c r="Q780" s="13" t="n">
        <v>15.3</v>
      </c>
      <c r="R780" s="13" t="n">
        <v>1677</v>
      </c>
      <c r="S780" s="13" t="n">
        <v>1.06</v>
      </c>
      <c r="T780" s="13" t="n">
        <v>1782</v>
      </c>
      <c r="U780" s="13" t="n">
        <v>214</v>
      </c>
      <c r="V780" s="13" t="n">
        <v>103</v>
      </c>
      <c r="W780" s="13" t="n">
        <v>56</v>
      </c>
      <c r="X780" s="13" t="n">
        <v>203</v>
      </c>
      <c r="Y780" s="13" t="n">
        <v>22</v>
      </c>
      <c r="Z780" s="13" t="n">
        <v>123</v>
      </c>
      <c r="AA780" s="13" t="n">
        <v>0.392</v>
      </c>
      <c r="AB780" s="13" t="n">
        <v>153</v>
      </c>
      <c r="AC780" s="13" t="n">
        <v>98</v>
      </c>
      <c r="AD780" s="13" t="n">
        <v>50</v>
      </c>
      <c r="AE780" s="13" t="n">
        <v>8</v>
      </c>
      <c r="AF780" s="13" t="n">
        <v>10.9</v>
      </c>
      <c r="AG780" s="11" t="inlineStr">
        <is>
          <t xml:space="preserve"> Resort Freeride</t>
        </is>
      </c>
      <c r="AH780" s="11" t="inlineStr">
        <is>
          <t xml:space="preserve"> Touring</t>
        </is>
      </c>
      <c r="AI780" s="13" t="n"/>
      <c r="AJ780" s="13" t="n"/>
      <c r="AK780" s="42" t="n"/>
    </row>
    <row r="781">
      <c r="E781" s="40" t="inlineStr">
        <is>
          <t>21/22</t>
        </is>
      </c>
      <c r="F781" s="10" t="inlineStr">
        <is>
          <t xml:space="preserve"> Fischer</t>
        </is>
      </c>
      <c r="G781" s="11" t="inlineStr">
        <is>
          <t>Ranger 92 Ti</t>
        </is>
      </c>
      <c r="H781" s="13" t="n">
        <v>171</v>
      </c>
      <c r="I781" s="11" t="inlineStr">
        <is>
          <t xml:space="preserve"> Unisex</t>
        </is>
      </c>
      <c r="J781" s="13" t="n">
        <v>171</v>
      </c>
      <c r="K781" s="13" t="n">
        <v>170.8</v>
      </c>
      <c r="L781" s="13" t="n">
        <v>117</v>
      </c>
      <c r="M781" s="13" t="n">
        <v>144</v>
      </c>
      <c r="N781" s="13" t="n">
        <v>124</v>
      </c>
      <c r="O781" s="13" t="n">
        <v>89</v>
      </c>
      <c r="P781" s="13" t="n">
        <v>115</v>
      </c>
      <c r="Q781" s="13" t="n">
        <v>14.3</v>
      </c>
      <c r="R781" s="13" t="n">
        <v>1645</v>
      </c>
      <c r="S781" s="13" t="n">
        <v>1.06</v>
      </c>
      <c r="T781" s="13" t="n">
        <v>1751</v>
      </c>
      <c r="U781" s="13" t="n">
        <v>187</v>
      </c>
      <c r="V781" s="13" t="n">
        <v>116</v>
      </c>
      <c r="W781" s="13" t="n">
        <v>49</v>
      </c>
      <c r="X781" s="13" t="n">
        <v>317</v>
      </c>
      <c r="Y781" s="13" t="n">
        <v>16</v>
      </c>
      <c r="Z781" s="13" t="n">
        <v>216</v>
      </c>
      <c r="AA781" s="13" t="n">
        <v>0.319</v>
      </c>
      <c r="AB781" s="13" t="n">
        <v>132</v>
      </c>
      <c r="AC781" s="13" t="n">
        <v>138</v>
      </c>
      <c r="AD781" s="13" t="n">
        <v>186</v>
      </c>
      <c r="AE781" s="13" t="n">
        <v>4</v>
      </c>
      <c r="AF781" s="13" t="n">
        <v>9.800000000000001</v>
      </c>
      <c r="AG781" s="11" t="inlineStr">
        <is>
          <t xml:space="preserve"> Resort Freeride</t>
        </is>
      </c>
      <c r="AH781" s="11" t="inlineStr">
        <is>
          <t xml:space="preserve"> Touring</t>
        </is>
      </c>
      <c r="AI781" s="13" t="n"/>
      <c r="AJ781" s="13" t="n"/>
      <c r="AK781" s="42" t="n"/>
    </row>
    <row r="782">
      <c r="E782" s="40" t="inlineStr">
        <is>
          <t>21/22</t>
        </is>
      </c>
      <c r="F782" s="10" t="inlineStr">
        <is>
          <t xml:space="preserve"> Fischer</t>
        </is>
      </c>
      <c r="G782" s="11" t="inlineStr">
        <is>
          <t>Ranger 92 Ti</t>
        </is>
      </c>
      <c r="H782" s="13" t="n">
        <v>178</v>
      </c>
      <c r="I782" s="11" t="inlineStr">
        <is>
          <t xml:space="preserve"> Unisex</t>
        </is>
      </c>
      <c r="J782" s="13" t="n">
        <v>178</v>
      </c>
      <c r="K782" s="13" t="n">
        <v>177.5</v>
      </c>
      <c r="L782" s="13" t="n">
        <v>125</v>
      </c>
      <c r="M782" s="13" t="n">
        <v>151</v>
      </c>
      <c r="N782" s="13" t="n">
        <v>125</v>
      </c>
      <c r="O782" s="13" t="n">
        <v>90</v>
      </c>
      <c r="P782" s="13" t="n">
        <v>116</v>
      </c>
      <c r="Q782" s="13" t="n">
        <v>15.5</v>
      </c>
      <c r="R782" s="13" t="n">
        <v>1775</v>
      </c>
      <c r="S782" s="13" t="n">
        <v>1.04</v>
      </c>
      <c r="T782" s="13" t="n">
        <v>1839</v>
      </c>
      <c r="U782" s="13" t="n">
        <v>228</v>
      </c>
      <c r="V782" s="13" t="n">
        <v>127</v>
      </c>
      <c r="W782" s="13" t="n">
        <v>48</v>
      </c>
      <c r="X782" s="13" t="n">
        <v>304</v>
      </c>
      <c r="Y782" s="13" t="n">
        <v>15</v>
      </c>
      <c r="Z782" s="13" t="n">
        <v>220</v>
      </c>
      <c r="AA782" s="13" t="n">
        <v>0.317</v>
      </c>
      <c r="AB782" s="13" t="n">
        <v>135</v>
      </c>
      <c r="AC782" s="13" t="n">
        <v>133</v>
      </c>
      <c r="AD782" s="13" t="n">
        <v>170</v>
      </c>
      <c r="AE782" s="13" t="n">
        <v>4</v>
      </c>
      <c r="AF782" s="13" t="n">
        <v>8.4</v>
      </c>
      <c r="AG782" s="11" t="inlineStr">
        <is>
          <t xml:space="preserve"> Resort Freeride</t>
        </is>
      </c>
      <c r="AH782" s="13" t="n"/>
      <c r="AI782" s="13" t="n"/>
      <c r="AJ782" s="13" t="n"/>
      <c r="AK782" s="42" t="n"/>
    </row>
    <row r="783">
      <c r="E783" s="40" t="inlineStr">
        <is>
          <t>21/22</t>
        </is>
      </c>
      <c r="F783" s="10" t="inlineStr">
        <is>
          <t xml:space="preserve"> Fischer</t>
        </is>
      </c>
      <c r="G783" s="11" t="inlineStr">
        <is>
          <t>Ranger 92 Ti</t>
        </is>
      </c>
      <c r="H783" s="13" t="n">
        <v>185</v>
      </c>
      <c r="I783" s="11" t="inlineStr">
        <is>
          <t xml:space="preserve"> Unisex</t>
        </is>
      </c>
      <c r="J783" s="13" t="n">
        <v>185</v>
      </c>
      <c r="K783" s="13" t="n">
        <v>184.5</v>
      </c>
      <c r="L783" s="13" t="n">
        <v>131</v>
      </c>
      <c r="M783" s="13" t="n">
        <v>155</v>
      </c>
      <c r="N783" s="13" t="n">
        <v>126</v>
      </c>
      <c r="O783" s="13" t="n">
        <v>91</v>
      </c>
      <c r="P783" s="13" t="n">
        <v>117</v>
      </c>
      <c r="Q783" s="13" t="n">
        <v>16.6</v>
      </c>
      <c r="R783" s="13" t="n">
        <v>1851</v>
      </c>
      <c r="S783" s="13" t="n">
        <v>1.04</v>
      </c>
      <c r="T783" s="13" t="n">
        <v>1932</v>
      </c>
      <c r="U783" s="13" t="n">
        <v>266</v>
      </c>
      <c r="V783" s="13" t="n">
        <v>141</v>
      </c>
      <c r="W783" s="13" t="n">
        <v>49</v>
      </c>
      <c r="X783" s="13" t="n">
        <v>312</v>
      </c>
      <c r="Y783" s="13" t="n">
        <v>19</v>
      </c>
      <c r="Z783" s="13" t="n">
        <v>227</v>
      </c>
      <c r="AA783" s="13" t="n">
        <v>0.393</v>
      </c>
      <c r="AB783" s="13" t="n">
        <v>140</v>
      </c>
      <c r="AC783" s="13" t="n">
        <v>150</v>
      </c>
      <c r="AD783" s="13" t="n">
        <v>172</v>
      </c>
      <c r="AE783" s="13" t="n">
        <v>5</v>
      </c>
      <c r="AF783" s="13" t="n">
        <v>10.5</v>
      </c>
      <c r="AG783" s="11" t="inlineStr">
        <is>
          <t xml:space="preserve"> Resort Freeride</t>
        </is>
      </c>
      <c r="AH783" s="13" t="n"/>
      <c r="AI783" s="13" t="n"/>
      <c r="AJ783" s="13" t="n"/>
      <c r="AK783" s="42" t="n"/>
    </row>
    <row r="784">
      <c r="E784" s="40" t="inlineStr">
        <is>
          <t>21/22</t>
        </is>
      </c>
      <c r="F784" s="10" t="inlineStr">
        <is>
          <t xml:space="preserve"> Fischer</t>
        </is>
      </c>
      <c r="G784" s="11" t="inlineStr">
        <is>
          <t>Ranger 92 Ti W</t>
        </is>
      </c>
      <c r="H784" s="13" t="n">
        <v>155</v>
      </c>
      <c r="I784" s="11" t="inlineStr">
        <is>
          <t xml:space="preserve"> Women's</t>
        </is>
      </c>
      <c r="J784" s="13" t="n">
        <v>155</v>
      </c>
      <c r="K784" s="13" t="n">
        <v>154.1</v>
      </c>
      <c r="L784" s="13" t="n">
        <v>109</v>
      </c>
      <c r="M784" s="13" t="n">
        <v>131</v>
      </c>
      <c r="N784" s="13" t="n">
        <v>120</v>
      </c>
      <c r="O784" s="13" t="n">
        <v>87</v>
      </c>
      <c r="P784" s="13" t="n">
        <v>109</v>
      </c>
      <c r="Q784" s="13" t="n">
        <v>13.1</v>
      </c>
      <c r="R784" s="13" t="n">
        <v>1530</v>
      </c>
      <c r="S784" s="13" t="n">
        <v>1</v>
      </c>
      <c r="T784" s="13" t="n">
        <v>1525</v>
      </c>
      <c r="U784" s="13" t="n">
        <v>179</v>
      </c>
      <c r="V784" s="13" t="n">
        <v>111</v>
      </c>
      <c r="W784" s="13" t="n">
        <v>48</v>
      </c>
      <c r="X784" s="13" t="n">
        <v>288</v>
      </c>
      <c r="Y784" s="13" t="n">
        <v>15</v>
      </c>
      <c r="Z784" s="13" t="n">
        <v>160</v>
      </c>
      <c r="AA784" s="13" t="n">
        <v>0.308</v>
      </c>
      <c r="AB784" s="13" t="n">
        <v>114</v>
      </c>
      <c r="AC784" s="13" t="n">
        <v>119</v>
      </c>
      <c r="AD784" s="13" t="n">
        <v>173</v>
      </c>
      <c r="AE784" s="13" t="n">
        <v>2</v>
      </c>
      <c r="AF784" s="13" t="n">
        <v>10.1</v>
      </c>
      <c r="AG784" s="11" t="inlineStr">
        <is>
          <t xml:space="preserve"> Resort Freeride</t>
        </is>
      </c>
      <c r="AH784" s="13" t="n"/>
      <c r="AI784" s="13" t="n"/>
      <c r="AJ784" s="13" t="n"/>
      <c r="AK784" s="42" t="n"/>
    </row>
    <row r="785">
      <c r="E785" s="40" t="inlineStr">
        <is>
          <t>21/22</t>
        </is>
      </c>
      <c r="F785" s="10" t="inlineStr">
        <is>
          <t xml:space="preserve"> Fischer</t>
        </is>
      </c>
      <c r="G785" s="11" t="inlineStr">
        <is>
          <t>Ranger 92 Ti W</t>
        </is>
      </c>
      <c r="H785" s="13" t="n">
        <v>163</v>
      </c>
      <c r="I785" s="11" t="inlineStr">
        <is>
          <t xml:space="preserve"> Women's</t>
        </is>
      </c>
      <c r="J785" s="13" t="n">
        <v>163</v>
      </c>
      <c r="K785" s="13" t="n">
        <v>162.1</v>
      </c>
      <c r="L785" s="13" t="n">
        <v>113</v>
      </c>
      <c r="M785" s="13" t="n">
        <v>138</v>
      </c>
      <c r="N785" s="13" t="n">
        <v>123</v>
      </c>
      <c r="O785" s="13" t="n">
        <v>88</v>
      </c>
      <c r="P785" s="13" t="n">
        <v>113</v>
      </c>
      <c r="Q785" s="13" t="n">
        <v>13.5</v>
      </c>
      <c r="R785" s="13" t="n">
        <v>1649</v>
      </c>
      <c r="S785" s="13" t="n">
        <v>1</v>
      </c>
      <c r="T785" s="13" t="n">
        <v>1642</v>
      </c>
      <c r="U785" s="13" t="n">
        <v>176</v>
      </c>
      <c r="V785" s="13" t="n">
        <v>114</v>
      </c>
      <c r="W785" s="13" t="n">
        <v>49</v>
      </c>
      <c r="X785" s="13" t="n">
        <v>296</v>
      </c>
      <c r="Y785" s="13" t="n">
        <v>15</v>
      </c>
      <c r="Z785" s="13" t="n">
        <v>197</v>
      </c>
      <c r="AA785" s="13" t="n">
        <v>0.3</v>
      </c>
      <c r="AB785" s="13" t="n">
        <v>121</v>
      </c>
      <c r="AC785" s="13" t="n">
        <v>121</v>
      </c>
      <c r="AD785" s="13" t="n">
        <v>174</v>
      </c>
      <c r="AE785" s="13" t="n">
        <v>4</v>
      </c>
      <c r="AF785" s="13" t="n">
        <v>9.4</v>
      </c>
      <c r="AG785" s="11" t="inlineStr">
        <is>
          <t xml:space="preserve"> Resort Freeride</t>
        </is>
      </c>
      <c r="AH785" s="13" t="n"/>
      <c r="AI785" s="13" t="n"/>
      <c r="AJ785" s="13" t="n"/>
      <c r="AK785" s="42" t="n"/>
    </row>
    <row r="786">
      <c r="E786" s="40" t="inlineStr">
        <is>
          <t>21/22</t>
        </is>
      </c>
      <c r="F786" s="10" t="inlineStr">
        <is>
          <t xml:space="preserve"> Fischer</t>
        </is>
      </c>
      <c r="G786" s="11" t="inlineStr">
        <is>
          <t>Ranger 92 Ti W</t>
        </is>
      </c>
      <c r="H786" s="13" t="n">
        <v>171</v>
      </c>
      <c r="I786" s="11" t="inlineStr">
        <is>
          <t xml:space="preserve"> Women's</t>
        </is>
      </c>
      <c r="J786" s="13" t="n">
        <v>171</v>
      </c>
      <c r="K786" s="13" t="n">
        <v>170.6</v>
      </c>
      <c r="L786" s="13" t="n">
        <v>119</v>
      </c>
      <c r="M786" s="13" t="n">
        <v>145</v>
      </c>
      <c r="N786" s="13" t="n">
        <v>124</v>
      </c>
      <c r="O786" s="13" t="n">
        <v>89</v>
      </c>
      <c r="P786" s="13" t="n">
        <v>115</v>
      </c>
      <c r="Q786" s="13" t="n">
        <v>14.5</v>
      </c>
      <c r="R786" s="13" t="n">
        <v>1752</v>
      </c>
      <c r="S786" s="13" t="n">
        <v>1</v>
      </c>
      <c r="T786" s="13" t="n">
        <v>1748</v>
      </c>
      <c r="U786" s="13" t="n">
        <v>185</v>
      </c>
      <c r="V786" s="13" t="n">
        <v>117</v>
      </c>
      <c r="W786" s="13" t="n">
        <v>47</v>
      </c>
      <c r="X786" s="13" t="n">
        <v>310</v>
      </c>
      <c r="Y786" s="13" t="n">
        <v>16</v>
      </c>
      <c r="Z786" s="13" t="n">
        <v>207</v>
      </c>
      <c r="AA786" s="13" t="n">
        <v>0.339</v>
      </c>
      <c r="AB786" s="13" t="n">
        <v>130</v>
      </c>
      <c r="AC786" s="13" t="n">
        <v>129</v>
      </c>
      <c r="AD786" s="13" t="n">
        <v>180</v>
      </c>
      <c r="AE786" s="13" t="n">
        <v>5</v>
      </c>
      <c r="AF786" s="13" t="n">
        <v>9.800000000000001</v>
      </c>
      <c r="AG786" s="11" t="inlineStr">
        <is>
          <t xml:space="preserve"> Resort Freeride</t>
        </is>
      </c>
      <c r="AH786" s="13" t="n"/>
      <c r="AI786" s="13" t="n"/>
      <c r="AJ786" s="13" t="n"/>
      <c r="AK786" s="42" t="n"/>
    </row>
    <row r="787">
      <c r="E787" s="40" t="inlineStr">
        <is>
          <t>21/22</t>
        </is>
      </c>
      <c r="F787" s="10" t="inlineStr">
        <is>
          <t xml:space="preserve"> Fischer</t>
        </is>
      </c>
      <c r="G787" s="11" t="inlineStr">
        <is>
          <t>Ranger 94 FR</t>
        </is>
      </c>
      <c r="H787" s="13" t="n">
        <v>153</v>
      </c>
      <c r="I787" s="11" t="inlineStr">
        <is>
          <t xml:space="preserve"> Unisex</t>
        </is>
      </c>
      <c r="J787" s="13" t="n">
        <v>153</v>
      </c>
      <c r="K787" s="13" t="n">
        <v>152.5</v>
      </c>
      <c r="L787" s="13" t="n">
        <v>105</v>
      </c>
      <c r="M787" s="13" t="n">
        <v>126</v>
      </c>
      <c r="N787" s="13" t="n">
        <v>121</v>
      </c>
      <c r="O787" s="13" t="n">
        <v>88</v>
      </c>
      <c r="P787" s="13" t="n">
        <v>111</v>
      </c>
      <c r="Q787" s="13" t="n">
        <v>11.9</v>
      </c>
      <c r="R787" s="13" t="n">
        <v>1451</v>
      </c>
      <c r="S787" s="13" t="n">
        <v>1.05</v>
      </c>
      <c r="T787" s="13" t="n">
        <v>1525</v>
      </c>
      <c r="U787" s="13" t="n">
        <v>152</v>
      </c>
      <c r="V787" s="13" t="n">
        <v>79</v>
      </c>
      <c r="W787" s="13" t="n">
        <v>53</v>
      </c>
      <c r="X787" s="13" t="n">
        <v>294</v>
      </c>
      <c r="Y787" s="13" t="n">
        <v>31</v>
      </c>
      <c r="Z787" s="13" t="n">
        <v>184</v>
      </c>
      <c r="AA787" s="13" t="n">
        <v>0.587</v>
      </c>
      <c r="AB787" s="13" t="n">
        <v>135</v>
      </c>
      <c r="AC787" s="13" t="n">
        <v>131</v>
      </c>
      <c r="AD787" s="13" t="n">
        <v>159</v>
      </c>
      <c r="AE787" s="13" t="n">
        <v>5</v>
      </c>
      <c r="AF787" s="13" t="n">
        <v>6.8</v>
      </c>
      <c r="AG787" s="11" t="inlineStr">
        <is>
          <t xml:space="preserve"> Resort Freeride</t>
        </is>
      </c>
      <c r="AH787" s="11" t="inlineStr">
        <is>
          <t xml:space="preserve"> Touring</t>
        </is>
      </c>
      <c r="AI787" s="13" t="n"/>
      <c r="AJ787" s="13" t="n"/>
      <c r="AK787" s="42" t="n"/>
    </row>
    <row r="788">
      <c r="E788" s="40" t="inlineStr">
        <is>
          <t>21/22</t>
        </is>
      </c>
      <c r="F788" s="10" t="inlineStr">
        <is>
          <t xml:space="preserve"> Fischer</t>
        </is>
      </c>
      <c r="G788" s="11" t="inlineStr">
        <is>
          <t>Ranger 94 FR</t>
        </is>
      </c>
      <c r="H788" s="13" t="n">
        <v>169</v>
      </c>
      <c r="I788" s="11" t="inlineStr">
        <is>
          <t xml:space="preserve"> Unisex</t>
        </is>
      </c>
      <c r="J788" s="13" t="n">
        <v>169</v>
      </c>
      <c r="K788" s="13" t="n">
        <v>168.3</v>
      </c>
      <c r="L788" s="13" t="n">
        <v>119</v>
      </c>
      <c r="M788" s="13" t="n">
        <v>137</v>
      </c>
      <c r="N788" s="13" t="n">
        <v>125</v>
      </c>
      <c r="O788" s="13" t="n">
        <v>90</v>
      </c>
      <c r="P788" s="13" t="n">
        <v>115</v>
      </c>
      <c r="Q788" s="13" t="n">
        <v>13.2</v>
      </c>
      <c r="R788" s="13" t="n">
        <v>1713</v>
      </c>
      <c r="S788" s="13" t="n">
        <v>1.01</v>
      </c>
      <c r="T788" s="13" t="n">
        <v>1736</v>
      </c>
      <c r="U788" s="13" t="n">
        <v>207</v>
      </c>
      <c r="V788" s="13" t="n">
        <v>104</v>
      </c>
      <c r="W788" s="13" t="n">
        <v>50</v>
      </c>
      <c r="X788" s="13" t="n">
        <v>299</v>
      </c>
      <c r="Y788" s="13" t="n">
        <v>31</v>
      </c>
      <c r="Z788" s="13" t="n">
        <v>190</v>
      </c>
      <c r="AA788" s="13" t="n">
        <v>0.621</v>
      </c>
      <c r="AB788" s="13" t="n">
        <v>167</v>
      </c>
      <c r="AC788" s="13" t="n">
        <v>145</v>
      </c>
      <c r="AD788" s="13" t="n">
        <v>132</v>
      </c>
      <c r="AE788" s="13" t="n">
        <v>6</v>
      </c>
      <c r="AF788" s="13" t="n">
        <v>8</v>
      </c>
      <c r="AG788" s="11" t="inlineStr">
        <is>
          <t xml:space="preserve"> Resort Freeride</t>
        </is>
      </c>
      <c r="AH788" s="13" t="n"/>
      <c r="AI788" s="13" t="n"/>
      <c r="AJ788" s="13" t="n"/>
      <c r="AK788" s="42" t="n"/>
    </row>
    <row r="789">
      <c r="E789" s="40" t="inlineStr">
        <is>
          <t>21/22</t>
        </is>
      </c>
      <c r="F789" s="10" t="inlineStr">
        <is>
          <t xml:space="preserve"> Fischer</t>
        </is>
      </c>
      <c r="G789" s="11" t="inlineStr">
        <is>
          <t>Ranger 94 FR</t>
        </is>
      </c>
      <c r="H789" s="13" t="n">
        <v>177</v>
      </c>
      <c r="I789" s="11" t="inlineStr">
        <is>
          <t xml:space="preserve"> Unisex</t>
        </is>
      </c>
      <c r="J789" s="13" t="n">
        <v>177</v>
      </c>
      <c r="K789" s="13" t="n">
        <v>176</v>
      </c>
      <c r="L789" s="13" t="n">
        <v>113</v>
      </c>
      <c r="M789" s="13" t="n">
        <v>148</v>
      </c>
      <c r="N789" s="13" t="n">
        <v>125</v>
      </c>
      <c r="O789" s="13" t="n">
        <v>91</v>
      </c>
      <c r="P789" s="13" t="n">
        <v>116</v>
      </c>
      <c r="Q789" s="13" t="n">
        <v>15</v>
      </c>
      <c r="R789" s="13" t="n">
        <v>1867</v>
      </c>
      <c r="S789" s="13" t="n">
        <v>0.98</v>
      </c>
      <c r="T789" s="13" t="n">
        <v>1837</v>
      </c>
      <c r="U789" s="13" t="n">
        <v>221</v>
      </c>
      <c r="V789" s="13" t="n">
        <v>114</v>
      </c>
      <c r="W789" s="13" t="n">
        <v>56</v>
      </c>
      <c r="X789" s="13" t="n">
        <v>387</v>
      </c>
      <c r="Y789" s="13" t="n">
        <v>34</v>
      </c>
      <c r="Z789" s="13" t="n">
        <v>241</v>
      </c>
      <c r="AA789" s="13" t="n">
        <v>0.607</v>
      </c>
      <c r="AB789" s="13" t="n">
        <v>146</v>
      </c>
      <c r="AC789" s="13" t="n">
        <v>139</v>
      </c>
      <c r="AD789" s="13" t="n">
        <v>241</v>
      </c>
      <c r="AE789" s="13" t="n">
        <v>5</v>
      </c>
      <c r="AF789" s="13" t="n">
        <v>8.9</v>
      </c>
      <c r="AG789" s="11" t="inlineStr">
        <is>
          <t xml:space="preserve"> Resort Freeride</t>
        </is>
      </c>
      <c r="AH789" s="13" t="n"/>
      <c r="AI789" s="13" t="n"/>
      <c r="AJ789" s="13" t="n"/>
      <c r="AK789" s="42" t="n"/>
    </row>
    <row r="790">
      <c r="E790" s="40" t="inlineStr">
        <is>
          <t>21/22</t>
        </is>
      </c>
      <c r="F790" s="10" t="inlineStr">
        <is>
          <t xml:space="preserve"> Fischer</t>
        </is>
      </c>
      <c r="G790" s="11" t="inlineStr">
        <is>
          <t>Ranger 94 FR W</t>
        </is>
      </c>
      <c r="H790" s="13" t="n">
        <v>161</v>
      </c>
      <c r="I790" s="11" t="inlineStr">
        <is>
          <t xml:space="preserve"> Women's</t>
        </is>
      </c>
      <c r="J790" s="13" t="n">
        <v>161</v>
      </c>
      <c r="K790" s="13" t="n">
        <v>160.1</v>
      </c>
      <c r="L790" s="13" t="n">
        <v>106</v>
      </c>
      <c r="M790" s="13" t="n">
        <v>131</v>
      </c>
      <c r="N790" s="13" t="n">
        <v>123</v>
      </c>
      <c r="O790" s="13" t="n">
        <v>89</v>
      </c>
      <c r="P790" s="13" t="n">
        <v>114</v>
      </c>
      <c r="Q790" s="13" t="n">
        <v>12.4</v>
      </c>
      <c r="R790" s="13" t="n">
        <v>1454</v>
      </c>
      <c r="S790" s="13" t="n">
        <v>1.13</v>
      </c>
      <c r="T790" s="13" t="n">
        <v>1638</v>
      </c>
      <c r="U790" s="13" t="n">
        <v>167</v>
      </c>
      <c r="V790" s="13" t="n">
        <v>83</v>
      </c>
      <c r="W790" s="13" t="n">
        <v>50</v>
      </c>
      <c r="X790" s="13" t="n">
        <v>334</v>
      </c>
      <c r="Y790" s="13" t="n">
        <v>37</v>
      </c>
      <c r="Z790" s="13" t="n">
        <v>204</v>
      </c>
      <c r="AA790" s="13" t="n">
        <v>0.746</v>
      </c>
      <c r="AB790" s="13" t="n">
        <v>142</v>
      </c>
      <c r="AC790" s="13" t="n">
        <v>145</v>
      </c>
      <c r="AD790" s="13" t="n">
        <v>192</v>
      </c>
      <c r="AE790" s="13" t="n">
        <v>2</v>
      </c>
      <c r="AF790" s="13" t="n">
        <v>8.1</v>
      </c>
      <c r="AG790" s="11" t="inlineStr">
        <is>
          <t xml:space="preserve"> Resort Freeride</t>
        </is>
      </c>
      <c r="AH790" s="11" t="inlineStr">
        <is>
          <t xml:space="preserve"> Touring</t>
        </is>
      </c>
      <c r="AI790" s="13" t="n"/>
      <c r="AJ790" s="13" t="n"/>
      <c r="AK790" s="42" t="n"/>
    </row>
    <row r="791">
      <c r="E791" s="40" t="inlineStr">
        <is>
          <t>21/22</t>
        </is>
      </c>
      <c r="F791" s="10" t="inlineStr">
        <is>
          <t xml:space="preserve"> Fischer</t>
        </is>
      </c>
      <c r="G791" s="11" t="inlineStr">
        <is>
          <t>Ranger 94 FR W</t>
        </is>
      </c>
      <c r="H791" s="13" t="n">
        <v>169</v>
      </c>
      <c r="I791" s="11" t="inlineStr">
        <is>
          <t xml:space="preserve"> Women's</t>
        </is>
      </c>
      <c r="J791" s="13" t="n">
        <v>169</v>
      </c>
      <c r="K791" s="13" t="n">
        <v>168.1</v>
      </c>
      <c r="L791" s="13" t="n">
        <v>113</v>
      </c>
      <c r="M791" s="13" t="n">
        <v>139</v>
      </c>
      <c r="N791" s="13" t="n">
        <v>125</v>
      </c>
      <c r="O791" s="13" t="n">
        <v>90</v>
      </c>
      <c r="P791" s="13" t="n">
        <v>116</v>
      </c>
      <c r="Q791" s="13" t="n">
        <v>13.2</v>
      </c>
      <c r="R791" s="13" t="n">
        <v>1593</v>
      </c>
      <c r="S791" s="13" t="n">
        <v>1.1</v>
      </c>
      <c r="T791" s="13" t="n">
        <v>1746</v>
      </c>
      <c r="U791" s="13" t="n">
        <v>211</v>
      </c>
      <c r="V791" s="13" t="n">
        <v>100</v>
      </c>
      <c r="W791" s="13" t="n">
        <v>52</v>
      </c>
      <c r="X791" s="13" t="n">
        <v>359</v>
      </c>
      <c r="Y791" s="13" t="n">
        <v>33</v>
      </c>
      <c r="Z791" s="13" t="n">
        <v>190</v>
      </c>
      <c r="AA791" s="13" t="n">
        <v>0.634</v>
      </c>
      <c r="AB791" s="13" t="n">
        <v>147</v>
      </c>
      <c r="AC791" s="13" t="n">
        <v>145</v>
      </c>
      <c r="AD791" s="13" t="n">
        <v>212</v>
      </c>
      <c r="AE791" s="13" t="n">
        <v>5</v>
      </c>
      <c r="AF791" s="13" t="n">
        <v>5.9</v>
      </c>
      <c r="AG791" s="11" t="inlineStr">
        <is>
          <t xml:space="preserve"> Resort Freeride</t>
        </is>
      </c>
      <c r="AH791" s="11" t="inlineStr">
        <is>
          <t xml:space="preserve"> Touring</t>
        </is>
      </c>
      <c r="AI791" s="13" t="n"/>
      <c r="AJ791" s="13" t="n"/>
      <c r="AK791" s="42" t="n"/>
    </row>
    <row r="792">
      <c r="E792" s="40" t="inlineStr">
        <is>
          <t>21/22</t>
        </is>
      </c>
      <c r="F792" s="10" t="inlineStr">
        <is>
          <t xml:space="preserve"> Fischer</t>
        </is>
      </c>
      <c r="G792" s="11" t="inlineStr">
        <is>
          <t>Ranger 99 Ti</t>
        </is>
      </c>
      <c r="H792" s="13" t="n">
        <v>174</v>
      </c>
      <c r="I792" s="11" t="inlineStr">
        <is>
          <t xml:space="preserve"> Unisex</t>
        </is>
      </c>
      <c r="J792" s="13" t="n">
        <v>174</v>
      </c>
      <c r="K792" s="13" t="n">
        <v>174.2</v>
      </c>
      <c r="L792" s="13" t="n">
        <v>123</v>
      </c>
      <c r="M792" s="13" t="n">
        <v>147</v>
      </c>
      <c r="N792" s="13" t="n">
        <v>127</v>
      </c>
      <c r="O792" s="13" t="n">
        <v>95</v>
      </c>
      <c r="P792" s="13" t="n">
        <v>118</v>
      </c>
      <c r="Q792" s="13" t="n">
        <v>16.5</v>
      </c>
      <c r="R792" s="13" t="n">
        <v>1786</v>
      </c>
      <c r="S792" s="13" t="n">
        <v>1.04</v>
      </c>
      <c r="T792" s="13" t="n">
        <v>1857</v>
      </c>
      <c r="U792" s="13" t="n">
        <v>210</v>
      </c>
      <c r="V792" s="13" t="n">
        <v>118</v>
      </c>
      <c r="W792" s="13" t="n">
        <v>49</v>
      </c>
      <c r="X792" s="13" t="n">
        <v>296</v>
      </c>
      <c r="Y792" s="13" t="n">
        <v>18</v>
      </c>
      <c r="Z792" s="13" t="n">
        <v>217</v>
      </c>
      <c r="AA792" s="13" t="n">
        <v>0.373</v>
      </c>
      <c r="AB792" s="13" t="n">
        <v>144</v>
      </c>
      <c r="AC792" s="13" t="n">
        <v>126</v>
      </c>
      <c r="AD792" s="13" t="n">
        <v>152</v>
      </c>
      <c r="AE792" s="13" t="n">
        <v>6</v>
      </c>
      <c r="AF792" s="13" t="n">
        <v>9.300000000000001</v>
      </c>
      <c r="AG792" s="11" t="inlineStr">
        <is>
          <t xml:space="preserve"> Resort Freeride</t>
        </is>
      </c>
      <c r="AH792" s="13" t="n"/>
      <c r="AI792" s="13" t="n"/>
      <c r="AJ792" s="13" t="n"/>
      <c r="AK792" s="42" t="n"/>
    </row>
    <row r="793">
      <c r="E793" s="40" t="inlineStr">
        <is>
          <t>21/22</t>
        </is>
      </c>
      <c r="F793" s="10" t="inlineStr">
        <is>
          <t xml:space="preserve"> Fischer</t>
        </is>
      </c>
      <c r="G793" s="11" t="inlineStr">
        <is>
          <t>Ranger 99 Ti</t>
        </is>
      </c>
      <c r="H793" s="13" t="n">
        <v>181</v>
      </c>
      <c r="I793" s="11" t="inlineStr">
        <is>
          <t xml:space="preserve"> Unisex</t>
        </is>
      </c>
      <c r="J793" s="13" t="n">
        <v>181</v>
      </c>
      <c r="K793" s="13" t="n">
        <v>180.2</v>
      </c>
      <c r="L793" s="13" t="n">
        <v>123</v>
      </c>
      <c r="M793" s="13" t="n">
        <v>152</v>
      </c>
      <c r="N793" s="13" t="n">
        <v>129</v>
      </c>
      <c r="O793" s="13" t="n">
        <v>96</v>
      </c>
      <c r="P793" s="13" t="n">
        <v>121</v>
      </c>
      <c r="Q793" s="13" t="n">
        <v>16.9</v>
      </c>
      <c r="R793" s="13" t="n">
        <v>1891</v>
      </c>
      <c r="S793" s="13" t="n">
        <v>1.04</v>
      </c>
      <c r="T793" s="13" t="n">
        <v>1962</v>
      </c>
      <c r="U793" s="13" t="n">
        <v>253</v>
      </c>
      <c r="V793" s="13" t="n">
        <v>145</v>
      </c>
      <c r="W793" s="13" t="n">
        <v>52</v>
      </c>
      <c r="X793" s="13" t="n">
        <v>343</v>
      </c>
      <c r="Y793" s="13" t="n">
        <v>18</v>
      </c>
      <c r="Z793" s="13" t="n">
        <v>229</v>
      </c>
      <c r="AA793" s="13" t="n">
        <v>0.347</v>
      </c>
      <c r="AB793" s="13" t="n">
        <v>140</v>
      </c>
      <c r="AC793" s="13" t="n">
        <v>138</v>
      </c>
      <c r="AD793" s="13" t="n">
        <v>203</v>
      </c>
      <c r="AE793" s="13" t="n">
        <v>5</v>
      </c>
      <c r="AF793" s="13" t="n">
        <v>9.699999999999999</v>
      </c>
      <c r="AG793" s="11" t="inlineStr">
        <is>
          <t xml:space="preserve"> Resort Freeride</t>
        </is>
      </c>
      <c r="AH793" s="13" t="n"/>
      <c r="AI793" s="13" t="n"/>
      <c r="AJ793" s="13" t="n"/>
      <c r="AK793" s="42" t="n"/>
    </row>
    <row r="794">
      <c r="E794" s="40" t="inlineStr">
        <is>
          <t>21/22</t>
        </is>
      </c>
      <c r="F794" s="10" t="inlineStr">
        <is>
          <t xml:space="preserve"> Fischer</t>
        </is>
      </c>
      <c r="G794" s="11" t="inlineStr">
        <is>
          <t>Ranger 99 Ti</t>
        </is>
      </c>
      <c r="H794" s="13" t="n">
        <v>188</v>
      </c>
      <c r="I794" s="11" t="inlineStr">
        <is>
          <t xml:space="preserve"> Unisex</t>
        </is>
      </c>
      <c r="J794" s="13" t="n">
        <v>188</v>
      </c>
      <c r="K794" s="13" t="n">
        <v>187.6</v>
      </c>
      <c r="L794" s="13" t="n">
        <v>127</v>
      </c>
      <c r="M794" s="13" t="n">
        <v>160</v>
      </c>
      <c r="N794" s="13" t="n">
        <v>130</v>
      </c>
      <c r="O794" s="13" t="n">
        <v>98</v>
      </c>
      <c r="P794" s="13" t="n">
        <v>122</v>
      </c>
      <c r="Q794" s="13" t="n">
        <v>19.1</v>
      </c>
      <c r="R794" s="13" t="n">
        <v>2115</v>
      </c>
      <c r="S794" s="13" t="n">
        <v>0.97</v>
      </c>
      <c r="T794" s="13" t="n">
        <v>2062</v>
      </c>
      <c r="U794" s="13" t="n">
        <v>235</v>
      </c>
      <c r="V794" s="13" t="n">
        <v>152</v>
      </c>
      <c r="W794" s="13" t="n">
        <v>50</v>
      </c>
      <c r="X794" s="13" t="n">
        <v>351</v>
      </c>
      <c r="Y794" s="13" t="n">
        <v>22</v>
      </c>
      <c r="Z794" s="13" t="n">
        <v>254</v>
      </c>
      <c r="AA794" s="13" t="n">
        <v>0.438</v>
      </c>
      <c r="AB794" s="13" t="n">
        <v>147</v>
      </c>
      <c r="AC794" s="13" t="n">
        <v>131</v>
      </c>
      <c r="AD794" s="13" t="n">
        <v>204</v>
      </c>
      <c r="AE794" s="13" t="n">
        <v>6</v>
      </c>
      <c r="AF794" s="13" t="n">
        <v>9.300000000000001</v>
      </c>
      <c r="AG794" s="11" t="inlineStr">
        <is>
          <t xml:space="preserve"> Resort Freeride</t>
        </is>
      </c>
      <c r="AH794" s="13" t="n"/>
      <c r="AI794" s="13" t="n"/>
      <c r="AJ794" s="13" t="n"/>
      <c r="AK794" s="42" t="n"/>
    </row>
    <row r="795">
      <c r="E795" s="40" t="inlineStr">
        <is>
          <t>21/22</t>
        </is>
      </c>
      <c r="F795" s="10" t="inlineStr">
        <is>
          <t xml:space="preserve"> Fischer</t>
        </is>
      </c>
      <c r="G795" s="11" t="inlineStr">
        <is>
          <t>Ranger 99 Ti W</t>
        </is>
      </c>
      <c r="H795" s="13" t="n">
        <v>158</v>
      </c>
      <c r="I795" s="11" t="inlineStr">
        <is>
          <t xml:space="preserve"> Women's</t>
        </is>
      </c>
      <c r="J795" s="13" t="n">
        <v>158</v>
      </c>
      <c r="K795" s="13" t="n">
        <v>157.1</v>
      </c>
      <c r="L795" s="13" t="n">
        <v>102</v>
      </c>
      <c r="M795" s="13" t="n">
        <v>133</v>
      </c>
      <c r="N795" s="13" t="n">
        <v>124</v>
      </c>
      <c r="O795" s="13" t="n">
        <v>93</v>
      </c>
      <c r="P795" s="13" t="n">
        <v>115</v>
      </c>
      <c r="Q795" s="13" t="n">
        <v>14.2</v>
      </c>
      <c r="R795" s="13" t="n">
        <v>1650</v>
      </c>
      <c r="S795" s="13" t="n">
        <v>0.99</v>
      </c>
      <c r="T795" s="13" t="n">
        <v>1633</v>
      </c>
      <c r="U795" s="13" t="n">
        <v>190</v>
      </c>
      <c r="V795" s="13" t="n">
        <v>117</v>
      </c>
      <c r="W795" s="13" t="n">
        <v>50</v>
      </c>
      <c r="X795" s="13" t="n">
        <v>332</v>
      </c>
      <c r="Y795" s="13" t="n">
        <v>19</v>
      </c>
      <c r="Z795" s="13" t="n">
        <v>216</v>
      </c>
      <c r="AA795" s="13" t="n">
        <v>0.374</v>
      </c>
      <c r="AB795" s="13" t="n">
        <v>132</v>
      </c>
      <c r="AC795" s="13" t="n">
        <v>114</v>
      </c>
      <c r="AD795" s="13" t="n">
        <v>200</v>
      </c>
      <c r="AE795" s="13" t="n">
        <v>3</v>
      </c>
      <c r="AF795" s="13" t="n">
        <v>9</v>
      </c>
      <c r="AG795" s="11" t="inlineStr">
        <is>
          <t xml:space="preserve"> Resort Freeride</t>
        </is>
      </c>
      <c r="AH795" s="13" t="n"/>
      <c r="AI795" s="13" t="n"/>
      <c r="AJ795" s="13" t="n"/>
      <c r="AK795" s="42" t="n"/>
    </row>
    <row r="796">
      <c r="E796" s="40" t="inlineStr">
        <is>
          <t>21/22</t>
        </is>
      </c>
      <c r="F796" s="10" t="inlineStr">
        <is>
          <t xml:space="preserve"> Fischer</t>
        </is>
      </c>
      <c r="G796" s="11" t="inlineStr">
        <is>
          <t>Ranger 99 Ti W</t>
        </is>
      </c>
      <c r="H796" s="13" t="n">
        <v>166</v>
      </c>
      <c r="I796" s="11" t="inlineStr">
        <is>
          <t xml:space="preserve"> Women's</t>
        </is>
      </c>
      <c r="J796" s="13" t="n">
        <v>166</v>
      </c>
      <c r="K796" s="13" t="n">
        <v>165.2</v>
      </c>
      <c r="L796" s="13" t="n">
        <v>114</v>
      </c>
      <c r="M796" s="13" t="n">
        <v>140</v>
      </c>
      <c r="N796" s="13" t="n">
        <v>126</v>
      </c>
      <c r="O796" s="13" t="n">
        <v>94</v>
      </c>
      <c r="P796" s="13" t="n">
        <v>117</v>
      </c>
      <c r="Q796" s="13" t="n">
        <v>15.3</v>
      </c>
      <c r="R796" s="13" t="n">
        <v>1723</v>
      </c>
      <c r="S796" s="13" t="n">
        <v>1.01</v>
      </c>
      <c r="T796" s="13" t="n">
        <v>1740</v>
      </c>
      <c r="U796" s="13" t="n">
        <v>189</v>
      </c>
      <c r="V796" s="13" t="n">
        <v>118</v>
      </c>
      <c r="W796" s="13" t="n">
        <v>45</v>
      </c>
      <c r="X796" s="13" t="n">
        <v>286</v>
      </c>
      <c r="Y796" s="13" t="n">
        <v>19</v>
      </c>
      <c r="Z796" s="13" t="n">
        <v>229</v>
      </c>
      <c r="AA796" s="13" t="n">
        <v>0.409</v>
      </c>
      <c r="AB796" s="13" t="n">
        <v>134</v>
      </c>
      <c r="AC796" s="13" t="n">
        <v>120</v>
      </c>
      <c r="AD796" s="13" t="n">
        <v>152</v>
      </c>
      <c r="AE796" s="13" t="n">
        <v>4</v>
      </c>
      <c r="AF796" s="13" t="n">
        <v>9.5</v>
      </c>
      <c r="AG796" s="11" t="inlineStr">
        <is>
          <t xml:space="preserve"> Resort Freeride</t>
        </is>
      </c>
      <c r="AH796" s="13" t="n"/>
      <c r="AI796" s="13" t="n"/>
      <c r="AJ796" s="13" t="n"/>
      <c r="AK796" s="42" t="n"/>
    </row>
    <row r="797">
      <c r="E797" s="40" t="inlineStr">
        <is>
          <t>21/22</t>
        </is>
      </c>
      <c r="F797" s="10" t="inlineStr">
        <is>
          <t xml:space="preserve"> Fischer</t>
        </is>
      </c>
      <c r="G797" s="11" t="inlineStr">
        <is>
          <t>RC One 78 GT</t>
        </is>
      </c>
      <c r="H797" s="13" t="n">
        <v>159</v>
      </c>
      <c r="I797" s="11" t="inlineStr">
        <is>
          <t xml:space="preserve"> Unisex</t>
        </is>
      </c>
      <c r="J797" s="13" t="n">
        <v>159</v>
      </c>
      <c r="K797" s="13" t="n">
        <v>158.2</v>
      </c>
      <c r="L797" s="13" t="n">
        <v>129</v>
      </c>
      <c r="M797" s="13" t="n">
        <v>143</v>
      </c>
      <c r="N797" s="13" t="n">
        <v>124</v>
      </c>
      <c r="O797" s="13" t="n">
        <v>78</v>
      </c>
      <c r="P797" s="13" t="n">
        <v>109</v>
      </c>
      <c r="Q797" s="13" t="n">
        <v>12.4</v>
      </c>
      <c r="R797" s="13" t="n">
        <v>1912</v>
      </c>
      <c r="S797" s="13" t="n">
        <v>0.77</v>
      </c>
      <c r="T797" s="13" t="n">
        <v>1475</v>
      </c>
      <c r="U797" s="13" t="n">
        <v>208</v>
      </c>
      <c r="V797" s="13" t="n">
        <v>73</v>
      </c>
      <c r="W797" s="13" t="n">
        <v>43</v>
      </c>
      <c r="X797" s="13" t="n">
        <v>208</v>
      </c>
      <c r="Y797" s="13" t="n">
        <v>14</v>
      </c>
      <c r="Z797" s="13" t="n">
        <v>85</v>
      </c>
      <c r="AA797" s="13" t="n">
        <v>0.33</v>
      </c>
      <c r="AB797" s="13" t="n">
        <v>71</v>
      </c>
      <c r="AC797" s="13" t="n">
        <v>78</v>
      </c>
      <c r="AD797" s="13" t="n">
        <v>136</v>
      </c>
      <c r="AE797" s="13" t="n">
        <v>8</v>
      </c>
      <c r="AF797" s="13" t="n">
        <v>8.6</v>
      </c>
      <c r="AG797" s="11" t="inlineStr">
        <is>
          <t xml:space="preserve"> On-Piste Carving</t>
        </is>
      </c>
      <c r="AH797" s="13" t="n"/>
      <c r="AI797" s="13" t="n"/>
      <c r="AJ797" s="13" t="n"/>
      <c r="AK797" s="42" t="n"/>
    </row>
    <row r="798">
      <c r="E798" s="40" t="inlineStr">
        <is>
          <t>21/22</t>
        </is>
      </c>
      <c r="F798" s="10" t="inlineStr">
        <is>
          <t xml:space="preserve"> Fischer</t>
        </is>
      </c>
      <c r="G798" s="11" t="inlineStr">
        <is>
          <t>RC One 78 GT</t>
        </is>
      </c>
      <c r="H798" s="13" t="n">
        <v>166</v>
      </c>
      <c r="I798" s="11" t="inlineStr">
        <is>
          <t xml:space="preserve"> Unisex</t>
        </is>
      </c>
      <c r="J798" s="13" t="n">
        <v>166</v>
      </c>
      <c r="K798" s="13" t="n">
        <v>167.4</v>
      </c>
      <c r="L798" s="13" t="n">
        <v>132</v>
      </c>
      <c r="M798" s="13" t="n">
        <v>151</v>
      </c>
      <c r="N798" s="13" t="n">
        <v>123</v>
      </c>
      <c r="O798" s="13" t="n">
        <v>78</v>
      </c>
      <c r="P798" s="13" t="n">
        <v>109</v>
      </c>
      <c r="Q798" s="13" t="n">
        <v>13.7</v>
      </c>
      <c r="R798" s="13" t="n">
        <v>1950</v>
      </c>
      <c r="S798" s="13" t="n">
        <v>0.8</v>
      </c>
      <c r="T798" s="13" t="n">
        <v>1556</v>
      </c>
      <c r="U798" s="13" t="n">
        <v>211</v>
      </c>
      <c r="V798" s="13" t="n">
        <v>69</v>
      </c>
      <c r="W798" s="13" t="n">
        <v>50</v>
      </c>
      <c r="X798" s="13" t="n">
        <v>243</v>
      </c>
      <c r="Y798" s="13" t="n">
        <v>20</v>
      </c>
      <c r="Z798" s="13" t="n">
        <v>109</v>
      </c>
      <c r="AA798" s="13" t="n">
        <v>0.408</v>
      </c>
      <c r="AB798" s="13" t="n">
        <v>68</v>
      </c>
      <c r="AC798" s="13" t="n">
        <v>96</v>
      </c>
      <c r="AD798" s="13" t="n">
        <v>175</v>
      </c>
      <c r="AE798" s="13" t="n">
        <v>9</v>
      </c>
      <c r="AF798" s="13" t="n">
        <v>7</v>
      </c>
      <c r="AG798" s="11" t="inlineStr">
        <is>
          <t xml:space="preserve"> Other</t>
        </is>
      </c>
      <c r="AH798" s="13" t="n"/>
      <c r="AI798" s="13" t="n"/>
      <c r="AJ798" s="13" t="n"/>
      <c r="AK798" s="42" t="n"/>
    </row>
    <row r="799">
      <c r="E799" s="40" t="inlineStr">
        <is>
          <t>21/22</t>
        </is>
      </c>
      <c r="F799" s="10" t="inlineStr">
        <is>
          <t xml:space="preserve"> Fischer</t>
        </is>
      </c>
      <c r="G799" s="11" t="inlineStr">
        <is>
          <t>RC One 78 GT</t>
        </is>
      </c>
      <c r="H799" s="13" t="n">
        <v>173</v>
      </c>
      <c r="I799" s="11" t="inlineStr">
        <is>
          <t xml:space="preserve"> Unisex</t>
        </is>
      </c>
      <c r="J799" s="13" t="n">
        <v>173</v>
      </c>
      <c r="K799" s="13" t="n">
        <v>172</v>
      </c>
      <c r="L799" s="13" t="n">
        <v>139</v>
      </c>
      <c r="M799" s="13" t="n">
        <v>157</v>
      </c>
      <c r="N799" s="13" t="n">
        <v>125</v>
      </c>
      <c r="O799" s="13" t="n">
        <v>80</v>
      </c>
      <c r="P799" s="13" t="n">
        <v>111</v>
      </c>
      <c r="Q799" s="13" t="n">
        <v>15</v>
      </c>
      <c r="R799" s="13" t="n">
        <v>2106</v>
      </c>
      <c r="S799" s="13" t="n">
        <v>0.77</v>
      </c>
      <c r="T799" s="13" t="n">
        <v>1622</v>
      </c>
      <c r="U799" s="13" t="n">
        <v>233</v>
      </c>
      <c r="V799" s="13" t="n">
        <v>79</v>
      </c>
      <c r="W799" s="13" t="n">
        <v>49</v>
      </c>
      <c r="X799" s="13" t="n">
        <v>241</v>
      </c>
      <c r="Y799" s="13" t="n">
        <v>14</v>
      </c>
      <c r="Z799" s="13" t="n">
        <v>86</v>
      </c>
      <c r="AA799" s="13" t="n">
        <v>0.288</v>
      </c>
      <c r="AB799" s="13" t="n">
        <v>70</v>
      </c>
      <c r="AC799" s="13" t="n">
        <v>78</v>
      </c>
      <c r="AD799" s="13" t="n">
        <v>172</v>
      </c>
      <c r="AE799" s="13" t="n">
        <v>7</v>
      </c>
      <c r="AF799" s="13" t="n">
        <v>8.5</v>
      </c>
      <c r="AG799" s="11" t="inlineStr">
        <is>
          <t xml:space="preserve"> On-Piste Carving</t>
        </is>
      </c>
      <c r="AH799" s="13" t="n"/>
      <c r="AI799" s="13" t="n"/>
      <c r="AJ799" s="13" t="n"/>
      <c r="AK799" s="42" t="n"/>
    </row>
    <row r="800">
      <c r="E800" s="40" t="inlineStr">
        <is>
          <t>21/22</t>
        </is>
      </c>
      <c r="F800" s="10" t="inlineStr">
        <is>
          <t xml:space="preserve"> Fischer</t>
        </is>
      </c>
      <c r="G800" s="11" t="inlineStr">
        <is>
          <t>RC One 82 GT</t>
        </is>
      </c>
      <c r="H800" s="13" t="n">
        <v>166</v>
      </c>
      <c r="I800" s="11" t="inlineStr">
        <is>
          <t xml:space="preserve"> Unisex</t>
        </is>
      </c>
      <c r="J800" s="13" t="n">
        <v>166</v>
      </c>
      <c r="K800" s="13" t="n">
        <v>165.6</v>
      </c>
      <c r="L800" s="13" t="n">
        <v>127</v>
      </c>
      <c r="M800" s="13" t="n">
        <v>148</v>
      </c>
      <c r="N800" s="13" t="n">
        <v>125</v>
      </c>
      <c r="O800" s="13" t="n">
        <v>82</v>
      </c>
      <c r="P800" s="13" t="n">
        <v>111</v>
      </c>
      <c r="Q800" s="13" t="n">
        <v>13.8</v>
      </c>
      <c r="R800" s="13" t="n">
        <v>1915</v>
      </c>
      <c r="S800" s="13" t="n">
        <v>0.83</v>
      </c>
      <c r="T800" s="13" t="n">
        <v>1583</v>
      </c>
      <c r="U800" s="13" t="n">
        <v>215</v>
      </c>
      <c r="V800" s="13" t="n">
        <v>123</v>
      </c>
      <c r="W800" s="13" t="n">
        <v>49</v>
      </c>
      <c r="X800" s="13" t="n">
        <v>280</v>
      </c>
      <c r="Y800" s="13" t="n">
        <v>6</v>
      </c>
      <c r="Z800" s="13" t="n">
        <v>106</v>
      </c>
      <c r="AA800" s="13" t="n">
        <v>0.12</v>
      </c>
      <c r="AB800" s="13" t="n">
        <v>84</v>
      </c>
      <c r="AC800" s="13" t="n">
        <v>95</v>
      </c>
      <c r="AD800" s="13" t="n">
        <v>197</v>
      </c>
      <c r="AE800" s="13" t="n">
        <v>4</v>
      </c>
      <c r="AF800" s="13" t="n">
        <v>9.300000000000001</v>
      </c>
      <c r="AG800" s="11" t="inlineStr">
        <is>
          <t xml:space="preserve"> On-Piste All-Mountain</t>
        </is>
      </c>
      <c r="AH800" s="11" t="inlineStr">
        <is>
          <t xml:space="preserve"> Resort Freeride</t>
        </is>
      </c>
      <c r="AI800" s="13" t="n"/>
      <c r="AJ800" s="13" t="n"/>
      <c r="AK800" s="42" t="n"/>
    </row>
    <row r="801">
      <c r="E801" s="40" t="inlineStr">
        <is>
          <t>21/22</t>
        </is>
      </c>
      <c r="F801" s="10" t="inlineStr">
        <is>
          <t xml:space="preserve"> Fischer</t>
        </is>
      </c>
      <c r="G801" s="11" t="inlineStr">
        <is>
          <t>RC One 82 GT</t>
        </is>
      </c>
      <c r="H801" s="13" t="n">
        <v>173</v>
      </c>
      <c r="I801" s="11" t="inlineStr">
        <is>
          <t xml:space="preserve"> Unisex</t>
        </is>
      </c>
      <c r="J801" s="13" t="n">
        <v>173</v>
      </c>
      <c r="K801" s="13" t="n">
        <v>172.3</v>
      </c>
      <c r="L801" s="13" t="n">
        <v>133</v>
      </c>
      <c r="M801" s="13" t="n">
        <v>154</v>
      </c>
      <c r="N801" s="13" t="n">
        <v>125</v>
      </c>
      <c r="O801" s="13" t="n">
        <v>81</v>
      </c>
      <c r="P801" s="13" t="n">
        <v>112</v>
      </c>
      <c r="Q801" s="13" t="n">
        <v>14.6</v>
      </c>
      <c r="R801" s="13" t="n">
        <v>2002</v>
      </c>
      <c r="S801" s="13" t="n">
        <v>0.82</v>
      </c>
      <c r="T801" s="13" t="n">
        <v>1650</v>
      </c>
      <c r="U801" s="13" t="n">
        <v>255</v>
      </c>
      <c r="V801" s="13" t="n">
        <v>155</v>
      </c>
      <c r="W801" s="13" t="n">
        <v>50</v>
      </c>
      <c r="X801" s="13" t="n">
        <v>263</v>
      </c>
      <c r="Y801" s="13" t="n">
        <v>9</v>
      </c>
      <c r="Z801" s="13" t="n">
        <v>130</v>
      </c>
      <c r="AA801" s="13" t="n">
        <v>0.178</v>
      </c>
      <c r="AB801" s="13" t="n">
        <v>84</v>
      </c>
      <c r="AC801" s="13" t="n">
        <v>104</v>
      </c>
      <c r="AD801" s="13" t="n">
        <v>179</v>
      </c>
      <c r="AE801" s="13" t="n">
        <v>5</v>
      </c>
      <c r="AF801" s="13" t="n">
        <v>9.9</v>
      </c>
      <c r="AG801" s="11" t="inlineStr">
        <is>
          <t xml:space="preserve"> On-Piste All-Mountain</t>
        </is>
      </c>
      <c r="AH801" s="11" t="inlineStr">
        <is>
          <t xml:space="preserve"> Resort Freeride</t>
        </is>
      </c>
      <c r="AI801" s="13" t="n"/>
      <c r="AJ801" s="13" t="n"/>
      <c r="AK801" s="42" t="n"/>
    </row>
    <row r="802">
      <c r="E802" s="40" t="inlineStr">
        <is>
          <t>21/22</t>
        </is>
      </c>
      <c r="F802" s="10" t="inlineStr">
        <is>
          <t xml:space="preserve"> Fischer</t>
        </is>
      </c>
      <c r="G802" s="11" t="inlineStr">
        <is>
          <t>RC4 WC SC</t>
        </is>
      </c>
      <c r="H802" s="13" t="n">
        <v>165</v>
      </c>
      <c r="I802" s="11" t="inlineStr">
        <is>
          <t xml:space="preserve"> Unisex</t>
        </is>
      </c>
      <c r="J802" s="13" t="n">
        <v>165</v>
      </c>
      <c r="K802" s="13" t="n">
        <v>164.5</v>
      </c>
      <c r="L802" s="13" t="n">
        <v>146</v>
      </c>
      <c r="M802" s="13" t="n">
        <v>155</v>
      </c>
      <c r="N802" s="13" t="n">
        <v>120</v>
      </c>
      <c r="O802" s="13" t="n">
        <v>66</v>
      </c>
      <c r="P802" s="13" t="n">
        <v>103</v>
      </c>
      <c r="Q802" s="13" t="n">
        <v>12.6</v>
      </c>
      <c r="R802" s="13" t="n">
        <v>2012</v>
      </c>
      <c r="S802" s="13" t="n">
        <v>0.68</v>
      </c>
      <c r="T802" s="13" t="n">
        <v>1373</v>
      </c>
      <c r="U802" s="13" t="n">
        <v>212</v>
      </c>
      <c r="V802" s="13" t="n">
        <v>130</v>
      </c>
      <c r="W802" s="13" t="n">
        <v>37</v>
      </c>
      <c r="X802" s="13" t="n">
        <v>139</v>
      </c>
      <c r="Y802" s="13" t="n">
        <v>4</v>
      </c>
      <c r="Z802" s="13" t="n">
        <v>48</v>
      </c>
      <c r="AA802" s="13" t="n">
        <v>0.097</v>
      </c>
      <c r="AB802" s="13" t="n">
        <v>47</v>
      </c>
      <c r="AC802" s="13" t="n">
        <v>45</v>
      </c>
      <c r="AD802" s="13" t="n">
        <v>92</v>
      </c>
      <c r="AE802" s="13" t="n">
        <v>9</v>
      </c>
      <c r="AF802" s="13" t="n">
        <v>12.9</v>
      </c>
      <c r="AG802" s="11" t="inlineStr">
        <is>
          <t xml:space="preserve"> On-Piste Carving</t>
        </is>
      </c>
      <c r="AH802" s="13" t="n"/>
      <c r="AI802" s="13" t="n"/>
      <c r="AJ802" s="13" t="n"/>
      <c r="AK802" s="42" t="n"/>
    </row>
    <row r="803">
      <c r="E803" s="40" t="inlineStr">
        <is>
          <t>21/22</t>
        </is>
      </c>
      <c r="F803" s="10" t="inlineStr">
        <is>
          <t xml:space="preserve"> Fischer</t>
        </is>
      </c>
      <c r="G803" s="11" t="inlineStr">
        <is>
          <t>RC4 WC SC</t>
        </is>
      </c>
      <c r="H803" s="13" t="n">
        <v>170</v>
      </c>
      <c r="I803" s="11" t="inlineStr">
        <is>
          <t xml:space="preserve"> Unisex</t>
        </is>
      </c>
      <c r="J803" s="13" t="n">
        <v>170</v>
      </c>
      <c r="K803" s="13" t="n">
        <v>169.2</v>
      </c>
      <c r="L803" s="13" t="n">
        <v>150</v>
      </c>
      <c r="M803" s="13" t="n">
        <v>160</v>
      </c>
      <c r="N803" s="13" t="n">
        <v>121</v>
      </c>
      <c r="O803" s="13" t="n">
        <v>66</v>
      </c>
      <c r="P803" s="13" t="n">
        <v>104</v>
      </c>
      <c r="Q803" s="13" t="n">
        <v>13.1</v>
      </c>
      <c r="R803" s="13" t="n">
        <v>2126</v>
      </c>
      <c r="S803" s="13" t="n">
        <v>0.67</v>
      </c>
      <c r="T803" s="13" t="n">
        <v>1419</v>
      </c>
      <c r="U803" s="13" t="n">
        <v>246</v>
      </c>
      <c r="V803" s="13" t="n">
        <v>166</v>
      </c>
      <c r="W803" s="13" t="n">
        <v>36</v>
      </c>
      <c r="X803" s="13" t="n">
        <v>137</v>
      </c>
      <c r="Y803" s="13" t="n">
        <v>4</v>
      </c>
      <c r="Z803" s="13" t="n">
        <v>50</v>
      </c>
      <c r="AA803" s="13" t="n">
        <v>0.107</v>
      </c>
      <c r="AB803" s="13" t="n">
        <v>47</v>
      </c>
      <c r="AC803" s="13" t="n">
        <v>43</v>
      </c>
      <c r="AD803" s="13" t="n">
        <v>91</v>
      </c>
      <c r="AE803" s="13" t="n">
        <v>8</v>
      </c>
      <c r="AF803" s="13" t="n">
        <v>13.1</v>
      </c>
      <c r="AG803" s="11" t="inlineStr">
        <is>
          <t xml:space="preserve"> On-Piste Carving</t>
        </is>
      </c>
      <c r="AH803" s="13" t="n"/>
      <c r="AI803" s="13" t="n"/>
      <c r="AJ803" s="13" t="n"/>
      <c r="AK803" s="42" t="n"/>
    </row>
    <row r="804">
      <c r="E804" s="40" t="inlineStr">
        <is>
          <t>21/22</t>
        </is>
      </c>
      <c r="F804" s="10" t="inlineStr">
        <is>
          <t xml:space="preserve"> Fischer</t>
        </is>
      </c>
      <c r="G804" s="11" t="inlineStr">
        <is>
          <t>Transalp 82</t>
        </is>
      </c>
      <c r="H804" s="13" t="n">
        <v>155</v>
      </c>
      <c r="I804" s="11" t="inlineStr">
        <is>
          <t xml:space="preserve"> Women's</t>
        </is>
      </c>
      <c r="J804" s="13" t="n">
        <v>155</v>
      </c>
      <c r="K804" s="13" t="n">
        <v>155.1</v>
      </c>
      <c r="L804" s="13" t="n">
        <v>123</v>
      </c>
      <c r="M804" s="13" t="n">
        <v>138</v>
      </c>
      <c r="N804" s="13" t="n">
        <v>116</v>
      </c>
      <c r="O804" s="13" t="n">
        <v>79</v>
      </c>
      <c r="P804" s="13" t="n">
        <v>105</v>
      </c>
      <c r="Q804" s="13" t="n">
        <v>14.1</v>
      </c>
      <c r="R804" s="13" t="n">
        <v>1056</v>
      </c>
      <c r="S804" s="13" t="n">
        <v>1.34</v>
      </c>
      <c r="T804" s="13" t="n">
        <v>1415</v>
      </c>
      <c r="U804" s="13" t="n">
        <v>182</v>
      </c>
      <c r="V804" s="13" t="n">
        <v>66</v>
      </c>
      <c r="W804" s="13" t="n">
        <v>54</v>
      </c>
      <c r="X804" s="13" t="n">
        <v>231</v>
      </c>
      <c r="Y804" s="13" t="n">
        <v>10</v>
      </c>
      <c r="Z804" s="13" t="n">
        <v>90</v>
      </c>
      <c r="AA804" s="13" t="n">
        <v>0.184</v>
      </c>
      <c r="AB804" s="13" t="n">
        <v>93</v>
      </c>
      <c r="AC804" s="13" t="n">
        <v>81</v>
      </c>
      <c r="AD804" s="13" t="n">
        <v>138</v>
      </c>
      <c r="AE804" s="13" t="n">
        <v>6</v>
      </c>
      <c r="AF804" s="13" t="n">
        <v>9.5</v>
      </c>
      <c r="AG804" s="11" t="inlineStr">
        <is>
          <t xml:space="preserve"> Touring</t>
        </is>
      </c>
      <c r="AH804" s="11" t="inlineStr">
        <is>
          <t xml:space="preserve"> Ultralight Touring</t>
        </is>
      </c>
      <c r="AI804" s="13" t="n"/>
      <c r="AJ804" s="13" t="n"/>
      <c r="AK804" s="42" t="n"/>
    </row>
    <row r="805">
      <c r="E805" s="40" t="inlineStr">
        <is>
          <t>21/22</t>
        </is>
      </c>
      <c r="F805" s="10" t="inlineStr">
        <is>
          <t xml:space="preserve"> Fischer</t>
        </is>
      </c>
      <c r="G805" s="11" t="inlineStr">
        <is>
          <t>Transalp 82</t>
        </is>
      </c>
      <c r="H805" s="13" t="n">
        <v>162</v>
      </c>
      <c r="I805" s="11" t="inlineStr">
        <is>
          <t xml:space="preserve"> Women's</t>
        </is>
      </c>
      <c r="J805" s="13" t="n">
        <v>162</v>
      </c>
      <c r="K805" s="13" t="n">
        <v>160.7</v>
      </c>
      <c r="L805" s="13" t="n">
        <v>126</v>
      </c>
      <c r="M805" s="13" t="n">
        <v>143</v>
      </c>
      <c r="N805" s="13" t="n">
        <v>116</v>
      </c>
      <c r="O805" s="13" t="n">
        <v>80</v>
      </c>
      <c r="P805" s="13" t="n">
        <v>106</v>
      </c>
      <c r="Q805" s="13" t="n">
        <v>15.4</v>
      </c>
      <c r="R805" s="13" t="n">
        <v>1092</v>
      </c>
      <c r="S805" s="13" t="n">
        <v>1.35</v>
      </c>
      <c r="T805" s="13" t="n">
        <v>1473</v>
      </c>
      <c r="U805" s="13" t="n">
        <v>195</v>
      </c>
      <c r="V805" s="13" t="n">
        <v>80</v>
      </c>
      <c r="W805" s="13" t="n">
        <v>47</v>
      </c>
      <c r="X805" s="13" t="n">
        <v>250</v>
      </c>
      <c r="Y805" s="13" t="n">
        <v>10</v>
      </c>
      <c r="Z805" s="13" t="n">
        <v>95</v>
      </c>
      <c r="AA805" s="13" t="n">
        <v>0.203</v>
      </c>
      <c r="AB805" s="13" t="n">
        <v>74</v>
      </c>
      <c r="AC805" s="13" t="n">
        <v>103</v>
      </c>
      <c r="AD805" s="13" t="n">
        <v>175</v>
      </c>
      <c r="AE805" s="13" t="n">
        <v>7</v>
      </c>
      <c r="AF805" s="13" t="n">
        <v>9.9</v>
      </c>
      <c r="AG805" s="11" t="inlineStr">
        <is>
          <t xml:space="preserve"> Touring</t>
        </is>
      </c>
      <c r="AH805" s="11" t="inlineStr">
        <is>
          <t xml:space="preserve"> Ultralight Touring</t>
        </is>
      </c>
      <c r="AI805" s="13" t="n"/>
      <c r="AJ805" s="13" t="n"/>
      <c r="AK805" s="42" t="n"/>
    </row>
    <row r="806">
      <c r="E806" s="40" t="inlineStr">
        <is>
          <t>21/22</t>
        </is>
      </c>
      <c r="F806" s="10" t="inlineStr">
        <is>
          <t xml:space="preserve"> Head</t>
        </is>
      </c>
      <c r="G806" s="11" t="inlineStr">
        <is>
          <t xml:space="preserve"> Absolut Joy</t>
        </is>
      </c>
      <c r="H806" s="13" t="n">
        <v>153</v>
      </c>
      <c r="I806" s="11" t="inlineStr">
        <is>
          <t xml:space="preserve"> Women's</t>
        </is>
      </c>
      <c r="J806" s="13" t="n">
        <v>153</v>
      </c>
      <c r="K806" s="13" t="n">
        <v>152.3</v>
      </c>
      <c r="L806" s="13" t="n">
        <v>131</v>
      </c>
      <c r="M806" s="13" t="n">
        <v>135</v>
      </c>
      <c r="N806" s="13" t="n">
        <v>130</v>
      </c>
      <c r="O806" s="13" t="n">
        <v>78</v>
      </c>
      <c r="P806" s="13" t="n">
        <v>108</v>
      </c>
      <c r="Q806" s="13" t="n">
        <v>11.2</v>
      </c>
      <c r="R806" s="13" t="n">
        <v>1604</v>
      </c>
      <c r="S806" s="13" t="n">
        <v>0.89</v>
      </c>
      <c r="T806" s="13" t="n">
        <v>1425</v>
      </c>
      <c r="U806" s="13" t="n">
        <v>122</v>
      </c>
      <c r="V806" s="13" t="n">
        <v>65</v>
      </c>
      <c r="W806" s="13" t="n">
        <v>34</v>
      </c>
      <c r="X806" s="13" t="n">
        <v>136</v>
      </c>
      <c r="Y806" s="13" t="n">
        <v>11</v>
      </c>
      <c r="Z806" s="13" t="n">
        <v>73</v>
      </c>
      <c r="AA806" s="13" t="n">
        <v>0.338</v>
      </c>
      <c r="AB806" s="13" t="n">
        <v>111</v>
      </c>
      <c r="AC806" s="13" t="n">
        <v>62</v>
      </c>
      <c r="AD806" s="13" t="n">
        <v>25</v>
      </c>
      <c r="AE806" s="13" t="n">
        <v>11</v>
      </c>
      <c r="AF806" s="13" t="n">
        <v>10.8</v>
      </c>
      <c r="AG806" s="11" t="inlineStr">
        <is>
          <t xml:space="preserve"> On-Piste Carving</t>
        </is>
      </c>
      <c r="AH806" s="11" t="inlineStr">
        <is>
          <t xml:space="preserve"> On-Piste All-Mountain</t>
        </is>
      </c>
      <c r="AI806" s="13" t="n"/>
      <c r="AJ806" s="13" t="n"/>
      <c r="AK806" s="42" t="n"/>
    </row>
    <row r="807">
      <c r="E807" s="40" t="inlineStr">
        <is>
          <t>21/22</t>
        </is>
      </c>
      <c r="F807" s="10" t="inlineStr">
        <is>
          <t xml:space="preserve"> Head</t>
        </is>
      </c>
      <c r="G807" s="11" t="inlineStr">
        <is>
          <t>Kore 105</t>
        </is>
      </c>
      <c r="H807" s="13" t="n">
        <v>170</v>
      </c>
      <c r="I807" s="11" t="inlineStr">
        <is>
          <t xml:space="preserve"> Unisex</t>
        </is>
      </c>
      <c r="J807" s="13" t="n">
        <v>170</v>
      </c>
      <c r="K807" s="13" t="n">
        <v>170.1</v>
      </c>
      <c r="L807" s="13" t="n">
        <v>127</v>
      </c>
      <c r="M807" s="13" t="n">
        <v>131</v>
      </c>
      <c r="N807" s="13" t="n">
        <v>128</v>
      </c>
      <c r="O807" s="13" t="n">
        <v>100</v>
      </c>
      <c r="P807" s="13" t="n">
        <v>118</v>
      </c>
      <c r="Q807" s="13" t="n">
        <v>15.9</v>
      </c>
      <c r="R807" s="13" t="n">
        <v>1636</v>
      </c>
      <c r="S807" s="13" t="n">
        <v>1.15</v>
      </c>
      <c r="T807" s="13" t="n">
        <v>1875</v>
      </c>
      <c r="U807" s="13" t="n">
        <v>222</v>
      </c>
      <c r="V807" s="13" t="n">
        <v>108</v>
      </c>
      <c r="W807" s="13" t="n">
        <v>54</v>
      </c>
      <c r="X807" s="13" t="n">
        <v>253</v>
      </c>
      <c r="Y807" s="13" t="n">
        <v>19</v>
      </c>
      <c r="Z807" s="13" t="n">
        <v>176</v>
      </c>
      <c r="AA807" s="13" t="n">
        <v>0.356</v>
      </c>
      <c r="AB807" s="13" t="n">
        <v>230</v>
      </c>
      <c r="AC807" s="13" t="n">
        <v>161</v>
      </c>
      <c r="AD807" s="13" t="n">
        <v>23</v>
      </c>
      <c r="AE807" s="13" t="n">
        <v>6</v>
      </c>
      <c r="AF807" s="13" t="n">
        <v>9.800000000000001</v>
      </c>
      <c r="AG807" s="11" t="inlineStr">
        <is>
          <t xml:space="preserve"> Resort Freeride</t>
        </is>
      </c>
      <c r="AH807" s="11" t="inlineStr">
        <is>
          <t xml:space="preserve"> Touring</t>
        </is>
      </c>
      <c r="AI807" s="13" t="n"/>
      <c r="AJ807" s="13" t="n"/>
      <c r="AK807" s="42" t="n"/>
    </row>
    <row r="808">
      <c r="E808" s="40" t="inlineStr">
        <is>
          <t>21/22</t>
        </is>
      </c>
      <c r="F808" s="10" t="inlineStr">
        <is>
          <t xml:space="preserve"> Head</t>
        </is>
      </c>
      <c r="G808" s="11" t="inlineStr">
        <is>
          <t>Kore 105</t>
        </is>
      </c>
      <c r="H808" s="13" t="n">
        <v>177</v>
      </c>
      <c r="I808" s="11" t="inlineStr">
        <is>
          <t xml:space="preserve"> Unisex</t>
        </is>
      </c>
      <c r="J808" s="13" t="n">
        <v>177</v>
      </c>
      <c r="K808" s="13" t="n">
        <v>176.6</v>
      </c>
      <c r="L808" s="13" t="n">
        <v>134</v>
      </c>
      <c r="M808" s="13" t="n">
        <v>137</v>
      </c>
      <c r="N808" s="13" t="n">
        <v>132</v>
      </c>
      <c r="O808" s="13" t="n">
        <v>102</v>
      </c>
      <c r="P808" s="13" t="n">
        <v>121</v>
      </c>
      <c r="Q808" s="13" t="n">
        <v>17</v>
      </c>
      <c r="R808" s="13" t="n">
        <v>1686</v>
      </c>
      <c r="S808" s="13" t="n">
        <v>1.18</v>
      </c>
      <c r="T808" s="13" t="n">
        <v>1988</v>
      </c>
      <c r="U808" s="13" t="n">
        <v>253</v>
      </c>
      <c r="V808" s="13" t="n">
        <v>129</v>
      </c>
      <c r="W808" s="13" t="n">
        <v>52</v>
      </c>
      <c r="X808" s="13" t="n">
        <v>246</v>
      </c>
      <c r="Y808" s="13" t="n">
        <v>21</v>
      </c>
      <c r="Z808" s="13" t="n">
        <v>175</v>
      </c>
      <c r="AA808" s="13" t="n">
        <v>0.393</v>
      </c>
      <c r="AB808" s="13" t="n">
        <v>231</v>
      </c>
      <c r="AC808" s="13" t="n">
        <v>167</v>
      </c>
      <c r="AD808" s="13" t="n">
        <v>16</v>
      </c>
      <c r="AE808" s="13" t="n">
        <v>8</v>
      </c>
      <c r="AF808" s="13" t="n">
        <v>10</v>
      </c>
      <c r="AG808" s="11" t="inlineStr">
        <is>
          <t xml:space="preserve"> Resort Freeride</t>
        </is>
      </c>
      <c r="AH808" s="11" t="inlineStr">
        <is>
          <t xml:space="preserve"> Powder</t>
        </is>
      </c>
      <c r="AI808" s="11" t="inlineStr">
        <is>
          <t xml:space="preserve"> Big Mountain</t>
        </is>
      </c>
      <c r="AJ808" s="11" t="inlineStr">
        <is>
          <t xml:space="preserve"> Touring</t>
        </is>
      </c>
      <c r="AK808" s="42" t="n"/>
    </row>
    <row r="809">
      <c r="E809" s="40" t="inlineStr">
        <is>
          <t>21/22</t>
        </is>
      </c>
      <c r="F809" s="10" t="inlineStr">
        <is>
          <t xml:space="preserve"> Head</t>
        </is>
      </c>
      <c r="G809" s="11" t="inlineStr">
        <is>
          <t>Kore 105</t>
        </is>
      </c>
      <c r="H809" s="13" t="n">
        <v>184</v>
      </c>
      <c r="I809" s="11" t="inlineStr">
        <is>
          <t xml:space="preserve"> Unisex</t>
        </is>
      </c>
      <c r="J809" s="13" t="n">
        <v>184</v>
      </c>
      <c r="K809" s="13" t="n">
        <v>183.9</v>
      </c>
      <c r="L809" s="13" t="n">
        <v>141</v>
      </c>
      <c r="M809" s="13" t="n">
        <v>142</v>
      </c>
      <c r="N809" s="13" t="n">
        <v>135</v>
      </c>
      <c r="O809" s="13" t="n">
        <v>104</v>
      </c>
      <c r="P809" s="13" t="n">
        <v>123</v>
      </c>
      <c r="Q809" s="13" t="n">
        <v>18.2</v>
      </c>
      <c r="R809" s="13" t="n">
        <v>1851</v>
      </c>
      <c r="S809" s="13" t="n">
        <v>1.14</v>
      </c>
      <c r="T809" s="13" t="n">
        <v>2105</v>
      </c>
      <c r="U809" s="13" t="n">
        <v>302</v>
      </c>
      <c r="V809" s="13" t="n">
        <v>148</v>
      </c>
      <c r="W809" s="13" t="n">
        <v>52</v>
      </c>
      <c r="X809" s="13" t="n">
        <v>249</v>
      </c>
      <c r="Y809" s="13" t="n">
        <v>22</v>
      </c>
      <c r="Z809" s="13" t="n">
        <v>184</v>
      </c>
      <c r="AA809" s="13" t="n">
        <v>0.417</v>
      </c>
      <c r="AB809" s="13" t="n">
        <v>266</v>
      </c>
      <c r="AC809" s="13" t="n">
        <v>157</v>
      </c>
      <c r="AD809" s="13" t="n">
        <v>-17</v>
      </c>
      <c r="AE809" s="13" t="n">
        <v>8</v>
      </c>
      <c r="AF809" s="13" t="n">
        <v>11</v>
      </c>
      <c r="AG809" s="11" t="inlineStr">
        <is>
          <t xml:space="preserve"> Resort Freeride</t>
        </is>
      </c>
      <c r="AH809" s="11" t="inlineStr">
        <is>
          <t xml:space="preserve"> Powder</t>
        </is>
      </c>
      <c r="AI809" s="11" t="inlineStr">
        <is>
          <t xml:space="preserve"> Touring</t>
        </is>
      </c>
      <c r="AJ809" s="13" t="n"/>
      <c r="AK809" s="42" t="n"/>
    </row>
    <row r="810">
      <c r="E810" s="40" t="inlineStr">
        <is>
          <t>21/22</t>
        </is>
      </c>
      <c r="F810" s="10" t="inlineStr">
        <is>
          <t xml:space="preserve"> Head</t>
        </is>
      </c>
      <c r="G810" s="11" t="inlineStr">
        <is>
          <t>Kore 105</t>
        </is>
      </c>
      <c r="H810" s="13" t="n">
        <v>191</v>
      </c>
      <c r="I810" s="11" t="inlineStr">
        <is>
          <t xml:space="preserve"> Unisex</t>
        </is>
      </c>
      <c r="J810" s="13" t="n">
        <v>191</v>
      </c>
      <c r="K810" s="13" t="n">
        <v>189.6</v>
      </c>
      <c r="L810" s="13" t="n">
        <v>148</v>
      </c>
      <c r="M810" s="13" t="n">
        <v>152</v>
      </c>
      <c r="N810" s="13" t="n">
        <v>136</v>
      </c>
      <c r="O810" s="13" t="n">
        <v>106</v>
      </c>
      <c r="P810" s="13" t="n">
        <v>126</v>
      </c>
      <c r="Q810" s="13" t="n">
        <v>19.7</v>
      </c>
      <c r="R810" s="11" t="inlineStr">
        <is>
          <t xml:space="preserve"> None</t>
        </is>
      </c>
      <c r="S810" s="11" t="inlineStr">
        <is>
          <t xml:space="preserve"> None</t>
        </is>
      </c>
      <c r="T810" s="13" t="n">
        <v>2210</v>
      </c>
      <c r="U810" s="13" t="n">
        <v>330</v>
      </c>
      <c r="V810" s="13" t="n">
        <v>152</v>
      </c>
      <c r="W810" s="13" t="n">
        <v>49</v>
      </c>
      <c r="X810" s="13" t="n">
        <v>238</v>
      </c>
      <c r="Y810" s="13" t="n">
        <v>22</v>
      </c>
      <c r="Z810" s="13" t="n">
        <v>180</v>
      </c>
      <c r="AA810" s="13" t="n">
        <v>0.454</v>
      </c>
      <c r="AB810" s="13" t="n">
        <v>229</v>
      </c>
      <c r="AC810" s="13" t="n">
        <v>148</v>
      </c>
      <c r="AD810" s="13" t="n">
        <v>9</v>
      </c>
      <c r="AE810" s="13" t="n">
        <v>10</v>
      </c>
      <c r="AF810" s="13" t="n">
        <v>11.3</v>
      </c>
      <c r="AG810" s="11" t="inlineStr">
        <is>
          <t xml:space="preserve"> Powder</t>
        </is>
      </c>
      <c r="AH810" s="13" t="n"/>
      <c r="AI810" s="13" t="n"/>
      <c r="AJ810" s="13" t="n"/>
      <c r="AK810" s="42" t="n"/>
    </row>
    <row r="811">
      <c r="E811" s="40" t="inlineStr">
        <is>
          <t>21/22</t>
        </is>
      </c>
      <c r="F811" s="10" t="inlineStr">
        <is>
          <t xml:space="preserve"> Head</t>
        </is>
      </c>
      <c r="G811" s="11" t="inlineStr">
        <is>
          <t>Kore 111</t>
        </is>
      </c>
      <c r="H811" s="13" t="n">
        <v>177</v>
      </c>
      <c r="I811" s="11" t="inlineStr">
        <is>
          <t xml:space="preserve"> Unisex</t>
        </is>
      </c>
      <c r="J811" s="13" t="n">
        <v>177</v>
      </c>
      <c r="K811" s="13" t="n">
        <v>176.5</v>
      </c>
      <c r="L811" s="13" t="n">
        <v>123</v>
      </c>
      <c r="M811" s="13" t="n">
        <v>137</v>
      </c>
      <c r="N811" s="13" t="n">
        <v>137</v>
      </c>
      <c r="O811" s="13" t="n">
        <v>108</v>
      </c>
      <c r="P811" s="13" t="n">
        <v>124</v>
      </c>
      <c r="Q811" s="13" t="n">
        <v>19.8</v>
      </c>
      <c r="R811" s="13" t="n">
        <v>1737</v>
      </c>
      <c r="S811" s="13" t="n">
        <v>1.2</v>
      </c>
      <c r="T811" s="13" t="n">
        <v>2077</v>
      </c>
      <c r="U811" s="13" t="n">
        <v>288</v>
      </c>
      <c r="V811" s="13" t="n">
        <v>124</v>
      </c>
      <c r="W811" s="13" t="n">
        <v>56</v>
      </c>
      <c r="X811" s="13" t="n">
        <v>281</v>
      </c>
      <c r="Y811" s="13" t="n">
        <v>20</v>
      </c>
      <c r="Z811" s="13" t="n">
        <v>259</v>
      </c>
      <c r="AA811" s="13" t="n">
        <v>0.358</v>
      </c>
      <c r="AB811" s="13" t="n">
        <v>241</v>
      </c>
      <c r="AC811" s="13" t="n">
        <v>156</v>
      </c>
      <c r="AD811" s="13" t="n">
        <v>40</v>
      </c>
      <c r="AE811" s="13" t="n">
        <v>5</v>
      </c>
      <c r="AF811" s="13" t="n">
        <v>8.5</v>
      </c>
      <c r="AG811" s="11" t="inlineStr">
        <is>
          <t xml:space="preserve"> Powder</t>
        </is>
      </c>
      <c r="AH811" s="11" t="inlineStr">
        <is>
          <t xml:space="preserve"> Big Mountain</t>
        </is>
      </c>
      <c r="AI811" s="11" t="inlineStr">
        <is>
          <t xml:space="preserve"> Touring</t>
        </is>
      </c>
      <c r="AJ811" s="13" t="n"/>
      <c r="AK811" s="42" t="n"/>
    </row>
    <row r="812">
      <c r="E812" s="40" t="inlineStr">
        <is>
          <t>21/22</t>
        </is>
      </c>
      <c r="F812" s="10" t="inlineStr">
        <is>
          <t xml:space="preserve"> Head</t>
        </is>
      </c>
      <c r="G812" s="11" t="inlineStr">
        <is>
          <t>Kore 111</t>
        </is>
      </c>
      <c r="H812" s="13" t="n">
        <v>184</v>
      </c>
      <c r="I812" s="11" t="inlineStr">
        <is>
          <t xml:space="preserve"> Unisex</t>
        </is>
      </c>
      <c r="J812" s="13" t="n">
        <v>184</v>
      </c>
      <c r="K812" s="13" t="n">
        <v>183.2</v>
      </c>
      <c r="L812" s="13" t="n">
        <v>129</v>
      </c>
      <c r="M812" s="13" t="n">
        <v>145</v>
      </c>
      <c r="N812" s="13" t="n">
        <v>139</v>
      </c>
      <c r="O812" s="13" t="n">
        <v>110</v>
      </c>
      <c r="P812" s="13" t="n">
        <v>126</v>
      </c>
      <c r="Q812" s="13" t="n">
        <v>21.6</v>
      </c>
      <c r="R812" s="13" t="n">
        <v>1845</v>
      </c>
      <c r="S812" s="13" t="n">
        <v>1.19</v>
      </c>
      <c r="T812" s="13" t="n">
        <v>2191</v>
      </c>
      <c r="U812" s="13" t="n">
        <v>316</v>
      </c>
      <c r="V812" s="13" t="n">
        <v>140</v>
      </c>
      <c r="W812" s="13" t="n">
        <v>58</v>
      </c>
      <c r="X812" s="13" t="n">
        <v>279</v>
      </c>
      <c r="Y812" s="13" t="n">
        <v>20</v>
      </c>
      <c r="Z812" s="13" t="n">
        <v>268</v>
      </c>
      <c r="AA812" s="13" t="n">
        <v>0.342</v>
      </c>
      <c r="AB812" s="13" t="n">
        <v>240</v>
      </c>
      <c r="AC812" s="13" t="n">
        <v>147</v>
      </c>
      <c r="AD812" s="13" t="n">
        <v>39</v>
      </c>
      <c r="AE812" s="13" t="n">
        <v>5</v>
      </c>
      <c r="AF812" s="13" t="n">
        <v>9.300000000000001</v>
      </c>
      <c r="AG812" s="11" t="inlineStr">
        <is>
          <t xml:space="preserve"> Big Mountain</t>
        </is>
      </c>
      <c r="AH812" s="11" t="inlineStr">
        <is>
          <t xml:space="preserve"> Touring</t>
        </is>
      </c>
      <c r="AI812" s="13" t="n"/>
      <c r="AJ812" s="13" t="n"/>
      <c r="AK812" s="42" t="n"/>
    </row>
    <row r="813">
      <c r="E813" s="40" t="inlineStr">
        <is>
          <t>21/22</t>
        </is>
      </c>
      <c r="F813" s="10" t="inlineStr">
        <is>
          <t xml:space="preserve"> Head</t>
        </is>
      </c>
      <c r="G813" s="11" t="inlineStr">
        <is>
          <t>Kore 111</t>
        </is>
      </c>
      <c r="H813" s="13" t="n">
        <v>191</v>
      </c>
      <c r="I813" s="11" t="inlineStr">
        <is>
          <t xml:space="preserve"> Unisex</t>
        </is>
      </c>
      <c r="J813" s="13" t="n">
        <v>191</v>
      </c>
      <c r="K813" s="13" t="n">
        <v>190.2</v>
      </c>
      <c r="L813" s="13" t="n">
        <v>138</v>
      </c>
      <c r="M813" s="13" t="n">
        <v>153</v>
      </c>
      <c r="N813" s="13" t="n">
        <v>142</v>
      </c>
      <c r="O813" s="13" t="n">
        <v>112</v>
      </c>
      <c r="P813" s="13" t="n">
        <v>128</v>
      </c>
      <c r="Q813" s="13" t="n">
        <v>23.7</v>
      </c>
      <c r="R813" s="13" t="n">
        <v>1946</v>
      </c>
      <c r="S813" s="13" t="n">
        <v>1.19</v>
      </c>
      <c r="T813" s="13" t="n">
        <v>2317</v>
      </c>
      <c r="U813" s="13" t="n">
        <v>324</v>
      </c>
      <c r="V813" s="13" t="n">
        <v>176</v>
      </c>
      <c r="W813" s="13" t="n">
        <v>56</v>
      </c>
      <c r="X813" s="13" t="n">
        <v>269</v>
      </c>
      <c r="Y813" s="13" t="n">
        <v>20</v>
      </c>
      <c r="Z813" s="13" t="n">
        <v>255</v>
      </c>
      <c r="AA813" s="13" t="n">
        <v>0.365</v>
      </c>
      <c r="AB813" s="13" t="n">
        <v>230</v>
      </c>
      <c r="AC813" s="13" t="n">
        <v>142</v>
      </c>
      <c r="AD813" s="13" t="n">
        <v>39</v>
      </c>
      <c r="AE813" s="13" t="n">
        <v>8</v>
      </c>
      <c r="AF813" s="13" t="n">
        <v>9.9</v>
      </c>
      <c r="AG813" s="11" t="inlineStr">
        <is>
          <t xml:space="preserve"> Powder</t>
        </is>
      </c>
      <c r="AH813" s="11" t="inlineStr">
        <is>
          <t xml:space="preserve"> Big Mountain</t>
        </is>
      </c>
      <c r="AI813" s="11" t="inlineStr">
        <is>
          <t xml:space="preserve"> Touring</t>
        </is>
      </c>
      <c r="AJ813" s="13" t="n"/>
      <c r="AK813" s="42" t="n"/>
    </row>
    <row r="814">
      <c r="E814" s="40" t="inlineStr">
        <is>
          <t>21/22</t>
        </is>
      </c>
      <c r="F814" s="10" t="inlineStr">
        <is>
          <t xml:space="preserve"> Head</t>
        </is>
      </c>
      <c r="G814" s="11" t="inlineStr">
        <is>
          <t>Kore 117</t>
        </is>
      </c>
      <c r="H814" s="13" t="n">
        <v>177</v>
      </c>
      <c r="I814" s="11" t="inlineStr">
        <is>
          <t xml:space="preserve"> Unisex</t>
        </is>
      </c>
      <c r="J814" s="13" t="n">
        <v>177</v>
      </c>
      <c r="K814" s="13" t="n">
        <v>175.7</v>
      </c>
      <c r="L814" s="13" t="n">
        <v>111</v>
      </c>
      <c r="M814" s="13" t="n">
        <v>137</v>
      </c>
      <c r="N814" s="13" t="n">
        <v>142</v>
      </c>
      <c r="O814" s="13" t="n">
        <v>114</v>
      </c>
      <c r="P814" s="13" t="n">
        <v>126</v>
      </c>
      <c r="Q814" s="13" t="n">
        <v>23</v>
      </c>
      <c r="R814" s="13" t="n">
        <v>1835</v>
      </c>
      <c r="S814" s="13" t="n">
        <v>1.17</v>
      </c>
      <c r="T814" s="13" t="n">
        <v>2150</v>
      </c>
      <c r="U814" s="13" t="n">
        <v>273</v>
      </c>
      <c r="V814" s="13" t="n">
        <v>138</v>
      </c>
      <c r="W814" s="13" t="n">
        <v>67</v>
      </c>
      <c r="X814" s="13" t="n">
        <v>285</v>
      </c>
      <c r="Y814" s="13" t="n">
        <v>21</v>
      </c>
      <c r="Z814" s="13" t="n">
        <v>365</v>
      </c>
      <c r="AA814" s="13" t="n">
        <v>0.309</v>
      </c>
      <c r="AB814" s="13" t="n">
        <v>233</v>
      </c>
      <c r="AC814" s="13" t="n">
        <v>152</v>
      </c>
      <c r="AD814" s="13" t="n">
        <v>52</v>
      </c>
      <c r="AE814" s="13" t="n">
        <v>4</v>
      </c>
      <c r="AF814" s="13" t="n">
        <v>6.6</v>
      </c>
      <c r="AG814" s="11" t="inlineStr">
        <is>
          <t xml:space="preserve"> Big Mountain</t>
        </is>
      </c>
      <c r="AH814" s="11" t="inlineStr">
        <is>
          <t xml:space="preserve"> Touring</t>
        </is>
      </c>
      <c r="AI814" s="13" t="n"/>
      <c r="AJ814" s="13" t="n"/>
      <c r="AK814" s="42" t="n"/>
    </row>
    <row r="815">
      <c r="E815" s="40" t="inlineStr">
        <is>
          <t>21/22</t>
        </is>
      </c>
      <c r="F815" s="10" t="inlineStr">
        <is>
          <t xml:space="preserve"> Head</t>
        </is>
      </c>
      <c r="G815" s="11" t="inlineStr">
        <is>
          <t>Kore 117</t>
        </is>
      </c>
      <c r="H815" s="13" t="n">
        <v>184</v>
      </c>
      <c r="I815" s="11" t="inlineStr">
        <is>
          <t xml:space="preserve"> Unisex</t>
        </is>
      </c>
      <c r="J815" s="13" t="n">
        <v>184</v>
      </c>
      <c r="K815" s="13" t="n">
        <v>182.9</v>
      </c>
      <c r="L815" s="13" t="n">
        <v>118</v>
      </c>
      <c r="M815" s="13" t="n">
        <v>145</v>
      </c>
      <c r="N815" s="13" t="n">
        <v>144</v>
      </c>
      <c r="O815" s="13" t="n">
        <v>116</v>
      </c>
      <c r="P815" s="13" t="n">
        <v>128</v>
      </c>
      <c r="Q815" s="13" t="n">
        <v>24.9</v>
      </c>
      <c r="R815" s="13" t="n">
        <v>1949</v>
      </c>
      <c r="S815" s="13" t="n">
        <v>1.17</v>
      </c>
      <c r="T815" s="13" t="n">
        <v>2275</v>
      </c>
      <c r="U815" s="13" t="n">
        <v>335</v>
      </c>
      <c r="V815" s="13" t="n">
        <v>162</v>
      </c>
      <c r="W815" s="13" t="n">
        <v>63</v>
      </c>
      <c r="X815" s="13" t="n">
        <v>288</v>
      </c>
      <c r="Y815" s="13" t="n">
        <v>22</v>
      </c>
      <c r="Z815" s="13" t="n">
        <v>359</v>
      </c>
      <c r="AA815" s="13" t="n">
        <v>0.355</v>
      </c>
      <c r="AB815" s="13" t="n">
        <v>231</v>
      </c>
      <c r="AC815" s="13" t="n">
        <v>145</v>
      </c>
      <c r="AD815" s="13" t="n">
        <v>57</v>
      </c>
      <c r="AE815" s="13" t="n">
        <v>5</v>
      </c>
      <c r="AF815" s="13" t="n">
        <v>7.5</v>
      </c>
      <c r="AG815" s="11" t="inlineStr">
        <is>
          <t xml:space="preserve"> Powder</t>
        </is>
      </c>
      <c r="AH815" s="11" t="inlineStr">
        <is>
          <t xml:space="preserve"> Big Mountain</t>
        </is>
      </c>
      <c r="AI815" s="11" t="inlineStr">
        <is>
          <t xml:space="preserve"> Touring</t>
        </is>
      </c>
      <c r="AJ815" s="13" t="n"/>
      <c r="AK815" s="42" t="n"/>
    </row>
    <row r="816">
      <c r="E816" s="40" t="inlineStr">
        <is>
          <t>21/22</t>
        </is>
      </c>
      <c r="F816" s="10" t="inlineStr">
        <is>
          <t xml:space="preserve"> Head</t>
        </is>
      </c>
      <c r="G816" s="11" t="inlineStr">
        <is>
          <t>Kore 80 X</t>
        </is>
      </c>
      <c r="H816" s="13" t="n">
        <v>156</v>
      </c>
      <c r="I816" s="11" t="inlineStr">
        <is>
          <t xml:space="preserve"> Unisex</t>
        </is>
      </c>
      <c r="J816" s="13" t="n">
        <v>156</v>
      </c>
      <c r="K816" s="13" t="n">
        <v>155.1</v>
      </c>
      <c r="L816" s="13" t="n">
        <v>127</v>
      </c>
      <c r="M816" s="13" t="n">
        <v>131</v>
      </c>
      <c r="N816" s="13" t="n">
        <v>122</v>
      </c>
      <c r="O816" s="13" t="n">
        <v>77</v>
      </c>
      <c r="P816" s="13" t="n">
        <v>102</v>
      </c>
      <c r="Q816" s="13" t="n">
        <v>10.9</v>
      </c>
      <c r="R816" s="13" t="n">
        <v>1671</v>
      </c>
      <c r="S816" s="13" t="n">
        <v>0.86</v>
      </c>
      <c r="T816" s="13" t="n">
        <v>1429</v>
      </c>
      <c r="U816" s="13" t="n">
        <v>124</v>
      </c>
      <c r="V816" s="13" t="n">
        <v>65</v>
      </c>
      <c r="W816" s="13" t="n">
        <v>41</v>
      </c>
      <c r="X816" s="13" t="n">
        <v>200</v>
      </c>
      <c r="Y816" s="13" t="n">
        <v>7</v>
      </c>
      <c r="Z816" s="13" t="n">
        <v>84</v>
      </c>
      <c r="AA816" s="13" t="n">
        <v>0.171</v>
      </c>
      <c r="AB816" s="13" t="n">
        <v>126</v>
      </c>
      <c r="AC816" s="13" t="n">
        <v>114</v>
      </c>
      <c r="AD816" s="13" t="n">
        <v>73</v>
      </c>
      <c r="AE816" s="13" t="n">
        <v>12</v>
      </c>
      <c r="AF816" s="13" t="n">
        <v>9.300000000000001</v>
      </c>
      <c r="AG816" s="11" t="inlineStr">
        <is>
          <t xml:space="preserve"> On-Piste Carving</t>
        </is>
      </c>
      <c r="AH816" s="11" t="inlineStr">
        <is>
          <t xml:space="preserve"> On-Piste All-Mountain</t>
        </is>
      </c>
      <c r="AI816" s="13" t="n"/>
      <c r="AJ816" s="13" t="n"/>
      <c r="AK816" s="42" t="n"/>
    </row>
    <row r="817">
      <c r="E817" s="40" t="inlineStr">
        <is>
          <t>21/22</t>
        </is>
      </c>
      <c r="F817" s="10" t="inlineStr">
        <is>
          <t xml:space="preserve"> Head</t>
        </is>
      </c>
      <c r="G817" s="11" t="inlineStr">
        <is>
          <t>Kore 80 X</t>
        </is>
      </c>
      <c r="H817" s="13" t="n">
        <v>163</v>
      </c>
      <c r="I817" s="11" t="inlineStr">
        <is>
          <t xml:space="preserve"> Unisex</t>
        </is>
      </c>
      <c r="J817" s="13" t="n">
        <v>163</v>
      </c>
      <c r="K817" s="13" t="n">
        <v>162.6</v>
      </c>
      <c r="L817" s="13" t="n">
        <v>131</v>
      </c>
      <c r="M817" s="13" t="n">
        <v>138</v>
      </c>
      <c r="N817" s="13" t="n">
        <v>124</v>
      </c>
      <c r="O817" s="13" t="n">
        <v>78</v>
      </c>
      <c r="P817" s="13" t="n">
        <v>103</v>
      </c>
      <c r="Q817" s="13" t="n">
        <v>12.1</v>
      </c>
      <c r="R817" s="13" t="n">
        <v>1773</v>
      </c>
      <c r="S817" s="13" t="n">
        <v>0.85</v>
      </c>
      <c r="T817" s="13" t="n">
        <v>1510</v>
      </c>
      <c r="U817" s="13" t="n">
        <v>148</v>
      </c>
      <c r="V817" s="13" t="n">
        <v>76</v>
      </c>
      <c r="W817" s="13" t="n">
        <v>43</v>
      </c>
      <c r="X817" s="13" t="n">
        <v>202</v>
      </c>
      <c r="Y817" s="13" t="n">
        <v>11</v>
      </c>
      <c r="Z817" s="13" t="n">
        <v>116</v>
      </c>
      <c r="AA817" s="13" t="n">
        <v>0.256</v>
      </c>
      <c r="AB817" s="13" t="n">
        <v>129</v>
      </c>
      <c r="AC817" s="13" t="n">
        <v>112</v>
      </c>
      <c r="AD817" s="13" t="n">
        <v>73</v>
      </c>
      <c r="AE817" s="13" t="n">
        <v>10</v>
      </c>
      <c r="AF817" s="13" t="n">
        <v>10.4</v>
      </c>
      <c r="AG817" s="11" t="inlineStr">
        <is>
          <t xml:space="preserve"> On-Piste All-Mountain</t>
        </is>
      </c>
      <c r="AH817" s="13" t="n"/>
      <c r="AI817" s="13" t="n"/>
      <c r="AJ817" s="13" t="n"/>
      <c r="AK817" s="42" t="n"/>
    </row>
    <row r="818">
      <c r="E818" s="40" t="inlineStr">
        <is>
          <t>21/22</t>
        </is>
      </c>
      <c r="F818" s="10" t="inlineStr">
        <is>
          <t xml:space="preserve"> Head</t>
        </is>
      </c>
      <c r="G818" s="11" t="inlineStr">
        <is>
          <t>Kore 80 X</t>
        </is>
      </c>
      <c r="H818" s="13" t="n">
        <v>170</v>
      </c>
      <c r="I818" s="11" t="inlineStr">
        <is>
          <t xml:space="preserve"> Unisex</t>
        </is>
      </c>
      <c r="J818" s="13" t="n">
        <v>170</v>
      </c>
      <c r="K818" s="13" t="n">
        <v>169.2</v>
      </c>
      <c r="L818" s="13" t="n">
        <v>139</v>
      </c>
      <c r="M818" s="13" t="n">
        <v>144</v>
      </c>
      <c r="N818" s="13" t="n">
        <v>125</v>
      </c>
      <c r="O818" s="13" t="n">
        <v>78</v>
      </c>
      <c r="P818" s="13" t="n">
        <v>104</v>
      </c>
      <c r="Q818" s="13" t="n">
        <v>13.3</v>
      </c>
      <c r="R818" s="13" t="n">
        <v>1925</v>
      </c>
      <c r="S818" s="13" t="n">
        <v>0.82</v>
      </c>
      <c r="T818" s="13" t="n">
        <v>1581</v>
      </c>
      <c r="U818" s="13" t="n">
        <v>173</v>
      </c>
      <c r="V818" s="13" t="n">
        <v>79</v>
      </c>
      <c r="W818" s="13" t="n">
        <v>41</v>
      </c>
      <c r="X818" s="13" t="n">
        <v>199</v>
      </c>
      <c r="Y818" s="13" t="n">
        <v>8</v>
      </c>
      <c r="Z818" s="13" t="n">
        <v>101</v>
      </c>
      <c r="AA818" s="13" t="n">
        <v>0.19</v>
      </c>
      <c r="AB818" s="13" t="n">
        <v>129</v>
      </c>
      <c r="AC818" s="13" t="n">
        <v>121</v>
      </c>
      <c r="AD818" s="13" t="n">
        <v>70</v>
      </c>
      <c r="AE818" s="13" t="n">
        <v>13</v>
      </c>
      <c r="AF818" s="13" t="n">
        <v>11.7</v>
      </c>
      <c r="AG818" s="11" t="inlineStr">
        <is>
          <t xml:space="preserve"> On-Piste Carving</t>
        </is>
      </c>
      <c r="AH818" s="11" t="inlineStr">
        <is>
          <t xml:space="preserve"> On-Piste All-Mountain</t>
        </is>
      </c>
      <c r="AI818" s="13" t="n"/>
      <c r="AJ818" s="13" t="n"/>
      <c r="AK818" s="42" t="n"/>
    </row>
    <row r="819">
      <c r="E819" s="40" t="inlineStr">
        <is>
          <t>21/22</t>
        </is>
      </c>
      <c r="F819" s="10" t="inlineStr">
        <is>
          <t xml:space="preserve"> Head</t>
        </is>
      </c>
      <c r="G819" s="11" t="inlineStr">
        <is>
          <t>Kore 80 X</t>
        </is>
      </c>
      <c r="H819" s="13" t="n">
        <v>177</v>
      </c>
      <c r="I819" s="11" t="inlineStr">
        <is>
          <t xml:space="preserve"> Unisex</t>
        </is>
      </c>
      <c r="J819" s="13" t="n">
        <v>177</v>
      </c>
      <c r="K819" s="13" t="n">
        <v>176.3</v>
      </c>
      <c r="L819" s="13" t="n">
        <v>147</v>
      </c>
      <c r="M819" s="13" t="n">
        <v>150</v>
      </c>
      <c r="N819" s="13" t="n">
        <v>126</v>
      </c>
      <c r="O819" s="13" t="n">
        <v>79</v>
      </c>
      <c r="P819" s="13" t="n">
        <v>105</v>
      </c>
      <c r="Q819" s="13" t="n">
        <v>14.4</v>
      </c>
      <c r="R819" s="13" t="n">
        <v>2084</v>
      </c>
      <c r="S819" s="13" t="n">
        <v>0.8</v>
      </c>
      <c r="T819" s="13" t="n">
        <v>1669</v>
      </c>
      <c r="U819" s="13" t="n">
        <v>187</v>
      </c>
      <c r="V819" s="13" t="n">
        <v>98</v>
      </c>
      <c r="W819" s="13" t="n">
        <v>40</v>
      </c>
      <c r="X819" s="13" t="n">
        <v>200</v>
      </c>
      <c r="Y819" s="13" t="n">
        <v>7</v>
      </c>
      <c r="Z819" s="13" t="n">
        <v>96</v>
      </c>
      <c r="AA819" s="13" t="n">
        <v>0.178</v>
      </c>
      <c r="AB819" s="13" t="n">
        <v>135</v>
      </c>
      <c r="AC819" s="13" t="n">
        <v>124</v>
      </c>
      <c r="AD819" s="13" t="n">
        <v>65</v>
      </c>
      <c r="AE819" s="13" t="n">
        <v>13</v>
      </c>
      <c r="AF819" s="13" t="n">
        <v>11.4</v>
      </c>
      <c r="AG819" s="11" t="inlineStr">
        <is>
          <t xml:space="preserve"> On-Piste Carving</t>
        </is>
      </c>
      <c r="AH819" s="11" t="inlineStr">
        <is>
          <t xml:space="preserve"> On-Piste All-Mountain</t>
        </is>
      </c>
      <c r="AI819" s="13" t="n"/>
      <c r="AJ819" s="13" t="n"/>
      <c r="AK819" s="42" t="n"/>
    </row>
    <row r="820">
      <c r="E820" s="40" t="inlineStr">
        <is>
          <t>21/22</t>
        </is>
      </c>
      <c r="F820" s="10" t="inlineStr">
        <is>
          <t xml:space="preserve"> Head</t>
        </is>
      </c>
      <c r="G820" s="11" t="inlineStr">
        <is>
          <t>Kore 85 W</t>
        </is>
      </c>
      <c r="H820" s="13" t="n">
        <v>163</v>
      </c>
      <c r="I820" s="11" t="inlineStr">
        <is>
          <t xml:space="preserve"> Women's</t>
        </is>
      </c>
      <c r="J820" s="13" t="n">
        <v>163</v>
      </c>
      <c r="K820" s="13" t="n">
        <v>162.6</v>
      </c>
      <c r="L820" s="13" t="n">
        <v>128</v>
      </c>
      <c r="M820" s="13" t="n">
        <v>135</v>
      </c>
      <c r="N820" s="13" t="n">
        <v>123</v>
      </c>
      <c r="O820" s="13" t="n">
        <v>82</v>
      </c>
      <c r="P820" s="13" t="n">
        <v>104</v>
      </c>
      <c r="Q820" s="13" t="n">
        <v>13.7</v>
      </c>
      <c r="R820" s="13" t="n">
        <v>1444</v>
      </c>
      <c r="S820" s="13" t="n">
        <v>1.08</v>
      </c>
      <c r="T820" s="13" t="n">
        <v>1555</v>
      </c>
      <c r="U820" s="13" t="n">
        <v>209</v>
      </c>
      <c r="V820" s="13" t="n">
        <v>96</v>
      </c>
      <c r="W820" s="13" t="n">
        <v>45</v>
      </c>
      <c r="X820" s="13" t="n">
        <v>210</v>
      </c>
      <c r="Y820" s="13" t="n">
        <v>11</v>
      </c>
      <c r="Z820" s="13" t="n">
        <v>135</v>
      </c>
      <c r="AA820" s="13" t="n">
        <v>0.238</v>
      </c>
      <c r="AB820" s="13" t="n">
        <v>140</v>
      </c>
      <c r="AC820" s="13" t="n">
        <v>132</v>
      </c>
      <c r="AD820" s="13" t="n">
        <v>70</v>
      </c>
      <c r="AE820" s="13" t="n">
        <v>6</v>
      </c>
      <c r="AF820" s="13" t="n">
        <v>8.699999999999999</v>
      </c>
      <c r="AG820" s="11" t="inlineStr">
        <is>
          <t xml:space="preserve"> On-Piste All-Mountain</t>
        </is>
      </c>
      <c r="AH820" s="11" t="inlineStr">
        <is>
          <t xml:space="preserve"> Resort Freeride</t>
        </is>
      </c>
      <c r="AI820" s="11" t="inlineStr">
        <is>
          <t xml:space="preserve"> Touring</t>
        </is>
      </c>
      <c r="AJ820" s="13" t="n"/>
      <c r="AK820" s="42" t="n"/>
    </row>
    <row r="821">
      <c r="E821" s="40" t="inlineStr">
        <is>
          <t>21/22</t>
        </is>
      </c>
      <c r="F821" s="10" t="inlineStr">
        <is>
          <t xml:space="preserve"> Head</t>
        </is>
      </c>
      <c r="G821" s="11" t="inlineStr">
        <is>
          <t>Kore 90 X</t>
        </is>
      </c>
      <c r="H821" s="13" t="n">
        <v>156</v>
      </c>
      <c r="I821" s="11" t="inlineStr">
        <is>
          <t xml:space="preserve"> Unisex</t>
        </is>
      </c>
      <c r="J821" s="13" t="n">
        <v>156</v>
      </c>
      <c r="K821" s="13" t="n">
        <v>157.3</v>
      </c>
      <c r="L821" s="13" t="n">
        <v>121</v>
      </c>
      <c r="M821" s="13" t="n">
        <v>125</v>
      </c>
      <c r="N821" s="13" t="n">
        <v>124</v>
      </c>
      <c r="O821" s="13" t="n">
        <v>87</v>
      </c>
      <c r="P821" s="13" t="n">
        <v>107</v>
      </c>
      <c r="Q821" s="13" t="n">
        <v>12.1</v>
      </c>
      <c r="R821" s="13" t="n">
        <v>1473</v>
      </c>
      <c r="S821" s="13" t="n">
        <v>1.06</v>
      </c>
      <c r="T821" s="13" t="n">
        <v>1557</v>
      </c>
      <c r="U821" s="13" t="n">
        <v>156</v>
      </c>
      <c r="V821" s="13" t="n">
        <v>71</v>
      </c>
      <c r="W821" s="13" t="n">
        <v>48</v>
      </c>
      <c r="X821" s="13" t="n">
        <v>209</v>
      </c>
      <c r="Y821" s="13" t="n">
        <v>15</v>
      </c>
      <c r="Z821" s="13" t="n">
        <v>152</v>
      </c>
      <c r="AA821" s="13" t="n">
        <v>0.308</v>
      </c>
      <c r="AB821" s="13" t="n">
        <v>152</v>
      </c>
      <c r="AC821" s="13" t="n">
        <v>169</v>
      </c>
      <c r="AD821" s="13" t="n">
        <v>57</v>
      </c>
      <c r="AE821" s="13" t="n">
        <v>7</v>
      </c>
      <c r="AF821" s="13" t="n">
        <v>9.199999999999999</v>
      </c>
      <c r="AG821" s="11" t="inlineStr">
        <is>
          <t xml:space="preserve"> Resort Freeride</t>
        </is>
      </c>
      <c r="AH821" s="11" t="inlineStr">
        <is>
          <t xml:space="preserve"> Touring</t>
        </is>
      </c>
      <c r="AI821" s="13" t="n"/>
      <c r="AJ821" s="13" t="n"/>
      <c r="AK821" s="42" t="n"/>
    </row>
    <row r="822">
      <c r="E822" s="40" t="inlineStr">
        <is>
          <t>21/22</t>
        </is>
      </c>
      <c r="F822" s="10" t="inlineStr">
        <is>
          <t xml:space="preserve"> Head</t>
        </is>
      </c>
      <c r="G822" s="11" t="inlineStr">
        <is>
          <t>Kore 90 X</t>
        </is>
      </c>
      <c r="H822" s="13" t="n">
        <v>163</v>
      </c>
      <c r="I822" s="11" t="inlineStr">
        <is>
          <t xml:space="preserve"> Unisex</t>
        </is>
      </c>
      <c r="J822" s="13" t="n">
        <v>163</v>
      </c>
      <c r="K822" s="13" t="n">
        <v>162.4</v>
      </c>
      <c r="L822" s="13" t="n">
        <v>128</v>
      </c>
      <c r="M822" s="13" t="n">
        <v>133</v>
      </c>
      <c r="N822" s="13" t="n">
        <v>127</v>
      </c>
      <c r="O822" s="13" t="n">
        <v>89</v>
      </c>
      <c r="P822" s="13" t="n">
        <v>109</v>
      </c>
      <c r="Q822" s="13" t="n">
        <v>13.2</v>
      </c>
      <c r="R822" s="13" t="n">
        <v>1683</v>
      </c>
      <c r="S822" s="13" t="n">
        <v>0.98</v>
      </c>
      <c r="T822" s="13" t="n">
        <v>1645</v>
      </c>
      <c r="U822" s="13" t="n">
        <v>188</v>
      </c>
      <c r="V822" s="13" t="n">
        <v>80</v>
      </c>
      <c r="W822" s="13" t="n">
        <v>46</v>
      </c>
      <c r="X822" s="13" t="n">
        <v>212</v>
      </c>
      <c r="Y822" s="13" t="n">
        <v>11</v>
      </c>
      <c r="Z822" s="13" t="n">
        <v>129</v>
      </c>
      <c r="AA822" s="13" t="n">
        <v>0.238</v>
      </c>
      <c r="AB822" s="13" t="n">
        <v>142</v>
      </c>
      <c r="AC822" s="13" t="n">
        <v>156</v>
      </c>
      <c r="AD822" s="13" t="n">
        <v>70</v>
      </c>
      <c r="AE822" s="13" t="n">
        <v>7</v>
      </c>
      <c r="AF822" s="13" t="n">
        <v>11.5</v>
      </c>
      <c r="AG822" s="11" t="inlineStr">
        <is>
          <t xml:space="preserve"> Resort Freeride</t>
        </is>
      </c>
      <c r="AH822" s="13" t="n"/>
      <c r="AI822" s="13" t="n"/>
      <c r="AJ822" s="13" t="n"/>
      <c r="AK822" s="42" t="n"/>
    </row>
    <row r="823">
      <c r="E823" s="40" t="inlineStr">
        <is>
          <t>21/22</t>
        </is>
      </c>
      <c r="F823" s="10" t="inlineStr">
        <is>
          <t xml:space="preserve"> Head</t>
        </is>
      </c>
      <c r="G823" s="11" t="inlineStr">
        <is>
          <t>Kore 90 X</t>
        </is>
      </c>
      <c r="H823" s="13" t="n">
        <v>170</v>
      </c>
      <c r="I823" s="11" t="inlineStr">
        <is>
          <t xml:space="preserve"> Unisex</t>
        </is>
      </c>
      <c r="J823" s="13" t="n">
        <v>170</v>
      </c>
      <c r="K823" s="13" t="n">
        <v>169.6</v>
      </c>
      <c r="L823" s="13" t="n">
        <v>135</v>
      </c>
      <c r="M823" s="13" t="n">
        <v>140</v>
      </c>
      <c r="N823" s="13" t="n">
        <v>129</v>
      </c>
      <c r="O823" s="13" t="n">
        <v>90</v>
      </c>
      <c r="P823" s="13" t="n">
        <v>112</v>
      </c>
      <c r="Q823" s="13" t="n">
        <v>14.6</v>
      </c>
      <c r="R823" s="13" t="n">
        <v>1873</v>
      </c>
      <c r="S823" s="13" t="n">
        <v>0.93</v>
      </c>
      <c r="T823" s="13" t="n">
        <v>1742</v>
      </c>
      <c r="U823" s="13" t="n">
        <v>168</v>
      </c>
      <c r="V823" s="13" t="n">
        <v>74</v>
      </c>
      <c r="W823" s="13" t="n">
        <v>47</v>
      </c>
      <c r="X823" s="13" t="n">
        <v>216</v>
      </c>
      <c r="Y823" s="13" t="n">
        <v>11</v>
      </c>
      <c r="Z823" s="13" t="n">
        <v>130</v>
      </c>
      <c r="AA823" s="13" t="n">
        <v>0.231</v>
      </c>
      <c r="AB823" s="13" t="n">
        <v>148</v>
      </c>
      <c r="AC823" s="13" t="n">
        <v>151</v>
      </c>
      <c r="AD823" s="13" t="n">
        <v>67</v>
      </c>
      <c r="AE823" s="13" t="n">
        <v>10</v>
      </c>
      <c r="AF823" s="13" t="n">
        <v>9.9</v>
      </c>
      <c r="AG823" s="11" t="inlineStr">
        <is>
          <t xml:space="preserve"> Resort Freeride</t>
        </is>
      </c>
      <c r="AH823" s="13" t="n"/>
      <c r="AI823" s="13" t="n"/>
      <c r="AJ823" s="13" t="n"/>
      <c r="AK823" s="42" t="n"/>
    </row>
    <row r="824">
      <c r="E824" s="40" t="inlineStr">
        <is>
          <t>21/22</t>
        </is>
      </c>
      <c r="F824" s="10" t="inlineStr">
        <is>
          <t xml:space="preserve"> Head</t>
        </is>
      </c>
      <c r="G824" s="11" t="inlineStr">
        <is>
          <t>Kore 90 X</t>
        </is>
      </c>
      <c r="H824" s="13" t="n">
        <v>177</v>
      </c>
      <c r="I824" s="11" t="inlineStr">
        <is>
          <t xml:space="preserve"> Unisex</t>
        </is>
      </c>
      <c r="J824" s="13" t="n">
        <v>177</v>
      </c>
      <c r="K824" s="13" t="n">
        <v>176.3</v>
      </c>
      <c r="L824" s="13" t="n">
        <v>140</v>
      </c>
      <c r="M824" s="13" t="n">
        <v>147</v>
      </c>
      <c r="N824" s="13" t="n">
        <v>132</v>
      </c>
      <c r="O824" s="13" t="n">
        <v>92</v>
      </c>
      <c r="P824" s="13" t="n">
        <v>114</v>
      </c>
      <c r="Q824" s="13" t="n">
        <v>16.4</v>
      </c>
      <c r="R824" s="13" t="n">
        <v>1930</v>
      </c>
      <c r="S824" s="13" t="n">
        <v>0.96</v>
      </c>
      <c r="T824" s="13" t="n">
        <v>1845</v>
      </c>
      <c r="U824" s="13" t="n">
        <v>216</v>
      </c>
      <c r="V824" s="13" t="n">
        <v>101</v>
      </c>
      <c r="W824" s="13" t="n">
        <v>51</v>
      </c>
      <c r="X824" s="13" t="n">
        <v>217</v>
      </c>
      <c r="Y824" s="13" t="n">
        <v>12</v>
      </c>
      <c r="Z824" s="13" t="n">
        <v>142</v>
      </c>
      <c r="AA824" s="13" t="n">
        <v>0.241</v>
      </c>
      <c r="AB824" s="13" t="n">
        <v>147</v>
      </c>
      <c r="AC824" s="13" t="n">
        <v>146</v>
      </c>
      <c r="AD824" s="13" t="n">
        <v>69</v>
      </c>
      <c r="AE824" s="13" t="n">
        <v>11</v>
      </c>
      <c r="AF824" s="13" t="n">
        <v>10.5</v>
      </c>
      <c r="AG824" s="11" t="inlineStr">
        <is>
          <t xml:space="preserve"> Resort Freeride</t>
        </is>
      </c>
      <c r="AH824" s="13" t="n"/>
      <c r="AI824" s="13" t="n"/>
      <c r="AJ824" s="13" t="n"/>
      <c r="AK824" s="42" t="n"/>
    </row>
    <row r="825">
      <c r="E825" s="40" t="inlineStr">
        <is>
          <t>21/22</t>
        </is>
      </c>
      <c r="F825" s="10" t="inlineStr">
        <is>
          <t xml:space="preserve"> Head</t>
        </is>
      </c>
      <c r="G825" s="11" t="inlineStr">
        <is>
          <t>Kore 91 W</t>
        </is>
      </c>
      <c r="H825" s="13" t="n">
        <v>163</v>
      </c>
      <c r="I825" s="11" t="inlineStr">
        <is>
          <t xml:space="preserve"> Women's</t>
        </is>
      </c>
      <c r="J825" s="13" t="n">
        <v>163</v>
      </c>
      <c r="K825" s="13" t="n">
        <v>162.7</v>
      </c>
      <c r="L825" s="13" t="n">
        <v>127</v>
      </c>
      <c r="M825" s="13" t="n">
        <v>132</v>
      </c>
      <c r="N825" s="13" t="n">
        <v>126</v>
      </c>
      <c r="O825" s="13" t="n">
        <v>88</v>
      </c>
      <c r="P825" s="13" t="n">
        <v>108</v>
      </c>
      <c r="Q825" s="13" t="n">
        <v>13.6</v>
      </c>
      <c r="R825" s="13" t="n">
        <v>1534</v>
      </c>
      <c r="S825" s="13" t="n">
        <v>1.07</v>
      </c>
      <c r="T825" s="13" t="n">
        <v>1635</v>
      </c>
      <c r="U825" s="13" t="n">
        <v>211</v>
      </c>
      <c r="V825" s="13" t="n">
        <v>100</v>
      </c>
      <c r="W825" s="13" t="n">
        <v>47</v>
      </c>
      <c r="X825" s="13" t="n">
        <v>218</v>
      </c>
      <c r="Y825" s="13" t="n">
        <v>11</v>
      </c>
      <c r="Z825" s="13" t="n">
        <v>138</v>
      </c>
      <c r="AA825" s="13" t="n">
        <v>0.242</v>
      </c>
      <c r="AB825" s="13" t="n">
        <v>147</v>
      </c>
      <c r="AC825" s="13" t="n">
        <v>156</v>
      </c>
      <c r="AD825" s="13" t="n">
        <v>71</v>
      </c>
      <c r="AE825" s="13" t="n">
        <v>5</v>
      </c>
      <c r="AF825" s="13" t="n">
        <v>8.1</v>
      </c>
      <c r="AG825" s="11" t="inlineStr">
        <is>
          <t xml:space="preserve"> Resort Freeride</t>
        </is>
      </c>
      <c r="AH825" s="11" t="inlineStr">
        <is>
          <t xml:space="preserve"> Touring</t>
        </is>
      </c>
      <c r="AI825" s="13" t="n"/>
      <c r="AJ825" s="13" t="n"/>
      <c r="AK825" s="42" t="n"/>
    </row>
    <row r="826">
      <c r="E826" s="40" t="inlineStr">
        <is>
          <t>21/22</t>
        </is>
      </c>
      <c r="F826" s="10" t="inlineStr">
        <is>
          <t xml:space="preserve"> Head</t>
        </is>
      </c>
      <c r="G826" s="11" t="inlineStr">
        <is>
          <t>Kore 91 W</t>
        </is>
      </c>
      <c r="H826" s="13" t="n">
        <v>170</v>
      </c>
      <c r="I826" s="11" t="inlineStr">
        <is>
          <t xml:space="preserve"> Women's</t>
        </is>
      </c>
      <c r="J826" s="13" t="n">
        <v>170</v>
      </c>
      <c r="K826" s="13" t="n">
        <v>169.7</v>
      </c>
      <c r="L826" s="13" t="n">
        <v>134</v>
      </c>
      <c r="M826" s="13" t="n">
        <v>139</v>
      </c>
      <c r="N826" s="13" t="n">
        <v>129</v>
      </c>
      <c r="O826" s="13" t="n">
        <v>90</v>
      </c>
      <c r="P826" s="13" t="n">
        <v>111</v>
      </c>
      <c r="Q826" s="13" t="n">
        <v>15</v>
      </c>
      <c r="R826" s="13" t="n">
        <v>1551</v>
      </c>
      <c r="S826" s="13" t="n">
        <v>1.12</v>
      </c>
      <c r="T826" s="13" t="n">
        <v>1738</v>
      </c>
      <c r="U826" s="13" t="n">
        <v>213</v>
      </c>
      <c r="V826" s="13" t="n">
        <v>104</v>
      </c>
      <c r="W826" s="13" t="n">
        <v>50</v>
      </c>
      <c r="X826" s="13" t="n">
        <v>217</v>
      </c>
      <c r="Y826" s="13" t="n">
        <v>12</v>
      </c>
      <c r="Z826" s="13" t="n">
        <v>140</v>
      </c>
      <c r="AA826" s="13" t="n">
        <v>0.238</v>
      </c>
      <c r="AB826" s="13" t="n">
        <v>150</v>
      </c>
      <c r="AC826" s="13" t="n">
        <v>158</v>
      </c>
      <c r="AD826" s="13" t="n">
        <v>67</v>
      </c>
      <c r="AE826" s="13" t="n">
        <v>5</v>
      </c>
      <c r="AF826" s="13" t="n">
        <v>9</v>
      </c>
      <c r="AG826" s="11" t="inlineStr">
        <is>
          <t xml:space="preserve"> Resort Freeride</t>
        </is>
      </c>
      <c r="AH826" s="11" t="inlineStr">
        <is>
          <t xml:space="preserve"> Touring</t>
        </is>
      </c>
      <c r="AI826" s="13" t="n"/>
      <c r="AJ826" s="13" t="n"/>
      <c r="AK826" s="42" t="n"/>
    </row>
    <row r="827">
      <c r="E827" s="40" t="inlineStr">
        <is>
          <t>21/22</t>
        </is>
      </c>
      <c r="F827" s="10" t="inlineStr">
        <is>
          <t xml:space="preserve"> Head</t>
        </is>
      </c>
      <c r="G827" s="11" t="inlineStr">
        <is>
          <t>Kore 93</t>
        </is>
      </c>
      <c r="H827" s="13" t="n">
        <v>156</v>
      </c>
      <c r="I827" s="11" t="inlineStr">
        <is>
          <t xml:space="preserve"> Unisex</t>
        </is>
      </c>
      <c r="J827" s="13" t="n">
        <v>156</v>
      </c>
      <c r="K827" s="13" t="n">
        <v>155.4</v>
      </c>
      <c r="L827" s="13" t="n">
        <v>119</v>
      </c>
      <c r="M827" s="13" t="n">
        <v>126</v>
      </c>
      <c r="N827" s="13" t="n">
        <v>124</v>
      </c>
      <c r="O827" s="13" t="n">
        <v>86</v>
      </c>
      <c r="P827" s="13" t="n">
        <v>107</v>
      </c>
      <c r="Q827" s="13" t="n">
        <v>12</v>
      </c>
      <c r="R827" s="13" t="n">
        <v>1410</v>
      </c>
      <c r="S827" s="13" t="n">
        <v>1.09</v>
      </c>
      <c r="T827" s="13" t="n">
        <v>1534</v>
      </c>
      <c r="U827" s="13" t="n">
        <v>192</v>
      </c>
      <c r="V827" s="13" t="n">
        <v>82</v>
      </c>
      <c r="W827" s="13" t="n">
        <v>50</v>
      </c>
      <c r="X827" s="13" t="n">
        <v>230</v>
      </c>
      <c r="Y827" s="13" t="n">
        <v>11</v>
      </c>
      <c r="Z827" s="13" t="n">
        <v>134</v>
      </c>
      <c r="AA827" s="13" t="n">
        <v>0.224</v>
      </c>
      <c r="AB827" s="13" t="n">
        <v>143</v>
      </c>
      <c r="AC827" s="13" t="n">
        <v>155</v>
      </c>
      <c r="AD827" s="13" t="n">
        <v>87</v>
      </c>
      <c r="AE827" s="13" t="n">
        <v>5</v>
      </c>
      <c r="AF827" s="13" t="n">
        <v>8.6</v>
      </c>
      <c r="AG827" s="11" t="inlineStr">
        <is>
          <t xml:space="preserve"> Resort Freeride</t>
        </is>
      </c>
      <c r="AH827" s="11" t="inlineStr">
        <is>
          <t xml:space="preserve"> Touring</t>
        </is>
      </c>
      <c r="AI827" s="13" t="n"/>
      <c r="AJ827" s="13" t="n"/>
      <c r="AK827" s="42" t="n"/>
    </row>
    <row r="828">
      <c r="E828" s="40" t="inlineStr">
        <is>
          <t>21/22</t>
        </is>
      </c>
      <c r="F828" s="10" t="inlineStr">
        <is>
          <t xml:space="preserve"> Head</t>
        </is>
      </c>
      <c r="G828" s="11" t="inlineStr">
        <is>
          <t>Kore 93</t>
        </is>
      </c>
      <c r="H828" s="13" t="n">
        <v>163</v>
      </c>
      <c r="I828" s="11" t="inlineStr">
        <is>
          <t xml:space="preserve"> Unisex</t>
        </is>
      </c>
      <c r="J828" s="13" t="n">
        <v>163</v>
      </c>
      <c r="K828" s="13" t="n">
        <v>162.7</v>
      </c>
      <c r="L828" s="13" t="n">
        <v>128</v>
      </c>
      <c r="M828" s="13" t="n">
        <v>132</v>
      </c>
      <c r="N828" s="13" t="n">
        <v>127</v>
      </c>
      <c r="O828" s="13" t="n">
        <v>88</v>
      </c>
      <c r="P828" s="13" t="n">
        <v>109</v>
      </c>
      <c r="Q828" s="13" t="n">
        <v>13.2</v>
      </c>
      <c r="R828" s="13" t="n">
        <v>1474</v>
      </c>
      <c r="S828" s="13" t="n">
        <v>1.11</v>
      </c>
      <c r="T828" s="13" t="n">
        <v>1639</v>
      </c>
      <c r="U828" s="13" t="n">
        <v>206</v>
      </c>
      <c r="V828" s="13" t="n">
        <v>93</v>
      </c>
      <c r="W828" s="13" t="n">
        <v>49</v>
      </c>
      <c r="X828" s="13" t="n">
        <v>218</v>
      </c>
      <c r="Y828" s="13" t="n">
        <v>11</v>
      </c>
      <c r="Z828" s="13" t="n">
        <v>130</v>
      </c>
      <c r="AA828" s="13" t="n">
        <v>0.218</v>
      </c>
      <c r="AB828" s="13" t="n">
        <v>152</v>
      </c>
      <c r="AC828" s="13" t="n">
        <v>159</v>
      </c>
      <c r="AD828" s="13" t="n">
        <v>65</v>
      </c>
      <c r="AE828" s="13" t="n">
        <v>7</v>
      </c>
      <c r="AF828" s="13" t="n">
        <v>9.199999999999999</v>
      </c>
      <c r="AG828" s="11" t="inlineStr">
        <is>
          <t xml:space="preserve"> Resort Freeride</t>
        </is>
      </c>
      <c r="AH828" s="11" t="inlineStr">
        <is>
          <t xml:space="preserve"> Touring</t>
        </is>
      </c>
      <c r="AI828" s="13" t="n"/>
      <c r="AJ828" s="13" t="n"/>
      <c r="AK828" s="42" t="n"/>
    </row>
    <row r="829">
      <c r="E829" s="40" t="inlineStr">
        <is>
          <t>21/22</t>
        </is>
      </c>
      <c r="F829" s="10" t="inlineStr">
        <is>
          <t xml:space="preserve"> Head</t>
        </is>
      </c>
      <c r="G829" s="11" t="inlineStr">
        <is>
          <t>Kore 93</t>
        </is>
      </c>
      <c r="H829" s="13" t="n">
        <v>170</v>
      </c>
      <c r="I829" s="11" t="inlineStr">
        <is>
          <t xml:space="preserve"> Unisex</t>
        </is>
      </c>
      <c r="J829" s="13" t="n">
        <v>170</v>
      </c>
      <c r="K829" s="13" t="n">
        <v>169.7</v>
      </c>
      <c r="L829" s="13" t="n">
        <v>134</v>
      </c>
      <c r="M829" s="13" t="n">
        <v>140</v>
      </c>
      <c r="N829" s="13" t="n">
        <v>129</v>
      </c>
      <c r="O829" s="13" t="n">
        <v>90</v>
      </c>
      <c r="P829" s="13" t="n">
        <v>112</v>
      </c>
      <c r="Q829" s="13" t="n">
        <v>14.6</v>
      </c>
      <c r="R829" s="13" t="n">
        <v>1582</v>
      </c>
      <c r="S829" s="13" t="n">
        <v>1.1</v>
      </c>
      <c r="T829" s="13" t="n">
        <v>1742</v>
      </c>
      <c r="U829" s="13" t="n">
        <v>228</v>
      </c>
      <c r="V829" s="13" t="n">
        <v>101</v>
      </c>
      <c r="W829" s="13" t="n">
        <v>48</v>
      </c>
      <c r="X829" s="13" t="n">
        <v>217</v>
      </c>
      <c r="Y829" s="13" t="n">
        <v>13</v>
      </c>
      <c r="Z829" s="13" t="n">
        <v>142</v>
      </c>
      <c r="AA829" s="13" t="n">
        <v>0.277</v>
      </c>
      <c r="AB829" s="13" t="n">
        <v>145</v>
      </c>
      <c r="AC829" s="13" t="n">
        <v>153</v>
      </c>
      <c r="AD829" s="13" t="n">
        <v>71</v>
      </c>
      <c r="AE829" s="13" t="n">
        <v>6</v>
      </c>
      <c r="AF829" s="13" t="n">
        <v>10.3</v>
      </c>
      <c r="AG829" s="11" t="inlineStr">
        <is>
          <t xml:space="preserve"> Resort Freeride</t>
        </is>
      </c>
      <c r="AH829" s="11" t="inlineStr">
        <is>
          <t xml:space="preserve"> Touring</t>
        </is>
      </c>
      <c r="AI829" s="13" t="n"/>
      <c r="AJ829" s="13" t="n"/>
      <c r="AK829" s="42" t="n"/>
    </row>
    <row r="830">
      <c r="E830" s="40" t="inlineStr">
        <is>
          <t>21/22</t>
        </is>
      </c>
      <c r="F830" s="10" t="inlineStr">
        <is>
          <t xml:space="preserve"> Head</t>
        </is>
      </c>
      <c r="G830" s="11" t="inlineStr">
        <is>
          <t>Kore 93</t>
        </is>
      </c>
      <c r="H830" s="13" t="n">
        <v>177</v>
      </c>
      <c r="I830" s="11" t="inlineStr">
        <is>
          <t xml:space="preserve"> Unisex</t>
        </is>
      </c>
      <c r="J830" s="13" t="n">
        <v>177</v>
      </c>
      <c r="K830" s="13" t="n">
        <v>176.3</v>
      </c>
      <c r="L830" s="13" t="n">
        <v>138</v>
      </c>
      <c r="M830" s="13" t="n">
        <v>146</v>
      </c>
      <c r="N830" s="13" t="n">
        <v>132</v>
      </c>
      <c r="O830" s="13" t="n">
        <v>92</v>
      </c>
      <c r="P830" s="13" t="n">
        <v>114</v>
      </c>
      <c r="Q830" s="13" t="n">
        <v>16.4</v>
      </c>
      <c r="R830" s="13" t="n">
        <v>1660</v>
      </c>
      <c r="S830" s="13" t="n">
        <v>1.11</v>
      </c>
      <c r="T830" s="13" t="n">
        <v>1844</v>
      </c>
      <c r="U830" s="13" t="n">
        <v>257</v>
      </c>
      <c r="V830" s="13" t="n">
        <v>119</v>
      </c>
      <c r="W830" s="13" t="n">
        <v>50</v>
      </c>
      <c r="X830" s="13" t="n">
        <v>221</v>
      </c>
      <c r="Y830" s="13" t="n">
        <v>15</v>
      </c>
      <c r="Z830" s="13" t="n">
        <v>160</v>
      </c>
      <c r="AA830" s="13" t="n">
        <v>0.299</v>
      </c>
      <c r="AB830" s="13" t="n">
        <v>147</v>
      </c>
      <c r="AC830" s="13" t="n">
        <v>151</v>
      </c>
      <c r="AD830" s="13" t="n">
        <v>74</v>
      </c>
      <c r="AE830" s="13" t="n">
        <v>8</v>
      </c>
      <c r="AF830" s="13" t="n">
        <v>10.2</v>
      </c>
      <c r="AG830" s="11" t="inlineStr">
        <is>
          <t xml:space="preserve"> Resort Freeride</t>
        </is>
      </c>
      <c r="AH830" s="11" t="inlineStr">
        <is>
          <t xml:space="preserve"> Touring</t>
        </is>
      </c>
      <c r="AI830" s="13" t="n"/>
      <c r="AJ830" s="13" t="n"/>
      <c r="AK830" s="42" t="n"/>
    </row>
    <row r="831">
      <c r="E831" s="40" t="inlineStr">
        <is>
          <t>21/22</t>
        </is>
      </c>
      <c r="F831" s="10" t="inlineStr">
        <is>
          <t xml:space="preserve"> Head</t>
        </is>
      </c>
      <c r="G831" s="11" t="inlineStr">
        <is>
          <t>Kore 93</t>
        </is>
      </c>
      <c r="H831" s="13" t="n">
        <v>184</v>
      </c>
      <c r="I831" s="11" t="inlineStr">
        <is>
          <t xml:space="preserve"> Unisex</t>
        </is>
      </c>
      <c r="J831" s="13" t="n">
        <v>184</v>
      </c>
      <c r="K831" s="13" t="n">
        <v>183.3</v>
      </c>
      <c r="L831" s="13" t="n">
        <v>146</v>
      </c>
      <c r="M831" s="13" t="n">
        <v>154</v>
      </c>
      <c r="N831" s="13" t="n">
        <v>135</v>
      </c>
      <c r="O831" s="13" t="n">
        <v>94</v>
      </c>
      <c r="P831" s="13" t="n">
        <v>116</v>
      </c>
      <c r="Q831" s="13" t="n">
        <v>17.6</v>
      </c>
      <c r="R831" s="13" t="n">
        <v>1828</v>
      </c>
      <c r="S831" s="13" t="n">
        <v>1.07</v>
      </c>
      <c r="T831" s="13" t="n">
        <v>1952</v>
      </c>
      <c r="U831" s="13" t="n">
        <v>308</v>
      </c>
      <c r="V831" s="13" t="n">
        <v>140</v>
      </c>
      <c r="W831" s="13" t="n">
        <v>50</v>
      </c>
      <c r="X831" s="13" t="n">
        <v>221</v>
      </c>
      <c r="Y831" s="13" t="n">
        <v>11</v>
      </c>
      <c r="Z831" s="13" t="n">
        <v>150</v>
      </c>
      <c r="AA831" s="13" t="n">
        <v>0.219</v>
      </c>
      <c r="AB831" s="13" t="n">
        <v>146</v>
      </c>
      <c r="AC831" s="13" t="n">
        <v>152</v>
      </c>
      <c r="AD831" s="13" t="n">
        <v>75</v>
      </c>
      <c r="AE831" s="13" t="n">
        <v>7</v>
      </c>
      <c r="AF831" s="13" t="n">
        <v>11.8</v>
      </c>
      <c r="AG831" s="11" t="inlineStr">
        <is>
          <t xml:space="preserve"> Resort Freeride</t>
        </is>
      </c>
      <c r="AH831" s="11" t="inlineStr">
        <is>
          <t xml:space="preserve"> Touring</t>
        </is>
      </c>
      <c r="AI831" s="13" t="n"/>
      <c r="AJ831" s="13" t="n"/>
      <c r="AK831" s="42" t="n"/>
    </row>
    <row r="832">
      <c r="E832" s="40" t="inlineStr">
        <is>
          <t>21/22</t>
        </is>
      </c>
      <c r="F832" s="10" t="inlineStr">
        <is>
          <t xml:space="preserve"> Head</t>
        </is>
      </c>
      <c r="G832" s="11" t="inlineStr">
        <is>
          <t>Kore 97 W</t>
        </is>
      </c>
      <c r="H832" s="13" t="n">
        <v>156</v>
      </c>
      <c r="I832" s="11" t="inlineStr">
        <is>
          <t xml:space="preserve"> Women's</t>
        </is>
      </c>
      <c r="J832" s="13" t="n">
        <v>156</v>
      </c>
      <c r="K832" s="13" t="n">
        <v>155.8</v>
      </c>
      <c r="L832" s="13" t="n">
        <v>119</v>
      </c>
      <c r="M832" s="13" t="n">
        <v>123</v>
      </c>
      <c r="N832" s="13" t="n">
        <v>124</v>
      </c>
      <c r="O832" s="13" t="n">
        <v>92</v>
      </c>
      <c r="P832" s="13" t="n">
        <v>111</v>
      </c>
      <c r="Q832" s="13" t="n">
        <v>13.1</v>
      </c>
      <c r="R832" s="13" t="n">
        <v>1497</v>
      </c>
      <c r="S832" s="13" t="n">
        <v>1.08</v>
      </c>
      <c r="T832" s="13" t="n">
        <v>1614</v>
      </c>
      <c r="U832" s="13" t="n">
        <v>225</v>
      </c>
      <c r="V832" s="13" t="n">
        <v>106</v>
      </c>
      <c r="W832" s="13" t="n">
        <v>48</v>
      </c>
      <c r="X832" s="13" t="n">
        <v>234</v>
      </c>
      <c r="Y832" s="13" t="n">
        <v>13</v>
      </c>
      <c r="Z832" s="13" t="n">
        <v>137</v>
      </c>
      <c r="AA832" s="13" t="n">
        <v>0.272</v>
      </c>
      <c r="AB832" s="13" t="n">
        <v>167</v>
      </c>
      <c r="AC832" s="13" t="n">
        <v>158</v>
      </c>
      <c r="AD832" s="13" t="n">
        <v>67</v>
      </c>
      <c r="AE832" s="13" t="n">
        <v>5</v>
      </c>
      <c r="AF832" s="13" t="n">
        <v>6.9</v>
      </c>
      <c r="AG832" s="11" t="inlineStr">
        <is>
          <t xml:space="preserve"> Resort Freeride</t>
        </is>
      </c>
      <c r="AH832" s="11" t="inlineStr">
        <is>
          <t xml:space="preserve"> Touring</t>
        </is>
      </c>
      <c r="AI832" s="13" t="n"/>
      <c r="AJ832" s="13" t="n"/>
      <c r="AK832" s="42" t="n"/>
    </row>
    <row r="833">
      <c r="E833" s="40" t="inlineStr">
        <is>
          <t>21/22</t>
        </is>
      </c>
      <c r="F833" s="10" t="inlineStr">
        <is>
          <t xml:space="preserve"> Head</t>
        </is>
      </c>
      <c r="G833" s="11" t="inlineStr">
        <is>
          <t>Kore 97 W</t>
        </is>
      </c>
      <c r="H833" s="13" t="n">
        <v>170</v>
      </c>
      <c r="I833" s="11" t="inlineStr">
        <is>
          <t xml:space="preserve"> Women's</t>
        </is>
      </c>
      <c r="J833" s="13" t="n">
        <v>170</v>
      </c>
      <c r="K833" s="13" t="n">
        <v>169.9</v>
      </c>
      <c r="L833" s="13" t="n">
        <v>133</v>
      </c>
      <c r="M833" s="13" t="n">
        <v>135</v>
      </c>
      <c r="N833" s="13" t="n">
        <v>130</v>
      </c>
      <c r="O833" s="13" t="n">
        <v>96</v>
      </c>
      <c r="P833" s="13" t="n">
        <v>116</v>
      </c>
      <c r="Q833" s="13" t="n">
        <v>15.9</v>
      </c>
      <c r="R833" s="13" t="n">
        <v>1626</v>
      </c>
      <c r="S833" s="13" t="n">
        <v>1.12</v>
      </c>
      <c r="T833" s="13" t="n">
        <v>1826</v>
      </c>
      <c r="U833" s="13" t="n">
        <v>238</v>
      </c>
      <c r="V833" s="13" t="n">
        <v>118</v>
      </c>
      <c r="W833" s="13" t="n">
        <v>47</v>
      </c>
      <c r="X833" s="13" t="n">
        <v>230</v>
      </c>
      <c r="Y833" s="13" t="n">
        <v>12</v>
      </c>
      <c r="Z833" s="13" t="n">
        <v>138</v>
      </c>
      <c r="AA833" s="13" t="n">
        <v>0.257</v>
      </c>
      <c r="AB833" s="13" t="n">
        <v>186</v>
      </c>
      <c r="AC833" s="13" t="n">
        <v>161</v>
      </c>
      <c r="AD833" s="13" t="n">
        <v>44</v>
      </c>
      <c r="AE833" s="13" t="n">
        <v>7</v>
      </c>
      <c r="AF833" s="13" t="n">
        <v>8.800000000000001</v>
      </c>
      <c r="AG833" s="11" t="inlineStr">
        <is>
          <t xml:space="preserve"> Resort Freeride</t>
        </is>
      </c>
      <c r="AH833" s="11" t="inlineStr">
        <is>
          <t xml:space="preserve"> Touring</t>
        </is>
      </c>
      <c r="AI833" s="13" t="n"/>
      <c r="AJ833" s="13" t="n"/>
      <c r="AK833" s="42" t="n"/>
    </row>
    <row r="834">
      <c r="E834" s="40" t="inlineStr">
        <is>
          <t>21/22</t>
        </is>
      </c>
      <c r="F834" s="10" t="inlineStr">
        <is>
          <t xml:space="preserve"> Head</t>
        </is>
      </c>
      <c r="G834" s="11" t="inlineStr">
        <is>
          <t>Kore 97 W</t>
        </is>
      </c>
      <c r="H834" s="13" t="n">
        <v>177</v>
      </c>
      <c r="I834" s="11" t="inlineStr">
        <is>
          <t xml:space="preserve"> Women's</t>
        </is>
      </c>
      <c r="J834" s="13" t="n">
        <v>177</v>
      </c>
      <c r="K834" s="13" t="n">
        <v>176.6</v>
      </c>
      <c r="L834" s="13" t="n">
        <v>137</v>
      </c>
      <c r="M834" s="13" t="n">
        <v>144</v>
      </c>
      <c r="N834" s="13" t="n">
        <v>132</v>
      </c>
      <c r="O834" s="13" t="n">
        <v>98</v>
      </c>
      <c r="P834" s="13" t="n">
        <v>118</v>
      </c>
      <c r="Q834" s="13" t="n">
        <v>17.1</v>
      </c>
      <c r="R834" s="13" t="n">
        <v>1717</v>
      </c>
      <c r="S834" s="13" t="n">
        <v>1.12</v>
      </c>
      <c r="T834" s="13" t="n">
        <v>1928</v>
      </c>
      <c r="U834" s="13" t="n">
        <v>266</v>
      </c>
      <c r="V834" s="13" t="n">
        <v>128</v>
      </c>
      <c r="W834" s="13" t="n">
        <v>53</v>
      </c>
      <c r="X834" s="13" t="n">
        <v>239</v>
      </c>
      <c r="Y834" s="13" t="n">
        <v>14</v>
      </c>
      <c r="Z834" s="13" t="n">
        <v>158</v>
      </c>
      <c r="AA834" s="13" t="n">
        <v>0.268</v>
      </c>
      <c r="AB834" s="13" t="n">
        <v>182</v>
      </c>
      <c r="AC834" s="13" t="n">
        <v>149</v>
      </c>
      <c r="AD834" s="13" t="n">
        <v>57</v>
      </c>
      <c r="AE834" s="13" t="n">
        <v>6</v>
      </c>
      <c r="AF834" s="13" t="n">
        <v>8.9</v>
      </c>
      <c r="AG834" s="11" t="inlineStr">
        <is>
          <t xml:space="preserve"> Resort Freeride</t>
        </is>
      </c>
      <c r="AH834" s="11" t="inlineStr">
        <is>
          <t xml:space="preserve"> Touring</t>
        </is>
      </c>
      <c r="AI834" s="13" t="n"/>
      <c r="AJ834" s="13" t="n"/>
      <c r="AK834" s="42" t="n"/>
    </row>
    <row r="835">
      <c r="E835" s="40" t="inlineStr">
        <is>
          <t>21/22</t>
        </is>
      </c>
      <c r="F835" s="10" t="inlineStr">
        <is>
          <t xml:space="preserve"> Head</t>
        </is>
      </c>
      <c r="G835" s="11" t="inlineStr">
        <is>
          <t>Kore 99</t>
        </is>
      </c>
      <c r="H835" s="13" t="n">
        <v>163</v>
      </c>
      <c r="I835" s="11" t="inlineStr">
        <is>
          <t xml:space="preserve"> Unisex</t>
        </is>
      </c>
      <c r="J835" s="13" t="n">
        <v>163</v>
      </c>
      <c r="K835" s="13" t="n">
        <v>162.6</v>
      </c>
      <c r="L835" s="13" t="n">
        <v>126</v>
      </c>
      <c r="M835" s="13" t="n">
        <v>130</v>
      </c>
      <c r="N835" s="13" t="n">
        <v>127</v>
      </c>
      <c r="O835" s="13" t="n">
        <v>94</v>
      </c>
      <c r="P835" s="13" t="n">
        <v>114</v>
      </c>
      <c r="Q835" s="13" t="n">
        <v>14.4</v>
      </c>
      <c r="R835" s="13" t="n">
        <v>1515</v>
      </c>
      <c r="S835" s="13" t="n">
        <v>1.13</v>
      </c>
      <c r="T835" s="13" t="n">
        <v>1718</v>
      </c>
      <c r="U835" s="13" t="n">
        <v>198</v>
      </c>
      <c r="V835" s="13" t="n">
        <v>100</v>
      </c>
      <c r="W835" s="13" t="n">
        <v>49</v>
      </c>
      <c r="X835" s="13" t="n">
        <v>237</v>
      </c>
      <c r="Y835" s="13" t="n">
        <v>11</v>
      </c>
      <c r="Z835" s="13" t="n">
        <v>134</v>
      </c>
      <c r="AA835" s="13" t="n">
        <v>0.219</v>
      </c>
      <c r="AB835" s="13" t="n">
        <v>179</v>
      </c>
      <c r="AC835" s="13" t="n">
        <v>142</v>
      </c>
      <c r="AD835" s="13" t="n">
        <v>58</v>
      </c>
      <c r="AE835" s="13" t="n">
        <v>7</v>
      </c>
      <c r="AF835" s="13" t="n">
        <v>8.9</v>
      </c>
      <c r="AG835" s="11" t="inlineStr">
        <is>
          <t xml:space="preserve"> Resort Freeride</t>
        </is>
      </c>
      <c r="AH835" s="11" t="inlineStr">
        <is>
          <t xml:space="preserve"> Touring</t>
        </is>
      </c>
      <c r="AI835" s="13" t="n"/>
      <c r="AJ835" s="13" t="n"/>
      <c r="AK835" s="42" t="n"/>
    </row>
    <row r="836">
      <c r="E836" s="40" t="inlineStr">
        <is>
          <t>21/22</t>
        </is>
      </c>
      <c r="F836" s="10" t="inlineStr">
        <is>
          <t xml:space="preserve"> Head</t>
        </is>
      </c>
      <c r="G836" s="11" t="inlineStr">
        <is>
          <t>Kore 99</t>
        </is>
      </c>
      <c r="H836" s="13" t="n">
        <v>170</v>
      </c>
      <c r="I836" s="11" t="inlineStr">
        <is>
          <t xml:space="preserve"> Unisex</t>
        </is>
      </c>
      <c r="J836" s="13" t="n">
        <v>170</v>
      </c>
      <c r="K836" s="13" t="n">
        <v>169.4</v>
      </c>
      <c r="L836" s="13" t="n">
        <v>133</v>
      </c>
      <c r="M836" s="13" t="n">
        <v>137</v>
      </c>
      <c r="N836" s="13" t="n">
        <v>130</v>
      </c>
      <c r="O836" s="13" t="n">
        <v>96</v>
      </c>
      <c r="P836" s="13" t="n">
        <v>117</v>
      </c>
      <c r="Q836" s="13" t="n">
        <v>15.3</v>
      </c>
      <c r="R836" s="13" t="n">
        <v>1623</v>
      </c>
      <c r="S836" s="13" t="n">
        <v>1.12</v>
      </c>
      <c r="T836" s="13" t="n">
        <v>1824</v>
      </c>
      <c r="U836" s="13" t="n">
        <v>238</v>
      </c>
      <c r="V836" s="13" t="n">
        <v>111</v>
      </c>
      <c r="W836" s="13" t="n">
        <v>48</v>
      </c>
      <c r="X836" s="13" t="n">
        <v>227</v>
      </c>
      <c r="Y836" s="13" t="n">
        <v>12</v>
      </c>
      <c r="Z836" s="13" t="n">
        <v>137</v>
      </c>
      <c r="AA836" s="13" t="n">
        <v>0.259</v>
      </c>
      <c r="AB836" s="13" t="n">
        <v>184</v>
      </c>
      <c r="AC836" s="13" t="n">
        <v>141</v>
      </c>
      <c r="AD836" s="13" t="n">
        <v>43</v>
      </c>
      <c r="AE836" s="13" t="n">
        <v>6</v>
      </c>
      <c r="AF836" s="13" t="n">
        <v>10.2</v>
      </c>
      <c r="AG836" s="11" t="inlineStr">
        <is>
          <t xml:space="preserve"> Resort Freeride</t>
        </is>
      </c>
      <c r="AH836" s="11" t="inlineStr">
        <is>
          <t xml:space="preserve"> Touring</t>
        </is>
      </c>
      <c r="AI836" s="13" t="n"/>
      <c r="AJ836" s="13" t="n"/>
      <c r="AK836" s="42" t="n"/>
    </row>
    <row r="837">
      <c r="E837" s="40" t="inlineStr">
        <is>
          <t>21/22</t>
        </is>
      </c>
      <c r="F837" s="10" t="inlineStr">
        <is>
          <t xml:space="preserve"> Head</t>
        </is>
      </c>
      <c r="G837" s="11" t="inlineStr">
        <is>
          <t>Kore 99</t>
        </is>
      </c>
      <c r="H837" s="13" t="n">
        <v>177</v>
      </c>
      <c r="I837" s="11" t="inlineStr">
        <is>
          <t xml:space="preserve"> Unisex</t>
        </is>
      </c>
      <c r="J837" s="13" t="n">
        <v>177</v>
      </c>
      <c r="K837" s="13" t="n">
        <v>176.7</v>
      </c>
      <c r="L837" s="13" t="n">
        <v>137</v>
      </c>
      <c r="M837" s="13" t="n">
        <v>139</v>
      </c>
      <c r="N837" s="13" t="n">
        <v>133</v>
      </c>
      <c r="O837" s="13" t="n">
        <v>98</v>
      </c>
      <c r="P837" s="13" t="n">
        <v>119</v>
      </c>
      <c r="Q837" s="13" t="n">
        <v>17.5</v>
      </c>
      <c r="R837" s="13" t="n">
        <v>1689</v>
      </c>
      <c r="S837" s="13" t="n">
        <v>1.14</v>
      </c>
      <c r="T837" s="13" t="n">
        <v>1933</v>
      </c>
      <c r="U837" s="13" t="n">
        <v>259</v>
      </c>
      <c r="V837" s="13" t="n">
        <v>127</v>
      </c>
      <c r="W837" s="13" t="n">
        <v>53</v>
      </c>
      <c r="X837" s="13" t="n">
        <v>237</v>
      </c>
      <c r="Y837" s="13" t="n">
        <v>16</v>
      </c>
      <c r="Z837" s="13" t="n">
        <v>155</v>
      </c>
      <c r="AA837" s="13" t="n">
        <v>0.308</v>
      </c>
      <c r="AB837" s="13" t="n">
        <v>201</v>
      </c>
      <c r="AC837" s="13" t="n">
        <v>173</v>
      </c>
      <c r="AD837" s="13" t="n">
        <v>35</v>
      </c>
      <c r="AE837" s="13" t="n">
        <v>6</v>
      </c>
      <c r="AF837" s="13" t="n">
        <v>9.9</v>
      </c>
      <c r="AG837" s="11" t="inlineStr">
        <is>
          <t xml:space="preserve"> Resort Freeride</t>
        </is>
      </c>
      <c r="AH837" s="11" t="inlineStr">
        <is>
          <t xml:space="preserve"> Touring</t>
        </is>
      </c>
      <c r="AI837" s="13" t="n"/>
      <c r="AJ837" s="13" t="n"/>
      <c r="AK837" s="42" t="n"/>
    </row>
    <row r="838">
      <c r="E838" s="40" t="inlineStr">
        <is>
          <t>21/22</t>
        </is>
      </c>
      <c r="F838" s="10" t="inlineStr">
        <is>
          <t xml:space="preserve"> Head</t>
        </is>
      </c>
      <c r="G838" s="11" t="inlineStr">
        <is>
          <t>Kore 99</t>
        </is>
      </c>
      <c r="H838" s="13" t="n">
        <v>184</v>
      </c>
      <c r="I838" s="11" t="inlineStr">
        <is>
          <t xml:space="preserve"> Unisex</t>
        </is>
      </c>
      <c r="J838" s="13" t="n">
        <v>184</v>
      </c>
      <c r="K838" s="13" t="n">
        <v>183.8</v>
      </c>
      <c r="L838" s="13" t="n">
        <v>144</v>
      </c>
      <c r="M838" s="13" t="n">
        <v>150</v>
      </c>
      <c r="N838" s="13" t="n">
        <v>135</v>
      </c>
      <c r="O838" s="13" t="n">
        <v>100</v>
      </c>
      <c r="P838" s="13" t="n">
        <v>121</v>
      </c>
      <c r="Q838" s="13" t="n">
        <v>18.9</v>
      </c>
      <c r="R838" s="13" t="n">
        <v>1841</v>
      </c>
      <c r="S838" s="13" t="n">
        <v>1.11</v>
      </c>
      <c r="T838" s="13" t="n">
        <v>2046</v>
      </c>
      <c r="U838" s="13" t="n">
        <v>293</v>
      </c>
      <c r="V838" s="13" t="n">
        <v>148</v>
      </c>
      <c r="W838" s="13" t="n">
        <v>51</v>
      </c>
      <c r="X838" s="13" t="n">
        <v>231</v>
      </c>
      <c r="Y838" s="13" t="n">
        <v>17</v>
      </c>
      <c r="Z838" s="13" t="n">
        <v>164</v>
      </c>
      <c r="AA838" s="13" t="n">
        <v>0.338</v>
      </c>
      <c r="AB838" s="13" t="n">
        <v>189</v>
      </c>
      <c r="AC838" s="13" t="n">
        <v>151</v>
      </c>
      <c r="AD838" s="13" t="n">
        <v>42</v>
      </c>
      <c r="AE838" s="13" t="n">
        <v>7</v>
      </c>
      <c r="AF838" s="13" t="n">
        <v>10.9</v>
      </c>
      <c r="AG838" s="11" t="inlineStr">
        <is>
          <t xml:space="preserve"> Resort Freeride</t>
        </is>
      </c>
      <c r="AH838" s="11" t="inlineStr">
        <is>
          <t xml:space="preserve"> Big Mountain</t>
        </is>
      </c>
      <c r="AI838" s="11" t="inlineStr">
        <is>
          <t xml:space="preserve"> Touring</t>
        </is>
      </c>
      <c r="AJ838" s="13" t="n"/>
      <c r="AK838" s="42" t="n"/>
    </row>
    <row r="839">
      <c r="E839" s="40" t="inlineStr">
        <is>
          <t>21/22</t>
        </is>
      </c>
      <c r="F839" s="10" t="inlineStr">
        <is>
          <t xml:space="preserve"> Head</t>
        </is>
      </c>
      <c r="G839" s="11" t="inlineStr">
        <is>
          <t>Oblivion 84</t>
        </is>
      </c>
      <c r="H839" s="13" t="n">
        <v>171</v>
      </c>
      <c r="I839" s="11" t="inlineStr">
        <is>
          <t xml:space="preserve"> Unisex</t>
        </is>
      </c>
      <c r="J839" s="13" t="n">
        <v>171</v>
      </c>
      <c r="K839" s="13" t="n">
        <v>169.2</v>
      </c>
      <c r="L839" s="13" t="n">
        <v>140</v>
      </c>
      <c r="M839" s="13" t="n">
        <v>151</v>
      </c>
      <c r="N839" s="13" t="n">
        <v>119</v>
      </c>
      <c r="O839" s="13" t="n">
        <v>82</v>
      </c>
      <c r="P839" s="13" t="n">
        <v>108</v>
      </c>
      <c r="Q839" s="13" t="n">
        <v>17.8</v>
      </c>
      <c r="R839" s="13" t="n">
        <v>1696</v>
      </c>
      <c r="S839" s="13" t="n">
        <v>0.9399999999999999</v>
      </c>
      <c r="T839" s="13" t="n">
        <v>1586</v>
      </c>
      <c r="U839" s="13" t="n">
        <v>178</v>
      </c>
      <c r="V839" s="13" t="n">
        <v>62</v>
      </c>
      <c r="W839" s="13" t="n">
        <v>48</v>
      </c>
      <c r="X839" s="13" t="n">
        <v>156</v>
      </c>
      <c r="Y839" s="13" t="n">
        <v>37</v>
      </c>
      <c r="Z839" s="13" t="n">
        <v>133</v>
      </c>
      <c r="AA839" s="13" t="n">
        <v>0.769</v>
      </c>
      <c r="AB839" s="13" t="n">
        <v>96</v>
      </c>
      <c r="AC839" s="13" t="n">
        <v>89</v>
      </c>
      <c r="AD839" s="13" t="n">
        <v>60</v>
      </c>
      <c r="AE839" s="13" t="n">
        <v>11</v>
      </c>
      <c r="AF839" s="13" t="n">
        <v>5.4</v>
      </c>
      <c r="AG839" s="11" t="inlineStr">
        <is>
          <t xml:space="preserve"> Resort Freeride</t>
        </is>
      </c>
      <c r="AH839" s="13" t="n"/>
      <c r="AI839" s="13" t="n"/>
      <c r="AJ839" s="13" t="n"/>
      <c r="AK839" s="42" t="n"/>
    </row>
    <row r="840">
      <c r="E840" s="40" t="inlineStr">
        <is>
          <t>21/22</t>
        </is>
      </c>
      <c r="F840" s="10" t="inlineStr">
        <is>
          <t xml:space="preserve"> Head</t>
        </is>
      </c>
      <c r="G840" s="11" t="inlineStr">
        <is>
          <t>Oblivion 84</t>
        </is>
      </c>
      <c r="H840" s="13" t="n">
        <v>176</v>
      </c>
      <c r="I840" s="11" t="inlineStr">
        <is>
          <t xml:space="preserve"> Unisex</t>
        </is>
      </c>
      <c r="J840" s="13" t="n">
        <v>176</v>
      </c>
      <c r="K840" s="13" t="n">
        <v>174.1</v>
      </c>
      <c r="L840" s="13" t="n">
        <v>145</v>
      </c>
      <c r="M840" s="13" t="n">
        <v>155</v>
      </c>
      <c r="N840" s="13" t="n">
        <v>120</v>
      </c>
      <c r="O840" s="13" t="n">
        <v>83</v>
      </c>
      <c r="P840" s="13" t="n">
        <v>109</v>
      </c>
      <c r="Q840" s="13" t="n">
        <v>19.1</v>
      </c>
      <c r="R840" s="13" t="n">
        <v>1800</v>
      </c>
      <c r="S840" s="13" t="n">
        <v>0.91</v>
      </c>
      <c r="T840" s="13" t="n">
        <v>1639</v>
      </c>
      <c r="U840" s="13" t="n">
        <v>211</v>
      </c>
      <c r="V840" s="13" t="n">
        <v>70</v>
      </c>
      <c r="W840" s="13" t="n">
        <v>46</v>
      </c>
      <c r="X840" s="13" t="n">
        <v>149</v>
      </c>
      <c r="Y840" s="13" t="n">
        <v>37</v>
      </c>
      <c r="Z840" s="13" t="n">
        <v>138</v>
      </c>
      <c r="AA840" s="13" t="n">
        <v>0.8</v>
      </c>
      <c r="AB840" s="13" t="n">
        <v>93</v>
      </c>
      <c r="AC840" s="13" t="n">
        <v>94</v>
      </c>
      <c r="AD840" s="13" t="n">
        <v>55</v>
      </c>
      <c r="AE840" s="13" t="n">
        <v>11</v>
      </c>
      <c r="AF840" s="13" t="n">
        <v>5.5</v>
      </c>
      <c r="AG840" s="11" t="inlineStr">
        <is>
          <t xml:space="preserve"> Resort Freeride</t>
        </is>
      </c>
      <c r="AH840" s="11" t="inlineStr">
        <is>
          <t xml:space="preserve"> Freeski</t>
        </is>
      </c>
      <c r="AI840" s="13" t="n"/>
      <c r="AJ840" s="13" t="n"/>
      <c r="AK840" s="42" t="n"/>
    </row>
    <row r="841">
      <c r="E841" s="40" t="inlineStr">
        <is>
          <t>21/22</t>
        </is>
      </c>
      <c r="F841" s="10" t="inlineStr">
        <is>
          <t xml:space="preserve"> Head</t>
        </is>
      </c>
      <c r="G841" s="11" t="inlineStr">
        <is>
          <t>Oblivion 94</t>
        </is>
      </c>
      <c r="H841" s="13" t="n">
        <v>163</v>
      </c>
      <c r="I841" s="11" t="inlineStr">
        <is>
          <t xml:space="preserve"> Unisex</t>
        </is>
      </c>
      <c r="J841" s="13" t="n">
        <v>163</v>
      </c>
      <c r="K841" s="13" t="n">
        <v>161.1</v>
      </c>
      <c r="L841" s="13" t="n">
        <v>123</v>
      </c>
      <c r="M841" s="13" t="n">
        <v>142</v>
      </c>
      <c r="N841" s="13" t="n">
        <v>125</v>
      </c>
      <c r="O841" s="13" t="n">
        <v>91</v>
      </c>
      <c r="P841" s="13" t="n">
        <v>115</v>
      </c>
      <c r="Q841" s="13" t="n">
        <v>17.7</v>
      </c>
      <c r="R841" s="13" t="n">
        <v>1584</v>
      </c>
      <c r="S841" s="13" t="n">
        <v>1.03</v>
      </c>
      <c r="T841" s="13" t="n">
        <v>1631</v>
      </c>
      <c r="U841" s="13" t="n">
        <v>147</v>
      </c>
      <c r="V841" s="13" t="n">
        <v>63</v>
      </c>
      <c r="W841" s="13" t="n">
        <v>51</v>
      </c>
      <c r="X841" s="13" t="n">
        <v>243</v>
      </c>
      <c r="Y841" s="13" t="n">
        <v>37</v>
      </c>
      <c r="Z841" s="13" t="n">
        <v>133</v>
      </c>
      <c r="AA841" s="13" t="n">
        <v>0.716</v>
      </c>
      <c r="AB841" s="13" t="n">
        <v>100</v>
      </c>
      <c r="AC841" s="13" t="n">
        <v>88</v>
      </c>
      <c r="AD841" s="13" t="n">
        <v>143</v>
      </c>
      <c r="AE841" s="13" t="n">
        <v>10</v>
      </c>
      <c r="AF841" s="13" t="n">
        <v>5.5</v>
      </c>
      <c r="AG841" s="11" t="inlineStr">
        <is>
          <t xml:space="preserve"> Resort Freeride</t>
        </is>
      </c>
      <c r="AH841" s="13" t="n"/>
      <c r="AI841" s="13" t="n"/>
      <c r="AJ841" s="13" t="n"/>
      <c r="AK841" s="42" t="n"/>
    </row>
    <row r="842">
      <c r="E842" s="40" t="inlineStr">
        <is>
          <t>21/22</t>
        </is>
      </c>
      <c r="F842" s="10" t="inlineStr">
        <is>
          <t xml:space="preserve"> Head</t>
        </is>
      </c>
      <c r="G842" s="11" t="inlineStr">
        <is>
          <t>Oblivion 94</t>
        </is>
      </c>
      <c r="H842" s="13" t="n">
        <v>170</v>
      </c>
      <c r="I842" s="11" t="inlineStr">
        <is>
          <t xml:space="preserve"> Unisex</t>
        </is>
      </c>
      <c r="J842" s="13" t="n">
        <v>170</v>
      </c>
      <c r="K842" s="13" t="n">
        <v>168.1</v>
      </c>
      <c r="L842" s="13" t="n">
        <v>130</v>
      </c>
      <c r="M842" s="13" t="n">
        <v>150</v>
      </c>
      <c r="N842" s="13" t="n">
        <v>125</v>
      </c>
      <c r="O842" s="13" t="n">
        <v>92</v>
      </c>
      <c r="P842" s="13" t="n">
        <v>116</v>
      </c>
      <c r="Q842" s="13" t="n">
        <v>19.3</v>
      </c>
      <c r="R842" s="13" t="n">
        <v>1645</v>
      </c>
      <c r="S842" s="13" t="n">
        <v>1.04</v>
      </c>
      <c r="T842" s="13" t="n">
        <v>1712</v>
      </c>
      <c r="U842" s="13" t="n">
        <v>149</v>
      </c>
      <c r="V842" s="13" t="n">
        <v>68</v>
      </c>
      <c r="W842" s="13" t="n">
        <v>53</v>
      </c>
      <c r="X842" s="13" t="n">
        <v>233</v>
      </c>
      <c r="Y842" s="13" t="n">
        <v>37</v>
      </c>
      <c r="Z842" s="13" t="n">
        <v>145</v>
      </c>
      <c r="AA842" s="13" t="n">
        <v>0.703</v>
      </c>
      <c r="AB842" s="13" t="n">
        <v>97</v>
      </c>
      <c r="AC842" s="13" t="n">
        <v>88</v>
      </c>
      <c r="AD842" s="13" t="n">
        <v>137</v>
      </c>
      <c r="AE842" s="13" t="n">
        <v>10</v>
      </c>
      <c r="AF842" s="13" t="n">
        <v>5.6</v>
      </c>
      <c r="AG842" s="11" t="inlineStr">
        <is>
          <t xml:space="preserve"> Resort Freeride</t>
        </is>
      </c>
      <c r="AH842" s="13" t="n"/>
      <c r="AI842" s="13" t="n"/>
      <c r="AJ842" s="13" t="n"/>
      <c r="AK842" s="42" t="n"/>
    </row>
    <row r="843">
      <c r="E843" s="40" t="inlineStr">
        <is>
          <t>21/22</t>
        </is>
      </c>
      <c r="F843" s="10" t="inlineStr">
        <is>
          <t xml:space="preserve"> Head</t>
        </is>
      </c>
      <c r="G843" s="11" t="inlineStr">
        <is>
          <t>Oblivion 94</t>
        </is>
      </c>
      <c r="H843" s="13" t="n">
        <v>177</v>
      </c>
      <c r="I843" s="11" t="inlineStr">
        <is>
          <t xml:space="preserve"> Unisex</t>
        </is>
      </c>
      <c r="J843" s="13" t="n">
        <v>177</v>
      </c>
      <c r="K843" s="13" t="n">
        <v>175.2</v>
      </c>
      <c r="L843" s="13" t="n">
        <v>137</v>
      </c>
      <c r="M843" s="13" t="n">
        <v>156</v>
      </c>
      <c r="N843" s="13" t="n">
        <v>126</v>
      </c>
      <c r="O843" s="13" t="n">
        <v>92</v>
      </c>
      <c r="P843" s="13" t="n">
        <v>116</v>
      </c>
      <c r="Q843" s="13" t="n">
        <v>20.9</v>
      </c>
      <c r="R843" s="13" t="n">
        <v>1773</v>
      </c>
      <c r="S843" s="13" t="n">
        <v>1.01</v>
      </c>
      <c r="T843" s="13" t="n">
        <v>1793</v>
      </c>
      <c r="U843" s="13" t="n">
        <v>181</v>
      </c>
      <c r="V843" s="13" t="n">
        <v>75</v>
      </c>
      <c r="W843" s="13" t="n">
        <v>53</v>
      </c>
      <c r="X843" s="13" t="n">
        <v>237</v>
      </c>
      <c r="Y843" s="13" t="n">
        <v>37</v>
      </c>
      <c r="Z843" s="13" t="n">
        <v>141</v>
      </c>
      <c r="AA843" s="13" t="n">
        <v>0.6909999999999999</v>
      </c>
      <c r="AB843" s="13" t="n">
        <v>98</v>
      </c>
      <c r="AC843" s="13" t="n">
        <v>92</v>
      </c>
      <c r="AD843" s="13" t="n">
        <v>139</v>
      </c>
      <c r="AE843" s="13" t="n">
        <v>10</v>
      </c>
      <c r="AF843" s="13" t="n">
        <v>5.5</v>
      </c>
      <c r="AG843" s="11" t="inlineStr">
        <is>
          <t xml:space="preserve"> Resort Freeride</t>
        </is>
      </c>
      <c r="AH843" s="13" t="n"/>
      <c r="AI843" s="13" t="n"/>
      <c r="AJ843" s="13" t="n"/>
      <c r="AK843" s="42" t="n"/>
    </row>
    <row r="844">
      <c r="E844" s="40" t="inlineStr">
        <is>
          <t>21/22</t>
        </is>
      </c>
      <c r="F844" s="10" t="inlineStr">
        <is>
          <t xml:space="preserve"> Head</t>
        </is>
      </c>
      <c r="G844" s="11" t="inlineStr">
        <is>
          <t>Oblivion 94</t>
        </is>
      </c>
      <c r="H844" s="13" t="n">
        <v>184</v>
      </c>
      <c r="I844" s="11" t="inlineStr">
        <is>
          <t xml:space="preserve"> Unisex</t>
        </is>
      </c>
      <c r="J844" s="13" t="n">
        <v>184</v>
      </c>
      <c r="K844" s="13" t="n">
        <v>181.9</v>
      </c>
      <c r="L844" s="13" t="n">
        <v>142</v>
      </c>
      <c r="M844" s="13" t="n">
        <v>164</v>
      </c>
      <c r="N844" s="13" t="n">
        <v>127</v>
      </c>
      <c r="O844" s="13" t="n">
        <v>93</v>
      </c>
      <c r="P844" s="13" t="n">
        <v>117</v>
      </c>
      <c r="Q844" s="13" t="n">
        <v>22.6</v>
      </c>
      <c r="R844" s="13" t="n">
        <v>1830</v>
      </c>
      <c r="S844" s="13" t="n">
        <v>1.03</v>
      </c>
      <c r="T844" s="13" t="n">
        <v>1878</v>
      </c>
      <c r="U844" s="13" t="n">
        <v>189</v>
      </c>
      <c r="V844" s="13" t="n">
        <v>83</v>
      </c>
      <c r="W844" s="13" t="n">
        <v>54</v>
      </c>
      <c r="X844" s="13" t="n">
        <v>254</v>
      </c>
      <c r="Y844" s="13" t="n">
        <v>38</v>
      </c>
      <c r="Z844" s="13" t="n">
        <v>145</v>
      </c>
      <c r="AA844" s="13" t="n">
        <v>0.704</v>
      </c>
      <c r="AB844" s="13" t="n">
        <v>95</v>
      </c>
      <c r="AC844" s="13" t="n">
        <v>87</v>
      </c>
      <c r="AD844" s="13" t="n">
        <v>159</v>
      </c>
      <c r="AE844" s="13" t="n">
        <v>9</v>
      </c>
      <c r="AF844" s="13" t="n">
        <v>5.6</v>
      </c>
      <c r="AG844" s="11" t="inlineStr">
        <is>
          <t xml:space="preserve"> Resort Freeride</t>
        </is>
      </c>
      <c r="AH844" s="13" t="n"/>
      <c r="AI844" s="13" t="n"/>
      <c r="AJ844" s="13" t="n"/>
      <c r="AK844" s="42" t="n"/>
    </row>
    <row r="845">
      <c r="E845" s="40" t="inlineStr">
        <is>
          <t>21/22</t>
        </is>
      </c>
      <c r="F845" s="10" t="inlineStr">
        <is>
          <t xml:space="preserve"> Head</t>
        </is>
      </c>
      <c r="G845" s="11" t="inlineStr">
        <is>
          <t xml:space="preserve"> Power Joy</t>
        </is>
      </c>
      <c r="H845" s="13" t="n">
        <v>153</v>
      </c>
      <c r="I845" s="11" t="inlineStr">
        <is>
          <t xml:space="preserve"> Women's</t>
        </is>
      </c>
      <c r="J845" s="13" t="n">
        <v>153</v>
      </c>
      <c r="K845" s="13" t="n">
        <v>152.5</v>
      </c>
      <c r="L845" s="13" t="n">
        <v>132</v>
      </c>
      <c r="M845" s="13" t="n">
        <v>137</v>
      </c>
      <c r="N845" s="13" t="n">
        <v>121</v>
      </c>
      <c r="O845" s="13" t="n">
        <v>67</v>
      </c>
      <c r="P845" s="13" t="n">
        <v>100</v>
      </c>
      <c r="Q845" s="13" t="n">
        <v>11</v>
      </c>
      <c r="R845" s="13" t="n">
        <v>1721</v>
      </c>
      <c r="S845" s="13" t="n">
        <v>0.74</v>
      </c>
      <c r="T845" s="13" t="n">
        <v>1269</v>
      </c>
      <c r="U845" s="13" t="n">
        <v>123</v>
      </c>
      <c r="V845" s="13" t="n">
        <v>60</v>
      </c>
      <c r="W845" s="13" t="n">
        <v>39</v>
      </c>
      <c r="X845" s="13" t="n">
        <v>134</v>
      </c>
      <c r="Y845" s="13" t="n">
        <v>12</v>
      </c>
      <c r="Z845" s="13" t="n">
        <v>72</v>
      </c>
      <c r="AA845" s="13" t="n">
        <v>0.308</v>
      </c>
      <c r="AB845" s="13" t="n">
        <v>89</v>
      </c>
      <c r="AC845" s="13" t="n">
        <v>62</v>
      </c>
      <c r="AD845" s="13" t="n">
        <v>45</v>
      </c>
      <c r="AE845" s="13" t="n">
        <v>10</v>
      </c>
      <c r="AF845" s="13" t="n">
        <v>9.4</v>
      </c>
      <c r="AG845" s="11" t="inlineStr">
        <is>
          <t xml:space="preserve"> On-Piste Carving</t>
        </is>
      </c>
      <c r="AH845" s="13" t="n"/>
      <c r="AI845" s="13" t="n"/>
      <c r="AJ845" s="13" t="n"/>
      <c r="AK845" s="42" t="n"/>
    </row>
    <row r="846">
      <c r="E846" s="40" t="inlineStr">
        <is>
          <t>21/22</t>
        </is>
      </c>
      <c r="F846" s="10" t="inlineStr">
        <is>
          <t xml:space="preserve"> Head</t>
        </is>
      </c>
      <c r="G846" s="11" t="inlineStr">
        <is>
          <t xml:space="preserve"> Power Joy</t>
        </is>
      </c>
      <c r="H846" s="13" t="n">
        <v>158</v>
      </c>
      <c r="I846" s="11" t="inlineStr">
        <is>
          <t xml:space="preserve"> Women's</t>
        </is>
      </c>
      <c r="J846" s="13" t="n">
        <v>158</v>
      </c>
      <c r="K846" s="13" t="n">
        <v>157.5</v>
      </c>
      <c r="L846" s="13" t="n">
        <v>136</v>
      </c>
      <c r="M846" s="13" t="n">
        <v>142</v>
      </c>
      <c r="N846" s="13" t="n">
        <v>121</v>
      </c>
      <c r="O846" s="13" t="n">
        <v>67</v>
      </c>
      <c r="P846" s="13" t="n">
        <v>101</v>
      </c>
      <c r="Q846" s="13" t="n">
        <v>11.8</v>
      </c>
      <c r="R846" s="13" t="n">
        <v>1757</v>
      </c>
      <c r="S846" s="13" t="n">
        <v>0.75</v>
      </c>
      <c r="T846" s="13" t="n">
        <v>1310</v>
      </c>
      <c r="U846" s="13" t="n">
        <v>138</v>
      </c>
      <c r="V846" s="13" t="n">
        <v>76</v>
      </c>
      <c r="W846" s="13" t="n">
        <v>39</v>
      </c>
      <c r="X846" s="13" t="n">
        <v>137</v>
      </c>
      <c r="Y846" s="13" t="n">
        <v>12</v>
      </c>
      <c r="Z846" s="13" t="n">
        <v>78</v>
      </c>
      <c r="AA846" s="13" t="n">
        <v>0.311</v>
      </c>
      <c r="AB846" s="13" t="n">
        <v>93</v>
      </c>
      <c r="AC846" s="13" t="n">
        <v>60</v>
      </c>
      <c r="AD846" s="13" t="n">
        <v>45</v>
      </c>
      <c r="AE846" s="13" t="n">
        <v>9</v>
      </c>
      <c r="AF846" s="13" t="n">
        <v>9.199999999999999</v>
      </c>
      <c r="AG846" s="11" t="inlineStr">
        <is>
          <t xml:space="preserve"> On-Piste Carving</t>
        </is>
      </c>
      <c r="AH846" s="13" t="n"/>
      <c r="AI846" s="13" t="n"/>
      <c r="AJ846" s="13" t="n"/>
      <c r="AK846" s="42" t="n"/>
    </row>
    <row r="847">
      <c r="E847" s="40" t="inlineStr">
        <is>
          <t>21/22</t>
        </is>
      </c>
      <c r="F847" s="10" t="inlineStr">
        <is>
          <t xml:space="preserve"> Head</t>
        </is>
      </c>
      <c r="G847" s="11" t="inlineStr">
        <is>
          <t xml:space="preserve"> Pure Joy</t>
        </is>
      </c>
      <c r="H847" s="13" t="n">
        <v>153</v>
      </c>
      <c r="I847" s="11" t="inlineStr">
        <is>
          <t xml:space="preserve"> Women's</t>
        </is>
      </c>
      <c r="J847" s="13" t="n">
        <v>153</v>
      </c>
      <c r="K847" s="13" t="n">
        <v>152.1</v>
      </c>
      <c r="L847" s="13" t="n">
        <v>131</v>
      </c>
      <c r="M847" s="13" t="n">
        <v>136</v>
      </c>
      <c r="N847" s="13" t="n">
        <v>129</v>
      </c>
      <c r="O847" s="13" t="n">
        <v>72</v>
      </c>
      <c r="P847" s="13" t="n">
        <v>106</v>
      </c>
      <c r="Q847" s="13" t="n">
        <v>10</v>
      </c>
      <c r="R847" s="13" t="n">
        <v>1635</v>
      </c>
      <c r="S847" s="13" t="n">
        <v>0.83</v>
      </c>
      <c r="T847" s="13" t="n">
        <v>1364</v>
      </c>
      <c r="U847" s="13" t="n">
        <v>137</v>
      </c>
      <c r="V847" s="13" t="n">
        <v>66</v>
      </c>
      <c r="W847" s="13" t="n">
        <v>35</v>
      </c>
      <c r="X847" s="13" t="n">
        <v>139</v>
      </c>
      <c r="Y847" s="13" t="n">
        <v>10</v>
      </c>
      <c r="Z847" s="13" t="n">
        <v>69</v>
      </c>
      <c r="AA847" s="13" t="n">
        <v>0.299</v>
      </c>
      <c r="AB847" s="13" t="n">
        <v>103</v>
      </c>
      <c r="AC847" s="13" t="n">
        <v>53</v>
      </c>
      <c r="AD847" s="13" t="n">
        <v>36</v>
      </c>
      <c r="AE847" s="13" t="n">
        <v>11</v>
      </c>
      <c r="AF847" s="13" t="n">
        <v>11.4</v>
      </c>
      <c r="AG847" s="11" t="inlineStr">
        <is>
          <t xml:space="preserve"> On-Piste Carving</t>
        </is>
      </c>
      <c r="AH847" s="11" t="inlineStr">
        <is>
          <t xml:space="preserve"> On-Piste All-Mountain</t>
        </is>
      </c>
      <c r="AI847" s="13" t="n"/>
      <c r="AJ847" s="13" t="n"/>
      <c r="AK847" s="42" t="n"/>
    </row>
    <row r="848">
      <c r="E848" s="40" t="inlineStr">
        <is>
          <t>21/22</t>
        </is>
      </c>
      <c r="F848" s="10" t="inlineStr">
        <is>
          <t xml:space="preserve"> Head</t>
        </is>
      </c>
      <c r="G848" s="11" t="inlineStr">
        <is>
          <t xml:space="preserve"> Pure Joy</t>
        </is>
      </c>
      <c r="H848" s="13" t="n">
        <v>158</v>
      </c>
      <c r="I848" s="11" t="inlineStr">
        <is>
          <t xml:space="preserve"> Women's</t>
        </is>
      </c>
      <c r="J848" s="13" t="n">
        <v>158</v>
      </c>
      <c r="K848" s="13" t="n">
        <v>157.4</v>
      </c>
      <c r="L848" s="13" t="n">
        <v>135</v>
      </c>
      <c r="M848" s="13" t="n">
        <v>141</v>
      </c>
      <c r="N848" s="13" t="n">
        <v>129</v>
      </c>
      <c r="O848" s="13" t="n">
        <v>72</v>
      </c>
      <c r="P848" s="13" t="n">
        <v>106</v>
      </c>
      <c r="Q848" s="13" t="n">
        <v>10.8</v>
      </c>
      <c r="R848" s="13" t="n">
        <v>1707</v>
      </c>
      <c r="S848" s="13" t="n">
        <v>0.83</v>
      </c>
      <c r="T848" s="13" t="n">
        <v>1408</v>
      </c>
      <c r="U848" s="13" t="n">
        <v>145</v>
      </c>
      <c r="V848" s="13" t="n">
        <v>72</v>
      </c>
      <c r="W848" s="13" t="n">
        <v>35</v>
      </c>
      <c r="X848" s="13" t="n">
        <v>147</v>
      </c>
      <c r="Y848" s="13" t="n">
        <v>12</v>
      </c>
      <c r="Z848" s="13" t="n">
        <v>78</v>
      </c>
      <c r="AA848" s="13" t="n">
        <v>0.349</v>
      </c>
      <c r="AB848" s="13" t="n">
        <v>105</v>
      </c>
      <c r="AC848" s="13" t="n">
        <v>58</v>
      </c>
      <c r="AD848" s="13" t="n">
        <v>42</v>
      </c>
      <c r="AE848" s="13" t="n">
        <v>10</v>
      </c>
      <c r="AF848" s="13" t="n">
        <v>10.8</v>
      </c>
      <c r="AG848" s="11" t="inlineStr">
        <is>
          <t xml:space="preserve"> On-Piste Carving</t>
        </is>
      </c>
      <c r="AH848" s="11" t="inlineStr">
        <is>
          <t xml:space="preserve"> On-Piste All-Mountain</t>
        </is>
      </c>
      <c r="AI848" s="13" t="n"/>
      <c r="AJ848" s="13" t="n"/>
      <c r="AK848" s="42" t="n"/>
    </row>
    <row r="849">
      <c r="E849" s="40" t="inlineStr">
        <is>
          <t>21/22</t>
        </is>
      </c>
      <c r="F849" s="10" t="inlineStr">
        <is>
          <t xml:space="preserve"> Head</t>
        </is>
      </c>
      <c r="G849" s="11" t="inlineStr">
        <is>
          <t xml:space="preserve"> Real Joy</t>
        </is>
      </c>
      <c r="H849" s="13" t="n">
        <v>158</v>
      </c>
      <c r="I849" s="11" t="inlineStr">
        <is>
          <t xml:space="preserve"> Women's</t>
        </is>
      </c>
      <c r="J849" s="13" t="n">
        <v>158</v>
      </c>
      <c r="K849" s="13" t="n">
        <v>157.4</v>
      </c>
      <c r="L849" s="13" t="n">
        <v>137</v>
      </c>
      <c r="M849" s="13" t="n">
        <v>141</v>
      </c>
      <c r="N849" s="13" t="n">
        <v>129</v>
      </c>
      <c r="O849" s="13" t="n">
        <v>72</v>
      </c>
      <c r="P849" s="13" t="n">
        <v>106</v>
      </c>
      <c r="Q849" s="13" t="n">
        <v>10.8</v>
      </c>
      <c r="R849" s="13" t="n">
        <v>1680</v>
      </c>
      <c r="S849" s="13" t="n">
        <v>0.84</v>
      </c>
      <c r="T849" s="13" t="n">
        <v>1409</v>
      </c>
      <c r="U849" s="13" t="n">
        <v>153</v>
      </c>
      <c r="V849" s="13" t="n">
        <v>73</v>
      </c>
      <c r="W849" s="13" t="n">
        <v>34</v>
      </c>
      <c r="X849" s="13" t="n">
        <v>135</v>
      </c>
      <c r="Y849" s="13" t="n">
        <v>11</v>
      </c>
      <c r="Z849" s="13" t="n">
        <v>73</v>
      </c>
      <c r="AA849" s="13" t="n">
        <v>0.329</v>
      </c>
      <c r="AB849" s="13" t="n">
        <v>104</v>
      </c>
      <c r="AC849" s="13" t="n">
        <v>55</v>
      </c>
      <c r="AD849" s="13" t="n">
        <v>30</v>
      </c>
      <c r="AE849" s="13" t="n">
        <v>11</v>
      </c>
      <c r="AF849" s="13" t="n">
        <v>10.9</v>
      </c>
      <c r="AG849" s="11" t="inlineStr">
        <is>
          <t xml:space="preserve"> On-Piste Carving</t>
        </is>
      </c>
      <c r="AH849" s="11" t="inlineStr">
        <is>
          <t xml:space="preserve"> On-Piste All-Mountain</t>
        </is>
      </c>
      <c r="AI849" s="13" t="n"/>
      <c r="AJ849" s="13" t="n"/>
      <c r="AK849" s="42" t="n"/>
    </row>
    <row r="850">
      <c r="E850" s="40" t="inlineStr">
        <is>
          <t>21/22</t>
        </is>
      </c>
      <c r="F850" s="10" t="inlineStr">
        <is>
          <t xml:space="preserve"> Head</t>
        </is>
      </c>
      <c r="G850" s="11" t="inlineStr">
        <is>
          <t xml:space="preserve"> Super Joy</t>
        </is>
      </c>
      <c r="H850" s="13" t="n">
        <v>153</v>
      </c>
      <c r="I850" s="11" t="inlineStr">
        <is>
          <t xml:space="preserve"> Women's</t>
        </is>
      </c>
      <c r="J850" s="13" t="n">
        <v>153</v>
      </c>
      <c r="K850" s="13" t="n">
        <v>152.4</v>
      </c>
      <c r="L850" s="13" t="n">
        <v>131</v>
      </c>
      <c r="M850" s="13" t="n">
        <v>137</v>
      </c>
      <c r="N850" s="13" t="n">
        <v>128</v>
      </c>
      <c r="O850" s="13" t="n">
        <v>74</v>
      </c>
      <c r="P850" s="13" t="n">
        <v>107</v>
      </c>
      <c r="Q850" s="13" t="n">
        <v>10.6</v>
      </c>
      <c r="R850" s="13" t="n">
        <v>1454</v>
      </c>
      <c r="S850" s="13" t="n">
        <v>0.95</v>
      </c>
      <c r="T850" s="13" t="n">
        <v>1386</v>
      </c>
      <c r="U850" s="13" t="n">
        <v>145</v>
      </c>
      <c r="V850" s="13" t="n">
        <v>48</v>
      </c>
      <c r="W850" s="13" t="n">
        <v>38</v>
      </c>
      <c r="X850" s="13" t="n">
        <v>143</v>
      </c>
      <c r="Y850" s="13" t="n">
        <v>12</v>
      </c>
      <c r="Z850" s="13" t="n">
        <v>75</v>
      </c>
      <c r="AA850" s="13" t="n">
        <v>0.323</v>
      </c>
      <c r="AB850" s="13" t="n">
        <v>96</v>
      </c>
      <c r="AC850" s="13" t="n">
        <v>62</v>
      </c>
      <c r="AD850" s="13" t="n">
        <v>47</v>
      </c>
      <c r="AE850" s="13" t="n">
        <v>11</v>
      </c>
      <c r="AF850" s="13" t="n">
        <v>11.1</v>
      </c>
      <c r="AG850" s="11" t="inlineStr">
        <is>
          <t xml:space="preserve"> On-Piste Carving</t>
        </is>
      </c>
      <c r="AH850" s="11" t="inlineStr">
        <is>
          <t xml:space="preserve"> On-Piste All-Mountain</t>
        </is>
      </c>
      <c r="AI850" s="13" t="n"/>
      <c r="AJ850" s="13" t="n"/>
      <c r="AK850" s="42" t="n"/>
    </row>
    <row r="851">
      <c r="E851" s="40" t="inlineStr">
        <is>
          <t>21/22</t>
        </is>
      </c>
      <c r="F851" s="10" t="inlineStr">
        <is>
          <t xml:space="preserve"> Head</t>
        </is>
      </c>
      <c r="G851" s="11" t="inlineStr">
        <is>
          <t xml:space="preserve"> Super Joy</t>
        </is>
      </c>
      <c r="H851" s="13" t="n">
        <v>158</v>
      </c>
      <c r="I851" s="11" t="inlineStr">
        <is>
          <t xml:space="preserve"> Women's</t>
        </is>
      </c>
      <c r="J851" s="13" t="n">
        <v>158</v>
      </c>
      <c r="K851" s="13" t="n">
        <v>157.6</v>
      </c>
      <c r="L851" s="13" t="n">
        <v>136</v>
      </c>
      <c r="M851" s="13" t="n">
        <v>141</v>
      </c>
      <c r="N851" s="13" t="n">
        <v>128</v>
      </c>
      <c r="O851" s="13" t="n">
        <v>74</v>
      </c>
      <c r="P851" s="13" t="n">
        <v>107</v>
      </c>
      <c r="Q851" s="13" t="n">
        <v>11.3</v>
      </c>
      <c r="R851" s="13" t="n">
        <v>1541</v>
      </c>
      <c r="S851" s="13" t="n">
        <v>0.93</v>
      </c>
      <c r="T851" s="13" t="n">
        <v>1432</v>
      </c>
      <c r="U851" s="13" t="n">
        <v>163</v>
      </c>
      <c r="V851" s="13" t="n">
        <v>50</v>
      </c>
      <c r="W851" s="13" t="n">
        <v>38</v>
      </c>
      <c r="X851" s="13" t="n">
        <v>144</v>
      </c>
      <c r="Y851" s="13" t="n">
        <v>14</v>
      </c>
      <c r="Z851" s="13" t="n">
        <v>76</v>
      </c>
      <c r="AA851" s="13" t="n">
        <v>0.358</v>
      </c>
      <c r="AB851" s="13" t="n">
        <v>102</v>
      </c>
      <c r="AC851" s="13" t="n">
        <v>65</v>
      </c>
      <c r="AD851" s="13" t="n">
        <v>43</v>
      </c>
      <c r="AE851" s="13" t="n">
        <v>12</v>
      </c>
      <c r="AF851" s="13" t="n">
        <v>11.1</v>
      </c>
      <c r="AG851" s="11" t="inlineStr">
        <is>
          <t xml:space="preserve"> On-Piste Carving</t>
        </is>
      </c>
      <c r="AH851" s="11" t="inlineStr">
        <is>
          <t xml:space="preserve"> On-Piste All-Mountain</t>
        </is>
      </c>
      <c r="AI851" s="13" t="n"/>
      <c r="AJ851" s="13" t="n"/>
      <c r="AK851" s="42" t="n"/>
    </row>
    <row r="852">
      <c r="E852" s="40" t="inlineStr">
        <is>
          <t>21/22</t>
        </is>
      </c>
      <c r="F852" s="10" t="inlineStr">
        <is>
          <t xml:space="preserve"> Head</t>
        </is>
      </c>
      <c r="G852" s="11" t="inlineStr">
        <is>
          <t xml:space="preserve"> Supershape e-Magnum</t>
        </is>
      </c>
      <c r="H852" s="13" t="n">
        <v>170</v>
      </c>
      <c r="I852" s="11" t="inlineStr">
        <is>
          <t xml:space="preserve"> Unisex</t>
        </is>
      </c>
      <c r="J852" s="13" t="n">
        <v>170</v>
      </c>
      <c r="K852" s="13" t="n">
        <v>169.3</v>
      </c>
      <c r="L852" s="13" t="n">
        <v>150</v>
      </c>
      <c r="M852" s="13" t="n">
        <v>158</v>
      </c>
      <c r="N852" s="13" t="n">
        <v>128</v>
      </c>
      <c r="O852" s="13" t="n">
        <v>71</v>
      </c>
      <c r="P852" s="13" t="n">
        <v>109</v>
      </c>
      <c r="Q852" s="13" t="n">
        <v>13.1</v>
      </c>
      <c r="R852" s="13" t="n">
        <v>2206</v>
      </c>
      <c r="S852" s="13" t="n">
        <v>0.68</v>
      </c>
      <c r="T852" s="13" t="n">
        <v>1491</v>
      </c>
      <c r="U852" s="13" t="n">
        <v>213</v>
      </c>
      <c r="V852" s="13" t="n">
        <v>105</v>
      </c>
      <c r="W852" s="13" t="n">
        <v>36</v>
      </c>
      <c r="X852" s="13" t="n">
        <v>149</v>
      </c>
      <c r="Y852" s="13" t="n">
        <v>4</v>
      </c>
      <c r="Z852" s="13" t="n">
        <v>45</v>
      </c>
      <c r="AA852" s="13" t="n">
        <v>0.104</v>
      </c>
      <c r="AB852" s="13" t="n">
        <v>65</v>
      </c>
      <c r="AC852" s="13" t="n">
        <v>51</v>
      </c>
      <c r="AD852" s="13" t="n">
        <v>84</v>
      </c>
      <c r="AE852" s="13" t="n">
        <v>9</v>
      </c>
      <c r="AF852" s="13" t="n">
        <v>12.9</v>
      </c>
      <c r="AG852" s="11" t="inlineStr">
        <is>
          <t xml:space="preserve"> On-Piste Carving</t>
        </is>
      </c>
      <c r="AH852" s="13" t="n"/>
      <c r="AI852" s="13" t="n"/>
      <c r="AJ852" s="13" t="n"/>
      <c r="AK852" s="42" t="n"/>
    </row>
    <row r="853">
      <c r="E853" s="40" t="inlineStr">
        <is>
          <t>21/22</t>
        </is>
      </c>
      <c r="F853" s="10" t="inlineStr">
        <is>
          <t xml:space="preserve"> Head</t>
        </is>
      </c>
      <c r="G853" s="11" t="inlineStr">
        <is>
          <t xml:space="preserve"> Supershape e-Magnum</t>
        </is>
      </c>
      <c r="H853" s="13" t="n">
        <v>177</v>
      </c>
      <c r="I853" s="11" t="inlineStr">
        <is>
          <t xml:space="preserve"> Unisex</t>
        </is>
      </c>
      <c r="J853" s="13" t="n">
        <v>177</v>
      </c>
      <c r="K853" s="13" t="n">
        <v>176.3</v>
      </c>
      <c r="L853" s="13" t="n">
        <v>157</v>
      </c>
      <c r="M853" s="13" t="n">
        <v>164</v>
      </c>
      <c r="N853" s="13" t="n">
        <v>128</v>
      </c>
      <c r="O853" s="13" t="n">
        <v>71</v>
      </c>
      <c r="P853" s="13" t="n">
        <v>109</v>
      </c>
      <c r="Q853" s="13" t="n">
        <v>14.4</v>
      </c>
      <c r="R853" s="13" t="n">
        <v>2247</v>
      </c>
      <c r="S853" s="13" t="n">
        <v>0.6899999999999999</v>
      </c>
      <c r="T853" s="13" t="n">
        <v>1551</v>
      </c>
      <c r="U853" s="13" t="n">
        <v>229</v>
      </c>
      <c r="V853" s="13" t="n">
        <v>113</v>
      </c>
      <c r="W853" s="13" t="n">
        <v>36</v>
      </c>
      <c r="X853" s="13" t="n">
        <v>147</v>
      </c>
      <c r="Y853" s="13" t="n">
        <v>3</v>
      </c>
      <c r="Z853" s="13" t="n">
        <v>48</v>
      </c>
      <c r="AA853" s="13" t="n">
        <v>0.09</v>
      </c>
      <c r="AB853" s="13" t="n">
        <v>66</v>
      </c>
      <c r="AC853" s="13" t="n">
        <v>55</v>
      </c>
      <c r="AD853" s="13" t="n">
        <v>81</v>
      </c>
      <c r="AE853" s="13" t="n">
        <v>9</v>
      </c>
      <c r="AF853" s="13" t="n">
        <v>12.7</v>
      </c>
      <c r="AG853" s="11" t="inlineStr">
        <is>
          <t xml:space="preserve"> On-Piste Carving</t>
        </is>
      </c>
      <c r="AH853" s="13" t="n"/>
      <c r="AI853" s="13" t="n"/>
      <c r="AJ853" s="13" t="n"/>
      <c r="AK853" s="42" t="n"/>
    </row>
    <row r="854">
      <c r="E854" s="40" t="inlineStr">
        <is>
          <t>21/22</t>
        </is>
      </c>
      <c r="F854" s="10" t="inlineStr">
        <is>
          <t xml:space="preserve"> Head</t>
        </is>
      </c>
      <c r="G854" s="11" t="inlineStr">
        <is>
          <t xml:space="preserve"> Supershape e-Speed</t>
        </is>
      </c>
      <c r="H854" s="13" t="n">
        <v>163</v>
      </c>
      <c r="I854" s="11" t="inlineStr">
        <is>
          <t xml:space="preserve"> Unisex</t>
        </is>
      </c>
      <c r="J854" s="13" t="n">
        <v>163</v>
      </c>
      <c r="K854" s="13" t="n">
        <v>162.4</v>
      </c>
      <c r="L854" s="13" t="n">
        <v>144</v>
      </c>
      <c r="M854" s="13" t="n">
        <v>151</v>
      </c>
      <c r="N854" s="13" t="n">
        <v>121</v>
      </c>
      <c r="O854" s="13" t="n">
        <v>67</v>
      </c>
      <c r="P854" s="13" t="n">
        <v>103</v>
      </c>
      <c r="Q854" s="13" t="n">
        <v>12.7</v>
      </c>
      <c r="R854" s="13" t="n">
        <v>2043</v>
      </c>
      <c r="S854" s="13" t="n">
        <v>0.66</v>
      </c>
      <c r="T854" s="13" t="n">
        <v>1351</v>
      </c>
      <c r="U854" s="13" t="n">
        <v>192</v>
      </c>
      <c r="V854" s="13" t="n">
        <v>93</v>
      </c>
      <c r="W854" s="13" t="n">
        <v>37</v>
      </c>
      <c r="X854" s="13" t="n">
        <v>137</v>
      </c>
      <c r="Y854" s="13" t="n">
        <v>3</v>
      </c>
      <c r="Z854" s="13" t="n">
        <v>44</v>
      </c>
      <c r="AA854" s="13" t="n">
        <v>0.081</v>
      </c>
      <c r="AB854" s="13" t="n">
        <v>62</v>
      </c>
      <c r="AC854" s="13" t="n">
        <v>52</v>
      </c>
      <c r="AD854" s="13" t="n">
        <v>75</v>
      </c>
      <c r="AE854" s="13" t="n">
        <v>11</v>
      </c>
      <c r="AF854" s="13" t="n">
        <v>12.4</v>
      </c>
      <c r="AG854" s="11" t="inlineStr">
        <is>
          <t xml:space="preserve"> On-Piste Carving</t>
        </is>
      </c>
      <c r="AH854" s="13" t="n"/>
      <c r="AI854" s="13" t="n"/>
      <c r="AJ854" s="13" t="n"/>
      <c r="AK854" s="42" t="n"/>
    </row>
    <row r="855">
      <c r="E855" s="40" t="inlineStr">
        <is>
          <t>21/22</t>
        </is>
      </c>
      <c r="F855" s="10" t="inlineStr">
        <is>
          <t xml:space="preserve"> Head</t>
        </is>
      </c>
      <c r="G855" s="11" t="inlineStr">
        <is>
          <t xml:space="preserve"> Supershape e-Speed</t>
        </is>
      </c>
      <c r="H855" s="13" t="n">
        <v>177</v>
      </c>
      <c r="I855" s="11" t="inlineStr">
        <is>
          <t xml:space="preserve"> Unisex</t>
        </is>
      </c>
      <c r="J855" s="13" t="n">
        <v>177</v>
      </c>
      <c r="K855" s="13" t="n">
        <v>176.2</v>
      </c>
      <c r="L855" s="13" t="n">
        <v>158</v>
      </c>
      <c r="M855" s="13" t="n">
        <v>165</v>
      </c>
      <c r="N855" s="13" t="n">
        <v>121</v>
      </c>
      <c r="O855" s="13" t="n">
        <v>67</v>
      </c>
      <c r="P855" s="13" t="n">
        <v>102</v>
      </c>
      <c r="Q855" s="13" t="n">
        <v>15.5</v>
      </c>
      <c r="R855" s="13" t="n">
        <v>2207</v>
      </c>
      <c r="S855" s="13" t="n">
        <v>0.66</v>
      </c>
      <c r="T855" s="13" t="n">
        <v>1461</v>
      </c>
      <c r="U855" s="13" t="n">
        <v>234</v>
      </c>
      <c r="V855" s="13" t="n">
        <v>107</v>
      </c>
      <c r="W855" s="13" t="n">
        <v>37</v>
      </c>
      <c r="X855" s="13" t="n">
        <v>137</v>
      </c>
      <c r="Y855" s="13" t="n">
        <v>3</v>
      </c>
      <c r="Z855" s="13" t="n">
        <v>45</v>
      </c>
      <c r="AA855" s="13" t="n">
        <v>0.092</v>
      </c>
      <c r="AB855" s="13" t="n">
        <v>61</v>
      </c>
      <c r="AC855" s="13" t="n">
        <v>52</v>
      </c>
      <c r="AD855" s="13" t="n">
        <v>76</v>
      </c>
      <c r="AE855" s="13" t="n">
        <v>10</v>
      </c>
      <c r="AF855" s="13" t="n">
        <v>12.8</v>
      </c>
      <c r="AG855" s="11" t="inlineStr">
        <is>
          <t xml:space="preserve"> On-Piste Carving</t>
        </is>
      </c>
      <c r="AH855" s="13" t="n"/>
      <c r="AI855" s="13" t="n"/>
      <c r="AJ855" s="13" t="n"/>
      <c r="AK855" s="42" t="n"/>
    </row>
    <row r="856">
      <c r="E856" s="40" t="inlineStr">
        <is>
          <t>21/22</t>
        </is>
      </c>
      <c r="F856" s="10" t="inlineStr">
        <is>
          <t xml:space="preserve"> Head</t>
        </is>
      </c>
      <c r="G856" s="11" t="inlineStr">
        <is>
          <t xml:space="preserve"> Supershape e-Titan</t>
        </is>
      </c>
      <c r="H856" s="13" t="n">
        <v>177</v>
      </c>
      <c r="I856" s="11" t="inlineStr">
        <is>
          <t xml:space="preserve"> Unisex</t>
        </is>
      </c>
      <c r="J856" s="13" t="n">
        <v>177</v>
      </c>
      <c r="K856" s="13" t="n">
        <v>175.7</v>
      </c>
      <c r="L856" s="13" t="n">
        <v>153</v>
      </c>
      <c r="M856" s="13" t="n">
        <v>164</v>
      </c>
      <c r="N856" s="13" t="n">
        <v>132</v>
      </c>
      <c r="O856" s="13" t="n">
        <v>83</v>
      </c>
      <c r="P856" s="13" t="n">
        <v>114</v>
      </c>
      <c r="Q856" s="13" t="n">
        <v>17.1</v>
      </c>
      <c r="R856" s="13" t="n">
        <v>2234</v>
      </c>
      <c r="S856" s="13" t="n">
        <v>0.76</v>
      </c>
      <c r="T856" s="13" t="n">
        <v>1701</v>
      </c>
      <c r="U856" s="13" t="n">
        <v>256</v>
      </c>
      <c r="V856" s="13" t="n">
        <v>125</v>
      </c>
      <c r="W856" s="13" t="n">
        <v>47</v>
      </c>
      <c r="X856" s="13" t="n">
        <v>165</v>
      </c>
      <c r="Y856" s="13" t="n">
        <v>8</v>
      </c>
      <c r="Z856" s="13" t="n">
        <v>65</v>
      </c>
      <c r="AA856" s="13" t="n">
        <v>0.166</v>
      </c>
      <c r="AB856" s="13" t="n">
        <v>69</v>
      </c>
      <c r="AC856" s="13" t="n">
        <v>48</v>
      </c>
      <c r="AD856" s="13" t="n">
        <v>96</v>
      </c>
      <c r="AE856" s="13" t="n">
        <v>10</v>
      </c>
      <c r="AF856" s="13" t="n">
        <v>13</v>
      </c>
      <c r="AG856" s="11" t="inlineStr">
        <is>
          <t xml:space="preserve"> On-Piste Carving</t>
        </is>
      </c>
      <c r="AH856" s="11" t="inlineStr">
        <is>
          <t xml:space="preserve"> Resort Freeride</t>
        </is>
      </c>
      <c r="AI856" s="13" t="n"/>
      <c r="AJ856" s="13" t="n"/>
      <c r="AK856" s="42" t="n"/>
    </row>
    <row r="857">
      <c r="E857" s="40" t="inlineStr">
        <is>
          <t>21/22</t>
        </is>
      </c>
      <c r="F857" s="10" t="inlineStr">
        <is>
          <t xml:space="preserve"> Head</t>
        </is>
      </c>
      <c r="G857" s="11" t="inlineStr">
        <is>
          <t xml:space="preserve"> Total Joy</t>
        </is>
      </c>
      <c r="H857" s="13" t="n">
        <v>153</v>
      </c>
      <c r="I857" s="11" t="inlineStr">
        <is>
          <t xml:space="preserve"> Women's</t>
        </is>
      </c>
      <c r="J857" s="13" t="n">
        <v>153</v>
      </c>
      <c r="K857" s="13" t="n">
        <v>153.1</v>
      </c>
      <c r="L857" s="13" t="n">
        <v>129</v>
      </c>
      <c r="M857" s="13" t="n">
        <v>135</v>
      </c>
      <c r="N857" s="13" t="n">
        <v>132</v>
      </c>
      <c r="O857" s="13" t="n">
        <v>84</v>
      </c>
      <c r="P857" s="13" t="n">
        <v>111</v>
      </c>
      <c r="Q857" s="13" t="n">
        <v>12.1</v>
      </c>
      <c r="R857" s="13" t="n">
        <v>1377</v>
      </c>
      <c r="S857" s="13" t="n">
        <v>1.09</v>
      </c>
      <c r="T857" s="13" t="n">
        <v>1506</v>
      </c>
      <c r="U857" s="13" t="n">
        <v>137</v>
      </c>
      <c r="V857" s="13" t="n">
        <v>47</v>
      </c>
      <c r="W857" s="13" t="n">
        <v>44</v>
      </c>
      <c r="X857" s="13" t="n">
        <v>161</v>
      </c>
      <c r="Y857" s="13" t="n">
        <v>13</v>
      </c>
      <c r="Z857" s="13" t="n">
        <v>77</v>
      </c>
      <c r="AA857" s="13" t="n">
        <v>0.303</v>
      </c>
      <c r="AB857" s="13" t="n">
        <v>109</v>
      </c>
      <c r="AC857" s="13" t="n">
        <v>69</v>
      </c>
      <c r="AD857" s="13" t="n">
        <v>52</v>
      </c>
      <c r="AE857" s="13" t="n">
        <v>14</v>
      </c>
      <c r="AF857" s="13" t="n">
        <v>10.1</v>
      </c>
      <c r="AG857" s="11" t="inlineStr">
        <is>
          <t xml:space="preserve"> On-Piste All-Mountain</t>
        </is>
      </c>
      <c r="AH857" s="11" t="inlineStr">
        <is>
          <t xml:space="preserve"> Resort Freeride</t>
        </is>
      </c>
      <c r="AI857" s="11" t="inlineStr">
        <is>
          <t xml:space="preserve"> Touring</t>
        </is>
      </c>
      <c r="AJ857" s="13" t="n"/>
      <c r="AK857" s="42" t="n"/>
    </row>
    <row r="858">
      <c r="E858" s="40" t="inlineStr">
        <is>
          <t>21/22</t>
        </is>
      </c>
      <c r="F858" s="10" t="inlineStr">
        <is>
          <t xml:space="preserve"> Head</t>
        </is>
      </c>
      <c r="G858" s="11" t="inlineStr">
        <is>
          <t xml:space="preserve"> Total Joy</t>
        </is>
      </c>
      <c r="H858" s="13" t="n">
        <v>158</v>
      </c>
      <c r="I858" s="11" t="inlineStr">
        <is>
          <t xml:space="preserve"> Women's</t>
        </is>
      </c>
      <c r="J858" s="13" t="n">
        <v>158</v>
      </c>
      <c r="K858" s="13" t="n">
        <v>157.6</v>
      </c>
      <c r="L858" s="13" t="n">
        <v>132</v>
      </c>
      <c r="M858" s="13" t="n">
        <v>140</v>
      </c>
      <c r="N858" s="13" t="n">
        <v>132</v>
      </c>
      <c r="O858" s="13" t="n">
        <v>84</v>
      </c>
      <c r="P858" s="13" t="n">
        <v>111</v>
      </c>
      <c r="Q858" s="13" t="n">
        <v>12.9</v>
      </c>
      <c r="R858" s="13" t="n">
        <v>1435</v>
      </c>
      <c r="S858" s="13" t="n">
        <v>1.08</v>
      </c>
      <c r="T858" s="13" t="n">
        <v>1549</v>
      </c>
      <c r="U858" s="13" t="n">
        <v>168</v>
      </c>
      <c r="V858" s="13" t="n">
        <v>59</v>
      </c>
      <c r="W858" s="13" t="n">
        <v>44</v>
      </c>
      <c r="X858" s="13" t="n">
        <v>185</v>
      </c>
      <c r="Y858" s="13" t="n">
        <v>12</v>
      </c>
      <c r="Z858" s="13" t="n">
        <v>72</v>
      </c>
      <c r="AA858" s="13" t="n">
        <v>0.266</v>
      </c>
      <c r="AB858" s="13" t="n">
        <v>111</v>
      </c>
      <c r="AC858" s="13" t="n">
        <v>66</v>
      </c>
      <c r="AD858" s="13" t="n">
        <v>74</v>
      </c>
      <c r="AE858" s="13" t="n">
        <v>10</v>
      </c>
      <c r="AF858" s="13" t="n">
        <v>10.1</v>
      </c>
      <c r="AG858" s="11" t="inlineStr">
        <is>
          <t xml:space="preserve"> On-Piste All-Mountain</t>
        </is>
      </c>
      <c r="AH858" s="11" t="inlineStr">
        <is>
          <t xml:space="preserve"> Resort Freeride</t>
        </is>
      </c>
      <c r="AI858" s="11" t="inlineStr">
        <is>
          <t xml:space="preserve"> Touring</t>
        </is>
      </c>
      <c r="AJ858" s="13" t="n"/>
      <c r="AK858" s="42" t="n"/>
    </row>
    <row r="859">
      <c r="E859" s="40" t="inlineStr">
        <is>
          <t>21/22</t>
        </is>
      </c>
      <c r="F859" s="10" t="inlineStr">
        <is>
          <t xml:space="preserve"> Head</t>
        </is>
      </c>
      <c r="G859" s="11" t="inlineStr">
        <is>
          <t>V-Shape V10</t>
        </is>
      </c>
      <c r="H859" s="13" t="n">
        <v>163</v>
      </c>
      <c r="I859" s="11" t="inlineStr">
        <is>
          <t xml:space="preserve"> Unisex</t>
        </is>
      </c>
      <c r="J859" s="13" t="n">
        <v>163</v>
      </c>
      <c r="K859" s="13" t="n">
        <v>162.4</v>
      </c>
      <c r="L859" s="13" t="n">
        <v>140</v>
      </c>
      <c r="M859" s="13" t="n">
        <v>148</v>
      </c>
      <c r="N859" s="13" t="n">
        <v>138</v>
      </c>
      <c r="O859" s="13" t="n">
        <v>84</v>
      </c>
      <c r="P859" s="13" t="n">
        <v>120</v>
      </c>
      <c r="Q859" s="13" t="n">
        <v>12.3</v>
      </c>
      <c r="R859" s="13" t="n">
        <v>1729</v>
      </c>
      <c r="S859" s="13" t="n">
        <v>0.9399999999999999</v>
      </c>
      <c r="T859" s="13" t="n">
        <v>1630</v>
      </c>
      <c r="U859" s="13" t="n">
        <v>207</v>
      </c>
      <c r="V859" s="13" t="n">
        <v>53</v>
      </c>
      <c r="W859" s="13" t="n">
        <v>42</v>
      </c>
      <c r="X859" s="13" t="n">
        <v>156</v>
      </c>
      <c r="Y859" s="13" t="n">
        <v>9</v>
      </c>
      <c r="Z859" s="13" t="n">
        <v>64</v>
      </c>
      <c r="AA859" s="13" t="n">
        <v>0.22</v>
      </c>
      <c r="AB859" s="13" t="n">
        <v>87</v>
      </c>
      <c r="AC859" s="13" t="n">
        <v>54</v>
      </c>
      <c r="AD859" s="13" t="n">
        <v>69</v>
      </c>
      <c r="AE859" s="13" t="n">
        <v>10</v>
      </c>
      <c r="AF859" s="13" t="n">
        <v>12.1</v>
      </c>
      <c r="AG859" s="11" t="inlineStr">
        <is>
          <t xml:space="preserve"> On-Piste Carving</t>
        </is>
      </c>
      <c r="AH859" s="11" t="inlineStr">
        <is>
          <t xml:space="preserve"> Resort Freeride</t>
        </is>
      </c>
      <c r="AI859" s="13" t="n"/>
      <c r="AJ859" s="13" t="n"/>
      <c r="AK859" s="42" t="n"/>
    </row>
    <row r="860">
      <c r="E860" s="40" t="inlineStr">
        <is>
          <t>21/22</t>
        </is>
      </c>
      <c r="F860" s="10" t="inlineStr">
        <is>
          <t xml:space="preserve"> Head</t>
        </is>
      </c>
      <c r="G860" s="11" t="inlineStr">
        <is>
          <t>V-Shape V10</t>
        </is>
      </c>
      <c r="H860" s="13" t="n">
        <v>170</v>
      </c>
      <c r="I860" s="11" t="inlineStr">
        <is>
          <t xml:space="preserve"> Unisex</t>
        </is>
      </c>
      <c r="J860" s="13" t="n">
        <v>170</v>
      </c>
      <c r="K860" s="13" t="n">
        <v>169.1</v>
      </c>
      <c r="L860" s="13" t="n">
        <v>147</v>
      </c>
      <c r="M860" s="13" t="n">
        <v>155</v>
      </c>
      <c r="N860" s="13" t="n">
        <v>138</v>
      </c>
      <c r="O860" s="13" t="n">
        <v>84</v>
      </c>
      <c r="P860" s="13" t="n">
        <v>120</v>
      </c>
      <c r="Q860" s="13" t="n">
        <v>13.6</v>
      </c>
      <c r="R860" s="13" t="n">
        <v>1782</v>
      </c>
      <c r="S860" s="13" t="n">
        <v>0.95</v>
      </c>
      <c r="T860" s="13" t="n">
        <v>1695</v>
      </c>
      <c r="U860" s="13" t="n">
        <v>208</v>
      </c>
      <c r="V860" s="13" t="n">
        <v>56</v>
      </c>
      <c r="W860" s="13" t="n">
        <v>44</v>
      </c>
      <c r="X860" s="13" t="n">
        <v>160</v>
      </c>
      <c r="Y860" s="13" t="n">
        <v>8</v>
      </c>
      <c r="Z860" s="13" t="n">
        <v>59</v>
      </c>
      <c r="AA860" s="13" t="n">
        <v>0.188</v>
      </c>
      <c r="AB860" s="13" t="n">
        <v>85</v>
      </c>
      <c r="AC860" s="13" t="n">
        <v>55</v>
      </c>
      <c r="AD860" s="13" t="n">
        <v>76</v>
      </c>
      <c r="AE860" s="13" t="n">
        <v>11</v>
      </c>
      <c r="AF860" s="13" t="n">
        <v>13.1</v>
      </c>
      <c r="AG860" s="11" t="inlineStr">
        <is>
          <t xml:space="preserve"> On-Piste Carving</t>
        </is>
      </c>
      <c r="AH860" s="11" t="inlineStr">
        <is>
          <t xml:space="preserve"> Resort Freeride</t>
        </is>
      </c>
      <c r="AI860" s="13" t="n"/>
      <c r="AJ860" s="13" t="n"/>
      <c r="AK860" s="42" t="n"/>
    </row>
    <row r="861">
      <c r="E861" s="40" t="inlineStr">
        <is>
          <t>21/22</t>
        </is>
      </c>
      <c r="F861" s="10" t="inlineStr">
        <is>
          <t xml:space="preserve"> Head</t>
        </is>
      </c>
      <c r="G861" s="11" t="inlineStr">
        <is>
          <t>V-Shape V10</t>
        </is>
      </c>
      <c r="H861" s="13" t="n">
        <v>177</v>
      </c>
      <c r="I861" s="11" t="inlineStr">
        <is>
          <t xml:space="preserve"> Unisex</t>
        </is>
      </c>
      <c r="J861" s="13" t="n">
        <v>177</v>
      </c>
      <c r="K861" s="13" t="n">
        <v>176.4</v>
      </c>
      <c r="L861" s="13" t="n">
        <v>155</v>
      </c>
      <c r="M861" s="13" t="n">
        <v>162</v>
      </c>
      <c r="N861" s="13" t="n">
        <v>138</v>
      </c>
      <c r="O861" s="13" t="n">
        <v>84</v>
      </c>
      <c r="P861" s="13" t="n">
        <v>120</v>
      </c>
      <c r="Q861" s="13" t="n">
        <v>14.8</v>
      </c>
      <c r="R861" s="13" t="n">
        <v>1881</v>
      </c>
      <c r="S861" s="13" t="n">
        <v>0.9399999999999999</v>
      </c>
      <c r="T861" s="13" t="n">
        <v>1768</v>
      </c>
      <c r="U861" s="13" t="n">
        <v>227</v>
      </c>
      <c r="V861" s="13" t="n">
        <v>66</v>
      </c>
      <c r="W861" s="13" t="n">
        <v>39</v>
      </c>
      <c r="X861" s="13" t="n">
        <v>147</v>
      </c>
      <c r="Y861" s="13" t="n">
        <v>9</v>
      </c>
      <c r="Z861" s="13" t="n">
        <v>68</v>
      </c>
      <c r="AA861" s="13" t="n">
        <v>0.227</v>
      </c>
      <c r="AB861" s="13" t="n">
        <v>85</v>
      </c>
      <c r="AC861" s="13" t="n">
        <v>58</v>
      </c>
      <c r="AD861" s="13" t="n">
        <v>61</v>
      </c>
      <c r="AE861" s="13" t="n">
        <v>12</v>
      </c>
      <c r="AF861" s="13" t="n">
        <v>13.2</v>
      </c>
      <c r="AG861" s="11" t="inlineStr">
        <is>
          <t xml:space="preserve"> On-Piste Carving</t>
        </is>
      </c>
      <c r="AH861" s="11" t="inlineStr">
        <is>
          <t xml:space="preserve"> Resort Freeride</t>
        </is>
      </c>
      <c r="AI861" s="13" t="n"/>
      <c r="AJ861" s="13" t="n"/>
      <c r="AK861" s="42" t="n"/>
    </row>
    <row r="862">
      <c r="E862" s="40" t="inlineStr">
        <is>
          <t>21/22</t>
        </is>
      </c>
      <c r="F862" s="10" t="inlineStr">
        <is>
          <t xml:space="preserve"> Head</t>
        </is>
      </c>
      <c r="G862" s="11" t="inlineStr">
        <is>
          <t>V-Shape V4</t>
        </is>
      </c>
      <c r="H862" s="13" t="n">
        <v>156</v>
      </c>
      <c r="I862" s="11" t="inlineStr">
        <is>
          <t xml:space="preserve"> Unisex</t>
        </is>
      </c>
      <c r="J862" s="13" t="n">
        <v>156</v>
      </c>
      <c r="K862" s="13" t="n">
        <v>155.2</v>
      </c>
      <c r="L862" s="13" t="n">
        <v>136</v>
      </c>
      <c r="M862" s="13" t="n">
        <v>142</v>
      </c>
      <c r="N862" s="13" t="n">
        <v>131</v>
      </c>
      <c r="O862" s="13" t="n">
        <v>72</v>
      </c>
      <c r="P862" s="13" t="n">
        <v>111</v>
      </c>
      <c r="Q862" s="13" t="n">
        <v>10.3</v>
      </c>
      <c r="R862" s="13" t="n">
        <v>1682</v>
      </c>
      <c r="S862" s="13" t="n">
        <v>0.84</v>
      </c>
      <c r="T862" s="13" t="n">
        <v>1410</v>
      </c>
      <c r="U862" s="13" t="n">
        <v>135</v>
      </c>
      <c r="V862" s="13" t="n">
        <v>69</v>
      </c>
      <c r="W862" s="13" t="n">
        <v>33</v>
      </c>
      <c r="X862" s="13" t="n">
        <v>138</v>
      </c>
      <c r="Y862" s="13" t="n">
        <v>6</v>
      </c>
      <c r="Z862" s="13" t="n">
        <v>54</v>
      </c>
      <c r="AA862" s="13" t="n">
        <v>0.173</v>
      </c>
      <c r="AB862" s="13" t="n">
        <v>83</v>
      </c>
      <c r="AC862" s="13" t="n">
        <v>45</v>
      </c>
      <c r="AD862" s="13" t="n">
        <v>55</v>
      </c>
      <c r="AE862" s="13" t="n">
        <v>13</v>
      </c>
      <c r="AF862" s="13" t="n">
        <v>12.2</v>
      </c>
      <c r="AG862" s="11" t="inlineStr">
        <is>
          <t xml:space="preserve"> On-Piste Carving</t>
        </is>
      </c>
      <c r="AH862" s="13" t="n"/>
      <c r="AI862" s="13" t="n"/>
      <c r="AJ862" s="13" t="n"/>
      <c r="AK862" s="42" t="n"/>
    </row>
    <row r="863">
      <c r="E863" s="40" t="inlineStr">
        <is>
          <t>21/22</t>
        </is>
      </c>
      <c r="F863" s="10" t="inlineStr">
        <is>
          <t xml:space="preserve"> Head</t>
        </is>
      </c>
      <c r="G863" s="11" t="inlineStr">
        <is>
          <t>V-Shape V4</t>
        </is>
      </c>
      <c r="H863" s="13" t="n">
        <v>163</v>
      </c>
      <c r="I863" s="11" t="inlineStr">
        <is>
          <t xml:space="preserve"> Unisex</t>
        </is>
      </c>
      <c r="J863" s="13" t="n">
        <v>163</v>
      </c>
      <c r="K863" s="13" t="n">
        <v>162.6</v>
      </c>
      <c r="L863" s="13" t="n">
        <v>143</v>
      </c>
      <c r="M863" s="13" t="n">
        <v>150</v>
      </c>
      <c r="N863" s="13" t="n">
        <v>130</v>
      </c>
      <c r="O863" s="13" t="n">
        <v>72</v>
      </c>
      <c r="P863" s="13" t="n">
        <v>111</v>
      </c>
      <c r="Q863" s="13" t="n">
        <v>11.4</v>
      </c>
      <c r="R863" s="13" t="n">
        <v>1796</v>
      </c>
      <c r="S863" s="13" t="n">
        <v>0.82</v>
      </c>
      <c r="T863" s="13" t="n">
        <v>1468</v>
      </c>
      <c r="U863" s="13" t="n">
        <v>158</v>
      </c>
      <c r="V863" s="13" t="n">
        <v>78</v>
      </c>
      <c r="W863" s="13" t="n">
        <v>33</v>
      </c>
      <c r="X863" s="13" t="n">
        <v>138</v>
      </c>
      <c r="Y863" s="13" t="n">
        <v>7</v>
      </c>
      <c r="Z863" s="13" t="n">
        <v>57</v>
      </c>
      <c r="AA863" s="13" t="n">
        <v>0.214</v>
      </c>
      <c r="AB863" s="13" t="n">
        <v>83</v>
      </c>
      <c r="AC863" s="13" t="n">
        <v>48</v>
      </c>
      <c r="AD863" s="13" t="n">
        <v>55</v>
      </c>
      <c r="AE863" s="13" t="n">
        <v>12</v>
      </c>
      <c r="AF863" s="13" t="n">
        <v>12.8</v>
      </c>
      <c r="AG863" s="11" t="inlineStr">
        <is>
          <t xml:space="preserve"> On-Piste Carving</t>
        </is>
      </c>
      <c r="AH863" s="13" t="n"/>
      <c r="AI863" s="13" t="n"/>
      <c r="AJ863" s="13" t="n"/>
      <c r="AK863" s="42" t="n"/>
    </row>
    <row r="864">
      <c r="E864" s="40" t="inlineStr">
        <is>
          <t>21/22</t>
        </is>
      </c>
      <c r="F864" s="10" t="inlineStr">
        <is>
          <t xml:space="preserve"> Head</t>
        </is>
      </c>
      <c r="G864" s="11" t="inlineStr">
        <is>
          <t>V-Shape V4</t>
        </is>
      </c>
      <c r="H864" s="13" t="n">
        <v>170</v>
      </c>
      <c r="I864" s="11" t="inlineStr">
        <is>
          <t xml:space="preserve"> Unisex</t>
        </is>
      </c>
      <c r="J864" s="13" t="n">
        <v>170</v>
      </c>
      <c r="K864" s="13" t="n">
        <v>169.4</v>
      </c>
      <c r="L864" s="13" t="n">
        <v>150</v>
      </c>
      <c r="M864" s="13" t="n">
        <v>157</v>
      </c>
      <c r="N864" s="13" t="n">
        <v>130</v>
      </c>
      <c r="O864" s="13" t="n">
        <v>72</v>
      </c>
      <c r="P864" s="13" t="n">
        <v>111</v>
      </c>
      <c r="Q864" s="13" t="n">
        <v>12.5</v>
      </c>
      <c r="R864" s="13" t="n">
        <v>1868</v>
      </c>
      <c r="S864" s="13" t="n">
        <v>0.8100000000000001</v>
      </c>
      <c r="T864" s="13" t="n">
        <v>1522</v>
      </c>
      <c r="U864" s="13" t="n">
        <v>175</v>
      </c>
      <c r="V864" s="13" t="n">
        <v>88</v>
      </c>
      <c r="W864" s="13" t="n">
        <v>32</v>
      </c>
      <c r="X864" s="13" t="n">
        <v>136</v>
      </c>
      <c r="Y864" s="13" t="n">
        <v>6</v>
      </c>
      <c r="Z864" s="13" t="n">
        <v>58</v>
      </c>
      <c r="AA864" s="13" t="n">
        <v>0.186</v>
      </c>
      <c r="AB864" s="13" t="n">
        <v>76</v>
      </c>
      <c r="AC864" s="13" t="n">
        <v>49</v>
      </c>
      <c r="AD864" s="13" t="n">
        <v>60</v>
      </c>
      <c r="AE864" s="13" t="n">
        <v>13</v>
      </c>
      <c r="AF864" s="13" t="n">
        <v>13.4</v>
      </c>
      <c r="AG864" s="11" t="inlineStr">
        <is>
          <t xml:space="preserve"> On-Piste Carving</t>
        </is>
      </c>
      <c r="AH864" s="13" t="n"/>
      <c r="AI864" s="13" t="n"/>
      <c r="AJ864" s="13" t="n"/>
      <c r="AK864" s="42" t="n"/>
    </row>
    <row r="865">
      <c r="E865" s="40" t="inlineStr">
        <is>
          <t>21/22</t>
        </is>
      </c>
      <c r="F865" s="10" t="inlineStr">
        <is>
          <t xml:space="preserve"> Head</t>
        </is>
      </c>
      <c r="G865" s="11" t="inlineStr">
        <is>
          <t>V-Shape V4 XL</t>
        </is>
      </c>
      <c r="H865" s="13" t="n">
        <v>170</v>
      </c>
      <c r="I865" s="11" t="inlineStr">
        <is>
          <t xml:space="preserve"> Unisex</t>
        </is>
      </c>
      <c r="J865" s="13" t="n">
        <v>170</v>
      </c>
      <c r="K865" s="13" t="n">
        <v>169.4</v>
      </c>
      <c r="L865" s="13" t="n">
        <v>150</v>
      </c>
      <c r="M865" s="13" t="n">
        <v>156</v>
      </c>
      <c r="N865" s="13" t="n">
        <v>133</v>
      </c>
      <c r="O865" s="13" t="n">
        <v>82</v>
      </c>
      <c r="P865" s="13" t="n">
        <v>114</v>
      </c>
      <c r="Q865" s="13" t="n">
        <v>14.5</v>
      </c>
      <c r="R865" s="13" t="n">
        <v>2000</v>
      </c>
      <c r="S865" s="13" t="n">
        <v>0.82</v>
      </c>
      <c r="T865" s="13" t="n">
        <v>1647</v>
      </c>
      <c r="U865" s="13" t="n">
        <v>180</v>
      </c>
      <c r="V865" s="13" t="n">
        <v>91</v>
      </c>
      <c r="W865" s="13" t="n">
        <v>33</v>
      </c>
      <c r="X865" s="13" t="n">
        <v>138</v>
      </c>
      <c r="Y865" s="13" t="n">
        <v>7</v>
      </c>
      <c r="Z865" s="13" t="n">
        <v>58</v>
      </c>
      <c r="AA865" s="13" t="n">
        <v>0.21</v>
      </c>
      <c r="AB865" s="13" t="n">
        <v>83</v>
      </c>
      <c r="AC865" s="13" t="n">
        <v>55</v>
      </c>
      <c r="AD865" s="13" t="n">
        <v>55</v>
      </c>
      <c r="AE865" s="13" t="n">
        <v>14</v>
      </c>
      <c r="AF865" s="13" t="n">
        <v>13.4</v>
      </c>
      <c r="AG865" s="11" t="inlineStr">
        <is>
          <t xml:space="preserve"> On-Piste Carving</t>
        </is>
      </c>
      <c r="AH865" s="11" t="inlineStr">
        <is>
          <t xml:space="preserve"> Resort Freeride</t>
        </is>
      </c>
      <c r="AI865" s="13" t="n"/>
      <c r="AJ865" s="13" t="n"/>
      <c r="AK865" s="42" t="n"/>
    </row>
    <row r="866">
      <c r="E866" s="40" t="inlineStr">
        <is>
          <t>21/22</t>
        </is>
      </c>
      <c r="F866" s="10" t="inlineStr">
        <is>
          <t xml:space="preserve"> Head</t>
        </is>
      </c>
      <c r="G866" s="11" t="inlineStr">
        <is>
          <t>V-Shape V6</t>
        </is>
      </c>
      <c r="H866" s="13" t="n">
        <v>163</v>
      </c>
      <c r="I866" s="11" t="inlineStr">
        <is>
          <t xml:space="preserve"> Unisex</t>
        </is>
      </c>
      <c r="J866" s="13" t="n">
        <v>163</v>
      </c>
      <c r="K866" s="13" t="n">
        <v>162.4</v>
      </c>
      <c r="L866" s="13" t="n">
        <v>143</v>
      </c>
      <c r="M866" s="13" t="n">
        <v>149</v>
      </c>
      <c r="N866" s="13" t="n">
        <v>131</v>
      </c>
      <c r="O866" s="13" t="n">
        <v>77</v>
      </c>
      <c r="P866" s="13" t="n">
        <v>111</v>
      </c>
      <c r="Q866" s="13" t="n">
        <v>12.4</v>
      </c>
      <c r="R866" s="13" t="n">
        <v>1882</v>
      </c>
      <c r="S866" s="13" t="n">
        <v>0.8</v>
      </c>
      <c r="T866" s="13" t="n">
        <v>1514</v>
      </c>
      <c r="U866" s="13" t="n">
        <v>169</v>
      </c>
      <c r="V866" s="13" t="n">
        <v>80</v>
      </c>
      <c r="W866" s="13" t="n">
        <v>34</v>
      </c>
      <c r="X866" s="13" t="n">
        <v>138</v>
      </c>
      <c r="Y866" s="13" t="n">
        <v>7</v>
      </c>
      <c r="Z866" s="13" t="n">
        <v>59</v>
      </c>
      <c r="AA866" s="13" t="n">
        <v>0.209</v>
      </c>
      <c r="AB866" s="13" t="n">
        <v>86</v>
      </c>
      <c r="AC866" s="13" t="n">
        <v>51</v>
      </c>
      <c r="AD866" s="13" t="n">
        <v>52</v>
      </c>
      <c r="AE866" s="13" t="n">
        <v>14</v>
      </c>
      <c r="AF866" s="13" t="n">
        <v>12.5</v>
      </c>
      <c r="AG866" s="11" t="inlineStr">
        <is>
          <t xml:space="preserve"> On-Piste Carving</t>
        </is>
      </c>
      <c r="AH866" s="13" t="n"/>
      <c r="AI866" s="13" t="n"/>
      <c r="AJ866" s="13" t="n"/>
      <c r="AK866" s="42" t="n"/>
    </row>
    <row r="867">
      <c r="E867" s="40" t="inlineStr">
        <is>
          <t>21/22</t>
        </is>
      </c>
      <c r="F867" s="10" t="inlineStr">
        <is>
          <t xml:space="preserve"> Head</t>
        </is>
      </c>
      <c r="G867" s="11" t="inlineStr">
        <is>
          <t>V-Shape V6</t>
        </is>
      </c>
      <c r="H867" s="13" t="n">
        <v>177</v>
      </c>
      <c r="I867" s="11" t="inlineStr">
        <is>
          <t xml:space="preserve"> Unisex</t>
        </is>
      </c>
      <c r="J867" s="13" t="n">
        <v>177</v>
      </c>
      <c r="K867" s="13" t="n">
        <v>176.4</v>
      </c>
      <c r="L867" s="13" t="n">
        <v>157</v>
      </c>
      <c r="M867" s="13" t="n">
        <v>164</v>
      </c>
      <c r="N867" s="13" t="n">
        <v>130</v>
      </c>
      <c r="O867" s="13" t="n">
        <v>76</v>
      </c>
      <c r="P867" s="13" t="n">
        <v>112</v>
      </c>
      <c r="Q867" s="13" t="n">
        <v>15</v>
      </c>
      <c r="R867" s="13" t="n">
        <v>2144</v>
      </c>
      <c r="S867" s="13" t="n">
        <v>0.76</v>
      </c>
      <c r="T867" s="13" t="n">
        <v>1628</v>
      </c>
      <c r="U867" s="13" t="n">
        <v>208</v>
      </c>
      <c r="V867" s="13" t="n">
        <v>114</v>
      </c>
      <c r="W867" s="13" t="n">
        <v>33</v>
      </c>
      <c r="X867" s="13" t="n">
        <v>134</v>
      </c>
      <c r="Y867" s="13" t="n">
        <v>6</v>
      </c>
      <c r="Z867" s="13" t="n">
        <v>56</v>
      </c>
      <c r="AA867" s="13" t="n">
        <v>0.188</v>
      </c>
      <c r="AB867" s="13" t="n">
        <v>76</v>
      </c>
      <c r="AC867" s="13" t="n">
        <v>51</v>
      </c>
      <c r="AD867" s="13" t="n">
        <v>58</v>
      </c>
      <c r="AE867" s="13" t="n">
        <v>18</v>
      </c>
      <c r="AF867" s="13" t="n">
        <v>13.2</v>
      </c>
      <c r="AG867" s="11" t="inlineStr">
        <is>
          <t xml:space="preserve"> On-Piste Carving</t>
        </is>
      </c>
      <c r="AH867" s="13" t="n"/>
      <c r="AI867" s="13" t="n"/>
      <c r="AJ867" s="13" t="n"/>
      <c r="AK867" s="42" t="n"/>
    </row>
    <row r="868">
      <c r="E868" s="40" t="inlineStr">
        <is>
          <t>21/22</t>
        </is>
      </c>
      <c r="F868" s="10" t="inlineStr">
        <is>
          <t xml:space="preserve"> Head</t>
        </is>
      </c>
      <c r="G868" s="11" t="inlineStr">
        <is>
          <t>V-Shape V8</t>
        </is>
      </c>
      <c r="H868" s="13" t="n">
        <v>156</v>
      </c>
      <c r="I868" s="11" t="inlineStr">
        <is>
          <t xml:space="preserve"> Unisex</t>
        </is>
      </c>
      <c r="J868" s="13" t="n">
        <v>156</v>
      </c>
      <c r="K868" s="13" t="n">
        <v>155.6</v>
      </c>
      <c r="L868" s="13" t="n">
        <v>132</v>
      </c>
      <c r="M868" s="13" t="n">
        <v>142</v>
      </c>
      <c r="N868" s="13" t="n">
        <v>128</v>
      </c>
      <c r="O868" s="13" t="n">
        <v>74</v>
      </c>
      <c r="P868" s="13" t="n">
        <v>110</v>
      </c>
      <c r="Q868" s="13" t="n">
        <v>11.1</v>
      </c>
      <c r="R868" s="13" t="n">
        <v>1527</v>
      </c>
      <c r="S868" s="13" t="n">
        <v>0.93</v>
      </c>
      <c r="T868" s="13" t="n">
        <v>1414</v>
      </c>
      <c r="U868" s="13" t="n">
        <v>156</v>
      </c>
      <c r="V868" s="13" t="n">
        <v>39</v>
      </c>
      <c r="W868" s="13" t="n">
        <v>41</v>
      </c>
      <c r="X868" s="13" t="n">
        <v>164</v>
      </c>
      <c r="Y868" s="13" t="n">
        <v>10</v>
      </c>
      <c r="Z868" s="13" t="n">
        <v>68</v>
      </c>
      <c r="AA868" s="13" t="n">
        <v>0.234</v>
      </c>
      <c r="AB868" s="13" t="n">
        <v>85</v>
      </c>
      <c r="AC868" s="13" t="n">
        <v>55</v>
      </c>
      <c r="AD868" s="13" t="n">
        <v>79</v>
      </c>
      <c r="AE868" s="13" t="n">
        <v>6</v>
      </c>
      <c r="AF868" s="13" t="n">
        <v>11.6</v>
      </c>
      <c r="AG868" s="11" t="inlineStr">
        <is>
          <t xml:space="preserve"> On-Piste Carving</t>
        </is>
      </c>
      <c r="AH868" s="13" t="n"/>
      <c r="AI868" s="13" t="n"/>
      <c r="AJ868" s="13" t="n"/>
      <c r="AK868" s="42" t="n"/>
    </row>
    <row r="869">
      <c r="E869" s="40" t="inlineStr">
        <is>
          <t>21/22</t>
        </is>
      </c>
      <c r="F869" s="10" t="inlineStr">
        <is>
          <t xml:space="preserve"> Head</t>
        </is>
      </c>
      <c r="G869" s="11" t="inlineStr">
        <is>
          <t>V-Shape V8</t>
        </is>
      </c>
      <c r="H869" s="13" t="n">
        <v>163</v>
      </c>
      <c r="I869" s="11" t="inlineStr">
        <is>
          <t xml:space="preserve"> Unisex</t>
        </is>
      </c>
      <c r="J869" s="13" t="n">
        <v>163</v>
      </c>
      <c r="K869" s="13" t="n">
        <v>162.5</v>
      </c>
      <c r="L869" s="13" t="n">
        <v>142</v>
      </c>
      <c r="M869" s="13" t="n">
        <v>149</v>
      </c>
      <c r="N869" s="13" t="n">
        <v>129</v>
      </c>
      <c r="O869" s="13" t="n">
        <v>74</v>
      </c>
      <c r="P869" s="13" t="n">
        <v>110</v>
      </c>
      <c r="Q869" s="13" t="n">
        <v>12.1</v>
      </c>
      <c r="R869" s="13" t="n">
        <v>1587</v>
      </c>
      <c r="S869" s="13" t="n">
        <v>0.93</v>
      </c>
      <c r="T869" s="13" t="n">
        <v>1476</v>
      </c>
      <c r="U869" s="13" t="n">
        <v>175</v>
      </c>
      <c r="V869" s="13" t="n">
        <v>44</v>
      </c>
      <c r="W869" s="13" t="n">
        <v>37</v>
      </c>
      <c r="X869" s="13" t="n">
        <v>140</v>
      </c>
      <c r="Y869" s="13" t="n">
        <v>9</v>
      </c>
      <c r="Z869" s="13" t="n">
        <v>62</v>
      </c>
      <c r="AA869" s="13" t="n">
        <v>0.233</v>
      </c>
      <c r="AB869" s="13" t="n">
        <v>83</v>
      </c>
      <c r="AC869" s="13" t="n">
        <v>56</v>
      </c>
      <c r="AD869" s="13" t="n">
        <v>57</v>
      </c>
      <c r="AE869" s="13" t="n">
        <v>12</v>
      </c>
      <c r="AF869" s="13" t="n">
        <v>12.4</v>
      </c>
      <c r="AG869" s="11" t="inlineStr">
        <is>
          <t xml:space="preserve"> On-Piste Carving</t>
        </is>
      </c>
      <c r="AH869" s="13" t="n"/>
      <c r="AI869" s="13" t="n"/>
      <c r="AJ869" s="13" t="n"/>
      <c r="AK869" s="42" t="n"/>
    </row>
    <row r="870">
      <c r="E870" s="40" t="inlineStr">
        <is>
          <t>21/22</t>
        </is>
      </c>
      <c r="F870" s="10" t="inlineStr">
        <is>
          <t xml:space="preserve"> Head</t>
        </is>
      </c>
      <c r="G870" s="11" t="inlineStr">
        <is>
          <t>V-Shape V8</t>
        </is>
      </c>
      <c r="H870" s="13" t="n">
        <v>170</v>
      </c>
      <c r="I870" s="11" t="inlineStr">
        <is>
          <t xml:space="preserve"> Unisex</t>
        </is>
      </c>
      <c r="J870" s="13" t="n">
        <v>170</v>
      </c>
      <c r="K870" s="13" t="n">
        <v>169.4</v>
      </c>
      <c r="L870" s="13" t="n">
        <v>148</v>
      </c>
      <c r="M870" s="13" t="n">
        <v>155</v>
      </c>
      <c r="N870" s="13" t="n">
        <v>129</v>
      </c>
      <c r="O870" s="13" t="n">
        <v>74</v>
      </c>
      <c r="P870" s="13" t="n">
        <v>110</v>
      </c>
      <c r="Q870" s="13" t="n">
        <v>13.3</v>
      </c>
      <c r="R870" s="13" t="n">
        <v>1634</v>
      </c>
      <c r="S870" s="13" t="n">
        <v>0.9399999999999999</v>
      </c>
      <c r="T870" s="13" t="n">
        <v>1534</v>
      </c>
      <c r="U870" s="13" t="n">
        <v>201</v>
      </c>
      <c r="V870" s="13" t="n">
        <v>51</v>
      </c>
      <c r="W870" s="13" t="n">
        <v>38</v>
      </c>
      <c r="X870" s="13" t="n">
        <v>147</v>
      </c>
      <c r="Y870" s="13" t="n">
        <v>8</v>
      </c>
      <c r="Z870" s="13" t="n">
        <v>63</v>
      </c>
      <c r="AA870" s="13" t="n">
        <v>0.219</v>
      </c>
      <c r="AB870" s="13" t="n">
        <v>84</v>
      </c>
      <c r="AC870" s="13" t="n">
        <v>55</v>
      </c>
      <c r="AD870" s="13" t="n">
        <v>62</v>
      </c>
      <c r="AE870" s="13" t="n">
        <v>9</v>
      </c>
      <c r="AF870" s="13" t="n">
        <v>13.5</v>
      </c>
      <c r="AG870" s="11" t="inlineStr">
        <is>
          <t xml:space="preserve"> On-Piste Carving</t>
        </is>
      </c>
      <c r="AH870" s="13" t="n"/>
      <c r="AI870" s="13" t="n"/>
      <c r="AJ870" s="13" t="n"/>
      <c r="AK870" s="42" t="n"/>
    </row>
    <row r="871">
      <c r="E871" s="40" t="inlineStr">
        <is>
          <t>21/22</t>
        </is>
      </c>
      <c r="F871" s="10" t="inlineStr">
        <is>
          <t xml:space="preserve"> Head</t>
        </is>
      </c>
      <c r="G871" s="11" t="inlineStr">
        <is>
          <t xml:space="preserve"> Worldcup Rebels e-Race Pro</t>
        </is>
      </c>
      <c r="H871" s="13" t="n">
        <v>165</v>
      </c>
      <c r="I871" s="11" t="inlineStr">
        <is>
          <t xml:space="preserve"> Unisex</t>
        </is>
      </c>
      <c r="J871" s="13" t="n">
        <v>165</v>
      </c>
      <c r="K871" s="13" t="n">
        <v>164</v>
      </c>
      <c r="L871" s="13" t="n">
        <v>147</v>
      </c>
      <c r="M871" s="13" t="n">
        <v>154</v>
      </c>
      <c r="N871" s="13" t="n">
        <v>120</v>
      </c>
      <c r="O871" s="13" t="n">
        <v>67</v>
      </c>
      <c r="P871" s="13" t="n">
        <v>101</v>
      </c>
      <c r="Q871" s="13" t="n">
        <v>13.4</v>
      </c>
      <c r="R871" s="13" t="n">
        <v>2233</v>
      </c>
      <c r="S871" s="13" t="n">
        <v>0.61</v>
      </c>
      <c r="T871" s="13" t="n">
        <v>1354</v>
      </c>
      <c r="U871" s="13" t="n">
        <v>190</v>
      </c>
      <c r="V871" s="13" t="n">
        <v>96</v>
      </c>
      <c r="W871" s="13" t="n">
        <v>36</v>
      </c>
      <c r="X871" s="13" t="n">
        <v>134</v>
      </c>
      <c r="Y871" s="13" t="n">
        <v>3</v>
      </c>
      <c r="Z871" s="13" t="n">
        <v>41</v>
      </c>
      <c r="AA871" s="13" t="n">
        <v>0.073</v>
      </c>
      <c r="AB871" s="13" t="n">
        <v>59</v>
      </c>
      <c r="AC871" s="13" t="n">
        <v>39</v>
      </c>
      <c r="AD871" s="13" t="n">
        <v>75</v>
      </c>
      <c r="AE871" s="13" t="n">
        <v>13</v>
      </c>
      <c r="AF871" s="13" t="n">
        <v>11.1</v>
      </c>
      <c r="AG871" s="11" t="inlineStr">
        <is>
          <t xml:space="preserve"> On-Piste Carving</t>
        </is>
      </c>
      <c r="AH871" s="13" t="n"/>
      <c r="AI871" s="13" t="n"/>
      <c r="AJ871" s="13" t="n"/>
      <c r="AK871" s="42" t="n"/>
    </row>
    <row r="872">
      <c r="E872" s="40" t="inlineStr">
        <is>
          <t>21/22</t>
        </is>
      </c>
      <c r="F872" s="10" t="inlineStr">
        <is>
          <t xml:space="preserve"> Head</t>
        </is>
      </c>
      <c r="G872" s="11" t="inlineStr">
        <is>
          <t xml:space="preserve"> Worldcup Rebels e-Race Pro</t>
        </is>
      </c>
      <c r="H872" s="13" t="n">
        <v>170</v>
      </c>
      <c r="I872" s="11" t="inlineStr">
        <is>
          <t xml:space="preserve"> Unisex</t>
        </is>
      </c>
      <c r="J872" s="13" t="n">
        <v>170</v>
      </c>
      <c r="K872" s="13" t="n">
        <v>169.3</v>
      </c>
      <c r="L872" s="13" t="n">
        <v>151</v>
      </c>
      <c r="M872" s="13" t="n">
        <v>159</v>
      </c>
      <c r="N872" s="13" t="n">
        <v>120</v>
      </c>
      <c r="O872" s="13" t="n">
        <v>67</v>
      </c>
      <c r="P872" s="13" t="n">
        <v>101</v>
      </c>
      <c r="Q872" s="13" t="n">
        <v>14.5</v>
      </c>
      <c r="R872" s="13" t="n">
        <v>2312</v>
      </c>
      <c r="S872" s="13" t="n">
        <v>0.61</v>
      </c>
      <c r="T872" s="13" t="n">
        <v>1401</v>
      </c>
      <c r="U872" s="13" t="n">
        <v>215</v>
      </c>
      <c r="V872" s="13" t="n">
        <v>104</v>
      </c>
      <c r="W872" s="13" t="n">
        <v>37</v>
      </c>
      <c r="X872" s="13" t="n">
        <v>140</v>
      </c>
      <c r="Y872" s="13" t="n">
        <v>3</v>
      </c>
      <c r="Z872" s="13" t="n">
        <v>44</v>
      </c>
      <c r="AA872" s="13" t="n">
        <v>0.08</v>
      </c>
      <c r="AB872" s="13" t="n">
        <v>60</v>
      </c>
      <c r="AC872" s="13" t="n">
        <v>46</v>
      </c>
      <c r="AD872" s="13" t="n">
        <v>80</v>
      </c>
      <c r="AE872" s="13" t="n">
        <v>13</v>
      </c>
      <c r="AF872" s="13" t="n">
        <v>12.3</v>
      </c>
      <c r="AG872" s="11" t="inlineStr">
        <is>
          <t xml:space="preserve"> On-Piste Carving</t>
        </is>
      </c>
      <c r="AH872" s="13" t="n"/>
      <c r="AI872" s="13" t="n"/>
      <c r="AJ872" s="13" t="n"/>
      <c r="AK872" s="42" t="n"/>
    </row>
    <row r="873">
      <c r="E873" s="40" t="inlineStr">
        <is>
          <t>21/22</t>
        </is>
      </c>
      <c r="F873" s="10" t="inlineStr">
        <is>
          <t xml:space="preserve"> Head</t>
        </is>
      </c>
      <c r="G873" s="11" t="inlineStr">
        <is>
          <t xml:space="preserve"> Worldcup Rebels e-SL</t>
        </is>
      </c>
      <c r="H873" s="13" t="n">
        <v>160</v>
      </c>
      <c r="I873" s="11" t="inlineStr">
        <is>
          <t xml:space="preserve"> Unisex</t>
        </is>
      </c>
      <c r="J873" s="13" t="n">
        <v>160</v>
      </c>
      <c r="K873" s="13" t="n">
        <v>158.8</v>
      </c>
      <c r="L873" s="13" t="n">
        <v>140</v>
      </c>
      <c r="M873" s="13" t="n">
        <v>149</v>
      </c>
      <c r="N873" s="13" t="n">
        <v>122</v>
      </c>
      <c r="O873" s="13" t="n">
        <v>67</v>
      </c>
      <c r="P873" s="13" t="n">
        <v>107</v>
      </c>
      <c r="Q873" s="13" t="n">
        <v>11.5</v>
      </c>
      <c r="R873" s="13" t="n">
        <v>2253</v>
      </c>
      <c r="S873" s="13" t="n">
        <v>0.59</v>
      </c>
      <c r="T873" s="13" t="n">
        <v>1338</v>
      </c>
      <c r="U873" s="13" t="n">
        <v>205</v>
      </c>
      <c r="V873" s="13" t="n">
        <v>96</v>
      </c>
      <c r="W873" s="13" t="n">
        <v>42</v>
      </c>
      <c r="X873" s="13" t="n">
        <v>147</v>
      </c>
      <c r="Y873" s="13" t="n">
        <v>3</v>
      </c>
      <c r="Z873" s="13" t="n">
        <v>42</v>
      </c>
      <c r="AA873" s="13" t="n">
        <v>0.063</v>
      </c>
      <c r="AB873" s="13" t="n">
        <v>59</v>
      </c>
      <c r="AC873" s="13" t="n">
        <v>43</v>
      </c>
      <c r="AD873" s="13" t="n">
        <v>88</v>
      </c>
      <c r="AE873" s="13" t="n">
        <v>11</v>
      </c>
      <c r="AF873" s="13" t="n">
        <v>11.9</v>
      </c>
      <c r="AG873" s="11" t="inlineStr">
        <is>
          <t xml:space="preserve"> On-Piste Carving</t>
        </is>
      </c>
      <c r="AH873" s="13" t="n"/>
      <c r="AI873" s="13" t="n"/>
      <c r="AJ873" s="13" t="n"/>
      <c r="AK873" s="42" t="n"/>
    </row>
    <row r="874">
      <c r="E874" s="40" t="inlineStr">
        <is>
          <t>21/22</t>
        </is>
      </c>
      <c r="F874" s="10" t="inlineStr">
        <is>
          <t xml:space="preserve"> Head</t>
        </is>
      </c>
      <c r="G874" s="11" t="inlineStr">
        <is>
          <t xml:space="preserve"> Worldcup Rebels e-SL</t>
        </is>
      </c>
      <c r="H874" s="13" t="n">
        <v>170</v>
      </c>
      <c r="I874" s="11" t="inlineStr">
        <is>
          <t xml:space="preserve"> Unisex</t>
        </is>
      </c>
      <c r="J874" s="13" t="n">
        <v>170</v>
      </c>
      <c r="K874" s="13" t="n">
        <v>168.9</v>
      </c>
      <c r="L874" s="13" t="n">
        <v>151</v>
      </c>
      <c r="M874" s="13" t="n">
        <v>159</v>
      </c>
      <c r="N874" s="13" t="n">
        <v>122</v>
      </c>
      <c r="O874" s="13" t="n">
        <v>67</v>
      </c>
      <c r="P874" s="13" t="n">
        <v>107</v>
      </c>
      <c r="Q874" s="13" t="n">
        <v>13.2</v>
      </c>
      <c r="R874" s="13" t="n">
        <v>2386</v>
      </c>
      <c r="S874" s="13" t="n">
        <v>0.6</v>
      </c>
      <c r="T874" s="13" t="n">
        <v>1420</v>
      </c>
      <c r="U874" s="13" t="n">
        <v>221</v>
      </c>
      <c r="V874" s="13" t="n">
        <v>97</v>
      </c>
      <c r="W874" s="13" t="n">
        <v>39</v>
      </c>
      <c r="X874" s="13" t="n">
        <v>141</v>
      </c>
      <c r="Y874" s="13" t="n">
        <v>3</v>
      </c>
      <c r="Z874" s="13" t="n">
        <v>41</v>
      </c>
      <c r="AA874" s="13" t="n">
        <v>0.067</v>
      </c>
      <c r="AB874" s="13" t="n">
        <v>58</v>
      </c>
      <c r="AC874" s="13" t="n">
        <v>36</v>
      </c>
      <c r="AD874" s="13" t="n">
        <v>83</v>
      </c>
      <c r="AE874" s="13" t="n">
        <v>10</v>
      </c>
      <c r="AF874" s="13" t="n">
        <v>12.5</v>
      </c>
      <c r="AG874" s="11" t="inlineStr">
        <is>
          <t xml:space="preserve"> On-Piste Carving</t>
        </is>
      </c>
      <c r="AH874" s="13" t="n"/>
      <c r="AI874" s="13" t="n"/>
      <c r="AJ874" s="13" t="n"/>
      <c r="AK874" s="42" t="n"/>
    </row>
    <row r="875">
      <c r="E875" s="40" t="inlineStr">
        <is>
          <t>21/22</t>
        </is>
      </c>
      <c r="F875" s="10" t="inlineStr">
        <is>
          <t xml:space="preserve"> Head</t>
        </is>
      </c>
      <c r="G875" s="11" t="inlineStr">
        <is>
          <t xml:space="preserve"> Worldcup Rebels e-Speed Pro</t>
        </is>
      </c>
      <c r="H875" s="13" t="n">
        <v>180</v>
      </c>
      <c r="I875" s="11" t="inlineStr">
        <is>
          <t xml:space="preserve"> Unisex</t>
        </is>
      </c>
      <c r="J875" s="13" t="n">
        <v>180</v>
      </c>
      <c r="K875" s="13" t="n">
        <v>179</v>
      </c>
      <c r="L875" s="13" t="n">
        <v>162</v>
      </c>
      <c r="M875" s="13" t="n">
        <v>170</v>
      </c>
      <c r="N875" s="13" t="n">
        <v>116</v>
      </c>
      <c r="O875" s="13" t="n">
        <v>67</v>
      </c>
      <c r="P875" s="13" t="n">
        <v>98</v>
      </c>
      <c r="Q875" s="13" t="n">
        <v>18</v>
      </c>
      <c r="R875" s="11" t="inlineStr">
        <is>
          <t xml:space="preserve"> None</t>
        </is>
      </c>
      <c r="S875" s="11" t="inlineStr">
        <is>
          <t xml:space="preserve"> None</t>
        </is>
      </c>
      <c r="T875" s="13" t="n">
        <v>1456</v>
      </c>
      <c r="U875" s="13" t="n">
        <v>259</v>
      </c>
      <c r="V875" s="13" t="n">
        <v>143</v>
      </c>
      <c r="W875" s="13" t="n">
        <v>31</v>
      </c>
      <c r="X875" s="13" t="n">
        <v>123</v>
      </c>
      <c r="Y875" s="13" t="n">
        <v>3</v>
      </c>
      <c r="Z875" s="13" t="n">
        <v>43</v>
      </c>
      <c r="AA875" s="13" t="n">
        <v>0.09</v>
      </c>
      <c r="AB875" s="13" t="n">
        <v>59</v>
      </c>
      <c r="AC875" s="13" t="n">
        <v>33</v>
      </c>
      <c r="AD875" s="13" t="n">
        <v>63</v>
      </c>
      <c r="AE875" s="13" t="n">
        <v>13</v>
      </c>
      <c r="AF875" s="13" t="n">
        <v>13.3</v>
      </c>
      <c r="AG875" s="11" t="inlineStr">
        <is>
          <t xml:space="preserve"> Other</t>
        </is>
      </c>
      <c r="AH875" s="13" t="n"/>
      <c r="AI875" s="13" t="n"/>
      <c r="AJ875" s="13" t="n"/>
      <c r="AK875" s="42" t="n"/>
    </row>
    <row r="876">
      <c r="E876" s="40" t="inlineStr">
        <is>
          <t>21/22</t>
        </is>
      </c>
      <c r="F876" s="10" t="inlineStr">
        <is>
          <t xml:space="preserve"> Head</t>
        </is>
      </c>
      <c r="G876" s="11" t="inlineStr">
        <is>
          <t xml:space="preserve"> Worldcup Rebels I.SLR</t>
        </is>
      </c>
      <c r="H876" s="13" t="n">
        <v>150</v>
      </c>
      <c r="I876" s="11" t="inlineStr">
        <is>
          <t xml:space="preserve"> Unisex</t>
        </is>
      </c>
      <c r="J876" s="13" t="n">
        <v>150</v>
      </c>
      <c r="K876" s="13" t="n">
        <v>149</v>
      </c>
      <c r="L876" s="13" t="n">
        <v>129</v>
      </c>
      <c r="M876" s="13" t="n">
        <v>135</v>
      </c>
      <c r="N876" s="13" t="n">
        <v>119</v>
      </c>
      <c r="O876" s="13" t="n">
        <v>64</v>
      </c>
      <c r="P876" s="13" t="n">
        <v>104</v>
      </c>
      <c r="Q876" s="13" t="n">
        <v>9.4</v>
      </c>
      <c r="R876" s="13" t="n">
        <v>1708</v>
      </c>
      <c r="S876" s="13" t="n">
        <v>0.71</v>
      </c>
      <c r="T876" s="13" t="n">
        <v>1221</v>
      </c>
      <c r="U876" s="13" t="n">
        <v>123</v>
      </c>
      <c r="V876" s="13" t="n">
        <v>58</v>
      </c>
      <c r="W876" s="13" t="n">
        <v>43</v>
      </c>
      <c r="X876" s="13" t="n">
        <v>141</v>
      </c>
      <c r="Y876" s="13" t="n">
        <v>5</v>
      </c>
      <c r="Z876" s="13" t="n">
        <v>54</v>
      </c>
      <c r="AA876" s="13" t="n">
        <v>0.122</v>
      </c>
      <c r="AB876" s="13" t="n">
        <v>78</v>
      </c>
      <c r="AC876" s="13" t="n">
        <v>59</v>
      </c>
      <c r="AD876" s="13" t="n">
        <v>63</v>
      </c>
      <c r="AE876" s="13" t="n">
        <v>9</v>
      </c>
      <c r="AF876" s="13" t="n">
        <v>12.4</v>
      </c>
      <c r="AG876" s="11" t="inlineStr">
        <is>
          <t xml:space="preserve"> On-Piste Carving</t>
        </is>
      </c>
      <c r="AH876" s="13" t="n"/>
      <c r="AI876" s="13" t="n"/>
      <c r="AJ876" s="13" t="n"/>
      <c r="AK876" s="42" t="n"/>
    </row>
    <row r="877">
      <c r="E877" s="40" t="inlineStr">
        <is>
          <t>21/22</t>
        </is>
      </c>
      <c r="F877" s="10" t="inlineStr">
        <is>
          <t xml:space="preserve"> Head</t>
        </is>
      </c>
      <c r="G877" s="11" t="inlineStr">
        <is>
          <t xml:space="preserve"> Worldcup Rebels I.SLR</t>
        </is>
      </c>
      <c r="H877" s="13" t="n">
        <v>155</v>
      </c>
      <c r="I877" s="11" t="inlineStr">
        <is>
          <t xml:space="preserve"> Unisex</t>
        </is>
      </c>
      <c r="J877" s="13" t="n">
        <v>155</v>
      </c>
      <c r="K877" s="13" t="n">
        <v>154.3</v>
      </c>
      <c r="L877" s="13" t="n">
        <v>135</v>
      </c>
      <c r="M877" s="13" t="n">
        <v>140</v>
      </c>
      <c r="N877" s="13" t="n">
        <v>120</v>
      </c>
      <c r="O877" s="13" t="n">
        <v>65</v>
      </c>
      <c r="P877" s="13" t="n">
        <v>105</v>
      </c>
      <c r="Q877" s="13" t="n">
        <v>10.1</v>
      </c>
      <c r="R877" s="13" t="n">
        <v>1796</v>
      </c>
      <c r="S877" s="13" t="n">
        <v>0.71</v>
      </c>
      <c r="T877" s="13" t="n">
        <v>1273</v>
      </c>
      <c r="U877" s="13" t="n">
        <v>135</v>
      </c>
      <c r="V877" s="13" t="n">
        <v>65</v>
      </c>
      <c r="W877" s="13" t="n">
        <v>44</v>
      </c>
      <c r="X877" s="13" t="n">
        <v>141</v>
      </c>
      <c r="Y877" s="13" t="n">
        <v>6</v>
      </c>
      <c r="Z877" s="13" t="n">
        <v>56</v>
      </c>
      <c r="AA877" s="13" t="n">
        <v>0.125</v>
      </c>
      <c r="AB877" s="13" t="n">
        <v>78</v>
      </c>
      <c r="AC877" s="13" t="n">
        <v>65</v>
      </c>
      <c r="AD877" s="13" t="n">
        <v>63</v>
      </c>
      <c r="AE877" s="13" t="n">
        <v>10</v>
      </c>
      <c r="AF877" s="13" t="n">
        <v>12.4</v>
      </c>
      <c r="AG877" s="11" t="inlineStr">
        <is>
          <t xml:space="preserve"> On-Piste Carving</t>
        </is>
      </c>
      <c r="AH877" s="13" t="n"/>
      <c r="AI877" s="13" t="n"/>
      <c r="AJ877" s="13" t="n"/>
      <c r="AK877" s="42" t="n"/>
    </row>
    <row r="878">
      <c r="E878" s="40" t="inlineStr">
        <is>
          <t>21/22</t>
        </is>
      </c>
      <c r="F878" s="10" t="inlineStr">
        <is>
          <t xml:space="preserve"> Head</t>
        </is>
      </c>
      <c r="G878" s="11" t="inlineStr">
        <is>
          <t xml:space="preserve"> Worldcup Rebels I.SLR</t>
        </is>
      </c>
      <c r="H878" s="13" t="n">
        <v>160</v>
      </c>
      <c r="I878" s="11" t="inlineStr">
        <is>
          <t xml:space="preserve"> Unisex</t>
        </is>
      </c>
      <c r="J878" s="13" t="n">
        <v>160</v>
      </c>
      <c r="K878" s="13" t="n">
        <v>159.2</v>
      </c>
      <c r="L878" s="13" t="n">
        <v>140</v>
      </c>
      <c r="M878" s="13" t="n">
        <v>145</v>
      </c>
      <c r="N878" s="13" t="n">
        <v>121</v>
      </c>
      <c r="O878" s="13" t="n">
        <v>65</v>
      </c>
      <c r="P878" s="13" t="n">
        <v>106</v>
      </c>
      <c r="Q878" s="13" t="n">
        <v>11</v>
      </c>
      <c r="R878" s="13" t="n">
        <v>1871</v>
      </c>
      <c r="S878" s="13" t="n">
        <v>0.7</v>
      </c>
      <c r="T878" s="13" t="n">
        <v>1318</v>
      </c>
      <c r="U878" s="13" t="n">
        <v>159</v>
      </c>
      <c r="V878" s="13" t="n">
        <v>79</v>
      </c>
      <c r="W878" s="13" t="n">
        <v>40</v>
      </c>
      <c r="X878" s="13" t="n">
        <v>143</v>
      </c>
      <c r="Y878" s="13" t="n">
        <v>5</v>
      </c>
      <c r="Z878" s="13" t="n">
        <v>52</v>
      </c>
      <c r="AA878" s="13" t="n">
        <v>0.125</v>
      </c>
      <c r="AB878" s="13" t="n">
        <v>80</v>
      </c>
      <c r="AC878" s="13" t="n">
        <v>60</v>
      </c>
      <c r="AD878" s="13" t="n">
        <v>63</v>
      </c>
      <c r="AE878" s="13" t="n">
        <v>9</v>
      </c>
      <c r="AF878" s="13" t="n">
        <v>12.8</v>
      </c>
      <c r="AG878" s="11" t="inlineStr">
        <is>
          <t xml:space="preserve"> On-Piste Carving</t>
        </is>
      </c>
      <c r="AH878" s="13" t="n"/>
      <c r="AI878" s="13" t="n"/>
      <c r="AJ878" s="13" t="n"/>
      <c r="AK878" s="42" t="n"/>
    </row>
    <row r="879">
      <c r="E879" s="40" t="inlineStr">
        <is>
          <t>21/22</t>
        </is>
      </c>
      <c r="F879" s="10" t="inlineStr">
        <is>
          <t xml:space="preserve"> Head</t>
        </is>
      </c>
      <c r="G879" s="11" t="inlineStr">
        <is>
          <t xml:space="preserve"> Worldcup Rebels I.SLR</t>
        </is>
      </c>
      <c r="H879" s="13" t="n">
        <v>165</v>
      </c>
      <c r="I879" s="11" t="inlineStr">
        <is>
          <t xml:space="preserve"> Unisex</t>
        </is>
      </c>
      <c r="J879" s="13" t="n">
        <v>165</v>
      </c>
      <c r="K879" s="13" t="n">
        <v>164.1</v>
      </c>
      <c r="L879" s="13" t="n">
        <v>145</v>
      </c>
      <c r="M879" s="13" t="n">
        <v>150</v>
      </c>
      <c r="N879" s="13" t="n">
        <v>121</v>
      </c>
      <c r="O879" s="13" t="n">
        <v>65</v>
      </c>
      <c r="P879" s="13" t="n">
        <v>106</v>
      </c>
      <c r="Q879" s="13" t="n">
        <v>11.5</v>
      </c>
      <c r="R879" s="13" t="n">
        <v>1940</v>
      </c>
      <c r="S879" s="13" t="n">
        <v>0.7</v>
      </c>
      <c r="T879" s="13" t="n">
        <v>1363</v>
      </c>
      <c r="U879" s="13" t="n">
        <v>153</v>
      </c>
      <c r="V879" s="13" t="n">
        <v>79</v>
      </c>
      <c r="W879" s="13" t="n">
        <v>41</v>
      </c>
      <c r="X879" s="13" t="n">
        <v>139</v>
      </c>
      <c r="Y879" s="13" t="n">
        <v>5</v>
      </c>
      <c r="Z879" s="13" t="n">
        <v>51</v>
      </c>
      <c r="AA879" s="13" t="n">
        <v>0.116</v>
      </c>
      <c r="AB879" s="13" t="n">
        <v>77</v>
      </c>
      <c r="AC879" s="13" t="n">
        <v>59</v>
      </c>
      <c r="AD879" s="13" t="n">
        <v>62</v>
      </c>
      <c r="AE879" s="13" t="n">
        <v>11</v>
      </c>
      <c r="AF879" s="13" t="n">
        <v>12.8</v>
      </c>
      <c r="AG879" s="11" t="inlineStr">
        <is>
          <t xml:space="preserve"> On-Piste Carving</t>
        </is>
      </c>
      <c r="AH879" s="13" t="n"/>
      <c r="AI879" s="13" t="n"/>
      <c r="AJ879" s="13" t="n"/>
      <c r="AK879" s="42" t="n"/>
    </row>
    <row r="880">
      <c r="E880" s="40" t="inlineStr">
        <is>
          <t>21/22</t>
        </is>
      </c>
      <c r="F880" s="10" t="inlineStr">
        <is>
          <t xml:space="preserve"> Icelantic</t>
        </is>
      </c>
      <c r="G880" s="11" t="inlineStr">
        <is>
          <t>Maiden 91</t>
        </is>
      </c>
      <c r="H880" s="13" t="n">
        <v>155</v>
      </c>
      <c r="I880" s="11" t="inlineStr">
        <is>
          <t xml:space="preserve"> Women's</t>
        </is>
      </c>
      <c r="J880" s="13" t="n">
        <v>155</v>
      </c>
      <c r="K880" s="13" t="n">
        <v>152.5</v>
      </c>
      <c r="L880" s="13" t="n">
        <v>84</v>
      </c>
      <c r="M880" s="13" t="n">
        <v>127</v>
      </c>
      <c r="N880" s="13" t="n">
        <v>126</v>
      </c>
      <c r="O880" s="13" t="n">
        <v>92</v>
      </c>
      <c r="P880" s="13" t="n">
        <v>117</v>
      </c>
      <c r="Q880" s="13" t="n">
        <v>13</v>
      </c>
      <c r="R880" s="13" t="n">
        <v>1357</v>
      </c>
      <c r="S880" s="13" t="n">
        <v>1.16</v>
      </c>
      <c r="T880" s="13" t="n">
        <v>1574</v>
      </c>
      <c r="U880" s="13" t="n">
        <v>151</v>
      </c>
      <c r="V880" s="13" t="n">
        <v>63</v>
      </c>
      <c r="W880" s="13" t="n">
        <v>61</v>
      </c>
      <c r="X880" s="13" t="n">
        <v>363</v>
      </c>
      <c r="Y880" s="13" t="n">
        <v>59</v>
      </c>
      <c r="Z880" s="13" t="n">
        <v>318</v>
      </c>
      <c r="AA880" s="13" t="n">
        <v>0.961</v>
      </c>
      <c r="AB880" s="13" t="n">
        <v>123</v>
      </c>
      <c r="AC880" s="13" t="n">
        <v>130</v>
      </c>
      <c r="AD880" s="13" t="n">
        <v>240</v>
      </c>
      <c r="AE880" s="13" t="n">
        <v>2</v>
      </c>
      <c r="AF880" s="13" t="n">
        <v>8.199999999999999</v>
      </c>
      <c r="AG880" s="11" t="inlineStr">
        <is>
          <t xml:space="preserve"> Freeski</t>
        </is>
      </c>
      <c r="AH880" s="11" t="inlineStr">
        <is>
          <t xml:space="preserve"> Touring</t>
        </is>
      </c>
      <c r="AI880" s="13" t="n"/>
      <c r="AJ880" s="13" t="n"/>
      <c r="AK880" s="42" t="n"/>
    </row>
    <row r="881">
      <c r="E881" s="40" t="inlineStr">
        <is>
          <t>21/22</t>
        </is>
      </c>
      <c r="F881" s="10" t="inlineStr">
        <is>
          <t xml:space="preserve"> Icelantic</t>
        </is>
      </c>
      <c r="G881" s="11" t="inlineStr">
        <is>
          <t>Maiden 91</t>
        </is>
      </c>
      <c r="H881" s="13" t="n">
        <v>162</v>
      </c>
      <c r="I881" s="11" t="inlineStr">
        <is>
          <t xml:space="preserve"> Women's</t>
        </is>
      </c>
      <c r="J881" s="13" t="n">
        <v>162</v>
      </c>
      <c r="K881" s="13" t="n">
        <v>159.8</v>
      </c>
      <c r="L881" s="13" t="n">
        <v>91</v>
      </c>
      <c r="M881" s="13" t="n">
        <v>137</v>
      </c>
      <c r="N881" s="13" t="n">
        <v>126</v>
      </c>
      <c r="O881" s="13" t="n">
        <v>90</v>
      </c>
      <c r="P881" s="13" t="n">
        <v>116</v>
      </c>
      <c r="Q881" s="13" t="n">
        <v>14.4</v>
      </c>
      <c r="R881" s="13" t="n">
        <v>1490</v>
      </c>
      <c r="S881" s="13" t="n">
        <v>1.09</v>
      </c>
      <c r="T881" s="13" t="n">
        <v>1627</v>
      </c>
      <c r="U881" s="13" t="n">
        <v>154</v>
      </c>
      <c r="V881" s="13" t="n">
        <v>68</v>
      </c>
      <c r="W881" s="13" t="n">
        <v>58</v>
      </c>
      <c r="X881" s="13" t="n">
        <v>364</v>
      </c>
      <c r="Y881" s="13" t="n">
        <v>59</v>
      </c>
      <c r="Z881" s="13" t="n">
        <v>320</v>
      </c>
      <c r="AA881" s="13" t="n">
        <v>1.02</v>
      </c>
      <c r="AB881" s="13" t="n">
        <v>105</v>
      </c>
      <c r="AC881" s="13" t="n">
        <v>125</v>
      </c>
      <c r="AD881" s="13" t="n">
        <v>259</v>
      </c>
      <c r="AE881" s="13" t="n">
        <v>2</v>
      </c>
      <c r="AF881" s="13" t="n">
        <v>8</v>
      </c>
      <c r="AG881" s="11" t="inlineStr">
        <is>
          <t xml:space="preserve"> Freeski</t>
        </is>
      </c>
      <c r="AH881" s="11" t="inlineStr">
        <is>
          <t xml:space="preserve"> Touring</t>
        </is>
      </c>
      <c r="AI881" s="13" t="n"/>
      <c r="AJ881" s="13" t="n"/>
      <c r="AK881" s="42" t="n"/>
    </row>
    <row r="882">
      <c r="E882" s="40" t="inlineStr">
        <is>
          <t>21/22</t>
        </is>
      </c>
      <c r="F882" s="10" t="inlineStr">
        <is>
          <t xml:space="preserve"> Icelantic</t>
        </is>
      </c>
      <c r="G882" s="11" t="inlineStr">
        <is>
          <t>Natural 101</t>
        </is>
      </c>
      <c r="H882" s="13" t="n">
        <v>171</v>
      </c>
      <c r="I882" s="11" t="inlineStr">
        <is>
          <t xml:space="preserve"> Unisex</t>
        </is>
      </c>
      <c r="J882" s="13" t="n">
        <v>171</v>
      </c>
      <c r="K882" s="13" t="n">
        <v>168.6</v>
      </c>
      <c r="L882" s="13" t="n">
        <v>118</v>
      </c>
      <c r="M882" s="13" t="n">
        <v>134</v>
      </c>
      <c r="N882" s="13" t="n">
        <v>132</v>
      </c>
      <c r="O882" s="13" t="n">
        <v>101</v>
      </c>
      <c r="P882" s="13" t="n">
        <v>116</v>
      </c>
      <c r="Q882" s="13" t="n">
        <v>18.8</v>
      </c>
      <c r="R882" s="13" t="n">
        <v>1582</v>
      </c>
      <c r="S882" s="13" t="n">
        <v>1.17</v>
      </c>
      <c r="T882" s="13" t="n">
        <v>1854</v>
      </c>
      <c r="U882" s="13" t="n">
        <v>211</v>
      </c>
      <c r="V882" s="13" t="n">
        <v>88</v>
      </c>
      <c r="W882" s="13" t="n">
        <v>64</v>
      </c>
      <c r="X882" s="13" t="n">
        <v>329</v>
      </c>
      <c r="Y882" s="13" t="n">
        <v>25</v>
      </c>
      <c r="Z882" s="13" t="n">
        <v>177</v>
      </c>
      <c r="AA882" s="13" t="n">
        <v>0.395</v>
      </c>
      <c r="AB882" s="13" t="n">
        <v>238</v>
      </c>
      <c r="AC882" s="13" t="n">
        <v>105</v>
      </c>
      <c r="AD882" s="13" t="n">
        <v>91</v>
      </c>
      <c r="AE882" s="13" t="n">
        <v>5</v>
      </c>
      <c r="AF882" s="13" t="n">
        <v>9.5</v>
      </c>
      <c r="AG882" s="11" t="inlineStr">
        <is>
          <t xml:space="preserve"> Resort Freeride</t>
        </is>
      </c>
      <c r="AH882" s="11" t="inlineStr">
        <is>
          <t xml:space="preserve"> Powder</t>
        </is>
      </c>
      <c r="AI882" s="11" t="inlineStr">
        <is>
          <t xml:space="preserve"> Big Mountain</t>
        </is>
      </c>
      <c r="AJ882" s="11" t="inlineStr">
        <is>
          <t xml:space="preserve"> Touring</t>
        </is>
      </c>
      <c r="AK882" s="42" t="n"/>
    </row>
    <row r="883">
      <c r="E883" s="40" t="inlineStr">
        <is>
          <t>21/22</t>
        </is>
      </c>
      <c r="F883" s="10" t="inlineStr">
        <is>
          <t xml:space="preserve"> Icelantic</t>
        </is>
      </c>
      <c r="G883" s="11" t="inlineStr">
        <is>
          <t>Natural 101</t>
        </is>
      </c>
      <c r="H883" s="13" t="n">
        <v>178</v>
      </c>
      <c r="I883" s="11" t="inlineStr">
        <is>
          <t xml:space="preserve"> Unisex</t>
        </is>
      </c>
      <c r="J883" s="13" t="n">
        <v>178</v>
      </c>
      <c r="K883" s="13" t="n">
        <v>176.2</v>
      </c>
      <c r="L883" s="13" t="n">
        <v>128</v>
      </c>
      <c r="M883" s="13" t="n">
        <v>142</v>
      </c>
      <c r="N883" s="13" t="n">
        <v>132</v>
      </c>
      <c r="O883" s="13" t="n">
        <v>100</v>
      </c>
      <c r="P883" s="13" t="n">
        <v>117</v>
      </c>
      <c r="Q883" s="13" t="n">
        <v>20.6</v>
      </c>
      <c r="R883" s="13" t="n">
        <v>1873</v>
      </c>
      <c r="S883" s="13" t="n">
        <v>1.03</v>
      </c>
      <c r="T883" s="13" t="n">
        <v>1937</v>
      </c>
      <c r="U883" s="13" t="n">
        <v>262</v>
      </c>
      <c r="V883" s="13" t="n">
        <v>113</v>
      </c>
      <c r="W883" s="13" t="n">
        <v>58</v>
      </c>
      <c r="X883" s="13" t="n">
        <v>319</v>
      </c>
      <c r="Y883" s="13" t="n">
        <v>24</v>
      </c>
      <c r="Z883" s="13" t="n">
        <v>168</v>
      </c>
      <c r="AA883" s="13" t="n">
        <v>0.414</v>
      </c>
      <c r="AB883" s="13" t="n">
        <v>240</v>
      </c>
      <c r="AC883" s="13" t="n">
        <v>101</v>
      </c>
      <c r="AD883" s="13" t="n">
        <v>79</v>
      </c>
      <c r="AE883" s="13" t="n">
        <v>6</v>
      </c>
      <c r="AF883" s="13" t="n">
        <v>8.800000000000001</v>
      </c>
      <c r="AG883" s="11" t="inlineStr">
        <is>
          <t xml:space="preserve"> Resort Freeride</t>
        </is>
      </c>
      <c r="AH883" s="11" t="inlineStr">
        <is>
          <t xml:space="preserve"> Powder</t>
        </is>
      </c>
      <c r="AI883" s="13" t="n"/>
      <c r="AJ883" s="13" t="n"/>
      <c r="AK883" s="42" t="n"/>
    </row>
    <row r="884">
      <c r="E884" s="40" t="inlineStr">
        <is>
          <t>21/22</t>
        </is>
      </c>
      <c r="F884" s="10" t="inlineStr">
        <is>
          <t xml:space="preserve"> Icelantic</t>
        </is>
      </c>
      <c r="G884" s="11" t="inlineStr">
        <is>
          <t>Nomad 105</t>
        </is>
      </c>
      <c r="H884" s="13" t="n">
        <v>171</v>
      </c>
      <c r="I884" s="11" t="inlineStr">
        <is>
          <t xml:space="preserve"> Unisex</t>
        </is>
      </c>
      <c r="J884" s="13" t="n">
        <v>171</v>
      </c>
      <c r="K884" s="13" t="n">
        <v>169</v>
      </c>
      <c r="L884" s="13" t="n">
        <v>103</v>
      </c>
      <c r="M884" s="13" t="n">
        <v>142</v>
      </c>
      <c r="N884" s="13" t="n">
        <v>146</v>
      </c>
      <c r="O884" s="13" t="n">
        <v>111</v>
      </c>
      <c r="P884" s="13" t="n">
        <v>136</v>
      </c>
      <c r="Q884" s="13" t="n">
        <v>16.2</v>
      </c>
      <c r="R884" s="13" t="n">
        <v>1949</v>
      </c>
      <c r="S884" s="13" t="n">
        <v>1.06</v>
      </c>
      <c r="T884" s="13" t="n">
        <v>2060</v>
      </c>
      <c r="U884" s="13" t="n">
        <v>213</v>
      </c>
      <c r="V884" s="13" t="n">
        <v>101</v>
      </c>
      <c r="W884" s="13" t="n">
        <v>57</v>
      </c>
      <c r="X884" s="13" t="n">
        <v>353</v>
      </c>
      <c r="Y884" s="13" t="n">
        <v>55</v>
      </c>
      <c r="Z884" s="13" t="n">
        <v>305</v>
      </c>
      <c r="AA884" s="13" t="n">
        <v>0.964</v>
      </c>
      <c r="AB884" s="13" t="n">
        <v>134</v>
      </c>
      <c r="AC884" s="13" t="n">
        <v>141</v>
      </c>
      <c r="AD884" s="13" t="n">
        <v>220</v>
      </c>
      <c r="AE884" s="13" t="n">
        <v>3</v>
      </c>
      <c r="AF884" s="13" t="n">
        <v>8.199999999999999</v>
      </c>
      <c r="AG884" s="11" t="inlineStr">
        <is>
          <t xml:space="preserve"> Freeski</t>
        </is>
      </c>
      <c r="AH884" s="11" t="inlineStr">
        <is>
          <t xml:space="preserve"> Powder</t>
        </is>
      </c>
      <c r="AI884" s="11" t="inlineStr">
        <is>
          <t xml:space="preserve"> Touring</t>
        </is>
      </c>
      <c r="AJ884" s="13" t="n"/>
      <c r="AK884" s="42" t="n"/>
    </row>
    <row r="885">
      <c r="E885" s="40" t="inlineStr">
        <is>
          <t>21/22</t>
        </is>
      </c>
      <c r="F885" s="10" t="inlineStr">
        <is>
          <t xml:space="preserve"> Icelantic</t>
        </is>
      </c>
      <c r="G885" s="11" t="inlineStr">
        <is>
          <t>Nomad 105</t>
        </is>
      </c>
      <c r="H885" s="13" t="n">
        <v>176</v>
      </c>
      <c r="I885" s="11" t="inlineStr">
        <is>
          <t xml:space="preserve"> Unisex</t>
        </is>
      </c>
      <c r="J885" s="13" t="n">
        <v>176</v>
      </c>
      <c r="K885" s="13" t="n">
        <v>173.5</v>
      </c>
      <c r="L885" s="13" t="n">
        <v>107</v>
      </c>
      <c r="M885" s="13" t="n">
        <v>147</v>
      </c>
      <c r="N885" s="13" t="n">
        <v>145</v>
      </c>
      <c r="O885" s="13" t="n">
        <v>111</v>
      </c>
      <c r="P885" s="13" t="n">
        <v>135</v>
      </c>
      <c r="Q885" s="13" t="n">
        <v>18</v>
      </c>
      <c r="R885" s="13" t="n">
        <v>1848</v>
      </c>
      <c r="S885" s="13" t="n">
        <v>1.14</v>
      </c>
      <c r="T885" s="13" t="n">
        <v>2103</v>
      </c>
      <c r="U885" s="13" t="n">
        <v>216</v>
      </c>
      <c r="V885" s="13" t="n">
        <v>102</v>
      </c>
      <c r="W885" s="13" t="n">
        <v>58</v>
      </c>
      <c r="X885" s="13" t="n">
        <v>351</v>
      </c>
      <c r="Y885" s="13" t="n">
        <v>57</v>
      </c>
      <c r="Z885" s="13" t="n">
        <v>312</v>
      </c>
      <c r="AA885" s="13" t="n">
        <v>0.975</v>
      </c>
      <c r="AB885" s="13" t="n">
        <v>129</v>
      </c>
      <c r="AC885" s="13" t="n">
        <v>132</v>
      </c>
      <c r="AD885" s="13" t="n">
        <v>222</v>
      </c>
      <c r="AE885" s="13" t="n">
        <v>3</v>
      </c>
      <c r="AF885" s="13" t="n">
        <v>8.300000000000001</v>
      </c>
      <c r="AG885" s="11" t="inlineStr">
        <is>
          <t xml:space="preserve"> Freeski</t>
        </is>
      </c>
      <c r="AH885" s="11" t="inlineStr">
        <is>
          <t xml:space="preserve"> Powder</t>
        </is>
      </c>
      <c r="AI885" s="11" t="inlineStr">
        <is>
          <t xml:space="preserve"> Touring</t>
        </is>
      </c>
      <c r="AJ885" s="13" t="n"/>
      <c r="AK885" s="42" t="n"/>
    </row>
    <row r="886">
      <c r="E886" s="40" t="inlineStr">
        <is>
          <t>21/22</t>
        </is>
      </c>
      <c r="F886" s="10" t="inlineStr">
        <is>
          <t xml:space="preserve"> Icelantic</t>
        </is>
      </c>
      <c r="G886" s="11" t="inlineStr">
        <is>
          <t>Nomad 105</t>
        </is>
      </c>
      <c r="H886" s="13" t="n">
        <v>181</v>
      </c>
      <c r="I886" s="11" t="inlineStr">
        <is>
          <t xml:space="preserve"> Unisex</t>
        </is>
      </c>
      <c r="J886" s="13" t="n">
        <v>181</v>
      </c>
      <c r="K886" s="13" t="n">
        <v>178.5</v>
      </c>
      <c r="L886" s="13" t="n">
        <v>109</v>
      </c>
      <c r="M886" s="13" t="n">
        <v>153</v>
      </c>
      <c r="N886" s="13" t="n">
        <v>145</v>
      </c>
      <c r="O886" s="13" t="n">
        <v>111</v>
      </c>
      <c r="P886" s="13" t="n">
        <v>135</v>
      </c>
      <c r="Q886" s="13" t="n">
        <v>19.1</v>
      </c>
      <c r="R886" s="13" t="n">
        <v>2022</v>
      </c>
      <c r="S886" s="13" t="n">
        <v>1.08</v>
      </c>
      <c r="T886" s="13" t="n">
        <v>2176</v>
      </c>
      <c r="U886" s="13" t="n">
        <v>229</v>
      </c>
      <c r="V886" s="13" t="n">
        <v>113</v>
      </c>
      <c r="W886" s="13" t="n">
        <v>60</v>
      </c>
      <c r="X886" s="13" t="n">
        <v>375</v>
      </c>
      <c r="Y886" s="13" t="n">
        <v>56</v>
      </c>
      <c r="Z886" s="13" t="n">
        <v>323</v>
      </c>
      <c r="AA886" s="13" t="n">
        <v>0.9419999999999999</v>
      </c>
      <c r="AB886" s="13" t="n">
        <v>128</v>
      </c>
      <c r="AC886" s="13" t="n">
        <v>128</v>
      </c>
      <c r="AD886" s="13" t="n">
        <v>248</v>
      </c>
      <c r="AE886" s="13" t="n">
        <v>1</v>
      </c>
      <c r="AF886" s="13" t="n">
        <v>9.699999999999999</v>
      </c>
      <c r="AG886" s="11" t="inlineStr">
        <is>
          <t xml:space="preserve"> Freeski</t>
        </is>
      </c>
      <c r="AH886" s="11" t="inlineStr">
        <is>
          <t xml:space="preserve"> Powder</t>
        </is>
      </c>
      <c r="AI886" s="11" t="inlineStr">
        <is>
          <t xml:space="preserve"> Touring</t>
        </is>
      </c>
      <c r="AJ886" s="13" t="n"/>
      <c r="AK886" s="42" t="n"/>
    </row>
    <row r="887">
      <c r="E887" s="40" t="inlineStr">
        <is>
          <t>21/22</t>
        </is>
      </c>
      <c r="F887" s="10" t="inlineStr">
        <is>
          <t xml:space="preserve"> Icelantic</t>
        </is>
      </c>
      <c r="G887" s="11" t="inlineStr">
        <is>
          <t>Nomad 95</t>
        </is>
      </c>
      <c r="H887" s="13" t="n">
        <v>171</v>
      </c>
      <c r="I887" s="11" t="inlineStr">
        <is>
          <t xml:space="preserve"> Unisex</t>
        </is>
      </c>
      <c r="J887" s="13" t="n">
        <v>171</v>
      </c>
      <c r="K887" s="13" t="n">
        <v>168.3</v>
      </c>
      <c r="L887" s="13" t="n">
        <v>99</v>
      </c>
      <c r="M887" s="13" t="n">
        <v>143</v>
      </c>
      <c r="N887" s="13" t="n">
        <v>130</v>
      </c>
      <c r="O887" s="13" t="n">
        <v>95</v>
      </c>
      <c r="P887" s="13" t="n">
        <v>121</v>
      </c>
      <c r="Q887" s="13" t="n">
        <v>16.3</v>
      </c>
      <c r="R887" s="13" t="n">
        <v>1539</v>
      </c>
      <c r="S887" s="13" t="n">
        <v>1.16</v>
      </c>
      <c r="T887" s="13" t="n">
        <v>1780</v>
      </c>
      <c r="U887" s="13" t="n">
        <v>157</v>
      </c>
      <c r="V887" s="13" t="n">
        <v>69</v>
      </c>
      <c r="W887" s="13" t="n">
        <v>62</v>
      </c>
      <c r="X887" s="13" t="n">
        <v>376</v>
      </c>
      <c r="Y887" s="13" t="n">
        <v>55</v>
      </c>
      <c r="Z887" s="13" t="n">
        <v>314</v>
      </c>
      <c r="AA887" s="13" t="n">
        <v>0.888</v>
      </c>
      <c r="AB887" s="13" t="n">
        <v>119</v>
      </c>
      <c r="AC887" s="13" t="n">
        <v>130</v>
      </c>
      <c r="AD887" s="13" t="n">
        <v>257</v>
      </c>
      <c r="AE887" s="13" t="n">
        <v>2</v>
      </c>
      <c r="AF887" s="13" t="n">
        <v>7.2</v>
      </c>
      <c r="AG887" s="11" t="inlineStr">
        <is>
          <t xml:space="preserve"> Freeski</t>
        </is>
      </c>
      <c r="AH887" s="11" t="inlineStr">
        <is>
          <t xml:space="preserve"> Touring</t>
        </is>
      </c>
      <c r="AI887" s="13" t="n"/>
      <c r="AJ887" s="13" t="n"/>
      <c r="AK887" s="42" t="n"/>
    </row>
    <row r="888">
      <c r="E888" s="40" t="inlineStr">
        <is>
          <t>21/22</t>
        </is>
      </c>
      <c r="F888" s="10" t="inlineStr">
        <is>
          <t xml:space="preserve"> Icelantic</t>
        </is>
      </c>
      <c r="G888" s="11" t="inlineStr">
        <is>
          <t>Nomad 95</t>
        </is>
      </c>
      <c r="H888" s="13" t="n">
        <v>176</v>
      </c>
      <c r="I888" s="11" t="inlineStr">
        <is>
          <t xml:space="preserve"> Unisex</t>
        </is>
      </c>
      <c r="J888" s="13" t="n">
        <v>176</v>
      </c>
      <c r="K888" s="13" t="n">
        <v>173.6</v>
      </c>
      <c r="L888" s="13" t="n">
        <v>107</v>
      </c>
      <c r="M888" s="13" t="n">
        <v>149</v>
      </c>
      <c r="N888" s="13" t="n">
        <v>129</v>
      </c>
      <c r="O888" s="13" t="n">
        <v>93</v>
      </c>
      <c r="P888" s="13" t="n">
        <v>119</v>
      </c>
      <c r="Q888" s="13" t="n">
        <v>17.5</v>
      </c>
      <c r="R888" s="13" t="n">
        <v>1715</v>
      </c>
      <c r="S888" s="13" t="n">
        <v>1.06</v>
      </c>
      <c r="T888" s="13" t="n">
        <v>1816</v>
      </c>
      <c r="U888" s="13" t="n">
        <v>175</v>
      </c>
      <c r="V888" s="13" t="n">
        <v>73</v>
      </c>
      <c r="W888" s="13" t="n">
        <v>58</v>
      </c>
      <c r="X888" s="13" t="n">
        <v>353</v>
      </c>
      <c r="Y888" s="13" t="n">
        <v>56</v>
      </c>
      <c r="Z888" s="13" t="n">
        <v>315</v>
      </c>
      <c r="AA888" s="13" t="n">
        <v>0.969</v>
      </c>
      <c r="AB888" s="13" t="n">
        <v>121</v>
      </c>
      <c r="AC888" s="13" t="n">
        <v>122</v>
      </c>
      <c r="AD888" s="13" t="n">
        <v>233</v>
      </c>
      <c r="AE888" s="13" t="n">
        <v>2</v>
      </c>
      <c r="AF888" s="13" t="n">
        <v>8.199999999999999</v>
      </c>
      <c r="AG888" s="11" t="inlineStr">
        <is>
          <t xml:space="preserve"> Freeski</t>
        </is>
      </c>
      <c r="AH888" s="11" t="inlineStr">
        <is>
          <t xml:space="preserve"> Touring</t>
        </is>
      </c>
      <c r="AI888" s="13" t="n"/>
      <c r="AJ888" s="13" t="n"/>
      <c r="AK888" s="42" t="n"/>
    </row>
    <row r="889">
      <c r="E889" s="40" t="inlineStr">
        <is>
          <t>21/22</t>
        </is>
      </c>
      <c r="F889" s="10" t="inlineStr">
        <is>
          <t xml:space="preserve"> Icelantic</t>
        </is>
      </c>
      <c r="G889" s="11" t="inlineStr">
        <is>
          <t>Nomad 95</t>
        </is>
      </c>
      <c r="H889" s="13" t="n">
        <v>181</v>
      </c>
      <c r="I889" s="11" t="inlineStr">
        <is>
          <t xml:space="preserve"> Unisex</t>
        </is>
      </c>
      <c r="J889" s="13" t="n">
        <v>181</v>
      </c>
      <c r="K889" s="13" t="n">
        <v>178.6</v>
      </c>
      <c r="L889" s="13" t="n">
        <v>116</v>
      </c>
      <c r="M889" s="13" t="n">
        <v>155</v>
      </c>
      <c r="N889" s="13" t="n">
        <v>130</v>
      </c>
      <c r="O889" s="13" t="n">
        <v>95</v>
      </c>
      <c r="P889" s="13" t="n">
        <v>120</v>
      </c>
      <c r="Q889" s="13" t="n">
        <v>19</v>
      </c>
      <c r="R889" s="13" t="n">
        <v>1662</v>
      </c>
      <c r="S889" s="13" t="n">
        <v>1.14</v>
      </c>
      <c r="T889" s="13" t="n">
        <v>1889</v>
      </c>
      <c r="U889" s="13" t="n">
        <v>191</v>
      </c>
      <c r="V889" s="13" t="n">
        <v>75</v>
      </c>
      <c r="W889" s="13" t="n">
        <v>55</v>
      </c>
      <c r="X889" s="13" t="n">
        <v>338</v>
      </c>
      <c r="Y889" s="13" t="n">
        <v>51</v>
      </c>
      <c r="Z889" s="13" t="n">
        <v>290</v>
      </c>
      <c r="AA889" s="13" t="n">
        <v>0.914</v>
      </c>
      <c r="AB889" s="13" t="n">
        <v>112</v>
      </c>
      <c r="AC889" s="13" t="n">
        <v>128</v>
      </c>
      <c r="AD889" s="13" t="n">
        <v>226</v>
      </c>
      <c r="AE889" s="13" t="n">
        <v>4</v>
      </c>
      <c r="AF889" s="13" t="n">
        <v>9</v>
      </c>
      <c r="AG889" s="11" t="inlineStr">
        <is>
          <t xml:space="preserve"> Freeski</t>
        </is>
      </c>
      <c r="AH889" s="11" t="inlineStr">
        <is>
          <t xml:space="preserve"> Touring</t>
        </is>
      </c>
      <c r="AI889" s="13" t="n"/>
      <c r="AJ889" s="13" t="n"/>
      <c r="AK889" s="42" t="n"/>
    </row>
    <row r="890">
      <c r="E890" s="40" t="inlineStr">
        <is>
          <t>21/22</t>
        </is>
      </c>
      <c r="F890" s="10" t="inlineStr">
        <is>
          <t xml:space="preserve"> Icelantic</t>
        </is>
      </c>
      <c r="G890" s="11" t="inlineStr">
        <is>
          <t>Nomad Lite 105</t>
        </is>
      </c>
      <c r="H890" s="13" t="n">
        <v>171</v>
      </c>
      <c r="I890" s="11" t="inlineStr">
        <is>
          <t xml:space="preserve"> Unisex</t>
        </is>
      </c>
      <c r="J890" s="13" t="n">
        <v>171</v>
      </c>
      <c r="K890" s="13" t="n">
        <v>168.7</v>
      </c>
      <c r="L890" s="13" t="n">
        <v>102</v>
      </c>
      <c r="M890" s="13" t="n">
        <v>142</v>
      </c>
      <c r="N890" s="13" t="n">
        <v>145</v>
      </c>
      <c r="O890" s="13" t="n">
        <v>111</v>
      </c>
      <c r="P890" s="13" t="n">
        <v>136</v>
      </c>
      <c r="Q890" s="13" t="n">
        <v>16.3</v>
      </c>
      <c r="R890" s="13" t="n">
        <v>1797</v>
      </c>
      <c r="S890" s="13" t="n">
        <v>1.14</v>
      </c>
      <c r="T890" s="13" t="n">
        <v>2052</v>
      </c>
      <c r="U890" s="13" t="n">
        <v>237</v>
      </c>
      <c r="V890" s="13" t="n">
        <v>109</v>
      </c>
      <c r="W890" s="13" t="n">
        <v>60</v>
      </c>
      <c r="X890" s="13" t="n">
        <v>364</v>
      </c>
      <c r="Y890" s="13" t="n">
        <v>54</v>
      </c>
      <c r="Z890" s="13" t="n">
        <v>304</v>
      </c>
      <c r="AA890" s="13" t="n">
        <v>0.913</v>
      </c>
      <c r="AB890" s="13" t="n">
        <v>134</v>
      </c>
      <c r="AC890" s="13" t="n">
        <v>136</v>
      </c>
      <c r="AD890" s="13" t="n">
        <v>230</v>
      </c>
      <c r="AE890" s="13" t="n">
        <v>2</v>
      </c>
      <c r="AF890" s="13" t="n">
        <v>8.6</v>
      </c>
      <c r="AG890" s="11" t="inlineStr">
        <is>
          <t xml:space="preserve"> Freeski</t>
        </is>
      </c>
      <c r="AH890" s="11" t="inlineStr">
        <is>
          <t xml:space="preserve"> Powder</t>
        </is>
      </c>
      <c r="AI890" s="11" t="inlineStr">
        <is>
          <t xml:space="preserve"> Touring</t>
        </is>
      </c>
      <c r="AJ890" s="13" t="n"/>
      <c r="AK890" s="42" t="n"/>
    </row>
    <row r="891">
      <c r="E891" s="40" t="inlineStr">
        <is>
          <t>21/22</t>
        </is>
      </c>
      <c r="F891" s="10" t="inlineStr">
        <is>
          <t xml:space="preserve"> Icelantic</t>
        </is>
      </c>
      <c r="G891" s="11" t="inlineStr">
        <is>
          <t>Nomad Lite 105</t>
        </is>
      </c>
      <c r="H891" s="13" t="n">
        <v>176</v>
      </c>
      <c r="I891" s="11" t="inlineStr">
        <is>
          <t xml:space="preserve"> Unisex</t>
        </is>
      </c>
      <c r="J891" s="13" t="n">
        <v>176</v>
      </c>
      <c r="K891" s="13" t="n">
        <v>173.3</v>
      </c>
      <c r="L891" s="13" t="n">
        <v>108</v>
      </c>
      <c r="M891" s="13" t="n">
        <v>147</v>
      </c>
      <c r="N891" s="13" t="n">
        <v>145</v>
      </c>
      <c r="O891" s="13" t="n">
        <v>110</v>
      </c>
      <c r="P891" s="13" t="n">
        <v>135</v>
      </c>
      <c r="Q891" s="13" t="n">
        <v>17.7</v>
      </c>
      <c r="R891" s="13" t="n">
        <v>1781</v>
      </c>
      <c r="S891" s="13" t="n">
        <v>1.18</v>
      </c>
      <c r="T891" s="13" t="n">
        <v>2096</v>
      </c>
      <c r="U891" s="13" t="n">
        <v>247</v>
      </c>
      <c r="V891" s="13" t="n">
        <v>108</v>
      </c>
      <c r="W891" s="13" t="n">
        <v>57</v>
      </c>
      <c r="X891" s="13" t="n">
        <v>354</v>
      </c>
      <c r="Y891" s="13" t="n">
        <v>53</v>
      </c>
      <c r="Z891" s="13" t="n">
        <v>304</v>
      </c>
      <c r="AA891" s="13" t="n">
        <v>0.924</v>
      </c>
      <c r="AB891" s="13" t="n">
        <v>128</v>
      </c>
      <c r="AC891" s="13" t="n">
        <v>137</v>
      </c>
      <c r="AD891" s="13" t="n">
        <v>226</v>
      </c>
      <c r="AE891" s="13" t="n">
        <v>3</v>
      </c>
      <c r="AF891" s="13" t="n">
        <v>8.5</v>
      </c>
      <c r="AG891" s="11" t="inlineStr">
        <is>
          <t xml:space="preserve"> Freeski</t>
        </is>
      </c>
      <c r="AH891" s="11" t="inlineStr">
        <is>
          <t xml:space="preserve"> Powder</t>
        </is>
      </c>
      <c r="AI891" s="11" t="inlineStr">
        <is>
          <t xml:space="preserve"> Touring</t>
        </is>
      </c>
      <c r="AJ891" s="13" t="n"/>
      <c r="AK891" s="42" t="n"/>
    </row>
    <row r="892">
      <c r="E892" s="40" t="inlineStr">
        <is>
          <t>21/22</t>
        </is>
      </c>
      <c r="F892" s="10" t="inlineStr">
        <is>
          <t xml:space="preserve"> Icelantic</t>
        </is>
      </c>
      <c r="G892" s="11" t="inlineStr">
        <is>
          <t>Nomad Lite 105</t>
        </is>
      </c>
      <c r="H892" s="13" t="n">
        <v>181</v>
      </c>
      <c r="I892" s="11" t="inlineStr">
        <is>
          <t xml:space="preserve"> Unisex</t>
        </is>
      </c>
      <c r="J892" s="13" t="n">
        <v>181</v>
      </c>
      <c r="K892" s="13" t="n">
        <v>178.5</v>
      </c>
      <c r="L892" s="13" t="n">
        <v>112</v>
      </c>
      <c r="M892" s="13" t="n">
        <v>153</v>
      </c>
      <c r="N892" s="13" t="n">
        <v>145</v>
      </c>
      <c r="O892" s="13" t="n">
        <v>111</v>
      </c>
      <c r="P892" s="13" t="n">
        <v>135</v>
      </c>
      <c r="Q892" s="13" t="n">
        <v>19.2</v>
      </c>
      <c r="R892" s="13" t="n">
        <v>1902</v>
      </c>
      <c r="S892" s="13" t="n">
        <v>1.14</v>
      </c>
      <c r="T892" s="13" t="n">
        <v>2166</v>
      </c>
      <c r="U892" s="13" t="n">
        <v>277</v>
      </c>
      <c r="V892" s="13" t="n">
        <v>115</v>
      </c>
      <c r="W892" s="13" t="n">
        <v>56</v>
      </c>
      <c r="X892" s="13" t="n">
        <v>357</v>
      </c>
      <c r="Y892" s="13" t="n">
        <v>55</v>
      </c>
      <c r="Z892" s="13" t="n">
        <v>308</v>
      </c>
      <c r="AA892" s="13" t="n">
        <v>0.968</v>
      </c>
      <c r="AB892" s="13" t="n">
        <v>127</v>
      </c>
      <c r="AC892" s="13" t="n">
        <v>130</v>
      </c>
      <c r="AD892" s="13" t="n">
        <v>230</v>
      </c>
      <c r="AE892" s="13" t="n">
        <v>3</v>
      </c>
      <c r="AF892" s="13" t="n">
        <v>9.4</v>
      </c>
      <c r="AG892" s="11" t="inlineStr">
        <is>
          <t xml:space="preserve"> Freeski</t>
        </is>
      </c>
      <c r="AH892" s="11" t="inlineStr">
        <is>
          <t xml:space="preserve"> Powder</t>
        </is>
      </c>
      <c r="AI892" s="11" t="inlineStr">
        <is>
          <t xml:space="preserve"> Touring</t>
        </is>
      </c>
      <c r="AJ892" s="13" t="n"/>
      <c r="AK892" s="42" t="n"/>
    </row>
    <row r="893">
      <c r="E893" s="40" t="inlineStr">
        <is>
          <t>21/22</t>
        </is>
      </c>
      <c r="F893" s="10" t="inlineStr">
        <is>
          <t xml:space="preserve"> Icelantic</t>
        </is>
      </c>
      <c r="G893" s="11" t="inlineStr">
        <is>
          <t>Pioneer 96</t>
        </is>
      </c>
      <c r="H893" s="13" t="n">
        <v>166</v>
      </c>
      <c r="I893" s="11" t="inlineStr">
        <is>
          <t xml:space="preserve"> Unisex</t>
        </is>
      </c>
      <c r="J893" s="13" t="n">
        <v>166</v>
      </c>
      <c r="K893" s="13" t="n">
        <v>165.1</v>
      </c>
      <c r="L893" s="13" t="n">
        <v>112</v>
      </c>
      <c r="M893" s="13" t="n">
        <v>135</v>
      </c>
      <c r="N893" s="13" t="n">
        <v>131</v>
      </c>
      <c r="O893" s="13" t="n">
        <v>96</v>
      </c>
      <c r="P893" s="13" t="n">
        <v>117</v>
      </c>
      <c r="Q893" s="13" t="n">
        <v>15.5</v>
      </c>
      <c r="R893" s="13" t="n">
        <v>1691</v>
      </c>
      <c r="S893" s="13" t="n">
        <v>1.04</v>
      </c>
      <c r="T893" s="13" t="n">
        <v>1757</v>
      </c>
      <c r="U893" s="13" t="n">
        <v>200</v>
      </c>
      <c r="V893" s="13" t="n">
        <v>94</v>
      </c>
      <c r="W893" s="13" t="n">
        <v>53</v>
      </c>
      <c r="X893" s="13" t="n">
        <v>308</v>
      </c>
      <c r="Y893" s="13" t="n">
        <v>17</v>
      </c>
      <c r="Z893" s="13" t="n">
        <v>228</v>
      </c>
      <c r="AA893" s="13" t="n">
        <v>0.328</v>
      </c>
      <c r="AB893" s="13" t="n">
        <v>182</v>
      </c>
      <c r="AC893" s="13" t="n">
        <v>116</v>
      </c>
      <c r="AD893" s="13" t="n">
        <v>126</v>
      </c>
      <c r="AE893" s="13" t="n">
        <v>6</v>
      </c>
      <c r="AF893" s="13" t="n">
        <v>8.800000000000001</v>
      </c>
      <c r="AG893" s="11" t="inlineStr">
        <is>
          <t xml:space="preserve"> Resort Freeride</t>
        </is>
      </c>
      <c r="AH893" s="13" t="n"/>
      <c r="AI893" s="13" t="n"/>
      <c r="AJ893" s="13" t="n"/>
      <c r="AK893" s="42" t="n"/>
    </row>
    <row r="894">
      <c r="E894" s="40" t="inlineStr">
        <is>
          <t>21/22</t>
        </is>
      </c>
      <c r="F894" s="10" t="inlineStr">
        <is>
          <t xml:space="preserve"> Icelantic</t>
        </is>
      </c>
      <c r="G894" s="11" t="inlineStr">
        <is>
          <t>Pioneer 96</t>
        </is>
      </c>
      <c r="H894" s="13" t="n">
        <v>182</v>
      </c>
      <c r="I894" s="11" t="inlineStr">
        <is>
          <t xml:space="preserve"> Unisex</t>
        </is>
      </c>
      <c r="J894" s="13" t="n">
        <v>182</v>
      </c>
      <c r="K894" s="13" t="n">
        <v>180.9</v>
      </c>
      <c r="L894" s="13" t="n">
        <v>126</v>
      </c>
      <c r="M894" s="13" t="n">
        <v>151</v>
      </c>
      <c r="N894" s="13" t="n">
        <v>131</v>
      </c>
      <c r="O894" s="13" t="n">
        <v>96</v>
      </c>
      <c r="P894" s="13" t="n">
        <v>118</v>
      </c>
      <c r="Q894" s="13" t="n">
        <v>19.4</v>
      </c>
      <c r="R894" s="13" t="n">
        <v>1844</v>
      </c>
      <c r="S894" s="13" t="n">
        <v>1.05</v>
      </c>
      <c r="T894" s="13" t="n">
        <v>1930</v>
      </c>
      <c r="U894" s="13" t="n">
        <v>224</v>
      </c>
      <c r="V894" s="13" t="n">
        <v>100</v>
      </c>
      <c r="W894" s="13" t="n">
        <v>59</v>
      </c>
      <c r="X894" s="13" t="n">
        <v>320</v>
      </c>
      <c r="Y894" s="13" t="n">
        <v>19</v>
      </c>
      <c r="Z894" s="13" t="n">
        <v>231</v>
      </c>
      <c r="AA894" s="13" t="n">
        <v>0.329</v>
      </c>
      <c r="AB894" s="13" t="n">
        <v>188</v>
      </c>
      <c r="AC894" s="13" t="n">
        <v>115</v>
      </c>
      <c r="AD894" s="13" t="n">
        <v>132</v>
      </c>
      <c r="AE894" s="13" t="n">
        <v>3</v>
      </c>
      <c r="AF894" s="13" t="n">
        <v>8.300000000000001</v>
      </c>
      <c r="AG894" s="11" t="inlineStr">
        <is>
          <t xml:space="preserve"> Resort Freeride</t>
        </is>
      </c>
      <c r="AH894" s="13" t="n"/>
      <c r="AI894" s="13" t="n"/>
      <c r="AJ894" s="13" t="n"/>
      <c r="AK894" s="42" t="n"/>
    </row>
    <row r="895">
      <c r="E895" s="40" t="inlineStr">
        <is>
          <t>21/22</t>
        </is>
      </c>
      <c r="F895" s="10" t="inlineStr">
        <is>
          <t xml:space="preserve"> Icelantic</t>
        </is>
      </c>
      <c r="G895" s="11" t="inlineStr">
        <is>
          <t>Riveter 85</t>
        </is>
      </c>
      <c r="H895" s="13" t="n">
        <v>150</v>
      </c>
      <c r="I895" s="11" t="inlineStr">
        <is>
          <t xml:space="preserve"> Women's</t>
        </is>
      </c>
      <c r="J895" s="13" t="n">
        <v>150</v>
      </c>
      <c r="K895" s="13" t="n">
        <v>148.7</v>
      </c>
      <c r="L895" s="13" t="n">
        <v>100</v>
      </c>
      <c r="M895" s="13" t="n">
        <v>120</v>
      </c>
      <c r="N895" s="13" t="n">
        <v>119</v>
      </c>
      <c r="O895" s="13" t="n">
        <v>84</v>
      </c>
      <c r="P895" s="13" t="n">
        <v>107</v>
      </c>
      <c r="Q895" s="13" t="n">
        <v>11.8</v>
      </c>
      <c r="R895" s="13" t="n">
        <v>1326</v>
      </c>
      <c r="S895" s="13" t="n">
        <v>1.08</v>
      </c>
      <c r="T895" s="13" t="n">
        <v>1426</v>
      </c>
      <c r="U895" s="13" t="n">
        <v>134</v>
      </c>
      <c r="V895" s="13" t="n">
        <v>57</v>
      </c>
      <c r="W895" s="13" t="n">
        <v>54</v>
      </c>
      <c r="X895" s="13" t="n">
        <v>308</v>
      </c>
      <c r="Y895" s="13" t="n">
        <v>11</v>
      </c>
      <c r="Z895" s="13" t="n">
        <v>183</v>
      </c>
      <c r="AA895" s="13" t="n">
        <v>0.199</v>
      </c>
      <c r="AB895" s="13" t="n">
        <v>176</v>
      </c>
      <c r="AC895" s="13" t="n">
        <v>111</v>
      </c>
      <c r="AD895" s="13" t="n">
        <v>132</v>
      </c>
      <c r="AE895" s="13" t="n">
        <v>5</v>
      </c>
      <c r="AF895" s="13" t="n">
        <v>8.4</v>
      </c>
      <c r="AG895" s="11" t="inlineStr">
        <is>
          <t xml:space="preserve"> On-Piste All-Mountain</t>
        </is>
      </c>
      <c r="AH895" s="11" t="inlineStr">
        <is>
          <t xml:space="preserve"> Resort Freeride</t>
        </is>
      </c>
      <c r="AI895" s="11" t="inlineStr">
        <is>
          <t xml:space="preserve"> Touring</t>
        </is>
      </c>
      <c r="AJ895" s="13" t="n"/>
      <c r="AK895" s="42" t="n"/>
    </row>
    <row r="896">
      <c r="E896" s="40" t="inlineStr">
        <is>
          <t>21/22</t>
        </is>
      </c>
      <c r="F896" s="10" t="inlineStr">
        <is>
          <t xml:space="preserve"> Icelantic</t>
        </is>
      </c>
      <c r="G896" s="11" t="inlineStr">
        <is>
          <t>Riveter 85</t>
        </is>
      </c>
      <c r="H896" s="13" t="n">
        <v>155</v>
      </c>
      <c r="I896" s="11" t="inlineStr">
        <is>
          <t xml:space="preserve"> Women's</t>
        </is>
      </c>
      <c r="J896" s="13" t="n">
        <v>155</v>
      </c>
      <c r="K896" s="13" t="n">
        <v>154.1</v>
      </c>
      <c r="L896" s="13" t="n">
        <v>99</v>
      </c>
      <c r="M896" s="13" t="n">
        <v>125</v>
      </c>
      <c r="N896" s="13" t="n">
        <v>120</v>
      </c>
      <c r="O896" s="13" t="n">
        <v>86</v>
      </c>
      <c r="P896" s="13" t="n">
        <v>107</v>
      </c>
      <c r="Q896" s="13" t="n">
        <v>12.9</v>
      </c>
      <c r="R896" s="13" t="n">
        <v>1407</v>
      </c>
      <c r="S896" s="13" t="n">
        <v>1.06</v>
      </c>
      <c r="T896" s="13" t="n">
        <v>1492</v>
      </c>
      <c r="U896" s="13" t="n">
        <v>151</v>
      </c>
      <c r="V896" s="13" t="n">
        <v>65</v>
      </c>
      <c r="W896" s="13" t="n">
        <v>57</v>
      </c>
      <c r="X896" s="13" t="n">
        <v>319</v>
      </c>
      <c r="Y896" s="13" t="n">
        <v>16</v>
      </c>
      <c r="Z896" s="13" t="n">
        <v>233</v>
      </c>
      <c r="AA896" s="13" t="n">
        <v>0.29</v>
      </c>
      <c r="AB896" s="13" t="n">
        <v>184</v>
      </c>
      <c r="AC896" s="13" t="n">
        <v>109</v>
      </c>
      <c r="AD896" s="13" t="n">
        <v>135</v>
      </c>
      <c r="AE896" s="13" t="n">
        <v>5</v>
      </c>
      <c r="AF896" s="13" t="n">
        <v>8.199999999999999</v>
      </c>
      <c r="AG896" s="11" t="inlineStr">
        <is>
          <t xml:space="preserve"> Resort Freeride</t>
        </is>
      </c>
      <c r="AH896" s="11" t="inlineStr">
        <is>
          <t xml:space="preserve"> Touring</t>
        </is>
      </c>
      <c r="AI896" s="13" t="n"/>
      <c r="AJ896" s="13" t="n"/>
      <c r="AK896" s="42" t="n"/>
    </row>
    <row r="897">
      <c r="E897" s="40" t="inlineStr">
        <is>
          <t>21/22</t>
        </is>
      </c>
      <c r="F897" s="10" t="inlineStr">
        <is>
          <t xml:space="preserve"> Icelantic</t>
        </is>
      </c>
      <c r="G897" s="11" t="inlineStr">
        <is>
          <t>Riveter 85</t>
        </is>
      </c>
      <c r="H897" s="13" t="n">
        <v>162</v>
      </c>
      <c r="I897" s="11" t="inlineStr">
        <is>
          <t xml:space="preserve"> Women's</t>
        </is>
      </c>
      <c r="J897" s="13" t="n">
        <v>162</v>
      </c>
      <c r="K897" s="13" t="n">
        <v>161.1</v>
      </c>
      <c r="L897" s="13" t="n">
        <v>106</v>
      </c>
      <c r="M897" s="13" t="n">
        <v>131</v>
      </c>
      <c r="N897" s="13" t="n">
        <v>120</v>
      </c>
      <c r="O897" s="13" t="n">
        <v>84</v>
      </c>
      <c r="P897" s="13" t="n">
        <v>107</v>
      </c>
      <c r="Q897" s="13" t="n">
        <v>14.6</v>
      </c>
      <c r="R897" s="13" t="n">
        <v>1465</v>
      </c>
      <c r="S897" s="13" t="n">
        <v>1.05</v>
      </c>
      <c r="T897" s="13" t="n">
        <v>1542</v>
      </c>
      <c r="U897" s="13" t="n">
        <v>162</v>
      </c>
      <c r="V897" s="13" t="n">
        <v>73</v>
      </c>
      <c r="W897" s="13" t="n">
        <v>57</v>
      </c>
      <c r="X897" s="13" t="n">
        <v>321</v>
      </c>
      <c r="Y897" s="13" t="n">
        <v>18</v>
      </c>
      <c r="Z897" s="13" t="n">
        <v>234</v>
      </c>
      <c r="AA897" s="13" t="n">
        <v>0.322</v>
      </c>
      <c r="AB897" s="13" t="n">
        <v>190</v>
      </c>
      <c r="AC897" s="13" t="n">
        <v>108</v>
      </c>
      <c r="AD897" s="13" t="n">
        <v>131</v>
      </c>
      <c r="AE897" s="13" t="n">
        <v>5</v>
      </c>
      <c r="AF897" s="13" t="n">
        <v>8.4</v>
      </c>
      <c r="AG897" s="11" t="inlineStr">
        <is>
          <t xml:space="preserve"> On-Piste All-Mountain</t>
        </is>
      </c>
      <c r="AH897" s="11" t="inlineStr">
        <is>
          <t xml:space="preserve"> Resort Freeride</t>
        </is>
      </c>
      <c r="AI897" s="11" t="inlineStr">
        <is>
          <t xml:space="preserve"> Touring</t>
        </is>
      </c>
      <c r="AJ897" s="13" t="n"/>
      <c r="AK897" s="42" t="n"/>
    </row>
    <row r="898">
      <c r="E898" s="40" t="inlineStr">
        <is>
          <t>21/22</t>
        </is>
      </c>
      <c r="F898" s="10" t="inlineStr">
        <is>
          <t xml:space="preserve"> Icelantic</t>
        </is>
      </c>
      <c r="G898" s="11" t="inlineStr">
        <is>
          <t>Riveter 95</t>
        </is>
      </c>
      <c r="H898" s="13" t="n">
        <v>155</v>
      </c>
      <c r="I898" s="11" t="inlineStr">
        <is>
          <t xml:space="preserve"> Women's</t>
        </is>
      </c>
      <c r="J898" s="13" t="n">
        <v>155</v>
      </c>
      <c r="K898" s="13" t="n">
        <v>154.2</v>
      </c>
      <c r="L898" s="13" t="n">
        <v>98</v>
      </c>
      <c r="M898" s="13" t="n">
        <v>125</v>
      </c>
      <c r="N898" s="13" t="n">
        <v>130</v>
      </c>
      <c r="O898" s="13" t="n">
        <v>95</v>
      </c>
      <c r="P898" s="13" t="n">
        <v>117</v>
      </c>
      <c r="Q898" s="13" t="n">
        <v>13.1</v>
      </c>
      <c r="R898" s="13" t="n">
        <v>1500</v>
      </c>
      <c r="S898" s="13" t="n">
        <v>1.09</v>
      </c>
      <c r="T898" s="13" t="n">
        <v>1641</v>
      </c>
      <c r="U898" s="13" t="n">
        <v>165</v>
      </c>
      <c r="V898" s="13" t="n">
        <v>70</v>
      </c>
      <c r="W898" s="13" t="n">
        <v>56</v>
      </c>
      <c r="X898" s="13" t="n">
        <v>322</v>
      </c>
      <c r="Y898" s="13" t="n">
        <v>18</v>
      </c>
      <c r="Z898" s="13" t="n">
        <v>239</v>
      </c>
      <c r="AA898" s="13" t="n">
        <v>0.314</v>
      </c>
      <c r="AB898" s="13" t="n">
        <v>187</v>
      </c>
      <c r="AC898" s="13" t="n">
        <v>109</v>
      </c>
      <c r="AD898" s="13" t="n">
        <v>135</v>
      </c>
      <c r="AE898" s="13" t="n">
        <v>4</v>
      </c>
      <c r="AF898" s="13" t="n">
        <v>8.199999999999999</v>
      </c>
      <c r="AG898" s="11" t="inlineStr">
        <is>
          <t xml:space="preserve"> Resort Freeride</t>
        </is>
      </c>
      <c r="AH898" s="11" t="inlineStr">
        <is>
          <t xml:space="preserve"> Touring</t>
        </is>
      </c>
      <c r="AI898" s="13" t="n"/>
      <c r="AJ898" s="13" t="n"/>
      <c r="AK898" s="42" t="n"/>
    </row>
    <row r="899">
      <c r="E899" s="40" t="inlineStr">
        <is>
          <t>21/22</t>
        </is>
      </c>
      <c r="F899" s="10" t="inlineStr">
        <is>
          <t xml:space="preserve"> Icelantic</t>
        </is>
      </c>
      <c r="G899" s="11" t="inlineStr">
        <is>
          <t>Riveter 95</t>
        </is>
      </c>
      <c r="H899" s="13" t="n">
        <v>162</v>
      </c>
      <c r="I899" s="11" t="inlineStr">
        <is>
          <t xml:space="preserve"> Women's</t>
        </is>
      </c>
      <c r="J899" s="13" t="n">
        <v>162</v>
      </c>
      <c r="K899" s="13" t="n">
        <v>161.4</v>
      </c>
      <c r="L899" s="13" t="n">
        <v>109</v>
      </c>
      <c r="M899" s="13" t="n">
        <v>133</v>
      </c>
      <c r="N899" s="13" t="n">
        <v>130</v>
      </c>
      <c r="O899" s="13" t="n">
        <v>96</v>
      </c>
      <c r="P899" s="13" t="n">
        <v>117</v>
      </c>
      <c r="Q899" s="13" t="n">
        <v>14.7</v>
      </c>
      <c r="R899" s="13" t="n">
        <v>1694</v>
      </c>
      <c r="S899" s="13" t="n">
        <v>1.01</v>
      </c>
      <c r="T899" s="13" t="n">
        <v>1716</v>
      </c>
      <c r="U899" s="13" t="n">
        <v>185</v>
      </c>
      <c r="V899" s="13" t="n">
        <v>80</v>
      </c>
      <c r="W899" s="13" t="n">
        <v>51</v>
      </c>
      <c r="X899" s="13" t="n">
        <v>304</v>
      </c>
      <c r="Y899" s="13" t="n">
        <v>15</v>
      </c>
      <c r="Z899" s="13" t="n">
        <v>223</v>
      </c>
      <c r="AA899" s="13" t="n">
        <v>0.295</v>
      </c>
      <c r="AB899" s="13" t="n">
        <v>178</v>
      </c>
      <c r="AC899" s="13" t="n">
        <v>110</v>
      </c>
      <c r="AD899" s="13" t="n">
        <v>126</v>
      </c>
      <c r="AE899" s="13" t="n">
        <v>7</v>
      </c>
      <c r="AF899" s="13" t="n">
        <v>8.199999999999999</v>
      </c>
      <c r="AG899" s="11" t="inlineStr">
        <is>
          <t xml:space="preserve"> Resort Freeride</t>
        </is>
      </c>
      <c r="AH899" s="13" t="n"/>
      <c r="AI899" s="13" t="n"/>
      <c r="AJ899" s="13" t="n"/>
      <c r="AK899" s="42" t="n"/>
    </row>
    <row r="900">
      <c r="E900" s="40" t="inlineStr">
        <is>
          <t>21/22</t>
        </is>
      </c>
      <c r="F900" s="10" t="inlineStr">
        <is>
          <t xml:space="preserve"> J Skis</t>
        </is>
      </c>
      <c r="G900" s="11" t="inlineStr">
        <is>
          <t xml:space="preserve"> The Allplay</t>
        </is>
      </c>
      <c r="H900" s="13" t="n">
        <v>178</v>
      </c>
      <c r="I900" s="11" t="inlineStr">
        <is>
          <t xml:space="preserve"> Unisex</t>
        </is>
      </c>
      <c r="J900" s="13" t="n">
        <v>178</v>
      </c>
      <c r="K900" s="13" t="n">
        <v>176</v>
      </c>
      <c r="L900" s="13" t="n">
        <v>130</v>
      </c>
      <c r="M900" s="13" t="n">
        <v>143</v>
      </c>
      <c r="N900" s="13" t="n">
        <v>118</v>
      </c>
      <c r="O900" s="13" t="n">
        <v>97</v>
      </c>
      <c r="P900" s="13" t="n">
        <v>117</v>
      </c>
      <c r="Q900" s="13" t="n">
        <v>20.9</v>
      </c>
      <c r="R900" s="13" t="n">
        <v>1901</v>
      </c>
      <c r="S900" s="13" t="n">
        <v>0.97</v>
      </c>
      <c r="T900" s="13" t="n">
        <v>1852</v>
      </c>
      <c r="U900" s="13" t="n">
        <v>167</v>
      </c>
      <c r="V900" s="13" t="n">
        <v>58</v>
      </c>
      <c r="W900" s="13" t="n">
        <v>43</v>
      </c>
      <c r="X900" s="13" t="n">
        <v>224</v>
      </c>
      <c r="Y900" s="13" t="n">
        <v>45</v>
      </c>
      <c r="Z900" s="13" t="n">
        <v>237</v>
      </c>
      <c r="AA900" s="13" t="n">
        <v>1.042</v>
      </c>
      <c r="AB900" s="13" t="n">
        <v>188</v>
      </c>
      <c r="AC900" s="13" t="n">
        <v>140</v>
      </c>
      <c r="AD900" s="13" t="n">
        <v>36</v>
      </c>
      <c r="AE900" s="13" t="n">
        <v>8</v>
      </c>
      <c r="AF900" s="13" t="n">
        <v>4.5</v>
      </c>
      <c r="AG900" s="11" t="inlineStr">
        <is>
          <t xml:space="preserve"> Freeski</t>
        </is>
      </c>
      <c r="AH900" s="13" t="n"/>
      <c r="AI900" s="13" t="n"/>
      <c r="AJ900" s="13" t="n"/>
      <c r="AK900" s="42" t="n"/>
    </row>
    <row r="901">
      <c r="E901" s="40" t="inlineStr">
        <is>
          <t>21/22</t>
        </is>
      </c>
      <c r="F901" s="10" t="inlineStr">
        <is>
          <t xml:space="preserve"> J Skis</t>
        </is>
      </c>
      <c r="G901" s="11" t="inlineStr">
        <is>
          <t xml:space="preserve"> The Allplay</t>
        </is>
      </c>
      <c r="H901" s="13" t="n">
        <v>184</v>
      </c>
      <c r="I901" s="11" t="inlineStr">
        <is>
          <t xml:space="preserve"> Unisex</t>
        </is>
      </c>
      <c r="J901" s="13" t="n">
        <v>184</v>
      </c>
      <c r="K901" s="13" t="n">
        <v>181.8</v>
      </c>
      <c r="L901" s="13" t="n">
        <v>134</v>
      </c>
      <c r="M901" s="13" t="n">
        <v>147</v>
      </c>
      <c r="N901" s="13" t="n">
        <v>119</v>
      </c>
      <c r="O901" s="13" t="n">
        <v>97</v>
      </c>
      <c r="P901" s="13" t="n">
        <v>117</v>
      </c>
      <c r="Q901" s="13" t="n">
        <v>22.9</v>
      </c>
      <c r="R901" s="13" t="n">
        <v>2079</v>
      </c>
      <c r="S901" s="13" t="n">
        <v>0.92</v>
      </c>
      <c r="T901" s="13" t="n">
        <v>1918</v>
      </c>
      <c r="U901" s="13" t="n">
        <v>232</v>
      </c>
      <c r="V901" s="13" t="n">
        <v>80</v>
      </c>
      <c r="W901" s="13" t="n">
        <v>46</v>
      </c>
      <c r="X901" s="13" t="n">
        <v>240</v>
      </c>
      <c r="Y901" s="13" t="n">
        <v>44</v>
      </c>
      <c r="Z901" s="13" t="n">
        <v>240</v>
      </c>
      <c r="AA901" s="13" t="n">
        <v>0.976</v>
      </c>
      <c r="AB901" s="13" t="n">
        <v>188</v>
      </c>
      <c r="AC901" s="13" t="n">
        <v>165</v>
      </c>
      <c r="AD901" s="13" t="n">
        <v>52</v>
      </c>
      <c r="AE901" s="13" t="n">
        <v>6</v>
      </c>
      <c r="AF901" s="13" t="n">
        <v>3.3</v>
      </c>
      <c r="AG901" s="11" t="inlineStr">
        <is>
          <t xml:space="preserve"> Freeski</t>
        </is>
      </c>
      <c r="AH901" s="13" t="n"/>
      <c r="AI901" s="13" t="n"/>
      <c r="AJ901" s="13" t="n"/>
      <c r="AK901" s="42" t="n"/>
    </row>
    <row r="902">
      <c r="E902" s="40" t="inlineStr">
        <is>
          <t>21/22</t>
        </is>
      </c>
      <c r="F902" s="10" t="inlineStr">
        <is>
          <t xml:space="preserve"> J Skis</t>
        </is>
      </c>
      <c r="G902" s="11" t="inlineStr">
        <is>
          <t xml:space="preserve"> The Friend</t>
        </is>
      </c>
      <c r="H902" s="13" t="n">
        <v>183</v>
      </c>
      <c r="I902" s="11" t="inlineStr">
        <is>
          <t xml:space="preserve"> Unisex</t>
        </is>
      </c>
      <c r="J902" s="13" t="n">
        <v>183</v>
      </c>
      <c r="K902" s="13" t="n">
        <v>180.7</v>
      </c>
      <c r="L902" s="13" t="n">
        <v>116</v>
      </c>
      <c r="M902" s="13" t="n">
        <v>140</v>
      </c>
      <c r="N902" s="13" t="n">
        <v>142</v>
      </c>
      <c r="O902" s="13" t="n">
        <v>117</v>
      </c>
      <c r="P902" s="13" t="n">
        <v>132</v>
      </c>
      <c r="Q902" s="13" t="n">
        <v>20.1</v>
      </c>
      <c r="R902" s="13" t="n">
        <v>2414</v>
      </c>
      <c r="S902" s="13" t="n">
        <v>0.93</v>
      </c>
      <c r="T902" s="13" t="n">
        <v>2255</v>
      </c>
      <c r="U902" s="13" t="n">
        <v>225</v>
      </c>
      <c r="V902" s="13" t="n">
        <v>86</v>
      </c>
      <c r="W902" s="13" t="n">
        <v>62</v>
      </c>
      <c r="X902" s="13" t="n">
        <v>438</v>
      </c>
      <c r="Y902" s="13" t="n">
        <v>35</v>
      </c>
      <c r="Z902" s="13" t="n">
        <v>213</v>
      </c>
      <c r="AA902" s="13" t="n">
        <v>0.57</v>
      </c>
      <c r="AB902" s="13" t="n">
        <v>205</v>
      </c>
      <c r="AC902" s="13" t="n">
        <v>205</v>
      </c>
      <c r="AD902" s="13" t="n">
        <v>233</v>
      </c>
      <c r="AE902" s="13" t="n">
        <v>5</v>
      </c>
      <c r="AF902" s="13" t="n">
        <v>7.8</v>
      </c>
      <c r="AG902" s="11" t="inlineStr">
        <is>
          <t xml:space="preserve"> Powder</t>
        </is>
      </c>
      <c r="AH902" s="13" t="n"/>
      <c r="AI902" s="13" t="n"/>
      <c r="AJ902" s="13" t="n"/>
      <c r="AK902" s="42" t="n"/>
    </row>
    <row r="903">
      <c r="E903" s="40" t="inlineStr">
        <is>
          <t>21/22</t>
        </is>
      </c>
      <c r="F903" s="10" t="inlineStr">
        <is>
          <t xml:space="preserve"> J Skis</t>
        </is>
      </c>
      <c r="G903" s="11" t="inlineStr">
        <is>
          <t xml:space="preserve"> The Hotshot</t>
        </is>
      </c>
      <c r="H903" s="13" t="n">
        <v>183</v>
      </c>
      <c r="I903" s="11" t="inlineStr">
        <is>
          <t xml:space="preserve"> Unisex</t>
        </is>
      </c>
      <c r="J903" s="13" t="n">
        <v>183</v>
      </c>
      <c r="K903" s="13" t="n">
        <v>180.8</v>
      </c>
      <c r="L903" s="13" t="n">
        <v>110</v>
      </c>
      <c r="M903" s="13" t="n">
        <v>145</v>
      </c>
      <c r="N903" s="13" t="n">
        <v>134</v>
      </c>
      <c r="O903" s="13" t="n">
        <v>106</v>
      </c>
      <c r="P903" s="13" t="n">
        <v>124</v>
      </c>
      <c r="Q903" s="13" t="n">
        <v>18.8</v>
      </c>
      <c r="R903" s="13" t="n">
        <v>2292</v>
      </c>
      <c r="S903" s="13" t="n">
        <v>0.91</v>
      </c>
      <c r="T903" s="13" t="n">
        <v>2087</v>
      </c>
      <c r="U903" s="13" t="n">
        <v>227</v>
      </c>
      <c r="V903" s="13" t="n">
        <v>117</v>
      </c>
      <c r="W903" s="13" t="n">
        <v>59</v>
      </c>
      <c r="X903" s="13" t="n">
        <v>444</v>
      </c>
      <c r="Y903" s="13" t="n">
        <v>39</v>
      </c>
      <c r="Z903" s="13" t="n">
        <v>265</v>
      </c>
      <c r="AA903" s="13" t="n">
        <v>0.658</v>
      </c>
      <c r="AB903" s="13" t="n">
        <v>182</v>
      </c>
      <c r="AC903" s="13" t="n">
        <v>176</v>
      </c>
      <c r="AD903" s="13" t="n">
        <v>262</v>
      </c>
      <c r="AE903" s="13" t="n">
        <v>3</v>
      </c>
      <c r="AF903" s="13" t="n">
        <v>7.6</v>
      </c>
      <c r="AG903" s="11" t="inlineStr">
        <is>
          <t xml:space="preserve"> Powder</t>
        </is>
      </c>
      <c r="AH903" s="13" t="n"/>
      <c r="AI903" s="13" t="n"/>
      <c r="AJ903" s="13" t="n"/>
      <c r="AK903" s="42" t="n"/>
    </row>
    <row r="904">
      <c r="E904" s="40" t="inlineStr">
        <is>
          <t>21/22</t>
        </is>
      </c>
      <c r="F904" s="10" t="inlineStr">
        <is>
          <t xml:space="preserve"> J Skis</t>
        </is>
      </c>
      <c r="G904" s="11" t="inlineStr">
        <is>
          <t xml:space="preserve"> The Masterblaster</t>
        </is>
      </c>
      <c r="H904" s="13" t="n">
        <v>181</v>
      </c>
      <c r="I904" s="11" t="inlineStr">
        <is>
          <t xml:space="preserve"> Unisex</t>
        </is>
      </c>
      <c r="J904" s="13" t="n">
        <v>181</v>
      </c>
      <c r="K904" s="13" t="n">
        <v>179</v>
      </c>
      <c r="L904" s="13" t="n">
        <v>124</v>
      </c>
      <c r="M904" s="13" t="n">
        <v>151</v>
      </c>
      <c r="N904" s="13" t="n">
        <v>132</v>
      </c>
      <c r="O904" s="13" t="n">
        <v>98</v>
      </c>
      <c r="P904" s="13" t="n">
        <v>117</v>
      </c>
      <c r="Q904" s="13" t="n">
        <v>19.3</v>
      </c>
      <c r="R904" s="13" t="n">
        <v>2105</v>
      </c>
      <c r="S904" s="13" t="n">
        <v>0.92</v>
      </c>
      <c r="T904" s="13" t="n">
        <v>1944</v>
      </c>
      <c r="U904" s="13" t="n">
        <v>232</v>
      </c>
      <c r="V904" s="13" t="n">
        <v>126</v>
      </c>
      <c r="W904" s="13" t="n">
        <v>56</v>
      </c>
      <c r="X904" s="13" t="n">
        <v>319</v>
      </c>
      <c r="Y904" s="13" t="n">
        <v>29</v>
      </c>
      <c r="Z904" s="13" t="n">
        <v>232</v>
      </c>
      <c r="AA904" s="13" t="n">
        <v>0.515</v>
      </c>
      <c r="AB904" s="13" t="n">
        <v>128</v>
      </c>
      <c r="AC904" s="13" t="n">
        <v>154</v>
      </c>
      <c r="AD904" s="13" t="n">
        <v>192</v>
      </c>
      <c r="AE904" s="13" t="n">
        <v>4</v>
      </c>
      <c r="AF904" s="13" t="n">
        <v>8</v>
      </c>
      <c r="AG904" s="11" t="inlineStr">
        <is>
          <t xml:space="preserve"> Resort Freeride</t>
        </is>
      </c>
      <c r="AH904" s="13" t="n"/>
      <c r="AI904" s="13" t="n"/>
      <c r="AJ904" s="13" t="n"/>
      <c r="AK904" s="42" t="n"/>
    </row>
    <row r="905">
      <c r="E905" s="40" t="inlineStr">
        <is>
          <t>21/22</t>
        </is>
      </c>
      <c r="F905" s="10" t="inlineStr">
        <is>
          <t xml:space="preserve"> J Skis</t>
        </is>
      </c>
      <c r="G905" s="11" t="inlineStr">
        <is>
          <t xml:space="preserve"> The Metal</t>
        </is>
      </c>
      <c r="H905" s="13" t="n">
        <v>180</v>
      </c>
      <c r="I905" s="11" t="inlineStr">
        <is>
          <t xml:space="preserve"> Unisex</t>
        </is>
      </c>
      <c r="J905" s="13" t="n">
        <v>180</v>
      </c>
      <c r="K905" s="13" t="n">
        <v>177.4</v>
      </c>
      <c r="L905" s="13" t="n">
        <v>108</v>
      </c>
      <c r="M905" s="13" t="n">
        <v>141</v>
      </c>
      <c r="N905" s="13" t="n">
        <v>136</v>
      </c>
      <c r="O905" s="13" t="n">
        <v>105</v>
      </c>
      <c r="P905" s="13" t="n">
        <v>125</v>
      </c>
      <c r="Q905" s="13" t="n">
        <v>17.7</v>
      </c>
      <c r="R905" s="13" t="n">
        <v>2242</v>
      </c>
      <c r="S905" s="13" t="n">
        <v>0.91</v>
      </c>
      <c r="T905" s="13" t="n">
        <v>2040</v>
      </c>
      <c r="U905" s="13" t="n">
        <v>225</v>
      </c>
      <c r="V905" s="13" t="n">
        <v>127</v>
      </c>
      <c r="W905" s="13" t="n">
        <v>57</v>
      </c>
      <c r="X905" s="13" t="n">
        <v>408</v>
      </c>
      <c r="Y905" s="13" t="n">
        <v>49</v>
      </c>
      <c r="Z905" s="13" t="n">
        <v>283</v>
      </c>
      <c r="AA905" s="13" t="n">
        <v>0.854</v>
      </c>
      <c r="AB905" s="13" t="n">
        <v>164</v>
      </c>
      <c r="AC905" s="13" t="n">
        <v>205</v>
      </c>
      <c r="AD905" s="13" t="n">
        <v>244</v>
      </c>
      <c r="AE905" s="13" t="n">
        <v>3</v>
      </c>
      <c r="AF905" s="13" t="n">
        <v>5.7</v>
      </c>
      <c r="AG905" s="11" t="inlineStr">
        <is>
          <t xml:space="preserve"> Freeski</t>
        </is>
      </c>
      <c r="AH905" s="11" t="inlineStr">
        <is>
          <t xml:space="preserve"> Powder</t>
        </is>
      </c>
      <c r="AI905" s="13" t="n"/>
      <c r="AJ905" s="13" t="n"/>
      <c r="AK905" s="42" t="n"/>
    </row>
    <row r="906">
      <c r="E906" s="40" t="inlineStr">
        <is>
          <t>21/22</t>
        </is>
      </c>
      <c r="F906" s="10" t="inlineStr">
        <is>
          <t xml:space="preserve"> J Skis</t>
        </is>
      </c>
      <c r="G906" s="11" t="inlineStr">
        <is>
          <t xml:space="preserve"> The Slacker</t>
        </is>
      </c>
      <c r="H906" s="13" t="n">
        <v>182</v>
      </c>
      <c r="I906" s="11" t="inlineStr">
        <is>
          <t xml:space="preserve"> Unisex</t>
        </is>
      </c>
      <c r="J906" s="13" t="n">
        <v>182</v>
      </c>
      <c r="K906" s="13" t="n">
        <v>179.9</v>
      </c>
      <c r="L906" s="13" t="n">
        <v>113</v>
      </c>
      <c r="M906" s="13" t="n">
        <v>147</v>
      </c>
      <c r="N906" s="13" t="n">
        <v>136</v>
      </c>
      <c r="O906" s="13" t="n">
        <v>109</v>
      </c>
      <c r="P906" s="13" t="n">
        <v>128</v>
      </c>
      <c r="Q906" s="13" t="n">
        <v>20.4</v>
      </c>
      <c r="R906" s="13" t="n">
        <v>1946</v>
      </c>
      <c r="S906" s="13" t="n">
        <v>1.1</v>
      </c>
      <c r="T906" s="13" t="n">
        <v>2132</v>
      </c>
      <c r="U906" s="13" t="n">
        <v>212</v>
      </c>
      <c r="V906" s="13" t="n">
        <v>99</v>
      </c>
      <c r="W906" s="13" t="n">
        <v>60</v>
      </c>
      <c r="X906" s="13" t="n">
        <v>447</v>
      </c>
      <c r="Y906" s="13" t="n">
        <v>30</v>
      </c>
      <c r="Z906" s="13" t="n">
        <v>218</v>
      </c>
      <c r="AA906" s="13" t="n">
        <v>0.501</v>
      </c>
      <c r="AB906" s="13" t="n">
        <v>175</v>
      </c>
      <c r="AC906" s="13" t="n">
        <v>151</v>
      </c>
      <c r="AD906" s="13" t="n">
        <v>271</v>
      </c>
      <c r="AE906" s="13" t="n">
        <v>5</v>
      </c>
      <c r="AF906" s="13" t="n">
        <v>8</v>
      </c>
      <c r="AG906" s="11" t="inlineStr">
        <is>
          <t xml:space="preserve"> Powder</t>
        </is>
      </c>
      <c r="AH906" s="11" t="inlineStr">
        <is>
          <t xml:space="preserve"> Touring</t>
        </is>
      </c>
      <c r="AI906" s="13" t="n"/>
      <c r="AJ906" s="13" t="n"/>
      <c r="AK906" s="42" t="n"/>
    </row>
    <row r="907">
      <c r="E907" s="40" t="inlineStr">
        <is>
          <t>21/22</t>
        </is>
      </c>
      <c r="F907" s="10" t="inlineStr">
        <is>
          <t xml:space="preserve"> J Skis</t>
        </is>
      </c>
      <c r="G907" s="11" t="inlineStr">
        <is>
          <t xml:space="preserve"> The Slacker</t>
        </is>
      </c>
      <c r="H907" s="13" t="n">
        <v>188</v>
      </c>
      <c r="I907" s="11" t="inlineStr">
        <is>
          <t xml:space="preserve"> Unisex</t>
        </is>
      </c>
      <c r="J907" s="13" t="n">
        <v>188</v>
      </c>
      <c r="K907" s="13" t="n">
        <v>185.4</v>
      </c>
      <c r="L907" s="13" t="n">
        <v>118</v>
      </c>
      <c r="M907" s="13" t="n">
        <v>151</v>
      </c>
      <c r="N907" s="13" t="n">
        <v>136</v>
      </c>
      <c r="O907" s="13" t="n">
        <v>109</v>
      </c>
      <c r="P907" s="13" t="n">
        <v>127</v>
      </c>
      <c r="Q907" s="13" t="n">
        <v>21.7</v>
      </c>
      <c r="R907" s="13" t="n">
        <v>1991</v>
      </c>
      <c r="S907" s="13" t="n">
        <v>1.1</v>
      </c>
      <c r="T907" s="13" t="n">
        <v>2196</v>
      </c>
      <c r="U907" s="13" t="n">
        <v>227</v>
      </c>
      <c r="V907" s="13" t="n">
        <v>102</v>
      </c>
      <c r="W907" s="13" t="n">
        <v>57</v>
      </c>
      <c r="X907" s="13" t="n">
        <v>467</v>
      </c>
      <c r="Y907" s="13" t="n">
        <v>29</v>
      </c>
      <c r="Z907" s="13" t="n">
        <v>207</v>
      </c>
      <c r="AA907" s="13" t="n">
        <v>0.512</v>
      </c>
      <c r="AB907" s="13" t="n">
        <v>172</v>
      </c>
      <c r="AC907" s="13" t="n">
        <v>169</v>
      </c>
      <c r="AD907" s="13" t="n">
        <v>295</v>
      </c>
      <c r="AE907" s="13" t="n">
        <v>3</v>
      </c>
      <c r="AF907" s="13" t="n">
        <v>8.300000000000001</v>
      </c>
      <c r="AG907" s="11" t="inlineStr">
        <is>
          <t xml:space="preserve"> Powder</t>
        </is>
      </c>
      <c r="AH907" s="11" t="inlineStr">
        <is>
          <t xml:space="preserve"> Touring</t>
        </is>
      </c>
      <c r="AI907" s="13" t="n"/>
      <c r="AJ907" s="13" t="n"/>
      <c r="AK907" s="42" t="n"/>
    </row>
    <row r="908">
      <c r="E908" s="40" t="inlineStr">
        <is>
          <t>21/22</t>
        </is>
      </c>
      <c r="F908" s="10" t="inlineStr">
        <is>
          <t xml:space="preserve"> J Skis</t>
        </is>
      </c>
      <c r="G908" s="11" t="inlineStr">
        <is>
          <t xml:space="preserve"> The Vacation</t>
        </is>
      </c>
      <c r="H908" s="13" t="n">
        <v>186</v>
      </c>
      <c r="I908" s="11" t="inlineStr">
        <is>
          <t xml:space="preserve"> Unisex</t>
        </is>
      </c>
      <c r="J908" s="13" t="n">
        <v>186</v>
      </c>
      <c r="K908" s="13" t="n">
        <v>183.7</v>
      </c>
      <c r="L908" s="13" t="n">
        <v>114</v>
      </c>
      <c r="M908" s="13" t="n">
        <v>149</v>
      </c>
      <c r="N908" s="13" t="n">
        <v>126</v>
      </c>
      <c r="O908" s="13" t="n">
        <v>103</v>
      </c>
      <c r="P908" s="13" t="n">
        <v>122</v>
      </c>
      <c r="Q908" s="13" t="n">
        <v>23</v>
      </c>
      <c r="R908" s="13" t="n">
        <v>2069</v>
      </c>
      <c r="S908" s="13" t="n">
        <v>0.99</v>
      </c>
      <c r="T908" s="13" t="n">
        <v>2047</v>
      </c>
      <c r="U908" s="13" t="n">
        <v>206</v>
      </c>
      <c r="V908" s="13" t="n">
        <v>71</v>
      </c>
      <c r="W908" s="13" t="n">
        <v>57</v>
      </c>
      <c r="X908" s="13" t="n">
        <v>477</v>
      </c>
      <c r="Y908" s="13" t="n">
        <v>42</v>
      </c>
      <c r="Z908" s="13" t="n">
        <v>223</v>
      </c>
      <c r="AA908" s="13" t="n">
        <v>0.73</v>
      </c>
      <c r="AB908" s="13" t="n">
        <v>177</v>
      </c>
      <c r="AC908" s="13" t="n">
        <v>168</v>
      </c>
      <c r="AD908" s="13" t="n">
        <v>300</v>
      </c>
      <c r="AE908" s="13" t="n">
        <v>3</v>
      </c>
      <c r="AF908" s="13" t="n">
        <v>4.8</v>
      </c>
      <c r="AG908" s="11" t="inlineStr">
        <is>
          <t xml:space="preserve"> Resort Freeride</t>
        </is>
      </c>
      <c r="AH908" s="11" t="inlineStr">
        <is>
          <t xml:space="preserve"> Powder</t>
        </is>
      </c>
      <c r="AI908" s="13" t="n"/>
      <c r="AJ908" s="13" t="n"/>
      <c r="AK908" s="42" t="n"/>
    </row>
    <row r="909">
      <c r="E909" s="40" t="inlineStr">
        <is>
          <t>21/22</t>
        </is>
      </c>
      <c r="F909" s="10" t="inlineStr">
        <is>
          <t xml:space="preserve"> J Skis</t>
        </is>
      </c>
      <c r="G909" s="11" t="inlineStr">
        <is>
          <t xml:space="preserve"> The Whipit</t>
        </is>
      </c>
      <c r="H909" s="13" t="n">
        <v>178</v>
      </c>
      <c r="I909" s="11" t="inlineStr">
        <is>
          <t xml:space="preserve"> Unisex</t>
        </is>
      </c>
      <c r="J909" s="13" t="n">
        <v>178</v>
      </c>
      <c r="K909" s="13" t="n">
        <v>175.6</v>
      </c>
      <c r="L909" s="13" t="n">
        <v>122</v>
      </c>
      <c r="M909" s="13" t="n">
        <v>147</v>
      </c>
      <c r="N909" s="13" t="n">
        <v>113</v>
      </c>
      <c r="O909" s="13" t="n">
        <v>89</v>
      </c>
      <c r="P909" s="13" t="n">
        <v>110</v>
      </c>
      <c r="Q909" s="13" t="n">
        <v>21.4</v>
      </c>
      <c r="R909" s="13" t="n">
        <v>1856</v>
      </c>
      <c r="S909" s="13" t="n">
        <v>0.92</v>
      </c>
      <c r="T909" s="13" t="n">
        <v>1716</v>
      </c>
      <c r="U909" s="13" t="n">
        <v>194</v>
      </c>
      <c r="V909" s="13" t="n">
        <v>79</v>
      </c>
      <c r="W909" s="13" t="n">
        <v>50</v>
      </c>
      <c r="X909" s="13" t="n">
        <v>266</v>
      </c>
      <c r="Y909" s="13" t="n">
        <v>49</v>
      </c>
      <c r="Z909" s="13" t="n">
        <v>271</v>
      </c>
      <c r="AA909" s="13" t="n">
        <v>0.977</v>
      </c>
      <c r="AB909" s="13" t="n">
        <v>136</v>
      </c>
      <c r="AC909" s="13" t="n">
        <v>148</v>
      </c>
      <c r="AD909" s="13" t="n">
        <v>130</v>
      </c>
      <c r="AE909" s="13" t="n">
        <v>4</v>
      </c>
      <c r="AF909" s="13" t="n">
        <v>0.3</v>
      </c>
      <c r="AG909" s="11" t="inlineStr">
        <is>
          <t xml:space="preserve"> Freeski</t>
        </is>
      </c>
      <c r="AH909" s="13" t="n"/>
      <c r="AI909" s="13" t="n"/>
      <c r="AJ909" s="13" t="n"/>
      <c r="AK909" s="42" t="n"/>
    </row>
    <row r="910">
      <c r="E910" s="40" t="inlineStr">
        <is>
          <t>21/22</t>
        </is>
      </c>
      <c r="F910" s="10" t="inlineStr">
        <is>
          <t>K2</t>
        </is>
      </c>
      <c r="G910" s="11" t="inlineStr">
        <is>
          <t>Disruption 78 Ti</t>
        </is>
      </c>
      <c r="H910" s="13" t="n">
        <v>177</v>
      </c>
      <c r="I910" s="11" t="inlineStr">
        <is>
          <t xml:space="preserve"> Unisex</t>
        </is>
      </c>
      <c r="J910" s="13" t="n">
        <v>177</v>
      </c>
      <c r="K910" s="13" t="n">
        <v>177.5</v>
      </c>
      <c r="L910" s="13" t="n">
        <v>154</v>
      </c>
      <c r="M910" s="13" t="n">
        <v>165</v>
      </c>
      <c r="N910" s="13" t="n">
        <v>123</v>
      </c>
      <c r="O910" s="13" t="n">
        <v>78</v>
      </c>
      <c r="P910" s="13" t="n">
        <v>109</v>
      </c>
      <c r="Q910" s="13" t="n">
        <v>17.7</v>
      </c>
      <c r="R910" s="13" t="n">
        <v>2146</v>
      </c>
      <c r="S910" s="13" t="n">
        <v>0.76</v>
      </c>
      <c r="T910" s="13" t="n">
        <v>1624</v>
      </c>
      <c r="U910" s="13" t="n">
        <v>249</v>
      </c>
      <c r="V910" s="13" t="n">
        <v>174</v>
      </c>
      <c r="W910" s="13" t="n">
        <v>35</v>
      </c>
      <c r="X910" s="13" t="n">
        <v>166</v>
      </c>
      <c r="Y910" s="13" t="n">
        <v>7</v>
      </c>
      <c r="Z910" s="13" t="n">
        <v>73</v>
      </c>
      <c r="AA910" s="13" t="n">
        <v>0.204</v>
      </c>
      <c r="AB910" s="13" t="n">
        <v>81</v>
      </c>
      <c r="AC910" s="13" t="n">
        <v>43</v>
      </c>
      <c r="AD910" s="13" t="n">
        <v>85</v>
      </c>
      <c r="AE910" s="13" t="n">
        <v>9</v>
      </c>
      <c r="AF910" s="13" t="n">
        <v>10.1</v>
      </c>
      <c r="AG910" s="11" t="inlineStr">
        <is>
          <t xml:space="preserve"> On-Piste Carving</t>
        </is>
      </c>
      <c r="AH910" s="13" t="n"/>
      <c r="AI910" s="13" t="n"/>
      <c r="AJ910" s="13" t="n"/>
      <c r="AK910" s="42" t="n"/>
    </row>
    <row r="911">
      <c r="E911" s="40" t="inlineStr">
        <is>
          <t>21/22</t>
        </is>
      </c>
      <c r="F911" s="10" t="inlineStr">
        <is>
          <t>K2</t>
        </is>
      </c>
      <c r="G911" s="11" t="inlineStr">
        <is>
          <t>Disruption 78C</t>
        </is>
      </c>
      <c r="H911" s="13" t="n">
        <v>156</v>
      </c>
      <c r="I911" s="11" t="inlineStr">
        <is>
          <t xml:space="preserve"> Unisex</t>
        </is>
      </c>
      <c r="J911" s="13" t="n">
        <v>156</v>
      </c>
      <c r="K911" s="13" t="n">
        <v>157</v>
      </c>
      <c r="L911" s="13" t="n">
        <v>131</v>
      </c>
      <c r="M911" s="13" t="n">
        <v>144</v>
      </c>
      <c r="N911" s="13" t="n">
        <v>124</v>
      </c>
      <c r="O911" s="13" t="n">
        <v>77</v>
      </c>
      <c r="P911" s="13" t="n">
        <v>111</v>
      </c>
      <c r="Q911" s="13" t="n">
        <v>12.6</v>
      </c>
      <c r="R911" s="13" t="n">
        <v>1719</v>
      </c>
      <c r="S911" s="13" t="n">
        <v>0.84</v>
      </c>
      <c r="T911" s="13" t="n">
        <v>1451</v>
      </c>
      <c r="U911" s="13" t="n">
        <v>151</v>
      </c>
      <c r="V911" s="13" t="n">
        <v>73</v>
      </c>
      <c r="W911" s="13" t="n">
        <v>29</v>
      </c>
      <c r="X911" s="13" t="n">
        <v>166</v>
      </c>
      <c r="Y911" s="13" t="n">
        <v>9</v>
      </c>
      <c r="Z911" s="13" t="n">
        <v>93</v>
      </c>
      <c r="AA911" s="13" t="n">
        <v>0.305</v>
      </c>
      <c r="AB911" s="13" t="n">
        <v>82</v>
      </c>
      <c r="AC911" s="13" t="n">
        <v>44</v>
      </c>
      <c r="AD911" s="13" t="n">
        <v>84</v>
      </c>
      <c r="AE911" s="13" t="n">
        <v>7</v>
      </c>
      <c r="AF911" s="13" t="n">
        <v>10</v>
      </c>
      <c r="AG911" s="11" t="inlineStr">
        <is>
          <t xml:space="preserve"> On-Piste Carving</t>
        </is>
      </c>
      <c r="AH911" s="13" t="n"/>
      <c r="AI911" s="13" t="n"/>
      <c r="AJ911" s="13" t="n"/>
      <c r="AK911" s="42" t="n"/>
    </row>
    <row r="912">
      <c r="E912" s="40" t="inlineStr">
        <is>
          <t>21/22</t>
        </is>
      </c>
      <c r="F912" s="10" t="inlineStr">
        <is>
          <t>K2</t>
        </is>
      </c>
      <c r="G912" s="11" t="inlineStr">
        <is>
          <t>Disruption 78C</t>
        </is>
      </c>
      <c r="H912" s="13" t="n">
        <v>163</v>
      </c>
      <c r="I912" s="11" t="inlineStr">
        <is>
          <t xml:space="preserve"> Unisex</t>
        </is>
      </c>
      <c r="J912" s="13" t="n">
        <v>163</v>
      </c>
      <c r="K912" s="13" t="n">
        <v>163.6</v>
      </c>
      <c r="L912" s="13" t="n">
        <v>144</v>
      </c>
      <c r="M912" s="13" t="n">
        <v>151</v>
      </c>
      <c r="N912" s="13" t="n">
        <v>124</v>
      </c>
      <c r="O912" s="13" t="n">
        <v>77</v>
      </c>
      <c r="P912" s="13" t="n">
        <v>110</v>
      </c>
      <c r="Q912" s="13" t="n">
        <v>14.1</v>
      </c>
      <c r="R912" s="13" t="n">
        <v>1784</v>
      </c>
      <c r="S912" s="13" t="n">
        <v>0.85</v>
      </c>
      <c r="T912" s="13" t="n">
        <v>1508</v>
      </c>
      <c r="U912" s="13" t="n">
        <v>183</v>
      </c>
      <c r="V912" s="13" t="n">
        <v>90</v>
      </c>
      <c r="W912" s="13" t="n">
        <v>33</v>
      </c>
      <c r="X912" s="13" t="n">
        <v>129</v>
      </c>
      <c r="Y912" s="13" t="n">
        <v>7</v>
      </c>
      <c r="Z912" s="13" t="n">
        <v>63</v>
      </c>
      <c r="AA912" s="13" t="n">
        <v>0.2</v>
      </c>
      <c r="AB912" s="13" t="n">
        <v>80</v>
      </c>
      <c r="AC912" s="13" t="n">
        <v>41</v>
      </c>
      <c r="AD912" s="13" t="n">
        <v>48</v>
      </c>
      <c r="AE912" s="13" t="n">
        <v>10</v>
      </c>
      <c r="AF912" s="13" t="n">
        <v>10.4</v>
      </c>
      <c r="AG912" s="11" t="inlineStr">
        <is>
          <t xml:space="preserve"> On-Piste Carving</t>
        </is>
      </c>
      <c r="AH912" s="13" t="n"/>
      <c r="AI912" s="13" t="n"/>
      <c r="AJ912" s="13" t="n"/>
      <c r="AK912" s="42" t="n"/>
    </row>
    <row r="913">
      <c r="E913" s="40" t="inlineStr">
        <is>
          <t>21/22</t>
        </is>
      </c>
      <c r="F913" s="10" t="inlineStr">
        <is>
          <t>K2</t>
        </is>
      </c>
      <c r="G913" s="11" t="inlineStr">
        <is>
          <t>Disruption 78C</t>
        </is>
      </c>
      <c r="H913" s="13" t="n">
        <v>170</v>
      </c>
      <c r="I913" s="11" t="inlineStr">
        <is>
          <t xml:space="preserve"> Unisex</t>
        </is>
      </c>
      <c r="J913" s="13" t="n">
        <v>170</v>
      </c>
      <c r="K913" s="13" t="n">
        <v>170.7</v>
      </c>
      <c r="L913" s="13" t="n">
        <v>150</v>
      </c>
      <c r="M913" s="13" t="n">
        <v>159</v>
      </c>
      <c r="N913" s="13" t="n">
        <v>124</v>
      </c>
      <c r="O913" s="13" t="n">
        <v>77</v>
      </c>
      <c r="P913" s="13" t="n">
        <v>110</v>
      </c>
      <c r="Q913" s="13" t="n">
        <v>15.4</v>
      </c>
      <c r="R913" s="13" t="n">
        <v>1835</v>
      </c>
      <c r="S913" s="13" t="n">
        <v>0.86</v>
      </c>
      <c r="T913" s="13" t="n">
        <v>1572</v>
      </c>
      <c r="U913" s="13" t="n">
        <v>205</v>
      </c>
      <c r="V913" s="13" t="n">
        <v>93</v>
      </c>
      <c r="W913" s="13" t="n">
        <v>33</v>
      </c>
      <c r="X913" s="13" t="n">
        <v>144</v>
      </c>
      <c r="Y913" s="13" t="n">
        <v>7</v>
      </c>
      <c r="Z913" s="13" t="n">
        <v>65</v>
      </c>
      <c r="AA913" s="13" t="n">
        <v>0.217</v>
      </c>
      <c r="AB913" s="13" t="n">
        <v>76</v>
      </c>
      <c r="AC913" s="13" t="n">
        <v>44</v>
      </c>
      <c r="AD913" s="13" t="n">
        <v>68</v>
      </c>
      <c r="AE913" s="13" t="n">
        <v>11</v>
      </c>
      <c r="AF913" s="13" t="n">
        <v>10.7</v>
      </c>
      <c r="AG913" s="11" t="inlineStr">
        <is>
          <t xml:space="preserve"> On-Piste Carving</t>
        </is>
      </c>
      <c r="AH913" s="13" t="n"/>
      <c r="AI913" s="13" t="n"/>
      <c r="AJ913" s="13" t="n"/>
      <c r="AK913" s="42" t="n"/>
    </row>
    <row r="914">
      <c r="E914" s="40" t="inlineStr">
        <is>
          <t>21/22</t>
        </is>
      </c>
      <c r="F914" s="10" t="inlineStr">
        <is>
          <t>K2</t>
        </is>
      </c>
      <c r="G914" s="11" t="inlineStr">
        <is>
          <t>Disruption 78C</t>
        </is>
      </c>
      <c r="H914" s="13" t="n">
        <v>177</v>
      </c>
      <c r="I914" s="11" t="inlineStr">
        <is>
          <t xml:space="preserve"> Unisex</t>
        </is>
      </c>
      <c r="J914" s="13" t="n">
        <v>177</v>
      </c>
      <c r="K914" s="13" t="n">
        <v>177.8</v>
      </c>
      <c r="L914" s="13" t="n">
        <v>159</v>
      </c>
      <c r="M914" s="13" t="n">
        <v>166</v>
      </c>
      <c r="N914" s="13" t="n">
        <v>124</v>
      </c>
      <c r="O914" s="13" t="n">
        <v>77</v>
      </c>
      <c r="P914" s="13" t="n">
        <v>110</v>
      </c>
      <c r="Q914" s="13" t="n">
        <v>16.9</v>
      </c>
      <c r="R914" s="13" t="n">
        <v>2051</v>
      </c>
      <c r="S914" s="13" t="n">
        <v>0.79</v>
      </c>
      <c r="T914" s="13" t="n">
        <v>1627</v>
      </c>
      <c r="U914" s="13" t="n">
        <v>230</v>
      </c>
      <c r="V914" s="13" t="n">
        <v>102</v>
      </c>
      <c r="W914" s="13" t="n">
        <v>33</v>
      </c>
      <c r="X914" s="13" t="n">
        <v>135</v>
      </c>
      <c r="Y914" s="13" t="n">
        <v>6</v>
      </c>
      <c r="Z914" s="13" t="n">
        <v>57</v>
      </c>
      <c r="AA914" s="13" t="n">
        <v>0.191</v>
      </c>
      <c r="AB914" s="13" t="n">
        <v>81</v>
      </c>
      <c r="AC914" s="13" t="n">
        <v>42</v>
      </c>
      <c r="AD914" s="13" t="n">
        <v>54</v>
      </c>
      <c r="AE914" s="13" t="n">
        <v>12</v>
      </c>
      <c r="AF914" s="13" t="n">
        <v>10.4</v>
      </c>
      <c r="AG914" s="11" t="inlineStr">
        <is>
          <t xml:space="preserve"> On-Piste Carving</t>
        </is>
      </c>
      <c r="AH914" s="13" t="n"/>
      <c r="AI914" s="13" t="n"/>
      <c r="AJ914" s="13" t="n"/>
      <c r="AK914" s="42" t="n"/>
    </row>
    <row r="915">
      <c r="E915" s="40" t="inlineStr">
        <is>
          <t>21/22</t>
        </is>
      </c>
      <c r="F915" s="10" t="inlineStr">
        <is>
          <t>K2</t>
        </is>
      </c>
      <c r="G915" s="11" t="inlineStr">
        <is>
          <t>Disruption 82 Ti</t>
        </is>
      </c>
      <c r="H915" s="13" t="n">
        <v>170</v>
      </c>
      <c r="I915" s="11" t="inlineStr">
        <is>
          <t xml:space="preserve"> Unisex</t>
        </is>
      </c>
      <c r="J915" s="13" t="n">
        <v>170</v>
      </c>
      <c r="K915" s="13" t="n">
        <v>170.5</v>
      </c>
      <c r="L915" s="13" t="n">
        <v>149</v>
      </c>
      <c r="M915" s="13" t="n">
        <v>159</v>
      </c>
      <c r="N915" s="13" t="n">
        <v>125</v>
      </c>
      <c r="O915" s="13" t="n">
        <v>81</v>
      </c>
      <c r="P915" s="13" t="n">
        <v>111</v>
      </c>
      <c r="Q915" s="13" t="n">
        <v>17</v>
      </c>
      <c r="R915" s="13" t="n">
        <v>2122</v>
      </c>
      <c r="S915" s="13" t="n">
        <v>0.76</v>
      </c>
      <c r="T915" s="13" t="n">
        <v>1613</v>
      </c>
      <c r="U915" s="13" t="n">
        <v>233</v>
      </c>
      <c r="V915" s="13" t="n">
        <v>163</v>
      </c>
      <c r="W915" s="13" t="n">
        <v>32</v>
      </c>
      <c r="X915" s="13" t="n">
        <v>144</v>
      </c>
      <c r="Y915" s="13" t="n">
        <v>7</v>
      </c>
      <c r="Z915" s="13" t="n">
        <v>68</v>
      </c>
      <c r="AA915" s="13" t="n">
        <v>0.217</v>
      </c>
      <c r="AB915" s="13" t="n">
        <v>74</v>
      </c>
      <c r="AC915" s="13" t="n">
        <v>40</v>
      </c>
      <c r="AD915" s="13" t="n">
        <v>70</v>
      </c>
      <c r="AE915" s="13" t="n">
        <v>9</v>
      </c>
      <c r="AF915" s="13" t="n">
        <v>10.7</v>
      </c>
      <c r="AG915" s="11" t="inlineStr">
        <is>
          <t xml:space="preserve"> On-Piste Carving</t>
        </is>
      </c>
      <c r="AH915" s="11" t="inlineStr">
        <is>
          <t xml:space="preserve"> Resort Freeride</t>
        </is>
      </c>
      <c r="AI915" s="13" t="n"/>
      <c r="AJ915" s="13" t="n"/>
      <c r="AK915" s="42" t="n"/>
    </row>
    <row r="916">
      <c r="E916" s="40" t="inlineStr">
        <is>
          <t>21/22</t>
        </is>
      </c>
      <c r="F916" s="10" t="inlineStr">
        <is>
          <t>K2</t>
        </is>
      </c>
      <c r="G916" s="11" t="inlineStr">
        <is>
          <t>Disruption 82 Ti</t>
        </is>
      </c>
      <c r="H916" s="13" t="n">
        <v>177</v>
      </c>
      <c r="I916" s="11" t="inlineStr">
        <is>
          <t xml:space="preserve"> Unisex</t>
        </is>
      </c>
      <c r="J916" s="13" t="n">
        <v>177</v>
      </c>
      <c r="K916" s="13" t="n">
        <v>177.6</v>
      </c>
      <c r="L916" s="13" t="n">
        <v>147</v>
      </c>
      <c r="M916" s="13" t="n">
        <v>165</v>
      </c>
      <c r="N916" s="13" t="n">
        <v>124</v>
      </c>
      <c r="O916" s="13" t="n">
        <v>81</v>
      </c>
      <c r="P916" s="13" t="n">
        <v>111</v>
      </c>
      <c r="Q916" s="13" t="n">
        <v>18.4</v>
      </c>
      <c r="R916" s="13" t="n">
        <v>2209</v>
      </c>
      <c r="S916" s="13" t="n">
        <v>0.76</v>
      </c>
      <c r="T916" s="13" t="n">
        <v>1678</v>
      </c>
      <c r="U916" s="13" t="n">
        <v>258</v>
      </c>
      <c r="V916" s="13" t="n">
        <v>188</v>
      </c>
      <c r="W916" s="13" t="n">
        <v>34</v>
      </c>
      <c r="X916" s="13" t="n">
        <v>176</v>
      </c>
      <c r="Y916" s="13" t="n">
        <v>9</v>
      </c>
      <c r="Z916" s="13" t="n">
        <v>128</v>
      </c>
      <c r="AA916" s="13" t="n">
        <v>0.253</v>
      </c>
      <c r="AB916" s="13" t="n">
        <v>81</v>
      </c>
      <c r="AC916" s="13" t="n">
        <v>44</v>
      </c>
      <c r="AD916" s="13" t="n">
        <v>95</v>
      </c>
      <c r="AE916" s="13" t="n">
        <v>8</v>
      </c>
      <c r="AF916" s="13" t="n">
        <v>11.5</v>
      </c>
      <c r="AG916" s="11" t="inlineStr">
        <is>
          <t xml:space="preserve"> Resort Freeride</t>
        </is>
      </c>
      <c r="AH916" s="13" t="n"/>
      <c r="AI916" s="13" t="n"/>
      <c r="AJ916" s="13" t="n"/>
      <c r="AK916" s="42" t="n"/>
    </row>
    <row r="917">
      <c r="E917" s="40" t="inlineStr">
        <is>
          <t>21/22</t>
        </is>
      </c>
      <c r="F917" s="10" t="inlineStr">
        <is>
          <t>K2</t>
        </is>
      </c>
      <c r="G917" s="11" t="inlineStr">
        <is>
          <t>Disruption 82 Ti</t>
        </is>
      </c>
      <c r="H917" s="13" t="n">
        <v>184</v>
      </c>
      <c r="I917" s="11" t="inlineStr">
        <is>
          <t xml:space="preserve"> Unisex</t>
        </is>
      </c>
      <c r="J917" s="13" t="n">
        <v>184</v>
      </c>
      <c r="K917" s="13" t="n">
        <v>184.5</v>
      </c>
      <c r="L917" s="13" t="n">
        <v>152</v>
      </c>
      <c r="M917" s="13" t="n">
        <v>173</v>
      </c>
      <c r="N917" s="13" t="n">
        <v>125</v>
      </c>
      <c r="O917" s="13" t="n">
        <v>81</v>
      </c>
      <c r="P917" s="13" t="n">
        <v>111</v>
      </c>
      <c r="Q917" s="13" t="n">
        <v>20.3</v>
      </c>
      <c r="R917" s="13" t="n">
        <v>2322</v>
      </c>
      <c r="S917" s="13" t="n">
        <v>0.75</v>
      </c>
      <c r="T917" s="13" t="n">
        <v>1743</v>
      </c>
      <c r="U917" s="13" t="n">
        <v>301</v>
      </c>
      <c r="V917" s="13" t="n">
        <v>203</v>
      </c>
      <c r="W917" s="13" t="n">
        <v>35</v>
      </c>
      <c r="X917" s="13" t="n">
        <v>160</v>
      </c>
      <c r="Y917" s="13" t="n">
        <v>8</v>
      </c>
      <c r="Z917" s="13" t="n">
        <v>162</v>
      </c>
      <c r="AA917" s="13" t="n">
        <v>0.233</v>
      </c>
      <c r="AB917" s="13" t="n">
        <v>74</v>
      </c>
      <c r="AC917" s="13" t="n">
        <v>40</v>
      </c>
      <c r="AD917" s="13" t="n">
        <v>86</v>
      </c>
      <c r="AE917" s="13" t="n">
        <v>10</v>
      </c>
      <c r="AF917" s="13" t="n">
        <v>11.4</v>
      </c>
      <c r="AG917" s="11" t="inlineStr">
        <is>
          <t xml:space="preserve"> Resort Freeride</t>
        </is>
      </c>
      <c r="AH917" s="13" t="n"/>
      <c r="AI917" s="13" t="n"/>
      <c r="AJ917" s="13" t="n"/>
      <c r="AK917" s="42" t="n"/>
    </row>
    <row r="918">
      <c r="E918" s="40" t="inlineStr">
        <is>
          <t>21/22</t>
        </is>
      </c>
      <c r="F918" s="10" t="inlineStr">
        <is>
          <t>K2</t>
        </is>
      </c>
      <c r="G918" s="11" t="inlineStr">
        <is>
          <t xml:space="preserve"> Disruption Mti</t>
        </is>
      </c>
      <c r="H918" s="13" t="n">
        <v>175</v>
      </c>
      <c r="I918" s="11" t="inlineStr">
        <is>
          <t xml:space="preserve"> Unisex</t>
        </is>
      </c>
      <c r="J918" s="13" t="n">
        <v>175</v>
      </c>
      <c r="K918" s="13" t="n">
        <v>175.6</v>
      </c>
      <c r="L918" s="13" t="n">
        <v>160</v>
      </c>
      <c r="M918" s="13" t="n">
        <v>165</v>
      </c>
      <c r="N918" s="13" t="n">
        <v>118</v>
      </c>
      <c r="O918" s="13" t="n">
        <v>73</v>
      </c>
      <c r="P918" s="13" t="n">
        <v>103</v>
      </c>
      <c r="Q918" s="13" t="n">
        <v>18</v>
      </c>
      <c r="R918" s="13" t="n">
        <v>2280</v>
      </c>
      <c r="S918" s="13" t="n">
        <v>0.67</v>
      </c>
      <c r="T918" s="13" t="n">
        <v>1528</v>
      </c>
      <c r="U918" s="13" t="n">
        <v>230</v>
      </c>
      <c r="V918" s="13" t="n">
        <v>153</v>
      </c>
      <c r="W918" s="13" t="n">
        <v>24</v>
      </c>
      <c r="X918" s="13" t="n">
        <v>110</v>
      </c>
      <c r="Y918" s="13" t="n">
        <v>3</v>
      </c>
      <c r="Z918" s="13" t="n">
        <v>43</v>
      </c>
      <c r="AA918" s="13" t="n">
        <v>0.125</v>
      </c>
      <c r="AB918" s="13" t="n">
        <v>73</v>
      </c>
      <c r="AC918" s="13" t="n">
        <v>30</v>
      </c>
      <c r="AD918" s="13" t="n">
        <v>37</v>
      </c>
      <c r="AE918" s="13" t="n">
        <v>12</v>
      </c>
      <c r="AF918" s="13" t="n">
        <v>12.7</v>
      </c>
      <c r="AG918" s="11" t="inlineStr">
        <is>
          <t xml:space="preserve"> On-Piste Carving</t>
        </is>
      </c>
      <c r="AH918" s="13" t="n"/>
      <c r="AI918" s="13" t="n"/>
      <c r="AJ918" s="13" t="n"/>
      <c r="AK918" s="42" t="n"/>
    </row>
    <row r="919">
      <c r="E919" s="40" t="inlineStr">
        <is>
          <t>21/22</t>
        </is>
      </c>
      <c r="F919" s="10" t="inlineStr">
        <is>
          <t>K2</t>
        </is>
      </c>
      <c r="G919" s="11" t="inlineStr">
        <is>
          <t xml:space="preserve"> Disruption Mti Alliance</t>
        </is>
      </c>
      <c r="H919" s="13" t="n">
        <v>160</v>
      </c>
      <c r="I919" s="11" t="inlineStr">
        <is>
          <t xml:space="preserve"> Women's</t>
        </is>
      </c>
      <c r="J919" s="13" t="n">
        <v>160</v>
      </c>
      <c r="K919" s="13" t="n">
        <v>160.7</v>
      </c>
      <c r="L919" s="13" t="n">
        <v>143</v>
      </c>
      <c r="M919" s="13" t="n">
        <v>150</v>
      </c>
      <c r="N919" s="13" t="n">
        <v>115</v>
      </c>
      <c r="O919" s="13" t="n">
        <v>71</v>
      </c>
      <c r="P919" s="13" t="n">
        <v>103</v>
      </c>
      <c r="Q919" s="13" t="n">
        <v>14.7</v>
      </c>
      <c r="R919" s="13" t="n">
        <v>1869</v>
      </c>
      <c r="S919" s="13" t="n">
        <v>0.73</v>
      </c>
      <c r="T919" s="13" t="n">
        <v>1368</v>
      </c>
      <c r="U919" s="13" t="n">
        <v>188</v>
      </c>
      <c r="V919" s="13" t="n">
        <v>119</v>
      </c>
      <c r="W919" s="13" t="n">
        <v>31</v>
      </c>
      <c r="X919" s="13" t="n">
        <v>138</v>
      </c>
      <c r="Y919" s="13" t="n">
        <v>3</v>
      </c>
      <c r="Z919" s="13" t="n">
        <v>42</v>
      </c>
      <c r="AA919" s="13" t="n">
        <v>0.091</v>
      </c>
      <c r="AB919" s="13" t="n">
        <v>81</v>
      </c>
      <c r="AC919" s="13" t="n">
        <v>29</v>
      </c>
      <c r="AD919" s="13" t="n">
        <v>56</v>
      </c>
      <c r="AE919" s="13" t="n">
        <v>12</v>
      </c>
      <c r="AF919" s="13" t="n">
        <v>10.4</v>
      </c>
      <c r="AG919" s="11" t="inlineStr">
        <is>
          <t xml:space="preserve"> On-Piste Carving</t>
        </is>
      </c>
      <c r="AH919" s="13" t="n"/>
      <c r="AI919" s="13" t="n"/>
      <c r="AJ919" s="13" t="n"/>
      <c r="AK919" s="42" t="n"/>
    </row>
    <row r="920">
      <c r="E920" s="40" t="inlineStr">
        <is>
          <t>21/22</t>
        </is>
      </c>
      <c r="F920" s="10" t="inlineStr">
        <is>
          <t>K2</t>
        </is>
      </c>
      <c r="G920" s="11" t="inlineStr">
        <is>
          <t xml:space="preserve"> Midnight</t>
        </is>
      </c>
      <c r="H920" s="13" t="n">
        <v>159</v>
      </c>
      <c r="I920" s="11" t="inlineStr">
        <is>
          <t xml:space="preserve"> Women's</t>
        </is>
      </c>
      <c r="J920" s="13" t="n">
        <v>159</v>
      </c>
      <c r="K920" s="13" t="n">
        <v>159.7</v>
      </c>
      <c r="L920" s="13" t="n">
        <v>111</v>
      </c>
      <c r="M920" s="13" t="n">
        <v>129</v>
      </c>
      <c r="N920" s="13" t="n">
        <v>117</v>
      </c>
      <c r="O920" s="13" t="n">
        <v>88</v>
      </c>
      <c r="P920" s="13" t="n">
        <v>111</v>
      </c>
      <c r="Q920" s="13" t="n">
        <v>14.4</v>
      </c>
      <c r="R920" s="13" t="n">
        <v>1705</v>
      </c>
      <c r="S920" s="13" t="n">
        <v>0.92</v>
      </c>
      <c r="T920" s="13" t="n">
        <v>1573</v>
      </c>
      <c r="U920" s="13" t="n">
        <v>173</v>
      </c>
      <c r="V920" s="13" t="n">
        <v>92</v>
      </c>
      <c r="W920" s="13" t="n">
        <v>50</v>
      </c>
      <c r="X920" s="13" t="n">
        <v>233</v>
      </c>
      <c r="Y920" s="13" t="n">
        <v>47</v>
      </c>
      <c r="Z920" s="13" t="n">
        <v>257</v>
      </c>
      <c r="AA920" s="13" t="n">
        <v>0.9360000000000001</v>
      </c>
      <c r="AB920" s="13" t="n">
        <v>156</v>
      </c>
      <c r="AC920" s="13" t="n">
        <v>154</v>
      </c>
      <c r="AD920" s="13" t="n">
        <v>77</v>
      </c>
      <c r="AE920" s="13" t="n">
        <v>5</v>
      </c>
      <c r="AF920" s="13" t="n">
        <v>3.5</v>
      </c>
      <c r="AG920" s="11" t="inlineStr">
        <is>
          <t xml:space="preserve"> Freeski</t>
        </is>
      </c>
      <c r="AH920" s="13" t="n"/>
      <c r="AI920" s="13" t="n"/>
      <c r="AJ920" s="13" t="n"/>
      <c r="AK920" s="42" t="n"/>
    </row>
    <row r="921">
      <c r="E921" s="40" t="inlineStr">
        <is>
          <t>21/22</t>
        </is>
      </c>
      <c r="F921" s="10" t="inlineStr">
        <is>
          <t>K2</t>
        </is>
      </c>
      <c r="G921" s="11" t="inlineStr">
        <is>
          <t xml:space="preserve"> Midnight</t>
        </is>
      </c>
      <c r="H921" s="13" t="n">
        <v>169</v>
      </c>
      <c r="I921" s="11" t="inlineStr">
        <is>
          <t xml:space="preserve"> Women's</t>
        </is>
      </c>
      <c r="J921" s="13" t="n">
        <v>169</v>
      </c>
      <c r="K921" s="13" t="n">
        <v>169.8</v>
      </c>
      <c r="L921" s="13" t="n">
        <v>128</v>
      </c>
      <c r="M921" s="13" t="n">
        <v>139</v>
      </c>
      <c r="N921" s="13" t="n">
        <v>116</v>
      </c>
      <c r="O921" s="13" t="n">
        <v>87</v>
      </c>
      <c r="P921" s="13" t="n">
        <v>110</v>
      </c>
      <c r="Q921" s="13" t="n">
        <v>17</v>
      </c>
      <c r="R921" s="13" t="n">
        <v>1786</v>
      </c>
      <c r="S921" s="13" t="n">
        <v>0.93</v>
      </c>
      <c r="T921" s="13" t="n">
        <v>1659</v>
      </c>
      <c r="U921" s="13" t="n">
        <v>173</v>
      </c>
      <c r="V921" s="13" t="n">
        <v>78</v>
      </c>
      <c r="W921" s="13" t="n">
        <v>49</v>
      </c>
      <c r="X921" s="13" t="n">
        <v>209</v>
      </c>
      <c r="Y921" s="13" t="n">
        <v>48</v>
      </c>
      <c r="Z921" s="13" t="n">
        <v>210</v>
      </c>
      <c r="AA921" s="13" t="n">
        <v>0.972</v>
      </c>
      <c r="AB921" s="13" t="n">
        <v>160</v>
      </c>
      <c r="AC921" s="13" t="n">
        <v>149</v>
      </c>
      <c r="AD921" s="13" t="n">
        <v>49</v>
      </c>
      <c r="AE921" s="13" t="n">
        <v>6</v>
      </c>
      <c r="AF921" s="13" t="n">
        <v>3.8</v>
      </c>
      <c r="AG921" s="11" t="inlineStr">
        <is>
          <t xml:space="preserve"> Freeski</t>
        </is>
      </c>
      <c r="AH921" s="13" t="n"/>
      <c r="AI921" s="13" t="n"/>
      <c r="AJ921" s="13" t="n"/>
      <c r="AK921" s="42" t="n"/>
    </row>
    <row r="922">
      <c r="E922" s="40" t="inlineStr">
        <is>
          <t>21/22</t>
        </is>
      </c>
      <c r="F922" s="10" t="inlineStr">
        <is>
          <t>K2</t>
        </is>
      </c>
      <c r="G922" s="11" t="inlineStr">
        <is>
          <t>Mindbender 106 C Alliance</t>
        </is>
      </c>
      <c r="H922" s="13" t="n">
        <v>159</v>
      </c>
      <c r="I922" s="11" t="inlineStr">
        <is>
          <t xml:space="preserve"> Women's</t>
        </is>
      </c>
      <c r="J922" s="13" t="n">
        <v>159</v>
      </c>
      <c r="K922" s="13" t="n">
        <v>159.8</v>
      </c>
      <c r="L922" s="13" t="n">
        <v>101</v>
      </c>
      <c r="M922" s="13" t="n">
        <v>121</v>
      </c>
      <c r="N922" s="13" t="n">
        <v>139</v>
      </c>
      <c r="O922" s="13" t="n">
        <v>105</v>
      </c>
      <c r="P922" s="13" t="n">
        <v>123</v>
      </c>
      <c r="Q922" s="13" t="n">
        <v>13.5</v>
      </c>
      <c r="R922" s="13" t="n">
        <v>1535</v>
      </c>
      <c r="S922" s="13" t="n">
        <v>1.2</v>
      </c>
      <c r="T922" s="13" t="n">
        <v>1847</v>
      </c>
      <c r="U922" s="13" t="n">
        <v>142</v>
      </c>
      <c r="V922" s="13" t="n">
        <v>67</v>
      </c>
      <c r="W922" s="13" t="n">
        <v>47</v>
      </c>
      <c r="X922" s="13" t="n">
        <v>329</v>
      </c>
      <c r="Y922" s="13" t="n">
        <v>25</v>
      </c>
      <c r="Z922" s="13" t="n">
        <v>263</v>
      </c>
      <c r="AA922" s="13" t="n">
        <v>0.537</v>
      </c>
      <c r="AB922" s="13" t="n">
        <v>190</v>
      </c>
      <c r="AC922" s="13" t="n">
        <v>196</v>
      </c>
      <c r="AD922" s="13" t="n">
        <v>139</v>
      </c>
      <c r="AE922" s="13" t="n">
        <v>7</v>
      </c>
      <c r="AF922" s="13" t="n">
        <v>9.199999999999999</v>
      </c>
      <c r="AG922" s="11" t="inlineStr">
        <is>
          <t xml:space="preserve"> Powder</t>
        </is>
      </c>
      <c r="AH922" s="11" t="inlineStr">
        <is>
          <t xml:space="preserve"> Touring</t>
        </is>
      </c>
      <c r="AI922" s="13" t="n"/>
      <c r="AJ922" s="13" t="n"/>
      <c r="AK922" s="42" t="n"/>
    </row>
    <row r="923">
      <c r="E923" s="40" t="inlineStr">
        <is>
          <t>21/22</t>
        </is>
      </c>
      <c r="F923" s="10" t="inlineStr">
        <is>
          <t>K2</t>
        </is>
      </c>
      <c r="G923" s="11" t="inlineStr">
        <is>
          <t>Mindbender 106 C Alliance</t>
        </is>
      </c>
      <c r="H923" s="13" t="n">
        <v>167</v>
      </c>
      <c r="I923" s="11" t="inlineStr">
        <is>
          <t xml:space="preserve"> Women's</t>
        </is>
      </c>
      <c r="J923" s="13" t="n">
        <v>167</v>
      </c>
      <c r="K923" s="13" t="n">
        <v>167.8</v>
      </c>
      <c r="L923" s="13" t="n">
        <v>104</v>
      </c>
      <c r="M923" s="13" t="n">
        <v>129</v>
      </c>
      <c r="N923" s="13" t="n">
        <v>138</v>
      </c>
      <c r="O923" s="13" t="n">
        <v>105</v>
      </c>
      <c r="P923" s="13" t="n">
        <v>123</v>
      </c>
      <c r="Q923" s="13" t="n">
        <v>15.2</v>
      </c>
      <c r="R923" s="13" t="n">
        <v>1686</v>
      </c>
      <c r="S923" s="13" t="n">
        <v>1.15</v>
      </c>
      <c r="T923" s="13" t="n">
        <v>1940</v>
      </c>
      <c r="U923" s="13" t="n">
        <v>160</v>
      </c>
      <c r="V923" s="13" t="n">
        <v>75</v>
      </c>
      <c r="W923" s="13" t="n">
        <v>46</v>
      </c>
      <c r="X923" s="13" t="n">
        <v>379</v>
      </c>
      <c r="Y923" s="13" t="n">
        <v>22</v>
      </c>
      <c r="Z923" s="13" t="n">
        <v>255</v>
      </c>
      <c r="AA923" s="13" t="n">
        <v>0.481</v>
      </c>
      <c r="AB923" s="13" t="n">
        <v>190</v>
      </c>
      <c r="AC923" s="13" t="n">
        <v>195</v>
      </c>
      <c r="AD923" s="13" t="n">
        <v>189</v>
      </c>
      <c r="AE923" s="13" t="n">
        <v>6</v>
      </c>
      <c r="AF923" s="13" t="n">
        <v>9.9</v>
      </c>
      <c r="AG923" s="11" t="inlineStr">
        <is>
          <t xml:space="preserve"> Powder</t>
        </is>
      </c>
      <c r="AH923" s="11" t="inlineStr">
        <is>
          <t xml:space="preserve"> Touring</t>
        </is>
      </c>
      <c r="AI923" s="13" t="n"/>
      <c r="AJ923" s="13" t="n"/>
      <c r="AK923" s="42" t="n"/>
    </row>
    <row r="924">
      <c r="E924" s="40" t="inlineStr">
        <is>
          <t>21/22</t>
        </is>
      </c>
      <c r="F924" s="10" t="inlineStr">
        <is>
          <t>K2</t>
        </is>
      </c>
      <c r="G924" s="11" t="inlineStr">
        <is>
          <t>Mindbender 108 Ti</t>
        </is>
      </c>
      <c r="H924" s="13" t="n">
        <v>172</v>
      </c>
      <c r="I924" s="11" t="inlineStr">
        <is>
          <t xml:space="preserve"> Unisex</t>
        </is>
      </c>
      <c r="J924" s="13" t="n">
        <v>172</v>
      </c>
      <c r="K924" s="13" t="n">
        <v>172.2</v>
      </c>
      <c r="L924" s="13" t="n">
        <v>100</v>
      </c>
      <c r="M924" s="13" t="n">
        <v>137</v>
      </c>
      <c r="N924" s="13" t="n">
        <v>136</v>
      </c>
      <c r="O924" s="13" t="n">
        <v>107</v>
      </c>
      <c r="P924" s="13" t="n">
        <v>124</v>
      </c>
      <c r="Q924" s="13" t="n">
        <v>19.3</v>
      </c>
      <c r="R924" s="13" t="n">
        <v>1923</v>
      </c>
      <c r="S924" s="13" t="n">
        <v>1.04</v>
      </c>
      <c r="T924" s="13" t="n">
        <v>1999</v>
      </c>
      <c r="U924" s="13" t="n">
        <v>182</v>
      </c>
      <c r="V924" s="13" t="n">
        <v>120</v>
      </c>
      <c r="W924" s="13" t="n">
        <v>48</v>
      </c>
      <c r="X924" s="13" t="n">
        <v>402</v>
      </c>
      <c r="Y924" s="13" t="n">
        <v>25</v>
      </c>
      <c r="Z924" s="13" t="n">
        <v>315</v>
      </c>
      <c r="AA924" s="13" t="n">
        <v>0.521</v>
      </c>
      <c r="AB924" s="13" t="n">
        <v>182</v>
      </c>
      <c r="AC924" s="13" t="n">
        <v>169</v>
      </c>
      <c r="AD924" s="13" t="n">
        <v>220</v>
      </c>
      <c r="AE924" s="13" t="n">
        <v>4</v>
      </c>
      <c r="AF924" s="13" t="n">
        <v>9.300000000000001</v>
      </c>
      <c r="AG924" s="11" t="inlineStr">
        <is>
          <t xml:space="preserve"> Powder</t>
        </is>
      </c>
      <c r="AH924" s="13" t="n"/>
      <c r="AI924" s="13" t="n"/>
      <c r="AJ924" s="13" t="n"/>
      <c r="AK924" s="42" t="n"/>
    </row>
    <row r="925">
      <c r="E925" s="40" t="inlineStr">
        <is>
          <t>21/22</t>
        </is>
      </c>
      <c r="F925" s="10" t="inlineStr">
        <is>
          <t>K2</t>
        </is>
      </c>
      <c r="G925" s="11" t="inlineStr">
        <is>
          <t>Mindbender 108 Ti</t>
        </is>
      </c>
      <c r="H925" s="13" t="n">
        <v>179</v>
      </c>
      <c r="I925" s="11" t="inlineStr">
        <is>
          <t xml:space="preserve"> Unisex</t>
        </is>
      </c>
      <c r="J925" s="13" t="n">
        <v>179</v>
      </c>
      <c r="K925" s="13" t="n">
        <v>179.1</v>
      </c>
      <c r="L925" s="13" t="n">
        <v>111</v>
      </c>
      <c r="M925" s="13" t="n">
        <v>143</v>
      </c>
      <c r="N925" s="13" t="n">
        <v>136</v>
      </c>
      <c r="O925" s="13" t="n">
        <v>107</v>
      </c>
      <c r="P925" s="13" t="n">
        <v>124</v>
      </c>
      <c r="Q925" s="13" t="n">
        <v>21</v>
      </c>
      <c r="R925" s="13" t="n">
        <v>1958</v>
      </c>
      <c r="S925" s="13" t="n">
        <v>1.06</v>
      </c>
      <c r="T925" s="13" t="n">
        <v>2083</v>
      </c>
      <c r="U925" s="13" t="n">
        <v>210</v>
      </c>
      <c r="V925" s="13" t="n">
        <v>142</v>
      </c>
      <c r="W925" s="13" t="n">
        <v>47</v>
      </c>
      <c r="X925" s="13" t="n">
        <v>398</v>
      </c>
      <c r="Y925" s="13" t="n">
        <v>24</v>
      </c>
      <c r="Z925" s="13" t="n">
        <v>279</v>
      </c>
      <c r="AA925" s="13" t="n">
        <v>0.523</v>
      </c>
      <c r="AB925" s="13" t="n">
        <v>183</v>
      </c>
      <c r="AC925" s="13" t="n">
        <v>175</v>
      </c>
      <c r="AD925" s="13" t="n">
        <v>216</v>
      </c>
      <c r="AE925" s="13" t="n">
        <v>5</v>
      </c>
      <c r="AF925" s="13" t="n">
        <v>10</v>
      </c>
      <c r="AG925" s="11" t="inlineStr">
        <is>
          <t xml:space="preserve"> Powder</t>
        </is>
      </c>
      <c r="AH925" s="11" t="inlineStr">
        <is>
          <t xml:space="preserve"> Touring</t>
        </is>
      </c>
      <c r="AI925" s="13" t="n"/>
      <c r="AJ925" s="13" t="n"/>
      <c r="AK925" s="42" t="n"/>
    </row>
    <row r="926">
      <c r="E926" s="40" t="inlineStr">
        <is>
          <t>21/22</t>
        </is>
      </c>
      <c r="F926" s="10" t="inlineStr">
        <is>
          <t>K2</t>
        </is>
      </c>
      <c r="G926" s="11" t="inlineStr">
        <is>
          <t>Mindbender 108 Ti</t>
        </is>
      </c>
      <c r="H926" s="13" t="n">
        <v>186</v>
      </c>
      <c r="I926" s="11" t="inlineStr">
        <is>
          <t xml:space="preserve"> Unisex</t>
        </is>
      </c>
      <c r="J926" s="13" t="n">
        <v>186</v>
      </c>
      <c r="K926" s="13" t="n">
        <v>185.9</v>
      </c>
      <c r="L926" s="13" t="n">
        <v>117</v>
      </c>
      <c r="M926" s="13" t="n">
        <v>150</v>
      </c>
      <c r="N926" s="13" t="n">
        <v>136</v>
      </c>
      <c r="O926" s="13" t="n">
        <v>107</v>
      </c>
      <c r="P926" s="13" t="n">
        <v>124</v>
      </c>
      <c r="Q926" s="13" t="n">
        <v>23.1</v>
      </c>
      <c r="R926" s="13" t="n">
        <v>2141</v>
      </c>
      <c r="S926" s="13" t="n">
        <v>1.01</v>
      </c>
      <c r="T926" s="13" t="n">
        <v>2160</v>
      </c>
      <c r="U926" s="13" t="n">
        <v>236</v>
      </c>
      <c r="V926" s="13" t="n">
        <v>172</v>
      </c>
      <c r="W926" s="13" t="n">
        <v>49</v>
      </c>
      <c r="X926" s="13" t="n">
        <v>408</v>
      </c>
      <c r="Y926" s="13" t="n">
        <v>24</v>
      </c>
      <c r="Z926" s="13" t="n">
        <v>279</v>
      </c>
      <c r="AA926" s="13" t="n">
        <v>0.488</v>
      </c>
      <c r="AB926" s="13" t="n">
        <v>182</v>
      </c>
      <c r="AC926" s="13" t="n">
        <v>180</v>
      </c>
      <c r="AD926" s="13" t="n">
        <v>225</v>
      </c>
      <c r="AE926" s="13" t="n">
        <v>5</v>
      </c>
      <c r="AF926" s="13" t="n">
        <v>10.5</v>
      </c>
      <c r="AG926" s="11" t="inlineStr">
        <is>
          <t xml:space="preserve"> Powder</t>
        </is>
      </c>
      <c r="AH926" s="13" t="n"/>
      <c r="AI926" s="13" t="n"/>
      <c r="AJ926" s="13" t="n"/>
      <c r="AK926" s="42" t="n"/>
    </row>
    <row r="927">
      <c r="E927" s="40" t="inlineStr">
        <is>
          <t>21/22</t>
        </is>
      </c>
      <c r="F927" s="10" t="inlineStr">
        <is>
          <t>K2</t>
        </is>
      </c>
      <c r="G927" s="11" t="inlineStr">
        <is>
          <t>Mindbender 108 Ti</t>
        </is>
      </c>
      <c r="H927" s="13" t="n">
        <v>193</v>
      </c>
      <c r="I927" s="11" t="inlineStr">
        <is>
          <t xml:space="preserve"> Unisex</t>
        </is>
      </c>
      <c r="J927" s="13" t="n">
        <v>193</v>
      </c>
      <c r="K927" s="13" t="n">
        <v>193</v>
      </c>
      <c r="L927" s="13" t="n">
        <v>123</v>
      </c>
      <c r="M927" s="13" t="n">
        <v>156</v>
      </c>
      <c r="N927" s="13" t="n">
        <v>136</v>
      </c>
      <c r="O927" s="13" t="n">
        <v>107</v>
      </c>
      <c r="P927" s="13" t="n">
        <v>125</v>
      </c>
      <c r="Q927" s="13" t="n">
        <v>24.9</v>
      </c>
      <c r="R927" s="13" t="n">
        <v>2265</v>
      </c>
      <c r="S927" s="13" t="n">
        <v>0.99</v>
      </c>
      <c r="T927" s="13" t="n">
        <v>2238</v>
      </c>
      <c r="U927" s="13" t="n">
        <v>280</v>
      </c>
      <c r="V927" s="13" t="n">
        <v>196</v>
      </c>
      <c r="W927" s="13" t="n">
        <v>48</v>
      </c>
      <c r="X927" s="13" t="n">
        <v>399</v>
      </c>
      <c r="Y927" s="13" t="n">
        <v>24</v>
      </c>
      <c r="Z927" s="13" t="n">
        <v>302</v>
      </c>
      <c r="AA927" s="13" t="n">
        <v>0.491</v>
      </c>
      <c r="AB927" s="13" t="n">
        <v>181</v>
      </c>
      <c r="AC927" s="13" t="n">
        <v>184</v>
      </c>
      <c r="AD927" s="13" t="n">
        <v>217</v>
      </c>
      <c r="AE927" s="13" t="n">
        <v>6</v>
      </c>
      <c r="AF927" s="13" t="n">
        <v>11</v>
      </c>
      <c r="AG927" s="11" t="inlineStr">
        <is>
          <t xml:space="preserve"> Powder</t>
        </is>
      </c>
      <c r="AH927" s="13" t="n"/>
      <c r="AI927" s="13" t="n"/>
      <c r="AJ927" s="13" t="n"/>
      <c r="AK927" s="42" t="n"/>
    </row>
    <row r="928">
      <c r="E928" s="40" t="inlineStr">
        <is>
          <t>21/22</t>
        </is>
      </c>
      <c r="F928" s="10" t="inlineStr">
        <is>
          <t>K2</t>
        </is>
      </c>
      <c r="G928" s="11" t="inlineStr">
        <is>
          <t>Mindbender 115 C Alliance</t>
        </is>
      </c>
      <c r="H928" s="13" t="n">
        <v>165</v>
      </c>
      <c r="I928" s="11" t="inlineStr">
        <is>
          <t xml:space="preserve"> Women's</t>
        </is>
      </c>
      <c r="J928" s="13" t="n">
        <v>165</v>
      </c>
      <c r="K928" s="13" t="n">
        <v>165.3</v>
      </c>
      <c r="L928" s="13" t="n">
        <v>97</v>
      </c>
      <c r="M928" s="13" t="n">
        <v>125</v>
      </c>
      <c r="N928" s="13" t="n">
        <v>138</v>
      </c>
      <c r="O928" s="13" t="n">
        <v>114</v>
      </c>
      <c r="P928" s="13" t="n">
        <v>128</v>
      </c>
      <c r="Q928" s="13" t="n">
        <v>19</v>
      </c>
      <c r="R928" s="13" t="n">
        <v>1640</v>
      </c>
      <c r="S928" s="13" t="n">
        <v>1.22</v>
      </c>
      <c r="T928" s="13" t="n">
        <v>1993</v>
      </c>
      <c r="U928" s="13" t="n">
        <v>142</v>
      </c>
      <c r="V928" s="13" t="n">
        <v>77</v>
      </c>
      <c r="W928" s="13" t="n">
        <v>52</v>
      </c>
      <c r="X928" s="13" t="n">
        <v>431</v>
      </c>
      <c r="Y928" s="13" t="n">
        <v>23</v>
      </c>
      <c r="Z928" s="13" t="n">
        <v>253</v>
      </c>
      <c r="AA928" s="13" t="n">
        <v>0.435</v>
      </c>
      <c r="AB928" s="13" t="n">
        <v>203</v>
      </c>
      <c r="AC928" s="13" t="n">
        <v>196</v>
      </c>
      <c r="AD928" s="13" t="n">
        <v>228</v>
      </c>
      <c r="AE928" s="13" t="n">
        <v>5</v>
      </c>
      <c r="AF928" s="13" t="n">
        <v>10.3</v>
      </c>
      <c r="AG928" s="11" t="inlineStr">
        <is>
          <t xml:space="preserve"> Powder</t>
        </is>
      </c>
      <c r="AH928" s="11" t="inlineStr">
        <is>
          <t xml:space="preserve"> Touring</t>
        </is>
      </c>
      <c r="AI928" s="13" t="n"/>
      <c r="AJ928" s="13" t="n"/>
      <c r="AK928" s="42" t="n"/>
    </row>
    <row r="929">
      <c r="E929" s="40" t="inlineStr">
        <is>
          <t>21/22</t>
        </is>
      </c>
      <c r="F929" s="10" t="inlineStr">
        <is>
          <t>K2</t>
        </is>
      </c>
      <c r="G929" s="11" t="inlineStr">
        <is>
          <t>Mindbender 115 C Alliance</t>
        </is>
      </c>
      <c r="H929" s="13" t="n">
        <v>172</v>
      </c>
      <c r="I929" s="11" t="inlineStr">
        <is>
          <t xml:space="preserve"> Women's</t>
        </is>
      </c>
      <c r="J929" s="13" t="n">
        <v>172</v>
      </c>
      <c r="K929" s="13" t="n">
        <v>172.2</v>
      </c>
      <c r="L929" s="13" t="n">
        <v>101</v>
      </c>
      <c r="M929" s="13" t="n">
        <v>131</v>
      </c>
      <c r="N929" s="13" t="n">
        <v>139</v>
      </c>
      <c r="O929" s="13" t="n">
        <v>114</v>
      </c>
      <c r="P929" s="13" t="n">
        <v>128</v>
      </c>
      <c r="Q929" s="13" t="n">
        <v>20.9</v>
      </c>
      <c r="R929" s="13" t="n">
        <v>1735</v>
      </c>
      <c r="S929" s="13" t="n">
        <v>1.2</v>
      </c>
      <c r="T929" s="13" t="n">
        <v>2078</v>
      </c>
      <c r="U929" s="13" t="n">
        <v>166</v>
      </c>
      <c r="V929" s="13" t="n">
        <v>94</v>
      </c>
      <c r="W929" s="13" t="n">
        <v>55</v>
      </c>
      <c r="X929" s="13" t="n">
        <v>411</v>
      </c>
      <c r="Y929" s="13" t="n">
        <v>21</v>
      </c>
      <c r="Z929" s="13" t="n">
        <v>302</v>
      </c>
      <c r="AA929" s="13" t="n">
        <v>0.39</v>
      </c>
      <c r="AB929" s="13" t="n">
        <v>213</v>
      </c>
      <c r="AC929" s="13" t="n">
        <v>198</v>
      </c>
      <c r="AD929" s="13" t="n">
        <v>199</v>
      </c>
      <c r="AE929" s="13" t="n">
        <v>5</v>
      </c>
      <c r="AF929" s="13" t="n">
        <v>10.5</v>
      </c>
      <c r="AG929" s="11" t="inlineStr">
        <is>
          <t xml:space="preserve"> Powder</t>
        </is>
      </c>
      <c r="AH929" s="11" t="inlineStr">
        <is>
          <t xml:space="preserve"> Big Mountain</t>
        </is>
      </c>
      <c r="AI929" s="11" t="inlineStr">
        <is>
          <t xml:space="preserve"> Touring</t>
        </is>
      </c>
      <c r="AJ929" s="13" t="n"/>
      <c r="AK929" s="42" t="n"/>
    </row>
    <row r="930">
      <c r="E930" s="40" t="inlineStr">
        <is>
          <t>21/22</t>
        </is>
      </c>
      <c r="F930" s="10" t="inlineStr">
        <is>
          <t>K2</t>
        </is>
      </c>
      <c r="G930" s="11" t="inlineStr">
        <is>
          <t>Mindbender 116 C</t>
        </is>
      </c>
      <c r="H930" s="13" t="n">
        <v>179</v>
      </c>
      <c r="I930" s="11" t="inlineStr">
        <is>
          <t xml:space="preserve"> Unisex</t>
        </is>
      </c>
      <c r="J930" s="13" t="n">
        <v>179</v>
      </c>
      <c r="K930" s="13" t="n">
        <v>179</v>
      </c>
      <c r="L930" s="13" t="n">
        <v>101</v>
      </c>
      <c r="M930" s="13" t="n">
        <v>141</v>
      </c>
      <c r="N930" s="13" t="n">
        <v>142</v>
      </c>
      <c r="O930" s="13" t="n">
        <v>115</v>
      </c>
      <c r="P930" s="13" t="n">
        <v>132</v>
      </c>
      <c r="Q930" s="13" t="n">
        <v>21.5</v>
      </c>
      <c r="R930" s="13" t="n">
        <v>1821</v>
      </c>
      <c r="S930" s="13" t="n">
        <v>1.21</v>
      </c>
      <c r="T930" s="13" t="n">
        <v>2209</v>
      </c>
      <c r="U930" s="13" t="n">
        <v>180</v>
      </c>
      <c r="V930" s="13" t="n">
        <v>110</v>
      </c>
      <c r="W930" s="13" t="n">
        <v>59</v>
      </c>
      <c r="X930" s="13" t="n">
        <v>461</v>
      </c>
      <c r="Y930" s="13" t="n">
        <v>25</v>
      </c>
      <c r="Z930" s="13" t="n">
        <v>317</v>
      </c>
      <c r="AA930" s="13" t="n">
        <v>0.427</v>
      </c>
      <c r="AB930" s="13" t="n">
        <v>204</v>
      </c>
      <c r="AC930" s="13" t="n">
        <v>175</v>
      </c>
      <c r="AD930" s="13" t="n">
        <v>257</v>
      </c>
      <c r="AE930" s="13" t="n">
        <v>4</v>
      </c>
      <c r="AF930" s="13" t="n">
        <v>10.4</v>
      </c>
      <c r="AG930" s="11" t="inlineStr">
        <is>
          <t xml:space="preserve"> Powder</t>
        </is>
      </c>
      <c r="AH930" s="11" t="inlineStr">
        <is>
          <t xml:space="preserve"> Touring</t>
        </is>
      </c>
      <c r="AI930" s="13" t="n"/>
      <c r="AJ930" s="13" t="n"/>
      <c r="AK930" s="42" t="n"/>
    </row>
    <row r="931">
      <c r="E931" s="40" t="inlineStr">
        <is>
          <t>21/22</t>
        </is>
      </c>
      <c r="F931" s="10" t="inlineStr">
        <is>
          <t>K2</t>
        </is>
      </c>
      <c r="G931" s="11" t="inlineStr">
        <is>
          <t>Mindbender 116 C</t>
        </is>
      </c>
      <c r="H931" s="13" t="n">
        <v>186</v>
      </c>
      <c r="I931" s="11" t="inlineStr">
        <is>
          <t xml:space="preserve"> Unisex</t>
        </is>
      </c>
      <c r="J931" s="13" t="n">
        <v>186</v>
      </c>
      <c r="K931" s="13" t="n">
        <v>186</v>
      </c>
      <c r="L931" s="13" t="n">
        <v>113</v>
      </c>
      <c r="M931" s="13" t="n">
        <v>146</v>
      </c>
      <c r="N931" s="13" t="n">
        <v>143</v>
      </c>
      <c r="O931" s="13" t="n">
        <v>115</v>
      </c>
      <c r="P931" s="13" t="n">
        <v>132</v>
      </c>
      <c r="Q931" s="13" t="n">
        <v>23.4</v>
      </c>
      <c r="R931" s="13" t="n">
        <v>1995</v>
      </c>
      <c r="S931" s="13" t="n">
        <v>1.15</v>
      </c>
      <c r="T931" s="13" t="n">
        <v>2298</v>
      </c>
      <c r="U931" s="13" t="n">
        <v>211</v>
      </c>
      <c r="V931" s="13" t="n">
        <v>132</v>
      </c>
      <c r="W931" s="13" t="n">
        <v>58</v>
      </c>
      <c r="X931" s="13" t="n">
        <v>476</v>
      </c>
      <c r="Y931" s="13" t="n">
        <v>25</v>
      </c>
      <c r="Z931" s="13" t="n">
        <v>254</v>
      </c>
      <c r="AA931" s="13" t="n">
        <v>0.431</v>
      </c>
      <c r="AB931" s="13" t="n">
        <v>213</v>
      </c>
      <c r="AC931" s="13" t="n">
        <v>185</v>
      </c>
      <c r="AD931" s="13" t="n">
        <v>264</v>
      </c>
      <c r="AE931" s="13" t="n">
        <v>4</v>
      </c>
      <c r="AF931" s="13" t="n">
        <v>10.1</v>
      </c>
      <c r="AG931" s="11" t="inlineStr">
        <is>
          <t xml:space="preserve"> Powder</t>
        </is>
      </c>
      <c r="AH931" s="11" t="inlineStr">
        <is>
          <t xml:space="preserve"> Touring</t>
        </is>
      </c>
      <c r="AI931" s="13" t="n"/>
      <c r="AJ931" s="13" t="n"/>
      <c r="AK931" s="42" t="n"/>
    </row>
    <row r="932">
      <c r="E932" s="40" t="inlineStr">
        <is>
          <t>21/22</t>
        </is>
      </c>
      <c r="F932" s="10" t="inlineStr">
        <is>
          <t>K2</t>
        </is>
      </c>
      <c r="G932" s="11" t="inlineStr">
        <is>
          <t>Mindbender 85</t>
        </is>
      </c>
      <c r="H932" s="13" t="n">
        <v>156</v>
      </c>
      <c r="I932" s="11" t="inlineStr">
        <is>
          <t xml:space="preserve"> Unisex</t>
        </is>
      </c>
      <c r="J932" s="13" t="n">
        <v>156</v>
      </c>
      <c r="K932" s="13" t="n">
        <v>156.7</v>
      </c>
      <c r="L932" s="13" t="n">
        <v>115</v>
      </c>
      <c r="M932" s="13" t="n">
        <v>128</v>
      </c>
      <c r="N932" s="13" t="n">
        <v>129</v>
      </c>
      <c r="O932" s="13" t="n">
        <v>84</v>
      </c>
      <c r="P932" s="13" t="n">
        <v>112</v>
      </c>
      <c r="Q932" s="13" t="n">
        <v>10.8</v>
      </c>
      <c r="R932" s="13" t="n">
        <v>1534</v>
      </c>
      <c r="S932" s="13" t="n">
        <v>1.02</v>
      </c>
      <c r="T932" s="13" t="n">
        <v>1558</v>
      </c>
      <c r="U932" s="13" t="n">
        <v>125</v>
      </c>
      <c r="V932" s="13" t="n">
        <v>74</v>
      </c>
      <c r="W932" s="13" t="n">
        <v>42</v>
      </c>
      <c r="X932" s="13" t="n">
        <v>252</v>
      </c>
      <c r="Y932" s="13" t="n">
        <v>12</v>
      </c>
      <c r="Z932" s="13" t="n">
        <v>165</v>
      </c>
      <c r="AA932" s="13" t="n">
        <v>0.292</v>
      </c>
      <c r="AB932" s="13" t="n">
        <v>176</v>
      </c>
      <c r="AC932" s="13" t="n">
        <v>112</v>
      </c>
      <c r="AD932" s="13" t="n">
        <v>76</v>
      </c>
      <c r="AE932" s="13" t="n">
        <v>10</v>
      </c>
      <c r="AF932" s="13" t="n">
        <v>10.3</v>
      </c>
      <c r="AG932" s="11" t="inlineStr">
        <is>
          <t xml:space="preserve"> On-Piste All-Mountain</t>
        </is>
      </c>
      <c r="AH932" s="11" t="inlineStr">
        <is>
          <t xml:space="preserve"> Resort Freeride</t>
        </is>
      </c>
      <c r="AI932" s="13" t="n"/>
      <c r="AJ932" s="13" t="n"/>
      <c r="AK932" s="42" t="n"/>
    </row>
    <row r="933">
      <c r="E933" s="40" t="inlineStr">
        <is>
          <t>21/22</t>
        </is>
      </c>
      <c r="F933" s="10" t="inlineStr">
        <is>
          <t>K2</t>
        </is>
      </c>
      <c r="G933" s="11" t="inlineStr">
        <is>
          <t>Mindbender 85</t>
        </is>
      </c>
      <c r="H933" s="13" t="n">
        <v>163</v>
      </c>
      <c r="I933" s="11" t="inlineStr">
        <is>
          <t xml:space="preserve"> Unisex</t>
        </is>
      </c>
      <c r="J933" s="13" t="n">
        <v>163</v>
      </c>
      <c r="K933" s="13" t="n">
        <v>163.7</v>
      </c>
      <c r="L933" s="13" t="n">
        <v>120</v>
      </c>
      <c r="M933" s="13" t="n">
        <v>136</v>
      </c>
      <c r="N933" s="13" t="n">
        <v>129</v>
      </c>
      <c r="O933" s="13" t="n">
        <v>84</v>
      </c>
      <c r="P933" s="13" t="n">
        <v>112</v>
      </c>
      <c r="Q933" s="13" t="n">
        <v>12</v>
      </c>
      <c r="R933" s="13" t="n">
        <v>1580</v>
      </c>
      <c r="S933" s="13" t="n">
        <v>1.03</v>
      </c>
      <c r="T933" s="13" t="n">
        <v>1627</v>
      </c>
      <c r="U933" s="13" t="n">
        <v>151</v>
      </c>
      <c r="V933" s="13" t="n">
        <v>84</v>
      </c>
      <c r="W933" s="13" t="n">
        <v>46</v>
      </c>
      <c r="X933" s="13" t="n">
        <v>270</v>
      </c>
      <c r="Y933" s="13" t="n">
        <v>12</v>
      </c>
      <c r="Z933" s="13" t="n">
        <v>171</v>
      </c>
      <c r="AA933" s="13" t="n">
        <v>0.268</v>
      </c>
      <c r="AB933" s="13" t="n">
        <v>170</v>
      </c>
      <c r="AC933" s="13" t="n">
        <v>110</v>
      </c>
      <c r="AD933" s="13" t="n">
        <v>100</v>
      </c>
      <c r="AE933" s="13" t="n">
        <v>9</v>
      </c>
      <c r="AF933" s="13" t="n">
        <v>10.5</v>
      </c>
      <c r="AG933" s="11" t="inlineStr">
        <is>
          <t xml:space="preserve"> On-Piste All-Mountain</t>
        </is>
      </c>
      <c r="AH933" s="11" t="inlineStr">
        <is>
          <t xml:space="preserve"> Resort Freeride</t>
        </is>
      </c>
      <c r="AI933" s="13" t="n"/>
      <c r="AJ933" s="13" t="n"/>
      <c r="AK933" s="42" t="n"/>
    </row>
    <row r="934">
      <c r="E934" s="40" t="inlineStr">
        <is>
          <t>21/22</t>
        </is>
      </c>
      <c r="F934" s="10" t="inlineStr">
        <is>
          <t>K2</t>
        </is>
      </c>
      <c r="G934" s="11" t="inlineStr">
        <is>
          <t>Mindbender 85</t>
        </is>
      </c>
      <c r="H934" s="13" t="n">
        <v>170</v>
      </c>
      <c r="I934" s="11" t="inlineStr">
        <is>
          <t xml:space="preserve"> Unisex</t>
        </is>
      </c>
      <c r="J934" s="13" t="n">
        <v>170</v>
      </c>
      <c r="K934" s="13" t="n">
        <v>170.7</v>
      </c>
      <c r="L934" s="13" t="n">
        <v>124</v>
      </c>
      <c r="M934" s="13" t="n">
        <v>141</v>
      </c>
      <c r="N934" s="13" t="n">
        <v>129</v>
      </c>
      <c r="O934" s="13" t="n">
        <v>84</v>
      </c>
      <c r="P934" s="13" t="n">
        <v>112</v>
      </c>
      <c r="Q934" s="13" t="n">
        <v>13.1</v>
      </c>
      <c r="R934" s="13" t="n">
        <v>1702</v>
      </c>
      <c r="S934" s="13" t="n">
        <v>1</v>
      </c>
      <c r="T934" s="13" t="n">
        <v>1694</v>
      </c>
      <c r="U934" s="13" t="n">
        <v>181</v>
      </c>
      <c r="V934" s="13" t="n">
        <v>97</v>
      </c>
      <c r="W934" s="13" t="n">
        <v>45</v>
      </c>
      <c r="X934" s="13" t="n">
        <v>288</v>
      </c>
      <c r="Y934" s="13" t="n">
        <v>15</v>
      </c>
      <c r="Z934" s="13" t="n">
        <v>177</v>
      </c>
      <c r="AA934" s="13" t="n">
        <v>0.337</v>
      </c>
      <c r="AB934" s="13" t="n">
        <v>182</v>
      </c>
      <c r="AC934" s="13" t="n">
        <v>112</v>
      </c>
      <c r="AD934" s="13" t="n">
        <v>107</v>
      </c>
      <c r="AE934" s="13" t="n">
        <v>7</v>
      </c>
      <c r="AF934" s="13" t="n">
        <v>10.8</v>
      </c>
      <c r="AG934" s="11" t="inlineStr">
        <is>
          <t xml:space="preserve"> On-Piste All-Mountain</t>
        </is>
      </c>
      <c r="AH934" s="11" t="inlineStr">
        <is>
          <t xml:space="preserve"> Resort Freeride</t>
        </is>
      </c>
      <c r="AI934" s="13" t="n"/>
      <c r="AJ934" s="13" t="n"/>
      <c r="AK934" s="42" t="n"/>
    </row>
    <row r="935">
      <c r="E935" s="40" t="inlineStr">
        <is>
          <t>21/22</t>
        </is>
      </c>
      <c r="F935" s="10" t="inlineStr">
        <is>
          <t>K2</t>
        </is>
      </c>
      <c r="G935" s="11" t="inlineStr">
        <is>
          <t>Mindbender 85</t>
        </is>
      </c>
      <c r="H935" s="13" t="n">
        <v>177</v>
      </c>
      <c r="I935" s="11" t="inlineStr">
        <is>
          <t xml:space="preserve"> Unisex</t>
        </is>
      </c>
      <c r="J935" s="13" t="n">
        <v>177</v>
      </c>
      <c r="K935" s="13" t="n">
        <v>177.4</v>
      </c>
      <c r="L935" s="13" t="n">
        <v>135</v>
      </c>
      <c r="M935" s="13" t="n">
        <v>148</v>
      </c>
      <c r="N935" s="13" t="n">
        <v>129</v>
      </c>
      <c r="O935" s="13" t="n">
        <v>84</v>
      </c>
      <c r="P935" s="13" t="n">
        <v>112</v>
      </c>
      <c r="Q935" s="13" t="n">
        <v>14.4</v>
      </c>
      <c r="R935" s="13" t="n">
        <v>1863</v>
      </c>
      <c r="S935" s="13" t="n">
        <v>0.9399999999999999</v>
      </c>
      <c r="T935" s="13" t="n">
        <v>1759</v>
      </c>
      <c r="U935" s="13" t="n">
        <v>205</v>
      </c>
      <c r="V935" s="13" t="n">
        <v>108</v>
      </c>
      <c r="W935" s="13" t="n">
        <v>45</v>
      </c>
      <c r="X935" s="13" t="n">
        <v>265</v>
      </c>
      <c r="Y935" s="13" t="n">
        <v>14</v>
      </c>
      <c r="Z935" s="13" t="n">
        <v>156</v>
      </c>
      <c r="AA935" s="13" t="n">
        <v>0.307</v>
      </c>
      <c r="AB935" s="13" t="n">
        <v>176</v>
      </c>
      <c r="AC935" s="13" t="n">
        <v>116</v>
      </c>
      <c r="AD935" s="13" t="n">
        <v>89</v>
      </c>
      <c r="AE935" s="13" t="n">
        <v>10</v>
      </c>
      <c r="AF935" s="13" t="n">
        <v>11.2</v>
      </c>
      <c r="AG935" s="11" t="inlineStr">
        <is>
          <t xml:space="preserve"> On-Piste All-Mountain</t>
        </is>
      </c>
      <c r="AH935" s="11" t="inlineStr">
        <is>
          <t xml:space="preserve"> Resort Freeride</t>
        </is>
      </c>
      <c r="AI935" s="13" t="n"/>
      <c r="AJ935" s="13" t="n"/>
      <c r="AK935" s="42" t="n"/>
    </row>
    <row r="936">
      <c r="E936" s="40" t="inlineStr">
        <is>
          <t>21/22</t>
        </is>
      </c>
      <c r="F936" s="10" t="inlineStr">
        <is>
          <t>K2</t>
        </is>
      </c>
      <c r="G936" s="11" t="inlineStr">
        <is>
          <t>Mindbender 85 Alliance</t>
        </is>
      </c>
      <c r="H936" s="13" t="n">
        <v>149</v>
      </c>
      <c r="I936" s="11" t="inlineStr">
        <is>
          <t xml:space="preserve"> Women's</t>
        </is>
      </c>
      <c r="J936" s="13" t="n">
        <v>149</v>
      </c>
      <c r="K936" s="13" t="n">
        <v>149.9</v>
      </c>
      <c r="L936" s="13" t="n">
        <v>116</v>
      </c>
      <c r="M936" s="13" t="n">
        <v>122</v>
      </c>
      <c r="N936" s="13" t="n">
        <v>129</v>
      </c>
      <c r="O936" s="13" t="n">
        <v>84</v>
      </c>
      <c r="P936" s="13" t="n">
        <v>112</v>
      </c>
      <c r="Q936" s="13" t="n">
        <v>9.6</v>
      </c>
      <c r="R936" s="13" t="n">
        <v>1426</v>
      </c>
      <c r="S936" s="13" t="n">
        <v>1.04</v>
      </c>
      <c r="T936" s="13" t="n">
        <v>1489</v>
      </c>
      <c r="U936" s="13" t="n">
        <v>109</v>
      </c>
      <c r="V936" s="13" t="n">
        <v>66</v>
      </c>
      <c r="W936" s="13" t="n">
        <v>40</v>
      </c>
      <c r="X936" s="13" t="n">
        <v>238</v>
      </c>
      <c r="Y936" s="13" t="n">
        <v>10</v>
      </c>
      <c r="Z936" s="13" t="n">
        <v>100</v>
      </c>
      <c r="AA936" s="13" t="n">
        <v>0.248</v>
      </c>
      <c r="AB936" s="13" t="n">
        <v>169</v>
      </c>
      <c r="AC936" s="13" t="n">
        <v>106</v>
      </c>
      <c r="AD936" s="13" t="n">
        <v>69</v>
      </c>
      <c r="AE936" s="13" t="n">
        <v>10</v>
      </c>
      <c r="AF936" s="13" t="n">
        <v>10.2</v>
      </c>
      <c r="AG936" s="11" t="inlineStr">
        <is>
          <t xml:space="preserve"> On-Piste All-Mountain</t>
        </is>
      </c>
      <c r="AH936" s="11" t="inlineStr">
        <is>
          <t xml:space="preserve"> Resort Freeride</t>
        </is>
      </c>
      <c r="AI936" s="13" t="n"/>
      <c r="AJ936" s="13" t="n"/>
      <c r="AK936" s="42" t="n"/>
    </row>
    <row r="937">
      <c r="E937" s="40" t="inlineStr">
        <is>
          <t>21/22</t>
        </is>
      </c>
      <c r="F937" s="10" t="inlineStr">
        <is>
          <t>K2</t>
        </is>
      </c>
      <c r="G937" s="11" t="inlineStr">
        <is>
          <t>Mindbender 85 Alliance</t>
        </is>
      </c>
      <c r="H937" s="13" t="n">
        <v>159</v>
      </c>
      <c r="I937" s="11" t="inlineStr">
        <is>
          <t xml:space="preserve"> Women's</t>
        </is>
      </c>
      <c r="J937" s="13" t="n">
        <v>159</v>
      </c>
      <c r="K937" s="13" t="n">
        <v>156.9</v>
      </c>
      <c r="L937" s="13" t="n">
        <v>122</v>
      </c>
      <c r="M937" s="13" t="n">
        <v>128</v>
      </c>
      <c r="N937" s="13" t="n">
        <v>129</v>
      </c>
      <c r="O937" s="13" t="n">
        <v>84</v>
      </c>
      <c r="P937" s="13" t="n">
        <v>112</v>
      </c>
      <c r="Q937" s="13" t="n">
        <v>10.7</v>
      </c>
      <c r="R937" s="13" t="n">
        <v>1508</v>
      </c>
      <c r="S937" s="13" t="n">
        <v>1.03</v>
      </c>
      <c r="T937" s="13" t="n">
        <v>1555</v>
      </c>
      <c r="U937" s="13" t="n">
        <v>125</v>
      </c>
      <c r="V937" s="13" t="n">
        <v>72</v>
      </c>
      <c r="W937" s="13" t="n">
        <v>40</v>
      </c>
      <c r="X937" s="13" t="n">
        <v>243</v>
      </c>
      <c r="Y937" s="13" t="n">
        <v>10</v>
      </c>
      <c r="Z937" s="13" t="n">
        <v>102</v>
      </c>
      <c r="AA937" s="13" t="n">
        <v>0.26</v>
      </c>
      <c r="AB937" s="13" t="n">
        <v>176</v>
      </c>
      <c r="AC937" s="13" t="n">
        <v>111</v>
      </c>
      <c r="AD937" s="13" t="n">
        <v>67</v>
      </c>
      <c r="AE937" s="13" t="n">
        <v>8</v>
      </c>
      <c r="AF937" s="13" t="n">
        <v>10.5</v>
      </c>
      <c r="AG937" s="11" t="inlineStr">
        <is>
          <t xml:space="preserve"> On-Piste All-Mountain</t>
        </is>
      </c>
      <c r="AH937" s="11" t="inlineStr">
        <is>
          <t xml:space="preserve"> Resort Freeride</t>
        </is>
      </c>
      <c r="AI937" s="13" t="n"/>
      <c r="AJ937" s="13" t="n"/>
      <c r="AK937" s="42" t="n"/>
    </row>
    <row r="938">
      <c r="E938" s="40" t="inlineStr">
        <is>
          <t>21/22</t>
        </is>
      </c>
      <c r="F938" s="10" t="inlineStr">
        <is>
          <t>K2</t>
        </is>
      </c>
      <c r="G938" s="11" t="inlineStr">
        <is>
          <t>Mindbender 85 Alliance</t>
        </is>
      </c>
      <c r="H938" s="13" t="n">
        <v>163</v>
      </c>
      <c r="I938" s="11" t="inlineStr">
        <is>
          <t xml:space="preserve"> Women's</t>
        </is>
      </c>
      <c r="J938" s="13" t="n">
        <v>163</v>
      </c>
      <c r="K938" s="13" t="n">
        <v>163.6</v>
      </c>
      <c r="L938" s="13" t="n">
        <v>116</v>
      </c>
      <c r="M938" s="13" t="n">
        <v>134</v>
      </c>
      <c r="N938" s="13" t="n">
        <v>129</v>
      </c>
      <c r="O938" s="13" t="n">
        <v>84</v>
      </c>
      <c r="P938" s="13" t="n">
        <v>112</v>
      </c>
      <c r="Q938" s="13" t="n">
        <v>11.8</v>
      </c>
      <c r="R938" s="13" t="n">
        <v>1627</v>
      </c>
      <c r="S938" s="13" t="n">
        <v>1</v>
      </c>
      <c r="T938" s="13" t="n">
        <v>1623</v>
      </c>
      <c r="U938" s="13" t="n">
        <v>165</v>
      </c>
      <c r="V938" s="13" t="n">
        <v>89</v>
      </c>
      <c r="W938" s="13" t="n">
        <v>49</v>
      </c>
      <c r="X938" s="13" t="n">
        <v>274</v>
      </c>
      <c r="Y938" s="13" t="n">
        <v>13</v>
      </c>
      <c r="Z938" s="13" t="n">
        <v>198</v>
      </c>
      <c r="AA938" s="13" t="n">
        <v>0.267</v>
      </c>
      <c r="AB938" s="13" t="n">
        <v>182</v>
      </c>
      <c r="AC938" s="13" t="n">
        <v>113</v>
      </c>
      <c r="AD938" s="13" t="n">
        <v>92</v>
      </c>
      <c r="AE938" s="13" t="n">
        <v>7</v>
      </c>
      <c r="AF938" s="13" t="n">
        <v>10.9</v>
      </c>
      <c r="AG938" s="11" t="inlineStr">
        <is>
          <t xml:space="preserve"> On-Piste All-Mountain</t>
        </is>
      </c>
      <c r="AH938" s="11" t="inlineStr">
        <is>
          <t xml:space="preserve"> Resort Freeride</t>
        </is>
      </c>
      <c r="AI938" s="13" t="n"/>
      <c r="AJ938" s="13" t="n"/>
      <c r="AK938" s="42" t="n"/>
    </row>
    <row r="939">
      <c r="E939" s="40" t="inlineStr">
        <is>
          <t>21/22</t>
        </is>
      </c>
      <c r="F939" s="10" t="inlineStr">
        <is>
          <t>K2</t>
        </is>
      </c>
      <c r="G939" s="11" t="inlineStr">
        <is>
          <t>Mindbender 88 Ti Alliance</t>
        </is>
      </c>
      <c r="H939" s="13" t="n">
        <v>149</v>
      </c>
      <c r="I939" s="11" t="inlineStr">
        <is>
          <t xml:space="preserve"> Women's</t>
        </is>
      </c>
      <c r="J939" s="13" t="n">
        <v>149</v>
      </c>
      <c r="K939" s="13" t="n">
        <v>149.1</v>
      </c>
      <c r="L939" s="13" t="n">
        <v>114</v>
      </c>
      <c r="M939" s="13" t="n">
        <v>125</v>
      </c>
      <c r="N939" s="13" t="n">
        <v>125</v>
      </c>
      <c r="O939" s="13" t="n">
        <v>88</v>
      </c>
      <c r="P939" s="13" t="n">
        <v>111</v>
      </c>
      <c r="Q939" s="13" t="n">
        <v>12.1</v>
      </c>
      <c r="R939" s="13" t="n">
        <v>1401</v>
      </c>
      <c r="S939" s="13" t="n">
        <v>1.07</v>
      </c>
      <c r="T939" s="13" t="n">
        <v>1493</v>
      </c>
      <c r="U939" s="13" t="n">
        <v>138</v>
      </c>
      <c r="V939" s="13" t="n">
        <v>89</v>
      </c>
      <c r="W939" s="13" t="n">
        <v>43</v>
      </c>
      <c r="X939" s="13" t="n">
        <v>187</v>
      </c>
      <c r="Y939" s="13" t="n">
        <v>19</v>
      </c>
      <c r="Z939" s="13" t="n">
        <v>161</v>
      </c>
      <c r="AA939" s="13" t="n">
        <v>0.431</v>
      </c>
      <c r="AB939" s="13" t="n">
        <v>144</v>
      </c>
      <c r="AC939" s="13" t="n">
        <v>93</v>
      </c>
      <c r="AD939" s="13" t="n">
        <v>43</v>
      </c>
      <c r="AE939" s="13" t="n">
        <v>7</v>
      </c>
      <c r="AF939" s="13" t="n">
        <v>10.1</v>
      </c>
      <c r="AG939" s="11" t="inlineStr">
        <is>
          <t xml:space="preserve"> Resort Freeride</t>
        </is>
      </c>
      <c r="AH939" s="11" t="inlineStr">
        <is>
          <t xml:space="preserve"> Touring</t>
        </is>
      </c>
      <c r="AI939" s="13" t="n"/>
      <c r="AJ939" s="13" t="n"/>
      <c r="AK939" s="42" t="n"/>
    </row>
    <row r="940">
      <c r="E940" s="40" t="inlineStr">
        <is>
          <t>21/22</t>
        </is>
      </c>
      <c r="F940" s="10" t="inlineStr">
        <is>
          <t>K2</t>
        </is>
      </c>
      <c r="G940" s="11" t="inlineStr">
        <is>
          <t>Mindbender 88 Ti Alliance</t>
        </is>
      </c>
      <c r="H940" s="13" t="n">
        <v>156</v>
      </c>
      <c r="I940" s="11" t="inlineStr">
        <is>
          <t xml:space="preserve"> Women's</t>
        </is>
      </c>
      <c r="J940" s="13" t="n">
        <v>156</v>
      </c>
      <c r="K940" s="13" t="n">
        <v>155.9</v>
      </c>
      <c r="L940" s="13" t="n">
        <v>120</v>
      </c>
      <c r="M940" s="13" t="n">
        <v>132</v>
      </c>
      <c r="N940" s="13" t="n">
        <v>125</v>
      </c>
      <c r="O940" s="13" t="n">
        <v>87</v>
      </c>
      <c r="P940" s="13" t="n">
        <v>111</v>
      </c>
      <c r="Q940" s="13" t="n">
        <v>13.5</v>
      </c>
      <c r="R940" s="13" t="n">
        <v>1491</v>
      </c>
      <c r="S940" s="13" t="n">
        <v>1.04</v>
      </c>
      <c r="T940" s="13" t="n">
        <v>1548</v>
      </c>
      <c r="U940" s="13" t="n">
        <v>132</v>
      </c>
      <c r="V940" s="13" t="n">
        <v>84</v>
      </c>
      <c r="W940" s="13" t="n">
        <v>46</v>
      </c>
      <c r="X940" s="13" t="n">
        <v>207</v>
      </c>
      <c r="Y940" s="13" t="n">
        <v>18</v>
      </c>
      <c r="Z940" s="13" t="n">
        <v>156</v>
      </c>
      <c r="AA940" s="13" t="n">
        <v>0.401</v>
      </c>
      <c r="AB940" s="13" t="n">
        <v>146</v>
      </c>
      <c r="AC940" s="13" t="n">
        <v>98</v>
      </c>
      <c r="AD940" s="13" t="n">
        <v>60</v>
      </c>
      <c r="AE940" s="13" t="n">
        <v>7</v>
      </c>
      <c r="AF940" s="13" t="n">
        <v>11</v>
      </c>
      <c r="AG940" s="11" t="inlineStr">
        <is>
          <t xml:space="preserve"> Resort Freeride</t>
        </is>
      </c>
      <c r="AH940" s="13" t="n"/>
      <c r="AI940" s="13" t="n"/>
      <c r="AJ940" s="13" t="n"/>
      <c r="AK940" s="42" t="n"/>
    </row>
    <row r="941">
      <c r="E941" s="40" t="inlineStr">
        <is>
          <t>21/22</t>
        </is>
      </c>
      <c r="F941" s="10" t="inlineStr">
        <is>
          <t>K2</t>
        </is>
      </c>
      <c r="G941" s="11" t="inlineStr">
        <is>
          <t>Mindbender 88 Ti Alliance</t>
        </is>
      </c>
      <c r="H941" s="13" t="n">
        <v>163</v>
      </c>
      <c r="I941" s="11" t="inlineStr">
        <is>
          <t xml:space="preserve"> Women's</t>
        </is>
      </c>
      <c r="J941" s="13" t="n">
        <v>163</v>
      </c>
      <c r="K941" s="13" t="n">
        <v>162.7</v>
      </c>
      <c r="L941" s="13" t="n">
        <v>124</v>
      </c>
      <c r="M941" s="13" t="n">
        <v>139</v>
      </c>
      <c r="N941" s="13" t="n">
        <v>124</v>
      </c>
      <c r="O941" s="13" t="n">
        <v>87</v>
      </c>
      <c r="P941" s="13" t="n">
        <v>111</v>
      </c>
      <c r="Q941" s="13" t="n">
        <v>15.1</v>
      </c>
      <c r="R941" s="13" t="n">
        <v>1585</v>
      </c>
      <c r="S941" s="13" t="n">
        <v>1.02</v>
      </c>
      <c r="T941" s="13" t="n">
        <v>1620</v>
      </c>
      <c r="U941" s="13" t="n">
        <v>154</v>
      </c>
      <c r="V941" s="13" t="n">
        <v>82</v>
      </c>
      <c r="W941" s="13" t="n">
        <v>48</v>
      </c>
      <c r="X941" s="13" t="n">
        <v>218</v>
      </c>
      <c r="Y941" s="13" t="n">
        <v>20</v>
      </c>
      <c r="Z941" s="13" t="n">
        <v>166</v>
      </c>
      <c r="AA941" s="13" t="n">
        <v>0.425</v>
      </c>
      <c r="AB941" s="13" t="n">
        <v>134</v>
      </c>
      <c r="AC941" s="13" t="n">
        <v>101</v>
      </c>
      <c r="AD941" s="13" t="n">
        <v>83</v>
      </c>
      <c r="AE941" s="13" t="n">
        <v>9</v>
      </c>
      <c r="AF941" s="13" t="n">
        <v>11</v>
      </c>
      <c r="AG941" s="11" t="inlineStr">
        <is>
          <t xml:space="preserve"> Resort Freeride</t>
        </is>
      </c>
      <c r="AH941" s="13" t="n"/>
      <c r="AI941" s="13" t="n"/>
      <c r="AJ941" s="13" t="n"/>
      <c r="AK941" s="42" t="n"/>
    </row>
    <row r="942">
      <c r="E942" s="40" t="inlineStr">
        <is>
          <t>21/22</t>
        </is>
      </c>
      <c r="F942" s="10" t="inlineStr">
        <is>
          <t>K2</t>
        </is>
      </c>
      <c r="G942" s="11" t="inlineStr">
        <is>
          <t>Mindbender 88 Ti Alliance</t>
        </is>
      </c>
      <c r="H942" s="13" t="n">
        <v>170</v>
      </c>
      <c r="I942" s="11" t="inlineStr">
        <is>
          <t xml:space="preserve"> Women's</t>
        </is>
      </c>
      <c r="J942" s="13" t="n">
        <v>170</v>
      </c>
      <c r="K942" s="13" t="n">
        <v>169.4</v>
      </c>
      <c r="L942" s="13" t="n">
        <v>125</v>
      </c>
      <c r="M942" s="13" t="n">
        <v>146</v>
      </c>
      <c r="N942" s="13" t="n">
        <v>125</v>
      </c>
      <c r="O942" s="13" t="n">
        <v>87</v>
      </c>
      <c r="P942" s="13" t="n">
        <v>111</v>
      </c>
      <c r="Q942" s="13" t="n">
        <v>16.5</v>
      </c>
      <c r="R942" s="13" t="n">
        <v>1668</v>
      </c>
      <c r="S942" s="13" t="n">
        <v>1.01</v>
      </c>
      <c r="T942" s="13" t="n">
        <v>1685</v>
      </c>
      <c r="U942" s="13" t="n">
        <v>176</v>
      </c>
      <c r="V942" s="13" t="n">
        <v>90</v>
      </c>
      <c r="W942" s="13" t="n">
        <v>52</v>
      </c>
      <c r="X942" s="13" t="n">
        <v>250</v>
      </c>
      <c r="Y942" s="13" t="n">
        <v>26</v>
      </c>
      <c r="Z942" s="13" t="n">
        <v>198</v>
      </c>
      <c r="AA942" s="13" t="n">
        <v>0.495</v>
      </c>
      <c r="AB942" s="13" t="n">
        <v>137</v>
      </c>
      <c r="AC942" s="13" t="n">
        <v>99</v>
      </c>
      <c r="AD942" s="13" t="n">
        <v>112</v>
      </c>
      <c r="AE942" s="13" t="n">
        <v>8</v>
      </c>
      <c r="AF942" s="13" t="n">
        <v>11.2</v>
      </c>
      <c r="AG942" s="11" t="inlineStr">
        <is>
          <t xml:space="preserve"> Resort Freeride</t>
        </is>
      </c>
      <c r="AH942" s="13" t="n"/>
      <c r="AI942" s="13" t="n"/>
      <c r="AJ942" s="13" t="n"/>
      <c r="AK942" s="42" t="n"/>
    </row>
    <row r="943">
      <c r="E943" s="40" t="inlineStr">
        <is>
          <t>21/22</t>
        </is>
      </c>
      <c r="F943" s="10" t="inlineStr">
        <is>
          <t>K2</t>
        </is>
      </c>
      <c r="G943" s="11" t="inlineStr">
        <is>
          <t>Mindbender 90 C Alliance</t>
        </is>
      </c>
      <c r="H943" s="13" t="n">
        <v>149</v>
      </c>
      <c r="I943" s="11" t="inlineStr">
        <is>
          <t xml:space="preserve"> Women's</t>
        </is>
      </c>
      <c r="J943" s="13" t="n">
        <v>149</v>
      </c>
      <c r="K943" s="13" t="n">
        <v>150</v>
      </c>
      <c r="L943" s="13" t="n">
        <v>115</v>
      </c>
      <c r="M943" s="13" t="n">
        <v>123</v>
      </c>
      <c r="N943" s="13" t="n">
        <v>126</v>
      </c>
      <c r="O943" s="13" t="n">
        <v>89</v>
      </c>
      <c r="P943" s="13" t="n">
        <v>112</v>
      </c>
      <c r="Q943" s="13" t="n">
        <v>11.7</v>
      </c>
      <c r="R943" s="13" t="n">
        <v>1333</v>
      </c>
      <c r="S943" s="13" t="n">
        <v>1.14</v>
      </c>
      <c r="T943" s="13" t="n">
        <v>1522</v>
      </c>
      <c r="U943" s="13" t="n">
        <v>107</v>
      </c>
      <c r="V943" s="13" t="n">
        <v>58</v>
      </c>
      <c r="W943" s="13" t="n">
        <v>38</v>
      </c>
      <c r="X943" s="13" t="n">
        <v>216</v>
      </c>
      <c r="Y943" s="13" t="n">
        <v>10</v>
      </c>
      <c r="Z943" s="13" t="n">
        <v>135</v>
      </c>
      <c r="AA943" s="13" t="n">
        <v>0.25</v>
      </c>
      <c r="AB943" s="13" t="n">
        <v>156</v>
      </c>
      <c r="AC943" s="13" t="n">
        <v>109</v>
      </c>
      <c r="AD943" s="13" t="n">
        <v>59</v>
      </c>
      <c r="AE943" s="13" t="n">
        <v>9</v>
      </c>
      <c r="AF943" s="13" t="n">
        <v>9.699999999999999</v>
      </c>
      <c r="AG943" s="11" t="inlineStr">
        <is>
          <t xml:space="preserve"> Resort Freeride</t>
        </is>
      </c>
      <c r="AH943" s="11" t="inlineStr">
        <is>
          <t xml:space="preserve"> Touring</t>
        </is>
      </c>
      <c r="AI943" s="13" t="n"/>
      <c r="AJ943" s="13" t="n"/>
      <c r="AK943" s="42" t="n"/>
    </row>
    <row r="944">
      <c r="E944" s="40" t="inlineStr">
        <is>
          <t>21/22</t>
        </is>
      </c>
      <c r="F944" s="10" t="inlineStr">
        <is>
          <t>K2</t>
        </is>
      </c>
      <c r="G944" s="11" t="inlineStr">
        <is>
          <t>Mindbender 90 C Alliance</t>
        </is>
      </c>
      <c r="H944" s="13" t="n">
        <v>156</v>
      </c>
      <c r="I944" s="11" t="inlineStr">
        <is>
          <t xml:space="preserve"> Women's</t>
        </is>
      </c>
      <c r="J944" s="13" t="n">
        <v>156</v>
      </c>
      <c r="K944" s="13" t="n">
        <v>156.5</v>
      </c>
      <c r="L944" s="13" t="n">
        <v>120</v>
      </c>
      <c r="M944" s="13" t="n">
        <v>130</v>
      </c>
      <c r="N944" s="13" t="n">
        <v>126</v>
      </c>
      <c r="O944" s="13" t="n">
        <v>89</v>
      </c>
      <c r="P944" s="13" t="n">
        <v>112</v>
      </c>
      <c r="Q944" s="13" t="n">
        <v>13.2</v>
      </c>
      <c r="R944" s="13" t="n">
        <v>1409</v>
      </c>
      <c r="S944" s="13" t="n">
        <v>1.13</v>
      </c>
      <c r="T944" s="13" t="n">
        <v>1593</v>
      </c>
      <c r="U944" s="13" t="n">
        <v>118</v>
      </c>
      <c r="V944" s="13" t="n">
        <v>60</v>
      </c>
      <c r="W944" s="13" t="n">
        <v>44</v>
      </c>
      <c r="X944" s="13" t="n">
        <v>221</v>
      </c>
      <c r="Y944" s="13" t="n">
        <v>14</v>
      </c>
      <c r="Z944" s="13" t="n">
        <v>144</v>
      </c>
      <c r="AA944" s="13" t="n">
        <v>0.315</v>
      </c>
      <c r="AB944" s="13" t="n">
        <v>145</v>
      </c>
      <c r="AC944" s="13" t="n">
        <v>120</v>
      </c>
      <c r="AD944" s="13" t="n">
        <v>76</v>
      </c>
      <c r="AE944" s="13" t="n">
        <v>8</v>
      </c>
      <c r="AF944" s="13" t="n">
        <v>10.1</v>
      </c>
      <c r="AG944" s="11" t="inlineStr">
        <is>
          <t xml:space="preserve"> Resort Freeride</t>
        </is>
      </c>
      <c r="AH944" s="11" t="inlineStr">
        <is>
          <t xml:space="preserve"> Touring</t>
        </is>
      </c>
      <c r="AI944" s="13" t="n"/>
      <c r="AJ944" s="13" t="n"/>
      <c r="AK944" s="42" t="n"/>
    </row>
    <row r="945">
      <c r="E945" s="40" t="inlineStr">
        <is>
          <t>21/22</t>
        </is>
      </c>
      <c r="F945" s="10" t="inlineStr">
        <is>
          <t>K2</t>
        </is>
      </c>
      <c r="G945" s="11" t="inlineStr">
        <is>
          <t>Mindbender 90 C Alliance</t>
        </is>
      </c>
      <c r="H945" s="13" t="n">
        <v>163</v>
      </c>
      <c r="I945" s="11" t="inlineStr">
        <is>
          <t xml:space="preserve"> Women's</t>
        </is>
      </c>
      <c r="J945" s="13" t="n">
        <v>163</v>
      </c>
      <c r="K945" s="13" t="n">
        <v>163.4</v>
      </c>
      <c r="L945" s="13" t="n">
        <v>124</v>
      </c>
      <c r="M945" s="13" t="n">
        <v>138</v>
      </c>
      <c r="N945" s="13" t="n">
        <v>126</v>
      </c>
      <c r="O945" s="13" t="n">
        <v>89</v>
      </c>
      <c r="P945" s="13" t="n">
        <v>112</v>
      </c>
      <c r="Q945" s="13" t="n">
        <v>14.7</v>
      </c>
      <c r="R945" s="13" t="n">
        <v>1490</v>
      </c>
      <c r="S945" s="13" t="n">
        <v>1.12</v>
      </c>
      <c r="T945" s="13" t="n">
        <v>1662</v>
      </c>
      <c r="U945" s="13" t="n">
        <v>135</v>
      </c>
      <c r="V945" s="13" t="n">
        <v>66</v>
      </c>
      <c r="W945" s="13" t="n">
        <v>45</v>
      </c>
      <c r="X945" s="13" t="n">
        <v>229</v>
      </c>
      <c r="Y945" s="13" t="n">
        <v>15</v>
      </c>
      <c r="Z945" s="13" t="n">
        <v>169</v>
      </c>
      <c r="AA945" s="13" t="n">
        <v>0.332</v>
      </c>
      <c r="AB945" s="13" t="n">
        <v>142</v>
      </c>
      <c r="AC945" s="13" t="n">
        <v>114</v>
      </c>
      <c r="AD945" s="13" t="n">
        <v>86</v>
      </c>
      <c r="AE945" s="13" t="n">
        <v>6</v>
      </c>
      <c r="AF945" s="13" t="n">
        <v>10</v>
      </c>
      <c r="AG945" s="11" t="inlineStr">
        <is>
          <t xml:space="preserve"> Resort Freeride</t>
        </is>
      </c>
      <c r="AH945" s="11" t="inlineStr">
        <is>
          <t xml:space="preserve"> Touring</t>
        </is>
      </c>
      <c r="AI945" s="13" t="n"/>
      <c r="AJ945" s="13" t="n"/>
      <c r="AK945" s="42" t="n"/>
    </row>
    <row r="946">
      <c r="E946" s="40" t="inlineStr">
        <is>
          <t>21/22</t>
        </is>
      </c>
      <c r="F946" s="10" t="inlineStr">
        <is>
          <t>K2</t>
        </is>
      </c>
      <c r="G946" s="11" t="inlineStr">
        <is>
          <t>Mindbender 90 Ti</t>
        </is>
      </c>
      <c r="H946" s="13" t="n">
        <v>163</v>
      </c>
      <c r="I946" s="11" t="inlineStr">
        <is>
          <t xml:space="preserve"> Unisex</t>
        </is>
      </c>
      <c r="J946" s="13" t="n">
        <v>163</v>
      </c>
      <c r="K946" s="13" t="n">
        <v>163</v>
      </c>
      <c r="L946" s="13" t="n">
        <v>122</v>
      </c>
      <c r="M946" s="13" t="n">
        <v>139</v>
      </c>
      <c r="N946" s="13" t="n">
        <v>126</v>
      </c>
      <c r="O946" s="13" t="n">
        <v>89</v>
      </c>
      <c r="P946" s="13" t="n">
        <v>112</v>
      </c>
      <c r="Q946" s="13" t="n">
        <v>15</v>
      </c>
      <c r="R946" s="13" t="n">
        <v>1675</v>
      </c>
      <c r="S946" s="13" t="n">
        <v>0.98</v>
      </c>
      <c r="T946" s="13" t="n">
        <v>1650</v>
      </c>
      <c r="U946" s="13" t="n">
        <v>155</v>
      </c>
      <c r="V946" s="13" t="n">
        <v>105</v>
      </c>
      <c r="W946" s="13" t="n">
        <v>43</v>
      </c>
      <c r="X946" s="13" t="n">
        <v>230</v>
      </c>
      <c r="Y946" s="13" t="n">
        <v>20</v>
      </c>
      <c r="Z946" s="13" t="n">
        <v>178</v>
      </c>
      <c r="AA946" s="13" t="n">
        <v>0.479</v>
      </c>
      <c r="AB946" s="13" t="n">
        <v>140</v>
      </c>
      <c r="AC946" s="13" t="n">
        <v>99</v>
      </c>
      <c r="AD946" s="13" t="n">
        <v>91</v>
      </c>
      <c r="AE946" s="13" t="n">
        <v>7</v>
      </c>
      <c r="AF946" s="13" t="n">
        <v>10.6</v>
      </c>
      <c r="AG946" s="11" t="inlineStr">
        <is>
          <t xml:space="preserve"> Resort Freeride</t>
        </is>
      </c>
      <c r="AH946" s="13" t="n"/>
      <c r="AI946" s="13" t="n"/>
      <c r="AJ946" s="13" t="n"/>
      <c r="AK946" s="42" t="n"/>
    </row>
    <row r="947">
      <c r="E947" s="40" t="inlineStr">
        <is>
          <t>21/22</t>
        </is>
      </c>
      <c r="F947" s="10" t="inlineStr">
        <is>
          <t>K2</t>
        </is>
      </c>
      <c r="G947" s="11" t="inlineStr">
        <is>
          <t>Mindbender 90 Ti</t>
        </is>
      </c>
      <c r="H947" s="13" t="n">
        <v>170</v>
      </c>
      <c r="I947" s="11" t="inlineStr">
        <is>
          <t xml:space="preserve"> Unisex</t>
        </is>
      </c>
      <c r="J947" s="13" t="n">
        <v>170</v>
      </c>
      <c r="K947" s="13" t="n">
        <v>169.9</v>
      </c>
      <c r="L947" s="13" t="n">
        <v>119</v>
      </c>
      <c r="M947" s="13" t="n">
        <v>146</v>
      </c>
      <c r="N947" s="13" t="n">
        <v>127</v>
      </c>
      <c r="O947" s="13" t="n">
        <v>89</v>
      </c>
      <c r="P947" s="13" t="n">
        <v>113</v>
      </c>
      <c r="Q947" s="13" t="n">
        <v>16.7</v>
      </c>
      <c r="R947" s="13" t="n">
        <v>1831</v>
      </c>
      <c r="S947" s="13" t="n">
        <v>0.9399999999999999</v>
      </c>
      <c r="T947" s="13" t="n">
        <v>1723</v>
      </c>
      <c r="U947" s="13" t="n">
        <v>184</v>
      </c>
      <c r="V947" s="13" t="n">
        <v>120</v>
      </c>
      <c r="W947" s="13" t="n">
        <v>43</v>
      </c>
      <c r="X947" s="13" t="n">
        <v>329</v>
      </c>
      <c r="Y947" s="13" t="n">
        <v>20</v>
      </c>
      <c r="Z947" s="13" t="n">
        <v>180</v>
      </c>
      <c r="AA947" s="13" t="n">
        <v>0.469</v>
      </c>
      <c r="AB947" s="13" t="n">
        <v>139</v>
      </c>
      <c r="AC947" s="13" t="n">
        <v>98</v>
      </c>
      <c r="AD947" s="13" t="n">
        <v>190</v>
      </c>
      <c r="AE947" s="13" t="n">
        <v>4</v>
      </c>
      <c r="AF947" s="13" t="n">
        <v>10.9</v>
      </c>
      <c r="AG947" s="11" t="inlineStr">
        <is>
          <t xml:space="preserve"> Resort Freeride</t>
        </is>
      </c>
      <c r="AH947" s="13" t="n"/>
      <c r="AI947" s="13" t="n"/>
      <c r="AJ947" s="13" t="n"/>
      <c r="AK947" s="42" t="n"/>
    </row>
    <row r="948">
      <c r="E948" s="40" t="inlineStr">
        <is>
          <t>21/22</t>
        </is>
      </c>
      <c r="F948" s="10" t="inlineStr">
        <is>
          <t>K2</t>
        </is>
      </c>
      <c r="G948" s="11" t="inlineStr">
        <is>
          <t>Mindbender 90 Ti</t>
        </is>
      </c>
      <c r="H948" s="13" t="n">
        <v>177</v>
      </c>
      <c r="I948" s="11" t="inlineStr">
        <is>
          <t xml:space="preserve"> Unisex</t>
        </is>
      </c>
      <c r="J948" s="13" t="n">
        <v>177</v>
      </c>
      <c r="K948" s="13" t="n">
        <v>176.9</v>
      </c>
      <c r="L948" s="13" t="n">
        <v>136</v>
      </c>
      <c r="M948" s="13" t="n">
        <v>152</v>
      </c>
      <c r="N948" s="13" t="n">
        <v>127</v>
      </c>
      <c r="O948" s="13" t="n">
        <v>89</v>
      </c>
      <c r="P948" s="13" t="n">
        <v>113</v>
      </c>
      <c r="Q948" s="13" t="n">
        <v>18.2</v>
      </c>
      <c r="R948" s="13" t="n">
        <v>1906</v>
      </c>
      <c r="S948" s="13" t="n">
        <v>0.9399999999999999</v>
      </c>
      <c r="T948" s="13" t="n">
        <v>1794</v>
      </c>
      <c r="U948" s="13" t="n">
        <v>190</v>
      </c>
      <c r="V948" s="13" t="n">
        <v>128</v>
      </c>
      <c r="W948" s="13" t="n">
        <v>41</v>
      </c>
      <c r="X948" s="13" t="n">
        <v>220</v>
      </c>
      <c r="Y948" s="13" t="n">
        <v>17</v>
      </c>
      <c r="Z948" s="13" t="n">
        <v>187</v>
      </c>
      <c r="AA948" s="13" t="n">
        <v>0.426</v>
      </c>
      <c r="AB948" s="13" t="n">
        <v>142</v>
      </c>
      <c r="AC948" s="13" t="n">
        <v>103</v>
      </c>
      <c r="AD948" s="13" t="n">
        <v>78</v>
      </c>
      <c r="AE948" s="13" t="n">
        <v>8</v>
      </c>
      <c r="AF948" s="13" t="n">
        <v>11.1</v>
      </c>
      <c r="AG948" s="11" t="inlineStr">
        <is>
          <t xml:space="preserve"> Resort Freeride</t>
        </is>
      </c>
      <c r="AH948" s="13" t="n"/>
      <c r="AI948" s="13" t="n"/>
      <c r="AJ948" s="13" t="n"/>
      <c r="AK948" s="42" t="n"/>
    </row>
    <row r="949">
      <c r="E949" s="40" t="inlineStr">
        <is>
          <t>21/22</t>
        </is>
      </c>
      <c r="F949" s="10" t="inlineStr">
        <is>
          <t>K2</t>
        </is>
      </c>
      <c r="G949" s="11" t="inlineStr">
        <is>
          <t>Mindbender 90 Ti</t>
        </is>
      </c>
      <c r="H949" s="13" t="n">
        <v>184</v>
      </c>
      <c r="I949" s="11" t="inlineStr">
        <is>
          <t xml:space="preserve"> Unisex</t>
        </is>
      </c>
      <c r="J949" s="13" t="n">
        <v>184</v>
      </c>
      <c r="K949" s="13" t="n">
        <v>183.5</v>
      </c>
      <c r="L949" s="13" t="n">
        <v>143</v>
      </c>
      <c r="M949" s="13" t="n">
        <v>159</v>
      </c>
      <c r="N949" s="13" t="n">
        <v>126</v>
      </c>
      <c r="O949" s="13" t="n">
        <v>89</v>
      </c>
      <c r="P949" s="13" t="n">
        <v>113</v>
      </c>
      <c r="Q949" s="13" t="n">
        <v>19.7</v>
      </c>
      <c r="R949" s="13" t="n">
        <v>2028</v>
      </c>
      <c r="S949" s="13" t="n">
        <v>0.91</v>
      </c>
      <c r="T949" s="13" t="n">
        <v>1854</v>
      </c>
      <c r="U949" s="13" t="n">
        <v>222</v>
      </c>
      <c r="V949" s="13" t="n">
        <v>155</v>
      </c>
      <c r="W949" s="13" t="n">
        <v>47</v>
      </c>
      <c r="X949" s="13" t="n">
        <v>235</v>
      </c>
      <c r="Y949" s="13" t="n">
        <v>19</v>
      </c>
      <c r="Z949" s="13" t="n">
        <v>167</v>
      </c>
      <c r="AA949" s="13" t="n">
        <v>0.415</v>
      </c>
      <c r="AB949" s="13" t="n">
        <v>141</v>
      </c>
      <c r="AC949" s="13" t="n">
        <v>105</v>
      </c>
      <c r="AD949" s="13" t="n">
        <v>94</v>
      </c>
      <c r="AE949" s="13" t="n">
        <v>7</v>
      </c>
      <c r="AF949" s="13" t="n">
        <v>11.6</v>
      </c>
      <c r="AG949" s="11" t="inlineStr">
        <is>
          <t xml:space="preserve"> Resort Freeride</t>
        </is>
      </c>
      <c r="AH949" s="13" t="n"/>
      <c r="AI949" s="13" t="n"/>
      <c r="AJ949" s="13" t="n"/>
      <c r="AK949" s="42" t="n"/>
    </row>
    <row r="950">
      <c r="E950" s="40" t="inlineStr">
        <is>
          <t>21/22</t>
        </is>
      </c>
      <c r="F950" s="10" t="inlineStr">
        <is>
          <t>K2</t>
        </is>
      </c>
      <c r="G950" s="11" t="inlineStr">
        <is>
          <t>Mindbender 90C</t>
        </is>
      </c>
      <c r="H950" s="13" t="n">
        <v>156</v>
      </c>
      <c r="I950" s="11" t="inlineStr">
        <is>
          <t xml:space="preserve"> Unisex</t>
        </is>
      </c>
      <c r="J950" s="13" t="n">
        <v>156</v>
      </c>
      <c r="K950" s="13" t="n">
        <v>156.7</v>
      </c>
      <c r="L950" s="13" t="n">
        <v>118</v>
      </c>
      <c r="M950" s="13" t="n">
        <v>130</v>
      </c>
      <c r="N950" s="13" t="n">
        <v>126</v>
      </c>
      <c r="O950" s="13" t="n">
        <v>89</v>
      </c>
      <c r="P950" s="13" t="n">
        <v>112</v>
      </c>
      <c r="Q950" s="13" t="n">
        <v>13.5</v>
      </c>
      <c r="R950" s="13" t="n">
        <v>1373</v>
      </c>
      <c r="S950" s="13" t="n">
        <v>1.16</v>
      </c>
      <c r="T950" s="13" t="n">
        <v>1588</v>
      </c>
      <c r="U950" s="13" t="n">
        <v>117</v>
      </c>
      <c r="V950" s="13" t="n">
        <v>60</v>
      </c>
      <c r="W950" s="13" t="n">
        <v>49</v>
      </c>
      <c r="X950" s="13" t="n">
        <v>225</v>
      </c>
      <c r="Y950" s="13" t="n">
        <v>16</v>
      </c>
      <c r="Z950" s="13" t="n">
        <v>161</v>
      </c>
      <c r="AA950" s="13" t="n">
        <v>0.324</v>
      </c>
      <c r="AB950" s="13" t="n">
        <v>155</v>
      </c>
      <c r="AC950" s="13" t="n">
        <v>116</v>
      </c>
      <c r="AD950" s="13" t="n">
        <v>71</v>
      </c>
      <c r="AE950" s="13" t="n">
        <v>9</v>
      </c>
      <c r="AF950" s="13" t="n">
        <v>9.699999999999999</v>
      </c>
      <c r="AG950" s="11" t="inlineStr">
        <is>
          <t xml:space="preserve"> Resort Freeride</t>
        </is>
      </c>
      <c r="AH950" s="11" t="inlineStr">
        <is>
          <t xml:space="preserve"> Touring</t>
        </is>
      </c>
      <c r="AI950" s="13" t="n"/>
      <c r="AJ950" s="13" t="n"/>
      <c r="AK950" s="42" t="n"/>
    </row>
    <row r="951">
      <c r="E951" s="40" t="inlineStr">
        <is>
          <t>21/22</t>
        </is>
      </c>
      <c r="F951" s="10" t="inlineStr">
        <is>
          <t>K2</t>
        </is>
      </c>
      <c r="G951" s="11" t="inlineStr">
        <is>
          <t>Mindbender 90C</t>
        </is>
      </c>
      <c r="H951" s="13" t="n">
        <v>163</v>
      </c>
      <c r="I951" s="11" t="inlineStr">
        <is>
          <t xml:space="preserve"> Unisex</t>
        </is>
      </c>
      <c r="J951" s="13" t="n">
        <v>163</v>
      </c>
      <c r="K951" s="13" t="n">
        <v>163.6</v>
      </c>
      <c r="L951" s="13" t="n">
        <v>129</v>
      </c>
      <c r="M951" s="13" t="n">
        <v>137</v>
      </c>
      <c r="N951" s="13" t="n">
        <v>126</v>
      </c>
      <c r="O951" s="13" t="n">
        <v>89</v>
      </c>
      <c r="P951" s="13" t="n">
        <v>112</v>
      </c>
      <c r="Q951" s="13" t="n">
        <v>14.6</v>
      </c>
      <c r="R951" s="13" t="n">
        <v>1462</v>
      </c>
      <c r="S951" s="13" t="n">
        <v>1.13</v>
      </c>
      <c r="T951" s="13" t="n">
        <v>1659</v>
      </c>
      <c r="U951" s="13" t="n">
        <v>131</v>
      </c>
      <c r="V951" s="13" t="n">
        <v>68</v>
      </c>
      <c r="W951" s="13" t="n">
        <v>44</v>
      </c>
      <c r="X951" s="13" t="n">
        <v>208</v>
      </c>
      <c r="Y951" s="13" t="n">
        <v>14</v>
      </c>
      <c r="Z951" s="13" t="n">
        <v>141</v>
      </c>
      <c r="AA951" s="13" t="n">
        <v>0.315</v>
      </c>
      <c r="AB951" s="13" t="n">
        <v>156</v>
      </c>
      <c r="AC951" s="13" t="n">
        <v>111</v>
      </c>
      <c r="AD951" s="13" t="n">
        <v>52</v>
      </c>
      <c r="AE951" s="13" t="n">
        <v>8</v>
      </c>
      <c r="AF951" s="13" t="n">
        <v>10.3</v>
      </c>
      <c r="AG951" s="11" t="inlineStr">
        <is>
          <t xml:space="preserve"> Resort Freeride</t>
        </is>
      </c>
      <c r="AH951" s="11" t="inlineStr">
        <is>
          <t xml:space="preserve"> Touring</t>
        </is>
      </c>
      <c r="AI951" s="13" t="n"/>
      <c r="AJ951" s="13" t="n"/>
      <c r="AK951" s="42" t="n"/>
    </row>
    <row r="952">
      <c r="E952" s="40" t="inlineStr">
        <is>
          <t>21/22</t>
        </is>
      </c>
      <c r="F952" s="10" t="inlineStr">
        <is>
          <t>K2</t>
        </is>
      </c>
      <c r="G952" s="11" t="inlineStr">
        <is>
          <t>Mindbender 90C</t>
        </is>
      </c>
      <c r="H952" s="13" t="n">
        <v>170</v>
      </c>
      <c r="I952" s="11" t="inlineStr">
        <is>
          <t xml:space="preserve"> Unisex</t>
        </is>
      </c>
      <c r="J952" s="13" t="n">
        <v>170</v>
      </c>
      <c r="K952" s="13" t="n">
        <v>170.2</v>
      </c>
      <c r="L952" s="13" t="n">
        <v>130</v>
      </c>
      <c r="M952" s="13" t="n">
        <v>142</v>
      </c>
      <c r="N952" s="13" t="n">
        <v>126</v>
      </c>
      <c r="O952" s="13" t="n">
        <v>89</v>
      </c>
      <c r="P952" s="13" t="n">
        <v>112</v>
      </c>
      <c r="Q952" s="13" t="n">
        <v>16</v>
      </c>
      <c r="R952" s="13" t="n">
        <v>1562</v>
      </c>
      <c r="S952" s="13" t="n">
        <v>1.1</v>
      </c>
      <c r="T952" s="13" t="n">
        <v>1724</v>
      </c>
      <c r="U952" s="13" t="n">
        <v>156</v>
      </c>
      <c r="V952" s="13" t="n">
        <v>80</v>
      </c>
      <c r="W952" s="13" t="n">
        <v>49</v>
      </c>
      <c r="X952" s="13" t="n">
        <v>236</v>
      </c>
      <c r="Y952" s="13" t="n">
        <v>16</v>
      </c>
      <c r="Z952" s="13" t="n">
        <v>171</v>
      </c>
      <c r="AA952" s="13" t="n">
        <v>0.325</v>
      </c>
      <c r="AB952" s="13" t="n">
        <v>155</v>
      </c>
      <c r="AC952" s="13" t="n">
        <v>126</v>
      </c>
      <c r="AD952" s="13" t="n">
        <v>81</v>
      </c>
      <c r="AE952" s="13" t="n">
        <v>7</v>
      </c>
      <c r="AF952" s="13" t="n">
        <v>10.6</v>
      </c>
      <c r="AG952" s="11" t="inlineStr">
        <is>
          <t xml:space="preserve"> Resort Freeride</t>
        </is>
      </c>
      <c r="AH952" s="11" t="inlineStr">
        <is>
          <t xml:space="preserve"> Touring</t>
        </is>
      </c>
      <c r="AI952" s="13" t="n"/>
      <c r="AJ952" s="13" t="n"/>
      <c r="AK952" s="42" t="n"/>
    </row>
    <row r="953">
      <c r="E953" s="40" t="inlineStr">
        <is>
          <t>21/22</t>
        </is>
      </c>
      <c r="F953" s="10" t="inlineStr">
        <is>
          <t>K2</t>
        </is>
      </c>
      <c r="G953" s="11" t="inlineStr">
        <is>
          <t>Mindbender 90C</t>
        </is>
      </c>
      <c r="H953" s="13" t="n">
        <v>177</v>
      </c>
      <c r="I953" s="11" t="inlineStr">
        <is>
          <t xml:space="preserve"> Unisex</t>
        </is>
      </c>
      <c r="J953" s="13" t="n">
        <v>177</v>
      </c>
      <c r="K953" s="13" t="n">
        <v>177.4</v>
      </c>
      <c r="L953" s="13" t="n">
        <v>140</v>
      </c>
      <c r="M953" s="13" t="n">
        <v>149</v>
      </c>
      <c r="N953" s="13" t="n">
        <v>126</v>
      </c>
      <c r="O953" s="13" t="n">
        <v>89</v>
      </c>
      <c r="P953" s="13" t="n">
        <v>112</v>
      </c>
      <c r="Q953" s="13" t="n">
        <v>17.6</v>
      </c>
      <c r="R953" s="13" t="n">
        <v>1716</v>
      </c>
      <c r="S953" s="13" t="n">
        <v>1.05</v>
      </c>
      <c r="T953" s="13" t="n">
        <v>1795</v>
      </c>
      <c r="U953" s="13" t="n">
        <v>185</v>
      </c>
      <c r="V953" s="13" t="n">
        <v>93</v>
      </c>
      <c r="W953" s="13" t="n">
        <v>46</v>
      </c>
      <c r="X953" s="13" t="n">
        <v>216</v>
      </c>
      <c r="Y953" s="13" t="n">
        <v>15</v>
      </c>
      <c r="Z953" s="13" t="n">
        <v>159</v>
      </c>
      <c r="AA953" s="13" t="n">
        <v>0.318</v>
      </c>
      <c r="AB953" s="13" t="n">
        <v>166</v>
      </c>
      <c r="AC953" s="13" t="n">
        <v>119</v>
      </c>
      <c r="AD953" s="13" t="n">
        <v>50</v>
      </c>
      <c r="AE953" s="13" t="n">
        <v>8</v>
      </c>
      <c r="AF953" s="13" t="n">
        <v>11</v>
      </c>
      <c r="AG953" s="11" t="inlineStr">
        <is>
          <t xml:space="preserve"> Resort Freeride</t>
        </is>
      </c>
      <c r="AH953" s="13" t="n"/>
      <c r="AI953" s="13" t="n"/>
      <c r="AJ953" s="13" t="n"/>
      <c r="AK953" s="42" t="n"/>
    </row>
    <row r="954">
      <c r="E954" s="40" t="inlineStr">
        <is>
          <t>21/22</t>
        </is>
      </c>
      <c r="F954" s="10" t="inlineStr">
        <is>
          <t>K2</t>
        </is>
      </c>
      <c r="G954" s="11" t="inlineStr">
        <is>
          <t>Mindbender 98 Ti Alliance</t>
        </is>
      </c>
      <c r="H954" s="13" t="n">
        <v>154</v>
      </c>
      <c r="I954" s="11" t="inlineStr">
        <is>
          <t xml:space="preserve"> Women's</t>
        </is>
      </c>
      <c r="J954" s="13" t="n">
        <v>154</v>
      </c>
      <c r="K954" s="13" t="n">
        <v>154.1</v>
      </c>
      <c r="L954" s="13" t="n">
        <v>108</v>
      </c>
      <c r="M954" s="13" t="n">
        <v>126</v>
      </c>
      <c r="N954" s="13" t="n">
        <v>133</v>
      </c>
      <c r="O954" s="13" t="n">
        <v>98</v>
      </c>
      <c r="P954" s="13" t="n">
        <v>119</v>
      </c>
      <c r="Q954" s="13" t="n">
        <v>13.1</v>
      </c>
      <c r="R954" s="13" t="n">
        <v>1594</v>
      </c>
      <c r="S954" s="13" t="n">
        <v>1.06</v>
      </c>
      <c r="T954" s="13" t="n">
        <v>1683</v>
      </c>
      <c r="U954" s="13" t="n">
        <v>117</v>
      </c>
      <c r="V954" s="13" t="n">
        <v>84</v>
      </c>
      <c r="W954" s="13" t="n">
        <v>44</v>
      </c>
      <c r="X954" s="13" t="n">
        <v>296</v>
      </c>
      <c r="Y954" s="13" t="n">
        <v>14</v>
      </c>
      <c r="Z954" s="13" t="n">
        <v>168</v>
      </c>
      <c r="AA954" s="13" t="n">
        <v>0.324</v>
      </c>
      <c r="AB954" s="13" t="n">
        <v>157</v>
      </c>
      <c r="AC954" s="13" t="n">
        <v>122</v>
      </c>
      <c r="AD954" s="13" t="n">
        <v>138</v>
      </c>
      <c r="AE954" s="13" t="n">
        <v>7</v>
      </c>
      <c r="AF954" s="13" t="n">
        <v>9.800000000000001</v>
      </c>
      <c r="AG954" s="11" t="inlineStr">
        <is>
          <t xml:space="preserve"> Resort Freeride</t>
        </is>
      </c>
      <c r="AH954" s="11" t="inlineStr">
        <is>
          <t xml:space="preserve"> Touring</t>
        </is>
      </c>
      <c r="AI954" s="13" t="n"/>
      <c r="AJ954" s="13" t="n"/>
      <c r="AK954" s="42" t="n"/>
    </row>
    <row r="955">
      <c r="E955" s="40" t="inlineStr">
        <is>
          <t>21/22</t>
        </is>
      </c>
      <c r="F955" s="10" t="inlineStr">
        <is>
          <t>K2</t>
        </is>
      </c>
      <c r="G955" s="11" t="inlineStr">
        <is>
          <t>Mindbender 98 Ti Alliance</t>
        </is>
      </c>
      <c r="H955" s="13" t="n">
        <v>161</v>
      </c>
      <c r="I955" s="11" t="inlineStr">
        <is>
          <t xml:space="preserve"> Women's</t>
        </is>
      </c>
      <c r="J955" s="13" t="n">
        <v>161</v>
      </c>
      <c r="K955" s="13" t="n">
        <v>161.1</v>
      </c>
      <c r="L955" s="13" t="n">
        <v>114</v>
      </c>
      <c r="M955" s="13" t="n">
        <v>133</v>
      </c>
      <c r="N955" s="13" t="n">
        <v>133</v>
      </c>
      <c r="O955" s="13" t="n">
        <v>97</v>
      </c>
      <c r="P955" s="13" t="n">
        <v>119</v>
      </c>
      <c r="Q955" s="13" t="n">
        <v>14.6</v>
      </c>
      <c r="R955" s="13" t="n">
        <v>1700</v>
      </c>
      <c r="S955" s="13" t="n">
        <v>1.03</v>
      </c>
      <c r="T955" s="13" t="n">
        <v>1752</v>
      </c>
      <c r="U955" s="13" t="n">
        <v>144</v>
      </c>
      <c r="V955" s="13" t="n">
        <v>91</v>
      </c>
      <c r="W955" s="13" t="n">
        <v>48</v>
      </c>
      <c r="X955" s="13" t="n">
        <v>287</v>
      </c>
      <c r="Y955" s="13" t="n">
        <v>15</v>
      </c>
      <c r="Z955" s="13" t="n">
        <v>180</v>
      </c>
      <c r="AA955" s="13" t="n">
        <v>0.309</v>
      </c>
      <c r="AB955" s="13" t="n">
        <v>157</v>
      </c>
      <c r="AC955" s="13" t="n">
        <v>120</v>
      </c>
      <c r="AD955" s="13" t="n">
        <v>130</v>
      </c>
      <c r="AE955" s="13" t="n">
        <v>7</v>
      </c>
      <c r="AF955" s="13" t="n">
        <v>10.7</v>
      </c>
      <c r="AG955" s="11" t="inlineStr">
        <is>
          <t xml:space="preserve"> Resort Freeride</t>
        </is>
      </c>
      <c r="AH955" s="13" t="n"/>
      <c r="AI955" s="13" t="n"/>
      <c r="AJ955" s="13" t="n"/>
      <c r="AK955" s="42" t="n"/>
    </row>
    <row r="956">
      <c r="E956" s="40" t="inlineStr">
        <is>
          <t>21/22</t>
        </is>
      </c>
      <c r="F956" s="10" t="inlineStr">
        <is>
          <t>K2</t>
        </is>
      </c>
      <c r="G956" s="11" t="inlineStr">
        <is>
          <t>Mindbender 98 Ti Alliance</t>
        </is>
      </c>
      <c r="H956" s="13" t="n">
        <v>168</v>
      </c>
      <c r="I956" s="11" t="inlineStr">
        <is>
          <t xml:space="preserve"> Women's</t>
        </is>
      </c>
      <c r="J956" s="13" t="n">
        <v>168</v>
      </c>
      <c r="K956" s="13" t="n">
        <v>167.8</v>
      </c>
      <c r="L956" s="13" t="n">
        <v>119</v>
      </c>
      <c r="M956" s="13" t="n">
        <v>139</v>
      </c>
      <c r="N956" s="13" t="n">
        <v>132</v>
      </c>
      <c r="O956" s="13" t="n">
        <v>97</v>
      </c>
      <c r="P956" s="13" t="n">
        <v>118</v>
      </c>
      <c r="Q956" s="13" t="n">
        <v>16.3</v>
      </c>
      <c r="R956" s="13" t="n">
        <v>1803</v>
      </c>
      <c r="S956" s="13" t="n">
        <v>1.01</v>
      </c>
      <c r="T956" s="13" t="n">
        <v>1823</v>
      </c>
      <c r="U956" s="13" t="n">
        <v>169</v>
      </c>
      <c r="V956" s="13" t="n">
        <v>106</v>
      </c>
      <c r="W956" s="13" t="n">
        <v>51</v>
      </c>
      <c r="X956" s="13" t="n">
        <v>294</v>
      </c>
      <c r="Y956" s="13" t="n">
        <v>19</v>
      </c>
      <c r="Z956" s="13" t="n">
        <v>197</v>
      </c>
      <c r="AA956" s="13" t="n">
        <v>0.374</v>
      </c>
      <c r="AB956" s="13" t="n">
        <v>157</v>
      </c>
      <c r="AC956" s="13" t="n">
        <v>128</v>
      </c>
      <c r="AD956" s="13" t="n">
        <v>137</v>
      </c>
      <c r="AE956" s="13" t="n">
        <v>7</v>
      </c>
      <c r="AF956" s="13" t="n">
        <v>10.3</v>
      </c>
      <c r="AG956" s="11" t="inlineStr">
        <is>
          <t xml:space="preserve"> Resort Freeride</t>
        </is>
      </c>
      <c r="AH956" s="13" t="n"/>
      <c r="AI956" s="13" t="n"/>
      <c r="AJ956" s="13" t="n"/>
      <c r="AK956" s="42" t="n"/>
    </row>
    <row r="957">
      <c r="E957" s="40" t="inlineStr">
        <is>
          <t>21/22</t>
        </is>
      </c>
      <c r="F957" s="10" t="inlineStr">
        <is>
          <t>K2</t>
        </is>
      </c>
      <c r="G957" s="11" t="inlineStr">
        <is>
          <t>Mindbender 99 Ti</t>
        </is>
      </c>
      <c r="H957" s="13" t="n">
        <v>170</v>
      </c>
      <c r="I957" s="11" t="inlineStr">
        <is>
          <t xml:space="preserve"> Unisex</t>
        </is>
      </c>
      <c r="J957" s="13" t="n">
        <v>170</v>
      </c>
      <c r="K957" s="13" t="n">
        <v>169.9</v>
      </c>
      <c r="L957" s="13" t="n">
        <v>117</v>
      </c>
      <c r="M957" s="13" t="n">
        <v>143</v>
      </c>
      <c r="N957" s="13" t="n">
        <v>137</v>
      </c>
      <c r="O957" s="13" t="n">
        <v>98</v>
      </c>
      <c r="P957" s="13" t="n">
        <v>122</v>
      </c>
      <c r="Q957" s="13" t="n">
        <v>16</v>
      </c>
      <c r="R957" s="13" t="n">
        <v>1901</v>
      </c>
      <c r="S957" s="13" t="n">
        <v>0.99</v>
      </c>
      <c r="T957" s="13" t="n">
        <v>1875</v>
      </c>
      <c r="U957" s="13" t="n">
        <v>164</v>
      </c>
      <c r="V957" s="13" t="n">
        <v>107</v>
      </c>
      <c r="W957" s="13" t="n">
        <v>50</v>
      </c>
      <c r="X957" s="13" t="n">
        <v>315</v>
      </c>
      <c r="Y957" s="13" t="n">
        <v>16</v>
      </c>
      <c r="Z957" s="13" t="n">
        <v>215</v>
      </c>
      <c r="AA957" s="13" t="n">
        <v>0.316</v>
      </c>
      <c r="AB957" s="13" t="n">
        <v>154</v>
      </c>
      <c r="AC957" s="13" t="n">
        <v>117</v>
      </c>
      <c r="AD957" s="13" t="n">
        <v>161</v>
      </c>
      <c r="AE957" s="13" t="n">
        <v>6</v>
      </c>
      <c r="AF957" s="13" t="n">
        <v>10.8</v>
      </c>
      <c r="AG957" s="11" t="inlineStr">
        <is>
          <t xml:space="preserve"> Resort Freeride</t>
        </is>
      </c>
      <c r="AH957" s="13" t="n"/>
      <c r="AI957" s="13" t="n"/>
      <c r="AJ957" s="13" t="n"/>
      <c r="AK957" s="42" t="n"/>
    </row>
    <row r="958">
      <c r="E958" s="40" t="inlineStr">
        <is>
          <t>21/22</t>
        </is>
      </c>
      <c r="F958" s="10" t="inlineStr">
        <is>
          <t>K2</t>
        </is>
      </c>
      <c r="G958" s="11" t="inlineStr">
        <is>
          <t>Mindbender 99 Ti</t>
        </is>
      </c>
      <c r="H958" s="13" t="n">
        <v>177</v>
      </c>
      <c r="I958" s="11" t="inlineStr">
        <is>
          <t xml:space="preserve"> Unisex</t>
        </is>
      </c>
      <c r="J958" s="13" t="n">
        <v>177</v>
      </c>
      <c r="K958" s="13" t="n">
        <v>176.9</v>
      </c>
      <c r="L958" s="13" t="n">
        <v>125</v>
      </c>
      <c r="M958" s="13" t="n">
        <v>150</v>
      </c>
      <c r="N958" s="13" t="n">
        <v>137</v>
      </c>
      <c r="O958" s="13" t="n">
        <v>99</v>
      </c>
      <c r="P958" s="13" t="n">
        <v>122</v>
      </c>
      <c r="Q958" s="13" t="n">
        <v>17.5</v>
      </c>
      <c r="R958" s="13" t="n">
        <v>2031</v>
      </c>
      <c r="S958" s="13" t="n">
        <v>0.96</v>
      </c>
      <c r="T958" s="13" t="n">
        <v>1957</v>
      </c>
      <c r="U958" s="13" t="n">
        <v>202</v>
      </c>
      <c r="V958" s="13" t="n">
        <v>122</v>
      </c>
      <c r="W958" s="13" t="n">
        <v>49</v>
      </c>
      <c r="X958" s="13" t="n">
        <v>319</v>
      </c>
      <c r="Y958" s="13" t="n">
        <v>15</v>
      </c>
      <c r="Z958" s="13" t="n">
        <v>202</v>
      </c>
      <c r="AA958" s="13" t="n">
        <v>0.294</v>
      </c>
      <c r="AB958" s="13" t="n">
        <v>152</v>
      </c>
      <c r="AC958" s="13" t="n">
        <v>122</v>
      </c>
      <c r="AD958" s="13" t="n">
        <v>167</v>
      </c>
      <c r="AE958" s="13" t="n">
        <v>7</v>
      </c>
      <c r="AF958" s="13" t="n">
        <v>11</v>
      </c>
      <c r="AG958" s="11" t="inlineStr">
        <is>
          <t xml:space="preserve"> Resort Freeride</t>
        </is>
      </c>
      <c r="AH958" s="13" t="n"/>
      <c r="AI958" s="13" t="n"/>
      <c r="AJ958" s="13" t="n"/>
      <c r="AK958" s="42" t="n"/>
    </row>
    <row r="959">
      <c r="E959" s="40" t="inlineStr">
        <is>
          <t>21/22</t>
        </is>
      </c>
      <c r="F959" s="10" t="inlineStr">
        <is>
          <t>K2</t>
        </is>
      </c>
      <c r="G959" s="11" t="inlineStr">
        <is>
          <t>Mindbender 99 Ti</t>
        </is>
      </c>
      <c r="H959" s="13" t="n">
        <v>184</v>
      </c>
      <c r="I959" s="11" t="inlineStr">
        <is>
          <t xml:space="preserve"> Unisex</t>
        </is>
      </c>
      <c r="J959" s="13" t="n">
        <v>184</v>
      </c>
      <c r="K959" s="13" t="n">
        <v>183.8</v>
      </c>
      <c r="L959" s="13" t="n">
        <v>134</v>
      </c>
      <c r="M959" s="13" t="n">
        <v>157</v>
      </c>
      <c r="N959" s="13" t="n">
        <v>137</v>
      </c>
      <c r="O959" s="13" t="n">
        <v>98</v>
      </c>
      <c r="P959" s="13" t="n">
        <v>122</v>
      </c>
      <c r="Q959" s="13" t="n">
        <v>19.2</v>
      </c>
      <c r="R959" s="13" t="n">
        <v>2191</v>
      </c>
      <c r="S959" s="13" t="n">
        <v>0.93</v>
      </c>
      <c r="T959" s="13" t="n">
        <v>2027</v>
      </c>
      <c r="U959" s="13" t="n">
        <v>228</v>
      </c>
      <c r="V959" s="13" t="n">
        <v>136</v>
      </c>
      <c r="W959" s="13" t="n">
        <v>50</v>
      </c>
      <c r="X959" s="13" t="n">
        <v>312</v>
      </c>
      <c r="Y959" s="13" t="n">
        <v>17</v>
      </c>
      <c r="Z959" s="13" t="n">
        <v>190</v>
      </c>
      <c r="AA959" s="13" t="n">
        <v>0.329</v>
      </c>
      <c r="AB959" s="13" t="n">
        <v>149</v>
      </c>
      <c r="AC959" s="13" t="n">
        <v>120</v>
      </c>
      <c r="AD959" s="13" t="n">
        <v>163</v>
      </c>
      <c r="AE959" s="13" t="n">
        <v>7</v>
      </c>
      <c r="AF959" s="13" t="n">
        <v>11.3</v>
      </c>
      <c r="AG959" s="11" t="inlineStr">
        <is>
          <t xml:space="preserve"> Resort Freeride</t>
        </is>
      </c>
      <c r="AH959" s="13" t="n"/>
      <c r="AI959" s="13" t="n"/>
      <c r="AJ959" s="13" t="n"/>
      <c r="AK959" s="42" t="n"/>
    </row>
    <row r="960">
      <c r="E960" s="40" t="inlineStr">
        <is>
          <t>21/22</t>
        </is>
      </c>
      <c r="F960" s="10" t="inlineStr">
        <is>
          <t>K2</t>
        </is>
      </c>
      <c r="G960" s="11" t="inlineStr">
        <is>
          <t>Mindbender 99 Ti</t>
        </is>
      </c>
      <c r="H960" s="13" t="n">
        <v>191</v>
      </c>
      <c r="I960" s="11" t="inlineStr">
        <is>
          <t xml:space="preserve"> Unisex</t>
        </is>
      </c>
      <c r="J960" s="13" t="n">
        <v>191</v>
      </c>
      <c r="K960" s="13" t="n">
        <v>190.8</v>
      </c>
      <c r="L960" s="13" t="n">
        <v>143</v>
      </c>
      <c r="M960" s="13" t="n">
        <v>163</v>
      </c>
      <c r="N960" s="13" t="n">
        <v>137</v>
      </c>
      <c r="O960" s="13" t="n">
        <v>98</v>
      </c>
      <c r="P960" s="13" t="n">
        <v>122</v>
      </c>
      <c r="Q960" s="13" t="n">
        <v>20.8</v>
      </c>
      <c r="R960" s="13" t="n">
        <v>2358</v>
      </c>
      <c r="S960" s="13" t="n">
        <v>0.89</v>
      </c>
      <c r="T960" s="13" t="n">
        <v>2098</v>
      </c>
      <c r="U960" s="13" t="n">
        <v>314</v>
      </c>
      <c r="V960" s="13" t="n">
        <v>180</v>
      </c>
      <c r="W960" s="13" t="n">
        <v>53</v>
      </c>
      <c r="X960" s="13" t="n">
        <v>301</v>
      </c>
      <c r="Y960" s="13" t="n">
        <v>17</v>
      </c>
      <c r="Z960" s="13" t="n">
        <v>182</v>
      </c>
      <c r="AA960" s="13" t="n">
        <v>0.324</v>
      </c>
      <c r="AB960" s="13" t="n">
        <v>151</v>
      </c>
      <c r="AC960" s="13" t="n">
        <v>123</v>
      </c>
      <c r="AD960" s="13" t="n">
        <v>149</v>
      </c>
      <c r="AE960" s="13" t="n">
        <v>8</v>
      </c>
      <c r="AF960" s="13" t="n">
        <v>12</v>
      </c>
      <c r="AG960" s="11" t="inlineStr">
        <is>
          <t xml:space="preserve"> Resort Freeride</t>
        </is>
      </c>
      <c r="AH960" s="13" t="n"/>
      <c r="AI960" s="13" t="n"/>
      <c r="AJ960" s="13" t="n"/>
      <c r="AK960" s="42" t="n"/>
    </row>
    <row r="961">
      <c r="E961" s="40" t="inlineStr">
        <is>
          <t>21/22</t>
        </is>
      </c>
      <c r="F961" s="10" t="inlineStr">
        <is>
          <t>K2</t>
        </is>
      </c>
      <c r="G961" s="11" t="inlineStr">
        <is>
          <t xml:space="preserve"> Mindbender Team</t>
        </is>
      </c>
      <c r="H961" s="13" t="n">
        <v>145</v>
      </c>
      <c r="I961" s="11" t="inlineStr">
        <is>
          <t xml:space="preserve"> Junior</t>
        </is>
      </c>
      <c r="J961" s="13" t="n">
        <v>145</v>
      </c>
      <c r="K961" s="13" t="n">
        <v>145.1</v>
      </c>
      <c r="L961" s="13" t="n">
        <v>95</v>
      </c>
      <c r="M961" s="13" t="n">
        <v>110</v>
      </c>
      <c r="N961" s="13" t="n">
        <v>126</v>
      </c>
      <c r="O961" s="13" t="n">
        <v>98</v>
      </c>
      <c r="P961" s="13" t="n">
        <v>116</v>
      </c>
      <c r="Q961" s="13" t="n">
        <v>12.2</v>
      </c>
      <c r="R961" s="13" t="n">
        <v>1310</v>
      </c>
      <c r="S961" s="13" t="n">
        <v>1.19</v>
      </c>
      <c r="T961" s="13" t="n">
        <v>1554</v>
      </c>
      <c r="U961" s="13" t="n">
        <v>112</v>
      </c>
      <c r="V961" s="13" t="n">
        <v>70</v>
      </c>
      <c r="W961" s="13" t="n">
        <v>43</v>
      </c>
      <c r="X961" s="13" t="n">
        <v>310</v>
      </c>
      <c r="Y961" s="13" t="n">
        <v>16</v>
      </c>
      <c r="Z961" s="13" t="n">
        <v>192</v>
      </c>
      <c r="AA961" s="13" t="n">
        <v>0.384</v>
      </c>
      <c r="AB961" s="13" t="n">
        <v>192</v>
      </c>
      <c r="AC961" s="13" t="n">
        <v>156</v>
      </c>
      <c r="AD961" s="13" t="n">
        <v>119</v>
      </c>
      <c r="AE961" s="13" t="n">
        <v>4</v>
      </c>
      <c r="AF961" s="13" t="n">
        <v>8.1</v>
      </c>
      <c r="AG961" s="11" t="inlineStr">
        <is>
          <t xml:space="preserve"> Resort Freeride</t>
        </is>
      </c>
      <c r="AH961" s="11" t="inlineStr">
        <is>
          <t xml:space="preserve"> Touring</t>
        </is>
      </c>
      <c r="AI961" s="13" t="n"/>
      <c r="AJ961" s="13" t="n"/>
      <c r="AK961" s="42" t="n"/>
    </row>
    <row r="962">
      <c r="E962" s="40" t="inlineStr">
        <is>
          <t>21/22</t>
        </is>
      </c>
      <c r="F962" s="10" t="inlineStr">
        <is>
          <t>K2</t>
        </is>
      </c>
      <c r="G962" s="11" t="inlineStr">
        <is>
          <t xml:space="preserve"> Mindbender Team</t>
        </is>
      </c>
      <c r="H962" s="13" t="n">
        <v>165</v>
      </c>
      <c r="I962" s="11" t="inlineStr">
        <is>
          <t xml:space="preserve"> Junior</t>
        </is>
      </c>
      <c r="J962" s="13" t="n">
        <v>165</v>
      </c>
      <c r="K962" s="13" t="n">
        <v>165.4</v>
      </c>
      <c r="L962" s="13" t="n">
        <v>109</v>
      </c>
      <c r="M962" s="13" t="n">
        <v>129</v>
      </c>
      <c r="N962" s="13" t="n">
        <v>126</v>
      </c>
      <c r="O962" s="13" t="n">
        <v>97</v>
      </c>
      <c r="P962" s="13" t="n">
        <v>115</v>
      </c>
      <c r="Q962" s="13" t="n">
        <v>16.7</v>
      </c>
      <c r="R962" s="13" t="n">
        <v>1603</v>
      </c>
      <c r="S962" s="13" t="n">
        <v>1.1</v>
      </c>
      <c r="T962" s="13" t="n">
        <v>1765</v>
      </c>
      <c r="U962" s="13" t="n">
        <v>167</v>
      </c>
      <c r="V962" s="13" t="n">
        <v>86</v>
      </c>
      <c r="W962" s="13" t="n">
        <v>45</v>
      </c>
      <c r="X962" s="13" t="n">
        <v>351</v>
      </c>
      <c r="Y962" s="13" t="n">
        <v>19</v>
      </c>
      <c r="Z962" s="13" t="n">
        <v>214</v>
      </c>
      <c r="AA962" s="13" t="n">
        <v>0.434</v>
      </c>
      <c r="AB962" s="13" t="n">
        <v>197</v>
      </c>
      <c r="AC962" s="13" t="n">
        <v>169</v>
      </c>
      <c r="AD962" s="13" t="n">
        <v>154</v>
      </c>
      <c r="AE962" s="13" t="n">
        <v>5</v>
      </c>
      <c r="AF962" s="13" t="n">
        <v>9.6</v>
      </c>
      <c r="AG962" s="11" t="inlineStr">
        <is>
          <t xml:space="preserve"> Resort Freeride</t>
        </is>
      </c>
      <c r="AH962" s="11" t="inlineStr">
        <is>
          <t xml:space="preserve"> Touring</t>
        </is>
      </c>
      <c r="AI962" s="13" t="n"/>
      <c r="AJ962" s="13" t="n"/>
      <c r="AK962" s="42" t="n"/>
    </row>
    <row r="963">
      <c r="E963" s="40" t="inlineStr">
        <is>
          <t>21/22</t>
        </is>
      </c>
      <c r="F963" s="10" t="inlineStr">
        <is>
          <t>K2</t>
        </is>
      </c>
      <c r="G963" s="11" t="inlineStr">
        <is>
          <t xml:space="preserve"> Poacher</t>
        </is>
      </c>
      <c r="H963" s="13" t="n">
        <v>163</v>
      </c>
      <c r="I963" s="11" t="inlineStr">
        <is>
          <t xml:space="preserve"> Unisex</t>
        </is>
      </c>
      <c r="J963" s="13" t="n">
        <v>163</v>
      </c>
      <c r="K963" s="13" t="n">
        <v>160.6</v>
      </c>
      <c r="L963" s="13" t="n">
        <v>98</v>
      </c>
      <c r="M963" s="13" t="n">
        <v>123</v>
      </c>
      <c r="N963" s="13" t="n">
        <v>123</v>
      </c>
      <c r="O963" s="13" t="n">
        <v>95</v>
      </c>
      <c r="P963" s="13" t="n">
        <v>117</v>
      </c>
      <c r="Q963" s="13" t="n">
        <v>13.7</v>
      </c>
      <c r="R963" s="13" t="n">
        <v>1883</v>
      </c>
      <c r="S963" s="13" t="n">
        <v>0.9</v>
      </c>
      <c r="T963" s="13" t="n">
        <v>1685</v>
      </c>
      <c r="U963" s="13" t="n">
        <v>207</v>
      </c>
      <c r="V963" s="13" t="n">
        <v>110</v>
      </c>
      <c r="W963" s="13" t="n">
        <v>40</v>
      </c>
      <c r="X963" s="13" t="n">
        <v>306</v>
      </c>
      <c r="Y963" s="13" t="n">
        <v>40</v>
      </c>
      <c r="Z963" s="13" t="n">
        <v>317</v>
      </c>
      <c r="AA963" s="13" t="n">
        <v>1.004</v>
      </c>
      <c r="AB963" s="13" t="n">
        <v>182</v>
      </c>
      <c r="AC963" s="13" t="n">
        <v>192</v>
      </c>
      <c r="AD963" s="13" t="n">
        <v>125</v>
      </c>
      <c r="AE963" s="13" t="n">
        <v>6</v>
      </c>
      <c r="AF963" s="13" t="n">
        <v>5</v>
      </c>
      <c r="AG963" s="11" t="inlineStr">
        <is>
          <t xml:space="preserve"> Freeski</t>
        </is>
      </c>
      <c r="AH963" s="13" t="n"/>
      <c r="AI963" s="13" t="n"/>
      <c r="AJ963" s="13" t="n"/>
      <c r="AK963" s="42" t="n"/>
    </row>
    <row r="964">
      <c r="E964" s="40" t="inlineStr">
        <is>
          <t>21/22</t>
        </is>
      </c>
      <c r="F964" s="10" t="inlineStr">
        <is>
          <t>K2</t>
        </is>
      </c>
      <c r="G964" s="11" t="inlineStr">
        <is>
          <t xml:space="preserve"> Poacher</t>
        </is>
      </c>
      <c r="H964" s="13" t="n">
        <v>170</v>
      </c>
      <c r="I964" s="11" t="inlineStr">
        <is>
          <t xml:space="preserve"> Unisex</t>
        </is>
      </c>
      <c r="J964" s="13" t="n">
        <v>170</v>
      </c>
      <c r="K964" s="13" t="n">
        <v>168.2</v>
      </c>
      <c r="L964" s="13" t="n">
        <v>97</v>
      </c>
      <c r="M964" s="13" t="n">
        <v>131</v>
      </c>
      <c r="N964" s="13" t="n">
        <v>123</v>
      </c>
      <c r="O964" s="13" t="n">
        <v>95</v>
      </c>
      <c r="P964" s="13" t="n">
        <v>117</v>
      </c>
      <c r="Q964" s="13" t="n">
        <v>15.4</v>
      </c>
      <c r="R964" s="13" t="n">
        <v>1935</v>
      </c>
      <c r="S964" s="13" t="n">
        <v>0.91</v>
      </c>
      <c r="T964" s="13" t="n">
        <v>1769</v>
      </c>
      <c r="U964" s="13" t="n">
        <v>202</v>
      </c>
      <c r="V964" s="13" t="n">
        <v>104</v>
      </c>
      <c r="W964" s="13" t="n">
        <v>43</v>
      </c>
      <c r="X964" s="13" t="n">
        <v>368</v>
      </c>
      <c r="Y964" s="13" t="n">
        <v>42</v>
      </c>
      <c r="Z964" s="13" t="n">
        <v>340</v>
      </c>
      <c r="AA964" s="13" t="n">
        <v>0.984</v>
      </c>
      <c r="AB964" s="13" t="n">
        <v>188</v>
      </c>
      <c r="AC964" s="13" t="n">
        <v>185</v>
      </c>
      <c r="AD964" s="13" t="n">
        <v>180</v>
      </c>
      <c r="AE964" s="13" t="n">
        <v>5</v>
      </c>
      <c r="AF964" s="13" t="n">
        <v>5.3</v>
      </c>
      <c r="AG964" s="11" t="inlineStr">
        <is>
          <t xml:space="preserve"> Freeski</t>
        </is>
      </c>
      <c r="AH964" s="13" t="n"/>
      <c r="AI964" s="13" t="n"/>
      <c r="AJ964" s="13" t="n"/>
      <c r="AK964" s="42" t="n"/>
    </row>
    <row r="965">
      <c r="E965" s="40" t="inlineStr">
        <is>
          <t>21/22</t>
        </is>
      </c>
      <c r="F965" s="10" t="inlineStr">
        <is>
          <t>K2</t>
        </is>
      </c>
      <c r="G965" s="11" t="inlineStr">
        <is>
          <t xml:space="preserve"> Poacher</t>
        </is>
      </c>
      <c r="H965" s="13" t="n">
        <v>177</v>
      </c>
      <c r="I965" s="11" t="inlineStr">
        <is>
          <t xml:space="preserve"> Unisex</t>
        </is>
      </c>
      <c r="J965" s="13" t="n">
        <v>177</v>
      </c>
      <c r="K965" s="13" t="n">
        <v>175.6</v>
      </c>
      <c r="L965" s="13" t="n">
        <v>106</v>
      </c>
      <c r="M965" s="13" t="n">
        <v>138</v>
      </c>
      <c r="N965" s="13" t="n">
        <v>123</v>
      </c>
      <c r="O965" s="13" t="n">
        <v>95</v>
      </c>
      <c r="P965" s="13" t="n">
        <v>117</v>
      </c>
      <c r="Q965" s="13" t="n">
        <v>17.3</v>
      </c>
      <c r="R965" s="13" t="n">
        <v>2037</v>
      </c>
      <c r="S965" s="13" t="n">
        <v>0.91</v>
      </c>
      <c r="T965" s="13" t="n">
        <v>1847</v>
      </c>
      <c r="U965" s="13" t="n">
        <v>233</v>
      </c>
      <c r="V965" s="13" t="n">
        <v>108</v>
      </c>
      <c r="W965" s="13" t="n">
        <v>41</v>
      </c>
      <c r="X965" s="13" t="n">
        <v>328</v>
      </c>
      <c r="Y965" s="13" t="n">
        <v>38</v>
      </c>
      <c r="Z965" s="13" t="n">
        <v>370</v>
      </c>
      <c r="AA965" s="13" t="n">
        <v>0.929</v>
      </c>
      <c r="AB965" s="13" t="n">
        <v>190</v>
      </c>
      <c r="AC965" s="13" t="n">
        <v>184</v>
      </c>
      <c r="AD965" s="13" t="n">
        <v>137</v>
      </c>
      <c r="AE965" s="13" t="n">
        <v>6</v>
      </c>
      <c r="AF965" s="13" t="n">
        <v>5.5</v>
      </c>
      <c r="AG965" s="11" t="inlineStr">
        <is>
          <t xml:space="preserve"> Freeski</t>
        </is>
      </c>
      <c r="AH965" s="13" t="n"/>
      <c r="AI965" s="13" t="n"/>
      <c r="AJ965" s="13" t="n"/>
      <c r="AK965" s="42" t="n"/>
    </row>
    <row r="966">
      <c r="E966" s="40" t="inlineStr">
        <is>
          <t>21/22</t>
        </is>
      </c>
      <c r="F966" s="10" t="inlineStr">
        <is>
          <t>K2</t>
        </is>
      </c>
      <c r="G966" s="11" t="inlineStr">
        <is>
          <t xml:space="preserve"> Poacher</t>
        </is>
      </c>
      <c r="H966" s="13" t="n">
        <v>184</v>
      </c>
      <c r="I966" s="11" t="inlineStr">
        <is>
          <t xml:space="preserve"> Unisex</t>
        </is>
      </c>
      <c r="J966" s="13" t="n">
        <v>184</v>
      </c>
      <c r="K966" s="13" t="n">
        <v>182.9</v>
      </c>
      <c r="L966" s="13" t="n">
        <v>110</v>
      </c>
      <c r="M966" s="13" t="n">
        <v>145</v>
      </c>
      <c r="N966" s="13" t="n">
        <v>124</v>
      </c>
      <c r="O966" s="13" t="n">
        <v>95</v>
      </c>
      <c r="P966" s="13" t="n">
        <v>117</v>
      </c>
      <c r="Q966" s="13" t="n">
        <v>18.9</v>
      </c>
      <c r="R966" s="13" t="n">
        <v>2094</v>
      </c>
      <c r="S966" s="13" t="n">
        <v>0.92</v>
      </c>
      <c r="T966" s="13" t="n">
        <v>1922</v>
      </c>
      <c r="U966" s="13" t="n">
        <v>212</v>
      </c>
      <c r="V966" s="13" t="n">
        <v>95</v>
      </c>
      <c r="W966" s="13" t="n">
        <v>42</v>
      </c>
      <c r="X966" s="13" t="n">
        <v>358</v>
      </c>
      <c r="Y966" s="13" t="n">
        <v>39</v>
      </c>
      <c r="Z966" s="13" t="n">
        <v>374</v>
      </c>
      <c r="AA966" s="13" t="n">
        <v>0.925</v>
      </c>
      <c r="AB966" s="13" t="n">
        <v>186</v>
      </c>
      <c r="AC966" s="13" t="n">
        <v>190</v>
      </c>
      <c r="AD966" s="13" t="n">
        <v>172</v>
      </c>
      <c r="AE966" s="13" t="n">
        <v>6</v>
      </c>
      <c r="AF966" s="13" t="n">
        <v>5.9</v>
      </c>
      <c r="AG966" s="11" t="inlineStr">
        <is>
          <t xml:space="preserve"> Freeski</t>
        </is>
      </c>
      <c r="AH966" s="13" t="n"/>
      <c r="AI966" s="13" t="n"/>
      <c r="AJ966" s="13" t="n"/>
      <c r="AK966" s="42" t="n"/>
    </row>
    <row r="967">
      <c r="E967" s="40" t="inlineStr">
        <is>
          <t>21/22</t>
        </is>
      </c>
      <c r="F967" s="10" t="inlineStr">
        <is>
          <t>K2</t>
        </is>
      </c>
      <c r="G967" s="11" t="inlineStr">
        <is>
          <t xml:space="preserve"> Press</t>
        </is>
      </c>
      <c r="H967" s="13" t="n">
        <v>169</v>
      </c>
      <c r="I967" s="11" t="inlineStr">
        <is>
          <t xml:space="preserve"> Unisex</t>
        </is>
      </c>
      <c r="J967" s="13" t="n">
        <v>169</v>
      </c>
      <c r="K967" s="13" t="n">
        <v>169.1</v>
      </c>
      <c r="L967" s="13" t="n">
        <v>123</v>
      </c>
      <c r="M967" s="13" t="n">
        <v>135</v>
      </c>
      <c r="N967" s="13" t="n">
        <v>111</v>
      </c>
      <c r="O967" s="13" t="n">
        <v>85</v>
      </c>
      <c r="P967" s="13" t="n">
        <v>106</v>
      </c>
      <c r="Q967" s="13" t="n">
        <v>18.4</v>
      </c>
      <c r="R967" s="13" t="n">
        <v>1677</v>
      </c>
      <c r="S967" s="13" t="n">
        <v>0.95</v>
      </c>
      <c r="T967" s="13" t="n">
        <v>1600</v>
      </c>
      <c r="U967" s="13" t="n">
        <v>157</v>
      </c>
      <c r="V967" s="13" t="n">
        <v>87</v>
      </c>
      <c r="W967" s="13" t="n">
        <v>48</v>
      </c>
      <c r="X967" s="13" t="n">
        <v>220</v>
      </c>
      <c r="Y967" s="13" t="n">
        <v>44</v>
      </c>
      <c r="Z967" s="13" t="n">
        <v>237</v>
      </c>
      <c r="AA967" s="13" t="n">
        <v>0.928</v>
      </c>
      <c r="AB967" s="13" t="n">
        <v>161</v>
      </c>
      <c r="AC967" s="13" t="n">
        <v>183</v>
      </c>
      <c r="AD967" s="13" t="n">
        <v>59</v>
      </c>
      <c r="AE967" s="13" t="n">
        <v>5</v>
      </c>
      <c r="AF967" s="13" t="n">
        <v>4.7</v>
      </c>
      <c r="AG967" s="11" t="inlineStr">
        <is>
          <t xml:space="preserve"> Freeski</t>
        </is>
      </c>
      <c r="AH967" s="13" t="n"/>
      <c r="AI967" s="13" t="n"/>
      <c r="AJ967" s="13" t="n"/>
      <c r="AK967" s="42" t="n"/>
    </row>
    <row r="968">
      <c r="E968" s="40" t="inlineStr">
        <is>
          <t>21/22</t>
        </is>
      </c>
      <c r="F968" s="10" t="inlineStr">
        <is>
          <t>K2</t>
        </is>
      </c>
      <c r="G968" s="11" t="inlineStr">
        <is>
          <t>Reckoner 102</t>
        </is>
      </c>
      <c r="H968" s="13" t="n">
        <v>163</v>
      </c>
      <c r="I968" s="11" t="inlineStr">
        <is>
          <t xml:space="preserve"> Unisex</t>
        </is>
      </c>
      <c r="J968" s="13" t="n">
        <v>163</v>
      </c>
      <c r="K968" s="13" t="n">
        <v>163.6</v>
      </c>
      <c r="L968" s="13" t="n">
        <v>95</v>
      </c>
      <c r="M968" s="13" t="n">
        <v>134</v>
      </c>
      <c r="N968" s="13" t="n">
        <v>133</v>
      </c>
      <c r="O968" s="13" t="n">
        <v>101</v>
      </c>
      <c r="P968" s="13" t="n">
        <v>125</v>
      </c>
      <c r="Q968" s="13" t="n">
        <v>14.9</v>
      </c>
      <c r="R968" s="13" t="n">
        <v>1597</v>
      </c>
      <c r="S968" s="13" t="n">
        <v>1.14</v>
      </c>
      <c r="T968" s="13" t="n">
        <v>1828</v>
      </c>
      <c r="U968" s="13" t="n">
        <v>143</v>
      </c>
      <c r="V968" s="13" t="n">
        <v>72</v>
      </c>
      <c r="W968" s="13" t="n">
        <v>53</v>
      </c>
      <c r="X968" s="13" t="n">
        <v>343</v>
      </c>
      <c r="Y968" s="13" t="n">
        <v>50</v>
      </c>
      <c r="Z968" s="13" t="n">
        <v>348</v>
      </c>
      <c r="AA968" s="13" t="n">
        <v>0.9409999999999999</v>
      </c>
      <c r="AB968" s="13" t="n">
        <v>147</v>
      </c>
      <c r="AC968" s="13" t="n">
        <v>145</v>
      </c>
      <c r="AD968" s="13" t="n">
        <v>196</v>
      </c>
      <c r="AE968" s="13" t="n">
        <v>4</v>
      </c>
      <c r="AF968" s="13" t="n">
        <v>3.7</v>
      </c>
      <c r="AG968" s="11" t="inlineStr">
        <is>
          <t xml:space="preserve"> Freeski</t>
        </is>
      </c>
      <c r="AH968" s="11" t="inlineStr">
        <is>
          <t xml:space="preserve"> Powder</t>
        </is>
      </c>
      <c r="AI968" s="11" t="inlineStr">
        <is>
          <t xml:space="preserve"> Touring</t>
        </is>
      </c>
      <c r="AJ968" s="13" t="n"/>
      <c r="AK968" s="42" t="n"/>
    </row>
    <row r="969">
      <c r="E969" s="40" t="inlineStr">
        <is>
          <t>21/22</t>
        </is>
      </c>
      <c r="F969" s="10" t="inlineStr">
        <is>
          <t>K2</t>
        </is>
      </c>
      <c r="G969" s="11" t="inlineStr">
        <is>
          <t>Reckoner 102</t>
        </is>
      </c>
      <c r="H969" s="13" t="n">
        <v>170</v>
      </c>
      <c r="I969" s="11" t="inlineStr">
        <is>
          <t xml:space="preserve"> Unisex</t>
        </is>
      </c>
      <c r="J969" s="13" t="n">
        <v>170</v>
      </c>
      <c r="K969" s="13" t="n">
        <v>170.2</v>
      </c>
      <c r="L969" s="13" t="n">
        <v>100</v>
      </c>
      <c r="M969" s="13" t="n">
        <v>140</v>
      </c>
      <c r="N969" s="13" t="n">
        <v>133</v>
      </c>
      <c r="O969" s="13" t="n">
        <v>101</v>
      </c>
      <c r="P969" s="13" t="n">
        <v>126</v>
      </c>
      <c r="Q969" s="13" t="n">
        <v>16.3</v>
      </c>
      <c r="R969" s="13" t="n">
        <v>1728</v>
      </c>
      <c r="S969" s="13" t="n">
        <v>1.11</v>
      </c>
      <c r="T969" s="13" t="n">
        <v>1911</v>
      </c>
      <c r="U969" s="13" t="n">
        <v>175</v>
      </c>
      <c r="V969" s="13" t="n">
        <v>71</v>
      </c>
      <c r="W969" s="13" t="n">
        <v>52</v>
      </c>
      <c r="X969" s="13" t="n">
        <v>338</v>
      </c>
      <c r="Y969" s="13" t="n">
        <v>50</v>
      </c>
      <c r="Z969" s="13" t="n">
        <v>367</v>
      </c>
      <c r="AA969" s="13" t="n">
        <v>0.959</v>
      </c>
      <c r="AB969" s="13" t="n">
        <v>147</v>
      </c>
      <c r="AC969" s="13" t="n">
        <v>150</v>
      </c>
      <c r="AD969" s="13" t="n">
        <v>191</v>
      </c>
      <c r="AE969" s="13" t="n">
        <v>5</v>
      </c>
      <c r="AF969" s="13" t="n">
        <v>4.2</v>
      </c>
      <c r="AG969" s="11" t="inlineStr">
        <is>
          <t xml:space="preserve"> Freeski</t>
        </is>
      </c>
      <c r="AH969" s="11" t="inlineStr">
        <is>
          <t xml:space="preserve"> Powder</t>
        </is>
      </c>
      <c r="AI969" s="11" t="inlineStr">
        <is>
          <t xml:space="preserve"> Touring</t>
        </is>
      </c>
      <c r="AJ969" s="13" t="n"/>
      <c r="AK969" s="42" t="n"/>
    </row>
    <row r="970">
      <c r="E970" s="40" t="inlineStr">
        <is>
          <t>21/22</t>
        </is>
      </c>
      <c r="F970" s="10" t="inlineStr">
        <is>
          <t>K2</t>
        </is>
      </c>
      <c r="G970" s="11" t="inlineStr">
        <is>
          <t>Reckoner 102</t>
        </is>
      </c>
      <c r="H970" s="13" t="n">
        <v>177</v>
      </c>
      <c r="I970" s="11" t="inlineStr">
        <is>
          <t xml:space="preserve"> Unisex</t>
        </is>
      </c>
      <c r="J970" s="13" t="n">
        <v>177</v>
      </c>
      <c r="K970" s="13" t="n">
        <v>177</v>
      </c>
      <c r="L970" s="13" t="n">
        <v>114</v>
      </c>
      <c r="M970" s="13" t="n">
        <v>148</v>
      </c>
      <c r="N970" s="13" t="n">
        <v>133</v>
      </c>
      <c r="O970" s="13" t="n">
        <v>101</v>
      </c>
      <c r="P970" s="13" t="n">
        <v>126</v>
      </c>
      <c r="Q970" s="13" t="n">
        <v>18.1</v>
      </c>
      <c r="R970" s="13" t="n">
        <v>1773</v>
      </c>
      <c r="S970" s="13" t="n">
        <v>1.12</v>
      </c>
      <c r="T970" s="13" t="n">
        <v>1989</v>
      </c>
      <c r="U970" s="13" t="n">
        <v>168</v>
      </c>
      <c r="V970" s="13" t="n">
        <v>69</v>
      </c>
      <c r="W970" s="13" t="n">
        <v>51</v>
      </c>
      <c r="X970" s="13" t="n">
        <v>316</v>
      </c>
      <c r="Y970" s="13" t="n">
        <v>47</v>
      </c>
      <c r="Z970" s="13" t="n">
        <v>315</v>
      </c>
      <c r="AA970" s="13" t="n">
        <v>0.924</v>
      </c>
      <c r="AB970" s="13" t="n">
        <v>147</v>
      </c>
      <c r="AC970" s="13" t="n">
        <v>139</v>
      </c>
      <c r="AD970" s="13" t="n">
        <v>169</v>
      </c>
      <c r="AE970" s="13" t="n">
        <v>6</v>
      </c>
      <c r="AF970" s="13" t="n">
        <v>4.4</v>
      </c>
      <c r="AG970" s="11" t="inlineStr">
        <is>
          <t xml:space="preserve"> Freeski</t>
        </is>
      </c>
      <c r="AH970" s="11" t="inlineStr">
        <is>
          <t xml:space="preserve"> Powder</t>
        </is>
      </c>
      <c r="AI970" s="11" t="inlineStr">
        <is>
          <t xml:space="preserve"> Touring</t>
        </is>
      </c>
      <c r="AJ970" s="13" t="n"/>
      <c r="AK970" s="42" t="n"/>
    </row>
    <row r="971">
      <c r="E971" s="40" t="inlineStr">
        <is>
          <t>21/22</t>
        </is>
      </c>
      <c r="F971" s="10" t="inlineStr">
        <is>
          <t>K2</t>
        </is>
      </c>
      <c r="G971" s="11" t="inlineStr">
        <is>
          <t>Reckoner 102</t>
        </is>
      </c>
      <c r="H971" s="13" t="n">
        <v>184</v>
      </c>
      <c r="I971" s="11" t="inlineStr">
        <is>
          <t xml:space="preserve"> Unisex</t>
        </is>
      </c>
      <c r="J971" s="13" t="n">
        <v>184</v>
      </c>
      <c r="K971" s="13" t="n">
        <v>184.2</v>
      </c>
      <c r="L971" s="13" t="n">
        <v>121</v>
      </c>
      <c r="M971" s="13" t="n">
        <v>155</v>
      </c>
      <c r="N971" s="13" t="n">
        <v>134</v>
      </c>
      <c r="O971" s="13" t="n">
        <v>101</v>
      </c>
      <c r="P971" s="13" t="n">
        <v>126</v>
      </c>
      <c r="Q971" s="13" t="n">
        <v>19.8</v>
      </c>
      <c r="R971" s="13" t="n">
        <v>1875</v>
      </c>
      <c r="S971" s="13" t="n">
        <v>1.1</v>
      </c>
      <c r="T971" s="13" t="n">
        <v>2065</v>
      </c>
      <c r="U971" s="13" t="n">
        <v>210</v>
      </c>
      <c r="V971" s="13" t="n">
        <v>85</v>
      </c>
      <c r="W971" s="13" t="n">
        <v>46</v>
      </c>
      <c r="X971" s="13" t="n">
        <v>333</v>
      </c>
      <c r="Y971" s="13" t="n">
        <v>43</v>
      </c>
      <c r="Z971" s="13" t="n">
        <v>302</v>
      </c>
      <c r="AA971" s="13" t="n">
        <v>0.927</v>
      </c>
      <c r="AB971" s="13" t="n">
        <v>147</v>
      </c>
      <c r="AC971" s="13" t="n">
        <v>147</v>
      </c>
      <c r="AD971" s="13" t="n">
        <v>186</v>
      </c>
      <c r="AE971" s="13" t="n">
        <v>7</v>
      </c>
      <c r="AF971" s="13" t="n">
        <v>4.8</v>
      </c>
      <c r="AG971" s="11" t="inlineStr">
        <is>
          <t xml:space="preserve"> Freeski</t>
        </is>
      </c>
      <c r="AH971" s="11" t="inlineStr">
        <is>
          <t xml:space="preserve"> Powder</t>
        </is>
      </c>
      <c r="AI971" s="11" t="inlineStr">
        <is>
          <t xml:space="preserve"> Touring</t>
        </is>
      </c>
      <c r="AJ971" s="13" t="n"/>
      <c r="AK971" s="42" t="n"/>
    </row>
    <row r="972">
      <c r="E972" s="40" t="inlineStr">
        <is>
          <t>21/22</t>
        </is>
      </c>
      <c r="F972" s="10" t="inlineStr">
        <is>
          <t>K2</t>
        </is>
      </c>
      <c r="G972" s="11" t="inlineStr">
        <is>
          <t>Reckoner 112</t>
        </is>
      </c>
      <c r="H972" s="13" t="n">
        <v>177</v>
      </c>
      <c r="I972" s="11" t="inlineStr">
        <is>
          <t xml:space="preserve"> Unisex</t>
        </is>
      </c>
      <c r="J972" s="13" t="n">
        <v>177</v>
      </c>
      <c r="K972" s="13" t="n">
        <v>177.5</v>
      </c>
      <c r="L972" s="13" t="n">
        <v>106</v>
      </c>
      <c r="M972" s="13" t="n">
        <v>133</v>
      </c>
      <c r="N972" s="13" t="n">
        <v>136</v>
      </c>
      <c r="O972" s="13" t="n">
        <v>111</v>
      </c>
      <c r="P972" s="13" t="n">
        <v>126</v>
      </c>
      <c r="Q972" s="13" t="n">
        <v>20.9</v>
      </c>
      <c r="R972" s="13" t="n">
        <v>1827</v>
      </c>
      <c r="S972" s="13" t="n">
        <v>1.15</v>
      </c>
      <c r="T972" s="13" t="n">
        <v>2109</v>
      </c>
      <c r="U972" s="13" t="n">
        <v>189</v>
      </c>
      <c r="V972" s="13" t="n">
        <v>81</v>
      </c>
      <c r="W972" s="13" t="n">
        <v>50</v>
      </c>
      <c r="X972" s="13" t="n">
        <v>380</v>
      </c>
      <c r="Y972" s="13" t="n">
        <v>36</v>
      </c>
      <c r="Z972" s="13" t="n">
        <v>340</v>
      </c>
      <c r="AA972" s="13" t="n">
        <v>0.707</v>
      </c>
      <c r="AB972" s="13" t="n">
        <v>218</v>
      </c>
      <c r="AC972" s="13" t="n">
        <v>226</v>
      </c>
      <c r="AD972" s="13" t="n">
        <v>162</v>
      </c>
      <c r="AE972" s="13" t="n">
        <v>5</v>
      </c>
      <c r="AF972" s="13" t="n">
        <v>5.7</v>
      </c>
      <c r="AG972" s="11" t="inlineStr">
        <is>
          <t xml:space="preserve"> Powder</t>
        </is>
      </c>
      <c r="AH972" s="11" t="inlineStr">
        <is>
          <t xml:space="preserve"> Touring</t>
        </is>
      </c>
      <c r="AI972" s="13" t="n"/>
      <c r="AJ972" s="13" t="n"/>
      <c r="AK972" s="42" t="n"/>
    </row>
    <row r="973">
      <c r="E973" s="40" t="inlineStr">
        <is>
          <t>21/22</t>
        </is>
      </c>
      <c r="F973" s="10" t="inlineStr">
        <is>
          <t>K2</t>
        </is>
      </c>
      <c r="G973" s="11" t="inlineStr">
        <is>
          <t>Reckoner 112</t>
        </is>
      </c>
      <c r="H973" s="13" t="n">
        <v>184</v>
      </c>
      <c r="I973" s="11" t="inlineStr">
        <is>
          <t xml:space="preserve"> Unisex</t>
        </is>
      </c>
      <c r="J973" s="13" t="n">
        <v>184</v>
      </c>
      <c r="K973" s="13" t="n">
        <v>184.2</v>
      </c>
      <c r="L973" s="13" t="n">
        <v>110</v>
      </c>
      <c r="M973" s="13" t="n">
        <v>141</v>
      </c>
      <c r="N973" s="13" t="n">
        <v>136</v>
      </c>
      <c r="O973" s="13" t="n">
        <v>112</v>
      </c>
      <c r="P973" s="13" t="n">
        <v>126</v>
      </c>
      <c r="Q973" s="13" t="n">
        <v>22.8</v>
      </c>
      <c r="R973" s="13" t="n">
        <v>2012</v>
      </c>
      <c r="S973" s="13" t="n">
        <v>1.09</v>
      </c>
      <c r="T973" s="13" t="n">
        <v>2190</v>
      </c>
      <c r="U973" s="13" t="n">
        <v>202</v>
      </c>
      <c r="V973" s="13" t="n">
        <v>108</v>
      </c>
      <c r="W973" s="13" t="n">
        <v>53</v>
      </c>
      <c r="X973" s="13" t="n">
        <v>394</v>
      </c>
      <c r="Y973" s="13" t="n">
        <v>40</v>
      </c>
      <c r="Z973" s="13" t="n">
        <v>350</v>
      </c>
      <c r="AA973" s="13" t="n">
        <v>0.75</v>
      </c>
      <c r="AB973" s="13" t="n">
        <v>213</v>
      </c>
      <c r="AC973" s="13" t="n">
        <v>223</v>
      </c>
      <c r="AD973" s="13" t="n">
        <v>181</v>
      </c>
      <c r="AE973" s="13" t="n">
        <v>5</v>
      </c>
      <c r="AF973" s="13" t="n">
        <v>6.6</v>
      </c>
      <c r="AG973" s="11" t="inlineStr">
        <is>
          <t xml:space="preserve"> Powder</t>
        </is>
      </c>
      <c r="AH973" s="11" t="inlineStr">
        <is>
          <t xml:space="preserve"> Touring</t>
        </is>
      </c>
      <c r="AI973" s="13" t="n"/>
      <c r="AJ973" s="13" t="n"/>
      <c r="AK973" s="42" t="n"/>
    </row>
    <row r="974">
      <c r="E974" s="40" t="inlineStr">
        <is>
          <t>21/22</t>
        </is>
      </c>
      <c r="F974" s="10" t="inlineStr">
        <is>
          <t>K2</t>
        </is>
      </c>
      <c r="G974" s="11" t="inlineStr">
        <is>
          <t>Reckoner 112</t>
        </is>
      </c>
      <c r="H974" s="13" t="n">
        <v>191</v>
      </c>
      <c r="I974" s="11" t="inlineStr">
        <is>
          <t xml:space="preserve"> Unisex</t>
        </is>
      </c>
      <c r="J974" s="13" t="n">
        <v>191</v>
      </c>
      <c r="K974" s="13" t="n">
        <v>191.7</v>
      </c>
      <c r="L974" s="13" t="n">
        <v>120</v>
      </c>
      <c r="M974" s="13" t="n">
        <v>145</v>
      </c>
      <c r="N974" s="13" t="n">
        <v>135</v>
      </c>
      <c r="O974" s="13" t="n">
        <v>111</v>
      </c>
      <c r="P974" s="13" t="n">
        <v>127</v>
      </c>
      <c r="Q974" s="13" t="n">
        <v>25.1</v>
      </c>
      <c r="R974" s="13" t="n">
        <v>2141</v>
      </c>
      <c r="S974" s="13" t="n">
        <v>1.06</v>
      </c>
      <c r="T974" s="13" t="n">
        <v>2276</v>
      </c>
      <c r="U974" s="13" t="n">
        <v>230</v>
      </c>
      <c r="V974" s="13" t="n">
        <v>121</v>
      </c>
      <c r="W974" s="13" t="n">
        <v>55</v>
      </c>
      <c r="X974" s="13" t="n">
        <v>378</v>
      </c>
      <c r="Y974" s="13" t="n">
        <v>50</v>
      </c>
      <c r="Z974" s="13" t="n">
        <v>335</v>
      </c>
      <c r="AA974" s="13" t="n">
        <v>0.904</v>
      </c>
      <c r="AB974" s="13" t="n">
        <v>218</v>
      </c>
      <c r="AC974" s="13" t="n">
        <v>244</v>
      </c>
      <c r="AD974" s="13" t="n">
        <v>159</v>
      </c>
      <c r="AE974" s="13" t="n">
        <v>7</v>
      </c>
      <c r="AF974" s="13" t="n">
        <v>5.9</v>
      </c>
      <c r="AG974" s="11" t="inlineStr">
        <is>
          <t xml:space="preserve"> Freeski</t>
        </is>
      </c>
      <c r="AH974" s="11" t="inlineStr">
        <is>
          <t xml:space="preserve"> Powder</t>
        </is>
      </c>
      <c r="AI974" s="11" t="inlineStr">
        <is>
          <t xml:space="preserve"> Touring</t>
        </is>
      </c>
      <c r="AJ974" s="13" t="n"/>
      <c r="AK974" s="42" t="n"/>
    </row>
    <row r="975">
      <c r="E975" s="40" t="inlineStr">
        <is>
          <t>21/22</t>
        </is>
      </c>
      <c r="F975" s="10" t="inlineStr">
        <is>
          <t>K2</t>
        </is>
      </c>
      <c r="G975" s="11" t="inlineStr">
        <is>
          <t>Reckoner 122</t>
        </is>
      </c>
      <c r="H975" s="13" t="n">
        <v>177</v>
      </c>
      <c r="I975" s="11" t="inlineStr">
        <is>
          <t xml:space="preserve"> Unisex</t>
        </is>
      </c>
      <c r="J975" s="13" t="n">
        <v>177</v>
      </c>
      <c r="K975" s="13" t="n">
        <v>177.3</v>
      </c>
      <c r="L975" s="13" t="n">
        <v>93</v>
      </c>
      <c r="M975" s="13" t="n">
        <v>132</v>
      </c>
      <c r="N975" s="13" t="n">
        <v>144</v>
      </c>
      <c r="O975" s="13" t="n">
        <v>122</v>
      </c>
      <c r="P975" s="13" t="n">
        <v>135</v>
      </c>
      <c r="Q975" s="13" t="n">
        <v>22.1</v>
      </c>
      <c r="R975" s="13" t="n">
        <v>2031</v>
      </c>
      <c r="S975" s="13" t="n">
        <v>1.12</v>
      </c>
      <c r="T975" s="13" t="n">
        <v>2267</v>
      </c>
      <c r="U975" s="13" t="n">
        <v>168</v>
      </c>
      <c r="V975" s="13" t="n">
        <v>96</v>
      </c>
      <c r="W975" s="13" t="n">
        <v>65</v>
      </c>
      <c r="X975" s="13" t="n">
        <v>438</v>
      </c>
      <c r="Y975" s="13" t="n">
        <v>52</v>
      </c>
      <c r="Z975" s="13" t="n">
        <v>404</v>
      </c>
      <c r="AA975" s="13" t="n">
        <v>0.793</v>
      </c>
      <c r="AB975" s="13" t="n">
        <v>221</v>
      </c>
      <c r="AC975" s="13" t="n">
        <v>236</v>
      </c>
      <c r="AD975" s="13" t="n">
        <v>217</v>
      </c>
      <c r="AE975" s="13" t="n">
        <v>4</v>
      </c>
      <c r="AF975" s="13" t="n">
        <v>4.2</v>
      </c>
      <c r="AG975" s="11" t="inlineStr">
        <is>
          <t xml:space="preserve"> Powder</t>
        </is>
      </c>
      <c r="AH975" s="11" t="inlineStr">
        <is>
          <t xml:space="preserve"> Touring</t>
        </is>
      </c>
      <c r="AI975" s="13" t="n"/>
      <c r="AJ975" s="13" t="n"/>
      <c r="AK975" s="42" t="n"/>
    </row>
    <row r="976">
      <c r="E976" s="40" t="inlineStr">
        <is>
          <t>21/22</t>
        </is>
      </c>
      <c r="F976" s="10" t="inlineStr">
        <is>
          <t>K2</t>
        </is>
      </c>
      <c r="G976" s="11" t="inlineStr">
        <is>
          <t>Reckoner 122</t>
        </is>
      </c>
      <c r="H976" s="13" t="n">
        <v>184</v>
      </c>
      <c r="I976" s="11" t="inlineStr">
        <is>
          <t xml:space="preserve"> Unisex</t>
        </is>
      </c>
      <c r="J976" s="13" t="n">
        <v>184</v>
      </c>
      <c r="K976" s="13" t="n">
        <v>183.1</v>
      </c>
      <c r="L976" s="13" t="n">
        <v>96</v>
      </c>
      <c r="M976" s="13" t="n">
        <v>139</v>
      </c>
      <c r="N976" s="13" t="n">
        <v>144</v>
      </c>
      <c r="O976" s="13" t="n">
        <v>122</v>
      </c>
      <c r="P976" s="13" t="n">
        <v>135</v>
      </c>
      <c r="Q976" s="13" t="n">
        <v>24.6</v>
      </c>
      <c r="R976" s="13" t="n">
        <v>2076</v>
      </c>
      <c r="S976" s="13" t="n">
        <v>1.13</v>
      </c>
      <c r="T976" s="13" t="n">
        <v>2349</v>
      </c>
      <c r="U976" s="13" t="n">
        <v>211</v>
      </c>
      <c r="V976" s="13" t="n">
        <v>107</v>
      </c>
      <c r="W976" s="13" t="n">
        <v>67</v>
      </c>
      <c r="X976" s="13" t="n">
        <v>459</v>
      </c>
      <c r="Y976" s="13" t="n">
        <v>48</v>
      </c>
      <c r="Z976" s="13" t="n">
        <v>414</v>
      </c>
      <c r="AA976" s="13" t="n">
        <v>0.714</v>
      </c>
      <c r="AB976" s="13" t="n">
        <v>221</v>
      </c>
      <c r="AC976" s="13" t="n">
        <v>221</v>
      </c>
      <c r="AD976" s="13" t="n">
        <v>238</v>
      </c>
      <c r="AE976" s="13" t="n">
        <v>3</v>
      </c>
      <c r="AF976" s="13" t="n">
        <v>5.1</v>
      </c>
      <c r="AG976" s="11" t="inlineStr">
        <is>
          <t xml:space="preserve"> Powder</t>
        </is>
      </c>
      <c r="AH976" s="11" t="inlineStr">
        <is>
          <t xml:space="preserve"> Touring</t>
        </is>
      </c>
      <c r="AI976" s="13" t="n"/>
      <c r="AJ976" s="13" t="n"/>
      <c r="AK976" s="42" t="n"/>
    </row>
    <row r="977">
      <c r="E977" s="40" t="inlineStr">
        <is>
          <t>21/22</t>
        </is>
      </c>
      <c r="F977" s="10" t="inlineStr">
        <is>
          <t>K2</t>
        </is>
      </c>
      <c r="G977" s="11" t="inlineStr">
        <is>
          <t>Reckoner 122</t>
        </is>
      </c>
      <c r="H977" s="13" t="n">
        <v>191</v>
      </c>
      <c r="I977" s="11" t="inlineStr">
        <is>
          <t xml:space="preserve"> Unisex</t>
        </is>
      </c>
      <c r="J977" s="13" t="n">
        <v>191</v>
      </c>
      <c r="K977" s="13" t="n">
        <v>191.1</v>
      </c>
      <c r="L977" s="13" t="n">
        <v>106</v>
      </c>
      <c r="M977" s="13" t="n">
        <v>145</v>
      </c>
      <c r="N977" s="13" t="n">
        <v>144</v>
      </c>
      <c r="O977" s="13" t="n">
        <v>122</v>
      </c>
      <c r="P977" s="13" t="n">
        <v>135</v>
      </c>
      <c r="Q977" s="13" t="n">
        <v>26.6</v>
      </c>
      <c r="R977" s="13" t="n">
        <v>2123</v>
      </c>
      <c r="S977" s="13" t="n">
        <v>1.15</v>
      </c>
      <c r="T977" s="13" t="n">
        <v>2445</v>
      </c>
      <c r="U977" s="13" t="n">
        <v>217</v>
      </c>
      <c r="V977" s="13" t="n">
        <v>115</v>
      </c>
      <c r="W977" s="13" t="n">
        <v>67</v>
      </c>
      <c r="X977" s="13" t="n">
        <v>443</v>
      </c>
      <c r="Y977" s="13" t="n">
        <v>56</v>
      </c>
      <c r="Z977" s="13" t="n">
        <v>411</v>
      </c>
      <c r="AA977" s="13" t="n">
        <v>0.841</v>
      </c>
      <c r="AB977" s="13" t="n">
        <v>226</v>
      </c>
      <c r="AC977" s="13" t="n">
        <v>234</v>
      </c>
      <c r="AD977" s="13" t="n">
        <v>217</v>
      </c>
      <c r="AE977" s="13" t="n">
        <v>4</v>
      </c>
      <c r="AF977" s="13" t="n">
        <v>5.5</v>
      </c>
      <c r="AG977" s="11" t="inlineStr">
        <is>
          <t xml:space="preserve"> Freeski</t>
        </is>
      </c>
      <c r="AH977" s="11" t="inlineStr">
        <is>
          <t xml:space="preserve"> Powder</t>
        </is>
      </c>
      <c r="AI977" s="11" t="inlineStr">
        <is>
          <t xml:space="preserve"> Touring</t>
        </is>
      </c>
      <c r="AJ977" s="13" t="n"/>
      <c r="AK977" s="42" t="n"/>
    </row>
    <row r="978">
      <c r="E978" s="40" t="inlineStr">
        <is>
          <t>21/22</t>
        </is>
      </c>
      <c r="F978" s="10" t="inlineStr">
        <is>
          <t>K2</t>
        </is>
      </c>
      <c r="G978" s="11" t="inlineStr">
        <is>
          <t>Reckoner 92</t>
        </is>
      </c>
      <c r="H978" s="13" t="n">
        <v>149</v>
      </c>
      <c r="I978" s="11" t="inlineStr">
        <is>
          <t xml:space="preserve"> Unisex</t>
        </is>
      </c>
      <c r="J978" s="13" t="n">
        <v>149</v>
      </c>
      <c r="K978" s="13" t="n">
        <v>148.9</v>
      </c>
      <c r="L978" s="13" t="n">
        <v>93</v>
      </c>
      <c r="M978" s="13" t="n">
        <v>124</v>
      </c>
      <c r="N978" s="13" t="n">
        <v>124</v>
      </c>
      <c r="O978" s="13" t="n">
        <v>91</v>
      </c>
      <c r="P978" s="13" t="n">
        <v>113</v>
      </c>
      <c r="Q978" s="13" t="n">
        <v>12.6</v>
      </c>
      <c r="R978" s="13" t="n">
        <v>1499</v>
      </c>
      <c r="S978" s="13" t="n">
        <v>1.01</v>
      </c>
      <c r="T978" s="13" t="n">
        <v>1518</v>
      </c>
      <c r="U978" s="13" t="n">
        <v>171</v>
      </c>
      <c r="V978" s="13" t="n">
        <v>84</v>
      </c>
      <c r="W978" s="13" t="n">
        <v>47</v>
      </c>
      <c r="X978" s="13" t="n">
        <v>288</v>
      </c>
      <c r="Y978" s="13" t="n">
        <v>43</v>
      </c>
      <c r="Z978" s="13" t="n">
        <v>272</v>
      </c>
      <c r="AA978" s="13" t="n">
        <v>0.915</v>
      </c>
      <c r="AB978" s="13" t="n">
        <v>115</v>
      </c>
      <c r="AC978" s="13" t="n">
        <v>138</v>
      </c>
      <c r="AD978" s="13" t="n">
        <v>173</v>
      </c>
      <c r="AE978" s="13" t="n">
        <v>3</v>
      </c>
      <c r="AF978" s="13" t="n">
        <v>4.1</v>
      </c>
      <c r="AG978" s="11" t="inlineStr">
        <is>
          <t xml:space="preserve"> Freeski</t>
        </is>
      </c>
      <c r="AH978" s="13" t="n"/>
      <c r="AI978" s="13" t="n"/>
      <c r="AJ978" s="13" t="n"/>
      <c r="AK978" s="42" t="n"/>
    </row>
    <row r="979">
      <c r="E979" s="40" t="inlineStr">
        <is>
          <t>21/22</t>
        </is>
      </c>
      <c r="F979" s="10" t="inlineStr">
        <is>
          <t>K2</t>
        </is>
      </c>
      <c r="G979" s="11" t="inlineStr">
        <is>
          <t>Reckoner 92</t>
        </is>
      </c>
      <c r="H979" s="13" t="n">
        <v>159</v>
      </c>
      <c r="I979" s="11" t="inlineStr">
        <is>
          <t xml:space="preserve"> Unisex</t>
        </is>
      </c>
      <c r="J979" s="13" t="n">
        <v>159</v>
      </c>
      <c r="K979" s="13" t="n">
        <v>158.8</v>
      </c>
      <c r="L979" s="13" t="n">
        <v>104</v>
      </c>
      <c r="M979" s="13" t="n">
        <v>133</v>
      </c>
      <c r="N979" s="13" t="n">
        <v>123</v>
      </c>
      <c r="O979" s="13" t="n">
        <v>91</v>
      </c>
      <c r="P979" s="13" t="n">
        <v>113</v>
      </c>
      <c r="Q979" s="13" t="n">
        <v>14.8</v>
      </c>
      <c r="R979" s="13" t="n">
        <v>1522</v>
      </c>
      <c r="S979" s="13" t="n">
        <v>1.06</v>
      </c>
      <c r="T979" s="13" t="n">
        <v>1615</v>
      </c>
      <c r="U979" s="13" t="n">
        <v>150</v>
      </c>
      <c r="V979" s="13" t="n">
        <v>68</v>
      </c>
      <c r="W979" s="13" t="n">
        <v>49</v>
      </c>
      <c r="X979" s="13" t="n">
        <v>278</v>
      </c>
      <c r="Y979" s="13" t="n">
        <v>42</v>
      </c>
      <c r="Z979" s="13" t="n">
        <v>274</v>
      </c>
      <c r="AA979" s="13" t="n">
        <v>0.865</v>
      </c>
      <c r="AB979" s="13" t="n">
        <v>113</v>
      </c>
      <c r="AC979" s="13" t="n">
        <v>143</v>
      </c>
      <c r="AD979" s="13" t="n">
        <v>165</v>
      </c>
      <c r="AE979" s="13" t="n">
        <v>5</v>
      </c>
      <c r="AF979" s="13" t="n">
        <v>4.3</v>
      </c>
      <c r="AG979" s="11" t="inlineStr">
        <is>
          <t xml:space="preserve"> Freeski</t>
        </is>
      </c>
      <c r="AH979" s="11" t="inlineStr">
        <is>
          <t xml:space="preserve"> Touring</t>
        </is>
      </c>
      <c r="AI979" s="13" t="n"/>
      <c r="AJ979" s="13" t="n"/>
      <c r="AK979" s="42" t="n"/>
    </row>
    <row r="980">
      <c r="E980" s="40" t="inlineStr">
        <is>
          <t>21/22</t>
        </is>
      </c>
      <c r="F980" s="10" t="inlineStr">
        <is>
          <t>K2</t>
        </is>
      </c>
      <c r="G980" s="11" t="inlineStr">
        <is>
          <t>Reckoner 92</t>
        </is>
      </c>
      <c r="H980" s="13" t="n">
        <v>169</v>
      </c>
      <c r="I980" s="11" t="inlineStr">
        <is>
          <t xml:space="preserve"> Unisex</t>
        </is>
      </c>
      <c r="J980" s="13" t="n">
        <v>169</v>
      </c>
      <c r="K980" s="13" t="n">
        <v>169</v>
      </c>
      <c r="L980" s="13" t="n">
        <v>113</v>
      </c>
      <c r="M980" s="13" t="n">
        <v>142</v>
      </c>
      <c r="N980" s="13" t="n">
        <v>124</v>
      </c>
      <c r="O980" s="13" t="n">
        <v>91</v>
      </c>
      <c r="P980" s="13" t="n">
        <v>113</v>
      </c>
      <c r="Q980" s="13" t="n">
        <v>17.2</v>
      </c>
      <c r="R980" s="13" t="n">
        <v>1669</v>
      </c>
      <c r="S980" s="13" t="n">
        <v>1.03</v>
      </c>
      <c r="T980" s="13" t="n">
        <v>1717</v>
      </c>
      <c r="U980" s="13" t="n">
        <v>148</v>
      </c>
      <c r="V980" s="13" t="n">
        <v>76</v>
      </c>
      <c r="W980" s="13" t="n">
        <v>51</v>
      </c>
      <c r="X980" s="13" t="n">
        <v>287</v>
      </c>
      <c r="Y980" s="13" t="n">
        <v>45</v>
      </c>
      <c r="Z980" s="13" t="n">
        <v>274</v>
      </c>
      <c r="AA980" s="13" t="n">
        <v>0.886</v>
      </c>
      <c r="AB980" s="13" t="n">
        <v>121</v>
      </c>
      <c r="AC980" s="13" t="n">
        <v>150</v>
      </c>
      <c r="AD980" s="13" t="n">
        <v>167</v>
      </c>
      <c r="AE980" s="13" t="n">
        <v>6</v>
      </c>
      <c r="AF980" s="13" t="n">
        <v>4.8</v>
      </c>
      <c r="AG980" s="11" t="inlineStr">
        <is>
          <t xml:space="preserve"> Freeski</t>
        </is>
      </c>
      <c r="AH980" s="13" t="n"/>
      <c r="AI980" s="13" t="n"/>
      <c r="AJ980" s="13" t="n"/>
      <c r="AK980" s="42" t="n"/>
    </row>
    <row r="981">
      <c r="E981" s="40" t="inlineStr">
        <is>
          <t>21/22</t>
        </is>
      </c>
      <c r="F981" s="10" t="inlineStr">
        <is>
          <t>K2</t>
        </is>
      </c>
      <c r="G981" s="11" t="inlineStr">
        <is>
          <t>Reckoner 92</t>
        </is>
      </c>
      <c r="H981" s="13" t="n">
        <v>179</v>
      </c>
      <c r="I981" s="11" t="inlineStr">
        <is>
          <t xml:space="preserve"> Unisex</t>
        </is>
      </c>
      <c r="J981" s="13" t="n">
        <v>179</v>
      </c>
      <c r="K981" s="13" t="n">
        <v>178.8</v>
      </c>
      <c r="L981" s="13" t="n">
        <v>121</v>
      </c>
      <c r="M981" s="13" t="n">
        <v>153</v>
      </c>
      <c r="N981" s="13" t="n">
        <v>123</v>
      </c>
      <c r="O981" s="13" t="n">
        <v>90</v>
      </c>
      <c r="P981" s="13" t="n">
        <v>113</v>
      </c>
      <c r="Q981" s="13" t="n">
        <v>19.8</v>
      </c>
      <c r="R981" s="13" t="n">
        <v>1790</v>
      </c>
      <c r="S981" s="13" t="n">
        <v>1.01</v>
      </c>
      <c r="T981" s="13" t="n">
        <v>1806</v>
      </c>
      <c r="U981" s="13" t="n">
        <v>185</v>
      </c>
      <c r="V981" s="13" t="n">
        <v>84</v>
      </c>
      <c r="W981" s="13" t="n">
        <v>47</v>
      </c>
      <c r="X981" s="13" t="n">
        <v>303</v>
      </c>
      <c r="Y981" s="13" t="n">
        <v>44</v>
      </c>
      <c r="Z981" s="13" t="n">
        <v>280</v>
      </c>
      <c r="AA981" s="13" t="n">
        <v>0.921</v>
      </c>
      <c r="AB981" s="13" t="n">
        <v>115</v>
      </c>
      <c r="AC981" s="13" t="n">
        <v>146</v>
      </c>
      <c r="AD981" s="13" t="n">
        <v>187</v>
      </c>
      <c r="AE981" s="13" t="n">
        <v>8</v>
      </c>
      <c r="AF981" s="13" t="n">
        <v>5.5</v>
      </c>
      <c r="AG981" s="11" t="inlineStr">
        <is>
          <t xml:space="preserve"> Freeski</t>
        </is>
      </c>
      <c r="AH981" s="13" t="n"/>
      <c r="AI981" s="13" t="n"/>
      <c r="AJ981" s="13" t="n"/>
      <c r="AK981" s="42" t="n"/>
    </row>
    <row r="982">
      <c r="E982" s="40" t="inlineStr">
        <is>
          <t>21/22</t>
        </is>
      </c>
      <c r="F982" s="10" t="inlineStr">
        <is>
          <t>K2</t>
        </is>
      </c>
      <c r="G982" s="11" t="inlineStr">
        <is>
          <t>Reckoner 92 Alliance</t>
        </is>
      </c>
      <c r="H982" s="13" t="n">
        <v>149</v>
      </c>
      <c r="I982" s="11" t="inlineStr">
        <is>
          <t xml:space="preserve"> Women's</t>
        </is>
      </c>
      <c r="J982" s="13" t="n">
        <v>149</v>
      </c>
      <c r="K982" s="13" t="n">
        <v>148.9</v>
      </c>
      <c r="L982" s="13" t="n">
        <v>98</v>
      </c>
      <c r="M982" s="13" t="n">
        <v>123</v>
      </c>
      <c r="N982" s="13" t="n">
        <v>124</v>
      </c>
      <c r="O982" s="13" t="n">
        <v>91</v>
      </c>
      <c r="P982" s="13" t="n">
        <v>113</v>
      </c>
      <c r="Q982" s="13" t="n">
        <v>12.6</v>
      </c>
      <c r="R982" s="13" t="n">
        <v>1525</v>
      </c>
      <c r="S982" s="13" t="n">
        <v>0.99</v>
      </c>
      <c r="T982" s="13" t="n">
        <v>1516</v>
      </c>
      <c r="U982" s="13" t="n">
        <v>164</v>
      </c>
      <c r="V982" s="13" t="n">
        <v>86</v>
      </c>
      <c r="W982" s="13" t="n">
        <v>47</v>
      </c>
      <c r="X982" s="13" t="n">
        <v>250</v>
      </c>
      <c r="Y982" s="13" t="n">
        <v>41</v>
      </c>
      <c r="Z982" s="13" t="n">
        <v>257</v>
      </c>
      <c r="AA982" s="13" t="n">
        <v>0.881</v>
      </c>
      <c r="AB982" s="13" t="n">
        <v>120</v>
      </c>
      <c r="AC982" s="13" t="n">
        <v>142</v>
      </c>
      <c r="AD982" s="13" t="n">
        <v>129</v>
      </c>
      <c r="AE982" s="13" t="n">
        <v>3</v>
      </c>
      <c r="AF982" s="13" t="n">
        <v>4</v>
      </c>
      <c r="AG982" s="11" t="inlineStr">
        <is>
          <t xml:space="preserve"> Freeski</t>
        </is>
      </c>
      <c r="AH982" s="13" t="n"/>
      <c r="AI982" s="13" t="n"/>
      <c r="AJ982" s="13" t="n"/>
      <c r="AK982" s="42" t="n"/>
    </row>
    <row r="983">
      <c r="E983" s="40" t="inlineStr">
        <is>
          <t>21/22</t>
        </is>
      </c>
      <c r="F983" s="10" t="inlineStr">
        <is>
          <t>K2</t>
        </is>
      </c>
      <c r="G983" s="11" t="inlineStr">
        <is>
          <t>Reckoner 92 Alliance</t>
        </is>
      </c>
      <c r="H983" s="13" t="n">
        <v>159</v>
      </c>
      <c r="I983" s="11" t="inlineStr">
        <is>
          <t xml:space="preserve"> Women's</t>
        </is>
      </c>
      <c r="J983" s="13" t="n">
        <v>159</v>
      </c>
      <c r="K983" s="13" t="n">
        <v>158.9</v>
      </c>
      <c r="L983" s="13" t="n">
        <v>106</v>
      </c>
      <c r="M983" s="13" t="n">
        <v>134</v>
      </c>
      <c r="N983" s="13" t="n">
        <v>124</v>
      </c>
      <c r="O983" s="13" t="n">
        <v>91</v>
      </c>
      <c r="P983" s="13" t="n">
        <v>113</v>
      </c>
      <c r="Q983" s="13" t="n">
        <v>14.9</v>
      </c>
      <c r="R983" s="13" t="n">
        <v>1562</v>
      </c>
      <c r="S983" s="13" t="n">
        <v>1.04</v>
      </c>
      <c r="T983" s="13" t="n">
        <v>1617</v>
      </c>
      <c r="U983" s="13" t="n">
        <v>163</v>
      </c>
      <c r="V983" s="13" t="n">
        <v>75</v>
      </c>
      <c r="W983" s="13" t="n">
        <v>48</v>
      </c>
      <c r="X983" s="13" t="n">
        <v>270</v>
      </c>
      <c r="Y983" s="13" t="n">
        <v>43</v>
      </c>
      <c r="Z983" s="13" t="n">
        <v>262</v>
      </c>
      <c r="AA983" s="13" t="n">
        <v>0.894</v>
      </c>
      <c r="AB983" s="13" t="n">
        <v>116</v>
      </c>
      <c r="AC983" s="13" t="n">
        <v>131</v>
      </c>
      <c r="AD983" s="13" t="n">
        <v>154</v>
      </c>
      <c r="AE983" s="13" t="n">
        <v>6</v>
      </c>
      <c r="AF983" s="13" t="n">
        <v>4.8</v>
      </c>
      <c r="AG983" s="11" t="inlineStr">
        <is>
          <t xml:space="preserve"> Freeski</t>
        </is>
      </c>
      <c r="AH983" s="13" t="n"/>
      <c r="AI983" s="13" t="n"/>
      <c r="AJ983" s="13" t="n"/>
      <c r="AK983" s="42" t="n"/>
    </row>
    <row r="984">
      <c r="E984" s="40" t="inlineStr">
        <is>
          <t>21/22</t>
        </is>
      </c>
      <c r="F984" s="10" t="inlineStr">
        <is>
          <t>K2</t>
        </is>
      </c>
      <c r="G984" s="11" t="inlineStr">
        <is>
          <t>Reckoner 92 Alliance</t>
        </is>
      </c>
      <c r="H984" s="13" t="n">
        <v>169</v>
      </c>
      <c r="I984" s="11" t="inlineStr">
        <is>
          <t xml:space="preserve"> Women's</t>
        </is>
      </c>
      <c r="J984" s="13" t="n">
        <v>169</v>
      </c>
      <c r="K984" s="13" t="n">
        <v>168.9</v>
      </c>
      <c r="L984" s="13" t="n">
        <v>117</v>
      </c>
      <c r="M984" s="13" t="n">
        <v>143</v>
      </c>
      <c r="N984" s="13" t="n">
        <v>123</v>
      </c>
      <c r="O984" s="13" t="n">
        <v>91</v>
      </c>
      <c r="P984" s="13" t="n">
        <v>113</v>
      </c>
      <c r="Q984" s="13" t="n">
        <v>17.4</v>
      </c>
      <c r="R984" s="13" t="n">
        <v>1680</v>
      </c>
      <c r="S984" s="13" t="n">
        <v>1.02</v>
      </c>
      <c r="T984" s="13" t="n">
        <v>1716</v>
      </c>
      <c r="U984" s="13" t="n">
        <v>155</v>
      </c>
      <c r="V984" s="13" t="n">
        <v>79</v>
      </c>
      <c r="W984" s="13" t="n">
        <v>49</v>
      </c>
      <c r="X984" s="13" t="n">
        <v>265</v>
      </c>
      <c r="Y984" s="13" t="n">
        <v>40</v>
      </c>
      <c r="Z984" s="13" t="n">
        <v>252</v>
      </c>
      <c r="AA984" s="13" t="n">
        <v>0.831</v>
      </c>
      <c r="AB984" s="13" t="n">
        <v>118</v>
      </c>
      <c r="AC984" s="13" t="n">
        <v>142</v>
      </c>
      <c r="AD984" s="13" t="n">
        <v>147</v>
      </c>
      <c r="AE984" s="13" t="n">
        <v>7</v>
      </c>
      <c r="AF984" s="13" t="n">
        <v>4.8</v>
      </c>
      <c r="AG984" s="11" t="inlineStr">
        <is>
          <t xml:space="preserve"> Resort Freeride</t>
        </is>
      </c>
      <c r="AH984" s="11" t="inlineStr">
        <is>
          <t xml:space="preserve"> Freeski</t>
        </is>
      </c>
      <c r="AI984" s="13" t="n"/>
      <c r="AJ984" s="13" t="n"/>
      <c r="AK984" s="42" t="n"/>
    </row>
    <row r="985">
      <c r="E985" s="40" t="inlineStr">
        <is>
          <t>21/22</t>
        </is>
      </c>
      <c r="F985" s="10" t="inlineStr">
        <is>
          <t>K2</t>
        </is>
      </c>
      <c r="G985" s="11" t="inlineStr">
        <is>
          <t xml:space="preserve"> Sight</t>
        </is>
      </c>
      <c r="H985" s="13" t="n">
        <v>159</v>
      </c>
      <c r="I985" s="11" t="inlineStr">
        <is>
          <t xml:space="preserve"> Unisex</t>
        </is>
      </c>
      <c r="J985" s="13" t="n">
        <v>159</v>
      </c>
      <c r="K985" s="13" t="n">
        <v>159.9</v>
      </c>
      <c r="L985" s="13" t="n">
        <v>123</v>
      </c>
      <c r="M985" s="13" t="n">
        <v>128</v>
      </c>
      <c r="N985" s="13" t="n">
        <v>116</v>
      </c>
      <c r="O985" s="13" t="n">
        <v>87</v>
      </c>
      <c r="P985" s="13" t="n">
        <v>110</v>
      </c>
      <c r="Q985" s="13" t="n">
        <v>14.4</v>
      </c>
      <c r="R985" s="13" t="n">
        <v>1658</v>
      </c>
      <c r="S985" s="13" t="n">
        <v>0.9399999999999999</v>
      </c>
      <c r="T985" s="13" t="n">
        <v>1557</v>
      </c>
      <c r="U985" s="13" t="n">
        <v>154</v>
      </c>
      <c r="V985" s="13" t="n">
        <v>78</v>
      </c>
      <c r="W985" s="13" t="n">
        <v>46</v>
      </c>
      <c r="X985" s="13" t="n">
        <v>181</v>
      </c>
      <c r="Y985" s="13" t="n">
        <v>44</v>
      </c>
      <c r="Z985" s="13" t="n">
        <v>189</v>
      </c>
      <c r="AA985" s="13" t="n">
        <v>0.951</v>
      </c>
      <c r="AB985" s="13" t="n">
        <v>162</v>
      </c>
      <c r="AC985" s="13" t="n">
        <v>159</v>
      </c>
      <c r="AD985" s="13" t="n">
        <v>19</v>
      </c>
      <c r="AE985" s="13" t="n">
        <v>7</v>
      </c>
      <c r="AF985" s="13" t="n">
        <v>3.7</v>
      </c>
      <c r="AG985" s="11" t="inlineStr">
        <is>
          <t xml:space="preserve"> Freeski</t>
        </is>
      </c>
      <c r="AH985" s="13" t="n"/>
      <c r="AI985" s="13" t="n"/>
      <c r="AJ985" s="13" t="n"/>
      <c r="AK985" s="42" t="n"/>
    </row>
    <row r="986">
      <c r="E986" s="40" t="inlineStr">
        <is>
          <t>21/22</t>
        </is>
      </c>
      <c r="F986" s="10" t="inlineStr">
        <is>
          <t>K2</t>
        </is>
      </c>
      <c r="G986" s="11" t="inlineStr">
        <is>
          <t xml:space="preserve"> Sight</t>
        </is>
      </c>
      <c r="H986" s="13" t="n">
        <v>169</v>
      </c>
      <c r="I986" s="11" t="inlineStr">
        <is>
          <t xml:space="preserve"> Unisex</t>
        </is>
      </c>
      <c r="J986" s="13" t="n">
        <v>169</v>
      </c>
      <c r="K986" s="13" t="n">
        <v>169.7</v>
      </c>
      <c r="L986" s="13" t="n">
        <v>131</v>
      </c>
      <c r="M986" s="13" t="n">
        <v>137</v>
      </c>
      <c r="N986" s="13" t="n">
        <v>116</v>
      </c>
      <c r="O986" s="13" t="n">
        <v>87</v>
      </c>
      <c r="P986" s="13" t="n">
        <v>110</v>
      </c>
      <c r="Q986" s="13" t="n">
        <v>16.9</v>
      </c>
      <c r="R986" s="13" t="n">
        <v>1772</v>
      </c>
      <c r="S986" s="13" t="n">
        <v>0.9399999999999999</v>
      </c>
      <c r="T986" s="13" t="n">
        <v>1663</v>
      </c>
      <c r="U986" s="13" t="n">
        <v>166</v>
      </c>
      <c r="V986" s="13" t="n">
        <v>85</v>
      </c>
      <c r="W986" s="13" t="n">
        <v>49</v>
      </c>
      <c r="X986" s="13" t="n">
        <v>190</v>
      </c>
      <c r="Y986" s="13" t="n">
        <v>48</v>
      </c>
      <c r="Z986" s="13" t="n">
        <v>200</v>
      </c>
      <c r="AA986" s="13" t="n">
        <v>0.963</v>
      </c>
      <c r="AB986" s="13" t="n">
        <v>163</v>
      </c>
      <c r="AC986" s="13" t="n">
        <v>167</v>
      </c>
      <c r="AD986" s="13" t="n">
        <v>26</v>
      </c>
      <c r="AE986" s="13" t="n">
        <v>7</v>
      </c>
      <c r="AF986" s="13" t="n">
        <v>4</v>
      </c>
      <c r="AG986" s="11" t="inlineStr">
        <is>
          <t xml:space="preserve"> Freeski</t>
        </is>
      </c>
      <c r="AH986" s="13" t="n"/>
      <c r="AI986" s="13" t="n"/>
      <c r="AJ986" s="13" t="n"/>
      <c r="AK986" s="42" t="n"/>
    </row>
    <row r="987">
      <c r="E987" s="40" t="inlineStr">
        <is>
          <t>21/22</t>
        </is>
      </c>
      <c r="F987" s="10" t="inlineStr">
        <is>
          <t>K2</t>
        </is>
      </c>
      <c r="G987" s="11" t="inlineStr">
        <is>
          <t xml:space="preserve"> Sight</t>
        </is>
      </c>
      <c r="H987" s="13" t="n">
        <v>179</v>
      </c>
      <c r="I987" s="11" t="inlineStr">
        <is>
          <t xml:space="preserve"> Unisex</t>
        </is>
      </c>
      <c r="J987" s="13" t="n">
        <v>179</v>
      </c>
      <c r="K987" s="13" t="n">
        <v>180.1</v>
      </c>
      <c r="L987" s="13" t="n">
        <v>143</v>
      </c>
      <c r="M987" s="13" t="n">
        <v>148</v>
      </c>
      <c r="N987" s="13" t="n">
        <v>116</v>
      </c>
      <c r="O987" s="13" t="n">
        <v>87</v>
      </c>
      <c r="P987" s="13" t="n">
        <v>110</v>
      </c>
      <c r="Q987" s="13" t="n">
        <v>19.4</v>
      </c>
      <c r="R987" s="13" t="n">
        <v>1948</v>
      </c>
      <c r="S987" s="13" t="n">
        <v>0.9</v>
      </c>
      <c r="T987" s="13" t="n">
        <v>1759</v>
      </c>
      <c r="U987" s="13" t="n">
        <v>190</v>
      </c>
      <c r="V987" s="13" t="n">
        <v>90</v>
      </c>
      <c r="W987" s="13" t="n">
        <v>46</v>
      </c>
      <c r="X987" s="13" t="n">
        <v>176</v>
      </c>
      <c r="Y987" s="13" t="n">
        <v>43</v>
      </c>
      <c r="Z987" s="13" t="n">
        <v>198</v>
      </c>
      <c r="AA987" s="13" t="n">
        <v>0.945</v>
      </c>
      <c r="AB987" s="13" t="n">
        <v>157</v>
      </c>
      <c r="AC987" s="13" t="n">
        <v>160</v>
      </c>
      <c r="AD987" s="13" t="n">
        <v>19</v>
      </c>
      <c r="AE987" s="13" t="n">
        <v>10</v>
      </c>
      <c r="AF987" s="13" t="n">
        <v>4.6</v>
      </c>
      <c r="AG987" s="11" t="inlineStr">
        <is>
          <t xml:space="preserve"> Freeski</t>
        </is>
      </c>
      <c r="AH987" s="13" t="n"/>
      <c r="AI987" s="13" t="n"/>
      <c r="AJ987" s="13" t="n"/>
      <c r="AK987" s="42" t="n"/>
    </row>
    <row r="988">
      <c r="E988" s="40" t="inlineStr">
        <is>
          <t>21/22</t>
        </is>
      </c>
      <c r="F988" s="10" t="inlineStr">
        <is>
          <t>K2</t>
        </is>
      </c>
      <c r="G988" s="11" t="inlineStr">
        <is>
          <t>Talkback 88</t>
        </is>
      </c>
      <c r="H988" s="13" t="n">
        <v>153</v>
      </c>
      <c r="I988" s="11" t="inlineStr">
        <is>
          <t xml:space="preserve"> Women's</t>
        </is>
      </c>
      <c r="J988" s="13" t="n">
        <v>153</v>
      </c>
      <c r="K988" s="13" t="n">
        <v>151.7</v>
      </c>
      <c r="L988" s="13" t="n">
        <v>114</v>
      </c>
      <c r="M988" s="13" t="n">
        <v>127</v>
      </c>
      <c r="N988" s="13" t="n">
        <v>120</v>
      </c>
      <c r="O988" s="13" t="n">
        <v>87</v>
      </c>
      <c r="P988" s="13" t="n">
        <v>108</v>
      </c>
      <c r="Q988" s="13" t="n">
        <v>15</v>
      </c>
      <c r="R988" s="13" t="n">
        <v>1048</v>
      </c>
      <c r="S988" s="13" t="n">
        <v>1.41</v>
      </c>
      <c r="T988" s="13" t="n">
        <v>1477</v>
      </c>
      <c r="U988" s="13" t="n">
        <v>128</v>
      </c>
      <c r="V988" s="13" t="n">
        <v>53</v>
      </c>
      <c r="W988" s="13" t="n">
        <v>43</v>
      </c>
      <c r="X988" s="13" t="n">
        <v>257</v>
      </c>
      <c r="Y988" s="13" t="n">
        <v>6</v>
      </c>
      <c r="Z988" s="13" t="n">
        <v>120</v>
      </c>
      <c r="AA988" s="13" t="n">
        <v>0.141</v>
      </c>
      <c r="AB988" s="13" t="n">
        <v>145</v>
      </c>
      <c r="AC988" s="13" t="n">
        <v>97</v>
      </c>
      <c r="AD988" s="13" t="n">
        <v>111</v>
      </c>
      <c r="AE988" s="13" t="n">
        <v>9</v>
      </c>
      <c r="AF988" s="13" t="n">
        <v>11</v>
      </c>
      <c r="AG988" s="11" t="inlineStr">
        <is>
          <t xml:space="preserve"> Touring</t>
        </is>
      </c>
      <c r="AH988" s="11" t="inlineStr">
        <is>
          <t xml:space="preserve"> Ultralight Touring</t>
        </is>
      </c>
      <c r="AI988" s="13" t="n"/>
      <c r="AJ988" s="13" t="n"/>
      <c r="AK988" s="42" t="n"/>
    </row>
    <row r="989">
      <c r="E989" s="40" t="inlineStr">
        <is>
          <t>21/22</t>
        </is>
      </c>
      <c r="F989" s="10" t="inlineStr">
        <is>
          <t>K2</t>
        </is>
      </c>
      <c r="G989" s="11" t="inlineStr">
        <is>
          <t>Talkback 88</t>
        </is>
      </c>
      <c r="H989" s="13" t="n">
        <v>160</v>
      </c>
      <c r="I989" s="11" t="inlineStr">
        <is>
          <t xml:space="preserve"> Women's</t>
        </is>
      </c>
      <c r="J989" s="13" t="n">
        <v>160</v>
      </c>
      <c r="K989" s="13" t="n">
        <v>159.7</v>
      </c>
      <c r="L989" s="13" t="n">
        <v>120</v>
      </c>
      <c r="M989" s="13" t="n">
        <v>134</v>
      </c>
      <c r="N989" s="13" t="n">
        <v>120</v>
      </c>
      <c r="O989" s="13" t="n">
        <v>87</v>
      </c>
      <c r="P989" s="13" t="n">
        <v>108</v>
      </c>
      <c r="Q989" s="13" t="n">
        <v>16.3</v>
      </c>
      <c r="R989" s="13" t="n">
        <v>1117</v>
      </c>
      <c r="S989" s="13" t="n">
        <v>1.39</v>
      </c>
      <c r="T989" s="13" t="n">
        <v>1552</v>
      </c>
      <c r="U989" s="13" t="n">
        <v>136</v>
      </c>
      <c r="V989" s="13" t="n">
        <v>59</v>
      </c>
      <c r="W989" s="13" t="n">
        <v>44</v>
      </c>
      <c r="X989" s="13" t="n">
        <v>297</v>
      </c>
      <c r="Y989" s="13" t="n">
        <v>5</v>
      </c>
      <c r="Z989" s="13" t="n">
        <v>99</v>
      </c>
      <c r="AA989" s="13" t="n">
        <v>0.114</v>
      </c>
      <c r="AB989" s="13" t="n">
        <v>158</v>
      </c>
      <c r="AC989" s="13" t="n">
        <v>97</v>
      </c>
      <c r="AD989" s="13" t="n">
        <v>139</v>
      </c>
      <c r="AE989" s="13" t="n">
        <v>8</v>
      </c>
      <c r="AF989" s="13" t="n">
        <v>12</v>
      </c>
      <c r="AG989" s="11" t="inlineStr">
        <is>
          <t xml:space="preserve"> Touring</t>
        </is>
      </c>
      <c r="AH989" s="11" t="inlineStr">
        <is>
          <t xml:space="preserve"> Ultralight Touring</t>
        </is>
      </c>
      <c r="AI989" s="13" t="n"/>
      <c r="AJ989" s="13" t="n"/>
      <c r="AK989" s="42" t="n"/>
    </row>
    <row r="990">
      <c r="E990" s="40" t="inlineStr">
        <is>
          <t>21/22</t>
        </is>
      </c>
      <c r="F990" s="10" t="inlineStr">
        <is>
          <t>K2</t>
        </is>
      </c>
      <c r="G990" s="11" t="inlineStr">
        <is>
          <t>Talkback 88</t>
        </is>
      </c>
      <c r="H990" s="13" t="n">
        <v>167</v>
      </c>
      <c r="I990" s="11" t="inlineStr">
        <is>
          <t xml:space="preserve"> Women's</t>
        </is>
      </c>
      <c r="J990" s="13" t="n">
        <v>167</v>
      </c>
      <c r="K990" s="13" t="n">
        <v>166.6</v>
      </c>
      <c r="L990" s="13" t="n">
        <v>130</v>
      </c>
      <c r="M990" s="13" t="n">
        <v>141</v>
      </c>
      <c r="N990" s="13" t="n">
        <v>120</v>
      </c>
      <c r="O990" s="13" t="n">
        <v>87</v>
      </c>
      <c r="P990" s="13" t="n">
        <v>108</v>
      </c>
      <c r="Q990" s="13" t="n">
        <v>18</v>
      </c>
      <c r="R990" s="13" t="n">
        <v>1185</v>
      </c>
      <c r="S990" s="13" t="n">
        <v>1.37</v>
      </c>
      <c r="T990" s="13" t="n">
        <v>1625</v>
      </c>
      <c r="U990" s="13" t="n">
        <v>158</v>
      </c>
      <c r="V990" s="13" t="n">
        <v>69</v>
      </c>
      <c r="W990" s="13" t="n">
        <v>46</v>
      </c>
      <c r="X990" s="13" t="n">
        <v>255</v>
      </c>
      <c r="Y990" s="13" t="n">
        <v>7</v>
      </c>
      <c r="Z990" s="13" t="n">
        <v>114</v>
      </c>
      <c r="AA990" s="13" t="n">
        <v>0.159</v>
      </c>
      <c r="AB990" s="13" t="n">
        <v>154</v>
      </c>
      <c r="AC990" s="13" t="n">
        <v>101</v>
      </c>
      <c r="AD990" s="13" t="n">
        <v>101</v>
      </c>
      <c r="AE990" s="13" t="n">
        <v>9</v>
      </c>
      <c r="AF990" s="13" t="n">
        <v>11.8</v>
      </c>
      <c r="AG990" s="11" t="inlineStr">
        <is>
          <t xml:space="preserve"> Touring</t>
        </is>
      </c>
      <c r="AH990" s="11" t="inlineStr">
        <is>
          <t xml:space="preserve"> Ultralight Touring</t>
        </is>
      </c>
      <c r="AI990" s="13" t="n"/>
      <c r="AJ990" s="13" t="n"/>
      <c r="AK990" s="42" t="n"/>
    </row>
    <row r="991">
      <c r="E991" s="40" t="inlineStr">
        <is>
          <t>21/22</t>
        </is>
      </c>
      <c r="F991" s="10" t="inlineStr">
        <is>
          <t>K2</t>
        </is>
      </c>
      <c r="G991" s="11" t="inlineStr">
        <is>
          <t>Talkback 96</t>
        </is>
      </c>
      <c r="H991" s="13" t="n">
        <v>156</v>
      </c>
      <c r="I991" s="11" t="inlineStr">
        <is>
          <t xml:space="preserve"> Women's</t>
        </is>
      </c>
      <c r="J991" s="13" t="n">
        <v>156</v>
      </c>
      <c r="K991" s="13" t="n">
        <v>155.7</v>
      </c>
      <c r="L991" s="13" t="n">
        <v>116</v>
      </c>
      <c r="M991" s="13" t="n">
        <v>129</v>
      </c>
      <c r="N991" s="13" t="n">
        <v>127</v>
      </c>
      <c r="O991" s="13" t="n">
        <v>95</v>
      </c>
      <c r="P991" s="13" t="n">
        <v>114</v>
      </c>
      <c r="Q991" s="13" t="n">
        <v>16.3</v>
      </c>
      <c r="R991" s="13" t="n">
        <v>1129</v>
      </c>
      <c r="S991" s="13" t="n">
        <v>1.44</v>
      </c>
      <c r="T991" s="13" t="n">
        <v>1626</v>
      </c>
      <c r="U991" s="13" t="n">
        <v>127</v>
      </c>
      <c r="V991" s="13" t="n">
        <v>57</v>
      </c>
      <c r="W991" s="13" t="n">
        <v>51</v>
      </c>
      <c r="X991" s="13" t="n">
        <v>273</v>
      </c>
      <c r="Y991" s="13" t="n">
        <v>7</v>
      </c>
      <c r="Z991" s="13" t="n">
        <v>129</v>
      </c>
      <c r="AA991" s="13" t="n">
        <v>0.135</v>
      </c>
      <c r="AB991" s="13" t="n">
        <v>159</v>
      </c>
      <c r="AC991" s="13" t="n">
        <v>109</v>
      </c>
      <c r="AD991" s="13" t="n">
        <v>114</v>
      </c>
      <c r="AE991" s="13" t="n">
        <v>7</v>
      </c>
      <c r="AF991" s="13" t="n">
        <v>12</v>
      </c>
      <c r="AG991" s="11" t="inlineStr">
        <is>
          <t xml:space="preserve"> Touring</t>
        </is>
      </c>
      <c r="AH991" s="11" t="inlineStr">
        <is>
          <t xml:space="preserve"> Ultralight Touring</t>
        </is>
      </c>
      <c r="AI991" s="13" t="n"/>
      <c r="AJ991" s="13" t="n"/>
      <c r="AK991" s="42" t="n"/>
    </row>
    <row r="992">
      <c r="E992" s="40" t="inlineStr">
        <is>
          <t>21/22</t>
        </is>
      </c>
      <c r="F992" s="10" t="inlineStr">
        <is>
          <t>K2</t>
        </is>
      </c>
      <c r="G992" s="11" t="inlineStr">
        <is>
          <t>Talkback 96</t>
        </is>
      </c>
      <c r="H992" s="13" t="n">
        <v>163</v>
      </c>
      <c r="I992" s="11" t="inlineStr">
        <is>
          <t xml:space="preserve"> Women's</t>
        </is>
      </c>
      <c r="J992" s="13" t="n">
        <v>163</v>
      </c>
      <c r="K992" s="13" t="n">
        <v>162.7</v>
      </c>
      <c r="L992" s="13" t="n">
        <v>116</v>
      </c>
      <c r="M992" s="13" t="n">
        <v>136</v>
      </c>
      <c r="N992" s="13" t="n">
        <v>126</v>
      </c>
      <c r="O992" s="13" t="n">
        <v>95</v>
      </c>
      <c r="P992" s="13" t="n">
        <v>114</v>
      </c>
      <c r="Q992" s="13" t="n">
        <v>18</v>
      </c>
      <c r="R992" s="13" t="n">
        <v>1206</v>
      </c>
      <c r="S992" s="13" t="n">
        <v>1.41</v>
      </c>
      <c r="T992" s="13" t="n">
        <v>1700</v>
      </c>
      <c r="U992" s="13" t="n">
        <v>151</v>
      </c>
      <c r="V992" s="13" t="n">
        <v>65</v>
      </c>
      <c r="W992" s="13" t="n">
        <v>51</v>
      </c>
      <c r="X992" s="13" t="n">
        <v>304</v>
      </c>
      <c r="Y992" s="13" t="n">
        <v>11</v>
      </c>
      <c r="Z992" s="13" t="n">
        <v>165</v>
      </c>
      <c r="AA992" s="13" t="n">
        <v>0.226</v>
      </c>
      <c r="AB992" s="13" t="n">
        <v>160</v>
      </c>
      <c r="AC992" s="13" t="n">
        <v>108</v>
      </c>
      <c r="AD992" s="13" t="n">
        <v>144</v>
      </c>
      <c r="AE992" s="13" t="n">
        <v>5</v>
      </c>
      <c r="AF992" s="13" t="n">
        <v>11.8</v>
      </c>
      <c r="AG992" s="11" t="inlineStr">
        <is>
          <t xml:space="preserve"> Touring</t>
        </is>
      </c>
      <c r="AH992" s="11" t="inlineStr">
        <is>
          <t xml:space="preserve"> Ultralight Touring</t>
        </is>
      </c>
      <c r="AI992" s="13" t="n"/>
      <c r="AJ992" s="13" t="n"/>
      <c r="AK992" s="42" t="n"/>
    </row>
    <row r="993">
      <c r="E993" s="40" t="inlineStr">
        <is>
          <t>21/22</t>
        </is>
      </c>
      <c r="F993" s="10" t="inlineStr">
        <is>
          <t>K2</t>
        </is>
      </c>
      <c r="G993" s="11" t="inlineStr">
        <is>
          <t>Talkback 96</t>
        </is>
      </c>
      <c r="H993" s="13" t="n">
        <v>170</v>
      </c>
      <c r="I993" s="11" t="inlineStr">
        <is>
          <t xml:space="preserve"> Women's</t>
        </is>
      </c>
      <c r="J993" s="13" t="n">
        <v>170</v>
      </c>
      <c r="K993" s="13" t="n">
        <v>169.7</v>
      </c>
      <c r="L993" s="13" t="n">
        <v>124</v>
      </c>
      <c r="M993" s="13" t="n">
        <v>143</v>
      </c>
      <c r="N993" s="13" t="n">
        <v>127</v>
      </c>
      <c r="O993" s="13" t="n">
        <v>95</v>
      </c>
      <c r="P993" s="13" t="n">
        <v>114</v>
      </c>
      <c r="Q993" s="13" t="n">
        <v>19.8</v>
      </c>
      <c r="R993" s="13" t="n">
        <v>1305</v>
      </c>
      <c r="S993" s="13" t="n">
        <v>1.36</v>
      </c>
      <c r="T993" s="13" t="n">
        <v>1773</v>
      </c>
      <c r="U993" s="13" t="n">
        <v>173</v>
      </c>
      <c r="V993" s="13" t="n">
        <v>80</v>
      </c>
      <c r="W993" s="13" t="n">
        <v>49</v>
      </c>
      <c r="X993" s="13" t="n">
        <v>295</v>
      </c>
      <c r="Y993" s="13" t="n">
        <v>8</v>
      </c>
      <c r="Z993" s="13" t="n">
        <v>164</v>
      </c>
      <c r="AA993" s="13" t="n">
        <v>0.162</v>
      </c>
      <c r="AB993" s="13" t="n">
        <v>161</v>
      </c>
      <c r="AC993" s="13" t="n">
        <v>109</v>
      </c>
      <c r="AD993" s="13" t="n">
        <v>134</v>
      </c>
      <c r="AE993" s="13" t="n">
        <v>5</v>
      </c>
      <c r="AF993" s="13" t="n">
        <v>11.7</v>
      </c>
      <c r="AG993" s="11" t="inlineStr">
        <is>
          <t xml:space="preserve"> Touring</t>
        </is>
      </c>
      <c r="AH993" s="11" t="inlineStr">
        <is>
          <t xml:space="preserve"> Ultralight Touring</t>
        </is>
      </c>
      <c r="AI993" s="13" t="n"/>
      <c r="AJ993" s="13" t="n"/>
      <c r="AK993" s="42" t="n"/>
    </row>
    <row r="994">
      <c r="E994" s="40" t="inlineStr">
        <is>
          <t>21/22</t>
        </is>
      </c>
      <c r="F994" s="10" t="inlineStr">
        <is>
          <t>K2</t>
        </is>
      </c>
      <c r="G994" s="11" t="inlineStr">
        <is>
          <t>Wayback 106</t>
        </is>
      </c>
      <c r="H994" s="13" t="n">
        <v>172</v>
      </c>
      <c r="I994" s="11" t="inlineStr">
        <is>
          <t xml:space="preserve"> Unisex</t>
        </is>
      </c>
      <c r="J994" s="13" t="n">
        <v>172</v>
      </c>
      <c r="K994" s="13" t="n">
        <v>171.9</v>
      </c>
      <c r="L994" s="13" t="n">
        <v>114</v>
      </c>
      <c r="M994" s="13" t="n">
        <v>141</v>
      </c>
      <c r="N994" s="13" t="n">
        <v>135</v>
      </c>
      <c r="O994" s="13" t="n">
        <v>105</v>
      </c>
      <c r="P994" s="13" t="n">
        <v>123</v>
      </c>
      <c r="Q994" s="13" t="n">
        <v>19.9</v>
      </c>
      <c r="R994" s="13" t="n">
        <v>1456</v>
      </c>
      <c r="S994" s="13" t="n">
        <v>1.34</v>
      </c>
      <c r="T994" s="13" t="n">
        <v>1957</v>
      </c>
      <c r="U994" s="13" t="n">
        <v>169</v>
      </c>
      <c r="V994" s="13" t="n">
        <v>88</v>
      </c>
      <c r="W994" s="13" t="n">
        <v>45</v>
      </c>
      <c r="X994" s="13" t="n">
        <v>351</v>
      </c>
      <c r="Y994" s="13" t="n">
        <v>11</v>
      </c>
      <c r="Z994" s="13" t="n">
        <v>233</v>
      </c>
      <c r="AA994" s="13" t="n">
        <v>0.247</v>
      </c>
      <c r="AB994" s="13" t="n">
        <v>175</v>
      </c>
      <c r="AC994" s="13" t="n">
        <v>130</v>
      </c>
      <c r="AD994" s="13" t="n">
        <v>176</v>
      </c>
      <c r="AE994" s="13" t="n">
        <v>6</v>
      </c>
      <c r="AF994" s="13" t="n">
        <v>13.5</v>
      </c>
      <c r="AG994" s="11" t="inlineStr">
        <is>
          <t xml:space="preserve"> Big Mountain</t>
        </is>
      </c>
      <c r="AH994" s="11" t="inlineStr">
        <is>
          <t xml:space="preserve"> Touring</t>
        </is>
      </c>
      <c r="AI994" s="11" t="inlineStr">
        <is>
          <t xml:space="preserve"> Ultralight Touring</t>
        </is>
      </c>
      <c r="AJ994" s="13" t="n"/>
      <c r="AK994" s="42" t="n"/>
    </row>
    <row r="995">
      <c r="E995" s="40" t="inlineStr">
        <is>
          <t>21/22</t>
        </is>
      </c>
      <c r="F995" s="10" t="inlineStr">
        <is>
          <t>K2</t>
        </is>
      </c>
      <c r="G995" s="11" t="inlineStr">
        <is>
          <t>Wayback 106</t>
        </is>
      </c>
      <c r="H995" s="13" t="n">
        <v>179</v>
      </c>
      <c r="I995" s="11" t="inlineStr">
        <is>
          <t xml:space="preserve"> Unisex</t>
        </is>
      </c>
      <c r="J995" s="13" t="n">
        <v>179</v>
      </c>
      <c r="K995" s="13" t="n">
        <v>178.9</v>
      </c>
      <c r="L995" s="13" t="n">
        <v>108</v>
      </c>
      <c r="M995" s="13" t="n">
        <v>148</v>
      </c>
      <c r="N995" s="13" t="n">
        <v>135</v>
      </c>
      <c r="O995" s="13" t="n">
        <v>105</v>
      </c>
      <c r="P995" s="13" t="n">
        <v>123</v>
      </c>
      <c r="Q995" s="13" t="n">
        <v>21.6</v>
      </c>
      <c r="R995" s="13" t="n">
        <v>1522</v>
      </c>
      <c r="S995" s="13" t="n">
        <v>1.34</v>
      </c>
      <c r="T995" s="13" t="n">
        <v>2039</v>
      </c>
      <c r="U995" s="13" t="n">
        <v>195</v>
      </c>
      <c r="V995" s="13" t="n">
        <v>96</v>
      </c>
      <c r="W995" s="13" t="n">
        <v>47</v>
      </c>
      <c r="X995" s="13" t="n">
        <v>458</v>
      </c>
      <c r="Y995" s="13" t="n">
        <v>16</v>
      </c>
      <c r="Z995" s="13" t="n">
        <v>255</v>
      </c>
      <c r="AA995" s="13" t="n">
        <v>0.34</v>
      </c>
      <c r="AB995" s="13" t="n">
        <v>181</v>
      </c>
      <c r="AC995" s="13" t="n">
        <v>133</v>
      </c>
      <c r="AD995" s="13" t="n">
        <v>276</v>
      </c>
      <c r="AE995" s="13" t="n">
        <v>3</v>
      </c>
      <c r="AF995" s="13" t="n">
        <v>13.2</v>
      </c>
      <c r="AG995" s="11" t="inlineStr">
        <is>
          <t xml:space="preserve"> Big Mountain</t>
        </is>
      </c>
      <c r="AH995" s="11" t="inlineStr">
        <is>
          <t xml:space="preserve"> Touring</t>
        </is>
      </c>
      <c r="AI995" s="11" t="inlineStr">
        <is>
          <t xml:space="preserve"> Ultralight Touring</t>
        </is>
      </c>
      <c r="AJ995" s="13" t="n"/>
      <c r="AK995" s="42" t="n"/>
    </row>
    <row r="996">
      <c r="E996" s="40" t="inlineStr">
        <is>
          <t>21/22</t>
        </is>
      </c>
      <c r="F996" s="10" t="inlineStr">
        <is>
          <t>K2</t>
        </is>
      </c>
      <c r="G996" s="11" t="inlineStr">
        <is>
          <t>Wayback 106</t>
        </is>
      </c>
      <c r="H996" s="13" t="n">
        <v>186</v>
      </c>
      <c r="I996" s="11" t="inlineStr">
        <is>
          <t xml:space="preserve"> Unisex</t>
        </is>
      </c>
      <c r="J996" s="13" t="n">
        <v>186</v>
      </c>
      <c r="K996" s="13" t="n">
        <v>185.7</v>
      </c>
      <c r="L996" s="13" t="n">
        <v>129</v>
      </c>
      <c r="M996" s="13" t="n">
        <v>152</v>
      </c>
      <c r="N996" s="13" t="n">
        <v>136</v>
      </c>
      <c r="O996" s="13" t="n">
        <v>105</v>
      </c>
      <c r="P996" s="13" t="n">
        <v>123</v>
      </c>
      <c r="Q996" s="13" t="n">
        <v>23.7</v>
      </c>
      <c r="R996" s="13" t="n">
        <v>1680</v>
      </c>
      <c r="S996" s="13" t="n">
        <v>1.26</v>
      </c>
      <c r="T996" s="13" t="n">
        <v>2121</v>
      </c>
      <c r="U996" s="13" t="n">
        <v>224</v>
      </c>
      <c r="V996" s="13" t="n">
        <v>115</v>
      </c>
      <c r="W996" s="13" t="n">
        <v>42</v>
      </c>
      <c r="X996" s="13" t="n">
        <v>358</v>
      </c>
      <c r="Y996" s="13" t="n">
        <v>13</v>
      </c>
      <c r="Z996" s="13" t="n">
        <v>210</v>
      </c>
      <c r="AA996" s="13" t="n">
        <v>0.318</v>
      </c>
      <c r="AB996" s="13" t="n">
        <v>195</v>
      </c>
      <c r="AC996" s="13" t="n">
        <v>138</v>
      </c>
      <c r="AD996" s="13" t="n">
        <v>163</v>
      </c>
      <c r="AE996" s="13" t="n">
        <v>6</v>
      </c>
      <c r="AF996" s="13" t="n">
        <v>12.9</v>
      </c>
      <c r="AG996" s="11" t="inlineStr">
        <is>
          <t xml:space="preserve"> Big Mountain</t>
        </is>
      </c>
      <c r="AH996" s="11" t="inlineStr">
        <is>
          <t xml:space="preserve"> Touring</t>
        </is>
      </c>
      <c r="AI996" s="11" t="inlineStr">
        <is>
          <t xml:space="preserve"> Ultralight Touring</t>
        </is>
      </c>
      <c r="AJ996" s="13" t="n"/>
      <c r="AK996" s="42" t="n"/>
    </row>
    <row r="997">
      <c r="E997" s="40" t="inlineStr">
        <is>
          <t>21/22</t>
        </is>
      </c>
      <c r="F997" s="10" t="inlineStr">
        <is>
          <t>K2</t>
        </is>
      </c>
      <c r="G997" s="11" t="inlineStr">
        <is>
          <t>Wayback 88</t>
        </is>
      </c>
      <c r="H997" s="13" t="n">
        <v>160</v>
      </c>
      <c r="I997" s="11" t="inlineStr">
        <is>
          <t xml:space="preserve"> Unisex</t>
        </is>
      </c>
      <c r="J997" s="13" t="n">
        <v>160</v>
      </c>
      <c r="K997" s="13" t="n">
        <v>159.4</v>
      </c>
      <c r="L997" s="13" t="n">
        <v>115</v>
      </c>
      <c r="M997" s="13" t="n">
        <v>134</v>
      </c>
      <c r="N997" s="13" t="n">
        <v>120</v>
      </c>
      <c r="O997" s="13" t="n">
        <v>87</v>
      </c>
      <c r="P997" s="13" t="n">
        <v>108</v>
      </c>
      <c r="Q997" s="13" t="n">
        <v>16.5</v>
      </c>
      <c r="R997" s="13" t="n">
        <v>1100</v>
      </c>
      <c r="S997" s="13" t="n">
        <v>1.41</v>
      </c>
      <c r="T997" s="13" t="n">
        <v>1554</v>
      </c>
      <c r="U997" s="13" t="n">
        <v>149</v>
      </c>
      <c r="V997" s="13" t="n">
        <v>62</v>
      </c>
      <c r="W997" s="13" t="n">
        <v>46</v>
      </c>
      <c r="X997" s="13" t="n">
        <v>295</v>
      </c>
      <c r="Y997" s="13" t="n">
        <v>7</v>
      </c>
      <c r="Z997" s="13" t="n">
        <v>147</v>
      </c>
      <c r="AA997" s="13" t="n">
        <v>0.161</v>
      </c>
      <c r="AB997" s="13" t="n">
        <v>153</v>
      </c>
      <c r="AC997" s="13" t="n">
        <v>98</v>
      </c>
      <c r="AD997" s="13" t="n">
        <v>142</v>
      </c>
      <c r="AE997" s="13" t="n">
        <v>8</v>
      </c>
      <c r="AF997" s="13" t="n">
        <v>10.6</v>
      </c>
      <c r="AG997" s="11" t="inlineStr">
        <is>
          <t xml:space="preserve"> Touring</t>
        </is>
      </c>
      <c r="AH997" s="11" t="inlineStr">
        <is>
          <t xml:space="preserve"> Ultralight Touring</t>
        </is>
      </c>
      <c r="AI997" s="13" t="n"/>
      <c r="AJ997" s="13" t="n"/>
      <c r="AK997" s="42" t="n"/>
    </row>
    <row r="998">
      <c r="E998" s="40" t="inlineStr">
        <is>
          <t>21/22</t>
        </is>
      </c>
      <c r="F998" s="10" t="inlineStr">
        <is>
          <t>K2</t>
        </is>
      </c>
      <c r="G998" s="11" t="inlineStr">
        <is>
          <t>Wayback 88</t>
        </is>
      </c>
      <c r="H998" s="13" t="n">
        <v>167</v>
      </c>
      <c r="I998" s="11" t="inlineStr">
        <is>
          <t xml:space="preserve"> Unisex</t>
        </is>
      </c>
      <c r="J998" s="13" t="n">
        <v>167</v>
      </c>
      <c r="K998" s="13" t="n">
        <v>167</v>
      </c>
      <c r="L998" s="13" t="n">
        <v>126</v>
      </c>
      <c r="M998" s="13" t="n">
        <v>141</v>
      </c>
      <c r="N998" s="13" t="n">
        <v>120</v>
      </c>
      <c r="O998" s="13" t="n">
        <v>87</v>
      </c>
      <c r="P998" s="13" t="n">
        <v>108</v>
      </c>
      <c r="Q998" s="13" t="n">
        <v>18.2</v>
      </c>
      <c r="R998" s="13" t="n">
        <v>1154</v>
      </c>
      <c r="S998" s="13" t="n">
        <v>1.41</v>
      </c>
      <c r="T998" s="13" t="n">
        <v>1623</v>
      </c>
      <c r="U998" s="13" t="n">
        <v>154</v>
      </c>
      <c r="V998" s="13" t="n">
        <v>64</v>
      </c>
      <c r="W998" s="13" t="n">
        <v>46</v>
      </c>
      <c r="X998" s="13" t="n">
        <v>290</v>
      </c>
      <c r="Y998" s="13" t="n">
        <v>7</v>
      </c>
      <c r="Z998" s="13" t="n">
        <v>119</v>
      </c>
      <c r="AA998" s="13" t="n">
        <v>0.158</v>
      </c>
      <c r="AB998" s="13" t="n">
        <v>159</v>
      </c>
      <c r="AC998" s="13" t="n">
        <v>100</v>
      </c>
      <c r="AD998" s="13" t="n">
        <v>131</v>
      </c>
      <c r="AE998" s="13" t="n">
        <v>8</v>
      </c>
      <c r="AF998" s="13" t="n">
        <v>11.3</v>
      </c>
      <c r="AG998" s="11" t="inlineStr">
        <is>
          <t xml:space="preserve"> Touring</t>
        </is>
      </c>
      <c r="AH998" s="11" t="inlineStr">
        <is>
          <t xml:space="preserve"> Ultralight Touring</t>
        </is>
      </c>
      <c r="AI998" s="13" t="n"/>
      <c r="AJ998" s="13" t="n"/>
      <c r="AK998" s="42" t="n"/>
    </row>
    <row r="999">
      <c r="E999" s="40" t="inlineStr">
        <is>
          <t>21/22</t>
        </is>
      </c>
      <c r="F999" s="10" t="inlineStr">
        <is>
          <t>K2</t>
        </is>
      </c>
      <c r="G999" s="11" t="inlineStr">
        <is>
          <t>Wayback 88</t>
        </is>
      </c>
      <c r="H999" s="13" t="n">
        <v>174</v>
      </c>
      <c r="I999" s="11" t="inlineStr">
        <is>
          <t xml:space="preserve"> Unisex</t>
        </is>
      </c>
      <c r="J999" s="13" t="n">
        <v>174</v>
      </c>
      <c r="K999" s="13" t="n">
        <v>173.8</v>
      </c>
      <c r="L999" s="13" t="n">
        <v>133</v>
      </c>
      <c r="M999" s="13" t="n">
        <v>148</v>
      </c>
      <c r="N999" s="13" t="n">
        <v>120</v>
      </c>
      <c r="O999" s="13" t="n">
        <v>87</v>
      </c>
      <c r="P999" s="13" t="n">
        <v>108</v>
      </c>
      <c r="Q999" s="13" t="n">
        <v>19.7</v>
      </c>
      <c r="R999" s="13" t="n">
        <v>1235</v>
      </c>
      <c r="S999" s="13" t="n">
        <v>1.37</v>
      </c>
      <c r="T999" s="13" t="n">
        <v>1691</v>
      </c>
      <c r="U999" s="13" t="n">
        <v>179</v>
      </c>
      <c r="V999" s="13" t="n">
        <v>75</v>
      </c>
      <c r="W999" s="13" t="n">
        <v>45</v>
      </c>
      <c r="X999" s="13" t="n">
        <v>273</v>
      </c>
      <c r="Y999" s="13" t="n">
        <v>7</v>
      </c>
      <c r="Z999" s="13" t="n">
        <v>133</v>
      </c>
      <c r="AA999" s="13" t="n">
        <v>0.156</v>
      </c>
      <c r="AB999" s="13" t="n">
        <v>154</v>
      </c>
      <c r="AC999" s="13" t="n">
        <v>102</v>
      </c>
      <c r="AD999" s="13" t="n">
        <v>118</v>
      </c>
      <c r="AE999" s="13" t="n">
        <v>7</v>
      </c>
      <c r="AF999" s="13" t="n">
        <v>11.4</v>
      </c>
      <c r="AG999" s="11" t="inlineStr">
        <is>
          <t xml:space="preserve"> Touring</t>
        </is>
      </c>
      <c r="AH999" s="11" t="inlineStr">
        <is>
          <t xml:space="preserve"> Ultralight Touring</t>
        </is>
      </c>
      <c r="AI999" s="13" t="n"/>
      <c r="AJ999" s="13" t="n"/>
      <c r="AK999" s="42" t="n"/>
    </row>
    <row r="1000">
      <c r="E1000" s="40" t="inlineStr">
        <is>
          <t>21/22</t>
        </is>
      </c>
      <c r="F1000" s="10" t="inlineStr">
        <is>
          <t>K2</t>
        </is>
      </c>
      <c r="G1000" s="11" t="inlineStr">
        <is>
          <t>Wayback 96</t>
        </is>
      </c>
      <c r="H1000" s="13" t="n">
        <v>170</v>
      </c>
      <c r="I1000" s="11" t="inlineStr">
        <is>
          <t xml:space="preserve"> Unisex</t>
        </is>
      </c>
      <c r="J1000" s="13" t="n">
        <v>170</v>
      </c>
      <c r="K1000" s="13" t="n">
        <v>169.8</v>
      </c>
      <c r="L1000" s="13" t="n">
        <v>124</v>
      </c>
      <c r="M1000" s="13" t="n">
        <v>143</v>
      </c>
      <c r="N1000" s="13" t="n">
        <v>127</v>
      </c>
      <c r="O1000" s="13" t="n">
        <v>95</v>
      </c>
      <c r="P1000" s="13" t="n">
        <v>114</v>
      </c>
      <c r="Q1000" s="13" t="n">
        <v>19.7</v>
      </c>
      <c r="R1000" s="13" t="n">
        <v>1266</v>
      </c>
      <c r="S1000" s="13" t="n">
        <v>1.4</v>
      </c>
      <c r="T1000" s="13" t="n">
        <v>1773</v>
      </c>
      <c r="U1000" s="13" t="n">
        <v>170</v>
      </c>
      <c r="V1000" s="13" t="n">
        <v>78</v>
      </c>
      <c r="W1000" s="13" t="n">
        <v>49</v>
      </c>
      <c r="X1000" s="13" t="n">
        <v>310</v>
      </c>
      <c r="Y1000" s="13" t="n">
        <v>6</v>
      </c>
      <c r="Z1000" s="13" t="n">
        <v>152</v>
      </c>
      <c r="AA1000" s="13" t="n">
        <v>0.119</v>
      </c>
      <c r="AB1000" s="13" t="n">
        <v>157</v>
      </c>
      <c r="AC1000" s="13" t="n">
        <v>107</v>
      </c>
      <c r="AD1000" s="13" t="n">
        <v>154</v>
      </c>
      <c r="AE1000" s="13" t="n">
        <v>4</v>
      </c>
      <c r="AF1000" s="13" t="n">
        <v>12.4</v>
      </c>
      <c r="AG1000" s="11" t="inlineStr">
        <is>
          <t xml:space="preserve"> Touring</t>
        </is>
      </c>
      <c r="AH1000" s="11" t="inlineStr">
        <is>
          <t xml:space="preserve"> Ultralight Touring</t>
        </is>
      </c>
      <c r="AI1000" s="13" t="n"/>
      <c r="AJ1000" s="13" t="n"/>
      <c r="AK1000" s="42" t="n"/>
    </row>
    <row r="1001">
      <c r="E1001" s="40" t="inlineStr">
        <is>
          <t>21/22</t>
        </is>
      </c>
      <c r="F1001" s="10" t="inlineStr">
        <is>
          <t>K2</t>
        </is>
      </c>
      <c r="G1001" s="11" t="inlineStr">
        <is>
          <t>Wayback 96</t>
        </is>
      </c>
      <c r="H1001" s="13" t="n">
        <v>177</v>
      </c>
      <c r="I1001" s="11" t="inlineStr">
        <is>
          <t xml:space="preserve"> Unisex</t>
        </is>
      </c>
      <c r="J1001" s="13" t="n">
        <v>177</v>
      </c>
      <c r="K1001" s="13" t="n">
        <v>176.8</v>
      </c>
      <c r="L1001" s="13" t="n">
        <v>129</v>
      </c>
      <c r="M1001" s="13" t="n">
        <v>149</v>
      </c>
      <c r="N1001" s="13" t="n">
        <v>127</v>
      </c>
      <c r="O1001" s="13" t="n">
        <v>95</v>
      </c>
      <c r="P1001" s="13" t="n">
        <v>113</v>
      </c>
      <c r="Q1001" s="13" t="n">
        <v>21.6</v>
      </c>
      <c r="R1001" s="13" t="n">
        <v>1389</v>
      </c>
      <c r="S1001" s="13" t="n">
        <v>1.33</v>
      </c>
      <c r="T1001" s="13" t="n">
        <v>1844</v>
      </c>
      <c r="U1001" s="13" t="n">
        <v>213</v>
      </c>
      <c r="V1001" s="13" t="n">
        <v>96</v>
      </c>
      <c r="W1001" s="13" t="n">
        <v>51</v>
      </c>
      <c r="X1001" s="13" t="n">
        <v>300</v>
      </c>
      <c r="Y1001" s="13" t="n">
        <v>9</v>
      </c>
      <c r="Z1001" s="13" t="n">
        <v>180</v>
      </c>
      <c r="AA1001" s="13" t="n">
        <v>0.172</v>
      </c>
      <c r="AB1001" s="13" t="n">
        <v>164</v>
      </c>
      <c r="AC1001" s="13" t="n">
        <v>114</v>
      </c>
      <c r="AD1001" s="13" t="n">
        <v>136</v>
      </c>
      <c r="AE1001" s="13" t="n">
        <v>5</v>
      </c>
      <c r="AF1001" s="13" t="n">
        <v>11.4</v>
      </c>
      <c r="AG1001" s="11" t="inlineStr">
        <is>
          <t xml:space="preserve"> Touring</t>
        </is>
      </c>
      <c r="AH1001" s="11" t="inlineStr">
        <is>
          <t xml:space="preserve"> Ultralight Touring</t>
        </is>
      </c>
      <c r="AI1001" s="13" t="n"/>
      <c r="AJ1001" s="13" t="n"/>
      <c r="AK1001" s="42" t="n"/>
    </row>
    <row r="1002">
      <c r="E1002" s="40" t="inlineStr">
        <is>
          <t>21/22</t>
        </is>
      </c>
      <c r="F1002" s="10" t="inlineStr">
        <is>
          <t>K2</t>
        </is>
      </c>
      <c r="G1002" s="11" t="inlineStr">
        <is>
          <t>Wayback 96</t>
        </is>
      </c>
      <c r="H1002" s="13" t="n">
        <v>184</v>
      </c>
      <c r="I1002" s="11" t="inlineStr">
        <is>
          <t xml:space="preserve"> Unisex</t>
        </is>
      </c>
      <c r="J1002" s="13" t="n">
        <v>184</v>
      </c>
      <c r="K1002" s="13" t="n">
        <v>183.5</v>
      </c>
      <c r="L1002" s="13" t="n">
        <v>136</v>
      </c>
      <c r="M1002" s="13" t="n">
        <v>157</v>
      </c>
      <c r="N1002" s="13" t="n">
        <v>127</v>
      </c>
      <c r="O1002" s="13" t="n">
        <v>95</v>
      </c>
      <c r="P1002" s="13" t="n">
        <v>114</v>
      </c>
      <c r="Q1002" s="13" t="n">
        <v>23.7</v>
      </c>
      <c r="R1002" s="13" t="n">
        <v>1482</v>
      </c>
      <c r="S1002" s="13" t="n">
        <v>1.29</v>
      </c>
      <c r="T1002" s="13" t="n">
        <v>1919</v>
      </c>
      <c r="U1002" s="13" t="n">
        <v>228</v>
      </c>
      <c r="V1002" s="13" t="n">
        <v>100</v>
      </c>
      <c r="W1002" s="13" t="n">
        <v>51</v>
      </c>
      <c r="X1002" s="13" t="n">
        <v>309</v>
      </c>
      <c r="Y1002" s="13" t="n">
        <v>8</v>
      </c>
      <c r="Z1002" s="13" t="n">
        <v>167</v>
      </c>
      <c r="AA1002" s="13" t="n">
        <v>0.159</v>
      </c>
      <c r="AB1002" s="13" t="n">
        <v>156</v>
      </c>
      <c r="AC1002" s="13" t="n">
        <v>112</v>
      </c>
      <c r="AD1002" s="13" t="n">
        <v>153</v>
      </c>
      <c r="AE1002" s="13" t="n">
        <v>7</v>
      </c>
      <c r="AF1002" s="13" t="n">
        <v>12.6</v>
      </c>
      <c r="AG1002" s="11" t="inlineStr">
        <is>
          <t xml:space="preserve"> Touring</t>
        </is>
      </c>
      <c r="AH1002" s="11" t="inlineStr">
        <is>
          <t xml:space="preserve"> Ultralight Touring</t>
        </is>
      </c>
      <c r="AI1002" s="13" t="n"/>
      <c r="AJ1002" s="13" t="n"/>
      <c r="AK1002" s="42" t="n"/>
    </row>
    <row r="1003">
      <c r="E1003" s="40" t="inlineStr">
        <is>
          <t>21/22</t>
        </is>
      </c>
      <c r="F1003" s="10" t="inlineStr">
        <is>
          <t xml:space="preserve"> Liberty</t>
        </is>
      </c>
      <c r="G1003" s="11" t="inlineStr">
        <is>
          <t>Evolv 100</t>
        </is>
      </c>
      <c r="H1003" s="13" t="n">
        <v>172</v>
      </c>
      <c r="I1003" s="11" t="inlineStr">
        <is>
          <t xml:space="preserve"> Unisex</t>
        </is>
      </c>
      <c r="J1003" s="13" t="n">
        <v>172</v>
      </c>
      <c r="K1003" s="13" t="n">
        <v>171.4</v>
      </c>
      <c r="L1003" s="13" t="n">
        <v>139</v>
      </c>
      <c r="M1003" s="13" t="n">
        <v>150</v>
      </c>
      <c r="N1003" s="13" t="n">
        <v>137</v>
      </c>
      <c r="O1003" s="13" t="n">
        <v>99</v>
      </c>
      <c r="P1003" s="13" t="n">
        <v>121</v>
      </c>
      <c r="Q1003" s="13" t="n">
        <v>17.6</v>
      </c>
      <c r="R1003" s="13" t="n">
        <v>1830</v>
      </c>
      <c r="S1003" s="13" t="n">
        <v>1.04</v>
      </c>
      <c r="T1003" s="13" t="n">
        <v>1898</v>
      </c>
      <c r="U1003" s="13" t="n">
        <v>211</v>
      </c>
      <c r="V1003" s="13" t="n">
        <v>102</v>
      </c>
      <c r="W1003" s="13" t="n">
        <v>38</v>
      </c>
      <c r="X1003" s="13" t="n">
        <v>223</v>
      </c>
      <c r="Y1003" s="13" t="n">
        <v>10</v>
      </c>
      <c r="Z1003" s="13" t="n">
        <v>103</v>
      </c>
      <c r="AA1003" s="13" t="n">
        <v>0.256</v>
      </c>
      <c r="AB1003" s="13" t="n">
        <v>125</v>
      </c>
      <c r="AC1003" s="13" t="n">
        <v>85</v>
      </c>
      <c r="AD1003" s="13" t="n">
        <v>98</v>
      </c>
      <c r="AE1003" s="13" t="n">
        <v>10</v>
      </c>
      <c r="AF1003" s="13" t="n">
        <v>11</v>
      </c>
      <c r="AG1003" s="11" t="inlineStr">
        <is>
          <t xml:space="preserve"> Resort Freeride</t>
        </is>
      </c>
      <c r="AH1003" s="13" t="n"/>
      <c r="AI1003" s="13" t="n"/>
      <c r="AJ1003" s="13" t="n"/>
      <c r="AK1003" s="42" t="n"/>
    </row>
    <row r="1004">
      <c r="E1004" s="40" t="inlineStr">
        <is>
          <t>21/22</t>
        </is>
      </c>
      <c r="F1004" s="10" t="inlineStr">
        <is>
          <t xml:space="preserve"> Liberty</t>
        </is>
      </c>
      <c r="G1004" s="11" t="inlineStr">
        <is>
          <t>Evolv 100</t>
        </is>
      </c>
      <c r="H1004" s="13" t="n">
        <v>179</v>
      </c>
      <c r="I1004" s="11" t="inlineStr">
        <is>
          <t xml:space="preserve"> Unisex</t>
        </is>
      </c>
      <c r="J1004" s="13" t="n">
        <v>179</v>
      </c>
      <c r="K1004" s="13" t="n">
        <v>178.9</v>
      </c>
      <c r="L1004" s="13" t="n">
        <v>145</v>
      </c>
      <c r="M1004" s="13" t="n">
        <v>158</v>
      </c>
      <c r="N1004" s="13" t="n">
        <v>138</v>
      </c>
      <c r="O1004" s="13" t="n">
        <v>99</v>
      </c>
      <c r="P1004" s="13" t="n">
        <v>121</v>
      </c>
      <c r="Q1004" s="13" t="n">
        <v>19.1</v>
      </c>
      <c r="R1004" s="13" t="n">
        <v>1983</v>
      </c>
      <c r="S1004" s="13" t="n">
        <v>1</v>
      </c>
      <c r="T1004" s="13" t="n">
        <v>1978</v>
      </c>
      <c r="U1004" s="13" t="n">
        <v>239</v>
      </c>
      <c r="V1004" s="13" t="n">
        <v>124</v>
      </c>
      <c r="W1004" s="13" t="n">
        <v>36</v>
      </c>
      <c r="X1004" s="13" t="n">
        <v>204</v>
      </c>
      <c r="Y1004" s="13" t="n">
        <v>10</v>
      </c>
      <c r="Z1004" s="13" t="n">
        <v>133</v>
      </c>
      <c r="AA1004" s="13" t="n">
        <v>0.287</v>
      </c>
      <c r="AB1004" s="13" t="n">
        <v>116</v>
      </c>
      <c r="AC1004" s="13" t="n">
        <v>88</v>
      </c>
      <c r="AD1004" s="13" t="n">
        <v>88</v>
      </c>
      <c r="AE1004" s="13" t="n">
        <v>10</v>
      </c>
      <c r="AF1004" s="13" t="n">
        <v>10.4</v>
      </c>
      <c r="AG1004" s="11" t="inlineStr">
        <is>
          <t xml:space="preserve"> Resort Freeride</t>
        </is>
      </c>
      <c r="AH1004" s="13" t="n"/>
      <c r="AI1004" s="13" t="n"/>
      <c r="AJ1004" s="13" t="n"/>
      <c r="AK1004" s="42" t="n"/>
    </row>
    <row r="1005">
      <c r="E1005" s="40" t="inlineStr">
        <is>
          <t>21/22</t>
        </is>
      </c>
      <c r="F1005" s="10" t="inlineStr">
        <is>
          <t xml:space="preserve"> Liberty</t>
        </is>
      </c>
      <c r="G1005" s="11" t="inlineStr">
        <is>
          <t>Evolv 100</t>
        </is>
      </c>
      <c r="H1005" s="13" t="n">
        <v>186</v>
      </c>
      <c r="I1005" s="11" t="inlineStr">
        <is>
          <t xml:space="preserve"> Unisex</t>
        </is>
      </c>
      <c r="J1005" s="13" t="n">
        <v>186</v>
      </c>
      <c r="K1005" s="13" t="n">
        <v>185.9</v>
      </c>
      <c r="L1005" s="13" t="n">
        <v>150</v>
      </c>
      <c r="M1005" s="13" t="n">
        <v>165</v>
      </c>
      <c r="N1005" s="13" t="n">
        <v>137</v>
      </c>
      <c r="O1005" s="13" t="n">
        <v>99</v>
      </c>
      <c r="P1005" s="13" t="n">
        <v>121</v>
      </c>
      <c r="Q1005" s="13" t="n">
        <v>21.5</v>
      </c>
      <c r="R1005" s="13" t="n">
        <v>1980</v>
      </c>
      <c r="S1005" s="13" t="n">
        <v>1.04</v>
      </c>
      <c r="T1005" s="13" t="n">
        <v>2055</v>
      </c>
      <c r="U1005" s="13" t="n">
        <v>240</v>
      </c>
      <c r="V1005" s="13" t="n">
        <v>121</v>
      </c>
      <c r="W1005" s="13" t="n">
        <v>38</v>
      </c>
      <c r="X1005" s="13" t="n">
        <v>218</v>
      </c>
      <c r="Y1005" s="13" t="n">
        <v>11</v>
      </c>
      <c r="Z1005" s="13" t="n">
        <v>141</v>
      </c>
      <c r="AA1005" s="13" t="n">
        <v>0.3</v>
      </c>
      <c r="AB1005" s="13" t="n">
        <v>119</v>
      </c>
      <c r="AC1005" s="13" t="n">
        <v>92</v>
      </c>
      <c r="AD1005" s="13" t="n">
        <v>99</v>
      </c>
      <c r="AE1005" s="13" t="n">
        <v>10</v>
      </c>
      <c r="AF1005" s="13" t="n">
        <v>10.6</v>
      </c>
      <c r="AG1005" s="11" t="inlineStr">
        <is>
          <t xml:space="preserve"> Resort Freeride</t>
        </is>
      </c>
      <c r="AH1005" s="13" t="n"/>
      <c r="AI1005" s="13" t="n"/>
      <c r="AJ1005" s="13" t="n"/>
      <c r="AK1005" s="42" t="n"/>
    </row>
    <row r="1006">
      <c r="E1006" s="40" t="inlineStr">
        <is>
          <t>21/22</t>
        </is>
      </c>
      <c r="F1006" s="10" t="inlineStr">
        <is>
          <t xml:space="preserve"> Liberty</t>
        </is>
      </c>
      <c r="G1006" s="11" t="inlineStr">
        <is>
          <t>Evolv 90</t>
        </is>
      </c>
      <c r="H1006" s="13" t="n">
        <v>165</v>
      </c>
      <c r="I1006" s="11" t="inlineStr">
        <is>
          <t xml:space="preserve"> Unisex</t>
        </is>
      </c>
      <c r="J1006" s="13" t="n">
        <v>165</v>
      </c>
      <c r="K1006" s="13" t="n">
        <v>165.1</v>
      </c>
      <c r="L1006" s="13" t="n">
        <v>133</v>
      </c>
      <c r="M1006" s="13" t="n">
        <v>146</v>
      </c>
      <c r="N1006" s="13" t="n">
        <v>130</v>
      </c>
      <c r="O1006" s="13" t="n">
        <v>89</v>
      </c>
      <c r="P1006" s="13" t="n">
        <v>112</v>
      </c>
      <c r="Q1006" s="13" t="n">
        <v>15.6</v>
      </c>
      <c r="R1006" s="13" t="n">
        <v>1638</v>
      </c>
      <c r="S1006" s="13" t="n">
        <v>1.02</v>
      </c>
      <c r="T1006" s="13" t="n">
        <v>1679</v>
      </c>
      <c r="U1006" s="13" t="n">
        <v>195</v>
      </c>
      <c r="V1006" s="13" t="n">
        <v>100</v>
      </c>
      <c r="W1006" s="13" t="n">
        <v>38</v>
      </c>
      <c r="X1006" s="13" t="n">
        <v>203</v>
      </c>
      <c r="Y1006" s="13" t="n">
        <v>10</v>
      </c>
      <c r="Z1006" s="13" t="n">
        <v>120</v>
      </c>
      <c r="AA1006" s="13" t="n">
        <v>0.257</v>
      </c>
      <c r="AB1006" s="13" t="n">
        <v>103</v>
      </c>
      <c r="AC1006" s="13" t="n">
        <v>88</v>
      </c>
      <c r="AD1006" s="13" t="n">
        <v>100</v>
      </c>
      <c r="AE1006" s="13" t="n">
        <v>8</v>
      </c>
      <c r="AF1006" s="13" t="n">
        <v>10.5</v>
      </c>
      <c r="AG1006" s="11" t="inlineStr">
        <is>
          <t xml:space="preserve"> Resort Freeride</t>
        </is>
      </c>
      <c r="AH1006" s="13" t="n"/>
      <c r="AI1006" s="13" t="n"/>
      <c r="AJ1006" s="13" t="n"/>
      <c r="AK1006" s="42" t="n"/>
    </row>
    <row r="1007">
      <c r="E1007" s="40" t="inlineStr">
        <is>
          <t>21/22</t>
        </is>
      </c>
      <c r="F1007" s="10" t="inlineStr">
        <is>
          <t xml:space="preserve"> Liberty</t>
        </is>
      </c>
      <c r="G1007" s="11" t="inlineStr">
        <is>
          <t>Evolv 90</t>
        </is>
      </c>
      <c r="H1007" s="13" t="n">
        <v>172</v>
      </c>
      <c r="I1007" s="11" t="inlineStr">
        <is>
          <t xml:space="preserve"> Unisex</t>
        </is>
      </c>
      <c r="J1007" s="13" t="n">
        <v>172</v>
      </c>
      <c r="K1007" s="13" t="n">
        <v>171.9</v>
      </c>
      <c r="L1007" s="13" t="n">
        <v>140</v>
      </c>
      <c r="M1007" s="13" t="n">
        <v>152</v>
      </c>
      <c r="N1007" s="13" t="n">
        <v>130</v>
      </c>
      <c r="O1007" s="13" t="n">
        <v>89</v>
      </c>
      <c r="P1007" s="13" t="n">
        <v>113</v>
      </c>
      <c r="Q1007" s="13" t="n">
        <v>17.3</v>
      </c>
      <c r="R1007" s="13" t="n">
        <v>1655</v>
      </c>
      <c r="S1007" s="13" t="n">
        <v>1.06</v>
      </c>
      <c r="T1007" s="13" t="n">
        <v>1748</v>
      </c>
      <c r="U1007" s="13" t="n">
        <v>199</v>
      </c>
      <c r="V1007" s="13" t="n">
        <v>101</v>
      </c>
      <c r="W1007" s="13" t="n">
        <v>36</v>
      </c>
      <c r="X1007" s="13" t="n">
        <v>192</v>
      </c>
      <c r="Y1007" s="13" t="n">
        <v>9</v>
      </c>
      <c r="Z1007" s="13" t="n">
        <v>128</v>
      </c>
      <c r="AA1007" s="13" t="n">
        <v>0.253</v>
      </c>
      <c r="AB1007" s="13" t="n">
        <v>114</v>
      </c>
      <c r="AC1007" s="13" t="n">
        <v>84</v>
      </c>
      <c r="AD1007" s="13" t="n">
        <v>79</v>
      </c>
      <c r="AE1007" s="13" t="n">
        <v>11</v>
      </c>
      <c r="AF1007" s="13" t="n">
        <v>10.4</v>
      </c>
      <c r="AG1007" s="11" t="inlineStr">
        <is>
          <t xml:space="preserve"> Resort Freeride</t>
        </is>
      </c>
      <c r="AH1007" s="11" t="inlineStr">
        <is>
          <t xml:space="preserve"> Touring</t>
        </is>
      </c>
      <c r="AI1007" s="13" t="n"/>
      <c r="AJ1007" s="13" t="n"/>
      <c r="AK1007" s="42" t="n"/>
    </row>
    <row r="1008">
      <c r="E1008" s="40" t="inlineStr">
        <is>
          <t>21/22</t>
        </is>
      </c>
      <c r="F1008" s="10" t="inlineStr">
        <is>
          <t xml:space="preserve"> Liberty</t>
        </is>
      </c>
      <c r="G1008" s="11" t="inlineStr">
        <is>
          <t>Evolv 90</t>
        </is>
      </c>
      <c r="H1008" s="13" t="n">
        <v>179</v>
      </c>
      <c r="I1008" s="11" t="inlineStr">
        <is>
          <t xml:space="preserve"> Unisex</t>
        </is>
      </c>
      <c r="J1008" s="13" t="n">
        <v>179</v>
      </c>
      <c r="K1008" s="13" t="n">
        <v>178.6</v>
      </c>
      <c r="L1008" s="13" t="n">
        <v>145</v>
      </c>
      <c r="M1008" s="13" t="n">
        <v>158</v>
      </c>
      <c r="N1008" s="13" t="n">
        <v>130</v>
      </c>
      <c r="O1008" s="13" t="n">
        <v>89</v>
      </c>
      <c r="P1008" s="13" t="n">
        <v>113</v>
      </c>
      <c r="Q1008" s="13" t="n">
        <v>18.3</v>
      </c>
      <c r="R1008" s="13" t="n">
        <v>1787</v>
      </c>
      <c r="S1008" s="13" t="n">
        <v>1.02</v>
      </c>
      <c r="T1008" s="13" t="n">
        <v>1815</v>
      </c>
      <c r="U1008" s="13" t="n">
        <v>208</v>
      </c>
      <c r="V1008" s="13" t="n">
        <v>103</v>
      </c>
      <c r="W1008" s="13" t="n">
        <v>39</v>
      </c>
      <c r="X1008" s="13" t="n">
        <v>205</v>
      </c>
      <c r="Y1008" s="13" t="n">
        <v>10</v>
      </c>
      <c r="Z1008" s="13" t="n">
        <v>130</v>
      </c>
      <c r="AA1008" s="13" t="n">
        <v>0.257</v>
      </c>
      <c r="AB1008" s="13" t="n">
        <v>119</v>
      </c>
      <c r="AC1008" s="13" t="n">
        <v>86</v>
      </c>
      <c r="AD1008" s="13" t="n">
        <v>86</v>
      </c>
      <c r="AE1008" s="13" t="n">
        <v>9</v>
      </c>
      <c r="AF1008" s="13" t="n">
        <v>10.5</v>
      </c>
      <c r="AG1008" s="11" t="inlineStr">
        <is>
          <t xml:space="preserve"> Resort Freeride</t>
        </is>
      </c>
      <c r="AH1008" s="13" t="n"/>
      <c r="AI1008" s="13" t="n"/>
      <c r="AJ1008" s="13" t="n"/>
      <c r="AK1008" s="42" t="n"/>
    </row>
    <row r="1009">
      <c r="E1009" s="40" t="inlineStr">
        <is>
          <t>21/22</t>
        </is>
      </c>
      <c r="F1009" s="10" t="inlineStr">
        <is>
          <t xml:space="preserve"> Liberty</t>
        </is>
      </c>
      <c r="G1009" s="11" t="inlineStr">
        <is>
          <t>Evolv 90</t>
        </is>
      </c>
      <c r="H1009" s="13" t="n">
        <v>186</v>
      </c>
      <c r="I1009" s="11" t="inlineStr">
        <is>
          <t xml:space="preserve"> Unisex</t>
        </is>
      </c>
      <c r="J1009" s="13" t="n">
        <v>186</v>
      </c>
      <c r="K1009" s="13" t="n">
        <v>185.8</v>
      </c>
      <c r="L1009" s="13" t="n">
        <v>157</v>
      </c>
      <c r="M1009" s="13" t="n">
        <v>166</v>
      </c>
      <c r="N1009" s="13" t="n">
        <v>130</v>
      </c>
      <c r="O1009" s="13" t="n">
        <v>89</v>
      </c>
      <c r="P1009" s="13" t="n">
        <v>113</v>
      </c>
      <c r="Q1009" s="13" t="n">
        <v>20.4</v>
      </c>
      <c r="R1009" s="13" t="n">
        <v>1895</v>
      </c>
      <c r="S1009" s="13" t="n">
        <v>0.99</v>
      </c>
      <c r="T1009" s="13" t="n">
        <v>1881</v>
      </c>
      <c r="U1009" s="13" t="n">
        <v>227</v>
      </c>
      <c r="V1009" s="13" t="n">
        <v>111</v>
      </c>
      <c r="W1009" s="13" t="n">
        <v>37</v>
      </c>
      <c r="X1009" s="13" t="n">
        <v>179</v>
      </c>
      <c r="Y1009" s="13" t="n">
        <v>8</v>
      </c>
      <c r="Z1009" s="13" t="n">
        <v>108</v>
      </c>
      <c r="AA1009" s="13" t="n">
        <v>0.228</v>
      </c>
      <c r="AB1009" s="13" t="n">
        <v>106</v>
      </c>
      <c r="AC1009" s="13" t="n">
        <v>92</v>
      </c>
      <c r="AD1009" s="13" t="n">
        <v>73</v>
      </c>
      <c r="AE1009" s="13" t="n">
        <v>13</v>
      </c>
      <c r="AF1009" s="13" t="n">
        <v>11.4</v>
      </c>
      <c r="AG1009" s="11" t="inlineStr">
        <is>
          <t xml:space="preserve"> Resort Freeride</t>
        </is>
      </c>
      <c r="AH1009" s="13" t="n"/>
      <c r="AI1009" s="13" t="n"/>
      <c r="AJ1009" s="13" t="n"/>
      <c r="AK1009" s="42" t="n"/>
    </row>
    <row r="1010">
      <c r="E1010" s="40" t="inlineStr">
        <is>
          <t>21/22</t>
        </is>
      </c>
      <c r="F1010" s="10" t="inlineStr">
        <is>
          <t xml:space="preserve"> Liberty</t>
        </is>
      </c>
      <c r="G1010" s="11" t="inlineStr">
        <is>
          <t>Evolv 90W</t>
        </is>
      </c>
      <c r="H1010" s="13" t="n">
        <v>151</v>
      </c>
      <c r="I1010" s="11" t="inlineStr">
        <is>
          <t xml:space="preserve"> Women's</t>
        </is>
      </c>
      <c r="J1010" s="13" t="n">
        <v>151</v>
      </c>
      <c r="K1010" s="13" t="n">
        <v>150.4</v>
      </c>
      <c r="L1010" s="13" t="n">
        <v>117</v>
      </c>
      <c r="M1010" s="13" t="n">
        <v>131</v>
      </c>
      <c r="N1010" s="13" t="n">
        <v>131</v>
      </c>
      <c r="O1010" s="13" t="n">
        <v>89</v>
      </c>
      <c r="P1010" s="13" t="n">
        <v>114</v>
      </c>
      <c r="Q1010" s="13" t="n">
        <v>12.4</v>
      </c>
      <c r="R1010" s="13" t="n">
        <v>1457</v>
      </c>
      <c r="S1010" s="13" t="n">
        <v>1.06</v>
      </c>
      <c r="T1010" s="13" t="n">
        <v>1541</v>
      </c>
      <c r="U1010" s="13" t="n">
        <v>196</v>
      </c>
      <c r="V1010" s="13" t="n">
        <v>94</v>
      </c>
      <c r="W1010" s="13" t="n">
        <v>37</v>
      </c>
      <c r="X1010" s="13" t="n">
        <v>205</v>
      </c>
      <c r="Y1010" s="13" t="n">
        <v>10</v>
      </c>
      <c r="Z1010" s="13" t="n">
        <v>130</v>
      </c>
      <c r="AA1010" s="13" t="n">
        <v>0.274</v>
      </c>
      <c r="AB1010" s="13" t="n">
        <v>112</v>
      </c>
      <c r="AC1010" s="13" t="n">
        <v>85</v>
      </c>
      <c r="AD1010" s="13" t="n">
        <v>93</v>
      </c>
      <c r="AE1010" s="13" t="n">
        <v>7</v>
      </c>
      <c r="AF1010" s="13" t="n">
        <v>9.699999999999999</v>
      </c>
      <c r="AG1010" s="11" t="inlineStr">
        <is>
          <t xml:space="preserve"> Resort Freeride</t>
        </is>
      </c>
      <c r="AH1010" s="11" t="inlineStr">
        <is>
          <t xml:space="preserve"> Touring</t>
        </is>
      </c>
      <c r="AI1010" s="13" t="n"/>
      <c r="AJ1010" s="13" t="n"/>
      <c r="AK1010" s="42" t="n"/>
    </row>
    <row r="1011">
      <c r="E1011" s="40" t="inlineStr">
        <is>
          <t>21/22</t>
        </is>
      </c>
      <c r="F1011" s="10" t="inlineStr">
        <is>
          <t xml:space="preserve"> Liberty</t>
        </is>
      </c>
      <c r="G1011" s="11" t="inlineStr">
        <is>
          <t>Evolv 90W</t>
        </is>
      </c>
      <c r="H1011" s="13" t="n">
        <v>158</v>
      </c>
      <c r="I1011" s="11" t="inlineStr">
        <is>
          <t xml:space="preserve"> Women's</t>
        </is>
      </c>
      <c r="J1011" s="13" t="n">
        <v>158</v>
      </c>
      <c r="K1011" s="13" t="n">
        <v>157.5</v>
      </c>
      <c r="L1011" s="13" t="n">
        <v>125</v>
      </c>
      <c r="M1011" s="13" t="n">
        <v>137</v>
      </c>
      <c r="N1011" s="13" t="n">
        <v>131</v>
      </c>
      <c r="O1011" s="13" t="n">
        <v>90</v>
      </c>
      <c r="P1011" s="13" t="n">
        <v>113</v>
      </c>
      <c r="Q1011" s="13" t="n">
        <v>14</v>
      </c>
      <c r="R1011" s="13" t="n">
        <v>1547</v>
      </c>
      <c r="S1011" s="13" t="n">
        <v>1.04</v>
      </c>
      <c r="T1011" s="13" t="n">
        <v>1614</v>
      </c>
      <c r="U1011" s="13" t="n">
        <v>178</v>
      </c>
      <c r="V1011" s="13" t="n">
        <v>97</v>
      </c>
      <c r="W1011" s="13" t="n">
        <v>36</v>
      </c>
      <c r="X1011" s="13" t="n">
        <v>202</v>
      </c>
      <c r="Y1011" s="13" t="n">
        <v>11</v>
      </c>
      <c r="Z1011" s="13" t="n">
        <v>120</v>
      </c>
      <c r="AA1011" s="13" t="n">
        <v>0.296</v>
      </c>
      <c r="AB1011" s="13" t="n">
        <v>111</v>
      </c>
      <c r="AC1011" s="13" t="n">
        <v>91</v>
      </c>
      <c r="AD1011" s="13" t="n">
        <v>91</v>
      </c>
      <c r="AE1011" s="13" t="n">
        <v>7</v>
      </c>
      <c r="AF1011" s="13" t="n">
        <v>11</v>
      </c>
      <c r="AG1011" s="11" t="inlineStr">
        <is>
          <t xml:space="preserve"> Resort Freeride</t>
        </is>
      </c>
      <c r="AH1011" s="13" t="n"/>
      <c r="AI1011" s="13" t="n"/>
      <c r="AJ1011" s="13" t="n"/>
      <c r="AK1011" s="42" t="n"/>
    </row>
    <row r="1012">
      <c r="E1012" s="40" t="inlineStr">
        <is>
          <t>21/22</t>
        </is>
      </c>
      <c r="F1012" s="10" t="inlineStr">
        <is>
          <t xml:space="preserve"> Liberty</t>
        </is>
      </c>
      <c r="G1012" s="11" t="inlineStr">
        <is>
          <t>Evolv 90W</t>
        </is>
      </c>
      <c r="H1012" s="13" t="n">
        <v>165</v>
      </c>
      <c r="I1012" s="11" t="inlineStr">
        <is>
          <t xml:space="preserve"> Women's</t>
        </is>
      </c>
      <c r="J1012" s="13" t="n">
        <v>165</v>
      </c>
      <c r="K1012" s="13" t="n">
        <v>164.2</v>
      </c>
      <c r="L1012" s="13" t="n">
        <v>131</v>
      </c>
      <c r="M1012" s="13" t="n">
        <v>145</v>
      </c>
      <c r="N1012" s="13" t="n">
        <v>131</v>
      </c>
      <c r="O1012" s="13" t="n">
        <v>90</v>
      </c>
      <c r="P1012" s="13" t="n">
        <v>113</v>
      </c>
      <c r="Q1012" s="13" t="n">
        <v>15.4</v>
      </c>
      <c r="R1012" s="13" t="n">
        <v>1591</v>
      </c>
      <c r="S1012" s="13" t="n">
        <v>1.06</v>
      </c>
      <c r="T1012" s="13" t="n">
        <v>1679</v>
      </c>
      <c r="U1012" s="13" t="n">
        <v>208</v>
      </c>
      <c r="V1012" s="13" t="n">
        <v>99</v>
      </c>
      <c r="W1012" s="13" t="n">
        <v>37</v>
      </c>
      <c r="X1012" s="13" t="n">
        <v>206</v>
      </c>
      <c r="Y1012" s="13" t="n">
        <v>10</v>
      </c>
      <c r="Z1012" s="13" t="n">
        <v>130</v>
      </c>
      <c r="AA1012" s="13" t="n">
        <v>0.262</v>
      </c>
      <c r="AB1012" s="13" t="n">
        <v>108</v>
      </c>
      <c r="AC1012" s="13" t="n">
        <v>79</v>
      </c>
      <c r="AD1012" s="13" t="n">
        <v>98</v>
      </c>
      <c r="AE1012" s="13" t="n">
        <v>8</v>
      </c>
      <c r="AF1012" s="13" t="n">
        <v>7.1</v>
      </c>
      <c r="AG1012" s="11" t="inlineStr">
        <is>
          <t xml:space="preserve"> Resort Freeride</t>
        </is>
      </c>
      <c r="AH1012" s="11" t="inlineStr">
        <is>
          <t xml:space="preserve"> Touring</t>
        </is>
      </c>
      <c r="AI1012" s="13" t="n"/>
      <c r="AJ1012" s="13" t="n"/>
      <c r="AK1012" s="42" t="n"/>
    </row>
    <row r="1013">
      <c r="E1013" s="40" t="inlineStr">
        <is>
          <t>21/22</t>
        </is>
      </c>
      <c r="F1013" s="10" t="inlineStr">
        <is>
          <t xml:space="preserve"> Liberty</t>
        </is>
      </c>
      <c r="G1013" s="11" t="inlineStr">
        <is>
          <t>Genesis 101</t>
        </is>
      </c>
      <c r="H1013" s="13" t="n">
        <v>151</v>
      </c>
      <c r="I1013" s="11" t="inlineStr">
        <is>
          <t xml:space="preserve"> Women's</t>
        </is>
      </c>
      <c r="J1013" s="13" t="n">
        <v>151</v>
      </c>
      <c r="K1013" s="13" t="n">
        <v>150.1</v>
      </c>
      <c r="L1013" s="13" t="n">
        <v>90</v>
      </c>
      <c r="M1013" s="13" t="n">
        <v>123</v>
      </c>
      <c r="N1013" s="13" t="n">
        <v>134</v>
      </c>
      <c r="O1013" s="13" t="n">
        <v>101</v>
      </c>
      <c r="P1013" s="13" t="n">
        <v>121</v>
      </c>
      <c r="Q1013" s="13" t="n">
        <v>12.5</v>
      </c>
      <c r="R1013" s="13" t="n">
        <v>1483</v>
      </c>
      <c r="S1013" s="13" t="n">
        <v>1.13</v>
      </c>
      <c r="T1013" s="13" t="n">
        <v>1669</v>
      </c>
      <c r="U1013" s="13" t="n">
        <v>170</v>
      </c>
      <c r="V1013" s="13" t="n">
        <v>84</v>
      </c>
      <c r="W1013" s="13" t="n">
        <v>44</v>
      </c>
      <c r="X1013" s="13" t="n">
        <v>339</v>
      </c>
      <c r="Y1013" s="13" t="n">
        <v>34</v>
      </c>
      <c r="Z1013" s="13" t="n">
        <v>258</v>
      </c>
      <c r="AA1013" s="13" t="n">
        <v>0.759</v>
      </c>
      <c r="AB1013" s="13" t="n">
        <v>139</v>
      </c>
      <c r="AC1013" s="13" t="n">
        <v>136</v>
      </c>
      <c r="AD1013" s="13" t="n">
        <v>201</v>
      </c>
      <c r="AE1013" s="13" t="n">
        <v>4</v>
      </c>
      <c r="AF1013" s="13" t="n">
        <v>6.5</v>
      </c>
      <c r="AG1013" s="11" t="inlineStr">
        <is>
          <t xml:space="preserve"> Resort Freeride</t>
        </is>
      </c>
      <c r="AH1013" s="11" t="inlineStr">
        <is>
          <t xml:space="preserve"> Powder</t>
        </is>
      </c>
      <c r="AI1013" s="11" t="inlineStr">
        <is>
          <t xml:space="preserve"> Touring</t>
        </is>
      </c>
      <c r="AJ1013" s="13" t="n"/>
      <c r="AK1013" s="42" t="n"/>
    </row>
    <row r="1014">
      <c r="E1014" s="40" t="inlineStr">
        <is>
          <t>21/22</t>
        </is>
      </c>
      <c r="F1014" s="10" t="inlineStr">
        <is>
          <t xml:space="preserve"> Liberty</t>
        </is>
      </c>
      <c r="G1014" s="11" t="inlineStr">
        <is>
          <t>Genesis 101</t>
        </is>
      </c>
      <c r="H1014" s="13" t="n">
        <v>165</v>
      </c>
      <c r="I1014" s="11" t="inlineStr">
        <is>
          <t xml:space="preserve"> Women's</t>
        </is>
      </c>
      <c r="J1014" s="13" t="n">
        <v>165</v>
      </c>
      <c r="K1014" s="13" t="n">
        <v>164.4</v>
      </c>
      <c r="L1014" s="13" t="n">
        <v>104</v>
      </c>
      <c r="M1014" s="13" t="n">
        <v>135</v>
      </c>
      <c r="N1014" s="13" t="n">
        <v>134</v>
      </c>
      <c r="O1014" s="13" t="n">
        <v>100</v>
      </c>
      <c r="P1014" s="13" t="n">
        <v>121</v>
      </c>
      <c r="Q1014" s="13" t="n">
        <v>15</v>
      </c>
      <c r="R1014" s="13" t="n">
        <v>1740</v>
      </c>
      <c r="S1014" s="13" t="n">
        <v>1.05</v>
      </c>
      <c r="T1014" s="13" t="n">
        <v>1822</v>
      </c>
      <c r="U1014" s="13" t="n">
        <v>166</v>
      </c>
      <c r="V1014" s="13" t="n">
        <v>86</v>
      </c>
      <c r="W1014" s="13" t="n">
        <v>53</v>
      </c>
      <c r="X1014" s="13" t="n">
        <v>367</v>
      </c>
      <c r="Y1014" s="13" t="n">
        <v>27</v>
      </c>
      <c r="Z1014" s="13" t="n">
        <v>240</v>
      </c>
      <c r="AA1014" s="13" t="n">
        <v>0.519</v>
      </c>
      <c r="AB1014" s="13" t="n">
        <v>140</v>
      </c>
      <c r="AC1014" s="13" t="n">
        <v>155</v>
      </c>
      <c r="AD1014" s="13" t="n">
        <v>228</v>
      </c>
      <c r="AE1014" s="13" t="n">
        <v>4</v>
      </c>
      <c r="AF1014" s="13" t="n">
        <v>7.5</v>
      </c>
      <c r="AG1014" s="11" t="inlineStr">
        <is>
          <t xml:space="preserve"> Resort Freeride</t>
        </is>
      </c>
      <c r="AH1014" s="11" t="inlineStr">
        <is>
          <t xml:space="preserve"> Powder</t>
        </is>
      </c>
      <c r="AI1014" s="13" t="n"/>
      <c r="AJ1014" s="13" t="n"/>
      <c r="AK1014" s="42" t="n"/>
    </row>
    <row r="1015">
      <c r="E1015" s="40" t="inlineStr">
        <is>
          <t>21/22</t>
        </is>
      </c>
      <c r="F1015" s="10" t="inlineStr">
        <is>
          <t xml:space="preserve"> Liberty</t>
        </is>
      </c>
      <c r="G1015" s="11" t="inlineStr">
        <is>
          <t>Genesis 101</t>
        </is>
      </c>
      <c r="H1015" s="13" t="n">
        <v>171</v>
      </c>
      <c r="I1015" s="11" t="inlineStr">
        <is>
          <t xml:space="preserve"> Women's</t>
        </is>
      </c>
      <c r="J1015" s="13" t="n">
        <v>171</v>
      </c>
      <c r="K1015" s="13" t="n">
        <v>170</v>
      </c>
      <c r="L1015" s="13" t="n">
        <v>111</v>
      </c>
      <c r="M1015" s="13" t="n">
        <v>141</v>
      </c>
      <c r="N1015" s="13" t="n">
        <v>135</v>
      </c>
      <c r="O1015" s="13" t="n">
        <v>101</v>
      </c>
      <c r="P1015" s="13" t="n">
        <v>122</v>
      </c>
      <c r="Q1015" s="13" t="n">
        <v>16.6</v>
      </c>
      <c r="R1015" s="13" t="n">
        <v>1723</v>
      </c>
      <c r="S1015" s="13" t="n">
        <v>1.1</v>
      </c>
      <c r="T1015" s="13" t="n">
        <v>1895</v>
      </c>
      <c r="U1015" s="13" t="n">
        <v>171</v>
      </c>
      <c r="V1015" s="13" t="n">
        <v>81</v>
      </c>
      <c r="W1015" s="13" t="n">
        <v>51</v>
      </c>
      <c r="X1015" s="13" t="n">
        <v>339</v>
      </c>
      <c r="Y1015" s="13" t="n">
        <v>28</v>
      </c>
      <c r="Z1015" s="13" t="n">
        <v>248</v>
      </c>
      <c r="AA1015" s="13" t="n">
        <v>0.55</v>
      </c>
      <c r="AB1015" s="13" t="n">
        <v>142</v>
      </c>
      <c r="AC1015" s="13" t="n">
        <v>148</v>
      </c>
      <c r="AD1015" s="13" t="n">
        <v>197</v>
      </c>
      <c r="AE1015" s="13" t="n">
        <v>6</v>
      </c>
      <c r="AF1015" s="13" t="n">
        <v>8.300000000000001</v>
      </c>
      <c r="AG1015" s="11" t="inlineStr">
        <is>
          <t xml:space="preserve"> Resort Freeride</t>
        </is>
      </c>
      <c r="AH1015" s="11" t="inlineStr">
        <is>
          <t xml:space="preserve"> Powder</t>
        </is>
      </c>
      <c r="AI1015" s="11" t="inlineStr">
        <is>
          <t xml:space="preserve"> Touring</t>
        </is>
      </c>
      <c r="AJ1015" s="13" t="n"/>
      <c r="AK1015" s="42" t="n"/>
    </row>
    <row r="1016">
      <c r="E1016" s="40" t="inlineStr">
        <is>
          <t>21/22</t>
        </is>
      </c>
      <c r="F1016" s="10" t="inlineStr">
        <is>
          <t xml:space="preserve"> Liberty</t>
        </is>
      </c>
      <c r="G1016" s="11" t="inlineStr">
        <is>
          <t>Genesis 90</t>
        </is>
      </c>
      <c r="H1016" s="13" t="n">
        <v>151</v>
      </c>
      <c r="I1016" s="11" t="inlineStr">
        <is>
          <t xml:space="preserve"> Women's</t>
        </is>
      </c>
      <c r="J1016" s="13" t="n">
        <v>151</v>
      </c>
      <c r="K1016" s="13" t="n">
        <v>150.2</v>
      </c>
      <c r="L1016" s="13" t="n">
        <v>91</v>
      </c>
      <c r="M1016" s="13" t="n">
        <v>121</v>
      </c>
      <c r="N1016" s="13" t="n">
        <v>125</v>
      </c>
      <c r="O1016" s="13" t="n">
        <v>90</v>
      </c>
      <c r="P1016" s="13" t="n">
        <v>111</v>
      </c>
      <c r="Q1016" s="13" t="n">
        <v>11.8</v>
      </c>
      <c r="R1016" s="13" t="n">
        <v>1420</v>
      </c>
      <c r="S1016" s="13" t="n">
        <v>1.07</v>
      </c>
      <c r="T1016" s="13" t="n">
        <v>1516</v>
      </c>
      <c r="U1016" s="13" t="n">
        <v>144</v>
      </c>
      <c r="V1016" s="13" t="n">
        <v>72</v>
      </c>
      <c r="W1016" s="13" t="n">
        <v>44</v>
      </c>
      <c r="X1016" s="13" t="n">
        <v>351</v>
      </c>
      <c r="Y1016" s="13" t="n">
        <v>21</v>
      </c>
      <c r="Z1016" s="13" t="n">
        <v>243</v>
      </c>
      <c r="AA1016" s="13" t="n">
        <v>0.486</v>
      </c>
      <c r="AB1016" s="13" t="n">
        <v>135</v>
      </c>
      <c r="AC1016" s="13" t="n">
        <v>157</v>
      </c>
      <c r="AD1016" s="13" t="n">
        <v>216</v>
      </c>
      <c r="AE1016" s="13" t="n">
        <v>4</v>
      </c>
      <c r="AF1016" s="13" t="n">
        <v>7.8</v>
      </c>
      <c r="AG1016" s="11" t="inlineStr">
        <is>
          <t xml:space="preserve"> Resort Freeride</t>
        </is>
      </c>
      <c r="AH1016" s="11" t="inlineStr">
        <is>
          <t xml:space="preserve"> Touring</t>
        </is>
      </c>
      <c r="AI1016" s="13" t="n"/>
      <c r="AJ1016" s="13" t="n"/>
      <c r="AK1016" s="42" t="n"/>
    </row>
    <row r="1017">
      <c r="E1017" s="40" t="inlineStr">
        <is>
          <t>21/22</t>
        </is>
      </c>
      <c r="F1017" s="10" t="inlineStr">
        <is>
          <t xml:space="preserve"> Liberty</t>
        </is>
      </c>
      <c r="G1017" s="11" t="inlineStr">
        <is>
          <t>Genesis 90</t>
        </is>
      </c>
      <c r="H1017" s="13" t="n">
        <v>158</v>
      </c>
      <c r="I1017" s="11" t="inlineStr">
        <is>
          <t xml:space="preserve"> Women's</t>
        </is>
      </c>
      <c r="J1017" s="13" t="n">
        <v>158</v>
      </c>
      <c r="K1017" s="13" t="n">
        <v>157.1</v>
      </c>
      <c r="L1017" s="13" t="n">
        <v>97</v>
      </c>
      <c r="M1017" s="13" t="n">
        <v>127</v>
      </c>
      <c r="N1017" s="13" t="n">
        <v>125</v>
      </c>
      <c r="O1017" s="13" t="n">
        <v>89</v>
      </c>
      <c r="P1017" s="13" t="n">
        <v>111</v>
      </c>
      <c r="Q1017" s="13" t="n">
        <v>13</v>
      </c>
      <c r="R1017" s="13" t="n">
        <v>1431</v>
      </c>
      <c r="S1017" s="13" t="n">
        <v>1.1</v>
      </c>
      <c r="T1017" s="13" t="n">
        <v>1572</v>
      </c>
      <c r="U1017" s="13" t="n">
        <v>162</v>
      </c>
      <c r="V1017" s="13" t="n">
        <v>75</v>
      </c>
      <c r="W1017" s="13" t="n">
        <v>44</v>
      </c>
      <c r="X1017" s="13" t="n">
        <v>352</v>
      </c>
      <c r="Y1017" s="13" t="n">
        <v>23</v>
      </c>
      <c r="Z1017" s="13" t="n">
        <v>246</v>
      </c>
      <c r="AA1017" s="13" t="n">
        <v>0.518</v>
      </c>
      <c r="AB1017" s="13" t="n">
        <v>136</v>
      </c>
      <c r="AC1017" s="13" t="n">
        <v>160</v>
      </c>
      <c r="AD1017" s="13" t="n">
        <v>216</v>
      </c>
      <c r="AE1017" s="13" t="n">
        <v>4</v>
      </c>
      <c r="AF1017" s="13" t="n">
        <v>8.300000000000001</v>
      </c>
      <c r="AG1017" s="11" t="inlineStr">
        <is>
          <t xml:space="preserve"> Resort Freeride</t>
        </is>
      </c>
      <c r="AH1017" s="11" t="inlineStr">
        <is>
          <t xml:space="preserve"> Touring</t>
        </is>
      </c>
      <c r="AI1017" s="13" t="n"/>
      <c r="AJ1017" s="13" t="n"/>
      <c r="AK1017" s="42" t="n"/>
    </row>
    <row r="1018">
      <c r="E1018" s="40" t="inlineStr">
        <is>
          <t>21/22</t>
        </is>
      </c>
      <c r="F1018" s="10" t="inlineStr">
        <is>
          <t xml:space="preserve"> Liberty</t>
        </is>
      </c>
      <c r="G1018" s="11" t="inlineStr">
        <is>
          <t>Genesis 90</t>
        </is>
      </c>
      <c r="H1018" s="13" t="n">
        <v>165</v>
      </c>
      <c r="I1018" s="11" t="inlineStr">
        <is>
          <t xml:space="preserve"> Women's</t>
        </is>
      </c>
      <c r="J1018" s="13" t="n">
        <v>165</v>
      </c>
      <c r="K1018" s="13" t="n">
        <v>164.5</v>
      </c>
      <c r="L1018" s="13" t="n">
        <v>105</v>
      </c>
      <c r="M1018" s="13" t="n">
        <v>136</v>
      </c>
      <c r="N1018" s="13" t="n">
        <v>125</v>
      </c>
      <c r="O1018" s="13" t="n">
        <v>90</v>
      </c>
      <c r="P1018" s="13" t="n">
        <v>111</v>
      </c>
      <c r="Q1018" s="13" t="n">
        <v>14.8</v>
      </c>
      <c r="R1018" s="13" t="n">
        <v>1554</v>
      </c>
      <c r="S1018" s="13" t="n">
        <v>1.06</v>
      </c>
      <c r="T1018" s="13" t="n">
        <v>1649</v>
      </c>
      <c r="U1018" s="13" t="n">
        <v>173</v>
      </c>
      <c r="V1018" s="13" t="n">
        <v>78</v>
      </c>
      <c r="W1018" s="13" t="n">
        <v>43</v>
      </c>
      <c r="X1018" s="13" t="n">
        <v>345</v>
      </c>
      <c r="Y1018" s="13" t="n">
        <v>21</v>
      </c>
      <c r="Z1018" s="13" t="n">
        <v>246</v>
      </c>
      <c r="AA1018" s="13" t="n">
        <v>0.484</v>
      </c>
      <c r="AB1018" s="13" t="n">
        <v>133</v>
      </c>
      <c r="AC1018" s="13" t="n">
        <v>152</v>
      </c>
      <c r="AD1018" s="13" t="n">
        <v>213</v>
      </c>
      <c r="AE1018" s="13" t="n">
        <v>5</v>
      </c>
      <c r="AF1018" s="13" t="n">
        <v>7.7</v>
      </c>
      <c r="AG1018" s="11" t="inlineStr">
        <is>
          <t xml:space="preserve"> Resort Freeride</t>
        </is>
      </c>
      <c r="AH1018" s="11" t="inlineStr">
        <is>
          <t xml:space="preserve"> Touring</t>
        </is>
      </c>
      <c r="AI1018" s="13" t="n"/>
      <c r="AJ1018" s="13" t="n"/>
      <c r="AK1018" s="42" t="n"/>
    </row>
    <row r="1019">
      <c r="E1019" s="40" t="inlineStr">
        <is>
          <t>21/22</t>
        </is>
      </c>
      <c r="F1019" s="10" t="inlineStr">
        <is>
          <t xml:space="preserve"> Liberty</t>
        </is>
      </c>
      <c r="G1019" s="11" t="inlineStr">
        <is>
          <t>Origin 101</t>
        </is>
      </c>
      <c r="H1019" s="13" t="n">
        <v>171</v>
      </c>
      <c r="I1019" s="11" t="inlineStr">
        <is>
          <t xml:space="preserve"> Unisex</t>
        </is>
      </c>
      <c r="J1019" s="13" t="n">
        <v>171</v>
      </c>
      <c r="K1019" s="13" t="n">
        <v>169.9</v>
      </c>
      <c r="L1019" s="13" t="n">
        <v>110</v>
      </c>
      <c r="M1019" s="13" t="n">
        <v>141</v>
      </c>
      <c r="N1019" s="13" t="n">
        <v>134</v>
      </c>
      <c r="O1019" s="13" t="n">
        <v>101</v>
      </c>
      <c r="P1019" s="13" t="n">
        <v>121</v>
      </c>
      <c r="Q1019" s="13" t="n">
        <v>16.4</v>
      </c>
      <c r="R1019" s="13" t="n">
        <v>1707</v>
      </c>
      <c r="S1019" s="13" t="n">
        <v>1.11</v>
      </c>
      <c r="T1019" s="13" t="n">
        <v>1889</v>
      </c>
      <c r="U1019" s="13" t="n">
        <v>172</v>
      </c>
      <c r="V1019" s="13" t="n">
        <v>84</v>
      </c>
      <c r="W1019" s="13" t="n">
        <v>52</v>
      </c>
      <c r="X1019" s="13" t="n">
        <v>340</v>
      </c>
      <c r="Y1019" s="13" t="n">
        <v>30</v>
      </c>
      <c r="Z1019" s="13" t="n">
        <v>257</v>
      </c>
      <c r="AA1019" s="13" t="n">
        <v>0.5679999999999999</v>
      </c>
      <c r="AB1019" s="13" t="n">
        <v>136</v>
      </c>
      <c r="AC1019" s="13" t="n">
        <v>158</v>
      </c>
      <c r="AD1019" s="13" t="n">
        <v>204</v>
      </c>
      <c r="AE1019" s="13" t="n">
        <v>5</v>
      </c>
      <c r="AF1019" s="13" t="n">
        <v>8.300000000000001</v>
      </c>
      <c r="AG1019" s="11" t="inlineStr">
        <is>
          <t xml:space="preserve"> Resort Freeride</t>
        </is>
      </c>
      <c r="AH1019" s="11" t="inlineStr">
        <is>
          <t xml:space="preserve"> Powder</t>
        </is>
      </c>
      <c r="AI1019" s="11" t="inlineStr">
        <is>
          <t xml:space="preserve"> Touring</t>
        </is>
      </c>
      <c r="AJ1019" s="13" t="n"/>
      <c r="AK1019" s="42" t="n"/>
    </row>
    <row r="1020">
      <c r="E1020" s="40" t="inlineStr">
        <is>
          <t>21/22</t>
        </is>
      </c>
      <c r="F1020" s="10" t="inlineStr">
        <is>
          <t xml:space="preserve"> Liberty</t>
        </is>
      </c>
      <c r="G1020" s="11" t="inlineStr">
        <is>
          <t>Origin 101</t>
        </is>
      </c>
      <c r="H1020" s="13" t="n">
        <v>176</v>
      </c>
      <c r="I1020" s="11" t="inlineStr">
        <is>
          <t xml:space="preserve"> Unisex</t>
        </is>
      </c>
      <c r="J1020" s="13" t="n">
        <v>176</v>
      </c>
      <c r="K1020" s="13" t="n">
        <v>174.8</v>
      </c>
      <c r="L1020" s="13" t="n">
        <v>108</v>
      </c>
      <c r="M1020" s="13" t="n">
        <v>145</v>
      </c>
      <c r="N1020" s="13" t="n">
        <v>134</v>
      </c>
      <c r="O1020" s="13" t="n">
        <v>101</v>
      </c>
      <c r="P1020" s="13" t="n">
        <v>122</v>
      </c>
      <c r="Q1020" s="13" t="n">
        <v>17.4</v>
      </c>
      <c r="R1020" s="13" t="n">
        <v>1821</v>
      </c>
      <c r="S1020" s="13" t="n">
        <v>1.07</v>
      </c>
      <c r="T1020" s="13" t="n">
        <v>1944</v>
      </c>
      <c r="U1020" s="13" t="n">
        <v>183</v>
      </c>
      <c r="V1020" s="13" t="n">
        <v>92</v>
      </c>
      <c r="W1020" s="13" t="n">
        <v>52</v>
      </c>
      <c r="X1020" s="13" t="n">
        <v>385</v>
      </c>
      <c r="Y1020" s="13" t="n">
        <v>32</v>
      </c>
      <c r="Z1020" s="13" t="n">
        <v>288</v>
      </c>
      <c r="AA1020" s="13" t="n">
        <v>0.621</v>
      </c>
      <c r="AB1020" s="13" t="n">
        <v>142</v>
      </c>
      <c r="AC1020" s="13" t="n">
        <v>156</v>
      </c>
      <c r="AD1020" s="13" t="n">
        <v>243</v>
      </c>
      <c r="AE1020" s="13" t="n">
        <v>4</v>
      </c>
      <c r="AF1020" s="13" t="n">
        <v>7.8</v>
      </c>
      <c r="AG1020" s="11" t="inlineStr">
        <is>
          <t xml:space="preserve"> Resort Freeride</t>
        </is>
      </c>
      <c r="AH1020" s="11" t="inlineStr">
        <is>
          <t xml:space="preserve"> Powder</t>
        </is>
      </c>
      <c r="AI1020" s="11" t="inlineStr">
        <is>
          <t xml:space="preserve"> Touring</t>
        </is>
      </c>
      <c r="AJ1020" s="13" t="n"/>
      <c r="AK1020" s="42" t="n"/>
    </row>
    <row r="1021">
      <c r="E1021" s="40" t="inlineStr">
        <is>
          <t>21/22</t>
        </is>
      </c>
      <c r="F1021" s="10" t="inlineStr">
        <is>
          <t xml:space="preserve"> Liberty</t>
        </is>
      </c>
      <c r="G1021" s="11" t="inlineStr">
        <is>
          <t>Origin 106</t>
        </is>
      </c>
      <c r="H1021" s="13" t="n">
        <v>176</v>
      </c>
      <c r="I1021" s="11" t="inlineStr">
        <is>
          <t xml:space="preserve"> Unisex</t>
        </is>
      </c>
      <c r="J1021" s="13" t="n">
        <v>176</v>
      </c>
      <c r="K1021" s="13" t="n">
        <v>175.2</v>
      </c>
      <c r="L1021" s="13" t="n">
        <v>98</v>
      </c>
      <c r="M1021" s="13" t="n">
        <v>145</v>
      </c>
      <c r="N1021" s="13" t="n">
        <v>137</v>
      </c>
      <c r="O1021" s="13" t="n">
        <v>106</v>
      </c>
      <c r="P1021" s="13" t="n">
        <v>127</v>
      </c>
      <c r="Q1021" s="13" t="n">
        <v>18.3</v>
      </c>
      <c r="R1021" s="13" t="n">
        <v>1983</v>
      </c>
      <c r="S1021" s="13" t="n">
        <v>1.02</v>
      </c>
      <c r="T1021" s="13" t="n">
        <v>2014</v>
      </c>
      <c r="U1021" s="13" t="n">
        <v>211</v>
      </c>
      <c r="V1021" s="13" t="n">
        <v>102</v>
      </c>
      <c r="W1021" s="13" t="n">
        <v>54</v>
      </c>
      <c r="X1021" s="13" t="n">
        <v>459</v>
      </c>
      <c r="Y1021" s="13" t="n">
        <v>39</v>
      </c>
      <c r="Z1021" s="13" t="n">
        <v>311</v>
      </c>
      <c r="AA1021" s="13" t="n">
        <v>0.72</v>
      </c>
      <c r="AB1021" s="13" t="n">
        <v>139</v>
      </c>
      <c r="AC1021" s="13" t="n">
        <v>165</v>
      </c>
      <c r="AD1021" s="13" t="n">
        <v>320</v>
      </c>
      <c r="AE1021" s="13" t="n">
        <v>4</v>
      </c>
      <c r="AF1021" s="13" t="n">
        <v>8.1</v>
      </c>
      <c r="AG1021" s="11" t="inlineStr">
        <is>
          <t xml:space="preserve"> Powder</t>
        </is>
      </c>
      <c r="AH1021" s="13" t="n"/>
      <c r="AI1021" s="13" t="n"/>
      <c r="AJ1021" s="13" t="n"/>
      <c r="AK1021" s="42" t="n"/>
    </row>
    <row r="1022">
      <c r="E1022" s="40" t="inlineStr">
        <is>
          <t>21/22</t>
        </is>
      </c>
      <c r="F1022" s="10" t="inlineStr">
        <is>
          <t xml:space="preserve"> Liberty</t>
        </is>
      </c>
      <c r="G1022" s="11" t="inlineStr">
        <is>
          <t>Origin 106</t>
        </is>
      </c>
      <c r="H1022" s="13" t="n">
        <v>182</v>
      </c>
      <c r="I1022" s="11" t="inlineStr">
        <is>
          <t xml:space="preserve"> Unisex</t>
        </is>
      </c>
      <c r="J1022" s="13" t="n">
        <v>182</v>
      </c>
      <c r="K1022" s="13" t="n">
        <v>180.9</v>
      </c>
      <c r="L1022" s="13" t="n">
        <v>103</v>
      </c>
      <c r="M1022" s="13" t="n">
        <v>152</v>
      </c>
      <c r="N1022" s="13" t="n">
        <v>137</v>
      </c>
      <c r="O1022" s="13" t="n">
        <v>106</v>
      </c>
      <c r="P1022" s="13" t="n">
        <v>127</v>
      </c>
      <c r="Q1022" s="13" t="n">
        <v>20.4</v>
      </c>
      <c r="R1022" s="13" t="n">
        <v>2023</v>
      </c>
      <c r="S1022" s="13" t="n">
        <v>1.03</v>
      </c>
      <c r="T1022" s="13" t="n">
        <v>2084</v>
      </c>
      <c r="U1022" s="13" t="n">
        <v>226</v>
      </c>
      <c r="V1022" s="13" t="n">
        <v>107</v>
      </c>
      <c r="W1022" s="13" t="n">
        <v>57</v>
      </c>
      <c r="X1022" s="13" t="n">
        <v>462</v>
      </c>
      <c r="Y1022" s="13" t="n">
        <v>42</v>
      </c>
      <c r="Z1022" s="13" t="n">
        <v>321</v>
      </c>
      <c r="AA1022" s="13" t="n">
        <v>0.747</v>
      </c>
      <c r="AB1022" s="13" t="n">
        <v>141</v>
      </c>
      <c r="AC1022" s="13" t="n">
        <v>153</v>
      </c>
      <c r="AD1022" s="13" t="n">
        <v>321</v>
      </c>
      <c r="AE1022" s="13" t="n">
        <v>4</v>
      </c>
      <c r="AF1022" s="13" t="n">
        <v>7.9</v>
      </c>
      <c r="AG1022" s="11" t="inlineStr">
        <is>
          <t xml:space="preserve"> Powder</t>
        </is>
      </c>
      <c r="AH1022" s="13" t="n"/>
      <c r="AI1022" s="13" t="n"/>
      <c r="AJ1022" s="13" t="n"/>
      <c r="AK1022" s="42" t="n"/>
    </row>
    <row r="1023">
      <c r="E1023" s="40" t="inlineStr">
        <is>
          <t>21/22</t>
        </is>
      </c>
      <c r="F1023" s="10" t="inlineStr">
        <is>
          <t xml:space="preserve"> Liberty</t>
        </is>
      </c>
      <c r="G1023" s="11" t="inlineStr">
        <is>
          <t>Origin 106</t>
        </is>
      </c>
      <c r="H1023" s="13" t="n">
        <v>187</v>
      </c>
      <c r="I1023" s="11" t="inlineStr">
        <is>
          <t xml:space="preserve"> Unisex</t>
        </is>
      </c>
      <c r="J1023" s="13" t="n">
        <v>187</v>
      </c>
      <c r="K1023" s="13" t="n">
        <v>186.2</v>
      </c>
      <c r="L1023" s="13" t="n">
        <v>108</v>
      </c>
      <c r="M1023" s="13" t="n">
        <v>156</v>
      </c>
      <c r="N1023" s="13" t="n">
        <v>137</v>
      </c>
      <c r="O1023" s="13" t="n">
        <v>106</v>
      </c>
      <c r="P1023" s="13" t="n">
        <v>127</v>
      </c>
      <c r="Q1023" s="13" t="n">
        <v>21.8</v>
      </c>
      <c r="R1023" s="13" t="n">
        <v>2108</v>
      </c>
      <c r="S1023" s="13" t="n">
        <v>1.02</v>
      </c>
      <c r="T1023" s="13" t="n">
        <v>2140</v>
      </c>
      <c r="U1023" s="13" t="n">
        <v>217</v>
      </c>
      <c r="V1023" s="13" t="n">
        <v>109</v>
      </c>
      <c r="W1023" s="13" t="n">
        <v>56</v>
      </c>
      <c r="X1023" s="13" t="n">
        <v>471</v>
      </c>
      <c r="Y1023" s="13" t="n">
        <v>40</v>
      </c>
      <c r="Z1023" s="13" t="n">
        <v>311</v>
      </c>
      <c r="AA1023" s="13" t="n">
        <v>0.721</v>
      </c>
      <c r="AB1023" s="13" t="n">
        <v>142</v>
      </c>
      <c r="AC1023" s="13" t="n">
        <v>161</v>
      </c>
      <c r="AD1023" s="13" t="n">
        <v>328</v>
      </c>
      <c r="AE1023" s="13" t="n">
        <v>4</v>
      </c>
      <c r="AF1023" s="13" t="n">
        <v>8.199999999999999</v>
      </c>
      <c r="AG1023" s="11" t="inlineStr">
        <is>
          <t xml:space="preserve"> Powder</t>
        </is>
      </c>
      <c r="AH1023" s="13" t="n"/>
      <c r="AI1023" s="13" t="n"/>
      <c r="AJ1023" s="13" t="n"/>
      <c r="AK1023" s="42" t="n"/>
    </row>
    <row r="1024">
      <c r="E1024" s="40" t="inlineStr">
        <is>
          <t>21/22</t>
        </is>
      </c>
      <c r="F1024" s="10" t="inlineStr">
        <is>
          <t xml:space="preserve"> Liberty</t>
        </is>
      </c>
      <c r="G1024" s="11" t="inlineStr">
        <is>
          <t>Origin 96</t>
        </is>
      </c>
      <c r="H1024" s="13" t="n">
        <v>171</v>
      </c>
      <c r="I1024" s="11" t="inlineStr">
        <is>
          <t xml:space="preserve"> Unisex</t>
        </is>
      </c>
      <c r="J1024" s="13" t="n">
        <v>171</v>
      </c>
      <c r="K1024" s="13" t="n">
        <v>170</v>
      </c>
      <c r="L1024" s="13" t="n">
        <v>109</v>
      </c>
      <c r="M1024" s="13" t="n">
        <v>140</v>
      </c>
      <c r="N1024" s="13" t="n">
        <v>130</v>
      </c>
      <c r="O1024" s="13" t="n">
        <v>96</v>
      </c>
      <c r="P1024" s="13" t="n">
        <v>118</v>
      </c>
      <c r="Q1024" s="13" t="n">
        <v>16.5</v>
      </c>
      <c r="R1024" s="13" t="n">
        <v>1732</v>
      </c>
      <c r="S1024" s="13" t="n">
        <v>1.05</v>
      </c>
      <c r="T1024" s="13" t="n">
        <v>1813</v>
      </c>
      <c r="U1024" s="13" t="n">
        <v>188</v>
      </c>
      <c r="V1024" s="13" t="n">
        <v>89</v>
      </c>
      <c r="W1024" s="13" t="n">
        <v>50</v>
      </c>
      <c r="X1024" s="13" t="n">
        <v>344</v>
      </c>
      <c r="Y1024" s="13" t="n">
        <v>30</v>
      </c>
      <c r="Z1024" s="13" t="n">
        <v>261</v>
      </c>
      <c r="AA1024" s="13" t="n">
        <v>0.611</v>
      </c>
      <c r="AB1024" s="13" t="n">
        <v>136</v>
      </c>
      <c r="AC1024" s="13" t="n">
        <v>165</v>
      </c>
      <c r="AD1024" s="13" t="n">
        <v>209</v>
      </c>
      <c r="AE1024" s="13" t="n">
        <v>5</v>
      </c>
      <c r="AF1024" s="13" t="n">
        <v>8.1</v>
      </c>
      <c r="AG1024" s="11" t="inlineStr">
        <is>
          <t xml:space="preserve"> Resort Freeride</t>
        </is>
      </c>
      <c r="AH1024" s="13" t="n"/>
      <c r="AI1024" s="13" t="n"/>
      <c r="AJ1024" s="13" t="n"/>
      <c r="AK1024" s="42" t="n"/>
    </row>
    <row r="1025">
      <c r="E1025" s="40" t="inlineStr">
        <is>
          <t>21/22</t>
        </is>
      </c>
      <c r="F1025" s="10" t="inlineStr">
        <is>
          <t xml:space="preserve"> Liberty</t>
        </is>
      </c>
      <c r="G1025" s="11" t="inlineStr">
        <is>
          <t>Origin 96</t>
        </is>
      </c>
      <c r="H1025" s="13" t="n">
        <v>176</v>
      </c>
      <c r="I1025" s="11" t="inlineStr">
        <is>
          <t xml:space="preserve"> Unisex</t>
        </is>
      </c>
      <c r="J1025" s="13" t="n">
        <v>176</v>
      </c>
      <c r="K1025" s="13" t="n">
        <v>174.9</v>
      </c>
      <c r="L1025" s="13" t="n">
        <v>117</v>
      </c>
      <c r="M1025" s="13" t="n">
        <v>145</v>
      </c>
      <c r="N1025" s="13" t="n">
        <v>129</v>
      </c>
      <c r="O1025" s="13" t="n">
        <v>96</v>
      </c>
      <c r="P1025" s="13" t="n">
        <v>117</v>
      </c>
      <c r="Q1025" s="13" t="n">
        <v>17.3</v>
      </c>
      <c r="R1025" s="13" t="n">
        <v>1772</v>
      </c>
      <c r="S1025" s="13" t="n">
        <v>1.05</v>
      </c>
      <c r="T1025" s="13" t="n">
        <v>1865</v>
      </c>
      <c r="U1025" s="13" t="n">
        <v>213</v>
      </c>
      <c r="V1025" s="13" t="n">
        <v>98</v>
      </c>
      <c r="W1025" s="13" t="n">
        <v>47</v>
      </c>
      <c r="X1025" s="13" t="n">
        <v>307</v>
      </c>
      <c r="Y1025" s="13" t="n">
        <v>30</v>
      </c>
      <c r="Z1025" s="13" t="n">
        <v>272</v>
      </c>
      <c r="AA1025" s="13" t="n">
        <v>0.645</v>
      </c>
      <c r="AB1025" s="13" t="n">
        <v>136</v>
      </c>
      <c r="AC1025" s="13" t="n">
        <v>168</v>
      </c>
      <c r="AD1025" s="13" t="n">
        <v>171</v>
      </c>
      <c r="AE1025" s="13" t="n">
        <v>4</v>
      </c>
      <c r="AF1025" s="13" t="n">
        <v>7.9</v>
      </c>
      <c r="AG1025" s="11" t="inlineStr">
        <is>
          <t xml:space="preserve"> Resort Freeride</t>
        </is>
      </c>
      <c r="AH1025" s="11" t="inlineStr">
        <is>
          <t xml:space="preserve"> Touring</t>
        </is>
      </c>
      <c r="AI1025" s="13" t="n"/>
      <c r="AJ1025" s="13" t="n"/>
      <c r="AK1025" s="42" t="n"/>
    </row>
    <row r="1026">
      <c r="E1026" s="40" t="inlineStr">
        <is>
          <t>21/22</t>
        </is>
      </c>
      <c r="F1026" s="10" t="inlineStr">
        <is>
          <t xml:space="preserve"> Liberty</t>
        </is>
      </c>
      <c r="G1026" s="11" t="inlineStr">
        <is>
          <t>Origin 96</t>
        </is>
      </c>
      <c r="H1026" s="13" t="n">
        <v>182</v>
      </c>
      <c r="I1026" s="11" t="inlineStr">
        <is>
          <t xml:space="preserve"> Unisex</t>
        </is>
      </c>
      <c r="J1026" s="13" t="n">
        <v>182</v>
      </c>
      <c r="K1026" s="13" t="n">
        <v>180.8</v>
      </c>
      <c r="L1026" s="13" t="n">
        <v>123</v>
      </c>
      <c r="M1026" s="13" t="n">
        <v>151</v>
      </c>
      <c r="N1026" s="13" t="n">
        <v>129</v>
      </c>
      <c r="O1026" s="13" t="n">
        <v>96</v>
      </c>
      <c r="P1026" s="13" t="n">
        <v>117</v>
      </c>
      <c r="Q1026" s="13" t="n">
        <v>18.7</v>
      </c>
      <c r="R1026" s="13" t="n">
        <v>1860</v>
      </c>
      <c r="S1026" s="13" t="n">
        <v>1.03</v>
      </c>
      <c r="T1026" s="13" t="n">
        <v>1919</v>
      </c>
      <c r="U1026" s="13" t="n">
        <v>205</v>
      </c>
      <c r="V1026" s="13" t="n">
        <v>97</v>
      </c>
      <c r="W1026" s="13" t="n">
        <v>47</v>
      </c>
      <c r="X1026" s="13" t="n">
        <v>332</v>
      </c>
      <c r="Y1026" s="13" t="n">
        <v>30</v>
      </c>
      <c r="Z1026" s="13" t="n">
        <v>243</v>
      </c>
      <c r="AA1026" s="13" t="n">
        <v>0.646</v>
      </c>
      <c r="AB1026" s="13" t="n">
        <v>136</v>
      </c>
      <c r="AC1026" s="13" t="n">
        <v>164</v>
      </c>
      <c r="AD1026" s="13" t="n">
        <v>195</v>
      </c>
      <c r="AE1026" s="13" t="n">
        <v>6</v>
      </c>
      <c r="AF1026" s="13" t="n">
        <v>8.6</v>
      </c>
      <c r="AG1026" s="11" t="inlineStr">
        <is>
          <t xml:space="preserve"> Resort Freeride</t>
        </is>
      </c>
      <c r="AH1026" s="13" t="n"/>
      <c r="AI1026" s="13" t="n"/>
      <c r="AJ1026" s="13" t="n"/>
      <c r="AK1026" s="42" t="n"/>
    </row>
    <row r="1027">
      <c r="E1027" s="40" t="inlineStr">
        <is>
          <t>21/22</t>
        </is>
      </c>
      <c r="F1027" s="10" t="inlineStr">
        <is>
          <t xml:space="preserve"> Liberty</t>
        </is>
      </c>
      <c r="G1027" s="11" t="inlineStr">
        <is>
          <t>Origin 96</t>
        </is>
      </c>
      <c r="H1027" s="13" t="n">
        <v>187</v>
      </c>
      <c r="I1027" s="11" t="inlineStr">
        <is>
          <t xml:space="preserve"> Unisex</t>
        </is>
      </c>
      <c r="J1027" s="13" t="n">
        <v>187</v>
      </c>
      <c r="K1027" s="13" t="n">
        <v>185.8</v>
      </c>
      <c r="L1027" s="13" t="n">
        <v>126</v>
      </c>
      <c r="M1027" s="13" t="n">
        <v>156</v>
      </c>
      <c r="N1027" s="13" t="n">
        <v>129</v>
      </c>
      <c r="O1027" s="13" t="n">
        <v>96</v>
      </c>
      <c r="P1027" s="13" t="n">
        <v>117</v>
      </c>
      <c r="Q1027" s="13" t="n">
        <v>19.9</v>
      </c>
      <c r="R1027" s="13" t="n">
        <v>1972</v>
      </c>
      <c r="S1027" s="13" t="n">
        <v>1</v>
      </c>
      <c r="T1027" s="13" t="n">
        <v>1972</v>
      </c>
      <c r="U1027" s="13" t="n">
        <v>247</v>
      </c>
      <c r="V1027" s="13" t="n">
        <v>108</v>
      </c>
      <c r="W1027" s="13" t="n">
        <v>44</v>
      </c>
      <c r="X1027" s="13" t="n">
        <v>327</v>
      </c>
      <c r="Y1027" s="13" t="n">
        <v>31</v>
      </c>
      <c r="Z1027" s="13" t="n">
        <v>272</v>
      </c>
      <c r="AA1027" s="13" t="n">
        <v>0.71</v>
      </c>
      <c r="AB1027" s="13" t="n">
        <v>136</v>
      </c>
      <c r="AC1027" s="13" t="n">
        <v>167</v>
      </c>
      <c r="AD1027" s="13" t="n">
        <v>191</v>
      </c>
      <c r="AE1027" s="13" t="n">
        <v>7</v>
      </c>
      <c r="AF1027" s="13" t="n">
        <v>8.300000000000001</v>
      </c>
      <c r="AG1027" s="11" t="inlineStr">
        <is>
          <t xml:space="preserve"> Resort Freeride</t>
        </is>
      </c>
      <c r="AH1027" s="13" t="n"/>
      <c r="AI1027" s="13" t="n"/>
      <c r="AJ1027" s="13" t="n"/>
      <c r="AK1027" s="42" t="n"/>
    </row>
    <row r="1028">
      <c r="E1028" s="40" t="inlineStr">
        <is>
          <t>21/22</t>
        </is>
      </c>
      <c r="F1028" s="10" t="inlineStr">
        <is>
          <t xml:space="preserve"> Line</t>
        </is>
      </c>
      <c r="G1028" s="11" t="inlineStr">
        <is>
          <t xml:space="preserve"> Blade</t>
        </is>
      </c>
      <c r="H1028" s="13" t="n">
        <v>169</v>
      </c>
      <c r="I1028" s="11" t="inlineStr">
        <is>
          <t xml:space="preserve"> Unisex</t>
        </is>
      </c>
      <c r="J1028" s="13" t="n">
        <v>169</v>
      </c>
      <c r="K1028" s="13" t="n">
        <v>168.2</v>
      </c>
      <c r="L1028" s="13" t="n">
        <v>133</v>
      </c>
      <c r="M1028" s="13" t="n">
        <v>153</v>
      </c>
      <c r="N1028" s="13" t="n">
        <v>153</v>
      </c>
      <c r="O1028" s="13" t="n">
        <v>94</v>
      </c>
      <c r="P1028" s="13" t="n">
        <v>123</v>
      </c>
      <c r="Q1028" s="13" t="n">
        <v>12.6</v>
      </c>
      <c r="R1028" s="13" t="n">
        <v>1833</v>
      </c>
      <c r="S1028" s="13" t="n">
        <v>1.03</v>
      </c>
      <c r="T1028" s="13" t="n">
        <v>1892</v>
      </c>
      <c r="U1028" s="13" t="n">
        <v>155</v>
      </c>
      <c r="V1028" s="13" t="n">
        <v>104</v>
      </c>
      <c r="W1028" s="13" t="n">
        <v>43</v>
      </c>
      <c r="X1028" s="13" t="n">
        <v>207</v>
      </c>
      <c r="Y1028" s="13" t="n">
        <v>26</v>
      </c>
      <c r="Z1028" s="13" t="n">
        <v>150</v>
      </c>
      <c r="AA1028" s="13" t="n">
        <v>0.614</v>
      </c>
      <c r="AB1028" s="13" t="n">
        <v>130</v>
      </c>
      <c r="AC1028" s="13" t="n">
        <v>23</v>
      </c>
      <c r="AD1028" s="13" t="n">
        <v>76</v>
      </c>
      <c r="AE1028" s="13" t="n">
        <v>9</v>
      </c>
      <c r="AF1028" s="13" t="n">
        <v>5.6</v>
      </c>
      <c r="AG1028" s="11" t="inlineStr">
        <is>
          <t xml:space="preserve"> Resort Freeride</t>
        </is>
      </c>
      <c r="AH1028" s="13" t="n"/>
      <c r="AI1028" s="13" t="n"/>
      <c r="AJ1028" s="13" t="n"/>
      <c r="AK1028" s="42" t="n"/>
    </row>
    <row r="1029">
      <c r="E1029" s="40" t="inlineStr">
        <is>
          <t>21/22</t>
        </is>
      </c>
      <c r="F1029" s="10" t="inlineStr">
        <is>
          <t xml:space="preserve"> Line</t>
        </is>
      </c>
      <c r="G1029" s="11" t="inlineStr">
        <is>
          <t xml:space="preserve"> Blade</t>
        </is>
      </c>
      <c r="H1029" s="13" t="n">
        <v>176</v>
      </c>
      <c r="I1029" s="11" t="inlineStr">
        <is>
          <t xml:space="preserve"> Unisex</t>
        </is>
      </c>
      <c r="J1029" s="13" t="n">
        <v>176</v>
      </c>
      <c r="K1029" s="13" t="n">
        <v>175</v>
      </c>
      <c r="L1029" s="13" t="n">
        <v>141</v>
      </c>
      <c r="M1029" s="13" t="n">
        <v>160</v>
      </c>
      <c r="N1029" s="13" t="n">
        <v>154</v>
      </c>
      <c r="O1029" s="13" t="n">
        <v>94</v>
      </c>
      <c r="P1029" s="13" t="n">
        <v>124</v>
      </c>
      <c r="Q1029" s="13" t="n">
        <v>13.6</v>
      </c>
      <c r="R1029" s="13" t="n">
        <v>1970</v>
      </c>
      <c r="S1029" s="13" t="n">
        <v>1</v>
      </c>
      <c r="T1029" s="13" t="n">
        <v>1975</v>
      </c>
      <c r="U1029" s="13" t="n">
        <v>166</v>
      </c>
      <c r="V1029" s="13" t="n">
        <v>114</v>
      </c>
      <c r="W1029" s="13" t="n">
        <v>34</v>
      </c>
      <c r="X1029" s="13" t="n">
        <v>182</v>
      </c>
      <c r="Y1029" s="13" t="n">
        <v>25</v>
      </c>
      <c r="Z1029" s="13" t="n">
        <v>155</v>
      </c>
      <c r="AA1029" s="13" t="n">
        <v>0.737</v>
      </c>
      <c r="AB1029" s="13" t="n">
        <v>130</v>
      </c>
      <c r="AC1029" s="13" t="n">
        <v>22</v>
      </c>
      <c r="AD1029" s="13" t="n">
        <v>52</v>
      </c>
      <c r="AE1029" s="13" t="n">
        <v>10</v>
      </c>
      <c r="AF1029" s="13" t="n">
        <v>6.7</v>
      </c>
      <c r="AG1029" s="11" t="inlineStr">
        <is>
          <t xml:space="preserve"> Resort Freeride</t>
        </is>
      </c>
      <c r="AH1029" s="13" t="n"/>
      <c r="AI1029" s="13" t="n"/>
      <c r="AJ1029" s="13" t="n"/>
      <c r="AK1029" s="42" t="n"/>
    </row>
    <row r="1030">
      <c r="E1030" s="40" t="inlineStr">
        <is>
          <t>21/22</t>
        </is>
      </c>
      <c r="F1030" s="10" t="inlineStr">
        <is>
          <t xml:space="preserve"> Line</t>
        </is>
      </c>
      <c r="G1030" s="11" t="inlineStr">
        <is>
          <t xml:space="preserve"> Blade</t>
        </is>
      </c>
      <c r="H1030" s="13" t="n">
        <v>181</v>
      </c>
      <c r="I1030" s="11" t="inlineStr">
        <is>
          <t xml:space="preserve"> Unisex</t>
        </is>
      </c>
      <c r="J1030" s="13" t="n">
        <v>181</v>
      </c>
      <c r="K1030" s="13" t="n">
        <v>179.7</v>
      </c>
      <c r="L1030" s="13" t="n">
        <v>140</v>
      </c>
      <c r="M1030" s="13" t="n">
        <v>164</v>
      </c>
      <c r="N1030" s="13" t="n">
        <v>154</v>
      </c>
      <c r="O1030" s="13" t="n">
        <v>95</v>
      </c>
      <c r="P1030" s="13" t="n">
        <v>124</v>
      </c>
      <c r="Q1030" s="13" t="n">
        <v>14.6</v>
      </c>
      <c r="R1030" s="13" t="n">
        <v>2051</v>
      </c>
      <c r="S1030" s="13" t="n">
        <v>0.99</v>
      </c>
      <c r="T1030" s="13" t="n">
        <v>2027</v>
      </c>
      <c r="U1030" s="13" t="n">
        <v>193</v>
      </c>
      <c r="V1030" s="13" t="n">
        <v>137</v>
      </c>
      <c r="W1030" s="13" t="n">
        <v>35</v>
      </c>
      <c r="X1030" s="13" t="n">
        <v>257</v>
      </c>
      <c r="Y1030" s="13" t="n">
        <v>22</v>
      </c>
      <c r="Z1030" s="13" t="n">
        <v>140</v>
      </c>
      <c r="AA1030" s="13" t="n">
        <v>0.628</v>
      </c>
      <c r="AB1030" s="13" t="n">
        <v>127</v>
      </c>
      <c r="AC1030" s="13" t="n">
        <v>26</v>
      </c>
      <c r="AD1030" s="13" t="n">
        <v>130</v>
      </c>
      <c r="AE1030" s="13" t="n">
        <v>8</v>
      </c>
      <c r="AF1030" s="13" t="n">
        <v>6.8</v>
      </c>
      <c r="AG1030" s="11" t="inlineStr">
        <is>
          <t xml:space="preserve"> Resort Freeride</t>
        </is>
      </c>
      <c r="AH1030" s="13" t="n"/>
      <c r="AI1030" s="13" t="n"/>
      <c r="AJ1030" s="13" t="n"/>
      <c r="AK1030" s="42" t="n"/>
    </row>
    <row r="1031">
      <c r="E1031" s="40" t="inlineStr">
        <is>
          <t>21/22</t>
        </is>
      </c>
      <c r="F1031" s="10" t="inlineStr">
        <is>
          <t xml:space="preserve"> Line</t>
        </is>
      </c>
      <c r="G1031" s="11" t="inlineStr">
        <is>
          <t xml:space="preserve"> Blade W</t>
        </is>
      </c>
      <c r="H1031" s="13" t="n">
        <v>153</v>
      </c>
      <c r="I1031" s="11" t="inlineStr">
        <is>
          <t xml:space="preserve"> Women's</t>
        </is>
      </c>
      <c r="J1031" s="13" t="n">
        <v>153</v>
      </c>
      <c r="K1031" s="13" t="n">
        <v>152.2</v>
      </c>
      <c r="L1031" s="13" t="n">
        <v>121</v>
      </c>
      <c r="M1031" s="13" t="n">
        <v>137</v>
      </c>
      <c r="N1031" s="13" t="n">
        <v>139</v>
      </c>
      <c r="O1031" s="13" t="n">
        <v>90</v>
      </c>
      <c r="P1031" s="13" t="n">
        <v>113</v>
      </c>
      <c r="Q1031" s="13" t="n">
        <v>13.2</v>
      </c>
      <c r="R1031" s="13" t="n">
        <v>1555</v>
      </c>
      <c r="S1031" s="13" t="n">
        <v>1.02</v>
      </c>
      <c r="T1031" s="13" t="n">
        <v>1593</v>
      </c>
      <c r="U1031" s="13" t="n">
        <v>136</v>
      </c>
      <c r="V1031" s="13" t="n">
        <v>92</v>
      </c>
      <c r="W1031" s="13" t="n">
        <v>30</v>
      </c>
      <c r="X1031" s="13" t="n">
        <v>192</v>
      </c>
      <c r="Y1031" s="13" t="n">
        <v>22</v>
      </c>
      <c r="Z1031" s="13" t="n">
        <v>120</v>
      </c>
      <c r="AA1031" s="13" t="n">
        <v>0.746</v>
      </c>
      <c r="AB1031" s="13" t="n">
        <v>131</v>
      </c>
      <c r="AC1031" s="13" t="n">
        <v>22</v>
      </c>
      <c r="AD1031" s="13" t="n">
        <v>61</v>
      </c>
      <c r="AE1031" s="13" t="n">
        <v>8</v>
      </c>
      <c r="AF1031" s="13" t="n">
        <v>6</v>
      </c>
      <c r="AG1031" s="11" t="inlineStr">
        <is>
          <t xml:space="preserve"> Resort Freeride</t>
        </is>
      </c>
      <c r="AH1031" s="13" t="n"/>
      <c r="AI1031" s="13" t="n"/>
      <c r="AJ1031" s="13" t="n"/>
      <c r="AK1031" s="42" t="n"/>
    </row>
    <row r="1032">
      <c r="E1032" s="40" t="inlineStr">
        <is>
          <t>21/22</t>
        </is>
      </c>
      <c r="F1032" s="10" t="inlineStr">
        <is>
          <t xml:space="preserve"> Line</t>
        </is>
      </c>
      <c r="G1032" s="11" t="inlineStr">
        <is>
          <t xml:space="preserve"> Blade W</t>
        </is>
      </c>
      <c r="H1032" s="13" t="n">
        <v>160</v>
      </c>
      <c r="I1032" s="11" t="inlineStr">
        <is>
          <t xml:space="preserve"> Women's</t>
        </is>
      </c>
      <c r="J1032" s="13" t="n">
        <v>160</v>
      </c>
      <c r="K1032" s="13" t="n">
        <v>159.5</v>
      </c>
      <c r="L1032" s="13" t="n">
        <v>126</v>
      </c>
      <c r="M1032" s="13" t="n">
        <v>144</v>
      </c>
      <c r="N1032" s="13" t="n">
        <v>139</v>
      </c>
      <c r="O1032" s="13" t="n">
        <v>90</v>
      </c>
      <c r="P1032" s="13" t="n">
        <v>113</v>
      </c>
      <c r="Q1032" s="13" t="n">
        <v>14.7</v>
      </c>
      <c r="R1032" s="13" t="n">
        <v>1624</v>
      </c>
      <c r="S1032" s="13" t="n">
        <v>1.02</v>
      </c>
      <c r="T1032" s="13" t="n">
        <v>1664</v>
      </c>
      <c r="U1032" s="13" t="n">
        <v>139</v>
      </c>
      <c r="V1032" s="13" t="n">
        <v>87</v>
      </c>
      <c r="W1032" s="13" t="n">
        <v>32</v>
      </c>
      <c r="X1032" s="13" t="n">
        <v>208</v>
      </c>
      <c r="Y1032" s="13" t="n">
        <v>15</v>
      </c>
      <c r="Z1032" s="13" t="n">
        <v>132</v>
      </c>
      <c r="AA1032" s="13" t="n">
        <v>0.465</v>
      </c>
      <c r="AB1032" s="13" t="n">
        <v>129</v>
      </c>
      <c r="AC1032" s="13" t="n">
        <v>22</v>
      </c>
      <c r="AD1032" s="13" t="n">
        <v>79</v>
      </c>
      <c r="AE1032" s="13" t="n">
        <v>8</v>
      </c>
      <c r="AF1032" s="13" t="n">
        <v>6.4</v>
      </c>
      <c r="AG1032" s="11" t="inlineStr">
        <is>
          <t xml:space="preserve"> Resort Freeride</t>
        </is>
      </c>
      <c r="AH1032" s="13" t="n"/>
      <c r="AI1032" s="13" t="n"/>
      <c r="AJ1032" s="13" t="n"/>
      <c r="AK1032" s="42" t="n"/>
    </row>
    <row r="1033">
      <c r="E1033" s="40" t="inlineStr">
        <is>
          <t>21/22</t>
        </is>
      </c>
      <c r="F1033" s="10" t="inlineStr">
        <is>
          <t xml:space="preserve"> Line</t>
        </is>
      </c>
      <c r="G1033" s="11" t="inlineStr">
        <is>
          <t xml:space="preserve"> Blade W</t>
        </is>
      </c>
      <c r="H1033" s="13" t="n">
        <v>167</v>
      </c>
      <c r="I1033" s="11" t="inlineStr">
        <is>
          <t xml:space="preserve"> Women's</t>
        </is>
      </c>
      <c r="J1033" s="13" t="n">
        <v>167</v>
      </c>
      <c r="K1033" s="13" t="n">
        <v>166.7</v>
      </c>
      <c r="L1033" s="13" t="n">
        <v>134</v>
      </c>
      <c r="M1033" s="13" t="n">
        <v>152</v>
      </c>
      <c r="N1033" s="13" t="n">
        <v>139</v>
      </c>
      <c r="O1033" s="13" t="n">
        <v>90</v>
      </c>
      <c r="P1033" s="13" t="n">
        <v>113</v>
      </c>
      <c r="Q1033" s="13" t="n">
        <v>16.3</v>
      </c>
      <c r="R1033" s="13" t="n">
        <v>1752</v>
      </c>
      <c r="S1033" s="13" t="n">
        <v>0.99</v>
      </c>
      <c r="T1033" s="13" t="n">
        <v>1743</v>
      </c>
      <c r="U1033" s="13" t="n">
        <v>174</v>
      </c>
      <c r="V1033" s="13" t="n">
        <v>116</v>
      </c>
      <c r="W1033" s="13" t="n">
        <v>39</v>
      </c>
      <c r="X1033" s="13" t="n">
        <v>211</v>
      </c>
      <c r="Y1033" s="13" t="n">
        <v>16</v>
      </c>
      <c r="Z1033" s="13" t="n">
        <v>121</v>
      </c>
      <c r="AA1033" s="13" t="n">
        <v>0.401</v>
      </c>
      <c r="AB1033" s="13" t="n">
        <v>128</v>
      </c>
      <c r="AC1033" s="13" t="n">
        <v>23</v>
      </c>
      <c r="AD1033" s="13" t="n">
        <v>82</v>
      </c>
      <c r="AE1033" s="13" t="n">
        <v>10</v>
      </c>
      <c r="AF1033" s="13" t="n">
        <v>6.9</v>
      </c>
      <c r="AG1033" s="11" t="inlineStr">
        <is>
          <t xml:space="preserve"> Resort Freeride</t>
        </is>
      </c>
      <c r="AH1033" s="13" t="n"/>
      <c r="AI1033" s="13" t="n"/>
      <c r="AJ1033" s="13" t="n"/>
      <c r="AK1033" s="42" t="n"/>
    </row>
    <row r="1034">
      <c r="E1034" s="40" t="inlineStr">
        <is>
          <t>21/22</t>
        </is>
      </c>
      <c r="F1034" s="10" t="inlineStr">
        <is>
          <t xml:space="preserve"> Line</t>
        </is>
      </c>
      <c r="G1034" s="11" t="inlineStr">
        <is>
          <t xml:space="preserve"> Blend</t>
        </is>
      </c>
      <c r="H1034" s="13" t="n">
        <v>171</v>
      </c>
      <c r="I1034" s="11" t="inlineStr">
        <is>
          <t xml:space="preserve"> Unisex</t>
        </is>
      </c>
      <c r="J1034" s="13" t="n">
        <v>171</v>
      </c>
      <c r="K1034" s="13" t="n">
        <v>171.7</v>
      </c>
      <c r="L1034" s="13" t="n">
        <v>119</v>
      </c>
      <c r="M1034" s="13" t="n">
        <v>147</v>
      </c>
      <c r="N1034" s="13" t="n">
        <v>132</v>
      </c>
      <c r="O1034" s="13" t="n">
        <v>99</v>
      </c>
      <c r="P1034" s="13" t="n">
        <v>122</v>
      </c>
      <c r="Q1034" s="13" t="n">
        <v>18.7</v>
      </c>
      <c r="R1034" s="13" t="n">
        <v>1651</v>
      </c>
      <c r="S1034" s="13" t="n">
        <v>1.14</v>
      </c>
      <c r="T1034" s="13" t="n">
        <v>1881</v>
      </c>
      <c r="U1034" s="13" t="n">
        <v>130</v>
      </c>
      <c r="V1034" s="13" t="n">
        <v>58</v>
      </c>
      <c r="W1034" s="13" t="n">
        <v>41</v>
      </c>
      <c r="X1034" s="13" t="n">
        <v>249</v>
      </c>
      <c r="Y1034" s="13" t="n">
        <v>38</v>
      </c>
      <c r="Z1034" s="13" t="n">
        <v>276</v>
      </c>
      <c r="AA1034" s="13" t="n">
        <v>0.9370000000000001</v>
      </c>
      <c r="AB1034" s="13" t="n">
        <v>106</v>
      </c>
      <c r="AC1034" s="13" t="n">
        <v>137</v>
      </c>
      <c r="AD1034" s="13" t="n">
        <v>143</v>
      </c>
      <c r="AE1034" s="13" t="n">
        <v>6</v>
      </c>
      <c r="AF1034" s="13" t="n">
        <v>4.5</v>
      </c>
      <c r="AG1034" s="11" t="inlineStr">
        <is>
          <t xml:space="preserve"> Freeski</t>
        </is>
      </c>
      <c r="AH1034" s="11" t="inlineStr">
        <is>
          <t xml:space="preserve"> Touring</t>
        </is>
      </c>
      <c r="AI1034" s="13" t="n"/>
      <c r="AJ1034" s="13" t="n"/>
      <c r="AK1034" s="42" t="n"/>
    </row>
    <row r="1035">
      <c r="E1035" s="40" t="inlineStr">
        <is>
          <t>21/22</t>
        </is>
      </c>
      <c r="F1035" s="10" t="inlineStr">
        <is>
          <t xml:space="preserve"> Line</t>
        </is>
      </c>
      <c r="G1035" s="11" t="inlineStr">
        <is>
          <t xml:space="preserve"> Blend</t>
        </is>
      </c>
      <c r="H1035" s="13" t="n">
        <v>178</v>
      </c>
      <c r="I1035" s="11" t="inlineStr">
        <is>
          <t xml:space="preserve"> Unisex</t>
        </is>
      </c>
      <c r="J1035" s="13" t="n">
        <v>178</v>
      </c>
      <c r="K1035" s="13" t="n">
        <v>178</v>
      </c>
      <c r="L1035" s="13" t="n">
        <v>138</v>
      </c>
      <c r="M1035" s="13" t="n">
        <v>155</v>
      </c>
      <c r="N1035" s="13" t="n">
        <v>132</v>
      </c>
      <c r="O1035" s="13" t="n">
        <v>99</v>
      </c>
      <c r="P1035" s="13" t="n">
        <v>121</v>
      </c>
      <c r="Q1035" s="13" t="n">
        <v>20.6</v>
      </c>
      <c r="R1035" s="13" t="n">
        <v>1783</v>
      </c>
      <c r="S1035" s="13" t="n">
        <v>1.09</v>
      </c>
      <c r="T1035" s="13" t="n">
        <v>1948</v>
      </c>
      <c r="U1035" s="13" t="n">
        <v>162</v>
      </c>
      <c r="V1035" s="13" t="n">
        <v>75</v>
      </c>
      <c r="W1035" s="13" t="n">
        <v>44</v>
      </c>
      <c r="X1035" s="13" t="n">
        <v>208</v>
      </c>
      <c r="Y1035" s="13" t="n">
        <v>42</v>
      </c>
      <c r="Z1035" s="13" t="n">
        <v>195</v>
      </c>
      <c r="AA1035" s="13" t="n">
        <v>0.965</v>
      </c>
      <c r="AB1035" s="13" t="n">
        <v>104</v>
      </c>
      <c r="AC1035" s="13" t="n">
        <v>131</v>
      </c>
      <c r="AD1035" s="13" t="n">
        <v>104</v>
      </c>
      <c r="AE1035" s="13" t="n">
        <v>9</v>
      </c>
      <c r="AF1035" s="13" t="n">
        <v>4.3</v>
      </c>
      <c r="AG1035" s="11" t="inlineStr">
        <is>
          <t xml:space="preserve"> Freeski</t>
        </is>
      </c>
      <c r="AH1035" s="11" t="inlineStr">
        <is>
          <t xml:space="preserve"> Touring</t>
        </is>
      </c>
      <c r="AI1035" s="13" t="n"/>
      <c r="AJ1035" s="13" t="n"/>
      <c r="AK1035" s="42" t="n"/>
    </row>
    <row r="1036">
      <c r="E1036" s="40" t="inlineStr">
        <is>
          <t>21/22</t>
        </is>
      </c>
      <c r="F1036" s="10" t="inlineStr">
        <is>
          <t xml:space="preserve"> Line</t>
        </is>
      </c>
      <c r="G1036" s="11" t="inlineStr">
        <is>
          <t xml:space="preserve"> Blend</t>
        </is>
      </c>
      <c r="H1036" s="13" t="n">
        <v>185</v>
      </c>
      <c r="I1036" s="11" t="inlineStr">
        <is>
          <t xml:space="preserve"> Unisex</t>
        </is>
      </c>
      <c r="J1036" s="13" t="n">
        <v>185</v>
      </c>
      <c r="K1036" s="13" t="n">
        <v>185.5</v>
      </c>
      <c r="L1036" s="13" t="n">
        <v>140</v>
      </c>
      <c r="M1036" s="13" t="n">
        <v>161</v>
      </c>
      <c r="N1036" s="13" t="n">
        <v>132</v>
      </c>
      <c r="O1036" s="13" t="n">
        <v>99</v>
      </c>
      <c r="P1036" s="13" t="n">
        <v>121</v>
      </c>
      <c r="Q1036" s="13" t="n">
        <v>23.6</v>
      </c>
      <c r="R1036" s="13" t="n">
        <v>1873</v>
      </c>
      <c r="S1036" s="13" t="n">
        <v>1.08</v>
      </c>
      <c r="T1036" s="13" t="n">
        <v>2021</v>
      </c>
      <c r="U1036" s="13" t="n">
        <v>154</v>
      </c>
      <c r="V1036" s="13" t="n">
        <v>73</v>
      </c>
      <c r="W1036" s="13" t="n">
        <v>42</v>
      </c>
      <c r="X1036" s="13" t="n">
        <v>218</v>
      </c>
      <c r="Y1036" s="13" t="n">
        <v>34</v>
      </c>
      <c r="Z1036" s="13" t="n">
        <v>234</v>
      </c>
      <c r="AA1036" s="13" t="n">
        <v>0.8</v>
      </c>
      <c r="AB1036" s="13" t="n">
        <v>113</v>
      </c>
      <c r="AC1036" s="13" t="n">
        <v>135</v>
      </c>
      <c r="AD1036" s="13" t="n">
        <v>106</v>
      </c>
      <c r="AE1036" s="13" t="n">
        <v>8</v>
      </c>
      <c r="AF1036" s="13" t="n">
        <v>3.9</v>
      </c>
      <c r="AG1036" s="11" t="inlineStr">
        <is>
          <t xml:space="preserve"> Resort Freeride</t>
        </is>
      </c>
      <c r="AH1036" s="11" t="inlineStr">
        <is>
          <t xml:space="preserve"> Freeski</t>
        </is>
      </c>
      <c r="AI1036" s="11" t="inlineStr">
        <is>
          <t xml:space="preserve"> Touring</t>
        </is>
      </c>
      <c r="AJ1036" s="13" t="n"/>
      <c r="AK1036" s="42" t="n"/>
    </row>
    <row r="1037">
      <c r="E1037" s="40" t="inlineStr">
        <is>
          <t>21/22</t>
        </is>
      </c>
      <c r="F1037" s="10" t="inlineStr">
        <is>
          <t xml:space="preserve"> Line</t>
        </is>
      </c>
      <c r="G1037" s="11" t="inlineStr">
        <is>
          <t xml:space="preserve"> Chronic</t>
        </is>
      </c>
      <c r="H1037" s="13" t="n">
        <v>164</v>
      </c>
      <c r="I1037" s="11" t="inlineStr">
        <is>
          <t xml:space="preserve"> Unisex</t>
        </is>
      </c>
      <c r="J1037" s="13" t="n">
        <v>164</v>
      </c>
      <c r="K1037" s="13" t="n">
        <v>164.8</v>
      </c>
      <c r="L1037" s="13" t="n">
        <v>132</v>
      </c>
      <c r="M1037" s="13" t="n">
        <v>131</v>
      </c>
      <c r="N1037" s="13" t="n">
        <v>128</v>
      </c>
      <c r="O1037" s="13" t="n">
        <v>94</v>
      </c>
      <c r="P1037" s="13" t="n">
        <v>119</v>
      </c>
      <c r="Q1037" s="13" t="n">
        <v>13.8</v>
      </c>
      <c r="R1037" s="13" t="n">
        <v>1581</v>
      </c>
      <c r="S1037" s="13" t="n">
        <v>1.1</v>
      </c>
      <c r="T1037" s="13" t="n">
        <v>1736</v>
      </c>
      <c r="U1037" s="13" t="n">
        <v>108</v>
      </c>
      <c r="V1037" s="13" t="n">
        <v>66</v>
      </c>
      <c r="W1037" s="13" t="n">
        <v>36</v>
      </c>
      <c r="X1037" s="13" t="n">
        <v>161</v>
      </c>
      <c r="Y1037" s="13" t="n">
        <v>34</v>
      </c>
      <c r="Z1037" s="13" t="n">
        <v>165</v>
      </c>
      <c r="AA1037" s="13" t="n">
        <v>0.963</v>
      </c>
      <c r="AB1037" s="13" t="n">
        <v>165</v>
      </c>
      <c r="AC1037" s="13" t="n">
        <v>178</v>
      </c>
      <c r="AD1037" s="13" t="n">
        <v>-4</v>
      </c>
      <c r="AE1037" s="13" t="n">
        <v>9</v>
      </c>
      <c r="AF1037" s="13" t="n">
        <v>3.6</v>
      </c>
      <c r="AG1037" s="11" t="inlineStr">
        <is>
          <t xml:space="preserve"> Freeski</t>
        </is>
      </c>
      <c r="AH1037" s="11" t="inlineStr">
        <is>
          <t xml:space="preserve"> Touring</t>
        </is>
      </c>
      <c r="AI1037" s="13" t="n"/>
      <c r="AJ1037" s="13" t="n"/>
      <c r="AK1037" s="42" t="n"/>
    </row>
    <row r="1038">
      <c r="E1038" s="40" t="inlineStr">
        <is>
          <t>21/22</t>
        </is>
      </c>
      <c r="F1038" s="10" t="inlineStr">
        <is>
          <t xml:space="preserve"> Line</t>
        </is>
      </c>
      <c r="G1038" s="11" t="inlineStr">
        <is>
          <t xml:space="preserve"> Chronic</t>
        </is>
      </c>
      <c r="H1038" s="13" t="n">
        <v>171</v>
      </c>
      <c r="I1038" s="11" t="inlineStr">
        <is>
          <t xml:space="preserve"> Unisex</t>
        </is>
      </c>
      <c r="J1038" s="13" t="n">
        <v>171</v>
      </c>
      <c r="K1038" s="13" t="n">
        <v>171.6</v>
      </c>
      <c r="L1038" s="13" t="n">
        <v>136</v>
      </c>
      <c r="M1038" s="13" t="n">
        <v>138</v>
      </c>
      <c r="N1038" s="13" t="n">
        <v>128</v>
      </c>
      <c r="O1038" s="13" t="n">
        <v>94</v>
      </c>
      <c r="P1038" s="13" t="n">
        <v>119</v>
      </c>
      <c r="Q1038" s="13" t="n">
        <v>15.3</v>
      </c>
      <c r="R1038" s="13" t="n">
        <v>1704</v>
      </c>
      <c r="S1038" s="13" t="n">
        <v>1.06</v>
      </c>
      <c r="T1038" s="13" t="n">
        <v>1808</v>
      </c>
      <c r="U1038" s="13" t="n">
        <v>136</v>
      </c>
      <c r="V1038" s="13" t="n">
        <v>74</v>
      </c>
      <c r="W1038" s="13" t="n">
        <v>41</v>
      </c>
      <c r="X1038" s="13" t="n">
        <v>174</v>
      </c>
      <c r="Y1038" s="13" t="n">
        <v>40</v>
      </c>
      <c r="Z1038" s="13" t="n">
        <v>178</v>
      </c>
      <c r="AA1038" s="13" t="n">
        <v>0.958</v>
      </c>
      <c r="AB1038" s="13" t="n">
        <v>167</v>
      </c>
      <c r="AC1038" s="13" t="n">
        <v>167</v>
      </c>
      <c r="AD1038" s="13" t="n">
        <v>6</v>
      </c>
      <c r="AE1038" s="13" t="n">
        <v>10</v>
      </c>
      <c r="AF1038" s="13" t="n">
        <v>3.5</v>
      </c>
      <c r="AG1038" s="11" t="inlineStr">
        <is>
          <t xml:space="preserve"> Freeski</t>
        </is>
      </c>
      <c r="AH1038" s="11" t="inlineStr">
        <is>
          <t xml:space="preserve"> Touring</t>
        </is>
      </c>
      <c r="AI1038" s="13" t="n"/>
      <c r="AJ1038" s="13" t="n"/>
      <c r="AK1038" s="42" t="n"/>
    </row>
    <row r="1039">
      <c r="E1039" s="40" t="inlineStr">
        <is>
          <t>21/22</t>
        </is>
      </c>
      <c r="F1039" s="10" t="inlineStr">
        <is>
          <t xml:space="preserve"> Line</t>
        </is>
      </c>
      <c r="G1039" s="11" t="inlineStr">
        <is>
          <t xml:space="preserve"> Chronic</t>
        </is>
      </c>
      <c r="H1039" s="13" t="n">
        <v>178</v>
      </c>
      <c r="I1039" s="11" t="inlineStr">
        <is>
          <t xml:space="preserve"> Unisex</t>
        </is>
      </c>
      <c r="J1039" s="13" t="n">
        <v>178</v>
      </c>
      <c r="K1039" s="13" t="n">
        <v>178.7</v>
      </c>
      <c r="L1039" s="13" t="n">
        <v>143</v>
      </c>
      <c r="M1039" s="13" t="n">
        <v>145</v>
      </c>
      <c r="N1039" s="13" t="n">
        <v>128</v>
      </c>
      <c r="O1039" s="13" t="n">
        <v>94</v>
      </c>
      <c r="P1039" s="13" t="n">
        <v>119</v>
      </c>
      <c r="Q1039" s="13" t="n">
        <v>16.9</v>
      </c>
      <c r="R1039" s="13" t="n">
        <v>1852</v>
      </c>
      <c r="S1039" s="13" t="n">
        <v>1.02</v>
      </c>
      <c r="T1039" s="13" t="n">
        <v>1884</v>
      </c>
      <c r="U1039" s="13" t="n">
        <v>156</v>
      </c>
      <c r="V1039" s="13" t="n">
        <v>85</v>
      </c>
      <c r="W1039" s="13" t="n">
        <v>38</v>
      </c>
      <c r="X1039" s="13" t="n">
        <v>179</v>
      </c>
      <c r="Y1039" s="13" t="n">
        <v>37</v>
      </c>
      <c r="Z1039" s="13" t="n">
        <v>179</v>
      </c>
      <c r="AA1039" s="13" t="n">
        <v>0.981</v>
      </c>
      <c r="AB1039" s="13" t="n">
        <v>167</v>
      </c>
      <c r="AC1039" s="13" t="n">
        <v>170</v>
      </c>
      <c r="AD1039" s="13" t="n">
        <v>12</v>
      </c>
      <c r="AE1039" s="13" t="n">
        <v>10</v>
      </c>
      <c r="AF1039" s="13" t="n">
        <v>4.8</v>
      </c>
      <c r="AG1039" s="11" t="inlineStr">
        <is>
          <t xml:space="preserve"> Freeski</t>
        </is>
      </c>
      <c r="AH1039" s="13" t="n"/>
      <c r="AI1039" s="13" t="n"/>
      <c r="AJ1039" s="13" t="n"/>
      <c r="AK1039" s="42" t="n"/>
    </row>
    <row r="1040">
      <c r="E1040" s="40" t="inlineStr">
        <is>
          <t>21/22</t>
        </is>
      </c>
      <c r="F1040" s="10" t="inlineStr">
        <is>
          <t xml:space="preserve"> Line</t>
        </is>
      </c>
      <c r="G1040" s="11" t="inlineStr">
        <is>
          <t xml:space="preserve"> Chronic</t>
        </is>
      </c>
      <c r="H1040" s="13" t="n">
        <v>185</v>
      </c>
      <c r="I1040" s="11" t="inlineStr">
        <is>
          <t xml:space="preserve"> Unisex</t>
        </is>
      </c>
      <c r="J1040" s="13" t="n">
        <v>185</v>
      </c>
      <c r="K1040" s="13" t="n">
        <v>185.3</v>
      </c>
      <c r="L1040" s="13" t="n">
        <v>148</v>
      </c>
      <c r="M1040" s="13" t="n">
        <v>151</v>
      </c>
      <c r="N1040" s="13" t="n">
        <v>128</v>
      </c>
      <c r="O1040" s="13" t="n">
        <v>94</v>
      </c>
      <c r="P1040" s="13" t="n">
        <v>119</v>
      </c>
      <c r="Q1040" s="13" t="n">
        <v>18.6</v>
      </c>
      <c r="R1040" s="13" t="n">
        <v>1982</v>
      </c>
      <c r="S1040" s="13" t="n">
        <v>0.99</v>
      </c>
      <c r="T1040" s="13" t="n">
        <v>1954</v>
      </c>
      <c r="U1040" s="13" t="n">
        <v>179</v>
      </c>
      <c r="V1040" s="13" t="n">
        <v>107</v>
      </c>
      <c r="W1040" s="13" t="n">
        <v>37</v>
      </c>
      <c r="X1040" s="13" t="n">
        <v>178</v>
      </c>
      <c r="Y1040" s="13" t="n">
        <v>38</v>
      </c>
      <c r="Z1040" s="13" t="n">
        <v>198</v>
      </c>
      <c r="AA1040" s="13" t="n">
        <v>1.026</v>
      </c>
      <c r="AB1040" s="13" t="n">
        <v>164</v>
      </c>
      <c r="AC1040" s="13" t="n">
        <v>176</v>
      </c>
      <c r="AD1040" s="13" t="n">
        <v>14</v>
      </c>
      <c r="AE1040" s="13" t="n">
        <v>10</v>
      </c>
      <c r="AF1040" s="13" t="n">
        <v>5.2</v>
      </c>
      <c r="AG1040" s="11" t="inlineStr">
        <is>
          <t xml:space="preserve"> Freeski</t>
        </is>
      </c>
      <c r="AH1040" s="13" t="n"/>
      <c r="AI1040" s="13" t="n"/>
      <c r="AJ1040" s="13" t="n"/>
      <c r="AK1040" s="42" t="n"/>
    </row>
    <row r="1041">
      <c r="E1041" s="40" t="inlineStr">
        <is>
          <t>21/22</t>
        </is>
      </c>
      <c r="F1041" s="10" t="inlineStr">
        <is>
          <t xml:space="preserve"> Line</t>
        </is>
      </c>
      <c r="G1041" s="11" t="inlineStr">
        <is>
          <t xml:space="preserve"> Honey Badger</t>
        </is>
      </c>
      <c r="H1041" s="13" t="n">
        <v>155</v>
      </c>
      <c r="I1041" s="11" t="inlineStr">
        <is>
          <t xml:space="preserve"> Unisex</t>
        </is>
      </c>
      <c r="J1041" s="13" t="n">
        <v>155</v>
      </c>
      <c r="K1041" s="13" t="n">
        <v>153.8</v>
      </c>
      <c r="L1041" s="13" t="n">
        <v>92</v>
      </c>
      <c r="M1041" s="13" t="n">
        <v>129</v>
      </c>
      <c r="N1041" s="13" t="n">
        <v>120</v>
      </c>
      <c r="O1041" s="13" t="n">
        <v>91</v>
      </c>
      <c r="P1041" s="13" t="n">
        <v>117</v>
      </c>
      <c r="Q1041" s="13" t="n">
        <v>14.5</v>
      </c>
      <c r="R1041" s="13" t="n">
        <v>1516</v>
      </c>
      <c r="S1041" s="13" t="n">
        <v>1.03</v>
      </c>
      <c r="T1041" s="13" t="n">
        <v>1555</v>
      </c>
      <c r="U1041" s="13" t="n">
        <v>143</v>
      </c>
      <c r="V1041" s="13" t="n">
        <v>59</v>
      </c>
      <c r="W1041" s="13" t="n">
        <v>48</v>
      </c>
      <c r="X1041" s="13" t="n">
        <v>281</v>
      </c>
      <c r="Y1041" s="13" t="n">
        <v>47</v>
      </c>
      <c r="Z1041" s="13" t="n">
        <v>342</v>
      </c>
      <c r="AA1041" s="13" t="n">
        <v>0.972</v>
      </c>
      <c r="AB1041" s="13" t="n">
        <v>128</v>
      </c>
      <c r="AC1041" s="13" t="n">
        <v>117</v>
      </c>
      <c r="AD1041" s="13" t="n">
        <v>153</v>
      </c>
      <c r="AE1041" s="13" t="n">
        <v>3</v>
      </c>
      <c r="AF1041" s="13" t="n">
        <v>3.6</v>
      </c>
      <c r="AG1041" s="11" t="inlineStr">
        <is>
          <t xml:space="preserve"> Freeski</t>
        </is>
      </c>
      <c r="AH1041" s="13" t="n"/>
      <c r="AI1041" s="13" t="n"/>
      <c r="AJ1041" s="13" t="n"/>
      <c r="AK1041" s="42" t="n"/>
    </row>
    <row r="1042">
      <c r="E1042" s="40" t="inlineStr">
        <is>
          <t>21/22</t>
        </is>
      </c>
      <c r="F1042" s="10" t="inlineStr">
        <is>
          <t xml:space="preserve"> Line</t>
        </is>
      </c>
      <c r="G1042" s="11" t="inlineStr">
        <is>
          <t xml:space="preserve"> Honey Badger</t>
        </is>
      </c>
      <c r="H1042" s="13" t="n">
        <v>166</v>
      </c>
      <c r="I1042" s="11" t="inlineStr">
        <is>
          <t xml:space="preserve"> Unisex</t>
        </is>
      </c>
      <c r="J1042" s="13" t="n">
        <v>166</v>
      </c>
      <c r="K1042" s="13" t="n">
        <v>165.4</v>
      </c>
      <c r="L1042" s="13" t="n">
        <v>129</v>
      </c>
      <c r="M1042" s="13" t="n">
        <v>140</v>
      </c>
      <c r="N1042" s="13" t="n">
        <v>120</v>
      </c>
      <c r="O1042" s="13" t="n">
        <v>91</v>
      </c>
      <c r="P1042" s="13" t="n">
        <v>117</v>
      </c>
      <c r="Q1042" s="13" t="n">
        <v>17.3</v>
      </c>
      <c r="R1042" s="13" t="n">
        <v>1523</v>
      </c>
      <c r="S1042" s="13" t="n">
        <v>1.09</v>
      </c>
      <c r="T1042" s="13" t="n">
        <v>1667</v>
      </c>
      <c r="U1042" s="13" t="n">
        <v>134</v>
      </c>
      <c r="V1042" s="13" t="n">
        <v>51</v>
      </c>
      <c r="W1042" s="13" t="n">
        <v>41</v>
      </c>
      <c r="X1042" s="13" t="n">
        <v>185</v>
      </c>
      <c r="Y1042" s="13" t="n">
        <v>42</v>
      </c>
      <c r="Z1042" s="13" t="n">
        <v>180</v>
      </c>
      <c r="AA1042" s="13" t="n">
        <v>1.011</v>
      </c>
      <c r="AB1042" s="13" t="n">
        <v>129</v>
      </c>
      <c r="AC1042" s="13" t="n">
        <v>124</v>
      </c>
      <c r="AD1042" s="13" t="n">
        <v>56</v>
      </c>
      <c r="AE1042" s="13" t="n">
        <v>4</v>
      </c>
      <c r="AF1042" s="13" t="n">
        <v>3.3</v>
      </c>
      <c r="AG1042" s="11" t="inlineStr">
        <is>
          <t xml:space="preserve"> Freeski</t>
        </is>
      </c>
      <c r="AH1042" s="11" t="inlineStr">
        <is>
          <t xml:space="preserve"> Touring</t>
        </is>
      </c>
      <c r="AI1042" s="13" t="n"/>
      <c r="AJ1042" s="13" t="n"/>
      <c r="AK1042" s="42" t="n"/>
    </row>
    <row r="1043">
      <c r="E1043" s="40" t="inlineStr">
        <is>
          <t>21/22</t>
        </is>
      </c>
      <c r="F1043" s="10" t="inlineStr">
        <is>
          <t xml:space="preserve"> Line</t>
        </is>
      </c>
      <c r="G1043" s="11" t="inlineStr">
        <is>
          <t xml:space="preserve"> Honey Badger</t>
        </is>
      </c>
      <c r="H1043" s="13" t="n">
        <v>172</v>
      </c>
      <c r="I1043" s="11" t="inlineStr">
        <is>
          <t xml:space="preserve"> Unisex</t>
        </is>
      </c>
      <c r="J1043" s="13" t="n">
        <v>172</v>
      </c>
      <c r="K1043" s="13" t="n">
        <v>171.4</v>
      </c>
      <c r="L1043" s="13" t="n">
        <v>133</v>
      </c>
      <c r="M1043" s="13" t="n">
        <v>147</v>
      </c>
      <c r="N1043" s="13" t="n">
        <v>120</v>
      </c>
      <c r="O1043" s="13" t="n">
        <v>91</v>
      </c>
      <c r="P1043" s="13" t="n">
        <v>117</v>
      </c>
      <c r="Q1043" s="13" t="n">
        <v>18.9</v>
      </c>
      <c r="R1043" s="13" t="n">
        <v>1661</v>
      </c>
      <c r="S1043" s="13" t="n">
        <v>1.04</v>
      </c>
      <c r="T1043" s="13" t="n">
        <v>1728</v>
      </c>
      <c r="U1043" s="13" t="n">
        <v>141</v>
      </c>
      <c r="V1043" s="13" t="n">
        <v>63</v>
      </c>
      <c r="W1043" s="13" t="n">
        <v>46</v>
      </c>
      <c r="X1043" s="13" t="n">
        <v>199</v>
      </c>
      <c r="Y1043" s="13" t="n">
        <v>40</v>
      </c>
      <c r="Z1043" s="13" t="n">
        <v>190</v>
      </c>
      <c r="AA1043" s="13" t="n">
        <v>0.885</v>
      </c>
      <c r="AB1043" s="13" t="n">
        <v>123</v>
      </c>
      <c r="AC1043" s="13" t="n">
        <v>126</v>
      </c>
      <c r="AD1043" s="13" t="n">
        <v>76</v>
      </c>
      <c r="AE1043" s="13" t="n">
        <v>7</v>
      </c>
      <c r="AF1043" s="13" t="n">
        <v>3.4</v>
      </c>
      <c r="AG1043" s="11" t="inlineStr">
        <is>
          <t xml:space="preserve"> Freeski</t>
        </is>
      </c>
      <c r="AH1043" s="13" t="n"/>
      <c r="AI1043" s="13" t="n"/>
      <c r="AJ1043" s="13" t="n"/>
      <c r="AK1043" s="42" t="n"/>
    </row>
    <row r="1044">
      <c r="E1044" s="40" t="inlineStr">
        <is>
          <t>21/22</t>
        </is>
      </c>
      <c r="F1044" s="10" t="inlineStr">
        <is>
          <t xml:space="preserve"> Line</t>
        </is>
      </c>
      <c r="G1044" s="11" t="inlineStr">
        <is>
          <t xml:space="preserve"> Honey Badger</t>
        </is>
      </c>
      <c r="H1044" s="13" t="n">
        <v>177</v>
      </c>
      <c r="I1044" s="11" t="inlineStr">
        <is>
          <t xml:space="preserve"> Unisex</t>
        </is>
      </c>
      <c r="J1044" s="13" t="n">
        <v>177</v>
      </c>
      <c r="K1044" s="13" t="n">
        <v>176.2</v>
      </c>
      <c r="L1044" s="13" t="n">
        <v>136</v>
      </c>
      <c r="M1044" s="13" t="n">
        <v>152</v>
      </c>
      <c r="N1044" s="13" t="n">
        <v>120</v>
      </c>
      <c r="O1044" s="13" t="n">
        <v>91</v>
      </c>
      <c r="P1044" s="13" t="n">
        <v>117</v>
      </c>
      <c r="Q1044" s="13" t="n">
        <v>20.4</v>
      </c>
      <c r="R1044" s="13" t="n">
        <v>1704</v>
      </c>
      <c r="S1044" s="13" t="n">
        <v>1.05</v>
      </c>
      <c r="T1044" s="13" t="n">
        <v>1784</v>
      </c>
      <c r="U1044" s="13" t="n">
        <v>164</v>
      </c>
      <c r="V1044" s="13" t="n">
        <v>71</v>
      </c>
      <c r="W1044" s="13" t="n">
        <v>44</v>
      </c>
      <c r="X1044" s="13" t="n">
        <v>195</v>
      </c>
      <c r="Y1044" s="13" t="n">
        <v>44</v>
      </c>
      <c r="Z1044" s="13" t="n">
        <v>210</v>
      </c>
      <c r="AA1044" s="13" t="n">
        <v>0.986</v>
      </c>
      <c r="AB1044" s="13" t="n">
        <v>120</v>
      </c>
      <c r="AC1044" s="13" t="n">
        <v>122</v>
      </c>
      <c r="AD1044" s="13" t="n">
        <v>75</v>
      </c>
      <c r="AE1044" s="13" t="n">
        <v>5</v>
      </c>
      <c r="AF1044" s="13" t="n">
        <v>3.3</v>
      </c>
      <c r="AG1044" s="11" t="inlineStr">
        <is>
          <t xml:space="preserve"> Freeski</t>
        </is>
      </c>
      <c r="AH1044" s="13" t="n"/>
      <c r="AI1044" s="13" t="n"/>
      <c r="AJ1044" s="13" t="n"/>
      <c r="AK1044" s="42" t="n"/>
    </row>
    <row r="1045">
      <c r="E1045" s="40" t="inlineStr">
        <is>
          <t>21/22</t>
        </is>
      </c>
      <c r="F1045" s="10" t="inlineStr">
        <is>
          <t xml:space="preserve"> Line</t>
        </is>
      </c>
      <c r="G1045" s="11" t="inlineStr">
        <is>
          <t xml:space="preserve"> Honey Bee</t>
        </is>
      </c>
      <c r="H1045" s="13" t="n">
        <v>144</v>
      </c>
      <c r="I1045" s="11" t="inlineStr">
        <is>
          <t xml:space="preserve"> Women's</t>
        </is>
      </c>
      <c r="J1045" s="13" t="n">
        <v>144</v>
      </c>
      <c r="K1045" s="13" t="n">
        <v>143.2</v>
      </c>
      <c r="L1045" s="13" t="n">
        <v>100</v>
      </c>
      <c r="M1045" s="13" t="n">
        <v>119</v>
      </c>
      <c r="N1045" s="13" t="n">
        <v>120</v>
      </c>
      <c r="O1045" s="13" t="n">
        <v>91</v>
      </c>
      <c r="P1045" s="13" t="n">
        <v>117</v>
      </c>
      <c r="Q1045" s="13" t="n">
        <v>12</v>
      </c>
      <c r="R1045" s="13" t="n">
        <v>1344</v>
      </c>
      <c r="S1045" s="13" t="n">
        <v>1.08</v>
      </c>
      <c r="T1045" s="13" t="n">
        <v>1448</v>
      </c>
      <c r="U1045" s="13" t="n">
        <v>139</v>
      </c>
      <c r="V1045" s="13" t="n">
        <v>56</v>
      </c>
      <c r="W1045" s="13" t="n">
        <v>46</v>
      </c>
      <c r="X1045" s="13" t="n">
        <v>220</v>
      </c>
      <c r="Y1045" s="13" t="n">
        <v>41</v>
      </c>
      <c r="Z1045" s="13" t="n">
        <v>212</v>
      </c>
      <c r="AA1045" s="13" t="n">
        <v>0.905</v>
      </c>
      <c r="AB1045" s="13" t="n">
        <v>124</v>
      </c>
      <c r="AC1045" s="13" t="n">
        <v>114</v>
      </c>
      <c r="AD1045" s="13" t="n">
        <v>96</v>
      </c>
      <c r="AE1045" s="13" t="n">
        <v>5</v>
      </c>
      <c r="AF1045" s="13" t="n">
        <v>3.5</v>
      </c>
      <c r="AG1045" s="11" t="inlineStr">
        <is>
          <t xml:space="preserve"> Freeski</t>
        </is>
      </c>
      <c r="AH1045" s="11" t="inlineStr">
        <is>
          <t xml:space="preserve"> Touring</t>
        </is>
      </c>
      <c r="AI1045" s="13" t="n"/>
      <c r="AJ1045" s="13" t="n"/>
      <c r="AK1045" s="42" t="n"/>
    </row>
    <row r="1046">
      <c r="E1046" s="40" t="inlineStr">
        <is>
          <t>21/22</t>
        </is>
      </c>
      <c r="F1046" s="10" t="inlineStr">
        <is>
          <t xml:space="preserve"> Line</t>
        </is>
      </c>
      <c r="G1046" s="11" t="inlineStr">
        <is>
          <t xml:space="preserve"> Honey Bee</t>
        </is>
      </c>
      <c r="H1046" s="13" t="n">
        <v>155</v>
      </c>
      <c r="I1046" s="11" t="inlineStr">
        <is>
          <t xml:space="preserve"> Women's</t>
        </is>
      </c>
      <c r="J1046" s="13" t="n">
        <v>155</v>
      </c>
      <c r="K1046" s="13" t="n">
        <v>154.4</v>
      </c>
      <c r="L1046" s="13" t="n">
        <v>118</v>
      </c>
      <c r="M1046" s="13" t="n">
        <v>130</v>
      </c>
      <c r="N1046" s="13" t="n">
        <v>120</v>
      </c>
      <c r="O1046" s="13" t="n">
        <v>91</v>
      </c>
      <c r="P1046" s="13" t="n">
        <v>117</v>
      </c>
      <c r="Q1046" s="13" t="n">
        <v>14.6</v>
      </c>
      <c r="R1046" s="13" t="n">
        <v>1416</v>
      </c>
      <c r="S1046" s="13" t="n">
        <v>1.1</v>
      </c>
      <c r="T1046" s="13" t="n">
        <v>1559</v>
      </c>
      <c r="U1046" s="13" t="n">
        <v>126</v>
      </c>
      <c r="V1046" s="13" t="n">
        <v>51</v>
      </c>
      <c r="W1046" s="13" t="n">
        <v>40</v>
      </c>
      <c r="X1046" s="13" t="n">
        <v>183</v>
      </c>
      <c r="Y1046" s="13" t="n">
        <v>40</v>
      </c>
      <c r="Z1046" s="13" t="n">
        <v>184</v>
      </c>
      <c r="AA1046" s="13" t="n">
        <v>0.992</v>
      </c>
      <c r="AB1046" s="13" t="n">
        <v>119</v>
      </c>
      <c r="AC1046" s="13" t="n">
        <v>123</v>
      </c>
      <c r="AD1046" s="13" t="n">
        <v>64</v>
      </c>
      <c r="AE1046" s="13" t="n">
        <v>6</v>
      </c>
      <c r="AF1046" s="13" t="n">
        <v>3.2</v>
      </c>
      <c r="AG1046" s="11" t="inlineStr">
        <is>
          <t xml:space="preserve"> Freeski</t>
        </is>
      </c>
      <c r="AH1046" s="11" t="inlineStr">
        <is>
          <t xml:space="preserve"> Touring</t>
        </is>
      </c>
      <c r="AI1046" s="13" t="n"/>
      <c r="AJ1046" s="13" t="n"/>
      <c r="AK1046" s="42" t="n"/>
    </row>
    <row r="1047">
      <c r="E1047" s="40" t="inlineStr">
        <is>
          <t>21/22</t>
        </is>
      </c>
      <c r="F1047" s="10" t="inlineStr">
        <is>
          <t xml:space="preserve"> Line</t>
        </is>
      </c>
      <c r="G1047" s="11" t="inlineStr">
        <is>
          <t xml:space="preserve"> Honey Bee</t>
        </is>
      </c>
      <c r="H1047" s="13" t="n">
        <v>166</v>
      </c>
      <c r="I1047" s="11" t="inlineStr">
        <is>
          <t xml:space="preserve"> Women's</t>
        </is>
      </c>
      <c r="J1047" s="13" t="n">
        <v>166</v>
      </c>
      <c r="K1047" s="13" t="n">
        <v>165.3</v>
      </c>
      <c r="L1047" s="13" t="n">
        <v>129</v>
      </c>
      <c r="M1047" s="13" t="n">
        <v>141</v>
      </c>
      <c r="N1047" s="13" t="n">
        <v>120</v>
      </c>
      <c r="O1047" s="13" t="n">
        <v>91</v>
      </c>
      <c r="P1047" s="13" t="n">
        <v>117</v>
      </c>
      <c r="Q1047" s="13" t="n">
        <v>17.3</v>
      </c>
      <c r="R1047" s="13" t="n">
        <v>1542</v>
      </c>
      <c r="S1047" s="13" t="n">
        <v>1.08</v>
      </c>
      <c r="T1047" s="13" t="n">
        <v>1668</v>
      </c>
      <c r="U1047" s="13" t="n">
        <v>116</v>
      </c>
      <c r="V1047" s="13" t="n">
        <v>53</v>
      </c>
      <c r="W1047" s="13" t="n">
        <v>42</v>
      </c>
      <c r="X1047" s="13" t="n">
        <v>178</v>
      </c>
      <c r="Y1047" s="13" t="n">
        <v>41</v>
      </c>
      <c r="Z1047" s="13" t="n">
        <v>183</v>
      </c>
      <c r="AA1047" s="13" t="n">
        <v>0.986</v>
      </c>
      <c r="AB1047" s="13" t="n">
        <v>125</v>
      </c>
      <c r="AC1047" s="13" t="n">
        <v>115</v>
      </c>
      <c r="AD1047" s="13" t="n">
        <v>53</v>
      </c>
      <c r="AE1047" s="13" t="n">
        <v>9</v>
      </c>
      <c r="AF1047" s="13" t="n">
        <v>3.5</v>
      </c>
      <c r="AG1047" s="11" t="inlineStr">
        <is>
          <t xml:space="preserve"> Freeski</t>
        </is>
      </c>
      <c r="AH1047" s="11" t="inlineStr">
        <is>
          <t xml:space="preserve"> Touring</t>
        </is>
      </c>
      <c r="AI1047" s="13" t="n"/>
      <c r="AJ1047" s="13" t="n"/>
      <c r="AK1047" s="42" t="n"/>
    </row>
    <row r="1048">
      <c r="E1048" s="40" t="inlineStr">
        <is>
          <t>21/22</t>
        </is>
      </c>
      <c r="F1048" s="10" t="inlineStr">
        <is>
          <t xml:space="preserve"> Line</t>
        </is>
      </c>
      <c r="G1048" s="11" t="inlineStr">
        <is>
          <t xml:space="preserve"> Outline</t>
        </is>
      </c>
      <c r="H1048" s="13" t="n">
        <v>178</v>
      </c>
      <c r="I1048" s="11" t="inlineStr">
        <is>
          <t xml:space="preserve"> Unisex</t>
        </is>
      </c>
      <c r="J1048" s="13" t="n">
        <v>178</v>
      </c>
      <c r="K1048" s="13" t="n">
        <v>176.2</v>
      </c>
      <c r="L1048" s="13" t="n">
        <v>94</v>
      </c>
      <c r="M1048" s="13" t="n">
        <v>142</v>
      </c>
      <c r="N1048" s="13" t="n">
        <v>151</v>
      </c>
      <c r="O1048" s="13" t="n">
        <v>116</v>
      </c>
      <c r="P1048" s="13" t="n">
        <v>139</v>
      </c>
      <c r="Q1048" s="13" t="n">
        <v>17.4</v>
      </c>
      <c r="R1048" s="13" t="n">
        <v>1842</v>
      </c>
      <c r="S1048" s="13" t="n">
        <v>1.18</v>
      </c>
      <c r="T1048" s="13" t="n">
        <v>2179</v>
      </c>
      <c r="U1048" s="13" t="n">
        <v>145</v>
      </c>
      <c r="V1048" s="13" t="n">
        <v>83</v>
      </c>
      <c r="W1048" s="13" t="n">
        <v>70</v>
      </c>
      <c r="X1048" s="13" t="n">
        <v>413</v>
      </c>
      <c r="Y1048" s="13" t="n">
        <v>64</v>
      </c>
      <c r="Z1048" s="13" t="n">
        <v>407</v>
      </c>
      <c r="AA1048" s="13" t="n">
        <v>0.921</v>
      </c>
      <c r="AB1048" s="13" t="n">
        <v>164</v>
      </c>
      <c r="AC1048" s="13" t="n">
        <v>176</v>
      </c>
      <c r="AD1048" s="13" t="n">
        <v>249</v>
      </c>
      <c r="AE1048" s="13" t="n">
        <v>4</v>
      </c>
      <c r="AF1048" s="13" t="n">
        <v>4.4</v>
      </c>
      <c r="AG1048" s="11" t="inlineStr">
        <is>
          <t xml:space="preserve"> Freeski</t>
        </is>
      </c>
      <c r="AH1048" s="11" t="inlineStr">
        <is>
          <t xml:space="preserve"> Powder</t>
        </is>
      </c>
      <c r="AI1048" s="11" t="inlineStr">
        <is>
          <t xml:space="preserve"> Touring</t>
        </is>
      </c>
      <c r="AJ1048" s="13" t="n"/>
      <c r="AK1048" s="42" t="n"/>
    </row>
    <row r="1049">
      <c r="E1049" s="40" t="inlineStr">
        <is>
          <t>21/22</t>
        </is>
      </c>
      <c r="F1049" s="10" t="inlineStr">
        <is>
          <t xml:space="preserve"> Line</t>
        </is>
      </c>
      <c r="G1049" s="11" t="inlineStr">
        <is>
          <t xml:space="preserve"> Outline</t>
        </is>
      </c>
      <c r="H1049" s="13" t="n">
        <v>186</v>
      </c>
      <c r="I1049" s="11" t="inlineStr">
        <is>
          <t xml:space="preserve"> Unisex</t>
        </is>
      </c>
      <c r="J1049" s="13" t="n">
        <v>186</v>
      </c>
      <c r="K1049" s="13" t="n">
        <v>184.1</v>
      </c>
      <c r="L1049" s="13" t="n">
        <v>104</v>
      </c>
      <c r="M1049" s="13" t="n">
        <v>152</v>
      </c>
      <c r="N1049" s="13" t="n">
        <v>151</v>
      </c>
      <c r="O1049" s="13" t="n">
        <v>116</v>
      </c>
      <c r="P1049" s="13" t="n">
        <v>140</v>
      </c>
      <c r="Q1049" s="13" t="n">
        <v>19.4</v>
      </c>
      <c r="R1049" s="13" t="n">
        <v>2017</v>
      </c>
      <c r="S1049" s="13" t="n">
        <v>1.14</v>
      </c>
      <c r="T1049" s="13" t="n">
        <v>2292</v>
      </c>
      <c r="U1049" s="13" t="n">
        <v>182</v>
      </c>
      <c r="V1049" s="13" t="n">
        <v>82</v>
      </c>
      <c r="W1049" s="13" t="n">
        <v>57</v>
      </c>
      <c r="X1049" s="13" t="n">
        <v>400</v>
      </c>
      <c r="Y1049" s="13" t="n">
        <v>55</v>
      </c>
      <c r="Z1049" s="13" t="n">
        <v>400</v>
      </c>
      <c r="AA1049" s="13" t="n">
        <v>0.967</v>
      </c>
      <c r="AB1049" s="13" t="n">
        <v>170</v>
      </c>
      <c r="AC1049" s="13" t="n">
        <v>152</v>
      </c>
      <c r="AD1049" s="13" t="n">
        <v>229</v>
      </c>
      <c r="AE1049" s="13" t="n">
        <v>5</v>
      </c>
      <c r="AF1049" s="13" t="n">
        <v>4.6</v>
      </c>
      <c r="AG1049" s="11" t="inlineStr">
        <is>
          <t xml:space="preserve"> Freeski</t>
        </is>
      </c>
      <c r="AH1049" s="11" t="inlineStr">
        <is>
          <t xml:space="preserve"> Powder</t>
        </is>
      </c>
      <c r="AI1049" s="11" t="inlineStr">
        <is>
          <t xml:space="preserve"> Touring</t>
        </is>
      </c>
      <c r="AJ1049" s="13" t="n"/>
      <c r="AK1049" s="42" t="n"/>
    </row>
    <row r="1050">
      <c r="E1050" s="40" t="inlineStr">
        <is>
          <t>21/22</t>
        </is>
      </c>
      <c r="F1050" s="10" t="inlineStr">
        <is>
          <t xml:space="preserve"> Line</t>
        </is>
      </c>
      <c r="G1050" s="11" t="inlineStr">
        <is>
          <t>Pandora 104</t>
        </is>
      </c>
      <c r="H1050" s="13" t="n">
        <v>158</v>
      </c>
      <c r="I1050" s="11" t="inlineStr">
        <is>
          <t xml:space="preserve"> Women's</t>
        </is>
      </c>
      <c r="J1050" s="13" t="n">
        <v>158</v>
      </c>
      <c r="K1050" s="13" t="n">
        <v>158.2</v>
      </c>
      <c r="L1050" s="13" t="n">
        <v>112</v>
      </c>
      <c r="M1050" s="13" t="n">
        <v>122</v>
      </c>
      <c r="N1050" s="13" t="n">
        <v>136</v>
      </c>
      <c r="O1050" s="13" t="n">
        <v>103</v>
      </c>
      <c r="P1050" s="13" t="n">
        <v>121</v>
      </c>
      <c r="Q1050" s="13" t="n">
        <v>13.5</v>
      </c>
      <c r="R1050" s="13" t="n">
        <v>1478</v>
      </c>
      <c r="S1050" s="13" t="n">
        <v>1.21</v>
      </c>
      <c r="T1050" s="13" t="n">
        <v>1792</v>
      </c>
      <c r="U1050" s="13" t="n">
        <v>122</v>
      </c>
      <c r="V1050" s="13" t="n">
        <v>69</v>
      </c>
      <c r="W1050" s="13" t="n">
        <v>46</v>
      </c>
      <c r="X1050" s="13" t="n">
        <v>295</v>
      </c>
      <c r="Y1050" s="13" t="n">
        <v>14</v>
      </c>
      <c r="Z1050" s="13" t="n">
        <v>164</v>
      </c>
      <c r="AA1050" s="13" t="n">
        <v>0.305</v>
      </c>
      <c r="AB1050" s="13" t="n">
        <v>185</v>
      </c>
      <c r="AC1050" s="13" t="n">
        <v>181</v>
      </c>
      <c r="AD1050" s="13" t="n">
        <v>109</v>
      </c>
      <c r="AE1050" s="13" t="n">
        <v>6</v>
      </c>
      <c r="AF1050" s="13" t="n">
        <v>9.6</v>
      </c>
      <c r="AG1050" s="11" t="inlineStr">
        <is>
          <t xml:space="preserve"> Resort Freeride</t>
        </is>
      </c>
      <c r="AH1050" s="11" t="inlineStr">
        <is>
          <t xml:space="preserve"> Big Mountain</t>
        </is>
      </c>
      <c r="AI1050" s="11" t="inlineStr">
        <is>
          <t xml:space="preserve"> Touring</t>
        </is>
      </c>
      <c r="AJ1050" s="13" t="n"/>
      <c r="AK1050" s="42" t="n"/>
    </row>
    <row r="1051">
      <c r="E1051" s="40" t="inlineStr">
        <is>
          <t>21/22</t>
        </is>
      </c>
      <c r="F1051" s="10" t="inlineStr">
        <is>
          <t xml:space="preserve"> Line</t>
        </is>
      </c>
      <c r="G1051" s="11" t="inlineStr">
        <is>
          <t>Pandora 104</t>
        </is>
      </c>
      <c r="H1051" s="13" t="n">
        <v>165</v>
      </c>
      <c r="I1051" s="11" t="inlineStr">
        <is>
          <t xml:space="preserve"> Women's</t>
        </is>
      </c>
      <c r="J1051" s="13" t="n">
        <v>165</v>
      </c>
      <c r="K1051" s="13" t="n">
        <v>160</v>
      </c>
      <c r="L1051" s="13" t="n">
        <v>98</v>
      </c>
      <c r="M1051" s="13" t="n">
        <v>126</v>
      </c>
      <c r="N1051" s="13" t="n">
        <v>143</v>
      </c>
      <c r="O1051" s="13" t="n">
        <v>109</v>
      </c>
      <c r="P1051" s="13" t="n">
        <v>129</v>
      </c>
      <c r="Q1051" s="13" t="n">
        <v>14</v>
      </c>
      <c r="R1051" s="13" t="n">
        <v>1557</v>
      </c>
      <c r="S1051" s="13" t="n">
        <v>1.22</v>
      </c>
      <c r="T1051" s="13" t="n">
        <v>1902</v>
      </c>
      <c r="U1051" s="13" t="n">
        <v>131</v>
      </c>
      <c r="V1051" s="13" t="n">
        <v>52</v>
      </c>
      <c r="W1051" s="13" t="n">
        <v>47</v>
      </c>
      <c r="X1051" s="13" t="n">
        <v>332</v>
      </c>
      <c r="Y1051" s="13" t="n">
        <v>27</v>
      </c>
      <c r="Z1051" s="13" t="n">
        <v>290</v>
      </c>
      <c r="AA1051" s="13" t="n">
        <v>0.579</v>
      </c>
      <c r="AB1051" s="13" t="n">
        <v>169</v>
      </c>
      <c r="AC1051" s="13" t="n">
        <v>168</v>
      </c>
      <c r="AD1051" s="13" t="n">
        <v>163</v>
      </c>
      <c r="AE1051" s="13" t="n">
        <v>5</v>
      </c>
      <c r="AF1051" s="13" t="n">
        <v>6.3</v>
      </c>
      <c r="AG1051" s="11" t="inlineStr">
        <is>
          <t xml:space="preserve"> Powder</t>
        </is>
      </c>
      <c r="AH1051" s="11" t="inlineStr">
        <is>
          <t xml:space="preserve"> Touring</t>
        </is>
      </c>
      <c r="AI1051" s="13" t="n"/>
      <c r="AJ1051" s="13" t="n"/>
      <c r="AK1051" s="42" t="n"/>
    </row>
    <row r="1052">
      <c r="E1052" s="40" t="inlineStr">
        <is>
          <t>21/22</t>
        </is>
      </c>
      <c r="F1052" s="10" t="inlineStr">
        <is>
          <t xml:space="preserve"> Line</t>
        </is>
      </c>
      <c r="G1052" s="11" t="inlineStr">
        <is>
          <t>Pandora 104</t>
        </is>
      </c>
      <c r="H1052" s="13" t="n">
        <v>172</v>
      </c>
      <c r="I1052" s="11" t="inlineStr">
        <is>
          <t xml:space="preserve"> Women's</t>
        </is>
      </c>
      <c r="J1052" s="13" t="n">
        <v>172</v>
      </c>
      <c r="K1052" s="13" t="n">
        <v>171.7</v>
      </c>
      <c r="L1052" s="13" t="n">
        <v>117</v>
      </c>
      <c r="M1052" s="13" t="n">
        <v>134</v>
      </c>
      <c r="N1052" s="13" t="n">
        <v>136</v>
      </c>
      <c r="O1052" s="13" t="n">
        <v>103</v>
      </c>
      <c r="P1052" s="13" t="n">
        <v>121</v>
      </c>
      <c r="Q1052" s="13" t="n">
        <v>16.4</v>
      </c>
      <c r="R1052" s="13" t="n">
        <v>1624</v>
      </c>
      <c r="S1052" s="13" t="n">
        <v>1.2</v>
      </c>
      <c r="T1052" s="13" t="n">
        <v>1947</v>
      </c>
      <c r="U1052" s="13" t="n">
        <v>150</v>
      </c>
      <c r="V1052" s="13" t="n">
        <v>78</v>
      </c>
      <c r="W1052" s="13" t="n">
        <v>53</v>
      </c>
      <c r="X1052" s="13" t="n">
        <v>342</v>
      </c>
      <c r="Y1052" s="13" t="n">
        <v>21</v>
      </c>
      <c r="Z1052" s="13" t="n">
        <v>208</v>
      </c>
      <c r="AA1052" s="13" t="n">
        <v>0.385</v>
      </c>
      <c r="AB1052" s="13" t="n">
        <v>184</v>
      </c>
      <c r="AC1052" s="13" t="n">
        <v>195</v>
      </c>
      <c r="AD1052" s="13" t="n">
        <v>158</v>
      </c>
      <c r="AE1052" s="13" t="n">
        <v>5</v>
      </c>
      <c r="AF1052" s="13" t="n">
        <v>9.9</v>
      </c>
      <c r="AG1052" s="11" t="inlineStr">
        <is>
          <t xml:space="preserve"> Resort Freeride</t>
        </is>
      </c>
      <c r="AH1052" s="11" t="inlineStr">
        <is>
          <t xml:space="preserve"> Powder</t>
        </is>
      </c>
      <c r="AI1052" s="11" t="inlineStr">
        <is>
          <t xml:space="preserve"> Big Mountain</t>
        </is>
      </c>
      <c r="AJ1052" s="11" t="inlineStr">
        <is>
          <t xml:space="preserve"> Touring</t>
        </is>
      </c>
      <c r="AK1052" s="42" t="n"/>
    </row>
    <row r="1053">
      <c r="E1053" s="40" t="inlineStr">
        <is>
          <t>21/22</t>
        </is>
      </c>
      <c r="F1053" s="10" t="inlineStr">
        <is>
          <t xml:space="preserve"> Line</t>
        </is>
      </c>
      <c r="G1053" s="11" t="inlineStr">
        <is>
          <t>Pandora 110</t>
        </is>
      </c>
      <c r="H1053" s="13" t="n">
        <v>165</v>
      </c>
      <c r="I1053" s="11" t="inlineStr">
        <is>
          <t xml:space="preserve"> Women's</t>
        </is>
      </c>
      <c r="J1053" s="13" t="n">
        <v>165</v>
      </c>
      <c r="K1053" s="13" t="n">
        <v>160</v>
      </c>
      <c r="L1053" s="13" t="n">
        <v>98</v>
      </c>
      <c r="M1053" s="13" t="n">
        <v>126</v>
      </c>
      <c r="N1053" s="13" t="n">
        <v>143</v>
      </c>
      <c r="O1053" s="13" t="n">
        <v>109</v>
      </c>
      <c r="P1053" s="13" t="n">
        <v>129</v>
      </c>
      <c r="Q1053" s="13" t="n">
        <v>14</v>
      </c>
      <c r="R1053" s="13" t="n">
        <v>1284</v>
      </c>
      <c r="S1053" s="13" t="n">
        <v>1.48</v>
      </c>
      <c r="T1053" s="13" t="n">
        <v>1902</v>
      </c>
      <c r="U1053" s="13" t="n">
        <v>131</v>
      </c>
      <c r="V1053" s="13" t="n">
        <v>52</v>
      </c>
      <c r="W1053" s="13" t="n">
        <v>47</v>
      </c>
      <c r="X1053" s="13" t="n">
        <v>332</v>
      </c>
      <c r="Y1053" s="13" t="n">
        <v>27</v>
      </c>
      <c r="Z1053" s="13" t="n">
        <v>290</v>
      </c>
      <c r="AA1053" s="13" t="n">
        <v>0.579</v>
      </c>
      <c r="AB1053" s="13" t="n">
        <v>169</v>
      </c>
      <c r="AC1053" s="13" t="n">
        <v>168</v>
      </c>
      <c r="AD1053" s="13" t="n">
        <v>163</v>
      </c>
      <c r="AE1053" s="13" t="n">
        <v>5</v>
      </c>
      <c r="AF1053" s="13" t="n">
        <v>6.3</v>
      </c>
      <c r="AG1053" s="11" t="inlineStr">
        <is>
          <t xml:space="preserve"> Powder</t>
        </is>
      </c>
      <c r="AH1053" s="11" t="inlineStr">
        <is>
          <t xml:space="preserve"> Touring</t>
        </is>
      </c>
      <c r="AI1053" s="11" t="inlineStr">
        <is>
          <t xml:space="preserve"> Ultralight Touring</t>
        </is>
      </c>
      <c r="AJ1053" s="13" t="n"/>
      <c r="AK1053" s="42" t="n"/>
    </row>
    <row r="1054">
      <c r="E1054" s="40" t="inlineStr">
        <is>
          <t>21/22</t>
        </is>
      </c>
      <c r="F1054" s="10" t="inlineStr">
        <is>
          <t xml:space="preserve"> Line</t>
        </is>
      </c>
      <c r="G1054" s="11" t="inlineStr">
        <is>
          <t>Pandora 110</t>
        </is>
      </c>
      <c r="H1054" s="13" t="n">
        <v>170</v>
      </c>
      <c r="I1054" s="11" t="inlineStr">
        <is>
          <t xml:space="preserve"> Women's</t>
        </is>
      </c>
      <c r="J1054" s="13" t="n">
        <v>170</v>
      </c>
      <c r="K1054" s="13" t="n">
        <v>169.7</v>
      </c>
      <c r="L1054" s="13" t="n">
        <v>108</v>
      </c>
      <c r="M1054" s="13" t="n">
        <v>137</v>
      </c>
      <c r="N1054" s="13" t="n">
        <v>143</v>
      </c>
      <c r="O1054" s="13" t="n">
        <v>109</v>
      </c>
      <c r="P1054" s="13" t="n">
        <v>129</v>
      </c>
      <c r="Q1054" s="13" t="n">
        <v>16.2</v>
      </c>
      <c r="R1054" s="13" t="n">
        <v>1410</v>
      </c>
      <c r="S1054" s="13" t="n">
        <v>1.43</v>
      </c>
      <c r="T1054" s="13" t="n">
        <v>2019</v>
      </c>
      <c r="U1054" s="13" t="n">
        <v>147</v>
      </c>
      <c r="V1054" s="13" t="n">
        <v>67</v>
      </c>
      <c r="W1054" s="13" t="n">
        <v>52</v>
      </c>
      <c r="X1054" s="13" t="n">
        <v>342</v>
      </c>
      <c r="Y1054" s="13" t="n">
        <v>33</v>
      </c>
      <c r="Z1054" s="13" t="n">
        <v>273</v>
      </c>
      <c r="AA1054" s="13" t="n">
        <v>0.63</v>
      </c>
      <c r="AB1054" s="13" t="n">
        <v>160</v>
      </c>
      <c r="AC1054" s="13" t="n">
        <v>167</v>
      </c>
      <c r="AD1054" s="13" t="n">
        <v>181</v>
      </c>
      <c r="AE1054" s="13" t="n">
        <v>6</v>
      </c>
      <c r="AF1054" s="13" t="n">
        <v>6.4</v>
      </c>
      <c r="AG1054" s="11" t="inlineStr">
        <is>
          <t xml:space="preserve"> Powder</t>
        </is>
      </c>
      <c r="AH1054" s="11" t="inlineStr">
        <is>
          <t xml:space="preserve"> Touring</t>
        </is>
      </c>
      <c r="AI1054" s="11" t="inlineStr">
        <is>
          <t xml:space="preserve"> Ultralight Touring</t>
        </is>
      </c>
      <c r="AJ1054" s="13" t="n"/>
      <c r="AK1054" s="42" t="n"/>
    </row>
    <row r="1055">
      <c r="E1055" s="40" t="inlineStr">
        <is>
          <t>21/22</t>
        </is>
      </c>
      <c r="F1055" s="10" t="inlineStr">
        <is>
          <t xml:space="preserve"> Line</t>
        </is>
      </c>
      <c r="G1055" s="11" t="inlineStr">
        <is>
          <t>Pandora 110</t>
        </is>
      </c>
      <c r="H1055" s="13" t="n">
        <v>178</v>
      </c>
      <c r="I1055" s="11" t="inlineStr">
        <is>
          <t xml:space="preserve"> Women's</t>
        </is>
      </c>
      <c r="J1055" s="13" t="n">
        <v>178</v>
      </c>
      <c r="K1055" s="13" t="n">
        <v>178.5</v>
      </c>
      <c r="L1055" s="13" t="n">
        <v>115</v>
      </c>
      <c r="M1055" s="13" t="n">
        <v>145</v>
      </c>
      <c r="N1055" s="13" t="n">
        <v>142</v>
      </c>
      <c r="O1055" s="13" t="n">
        <v>109</v>
      </c>
      <c r="P1055" s="13" t="n">
        <v>128</v>
      </c>
      <c r="Q1055" s="13" t="n">
        <v>18.3</v>
      </c>
      <c r="R1055" s="13" t="n">
        <v>1529</v>
      </c>
      <c r="S1055" s="13" t="n">
        <v>1.38</v>
      </c>
      <c r="T1055" s="13" t="n">
        <v>2115</v>
      </c>
      <c r="U1055" s="13" t="n">
        <v>167</v>
      </c>
      <c r="V1055" s="13" t="n">
        <v>81</v>
      </c>
      <c r="W1055" s="13" t="n">
        <v>54</v>
      </c>
      <c r="X1055" s="13" t="n">
        <v>353</v>
      </c>
      <c r="Y1055" s="13" t="n">
        <v>32</v>
      </c>
      <c r="Z1055" s="13" t="n">
        <v>285</v>
      </c>
      <c r="AA1055" s="13" t="n">
        <v>0.6</v>
      </c>
      <c r="AB1055" s="13" t="n">
        <v>162</v>
      </c>
      <c r="AC1055" s="13" t="n">
        <v>177</v>
      </c>
      <c r="AD1055" s="13" t="n">
        <v>191</v>
      </c>
      <c r="AE1055" s="13" t="n">
        <v>5</v>
      </c>
      <c r="AF1055" s="13" t="n">
        <v>5.5</v>
      </c>
      <c r="AG1055" s="11" t="inlineStr">
        <is>
          <t xml:space="preserve"> Powder</t>
        </is>
      </c>
      <c r="AH1055" s="11" t="inlineStr">
        <is>
          <t xml:space="preserve"> Touring</t>
        </is>
      </c>
      <c r="AI1055" s="11" t="inlineStr">
        <is>
          <t xml:space="preserve"> Ultralight Touring</t>
        </is>
      </c>
      <c r="AJ1055" s="13" t="n"/>
      <c r="AK1055" s="42" t="n"/>
    </row>
    <row r="1056">
      <c r="E1056" s="40" t="inlineStr">
        <is>
          <t>21/22</t>
        </is>
      </c>
      <c r="F1056" s="10" t="inlineStr">
        <is>
          <t xml:space="preserve"> Line</t>
        </is>
      </c>
      <c r="G1056" s="11" t="inlineStr">
        <is>
          <t>Pandora 84</t>
        </is>
      </c>
      <c r="H1056" s="13" t="n">
        <v>151</v>
      </c>
      <c r="I1056" s="11" t="inlineStr">
        <is>
          <t xml:space="preserve"> Women's</t>
        </is>
      </c>
      <c r="J1056" s="13" t="n">
        <v>151</v>
      </c>
      <c r="K1056" s="13" t="n">
        <v>150.5</v>
      </c>
      <c r="L1056" s="13" t="n">
        <v>119</v>
      </c>
      <c r="M1056" s="13" t="n">
        <v>127</v>
      </c>
      <c r="N1056" s="13" t="n">
        <v>121</v>
      </c>
      <c r="O1056" s="13" t="n">
        <v>83</v>
      </c>
      <c r="P1056" s="13" t="n">
        <v>109</v>
      </c>
      <c r="Q1056" s="13" t="n">
        <v>12.1</v>
      </c>
      <c r="R1056" s="13" t="n">
        <v>1252</v>
      </c>
      <c r="S1056" s="13" t="n">
        <v>1.15</v>
      </c>
      <c r="T1056" s="13" t="n">
        <v>1443</v>
      </c>
      <c r="U1056" s="13" t="n">
        <v>110</v>
      </c>
      <c r="V1056" s="13" t="n">
        <v>59</v>
      </c>
      <c r="W1056" s="13" t="n">
        <v>43</v>
      </c>
      <c r="X1056" s="13" t="n">
        <v>170</v>
      </c>
      <c r="Y1056" s="13" t="n">
        <v>19</v>
      </c>
      <c r="Z1056" s="13" t="n">
        <v>149</v>
      </c>
      <c r="AA1056" s="13" t="n">
        <v>0.433</v>
      </c>
      <c r="AB1056" s="13" t="n">
        <v>133</v>
      </c>
      <c r="AC1056" s="13" t="n">
        <v>104</v>
      </c>
      <c r="AD1056" s="13" t="n">
        <v>37</v>
      </c>
      <c r="AE1056" s="13" t="n">
        <v>8</v>
      </c>
      <c r="AF1056" s="13" t="n">
        <v>8.5</v>
      </c>
      <c r="AG1056" s="11" t="inlineStr">
        <is>
          <t xml:space="preserve"> On-Piste All-Mountain</t>
        </is>
      </c>
      <c r="AH1056" s="11" t="inlineStr">
        <is>
          <t xml:space="preserve"> Resort Freeride</t>
        </is>
      </c>
      <c r="AI1056" s="11" t="inlineStr">
        <is>
          <t xml:space="preserve"> Touring</t>
        </is>
      </c>
      <c r="AJ1056" s="13" t="n"/>
      <c r="AK1056" s="42" t="n"/>
    </row>
    <row r="1057">
      <c r="E1057" s="40" t="inlineStr">
        <is>
          <t>21/22</t>
        </is>
      </c>
      <c r="F1057" s="10" t="inlineStr">
        <is>
          <t xml:space="preserve"> Line</t>
        </is>
      </c>
      <c r="G1057" s="11" t="inlineStr">
        <is>
          <t>Pandora 84</t>
        </is>
      </c>
      <c r="H1057" s="13" t="n">
        <v>158</v>
      </c>
      <c r="I1057" s="11" t="inlineStr">
        <is>
          <t xml:space="preserve"> Women's</t>
        </is>
      </c>
      <c r="J1057" s="13" t="n">
        <v>158</v>
      </c>
      <c r="K1057" s="13" t="n">
        <v>157.6</v>
      </c>
      <c r="L1057" s="13" t="n">
        <v>128</v>
      </c>
      <c r="M1057" s="13" t="n">
        <v>135</v>
      </c>
      <c r="N1057" s="13" t="n">
        <v>121</v>
      </c>
      <c r="O1057" s="13" t="n">
        <v>83</v>
      </c>
      <c r="P1057" s="13" t="n">
        <v>109</v>
      </c>
      <c r="Q1057" s="13" t="n">
        <v>13.4</v>
      </c>
      <c r="R1057" s="13" t="n">
        <v>1343</v>
      </c>
      <c r="S1057" s="13" t="n">
        <v>1.12</v>
      </c>
      <c r="T1057" s="13" t="n">
        <v>1509</v>
      </c>
      <c r="U1057" s="13" t="n">
        <v>116</v>
      </c>
      <c r="V1057" s="13" t="n">
        <v>69</v>
      </c>
      <c r="W1057" s="13" t="n">
        <v>44</v>
      </c>
      <c r="X1057" s="13" t="n">
        <v>187</v>
      </c>
      <c r="Y1057" s="13" t="n">
        <v>16</v>
      </c>
      <c r="Z1057" s="13" t="n">
        <v>112</v>
      </c>
      <c r="AA1057" s="13" t="n">
        <v>0.358</v>
      </c>
      <c r="AB1057" s="13" t="n">
        <v>132</v>
      </c>
      <c r="AC1057" s="13" t="n">
        <v>96</v>
      </c>
      <c r="AD1057" s="13" t="n">
        <v>55</v>
      </c>
      <c r="AE1057" s="13" t="n">
        <v>6</v>
      </c>
      <c r="AF1057" s="13" t="n">
        <v>9.300000000000001</v>
      </c>
      <c r="AG1057" s="11" t="inlineStr">
        <is>
          <t xml:space="preserve"> On-Piste All-Mountain</t>
        </is>
      </c>
      <c r="AH1057" s="11" t="inlineStr">
        <is>
          <t xml:space="preserve"> Resort Freeride</t>
        </is>
      </c>
      <c r="AI1057" s="11" t="inlineStr">
        <is>
          <t xml:space="preserve"> Touring</t>
        </is>
      </c>
      <c r="AJ1057" s="13" t="n"/>
      <c r="AK1057" s="42" t="n"/>
    </row>
    <row r="1058">
      <c r="E1058" s="40" t="inlineStr">
        <is>
          <t>21/22</t>
        </is>
      </c>
      <c r="F1058" s="10" t="inlineStr">
        <is>
          <t xml:space="preserve"> Line</t>
        </is>
      </c>
      <c r="G1058" s="11" t="inlineStr">
        <is>
          <t>Pandora 84</t>
        </is>
      </c>
      <c r="H1058" s="13" t="n">
        <v>165</v>
      </c>
      <c r="I1058" s="11" t="inlineStr">
        <is>
          <t xml:space="preserve"> Women's</t>
        </is>
      </c>
      <c r="J1058" s="13" t="n">
        <v>165</v>
      </c>
      <c r="K1058" s="13" t="n">
        <v>164.6</v>
      </c>
      <c r="L1058" s="13" t="n">
        <v>130</v>
      </c>
      <c r="M1058" s="13" t="n">
        <v>139</v>
      </c>
      <c r="N1058" s="13" t="n">
        <v>121</v>
      </c>
      <c r="O1058" s="13" t="n">
        <v>83</v>
      </c>
      <c r="P1058" s="13" t="n">
        <v>109</v>
      </c>
      <c r="Q1058" s="13" t="n">
        <v>14.8</v>
      </c>
      <c r="R1058" s="13" t="n">
        <v>1404</v>
      </c>
      <c r="S1058" s="13" t="n">
        <v>1.12</v>
      </c>
      <c r="T1058" s="13" t="n">
        <v>1574</v>
      </c>
      <c r="U1058" s="13" t="n">
        <v>143</v>
      </c>
      <c r="V1058" s="13" t="n">
        <v>65</v>
      </c>
      <c r="W1058" s="13" t="n">
        <v>45</v>
      </c>
      <c r="X1058" s="13" t="n">
        <v>210</v>
      </c>
      <c r="Y1058" s="13" t="n">
        <v>19</v>
      </c>
      <c r="Z1058" s="13" t="n">
        <v>140</v>
      </c>
      <c r="AA1058" s="13" t="n">
        <v>0.423</v>
      </c>
      <c r="AB1058" s="13" t="n">
        <v>146</v>
      </c>
      <c r="AC1058" s="13" t="n">
        <v>108</v>
      </c>
      <c r="AD1058" s="13" t="n">
        <v>64</v>
      </c>
      <c r="AE1058" s="13" t="n">
        <v>7</v>
      </c>
      <c r="AF1058" s="13" t="n">
        <v>9.1</v>
      </c>
      <c r="AG1058" s="11" t="inlineStr">
        <is>
          <t xml:space="preserve"> On-Piste All-Mountain</t>
        </is>
      </c>
      <c r="AH1058" s="11" t="inlineStr">
        <is>
          <t xml:space="preserve"> Resort Freeride</t>
        </is>
      </c>
      <c r="AI1058" s="11" t="inlineStr">
        <is>
          <t xml:space="preserve"> Touring</t>
        </is>
      </c>
      <c r="AJ1058" s="13" t="n"/>
      <c r="AK1058" s="42" t="n"/>
    </row>
    <row r="1059">
      <c r="E1059" s="40" t="inlineStr">
        <is>
          <t>21/22</t>
        </is>
      </c>
      <c r="F1059" s="10" t="inlineStr">
        <is>
          <t xml:space="preserve"> Line</t>
        </is>
      </c>
      <c r="G1059" s="11" t="inlineStr">
        <is>
          <t>Pandora 94</t>
        </is>
      </c>
      <c r="H1059" s="13" t="n">
        <v>151</v>
      </c>
      <c r="I1059" s="11" t="inlineStr">
        <is>
          <t xml:space="preserve"> Women's</t>
        </is>
      </c>
      <c r="J1059" s="13" t="n">
        <v>151</v>
      </c>
      <c r="K1059" s="13" t="n">
        <v>151.1</v>
      </c>
      <c r="L1059" s="13" t="n">
        <v>111</v>
      </c>
      <c r="M1059" s="13" t="n">
        <v>125</v>
      </c>
      <c r="N1059" s="13" t="n">
        <v>130</v>
      </c>
      <c r="O1059" s="13" t="n">
        <v>93</v>
      </c>
      <c r="P1059" s="13" t="n">
        <v>116</v>
      </c>
      <c r="Q1059" s="13" t="n">
        <v>12.4</v>
      </c>
      <c r="R1059" s="13" t="n">
        <v>1354</v>
      </c>
      <c r="S1059" s="13" t="n">
        <v>1.17</v>
      </c>
      <c r="T1059" s="13" t="n">
        <v>1586</v>
      </c>
      <c r="U1059" s="13" t="n">
        <v>117</v>
      </c>
      <c r="V1059" s="13" t="n">
        <v>60</v>
      </c>
      <c r="W1059" s="13" t="n">
        <v>44</v>
      </c>
      <c r="X1059" s="13" t="n">
        <v>265</v>
      </c>
      <c r="Y1059" s="13" t="n">
        <v>17</v>
      </c>
      <c r="Z1059" s="13" t="n">
        <v>135</v>
      </c>
      <c r="AA1059" s="13" t="n">
        <v>0.388</v>
      </c>
      <c r="AB1059" s="13" t="n">
        <v>141</v>
      </c>
      <c r="AC1059" s="13" t="n">
        <v>117</v>
      </c>
      <c r="AD1059" s="13" t="n">
        <v>124</v>
      </c>
      <c r="AE1059" s="13" t="n">
        <v>7</v>
      </c>
      <c r="AF1059" s="13" t="n">
        <v>8.300000000000001</v>
      </c>
      <c r="AG1059" s="11" t="inlineStr">
        <is>
          <t xml:space="preserve"> Resort Freeride</t>
        </is>
      </c>
      <c r="AH1059" s="11" t="inlineStr">
        <is>
          <t xml:space="preserve"> Touring</t>
        </is>
      </c>
      <c r="AI1059" s="13" t="n"/>
      <c r="AJ1059" s="13" t="n"/>
      <c r="AK1059" s="42" t="n"/>
    </row>
    <row r="1060">
      <c r="E1060" s="40" t="inlineStr">
        <is>
          <t>21/22</t>
        </is>
      </c>
      <c r="F1060" s="10" t="inlineStr">
        <is>
          <t xml:space="preserve"> Line</t>
        </is>
      </c>
      <c r="G1060" s="11" t="inlineStr">
        <is>
          <t>Pandora 94</t>
        </is>
      </c>
      <c r="H1060" s="13" t="n">
        <v>158</v>
      </c>
      <c r="I1060" s="11" t="inlineStr">
        <is>
          <t xml:space="preserve"> Women's</t>
        </is>
      </c>
      <c r="J1060" s="13" t="n">
        <v>158</v>
      </c>
      <c r="K1060" s="13" t="n">
        <v>158.2</v>
      </c>
      <c r="L1060" s="13" t="n">
        <v>118</v>
      </c>
      <c r="M1060" s="13" t="n">
        <v>133</v>
      </c>
      <c r="N1060" s="13" t="n">
        <v>130</v>
      </c>
      <c r="O1060" s="13" t="n">
        <v>93</v>
      </c>
      <c r="P1060" s="13" t="n">
        <v>116</v>
      </c>
      <c r="Q1060" s="13" t="n">
        <v>13.4</v>
      </c>
      <c r="R1060" s="13" t="n">
        <v>1310</v>
      </c>
      <c r="S1060" s="13" t="n">
        <v>1.27</v>
      </c>
      <c r="T1060" s="13" t="n">
        <v>1663</v>
      </c>
      <c r="U1060" s="13" t="n">
        <v>122</v>
      </c>
      <c r="V1060" s="13" t="n">
        <v>57</v>
      </c>
      <c r="W1060" s="13" t="n">
        <v>38</v>
      </c>
      <c r="X1060" s="13" t="n">
        <v>278</v>
      </c>
      <c r="Y1060" s="13" t="n">
        <v>13</v>
      </c>
      <c r="Z1060" s="13" t="n">
        <v>119</v>
      </c>
      <c r="AA1060" s="13" t="n">
        <v>0.346</v>
      </c>
      <c r="AB1060" s="13" t="n">
        <v>135</v>
      </c>
      <c r="AC1060" s="13" t="n">
        <v>117</v>
      </c>
      <c r="AD1060" s="13" t="n">
        <v>143</v>
      </c>
      <c r="AE1060" s="13" t="n">
        <v>6</v>
      </c>
      <c r="AF1060" s="13" t="n">
        <v>9</v>
      </c>
      <c r="AG1060" s="11" t="inlineStr">
        <is>
          <t xml:space="preserve"> Resort Freeride</t>
        </is>
      </c>
      <c r="AH1060" s="11" t="inlineStr">
        <is>
          <t xml:space="preserve"> Touring</t>
        </is>
      </c>
      <c r="AI1060" s="11" t="inlineStr">
        <is>
          <t xml:space="preserve"> Ultralight Touring</t>
        </is>
      </c>
      <c r="AJ1060" s="13" t="n"/>
      <c r="AK1060" s="42" t="n"/>
    </row>
    <row r="1061">
      <c r="E1061" s="40" t="inlineStr">
        <is>
          <t>21/22</t>
        </is>
      </c>
      <c r="F1061" s="10" t="inlineStr">
        <is>
          <t xml:space="preserve"> Line</t>
        </is>
      </c>
      <c r="G1061" s="11" t="inlineStr">
        <is>
          <t>Pandora 94</t>
        </is>
      </c>
      <c r="H1061" s="13" t="n">
        <v>165</v>
      </c>
      <c r="I1061" s="11" t="inlineStr">
        <is>
          <t xml:space="preserve"> Women's</t>
        </is>
      </c>
      <c r="J1061" s="13" t="n">
        <v>165</v>
      </c>
      <c r="K1061" s="13" t="n">
        <v>165</v>
      </c>
      <c r="L1061" s="13" t="n">
        <v>122</v>
      </c>
      <c r="M1061" s="13" t="n">
        <v>138</v>
      </c>
      <c r="N1061" s="13" t="n">
        <v>130</v>
      </c>
      <c r="O1061" s="13" t="n">
        <v>93</v>
      </c>
      <c r="P1061" s="13" t="n">
        <v>116</v>
      </c>
      <c r="Q1061" s="13" t="n">
        <v>14.8</v>
      </c>
      <c r="R1061" s="13" t="n">
        <v>1441</v>
      </c>
      <c r="S1061" s="13" t="n">
        <v>1.2</v>
      </c>
      <c r="T1061" s="13" t="n">
        <v>1736</v>
      </c>
      <c r="U1061" s="13" t="n">
        <v>129</v>
      </c>
      <c r="V1061" s="13" t="n">
        <v>65</v>
      </c>
      <c r="W1061" s="13" t="n">
        <v>47</v>
      </c>
      <c r="X1061" s="13" t="n">
        <v>306</v>
      </c>
      <c r="Y1061" s="13" t="n">
        <v>15</v>
      </c>
      <c r="Z1061" s="13" t="n">
        <v>128</v>
      </c>
      <c r="AA1061" s="13" t="n">
        <v>0.318</v>
      </c>
      <c r="AB1061" s="13" t="n">
        <v>146</v>
      </c>
      <c r="AC1061" s="13" t="n">
        <v>125</v>
      </c>
      <c r="AD1061" s="13" t="n">
        <v>160</v>
      </c>
      <c r="AE1061" s="13" t="n">
        <v>6</v>
      </c>
      <c r="AF1061" s="13" t="n">
        <v>9.1</v>
      </c>
      <c r="AG1061" s="11" t="inlineStr">
        <is>
          <t xml:space="preserve"> Resort Freeride</t>
        </is>
      </c>
      <c r="AH1061" s="11" t="inlineStr">
        <is>
          <t xml:space="preserve"> Touring</t>
        </is>
      </c>
      <c r="AI1061" s="13" t="n"/>
      <c r="AJ1061" s="13" t="n"/>
      <c r="AK1061" s="42" t="n"/>
    </row>
    <row r="1062">
      <c r="E1062" s="40" t="inlineStr">
        <is>
          <t>21/22</t>
        </is>
      </c>
      <c r="F1062" s="10" t="inlineStr">
        <is>
          <t xml:space="preserve"> Line</t>
        </is>
      </c>
      <c r="G1062" s="11" t="inlineStr">
        <is>
          <t>Pandora 94</t>
        </is>
      </c>
      <c r="H1062" s="13" t="n">
        <v>172</v>
      </c>
      <c r="I1062" s="11" t="inlineStr">
        <is>
          <t xml:space="preserve"> Women's</t>
        </is>
      </c>
      <c r="J1062" s="13" t="n">
        <v>172</v>
      </c>
      <c r="K1062" s="13" t="n">
        <v>172</v>
      </c>
      <c r="L1062" s="13" t="n">
        <v>132</v>
      </c>
      <c r="M1062" s="13" t="n">
        <v>144</v>
      </c>
      <c r="N1062" s="13" t="n">
        <v>131</v>
      </c>
      <c r="O1062" s="13" t="n">
        <v>93</v>
      </c>
      <c r="P1062" s="13" t="n">
        <v>116</v>
      </c>
      <c r="Q1062" s="13" t="n">
        <v>16.3</v>
      </c>
      <c r="R1062" s="13" t="n">
        <v>1539</v>
      </c>
      <c r="S1062" s="13" t="n">
        <v>1.18</v>
      </c>
      <c r="T1062" s="13" t="n">
        <v>1809</v>
      </c>
      <c r="U1062" s="13" t="n">
        <v>148</v>
      </c>
      <c r="V1062" s="13" t="n">
        <v>77</v>
      </c>
      <c r="W1062" s="13" t="n">
        <v>47</v>
      </c>
      <c r="X1062" s="13" t="n">
        <v>273</v>
      </c>
      <c r="Y1062" s="13" t="n">
        <v>14</v>
      </c>
      <c r="Z1062" s="13" t="n">
        <v>129</v>
      </c>
      <c r="AA1062" s="13" t="n">
        <v>0.298</v>
      </c>
      <c r="AB1062" s="13" t="n">
        <v>144</v>
      </c>
      <c r="AC1062" s="13" t="n">
        <v>133</v>
      </c>
      <c r="AD1062" s="13" t="n">
        <v>129</v>
      </c>
      <c r="AE1062" s="13" t="n">
        <v>8</v>
      </c>
      <c r="AF1062" s="13" t="n">
        <v>9.6</v>
      </c>
      <c r="AG1062" s="11" t="inlineStr">
        <is>
          <t xml:space="preserve"> Resort Freeride</t>
        </is>
      </c>
      <c r="AH1062" s="11" t="inlineStr">
        <is>
          <t xml:space="preserve"> Touring</t>
        </is>
      </c>
      <c r="AI1062" s="13" t="n"/>
      <c r="AJ1062" s="13" t="n"/>
      <c r="AK1062" s="42" t="n"/>
    </row>
    <row r="1063">
      <c r="E1063" s="40" t="inlineStr">
        <is>
          <t>21/22</t>
        </is>
      </c>
      <c r="F1063" s="10" t="inlineStr">
        <is>
          <t xml:space="preserve"> Line</t>
        </is>
      </c>
      <c r="G1063" s="11" t="inlineStr">
        <is>
          <t xml:space="preserve"> Pescado</t>
        </is>
      </c>
      <c r="H1063" s="13" t="n">
        <v>180</v>
      </c>
      <c r="I1063" s="11" t="inlineStr">
        <is>
          <t xml:space="preserve"> Unisex</t>
        </is>
      </c>
      <c r="J1063" s="13" t="n">
        <v>180</v>
      </c>
      <c r="K1063" s="13" t="n">
        <v>178.7</v>
      </c>
      <c r="L1063" s="13" t="n">
        <v>128</v>
      </c>
      <c r="M1063" s="13" t="n">
        <v>145</v>
      </c>
      <c r="N1063" s="13" t="n">
        <v>158</v>
      </c>
      <c r="O1063" s="13" t="n">
        <v>124</v>
      </c>
      <c r="P1063" s="13" t="n">
        <v>144</v>
      </c>
      <c r="Q1063" s="13" t="n">
        <v>18.4</v>
      </c>
      <c r="R1063" s="13" t="n">
        <v>1828</v>
      </c>
      <c r="S1063" s="13" t="n">
        <v>1.3</v>
      </c>
      <c r="T1063" s="13" t="n">
        <v>2380</v>
      </c>
      <c r="U1063" s="13" t="n">
        <v>156</v>
      </c>
      <c r="V1063" s="13" t="n">
        <v>87</v>
      </c>
      <c r="W1063" s="13" t="n">
        <v>61</v>
      </c>
      <c r="X1063" s="13" t="n">
        <v>374</v>
      </c>
      <c r="Y1063" s="13" t="n">
        <v>16</v>
      </c>
      <c r="Z1063" s="13" t="n">
        <v>131</v>
      </c>
      <c r="AA1063" s="13" t="n">
        <v>0.263</v>
      </c>
      <c r="AB1063" s="13" t="n">
        <v>217</v>
      </c>
      <c r="AC1063" s="13" t="n">
        <v>119</v>
      </c>
      <c r="AD1063" s="13" t="n">
        <v>157</v>
      </c>
      <c r="AE1063" s="13" t="n">
        <v>9</v>
      </c>
      <c r="AF1063" s="13" t="n">
        <v>10</v>
      </c>
      <c r="AG1063" s="11" t="inlineStr">
        <is>
          <t xml:space="preserve"> Big Mountain</t>
        </is>
      </c>
      <c r="AH1063" s="11" t="inlineStr">
        <is>
          <t xml:space="preserve"> Touring</t>
        </is>
      </c>
      <c r="AI1063" s="11" t="inlineStr">
        <is>
          <t xml:space="preserve"> Ultralight Touring</t>
        </is>
      </c>
      <c r="AJ1063" s="13" t="n"/>
      <c r="AK1063" s="42" t="n"/>
    </row>
    <row r="1064">
      <c r="E1064" s="40" t="inlineStr">
        <is>
          <t>21/22</t>
        </is>
      </c>
      <c r="F1064" s="10" t="inlineStr">
        <is>
          <t xml:space="preserve"> Line</t>
        </is>
      </c>
      <c r="G1064" s="11" t="inlineStr">
        <is>
          <t xml:space="preserve"> Sakana</t>
        </is>
      </c>
      <c r="H1064" s="13" t="n">
        <v>166</v>
      </c>
      <c r="I1064" s="11" t="inlineStr">
        <is>
          <t xml:space="preserve"> Unisex</t>
        </is>
      </c>
      <c r="J1064" s="13" t="n">
        <v>166</v>
      </c>
      <c r="K1064" s="13" t="n">
        <v>166.2</v>
      </c>
      <c r="L1064" s="13" t="n">
        <v>114</v>
      </c>
      <c r="M1064" s="13" t="n">
        <v>136</v>
      </c>
      <c r="N1064" s="13" t="n">
        <v>149</v>
      </c>
      <c r="O1064" s="13" t="n">
        <v>104</v>
      </c>
      <c r="P1064" s="13" t="n">
        <v>128</v>
      </c>
      <c r="Q1064" s="13" t="n">
        <v>12.8</v>
      </c>
      <c r="R1064" s="13" t="n">
        <v>1650</v>
      </c>
      <c r="S1064" s="13" t="n">
        <v>1.17</v>
      </c>
      <c r="T1064" s="13" t="n">
        <v>1928</v>
      </c>
      <c r="U1064" s="13" t="n">
        <v>147</v>
      </c>
      <c r="V1064" s="13" t="n">
        <v>74</v>
      </c>
      <c r="W1064" s="13" t="n">
        <v>48</v>
      </c>
      <c r="X1064" s="13" t="n">
        <v>383</v>
      </c>
      <c r="Y1064" s="13" t="n">
        <v>0</v>
      </c>
      <c r="Z1064" s="13" t="n">
        <v>139</v>
      </c>
      <c r="AA1064" s="13" t="n">
        <v>0.008999999999999999</v>
      </c>
      <c r="AB1064" s="13" t="n">
        <v>159</v>
      </c>
      <c r="AC1064" s="13" t="n">
        <v>146</v>
      </c>
      <c r="AD1064" s="13" t="n">
        <v>223</v>
      </c>
      <c r="AE1064" s="13" t="n">
        <v>6</v>
      </c>
      <c r="AF1064" s="13" t="n">
        <v>10.4</v>
      </c>
      <c r="AG1064" s="11" t="inlineStr">
        <is>
          <t xml:space="preserve"> Resort Freeride</t>
        </is>
      </c>
      <c r="AH1064" s="11" t="inlineStr">
        <is>
          <t xml:space="preserve"> Big Mountain</t>
        </is>
      </c>
      <c r="AI1064" s="11" t="inlineStr">
        <is>
          <t xml:space="preserve"> Touring</t>
        </is>
      </c>
      <c r="AJ1064" s="13" t="n"/>
      <c r="AK1064" s="42" t="n"/>
    </row>
    <row r="1065">
      <c r="E1065" s="40" t="inlineStr">
        <is>
          <t>21/22</t>
        </is>
      </c>
      <c r="F1065" s="10" t="inlineStr">
        <is>
          <t xml:space="preserve"> Line</t>
        </is>
      </c>
      <c r="G1065" s="11" t="inlineStr">
        <is>
          <t xml:space="preserve"> Sakana</t>
        </is>
      </c>
      <c r="H1065" s="13" t="n">
        <v>174</v>
      </c>
      <c r="I1065" s="11" t="inlineStr">
        <is>
          <t xml:space="preserve"> Unisex</t>
        </is>
      </c>
      <c r="J1065" s="13" t="n">
        <v>174</v>
      </c>
      <c r="K1065" s="13" t="n">
        <v>174</v>
      </c>
      <c r="L1065" s="13" t="n">
        <v>137</v>
      </c>
      <c r="M1065" s="13" t="n">
        <v>142</v>
      </c>
      <c r="N1065" s="13" t="n">
        <v>149</v>
      </c>
      <c r="O1065" s="13" t="n">
        <v>104</v>
      </c>
      <c r="P1065" s="13" t="n">
        <v>128</v>
      </c>
      <c r="Q1065" s="13" t="n">
        <v>14.4</v>
      </c>
      <c r="R1065" s="13" t="n">
        <v>1720</v>
      </c>
      <c r="S1065" s="13" t="n">
        <v>1.17</v>
      </c>
      <c r="T1065" s="13" t="n">
        <v>2017</v>
      </c>
      <c r="U1065" s="13" t="n">
        <v>145</v>
      </c>
      <c r="V1065" s="13" t="n">
        <v>84</v>
      </c>
      <c r="W1065" s="13" t="n">
        <v>48</v>
      </c>
      <c r="X1065" s="13" t="n">
        <v>368</v>
      </c>
      <c r="Y1065" s="13" t="n">
        <v>0</v>
      </c>
      <c r="Z1065" s="13" t="n">
        <v>0</v>
      </c>
      <c r="AA1065" s="13" t="n">
        <v>0.001</v>
      </c>
      <c r="AB1065" s="13" t="n">
        <v>169</v>
      </c>
      <c r="AC1065" s="13" t="n">
        <v>148</v>
      </c>
      <c r="AD1065" s="13" t="n">
        <v>200</v>
      </c>
      <c r="AE1065" s="13" t="n">
        <v>6</v>
      </c>
      <c r="AF1065" s="13" t="n">
        <v>10.7</v>
      </c>
      <c r="AG1065" s="11" t="inlineStr">
        <is>
          <t xml:space="preserve"> Resort Freeride</t>
        </is>
      </c>
      <c r="AH1065" s="11" t="inlineStr">
        <is>
          <t xml:space="preserve"> Big Mountain</t>
        </is>
      </c>
      <c r="AI1065" s="11" t="inlineStr">
        <is>
          <t xml:space="preserve"> Touring</t>
        </is>
      </c>
      <c r="AJ1065" s="13" t="n"/>
      <c r="AK1065" s="42" t="n"/>
    </row>
    <row r="1066">
      <c r="E1066" s="40" t="inlineStr">
        <is>
          <t>21/22</t>
        </is>
      </c>
      <c r="F1066" s="10" t="inlineStr">
        <is>
          <t xml:space="preserve"> Line</t>
        </is>
      </c>
      <c r="G1066" s="11" t="inlineStr">
        <is>
          <t xml:space="preserve"> Sakana</t>
        </is>
      </c>
      <c r="H1066" s="13" t="n">
        <v>181</v>
      </c>
      <c r="I1066" s="11" t="inlineStr">
        <is>
          <t xml:space="preserve"> Unisex</t>
        </is>
      </c>
      <c r="J1066" s="13" t="n">
        <v>181</v>
      </c>
      <c r="K1066" s="13" t="n">
        <v>180.9</v>
      </c>
      <c r="L1066" s="13" t="n">
        <v>130</v>
      </c>
      <c r="M1066" s="13" t="n">
        <v>160</v>
      </c>
      <c r="N1066" s="13" t="n">
        <v>149</v>
      </c>
      <c r="O1066" s="13" t="n">
        <v>104</v>
      </c>
      <c r="P1066" s="13" t="n">
        <v>136</v>
      </c>
      <c r="Q1066" s="13" t="n">
        <v>16.2</v>
      </c>
      <c r="R1066" s="13" t="n">
        <v>1801</v>
      </c>
      <c r="S1066" s="13" t="n">
        <v>1.19</v>
      </c>
      <c r="T1066" s="13" t="n">
        <v>2142</v>
      </c>
      <c r="U1066" s="13" t="n">
        <v>168</v>
      </c>
      <c r="V1066" s="13" t="n">
        <v>92</v>
      </c>
      <c r="W1066" s="13" t="n">
        <v>45</v>
      </c>
      <c r="X1066" s="13" t="n">
        <v>382</v>
      </c>
      <c r="Y1066" s="13" t="n">
        <v>14</v>
      </c>
      <c r="Z1066" s="13" t="n">
        <v>130</v>
      </c>
      <c r="AA1066" s="13" t="n">
        <v>0.301</v>
      </c>
      <c r="AB1066" s="13" t="n">
        <v>164</v>
      </c>
      <c r="AC1066" s="13" t="n">
        <v>40</v>
      </c>
      <c r="AD1066" s="13" t="n">
        <v>218</v>
      </c>
      <c r="AE1066" s="13" t="n">
        <v>6</v>
      </c>
      <c r="AF1066" s="13" t="n">
        <v>11.2</v>
      </c>
      <c r="AG1066" s="11" t="inlineStr">
        <is>
          <t xml:space="preserve"> Resort Freeride</t>
        </is>
      </c>
      <c r="AH1066" s="11" t="inlineStr">
        <is>
          <t xml:space="preserve"> Big Mountain</t>
        </is>
      </c>
      <c r="AI1066" s="11" t="inlineStr">
        <is>
          <t xml:space="preserve"> Touring</t>
        </is>
      </c>
      <c r="AJ1066" s="13" t="n"/>
      <c r="AK1066" s="42" t="n"/>
    </row>
    <row r="1067">
      <c r="E1067" s="40" t="inlineStr">
        <is>
          <t>21/22</t>
        </is>
      </c>
      <c r="F1067" s="10" t="inlineStr">
        <is>
          <t xml:space="preserve"> Line</t>
        </is>
      </c>
      <c r="G1067" s="11" t="inlineStr">
        <is>
          <t>Sick Day 104</t>
        </is>
      </c>
      <c r="H1067" s="13" t="n">
        <v>172</v>
      </c>
      <c r="I1067" s="11" t="inlineStr">
        <is>
          <t xml:space="preserve"> Unisex</t>
        </is>
      </c>
      <c r="J1067" s="13" t="n">
        <v>172</v>
      </c>
      <c r="K1067" s="13" t="n">
        <v>171.8</v>
      </c>
      <c r="L1067" s="13" t="n">
        <v>113</v>
      </c>
      <c r="M1067" s="13" t="n">
        <v>133</v>
      </c>
      <c r="N1067" s="13" t="n">
        <v>136</v>
      </c>
      <c r="O1067" s="13" t="n">
        <v>103</v>
      </c>
      <c r="P1067" s="13" t="n">
        <v>120</v>
      </c>
      <c r="Q1067" s="13" t="n">
        <v>16.5</v>
      </c>
      <c r="R1067" s="13" t="n">
        <v>1625</v>
      </c>
      <c r="S1067" s="13" t="n">
        <v>1.2</v>
      </c>
      <c r="T1067" s="13" t="n">
        <v>1949</v>
      </c>
      <c r="U1067" s="13" t="n">
        <v>158</v>
      </c>
      <c r="V1067" s="13" t="n">
        <v>92</v>
      </c>
      <c r="W1067" s="13" t="n">
        <v>50</v>
      </c>
      <c r="X1067" s="13" t="n">
        <v>365</v>
      </c>
      <c r="Y1067" s="13" t="n">
        <v>20</v>
      </c>
      <c r="Z1067" s="13" t="n">
        <v>220</v>
      </c>
      <c r="AA1067" s="13" t="n">
        <v>0.402</v>
      </c>
      <c r="AB1067" s="13" t="n">
        <v>189</v>
      </c>
      <c r="AC1067" s="13" t="n">
        <v>198</v>
      </c>
      <c r="AD1067" s="13" t="n">
        <v>176</v>
      </c>
      <c r="AE1067" s="13" t="n">
        <v>6</v>
      </c>
      <c r="AF1067" s="13" t="n">
        <v>10.2</v>
      </c>
      <c r="AG1067" s="11" t="inlineStr">
        <is>
          <t xml:space="preserve"> Resort Freeride</t>
        </is>
      </c>
      <c r="AH1067" s="11" t="inlineStr">
        <is>
          <t xml:space="preserve"> Powder</t>
        </is>
      </c>
      <c r="AI1067" s="11" t="inlineStr">
        <is>
          <t xml:space="preserve"> Touring</t>
        </is>
      </c>
      <c r="AJ1067" s="13" t="n"/>
      <c r="AK1067" s="42" t="n"/>
    </row>
    <row r="1068">
      <c r="E1068" s="40" t="inlineStr">
        <is>
          <t>21/22</t>
        </is>
      </c>
      <c r="F1068" s="10" t="inlineStr">
        <is>
          <t xml:space="preserve"> Line</t>
        </is>
      </c>
      <c r="G1068" s="11" t="inlineStr">
        <is>
          <t>Sick Day 104</t>
        </is>
      </c>
      <c r="H1068" s="13" t="n">
        <v>179</v>
      </c>
      <c r="I1068" s="11" t="inlineStr">
        <is>
          <t xml:space="preserve"> Unisex</t>
        </is>
      </c>
      <c r="J1068" s="13" t="n">
        <v>179</v>
      </c>
      <c r="K1068" s="13" t="n">
        <v>179</v>
      </c>
      <c r="L1068" s="13" t="n">
        <v>126</v>
      </c>
      <c r="M1068" s="13" t="n">
        <v>140</v>
      </c>
      <c r="N1068" s="13" t="n">
        <v>136</v>
      </c>
      <c r="O1068" s="13" t="n">
        <v>103</v>
      </c>
      <c r="P1068" s="13" t="n">
        <v>121</v>
      </c>
      <c r="Q1068" s="13" t="n">
        <v>18.1</v>
      </c>
      <c r="R1068" s="13" t="n">
        <v>1769</v>
      </c>
      <c r="S1068" s="13" t="n">
        <v>1.15</v>
      </c>
      <c r="T1068" s="13" t="n">
        <v>2031</v>
      </c>
      <c r="U1068" s="13" t="n">
        <v>183</v>
      </c>
      <c r="V1068" s="13" t="n">
        <v>98</v>
      </c>
      <c r="W1068" s="13" t="n">
        <v>47</v>
      </c>
      <c r="X1068" s="13" t="n">
        <v>326</v>
      </c>
      <c r="Y1068" s="13" t="n">
        <v>19</v>
      </c>
      <c r="Z1068" s="13" t="n">
        <v>202</v>
      </c>
      <c r="AA1068" s="13" t="n">
        <v>0.41</v>
      </c>
      <c r="AB1068" s="13" t="n">
        <v>193</v>
      </c>
      <c r="AC1068" s="13" t="n">
        <v>198</v>
      </c>
      <c r="AD1068" s="13" t="n">
        <v>133</v>
      </c>
      <c r="AE1068" s="13" t="n">
        <v>6</v>
      </c>
      <c r="AF1068" s="13" t="n">
        <v>10.6</v>
      </c>
      <c r="AG1068" s="11" t="inlineStr">
        <is>
          <t xml:space="preserve"> Resort Freeride</t>
        </is>
      </c>
      <c r="AH1068" s="11" t="inlineStr">
        <is>
          <t xml:space="preserve"> Powder</t>
        </is>
      </c>
      <c r="AI1068" s="11" t="inlineStr">
        <is>
          <t xml:space="preserve"> Touring</t>
        </is>
      </c>
      <c r="AJ1068" s="13" t="n"/>
      <c r="AK1068" s="42" t="n"/>
    </row>
    <row r="1069">
      <c r="E1069" s="40" t="inlineStr">
        <is>
          <t>21/22</t>
        </is>
      </c>
      <c r="F1069" s="10" t="inlineStr">
        <is>
          <t xml:space="preserve"> Line</t>
        </is>
      </c>
      <c r="G1069" s="11" t="inlineStr">
        <is>
          <t>Sick Day 88</t>
        </is>
      </c>
      <c r="H1069" s="13" t="n">
        <v>165</v>
      </c>
      <c r="I1069" s="11" t="inlineStr">
        <is>
          <t xml:space="preserve"> Unisex</t>
        </is>
      </c>
      <c r="J1069" s="13" t="n">
        <v>165</v>
      </c>
      <c r="K1069" s="13" t="n">
        <v>165</v>
      </c>
      <c r="L1069" s="13" t="n">
        <v>119</v>
      </c>
      <c r="M1069" s="13" t="n">
        <v>140</v>
      </c>
      <c r="N1069" s="13" t="n">
        <v>125</v>
      </c>
      <c r="O1069" s="13" t="n">
        <v>87</v>
      </c>
      <c r="P1069" s="13" t="n">
        <v>112</v>
      </c>
      <c r="Q1069" s="13" t="n">
        <v>15</v>
      </c>
      <c r="R1069" s="13" t="n">
        <v>1453</v>
      </c>
      <c r="S1069" s="13" t="n">
        <v>1.13</v>
      </c>
      <c r="T1069" s="13" t="n">
        <v>1638</v>
      </c>
      <c r="U1069" s="13" t="n">
        <v>150</v>
      </c>
      <c r="V1069" s="13" t="n">
        <v>78</v>
      </c>
      <c r="W1069" s="13" t="n">
        <v>48</v>
      </c>
      <c r="X1069" s="13" t="n">
        <v>295</v>
      </c>
      <c r="Y1069" s="13" t="n">
        <v>16</v>
      </c>
      <c r="Z1069" s="13" t="n">
        <v>161</v>
      </c>
      <c r="AA1069" s="13" t="n">
        <v>0.329</v>
      </c>
      <c r="AB1069" s="13" t="n">
        <v>148</v>
      </c>
      <c r="AC1069" s="13" t="n">
        <v>100</v>
      </c>
      <c r="AD1069" s="13" t="n">
        <v>148</v>
      </c>
      <c r="AE1069" s="13" t="n">
        <v>5</v>
      </c>
      <c r="AF1069" s="13" t="n">
        <v>8.5</v>
      </c>
      <c r="AG1069" s="11" t="inlineStr">
        <is>
          <t xml:space="preserve"> Resort Freeride</t>
        </is>
      </c>
      <c r="AH1069" s="11" t="inlineStr">
        <is>
          <t xml:space="preserve"> Touring</t>
        </is>
      </c>
      <c r="AI1069" s="13" t="n"/>
      <c r="AJ1069" s="13" t="n"/>
      <c r="AK1069" s="42" t="n"/>
    </row>
    <row r="1070">
      <c r="E1070" s="40" t="inlineStr">
        <is>
          <t>21/22</t>
        </is>
      </c>
      <c r="F1070" s="10" t="inlineStr">
        <is>
          <t xml:space="preserve"> Line</t>
        </is>
      </c>
      <c r="G1070" s="11" t="inlineStr">
        <is>
          <t>Sick Day 88</t>
        </is>
      </c>
      <c r="H1070" s="13" t="n">
        <v>172</v>
      </c>
      <c r="I1070" s="11" t="inlineStr">
        <is>
          <t xml:space="preserve"> Unisex</t>
        </is>
      </c>
      <c r="J1070" s="13" t="n">
        <v>172</v>
      </c>
      <c r="K1070" s="13" t="n">
        <v>171.9</v>
      </c>
      <c r="L1070" s="13" t="n">
        <v>127</v>
      </c>
      <c r="M1070" s="13" t="n">
        <v>146</v>
      </c>
      <c r="N1070" s="13" t="n">
        <v>126</v>
      </c>
      <c r="O1070" s="13" t="n">
        <v>87</v>
      </c>
      <c r="P1070" s="13" t="n">
        <v>112</v>
      </c>
      <c r="Q1070" s="13" t="n">
        <v>16.2</v>
      </c>
      <c r="R1070" s="13" t="n">
        <v>1588</v>
      </c>
      <c r="S1070" s="13" t="n">
        <v>1.08</v>
      </c>
      <c r="T1070" s="13" t="n">
        <v>1709</v>
      </c>
      <c r="U1070" s="13" t="n">
        <v>183</v>
      </c>
      <c r="V1070" s="13" t="n">
        <v>96</v>
      </c>
      <c r="W1070" s="13" t="n">
        <v>44</v>
      </c>
      <c r="X1070" s="13" t="n">
        <v>284</v>
      </c>
      <c r="Y1070" s="13" t="n">
        <v>16</v>
      </c>
      <c r="Z1070" s="13" t="n">
        <v>160</v>
      </c>
      <c r="AA1070" s="13" t="n">
        <v>0.359</v>
      </c>
      <c r="AB1070" s="13" t="n">
        <v>147</v>
      </c>
      <c r="AC1070" s="13" t="n">
        <v>108</v>
      </c>
      <c r="AD1070" s="13" t="n">
        <v>138</v>
      </c>
      <c r="AE1070" s="13" t="n">
        <v>6</v>
      </c>
      <c r="AF1070" s="13" t="n">
        <v>9.699999999999999</v>
      </c>
      <c r="AG1070" s="11" t="inlineStr">
        <is>
          <t xml:space="preserve"> Resort Freeride</t>
        </is>
      </c>
      <c r="AH1070" s="11" t="inlineStr">
        <is>
          <t xml:space="preserve"> Touring</t>
        </is>
      </c>
      <c r="AI1070" s="13" t="n"/>
      <c r="AJ1070" s="13" t="n"/>
      <c r="AK1070" s="42" t="n"/>
    </row>
    <row r="1071">
      <c r="E1071" s="40" t="inlineStr">
        <is>
          <t>21/22</t>
        </is>
      </c>
      <c r="F1071" s="10" t="inlineStr">
        <is>
          <t xml:space="preserve"> Line</t>
        </is>
      </c>
      <c r="G1071" s="11" t="inlineStr">
        <is>
          <t>Sick Day 88</t>
        </is>
      </c>
      <c r="H1071" s="13" t="n">
        <v>179</v>
      </c>
      <c r="I1071" s="11" t="inlineStr">
        <is>
          <t xml:space="preserve"> Unisex</t>
        </is>
      </c>
      <c r="J1071" s="13" t="n">
        <v>179</v>
      </c>
      <c r="K1071" s="13" t="n">
        <v>179</v>
      </c>
      <c r="L1071" s="13" t="n">
        <v>135</v>
      </c>
      <c r="M1071" s="13" t="n">
        <v>154</v>
      </c>
      <c r="N1071" s="13" t="n">
        <v>126</v>
      </c>
      <c r="O1071" s="13" t="n">
        <v>87</v>
      </c>
      <c r="P1071" s="13" t="n">
        <v>113</v>
      </c>
      <c r="Q1071" s="13" t="n">
        <v>18.1</v>
      </c>
      <c r="R1071" s="13" t="n">
        <v>1635</v>
      </c>
      <c r="S1071" s="13" t="n">
        <v>1.09</v>
      </c>
      <c r="T1071" s="13" t="n">
        <v>1784</v>
      </c>
      <c r="U1071" s="13" t="n">
        <v>191</v>
      </c>
      <c r="V1071" s="13" t="n">
        <v>101</v>
      </c>
      <c r="W1071" s="13" t="n">
        <v>44</v>
      </c>
      <c r="X1071" s="13" t="n">
        <v>282</v>
      </c>
      <c r="Y1071" s="13" t="n">
        <v>17</v>
      </c>
      <c r="Z1071" s="13" t="n">
        <v>155</v>
      </c>
      <c r="AA1071" s="13" t="n">
        <v>0.376</v>
      </c>
      <c r="AB1071" s="13" t="n">
        <v>146</v>
      </c>
      <c r="AC1071" s="13" t="n">
        <v>102</v>
      </c>
      <c r="AD1071" s="13" t="n">
        <v>136</v>
      </c>
      <c r="AE1071" s="13" t="n">
        <v>7</v>
      </c>
      <c r="AF1071" s="13" t="n">
        <v>10.3</v>
      </c>
      <c r="AG1071" s="11" t="inlineStr">
        <is>
          <t xml:space="preserve"> Resort Freeride</t>
        </is>
      </c>
      <c r="AH1071" s="11" t="inlineStr">
        <is>
          <t xml:space="preserve"> Touring</t>
        </is>
      </c>
      <c r="AI1071" s="13" t="n"/>
      <c r="AJ1071" s="13" t="n"/>
      <c r="AK1071" s="42" t="n"/>
    </row>
    <row r="1072">
      <c r="E1072" s="40" t="inlineStr">
        <is>
          <t>21/22</t>
        </is>
      </c>
      <c r="F1072" s="10" t="inlineStr">
        <is>
          <t xml:space="preserve"> Line</t>
        </is>
      </c>
      <c r="G1072" s="11" t="inlineStr">
        <is>
          <t>Sick Day 94</t>
        </is>
      </c>
      <c r="H1072" s="13" t="n">
        <v>172</v>
      </c>
      <c r="I1072" s="11" t="inlineStr">
        <is>
          <t xml:space="preserve"> Unisex</t>
        </is>
      </c>
      <c r="J1072" s="13" t="n">
        <v>172</v>
      </c>
      <c r="K1072" s="13" t="n">
        <v>172.2</v>
      </c>
      <c r="L1072" s="13" t="n">
        <v>129</v>
      </c>
      <c r="M1072" s="13" t="n">
        <v>144</v>
      </c>
      <c r="N1072" s="13" t="n">
        <v>131</v>
      </c>
      <c r="O1072" s="13" t="n">
        <v>93</v>
      </c>
      <c r="P1072" s="13" t="n">
        <v>116</v>
      </c>
      <c r="Q1072" s="13" t="n">
        <v>16.4</v>
      </c>
      <c r="R1072" s="13" t="n">
        <v>1500</v>
      </c>
      <c r="S1072" s="13" t="n">
        <v>1.21</v>
      </c>
      <c r="T1072" s="13" t="n">
        <v>1811</v>
      </c>
      <c r="U1072" s="13" t="n">
        <v>146</v>
      </c>
      <c r="V1072" s="13" t="n">
        <v>77</v>
      </c>
      <c r="W1072" s="13" t="n">
        <v>48</v>
      </c>
      <c r="X1072" s="13" t="n">
        <v>277</v>
      </c>
      <c r="Y1072" s="13" t="n">
        <v>19</v>
      </c>
      <c r="Z1072" s="13" t="n">
        <v>155</v>
      </c>
      <c r="AA1072" s="13" t="n">
        <v>0.394</v>
      </c>
      <c r="AB1072" s="13" t="n">
        <v>153</v>
      </c>
      <c r="AC1072" s="13" t="n">
        <v>126</v>
      </c>
      <c r="AD1072" s="13" t="n">
        <v>124</v>
      </c>
      <c r="AE1072" s="13" t="n">
        <v>7</v>
      </c>
      <c r="AF1072" s="13" t="n">
        <v>9.199999999999999</v>
      </c>
      <c r="AG1072" s="11" t="inlineStr">
        <is>
          <t xml:space="preserve"> Resort Freeride</t>
        </is>
      </c>
      <c r="AH1072" s="11" t="inlineStr">
        <is>
          <t xml:space="preserve"> Touring</t>
        </is>
      </c>
      <c r="AI1072" s="13" t="n"/>
      <c r="AJ1072" s="13" t="n"/>
      <c r="AK1072" s="42" t="n"/>
    </row>
    <row r="1073">
      <c r="E1073" s="40" t="inlineStr">
        <is>
          <t>21/22</t>
        </is>
      </c>
      <c r="F1073" s="10" t="inlineStr">
        <is>
          <t xml:space="preserve"> Line</t>
        </is>
      </c>
      <c r="G1073" s="11" t="inlineStr">
        <is>
          <t>Sick Day 94</t>
        </is>
      </c>
      <c r="H1073" s="13" t="n">
        <v>179</v>
      </c>
      <c r="I1073" s="11" t="inlineStr">
        <is>
          <t xml:space="preserve"> Unisex</t>
        </is>
      </c>
      <c r="J1073" s="13" t="n">
        <v>179</v>
      </c>
      <c r="K1073" s="13" t="n">
        <v>178.8</v>
      </c>
      <c r="L1073" s="13" t="n">
        <v>138</v>
      </c>
      <c r="M1073" s="13" t="n">
        <v>151</v>
      </c>
      <c r="N1073" s="13" t="n">
        <v>131</v>
      </c>
      <c r="O1073" s="13" t="n">
        <v>93</v>
      </c>
      <c r="P1073" s="13" t="n">
        <v>116</v>
      </c>
      <c r="Q1073" s="13" t="n">
        <v>18</v>
      </c>
      <c r="R1073" s="13" t="n">
        <v>1763</v>
      </c>
      <c r="S1073" s="13" t="n">
        <v>1.07</v>
      </c>
      <c r="T1073" s="13" t="n">
        <v>1883</v>
      </c>
      <c r="U1073" s="13" t="n">
        <v>196</v>
      </c>
      <c r="V1073" s="13" t="n">
        <v>93</v>
      </c>
      <c r="W1073" s="13" t="n">
        <v>42</v>
      </c>
      <c r="X1073" s="13" t="n">
        <v>280</v>
      </c>
      <c r="Y1073" s="13" t="n">
        <v>15</v>
      </c>
      <c r="Z1073" s="13" t="n">
        <v>129</v>
      </c>
      <c r="AA1073" s="13" t="n">
        <v>0.357</v>
      </c>
      <c r="AB1073" s="13" t="n">
        <v>147</v>
      </c>
      <c r="AC1073" s="13" t="n">
        <v>127</v>
      </c>
      <c r="AD1073" s="13" t="n">
        <v>133</v>
      </c>
      <c r="AE1073" s="13" t="n">
        <v>9</v>
      </c>
      <c r="AF1073" s="13" t="n">
        <v>9.6</v>
      </c>
      <c r="AG1073" s="11" t="inlineStr">
        <is>
          <t xml:space="preserve"> Resort Freeride</t>
        </is>
      </c>
      <c r="AH1073" s="11" t="inlineStr">
        <is>
          <t xml:space="preserve"> Touring</t>
        </is>
      </c>
      <c r="AI1073" s="13" t="n"/>
      <c r="AJ1073" s="13" t="n"/>
      <c r="AK1073" s="42" t="n"/>
    </row>
    <row r="1074">
      <c r="E1074" s="40" t="inlineStr">
        <is>
          <t>21/22</t>
        </is>
      </c>
      <c r="F1074" s="10" t="inlineStr">
        <is>
          <t xml:space="preserve"> Line</t>
        </is>
      </c>
      <c r="G1074" s="11" t="inlineStr">
        <is>
          <t>Sick Day 94</t>
        </is>
      </c>
      <c r="H1074" s="13" t="n">
        <v>186</v>
      </c>
      <c r="I1074" s="11" t="inlineStr">
        <is>
          <t xml:space="preserve"> Unisex</t>
        </is>
      </c>
      <c r="J1074" s="13" t="n">
        <v>186</v>
      </c>
      <c r="K1074" s="13" t="n">
        <v>185.7</v>
      </c>
      <c r="L1074" s="13" t="n">
        <v>147</v>
      </c>
      <c r="M1074" s="13" t="n">
        <v>161</v>
      </c>
      <c r="N1074" s="13" t="n">
        <v>131</v>
      </c>
      <c r="O1074" s="13" t="n">
        <v>93</v>
      </c>
      <c r="P1074" s="13" t="n">
        <v>116</v>
      </c>
      <c r="Q1074" s="13" t="n">
        <v>19.6</v>
      </c>
      <c r="R1074" s="13" t="n">
        <v>1736</v>
      </c>
      <c r="S1074" s="13" t="n">
        <v>1.12</v>
      </c>
      <c r="T1074" s="13" t="n">
        <v>1952</v>
      </c>
      <c r="U1074" s="13" t="n">
        <v>191</v>
      </c>
      <c r="V1074" s="13" t="n">
        <v>102</v>
      </c>
      <c r="W1074" s="13" t="n">
        <v>45</v>
      </c>
      <c r="X1074" s="13" t="n">
        <v>252</v>
      </c>
      <c r="Y1074" s="13" t="n">
        <v>17</v>
      </c>
      <c r="Z1074" s="13" t="n">
        <v>133</v>
      </c>
      <c r="AA1074" s="13" t="n">
        <v>0.372</v>
      </c>
      <c r="AB1074" s="13" t="n">
        <v>135</v>
      </c>
      <c r="AC1074" s="13" t="n">
        <v>113</v>
      </c>
      <c r="AD1074" s="13" t="n">
        <v>117</v>
      </c>
      <c r="AE1074" s="13" t="n">
        <v>10</v>
      </c>
      <c r="AF1074" s="13" t="n">
        <v>9.9</v>
      </c>
      <c r="AG1074" s="11" t="inlineStr">
        <is>
          <t xml:space="preserve"> Resort Freeride</t>
        </is>
      </c>
      <c r="AH1074" s="11" t="inlineStr">
        <is>
          <t xml:space="preserve"> Touring</t>
        </is>
      </c>
      <c r="AI1074" s="13" t="n"/>
      <c r="AJ1074" s="13" t="n"/>
      <c r="AK1074" s="42" t="n"/>
    </row>
    <row r="1075">
      <c r="E1075" s="40" t="inlineStr">
        <is>
          <t>21/22</t>
        </is>
      </c>
      <c r="F1075" s="10" t="inlineStr">
        <is>
          <t xml:space="preserve"> Line</t>
        </is>
      </c>
      <c r="G1075" s="11" t="inlineStr">
        <is>
          <t xml:space="preserve"> Sir Francis Bacon</t>
        </is>
      </c>
      <c r="H1075" s="13" t="n">
        <v>176</v>
      </c>
      <c r="I1075" s="11" t="inlineStr">
        <is>
          <t xml:space="preserve"> Unisex</t>
        </is>
      </c>
      <c r="J1075" s="13" t="n">
        <v>176</v>
      </c>
      <c r="K1075" s="13" t="n">
        <v>175</v>
      </c>
      <c r="L1075" s="13" t="n">
        <v>101</v>
      </c>
      <c r="M1075" s="13" t="n">
        <v>143</v>
      </c>
      <c r="N1075" s="13" t="n">
        <v>142</v>
      </c>
      <c r="O1075" s="13" t="n">
        <v>106</v>
      </c>
      <c r="P1075" s="13" t="n">
        <v>138</v>
      </c>
      <c r="Q1075" s="13" t="n">
        <v>14.9</v>
      </c>
      <c r="R1075" s="13" t="n">
        <v>1738</v>
      </c>
      <c r="S1075" s="13" t="n">
        <v>1.16</v>
      </c>
      <c r="T1075" s="13" t="n">
        <v>2020</v>
      </c>
      <c r="U1075" s="13" t="n">
        <v>135</v>
      </c>
      <c r="V1075" s="13" t="n">
        <v>69</v>
      </c>
      <c r="W1075" s="13" t="n">
        <v>47</v>
      </c>
      <c r="X1075" s="13" t="n">
        <v>397</v>
      </c>
      <c r="Y1075" s="13" t="n">
        <v>47</v>
      </c>
      <c r="Z1075" s="13" t="n">
        <v>347</v>
      </c>
      <c r="AA1075" s="13" t="n">
        <v>1.004</v>
      </c>
      <c r="AB1075" s="13" t="n">
        <v>159</v>
      </c>
      <c r="AC1075" s="13" t="n">
        <v>161</v>
      </c>
      <c r="AD1075" s="13" t="n">
        <v>238</v>
      </c>
      <c r="AE1075" s="13" t="n">
        <v>3</v>
      </c>
      <c r="AF1075" s="13" t="n">
        <v>2.3</v>
      </c>
      <c r="AG1075" s="11" t="inlineStr">
        <is>
          <t xml:space="preserve"> Freeski</t>
        </is>
      </c>
      <c r="AH1075" s="11" t="inlineStr">
        <is>
          <t xml:space="preserve"> Powder</t>
        </is>
      </c>
      <c r="AI1075" s="11" t="inlineStr">
        <is>
          <t xml:space="preserve"> Touring</t>
        </is>
      </c>
      <c r="AJ1075" s="13" t="n"/>
      <c r="AK1075" s="42" t="n"/>
    </row>
    <row r="1076">
      <c r="E1076" s="40" t="inlineStr">
        <is>
          <t>21/22</t>
        </is>
      </c>
      <c r="F1076" s="10" t="inlineStr">
        <is>
          <t xml:space="preserve"> Line</t>
        </is>
      </c>
      <c r="G1076" s="11" t="inlineStr">
        <is>
          <t xml:space="preserve"> Sir Francis Bacon</t>
        </is>
      </c>
      <c r="H1076" s="13" t="n">
        <v>184</v>
      </c>
      <c r="I1076" s="11" t="inlineStr">
        <is>
          <t xml:space="preserve"> Unisex</t>
        </is>
      </c>
      <c r="J1076" s="13" t="n">
        <v>184</v>
      </c>
      <c r="K1076" s="13" t="n">
        <v>183.2</v>
      </c>
      <c r="L1076" s="13" t="n">
        <v>134</v>
      </c>
      <c r="M1076" s="13" t="n">
        <v>150</v>
      </c>
      <c r="N1076" s="13" t="n">
        <v>142</v>
      </c>
      <c r="O1076" s="13" t="n">
        <v>106</v>
      </c>
      <c r="P1076" s="13" t="n">
        <v>138</v>
      </c>
      <c r="Q1076" s="13" t="n">
        <v>16.6</v>
      </c>
      <c r="R1076" s="13" t="n">
        <v>1801</v>
      </c>
      <c r="S1076" s="13" t="n">
        <v>1.17</v>
      </c>
      <c r="T1076" s="13" t="n">
        <v>2110</v>
      </c>
      <c r="U1076" s="13" t="n">
        <v>155</v>
      </c>
      <c r="V1076" s="13" t="n">
        <v>85</v>
      </c>
      <c r="W1076" s="13" t="n">
        <v>40</v>
      </c>
      <c r="X1076" s="13" t="n">
        <v>303</v>
      </c>
      <c r="Y1076" s="13" t="n">
        <v>41</v>
      </c>
      <c r="Z1076" s="13" t="n">
        <v>191</v>
      </c>
      <c r="AA1076" s="13" t="n">
        <v>1.025</v>
      </c>
      <c r="AB1076" s="13" t="n">
        <v>160</v>
      </c>
      <c r="AC1076" s="13" t="n">
        <v>176</v>
      </c>
      <c r="AD1076" s="13" t="n">
        <v>143</v>
      </c>
      <c r="AE1076" s="13" t="n">
        <v>7</v>
      </c>
      <c r="AF1076" s="13" t="n">
        <v>2.4</v>
      </c>
      <c r="AG1076" s="11" t="inlineStr">
        <is>
          <t xml:space="preserve"> Freeski</t>
        </is>
      </c>
      <c r="AH1076" s="11" t="inlineStr">
        <is>
          <t xml:space="preserve"> Powder</t>
        </is>
      </c>
      <c r="AI1076" s="11" t="inlineStr">
        <is>
          <t xml:space="preserve"> Touring</t>
        </is>
      </c>
      <c r="AJ1076" s="13" t="n"/>
      <c r="AK1076" s="42" t="n"/>
    </row>
    <row r="1077">
      <c r="E1077" s="40" t="inlineStr">
        <is>
          <t>21/22</t>
        </is>
      </c>
      <c r="F1077" s="10" t="inlineStr">
        <is>
          <t xml:space="preserve"> Line</t>
        </is>
      </c>
      <c r="G1077" s="11" t="inlineStr">
        <is>
          <t xml:space="preserve"> Sir Francis Bacon</t>
        </is>
      </c>
      <c r="H1077" s="13" t="n">
        <v>190</v>
      </c>
      <c r="I1077" s="11" t="inlineStr">
        <is>
          <t xml:space="preserve"> Unisex</t>
        </is>
      </c>
      <c r="J1077" s="13" t="n">
        <v>190</v>
      </c>
      <c r="K1077" s="13" t="n">
        <v>188.8</v>
      </c>
      <c r="L1077" s="13" t="n">
        <v>135</v>
      </c>
      <c r="M1077" s="13" t="n">
        <v>157</v>
      </c>
      <c r="N1077" s="13" t="n">
        <v>142</v>
      </c>
      <c r="O1077" s="13" t="n">
        <v>106</v>
      </c>
      <c r="P1077" s="13" t="n">
        <v>138</v>
      </c>
      <c r="Q1077" s="13" t="n">
        <v>17.8</v>
      </c>
      <c r="R1077" s="13" t="n">
        <v>1910</v>
      </c>
      <c r="S1077" s="13" t="n">
        <v>1.15</v>
      </c>
      <c r="T1077" s="13" t="n">
        <v>2188</v>
      </c>
      <c r="U1077" s="13" t="n">
        <v>177</v>
      </c>
      <c r="V1077" s="13" t="n">
        <v>95</v>
      </c>
      <c r="W1077" s="13" t="n">
        <v>44</v>
      </c>
      <c r="X1077" s="13" t="n">
        <v>346</v>
      </c>
      <c r="Y1077" s="13" t="n">
        <v>44</v>
      </c>
      <c r="Z1077" s="13" t="n">
        <v>190</v>
      </c>
      <c r="AA1077" s="13" t="n">
        <v>1.004</v>
      </c>
      <c r="AB1077" s="13" t="n">
        <v>157</v>
      </c>
      <c r="AC1077" s="13" t="n">
        <v>163</v>
      </c>
      <c r="AD1077" s="13" t="n">
        <v>189</v>
      </c>
      <c r="AE1077" s="13" t="n">
        <v>6</v>
      </c>
      <c r="AF1077" s="13" t="n">
        <v>4.1</v>
      </c>
      <c r="AG1077" s="11" t="inlineStr">
        <is>
          <t xml:space="preserve"> Freeski</t>
        </is>
      </c>
      <c r="AH1077" s="11" t="inlineStr">
        <is>
          <t xml:space="preserve"> Powder</t>
        </is>
      </c>
      <c r="AI1077" s="11" t="inlineStr">
        <is>
          <t xml:space="preserve"> Touring</t>
        </is>
      </c>
      <c r="AJ1077" s="13" t="n"/>
      <c r="AK1077" s="42" t="n"/>
    </row>
    <row r="1078">
      <c r="E1078" s="40" t="inlineStr">
        <is>
          <t>21/22</t>
        </is>
      </c>
      <c r="F1078" s="10" t="inlineStr">
        <is>
          <t xml:space="preserve"> Line</t>
        </is>
      </c>
      <c r="G1078" s="11" t="inlineStr">
        <is>
          <t xml:space="preserve"> Sir Francis Bacon Shorty</t>
        </is>
      </c>
      <c r="H1078" s="13" t="n">
        <v>155</v>
      </c>
      <c r="I1078" s="11" t="inlineStr">
        <is>
          <t xml:space="preserve"> Junior</t>
        </is>
      </c>
      <c r="J1078" s="13" t="n">
        <v>155</v>
      </c>
      <c r="K1078" s="13" t="n">
        <v>152.3</v>
      </c>
      <c r="L1078" s="13" t="n">
        <v>76</v>
      </c>
      <c r="M1078" s="13" t="n">
        <v>119</v>
      </c>
      <c r="N1078" s="13" t="n">
        <v>132</v>
      </c>
      <c r="O1078" s="13" t="n">
        <v>106</v>
      </c>
      <c r="P1078" s="13" t="n">
        <v>129</v>
      </c>
      <c r="Q1078" s="13" t="n">
        <v>13.2</v>
      </c>
      <c r="R1078" s="13" t="n">
        <v>1682</v>
      </c>
      <c r="S1078" s="13" t="n">
        <v>1.05</v>
      </c>
      <c r="T1078" s="13" t="n">
        <v>1761</v>
      </c>
      <c r="U1078" s="13" t="n">
        <v>177</v>
      </c>
      <c r="V1078" s="13" t="n">
        <v>87</v>
      </c>
      <c r="W1078" s="13" t="n">
        <v>52</v>
      </c>
      <c r="X1078" s="13" t="n">
        <v>366</v>
      </c>
      <c r="Y1078" s="13" t="n">
        <v>50</v>
      </c>
      <c r="Z1078" s="13" t="n">
        <v>400</v>
      </c>
      <c r="AA1078" s="13" t="n">
        <v>0.957</v>
      </c>
      <c r="AB1078" s="13" t="n">
        <v>179</v>
      </c>
      <c r="AC1078" s="13" t="n">
        <v>158</v>
      </c>
      <c r="AD1078" s="13" t="n">
        <v>186</v>
      </c>
      <c r="AE1078" s="13" t="n">
        <v>1</v>
      </c>
      <c r="AF1078" s="13" t="n">
        <v>3.5</v>
      </c>
      <c r="AG1078" s="11" t="inlineStr">
        <is>
          <t xml:space="preserve"> Freeski</t>
        </is>
      </c>
      <c r="AH1078" s="11" t="inlineStr">
        <is>
          <t xml:space="preserve"> Powder</t>
        </is>
      </c>
      <c r="AI1078" s="13" t="n"/>
      <c r="AJ1078" s="13" t="n"/>
      <c r="AK1078" s="42" t="n"/>
    </row>
    <row r="1079">
      <c r="E1079" s="40" t="inlineStr">
        <is>
          <t>21/22</t>
        </is>
      </c>
      <c r="F1079" s="10" t="inlineStr">
        <is>
          <t xml:space="preserve"> Line</t>
        </is>
      </c>
      <c r="G1079" s="11" t="inlineStr">
        <is>
          <t xml:space="preserve"> Tom Wallisch Pro</t>
        </is>
      </c>
      <c r="H1079" s="13" t="n">
        <v>157</v>
      </c>
      <c r="I1079" s="11" t="inlineStr">
        <is>
          <t xml:space="preserve"> Unisex</t>
        </is>
      </c>
      <c r="J1079" s="13" t="n">
        <v>157</v>
      </c>
      <c r="K1079" s="13" t="n">
        <v>157.4</v>
      </c>
      <c r="L1079" s="13" t="n">
        <v>112</v>
      </c>
      <c r="M1079" s="13" t="n">
        <v>131</v>
      </c>
      <c r="N1079" s="13" t="n">
        <v>117</v>
      </c>
      <c r="O1079" s="13" t="n">
        <v>89</v>
      </c>
      <c r="P1079" s="13" t="n">
        <v>116</v>
      </c>
      <c r="Q1079" s="13" t="n">
        <v>14.6</v>
      </c>
      <c r="R1079" s="13" t="n">
        <v>1435</v>
      </c>
      <c r="S1079" s="13" t="n">
        <v>1.09</v>
      </c>
      <c r="T1079" s="13" t="n">
        <v>1562</v>
      </c>
      <c r="U1079" s="13" t="n">
        <v>124</v>
      </c>
      <c r="V1079" s="13" t="n">
        <v>66</v>
      </c>
      <c r="W1079" s="13" t="n">
        <v>36</v>
      </c>
      <c r="X1079" s="13" t="n">
        <v>201</v>
      </c>
      <c r="Y1079" s="13" t="n">
        <v>39</v>
      </c>
      <c r="Z1079" s="13" t="n">
        <v>254</v>
      </c>
      <c r="AA1079" s="13" t="n">
        <v>1.095</v>
      </c>
      <c r="AB1079" s="13" t="n">
        <v>123</v>
      </c>
      <c r="AC1079" s="13" t="n">
        <v>141</v>
      </c>
      <c r="AD1079" s="13" t="n">
        <v>78</v>
      </c>
      <c r="AE1079" s="13" t="n">
        <v>5</v>
      </c>
      <c r="AF1079" s="13" t="n">
        <v>1.9</v>
      </c>
      <c r="AG1079" s="11" t="inlineStr">
        <is>
          <t xml:space="preserve"> Freeski</t>
        </is>
      </c>
      <c r="AH1079" s="11" t="inlineStr">
        <is>
          <t xml:space="preserve"> Touring</t>
        </is>
      </c>
      <c r="AI1079" s="13" t="n"/>
      <c r="AJ1079" s="13" t="n"/>
      <c r="AK1079" s="42" t="n"/>
    </row>
    <row r="1080">
      <c r="E1080" s="40" t="inlineStr">
        <is>
          <t>21/22</t>
        </is>
      </c>
      <c r="F1080" s="10" t="inlineStr">
        <is>
          <t xml:space="preserve"> Line</t>
        </is>
      </c>
      <c r="G1080" s="11" t="inlineStr">
        <is>
          <t xml:space="preserve"> Tom Wallisch Pro</t>
        </is>
      </c>
      <c r="H1080" s="13" t="n">
        <v>164</v>
      </c>
      <c r="I1080" s="11" t="inlineStr">
        <is>
          <t xml:space="preserve"> Unisex</t>
        </is>
      </c>
      <c r="J1080" s="13" t="n">
        <v>164</v>
      </c>
      <c r="K1080" s="13" t="n">
        <v>164.1</v>
      </c>
      <c r="L1080" s="13" t="n">
        <v>118</v>
      </c>
      <c r="M1080" s="13" t="n">
        <v>138</v>
      </c>
      <c r="N1080" s="13" t="n">
        <v>117</v>
      </c>
      <c r="O1080" s="13" t="n">
        <v>89</v>
      </c>
      <c r="P1080" s="13" t="n">
        <v>116</v>
      </c>
      <c r="Q1080" s="13" t="n">
        <v>16.3</v>
      </c>
      <c r="R1080" s="13" t="n">
        <v>1518</v>
      </c>
      <c r="S1080" s="13" t="n">
        <v>1.07</v>
      </c>
      <c r="T1080" s="13" t="n">
        <v>1627</v>
      </c>
      <c r="U1080" s="13" t="n">
        <v>163</v>
      </c>
      <c r="V1080" s="13" t="n">
        <v>72</v>
      </c>
      <c r="W1080" s="13" t="n">
        <v>38</v>
      </c>
      <c r="X1080" s="13" t="n">
        <v>229</v>
      </c>
      <c r="Y1080" s="13" t="n">
        <v>37</v>
      </c>
      <c r="Z1080" s="13" t="n">
        <v>234</v>
      </c>
      <c r="AA1080" s="13" t="n">
        <v>0.986</v>
      </c>
      <c r="AB1080" s="13" t="n">
        <v>123</v>
      </c>
      <c r="AC1080" s="13" t="n">
        <v>134</v>
      </c>
      <c r="AD1080" s="13" t="n">
        <v>106</v>
      </c>
      <c r="AE1080" s="13" t="n">
        <v>5</v>
      </c>
      <c r="AF1080" s="13" t="n">
        <v>2.4</v>
      </c>
      <c r="AG1080" s="11" t="inlineStr">
        <is>
          <t xml:space="preserve"> Freeski</t>
        </is>
      </c>
      <c r="AH1080" s="11" t="inlineStr">
        <is>
          <t xml:space="preserve"> Touring</t>
        </is>
      </c>
      <c r="AI1080" s="13" t="n"/>
      <c r="AJ1080" s="13" t="n"/>
      <c r="AK1080" s="42" t="n"/>
    </row>
    <row r="1081">
      <c r="E1081" s="40" t="inlineStr">
        <is>
          <t>21/22</t>
        </is>
      </c>
      <c r="F1081" s="10" t="inlineStr">
        <is>
          <t xml:space="preserve"> Line</t>
        </is>
      </c>
      <c r="G1081" s="11" t="inlineStr">
        <is>
          <t xml:space="preserve"> Tom Wallisch Pro</t>
        </is>
      </c>
      <c r="H1081" s="13" t="n">
        <v>171</v>
      </c>
      <c r="I1081" s="11" t="inlineStr">
        <is>
          <t xml:space="preserve"> Unisex</t>
        </is>
      </c>
      <c r="J1081" s="13" t="n">
        <v>171</v>
      </c>
      <c r="K1081" s="13" t="n">
        <v>171.1</v>
      </c>
      <c r="L1081" s="13" t="n">
        <v>126</v>
      </c>
      <c r="M1081" s="13" t="n">
        <v>144</v>
      </c>
      <c r="N1081" s="13" t="n">
        <v>116</v>
      </c>
      <c r="O1081" s="13" t="n">
        <v>89</v>
      </c>
      <c r="P1081" s="13" t="n">
        <v>116</v>
      </c>
      <c r="Q1081" s="13" t="n">
        <v>18.4</v>
      </c>
      <c r="R1081" s="13" t="n">
        <v>1633</v>
      </c>
      <c r="S1081" s="13" t="n">
        <v>1.04</v>
      </c>
      <c r="T1081" s="13" t="n">
        <v>1696</v>
      </c>
      <c r="U1081" s="13" t="n">
        <v>153</v>
      </c>
      <c r="V1081" s="13" t="n">
        <v>81</v>
      </c>
      <c r="W1081" s="13" t="n">
        <v>46</v>
      </c>
      <c r="X1081" s="13" t="n">
        <v>225</v>
      </c>
      <c r="Y1081" s="13" t="n">
        <v>41</v>
      </c>
      <c r="Z1081" s="13" t="n">
        <v>222</v>
      </c>
      <c r="AA1081" s="13" t="n">
        <v>0.895</v>
      </c>
      <c r="AB1081" s="13" t="n">
        <v>130</v>
      </c>
      <c r="AC1081" s="13" t="n">
        <v>145</v>
      </c>
      <c r="AD1081" s="13" t="n">
        <v>95</v>
      </c>
      <c r="AE1081" s="13" t="n">
        <v>7</v>
      </c>
      <c r="AF1081" s="13" t="n">
        <v>1.8</v>
      </c>
      <c r="AG1081" s="11" t="inlineStr">
        <is>
          <t xml:space="preserve"> Freeski</t>
        </is>
      </c>
      <c r="AH1081" s="13" t="n"/>
      <c r="AI1081" s="13" t="n"/>
      <c r="AJ1081" s="13" t="n"/>
      <c r="AK1081" s="42" t="n"/>
    </row>
    <row r="1082">
      <c r="E1082" s="40" t="inlineStr">
        <is>
          <t>21/22</t>
        </is>
      </c>
      <c r="F1082" s="10" t="inlineStr">
        <is>
          <t xml:space="preserve"> Line</t>
        </is>
      </c>
      <c r="G1082" s="11" t="inlineStr">
        <is>
          <t xml:space="preserve"> Tom Wallisch Pro</t>
        </is>
      </c>
      <c r="H1082" s="13" t="n">
        <v>178</v>
      </c>
      <c r="I1082" s="11" t="inlineStr">
        <is>
          <t xml:space="preserve"> Unisex</t>
        </is>
      </c>
      <c r="J1082" s="13" t="n">
        <v>178</v>
      </c>
      <c r="K1082" s="13" t="n">
        <v>177.7</v>
      </c>
      <c r="L1082" s="13" t="n">
        <v>131</v>
      </c>
      <c r="M1082" s="13" t="n">
        <v>151</v>
      </c>
      <c r="N1082" s="13" t="n">
        <v>117</v>
      </c>
      <c r="O1082" s="13" t="n">
        <v>89</v>
      </c>
      <c r="P1082" s="13" t="n">
        <v>116</v>
      </c>
      <c r="Q1082" s="13" t="n">
        <v>19.9</v>
      </c>
      <c r="R1082" s="13" t="n">
        <v>1752</v>
      </c>
      <c r="S1082" s="13" t="n">
        <v>1.01</v>
      </c>
      <c r="T1082" s="13" t="n">
        <v>1763</v>
      </c>
      <c r="U1082" s="13" t="n">
        <v>200</v>
      </c>
      <c r="V1082" s="13" t="n">
        <v>91</v>
      </c>
      <c r="W1082" s="13" t="n">
        <v>42</v>
      </c>
      <c r="X1082" s="13" t="n">
        <v>235</v>
      </c>
      <c r="Y1082" s="13" t="n">
        <v>44</v>
      </c>
      <c r="Z1082" s="13" t="n">
        <v>228</v>
      </c>
      <c r="AA1082" s="13" t="n">
        <v>1.031</v>
      </c>
      <c r="AB1082" s="13" t="n">
        <v>125</v>
      </c>
      <c r="AC1082" s="13" t="n">
        <v>139</v>
      </c>
      <c r="AD1082" s="13" t="n">
        <v>110</v>
      </c>
      <c r="AE1082" s="13" t="n">
        <v>8</v>
      </c>
      <c r="AF1082" s="13" t="n">
        <v>2.4</v>
      </c>
      <c r="AG1082" s="11" t="inlineStr">
        <is>
          <t xml:space="preserve"> Freeski</t>
        </is>
      </c>
      <c r="AH1082" s="13" t="n"/>
      <c r="AI1082" s="13" t="n"/>
      <c r="AJ1082" s="13" t="n"/>
      <c r="AK1082" s="42" t="n"/>
    </row>
    <row r="1083">
      <c r="E1083" s="40" t="inlineStr">
        <is>
          <t>21/22</t>
        </is>
      </c>
      <c r="F1083" s="10" t="inlineStr">
        <is>
          <t xml:space="preserve"> Line</t>
        </is>
      </c>
      <c r="G1083" s="11" t="inlineStr">
        <is>
          <t>Vision 108</t>
        </is>
      </c>
      <c r="H1083" s="13" t="n">
        <v>175</v>
      </c>
      <c r="I1083" s="11" t="inlineStr">
        <is>
          <t xml:space="preserve"> Unisex</t>
        </is>
      </c>
      <c r="J1083" s="13" t="n">
        <v>175</v>
      </c>
      <c r="K1083" s="13" t="n">
        <v>174.6</v>
      </c>
      <c r="L1083" s="13" t="n">
        <v>91</v>
      </c>
      <c r="M1083" s="13" t="n">
        <v>141</v>
      </c>
      <c r="N1083" s="13" t="n">
        <v>141</v>
      </c>
      <c r="O1083" s="13" t="n">
        <v>107</v>
      </c>
      <c r="P1083" s="13" t="n">
        <v>127</v>
      </c>
      <c r="Q1083" s="13" t="n">
        <v>17.3</v>
      </c>
      <c r="R1083" s="13" t="n">
        <v>1517</v>
      </c>
      <c r="S1083" s="13" t="n">
        <v>1.35</v>
      </c>
      <c r="T1083" s="13" t="n">
        <v>2043</v>
      </c>
      <c r="U1083" s="13" t="n">
        <v>188</v>
      </c>
      <c r="V1083" s="13" t="n">
        <v>81</v>
      </c>
      <c r="W1083" s="13" t="n">
        <v>52</v>
      </c>
      <c r="X1083" s="13" t="n">
        <v>460</v>
      </c>
      <c r="Y1083" s="13" t="n">
        <v>34</v>
      </c>
      <c r="Z1083" s="13" t="n">
        <v>378</v>
      </c>
      <c r="AA1083" s="13" t="n">
        <v>0.654</v>
      </c>
      <c r="AB1083" s="13" t="n">
        <v>173</v>
      </c>
      <c r="AC1083" s="13" t="n">
        <v>168</v>
      </c>
      <c r="AD1083" s="13" t="n">
        <v>287</v>
      </c>
      <c r="AE1083" s="13" t="n">
        <v>2</v>
      </c>
      <c r="AF1083" s="13" t="n">
        <v>6.4</v>
      </c>
      <c r="AG1083" s="11" t="inlineStr">
        <is>
          <t xml:space="preserve"> Powder</t>
        </is>
      </c>
      <c r="AH1083" s="11" t="inlineStr">
        <is>
          <t xml:space="preserve"> Touring</t>
        </is>
      </c>
      <c r="AI1083" s="11" t="inlineStr">
        <is>
          <t xml:space="preserve"> Ultralight Touring</t>
        </is>
      </c>
      <c r="AJ1083" s="13" t="n"/>
      <c r="AK1083" s="42" t="n"/>
    </row>
    <row r="1084">
      <c r="E1084" s="40" t="inlineStr">
        <is>
          <t>21/22</t>
        </is>
      </c>
      <c r="F1084" s="10" t="inlineStr">
        <is>
          <t xml:space="preserve"> Line</t>
        </is>
      </c>
      <c r="G1084" s="11" t="inlineStr">
        <is>
          <t>Vision 108</t>
        </is>
      </c>
      <c r="H1084" s="13" t="n">
        <v>183</v>
      </c>
      <c r="I1084" s="11" t="inlineStr">
        <is>
          <t xml:space="preserve"> Unisex</t>
        </is>
      </c>
      <c r="J1084" s="13" t="n">
        <v>183</v>
      </c>
      <c r="K1084" s="13" t="n">
        <v>181.7</v>
      </c>
      <c r="L1084" s="13" t="n">
        <v>97</v>
      </c>
      <c r="M1084" s="13" t="n">
        <v>148</v>
      </c>
      <c r="N1084" s="13" t="n">
        <v>141</v>
      </c>
      <c r="O1084" s="13" t="n">
        <v>107</v>
      </c>
      <c r="P1084" s="13" t="n">
        <v>127</v>
      </c>
      <c r="Q1084" s="13" t="n">
        <v>19</v>
      </c>
      <c r="R1084" s="13" t="n">
        <v>1627</v>
      </c>
      <c r="S1084" s="13" t="n">
        <v>1.31</v>
      </c>
      <c r="T1084" s="13" t="n">
        <v>2125</v>
      </c>
      <c r="U1084" s="13" t="n">
        <v>186</v>
      </c>
      <c r="V1084" s="13" t="n">
        <v>92</v>
      </c>
      <c r="W1084" s="13" t="n">
        <v>55</v>
      </c>
      <c r="X1084" s="13" t="n">
        <v>465</v>
      </c>
      <c r="Y1084" s="13" t="n">
        <v>35</v>
      </c>
      <c r="Z1084" s="13" t="n">
        <v>380</v>
      </c>
      <c r="AA1084" s="13" t="n">
        <v>0.643</v>
      </c>
      <c r="AB1084" s="13" t="n">
        <v>164</v>
      </c>
      <c r="AC1084" s="13" t="n">
        <v>173</v>
      </c>
      <c r="AD1084" s="13" t="n">
        <v>302</v>
      </c>
      <c r="AE1084" s="13" t="n">
        <v>3</v>
      </c>
      <c r="AF1084" s="13" t="n">
        <v>6.8</v>
      </c>
      <c r="AG1084" s="11" t="inlineStr">
        <is>
          <t xml:space="preserve"> Powder</t>
        </is>
      </c>
      <c r="AH1084" s="11" t="inlineStr">
        <is>
          <t xml:space="preserve"> Touring</t>
        </is>
      </c>
      <c r="AI1084" s="11" t="inlineStr">
        <is>
          <t xml:space="preserve"> Ultralight Touring</t>
        </is>
      </c>
      <c r="AJ1084" s="13" t="n"/>
      <c r="AK1084" s="42" t="n"/>
    </row>
    <row r="1085">
      <c r="E1085" s="40" t="inlineStr">
        <is>
          <t>21/22</t>
        </is>
      </c>
      <c r="F1085" s="10" t="inlineStr">
        <is>
          <t xml:space="preserve"> Line</t>
        </is>
      </c>
      <c r="G1085" s="11" t="inlineStr">
        <is>
          <t>Vision 118</t>
        </is>
      </c>
      <c r="H1085" s="13" t="n">
        <v>175</v>
      </c>
      <c r="I1085" s="11" t="inlineStr">
        <is>
          <t xml:space="preserve"> Unisex</t>
        </is>
      </c>
      <c r="J1085" s="13" t="n">
        <v>175</v>
      </c>
      <c r="K1085" s="13" t="n">
        <v>175.3</v>
      </c>
      <c r="L1085" s="13" t="n">
        <v>85</v>
      </c>
      <c r="M1085" s="13" t="n">
        <v>140</v>
      </c>
      <c r="N1085" s="13" t="n">
        <v>151</v>
      </c>
      <c r="O1085" s="13" t="n">
        <v>117</v>
      </c>
      <c r="P1085" s="13" t="n">
        <v>137</v>
      </c>
      <c r="Q1085" s="13" t="n">
        <v>17.2</v>
      </c>
      <c r="R1085" s="13" t="n">
        <v>1758</v>
      </c>
      <c r="S1085" s="13" t="n">
        <v>1.26</v>
      </c>
      <c r="T1085" s="13" t="n">
        <v>2223</v>
      </c>
      <c r="U1085" s="13" t="n">
        <v>175</v>
      </c>
      <c r="V1085" s="13" t="n">
        <v>92</v>
      </c>
      <c r="W1085" s="13" t="n">
        <v>52</v>
      </c>
      <c r="X1085" s="13" t="n">
        <v>495</v>
      </c>
      <c r="Y1085" s="13" t="n">
        <v>34</v>
      </c>
      <c r="Z1085" s="13" t="n">
        <v>411</v>
      </c>
      <c r="AA1085" s="13" t="n">
        <v>0.639</v>
      </c>
      <c r="AB1085" s="13" t="n">
        <v>180</v>
      </c>
      <c r="AC1085" s="13" t="n">
        <v>177</v>
      </c>
      <c r="AD1085" s="13" t="n">
        <v>315</v>
      </c>
      <c r="AE1085" s="13" t="n">
        <v>3</v>
      </c>
      <c r="AF1085" s="13" t="n">
        <v>6.7</v>
      </c>
      <c r="AG1085" s="11" t="inlineStr">
        <is>
          <t xml:space="preserve"> Powder</t>
        </is>
      </c>
      <c r="AH1085" s="11" t="inlineStr">
        <is>
          <t xml:space="preserve"> Touring</t>
        </is>
      </c>
      <c r="AI1085" s="11" t="inlineStr">
        <is>
          <t xml:space="preserve"> Ultralight Touring</t>
        </is>
      </c>
      <c r="AJ1085" s="13" t="n"/>
      <c r="AK1085" s="42" t="n"/>
    </row>
    <row r="1086">
      <c r="E1086" s="40" t="inlineStr">
        <is>
          <t>21/22</t>
        </is>
      </c>
      <c r="F1086" s="10" t="inlineStr">
        <is>
          <t xml:space="preserve"> Line</t>
        </is>
      </c>
      <c r="G1086" s="11" t="inlineStr">
        <is>
          <t>Vision 118</t>
        </is>
      </c>
      <c r="H1086" s="13" t="n">
        <v>183</v>
      </c>
      <c r="I1086" s="11" t="inlineStr">
        <is>
          <t xml:space="preserve"> Unisex</t>
        </is>
      </c>
      <c r="J1086" s="13" t="n">
        <v>183</v>
      </c>
      <c r="K1086" s="13" t="n">
        <v>182.6</v>
      </c>
      <c r="L1086" s="13" t="n">
        <v>102</v>
      </c>
      <c r="M1086" s="13" t="n">
        <v>147</v>
      </c>
      <c r="N1086" s="13" t="n">
        <v>151</v>
      </c>
      <c r="O1086" s="13" t="n">
        <v>117</v>
      </c>
      <c r="P1086" s="13" t="n">
        <v>137</v>
      </c>
      <c r="Q1086" s="13" t="n">
        <v>19.1</v>
      </c>
      <c r="R1086" s="13" t="n">
        <v>1854</v>
      </c>
      <c r="S1086" s="13" t="n">
        <v>1.25</v>
      </c>
      <c r="T1086" s="13" t="n">
        <v>2318</v>
      </c>
      <c r="U1086" s="13" t="n">
        <v>210</v>
      </c>
      <c r="V1086" s="13" t="n">
        <v>102</v>
      </c>
      <c r="W1086" s="13" t="n">
        <v>56</v>
      </c>
      <c r="X1086" s="13" t="n">
        <v>430</v>
      </c>
      <c r="Y1086" s="13" t="n">
        <v>37</v>
      </c>
      <c r="Z1086" s="13" t="n">
        <v>376</v>
      </c>
      <c r="AA1086" s="13" t="n">
        <v>0.657</v>
      </c>
      <c r="AB1086" s="13" t="n">
        <v>177</v>
      </c>
      <c r="AC1086" s="13" t="n">
        <v>179</v>
      </c>
      <c r="AD1086" s="13" t="n">
        <v>252</v>
      </c>
      <c r="AE1086" s="13" t="n">
        <v>3</v>
      </c>
      <c r="AF1086" s="13" t="n">
        <v>6.1</v>
      </c>
      <c r="AG1086" s="11" t="inlineStr">
        <is>
          <t xml:space="preserve"> Powder</t>
        </is>
      </c>
      <c r="AH1086" s="11" t="inlineStr">
        <is>
          <t xml:space="preserve"> Touring</t>
        </is>
      </c>
      <c r="AI1086" s="11" t="inlineStr">
        <is>
          <t xml:space="preserve"> Ultralight Touring</t>
        </is>
      </c>
      <c r="AJ1086" s="13" t="n"/>
      <c r="AK1086" s="42" t="n"/>
    </row>
    <row r="1087">
      <c r="E1087" s="40" t="inlineStr">
        <is>
          <t>21/22</t>
        </is>
      </c>
      <c r="F1087" s="10" t="inlineStr">
        <is>
          <t xml:space="preserve"> Line</t>
        </is>
      </c>
      <c r="G1087" s="11" t="inlineStr">
        <is>
          <t>Vision 118</t>
        </is>
      </c>
      <c r="H1087" s="13" t="n">
        <v>189</v>
      </c>
      <c r="I1087" s="11" t="inlineStr">
        <is>
          <t xml:space="preserve"> Unisex</t>
        </is>
      </c>
      <c r="J1087" s="13" t="n">
        <v>189</v>
      </c>
      <c r="K1087" s="13" t="n">
        <v>188.4</v>
      </c>
      <c r="L1087" s="13" t="n">
        <v>114</v>
      </c>
      <c r="M1087" s="13" t="n">
        <v>153</v>
      </c>
      <c r="N1087" s="13" t="n">
        <v>151</v>
      </c>
      <c r="O1087" s="13" t="n">
        <v>117</v>
      </c>
      <c r="P1087" s="13" t="n">
        <v>137</v>
      </c>
      <c r="Q1087" s="13" t="n">
        <v>20.5</v>
      </c>
      <c r="R1087" s="13" t="n">
        <v>1974</v>
      </c>
      <c r="S1087" s="13" t="n">
        <v>1.21</v>
      </c>
      <c r="T1087" s="13" t="n">
        <v>2392</v>
      </c>
      <c r="U1087" s="13" t="n">
        <v>247</v>
      </c>
      <c r="V1087" s="13" t="n">
        <v>112</v>
      </c>
      <c r="W1087" s="13" t="n">
        <v>52</v>
      </c>
      <c r="X1087" s="13" t="n">
        <v>384</v>
      </c>
      <c r="Y1087" s="13" t="n">
        <v>33</v>
      </c>
      <c r="Z1087" s="13" t="n">
        <v>362</v>
      </c>
      <c r="AA1087" s="13" t="n">
        <v>0.639</v>
      </c>
      <c r="AB1087" s="13" t="n">
        <v>172</v>
      </c>
      <c r="AC1087" s="13" t="n">
        <v>181</v>
      </c>
      <c r="AD1087" s="13" t="n">
        <v>212</v>
      </c>
      <c r="AE1087" s="13" t="n">
        <v>3</v>
      </c>
      <c r="AF1087" s="13" t="n">
        <v>7.4</v>
      </c>
      <c r="AG1087" s="11" t="inlineStr">
        <is>
          <t xml:space="preserve"> Powder</t>
        </is>
      </c>
      <c r="AH1087" s="11" t="inlineStr">
        <is>
          <t xml:space="preserve"> Touring</t>
        </is>
      </c>
      <c r="AI1087" s="13" t="n"/>
      <c r="AJ1087" s="13" t="n"/>
      <c r="AK1087" s="42" t="n"/>
    </row>
    <row r="1088">
      <c r="E1088" s="40" t="inlineStr">
        <is>
          <t>21/22</t>
        </is>
      </c>
      <c r="F1088" s="10" t="inlineStr">
        <is>
          <t xml:space="preserve"> Line</t>
        </is>
      </c>
      <c r="G1088" s="11" t="inlineStr">
        <is>
          <t>Vision 98</t>
        </is>
      </c>
      <c r="H1088" s="13" t="n">
        <v>172</v>
      </c>
      <c r="I1088" s="11" t="inlineStr">
        <is>
          <t xml:space="preserve"> Unisex</t>
        </is>
      </c>
      <c r="J1088" s="13" t="n">
        <v>172</v>
      </c>
      <c r="K1088" s="13" t="n">
        <v>171.9</v>
      </c>
      <c r="L1088" s="13" t="n">
        <v>111</v>
      </c>
      <c r="M1088" s="13" t="n">
        <v>138</v>
      </c>
      <c r="N1088" s="13" t="n">
        <v>130</v>
      </c>
      <c r="O1088" s="13" t="n">
        <v>97</v>
      </c>
      <c r="P1088" s="13" t="n">
        <v>117</v>
      </c>
      <c r="Q1088" s="13" t="n">
        <v>16.5</v>
      </c>
      <c r="R1088" s="13" t="n">
        <v>1347</v>
      </c>
      <c r="S1088" s="13" t="n">
        <v>1.37</v>
      </c>
      <c r="T1088" s="13" t="n">
        <v>1840</v>
      </c>
      <c r="U1088" s="13" t="n">
        <v>156</v>
      </c>
      <c r="V1088" s="13" t="n">
        <v>64</v>
      </c>
      <c r="W1088" s="13" t="n">
        <v>51</v>
      </c>
      <c r="X1088" s="13" t="n">
        <v>333</v>
      </c>
      <c r="Y1088" s="13" t="n">
        <v>33</v>
      </c>
      <c r="Z1088" s="13" t="n">
        <v>280</v>
      </c>
      <c r="AA1088" s="13" t="n">
        <v>0.65</v>
      </c>
      <c r="AB1088" s="13" t="n">
        <v>167</v>
      </c>
      <c r="AC1088" s="13" t="n">
        <v>173</v>
      </c>
      <c r="AD1088" s="13" t="n">
        <v>166</v>
      </c>
      <c r="AE1088" s="13" t="n">
        <v>4</v>
      </c>
      <c r="AF1088" s="13" t="n">
        <v>6.3</v>
      </c>
      <c r="AG1088" s="11" t="inlineStr">
        <is>
          <t xml:space="preserve"> Touring</t>
        </is>
      </c>
      <c r="AH1088" s="11" t="inlineStr">
        <is>
          <t xml:space="preserve"> Ultralight Touring</t>
        </is>
      </c>
      <c r="AI1088" s="13" t="n"/>
      <c r="AJ1088" s="13" t="n"/>
      <c r="AK1088" s="42" t="n"/>
    </row>
    <row r="1089">
      <c r="E1089" s="40" t="inlineStr">
        <is>
          <t>21/22</t>
        </is>
      </c>
      <c r="F1089" s="10" t="inlineStr">
        <is>
          <t xml:space="preserve"> Line</t>
        </is>
      </c>
      <c r="G1089" s="11" t="inlineStr">
        <is>
          <t>Vision 98</t>
        </is>
      </c>
      <c r="H1089" s="13" t="n">
        <v>179</v>
      </c>
      <c r="I1089" s="11" t="inlineStr">
        <is>
          <t xml:space="preserve"> Unisex</t>
        </is>
      </c>
      <c r="J1089" s="13" t="n">
        <v>179</v>
      </c>
      <c r="K1089" s="13" t="n">
        <v>178.3</v>
      </c>
      <c r="L1089" s="13" t="n">
        <v>117</v>
      </c>
      <c r="M1089" s="13" t="n">
        <v>145</v>
      </c>
      <c r="N1089" s="13" t="n">
        <v>130</v>
      </c>
      <c r="O1089" s="13" t="n">
        <v>97</v>
      </c>
      <c r="P1089" s="13" t="n">
        <v>117</v>
      </c>
      <c r="Q1089" s="13" t="n">
        <v>18.1</v>
      </c>
      <c r="R1089" s="13" t="n">
        <v>1452</v>
      </c>
      <c r="S1089" s="13" t="n">
        <v>1.32</v>
      </c>
      <c r="T1089" s="13" t="n">
        <v>1910</v>
      </c>
      <c r="U1089" s="13" t="n">
        <v>192</v>
      </c>
      <c r="V1089" s="13" t="n">
        <v>80</v>
      </c>
      <c r="W1089" s="13" t="n">
        <v>52</v>
      </c>
      <c r="X1089" s="13" t="n">
        <v>341</v>
      </c>
      <c r="Y1089" s="13" t="n">
        <v>32</v>
      </c>
      <c r="Z1089" s="13" t="n">
        <v>271</v>
      </c>
      <c r="AA1089" s="13" t="n">
        <v>0.619</v>
      </c>
      <c r="AB1089" s="13" t="n">
        <v>165</v>
      </c>
      <c r="AC1089" s="13" t="n">
        <v>171</v>
      </c>
      <c r="AD1089" s="13" t="n">
        <v>176</v>
      </c>
      <c r="AE1089" s="13" t="n">
        <v>5</v>
      </c>
      <c r="AF1089" s="13" t="n">
        <v>6.3</v>
      </c>
      <c r="AG1089" s="11" t="inlineStr">
        <is>
          <t xml:space="preserve"> Touring</t>
        </is>
      </c>
      <c r="AH1089" s="11" t="inlineStr">
        <is>
          <t xml:space="preserve"> Ultralight Touring</t>
        </is>
      </c>
      <c r="AI1089" s="13" t="n"/>
      <c r="AJ1089" s="13" t="n"/>
      <c r="AK1089" s="42" t="n"/>
    </row>
    <row r="1090">
      <c r="E1090" s="40" t="inlineStr">
        <is>
          <t>21/22</t>
        </is>
      </c>
      <c r="F1090" s="10" t="inlineStr">
        <is>
          <t xml:space="preserve"> Line</t>
        </is>
      </c>
      <c r="G1090" s="11" t="inlineStr">
        <is>
          <t>Vision 98</t>
        </is>
      </c>
      <c r="H1090" s="13" t="n">
        <v>186</v>
      </c>
      <c r="I1090" s="11" t="inlineStr">
        <is>
          <t xml:space="preserve"> Unisex</t>
        </is>
      </c>
      <c r="J1090" s="13" t="n">
        <v>186</v>
      </c>
      <c r="K1090" s="13" t="n">
        <v>185.2</v>
      </c>
      <c r="L1090" s="13" t="n">
        <v>112</v>
      </c>
      <c r="M1090" s="13" t="n">
        <v>151</v>
      </c>
      <c r="N1090" s="13" t="n">
        <v>130</v>
      </c>
      <c r="O1090" s="13" t="n">
        <v>97</v>
      </c>
      <c r="P1090" s="13" t="n">
        <v>117</v>
      </c>
      <c r="Q1090" s="13" t="n">
        <v>19.8</v>
      </c>
      <c r="R1090" s="13" t="n">
        <v>1531</v>
      </c>
      <c r="S1090" s="13" t="n">
        <v>1.29</v>
      </c>
      <c r="T1090" s="13" t="n">
        <v>1982</v>
      </c>
      <c r="U1090" s="13" t="n">
        <v>202</v>
      </c>
      <c r="V1090" s="13" t="n">
        <v>88</v>
      </c>
      <c r="W1090" s="13" t="n">
        <v>52</v>
      </c>
      <c r="X1090" s="13" t="n">
        <v>383</v>
      </c>
      <c r="Y1090" s="13" t="n">
        <v>35</v>
      </c>
      <c r="Z1090" s="13" t="n">
        <v>349</v>
      </c>
      <c r="AA1090" s="13" t="n">
        <v>0.665</v>
      </c>
      <c r="AB1090" s="13" t="n">
        <v>168</v>
      </c>
      <c r="AC1090" s="13" t="n">
        <v>176</v>
      </c>
      <c r="AD1090" s="13" t="n">
        <v>215</v>
      </c>
      <c r="AE1090" s="13" t="n">
        <v>5</v>
      </c>
      <c r="AF1090" s="13" t="n">
        <v>6.6</v>
      </c>
      <c r="AG1090" s="11" t="inlineStr">
        <is>
          <t xml:space="preserve"> Touring</t>
        </is>
      </c>
      <c r="AH1090" s="11" t="inlineStr">
        <is>
          <t xml:space="preserve"> Ultralight Touring</t>
        </is>
      </c>
      <c r="AI1090" s="13" t="n"/>
      <c r="AJ1090" s="13" t="n"/>
      <c r="AK1090" s="42" t="n"/>
    </row>
    <row r="1091">
      <c r="E1091" s="40" t="inlineStr">
        <is>
          <t>21/22</t>
        </is>
      </c>
      <c r="F1091" s="10" t="inlineStr">
        <is>
          <t xml:space="preserve"> Nordica</t>
        </is>
      </c>
      <c r="G1091" s="11" t="inlineStr">
        <is>
          <t>Belle 72 Ca</t>
        </is>
      </c>
      <c r="H1091" s="13" t="n">
        <v>156</v>
      </c>
      <c r="I1091" s="11" t="inlineStr">
        <is>
          <t xml:space="preserve"> Women's</t>
        </is>
      </c>
      <c r="J1091" s="13" t="n">
        <v>156</v>
      </c>
      <c r="K1091" s="13" t="n">
        <v>155.6</v>
      </c>
      <c r="L1091" s="13" t="n">
        <v>133</v>
      </c>
      <c r="M1091" s="13" t="n">
        <v>140</v>
      </c>
      <c r="N1091" s="13" t="n">
        <v>119</v>
      </c>
      <c r="O1091" s="13" t="n">
        <v>71</v>
      </c>
      <c r="P1091" s="13" t="n">
        <v>98</v>
      </c>
      <c r="Q1091" s="13" t="n">
        <v>12.7</v>
      </c>
      <c r="R1091" s="13" t="n">
        <v>1661</v>
      </c>
      <c r="S1091" s="13" t="n">
        <v>0.8</v>
      </c>
      <c r="T1091" s="13" t="n">
        <v>1327</v>
      </c>
      <c r="U1091" s="13" t="n">
        <v>156</v>
      </c>
      <c r="V1091" s="13" t="n">
        <v>53</v>
      </c>
      <c r="W1091" s="13" t="n">
        <v>36</v>
      </c>
      <c r="X1091" s="13" t="n">
        <v>144</v>
      </c>
      <c r="Y1091" s="13" t="n">
        <v>9</v>
      </c>
      <c r="Z1091" s="13" t="n">
        <v>86</v>
      </c>
      <c r="AA1091" s="13" t="n">
        <v>0.246</v>
      </c>
      <c r="AB1091" s="13" t="n">
        <v>65</v>
      </c>
      <c r="AC1091" s="13" t="n">
        <v>86</v>
      </c>
      <c r="AD1091" s="13" t="n">
        <v>79</v>
      </c>
      <c r="AE1091" s="13" t="n">
        <v>9</v>
      </c>
      <c r="AF1091" s="13" t="n">
        <v>9.300000000000001</v>
      </c>
      <c r="AG1091" s="11" t="inlineStr">
        <is>
          <t xml:space="preserve"> On-Piste Carving</t>
        </is>
      </c>
      <c r="AH1091" s="13" t="n"/>
      <c r="AI1091" s="13" t="n"/>
      <c r="AJ1091" s="13" t="n"/>
      <c r="AK1091" s="42" t="n"/>
    </row>
    <row r="1092">
      <c r="E1092" s="40" t="inlineStr">
        <is>
          <t>21/22</t>
        </is>
      </c>
      <c r="F1092" s="10" t="inlineStr">
        <is>
          <t xml:space="preserve"> Nordica</t>
        </is>
      </c>
      <c r="G1092" s="11" t="inlineStr">
        <is>
          <t>Belle 72 Ca</t>
        </is>
      </c>
      <c r="H1092" s="13" t="n">
        <v>162</v>
      </c>
      <c r="I1092" s="11" t="inlineStr">
        <is>
          <t xml:space="preserve"> Women's</t>
        </is>
      </c>
      <c r="J1092" s="13" t="n">
        <v>162</v>
      </c>
      <c r="K1092" s="13" t="n">
        <v>161.3</v>
      </c>
      <c r="L1092" s="13" t="n">
        <v>137</v>
      </c>
      <c r="M1092" s="13" t="n">
        <v>146</v>
      </c>
      <c r="N1092" s="13" t="n">
        <v>120</v>
      </c>
      <c r="O1092" s="13" t="n">
        <v>71</v>
      </c>
      <c r="P1092" s="13" t="n">
        <v>99</v>
      </c>
      <c r="Q1092" s="13" t="n">
        <v>13.5</v>
      </c>
      <c r="R1092" s="13" t="n">
        <v>1813</v>
      </c>
      <c r="S1092" s="13" t="n">
        <v>0.76</v>
      </c>
      <c r="T1092" s="13" t="n">
        <v>1384</v>
      </c>
      <c r="U1092" s="13" t="n">
        <v>190</v>
      </c>
      <c r="V1092" s="13" t="n">
        <v>63</v>
      </c>
      <c r="W1092" s="13" t="n">
        <v>39</v>
      </c>
      <c r="X1092" s="13" t="n">
        <v>164</v>
      </c>
      <c r="Y1092" s="13" t="n">
        <v>8</v>
      </c>
      <c r="Z1092" s="13" t="n">
        <v>84</v>
      </c>
      <c r="AA1092" s="13" t="n">
        <v>0.214</v>
      </c>
      <c r="AB1092" s="13" t="n">
        <v>64</v>
      </c>
      <c r="AC1092" s="13" t="n">
        <v>86</v>
      </c>
      <c r="AD1092" s="13" t="n">
        <v>99</v>
      </c>
      <c r="AE1092" s="13" t="n">
        <v>8</v>
      </c>
      <c r="AF1092" s="13" t="n">
        <v>9.1</v>
      </c>
      <c r="AG1092" s="11" t="inlineStr">
        <is>
          <t xml:space="preserve"> On-Piste Carving</t>
        </is>
      </c>
      <c r="AH1092" s="13" t="n"/>
      <c r="AI1092" s="13" t="n"/>
      <c r="AJ1092" s="13" t="n"/>
      <c r="AK1092" s="42" t="n"/>
    </row>
    <row r="1093">
      <c r="E1093" s="40" t="inlineStr">
        <is>
          <t>21/22</t>
        </is>
      </c>
      <c r="F1093" s="10" t="inlineStr">
        <is>
          <t xml:space="preserve"> Nordica</t>
        </is>
      </c>
      <c r="G1093" s="11" t="inlineStr">
        <is>
          <t>Belle 73</t>
        </is>
      </c>
      <c r="H1093" s="13" t="n">
        <v>144</v>
      </c>
      <c r="I1093" s="11" t="inlineStr">
        <is>
          <t xml:space="preserve"> Women's</t>
        </is>
      </c>
      <c r="J1093" s="13" t="n">
        <v>144</v>
      </c>
      <c r="K1093" s="13" t="n">
        <v>143.2</v>
      </c>
      <c r="L1093" s="13" t="n">
        <v>119</v>
      </c>
      <c r="M1093" s="13" t="n">
        <v>129</v>
      </c>
      <c r="N1093" s="13" t="n">
        <v>119</v>
      </c>
      <c r="O1093" s="13" t="n">
        <v>72</v>
      </c>
      <c r="P1093" s="13" t="n">
        <v>96</v>
      </c>
      <c r="Q1093" s="13" t="n">
        <v>11.7</v>
      </c>
      <c r="R1093" s="13" t="n">
        <v>1520</v>
      </c>
      <c r="S1093" s="13" t="n">
        <v>0.8</v>
      </c>
      <c r="T1093" s="13" t="n">
        <v>1224</v>
      </c>
      <c r="U1093" s="13" t="n">
        <v>131</v>
      </c>
      <c r="V1093" s="13" t="n">
        <v>54</v>
      </c>
      <c r="W1093" s="13" t="n">
        <v>38</v>
      </c>
      <c r="X1093" s="13" t="n">
        <v>147</v>
      </c>
      <c r="Y1093" s="13" t="n">
        <v>9</v>
      </c>
      <c r="Z1093" s="13" t="n">
        <v>91</v>
      </c>
      <c r="AA1093" s="13" t="n">
        <v>0.248</v>
      </c>
      <c r="AB1093" s="13" t="n">
        <v>66</v>
      </c>
      <c r="AC1093" s="13" t="n">
        <v>79</v>
      </c>
      <c r="AD1093" s="13" t="n">
        <v>81</v>
      </c>
      <c r="AE1093" s="13" t="n">
        <v>7</v>
      </c>
      <c r="AF1093" s="13" t="n">
        <v>9.300000000000001</v>
      </c>
      <c r="AG1093" s="11" t="inlineStr">
        <is>
          <t xml:space="preserve"> On-Piste All-Mountain</t>
        </is>
      </c>
      <c r="AH1093" s="13" t="n"/>
      <c r="AI1093" s="13" t="n"/>
      <c r="AJ1093" s="13" t="n"/>
      <c r="AK1093" s="42" t="n"/>
    </row>
    <row r="1094">
      <c r="E1094" s="40" t="inlineStr">
        <is>
          <t>21/22</t>
        </is>
      </c>
      <c r="F1094" s="10" t="inlineStr">
        <is>
          <t xml:space="preserve"> Nordica</t>
        </is>
      </c>
      <c r="G1094" s="11" t="inlineStr">
        <is>
          <t>Belle 73</t>
        </is>
      </c>
      <c r="H1094" s="13" t="n">
        <v>150</v>
      </c>
      <c r="I1094" s="11" t="inlineStr">
        <is>
          <t xml:space="preserve"> Women's</t>
        </is>
      </c>
      <c r="J1094" s="13" t="n">
        <v>150</v>
      </c>
      <c r="K1094" s="13" t="n">
        <v>149.2</v>
      </c>
      <c r="L1094" s="13" t="n">
        <v>127</v>
      </c>
      <c r="M1094" s="13" t="n">
        <v>135</v>
      </c>
      <c r="N1094" s="13" t="n">
        <v>121</v>
      </c>
      <c r="O1094" s="13" t="n">
        <v>72</v>
      </c>
      <c r="P1094" s="13" t="n">
        <v>98</v>
      </c>
      <c r="Q1094" s="13" t="n">
        <v>12.1</v>
      </c>
      <c r="R1094" s="13" t="n">
        <v>1601</v>
      </c>
      <c r="S1094" s="13" t="n">
        <v>0.8</v>
      </c>
      <c r="T1094" s="13" t="n">
        <v>1287</v>
      </c>
      <c r="U1094" s="13" t="n">
        <v>141</v>
      </c>
      <c r="V1094" s="13" t="n">
        <v>57</v>
      </c>
      <c r="W1094" s="13" t="n">
        <v>36</v>
      </c>
      <c r="X1094" s="13" t="n">
        <v>137</v>
      </c>
      <c r="Y1094" s="13" t="n">
        <v>9</v>
      </c>
      <c r="Z1094" s="13" t="n">
        <v>87</v>
      </c>
      <c r="AA1094" s="13" t="n">
        <v>0.255</v>
      </c>
      <c r="AB1094" s="13" t="n">
        <v>65</v>
      </c>
      <c r="AC1094" s="13" t="n">
        <v>82</v>
      </c>
      <c r="AD1094" s="13" t="n">
        <v>72</v>
      </c>
      <c r="AE1094" s="13" t="n">
        <v>7</v>
      </c>
      <c r="AF1094" s="13" t="n">
        <v>9.199999999999999</v>
      </c>
      <c r="AG1094" s="11" t="inlineStr">
        <is>
          <t xml:space="preserve"> On-Piste Carving</t>
        </is>
      </c>
      <c r="AH1094" s="13" t="n"/>
      <c r="AI1094" s="13" t="n"/>
      <c r="AJ1094" s="13" t="n"/>
      <c r="AK1094" s="42" t="n"/>
    </row>
    <row r="1095">
      <c r="E1095" s="40" t="inlineStr">
        <is>
          <t>21/22</t>
        </is>
      </c>
      <c r="F1095" s="10" t="inlineStr">
        <is>
          <t xml:space="preserve"> Nordica</t>
        </is>
      </c>
      <c r="G1095" s="11" t="inlineStr">
        <is>
          <t>Belle 73</t>
        </is>
      </c>
      <c r="H1095" s="13" t="n">
        <v>156</v>
      </c>
      <c r="I1095" s="11" t="inlineStr">
        <is>
          <t xml:space="preserve"> Women's</t>
        </is>
      </c>
      <c r="J1095" s="13" t="n">
        <v>156</v>
      </c>
      <c r="K1095" s="13" t="n">
        <v>155.2</v>
      </c>
      <c r="L1095" s="13" t="n">
        <v>130</v>
      </c>
      <c r="M1095" s="13" t="n">
        <v>141</v>
      </c>
      <c r="N1095" s="13" t="n">
        <v>122</v>
      </c>
      <c r="O1095" s="13" t="n">
        <v>73</v>
      </c>
      <c r="P1095" s="13" t="n">
        <v>99</v>
      </c>
      <c r="Q1095" s="13" t="n">
        <v>12.6</v>
      </c>
      <c r="R1095" s="13" t="n">
        <v>1691</v>
      </c>
      <c r="S1095" s="13" t="n">
        <v>0.8</v>
      </c>
      <c r="T1095" s="13" t="n">
        <v>1346</v>
      </c>
      <c r="U1095" s="13" t="n">
        <v>164</v>
      </c>
      <c r="V1095" s="13" t="n">
        <v>65</v>
      </c>
      <c r="W1095" s="13" t="n">
        <v>38</v>
      </c>
      <c r="X1095" s="13" t="n">
        <v>159</v>
      </c>
      <c r="Y1095" s="13" t="n">
        <v>10</v>
      </c>
      <c r="Z1095" s="13" t="n">
        <v>94</v>
      </c>
      <c r="AA1095" s="13" t="n">
        <v>0.263</v>
      </c>
      <c r="AB1095" s="13" t="n">
        <v>64</v>
      </c>
      <c r="AC1095" s="13" t="n">
        <v>82</v>
      </c>
      <c r="AD1095" s="13" t="n">
        <v>95</v>
      </c>
      <c r="AE1095" s="13" t="n">
        <v>5</v>
      </c>
      <c r="AF1095" s="13" t="n">
        <v>9.1</v>
      </c>
      <c r="AG1095" s="11" t="inlineStr">
        <is>
          <t xml:space="preserve"> Other</t>
        </is>
      </c>
      <c r="AH1095" s="13" t="n"/>
      <c r="AI1095" s="13" t="n"/>
      <c r="AJ1095" s="13" t="n"/>
      <c r="AK1095" s="42" t="n"/>
    </row>
    <row r="1096">
      <c r="E1096" s="40" t="inlineStr">
        <is>
          <t>21/22</t>
        </is>
      </c>
      <c r="F1096" s="10" t="inlineStr">
        <is>
          <t xml:space="preserve"> Nordica</t>
        </is>
      </c>
      <c r="G1096" s="11" t="inlineStr">
        <is>
          <t>Belle 73</t>
        </is>
      </c>
      <c r="H1096" s="13" t="n">
        <v>162</v>
      </c>
      <c r="I1096" s="11" t="inlineStr">
        <is>
          <t xml:space="preserve"> Women's</t>
        </is>
      </c>
      <c r="J1096" s="13" t="n">
        <v>162</v>
      </c>
      <c r="K1096" s="13" t="n">
        <v>161.3</v>
      </c>
      <c r="L1096" s="13" t="n">
        <v>138</v>
      </c>
      <c r="M1096" s="13" t="n">
        <v>147</v>
      </c>
      <c r="N1096" s="13" t="n">
        <v>123</v>
      </c>
      <c r="O1096" s="13" t="n">
        <v>72</v>
      </c>
      <c r="P1096" s="13" t="n">
        <v>100</v>
      </c>
      <c r="Q1096" s="13" t="n">
        <v>13.4</v>
      </c>
      <c r="R1096" s="13" t="n">
        <v>1750</v>
      </c>
      <c r="S1096" s="13" t="n">
        <v>0.8</v>
      </c>
      <c r="T1096" s="13" t="n">
        <v>1404</v>
      </c>
      <c r="U1096" s="13" t="n">
        <v>191</v>
      </c>
      <c r="V1096" s="13" t="n">
        <v>77</v>
      </c>
      <c r="W1096" s="13" t="n">
        <v>37</v>
      </c>
      <c r="X1096" s="13" t="n">
        <v>144</v>
      </c>
      <c r="Y1096" s="13" t="n">
        <v>9</v>
      </c>
      <c r="Z1096" s="13" t="n">
        <v>88</v>
      </c>
      <c r="AA1096" s="13" t="n">
        <v>0.251</v>
      </c>
      <c r="AB1096" s="13" t="n">
        <v>66</v>
      </c>
      <c r="AC1096" s="13" t="n">
        <v>79</v>
      </c>
      <c r="AD1096" s="13" t="n">
        <v>78</v>
      </c>
      <c r="AE1096" s="13" t="n">
        <v>7</v>
      </c>
      <c r="AF1096" s="13" t="n">
        <v>9</v>
      </c>
      <c r="AG1096" s="11" t="inlineStr">
        <is>
          <t xml:space="preserve"> On-Piste Carving</t>
        </is>
      </c>
      <c r="AH1096" s="13" t="n"/>
      <c r="AI1096" s="13" t="n"/>
      <c r="AJ1096" s="13" t="n"/>
      <c r="AK1096" s="42" t="n"/>
    </row>
    <row r="1097">
      <c r="E1097" s="40" t="inlineStr">
        <is>
          <t>21/22</t>
        </is>
      </c>
      <c r="F1097" s="10" t="inlineStr">
        <is>
          <t xml:space="preserve"> Nordica</t>
        </is>
      </c>
      <c r="G1097" s="11" t="inlineStr">
        <is>
          <t xml:space="preserve"> Dobermann SLR Rb</t>
        </is>
      </c>
      <c r="H1097" s="13" t="n">
        <v>165</v>
      </c>
      <c r="I1097" s="11" t="inlineStr">
        <is>
          <t xml:space="preserve"> Unisex</t>
        </is>
      </c>
      <c r="J1097" s="13" t="n">
        <v>165</v>
      </c>
      <c r="K1097" s="13" t="n">
        <v>165.6</v>
      </c>
      <c r="L1097" s="13" t="n">
        <v>145</v>
      </c>
      <c r="M1097" s="13" t="n">
        <v>152</v>
      </c>
      <c r="N1097" s="13" t="n">
        <v>120</v>
      </c>
      <c r="O1097" s="13" t="n">
        <v>68</v>
      </c>
      <c r="P1097" s="13" t="n">
        <v>103</v>
      </c>
      <c r="Q1097" s="13" t="n">
        <v>13</v>
      </c>
      <c r="R1097" s="13" t="n">
        <v>2021</v>
      </c>
      <c r="S1097" s="13" t="n">
        <v>0.6899999999999999</v>
      </c>
      <c r="T1097" s="13" t="n">
        <v>1400</v>
      </c>
      <c r="U1097" s="13" t="n">
        <v>207</v>
      </c>
      <c r="V1097" s="13" t="n">
        <v>101</v>
      </c>
      <c r="W1097" s="13" t="n">
        <v>43</v>
      </c>
      <c r="X1097" s="13" t="n">
        <v>144</v>
      </c>
      <c r="Y1097" s="13" t="n">
        <v>14</v>
      </c>
      <c r="Z1097" s="13" t="n">
        <v>67</v>
      </c>
      <c r="AA1097" s="13" t="n">
        <v>0.335</v>
      </c>
      <c r="AB1097" s="13" t="n">
        <v>63</v>
      </c>
      <c r="AC1097" s="13" t="n">
        <v>70</v>
      </c>
      <c r="AD1097" s="13" t="n">
        <v>81</v>
      </c>
      <c r="AE1097" s="13" t="n">
        <v>11</v>
      </c>
      <c r="AF1097" s="13" t="n">
        <v>11.4</v>
      </c>
      <c r="AG1097" s="11" t="inlineStr">
        <is>
          <t xml:space="preserve"> On-Piste Carving</t>
        </is>
      </c>
      <c r="AH1097" s="13" t="n"/>
      <c r="AI1097" s="13" t="n"/>
      <c r="AJ1097" s="13" t="n"/>
      <c r="AK1097" s="42" t="n"/>
    </row>
    <row r="1098">
      <c r="E1098" s="40" t="inlineStr">
        <is>
          <t>21/22</t>
        </is>
      </c>
      <c r="F1098" s="10" t="inlineStr">
        <is>
          <t xml:space="preserve"> Nordica</t>
        </is>
      </c>
      <c r="G1098" s="11" t="inlineStr">
        <is>
          <t xml:space="preserve"> Dobermann SLR Rb</t>
        </is>
      </c>
      <c r="H1098" s="13" t="n">
        <v>170</v>
      </c>
      <c r="I1098" s="11" t="inlineStr">
        <is>
          <t xml:space="preserve"> Unisex</t>
        </is>
      </c>
      <c r="J1098" s="13" t="n">
        <v>170</v>
      </c>
      <c r="K1098" s="13" t="n">
        <v>168.9</v>
      </c>
      <c r="L1098" s="13" t="n">
        <v>149</v>
      </c>
      <c r="M1098" s="13" t="n">
        <v>157</v>
      </c>
      <c r="N1098" s="13" t="n">
        <v>120</v>
      </c>
      <c r="O1098" s="13" t="n">
        <v>69</v>
      </c>
      <c r="P1098" s="13" t="n">
        <v>103</v>
      </c>
      <c r="Q1098" s="13" t="n">
        <v>14</v>
      </c>
      <c r="R1098" s="13" t="n">
        <v>2053</v>
      </c>
      <c r="S1098" s="13" t="n">
        <v>0.7</v>
      </c>
      <c r="T1098" s="13" t="n">
        <v>1428</v>
      </c>
      <c r="U1098" s="13" t="n">
        <v>242</v>
      </c>
      <c r="V1098" s="13" t="n">
        <v>109</v>
      </c>
      <c r="W1098" s="13" t="n">
        <v>45</v>
      </c>
      <c r="X1098" s="13" t="n">
        <v>150</v>
      </c>
      <c r="Y1098" s="13" t="n">
        <v>6</v>
      </c>
      <c r="Z1098" s="13" t="n">
        <v>49</v>
      </c>
      <c r="AA1098" s="13" t="n">
        <v>0.127</v>
      </c>
      <c r="AB1098" s="13" t="n">
        <v>62</v>
      </c>
      <c r="AC1098" s="13" t="n">
        <v>55</v>
      </c>
      <c r="AD1098" s="13" t="n">
        <v>89</v>
      </c>
      <c r="AE1098" s="13" t="n">
        <v>7</v>
      </c>
      <c r="AF1098" s="13" t="n">
        <v>12.1</v>
      </c>
      <c r="AG1098" s="11" t="inlineStr">
        <is>
          <t xml:space="preserve"> On-Piste Carving</t>
        </is>
      </c>
      <c r="AH1098" s="13" t="n"/>
      <c r="AI1098" s="13" t="n"/>
      <c r="AJ1098" s="13" t="n"/>
      <c r="AK1098" s="42" t="n"/>
    </row>
    <row r="1099">
      <c r="E1099" s="40" t="inlineStr">
        <is>
          <t>21/22</t>
        </is>
      </c>
      <c r="F1099" s="10" t="inlineStr">
        <is>
          <t xml:space="preserve"> Nordica</t>
        </is>
      </c>
      <c r="G1099" s="11" t="inlineStr">
        <is>
          <t>Enforcer 100</t>
        </is>
      </c>
      <c r="H1099" s="13" t="n">
        <v>172</v>
      </c>
      <c r="I1099" s="11" t="inlineStr">
        <is>
          <t xml:space="preserve"> Unisex</t>
        </is>
      </c>
      <c r="J1099" s="13" t="n">
        <v>172</v>
      </c>
      <c r="K1099" s="13" t="n">
        <v>171.3</v>
      </c>
      <c r="L1099" s="13" t="n">
        <v>125</v>
      </c>
      <c r="M1099" s="13" t="n">
        <v>142</v>
      </c>
      <c r="N1099" s="13" t="n">
        <v>132</v>
      </c>
      <c r="O1099" s="13" t="n">
        <v>99</v>
      </c>
      <c r="P1099" s="13" t="n">
        <v>119</v>
      </c>
      <c r="Q1099" s="13" t="n">
        <v>16.8</v>
      </c>
      <c r="R1099" s="13" t="n">
        <v>2123</v>
      </c>
      <c r="S1099" s="13" t="n">
        <v>0.89</v>
      </c>
      <c r="T1099" s="13" t="n">
        <v>1882</v>
      </c>
      <c r="U1099" s="13" t="n">
        <v>212</v>
      </c>
      <c r="V1099" s="13" t="n">
        <v>137</v>
      </c>
      <c r="W1099" s="13" t="n">
        <v>50</v>
      </c>
      <c r="X1099" s="13" t="n">
        <v>273</v>
      </c>
      <c r="Y1099" s="13" t="n">
        <v>12</v>
      </c>
      <c r="Z1099" s="13" t="n">
        <v>193</v>
      </c>
      <c r="AA1099" s="13" t="n">
        <v>0.238</v>
      </c>
      <c r="AB1099" s="13" t="n">
        <v>134</v>
      </c>
      <c r="AC1099" s="13" t="n">
        <v>158</v>
      </c>
      <c r="AD1099" s="13" t="n">
        <v>138</v>
      </c>
      <c r="AE1099" s="13" t="n">
        <v>7</v>
      </c>
      <c r="AF1099" s="13" t="n">
        <v>8.9</v>
      </c>
      <c r="AG1099" s="11" t="inlineStr">
        <is>
          <t xml:space="preserve"> Resort Freeride</t>
        </is>
      </c>
      <c r="AH1099" s="13" t="n"/>
      <c r="AI1099" s="13" t="n"/>
      <c r="AJ1099" s="13" t="n"/>
      <c r="AK1099" s="42" t="n"/>
    </row>
    <row r="1100">
      <c r="E1100" s="40" t="inlineStr">
        <is>
          <t>21/22</t>
        </is>
      </c>
      <c r="F1100" s="10" t="inlineStr">
        <is>
          <t xml:space="preserve"> Nordica</t>
        </is>
      </c>
      <c r="G1100" s="11" t="inlineStr">
        <is>
          <t>Enforcer 100</t>
        </is>
      </c>
      <c r="H1100" s="13" t="n">
        <v>179</v>
      </c>
      <c r="I1100" s="11" t="inlineStr">
        <is>
          <t xml:space="preserve"> Unisex</t>
        </is>
      </c>
      <c r="J1100" s="13" t="n">
        <v>179</v>
      </c>
      <c r="K1100" s="13" t="n">
        <v>178.5</v>
      </c>
      <c r="L1100" s="13" t="n">
        <v>131</v>
      </c>
      <c r="M1100" s="13" t="n">
        <v>148</v>
      </c>
      <c r="N1100" s="13" t="n">
        <v>134</v>
      </c>
      <c r="O1100" s="13" t="n">
        <v>100</v>
      </c>
      <c r="P1100" s="13" t="n">
        <v>120</v>
      </c>
      <c r="Q1100" s="13" t="n">
        <v>17.3</v>
      </c>
      <c r="R1100" s="13" t="n">
        <v>2178</v>
      </c>
      <c r="S1100" s="13" t="n">
        <v>0.91</v>
      </c>
      <c r="T1100" s="13" t="n">
        <v>1975</v>
      </c>
      <c r="U1100" s="13" t="n">
        <v>226</v>
      </c>
      <c r="V1100" s="13" t="n">
        <v>145</v>
      </c>
      <c r="W1100" s="13" t="n">
        <v>54</v>
      </c>
      <c r="X1100" s="13" t="n">
        <v>275</v>
      </c>
      <c r="Y1100" s="13" t="n">
        <v>16</v>
      </c>
      <c r="Z1100" s="13" t="n">
        <v>198</v>
      </c>
      <c r="AA1100" s="13" t="n">
        <v>0.297</v>
      </c>
      <c r="AB1100" s="13" t="n">
        <v>146</v>
      </c>
      <c r="AC1100" s="13" t="n">
        <v>162</v>
      </c>
      <c r="AD1100" s="13" t="n">
        <v>129</v>
      </c>
      <c r="AE1100" s="13" t="n">
        <v>9</v>
      </c>
      <c r="AF1100" s="13" t="n">
        <v>8.4</v>
      </c>
      <c r="AG1100" s="11" t="inlineStr">
        <is>
          <t xml:space="preserve"> Resort Freeride</t>
        </is>
      </c>
      <c r="AH1100" s="13" t="n"/>
      <c r="AI1100" s="13" t="n"/>
      <c r="AJ1100" s="13" t="n"/>
      <c r="AK1100" s="42" t="n"/>
    </row>
    <row r="1101">
      <c r="E1101" s="40" t="inlineStr">
        <is>
          <t>21/22</t>
        </is>
      </c>
      <c r="F1101" s="10" t="inlineStr">
        <is>
          <t xml:space="preserve"> Nordica</t>
        </is>
      </c>
      <c r="G1101" s="11" t="inlineStr">
        <is>
          <t>Enforcer 100</t>
        </is>
      </c>
      <c r="H1101" s="13" t="n">
        <v>186</v>
      </c>
      <c r="I1101" s="11" t="inlineStr">
        <is>
          <t xml:space="preserve"> Unisex</t>
        </is>
      </c>
      <c r="J1101" s="13" t="n">
        <v>186</v>
      </c>
      <c r="K1101" s="13" t="n">
        <v>185.3</v>
      </c>
      <c r="L1101" s="13" t="n">
        <v>136</v>
      </c>
      <c r="M1101" s="13" t="n">
        <v>154</v>
      </c>
      <c r="N1101" s="13" t="n">
        <v>134</v>
      </c>
      <c r="O1101" s="13" t="n">
        <v>99</v>
      </c>
      <c r="P1101" s="13" t="n">
        <v>120</v>
      </c>
      <c r="Q1101" s="13" t="n">
        <v>18.3</v>
      </c>
      <c r="R1101" s="13" t="n">
        <v>2347</v>
      </c>
      <c r="S1101" s="13" t="n">
        <v>0.87</v>
      </c>
      <c r="T1101" s="13" t="n">
        <v>2048</v>
      </c>
      <c r="U1101" s="13" t="n">
        <v>263</v>
      </c>
      <c r="V1101" s="13" t="n">
        <v>167</v>
      </c>
      <c r="W1101" s="13" t="n">
        <v>49</v>
      </c>
      <c r="X1101" s="13" t="n">
        <v>284</v>
      </c>
      <c r="Y1101" s="13" t="n">
        <v>14</v>
      </c>
      <c r="Z1101" s="13" t="n">
        <v>209</v>
      </c>
      <c r="AA1101" s="13" t="n">
        <v>0.291</v>
      </c>
      <c r="AB1101" s="13" t="n">
        <v>143</v>
      </c>
      <c r="AC1101" s="13" t="n">
        <v>169</v>
      </c>
      <c r="AD1101" s="13" t="n">
        <v>141</v>
      </c>
      <c r="AE1101" s="13" t="n">
        <v>7</v>
      </c>
      <c r="AF1101" s="13" t="n">
        <v>8.800000000000001</v>
      </c>
      <c r="AG1101" s="11" t="inlineStr">
        <is>
          <t xml:space="preserve"> Resort Freeride</t>
        </is>
      </c>
      <c r="AH1101" s="13" t="n"/>
      <c r="AI1101" s="13" t="n"/>
      <c r="AJ1101" s="13" t="n"/>
      <c r="AK1101" s="42" t="n"/>
    </row>
    <row r="1102">
      <c r="E1102" s="40" t="inlineStr">
        <is>
          <t>21/22</t>
        </is>
      </c>
      <c r="F1102" s="10" t="inlineStr">
        <is>
          <t xml:space="preserve"> Nordica</t>
        </is>
      </c>
      <c r="G1102" s="11" t="inlineStr">
        <is>
          <t>Enforcer 104 Free</t>
        </is>
      </c>
      <c r="H1102" s="13" t="n">
        <v>165</v>
      </c>
      <c r="I1102" s="11" t="inlineStr">
        <is>
          <t xml:space="preserve"> Unisex</t>
        </is>
      </c>
      <c r="J1102" s="13" t="n">
        <v>165</v>
      </c>
      <c r="K1102" s="13" t="n">
        <v>164.2</v>
      </c>
      <c r="L1102" s="13" t="n">
        <v>114</v>
      </c>
      <c r="M1102" s="13" t="n">
        <v>135</v>
      </c>
      <c r="N1102" s="13" t="n">
        <v>133</v>
      </c>
      <c r="O1102" s="13" t="n">
        <v>103</v>
      </c>
      <c r="P1102" s="13" t="n">
        <v>123</v>
      </c>
      <c r="Q1102" s="13" t="n">
        <v>16.2</v>
      </c>
      <c r="R1102" s="13" t="n">
        <v>1945</v>
      </c>
      <c r="S1102" s="13" t="n">
        <v>0.95</v>
      </c>
      <c r="T1102" s="13" t="n">
        <v>1851</v>
      </c>
      <c r="U1102" s="13" t="n">
        <v>182</v>
      </c>
      <c r="V1102" s="13" t="n">
        <v>130</v>
      </c>
      <c r="W1102" s="13" t="n">
        <v>47</v>
      </c>
      <c r="X1102" s="13" t="n">
        <v>280</v>
      </c>
      <c r="Y1102" s="13" t="n">
        <v>28</v>
      </c>
      <c r="Z1102" s="13" t="n">
        <v>220</v>
      </c>
      <c r="AA1102" s="13" t="n">
        <v>0.596</v>
      </c>
      <c r="AB1102" s="13" t="n">
        <v>146</v>
      </c>
      <c r="AC1102" s="13" t="n">
        <v>145</v>
      </c>
      <c r="AD1102" s="13" t="n">
        <v>134</v>
      </c>
      <c r="AE1102" s="13" t="n">
        <v>9</v>
      </c>
      <c r="AF1102" s="13" t="n">
        <v>8.4</v>
      </c>
      <c r="AG1102" s="11" t="inlineStr">
        <is>
          <t xml:space="preserve"> Resort Freeride</t>
        </is>
      </c>
      <c r="AH1102" s="11" t="inlineStr">
        <is>
          <t xml:space="preserve"> Powder</t>
        </is>
      </c>
      <c r="AI1102" s="13" t="n"/>
      <c r="AJ1102" s="13" t="n"/>
      <c r="AK1102" s="42" t="n"/>
    </row>
    <row r="1103">
      <c r="E1103" s="40" t="inlineStr">
        <is>
          <t>21/22</t>
        </is>
      </c>
      <c r="F1103" s="10" t="inlineStr">
        <is>
          <t xml:space="preserve"> Nordica</t>
        </is>
      </c>
      <c r="G1103" s="11" t="inlineStr">
        <is>
          <t>Enforcer 104 Free</t>
        </is>
      </c>
      <c r="H1103" s="13" t="n">
        <v>172</v>
      </c>
      <c r="I1103" s="11" t="inlineStr">
        <is>
          <t xml:space="preserve"> Unisex</t>
        </is>
      </c>
      <c r="J1103" s="13" t="n">
        <v>172</v>
      </c>
      <c r="K1103" s="13" t="n">
        <v>171.4</v>
      </c>
      <c r="L1103" s="13" t="n">
        <v>119</v>
      </c>
      <c r="M1103" s="13" t="n">
        <v>140</v>
      </c>
      <c r="N1103" s="13" t="n">
        <v>135</v>
      </c>
      <c r="O1103" s="13" t="n">
        <v>104</v>
      </c>
      <c r="P1103" s="13" t="n">
        <v>125</v>
      </c>
      <c r="Q1103" s="13" t="n">
        <v>16.4</v>
      </c>
      <c r="R1103" s="13" t="n">
        <v>2045</v>
      </c>
      <c r="S1103" s="13" t="n">
        <v>0.96</v>
      </c>
      <c r="T1103" s="13" t="n">
        <v>1954</v>
      </c>
      <c r="U1103" s="13" t="n">
        <v>203</v>
      </c>
      <c r="V1103" s="13" t="n">
        <v>141</v>
      </c>
      <c r="W1103" s="13" t="n">
        <v>52</v>
      </c>
      <c r="X1103" s="13" t="n">
        <v>293</v>
      </c>
      <c r="Y1103" s="13" t="n">
        <v>32</v>
      </c>
      <c r="Z1103" s="13" t="n">
        <v>234</v>
      </c>
      <c r="AA1103" s="13" t="n">
        <v>0.621</v>
      </c>
      <c r="AB1103" s="13" t="n">
        <v>151</v>
      </c>
      <c r="AC1103" s="13" t="n">
        <v>164</v>
      </c>
      <c r="AD1103" s="13" t="n">
        <v>142</v>
      </c>
      <c r="AE1103" s="13" t="n">
        <v>7</v>
      </c>
      <c r="AF1103" s="13" t="n">
        <v>8.800000000000001</v>
      </c>
      <c r="AG1103" s="11" t="inlineStr">
        <is>
          <t xml:space="preserve"> Resort Freeride</t>
        </is>
      </c>
      <c r="AH1103" s="11" t="inlineStr">
        <is>
          <t xml:space="preserve"> Powder</t>
        </is>
      </c>
      <c r="AI1103" s="13" t="n"/>
      <c r="AJ1103" s="13" t="n"/>
      <c r="AK1103" s="42" t="n"/>
    </row>
    <row r="1104">
      <c r="E1104" s="40" t="inlineStr">
        <is>
          <t>21/22</t>
        </is>
      </c>
      <c r="F1104" s="10" t="inlineStr">
        <is>
          <t xml:space="preserve"> Nordica</t>
        </is>
      </c>
      <c r="G1104" s="11" t="inlineStr">
        <is>
          <t>Enforcer 104 Free</t>
        </is>
      </c>
      <c r="H1104" s="13" t="n">
        <v>179</v>
      </c>
      <c r="I1104" s="11" t="inlineStr">
        <is>
          <t xml:space="preserve"> Unisex</t>
        </is>
      </c>
      <c r="J1104" s="13" t="n">
        <v>179</v>
      </c>
      <c r="K1104" s="13" t="n">
        <v>178</v>
      </c>
      <c r="L1104" s="13" t="n">
        <v>123</v>
      </c>
      <c r="M1104" s="13" t="n">
        <v>148</v>
      </c>
      <c r="N1104" s="13" t="n">
        <v>135</v>
      </c>
      <c r="O1104" s="13" t="n">
        <v>103</v>
      </c>
      <c r="P1104" s="13" t="n">
        <v>126</v>
      </c>
      <c r="Q1104" s="13" t="n">
        <v>17.3</v>
      </c>
      <c r="R1104" s="13" t="n">
        <v>2115</v>
      </c>
      <c r="S1104" s="13" t="n">
        <v>0.96</v>
      </c>
      <c r="T1104" s="13" t="n">
        <v>2030</v>
      </c>
      <c r="U1104" s="13" t="n">
        <v>209</v>
      </c>
      <c r="V1104" s="13" t="n">
        <v>131</v>
      </c>
      <c r="W1104" s="13" t="n">
        <v>53</v>
      </c>
      <c r="X1104" s="13" t="n">
        <v>304</v>
      </c>
      <c r="Y1104" s="13" t="n">
        <v>36</v>
      </c>
      <c r="Z1104" s="13" t="n">
        <v>248</v>
      </c>
      <c r="AA1104" s="13" t="n">
        <v>0.669</v>
      </c>
      <c r="AB1104" s="13" t="n">
        <v>150</v>
      </c>
      <c r="AC1104" s="13" t="n">
        <v>148</v>
      </c>
      <c r="AD1104" s="13" t="n">
        <v>155</v>
      </c>
      <c r="AE1104" s="13" t="n">
        <v>7</v>
      </c>
      <c r="AF1104" s="13" t="n">
        <v>9</v>
      </c>
      <c r="AG1104" s="11" t="inlineStr">
        <is>
          <t xml:space="preserve"> Resort Freeride</t>
        </is>
      </c>
      <c r="AH1104" s="11" t="inlineStr">
        <is>
          <t xml:space="preserve"> Powder</t>
        </is>
      </c>
      <c r="AI1104" s="13" t="n"/>
      <c r="AJ1104" s="13" t="n"/>
      <c r="AK1104" s="42" t="n"/>
    </row>
    <row r="1105">
      <c r="E1105" s="40" t="inlineStr">
        <is>
          <t>21/22</t>
        </is>
      </c>
      <c r="F1105" s="10" t="inlineStr">
        <is>
          <t xml:space="preserve"> Nordica</t>
        </is>
      </c>
      <c r="G1105" s="11" t="inlineStr">
        <is>
          <t>Enforcer 104 Free</t>
        </is>
      </c>
      <c r="H1105" s="13" t="n">
        <v>186</v>
      </c>
      <c r="I1105" s="11" t="inlineStr">
        <is>
          <t xml:space="preserve"> Unisex</t>
        </is>
      </c>
      <c r="J1105" s="13" t="n">
        <v>186</v>
      </c>
      <c r="K1105" s="13" t="n">
        <v>184.9</v>
      </c>
      <c r="L1105" s="13" t="n">
        <v>127</v>
      </c>
      <c r="M1105" s="13" t="n">
        <v>154</v>
      </c>
      <c r="N1105" s="13" t="n">
        <v>136</v>
      </c>
      <c r="O1105" s="13" t="n">
        <v>103</v>
      </c>
      <c r="P1105" s="13" t="n">
        <v>126</v>
      </c>
      <c r="Q1105" s="13" t="n">
        <v>18.4</v>
      </c>
      <c r="R1105" s="13" t="n">
        <v>2246</v>
      </c>
      <c r="S1105" s="13" t="n">
        <v>0.9399999999999999</v>
      </c>
      <c r="T1105" s="13" t="n">
        <v>2117</v>
      </c>
      <c r="U1105" s="13" t="n">
        <v>231</v>
      </c>
      <c r="V1105" s="13" t="n">
        <v>156</v>
      </c>
      <c r="W1105" s="13" t="n">
        <v>56</v>
      </c>
      <c r="X1105" s="13" t="n">
        <v>314</v>
      </c>
      <c r="Y1105" s="13" t="n">
        <v>39</v>
      </c>
      <c r="Z1105" s="13" t="n">
        <v>262</v>
      </c>
      <c r="AA1105" s="13" t="n">
        <v>0.6909999999999999</v>
      </c>
      <c r="AB1105" s="13" t="n">
        <v>162</v>
      </c>
      <c r="AC1105" s="13" t="n">
        <v>151</v>
      </c>
      <c r="AD1105" s="13" t="n">
        <v>151</v>
      </c>
      <c r="AE1105" s="13" t="n">
        <v>7</v>
      </c>
      <c r="AF1105" s="13" t="n">
        <v>9.199999999999999</v>
      </c>
      <c r="AG1105" s="11" t="inlineStr">
        <is>
          <t xml:space="preserve"> Resort Freeride</t>
        </is>
      </c>
      <c r="AH1105" s="11" t="inlineStr">
        <is>
          <t xml:space="preserve"> Powder</t>
        </is>
      </c>
      <c r="AI1105" s="13" t="n"/>
      <c r="AJ1105" s="13" t="n"/>
      <c r="AK1105" s="42" t="n"/>
    </row>
    <row r="1106">
      <c r="E1106" s="40" t="inlineStr">
        <is>
          <t>21/22</t>
        </is>
      </c>
      <c r="F1106" s="10" t="inlineStr">
        <is>
          <t xml:space="preserve"> Nordica</t>
        </is>
      </c>
      <c r="G1106" s="11" t="inlineStr">
        <is>
          <t>Enforcer 104 Free</t>
        </is>
      </c>
      <c r="H1106" s="13" t="n">
        <v>191</v>
      </c>
      <c r="I1106" s="11" t="inlineStr">
        <is>
          <t xml:space="preserve"> Unisex</t>
        </is>
      </c>
      <c r="J1106" s="13" t="n">
        <v>191</v>
      </c>
      <c r="K1106" s="13" t="n">
        <v>189.9</v>
      </c>
      <c r="L1106" s="13" t="n">
        <v>132</v>
      </c>
      <c r="M1106" s="13" t="n">
        <v>158</v>
      </c>
      <c r="N1106" s="13" t="n">
        <v>135</v>
      </c>
      <c r="O1106" s="13" t="n">
        <v>103</v>
      </c>
      <c r="P1106" s="13" t="n">
        <v>126</v>
      </c>
      <c r="Q1106" s="13" t="n">
        <v>19.8</v>
      </c>
      <c r="R1106" s="13" t="n">
        <v>2364</v>
      </c>
      <c r="S1106" s="13" t="n">
        <v>0.92</v>
      </c>
      <c r="T1106" s="13" t="n">
        <v>2165</v>
      </c>
      <c r="U1106" s="13" t="n">
        <v>274</v>
      </c>
      <c r="V1106" s="13" t="n">
        <v>182</v>
      </c>
      <c r="W1106" s="13" t="n">
        <v>62</v>
      </c>
      <c r="X1106" s="13" t="n">
        <v>328</v>
      </c>
      <c r="Y1106" s="13" t="n">
        <v>35</v>
      </c>
      <c r="Z1106" s="13" t="n">
        <v>247</v>
      </c>
      <c r="AA1106" s="13" t="n">
        <v>0.5659999999999999</v>
      </c>
      <c r="AB1106" s="13" t="n">
        <v>167</v>
      </c>
      <c r="AC1106" s="13" t="n">
        <v>155</v>
      </c>
      <c r="AD1106" s="13" t="n">
        <v>160</v>
      </c>
      <c r="AE1106" s="13" t="n">
        <v>10</v>
      </c>
      <c r="AF1106" s="13" t="n">
        <v>9.1</v>
      </c>
      <c r="AG1106" s="11" t="inlineStr">
        <is>
          <t xml:space="preserve"> Resort Freeride</t>
        </is>
      </c>
      <c r="AH1106" s="11" t="inlineStr">
        <is>
          <t xml:space="preserve"> Powder</t>
        </is>
      </c>
      <c r="AI1106" s="13" t="n"/>
      <c r="AJ1106" s="13" t="n"/>
      <c r="AK1106" s="42" t="n"/>
    </row>
    <row r="1107">
      <c r="E1107" s="40" t="inlineStr">
        <is>
          <t>21/22</t>
        </is>
      </c>
      <c r="F1107" s="10" t="inlineStr">
        <is>
          <t xml:space="preserve"> Nordica</t>
        </is>
      </c>
      <c r="G1107" s="11" t="inlineStr">
        <is>
          <t>Enforcer 110 Free</t>
        </is>
      </c>
      <c r="H1107" s="13" t="n">
        <v>169</v>
      </c>
      <c r="I1107" s="11" t="inlineStr">
        <is>
          <t xml:space="preserve"> Unisex</t>
        </is>
      </c>
      <c r="J1107" s="13" t="n">
        <v>169</v>
      </c>
      <c r="K1107" s="13" t="n">
        <v>168.4</v>
      </c>
      <c r="L1107" s="13" t="n">
        <v>113</v>
      </c>
      <c r="M1107" s="13" t="n">
        <v>137</v>
      </c>
      <c r="N1107" s="13" t="n">
        <v>139</v>
      </c>
      <c r="O1107" s="13" t="n">
        <v>109</v>
      </c>
      <c r="P1107" s="13" t="n">
        <v>129</v>
      </c>
      <c r="Q1107" s="13" t="n">
        <v>16.1</v>
      </c>
      <c r="R1107" s="13" t="n">
        <v>2165</v>
      </c>
      <c r="S1107" s="13" t="n">
        <v>0.92</v>
      </c>
      <c r="T1107" s="13" t="n">
        <v>1995</v>
      </c>
      <c r="U1107" s="13" t="n">
        <v>223</v>
      </c>
      <c r="V1107" s="13" t="n">
        <v>152</v>
      </c>
      <c r="W1107" s="13" t="n">
        <v>55</v>
      </c>
      <c r="X1107" s="13" t="n">
        <v>302</v>
      </c>
      <c r="Y1107" s="13" t="n">
        <v>35</v>
      </c>
      <c r="Z1107" s="13" t="n">
        <v>250</v>
      </c>
      <c r="AA1107" s="13" t="n">
        <v>0.641</v>
      </c>
      <c r="AB1107" s="13" t="n">
        <v>156</v>
      </c>
      <c r="AC1107" s="13" t="n">
        <v>157</v>
      </c>
      <c r="AD1107" s="13" t="n">
        <v>146</v>
      </c>
      <c r="AE1107" s="13" t="n">
        <v>8</v>
      </c>
      <c r="AF1107" s="13" t="n">
        <v>8.9</v>
      </c>
      <c r="AG1107" s="11" t="inlineStr">
        <is>
          <t xml:space="preserve"> Powder</t>
        </is>
      </c>
      <c r="AH1107" s="13" t="n"/>
      <c r="AI1107" s="13" t="n"/>
      <c r="AJ1107" s="13" t="n"/>
      <c r="AK1107" s="42" t="n"/>
    </row>
    <row r="1108">
      <c r="E1108" s="40" t="inlineStr">
        <is>
          <t>21/22</t>
        </is>
      </c>
      <c r="F1108" s="10" t="inlineStr">
        <is>
          <t xml:space="preserve"> Nordica</t>
        </is>
      </c>
      <c r="G1108" s="11" t="inlineStr">
        <is>
          <t>Enforcer 110 Free</t>
        </is>
      </c>
      <c r="H1108" s="13" t="n">
        <v>177</v>
      </c>
      <c r="I1108" s="11" t="inlineStr">
        <is>
          <t xml:space="preserve"> Unisex</t>
        </is>
      </c>
      <c r="J1108" s="13" t="n">
        <v>177</v>
      </c>
      <c r="K1108" s="13" t="n">
        <v>176.4</v>
      </c>
      <c r="L1108" s="13" t="n">
        <v>119</v>
      </c>
      <c r="M1108" s="13" t="n">
        <v>145</v>
      </c>
      <c r="N1108" s="13" t="n">
        <v>140</v>
      </c>
      <c r="O1108" s="13" t="n">
        <v>109</v>
      </c>
      <c r="P1108" s="13" t="n">
        <v>130</v>
      </c>
      <c r="Q1108" s="13" t="n">
        <v>16.9</v>
      </c>
      <c r="R1108" s="13" t="n">
        <v>2155</v>
      </c>
      <c r="S1108" s="13" t="n">
        <v>0.97</v>
      </c>
      <c r="T1108" s="13" t="n">
        <v>2101</v>
      </c>
      <c r="U1108" s="13" t="n">
        <v>190</v>
      </c>
      <c r="V1108" s="13" t="n">
        <v>139</v>
      </c>
      <c r="W1108" s="13" t="n">
        <v>56</v>
      </c>
      <c r="X1108" s="13" t="n">
        <v>314</v>
      </c>
      <c r="Y1108" s="13" t="n">
        <v>37</v>
      </c>
      <c r="Z1108" s="13" t="n">
        <v>257</v>
      </c>
      <c r="AA1108" s="13" t="n">
        <v>0.656</v>
      </c>
      <c r="AB1108" s="13" t="n">
        <v>159</v>
      </c>
      <c r="AC1108" s="13" t="n">
        <v>152</v>
      </c>
      <c r="AD1108" s="13" t="n">
        <v>155</v>
      </c>
      <c r="AE1108" s="13" t="n">
        <v>7</v>
      </c>
      <c r="AF1108" s="13" t="n">
        <v>8.4</v>
      </c>
      <c r="AG1108" s="11" t="inlineStr">
        <is>
          <t xml:space="preserve"> Powder</t>
        </is>
      </c>
      <c r="AH1108" s="13" t="n"/>
      <c r="AI1108" s="13" t="n"/>
      <c r="AJ1108" s="13" t="n"/>
      <c r="AK1108" s="42" t="n"/>
    </row>
    <row r="1109">
      <c r="E1109" s="40" t="inlineStr">
        <is>
          <t>21/22</t>
        </is>
      </c>
      <c r="F1109" s="10" t="inlineStr">
        <is>
          <t xml:space="preserve"> Nordica</t>
        </is>
      </c>
      <c r="G1109" s="11" t="inlineStr">
        <is>
          <t>Enforcer 110 Free</t>
        </is>
      </c>
      <c r="H1109" s="13" t="n">
        <v>185</v>
      </c>
      <c r="I1109" s="11" t="inlineStr">
        <is>
          <t xml:space="preserve"> Unisex</t>
        </is>
      </c>
      <c r="J1109" s="13" t="n">
        <v>185</v>
      </c>
      <c r="K1109" s="13" t="n">
        <v>184.1</v>
      </c>
      <c r="L1109" s="13" t="n">
        <v>125</v>
      </c>
      <c r="M1109" s="13" t="n">
        <v>151</v>
      </c>
      <c r="N1109" s="13" t="n">
        <v>140</v>
      </c>
      <c r="O1109" s="13" t="n">
        <v>109</v>
      </c>
      <c r="P1109" s="13" t="n">
        <v>131</v>
      </c>
      <c r="Q1109" s="13" t="n">
        <v>18.8</v>
      </c>
      <c r="R1109" s="13" t="n">
        <v>2292</v>
      </c>
      <c r="S1109" s="13" t="n">
        <v>0.96</v>
      </c>
      <c r="T1109" s="13" t="n">
        <v>2194</v>
      </c>
      <c r="U1109" s="13" t="n">
        <v>209</v>
      </c>
      <c r="V1109" s="13" t="n">
        <v>149</v>
      </c>
      <c r="W1109" s="13" t="n">
        <v>58</v>
      </c>
      <c r="X1109" s="13" t="n">
        <v>326</v>
      </c>
      <c r="Y1109" s="13" t="n">
        <v>39</v>
      </c>
      <c r="Z1109" s="13" t="n">
        <v>261</v>
      </c>
      <c r="AA1109" s="13" t="n">
        <v>0.66</v>
      </c>
      <c r="AB1109" s="13" t="n">
        <v>170</v>
      </c>
      <c r="AC1109" s="13" t="n">
        <v>161</v>
      </c>
      <c r="AD1109" s="13" t="n">
        <v>157</v>
      </c>
      <c r="AE1109" s="13" t="n">
        <v>10</v>
      </c>
      <c r="AF1109" s="13" t="n">
        <v>8.800000000000001</v>
      </c>
      <c r="AG1109" s="11" t="inlineStr">
        <is>
          <t xml:space="preserve"> Powder</t>
        </is>
      </c>
      <c r="AH1109" s="13" t="n"/>
      <c r="AI1109" s="13" t="n"/>
      <c r="AJ1109" s="13" t="n"/>
      <c r="AK1109" s="42" t="n"/>
    </row>
    <row r="1110">
      <c r="E1110" s="40" t="inlineStr">
        <is>
          <t>21/22</t>
        </is>
      </c>
      <c r="F1110" s="10" t="inlineStr">
        <is>
          <t xml:space="preserve"> Nordica</t>
        </is>
      </c>
      <c r="G1110" s="11" t="inlineStr">
        <is>
          <t>Enforcer 115 Free</t>
        </is>
      </c>
      <c r="H1110" s="13" t="n">
        <v>191</v>
      </c>
      <c r="I1110" s="11" t="inlineStr">
        <is>
          <t xml:space="preserve"> Unisex</t>
        </is>
      </c>
      <c r="J1110" s="13" t="n">
        <v>191</v>
      </c>
      <c r="K1110" s="13" t="n">
        <v>189.6</v>
      </c>
      <c r="L1110" s="13" t="n">
        <v>128</v>
      </c>
      <c r="M1110" s="13" t="n">
        <v>154</v>
      </c>
      <c r="N1110" s="13" t="n">
        <v>144</v>
      </c>
      <c r="O1110" s="13" t="n">
        <v>114</v>
      </c>
      <c r="P1110" s="13" t="n">
        <v>134</v>
      </c>
      <c r="Q1110" s="13" t="n">
        <v>21.5</v>
      </c>
      <c r="R1110" s="13" t="n">
        <v>2292</v>
      </c>
      <c r="S1110" s="13" t="n">
        <v>1.02</v>
      </c>
      <c r="T1110" s="13" t="n">
        <v>2347</v>
      </c>
      <c r="U1110" s="13" t="n">
        <v>283</v>
      </c>
      <c r="V1110" s="13" t="n">
        <v>142</v>
      </c>
      <c r="W1110" s="13" t="n">
        <v>67</v>
      </c>
      <c r="X1110" s="13" t="n">
        <v>338</v>
      </c>
      <c r="Y1110" s="13" t="n">
        <v>42</v>
      </c>
      <c r="Z1110" s="13" t="n">
        <v>275</v>
      </c>
      <c r="AA1110" s="13" t="n">
        <v>0.632</v>
      </c>
      <c r="AB1110" s="13" t="n">
        <v>182</v>
      </c>
      <c r="AC1110" s="13" t="n">
        <v>175</v>
      </c>
      <c r="AD1110" s="13" t="n">
        <v>156</v>
      </c>
      <c r="AE1110" s="13" t="n">
        <v>7</v>
      </c>
      <c r="AF1110" s="13" t="n">
        <v>9.4</v>
      </c>
      <c r="AG1110" s="11" t="inlineStr">
        <is>
          <t xml:space="preserve"> Powder</t>
        </is>
      </c>
      <c r="AH1110" s="13" t="n"/>
      <c r="AI1110" s="13" t="n"/>
      <c r="AJ1110" s="13" t="n"/>
      <c r="AK1110" s="42" t="n"/>
    </row>
    <row r="1111">
      <c r="E1111" s="40" t="inlineStr">
        <is>
          <t>21/22</t>
        </is>
      </c>
      <c r="F1111" s="10" t="inlineStr">
        <is>
          <t xml:space="preserve"> Nordica</t>
        </is>
      </c>
      <c r="G1111" s="11" t="inlineStr">
        <is>
          <t>Enforcer 88</t>
        </is>
      </c>
      <c r="H1111" s="13" t="n">
        <v>165</v>
      </c>
      <c r="I1111" s="11" t="inlineStr">
        <is>
          <t xml:space="preserve"> Unisex</t>
        </is>
      </c>
      <c r="J1111" s="13" t="n">
        <v>165</v>
      </c>
      <c r="K1111" s="13" t="n">
        <v>164.5</v>
      </c>
      <c r="L1111" s="13" t="n">
        <v>122</v>
      </c>
      <c r="M1111" s="13" t="n">
        <v>137</v>
      </c>
      <c r="N1111" s="13" t="n">
        <v>121</v>
      </c>
      <c r="O1111" s="13" t="n">
        <v>87</v>
      </c>
      <c r="P1111" s="13" t="n">
        <v>107</v>
      </c>
      <c r="Q1111" s="13" t="n">
        <v>15.3</v>
      </c>
      <c r="R1111" s="13" t="n">
        <v>1820</v>
      </c>
      <c r="S1111" s="13" t="n">
        <v>0.89</v>
      </c>
      <c r="T1111" s="13" t="n">
        <v>1620</v>
      </c>
      <c r="U1111" s="13" t="n">
        <v>178</v>
      </c>
      <c r="V1111" s="13" t="n">
        <v>121</v>
      </c>
      <c r="W1111" s="13" t="n">
        <v>52</v>
      </c>
      <c r="X1111" s="13" t="n">
        <v>258</v>
      </c>
      <c r="Y1111" s="13" t="n">
        <v>11</v>
      </c>
      <c r="Z1111" s="13" t="n">
        <v>166</v>
      </c>
      <c r="AA1111" s="13" t="n">
        <v>0.215</v>
      </c>
      <c r="AB1111" s="13" t="n">
        <v>128</v>
      </c>
      <c r="AC1111" s="13" t="n">
        <v>148</v>
      </c>
      <c r="AD1111" s="13" t="n">
        <v>130</v>
      </c>
      <c r="AE1111" s="13" t="n">
        <v>8</v>
      </c>
      <c r="AF1111" s="13" t="n">
        <v>8.699999999999999</v>
      </c>
      <c r="AG1111" s="11" t="inlineStr">
        <is>
          <t xml:space="preserve"> Resort Freeride</t>
        </is>
      </c>
      <c r="AH1111" s="13" t="n"/>
      <c r="AI1111" s="13" t="n"/>
      <c r="AJ1111" s="13" t="n"/>
      <c r="AK1111" s="42" t="n"/>
    </row>
    <row r="1112">
      <c r="E1112" s="40" t="inlineStr">
        <is>
          <t>21/22</t>
        </is>
      </c>
      <c r="F1112" s="10" t="inlineStr">
        <is>
          <t xml:space="preserve"> Nordica</t>
        </is>
      </c>
      <c r="G1112" s="11" t="inlineStr">
        <is>
          <t>Enforcer 88</t>
        </is>
      </c>
      <c r="H1112" s="13" t="n">
        <v>172</v>
      </c>
      <c r="I1112" s="11" t="inlineStr">
        <is>
          <t xml:space="preserve"> Unisex</t>
        </is>
      </c>
      <c r="J1112" s="13" t="n">
        <v>172</v>
      </c>
      <c r="K1112" s="13" t="n">
        <v>171.3</v>
      </c>
      <c r="L1112" s="13" t="n">
        <v>128</v>
      </c>
      <c r="M1112" s="13" t="n">
        <v>144</v>
      </c>
      <c r="N1112" s="13" t="n">
        <v>123</v>
      </c>
      <c r="O1112" s="13" t="n">
        <v>87</v>
      </c>
      <c r="P1112" s="13" t="n">
        <v>109</v>
      </c>
      <c r="Q1112" s="13" t="n">
        <v>15.6</v>
      </c>
      <c r="R1112" s="13" t="n">
        <v>1963</v>
      </c>
      <c r="S1112" s="13" t="n">
        <v>0.87</v>
      </c>
      <c r="T1112" s="13" t="n">
        <v>1704</v>
      </c>
      <c r="U1112" s="13" t="n">
        <v>200</v>
      </c>
      <c r="V1112" s="13" t="n">
        <v>125</v>
      </c>
      <c r="W1112" s="13" t="n">
        <v>54</v>
      </c>
      <c r="X1112" s="13" t="n">
        <v>264</v>
      </c>
      <c r="Y1112" s="13" t="n">
        <v>9</v>
      </c>
      <c r="Z1112" s="13" t="n">
        <v>168</v>
      </c>
      <c r="AA1112" s="13" t="n">
        <v>0.176</v>
      </c>
      <c r="AB1112" s="13" t="n">
        <v>124</v>
      </c>
      <c r="AC1112" s="13" t="n">
        <v>152</v>
      </c>
      <c r="AD1112" s="13" t="n">
        <v>140</v>
      </c>
      <c r="AE1112" s="13" t="n">
        <v>9</v>
      </c>
      <c r="AF1112" s="13" t="n">
        <v>7.9</v>
      </c>
      <c r="AG1112" s="11" t="inlineStr">
        <is>
          <t xml:space="preserve"> Resort Freeride</t>
        </is>
      </c>
      <c r="AH1112" s="13" t="n"/>
      <c r="AI1112" s="13" t="n"/>
      <c r="AJ1112" s="13" t="n"/>
      <c r="AK1112" s="42" t="n"/>
    </row>
    <row r="1113">
      <c r="E1113" s="40" t="inlineStr">
        <is>
          <t>21/22</t>
        </is>
      </c>
      <c r="F1113" s="10" t="inlineStr">
        <is>
          <t xml:space="preserve"> Nordica</t>
        </is>
      </c>
      <c r="G1113" s="11" t="inlineStr">
        <is>
          <t>Enforcer 88</t>
        </is>
      </c>
      <c r="H1113" s="13" t="n">
        <v>179</v>
      </c>
      <c r="I1113" s="11" t="inlineStr">
        <is>
          <t xml:space="preserve"> Unisex</t>
        </is>
      </c>
      <c r="J1113" s="13" t="n">
        <v>179</v>
      </c>
      <c r="K1113" s="13" t="n">
        <v>178.5</v>
      </c>
      <c r="L1113" s="13" t="n">
        <v>133</v>
      </c>
      <c r="M1113" s="13" t="n">
        <v>150</v>
      </c>
      <c r="N1113" s="13" t="n">
        <v>123</v>
      </c>
      <c r="O1113" s="13" t="n">
        <v>87</v>
      </c>
      <c r="P1113" s="13" t="n">
        <v>109</v>
      </c>
      <c r="Q1113" s="13" t="n">
        <v>16.7</v>
      </c>
      <c r="R1113" s="13" t="n">
        <v>2013</v>
      </c>
      <c r="S1113" s="13" t="n">
        <v>0.88</v>
      </c>
      <c r="T1113" s="13" t="n">
        <v>1773</v>
      </c>
      <c r="U1113" s="13" t="n">
        <v>201</v>
      </c>
      <c r="V1113" s="13" t="n">
        <v>130</v>
      </c>
      <c r="W1113" s="13" t="n">
        <v>52</v>
      </c>
      <c r="X1113" s="13" t="n">
        <v>271</v>
      </c>
      <c r="Y1113" s="13" t="n">
        <v>12</v>
      </c>
      <c r="Z1113" s="13" t="n">
        <v>185</v>
      </c>
      <c r="AA1113" s="13" t="n">
        <v>0.235</v>
      </c>
      <c r="AB1113" s="13" t="n">
        <v>132</v>
      </c>
      <c r="AC1113" s="13" t="n">
        <v>152</v>
      </c>
      <c r="AD1113" s="13" t="n">
        <v>139</v>
      </c>
      <c r="AE1113" s="13" t="n">
        <v>8</v>
      </c>
      <c r="AF1113" s="13" t="n">
        <v>8.300000000000001</v>
      </c>
      <c r="AG1113" s="11" t="inlineStr">
        <is>
          <t xml:space="preserve"> Resort Freeride</t>
        </is>
      </c>
      <c r="AH1113" s="13" t="n"/>
      <c r="AI1113" s="13" t="n"/>
      <c r="AJ1113" s="13" t="n"/>
      <c r="AK1113" s="42" t="n"/>
    </row>
    <row r="1114">
      <c r="E1114" s="40" t="inlineStr">
        <is>
          <t>21/22</t>
        </is>
      </c>
      <c r="F1114" s="10" t="inlineStr">
        <is>
          <t xml:space="preserve"> Nordica</t>
        </is>
      </c>
      <c r="G1114" s="11" t="inlineStr">
        <is>
          <t>Enforcer 88</t>
        </is>
      </c>
      <c r="H1114" s="13" t="n">
        <v>186</v>
      </c>
      <c r="I1114" s="11" t="inlineStr">
        <is>
          <t xml:space="preserve"> Unisex</t>
        </is>
      </c>
      <c r="J1114" s="13" t="n">
        <v>186</v>
      </c>
      <c r="K1114" s="13" t="n">
        <v>185.2</v>
      </c>
      <c r="L1114" s="13" t="n">
        <v>139</v>
      </c>
      <c r="M1114" s="13" t="n">
        <v>157</v>
      </c>
      <c r="N1114" s="13" t="n">
        <v>124</v>
      </c>
      <c r="O1114" s="13" t="n">
        <v>87</v>
      </c>
      <c r="P1114" s="13" t="n">
        <v>110</v>
      </c>
      <c r="Q1114" s="13" t="n">
        <v>17.9</v>
      </c>
      <c r="R1114" s="13" t="n">
        <v>2137</v>
      </c>
      <c r="S1114" s="13" t="n">
        <v>0.87</v>
      </c>
      <c r="T1114" s="13" t="n">
        <v>1851</v>
      </c>
      <c r="U1114" s="13" t="n">
        <v>286</v>
      </c>
      <c r="V1114" s="13" t="n">
        <v>162</v>
      </c>
      <c r="W1114" s="13" t="n">
        <v>54</v>
      </c>
      <c r="X1114" s="13" t="n">
        <v>274</v>
      </c>
      <c r="Y1114" s="13" t="n">
        <v>11</v>
      </c>
      <c r="Z1114" s="13" t="n">
        <v>191</v>
      </c>
      <c r="AA1114" s="13" t="n">
        <v>0.208</v>
      </c>
      <c r="AB1114" s="13" t="n">
        <v>124</v>
      </c>
      <c r="AC1114" s="13" t="n">
        <v>155</v>
      </c>
      <c r="AD1114" s="13" t="n">
        <v>150</v>
      </c>
      <c r="AE1114" s="13" t="n">
        <v>8</v>
      </c>
      <c r="AF1114" s="13" t="n">
        <v>8.5</v>
      </c>
      <c r="AG1114" s="11" t="inlineStr">
        <is>
          <t xml:space="preserve"> Resort Freeride</t>
        </is>
      </c>
      <c r="AH1114" s="13" t="n"/>
      <c r="AI1114" s="13" t="n"/>
      <c r="AJ1114" s="13" t="n"/>
      <c r="AK1114" s="42" t="n"/>
    </row>
    <row r="1115">
      <c r="E1115" s="40" t="inlineStr">
        <is>
          <t>21/22</t>
        </is>
      </c>
      <c r="F1115" s="10" t="inlineStr">
        <is>
          <t xml:space="preserve"> Nordica</t>
        </is>
      </c>
      <c r="G1115" s="11" t="inlineStr">
        <is>
          <t>Enforcer 94</t>
        </is>
      </c>
      <c r="H1115" s="13" t="n">
        <v>165</v>
      </c>
      <c r="I1115" s="11" t="inlineStr">
        <is>
          <t xml:space="preserve"> Unisex</t>
        </is>
      </c>
      <c r="J1115" s="13" t="n">
        <v>165</v>
      </c>
      <c r="K1115" s="13" t="n">
        <v>164.6</v>
      </c>
      <c r="L1115" s="13" t="n">
        <v>118</v>
      </c>
      <c r="M1115" s="13" t="n">
        <v>135</v>
      </c>
      <c r="N1115" s="13" t="n">
        <v>126</v>
      </c>
      <c r="O1115" s="13" t="n">
        <v>92</v>
      </c>
      <c r="P1115" s="13" t="n">
        <v>112</v>
      </c>
      <c r="Q1115" s="13" t="n">
        <v>15.3</v>
      </c>
      <c r="R1115" s="13" t="n">
        <v>1927</v>
      </c>
      <c r="S1115" s="13" t="n">
        <v>0.88</v>
      </c>
      <c r="T1115" s="13" t="n">
        <v>1701</v>
      </c>
      <c r="U1115" s="13" t="n">
        <v>196</v>
      </c>
      <c r="V1115" s="13" t="n">
        <v>138</v>
      </c>
      <c r="W1115" s="13" t="n">
        <v>53</v>
      </c>
      <c r="X1115" s="13" t="n">
        <v>280</v>
      </c>
      <c r="Y1115" s="13" t="n">
        <v>12</v>
      </c>
      <c r="Z1115" s="13" t="n">
        <v>190</v>
      </c>
      <c r="AA1115" s="13" t="n">
        <v>0.226</v>
      </c>
      <c r="AB1115" s="13" t="n">
        <v>142</v>
      </c>
      <c r="AC1115" s="13" t="n">
        <v>154</v>
      </c>
      <c r="AD1115" s="13" t="n">
        <v>138</v>
      </c>
      <c r="AE1115" s="13" t="n">
        <v>6</v>
      </c>
      <c r="AF1115" s="13" t="n">
        <v>8.4</v>
      </c>
      <c r="AG1115" s="11" t="inlineStr">
        <is>
          <t xml:space="preserve"> Resort Freeride</t>
        </is>
      </c>
      <c r="AH1115" s="13" t="n"/>
      <c r="AI1115" s="13" t="n"/>
      <c r="AJ1115" s="13" t="n"/>
      <c r="AK1115" s="42" t="n"/>
    </row>
    <row r="1116">
      <c r="E1116" s="40" t="inlineStr">
        <is>
          <t>21/22</t>
        </is>
      </c>
      <c r="F1116" s="10" t="inlineStr">
        <is>
          <t xml:space="preserve"> Nordica</t>
        </is>
      </c>
      <c r="G1116" s="11" t="inlineStr">
        <is>
          <t>Enforcer 94</t>
        </is>
      </c>
      <c r="H1116" s="13" t="n">
        <v>172</v>
      </c>
      <c r="I1116" s="11" t="inlineStr">
        <is>
          <t xml:space="preserve"> Unisex</t>
        </is>
      </c>
      <c r="J1116" s="13" t="n">
        <v>172</v>
      </c>
      <c r="K1116" s="13" t="n">
        <v>171.3</v>
      </c>
      <c r="L1116" s="13" t="n">
        <v>124</v>
      </c>
      <c r="M1116" s="13" t="n">
        <v>143</v>
      </c>
      <c r="N1116" s="13" t="n">
        <v>127</v>
      </c>
      <c r="O1116" s="13" t="n">
        <v>92</v>
      </c>
      <c r="P1116" s="13" t="n">
        <v>113</v>
      </c>
      <c r="Q1116" s="13" t="n">
        <v>15.9</v>
      </c>
      <c r="R1116" s="13" t="n">
        <v>2044</v>
      </c>
      <c r="S1116" s="13" t="n">
        <v>0.87</v>
      </c>
      <c r="T1116" s="13" t="n">
        <v>1774</v>
      </c>
      <c r="U1116" s="13" t="n">
        <v>226</v>
      </c>
      <c r="V1116" s="13" t="n">
        <v>144</v>
      </c>
      <c r="W1116" s="13" t="n">
        <v>54</v>
      </c>
      <c r="X1116" s="13" t="n">
        <v>276</v>
      </c>
      <c r="Y1116" s="13" t="n">
        <v>15</v>
      </c>
      <c r="Z1116" s="13" t="n">
        <v>196</v>
      </c>
      <c r="AA1116" s="13" t="n">
        <v>0.279</v>
      </c>
      <c r="AB1116" s="13" t="n">
        <v>132</v>
      </c>
      <c r="AC1116" s="13" t="n">
        <v>150</v>
      </c>
      <c r="AD1116" s="13" t="n">
        <v>144</v>
      </c>
      <c r="AE1116" s="13" t="n">
        <v>6</v>
      </c>
      <c r="AF1116" s="13" t="n">
        <v>9.1</v>
      </c>
      <c r="AG1116" s="11" t="inlineStr">
        <is>
          <t xml:space="preserve"> Resort Freeride</t>
        </is>
      </c>
      <c r="AH1116" s="13" t="n"/>
      <c r="AI1116" s="13" t="n"/>
      <c r="AJ1116" s="13" t="n"/>
      <c r="AK1116" s="42" t="n"/>
    </row>
    <row r="1117">
      <c r="E1117" s="40" t="inlineStr">
        <is>
          <t>21/22</t>
        </is>
      </c>
      <c r="F1117" s="10" t="inlineStr">
        <is>
          <t xml:space="preserve"> Nordica</t>
        </is>
      </c>
      <c r="G1117" s="11" t="inlineStr">
        <is>
          <t>Enforcer 94</t>
        </is>
      </c>
      <c r="H1117" s="13" t="n">
        <v>179</v>
      </c>
      <c r="I1117" s="11" t="inlineStr">
        <is>
          <t xml:space="preserve"> Unisex</t>
        </is>
      </c>
      <c r="J1117" s="13" t="n">
        <v>179</v>
      </c>
      <c r="K1117" s="13" t="n">
        <v>178.3</v>
      </c>
      <c r="L1117" s="13" t="n">
        <v>131</v>
      </c>
      <c r="M1117" s="13" t="n">
        <v>147</v>
      </c>
      <c r="N1117" s="13" t="n">
        <v>128</v>
      </c>
      <c r="O1117" s="13" t="n">
        <v>93</v>
      </c>
      <c r="P1117" s="13" t="n">
        <v>114</v>
      </c>
      <c r="Q1117" s="13" t="n">
        <v>17</v>
      </c>
      <c r="R1117" s="13" t="n">
        <v>2178</v>
      </c>
      <c r="S1117" s="13" t="n">
        <v>0.86</v>
      </c>
      <c r="T1117" s="13" t="n">
        <v>1867</v>
      </c>
      <c r="U1117" s="13" t="n">
        <v>234</v>
      </c>
      <c r="V1117" s="13" t="n">
        <v>145</v>
      </c>
      <c r="W1117" s="13" t="n">
        <v>55</v>
      </c>
      <c r="X1117" s="13" t="n">
        <v>286</v>
      </c>
      <c r="Y1117" s="13" t="n">
        <v>13</v>
      </c>
      <c r="Z1117" s="13" t="n">
        <v>186</v>
      </c>
      <c r="AA1117" s="13" t="n">
        <v>0.235</v>
      </c>
      <c r="AB1117" s="13" t="n">
        <v>152</v>
      </c>
      <c r="AC1117" s="13" t="n">
        <v>159</v>
      </c>
      <c r="AD1117" s="13" t="n">
        <v>134</v>
      </c>
      <c r="AE1117" s="13" t="n">
        <v>7</v>
      </c>
      <c r="AF1117" s="13" t="n">
        <v>8.5</v>
      </c>
      <c r="AG1117" s="11" t="inlineStr">
        <is>
          <t xml:space="preserve"> Resort Freeride</t>
        </is>
      </c>
      <c r="AH1117" s="13" t="n"/>
      <c r="AI1117" s="13" t="n"/>
      <c r="AJ1117" s="13" t="n"/>
      <c r="AK1117" s="42" t="n"/>
    </row>
    <row r="1118">
      <c r="E1118" s="40" t="inlineStr">
        <is>
          <t>21/22</t>
        </is>
      </c>
      <c r="F1118" s="10" t="inlineStr">
        <is>
          <t xml:space="preserve"> Nordica</t>
        </is>
      </c>
      <c r="G1118" s="11" t="inlineStr">
        <is>
          <t>Enforcer 94</t>
        </is>
      </c>
      <c r="H1118" s="13" t="n">
        <v>186</v>
      </c>
      <c r="I1118" s="11" t="inlineStr">
        <is>
          <t xml:space="preserve"> Unisex</t>
        </is>
      </c>
      <c r="J1118" s="13" t="n">
        <v>186</v>
      </c>
      <c r="K1118" s="13" t="n">
        <v>185.1</v>
      </c>
      <c r="L1118" s="13" t="n">
        <v>137</v>
      </c>
      <c r="M1118" s="13" t="n">
        <v>155</v>
      </c>
      <c r="N1118" s="13" t="n">
        <v>129</v>
      </c>
      <c r="O1118" s="13" t="n">
        <v>93</v>
      </c>
      <c r="P1118" s="13" t="n">
        <v>115</v>
      </c>
      <c r="Q1118" s="13" t="n">
        <v>18.1</v>
      </c>
      <c r="R1118" s="13" t="n">
        <v>2299</v>
      </c>
      <c r="S1118" s="13" t="n">
        <v>0.85</v>
      </c>
      <c r="T1118" s="13" t="n">
        <v>1945</v>
      </c>
      <c r="U1118" s="13" t="n">
        <v>276</v>
      </c>
      <c r="V1118" s="13" t="n">
        <v>172</v>
      </c>
      <c r="W1118" s="13" t="n">
        <v>53</v>
      </c>
      <c r="X1118" s="13" t="n">
        <v>277</v>
      </c>
      <c r="Y1118" s="13" t="n">
        <v>15</v>
      </c>
      <c r="Z1118" s="13" t="n">
        <v>207</v>
      </c>
      <c r="AA1118" s="13" t="n">
        <v>0.283</v>
      </c>
      <c r="AB1118" s="13" t="n">
        <v>140</v>
      </c>
      <c r="AC1118" s="13" t="n">
        <v>162</v>
      </c>
      <c r="AD1118" s="13" t="n">
        <v>137</v>
      </c>
      <c r="AE1118" s="13" t="n">
        <v>7</v>
      </c>
      <c r="AF1118" s="13" t="n">
        <v>8.5</v>
      </c>
      <c r="AG1118" s="11" t="inlineStr">
        <is>
          <t xml:space="preserve"> Resort Freeride</t>
        </is>
      </c>
      <c r="AH1118" s="13" t="n"/>
      <c r="AI1118" s="13" t="n"/>
      <c r="AJ1118" s="13" t="n"/>
      <c r="AK1118" s="42" t="n"/>
    </row>
    <row r="1119">
      <c r="E1119" s="40" t="inlineStr">
        <is>
          <t>21/22</t>
        </is>
      </c>
      <c r="F1119" s="10" t="inlineStr">
        <is>
          <t xml:space="preserve"> Nordica</t>
        </is>
      </c>
      <c r="G1119" s="11" t="inlineStr">
        <is>
          <t>Santa Ana 104 Free</t>
        </is>
      </c>
      <c r="H1119" s="13" t="n">
        <v>158</v>
      </c>
      <c r="I1119" s="11" t="inlineStr">
        <is>
          <t xml:space="preserve"> Women's</t>
        </is>
      </c>
      <c r="J1119" s="13" t="n">
        <v>158</v>
      </c>
      <c r="K1119" s="13" t="n">
        <v>157.3</v>
      </c>
      <c r="L1119" s="13" t="n">
        <v>109</v>
      </c>
      <c r="M1119" s="13" t="n">
        <v>130</v>
      </c>
      <c r="N1119" s="13" t="n">
        <v>132</v>
      </c>
      <c r="O1119" s="13" t="n">
        <v>103</v>
      </c>
      <c r="P1119" s="13" t="n">
        <v>123</v>
      </c>
      <c r="Q1119" s="13" t="n">
        <v>15.3</v>
      </c>
      <c r="R1119" s="13" t="n">
        <v>1713</v>
      </c>
      <c r="S1119" s="13" t="n">
        <v>1.03</v>
      </c>
      <c r="T1119" s="13" t="n">
        <v>1771</v>
      </c>
      <c r="U1119" s="13" t="n">
        <v>174</v>
      </c>
      <c r="V1119" s="13" t="n">
        <v>88</v>
      </c>
      <c r="W1119" s="13" t="n">
        <v>44</v>
      </c>
      <c r="X1119" s="13" t="n">
        <v>263</v>
      </c>
      <c r="Y1119" s="13" t="n">
        <v>32</v>
      </c>
      <c r="Z1119" s="13" t="n">
        <v>219</v>
      </c>
      <c r="AA1119" s="13" t="n">
        <v>0.719</v>
      </c>
      <c r="AB1119" s="13" t="n">
        <v>133</v>
      </c>
      <c r="AC1119" s="13" t="n">
        <v>144</v>
      </c>
      <c r="AD1119" s="13" t="n">
        <v>131</v>
      </c>
      <c r="AE1119" s="13" t="n">
        <v>8</v>
      </c>
      <c r="AF1119" s="13" t="n">
        <v>8.5</v>
      </c>
      <c r="AG1119" s="11" t="inlineStr">
        <is>
          <t xml:space="preserve"> Resort Freeride</t>
        </is>
      </c>
      <c r="AH1119" s="11" t="inlineStr">
        <is>
          <t xml:space="preserve"> Powder</t>
        </is>
      </c>
      <c r="AI1119" s="13" t="n"/>
      <c r="AJ1119" s="13" t="n"/>
      <c r="AK1119" s="42" t="n"/>
    </row>
    <row r="1120">
      <c r="E1120" s="40" t="inlineStr">
        <is>
          <t>21/22</t>
        </is>
      </c>
      <c r="F1120" s="10" t="inlineStr">
        <is>
          <t xml:space="preserve"> Nordica</t>
        </is>
      </c>
      <c r="G1120" s="11" t="inlineStr">
        <is>
          <t>Santa Ana 104 Free</t>
        </is>
      </c>
      <c r="H1120" s="13" t="n">
        <v>165</v>
      </c>
      <c r="I1120" s="11" t="inlineStr">
        <is>
          <t xml:space="preserve"> Women's</t>
        </is>
      </c>
      <c r="J1120" s="13" t="n">
        <v>165</v>
      </c>
      <c r="K1120" s="13" t="n">
        <v>164.1</v>
      </c>
      <c r="L1120" s="13" t="n">
        <v>110</v>
      </c>
      <c r="M1120" s="13" t="n">
        <v>135</v>
      </c>
      <c r="N1120" s="13" t="n">
        <v>134</v>
      </c>
      <c r="O1120" s="13" t="n">
        <v>103</v>
      </c>
      <c r="P1120" s="13" t="n">
        <v>124</v>
      </c>
      <c r="Q1120" s="13" t="n">
        <v>15.6</v>
      </c>
      <c r="R1120" s="13" t="n">
        <v>1715</v>
      </c>
      <c r="S1120" s="13" t="n">
        <v>1.08</v>
      </c>
      <c r="T1120" s="13" t="n">
        <v>1857</v>
      </c>
      <c r="U1120" s="13" t="n">
        <v>174</v>
      </c>
      <c r="V1120" s="13" t="n">
        <v>94</v>
      </c>
      <c r="W1120" s="13" t="n">
        <v>57</v>
      </c>
      <c r="X1120" s="13" t="n">
        <v>297</v>
      </c>
      <c r="Y1120" s="13" t="n">
        <v>39</v>
      </c>
      <c r="Z1120" s="13" t="n">
        <v>241</v>
      </c>
      <c r="AA1120" s="13" t="n">
        <v>0.6870000000000001</v>
      </c>
      <c r="AB1120" s="13" t="n">
        <v>134</v>
      </c>
      <c r="AC1120" s="13" t="n">
        <v>160</v>
      </c>
      <c r="AD1120" s="13" t="n">
        <v>163</v>
      </c>
      <c r="AE1120" s="13" t="n">
        <v>5</v>
      </c>
      <c r="AF1120" s="13" t="n">
        <v>8.4</v>
      </c>
      <c r="AG1120" s="11" t="inlineStr">
        <is>
          <t xml:space="preserve"> Resort Freeride</t>
        </is>
      </c>
      <c r="AH1120" s="11" t="inlineStr">
        <is>
          <t xml:space="preserve"> Powder</t>
        </is>
      </c>
      <c r="AI1120" s="11" t="inlineStr">
        <is>
          <t xml:space="preserve"> Touring</t>
        </is>
      </c>
      <c r="AJ1120" s="13" t="n"/>
      <c r="AK1120" s="42" t="n"/>
    </row>
    <row r="1121">
      <c r="E1121" s="40" t="inlineStr">
        <is>
          <t>21/22</t>
        </is>
      </c>
      <c r="F1121" s="10" t="inlineStr">
        <is>
          <t xml:space="preserve"> Nordica</t>
        </is>
      </c>
      <c r="G1121" s="11" t="inlineStr">
        <is>
          <t>Santa Ana 104 Free</t>
        </is>
      </c>
      <c r="H1121" s="13" t="n">
        <v>172</v>
      </c>
      <c r="I1121" s="11" t="inlineStr">
        <is>
          <t xml:space="preserve"> Women's</t>
        </is>
      </c>
      <c r="J1121" s="13" t="n">
        <v>172</v>
      </c>
      <c r="K1121" s="13" t="n">
        <v>170.6</v>
      </c>
      <c r="L1121" s="13" t="n">
        <v>116</v>
      </c>
      <c r="M1121" s="13" t="n">
        <v>142</v>
      </c>
      <c r="N1121" s="13" t="n">
        <v>135</v>
      </c>
      <c r="O1121" s="13" t="n">
        <v>103</v>
      </c>
      <c r="P1121" s="13" t="n">
        <v>125</v>
      </c>
      <c r="Q1121" s="13" t="n">
        <v>16.3</v>
      </c>
      <c r="R1121" s="13" t="n">
        <v>1787</v>
      </c>
      <c r="S1121" s="13" t="n">
        <v>1.09</v>
      </c>
      <c r="T1121" s="13" t="n">
        <v>1945</v>
      </c>
      <c r="U1121" s="13" t="n">
        <v>182</v>
      </c>
      <c r="V1121" s="13" t="n">
        <v>99</v>
      </c>
      <c r="W1121" s="13" t="n">
        <v>62</v>
      </c>
      <c r="X1121" s="13" t="n">
        <v>298</v>
      </c>
      <c r="Y1121" s="13" t="n">
        <v>44</v>
      </c>
      <c r="Z1121" s="13" t="n">
        <v>248</v>
      </c>
      <c r="AA1121" s="13" t="n">
        <v>0.713</v>
      </c>
      <c r="AB1121" s="13" t="n">
        <v>140</v>
      </c>
      <c r="AC1121" s="13" t="n">
        <v>151</v>
      </c>
      <c r="AD1121" s="13" t="n">
        <v>159</v>
      </c>
      <c r="AE1121" s="13" t="n">
        <v>7</v>
      </c>
      <c r="AF1121" s="13" t="n">
        <v>8.800000000000001</v>
      </c>
      <c r="AG1121" s="11" t="inlineStr">
        <is>
          <t xml:space="preserve"> Resort Freeride</t>
        </is>
      </c>
      <c r="AH1121" s="11" t="inlineStr">
        <is>
          <t xml:space="preserve"> Powder</t>
        </is>
      </c>
      <c r="AI1121" s="11" t="inlineStr">
        <is>
          <t xml:space="preserve"> Touring</t>
        </is>
      </c>
      <c r="AJ1121" s="13" t="n"/>
      <c r="AK1121" s="42" t="n"/>
    </row>
    <row r="1122">
      <c r="E1122" s="40" t="inlineStr">
        <is>
          <t>21/22</t>
        </is>
      </c>
      <c r="F1122" s="10" t="inlineStr">
        <is>
          <t xml:space="preserve"> Nordica</t>
        </is>
      </c>
      <c r="G1122" s="11" t="inlineStr">
        <is>
          <t>Santa Ana 104 Free</t>
        </is>
      </c>
      <c r="H1122" s="13" t="n">
        <v>179</v>
      </c>
      <c r="I1122" s="11" t="inlineStr">
        <is>
          <t xml:space="preserve"> Women's</t>
        </is>
      </c>
      <c r="J1122" s="13" t="n">
        <v>179</v>
      </c>
      <c r="K1122" s="13" t="n">
        <v>177.6</v>
      </c>
      <c r="L1122" s="13" t="n">
        <v>122</v>
      </c>
      <c r="M1122" s="13" t="n">
        <v>147</v>
      </c>
      <c r="N1122" s="13" t="n">
        <v>135</v>
      </c>
      <c r="O1122" s="13" t="n">
        <v>103</v>
      </c>
      <c r="P1122" s="13" t="n">
        <v>126</v>
      </c>
      <c r="Q1122" s="13" t="n">
        <v>17.5</v>
      </c>
      <c r="R1122" s="13" t="n">
        <v>1898</v>
      </c>
      <c r="S1122" s="13" t="n">
        <v>1.07</v>
      </c>
      <c r="T1122" s="13" t="n">
        <v>2026</v>
      </c>
      <c r="U1122" s="13" t="n">
        <v>220</v>
      </c>
      <c r="V1122" s="13" t="n">
        <v>108</v>
      </c>
      <c r="W1122" s="13" t="n">
        <v>64</v>
      </c>
      <c r="X1122" s="13" t="n">
        <v>307</v>
      </c>
      <c r="Y1122" s="13" t="n">
        <v>42</v>
      </c>
      <c r="Z1122" s="13" t="n">
        <v>248</v>
      </c>
      <c r="AA1122" s="13" t="n">
        <v>0.645</v>
      </c>
      <c r="AB1122" s="13" t="n">
        <v>155</v>
      </c>
      <c r="AC1122" s="13" t="n">
        <v>154</v>
      </c>
      <c r="AD1122" s="13" t="n">
        <v>152</v>
      </c>
      <c r="AE1122" s="13" t="n">
        <v>6</v>
      </c>
      <c r="AF1122" s="13" t="n">
        <v>8.699999999999999</v>
      </c>
      <c r="AG1122" s="11" t="inlineStr">
        <is>
          <t xml:space="preserve"> Resort Freeride</t>
        </is>
      </c>
      <c r="AH1122" s="11" t="inlineStr">
        <is>
          <t xml:space="preserve"> Powder</t>
        </is>
      </c>
      <c r="AI1122" s="11" t="inlineStr">
        <is>
          <t xml:space="preserve"> Touring</t>
        </is>
      </c>
      <c r="AJ1122" s="13" t="n"/>
      <c r="AK1122" s="42" t="n"/>
    </row>
    <row r="1123">
      <c r="E1123" s="40" t="inlineStr">
        <is>
          <t>21/22</t>
        </is>
      </c>
      <c r="F1123" s="10" t="inlineStr">
        <is>
          <t xml:space="preserve"> Nordica</t>
        </is>
      </c>
      <c r="G1123" s="11" t="inlineStr">
        <is>
          <t>Santa Ana 110 Free</t>
        </is>
      </c>
      <c r="H1123" s="13" t="n">
        <v>169</v>
      </c>
      <c r="I1123" s="11" t="inlineStr">
        <is>
          <t xml:space="preserve"> Women's</t>
        </is>
      </c>
      <c r="J1123" s="13" t="n">
        <v>169</v>
      </c>
      <c r="K1123" s="13" t="n">
        <v>167.7</v>
      </c>
      <c r="L1123" s="13" t="n">
        <v>110</v>
      </c>
      <c r="M1123" s="13" t="n">
        <v>136</v>
      </c>
      <c r="N1123" s="13" t="n">
        <v>140</v>
      </c>
      <c r="O1123" s="13" t="n">
        <v>109</v>
      </c>
      <c r="P1123" s="13" t="n">
        <v>130</v>
      </c>
      <c r="Q1123" s="13" t="n">
        <v>15.7</v>
      </c>
      <c r="R1123" s="13" t="n">
        <v>1839</v>
      </c>
      <c r="S1123" s="13" t="n">
        <v>1.09</v>
      </c>
      <c r="T1123" s="13" t="n">
        <v>1999</v>
      </c>
      <c r="U1123" s="13" t="n">
        <v>197</v>
      </c>
      <c r="V1123" s="13" t="n">
        <v>103</v>
      </c>
      <c r="W1123" s="13" t="n">
        <v>64</v>
      </c>
      <c r="X1123" s="13" t="n">
        <v>312</v>
      </c>
      <c r="Y1123" s="13" t="n">
        <v>45</v>
      </c>
      <c r="Z1123" s="13" t="n">
        <v>262</v>
      </c>
      <c r="AA1123" s="13" t="n">
        <v>0.71</v>
      </c>
      <c r="AB1123" s="13" t="n">
        <v>156</v>
      </c>
      <c r="AC1123" s="13" t="n">
        <v>162</v>
      </c>
      <c r="AD1123" s="13" t="n">
        <v>156</v>
      </c>
      <c r="AE1123" s="13" t="n">
        <v>5</v>
      </c>
      <c r="AF1123" s="13" t="n">
        <v>9.300000000000001</v>
      </c>
      <c r="AG1123" s="11" t="inlineStr">
        <is>
          <t xml:space="preserve"> Powder</t>
        </is>
      </c>
      <c r="AH1123" s="11" t="inlineStr">
        <is>
          <t xml:space="preserve"> Touring</t>
        </is>
      </c>
      <c r="AI1123" s="13" t="n"/>
      <c r="AJ1123" s="13" t="n"/>
      <c r="AK1123" s="42" t="n"/>
    </row>
    <row r="1124">
      <c r="E1124" s="40" t="inlineStr">
        <is>
          <t>21/22</t>
        </is>
      </c>
      <c r="F1124" s="10" t="inlineStr">
        <is>
          <t xml:space="preserve"> Nordica</t>
        </is>
      </c>
      <c r="G1124" s="11" t="inlineStr">
        <is>
          <t>Santa Ana 110 Free</t>
        </is>
      </c>
      <c r="H1124" s="13" t="n">
        <v>177</v>
      </c>
      <c r="I1124" s="11" t="inlineStr">
        <is>
          <t xml:space="preserve"> Women's</t>
        </is>
      </c>
      <c r="J1124" s="13" t="n">
        <v>177</v>
      </c>
      <c r="K1124" s="13" t="n">
        <v>175.5</v>
      </c>
      <c r="L1124" s="13" t="n">
        <v>116</v>
      </c>
      <c r="M1124" s="13" t="n">
        <v>145</v>
      </c>
      <c r="N1124" s="13" t="n">
        <v>140</v>
      </c>
      <c r="O1124" s="13" t="n">
        <v>108</v>
      </c>
      <c r="P1124" s="13" t="n">
        <v>131</v>
      </c>
      <c r="Q1124" s="13" t="n">
        <v>16.7</v>
      </c>
      <c r="R1124" s="13" t="n">
        <v>1908</v>
      </c>
      <c r="S1124" s="13" t="n">
        <v>1.09</v>
      </c>
      <c r="T1124" s="13" t="n">
        <v>2087</v>
      </c>
      <c r="U1124" s="13" t="n">
        <v>199</v>
      </c>
      <c r="V1124" s="13" t="n">
        <v>103</v>
      </c>
      <c r="W1124" s="13" t="n">
        <v>71</v>
      </c>
      <c r="X1124" s="13" t="n">
        <v>323</v>
      </c>
      <c r="Y1124" s="13" t="n">
        <v>50</v>
      </c>
      <c r="Z1124" s="13" t="n">
        <v>268</v>
      </c>
      <c r="AA1124" s="13" t="n">
        <v>0.708</v>
      </c>
      <c r="AB1124" s="13" t="n">
        <v>156</v>
      </c>
      <c r="AC1124" s="13" t="n">
        <v>153</v>
      </c>
      <c r="AD1124" s="13" t="n">
        <v>167</v>
      </c>
      <c r="AE1124" s="13" t="n">
        <v>6</v>
      </c>
      <c r="AF1124" s="13" t="n">
        <v>8.4</v>
      </c>
      <c r="AG1124" s="11" t="inlineStr">
        <is>
          <t xml:space="preserve"> Powder</t>
        </is>
      </c>
      <c r="AH1124" s="11" t="inlineStr">
        <is>
          <t xml:space="preserve"> Touring</t>
        </is>
      </c>
      <c r="AI1124" s="13" t="n"/>
      <c r="AJ1124" s="13" t="n"/>
      <c r="AK1124" s="42" t="n"/>
    </row>
    <row r="1125">
      <c r="E1125" s="40" t="inlineStr">
        <is>
          <t>21/22</t>
        </is>
      </c>
      <c r="F1125" s="10" t="inlineStr">
        <is>
          <t xml:space="preserve"> Nordica</t>
        </is>
      </c>
      <c r="G1125" s="11" t="inlineStr">
        <is>
          <t>Santa Ana 84</t>
        </is>
      </c>
      <c r="H1125" s="13" t="n">
        <v>151</v>
      </c>
      <c r="I1125" s="11" t="inlineStr">
        <is>
          <t xml:space="preserve"> Women's</t>
        </is>
      </c>
      <c r="J1125" s="13" t="n">
        <v>151</v>
      </c>
      <c r="K1125" s="13" t="n">
        <v>149.7</v>
      </c>
      <c r="L1125" s="13" t="n">
        <v>109</v>
      </c>
      <c r="M1125" s="13" t="n">
        <v>128</v>
      </c>
      <c r="N1125" s="13" t="n">
        <v>119</v>
      </c>
      <c r="O1125" s="13" t="n">
        <v>83</v>
      </c>
      <c r="P1125" s="13" t="n">
        <v>104</v>
      </c>
      <c r="Q1125" s="13" t="n">
        <v>12.8</v>
      </c>
      <c r="R1125" s="13" t="n">
        <v>1399</v>
      </c>
      <c r="S1125" s="13" t="n">
        <v>1.02</v>
      </c>
      <c r="T1125" s="13" t="n">
        <v>1427</v>
      </c>
      <c r="U1125" s="13" t="n">
        <v>163</v>
      </c>
      <c r="V1125" s="13" t="n">
        <v>75</v>
      </c>
      <c r="W1125" s="13" t="n">
        <v>60</v>
      </c>
      <c r="X1125" s="13" t="n">
        <v>257</v>
      </c>
      <c r="Y1125" s="13" t="n">
        <v>17</v>
      </c>
      <c r="Z1125" s="13" t="n">
        <v>150</v>
      </c>
      <c r="AA1125" s="13" t="n">
        <v>0.29</v>
      </c>
      <c r="AB1125" s="13" t="n">
        <v>129</v>
      </c>
      <c r="AC1125" s="13" t="n">
        <v>91</v>
      </c>
      <c r="AD1125" s="13" t="n">
        <v>128</v>
      </c>
      <c r="AE1125" s="13" t="n">
        <v>3</v>
      </c>
      <c r="AF1125" s="13" t="n">
        <v>10</v>
      </c>
      <c r="AG1125" s="11" t="inlineStr">
        <is>
          <t xml:space="preserve"> On-Piste All-Mountain</t>
        </is>
      </c>
      <c r="AH1125" s="11" t="inlineStr">
        <is>
          <t xml:space="preserve"> Resort Freeride</t>
        </is>
      </c>
      <c r="AI1125" s="13" t="n"/>
      <c r="AJ1125" s="13" t="n"/>
      <c r="AK1125" s="42" t="n"/>
    </row>
    <row r="1126">
      <c r="E1126" s="40" t="inlineStr">
        <is>
          <t>21/22</t>
        </is>
      </c>
      <c r="F1126" s="10" t="inlineStr">
        <is>
          <t xml:space="preserve"> Nordica</t>
        </is>
      </c>
      <c r="G1126" s="11" t="inlineStr">
        <is>
          <t>Santa Ana 84</t>
        </is>
      </c>
      <c r="H1126" s="13" t="n">
        <v>158</v>
      </c>
      <c r="I1126" s="11" t="inlineStr">
        <is>
          <t xml:space="preserve"> Women's</t>
        </is>
      </c>
      <c r="J1126" s="13" t="n">
        <v>158</v>
      </c>
      <c r="K1126" s="13" t="n">
        <v>157.2</v>
      </c>
      <c r="L1126" s="13" t="n">
        <v>118</v>
      </c>
      <c r="M1126" s="13" t="n">
        <v>133</v>
      </c>
      <c r="N1126" s="13" t="n">
        <v>120</v>
      </c>
      <c r="O1126" s="13" t="n">
        <v>83</v>
      </c>
      <c r="P1126" s="13" t="n">
        <v>105</v>
      </c>
      <c r="Q1126" s="13" t="n">
        <v>14</v>
      </c>
      <c r="R1126" s="13" t="n">
        <v>1529</v>
      </c>
      <c r="S1126" s="13" t="n">
        <v>0.98</v>
      </c>
      <c r="T1126" s="13" t="n">
        <v>1505</v>
      </c>
      <c r="U1126" s="13" t="n">
        <v>174</v>
      </c>
      <c r="V1126" s="13" t="n">
        <v>79</v>
      </c>
      <c r="W1126" s="13" t="n">
        <v>59</v>
      </c>
      <c r="X1126" s="13" t="n">
        <v>254</v>
      </c>
      <c r="Y1126" s="13" t="n">
        <v>15</v>
      </c>
      <c r="Z1126" s="13" t="n">
        <v>141</v>
      </c>
      <c r="AA1126" s="13" t="n">
        <v>0.263</v>
      </c>
      <c r="AB1126" s="13" t="n">
        <v>141</v>
      </c>
      <c r="AC1126" s="13" t="n">
        <v>98</v>
      </c>
      <c r="AD1126" s="13" t="n">
        <v>113</v>
      </c>
      <c r="AE1126" s="13" t="n">
        <v>5</v>
      </c>
      <c r="AF1126" s="13" t="n">
        <v>10.1</v>
      </c>
      <c r="AG1126" s="11" t="inlineStr">
        <is>
          <t xml:space="preserve"> On-Piste All-Mountain</t>
        </is>
      </c>
      <c r="AH1126" s="11" t="inlineStr">
        <is>
          <t xml:space="preserve"> Resort Freeride</t>
        </is>
      </c>
      <c r="AI1126" s="13" t="n"/>
      <c r="AJ1126" s="13" t="n"/>
      <c r="AK1126" s="42" t="n"/>
    </row>
    <row r="1127">
      <c r="E1127" s="40" t="inlineStr">
        <is>
          <t>21/22</t>
        </is>
      </c>
      <c r="F1127" s="10" t="inlineStr">
        <is>
          <t xml:space="preserve"> Nordica</t>
        </is>
      </c>
      <c r="G1127" s="11" t="inlineStr">
        <is>
          <t>Santa Ana 84</t>
        </is>
      </c>
      <c r="H1127" s="13" t="n">
        <v>165</v>
      </c>
      <c r="I1127" s="11" t="inlineStr">
        <is>
          <t xml:space="preserve"> Women's</t>
        </is>
      </c>
      <c r="J1127" s="13" t="n">
        <v>165</v>
      </c>
      <c r="K1127" s="13" t="n">
        <v>164.1</v>
      </c>
      <c r="L1127" s="13" t="n">
        <v>123</v>
      </c>
      <c r="M1127" s="13" t="n">
        <v>139</v>
      </c>
      <c r="N1127" s="13" t="n">
        <v>121</v>
      </c>
      <c r="O1127" s="13" t="n">
        <v>83</v>
      </c>
      <c r="P1127" s="13" t="n">
        <v>105</v>
      </c>
      <c r="Q1127" s="13" t="n">
        <v>15.3</v>
      </c>
      <c r="R1127" s="13" t="n">
        <v>1560</v>
      </c>
      <c r="S1127" s="13" t="n">
        <v>1.01</v>
      </c>
      <c r="T1127" s="13" t="n">
        <v>1572</v>
      </c>
      <c r="U1127" s="13" t="n">
        <v>164</v>
      </c>
      <c r="V1127" s="13" t="n">
        <v>75</v>
      </c>
      <c r="W1127" s="13" t="n">
        <v>58</v>
      </c>
      <c r="X1127" s="13" t="n">
        <v>259</v>
      </c>
      <c r="Y1127" s="13" t="n">
        <v>17</v>
      </c>
      <c r="Z1127" s="13" t="n">
        <v>150</v>
      </c>
      <c r="AA1127" s="13" t="n">
        <v>0.286</v>
      </c>
      <c r="AB1127" s="13" t="n">
        <v>142</v>
      </c>
      <c r="AC1127" s="13" t="n">
        <v>104</v>
      </c>
      <c r="AD1127" s="13" t="n">
        <v>117</v>
      </c>
      <c r="AE1127" s="13" t="n">
        <v>3</v>
      </c>
      <c r="AF1127" s="13" t="n">
        <v>10.4</v>
      </c>
      <c r="AG1127" s="11" t="inlineStr">
        <is>
          <t xml:space="preserve"> On-Piste All-Mountain</t>
        </is>
      </c>
      <c r="AH1127" s="11" t="inlineStr">
        <is>
          <t xml:space="preserve"> Resort Freeride</t>
        </is>
      </c>
      <c r="AI1127" s="13" t="n"/>
      <c r="AJ1127" s="13" t="n"/>
      <c r="AK1127" s="42" t="n"/>
    </row>
    <row r="1128">
      <c r="E1128" s="40" t="inlineStr">
        <is>
          <t>21/22</t>
        </is>
      </c>
      <c r="F1128" s="10" t="inlineStr">
        <is>
          <t xml:space="preserve"> Nordica</t>
        </is>
      </c>
      <c r="G1128" s="11" t="inlineStr">
        <is>
          <t>Santa Ana 88</t>
        </is>
      </c>
      <c r="H1128" s="13" t="n">
        <v>151</v>
      </c>
      <c r="I1128" s="11" t="inlineStr">
        <is>
          <t xml:space="preserve"> Women's</t>
        </is>
      </c>
      <c r="J1128" s="13" t="n">
        <v>151</v>
      </c>
      <c r="K1128" s="13" t="n">
        <v>150.6</v>
      </c>
      <c r="L1128" s="13" t="n">
        <v>108</v>
      </c>
      <c r="M1128" s="13" t="n">
        <v>126</v>
      </c>
      <c r="N1128" s="13" t="n">
        <v>119</v>
      </c>
      <c r="O1128" s="13" t="n">
        <v>87</v>
      </c>
      <c r="P1128" s="13" t="n">
        <v>105</v>
      </c>
      <c r="Q1128" s="13" t="n">
        <v>13.5</v>
      </c>
      <c r="R1128" s="13" t="n">
        <v>1585</v>
      </c>
      <c r="S1128" s="13" t="n">
        <v>0.93</v>
      </c>
      <c r="T1128" s="13" t="n">
        <v>1469</v>
      </c>
      <c r="U1128" s="13" t="n">
        <v>158</v>
      </c>
      <c r="V1128" s="13" t="n">
        <v>85</v>
      </c>
      <c r="W1128" s="13" t="n">
        <v>51</v>
      </c>
      <c r="X1128" s="13" t="n">
        <v>245</v>
      </c>
      <c r="Y1128" s="13" t="n">
        <v>13</v>
      </c>
      <c r="Z1128" s="13" t="n">
        <v>178</v>
      </c>
      <c r="AA1128" s="13" t="n">
        <v>0.26</v>
      </c>
      <c r="AB1128" s="13" t="n">
        <v>122</v>
      </c>
      <c r="AC1128" s="13" t="n">
        <v>125</v>
      </c>
      <c r="AD1128" s="13" t="n">
        <v>123</v>
      </c>
      <c r="AE1128" s="13" t="n">
        <v>6</v>
      </c>
      <c r="AF1128" s="13" t="n">
        <v>7.9</v>
      </c>
      <c r="AG1128" s="11" t="inlineStr">
        <is>
          <t xml:space="preserve"> Resort Freeride</t>
        </is>
      </c>
      <c r="AH1128" s="13" t="n"/>
      <c r="AI1128" s="13" t="n"/>
      <c r="AJ1128" s="13" t="n"/>
      <c r="AK1128" s="42" t="n"/>
    </row>
    <row r="1129">
      <c r="E1129" s="40" t="inlineStr">
        <is>
          <t>21/22</t>
        </is>
      </c>
      <c r="F1129" s="10" t="inlineStr">
        <is>
          <t xml:space="preserve"> Nordica</t>
        </is>
      </c>
      <c r="G1129" s="11" t="inlineStr">
        <is>
          <t>Santa Ana 88</t>
        </is>
      </c>
      <c r="H1129" s="13" t="n">
        <v>158</v>
      </c>
      <c r="I1129" s="11" t="inlineStr">
        <is>
          <t xml:space="preserve"> Women's</t>
        </is>
      </c>
      <c r="J1129" s="13" t="n">
        <v>158</v>
      </c>
      <c r="K1129" s="13" t="n">
        <v>157.4</v>
      </c>
      <c r="L1129" s="13" t="n">
        <v>114</v>
      </c>
      <c r="M1129" s="13" t="n">
        <v>129</v>
      </c>
      <c r="N1129" s="13" t="n">
        <v>119</v>
      </c>
      <c r="O1129" s="13" t="n">
        <v>87</v>
      </c>
      <c r="P1129" s="13" t="n">
        <v>106</v>
      </c>
      <c r="Q1129" s="13" t="n">
        <v>14.5</v>
      </c>
      <c r="R1129" s="13" t="n">
        <v>1654</v>
      </c>
      <c r="S1129" s="13" t="n">
        <v>0.93</v>
      </c>
      <c r="T1129" s="13" t="n">
        <v>1540</v>
      </c>
      <c r="U1129" s="13" t="n">
        <v>173</v>
      </c>
      <c r="V1129" s="13" t="n">
        <v>86</v>
      </c>
      <c r="W1129" s="13" t="n">
        <v>60</v>
      </c>
      <c r="X1129" s="13" t="n">
        <v>260</v>
      </c>
      <c r="Y1129" s="13" t="n">
        <v>11</v>
      </c>
      <c r="Z1129" s="13" t="n">
        <v>174</v>
      </c>
      <c r="AA1129" s="13" t="n">
        <v>0.183</v>
      </c>
      <c r="AB1129" s="13" t="n">
        <v>128</v>
      </c>
      <c r="AC1129" s="13" t="n">
        <v>154</v>
      </c>
      <c r="AD1129" s="13" t="n">
        <v>132</v>
      </c>
      <c r="AE1129" s="13" t="n">
        <v>7</v>
      </c>
      <c r="AF1129" s="13" t="n">
        <v>8.300000000000001</v>
      </c>
      <c r="AG1129" s="11" t="inlineStr">
        <is>
          <t xml:space="preserve"> Resort Freeride</t>
        </is>
      </c>
      <c r="AH1129" s="13" t="n"/>
      <c r="AI1129" s="13" t="n"/>
      <c r="AJ1129" s="13" t="n"/>
      <c r="AK1129" s="42" t="n"/>
    </row>
    <row r="1130">
      <c r="E1130" s="40" t="inlineStr">
        <is>
          <t>21/22</t>
        </is>
      </c>
      <c r="F1130" s="10" t="inlineStr">
        <is>
          <t xml:space="preserve"> Nordica</t>
        </is>
      </c>
      <c r="G1130" s="11" t="inlineStr">
        <is>
          <t>Santa Ana 88</t>
        </is>
      </c>
      <c r="H1130" s="13" t="n">
        <v>165</v>
      </c>
      <c r="I1130" s="11" t="inlineStr">
        <is>
          <t xml:space="preserve"> Women's</t>
        </is>
      </c>
      <c r="J1130" s="13" t="n">
        <v>165</v>
      </c>
      <c r="K1130" s="13" t="n">
        <v>164.5</v>
      </c>
      <c r="L1130" s="13" t="n">
        <v>122</v>
      </c>
      <c r="M1130" s="13" t="n">
        <v>138</v>
      </c>
      <c r="N1130" s="13" t="n">
        <v>120</v>
      </c>
      <c r="O1130" s="13" t="n">
        <v>87</v>
      </c>
      <c r="P1130" s="13" t="n">
        <v>106</v>
      </c>
      <c r="Q1130" s="13" t="n">
        <v>15.7</v>
      </c>
      <c r="R1130" s="13" t="n">
        <v>1783</v>
      </c>
      <c r="S1130" s="13" t="n">
        <v>0.9</v>
      </c>
      <c r="T1130" s="13" t="n">
        <v>1614</v>
      </c>
      <c r="U1130" s="13" t="n">
        <v>177</v>
      </c>
      <c r="V1130" s="13" t="n">
        <v>89</v>
      </c>
      <c r="W1130" s="13" t="n">
        <v>52</v>
      </c>
      <c r="X1130" s="13" t="n">
        <v>253</v>
      </c>
      <c r="Y1130" s="13" t="n">
        <v>12</v>
      </c>
      <c r="Z1130" s="13" t="n">
        <v>168</v>
      </c>
      <c r="AA1130" s="13" t="n">
        <v>0.229</v>
      </c>
      <c r="AB1130" s="13" t="n">
        <v>128</v>
      </c>
      <c r="AC1130" s="13" t="n">
        <v>141</v>
      </c>
      <c r="AD1130" s="13" t="n">
        <v>125</v>
      </c>
      <c r="AE1130" s="13" t="n">
        <v>9</v>
      </c>
      <c r="AF1130" s="13" t="n">
        <v>8.300000000000001</v>
      </c>
      <c r="AG1130" s="11" t="inlineStr">
        <is>
          <t xml:space="preserve"> Resort Freeride</t>
        </is>
      </c>
      <c r="AH1130" s="13" t="n"/>
      <c r="AI1130" s="13" t="n"/>
      <c r="AJ1130" s="13" t="n"/>
      <c r="AK1130" s="42" t="n"/>
    </row>
    <row r="1131">
      <c r="E1131" s="40" t="inlineStr">
        <is>
          <t>21/22</t>
        </is>
      </c>
      <c r="F1131" s="10" t="inlineStr">
        <is>
          <t xml:space="preserve"> Nordica</t>
        </is>
      </c>
      <c r="G1131" s="11" t="inlineStr">
        <is>
          <t>Santa Ana 88</t>
        </is>
      </c>
      <c r="H1131" s="13" t="n">
        <v>172</v>
      </c>
      <c r="I1131" s="11" t="inlineStr">
        <is>
          <t xml:space="preserve"> Women's</t>
        </is>
      </c>
      <c r="J1131" s="13" t="n">
        <v>172</v>
      </c>
      <c r="K1131" s="13" t="n">
        <v>172</v>
      </c>
      <c r="L1131" s="13" t="n">
        <v>126</v>
      </c>
      <c r="M1131" s="13" t="n">
        <v>143</v>
      </c>
      <c r="N1131" s="13" t="n">
        <v>122</v>
      </c>
      <c r="O1131" s="13" t="n">
        <v>87</v>
      </c>
      <c r="P1131" s="13" t="n">
        <v>108</v>
      </c>
      <c r="Q1131" s="13" t="n">
        <v>16.1</v>
      </c>
      <c r="R1131" s="13" t="n">
        <v>1894</v>
      </c>
      <c r="S1131" s="13" t="n">
        <v>0.9</v>
      </c>
      <c r="T1131" s="13" t="n">
        <v>1697</v>
      </c>
      <c r="U1131" s="13" t="n">
        <v>205</v>
      </c>
      <c r="V1131" s="13" t="n">
        <v>101</v>
      </c>
      <c r="W1131" s="13" t="n">
        <v>59</v>
      </c>
      <c r="X1131" s="13" t="n">
        <v>266</v>
      </c>
      <c r="Y1131" s="13" t="n">
        <v>16</v>
      </c>
      <c r="Z1131" s="13" t="n">
        <v>198</v>
      </c>
      <c r="AA1131" s="13" t="n">
        <v>0.267</v>
      </c>
      <c r="AB1131" s="13" t="n">
        <v>134</v>
      </c>
      <c r="AC1131" s="13" t="n">
        <v>152</v>
      </c>
      <c r="AD1131" s="13" t="n">
        <v>132</v>
      </c>
      <c r="AE1131" s="13" t="n">
        <v>7</v>
      </c>
      <c r="AF1131" s="13" t="n">
        <v>8.5</v>
      </c>
      <c r="AG1131" s="11" t="inlineStr">
        <is>
          <t xml:space="preserve"> Resort Freeride</t>
        </is>
      </c>
      <c r="AH1131" s="13" t="n"/>
      <c r="AI1131" s="13" t="n"/>
      <c r="AJ1131" s="13" t="n"/>
      <c r="AK1131" s="42" t="n"/>
    </row>
    <row r="1132">
      <c r="E1132" s="40" t="inlineStr">
        <is>
          <t>21/22</t>
        </is>
      </c>
      <c r="F1132" s="10" t="inlineStr">
        <is>
          <t xml:space="preserve"> Nordica</t>
        </is>
      </c>
      <c r="G1132" s="11" t="inlineStr">
        <is>
          <t>Santa Ana 93</t>
        </is>
      </c>
      <c r="H1132" s="13" t="n">
        <v>151</v>
      </c>
      <c r="I1132" s="11" t="inlineStr">
        <is>
          <t xml:space="preserve"> Women's</t>
        </is>
      </c>
      <c r="J1132" s="13" t="n">
        <v>151</v>
      </c>
      <c r="K1132" s="13" t="n">
        <v>150.3</v>
      </c>
      <c r="L1132" s="13" t="n">
        <v>106</v>
      </c>
      <c r="M1132" s="13" t="n">
        <v>123</v>
      </c>
      <c r="N1132" s="13" t="n">
        <v>125</v>
      </c>
      <c r="O1132" s="13" t="n">
        <v>92</v>
      </c>
      <c r="P1132" s="13" t="n">
        <v>110</v>
      </c>
      <c r="Q1132" s="13" t="n">
        <v>13.1</v>
      </c>
      <c r="R1132" s="13" t="n">
        <v>1607</v>
      </c>
      <c r="S1132" s="13" t="n">
        <v>0.96</v>
      </c>
      <c r="T1132" s="13" t="n">
        <v>1547</v>
      </c>
      <c r="U1132" s="13" t="n">
        <v>148</v>
      </c>
      <c r="V1132" s="13" t="n">
        <v>84</v>
      </c>
      <c r="W1132" s="13" t="n">
        <v>53</v>
      </c>
      <c r="X1132" s="13" t="n">
        <v>253</v>
      </c>
      <c r="Y1132" s="13" t="n">
        <v>15</v>
      </c>
      <c r="Z1132" s="13" t="n">
        <v>190</v>
      </c>
      <c r="AA1132" s="13" t="n">
        <v>0.284</v>
      </c>
      <c r="AB1132" s="13" t="n">
        <v>127</v>
      </c>
      <c r="AC1132" s="13" t="n">
        <v>145</v>
      </c>
      <c r="AD1132" s="13" t="n">
        <v>127</v>
      </c>
      <c r="AE1132" s="13" t="n">
        <v>6</v>
      </c>
      <c r="AF1132" s="13" t="n">
        <v>8.6</v>
      </c>
      <c r="AG1132" s="11" t="inlineStr">
        <is>
          <t xml:space="preserve"> Resort Freeride</t>
        </is>
      </c>
      <c r="AH1132" s="13" t="n"/>
      <c r="AI1132" s="13" t="n"/>
      <c r="AJ1132" s="13" t="n"/>
      <c r="AK1132" s="42" t="n"/>
    </row>
    <row r="1133">
      <c r="E1133" s="40" t="inlineStr">
        <is>
          <t>21/22</t>
        </is>
      </c>
      <c r="F1133" s="10" t="inlineStr">
        <is>
          <t xml:space="preserve"> Nordica</t>
        </is>
      </c>
      <c r="G1133" s="11" t="inlineStr">
        <is>
          <t>Santa Ana 93</t>
        </is>
      </c>
      <c r="H1133" s="13" t="n">
        <v>158</v>
      </c>
      <c r="I1133" s="11" t="inlineStr">
        <is>
          <t xml:space="preserve"> Women's</t>
        </is>
      </c>
      <c r="J1133" s="13" t="n">
        <v>158</v>
      </c>
      <c r="K1133" s="13" t="n">
        <v>157.2</v>
      </c>
      <c r="L1133" s="13" t="n">
        <v>111</v>
      </c>
      <c r="M1133" s="13" t="n">
        <v>128</v>
      </c>
      <c r="N1133" s="13" t="n">
        <v>126</v>
      </c>
      <c r="O1133" s="13" t="n">
        <v>93</v>
      </c>
      <c r="P1133" s="13" t="n">
        <v>112</v>
      </c>
      <c r="Q1133" s="13" t="n">
        <v>14.3</v>
      </c>
      <c r="R1133" s="13" t="n">
        <v>1755</v>
      </c>
      <c r="S1133" s="13" t="n">
        <v>0.93</v>
      </c>
      <c r="T1133" s="13" t="n">
        <v>1634</v>
      </c>
      <c r="U1133" s="13" t="n">
        <v>173</v>
      </c>
      <c r="V1133" s="13" t="n">
        <v>97</v>
      </c>
      <c r="W1133" s="13" t="n">
        <v>60</v>
      </c>
      <c r="X1133" s="13" t="n">
        <v>270</v>
      </c>
      <c r="Y1133" s="13" t="n">
        <v>18</v>
      </c>
      <c r="Z1133" s="13" t="n">
        <v>193</v>
      </c>
      <c r="AA1133" s="13" t="n">
        <v>0.303</v>
      </c>
      <c r="AB1133" s="13" t="n">
        <v>150</v>
      </c>
      <c r="AC1133" s="13" t="n">
        <v>143</v>
      </c>
      <c r="AD1133" s="13" t="n">
        <v>120</v>
      </c>
      <c r="AE1133" s="13" t="n">
        <v>6</v>
      </c>
      <c r="AF1133" s="13" t="n">
        <v>8.699999999999999</v>
      </c>
      <c r="AG1133" s="11" t="inlineStr">
        <is>
          <t xml:space="preserve"> Resort Freeride</t>
        </is>
      </c>
      <c r="AH1133" s="13" t="n"/>
      <c r="AI1133" s="13" t="n"/>
      <c r="AJ1133" s="13" t="n"/>
      <c r="AK1133" s="42" t="n"/>
    </row>
    <row r="1134">
      <c r="E1134" s="40" t="inlineStr">
        <is>
          <t>21/22</t>
        </is>
      </c>
      <c r="F1134" s="10" t="inlineStr">
        <is>
          <t xml:space="preserve"> Nordica</t>
        </is>
      </c>
      <c r="G1134" s="11" t="inlineStr">
        <is>
          <t>Santa Ana 93</t>
        </is>
      </c>
      <c r="H1134" s="13" t="n">
        <v>165</v>
      </c>
      <c r="I1134" s="11" t="inlineStr">
        <is>
          <t xml:space="preserve"> Women's</t>
        </is>
      </c>
      <c r="J1134" s="13" t="n">
        <v>165</v>
      </c>
      <c r="K1134" s="13" t="n">
        <v>164.2</v>
      </c>
      <c r="L1134" s="13" t="n">
        <v>117</v>
      </c>
      <c r="M1134" s="13" t="n">
        <v>137</v>
      </c>
      <c r="N1134" s="13" t="n">
        <v>126</v>
      </c>
      <c r="O1134" s="13" t="n">
        <v>93</v>
      </c>
      <c r="P1134" s="13" t="n">
        <v>112</v>
      </c>
      <c r="Q1134" s="13" t="n">
        <v>15.4</v>
      </c>
      <c r="R1134" s="13" t="n">
        <v>1825</v>
      </c>
      <c r="S1134" s="13" t="n">
        <v>0.93</v>
      </c>
      <c r="T1134" s="13" t="n">
        <v>1699</v>
      </c>
      <c r="U1134" s="13" t="n">
        <v>205</v>
      </c>
      <c r="V1134" s="13" t="n">
        <v>91</v>
      </c>
      <c r="W1134" s="13" t="n">
        <v>60</v>
      </c>
      <c r="X1134" s="13" t="n">
        <v>283</v>
      </c>
      <c r="Y1134" s="13" t="n">
        <v>14</v>
      </c>
      <c r="Z1134" s="13" t="n">
        <v>186</v>
      </c>
      <c r="AA1134" s="13" t="n">
        <v>0.23</v>
      </c>
      <c r="AB1134" s="13" t="n">
        <v>130</v>
      </c>
      <c r="AC1134" s="13" t="n">
        <v>137</v>
      </c>
      <c r="AD1134" s="13" t="n">
        <v>153</v>
      </c>
      <c r="AE1134" s="13" t="n">
        <v>6</v>
      </c>
      <c r="AF1134" s="13" t="n">
        <v>8.5</v>
      </c>
      <c r="AG1134" s="11" t="inlineStr">
        <is>
          <t xml:space="preserve"> Resort Freeride</t>
        </is>
      </c>
      <c r="AH1134" s="13" t="n"/>
      <c r="AI1134" s="13" t="n"/>
      <c r="AJ1134" s="13" t="n"/>
      <c r="AK1134" s="42" t="n"/>
    </row>
    <row r="1135">
      <c r="E1135" s="40" t="inlineStr">
        <is>
          <t>21/22</t>
        </is>
      </c>
      <c r="F1135" s="10" t="inlineStr">
        <is>
          <t xml:space="preserve"> Nordica</t>
        </is>
      </c>
      <c r="G1135" s="11" t="inlineStr">
        <is>
          <t>Santa Ana 93</t>
        </is>
      </c>
      <c r="H1135" s="13" t="n">
        <v>172</v>
      </c>
      <c r="I1135" s="11" t="inlineStr">
        <is>
          <t xml:space="preserve"> Women's</t>
        </is>
      </c>
      <c r="J1135" s="13" t="n">
        <v>172</v>
      </c>
      <c r="K1135" s="13" t="n">
        <v>171.2</v>
      </c>
      <c r="L1135" s="13" t="n">
        <v>123</v>
      </c>
      <c r="M1135" s="13" t="n">
        <v>142</v>
      </c>
      <c r="N1135" s="13" t="n">
        <v>127</v>
      </c>
      <c r="O1135" s="13" t="n">
        <v>92</v>
      </c>
      <c r="P1135" s="13" t="n">
        <v>113</v>
      </c>
      <c r="Q1135" s="13" t="n">
        <v>15.9</v>
      </c>
      <c r="R1135" s="13" t="n">
        <v>2016</v>
      </c>
      <c r="S1135" s="13" t="n">
        <v>0.88</v>
      </c>
      <c r="T1135" s="13" t="n">
        <v>1775</v>
      </c>
      <c r="U1135" s="13" t="n">
        <v>250</v>
      </c>
      <c r="V1135" s="13" t="n">
        <v>118</v>
      </c>
      <c r="W1135" s="13" t="n">
        <v>61</v>
      </c>
      <c r="X1135" s="13" t="n">
        <v>287</v>
      </c>
      <c r="Y1135" s="13" t="n">
        <v>16</v>
      </c>
      <c r="Z1135" s="13" t="n">
        <v>197</v>
      </c>
      <c r="AA1135" s="13" t="n">
        <v>0.256</v>
      </c>
      <c r="AB1135" s="13" t="n">
        <v>137</v>
      </c>
      <c r="AC1135" s="13" t="n">
        <v>155</v>
      </c>
      <c r="AD1135" s="13" t="n">
        <v>150</v>
      </c>
      <c r="AE1135" s="13" t="n">
        <v>5</v>
      </c>
      <c r="AF1135" s="13" t="n">
        <v>8.5</v>
      </c>
      <c r="AG1135" s="11" t="inlineStr">
        <is>
          <t xml:space="preserve"> Resort Freeride</t>
        </is>
      </c>
      <c r="AH1135" s="13" t="n"/>
      <c r="AI1135" s="13" t="n"/>
      <c r="AJ1135" s="13" t="n"/>
      <c r="AK1135" s="42" t="n"/>
    </row>
    <row r="1136">
      <c r="E1136" s="40" t="inlineStr">
        <is>
          <t>21/22</t>
        </is>
      </c>
      <c r="F1136" s="10" t="inlineStr">
        <is>
          <t xml:space="preserve"> Nordica</t>
        </is>
      </c>
      <c r="G1136" s="11" t="inlineStr">
        <is>
          <t>Santa Ana 98</t>
        </is>
      </c>
      <c r="H1136" s="13" t="n">
        <v>165</v>
      </c>
      <c r="I1136" s="11" t="inlineStr">
        <is>
          <t xml:space="preserve"> Women's</t>
        </is>
      </c>
      <c r="J1136" s="13" t="n">
        <v>165</v>
      </c>
      <c r="K1136" s="13" t="n">
        <v>164.4</v>
      </c>
      <c r="L1136" s="13" t="n">
        <v>119</v>
      </c>
      <c r="M1136" s="13" t="n">
        <v>135</v>
      </c>
      <c r="N1136" s="13" t="n">
        <v>131</v>
      </c>
      <c r="O1136" s="13" t="n">
        <v>99</v>
      </c>
      <c r="P1136" s="13" t="n">
        <v>117</v>
      </c>
      <c r="Q1136" s="13" t="n">
        <v>16.2</v>
      </c>
      <c r="R1136" s="13" t="n">
        <v>1783</v>
      </c>
      <c r="S1136" s="13" t="n">
        <v>1.01</v>
      </c>
      <c r="T1136" s="13" t="n">
        <v>1798</v>
      </c>
      <c r="U1136" s="13" t="n">
        <v>172</v>
      </c>
      <c r="V1136" s="13" t="n">
        <v>91</v>
      </c>
      <c r="W1136" s="13" t="n">
        <v>51</v>
      </c>
      <c r="X1136" s="13" t="n">
        <v>252</v>
      </c>
      <c r="Y1136" s="13" t="n">
        <v>18</v>
      </c>
      <c r="Z1136" s="13" t="n">
        <v>200</v>
      </c>
      <c r="AA1136" s="13" t="n">
        <v>0.356</v>
      </c>
      <c r="AB1136" s="13" t="n">
        <v>154</v>
      </c>
      <c r="AC1136" s="13" t="n">
        <v>143</v>
      </c>
      <c r="AD1136" s="13" t="n">
        <v>98</v>
      </c>
      <c r="AE1136" s="13" t="n">
        <v>7</v>
      </c>
      <c r="AF1136" s="13" t="n">
        <v>8.5</v>
      </c>
      <c r="AG1136" s="11" t="inlineStr">
        <is>
          <t xml:space="preserve"> Resort Freeride</t>
        </is>
      </c>
      <c r="AH1136" s="13" t="n"/>
      <c r="AI1136" s="13" t="n"/>
      <c r="AJ1136" s="13" t="n"/>
      <c r="AK1136" s="42" t="n"/>
    </row>
    <row r="1137">
      <c r="E1137" s="40" t="inlineStr">
        <is>
          <t>21/22</t>
        </is>
      </c>
      <c r="F1137" s="10" t="inlineStr">
        <is>
          <t xml:space="preserve"> Nordica</t>
        </is>
      </c>
      <c r="G1137" s="11" t="inlineStr">
        <is>
          <t>Santa Ana 98</t>
        </is>
      </c>
      <c r="H1137" s="13" t="n">
        <v>172</v>
      </c>
      <c r="I1137" s="11" t="inlineStr">
        <is>
          <t xml:space="preserve"> Women's</t>
        </is>
      </c>
      <c r="J1137" s="13" t="n">
        <v>172</v>
      </c>
      <c r="K1137" s="13" t="n">
        <v>171.1</v>
      </c>
      <c r="L1137" s="13" t="n">
        <v>120</v>
      </c>
      <c r="M1137" s="13" t="n">
        <v>142</v>
      </c>
      <c r="N1137" s="13" t="n">
        <v>132</v>
      </c>
      <c r="O1137" s="13" t="n">
        <v>99</v>
      </c>
      <c r="P1137" s="13" t="n">
        <v>119</v>
      </c>
      <c r="Q1137" s="13" t="n">
        <v>16.9</v>
      </c>
      <c r="R1137" s="13" t="n">
        <v>1927</v>
      </c>
      <c r="S1137" s="13" t="n">
        <v>0.97</v>
      </c>
      <c r="T1137" s="13" t="n">
        <v>1877</v>
      </c>
      <c r="U1137" s="13" t="n">
        <v>192</v>
      </c>
      <c r="V1137" s="13" t="n">
        <v>99</v>
      </c>
      <c r="W1137" s="13" t="n">
        <v>62</v>
      </c>
      <c r="X1137" s="13" t="n">
        <v>296</v>
      </c>
      <c r="Y1137" s="13" t="n">
        <v>21</v>
      </c>
      <c r="Z1137" s="13" t="n">
        <v>213</v>
      </c>
      <c r="AA1137" s="13" t="n">
        <v>0.344</v>
      </c>
      <c r="AB1137" s="13" t="n">
        <v>142</v>
      </c>
      <c r="AC1137" s="13" t="n">
        <v>150</v>
      </c>
      <c r="AD1137" s="13" t="n">
        <v>154</v>
      </c>
      <c r="AE1137" s="13" t="n">
        <v>5</v>
      </c>
      <c r="AF1137" s="13" t="n">
        <v>8.199999999999999</v>
      </c>
      <c r="AG1137" s="11" t="inlineStr">
        <is>
          <t xml:space="preserve"> Resort Freeride</t>
        </is>
      </c>
      <c r="AH1137" s="13" t="n"/>
      <c r="AI1137" s="13" t="n"/>
      <c r="AJ1137" s="13" t="n"/>
      <c r="AK1137" s="42" t="n"/>
    </row>
    <row r="1138">
      <c r="E1138" s="40" t="inlineStr">
        <is>
          <t>21/22</t>
        </is>
      </c>
      <c r="F1138" s="10" t="inlineStr">
        <is>
          <t xml:space="preserve"> Nordica</t>
        </is>
      </c>
      <c r="G1138" s="11" t="inlineStr">
        <is>
          <t>Soul Rider 84</t>
        </is>
      </c>
      <c r="H1138" s="13" t="n">
        <v>149</v>
      </c>
      <c r="I1138" s="11" t="inlineStr">
        <is>
          <t xml:space="preserve"> Unisex</t>
        </is>
      </c>
      <c r="J1138" s="13" t="n">
        <v>149</v>
      </c>
      <c r="K1138" s="13" t="n">
        <v>147.3</v>
      </c>
      <c r="L1138" s="13" t="n">
        <v>117</v>
      </c>
      <c r="M1138" s="13" t="n">
        <v>131</v>
      </c>
      <c r="N1138" s="13" t="n">
        <v>115</v>
      </c>
      <c r="O1138" s="13" t="n">
        <v>81</v>
      </c>
      <c r="P1138" s="13" t="n">
        <v>106</v>
      </c>
      <c r="Q1138" s="13" t="n">
        <v>14.4</v>
      </c>
      <c r="R1138" s="13" t="n">
        <v>1359</v>
      </c>
      <c r="S1138" s="13" t="n">
        <v>0.99</v>
      </c>
      <c r="T1138" s="13" t="n">
        <v>1352</v>
      </c>
      <c r="U1138" s="13" t="n">
        <v>114</v>
      </c>
      <c r="V1138" s="13" t="n">
        <v>59</v>
      </c>
      <c r="W1138" s="13" t="n">
        <v>47</v>
      </c>
      <c r="X1138" s="13" t="n">
        <v>156</v>
      </c>
      <c r="Y1138" s="13" t="n">
        <v>41</v>
      </c>
      <c r="Z1138" s="13" t="n">
        <v>148</v>
      </c>
      <c r="AA1138" s="13" t="n">
        <v>0.863</v>
      </c>
      <c r="AB1138" s="13" t="n">
        <v>91</v>
      </c>
      <c r="AC1138" s="13" t="n">
        <v>76</v>
      </c>
      <c r="AD1138" s="13" t="n">
        <v>65</v>
      </c>
      <c r="AE1138" s="13" t="n">
        <v>10</v>
      </c>
      <c r="AF1138" s="13" t="n">
        <v>8.199999999999999</v>
      </c>
      <c r="AG1138" s="11" t="inlineStr">
        <is>
          <t xml:space="preserve"> Freeski</t>
        </is>
      </c>
      <c r="AH1138" s="13" t="n"/>
      <c r="AI1138" s="13" t="n"/>
      <c r="AJ1138" s="13" t="n"/>
      <c r="AK1138" s="42" t="n"/>
    </row>
    <row r="1139">
      <c r="E1139" s="40" t="inlineStr">
        <is>
          <t>21/22</t>
        </is>
      </c>
      <c r="F1139" s="10" t="inlineStr">
        <is>
          <t xml:space="preserve"> Nordica</t>
        </is>
      </c>
      <c r="G1139" s="11" t="inlineStr">
        <is>
          <t>Soul Rider 84</t>
        </is>
      </c>
      <c r="H1139" s="13" t="n">
        <v>156</v>
      </c>
      <c r="I1139" s="11" t="inlineStr">
        <is>
          <t xml:space="preserve"> Unisex</t>
        </is>
      </c>
      <c r="J1139" s="13" t="n">
        <v>156</v>
      </c>
      <c r="K1139" s="13" t="n">
        <v>154.4</v>
      </c>
      <c r="L1139" s="13" t="n">
        <v>124</v>
      </c>
      <c r="M1139" s="13" t="n">
        <v>138</v>
      </c>
      <c r="N1139" s="13" t="n">
        <v>115</v>
      </c>
      <c r="O1139" s="13" t="n">
        <v>81</v>
      </c>
      <c r="P1139" s="13" t="n">
        <v>106</v>
      </c>
      <c r="Q1139" s="13" t="n">
        <v>15.9</v>
      </c>
      <c r="R1139" s="13" t="n">
        <v>1426</v>
      </c>
      <c r="S1139" s="13" t="n">
        <v>0.99</v>
      </c>
      <c r="T1139" s="13" t="n">
        <v>1417</v>
      </c>
      <c r="U1139" s="13" t="n">
        <v>135</v>
      </c>
      <c r="V1139" s="13" t="n">
        <v>69</v>
      </c>
      <c r="W1139" s="13" t="n">
        <v>48</v>
      </c>
      <c r="X1139" s="13" t="n">
        <v>154</v>
      </c>
      <c r="Y1139" s="13" t="n">
        <v>41</v>
      </c>
      <c r="Z1139" s="13" t="n">
        <v>148</v>
      </c>
      <c r="AA1139" s="13" t="n">
        <v>0.855</v>
      </c>
      <c r="AB1139" s="13" t="n">
        <v>92</v>
      </c>
      <c r="AC1139" s="13" t="n">
        <v>72</v>
      </c>
      <c r="AD1139" s="13" t="n">
        <v>62</v>
      </c>
      <c r="AE1139" s="13" t="n">
        <v>10</v>
      </c>
      <c r="AF1139" s="13" t="n">
        <v>8.699999999999999</v>
      </c>
      <c r="AG1139" s="11" t="inlineStr">
        <is>
          <t xml:space="preserve"> Resort Freeride</t>
        </is>
      </c>
      <c r="AH1139" s="11" t="inlineStr">
        <is>
          <t xml:space="preserve"> Freeski</t>
        </is>
      </c>
      <c r="AI1139" s="13" t="n"/>
      <c r="AJ1139" s="13" t="n"/>
      <c r="AK1139" s="42" t="n"/>
    </row>
    <row r="1140">
      <c r="E1140" s="40" t="inlineStr">
        <is>
          <t>21/22</t>
        </is>
      </c>
      <c r="F1140" s="10" t="inlineStr">
        <is>
          <t xml:space="preserve"> Nordica</t>
        </is>
      </c>
      <c r="G1140" s="11" t="inlineStr">
        <is>
          <t>Soul Rider 84</t>
        </is>
      </c>
      <c r="H1140" s="13" t="n">
        <v>163</v>
      </c>
      <c r="I1140" s="11" t="inlineStr">
        <is>
          <t xml:space="preserve"> Unisex</t>
        </is>
      </c>
      <c r="J1140" s="13" t="n">
        <v>163</v>
      </c>
      <c r="K1140" s="13" t="n">
        <v>161.4</v>
      </c>
      <c r="L1140" s="13" t="n">
        <v>132</v>
      </c>
      <c r="M1140" s="13" t="n">
        <v>145</v>
      </c>
      <c r="N1140" s="13" t="n">
        <v>120</v>
      </c>
      <c r="O1140" s="13" t="n">
        <v>83</v>
      </c>
      <c r="P1140" s="13" t="n">
        <v>109</v>
      </c>
      <c r="Q1140" s="13" t="n">
        <v>16</v>
      </c>
      <c r="R1140" s="13" t="n">
        <v>1565</v>
      </c>
      <c r="S1140" s="13" t="n">
        <v>0.98</v>
      </c>
      <c r="T1140" s="13" t="n">
        <v>1527</v>
      </c>
      <c r="U1140" s="13" t="n">
        <v>160</v>
      </c>
      <c r="V1140" s="13" t="n">
        <v>86</v>
      </c>
      <c r="W1140" s="13" t="n">
        <v>45</v>
      </c>
      <c r="X1140" s="13" t="n">
        <v>152</v>
      </c>
      <c r="Y1140" s="13" t="n">
        <v>39</v>
      </c>
      <c r="Z1140" s="13" t="n">
        <v>140</v>
      </c>
      <c r="AA1140" s="13" t="n">
        <v>0.866</v>
      </c>
      <c r="AB1140" s="13" t="n">
        <v>90</v>
      </c>
      <c r="AC1140" s="13" t="n">
        <v>76</v>
      </c>
      <c r="AD1140" s="13" t="n">
        <v>62</v>
      </c>
      <c r="AE1140" s="13" t="n">
        <v>9</v>
      </c>
      <c r="AF1140" s="13" t="n">
        <v>9.300000000000001</v>
      </c>
      <c r="AG1140" s="11" t="inlineStr">
        <is>
          <t xml:space="preserve"> Freeski</t>
        </is>
      </c>
      <c r="AH1140" s="13" t="n"/>
      <c r="AI1140" s="13" t="n"/>
      <c r="AJ1140" s="13" t="n"/>
      <c r="AK1140" s="42" t="n"/>
    </row>
    <row r="1141">
      <c r="E1141" s="40" t="inlineStr">
        <is>
          <t>21/22</t>
        </is>
      </c>
      <c r="F1141" s="10" t="inlineStr">
        <is>
          <t xml:space="preserve"> Nordica</t>
        </is>
      </c>
      <c r="G1141" s="11" t="inlineStr">
        <is>
          <t>Soul Rider 84</t>
        </is>
      </c>
      <c r="H1141" s="13" t="n">
        <v>170</v>
      </c>
      <c r="I1141" s="11" t="inlineStr">
        <is>
          <t xml:space="preserve"> Unisex</t>
        </is>
      </c>
      <c r="J1141" s="13" t="n">
        <v>170</v>
      </c>
      <c r="K1141" s="13" t="n">
        <v>168.6</v>
      </c>
      <c r="L1141" s="13" t="n">
        <v>138</v>
      </c>
      <c r="M1141" s="13" t="n">
        <v>151</v>
      </c>
      <c r="N1141" s="13" t="n">
        <v>120</v>
      </c>
      <c r="O1141" s="13" t="n">
        <v>83</v>
      </c>
      <c r="P1141" s="13" t="n">
        <v>109</v>
      </c>
      <c r="Q1141" s="13" t="n">
        <v>18</v>
      </c>
      <c r="R1141" s="13" t="n">
        <v>1690</v>
      </c>
      <c r="S1141" s="13" t="n">
        <v>0.9399999999999999</v>
      </c>
      <c r="T1141" s="13" t="n">
        <v>1593</v>
      </c>
      <c r="U1141" s="13" t="n">
        <v>200</v>
      </c>
      <c r="V1141" s="13" t="n">
        <v>103</v>
      </c>
      <c r="W1141" s="13" t="n">
        <v>48</v>
      </c>
      <c r="X1141" s="13" t="n">
        <v>159</v>
      </c>
      <c r="Y1141" s="13" t="n">
        <v>41</v>
      </c>
      <c r="Z1141" s="13" t="n">
        <v>143</v>
      </c>
      <c r="AA1141" s="13" t="n">
        <v>0.853</v>
      </c>
      <c r="AB1141" s="13" t="n">
        <v>94</v>
      </c>
      <c r="AC1141" s="13" t="n">
        <v>78</v>
      </c>
      <c r="AD1141" s="13" t="n">
        <v>65</v>
      </c>
      <c r="AE1141" s="13" t="n">
        <v>11</v>
      </c>
      <c r="AF1141" s="13" t="n">
        <v>9.699999999999999</v>
      </c>
      <c r="AG1141" s="11" t="inlineStr">
        <is>
          <t xml:space="preserve"> Resort Freeride</t>
        </is>
      </c>
      <c r="AH1141" s="11" t="inlineStr">
        <is>
          <t xml:space="preserve"> Freeski</t>
        </is>
      </c>
      <c r="AI1141" s="13" t="n"/>
      <c r="AJ1141" s="13" t="n"/>
      <c r="AK1141" s="42" t="n"/>
    </row>
    <row r="1142">
      <c r="E1142" s="40" t="inlineStr">
        <is>
          <t>21/22</t>
        </is>
      </c>
      <c r="F1142" s="10" t="inlineStr">
        <is>
          <t xml:space="preserve"> Nordica</t>
        </is>
      </c>
      <c r="G1142" s="11" t="inlineStr">
        <is>
          <t>Soul Rider 87</t>
        </is>
      </c>
      <c r="H1142" s="13" t="n">
        <v>169</v>
      </c>
      <c r="I1142" s="11" t="inlineStr">
        <is>
          <t xml:space="preserve"> Unisex</t>
        </is>
      </c>
      <c r="J1142" s="13" t="n">
        <v>169</v>
      </c>
      <c r="K1142" s="13" t="n">
        <v>167.6</v>
      </c>
      <c r="L1142" s="13" t="n">
        <v>133</v>
      </c>
      <c r="M1142" s="13" t="n">
        <v>145</v>
      </c>
      <c r="N1142" s="13" t="n">
        <v>123</v>
      </c>
      <c r="O1142" s="13" t="n">
        <v>86</v>
      </c>
      <c r="P1142" s="13" t="n">
        <v>113</v>
      </c>
      <c r="Q1142" s="13" t="n">
        <v>15.3</v>
      </c>
      <c r="R1142" s="13" t="n">
        <v>1841</v>
      </c>
      <c r="S1142" s="13" t="n">
        <v>0.9</v>
      </c>
      <c r="T1142" s="13" t="n">
        <v>1654</v>
      </c>
      <c r="U1142" s="13" t="n">
        <v>156</v>
      </c>
      <c r="V1142" s="13" t="n">
        <v>77</v>
      </c>
      <c r="W1142" s="13" t="n">
        <v>46</v>
      </c>
      <c r="X1142" s="13" t="n">
        <v>174</v>
      </c>
      <c r="Y1142" s="13" t="n">
        <v>44</v>
      </c>
      <c r="Z1142" s="13" t="n">
        <v>176</v>
      </c>
      <c r="AA1142" s="13" t="n">
        <v>0.957</v>
      </c>
      <c r="AB1142" s="13" t="n">
        <v>106</v>
      </c>
      <c r="AC1142" s="13" t="n">
        <v>122</v>
      </c>
      <c r="AD1142" s="13" t="n">
        <v>67</v>
      </c>
      <c r="AE1142" s="13" t="n">
        <v>12</v>
      </c>
      <c r="AF1142" s="13" t="n">
        <v>5.2</v>
      </c>
      <c r="AG1142" s="11" t="inlineStr">
        <is>
          <t xml:space="preserve"> Freeski</t>
        </is>
      </c>
      <c r="AH1142" s="13" t="n"/>
      <c r="AI1142" s="13" t="n"/>
      <c r="AJ1142" s="13" t="n"/>
      <c r="AK1142" s="42" t="n"/>
    </row>
    <row r="1143">
      <c r="E1143" s="40" t="inlineStr">
        <is>
          <t>21/22</t>
        </is>
      </c>
      <c r="F1143" s="10" t="inlineStr">
        <is>
          <t xml:space="preserve"> Nordica</t>
        </is>
      </c>
      <c r="G1143" s="11" t="inlineStr">
        <is>
          <t>Soul Rider 87</t>
        </is>
      </c>
      <c r="H1143" s="13" t="n">
        <v>177</v>
      </c>
      <c r="I1143" s="11" t="inlineStr">
        <is>
          <t xml:space="preserve"> Unisex</t>
        </is>
      </c>
      <c r="J1143" s="13" t="n">
        <v>177</v>
      </c>
      <c r="K1143" s="13" t="n">
        <v>175</v>
      </c>
      <c r="L1143" s="13" t="n">
        <v>138</v>
      </c>
      <c r="M1143" s="13" t="n">
        <v>153</v>
      </c>
      <c r="N1143" s="13" t="n">
        <v>124</v>
      </c>
      <c r="O1143" s="13" t="n">
        <v>86</v>
      </c>
      <c r="P1143" s="13" t="n">
        <v>114</v>
      </c>
      <c r="Q1143" s="13" t="n">
        <v>16.5</v>
      </c>
      <c r="R1143" s="13" t="n">
        <v>1946</v>
      </c>
      <c r="S1143" s="13" t="n">
        <v>0.89</v>
      </c>
      <c r="T1143" s="13" t="n">
        <v>1727</v>
      </c>
      <c r="U1143" s="13" t="n">
        <v>218</v>
      </c>
      <c r="V1143" s="13" t="n">
        <v>96</v>
      </c>
      <c r="W1143" s="13" t="n">
        <v>47</v>
      </c>
      <c r="X1143" s="13" t="n">
        <v>180</v>
      </c>
      <c r="Y1143" s="13" t="n">
        <v>48</v>
      </c>
      <c r="Z1143" s="13" t="n">
        <v>185</v>
      </c>
      <c r="AA1143" s="13" t="n">
        <v>1.011</v>
      </c>
      <c r="AB1143" s="13" t="n">
        <v>103</v>
      </c>
      <c r="AC1143" s="13" t="n">
        <v>115</v>
      </c>
      <c r="AD1143" s="13" t="n">
        <v>78</v>
      </c>
      <c r="AE1143" s="13" t="n">
        <v>8</v>
      </c>
      <c r="AF1143" s="13" t="n">
        <v>6.6</v>
      </c>
      <c r="AG1143" s="11" t="inlineStr">
        <is>
          <t xml:space="preserve"> Freeski</t>
        </is>
      </c>
      <c r="AH1143" s="13" t="n"/>
      <c r="AI1143" s="13" t="n"/>
      <c r="AJ1143" s="13" t="n"/>
      <c r="AK1143" s="42" t="n"/>
    </row>
    <row r="1144">
      <c r="E1144" s="40" t="inlineStr">
        <is>
          <t>21/22</t>
        </is>
      </c>
      <c r="F1144" s="10" t="inlineStr">
        <is>
          <t xml:space="preserve"> Nordica</t>
        </is>
      </c>
      <c r="G1144" s="11" t="inlineStr">
        <is>
          <t>Soul Rider 87</t>
        </is>
      </c>
      <c r="H1144" s="13" t="n">
        <v>185</v>
      </c>
      <c r="I1144" s="11" t="inlineStr">
        <is>
          <t xml:space="preserve"> Unisex</t>
        </is>
      </c>
      <c r="J1144" s="13" t="n">
        <v>185</v>
      </c>
      <c r="K1144" s="13" t="n">
        <v>185</v>
      </c>
      <c r="L1144" s="13" t="n">
        <v>147</v>
      </c>
      <c r="M1144" s="13" t="n">
        <v>160</v>
      </c>
      <c r="N1144" s="13" t="n">
        <v>124</v>
      </c>
      <c r="O1144" s="13" t="n">
        <v>86</v>
      </c>
      <c r="P1144" s="13" t="n">
        <v>114</v>
      </c>
      <c r="Q1144" s="13" t="n">
        <v>18.5</v>
      </c>
      <c r="R1144" s="13" t="n">
        <v>2107</v>
      </c>
      <c r="S1144" s="13" t="n">
        <v>0.86</v>
      </c>
      <c r="T1144" s="13" t="n">
        <v>1819</v>
      </c>
      <c r="U1144" s="13" t="n">
        <v>239</v>
      </c>
      <c r="V1144" s="13" t="n">
        <v>106</v>
      </c>
      <c r="W1144" s="13" t="n">
        <v>50</v>
      </c>
      <c r="X1144" s="13" t="n">
        <v>180</v>
      </c>
      <c r="Y1144" s="13" t="n">
        <v>59</v>
      </c>
      <c r="Z1144" s="13" t="n">
        <v>203</v>
      </c>
      <c r="AA1144" s="13" t="n">
        <v>1.19</v>
      </c>
      <c r="AB1144" s="13" t="n">
        <v>98</v>
      </c>
      <c r="AC1144" s="13" t="n">
        <v>152</v>
      </c>
      <c r="AD1144" s="13" t="n">
        <v>83</v>
      </c>
      <c r="AE1144" s="13" t="n">
        <v>11</v>
      </c>
      <c r="AF1144" s="13" t="n">
        <v>5.9</v>
      </c>
      <c r="AG1144" s="11" t="inlineStr">
        <is>
          <t xml:space="preserve"> Freeski</t>
        </is>
      </c>
      <c r="AH1144" s="13" t="n"/>
      <c r="AI1144" s="13" t="n"/>
      <c r="AJ1144" s="13" t="n"/>
      <c r="AK1144" s="42" t="n"/>
    </row>
    <row r="1145">
      <c r="E1145" s="40" t="inlineStr">
        <is>
          <t>21/22</t>
        </is>
      </c>
      <c r="F1145" s="10" t="inlineStr">
        <is>
          <t xml:space="preserve"> Nordica</t>
        </is>
      </c>
      <c r="G1145" s="11" t="inlineStr">
        <is>
          <t>Soul Rider 97</t>
        </is>
      </c>
      <c r="H1145" s="13" t="n">
        <v>169</v>
      </c>
      <c r="I1145" s="11" t="inlineStr">
        <is>
          <t xml:space="preserve"> Unisex</t>
        </is>
      </c>
      <c r="J1145" s="13" t="n">
        <v>169</v>
      </c>
      <c r="K1145" s="13" t="n">
        <v>167.4</v>
      </c>
      <c r="L1145" s="13" t="n">
        <v>132</v>
      </c>
      <c r="M1145" s="13" t="n">
        <v>143</v>
      </c>
      <c r="N1145" s="13" t="n">
        <v>134</v>
      </c>
      <c r="O1145" s="13" t="n">
        <v>96</v>
      </c>
      <c r="P1145" s="13" t="n">
        <v>124</v>
      </c>
      <c r="Q1145" s="13" t="n">
        <v>14.8</v>
      </c>
      <c r="R1145" s="13" t="n">
        <v>1913</v>
      </c>
      <c r="S1145" s="13" t="n">
        <v>0.95</v>
      </c>
      <c r="T1145" s="13" t="n">
        <v>1821</v>
      </c>
      <c r="U1145" s="13" t="n">
        <v>168</v>
      </c>
      <c r="V1145" s="13" t="n">
        <v>81</v>
      </c>
      <c r="W1145" s="13" t="n">
        <v>45</v>
      </c>
      <c r="X1145" s="13" t="n">
        <v>175</v>
      </c>
      <c r="Y1145" s="13" t="n">
        <v>47</v>
      </c>
      <c r="Z1145" s="13" t="n">
        <v>177</v>
      </c>
      <c r="AA1145" s="13" t="n">
        <v>1.047</v>
      </c>
      <c r="AB1145" s="13" t="n">
        <v>105</v>
      </c>
      <c r="AC1145" s="13" t="n">
        <v>135</v>
      </c>
      <c r="AD1145" s="13" t="n">
        <v>70</v>
      </c>
      <c r="AE1145" s="13" t="n">
        <v>11</v>
      </c>
      <c r="AF1145" s="13" t="n">
        <v>6</v>
      </c>
      <c r="AG1145" s="11" t="inlineStr">
        <is>
          <t xml:space="preserve"> Freeski</t>
        </is>
      </c>
      <c r="AH1145" s="13" t="n"/>
      <c r="AI1145" s="13" t="n"/>
      <c r="AJ1145" s="13" t="n"/>
      <c r="AK1145" s="42" t="n"/>
    </row>
    <row r="1146">
      <c r="E1146" s="40" t="inlineStr">
        <is>
          <t>21/22</t>
        </is>
      </c>
      <c r="F1146" s="10" t="inlineStr">
        <is>
          <t xml:space="preserve"> Nordica</t>
        </is>
      </c>
      <c r="G1146" s="11" t="inlineStr">
        <is>
          <t>Soul Rider 97</t>
        </is>
      </c>
      <c r="H1146" s="13" t="n">
        <v>177</v>
      </c>
      <c r="I1146" s="11" t="inlineStr">
        <is>
          <t xml:space="preserve"> Unisex</t>
        </is>
      </c>
      <c r="J1146" s="13" t="n">
        <v>177</v>
      </c>
      <c r="K1146" s="13" t="n">
        <v>175.3</v>
      </c>
      <c r="L1146" s="13" t="n">
        <v>140</v>
      </c>
      <c r="M1146" s="13" t="n">
        <v>152</v>
      </c>
      <c r="N1146" s="13" t="n">
        <v>133</v>
      </c>
      <c r="O1146" s="13" t="n">
        <v>96</v>
      </c>
      <c r="P1146" s="13" t="n">
        <v>123</v>
      </c>
      <c r="Q1146" s="13" t="n">
        <v>16.9</v>
      </c>
      <c r="R1146" s="13" t="n">
        <v>1992</v>
      </c>
      <c r="S1146" s="13" t="n">
        <v>0.95</v>
      </c>
      <c r="T1146" s="13" t="n">
        <v>1896</v>
      </c>
      <c r="U1146" s="13" t="n">
        <v>184</v>
      </c>
      <c r="V1146" s="13" t="n">
        <v>91</v>
      </c>
      <c r="W1146" s="13" t="n">
        <v>48</v>
      </c>
      <c r="X1146" s="13" t="n">
        <v>177</v>
      </c>
      <c r="Y1146" s="13" t="n">
        <v>44</v>
      </c>
      <c r="Z1146" s="13" t="n">
        <v>175</v>
      </c>
      <c r="AA1146" s="13" t="n">
        <v>0.922</v>
      </c>
      <c r="AB1146" s="13" t="n">
        <v>103</v>
      </c>
      <c r="AC1146" s="13" t="n">
        <v>128</v>
      </c>
      <c r="AD1146" s="13" t="n">
        <v>74</v>
      </c>
      <c r="AE1146" s="13" t="n">
        <v>11</v>
      </c>
      <c r="AF1146" s="13" t="n">
        <v>6</v>
      </c>
      <c r="AG1146" s="11" t="inlineStr">
        <is>
          <t xml:space="preserve"> Freeski</t>
        </is>
      </c>
      <c r="AH1146" s="13" t="n"/>
      <c r="AI1146" s="13" t="n"/>
      <c r="AJ1146" s="13" t="n"/>
      <c r="AK1146" s="42" t="n"/>
    </row>
    <row r="1147">
      <c r="E1147" s="40" t="inlineStr">
        <is>
          <t>21/22</t>
        </is>
      </c>
      <c r="F1147" s="10" t="inlineStr">
        <is>
          <t xml:space="preserve"> Nordica</t>
        </is>
      </c>
      <c r="G1147" s="11" t="inlineStr">
        <is>
          <t>Soul Rider 97</t>
        </is>
      </c>
      <c r="H1147" s="13" t="n">
        <v>185</v>
      </c>
      <c r="I1147" s="11" t="inlineStr">
        <is>
          <t xml:space="preserve"> Unisex</t>
        </is>
      </c>
      <c r="J1147" s="13" t="n">
        <v>185</v>
      </c>
      <c r="K1147" s="13" t="n">
        <v>183.1</v>
      </c>
      <c r="L1147" s="13" t="n">
        <v>148</v>
      </c>
      <c r="M1147" s="13" t="n">
        <v>160</v>
      </c>
      <c r="N1147" s="13" t="n">
        <v>133</v>
      </c>
      <c r="O1147" s="13" t="n">
        <v>96</v>
      </c>
      <c r="P1147" s="13" t="n">
        <v>123</v>
      </c>
      <c r="Q1147" s="13" t="n">
        <v>19</v>
      </c>
      <c r="R1147" s="13" t="n">
        <v>2129</v>
      </c>
      <c r="S1147" s="13" t="n">
        <v>0.93</v>
      </c>
      <c r="T1147" s="13" t="n">
        <v>1975</v>
      </c>
      <c r="U1147" s="13" t="n">
        <v>202</v>
      </c>
      <c r="V1147" s="13" t="n">
        <v>101</v>
      </c>
      <c r="W1147" s="13" t="n">
        <v>52</v>
      </c>
      <c r="X1147" s="13" t="n">
        <v>178</v>
      </c>
      <c r="Y1147" s="13" t="n">
        <v>48</v>
      </c>
      <c r="Z1147" s="13" t="n">
        <v>175</v>
      </c>
      <c r="AA1147" s="13" t="n">
        <v>0.92</v>
      </c>
      <c r="AB1147" s="13" t="n">
        <v>105</v>
      </c>
      <c r="AC1147" s="13" t="n">
        <v>126</v>
      </c>
      <c r="AD1147" s="13" t="n">
        <v>74</v>
      </c>
      <c r="AE1147" s="13" t="n">
        <v>11</v>
      </c>
      <c r="AF1147" s="13" t="n">
        <v>6.3</v>
      </c>
      <c r="AG1147" s="11" t="inlineStr">
        <is>
          <t xml:space="preserve"> Freeski</t>
        </is>
      </c>
      <c r="AH1147" s="13" t="n"/>
      <c r="AI1147" s="13" t="n"/>
      <c r="AJ1147" s="13" t="n"/>
      <c r="AK1147" s="42" t="n"/>
    </row>
    <row r="1148">
      <c r="E1148" s="40" t="inlineStr">
        <is>
          <t>21/22</t>
        </is>
      </c>
      <c r="F1148" s="10" t="inlineStr">
        <is>
          <t xml:space="preserve"> Nordica</t>
        </is>
      </c>
      <c r="G1148" s="11" t="inlineStr">
        <is>
          <t>Spitfire 70 Pro</t>
        </is>
      </c>
      <c r="H1148" s="13" t="n">
        <v>160</v>
      </c>
      <c r="I1148" s="11" t="inlineStr">
        <is>
          <t xml:space="preserve"> Unisex</t>
        </is>
      </c>
      <c r="J1148" s="13" t="n">
        <v>160</v>
      </c>
      <c r="K1148" s="13" t="n">
        <v>159.2</v>
      </c>
      <c r="L1148" s="13" t="n">
        <v>141</v>
      </c>
      <c r="M1148" s="13" t="n">
        <v>148</v>
      </c>
      <c r="N1148" s="13" t="n">
        <v>117</v>
      </c>
      <c r="O1148" s="13" t="n">
        <v>69</v>
      </c>
      <c r="P1148" s="13" t="n">
        <v>98</v>
      </c>
      <c r="Q1148" s="13" t="n">
        <v>14.2</v>
      </c>
      <c r="R1148" s="13" t="n">
        <v>1892</v>
      </c>
      <c r="S1148" s="13" t="n">
        <v>0.7</v>
      </c>
      <c r="T1148" s="13" t="n">
        <v>1328</v>
      </c>
      <c r="U1148" s="13" t="n">
        <v>168</v>
      </c>
      <c r="V1148" s="13" t="n">
        <v>103</v>
      </c>
      <c r="W1148" s="13" t="n">
        <v>36</v>
      </c>
      <c r="X1148" s="13" t="n">
        <v>131</v>
      </c>
      <c r="Y1148" s="13" t="n">
        <v>6</v>
      </c>
      <c r="Z1148" s="13" t="n">
        <v>52</v>
      </c>
      <c r="AA1148" s="13" t="n">
        <v>0.174</v>
      </c>
      <c r="AB1148" s="13" t="n">
        <v>63</v>
      </c>
      <c r="AC1148" s="13" t="n">
        <v>45</v>
      </c>
      <c r="AD1148" s="13" t="n">
        <v>68</v>
      </c>
      <c r="AE1148" s="13" t="n">
        <v>8</v>
      </c>
      <c r="AF1148" s="13" t="n">
        <v>12.6</v>
      </c>
      <c r="AG1148" s="11" t="inlineStr">
        <is>
          <t xml:space="preserve"> On-Piste Carving</t>
        </is>
      </c>
      <c r="AH1148" s="13" t="n"/>
      <c r="AI1148" s="13" t="n"/>
      <c r="AJ1148" s="13" t="n"/>
      <c r="AK1148" s="42" t="n"/>
    </row>
    <row r="1149">
      <c r="E1149" s="40" t="inlineStr">
        <is>
          <t>21/22</t>
        </is>
      </c>
      <c r="F1149" s="10" t="inlineStr">
        <is>
          <t xml:space="preserve"> Nordica</t>
        </is>
      </c>
      <c r="G1149" s="11" t="inlineStr">
        <is>
          <t>Spitfire 70 Pro</t>
        </is>
      </c>
      <c r="H1149" s="13" t="n">
        <v>165</v>
      </c>
      <c r="I1149" s="11" t="inlineStr">
        <is>
          <t xml:space="preserve"> Unisex</t>
        </is>
      </c>
      <c r="J1149" s="13" t="n">
        <v>165</v>
      </c>
      <c r="K1149" s="13" t="n">
        <v>164.6</v>
      </c>
      <c r="L1149" s="13" t="n">
        <v>146</v>
      </c>
      <c r="M1149" s="13" t="n">
        <v>153</v>
      </c>
      <c r="N1149" s="13" t="n">
        <v>118</v>
      </c>
      <c r="O1149" s="13" t="n">
        <v>69</v>
      </c>
      <c r="P1149" s="13" t="n">
        <v>97</v>
      </c>
      <c r="Q1149" s="13" t="n">
        <v>15</v>
      </c>
      <c r="R1149" s="13" t="n">
        <v>1999</v>
      </c>
      <c r="S1149" s="13" t="n">
        <v>0.6899999999999999</v>
      </c>
      <c r="T1149" s="13" t="n">
        <v>1377</v>
      </c>
      <c r="U1149" s="13" t="n">
        <v>167</v>
      </c>
      <c r="V1149" s="13" t="n">
        <v>109</v>
      </c>
      <c r="W1149" s="13" t="n">
        <v>35</v>
      </c>
      <c r="X1149" s="13" t="n">
        <v>129</v>
      </c>
      <c r="Y1149" s="13" t="n">
        <v>7</v>
      </c>
      <c r="Z1149" s="13" t="n">
        <v>52</v>
      </c>
      <c r="AA1149" s="13" t="n">
        <v>0.189</v>
      </c>
      <c r="AB1149" s="13" t="n">
        <v>61</v>
      </c>
      <c r="AC1149" s="13" t="n">
        <v>57</v>
      </c>
      <c r="AD1149" s="13" t="n">
        <v>68</v>
      </c>
      <c r="AE1149" s="13" t="n">
        <v>9</v>
      </c>
      <c r="AF1149" s="13" t="n">
        <v>13</v>
      </c>
      <c r="AG1149" s="11" t="inlineStr">
        <is>
          <t xml:space="preserve"> On-Piste Carving</t>
        </is>
      </c>
      <c r="AH1149" s="13" t="n"/>
      <c r="AI1149" s="13" t="n"/>
      <c r="AJ1149" s="13" t="n"/>
      <c r="AK1149" s="42" t="n"/>
    </row>
    <row r="1150">
      <c r="E1150" s="40" t="inlineStr">
        <is>
          <t>21/22</t>
        </is>
      </c>
      <c r="F1150" s="10" t="inlineStr">
        <is>
          <t xml:space="preserve"> Nordica</t>
        </is>
      </c>
      <c r="G1150" s="11" t="inlineStr">
        <is>
          <t>Spitfire 70 Pro</t>
        </is>
      </c>
      <c r="H1150" s="13" t="n">
        <v>170</v>
      </c>
      <c r="I1150" s="11" t="inlineStr">
        <is>
          <t xml:space="preserve"> Unisex</t>
        </is>
      </c>
      <c r="J1150" s="13" t="n">
        <v>170</v>
      </c>
      <c r="K1150" s="13" t="n">
        <v>169.2</v>
      </c>
      <c r="L1150" s="13" t="n">
        <v>151</v>
      </c>
      <c r="M1150" s="13" t="n">
        <v>157</v>
      </c>
      <c r="N1150" s="13" t="n">
        <v>120</v>
      </c>
      <c r="O1150" s="13" t="n">
        <v>69</v>
      </c>
      <c r="P1150" s="13" t="n">
        <v>100</v>
      </c>
      <c r="Q1150" s="13" t="n">
        <v>15.2</v>
      </c>
      <c r="R1150" s="13" t="n">
        <v>2064</v>
      </c>
      <c r="S1150" s="13" t="n">
        <v>0.6899999999999999</v>
      </c>
      <c r="T1150" s="13" t="n">
        <v>1427</v>
      </c>
      <c r="U1150" s="13" t="n">
        <v>198</v>
      </c>
      <c r="V1150" s="13" t="n">
        <v>125</v>
      </c>
      <c r="W1150" s="13" t="n">
        <v>36</v>
      </c>
      <c r="X1150" s="13" t="n">
        <v>133</v>
      </c>
      <c r="Y1150" s="13" t="n">
        <v>6</v>
      </c>
      <c r="Z1150" s="13" t="n">
        <v>49</v>
      </c>
      <c r="AA1150" s="13" t="n">
        <v>0.164</v>
      </c>
      <c r="AB1150" s="13" t="n">
        <v>67</v>
      </c>
      <c r="AC1150" s="13" t="n">
        <v>52</v>
      </c>
      <c r="AD1150" s="13" t="n">
        <v>66</v>
      </c>
      <c r="AE1150" s="13" t="n">
        <v>9</v>
      </c>
      <c r="AF1150" s="13" t="n">
        <v>13.2</v>
      </c>
      <c r="AG1150" s="11" t="inlineStr">
        <is>
          <t xml:space="preserve"> On-Piste Carving</t>
        </is>
      </c>
      <c r="AH1150" s="13" t="n"/>
      <c r="AI1150" s="13" t="n"/>
      <c r="AJ1150" s="13" t="n"/>
      <c r="AK1150" s="42" t="n"/>
    </row>
    <row r="1151">
      <c r="E1151" s="40" t="inlineStr">
        <is>
          <t>21/22</t>
        </is>
      </c>
      <c r="F1151" s="10" t="inlineStr">
        <is>
          <t xml:space="preserve"> Nordica</t>
        </is>
      </c>
      <c r="G1151" s="11" t="inlineStr">
        <is>
          <t>Spitfire 70 Ti</t>
        </is>
      </c>
      <c r="H1151" s="13" t="n">
        <v>165</v>
      </c>
      <c r="I1151" s="11" t="inlineStr">
        <is>
          <t xml:space="preserve"> Unisex</t>
        </is>
      </c>
      <c r="J1151" s="13" t="n">
        <v>165</v>
      </c>
      <c r="K1151" s="13" t="n">
        <v>164.2</v>
      </c>
      <c r="L1151" s="13" t="n">
        <v>146</v>
      </c>
      <c r="M1151" s="13" t="n">
        <v>154</v>
      </c>
      <c r="N1151" s="13" t="n">
        <v>119</v>
      </c>
      <c r="O1151" s="13" t="n">
        <v>70</v>
      </c>
      <c r="P1151" s="13" t="n">
        <v>98</v>
      </c>
      <c r="Q1151" s="13" t="n">
        <v>15</v>
      </c>
      <c r="R1151" s="13" t="n">
        <v>1954</v>
      </c>
      <c r="S1151" s="13" t="n">
        <v>0.71</v>
      </c>
      <c r="T1151" s="13" t="n">
        <v>1380</v>
      </c>
      <c r="U1151" s="13" t="n">
        <v>185</v>
      </c>
      <c r="V1151" s="13" t="n">
        <v>98</v>
      </c>
      <c r="W1151" s="13" t="n">
        <v>36</v>
      </c>
      <c r="X1151" s="13" t="n">
        <v>131</v>
      </c>
      <c r="Y1151" s="13" t="n">
        <v>5</v>
      </c>
      <c r="Z1151" s="13" t="n">
        <v>49</v>
      </c>
      <c r="AA1151" s="13" t="n">
        <v>0.145</v>
      </c>
      <c r="AB1151" s="13" t="n">
        <v>62</v>
      </c>
      <c r="AC1151" s="13" t="n">
        <v>44</v>
      </c>
      <c r="AD1151" s="13" t="n">
        <v>69</v>
      </c>
      <c r="AE1151" s="13" t="n">
        <v>9</v>
      </c>
      <c r="AF1151" s="13" t="n">
        <v>13.1</v>
      </c>
      <c r="AG1151" s="11" t="inlineStr">
        <is>
          <t xml:space="preserve"> On-Piste Carving</t>
        </is>
      </c>
      <c r="AH1151" s="13" t="n"/>
      <c r="AI1151" s="13" t="n"/>
      <c r="AJ1151" s="13" t="n"/>
      <c r="AK1151" s="42" t="n"/>
    </row>
    <row r="1152">
      <c r="E1152" s="40" t="inlineStr">
        <is>
          <t>21/22</t>
        </is>
      </c>
      <c r="F1152" s="10" t="inlineStr">
        <is>
          <t xml:space="preserve"> Nordica</t>
        </is>
      </c>
      <c r="G1152" s="11" t="inlineStr">
        <is>
          <t>Spitfire 70 Ti</t>
        </is>
      </c>
      <c r="H1152" s="13" t="n">
        <v>170</v>
      </c>
      <c r="I1152" s="11" t="inlineStr">
        <is>
          <t xml:space="preserve"> Unisex</t>
        </is>
      </c>
      <c r="J1152" s="13" t="n">
        <v>170</v>
      </c>
      <c r="K1152" s="13" t="n">
        <v>168.9</v>
      </c>
      <c r="L1152" s="13" t="n">
        <v>150</v>
      </c>
      <c r="M1152" s="13" t="n">
        <v>158</v>
      </c>
      <c r="N1152" s="13" t="n">
        <v>121</v>
      </c>
      <c r="O1152" s="13" t="n">
        <v>69</v>
      </c>
      <c r="P1152" s="13" t="n">
        <v>100</v>
      </c>
      <c r="Q1152" s="13" t="n">
        <v>15.3</v>
      </c>
      <c r="R1152" s="13" t="n">
        <v>2112</v>
      </c>
      <c r="S1152" s="13" t="n">
        <v>0.68</v>
      </c>
      <c r="T1152" s="13" t="n">
        <v>1428</v>
      </c>
      <c r="U1152" s="13" t="n">
        <v>227</v>
      </c>
      <c r="V1152" s="13" t="n">
        <v>111</v>
      </c>
      <c r="W1152" s="13" t="n">
        <v>40</v>
      </c>
      <c r="X1152" s="13" t="n">
        <v>139</v>
      </c>
      <c r="Y1152" s="13" t="n">
        <v>6</v>
      </c>
      <c r="Z1152" s="13" t="n">
        <v>54</v>
      </c>
      <c r="AA1152" s="13" t="n">
        <v>0.153</v>
      </c>
      <c r="AB1152" s="13" t="n">
        <v>66</v>
      </c>
      <c r="AC1152" s="13" t="n">
        <v>48</v>
      </c>
      <c r="AD1152" s="13" t="n">
        <v>73</v>
      </c>
      <c r="AE1152" s="13" t="n">
        <v>5</v>
      </c>
      <c r="AF1152" s="13" t="n">
        <v>12.9</v>
      </c>
      <c r="AG1152" s="11" t="inlineStr">
        <is>
          <t xml:space="preserve"> On-Piste Carving</t>
        </is>
      </c>
      <c r="AH1152" s="13" t="n"/>
      <c r="AI1152" s="13" t="n"/>
      <c r="AJ1152" s="13" t="n"/>
      <c r="AK1152" s="42" t="n"/>
    </row>
    <row r="1153">
      <c r="E1153" s="40" t="inlineStr">
        <is>
          <t>21/22</t>
        </is>
      </c>
      <c r="F1153" s="10" t="inlineStr">
        <is>
          <t xml:space="preserve"> Nordica</t>
        </is>
      </c>
      <c r="G1153" s="11" t="inlineStr">
        <is>
          <t>Wild Belle 74</t>
        </is>
      </c>
      <c r="H1153" s="13" t="n">
        <v>150</v>
      </c>
      <c r="I1153" s="11" t="inlineStr">
        <is>
          <t xml:space="preserve"> Women's</t>
        </is>
      </c>
      <c r="J1153" s="13" t="n">
        <v>150</v>
      </c>
      <c r="K1153" s="13" t="n">
        <v>148.9</v>
      </c>
      <c r="L1153" s="13" t="n">
        <v>125</v>
      </c>
      <c r="M1153" s="13" t="n">
        <v>136</v>
      </c>
      <c r="N1153" s="13" t="n">
        <v>123</v>
      </c>
      <c r="O1153" s="13" t="n">
        <v>74</v>
      </c>
      <c r="P1153" s="13" t="n">
        <v>103</v>
      </c>
      <c r="Q1153" s="13" t="n">
        <v>11.9</v>
      </c>
      <c r="R1153" s="13" t="n">
        <v>1528</v>
      </c>
      <c r="S1153" s="13" t="n">
        <v>0.87</v>
      </c>
      <c r="T1153" s="13" t="n">
        <v>1323</v>
      </c>
      <c r="U1153" s="13" t="n">
        <v>153</v>
      </c>
      <c r="V1153" s="13" t="n">
        <v>60</v>
      </c>
      <c r="W1153" s="13" t="n">
        <v>39</v>
      </c>
      <c r="X1153" s="13" t="n">
        <v>170</v>
      </c>
      <c r="Y1153" s="13" t="n">
        <v>12</v>
      </c>
      <c r="Z1153" s="13" t="n">
        <v>69</v>
      </c>
      <c r="AA1153" s="13" t="n">
        <v>0.31</v>
      </c>
      <c r="AB1153" s="13" t="n">
        <v>62</v>
      </c>
      <c r="AC1153" s="13" t="n">
        <v>67</v>
      </c>
      <c r="AD1153" s="13" t="n">
        <v>108</v>
      </c>
      <c r="AE1153" s="13" t="n">
        <v>6</v>
      </c>
      <c r="AF1153" s="13" t="n">
        <v>9.300000000000001</v>
      </c>
      <c r="AG1153" s="11" t="inlineStr">
        <is>
          <t xml:space="preserve"> On-Piste Carving</t>
        </is>
      </c>
      <c r="AH1153" s="13" t="n"/>
      <c r="AI1153" s="13" t="n"/>
      <c r="AJ1153" s="13" t="n"/>
      <c r="AK1153" s="42" t="n"/>
    </row>
    <row r="1154">
      <c r="E1154" s="40" t="inlineStr">
        <is>
          <t>21/22</t>
        </is>
      </c>
      <c r="F1154" s="10" t="inlineStr">
        <is>
          <t xml:space="preserve"> Nordica</t>
        </is>
      </c>
      <c r="G1154" s="11" t="inlineStr">
        <is>
          <t>Wild Belle 74</t>
        </is>
      </c>
      <c r="H1154" s="13" t="n">
        <v>156</v>
      </c>
      <c r="I1154" s="11" t="inlineStr">
        <is>
          <t xml:space="preserve"> Women's</t>
        </is>
      </c>
      <c r="J1154" s="13" t="n">
        <v>156</v>
      </c>
      <c r="K1154" s="13" t="n">
        <v>155</v>
      </c>
      <c r="L1154" s="13" t="n">
        <v>132</v>
      </c>
      <c r="M1154" s="13" t="n">
        <v>141</v>
      </c>
      <c r="N1154" s="13" t="n">
        <v>124</v>
      </c>
      <c r="O1154" s="13" t="n">
        <v>74</v>
      </c>
      <c r="P1154" s="13" t="n">
        <v>103</v>
      </c>
      <c r="Q1154" s="13" t="n">
        <v>12.6</v>
      </c>
      <c r="R1154" s="13" t="n">
        <v>1654</v>
      </c>
      <c r="S1154" s="13" t="n">
        <v>0.83</v>
      </c>
      <c r="T1154" s="13" t="n">
        <v>1379</v>
      </c>
      <c r="U1154" s="13" t="n">
        <v>165</v>
      </c>
      <c r="V1154" s="13" t="n">
        <v>65</v>
      </c>
      <c r="W1154" s="13" t="n">
        <v>39</v>
      </c>
      <c r="X1154" s="13" t="n">
        <v>164</v>
      </c>
      <c r="Y1154" s="13" t="n">
        <v>12</v>
      </c>
      <c r="Z1154" s="13" t="n">
        <v>68</v>
      </c>
      <c r="AA1154" s="13" t="n">
        <v>0.301</v>
      </c>
      <c r="AB1154" s="13" t="n">
        <v>65</v>
      </c>
      <c r="AC1154" s="13" t="n">
        <v>70</v>
      </c>
      <c r="AD1154" s="13" t="n">
        <v>98</v>
      </c>
      <c r="AE1154" s="13" t="n">
        <v>7</v>
      </c>
      <c r="AF1154" s="13" t="n">
        <v>9.699999999999999</v>
      </c>
      <c r="AG1154" s="11" t="inlineStr">
        <is>
          <t xml:space="preserve"> On-Piste Carving</t>
        </is>
      </c>
      <c r="AH1154" s="13" t="n"/>
      <c r="AI1154" s="13" t="n"/>
      <c r="AJ1154" s="13" t="n"/>
      <c r="AK1154" s="42" t="n"/>
    </row>
    <row r="1155">
      <c r="E1155" s="40" t="inlineStr">
        <is>
          <t>21/22</t>
        </is>
      </c>
      <c r="F1155" s="10" t="inlineStr">
        <is>
          <t xml:space="preserve"> Nordica</t>
        </is>
      </c>
      <c r="G1155" s="11" t="inlineStr">
        <is>
          <t>Wild Belle 74</t>
        </is>
      </c>
      <c r="H1155" s="13" t="n">
        <v>162</v>
      </c>
      <c r="I1155" s="11" t="inlineStr">
        <is>
          <t xml:space="preserve"> Women's</t>
        </is>
      </c>
      <c r="J1155" s="13" t="n">
        <v>162</v>
      </c>
      <c r="K1155" s="13" t="n">
        <v>160.9</v>
      </c>
      <c r="L1155" s="13" t="n">
        <v>135</v>
      </c>
      <c r="M1155" s="13" t="n">
        <v>148</v>
      </c>
      <c r="N1155" s="13" t="n">
        <v>124</v>
      </c>
      <c r="O1155" s="13" t="n">
        <v>74</v>
      </c>
      <c r="P1155" s="13" t="n">
        <v>104</v>
      </c>
      <c r="Q1155" s="13" t="n">
        <v>13.8</v>
      </c>
      <c r="R1155" s="13" t="n">
        <v>1727</v>
      </c>
      <c r="S1155" s="13" t="n">
        <v>0.83</v>
      </c>
      <c r="T1155" s="13" t="n">
        <v>1433</v>
      </c>
      <c r="U1155" s="13" t="n">
        <v>196</v>
      </c>
      <c r="V1155" s="13" t="n">
        <v>71</v>
      </c>
      <c r="W1155" s="13" t="n">
        <v>43</v>
      </c>
      <c r="X1155" s="13" t="n">
        <v>190</v>
      </c>
      <c r="Y1155" s="13" t="n">
        <v>12</v>
      </c>
      <c r="Z1155" s="13" t="n">
        <v>72</v>
      </c>
      <c r="AA1155" s="13" t="n">
        <v>0.278</v>
      </c>
      <c r="AB1155" s="13" t="n">
        <v>63</v>
      </c>
      <c r="AC1155" s="13" t="n">
        <v>68</v>
      </c>
      <c r="AD1155" s="13" t="n">
        <v>128</v>
      </c>
      <c r="AE1155" s="13" t="n">
        <v>6</v>
      </c>
      <c r="AF1155" s="13" t="n">
        <v>9.300000000000001</v>
      </c>
      <c r="AG1155" s="11" t="inlineStr">
        <is>
          <t xml:space="preserve"> On-Piste Carving</t>
        </is>
      </c>
      <c r="AH1155" s="13" t="n"/>
      <c r="AI1155" s="13" t="n"/>
      <c r="AJ1155" s="13" t="n"/>
      <c r="AK1155" s="42" t="n"/>
    </row>
    <row r="1156">
      <c r="E1156" s="40" t="inlineStr">
        <is>
          <t>21/22</t>
        </is>
      </c>
      <c r="F1156" s="10" t="inlineStr">
        <is>
          <t xml:space="preserve"> Raccoon</t>
        </is>
      </c>
      <c r="G1156" s="11" t="inlineStr">
        <is>
          <t>Chinook 108</t>
        </is>
      </c>
      <c r="H1156" s="13" t="n">
        <v>180</v>
      </c>
      <c r="I1156" s="11" t="inlineStr">
        <is>
          <t xml:space="preserve"> Unisex</t>
        </is>
      </c>
      <c r="J1156" s="13" t="n">
        <v>180</v>
      </c>
      <c r="K1156" s="13" t="n">
        <v>178.1</v>
      </c>
      <c r="L1156" s="13" t="n">
        <v>119</v>
      </c>
      <c r="M1156" s="13" t="n">
        <v>149</v>
      </c>
      <c r="N1156" s="13" t="n">
        <v>137</v>
      </c>
      <c r="O1156" s="13" t="n">
        <v>108</v>
      </c>
      <c r="P1156" s="13" t="n">
        <v>128</v>
      </c>
      <c r="Q1156" s="13" t="n">
        <v>19.4</v>
      </c>
      <c r="R1156" s="13" t="n">
        <v>1606</v>
      </c>
      <c r="S1156" s="13" t="n">
        <v>1.31</v>
      </c>
      <c r="T1156" s="13" t="n">
        <v>2103</v>
      </c>
      <c r="U1156" s="13" t="n">
        <v>226</v>
      </c>
      <c r="V1156" s="13" t="n">
        <v>55</v>
      </c>
      <c r="W1156" s="13" t="n">
        <v>70</v>
      </c>
      <c r="X1156" s="13" t="n">
        <v>324</v>
      </c>
      <c r="Y1156" s="13" t="n">
        <v>33</v>
      </c>
      <c r="Z1156" s="13" t="n">
        <v>268</v>
      </c>
      <c r="AA1156" s="13" t="n">
        <v>0.475</v>
      </c>
      <c r="AB1156" s="13" t="n">
        <v>161</v>
      </c>
      <c r="AC1156" s="13" t="n">
        <v>129</v>
      </c>
      <c r="AD1156" s="13" t="n">
        <v>163</v>
      </c>
      <c r="AE1156" s="13" t="n">
        <v>6</v>
      </c>
      <c r="AF1156" s="13" t="n">
        <v>11.5</v>
      </c>
      <c r="AG1156" s="11" t="inlineStr">
        <is>
          <t xml:space="preserve"> Powder</t>
        </is>
      </c>
      <c r="AH1156" s="11" t="inlineStr">
        <is>
          <t xml:space="preserve"> Touring</t>
        </is>
      </c>
      <c r="AI1156" s="11" t="inlineStr">
        <is>
          <t xml:space="preserve"> Ultralight Touring</t>
        </is>
      </c>
      <c r="AJ1156" s="13" t="n"/>
      <c r="AK1156" s="42" t="n"/>
    </row>
    <row r="1157">
      <c r="E1157" s="40" t="inlineStr">
        <is>
          <t>21/22</t>
        </is>
      </c>
      <c r="F1157" s="10" t="inlineStr">
        <is>
          <t xml:space="preserve"> Raccoon</t>
        </is>
      </c>
      <c r="G1157" s="11" t="inlineStr">
        <is>
          <t>Chinook 108</t>
        </is>
      </c>
      <c r="H1157" s="13" t="n">
        <v>188</v>
      </c>
      <c r="I1157" s="11" t="inlineStr">
        <is>
          <t xml:space="preserve"> Unisex</t>
        </is>
      </c>
      <c r="J1157" s="13" t="n">
        <v>188</v>
      </c>
      <c r="K1157" s="13" t="n">
        <v>186.2</v>
      </c>
      <c r="L1157" s="13" t="n">
        <v>125</v>
      </c>
      <c r="M1157" s="13" t="n">
        <v>154</v>
      </c>
      <c r="N1157" s="13" t="n">
        <v>138</v>
      </c>
      <c r="O1157" s="13" t="n">
        <v>108</v>
      </c>
      <c r="P1157" s="13" t="n">
        <v>128</v>
      </c>
      <c r="Q1157" s="13" t="n">
        <v>20.8</v>
      </c>
      <c r="R1157" s="13" t="n">
        <v>1682</v>
      </c>
      <c r="S1157" s="13" t="n">
        <v>1.31</v>
      </c>
      <c r="T1157" s="13" t="n">
        <v>2205</v>
      </c>
      <c r="U1157" s="13" t="n">
        <v>218</v>
      </c>
      <c r="V1157" s="13" t="n">
        <v>57</v>
      </c>
      <c r="W1157" s="13" t="n">
        <v>71</v>
      </c>
      <c r="X1157" s="13" t="n">
        <v>381</v>
      </c>
      <c r="Y1157" s="13" t="n">
        <v>30</v>
      </c>
      <c r="Z1157" s="13" t="n">
        <v>228</v>
      </c>
      <c r="AA1157" s="13" t="n">
        <v>0.418</v>
      </c>
      <c r="AB1157" s="13" t="n">
        <v>175</v>
      </c>
      <c r="AC1157" s="13" t="n">
        <v>142</v>
      </c>
      <c r="AD1157" s="13" t="n">
        <v>206</v>
      </c>
      <c r="AE1157" s="13" t="n">
        <v>5</v>
      </c>
      <c r="AF1157" s="13" t="n">
        <v>11.8</v>
      </c>
      <c r="AG1157" s="11" t="inlineStr">
        <is>
          <t xml:space="preserve"> Powder</t>
        </is>
      </c>
      <c r="AH1157" s="11" t="inlineStr">
        <is>
          <t xml:space="preserve"> Touring</t>
        </is>
      </c>
      <c r="AI1157" s="11" t="inlineStr">
        <is>
          <t xml:space="preserve"> Ultralight Touring</t>
        </is>
      </c>
      <c r="AJ1157" s="13" t="n"/>
      <c r="AK1157" s="42" t="n"/>
    </row>
    <row r="1158">
      <c r="E1158" s="40" t="inlineStr">
        <is>
          <t>21/22</t>
        </is>
      </c>
      <c r="F1158" s="10" t="inlineStr">
        <is>
          <t xml:space="preserve"> Raccoon</t>
        </is>
      </c>
      <c r="G1158" s="11" t="inlineStr">
        <is>
          <t>Chinook 99</t>
        </is>
      </c>
      <c r="H1158" s="13" t="n">
        <v>164</v>
      </c>
      <c r="I1158" s="11" t="inlineStr">
        <is>
          <t xml:space="preserve"> Unisex</t>
        </is>
      </c>
      <c r="J1158" s="13" t="n">
        <v>164</v>
      </c>
      <c r="K1158" s="13" t="n">
        <v>162.3</v>
      </c>
      <c r="L1158" s="13" t="n">
        <v>99</v>
      </c>
      <c r="M1158" s="13" t="n">
        <v>135</v>
      </c>
      <c r="N1158" s="13" t="n">
        <v>129</v>
      </c>
      <c r="O1158" s="13" t="n">
        <v>98</v>
      </c>
      <c r="P1158" s="13" t="n">
        <v>120</v>
      </c>
      <c r="Q1158" s="13" t="n">
        <v>16</v>
      </c>
      <c r="R1158" s="13" t="n">
        <v>1345</v>
      </c>
      <c r="S1158" s="13" t="n">
        <v>1.31</v>
      </c>
      <c r="T1158" s="13" t="n">
        <v>1767</v>
      </c>
      <c r="U1158" s="13" t="n">
        <v>177</v>
      </c>
      <c r="V1158" s="13" t="n">
        <v>44</v>
      </c>
      <c r="W1158" s="13" t="n">
        <v>72</v>
      </c>
      <c r="X1158" s="13" t="n">
        <v>387</v>
      </c>
      <c r="Y1158" s="13" t="n">
        <v>30</v>
      </c>
      <c r="Z1158" s="13" t="n">
        <v>249</v>
      </c>
      <c r="AA1158" s="13" t="n">
        <v>0.411</v>
      </c>
      <c r="AB1158" s="13" t="n">
        <v>147</v>
      </c>
      <c r="AC1158" s="13" t="n">
        <v>122</v>
      </c>
      <c r="AD1158" s="13" t="n">
        <v>240</v>
      </c>
      <c r="AE1158" s="13" t="n">
        <v>5</v>
      </c>
      <c r="AF1158" s="13" t="n">
        <v>10.5</v>
      </c>
      <c r="AG1158" s="11" t="inlineStr">
        <is>
          <t xml:space="preserve"> Touring</t>
        </is>
      </c>
      <c r="AH1158" s="11" t="inlineStr">
        <is>
          <t xml:space="preserve"> Ultralight Touring</t>
        </is>
      </c>
      <c r="AI1158" s="13" t="n"/>
      <c r="AJ1158" s="13" t="n"/>
      <c r="AK1158" s="42" t="n"/>
    </row>
    <row r="1159">
      <c r="E1159" s="40" t="inlineStr">
        <is>
          <t>21/22</t>
        </is>
      </c>
      <c r="F1159" s="10" t="inlineStr">
        <is>
          <t xml:space="preserve"> Raccoon</t>
        </is>
      </c>
      <c r="G1159" s="11" t="inlineStr">
        <is>
          <t>Chinook 99</t>
        </is>
      </c>
      <c r="H1159" s="13" t="n">
        <v>172</v>
      </c>
      <c r="I1159" s="11" t="inlineStr">
        <is>
          <t xml:space="preserve"> Unisex</t>
        </is>
      </c>
      <c r="J1159" s="13" t="n">
        <v>172</v>
      </c>
      <c r="K1159" s="13" t="n">
        <v>170.3</v>
      </c>
      <c r="L1159" s="13" t="n">
        <v>105</v>
      </c>
      <c r="M1159" s="13" t="n">
        <v>142</v>
      </c>
      <c r="N1159" s="13" t="n">
        <v>129</v>
      </c>
      <c r="O1159" s="13" t="n">
        <v>98</v>
      </c>
      <c r="P1159" s="13" t="n">
        <v>120</v>
      </c>
      <c r="Q1159" s="13" t="n">
        <v>17.5</v>
      </c>
      <c r="R1159" s="13" t="n">
        <v>1483</v>
      </c>
      <c r="S1159" s="13" t="n">
        <v>1.26</v>
      </c>
      <c r="T1159" s="13" t="n">
        <v>1862</v>
      </c>
      <c r="U1159" s="13" t="n">
        <v>196</v>
      </c>
      <c r="V1159" s="13" t="n">
        <v>48</v>
      </c>
      <c r="W1159" s="13" t="n">
        <v>73</v>
      </c>
      <c r="X1159" s="13" t="n">
        <v>405</v>
      </c>
      <c r="Y1159" s="13" t="n">
        <v>29</v>
      </c>
      <c r="Z1159" s="13" t="n">
        <v>248</v>
      </c>
      <c r="AA1159" s="13" t="n">
        <v>0.399</v>
      </c>
      <c r="AB1159" s="13" t="n">
        <v>155</v>
      </c>
      <c r="AC1159" s="13" t="n">
        <v>131</v>
      </c>
      <c r="AD1159" s="13" t="n">
        <v>249</v>
      </c>
      <c r="AE1159" s="13" t="n">
        <v>5</v>
      </c>
      <c r="AF1159" s="13" t="n">
        <v>10.8</v>
      </c>
      <c r="AG1159" s="11" t="inlineStr">
        <is>
          <t xml:space="preserve"> Resort Freeride</t>
        </is>
      </c>
      <c r="AH1159" s="11" t="inlineStr">
        <is>
          <t xml:space="preserve"> Touring</t>
        </is>
      </c>
      <c r="AI1159" s="11" t="inlineStr">
        <is>
          <t xml:space="preserve"> Ultralight Touring</t>
        </is>
      </c>
      <c r="AJ1159" s="13" t="n"/>
      <c r="AK1159" s="42" t="n"/>
    </row>
    <row r="1160">
      <c r="E1160" s="40" t="inlineStr">
        <is>
          <t>21/22</t>
        </is>
      </c>
      <c r="F1160" s="10" t="inlineStr">
        <is>
          <t xml:space="preserve"> Raccoon</t>
        </is>
      </c>
      <c r="G1160" s="11" t="inlineStr">
        <is>
          <t>Chinook 99</t>
        </is>
      </c>
      <c r="H1160" s="13" t="n">
        <v>180</v>
      </c>
      <c r="I1160" s="11" t="inlineStr">
        <is>
          <t xml:space="preserve"> Unisex</t>
        </is>
      </c>
      <c r="J1160" s="13" t="n">
        <v>180</v>
      </c>
      <c r="K1160" s="13" t="n">
        <v>178.2</v>
      </c>
      <c r="L1160" s="13" t="n">
        <v>119</v>
      </c>
      <c r="M1160" s="13" t="n">
        <v>149</v>
      </c>
      <c r="N1160" s="13" t="n">
        <v>130</v>
      </c>
      <c r="O1160" s="13" t="n">
        <v>99</v>
      </c>
      <c r="P1160" s="13" t="n">
        <v>120</v>
      </c>
      <c r="Q1160" s="13" t="n">
        <v>19.2</v>
      </c>
      <c r="R1160" s="13" t="n">
        <v>1481</v>
      </c>
      <c r="S1160" s="13" t="n">
        <v>1.32</v>
      </c>
      <c r="T1160" s="13" t="n">
        <v>1952</v>
      </c>
      <c r="U1160" s="13" t="n">
        <v>221</v>
      </c>
      <c r="V1160" s="13" t="n">
        <v>54</v>
      </c>
      <c r="W1160" s="13" t="n">
        <v>75</v>
      </c>
      <c r="X1160" s="13" t="n">
        <v>330</v>
      </c>
      <c r="Y1160" s="13" t="n">
        <v>31</v>
      </c>
      <c r="Z1160" s="13" t="n">
        <v>262</v>
      </c>
      <c r="AA1160" s="13" t="n">
        <v>0.417</v>
      </c>
      <c r="AB1160" s="13" t="n">
        <v>157</v>
      </c>
      <c r="AC1160" s="13" t="n">
        <v>131</v>
      </c>
      <c r="AD1160" s="13" t="n">
        <v>173</v>
      </c>
      <c r="AE1160" s="13" t="n">
        <v>5</v>
      </c>
      <c r="AF1160" s="13" t="n">
        <v>11.5</v>
      </c>
      <c r="AG1160" s="11" t="inlineStr">
        <is>
          <t xml:space="preserve"> Touring</t>
        </is>
      </c>
      <c r="AH1160" s="11" t="inlineStr">
        <is>
          <t xml:space="preserve"> Ultralight Touring</t>
        </is>
      </c>
      <c r="AI1160" s="13" t="n"/>
      <c r="AJ1160" s="13" t="n"/>
      <c r="AK1160" s="42" t="n"/>
    </row>
    <row r="1161">
      <c r="E1161" s="40" t="inlineStr">
        <is>
          <t>21/22</t>
        </is>
      </c>
      <c r="F1161" s="10" t="inlineStr">
        <is>
          <t xml:space="preserve"> Raccoon</t>
        </is>
      </c>
      <c r="G1161" s="11" t="inlineStr">
        <is>
          <t>Chinook 99</t>
        </is>
      </c>
      <c r="H1161" s="13" t="n">
        <v>188</v>
      </c>
      <c r="I1161" s="11" t="inlineStr">
        <is>
          <t xml:space="preserve"> Unisex</t>
        </is>
      </c>
      <c r="J1161" s="13" t="n">
        <v>188</v>
      </c>
      <c r="K1161" s="13" t="n">
        <v>186.1</v>
      </c>
      <c r="L1161" s="13" t="n">
        <v>127</v>
      </c>
      <c r="M1161" s="13" t="n">
        <v>154</v>
      </c>
      <c r="N1161" s="13" t="n">
        <v>130</v>
      </c>
      <c r="O1161" s="13" t="n">
        <v>98</v>
      </c>
      <c r="P1161" s="13" t="n">
        <v>120</v>
      </c>
      <c r="Q1161" s="13" t="n">
        <v>20.8</v>
      </c>
      <c r="R1161" s="13" t="n">
        <v>1601</v>
      </c>
      <c r="S1161" s="13" t="n">
        <v>1.27</v>
      </c>
      <c r="T1161" s="13" t="n">
        <v>2033</v>
      </c>
      <c r="U1161" s="13" t="n">
        <v>217</v>
      </c>
      <c r="V1161" s="13" t="n">
        <v>51</v>
      </c>
      <c r="W1161" s="13" t="n">
        <v>69</v>
      </c>
      <c r="X1161" s="13" t="n">
        <v>370</v>
      </c>
      <c r="Y1161" s="13" t="n">
        <v>29</v>
      </c>
      <c r="Z1161" s="13" t="n">
        <v>217</v>
      </c>
      <c r="AA1161" s="13" t="n">
        <v>0.413</v>
      </c>
      <c r="AB1161" s="13" t="n">
        <v>185</v>
      </c>
      <c r="AC1161" s="13" t="n">
        <v>137</v>
      </c>
      <c r="AD1161" s="13" t="n">
        <v>185</v>
      </c>
      <c r="AE1161" s="13" t="n">
        <v>7</v>
      </c>
      <c r="AF1161" s="13" t="n">
        <v>11.8</v>
      </c>
      <c r="AG1161" s="11" t="inlineStr">
        <is>
          <t xml:space="preserve"> Resort Freeride</t>
        </is>
      </c>
      <c r="AH1161" s="11" t="inlineStr">
        <is>
          <t xml:space="preserve"> Touring</t>
        </is>
      </c>
      <c r="AI1161" s="11" t="inlineStr">
        <is>
          <t xml:space="preserve"> Ultralight Touring</t>
        </is>
      </c>
      <c r="AJ1161" s="13" t="n"/>
      <c r="AK1161" s="42" t="n"/>
    </row>
    <row r="1162">
      <c r="E1162" s="40" t="inlineStr">
        <is>
          <t>21/22</t>
        </is>
      </c>
      <c r="F1162" s="10" t="inlineStr">
        <is>
          <t xml:space="preserve"> Raccoon</t>
        </is>
      </c>
      <c r="G1162" s="11" t="inlineStr">
        <is>
          <t xml:space="preserve"> Le Condor Ti</t>
        </is>
      </c>
      <c r="H1162" s="13" t="n">
        <v>171</v>
      </c>
      <c r="I1162" s="11" t="inlineStr">
        <is>
          <t xml:space="preserve"> Unisex</t>
        </is>
      </c>
      <c r="J1162" s="13" t="n">
        <v>171</v>
      </c>
      <c r="K1162" s="13" t="n">
        <v>169.6</v>
      </c>
      <c r="L1162" s="13" t="n">
        <v>142</v>
      </c>
      <c r="M1162" s="13" t="n">
        <v>160</v>
      </c>
      <c r="N1162" s="13" t="n">
        <v>131</v>
      </c>
      <c r="O1162" s="13" t="n">
        <v>75</v>
      </c>
      <c r="P1162" s="13" t="n">
        <v>115</v>
      </c>
      <c r="Q1162" s="13" t="n">
        <v>13.4</v>
      </c>
      <c r="R1162" s="13" t="n">
        <v>1759</v>
      </c>
      <c r="S1162" s="13" t="n">
        <v>0.89</v>
      </c>
      <c r="T1162" s="13" t="n">
        <v>1567</v>
      </c>
      <c r="U1162" s="13" t="n">
        <v>212</v>
      </c>
      <c r="V1162" s="13" t="n">
        <v>128</v>
      </c>
      <c r="W1162" s="13" t="n">
        <v>49</v>
      </c>
      <c r="X1162" s="13" t="n">
        <v>207</v>
      </c>
      <c r="Y1162" s="13" t="n">
        <v>7</v>
      </c>
      <c r="Z1162" s="13" t="n">
        <v>72</v>
      </c>
      <c r="AA1162" s="13" t="n">
        <v>0.138</v>
      </c>
      <c r="AB1162" s="13" t="n">
        <v>51</v>
      </c>
      <c r="AC1162" s="13" t="n">
        <v>42</v>
      </c>
      <c r="AD1162" s="13" t="n">
        <v>156</v>
      </c>
      <c r="AE1162" s="13" t="n">
        <v>8</v>
      </c>
      <c r="AF1162" s="13" t="n">
        <v>12.2</v>
      </c>
      <c r="AG1162" s="11" t="inlineStr">
        <is>
          <t xml:space="preserve"> On-Piste Carving</t>
        </is>
      </c>
      <c r="AH1162" s="13" t="n"/>
      <c r="AI1162" s="13" t="n"/>
      <c r="AJ1162" s="13" t="n"/>
      <c r="AK1162" s="42" t="n"/>
    </row>
    <row r="1163">
      <c r="E1163" s="40" t="inlineStr">
        <is>
          <t>21/22</t>
        </is>
      </c>
      <c r="F1163" s="10" t="inlineStr">
        <is>
          <t xml:space="preserve"> Raccoon</t>
        </is>
      </c>
      <c r="G1163" s="11" t="inlineStr">
        <is>
          <t xml:space="preserve"> Le Condor Ti</t>
        </is>
      </c>
      <c r="H1163" s="13" t="n">
        <v>178</v>
      </c>
      <c r="I1163" s="11" t="inlineStr">
        <is>
          <t xml:space="preserve"> Unisex</t>
        </is>
      </c>
      <c r="J1163" s="13" t="n">
        <v>178</v>
      </c>
      <c r="K1163" s="13" t="n">
        <v>176.6</v>
      </c>
      <c r="L1163" s="13" t="n">
        <v>148</v>
      </c>
      <c r="M1163" s="13" t="n">
        <v>167</v>
      </c>
      <c r="N1163" s="13" t="n">
        <v>131</v>
      </c>
      <c r="O1163" s="13" t="n">
        <v>75</v>
      </c>
      <c r="P1163" s="13" t="n">
        <v>115</v>
      </c>
      <c r="Q1163" s="13" t="n">
        <v>14.6</v>
      </c>
      <c r="R1163" s="13" t="n">
        <v>1796</v>
      </c>
      <c r="S1163" s="13" t="n">
        <v>0.91</v>
      </c>
      <c r="T1163" s="13" t="n">
        <v>1632</v>
      </c>
      <c r="U1163" s="13" t="n">
        <v>220</v>
      </c>
      <c r="V1163" s="13" t="n">
        <v>146</v>
      </c>
      <c r="W1163" s="13" t="n">
        <v>48</v>
      </c>
      <c r="X1163" s="13" t="n">
        <v>207</v>
      </c>
      <c r="Y1163" s="13" t="n">
        <v>9</v>
      </c>
      <c r="Z1163" s="13" t="n">
        <v>83</v>
      </c>
      <c r="AA1163" s="13" t="n">
        <v>0.182</v>
      </c>
      <c r="AB1163" s="13" t="n">
        <v>52</v>
      </c>
      <c r="AC1163" s="13" t="n">
        <v>47</v>
      </c>
      <c r="AD1163" s="13" t="n">
        <v>155</v>
      </c>
      <c r="AE1163" s="13" t="n">
        <v>7</v>
      </c>
      <c r="AF1163" s="13" t="n">
        <v>12.8</v>
      </c>
      <c r="AG1163" s="11" t="inlineStr">
        <is>
          <t xml:space="preserve"> On-Piste Carving</t>
        </is>
      </c>
      <c r="AH1163" s="13" t="n"/>
      <c r="AI1163" s="13" t="n"/>
      <c r="AJ1163" s="13" t="n"/>
      <c r="AK1163" s="42" t="n"/>
    </row>
    <row r="1164">
      <c r="E1164" s="40" t="inlineStr">
        <is>
          <t>21/22</t>
        </is>
      </c>
      <c r="F1164" s="10" t="inlineStr">
        <is>
          <t xml:space="preserve"> Raccoon</t>
        </is>
      </c>
      <c r="G1164" s="11" t="inlineStr">
        <is>
          <t xml:space="preserve"> Le Grizzly</t>
        </is>
      </c>
      <c r="H1164" s="13" t="n">
        <v>172</v>
      </c>
      <c r="I1164" s="11" t="inlineStr">
        <is>
          <t xml:space="preserve"> Unisex</t>
        </is>
      </c>
      <c r="J1164" s="13" t="n">
        <v>172</v>
      </c>
      <c r="K1164" s="13" t="n">
        <v>170.4</v>
      </c>
      <c r="L1164" s="13" t="n">
        <v>107</v>
      </c>
      <c r="M1164" s="13" t="n">
        <v>142</v>
      </c>
      <c r="N1164" s="13" t="n">
        <v>129</v>
      </c>
      <c r="O1164" s="13" t="n">
        <v>98</v>
      </c>
      <c r="P1164" s="13" t="n">
        <v>120</v>
      </c>
      <c r="Q1164" s="13" t="n">
        <v>17.3</v>
      </c>
      <c r="R1164" s="13" t="n">
        <v>1585</v>
      </c>
      <c r="S1164" s="13" t="n">
        <v>1.18</v>
      </c>
      <c r="T1164" s="13" t="n">
        <v>1866</v>
      </c>
      <c r="U1164" s="13" t="n">
        <v>176</v>
      </c>
      <c r="V1164" s="13" t="n">
        <v>81</v>
      </c>
      <c r="W1164" s="13" t="n">
        <v>66</v>
      </c>
      <c r="X1164" s="13" t="n">
        <v>384</v>
      </c>
      <c r="Y1164" s="13" t="n">
        <v>27</v>
      </c>
      <c r="Z1164" s="13" t="n">
        <v>245</v>
      </c>
      <c r="AA1164" s="13" t="n">
        <v>0.409</v>
      </c>
      <c r="AB1164" s="13" t="n">
        <v>164</v>
      </c>
      <c r="AC1164" s="13" t="n">
        <v>124</v>
      </c>
      <c r="AD1164" s="13" t="n">
        <v>220</v>
      </c>
      <c r="AE1164" s="13" t="n">
        <v>5</v>
      </c>
      <c r="AF1164" s="13" t="n">
        <v>10.8</v>
      </c>
      <c r="AG1164" s="11" t="inlineStr">
        <is>
          <t xml:space="preserve"> Resort Freeride</t>
        </is>
      </c>
      <c r="AH1164" s="11" t="inlineStr">
        <is>
          <t xml:space="preserve"> Touring</t>
        </is>
      </c>
      <c r="AI1164" s="13" t="n"/>
      <c r="AJ1164" s="13" t="n"/>
      <c r="AK1164" s="42" t="n"/>
    </row>
    <row r="1165">
      <c r="E1165" s="40" t="inlineStr">
        <is>
          <t>21/22</t>
        </is>
      </c>
      <c r="F1165" s="10" t="inlineStr">
        <is>
          <t xml:space="preserve"> Raccoon</t>
        </is>
      </c>
      <c r="G1165" s="11" t="inlineStr">
        <is>
          <t xml:space="preserve"> Le Grizzly</t>
        </is>
      </c>
      <c r="H1165" s="13" t="n">
        <v>180</v>
      </c>
      <c r="I1165" s="11" t="inlineStr">
        <is>
          <t xml:space="preserve"> Unisex</t>
        </is>
      </c>
      <c r="J1165" s="13" t="n">
        <v>180</v>
      </c>
      <c r="K1165" s="13" t="n">
        <v>178.1</v>
      </c>
      <c r="L1165" s="13" t="n">
        <v>121</v>
      </c>
      <c r="M1165" s="13" t="n">
        <v>149</v>
      </c>
      <c r="N1165" s="13" t="n">
        <v>129</v>
      </c>
      <c r="O1165" s="13" t="n">
        <v>99</v>
      </c>
      <c r="P1165" s="13" t="n">
        <v>120</v>
      </c>
      <c r="Q1165" s="13" t="n">
        <v>19.3</v>
      </c>
      <c r="R1165" s="13" t="n">
        <v>1678</v>
      </c>
      <c r="S1165" s="13" t="n">
        <v>1.16</v>
      </c>
      <c r="T1165" s="13" t="n">
        <v>1949</v>
      </c>
      <c r="U1165" s="13" t="n">
        <v>212</v>
      </c>
      <c r="V1165" s="13" t="n">
        <v>101</v>
      </c>
      <c r="W1165" s="13" t="n">
        <v>72</v>
      </c>
      <c r="X1165" s="13" t="n">
        <v>328</v>
      </c>
      <c r="Y1165" s="13" t="n">
        <v>27</v>
      </c>
      <c r="Z1165" s="13" t="n">
        <v>247</v>
      </c>
      <c r="AA1165" s="13" t="n">
        <v>0.376</v>
      </c>
      <c r="AB1165" s="13" t="n">
        <v>169</v>
      </c>
      <c r="AC1165" s="13" t="n">
        <v>123</v>
      </c>
      <c r="AD1165" s="13" t="n">
        <v>159</v>
      </c>
      <c r="AE1165" s="13" t="n">
        <v>5</v>
      </c>
      <c r="AF1165" s="13" t="n">
        <v>11.5</v>
      </c>
      <c r="AG1165" s="11" t="inlineStr">
        <is>
          <t xml:space="preserve"> Resort Freeride</t>
        </is>
      </c>
      <c r="AH1165" s="11" t="inlineStr">
        <is>
          <t xml:space="preserve"> Touring</t>
        </is>
      </c>
      <c r="AI1165" s="13" t="n"/>
      <c r="AJ1165" s="13" t="n"/>
      <c r="AK1165" s="42" t="n"/>
    </row>
    <row r="1166">
      <c r="E1166" s="40" t="inlineStr">
        <is>
          <t>21/22</t>
        </is>
      </c>
      <c r="F1166" s="10" t="inlineStr">
        <is>
          <t xml:space="preserve"> Raccoon</t>
        </is>
      </c>
      <c r="G1166" s="11" t="inlineStr">
        <is>
          <t xml:space="preserve"> Le Grizzly</t>
        </is>
      </c>
      <c r="H1166" s="13" t="n">
        <v>188</v>
      </c>
      <c r="I1166" s="11" t="inlineStr">
        <is>
          <t xml:space="preserve"> Unisex</t>
        </is>
      </c>
      <c r="J1166" s="13" t="n">
        <v>188</v>
      </c>
      <c r="K1166" s="13" t="n">
        <v>186.4</v>
      </c>
      <c r="L1166" s="13" t="n">
        <v>129</v>
      </c>
      <c r="M1166" s="13" t="n">
        <v>154</v>
      </c>
      <c r="N1166" s="13" t="n">
        <v>130</v>
      </c>
      <c r="O1166" s="13" t="n">
        <v>98</v>
      </c>
      <c r="P1166" s="13" t="n">
        <v>120</v>
      </c>
      <c r="Q1166" s="13" t="n">
        <v>20.9</v>
      </c>
      <c r="R1166" s="13" t="n">
        <v>1803</v>
      </c>
      <c r="S1166" s="13" t="n">
        <v>1.13</v>
      </c>
      <c r="T1166" s="13" t="n">
        <v>2039</v>
      </c>
      <c r="U1166" s="13" t="n">
        <v>220</v>
      </c>
      <c r="V1166" s="13" t="n">
        <v>102</v>
      </c>
      <c r="W1166" s="13" t="n">
        <v>66</v>
      </c>
      <c r="X1166" s="13" t="n">
        <v>365</v>
      </c>
      <c r="Y1166" s="13" t="n">
        <v>26</v>
      </c>
      <c r="Z1166" s="13" t="n">
        <v>211</v>
      </c>
      <c r="AA1166" s="13" t="n">
        <v>0.404</v>
      </c>
      <c r="AB1166" s="13" t="n">
        <v>181</v>
      </c>
      <c r="AC1166" s="13" t="n">
        <v>139</v>
      </c>
      <c r="AD1166" s="13" t="n">
        <v>184</v>
      </c>
      <c r="AE1166" s="13" t="n">
        <v>6</v>
      </c>
      <c r="AF1166" s="13" t="n">
        <v>11.8</v>
      </c>
      <c r="AG1166" s="11" t="inlineStr">
        <is>
          <t xml:space="preserve"> Resort Freeride</t>
        </is>
      </c>
      <c r="AH1166" s="11" t="inlineStr">
        <is>
          <t xml:space="preserve"> Touring</t>
        </is>
      </c>
      <c r="AI1166" s="13" t="n"/>
      <c r="AJ1166" s="13" t="n"/>
      <c r="AK1166" s="42" t="n"/>
    </row>
    <row r="1167">
      <c r="E1167" s="40" t="inlineStr">
        <is>
          <t>21/22</t>
        </is>
      </c>
      <c r="F1167" s="10" t="inlineStr">
        <is>
          <t xml:space="preserve"> Raccoon</t>
        </is>
      </c>
      <c r="G1167" s="11" t="inlineStr">
        <is>
          <t>Le Grizzly 99 W</t>
        </is>
      </c>
      <c r="H1167" s="13" t="n">
        <v>164</v>
      </c>
      <c r="I1167" s="11" t="inlineStr">
        <is>
          <t xml:space="preserve"> Women's</t>
        </is>
      </c>
      <c r="J1167" s="13" t="n">
        <v>164</v>
      </c>
      <c r="K1167" s="13" t="n">
        <v>162.3</v>
      </c>
      <c r="L1167" s="13" t="n">
        <v>104</v>
      </c>
      <c r="M1167" s="13" t="n">
        <v>136</v>
      </c>
      <c r="N1167" s="13" t="n">
        <v>129</v>
      </c>
      <c r="O1167" s="13" t="n">
        <v>99</v>
      </c>
      <c r="P1167" s="13" t="n">
        <v>120</v>
      </c>
      <c r="Q1167" s="13" t="n">
        <v>16</v>
      </c>
      <c r="R1167" s="13" t="n">
        <v>1505</v>
      </c>
      <c r="S1167" s="13" t="n">
        <v>1.18</v>
      </c>
      <c r="T1167" s="13" t="n">
        <v>1776</v>
      </c>
      <c r="U1167" s="13" t="n">
        <v>152</v>
      </c>
      <c r="V1167" s="13" t="n">
        <v>75</v>
      </c>
      <c r="W1167" s="13" t="n">
        <v>64</v>
      </c>
      <c r="X1167" s="13" t="n">
        <v>363</v>
      </c>
      <c r="Y1167" s="13" t="n">
        <v>26</v>
      </c>
      <c r="Z1167" s="13" t="n">
        <v>219</v>
      </c>
      <c r="AA1167" s="13" t="n">
        <v>0.411</v>
      </c>
      <c r="AB1167" s="13" t="n">
        <v>151</v>
      </c>
      <c r="AC1167" s="13" t="n">
        <v>114</v>
      </c>
      <c r="AD1167" s="13" t="n">
        <v>212</v>
      </c>
      <c r="AE1167" s="13" t="n">
        <v>6</v>
      </c>
      <c r="AF1167" s="13" t="n">
        <v>10.6</v>
      </c>
      <c r="AG1167" s="11" t="inlineStr">
        <is>
          <t xml:space="preserve"> Resort Freeride</t>
        </is>
      </c>
      <c r="AH1167" s="11" t="inlineStr">
        <is>
          <t xml:space="preserve"> Touring</t>
        </is>
      </c>
      <c r="AI1167" s="13" t="n"/>
      <c r="AJ1167" s="13" t="n"/>
      <c r="AK1167" s="42" t="n"/>
    </row>
    <row r="1168">
      <c r="E1168" s="40" t="inlineStr">
        <is>
          <t>21/22</t>
        </is>
      </c>
      <c r="F1168" s="10" t="inlineStr">
        <is>
          <t xml:space="preserve"> Raccoon</t>
        </is>
      </c>
      <c r="G1168" s="11" t="inlineStr">
        <is>
          <t xml:space="preserve"> Le Nomade Ti</t>
        </is>
      </c>
      <c r="H1168" s="13" t="n">
        <v>171</v>
      </c>
      <c r="I1168" s="11" t="inlineStr">
        <is>
          <t xml:space="preserve"> Unisex</t>
        </is>
      </c>
      <c r="J1168" s="13" t="n">
        <v>171</v>
      </c>
      <c r="K1168" s="13" t="n">
        <v>170.2</v>
      </c>
      <c r="L1168" s="13" t="n">
        <v>141</v>
      </c>
      <c r="M1168" s="13" t="n">
        <v>158</v>
      </c>
      <c r="N1168" s="13" t="n">
        <v>136</v>
      </c>
      <c r="O1168" s="13" t="n">
        <v>89</v>
      </c>
      <c r="P1168" s="13" t="n">
        <v>125</v>
      </c>
      <c r="Q1168" s="13" t="n">
        <v>14.6</v>
      </c>
      <c r="R1168" s="13" t="n">
        <v>2001</v>
      </c>
      <c r="S1168" s="13" t="n">
        <v>0.89</v>
      </c>
      <c r="T1168" s="13" t="n">
        <v>1773</v>
      </c>
      <c r="U1168" s="13" t="n">
        <v>251</v>
      </c>
      <c r="V1168" s="13" t="n">
        <v>178</v>
      </c>
      <c r="W1168" s="13" t="n">
        <v>51</v>
      </c>
      <c r="X1168" s="13" t="n">
        <v>213</v>
      </c>
      <c r="Y1168" s="13" t="n">
        <v>9</v>
      </c>
      <c r="Z1168" s="13" t="n">
        <v>75</v>
      </c>
      <c r="AA1168" s="13" t="n">
        <v>0.166</v>
      </c>
      <c r="AB1168" s="13" t="n">
        <v>65</v>
      </c>
      <c r="AC1168" s="13" t="n">
        <v>61</v>
      </c>
      <c r="AD1168" s="13" t="n">
        <v>148</v>
      </c>
      <c r="AE1168" s="13" t="n">
        <v>7</v>
      </c>
      <c r="AF1168" s="13" t="n">
        <v>10.5</v>
      </c>
      <c r="AG1168" s="11" t="inlineStr">
        <is>
          <t xml:space="preserve"> Resort Freeride</t>
        </is>
      </c>
      <c r="AH1168" s="13" t="n"/>
      <c r="AI1168" s="13" t="n"/>
      <c r="AJ1168" s="13" t="n"/>
      <c r="AK1168" s="42" t="n"/>
    </row>
    <row r="1169">
      <c r="E1169" s="40" t="inlineStr">
        <is>
          <t>21/22</t>
        </is>
      </c>
      <c r="F1169" s="10" t="inlineStr">
        <is>
          <t xml:space="preserve"> Raccoon</t>
        </is>
      </c>
      <c r="G1169" s="11" t="inlineStr">
        <is>
          <t xml:space="preserve"> Le Nomade Ti</t>
        </is>
      </c>
      <c r="H1169" s="13" t="n">
        <v>178</v>
      </c>
      <c r="I1169" s="11" t="inlineStr">
        <is>
          <t xml:space="preserve"> Unisex</t>
        </is>
      </c>
      <c r="J1169" s="13" t="n">
        <v>178</v>
      </c>
      <c r="K1169" s="13" t="n">
        <v>177.3</v>
      </c>
      <c r="L1169" s="13" t="n">
        <v>147</v>
      </c>
      <c r="M1169" s="13" t="n">
        <v>165</v>
      </c>
      <c r="N1169" s="13" t="n">
        <v>136</v>
      </c>
      <c r="O1169" s="13" t="n">
        <v>89</v>
      </c>
      <c r="P1169" s="13" t="n">
        <v>124</v>
      </c>
      <c r="Q1169" s="13" t="n">
        <v>16</v>
      </c>
      <c r="R1169" s="13" t="n">
        <v>2110</v>
      </c>
      <c r="S1169" s="13" t="n">
        <v>0.87</v>
      </c>
      <c r="T1169" s="13" t="n">
        <v>1838</v>
      </c>
      <c r="U1169" s="13" t="n">
        <v>273</v>
      </c>
      <c r="V1169" s="13" t="n">
        <v>201</v>
      </c>
      <c r="W1169" s="13" t="n">
        <v>51</v>
      </c>
      <c r="X1169" s="13" t="n">
        <v>221</v>
      </c>
      <c r="Y1169" s="13" t="n">
        <v>9</v>
      </c>
      <c r="Z1169" s="13" t="n">
        <v>82</v>
      </c>
      <c r="AA1169" s="13" t="n">
        <v>0.183</v>
      </c>
      <c r="AB1169" s="13" t="n">
        <v>62</v>
      </c>
      <c r="AC1169" s="13" t="n">
        <v>58</v>
      </c>
      <c r="AD1169" s="13" t="n">
        <v>159</v>
      </c>
      <c r="AE1169" s="13" t="n">
        <v>8</v>
      </c>
      <c r="AF1169" s="13" t="n">
        <v>13.2</v>
      </c>
      <c r="AG1169" s="11" t="inlineStr">
        <is>
          <t xml:space="preserve"> Resort Freeride</t>
        </is>
      </c>
      <c r="AH1169" s="13" t="n"/>
      <c r="AI1169" s="13" t="n"/>
      <c r="AJ1169" s="13" t="n"/>
      <c r="AK1169" s="42" t="n"/>
    </row>
    <row r="1170">
      <c r="E1170" s="40" t="inlineStr">
        <is>
          <t>21/22</t>
        </is>
      </c>
      <c r="F1170" s="10" t="inlineStr">
        <is>
          <t xml:space="preserve"> Rossignol</t>
        </is>
      </c>
      <c r="G1170" s="11" t="inlineStr">
        <is>
          <t>Blackops Alpineer 96</t>
        </is>
      </c>
      <c r="H1170" s="13" t="n">
        <v>169</v>
      </c>
      <c r="I1170" s="11" t="inlineStr">
        <is>
          <t xml:space="preserve"> Unisex</t>
        </is>
      </c>
      <c r="J1170" s="13" t="n">
        <v>169</v>
      </c>
      <c r="K1170" s="13" t="n">
        <v>169.2</v>
      </c>
      <c r="L1170" s="13" t="n">
        <v>123</v>
      </c>
      <c r="M1170" s="13" t="n">
        <v>137</v>
      </c>
      <c r="N1170" s="13" t="n">
        <v>126</v>
      </c>
      <c r="O1170" s="13" t="n">
        <v>96</v>
      </c>
      <c r="P1170" s="13" t="n">
        <v>115</v>
      </c>
      <c r="Q1170" s="13" t="n">
        <v>17.5</v>
      </c>
      <c r="R1170" s="13" t="n">
        <v>1285</v>
      </c>
      <c r="S1170" s="13" t="n">
        <v>1.4</v>
      </c>
      <c r="T1170" s="13" t="n">
        <v>1798</v>
      </c>
      <c r="U1170" s="13" t="n">
        <v>196</v>
      </c>
      <c r="V1170" s="13" t="n">
        <v>83</v>
      </c>
      <c r="W1170" s="13" t="n">
        <v>58</v>
      </c>
      <c r="X1170" s="13" t="n">
        <v>322</v>
      </c>
      <c r="Y1170" s="13" t="n">
        <v>12</v>
      </c>
      <c r="Z1170" s="13" t="n">
        <v>142</v>
      </c>
      <c r="AA1170" s="13" t="n">
        <v>0.213</v>
      </c>
      <c r="AB1170" s="13" t="n">
        <v>195</v>
      </c>
      <c r="AC1170" s="13" t="n">
        <v>123</v>
      </c>
      <c r="AD1170" s="13" t="n">
        <v>126</v>
      </c>
      <c r="AE1170" s="13" t="n">
        <v>6</v>
      </c>
      <c r="AF1170" s="13" t="n">
        <v>12.1</v>
      </c>
      <c r="AG1170" s="11" t="inlineStr">
        <is>
          <t xml:space="preserve"> Touring</t>
        </is>
      </c>
      <c r="AH1170" s="11" t="inlineStr">
        <is>
          <t xml:space="preserve"> Ultralight Touring</t>
        </is>
      </c>
      <c r="AI1170" s="13" t="n"/>
      <c r="AJ1170" s="13" t="n"/>
      <c r="AK1170" s="42" t="n"/>
    </row>
    <row r="1171">
      <c r="E1171" s="40" t="inlineStr">
        <is>
          <t>21/22</t>
        </is>
      </c>
      <c r="F1171" s="10" t="inlineStr">
        <is>
          <t xml:space="preserve"> Rossignol</t>
        </is>
      </c>
      <c r="G1171" s="11" t="inlineStr">
        <is>
          <t>Blackops Alpineer 96</t>
        </is>
      </c>
      <c r="H1171" s="13" t="n">
        <v>177</v>
      </c>
      <c r="I1171" s="11" t="inlineStr">
        <is>
          <t xml:space="preserve"> Unisex</t>
        </is>
      </c>
      <c r="J1171" s="13" t="n">
        <v>177</v>
      </c>
      <c r="K1171" s="13" t="n">
        <v>177.3</v>
      </c>
      <c r="L1171" s="13" t="n">
        <v>130</v>
      </c>
      <c r="M1171" s="13" t="n">
        <v>145</v>
      </c>
      <c r="N1171" s="13" t="n">
        <v>126</v>
      </c>
      <c r="O1171" s="13" t="n">
        <v>97</v>
      </c>
      <c r="P1171" s="13" t="n">
        <v>115</v>
      </c>
      <c r="Q1171" s="13" t="n">
        <v>19.8</v>
      </c>
      <c r="R1171" s="13" t="n">
        <v>1319</v>
      </c>
      <c r="S1171" s="13" t="n">
        <v>1.43</v>
      </c>
      <c r="T1171" s="13" t="n">
        <v>1886</v>
      </c>
      <c r="U1171" s="13" t="n">
        <v>233</v>
      </c>
      <c r="V1171" s="13" t="n">
        <v>85</v>
      </c>
      <c r="W1171" s="13" t="n">
        <v>56</v>
      </c>
      <c r="X1171" s="13" t="n">
        <v>319</v>
      </c>
      <c r="Y1171" s="13" t="n">
        <v>13</v>
      </c>
      <c r="Z1171" s="13" t="n">
        <v>151</v>
      </c>
      <c r="AA1171" s="13" t="n">
        <v>0.23</v>
      </c>
      <c r="AB1171" s="13" t="n">
        <v>204</v>
      </c>
      <c r="AC1171" s="13" t="n">
        <v>122</v>
      </c>
      <c r="AD1171" s="13" t="n">
        <v>115</v>
      </c>
      <c r="AE1171" s="13" t="n">
        <v>6</v>
      </c>
      <c r="AF1171" s="13" t="n">
        <v>12.2</v>
      </c>
      <c r="AG1171" s="11" t="inlineStr">
        <is>
          <t xml:space="preserve"> Touring</t>
        </is>
      </c>
      <c r="AH1171" s="11" t="inlineStr">
        <is>
          <t xml:space="preserve"> Ultralight Touring</t>
        </is>
      </c>
      <c r="AI1171" s="13" t="n"/>
      <c r="AJ1171" s="13" t="n"/>
      <c r="AK1171" s="42" t="n"/>
    </row>
    <row r="1172">
      <c r="E1172" s="40" t="inlineStr">
        <is>
          <t>21/22</t>
        </is>
      </c>
      <c r="F1172" s="10" t="inlineStr">
        <is>
          <t xml:space="preserve"> Rossignol</t>
        </is>
      </c>
      <c r="G1172" s="11" t="inlineStr">
        <is>
          <t xml:space="preserve"> Blackops Blazer W</t>
        </is>
      </c>
      <c r="H1172" s="13" t="n">
        <v>160</v>
      </c>
      <c r="I1172" s="11" t="inlineStr">
        <is>
          <t xml:space="preserve"> Women's</t>
        </is>
      </c>
      <c r="J1172" s="13" t="n">
        <v>160</v>
      </c>
      <c r="K1172" s="13" t="n">
        <v>159.3</v>
      </c>
      <c r="L1172" s="13" t="n">
        <v>113</v>
      </c>
      <c r="M1172" s="13" t="n">
        <v>136</v>
      </c>
      <c r="N1172" s="13" t="n">
        <v>130</v>
      </c>
      <c r="O1172" s="13" t="n">
        <v>97</v>
      </c>
      <c r="P1172" s="13" t="n">
        <v>120</v>
      </c>
      <c r="Q1172" s="13" t="n">
        <v>14.1</v>
      </c>
      <c r="R1172" s="13" t="n">
        <v>1775</v>
      </c>
      <c r="S1172" s="13" t="n">
        <v>0.97</v>
      </c>
      <c r="T1172" s="13" t="n">
        <v>1726</v>
      </c>
      <c r="U1172" s="13" t="n">
        <v>200</v>
      </c>
      <c r="V1172" s="13" t="n">
        <v>108</v>
      </c>
      <c r="W1172" s="13" t="n">
        <v>49</v>
      </c>
      <c r="X1172" s="13" t="n">
        <v>239</v>
      </c>
      <c r="Y1172" s="13" t="n">
        <v>35</v>
      </c>
      <c r="Z1172" s="13" t="n">
        <v>225</v>
      </c>
      <c r="AA1172" s="13" t="n">
        <v>0.706</v>
      </c>
      <c r="AB1172" s="13" t="n">
        <v>131</v>
      </c>
      <c r="AC1172" s="13" t="n">
        <v>105</v>
      </c>
      <c r="AD1172" s="13" t="n">
        <v>108</v>
      </c>
      <c r="AE1172" s="13" t="n">
        <v>8</v>
      </c>
      <c r="AF1172" s="13" t="n">
        <v>4.2</v>
      </c>
      <c r="AG1172" s="11" t="inlineStr">
        <is>
          <t xml:space="preserve"> Resort Freeride</t>
        </is>
      </c>
      <c r="AH1172" s="13" t="n"/>
      <c r="AI1172" s="13" t="n"/>
      <c r="AJ1172" s="13" t="n"/>
      <c r="AK1172" s="42" t="n"/>
    </row>
    <row r="1173">
      <c r="E1173" s="40" t="inlineStr">
        <is>
          <t>21/22</t>
        </is>
      </c>
      <c r="F1173" s="10" t="inlineStr">
        <is>
          <t xml:space="preserve"> Rossignol</t>
        </is>
      </c>
      <c r="G1173" s="11" t="inlineStr">
        <is>
          <t xml:space="preserve"> Blackops Blazer W</t>
        </is>
      </c>
      <c r="H1173" s="13" t="n">
        <v>170</v>
      </c>
      <c r="I1173" s="11" t="inlineStr">
        <is>
          <t xml:space="preserve"> Women's</t>
        </is>
      </c>
      <c r="J1173" s="13" t="n">
        <v>170</v>
      </c>
      <c r="K1173" s="13" t="n">
        <v>169</v>
      </c>
      <c r="L1173" s="13" t="n">
        <v>120</v>
      </c>
      <c r="M1173" s="13" t="n">
        <v>146</v>
      </c>
      <c r="N1173" s="13" t="n">
        <v>130</v>
      </c>
      <c r="O1173" s="13" t="n">
        <v>97</v>
      </c>
      <c r="P1173" s="13" t="n">
        <v>120</v>
      </c>
      <c r="Q1173" s="13" t="n">
        <v>16.7</v>
      </c>
      <c r="R1173" s="13" t="n">
        <v>1920</v>
      </c>
      <c r="S1173" s="13" t="n">
        <v>0.95</v>
      </c>
      <c r="T1173" s="13" t="n">
        <v>1827</v>
      </c>
      <c r="U1173" s="13" t="n">
        <v>205</v>
      </c>
      <c r="V1173" s="13" t="n">
        <v>115</v>
      </c>
      <c r="W1173" s="13" t="n">
        <v>56</v>
      </c>
      <c r="X1173" s="13" t="n">
        <v>264</v>
      </c>
      <c r="Y1173" s="13" t="n">
        <v>36</v>
      </c>
      <c r="Z1173" s="13" t="n">
        <v>230</v>
      </c>
      <c r="AA1173" s="13" t="n">
        <v>0.637</v>
      </c>
      <c r="AB1173" s="13" t="n">
        <v>134</v>
      </c>
      <c r="AC1173" s="13" t="n">
        <v>100</v>
      </c>
      <c r="AD1173" s="13" t="n">
        <v>130</v>
      </c>
      <c r="AE1173" s="13" t="n">
        <v>6</v>
      </c>
      <c r="AF1173" s="13" t="n">
        <v>4.9</v>
      </c>
      <c r="AG1173" s="11" t="inlineStr">
        <is>
          <t xml:space="preserve"> Resort Freeride</t>
        </is>
      </c>
      <c r="AH1173" s="13" t="n"/>
      <c r="AI1173" s="13" t="n"/>
      <c r="AJ1173" s="13" t="n"/>
      <c r="AK1173" s="42" t="n"/>
    </row>
    <row r="1174">
      <c r="E1174" s="40" t="inlineStr">
        <is>
          <t>21/22</t>
        </is>
      </c>
      <c r="F1174" s="10" t="inlineStr">
        <is>
          <t xml:space="preserve"> Rossignol</t>
        </is>
      </c>
      <c r="G1174" s="11" t="inlineStr">
        <is>
          <t xml:space="preserve"> Blackops Dreamer W</t>
        </is>
      </c>
      <c r="H1174" s="13" t="n">
        <v>140</v>
      </c>
      <c r="I1174" s="11" t="inlineStr">
        <is>
          <t xml:space="preserve"> Women's</t>
        </is>
      </c>
      <c r="J1174" s="13" t="n">
        <v>140</v>
      </c>
      <c r="K1174" s="13" t="n">
        <v>138.6</v>
      </c>
      <c r="L1174" s="13" t="n">
        <v>89</v>
      </c>
      <c r="M1174" s="13" t="n">
        <v>114</v>
      </c>
      <c r="N1174" s="13" t="n">
        <v>118</v>
      </c>
      <c r="O1174" s="13" t="n">
        <v>89</v>
      </c>
      <c r="P1174" s="13" t="n">
        <v>107</v>
      </c>
      <c r="Q1174" s="13" t="n">
        <v>13.8</v>
      </c>
      <c r="R1174" s="13" t="n">
        <v>1559</v>
      </c>
      <c r="S1174" s="13" t="n">
        <v>0.87</v>
      </c>
      <c r="T1174" s="13" t="n">
        <v>1361</v>
      </c>
      <c r="U1174" s="13" t="n">
        <v>155</v>
      </c>
      <c r="V1174" s="13" t="n">
        <v>57</v>
      </c>
      <c r="W1174" s="13" t="n">
        <v>52</v>
      </c>
      <c r="X1174" s="13" t="n">
        <v>263</v>
      </c>
      <c r="Y1174" s="13" t="n">
        <v>33</v>
      </c>
      <c r="Z1174" s="13" t="n">
        <v>232</v>
      </c>
      <c r="AA1174" s="13" t="n">
        <v>0.623</v>
      </c>
      <c r="AB1174" s="13" t="n">
        <v>118</v>
      </c>
      <c r="AC1174" s="13" t="n">
        <v>124</v>
      </c>
      <c r="AD1174" s="13" t="n">
        <v>145</v>
      </c>
      <c r="AE1174" s="13" t="n">
        <v>5</v>
      </c>
      <c r="AF1174" s="13" t="n">
        <v>5</v>
      </c>
      <c r="AG1174" s="11" t="inlineStr">
        <is>
          <t xml:space="preserve"> Resort Freeride</t>
        </is>
      </c>
      <c r="AH1174" s="13" t="n"/>
      <c r="AI1174" s="13" t="n"/>
      <c r="AJ1174" s="13" t="n"/>
      <c r="AK1174" s="42" t="n"/>
    </row>
    <row r="1175">
      <c r="E1175" s="40" t="inlineStr">
        <is>
          <t>21/22</t>
        </is>
      </c>
      <c r="F1175" s="10" t="inlineStr">
        <is>
          <t xml:space="preserve"> Rossignol</t>
        </is>
      </c>
      <c r="G1175" s="11" t="inlineStr">
        <is>
          <t xml:space="preserve"> Blackops Dreamer W</t>
        </is>
      </c>
      <c r="H1175" s="13" t="n">
        <v>150</v>
      </c>
      <c r="I1175" s="11" t="inlineStr">
        <is>
          <t xml:space="preserve"> Women's</t>
        </is>
      </c>
      <c r="J1175" s="13" t="n">
        <v>150</v>
      </c>
      <c r="K1175" s="13" t="n">
        <v>148.5</v>
      </c>
      <c r="L1175" s="13" t="n">
        <v>100</v>
      </c>
      <c r="M1175" s="13" t="n">
        <v>125</v>
      </c>
      <c r="N1175" s="13" t="n">
        <v>117</v>
      </c>
      <c r="O1175" s="13" t="n">
        <v>89</v>
      </c>
      <c r="P1175" s="13" t="n">
        <v>107</v>
      </c>
      <c r="Q1175" s="13" t="n">
        <v>16.8</v>
      </c>
      <c r="R1175" s="13" t="n">
        <v>1628</v>
      </c>
      <c r="S1175" s="13" t="n">
        <v>0.89</v>
      </c>
      <c r="T1175" s="13" t="n">
        <v>1448</v>
      </c>
      <c r="U1175" s="13" t="n">
        <v>148</v>
      </c>
      <c r="V1175" s="13" t="n">
        <v>57</v>
      </c>
      <c r="W1175" s="13" t="n">
        <v>50</v>
      </c>
      <c r="X1175" s="13" t="n">
        <v>259</v>
      </c>
      <c r="Y1175" s="13" t="n">
        <v>32</v>
      </c>
      <c r="Z1175" s="13" t="n">
        <v>222</v>
      </c>
      <c r="AA1175" s="13" t="n">
        <v>0.638</v>
      </c>
      <c r="AB1175" s="13" t="n">
        <v>110</v>
      </c>
      <c r="AC1175" s="13" t="n">
        <v>128</v>
      </c>
      <c r="AD1175" s="13" t="n">
        <v>149</v>
      </c>
      <c r="AE1175" s="13" t="n">
        <v>5</v>
      </c>
      <c r="AF1175" s="13" t="n">
        <v>5</v>
      </c>
      <c r="AG1175" s="11" t="inlineStr">
        <is>
          <t xml:space="preserve"> Resort Freeride</t>
        </is>
      </c>
      <c r="AH1175" s="13" t="n"/>
      <c r="AI1175" s="13" t="n"/>
      <c r="AJ1175" s="13" t="n"/>
      <c r="AK1175" s="42" t="n"/>
    </row>
    <row r="1176">
      <c r="E1176" s="40" t="inlineStr">
        <is>
          <t>21/22</t>
        </is>
      </c>
      <c r="F1176" s="10" t="inlineStr">
        <is>
          <t xml:space="preserve"> Rossignol</t>
        </is>
      </c>
      <c r="G1176" s="11" t="inlineStr">
        <is>
          <t xml:space="preserve"> Blackops Dreamer W</t>
        </is>
      </c>
      <c r="H1176" s="13" t="n">
        <v>160</v>
      </c>
      <c r="I1176" s="11" t="inlineStr">
        <is>
          <t xml:space="preserve"> Women's</t>
        </is>
      </c>
      <c r="J1176" s="13" t="n">
        <v>160</v>
      </c>
      <c r="K1176" s="13" t="n">
        <v>158.5</v>
      </c>
      <c r="L1176" s="13" t="n">
        <v>111</v>
      </c>
      <c r="M1176" s="13" t="n">
        <v>133</v>
      </c>
      <c r="N1176" s="13" t="n">
        <v>117</v>
      </c>
      <c r="O1176" s="13" t="n">
        <v>89</v>
      </c>
      <c r="P1176" s="13" t="n">
        <v>107</v>
      </c>
      <c r="Q1176" s="13" t="n">
        <v>20.8</v>
      </c>
      <c r="R1176" s="13" t="n">
        <v>1764</v>
      </c>
      <c r="S1176" s="13" t="n">
        <v>0.87</v>
      </c>
      <c r="T1176" s="13" t="n">
        <v>1541</v>
      </c>
      <c r="U1176" s="13" t="n">
        <v>153</v>
      </c>
      <c r="V1176" s="13" t="n">
        <v>59</v>
      </c>
      <c r="W1176" s="13" t="n">
        <v>51</v>
      </c>
      <c r="X1176" s="13" t="n">
        <v>261</v>
      </c>
      <c r="Y1176" s="13" t="n">
        <v>29</v>
      </c>
      <c r="Z1176" s="13" t="n">
        <v>214</v>
      </c>
      <c r="AA1176" s="13" t="n">
        <v>0.5669999999999999</v>
      </c>
      <c r="AB1176" s="13" t="n">
        <v>126</v>
      </c>
      <c r="AC1176" s="13" t="n">
        <v>133</v>
      </c>
      <c r="AD1176" s="13" t="n">
        <v>135</v>
      </c>
      <c r="AE1176" s="13" t="n">
        <v>7</v>
      </c>
      <c r="AF1176" s="13" t="n">
        <v>5.3</v>
      </c>
      <c r="AG1176" s="11" t="inlineStr">
        <is>
          <t xml:space="preserve"> Resort Freeride</t>
        </is>
      </c>
      <c r="AH1176" s="13" t="n"/>
      <c r="AI1176" s="13" t="n"/>
      <c r="AJ1176" s="13" t="n"/>
      <c r="AK1176" s="42" t="n"/>
    </row>
    <row r="1177">
      <c r="E1177" s="40" t="inlineStr">
        <is>
          <t>21/22</t>
        </is>
      </c>
      <c r="F1177" s="10" t="inlineStr">
        <is>
          <t xml:space="preserve"> Rossignol</t>
        </is>
      </c>
      <c r="G1177" s="11" t="inlineStr">
        <is>
          <t xml:space="preserve"> Blackops Escaper</t>
        </is>
      </c>
      <c r="H1177" s="13" t="n">
        <v>156</v>
      </c>
      <c r="I1177" s="11" t="inlineStr">
        <is>
          <t xml:space="preserve"> Unisex</t>
        </is>
      </c>
      <c r="J1177" s="13" t="n">
        <v>156</v>
      </c>
      <c r="K1177" s="13" t="n">
        <v>155</v>
      </c>
      <c r="L1177" s="13" t="n">
        <v>107</v>
      </c>
      <c r="M1177" s="13" t="n">
        <v>129</v>
      </c>
      <c r="N1177" s="13" t="n">
        <v>125</v>
      </c>
      <c r="O1177" s="13" t="n">
        <v>89</v>
      </c>
      <c r="P1177" s="13" t="n">
        <v>116</v>
      </c>
      <c r="Q1177" s="13" t="n">
        <v>11.7</v>
      </c>
      <c r="R1177" s="13" t="n">
        <v>1471</v>
      </c>
      <c r="S1177" s="13" t="n">
        <v>1.08</v>
      </c>
      <c r="T1177" s="13" t="n">
        <v>1590</v>
      </c>
      <c r="U1177" s="13" t="n">
        <v>153</v>
      </c>
      <c r="V1177" s="13" t="n">
        <v>75</v>
      </c>
      <c r="W1177" s="13" t="n">
        <v>52</v>
      </c>
      <c r="X1177" s="13" t="n">
        <v>307</v>
      </c>
      <c r="Y1177" s="13" t="n">
        <v>13</v>
      </c>
      <c r="Z1177" s="13" t="n">
        <v>173</v>
      </c>
      <c r="AA1177" s="13" t="n">
        <v>0.243</v>
      </c>
      <c r="AB1177" s="13" t="n">
        <v>158</v>
      </c>
      <c r="AC1177" s="13" t="n">
        <v>100</v>
      </c>
      <c r="AD1177" s="13" t="n">
        <v>149</v>
      </c>
      <c r="AE1177" s="13" t="n">
        <v>6</v>
      </c>
      <c r="AF1177" s="13" t="n">
        <v>5.5</v>
      </c>
      <c r="AG1177" s="11" t="inlineStr">
        <is>
          <t xml:space="preserve"> Resort Freeride</t>
        </is>
      </c>
      <c r="AH1177" s="11" t="inlineStr">
        <is>
          <t xml:space="preserve"> Touring</t>
        </is>
      </c>
      <c r="AI1177" s="13" t="n"/>
      <c r="AJ1177" s="13" t="n"/>
      <c r="AK1177" s="42" t="n"/>
    </row>
    <row r="1178">
      <c r="E1178" s="40" t="inlineStr">
        <is>
          <t>21/22</t>
        </is>
      </c>
      <c r="F1178" s="10" t="inlineStr">
        <is>
          <t xml:space="preserve"> Rossignol</t>
        </is>
      </c>
      <c r="G1178" s="11" t="inlineStr">
        <is>
          <t xml:space="preserve"> Blackops Escaper</t>
        </is>
      </c>
      <c r="H1178" s="13" t="n">
        <v>164</v>
      </c>
      <c r="I1178" s="11" t="inlineStr">
        <is>
          <t xml:space="preserve"> Unisex</t>
        </is>
      </c>
      <c r="J1178" s="13" t="n">
        <v>164</v>
      </c>
      <c r="K1178" s="13" t="n">
        <v>162.6</v>
      </c>
      <c r="L1178" s="13" t="n">
        <v>115</v>
      </c>
      <c r="M1178" s="13" t="n">
        <v>137</v>
      </c>
      <c r="N1178" s="13" t="n">
        <v>126</v>
      </c>
      <c r="O1178" s="13" t="n">
        <v>91</v>
      </c>
      <c r="P1178" s="13" t="n">
        <v>116</v>
      </c>
      <c r="Q1178" s="13" t="n">
        <v>13.8</v>
      </c>
      <c r="R1178" s="13" t="n">
        <v>1555</v>
      </c>
      <c r="S1178" s="13" t="n">
        <v>1.08</v>
      </c>
      <c r="T1178" s="13" t="n">
        <v>1680</v>
      </c>
      <c r="U1178" s="13" t="n">
        <v>183</v>
      </c>
      <c r="V1178" s="13" t="n">
        <v>80</v>
      </c>
      <c r="W1178" s="13" t="n">
        <v>52</v>
      </c>
      <c r="X1178" s="13" t="n">
        <v>307</v>
      </c>
      <c r="Y1178" s="13" t="n">
        <v>12</v>
      </c>
      <c r="Z1178" s="13" t="n">
        <v>170</v>
      </c>
      <c r="AA1178" s="13" t="n">
        <v>0.225</v>
      </c>
      <c r="AB1178" s="13" t="n">
        <v>143</v>
      </c>
      <c r="AC1178" s="13" t="n">
        <v>109</v>
      </c>
      <c r="AD1178" s="13" t="n">
        <v>164</v>
      </c>
      <c r="AE1178" s="13" t="n">
        <v>6</v>
      </c>
      <c r="AF1178" s="13" t="n">
        <v>6.2</v>
      </c>
      <c r="AG1178" s="11" t="inlineStr">
        <is>
          <t xml:space="preserve"> Resort Freeride</t>
        </is>
      </c>
      <c r="AH1178" s="11" t="inlineStr">
        <is>
          <t xml:space="preserve"> Touring</t>
        </is>
      </c>
      <c r="AI1178" s="13" t="n"/>
      <c r="AJ1178" s="13" t="n"/>
      <c r="AK1178" s="42" t="n"/>
    </row>
    <row r="1179">
      <c r="E1179" s="40" t="inlineStr">
        <is>
          <t>21/22</t>
        </is>
      </c>
      <c r="F1179" s="10" t="inlineStr">
        <is>
          <t xml:space="preserve"> Rossignol</t>
        </is>
      </c>
      <c r="G1179" s="11" t="inlineStr">
        <is>
          <t xml:space="preserve"> Blackops Escaper</t>
        </is>
      </c>
      <c r="H1179" s="13" t="n">
        <v>172</v>
      </c>
      <c r="I1179" s="11" t="inlineStr">
        <is>
          <t xml:space="preserve"> Unisex</t>
        </is>
      </c>
      <c r="J1179" s="13" t="n">
        <v>172</v>
      </c>
      <c r="K1179" s="13" t="n">
        <v>170.8</v>
      </c>
      <c r="L1179" s="13" t="n">
        <v>124</v>
      </c>
      <c r="M1179" s="13" t="n">
        <v>146</v>
      </c>
      <c r="N1179" s="13" t="n">
        <v>126</v>
      </c>
      <c r="O1179" s="13" t="n">
        <v>92</v>
      </c>
      <c r="P1179" s="13" t="n">
        <v>116</v>
      </c>
      <c r="Q1179" s="13" t="n">
        <v>16</v>
      </c>
      <c r="R1179" s="13" t="n">
        <v>1632</v>
      </c>
      <c r="S1179" s="13" t="n">
        <v>1.08</v>
      </c>
      <c r="T1179" s="13" t="n">
        <v>1769</v>
      </c>
      <c r="U1179" s="13" t="n">
        <v>204</v>
      </c>
      <c r="V1179" s="13" t="n">
        <v>90</v>
      </c>
      <c r="W1179" s="13" t="n">
        <v>47</v>
      </c>
      <c r="X1179" s="13" t="n">
        <v>291</v>
      </c>
      <c r="Y1179" s="13" t="n">
        <v>12</v>
      </c>
      <c r="Z1179" s="13" t="n">
        <v>174</v>
      </c>
      <c r="AA1179" s="13" t="n">
        <v>0.26</v>
      </c>
      <c r="AB1179" s="13" t="n">
        <v>153</v>
      </c>
      <c r="AC1179" s="13" t="n">
        <v>98</v>
      </c>
      <c r="AD1179" s="13" t="n">
        <v>138</v>
      </c>
      <c r="AE1179" s="13" t="n">
        <v>6</v>
      </c>
      <c r="AF1179" s="13" t="n">
        <v>6.5</v>
      </c>
      <c r="AG1179" s="11" t="inlineStr">
        <is>
          <t xml:space="preserve"> Resort Freeride</t>
        </is>
      </c>
      <c r="AH1179" s="11" t="inlineStr">
        <is>
          <t xml:space="preserve"> Touring</t>
        </is>
      </c>
      <c r="AI1179" s="13" t="n"/>
      <c r="AJ1179" s="13" t="n"/>
      <c r="AK1179" s="42" t="n"/>
    </row>
    <row r="1180">
      <c r="E1180" s="40" t="inlineStr">
        <is>
          <t>21/22</t>
        </is>
      </c>
      <c r="F1180" s="10" t="inlineStr">
        <is>
          <t xml:space="preserve"> Rossignol</t>
        </is>
      </c>
      <c r="G1180" s="11" t="inlineStr">
        <is>
          <t xml:space="preserve"> Blackops Escaper</t>
        </is>
      </c>
      <c r="H1180" s="13" t="n">
        <v>178</v>
      </c>
      <c r="I1180" s="11" t="inlineStr">
        <is>
          <t xml:space="preserve"> Unisex</t>
        </is>
      </c>
      <c r="J1180" s="13" t="n">
        <v>178</v>
      </c>
      <c r="K1180" s="13" t="n">
        <v>178.4</v>
      </c>
      <c r="L1180" s="13" t="n">
        <v>131</v>
      </c>
      <c r="M1180" s="13" t="n">
        <v>154</v>
      </c>
      <c r="N1180" s="13" t="n">
        <v>126</v>
      </c>
      <c r="O1180" s="13" t="n">
        <v>93</v>
      </c>
      <c r="P1180" s="13" t="n">
        <v>116</v>
      </c>
      <c r="Q1180" s="13" t="n">
        <v>18.6</v>
      </c>
      <c r="R1180" s="13" t="n">
        <v>1801</v>
      </c>
      <c r="S1180" s="13" t="n">
        <v>1.03</v>
      </c>
      <c r="T1180" s="13" t="n">
        <v>1857</v>
      </c>
      <c r="U1180" s="13" t="n">
        <v>251</v>
      </c>
      <c r="V1180" s="13" t="n">
        <v>125</v>
      </c>
      <c r="W1180" s="13" t="n">
        <v>49</v>
      </c>
      <c r="X1180" s="13" t="n">
        <v>307</v>
      </c>
      <c r="Y1180" s="13" t="n">
        <v>11</v>
      </c>
      <c r="Z1180" s="13" t="n">
        <v>171</v>
      </c>
      <c r="AA1180" s="13" t="n">
        <v>0.22</v>
      </c>
      <c r="AB1180" s="13" t="n">
        <v>142</v>
      </c>
      <c r="AC1180" s="13" t="n">
        <v>104</v>
      </c>
      <c r="AD1180" s="13" t="n">
        <v>165</v>
      </c>
      <c r="AE1180" s="13" t="n">
        <v>8</v>
      </c>
      <c r="AF1180" s="13" t="n">
        <v>7.6</v>
      </c>
      <c r="AG1180" s="11" t="inlineStr">
        <is>
          <t xml:space="preserve"> Resort Freeride</t>
        </is>
      </c>
      <c r="AH1180" s="13" t="n"/>
      <c r="AI1180" s="13" t="n"/>
      <c r="AJ1180" s="13" t="n"/>
      <c r="AK1180" s="42" t="n"/>
    </row>
    <row r="1181">
      <c r="E1181" s="40" t="inlineStr">
        <is>
          <t>21/22</t>
        </is>
      </c>
      <c r="F1181" s="10" t="inlineStr">
        <is>
          <t xml:space="preserve"> Rossignol</t>
        </is>
      </c>
      <c r="G1181" s="11" t="inlineStr">
        <is>
          <t xml:space="preserve"> Blackops Escaper</t>
        </is>
      </c>
      <c r="H1181" s="13" t="n">
        <v>186</v>
      </c>
      <c r="I1181" s="11" t="inlineStr">
        <is>
          <t xml:space="preserve"> Unisex</t>
        </is>
      </c>
      <c r="J1181" s="13" t="n">
        <v>186</v>
      </c>
      <c r="K1181" s="13" t="n">
        <v>186.5</v>
      </c>
      <c r="L1181" s="13" t="n">
        <v>140</v>
      </c>
      <c r="M1181" s="13" t="n">
        <v>161</v>
      </c>
      <c r="N1181" s="13" t="n">
        <v>126</v>
      </c>
      <c r="O1181" s="13" t="n">
        <v>93</v>
      </c>
      <c r="P1181" s="13" t="n">
        <v>116</v>
      </c>
      <c r="Q1181" s="13" t="n">
        <v>21.4</v>
      </c>
      <c r="R1181" s="13" t="n">
        <v>1870</v>
      </c>
      <c r="S1181" s="13" t="n">
        <v>1.04</v>
      </c>
      <c r="T1181" s="13" t="n">
        <v>1948</v>
      </c>
      <c r="U1181" s="13" t="n">
        <v>295</v>
      </c>
      <c r="V1181" s="13" t="n">
        <v>138</v>
      </c>
      <c r="W1181" s="13" t="n">
        <v>46</v>
      </c>
      <c r="X1181" s="13" t="n">
        <v>286</v>
      </c>
      <c r="Y1181" s="13" t="n">
        <v>14</v>
      </c>
      <c r="Z1181" s="13" t="n">
        <v>178</v>
      </c>
      <c r="AA1181" s="13" t="n">
        <v>0.31</v>
      </c>
      <c r="AB1181" s="13" t="n">
        <v>148</v>
      </c>
      <c r="AC1181" s="13" t="n">
        <v>103</v>
      </c>
      <c r="AD1181" s="13" t="n">
        <v>138</v>
      </c>
      <c r="AE1181" s="13" t="n">
        <v>7</v>
      </c>
      <c r="AF1181" s="13" t="n">
        <v>8.300000000000001</v>
      </c>
      <c r="AG1181" s="11" t="inlineStr">
        <is>
          <t xml:space="preserve"> Resort Freeride</t>
        </is>
      </c>
      <c r="AH1181" s="13" t="n"/>
      <c r="AI1181" s="13" t="n"/>
      <c r="AJ1181" s="13" t="n"/>
      <c r="AK1181" s="42" t="n"/>
    </row>
    <row r="1182">
      <c r="E1182" s="40" t="inlineStr">
        <is>
          <t>21/22</t>
        </is>
      </c>
      <c r="F1182" s="10" t="inlineStr">
        <is>
          <t xml:space="preserve"> Rossignol</t>
        </is>
      </c>
      <c r="G1182" s="11" t="inlineStr">
        <is>
          <t xml:space="preserve"> Blackops Gamer</t>
        </is>
      </c>
      <c r="H1182" s="13" t="n">
        <v>176</v>
      </c>
      <c r="I1182" s="11" t="inlineStr">
        <is>
          <t xml:space="preserve"> Unisex</t>
        </is>
      </c>
      <c r="J1182" s="13" t="n">
        <v>176</v>
      </c>
      <c r="K1182" s="13" t="n">
        <v>174.7</v>
      </c>
      <c r="L1182" s="13" t="n">
        <v>102</v>
      </c>
      <c r="M1182" s="13" t="n">
        <v>147</v>
      </c>
      <c r="N1182" s="13" t="n">
        <v>144</v>
      </c>
      <c r="O1182" s="13" t="n">
        <v>117</v>
      </c>
      <c r="P1182" s="13" t="n">
        <v>139</v>
      </c>
      <c r="Q1182" s="13" t="n">
        <v>19.2</v>
      </c>
      <c r="R1182" s="13" t="n">
        <v>2255</v>
      </c>
      <c r="S1182" s="13" t="n">
        <v>0.98</v>
      </c>
      <c r="T1182" s="13" t="n">
        <v>2199</v>
      </c>
      <c r="U1182" s="13" t="n">
        <v>217</v>
      </c>
      <c r="V1182" s="13" t="n">
        <v>105</v>
      </c>
      <c r="W1182" s="13" t="n">
        <v>69</v>
      </c>
      <c r="X1182" s="13" t="n">
        <v>368</v>
      </c>
      <c r="Y1182" s="13" t="n">
        <v>53</v>
      </c>
      <c r="Z1182" s="13" t="n">
        <v>355</v>
      </c>
      <c r="AA1182" s="13" t="n">
        <v>0.766</v>
      </c>
      <c r="AB1182" s="13" t="n">
        <v>149</v>
      </c>
      <c r="AC1182" s="13" t="n">
        <v>130</v>
      </c>
      <c r="AD1182" s="13" t="n">
        <v>219</v>
      </c>
      <c r="AE1182" s="13" t="n">
        <v>5</v>
      </c>
      <c r="AF1182" s="13" t="n">
        <v>2.3</v>
      </c>
      <c r="AG1182" s="11" t="inlineStr">
        <is>
          <t xml:space="preserve"> Powder</t>
        </is>
      </c>
      <c r="AH1182" s="13" t="n"/>
      <c r="AI1182" s="13" t="n"/>
      <c r="AJ1182" s="13" t="n"/>
      <c r="AK1182" s="42" t="n"/>
    </row>
    <row r="1183">
      <c r="E1183" s="40" t="inlineStr">
        <is>
          <t>21/22</t>
        </is>
      </c>
      <c r="F1183" s="10" t="inlineStr">
        <is>
          <t xml:space="preserve"> Rossignol</t>
        </is>
      </c>
      <c r="G1183" s="11" t="inlineStr">
        <is>
          <t xml:space="preserve"> Blackops Gamer</t>
        </is>
      </c>
      <c r="H1183" s="13" t="n">
        <v>186</v>
      </c>
      <c r="I1183" s="11" t="inlineStr">
        <is>
          <t xml:space="preserve"> Unisex</t>
        </is>
      </c>
      <c r="J1183" s="13" t="n">
        <v>186</v>
      </c>
      <c r="K1183" s="13" t="n">
        <v>184.6</v>
      </c>
      <c r="L1183" s="13" t="n">
        <v>112</v>
      </c>
      <c r="M1183" s="13" t="n">
        <v>157</v>
      </c>
      <c r="N1183" s="13" t="n">
        <v>144</v>
      </c>
      <c r="O1183" s="13" t="n">
        <v>116</v>
      </c>
      <c r="P1183" s="13" t="n">
        <v>139</v>
      </c>
      <c r="Q1183" s="13" t="n">
        <v>21.2</v>
      </c>
      <c r="R1183" s="13" t="n">
        <v>2470</v>
      </c>
      <c r="S1183" s="13" t="n">
        <v>0.9399999999999999</v>
      </c>
      <c r="T1183" s="13" t="n">
        <v>2327</v>
      </c>
      <c r="U1183" s="13" t="n">
        <v>255</v>
      </c>
      <c r="V1183" s="13" t="n">
        <v>127</v>
      </c>
      <c r="W1183" s="13" t="n">
        <v>63</v>
      </c>
      <c r="X1183" s="13" t="n">
        <v>367</v>
      </c>
      <c r="Y1183" s="13" t="n">
        <v>52</v>
      </c>
      <c r="Z1183" s="13" t="n">
        <v>356</v>
      </c>
      <c r="AA1183" s="13" t="n">
        <v>0.824</v>
      </c>
      <c r="AB1183" s="13" t="n">
        <v>147</v>
      </c>
      <c r="AC1183" s="13" t="n">
        <v>127</v>
      </c>
      <c r="AD1183" s="13" t="n">
        <v>220</v>
      </c>
      <c r="AE1183" s="13" t="n">
        <v>5</v>
      </c>
      <c r="AF1183" s="13" t="n">
        <v>2.4</v>
      </c>
      <c r="AG1183" s="11" t="inlineStr">
        <is>
          <t xml:space="preserve"> Freeski</t>
        </is>
      </c>
      <c r="AH1183" s="11" t="inlineStr">
        <is>
          <t xml:space="preserve"> Powder</t>
        </is>
      </c>
      <c r="AI1183" s="13" t="n"/>
      <c r="AJ1183" s="13" t="n"/>
      <c r="AK1183" s="42" t="n"/>
    </row>
    <row r="1184">
      <c r="E1184" s="40" t="inlineStr">
        <is>
          <t>21/22</t>
        </is>
      </c>
      <c r="F1184" s="10" t="inlineStr">
        <is>
          <t xml:space="preserve"> Rossignol</t>
        </is>
      </c>
      <c r="G1184" s="11" t="inlineStr">
        <is>
          <t xml:space="preserve"> Blackops Holyshred</t>
        </is>
      </c>
      <c r="H1184" s="13" t="n">
        <v>162</v>
      </c>
      <c r="I1184" s="11" t="inlineStr">
        <is>
          <t xml:space="preserve"> Unisex</t>
        </is>
      </c>
      <c r="J1184" s="13" t="n">
        <v>162</v>
      </c>
      <c r="K1184" s="13" t="n">
        <v>159.5</v>
      </c>
      <c r="L1184" s="13" t="n">
        <v>112</v>
      </c>
      <c r="M1184" s="13" t="n">
        <v>136</v>
      </c>
      <c r="N1184" s="13" t="n">
        <v>129</v>
      </c>
      <c r="O1184" s="13" t="n">
        <v>97</v>
      </c>
      <c r="P1184" s="13" t="n">
        <v>120</v>
      </c>
      <c r="Q1184" s="13" t="n">
        <v>14.4</v>
      </c>
      <c r="R1184" s="13" t="n">
        <v>1731</v>
      </c>
      <c r="S1184" s="13" t="n">
        <v>1</v>
      </c>
      <c r="T1184" s="13" t="n">
        <v>1723</v>
      </c>
      <c r="U1184" s="13" t="n">
        <v>192</v>
      </c>
      <c r="V1184" s="13" t="n">
        <v>101</v>
      </c>
      <c r="W1184" s="13" t="n">
        <v>53</v>
      </c>
      <c r="X1184" s="13" t="n">
        <v>255</v>
      </c>
      <c r="Y1184" s="13" t="n">
        <v>35</v>
      </c>
      <c r="Z1184" s="13" t="n">
        <v>221</v>
      </c>
      <c r="AA1184" s="13" t="n">
        <v>0.663</v>
      </c>
      <c r="AB1184" s="13" t="n">
        <v>137</v>
      </c>
      <c r="AC1184" s="13" t="n">
        <v>94</v>
      </c>
      <c r="AD1184" s="13" t="n">
        <v>118</v>
      </c>
      <c r="AE1184" s="13" t="n">
        <v>7</v>
      </c>
      <c r="AF1184" s="13" t="n">
        <v>4.1</v>
      </c>
      <c r="AG1184" s="11" t="inlineStr">
        <is>
          <t xml:space="preserve"> Resort Freeride</t>
        </is>
      </c>
      <c r="AH1184" s="13" t="n"/>
      <c r="AI1184" s="13" t="n"/>
      <c r="AJ1184" s="13" t="n"/>
      <c r="AK1184" s="42" t="n"/>
    </row>
    <row r="1185">
      <c r="E1185" s="40" t="inlineStr">
        <is>
          <t>21/22</t>
        </is>
      </c>
      <c r="F1185" s="10" t="inlineStr">
        <is>
          <t xml:space="preserve"> Rossignol</t>
        </is>
      </c>
      <c r="G1185" s="11" t="inlineStr">
        <is>
          <t xml:space="preserve"> Blackops Holyshred</t>
        </is>
      </c>
      <c r="H1185" s="13" t="n">
        <v>172</v>
      </c>
      <c r="I1185" s="11" t="inlineStr">
        <is>
          <t xml:space="preserve"> Unisex</t>
        </is>
      </c>
      <c r="J1185" s="13" t="n">
        <v>172</v>
      </c>
      <c r="K1185" s="13" t="n">
        <v>169.3</v>
      </c>
      <c r="L1185" s="13" t="n">
        <v>121</v>
      </c>
      <c r="M1185" s="13" t="n">
        <v>146</v>
      </c>
      <c r="N1185" s="13" t="n">
        <v>129</v>
      </c>
      <c r="O1185" s="13" t="n">
        <v>97</v>
      </c>
      <c r="P1185" s="13" t="n">
        <v>120</v>
      </c>
      <c r="Q1185" s="13" t="n">
        <v>17</v>
      </c>
      <c r="R1185" s="13" t="n">
        <v>1850</v>
      </c>
      <c r="S1185" s="13" t="n">
        <v>0.99</v>
      </c>
      <c r="T1185" s="13" t="n">
        <v>1826</v>
      </c>
      <c r="U1185" s="13" t="n">
        <v>196</v>
      </c>
      <c r="V1185" s="13" t="n">
        <v>107</v>
      </c>
      <c r="W1185" s="13" t="n">
        <v>57</v>
      </c>
      <c r="X1185" s="13" t="n">
        <v>260</v>
      </c>
      <c r="Y1185" s="13" t="n">
        <v>37</v>
      </c>
      <c r="Z1185" s="13" t="n">
        <v>226</v>
      </c>
      <c r="AA1185" s="13" t="n">
        <v>0.65</v>
      </c>
      <c r="AB1185" s="13" t="n">
        <v>136</v>
      </c>
      <c r="AC1185" s="13" t="n">
        <v>97</v>
      </c>
      <c r="AD1185" s="13" t="n">
        <v>125</v>
      </c>
      <c r="AE1185" s="13" t="n">
        <v>8</v>
      </c>
      <c r="AF1185" s="13" t="n">
        <v>4.3</v>
      </c>
      <c r="AG1185" s="11" t="inlineStr">
        <is>
          <t xml:space="preserve"> Resort Freeride</t>
        </is>
      </c>
      <c r="AH1185" s="13" t="n"/>
      <c r="AI1185" s="13" t="n"/>
      <c r="AJ1185" s="13" t="n"/>
      <c r="AK1185" s="42" t="n"/>
    </row>
    <row r="1186">
      <c r="E1186" s="40" t="inlineStr">
        <is>
          <t>21/22</t>
        </is>
      </c>
      <c r="F1186" s="10" t="inlineStr">
        <is>
          <t xml:space="preserve"> Rossignol</t>
        </is>
      </c>
      <c r="G1186" s="11" t="inlineStr">
        <is>
          <t xml:space="preserve"> Blackops Holyshred</t>
        </is>
      </c>
      <c r="H1186" s="13" t="n">
        <v>182</v>
      </c>
      <c r="I1186" s="11" t="inlineStr">
        <is>
          <t xml:space="preserve"> Unisex</t>
        </is>
      </c>
      <c r="J1186" s="13" t="n">
        <v>182</v>
      </c>
      <c r="K1186" s="13" t="n">
        <v>179.6</v>
      </c>
      <c r="L1186" s="13" t="n">
        <v>132</v>
      </c>
      <c r="M1186" s="13" t="n">
        <v>156</v>
      </c>
      <c r="N1186" s="13" t="n">
        <v>129</v>
      </c>
      <c r="O1186" s="13" t="n">
        <v>97</v>
      </c>
      <c r="P1186" s="13" t="n">
        <v>120</v>
      </c>
      <c r="Q1186" s="13" t="n">
        <v>19.7</v>
      </c>
      <c r="R1186" s="13" t="n">
        <v>2021</v>
      </c>
      <c r="S1186" s="13" t="n">
        <v>0.96</v>
      </c>
      <c r="T1186" s="13" t="n">
        <v>1938</v>
      </c>
      <c r="U1186" s="13" t="n">
        <v>238</v>
      </c>
      <c r="V1186" s="13" t="n">
        <v>123</v>
      </c>
      <c r="W1186" s="13" t="n">
        <v>52</v>
      </c>
      <c r="X1186" s="13" t="n">
        <v>255</v>
      </c>
      <c r="Y1186" s="13" t="n">
        <v>35</v>
      </c>
      <c r="Z1186" s="13" t="n">
        <v>222</v>
      </c>
      <c r="AA1186" s="13" t="n">
        <v>0.667</v>
      </c>
      <c r="AB1186" s="13" t="n">
        <v>137</v>
      </c>
      <c r="AC1186" s="13" t="n">
        <v>99</v>
      </c>
      <c r="AD1186" s="13" t="n">
        <v>118</v>
      </c>
      <c r="AE1186" s="13" t="n">
        <v>9</v>
      </c>
      <c r="AF1186" s="13" t="n">
        <v>4.4</v>
      </c>
      <c r="AG1186" s="11" t="inlineStr">
        <is>
          <t xml:space="preserve"> Resort Freeride</t>
        </is>
      </c>
      <c r="AH1186" s="13" t="n"/>
      <c r="AI1186" s="13" t="n"/>
      <c r="AJ1186" s="13" t="n"/>
      <c r="AK1186" s="42" t="n"/>
    </row>
    <row r="1187">
      <c r="E1187" s="40" t="inlineStr">
        <is>
          <t>21/22</t>
        </is>
      </c>
      <c r="F1187" s="10" t="inlineStr">
        <is>
          <t xml:space="preserve"> Rossignol</t>
        </is>
      </c>
      <c r="G1187" s="11" t="inlineStr">
        <is>
          <t xml:space="preserve"> Blackops Rallybird Ti W</t>
        </is>
      </c>
      <c r="H1187" s="13" t="n">
        <v>163</v>
      </c>
      <c r="I1187" s="11" t="inlineStr">
        <is>
          <t xml:space="preserve"> Women's</t>
        </is>
      </c>
      <c r="J1187" s="13" t="n">
        <v>163</v>
      </c>
      <c r="K1187" s="13" t="n">
        <v>162.7</v>
      </c>
      <c r="L1187" s="13" t="n">
        <v>107</v>
      </c>
      <c r="M1187" s="13" t="n">
        <v>136</v>
      </c>
      <c r="N1187" s="13" t="n">
        <v>136</v>
      </c>
      <c r="O1187" s="13" t="n">
        <v>100</v>
      </c>
      <c r="P1187" s="13" t="n">
        <v>127</v>
      </c>
      <c r="Q1187" s="13" t="n">
        <v>13</v>
      </c>
      <c r="R1187" s="13" t="n">
        <v>1742</v>
      </c>
      <c r="S1187" s="13" t="n">
        <v>1.06</v>
      </c>
      <c r="T1187" s="13" t="n">
        <v>1841</v>
      </c>
      <c r="U1187" s="13" t="n">
        <v>190</v>
      </c>
      <c r="V1187" s="13" t="n">
        <v>98</v>
      </c>
      <c r="W1187" s="13" t="n">
        <v>50</v>
      </c>
      <c r="X1187" s="13" t="n">
        <v>304</v>
      </c>
      <c r="Y1187" s="13" t="n">
        <v>16</v>
      </c>
      <c r="Z1187" s="13" t="n">
        <v>251</v>
      </c>
      <c r="AA1187" s="13" t="n">
        <v>0.322</v>
      </c>
      <c r="AB1187" s="13" t="n">
        <v>157</v>
      </c>
      <c r="AC1187" s="13" t="n">
        <v>108</v>
      </c>
      <c r="AD1187" s="13" t="n">
        <v>147</v>
      </c>
      <c r="AE1187" s="13" t="n">
        <v>3</v>
      </c>
      <c r="AF1187" s="13" t="n">
        <v>6.3</v>
      </c>
      <c r="AG1187" s="11" t="inlineStr">
        <is>
          <t xml:space="preserve"> Resort Freeride</t>
        </is>
      </c>
      <c r="AH1187" s="11" t="inlineStr">
        <is>
          <t xml:space="preserve"> Big Mountain</t>
        </is>
      </c>
      <c r="AI1187" s="11" t="inlineStr">
        <is>
          <t xml:space="preserve"> Touring</t>
        </is>
      </c>
      <c r="AJ1187" s="13" t="n"/>
      <c r="AK1187" s="42" t="n"/>
    </row>
    <row r="1188">
      <c r="E1188" s="40" t="inlineStr">
        <is>
          <t>21/22</t>
        </is>
      </c>
      <c r="F1188" s="10" t="inlineStr">
        <is>
          <t xml:space="preserve"> Rossignol</t>
        </is>
      </c>
      <c r="G1188" s="11" t="inlineStr">
        <is>
          <t xml:space="preserve"> Blackops Rallybird Ti W</t>
        </is>
      </c>
      <c r="H1188" s="13" t="n">
        <v>171</v>
      </c>
      <c r="I1188" s="11" t="inlineStr">
        <is>
          <t xml:space="preserve"> Women's</t>
        </is>
      </c>
      <c r="J1188" s="13" t="n">
        <v>171</v>
      </c>
      <c r="K1188" s="13" t="n">
        <v>170.6</v>
      </c>
      <c r="L1188" s="13" t="n">
        <v>117</v>
      </c>
      <c r="M1188" s="13" t="n">
        <v>146</v>
      </c>
      <c r="N1188" s="13" t="n">
        <v>137</v>
      </c>
      <c r="O1188" s="13" t="n">
        <v>101</v>
      </c>
      <c r="P1188" s="13" t="n">
        <v>127</v>
      </c>
      <c r="Q1188" s="13" t="n">
        <v>15.3</v>
      </c>
      <c r="R1188" s="13" t="n">
        <v>1829</v>
      </c>
      <c r="S1188" s="13" t="n">
        <v>1.06</v>
      </c>
      <c r="T1188" s="13" t="n">
        <v>1938</v>
      </c>
      <c r="U1188" s="13" t="n">
        <v>232</v>
      </c>
      <c r="V1188" s="13" t="n">
        <v>94</v>
      </c>
      <c r="W1188" s="13" t="n">
        <v>47</v>
      </c>
      <c r="X1188" s="13" t="n">
        <v>300</v>
      </c>
      <c r="Y1188" s="13" t="n">
        <v>14</v>
      </c>
      <c r="Z1188" s="13" t="n">
        <v>233</v>
      </c>
      <c r="AA1188" s="13" t="n">
        <v>0.307</v>
      </c>
      <c r="AB1188" s="13" t="n">
        <v>151</v>
      </c>
      <c r="AC1188" s="13" t="n">
        <v>99</v>
      </c>
      <c r="AD1188" s="13" t="n">
        <v>149</v>
      </c>
      <c r="AE1188" s="13" t="n">
        <v>4</v>
      </c>
      <c r="AF1188" s="13" t="n">
        <v>6.9</v>
      </c>
      <c r="AG1188" s="11" t="inlineStr">
        <is>
          <t xml:space="preserve"> Resort Freeride</t>
        </is>
      </c>
      <c r="AH1188" s="11" t="inlineStr">
        <is>
          <t xml:space="preserve"> Big Mountain</t>
        </is>
      </c>
      <c r="AI1188" s="11" t="inlineStr">
        <is>
          <t xml:space="preserve"> Touring</t>
        </is>
      </c>
      <c r="AJ1188" s="13" t="n"/>
      <c r="AK1188" s="42" t="n"/>
    </row>
    <row r="1189">
      <c r="E1189" s="40" t="inlineStr">
        <is>
          <t>21/22</t>
        </is>
      </c>
      <c r="F1189" s="10" t="inlineStr">
        <is>
          <t xml:space="preserve"> Rossignol</t>
        </is>
      </c>
      <c r="G1189" s="11" t="inlineStr">
        <is>
          <t xml:space="preserve"> Blackops Rallybird W</t>
        </is>
      </c>
      <c r="H1189" s="13" t="n">
        <v>154</v>
      </c>
      <c r="I1189" s="11" t="inlineStr">
        <is>
          <t xml:space="preserve"> Women's</t>
        </is>
      </c>
      <c r="J1189" s="13" t="n">
        <v>154</v>
      </c>
      <c r="K1189" s="13" t="n">
        <v>154.4</v>
      </c>
      <c r="L1189" s="13" t="n">
        <v>100</v>
      </c>
      <c r="M1189" s="13" t="n">
        <v>129</v>
      </c>
      <c r="N1189" s="13" t="n">
        <v>136</v>
      </c>
      <c r="O1189" s="13" t="n">
        <v>99</v>
      </c>
      <c r="P1189" s="13" t="n">
        <v>127</v>
      </c>
      <c r="Q1189" s="13" t="n">
        <v>11.1</v>
      </c>
      <c r="R1189" s="13" t="n">
        <v>1623</v>
      </c>
      <c r="S1189" s="13" t="n">
        <v>1.07</v>
      </c>
      <c r="T1189" s="13" t="n">
        <v>1736</v>
      </c>
      <c r="U1189" s="13" t="n">
        <v>205</v>
      </c>
      <c r="V1189" s="13" t="n">
        <v>81</v>
      </c>
      <c r="W1189" s="13" t="n">
        <v>49</v>
      </c>
      <c r="X1189" s="13" t="n">
        <v>304</v>
      </c>
      <c r="Y1189" s="13" t="n">
        <v>14</v>
      </c>
      <c r="Z1189" s="13" t="n">
        <v>237</v>
      </c>
      <c r="AA1189" s="13" t="n">
        <v>0.275</v>
      </c>
      <c r="AB1189" s="13" t="n">
        <v>147</v>
      </c>
      <c r="AC1189" s="13" t="n">
        <v>106</v>
      </c>
      <c r="AD1189" s="13" t="n">
        <v>157</v>
      </c>
      <c r="AE1189" s="13" t="n">
        <v>3</v>
      </c>
      <c r="AF1189" s="13" t="n">
        <v>6</v>
      </c>
      <c r="AG1189" s="11" t="inlineStr">
        <is>
          <t xml:space="preserve"> Resort Freeride</t>
        </is>
      </c>
      <c r="AH1189" s="11" t="inlineStr">
        <is>
          <t xml:space="preserve"> Touring</t>
        </is>
      </c>
      <c r="AI1189" s="13" t="n"/>
      <c r="AJ1189" s="13" t="n"/>
      <c r="AK1189" s="42" t="n"/>
    </row>
    <row r="1190">
      <c r="E1190" s="40" t="inlineStr">
        <is>
          <t>21/22</t>
        </is>
      </c>
      <c r="F1190" s="10" t="inlineStr">
        <is>
          <t xml:space="preserve"> Rossignol</t>
        </is>
      </c>
      <c r="G1190" s="11" t="inlineStr">
        <is>
          <t xml:space="preserve"> Blackops Rallybird W</t>
        </is>
      </c>
      <c r="H1190" s="13" t="n">
        <v>162</v>
      </c>
      <c r="I1190" s="11" t="inlineStr">
        <is>
          <t xml:space="preserve"> Women's</t>
        </is>
      </c>
      <c r="J1190" s="13" t="n">
        <v>162</v>
      </c>
      <c r="K1190" s="13" t="n">
        <v>162.7</v>
      </c>
      <c r="L1190" s="13" t="n">
        <v>111</v>
      </c>
      <c r="M1190" s="13" t="n">
        <v>136</v>
      </c>
      <c r="N1190" s="13" t="n">
        <v>136</v>
      </c>
      <c r="O1190" s="13" t="n">
        <v>100</v>
      </c>
      <c r="P1190" s="13" t="n">
        <v>127</v>
      </c>
      <c r="Q1190" s="13" t="n">
        <v>13</v>
      </c>
      <c r="R1190" s="13" t="n">
        <v>1690</v>
      </c>
      <c r="S1190" s="13" t="n">
        <v>1.09</v>
      </c>
      <c r="T1190" s="13" t="n">
        <v>1839</v>
      </c>
      <c r="U1190" s="13" t="n">
        <v>200</v>
      </c>
      <c r="V1190" s="13" t="n">
        <v>97</v>
      </c>
      <c r="W1190" s="13" t="n">
        <v>48</v>
      </c>
      <c r="X1190" s="13" t="n">
        <v>297</v>
      </c>
      <c r="Y1190" s="13" t="n">
        <v>14</v>
      </c>
      <c r="Z1190" s="13" t="n">
        <v>223</v>
      </c>
      <c r="AA1190" s="13" t="n">
        <v>0.29</v>
      </c>
      <c r="AB1190" s="13" t="n">
        <v>161</v>
      </c>
      <c r="AC1190" s="13" t="n">
        <v>107</v>
      </c>
      <c r="AD1190" s="13" t="n">
        <v>136</v>
      </c>
      <c r="AE1190" s="13" t="n">
        <v>5</v>
      </c>
      <c r="AF1190" s="13" t="n">
        <v>6.3</v>
      </c>
      <c r="AG1190" s="11" t="inlineStr">
        <is>
          <t xml:space="preserve"> Resort Freeride</t>
        </is>
      </c>
      <c r="AH1190" s="11" t="inlineStr">
        <is>
          <t xml:space="preserve"> Big Mountain</t>
        </is>
      </c>
      <c r="AI1190" s="11" t="inlineStr">
        <is>
          <t xml:space="preserve"> Touring</t>
        </is>
      </c>
      <c r="AJ1190" s="13" t="n"/>
      <c r="AK1190" s="42" t="n"/>
    </row>
    <row r="1191">
      <c r="E1191" s="40" t="inlineStr">
        <is>
          <t>21/22</t>
        </is>
      </c>
      <c r="F1191" s="10" t="inlineStr">
        <is>
          <t xml:space="preserve"> Rossignol</t>
        </is>
      </c>
      <c r="G1191" s="11" t="inlineStr">
        <is>
          <t xml:space="preserve"> Blackops Sender</t>
        </is>
      </c>
      <c r="H1191" s="13" t="n">
        <v>164</v>
      </c>
      <c r="I1191" s="11" t="inlineStr">
        <is>
          <t xml:space="preserve"> Unisex</t>
        </is>
      </c>
      <c r="J1191" s="13" t="n">
        <v>164</v>
      </c>
      <c r="K1191" s="13" t="n">
        <v>162.6</v>
      </c>
      <c r="L1191" s="13" t="n">
        <v>113</v>
      </c>
      <c r="M1191" s="13" t="n">
        <v>137</v>
      </c>
      <c r="N1191" s="13" t="n">
        <v>137</v>
      </c>
      <c r="O1191" s="13" t="n">
        <v>100</v>
      </c>
      <c r="P1191" s="13" t="n">
        <v>127</v>
      </c>
      <c r="Q1191" s="13" t="n">
        <v>12.9</v>
      </c>
      <c r="R1191" s="13" t="n">
        <v>1700</v>
      </c>
      <c r="S1191" s="13" t="n">
        <v>1.08</v>
      </c>
      <c r="T1191" s="13" t="n">
        <v>1839</v>
      </c>
      <c r="U1191" s="13" t="n">
        <v>201</v>
      </c>
      <c r="V1191" s="13" t="n">
        <v>91</v>
      </c>
      <c r="W1191" s="13" t="n">
        <v>48</v>
      </c>
      <c r="X1191" s="13" t="n">
        <v>291</v>
      </c>
      <c r="Y1191" s="13" t="n">
        <v>13</v>
      </c>
      <c r="Z1191" s="13" t="n">
        <v>207</v>
      </c>
      <c r="AA1191" s="13" t="n">
        <v>0.282</v>
      </c>
      <c r="AB1191" s="13" t="n">
        <v>143</v>
      </c>
      <c r="AC1191" s="13" t="n">
        <v>113</v>
      </c>
      <c r="AD1191" s="13" t="n">
        <v>148</v>
      </c>
      <c r="AE1191" s="13" t="n">
        <v>6</v>
      </c>
      <c r="AF1191" s="13" t="n">
        <v>5.9</v>
      </c>
      <c r="AG1191" s="11" t="inlineStr">
        <is>
          <t xml:space="preserve"> Resort Freeride</t>
        </is>
      </c>
      <c r="AH1191" s="11" t="inlineStr">
        <is>
          <t xml:space="preserve"> Big Mountain</t>
        </is>
      </c>
      <c r="AI1191" s="11" t="inlineStr">
        <is>
          <t xml:space="preserve"> Touring</t>
        </is>
      </c>
      <c r="AJ1191" s="13" t="n"/>
      <c r="AK1191" s="42" t="n"/>
    </row>
    <row r="1192">
      <c r="E1192" s="40" t="inlineStr">
        <is>
          <t>21/22</t>
        </is>
      </c>
      <c r="F1192" s="10" t="inlineStr">
        <is>
          <t xml:space="preserve"> Rossignol</t>
        </is>
      </c>
      <c r="G1192" s="11" t="inlineStr">
        <is>
          <t xml:space="preserve"> Blackops Sender</t>
        </is>
      </c>
      <c r="H1192" s="13" t="n">
        <v>172</v>
      </c>
      <c r="I1192" s="11" t="inlineStr">
        <is>
          <t xml:space="preserve"> Unisex</t>
        </is>
      </c>
      <c r="J1192" s="13" t="n">
        <v>172</v>
      </c>
      <c r="K1192" s="13" t="n">
        <v>170.6</v>
      </c>
      <c r="L1192" s="13" t="n">
        <v>121</v>
      </c>
      <c r="M1192" s="13" t="n">
        <v>145</v>
      </c>
      <c r="N1192" s="13" t="n">
        <v>136</v>
      </c>
      <c r="O1192" s="13" t="n">
        <v>101</v>
      </c>
      <c r="P1192" s="13" t="n">
        <v>127</v>
      </c>
      <c r="Q1192" s="13" t="n">
        <v>15.4</v>
      </c>
      <c r="R1192" s="13" t="n">
        <v>1793</v>
      </c>
      <c r="S1192" s="13" t="n">
        <v>1.08</v>
      </c>
      <c r="T1192" s="13" t="n">
        <v>1935</v>
      </c>
      <c r="U1192" s="13" t="n">
        <v>212</v>
      </c>
      <c r="V1192" s="13" t="n">
        <v>94</v>
      </c>
      <c r="W1192" s="13" t="n">
        <v>48</v>
      </c>
      <c r="X1192" s="13" t="n">
        <v>298</v>
      </c>
      <c r="Y1192" s="13" t="n">
        <v>12</v>
      </c>
      <c r="Z1192" s="13" t="n">
        <v>197</v>
      </c>
      <c r="AA1192" s="13" t="n">
        <v>0.251</v>
      </c>
      <c r="AB1192" s="13" t="n">
        <v>146</v>
      </c>
      <c r="AC1192" s="13" t="n">
        <v>109</v>
      </c>
      <c r="AD1192" s="13" t="n">
        <v>153</v>
      </c>
      <c r="AE1192" s="13" t="n">
        <v>6</v>
      </c>
      <c r="AF1192" s="13" t="n">
        <v>6.5</v>
      </c>
      <c r="AG1192" s="11" t="inlineStr">
        <is>
          <t xml:space="preserve"> Resort Freeride</t>
        </is>
      </c>
      <c r="AH1192" s="11" t="inlineStr">
        <is>
          <t xml:space="preserve"> Big Mountain</t>
        </is>
      </c>
      <c r="AI1192" s="11" t="inlineStr">
        <is>
          <t xml:space="preserve"> Touring</t>
        </is>
      </c>
      <c r="AJ1192" s="13" t="n"/>
      <c r="AK1192" s="42" t="n"/>
    </row>
    <row r="1193">
      <c r="E1193" s="40" t="inlineStr">
        <is>
          <t>21/22</t>
        </is>
      </c>
      <c r="F1193" s="10" t="inlineStr">
        <is>
          <t xml:space="preserve"> Rossignol</t>
        </is>
      </c>
      <c r="G1193" s="11" t="inlineStr">
        <is>
          <t xml:space="preserve"> Blackops Sender</t>
        </is>
      </c>
      <c r="H1193" s="13" t="n">
        <v>178</v>
      </c>
      <c r="I1193" s="11" t="inlineStr">
        <is>
          <t xml:space="preserve"> Unisex</t>
        </is>
      </c>
      <c r="J1193" s="13" t="n">
        <v>178</v>
      </c>
      <c r="K1193" s="13" t="n">
        <v>178.3</v>
      </c>
      <c r="L1193" s="13" t="n">
        <v>128</v>
      </c>
      <c r="M1193" s="13" t="n">
        <v>152</v>
      </c>
      <c r="N1193" s="13" t="n">
        <v>137</v>
      </c>
      <c r="O1193" s="13" t="n">
        <v>103</v>
      </c>
      <c r="P1193" s="13" t="n">
        <v>127</v>
      </c>
      <c r="Q1193" s="13" t="n">
        <v>18</v>
      </c>
      <c r="R1193" s="13" t="n">
        <v>1950</v>
      </c>
      <c r="S1193" s="13" t="n">
        <v>1.05</v>
      </c>
      <c r="T1193" s="13" t="n">
        <v>2041</v>
      </c>
      <c r="U1193" s="13" t="n">
        <v>246</v>
      </c>
      <c r="V1193" s="13" t="n">
        <v>109</v>
      </c>
      <c r="W1193" s="13" t="n">
        <v>51</v>
      </c>
      <c r="X1193" s="13" t="n">
        <v>304</v>
      </c>
      <c r="Y1193" s="13" t="n">
        <v>12</v>
      </c>
      <c r="Z1193" s="13" t="n">
        <v>203</v>
      </c>
      <c r="AA1193" s="13" t="n">
        <v>0.236</v>
      </c>
      <c r="AB1193" s="13" t="n">
        <v>153</v>
      </c>
      <c r="AC1193" s="13" t="n">
        <v>112</v>
      </c>
      <c r="AD1193" s="13" t="n">
        <v>152</v>
      </c>
      <c r="AE1193" s="13" t="n">
        <v>6</v>
      </c>
      <c r="AF1193" s="13" t="n">
        <v>7.2</v>
      </c>
      <c r="AG1193" s="11" t="inlineStr">
        <is>
          <t xml:space="preserve"> Resort Freeride</t>
        </is>
      </c>
      <c r="AH1193" s="11" t="inlineStr">
        <is>
          <t xml:space="preserve"> Big Mountain</t>
        </is>
      </c>
      <c r="AI1193" s="13" t="n"/>
      <c r="AJ1193" s="13" t="n"/>
      <c r="AK1193" s="42" t="n"/>
    </row>
    <row r="1194">
      <c r="E1194" s="40" t="inlineStr">
        <is>
          <t>21/22</t>
        </is>
      </c>
      <c r="F1194" s="10" t="inlineStr">
        <is>
          <t xml:space="preserve"> Rossignol</t>
        </is>
      </c>
      <c r="G1194" s="11" t="inlineStr">
        <is>
          <t xml:space="preserve"> Blackops Sender</t>
        </is>
      </c>
      <c r="H1194" s="13" t="n">
        <v>186</v>
      </c>
      <c r="I1194" s="11" t="inlineStr">
        <is>
          <t xml:space="preserve"> Unisex</t>
        </is>
      </c>
      <c r="J1194" s="13" t="n">
        <v>186</v>
      </c>
      <c r="K1194" s="13" t="n">
        <v>186.4</v>
      </c>
      <c r="L1194" s="13" t="n">
        <v>138</v>
      </c>
      <c r="M1194" s="13" t="n">
        <v>159</v>
      </c>
      <c r="N1194" s="13" t="n">
        <v>137</v>
      </c>
      <c r="O1194" s="13" t="n">
        <v>104</v>
      </c>
      <c r="P1194" s="13" t="n">
        <v>127</v>
      </c>
      <c r="Q1194" s="13" t="n">
        <v>20.9</v>
      </c>
      <c r="R1194" s="13" t="n">
        <v>2060</v>
      </c>
      <c r="S1194" s="13" t="n">
        <v>1.04</v>
      </c>
      <c r="T1194" s="13" t="n">
        <v>2141</v>
      </c>
      <c r="U1194" s="13" t="n">
        <v>287</v>
      </c>
      <c r="V1194" s="13" t="n">
        <v>138</v>
      </c>
      <c r="W1194" s="13" t="n">
        <v>50</v>
      </c>
      <c r="X1194" s="13" t="n">
        <v>301</v>
      </c>
      <c r="Y1194" s="13" t="n">
        <v>12</v>
      </c>
      <c r="Z1194" s="13" t="n">
        <v>182</v>
      </c>
      <c r="AA1194" s="13" t="n">
        <v>0.228</v>
      </c>
      <c r="AB1194" s="13" t="n">
        <v>163</v>
      </c>
      <c r="AC1194" s="13" t="n">
        <v>107</v>
      </c>
      <c r="AD1194" s="13" t="n">
        <v>138</v>
      </c>
      <c r="AE1194" s="13" t="n">
        <v>6</v>
      </c>
      <c r="AF1194" s="13" t="n">
        <v>7.5</v>
      </c>
      <c r="AG1194" s="11" t="inlineStr">
        <is>
          <t xml:space="preserve"> Resort Freeride</t>
        </is>
      </c>
      <c r="AH1194" s="11" t="inlineStr">
        <is>
          <t xml:space="preserve"> Big Mountain</t>
        </is>
      </c>
      <c r="AI1194" s="13" t="n"/>
      <c r="AJ1194" s="13" t="n"/>
      <c r="AK1194" s="42" t="n"/>
    </row>
    <row r="1195">
      <c r="E1195" s="40" t="inlineStr">
        <is>
          <t>21/22</t>
        </is>
      </c>
      <c r="F1195" s="10" t="inlineStr">
        <is>
          <t xml:space="preserve"> Rossignol</t>
        </is>
      </c>
      <c r="G1195" s="11" t="inlineStr">
        <is>
          <t xml:space="preserve"> Blackops Sender Ti</t>
        </is>
      </c>
      <c r="H1195" s="13" t="n">
        <v>180</v>
      </c>
      <c r="I1195" s="11" t="inlineStr">
        <is>
          <t xml:space="preserve"> Unisex</t>
        </is>
      </c>
      <c r="J1195" s="13" t="n">
        <v>180</v>
      </c>
      <c r="K1195" s="13" t="n">
        <v>178.2</v>
      </c>
      <c r="L1195" s="13" t="n">
        <v>136</v>
      </c>
      <c r="M1195" s="13" t="n">
        <v>153</v>
      </c>
      <c r="N1195" s="13" t="n">
        <v>137</v>
      </c>
      <c r="O1195" s="13" t="n">
        <v>103</v>
      </c>
      <c r="P1195" s="13" t="n">
        <v>127</v>
      </c>
      <c r="Q1195" s="13" t="n">
        <v>18.1</v>
      </c>
      <c r="R1195" s="13" t="n">
        <v>2054</v>
      </c>
      <c r="S1195" s="13" t="n">
        <v>0.99</v>
      </c>
      <c r="T1195" s="13" t="n">
        <v>2039</v>
      </c>
      <c r="U1195" s="13" t="n">
        <v>227</v>
      </c>
      <c r="V1195" s="13" t="n">
        <v>101</v>
      </c>
      <c r="W1195" s="13" t="n">
        <v>49</v>
      </c>
      <c r="X1195" s="13" t="n">
        <v>298</v>
      </c>
      <c r="Y1195" s="13" t="n">
        <v>10</v>
      </c>
      <c r="Z1195" s="13" t="n">
        <v>129</v>
      </c>
      <c r="AA1195" s="13" t="n">
        <v>0.207</v>
      </c>
      <c r="AB1195" s="13" t="n">
        <v>144</v>
      </c>
      <c r="AC1195" s="13" t="n">
        <v>110</v>
      </c>
      <c r="AD1195" s="13" t="n">
        <v>154</v>
      </c>
      <c r="AE1195" s="13" t="n">
        <v>7</v>
      </c>
      <c r="AF1195" s="13" t="n">
        <v>7.1</v>
      </c>
      <c r="AG1195" s="11" t="inlineStr">
        <is>
          <t xml:space="preserve"> Resort Freeride</t>
        </is>
      </c>
      <c r="AH1195" s="11" t="inlineStr">
        <is>
          <t xml:space="preserve"> Big Mountain</t>
        </is>
      </c>
      <c r="AI1195" s="13" t="n"/>
      <c r="AJ1195" s="13" t="n"/>
      <c r="AK1195" s="42" t="n"/>
    </row>
    <row r="1196">
      <c r="E1196" s="40" t="inlineStr">
        <is>
          <t>21/22</t>
        </is>
      </c>
      <c r="F1196" s="10" t="inlineStr">
        <is>
          <t xml:space="preserve"> Rossignol</t>
        </is>
      </c>
      <c r="G1196" s="11" t="inlineStr">
        <is>
          <t xml:space="preserve"> Blackops Sender Ti</t>
        </is>
      </c>
      <c r="H1196" s="13" t="n">
        <v>187</v>
      </c>
      <c r="I1196" s="11" t="inlineStr">
        <is>
          <t xml:space="preserve"> Unisex</t>
        </is>
      </c>
      <c r="J1196" s="13" t="n">
        <v>187</v>
      </c>
      <c r="K1196" s="13" t="n">
        <v>186.4</v>
      </c>
      <c r="L1196" s="13" t="n">
        <v>136</v>
      </c>
      <c r="M1196" s="13" t="n">
        <v>160</v>
      </c>
      <c r="N1196" s="13" t="n">
        <v>137</v>
      </c>
      <c r="O1196" s="13" t="n">
        <v>104</v>
      </c>
      <c r="P1196" s="13" t="n">
        <v>127</v>
      </c>
      <c r="Q1196" s="13" t="n">
        <v>20.9</v>
      </c>
      <c r="R1196" s="13" t="n">
        <v>2157</v>
      </c>
      <c r="S1196" s="13" t="n">
        <v>0.99</v>
      </c>
      <c r="T1196" s="13" t="n">
        <v>2140</v>
      </c>
      <c r="U1196" s="13" t="n">
        <v>258</v>
      </c>
      <c r="V1196" s="13" t="n">
        <v>112</v>
      </c>
      <c r="W1196" s="13" t="n">
        <v>48</v>
      </c>
      <c r="X1196" s="13" t="n">
        <v>295</v>
      </c>
      <c r="Y1196" s="13" t="n">
        <v>13</v>
      </c>
      <c r="Z1196" s="13" t="n">
        <v>206</v>
      </c>
      <c r="AA1196" s="13" t="n">
        <v>0.268</v>
      </c>
      <c r="AB1196" s="13" t="n">
        <v>156</v>
      </c>
      <c r="AC1196" s="13" t="n">
        <v>107</v>
      </c>
      <c r="AD1196" s="13" t="n">
        <v>139</v>
      </c>
      <c r="AE1196" s="13" t="n">
        <v>6</v>
      </c>
      <c r="AF1196" s="13" t="n">
        <v>7.5</v>
      </c>
      <c r="AG1196" s="11" t="inlineStr">
        <is>
          <t xml:space="preserve"> Resort Freeride</t>
        </is>
      </c>
      <c r="AH1196" s="11" t="inlineStr">
        <is>
          <t xml:space="preserve"> Big Mountain</t>
        </is>
      </c>
      <c r="AI1196" s="13" t="n"/>
      <c r="AJ1196" s="13" t="n"/>
      <c r="AK1196" s="42" t="n"/>
    </row>
    <row r="1197">
      <c r="E1197" s="40" t="inlineStr">
        <is>
          <t>21/22</t>
        </is>
      </c>
      <c r="F1197" s="10" t="inlineStr">
        <is>
          <t xml:space="preserve"> Rossignol</t>
        </is>
      </c>
      <c r="G1197" s="11" t="inlineStr">
        <is>
          <t xml:space="preserve"> Blackops Sender Ti</t>
        </is>
      </c>
      <c r="H1197" s="13" t="n">
        <v>194</v>
      </c>
      <c r="I1197" s="11" t="inlineStr">
        <is>
          <t xml:space="preserve"> Unisex</t>
        </is>
      </c>
      <c r="J1197" s="13" t="n">
        <v>194</v>
      </c>
      <c r="K1197" s="13" t="n">
        <v>193.9</v>
      </c>
      <c r="L1197" s="13" t="n">
        <v>145</v>
      </c>
      <c r="M1197" s="13" t="n">
        <v>167</v>
      </c>
      <c r="N1197" s="13" t="n">
        <v>136</v>
      </c>
      <c r="O1197" s="13" t="n">
        <v>105</v>
      </c>
      <c r="P1197" s="13" t="n">
        <v>127</v>
      </c>
      <c r="Q1197" s="13" t="n">
        <v>23.9</v>
      </c>
      <c r="R1197" s="13" t="n">
        <v>2286</v>
      </c>
      <c r="S1197" s="13" t="n">
        <v>0.98</v>
      </c>
      <c r="T1197" s="13" t="n">
        <v>2231</v>
      </c>
      <c r="U1197" s="13" t="n">
        <v>293</v>
      </c>
      <c r="V1197" s="13" t="n">
        <v>126</v>
      </c>
      <c r="W1197" s="13" t="n">
        <v>51</v>
      </c>
      <c r="X1197" s="13" t="n">
        <v>304</v>
      </c>
      <c r="Y1197" s="13" t="n">
        <v>12</v>
      </c>
      <c r="Z1197" s="13" t="n">
        <v>185</v>
      </c>
      <c r="AA1197" s="13" t="n">
        <v>0.226</v>
      </c>
      <c r="AB1197" s="13" t="n">
        <v>161</v>
      </c>
      <c r="AC1197" s="13" t="n">
        <v>104</v>
      </c>
      <c r="AD1197" s="13" t="n">
        <v>142</v>
      </c>
      <c r="AE1197" s="13" t="n">
        <v>7</v>
      </c>
      <c r="AF1197" s="13" t="n">
        <v>7.9</v>
      </c>
      <c r="AG1197" s="11" t="inlineStr">
        <is>
          <t xml:space="preserve"> Resort Freeride</t>
        </is>
      </c>
      <c r="AH1197" s="11" t="inlineStr">
        <is>
          <t xml:space="preserve"> Big Mountain</t>
        </is>
      </c>
      <c r="AI1197" s="13" t="n"/>
      <c r="AJ1197" s="13" t="n"/>
      <c r="AK1197" s="42" t="n"/>
    </row>
    <row r="1198">
      <c r="E1198" s="40" t="inlineStr">
        <is>
          <t>21/22</t>
        </is>
      </c>
      <c r="F1198" s="10" t="inlineStr">
        <is>
          <t xml:space="preserve"> Rossignol</t>
        </is>
      </c>
      <c r="G1198" s="11" t="inlineStr">
        <is>
          <t xml:space="preserve"> Blackops Smasher</t>
        </is>
      </c>
      <c r="H1198" s="13" t="n">
        <v>140</v>
      </c>
      <c r="I1198" s="11" t="inlineStr">
        <is>
          <t xml:space="preserve"> Unisex</t>
        </is>
      </c>
      <c r="J1198" s="13" t="n">
        <v>140</v>
      </c>
      <c r="K1198" s="13" t="n">
        <v>138.6</v>
      </c>
      <c r="L1198" s="13" t="n">
        <v>91</v>
      </c>
      <c r="M1198" s="13" t="n">
        <v>116</v>
      </c>
      <c r="N1198" s="13" t="n">
        <v>117</v>
      </c>
      <c r="O1198" s="13" t="n">
        <v>89</v>
      </c>
      <c r="P1198" s="13" t="n">
        <v>107</v>
      </c>
      <c r="Q1198" s="13" t="n">
        <v>13.4</v>
      </c>
      <c r="R1198" s="13" t="n">
        <v>1345</v>
      </c>
      <c r="S1198" s="13" t="n">
        <v>1.01</v>
      </c>
      <c r="T1198" s="13" t="n">
        <v>1352</v>
      </c>
      <c r="U1198" s="13" t="n">
        <v>146</v>
      </c>
      <c r="V1198" s="13" t="n">
        <v>55</v>
      </c>
      <c r="W1198" s="13" t="n">
        <v>49</v>
      </c>
      <c r="X1198" s="13" t="n">
        <v>258</v>
      </c>
      <c r="Y1198" s="13" t="n">
        <v>32</v>
      </c>
      <c r="Z1198" s="13" t="n">
        <v>220</v>
      </c>
      <c r="AA1198" s="13" t="n">
        <v>0.647</v>
      </c>
      <c r="AB1198" s="13" t="n">
        <v>119</v>
      </c>
      <c r="AC1198" s="13" t="n">
        <v>111</v>
      </c>
      <c r="AD1198" s="13" t="n">
        <v>139</v>
      </c>
      <c r="AE1198" s="13" t="n">
        <v>6</v>
      </c>
      <c r="AF1198" s="13" t="n">
        <v>4.6</v>
      </c>
      <c r="AG1198" s="11" t="inlineStr">
        <is>
          <t xml:space="preserve"> Resort Freeride</t>
        </is>
      </c>
      <c r="AH1198" s="13" t="n"/>
      <c r="AI1198" s="13" t="n"/>
      <c r="AJ1198" s="13" t="n"/>
      <c r="AK1198" s="42" t="n"/>
    </row>
    <row r="1199">
      <c r="E1199" s="40" t="inlineStr">
        <is>
          <t>21/22</t>
        </is>
      </c>
      <c r="F1199" s="10" t="inlineStr">
        <is>
          <t xml:space="preserve"> Rossignol</t>
        </is>
      </c>
      <c r="G1199" s="11" t="inlineStr">
        <is>
          <t xml:space="preserve"> Blackops Smasher</t>
        </is>
      </c>
      <c r="H1199" s="13" t="n">
        <v>150</v>
      </c>
      <c r="I1199" s="11" t="inlineStr">
        <is>
          <t xml:space="preserve"> Unisex</t>
        </is>
      </c>
      <c r="J1199" s="13" t="n">
        <v>150</v>
      </c>
      <c r="K1199" s="13" t="n">
        <v>148.8</v>
      </c>
      <c r="L1199" s="13" t="n">
        <v>102</v>
      </c>
      <c r="M1199" s="13" t="n">
        <v>122</v>
      </c>
      <c r="N1199" s="13" t="n">
        <v>117</v>
      </c>
      <c r="O1199" s="13" t="n">
        <v>89</v>
      </c>
      <c r="P1199" s="13" t="n">
        <v>107</v>
      </c>
      <c r="Q1199" s="13" t="n">
        <v>17.2</v>
      </c>
      <c r="R1199" s="13" t="n">
        <v>1452</v>
      </c>
      <c r="S1199" s="13" t="n">
        <v>1</v>
      </c>
      <c r="T1199" s="13" t="n">
        <v>1449</v>
      </c>
      <c r="U1199" s="13" t="n">
        <v>141</v>
      </c>
      <c r="V1199" s="13" t="n">
        <v>54</v>
      </c>
      <c r="W1199" s="13" t="n">
        <v>48</v>
      </c>
      <c r="X1199" s="13" t="n">
        <v>251</v>
      </c>
      <c r="Y1199" s="13" t="n">
        <v>30</v>
      </c>
      <c r="Z1199" s="13" t="n">
        <v>216</v>
      </c>
      <c r="AA1199" s="13" t="n">
        <v>0.626</v>
      </c>
      <c r="AB1199" s="13" t="n">
        <v>128</v>
      </c>
      <c r="AC1199" s="13" t="n">
        <v>137</v>
      </c>
      <c r="AD1199" s="13" t="n">
        <v>123</v>
      </c>
      <c r="AE1199" s="13" t="n">
        <v>7</v>
      </c>
      <c r="AF1199" s="13" t="n">
        <v>5.4</v>
      </c>
      <c r="AG1199" s="11" t="inlineStr">
        <is>
          <t xml:space="preserve"> Resort Freeride</t>
        </is>
      </c>
      <c r="AH1199" s="13" t="n"/>
      <c r="AI1199" s="13" t="n"/>
      <c r="AJ1199" s="13" t="n"/>
      <c r="AK1199" s="42" t="n"/>
    </row>
    <row r="1200">
      <c r="E1200" s="40" t="inlineStr">
        <is>
          <t>21/22</t>
        </is>
      </c>
      <c r="F1200" s="10" t="inlineStr">
        <is>
          <t xml:space="preserve"> Rossignol</t>
        </is>
      </c>
      <c r="G1200" s="11" t="inlineStr">
        <is>
          <t xml:space="preserve"> Blackops Smasher</t>
        </is>
      </c>
      <c r="H1200" s="13" t="n">
        <v>160</v>
      </c>
      <c r="I1200" s="11" t="inlineStr">
        <is>
          <t xml:space="preserve"> Unisex</t>
        </is>
      </c>
      <c r="J1200" s="13" t="n">
        <v>160</v>
      </c>
      <c r="K1200" s="13" t="n">
        <v>158.7</v>
      </c>
      <c r="L1200" s="13" t="n">
        <v>113</v>
      </c>
      <c r="M1200" s="13" t="n">
        <v>133</v>
      </c>
      <c r="N1200" s="13" t="n">
        <v>117</v>
      </c>
      <c r="O1200" s="13" t="n">
        <v>89</v>
      </c>
      <c r="P1200" s="13" t="n">
        <v>107</v>
      </c>
      <c r="Q1200" s="13" t="n">
        <v>20.8</v>
      </c>
      <c r="R1200" s="13" t="n">
        <v>1572</v>
      </c>
      <c r="S1200" s="13" t="n">
        <v>0.98</v>
      </c>
      <c r="T1200" s="13" t="n">
        <v>1540</v>
      </c>
      <c r="U1200" s="13" t="n">
        <v>155</v>
      </c>
      <c r="V1200" s="13" t="n">
        <v>64</v>
      </c>
      <c r="W1200" s="13" t="n">
        <v>46</v>
      </c>
      <c r="X1200" s="13" t="n">
        <v>252</v>
      </c>
      <c r="Y1200" s="13" t="n">
        <v>28</v>
      </c>
      <c r="Z1200" s="13" t="n">
        <v>208</v>
      </c>
      <c r="AA1200" s="13" t="n">
        <v>0.611</v>
      </c>
      <c r="AB1200" s="13" t="n">
        <v>131</v>
      </c>
      <c r="AC1200" s="13" t="n">
        <v>127</v>
      </c>
      <c r="AD1200" s="13" t="n">
        <v>121</v>
      </c>
      <c r="AE1200" s="13" t="n">
        <v>8</v>
      </c>
      <c r="AF1200" s="13" t="n">
        <v>5</v>
      </c>
      <c r="AG1200" s="11" t="inlineStr">
        <is>
          <t xml:space="preserve"> Resort Freeride</t>
        </is>
      </c>
      <c r="AH1200" s="13" t="n"/>
      <c r="AI1200" s="13" t="n"/>
      <c r="AJ1200" s="13" t="n"/>
      <c r="AK1200" s="42" t="n"/>
    </row>
    <row r="1201">
      <c r="E1201" s="40" t="inlineStr">
        <is>
          <t>21/22</t>
        </is>
      </c>
      <c r="F1201" s="10" t="inlineStr">
        <is>
          <t xml:space="preserve"> Rossignol</t>
        </is>
      </c>
      <c r="G1201" s="11" t="inlineStr">
        <is>
          <t xml:space="preserve"> Blackops Stargazer W</t>
        </is>
      </c>
      <c r="H1201" s="13" t="n">
        <v>162</v>
      </c>
      <c r="I1201" s="11" t="inlineStr">
        <is>
          <t xml:space="preserve"> Women's</t>
        </is>
      </c>
      <c r="J1201" s="13" t="n">
        <v>162</v>
      </c>
      <c r="K1201" s="13" t="n">
        <v>162.6</v>
      </c>
      <c r="L1201" s="13" t="n">
        <v>116</v>
      </c>
      <c r="M1201" s="13" t="n">
        <v>138</v>
      </c>
      <c r="N1201" s="13" t="n">
        <v>126</v>
      </c>
      <c r="O1201" s="13" t="n">
        <v>91</v>
      </c>
      <c r="P1201" s="13" t="n">
        <v>117</v>
      </c>
      <c r="Q1201" s="13" t="n">
        <v>13.6</v>
      </c>
      <c r="R1201" s="13" t="n">
        <v>1546</v>
      </c>
      <c r="S1201" s="13" t="n">
        <v>1.09</v>
      </c>
      <c r="T1201" s="13" t="n">
        <v>1690</v>
      </c>
      <c r="U1201" s="13" t="n">
        <v>170</v>
      </c>
      <c r="V1201" s="13" t="n">
        <v>85</v>
      </c>
      <c r="W1201" s="13" t="n">
        <v>51</v>
      </c>
      <c r="X1201" s="13" t="n">
        <v>301</v>
      </c>
      <c r="Y1201" s="13" t="n">
        <v>11</v>
      </c>
      <c r="Z1201" s="13" t="n">
        <v>167</v>
      </c>
      <c r="AA1201" s="13" t="n">
        <v>0.226</v>
      </c>
      <c r="AB1201" s="13" t="n">
        <v>138</v>
      </c>
      <c r="AC1201" s="13" t="n">
        <v>107</v>
      </c>
      <c r="AD1201" s="13" t="n">
        <v>163</v>
      </c>
      <c r="AE1201" s="13" t="n">
        <v>7</v>
      </c>
      <c r="AF1201" s="13" t="n">
        <v>8.4</v>
      </c>
      <c r="AG1201" s="11" t="inlineStr">
        <is>
          <t xml:space="preserve"> Resort Freeride</t>
        </is>
      </c>
      <c r="AH1201" s="11" t="inlineStr">
        <is>
          <t xml:space="preserve"> Touring</t>
        </is>
      </c>
      <c r="AI1201" s="13" t="n"/>
      <c r="AJ1201" s="13" t="n"/>
      <c r="AK1201" s="42" t="n"/>
    </row>
    <row r="1202">
      <c r="E1202" s="40" t="inlineStr">
        <is>
          <t>21/22</t>
        </is>
      </c>
      <c r="F1202" s="10" t="inlineStr">
        <is>
          <t xml:space="preserve"> Rossignol</t>
        </is>
      </c>
      <c r="G1202" s="11" t="inlineStr">
        <is>
          <t xml:space="preserve"> Blackops Stargazer W</t>
        </is>
      </c>
      <c r="H1202" s="13" t="n">
        <v>170</v>
      </c>
      <c r="I1202" s="11" t="inlineStr">
        <is>
          <t xml:space="preserve"> Women's</t>
        </is>
      </c>
      <c r="J1202" s="13" t="n">
        <v>170</v>
      </c>
      <c r="K1202" s="13" t="n">
        <v>170.6</v>
      </c>
      <c r="L1202" s="13" t="n">
        <v>124</v>
      </c>
      <c r="M1202" s="13" t="n">
        <v>146</v>
      </c>
      <c r="N1202" s="13" t="n">
        <v>126</v>
      </c>
      <c r="O1202" s="13" t="n">
        <v>92</v>
      </c>
      <c r="P1202" s="13" t="n">
        <v>116</v>
      </c>
      <c r="Q1202" s="13" t="n">
        <v>16</v>
      </c>
      <c r="R1202" s="13" t="n">
        <v>1654</v>
      </c>
      <c r="S1202" s="13" t="n">
        <v>1.07</v>
      </c>
      <c r="T1202" s="13" t="n">
        <v>1771</v>
      </c>
      <c r="U1202" s="13" t="n">
        <v>211</v>
      </c>
      <c r="V1202" s="13" t="n">
        <v>99</v>
      </c>
      <c r="W1202" s="13" t="n">
        <v>46</v>
      </c>
      <c r="X1202" s="13" t="n">
        <v>293</v>
      </c>
      <c r="Y1202" s="13" t="n">
        <v>12</v>
      </c>
      <c r="Z1202" s="13" t="n">
        <v>172</v>
      </c>
      <c r="AA1202" s="13" t="n">
        <v>0.252</v>
      </c>
      <c r="AB1202" s="13" t="n">
        <v>144</v>
      </c>
      <c r="AC1202" s="13" t="n">
        <v>106</v>
      </c>
      <c r="AD1202" s="13" t="n">
        <v>150</v>
      </c>
      <c r="AE1202" s="13" t="n">
        <v>7</v>
      </c>
      <c r="AF1202" s="13" t="n">
        <v>7</v>
      </c>
      <c r="AG1202" s="11" t="inlineStr">
        <is>
          <t xml:space="preserve"> Resort Freeride</t>
        </is>
      </c>
      <c r="AH1202" s="11" t="inlineStr">
        <is>
          <t xml:space="preserve"> Touring</t>
        </is>
      </c>
      <c r="AI1202" s="13" t="n"/>
      <c r="AJ1202" s="13" t="n"/>
      <c r="AK1202" s="42" t="n"/>
    </row>
    <row r="1203">
      <c r="E1203" s="40" t="inlineStr">
        <is>
          <t>21/22</t>
        </is>
      </c>
      <c r="F1203" s="10" t="inlineStr">
        <is>
          <t xml:space="preserve"> Rossignol</t>
        </is>
      </c>
      <c r="G1203" s="11" t="inlineStr">
        <is>
          <t xml:space="preserve"> Blackops Whizbanger</t>
        </is>
      </c>
      <c r="H1203" s="13" t="n">
        <v>148</v>
      </c>
      <c r="I1203" s="11" t="inlineStr">
        <is>
          <t xml:space="preserve"> Unisex</t>
        </is>
      </c>
      <c r="J1203" s="13" t="n">
        <v>148</v>
      </c>
      <c r="K1203" s="13" t="n">
        <v>147.3</v>
      </c>
      <c r="L1203" s="13" t="n">
        <v>119</v>
      </c>
      <c r="M1203" s="13" t="n">
        <v>129</v>
      </c>
      <c r="N1203" s="13" t="n">
        <v>105</v>
      </c>
      <c r="O1203" s="13" t="n">
        <v>75</v>
      </c>
      <c r="P1203" s="13" t="n">
        <v>99</v>
      </c>
      <c r="Q1203" s="13" t="n">
        <v>14.7</v>
      </c>
      <c r="R1203" s="13" t="n">
        <v>1161</v>
      </c>
      <c r="S1203" s="13" t="n">
        <v>1.08</v>
      </c>
      <c r="T1203" s="13" t="n">
        <v>1252</v>
      </c>
      <c r="U1203" s="13" t="n">
        <v>117</v>
      </c>
      <c r="V1203" s="13" t="n">
        <v>45</v>
      </c>
      <c r="W1203" s="13" t="n">
        <v>40</v>
      </c>
      <c r="X1203" s="13" t="n">
        <v>144</v>
      </c>
      <c r="Y1203" s="13" t="n">
        <v>36</v>
      </c>
      <c r="Z1203" s="13" t="n">
        <v>136</v>
      </c>
      <c r="AA1203" s="13" t="n">
        <v>0.896</v>
      </c>
      <c r="AB1203" s="13" t="n">
        <v>95</v>
      </c>
      <c r="AC1203" s="13" t="n">
        <v>90</v>
      </c>
      <c r="AD1203" s="13" t="n">
        <v>49</v>
      </c>
      <c r="AE1203" s="13" t="n">
        <v>11</v>
      </c>
      <c r="AF1203" s="13" t="n">
        <v>5.4</v>
      </c>
      <c r="AG1203" s="11" t="inlineStr">
        <is>
          <t xml:space="preserve"> Freeski</t>
        </is>
      </c>
      <c r="AH1203" s="11" t="inlineStr">
        <is>
          <t xml:space="preserve"> Touring</t>
        </is>
      </c>
      <c r="AI1203" s="13" t="n"/>
      <c r="AJ1203" s="13" t="n"/>
      <c r="AK1203" s="42" t="n"/>
    </row>
    <row r="1204">
      <c r="E1204" s="40" t="inlineStr">
        <is>
          <t>21/22</t>
        </is>
      </c>
      <c r="F1204" s="10" t="inlineStr">
        <is>
          <t xml:space="preserve"> Rossignol</t>
        </is>
      </c>
      <c r="G1204" s="11" t="inlineStr">
        <is>
          <t>Experience 76</t>
        </is>
      </c>
      <c r="H1204" s="13" t="n">
        <v>152</v>
      </c>
      <c r="I1204" s="11" t="inlineStr">
        <is>
          <t xml:space="preserve"> Unisex</t>
        </is>
      </c>
      <c r="J1204" s="13" t="n">
        <v>152</v>
      </c>
      <c r="K1204" s="13" t="n">
        <v>152.3</v>
      </c>
      <c r="L1204" s="13" t="n">
        <v>131</v>
      </c>
      <c r="M1204" s="13" t="n">
        <v>137</v>
      </c>
      <c r="N1204" s="13" t="n">
        <v>123</v>
      </c>
      <c r="O1204" s="13" t="n">
        <v>76</v>
      </c>
      <c r="P1204" s="13" t="n">
        <v>110</v>
      </c>
      <c r="Q1204" s="13" t="n">
        <v>11.2</v>
      </c>
      <c r="R1204" s="13" t="n">
        <v>1525</v>
      </c>
      <c r="S1204" s="13" t="n">
        <v>0.92</v>
      </c>
      <c r="T1204" s="13" t="n">
        <v>1397</v>
      </c>
      <c r="U1204" s="13" t="n">
        <v>160</v>
      </c>
      <c r="V1204" s="13" t="n">
        <v>59</v>
      </c>
      <c r="W1204" s="13" t="n">
        <v>36</v>
      </c>
      <c r="X1204" s="13" t="n">
        <v>146</v>
      </c>
      <c r="Y1204" s="13" t="n">
        <v>5</v>
      </c>
      <c r="Z1204" s="13" t="n">
        <v>67</v>
      </c>
      <c r="AA1204" s="13" t="n">
        <v>0.143</v>
      </c>
      <c r="AB1204" s="13" t="n">
        <v>73</v>
      </c>
      <c r="AC1204" s="13" t="n">
        <v>83</v>
      </c>
      <c r="AD1204" s="13" t="n">
        <v>73</v>
      </c>
      <c r="AE1204" s="13" t="n">
        <v>10</v>
      </c>
      <c r="AF1204" s="13" t="n">
        <v>7.6</v>
      </c>
      <c r="AG1204" s="11" t="inlineStr">
        <is>
          <t xml:space="preserve"> On-Piste Carving</t>
        </is>
      </c>
      <c r="AH1204" s="11" t="inlineStr">
        <is>
          <t xml:space="preserve"> On-Piste All-Mountain</t>
        </is>
      </c>
      <c r="AI1204" s="13" t="n"/>
      <c r="AJ1204" s="13" t="n"/>
      <c r="AK1204" s="42" t="n"/>
    </row>
    <row r="1205">
      <c r="E1205" s="40" t="inlineStr">
        <is>
          <t>21/22</t>
        </is>
      </c>
      <c r="F1205" s="10" t="inlineStr">
        <is>
          <t xml:space="preserve"> Rossignol</t>
        </is>
      </c>
      <c r="G1205" s="11" t="inlineStr">
        <is>
          <t>Experience 76</t>
        </is>
      </c>
      <c r="H1205" s="13" t="n">
        <v>160</v>
      </c>
      <c r="I1205" s="11" t="inlineStr">
        <is>
          <t xml:space="preserve"> Unisex</t>
        </is>
      </c>
      <c r="J1205" s="13" t="n">
        <v>160</v>
      </c>
      <c r="K1205" s="13" t="n">
        <v>160.4</v>
      </c>
      <c r="L1205" s="13" t="n">
        <v>139</v>
      </c>
      <c r="M1205" s="13" t="n">
        <v>145</v>
      </c>
      <c r="N1205" s="13" t="n">
        <v>124</v>
      </c>
      <c r="O1205" s="13" t="n">
        <v>76</v>
      </c>
      <c r="P1205" s="13" t="n">
        <v>110</v>
      </c>
      <c r="Q1205" s="13" t="n">
        <v>12.7</v>
      </c>
      <c r="R1205" s="13" t="n">
        <v>1597</v>
      </c>
      <c r="S1205" s="13" t="n">
        <v>0.92</v>
      </c>
      <c r="T1205" s="13" t="n">
        <v>1470</v>
      </c>
      <c r="U1205" s="13" t="n">
        <v>158</v>
      </c>
      <c r="V1205" s="13" t="n">
        <v>55</v>
      </c>
      <c r="W1205" s="13" t="n">
        <v>36</v>
      </c>
      <c r="X1205" s="13" t="n">
        <v>148</v>
      </c>
      <c r="Y1205" s="13" t="n">
        <v>6</v>
      </c>
      <c r="Z1205" s="13" t="n">
        <v>69</v>
      </c>
      <c r="AA1205" s="13" t="n">
        <v>0.176</v>
      </c>
      <c r="AB1205" s="13" t="n">
        <v>74</v>
      </c>
      <c r="AC1205" s="13" t="n">
        <v>82</v>
      </c>
      <c r="AD1205" s="13" t="n">
        <v>74</v>
      </c>
      <c r="AE1205" s="13" t="n">
        <v>11</v>
      </c>
      <c r="AF1205" s="13" t="n">
        <v>8.199999999999999</v>
      </c>
      <c r="AG1205" s="11" t="inlineStr">
        <is>
          <t xml:space="preserve"> On-Piste Carving</t>
        </is>
      </c>
      <c r="AH1205" s="13" t="n"/>
      <c r="AI1205" s="13" t="n"/>
      <c r="AJ1205" s="13" t="n"/>
      <c r="AK1205" s="42" t="n"/>
    </row>
    <row r="1206">
      <c r="E1206" s="40" t="inlineStr">
        <is>
          <t>21/22</t>
        </is>
      </c>
      <c r="F1206" s="10" t="inlineStr">
        <is>
          <t xml:space="preserve"> Rossignol</t>
        </is>
      </c>
      <c r="G1206" s="11" t="inlineStr">
        <is>
          <t>Experience 76</t>
        </is>
      </c>
      <c r="H1206" s="13" t="n">
        <v>168</v>
      </c>
      <c r="I1206" s="11" t="inlineStr">
        <is>
          <t xml:space="preserve"> Unisex</t>
        </is>
      </c>
      <c r="J1206" s="13" t="n">
        <v>168</v>
      </c>
      <c r="K1206" s="13" t="n">
        <v>168.6</v>
      </c>
      <c r="L1206" s="13" t="n">
        <v>148</v>
      </c>
      <c r="M1206" s="13" t="n">
        <v>154</v>
      </c>
      <c r="N1206" s="13" t="n">
        <v>123</v>
      </c>
      <c r="O1206" s="13" t="n">
        <v>76</v>
      </c>
      <c r="P1206" s="13" t="n">
        <v>109</v>
      </c>
      <c r="Q1206" s="13" t="n">
        <v>14.3</v>
      </c>
      <c r="R1206" s="13" t="n">
        <v>1613</v>
      </c>
      <c r="S1206" s="13" t="n">
        <v>0.95</v>
      </c>
      <c r="T1206" s="13" t="n">
        <v>1537</v>
      </c>
      <c r="U1206" s="13" t="n">
        <v>153</v>
      </c>
      <c r="V1206" s="13" t="n">
        <v>57</v>
      </c>
      <c r="W1206" s="13" t="n">
        <v>35</v>
      </c>
      <c r="X1206" s="13" t="n">
        <v>143</v>
      </c>
      <c r="Y1206" s="13" t="n">
        <v>5</v>
      </c>
      <c r="Z1206" s="13" t="n">
        <v>68</v>
      </c>
      <c r="AA1206" s="13" t="n">
        <v>0.155</v>
      </c>
      <c r="AB1206" s="13" t="n">
        <v>69</v>
      </c>
      <c r="AC1206" s="13" t="n">
        <v>82</v>
      </c>
      <c r="AD1206" s="13" t="n">
        <v>74</v>
      </c>
      <c r="AE1206" s="13" t="n">
        <v>14</v>
      </c>
      <c r="AF1206" s="13" t="n">
        <v>8.699999999999999</v>
      </c>
      <c r="AG1206" s="11" t="inlineStr">
        <is>
          <t xml:space="preserve"> On-Piste Carving</t>
        </is>
      </c>
      <c r="AH1206" s="13" t="n"/>
      <c r="AI1206" s="13" t="n"/>
      <c r="AJ1206" s="13" t="n"/>
      <c r="AK1206" s="42" t="n"/>
    </row>
    <row r="1207">
      <c r="E1207" s="40" t="inlineStr">
        <is>
          <t>21/22</t>
        </is>
      </c>
      <c r="F1207" s="10" t="inlineStr">
        <is>
          <t xml:space="preserve"> Rossignol</t>
        </is>
      </c>
      <c r="G1207" s="11" t="inlineStr">
        <is>
          <t>Experience 76</t>
        </is>
      </c>
      <c r="H1207" s="13" t="n">
        <v>176</v>
      </c>
      <c r="I1207" s="11" t="inlineStr">
        <is>
          <t xml:space="preserve"> Unisex</t>
        </is>
      </c>
      <c r="J1207" s="13" t="n">
        <v>176</v>
      </c>
      <c r="K1207" s="13" t="n">
        <v>176.4</v>
      </c>
      <c r="L1207" s="13" t="n">
        <v>155</v>
      </c>
      <c r="M1207" s="13" t="n">
        <v>161</v>
      </c>
      <c r="N1207" s="13" t="n">
        <v>123</v>
      </c>
      <c r="O1207" s="13" t="n">
        <v>76</v>
      </c>
      <c r="P1207" s="13" t="n">
        <v>109</v>
      </c>
      <c r="Q1207" s="13" t="n">
        <v>16</v>
      </c>
      <c r="R1207" s="13" t="n">
        <v>1737</v>
      </c>
      <c r="S1207" s="13" t="n">
        <v>0.93</v>
      </c>
      <c r="T1207" s="13" t="n">
        <v>1610</v>
      </c>
      <c r="U1207" s="13" t="n">
        <v>171</v>
      </c>
      <c r="V1207" s="13" t="n">
        <v>65</v>
      </c>
      <c r="W1207" s="13" t="n">
        <v>36</v>
      </c>
      <c r="X1207" s="13" t="n">
        <v>145</v>
      </c>
      <c r="Y1207" s="13" t="n">
        <v>5</v>
      </c>
      <c r="Z1207" s="13" t="n">
        <v>66</v>
      </c>
      <c r="AA1207" s="13" t="n">
        <v>0.144</v>
      </c>
      <c r="AB1207" s="13" t="n">
        <v>75</v>
      </c>
      <c r="AC1207" s="13" t="n">
        <v>81</v>
      </c>
      <c r="AD1207" s="13" t="n">
        <v>70</v>
      </c>
      <c r="AE1207" s="13" t="n">
        <v>13</v>
      </c>
      <c r="AF1207" s="13" t="n">
        <v>8.6</v>
      </c>
      <c r="AG1207" s="11" t="inlineStr">
        <is>
          <t xml:space="preserve"> On-Piste Carving</t>
        </is>
      </c>
      <c r="AH1207" s="13" t="n"/>
      <c r="AI1207" s="13" t="n"/>
      <c r="AJ1207" s="13" t="n"/>
      <c r="AK1207" s="42" t="n"/>
    </row>
    <row r="1208">
      <c r="E1208" s="40" t="inlineStr">
        <is>
          <t>21/22</t>
        </is>
      </c>
      <c r="F1208" s="10" t="inlineStr">
        <is>
          <t xml:space="preserve"> Rossignol</t>
        </is>
      </c>
      <c r="G1208" s="11" t="inlineStr">
        <is>
          <t>Experience 76 W</t>
        </is>
      </c>
      <c r="H1208" s="13" t="n">
        <v>144</v>
      </c>
      <c r="I1208" s="11" t="inlineStr">
        <is>
          <t xml:space="preserve"> Women's</t>
        </is>
      </c>
      <c r="J1208" s="13" t="n">
        <v>144</v>
      </c>
      <c r="K1208" s="13" t="n">
        <v>144.3</v>
      </c>
      <c r="L1208" s="13" t="n">
        <v>118</v>
      </c>
      <c r="M1208" s="13" t="n">
        <v>129</v>
      </c>
      <c r="N1208" s="13" t="n">
        <v>123</v>
      </c>
      <c r="O1208" s="13" t="n">
        <v>76</v>
      </c>
      <c r="P1208" s="13" t="n">
        <v>109</v>
      </c>
      <c r="Q1208" s="13" t="n">
        <v>9.9</v>
      </c>
      <c r="R1208" s="13" t="n">
        <v>1483</v>
      </c>
      <c r="S1208" s="13" t="n">
        <v>0.89</v>
      </c>
      <c r="T1208" s="13" t="n">
        <v>1325</v>
      </c>
      <c r="U1208" s="13" t="n">
        <v>162</v>
      </c>
      <c r="V1208" s="13" t="n">
        <v>60</v>
      </c>
      <c r="W1208" s="13" t="n">
        <v>38</v>
      </c>
      <c r="X1208" s="13" t="n">
        <v>186</v>
      </c>
      <c r="Y1208" s="13" t="n">
        <v>6</v>
      </c>
      <c r="Z1208" s="13" t="n">
        <v>73</v>
      </c>
      <c r="AA1208" s="13" t="n">
        <v>0.157</v>
      </c>
      <c r="AB1208" s="13" t="n">
        <v>72</v>
      </c>
      <c r="AC1208" s="13" t="n">
        <v>83</v>
      </c>
      <c r="AD1208" s="13" t="n">
        <v>114</v>
      </c>
      <c r="AE1208" s="13" t="n">
        <v>6</v>
      </c>
      <c r="AF1208" s="13" t="n">
        <v>8</v>
      </c>
      <c r="AG1208" s="11" t="inlineStr">
        <is>
          <t xml:space="preserve"> On-Piste Carving</t>
        </is>
      </c>
      <c r="AH1208" s="11" t="inlineStr">
        <is>
          <t xml:space="preserve"> On-Piste All-Mountain</t>
        </is>
      </c>
      <c r="AI1208" s="13" t="n"/>
      <c r="AJ1208" s="13" t="n"/>
      <c r="AK1208" s="42" t="n"/>
    </row>
    <row r="1209">
      <c r="E1209" s="40" t="inlineStr">
        <is>
          <t>21/22</t>
        </is>
      </c>
      <c r="F1209" s="10" t="inlineStr">
        <is>
          <t xml:space="preserve"> Rossignol</t>
        </is>
      </c>
      <c r="G1209" s="11" t="inlineStr">
        <is>
          <t>Experience 76 W</t>
        </is>
      </c>
      <c r="H1209" s="13" t="n">
        <v>152</v>
      </c>
      <c r="I1209" s="11" t="inlineStr">
        <is>
          <t xml:space="preserve"> Women's</t>
        </is>
      </c>
      <c r="J1209" s="13" t="n">
        <v>152</v>
      </c>
      <c r="K1209" s="13" t="n">
        <v>152.4</v>
      </c>
      <c r="L1209" s="13" t="n">
        <v>131</v>
      </c>
      <c r="M1209" s="13" t="n">
        <v>137</v>
      </c>
      <c r="N1209" s="13" t="n">
        <v>123</v>
      </c>
      <c r="O1209" s="13" t="n">
        <v>76</v>
      </c>
      <c r="P1209" s="13" t="n">
        <v>109</v>
      </c>
      <c r="Q1209" s="13" t="n">
        <v>11.4</v>
      </c>
      <c r="R1209" s="13" t="n">
        <v>1534</v>
      </c>
      <c r="S1209" s="13" t="n">
        <v>0.91</v>
      </c>
      <c r="T1209" s="13" t="n">
        <v>1393</v>
      </c>
      <c r="U1209" s="13" t="n">
        <v>153</v>
      </c>
      <c r="V1209" s="13" t="n">
        <v>59</v>
      </c>
      <c r="W1209" s="13" t="n">
        <v>35</v>
      </c>
      <c r="X1209" s="13" t="n">
        <v>146</v>
      </c>
      <c r="Y1209" s="13" t="n">
        <v>6</v>
      </c>
      <c r="Z1209" s="13" t="n">
        <v>71</v>
      </c>
      <c r="AA1209" s="13" t="n">
        <v>0.166</v>
      </c>
      <c r="AB1209" s="13" t="n">
        <v>71</v>
      </c>
      <c r="AC1209" s="13" t="n">
        <v>82</v>
      </c>
      <c r="AD1209" s="13" t="n">
        <v>75</v>
      </c>
      <c r="AE1209" s="13" t="n">
        <v>8</v>
      </c>
      <c r="AF1209" s="13" t="n">
        <v>8.4</v>
      </c>
      <c r="AG1209" s="11" t="inlineStr">
        <is>
          <t xml:space="preserve"> On-Piste Carving</t>
        </is>
      </c>
      <c r="AH1209" s="11" t="inlineStr">
        <is>
          <t xml:space="preserve"> On-Piste All-Mountain</t>
        </is>
      </c>
      <c r="AI1209" s="13" t="n"/>
      <c r="AJ1209" s="13" t="n"/>
      <c r="AK1209" s="42" t="n"/>
    </row>
    <row r="1210">
      <c r="E1210" s="40" t="inlineStr">
        <is>
          <t>21/22</t>
        </is>
      </c>
      <c r="F1210" s="10" t="inlineStr">
        <is>
          <t xml:space="preserve"> Rossignol</t>
        </is>
      </c>
      <c r="G1210" s="11" t="inlineStr">
        <is>
          <t>Experience 76 W</t>
        </is>
      </c>
      <c r="H1210" s="13" t="n">
        <v>160</v>
      </c>
      <c r="I1210" s="11" t="inlineStr">
        <is>
          <t xml:space="preserve"> Women's</t>
        </is>
      </c>
      <c r="J1210" s="13" t="n">
        <v>160</v>
      </c>
      <c r="K1210" s="13" t="n">
        <v>160.3</v>
      </c>
      <c r="L1210" s="13" t="n">
        <v>139</v>
      </c>
      <c r="M1210" s="13" t="n">
        <v>145</v>
      </c>
      <c r="N1210" s="13" t="n">
        <v>124</v>
      </c>
      <c r="O1210" s="13" t="n">
        <v>77</v>
      </c>
      <c r="P1210" s="13" t="n">
        <v>110</v>
      </c>
      <c r="Q1210" s="13" t="n">
        <v>12.7</v>
      </c>
      <c r="R1210" s="13" t="n">
        <v>1624</v>
      </c>
      <c r="S1210" s="13" t="n">
        <v>0.91</v>
      </c>
      <c r="T1210" s="13" t="n">
        <v>1471</v>
      </c>
      <c r="U1210" s="13" t="n">
        <v>151</v>
      </c>
      <c r="V1210" s="13" t="n">
        <v>56</v>
      </c>
      <c r="W1210" s="13" t="n">
        <v>35</v>
      </c>
      <c r="X1210" s="13" t="n">
        <v>144</v>
      </c>
      <c r="Y1210" s="13" t="n">
        <v>5</v>
      </c>
      <c r="Z1210" s="13" t="n">
        <v>68</v>
      </c>
      <c r="AA1210" s="13" t="n">
        <v>0.155</v>
      </c>
      <c r="AB1210" s="13" t="n">
        <v>77</v>
      </c>
      <c r="AC1210" s="13" t="n">
        <v>80</v>
      </c>
      <c r="AD1210" s="13" t="n">
        <v>66</v>
      </c>
      <c r="AE1210" s="13" t="n">
        <v>12</v>
      </c>
      <c r="AF1210" s="13" t="n">
        <v>8.199999999999999</v>
      </c>
      <c r="AG1210" s="11" t="inlineStr">
        <is>
          <t xml:space="preserve"> On-Piste Carving</t>
        </is>
      </c>
      <c r="AH1210" s="13" t="n"/>
      <c r="AI1210" s="13" t="n"/>
      <c r="AJ1210" s="13" t="n"/>
      <c r="AK1210" s="42" t="n"/>
    </row>
    <row r="1211">
      <c r="E1211" s="40" t="inlineStr">
        <is>
          <t>21/22</t>
        </is>
      </c>
      <c r="F1211" s="10" t="inlineStr">
        <is>
          <t xml:space="preserve"> Rossignol</t>
        </is>
      </c>
      <c r="G1211" s="11" t="inlineStr">
        <is>
          <t>Experience 80 Carbon</t>
        </is>
      </c>
      <c r="H1211" s="13" t="n">
        <v>166</v>
      </c>
      <c r="I1211" s="11" t="inlineStr">
        <is>
          <t xml:space="preserve"> Unisex</t>
        </is>
      </c>
      <c r="J1211" s="13" t="n">
        <v>166</v>
      </c>
      <c r="K1211" s="13" t="n">
        <v>166.6</v>
      </c>
      <c r="L1211" s="13" t="n">
        <v>128</v>
      </c>
      <c r="M1211" s="13" t="n">
        <v>152</v>
      </c>
      <c r="N1211" s="13" t="n">
        <v>125</v>
      </c>
      <c r="O1211" s="13" t="n">
        <v>80</v>
      </c>
      <c r="P1211" s="13" t="n">
        <v>113</v>
      </c>
      <c r="Q1211" s="13" t="n">
        <v>14.4</v>
      </c>
      <c r="R1211" s="13" t="n">
        <v>1734</v>
      </c>
      <c r="S1211" s="13" t="n">
        <v>0.91</v>
      </c>
      <c r="T1211" s="13" t="n">
        <v>1575</v>
      </c>
      <c r="U1211" s="13" t="n">
        <v>215</v>
      </c>
      <c r="V1211" s="13" t="n">
        <v>91</v>
      </c>
      <c r="W1211" s="13" t="n">
        <v>47</v>
      </c>
      <c r="X1211" s="13" t="n">
        <v>261</v>
      </c>
      <c r="Y1211" s="13" t="n">
        <v>12</v>
      </c>
      <c r="Z1211" s="13" t="n">
        <v>127</v>
      </c>
      <c r="AA1211" s="13" t="n">
        <v>0.261</v>
      </c>
      <c r="AB1211" s="13" t="n">
        <v>80</v>
      </c>
      <c r="AC1211" s="13" t="n">
        <v>66</v>
      </c>
      <c r="AD1211" s="13" t="n">
        <v>181</v>
      </c>
      <c r="AE1211" s="13" t="n">
        <v>10</v>
      </c>
      <c r="AF1211" s="13" t="n">
        <v>7</v>
      </c>
      <c r="AG1211" s="11" t="inlineStr">
        <is>
          <t xml:space="preserve"> Resort Freeride</t>
        </is>
      </c>
      <c r="AH1211" s="13" t="n"/>
      <c r="AI1211" s="13" t="n"/>
      <c r="AJ1211" s="13" t="n"/>
      <c r="AK1211" s="42" t="n"/>
    </row>
    <row r="1212">
      <c r="E1212" s="40" t="inlineStr">
        <is>
          <t>21/22</t>
        </is>
      </c>
      <c r="F1212" s="10" t="inlineStr">
        <is>
          <t xml:space="preserve"> Rossignol</t>
        </is>
      </c>
      <c r="G1212" s="11" t="inlineStr">
        <is>
          <t>Experience 80 Carbon</t>
        </is>
      </c>
      <c r="H1212" s="13" t="n">
        <v>174</v>
      </c>
      <c r="I1212" s="11" t="inlineStr">
        <is>
          <t xml:space="preserve"> Unisex</t>
        </is>
      </c>
      <c r="J1212" s="13" t="n">
        <v>174</v>
      </c>
      <c r="K1212" s="13" t="n">
        <v>174.4</v>
      </c>
      <c r="L1212" s="13" t="n">
        <v>134</v>
      </c>
      <c r="M1212" s="13" t="n">
        <v>160</v>
      </c>
      <c r="N1212" s="13" t="n">
        <v>125</v>
      </c>
      <c r="O1212" s="13" t="n">
        <v>80</v>
      </c>
      <c r="P1212" s="13" t="n">
        <v>113</v>
      </c>
      <c r="Q1212" s="13" t="n">
        <v>16.1</v>
      </c>
      <c r="R1212" s="13" t="n">
        <v>1830</v>
      </c>
      <c r="S1212" s="13" t="n">
        <v>0.9</v>
      </c>
      <c r="T1212" s="13" t="n">
        <v>1643</v>
      </c>
      <c r="U1212" s="13" t="n">
        <v>254</v>
      </c>
      <c r="V1212" s="13" t="n">
        <v>72</v>
      </c>
      <c r="W1212" s="13" t="n">
        <v>50</v>
      </c>
      <c r="X1212" s="13" t="n">
        <v>266</v>
      </c>
      <c r="Y1212" s="13" t="n">
        <v>15</v>
      </c>
      <c r="Z1212" s="13" t="n">
        <v>137</v>
      </c>
      <c r="AA1212" s="13" t="n">
        <v>0.306</v>
      </c>
      <c r="AB1212" s="13" t="n">
        <v>84</v>
      </c>
      <c r="AC1212" s="13" t="n">
        <v>62</v>
      </c>
      <c r="AD1212" s="13" t="n">
        <v>182</v>
      </c>
      <c r="AE1212" s="13" t="n">
        <v>7</v>
      </c>
      <c r="AF1212" s="13" t="n">
        <v>6.4</v>
      </c>
      <c r="AG1212" s="11" t="inlineStr">
        <is>
          <t xml:space="preserve"> Other</t>
        </is>
      </c>
      <c r="AH1212" s="13" t="n"/>
      <c r="AI1212" s="13" t="n"/>
      <c r="AJ1212" s="13" t="n"/>
      <c r="AK1212" s="42" t="n"/>
    </row>
    <row r="1213">
      <c r="E1213" s="40" t="inlineStr">
        <is>
          <t>21/22</t>
        </is>
      </c>
      <c r="F1213" s="10" t="inlineStr">
        <is>
          <t xml:space="preserve"> Rossignol</t>
        </is>
      </c>
      <c r="G1213" s="11" t="inlineStr">
        <is>
          <t>Experience 80 Carbon W</t>
        </is>
      </c>
      <c r="H1213" s="13" t="n">
        <v>150</v>
      </c>
      <c r="I1213" s="11" t="inlineStr">
        <is>
          <t xml:space="preserve"> Women's</t>
        </is>
      </c>
      <c r="J1213" s="13" t="n">
        <v>150</v>
      </c>
      <c r="K1213" s="13" t="n">
        <v>150.3</v>
      </c>
      <c r="L1213" s="13" t="n">
        <v>112</v>
      </c>
      <c r="M1213" s="13" t="n">
        <v>136</v>
      </c>
      <c r="N1213" s="13" t="n">
        <v>125</v>
      </c>
      <c r="O1213" s="13" t="n">
        <v>80</v>
      </c>
      <c r="P1213" s="13" t="n">
        <v>113</v>
      </c>
      <c r="Q1213" s="13" t="n">
        <v>11.2</v>
      </c>
      <c r="R1213" s="13" t="n">
        <v>1598</v>
      </c>
      <c r="S1213" s="13" t="n">
        <v>0.89</v>
      </c>
      <c r="T1213" s="13" t="n">
        <v>1429</v>
      </c>
      <c r="U1213" s="13" t="n">
        <v>167</v>
      </c>
      <c r="V1213" s="13" t="n">
        <v>72</v>
      </c>
      <c r="W1213" s="13" t="n">
        <v>47</v>
      </c>
      <c r="X1213" s="13" t="n">
        <v>260</v>
      </c>
      <c r="Y1213" s="13" t="n">
        <v>12</v>
      </c>
      <c r="Z1213" s="13" t="n">
        <v>126</v>
      </c>
      <c r="AA1213" s="13" t="n">
        <v>0.266</v>
      </c>
      <c r="AB1213" s="13" t="n">
        <v>80</v>
      </c>
      <c r="AC1213" s="13" t="n">
        <v>65</v>
      </c>
      <c r="AD1213" s="13" t="n">
        <v>181</v>
      </c>
      <c r="AE1213" s="13" t="n">
        <v>9</v>
      </c>
      <c r="AF1213" s="13" t="n">
        <v>6.6</v>
      </c>
      <c r="AG1213" s="11" t="inlineStr">
        <is>
          <t xml:space="preserve"> Resort Freeride</t>
        </is>
      </c>
      <c r="AH1213" s="13" t="n"/>
      <c r="AI1213" s="13" t="n"/>
      <c r="AJ1213" s="13" t="n"/>
      <c r="AK1213" s="42" t="n"/>
    </row>
    <row r="1214">
      <c r="E1214" s="40" t="inlineStr">
        <is>
          <t>21/22</t>
        </is>
      </c>
      <c r="F1214" s="10" t="inlineStr">
        <is>
          <t xml:space="preserve"> Rossignol</t>
        </is>
      </c>
      <c r="G1214" s="11" t="inlineStr">
        <is>
          <t>Experience 80 Carbon W</t>
        </is>
      </c>
      <c r="H1214" s="13" t="n">
        <v>158</v>
      </c>
      <c r="I1214" s="11" t="inlineStr">
        <is>
          <t xml:space="preserve"> Women's</t>
        </is>
      </c>
      <c r="J1214" s="13" t="n">
        <v>158</v>
      </c>
      <c r="K1214" s="13" t="n">
        <v>158.2</v>
      </c>
      <c r="L1214" s="13" t="n">
        <v>120</v>
      </c>
      <c r="M1214" s="13" t="n">
        <v>144</v>
      </c>
      <c r="N1214" s="13" t="n">
        <v>125</v>
      </c>
      <c r="O1214" s="13" t="n">
        <v>80</v>
      </c>
      <c r="P1214" s="13" t="n">
        <v>114</v>
      </c>
      <c r="Q1214" s="13" t="n">
        <v>12.7</v>
      </c>
      <c r="R1214" s="13" t="n">
        <v>1684</v>
      </c>
      <c r="S1214" s="13" t="n">
        <v>0.89</v>
      </c>
      <c r="T1214" s="13" t="n">
        <v>1503</v>
      </c>
      <c r="U1214" s="13" t="n">
        <v>198</v>
      </c>
      <c r="V1214" s="13" t="n">
        <v>76</v>
      </c>
      <c r="W1214" s="13" t="n">
        <v>48</v>
      </c>
      <c r="X1214" s="13" t="n">
        <v>261</v>
      </c>
      <c r="Y1214" s="13" t="n">
        <v>13</v>
      </c>
      <c r="Z1214" s="13" t="n">
        <v>126</v>
      </c>
      <c r="AA1214" s="13" t="n">
        <v>0.266</v>
      </c>
      <c r="AB1214" s="13" t="n">
        <v>79</v>
      </c>
      <c r="AC1214" s="13" t="n">
        <v>63</v>
      </c>
      <c r="AD1214" s="13" t="n">
        <v>182</v>
      </c>
      <c r="AE1214" s="13" t="n">
        <v>8</v>
      </c>
      <c r="AF1214" s="13" t="n">
        <v>7.1</v>
      </c>
      <c r="AG1214" s="11" t="inlineStr">
        <is>
          <t xml:space="preserve"> Resort Freeride</t>
        </is>
      </c>
      <c r="AH1214" s="13" t="n"/>
      <c r="AI1214" s="13" t="n"/>
      <c r="AJ1214" s="13" t="n"/>
      <c r="AK1214" s="42" t="n"/>
    </row>
    <row r="1215">
      <c r="E1215" s="40" t="inlineStr">
        <is>
          <t>21/22</t>
        </is>
      </c>
      <c r="F1215" s="10" t="inlineStr">
        <is>
          <t xml:space="preserve"> Rossignol</t>
        </is>
      </c>
      <c r="G1215" s="11" t="inlineStr">
        <is>
          <t>Experience 80 Carbon W</t>
        </is>
      </c>
      <c r="H1215" s="13" t="n">
        <v>166</v>
      </c>
      <c r="I1215" s="11" t="inlineStr">
        <is>
          <t xml:space="preserve"> Women's</t>
        </is>
      </c>
      <c r="J1215" s="13" t="n">
        <v>166</v>
      </c>
      <c r="K1215" s="13" t="n">
        <v>166.6</v>
      </c>
      <c r="L1215" s="13" t="n">
        <v>127</v>
      </c>
      <c r="M1215" s="13" t="n">
        <v>152</v>
      </c>
      <c r="N1215" s="13" t="n">
        <v>125</v>
      </c>
      <c r="O1215" s="13" t="n">
        <v>80</v>
      </c>
      <c r="P1215" s="13" t="n">
        <v>113</v>
      </c>
      <c r="Q1215" s="13" t="n">
        <v>14.3</v>
      </c>
      <c r="R1215" s="13" t="n">
        <v>1759</v>
      </c>
      <c r="S1215" s="13" t="n">
        <v>0.9</v>
      </c>
      <c r="T1215" s="13" t="n">
        <v>1579</v>
      </c>
      <c r="U1215" s="13" t="n">
        <v>214</v>
      </c>
      <c r="V1215" s="13" t="n">
        <v>78</v>
      </c>
      <c r="W1215" s="13" t="n">
        <v>48</v>
      </c>
      <c r="X1215" s="13" t="n">
        <v>265</v>
      </c>
      <c r="Y1215" s="13" t="n">
        <v>13</v>
      </c>
      <c r="Z1215" s="13" t="n">
        <v>129</v>
      </c>
      <c r="AA1215" s="13" t="n">
        <v>0.264</v>
      </c>
      <c r="AB1215" s="13" t="n">
        <v>83</v>
      </c>
      <c r="AC1215" s="13" t="n">
        <v>65</v>
      </c>
      <c r="AD1215" s="13" t="n">
        <v>182</v>
      </c>
      <c r="AE1215" s="13" t="n">
        <v>11</v>
      </c>
      <c r="AF1215" s="13" t="n">
        <v>7.5</v>
      </c>
      <c r="AG1215" s="11" t="inlineStr">
        <is>
          <t xml:space="preserve"> Resort Freeride</t>
        </is>
      </c>
      <c r="AH1215" s="13" t="n"/>
      <c r="AI1215" s="13" t="n"/>
      <c r="AJ1215" s="13" t="n"/>
      <c r="AK1215" s="42" t="n"/>
    </row>
    <row r="1216">
      <c r="E1216" s="40" t="inlineStr">
        <is>
          <t>21/22</t>
        </is>
      </c>
      <c r="F1216" s="10" t="inlineStr">
        <is>
          <t xml:space="preserve"> Rossignol</t>
        </is>
      </c>
      <c r="G1216" s="11" t="inlineStr">
        <is>
          <t>Experience 82 Basalt</t>
        </is>
      </c>
      <c r="H1216" s="13" t="n">
        <v>160</v>
      </c>
      <c r="I1216" s="11" t="inlineStr">
        <is>
          <t xml:space="preserve"> Unisex</t>
        </is>
      </c>
      <c r="J1216" s="13" t="n">
        <v>160</v>
      </c>
      <c r="K1216" s="13" t="n">
        <v>158.5</v>
      </c>
      <c r="L1216" s="13" t="n">
        <v>120</v>
      </c>
      <c r="M1216" s="13" t="n">
        <v>143</v>
      </c>
      <c r="N1216" s="13" t="n">
        <v>124</v>
      </c>
      <c r="O1216" s="13" t="n">
        <v>80</v>
      </c>
      <c r="P1216" s="13" t="n">
        <v>113</v>
      </c>
      <c r="Q1216" s="13" t="n">
        <v>12.8</v>
      </c>
      <c r="R1216" s="13" t="n">
        <v>1651</v>
      </c>
      <c r="S1216" s="13" t="n">
        <v>0.9</v>
      </c>
      <c r="T1216" s="13" t="n">
        <v>1493</v>
      </c>
      <c r="U1216" s="13" t="n">
        <v>179</v>
      </c>
      <c r="V1216" s="13" t="n">
        <v>72</v>
      </c>
      <c r="W1216" s="13" t="n">
        <v>47</v>
      </c>
      <c r="X1216" s="13" t="n">
        <v>258</v>
      </c>
      <c r="Y1216" s="13" t="n">
        <v>12</v>
      </c>
      <c r="Z1216" s="13" t="n">
        <v>123</v>
      </c>
      <c r="AA1216" s="13" t="n">
        <v>0.26</v>
      </c>
      <c r="AB1216" s="13" t="n">
        <v>88</v>
      </c>
      <c r="AC1216" s="13" t="n">
        <v>63</v>
      </c>
      <c r="AD1216" s="13" t="n">
        <v>170</v>
      </c>
      <c r="AE1216" s="13" t="n">
        <v>10</v>
      </c>
      <c r="AF1216" s="13" t="n">
        <v>7.1</v>
      </c>
      <c r="AG1216" s="11" t="inlineStr">
        <is>
          <t xml:space="preserve"> Other</t>
        </is>
      </c>
      <c r="AH1216" s="13" t="n"/>
      <c r="AI1216" s="13" t="n"/>
      <c r="AJ1216" s="13" t="n"/>
      <c r="AK1216" s="42" t="n"/>
    </row>
    <row r="1217">
      <c r="E1217" s="40" t="inlineStr">
        <is>
          <t>21/22</t>
        </is>
      </c>
      <c r="F1217" s="10" t="inlineStr">
        <is>
          <t xml:space="preserve"> Rossignol</t>
        </is>
      </c>
      <c r="G1217" s="11" t="inlineStr">
        <is>
          <t>Experience 82 Basalt</t>
        </is>
      </c>
      <c r="H1217" s="13" t="n">
        <v>168</v>
      </c>
      <c r="I1217" s="11" t="inlineStr">
        <is>
          <t xml:space="preserve"> Unisex</t>
        </is>
      </c>
      <c r="J1217" s="13" t="n">
        <v>168</v>
      </c>
      <c r="K1217" s="13" t="n">
        <v>166.7</v>
      </c>
      <c r="L1217" s="13" t="n">
        <v>128</v>
      </c>
      <c r="M1217" s="13" t="n">
        <v>152</v>
      </c>
      <c r="N1217" s="13" t="n">
        <v>125</v>
      </c>
      <c r="O1217" s="13" t="n">
        <v>80</v>
      </c>
      <c r="P1217" s="13" t="n">
        <v>113</v>
      </c>
      <c r="Q1217" s="13" t="n">
        <v>14.4</v>
      </c>
      <c r="R1217" s="13" t="n">
        <v>1742</v>
      </c>
      <c r="S1217" s="13" t="n">
        <v>0.9</v>
      </c>
      <c r="T1217" s="13" t="n">
        <v>1572</v>
      </c>
      <c r="U1217" s="13" t="n">
        <v>202</v>
      </c>
      <c r="V1217" s="13" t="n">
        <v>82</v>
      </c>
      <c r="W1217" s="13" t="n">
        <v>47</v>
      </c>
      <c r="X1217" s="13" t="n">
        <v>257</v>
      </c>
      <c r="Y1217" s="13" t="n">
        <v>13</v>
      </c>
      <c r="Z1217" s="13" t="n">
        <v>132</v>
      </c>
      <c r="AA1217" s="13" t="n">
        <v>0.269</v>
      </c>
      <c r="AB1217" s="13" t="n">
        <v>83</v>
      </c>
      <c r="AC1217" s="13" t="n">
        <v>60</v>
      </c>
      <c r="AD1217" s="13" t="n">
        <v>175</v>
      </c>
      <c r="AE1217" s="13" t="n">
        <v>10</v>
      </c>
      <c r="AF1217" s="13" t="n">
        <v>7.5</v>
      </c>
      <c r="AG1217" s="11" t="inlineStr">
        <is>
          <t xml:space="preserve"> Other</t>
        </is>
      </c>
      <c r="AH1217" s="13" t="n"/>
      <c r="AI1217" s="13" t="n"/>
      <c r="AJ1217" s="13" t="n"/>
      <c r="AK1217" s="42" t="n"/>
    </row>
    <row r="1218">
      <c r="E1218" s="40" t="inlineStr">
        <is>
          <t>21/22</t>
        </is>
      </c>
      <c r="F1218" s="10" t="inlineStr">
        <is>
          <t xml:space="preserve"> Rossignol</t>
        </is>
      </c>
      <c r="G1218" s="11" t="inlineStr">
        <is>
          <t>Experience 82 Basalt</t>
        </is>
      </c>
      <c r="H1218" s="13" t="n">
        <v>176</v>
      </c>
      <c r="I1218" s="11" t="inlineStr">
        <is>
          <t xml:space="preserve"> Unisex</t>
        </is>
      </c>
      <c r="J1218" s="13" t="n">
        <v>176</v>
      </c>
      <c r="K1218" s="13" t="n">
        <v>174.4</v>
      </c>
      <c r="L1218" s="13" t="n">
        <v>134</v>
      </c>
      <c r="M1218" s="13" t="n">
        <v>160</v>
      </c>
      <c r="N1218" s="13" t="n">
        <v>125</v>
      </c>
      <c r="O1218" s="13" t="n">
        <v>80</v>
      </c>
      <c r="P1218" s="13" t="n">
        <v>113</v>
      </c>
      <c r="Q1218" s="13" t="n">
        <v>16</v>
      </c>
      <c r="R1218" s="13" t="n">
        <v>1805</v>
      </c>
      <c r="S1218" s="13" t="n">
        <v>0.91</v>
      </c>
      <c r="T1218" s="13" t="n">
        <v>1639</v>
      </c>
      <c r="U1218" s="13" t="n">
        <v>241</v>
      </c>
      <c r="V1218" s="13" t="n">
        <v>89</v>
      </c>
      <c r="W1218" s="13" t="n">
        <v>48</v>
      </c>
      <c r="X1218" s="13" t="n">
        <v>266</v>
      </c>
      <c r="Y1218" s="13" t="n">
        <v>14</v>
      </c>
      <c r="Z1218" s="13" t="n">
        <v>134</v>
      </c>
      <c r="AA1218" s="13" t="n">
        <v>0.285</v>
      </c>
      <c r="AB1218" s="13" t="n">
        <v>77</v>
      </c>
      <c r="AC1218" s="13" t="n">
        <v>65</v>
      </c>
      <c r="AD1218" s="13" t="n">
        <v>189</v>
      </c>
      <c r="AE1218" s="13" t="n">
        <v>7</v>
      </c>
      <c r="AF1218" s="13" t="n">
        <v>6.1</v>
      </c>
      <c r="AG1218" s="11" t="inlineStr">
        <is>
          <t xml:space="preserve"> Other</t>
        </is>
      </c>
      <c r="AH1218" s="13" t="n"/>
      <c r="AI1218" s="13" t="n"/>
      <c r="AJ1218" s="13" t="n"/>
      <c r="AK1218" s="42" t="n"/>
    </row>
    <row r="1219">
      <c r="E1219" s="40" t="inlineStr">
        <is>
          <t>21/22</t>
        </is>
      </c>
      <c r="F1219" s="10" t="inlineStr">
        <is>
          <t xml:space="preserve"> Rossignol</t>
        </is>
      </c>
      <c r="G1219" s="11" t="inlineStr">
        <is>
          <t>Experience 82 Basalt W</t>
        </is>
      </c>
      <c r="H1219" s="13" t="n">
        <v>151</v>
      </c>
      <c r="I1219" s="11" t="inlineStr">
        <is>
          <t xml:space="preserve"> Women's</t>
        </is>
      </c>
      <c r="J1219" s="13" t="n">
        <v>151</v>
      </c>
      <c r="K1219" s="13" t="n">
        <v>150.4</v>
      </c>
      <c r="L1219" s="13" t="n">
        <v>111</v>
      </c>
      <c r="M1219" s="13" t="n">
        <v>136</v>
      </c>
      <c r="N1219" s="13" t="n">
        <v>125</v>
      </c>
      <c r="O1219" s="13" t="n">
        <v>80</v>
      </c>
      <c r="P1219" s="13" t="n">
        <v>113</v>
      </c>
      <c r="Q1219" s="13" t="n">
        <v>11.4</v>
      </c>
      <c r="R1219" s="13" t="n">
        <v>1601</v>
      </c>
      <c r="S1219" s="13" t="n">
        <v>0.89</v>
      </c>
      <c r="T1219" s="13" t="n">
        <v>1425</v>
      </c>
      <c r="U1219" s="13" t="n">
        <v>174</v>
      </c>
      <c r="V1219" s="13" t="n">
        <v>61</v>
      </c>
      <c r="W1219" s="13" t="n">
        <v>49</v>
      </c>
      <c r="X1219" s="13" t="n">
        <v>263</v>
      </c>
      <c r="Y1219" s="13" t="n">
        <v>13</v>
      </c>
      <c r="Z1219" s="13" t="n">
        <v>127</v>
      </c>
      <c r="AA1219" s="13" t="n">
        <v>0.259</v>
      </c>
      <c r="AB1219" s="13" t="n">
        <v>76</v>
      </c>
      <c r="AC1219" s="13" t="n">
        <v>68</v>
      </c>
      <c r="AD1219" s="13" t="n">
        <v>187</v>
      </c>
      <c r="AE1219" s="13" t="n">
        <v>8</v>
      </c>
      <c r="AF1219" s="13" t="n">
        <v>6.8</v>
      </c>
      <c r="AG1219" s="11" t="inlineStr">
        <is>
          <t xml:space="preserve"> Other</t>
        </is>
      </c>
      <c r="AH1219" s="13" t="n"/>
      <c r="AI1219" s="13" t="n"/>
      <c r="AJ1219" s="13" t="n"/>
      <c r="AK1219" s="42" t="n"/>
    </row>
    <row r="1220">
      <c r="E1220" s="40" t="inlineStr">
        <is>
          <t>21/22</t>
        </is>
      </c>
      <c r="F1220" s="10" t="inlineStr">
        <is>
          <t xml:space="preserve"> Rossignol</t>
        </is>
      </c>
      <c r="G1220" s="11" t="inlineStr">
        <is>
          <t>Experience 82 Basalt W</t>
        </is>
      </c>
      <c r="H1220" s="13" t="n">
        <v>159</v>
      </c>
      <c r="I1220" s="11" t="inlineStr">
        <is>
          <t xml:space="preserve"> Women's</t>
        </is>
      </c>
      <c r="J1220" s="13" t="n">
        <v>159</v>
      </c>
      <c r="K1220" s="13" t="n">
        <v>158.4</v>
      </c>
      <c r="L1220" s="13" t="n">
        <v>119</v>
      </c>
      <c r="M1220" s="13" t="n">
        <v>144</v>
      </c>
      <c r="N1220" s="13" t="n">
        <v>125</v>
      </c>
      <c r="O1220" s="13" t="n">
        <v>80</v>
      </c>
      <c r="P1220" s="13" t="n">
        <v>113</v>
      </c>
      <c r="Q1220" s="13" t="n">
        <v>12.8</v>
      </c>
      <c r="R1220" s="13" t="n">
        <v>1645</v>
      </c>
      <c r="S1220" s="13" t="n">
        <v>0.91</v>
      </c>
      <c r="T1220" s="13" t="n">
        <v>1501</v>
      </c>
      <c r="U1220" s="13" t="n">
        <v>182</v>
      </c>
      <c r="V1220" s="13" t="n">
        <v>79</v>
      </c>
      <c r="W1220" s="13" t="n">
        <v>47</v>
      </c>
      <c r="X1220" s="13" t="n">
        <v>262</v>
      </c>
      <c r="Y1220" s="13" t="n">
        <v>14</v>
      </c>
      <c r="Z1220" s="13" t="n">
        <v>128</v>
      </c>
      <c r="AA1220" s="13" t="n">
        <v>0.291</v>
      </c>
      <c r="AB1220" s="13" t="n">
        <v>84</v>
      </c>
      <c r="AC1220" s="13" t="n">
        <v>65</v>
      </c>
      <c r="AD1220" s="13" t="n">
        <v>178</v>
      </c>
      <c r="AE1220" s="13" t="n">
        <v>8</v>
      </c>
      <c r="AF1220" s="13" t="n">
        <v>7</v>
      </c>
      <c r="AG1220" s="11" t="inlineStr">
        <is>
          <t xml:space="preserve"> Resort Freeride</t>
        </is>
      </c>
      <c r="AH1220" s="13" t="n"/>
      <c r="AI1220" s="13" t="n"/>
      <c r="AJ1220" s="13" t="n"/>
      <c r="AK1220" s="42" t="n"/>
    </row>
    <row r="1221">
      <c r="E1221" s="40" t="inlineStr">
        <is>
          <t>21/22</t>
        </is>
      </c>
      <c r="F1221" s="10" t="inlineStr">
        <is>
          <t xml:space="preserve"> Rossignol</t>
        </is>
      </c>
      <c r="G1221" s="11" t="inlineStr">
        <is>
          <t>Experience 82 Ti</t>
        </is>
      </c>
      <c r="H1221" s="13" t="n">
        <v>160</v>
      </c>
      <c r="I1221" s="11" t="inlineStr">
        <is>
          <t xml:space="preserve"> Unisex</t>
        </is>
      </c>
      <c r="J1221" s="13" t="n">
        <v>160</v>
      </c>
      <c r="K1221" s="13" t="n">
        <v>158.4</v>
      </c>
      <c r="L1221" s="13" t="n">
        <v>119</v>
      </c>
      <c r="M1221" s="13" t="n">
        <v>144</v>
      </c>
      <c r="N1221" s="13" t="n">
        <v>125</v>
      </c>
      <c r="O1221" s="13" t="n">
        <v>79</v>
      </c>
      <c r="P1221" s="13" t="n">
        <v>113</v>
      </c>
      <c r="Q1221" s="13" t="n">
        <v>12.7</v>
      </c>
      <c r="R1221" s="13" t="n">
        <v>1703</v>
      </c>
      <c r="S1221" s="13" t="n">
        <v>0.88</v>
      </c>
      <c r="T1221" s="13" t="n">
        <v>1490</v>
      </c>
      <c r="U1221" s="13" t="n">
        <v>167</v>
      </c>
      <c r="V1221" s="13" t="n">
        <v>88</v>
      </c>
      <c r="W1221" s="13" t="n">
        <v>49</v>
      </c>
      <c r="X1221" s="13" t="n">
        <v>261</v>
      </c>
      <c r="Y1221" s="13" t="n">
        <v>14</v>
      </c>
      <c r="Z1221" s="13" t="n">
        <v>136</v>
      </c>
      <c r="AA1221" s="13" t="n">
        <v>0.291</v>
      </c>
      <c r="AB1221" s="13" t="n">
        <v>80</v>
      </c>
      <c r="AC1221" s="13" t="n">
        <v>63</v>
      </c>
      <c r="AD1221" s="13" t="n">
        <v>182</v>
      </c>
      <c r="AE1221" s="13" t="n">
        <v>7</v>
      </c>
      <c r="AF1221" s="13" t="n">
        <v>7</v>
      </c>
      <c r="AG1221" s="11" t="inlineStr">
        <is>
          <t xml:space="preserve"> Other</t>
        </is>
      </c>
      <c r="AH1221" s="13" t="n"/>
      <c r="AI1221" s="13" t="n"/>
      <c r="AJ1221" s="13" t="n"/>
      <c r="AK1221" s="42" t="n"/>
    </row>
    <row r="1222">
      <c r="E1222" s="40" t="inlineStr">
        <is>
          <t>21/22</t>
        </is>
      </c>
      <c r="F1222" s="10" t="inlineStr">
        <is>
          <t xml:space="preserve"> Rossignol</t>
        </is>
      </c>
      <c r="G1222" s="11" t="inlineStr">
        <is>
          <t>Experience 82 Ti W</t>
        </is>
      </c>
      <c r="H1222" s="13" t="n">
        <v>151</v>
      </c>
      <c r="I1222" s="11" t="inlineStr">
        <is>
          <t xml:space="preserve"> Women's</t>
        </is>
      </c>
      <c r="J1222" s="13" t="n">
        <v>151</v>
      </c>
      <c r="K1222" s="13" t="n">
        <v>150.4</v>
      </c>
      <c r="L1222" s="13" t="n">
        <v>111</v>
      </c>
      <c r="M1222" s="13" t="n">
        <v>136</v>
      </c>
      <c r="N1222" s="13" t="n">
        <v>125</v>
      </c>
      <c r="O1222" s="13" t="n">
        <v>80</v>
      </c>
      <c r="P1222" s="13" t="n">
        <v>113</v>
      </c>
      <c r="Q1222" s="13" t="n">
        <v>11.3</v>
      </c>
      <c r="R1222" s="13" t="n">
        <v>1660</v>
      </c>
      <c r="S1222" s="13" t="n">
        <v>0.86</v>
      </c>
      <c r="T1222" s="13" t="n">
        <v>1425</v>
      </c>
      <c r="U1222" s="13" t="n">
        <v>162</v>
      </c>
      <c r="V1222" s="13" t="n">
        <v>88</v>
      </c>
      <c r="W1222" s="13" t="n">
        <v>47</v>
      </c>
      <c r="X1222" s="13" t="n">
        <v>261</v>
      </c>
      <c r="Y1222" s="13" t="n">
        <v>14</v>
      </c>
      <c r="Z1222" s="13" t="n">
        <v>134</v>
      </c>
      <c r="AA1222" s="13" t="n">
        <v>0.291</v>
      </c>
      <c r="AB1222" s="13" t="n">
        <v>78</v>
      </c>
      <c r="AC1222" s="13" t="n">
        <v>63</v>
      </c>
      <c r="AD1222" s="13" t="n">
        <v>183</v>
      </c>
      <c r="AE1222" s="13" t="n">
        <v>8</v>
      </c>
      <c r="AF1222" s="13" t="n">
        <v>6.6</v>
      </c>
      <c r="AG1222" s="11" t="inlineStr">
        <is>
          <t xml:space="preserve"> Other</t>
        </is>
      </c>
      <c r="AH1222" s="13" t="n"/>
      <c r="AI1222" s="13" t="n"/>
      <c r="AJ1222" s="13" t="n"/>
      <c r="AK1222" s="42" t="n"/>
    </row>
    <row r="1223">
      <c r="E1223" s="40" t="inlineStr">
        <is>
          <t>21/22</t>
        </is>
      </c>
      <c r="F1223" s="10" t="inlineStr">
        <is>
          <t xml:space="preserve"> Rossignol</t>
        </is>
      </c>
      <c r="G1223" s="11" t="inlineStr">
        <is>
          <t>Experience 82 Ti W</t>
        </is>
      </c>
      <c r="H1223" s="13" t="n">
        <v>159</v>
      </c>
      <c r="I1223" s="11" t="inlineStr">
        <is>
          <t xml:space="preserve"> Women's</t>
        </is>
      </c>
      <c r="J1223" s="13" t="n">
        <v>159</v>
      </c>
      <c r="K1223" s="13" t="n">
        <v>158.2</v>
      </c>
      <c r="L1223" s="13" t="n">
        <v>119</v>
      </c>
      <c r="M1223" s="13" t="n">
        <v>144</v>
      </c>
      <c r="N1223" s="13" t="n">
        <v>125</v>
      </c>
      <c r="O1223" s="13" t="n">
        <v>80</v>
      </c>
      <c r="P1223" s="13" t="n">
        <v>114</v>
      </c>
      <c r="Q1223" s="13" t="n">
        <v>12.7</v>
      </c>
      <c r="R1223" s="13" t="n">
        <v>1746</v>
      </c>
      <c r="S1223" s="13" t="n">
        <v>0.86</v>
      </c>
      <c r="T1223" s="13" t="n">
        <v>1498</v>
      </c>
      <c r="U1223" s="13" t="n">
        <v>180</v>
      </c>
      <c r="V1223" s="13" t="n">
        <v>94</v>
      </c>
      <c r="W1223" s="13" t="n">
        <v>49</v>
      </c>
      <c r="X1223" s="13" t="n">
        <v>261</v>
      </c>
      <c r="Y1223" s="13" t="n">
        <v>15</v>
      </c>
      <c r="Z1223" s="13" t="n">
        <v>135</v>
      </c>
      <c r="AA1223" s="13" t="n">
        <v>0.304</v>
      </c>
      <c r="AB1223" s="13" t="n">
        <v>80</v>
      </c>
      <c r="AC1223" s="13" t="n">
        <v>62</v>
      </c>
      <c r="AD1223" s="13" t="n">
        <v>181</v>
      </c>
      <c r="AE1223" s="13" t="n">
        <v>8</v>
      </c>
      <c r="AF1223" s="13" t="n">
        <v>6.9</v>
      </c>
      <c r="AG1223" s="11" t="inlineStr">
        <is>
          <t xml:space="preserve"> Other</t>
        </is>
      </c>
      <c r="AH1223" s="13" t="n"/>
      <c r="AI1223" s="13" t="n"/>
      <c r="AJ1223" s="13" t="n"/>
      <c r="AK1223" s="42" t="n"/>
    </row>
    <row r="1224">
      <c r="E1224" s="40" t="inlineStr">
        <is>
          <t>21/22</t>
        </is>
      </c>
      <c r="F1224" s="10" t="inlineStr">
        <is>
          <t xml:space="preserve"> Rossignol</t>
        </is>
      </c>
      <c r="G1224" s="11" t="inlineStr">
        <is>
          <t>Experience 86 Basalt</t>
        </is>
      </c>
      <c r="H1224" s="13" t="n">
        <v>158</v>
      </c>
      <c r="I1224" s="11" t="inlineStr">
        <is>
          <t xml:space="preserve"> Unisex</t>
        </is>
      </c>
      <c r="J1224" s="13" t="n">
        <v>158</v>
      </c>
      <c r="K1224" s="13" t="n">
        <v>157.5</v>
      </c>
      <c r="L1224" s="13" t="n">
        <v>118</v>
      </c>
      <c r="M1224" s="13" t="n">
        <v>143</v>
      </c>
      <c r="N1224" s="13" t="n">
        <v>131</v>
      </c>
      <c r="O1224" s="13" t="n">
        <v>83</v>
      </c>
      <c r="P1224" s="13" t="n">
        <v>118</v>
      </c>
      <c r="Q1224" s="13" t="n">
        <v>12</v>
      </c>
      <c r="R1224" s="13" t="n">
        <v>1662</v>
      </c>
      <c r="S1224" s="13" t="n">
        <v>0.9399999999999999</v>
      </c>
      <c r="T1224" s="13" t="n">
        <v>1556</v>
      </c>
      <c r="U1224" s="13" t="n">
        <v>179</v>
      </c>
      <c r="V1224" s="13" t="n">
        <v>71</v>
      </c>
      <c r="W1224" s="13" t="n">
        <v>48</v>
      </c>
      <c r="X1224" s="13" t="n">
        <v>264</v>
      </c>
      <c r="Y1224" s="13" t="n">
        <v>13</v>
      </c>
      <c r="Z1224" s="13" t="n">
        <v>132</v>
      </c>
      <c r="AA1224" s="13" t="n">
        <v>0.283</v>
      </c>
      <c r="AB1224" s="13" t="n">
        <v>79</v>
      </c>
      <c r="AC1224" s="13" t="n">
        <v>67</v>
      </c>
      <c r="AD1224" s="13" t="n">
        <v>185</v>
      </c>
      <c r="AE1224" s="13" t="n">
        <v>7</v>
      </c>
      <c r="AF1224" s="13" t="n">
        <v>6.8</v>
      </c>
      <c r="AG1224" s="11" t="inlineStr">
        <is>
          <t xml:space="preserve"> Resort Freeride</t>
        </is>
      </c>
      <c r="AH1224" s="13" t="n"/>
      <c r="AI1224" s="13" t="n"/>
      <c r="AJ1224" s="13" t="n"/>
      <c r="AK1224" s="42" t="n"/>
    </row>
    <row r="1225">
      <c r="E1225" s="40" t="inlineStr">
        <is>
          <t>21/22</t>
        </is>
      </c>
      <c r="F1225" s="10" t="inlineStr">
        <is>
          <t xml:space="preserve"> Rossignol</t>
        </is>
      </c>
      <c r="G1225" s="11" t="inlineStr">
        <is>
          <t>Experience 86 Basalt</t>
        </is>
      </c>
      <c r="H1225" s="13" t="n">
        <v>167</v>
      </c>
      <c r="I1225" s="11" t="inlineStr">
        <is>
          <t xml:space="preserve"> Unisex</t>
        </is>
      </c>
      <c r="J1225" s="13" t="n">
        <v>167</v>
      </c>
      <c r="K1225" s="13" t="n">
        <v>166.4</v>
      </c>
      <c r="L1225" s="13" t="n">
        <v>127</v>
      </c>
      <c r="M1225" s="13" t="n">
        <v>152</v>
      </c>
      <c r="N1225" s="13" t="n">
        <v>131</v>
      </c>
      <c r="O1225" s="13" t="n">
        <v>83</v>
      </c>
      <c r="P1225" s="13" t="n">
        <v>119</v>
      </c>
      <c r="Q1225" s="13" t="n">
        <v>13.4</v>
      </c>
      <c r="R1225" s="13" t="n">
        <v>1799</v>
      </c>
      <c r="S1225" s="13" t="n">
        <v>0.91</v>
      </c>
      <c r="T1225" s="13" t="n">
        <v>1643</v>
      </c>
      <c r="U1225" s="13" t="n">
        <v>198</v>
      </c>
      <c r="V1225" s="13" t="n">
        <v>80</v>
      </c>
      <c r="W1225" s="13" t="n">
        <v>46</v>
      </c>
      <c r="X1225" s="13" t="n">
        <v>261</v>
      </c>
      <c r="Y1225" s="13" t="n">
        <v>13</v>
      </c>
      <c r="Z1225" s="13" t="n">
        <v>129</v>
      </c>
      <c r="AA1225" s="13" t="n">
        <v>0.278</v>
      </c>
      <c r="AB1225" s="13" t="n">
        <v>74</v>
      </c>
      <c r="AC1225" s="13" t="n">
        <v>67</v>
      </c>
      <c r="AD1225" s="13" t="n">
        <v>186</v>
      </c>
      <c r="AE1225" s="13" t="n">
        <v>8</v>
      </c>
      <c r="AF1225" s="13" t="n">
        <v>6.7</v>
      </c>
      <c r="AG1225" s="11" t="inlineStr">
        <is>
          <t xml:space="preserve"> Resort Freeride</t>
        </is>
      </c>
      <c r="AH1225" s="13" t="n"/>
      <c r="AI1225" s="13" t="n"/>
      <c r="AJ1225" s="13" t="n"/>
      <c r="AK1225" s="42" t="n"/>
    </row>
    <row r="1226">
      <c r="E1226" s="40" t="inlineStr">
        <is>
          <t>21/22</t>
        </is>
      </c>
      <c r="F1226" s="10" t="inlineStr">
        <is>
          <t xml:space="preserve"> Rossignol</t>
        </is>
      </c>
      <c r="G1226" s="11" t="inlineStr">
        <is>
          <t>Experience 86 Basalt</t>
        </is>
      </c>
      <c r="H1226" s="13" t="n">
        <v>176</v>
      </c>
      <c r="I1226" s="11" t="inlineStr">
        <is>
          <t xml:space="preserve"> Unisex</t>
        </is>
      </c>
      <c r="J1226" s="13" t="n">
        <v>176</v>
      </c>
      <c r="K1226" s="13" t="n">
        <v>175.5</v>
      </c>
      <c r="L1226" s="13" t="n">
        <v>137</v>
      </c>
      <c r="M1226" s="13" t="n">
        <v>161</v>
      </c>
      <c r="N1226" s="13" t="n">
        <v>131</v>
      </c>
      <c r="O1226" s="13" t="n">
        <v>84</v>
      </c>
      <c r="P1226" s="13" t="n">
        <v>119</v>
      </c>
      <c r="Q1226" s="13" t="n">
        <v>15.4</v>
      </c>
      <c r="R1226" s="13" t="n">
        <v>1911</v>
      </c>
      <c r="S1226" s="13" t="n">
        <v>0.91</v>
      </c>
      <c r="T1226" s="13" t="n">
        <v>1733</v>
      </c>
      <c r="U1226" s="13" t="n">
        <v>230</v>
      </c>
      <c r="V1226" s="13" t="n">
        <v>92</v>
      </c>
      <c r="W1226" s="13" t="n">
        <v>47</v>
      </c>
      <c r="X1226" s="13" t="n">
        <v>258</v>
      </c>
      <c r="Y1226" s="13" t="n">
        <v>13</v>
      </c>
      <c r="Z1226" s="13" t="n">
        <v>126</v>
      </c>
      <c r="AA1226" s="13" t="n">
        <v>0.269</v>
      </c>
      <c r="AB1226" s="13" t="n">
        <v>73</v>
      </c>
      <c r="AC1226" s="13" t="n">
        <v>67</v>
      </c>
      <c r="AD1226" s="13" t="n">
        <v>184</v>
      </c>
      <c r="AE1226" s="13" t="n">
        <v>10</v>
      </c>
      <c r="AF1226" s="13" t="n">
        <v>6.9</v>
      </c>
      <c r="AG1226" s="11" t="inlineStr">
        <is>
          <t xml:space="preserve"> Resort Freeride</t>
        </is>
      </c>
      <c r="AH1226" s="13" t="n"/>
      <c r="AI1226" s="13" t="n"/>
      <c r="AJ1226" s="13" t="n"/>
      <c r="AK1226" s="42" t="n"/>
    </row>
    <row r="1227">
      <c r="E1227" s="40" t="inlineStr">
        <is>
          <t>21/22</t>
        </is>
      </c>
      <c r="F1227" s="10" t="inlineStr">
        <is>
          <t xml:space="preserve"> Rossignol</t>
        </is>
      </c>
      <c r="G1227" s="11" t="inlineStr">
        <is>
          <t>Experience 86 Basalt W</t>
        </is>
      </c>
      <c r="H1227" s="13" t="n">
        <v>148</v>
      </c>
      <c r="I1227" s="11" t="inlineStr">
        <is>
          <t xml:space="preserve"> Women's</t>
        </is>
      </c>
      <c r="J1227" s="13" t="n">
        <v>148</v>
      </c>
      <c r="K1227" s="13" t="n">
        <v>148.4</v>
      </c>
      <c r="L1227" s="13" t="n">
        <v>109</v>
      </c>
      <c r="M1227" s="13" t="n">
        <v>134</v>
      </c>
      <c r="N1227" s="13" t="n">
        <v>131</v>
      </c>
      <c r="O1227" s="13" t="n">
        <v>84</v>
      </c>
      <c r="P1227" s="13" t="n">
        <v>119</v>
      </c>
      <c r="Q1227" s="13" t="n">
        <v>10.4</v>
      </c>
      <c r="R1227" s="13" t="n">
        <v>1654</v>
      </c>
      <c r="S1227" s="13" t="n">
        <v>0.89</v>
      </c>
      <c r="T1227" s="13" t="n">
        <v>1474</v>
      </c>
      <c r="U1227" s="13" t="n">
        <v>178</v>
      </c>
      <c r="V1227" s="13" t="n">
        <v>74</v>
      </c>
      <c r="W1227" s="13" t="n">
        <v>51</v>
      </c>
      <c r="X1227" s="13" t="n">
        <v>263</v>
      </c>
      <c r="Y1227" s="13" t="n">
        <v>13</v>
      </c>
      <c r="Z1227" s="13" t="n">
        <v>129</v>
      </c>
      <c r="AA1227" s="13" t="n">
        <v>0.264</v>
      </c>
      <c r="AB1227" s="13" t="n">
        <v>78</v>
      </c>
      <c r="AC1227" s="13" t="n">
        <v>66</v>
      </c>
      <c r="AD1227" s="13" t="n">
        <v>185</v>
      </c>
      <c r="AE1227" s="13" t="n">
        <v>8</v>
      </c>
      <c r="AF1227" s="13" t="n">
        <v>6.4</v>
      </c>
      <c r="AG1227" s="11" t="inlineStr">
        <is>
          <t xml:space="preserve"> Resort Freeride</t>
        </is>
      </c>
      <c r="AH1227" s="13" t="n"/>
      <c r="AI1227" s="13" t="n"/>
      <c r="AJ1227" s="13" t="n"/>
      <c r="AK1227" s="42" t="n"/>
    </row>
    <row r="1228">
      <c r="E1228" s="40" t="inlineStr">
        <is>
          <t>21/22</t>
        </is>
      </c>
      <c r="F1228" s="10" t="inlineStr">
        <is>
          <t xml:space="preserve"> Rossignol</t>
        </is>
      </c>
      <c r="G1228" s="11" t="inlineStr">
        <is>
          <t>Experience 86 Basalt W</t>
        </is>
      </c>
      <c r="H1228" s="13" t="n">
        <v>166</v>
      </c>
      <c r="I1228" s="11" t="inlineStr">
        <is>
          <t xml:space="preserve"> Women's</t>
        </is>
      </c>
      <c r="J1228" s="13" t="n">
        <v>166</v>
      </c>
      <c r="K1228" s="13" t="n">
        <v>166.5</v>
      </c>
      <c r="L1228" s="13" t="n">
        <v>128</v>
      </c>
      <c r="M1228" s="13" t="n">
        <v>153</v>
      </c>
      <c r="N1228" s="13" t="n">
        <v>131</v>
      </c>
      <c r="O1228" s="13" t="n">
        <v>84</v>
      </c>
      <c r="P1228" s="13" t="n">
        <v>120</v>
      </c>
      <c r="Q1228" s="13" t="n">
        <v>13.6</v>
      </c>
      <c r="R1228" s="13" t="n">
        <v>1821</v>
      </c>
      <c r="S1228" s="13" t="n">
        <v>0.91</v>
      </c>
      <c r="T1228" s="13" t="n">
        <v>1657</v>
      </c>
      <c r="U1228" s="13" t="n">
        <v>202</v>
      </c>
      <c r="V1228" s="13" t="n">
        <v>87</v>
      </c>
      <c r="W1228" s="13" t="n">
        <v>46</v>
      </c>
      <c r="X1228" s="13" t="n">
        <v>259</v>
      </c>
      <c r="Y1228" s="13" t="n">
        <v>13</v>
      </c>
      <c r="Z1228" s="13" t="n">
        <v>129</v>
      </c>
      <c r="AA1228" s="13" t="n">
        <v>0.273</v>
      </c>
      <c r="AB1228" s="13" t="n">
        <v>73</v>
      </c>
      <c r="AC1228" s="13" t="n">
        <v>64</v>
      </c>
      <c r="AD1228" s="13" t="n">
        <v>186</v>
      </c>
      <c r="AE1228" s="13" t="n">
        <v>9</v>
      </c>
      <c r="AF1228" s="13" t="n">
        <v>6.8</v>
      </c>
      <c r="AG1228" s="11" t="inlineStr">
        <is>
          <t xml:space="preserve"> Resort Freeride</t>
        </is>
      </c>
      <c r="AH1228" s="13" t="n"/>
      <c r="AI1228" s="13" t="n"/>
      <c r="AJ1228" s="13" t="n"/>
      <c r="AK1228" s="42" t="n"/>
    </row>
    <row r="1229">
      <c r="E1229" s="40" t="inlineStr">
        <is>
          <t>21/22</t>
        </is>
      </c>
      <c r="F1229" s="10" t="inlineStr">
        <is>
          <t xml:space="preserve"> Rossignol</t>
        </is>
      </c>
      <c r="G1229" s="11" t="inlineStr">
        <is>
          <t>Experience 86 Ti</t>
        </is>
      </c>
      <c r="H1229" s="13" t="n">
        <v>167</v>
      </c>
      <c r="I1229" s="11" t="inlineStr">
        <is>
          <t xml:space="preserve"> Unisex</t>
        </is>
      </c>
      <c r="J1229" s="13" t="n">
        <v>167</v>
      </c>
      <c r="K1229" s="13" t="n">
        <v>166.4</v>
      </c>
      <c r="L1229" s="13" t="n">
        <v>128</v>
      </c>
      <c r="M1229" s="13" t="n">
        <v>152</v>
      </c>
      <c r="N1229" s="13" t="n">
        <v>131</v>
      </c>
      <c r="O1229" s="13" t="n">
        <v>83</v>
      </c>
      <c r="P1229" s="13" t="n">
        <v>119</v>
      </c>
      <c r="Q1229" s="13" t="n">
        <v>13.6</v>
      </c>
      <c r="R1229" s="11" t="inlineStr">
        <is>
          <t xml:space="preserve"> None</t>
        </is>
      </c>
      <c r="S1229" s="11" t="inlineStr">
        <is>
          <t xml:space="preserve"> None</t>
        </is>
      </c>
      <c r="T1229" s="13" t="n">
        <v>1643</v>
      </c>
      <c r="U1229" s="13" t="n">
        <v>184</v>
      </c>
      <c r="V1229" s="13" t="n">
        <v>113</v>
      </c>
      <c r="W1229" s="13" t="n">
        <v>47</v>
      </c>
      <c r="X1229" s="13" t="n">
        <v>250</v>
      </c>
      <c r="Y1229" s="13" t="n">
        <v>14</v>
      </c>
      <c r="Z1229" s="13" t="n">
        <v>133</v>
      </c>
      <c r="AA1229" s="13" t="n">
        <v>0.304</v>
      </c>
      <c r="AB1229" s="13" t="n">
        <v>82</v>
      </c>
      <c r="AC1229" s="13" t="n">
        <v>64</v>
      </c>
      <c r="AD1229" s="13" t="n">
        <v>168</v>
      </c>
      <c r="AE1229" s="13" t="n">
        <v>11</v>
      </c>
      <c r="AF1229" s="13" t="n">
        <v>6.9</v>
      </c>
      <c r="AG1229" s="11" t="inlineStr">
        <is>
          <t xml:space="preserve"> Other</t>
        </is>
      </c>
      <c r="AH1229" s="13" t="n"/>
      <c r="AI1229" s="13" t="n"/>
      <c r="AJ1229" s="13" t="n"/>
      <c r="AK1229" s="42" t="n"/>
    </row>
    <row r="1230">
      <c r="E1230" s="40" t="inlineStr">
        <is>
          <t>21/22</t>
        </is>
      </c>
      <c r="F1230" s="10" t="inlineStr">
        <is>
          <t xml:space="preserve"> Rossignol</t>
        </is>
      </c>
      <c r="G1230" s="11" t="inlineStr">
        <is>
          <t>Experience 86 Ti</t>
        </is>
      </c>
      <c r="H1230" s="13" t="n">
        <v>176</v>
      </c>
      <c r="I1230" s="11" t="inlineStr">
        <is>
          <t xml:space="preserve"> Unisex</t>
        </is>
      </c>
      <c r="J1230" s="13" t="n">
        <v>176</v>
      </c>
      <c r="K1230" s="13" t="n">
        <v>175.5</v>
      </c>
      <c r="L1230" s="13" t="n">
        <v>136</v>
      </c>
      <c r="M1230" s="13" t="n">
        <v>161</v>
      </c>
      <c r="N1230" s="13" t="n">
        <v>131</v>
      </c>
      <c r="O1230" s="13" t="n">
        <v>84</v>
      </c>
      <c r="P1230" s="13" t="n">
        <v>119</v>
      </c>
      <c r="Q1230" s="13" t="n">
        <v>15.4</v>
      </c>
      <c r="R1230" s="13" t="n">
        <v>2061</v>
      </c>
      <c r="S1230" s="13" t="n">
        <v>0.84</v>
      </c>
      <c r="T1230" s="13" t="n">
        <v>1732</v>
      </c>
      <c r="U1230" s="13" t="n">
        <v>234</v>
      </c>
      <c r="V1230" s="13" t="n">
        <v>137</v>
      </c>
      <c r="W1230" s="13" t="n">
        <v>49</v>
      </c>
      <c r="X1230" s="13" t="n">
        <v>259</v>
      </c>
      <c r="Y1230" s="13" t="n">
        <v>14</v>
      </c>
      <c r="Z1230" s="13" t="n">
        <v>136</v>
      </c>
      <c r="AA1230" s="13" t="n">
        <v>0.29</v>
      </c>
      <c r="AB1230" s="13" t="n">
        <v>76</v>
      </c>
      <c r="AC1230" s="13" t="n">
        <v>64</v>
      </c>
      <c r="AD1230" s="13" t="n">
        <v>183</v>
      </c>
      <c r="AE1230" s="13" t="n">
        <v>10</v>
      </c>
      <c r="AF1230" s="13" t="n">
        <v>6.9</v>
      </c>
      <c r="AG1230" s="11" t="inlineStr">
        <is>
          <t xml:space="preserve"> Resort Freeride</t>
        </is>
      </c>
      <c r="AH1230" s="13" t="n"/>
      <c r="AI1230" s="13" t="n"/>
      <c r="AJ1230" s="13" t="n"/>
      <c r="AK1230" s="42" t="n"/>
    </row>
    <row r="1231">
      <c r="E1231" s="40" t="inlineStr">
        <is>
          <t>21/22</t>
        </is>
      </c>
      <c r="F1231" s="10" t="inlineStr">
        <is>
          <t xml:space="preserve"> Rossignol</t>
        </is>
      </c>
      <c r="G1231" s="11" t="inlineStr">
        <is>
          <t xml:space="preserve"> Hero Elite Long Turn Ti</t>
        </is>
      </c>
      <c r="H1231" s="13" t="n">
        <v>167</v>
      </c>
      <c r="I1231" s="11" t="inlineStr">
        <is>
          <t xml:space="preserve"> Unisex</t>
        </is>
      </c>
      <c r="J1231" s="13" t="n">
        <v>167</v>
      </c>
      <c r="K1231" s="13" t="n">
        <v>166.3</v>
      </c>
      <c r="L1231" s="13" t="n">
        <v>145</v>
      </c>
      <c r="M1231" s="13" t="n">
        <v>155</v>
      </c>
      <c r="N1231" s="13" t="n">
        <v>118</v>
      </c>
      <c r="O1231" s="13" t="n">
        <v>70</v>
      </c>
      <c r="P1231" s="13" t="n">
        <v>100</v>
      </c>
      <c r="Q1231" s="13" t="n">
        <v>15.3</v>
      </c>
      <c r="R1231" s="13" t="n">
        <v>1969</v>
      </c>
      <c r="S1231" s="13" t="n">
        <v>0.71</v>
      </c>
      <c r="T1231" s="13" t="n">
        <v>1398</v>
      </c>
      <c r="U1231" s="13" t="n">
        <v>240</v>
      </c>
      <c r="V1231" s="13" t="n">
        <v>135</v>
      </c>
      <c r="W1231" s="13" t="n">
        <v>42</v>
      </c>
      <c r="X1231" s="13" t="n">
        <v>161</v>
      </c>
      <c r="Y1231" s="13" t="n">
        <v>5</v>
      </c>
      <c r="Z1231" s="13" t="n">
        <v>54</v>
      </c>
      <c r="AA1231" s="13" t="n">
        <v>0.118</v>
      </c>
      <c r="AB1231" s="13" t="n">
        <v>69</v>
      </c>
      <c r="AC1231" s="13" t="n">
        <v>41</v>
      </c>
      <c r="AD1231" s="13" t="n">
        <v>93</v>
      </c>
      <c r="AE1231" s="13" t="n">
        <v>10</v>
      </c>
      <c r="AF1231" s="13" t="n">
        <v>11.1</v>
      </c>
      <c r="AG1231" s="11" t="inlineStr">
        <is>
          <t xml:space="preserve"> On-Piste Carving</t>
        </is>
      </c>
      <c r="AH1231" s="13" t="n"/>
      <c r="AI1231" s="13" t="n"/>
      <c r="AJ1231" s="13" t="n"/>
      <c r="AK1231" s="42" t="n"/>
    </row>
    <row r="1232">
      <c r="E1232" s="40" t="inlineStr">
        <is>
          <t>21/22</t>
        </is>
      </c>
      <c r="F1232" s="10" t="inlineStr">
        <is>
          <t xml:space="preserve"> Rossignol</t>
        </is>
      </c>
      <c r="G1232" s="11" t="inlineStr">
        <is>
          <t xml:space="preserve"> Hero Elite Long Turn Ti</t>
        </is>
      </c>
      <c r="H1232" s="13" t="n">
        <v>172</v>
      </c>
      <c r="I1232" s="11" t="inlineStr">
        <is>
          <t xml:space="preserve"> Unisex</t>
        </is>
      </c>
      <c r="J1232" s="13" t="n">
        <v>172</v>
      </c>
      <c r="K1232" s="13" t="n">
        <v>171.4</v>
      </c>
      <c r="L1232" s="13" t="n">
        <v>151</v>
      </c>
      <c r="M1232" s="13" t="n">
        <v>160</v>
      </c>
      <c r="N1232" s="13" t="n">
        <v>118</v>
      </c>
      <c r="O1232" s="13" t="n">
        <v>69</v>
      </c>
      <c r="P1232" s="13" t="n">
        <v>100</v>
      </c>
      <c r="Q1232" s="13" t="n">
        <v>16.4</v>
      </c>
      <c r="R1232" s="13" t="n">
        <v>2051</v>
      </c>
      <c r="S1232" s="13" t="n">
        <v>0.7</v>
      </c>
      <c r="T1232" s="13" t="n">
        <v>1435</v>
      </c>
      <c r="U1232" s="13" t="n">
        <v>263</v>
      </c>
      <c r="V1232" s="13" t="n">
        <v>145</v>
      </c>
      <c r="W1232" s="13" t="n">
        <v>39</v>
      </c>
      <c r="X1232" s="13" t="n">
        <v>147</v>
      </c>
      <c r="Y1232" s="13" t="n">
        <v>4</v>
      </c>
      <c r="Z1232" s="13" t="n">
        <v>52</v>
      </c>
      <c r="AA1232" s="13" t="n">
        <v>0.115</v>
      </c>
      <c r="AB1232" s="13" t="n">
        <v>71</v>
      </c>
      <c r="AC1232" s="13" t="n">
        <v>44</v>
      </c>
      <c r="AD1232" s="13" t="n">
        <v>76</v>
      </c>
      <c r="AE1232" s="13" t="n">
        <v>11</v>
      </c>
      <c r="AF1232" s="13" t="n">
        <v>11.4</v>
      </c>
      <c r="AG1232" s="11" t="inlineStr">
        <is>
          <t xml:space="preserve"> On-Piste Carving</t>
        </is>
      </c>
      <c r="AH1232" s="13" t="n"/>
      <c r="AI1232" s="13" t="n"/>
      <c r="AJ1232" s="13" t="n"/>
      <c r="AK1232" s="42" t="n"/>
    </row>
    <row r="1233">
      <c r="E1233" s="40" t="inlineStr">
        <is>
          <t>21/22</t>
        </is>
      </c>
      <c r="F1233" s="10" t="inlineStr">
        <is>
          <t xml:space="preserve"> Rossignol</t>
        </is>
      </c>
      <c r="G1233" s="11" t="inlineStr">
        <is>
          <t xml:space="preserve"> Hero Elite Multi Turn Ca</t>
        </is>
      </c>
      <c r="H1233" s="13" t="n">
        <v>167</v>
      </c>
      <c r="I1233" s="11" t="inlineStr">
        <is>
          <t xml:space="preserve"> Unisex</t>
        </is>
      </c>
      <c r="J1233" s="13" t="n">
        <v>167</v>
      </c>
      <c r="K1233" s="13" t="n">
        <v>167.5</v>
      </c>
      <c r="L1233" s="13" t="n">
        <v>147</v>
      </c>
      <c r="M1233" s="13" t="n">
        <v>154</v>
      </c>
      <c r="N1233" s="13" t="n">
        <v>122</v>
      </c>
      <c r="O1233" s="13" t="n">
        <v>73</v>
      </c>
      <c r="P1233" s="13" t="n">
        <v>108</v>
      </c>
      <c r="Q1233" s="13" t="n">
        <v>13.9</v>
      </c>
      <c r="R1233" s="13" t="n">
        <v>1803</v>
      </c>
      <c r="S1233" s="13" t="n">
        <v>0.83</v>
      </c>
      <c r="T1233" s="13" t="n">
        <v>1491</v>
      </c>
      <c r="U1233" s="13" t="n">
        <v>209</v>
      </c>
      <c r="V1233" s="13" t="n">
        <v>85</v>
      </c>
      <c r="W1233" s="13" t="n">
        <v>39</v>
      </c>
      <c r="X1233" s="13" t="n">
        <v>141</v>
      </c>
      <c r="Y1233" s="13" t="n">
        <v>4</v>
      </c>
      <c r="Z1233" s="13" t="n">
        <v>66</v>
      </c>
      <c r="AA1233" s="13" t="n">
        <v>0.111</v>
      </c>
      <c r="AB1233" s="13" t="n">
        <v>79</v>
      </c>
      <c r="AC1233" s="13" t="n">
        <v>59</v>
      </c>
      <c r="AD1233" s="13" t="n">
        <v>63</v>
      </c>
      <c r="AE1233" s="13" t="n">
        <v>11</v>
      </c>
      <c r="AF1233" s="13" t="n">
        <v>10.5</v>
      </c>
      <c r="AG1233" s="11" t="inlineStr">
        <is>
          <t xml:space="preserve"> On-Piste Carving</t>
        </is>
      </c>
      <c r="AH1233" s="13" t="n"/>
      <c r="AI1233" s="13" t="n"/>
      <c r="AJ1233" s="13" t="n"/>
      <c r="AK1233" s="42" t="n"/>
    </row>
    <row r="1234">
      <c r="E1234" s="40" t="inlineStr">
        <is>
          <t>21/22</t>
        </is>
      </c>
      <c r="F1234" s="10" t="inlineStr">
        <is>
          <t xml:space="preserve"> Rossignol</t>
        </is>
      </c>
      <c r="G1234" s="11" t="inlineStr">
        <is>
          <t xml:space="preserve"> Hero Elite Multi Turn Ca</t>
        </is>
      </c>
      <c r="H1234" s="13" t="n">
        <v>175</v>
      </c>
      <c r="I1234" s="11" t="inlineStr">
        <is>
          <t xml:space="preserve"> Unisex</t>
        </is>
      </c>
      <c r="J1234" s="13" t="n">
        <v>175</v>
      </c>
      <c r="K1234" s="13" t="n">
        <v>174.4</v>
      </c>
      <c r="L1234" s="13" t="n">
        <v>148</v>
      </c>
      <c r="M1234" s="13" t="n">
        <v>161</v>
      </c>
      <c r="N1234" s="13" t="n">
        <v>122</v>
      </c>
      <c r="O1234" s="13" t="n">
        <v>73</v>
      </c>
      <c r="P1234" s="13" t="n">
        <v>108</v>
      </c>
      <c r="Q1234" s="13" t="n">
        <v>15.2</v>
      </c>
      <c r="R1234" s="13" t="n">
        <v>1895</v>
      </c>
      <c r="S1234" s="13" t="n">
        <v>0.82</v>
      </c>
      <c r="T1234" s="13" t="n">
        <v>1550</v>
      </c>
      <c r="U1234" s="13" t="n">
        <v>233</v>
      </c>
      <c r="V1234" s="13" t="n">
        <v>87</v>
      </c>
      <c r="W1234" s="13" t="n">
        <v>40</v>
      </c>
      <c r="X1234" s="13" t="n">
        <v>196</v>
      </c>
      <c r="Y1234" s="13" t="n">
        <v>4</v>
      </c>
      <c r="Z1234" s="13" t="n">
        <v>66</v>
      </c>
      <c r="AA1234" s="13" t="n">
        <v>0.109</v>
      </c>
      <c r="AB1234" s="13" t="n">
        <v>73</v>
      </c>
      <c r="AC1234" s="13" t="n">
        <v>60</v>
      </c>
      <c r="AD1234" s="13" t="n">
        <v>122</v>
      </c>
      <c r="AE1234" s="13" t="n">
        <v>10</v>
      </c>
      <c r="AF1234" s="13" t="n">
        <v>10.2</v>
      </c>
      <c r="AG1234" s="11" t="inlineStr">
        <is>
          <t xml:space="preserve"> On-Piste Carving</t>
        </is>
      </c>
      <c r="AH1234" s="13" t="n"/>
      <c r="AI1234" s="13" t="n"/>
      <c r="AJ1234" s="13" t="n"/>
      <c r="AK1234" s="42" t="n"/>
    </row>
    <row r="1235">
      <c r="E1235" s="40" t="inlineStr">
        <is>
          <t>21/22</t>
        </is>
      </c>
      <c r="F1235" s="10" t="inlineStr">
        <is>
          <t xml:space="preserve"> Rossignol</t>
        </is>
      </c>
      <c r="G1235" s="11" t="inlineStr">
        <is>
          <t xml:space="preserve"> Hero Elite Multi Turn Ti</t>
        </is>
      </c>
      <c r="H1235" s="13" t="n">
        <v>159</v>
      </c>
      <c r="I1235" s="11" t="inlineStr">
        <is>
          <t xml:space="preserve"> Unisex</t>
        </is>
      </c>
      <c r="J1235" s="13" t="n">
        <v>159</v>
      </c>
      <c r="K1235" s="13" t="n">
        <v>158.6</v>
      </c>
      <c r="L1235" s="13" t="n">
        <v>135</v>
      </c>
      <c r="M1235" s="13" t="n">
        <v>145</v>
      </c>
      <c r="N1235" s="13" t="n">
        <v>122</v>
      </c>
      <c r="O1235" s="13" t="n">
        <v>73</v>
      </c>
      <c r="P1235" s="13" t="n">
        <v>109</v>
      </c>
      <c r="Q1235" s="13" t="n">
        <v>12.2</v>
      </c>
      <c r="R1235" s="13" t="n">
        <v>1687</v>
      </c>
      <c r="S1235" s="13" t="n">
        <v>0.84</v>
      </c>
      <c r="T1235" s="13" t="n">
        <v>1412</v>
      </c>
      <c r="U1235" s="13" t="n">
        <v>184</v>
      </c>
      <c r="V1235" s="13" t="n">
        <v>74</v>
      </c>
      <c r="W1235" s="13" t="n">
        <v>41</v>
      </c>
      <c r="X1235" s="13" t="n">
        <v>170</v>
      </c>
      <c r="Y1235" s="13" t="n">
        <v>4</v>
      </c>
      <c r="Z1235" s="13" t="n">
        <v>65</v>
      </c>
      <c r="AA1235" s="13" t="n">
        <v>0.104</v>
      </c>
      <c r="AB1235" s="13" t="n">
        <v>79</v>
      </c>
      <c r="AC1235" s="13" t="n">
        <v>61</v>
      </c>
      <c r="AD1235" s="13" t="n">
        <v>91</v>
      </c>
      <c r="AE1235" s="13" t="n">
        <v>11</v>
      </c>
      <c r="AF1235" s="13" t="n">
        <v>10.2</v>
      </c>
      <c r="AG1235" s="11" t="inlineStr">
        <is>
          <t xml:space="preserve"> On-Piste Carving</t>
        </is>
      </c>
      <c r="AH1235" s="13" t="n"/>
      <c r="AI1235" s="13" t="n"/>
      <c r="AJ1235" s="13" t="n"/>
      <c r="AK1235" s="42" t="n"/>
    </row>
    <row r="1236">
      <c r="E1236" s="40" t="inlineStr">
        <is>
          <t>21/22</t>
        </is>
      </c>
      <c r="F1236" s="10" t="inlineStr">
        <is>
          <t xml:space="preserve"> Rossignol</t>
        </is>
      </c>
      <c r="G1236" s="11" t="inlineStr">
        <is>
          <t xml:space="preserve"> Hero Elite Multi Turn Ti</t>
        </is>
      </c>
      <c r="H1236" s="13" t="n">
        <v>167</v>
      </c>
      <c r="I1236" s="11" t="inlineStr">
        <is>
          <t xml:space="preserve"> Unisex</t>
        </is>
      </c>
      <c r="J1236" s="13" t="n">
        <v>167</v>
      </c>
      <c r="K1236" s="13" t="n">
        <v>167.5</v>
      </c>
      <c r="L1236" s="13" t="n">
        <v>147</v>
      </c>
      <c r="M1236" s="13" t="n">
        <v>154</v>
      </c>
      <c r="N1236" s="13" t="n">
        <v>122</v>
      </c>
      <c r="O1236" s="13" t="n">
        <v>73</v>
      </c>
      <c r="P1236" s="13" t="n">
        <v>108</v>
      </c>
      <c r="Q1236" s="13" t="n">
        <v>14</v>
      </c>
      <c r="R1236" s="13" t="n">
        <v>1813</v>
      </c>
      <c r="S1236" s="13" t="n">
        <v>0.82</v>
      </c>
      <c r="T1236" s="13" t="n">
        <v>1492</v>
      </c>
      <c r="U1236" s="13" t="n">
        <v>198</v>
      </c>
      <c r="V1236" s="13" t="n">
        <v>74</v>
      </c>
      <c r="W1236" s="13" t="n">
        <v>38</v>
      </c>
      <c r="X1236" s="13" t="n">
        <v>136</v>
      </c>
      <c r="Y1236" s="13" t="n">
        <v>5</v>
      </c>
      <c r="Z1236" s="13" t="n">
        <v>68</v>
      </c>
      <c r="AA1236" s="13" t="n">
        <v>0.131</v>
      </c>
      <c r="AB1236" s="13" t="n">
        <v>79</v>
      </c>
      <c r="AC1236" s="13" t="n">
        <v>59</v>
      </c>
      <c r="AD1236" s="13" t="n">
        <v>57</v>
      </c>
      <c r="AE1236" s="13" t="n">
        <v>10</v>
      </c>
      <c r="AF1236" s="13" t="n">
        <v>10.2</v>
      </c>
      <c r="AG1236" s="11" t="inlineStr">
        <is>
          <t xml:space="preserve"> On-Piste Carving</t>
        </is>
      </c>
      <c r="AH1236" s="13" t="n"/>
      <c r="AI1236" s="13" t="n"/>
      <c r="AJ1236" s="13" t="n"/>
      <c r="AK1236" s="42" t="n"/>
    </row>
    <row r="1237">
      <c r="E1237" s="40" t="inlineStr">
        <is>
          <t>21/22</t>
        </is>
      </c>
      <c r="F1237" s="10" t="inlineStr">
        <is>
          <t xml:space="preserve"> Rossignol</t>
        </is>
      </c>
      <c r="G1237" s="11" t="inlineStr">
        <is>
          <t xml:space="preserve"> Hero Elite Multi Turn Ti</t>
        </is>
      </c>
      <c r="H1237" s="13" t="n">
        <v>175</v>
      </c>
      <c r="I1237" s="11" t="inlineStr">
        <is>
          <t xml:space="preserve"> Unisex</t>
        </is>
      </c>
      <c r="J1237" s="13" t="n">
        <v>175</v>
      </c>
      <c r="K1237" s="13" t="n">
        <v>174.6</v>
      </c>
      <c r="L1237" s="13" t="n">
        <v>154</v>
      </c>
      <c r="M1237" s="13" t="n">
        <v>161</v>
      </c>
      <c r="N1237" s="13" t="n">
        <v>122</v>
      </c>
      <c r="O1237" s="13" t="n">
        <v>73</v>
      </c>
      <c r="P1237" s="13" t="n">
        <v>108</v>
      </c>
      <c r="Q1237" s="13" t="n">
        <v>15.3</v>
      </c>
      <c r="R1237" s="13" t="n">
        <v>1880</v>
      </c>
      <c r="S1237" s="13" t="n">
        <v>0.82</v>
      </c>
      <c r="T1237" s="13" t="n">
        <v>1542</v>
      </c>
      <c r="U1237" s="13" t="n">
        <v>222</v>
      </c>
      <c r="V1237" s="13" t="n">
        <v>93</v>
      </c>
      <c r="W1237" s="13" t="n">
        <v>37</v>
      </c>
      <c r="X1237" s="13" t="n">
        <v>137</v>
      </c>
      <c r="Y1237" s="13" t="n">
        <v>5</v>
      </c>
      <c r="Z1237" s="13" t="n">
        <v>67</v>
      </c>
      <c r="AA1237" s="13" t="n">
        <v>0.13</v>
      </c>
      <c r="AB1237" s="13" t="n">
        <v>75</v>
      </c>
      <c r="AC1237" s="13" t="n">
        <v>62</v>
      </c>
      <c r="AD1237" s="13" t="n">
        <v>62</v>
      </c>
      <c r="AE1237" s="13" t="n">
        <v>11</v>
      </c>
      <c r="AF1237" s="13" t="n">
        <v>10.3</v>
      </c>
      <c r="AG1237" s="11" t="inlineStr">
        <is>
          <t xml:space="preserve"> On-Piste Carving</t>
        </is>
      </c>
      <c r="AH1237" s="13" t="n"/>
      <c r="AI1237" s="13" t="n"/>
      <c r="AJ1237" s="13" t="n"/>
      <c r="AK1237" s="42" t="n"/>
    </row>
    <row r="1238">
      <c r="E1238" s="40" t="inlineStr">
        <is>
          <t>21/22</t>
        </is>
      </c>
      <c r="F1238" s="10" t="inlineStr">
        <is>
          <t xml:space="preserve"> Rossignol</t>
        </is>
      </c>
      <c r="G1238" s="11" t="inlineStr">
        <is>
          <t xml:space="preserve"> Hero Elite Plus Ti</t>
        </is>
      </c>
      <c r="H1238" s="13" t="n">
        <v>160</v>
      </c>
      <c r="I1238" s="11" t="inlineStr">
        <is>
          <t xml:space="preserve"> Unisex</t>
        </is>
      </c>
      <c r="J1238" s="13" t="n">
        <v>160</v>
      </c>
      <c r="K1238" s="13" t="n">
        <v>159.7</v>
      </c>
      <c r="L1238" s="13" t="n">
        <v>140</v>
      </c>
      <c r="M1238" s="13" t="n">
        <v>144</v>
      </c>
      <c r="N1238" s="13" t="n">
        <v>128</v>
      </c>
      <c r="O1238" s="13" t="n">
        <v>76</v>
      </c>
      <c r="P1238" s="13" t="n">
        <v>108</v>
      </c>
      <c r="Q1238" s="13" t="n">
        <v>12.1</v>
      </c>
      <c r="R1238" s="13" t="n">
        <v>1969</v>
      </c>
      <c r="S1238" s="13" t="n">
        <v>0.75</v>
      </c>
      <c r="T1238" s="13" t="n">
        <v>1471</v>
      </c>
      <c r="U1238" s="13" t="n">
        <v>187</v>
      </c>
      <c r="V1238" s="13" t="n">
        <v>91</v>
      </c>
      <c r="W1238" s="13" t="n">
        <v>39</v>
      </c>
      <c r="X1238" s="13" t="n">
        <v>137</v>
      </c>
      <c r="Y1238" s="13" t="n">
        <v>5</v>
      </c>
      <c r="Z1238" s="13" t="n">
        <v>65</v>
      </c>
      <c r="AA1238" s="13" t="n">
        <v>0.119</v>
      </c>
      <c r="AB1238" s="13" t="n">
        <v>91</v>
      </c>
      <c r="AC1238" s="13" t="n">
        <v>63</v>
      </c>
      <c r="AD1238" s="13" t="n">
        <v>46</v>
      </c>
      <c r="AE1238" s="13" t="n">
        <v>12</v>
      </c>
      <c r="AF1238" s="13" t="n">
        <v>10</v>
      </c>
      <c r="AG1238" s="11" t="inlineStr">
        <is>
          <t xml:space="preserve"> On-Piste Carving</t>
        </is>
      </c>
      <c r="AH1238" s="13" t="n"/>
      <c r="AI1238" s="13" t="n"/>
      <c r="AJ1238" s="13" t="n"/>
      <c r="AK1238" s="42" t="n"/>
    </row>
    <row r="1239">
      <c r="E1239" s="40" t="inlineStr">
        <is>
          <t>21/22</t>
        </is>
      </c>
      <c r="F1239" s="10" t="inlineStr">
        <is>
          <t xml:space="preserve"> Rossignol</t>
        </is>
      </c>
      <c r="G1239" s="11" t="inlineStr">
        <is>
          <t xml:space="preserve"> Hero Elite Plus Ti</t>
        </is>
      </c>
      <c r="H1239" s="13" t="n">
        <v>167</v>
      </c>
      <c r="I1239" s="11" t="inlineStr">
        <is>
          <t xml:space="preserve"> Unisex</t>
        </is>
      </c>
      <c r="J1239" s="13" t="n">
        <v>167</v>
      </c>
      <c r="K1239" s="13" t="n">
        <v>166.3</v>
      </c>
      <c r="L1239" s="13" t="n">
        <v>145</v>
      </c>
      <c r="M1239" s="13" t="n">
        <v>151</v>
      </c>
      <c r="N1239" s="13" t="n">
        <v>128</v>
      </c>
      <c r="O1239" s="13" t="n">
        <v>76</v>
      </c>
      <c r="P1239" s="13" t="n">
        <v>108</v>
      </c>
      <c r="Q1239" s="13" t="n">
        <v>13.4</v>
      </c>
      <c r="R1239" s="13" t="n">
        <v>2051</v>
      </c>
      <c r="S1239" s="13" t="n">
        <v>0.74</v>
      </c>
      <c r="T1239" s="13" t="n">
        <v>1528</v>
      </c>
      <c r="U1239" s="13" t="n">
        <v>212</v>
      </c>
      <c r="V1239" s="13" t="n">
        <v>92</v>
      </c>
      <c r="W1239" s="13" t="n">
        <v>40</v>
      </c>
      <c r="X1239" s="13" t="n">
        <v>145</v>
      </c>
      <c r="Y1239" s="13" t="n">
        <v>4</v>
      </c>
      <c r="Z1239" s="13" t="n">
        <v>63</v>
      </c>
      <c r="AA1239" s="13" t="n">
        <v>0.103</v>
      </c>
      <c r="AB1239" s="13" t="n">
        <v>90</v>
      </c>
      <c r="AC1239" s="13" t="n">
        <v>61</v>
      </c>
      <c r="AD1239" s="13" t="n">
        <v>55</v>
      </c>
      <c r="AE1239" s="13" t="n">
        <v>13</v>
      </c>
      <c r="AF1239" s="13" t="n">
        <v>10.1</v>
      </c>
      <c r="AG1239" s="11" t="inlineStr">
        <is>
          <t xml:space="preserve"> On-Piste Carving</t>
        </is>
      </c>
      <c r="AH1239" s="13" t="n"/>
      <c r="AI1239" s="13" t="n"/>
      <c r="AJ1239" s="13" t="n"/>
      <c r="AK1239" s="42" t="n"/>
    </row>
    <row r="1240">
      <c r="E1240" s="40" t="inlineStr">
        <is>
          <t>21/22</t>
        </is>
      </c>
      <c r="F1240" s="10" t="inlineStr">
        <is>
          <t xml:space="preserve"> Rossignol</t>
        </is>
      </c>
      <c r="G1240" s="11" t="inlineStr">
        <is>
          <t xml:space="preserve"> Hero Elite Plus Ti</t>
        </is>
      </c>
      <c r="H1240" s="13" t="n">
        <v>174</v>
      </c>
      <c r="I1240" s="11" t="inlineStr">
        <is>
          <t xml:space="preserve"> Unisex</t>
        </is>
      </c>
      <c r="J1240" s="13" t="n">
        <v>174</v>
      </c>
      <c r="K1240" s="13" t="n">
        <v>173.6</v>
      </c>
      <c r="L1240" s="13" t="n">
        <v>153</v>
      </c>
      <c r="M1240" s="13" t="n">
        <v>159</v>
      </c>
      <c r="N1240" s="13" t="n">
        <v>128</v>
      </c>
      <c r="O1240" s="13" t="n">
        <v>76</v>
      </c>
      <c r="P1240" s="13" t="n">
        <v>108</v>
      </c>
      <c r="Q1240" s="13" t="n">
        <v>14.6</v>
      </c>
      <c r="R1240" s="13" t="n">
        <v>2198</v>
      </c>
      <c r="S1240" s="13" t="n">
        <v>0.73</v>
      </c>
      <c r="T1240" s="13" t="n">
        <v>1595</v>
      </c>
      <c r="U1240" s="13" t="n">
        <v>239</v>
      </c>
      <c r="V1240" s="13" t="n">
        <v>103</v>
      </c>
      <c r="W1240" s="13" t="n">
        <v>38</v>
      </c>
      <c r="X1240" s="13" t="n">
        <v>141</v>
      </c>
      <c r="Y1240" s="13" t="n">
        <v>4</v>
      </c>
      <c r="Z1240" s="13" t="n">
        <v>64</v>
      </c>
      <c r="AA1240" s="13" t="n">
        <v>0.115</v>
      </c>
      <c r="AB1240" s="13" t="n">
        <v>85</v>
      </c>
      <c r="AC1240" s="13" t="n">
        <v>64</v>
      </c>
      <c r="AD1240" s="13" t="n">
        <v>56</v>
      </c>
      <c r="AE1240" s="13" t="n">
        <v>14</v>
      </c>
      <c r="AF1240" s="13" t="n">
        <v>10.1</v>
      </c>
      <c r="AG1240" s="11" t="inlineStr">
        <is>
          <t xml:space="preserve"> On-Piste Carving</t>
        </is>
      </c>
      <c r="AH1240" s="13" t="n"/>
      <c r="AI1240" s="13" t="n"/>
      <c r="AJ1240" s="13" t="n"/>
      <c r="AK1240" s="42" t="n"/>
    </row>
    <row r="1241">
      <c r="E1241" s="40" t="inlineStr">
        <is>
          <t>21/22</t>
        </is>
      </c>
      <c r="F1241" s="10" t="inlineStr">
        <is>
          <t xml:space="preserve"> Rossignol</t>
        </is>
      </c>
      <c r="G1241" s="11" t="inlineStr">
        <is>
          <t xml:space="preserve"> Hero Elite Short Turn Ti</t>
        </is>
      </c>
      <c r="H1241" s="13" t="n">
        <v>162</v>
      </c>
      <c r="I1241" s="11" t="inlineStr">
        <is>
          <t xml:space="preserve"> Unisex</t>
        </is>
      </c>
      <c r="J1241" s="13" t="n">
        <v>162</v>
      </c>
      <c r="K1241" s="13" t="n">
        <v>160.6</v>
      </c>
      <c r="L1241" s="13" t="n">
        <v>140</v>
      </c>
      <c r="M1241" s="13" t="n">
        <v>146</v>
      </c>
      <c r="N1241" s="13" t="n">
        <v>121</v>
      </c>
      <c r="O1241" s="13" t="n">
        <v>67</v>
      </c>
      <c r="P1241" s="13" t="n">
        <v>102</v>
      </c>
      <c r="Q1241" s="13" t="n">
        <v>11.6</v>
      </c>
      <c r="R1241" s="13" t="n">
        <v>1904</v>
      </c>
      <c r="S1241" s="13" t="n">
        <v>0.71</v>
      </c>
      <c r="T1241" s="13" t="n">
        <v>1351</v>
      </c>
      <c r="U1241" s="13" t="n">
        <v>199</v>
      </c>
      <c r="V1241" s="13" t="n">
        <v>87</v>
      </c>
      <c r="W1241" s="13" t="n">
        <v>40</v>
      </c>
      <c r="X1241" s="13" t="n">
        <v>141</v>
      </c>
      <c r="Y1241" s="13" t="n">
        <v>4</v>
      </c>
      <c r="Z1241" s="13" t="n">
        <v>65</v>
      </c>
      <c r="AA1241" s="13" t="n">
        <v>0.104</v>
      </c>
      <c r="AB1241" s="13" t="n">
        <v>79</v>
      </c>
      <c r="AC1241" s="13" t="n">
        <v>63</v>
      </c>
      <c r="AD1241" s="13" t="n">
        <v>62</v>
      </c>
      <c r="AE1241" s="13" t="n">
        <v>12</v>
      </c>
      <c r="AF1241" s="13" t="n">
        <v>8.9</v>
      </c>
      <c r="AG1241" s="11" t="inlineStr">
        <is>
          <t xml:space="preserve"> On-Piste Carving</t>
        </is>
      </c>
      <c r="AH1241" s="13" t="n"/>
      <c r="AI1241" s="13" t="n"/>
      <c r="AJ1241" s="13" t="n"/>
      <c r="AK1241" s="42" t="n"/>
    </row>
    <row r="1242">
      <c r="E1242" s="40" t="inlineStr">
        <is>
          <t>21/22</t>
        </is>
      </c>
      <c r="F1242" s="10" t="inlineStr">
        <is>
          <t xml:space="preserve"> Rossignol</t>
        </is>
      </c>
      <c r="G1242" s="11" t="inlineStr">
        <is>
          <t xml:space="preserve"> Hero Elite Short Turn Ti</t>
        </is>
      </c>
      <c r="H1242" s="13" t="n">
        <v>167</v>
      </c>
      <c r="I1242" s="11" t="inlineStr">
        <is>
          <t xml:space="preserve"> Unisex</t>
        </is>
      </c>
      <c r="J1242" s="13" t="n">
        <v>167</v>
      </c>
      <c r="K1242" s="13" t="n">
        <v>165.5</v>
      </c>
      <c r="L1242" s="13" t="n">
        <v>143</v>
      </c>
      <c r="M1242" s="13" t="n">
        <v>151</v>
      </c>
      <c r="N1242" s="13" t="n">
        <v>122</v>
      </c>
      <c r="O1242" s="13" t="n">
        <v>67</v>
      </c>
      <c r="P1242" s="13" t="n">
        <v>103</v>
      </c>
      <c r="Q1242" s="13" t="n">
        <v>12.4</v>
      </c>
      <c r="R1242" s="13" t="n">
        <v>1963</v>
      </c>
      <c r="S1242" s="13" t="n">
        <v>0.71</v>
      </c>
      <c r="T1242" s="13" t="n">
        <v>1399</v>
      </c>
      <c r="U1242" s="13" t="n">
        <v>209</v>
      </c>
      <c r="V1242" s="13" t="n">
        <v>86</v>
      </c>
      <c r="W1242" s="13" t="n">
        <v>40</v>
      </c>
      <c r="X1242" s="13" t="n">
        <v>157</v>
      </c>
      <c r="Y1242" s="13" t="n">
        <v>5</v>
      </c>
      <c r="Z1242" s="13" t="n">
        <v>70</v>
      </c>
      <c r="AA1242" s="13" t="n">
        <v>0.129</v>
      </c>
      <c r="AB1242" s="13" t="n">
        <v>76</v>
      </c>
      <c r="AC1242" s="13" t="n">
        <v>66</v>
      </c>
      <c r="AD1242" s="13" t="n">
        <v>81</v>
      </c>
      <c r="AE1242" s="13" t="n">
        <v>12</v>
      </c>
      <c r="AF1242" s="13" t="n">
        <v>10.5</v>
      </c>
      <c r="AG1242" s="11" t="inlineStr">
        <is>
          <t xml:space="preserve"> On-Piste Carving</t>
        </is>
      </c>
      <c r="AH1242" s="13" t="n"/>
      <c r="AI1242" s="13" t="n"/>
      <c r="AJ1242" s="13" t="n"/>
      <c r="AK1242" s="42" t="n"/>
    </row>
    <row r="1243">
      <c r="E1243" s="40" t="inlineStr">
        <is>
          <t>21/22</t>
        </is>
      </c>
      <c r="F1243" s="10" t="inlineStr">
        <is>
          <t xml:space="preserve"> Rossignol</t>
        </is>
      </c>
      <c r="G1243" s="11" t="inlineStr">
        <is>
          <t xml:space="preserve"> Hero Elite Short Turn Ti</t>
        </is>
      </c>
      <c r="H1243" s="13" t="n">
        <v>172</v>
      </c>
      <c r="I1243" s="11" t="inlineStr">
        <is>
          <t xml:space="preserve"> Unisex</t>
        </is>
      </c>
      <c r="J1243" s="13" t="n">
        <v>172</v>
      </c>
      <c r="K1243" s="13" t="n">
        <v>170.5</v>
      </c>
      <c r="L1243" s="13" t="n">
        <v>150</v>
      </c>
      <c r="M1243" s="13" t="n">
        <v>157</v>
      </c>
      <c r="N1243" s="13" t="n">
        <v>121</v>
      </c>
      <c r="O1243" s="13" t="n">
        <v>66</v>
      </c>
      <c r="P1243" s="13" t="n">
        <v>102</v>
      </c>
      <c r="Q1243" s="13" t="n">
        <v>13.3</v>
      </c>
      <c r="R1243" s="13" t="n">
        <v>2064</v>
      </c>
      <c r="S1243" s="13" t="n">
        <v>0.6899999999999999</v>
      </c>
      <c r="T1243" s="13" t="n">
        <v>1425</v>
      </c>
      <c r="U1243" s="13" t="n">
        <v>229</v>
      </c>
      <c r="V1243" s="13" t="n">
        <v>103</v>
      </c>
      <c r="W1243" s="13" t="n">
        <v>40</v>
      </c>
      <c r="X1243" s="13" t="n">
        <v>141</v>
      </c>
      <c r="Y1243" s="13" t="n">
        <v>4</v>
      </c>
      <c r="Z1243" s="13" t="n">
        <v>64</v>
      </c>
      <c r="AA1243" s="13" t="n">
        <v>0.11</v>
      </c>
      <c r="AB1243" s="13" t="n">
        <v>76</v>
      </c>
      <c r="AC1243" s="13" t="n">
        <v>63</v>
      </c>
      <c r="AD1243" s="13" t="n">
        <v>65</v>
      </c>
      <c r="AE1243" s="13" t="n">
        <v>13</v>
      </c>
      <c r="AF1243" s="13" t="n">
        <v>11.1</v>
      </c>
      <c r="AG1243" s="11" t="inlineStr">
        <is>
          <t xml:space="preserve"> On-Piste Carving</t>
        </is>
      </c>
      <c r="AH1243" s="13" t="n"/>
      <c r="AI1243" s="13" t="n"/>
      <c r="AJ1243" s="13" t="n"/>
      <c r="AK1243" s="42" t="n"/>
    </row>
    <row r="1244">
      <c r="E1244" s="40" t="inlineStr">
        <is>
          <t>21/22</t>
        </is>
      </c>
      <c r="F1244" s="10" t="inlineStr">
        <is>
          <t xml:space="preserve"> Rossignol</t>
        </is>
      </c>
      <c r="G1244" s="11" t="inlineStr">
        <is>
          <t>Hero Elite ST Ti (R22)</t>
        </is>
      </c>
      <c r="H1244" s="13" t="n">
        <v>157</v>
      </c>
      <c r="I1244" s="11" t="inlineStr">
        <is>
          <t xml:space="preserve"> Unisex</t>
        </is>
      </c>
      <c r="J1244" s="13" t="n">
        <v>157</v>
      </c>
      <c r="K1244" s="13" t="n">
        <v>155.4</v>
      </c>
      <c r="L1244" s="13" t="n">
        <v>135</v>
      </c>
      <c r="M1244" s="13" t="n">
        <v>142</v>
      </c>
      <c r="N1244" s="13" t="n">
        <v>121</v>
      </c>
      <c r="O1244" s="13" t="n">
        <v>67</v>
      </c>
      <c r="P1244" s="13" t="n">
        <v>102</v>
      </c>
      <c r="Q1244" s="13" t="n">
        <v>10.8</v>
      </c>
      <c r="R1244" s="13" t="n">
        <v>2008</v>
      </c>
      <c r="S1244" s="13" t="n">
        <v>0.65</v>
      </c>
      <c r="T1244" s="13" t="n">
        <v>1308</v>
      </c>
      <c r="U1244" s="13" t="n">
        <v>187</v>
      </c>
      <c r="V1244" s="13" t="n">
        <v>93</v>
      </c>
      <c r="W1244" s="13" t="n">
        <v>39</v>
      </c>
      <c r="X1244" s="13" t="n">
        <v>137</v>
      </c>
      <c r="Y1244" s="13" t="n">
        <v>4</v>
      </c>
      <c r="Z1244" s="13" t="n">
        <v>66</v>
      </c>
      <c r="AA1244" s="13" t="n">
        <v>0.114</v>
      </c>
      <c r="AB1244" s="13" t="n">
        <v>74</v>
      </c>
      <c r="AC1244" s="13" t="n">
        <v>62</v>
      </c>
      <c r="AD1244" s="13" t="n">
        <v>64</v>
      </c>
      <c r="AE1244" s="13" t="n">
        <v>11</v>
      </c>
      <c r="AF1244" s="13" t="n">
        <v>8.1</v>
      </c>
      <c r="AG1244" s="11" t="inlineStr">
        <is>
          <t xml:space="preserve"> On-Piste Carving</t>
        </is>
      </c>
      <c r="AH1244" s="13" t="n"/>
      <c r="AI1244" s="13" t="n"/>
      <c r="AJ1244" s="13" t="n"/>
      <c r="AK1244" s="42" t="n"/>
    </row>
    <row r="1245">
      <c r="E1245" s="40" t="inlineStr">
        <is>
          <t>21/22</t>
        </is>
      </c>
      <c r="F1245" s="10" t="inlineStr">
        <is>
          <t xml:space="preserve"> Rossignol</t>
        </is>
      </c>
      <c r="G1245" s="11" t="inlineStr">
        <is>
          <t>Hero Elite ST Ti (R22)</t>
        </is>
      </c>
      <c r="H1245" s="13" t="n">
        <v>162</v>
      </c>
      <c r="I1245" s="11" t="inlineStr">
        <is>
          <t xml:space="preserve"> Unisex</t>
        </is>
      </c>
      <c r="J1245" s="13" t="n">
        <v>162</v>
      </c>
      <c r="K1245" s="13" t="n">
        <v>160.6</v>
      </c>
      <c r="L1245" s="13" t="n">
        <v>140</v>
      </c>
      <c r="M1245" s="13" t="n">
        <v>146</v>
      </c>
      <c r="N1245" s="13" t="n">
        <v>121</v>
      </c>
      <c r="O1245" s="13" t="n">
        <v>67</v>
      </c>
      <c r="P1245" s="13" t="n">
        <v>102</v>
      </c>
      <c r="Q1245" s="13" t="n">
        <v>11.6</v>
      </c>
      <c r="R1245" s="13" t="n">
        <v>2056</v>
      </c>
      <c r="S1245" s="13" t="n">
        <v>0.66</v>
      </c>
      <c r="T1245" s="13" t="n">
        <v>1348</v>
      </c>
      <c r="U1245" s="13" t="n">
        <v>197</v>
      </c>
      <c r="V1245" s="13" t="n">
        <v>90</v>
      </c>
      <c r="W1245" s="13" t="n">
        <v>39</v>
      </c>
      <c r="X1245" s="13" t="n">
        <v>137</v>
      </c>
      <c r="Y1245" s="13" t="n">
        <v>4</v>
      </c>
      <c r="Z1245" s="13" t="n">
        <v>65</v>
      </c>
      <c r="AA1245" s="13" t="n">
        <v>0.111</v>
      </c>
      <c r="AB1245" s="13" t="n">
        <v>78</v>
      </c>
      <c r="AC1245" s="13" t="n">
        <v>63</v>
      </c>
      <c r="AD1245" s="13" t="n">
        <v>59</v>
      </c>
      <c r="AE1245" s="13" t="n">
        <v>13</v>
      </c>
      <c r="AF1245" s="13" t="n">
        <v>8.9</v>
      </c>
      <c r="AG1245" s="11" t="inlineStr">
        <is>
          <t xml:space="preserve"> On-Piste Carving</t>
        </is>
      </c>
      <c r="AH1245" s="13" t="n"/>
      <c r="AI1245" s="13" t="n"/>
      <c r="AJ1245" s="13" t="n"/>
      <c r="AK1245" s="42" t="n"/>
    </row>
    <row r="1246">
      <c r="E1246" s="40" t="inlineStr">
        <is>
          <t>21/22</t>
        </is>
      </c>
      <c r="F1246" s="10" t="inlineStr">
        <is>
          <t xml:space="preserve"> Rossignol</t>
        </is>
      </c>
      <c r="G1246" s="11" t="inlineStr">
        <is>
          <t>Hero Master M15 (R22)</t>
        </is>
      </c>
      <c r="H1246" s="13" t="n">
        <v>169</v>
      </c>
      <c r="I1246" s="11" t="inlineStr">
        <is>
          <t xml:space="preserve"> Unisex</t>
        </is>
      </c>
      <c r="J1246" s="13" t="n">
        <v>169</v>
      </c>
      <c r="K1246" s="13" t="n">
        <v>168.5</v>
      </c>
      <c r="L1246" s="13" t="n">
        <v>151</v>
      </c>
      <c r="M1246" s="13" t="n">
        <v>162</v>
      </c>
      <c r="N1246" s="13" t="n">
        <v>114</v>
      </c>
      <c r="O1246" s="13" t="n">
        <v>69</v>
      </c>
      <c r="P1246" s="13" t="n">
        <v>97</v>
      </c>
      <c r="Q1246" s="13" t="n">
        <v>17.7</v>
      </c>
      <c r="R1246" s="13" t="n">
        <v>2109</v>
      </c>
      <c r="S1246" s="13" t="n">
        <v>0.65</v>
      </c>
      <c r="T1246" s="13" t="n">
        <v>1378</v>
      </c>
      <c r="U1246" s="13" t="n">
        <v>236</v>
      </c>
      <c r="V1246" s="13" t="n">
        <v>138</v>
      </c>
      <c r="W1246" s="13" t="n">
        <v>32</v>
      </c>
      <c r="X1246" s="13" t="n">
        <v>119</v>
      </c>
      <c r="Y1246" s="13" t="n">
        <v>5</v>
      </c>
      <c r="Z1246" s="13" t="n">
        <v>60</v>
      </c>
      <c r="AA1246" s="13" t="n">
        <v>0.167</v>
      </c>
      <c r="AB1246" s="13" t="n">
        <v>29</v>
      </c>
      <c r="AC1246" s="13" t="n">
        <v>40</v>
      </c>
      <c r="AD1246" s="13" t="n">
        <v>90</v>
      </c>
      <c r="AE1246" s="13" t="n">
        <v>10</v>
      </c>
      <c r="AF1246" s="13" t="n">
        <v>8.199999999999999</v>
      </c>
      <c r="AG1246" s="11" t="inlineStr">
        <is>
          <t xml:space="preserve"> On-Piste Carving</t>
        </is>
      </c>
      <c r="AH1246" s="13" t="n"/>
      <c r="AI1246" s="13" t="n"/>
      <c r="AJ1246" s="13" t="n"/>
      <c r="AK1246" s="42" t="n"/>
    </row>
    <row r="1247">
      <c r="E1247" s="40" t="inlineStr">
        <is>
          <t>21/22</t>
        </is>
      </c>
      <c r="F1247" s="10" t="inlineStr">
        <is>
          <t xml:space="preserve"> Rossignol</t>
        </is>
      </c>
      <c r="G1247" s="11" t="inlineStr">
        <is>
          <t>Hero Master M17 (R22)</t>
        </is>
      </c>
      <c r="H1247" s="13" t="n">
        <v>173</v>
      </c>
      <c r="I1247" s="11" t="inlineStr">
        <is>
          <t xml:space="preserve"> Unisex</t>
        </is>
      </c>
      <c r="J1247" s="13" t="n">
        <v>173</v>
      </c>
      <c r="K1247" s="13" t="n">
        <v>172.3</v>
      </c>
      <c r="L1247" s="13" t="n">
        <v>156</v>
      </c>
      <c r="M1247" s="13" t="n">
        <v>164</v>
      </c>
      <c r="N1247" s="13" t="n">
        <v>113</v>
      </c>
      <c r="O1247" s="13" t="n">
        <v>69</v>
      </c>
      <c r="P1247" s="13" t="n">
        <v>97</v>
      </c>
      <c r="Q1247" s="13" t="n">
        <v>18.3</v>
      </c>
      <c r="R1247" s="13" t="n">
        <v>2175</v>
      </c>
      <c r="S1247" s="13" t="n">
        <v>0.65</v>
      </c>
      <c r="T1247" s="13" t="n">
        <v>1413</v>
      </c>
      <c r="U1247" s="13" t="n">
        <v>249</v>
      </c>
      <c r="V1247" s="13" t="n">
        <v>143</v>
      </c>
      <c r="W1247" s="13" t="n">
        <v>30</v>
      </c>
      <c r="X1247" s="13" t="n">
        <v>111</v>
      </c>
      <c r="Y1247" s="13" t="n">
        <v>4</v>
      </c>
      <c r="Z1247" s="13" t="n">
        <v>54</v>
      </c>
      <c r="AA1247" s="13" t="n">
        <v>0.148</v>
      </c>
      <c r="AB1247" s="13" t="n">
        <v>41</v>
      </c>
      <c r="AC1247" s="13" t="n">
        <v>45</v>
      </c>
      <c r="AD1247" s="13" t="n">
        <v>70</v>
      </c>
      <c r="AE1247" s="13" t="n">
        <v>14</v>
      </c>
      <c r="AF1247" s="13" t="n">
        <v>8.300000000000001</v>
      </c>
      <c r="AG1247" s="11" t="inlineStr">
        <is>
          <t xml:space="preserve"> On-Piste Carving</t>
        </is>
      </c>
      <c r="AH1247" s="13" t="n"/>
      <c r="AI1247" s="13" t="n"/>
      <c r="AJ1247" s="13" t="n"/>
      <c r="AK1247" s="42" t="n"/>
    </row>
    <row r="1248">
      <c r="E1248" s="40" t="inlineStr">
        <is>
          <t>21/22</t>
        </is>
      </c>
      <c r="F1248" s="10" t="inlineStr">
        <is>
          <t xml:space="preserve"> Rossignol</t>
        </is>
      </c>
      <c r="G1248" s="11" t="inlineStr">
        <is>
          <t>Hero Master M19 (R22)</t>
        </is>
      </c>
      <c r="H1248" s="13" t="n">
        <v>179</v>
      </c>
      <c r="I1248" s="11" t="inlineStr">
        <is>
          <t xml:space="preserve"> Unisex</t>
        </is>
      </c>
      <c r="J1248" s="13" t="n">
        <v>179</v>
      </c>
      <c r="K1248" s="13" t="n">
        <v>177.8</v>
      </c>
      <c r="L1248" s="13" t="n">
        <v>160</v>
      </c>
      <c r="M1248" s="13" t="n">
        <v>171</v>
      </c>
      <c r="N1248" s="13" t="n">
        <v>114</v>
      </c>
      <c r="O1248" s="13" t="n">
        <v>69</v>
      </c>
      <c r="P1248" s="13" t="n">
        <v>96</v>
      </c>
      <c r="Q1248" s="13" t="n">
        <v>20.2</v>
      </c>
      <c r="R1248" s="13" t="n">
        <v>2241</v>
      </c>
      <c r="S1248" s="13" t="n">
        <v>0.65</v>
      </c>
      <c r="T1248" s="13" t="n">
        <v>1447</v>
      </c>
      <c r="U1248" s="13" t="n">
        <v>271</v>
      </c>
      <c r="V1248" s="13" t="n">
        <v>164</v>
      </c>
      <c r="W1248" s="13" t="n">
        <v>31</v>
      </c>
      <c r="X1248" s="13" t="n">
        <v>121</v>
      </c>
      <c r="Y1248" s="13" t="n">
        <v>5</v>
      </c>
      <c r="Z1248" s="13" t="n">
        <v>58</v>
      </c>
      <c r="AA1248" s="13" t="n">
        <v>0.156</v>
      </c>
      <c r="AB1248" s="13" t="n">
        <v>30</v>
      </c>
      <c r="AC1248" s="13" t="n">
        <v>35</v>
      </c>
      <c r="AD1248" s="13" t="n">
        <v>91</v>
      </c>
      <c r="AE1248" s="13" t="n">
        <v>10</v>
      </c>
      <c r="AF1248" s="13" t="n">
        <v>8.800000000000001</v>
      </c>
      <c r="AG1248" s="11" t="inlineStr">
        <is>
          <t xml:space="preserve"> On-Piste Carving</t>
        </is>
      </c>
      <c r="AH1248" s="13" t="n"/>
      <c r="AI1248" s="13" t="n"/>
      <c r="AJ1248" s="13" t="n"/>
      <c r="AK1248" s="42" t="n"/>
    </row>
    <row r="1249">
      <c r="E1249" s="40" t="inlineStr">
        <is>
          <t>21/22</t>
        </is>
      </c>
      <c r="F1249" s="10" t="inlineStr">
        <is>
          <t xml:space="preserve"> Rossignol</t>
        </is>
      </c>
      <c r="G1249" s="11" t="inlineStr">
        <is>
          <t>Hero Master M21 (R22)</t>
        </is>
      </c>
      <c r="H1249" s="13" t="n">
        <v>183</v>
      </c>
      <c r="I1249" s="11" t="inlineStr">
        <is>
          <t xml:space="preserve"> Unisex</t>
        </is>
      </c>
      <c r="J1249" s="13" t="n">
        <v>183</v>
      </c>
      <c r="K1249" s="13" t="n">
        <v>183.1</v>
      </c>
      <c r="L1249" s="13" t="n">
        <v>166</v>
      </c>
      <c r="M1249" s="13" t="n">
        <v>175</v>
      </c>
      <c r="N1249" s="13" t="n">
        <v>114</v>
      </c>
      <c r="O1249" s="13" t="n">
        <v>70</v>
      </c>
      <c r="P1249" s="13" t="n">
        <v>95</v>
      </c>
      <c r="Q1249" s="13" t="n">
        <v>22.8</v>
      </c>
      <c r="R1249" s="13" t="n">
        <v>2376</v>
      </c>
      <c r="S1249" s="13" t="n">
        <v>0.63</v>
      </c>
      <c r="T1249" s="13" t="n">
        <v>1500</v>
      </c>
      <c r="U1249" s="13" t="n">
        <v>306</v>
      </c>
      <c r="V1249" s="13" t="n">
        <v>173</v>
      </c>
      <c r="W1249" s="13" t="n">
        <v>31</v>
      </c>
      <c r="X1249" s="13" t="n">
        <v>113</v>
      </c>
      <c r="Y1249" s="13" t="n">
        <v>5</v>
      </c>
      <c r="Z1249" s="13" t="n">
        <v>53</v>
      </c>
      <c r="AA1249" s="13" t="n">
        <v>0.153</v>
      </c>
      <c r="AB1249" s="13" t="n">
        <v>32</v>
      </c>
      <c r="AC1249" s="13" t="n">
        <v>48</v>
      </c>
      <c r="AD1249" s="13" t="n">
        <v>82</v>
      </c>
      <c r="AE1249" s="13" t="n">
        <v>12</v>
      </c>
      <c r="AF1249" s="13" t="n">
        <v>8.9</v>
      </c>
      <c r="AG1249" s="11" t="inlineStr">
        <is>
          <t xml:space="preserve"> On-Piste Carving</t>
        </is>
      </c>
      <c r="AH1249" s="13" t="n"/>
      <c r="AI1249" s="13" t="n"/>
      <c r="AJ1249" s="13" t="n"/>
      <c r="AK1249" s="42" t="n"/>
    </row>
    <row r="1250">
      <c r="E1250" s="40" t="inlineStr">
        <is>
          <t>21/22</t>
        </is>
      </c>
      <c r="F1250" s="10" t="inlineStr">
        <is>
          <t xml:space="preserve"> Rossignol</t>
        </is>
      </c>
      <c r="G1250" s="11" t="inlineStr">
        <is>
          <t>Nova 10 Ti</t>
        </is>
      </c>
      <c r="H1250" s="13" t="n">
        <v>153</v>
      </c>
      <c r="I1250" s="11" t="inlineStr">
        <is>
          <t xml:space="preserve"> Women's</t>
        </is>
      </c>
      <c r="J1250" s="13" t="n">
        <v>153</v>
      </c>
      <c r="K1250" s="13" t="n">
        <v>152.5</v>
      </c>
      <c r="L1250" s="13" t="n">
        <v>130</v>
      </c>
      <c r="M1250" s="13" t="n">
        <v>139</v>
      </c>
      <c r="N1250" s="13" t="n">
        <v>122</v>
      </c>
      <c r="O1250" s="13" t="n">
        <v>73</v>
      </c>
      <c r="P1250" s="13" t="n">
        <v>108</v>
      </c>
      <c r="Q1250" s="13" t="n">
        <v>11.2</v>
      </c>
      <c r="R1250" s="13" t="n">
        <v>1630</v>
      </c>
      <c r="S1250" s="13" t="n">
        <v>0.83</v>
      </c>
      <c r="T1250" s="13" t="n">
        <v>1359</v>
      </c>
      <c r="U1250" s="13" t="n">
        <v>180</v>
      </c>
      <c r="V1250" s="13" t="n">
        <v>77</v>
      </c>
      <c r="W1250" s="13" t="n">
        <v>39</v>
      </c>
      <c r="X1250" s="13" t="n">
        <v>149</v>
      </c>
      <c r="Y1250" s="13" t="n">
        <v>6</v>
      </c>
      <c r="Z1250" s="13" t="n">
        <v>73</v>
      </c>
      <c r="AA1250" s="13" t="n">
        <v>0.15</v>
      </c>
      <c r="AB1250" s="13" t="n">
        <v>75</v>
      </c>
      <c r="AC1250" s="13" t="n">
        <v>63</v>
      </c>
      <c r="AD1250" s="13" t="n">
        <v>74</v>
      </c>
      <c r="AE1250" s="13" t="n">
        <v>7</v>
      </c>
      <c r="AF1250" s="13" t="n">
        <v>9.6</v>
      </c>
      <c r="AG1250" s="11" t="inlineStr">
        <is>
          <t xml:space="preserve"> On-Piste Carving</t>
        </is>
      </c>
      <c r="AH1250" s="13" t="n"/>
      <c r="AI1250" s="13" t="n"/>
      <c r="AJ1250" s="13" t="n"/>
      <c r="AK1250" s="42" t="n"/>
    </row>
    <row r="1251">
      <c r="E1251" s="40" t="inlineStr">
        <is>
          <t>21/22</t>
        </is>
      </c>
      <c r="F1251" s="10" t="inlineStr">
        <is>
          <t xml:space="preserve"> Rossignol</t>
        </is>
      </c>
      <c r="G1251" s="11" t="inlineStr">
        <is>
          <t>Nova 10 Ti</t>
        </is>
      </c>
      <c r="H1251" s="13" t="n">
        <v>160</v>
      </c>
      <c r="I1251" s="11" t="inlineStr">
        <is>
          <t xml:space="preserve"> Women's</t>
        </is>
      </c>
      <c r="J1251" s="13" t="n">
        <v>160</v>
      </c>
      <c r="K1251" s="13" t="n">
        <v>158.7</v>
      </c>
      <c r="L1251" s="13" t="n">
        <v>135</v>
      </c>
      <c r="M1251" s="13" t="n">
        <v>145</v>
      </c>
      <c r="N1251" s="13" t="n">
        <v>122</v>
      </c>
      <c r="O1251" s="13" t="n">
        <v>73</v>
      </c>
      <c r="P1251" s="13" t="n">
        <v>108</v>
      </c>
      <c r="Q1251" s="13" t="n">
        <v>12.3</v>
      </c>
      <c r="R1251" s="13" t="n">
        <v>1660</v>
      </c>
      <c r="S1251" s="13" t="n">
        <v>0.85</v>
      </c>
      <c r="T1251" s="13" t="n">
        <v>1414</v>
      </c>
      <c r="U1251" s="13" t="n">
        <v>171</v>
      </c>
      <c r="V1251" s="13" t="n">
        <v>72</v>
      </c>
      <c r="W1251" s="13" t="n">
        <v>39</v>
      </c>
      <c r="X1251" s="13" t="n">
        <v>169</v>
      </c>
      <c r="Y1251" s="13" t="n">
        <v>5</v>
      </c>
      <c r="Z1251" s="13" t="n">
        <v>67</v>
      </c>
      <c r="AA1251" s="13" t="n">
        <v>0.119</v>
      </c>
      <c r="AB1251" s="13" t="n">
        <v>80</v>
      </c>
      <c r="AC1251" s="13" t="n">
        <v>61</v>
      </c>
      <c r="AD1251" s="13" t="n">
        <v>90</v>
      </c>
      <c r="AE1251" s="13" t="n">
        <v>9</v>
      </c>
      <c r="AF1251" s="13" t="n">
        <v>9.4</v>
      </c>
      <c r="AG1251" s="11" t="inlineStr">
        <is>
          <t xml:space="preserve"> On-Piste Carving</t>
        </is>
      </c>
      <c r="AH1251" s="13" t="n"/>
      <c r="AI1251" s="13" t="n"/>
      <c r="AJ1251" s="13" t="n"/>
      <c r="AK1251" s="42" t="n"/>
    </row>
    <row r="1252">
      <c r="E1252" s="40" t="inlineStr">
        <is>
          <t>21/22</t>
        </is>
      </c>
      <c r="F1252" s="10" t="inlineStr">
        <is>
          <t xml:space="preserve"> Rossignol</t>
        </is>
      </c>
      <c r="G1252" s="11" t="inlineStr">
        <is>
          <t>Nova 14 Ti</t>
        </is>
      </c>
      <c r="H1252" s="13" t="n">
        <v>160</v>
      </c>
      <c r="I1252" s="11" t="inlineStr">
        <is>
          <t xml:space="preserve"> Women's</t>
        </is>
      </c>
      <c r="J1252" s="13" t="n">
        <v>160</v>
      </c>
      <c r="K1252" s="13" t="n">
        <v>158.8</v>
      </c>
      <c r="L1252" s="13" t="n">
        <v>138</v>
      </c>
      <c r="M1252" s="13" t="n">
        <v>145</v>
      </c>
      <c r="N1252" s="13" t="n">
        <v>122</v>
      </c>
      <c r="O1252" s="13" t="n">
        <v>73</v>
      </c>
      <c r="P1252" s="13" t="n">
        <v>108</v>
      </c>
      <c r="Q1252" s="13" t="n">
        <v>12.4</v>
      </c>
      <c r="R1252" s="13" t="n">
        <v>1739</v>
      </c>
      <c r="S1252" s="13" t="n">
        <v>0.8100000000000001</v>
      </c>
      <c r="T1252" s="13" t="n">
        <v>1410</v>
      </c>
      <c r="U1252" s="13" t="n">
        <v>184</v>
      </c>
      <c r="V1252" s="13" t="n">
        <v>77</v>
      </c>
      <c r="W1252" s="13" t="n">
        <v>37</v>
      </c>
      <c r="X1252" s="13" t="n">
        <v>141</v>
      </c>
      <c r="Y1252" s="13" t="n">
        <v>5</v>
      </c>
      <c r="Z1252" s="13" t="n">
        <v>65</v>
      </c>
      <c r="AA1252" s="13" t="n">
        <v>0.125</v>
      </c>
      <c r="AB1252" s="13" t="n">
        <v>81</v>
      </c>
      <c r="AC1252" s="13" t="n">
        <v>59</v>
      </c>
      <c r="AD1252" s="13" t="n">
        <v>60</v>
      </c>
      <c r="AE1252" s="13" t="n">
        <v>9</v>
      </c>
      <c r="AF1252" s="13" t="n">
        <v>9.800000000000001</v>
      </c>
      <c r="AG1252" s="11" t="inlineStr">
        <is>
          <t xml:space="preserve"> On-Piste Carving</t>
        </is>
      </c>
      <c r="AH1252" s="13" t="n"/>
      <c r="AI1252" s="13" t="n"/>
      <c r="AJ1252" s="13" t="n"/>
      <c r="AK1252" s="42" t="n"/>
    </row>
    <row r="1253">
      <c r="E1253" s="40" t="inlineStr">
        <is>
          <t>21/22</t>
        </is>
      </c>
      <c r="F1253" s="10" t="inlineStr">
        <is>
          <t xml:space="preserve"> Rossignol</t>
        </is>
      </c>
      <c r="G1253" s="11" t="inlineStr">
        <is>
          <t>Nova 2</t>
        </is>
      </c>
      <c r="H1253" s="13" t="n">
        <v>144</v>
      </c>
      <c r="I1253" s="11" t="inlineStr">
        <is>
          <t xml:space="preserve"> Women's</t>
        </is>
      </c>
      <c r="J1253" s="13" t="n">
        <v>144</v>
      </c>
      <c r="K1253" s="13" t="n">
        <v>144.3</v>
      </c>
      <c r="L1253" s="13" t="n">
        <v>124</v>
      </c>
      <c r="M1253" s="13" t="n">
        <v>129</v>
      </c>
      <c r="N1253" s="13" t="n">
        <v>121</v>
      </c>
      <c r="O1253" s="13" t="n">
        <v>74</v>
      </c>
      <c r="P1253" s="13" t="n">
        <v>107</v>
      </c>
      <c r="Q1253" s="13" t="n">
        <v>10.2</v>
      </c>
      <c r="R1253" s="13" t="n">
        <v>1399</v>
      </c>
      <c r="S1253" s="13" t="n">
        <v>0.92</v>
      </c>
      <c r="T1253" s="13" t="n">
        <v>1285</v>
      </c>
      <c r="U1253" s="13" t="n">
        <v>138</v>
      </c>
      <c r="V1253" s="13" t="n">
        <v>46</v>
      </c>
      <c r="W1253" s="13" t="n">
        <v>33</v>
      </c>
      <c r="X1253" s="13" t="n">
        <v>139</v>
      </c>
      <c r="Y1253" s="13" t="n">
        <v>5</v>
      </c>
      <c r="Z1253" s="13" t="n">
        <v>68</v>
      </c>
      <c r="AA1253" s="13" t="n">
        <v>0.155</v>
      </c>
      <c r="AB1253" s="13" t="n">
        <v>78</v>
      </c>
      <c r="AC1253" s="13" t="n">
        <v>79</v>
      </c>
      <c r="AD1253" s="13" t="n">
        <v>61</v>
      </c>
      <c r="AE1253" s="13" t="n">
        <v>8</v>
      </c>
      <c r="AF1253" s="13" t="n">
        <v>8</v>
      </c>
      <c r="AG1253" s="11" t="inlineStr">
        <is>
          <t xml:space="preserve"> On-Piste Carving</t>
        </is>
      </c>
      <c r="AH1253" s="11" t="inlineStr">
        <is>
          <t xml:space="preserve"> On-Piste All-Mountain</t>
        </is>
      </c>
      <c r="AI1253" s="13" t="n"/>
      <c r="AJ1253" s="13" t="n"/>
      <c r="AK1253" s="42" t="n"/>
    </row>
    <row r="1254">
      <c r="E1254" s="40" t="inlineStr">
        <is>
          <t>21/22</t>
        </is>
      </c>
      <c r="F1254" s="10" t="inlineStr">
        <is>
          <t xml:space="preserve"> Rossignol</t>
        </is>
      </c>
      <c r="G1254" s="11" t="inlineStr">
        <is>
          <t>Nova 2</t>
        </is>
      </c>
      <c r="H1254" s="13" t="n">
        <v>152</v>
      </c>
      <c r="I1254" s="11" t="inlineStr">
        <is>
          <t xml:space="preserve"> Women's</t>
        </is>
      </c>
      <c r="J1254" s="13" t="n">
        <v>152</v>
      </c>
      <c r="K1254" s="13" t="n">
        <v>152.4</v>
      </c>
      <c r="L1254" s="13" t="n">
        <v>131</v>
      </c>
      <c r="M1254" s="13" t="n">
        <v>136</v>
      </c>
      <c r="N1254" s="13" t="n">
        <v>121</v>
      </c>
      <c r="O1254" s="13" t="n">
        <v>74</v>
      </c>
      <c r="P1254" s="13" t="n">
        <v>107</v>
      </c>
      <c r="Q1254" s="13" t="n">
        <v>11.7</v>
      </c>
      <c r="R1254" s="13" t="n">
        <v>1433</v>
      </c>
      <c r="S1254" s="13" t="n">
        <v>0.95</v>
      </c>
      <c r="T1254" s="13" t="n">
        <v>1357</v>
      </c>
      <c r="U1254" s="13" t="n">
        <v>134</v>
      </c>
      <c r="V1254" s="13" t="n">
        <v>45</v>
      </c>
      <c r="W1254" s="13" t="n">
        <v>35</v>
      </c>
      <c r="X1254" s="13" t="n">
        <v>143</v>
      </c>
      <c r="Y1254" s="13" t="n">
        <v>6</v>
      </c>
      <c r="Z1254" s="13" t="n">
        <v>69</v>
      </c>
      <c r="AA1254" s="13" t="n">
        <v>0.157</v>
      </c>
      <c r="AB1254" s="13" t="n">
        <v>81</v>
      </c>
      <c r="AC1254" s="13" t="n">
        <v>79</v>
      </c>
      <c r="AD1254" s="13" t="n">
        <v>62</v>
      </c>
      <c r="AE1254" s="13" t="n">
        <v>9</v>
      </c>
      <c r="AF1254" s="13" t="n">
        <v>8.1</v>
      </c>
      <c r="AG1254" s="11" t="inlineStr">
        <is>
          <t xml:space="preserve"> On-Piste Carving</t>
        </is>
      </c>
      <c r="AH1254" s="11" t="inlineStr">
        <is>
          <t xml:space="preserve"> On-Piste All-Mountain</t>
        </is>
      </c>
      <c r="AI1254" s="13" t="n"/>
      <c r="AJ1254" s="13" t="n"/>
      <c r="AK1254" s="42" t="n"/>
    </row>
    <row r="1255">
      <c r="E1255" s="40" t="inlineStr">
        <is>
          <t>21/22</t>
        </is>
      </c>
      <c r="F1255" s="10" t="inlineStr">
        <is>
          <t xml:space="preserve"> Rossignol</t>
        </is>
      </c>
      <c r="G1255" s="11" t="inlineStr">
        <is>
          <t>Nova 2</t>
        </is>
      </c>
      <c r="H1255" s="13" t="n">
        <v>160</v>
      </c>
      <c r="I1255" s="11" t="inlineStr">
        <is>
          <t xml:space="preserve"> Women's</t>
        </is>
      </c>
      <c r="J1255" s="13" t="n">
        <v>160</v>
      </c>
      <c r="K1255" s="13" t="n">
        <v>160.5</v>
      </c>
      <c r="L1255" s="13" t="n">
        <v>139</v>
      </c>
      <c r="M1255" s="13" t="n">
        <v>145</v>
      </c>
      <c r="N1255" s="13" t="n">
        <v>121</v>
      </c>
      <c r="O1255" s="13" t="n">
        <v>74</v>
      </c>
      <c r="P1255" s="13" t="n">
        <v>107</v>
      </c>
      <c r="Q1255" s="13" t="n">
        <v>13</v>
      </c>
      <c r="R1255" s="13" t="n">
        <v>1546</v>
      </c>
      <c r="S1255" s="13" t="n">
        <v>0.92</v>
      </c>
      <c r="T1255" s="13" t="n">
        <v>1427</v>
      </c>
      <c r="U1255" s="13" t="n">
        <v>151</v>
      </c>
      <c r="V1255" s="13" t="n">
        <v>51</v>
      </c>
      <c r="W1255" s="13" t="n">
        <v>38</v>
      </c>
      <c r="X1255" s="13" t="n">
        <v>148</v>
      </c>
      <c r="Y1255" s="13" t="n">
        <v>5</v>
      </c>
      <c r="Z1255" s="13" t="n">
        <v>71</v>
      </c>
      <c r="AA1255" s="13" t="n">
        <v>0.139</v>
      </c>
      <c r="AB1255" s="13" t="n">
        <v>81</v>
      </c>
      <c r="AC1255" s="13" t="n">
        <v>79</v>
      </c>
      <c r="AD1255" s="13" t="n">
        <v>67</v>
      </c>
      <c r="AE1255" s="13" t="n">
        <v>9</v>
      </c>
      <c r="AF1255" s="13" t="n">
        <v>8.5</v>
      </c>
      <c r="AG1255" s="11" t="inlineStr">
        <is>
          <t xml:space="preserve"> On-Piste Carving</t>
        </is>
      </c>
      <c r="AH1255" s="13" t="n"/>
      <c r="AI1255" s="13" t="n"/>
      <c r="AJ1255" s="13" t="n"/>
      <c r="AK1255" s="42" t="n"/>
    </row>
    <row r="1256">
      <c r="E1256" s="40" t="inlineStr">
        <is>
          <t>21/22</t>
        </is>
      </c>
      <c r="F1256" s="10" t="inlineStr">
        <is>
          <t xml:space="preserve"> Rossignol</t>
        </is>
      </c>
      <c r="G1256" s="11" t="inlineStr">
        <is>
          <t>Nova 6</t>
        </is>
      </c>
      <c r="H1256" s="13" t="n">
        <v>149</v>
      </c>
      <c r="I1256" s="11" t="inlineStr">
        <is>
          <t xml:space="preserve"> Women's</t>
        </is>
      </c>
      <c r="J1256" s="13" t="n">
        <v>149</v>
      </c>
      <c r="K1256" s="13" t="n">
        <v>148.9</v>
      </c>
      <c r="L1256" s="13" t="n">
        <v>128</v>
      </c>
      <c r="M1256" s="13" t="n">
        <v>135</v>
      </c>
      <c r="N1256" s="13" t="n">
        <v>122</v>
      </c>
      <c r="O1256" s="13" t="n">
        <v>73</v>
      </c>
      <c r="P1256" s="13" t="n">
        <v>109</v>
      </c>
      <c r="Q1256" s="13" t="n">
        <v>10.5</v>
      </c>
      <c r="R1256" s="13" t="n">
        <v>1459</v>
      </c>
      <c r="S1256" s="13" t="n">
        <v>0.91</v>
      </c>
      <c r="T1256" s="13" t="n">
        <v>1325</v>
      </c>
      <c r="U1256" s="13" t="n">
        <v>133</v>
      </c>
      <c r="V1256" s="13" t="n">
        <v>48</v>
      </c>
      <c r="W1256" s="13" t="n">
        <v>38</v>
      </c>
      <c r="X1256" s="13" t="n">
        <v>150</v>
      </c>
      <c r="Y1256" s="13" t="n">
        <v>6</v>
      </c>
      <c r="Z1256" s="13" t="n">
        <v>59</v>
      </c>
      <c r="AA1256" s="13" t="n">
        <v>0.162</v>
      </c>
      <c r="AB1256" s="13" t="n">
        <v>73</v>
      </c>
      <c r="AC1256" s="13" t="n">
        <v>62</v>
      </c>
      <c r="AD1256" s="13" t="n">
        <v>77</v>
      </c>
      <c r="AE1256" s="13" t="n">
        <v>9</v>
      </c>
      <c r="AF1256" s="13" t="n">
        <v>10</v>
      </c>
      <c r="AG1256" s="11" t="inlineStr">
        <is>
          <t xml:space="preserve"> On-Piste Carving</t>
        </is>
      </c>
      <c r="AH1256" s="13" t="n"/>
      <c r="AI1256" s="13" t="n"/>
      <c r="AJ1256" s="13" t="n"/>
      <c r="AK1256" s="42" t="n"/>
    </row>
    <row r="1257">
      <c r="E1257" s="40" t="inlineStr">
        <is>
          <t>21/22</t>
        </is>
      </c>
      <c r="F1257" s="10" t="inlineStr">
        <is>
          <t xml:space="preserve"> Rossignol</t>
        </is>
      </c>
      <c r="G1257" s="11" t="inlineStr">
        <is>
          <t>Nova 6</t>
        </is>
      </c>
      <c r="H1257" s="13" t="n">
        <v>156</v>
      </c>
      <c r="I1257" s="11" t="inlineStr">
        <is>
          <t xml:space="preserve"> Women's</t>
        </is>
      </c>
      <c r="J1257" s="13" t="n">
        <v>156</v>
      </c>
      <c r="K1257" s="13" t="n">
        <v>155.7</v>
      </c>
      <c r="L1257" s="13" t="n">
        <v>136</v>
      </c>
      <c r="M1257" s="13" t="n">
        <v>142</v>
      </c>
      <c r="N1257" s="13" t="n">
        <v>122</v>
      </c>
      <c r="O1257" s="13" t="n">
        <v>73</v>
      </c>
      <c r="P1257" s="13" t="n">
        <v>109</v>
      </c>
      <c r="Q1257" s="13" t="n">
        <v>11.7</v>
      </c>
      <c r="R1257" s="13" t="n">
        <v>1516</v>
      </c>
      <c r="S1257" s="13" t="n">
        <v>0.91</v>
      </c>
      <c r="T1257" s="13" t="n">
        <v>1383</v>
      </c>
      <c r="U1257" s="13" t="n">
        <v>135</v>
      </c>
      <c r="V1257" s="13" t="n">
        <v>55</v>
      </c>
      <c r="W1257" s="13" t="n">
        <v>37</v>
      </c>
      <c r="X1257" s="13" t="n">
        <v>145</v>
      </c>
      <c r="Y1257" s="13" t="n">
        <v>4</v>
      </c>
      <c r="Z1257" s="13" t="n">
        <v>53</v>
      </c>
      <c r="AA1257" s="13" t="n">
        <v>0.121</v>
      </c>
      <c r="AB1257" s="13" t="n">
        <v>72</v>
      </c>
      <c r="AC1257" s="13" t="n">
        <v>61</v>
      </c>
      <c r="AD1257" s="13" t="n">
        <v>74</v>
      </c>
      <c r="AE1257" s="13" t="n">
        <v>11</v>
      </c>
      <c r="AF1257" s="13" t="n">
        <v>9.5</v>
      </c>
      <c r="AG1257" s="11" t="inlineStr">
        <is>
          <t xml:space="preserve"> On-Piste Carving</t>
        </is>
      </c>
      <c r="AH1257" s="13" t="n"/>
      <c r="AI1257" s="13" t="n"/>
      <c r="AJ1257" s="13" t="n"/>
      <c r="AK1257" s="42" t="n"/>
    </row>
    <row r="1258">
      <c r="E1258" s="40" t="inlineStr">
        <is>
          <t>21/22</t>
        </is>
      </c>
      <c r="F1258" s="10" t="inlineStr">
        <is>
          <t xml:space="preserve"> Rossignol</t>
        </is>
      </c>
      <c r="G1258" s="11" t="inlineStr">
        <is>
          <t>Nova 6</t>
        </is>
      </c>
      <c r="H1258" s="13" t="n">
        <v>163</v>
      </c>
      <c r="I1258" s="11" t="inlineStr">
        <is>
          <t xml:space="preserve"> Women's</t>
        </is>
      </c>
      <c r="J1258" s="13" t="n">
        <v>163</v>
      </c>
      <c r="K1258" s="13" t="n">
        <v>162.5</v>
      </c>
      <c r="L1258" s="13" t="n">
        <v>142</v>
      </c>
      <c r="M1258" s="13" t="n">
        <v>150</v>
      </c>
      <c r="N1258" s="13" t="n">
        <v>123</v>
      </c>
      <c r="O1258" s="13" t="n">
        <v>73</v>
      </c>
      <c r="P1258" s="13" t="n">
        <v>109</v>
      </c>
      <c r="Q1258" s="13" t="n">
        <v>13</v>
      </c>
      <c r="R1258" s="13" t="n">
        <v>1615</v>
      </c>
      <c r="S1258" s="13" t="n">
        <v>0.89</v>
      </c>
      <c r="T1258" s="13" t="n">
        <v>1444</v>
      </c>
      <c r="U1258" s="13" t="n">
        <v>149</v>
      </c>
      <c r="V1258" s="13" t="n">
        <v>60</v>
      </c>
      <c r="W1258" s="13" t="n">
        <v>38</v>
      </c>
      <c r="X1258" s="13" t="n">
        <v>154</v>
      </c>
      <c r="Y1258" s="13" t="n">
        <v>4</v>
      </c>
      <c r="Z1258" s="13" t="n">
        <v>54</v>
      </c>
      <c r="AA1258" s="13" t="n">
        <v>0.118</v>
      </c>
      <c r="AB1258" s="13" t="n">
        <v>69</v>
      </c>
      <c r="AC1258" s="13" t="n">
        <v>61</v>
      </c>
      <c r="AD1258" s="13" t="n">
        <v>85</v>
      </c>
      <c r="AE1258" s="13" t="n">
        <v>12</v>
      </c>
      <c r="AF1258" s="13" t="n">
        <v>9.5</v>
      </c>
      <c r="AG1258" s="11" t="inlineStr">
        <is>
          <t xml:space="preserve"> On-Piste Carving</t>
        </is>
      </c>
      <c r="AH1258" s="13" t="n"/>
      <c r="AI1258" s="13" t="n"/>
      <c r="AJ1258" s="13" t="n"/>
      <c r="AK1258" s="42" t="n"/>
    </row>
    <row r="1259">
      <c r="E1259" s="40" t="inlineStr">
        <is>
          <t>21/22</t>
        </is>
      </c>
      <c r="F1259" s="10" t="inlineStr">
        <is>
          <t xml:space="preserve"> Rossignol</t>
        </is>
      </c>
      <c r="G1259" s="11" t="inlineStr">
        <is>
          <t>React 2</t>
        </is>
      </c>
      <c r="H1259" s="13" t="n">
        <v>154</v>
      </c>
      <c r="I1259" s="11" t="inlineStr">
        <is>
          <t xml:space="preserve"> Unisex</t>
        </is>
      </c>
      <c r="J1259" s="13" t="n">
        <v>154</v>
      </c>
      <c r="K1259" s="13" t="n">
        <v>152.3</v>
      </c>
      <c r="L1259" s="13" t="n">
        <v>132</v>
      </c>
      <c r="M1259" s="13" t="n">
        <v>137</v>
      </c>
      <c r="N1259" s="13" t="n">
        <v>121</v>
      </c>
      <c r="O1259" s="13" t="n">
        <v>74</v>
      </c>
      <c r="P1259" s="13" t="n">
        <v>107</v>
      </c>
      <c r="Q1259" s="13" t="n">
        <v>11.7</v>
      </c>
      <c r="R1259" s="13" t="n">
        <v>1410</v>
      </c>
      <c r="S1259" s="13" t="n">
        <v>0.96</v>
      </c>
      <c r="T1259" s="13" t="n">
        <v>1356</v>
      </c>
      <c r="U1259" s="13" t="n">
        <v>140</v>
      </c>
      <c r="V1259" s="13" t="n">
        <v>51</v>
      </c>
      <c r="W1259" s="13" t="n">
        <v>33</v>
      </c>
      <c r="X1259" s="13" t="n">
        <v>136</v>
      </c>
      <c r="Y1259" s="13" t="n">
        <v>5</v>
      </c>
      <c r="Z1259" s="13" t="n">
        <v>64</v>
      </c>
      <c r="AA1259" s="13" t="n">
        <v>0.143</v>
      </c>
      <c r="AB1259" s="13" t="n">
        <v>78</v>
      </c>
      <c r="AC1259" s="13" t="n">
        <v>80</v>
      </c>
      <c r="AD1259" s="13" t="n">
        <v>58</v>
      </c>
      <c r="AE1259" s="13" t="n">
        <v>12</v>
      </c>
      <c r="AF1259" s="13" t="n">
        <v>8</v>
      </c>
      <c r="AG1259" s="11" t="inlineStr">
        <is>
          <t xml:space="preserve"> On-Piste Carving</t>
        </is>
      </c>
      <c r="AH1259" s="11" t="inlineStr">
        <is>
          <t xml:space="preserve"> On-Piste All-Mountain</t>
        </is>
      </c>
      <c r="AI1259" s="13" t="n"/>
      <c r="AJ1259" s="13" t="n"/>
      <c r="AK1259" s="42" t="n"/>
    </row>
    <row r="1260">
      <c r="E1260" s="40" t="inlineStr">
        <is>
          <t>21/22</t>
        </is>
      </c>
      <c r="F1260" s="10" t="inlineStr">
        <is>
          <t xml:space="preserve"> Rossignol</t>
        </is>
      </c>
      <c r="G1260" s="11" t="inlineStr">
        <is>
          <t>React 2</t>
        </is>
      </c>
      <c r="H1260" s="13" t="n">
        <v>162</v>
      </c>
      <c r="I1260" s="11" t="inlineStr">
        <is>
          <t xml:space="preserve"> Unisex</t>
        </is>
      </c>
      <c r="J1260" s="13" t="n">
        <v>162</v>
      </c>
      <c r="K1260" s="13" t="n">
        <v>160.3</v>
      </c>
      <c r="L1260" s="13" t="n">
        <v>139</v>
      </c>
      <c r="M1260" s="13" t="n">
        <v>144</v>
      </c>
      <c r="N1260" s="13" t="n">
        <v>121</v>
      </c>
      <c r="O1260" s="13" t="n">
        <v>74</v>
      </c>
      <c r="P1260" s="13" t="n">
        <v>107</v>
      </c>
      <c r="Q1260" s="13" t="n">
        <v>13.1</v>
      </c>
      <c r="R1260" s="13" t="n">
        <v>1527</v>
      </c>
      <c r="S1260" s="13" t="n">
        <v>0.93</v>
      </c>
      <c r="T1260" s="13" t="n">
        <v>1426</v>
      </c>
      <c r="U1260" s="13" t="n">
        <v>158</v>
      </c>
      <c r="V1260" s="13" t="n">
        <v>55</v>
      </c>
      <c r="W1260" s="13" t="n">
        <v>36</v>
      </c>
      <c r="X1260" s="13" t="n">
        <v>142</v>
      </c>
      <c r="Y1260" s="13" t="n">
        <v>5</v>
      </c>
      <c r="Z1260" s="13" t="n">
        <v>68</v>
      </c>
      <c r="AA1260" s="13" t="n">
        <v>0.144</v>
      </c>
      <c r="AB1260" s="13" t="n">
        <v>81</v>
      </c>
      <c r="AC1260" s="13" t="n">
        <v>78</v>
      </c>
      <c r="AD1260" s="13" t="n">
        <v>61</v>
      </c>
      <c r="AE1260" s="13" t="n">
        <v>11</v>
      </c>
      <c r="AF1260" s="13" t="n">
        <v>8.199999999999999</v>
      </c>
      <c r="AG1260" s="11" t="inlineStr">
        <is>
          <t xml:space="preserve"> On-Piste Carving</t>
        </is>
      </c>
      <c r="AH1260" s="13" t="n"/>
      <c r="AI1260" s="13" t="n"/>
      <c r="AJ1260" s="13" t="n"/>
      <c r="AK1260" s="42" t="n"/>
    </row>
    <row r="1261">
      <c r="E1261" s="40" t="inlineStr">
        <is>
          <t>21/22</t>
        </is>
      </c>
      <c r="F1261" s="10" t="inlineStr">
        <is>
          <t xml:space="preserve"> Rossignol</t>
        </is>
      </c>
      <c r="G1261" s="11" t="inlineStr">
        <is>
          <t>React 2</t>
        </is>
      </c>
      <c r="H1261" s="13" t="n">
        <v>170</v>
      </c>
      <c r="I1261" s="11" t="inlineStr">
        <is>
          <t xml:space="preserve"> Unisex</t>
        </is>
      </c>
      <c r="J1261" s="13" t="n">
        <v>170</v>
      </c>
      <c r="K1261" s="13" t="n">
        <v>168.4</v>
      </c>
      <c r="L1261" s="13" t="n">
        <v>148</v>
      </c>
      <c r="M1261" s="13" t="n">
        <v>153</v>
      </c>
      <c r="N1261" s="13" t="n">
        <v>121</v>
      </c>
      <c r="O1261" s="13" t="n">
        <v>74</v>
      </c>
      <c r="P1261" s="13" t="n">
        <v>107</v>
      </c>
      <c r="Q1261" s="13" t="n">
        <v>14.6</v>
      </c>
      <c r="R1261" s="13" t="n">
        <v>1594</v>
      </c>
      <c r="S1261" s="13" t="n">
        <v>0.9399999999999999</v>
      </c>
      <c r="T1261" s="13" t="n">
        <v>1497</v>
      </c>
      <c r="U1261" s="13" t="n">
        <v>179</v>
      </c>
      <c r="V1261" s="13" t="n">
        <v>61</v>
      </c>
      <c r="W1261" s="13" t="n">
        <v>35</v>
      </c>
      <c r="X1261" s="13" t="n">
        <v>141</v>
      </c>
      <c r="Y1261" s="13" t="n">
        <v>5</v>
      </c>
      <c r="Z1261" s="13" t="n">
        <v>64</v>
      </c>
      <c r="AA1261" s="13" t="n">
        <v>0.141</v>
      </c>
      <c r="AB1261" s="13" t="n">
        <v>78</v>
      </c>
      <c r="AC1261" s="13" t="n">
        <v>80</v>
      </c>
      <c r="AD1261" s="13" t="n">
        <v>63</v>
      </c>
      <c r="AE1261" s="13" t="n">
        <v>12</v>
      </c>
      <c r="AF1261" s="13" t="n">
        <v>8.5</v>
      </c>
      <c r="AG1261" s="11" t="inlineStr">
        <is>
          <t xml:space="preserve"> On-Piste Carving</t>
        </is>
      </c>
      <c r="AH1261" s="13" t="n"/>
      <c r="AI1261" s="13" t="n"/>
      <c r="AJ1261" s="13" t="n"/>
      <c r="AK1261" s="42" t="n"/>
    </row>
    <row r="1262">
      <c r="E1262" s="40" t="inlineStr">
        <is>
          <t>21/22</t>
        </is>
      </c>
      <c r="F1262" s="10" t="inlineStr">
        <is>
          <t xml:space="preserve"> Rossignol</t>
        </is>
      </c>
      <c r="G1262" s="11" t="inlineStr">
        <is>
          <t>React 2</t>
        </is>
      </c>
      <c r="H1262" s="13" t="n">
        <v>176</v>
      </c>
      <c r="I1262" s="11" t="inlineStr">
        <is>
          <t xml:space="preserve"> Unisex</t>
        </is>
      </c>
      <c r="J1262" s="13" t="n">
        <v>176</v>
      </c>
      <c r="K1262" s="13" t="n">
        <v>176.3</v>
      </c>
      <c r="L1262" s="13" t="n">
        <v>156</v>
      </c>
      <c r="M1262" s="13" t="n">
        <v>160</v>
      </c>
      <c r="N1262" s="13" t="n">
        <v>121</v>
      </c>
      <c r="O1262" s="13" t="n">
        <v>74</v>
      </c>
      <c r="P1262" s="13" t="n">
        <v>107</v>
      </c>
      <c r="Q1262" s="13" t="n">
        <v>16.5</v>
      </c>
      <c r="R1262" s="13" t="n">
        <v>1646</v>
      </c>
      <c r="S1262" s="13" t="n">
        <v>0.95</v>
      </c>
      <c r="T1262" s="13" t="n">
        <v>1563</v>
      </c>
      <c r="U1262" s="13" t="n">
        <v>191</v>
      </c>
      <c r="V1262" s="13" t="n">
        <v>67</v>
      </c>
      <c r="W1262" s="13" t="n">
        <v>35</v>
      </c>
      <c r="X1262" s="13" t="n">
        <v>141</v>
      </c>
      <c r="Y1262" s="13" t="n">
        <v>5</v>
      </c>
      <c r="Z1262" s="13" t="n">
        <v>66</v>
      </c>
      <c r="AA1262" s="13" t="n">
        <v>0.142</v>
      </c>
      <c r="AB1262" s="13" t="n">
        <v>81</v>
      </c>
      <c r="AC1262" s="13" t="n">
        <v>83</v>
      </c>
      <c r="AD1262" s="13" t="n">
        <v>60</v>
      </c>
      <c r="AE1262" s="13" t="n">
        <v>13</v>
      </c>
      <c r="AF1262" s="13" t="n">
        <v>8.699999999999999</v>
      </c>
      <c r="AG1262" s="11" t="inlineStr">
        <is>
          <t xml:space="preserve"> On-Piste Carving</t>
        </is>
      </c>
      <c r="AH1262" s="13" t="n"/>
      <c r="AI1262" s="13" t="n"/>
      <c r="AJ1262" s="13" t="n"/>
      <c r="AK1262" s="42" t="n"/>
    </row>
    <row r="1263">
      <c r="E1263" s="40" t="inlineStr">
        <is>
          <t>21/22</t>
        </is>
      </c>
      <c r="F1263" s="10" t="inlineStr">
        <is>
          <t xml:space="preserve"> Rossignol</t>
        </is>
      </c>
      <c r="G1263" s="11" t="inlineStr">
        <is>
          <t>React 6 Compact</t>
        </is>
      </c>
      <c r="H1263" s="13" t="n">
        <v>163</v>
      </c>
      <c r="I1263" s="11" t="inlineStr">
        <is>
          <t xml:space="preserve"> Unisex</t>
        </is>
      </c>
      <c r="J1263" s="13" t="n">
        <v>163</v>
      </c>
      <c r="K1263" s="13" t="n">
        <v>162.5</v>
      </c>
      <c r="L1263" s="13" t="n">
        <v>142</v>
      </c>
      <c r="M1263" s="13" t="n">
        <v>149</v>
      </c>
      <c r="N1263" s="13" t="n">
        <v>122</v>
      </c>
      <c r="O1263" s="13" t="n">
        <v>73</v>
      </c>
      <c r="P1263" s="13" t="n">
        <v>108</v>
      </c>
      <c r="Q1263" s="13" t="n">
        <v>13.1</v>
      </c>
      <c r="R1263" s="13" t="n">
        <v>1596</v>
      </c>
      <c r="S1263" s="13" t="n">
        <v>0.9</v>
      </c>
      <c r="T1263" s="13" t="n">
        <v>1441</v>
      </c>
      <c r="U1263" s="13" t="n">
        <v>172</v>
      </c>
      <c r="V1263" s="13" t="n">
        <v>63</v>
      </c>
      <c r="W1263" s="13" t="n">
        <v>37</v>
      </c>
      <c r="X1263" s="13" t="n">
        <v>152</v>
      </c>
      <c r="Y1263" s="13" t="n">
        <v>5</v>
      </c>
      <c r="Z1263" s="13" t="n">
        <v>57</v>
      </c>
      <c r="AA1263" s="13" t="n">
        <v>0.144</v>
      </c>
      <c r="AB1263" s="13" t="n">
        <v>69</v>
      </c>
      <c r="AC1263" s="13" t="n">
        <v>61</v>
      </c>
      <c r="AD1263" s="13" t="n">
        <v>83</v>
      </c>
      <c r="AE1263" s="13" t="n">
        <v>9</v>
      </c>
      <c r="AF1263" s="13" t="n">
        <v>10.2</v>
      </c>
      <c r="AG1263" s="11" t="inlineStr">
        <is>
          <t xml:space="preserve"> On-Piste Carving</t>
        </is>
      </c>
      <c r="AH1263" s="13" t="n"/>
      <c r="AI1263" s="13" t="n"/>
      <c r="AJ1263" s="13" t="n"/>
      <c r="AK1263" s="42" t="n"/>
    </row>
    <row r="1264">
      <c r="E1264" s="40" t="inlineStr">
        <is>
          <t>21/22</t>
        </is>
      </c>
      <c r="F1264" s="10" t="inlineStr">
        <is>
          <t xml:space="preserve"> Rossignol</t>
        </is>
      </c>
      <c r="G1264" s="11" t="inlineStr">
        <is>
          <t>React 6 Compact</t>
        </is>
      </c>
      <c r="H1264" s="13" t="n">
        <v>170</v>
      </c>
      <c r="I1264" s="11" t="inlineStr">
        <is>
          <t xml:space="preserve"> Unisex</t>
        </is>
      </c>
      <c r="J1264" s="13" t="n">
        <v>170</v>
      </c>
      <c r="K1264" s="13" t="n">
        <v>169.6</v>
      </c>
      <c r="L1264" s="13" t="n">
        <v>150</v>
      </c>
      <c r="M1264" s="13" t="n">
        <v>157</v>
      </c>
      <c r="N1264" s="13" t="n">
        <v>122</v>
      </c>
      <c r="O1264" s="13" t="n">
        <v>73</v>
      </c>
      <c r="P1264" s="13" t="n">
        <v>108</v>
      </c>
      <c r="Q1264" s="13" t="n">
        <v>14.5</v>
      </c>
      <c r="R1264" s="13" t="n">
        <v>1710</v>
      </c>
      <c r="S1264" s="13" t="n">
        <v>0.88</v>
      </c>
      <c r="T1264" s="13" t="n">
        <v>1499</v>
      </c>
      <c r="U1264" s="13" t="n">
        <v>185</v>
      </c>
      <c r="V1264" s="13" t="n">
        <v>73</v>
      </c>
      <c r="W1264" s="13" t="n">
        <v>35</v>
      </c>
      <c r="X1264" s="13" t="n">
        <v>144</v>
      </c>
      <c r="Y1264" s="13" t="n">
        <v>4</v>
      </c>
      <c r="Z1264" s="13" t="n">
        <v>50</v>
      </c>
      <c r="AA1264" s="13" t="n">
        <v>0.123</v>
      </c>
      <c r="AB1264" s="13" t="n">
        <v>71</v>
      </c>
      <c r="AC1264" s="13" t="n">
        <v>60</v>
      </c>
      <c r="AD1264" s="13" t="n">
        <v>74</v>
      </c>
      <c r="AE1264" s="13" t="n">
        <v>13</v>
      </c>
      <c r="AF1264" s="13" t="n">
        <v>9.9</v>
      </c>
      <c r="AG1264" s="11" t="inlineStr">
        <is>
          <t xml:space="preserve"> On-Piste Carving</t>
        </is>
      </c>
      <c r="AH1264" s="13" t="n"/>
      <c r="AI1264" s="13" t="n"/>
      <c r="AJ1264" s="13" t="n"/>
      <c r="AK1264" s="42" t="n"/>
    </row>
    <row r="1265">
      <c r="E1265" s="40" t="inlineStr">
        <is>
          <t>21/22</t>
        </is>
      </c>
      <c r="F1265" s="10" t="inlineStr">
        <is>
          <t xml:space="preserve"> Rossignol</t>
        </is>
      </c>
      <c r="G1265" s="11" t="inlineStr">
        <is>
          <t>React 6 Compact</t>
        </is>
      </c>
      <c r="H1265" s="13" t="n">
        <v>177</v>
      </c>
      <c r="I1265" s="11" t="inlineStr">
        <is>
          <t xml:space="preserve"> Unisex</t>
        </is>
      </c>
      <c r="J1265" s="13" t="n">
        <v>177</v>
      </c>
      <c r="K1265" s="13" t="n">
        <v>176.5</v>
      </c>
      <c r="L1265" s="13" t="n">
        <v>157</v>
      </c>
      <c r="M1265" s="13" t="n">
        <v>163</v>
      </c>
      <c r="N1265" s="13" t="n">
        <v>122</v>
      </c>
      <c r="O1265" s="13" t="n">
        <v>73</v>
      </c>
      <c r="P1265" s="13" t="n">
        <v>108</v>
      </c>
      <c r="Q1265" s="13" t="n">
        <v>15.8</v>
      </c>
      <c r="R1265" s="13" t="n">
        <v>1737</v>
      </c>
      <c r="S1265" s="13" t="n">
        <v>0.9</v>
      </c>
      <c r="T1265" s="13" t="n">
        <v>1558</v>
      </c>
      <c r="U1265" s="13" t="n">
        <v>207</v>
      </c>
      <c r="V1265" s="13" t="n">
        <v>73</v>
      </c>
      <c r="W1265" s="13" t="n">
        <v>36</v>
      </c>
      <c r="X1265" s="13" t="n">
        <v>148</v>
      </c>
      <c r="Y1265" s="13" t="n">
        <v>5</v>
      </c>
      <c r="Z1265" s="13" t="n">
        <v>52</v>
      </c>
      <c r="AA1265" s="13" t="n">
        <v>0.14</v>
      </c>
      <c r="AB1265" s="13" t="n">
        <v>72</v>
      </c>
      <c r="AC1265" s="13" t="n">
        <v>61</v>
      </c>
      <c r="AD1265" s="13" t="n">
        <v>76</v>
      </c>
      <c r="AE1265" s="13" t="n">
        <v>13</v>
      </c>
      <c r="AF1265" s="13" t="n">
        <v>9.800000000000001</v>
      </c>
      <c r="AG1265" s="11" t="inlineStr">
        <is>
          <t xml:space="preserve"> On-Piste Carving</t>
        </is>
      </c>
      <c r="AH1265" s="13" t="n"/>
      <c r="AI1265" s="13" t="n"/>
      <c r="AJ1265" s="13" t="n"/>
      <c r="AK1265" s="42" t="n"/>
    </row>
    <row r="1266">
      <c r="E1266" s="40" t="inlineStr">
        <is>
          <t>21/22</t>
        </is>
      </c>
      <c r="F1266" s="10" t="inlineStr">
        <is>
          <t xml:space="preserve"> Salomon</t>
        </is>
      </c>
      <c r="G1266" s="11" t="inlineStr">
        <is>
          <t>MTN Explore 88</t>
        </is>
      </c>
      <c r="H1266" s="13" t="n">
        <v>169</v>
      </c>
      <c r="I1266" s="11" t="inlineStr">
        <is>
          <t xml:space="preserve"> Unisex</t>
        </is>
      </c>
      <c r="J1266" s="13" t="n">
        <v>169</v>
      </c>
      <c r="K1266" s="13" t="n">
        <v>167.7</v>
      </c>
      <c r="L1266" s="13" t="n">
        <v>134</v>
      </c>
      <c r="M1266" s="13" t="n">
        <v>146</v>
      </c>
      <c r="N1266" s="13" t="n">
        <v>123</v>
      </c>
      <c r="O1266" s="13" t="n">
        <v>88</v>
      </c>
      <c r="P1266" s="13" t="n">
        <v>109</v>
      </c>
      <c r="Q1266" s="13" t="n">
        <v>18.4</v>
      </c>
      <c r="R1266" s="13" t="n">
        <v>1319</v>
      </c>
      <c r="S1266" s="13" t="n">
        <v>1.27</v>
      </c>
      <c r="T1266" s="13" t="n">
        <v>1673</v>
      </c>
      <c r="U1266" s="13" t="n">
        <v>169</v>
      </c>
      <c r="V1266" s="13" t="n">
        <v>66</v>
      </c>
      <c r="W1266" s="13" t="n">
        <v>50</v>
      </c>
      <c r="X1266" s="13" t="n">
        <v>204</v>
      </c>
      <c r="Y1266" s="13" t="n">
        <v>14</v>
      </c>
      <c r="Z1266" s="13" t="n">
        <v>138</v>
      </c>
      <c r="AA1266" s="13" t="n">
        <v>0.283</v>
      </c>
      <c r="AB1266" s="13" t="n">
        <v>137</v>
      </c>
      <c r="AC1266" s="13" t="n">
        <v>76</v>
      </c>
      <c r="AD1266" s="13" t="n">
        <v>66</v>
      </c>
      <c r="AE1266" s="13" t="n">
        <v>8</v>
      </c>
      <c r="AF1266" s="13" t="n">
        <v>11.6</v>
      </c>
      <c r="AG1266" s="11" t="inlineStr">
        <is>
          <t xml:space="preserve"> Resort Freeride</t>
        </is>
      </c>
      <c r="AH1266" s="11" t="inlineStr">
        <is>
          <t xml:space="preserve"> Touring</t>
        </is>
      </c>
      <c r="AI1266" s="11" t="inlineStr">
        <is>
          <t xml:space="preserve"> Ultralight Touring</t>
        </is>
      </c>
      <c r="AJ1266" s="13" t="n"/>
      <c r="AK1266" s="42" t="n"/>
    </row>
    <row r="1267">
      <c r="E1267" s="40" t="inlineStr">
        <is>
          <t>21/22</t>
        </is>
      </c>
      <c r="F1267" s="10" t="inlineStr">
        <is>
          <t xml:space="preserve"> Salomon</t>
        </is>
      </c>
      <c r="G1267" s="11" t="inlineStr">
        <is>
          <t>MTN Explore 88</t>
        </is>
      </c>
      <c r="H1267" s="13" t="n">
        <v>177</v>
      </c>
      <c r="I1267" s="11" t="inlineStr">
        <is>
          <t xml:space="preserve"> Unisex</t>
        </is>
      </c>
      <c r="J1267" s="13" t="n">
        <v>177</v>
      </c>
      <c r="K1267" s="13" t="n">
        <v>175.7</v>
      </c>
      <c r="L1267" s="13" t="n">
        <v>139</v>
      </c>
      <c r="M1267" s="13" t="n">
        <v>153</v>
      </c>
      <c r="N1267" s="13" t="n">
        <v>125</v>
      </c>
      <c r="O1267" s="13" t="n">
        <v>88</v>
      </c>
      <c r="P1267" s="13" t="n">
        <v>111</v>
      </c>
      <c r="Q1267" s="13" t="n">
        <v>18.5</v>
      </c>
      <c r="R1267" s="13" t="n">
        <v>1397</v>
      </c>
      <c r="S1267" s="13" t="n">
        <v>1.27</v>
      </c>
      <c r="T1267" s="13" t="n">
        <v>1768</v>
      </c>
      <c r="U1267" s="13" t="n">
        <v>173</v>
      </c>
      <c r="V1267" s="13" t="n">
        <v>76</v>
      </c>
      <c r="W1267" s="13" t="n">
        <v>50</v>
      </c>
      <c r="X1267" s="13" t="n">
        <v>205</v>
      </c>
      <c r="Y1267" s="13" t="n">
        <v>12</v>
      </c>
      <c r="Z1267" s="13" t="n">
        <v>162</v>
      </c>
      <c r="AA1267" s="13" t="n">
        <v>0.251</v>
      </c>
      <c r="AB1267" s="13" t="n">
        <v>149</v>
      </c>
      <c r="AC1267" s="13" t="n">
        <v>78</v>
      </c>
      <c r="AD1267" s="13" t="n">
        <v>56</v>
      </c>
      <c r="AE1267" s="13" t="n">
        <v>8</v>
      </c>
      <c r="AF1267" s="13" t="n">
        <v>11.6</v>
      </c>
      <c r="AG1267" s="11" t="inlineStr">
        <is>
          <t xml:space="preserve"> Resort Freeride</t>
        </is>
      </c>
      <c r="AH1267" s="11" t="inlineStr">
        <is>
          <t xml:space="preserve"> Touring</t>
        </is>
      </c>
      <c r="AI1267" s="11" t="inlineStr">
        <is>
          <t xml:space="preserve"> Ultralight Touring</t>
        </is>
      </c>
      <c r="AJ1267" s="13" t="n"/>
      <c r="AK1267" s="42" t="n"/>
    </row>
    <row r="1268">
      <c r="E1268" s="40" t="inlineStr">
        <is>
          <t>21/22</t>
        </is>
      </c>
      <c r="F1268" s="10" t="inlineStr">
        <is>
          <t xml:space="preserve"> Salomon</t>
        </is>
      </c>
      <c r="G1268" s="11" t="inlineStr">
        <is>
          <t>MTN Explore 88 W</t>
        </is>
      </c>
      <c r="H1268" s="13" t="n">
        <v>153</v>
      </c>
      <c r="I1268" s="11" t="inlineStr">
        <is>
          <t xml:space="preserve"> Women's</t>
        </is>
      </c>
      <c r="J1268" s="13" t="n">
        <v>153</v>
      </c>
      <c r="K1268" s="13" t="n">
        <v>151.7</v>
      </c>
      <c r="L1268" s="13" t="n">
        <v>124</v>
      </c>
      <c r="M1268" s="13" t="n">
        <v>132</v>
      </c>
      <c r="N1268" s="13" t="n">
        <v>121</v>
      </c>
      <c r="O1268" s="13" t="n">
        <v>88</v>
      </c>
      <c r="P1268" s="13" t="n">
        <v>106</v>
      </c>
      <c r="Q1268" s="13" t="n">
        <v>16.7</v>
      </c>
      <c r="R1268" s="13" t="n">
        <v>1155</v>
      </c>
      <c r="S1268" s="13" t="n">
        <v>1.29</v>
      </c>
      <c r="T1268" s="13" t="n">
        <v>1492</v>
      </c>
      <c r="U1268" s="13" t="n">
        <v>109</v>
      </c>
      <c r="V1268" s="13" t="n">
        <v>50</v>
      </c>
      <c r="W1268" s="13" t="n">
        <v>47</v>
      </c>
      <c r="X1268" s="13" t="n">
        <v>197</v>
      </c>
      <c r="Y1268" s="13" t="n">
        <v>12</v>
      </c>
      <c r="Z1268" s="13" t="n">
        <v>83</v>
      </c>
      <c r="AA1268" s="13" t="n">
        <v>0.253</v>
      </c>
      <c r="AB1268" s="13" t="n">
        <v>121</v>
      </c>
      <c r="AC1268" s="13" t="n">
        <v>74</v>
      </c>
      <c r="AD1268" s="13" t="n">
        <v>76</v>
      </c>
      <c r="AE1268" s="13" t="n">
        <v>8</v>
      </c>
      <c r="AF1268" s="13" t="n">
        <v>10.2</v>
      </c>
      <c r="AG1268" s="11" t="inlineStr">
        <is>
          <t xml:space="preserve"> Touring</t>
        </is>
      </c>
      <c r="AH1268" s="11" t="inlineStr">
        <is>
          <t xml:space="preserve"> Ultralight Touring</t>
        </is>
      </c>
      <c r="AI1268" s="13" t="n"/>
      <c r="AJ1268" s="13" t="n"/>
      <c r="AK1268" s="42" t="n"/>
    </row>
    <row r="1269">
      <c r="E1269" s="40" t="inlineStr">
        <is>
          <t>21/22</t>
        </is>
      </c>
      <c r="F1269" s="10" t="inlineStr">
        <is>
          <t xml:space="preserve"> Salomon</t>
        </is>
      </c>
      <c r="G1269" s="11" t="inlineStr">
        <is>
          <t>MTN Explore 95</t>
        </is>
      </c>
      <c r="H1269" s="13" t="n">
        <v>169</v>
      </c>
      <c r="I1269" s="11" t="inlineStr">
        <is>
          <t xml:space="preserve"> Unisex</t>
        </is>
      </c>
      <c r="J1269" s="13" t="n">
        <v>169</v>
      </c>
      <c r="K1269" s="13" t="n">
        <v>168.7</v>
      </c>
      <c r="L1269" s="13" t="n">
        <v>125</v>
      </c>
      <c r="M1269" s="13" t="n">
        <v>140</v>
      </c>
      <c r="N1269" s="13" t="n">
        <v>128</v>
      </c>
      <c r="O1269" s="13" t="n">
        <v>94</v>
      </c>
      <c r="P1269" s="13" t="n">
        <v>115</v>
      </c>
      <c r="Q1269" s="13" t="n">
        <v>16.6</v>
      </c>
      <c r="R1269" s="13" t="n">
        <v>1450</v>
      </c>
      <c r="S1269" s="13" t="n">
        <v>1.23</v>
      </c>
      <c r="T1269" s="13" t="n">
        <v>1780</v>
      </c>
      <c r="U1269" s="13" t="n">
        <v>169</v>
      </c>
      <c r="V1269" s="13" t="n">
        <v>67</v>
      </c>
      <c r="W1269" s="13" t="n">
        <v>55</v>
      </c>
      <c r="X1269" s="13" t="n">
        <v>321</v>
      </c>
      <c r="Y1269" s="13" t="n">
        <v>7</v>
      </c>
      <c r="Z1269" s="13" t="n">
        <v>115</v>
      </c>
      <c r="AA1269" s="13" t="n">
        <v>0.119</v>
      </c>
      <c r="AB1269" s="13" t="n">
        <v>181</v>
      </c>
      <c r="AC1269" s="13" t="n">
        <v>111</v>
      </c>
      <c r="AD1269" s="13" t="n">
        <v>140</v>
      </c>
      <c r="AE1269" s="13" t="n">
        <v>4</v>
      </c>
      <c r="AF1269" s="13" t="n">
        <v>10.6</v>
      </c>
      <c r="AG1269" s="11" t="inlineStr">
        <is>
          <t xml:space="preserve"> Resort Freeride</t>
        </is>
      </c>
      <c r="AH1269" s="11" t="inlineStr">
        <is>
          <t xml:space="preserve"> Touring</t>
        </is>
      </c>
      <c r="AI1269" s="13" t="n"/>
      <c r="AJ1269" s="13" t="n"/>
      <c r="AK1269" s="42" t="n"/>
    </row>
    <row r="1270">
      <c r="E1270" s="40" t="inlineStr">
        <is>
          <t>21/22</t>
        </is>
      </c>
      <c r="F1270" s="10" t="inlineStr">
        <is>
          <t xml:space="preserve"> Salomon</t>
        </is>
      </c>
      <c r="G1270" s="11" t="inlineStr">
        <is>
          <t>MTN Explore 95</t>
        </is>
      </c>
      <c r="H1270" s="13" t="n">
        <v>177</v>
      </c>
      <c r="I1270" s="11" t="inlineStr">
        <is>
          <t xml:space="preserve"> Unisex</t>
        </is>
      </c>
      <c r="J1270" s="13" t="n">
        <v>177</v>
      </c>
      <c r="K1270" s="13" t="n">
        <v>176.3</v>
      </c>
      <c r="L1270" s="13" t="n">
        <v>143</v>
      </c>
      <c r="M1270" s="13" t="n">
        <v>146</v>
      </c>
      <c r="N1270" s="13" t="n">
        <v>130</v>
      </c>
      <c r="O1270" s="13" t="n">
        <v>95</v>
      </c>
      <c r="P1270" s="13" t="n">
        <v>116</v>
      </c>
      <c r="Q1270" s="13" t="n">
        <v>17.6</v>
      </c>
      <c r="R1270" s="13" t="n">
        <v>1550</v>
      </c>
      <c r="S1270" s="13" t="n">
        <v>1.21</v>
      </c>
      <c r="T1270" s="13" t="n">
        <v>1874</v>
      </c>
      <c r="U1270" s="13" t="n">
        <v>186</v>
      </c>
      <c r="V1270" s="13" t="n">
        <v>77</v>
      </c>
      <c r="W1270" s="13" t="n">
        <v>52</v>
      </c>
      <c r="X1270" s="13" t="n">
        <v>258</v>
      </c>
      <c r="Y1270" s="13" t="n">
        <v>6</v>
      </c>
      <c r="Z1270" s="13" t="n">
        <v>75</v>
      </c>
      <c r="AA1270" s="13" t="n">
        <v>0.107</v>
      </c>
      <c r="AB1270" s="13" t="n">
        <v>200</v>
      </c>
      <c r="AC1270" s="13" t="n">
        <v>107</v>
      </c>
      <c r="AD1270" s="13" t="n">
        <v>58</v>
      </c>
      <c r="AE1270" s="13" t="n">
        <v>8</v>
      </c>
      <c r="AF1270" s="13" t="n">
        <v>10.9</v>
      </c>
      <c r="AG1270" s="11" t="inlineStr">
        <is>
          <t xml:space="preserve"> Resort Freeride</t>
        </is>
      </c>
      <c r="AH1270" s="11" t="inlineStr">
        <is>
          <t xml:space="preserve"> Touring</t>
        </is>
      </c>
      <c r="AI1270" s="13" t="n"/>
      <c r="AJ1270" s="13" t="n"/>
      <c r="AK1270" s="42" t="n"/>
    </row>
    <row r="1271">
      <c r="E1271" s="40" t="inlineStr">
        <is>
          <t>21/22</t>
        </is>
      </c>
      <c r="F1271" s="10" t="inlineStr">
        <is>
          <t xml:space="preserve"> Salomon</t>
        </is>
      </c>
      <c r="G1271" s="11" t="inlineStr">
        <is>
          <t>MTN Explore 95</t>
        </is>
      </c>
      <c r="H1271" s="13" t="n">
        <v>184</v>
      </c>
      <c r="I1271" s="11" t="inlineStr">
        <is>
          <t xml:space="preserve"> Unisex</t>
        </is>
      </c>
      <c r="J1271" s="13" t="n">
        <v>184</v>
      </c>
      <c r="K1271" s="13" t="n">
        <v>183.6</v>
      </c>
      <c r="L1271" s="13" t="n">
        <v>145</v>
      </c>
      <c r="M1271" s="13" t="n">
        <v>153</v>
      </c>
      <c r="N1271" s="13" t="n">
        <v>131</v>
      </c>
      <c r="O1271" s="13" t="n">
        <v>95</v>
      </c>
      <c r="P1271" s="13" t="n">
        <v>117</v>
      </c>
      <c r="Q1271" s="13" t="n">
        <v>18.9</v>
      </c>
      <c r="R1271" s="13" t="n">
        <v>1701</v>
      </c>
      <c r="S1271" s="13" t="n">
        <v>1.15</v>
      </c>
      <c r="T1271" s="13" t="n">
        <v>1959</v>
      </c>
      <c r="U1271" s="13" t="n">
        <v>219</v>
      </c>
      <c r="V1271" s="13" t="n">
        <v>88</v>
      </c>
      <c r="W1271" s="13" t="n">
        <v>50</v>
      </c>
      <c r="X1271" s="13" t="n">
        <v>289</v>
      </c>
      <c r="Y1271" s="13" t="n">
        <v>7</v>
      </c>
      <c r="Z1271" s="13" t="n">
        <v>99</v>
      </c>
      <c r="AA1271" s="13" t="n">
        <v>0.142</v>
      </c>
      <c r="AB1271" s="13" t="n">
        <v>199</v>
      </c>
      <c r="AC1271" s="13" t="n">
        <v>110</v>
      </c>
      <c r="AD1271" s="13" t="n">
        <v>90</v>
      </c>
      <c r="AE1271" s="13" t="n">
        <v>10</v>
      </c>
      <c r="AF1271" s="13" t="n">
        <v>10.9</v>
      </c>
      <c r="AG1271" s="11" t="inlineStr">
        <is>
          <t xml:space="preserve"> Resort Freeride</t>
        </is>
      </c>
      <c r="AH1271" s="11" t="inlineStr">
        <is>
          <t xml:space="preserve"> Touring</t>
        </is>
      </c>
      <c r="AI1271" s="13" t="n"/>
      <c r="AJ1271" s="13" t="n"/>
      <c r="AK1271" s="42" t="n"/>
    </row>
    <row r="1272">
      <c r="E1272" s="40" t="inlineStr">
        <is>
          <t>21/22</t>
        </is>
      </c>
      <c r="F1272" s="10" t="inlineStr">
        <is>
          <t xml:space="preserve"> Salomon</t>
        </is>
      </c>
      <c r="G1272" s="11" t="inlineStr">
        <is>
          <t>QST 106</t>
        </is>
      </c>
      <c r="H1272" s="13" t="n">
        <v>167</v>
      </c>
      <c r="I1272" s="11" t="inlineStr">
        <is>
          <t xml:space="preserve"> Unisex</t>
        </is>
      </c>
      <c r="J1272" s="13" t="n">
        <v>167</v>
      </c>
      <c r="K1272" s="13" t="n">
        <v>166.8</v>
      </c>
      <c r="L1272" s="13" t="n">
        <v>105</v>
      </c>
      <c r="M1272" s="13" t="n">
        <v>135</v>
      </c>
      <c r="N1272" s="13" t="n">
        <v>136</v>
      </c>
      <c r="O1272" s="13" t="n">
        <v>104</v>
      </c>
      <c r="P1272" s="13" t="n">
        <v>122</v>
      </c>
      <c r="Q1272" s="13" t="n">
        <v>18.1</v>
      </c>
      <c r="R1272" s="13" t="n">
        <v>1881</v>
      </c>
      <c r="S1272" s="13" t="n">
        <v>1.02</v>
      </c>
      <c r="T1272" s="13" t="n">
        <v>1912</v>
      </c>
      <c r="U1272" s="13" t="n">
        <v>174</v>
      </c>
      <c r="V1272" s="13" t="n">
        <v>83</v>
      </c>
      <c r="W1272" s="13" t="n">
        <v>59</v>
      </c>
      <c r="X1272" s="13" t="n">
        <v>353</v>
      </c>
      <c r="Y1272" s="13" t="n">
        <v>22</v>
      </c>
      <c r="Z1272" s="13" t="n">
        <v>262</v>
      </c>
      <c r="AA1272" s="13" t="n">
        <v>0.368</v>
      </c>
      <c r="AB1272" s="13" t="n">
        <v>189</v>
      </c>
      <c r="AC1272" s="13" t="n">
        <v>124</v>
      </c>
      <c r="AD1272" s="13" t="n">
        <v>164</v>
      </c>
      <c r="AE1272" s="13" t="n">
        <v>6</v>
      </c>
      <c r="AF1272" s="13" t="n">
        <v>9.300000000000001</v>
      </c>
      <c r="AG1272" s="11" t="inlineStr">
        <is>
          <t xml:space="preserve"> Resort Freeride</t>
        </is>
      </c>
      <c r="AH1272" s="11" t="inlineStr">
        <is>
          <t xml:space="preserve"> Powder</t>
        </is>
      </c>
      <c r="AI1272" s="11" t="inlineStr">
        <is>
          <t xml:space="preserve"> Big Mountain</t>
        </is>
      </c>
      <c r="AJ1272" s="13" t="n"/>
      <c r="AK1272" s="42" t="n"/>
    </row>
    <row r="1273">
      <c r="E1273" s="40" t="inlineStr">
        <is>
          <t>21/22</t>
        </is>
      </c>
      <c r="F1273" s="10" t="inlineStr">
        <is>
          <t xml:space="preserve"> Salomon</t>
        </is>
      </c>
      <c r="G1273" s="11" t="inlineStr">
        <is>
          <t>QST 106</t>
        </is>
      </c>
      <c r="H1273" s="13" t="n">
        <v>174</v>
      </c>
      <c r="I1273" s="11" t="inlineStr">
        <is>
          <t xml:space="preserve"> Unisex</t>
        </is>
      </c>
      <c r="J1273" s="13" t="n">
        <v>174</v>
      </c>
      <c r="K1273" s="13" t="n">
        <v>173.9</v>
      </c>
      <c r="L1273" s="13" t="n">
        <v>109</v>
      </c>
      <c r="M1273" s="13" t="n">
        <v>144</v>
      </c>
      <c r="N1273" s="13" t="n">
        <v>137</v>
      </c>
      <c r="O1273" s="13" t="n">
        <v>105</v>
      </c>
      <c r="P1273" s="13" t="n">
        <v>123</v>
      </c>
      <c r="Q1273" s="13" t="n">
        <v>19.1</v>
      </c>
      <c r="R1273" s="13" t="n">
        <v>2014</v>
      </c>
      <c r="S1273" s="13" t="n">
        <v>0.99</v>
      </c>
      <c r="T1273" s="13" t="n">
        <v>2000</v>
      </c>
      <c r="U1273" s="13" t="n">
        <v>211</v>
      </c>
      <c r="V1273" s="13" t="n">
        <v>97</v>
      </c>
      <c r="W1273" s="13" t="n">
        <v>59</v>
      </c>
      <c r="X1273" s="13" t="n">
        <v>365</v>
      </c>
      <c r="Y1273" s="13" t="n">
        <v>22</v>
      </c>
      <c r="Z1273" s="13" t="n">
        <v>282</v>
      </c>
      <c r="AA1273" s="13" t="n">
        <v>0.378</v>
      </c>
      <c r="AB1273" s="13" t="n">
        <v>181</v>
      </c>
      <c r="AC1273" s="13" t="n">
        <v>119</v>
      </c>
      <c r="AD1273" s="13" t="n">
        <v>183</v>
      </c>
      <c r="AE1273" s="13" t="n">
        <v>6</v>
      </c>
      <c r="AF1273" s="13" t="n">
        <v>9.4</v>
      </c>
      <c r="AG1273" s="11" t="inlineStr">
        <is>
          <t xml:space="preserve"> Resort Freeride</t>
        </is>
      </c>
      <c r="AH1273" s="11" t="inlineStr">
        <is>
          <t xml:space="preserve"> Powder</t>
        </is>
      </c>
      <c r="AI1273" s="11" t="inlineStr">
        <is>
          <t xml:space="preserve"> Big Mountain</t>
        </is>
      </c>
      <c r="AJ1273" s="13" t="n"/>
      <c r="AK1273" s="42" t="n"/>
    </row>
    <row r="1274">
      <c r="E1274" s="40" t="inlineStr">
        <is>
          <t>21/22</t>
        </is>
      </c>
      <c r="F1274" s="10" t="inlineStr">
        <is>
          <t xml:space="preserve"> Salomon</t>
        </is>
      </c>
      <c r="G1274" s="11" t="inlineStr">
        <is>
          <t>QST 106</t>
        </is>
      </c>
      <c r="H1274" s="13" t="n">
        <v>181</v>
      </c>
      <c r="I1274" s="11" t="inlineStr">
        <is>
          <t xml:space="preserve"> Unisex</t>
        </is>
      </c>
      <c r="J1274" s="13" t="n">
        <v>181</v>
      </c>
      <c r="K1274" s="13" t="n">
        <v>180.9</v>
      </c>
      <c r="L1274" s="13" t="n">
        <v>114</v>
      </c>
      <c r="M1274" s="13" t="n">
        <v>151</v>
      </c>
      <c r="N1274" s="13" t="n">
        <v>138</v>
      </c>
      <c r="O1274" s="13" t="n">
        <v>105</v>
      </c>
      <c r="P1274" s="13" t="n">
        <v>124</v>
      </c>
      <c r="Q1274" s="13" t="n">
        <v>19.9</v>
      </c>
      <c r="R1274" s="13" t="n">
        <v>2130</v>
      </c>
      <c r="S1274" s="13" t="n">
        <v>0.98</v>
      </c>
      <c r="T1274" s="13" t="n">
        <v>2088</v>
      </c>
      <c r="U1274" s="13" t="n">
        <v>231</v>
      </c>
      <c r="V1274" s="13" t="n">
        <v>105</v>
      </c>
      <c r="W1274" s="13" t="n">
        <v>56</v>
      </c>
      <c r="X1274" s="13" t="n">
        <v>381</v>
      </c>
      <c r="Y1274" s="13" t="n">
        <v>20</v>
      </c>
      <c r="Z1274" s="13" t="n">
        <v>291</v>
      </c>
      <c r="AA1274" s="13" t="n">
        <v>0.348</v>
      </c>
      <c r="AB1274" s="13" t="n">
        <v>179</v>
      </c>
      <c r="AC1274" s="13" t="n">
        <v>115</v>
      </c>
      <c r="AD1274" s="13" t="n">
        <v>201</v>
      </c>
      <c r="AE1274" s="13" t="n">
        <v>8</v>
      </c>
      <c r="AF1274" s="13" t="n">
        <v>8</v>
      </c>
      <c r="AG1274" s="11" t="inlineStr">
        <is>
          <t xml:space="preserve"> Resort Freeride</t>
        </is>
      </c>
      <c r="AH1274" s="11" t="inlineStr">
        <is>
          <t xml:space="preserve"> Big Mountain</t>
        </is>
      </c>
      <c r="AI1274" s="13" t="n"/>
      <c r="AJ1274" s="13" t="n"/>
      <c r="AK1274" s="42" t="n"/>
    </row>
    <row r="1275">
      <c r="E1275" s="40" t="inlineStr">
        <is>
          <t>21/22</t>
        </is>
      </c>
      <c r="F1275" s="10" t="inlineStr">
        <is>
          <t xml:space="preserve"> Salomon</t>
        </is>
      </c>
      <c r="G1275" s="11" t="inlineStr">
        <is>
          <t>QST 106</t>
        </is>
      </c>
      <c r="H1275" s="13" t="n">
        <v>188</v>
      </c>
      <c r="I1275" s="11" t="inlineStr">
        <is>
          <t xml:space="preserve"> Unisex</t>
        </is>
      </c>
      <c r="J1275" s="13" t="n">
        <v>188</v>
      </c>
      <c r="K1275" s="13" t="n">
        <v>187.7</v>
      </c>
      <c r="L1275" s="13" t="n">
        <v>113</v>
      </c>
      <c r="M1275" s="13" t="n">
        <v>157</v>
      </c>
      <c r="N1275" s="13" t="n">
        <v>139</v>
      </c>
      <c r="O1275" s="13" t="n">
        <v>104</v>
      </c>
      <c r="P1275" s="13" t="n">
        <v>125</v>
      </c>
      <c r="Q1275" s="13" t="n">
        <v>21.5</v>
      </c>
      <c r="R1275" s="13" t="n">
        <v>2224</v>
      </c>
      <c r="S1275" s="13" t="n">
        <v>0.97</v>
      </c>
      <c r="T1275" s="13" t="n">
        <v>2167</v>
      </c>
      <c r="U1275" s="13" t="n">
        <v>279</v>
      </c>
      <c r="V1275" s="13" t="n">
        <v>125</v>
      </c>
      <c r="W1275" s="13" t="n">
        <v>61</v>
      </c>
      <c r="X1275" s="13" t="n">
        <v>432</v>
      </c>
      <c r="Y1275" s="13" t="n">
        <v>23</v>
      </c>
      <c r="Z1275" s="13" t="n">
        <v>315</v>
      </c>
      <c r="AA1275" s="13" t="n">
        <v>0.377</v>
      </c>
      <c r="AB1275" s="13" t="n">
        <v>183</v>
      </c>
      <c r="AC1275" s="13" t="n">
        <v>125</v>
      </c>
      <c r="AD1275" s="13" t="n">
        <v>249</v>
      </c>
      <c r="AE1275" s="13" t="n">
        <v>6</v>
      </c>
      <c r="AF1275" s="13" t="n">
        <v>7.6</v>
      </c>
      <c r="AG1275" s="11" t="inlineStr">
        <is>
          <t xml:space="preserve"> Resort Freeride</t>
        </is>
      </c>
      <c r="AH1275" s="11" t="inlineStr">
        <is>
          <t xml:space="preserve"> Powder</t>
        </is>
      </c>
      <c r="AI1275" s="11" t="inlineStr">
        <is>
          <t xml:space="preserve"> Big Mountain</t>
        </is>
      </c>
      <c r="AJ1275" s="13" t="n"/>
      <c r="AK1275" s="42" t="n"/>
    </row>
    <row r="1276">
      <c r="E1276" s="40" t="inlineStr">
        <is>
          <t>21/22</t>
        </is>
      </c>
      <c r="F1276" s="10" t="inlineStr">
        <is>
          <t xml:space="preserve"> Salomon</t>
        </is>
      </c>
      <c r="G1276" s="11" t="inlineStr">
        <is>
          <t>QST 85</t>
        </is>
      </c>
      <c r="H1276" s="13" t="n">
        <v>185</v>
      </c>
      <c r="I1276" s="11" t="inlineStr">
        <is>
          <t xml:space="preserve"> Unisex</t>
        </is>
      </c>
      <c r="J1276" s="13" t="n">
        <v>185</v>
      </c>
      <c r="K1276" s="13" t="n">
        <v>184.3</v>
      </c>
      <c r="L1276" s="13" t="n">
        <v>146</v>
      </c>
      <c r="M1276" s="13" t="n">
        <v>152</v>
      </c>
      <c r="N1276" s="13" t="n">
        <v>130</v>
      </c>
      <c r="O1276" s="13" t="n">
        <v>84</v>
      </c>
      <c r="P1276" s="13" t="n">
        <v>114</v>
      </c>
      <c r="Q1276" s="13" t="n">
        <v>14</v>
      </c>
      <c r="R1276" s="13" t="n">
        <v>2285</v>
      </c>
      <c r="S1276" s="13" t="n">
        <v>0.8100000000000001</v>
      </c>
      <c r="T1276" s="13" t="n">
        <v>1843</v>
      </c>
      <c r="U1276" s="13" t="n">
        <v>279</v>
      </c>
      <c r="V1276" s="13" t="n">
        <v>127</v>
      </c>
      <c r="W1276" s="13" t="n">
        <v>35</v>
      </c>
      <c r="X1276" s="13" t="n">
        <v>257</v>
      </c>
      <c r="Y1276" s="13" t="n">
        <v>6</v>
      </c>
      <c r="Z1276" s="13" t="n">
        <v>128</v>
      </c>
      <c r="AA1276" s="13" t="n">
        <v>0.161</v>
      </c>
      <c r="AB1276" s="13" t="n">
        <v>196</v>
      </c>
      <c r="AC1276" s="13" t="n">
        <v>127</v>
      </c>
      <c r="AD1276" s="13" t="n">
        <v>61</v>
      </c>
      <c r="AE1276" s="13" t="n">
        <v>12</v>
      </c>
      <c r="AF1276" s="13" t="n">
        <v>7.7</v>
      </c>
      <c r="AG1276" s="11" t="inlineStr">
        <is>
          <t xml:space="preserve"> On-Piste All-Mountain</t>
        </is>
      </c>
      <c r="AH1276" s="11" t="inlineStr">
        <is>
          <t xml:space="preserve"> Resort Freeride</t>
        </is>
      </c>
      <c r="AI1276" s="13" t="n"/>
      <c r="AJ1276" s="13" t="n"/>
      <c r="AK1276" s="42" t="n"/>
    </row>
    <row r="1277">
      <c r="E1277" s="40" t="inlineStr">
        <is>
          <t>21/22</t>
        </is>
      </c>
      <c r="F1277" s="10" t="inlineStr">
        <is>
          <t xml:space="preserve"> Salomon</t>
        </is>
      </c>
      <c r="G1277" s="11" t="inlineStr">
        <is>
          <t>QST 92</t>
        </is>
      </c>
      <c r="H1277" s="13" t="n">
        <v>153</v>
      </c>
      <c r="I1277" s="11" t="inlineStr">
        <is>
          <t xml:space="preserve"> Unisex</t>
        </is>
      </c>
      <c r="J1277" s="13" t="n">
        <v>153</v>
      </c>
      <c r="K1277" s="13" t="n">
        <v>151.9</v>
      </c>
      <c r="L1277" s="13" t="n">
        <v>112</v>
      </c>
      <c r="M1277" s="13" t="n">
        <v>127</v>
      </c>
      <c r="N1277" s="13" t="n">
        <v>128</v>
      </c>
      <c r="O1277" s="13" t="n">
        <v>91</v>
      </c>
      <c r="P1277" s="13" t="n">
        <v>111</v>
      </c>
      <c r="Q1277" s="13" t="n">
        <v>12.7</v>
      </c>
      <c r="R1277" s="13" t="n">
        <v>1579</v>
      </c>
      <c r="S1277" s="13" t="n">
        <v>0.99</v>
      </c>
      <c r="T1277" s="13" t="n">
        <v>1571</v>
      </c>
      <c r="U1277" s="13" t="n">
        <v>172</v>
      </c>
      <c r="V1277" s="13" t="n">
        <v>84</v>
      </c>
      <c r="W1277" s="13" t="n">
        <v>54</v>
      </c>
      <c r="X1277" s="13" t="n">
        <v>254</v>
      </c>
      <c r="Y1277" s="13" t="n">
        <v>16</v>
      </c>
      <c r="Z1277" s="13" t="n">
        <v>147</v>
      </c>
      <c r="AA1277" s="13" t="n">
        <v>0.301</v>
      </c>
      <c r="AB1277" s="13" t="n">
        <v>131</v>
      </c>
      <c r="AC1277" s="13" t="n">
        <v>118</v>
      </c>
      <c r="AD1277" s="13" t="n">
        <v>123</v>
      </c>
      <c r="AE1277" s="13" t="n">
        <v>6</v>
      </c>
      <c r="AF1277" s="13" t="n">
        <v>8.5</v>
      </c>
      <c r="AG1277" s="11" t="inlineStr">
        <is>
          <t xml:space="preserve"> Resort Freeride</t>
        </is>
      </c>
      <c r="AH1277" s="13" t="n"/>
      <c r="AI1277" s="13" t="n"/>
      <c r="AJ1277" s="13" t="n"/>
      <c r="AK1277" s="42" t="n"/>
    </row>
    <row r="1278">
      <c r="E1278" s="40" t="inlineStr">
        <is>
          <t>21/22</t>
        </is>
      </c>
      <c r="F1278" s="10" t="inlineStr">
        <is>
          <t xml:space="preserve"> Salomon</t>
        </is>
      </c>
      <c r="G1278" s="11" t="inlineStr">
        <is>
          <t>QST 92</t>
        </is>
      </c>
      <c r="H1278" s="13" t="n">
        <v>169</v>
      </c>
      <c r="I1278" s="11" t="inlineStr">
        <is>
          <t xml:space="preserve"> Unisex</t>
        </is>
      </c>
      <c r="J1278" s="13" t="n">
        <v>169</v>
      </c>
      <c r="K1278" s="13" t="n">
        <v>168.2</v>
      </c>
      <c r="L1278" s="13" t="n">
        <v>130</v>
      </c>
      <c r="M1278" s="13" t="n">
        <v>140</v>
      </c>
      <c r="N1278" s="13" t="n">
        <v>129</v>
      </c>
      <c r="O1278" s="13" t="n">
        <v>91</v>
      </c>
      <c r="P1278" s="13" t="n">
        <v>112</v>
      </c>
      <c r="Q1278" s="13" t="n">
        <v>15.4</v>
      </c>
      <c r="R1278" s="13" t="n">
        <v>1763</v>
      </c>
      <c r="S1278" s="13" t="n">
        <v>0.99</v>
      </c>
      <c r="T1278" s="13" t="n">
        <v>1750</v>
      </c>
      <c r="U1278" s="13" t="n">
        <v>190</v>
      </c>
      <c r="V1278" s="13" t="n">
        <v>91</v>
      </c>
      <c r="W1278" s="13" t="n">
        <v>48</v>
      </c>
      <c r="X1278" s="13" t="n">
        <v>257</v>
      </c>
      <c r="Y1278" s="13" t="n">
        <v>11</v>
      </c>
      <c r="Z1278" s="13" t="n">
        <v>129</v>
      </c>
      <c r="AA1278" s="13" t="n">
        <v>0.226</v>
      </c>
      <c r="AB1278" s="13" t="n">
        <v>157</v>
      </c>
      <c r="AC1278" s="13" t="n">
        <v>127</v>
      </c>
      <c r="AD1278" s="13" t="n">
        <v>99</v>
      </c>
      <c r="AE1278" s="13" t="n">
        <v>10</v>
      </c>
      <c r="AF1278" s="13" t="n">
        <v>9.800000000000001</v>
      </c>
      <c r="AG1278" s="11" t="inlineStr">
        <is>
          <t xml:space="preserve"> Resort Freeride</t>
        </is>
      </c>
      <c r="AH1278" s="13" t="n"/>
      <c r="AI1278" s="13" t="n"/>
      <c r="AJ1278" s="13" t="n"/>
      <c r="AK1278" s="42" t="n"/>
    </row>
    <row r="1279">
      <c r="E1279" s="40" t="inlineStr">
        <is>
          <t>21/22</t>
        </is>
      </c>
      <c r="F1279" s="10" t="inlineStr">
        <is>
          <t xml:space="preserve"> Salomon</t>
        </is>
      </c>
      <c r="G1279" s="11" t="inlineStr">
        <is>
          <t>QST 92</t>
        </is>
      </c>
      <c r="H1279" s="13" t="n">
        <v>177</v>
      </c>
      <c r="I1279" s="11" t="inlineStr">
        <is>
          <t xml:space="preserve"> Unisex</t>
        </is>
      </c>
      <c r="J1279" s="13" t="n">
        <v>177</v>
      </c>
      <c r="K1279" s="13" t="n">
        <v>176.4</v>
      </c>
      <c r="L1279" s="13" t="n">
        <v>136</v>
      </c>
      <c r="M1279" s="13" t="n">
        <v>148</v>
      </c>
      <c r="N1279" s="13" t="n">
        <v>131</v>
      </c>
      <c r="O1279" s="13" t="n">
        <v>91</v>
      </c>
      <c r="P1279" s="13" t="n">
        <v>114</v>
      </c>
      <c r="Q1279" s="13" t="n">
        <v>16.5</v>
      </c>
      <c r="R1279" s="13" t="n">
        <v>1860</v>
      </c>
      <c r="S1279" s="13" t="n">
        <v>0.99</v>
      </c>
      <c r="T1279" s="13" t="n">
        <v>1843</v>
      </c>
      <c r="U1279" s="13" t="n">
        <v>219</v>
      </c>
      <c r="V1279" s="13" t="n">
        <v>94</v>
      </c>
      <c r="W1279" s="13" t="n">
        <v>49</v>
      </c>
      <c r="X1279" s="13" t="n">
        <v>273</v>
      </c>
      <c r="Y1279" s="13" t="n">
        <v>11</v>
      </c>
      <c r="Z1279" s="13" t="n">
        <v>130</v>
      </c>
      <c r="AA1279" s="13" t="n">
        <v>0.217</v>
      </c>
      <c r="AB1279" s="13" t="n">
        <v>152</v>
      </c>
      <c r="AC1279" s="13" t="n">
        <v>128</v>
      </c>
      <c r="AD1279" s="13" t="n">
        <v>121</v>
      </c>
      <c r="AE1279" s="13" t="n">
        <v>11</v>
      </c>
      <c r="AF1279" s="13" t="n">
        <v>10</v>
      </c>
      <c r="AG1279" s="11" t="inlineStr">
        <is>
          <t xml:space="preserve"> Resort Freeride</t>
        </is>
      </c>
      <c r="AH1279" s="13" t="n"/>
      <c r="AI1279" s="13" t="n"/>
      <c r="AJ1279" s="13" t="n"/>
      <c r="AK1279" s="42" t="n"/>
    </row>
    <row r="1280">
      <c r="E1280" s="40" t="inlineStr">
        <is>
          <t>21/22</t>
        </is>
      </c>
      <c r="F1280" s="10" t="inlineStr">
        <is>
          <t xml:space="preserve"> Salomon</t>
        </is>
      </c>
      <c r="G1280" s="11" t="inlineStr">
        <is>
          <t>QST 92</t>
        </is>
      </c>
      <c r="H1280" s="13" t="n">
        <v>185</v>
      </c>
      <c r="I1280" s="11" t="inlineStr">
        <is>
          <t xml:space="preserve"> Unisex</t>
        </is>
      </c>
      <c r="J1280" s="13" t="n">
        <v>185</v>
      </c>
      <c r="K1280" s="13" t="n">
        <v>184.3</v>
      </c>
      <c r="L1280" s="13" t="n">
        <v>141</v>
      </c>
      <c r="M1280" s="13" t="n">
        <v>156</v>
      </c>
      <c r="N1280" s="13" t="n">
        <v>132</v>
      </c>
      <c r="O1280" s="13" t="n">
        <v>91</v>
      </c>
      <c r="P1280" s="13" t="n">
        <v>115</v>
      </c>
      <c r="Q1280" s="13" t="n">
        <v>17.8</v>
      </c>
      <c r="R1280" s="13" t="n">
        <v>2002</v>
      </c>
      <c r="S1280" s="13" t="n">
        <v>0.97</v>
      </c>
      <c r="T1280" s="13" t="n">
        <v>1932</v>
      </c>
      <c r="U1280" s="13" t="n">
        <v>246</v>
      </c>
      <c r="V1280" s="13" t="n">
        <v>108</v>
      </c>
      <c r="W1280" s="13" t="n">
        <v>49</v>
      </c>
      <c r="X1280" s="13" t="n">
        <v>288</v>
      </c>
      <c r="Y1280" s="13" t="n">
        <v>11</v>
      </c>
      <c r="Z1280" s="13" t="n">
        <v>141</v>
      </c>
      <c r="AA1280" s="13" t="n">
        <v>0.231</v>
      </c>
      <c r="AB1280" s="13" t="n">
        <v>149</v>
      </c>
      <c r="AC1280" s="13" t="n">
        <v>130</v>
      </c>
      <c r="AD1280" s="13" t="n">
        <v>139</v>
      </c>
      <c r="AE1280" s="13" t="n">
        <v>10</v>
      </c>
      <c r="AF1280" s="13" t="n">
        <v>10.3</v>
      </c>
      <c r="AG1280" s="11" t="inlineStr">
        <is>
          <t xml:space="preserve"> Resort Freeride</t>
        </is>
      </c>
      <c r="AH1280" s="13" t="n"/>
      <c r="AI1280" s="13" t="n"/>
      <c r="AJ1280" s="13" t="n"/>
      <c r="AK1280" s="42" t="n"/>
    </row>
    <row r="1281">
      <c r="E1281" s="40" t="inlineStr">
        <is>
          <t>21/22</t>
        </is>
      </c>
      <c r="F1281" s="10" t="inlineStr">
        <is>
          <t xml:space="preserve"> Salomon</t>
        </is>
      </c>
      <c r="G1281" s="11" t="inlineStr">
        <is>
          <t>QST 98</t>
        </is>
      </c>
      <c r="H1281" s="13" t="n">
        <v>169</v>
      </c>
      <c r="I1281" s="11" t="inlineStr">
        <is>
          <t xml:space="preserve"> Unisex</t>
        </is>
      </c>
      <c r="J1281" s="13" t="n">
        <v>169</v>
      </c>
      <c r="K1281" s="13" t="n">
        <v>168.8</v>
      </c>
      <c r="L1281" s="13" t="n">
        <v>94</v>
      </c>
      <c r="M1281" s="13" t="n">
        <v>127</v>
      </c>
      <c r="N1281" s="13" t="n">
        <v>130</v>
      </c>
      <c r="O1281" s="13" t="n">
        <v>97</v>
      </c>
      <c r="P1281" s="13" t="n">
        <v>118</v>
      </c>
      <c r="Q1281" s="13" t="n">
        <v>12.5</v>
      </c>
      <c r="R1281" s="13" t="n">
        <v>1813</v>
      </c>
      <c r="S1281" s="13" t="n">
        <v>1.01</v>
      </c>
      <c r="T1281" s="13" t="n">
        <v>1839</v>
      </c>
      <c r="U1281" s="13" t="n">
        <v>159</v>
      </c>
      <c r="V1281" s="13" t="n">
        <v>73</v>
      </c>
      <c r="W1281" s="13" t="n">
        <v>58</v>
      </c>
      <c r="X1281" s="13" t="n">
        <v>389</v>
      </c>
      <c r="Y1281" s="13" t="n">
        <v>32</v>
      </c>
      <c r="Z1281" s="13" t="n">
        <v>363</v>
      </c>
      <c r="AA1281" s="13" t="n">
        <v>0.541</v>
      </c>
      <c r="AB1281" s="13" t="n">
        <v>241</v>
      </c>
      <c r="AC1281" s="13" t="n">
        <v>180</v>
      </c>
      <c r="AD1281" s="13" t="n">
        <v>148</v>
      </c>
      <c r="AE1281" s="13" t="n">
        <v>5</v>
      </c>
      <c r="AF1281" s="13" t="n">
        <v>7.6</v>
      </c>
      <c r="AG1281" s="11" t="inlineStr">
        <is>
          <t xml:space="preserve"> Resort Freeride</t>
        </is>
      </c>
      <c r="AH1281" s="13" t="n"/>
      <c r="AI1281" s="13" t="n"/>
      <c r="AJ1281" s="13" t="n"/>
      <c r="AK1281" s="42" t="n"/>
    </row>
    <row r="1282">
      <c r="E1282" s="40" t="inlineStr">
        <is>
          <t>21/22</t>
        </is>
      </c>
      <c r="F1282" s="10" t="inlineStr">
        <is>
          <t xml:space="preserve"> Salomon</t>
        </is>
      </c>
      <c r="G1282" s="11" t="inlineStr">
        <is>
          <t>QST 98</t>
        </is>
      </c>
      <c r="H1282" s="13" t="n">
        <v>176</v>
      </c>
      <c r="I1282" s="11" t="inlineStr">
        <is>
          <t xml:space="preserve"> Unisex</t>
        </is>
      </c>
      <c r="J1282" s="13" t="n">
        <v>176</v>
      </c>
      <c r="K1282" s="13" t="n">
        <v>177.6</v>
      </c>
      <c r="L1282" s="13" t="n">
        <v>102</v>
      </c>
      <c r="M1282" s="13" t="n">
        <v>134</v>
      </c>
      <c r="N1282" s="13" t="n">
        <v>131</v>
      </c>
      <c r="O1282" s="13" t="n">
        <v>97</v>
      </c>
      <c r="P1282" s="13" t="n">
        <v>119</v>
      </c>
      <c r="Q1282" s="13" t="n">
        <v>13.4</v>
      </c>
      <c r="R1282" s="13" t="n">
        <v>1987</v>
      </c>
      <c r="S1282" s="13" t="n">
        <v>0.98</v>
      </c>
      <c r="T1282" s="13" t="n">
        <v>1941</v>
      </c>
      <c r="U1282" s="13" t="n">
        <v>190</v>
      </c>
      <c r="V1282" s="13" t="n">
        <v>88</v>
      </c>
      <c r="W1282" s="13" t="n">
        <v>57</v>
      </c>
      <c r="X1282" s="13" t="n">
        <v>394</v>
      </c>
      <c r="Y1282" s="13" t="n">
        <v>29</v>
      </c>
      <c r="Z1282" s="13" t="n">
        <v>364</v>
      </c>
      <c r="AA1282" s="13" t="n">
        <v>0.507</v>
      </c>
      <c r="AB1282" s="13" t="n">
        <v>248</v>
      </c>
      <c r="AC1282" s="13" t="n">
        <v>186</v>
      </c>
      <c r="AD1282" s="13" t="n">
        <v>146</v>
      </c>
      <c r="AE1282" s="13" t="n">
        <v>6</v>
      </c>
      <c r="AF1282" s="13" t="n">
        <v>8.6</v>
      </c>
      <c r="AG1282" s="11" t="inlineStr">
        <is>
          <t xml:space="preserve"> Resort Freeride</t>
        </is>
      </c>
      <c r="AH1282" s="13" t="n"/>
      <c r="AI1282" s="13" t="n"/>
      <c r="AJ1282" s="13" t="n"/>
      <c r="AK1282" s="42" t="n"/>
    </row>
    <row r="1283">
      <c r="E1283" s="40" t="inlineStr">
        <is>
          <t>21/22</t>
        </is>
      </c>
      <c r="F1283" s="10" t="inlineStr">
        <is>
          <t xml:space="preserve"> Salomon</t>
        </is>
      </c>
      <c r="G1283" s="11" t="inlineStr">
        <is>
          <t>QST 98</t>
        </is>
      </c>
      <c r="H1283" s="13" t="n">
        <v>183</v>
      </c>
      <c r="I1283" s="11" t="inlineStr">
        <is>
          <t xml:space="preserve"> Unisex</t>
        </is>
      </c>
      <c r="J1283" s="13" t="n">
        <v>183</v>
      </c>
      <c r="K1283" s="13" t="n">
        <v>182.6</v>
      </c>
      <c r="L1283" s="13" t="n">
        <v>101</v>
      </c>
      <c r="M1283" s="13" t="n">
        <v>137</v>
      </c>
      <c r="N1283" s="13" t="n">
        <v>132</v>
      </c>
      <c r="O1283" s="13" t="n">
        <v>98</v>
      </c>
      <c r="P1283" s="13" t="n">
        <v>120</v>
      </c>
      <c r="Q1283" s="13" t="n">
        <v>14.2</v>
      </c>
      <c r="R1283" s="13" t="n">
        <v>2030</v>
      </c>
      <c r="S1283" s="13" t="n">
        <v>0.99</v>
      </c>
      <c r="T1283" s="13" t="n">
        <v>2008</v>
      </c>
      <c r="U1283" s="13" t="n">
        <v>210</v>
      </c>
      <c r="V1283" s="13" t="n">
        <v>105</v>
      </c>
      <c r="W1283" s="13" t="n">
        <v>52</v>
      </c>
      <c r="X1283" s="13" t="n">
        <v>414</v>
      </c>
      <c r="Y1283" s="13" t="n">
        <v>33</v>
      </c>
      <c r="Z1283" s="13" t="n">
        <v>406</v>
      </c>
      <c r="AA1283" s="13" t="n">
        <v>0.629</v>
      </c>
      <c r="AB1283" s="13" t="n">
        <v>276</v>
      </c>
      <c r="AC1283" s="13" t="n">
        <v>182</v>
      </c>
      <c r="AD1283" s="13" t="n">
        <v>138</v>
      </c>
      <c r="AE1283" s="13" t="n">
        <v>6</v>
      </c>
      <c r="AF1283" s="13" t="n">
        <v>8.699999999999999</v>
      </c>
      <c r="AG1283" s="11" t="inlineStr">
        <is>
          <t xml:space="preserve"> Resort Freeride</t>
        </is>
      </c>
      <c r="AH1283" s="13" t="n"/>
      <c r="AI1283" s="13" t="n"/>
      <c r="AJ1283" s="13" t="n"/>
      <c r="AK1283" s="42" t="n"/>
    </row>
    <row r="1284">
      <c r="E1284" s="40" t="inlineStr">
        <is>
          <t>21/22</t>
        </is>
      </c>
      <c r="F1284" s="10" t="inlineStr">
        <is>
          <t xml:space="preserve"> Salomon</t>
        </is>
      </c>
      <c r="G1284" s="11" t="inlineStr">
        <is>
          <t>QST 99</t>
        </is>
      </c>
      <c r="H1284" s="13" t="n">
        <v>167</v>
      </c>
      <c r="I1284" s="11" t="inlineStr">
        <is>
          <t xml:space="preserve"> Unisex</t>
        </is>
      </c>
      <c r="J1284" s="13" t="n">
        <v>167</v>
      </c>
      <c r="K1284" s="13" t="n">
        <v>166</v>
      </c>
      <c r="L1284" s="13" t="n">
        <v>130</v>
      </c>
      <c r="M1284" s="13" t="n">
        <v>130</v>
      </c>
      <c r="N1284" s="13" t="n">
        <v>133</v>
      </c>
      <c r="O1284" s="13" t="n">
        <v>98</v>
      </c>
      <c r="P1284" s="13" t="n">
        <v>116</v>
      </c>
      <c r="Q1284" s="13" t="n">
        <v>14</v>
      </c>
      <c r="R1284" s="13" t="n">
        <v>1882</v>
      </c>
      <c r="S1284" s="13" t="n">
        <v>0.97</v>
      </c>
      <c r="T1284" s="13" t="n">
        <v>1828</v>
      </c>
      <c r="U1284" s="13" t="n">
        <v>191</v>
      </c>
      <c r="V1284" s="13" t="n">
        <v>88</v>
      </c>
      <c r="W1284" s="13" t="n">
        <v>51</v>
      </c>
      <c r="X1284" s="13" t="n">
        <v>194</v>
      </c>
      <c r="Y1284" s="13" t="n">
        <v>19</v>
      </c>
      <c r="Z1284" s="13" t="n">
        <v>169</v>
      </c>
      <c r="AA1284" s="13" t="n">
        <v>0.375</v>
      </c>
      <c r="AB1284" s="13" t="n">
        <v>212</v>
      </c>
      <c r="AC1284" s="13" t="n">
        <v>153</v>
      </c>
      <c r="AD1284" s="13" t="n">
        <v>-18</v>
      </c>
      <c r="AE1284" s="13" t="n">
        <v>14</v>
      </c>
      <c r="AF1284" s="13" t="n">
        <v>8.6</v>
      </c>
      <c r="AG1284" s="11" t="inlineStr">
        <is>
          <t xml:space="preserve"> Resort Freeride</t>
        </is>
      </c>
      <c r="AH1284" s="13" t="n"/>
      <c r="AI1284" s="13" t="n"/>
      <c r="AJ1284" s="13" t="n"/>
      <c r="AK1284" s="42" t="n"/>
    </row>
    <row r="1285">
      <c r="E1285" s="40" t="inlineStr">
        <is>
          <t>21/22</t>
        </is>
      </c>
      <c r="F1285" s="10" t="inlineStr">
        <is>
          <t xml:space="preserve"> Salomon</t>
        </is>
      </c>
      <c r="G1285" s="11" t="inlineStr">
        <is>
          <t>QST 99</t>
        </is>
      </c>
      <c r="H1285" s="13" t="n">
        <v>181</v>
      </c>
      <c r="I1285" s="11" t="inlineStr">
        <is>
          <t xml:space="preserve"> Unisex</t>
        </is>
      </c>
      <c r="J1285" s="13" t="n">
        <v>181</v>
      </c>
      <c r="K1285" s="13" t="n">
        <v>180.4</v>
      </c>
      <c r="L1285" s="13" t="n">
        <v>125</v>
      </c>
      <c r="M1285" s="13" t="n">
        <v>144</v>
      </c>
      <c r="N1285" s="13" t="n">
        <v>136</v>
      </c>
      <c r="O1285" s="13" t="n">
        <v>98</v>
      </c>
      <c r="P1285" s="13" t="n">
        <v>119</v>
      </c>
      <c r="Q1285" s="13" t="n">
        <v>15.3</v>
      </c>
      <c r="R1285" s="13" t="n">
        <v>2085</v>
      </c>
      <c r="S1285" s="13" t="n">
        <v>0.96</v>
      </c>
      <c r="T1285" s="13" t="n">
        <v>2011</v>
      </c>
      <c r="U1285" s="13" t="n">
        <v>253</v>
      </c>
      <c r="V1285" s="13" t="n">
        <v>114</v>
      </c>
      <c r="W1285" s="13" t="n">
        <v>55</v>
      </c>
      <c r="X1285" s="13" t="n">
        <v>295</v>
      </c>
      <c r="Y1285" s="13" t="n">
        <v>23</v>
      </c>
      <c r="Z1285" s="13" t="n">
        <v>263</v>
      </c>
      <c r="AA1285" s="13" t="n">
        <v>0.419</v>
      </c>
      <c r="AB1285" s="13" t="n">
        <v>208</v>
      </c>
      <c r="AC1285" s="13" t="n">
        <v>156</v>
      </c>
      <c r="AD1285" s="13" t="n">
        <v>87</v>
      </c>
      <c r="AE1285" s="13" t="n">
        <v>9</v>
      </c>
      <c r="AF1285" s="13" t="n">
        <v>9.800000000000001</v>
      </c>
      <c r="AG1285" s="11" t="inlineStr">
        <is>
          <t xml:space="preserve"> Resort Freeride</t>
        </is>
      </c>
      <c r="AH1285" s="13" t="n"/>
      <c r="AI1285" s="13" t="n"/>
      <c r="AJ1285" s="13" t="n"/>
      <c r="AK1285" s="42" t="n"/>
    </row>
    <row r="1286">
      <c r="E1286" s="40" t="inlineStr">
        <is>
          <t>21/22</t>
        </is>
      </c>
      <c r="F1286" s="10" t="inlineStr">
        <is>
          <t xml:space="preserve"> Salomon</t>
        </is>
      </c>
      <c r="G1286" s="11" t="inlineStr">
        <is>
          <t>QST 99</t>
        </is>
      </c>
      <c r="H1286" s="13" t="n">
        <v>188</v>
      </c>
      <c r="I1286" s="11" t="inlineStr">
        <is>
          <t xml:space="preserve"> Unisex</t>
        </is>
      </c>
      <c r="J1286" s="13" t="n">
        <v>188</v>
      </c>
      <c r="K1286" s="13" t="n">
        <v>187.2</v>
      </c>
      <c r="L1286" s="13" t="n">
        <v>126</v>
      </c>
      <c r="M1286" s="13" t="n">
        <v>148</v>
      </c>
      <c r="N1286" s="13" t="n">
        <v>139</v>
      </c>
      <c r="O1286" s="13" t="n">
        <v>98</v>
      </c>
      <c r="P1286" s="13" t="n">
        <v>121</v>
      </c>
      <c r="Q1286" s="13" t="n">
        <v>15.4</v>
      </c>
      <c r="R1286" s="13" t="n">
        <v>2297</v>
      </c>
      <c r="S1286" s="13" t="n">
        <v>0.92</v>
      </c>
      <c r="T1286" s="13" t="n">
        <v>2102</v>
      </c>
      <c r="U1286" s="13" t="n">
        <v>277</v>
      </c>
      <c r="V1286" s="13" t="n">
        <v>124</v>
      </c>
      <c r="W1286" s="13" t="n">
        <v>60</v>
      </c>
      <c r="X1286" s="13" t="n">
        <v>342</v>
      </c>
      <c r="Y1286" s="13" t="n">
        <v>22</v>
      </c>
      <c r="Z1286" s="13" t="n">
        <v>271</v>
      </c>
      <c r="AA1286" s="13" t="n">
        <v>0.369</v>
      </c>
      <c r="AB1286" s="13" t="n">
        <v>236</v>
      </c>
      <c r="AC1286" s="13" t="n">
        <v>155</v>
      </c>
      <c r="AD1286" s="13" t="n">
        <v>106</v>
      </c>
      <c r="AE1286" s="13" t="n">
        <v>7</v>
      </c>
      <c r="AF1286" s="13" t="n">
        <v>10.3</v>
      </c>
      <c r="AG1286" s="11" t="inlineStr">
        <is>
          <t xml:space="preserve"> Resort Freeride</t>
        </is>
      </c>
      <c r="AH1286" s="13" t="n"/>
      <c r="AI1286" s="13" t="n"/>
      <c r="AJ1286" s="13" t="n"/>
      <c r="AK1286" s="42" t="n"/>
    </row>
    <row r="1287">
      <c r="E1287" s="40" t="inlineStr">
        <is>
          <t>21/22</t>
        </is>
      </c>
      <c r="F1287" s="10" t="inlineStr">
        <is>
          <t xml:space="preserve"> Salomon</t>
        </is>
      </c>
      <c r="G1287" s="11" t="inlineStr">
        <is>
          <t xml:space="preserve"> QST Blank</t>
        </is>
      </c>
      <c r="H1287" s="13" t="n">
        <v>186</v>
      </c>
      <c r="I1287" s="11" t="inlineStr">
        <is>
          <t xml:space="preserve"> Unisex</t>
        </is>
      </c>
      <c r="J1287" s="13" t="n">
        <v>186</v>
      </c>
      <c r="K1287" s="13" t="n">
        <v>185.2</v>
      </c>
      <c r="L1287" s="13" t="n">
        <v>86</v>
      </c>
      <c r="M1287" s="13" t="n">
        <v>139</v>
      </c>
      <c r="N1287" s="13" t="n">
        <v>137</v>
      </c>
      <c r="O1287" s="13" t="n">
        <v>111</v>
      </c>
      <c r="P1287" s="13" t="n">
        <v>126</v>
      </c>
      <c r="Q1287" s="13" t="n">
        <v>17.9</v>
      </c>
      <c r="R1287" s="13" t="n">
        <v>2172</v>
      </c>
      <c r="S1287" s="13" t="n">
        <v>1.03</v>
      </c>
      <c r="T1287" s="13" t="n">
        <v>2237</v>
      </c>
      <c r="U1287" s="13" t="n">
        <v>227</v>
      </c>
      <c r="V1287" s="13" t="n">
        <v>111</v>
      </c>
      <c r="W1287" s="13" t="n">
        <v>62</v>
      </c>
      <c r="X1287" s="13" t="n">
        <v>489</v>
      </c>
      <c r="Y1287" s="13" t="n">
        <v>33</v>
      </c>
      <c r="Z1287" s="13" t="n">
        <v>500</v>
      </c>
      <c r="AA1287" s="13" t="n">
        <v>0.544</v>
      </c>
      <c r="AB1287" s="13" t="n">
        <v>209</v>
      </c>
      <c r="AC1287" s="13" t="n">
        <v>256</v>
      </c>
      <c r="AD1287" s="13" t="n">
        <v>280</v>
      </c>
      <c r="AE1287" s="13" t="n">
        <v>3</v>
      </c>
      <c r="AF1287" s="13" t="n">
        <v>8.5</v>
      </c>
      <c r="AG1287" s="11" t="inlineStr">
        <is>
          <t xml:space="preserve"> Powder</t>
        </is>
      </c>
      <c r="AH1287" s="13" t="n"/>
      <c r="AI1287" s="13" t="n"/>
      <c r="AJ1287" s="13" t="n"/>
      <c r="AK1287" s="42" t="n"/>
    </row>
    <row r="1288">
      <c r="E1288" s="40" t="inlineStr">
        <is>
          <t>21/22</t>
        </is>
      </c>
      <c r="F1288" s="10" t="inlineStr">
        <is>
          <t xml:space="preserve"> Salomon</t>
        </is>
      </c>
      <c r="G1288" s="11" t="inlineStr">
        <is>
          <t xml:space="preserve"> QST Blank</t>
        </is>
      </c>
      <c r="H1288" s="13" t="n">
        <v>194</v>
      </c>
      <c r="I1288" s="11" t="inlineStr">
        <is>
          <t xml:space="preserve"> Unisex</t>
        </is>
      </c>
      <c r="J1288" s="13" t="n">
        <v>194</v>
      </c>
      <c r="K1288" s="13" t="n">
        <v>193.2</v>
      </c>
      <c r="L1288" s="13" t="n">
        <v>91</v>
      </c>
      <c r="M1288" s="13" t="n">
        <v>148</v>
      </c>
      <c r="N1288" s="13" t="n">
        <v>138</v>
      </c>
      <c r="O1288" s="13" t="n">
        <v>111</v>
      </c>
      <c r="P1288" s="13" t="n">
        <v>127</v>
      </c>
      <c r="Q1288" s="13" t="n">
        <v>19.3</v>
      </c>
      <c r="R1288" s="13" t="n">
        <v>2330</v>
      </c>
      <c r="S1288" s="13" t="n">
        <v>1</v>
      </c>
      <c r="T1288" s="13" t="n">
        <v>2337</v>
      </c>
      <c r="U1288" s="13" t="n">
        <v>265</v>
      </c>
      <c r="V1288" s="13" t="n">
        <v>134</v>
      </c>
      <c r="W1288" s="13" t="n">
        <v>63</v>
      </c>
      <c r="X1288" s="13" t="n">
        <v>519</v>
      </c>
      <c r="Y1288" s="13" t="n">
        <v>34</v>
      </c>
      <c r="Z1288" s="13" t="n">
        <v>505</v>
      </c>
      <c r="AA1288" s="13" t="n">
        <v>0.54</v>
      </c>
      <c r="AB1288" s="13" t="n">
        <v>244</v>
      </c>
      <c r="AC1288" s="13" t="n">
        <v>207</v>
      </c>
      <c r="AD1288" s="13" t="n">
        <v>275</v>
      </c>
      <c r="AE1288" s="13" t="n">
        <v>3</v>
      </c>
      <c r="AF1288" s="13" t="n">
        <v>7.1</v>
      </c>
      <c r="AG1288" s="11" t="inlineStr">
        <is>
          <t xml:space="preserve"> Powder</t>
        </is>
      </c>
      <c r="AH1288" s="13" t="n"/>
      <c r="AI1288" s="13" t="n"/>
      <c r="AJ1288" s="13" t="n"/>
      <c r="AK1288" s="42" t="n"/>
    </row>
    <row r="1289">
      <c r="E1289" s="40" t="inlineStr">
        <is>
          <t>21/22</t>
        </is>
      </c>
      <c r="F1289" s="10" t="inlineStr">
        <is>
          <t xml:space="preserve"> Salomon</t>
        </is>
      </c>
      <c r="G1289" s="11" t="inlineStr">
        <is>
          <t>QST Lumen 99</t>
        </is>
      </c>
      <c r="H1289" s="13" t="n">
        <v>167</v>
      </c>
      <c r="I1289" s="11" t="inlineStr">
        <is>
          <t xml:space="preserve"> Women's</t>
        </is>
      </c>
      <c r="J1289" s="13" t="n">
        <v>167</v>
      </c>
      <c r="K1289" s="13" t="n">
        <v>165.8</v>
      </c>
      <c r="L1289" s="13" t="n">
        <v>124</v>
      </c>
      <c r="M1289" s="13" t="n">
        <v>129</v>
      </c>
      <c r="N1289" s="13" t="n">
        <v>134</v>
      </c>
      <c r="O1289" s="13" t="n">
        <v>98</v>
      </c>
      <c r="P1289" s="13" t="n">
        <v>116</v>
      </c>
      <c r="Q1289" s="13" t="n">
        <v>13.6</v>
      </c>
      <c r="R1289" s="11" t="inlineStr">
        <is>
          <t xml:space="preserve"> None</t>
        </is>
      </c>
      <c r="S1289" s="11" t="inlineStr">
        <is>
          <t xml:space="preserve"> None</t>
        </is>
      </c>
      <c r="T1289" s="13" t="n">
        <v>1829</v>
      </c>
      <c r="U1289" s="13" t="n">
        <v>191</v>
      </c>
      <c r="V1289" s="13" t="n">
        <v>91</v>
      </c>
      <c r="W1289" s="13" t="n">
        <v>52</v>
      </c>
      <c r="X1289" s="13" t="n">
        <v>220</v>
      </c>
      <c r="Y1289" s="13" t="n">
        <v>22</v>
      </c>
      <c r="Z1289" s="13" t="n">
        <v>203</v>
      </c>
      <c r="AA1289" s="13" t="n">
        <v>0.418</v>
      </c>
      <c r="AB1289" s="13" t="n">
        <v>218</v>
      </c>
      <c r="AC1289" s="13" t="n">
        <v>145</v>
      </c>
      <c r="AD1289" s="13" t="n">
        <v>2</v>
      </c>
      <c r="AE1289" s="13" t="n">
        <v>10</v>
      </c>
      <c r="AF1289" s="13" t="n">
        <v>9.300000000000001</v>
      </c>
      <c r="AG1289" s="11" t="inlineStr">
        <is>
          <t xml:space="preserve"> Other</t>
        </is>
      </c>
      <c r="AH1289" s="13" t="n"/>
      <c r="AI1289" s="13" t="n"/>
      <c r="AJ1289" s="13" t="n"/>
      <c r="AK1289" s="42" t="n"/>
    </row>
    <row r="1290">
      <c r="E1290" s="40" t="inlineStr">
        <is>
          <t>21/22</t>
        </is>
      </c>
      <c r="F1290" s="10" t="inlineStr">
        <is>
          <t xml:space="preserve"> Salomon</t>
        </is>
      </c>
      <c r="G1290" s="11" t="inlineStr">
        <is>
          <t>QST Lumen 99</t>
        </is>
      </c>
      <c r="H1290" s="13" t="n">
        <v>174</v>
      </c>
      <c r="I1290" s="11" t="inlineStr">
        <is>
          <t xml:space="preserve"> Women's</t>
        </is>
      </c>
      <c r="J1290" s="13" t="n">
        <v>174</v>
      </c>
      <c r="K1290" s="13" t="n">
        <v>172.6</v>
      </c>
      <c r="L1290" s="13" t="n">
        <v>127</v>
      </c>
      <c r="M1290" s="13" t="n">
        <v>134</v>
      </c>
      <c r="N1290" s="13" t="n">
        <v>135</v>
      </c>
      <c r="O1290" s="13" t="n">
        <v>99</v>
      </c>
      <c r="P1290" s="13" t="n">
        <v>117</v>
      </c>
      <c r="Q1290" s="13" t="n">
        <v>14.2</v>
      </c>
      <c r="R1290" s="13" t="n">
        <v>1830</v>
      </c>
      <c r="S1290" s="13" t="n">
        <v>1.05</v>
      </c>
      <c r="T1290" s="13" t="n">
        <v>1919</v>
      </c>
      <c r="U1290" s="13" t="n">
        <v>223</v>
      </c>
      <c r="V1290" s="13" t="n">
        <v>109</v>
      </c>
      <c r="W1290" s="13" t="n">
        <v>53</v>
      </c>
      <c r="X1290" s="13" t="n">
        <v>258</v>
      </c>
      <c r="Y1290" s="13" t="n">
        <v>19</v>
      </c>
      <c r="Z1290" s="13" t="n">
        <v>201</v>
      </c>
      <c r="AA1290" s="13" t="n">
        <v>0.356</v>
      </c>
      <c r="AB1290" s="13" t="n">
        <v>227</v>
      </c>
      <c r="AC1290" s="13" t="n">
        <v>155</v>
      </c>
      <c r="AD1290" s="13" t="n">
        <v>32</v>
      </c>
      <c r="AE1290" s="13" t="n">
        <v>10</v>
      </c>
      <c r="AF1290" s="13" t="n">
        <v>10.6</v>
      </c>
      <c r="AG1290" s="11" t="inlineStr">
        <is>
          <t xml:space="preserve"> Resort Freeride</t>
        </is>
      </c>
      <c r="AH1290" s="13" t="n"/>
      <c r="AI1290" s="13" t="n"/>
      <c r="AJ1290" s="13" t="n"/>
      <c r="AK1290" s="42" t="n"/>
    </row>
    <row r="1291">
      <c r="E1291" s="40" t="inlineStr">
        <is>
          <t>21/22</t>
        </is>
      </c>
      <c r="F1291" s="10" t="inlineStr">
        <is>
          <t xml:space="preserve"> Salomon</t>
        </is>
      </c>
      <c r="G1291" s="11" t="inlineStr">
        <is>
          <t>QST Lux 92</t>
        </is>
      </c>
      <c r="H1291" s="13" t="n">
        <v>153</v>
      </c>
      <c r="I1291" s="11" t="inlineStr">
        <is>
          <t xml:space="preserve"> Women's</t>
        </is>
      </c>
      <c r="J1291" s="13" t="n">
        <v>153</v>
      </c>
      <c r="K1291" s="13" t="n">
        <v>152.2</v>
      </c>
      <c r="L1291" s="13" t="n">
        <v>115</v>
      </c>
      <c r="M1291" s="13" t="n">
        <v>128</v>
      </c>
      <c r="N1291" s="13" t="n">
        <v>127</v>
      </c>
      <c r="O1291" s="13" t="n">
        <v>92</v>
      </c>
      <c r="P1291" s="13" t="n">
        <v>110</v>
      </c>
      <c r="Q1291" s="13" t="n">
        <v>13.2</v>
      </c>
      <c r="R1291" s="13" t="n">
        <v>1584</v>
      </c>
      <c r="S1291" s="13" t="n">
        <v>1</v>
      </c>
      <c r="T1291" s="13" t="n">
        <v>1576</v>
      </c>
      <c r="U1291" s="13" t="n">
        <v>160</v>
      </c>
      <c r="V1291" s="13" t="n">
        <v>78</v>
      </c>
      <c r="W1291" s="13" t="n">
        <v>55</v>
      </c>
      <c r="X1291" s="13" t="n">
        <v>262</v>
      </c>
      <c r="Y1291" s="13" t="n">
        <v>13</v>
      </c>
      <c r="Z1291" s="13" t="n">
        <v>107</v>
      </c>
      <c r="AA1291" s="13" t="n">
        <v>0.24</v>
      </c>
      <c r="AB1291" s="13" t="n">
        <v>136</v>
      </c>
      <c r="AC1291" s="13" t="n">
        <v>106</v>
      </c>
      <c r="AD1291" s="13" t="n">
        <v>125</v>
      </c>
      <c r="AE1291" s="13" t="n">
        <v>10</v>
      </c>
      <c r="AF1291" s="13" t="n">
        <v>7.7</v>
      </c>
      <c r="AG1291" s="11" t="inlineStr">
        <is>
          <t xml:space="preserve"> Resort Freeride</t>
        </is>
      </c>
      <c r="AH1291" s="13" t="n"/>
      <c r="AI1291" s="13" t="n"/>
      <c r="AJ1291" s="13" t="n"/>
      <c r="AK1291" s="42" t="n"/>
    </row>
    <row r="1292">
      <c r="E1292" s="40" t="inlineStr">
        <is>
          <t>21/22</t>
        </is>
      </c>
      <c r="F1292" s="10" t="inlineStr">
        <is>
          <t xml:space="preserve"> Salomon</t>
        </is>
      </c>
      <c r="G1292" s="11" t="inlineStr">
        <is>
          <t>QST Lux 92</t>
        </is>
      </c>
      <c r="H1292" s="13" t="n">
        <v>161</v>
      </c>
      <c r="I1292" s="11" t="inlineStr">
        <is>
          <t xml:space="preserve"> Women's</t>
        </is>
      </c>
      <c r="J1292" s="13" t="n">
        <v>161</v>
      </c>
      <c r="K1292" s="13" t="n">
        <v>160.1</v>
      </c>
      <c r="L1292" s="13" t="n">
        <v>120</v>
      </c>
      <c r="M1292" s="13" t="n">
        <v>134</v>
      </c>
      <c r="N1292" s="13" t="n">
        <v>128</v>
      </c>
      <c r="O1292" s="13" t="n">
        <v>92</v>
      </c>
      <c r="P1292" s="13" t="n">
        <v>111</v>
      </c>
      <c r="Q1292" s="13" t="n">
        <v>14.4</v>
      </c>
      <c r="R1292" s="13" t="n">
        <v>1647</v>
      </c>
      <c r="S1292" s="13" t="n">
        <v>1.01</v>
      </c>
      <c r="T1292" s="13" t="n">
        <v>1660</v>
      </c>
      <c r="U1292" s="13" t="n">
        <v>170</v>
      </c>
      <c r="V1292" s="13" t="n">
        <v>77</v>
      </c>
      <c r="W1292" s="13" t="n">
        <v>56</v>
      </c>
      <c r="X1292" s="13" t="n">
        <v>278</v>
      </c>
      <c r="Y1292" s="13" t="n">
        <v>13</v>
      </c>
      <c r="Z1292" s="13" t="n">
        <v>128</v>
      </c>
      <c r="AA1292" s="13" t="n">
        <v>0.231</v>
      </c>
      <c r="AB1292" s="13" t="n">
        <v>149</v>
      </c>
      <c r="AC1292" s="13" t="n">
        <v>115</v>
      </c>
      <c r="AD1292" s="13" t="n">
        <v>129</v>
      </c>
      <c r="AE1292" s="13" t="n">
        <v>9</v>
      </c>
      <c r="AF1292" s="13" t="n">
        <v>8.9</v>
      </c>
      <c r="AG1292" s="11" t="inlineStr">
        <is>
          <t xml:space="preserve"> Resort Freeride</t>
        </is>
      </c>
      <c r="AH1292" s="13" t="n"/>
      <c r="AI1292" s="13" t="n"/>
      <c r="AJ1292" s="13" t="n"/>
      <c r="AK1292" s="42" t="n"/>
    </row>
    <row r="1293">
      <c r="E1293" s="40" t="inlineStr">
        <is>
          <t>21/22</t>
        </is>
      </c>
      <c r="F1293" s="10" t="inlineStr">
        <is>
          <t xml:space="preserve"> Salomon</t>
        </is>
      </c>
      <c r="G1293" s="11" t="inlineStr">
        <is>
          <t>QST Lux 92</t>
        </is>
      </c>
      <c r="H1293" s="13" t="n">
        <v>169</v>
      </c>
      <c r="I1293" s="11" t="inlineStr">
        <is>
          <t xml:space="preserve"> Women's</t>
        </is>
      </c>
      <c r="J1293" s="13" t="n">
        <v>169</v>
      </c>
      <c r="K1293" s="13" t="n">
        <v>168.6</v>
      </c>
      <c r="L1293" s="13" t="n">
        <v>125</v>
      </c>
      <c r="M1293" s="13" t="n">
        <v>140</v>
      </c>
      <c r="N1293" s="13" t="n">
        <v>129</v>
      </c>
      <c r="O1293" s="13" t="n">
        <v>92</v>
      </c>
      <c r="P1293" s="13" t="n">
        <v>112</v>
      </c>
      <c r="Q1293" s="13" t="n">
        <v>15.5</v>
      </c>
      <c r="R1293" s="13" t="n">
        <v>1722</v>
      </c>
      <c r="S1293" s="13" t="n">
        <v>1.02</v>
      </c>
      <c r="T1293" s="13" t="n">
        <v>1752</v>
      </c>
      <c r="U1293" s="13" t="n">
        <v>183</v>
      </c>
      <c r="V1293" s="13" t="n">
        <v>82</v>
      </c>
      <c r="W1293" s="13" t="n">
        <v>56</v>
      </c>
      <c r="X1293" s="13" t="n">
        <v>288</v>
      </c>
      <c r="Y1293" s="13" t="n">
        <v>13</v>
      </c>
      <c r="Z1293" s="13" t="n">
        <v>147</v>
      </c>
      <c r="AA1293" s="13" t="n">
        <v>0.238</v>
      </c>
      <c r="AB1293" s="13" t="n">
        <v>156</v>
      </c>
      <c r="AC1293" s="13" t="n">
        <v>128</v>
      </c>
      <c r="AD1293" s="13" t="n">
        <v>132</v>
      </c>
      <c r="AE1293" s="13" t="n">
        <v>8</v>
      </c>
      <c r="AF1293" s="13" t="n">
        <v>9.1</v>
      </c>
      <c r="AG1293" s="11" t="inlineStr">
        <is>
          <t xml:space="preserve"> Resort Freeride</t>
        </is>
      </c>
      <c r="AH1293" s="13" t="n"/>
      <c r="AI1293" s="13" t="n"/>
      <c r="AJ1293" s="13" t="n"/>
      <c r="AK1293" s="42" t="n"/>
    </row>
    <row r="1294">
      <c r="E1294" s="40" t="inlineStr">
        <is>
          <t>21/22</t>
        </is>
      </c>
      <c r="F1294" s="10" t="inlineStr">
        <is>
          <t xml:space="preserve"> Salomon</t>
        </is>
      </c>
      <c r="G1294" s="11" t="inlineStr">
        <is>
          <t>QST Stella 106</t>
        </is>
      </c>
      <c r="H1294" s="13" t="n">
        <v>159</v>
      </c>
      <c r="I1294" s="11" t="inlineStr">
        <is>
          <t xml:space="preserve"> Women's</t>
        </is>
      </c>
      <c r="J1294" s="13" t="n">
        <v>159</v>
      </c>
      <c r="K1294" s="13" t="n">
        <v>158.2</v>
      </c>
      <c r="L1294" s="13" t="n">
        <v>99</v>
      </c>
      <c r="M1294" s="13" t="n">
        <v>129</v>
      </c>
      <c r="N1294" s="13" t="n">
        <v>136</v>
      </c>
      <c r="O1294" s="13" t="n">
        <v>104</v>
      </c>
      <c r="P1294" s="13" t="n">
        <v>122</v>
      </c>
      <c r="Q1294" s="13" t="n">
        <v>16.4</v>
      </c>
      <c r="R1294" s="13" t="n">
        <v>1771</v>
      </c>
      <c r="S1294" s="13" t="n">
        <v>1.02</v>
      </c>
      <c r="T1294" s="13" t="n">
        <v>1814</v>
      </c>
      <c r="U1294" s="13" t="n">
        <v>176</v>
      </c>
      <c r="V1294" s="13" t="n">
        <v>68</v>
      </c>
      <c r="W1294" s="13" t="n">
        <v>58</v>
      </c>
      <c r="X1294" s="13" t="n">
        <v>340</v>
      </c>
      <c r="Y1294" s="13" t="n">
        <v>26</v>
      </c>
      <c r="Z1294" s="13" t="n">
        <v>254</v>
      </c>
      <c r="AA1294" s="13" t="n">
        <v>0.445</v>
      </c>
      <c r="AB1294" s="13" t="n">
        <v>176</v>
      </c>
      <c r="AC1294" s="13" t="n">
        <v>113</v>
      </c>
      <c r="AD1294" s="13" t="n">
        <v>164</v>
      </c>
      <c r="AE1294" s="13" t="n">
        <v>5</v>
      </c>
      <c r="AF1294" s="13" t="n">
        <v>9.6</v>
      </c>
      <c r="AG1294" s="11" t="inlineStr">
        <is>
          <t xml:space="preserve"> Resort Freeride</t>
        </is>
      </c>
      <c r="AH1294" s="11" t="inlineStr">
        <is>
          <t xml:space="preserve"> Powder</t>
        </is>
      </c>
      <c r="AI1294" s="13" t="n"/>
      <c r="AJ1294" s="13" t="n"/>
      <c r="AK1294" s="42" t="n"/>
    </row>
    <row r="1295">
      <c r="E1295" s="40" t="inlineStr">
        <is>
          <t>21/22</t>
        </is>
      </c>
      <c r="F1295" s="10" t="inlineStr">
        <is>
          <t xml:space="preserve"> Salomon</t>
        </is>
      </c>
      <c r="G1295" s="11" t="inlineStr">
        <is>
          <t>QST Stella 106</t>
        </is>
      </c>
      <c r="H1295" s="13" t="n">
        <v>167</v>
      </c>
      <c r="I1295" s="11" t="inlineStr">
        <is>
          <t xml:space="preserve"> Women's</t>
        </is>
      </c>
      <c r="J1295" s="13" t="n">
        <v>167</v>
      </c>
      <c r="K1295" s="13" t="n">
        <v>166.4</v>
      </c>
      <c r="L1295" s="13" t="n">
        <v>105</v>
      </c>
      <c r="M1295" s="13" t="n">
        <v>136</v>
      </c>
      <c r="N1295" s="13" t="n">
        <v>136</v>
      </c>
      <c r="O1295" s="13" t="n">
        <v>104</v>
      </c>
      <c r="P1295" s="13" t="n">
        <v>123</v>
      </c>
      <c r="Q1295" s="13" t="n">
        <v>17.6</v>
      </c>
      <c r="R1295" s="13" t="n">
        <v>1843</v>
      </c>
      <c r="S1295" s="13" t="n">
        <v>1.04</v>
      </c>
      <c r="T1295" s="13" t="n">
        <v>1912</v>
      </c>
      <c r="U1295" s="13" t="n">
        <v>207</v>
      </c>
      <c r="V1295" s="13" t="n">
        <v>85</v>
      </c>
      <c r="W1295" s="13" t="n">
        <v>56</v>
      </c>
      <c r="X1295" s="13" t="n">
        <v>343</v>
      </c>
      <c r="Y1295" s="13" t="n">
        <v>24</v>
      </c>
      <c r="Z1295" s="13" t="n">
        <v>266</v>
      </c>
      <c r="AA1295" s="13" t="n">
        <v>0.436</v>
      </c>
      <c r="AB1295" s="13" t="n">
        <v>186</v>
      </c>
      <c r="AC1295" s="13" t="n">
        <v>115</v>
      </c>
      <c r="AD1295" s="13" t="n">
        <v>158</v>
      </c>
      <c r="AE1295" s="13" t="n">
        <v>6</v>
      </c>
      <c r="AF1295" s="13" t="n">
        <v>9.9</v>
      </c>
      <c r="AG1295" s="11" t="inlineStr">
        <is>
          <t xml:space="preserve"> Resort Freeride</t>
        </is>
      </c>
      <c r="AH1295" s="11" t="inlineStr">
        <is>
          <t xml:space="preserve"> Powder</t>
        </is>
      </c>
      <c r="AI1295" s="13" t="n"/>
      <c r="AJ1295" s="13" t="n"/>
      <c r="AK1295" s="42" t="n"/>
    </row>
    <row r="1296">
      <c r="E1296" s="40" t="inlineStr">
        <is>
          <t>21/22</t>
        </is>
      </c>
      <c r="F1296" s="10" t="inlineStr">
        <is>
          <t xml:space="preserve"> Salomon</t>
        </is>
      </c>
      <c r="G1296" s="11" t="inlineStr">
        <is>
          <t>S/Force 80FX</t>
        </is>
      </c>
      <c r="H1296" s="13" t="n">
        <v>156</v>
      </c>
      <c r="I1296" s="11" t="inlineStr">
        <is>
          <t xml:space="preserve"> Unisex</t>
        </is>
      </c>
      <c r="J1296" s="13" t="n">
        <v>156</v>
      </c>
      <c r="K1296" s="13" t="n">
        <v>155.3</v>
      </c>
      <c r="L1296" s="13" t="n">
        <v>132</v>
      </c>
      <c r="M1296" s="13" t="n">
        <v>143</v>
      </c>
      <c r="N1296" s="13" t="n">
        <v>126</v>
      </c>
      <c r="O1296" s="13" t="n">
        <v>80</v>
      </c>
      <c r="P1296" s="13" t="n">
        <v>109</v>
      </c>
      <c r="Q1296" s="13" t="n">
        <v>12.9</v>
      </c>
      <c r="R1296" s="13" t="n">
        <v>1853</v>
      </c>
      <c r="S1296" s="13" t="n">
        <v>0.79</v>
      </c>
      <c r="T1296" s="13" t="n">
        <v>1472</v>
      </c>
      <c r="U1296" s="13" t="n">
        <v>180</v>
      </c>
      <c r="V1296" s="13" t="n">
        <v>84</v>
      </c>
      <c r="W1296" s="13" t="n">
        <v>40</v>
      </c>
      <c r="X1296" s="13" t="n">
        <v>151</v>
      </c>
      <c r="Y1296" s="13" t="n">
        <v>4</v>
      </c>
      <c r="Z1296" s="13" t="n">
        <v>79</v>
      </c>
      <c r="AA1296" s="13" t="n">
        <v>0.08799999999999999</v>
      </c>
      <c r="AB1296" s="13" t="n">
        <v>86</v>
      </c>
      <c r="AC1296" s="13" t="n">
        <v>33</v>
      </c>
      <c r="AD1296" s="13" t="n">
        <v>66</v>
      </c>
      <c r="AE1296" s="13" t="n">
        <v>8</v>
      </c>
      <c r="AF1296" s="13" t="n">
        <v>10.5</v>
      </c>
      <c r="AG1296" s="11" t="inlineStr">
        <is>
          <t xml:space="preserve"> On-Piste Carving</t>
        </is>
      </c>
      <c r="AH1296" s="13" t="n"/>
      <c r="AI1296" s="13" t="n"/>
      <c r="AJ1296" s="13" t="n"/>
      <c r="AK1296" s="42" t="n"/>
    </row>
    <row r="1297">
      <c r="E1297" s="40" t="inlineStr">
        <is>
          <t>21/22</t>
        </is>
      </c>
      <c r="F1297" s="10" t="inlineStr">
        <is>
          <t xml:space="preserve"> Salomon</t>
        </is>
      </c>
      <c r="G1297" s="11" t="inlineStr">
        <is>
          <t>S/Force 80FX</t>
        </is>
      </c>
      <c r="H1297" s="13" t="n">
        <v>170</v>
      </c>
      <c r="I1297" s="11" t="inlineStr">
        <is>
          <t xml:space="preserve"> Unisex</t>
        </is>
      </c>
      <c r="J1297" s="13" t="n">
        <v>170</v>
      </c>
      <c r="K1297" s="13" t="n">
        <v>169.4</v>
      </c>
      <c r="L1297" s="13" t="n">
        <v>142</v>
      </c>
      <c r="M1297" s="13" t="n">
        <v>156</v>
      </c>
      <c r="N1297" s="13" t="n">
        <v>127</v>
      </c>
      <c r="O1297" s="13" t="n">
        <v>80</v>
      </c>
      <c r="P1297" s="13" t="n">
        <v>109</v>
      </c>
      <c r="Q1297" s="13" t="n">
        <v>15.2</v>
      </c>
      <c r="R1297" s="13" t="n">
        <v>2185</v>
      </c>
      <c r="S1297" s="13" t="n">
        <v>0.74</v>
      </c>
      <c r="T1297" s="13" t="n">
        <v>1608</v>
      </c>
      <c r="U1297" s="13" t="n">
        <v>254</v>
      </c>
      <c r="V1297" s="13" t="n">
        <v>116</v>
      </c>
      <c r="W1297" s="13" t="n">
        <v>44</v>
      </c>
      <c r="X1297" s="13" t="n">
        <v>188</v>
      </c>
      <c r="Y1297" s="13" t="n">
        <v>4</v>
      </c>
      <c r="Z1297" s="13" t="n">
        <v>87</v>
      </c>
      <c r="AA1297" s="13" t="n">
        <v>0.08500000000000001</v>
      </c>
      <c r="AB1297" s="13" t="n">
        <v>88</v>
      </c>
      <c r="AC1297" s="13" t="n">
        <v>45</v>
      </c>
      <c r="AD1297" s="13" t="n">
        <v>100</v>
      </c>
      <c r="AE1297" s="13" t="n">
        <v>7</v>
      </c>
      <c r="AF1297" s="13" t="n">
        <v>11.6</v>
      </c>
      <c r="AG1297" s="11" t="inlineStr">
        <is>
          <t xml:space="preserve"> On-Piste Carving</t>
        </is>
      </c>
      <c r="AH1297" s="11" t="inlineStr">
        <is>
          <t xml:space="preserve"> Resort Freeride</t>
        </is>
      </c>
      <c r="AI1297" s="13" t="n"/>
      <c r="AJ1297" s="13" t="n"/>
      <c r="AK1297" s="42" t="n"/>
    </row>
    <row r="1298">
      <c r="E1298" s="40" t="inlineStr">
        <is>
          <t>21/22</t>
        </is>
      </c>
      <c r="F1298" s="10" t="inlineStr">
        <is>
          <t xml:space="preserve"> Salomon</t>
        </is>
      </c>
      <c r="G1298" s="11" t="inlineStr">
        <is>
          <t>S/Force 80Ti</t>
        </is>
      </c>
      <c r="H1298" s="13" t="n">
        <v>163</v>
      </c>
      <c r="I1298" s="11" t="inlineStr">
        <is>
          <t xml:space="preserve"> Unisex</t>
        </is>
      </c>
      <c r="J1298" s="13" t="n">
        <v>163</v>
      </c>
      <c r="K1298" s="13" t="n">
        <v>162</v>
      </c>
      <c r="L1298" s="13" t="n">
        <v>140</v>
      </c>
      <c r="M1298" s="13" t="n">
        <v>149</v>
      </c>
      <c r="N1298" s="13" t="n">
        <v>127</v>
      </c>
      <c r="O1298" s="13" t="n">
        <v>80</v>
      </c>
      <c r="P1298" s="13" t="n">
        <v>111</v>
      </c>
      <c r="Q1298" s="13" t="n">
        <v>14</v>
      </c>
      <c r="R1298" s="13" t="n">
        <v>2091</v>
      </c>
      <c r="S1298" s="13" t="n">
        <v>0.74</v>
      </c>
      <c r="T1298" s="13" t="n">
        <v>1549</v>
      </c>
      <c r="U1298" s="13" t="n">
        <v>186</v>
      </c>
      <c r="V1298" s="13" t="n">
        <v>125</v>
      </c>
      <c r="W1298" s="13" t="n">
        <v>43</v>
      </c>
      <c r="X1298" s="13" t="n">
        <v>169</v>
      </c>
      <c r="Y1298" s="13" t="n">
        <v>4</v>
      </c>
      <c r="Z1298" s="13" t="n">
        <v>53</v>
      </c>
      <c r="AA1298" s="13" t="n">
        <v>0.103</v>
      </c>
      <c r="AB1298" s="13" t="n">
        <v>87</v>
      </c>
      <c r="AC1298" s="13" t="n">
        <v>40</v>
      </c>
      <c r="AD1298" s="13" t="n">
        <v>82</v>
      </c>
      <c r="AE1298" s="13" t="n">
        <v>11</v>
      </c>
      <c r="AF1298" s="13" t="n">
        <v>11.7</v>
      </c>
      <c r="AG1298" s="11" t="inlineStr">
        <is>
          <t xml:space="preserve"> On-Piste Carving</t>
        </is>
      </c>
      <c r="AH1298" s="11" t="inlineStr">
        <is>
          <t xml:space="preserve"> Resort Freeride</t>
        </is>
      </c>
      <c r="AI1298" s="13" t="n"/>
      <c r="AJ1298" s="13" t="n"/>
      <c r="AK1298" s="42" t="n"/>
    </row>
    <row r="1299">
      <c r="E1299" s="40" t="inlineStr">
        <is>
          <t>21/22</t>
        </is>
      </c>
      <c r="F1299" s="10" t="inlineStr">
        <is>
          <t xml:space="preserve"> Salomon</t>
        </is>
      </c>
      <c r="G1299" s="11" t="inlineStr">
        <is>
          <t>S/Max 12</t>
        </is>
      </c>
      <c r="H1299" s="13" t="n">
        <v>165</v>
      </c>
      <c r="I1299" s="11" t="inlineStr">
        <is>
          <t xml:space="preserve"> Unisex</t>
        </is>
      </c>
      <c r="J1299" s="13" t="n">
        <v>165</v>
      </c>
      <c r="K1299" s="13" t="n">
        <v>164.4</v>
      </c>
      <c r="L1299" s="13" t="n">
        <v>145</v>
      </c>
      <c r="M1299" s="13" t="n">
        <v>153</v>
      </c>
      <c r="N1299" s="13" t="n">
        <v>121</v>
      </c>
      <c r="O1299" s="13" t="n">
        <v>72</v>
      </c>
      <c r="P1299" s="13" t="n">
        <v>107</v>
      </c>
      <c r="Q1299" s="13" t="n">
        <v>14.2</v>
      </c>
      <c r="R1299" s="13" t="n">
        <v>1991</v>
      </c>
      <c r="S1299" s="13" t="n">
        <v>0.73</v>
      </c>
      <c r="T1299" s="13" t="n">
        <v>1450</v>
      </c>
      <c r="U1299" s="13" t="n">
        <v>222</v>
      </c>
      <c r="V1299" s="13" t="n">
        <v>146</v>
      </c>
      <c r="W1299" s="13" t="n">
        <v>36</v>
      </c>
      <c r="X1299" s="13" t="n">
        <v>138</v>
      </c>
      <c r="Y1299" s="13" t="n">
        <v>4</v>
      </c>
      <c r="Z1299" s="13" t="n">
        <v>51</v>
      </c>
      <c r="AA1299" s="13" t="n">
        <v>0.11</v>
      </c>
      <c r="AB1299" s="13" t="n">
        <v>79</v>
      </c>
      <c r="AC1299" s="13" t="n">
        <v>31</v>
      </c>
      <c r="AD1299" s="13" t="n">
        <v>60</v>
      </c>
      <c r="AE1299" s="13" t="n">
        <v>13</v>
      </c>
      <c r="AF1299" s="13" t="n">
        <v>11.3</v>
      </c>
      <c r="AG1299" s="11" t="inlineStr">
        <is>
          <t xml:space="preserve"> On-Piste Carving</t>
        </is>
      </c>
      <c r="AH1299" s="13" t="n"/>
      <c r="AI1299" s="13" t="n"/>
      <c r="AJ1299" s="13" t="n"/>
      <c r="AK1299" s="42" t="n"/>
    </row>
    <row r="1300">
      <c r="E1300" s="40" t="inlineStr">
        <is>
          <t>21/22</t>
        </is>
      </c>
      <c r="F1300" s="10" t="inlineStr">
        <is>
          <t xml:space="preserve"> Salomon</t>
        </is>
      </c>
      <c r="G1300" s="11" t="inlineStr">
        <is>
          <t>S/Max 12</t>
        </is>
      </c>
      <c r="H1300" s="13" t="n">
        <v>170</v>
      </c>
      <c r="I1300" s="11" t="inlineStr">
        <is>
          <t xml:space="preserve"> Unisex</t>
        </is>
      </c>
      <c r="J1300" s="13" t="n">
        <v>170</v>
      </c>
      <c r="K1300" s="13" t="n">
        <v>169.4</v>
      </c>
      <c r="L1300" s="13" t="n">
        <v>151</v>
      </c>
      <c r="M1300" s="13" t="n">
        <v>159</v>
      </c>
      <c r="N1300" s="13" t="n">
        <v>121</v>
      </c>
      <c r="O1300" s="13" t="n">
        <v>72</v>
      </c>
      <c r="P1300" s="13" t="n">
        <v>106</v>
      </c>
      <c r="Q1300" s="13" t="n">
        <v>15</v>
      </c>
      <c r="R1300" s="13" t="n">
        <v>2055</v>
      </c>
      <c r="S1300" s="13" t="n">
        <v>0.73</v>
      </c>
      <c r="T1300" s="13" t="n">
        <v>1494</v>
      </c>
      <c r="U1300" s="13" t="n">
        <v>233</v>
      </c>
      <c r="V1300" s="13" t="n">
        <v>150</v>
      </c>
      <c r="W1300" s="13" t="n">
        <v>32</v>
      </c>
      <c r="X1300" s="13" t="n">
        <v>132</v>
      </c>
      <c r="Y1300" s="13" t="n">
        <v>4</v>
      </c>
      <c r="Z1300" s="13" t="n">
        <v>53</v>
      </c>
      <c r="AA1300" s="13" t="n">
        <v>0.134</v>
      </c>
      <c r="AB1300" s="13" t="n">
        <v>73</v>
      </c>
      <c r="AC1300" s="13" t="n">
        <v>32</v>
      </c>
      <c r="AD1300" s="13" t="n">
        <v>59</v>
      </c>
      <c r="AE1300" s="13" t="n">
        <v>13</v>
      </c>
      <c r="AF1300" s="13" t="n">
        <v>11.6</v>
      </c>
      <c r="AG1300" s="11" t="inlineStr">
        <is>
          <t xml:space="preserve"> On-Piste Carving</t>
        </is>
      </c>
      <c r="AH1300" s="13" t="n"/>
      <c r="AI1300" s="13" t="n"/>
      <c r="AJ1300" s="13" t="n"/>
      <c r="AK1300" s="42" t="n"/>
    </row>
    <row r="1301">
      <c r="E1301" s="40" t="inlineStr">
        <is>
          <t>21/22</t>
        </is>
      </c>
      <c r="F1301" s="10" t="inlineStr">
        <is>
          <t xml:space="preserve"> Salomon</t>
        </is>
      </c>
      <c r="G1301" s="11" t="inlineStr">
        <is>
          <t>S/Max 12</t>
        </is>
      </c>
      <c r="H1301" s="13" t="n">
        <v>175</v>
      </c>
      <c r="I1301" s="11" t="inlineStr">
        <is>
          <t xml:space="preserve"> Unisex</t>
        </is>
      </c>
      <c r="J1301" s="13" t="n">
        <v>175</v>
      </c>
      <c r="K1301" s="13" t="n">
        <v>174.2</v>
      </c>
      <c r="L1301" s="13" t="n">
        <v>155</v>
      </c>
      <c r="M1301" s="13" t="n">
        <v>163</v>
      </c>
      <c r="N1301" s="13" t="n">
        <v>121</v>
      </c>
      <c r="O1301" s="13" t="n">
        <v>72</v>
      </c>
      <c r="P1301" s="13" t="n">
        <v>107</v>
      </c>
      <c r="Q1301" s="13" t="n">
        <v>15.8</v>
      </c>
      <c r="R1301" s="13" t="n">
        <v>2067</v>
      </c>
      <c r="S1301" s="13" t="n">
        <v>0.74</v>
      </c>
      <c r="T1301" s="13" t="n">
        <v>1533</v>
      </c>
      <c r="U1301" s="13" t="n">
        <v>236</v>
      </c>
      <c r="V1301" s="13" t="n">
        <v>149</v>
      </c>
      <c r="W1301" s="13" t="n">
        <v>37</v>
      </c>
      <c r="X1301" s="13" t="n">
        <v>137</v>
      </c>
      <c r="Y1301" s="13" t="n">
        <v>5</v>
      </c>
      <c r="Z1301" s="13" t="n">
        <v>51</v>
      </c>
      <c r="AA1301" s="13" t="n">
        <v>0.127</v>
      </c>
      <c r="AB1301" s="13" t="n">
        <v>80</v>
      </c>
      <c r="AC1301" s="13" t="n">
        <v>34</v>
      </c>
      <c r="AD1301" s="13" t="n">
        <v>58</v>
      </c>
      <c r="AE1301" s="13" t="n">
        <v>13</v>
      </c>
      <c r="AF1301" s="13" t="n">
        <v>12</v>
      </c>
      <c r="AG1301" s="11" t="inlineStr">
        <is>
          <t xml:space="preserve"> On-Piste Carving</t>
        </is>
      </c>
      <c r="AH1301" s="13" t="n"/>
      <c r="AI1301" s="13" t="n"/>
      <c r="AJ1301" s="13" t="n"/>
      <c r="AK1301" s="42" t="n"/>
    </row>
    <row r="1302">
      <c r="E1302" s="40" t="inlineStr">
        <is>
          <t>21/22</t>
        </is>
      </c>
      <c r="F1302" s="10" t="inlineStr">
        <is>
          <t xml:space="preserve"> Salomon</t>
        </is>
      </c>
      <c r="G1302" s="11" t="inlineStr">
        <is>
          <t>S/Max 8</t>
        </is>
      </c>
      <c r="H1302" s="13" t="n">
        <v>160</v>
      </c>
      <c r="I1302" s="11" t="inlineStr">
        <is>
          <t xml:space="preserve"> Unisex</t>
        </is>
      </c>
      <c r="J1302" s="13" t="n">
        <v>160</v>
      </c>
      <c r="K1302" s="13" t="n">
        <v>159.5</v>
      </c>
      <c r="L1302" s="13" t="n">
        <v>139</v>
      </c>
      <c r="M1302" s="13" t="n">
        <v>148</v>
      </c>
      <c r="N1302" s="13" t="n">
        <v>119</v>
      </c>
      <c r="O1302" s="13" t="n">
        <v>73</v>
      </c>
      <c r="P1302" s="13" t="n">
        <v>102</v>
      </c>
      <c r="Q1302" s="13" t="n">
        <v>13.8</v>
      </c>
      <c r="R1302" s="13" t="n">
        <v>1901</v>
      </c>
      <c r="S1302" s="13" t="n">
        <v>0.74</v>
      </c>
      <c r="T1302" s="13" t="n">
        <v>1404</v>
      </c>
      <c r="U1302" s="13" t="n">
        <v>207</v>
      </c>
      <c r="V1302" s="13" t="n">
        <v>91</v>
      </c>
      <c r="W1302" s="13" t="n">
        <v>31</v>
      </c>
      <c r="X1302" s="13" t="n">
        <v>130</v>
      </c>
      <c r="Y1302" s="13" t="n">
        <v>5</v>
      </c>
      <c r="Z1302" s="13" t="n">
        <v>77</v>
      </c>
      <c r="AA1302" s="13" t="n">
        <v>0.146</v>
      </c>
      <c r="AB1302" s="13" t="n">
        <v>84</v>
      </c>
      <c r="AC1302" s="13" t="n">
        <v>32</v>
      </c>
      <c r="AD1302" s="13" t="n">
        <v>45</v>
      </c>
      <c r="AE1302" s="13" t="n">
        <v>9</v>
      </c>
      <c r="AF1302" s="13" t="n">
        <v>11.1</v>
      </c>
      <c r="AG1302" s="11" t="inlineStr">
        <is>
          <t xml:space="preserve"> On-Piste Carving</t>
        </is>
      </c>
      <c r="AH1302" s="13" t="n"/>
      <c r="AI1302" s="13" t="n"/>
      <c r="AJ1302" s="13" t="n"/>
      <c r="AK1302" s="42" t="n"/>
    </row>
    <row r="1303">
      <c r="E1303" s="40" t="inlineStr">
        <is>
          <t>21/22</t>
        </is>
      </c>
      <c r="F1303" s="10" t="inlineStr">
        <is>
          <t xml:space="preserve"> Salomon</t>
        </is>
      </c>
      <c r="G1303" s="11" t="inlineStr">
        <is>
          <t>S/Max 8</t>
        </is>
      </c>
      <c r="H1303" s="13" t="n">
        <v>165</v>
      </c>
      <c r="I1303" s="11" t="inlineStr">
        <is>
          <t xml:space="preserve"> Unisex</t>
        </is>
      </c>
      <c r="J1303" s="13" t="n">
        <v>165</v>
      </c>
      <c r="K1303" s="13" t="n">
        <v>164.4</v>
      </c>
      <c r="L1303" s="13" t="n">
        <v>145</v>
      </c>
      <c r="M1303" s="13" t="n">
        <v>152</v>
      </c>
      <c r="N1303" s="13" t="n">
        <v>120</v>
      </c>
      <c r="O1303" s="13" t="n">
        <v>73</v>
      </c>
      <c r="P1303" s="13" t="n">
        <v>103</v>
      </c>
      <c r="Q1303" s="13" t="n">
        <v>14.5</v>
      </c>
      <c r="R1303" s="13" t="n">
        <v>1962</v>
      </c>
      <c r="S1303" s="13" t="n">
        <v>0.74</v>
      </c>
      <c r="T1303" s="13" t="n">
        <v>1451</v>
      </c>
      <c r="U1303" s="13" t="n">
        <v>195</v>
      </c>
      <c r="V1303" s="13" t="n">
        <v>91</v>
      </c>
      <c r="W1303" s="13" t="n">
        <v>32</v>
      </c>
      <c r="X1303" s="13" t="n">
        <v>130</v>
      </c>
      <c r="Y1303" s="13" t="n">
        <v>4</v>
      </c>
      <c r="Z1303" s="13" t="n">
        <v>68</v>
      </c>
      <c r="AA1303" s="13" t="n">
        <v>0.138</v>
      </c>
      <c r="AB1303" s="13" t="n">
        <v>86</v>
      </c>
      <c r="AC1303" s="13" t="n">
        <v>35</v>
      </c>
      <c r="AD1303" s="13" t="n">
        <v>43</v>
      </c>
      <c r="AE1303" s="13" t="n">
        <v>12</v>
      </c>
      <c r="AF1303" s="13" t="n">
        <v>11.1</v>
      </c>
      <c r="AG1303" s="11" t="inlineStr">
        <is>
          <t xml:space="preserve"> On-Piste Carving</t>
        </is>
      </c>
      <c r="AH1303" s="13" t="n"/>
      <c r="AI1303" s="13" t="n"/>
      <c r="AJ1303" s="13" t="n"/>
      <c r="AK1303" s="42" t="n"/>
    </row>
    <row r="1304">
      <c r="E1304" s="40" t="inlineStr">
        <is>
          <t>21/22</t>
        </is>
      </c>
      <c r="F1304" s="10" t="inlineStr">
        <is>
          <t xml:space="preserve"> Salomon</t>
        </is>
      </c>
      <c r="G1304" s="11" t="inlineStr">
        <is>
          <t>S/Max 8</t>
        </is>
      </c>
      <c r="H1304" s="13" t="n">
        <v>170</v>
      </c>
      <c r="I1304" s="11" t="inlineStr">
        <is>
          <t xml:space="preserve"> Unisex</t>
        </is>
      </c>
      <c r="J1304" s="13" t="n">
        <v>170</v>
      </c>
      <c r="K1304" s="13" t="n">
        <v>169.4</v>
      </c>
      <c r="L1304" s="13" t="n">
        <v>149</v>
      </c>
      <c r="M1304" s="13" t="n">
        <v>158</v>
      </c>
      <c r="N1304" s="13" t="n">
        <v>121</v>
      </c>
      <c r="O1304" s="13" t="n">
        <v>72</v>
      </c>
      <c r="P1304" s="13" t="n">
        <v>104</v>
      </c>
      <c r="Q1304" s="13" t="n">
        <v>14.6</v>
      </c>
      <c r="R1304" s="13" t="n">
        <v>2037</v>
      </c>
      <c r="S1304" s="13" t="n">
        <v>0.73</v>
      </c>
      <c r="T1304" s="13" t="n">
        <v>1494</v>
      </c>
      <c r="U1304" s="13" t="n">
        <v>234</v>
      </c>
      <c r="V1304" s="13" t="n">
        <v>102</v>
      </c>
      <c r="W1304" s="13" t="n">
        <v>30</v>
      </c>
      <c r="X1304" s="13" t="n">
        <v>130</v>
      </c>
      <c r="Y1304" s="13" t="n">
        <v>4</v>
      </c>
      <c r="Z1304" s="13" t="n">
        <v>71</v>
      </c>
      <c r="AA1304" s="13" t="n">
        <v>0.146</v>
      </c>
      <c r="AB1304" s="13" t="n">
        <v>81</v>
      </c>
      <c r="AC1304" s="13" t="n">
        <v>38</v>
      </c>
      <c r="AD1304" s="13" t="n">
        <v>49</v>
      </c>
      <c r="AE1304" s="13" t="n">
        <v>11</v>
      </c>
      <c r="AF1304" s="13" t="n">
        <v>11.4</v>
      </c>
      <c r="AG1304" s="11" t="inlineStr">
        <is>
          <t xml:space="preserve"> On-Piste Carving</t>
        </is>
      </c>
      <c r="AH1304" s="13" t="n"/>
      <c r="AI1304" s="13" t="n"/>
      <c r="AJ1304" s="13" t="n"/>
      <c r="AK1304" s="42" t="n"/>
    </row>
    <row r="1305">
      <c r="E1305" s="40" t="inlineStr">
        <is>
          <t>21/22</t>
        </is>
      </c>
      <c r="F1305" s="10" t="inlineStr">
        <is>
          <t xml:space="preserve"> Salomon</t>
        </is>
      </c>
      <c r="G1305" s="11" t="inlineStr">
        <is>
          <t>Stance 102</t>
        </is>
      </c>
      <c r="H1305" s="13" t="n">
        <v>176</v>
      </c>
      <c r="I1305" s="11" t="inlineStr">
        <is>
          <t xml:space="preserve"> Unisex</t>
        </is>
      </c>
      <c r="J1305" s="13" t="n">
        <v>176</v>
      </c>
      <c r="K1305" s="13" t="n">
        <v>175.6</v>
      </c>
      <c r="L1305" s="13" t="n">
        <v>117</v>
      </c>
      <c r="M1305" s="13" t="n">
        <v>151</v>
      </c>
      <c r="N1305" s="13" t="n">
        <v>131</v>
      </c>
      <c r="O1305" s="13" t="n">
        <v>102</v>
      </c>
      <c r="P1305" s="13" t="n">
        <v>119</v>
      </c>
      <c r="Q1305" s="13" t="n">
        <v>23.5</v>
      </c>
      <c r="R1305" s="11" t="inlineStr">
        <is>
          <t xml:space="preserve"> None</t>
        </is>
      </c>
      <c r="S1305" s="11" t="inlineStr">
        <is>
          <t xml:space="preserve"> None</t>
        </is>
      </c>
      <c r="T1305" s="13" t="n">
        <v>1939</v>
      </c>
      <c r="U1305" s="13" t="n">
        <v>197</v>
      </c>
      <c r="V1305" s="13" t="n">
        <v>123</v>
      </c>
      <c r="W1305" s="13" t="n">
        <v>49</v>
      </c>
      <c r="X1305" s="13" t="n">
        <v>345</v>
      </c>
      <c r="Y1305" s="13" t="n">
        <v>8</v>
      </c>
      <c r="Z1305" s="13" t="n">
        <v>244</v>
      </c>
      <c r="AA1305" s="13" t="n">
        <v>0.163</v>
      </c>
      <c r="AB1305" s="13" t="n">
        <v>134</v>
      </c>
      <c r="AC1305" s="13" t="n">
        <v>108</v>
      </c>
      <c r="AD1305" s="13" t="n">
        <v>212</v>
      </c>
      <c r="AE1305" s="13" t="n">
        <v>8</v>
      </c>
      <c r="AF1305" s="13" t="n">
        <v>10.5</v>
      </c>
      <c r="AG1305" s="11" t="inlineStr">
        <is>
          <t xml:space="preserve"> Big Mountain</t>
        </is>
      </c>
      <c r="AH1305" s="13" t="n"/>
      <c r="AI1305" s="13" t="n"/>
      <c r="AJ1305" s="13" t="n"/>
      <c r="AK1305" s="42" t="n"/>
    </row>
    <row r="1306">
      <c r="E1306" s="40" t="inlineStr">
        <is>
          <t>21/22</t>
        </is>
      </c>
      <c r="F1306" s="10" t="inlineStr">
        <is>
          <t xml:space="preserve"> Salomon</t>
        </is>
      </c>
      <c r="G1306" s="11" t="inlineStr">
        <is>
          <t>Stance 102</t>
        </is>
      </c>
      <c r="H1306" s="13" t="n">
        <v>183</v>
      </c>
      <c r="I1306" s="11" t="inlineStr">
        <is>
          <t xml:space="preserve"> Unisex</t>
        </is>
      </c>
      <c r="J1306" s="13" t="n">
        <v>183</v>
      </c>
      <c r="K1306" s="13" t="n">
        <v>182.5</v>
      </c>
      <c r="L1306" s="13" t="n">
        <v>119</v>
      </c>
      <c r="M1306" s="13" t="n">
        <v>158</v>
      </c>
      <c r="N1306" s="13" t="n">
        <v>133</v>
      </c>
      <c r="O1306" s="13" t="n">
        <v>101</v>
      </c>
      <c r="P1306" s="13" t="n">
        <v>120</v>
      </c>
      <c r="Q1306" s="13" t="n">
        <v>23.9</v>
      </c>
      <c r="R1306" s="11" t="inlineStr">
        <is>
          <t xml:space="preserve"> None</t>
        </is>
      </c>
      <c r="S1306" s="11" t="inlineStr">
        <is>
          <t xml:space="preserve"> None</t>
        </is>
      </c>
      <c r="T1306" s="13" t="n">
        <v>2026</v>
      </c>
      <c r="U1306" s="13" t="n">
        <v>218</v>
      </c>
      <c r="V1306" s="13" t="n">
        <v>139</v>
      </c>
      <c r="W1306" s="13" t="n">
        <v>48</v>
      </c>
      <c r="X1306" s="13" t="n">
        <v>369</v>
      </c>
      <c r="Y1306" s="13" t="n">
        <v>4</v>
      </c>
      <c r="Z1306" s="13" t="n">
        <v>263</v>
      </c>
      <c r="AA1306" s="13" t="n">
        <v>0.081</v>
      </c>
      <c r="AB1306" s="13" t="n">
        <v>142</v>
      </c>
      <c r="AC1306" s="13" t="n">
        <v>106</v>
      </c>
      <c r="AD1306" s="13" t="n">
        <v>227</v>
      </c>
      <c r="AE1306" s="13" t="n">
        <v>7</v>
      </c>
      <c r="AF1306" s="13" t="n">
        <v>10.6</v>
      </c>
      <c r="AG1306" s="11" t="inlineStr">
        <is>
          <t xml:space="preserve"> Big Mountain</t>
        </is>
      </c>
      <c r="AH1306" s="13" t="n"/>
      <c r="AI1306" s="13" t="n"/>
      <c r="AJ1306" s="13" t="n"/>
      <c r="AK1306" s="42" t="n"/>
    </row>
    <row r="1307">
      <c r="E1307" s="40" t="inlineStr">
        <is>
          <t>21/22</t>
        </is>
      </c>
      <c r="F1307" s="10" t="inlineStr">
        <is>
          <t xml:space="preserve"> Salomon</t>
        </is>
      </c>
      <c r="G1307" s="11" t="inlineStr">
        <is>
          <t>Stance 102</t>
        </is>
      </c>
      <c r="H1307" s="13" t="n">
        <v>190</v>
      </c>
      <c r="I1307" s="11" t="inlineStr">
        <is>
          <t xml:space="preserve"> Unisex</t>
        </is>
      </c>
      <c r="J1307" s="13" t="n">
        <v>190</v>
      </c>
      <c r="K1307" s="13" t="n">
        <v>189.9</v>
      </c>
      <c r="L1307" s="13" t="n">
        <v>141</v>
      </c>
      <c r="M1307" s="13" t="n">
        <v>165</v>
      </c>
      <c r="N1307" s="13" t="n">
        <v>133</v>
      </c>
      <c r="O1307" s="13" t="n">
        <v>102</v>
      </c>
      <c r="P1307" s="13" t="n">
        <v>120</v>
      </c>
      <c r="Q1307" s="13" t="n">
        <v>25.8</v>
      </c>
      <c r="R1307" s="11" t="inlineStr">
        <is>
          <t xml:space="preserve"> None</t>
        </is>
      </c>
      <c r="S1307" s="11" t="inlineStr">
        <is>
          <t xml:space="preserve"> None</t>
        </is>
      </c>
      <c r="T1307" s="13" t="n">
        <v>2108</v>
      </c>
      <c r="U1307" s="13" t="n">
        <v>254</v>
      </c>
      <c r="V1307" s="13" t="n">
        <v>158</v>
      </c>
      <c r="W1307" s="13" t="n">
        <v>46</v>
      </c>
      <c r="X1307" s="13" t="n">
        <v>379</v>
      </c>
      <c r="Y1307" s="13" t="n">
        <v>4</v>
      </c>
      <c r="Z1307" s="13" t="n">
        <v>107</v>
      </c>
      <c r="AA1307" s="13" t="n">
        <v>0.08500000000000001</v>
      </c>
      <c r="AB1307" s="13" t="n">
        <v>142</v>
      </c>
      <c r="AC1307" s="13" t="n">
        <v>111</v>
      </c>
      <c r="AD1307" s="13" t="n">
        <v>237</v>
      </c>
      <c r="AE1307" s="13" t="n">
        <v>9</v>
      </c>
      <c r="AF1307" s="13" t="n">
        <v>9.800000000000001</v>
      </c>
      <c r="AG1307" s="11" t="inlineStr">
        <is>
          <t xml:space="preserve"> Big Mountain</t>
        </is>
      </c>
      <c r="AH1307" s="13" t="n"/>
      <c r="AI1307" s="13" t="n"/>
      <c r="AJ1307" s="13" t="n"/>
      <c r="AK1307" s="42" t="n"/>
    </row>
    <row r="1308">
      <c r="E1308" s="40" t="inlineStr">
        <is>
          <t>21/22</t>
        </is>
      </c>
      <c r="F1308" s="10" t="inlineStr">
        <is>
          <t xml:space="preserve"> Salomon</t>
        </is>
      </c>
      <c r="G1308" s="11" t="inlineStr">
        <is>
          <t>Stance 84</t>
        </is>
      </c>
      <c r="H1308" s="13" t="n">
        <v>161</v>
      </c>
      <c r="I1308" s="11" t="inlineStr">
        <is>
          <t xml:space="preserve"> Unisex</t>
        </is>
      </c>
      <c r="J1308" s="13" t="n">
        <v>161</v>
      </c>
      <c r="K1308" s="13" t="n">
        <v>160</v>
      </c>
      <c r="L1308" s="13" t="n">
        <v>121</v>
      </c>
      <c r="M1308" s="13" t="n">
        <v>132</v>
      </c>
      <c r="N1308" s="13" t="n">
        <v>120</v>
      </c>
      <c r="O1308" s="13" t="n">
        <v>83</v>
      </c>
      <c r="P1308" s="13" t="n">
        <v>104</v>
      </c>
      <c r="Q1308" s="13" t="n">
        <v>13.7</v>
      </c>
      <c r="R1308" s="13" t="n">
        <v>1417</v>
      </c>
      <c r="S1308" s="13" t="n">
        <v>1.09</v>
      </c>
      <c r="T1308" s="13" t="n">
        <v>1542</v>
      </c>
      <c r="U1308" s="13" t="n">
        <v>157</v>
      </c>
      <c r="V1308" s="13" t="n">
        <v>71</v>
      </c>
      <c r="W1308" s="13" t="n">
        <v>51</v>
      </c>
      <c r="X1308" s="13" t="n">
        <v>216</v>
      </c>
      <c r="Y1308" s="13" t="n">
        <v>9</v>
      </c>
      <c r="Z1308" s="13" t="n">
        <v>170</v>
      </c>
      <c r="AA1308" s="13" t="n">
        <v>0.176</v>
      </c>
      <c r="AB1308" s="13" t="n">
        <v>162</v>
      </c>
      <c r="AC1308" s="13" t="n">
        <v>118</v>
      </c>
      <c r="AD1308" s="13" t="n">
        <v>54</v>
      </c>
      <c r="AE1308" s="13" t="n">
        <v>6</v>
      </c>
      <c r="AF1308" s="13" t="n">
        <v>8.9</v>
      </c>
      <c r="AG1308" s="11" t="inlineStr">
        <is>
          <t xml:space="preserve"> On-Piste All-Mountain</t>
        </is>
      </c>
      <c r="AH1308" s="11" t="inlineStr">
        <is>
          <t xml:space="preserve"> Resort Freeride</t>
        </is>
      </c>
      <c r="AI1308" s="11" t="inlineStr">
        <is>
          <t xml:space="preserve"> Touring</t>
        </is>
      </c>
      <c r="AJ1308" s="13" t="n"/>
      <c r="AK1308" s="42" t="n"/>
    </row>
    <row r="1309">
      <c r="E1309" s="40" t="inlineStr">
        <is>
          <t>21/22</t>
        </is>
      </c>
      <c r="F1309" s="10" t="inlineStr">
        <is>
          <t xml:space="preserve"> Salomon</t>
        </is>
      </c>
      <c r="G1309" s="11" t="inlineStr">
        <is>
          <t>Stance 84</t>
        </is>
      </c>
      <c r="H1309" s="13" t="n">
        <v>169</v>
      </c>
      <c r="I1309" s="11" t="inlineStr">
        <is>
          <t xml:space="preserve"> Unisex</t>
        </is>
      </c>
      <c r="J1309" s="13" t="n">
        <v>169</v>
      </c>
      <c r="K1309" s="13" t="n">
        <v>168</v>
      </c>
      <c r="L1309" s="13" t="n">
        <v>122</v>
      </c>
      <c r="M1309" s="13" t="n">
        <v>140</v>
      </c>
      <c r="N1309" s="13" t="n">
        <v>121</v>
      </c>
      <c r="O1309" s="13" t="n">
        <v>83</v>
      </c>
      <c r="P1309" s="13" t="n">
        <v>104</v>
      </c>
      <c r="Q1309" s="13" t="n">
        <v>15</v>
      </c>
      <c r="R1309" s="13" t="n">
        <v>1513</v>
      </c>
      <c r="S1309" s="13" t="n">
        <v>1.07</v>
      </c>
      <c r="T1309" s="13" t="n">
        <v>1623</v>
      </c>
      <c r="U1309" s="13" t="n">
        <v>179</v>
      </c>
      <c r="V1309" s="13" t="n">
        <v>77</v>
      </c>
      <c r="W1309" s="13" t="n">
        <v>52</v>
      </c>
      <c r="X1309" s="13" t="n">
        <v>251</v>
      </c>
      <c r="Y1309" s="13" t="n">
        <v>13</v>
      </c>
      <c r="Z1309" s="13" t="n">
        <v>206</v>
      </c>
      <c r="AA1309" s="13" t="n">
        <v>0.245</v>
      </c>
      <c r="AB1309" s="13" t="n">
        <v>163</v>
      </c>
      <c r="AC1309" s="13" t="n">
        <v>117</v>
      </c>
      <c r="AD1309" s="13" t="n">
        <v>88</v>
      </c>
      <c r="AE1309" s="13" t="n">
        <v>6</v>
      </c>
      <c r="AF1309" s="13" t="n">
        <v>10.1</v>
      </c>
      <c r="AG1309" s="11" t="inlineStr">
        <is>
          <t xml:space="preserve"> On-Piste All-Mountain</t>
        </is>
      </c>
      <c r="AH1309" s="11" t="inlineStr">
        <is>
          <t xml:space="preserve"> Resort Freeride</t>
        </is>
      </c>
      <c r="AI1309" s="11" t="inlineStr">
        <is>
          <t xml:space="preserve"> Touring</t>
        </is>
      </c>
      <c r="AJ1309" s="13" t="n"/>
      <c r="AK1309" s="42" t="n"/>
    </row>
    <row r="1310">
      <c r="E1310" s="40" t="inlineStr">
        <is>
          <t>21/22</t>
        </is>
      </c>
      <c r="F1310" s="10" t="inlineStr">
        <is>
          <t xml:space="preserve"> Salomon</t>
        </is>
      </c>
      <c r="G1310" s="11" t="inlineStr">
        <is>
          <t>Stance 84</t>
        </is>
      </c>
      <c r="H1310" s="13" t="n">
        <v>177</v>
      </c>
      <c r="I1310" s="11" t="inlineStr">
        <is>
          <t xml:space="preserve"> Unisex</t>
        </is>
      </c>
      <c r="J1310" s="13" t="n">
        <v>177</v>
      </c>
      <c r="K1310" s="13" t="n">
        <v>175.9</v>
      </c>
      <c r="L1310" s="13" t="n">
        <v>131</v>
      </c>
      <c r="M1310" s="13" t="n">
        <v>148</v>
      </c>
      <c r="N1310" s="13" t="n">
        <v>122</v>
      </c>
      <c r="O1310" s="13" t="n">
        <v>84</v>
      </c>
      <c r="P1310" s="13" t="n">
        <v>105</v>
      </c>
      <c r="Q1310" s="13" t="n">
        <v>16.2</v>
      </c>
      <c r="R1310" s="13" t="n">
        <v>1616</v>
      </c>
      <c r="S1310" s="13" t="n">
        <v>1.06</v>
      </c>
      <c r="T1310" s="13" t="n">
        <v>1708</v>
      </c>
      <c r="U1310" s="13" t="n">
        <v>205</v>
      </c>
      <c r="V1310" s="13" t="n">
        <v>88</v>
      </c>
      <c r="W1310" s="13" t="n">
        <v>49</v>
      </c>
      <c r="X1310" s="13" t="n">
        <v>256</v>
      </c>
      <c r="Y1310" s="13" t="n">
        <v>12</v>
      </c>
      <c r="Z1310" s="13" t="n">
        <v>198</v>
      </c>
      <c r="AA1310" s="13" t="n">
        <v>0.238</v>
      </c>
      <c r="AB1310" s="13" t="n">
        <v>162</v>
      </c>
      <c r="AC1310" s="13" t="n">
        <v>115</v>
      </c>
      <c r="AD1310" s="13" t="n">
        <v>93</v>
      </c>
      <c r="AE1310" s="13" t="n">
        <v>7</v>
      </c>
      <c r="AF1310" s="13" t="n">
        <v>9.9</v>
      </c>
      <c r="AG1310" s="11" t="inlineStr">
        <is>
          <t xml:space="preserve"> On-Piste All-Mountain</t>
        </is>
      </c>
      <c r="AH1310" s="11" t="inlineStr">
        <is>
          <t xml:space="preserve"> Resort Freeride</t>
        </is>
      </c>
      <c r="AI1310" s="11" t="inlineStr">
        <is>
          <t xml:space="preserve"> Touring</t>
        </is>
      </c>
      <c r="AJ1310" s="13" t="n"/>
      <c r="AK1310" s="42" t="n"/>
    </row>
    <row r="1311">
      <c r="E1311" s="40" t="inlineStr">
        <is>
          <t>21/22</t>
        </is>
      </c>
      <c r="F1311" s="10" t="inlineStr">
        <is>
          <t xml:space="preserve"> Salomon</t>
        </is>
      </c>
      <c r="G1311" s="11" t="inlineStr">
        <is>
          <t>Stance 84</t>
        </is>
      </c>
      <c r="H1311" s="13" t="n">
        <v>185</v>
      </c>
      <c r="I1311" s="11" t="inlineStr">
        <is>
          <t xml:space="preserve"> Unisex</t>
        </is>
      </c>
      <c r="J1311" s="13" t="n">
        <v>185</v>
      </c>
      <c r="K1311" s="13" t="n">
        <v>184.7</v>
      </c>
      <c r="L1311" s="13" t="n">
        <v>134</v>
      </c>
      <c r="M1311" s="13" t="n">
        <v>156</v>
      </c>
      <c r="N1311" s="13" t="n">
        <v>122</v>
      </c>
      <c r="O1311" s="13" t="n">
        <v>83</v>
      </c>
      <c r="P1311" s="13" t="n">
        <v>105</v>
      </c>
      <c r="Q1311" s="13" t="n">
        <v>18.1</v>
      </c>
      <c r="R1311" s="13" t="n">
        <v>1657</v>
      </c>
      <c r="S1311" s="13" t="n">
        <v>1.07</v>
      </c>
      <c r="T1311" s="13" t="n">
        <v>1779</v>
      </c>
      <c r="U1311" s="13" t="n">
        <v>242</v>
      </c>
      <c r="V1311" s="13" t="n">
        <v>95</v>
      </c>
      <c r="W1311" s="13" t="n">
        <v>48</v>
      </c>
      <c r="X1311" s="13" t="n">
        <v>288</v>
      </c>
      <c r="Y1311" s="13" t="n">
        <v>12</v>
      </c>
      <c r="Z1311" s="13" t="n">
        <v>218</v>
      </c>
      <c r="AA1311" s="13" t="n">
        <v>0.257</v>
      </c>
      <c r="AB1311" s="13" t="n">
        <v>160</v>
      </c>
      <c r="AC1311" s="13" t="n">
        <v>128</v>
      </c>
      <c r="AD1311" s="13" t="n">
        <v>128</v>
      </c>
      <c r="AE1311" s="13" t="n">
        <v>5</v>
      </c>
      <c r="AF1311" s="13" t="n">
        <v>9.300000000000001</v>
      </c>
      <c r="AG1311" s="11" t="inlineStr">
        <is>
          <t xml:space="preserve"> On-Piste All-Mountain</t>
        </is>
      </c>
      <c r="AH1311" s="11" t="inlineStr">
        <is>
          <t xml:space="preserve"> Resort Freeride</t>
        </is>
      </c>
      <c r="AI1311" s="11" t="inlineStr">
        <is>
          <t xml:space="preserve"> Touring</t>
        </is>
      </c>
      <c r="AJ1311" s="13" t="n"/>
      <c r="AK1311" s="42" t="n"/>
    </row>
    <row r="1312">
      <c r="E1312" s="40" t="inlineStr">
        <is>
          <t>21/22</t>
        </is>
      </c>
      <c r="F1312" s="10" t="inlineStr">
        <is>
          <t xml:space="preserve"> Salomon</t>
        </is>
      </c>
      <c r="G1312" s="11" t="inlineStr">
        <is>
          <t>Stance 88 W</t>
        </is>
      </c>
      <c r="H1312" s="13" t="n">
        <v>154</v>
      </c>
      <c r="I1312" s="11" t="inlineStr">
        <is>
          <t xml:space="preserve"> Women's</t>
        </is>
      </c>
      <c r="J1312" s="13" t="n">
        <v>154</v>
      </c>
      <c r="K1312" s="13" t="n">
        <v>153.2</v>
      </c>
      <c r="L1312" s="13" t="n">
        <v>116</v>
      </c>
      <c r="M1312" s="13" t="n">
        <v>130</v>
      </c>
      <c r="N1312" s="13" t="n">
        <v>117</v>
      </c>
      <c r="O1312" s="13" t="n">
        <v>88</v>
      </c>
      <c r="P1312" s="13" t="n">
        <v>100</v>
      </c>
      <c r="Q1312" s="13" t="n">
        <v>16.5</v>
      </c>
      <c r="R1312" s="13" t="n">
        <v>1463</v>
      </c>
      <c r="S1312" s="13" t="n">
        <v>1.02</v>
      </c>
      <c r="T1312" s="13" t="n">
        <v>1488</v>
      </c>
      <c r="U1312" s="13" t="n">
        <v>134</v>
      </c>
      <c r="V1312" s="13" t="n">
        <v>73</v>
      </c>
      <c r="W1312" s="13" t="n">
        <v>55</v>
      </c>
      <c r="X1312" s="13" t="n">
        <v>216</v>
      </c>
      <c r="Y1312" s="13" t="n">
        <v>11</v>
      </c>
      <c r="Z1312" s="13" t="n">
        <v>154</v>
      </c>
      <c r="AA1312" s="13" t="n">
        <v>0.204</v>
      </c>
      <c r="AB1312" s="13" t="n">
        <v>150</v>
      </c>
      <c r="AC1312" s="13" t="n">
        <v>83</v>
      </c>
      <c r="AD1312" s="13" t="n">
        <v>66</v>
      </c>
      <c r="AE1312" s="13" t="n">
        <v>6</v>
      </c>
      <c r="AF1312" s="13" t="n">
        <v>7.9</v>
      </c>
      <c r="AG1312" s="11" t="inlineStr">
        <is>
          <t xml:space="preserve"> Resort Freeride</t>
        </is>
      </c>
      <c r="AH1312" s="13" t="n"/>
      <c r="AI1312" s="13" t="n"/>
      <c r="AJ1312" s="13" t="n"/>
      <c r="AK1312" s="42" t="n"/>
    </row>
    <row r="1313">
      <c r="E1313" s="40" t="inlineStr">
        <is>
          <t>21/22</t>
        </is>
      </c>
      <c r="F1313" s="10" t="inlineStr">
        <is>
          <t xml:space="preserve"> Salomon</t>
        </is>
      </c>
      <c r="G1313" s="11" t="inlineStr">
        <is>
          <t>Stance 88 W</t>
        </is>
      </c>
      <c r="H1313" s="13" t="n">
        <v>161</v>
      </c>
      <c r="I1313" s="11" t="inlineStr">
        <is>
          <t xml:space="preserve"> Women's</t>
        </is>
      </c>
      <c r="J1313" s="13" t="n">
        <v>161</v>
      </c>
      <c r="K1313" s="13" t="n">
        <v>160.1</v>
      </c>
      <c r="L1313" s="13" t="n">
        <v>123</v>
      </c>
      <c r="M1313" s="13" t="n">
        <v>136</v>
      </c>
      <c r="N1313" s="13" t="n">
        <v>119</v>
      </c>
      <c r="O1313" s="13" t="n">
        <v>88</v>
      </c>
      <c r="P1313" s="13" t="n">
        <v>101</v>
      </c>
      <c r="Q1313" s="13" t="n">
        <v>17.2</v>
      </c>
      <c r="R1313" s="13" t="n">
        <v>1530</v>
      </c>
      <c r="S1313" s="13" t="n">
        <v>1.02</v>
      </c>
      <c r="T1313" s="13" t="n">
        <v>1563</v>
      </c>
      <c r="U1313" s="13" t="n">
        <v>140</v>
      </c>
      <c r="V1313" s="13" t="n">
        <v>86</v>
      </c>
      <c r="W1313" s="13" t="n">
        <v>55</v>
      </c>
      <c r="X1313" s="13" t="n">
        <v>223</v>
      </c>
      <c r="Y1313" s="13" t="n">
        <v>8</v>
      </c>
      <c r="Z1313" s="13" t="n">
        <v>151</v>
      </c>
      <c r="AA1313" s="13" t="n">
        <v>0.147</v>
      </c>
      <c r="AB1313" s="13" t="n">
        <v>153</v>
      </c>
      <c r="AC1313" s="13" t="n">
        <v>87</v>
      </c>
      <c r="AD1313" s="13" t="n">
        <v>70</v>
      </c>
      <c r="AE1313" s="13" t="n">
        <v>9</v>
      </c>
      <c r="AF1313" s="13" t="n">
        <v>9.300000000000001</v>
      </c>
      <c r="AG1313" s="11" t="inlineStr">
        <is>
          <t xml:space="preserve"> Resort Freeride</t>
        </is>
      </c>
      <c r="AH1313" s="13" t="n"/>
      <c r="AI1313" s="13" t="n"/>
      <c r="AJ1313" s="13" t="n"/>
      <c r="AK1313" s="42" t="n"/>
    </row>
    <row r="1314">
      <c r="E1314" s="40" t="inlineStr">
        <is>
          <t>21/22</t>
        </is>
      </c>
      <c r="F1314" s="10" t="inlineStr">
        <is>
          <t xml:space="preserve"> Salomon</t>
        </is>
      </c>
      <c r="G1314" s="11" t="inlineStr">
        <is>
          <t>Stance 88 W</t>
        </is>
      </c>
      <c r="H1314" s="13" t="n">
        <v>168</v>
      </c>
      <c r="I1314" s="11" t="inlineStr">
        <is>
          <t xml:space="preserve"> Women's</t>
        </is>
      </c>
      <c r="J1314" s="13" t="n">
        <v>168</v>
      </c>
      <c r="K1314" s="13" t="n">
        <v>166.9</v>
      </c>
      <c r="L1314" s="13" t="n">
        <v>126</v>
      </c>
      <c r="M1314" s="13" t="n">
        <v>140</v>
      </c>
      <c r="N1314" s="13" t="n">
        <v>122</v>
      </c>
      <c r="O1314" s="13" t="n">
        <v>87</v>
      </c>
      <c r="P1314" s="13" t="n">
        <v>103</v>
      </c>
      <c r="Q1314" s="13" t="n">
        <v>16.9</v>
      </c>
      <c r="R1314" s="13" t="n">
        <v>1650</v>
      </c>
      <c r="S1314" s="13" t="n">
        <v>1</v>
      </c>
      <c r="T1314" s="13" t="n">
        <v>1649</v>
      </c>
      <c r="U1314" s="13" t="n">
        <v>155</v>
      </c>
      <c r="V1314" s="13" t="n">
        <v>96</v>
      </c>
      <c r="W1314" s="13" t="n">
        <v>52</v>
      </c>
      <c r="X1314" s="13" t="n">
        <v>234</v>
      </c>
      <c r="Y1314" s="13" t="n">
        <v>9</v>
      </c>
      <c r="Z1314" s="13" t="n">
        <v>175</v>
      </c>
      <c r="AA1314" s="13" t="n">
        <v>0.17</v>
      </c>
      <c r="AB1314" s="13" t="n">
        <v>157</v>
      </c>
      <c r="AC1314" s="13" t="n">
        <v>112</v>
      </c>
      <c r="AD1314" s="13" t="n">
        <v>76</v>
      </c>
      <c r="AE1314" s="13" t="n">
        <v>7</v>
      </c>
      <c r="AF1314" s="13" t="n">
        <v>9.199999999999999</v>
      </c>
      <c r="AG1314" s="11" t="inlineStr">
        <is>
          <t xml:space="preserve"> Resort Freeride</t>
        </is>
      </c>
      <c r="AH1314" s="13" t="n"/>
      <c r="AI1314" s="13" t="n"/>
      <c r="AJ1314" s="13" t="n"/>
      <c r="AK1314" s="42" t="n"/>
    </row>
    <row r="1315">
      <c r="E1315" s="40" t="inlineStr">
        <is>
          <t>21/22</t>
        </is>
      </c>
      <c r="F1315" s="10" t="inlineStr">
        <is>
          <t xml:space="preserve"> Salomon</t>
        </is>
      </c>
      <c r="G1315" s="11" t="inlineStr">
        <is>
          <t>Stance 90</t>
        </is>
      </c>
      <c r="H1315" s="13" t="n">
        <v>168</v>
      </c>
      <c r="I1315" s="11" t="inlineStr">
        <is>
          <t xml:space="preserve"> Unisex</t>
        </is>
      </c>
      <c r="J1315" s="13" t="n">
        <v>168</v>
      </c>
      <c r="K1315" s="13" t="n">
        <v>167</v>
      </c>
      <c r="L1315" s="13" t="n">
        <v>129</v>
      </c>
      <c r="M1315" s="13" t="n">
        <v>138</v>
      </c>
      <c r="N1315" s="13" t="n">
        <v>122</v>
      </c>
      <c r="O1315" s="13" t="n">
        <v>88</v>
      </c>
      <c r="P1315" s="13" t="n">
        <v>104</v>
      </c>
      <c r="Q1315" s="13" t="n">
        <v>16.9</v>
      </c>
      <c r="R1315" s="13" t="n">
        <v>1643</v>
      </c>
      <c r="S1315" s="13" t="n">
        <v>1</v>
      </c>
      <c r="T1315" s="13" t="n">
        <v>1650</v>
      </c>
      <c r="U1315" s="13" t="n">
        <v>164</v>
      </c>
      <c r="V1315" s="13" t="n">
        <v>91</v>
      </c>
      <c r="W1315" s="13" t="n">
        <v>47</v>
      </c>
      <c r="X1315" s="13" t="n">
        <v>220</v>
      </c>
      <c r="Y1315" s="13" t="n">
        <v>8</v>
      </c>
      <c r="Z1315" s="13" t="n">
        <v>158</v>
      </c>
      <c r="AA1315" s="13" t="n">
        <v>0.161</v>
      </c>
      <c r="AB1315" s="13" t="n">
        <v>168</v>
      </c>
      <c r="AC1315" s="13" t="n">
        <v>124</v>
      </c>
      <c r="AD1315" s="13" t="n">
        <v>53</v>
      </c>
      <c r="AE1315" s="13" t="n">
        <v>9</v>
      </c>
      <c r="AF1315" s="13" t="n">
        <v>9.699999999999999</v>
      </c>
      <c r="AG1315" s="11" t="inlineStr">
        <is>
          <t xml:space="preserve"> Resort Freeride</t>
        </is>
      </c>
      <c r="AH1315" s="13" t="n"/>
      <c r="AI1315" s="13" t="n"/>
      <c r="AJ1315" s="13" t="n"/>
      <c r="AK1315" s="42" t="n"/>
    </row>
    <row r="1316">
      <c r="E1316" s="40" t="inlineStr">
        <is>
          <t>21/22</t>
        </is>
      </c>
      <c r="F1316" s="10" t="inlineStr">
        <is>
          <t xml:space="preserve"> Salomon</t>
        </is>
      </c>
      <c r="G1316" s="11" t="inlineStr">
        <is>
          <t>Stance 94 W</t>
        </is>
      </c>
      <c r="H1316" s="13" t="n">
        <v>168</v>
      </c>
      <c r="I1316" s="11" t="inlineStr">
        <is>
          <t xml:space="preserve"> Women's</t>
        </is>
      </c>
      <c r="J1316" s="13" t="n">
        <v>168</v>
      </c>
      <c r="K1316" s="13" t="n">
        <v>167.1</v>
      </c>
      <c r="L1316" s="13" t="n">
        <v>133</v>
      </c>
      <c r="M1316" s="13" t="n">
        <v>138</v>
      </c>
      <c r="N1316" s="13" t="n">
        <v>126</v>
      </c>
      <c r="O1316" s="13" t="n">
        <v>94</v>
      </c>
      <c r="P1316" s="13" t="n">
        <v>108</v>
      </c>
      <c r="Q1316" s="13" t="n">
        <v>18.5</v>
      </c>
      <c r="R1316" s="13" t="n">
        <v>1700</v>
      </c>
      <c r="S1316" s="13" t="n">
        <v>1.02</v>
      </c>
      <c r="T1316" s="13" t="n">
        <v>1733</v>
      </c>
      <c r="U1316" s="13" t="n">
        <v>171</v>
      </c>
      <c r="V1316" s="13" t="n">
        <v>106</v>
      </c>
      <c r="W1316" s="13" t="n">
        <v>49</v>
      </c>
      <c r="X1316" s="13" t="n">
        <v>212</v>
      </c>
      <c r="Y1316" s="13" t="n">
        <v>6</v>
      </c>
      <c r="Z1316" s="13" t="n">
        <v>134</v>
      </c>
      <c r="AA1316" s="13" t="n">
        <v>0.114</v>
      </c>
      <c r="AB1316" s="13" t="n">
        <v>160</v>
      </c>
      <c r="AC1316" s="13" t="n">
        <v>130</v>
      </c>
      <c r="AD1316" s="13" t="n">
        <v>51</v>
      </c>
      <c r="AE1316" s="13" t="n">
        <v>10</v>
      </c>
      <c r="AF1316" s="13" t="n">
        <v>9.6</v>
      </c>
      <c r="AG1316" s="11" t="inlineStr">
        <is>
          <t xml:space="preserve"> Resort Freeride</t>
        </is>
      </c>
      <c r="AH1316" s="13" t="n"/>
      <c r="AI1316" s="13" t="n"/>
      <c r="AJ1316" s="13" t="n"/>
      <c r="AK1316" s="42" t="n"/>
    </row>
    <row r="1317">
      <c r="E1317" s="40" t="inlineStr">
        <is>
          <t>21/22</t>
        </is>
      </c>
      <c r="F1317" s="10" t="inlineStr">
        <is>
          <t xml:space="preserve"> Salomon</t>
        </is>
      </c>
      <c r="G1317" s="11" t="inlineStr">
        <is>
          <t>Stance 96</t>
        </is>
      </c>
      <c r="H1317" s="13" t="n">
        <v>168</v>
      </c>
      <c r="I1317" s="11" t="inlineStr">
        <is>
          <t xml:space="preserve"> Unisex</t>
        </is>
      </c>
      <c r="J1317" s="13" t="n">
        <v>168</v>
      </c>
      <c r="K1317" s="13" t="n">
        <v>167.4</v>
      </c>
      <c r="L1317" s="13" t="n">
        <v>128</v>
      </c>
      <c r="M1317" s="13" t="n">
        <v>137</v>
      </c>
      <c r="N1317" s="13" t="n">
        <v>126</v>
      </c>
      <c r="O1317" s="13" t="n">
        <v>93</v>
      </c>
      <c r="P1317" s="13" t="n">
        <v>107</v>
      </c>
      <c r="Q1317" s="13" t="n">
        <v>18.5</v>
      </c>
      <c r="R1317" s="13" t="n">
        <v>1767</v>
      </c>
      <c r="S1317" s="13" t="n">
        <v>0.98</v>
      </c>
      <c r="T1317" s="13" t="n">
        <v>1734</v>
      </c>
      <c r="U1317" s="13" t="n">
        <v>180</v>
      </c>
      <c r="V1317" s="13" t="n">
        <v>111</v>
      </c>
      <c r="W1317" s="13" t="n">
        <v>48</v>
      </c>
      <c r="X1317" s="13" t="n">
        <v>225</v>
      </c>
      <c r="Y1317" s="13" t="n">
        <v>9</v>
      </c>
      <c r="Z1317" s="13" t="n">
        <v>167</v>
      </c>
      <c r="AA1317" s="13" t="n">
        <v>0.189</v>
      </c>
      <c r="AB1317" s="13" t="n">
        <v>166</v>
      </c>
      <c r="AC1317" s="13" t="n">
        <v>138</v>
      </c>
      <c r="AD1317" s="13" t="n">
        <v>58</v>
      </c>
      <c r="AE1317" s="13" t="n">
        <v>9</v>
      </c>
      <c r="AF1317" s="13" t="n">
        <v>9.4</v>
      </c>
      <c r="AG1317" s="11" t="inlineStr">
        <is>
          <t xml:space="preserve"> Resort Freeride</t>
        </is>
      </c>
      <c r="AH1317" s="13" t="n"/>
      <c r="AI1317" s="13" t="n"/>
      <c r="AJ1317" s="13" t="n"/>
      <c r="AK1317" s="42" t="n"/>
    </row>
    <row r="1318">
      <c r="E1318" s="40" t="inlineStr">
        <is>
          <t>21/22</t>
        </is>
      </c>
      <c r="F1318" s="10" t="inlineStr">
        <is>
          <t xml:space="preserve"> Salomon</t>
        </is>
      </c>
      <c r="G1318" s="11" t="inlineStr">
        <is>
          <t>Stance 96</t>
        </is>
      </c>
      <c r="H1318" s="13" t="n">
        <v>176</v>
      </c>
      <c r="I1318" s="11" t="inlineStr">
        <is>
          <t xml:space="preserve"> Unisex</t>
        </is>
      </c>
      <c r="J1318" s="13" t="n">
        <v>176</v>
      </c>
      <c r="K1318" s="13" t="n">
        <v>174.3</v>
      </c>
      <c r="L1318" s="13" t="n">
        <v>134</v>
      </c>
      <c r="M1318" s="13" t="n">
        <v>145</v>
      </c>
      <c r="N1318" s="13" t="n">
        <v>130</v>
      </c>
      <c r="O1318" s="13" t="n">
        <v>95</v>
      </c>
      <c r="P1318" s="13" t="n">
        <v>112</v>
      </c>
      <c r="Q1318" s="13" t="n">
        <v>18.8</v>
      </c>
      <c r="R1318" s="13" t="n">
        <v>1862</v>
      </c>
      <c r="S1318" s="13" t="n">
        <v>1</v>
      </c>
      <c r="T1318" s="13" t="n">
        <v>1853</v>
      </c>
      <c r="U1318" s="13" t="n">
        <v>179</v>
      </c>
      <c r="V1318" s="13" t="n">
        <v>110</v>
      </c>
      <c r="W1318" s="13" t="n">
        <v>48</v>
      </c>
      <c r="X1318" s="13" t="n">
        <v>227</v>
      </c>
      <c r="Y1318" s="13" t="n">
        <v>8</v>
      </c>
      <c r="Z1318" s="13" t="n">
        <v>172</v>
      </c>
      <c r="AA1318" s="13" t="n">
        <v>0.165</v>
      </c>
      <c r="AB1318" s="13" t="n">
        <v>165</v>
      </c>
      <c r="AC1318" s="13" t="n">
        <v>132</v>
      </c>
      <c r="AD1318" s="13" t="n">
        <v>63</v>
      </c>
      <c r="AE1318" s="13" t="n">
        <v>9</v>
      </c>
      <c r="AF1318" s="13" t="n">
        <v>10</v>
      </c>
      <c r="AG1318" s="11" t="inlineStr">
        <is>
          <t xml:space="preserve"> Resort Freeride</t>
        </is>
      </c>
      <c r="AH1318" s="13" t="n"/>
      <c r="AI1318" s="13" t="n"/>
      <c r="AJ1318" s="13" t="n"/>
      <c r="AK1318" s="42" t="n"/>
    </row>
    <row r="1319">
      <c r="E1319" s="40" t="inlineStr">
        <is>
          <t>21/22</t>
        </is>
      </c>
      <c r="F1319" s="10" t="inlineStr">
        <is>
          <t xml:space="preserve"> Salomon</t>
        </is>
      </c>
      <c r="G1319" s="11" t="inlineStr">
        <is>
          <t>Stance 96</t>
        </is>
      </c>
      <c r="H1319" s="13" t="n">
        <v>182</v>
      </c>
      <c r="I1319" s="11" t="inlineStr">
        <is>
          <t xml:space="preserve"> Unisex</t>
        </is>
      </c>
      <c r="J1319" s="13" t="n">
        <v>182</v>
      </c>
      <c r="K1319" s="13" t="n">
        <v>181</v>
      </c>
      <c r="L1319" s="13" t="n">
        <v>137</v>
      </c>
      <c r="M1319" s="13" t="n">
        <v>152</v>
      </c>
      <c r="N1319" s="13" t="n">
        <v>132</v>
      </c>
      <c r="O1319" s="13" t="n">
        <v>95</v>
      </c>
      <c r="P1319" s="13" t="n">
        <v>113</v>
      </c>
      <c r="Q1319" s="13" t="n">
        <v>19.2</v>
      </c>
      <c r="R1319" s="13" t="n">
        <v>2111</v>
      </c>
      <c r="S1319" s="13" t="n">
        <v>0.92</v>
      </c>
      <c r="T1319" s="13" t="n">
        <v>1936</v>
      </c>
      <c r="U1319" s="13" t="n">
        <v>238</v>
      </c>
      <c r="V1319" s="13" t="n">
        <v>133</v>
      </c>
      <c r="W1319" s="13" t="n">
        <v>49</v>
      </c>
      <c r="X1319" s="13" t="n">
        <v>245</v>
      </c>
      <c r="Y1319" s="13" t="n">
        <v>9</v>
      </c>
      <c r="Z1319" s="13" t="n">
        <v>193</v>
      </c>
      <c r="AA1319" s="13" t="n">
        <v>0.191</v>
      </c>
      <c r="AB1319" s="13" t="n">
        <v>159</v>
      </c>
      <c r="AC1319" s="13" t="n">
        <v>134</v>
      </c>
      <c r="AD1319" s="13" t="n">
        <v>86</v>
      </c>
      <c r="AE1319" s="13" t="n">
        <v>9</v>
      </c>
      <c r="AF1319" s="13" t="n">
        <v>9.6</v>
      </c>
      <c r="AG1319" s="11" t="inlineStr">
        <is>
          <t xml:space="preserve"> Resort Freeride</t>
        </is>
      </c>
      <c r="AH1319" s="13" t="n"/>
      <c r="AI1319" s="13" t="n"/>
      <c r="AJ1319" s="13" t="n"/>
      <c r="AK1319" s="42" t="n"/>
    </row>
    <row r="1320">
      <c r="E1320" s="40" t="inlineStr">
        <is>
          <t>21/22</t>
        </is>
      </c>
      <c r="F1320" s="10" t="inlineStr">
        <is>
          <t xml:space="preserve"> Salomon</t>
        </is>
      </c>
      <c r="G1320" s="11" t="inlineStr">
        <is>
          <t>Stance 96</t>
        </is>
      </c>
      <c r="H1320" s="13" t="n">
        <v>188</v>
      </c>
      <c r="I1320" s="11" t="inlineStr">
        <is>
          <t xml:space="preserve"> Unisex</t>
        </is>
      </c>
      <c r="J1320" s="13" t="n">
        <v>188</v>
      </c>
      <c r="K1320" s="13" t="n">
        <v>187.1</v>
      </c>
      <c r="L1320" s="13" t="n">
        <v>146</v>
      </c>
      <c r="M1320" s="13" t="n">
        <v>157</v>
      </c>
      <c r="N1320" s="13" t="n">
        <v>134</v>
      </c>
      <c r="O1320" s="13" t="n">
        <v>95</v>
      </c>
      <c r="P1320" s="13" t="n">
        <v>116</v>
      </c>
      <c r="Q1320" s="13" t="n">
        <v>19.1</v>
      </c>
      <c r="R1320" s="13" t="n">
        <v>2106</v>
      </c>
      <c r="S1320" s="13" t="n">
        <v>0.96</v>
      </c>
      <c r="T1320" s="13" t="n">
        <v>2016</v>
      </c>
      <c r="U1320" s="13" t="n">
        <v>236</v>
      </c>
      <c r="V1320" s="13" t="n">
        <v>159</v>
      </c>
      <c r="W1320" s="13" t="n">
        <v>48</v>
      </c>
      <c r="X1320" s="13" t="n">
        <v>254</v>
      </c>
      <c r="Y1320" s="13" t="n">
        <v>6</v>
      </c>
      <c r="Z1320" s="13" t="n">
        <v>154</v>
      </c>
      <c r="AA1320" s="13" t="n">
        <v>0.127</v>
      </c>
      <c r="AB1320" s="13" t="n">
        <v>158</v>
      </c>
      <c r="AC1320" s="13" t="n">
        <v>142</v>
      </c>
      <c r="AD1320" s="13" t="n">
        <v>95</v>
      </c>
      <c r="AE1320" s="13" t="n">
        <v>12</v>
      </c>
      <c r="AF1320" s="13" t="n">
        <v>10.5</v>
      </c>
      <c r="AG1320" s="11" t="inlineStr">
        <is>
          <t xml:space="preserve"> Resort Freeride</t>
        </is>
      </c>
      <c r="AH1320" s="13" t="n"/>
      <c r="AI1320" s="13" t="n"/>
      <c r="AJ1320" s="13" t="n"/>
      <c r="AK1320" s="42" t="n"/>
    </row>
    <row r="1321">
      <c r="E1321" s="40" t="inlineStr">
        <is>
          <t>21/22</t>
        </is>
      </c>
      <c r="F1321" s="10" t="inlineStr">
        <is>
          <t xml:space="preserve"> Scott</t>
        </is>
      </c>
      <c r="G1321" s="11" t="inlineStr">
        <is>
          <t>Scrapper 105</t>
        </is>
      </c>
      <c r="H1321" s="13" t="n">
        <v>175</v>
      </c>
      <c r="I1321" s="11" t="inlineStr">
        <is>
          <t xml:space="preserve"> Unisex</t>
        </is>
      </c>
      <c r="J1321" s="13" t="n">
        <v>175</v>
      </c>
      <c r="K1321" s="13" t="n">
        <v>173.4</v>
      </c>
      <c r="L1321" s="13" t="n">
        <v>124</v>
      </c>
      <c r="M1321" s="13" t="n">
        <v>156</v>
      </c>
      <c r="N1321" s="13" t="n">
        <v>135</v>
      </c>
      <c r="O1321" s="13" t="n">
        <v>100</v>
      </c>
      <c r="P1321" s="13" t="n">
        <v>123</v>
      </c>
      <c r="Q1321" s="13" t="n">
        <v>22.6</v>
      </c>
      <c r="R1321" s="13" t="n">
        <v>1547</v>
      </c>
      <c r="S1321" s="13" t="n">
        <v>1.21</v>
      </c>
      <c r="T1321" s="13" t="n">
        <v>1877</v>
      </c>
      <c r="U1321" s="13" t="n">
        <v>224</v>
      </c>
      <c r="V1321" s="13" t="n">
        <v>98</v>
      </c>
      <c r="W1321" s="13" t="n">
        <v>60</v>
      </c>
      <c r="X1321" s="13" t="n">
        <v>306</v>
      </c>
      <c r="Y1321" s="13" t="n">
        <v>39</v>
      </c>
      <c r="Z1321" s="13" t="n">
        <v>188</v>
      </c>
      <c r="AA1321" s="13" t="n">
        <v>0.64</v>
      </c>
      <c r="AB1321" s="13" t="n">
        <v>99</v>
      </c>
      <c r="AC1321" s="13" t="n">
        <v>74</v>
      </c>
      <c r="AD1321" s="13" t="n">
        <v>207</v>
      </c>
      <c r="AE1321" s="13" t="n">
        <v>4</v>
      </c>
      <c r="AF1321" s="13" t="n">
        <v>11.1</v>
      </c>
      <c r="AG1321" s="11" t="inlineStr">
        <is>
          <t xml:space="preserve"> Resort Freeride</t>
        </is>
      </c>
      <c r="AH1321" s="11" t="inlineStr">
        <is>
          <t xml:space="preserve"> Powder</t>
        </is>
      </c>
      <c r="AI1321" s="11" t="inlineStr">
        <is>
          <t xml:space="preserve"> Touring</t>
        </is>
      </c>
      <c r="AJ1321" s="13" t="n"/>
      <c r="AK1321" s="42" t="n"/>
    </row>
    <row r="1322">
      <c r="E1322" s="40" t="inlineStr">
        <is>
          <t>21/22</t>
        </is>
      </c>
      <c r="F1322" s="10" t="inlineStr">
        <is>
          <t xml:space="preserve"> Scott</t>
        </is>
      </c>
      <c r="G1322" s="11" t="inlineStr">
        <is>
          <t>Scrapper 105</t>
        </is>
      </c>
      <c r="H1322" s="13" t="n">
        <v>183</v>
      </c>
      <c r="I1322" s="11" t="inlineStr">
        <is>
          <t xml:space="preserve"> Unisex</t>
        </is>
      </c>
      <c r="J1322" s="13" t="n">
        <v>183</v>
      </c>
      <c r="K1322" s="13" t="n">
        <v>181.3</v>
      </c>
      <c r="L1322" s="13" t="n">
        <v>132</v>
      </c>
      <c r="M1322" s="13" t="n">
        <v>163</v>
      </c>
      <c r="N1322" s="13" t="n">
        <v>137</v>
      </c>
      <c r="O1322" s="13" t="n">
        <v>102</v>
      </c>
      <c r="P1322" s="13" t="n">
        <v>126</v>
      </c>
      <c r="Q1322" s="13" t="n">
        <v>24</v>
      </c>
      <c r="R1322" s="13" t="n">
        <v>1718</v>
      </c>
      <c r="S1322" s="13" t="n">
        <v>1.16</v>
      </c>
      <c r="T1322" s="13" t="n">
        <v>1999</v>
      </c>
      <c r="U1322" s="13" t="n">
        <v>295</v>
      </c>
      <c r="V1322" s="13" t="n">
        <v>126</v>
      </c>
      <c r="W1322" s="13" t="n">
        <v>60</v>
      </c>
      <c r="X1322" s="13" t="n">
        <v>301</v>
      </c>
      <c r="Y1322" s="13" t="n">
        <v>40</v>
      </c>
      <c r="Z1322" s="13" t="n">
        <v>192</v>
      </c>
      <c r="AA1322" s="13" t="n">
        <v>0.662</v>
      </c>
      <c r="AB1322" s="13" t="n">
        <v>110</v>
      </c>
      <c r="AC1322" s="13" t="n">
        <v>76</v>
      </c>
      <c r="AD1322" s="13" t="n">
        <v>191</v>
      </c>
      <c r="AE1322" s="13" t="n">
        <v>4</v>
      </c>
      <c r="AF1322" s="13" t="n">
        <v>11.9</v>
      </c>
      <c r="AG1322" s="11" t="inlineStr">
        <is>
          <t xml:space="preserve"> Resort Freeride</t>
        </is>
      </c>
      <c r="AH1322" s="11" t="inlineStr">
        <is>
          <t xml:space="preserve"> Powder</t>
        </is>
      </c>
      <c r="AI1322" s="11" t="inlineStr">
        <is>
          <t xml:space="preserve"> Touring</t>
        </is>
      </c>
      <c r="AJ1322" s="13" t="n"/>
      <c r="AK1322" s="42" t="n"/>
    </row>
    <row r="1323">
      <c r="E1323" s="40" t="inlineStr">
        <is>
          <t>21/22</t>
        </is>
      </c>
      <c r="F1323" s="10" t="inlineStr">
        <is>
          <t xml:space="preserve"> Scott</t>
        </is>
      </c>
      <c r="G1323" s="11" t="inlineStr">
        <is>
          <t>Scrapper 95</t>
        </is>
      </c>
      <c r="H1323" s="13" t="n">
        <v>168</v>
      </c>
      <c r="I1323" s="11" t="inlineStr">
        <is>
          <t xml:space="preserve"> Unisex</t>
        </is>
      </c>
      <c r="J1323" s="13" t="n">
        <v>168</v>
      </c>
      <c r="K1323" s="13" t="n">
        <v>166.4</v>
      </c>
      <c r="L1323" s="13" t="n">
        <v>125</v>
      </c>
      <c r="M1323" s="13" t="n">
        <v>149</v>
      </c>
      <c r="N1323" s="13" t="n">
        <v>129</v>
      </c>
      <c r="O1323" s="13" t="n">
        <v>93</v>
      </c>
      <c r="P1323" s="13" t="n">
        <v>117</v>
      </c>
      <c r="Q1323" s="13" t="n">
        <v>19.7</v>
      </c>
      <c r="R1323" s="13" t="n">
        <v>1380</v>
      </c>
      <c r="S1323" s="13" t="n">
        <v>1.23</v>
      </c>
      <c r="T1323" s="13" t="n">
        <v>1698</v>
      </c>
      <c r="U1323" s="13" t="n">
        <v>166</v>
      </c>
      <c r="V1323" s="13" t="n">
        <v>74</v>
      </c>
      <c r="W1323" s="13" t="n">
        <v>57</v>
      </c>
      <c r="X1323" s="13" t="n">
        <v>267</v>
      </c>
      <c r="Y1323" s="13" t="n">
        <v>31</v>
      </c>
      <c r="Z1323" s="13" t="n">
        <v>150</v>
      </c>
      <c r="AA1323" s="13" t="n">
        <v>0.546</v>
      </c>
      <c r="AB1323" s="13" t="n">
        <v>102</v>
      </c>
      <c r="AC1323" s="13" t="n">
        <v>73</v>
      </c>
      <c r="AD1323" s="13" t="n">
        <v>165</v>
      </c>
      <c r="AE1323" s="13" t="n">
        <v>6</v>
      </c>
      <c r="AF1323" s="13" t="n">
        <v>9.1</v>
      </c>
      <c r="AG1323" s="11" t="inlineStr">
        <is>
          <t xml:space="preserve"> Resort Freeride</t>
        </is>
      </c>
      <c r="AH1323" s="11" t="inlineStr">
        <is>
          <t xml:space="preserve"> Touring</t>
        </is>
      </c>
      <c r="AI1323" s="13" t="n"/>
      <c r="AJ1323" s="13" t="n"/>
      <c r="AK1323" s="42" t="n"/>
    </row>
    <row r="1324">
      <c r="E1324" s="40" t="inlineStr">
        <is>
          <t>21/22</t>
        </is>
      </c>
      <c r="F1324" s="10" t="inlineStr">
        <is>
          <t xml:space="preserve"> Scott</t>
        </is>
      </c>
      <c r="G1324" s="11" t="inlineStr">
        <is>
          <t>Scrapper 95</t>
        </is>
      </c>
      <c r="H1324" s="13" t="n">
        <v>184</v>
      </c>
      <c r="I1324" s="11" t="inlineStr">
        <is>
          <t xml:space="preserve"> Unisex</t>
        </is>
      </c>
      <c r="J1324" s="13" t="n">
        <v>184</v>
      </c>
      <c r="K1324" s="13" t="n">
        <v>182.4</v>
      </c>
      <c r="L1324" s="13" t="n">
        <v>141</v>
      </c>
      <c r="M1324" s="13" t="n">
        <v>166</v>
      </c>
      <c r="N1324" s="13" t="n">
        <v>133</v>
      </c>
      <c r="O1324" s="13" t="n">
        <v>95</v>
      </c>
      <c r="P1324" s="13" t="n">
        <v>121</v>
      </c>
      <c r="Q1324" s="13" t="n">
        <v>22.9</v>
      </c>
      <c r="R1324" s="13" t="n">
        <v>1583</v>
      </c>
      <c r="S1324" s="13" t="n">
        <v>1.2</v>
      </c>
      <c r="T1324" s="13" t="n">
        <v>1901</v>
      </c>
      <c r="U1324" s="13" t="n">
        <v>259</v>
      </c>
      <c r="V1324" s="13" t="n">
        <v>105</v>
      </c>
      <c r="W1324" s="13" t="n">
        <v>56</v>
      </c>
      <c r="X1324" s="13" t="n">
        <v>247</v>
      </c>
      <c r="Y1324" s="13" t="n">
        <v>33</v>
      </c>
      <c r="Z1324" s="13" t="n">
        <v>171</v>
      </c>
      <c r="AA1324" s="13" t="n">
        <v>0.589</v>
      </c>
      <c r="AB1324" s="13" t="n">
        <v>95</v>
      </c>
      <c r="AC1324" s="13" t="n">
        <v>74</v>
      </c>
      <c r="AD1324" s="13" t="n">
        <v>152</v>
      </c>
      <c r="AE1324" s="13" t="n">
        <v>7</v>
      </c>
      <c r="AF1324" s="13" t="n">
        <v>9.1</v>
      </c>
      <c r="AG1324" s="11" t="inlineStr">
        <is>
          <t xml:space="preserve"> Resort Freeride</t>
        </is>
      </c>
      <c r="AH1324" s="11" t="inlineStr">
        <is>
          <t xml:space="preserve"> Touring</t>
        </is>
      </c>
      <c r="AI1324" s="13" t="n"/>
      <c r="AJ1324" s="13" t="n"/>
      <c r="AK1324" s="42" t="n"/>
    </row>
    <row r="1325">
      <c r="E1325" s="40" t="inlineStr">
        <is>
          <t>21/22</t>
        </is>
      </c>
      <c r="F1325" s="10" t="inlineStr">
        <is>
          <t xml:space="preserve"> Scott</t>
        </is>
      </c>
      <c r="G1325" s="11" t="inlineStr">
        <is>
          <t>Scrapper 95 W</t>
        </is>
      </c>
      <c r="H1325" s="13" t="n">
        <v>160</v>
      </c>
      <c r="I1325" s="11" t="inlineStr">
        <is>
          <t xml:space="preserve"> Women's</t>
        </is>
      </c>
      <c r="J1325" s="13" t="n">
        <v>160</v>
      </c>
      <c r="K1325" s="13" t="n">
        <v>158.3</v>
      </c>
      <c r="L1325" s="13" t="n">
        <v>114</v>
      </c>
      <c r="M1325" s="13" t="n">
        <v>141</v>
      </c>
      <c r="N1325" s="13" t="n">
        <v>126</v>
      </c>
      <c r="O1325" s="13" t="n">
        <v>92</v>
      </c>
      <c r="P1325" s="13" t="n">
        <v>115</v>
      </c>
      <c r="Q1325" s="13" t="n">
        <v>18</v>
      </c>
      <c r="R1325" s="11" t="inlineStr">
        <is>
          <t xml:space="preserve"> None</t>
        </is>
      </c>
      <c r="S1325" s="11" t="inlineStr">
        <is>
          <t xml:space="preserve"> None</t>
        </is>
      </c>
      <c r="T1325" s="13" t="n">
        <v>1594</v>
      </c>
      <c r="U1325" s="13" t="n">
        <v>148</v>
      </c>
      <c r="V1325" s="13" t="n">
        <v>62</v>
      </c>
      <c r="W1325" s="13" t="n">
        <v>56</v>
      </c>
      <c r="X1325" s="13" t="n">
        <v>269</v>
      </c>
      <c r="Y1325" s="13" t="n">
        <v>33</v>
      </c>
      <c r="Z1325" s="13" t="n">
        <v>175</v>
      </c>
      <c r="AA1325" s="13" t="n">
        <v>0.594</v>
      </c>
      <c r="AB1325" s="13" t="n">
        <v>96</v>
      </c>
      <c r="AC1325" s="13" t="n">
        <v>74</v>
      </c>
      <c r="AD1325" s="13" t="n">
        <v>173</v>
      </c>
      <c r="AE1325" s="13" t="n">
        <v>4</v>
      </c>
      <c r="AF1325" s="13" t="n">
        <v>6.9</v>
      </c>
      <c r="AG1325" s="11" t="inlineStr">
        <is>
          <t xml:space="preserve"> Other</t>
        </is>
      </c>
      <c r="AH1325" s="13" t="n"/>
      <c r="AI1325" s="13" t="n"/>
      <c r="AJ1325" s="13" t="n"/>
      <c r="AK1325" s="42" t="n"/>
    </row>
    <row r="1326">
      <c r="E1326" s="40" t="inlineStr">
        <is>
          <t>21/22</t>
        </is>
      </c>
      <c r="F1326" s="10" t="inlineStr">
        <is>
          <t xml:space="preserve"> Scott</t>
        </is>
      </c>
      <c r="G1326" s="11" t="inlineStr">
        <is>
          <t>Scrapper 95 W</t>
        </is>
      </c>
      <c r="H1326" s="13" t="n">
        <v>168</v>
      </c>
      <c r="I1326" s="11" t="inlineStr">
        <is>
          <t xml:space="preserve"> Women's</t>
        </is>
      </c>
      <c r="J1326" s="13" t="n">
        <v>168</v>
      </c>
      <c r="K1326" s="13" t="n">
        <v>166.5</v>
      </c>
      <c r="L1326" s="13" t="n">
        <v>120</v>
      </c>
      <c r="M1326" s="13" t="n">
        <v>149</v>
      </c>
      <c r="N1326" s="13" t="n">
        <v>128</v>
      </c>
      <c r="O1326" s="13" t="n">
        <v>93</v>
      </c>
      <c r="P1326" s="13" t="n">
        <v>117</v>
      </c>
      <c r="Q1326" s="13" t="n">
        <v>19.6</v>
      </c>
      <c r="R1326" s="11" t="inlineStr">
        <is>
          <t xml:space="preserve"> None</t>
        </is>
      </c>
      <c r="S1326" s="11" t="inlineStr">
        <is>
          <t xml:space="preserve"> None</t>
        </is>
      </c>
      <c r="T1326" s="13" t="n">
        <v>1695</v>
      </c>
      <c r="U1326" s="13" t="n">
        <v>145</v>
      </c>
      <c r="V1326" s="13" t="n">
        <v>64</v>
      </c>
      <c r="W1326" s="13" t="n">
        <v>59</v>
      </c>
      <c r="X1326" s="13" t="n">
        <v>295</v>
      </c>
      <c r="Y1326" s="13" t="n">
        <v>34</v>
      </c>
      <c r="Z1326" s="13" t="n">
        <v>165</v>
      </c>
      <c r="AA1326" s="13" t="n">
        <v>0.578</v>
      </c>
      <c r="AB1326" s="13" t="n">
        <v>105</v>
      </c>
      <c r="AC1326" s="13" t="n">
        <v>75</v>
      </c>
      <c r="AD1326" s="13" t="n">
        <v>190</v>
      </c>
      <c r="AE1326" s="13" t="n">
        <v>5</v>
      </c>
      <c r="AF1326" s="13" t="n">
        <v>7</v>
      </c>
      <c r="AG1326" s="11" t="inlineStr">
        <is>
          <t xml:space="preserve"> Other</t>
        </is>
      </c>
      <c r="AH1326" s="13" t="n"/>
      <c r="AI1326" s="13" t="n"/>
      <c r="AJ1326" s="13" t="n"/>
      <c r="AK1326" s="42" t="n"/>
    </row>
    <row r="1327">
      <c r="E1327" s="40" t="inlineStr">
        <is>
          <t>21/22</t>
        </is>
      </c>
      <c r="F1327" s="10" t="inlineStr">
        <is>
          <t xml:space="preserve"> Scott</t>
        </is>
      </c>
      <c r="G1327" s="11" t="inlineStr">
        <is>
          <t>Slight 93</t>
        </is>
      </c>
      <c r="H1327" s="13" t="n">
        <v>170</v>
      </c>
      <c r="I1327" s="11" t="inlineStr">
        <is>
          <t xml:space="preserve"> Unisex</t>
        </is>
      </c>
      <c r="J1327" s="13" t="n">
        <v>170</v>
      </c>
      <c r="K1327" s="13" t="n">
        <v>168.5</v>
      </c>
      <c r="L1327" s="13" t="n">
        <v>128</v>
      </c>
      <c r="M1327" s="13" t="n">
        <v>149</v>
      </c>
      <c r="N1327" s="13" t="n">
        <v>134</v>
      </c>
      <c r="O1327" s="13" t="n">
        <v>90</v>
      </c>
      <c r="P1327" s="13" t="n">
        <v>121</v>
      </c>
      <c r="Q1327" s="13" t="n">
        <v>15.1</v>
      </c>
      <c r="R1327" s="13" t="n">
        <v>1472</v>
      </c>
      <c r="S1327" s="13" t="n">
        <v>1.19</v>
      </c>
      <c r="T1327" s="13" t="n">
        <v>1746</v>
      </c>
      <c r="U1327" s="13" t="n">
        <v>229</v>
      </c>
      <c r="V1327" s="13" t="n">
        <v>90</v>
      </c>
      <c r="W1327" s="13" t="n">
        <v>57</v>
      </c>
      <c r="X1327" s="13" t="n">
        <v>272</v>
      </c>
      <c r="Y1327" s="13" t="n">
        <v>21</v>
      </c>
      <c r="Z1327" s="13" t="n">
        <v>134</v>
      </c>
      <c r="AA1327" s="13" t="n">
        <v>0.362</v>
      </c>
      <c r="AB1327" s="13" t="n">
        <v>122</v>
      </c>
      <c r="AC1327" s="13" t="n">
        <v>73</v>
      </c>
      <c r="AD1327" s="13" t="n">
        <v>150</v>
      </c>
      <c r="AE1327" s="13" t="n">
        <v>4</v>
      </c>
      <c r="AF1327" s="13" t="n">
        <v>12.2</v>
      </c>
      <c r="AG1327" s="11" t="inlineStr">
        <is>
          <t xml:space="preserve"> Resort Freeride</t>
        </is>
      </c>
      <c r="AH1327" s="11" t="inlineStr">
        <is>
          <t xml:space="preserve"> Touring</t>
        </is>
      </c>
      <c r="AI1327" s="13" t="n"/>
      <c r="AJ1327" s="13" t="n"/>
      <c r="AK1327" s="42" t="n"/>
    </row>
    <row r="1328">
      <c r="E1328" s="40" t="inlineStr">
        <is>
          <t>21/22</t>
        </is>
      </c>
      <c r="F1328" s="10" t="inlineStr">
        <is>
          <t xml:space="preserve"> Scott</t>
        </is>
      </c>
      <c r="G1328" s="11" t="inlineStr">
        <is>
          <t>Slight 93</t>
        </is>
      </c>
      <c r="H1328" s="13" t="n">
        <v>180</v>
      </c>
      <c r="I1328" s="11" t="inlineStr">
        <is>
          <t xml:space="preserve"> Unisex</t>
        </is>
      </c>
      <c r="J1328" s="13" t="n">
        <v>180</v>
      </c>
      <c r="K1328" s="13" t="n">
        <v>178.5</v>
      </c>
      <c r="L1328" s="13" t="n">
        <v>139</v>
      </c>
      <c r="M1328" s="13" t="n">
        <v>157</v>
      </c>
      <c r="N1328" s="13" t="n">
        <v>137</v>
      </c>
      <c r="O1328" s="13" t="n">
        <v>94</v>
      </c>
      <c r="P1328" s="13" t="n">
        <v>124</v>
      </c>
      <c r="Q1328" s="13" t="n">
        <v>17</v>
      </c>
      <c r="R1328" s="13" t="n">
        <v>1609</v>
      </c>
      <c r="S1328" s="13" t="n">
        <v>1.19</v>
      </c>
      <c r="T1328" s="13" t="n">
        <v>1921</v>
      </c>
      <c r="U1328" s="13" t="n">
        <v>242</v>
      </c>
      <c r="V1328" s="13" t="n">
        <v>103</v>
      </c>
      <c r="W1328" s="13" t="n">
        <v>56</v>
      </c>
      <c r="X1328" s="13" t="n">
        <v>265</v>
      </c>
      <c r="Y1328" s="13" t="n">
        <v>19</v>
      </c>
      <c r="Z1328" s="13" t="n">
        <v>130</v>
      </c>
      <c r="AA1328" s="13" t="n">
        <v>0.338</v>
      </c>
      <c r="AB1328" s="13" t="n">
        <v>123</v>
      </c>
      <c r="AC1328" s="13" t="n">
        <v>88</v>
      </c>
      <c r="AD1328" s="13" t="n">
        <v>142</v>
      </c>
      <c r="AE1328" s="13" t="n">
        <v>6</v>
      </c>
      <c r="AF1328" s="13" t="n">
        <v>12.4</v>
      </c>
      <c r="AG1328" s="11" t="inlineStr">
        <is>
          <t xml:space="preserve"> Resort Freeride</t>
        </is>
      </c>
      <c r="AH1328" s="11" t="inlineStr">
        <is>
          <t xml:space="preserve"> Touring</t>
        </is>
      </c>
      <c r="AI1328" s="13" t="n"/>
      <c r="AJ1328" s="13" t="n"/>
      <c r="AK1328" s="42" t="n"/>
    </row>
    <row r="1329">
      <c r="E1329" s="40" t="inlineStr">
        <is>
          <t>21/22</t>
        </is>
      </c>
      <c r="F1329" s="10" t="inlineStr">
        <is>
          <t xml:space="preserve"> Scott</t>
        </is>
      </c>
      <c r="G1329" s="11" t="inlineStr">
        <is>
          <t>Superguide 88</t>
        </is>
      </c>
      <c r="H1329" s="13" t="n">
        <v>162</v>
      </c>
      <c r="I1329" s="11" t="inlineStr">
        <is>
          <t xml:space="preserve"> Unisex</t>
        </is>
      </c>
      <c r="J1329" s="13" t="n">
        <v>162</v>
      </c>
      <c r="K1329" s="13" t="n">
        <v>159.9</v>
      </c>
      <c r="L1329" s="13" t="n">
        <v>123</v>
      </c>
      <c r="M1329" s="13" t="n">
        <v>141</v>
      </c>
      <c r="N1329" s="13" t="n">
        <v>121</v>
      </c>
      <c r="O1329" s="13" t="n">
        <v>83</v>
      </c>
      <c r="P1329" s="13" t="n">
        <v>105</v>
      </c>
      <c r="Q1329" s="13" t="n">
        <v>16</v>
      </c>
      <c r="R1329" s="13" t="n">
        <v>1234</v>
      </c>
      <c r="S1329" s="13" t="n">
        <v>1.23</v>
      </c>
      <c r="T1329" s="13" t="n">
        <v>1519</v>
      </c>
      <c r="U1329" s="13" t="n">
        <v>190</v>
      </c>
      <c r="V1329" s="13" t="n">
        <v>65</v>
      </c>
      <c r="W1329" s="13" t="n">
        <v>57</v>
      </c>
      <c r="X1329" s="13" t="n">
        <v>266</v>
      </c>
      <c r="Y1329" s="13" t="n">
        <v>15</v>
      </c>
      <c r="Z1329" s="13" t="n">
        <v>106</v>
      </c>
      <c r="AA1329" s="13" t="n">
        <v>0.272</v>
      </c>
      <c r="AB1329" s="13" t="n">
        <v>106</v>
      </c>
      <c r="AC1329" s="13" t="n">
        <v>88</v>
      </c>
      <c r="AD1329" s="13" t="n">
        <v>160</v>
      </c>
      <c r="AE1329" s="13" t="n">
        <v>7</v>
      </c>
      <c r="AF1329" s="13" t="n">
        <v>11</v>
      </c>
      <c r="AG1329" s="11" t="inlineStr">
        <is>
          <t xml:space="preserve"> Resort Freeride</t>
        </is>
      </c>
      <c r="AH1329" s="11" t="inlineStr">
        <is>
          <t xml:space="preserve"> Touring</t>
        </is>
      </c>
      <c r="AI1329" s="13" t="n"/>
      <c r="AJ1329" s="13" t="n"/>
      <c r="AK1329" s="42" t="n"/>
    </row>
    <row r="1330">
      <c r="E1330" s="40" t="inlineStr">
        <is>
          <t>21/22</t>
        </is>
      </c>
      <c r="F1330" s="10" t="inlineStr">
        <is>
          <t xml:space="preserve"> Scott</t>
        </is>
      </c>
      <c r="G1330" s="11" t="inlineStr">
        <is>
          <t>Superguide 88</t>
        </is>
      </c>
      <c r="H1330" s="13" t="n">
        <v>170</v>
      </c>
      <c r="I1330" s="11" t="inlineStr">
        <is>
          <t xml:space="preserve"> Unisex</t>
        </is>
      </c>
      <c r="J1330" s="13" t="n">
        <v>170</v>
      </c>
      <c r="K1330" s="13" t="n">
        <v>167.7</v>
      </c>
      <c r="L1330" s="13" t="n">
        <v>131</v>
      </c>
      <c r="M1330" s="13" t="n">
        <v>148</v>
      </c>
      <c r="N1330" s="13" t="n">
        <v>123</v>
      </c>
      <c r="O1330" s="13" t="n">
        <v>85</v>
      </c>
      <c r="P1330" s="13" t="n">
        <v>108</v>
      </c>
      <c r="Q1330" s="13" t="n">
        <v>17.7</v>
      </c>
      <c r="R1330" s="13" t="n">
        <v>1317</v>
      </c>
      <c r="S1330" s="13" t="n">
        <v>1.23</v>
      </c>
      <c r="T1330" s="13" t="n">
        <v>1624</v>
      </c>
      <c r="U1330" s="13" t="n">
        <v>252</v>
      </c>
      <c r="V1330" s="13" t="n">
        <v>90</v>
      </c>
      <c r="W1330" s="13" t="n">
        <v>56</v>
      </c>
      <c r="X1330" s="13" t="n">
        <v>270</v>
      </c>
      <c r="Y1330" s="13" t="n">
        <v>14</v>
      </c>
      <c r="Z1330" s="13" t="n">
        <v>100</v>
      </c>
      <c r="AA1330" s="13" t="n">
        <v>0.25</v>
      </c>
      <c r="AB1330" s="13" t="n">
        <v>116</v>
      </c>
      <c r="AC1330" s="13" t="n">
        <v>79</v>
      </c>
      <c r="AD1330" s="13" t="n">
        <v>154</v>
      </c>
      <c r="AE1330" s="13" t="n">
        <v>8</v>
      </c>
      <c r="AF1330" s="13" t="n">
        <v>11.2</v>
      </c>
      <c r="AG1330" s="11" t="inlineStr">
        <is>
          <t xml:space="preserve"> Resort Freeride</t>
        </is>
      </c>
      <c r="AH1330" s="11" t="inlineStr">
        <is>
          <t xml:space="preserve"> Touring</t>
        </is>
      </c>
      <c r="AI1330" s="13" t="n"/>
      <c r="AJ1330" s="13" t="n"/>
      <c r="AK1330" s="42" t="n"/>
    </row>
    <row r="1331">
      <c r="E1331" s="40" t="inlineStr">
        <is>
          <t>21/22</t>
        </is>
      </c>
      <c r="F1331" s="10" t="inlineStr">
        <is>
          <t xml:space="preserve"> Scott</t>
        </is>
      </c>
      <c r="G1331" s="11" t="inlineStr">
        <is>
          <t>Superguide 88</t>
        </is>
      </c>
      <c r="H1331" s="13" t="n">
        <v>178</v>
      </c>
      <c r="I1331" s="11" t="inlineStr">
        <is>
          <t xml:space="preserve"> Unisex</t>
        </is>
      </c>
      <c r="J1331" s="13" t="n">
        <v>178</v>
      </c>
      <c r="K1331" s="13" t="n">
        <v>176.9</v>
      </c>
      <c r="L1331" s="13" t="n">
        <v>136</v>
      </c>
      <c r="M1331" s="13" t="n">
        <v>157</v>
      </c>
      <c r="N1331" s="13" t="n">
        <v>125</v>
      </c>
      <c r="O1331" s="13" t="n">
        <v>88</v>
      </c>
      <c r="P1331" s="13" t="n">
        <v>110</v>
      </c>
      <c r="Q1331" s="13" t="n">
        <v>19.2</v>
      </c>
      <c r="R1331" s="13" t="n">
        <v>1470</v>
      </c>
      <c r="S1331" s="13" t="n">
        <v>1.19</v>
      </c>
      <c r="T1331" s="13" t="n">
        <v>1753</v>
      </c>
      <c r="U1331" s="13" t="n">
        <v>301</v>
      </c>
      <c r="V1331" s="13" t="n">
        <v>112</v>
      </c>
      <c r="W1331" s="13" t="n">
        <v>55</v>
      </c>
      <c r="X1331" s="13" t="n">
        <v>272</v>
      </c>
      <c r="Y1331" s="13" t="n">
        <v>18</v>
      </c>
      <c r="Z1331" s="13" t="n">
        <v>139</v>
      </c>
      <c r="AA1331" s="13" t="n">
        <v>0.322</v>
      </c>
      <c r="AB1331" s="13" t="n">
        <v>112</v>
      </c>
      <c r="AC1331" s="13" t="n">
        <v>87</v>
      </c>
      <c r="AD1331" s="13" t="n">
        <v>159</v>
      </c>
      <c r="AE1331" s="13" t="n">
        <v>5</v>
      </c>
      <c r="AF1331" s="13" t="n">
        <v>10.8</v>
      </c>
      <c r="AG1331" s="11" t="inlineStr">
        <is>
          <t xml:space="preserve"> Resort Freeride</t>
        </is>
      </c>
      <c r="AH1331" s="11" t="inlineStr">
        <is>
          <t xml:space="preserve"> Touring</t>
        </is>
      </c>
      <c r="AI1331" s="13" t="n"/>
      <c r="AJ1331" s="13" t="n"/>
      <c r="AK1331" s="42" t="n"/>
    </row>
    <row r="1332">
      <c r="E1332" s="40" t="inlineStr">
        <is>
          <t>21/22</t>
        </is>
      </c>
      <c r="F1332" s="10" t="inlineStr">
        <is>
          <t xml:space="preserve"> Scott</t>
        </is>
      </c>
      <c r="G1332" s="11" t="inlineStr">
        <is>
          <t>Superguide 88 W</t>
        </is>
      </c>
      <c r="H1332" s="13" t="n">
        <v>152</v>
      </c>
      <c r="I1332" s="11" t="inlineStr">
        <is>
          <t xml:space="preserve"> Women's</t>
        </is>
      </c>
      <c r="J1332" s="13" t="n">
        <v>152</v>
      </c>
      <c r="K1332" s="13" t="n">
        <v>150.8</v>
      </c>
      <c r="L1332" s="13" t="n">
        <v>111</v>
      </c>
      <c r="M1332" s="13" t="n">
        <v>133</v>
      </c>
      <c r="N1332" s="13" t="n">
        <v>120</v>
      </c>
      <c r="O1332" s="13" t="n">
        <v>82</v>
      </c>
      <c r="P1332" s="13" t="n">
        <v>105</v>
      </c>
      <c r="Q1332" s="13" t="n">
        <v>14.6</v>
      </c>
      <c r="R1332" s="13" t="n">
        <v>1093</v>
      </c>
      <c r="S1332" s="13" t="n">
        <v>1.29</v>
      </c>
      <c r="T1332" s="13" t="n">
        <v>1414</v>
      </c>
      <c r="U1332" s="13" t="n">
        <v>145</v>
      </c>
      <c r="V1332" s="13" t="n">
        <v>54</v>
      </c>
      <c r="W1332" s="13" t="n">
        <v>58</v>
      </c>
      <c r="X1332" s="13" t="n">
        <v>286</v>
      </c>
      <c r="Y1332" s="13" t="n">
        <v>15</v>
      </c>
      <c r="Z1332" s="13" t="n">
        <v>107</v>
      </c>
      <c r="AA1332" s="13" t="n">
        <v>0.257</v>
      </c>
      <c r="AB1332" s="13" t="n">
        <v>104</v>
      </c>
      <c r="AC1332" s="13" t="n">
        <v>76</v>
      </c>
      <c r="AD1332" s="13" t="n">
        <v>183</v>
      </c>
      <c r="AE1332" s="13" t="n">
        <v>5</v>
      </c>
      <c r="AF1332" s="13" t="n">
        <v>11</v>
      </c>
      <c r="AG1332" s="11" t="inlineStr">
        <is>
          <t xml:space="preserve"> Touring</t>
        </is>
      </c>
      <c r="AH1332" s="11" t="inlineStr">
        <is>
          <t xml:space="preserve"> Ultralight Touring</t>
        </is>
      </c>
      <c r="AI1332" s="13" t="n"/>
      <c r="AJ1332" s="13" t="n"/>
      <c r="AK1332" s="42" t="n"/>
    </row>
    <row r="1333">
      <c r="E1333" s="40" t="inlineStr">
        <is>
          <t>21/22</t>
        </is>
      </c>
      <c r="F1333" s="10" t="inlineStr">
        <is>
          <t xml:space="preserve"> Scott</t>
        </is>
      </c>
      <c r="G1333" s="11" t="inlineStr">
        <is>
          <t>Superguide 95 W</t>
        </is>
      </c>
      <c r="H1333" s="13" t="n">
        <v>160</v>
      </c>
      <c r="I1333" s="11" t="inlineStr">
        <is>
          <t xml:space="preserve"> Women's</t>
        </is>
      </c>
      <c r="J1333" s="13" t="n">
        <v>160</v>
      </c>
      <c r="K1333" s="13" t="n">
        <v>160.8</v>
      </c>
      <c r="L1333" s="13" t="n">
        <v>120</v>
      </c>
      <c r="M1333" s="13" t="n">
        <v>142</v>
      </c>
      <c r="N1333" s="13" t="n">
        <v>128</v>
      </c>
      <c r="O1333" s="13" t="n">
        <v>92</v>
      </c>
      <c r="P1333" s="13" t="n">
        <v>112</v>
      </c>
      <c r="Q1333" s="13" t="n">
        <v>17.7</v>
      </c>
      <c r="R1333" s="13" t="n">
        <v>1301</v>
      </c>
      <c r="S1333" s="13" t="n">
        <v>1.27</v>
      </c>
      <c r="T1333" s="13" t="n">
        <v>1656</v>
      </c>
      <c r="U1333" s="13" t="n">
        <v>231</v>
      </c>
      <c r="V1333" s="13" t="n">
        <v>91</v>
      </c>
      <c r="W1333" s="13" t="n">
        <v>59</v>
      </c>
      <c r="X1333" s="13" t="n">
        <v>288</v>
      </c>
      <c r="Y1333" s="13" t="n">
        <v>18</v>
      </c>
      <c r="Z1333" s="13" t="n">
        <v>121</v>
      </c>
      <c r="AA1333" s="13" t="n">
        <v>0.312</v>
      </c>
      <c r="AB1333" s="13" t="n">
        <v>109</v>
      </c>
      <c r="AC1333" s="13" t="n">
        <v>81</v>
      </c>
      <c r="AD1333" s="13" t="n">
        <v>179</v>
      </c>
      <c r="AE1333" s="13" t="n">
        <v>4</v>
      </c>
      <c r="AF1333" s="13" t="n">
        <v>12.7</v>
      </c>
      <c r="AG1333" s="11" t="inlineStr">
        <is>
          <t xml:space="preserve"> Resort Freeride</t>
        </is>
      </c>
      <c r="AH1333" s="11" t="inlineStr">
        <is>
          <t xml:space="preserve"> Touring</t>
        </is>
      </c>
      <c r="AI1333" s="11" t="inlineStr">
        <is>
          <t xml:space="preserve"> Ultralight Touring</t>
        </is>
      </c>
      <c r="AJ1333" s="13" t="n"/>
      <c r="AK1333" s="42" t="n"/>
    </row>
    <row r="1334">
      <c r="E1334" s="40" t="inlineStr">
        <is>
          <t>21/22</t>
        </is>
      </c>
      <c r="F1334" s="10" t="inlineStr">
        <is>
          <t xml:space="preserve"> Stöckli</t>
        </is>
      </c>
      <c r="G1334" s="11" t="inlineStr">
        <is>
          <t>Edge 88</t>
        </is>
      </c>
      <c r="H1334" s="13" t="n">
        <v>165</v>
      </c>
      <c r="I1334" s="11" t="inlineStr">
        <is>
          <t xml:space="preserve"> Unisex</t>
        </is>
      </c>
      <c r="J1334" s="13" t="n">
        <v>165</v>
      </c>
      <c r="K1334" s="13" t="n">
        <v>164.2</v>
      </c>
      <c r="L1334" s="13" t="n">
        <v>137</v>
      </c>
      <c r="M1334" s="13" t="n">
        <v>144</v>
      </c>
      <c r="N1334" s="13" t="n">
        <v>123</v>
      </c>
      <c r="O1334" s="13" t="n">
        <v>87</v>
      </c>
      <c r="P1334" s="13" t="n">
        <v>111</v>
      </c>
      <c r="Q1334" s="13" t="n">
        <v>17.1</v>
      </c>
      <c r="R1334" s="13" t="n">
        <v>1478</v>
      </c>
      <c r="S1334" s="13" t="n">
        <v>1.09</v>
      </c>
      <c r="T1334" s="13" t="n">
        <v>1613</v>
      </c>
      <c r="U1334" s="13" t="n">
        <v>146</v>
      </c>
      <c r="V1334" s="13" t="n">
        <v>80</v>
      </c>
      <c r="W1334" s="13" t="n">
        <v>40</v>
      </c>
      <c r="X1334" s="13" t="n">
        <v>195</v>
      </c>
      <c r="Y1334" s="13" t="n">
        <v>9</v>
      </c>
      <c r="Z1334" s="13" t="n">
        <v>73</v>
      </c>
      <c r="AA1334" s="13" t="n">
        <v>0.223</v>
      </c>
      <c r="AB1334" s="13" t="n">
        <v>140</v>
      </c>
      <c r="AC1334" s="13" t="n">
        <v>59</v>
      </c>
      <c r="AD1334" s="13" t="n">
        <v>56</v>
      </c>
      <c r="AE1334" s="13" t="n">
        <v>8</v>
      </c>
      <c r="AF1334" s="13" t="n">
        <v>13.4</v>
      </c>
      <c r="AG1334" s="11" t="inlineStr">
        <is>
          <t xml:space="preserve"> Resort Freeride</t>
        </is>
      </c>
      <c r="AH1334" s="11" t="inlineStr">
        <is>
          <t xml:space="preserve"> Touring</t>
        </is>
      </c>
      <c r="AI1334" s="13" t="n"/>
      <c r="AJ1334" s="13" t="n"/>
      <c r="AK1334" s="42" t="n"/>
    </row>
    <row r="1335">
      <c r="E1335" s="40" t="inlineStr">
        <is>
          <t>21/22</t>
        </is>
      </c>
      <c r="F1335" s="10" t="inlineStr">
        <is>
          <t xml:space="preserve"> Stöckli</t>
        </is>
      </c>
      <c r="G1335" s="11" t="inlineStr">
        <is>
          <t>Edge 88</t>
        </is>
      </c>
      <c r="H1335" s="13" t="n">
        <v>174</v>
      </c>
      <c r="I1335" s="11" t="inlineStr">
        <is>
          <t xml:space="preserve"> Unisex</t>
        </is>
      </c>
      <c r="J1335" s="13" t="n">
        <v>174</v>
      </c>
      <c r="K1335" s="13" t="n">
        <v>173.1</v>
      </c>
      <c r="L1335" s="13" t="n">
        <v>145</v>
      </c>
      <c r="M1335" s="13" t="n">
        <v>153</v>
      </c>
      <c r="N1335" s="13" t="n">
        <v>123</v>
      </c>
      <c r="O1335" s="13" t="n">
        <v>87</v>
      </c>
      <c r="P1335" s="13" t="n">
        <v>110</v>
      </c>
      <c r="Q1335" s="13" t="n">
        <v>19.1</v>
      </c>
      <c r="R1335" s="13" t="n">
        <v>1613</v>
      </c>
      <c r="S1335" s="13" t="n">
        <v>1.05</v>
      </c>
      <c r="T1335" s="13" t="n">
        <v>1697</v>
      </c>
      <c r="U1335" s="13" t="n">
        <v>206</v>
      </c>
      <c r="V1335" s="13" t="n">
        <v>106</v>
      </c>
      <c r="W1335" s="13" t="n">
        <v>44</v>
      </c>
      <c r="X1335" s="13" t="n">
        <v>204</v>
      </c>
      <c r="Y1335" s="13" t="n">
        <v>8</v>
      </c>
      <c r="Z1335" s="13" t="n">
        <v>74</v>
      </c>
      <c r="AA1335" s="13" t="n">
        <v>0.186</v>
      </c>
      <c r="AB1335" s="13" t="n">
        <v>141</v>
      </c>
      <c r="AC1335" s="13" t="n">
        <v>59</v>
      </c>
      <c r="AD1335" s="13" t="n">
        <v>63</v>
      </c>
      <c r="AE1335" s="13" t="n">
        <v>7</v>
      </c>
      <c r="AF1335" s="13" t="n">
        <v>13.5</v>
      </c>
      <c r="AG1335" s="11" t="inlineStr">
        <is>
          <t xml:space="preserve"> Resort Freeride</t>
        </is>
      </c>
      <c r="AH1335" s="11" t="inlineStr">
        <is>
          <t xml:space="preserve"> Touring</t>
        </is>
      </c>
      <c r="AI1335" s="13" t="n"/>
      <c r="AJ1335" s="13" t="n"/>
      <c r="AK1335" s="42" t="n"/>
    </row>
    <row r="1336">
      <c r="E1336" s="40" t="inlineStr">
        <is>
          <t>21/22</t>
        </is>
      </c>
      <c r="F1336" s="10" t="inlineStr">
        <is>
          <t xml:space="preserve"> Stöckli</t>
        </is>
      </c>
      <c r="G1336" s="11" t="inlineStr">
        <is>
          <t xml:space="preserve"> Edge FT</t>
        </is>
      </c>
      <c r="H1336" s="13" t="n">
        <v>167</v>
      </c>
      <c r="I1336" s="11" t="inlineStr">
        <is>
          <t xml:space="preserve"> Unisex</t>
        </is>
      </c>
      <c r="J1336" s="13" t="n">
        <v>167</v>
      </c>
      <c r="K1336" s="13" t="n">
        <v>166.2</v>
      </c>
      <c r="L1336" s="13" t="n">
        <v>139</v>
      </c>
      <c r="M1336" s="13" t="n">
        <v>144</v>
      </c>
      <c r="N1336" s="13" t="n">
        <v>127</v>
      </c>
      <c r="O1336" s="13" t="n">
        <v>91</v>
      </c>
      <c r="P1336" s="13" t="n">
        <v>117</v>
      </c>
      <c r="Q1336" s="13" t="n">
        <v>16.1</v>
      </c>
      <c r="R1336" s="13" t="n">
        <v>1544</v>
      </c>
      <c r="S1336" s="13" t="n">
        <v>1.11</v>
      </c>
      <c r="T1336" s="13" t="n">
        <v>1714</v>
      </c>
      <c r="U1336" s="13" t="n">
        <v>164</v>
      </c>
      <c r="V1336" s="13" t="n">
        <v>88</v>
      </c>
      <c r="W1336" s="13" t="n">
        <v>44</v>
      </c>
      <c r="X1336" s="13" t="n">
        <v>201</v>
      </c>
      <c r="Y1336" s="13" t="n">
        <v>9</v>
      </c>
      <c r="Z1336" s="13" t="n">
        <v>75</v>
      </c>
      <c r="AA1336" s="13" t="n">
        <v>0.198</v>
      </c>
      <c r="AB1336" s="13" t="n">
        <v>168</v>
      </c>
      <c r="AC1336" s="13" t="n">
        <v>54</v>
      </c>
      <c r="AD1336" s="13" t="n">
        <v>33</v>
      </c>
      <c r="AE1336" s="13" t="n">
        <v>6</v>
      </c>
      <c r="AF1336" s="13" t="n">
        <v>13.3</v>
      </c>
      <c r="AG1336" s="11" t="inlineStr">
        <is>
          <t xml:space="preserve"> Resort Freeride</t>
        </is>
      </c>
      <c r="AH1336" s="11" t="inlineStr">
        <is>
          <t xml:space="preserve"> Touring</t>
        </is>
      </c>
      <c r="AI1336" s="13" t="n"/>
      <c r="AJ1336" s="13" t="n"/>
      <c r="AK1336" s="42" t="n"/>
    </row>
    <row r="1337">
      <c r="E1337" s="40" t="inlineStr">
        <is>
          <t>21/22</t>
        </is>
      </c>
      <c r="F1337" s="10" t="inlineStr">
        <is>
          <t xml:space="preserve"> Stöckli</t>
        </is>
      </c>
      <c r="G1337" s="11" t="inlineStr">
        <is>
          <t xml:space="preserve"> Laser AR</t>
        </is>
      </c>
      <c r="H1337" s="13" t="n">
        <v>175</v>
      </c>
      <c r="I1337" s="11" t="inlineStr">
        <is>
          <t xml:space="preserve"> Unisex</t>
        </is>
      </c>
      <c r="J1337" s="13" t="n">
        <v>175</v>
      </c>
      <c r="K1337" s="13" t="n">
        <v>174.2</v>
      </c>
      <c r="L1337" s="13" t="n">
        <v>149</v>
      </c>
      <c r="M1337" s="13" t="n">
        <v>159</v>
      </c>
      <c r="N1337" s="13" t="n">
        <v>130</v>
      </c>
      <c r="O1337" s="13" t="n">
        <v>82</v>
      </c>
      <c r="P1337" s="13" t="n">
        <v>112</v>
      </c>
      <c r="Q1337" s="13" t="n">
        <v>16.2</v>
      </c>
      <c r="R1337" s="13" t="n">
        <v>1927</v>
      </c>
      <c r="S1337" s="13" t="n">
        <v>0.87</v>
      </c>
      <c r="T1337" s="13" t="n">
        <v>1679</v>
      </c>
      <c r="U1337" s="13" t="n">
        <v>220</v>
      </c>
      <c r="V1337" s="13" t="n">
        <v>128</v>
      </c>
      <c r="W1337" s="13" t="n">
        <v>42</v>
      </c>
      <c r="X1337" s="13" t="n">
        <v>185</v>
      </c>
      <c r="Y1337" s="13" t="n">
        <v>5</v>
      </c>
      <c r="Z1337" s="13" t="n">
        <v>64</v>
      </c>
      <c r="AA1337" s="13" t="n">
        <v>0.114</v>
      </c>
      <c r="AB1337" s="13" t="n">
        <v>97</v>
      </c>
      <c r="AC1337" s="13" t="n">
        <v>54</v>
      </c>
      <c r="AD1337" s="13" t="n">
        <v>88</v>
      </c>
      <c r="AE1337" s="13" t="n">
        <v>9</v>
      </c>
      <c r="AF1337" s="13" t="n">
        <v>14.4</v>
      </c>
      <c r="AG1337" s="11" t="inlineStr">
        <is>
          <t xml:space="preserve"> On-Piste Carving</t>
        </is>
      </c>
      <c r="AH1337" s="11" t="inlineStr">
        <is>
          <t xml:space="preserve"> Resort Freeride</t>
        </is>
      </c>
      <c r="AI1337" s="13" t="n"/>
      <c r="AJ1337" s="13" t="n"/>
      <c r="AK1337" s="42" t="n"/>
    </row>
    <row r="1338">
      <c r="E1338" s="40" t="inlineStr">
        <is>
          <t>21/22</t>
        </is>
      </c>
      <c r="F1338" s="10" t="inlineStr">
        <is>
          <t xml:space="preserve"> Stöckli</t>
        </is>
      </c>
      <c r="G1338" s="11" t="inlineStr">
        <is>
          <t xml:space="preserve"> Laser SC</t>
        </is>
      </c>
      <c r="H1338" s="13" t="n">
        <v>156</v>
      </c>
      <c r="I1338" s="11" t="inlineStr">
        <is>
          <t xml:space="preserve"> Unisex</t>
        </is>
      </c>
      <c r="J1338" s="13" t="n">
        <v>156</v>
      </c>
      <c r="K1338" s="13" t="n">
        <v>154.8</v>
      </c>
      <c r="L1338" s="13" t="n">
        <v>134</v>
      </c>
      <c r="M1338" s="13" t="n">
        <v>142</v>
      </c>
      <c r="N1338" s="13" t="n">
        <v>122</v>
      </c>
      <c r="O1338" s="13" t="n">
        <v>71</v>
      </c>
      <c r="P1338" s="13" t="n">
        <v>103</v>
      </c>
      <c r="Q1338" s="13" t="n">
        <v>12.1</v>
      </c>
      <c r="R1338" s="13" t="n">
        <v>1577</v>
      </c>
      <c r="S1338" s="13" t="n">
        <v>0.85</v>
      </c>
      <c r="T1338" s="13" t="n">
        <v>1343</v>
      </c>
      <c r="U1338" s="13" t="n">
        <v>160</v>
      </c>
      <c r="V1338" s="13" t="n">
        <v>92</v>
      </c>
      <c r="W1338" s="13" t="n">
        <v>42</v>
      </c>
      <c r="X1338" s="13" t="n">
        <v>151</v>
      </c>
      <c r="Y1338" s="13" t="n">
        <v>6</v>
      </c>
      <c r="Z1338" s="13" t="n">
        <v>57</v>
      </c>
      <c r="AA1338" s="13" t="n">
        <v>0.135</v>
      </c>
      <c r="AB1338" s="13" t="n">
        <v>75</v>
      </c>
      <c r="AC1338" s="13" t="n">
        <v>55</v>
      </c>
      <c r="AD1338" s="13" t="n">
        <v>77</v>
      </c>
      <c r="AE1338" s="13" t="n">
        <v>7</v>
      </c>
      <c r="AF1338" s="13" t="n">
        <v>12.1</v>
      </c>
      <c r="AG1338" s="11" t="inlineStr">
        <is>
          <t xml:space="preserve"> On-Piste Carving</t>
        </is>
      </c>
      <c r="AH1338" s="13" t="n"/>
      <c r="AI1338" s="13" t="n"/>
      <c r="AJ1338" s="13" t="n"/>
      <c r="AK1338" s="42" t="n"/>
    </row>
    <row r="1339">
      <c r="E1339" s="40" t="inlineStr">
        <is>
          <t>21/22</t>
        </is>
      </c>
      <c r="F1339" s="10" t="inlineStr">
        <is>
          <t xml:space="preserve"> Stöckli</t>
        </is>
      </c>
      <c r="G1339" s="11" t="inlineStr">
        <is>
          <t xml:space="preserve"> Laser SC</t>
        </is>
      </c>
      <c r="H1339" s="13" t="n">
        <v>170</v>
      </c>
      <c r="I1339" s="11" t="inlineStr">
        <is>
          <t xml:space="preserve"> Unisex</t>
        </is>
      </c>
      <c r="J1339" s="13" t="n">
        <v>170</v>
      </c>
      <c r="K1339" s="13" t="n">
        <v>168.7</v>
      </c>
      <c r="L1339" s="13" t="n">
        <v>148</v>
      </c>
      <c r="M1339" s="13" t="n">
        <v>156</v>
      </c>
      <c r="N1339" s="13" t="n">
        <v>122</v>
      </c>
      <c r="O1339" s="13" t="n">
        <v>71</v>
      </c>
      <c r="P1339" s="13" t="n">
        <v>103</v>
      </c>
      <c r="Q1339" s="13" t="n">
        <v>14.7</v>
      </c>
      <c r="R1339" s="13" t="n">
        <v>1818</v>
      </c>
      <c r="S1339" s="13" t="n">
        <v>0.8</v>
      </c>
      <c r="T1339" s="13" t="n">
        <v>1463</v>
      </c>
      <c r="U1339" s="13" t="n">
        <v>206</v>
      </c>
      <c r="V1339" s="13" t="n">
        <v>114</v>
      </c>
      <c r="W1339" s="13" t="n">
        <v>39</v>
      </c>
      <c r="X1339" s="13" t="n">
        <v>146</v>
      </c>
      <c r="Y1339" s="13" t="n">
        <v>6</v>
      </c>
      <c r="Z1339" s="13" t="n">
        <v>61</v>
      </c>
      <c r="AA1339" s="13" t="n">
        <v>0.142</v>
      </c>
      <c r="AB1339" s="13" t="n">
        <v>72</v>
      </c>
      <c r="AC1339" s="13" t="n">
        <v>57</v>
      </c>
      <c r="AD1339" s="13" t="n">
        <v>74</v>
      </c>
      <c r="AE1339" s="13" t="n">
        <v>8</v>
      </c>
      <c r="AF1339" s="13" t="n">
        <v>12.2</v>
      </c>
      <c r="AG1339" s="11" t="inlineStr">
        <is>
          <t xml:space="preserve"> On-Piste Carving</t>
        </is>
      </c>
      <c r="AH1339" s="13" t="n"/>
      <c r="AI1339" s="13" t="n"/>
      <c r="AJ1339" s="13" t="n"/>
      <c r="AK1339" s="42" t="n"/>
    </row>
    <row r="1340">
      <c r="E1340" s="40" t="inlineStr">
        <is>
          <t>21/22</t>
        </is>
      </c>
      <c r="F1340" s="10" t="inlineStr">
        <is>
          <t xml:space="preserve"> Stöckli</t>
        </is>
      </c>
      <c r="G1340" s="11" t="inlineStr">
        <is>
          <t xml:space="preserve"> Laser SC Orea</t>
        </is>
      </c>
      <c r="H1340" s="13" t="n">
        <v>163</v>
      </c>
      <c r="I1340" s="11" t="inlineStr">
        <is>
          <t xml:space="preserve"> Unisex</t>
        </is>
      </c>
      <c r="J1340" s="13" t="n">
        <v>163</v>
      </c>
      <c r="K1340" s="13" t="n">
        <v>162</v>
      </c>
      <c r="L1340" s="13" t="n">
        <v>141</v>
      </c>
      <c r="M1340" s="13" t="n">
        <v>148</v>
      </c>
      <c r="N1340" s="13" t="n">
        <v>122</v>
      </c>
      <c r="O1340" s="13" t="n">
        <v>72</v>
      </c>
      <c r="P1340" s="13" t="n">
        <v>103</v>
      </c>
      <c r="Q1340" s="13" t="n">
        <v>13.5</v>
      </c>
      <c r="R1340" s="13" t="n">
        <v>1671</v>
      </c>
      <c r="S1340" s="13" t="n">
        <v>0.84</v>
      </c>
      <c r="T1340" s="13" t="n">
        <v>1405</v>
      </c>
      <c r="U1340" s="13" t="n">
        <v>170</v>
      </c>
      <c r="V1340" s="13" t="n">
        <v>106</v>
      </c>
      <c r="W1340" s="13" t="n">
        <v>40</v>
      </c>
      <c r="X1340" s="13" t="n">
        <v>144</v>
      </c>
      <c r="Y1340" s="13" t="n">
        <v>7</v>
      </c>
      <c r="Z1340" s="13" t="n">
        <v>66</v>
      </c>
      <c r="AA1340" s="13" t="n">
        <v>0.179</v>
      </c>
      <c r="AB1340" s="13" t="n">
        <v>78</v>
      </c>
      <c r="AC1340" s="13" t="n">
        <v>57</v>
      </c>
      <c r="AD1340" s="13" t="n">
        <v>66</v>
      </c>
      <c r="AE1340" s="13" t="n">
        <v>8</v>
      </c>
      <c r="AF1340" s="13" t="n">
        <v>12.1</v>
      </c>
      <c r="AG1340" s="11" t="inlineStr">
        <is>
          <t xml:space="preserve"> On-Piste Carving</t>
        </is>
      </c>
      <c r="AH1340" s="13" t="n"/>
      <c r="AI1340" s="13" t="n"/>
      <c r="AJ1340" s="13" t="n"/>
      <c r="AK1340" s="42" t="n"/>
    </row>
    <row r="1341">
      <c r="E1341" s="40" t="inlineStr">
        <is>
          <t>21/22</t>
        </is>
      </c>
      <c r="F1341" s="10" t="inlineStr">
        <is>
          <t xml:space="preserve"> Stöckli</t>
        </is>
      </c>
      <c r="G1341" s="11" t="inlineStr">
        <is>
          <t xml:space="preserve"> Laser SC Orea</t>
        </is>
      </c>
      <c r="H1341" s="13" t="n">
        <v>170</v>
      </c>
      <c r="I1341" s="11" t="inlineStr">
        <is>
          <t xml:space="preserve"> Unisex</t>
        </is>
      </c>
      <c r="J1341" s="13" t="n">
        <v>170</v>
      </c>
      <c r="K1341" s="13" t="n">
        <v>169.2</v>
      </c>
      <c r="L1341" s="13" t="n">
        <v>149</v>
      </c>
      <c r="M1341" s="13" t="n">
        <v>156</v>
      </c>
      <c r="N1341" s="13" t="n">
        <v>122</v>
      </c>
      <c r="O1341" s="13" t="n">
        <v>72</v>
      </c>
      <c r="P1341" s="13" t="n">
        <v>103</v>
      </c>
      <c r="Q1341" s="13" t="n">
        <v>14.8</v>
      </c>
      <c r="R1341" s="13" t="n">
        <v>1751</v>
      </c>
      <c r="S1341" s="13" t="n">
        <v>0.84</v>
      </c>
      <c r="T1341" s="13" t="n">
        <v>1467</v>
      </c>
      <c r="U1341" s="13" t="n">
        <v>200</v>
      </c>
      <c r="V1341" s="13" t="n">
        <v>110</v>
      </c>
      <c r="W1341" s="13" t="n">
        <v>39</v>
      </c>
      <c r="X1341" s="13" t="n">
        <v>140</v>
      </c>
      <c r="Y1341" s="13" t="n">
        <v>6</v>
      </c>
      <c r="Z1341" s="13" t="n">
        <v>61</v>
      </c>
      <c r="AA1341" s="13" t="n">
        <v>0.157</v>
      </c>
      <c r="AB1341" s="13" t="n">
        <v>73</v>
      </c>
      <c r="AC1341" s="13" t="n">
        <v>59</v>
      </c>
      <c r="AD1341" s="13" t="n">
        <v>68</v>
      </c>
      <c r="AE1341" s="13" t="n">
        <v>10</v>
      </c>
      <c r="AF1341" s="13" t="n">
        <v>13.9</v>
      </c>
      <c r="AG1341" s="11" t="inlineStr">
        <is>
          <t xml:space="preserve"> On-Piste Carving</t>
        </is>
      </c>
      <c r="AH1341" s="13" t="n"/>
      <c r="AI1341" s="13" t="n"/>
      <c r="AJ1341" s="13" t="n"/>
      <c r="AK1341" s="42" t="n"/>
    </row>
    <row r="1342">
      <c r="E1342" s="40" t="inlineStr">
        <is>
          <t>21/22</t>
        </is>
      </c>
      <c r="F1342" s="10" t="inlineStr">
        <is>
          <t xml:space="preserve"> Stöckli</t>
        </is>
      </c>
      <c r="G1342" s="11" t="inlineStr">
        <is>
          <t xml:space="preserve"> Laser SL</t>
        </is>
      </c>
      <c r="H1342" s="13" t="n">
        <v>160</v>
      </c>
      <c r="I1342" s="11" t="inlineStr">
        <is>
          <t xml:space="preserve"> Unisex</t>
        </is>
      </c>
      <c r="J1342" s="13" t="n">
        <v>160</v>
      </c>
      <c r="K1342" s="13" t="n">
        <v>159.1</v>
      </c>
      <c r="L1342" s="13" t="n">
        <v>137</v>
      </c>
      <c r="M1342" s="13" t="n">
        <v>147</v>
      </c>
      <c r="N1342" s="13" t="n">
        <v>119</v>
      </c>
      <c r="O1342" s="13" t="n">
        <v>66</v>
      </c>
      <c r="P1342" s="13" t="n">
        <v>97</v>
      </c>
      <c r="Q1342" s="13" t="n">
        <v>12.9</v>
      </c>
      <c r="R1342" s="13" t="n">
        <v>1666</v>
      </c>
      <c r="S1342" s="13" t="n">
        <v>0.78</v>
      </c>
      <c r="T1342" s="13" t="n">
        <v>1292</v>
      </c>
      <c r="U1342" s="13" t="n">
        <v>196</v>
      </c>
      <c r="V1342" s="13" t="n">
        <v>119</v>
      </c>
      <c r="W1342" s="13" t="n">
        <v>40</v>
      </c>
      <c r="X1342" s="13" t="n">
        <v>156</v>
      </c>
      <c r="Y1342" s="13" t="n">
        <v>7</v>
      </c>
      <c r="Z1342" s="13" t="n">
        <v>63</v>
      </c>
      <c r="AA1342" s="13" t="n">
        <v>0.162</v>
      </c>
      <c r="AB1342" s="13" t="n">
        <v>67</v>
      </c>
      <c r="AC1342" s="13" t="n">
        <v>50</v>
      </c>
      <c r="AD1342" s="13" t="n">
        <v>89</v>
      </c>
      <c r="AE1342" s="13" t="n">
        <v>8</v>
      </c>
      <c r="AF1342" s="13" t="n">
        <v>12.6</v>
      </c>
      <c r="AG1342" s="11" t="inlineStr">
        <is>
          <t xml:space="preserve"> On-Piste Carving</t>
        </is>
      </c>
      <c r="AH1342" s="13" t="n"/>
      <c r="AI1342" s="13" t="n"/>
      <c r="AJ1342" s="13" t="n"/>
      <c r="AK1342" s="42" t="n"/>
    </row>
    <row r="1343">
      <c r="E1343" s="40" t="inlineStr">
        <is>
          <t>21/22</t>
        </is>
      </c>
      <c r="F1343" s="10" t="inlineStr">
        <is>
          <t xml:space="preserve"> Stöckli</t>
        </is>
      </c>
      <c r="G1343" s="11" t="inlineStr">
        <is>
          <t>Nela 88</t>
        </is>
      </c>
      <c r="H1343" s="13" t="n">
        <v>152</v>
      </c>
      <c r="I1343" s="11" t="inlineStr">
        <is>
          <t xml:space="preserve"> Women's</t>
        </is>
      </c>
      <c r="J1343" s="13" t="n">
        <v>152</v>
      </c>
      <c r="K1343" s="13" t="n">
        <v>151.3</v>
      </c>
      <c r="L1343" s="13" t="n">
        <v>124</v>
      </c>
      <c r="M1343" s="13" t="n">
        <v>132</v>
      </c>
      <c r="N1343" s="13" t="n">
        <v>127</v>
      </c>
      <c r="O1343" s="13" t="n">
        <v>88</v>
      </c>
      <c r="P1343" s="13" t="n">
        <v>113</v>
      </c>
      <c r="Q1343" s="13" t="n">
        <v>13.1</v>
      </c>
      <c r="R1343" s="13" t="n">
        <v>1419</v>
      </c>
      <c r="S1343" s="13" t="n">
        <v>1.06</v>
      </c>
      <c r="T1343" s="13" t="n">
        <v>1510</v>
      </c>
      <c r="U1343" s="13" t="n">
        <v>158</v>
      </c>
      <c r="V1343" s="13" t="n">
        <v>89</v>
      </c>
      <c r="W1343" s="13" t="n">
        <v>43</v>
      </c>
      <c r="X1343" s="13" t="n">
        <v>199</v>
      </c>
      <c r="Y1343" s="13" t="n">
        <v>9</v>
      </c>
      <c r="Z1343" s="13" t="n">
        <v>78</v>
      </c>
      <c r="AA1343" s="13" t="n">
        <v>0.206</v>
      </c>
      <c r="AB1343" s="13" t="n">
        <v>135</v>
      </c>
      <c r="AC1343" s="13" t="n">
        <v>56</v>
      </c>
      <c r="AD1343" s="13" t="n">
        <v>64</v>
      </c>
      <c r="AE1343" s="13" t="n">
        <v>5</v>
      </c>
      <c r="AF1343" s="13" t="n">
        <v>12.6</v>
      </c>
      <c r="AG1343" s="11" t="inlineStr">
        <is>
          <t xml:space="preserve"> Resort Freeride</t>
        </is>
      </c>
      <c r="AH1343" s="11" t="inlineStr">
        <is>
          <t xml:space="preserve"> Touring</t>
        </is>
      </c>
      <c r="AI1343" s="13" t="n"/>
      <c r="AJ1343" s="13" t="n"/>
      <c r="AK1343" s="42" t="n"/>
    </row>
    <row r="1344">
      <c r="E1344" s="40" t="inlineStr">
        <is>
          <t>21/22</t>
        </is>
      </c>
      <c r="F1344" s="10" t="inlineStr">
        <is>
          <t xml:space="preserve"> Stöckli</t>
        </is>
      </c>
      <c r="G1344" s="11" t="inlineStr">
        <is>
          <t>Nela 88</t>
        </is>
      </c>
      <c r="H1344" s="13" t="n">
        <v>160</v>
      </c>
      <c r="I1344" s="11" t="inlineStr">
        <is>
          <t xml:space="preserve"> Women's</t>
        </is>
      </c>
      <c r="J1344" s="13" t="n">
        <v>160</v>
      </c>
      <c r="K1344" s="13" t="n">
        <v>159.4</v>
      </c>
      <c r="L1344" s="13" t="n">
        <v>132</v>
      </c>
      <c r="M1344" s="13" t="n">
        <v>140</v>
      </c>
      <c r="N1344" s="13" t="n">
        <v>127</v>
      </c>
      <c r="O1344" s="13" t="n">
        <v>88</v>
      </c>
      <c r="P1344" s="13" t="n">
        <v>113</v>
      </c>
      <c r="Q1344" s="13" t="n">
        <v>14.9</v>
      </c>
      <c r="R1344" s="13" t="n">
        <v>1532</v>
      </c>
      <c r="S1344" s="13" t="n">
        <v>1.04</v>
      </c>
      <c r="T1344" s="13" t="n">
        <v>1591</v>
      </c>
      <c r="U1344" s="13" t="n">
        <v>159</v>
      </c>
      <c r="V1344" s="13" t="n">
        <v>81</v>
      </c>
      <c r="W1344" s="13" t="n">
        <v>43</v>
      </c>
      <c r="X1344" s="13" t="n">
        <v>197</v>
      </c>
      <c r="Y1344" s="13" t="n">
        <v>9</v>
      </c>
      <c r="Z1344" s="13" t="n">
        <v>80</v>
      </c>
      <c r="AA1344" s="13" t="n">
        <v>0.202</v>
      </c>
      <c r="AB1344" s="13" t="n">
        <v>134</v>
      </c>
      <c r="AC1344" s="13" t="n">
        <v>56</v>
      </c>
      <c r="AD1344" s="13" t="n">
        <v>62</v>
      </c>
      <c r="AE1344" s="13" t="n">
        <v>5</v>
      </c>
      <c r="AF1344" s="13" t="n">
        <v>13.2</v>
      </c>
      <c r="AG1344" s="11" t="inlineStr">
        <is>
          <t xml:space="preserve"> Resort Freeride</t>
        </is>
      </c>
      <c r="AH1344" s="13" t="n"/>
      <c r="AI1344" s="13" t="n"/>
      <c r="AJ1344" s="13" t="n"/>
      <c r="AK1344" s="42" t="n"/>
    </row>
    <row r="1345">
      <c r="E1345" s="40" t="inlineStr">
        <is>
          <t>21/22</t>
        </is>
      </c>
      <c r="F1345" s="10" t="inlineStr">
        <is>
          <t xml:space="preserve"> Stöckli</t>
        </is>
      </c>
      <c r="G1345" s="11" t="inlineStr">
        <is>
          <t>Nela 96</t>
        </is>
      </c>
      <c r="H1345" s="13" t="n">
        <v>156</v>
      </c>
      <c r="I1345" s="11" t="inlineStr">
        <is>
          <t xml:space="preserve"> Women's</t>
        </is>
      </c>
      <c r="J1345" s="13" t="n">
        <v>156</v>
      </c>
      <c r="K1345" s="13" t="n">
        <v>155.3</v>
      </c>
      <c r="L1345" s="13" t="n">
        <v>126</v>
      </c>
      <c r="M1345" s="13" t="n">
        <v>134</v>
      </c>
      <c r="N1345" s="13" t="n">
        <v>133</v>
      </c>
      <c r="O1345" s="13" t="n">
        <v>96</v>
      </c>
      <c r="P1345" s="13" t="n">
        <v>120</v>
      </c>
      <c r="Q1345" s="13" t="n">
        <v>13.6</v>
      </c>
      <c r="R1345" s="13" t="n">
        <v>1585</v>
      </c>
      <c r="S1345" s="13" t="n">
        <v>1.06</v>
      </c>
      <c r="T1345" s="13" t="n">
        <v>1673</v>
      </c>
      <c r="U1345" s="13" t="n">
        <v>168</v>
      </c>
      <c r="V1345" s="13" t="n">
        <v>95</v>
      </c>
      <c r="W1345" s="13" t="n">
        <v>45</v>
      </c>
      <c r="X1345" s="13" t="n">
        <v>211</v>
      </c>
      <c r="Y1345" s="13" t="n">
        <v>9</v>
      </c>
      <c r="Z1345" s="13" t="n">
        <v>79</v>
      </c>
      <c r="AA1345" s="13" t="n">
        <v>0.197</v>
      </c>
      <c r="AB1345" s="13" t="n">
        <v>155</v>
      </c>
      <c r="AC1345" s="13" t="n">
        <v>55</v>
      </c>
      <c r="AD1345" s="13" t="n">
        <v>55</v>
      </c>
      <c r="AE1345" s="13" t="n">
        <v>4</v>
      </c>
      <c r="AF1345" s="13" t="n">
        <v>12.7</v>
      </c>
      <c r="AG1345" s="11" t="inlineStr">
        <is>
          <t xml:space="preserve"> Resort Freeride</t>
        </is>
      </c>
      <c r="AH1345" s="11" t="inlineStr">
        <is>
          <t xml:space="preserve"> Touring</t>
        </is>
      </c>
      <c r="AI1345" s="13" t="n"/>
      <c r="AJ1345" s="13" t="n"/>
      <c r="AK1345" s="42" t="n"/>
    </row>
    <row r="1346">
      <c r="E1346" s="40" t="inlineStr">
        <is>
          <t>21/22</t>
        </is>
      </c>
      <c r="F1346" s="10" t="inlineStr">
        <is>
          <t xml:space="preserve"> Stöckli</t>
        </is>
      </c>
      <c r="G1346" s="11" t="inlineStr">
        <is>
          <t>Nela 96</t>
        </is>
      </c>
      <c r="H1346" s="13" t="n">
        <v>164</v>
      </c>
      <c r="I1346" s="11" t="inlineStr">
        <is>
          <t xml:space="preserve"> Women's</t>
        </is>
      </c>
      <c r="J1346" s="13" t="n">
        <v>164</v>
      </c>
      <c r="K1346" s="13" t="n">
        <v>163.4</v>
      </c>
      <c r="L1346" s="13" t="n">
        <v>135</v>
      </c>
      <c r="M1346" s="13" t="n">
        <v>141</v>
      </c>
      <c r="N1346" s="13" t="n">
        <v>133</v>
      </c>
      <c r="O1346" s="13" t="n">
        <v>96</v>
      </c>
      <c r="P1346" s="13" t="n">
        <v>121</v>
      </c>
      <c r="Q1346" s="13" t="n">
        <v>15.3</v>
      </c>
      <c r="R1346" s="13" t="n">
        <v>1665</v>
      </c>
      <c r="S1346" s="13" t="n">
        <v>1.06</v>
      </c>
      <c r="T1346" s="13" t="n">
        <v>1760</v>
      </c>
      <c r="U1346" s="13" t="n">
        <v>169</v>
      </c>
      <c r="V1346" s="13" t="n">
        <v>102</v>
      </c>
      <c r="W1346" s="13" t="n">
        <v>45</v>
      </c>
      <c r="X1346" s="13" t="n">
        <v>204</v>
      </c>
      <c r="Y1346" s="13" t="n">
        <v>8</v>
      </c>
      <c r="Z1346" s="13" t="n">
        <v>78</v>
      </c>
      <c r="AA1346" s="13" t="n">
        <v>0.189</v>
      </c>
      <c r="AB1346" s="13" t="n">
        <v>160</v>
      </c>
      <c r="AC1346" s="13" t="n">
        <v>59</v>
      </c>
      <c r="AD1346" s="13" t="n">
        <v>44</v>
      </c>
      <c r="AE1346" s="13" t="n">
        <v>6</v>
      </c>
      <c r="AF1346" s="13" t="n">
        <v>13</v>
      </c>
      <c r="AG1346" s="11" t="inlineStr">
        <is>
          <t xml:space="preserve"> Resort Freeride</t>
        </is>
      </c>
      <c r="AH1346" s="11" t="inlineStr">
        <is>
          <t xml:space="preserve"> Touring</t>
        </is>
      </c>
      <c r="AI1346" s="13" t="n"/>
      <c r="AJ1346" s="13" t="n"/>
      <c r="AK1346" s="42" t="n"/>
    </row>
    <row r="1347">
      <c r="E1347" s="40" t="inlineStr">
        <is>
          <t>21/22</t>
        </is>
      </c>
      <c r="F1347" s="10" t="inlineStr">
        <is>
          <t xml:space="preserve"> Stöckli</t>
        </is>
      </c>
      <c r="G1347" s="11" t="inlineStr">
        <is>
          <t>Stormrider 102</t>
        </is>
      </c>
      <c r="H1347" s="13" t="n">
        <v>173</v>
      </c>
      <c r="I1347" s="11" t="inlineStr">
        <is>
          <t xml:space="preserve"> Unisex</t>
        </is>
      </c>
      <c r="J1347" s="13" t="n">
        <v>173</v>
      </c>
      <c r="K1347" s="13" t="n">
        <v>171.2</v>
      </c>
      <c r="L1347" s="13" t="n">
        <v>135</v>
      </c>
      <c r="M1347" s="13" t="n">
        <v>143</v>
      </c>
      <c r="N1347" s="13" t="n">
        <v>135</v>
      </c>
      <c r="O1347" s="13" t="n">
        <v>102</v>
      </c>
      <c r="P1347" s="13" t="n">
        <v>124</v>
      </c>
      <c r="Q1347" s="13" t="n">
        <v>16.9</v>
      </c>
      <c r="R1347" s="13" t="n">
        <v>1817</v>
      </c>
      <c r="S1347" s="13" t="n">
        <v>1.06</v>
      </c>
      <c r="T1347" s="13" t="n">
        <v>1933</v>
      </c>
      <c r="U1347" s="13" t="n">
        <v>190</v>
      </c>
      <c r="V1347" s="13" t="n">
        <v>104</v>
      </c>
      <c r="W1347" s="13" t="n">
        <v>58</v>
      </c>
      <c r="X1347" s="13" t="n">
        <v>252</v>
      </c>
      <c r="Y1347" s="13" t="n">
        <v>10</v>
      </c>
      <c r="Z1347" s="13" t="n">
        <v>107</v>
      </c>
      <c r="AA1347" s="13" t="n">
        <v>0.178</v>
      </c>
      <c r="AB1347" s="13" t="n">
        <v>193</v>
      </c>
      <c r="AC1347" s="13" t="n">
        <v>87</v>
      </c>
      <c r="AD1347" s="13" t="n">
        <v>59</v>
      </c>
      <c r="AE1347" s="13" t="n">
        <v>4</v>
      </c>
      <c r="AF1347" s="13" t="n">
        <v>12.6</v>
      </c>
      <c r="AG1347" s="11" t="inlineStr">
        <is>
          <t xml:space="preserve"> Resort Freeride</t>
        </is>
      </c>
      <c r="AH1347" s="11" t="inlineStr">
        <is>
          <t xml:space="preserve"> Big Mountain</t>
        </is>
      </c>
      <c r="AI1347" s="11" t="inlineStr">
        <is>
          <t xml:space="preserve"> Touring</t>
        </is>
      </c>
      <c r="AJ1347" s="13" t="n"/>
      <c r="AK1347" s="42" t="n"/>
    </row>
    <row r="1348">
      <c r="E1348" s="40" t="inlineStr">
        <is>
          <t>21/22</t>
        </is>
      </c>
      <c r="F1348" s="10" t="inlineStr">
        <is>
          <t xml:space="preserve"> Stöckli</t>
        </is>
      </c>
      <c r="G1348" s="11" t="inlineStr">
        <is>
          <t>Stormrider 88</t>
        </is>
      </c>
      <c r="H1348" s="13" t="n">
        <v>175</v>
      </c>
      <c r="I1348" s="11" t="inlineStr">
        <is>
          <t xml:space="preserve"> Unisex</t>
        </is>
      </c>
      <c r="J1348" s="13" t="n">
        <v>175</v>
      </c>
      <c r="K1348" s="13" t="n">
        <v>174.2</v>
      </c>
      <c r="L1348" s="13" t="n">
        <v>148</v>
      </c>
      <c r="M1348" s="13" t="n">
        <v>155</v>
      </c>
      <c r="N1348" s="13" t="n">
        <v>128</v>
      </c>
      <c r="O1348" s="13" t="n">
        <v>88</v>
      </c>
      <c r="P1348" s="13" t="n">
        <v>113</v>
      </c>
      <c r="Q1348" s="13" t="n">
        <v>18.1</v>
      </c>
      <c r="R1348" s="13" t="n">
        <v>1741</v>
      </c>
      <c r="S1348" s="13" t="n">
        <v>1</v>
      </c>
      <c r="T1348" s="13" t="n">
        <v>1743</v>
      </c>
      <c r="U1348" s="13" t="n">
        <v>188</v>
      </c>
      <c r="V1348" s="13" t="n">
        <v>104</v>
      </c>
      <c r="W1348" s="13" t="n">
        <v>42</v>
      </c>
      <c r="X1348" s="13" t="n">
        <v>183</v>
      </c>
      <c r="Y1348" s="13" t="n">
        <v>9</v>
      </c>
      <c r="Z1348" s="13" t="n">
        <v>76</v>
      </c>
      <c r="AA1348" s="13" t="n">
        <v>0.213</v>
      </c>
      <c r="AB1348" s="13" t="n">
        <v>132</v>
      </c>
      <c r="AC1348" s="13" t="n">
        <v>56</v>
      </c>
      <c r="AD1348" s="13" t="n">
        <v>51</v>
      </c>
      <c r="AE1348" s="13" t="n">
        <v>9</v>
      </c>
      <c r="AF1348" s="13" t="n">
        <v>13.1</v>
      </c>
      <c r="AG1348" s="11" t="inlineStr">
        <is>
          <t xml:space="preserve"> Resort Freeride</t>
        </is>
      </c>
      <c r="AH1348" s="13" t="n"/>
      <c r="AI1348" s="13" t="n"/>
      <c r="AJ1348" s="13" t="n"/>
      <c r="AK1348" s="42" t="n"/>
    </row>
    <row r="1349">
      <c r="E1349" s="40" t="inlineStr">
        <is>
          <t>21/22</t>
        </is>
      </c>
      <c r="F1349" s="10" t="inlineStr">
        <is>
          <t xml:space="preserve"> Stöckli</t>
        </is>
      </c>
      <c r="G1349" s="11" t="inlineStr">
        <is>
          <t>Stormrider 95</t>
        </is>
      </c>
      <c r="H1349" s="13" t="n">
        <v>166</v>
      </c>
      <c r="I1349" s="11" t="inlineStr">
        <is>
          <t xml:space="preserve"> Unisex</t>
        </is>
      </c>
      <c r="J1349" s="13" t="n">
        <v>166</v>
      </c>
      <c r="K1349" s="13" t="n">
        <v>165.3</v>
      </c>
      <c r="L1349" s="13" t="n">
        <v>134</v>
      </c>
      <c r="M1349" s="13" t="n">
        <v>144</v>
      </c>
      <c r="N1349" s="13" t="n">
        <v>131</v>
      </c>
      <c r="O1349" s="13" t="n">
        <v>94</v>
      </c>
      <c r="P1349" s="13" t="n">
        <v>122</v>
      </c>
      <c r="Q1349" s="13" t="n">
        <v>14.8</v>
      </c>
      <c r="R1349" s="13" t="n">
        <v>1691</v>
      </c>
      <c r="S1349" s="13" t="n">
        <v>1.04</v>
      </c>
      <c r="T1349" s="13" t="n">
        <v>1762</v>
      </c>
      <c r="U1349" s="13" t="n">
        <v>171</v>
      </c>
      <c r="V1349" s="13" t="n">
        <v>104</v>
      </c>
      <c r="W1349" s="13" t="n">
        <v>48</v>
      </c>
      <c r="X1349" s="13" t="n">
        <v>229</v>
      </c>
      <c r="Y1349" s="13" t="n">
        <v>10</v>
      </c>
      <c r="Z1349" s="13" t="n">
        <v>87</v>
      </c>
      <c r="AA1349" s="13" t="n">
        <v>0.203</v>
      </c>
      <c r="AB1349" s="13" t="n">
        <v>157</v>
      </c>
      <c r="AC1349" s="13" t="n">
        <v>61</v>
      </c>
      <c r="AD1349" s="13" t="n">
        <v>72</v>
      </c>
      <c r="AE1349" s="13" t="n">
        <v>4</v>
      </c>
      <c r="AF1349" s="13" t="n">
        <v>13.3</v>
      </c>
      <c r="AG1349" s="11" t="inlineStr">
        <is>
          <t xml:space="preserve"> Resort Freeride</t>
        </is>
      </c>
      <c r="AH1349" s="13" t="n"/>
      <c r="AI1349" s="13" t="n"/>
      <c r="AJ1349" s="13" t="n"/>
      <c r="AK1349" s="42" t="n"/>
    </row>
    <row r="1350">
      <c r="E1350" s="40" t="inlineStr">
        <is>
          <t>21/22</t>
        </is>
      </c>
      <c r="F1350" s="10" t="inlineStr">
        <is>
          <t xml:space="preserve"> Stöckli</t>
        </is>
      </c>
      <c r="G1350" s="11" t="inlineStr">
        <is>
          <t>Stormrider 95</t>
        </is>
      </c>
      <c r="H1350" s="13" t="n">
        <v>175</v>
      </c>
      <c r="I1350" s="11" t="inlineStr">
        <is>
          <t xml:space="preserve"> Unisex</t>
        </is>
      </c>
      <c r="J1350" s="13" t="n">
        <v>175</v>
      </c>
      <c r="K1350" s="13" t="n">
        <v>174</v>
      </c>
      <c r="L1350" s="13" t="n">
        <v>145</v>
      </c>
      <c r="M1350" s="13" t="n">
        <v>151</v>
      </c>
      <c r="N1350" s="13" t="n">
        <v>131</v>
      </c>
      <c r="O1350" s="13" t="n">
        <v>95</v>
      </c>
      <c r="P1350" s="13" t="n">
        <v>122</v>
      </c>
      <c r="Q1350" s="13" t="n">
        <v>16.8</v>
      </c>
      <c r="R1350" s="13" t="n">
        <v>1793</v>
      </c>
      <c r="S1350" s="13" t="n">
        <v>1.04</v>
      </c>
      <c r="T1350" s="13" t="n">
        <v>1857</v>
      </c>
      <c r="U1350" s="13" t="n">
        <v>188</v>
      </c>
      <c r="V1350" s="13" t="n">
        <v>110</v>
      </c>
      <c r="W1350" s="13" t="n">
        <v>44</v>
      </c>
      <c r="X1350" s="13" t="n">
        <v>204</v>
      </c>
      <c r="Y1350" s="13" t="n">
        <v>9</v>
      </c>
      <c r="Z1350" s="13" t="n">
        <v>87</v>
      </c>
      <c r="AA1350" s="13" t="n">
        <v>0.209</v>
      </c>
      <c r="AB1350" s="13" t="n">
        <v>168</v>
      </c>
      <c r="AC1350" s="13" t="n">
        <v>60</v>
      </c>
      <c r="AD1350" s="13" t="n">
        <v>36</v>
      </c>
      <c r="AE1350" s="13" t="n">
        <v>5</v>
      </c>
      <c r="AF1350" s="13" t="n">
        <v>13.4</v>
      </c>
      <c r="AG1350" s="11" t="inlineStr">
        <is>
          <t xml:space="preserve"> Resort Freeride</t>
        </is>
      </c>
      <c r="AH1350" s="13" t="n"/>
      <c r="AI1350" s="13" t="n"/>
      <c r="AJ1350" s="13" t="n"/>
      <c r="AK1350" s="42" t="n"/>
    </row>
    <row r="1351">
      <c r="E1351" s="40" t="inlineStr">
        <is>
          <t>21/22</t>
        </is>
      </c>
      <c r="F1351" s="10" t="inlineStr">
        <is>
          <t xml:space="preserve"> Völkl</t>
        </is>
      </c>
      <c r="G1351" s="11" t="inlineStr">
        <is>
          <t>Bash 81</t>
        </is>
      </c>
      <c r="H1351" s="13" t="n">
        <v>148</v>
      </c>
      <c r="I1351" s="11" t="inlineStr">
        <is>
          <t xml:space="preserve"> Unisex</t>
        </is>
      </c>
      <c r="J1351" s="13" t="n">
        <v>148</v>
      </c>
      <c r="K1351" s="13" t="n">
        <v>146.9</v>
      </c>
      <c r="L1351" s="13" t="n">
        <v>117</v>
      </c>
      <c r="M1351" s="13" t="n">
        <v>125</v>
      </c>
      <c r="N1351" s="13" t="n">
        <v>111</v>
      </c>
      <c r="O1351" s="13" t="n">
        <v>80</v>
      </c>
      <c r="P1351" s="13" t="n">
        <v>104</v>
      </c>
      <c r="Q1351" s="13" t="n">
        <v>13.8</v>
      </c>
      <c r="R1351" s="13" t="n">
        <v>1433</v>
      </c>
      <c r="S1351" s="13" t="n">
        <v>0.93</v>
      </c>
      <c r="T1351" s="13" t="n">
        <v>1329</v>
      </c>
      <c r="U1351" s="13" t="n">
        <v>154</v>
      </c>
      <c r="V1351" s="13" t="n">
        <v>77</v>
      </c>
      <c r="W1351" s="13" t="n">
        <v>46</v>
      </c>
      <c r="X1351" s="13" t="n">
        <v>160</v>
      </c>
      <c r="Y1351" s="13" t="n">
        <v>38</v>
      </c>
      <c r="Z1351" s="13" t="n">
        <v>140</v>
      </c>
      <c r="AA1351" s="13" t="n">
        <v>0.8179999999999999</v>
      </c>
      <c r="AB1351" s="13" t="n">
        <v>86</v>
      </c>
      <c r="AC1351" s="13" t="n">
        <v>130</v>
      </c>
      <c r="AD1351" s="13" t="n">
        <v>74</v>
      </c>
      <c r="AE1351" s="13" t="n">
        <v>5</v>
      </c>
      <c r="AF1351" s="13" t="n">
        <v>1.9</v>
      </c>
      <c r="AG1351" s="11" t="inlineStr">
        <is>
          <t xml:space="preserve"> Resort Freeride</t>
        </is>
      </c>
      <c r="AH1351" s="11" t="inlineStr">
        <is>
          <t xml:space="preserve"> Freeski</t>
        </is>
      </c>
      <c r="AI1351" s="13" t="n"/>
      <c r="AJ1351" s="13" t="n"/>
      <c r="AK1351" s="42" t="n"/>
    </row>
    <row r="1352">
      <c r="E1352" s="40" t="inlineStr">
        <is>
          <t>21/22</t>
        </is>
      </c>
      <c r="F1352" s="10" t="inlineStr">
        <is>
          <t xml:space="preserve"> Völkl</t>
        </is>
      </c>
      <c r="G1352" s="11" t="inlineStr">
        <is>
          <t>Bash 81</t>
        </is>
      </c>
      <c r="H1352" s="13" t="n">
        <v>158</v>
      </c>
      <c r="I1352" s="11" t="inlineStr">
        <is>
          <t xml:space="preserve"> Unisex</t>
        </is>
      </c>
      <c r="J1352" s="13" t="n">
        <v>158</v>
      </c>
      <c r="K1352" s="13" t="n">
        <v>157.1</v>
      </c>
      <c r="L1352" s="13" t="n">
        <v>128</v>
      </c>
      <c r="M1352" s="13" t="n">
        <v>134</v>
      </c>
      <c r="N1352" s="13" t="n">
        <v>111</v>
      </c>
      <c r="O1352" s="13" t="n">
        <v>80</v>
      </c>
      <c r="P1352" s="13" t="n">
        <v>104</v>
      </c>
      <c r="Q1352" s="13" t="n">
        <v>16.3</v>
      </c>
      <c r="R1352" s="13" t="n">
        <v>1564</v>
      </c>
      <c r="S1352" s="13" t="n">
        <v>0.91</v>
      </c>
      <c r="T1352" s="13" t="n">
        <v>1423</v>
      </c>
      <c r="U1352" s="13" t="n">
        <v>173</v>
      </c>
      <c r="V1352" s="13" t="n">
        <v>87</v>
      </c>
      <c r="W1352" s="13" t="n">
        <v>43</v>
      </c>
      <c r="X1352" s="13" t="n">
        <v>152</v>
      </c>
      <c r="Y1352" s="13" t="n">
        <v>36</v>
      </c>
      <c r="Z1352" s="13" t="n">
        <v>138</v>
      </c>
      <c r="AA1352" s="13" t="n">
        <v>0.838</v>
      </c>
      <c r="AB1352" s="13" t="n">
        <v>91</v>
      </c>
      <c r="AC1352" s="13" t="n">
        <v>137</v>
      </c>
      <c r="AD1352" s="13" t="n">
        <v>61</v>
      </c>
      <c r="AE1352" s="13" t="n">
        <v>8</v>
      </c>
      <c r="AF1352" s="13" t="n">
        <v>2.5</v>
      </c>
      <c r="AG1352" s="11" t="inlineStr">
        <is>
          <t xml:space="preserve"> Resort Freeride</t>
        </is>
      </c>
      <c r="AH1352" s="11" t="inlineStr">
        <is>
          <t xml:space="preserve"> Freeski</t>
        </is>
      </c>
      <c r="AI1352" s="13" t="n"/>
      <c r="AJ1352" s="13" t="n"/>
      <c r="AK1352" s="42" t="n"/>
    </row>
    <row r="1353">
      <c r="E1353" s="40" t="inlineStr">
        <is>
          <t>21/22</t>
        </is>
      </c>
      <c r="F1353" s="10" t="inlineStr">
        <is>
          <t xml:space="preserve"> Völkl</t>
        </is>
      </c>
      <c r="G1353" s="11" t="inlineStr">
        <is>
          <t>Bash 81</t>
        </is>
      </c>
      <c r="H1353" s="13" t="n">
        <v>168</v>
      </c>
      <c r="I1353" s="11" t="inlineStr">
        <is>
          <t xml:space="preserve"> Unisex</t>
        </is>
      </c>
      <c r="J1353" s="13" t="n">
        <v>168</v>
      </c>
      <c r="K1353" s="13" t="n">
        <v>166.9</v>
      </c>
      <c r="L1353" s="13" t="n">
        <v>138</v>
      </c>
      <c r="M1353" s="13" t="n">
        <v>145</v>
      </c>
      <c r="N1353" s="13" t="n">
        <v>110</v>
      </c>
      <c r="O1353" s="13" t="n">
        <v>80</v>
      </c>
      <c r="P1353" s="13" t="n">
        <v>104</v>
      </c>
      <c r="Q1353" s="13" t="n">
        <v>19.1</v>
      </c>
      <c r="R1353" s="13" t="n">
        <v>1640</v>
      </c>
      <c r="S1353" s="13" t="n">
        <v>0.92</v>
      </c>
      <c r="T1353" s="13" t="n">
        <v>1505</v>
      </c>
      <c r="U1353" s="13" t="n">
        <v>193</v>
      </c>
      <c r="V1353" s="13" t="n">
        <v>107</v>
      </c>
      <c r="W1353" s="13" t="n">
        <v>45</v>
      </c>
      <c r="X1353" s="13" t="n">
        <v>153</v>
      </c>
      <c r="Y1353" s="13" t="n">
        <v>34</v>
      </c>
      <c r="Z1353" s="13" t="n">
        <v>135</v>
      </c>
      <c r="AA1353" s="13" t="n">
        <v>0.763</v>
      </c>
      <c r="AB1353" s="13" t="n">
        <v>93</v>
      </c>
      <c r="AC1353" s="13" t="n">
        <v>129</v>
      </c>
      <c r="AD1353" s="13" t="n">
        <v>60</v>
      </c>
      <c r="AE1353" s="13" t="n">
        <v>9</v>
      </c>
      <c r="AF1353" s="13" t="n">
        <v>2.2</v>
      </c>
      <c r="AG1353" s="11" t="inlineStr">
        <is>
          <t xml:space="preserve"> Resort Freeride</t>
        </is>
      </c>
      <c r="AH1353" s="13" t="n"/>
      <c r="AI1353" s="13" t="n"/>
      <c r="AJ1353" s="13" t="n"/>
      <c r="AK1353" s="42" t="n"/>
    </row>
    <row r="1354">
      <c r="E1354" s="40" t="inlineStr">
        <is>
          <t>21/22</t>
        </is>
      </c>
      <c r="F1354" s="10" t="inlineStr">
        <is>
          <t xml:space="preserve"> Völkl</t>
        </is>
      </c>
      <c r="G1354" s="11" t="inlineStr">
        <is>
          <t>Bash 86</t>
        </is>
      </c>
      <c r="H1354" s="13" t="n">
        <v>148</v>
      </c>
      <c r="I1354" s="11" t="inlineStr">
        <is>
          <t xml:space="preserve"> Unisex</t>
        </is>
      </c>
      <c r="J1354" s="13" t="n">
        <v>148</v>
      </c>
      <c r="K1354" s="13" t="n">
        <v>148.2</v>
      </c>
      <c r="L1354" s="13" t="n">
        <v>111</v>
      </c>
      <c r="M1354" s="13" t="n">
        <v>133</v>
      </c>
      <c r="N1354" s="13" t="n">
        <v>119</v>
      </c>
      <c r="O1354" s="13" t="n">
        <v>85</v>
      </c>
      <c r="P1354" s="13" t="n">
        <v>109</v>
      </c>
      <c r="Q1354" s="13" t="n">
        <v>14.9</v>
      </c>
      <c r="R1354" s="13" t="n">
        <v>1462</v>
      </c>
      <c r="S1354" s="13" t="n">
        <v>0.97</v>
      </c>
      <c r="T1354" s="13" t="n">
        <v>1418</v>
      </c>
      <c r="U1354" s="13" t="n">
        <v>145</v>
      </c>
      <c r="V1354" s="13" t="n">
        <v>72</v>
      </c>
      <c r="W1354" s="13" t="n">
        <v>41</v>
      </c>
      <c r="X1354" s="13" t="n">
        <v>188</v>
      </c>
      <c r="Y1354" s="13" t="n">
        <v>40</v>
      </c>
      <c r="Z1354" s="13" t="n">
        <v>184</v>
      </c>
      <c r="AA1354" s="13" t="n">
        <v>0.987</v>
      </c>
      <c r="AB1354" s="13" t="n">
        <v>82</v>
      </c>
      <c r="AC1354" s="13" t="n">
        <v>70</v>
      </c>
      <c r="AD1354" s="13" t="n">
        <v>106</v>
      </c>
      <c r="AE1354" s="13" t="n">
        <v>3</v>
      </c>
      <c r="AF1354" s="13" t="n">
        <v>1.6</v>
      </c>
      <c r="AG1354" s="11" t="inlineStr">
        <is>
          <t xml:space="preserve"> Freeski</t>
        </is>
      </c>
      <c r="AH1354" s="13" t="n"/>
      <c r="AI1354" s="13" t="n"/>
      <c r="AJ1354" s="13" t="n"/>
      <c r="AK1354" s="42" t="n"/>
    </row>
    <row r="1355">
      <c r="E1355" s="40" t="inlineStr">
        <is>
          <t>21/22</t>
        </is>
      </c>
      <c r="F1355" s="10" t="inlineStr">
        <is>
          <t xml:space="preserve"> Völkl</t>
        </is>
      </c>
      <c r="G1355" s="11" t="inlineStr">
        <is>
          <t>Bash 86</t>
        </is>
      </c>
      <c r="H1355" s="13" t="n">
        <v>156</v>
      </c>
      <c r="I1355" s="11" t="inlineStr">
        <is>
          <t xml:space="preserve"> Unisex</t>
        </is>
      </c>
      <c r="J1355" s="13" t="n">
        <v>156</v>
      </c>
      <c r="K1355" s="13" t="n">
        <v>155.5</v>
      </c>
      <c r="L1355" s="13" t="n">
        <v>113</v>
      </c>
      <c r="M1355" s="13" t="n">
        <v>141</v>
      </c>
      <c r="N1355" s="13" t="n">
        <v>119</v>
      </c>
      <c r="O1355" s="13" t="n">
        <v>85</v>
      </c>
      <c r="P1355" s="13" t="n">
        <v>109</v>
      </c>
      <c r="Q1355" s="13" t="n">
        <v>16.6</v>
      </c>
      <c r="R1355" s="13" t="n">
        <v>1556</v>
      </c>
      <c r="S1355" s="13" t="n">
        <v>0.96</v>
      </c>
      <c r="T1355" s="13" t="n">
        <v>1487</v>
      </c>
      <c r="U1355" s="13" t="n">
        <v>155</v>
      </c>
      <c r="V1355" s="13" t="n">
        <v>73</v>
      </c>
      <c r="W1355" s="13" t="n">
        <v>41</v>
      </c>
      <c r="X1355" s="13" t="n">
        <v>234</v>
      </c>
      <c r="Y1355" s="13" t="n">
        <v>39</v>
      </c>
      <c r="Z1355" s="13" t="n">
        <v>189</v>
      </c>
      <c r="AA1355" s="13" t="n">
        <v>0.963</v>
      </c>
      <c r="AB1355" s="13" t="n">
        <v>79</v>
      </c>
      <c r="AC1355" s="13" t="n">
        <v>71</v>
      </c>
      <c r="AD1355" s="13" t="n">
        <v>155</v>
      </c>
      <c r="AE1355" s="13" t="n">
        <v>3</v>
      </c>
      <c r="AF1355" s="13" t="n">
        <v>1.3</v>
      </c>
      <c r="AG1355" s="11" t="inlineStr">
        <is>
          <t xml:space="preserve"> Freeski</t>
        </is>
      </c>
      <c r="AH1355" s="13" t="n"/>
      <c r="AI1355" s="13" t="n"/>
      <c r="AJ1355" s="13" t="n"/>
      <c r="AK1355" s="42" t="n"/>
    </row>
    <row r="1356">
      <c r="E1356" s="40" t="inlineStr">
        <is>
          <t>21/22</t>
        </is>
      </c>
      <c r="F1356" s="10" t="inlineStr">
        <is>
          <t xml:space="preserve"> Völkl</t>
        </is>
      </c>
      <c r="G1356" s="11" t="inlineStr">
        <is>
          <t>Bash 86</t>
        </is>
      </c>
      <c r="H1356" s="13" t="n">
        <v>164</v>
      </c>
      <c r="I1356" s="11" t="inlineStr">
        <is>
          <t xml:space="preserve"> Unisex</t>
        </is>
      </c>
      <c r="J1356" s="13" t="n">
        <v>164</v>
      </c>
      <c r="K1356" s="13" t="n">
        <v>163</v>
      </c>
      <c r="L1356" s="13" t="n">
        <v>118</v>
      </c>
      <c r="M1356" s="13" t="n">
        <v>148</v>
      </c>
      <c r="N1356" s="13" t="n">
        <v>119</v>
      </c>
      <c r="O1356" s="13" t="n">
        <v>85</v>
      </c>
      <c r="P1356" s="13" t="n">
        <v>109</v>
      </c>
      <c r="Q1356" s="13" t="n">
        <v>18</v>
      </c>
      <c r="R1356" s="13" t="n">
        <v>1603</v>
      </c>
      <c r="S1356" s="13" t="n">
        <v>0.97</v>
      </c>
      <c r="T1356" s="13" t="n">
        <v>1560</v>
      </c>
      <c r="U1356" s="13" t="n">
        <v>159</v>
      </c>
      <c r="V1356" s="13" t="n">
        <v>79</v>
      </c>
      <c r="W1356" s="13" t="n">
        <v>42</v>
      </c>
      <c r="X1356" s="13" t="n">
        <v>239</v>
      </c>
      <c r="Y1356" s="13" t="n">
        <v>40</v>
      </c>
      <c r="Z1356" s="13" t="n">
        <v>216</v>
      </c>
      <c r="AA1356" s="13" t="n">
        <v>0.96</v>
      </c>
      <c r="AB1356" s="13" t="n">
        <v>82</v>
      </c>
      <c r="AC1356" s="13" t="n">
        <v>68</v>
      </c>
      <c r="AD1356" s="13" t="n">
        <v>157</v>
      </c>
      <c r="AE1356" s="13" t="n">
        <v>3</v>
      </c>
      <c r="AF1356" s="13" t="n">
        <v>1.6</v>
      </c>
      <c r="AG1356" s="11" t="inlineStr">
        <is>
          <t xml:space="preserve"> Freeski</t>
        </is>
      </c>
      <c r="AH1356" s="13" t="n"/>
      <c r="AI1356" s="13" t="n"/>
      <c r="AJ1356" s="13" t="n"/>
      <c r="AK1356" s="42" t="n"/>
    </row>
    <row r="1357">
      <c r="E1357" s="40" t="inlineStr">
        <is>
          <t>21/22</t>
        </is>
      </c>
      <c r="F1357" s="10" t="inlineStr">
        <is>
          <t xml:space="preserve"> Völkl</t>
        </is>
      </c>
      <c r="G1357" s="11" t="inlineStr">
        <is>
          <t>Bash 86</t>
        </is>
      </c>
      <c r="H1357" s="13" t="n">
        <v>172</v>
      </c>
      <c r="I1357" s="11" t="inlineStr">
        <is>
          <t xml:space="preserve"> Unisex</t>
        </is>
      </c>
      <c r="J1357" s="13" t="n">
        <v>172</v>
      </c>
      <c r="K1357" s="13" t="n">
        <v>173</v>
      </c>
      <c r="L1357" s="13" t="n">
        <v>129</v>
      </c>
      <c r="M1357" s="13" t="n">
        <v>159</v>
      </c>
      <c r="N1357" s="13" t="n">
        <v>119</v>
      </c>
      <c r="O1357" s="13" t="n">
        <v>85</v>
      </c>
      <c r="P1357" s="13" t="n">
        <v>109</v>
      </c>
      <c r="Q1357" s="13" t="n">
        <v>21.2</v>
      </c>
      <c r="R1357" s="13" t="n">
        <v>1754</v>
      </c>
      <c r="S1357" s="13" t="n">
        <v>0.9399999999999999</v>
      </c>
      <c r="T1357" s="13" t="n">
        <v>1655</v>
      </c>
      <c r="U1357" s="13" t="n">
        <v>188</v>
      </c>
      <c r="V1357" s="13" t="n">
        <v>92</v>
      </c>
      <c r="W1357" s="13" t="n">
        <v>42</v>
      </c>
      <c r="X1357" s="13" t="n">
        <v>226</v>
      </c>
      <c r="Y1357" s="13" t="n">
        <v>36</v>
      </c>
      <c r="Z1357" s="13" t="n">
        <v>210</v>
      </c>
      <c r="AA1357" s="13" t="n">
        <v>0.861</v>
      </c>
      <c r="AB1357" s="13" t="n">
        <v>81</v>
      </c>
      <c r="AC1357" s="13" t="n">
        <v>62</v>
      </c>
      <c r="AD1357" s="13" t="n">
        <v>145</v>
      </c>
      <c r="AE1357" s="13" t="n">
        <v>6</v>
      </c>
      <c r="AF1357" s="13" t="n">
        <v>2</v>
      </c>
      <c r="AG1357" s="11" t="inlineStr">
        <is>
          <t xml:space="preserve"> Freeski</t>
        </is>
      </c>
      <c r="AH1357" s="13" t="n"/>
      <c r="AI1357" s="13" t="n"/>
      <c r="AJ1357" s="13" t="n"/>
      <c r="AK1357" s="42" t="n"/>
    </row>
    <row r="1358">
      <c r="E1358" s="40" t="inlineStr">
        <is>
          <t>21/22</t>
        </is>
      </c>
      <c r="F1358" s="10" t="inlineStr">
        <is>
          <t xml:space="preserve"> Völkl</t>
        </is>
      </c>
      <c r="G1358" s="11" t="inlineStr">
        <is>
          <t>Bash 86</t>
        </is>
      </c>
      <c r="H1358" s="13" t="n">
        <v>180</v>
      </c>
      <c r="I1358" s="11" t="inlineStr">
        <is>
          <t xml:space="preserve"> Unisex</t>
        </is>
      </c>
      <c r="J1358" s="13" t="n">
        <v>180</v>
      </c>
      <c r="K1358" s="13" t="n">
        <v>180.3</v>
      </c>
      <c r="L1358" s="13" t="n">
        <v>122</v>
      </c>
      <c r="M1358" s="13" t="n">
        <v>166</v>
      </c>
      <c r="N1358" s="13" t="n">
        <v>119</v>
      </c>
      <c r="O1358" s="13" t="n">
        <v>85</v>
      </c>
      <c r="P1358" s="13" t="n">
        <v>109</v>
      </c>
      <c r="Q1358" s="13" t="n">
        <v>23.5</v>
      </c>
      <c r="R1358" s="13" t="n">
        <v>1832</v>
      </c>
      <c r="S1358" s="13" t="n">
        <v>0.9399999999999999</v>
      </c>
      <c r="T1358" s="13" t="n">
        <v>1724</v>
      </c>
      <c r="U1358" s="13" t="n">
        <v>205</v>
      </c>
      <c r="V1358" s="13" t="n">
        <v>99</v>
      </c>
      <c r="W1358" s="13" t="n">
        <v>43</v>
      </c>
      <c r="X1358" s="13" t="n">
        <v>285</v>
      </c>
      <c r="Y1358" s="13" t="n">
        <v>39</v>
      </c>
      <c r="Z1358" s="13" t="n">
        <v>295</v>
      </c>
      <c r="AA1358" s="13" t="n">
        <v>0.902</v>
      </c>
      <c r="AB1358" s="13" t="n">
        <v>79</v>
      </c>
      <c r="AC1358" s="13" t="n">
        <v>68</v>
      </c>
      <c r="AD1358" s="13" t="n">
        <v>206</v>
      </c>
      <c r="AE1358" s="13" t="n">
        <v>4</v>
      </c>
      <c r="AF1358" s="13" t="n">
        <v>1.6</v>
      </c>
      <c r="AG1358" s="11" t="inlineStr">
        <is>
          <t xml:space="preserve"> Freeski</t>
        </is>
      </c>
      <c r="AH1358" s="13" t="n"/>
      <c r="AI1358" s="13" t="n"/>
      <c r="AJ1358" s="13" t="n"/>
      <c r="AK1358" s="42" t="n"/>
    </row>
    <row r="1359">
      <c r="E1359" s="40" t="inlineStr">
        <is>
          <t>21/22</t>
        </is>
      </c>
      <c r="F1359" s="10" t="inlineStr">
        <is>
          <t xml:space="preserve"> Völkl</t>
        </is>
      </c>
      <c r="G1359" s="11" t="inlineStr">
        <is>
          <t>Bash 86 W</t>
        </is>
      </c>
      <c r="H1359" s="13" t="n">
        <v>148</v>
      </c>
      <c r="I1359" s="11" t="inlineStr">
        <is>
          <t xml:space="preserve"> Women's</t>
        </is>
      </c>
      <c r="J1359" s="13" t="n">
        <v>148</v>
      </c>
      <c r="K1359" s="13" t="n">
        <v>147.8</v>
      </c>
      <c r="L1359" s="13" t="n">
        <v>110</v>
      </c>
      <c r="M1359" s="13" t="n">
        <v>133</v>
      </c>
      <c r="N1359" s="13" t="n">
        <v>119</v>
      </c>
      <c r="O1359" s="13" t="n">
        <v>85</v>
      </c>
      <c r="P1359" s="13" t="n">
        <v>109</v>
      </c>
      <c r="Q1359" s="13" t="n">
        <v>14.7</v>
      </c>
      <c r="R1359" s="13" t="n">
        <v>1429</v>
      </c>
      <c r="S1359" s="13" t="n">
        <v>0.99</v>
      </c>
      <c r="T1359" s="13" t="n">
        <v>1414</v>
      </c>
      <c r="U1359" s="13" t="n">
        <v>144</v>
      </c>
      <c r="V1359" s="13" t="n">
        <v>68</v>
      </c>
      <c r="W1359" s="13" t="n">
        <v>39</v>
      </c>
      <c r="X1359" s="13" t="n">
        <v>205</v>
      </c>
      <c r="Y1359" s="13" t="n">
        <v>39</v>
      </c>
      <c r="Z1359" s="13" t="n">
        <v>177</v>
      </c>
      <c r="AA1359" s="13" t="n">
        <v>1.003</v>
      </c>
      <c r="AB1359" s="13" t="n">
        <v>78</v>
      </c>
      <c r="AC1359" s="13" t="n">
        <v>71</v>
      </c>
      <c r="AD1359" s="13" t="n">
        <v>127</v>
      </c>
      <c r="AE1359" s="13" t="n">
        <v>3</v>
      </c>
      <c r="AF1359" s="13" t="n">
        <v>1.9</v>
      </c>
      <c r="AG1359" s="11" t="inlineStr">
        <is>
          <t xml:space="preserve"> Freeski</t>
        </is>
      </c>
      <c r="AH1359" s="13" t="n"/>
      <c r="AI1359" s="13" t="n"/>
      <c r="AJ1359" s="13" t="n"/>
      <c r="AK1359" s="42" t="n"/>
    </row>
    <row r="1360">
      <c r="E1360" s="40" t="inlineStr">
        <is>
          <t>21/22</t>
        </is>
      </c>
      <c r="F1360" s="10" t="inlineStr">
        <is>
          <t xml:space="preserve"> Völkl</t>
        </is>
      </c>
      <c r="G1360" s="11" t="inlineStr">
        <is>
          <t>Bash 86 W</t>
        </is>
      </c>
      <c r="H1360" s="13" t="n">
        <v>156</v>
      </c>
      <c r="I1360" s="11" t="inlineStr">
        <is>
          <t xml:space="preserve"> Women's</t>
        </is>
      </c>
      <c r="J1360" s="13" t="n">
        <v>156</v>
      </c>
      <c r="K1360" s="13" t="n">
        <v>155.1</v>
      </c>
      <c r="L1360" s="13" t="n">
        <v>116</v>
      </c>
      <c r="M1360" s="13" t="n">
        <v>141</v>
      </c>
      <c r="N1360" s="13" t="n">
        <v>120</v>
      </c>
      <c r="O1360" s="13" t="n">
        <v>86</v>
      </c>
      <c r="P1360" s="13" t="n">
        <v>109</v>
      </c>
      <c r="Q1360" s="13" t="n">
        <v>16.5</v>
      </c>
      <c r="R1360" s="13" t="n">
        <v>1578</v>
      </c>
      <c r="S1360" s="13" t="n">
        <v>0.95</v>
      </c>
      <c r="T1360" s="13" t="n">
        <v>1493</v>
      </c>
      <c r="U1360" s="13" t="n">
        <v>164</v>
      </c>
      <c r="V1360" s="13" t="n">
        <v>77</v>
      </c>
      <c r="W1360" s="13" t="n">
        <v>39</v>
      </c>
      <c r="X1360" s="13" t="n">
        <v>210</v>
      </c>
      <c r="Y1360" s="13" t="n">
        <v>38</v>
      </c>
      <c r="Z1360" s="13" t="n">
        <v>177</v>
      </c>
      <c r="AA1360" s="13" t="n">
        <v>0.983</v>
      </c>
      <c r="AB1360" s="13" t="n">
        <v>72</v>
      </c>
      <c r="AC1360" s="13" t="n">
        <v>72</v>
      </c>
      <c r="AD1360" s="13" t="n">
        <v>138</v>
      </c>
      <c r="AE1360" s="13" t="n">
        <v>3</v>
      </c>
      <c r="AF1360" s="13" t="n">
        <v>2.1</v>
      </c>
      <c r="AG1360" s="11" t="inlineStr">
        <is>
          <t xml:space="preserve"> Freeski</t>
        </is>
      </c>
      <c r="AH1360" s="13" t="n"/>
      <c r="AI1360" s="13" t="n"/>
      <c r="AJ1360" s="13" t="n"/>
      <c r="AK1360" s="42" t="n"/>
    </row>
    <row r="1361">
      <c r="E1361" s="40" t="inlineStr">
        <is>
          <t>21/22</t>
        </is>
      </c>
      <c r="F1361" s="10" t="inlineStr">
        <is>
          <t xml:space="preserve"> Völkl</t>
        </is>
      </c>
      <c r="G1361" s="11" t="inlineStr">
        <is>
          <t>Bash 86 W</t>
        </is>
      </c>
      <c r="H1361" s="13" t="n">
        <v>164</v>
      </c>
      <c r="I1361" s="11" t="inlineStr">
        <is>
          <t xml:space="preserve"> Women's</t>
        </is>
      </c>
      <c r="J1361" s="13" t="n">
        <v>164</v>
      </c>
      <c r="K1361" s="13" t="n">
        <v>162.5</v>
      </c>
      <c r="L1361" s="13" t="n">
        <v>110</v>
      </c>
      <c r="M1361" s="13" t="n">
        <v>147</v>
      </c>
      <c r="N1361" s="13" t="n">
        <v>120</v>
      </c>
      <c r="O1361" s="13" t="n">
        <v>86</v>
      </c>
      <c r="P1361" s="13" t="n">
        <v>110</v>
      </c>
      <c r="Q1361" s="13" t="n">
        <v>18.2</v>
      </c>
      <c r="R1361" s="13" t="n">
        <v>1600</v>
      </c>
      <c r="S1361" s="13" t="n">
        <v>0.98</v>
      </c>
      <c r="T1361" s="13" t="n">
        <v>1562</v>
      </c>
      <c r="U1361" s="13" t="n">
        <v>171</v>
      </c>
      <c r="V1361" s="13" t="n">
        <v>78</v>
      </c>
      <c r="W1361" s="13" t="n">
        <v>41</v>
      </c>
      <c r="X1361" s="13" t="n">
        <v>269</v>
      </c>
      <c r="Y1361" s="13" t="n">
        <v>40</v>
      </c>
      <c r="Z1361" s="13" t="n">
        <v>254</v>
      </c>
      <c r="AA1361" s="13" t="n">
        <v>0.973</v>
      </c>
      <c r="AB1361" s="13" t="n">
        <v>78</v>
      </c>
      <c r="AC1361" s="13" t="n">
        <v>76</v>
      </c>
      <c r="AD1361" s="13" t="n">
        <v>191</v>
      </c>
      <c r="AE1361" s="13" t="n">
        <v>2</v>
      </c>
      <c r="AF1361" s="13" t="n">
        <v>2.2</v>
      </c>
      <c r="AG1361" s="11" t="inlineStr">
        <is>
          <t xml:space="preserve"> Freeski</t>
        </is>
      </c>
      <c r="AH1361" s="13" t="n"/>
      <c r="AI1361" s="13" t="n"/>
      <c r="AJ1361" s="13" t="n"/>
      <c r="AK1361" s="42" t="n"/>
    </row>
    <row r="1362">
      <c r="E1362" s="40" t="inlineStr">
        <is>
          <t>21/22</t>
        </is>
      </c>
      <c r="F1362" s="10" t="inlineStr">
        <is>
          <t xml:space="preserve"> Völkl</t>
        </is>
      </c>
      <c r="G1362" s="11" t="inlineStr">
        <is>
          <t>Bash 86 W</t>
        </is>
      </c>
      <c r="H1362" s="13" t="n">
        <v>172</v>
      </c>
      <c r="I1362" s="11" t="inlineStr">
        <is>
          <t xml:space="preserve"> Women's</t>
        </is>
      </c>
      <c r="J1362" s="13" t="n">
        <v>172</v>
      </c>
      <c r="K1362" s="13" t="n">
        <v>172.6</v>
      </c>
      <c r="L1362" s="13" t="n">
        <v>123</v>
      </c>
      <c r="M1362" s="13" t="n">
        <v>158</v>
      </c>
      <c r="N1362" s="13" t="n">
        <v>119</v>
      </c>
      <c r="O1362" s="13" t="n">
        <v>85</v>
      </c>
      <c r="P1362" s="13" t="n">
        <v>109</v>
      </c>
      <c r="Q1362" s="13" t="n">
        <v>21.1</v>
      </c>
      <c r="R1362" s="13" t="n">
        <v>1733</v>
      </c>
      <c r="S1362" s="13" t="n">
        <v>0.95</v>
      </c>
      <c r="T1362" s="13" t="n">
        <v>1652</v>
      </c>
      <c r="U1362" s="13" t="n">
        <v>193</v>
      </c>
      <c r="V1362" s="13" t="n">
        <v>89</v>
      </c>
      <c r="W1362" s="13" t="n">
        <v>42</v>
      </c>
      <c r="X1362" s="13" t="n">
        <v>271</v>
      </c>
      <c r="Y1362" s="13" t="n">
        <v>37</v>
      </c>
      <c r="Z1362" s="13" t="n">
        <v>228</v>
      </c>
      <c r="AA1362" s="13" t="n">
        <v>0.881</v>
      </c>
      <c r="AB1362" s="13" t="n">
        <v>75</v>
      </c>
      <c r="AC1362" s="13" t="n">
        <v>74</v>
      </c>
      <c r="AD1362" s="13" t="n">
        <v>196</v>
      </c>
      <c r="AE1362" s="13" t="n">
        <v>4</v>
      </c>
      <c r="AF1362" s="13" t="n">
        <v>1.7</v>
      </c>
      <c r="AG1362" s="11" t="inlineStr">
        <is>
          <t xml:space="preserve"> Freeski</t>
        </is>
      </c>
      <c r="AH1362" s="13" t="n"/>
      <c r="AI1362" s="13" t="n"/>
      <c r="AJ1362" s="13" t="n"/>
      <c r="AK1362" s="42" t="n"/>
    </row>
    <row r="1363">
      <c r="E1363" s="40" t="inlineStr">
        <is>
          <t>21/22</t>
        </is>
      </c>
      <c r="F1363" s="10" t="inlineStr">
        <is>
          <t xml:space="preserve"> Völkl</t>
        </is>
      </c>
      <c r="G1363" s="11" t="inlineStr">
        <is>
          <t>Blaze 106</t>
        </is>
      </c>
      <c r="H1363" s="13" t="n">
        <v>165</v>
      </c>
      <c r="I1363" s="11" t="inlineStr">
        <is>
          <t xml:space="preserve"> Unisex</t>
        </is>
      </c>
      <c r="J1363" s="13" t="n">
        <v>165</v>
      </c>
      <c r="K1363" s="13" t="n">
        <v>164.5</v>
      </c>
      <c r="L1363" s="13" t="n">
        <v>94</v>
      </c>
      <c r="M1363" s="13" t="n">
        <v>141</v>
      </c>
      <c r="N1363" s="13" t="n">
        <v>144</v>
      </c>
      <c r="O1363" s="13" t="n">
        <v>105</v>
      </c>
      <c r="P1363" s="13" t="n">
        <v>127</v>
      </c>
      <c r="Q1363" s="13" t="n">
        <v>15.2</v>
      </c>
      <c r="R1363" s="13" t="n">
        <v>1606</v>
      </c>
      <c r="S1363" s="13" t="n">
        <v>1.2</v>
      </c>
      <c r="T1363" s="13" t="n">
        <v>1927</v>
      </c>
      <c r="U1363" s="13" t="n">
        <v>176</v>
      </c>
      <c r="V1363" s="13" t="n">
        <v>90</v>
      </c>
      <c r="W1363" s="13" t="n">
        <v>54</v>
      </c>
      <c r="X1363" s="13" t="n">
        <v>444</v>
      </c>
      <c r="Y1363" s="13" t="n">
        <v>23</v>
      </c>
      <c r="Z1363" s="13" t="n">
        <v>263</v>
      </c>
      <c r="AA1363" s="13" t="n">
        <v>0.434</v>
      </c>
      <c r="AB1363" s="13" t="n">
        <v>139</v>
      </c>
      <c r="AC1363" s="13" t="n">
        <v>99</v>
      </c>
      <c r="AD1363" s="13" t="n">
        <v>304</v>
      </c>
      <c r="AE1363" s="13" t="n">
        <v>2</v>
      </c>
      <c r="AF1363" s="13" t="n">
        <v>11.5</v>
      </c>
      <c r="AG1363" s="11" t="inlineStr">
        <is>
          <t xml:space="preserve"> Powder</t>
        </is>
      </c>
      <c r="AH1363" s="11" t="inlineStr">
        <is>
          <t xml:space="preserve"> Touring</t>
        </is>
      </c>
      <c r="AI1363" s="13" t="n"/>
      <c r="AJ1363" s="13" t="n"/>
      <c r="AK1363" s="42" t="n"/>
    </row>
    <row r="1364">
      <c r="E1364" s="40" t="inlineStr">
        <is>
          <t>21/22</t>
        </is>
      </c>
      <c r="F1364" s="10" t="inlineStr">
        <is>
          <t xml:space="preserve"> Völkl</t>
        </is>
      </c>
      <c r="G1364" s="11" t="inlineStr">
        <is>
          <t>Blaze 106</t>
        </is>
      </c>
      <c r="H1364" s="13" t="n">
        <v>172</v>
      </c>
      <c r="I1364" s="11" t="inlineStr">
        <is>
          <t xml:space="preserve"> Unisex</t>
        </is>
      </c>
      <c r="J1364" s="13" t="n">
        <v>172</v>
      </c>
      <c r="K1364" s="13" t="n">
        <v>171.7</v>
      </c>
      <c r="L1364" s="13" t="n">
        <v>96</v>
      </c>
      <c r="M1364" s="13" t="n">
        <v>148</v>
      </c>
      <c r="N1364" s="13" t="n">
        <v>144</v>
      </c>
      <c r="O1364" s="13" t="n">
        <v>105</v>
      </c>
      <c r="P1364" s="13" t="n">
        <v>127</v>
      </c>
      <c r="Q1364" s="13" t="n">
        <v>16.9</v>
      </c>
      <c r="R1364" s="13" t="n">
        <v>1642</v>
      </c>
      <c r="S1364" s="13" t="n">
        <v>1.23</v>
      </c>
      <c r="T1364" s="13" t="n">
        <v>2013</v>
      </c>
      <c r="U1364" s="13" t="n">
        <v>192</v>
      </c>
      <c r="V1364" s="13" t="n">
        <v>95</v>
      </c>
      <c r="W1364" s="13" t="n">
        <v>54</v>
      </c>
      <c r="X1364" s="13" t="n">
        <v>475</v>
      </c>
      <c r="Y1364" s="13" t="n">
        <v>24</v>
      </c>
      <c r="Z1364" s="13" t="n">
        <v>277</v>
      </c>
      <c r="AA1364" s="13" t="n">
        <v>0.44</v>
      </c>
      <c r="AB1364" s="13" t="n">
        <v>138</v>
      </c>
      <c r="AC1364" s="13" t="n">
        <v>96</v>
      </c>
      <c r="AD1364" s="13" t="n">
        <v>337</v>
      </c>
      <c r="AE1364" s="13" t="n">
        <v>1</v>
      </c>
      <c r="AF1364" s="13" t="n">
        <v>11.6</v>
      </c>
      <c r="AG1364" s="11" t="inlineStr">
        <is>
          <t xml:space="preserve"> Powder</t>
        </is>
      </c>
      <c r="AH1364" s="11" t="inlineStr">
        <is>
          <t xml:space="preserve"> Touring</t>
        </is>
      </c>
      <c r="AI1364" s="13" t="n"/>
      <c r="AJ1364" s="13" t="n"/>
      <c r="AK1364" s="42" t="n"/>
    </row>
    <row r="1365">
      <c r="E1365" s="40" t="inlineStr">
        <is>
          <t>21/22</t>
        </is>
      </c>
      <c r="F1365" s="10" t="inlineStr">
        <is>
          <t xml:space="preserve"> Völkl</t>
        </is>
      </c>
      <c r="G1365" s="11" t="inlineStr">
        <is>
          <t>Blaze 106</t>
        </is>
      </c>
      <c r="H1365" s="13" t="n">
        <v>179</v>
      </c>
      <c r="I1365" s="11" t="inlineStr">
        <is>
          <t xml:space="preserve"> Unisex</t>
        </is>
      </c>
      <c r="J1365" s="13" t="n">
        <v>179</v>
      </c>
      <c r="K1365" s="13" t="n">
        <v>179.4</v>
      </c>
      <c r="L1365" s="13" t="n">
        <v>111</v>
      </c>
      <c r="M1365" s="13" t="n">
        <v>155</v>
      </c>
      <c r="N1365" s="13" t="n">
        <v>145</v>
      </c>
      <c r="O1365" s="13" t="n">
        <v>105</v>
      </c>
      <c r="P1365" s="13" t="n">
        <v>127</v>
      </c>
      <c r="Q1365" s="13" t="n">
        <v>18.7</v>
      </c>
      <c r="R1365" s="13" t="n">
        <v>1763</v>
      </c>
      <c r="S1365" s="13" t="n">
        <v>1.19</v>
      </c>
      <c r="T1365" s="13" t="n">
        <v>2103</v>
      </c>
      <c r="U1365" s="13" t="n">
        <v>187</v>
      </c>
      <c r="V1365" s="13" t="n">
        <v>95</v>
      </c>
      <c r="W1365" s="13" t="n">
        <v>52</v>
      </c>
      <c r="X1365" s="13" t="n">
        <v>434</v>
      </c>
      <c r="Y1365" s="13" t="n">
        <v>22</v>
      </c>
      <c r="Z1365" s="13" t="n">
        <v>248</v>
      </c>
      <c r="AA1365" s="13" t="n">
        <v>0.42</v>
      </c>
      <c r="AB1365" s="13" t="n">
        <v>145</v>
      </c>
      <c r="AC1365" s="13" t="n">
        <v>97</v>
      </c>
      <c r="AD1365" s="13" t="n">
        <v>290</v>
      </c>
      <c r="AE1365" s="13" t="n">
        <v>2</v>
      </c>
      <c r="AF1365" s="13" t="n">
        <v>13</v>
      </c>
      <c r="AG1365" s="11" t="inlineStr">
        <is>
          <t xml:space="preserve"> Powder</t>
        </is>
      </c>
      <c r="AH1365" s="11" t="inlineStr">
        <is>
          <t xml:space="preserve"> Touring</t>
        </is>
      </c>
      <c r="AI1365" s="13" t="n"/>
      <c r="AJ1365" s="13" t="n"/>
      <c r="AK1365" s="42" t="n"/>
    </row>
    <row r="1366">
      <c r="E1366" s="40" t="inlineStr">
        <is>
          <t>21/22</t>
        </is>
      </c>
      <c r="F1366" s="10" t="inlineStr">
        <is>
          <t xml:space="preserve"> Völkl</t>
        </is>
      </c>
      <c r="G1366" s="11" t="inlineStr">
        <is>
          <t>Blaze 106</t>
        </is>
      </c>
      <c r="H1366" s="13" t="n">
        <v>186</v>
      </c>
      <c r="I1366" s="11" t="inlineStr">
        <is>
          <t xml:space="preserve"> Unisex</t>
        </is>
      </c>
      <c r="J1366" s="13" t="n">
        <v>186</v>
      </c>
      <c r="K1366" s="13" t="n">
        <v>186.9</v>
      </c>
      <c r="L1366" s="13" t="n">
        <v>114</v>
      </c>
      <c r="M1366" s="13" t="n">
        <v>162</v>
      </c>
      <c r="N1366" s="13" t="n">
        <v>145</v>
      </c>
      <c r="O1366" s="13" t="n">
        <v>105</v>
      </c>
      <c r="P1366" s="13" t="n">
        <v>127</v>
      </c>
      <c r="Q1366" s="13" t="n">
        <v>20.6</v>
      </c>
      <c r="R1366" s="13" t="n">
        <v>1845</v>
      </c>
      <c r="S1366" s="13" t="n">
        <v>1.19</v>
      </c>
      <c r="T1366" s="13" t="n">
        <v>2189</v>
      </c>
      <c r="U1366" s="13" t="n">
        <v>200</v>
      </c>
      <c r="V1366" s="13" t="n">
        <v>102</v>
      </c>
      <c r="W1366" s="13" t="n">
        <v>55</v>
      </c>
      <c r="X1366" s="13" t="n">
        <v>475</v>
      </c>
      <c r="Y1366" s="13" t="n">
        <v>23</v>
      </c>
      <c r="Z1366" s="13" t="n">
        <v>257</v>
      </c>
      <c r="AA1366" s="13" t="n">
        <v>0.417</v>
      </c>
      <c r="AB1366" s="13" t="n">
        <v>145</v>
      </c>
      <c r="AC1366" s="13" t="n">
        <v>103</v>
      </c>
      <c r="AD1366" s="13" t="n">
        <v>330</v>
      </c>
      <c r="AE1366" s="13" t="n">
        <v>2</v>
      </c>
      <c r="AF1366" s="13" t="n">
        <v>11.3</v>
      </c>
      <c r="AG1366" s="11" t="inlineStr">
        <is>
          <t xml:space="preserve"> Powder</t>
        </is>
      </c>
      <c r="AH1366" s="11" t="inlineStr">
        <is>
          <t xml:space="preserve"> Touring</t>
        </is>
      </c>
      <c r="AI1366" s="13" t="n"/>
      <c r="AJ1366" s="13" t="n"/>
      <c r="AK1366" s="42" t="n"/>
    </row>
    <row r="1367">
      <c r="E1367" s="40" t="inlineStr">
        <is>
          <t>21/22</t>
        </is>
      </c>
      <c r="F1367" s="10" t="inlineStr">
        <is>
          <t xml:space="preserve"> Völkl</t>
        </is>
      </c>
      <c r="G1367" s="11" t="inlineStr">
        <is>
          <t>Blaze 106 W</t>
        </is>
      </c>
      <c r="H1367" s="13" t="n">
        <v>158</v>
      </c>
      <c r="I1367" s="11" t="inlineStr">
        <is>
          <t xml:space="preserve"> Women's</t>
        </is>
      </c>
      <c r="J1367" s="13" t="n">
        <v>158</v>
      </c>
      <c r="K1367" s="13" t="n">
        <v>159.2</v>
      </c>
      <c r="L1367" s="13" t="n">
        <v>85</v>
      </c>
      <c r="M1367" s="13" t="n">
        <v>135</v>
      </c>
      <c r="N1367" s="13" t="n">
        <v>145</v>
      </c>
      <c r="O1367" s="13" t="n">
        <v>105</v>
      </c>
      <c r="P1367" s="13" t="n">
        <v>127</v>
      </c>
      <c r="Q1367" s="13" t="n">
        <v>13.8</v>
      </c>
      <c r="R1367" s="13" t="n">
        <v>1526</v>
      </c>
      <c r="S1367" s="13" t="n">
        <v>1.23</v>
      </c>
      <c r="T1367" s="13" t="n">
        <v>1873</v>
      </c>
      <c r="U1367" s="13" t="n">
        <v>189</v>
      </c>
      <c r="V1367" s="13" t="n">
        <v>101</v>
      </c>
      <c r="W1367" s="13" t="n">
        <v>50</v>
      </c>
      <c r="X1367" s="13" t="n">
        <v>441</v>
      </c>
      <c r="Y1367" s="13" t="n">
        <v>23</v>
      </c>
      <c r="Z1367" s="13" t="n">
        <v>297</v>
      </c>
      <c r="AA1367" s="13" t="n">
        <v>0.466</v>
      </c>
      <c r="AB1367" s="13" t="n">
        <v>139</v>
      </c>
      <c r="AC1367" s="13" t="n">
        <v>101</v>
      </c>
      <c r="AD1367" s="13" t="n">
        <v>302</v>
      </c>
      <c r="AE1367" s="13" t="n">
        <v>1</v>
      </c>
      <c r="AF1367" s="13" t="n">
        <v>11.6</v>
      </c>
      <c r="AG1367" s="11" t="inlineStr">
        <is>
          <t xml:space="preserve"> Powder</t>
        </is>
      </c>
      <c r="AH1367" s="11" t="inlineStr">
        <is>
          <t xml:space="preserve"> Touring</t>
        </is>
      </c>
      <c r="AI1367" s="13" t="n"/>
      <c r="AJ1367" s="13" t="n"/>
      <c r="AK1367" s="42" t="n"/>
    </row>
    <row r="1368">
      <c r="E1368" s="40" t="inlineStr">
        <is>
          <t>21/22</t>
        </is>
      </c>
      <c r="F1368" s="10" t="inlineStr">
        <is>
          <t xml:space="preserve"> Völkl</t>
        </is>
      </c>
      <c r="G1368" s="11" t="inlineStr">
        <is>
          <t>Blaze 106 W</t>
        </is>
      </c>
      <c r="H1368" s="13" t="n">
        <v>165</v>
      </c>
      <c r="I1368" s="11" t="inlineStr">
        <is>
          <t xml:space="preserve"> Women's</t>
        </is>
      </c>
      <c r="J1368" s="13" t="n">
        <v>165</v>
      </c>
      <c r="K1368" s="13" t="n">
        <v>164.2</v>
      </c>
      <c r="L1368" s="13" t="n">
        <v>90</v>
      </c>
      <c r="M1368" s="13" t="n">
        <v>140</v>
      </c>
      <c r="N1368" s="13" t="n">
        <v>145</v>
      </c>
      <c r="O1368" s="13" t="n">
        <v>105</v>
      </c>
      <c r="P1368" s="13" t="n">
        <v>127</v>
      </c>
      <c r="Q1368" s="13" t="n">
        <v>15</v>
      </c>
      <c r="R1368" s="13" t="n">
        <v>1626</v>
      </c>
      <c r="S1368" s="13" t="n">
        <v>1.19</v>
      </c>
      <c r="T1368" s="13" t="n">
        <v>1933</v>
      </c>
      <c r="U1368" s="13" t="n">
        <v>176</v>
      </c>
      <c r="V1368" s="13" t="n">
        <v>100</v>
      </c>
      <c r="W1368" s="13" t="n">
        <v>53</v>
      </c>
      <c r="X1368" s="13" t="n">
        <v>458</v>
      </c>
      <c r="Y1368" s="13" t="n">
        <v>23</v>
      </c>
      <c r="Z1368" s="13" t="n">
        <v>289</v>
      </c>
      <c r="AA1368" s="13" t="n">
        <v>0.438</v>
      </c>
      <c r="AB1368" s="13" t="n">
        <v>137</v>
      </c>
      <c r="AC1368" s="13" t="n">
        <v>107</v>
      </c>
      <c r="AD1368" s="13" t="n">
        <v>321</v>
      </c>
      <c r="AE1368" s="13" t="n">
        <v>1</v>
      </c>
      <c r="AF1368" s="13" t="n">
        <v>12.4</v>
      </c>
      <c r="AG1368" s="11" t="inlineStr">
        <is>
          <t xml:space="preserve"> Powder</t>
        </is>
      </c>
      <c r="AH1368" s="11" t="inlineStr">
        <is>
          <t xml:space="preserve"> Touring</t>
        </is>
      </c>
      <c r="AI1368" s="13" t="n"/>
      <c r="AJ1368" s="13" t="n"/>
      <c r="AK1368" s="42" t="n"/>
    </row>
    <row r="1369">
      <c r="E1369" s="40" t="inlineStr">
        <is>
          <t>21/22</t>
        </is>
      </c>
      <c r="F1369" s="10" t="inlineStr">
        <is>
          <t xml:space="preserve"> Völkl</t>
        </is>
      </c>
      <c r="G1369" s="11" t="inlineStr">
        <is>
          <t>Blaze 106 W</t>
        </is>
      </c>
      <c r="H1369" s="13" t="n">
        <v>172</v>
      </c>
      <c r="I1369" s="11" t="inlineStr">
        <is>
          <t xml:space="preserve"> Women's</t>
        </is>
      </c>
      <c r="J1369" s="13" t="n">
        <v>172</v>
      </c>
      <c r="K1369" s="13" t="n">
        <v>171.5</v>
      </c>
      <c r="L1369" s="13" t="n">
        <v>95</v>
      </c>
      <c r="M1369" s="13" t="n">
        <v>147</v>
      </c>
      <c r="N1369" s="13" t="n">
        <v>145</v>
      </c>
      <c r="O1369" s="13" t="n">
        <v>106</v>
      </c>
      <c r="P1369" s="13" t="n">
        <v>127</v>
      </c>
      <c r="Q1369" s="13" t="n">
        <v>16.6</v>
      </c>
      <c r="R1369" s="13" t="n">
        <v>1688</v>
      </c>
      <c r="S1369" s="13" t="n">
        <v>1.2</v>
      </c>
      <c r="T1369" s="13" t="n">
        <v>2017</v>
      </c>
      <c r="U1369" s="13" t="n">
        <v>196</v>
      </c>
      <c r="V1369" s="13" t="n">
        <v>98</v>
      </c>
      <c r="W1369" s="13" t="n">
        <v>54</v>
      </c>
      <c r="X1369" s="13" t="n">
        <v>465</v>
      </c>
      <c r="Y1369" s="13" t="n">
        <v>25</v>
      </c>
      <c r="Z1369" s="13" t="n">
        <v>296</v>
      </c>
      <c r="AA1369" s="13" t="n">
        <v>0.461</v>
      </c>
      <c r="AB1369" s="13" t="n">
        <v>136</v>
      </c>
      <c r="AC1369" s="13" t="n">
        <v>105</v>
      </c>
      <c r="AD1369" s="13" t="n">
        <v>329</v>
      </c>
      <c r="AE1369" s="13" t="n">
        <v>1</v>
      </c>
      <c r="AF1369" s="13" t="n">
        <v>12</v>
      </c>
      <c r="AG1369" s="11" t="inlineStr">
        <is>
          <t xml:space="preserve"> Powder</t>
        </is>
      </c>
      <c r="AH1369" s="11" t="inlineStr">
        <is>
          <t xml:space="preserve"> Touring</t>
        </is>
      </c>
      <c r="AI1369" s="13" t="n"/>
      <c r="AJ1369" s="13" t="n"/>
      <c r="AK1369" s="42" t="n"/>
    </row>
    <row r="1370">
      <c r="E1370" s="40" t="inlineStr">
        <is>
          <t>21/22</t>
        </is>
      </c>
      <c r="F1370" s="10" t="inlineStr">
        <is>
          <t xml:space="preserve"> Völkl</t>
        </is>
      </c>
      <c r="G1370" s="11" t="inlineStr">
        <is>
          <t>Blaze 86</t>
        </is>
      </c>
      <c r="H1370" s="13" t="n">
        <v>159</v>
      </c>
      <c r="I1370" s="11" t="inlineStr">
        <is>
          <t xml:space="preserve"> Unisex</t>
        </is>
      </c>
      <c r="J1370" s="13" t="n">
        <v>159</v>
      </c>
      <c r="K1370" s="13" t="n">
        <v>159.7</v>
      </c>
      <c r="L1370" s="13" t="n">
        <v>115</v>
      </c>
      <c r="M1370" s="13" t="n">
        <v>135</v>
      </c>
      <c r="N1370" s="13" t="n">
        <v>128</v>
      </c>
      <c r="O1370" s="13" t="n">
        <v>85</v>
      </c>
      <c r="P1370" s="13" t="n">
        <v>110</v>
      </c>
      <c r="Q1370" s="13" t="n">
        <v>12.8</v>
      </c>
      <c r="R1370" s="13" t="n">
        <v>1264</v>
      </c>
      <c r="S1370" s="13" t="n">
        <v>1.26</v>
      </c>
      <c r="T1370" s="13" t="n">
        <v>1587</v>
      </c>
      <c r="U1370" s="13" t="n">
        <v>156</v>
      </c>
      <c r="V1370" s="13" t="n">
        <v>74</v>
      </c>
      <c r="W1370" s="13" t="n">
        <v>47</v>
      </c>
      <c r="X1370" s="13" t="n">
        <v>277</v>
      </c>
      <c r="Y1370" s="13" t="n">
        <v>17</v>
      </c>
      <c r="Z1370" s="13" t="n">
        <v>170</v>
      </c>
      <c r="AA1370" s="13" t="n">
        <v>0.368</v>
      </c>
      <c r="AB1370" s="13" t="n">
        <v>145</v>
      </c>
      <c r="AC1370" s="13" t="n">
        <v>98</v>
      </c>
      <c r="AD1370" s="13" t="n">
        <v>133</v>
      </c>
      <c r="AE1370" s="13" t="n">
        <v>3</v>
      </c>
      <c r="AF1370" s="13" t="n">
        <v>11.6</v>
      </c>
      <c r="AG1370" s="11" t="inlineStr">
        <is>
          <t xml:space="preserve"> Resort Freeride</t>
        </is>
      </c>
      <c r="AH1370" s="11" t="inlineStr">
        <is>
          <t xml:space="preserve"> Touring</t>
        </is>
      </c>
      <c r="AI1370" s="11" t="inlineStr">
        <is>
          <t xml:space="preserve"> Ultralight Touring</t>
        </is>
      </c>
      <c r="AJ1370" s="13" t="n"/>
      <c r="AK1370" s="42" t="n"/>
    </row>
    <row r="1371">
      <c r="E1371" s="40" t="inlineStr">
        <is>
          <t>21/22</t>
        </is>
      </c>
      <c r="F1371" s="10" t="inlineStr">
        <is>
          <t xml:space="preserve"> Völkl</t>
        </is>
      </c>
      <c r="G1371" s="11" t="inlineStr">
        <is>
          <t>Blaze 86</t>
        </is>
      </c>
      <c r="H1371" s="13" t="n">
        <v>166</v>
      </c>
      <c r="I1371" s="11" t="inlineStr">
        <is>
          <t xml:space="preserve"> Unisex</t>
        </is>
      </c>
      <c r="J1371" s="13" t="n">
        <v>166</v>
      </c>
      <c r="K1371" s="13" t="n">
        <v>167.2</v>
      </c>
      <c r="L1371" s="13" t="n">
        <v>121</v>
      </c>
      <c r="M1371" s="13" t="n">
        <v>143</v>
      </c>
      <c r="N1371" s="13" t="n">
        <v>128</v>
      </c>
      <c r="O1371" s="13" t="n">
        <v>86</v>
      </c>
      <c r="P1371" s="13" t="n">
        <v>110</v>
      </c>
      <c r="Q1371" s="13" t="n">
        <v>14.2</v>
      </c>
      <c r="R1371" s="13" t="n">
        <v>1380</v>
      </c>
      <c r="S1371" s="13" t="n">
        <v>1.2</v>
      </c>
      <c r="T1371" s="13" t="n">
        <v>1662</v>
      </c>
      <c r="U1371" s="13" t="n">
        <v>163</v>
      </c>
      <c r="V1371" s="13" t="n">
        <v>74</v>
      </c>
      <c r="W1371" s="13" t="n">
        <v>45</v>
      </c>
      <c r="X1371" s="13" t="n">
        <v>286</v>
      </c>
      <c r="Y1371" s="13" t="n">
        <v>18</v>
      </c>
      <c r="Z1371" s="13" t="n">
        <v>177</v>
      </c>
      <c r="AA1371" s="13" t="n">
        <v>0.39</v>
      </c>
      <c r="AB1371" s="13" t="n">
        <v>146</v>
      </c>
      <c r="AC1371" s="13" t="n">
        <v>100</v>
      </c>
      <c r="AD1371" s="13" t="n">
        <v>140</v>
      </c>
      <c r="AE1371" s="13" t="n">
        <v>3</v>
      </c>
      <c r="AF1371" s="13" t="n">
        <v>11.9</v>
      </c>
      <c r="AG1371" s="11" t="inlineStr">
        <is>
          <t xml:space="preserve"> Resort Freeride</t>
        </is>
      </c>
      <c r="AH1371" s="11" t="inlineStr">
        <is>
          <t xml:space="preserve"> Touring</t>
        </is>
      </c>
      <c r="AI1371" s="13" t="n"/>
      <c r="AJ1371" s="13" t="n"/>
      <c r="AK1371" s="42" t="n"/>
    </row>
    <row r="1372">
      <c r="E1372" s="40" t="inlineStr">
        <is>
          <t>21/22</t>
        </is>
      </c>
      <c r="F1372" s="10" t="inlineStr">
        <is>
          <t xml:space="preserve"> Völkl</t>
        </is>
      </c>
      <c r="G1372" s="11" t="inlineStr">
        <is>
          <t>Blaze 86</t>
        </is>
      </c>
      <c r="H1372" s="13" t="n">
        <v>173</v>
      </c>
      <c r="I1372" s="11" t="inlineStr">
        <is>
          <t xml:space="preserve"> Unisex</t>
        </is>
      </c>
      <c r="J1372" s="13" t="n">
        <v>173</v>
      </c>
      <c r="K1372" s="13" t="n">
        <v>174.7</v>
      </c>
      <c r="L1372" s="13" t="n">
        <v>129</v>
      </c>
      <c r="M1372" s="13" t="n">
        <v>150</v>
      </c>
      <c r="N1372" s="13" t="n">
        <v>128</v>
      </c>
      <c r="O1372" s="13" t="n">
        <v>85</v>
      </c>
      <c r="P1372" s="13" t="n">
        <v>110</v>
      </c>
      <c r="Q1372" s="13" t="n">
        <v>15.9</v>
      </c>
      <c r="R1372" s="13" t="n">
        <v>1451</v>
      </c>
      <c r="S1372" s="13" t="n">
        <v>1.19</v>
      </c>
      <c r="T1372" s="13" t="n">
        <v>1732</v>
      </c>
      <c r="U1372" s="13" t="n">
        <v>186</v>
      </c>
      <c r="V1372" s="13" t="n">
        <v>81</v>
      </c>
      <c r="W1372" s="13" t="n">
        <v>46</v>
      </c>
      <c r="X1372" s="13" t="n">
        <v>268</v>
      </c>
      <c r="Y1372" s="13" t="n">
        <v>17</v>
      </c>
      <c r="Z1372" s="13" t="n">
        <v>191</v>
      </c>
      <c r="AA1372" s="13" t="n">
        <v>0.38</v>
      </c>
      <c r="AB1372" s="13" t="n">
        <v>144</v>
      </c>
      <c r="AC1372" s="13" t="n">
        <v>102</v>
      </c>
      <c r="AD1372" s="13" t="n">
        <v>124</v>
      </c>
      <c r="AE1372" s="13" t="n">
        <v>3</v>
      </c>
      <c r="AF1372" s="13" t="n">
        <v>11.9</v>
      </c>
      <c r="AG1372" s="11" t="inlineStr">
        <is>
          <t xml:space="preserve"> Resort Freeride</t>
        </is>
      </c>
      <c r="AH1372" s="11" t="inlineStr">
        <is>
          <t xml:space="preserve"> Touring</t>
        </is>
      </c>
      <c r="AI1372" s="13" t="n"/>
      <c r="AJ1372" s="13" t="n"/>
      <c r="AK1372" s="42" t="n"/>
    </row>
    <row r="1373">
      <c r="E1373" s="40" t="inlineStr">
        <is>
          <t>21/22</t>
        </is>
      </c>
      <c r="F1373" s="10" t="inlineStr">
        <is>
          <t xml:space="preserve"> Völkl</t>
        </is>
      </c>
      <c r="G1373" s="11" t="inlineStr">
        <is>
          <t>Blaze 86</t>
        </is>
      </c>
      <c r="H1373" s="13" t="n">
        <v>180</v>
      </c>
      <c r="I1373" s="11" t="inlineStr">
        <is>
          <t xml:space="preserve"> Unisex</t>
        </is>
      </c>
      <c r="J1373" s="13" t="n">
        <v>180</v>
      </c>
      <c r="K1373" s="13" t="n">
        <v>179.6</v>
      </c>
      <c r="L1373" s="13" t="n">
        <v>129</v>
      </c>
      <c r="M1373" s="13" t="n">
        <v>155</v>
      </c>
      <c r="N1373" s="13" t="n">
        <v>128</v>
      </c>
      <c r="O1373" s="13" t="n">
        <v>85</v>
      </c>
      <c r="P1373" s="13" t="n">
        <v>110</v>
      </c>
      <c r="Q1373" s="13" t="n">
        <v>16.9</v>
      </c>
      <c r="R1373" s="13" t="n">
        <v>1483</v>
      </c>
      <c r="S1373" s="13" t="n">
        <v>1.2</v>
      </c>
      <c r="T1373" s="13" t="n">
        <v>1780</v>
      </c>
      <c r="U1373" s="13" t="n">
        <v>189</v>
      </c>
      <c r="V1373" s="13" t="n">
        <v>84</v>
      </c>
      <c r="W1373" s="13" t="n">
        <v>46</v>
      </c>
      <c r="X1373" s="13" t="n">
        <v>302</v>
      </c>
      <c r="Y1373" s="13" t="n">
        <v>18</v>
      </c>
      <c r="Z1373" s="13" t="n">
        <v>206</v>
      </c>
      <c r="AA1373" s="13" t="n">
        <v>0.399</v>
      </c>
      <c r="AB1373" s="13" t="n">
        <v>149</v>
      </c>
      <c r="AC1373" s="13" t="n">
        <v>99</v>
      </c>
      <c r="AD1373" s="13" t="n">
        <v>154</v>
      </c>
      <c r="AE1373" s="13" t="n">
        <v>2</v>
      </c>
      <c r="AF1373" s="13" t="n">
        <v>11</v>
      </c>
      <c r="AG1373" s="11" t="inlineStr">
        <is>
          <t xml:space="preserve"> Resort Freeride</t>
        </is>
      </c>
      <c r="AH1373" s="11" t="inlineStr">
        <is>
          <t xml:space="preserve"> Touring</t>
        </is>
      </c>
      <c r="AI1373" s="13" t="n"/>
      <c r="AJ1373" s="13" t="n"/>
      <c r="AK1373" s="42" t="n"/>
    </row>
    <row r="1374">
      <c r="E1374" s="40" t="inlineStr">
        <is>
          <t>21/22</t>
        </is>
      </c>
      <c r="F1374" s="10" t="inlineStr">
        <is>
          <t xml:space="preserve"> Völkl</t>
        </is>
      </c>
      <c r="G1374" s="11" t="inlineStr">
        <is>
          <t>Blaze 86 W</t>
        </is>
      </c>
      <c r="H1374" s="13" t="n">
        <v>146</v>
      </c>
      <c r="I1374" s="11" t="inlineStr">
        <is>
          <t xml:space="preserve"> Women's</t>
        </is>
      </c>
      <c r="J1374" s="13" t="n">
        <v>146</v>
      </c>
      <c r="K1374" s="13" t="n">
        <v>147.3</v>
      </c>
      <c r="L1374" s="13" t="n">
        <v>92</v>
      </c>
      <c r="M1374" s="13" t="n">
        <v>122</v>
      </c>
      <c r="N1374" s="13" t="n">
        <v>128</v>
      </c>
      <c r="O1374" s="13" t="n">
        <v>85</v>
      </c>
      <c r="P1374" s="13" t="n">
        <v>109</v>
      </c>
      <c r="Q1374" s="13" t="n">
        <v>10.1</v>
      </c>
      <c r="R1374" s="13" t="n">
        <v>1211</v>
      </c>
      <c r="S1374" s="13" t="n">
        <v>1.21</v>
      </c>
      <c r="T1374" s="13" t="n">
        <v>1467</v>
      </c>
      <c r="U1374" s="13" t="n">
        <v>156</v>
      </c>
      <c r="V1374" s="13" t="n">
        <v>75</v>
      </c>
      <c r="W1374" s="13" t="n">
        <v>48</v>
      </c>
      <c r="X1374" s="13" t="n">
        <v>337</v>
      </c>
      <c r="Y1374" s="13" t="n">
        <v>18</v>
      </c>
      <c r="Z1374" s="13" t="n">
        <v>218</v>
      </c>
      <c r="AA1374" s="13" t="n">
        <v>0.373</v>
      </c>
      <c r="AB1374" s="13" t="n">
        <v>149</v>
      </c>
      <c r="AC1374" s="13" t="n">
        <v>105</v>
      </c>
      <c r="AD1374" s="13" t="n">
        <v>188</v>
      </c>
      <c r="AE1374" s="13" t="n">
        <v>1</v>
      </c>
      <c r="AF1374" s="13" t="n">
        <v>11.5</v>
      </c>
      <c r="AG1374" s="11" t="inlineStr">
        <is>
          <t xml:space="preserve"> Resort Freeride</t>
        </is>
      </c>
      <c r="AH1374" s="11" t="inlineStr">
        <is>
          <t xml:space="preserve"> Touring</t>
        </is>
      </c>
      <c r="AI1374" s="13" t="n"/>
      <c r="AJ1374" s="13" t="n"/>
      <c r="AK1374" s="42" t="n"/>
    </row>
    <row r="1375">
      <c r="E1375" s="40" t="inlineStr">
        <is>
          <t>21/22</t>
        </is>
      </c>
      <c r="F1375" s="10" t="inlineStr">
        <is>
          <t xml:space="preserve"> Völkl</t>
        </is>
      </c>
      <c r="G1375" s="11" t="inlineStr">
        <is>
          <t>Blaze 86 W</t>
        </is>
      </c>
      <c r="H1375" s="13" t="n">
        <v>152</v>
      </c>
      <c r="I1375" s="11" t="inlineStr">
        <is>
          <t xml:space="preserve"> Women's</t>
        </is>
      </c>
      <c r="J1375" s="13" t="n">
        <v>152</v>
      </c>
      <c r="K1375" s="13" t="n">
        <v>152</v>
      </c>
      <c r="L1375" s="13" t="n">
        <v>91</v>
      </c>
      <c r="M1375" s="13" t="n">
        <v>127</v>
      </c>
      <c r="N1375" s="13" t="n">
        <v>129</v>
      </c>
      <c r="O1375" s="13" t="n">
        <v>86</v>
      </c>
      <c r="P1375" s="13" t="n">
        <v>110</v>
      </c>
      <c r="Q1375" s="13" t="n">
        <v>11.1</v>
      </c>
      <c r="R1375" s="13" t="n">
        <v>1234</v>
      </c>
      <c r="S1375" s="13" t="n">
        <v>1.23</v>
      </c>
      <c r="T1375" s="13" t="n">
        <v>1520</v>
      </c>
      <c r="U1375" s="13" t="n">
        <v>156</v>
      </c>
      <c r="V1375" s="13" t="n">
        <v>75</v>
      </c>
      <c r="W1375" s="13" t="n">
        <v>47</v>
      </c>
      <c r="X1375" s="13" t="n">
        <v>370</v>
      </c>
      <c r="Y1375" s="13" t="n">
        <v>19</v>
      </c>
      <c r="Z1375" s="13" t="n">
        <v>241</v>
      </c>
      <c r="AA1375" s="13" t="n">
        <v>0.397</v>
      </c>
      <c r="AB1375" s="13" t="n">
        <v>141</v>
      </c>
      <c r="AC1375" s="13" t="n">
        <v>104</v>
      </c>
      <c r="AD1375" s="13" t="n">
        <v>228</v>
      </c>
      <c r="AE1375" s="13" t="n">
        <v>1</v>
      </c>
      <c r="AF1375" s="13" t="n">
        <v>11.9</v>
      </c>
      <c r="AG1375" s="11" t="inlineStr">
        <is>
          <t xml:space="preserve"> Resort Freeride</t>
        </is>
      </c>
      <c r="AH1375" s="11" t="inlineStr">
        <is>
          <t xml:space="preserve"> Touring</t>
        </is>
      </c>
      <c r="AI1375" s="13" t="n"/>
      <c r="AJ1375" s="13" t="n"/>
      <c r="AK1375" s="42" t="n"/>
    </row>
    <row r="1376">
      <c r="E1376" s="40" t="inlineStr">
        <is>
          <t>21/22</t>
        </is>
      </c>
      <c r="F1376" s="10" t="inlineStr">
        <is>
          <t xml:space="preserve"> Völkl</t>
        </is>
      </c>
      <c r="G1376" s="11" t="inlineStr">
        <is>
          <t>Blaze 86 W</t>
        </is>
      </c>
      <c r="H1376" s="13" t="n">
        <v>159</v>
      </c>
      <c r="I1376" s="11" t="inlineStr">
        <is>
          <t xml:space="preserve"> Women's</t>
        </is>
      </c>
      <c r="J1376" s="13" t="n">
        <v>159</v>
      </c>
      <c r="K1376" s="13" t="n">
        <v>160.2</v>
      </c>
      <c r="L1376" s="13" t="n">
        <v>100</v>
      </c>
      <c r="M1376" s="13" t="n">
        <v>136</v>
      </c>
      <c r="N1376" s="13" t="n">
        <v>128</v>
      </c>
      <c r="O1376" s="13" t="n">
        <v>85</v>
      </c>
      <c r="P1376" s="13" t="n">
        <v>110</v>
      </c>
      <c r="Q1376" s="13" t="n">
        <v>12.7</v>
      </c>
      <c r="R1376" s="13" t="n">
        <v>1259</v>
      </c>
      <c r="S1376" s="13" t="n">
        <v>1.26</v>
      </c>
      <c r="T1376" s="13" t="n">
        <v>1589</v>
      </c>
      <c r="U1376" s="13" t="n">
        <v>157</v>
      </c>
      <c r="V1376" s="13" t="n">
        <v>74</v>
      </c>
      <c r="W1376" s="13" t="n">
        <v>49</v>
      </c>
      <c r="X1376" s="13" t="n">
        <v>374</v>
      </c>
      <c r="Y1376" s="13" t="n">
        <v>20</v>
      </c>
      <c r="Z1376" s="13" t="n">
        <v>227</v>
      </c>
      <c r="AA1376" s="13" t="n">
        <v>0.403</v>
      </c>
      <c r="AB1376" s="13" t="n">
        <v>143</v>
      </c>
      <c r="AC1376" s="13" t="n">
        <v>101</v>
      </c>
      <c r="AD1376" s="13" t="n">
        <v>231</v>
      </c>
      <c r="AE1376" s="13" t="n">
        <v>1</v>
      </c>
      <c r="AF1376" s="13" t="n">
        <v>11.5</v>
      </c>
      <c r="AG1376" s="11" t="inlineStr">
        <is>
          <t xml:space="preserve"> Resort Freeride</t>
        </is>
      </c>
      <c r="AH1376" s="11" t="inlineStr">
        <is>
          <t xml:space="preserve"> Touring</t>
        </is>
      </c>
      <c r="AI1376" s="11" t="inlineStr">
        <is>
          <t xml:space="preserve"> Ultralight Touring</t>
        </is>
      </c>
      <c r="AJ1376" s="13" t="n"/>
      <c r="AK1376" s="42" t="n"/>
    </row>
    <row r="1377">
      <c r="E1377" s="40" t="inlineStr">
        <is>
          <t>21/22</t>
        </is>
      </c>
      <c r="F1377" s="10" t="inlineStr">
        <is>
          <t xml:space="preserve"> Völkl</t>
        </is>
      </c>
      <c r="G1377" s="11" t="inlineStr">
        <is>
          <t>Blaze 86 W</t>
        </is>
      </c>
      <c r="H1377" s="13" t="n">
        <v>166</v>
      </c>
      <c r="I1377" s="11" t="inlineStr">
        <is>
          <t xml:space="preserve"> Women's</t>
        </is>
      </c>
      <c r="J1377" s="13" t="n">
        <v>166</v>
      </c>
      <c r="K1377" s="13" t="n">
        <v>167.3</v>
      </c>
      <c r="L1377" s="13" t="n">
        <v>97</v>
      </c>
      <c r="M1377" s="13" t="n">
        <v>143</v>
      </c>
      <c r="N1377" s="13" t="n">
        <v>128</v>
      </c>
      <c r="O1377" s="13" t="n">
        <v>85</v>
      </c>
      <c r="P1377" s="13" t="n">
        <v>110</v>
      </c>
      <c r="Q1377" s="13" t="n">
        <v>14.2</v>
      </c>
      <c r="R1377" s="13" t="n">
        <v>1411</v>
      </c>
      <c r="S1377" s="13" t="n">
        <v>1.18</v>
      </c>
      <c r="T1377" s="13" t="n">
        <v>1660</v>
      </c>
      <c r="U1377" s="13" t="n">
        <v>170</v>
      </c>
      <c r="V1377" s="13" t="n">
        <v>79</v>
      </c>
      <c r="W1377" s="13" t="n">
        <v>48</v>
      </c>
      <c r="X1377" s="13" t="n">
        <v>408</v>
      </c>
      <c r="Y1377" s="13" t="n">
        <v>18</v>
      </c>
      <c r="Z1377" s="13" t="n">
        <v>295</v>
      </c>
      <c r="AA1377" s="13" t="n">
        <v>0.375</v>
      </c>
      <c r="AB1377" s="13" t="n">
        <v>144</v>
      </c>
      <c r="AC1377" s="13" t="n">
        <v>100</v>
      </c>
      <c r="AD1377" s="13" t="n">
        <v>265</v>
      </c>
      <c r="AE1377" s="13" t="n">
        <v>1</v>
      </c>
      <c r="AF1377" s="13" t="n">
        <v>11.7</v>
      </c>
      <c r="AG1377" s="11" t="inlineStr">
        <is>
          <t xml:space="preserve"> Resort Freeride</t>
        </is>
      </c>
      <c r="AH1377" s="11" t="inlineStr">
        <is>
          <t xml:space="preserve"> Touring</t>
        </is>
      </c>
      <c r="AI1377" s="13" t="n"/>
      <c r="AJ1377" s="13" t="n"/>
      <c r="AK1377" s="42" t="n"/>
    </row>
    <row r="1378">
      <c r="E1378" s="40" t="inlineStr">
        <is>
          <t>21/22</t>
        </is>
      </c>
      <c r="F1378" s="10" t="inlineStr">
        <is>
          <t xml:space="preserve"> Völkl</t>
        </is>
      </c>
      <c r="G1378" s="11" t="inlineStr">
        <is>
          <t>Blaze 94</t>
        </is>
      </c>
      <c r="H1378" s="13" t="n">
        <v>158</v>
      </c>
      <c r="I1378" s="11" t="inlineStr">
        <is>
          <t xml:space="preserve"> Unisex</t>
        </is>
      </c>
      <c r="J1378" s="13" t="n">
        <v>158</v>
      </c>
      <c r="K1378" s="13" t="n">
        <v>159.4</v>
      </c>
      <c r="L1378" s="13" t="n">
        <v>80</v>
      </c>
      <c r="M1378" s="13" t="n">
        <v>135</v>
      </c>
      <c r="N1378" s="13" t="n">
        <v>133</v>
      </c>
      <c r="O1378" s="13" t="n">
        <v>93</v>
      </c>
      <c r="P1378" s="13" t="n">
        <v>115</v>
      </c>
      <c r="Q1378" s="13" t="n">
        <v>13.6</v>
      </c>
      <c r="R1378" s="13" t="n">
        <v>1430</v>
      </c>
      <c r="S1378" s="13" t="n">
        <v>1.18</v>
      </c>
      <c r="T1378" s="13" t="n">
        <v>1692</v>
      </c>
      <c r="U1378" s="13" t="n">
        <v>169</v>
      </c>
      <c r="V1378" s="13" t="n">
        <v>90</v>
      </c>
      <c r="W1378" s="13" t="n">
        <v>48</v>
      </c>
      <c r="X1378" s="13" t="n">
        <v>456</v>
      </c>
      <c r="Y1378" s="13" t="n">
        <v>21</v>
      </c>
      <c r="Z1378" s="13" t="n">
        <v>337</v>
      </c>
      <c r="AA1378" s="13" t="n">
        <v>0.435</v>
      </c>
      <c r="AB1378" s="13" t="n">
        <v>141</v>
      </c>
      <c r="AC1378" s="13" t="n">
        <v>104</v>
      </c>
      <c r="AD1378" s="13" t="n">
        <v>315</v>
      </c>
      <c r="AE1378" s="13" t="n">
        <v>1</v>
      </c>
      <c r="AF1378" s="13" t="n">
        <v>12.3</v>
      </c>
      <c r="AG1378" s="11" t="inlineStr">
        <is>
          <t xml:space="preserve"> Resort Freeride</t>
        </is>
      </c>
      <c r="AH1378" s="11" t="inlineStr">
        <is>
          <t xml:space="preserve"> Touring</t>
        </is>
      </c>
      <c r="AI1378" s="13" t="n"/>
      <c r="AJ1378" s="13" t="n"/>
      <c r="AK1378" s="42" t="n"/>
    </row>
    <row r="1379">
      <c r="E1379" s="40" t="inlineStr">
        <is>
          <t>21/22</t>
        </is>
      </c>
      <c r="F1379" s="10" t="inlineStr">
        <is>
          <t xml:space="preserve"> Völkl</t>
        </is>
      </c>
      <c r="G1379" s="11" t="inlineStr">
        <is>
          <t>Blaze 94</t>
        </is>
      </c>
      <c r="H1379" s="13" t="n">
        <v>165</v>
      </c>
      <c r="I1379" s="11" t="inlineStr">
        <is>
          <t xml:space="preserve"> Unisex</t>
        </is>
      </c>
      <c r="J1379" s="13" t="n">
        <v>165</v>
      </c>
      <c r="K1379" s="13" t="n">
        <v>164.4</v>
      </c>
      <c r="L1379" s="13" t="n">
        <v>83</v>
      </c>
      <c r="M1379" s="13" t="n">
        <v>140</v>
      </c>
      <c r="N1379" s="13" t="n">
        <v>133</v>
      </c>
      <c r="O1379" s="13" t="n">
        <v>93</v>
      </c>
      <c r="P1379" s="13" t="n">
        <v>116</v>
      </c>
      <c r="Q1379" s="13" t="n">
        <v>14.8</v>
      </c>
      <c r="R1379" s="13" t="n">
        <v>1448</v>
      </c>
      <c r="S1379" s="13" t="n">
        <v>1.2</v>
      </c>
      <c r="T1379" s="13" t="n">
        <v>1744</v>
      </c>
      <c r="U1379" s="13" t="n">
        <v>182</v>
      </c>
      <c r="V1379" s="13" t="n">
        <v>90</v>
      </c>
      <c r="W1379" s="13" t="n">
        <v>48</v>
      </c>
      <c r="X1379" s="13" t="n">
        <v>465</v>
      </c>
      <c r="Y1379" s="13" t="n">
        <v>21</v>
      </c>
      <c r="Z1379" s="13" t="n">
        <v>345</v>
      </c>
      <c r="AA1379" s="13" t="n">
        <v>0.442</v>
      </c>
      <c r="AB1379" s="13" t="n">
        <v>139</v>
      </c>
      <c r="AC1379" s="13" t="n">
        <v>103</v>
      </c>
      <c r="AD1379" s="13" t="n">
        <v>326</v>
      </c>
      <c r="AE1379" s="13" t="n">
        <v>1</v>
      </c>
      <c r="AF1379" s="13" t="n">
        <v>12</v>
      </c>
      <c r="AG1379" s="11" t="inlineStr">
        <is>
          <t xml:space="preserve"> Resort Freeride</t>
        </is>
      </c>
      <c r="AH1379" s="11" t="inlineStr">
        <is>
          <t xml:space="preserve"> Touring</t>
        </is>
      </c>
      <c r="AI1379" s="13" t="n"/>
      <c r="AJ1379" s="13" t="n"/>
      <c r="AK1379" s="42" t="n"/>
    </row>
    <row r="1380">
      <c r="E1380" s="40" t="inlineStr">
        <is>
          <t>21/22</t>
        </is>
      </c>
      <c r="F1380" s="10" t="inlineStr">
        <is>
          <t xml:space="preserve"> Völkl</t>
        </is>
      </c>
      <c r="G1380" s="11" t="inlineStr">
        <is>
          <t>Blaze 94</t>
        </is>
      </c>
      <c r="H1380" s="13" t="n">
        <v>172</v>
      </c>
      <c r="I1380" s="11" t="inlineStr">
        <is>
          <t xml:space="preserve"> Unisex</t>
        </is>
      </c>
      <c r="J1380" s="13" t="n">
        <v>172</v>
      </c>
      <c r="K1380" s="13" t="n">
        <v>171.7</v>
      </c>
      <c r="L1380" s="13" t="n">
        <v>74</v>
      </c>
      <c r="M1380" s="13" t="n">
        <v>147</v>
      </c>
      <c r="N1380" s="13" t="n">
        <v>133</v>
      </c>
      <c r="O1380" s="13" t="n">
        <v>93</v>
      </c>
      <c r="P1380" s="13" t="n">
        <v>115</v>
      </c>
      <c r="Q1380" s="13" t="n">
        <v>16.4</v>
      </c>
      <c r="R1380" s="13" t="n">
        <v>1513</v>
      </c>
      <c r="S1380" s="13" t="n">
        <v>1.2</v>
      </c>
      <c r="T1380" s="13" t="n">
        <v>1820</v>
      </c>
      <c r="U1380" s="13" t="n">
        <v>157</v>
      </c>
      <c r="V1380" s="13" t="n">
        <v>90</v>
      </c>
      <c r="W1380" s="13" t="n">
        <v>48</v>
      </c>
      <c r="X1380" s="13" t="n">
        <v>536</v>
      </c>
      <c r="Y1380" s="13" t="n">
        <v>22</v>
      </c>
      <c r="Z1380" s="13" t="n">
        <v>436</v>
      </c>
      <c r="AA1380" s="13" t="n">
        <v>0.45</v>
      </c>
      <c r="AB1380" s="13" t="n">
        <v>138</v>
      </c>
      <c r="AC1380" s="13" t="n">
        <v>105</v>
      </c>
      <c r="AD1380" s="13" t="n">
        <v>397</v>
      </c>
      <c r="AE1380" s="13" t="n">
        <v>1</v>
      </c>
      <c r="AF1380" s="13" t="n">
        <v>12.2</v>
      </c>
      <c r="AG1380" s="11" t="inlineStr">
        <is>
          <t xml:space="preserve"> Resort Freeride</t>
        </is>
      </c>
      <c r="AH1380" s="11" t="inlineStr">
        <is>
          <t xml:space="preserve"> Touring</t>
        </is>
      </c>
      <c r="AI1380" s="13" t="n"/>
      <c r="AJ1380" s="13" t="n"/>
      <c r="AK1380" s="42" t="n"/>
    </row>
    <row r="1381">
      <c r="E1381" s="40" t="inlineStr">
        <is>
          <t>21/22</t>
        </is>
      </c>
      <c r="F1381" s="10" t="inlineStr">
        <is>
          <t xml:space="preserve"> Völkl</t>
        </is>
      </c>
      <c r="G1381" s="11" t="inlineStr">
        <is>
          <t>Blaze 94</t>
        </is>
      </c>
      <c r="H1381" s="13" t="n">
        <v>179</v>
      </c>
      <c r="I1381" s="11" t="inlineStr">
        <is>
          <t xml:space="preserve"> Unisex</t>
        </is>
      </c>
      <c r="J1381" s="13" t="n">
        <v>179</v>
      </c>
      <c r="K1381" s="13" t="n">
        <v>177.1</v>
      </c>
      <c r="L1381" s="13" t="n">
        <v>89</v>
      </c>
      <c r="M1381" s="13" t="n">
        <v>155</v>
      </c>
      <c r="N1381" s="13" t="n">
        <v>133</v>
      </c>
      <c r="O1381" s="13" t="n">
        <v>93</v>
      </c>
      <c r="P1381" s="13" t="n">
        <v>115</v>
      </c>
      <c r="Q1381" s="13" t="n">
        <v>18.2</v>
      </c>
      <c r="R1381" s="13" t="n">
        <v>1546</v>
      </c>
      <c r="S1381" s="13" t="n">
        <v>1.21</v>
      </c>
      <c r="T1381" s="13" t="n">
        <v>1878</v>
      </c>
      <c r="U1381" s="13" t="n">
        <v>168</v>
      </c>
      <c r="V1381" s="13" t="n">
        <v>92</v>
      </c>
      <c r="W1381" s="13" t="n">
        <v>39</v>
      </c>
      <c r="X1381" s="13" t="n">
        <v>506</v>
      </c>
      <c r="Y1381" s="13" t="n">
        <v>23</v>
      </c>
      <c r="Z1381" s="13" t="n">
        <v>374</v>
      </c>
      <c r="AA1381" s="13" t="n">
        <v>0.581</v>
      </c>
      <c r="AB1381" s="13" t="n">
        <v>118</v>
      </c>
      <c r="AC1381" s="13" t="n">
        <v>102</v>
      </c>
      <c r="AD1381" s="13" t="n">
        <v>388</v>
      </c>
      <c r="AE1381" s="13" t="n">
        <v>1</v>
      </c>
      <c r="AF1381" s="13" t="n">
        <v>12.5</v>
      </c>
      <c r="AG1381" s="11" t="inlineStr">
        <is>
          <t xml:space="preserve"> Resort Freeride</t>
        </is>
      </c>
      <c r="AH1381" s="11" t="inlineStr">
        <is>
          <t xml:space="preserve"> Touring</t>
        </is>
      </c>
      <c r="AI1381" s="13" t="n"/>
      <c r="AJ1381" s="13" t="n"/>
      <c r="AK1381" s="42" t="n"/>
    </row>
    <row r="1382">
      <c r="E1382" s="40" t="inlineStr">
        <is>
          <t>21/22</t>
        </is>
      </c>
      <c r="F1382" s="10" t="inlineStr">
        <is>
          <t xml:space="preserve"> Völkl</t>
        </is>
      </c>
      <c r="G1382" s="11" t="inlineStr">
        <is>
          <t>Blaze 94</t>
        </is>
      </c>
      <c r="H1382" s="13" t="n">
        <v>186</v>
      </c>
      <c r="I1382" s="11" t="inlineStr">
        <is>
          <t xml:space="preserve"> Unisex</t>
        </is>
      </c>
      <c r="J1382" s="13" t="n">
        <v>186</v>
      </c>
      <c r="K1382" s="13" t="n">
        <v>186.6</v>
      </c>
      <c r="L1382" s="13" t="n">
        <v>104</v>
      </c>
      <c r="M1382" s="13" t="n">
        <v>163</v>
      </c>
      <c r="N1382" s="13" t="n">
        <v>133</v>
      </c>
      <c r="O1382" s="13" t="n">
        <v>93</v>
      </c>
      <c r="P1382" s="13" t="n">
        <v>116</v>
      </c>
      <c r="Q1382" s="13" t="n">
        <v>20</v>
      </c>
      <c r="R1382" s="13" t="n">
        <v>1699</v>
      </c>
      <c r="S1382" s="13" t="n">
        <v>1.16</v>
      </c>
      <c r="T1382" s="13" t="n">
        <v>1976</v>
      </c>
      <c r="U1382" s="13" t="n">
        <v>232</v>
      </c>
      <c r="V1382" s="13" t="n">
        <v>111</v>
      </c>
      <c r="W1382" s="13" t="n">
        <v>47</v>
      </c>
      <c r="X1382" s="13" t="n">
        <v>477</v>
      </c>
      <c r="Y1382" s="13" t="n">
        <v>22</v>
      </c>
      <c r="Z1382" s="13" t="n">
        <v>345</v>
      </c>
      <c r="AA1382" s="13" t="n">
        <v>0.46</v>
      </c>
      <c r="AB1382" s="13" t="n">
        <v>138</v>
      </c>
      <c r="AC1382" s="13" t="n">
        <v>102</v>
      </c>
      <c r="AD1382" s="13" t="n">
        <v>338</v>
      </c>
      <c r="AE1382" s="13" t="n">
        <v>2</v>
      </c>
      <c r="AF1382" s="13" t="n">
        <v>11.6</v>
      </c>
      <c r="AG1382" s="11" t="inlineStr">
        <is>
          <t xml:space="preserve"> Resort Freeride</t>
        </is>
      </c>
      <c r="AH1382" s="11" t="inlineStr">
        <is>
          <t xml:space="preserve"> Touring</t>
        </is>
      </c>
      <c r="AI1382" s="13" t="n"/>
      <c r="AJ1382" s="13" t="n"/>
      <c r="AK1382" s="42" t="n"/>
    </row>
    <row r="1383">
      <c r="E1383" s="40" t="inlineStr">
        <is>
          <t>21/22</t>
        </is>
      </c>
      <c r="F1383" s="10" t="inlineStr">
        <is>
          <t xml:space="preserve"> Völkl</t>
        </is>
      </c>
      <c r="G1383" s="11" t="inlineStr">
        <is>
          <t>Blaze 94 W</t>
        </is>
      </c>
      <c r="H1383" s="13" t="n">
        <v>151</v>
      </c>
      <c r="I1383" s="11" t="inlineStr">
        <is>
          <t xml:space="preserve"> Women's</t>
        </is>
      </c>
      <c r="J1383" s="13" t="n">
        <v>151</v>
      </c>
      <c r="K1383" s="13" t="n">
        <v>152.7</v>
      </c>
      <c r="L1383" s="13" t="n">
        <v>76</v>
      </c>
      <c r="M1383" s="13" t="n">
        <v>128</v>
      </c>
      <c r="N1383" s="13" t="n">
        <v>133</v>
      </c>
      <c r="O1383" s="13" t="n">
        <v>93</v>
      </c>
      <c r="P1383" s="13" t="n">
        <v>115</v>
      </c>
      <c r="Q1383" s="13" t="n">
        <v>12.4</v>
      </c>
      <c r="R1383" s="13" t="n">
        <v>1354</v>
      </c>
      <c r="S1383" s="13" t="n">
        <v>1.2</v>
      </c>
      <c r="T1383" s="13" t="n">
        <v>1618</v>
      </c>
      <c r="U1383" s="13" t="n">
        <v>162</v>
      </c>
      <c r="V1383" s="13" t="n">
        <v>79</v>
      </c>
      <c r="W1383" s="13" t="n">
        <v>50</v>
      </c>
      <c r="X1383" s="13" t="n">
        <v>443</v>
      </c>
      <c r="Y1383" s="13" t="n">
        <v>22</v>
      </c>
      <c r="Z1383" s="13" t="n">
        <v>323</v>
      </c>
      <c r="AA1383" s="13" t="n">
        <v>0.442</v>
      </c>
      <c r="AB1383" s="13" t="n">
        <v>144</v>
      </c>
      <c r="AC1383" s="13" t="n">
        <v>106</v>
      </c>
      <c r="AD1383" s="13" t="n">
        <v>299</v>
      </c>
      <c r="AE1383" s="13" t="n">
        <v>2</v>
      </c>
      <c r="AF1383" s="13" t="n">
        <v>11.4</v>
      </c>
      <c r="AG1383" s="11" t="inlineStr">
        <is>
          <t xml:space="preserve"> Resort Freeride</t>
        </is>
      </c>
      <c r="AH1383" s="11" t="inlineStr">
        <is>
          <t xml:space="preserve"> Touring</t>
        </is>
      </c>
      <c r="AI1383" s="13" t="n"/>
      <c r="AJ1383" s="13" t="n"/>
      <c r="AK1383" s="42" t="n"/>
    </row>
    <row r="1384">
      <c r="E1384" s="40" t="inlineStr">
        <is>
          <t>21/22</t>
        </is>
      </c>
      <c r="F1384" s="10" t="inlineStr">
        <is>
          <t xml:space="preserve"> Völkl</t>
        </is>
      </c>
      <c r="G1384" s="11" t="inlineStr">
        <is>
          <t>Blaze 94 W</t>
        </is>
      </c>
      <c r="H1384" s="13" t="n">
        <v>158</v>
      </c>
      <c r="I1384" s="11" t="inlineStr">
        <is>
          <t xml:space="preserve"> Women's</t>
        </is>
      </c>
      <c r="J1384" s="13" t="n">
        <v>158</v>
      </c>
      <c r="K1384" s="13" t="n">
        <v>159.7</v>
      </c>
      <c r="L1384" s="13" t="n">
        <v>81</v>
      </c>
      <c r="M1384" s="13" t="n">
        <v>136</v>
      </c>
      <c r="N1384" s="13" t="n">
        <v>133</v>
      </c>
      <c r="O1384" s="13" t="n">
        <v>93</v>
      </c>
      <c r="P1384" s="13" t="n">
        <v>115</v>
      </c>
      <c r="Q1384" s="13" t="n">
        <v>14</v>
      </c>
      <c r="R1384" s="13" t="n">
        <v>1399</v>
      </c>
      <c r="S1384" s="13" t="n">
        <v>1.21</v>
      </c>
      <c r="T1384" s="13" t="n">
        <v>1689</v>
      </c>
      <c r="U1384" s="13" t="n">
        <v>166</v>
      </c>
      <c r="V1384" s="13" t="n">
        <v>80</v>
      </c>
      <c r="W1384" s="13" t="n">
        <v>51</v>
      </c>
      <c r="X1384" s="13" t="n">
        <v>455</v>
      </c>
      <c r="Y1384" s="13" t="n">
        <v>22</v>
      </c>
      <c r="Z1384" s="13" t="n">
        <v>331</v>
      </c>
      <c r="AA1384" s="13" t="n">
        <v>0.431</v>
      </c>
      <c r="AB1384" s="13" t="n">
        <v>137</v>
      </c>
      <c r="AC1384" s="13" t="n">
        <v>103</v>
      </c>
      <c r="AD1384" s="13" t="n">
        <v>318</v>
      </c>
      <c r="AE1384" s="13" t="n">
        <v>2</v>
      </c>
      <c r="AF1384" s="13" t="n">
        <v>11.5</v>
      </c>
      <c r="AG1384" s="11" t="inlineStr">
        <is>
          <t xml:space="preserve"> Resort Freeride</t>
        </is>
      </c>
      <c r="AH1384" s="11" t="inlineStr">
        <is>
          <t xml:space="preserve"> Touring</t>
        </is>
      </c>
      <c r="AI1384" s="13" t="n"/>
      <c r="AJ1384" s="13" t="n"/>
      <c r="AK1384" s="42" t="n"/>
    </row>
    <row r="1385">
      <c r="E1385" s="40" t="inlineStr">
        <is>
          <t>21/22</t>
        </is>
      </c>
      <c r="F1385" s="10" t="inlineStr">
        <is>
          <t xml:space="preserve"> Völkl</t>
        </is>
      </c>
      <c r="G1385" s="11" t="inlineStr">
        <is>
          <t>Blaze 94 W</t>
        </is>
      </c>
      <c r="H1385" s="13" t="n">
        <v>165</v>
      </c>
      <c r="I1385" s="11" t="inlineStr">
        <is>
          <t xml:space="preserve"> Women's</t>
        </is>
      </c>
      <c r="J1385" s="13" t="n">
        <v>165</v>
      </c>
      <c r="K1385" s="13" t="n">
        <v>164.5</v>
      </c>
      <c r="L1385" s="13" t="n">
        <v>75</v>
      </c>
      <c r="M1385" s="13" t="n">
        <v>140</v>
      </c>
      <c r="N1385" s="13" t="n">
        <v>133</v>
      </c>
      <c r="O1385" s="13" t="n">
        <v>93</v>
      </c>
      <c r="P1385" s="13" t="n">
        <v>115</v>
      </c>
      <c r="Q1385" s="13" t="n">
        <v>15.1</v>
      </c>
      <c r="R1385" s="13" t="n">
        <v>1458</v>
      </c>
      <c r="S1385" s="13" t="n">
        <v>1.19</v>
      </c>
      <c r="T1385" s="13" t="n">
        <v>1740</v>
      </c>
      <c r="U1385" s="13" t="n">
        <v>177</v>
      </c>
      <c r="V1385" s="13" t="n">
        <v>86</v>
      </c>
      <c r="W1385" s="13" t="n">
        <v>53</v>
      </c>
      <c r="X1385" s="13" t="n">
        <v>532</v>
      </c>
      <c r="Y1385" s="13" t="n">
        <v>23</v>
      </c>
      <c r="Z1385" s="13" t="n">
        <v>360</v>
      </c>
      <c r="AA1385" s="13" t="n">
        <v>0.429</v>
      </c>
      <c r="AB1385" s="13" t="n">
        <v>140</v>
      </c>
      <c r="AC1385" s="13" t="n">
        <v>101</v>
      </c>
      <c r="AD1385" s="13" t="n">
        <v>391</v>
      </c>
      <c r="AE1385" s="13" t="n">
        <v>1</v>
      </c>
      <c r="AF1385" s="13" t="n">
        <v>11.9</v>
      </c>
      <c r="AG1385" s="11" t="inlineStr">
        <is>
          <t xml:space="preserve"> Resort Freeride</t>
        </is>
      </c>
      <c r="AH1385" s="11" t="inlineStr">
        <is>
          <t xml:space="preserve"> Touring</t>
        </is>
      </c>
      <c r="AI1385" s="13" t="n"/>
      <c r="AJ1385" s="13" t="n"/>
      <c r="AK1385" s="42" t="n"/>
    </row>
    <row r="1386">
      <c r="E1386" s="40" t="inlineStr">
        <is>
          <t>21/22</t>
        </is>
      </c>
      <c r="F1386" s="10" t="inlineStr">
        <is>
          <t xml:space="preserve"> Völkl</t>
        </is>
      </c>
      <c r="G1386" s="11" t="inlineStr">
        <is>
          <t>Blaze 94 W</t>
        </is>
      </c>
      <c r="H1386" s="13" t="n">
        <v>172</v>
      </c>
      <c r="I1386" s="11" t="inlineStr">
        <is>
          <t xml:space="preserve"> Women's</t>
        </is>
      </c>
      <c r="J1386" s="13" t="n">
        <v>172</v>
      </c>
      <c r="K1386" s="13" t="n">
        <v>171.9</v>
      </c>
      <c r="L1386" s="13" t="n">
        <v>70</v>
      </c>
      <c r="M1386" s="13" t="n">
        <v>148</v>
      </c>
      <c r="N1386" s="13" t="n">
        <v>133</v>
      </c>
      <c r="O1386" s="13" t="n">
        <v>93</v>
      </c>
      <c r="P1386" s="13" t="n">
        <v>115</v>
      </c>
      <c r="Q1386" s="13" t="n">
        <v>16.8</v>
      </c>
      <c r="R1386" s="13" t="n">
        <v>1508</v>
      </c>
      <c r="S1386" s="13" t="n">
        <v>1.21</v>
      </c>
      <c r="T1386" s="13" t="n">
        <v>1817</v>
      </c>
      <c r="U1386" s="13" t="n">
        <v>164</v>
      </c>
      <c r="V1386" s="13" t="n">
        <v>81</v>
      </c>
      <c r="W1386" s="13" t="n">
        <v>53</v>
      </c>
      <c r="X1386" s="13" t="n">
        <v>589</v>
      </c>
      <c r="Y1386" s="13" t="n">
        <v>23</v>
      </c>
      <c r="Z1386" s="13" t="n">
        <v>432</v>
      </c>
      <c r="AA1386" s="13" t="n">
        <v>0.437</v>
      </c>
      <c r="AB1386" s="13" t="n">
        <v>136</v>
      </c>
      <c r="AC1386" s="13" t="n">
        <v>104</v>
      </c>
      <c r="AD1386" s="13" t="n">
        <v>453</v>
      </c>
      <c r="AE1386" s="13" t="n">
        <v>1</v>
      </c>
      <c r="AF1386" s="13" t="n">
        <v>11</v>
      </c>
      <c r="AG1386" s="11" t="inlineStr">
        <is>
          <t xml:space="preserve"> Resort Freeride</t>
        </is>
      </c>
      <c r="AH1386" s="11" t="inlineStr">
        <is>
          <t xml:space="preserve"> Touring</t>
        </is>
      </c>
      <c r="AI1386" s="13" t="n"/>
      <c r="AJ1386" s="13" t="n"/>
      <c r="AK1386" s="42" t="n"/>
    </row>
    <row r="1387">
      <c r="E1387" s="40" t="inlineStr">
        <is>
          <t>21/22</t>
        </is>
      </c>
      <c r="F1387" s="10" t="inlineStr">
        <is>
          <t xml:space="preserve"> Völkl</t>
        </is>
      </c>
      <c r="G1387" s="11" t="inlineStr">
        <is>
          <t>BMT109</t>
        </is>
      </c>
      <c r="H1387" s="13" t="n">
        <v>186</v>
      </c>
      <c r="I1387" s="11" t="inlineStr">
        <is>
          <t xml:space="preserve"> Unisex</t>
        </is>
      </c>
      <c r="J1387" s="13" t="n">
        <v>186</v>
      </c>
      <c r="K1387" s="13" t="n">
        <v>187.2</v>
      </c>
      <c r="L1387" s="13" t="n">
        <v>0</v>
      </c>
      <c r="M1387" s="13" t="n">
        <v>146</v>
      </c>
      <c r="N1387" s="13" t="n">
        <v>133</v>
      </c>
      <c r="O1387" s="13" t="n">
        <v>108</v>
      </c>
      <c r="P1387" s="13" t="n">
        <v>118</v>
      </c>
      <c r="Q1387" s="13" t="n">
        <v>27.1</v>
      </c>
      <c r="R1387" s="13" t="n">
        <v>1741</v>
      </c>
      <c r="S1387" s="13" t="n">
        <v>1.25</v>
      </c>
      <c r="T1387" s="13" t="n">
        <v>2170</v>
      </c>
      <c r="U1387" s="13" t="n">
        <v>207</v>
      </c>
      <c r="V1387" s="13" t="n">
        <v>138</v>
      </c>
      <c r="W1387" s="13" t="n">
        <v>52</v>
      </c>
      <c r="X1387" s="13" t="n">
        <v>1038</v>
      </c>
      <c r="Y1387" s="13" t="n">
        <v>28</v>
      </c>
      <c r="Z1387" s="13" t="n">
        <v>834</v>
      </c>
      <c r="AA1387" s="13" t="n">
        <v>0.528</v>
      </c>
      <c r="AB1387" s="13" t="n">
        <v>205</v>
      </c>
      <c r="AC1387" s="13" t="n">
        <v>210</v>
      </c>
      <c r="AD1387" s="13" t="n">
        <v>833</v>
      </c>
      <c r="AE1387" s="13" t="n">
        <v>-6</v>
      </c>
      <c r="AF1387" s="13" t="n">
        <v>10.2</v>
      </c>
      <c r="AG1387" s="11" t="inlineStr">
        <is>
          <t xml:space="preserve"> Powder</t>
        </is>
      </c>
      <c r="AH1387" s="11" t="inlineStr">
        <is>
          <t xml:space="preserve"> Touring</t>
        </is>
      </c>
      <c r="AI1387" s="13" t="n"/>
      <c r="AJ1387" s="13" t="n"/>
      <c r="AK1387" s="42" t="n"/>
    </row>
    <row r="1388">
      <c r="E1388" s="40" t="inlineStr">
        <is>
          <t>21/22</t>
        </is>
      </c>
      <c r="F1388" s="10" t="inlineStr">
        <is>
          <t xml:space="preserve"> Völkl</t>
        </is>
      </c>
      <c r="G1388" s="11" t="inlineStr">
        <is>
          <t>Deacon 79</t>
        </is>
      </c>
      <c r="H1388" s="13" t="n">
        <v>170</v>
      </c>
      <c r="I1388" s="11" t="inlineStr">
        <is>
          <t xml:space="preserve"> Unisex</t>
        </is>
      </c>
      <c r="J1388" s="13" t="n">
        <v>170</v>
      </c>
      <c r="K1388" s="13" t="n">
        <v>169.3</v>
      </c>
      <c r="L1388" s="13" t="n">
        <v>144</v>
      </c>
      <c r="M1388" s="13" t="n">
        <v>157</v>
      </c>
      <c r="N1388" s="13" t="n">
        <v>128</v>
      </c>
      <c r="O1388" s="13" t="n">
        <v>78</v>
      </c>
      <c r="P1388" s="13" t="n">
        <v>108</v>
      </c>
      <c r="Q1388" s="13" t="n">
        <v>15.5</v>
      </c>
      <c r="R1388" s="13" t="n">
        <v>1717</v>
      </c>
      <c r="S1388" s="13" t="n">
        <v>0.91</v>
      </c>
      <c r="T1388" s="13" t="n">
        <v>1568</v>
      </c>
      <c r="U1388" s="13" t="n">
        <v>189</v>
      </c>
      <c r="V1388" s="13" t="n">
        <v>73</v>
      </c>
      <c r="W1388" s="13" t="n">
        <v>35</v>
      </c>
      <c r="X1388" s="13" t="n">
        <v>174</v>
      </c>
      <c r="Y1388" s="13" t="n">
        <v>5</v>
      </c>
      <c r="Z1388" s="13" t="n">
        <v>83</v>
      </c>
      <c r="AA1388" s="13" t="n">
        <v>0.136</v>
      </c>
      <c r="AB1388" s="13" t="n">
        <v>69</v>
      </c>
      <c r="AC1388" s="13" t="n">
        <v>51</v>
      </c>
      <c r="AD1388" s="13" t="n">
        <v>105</v>
      </c>
      <c r="AE1388" s="13" t="n">
        <v>10</v>
      </c>
      <c r="AF1388" s="13" t="n">
        <v>11.4</v>
      </c>
      <c r="AG1388" s="11" t="inlineStr">
        <is>
          <t xml:space="preserve"> On-Piste Carving</t>
        </is>
      </c>
      <c r="AH1388" s="13" t="n"/>
      <c r="AI1388" s="13" t="n"/>
      <c r="AJ1388" s="13" t="n"/>
      <c r="AK1388" s="42" t="n"/>
    </row>
    <row r="1389">
      <c r="E1389" s="40" t="inlineStr">
        <is>
          <t>21/22</t>
        </is>
      </c>
      <c r="F1389" s="10" t="inlineStr">
        <is>
          <t xml:space="preserve"> Völkl</t>
        </is>
      </c>
      <c r="G1389" s="11" t="inlineStr">
        <is>
          <t>Deacon 79</t>
        </is>
      </c>
      <c r="H1389" s="13" t="n">
        <v>177</v>
      </c>
      <c r="I1389" s="11" t="inlineStr">
        <is>
          <t xml:space="preserve"> Unisex</t>
        </is>
      </c>
      <c r="J1389" s="13" t="n">
        <v>177</v>
      </c>
      <c r="K1389" s="13" t="n">
        <v>177</v>
      </c>
      <c r="L1389" s="13" t="n">
        <v>158</v>
      </c>
      <c r="M1389" s="13" t="n">
        <v>165</v>
      </c>
      <c r="N1389" s="13" t="n">
        <v>128</v>
      </c>
      <c r="O1389" s="13" t="n">
        <v>78</v>
      </c>
      <c r="P1389" s="13" t="n">
        <v>108</v>
      </c>
      <c r="Q1389" s="13" t="n">
        <v>17.1</v>
      </c>
      <c r="R1389" s="13" t="n">
        <v>1831</v>
      </c>
      <c r="S1389" s="13" t="n">
        <v>0.89</v>
      </c>
      <c r="T1389" s="13" t="n">
        <v>1637</v>
      </c>
      <c r="U1389" s="13" t="n">
        <v>215</v>
      </c>
      <c r="V1389" s="13" t="n">
        <v>79</v>
      </c>
      <c r="W1389" s="13" t="n">
        <v>34</v>
      </c>
      <c r="X1389" s="13" t="n">
        <v>126</v>
      </c>
      <c r="Y1389" s="13" t="n">
        <v>5</v>
      </c>
      <c r="Z1389" s="13" t="n">
        <v>65</v>
      </c>
      <c r="AA1389" s="13" t="n">
        <v>0.159</v>
      </c>
      <c r="AB1389" s="13" t="n">
        <v>69</v>
      </c>
      <c r="AC1389" s="13" t="n">
        <v>50</v>
      </c>
      <c r="AD1389" s="13" t="n">
        <v>57</v>
      </c>
      <c r="AE1389" s="13" t="n">
        <v>7</v>
      </c>
      <c r="AF1389" s="13" t="n">
        <v>11.6</v>
      </c>
      <c r="AG1389" s="11" t="inlineStr">
        <is>
          <t xml:space="preserve"> On-Piste Carving</t>
        </is>
      </c>
      <c r="AH1389" s="13" t="n"/>
      <c r="AI1389" s="13" t="n"/>
      <c r="AJ1389" s="13" t="n"/>
      <c r="AK1389" s="42" t="n"/>
    </row>
    <row r="1390">
      <c r="E1390" s="40" t="inlineStr">
        <is>
          <t>21/22</t>
        </is>
      </c>
      <c r="F1390" s="10" t="inlineStr">
        <is>
          <t xml:space="preserve"> Völkl</t>
        </is>
      </c>
      <c r="G1390" s="11" t="inlineStr">
        <is>
          <t>Deacon 80</t>
        </is>
      </c>
      <c r="H1390" s="13" t="n">
        <v>167</v>
      </c>
      <c r="I1390" s="11" t="inlineStr">
        <is>
          <t xml:space="preserve"> Unisex</t>
        </is>
      </c>
      <c r="J1390" s="13" t="n">
        <v>167</v>
      </c>
      <c r="K1390" s="13" t="n">
        <v>166.9</v>
      </c>
      <c r="L1390" s="13" t="n">
        <v>147</v>
      </c>
      <c r="M1390" s="13" t="n">
        <v>153</v>
      </c>
      <c r="N1390" s="13" t="n">
        <v>127</v>
      </c>
      <c r="O1390" s="13" t="n">
        <v>79</v>
      </c>
      <c r="P1390" s="13" t="n">
        <v>110</v>
      </c>
      <c r="Q1390" s="13" t="n">
        <v>14.4</v>
      </c>
      <c r="R1390" s="13" t="n">
        <v>1855</v>
      </c>
      <c r="S1390" s="13" t="n">
        <v>0.85</v>
      </c>
      <c r="T1390" s="13" t="n">
        <v>1579</v>
      </c>
      <c r="U1390" s="13" t="n">
        <v>214</v>
      </c>
      <c r="V1390" s="13" t="n">
        <v>66</v>
      </c>
      <c r="W1390" s="13" t="n">
        <v>40</v>
      </c>
      <c r="X1390" s="13" t="n">
        <v>134</v>
      </c>
      <c r="Y1390" s="13" t="n">
        <v>7</v>
      </c>
      <c r="Z1390" s="13" t="n">
        <v>61</v>
      </c>
      <c r="AA1390" s="13" t="n">
        <v>0.175</v>
      </c>
      <c r="AB1390" s="13" t="n">
        <v>73</v>
      </c>
      <c r="AC1390" s="13" t="n">
        <v>63</v>
      </c>
      <c r="AD1390" s="13" t="n">
        <v>61</v>
      </c>
      <c r="AE1390" s="13" t="n">
        <v>4</v>
      </c>
      <c r="AF1390" s="13" t="n">
        <v>10</v>
      </c>
      <c r="AG1390" s="11" t="inlineStr">
        <is>
          <t xml:space="preserve"> On-Piste Carving</t>
        </is>
      </c>
      <c r="AH1390" s="13" t="n"/>
      <c r="AI1390" s="13" t="n"/>
      <c r="AJ1390" s="13" t="n"/>
      <c r="AK1390" s="42" t="n"/>
    </row>
    <row r="1391">
      <c r="E1391" s="40" t="inlineStr">
        <is>
          <t>21/22</t>
        </is>
      </c>
      <c r="F1391" s="10" t="inlineStr">
        <is>
          <t xml:space="preserve"> Völkl</t>
        </is>
      </c>
      <c r="G1391" s="11" t="inlineStr">
        <is>
          <t>Deacon 80</t>
        </is>
      </c>
      <c r="H1391" s="13" t="n">
        <v>172</v>
      </c>
      <c r="I1391" s="11" t="inlineStr">
        <is>
          <t xml:space="preserve"> Unisex</t>
        </is>
      </c>
      <c r="J1391" s="13" t="n">
        <v>172</v>
      </c>
      <c r="K1391" s="13" t="n">
        <v>171.9</v>
      </c>
      <c r="L1391" s="13" t="n">
        <v>152</v>
      </c>
      <c r="M1391" s="13" t="n">
        <v>159</v>
      </c>
      <c r="N1391" s="13" t="n">
        <v>127</v>
      </c>
      <c r="O1391" s="13" t="n">
        <v>79</v>
      </c>
      <c r="P1391" s="13" t="n">
        <v>110</v>
      </c>
      <c r="Q1391" s="13" t="n">
        <v>15.5</v>
      </c>
      <c r="R1391" s="13" t="n">
        <v>1962</v>
      </c>
      <c r="S1391" s="13" t="n">
        <v>0.83</v>
      </c>
      <c r="T1391" s="13" t="n">
        <v>1626</v>
      </c>
      <c r="U1391" s="13" t="n">
        <v>219</v>
      </c>
      <c r="V1391" s="13" t="n">
        <v>68</v>
      </c>
      <c r="W1391" s="13" t="n">
        <v>40</v>
      </c>
      <c r="X1391" s="13" t="n">
        <v>139</v>
      </c>
      <c r="Y1391" s="13" t="n">
        <v>7</v>
      </c>
      <c r="Z1391" s="13" t="n">
        <v>65</v>
      </c>
      <c r="AA1391" s="13" t="n">
        <v>0.174</v>
      </c>
      <c r="AB1391" s="13" t="n">
        <v>71</v>
      </c>
      <c r="AC1391" s="13" t="n">
        <v>62</v>
      </c>
      <c r="AD1391" s="13" t="n">
        <v>67</v>
      </c>
      <c r="AE1391" s="13" t="n">
        <v>5</v>
      </c>
      <c r="AF1391" s="13" t="n">
        <v>10.1</v>
      </c>
      <c r="AG1391" s="11" t="inlineStr">
        <is>
          <t xml:space="preserve"> On-Piste Carving</t>
        </is>
      </c>
      <c r="AH1391" s="13" t="n"/>
      <c r="AI1391" s="13" t="n"/>
      <c r="AJ1391" s="13" t="n"/>
      <c r="AK1391" s="42" t="n"/>
    </row>
    <row r="1392">
      <c r="E1392" s="40" t="inlineStr">
        <is>
          <t>21/22</t>
        </is>
      </c>
      <c r="F1392" s="10" t="inlineStr">
        <is>
          <t xml:space="preserve"> Völkl</t>
        </is>
      </c>
      <c r="G1392" s="11" t="inlineStr">
        <is>
          <t>Deacon 80</t>
        </is>
      </c>
      <c r="H1392" s="13" t="n">
        <v>177</v>
      </c>
      <c r="I1392" s="11" t="inlineStr">
        <is>
          <t xml:space="preserve"> Unisex</t>
        </is>
      </c>
      <c r="J1392" s="13" t="n">
        <v>177</v>
      </c>
      <c r="K1392" s="13" t="n">
        <v>176.9</v>
      </c>
      <c r="L1392" s="13" t="n">
        <v>156</v>
      </c>
      <c r="M1392" s="13" t="n">
        <v>163</v>
      </c>
      <c r="N1392" s="13" t="n">
        <v>127</v>
      </c>
      <c r="O1392" s="13" t="n">
        <v>79</v>
      </c>
      <c r="P1392" s="13" t="n">
        <v>110</v>
      </c>
      <c r="Q1392" s="13" t="n">
        <v>16.3</v>
      </c>
      <c r="R1392" s="13" t="n">
        <v>2026</v>
      </c>
      <c r="S1392" s="13" t="n">
        <v>0.82</v>
      </c>
      <c r="T1392" s="13" t="n">
        <v>1671</v>
      </c>
      <c r="U1392" s="13" t="n">
        <v>252</v>
      </c>
      <c r="V1392" s="13" t="n">
        <v>76</v>
      </c>
      <c r="W1392" s="13" t="n">
        <v>40</v>
      </c>
      <c r="X1392" s="13" t="n">
        <v>139</v>
      </c>
      <c r="Y1392" s="13" t="n">
        <v>7</v>
      </c>
      <c r="Z1392" s="13" t="n">
        <v>69</v>
      </c>
      <c r="AA1392" s="13" t="n">
        <v>0.189</v>
      </c>
      <c r="AB1392" s="13" t="n">
        <v>70</v>
      </c>
      <c r="AC1392" s="13" t="n">
        <v>64</v>
      </c>
      <c r="AD1392" s="13" t="n">
        <v>69</v>
      </c>
      <c r="AE1392" s="13" t="n">
        <v>5</v>
      </c>
      <c r="AF1392" s="13" t="n">
        <v>10.5</v>
      </c>
      <c r="AG1392" s="11" t="inlineStr">
        <is>
          <t xml:space="preserve"> On-Piste Carving</t>
        </is>
      </c>
      <c r="AH1392" s="13" t="n"/>
      <c r="AI1392" s="13" t="n"/>
      <c r="AJ1392" s="13" t="n"/>
      <c r="AK1392" s="42" t="n"/>
    </row>
    <row r="1393">
      <c r="E1393" s="40" t="inlineStr">
        <is>
          <t>21/22</t>
        </is>
      </c>
      <c r="F1393" s="10" t="inlineStr">
        <is>
          <t xml:space="preserve"> Völkl</t>
        </is>
      </c>
      <c r="G1393" s="11" t="inlineStr">
        <is>
          <t>Deacon 84</t>
        </is>
      </c>
      <c r="H1393" s="13" t="n">
        <v>172</v>
      </c>
      <c r="I1393" s="11" t="inlineStr">
        <is>
          <t xml:space="preserve"> Unisex</t>
        </is>
      </c>
      <c r="J1393" s="13" t="n">
        <v>172</v>
      </c>
      <c r="K1393" s="13" t="n">
        <v>171.7</v>
      </c>
      <c r="L1393" s="13" t="n">
        <v>137</v>
      </c>
      <c r="M1393" s="13" t="n">
        <v>158</v>
      </c>
      <c r="N1393" s="13" t="n">
        <v>131</v>
      </c>
      <c r="O1393" s="13" t="n">
        <v>83</v>
      </c>
      <c r="P1393" s="13" t="n">
        <v>114</v>
      </c>
      <c r="Q1393" s="13" t="n">
        <v>15.5</v>
      </c>
      <c r="R1393" s="13" t="n">
        <v>1982</v>
      </c>
      <c r="S1393" s="13" t="n">
        <v>0.85</v>
      </c>
      <c r="T1393" s="13" t="n">
        <v>1691</v>
      </c>
      <c r="U1393" s="13" t="n">
        <v>214</v>
      </c>
      <c r="V1393" s="13" t="n">
        <v>67</v>
      </c>
      <c r="W1393" s="13" t="n">
        <v>42</v>
      </c>
      <c r="X1393" s="13" t="n">
        <v>218</v>
      </c>
      <c r="Y1393" s="13" t="n">
        <v>8</v>
      </c>
      <c r="Z1393" s="13" t="n">
        <v>128</v>
      </c>
      <c r="AA1393" s="13" t="n">
        <v>0.201</v>
      </c>
      <c r="AB1393" s="13" t="n">
        <v>73</v>
      </c>
      <c r="AC1393" s="13" t="n">
        <v>62</v>
      </c>
      <c r="AD1393" s="13" t="n">
        <v>145</v>
      </c>
      <c r="AE1393" s="13" t="n">
        <v>4</v>
      </c>
      <c r="AF1393" s="13" t="n">
        <v>11</v>
      </c>
      <c r="AG1393" s="11" t="inlineStr">
        <is>
          <t xml:space="preserve"> Resort Freeride</t>
        </is>
      </c>
      <c r="AH1393" s="13" t="n"/>
      <c r="AI1393" s="13" t="n"/>
      <c r="AJ1393" s="13" t="n"/>
      <c r="AK1393" s="42" t="n"/>
    </row>
    <row r="1394">
      <c r="E1394" s="40" t="inlineStr">
        <is>
          <t>21/22</t>
        </is>
      </c>
      <c r="F1394" s="10" t="inlineStr">
        <is>
          <t xml:space="preserve"> Völkl</t>
        </is>
      </c>
      <c r="G1394" s="11" t="inlineStr">
        <is>
          <t xml:space="preserve"> Deacon XTD</t>
        </is>
      </c>
      <c r="H1394" s="13" t="n">
        <v>161</v>
      </c>
      <c r="I1394" s="11" t="inlineStr">
        <is>
          <t xml:space="preserve"> Unisex</t>
        </is>
      </c>
      <c r="J1394" s="13" t="n">
        <v>161</v>
      </c>
      <c r="K1394" s="13" t="n">
        <v>160.5</v>
      </c>
      <c r="L1394" s="13" t="n">
        <v>141</v>
      </c>
      <c r="M1394" s="13" t="n">
        <v>148</v>
      </c>
      <c r="N1394" s="13" t="n">
        <v>123</v>
      </c>
      <c r="O1394" s="13" t="n">
        <v>75</v>
      </c>
      <c r="P1394" s="13" t="n">
        <v>104</v>
      </c>
      <c r="Q1394" s="13" t="n">
        <v>14.1</v>
      </c>
      <c r="R1394" s="13" t="n">
        <v>1745</v>
      </c>
      <c r="S1394" s="13" t="n">
        <v>0.82</v>
      </c>
      <c r="T1394" s="13" t="n">
        <v>1428</v>
      </c>
      <c r="U1394" s="13" t="n">
        <v>159</v>
      </c>
      <c r="V1394" s="13" t="n">
        <v>76</v>
      </c>
      <c r="W1394" s="13" t="n">
        <v>35</v>
      </c>
      <c r="X1394" s="13" t="n">
        <v>144</v>
      </c>
      <c r="Y1394" s="13" t="n">
        <v>5</v>
      </c>
      <c r="Z1394" s="13" t="n">
        <v>54</v>
      </c>
      <c r="AA1394" s="13" t="n">
        <v>0.129</v>
      </c>
      <c r="AB1394" s="13" t="n">
        <v>74</v>
      </c>
      <c r="AC1394" s="13" t="n">
        <v>51</v>
      </c>
      <c r="AD1394" s="13" t="n">
        <v>71</v>
      </c>
      <c r="AE1394" s="13" t="n">
        <v>8</v>
      </c>
      <c r="AF1394" s="13" t="n">
        <v>12.7</v>
      </c>
      <c r="AG1394" s="11" t="inlineStr">
        <is>
          <t xml:space="preserve"> On-Piste Carving</t>
        </is>
      </c>
      <c r="AH1394" s="13" t="n"/>
      <c r="AI1394" s="13" t="n"/>
      <c r="AJ1394" s="13" t="n"/>
      <c r="AK1394" s="42" t="n"/>
    </row>
    <row r="1395">
      <c r="E1395" s="40" t="inlineStr">
        <is>
          <t>21/22</t>
        </is>
      </c>
      <c r="F1395" s="10" t="inlineStr">
        <is>
          <t xml:space="preserve"> Völkl</t>
        </is>
      </c>
      <c r="G1395" s="11" t="inlineStr">
        <is>
          <t xml:space="preserve"> Deacon XTD</t>
        </is>
      </c>
      <c r="H1395" s="13" t="n">
        <v>168</v>
      </c>
      <c r="I1395" s="11" t="inlineStr">
        <is>
          <t xml:space="preserve"> Unisex</t>
        </is>
      </c>
      <c r="J1395" s="13" t="n">
        <v>168</v>
      </c>
      <c r="K1395" s="13" t="n">
        <v>168.1</v>
      </c>
      <c r="L1395" s="13" t="n">
        <v>148</v>
      </c>
      <c r="M1395" s="13" t="n">
        <v>156</v>
      </c>
      <c r="N1395" s="13" t="n">
        <v>123</v>
      </c>
      <c r="O1395" s="13" t="n">
        <v>75</v>
      </c>
      <c r="P1395" s="13" t="n">
        <v>104</v>
      </c>
      <c r="Q1395" s="13" t="n">
        <v>15.5</v>
      </c>
      <c r="R1395" s="13" t="n">
        <v>1802</v>
      </c>
      <c r="S1395" s="13" t="n">
        <v>0.83</v>
      </c>
      <c r="T1395" s="13" t="n">
        <v>1497</v>
      </c>
      <c r="U1395" s="13" t="n">
        <v>176</v>
      </c>
      <c r="V1395" s="13" t="n">
        <v>76</v>
      </c>
      <c r="W1395" s="13" t="n">
        <v>36</v>
      </c>
      <c r="X1395" s="13" t="n">
        <v>147</v>
      </c>
      <c r="Y1395" s="13" t="n">
        <v>5</v>
      </c>
      <c r="Z1395" s="13" t="n">
        <v>54</v>
      </c>
      <c r="AA1395" s="13" t="n">
        <v>0.127</v>
      </c>
      <c r="AB1395" s="13" t="n">
        <v>75</v>
      </c>
      <c r="AC1395" s="13" t="n">
        <v>51</v>
      </c>
      <c r="AD1395" s="13" t="n">
        <v>72</v>
      </c>
      <c r="AE1395" s="13" t="n">
        <v>8</v>
      </c>
      <c r="AF1395" s="13" t="n">
        <v>13.1</v>
      </c>
      <c r="AG1395" s="11" t="inlineStr">
        <is>
          <t xml:space="preserve"> On-Piste Carving</t>
        </is>
      </c>
      <c r="AH1395" s="13" t="n"/>
      <c r="AI1395" s="13" t="n"/>
      <c r="AJ1395" s="13" t="n"/>
      <c r="AK1395" s="42" t="n"/>
    </row>
    <row r="1396">
      <c r="E1396" s="40" t="inlineStr">
        <is>
          <t>21/22</t>
        </is>
      </c>
      <c r="F1396" s="10" t="inlineStr">
        <is>
          <t xml:space="preserve"> Völkl</t>
        </is>
      </c>
      <c r="G1396" s="11" t="inlineStr">
        <is>
          <t xml:space="preserve"> Deacon XTD</t>
        </is>
      </c>
      <c r="H1396" s="13" t="n">
        <v>175</v>
      </c>
      <c r="I1396" s="11" t="inlineStr">
        <is>
          <t xml:space="preserve"> Unisex</t>
        </is>
      </c>
      <c r="J1396" s="13" t="n">
        <v>175</v>
      </c>
      <c r="K1396" s="13" t="n">
        <v>175.5</v>
      </c>
      <c r="L1396" s="13" t="n">
        <v>156</v>
      </c>
      <c r="M1396" s="13" t="n">
        <v>163</v>
      </c>
      <c r="N1396" s="13" t="n">
        <v>123</v>
      </c>
      <c r="O1396" s="13" t="n">
        <v>75</v>
      </c>
      <c r="P1396" s="13" t="n">
        <v>104</v>
      </c>
      <c r="Q1396" s="13" t="n">
        <v>17</v>
      </c>
      <c r="R1396" s="13" t="n">
        <v>1931</v>
      </c>
      <c r="S1396" s="13" t="n">
        <v>0.8100000000000001</v>
      </c>
      <c r="T1396" s="13" t="n">
        <v>1565</v>
      </c>
      <c r="U1396" s="13" t="n">
        <v>204</v>
      </c>
      <c r="V1396" s="13" t="n">
        <v>87</v>
      </c>
      <c r="W1396" s="13" t="n">
        <v>35</v>
      </c>
      <c r="X1396" s="13" t="n">
        <v>141</v>
      </c>
      <c r="Y1396" s="13" t="n">
        <v>5</v>
      </c>
      <c r="Z1396" s="13" t="n">
        <v>52</v>
      </c>
      <c r="AA1396" s="13" t="n">
        <v>0.127</v>
      </c>
      <c r="AB1396" s="13" t="n">
        <v>73</v>
      </c>
      <c r="AC1396" s="13" t="n">
        <v>49</v>
      </c>
      <c r="AD1396" s="13" t="n">
        <v>67</v>
      </c>
      <c r="AE1396" s="13" t="n">
        <v>9</v>
      </c>
      <c r="AF1396" s="13" t="n">
        <v>12.7</v>
      </c>
      <c r="AG1396" s="11" t="inlineStr">
        <is>
          <t xml:space="preserve"> On-Piste Carving</t>
        </is>
      </c>
      <c r="AH1396" s="13" t="n"/>
      <c r="AI1396" s="13" t="n"/>
      <c r="AJ1396" s="13" t="n"/>
      <c r="AK1396" s="42" t="n"/>
    </row>
    <row r="1397">
      <c r="E1397" s="40" t="inlineStr">
        <is>
          <t>21/22</t>
        </is>
      </c>
      <c r="F1397" s="10" t="inlineStr">
        <is>
          <t xml:space="preserve"> Völkl</t>
        </is>
      </c>
      <c r="G1397" s="11" t="inlineStr">
        <is>
          <t>Flair 75</t>
        </is>
      </c>
      <c r="H1397" s="13" t="n">
        <v>147</v>
      </c>
      <c r="I1397" s="11" t="inlineStr">
        <is>
          <t xml:space="preserve"> Women's</t>
        </is>
      </c>
      <c r="J1397" s="13" t="n">
        <v>147</v>
      </c>
      <c r="K1397" s="13" t="n">
        <v>148</v>
      </c>
      <c r="L1397" s="13" t="n">
        <v>130</v>
      </c>
      <c r="M1397" s="13" t="n">
        <v>136</v>
      </c>
      <c r="N1397" s="13" t="n">
        <v>125</v>
      </c>
      <c r="O1397" s="13" t="n">
        <v>74</v>
      </c>
      <c r="P1397" s="13" t="n">
        <v>104</v>
      </c>
      <c r="Q1397" s="13" t="n">
        <v>11.3</v>
      </c>
      <c r="R1397" s="13" t="n">
        <v>1633</v>
      </c>
      <c r="S1397" s="13" t="n">
        <v>0.8100000000000001</v>
      </c>
      <c r="T1397" s="13" t="n">
        <v>1324</v>
      </c>
      <c r="U1397" s="13" t="n">
        <v>158</v>
      </c>
      <c r="V1397" s="13" t="n">
        <v>61</v>
      </c>
      <c r="W1397" s="13" t="n">
        <v>33</v>
      </c>
      <c r="X1397" s="13" t="n">
        <v>124</v>
      </c>
      <c r="Y1397" s="13" t="n">
        <v>5</v>
      </c>
      <c r="Z1397" s="13" t="n">
        <v>53</v>
      </c>
      <c r="AA1397" s="13" t="n">
        <v>0.163</v>
      </c>
      <c r="AB1397" s="13" t="n">
        <v>65</v>
      </c>
      <c r="AC1397" s="13" t="n">
        <v>57</v>
      </c>
      <c r="AD1397" s="13" t="n">
        <v>59</v>
      </c>
      <c r="AE1397" s="13" t="n">
        <v>6</v>
      </c>
      <c r="AF1397" s="13" t="n">
        <v>11.4</v>
      </c>
      <c r="AG1397" s="11" t="inlineStr">
        <is>
          <t xml:space="preserve"> On-Piste Carving</t>
        </is>
      </c>
      <c r="AH1397" s="13" t="n"/>
      <c r="AI1397" s="13" t="n"/>
      <c r="AJ1397" s="13" t="n"/>
      <c r="AK1397" s="42" t="n"/>
    </row>
    <row r="1398">
      <c r="E1398" s="40" t="inlineStr">
        <is>
          <t>21/22</t>
        </is>
      </c>
      <c r="F1398" s="10" t="inlineStr">
        <is>
          <t xml:space="preserve"> Völkl</t>
        </is>
      </c>
      <c r="G1398" s="11" t="inlineStr">
        <is>
          <t>Flair 75</t>
        </is>
      </c>
      <c r="H1398" s="13" t="n">
        <v>154</v>
      </c>
      <c r="I1398" s="11" t="inlineStr">
        <is>
          <t xml:space="preserve"> Women's</t>
        </is>
      </c>
      <c r="J1398" s="13" t="n">
        <v>154</v>
      </c>
      <c r="K1398" s="13" t="n">
        <v>153</v>
      </c>
      <c r="L1398" s="13" t="n">
        <v>135</v>
      </c>
      <c r="M1398" s="13" t="n">
        <v>140</v>
      </c>
      <c r="N1398" s="13" t="n">
        <v>125</v>
      </c>
      <c r="O1398" s="13" t="n">
        <v>74</v>
      </c>
      <c r="P1398" s="13" t="n">
        <v>104</v>
      </c>
      <c r="Q1398" s="13" t="n">
        <v>12.2</v>
      </c>
      <c r="R1398" s="13" t="n">
        <v>1683</v>
      </c>
      <c r="S1398" s="13" t="n">
        <v>0.8100000000000001</v>
      </c>
      <c r="T1398" s="13" t="n">
        <v>1365</v>
      </c>
      <c r="U1398" s="13" t="n">
        <v>166</v>
      </c>
      <c r="V1398" s="13" t="n">
        <v>63</v>
      </c>
      <c r="W1398" s="13" t="n">
        <v>33</v>
      </c>
      <c r="X1398" s="13" t="n">
        <v>122</v>
      </c>
      <c r="Y1398" s="13" t="n">
        <v>5</v>
      </c>
      <c r="Z1398" s="13" t="n">
        <v>54</v>
      </c>
      <c r="AA1398" s="13" t="n">
        <v>0.136</v>
      </c>
      <c r="AB1398" s="13" t="n">
        <v>69</v>
      </c>
      <c r="AC1398" s="13" t="n">
        <v>59</v>
      </c>
      <c r="AD1398" s="13" t="n">
        <v>53</v>
      </c>
      <c r="AE1398" s="13" t="n">
        <v>7</v>
      </c>
      <c r="AF1398" s="13" t="n">
        <v>11.4</v>
      </c>
      <c r="AG1398" s="11" t="inlineStr">
        <is>
          <t xml:space="preserve"> On-Piste Carving</t>
        </is>
      </c>
      <c r="AH1398" s="13" t="n"/>
      <c r="AI1398" s="13" t="n"/>
      <c r="AJ1398" s="13" t="n"/>
      <c r="AK1398" s="42" t="n"/>
    </row>
    <row r="1399">
      <c r="E1399" s="40" t="inlineStr">
        <is>
          <t>21/22</t>
        </is>
      </c>
      <c r="F1399" s="10" t="inlineStr">
        <is>
          <t xml:space="preserve"> Völkl</t>
        </is>
      </c>
      <c r="G1399" s="11" t="inlineStr">
        <is>
          <t>Flair 75</t>
        </is>
      </c>
      <c r="H1399" s="13" t="n">
        <v>161</v>
      </c>
      <c r="I1399" s="11" t="inlineStr">
        <is>
          <t xml:space="preserve"> Women's</t>
        </is>
      </c>
      <c r="J1399" s="13" t="n">
        <v>161</v>
      </c>
      <c r="K1399" s="13" t="n">
        <v>160.5</v>
      </c>
      <c r="L1399" s="13" t="n">
        <v>141</v>
      </c>
      <c r="M1399" s="13" t="n">
        <v>148</v>
      </c>
      <c r="N1399" s="13" t="n">
        <v>125</v>
      </c>
      <c r="O1399" s="13" t="n">
        <v>74</v>
      </c>
      <c r="P1399" s="13" t="n">
        <v>105</v>
      </c>
      <c r="Q1399" s="13" t="n">
        <v>13.6</v>
      </c>
      <c r="R1399" s="13" t="n">
        <v>1793</v>
      </c>
      <c r="S1399" s="13" t="n">
        <v>0.8</v>
      </c>
      <c r="T1399" s="13" t="n">
        <v>1433</v>
      </c>
      <c r="U1399" s="13" t="n">
        <v>162</v>
      </c>
      <c r="V1399" s="13" t="n">
        <v>69</v>
      </c>
      <c r="W1399" s="13" t="n">
        <v>35</v>
      </c>
      <c r="X1399" s="13" t="n">
        <v>133</v>
      </c>
      <c r="Y1399" s="13" t="n">
        <v>5</v>
      </c>
      <c r="Z1399" s="13" t="n">
        <v>61</v>
      </c>
      <c r="AA1399" s="13" t="n">
        <v>0.147</v>
      </c>
      <c r="AB1399" s="13" t="n">
        <v>71</v>
      </c>
      <c r="AC1399" s="13" t="n">
        <v>58</v>
      </c>
      <c r="AD1399" s="13" t="n">
        <v>62</v>
      </c>
      <c r="AE1399" s="13" t="n">
        <v>4</v>
      </c>
      <c r="AF1399" s="13" t="n">
        <v>11.7</v>
      </c>
      <c r="AG1399" s="11" t="inlineStr">
        <is>
          <t xml:space="preserve"> On-Piste Carving</t>
        </is>
      </c>
      <c r="AH1399" s="13" t="n"/>
      <c r="AI1399" s="13" t="n"/>
      <c r="AJ1399" s="13" t="n"/>
      <c r="AK1399" s="42" t="n"/>
    </row>
    <row r="1400">
      <c r="E1400" s="40" t="inlineStr">
        <is>
          <t>21/22</t>
        </is>
      </c>
      <c r="F1400" s="10" t="inlineStr">
        <is>
          <t xml:space="preserve"> Völkl</t>
        </is>
      </c>
      <c r="G1400" s="11" t="inlineStr">
        <is>
          <t>Flair 79</t>
        </is>
      </c>
      <c r="H1400" s="13" t="n">
        <v>149</v>
      </c>
      <c r="I1400" s="11" t="inlineStr">
        <is>
          <t xml:space="preserve"> Women's</t>
        </is>
      </c>
      <c r="J1400" s="13" t="n">
        <v>149</v>
      </c>
      <c r="K1400" s="13" t="n">
        <v>149.4</v>
      </c>
      <c r="L1400" s="13" t="n">
        <v>106</v>
      </c>
      <c r="M1400" s="13" t="n">
        <v>138</v>
      </c>
      <c r="N1400" s="13" t="n">
        <v>128</v>
      </c>
      <c r="O1400" s="13" t="n">
        <v>79</v>
      </c>
      <c r="P1400" s="13" t="n">
        <v>109</v>
      </c>
      <c r="Q1400" s="13" t="n">
        <v>11.9</v>
      </c>
      <c r="R1400" s="13" t="n">
        <v>1397</v>
      </c>
      <c r="S1400" s="13" t="n">
        <v>1</v>
      </c>
      <c r="T1400" s="13" t="n">
        <v>1393</v>
      </c>
      <c r="U1400" s="13" t="n">
        <v>140</v>
      </c>
      <c r="V1400" s="13" t="n">
        <v>51</v>
      </c>
      <c r="W1400" s="13" t="n">
        <v>37</v>
      </c>
      <c r="X1400" s="13" t="n">
        <v>229</v>
      </c>
      <c r="Y1400" s="13" t="n">
        <v>7</v>
      </c>
      <c r="Z1400" s="13" t="n">
        <v>204</v>
      </c>
      <c r="AA1400" s="13" t="n">
        <v>0.181</v>
      </c>
      <c r="AB1400" s="13" t="n">
        <v>67</v>
      </c>
      <c r="AC1400" s="13" t="n">
        <v>47</v>
      </c>
      <c r="AD1400" s="13" t="n">
        <v>161</v>
      </c>
      <c r="AE1400" s="13" t="n">
        <v>3</v>
      </c>
      <c r="AF1400" s="13" t="n">
        <v>11.4</v>
      </c>
      <c r="AG1400" s="11" t="inlineStr">
        <is>
          <t xml:space="preserve"> Other</t>
        </is>
      </c>
      <c r="AH1400" s="13" t="n"/>
      <c r="AI1400" s="13" t="n"/>
      <c r="AJ1400" s="13" t="n"/>
      <c r="AK1400" s="42" t="n"/>
    </row>
    <row r="1401">
      <c r="E1401" s="40" t="inlineStr">
        <is>
          <t>21/22</t>
        </is>
      </c>
      <c r="F1401" s="10" t="inlineStr">
        <is>
          <t xml:space="preserve"> Völkl</t>
        </is>
      </c>
      <c r="G1401" s="11" t="inlineStr">
        <is>
          <t>Flair 79</t>
        </is>
      </c>
      <c r="H1401" s="13" t="n">
        <v>156</v>
      </c>
      <c r="I1401" s="11" t="inlineStr">
        <is>
          <t xml:space="preserve"> Women's</t>
        </is>
      </c>
      <c r="J1401" s="13" t="n">
        <v>156</v>
      </c>
      <c r="K1401" s="13" t="n">
        <v>154.7</v>
      </c>
      <c r="L1401" s="13" t="n">
        <v>136</v>
      </c>
      <c r="M1401" s="13" t="n">
        <v>143</v>
      </c>
      <c r="N1401" s="13" t="n">
        <v>128</v>
      </c>
      <c r="O1401" s="13" t="n">
        <v>79</v>
      </c>
      <c r="P1401" s="13" t="n">
        <v>109</v>
      </c>
      <c r="Q1401" s="13" t="n">
        <v>12.8</v>
      </c>
      <c r="R1401" s="13" t="n">
        <v>1452</v>
      </c>
      <c r="S1401" s="13" t="n">
        <v>0.99</v>
      </c>
      <c r="T1401" s="13" t="n">
        <v>1442</v>
      </c>
      <c r="U1401" s="13" t="n">
        <v>150</v>
      </c>
      <c r="V1401" s="13" t="n">
        <v>62</v>
      </c>
      <c r="W1401" s="13" t="n">
        <v>36</v>
      </c>
      <c r="X1401" s="13" t="n">
        <v>133</v>
      </c>
      <c r="Y1401" s="13" t="n">
        <v>5</v>
      </c>
      <c r="Z1401" s="13" t="n">
        <v>56</v>
      </c>
      <c r="AA1401" s="13" t="n">
        <v>0.146</v>
      </c>
      <c r="AB1401" s="13" t="n">
        <v>68</v>
      </c>
      <c r="AC1401" s="13" t="n">
        <v>49</v>
      </c>
      <c r="AD1401" s="13" t="n">
        <v>65</v>
      </c>
      <c r="AE1401" s="13" t="n">
        <v>6</v>
      </c>
      <c r="AF1401" s="13" t="n">
        <v>10.8</v>
      </c>
      <c r="AG1401" s="11" t="inlineStr">
        <is>
          <t xml:space="preserve"> On-Piste Carving</t>
        </is>
      </c>
      <c r="AH1401" s="13" t="n"/>
      <c r="AI1401" s="13" t="n"/>
      <c r="AJ1401" s="13" t="n"/>
      <c r="AK1401" s="42" t="n"/>
    </row>
    <row r="1402">
      <c r="E1402" s="40" t="inlineStr">
        <is>
          <t>21/22</t>
        </is>
      </c>
      <c r="F1402" s="10" t="inlineStr">
        <is>
          <t xml:space="preserve"> Völkl</t>
        </is>
      </c>
      <c r="G1402" s="11" t="inlineStr">
        <is>
          <t>Flair 79</t>
        </is>
      </c>
      <c r="H1402" s="13" t="n">
        <v>163</v>
      </c>
      <c r="I1402" s="11" t="inlineStr">
        <is>
          <t xml:space="preserve"> Women's</t>
        </is>
      </c>
      <c r="J1402" s="13" t="n">
        <v>163</v>
      </c>
      <c r="K1402" s="13" t="n">
        <v>162.1</v>
      </c>
      <c r="L1402" s="13" t="n">
        <v>131</v>
      </c>
      <c r="M1402" s="13" t="n">
        <v>150</v>
      </c>
      <c r="N1402" s="13" t="n">
        <v>128</v>
      </c>
      <c r="O1402" s="13" t="n">
        <v>79</v>
      </c>
      <c r="P1402" s="13" t="n">
        <v>109</v>
      </c>
      <c r="Q1402" s="13" t="n">
        <v>14.1</v>
      </c>
      <c r="R1402" s="13" t="n">
        <v>1630</v>
      </c>
      <c r="S1402" s="13" t="n">
        <v>0.93</v>
      </c>
      <c r="T1402" s="13" t="n">
        <v>1512</v>
      </c>
      <c r="U1402" s="13" t="n">
        <v>172</v>
      </c>
      <c r="V1402" s="13" t="n">
        <v>70</v>
      </c>
      <c r="W1402" s="13" t="n">
        <v>37</v>
      </c>
      <c r="X1402" s="13" t="n">
        <v>188</v>
      </c>
      <c r="Y1402" s="13" t="n">
        <v>6</v>
      </c>
      <c r="Z1402" s="13" t="n">
        <v>118</v>
      </c>
      <c r="AA1402" s="13" t="n">
        <v>0.173</v>
      </c>
      <c r="AB1402" s="13" t="n">
        <v>72</v>
      </c>
      <c r="AC1402" s="13" t="n">
        <v>49</v>
      </c>
      <c r="AD1402" s="13" t="n">
        <v>116</v>
      </c>
      <c r="AE1402" s="13" t="n">
        <v>5</v>
      </c>
      <c r="AF1402" s="13" t="n">
        <v>10.9</v>
      </c>
      <c r="AG1402" s="11" t="inlineStr">
        <is>
          <t xml:space="preserve"> Other</t>
        </is>
      </c>
      <c r="AH1402" s="13" t="n"/>
      <c r="AI1402" s="13" t="n"/>
      <c r="AJ1402" s="13" t="n"/>
      <c r="AK1402" s="42" t="n"/>
    </row>
    <row r="1403">
      <c r="E1403" s="40" t="inlineStr">
        <is>
          <t>21/22</t>
        </is>
      </c>
      <c r="F1403" s="10" t="inlineStr">
        <is>
          <t xml:space="preserve"> Völkl</t>
        </is>
      </c>
      <c r="G1403" s="11" t="inlineStr">
        <is>
          <t xml:space="preserve"> Flair SC Carbon</t>
        </is>
      </c>
      <c r="H1403" s="13" t="n">
        <v>150</v>
      </c>
      <c r="I1403" s="11" t="inlineStr">
        <is>
          <t xml:space="preserve"> Women's</t>
        </is>
      </c>
      <c r="J1403" s="13" t="n">
        <v>150</v>
      </c>
      <c r="K1403" s="13" t="n">
        <v>149.3</v>
      </c>
      <c r="L1403" s="13" t="n">
        <v>128</v>
      </c>
      <c r="M1403" s="13" t="n">
        <v>135</v>
      </c>
      <c r="N1403" s="13" t="n">
        <v>122</v>
      </c>
      <c r="O1403" s="13" t="n">
        <v>70</v>
      </c>
      <c r="P1403" s="13" t="n">
        <v>103</v>
      </c>
      <c r="Q1403" s="13" t="n">
        <v>10.4</v>
      </c>
      <c r="R1403" s="13" t="n">
        <v>1572</v>
      </c>
      <c r="S1403" s="13" t="n">
        <v>0.82</v>
      </c>
      <c r="T1403" s="13" t="n">
        <v>1282</v>
      </c>
      <c r="U1403" s="13" t="n">
        <v>199</v>
      </c>
      <c r="V1403" s="13" t="n">
        <v>69</v>
      </c>
      <c r="W1403" s="13" t="n">
        <v>41</v>
      </c>
      <c r="X1403" s="13" t="n">
        <v>163</v>
      </c>
      <c r="Y1403" s="13" t="n">
        <v>6</v>
      </c>
      <c r="Z1403" s="13" t="n">
        <v>55</v>
      </c>
      <c r="AA1403" s="13" t="n">
        <v>0.146</v>
      </c>
      <c r="AB1403" s="13" t="n">
        <v>70</v>
      </c>
      <c r="AC1403" s="13" t="n">
        <v>75</v>
      </c>
      <c r="AD1403" s="13" t="n">
        <v>93</v>
      </c>
      <c r="AE1403" s="13" t="n">
        <v>4</v>
      </c>
      <c r="AF1403" s="13" t="n">
        <v>12.4</v>
      </c>
      <c r="AG1403" s="11" t="inlineStr">
        <is>
          <t xml:space="preserve"> On-Piste Carving</t>
        </is>
      </c>
      <c r="AH1403" s="13" t="n"/>
      <c r="AI1403" s="13" t="n"/>
      <c r="AJ1403" s="13" t="n"/>
      <c r="AK1403" s="42" t="n"/>
    </row>
    <row r="1404">
      <c r="E1404" s="40" t="inlineStr">
        <is>
          <t>21/22</t>
        </is>
      </c>
      <c r="F1404" s="10" t="inlineStr">
        <is>
          <t xml:space="preserve"> Völkl</t>
        </is>
      </c>
      <c r="G1404" s="11" t="inlineStr">
        <is>
          <t xml:space="preserve"> Flair SC Carbon</t>
        </is>
      </c>
      <c r="H1404" s="13" t="n">
        <v>155</v>
      </c>
      <c r="I1404" s="11" t="inlineStr">
        <is>
          <t xml:space="preserve"> Women's</t>
        </is>
      </c>
      <c r="J1404" s="13" t="n">
        <v>155</v>
      </c>
      <c r="K1404" s="13" t="n">
        <v>154.5</v>
      </c>
      <c r="L1404" s="13" t="n">
        <v>132</v>
      </c>
      <c r="M1404" s="13" t="n">
        <v>140</v>
      </c>
      <c r="N1404" s="13" t="n">
        <v>123</v>
      </c>
      <c r="O1404" s="13" t="n">
        <v>70</v>
      </c>
      <c r="P1404" s="13" t="n">
        <v>103</v>
      </c>
      <c r="Q1404" s="13" t="n">
        <v>11.4</v>
      </c>
      <c r="R1404" s="13" t="n">
        <v>1587</v>
      </c>
      <c r="S1404" s="13" t="n">
        <v>0.84</v>
      </c>
      <c r="T1404" s="13" t="n">
        <v>1328</v>
      </c>
      <c r="U1404" s="13" t="n">
        <v>193</v>
      </c>
      <c r="V1404" s="13" t="n">
        <v>71</v>
      </c>
      <c r="W1404" s="13" t="n">
        <v>47</v>
      </c>
      <c r="X1404" s="13" t="n">
        <v>168</v>
      </c>
      <c r="Y1404" s="13" t="n">
        <v>6</v>
      </c>
      <c r="Z1404" s="13" t="n">
        <v>57</v>
      </c>
      <c r="AA1404" s="13" t="n">
        <v>0.129</v>
      </c>
      <c r="AB1404" s="13" t="n">
        <v>70</v>
      </c>
      <c r="AC1404" s="13" t="n">
        <v>77</v>
      </c>
      <c r="AD1404" s="13" t="n">
        <v>98</v>
      </c>
      <c r="AE1404" s="13" t="n">
        <v>4</v>
      </c>
      <c r="AF1404" s="13" t="n">
        <v>13.1</v>
      </c>
      <c r="AG1404" s="11" t="inlineStr">
        <is>
          <t xml:space="preserve"> On-Piste Carving</t>
        </is>
      </c>
      <c r="AH1404" s="13" t="n"/>
      <c r="AI1404" s="13" t="n"/>
      <c r="AJ1404" s="13" t="n"/>
      <c r="AK1404" s="42" t="n"/>
    </row>
    <row r="1405">
      <c r="E1405" s="40" t="inlineStr">
        <is>
          <t>21/22</t>
        </is>
      </c>
      <c r="F1405" s="10" t="inlineStr">
        <is>
          <t xml:space="preserve"> Völkl</t>
        </is>
      </c>
      <c r="G1405" s="11" t="inlineStr">
        <is>
          <t xml:space="preserve"> Flair SC Carbon</t>
        </is>
      </c>
      <c r="H1405" s="13" t="n">
        <v>160</v>
      </c>
      <c r="I1405" s="11" t="inlineStr">
        <is>
          <t xml:space="preserve"> Women's</t>
        </is>
      </c>
      <c r="J1405" s="13" t="n">
        <v>160</v>
      </c>
      <c r="K1405" s="13" t="n">
        <v>159.6</v>
      </c>
      <c r="L1405" s="13" t="n">
        <v>137</v>
      </c>
      <c r="M1405" s="13" t="n">
        <v>144</v>
      </c>
      <c r="N1405" s="13" t="n">
        <v>122</v>
      </c>
      <c r="O1405" s="13" t="n">
        <v>70</v>
      </c>
      <c r="P1405" s="13" t="n">
        <v>102</v>
      </c>
      <c r="Q1405" s="13" t="n">
        <v>12.2</v>
      </c>
      <c r="R1405" s="13" t="n">
        <v>1647</v>
      </c>
      <c r="S1405" s="13" t="n">
        <v>0.83</v>
      </c>
      <c r="T1405" s="13" t="n">
        <v>1370</v>
      </c>
      <c r="U1405" s="13" t="n">
        <v>203</v>
      </c>
      <c r="V1405" s="13" t="n">
        <v>71</v>
      </c>
      <c r="W1405" s="13" t="n">
        <v>42</v>
      </c>
      <c r="X1405" s="13" t="n">
        <v>166</v>
      </c>
      <c r="Y1405" s="13" t="n">
        <v>7</v>
      </c>
      <c r="Z1405" s="13" t="n">
        <v>56</v>
      </c>
      <c r="AA1405" s="13" t="n">
        <v>0.157</v>
      </c>
      <c r="AB1405" s="13" t="n">
        <v>72</v>
      </c>
      <c r="AC1405" s="13" t="n">
        <v>79</v>
      </c>
      <c r="AD1405" s="13" t="n">
        <v>94</v>
      </c>
      <c r="AE1405" s="13" t="n">
        <v>4</v>
      </c>
      <c r="AF1405" s="13" t="n">
        <v>11.5</v>
      </c>
      <c r="AG1405" s="11" t="inlineStr">
        <is>
          <t xml:space="preserve"> On-Piste Carving</t>
        </is>
      </c>
      <c r="AH1405" s="13" t="n"/>
      <c r="AI1405" s="13" t="n"/>
      <c r="AJ1405" s="13" t="n"/>
      <c r="AK1405" s="42" t="n"/>
    </row>
    <row r="1406">
      <c r="E1406" s="40" t="inlineStr">
        <is>
          <t>21/22</t>
        </is>
      </c>
      <c r="F1406" s="10" t="inlineStr">
        <is>
          <t xml:space="preserve"> Völkl</t>
        </is>
      </c>
      <c r="G1406" s="11" t="inlineStr">
        <is>
          <t>Kanjo 84</t>
        </is>
      </c>
      <c r="H1406" s="13" t="n">
        <v>161</v>
      </c>
      <c r="I1406" s="11" t="inlineStr">
        <is>
          <t xml:space="preserve"> Unisex</t>
        </is>
      </c>
      <c r="J1406" s="13" t="n">
        <v>161</v>
      </c>
      <c r="K1406" s="13" t="n">
        <v>161.2</v>
      </c>
      <c r="L1406" s="13" t="n">
        <v>115</v>
      </c>
      <c r="M1406" s="13" t="n">
        <v>137</v>
      </c>
      <c r="N1406" s="13" t="n">
        <v>124</v>
      </c>
      <c r="O1406" s="13" t="n">
        <v>83</v>
      </c>
      <c r="P1406" s="13" t="n">
        <v>106</v>
      </c>
      <c r="Q1406" s="13" t="n">
        <v>14.2</v>
      </c>
      <c r="R1406" s="13" t="n">
        <v>1402</v>
      </c>
      <c r="S1406" s="13" t="n">
        <v>1.11</v>
      </c>
      <c r="T1406" s="13" t="n">
        <v>1549</v>
      </c>
      <c r="U1406" s="13" t="n">
        <v>176</v>
      </c>
      <c r="V1406" s="13" t="n">
        <v>70</v>
      </c>
      <c r="W1406" s="13" t="n">
        <v>38</v>
      </c>
      <c r="X1406" s="13" t="n">
        <v>279</v>
      </c>
      <c r="Y1406" s="13" t="n">
        <v>13</v>
      </c>
      <c r="Z1406" s="13" t="n">
        <v>185</v>
      </c>
      <c r="AA1406" s="13" t="n">
        <v>0.349</v>
      </c>
      <c r="AB1406" s="13" t="n">
        <v>132</v>
      </c>
      <c r="AC1406" s="13" t="n">
        <v>108</v>
      </c>
      <c r="AD1406" s="13" t="n">
        <v>147</v>
      </c>
      <c r="AE1406" s="13" t="n">
        <v>3</v>
      </c>
      <c r="AF1406" s="13" t="n">
        <v>11.8</v>
      </c>
      <c r="AG1406" s="11" t="inlineStr">
        <is>
          <t xml:space="preserve"> On-Piste All-Mountain</t>
        </is>
      </c>
      <c r="AH1406" s="11" t="inlineStr">
        <is>
          <t xml:space="preserve"> Resort Freeride</t>
        </is>
      </c>
      <c r="AI1406" s="11" t="inlineStr">
        <is>
          <t xml:space="preserve"> Touring</t>
        </is>
      </c>
      <c r="AJ1406" s="13" t="n"/>
      <c r="AK1406" s="42" t="n"/>
    </row>
    <row r="1407">
      <c r="E1407" s="40" t="inlineStr">
        <is>
          <t>21/22</t>
        </is>
      </c>
      <c r="F1407" s="10" t="inlineStr">
        <is>
          <t xml:space="preserve"> Völkl</t>
        </is>
      </c>
      <c r="G1407" s="11" t="inlineStr">
        <is>
          <t>Kanjo 84</t>
        </is>
      </c>
      <c r="H1407" s="13" t="n">
        <v>168</v>
      </c>
      <c r="I1407" s="11" t="inlineStr">
        <is>
          <t xml:space="preserve"> Unisex</t>
        </is>
      </c>
      <c r="J1407" s="13" t="n">
        <v>168</v>
      </c>
      <c r="K1407" s="13" t="n">
        <v>168.7</v>
      </c>
      <c r="L1407" s="13" t="n">
        <v>132</v>
      </c>
      <c r="M1407" s="13" t="n">
        <v>145</v>
      </c>
      <c r="N1407" s="13" t="n">
        <v>124</v>
      </c>
      <c r="O1407" s="13" t="n">
        <v>83</v>
      </c>
      <c r="P1407" s="13" t="n">
        <v>106</v>
      </c>
      <c r="Q1407" s="13" t="n">
        <v>15.8</v>
      </c>
      <c r="R1407" s="13" t="n">
        <v>1495</v>
      </c>
      <c r="S1407" s="13" t="n">
        <v>1.09</v>
      </c>
      <c r="T1407" s="13" t="n">
        <v>1623</v>
      </c>
      <c r="U1407" s="13" t="n">
        <v>185</v>
      </c>
      <c r="V1407" s="13" t="n">
        <v>70</v>
      </c>
      <c r="W1407" s="13" t="n">
        <v>36</v>
      </c>
      <c r="X1407" s="13" t="n">
        <v>229</v>
      </c>
      <c r="Y1407" s="13" t="n">
        <v>13</v>
      </c>
      <c r="Z1407" s="13" t="n">
        <v>141</v>
      </c>
      <c r="AA1407" s="13" t="n">
        <v>0.348</v>
      </c>
      <c r="AB1407" s="13" t="n">
        <v>134</v>
      </c>
      <c r="AC1407" s="13" t="n">
        <v>107</v>
      </c>
      <c r="AD1407" s="13" t="n">
        <v>95</v>
      </c>
      <c r="AE1407" s="13" t="n">
        <v>3</v>
      </c>
      <c r="AF1407" s="13" t="n">
        <v>11.6</v>
      </c>
      <c r="AG1407" s="11" t="inlineStr">
        <is>
          <t xml:space="preserve"> On-Piste All-Mountain</t>
        </is>
      </c>
      <c r="AH1407" s="11" t="inlineStr">
        <is>
          <t xml:space="preserve"> Resort Freeride</t>
        </is>
      </c>
      <c r="AI1407" s="11" t="inlineStr">
        <is>
          <t xml:space="preserve"> Touring</t>
        </is>
      </c>
      <c r="AJ1407" s="13" t="n"/>
      <c r="AK1407" s="42" t="n"/>
    </row>
    <row r="1408">
      <c r="E1408" s="40" t="inlineStr">
        <is>
          <t>21/22</t>
        </is>
      </c>
      <c r="F1408" s="10" t="inlineStr">
        <is>
          <t xml:space="preserve"> Völkl</t>
        </is>
      </c>
      <c r="G1408" s="11" t="inlineStr">
        <is>
          <t>Kanjo 84</t>
        </is>
      </c>
      <c r="H1408" s="13" t="n">
        <v>175</v>
      </c>
      <c r="I1408" s="11" t="inlineStr">
        <is>
          <t xml:space="preserve"> Unisex</t>
        </is>
      </c>
      <c r="J1408" s="13" t="n">
        <v>175</v>
      </c>
      <c r="K1408" s="13" t="n">
        <v>176.1</v>
      </c>
      <c r="L1408" s="13" t="n">
        <v>131</v>
      </c>
      <c r="M1408" s="13" t="n">
        <v>152</v>
      </c>
      <c r="N1408" s="13" t="n">
        <v>124</v>
      </c>
      <c r="O1408" s="13" t="n">
        <v>83</v>
      </c>
      <c r="P1408" s="13" t="n">
        <v>106</v>
      </c>
      <c r="Q1408" s="13" t="n">
        <v>17.5</v>
      </c>
      <c r="R1408" s="13" t="n">
        <v>1609</v>
      </c>
      <c r="S1408" s="13" t="n">
        <v>1.05</v>
      </c>
      <c r="T1408" s="13" t="n">
        <v>1691</v>
      </c>
      <c r="U1408" s="13" t="n">
        <v>194</v>
      </c>
      <c r="V1408" s="13" t="n">
        <v>75</v>
      </c>
      <c r="W1408" s="13" t="n">
        <v>38</v>
      </c>
      <c r="X1408" s="13" t="n">
        <v>290</v>
      </c>
      <c r="Y1408" s="13" t="n">
        <v>12</v>
      </c>
      <c r="Z1408" s="13" t="n">
        <v>161</v>
      </c>
      <c r="AA1408" s="13" t="n">
        <v>0.319</v>
      </c>
      <c r="AB1408" s="13" t="n">
        <v>135</v>
      </c>
      <c r="AC1408" s="13" t="n">
        <v>106</v>
      </c>
      <c r="AD1408" s="13" t="n">
        <v>155</v>
      </c>
      <c r="AE1408" s="13" t="n">
        <v>2</v>
      </c>
      <c r="AF1408" s="13" t="n">
        <v>11.7</v>
      </c>
      <c r="AG1408" s="11" t="inlineStr">
        <is>
          <t xml:space="preserve"> On-Piste All-Mountain</t>
        </is>
      </c>
      <c r="AH1408" s="11" t="inlineStr">
        <is>
          <t xml:space="preserve"> Resort Freeride</t>
        </is>
      </c>
      <c r="AI1408" s="11" t="inlineStr">
        <is>
          <t xml:space="preserve"> Touring</t>
        </is>
      </c>
      <c r="AJ1408" s="13" t="n"/>
      <c r="AK1408" s="42" t="n"/>
    </row>
    <row r="1409">
      <c r="E1409" s="40" t="inlineStr">
        <is>
          <t>21/22</t>
        </is>
      </c>
      <c r="F1409" s="10" t="inlineStr">
        <is>
          <t xml:space="preserve"> Völkl</t>
        </is>
      </c>
      <c r="G1409" s="11" t="inlineStr">
        <is>
          <t>Kanjo 84</t>
        </is>
      </c>
      <c r="H1409" s="13" t="n">
        <v>182</v>
      </c>
      <c r="I1409" s="11" t="inlineStr">
        <is>
          <t xml:space="preserve"> Unisex</t>
        </is>
      </c>
      <c r="J1409" s="13" t="n">
        <v>182</v>
      </c>
      <c r="K1409" s="13" t="n">
        <v>183.5</v>
      </c>
      <c r="L1409" s="13" t="n">
        <v>157</v>
      </c>
      <c r="M1409" s="13" t="n">
        <v>160</v>
      </c>
      <c r="N1409" s="13" t="n">
        <v>124</v>
      </c>
      <c r="O1409" s="13" t="n">
        <v>83</v>
      </c>
      <c r="P1409" s="13" t="n">
        <v>106</v>
      </c>
      <c r="Q1409" s="13" t="n">
        <v>19.4</v>
      </c>
      <c r="R1409" s="13" t="n">
        <v>1668</v>
      </c>
      <c r="S1409" s="13" t="n">
        <v>1.06</v>
      </c>
      <c r="T1409" s="13" t="n">
        <v>1763</v>
      </c>
      <c r="U1409" s="13" t="n">
        <v>196</v>
      </c>
      <c r="V1409" s="13" t="n">
        <v>76</v>
      </c>
      <c r="W1409" s="13" t="n">
        <v>34</v>
      </c>
      <c r="X1409" s="13" t="n">
        <v>166</v>
      </c>
      <c r="Y1409" s="13" t="n">
        <v>12</v>
      </c>
      <c r="Z1409" s="13" t="n">
        <v>96</v>
      </c>
      <c r="AA1409" s="13" t="n">
        <v>0.35</v>
      </c>
      <c r="AB1409" s="13" t="n">
        <v>132</v>
      </c>
      <c r="AC1409" s="13" t="n">
        <v>104</v>
      </c>
      <c r="AD1409" s="13" t="n">
        <v>34</v>
      </c>
      <c r="AE1409" s="13" t="n">
        <v>4</v>
      </c>
      <c r="AF1409" s="13" t="n">
        <v>11.8</v>
      </c>
      <c r="AG1409" s="11" t="inlineStr">
        <is>
          <t xml:space="preserve"> On-Piste All-Mountain</t>
        </is>
      </c>
      <c r="AH1409" s="11" t="inlineStr">
        <is>
          <t xml:space="preserve"> Resort Freeride</t>
        </is>
      </c>
      <c r="AI1409" s="11" t="inlineStr">
        <is>
          <t xml:space="preserve"> Touring</t>
        </is>
      </c>
      <c r="AJ1409" s="13" t="n"/>
      <c r="AK1409" s="42" t="n"/>
    </row>
    <row r="1410">
      <c r="E1410" s="40" t="inlineStr">
        <is>
          <t>21/22</t>
        </is>
      </c>
      <c r="F1410" s="10" t="inlineStr">
        <is>
          <t xml:space="preserve"> Völkl</t>
        </is>
      </c>
      <c r="G1410" s="11" t="inlineStr">
        <is>
          <t>Katana 108</t>
        </is>
      </c>
      <c r="H1410" s="13" t="n">
        <v>170</v>
      </c>
      <c r="I1410" s="11" t="inlineStr">
        <is>
          <t xml:space="preserve"> Unisex</t>
        </is>
      </c>
      <c r="J1410" s="13" t="n">
        <v>170</v>
      </c>
      <c r="K1410" s="13" t="n">
        <v>170.7</v>
      </c>
      <c r="L1410" s="13" t="n">
        <v>114</v>
      </c>
      <c r="M1410" s="13" t="n">
        <v>147</v>
      </c>
      <c r="N1410" s="13" t="n">
        <v>145</v>
      </c>
      <c r="O1410" s="13" t="n">
        <v>107</v>
      </c>
      <c r="P1410" s="13" t="n">
        <v>128</v>
      </c>
      <c r="Q1410" s="13" t="n">
        <v>17.5</v>
      </c>
      <c r="R1410" s="13" t="n">
        <v>2106</v>
      </c>
      <c r="S1410" s="13" t="n">
        <v>0.96</v>
      </c>
      <c r="T1410" s="13" t="n">
        <v>2025</v>
      </c>
      <c r="U1410" s="13" t="n">
        <v>232</v>
      </c>
      <c r="V1410" s="13" t="n">
        <v>158</v>
      </c>
      <c r="W1410" s="13" t="n">
        <v>52</v>
      </c>
      <c r="X1410" s="13" t="n">
        <v>337</v>
      </c>
      <c r="Y1410" s="13" t="n">
        <v>17</v>
      </c>
      <c r="Z1410" s="13" t="n">
        <v>228</v>
      </c>
      <c r="AA1410" s="13" t="n">
        <v>0.327</v>
      </c>
      <c r="AB1410" s="13" t="n">
        <v>136</v>
      </c>
      <c r="AC1410" s="13" t="n">
        <v>100</v>
      </c>
      <c r="AD1410" s="13" t="n">
        <v>201</v>
      </c>
      <c r="AE1410" s="13" t="n">
        <v>3</v>
      </c>
      <c r="AF1410" s="13" t="n">
        <v>11.7</v>
      </c>
      <c r="AG1410" s="11" t="inlineStr">
        <is>
          <t xml:space="preserve"> Big Mountain</t>
        </is>
      </c>
      <c r="AH1410" s="13" t="n"/>
      <c r="AI1410" s="13" t="n"/>
      <c r="AJ1410" s="13" t="n"/>
      <c r="AK1410" s="42" t="n"/>
    </row>
    <row r="1411">
      <c r="E1411" s="40" t="inlineStr">
        <is>
          <t>21/22</t>
        </is>
      </c>
      <c r="F1411" s="10" t="inlineStr">
        <is>
          <t xml:space="preserve"> Völkl</t>
        </is>
      </c>
      <c r="G1411" s="11" t="inlineStr">
        <is>
          <t>Katana 108</t>
        </is>
      </c>
      <c r="H1411" s="13" t="n">
        <v>177</v>
      </c>
      <c r="I1411" s="11" t="inlineStr">
        <is>
          <t xml:space="preserve"> Unisex</t>
        </is>
      </c>
      <c r="J1411" s="13" t="n">
        <v>177</v>
      </c>
      <c r="K1411" s="13" t="n">
        <v>178.1</v>
      </c>
      <c r="L1411" s="13" t="n">
        <v>135</v>
      </c>
      <c r="M1411" s="13" t="n">
        <v>155</v>
      </c>
      <c r="N1411" s="13" t="n">
        <v>145</v>
      </c>
      <c r="O1411" s="13" t="n">
        <v>107</v>
      </c>
      <c r="P1411" s="13" t="n">
        <v>128</v>
      </c>
      <c r="Q1411" s="13" t="n">
        <v>19.4</v>
      </c>
      <c r="R1411" s="13" t="n">
        <v>2237</v>
      </c>
      <c r="S1411" s="13" t="n">
        <v>0.95</v>
      </c>
      <c r="T1411" s="13" t="n">
        <v>2115</v>
      </c>
      <c r="U1411" s="13" t="n">
        <v>229</v>
      </c>
      <c r="V1411" s="13" t="n">
        <v>162</v>
      </c>
      <c r="W1411" s="13" t="n">
        <v>49</v>
      </c>
      <c r="X1411" s="13" t="n">
        <v>249</v>
      </c>
      <c r="Y1411" s="13" t="n">
        <v>17</v>
      </c>
      <c r="Z1411" s="13" t="n">
        <v>184</v>
      </c>
      <c r="AA1411" s="13" t="n">
        <v>0.35</v>
      </c>
      <c r="AB1411" s="13" t="n">
        <v>131</v>
      </c>
      <c r="AC1411" s="13" t="n">
        <v>104</v>
      </c>
      <c r="AD1411" s="13" t="n">
        <v>118</v>
      </c>
      <c r="AE1411" s="13" t="n">
        <v>4</v>
      </c>
      <c r="AF1411" s="13" t="n">
        <v>11.5</v>
      </c>
      <c r="AG1411" s="11" t="inlineStr">
        <is>
          <t xml:space="preserve"> Powder</t>
        </is>
      </c>
      <c r="AH1411" s="11" t="inlineStr">
        <is>
          <t xml:space="preserve"> Big Mountain</t>
        </is>
      </c>
      <c r="AI1411" s="13" t="n"/>
      <c r="AJ1411" s="13" t="n"/>
      <c r="AK1411" s="42" t="n"/>
    </row>
    <row r="1412">
      <c r="E1412" s="40" t="inlineStr">
        <is>
          <t>21/22</t>
        </is>
      </c>
      <c r="F1412" s="10" t="inlineStr">
        <is>
          <t xml:space="preserve"> Völkl</t>
        </is>
      </c>
      <c r="G1412" s="11" t="inlineStr">
        <is>
          <t>Katana 108</t>
        </is>
      </c>
      <c r="H1412" s="13" t="n">
        <v>184</v>
      </c>
      <c r="I1412" s="11" t="inlineStr">
        <is>
          <t xml:space="preserve"> Unisex</t>
        </is>
      </c>
      <c r="J1412" s="13" t="n">
        <v>184</v>
      </c>
      <c r="K1412" s="13" t="n">
        <v>183.1</v>
      </c>
      <c r="L1412" s="13" t="n">
        <v>129</v>
      </c>
      <c r="M1412" s="13" t="n">
        <v>160</v>
      </c>
      <c r="N1412" s="13" t="n">
        <v>145</v>
      </c>
      <c r="O1412" s="13" t="n">
        <v>107</v>
      </c>
      <c r="P1412" s="13" t="n">
        <v>128</v>
      </c>
      <c r="Q1412" s="13" t="n">
        <v>20.5</v>
      </c>
      <c r="R1412" s="13" t="n">
        <v>2321</v>
      </c>
      <c r="S1412" s="13" t="n">
        <v>0.9399999999999999</v>
      </c>
      <c r="T1412" s="13" t="n">
        <v>2175</v>
      </c>
      <c r="U1412" s="13" t="n">
        <v>234</v>
      </c>
      <c r="V1412" s="13" t="n">
        <v>157</v>
      </c>
      <c r="W1412" s="13" t="n">
        <v>50</v>
      </c>
      <c r="X1412" s="13" t="n">
        <v>304</v>
      </c>
      <c r="Y1412" s="13" t="n">
        <v>19</v>
      </c>
      <c r="Z1412" s="13" t="n">
        <v>241</v>
      </c>
      <c r="AA1412" s="13" t="n">
        <v>0.388</v>
      </c>
      <c r="AB1412" s="13" t="n">
        <v>128</v>
      </c>
      <c r="AC1412" s="13" t="n">
        <v>104</v>
      </c>
      <c r="AD1412" s="13" t="n">
        <v>176</v>
      </c>
      <c r="AE1412" s="13" t="n">
        <v>4</v>
      </c>
      <c r="AF1412" s="13" t="n">
        <v>11.8</v>
      </c>
      <c r="AG1412" s="11" t="inlineStr">
        <is>
          <t xml:space="preserve"> Powder</t>
        </is>
      </c>
      <c r="AH1412" s="11" t="inlineStr">
        <is>
          <t xml:space="preserve"> Big Mountain</t>
        </is>
      </c>
      <c r="AI1412" s="13" t="n"/>
      <c r="AJ1412" s="13" t="n"/>
      <c r="AK1412" s="42" t="n"/>
    </row>
    <row r="1413">
      <c r="E1413" s="40" t="inlineStr">
        <is>
          <t>21/22</t>
        </is>
      </c>
      <c r="F1413" s="10" t="inlineStr">
        <is>
          <t xml:space="preserve"> Völkl</t>
        </is>
      </c>
      <c r="G1413" s="11" t="inlineStr">
        <is>
          <t>Katana 108</t>
        </is>
      </c>
      <c r="H1413" s="13" t="n">
        <v>191</v>
      </c>
      <c r="I1413" s="11" t="inlineStr">
        <is>
          <t xml:space="preserve"> Unisex</t>
        </is>
      </c>
      <c r="J1413" s="13" t="n">
        <v>191</v>
      </c>
      <c r="K1413" s="13" t="n">
        <v>191.2</v>
      </c>
      <c r="L1413" s="13" t="n">
        <v>112</v>
      </c>
      <c r="M1413" s="13" t="n">
        <v>167</v>
      </c>
      <c r="N1413" s="13" t="n">
        <v>145</v>
      </c>
      <c r="O1413" s="13" t="n">
        <v>108</v>
      </c>
      <c r="P1413" s="13" t="n">
        <v>129</v>
      </c>
      <c r="Q1413" s="13" t="n">
        <v>22.7</v>
      </c>
      <c r="R1413" s="13" t="n">
        <v>2405</v>
      </c>
      <c r="S1413" s="13" t="n">
        <v>0.9399999999999999</v>
      </c>
      <c r="T1413" s="13" t="n">
        <v>2270</v>
      </c>
      <c r="U1413" s="13" t="n">
        <v>265</v>
      </c>
      <c r="V1413" s="13" t="n">
        <v>173</v>
      </c>
      <c r="W1413" s="13" t="n">
        <v>53</v>
      </c>
      <c r="X1413" s="13" t="n">
        <v>457</v>
      </c>
      <c r="Y1413" s="13" t="n">
        <v>24</v>
      </c>
      <c r="Z1413" s="13" t="n">
        <v>332</v>
      </c>
      <c r="AA1413" s="13" t="n">
        <v>0.46</v>
      </c>
      <c r="AB1413" s="13" t="n">
        <v>130</v>
      </c>
      <c r="AC1413" s="13" t="n">
        <v>110</v>
      </c>
      <c r="AD1413" s="13" t="n">
        <v>327</v>
      </c>
      <c r="AE1413" s="13" t="n">
        <v>1</v>
      </c>
      <c r="AF1413" s="13" t="n">
        <v>11.9</v>
      </c>
      <c r="AG1413" s="11" t="inlineStr">
        <is>
          <t xml:space="preserve"> Powder</t>
        </is>
      </c>
      <c r="AH1413" s="13" t="n"/>
      <c r="AI1413" s="13" t="n"/>
      <c r="AJ1413" s="13" t="n"/>
      <c r="AK1413" s="42" t="n"/>
    </row>
    <row r="1414">
      <c r="E1414" s="40" t="inlineStr">
        <is>
          <t>21/22</t>
        </is>
      </c>
      <c r="F1414" s="10" t="inlineStr">
        <is>
          <t xml:space="preserve"> Völkl</t>
        </is>
      </c>
      <c r="G1414" s="11" t="inlineStr">
        <is>
          <t xml:space="preserve"> Katana V.Werks</t>
        </is>
      </c>
      <c r="H1414" s="13" t="n">
        <v>191</v>
      </c>
      <c r="I1414" s="11" t="inlineStr">
        <is>
          <t xml:space="preserve"> Unisex</t>
        </is>
      </c>
      <c r="J1414" s="13" t="n">
        <v>191</v>
      </c>
      <c r="K1414" s="13" t="n">
        <v>188.9</v>
      </c>
      <c r="L1414" s="13" t="n">
        <v>0</v>
      </c>
      <c r="M1414" s="13" t="n">
        <v>165</v>
      </c>
      <c r="N1414" s="13" t="n">
        <v>142</v>
      </c>
      <c r="O1414" s="13" t="n">
        <v>111</v>
      </c>
      <c r="P1414" s="13" t="n">
        <v>131</v>
      </c>
      <c r="Q1414" s="13" t="n">
        <v>26.4</v>
      </c>
      <c r="R1414" s="13" t="n">
        <v>2013</v>
      </c>
      <c r="S1414" s="13" t="n">
        <v>1.13</v>
      </c>
      <c r="T1414" s="13" t="n">
        <v>2278</v>
      </c>
      <c r="U1414" s="13" t="n">
        <v>302</v>
      </c>
      <c r="V1414" s="13" t="n">
        <v>195</v>
      </c>
      <c r="W1414" s="13" t="n">
        <v>49</v>
      </c>
      <c r="X1414" s="13" t="n">
        <v>1077</v>
      </c>
      <c r="Y1414" s="13" t="n">
        <v>17</v>
      </c>
      <c r="Z1414" s="13" t="n">
        <v>812</v>
      </c>
      <c r="AA1414" s="13" t="n">
        <v>0.341</v>
      </c>
      <c r="AB1414" s="13" t="n">
        <v>142</v>
      </c>
      <c r="AC1414" s="13" t="n">
        <v>99</v>
      </c>
      <c r="AD1414" s="13" t="n">
        <v>935</v>
      </c>
      <c r="AE1414" s="13" t="n">
        <v>-5</v>
      </c>
      <c r="AF1414" s="13" t="n">
        <v>13.3</v>
      </c>
      <c r="AG1414" s="11" t="inlineStr">
        <is>
          <t xml:space="preserve"> Big Mountain</t>
        </is>
      </c>
      <c r="AH1414" s="11" t="inlineStr">
        <is>
          <t xml:space="preserve"> Touring</t>
        </is>
      </c>
      <c r="AI1414" s="13" t="n"/>
      <c r="AJ1414" s="13" t="n"/>
      <c r="AK1414" s="42" t="n"/>
    </row>
    <row r="1415">
      <c r="E1415" s="40" t="inlineStr">
        <is>
          <t>21/22</t>
        </is>
      </c>
      <c r="F1415" s="10" t="inlineStr">
        <is>
          <t xml:space="preserve"> Völkl</t>
        </is>
      </c>
      <c r="G1415" s="11" t="inlineStr">
        <is>
          <t>Kendo 88</t>
        </is>
      </c>
      <c r="H1415" s="13" t="n">
        <v>163</v>
      </c>
      <c r="I1415" s="11" t="inlineStr">
        <is>
          <t xml:space="preserve"> Unisex</t>
        </is>
      </c>
      <c r="J1415" s="13" t="n">
        <v>163</v>
      </c>
      <c r="K1415" s="13" t="n">
        <v>163.4</v>
      </c>
      <c r="L1415" s="13" t="n">
        <v>106</v>
      </c>
      <c r="M1415" s="13" t="n">
        <v>140</v>
      </c>
      <c r="N1415" s="13" t="n">
        <v>128</v>
      </c>
      <c r="O1415" s="13" t="n">
        <v>87</v>
      </c>
      <c r="P1415" s="13" t="n">
        <v>110</v>
      </c>
      <c r="Q1415" s="13" t="n">
        <v>14.6</v>
      </c>
      <c r="R1415" s="13" t="n">
        <v>1722</v>
      </c>
      <c r="S1415" s="13" t="n">
        <v>0.95</v>
      </c>
      <c r="T1415" s="13" t="n">
        <v>1637</v>
      </c>
      <c r="U1415" s="13" t="n">
        <v>202</v>
      </c>
      <c r="V1415" s="13" t="n">
        <v>128</v>
      </c>
      <c r="W1415" s="13" t="n">
        <v>40</v>
      </c>
      <c r="X1415" s="13" t="n">
        <v>345</v>
      </c>
      <c r="Y1415" s="13" t="n">
        <v>17</v>
      </c>
      <c r="Z1415" s="13" t="n">
        <v>228</v>
      </c>
      <c r="AA1415" s="13" t="n">
        <v>0.416</v>
      </c>
      <c r="AB1415" s="13" t="n">
        <v>130</v>
      </c>
      <c r="AC1415" s="13" t="n">
        <v>106</v>
      </c>
      <c r="AD1415" s="13" t="n">
        <v>215</v>
      </c>
      <c r="AE1415" s="13" t="n">
        <v>3</v>
      </c>
      <c r="AF1415" s="13" t="n">
        <v>11.8</v>
      </c>
      <c r="AG1415" s="11" t="inlineStr">
        <is>
          <t xml:space="preserve"> Resort Freeride</t>
        </is>
      </c>
      <c r="AH1415" s="13" t="n"/>
      <c r="AI1415" s="13" t="n"/>
      <c r="AJ1415" s="13" t="n"/>
      <c r="AK1415" s="42" t="n"/>
    </row>
    <row r="1416">
      <c r="E1416" s="40" t="inlineStr">
        <is>
          <t>21/22</t>
        </is>
      </c>
      <c r="F1416" s="10" t="inlineStr">
        <is>
          <t xml:space="preserve"> Völkl</t>
        </is>
      </c>
      <c r="G1416" s="11" t="inlineStr">
        <is>
          <t>Kendo 88</t>
        </is>
      </c>
      <c r="H1416" s="13" t="n">
        <v>170</v>
      </c>
      <c r="I1416" s="11" t="inlineStr">
        <is>
          <t xml:space="preserve"> Unisex</t>
        </is>
      </c>
      <c r="J1416" s="13" t="n">
        <v>170</v>
      </c>
      <c r="K1416" s="13" t="n">
        <v>171.1</v>
      </c>
      <c r="L1416" s="13" t="n">
        <v>125</v>
      </c>
      <c r="M1416" s="13" t="n">
        <v>147</v>
      </c>
      <c r="N1416" s="13" t="n">
        <v>128</v>
      </c>
      <c r="O1416" s="13" t="n">
        <v>87</v>
      </c>
      <c r="P1416" s="13" t="n">
        <v>110</v>
      </c>
      <c r="Q1416" s="13" t="n">
        <v>16.2</v>
      </c>
      <c r="R1416" s="13" t="n">
        <v>1816</v>
      </c>
      <c r="S1416" s="13" t="n">
        <v>0.9399999999999999</v>
      </c>
      <c r="T1416" s="13" t="n">
        <v>1714</v>
      </c>
      <c r="U1416" s="13" t="n">
        <v>197</v>
      </c>
      <c r="V1416" s="13" t="n">
        <v>129</v>
      </c>
      <c r="W1416" s="13" t="n">
        <v>45</v>
      </c>
      <c r="X1416" s="13" t="n">
        <v>300</v>
      </c>
      <c r="Y1416" s="13" t="n">
        <v>14</v>
      </c>
      <c r="Z1416" s="13" t="n">
        <v>159</v>
      </c>
      <c r="AA1416" s="13" t="n">
        <v>0.322</v>
      </c>
      <c r="AB1416" s="13" t="n">
        <v>133</v>
      </c>
      <c r="AC1416" s="13" t="n">
        <v>105</v>
      </c>
      <c r="AD1416" s="13" t="n">
        <v>166</v>
      </c>
      <c r="AE1416" s="13" t="n">
        <v>3</v>
      </c>
      <c r="AF1416" s="13" t="n">
        <v>11.9</v>
      </c>
      <c r="AG1416" s="11" t="inlineStr">
        <is>
          <t xml:space="preserve"> Resort Freeride</t>
        </is>
      </c>
      <c r="AH1416" s="13" t="n"/>
      <c r="AI1416" s="13" t="n"/>
      <c r="AJ1416" s="13" t="n"/>
      <c r="AK1416" s="42" t="n"/>
    </row>
    <row r="1417">
      <c r="E1417" s="40" t="inlineStr">
        <is>
          <t>21/22</t>
        </is>
      </c>
      <c r="F1417" s="10" t="inlineStr">
        <is>
          <t xml:space="preserve"> Völkl</t>
        </is>
      </c>
      <c r="G1417" s="11" t="inlineStr">
        <is>
          <t>Kendo 88</t>
        </is>
      </c>
      <c r="H1417" s="13" t="n">
        <v>177</v>
      </c>
      <c r="I1417" s="11" t="inlineStr">
        <is>
          <t xml:space="preserve"> Unisex</t>
        </is>
      </c>
      <c r="J1417" s="13" t="n">
        <v>177</v>
      </c>
      <c r="K1417" s="13" t="n">
        <v>178.3</v>
      </c>
      <c r="L1417" s="13" t="n">
        <v>101</v>
      </c>
      <c r="M1417" s="13" t="n">
        <v>154</v>
      </c>
      <c r="N1417" s="13" t="n">
        <v>128</v>
      </c>
      <c r="O1417" s="13" t="n">
        <v>88</v>
      </c>
      <c r="P1417" s="13" t="n">
        <v>111</v>
      </c>
      <c r="Q1417" s="13" t="n">
        <v>17.8</v>
      </c>
      <c r="R1417" s="13" t="n">
        <v>1957</v>
      </c>
      <c r="S1417" s="13" t="n">
        <v>0.91</v>
      </c>
      <c r="T1417" s="13" t="n">
        <v>1790</v>
      </c>
      <c r="U1417" s="13" t="n">
        <v>227</v>
      </c>
      <c r="V1417" s="13" t="n">
        <v>145</v>
      </c>
      <c r="W1417" s="13" t="n">
        <v>44</v>
      </c>
      <c r="X1417" s="13" t="n">
        <v>418</v>
      </c>
      <c r="Y1417" s="13" t="n">
        <v>16</v>
      </c>
      <c r="Z1417" s="13" t="n">
        <v>355</v>
      </c>
      <c r="AA1417" s="13" t="n">
        <v>0.363</v>
      </c>
      <c r="AB1417" s="13" t="n">
        <v>133</v>
      </c>
      <c r="AC1417" s="13" t="n">
        <v>106</v>
      </c>
      <c r="AD1417" s="13" t="n">
        <v>285</v>
      </c>
      <c r="AE1417" s="13" t="n">
        <v>2</v>
      </c>
      <c r="AF1417" s="13" t="n">
        <v>11.9</v>
      </c>
      <c r="AG1417" s="11" t="inlineStr">
        <is>
          <t xml:space="preserve"> Resort Freeride</t>
        </is>
      </c>
      <c r="AH1417" s="13" t="n"/>
      <c r="AI1417" s="13" t="n"/>
      <c r="AJ1417" s="13" t="n"/>
      <c r="AK1417" s="42" t="n"/>
    </row>
    <row r="1418">
      <c r="E1418" s="40" t="inlineStr">
        <is>
          <t>21/22</t>
        </is>
      </c>
      <c r="F1418" s="10" t="inlineStr">
        <is>
          <t xml:space="preserve"> Völkl</t>
        </is>
      </c>
      <c r="G1418" s="11" t="inlineStr">
        <is>
          <t>Kendo 88</t>
        </is>
      </c>
      <c r="H1418" s="13" t="n">
        <v>184</v>
      </c>
      <c r="I1418" s="11" t="inlineStr">
        <is>
          <t xml:space="preserve"> Unisex</t>
        </is>
      </c>
      <c r="J1418" s="13" t="n">
        <v>184</v>
      </c>
      <c r="K1418" s="13" t="n">
        <v>183.4</v>
      </c>
      <c r="L1418" s="13" t="n">
        <v>118</v>
      </c>
      <c r="M1418" s="13" t="n">
        <v>160</v>
      </c>
      <c r="N1418" s="13" t="n">
        <v>128</v>
      </c>
      <c r="O1418" s="13" t="n">
        <v>87</v>
      </c>
      <c r="P1418" s="13" t="n">
        <v>110</v>
      </c>
      <c r="Q1418" s="13" t="n">
        <v>19.1</v>
      </c>
      <c r="R1418" s="13" t="n">
        <v>1939</v>
      </c>
      <c r="S1418" s="13" t="n">
        <v>0.95</v>
      </c>
      <c r="T1418" s="13" t="n">
        <v>1837</v>
      </c>
      <c r="U1418" s="13" t="n">
        <v>209</v>
      </c>
      <c r="V1418" s="13" t="n">
        <v>128</v>
      </c>
      <c r="W1418" s="13" t="n">
        <v>44</v>
      </c>
      <c r="X1418" s="13" t="n">
        <v>333</v>
      </c>
      <c r="Y1418" s="13" t="n">
        <v>18</v>
      </c>
      <c r="Z1418" s="13" t="n">
        <v>318</v>
      </c>
      <c r="AA1418" s="13" t="n">
        <v>0.406</v>
      </c>
      <c r="AB1418" s="13" t="n">
        <v>127</v>
      </c>
      <c r="AC1418" s="13" t="n">
        <v>103</v>
      </c>
      <c r="AD1418" s="13" t="n">
        <v>206</v>
      </c>
      <c r="AE1418" s="13" t="n">
        <v>3</v>
      </c>
      <c r="AF1418" s="13" t="n">
        <v>11.7</v>
      </c>
      <c r="AG1418" s="11" t="inlineStr">
        <is>
          <t xml:space="preserve"> Resort Freeride</t>
        </is>
      </c>
      <c r="AH1418" s="13" t="n"/>
      <c r="AI1418" s="13" t="n"/>
      <c r="AJ1418" s="13" t="n"/>
      <c r="AK1418" s="42" t="n"/>
    </row>
    <row r="1419">
      <c r="E1419" s="40" t="inlineStr">
        <is>
          <t>21/22</t>
        </is>
      </c>
      <c r="F1419" s="10" t="inlineStr">
        <is>
          <t xml:space="preserve"> Völkl</t>
        </is>
      </c>
      <c r="G1419" s="11" t="inlineStr">
        <is>
          <t>Kenja 88</t>
        </is>
      </c>
      <c r="H1419" s="13" t="n">
        <v>149</v>
      </c>
      <c r="I1419" s="11" t="inlineStr">
        <is>
          <t xml:space="preserve"> Women's</t>
        </is>
      </c>
      <c r="J1419" s="13" t="n">
        <v>149</v>
      </c>
      <c r="K1419" s="13" t="n">
        <v>149.1</v>
      </c>
      <c r="L1419" s="13" t="n">
        <v>100</v>
      </c>
      <c r="M1419" s="13" t="n">
        <v>125</v>
      </c>
      <c r="N1419" s="13" t="n">
        <v>128</v>
      </c>
      <c r="O1419" s="13" t="n">
        <v>88</v>
      </c>
      <c r="P1419" s="13" t="n">
        <v>110</v>
      </c>
      <c r="Q1419" s="13" t="n">
        <v>11.7</v>
      </c>
      <c r="R1419" s="13" t="n">
        <v>1544</v>
      </c>
      <c r="S1419" s="13" t="n">
        <v>0.97</v>
      </c>
      <c r="T1419" s="13" t="n">
        <v>1497</v>
      </c>
      <c r="U1419" s="13" t="n">
        <v>177</v>
      </c>
      <c r="V1419" s="13" t="n">
        <v>115</v>
      </c>
      <c r="W1419" s="13" t="n">
        <v>43</v>
      </c>
      <c r="X1419" s="13" t="n">
        <v>300</v>
      </c>
      <c r="Y1419" s="13" t="n">
        <v>16</v>
      </c>
      <c r="Z1419" s="13" t="n">
        <v>196</v>
      </c>
      <c r="AA1419" s="13" t="n">
        <v>0.37</v>
      </c>
      <c r="AB1419" s="13" t="n">
        <v>135</v>
      </c>
      <c r="AC1419" s="13" t="n">
        <v>103</v>
      </c>
      <c r="AD1419" s="13" t="n">
        <v>164</v>
      </c>
      <c r="AE1419" s="13" t="n">
        <v>3</v>
      </c>
      <c r="AF1419" s="13" t="n">
        <v>11</v>
      </c>
      <c r="AG1419" s="11" t="inlineStr">
        <is>
          <t xml:space="preserve"> Resort Freeride</t>
        </is>
      </c>
      <c r="AH1419" s="13" t="n"/>
      <c r="AI1419" s="13" t="n"/>
      <c r="AJ1419" s="13" t="n"/>
      <c r="AK1419" s="42" t="n"/>
    </row>
    <row r="1420">
      <c r="E1420" s="40" t="inlineStr">
        <is>
          <t>21/22</t>
        </is>
      </c>
      <c r="F1420" s="10" t="inlineStr">
        <is>
          <t xml:space="preserve"> Völkl</t>
        </is>
      </c>
      <c r="G1420" s="11" t="inlineStr">
        <is>
          <t>Kenja 88</t>
        </is>
      </c>
      <c r="H1420" s="13" t="n">
        <v>156</v>
      </c>
      <c r="I1420" s="11" t="inlineStr">
        <is>
          <t xml:space="preserve"> Women's</t>
        </is>
      </c>
      <c r="J1420" s="13" t="n">
        <v>156</v>
      </c>
      <c r="K1420" s="13" t="n">
        <v>156.1</v>
      </c>
      <c r="L1420" s="13" t="n">
        <v>108</v>
      </c>
      <c r="M1420" s="13" t="n">
        <v>132</v>
      </c>
      <c r="N1420" s="13" t="n">
        <v>128</v>
      </c>
      <c r="O1420" s="13" t="n">
        <v>87</v>
      </c>
      <c r="P1420" s="13" t="n">
        <v>110</v>
      </c>
      <c r="Q1420" s="13" t="n">
        <v>12.9</v>
      </c>
      <c r="R1420" s="13" t="n">
        <v>1675</v>
      </c>
      <c r="S1420" s="13" t="n">
        <v>0.9399999999999999</v>
      </c>
      <c r="T1420" s="13" t="n">
        <v>1567</v>
      </c>
      <c r="U1420" s="13" t="n">
        <v>194</v>
      </c>
      <c r="V1420" s="13" t="n">
        <v>132</v>
      </c>
      <c r="W1420" s="13" t="n">
        <v>43</v>
      </c>
      <c r="X1420" s="13" t="n">
        <v>283</v>
      </c>
      <c r="Y1420" s="13" t="n">
        <v>16</v>
      </c>
      <c r="Z1420" s="13" t="n">
        <v>202</v>
      </c>
      <c r="AA1420" s="13" t="n">
        <v>0.374</v>
      </c>
      <c r="AB1420" s="13" t="n">
        <v>132</v>
      </c>
      <c r="AC1420" s="13" t="n">
        <v>104</v>
      </c>
      <c r="AD1420" s="13" t="n">
        <v>151</v>
      </c>
      <c r="AE1420" s="13" t="n">
        <v>3</v>
      </c>
      <c r="AF1420" s="13" t="n">
        <v>11.6</v>
      </c>
      <c r="AG1420" s="11" t="inlineStr">
        <is>
          <t xml:space="preserve"> Resort Freeride</t>
        </is>
      </c>
      <c r="AH1420" s="13" t="n"/>
      <c r="AI1420" s="13" t="n"/>
      <c r="AJ1420" s="13" t="n"/>
      <c r="AK1420" s="42" t="n"/>
    </row>
    <row r="1421">
      <c r="E1421" s="40" t="inlineStr">
        <is>
          <t>21/22</t>
        </is>
      </c>
      <c r="F1421" s="10" t="inlineStr">
        <is>
          <t xml:space="preserve"> Völkl</t>
        </is>
      </c>
      <c r="G1421" s="11" t="inlineStr">
        <is>
          <t>Kenja 88</t>
        </is>
      </c>
      <c r="H1421" s="13" t="n">
        <v>163</v>
      </c>
      <c r="I1421" s="11" t="inlineStr">
        <is>
          <t xml:space="preserve"> Women's</t>
        </is>
      </c>
      <c r="J1421" s="13" t="n">
        <v>163</v>
      </c>
      <c r="K1421" s="13" t="n">
        <v>164</v>
      </c>
      <c r="L1421" s="13" t="n">
        <v>104</v>
      </c>
      <c r="M1421" s="13" t="n">
        <v>140</v>
      </c>
      <c r="N1421" s="13" t="n">
        <v>128</v>
      </c>
      <c r="O1421" s="13" t="n">
        <v>87</v>
      </c>
      <c r="P1421" s="13" t="n">
        <v>110</v>
      </c>
      <c r="Q1421" s="13" t="n">
        <v>14.7</v>
      </c>
      <c r="R1421" s="13" t="n">
        <v>1707</v>
      </c>
      <c r="S1421" s="13" t="n">
        <v>0.96</v>
      </c>
      <c r="T1421" s="13" t="n">
        <v>1644</v>
      </c>
      <c r="U1421" s="13" t="n">
        <v>195</v>
      </c>
      <c r="V1421" s="13" t="n">
        <v>125</v>
      </c>
      <c r="W1421" s="13" t="n">
        <v>44</v>
      </c>
      <c r="X1421" s="13" t="n">
        <v>361</v>
      </c>
      <c r="Y1421" s="13" t="n">
        <v>18</v>
      </c>
      <c r="Z1421" s="13" t="n">
        <v>238</v>
      </c>
      <c r="AA1421" s="13" t="n">
        <v>0.401</v>
      </c>
      <c r="AB1421" s="13" t="n">
        <v>133</v>
      </c>
      <c r="AC1421" s="13" t="n">
        <v>105</v>
      </c>
      <c r="AD1421" s="13" t="n">
        <v>228</v>
      </c>
      <c r="AE1421" s="13" t="n">
        <v>3</v>
      </c>
      <c r="AF1421" s="13" t="n">
        <v>11</v>
      </c>
      <c r="AG1421" s="11" t="inlineStr">
        <is>
          <t xml:space="preserve"> Resort Freeride</t>
        </is>
      </c>
      <c r="AH1421" s="13" t="n"/>
      <c r="AI1421" s="13" t="n"/>
      <c r="AJ1421" s="13" t="n"/>
      <c r="AK1421" s="42" t="n"/>
    </row>
    <row r="1422">
      <c r="E1422" s="40" t="inlineStr">
        <is>
          <t>21/22</t>
        </is>
      </c>
      <c r="F1422" s="10" t="inlineStr">
        <is>
          <t xml:space="preserve"> Völkl</t>
        </is>
      </c>
      <c r="G1422" s="11" t="inlineStr">
        <is>
          <t>Kenja 88</t>
        </is>
      </c>
      <c r="H1422" s="13" t="n">
        <v>170</v>
      </c>
      <c r="I1422" s="11" t="inlineStr">
        <is>
          <t xml:space="preserve"> Women's</t>
        </is>
      </c>
      <c r="J1422" s="13" t="n">
        <v>170</v>
      </c>
      <c r="K1422" s="13" t="n">
        <v>171.2</v>
      </c>
      <c r="L1422" s="13" t="n">
        <v>123</v>
      </c>
      <c r="M1422" s="13" t="n">
        <v>148</v>
      </c>
      <c r="N1422" s="13" t="n">
        <v>128</v>
      </c>
      <c r="O1422" s="13" t="n">
        <v>87</v>
      </c>
      <c r="P1422" s="13" t="n">
        <v>110</v>
      </c>
      <c r="Q1422" s="13" t="n">
        <v>16.4</v>
      </c>
      <c r="R1422" s="13" t="n">
        <v>1843</v>
      </c>
      <c r="S1422" s="13" t="n">
        <v>0.93</v>
      </c>
      <c r="T1422" s="13" t="n">
        <v>1713</v>
      </c>
      <c r="U1422" s="13" t="n">
        <v>189</v>
      </c>
      <c r="V1422" s="13" t="n">
        <v>126</v>
      </c>
      <c r="W1422" s="13" t="n">
        <v>45</v>
      </c>
      <c r="X1422" s="13" t="n">
        <v>296</v>
      </c>
      <c r="Y1422" s="13" t="n">
        <v>15</v>
      </c>
      <c r="Z1422" s="13" t="n">
        <v>187</v>
      </c>
      <c r="AA1422" s="13" t="n">
        <v>0.321</v>
      </c>
      <c r="AB1422" s="13" t="n">
        <v>134</v>
      </c>
      <c r="AC1422" s="13" t="n">
        <v>102</v>
      </c>
      <c r="AD1422" s="13" t="n">
        <v>163</v>
      </c>
      <c r="AE1422" s="13" t="n">
        <v>3</v>
      </c>
      <c r="AF1422" s="13" t="n">
        <v>11.3</v>
      </c>
      <c r="AG1422" s="11" t="inlineStr">
        <is>
          <t xml:space="preserve"> Resort Freeride</t>
        </is>
      </c>
      <c r="AH1422" s="13" t="n"/>
      <c r="AI1422" s="13" t="n"/>
      <c r="AJ1422" s="13" t="n"/>
      <c r="AK1422" s="42" t="n"/>
    </row>
    <row r="1423">
      <c r="E1423" s="40" t="inlineStr">
        <is>
          <t>21/22</t>
        </is>
      </c>
      <c r="F1423" s="10" t="inlineStr">
        <is>
          <t xml:space="preserve"> Völkl</t>
        </is>
      </c>
      <c r="G1423" s="11" t="inlineStr">
        <is>
          <t>M6 Mantra</t>
        </is>
      </c>
      <c r="H1423" s="13" t="n">
        <v>163</v>
      </c>
      <c r="I1423" s="11" t="inlineStr">
        <is>
          <t xml:space="preserve"> Unisex</t>
        </is>
      </c>
      <c r="J1423" s="13" t="n">
        <v>163</v>
      </c>
      <c r="K1423" s="13" t="n">
        <v>163.4</v>
      </c>
      <c r="L1423" s="13" t="n">
        <v>124</v>
      </c>
      <c r="M1423" s="13" t="n">
        <v>140</v>
      </c>
      <c r="N1423" s="13" t="n">
        <v>134</v>
      </c>
      <c r="O1423" s="13" t="n">
        <v>95</v>
      </c>
      <c r="P1423" s="13" t="n">
        <v>118</v>
      </c>
      <c r="Q1423" s="13" t="n">
        <v>15.2</v>
      </c>
      <c r="R1423" s="13" t="n">
        <v>1813</v>
      </c>
      <c r="S1423" s="13" t="n">
        <v>0.97</v>
      </c>
      <c r="T1423" s="13" t="n">
        <v>1756</v>
      </c>
      <c r="U1423" s="13" t="n">
        <v>181</v>
      </c>
      <c r="V1423" s="13" t="n">
        <v>119</v>
      </c>
      <c r="W1423" s="13" t="n">
        <v>46</v>
      </c>
      <c r="X1423" s="13" t="n">
        <v>234</v>
      </c>
      <c r="Y1423" s="13" t="n">
        <v>15</v>
      </c>
      <c r="Z1423" s="13" t="n">
        <v>163</v>
      </c>
      <c r="AA1423" s="13" t="n">
        <v>0.326</v>
      </c>
      <c r="AB1423" s="13" t="n">
        <v>133</v>
      </c>
      <c r="AC1423" s="13" t="n">
        <v>100</v>
      </c>
      <c r="AD1423" s="13" t="n">
        <v>101</v>
      </c>
      <c r="AE1423" s="13" t="n">
        <v>4</v>
      </c>
      <c r="AF1423" s="13" t="n">
        <v>11.1</v>
      </c>
      <c r="AG1423" s="11" t="inlineStr">
        <is>
          <t xml:space="preserve"> Resort Freeride</t>
        </is>
      </c>
      <c r="AH1423" s="13" t="n"/>
      <c r="AI1423" s="13" t="n"/>
      <c r="AJ1423" s="13" t="n"/>
      <c r="AK1423" s="42" t="n"/>
    </row>
    <row r="1424">
      <c r="E1424" s="40" t="inlineStr">
        <is>
          <t>21/22</t>
        </is>
      </c>
      <c r="F1424" s="10" t="inlineStr">
        <is>
          <t xml:space="preserve"> Völkl</t>
        </is>
      </c>
      <c r="G1424" s="11" t="inlineStr">
        <is>
          <t>M6 Mantra</t>
        </is>
      </c>
      <c r="H1424" s="13" t="n">
        <v>170</v>
      </c>
      <c r="I1424" s="11" t="inlineStr">
        <is>
          <t xml:space="preserve"> Unisex</t>
        </is>
      </c>
      <c r="J1424" s="13" t="n">
        <v>170</v>
      </c>
      <c r="K1424" s="13" t="n">
        <v>170.8</v>
      </c>
      <c r="L1424" s="13" t="n">
        <v>125</v>
      </c>
      <c r="M1424" s="13" t="n">
        <v>148</v>
      </c>
      <c r="N1424" s="13" t="n">
        <v>134</v>
      </c>
      <c r="O1424" s="13" t="n">
        <v>95</v>
      </c>
      <c r="P1424" s="13" t="n">
        <v>118</v>
      </c>
      <c r="Q1424" s="13" t="n">
        <v>17</v>
      </c>
      <c r="R1424" s="13" t="n">
        <v>1885</v>
      </c>
      <c r="S1424" s="13" t="n">
        <v>0.97</v>
      </c>
      <c r="T1424" s="13" t="n">
        <v>1836</v>
      </c>
      <c r="U1424" s="13" t="n">
        <v>203</v>
      </c>
      <c r="V1424" s="13" t="n">
        <v>131</v>
      </c>
      <c r="W1424" s="13" t="n">
        <v>44</v>
      </c>
      <c r="X1424" s="13" t="n">
        <v>278</v>
      </c>
      <c r="Y1424" s="13" t="n">
        <v>16</v>
      </c>
      <c r="Z1424" s="13" t="n">
        <v>178</v>
      </c>
      <c r="AA1424" s="13" t="n">
        <v>0.375</v>
      </c>
      <c r="AB1424" s="13" t="n">
        <v>131</v>
      </c>
      <c r="AC1424" s="13" t="n">
        <v>99</v>
      </c>
      <c r="AD1424" s="13" t="n">
        <v>147</v>
      </c>
      <c r="AE1424" s="13" t="n">
        <v>3</v>
      </c>
      <c r="AF1424" s="13" t="n">
        <v>11.1</v>
      </c>
      <c r="AG1424" s="11" t="inlineStr">
        <is>
          <t xml:space="preserve"> Resort Freeride</t>
        </is>
      </c>
      <c r="AH1424" s="13" t="n"/>
      <c r="AI1424" s="13" t="n"/>
      <c r="AJ1424" s="13" t="n"/>
      <c r="AK1424" s="42" t="n"/>
    </row>
    <row r="1425">
      <c r="E1425" s="40" t="inlineStr">
        <is>
          <t>21/22</t>
        </is>
      </c>
      <c r="F1425" s="10" t="inlineStr">
        <is>
          <t xml:space="preserve"> Völkl</t>
        </is>
      </c>
      <c r="G1425" s="11" t="inlineStr">
        <is>
          <t>M6 Mantra</t>
        </is>
      </c>
      <c r="H1425" s="13" t="n">
        <v>177</v>
      </c>
      <c r="I1425" s="11" t="inlineStr">
        <is>
          <t xml:space="preserve"> Unisex</t>
        </is>
      </c>
      <c r="J1425" s="13" t="n">
        <v>177</v>
      </c>
      <c r="K1425" s="13" t="n">
        <v>178.6</v>
      </c>
      <c r="L1425" s="13" t="n">
        <v>141</v>
      </c>
      <c r="M1425" s="13" t="n">
        <v>155</v>
      </c>
      <c r="N1425" s="13" t="n">
        <v>134</v>
      </c>
      <c r="O1425" s="13" t="n">
        <v>95</v>
      </c>
      <c r="P1425" s="13" t="n">
        <v>118</v>
      </c>
      <c r="Q1425" s="13" t="n">
        <v>18.7</v>
      </c>
      <c r="R1425" s="13" t="n">
        <v>2102</v>
      </c>
      <c r="S1425" s="13" t="n">
        <v>0.91</v>
      </c>
      <c r="T1425" s="13" t="n">
        <v>1916</v>
      </c>
      <c r="U1425" s="13" t="n">
        <v>217</v>
      </c>
      <c r="V1425" s="13" t="n">
        <v>138</v>
      </c>
      <c r="W1425" s="13" t="n">
        <v>42</v>
      </c>
      <c r="X1425" s="13" t="n">
        <v>227</v>
      </c>
      <c r="Y1425" s="13" t="n">
        <v>14</v>
      </c>
      <c r="Z1425" s="13" t="n">
        <v>146</v>
      </c>
      <c r="AA1425" s="13" t="n">
        <v>0.336</v>
      </c>
      <c r="AB1425" s="13" t="n">
        <v>135</v>
      </c>
      <c r="AC1425" s="13" t="n">
        <v>103</v>
      </c>
      <c r="AD1425" s="13" t="n">
        <v>92</v>
      </c>
      <c r="AE1425" s="13" t="n">
        <v>6</v>
      </c>
      <c r="AF1425" s="13" t="n">
        <v>11.2</v>
      </c>
      <c r="AG1425" s="11" t="inlineStr">
        <is>
          <t xml:space="preserve"> Resort Freeride</t>
        </is>
      </c>
      <c r="AH1425" s="13" t="n"/>
      <c r="AI1425" s="13" t="n"/>
      <c r="AJ1425" s="13" t="n"/>
      <c r="AK1425" s="42" t="n"/>
    </row>
    <row r="1426">
      <c r="E1426" s="40" t="inlineStr">
        <is>
          <t>21/22</t>
        </is>
      </c>
      <c r="F1426" s="10" t="inlineStr">
        <is>
          <t xml:space="preserve"> Völkl</t>
        </is>
      </c>
      <c r="G1426" s="11" t="inlineStr">
        <is>
          <t>M6 Mantra</t>
        </is>
      </c>
      <c r="H1426" s="13" t="n">
        <v>184</v>
      </c>
      <c r="I1426" s="11" t="inlineStr">
        <is>
          <t xml:space="preserve"> Unisex</t>
        </is>
      </c>
      <c r="J1426" s="13" t="n">
        <v>184</v>
      </c>
      <c r="K1426" s="13" t="n">
        <v>183.8</v>
      </c>
      <c r="L1426" s="13" t="n">
        <v>141</v>
      </c>
      <c r="M1426" s="13" t="n">
        <v>160</v>
      </c>
      <c r="N1426" s="13" t="n">
        <v>134</v>
      </c>
      <c r="O1426" s="13" t="n">
        <v>95</v>
      </c>
      <c r="P1426" s="13" t="n">
        <v>118</v>
      </c>
      <c r="Q1426" s="13" t="n">
        <v>20.1</v>
      </c>
      <c r="R1426" s="13" t="n">
        <v>2140</v>
      </c>
      <c r="S1426" s="13" t="n">
        <v>0.92</v>
      </c>
      <c r="T1426" s="13" t="n">
        <v>1974</v>
      </c>
      <c r="U1426" s="13" t="n">
        <v>230</v>
      </c>
      <c r="V1426" s="13" t="n">
        <v>147</v>
      </c>
      <c r="W1426" s="13" t="n">
        <v>45</v>
      </c>
      <c r="X1426" s="13" t="n">
        <v>254</v>
      </c>
      <c r="Y1426" s="13" t="n">
        <v>16</v>
      </c>
      <c r="Z1426" s="13" t="n">
        <v>174</v>
      </c>
      <c r="AA1426" s="13" t="n">
        <v>0.359</v>
      </c>
      <c r="AB1426" s="13" t="n">
        <v>135</v>
      </c>
      <c r="AC1426" s="13" t="n">
        <v>107</v>
      </c>
      <c r="AD1426" s="13" t="n">
        <v>119</v>
      </c>
      <c r="AE1426" s="13" t="n">
        <v>5</v>
      </c>
      <c r="AF1426" s="13" t="n">
        <v>11.6</v>
      </c>
      <c r="AG1426" s="11" t="inlineStr">
        <is>
          <t xml:space="preserve"> Resort Freeride</t>
        </is>
      </c>
      <c r="AH1426" s="13" t="n"/>
      <c r="AI1426" s="13" t="n"/>
      <c r="AJ1426" s="13" t="n"/>
      <c r="AK1426" s="42" t="n"/>
    </row>
    <row r="1427">
      <c r="E1427" s="40" t="inlineStr">
        <is>
          <t>21/22</t>
        </is>
      </c>
      <c r="F1427" s="10" t="inlineStr">
        <is>
          <t xml:space="preserve"> Völkl</t>
        </is>
      </c>
      <c r="G1427" s="11" t="inlineStr">
        <is>
          <t>M6 Mantra</t>
        </is>
      </c>
      <c r="H1427" s="13" t="n">
        <v>191</v>
      </c>
      <c r="I1427" s="11" t="inlineStr">
        <is>
          <t xml:space="preserve"> Unisex</t>
        </is>
      </c>
      <c r="J1427" s="13" t="n">
        <v>191</v>
      </c>
      <c r="K1427" s="13" t="n">
        <v>190.4</v>
      </c>
      <c r="L1427" s="13" t="n">
        <v>140</v>
      </c>
      <c r="M1427" s="13" t="n">
        <v>168</v>
      </c>
      <c r="N1427" s="13" t="n">
        <v>134</v>
      </c>
      <c r="O1427" s="13" t="n">
        <v>95</v>
      </c>
      <c r="P1427" s="13" t="n">
        <v>118</v>
      </c>
      <c r="Q1427" s="13" t="n">
        <v>22</v>
      </c>
      <c r="R1427" s="13" t="n">
        <v>2238</v>
      </c>
      <c r="S1427" s="13" t="n">
        <v>0.91</v>
      </c>
      <c r="T1427" s="13" t="n">
        <v>2046</v>
      </c>
      <c r="U1427" s="13" t="n">
        <v>230</v>
      </c>
      <c r="V1427" s="13" t="n">
        <v>148</v>
      </c>
      <c r="W1427" s="13" t="n">
        <v>45</v>
      </c>
      <c r="X1427" s="13" t="n">
        <v>283</v>
      </c>
      <c r="Y1427" s="13" t="n">
        <v>17</v>
      </c>
      <c r="Z1427" s="13" t="n">
        <v>225</v>
      </c>
      <c r="AA1427" s="13" t="n">
        <v>0.38</v>
      </c>
      <c r="AB1427" s="13" t="n">
        <v>126</v>
      </c>
      <c r="AC1427" s="13" t="n">
        <v>102</v>
      </c>
      <c r="AD1427" s="13" t="n">
        <v>157</v>
      </c>
      <c r="AE1427" s="13" t="n">
        <v>5</v>
      </c>
      <c r="AF1427" s="13" t="n">
        <v>11.1</v>
      </c>
      <c r="AG1427" s="11" t="inlineStr">
        <is>
          <t xml:space="preserve"> Resort Freeride</t>
        </is>
      </c>
      <c r="AH1427" s="13" t="n"/>
      <c r="AI1427" s="13" t="n"/>
      <c r="AJ1427" s="13" t="n"/>
      <c r="AK1427" s="42" t="n"/>
    </row>
    <row r="1428">
      <c r="E1428" s="40" t="inlineStr">
        <is>
          <t>21/22</t>
        </is>
      </c>
      <c r="F1428" s="10" t="inlineStr">
        <is>
          <t xml:space="preserve"> Völkl</t>
        </is>
      </c>
      <c r="G1428" s="11" t="inlineStr">
        <is>
          <t>Mantra 102</t>
        </is>
      </c>
      <c r="H1428" s="13" t="n">
        <v>170</v>
      </c>
      <c r="I1428" s="11" t="inlineStr">
        <is>
          <t xml:space="preserve"> Unisex</t>
        </is>
      </c>
      <c r="J1428" s="13" t="n">
        <v>170</v>
      </c>
      <c r="K1428" s="13" t="n">
        <v>171</v>
      </c>
      <c r="L1428" s="13" t="n">
        <v>121</v>
      </c>
      <c r="M1428" s="13" t="n">
        <v>148</v>
      </c>
      <c r="N1428" s="13" t="n">
        <v>139</v>
      </c>
      <c r="O1428" s="13" t="n">
        <v>101</v>
      </c>
      <c r="P1428" s="13" t="n">
        <v>122</v>
      </c>
      <c r="Q1428" s="13" t="n">
        <v>18.1</v>
      </c>
      <c r="R1428" s="13" t="n">
        <v>2065</v>
      </c>
      <c r="S1428" s="13" t="n">
        <v>0.93</v>
      </c>
      <c r="T1428" s="13" t="n">
        <v>1928</v>
      </c>
      <c r="U1428" s="13" t="n">
        <v>235</v>
      </c>
      <c r="V1428" s="13" t="n">
        <v>161</v>
      </c>
      <c r="W1428" s="13" t="n">
        <v>46</v>
      </c>
      <c r="X1428" s="13" t="n">
        <v>283</v>
      </c>
      <c r="Y1428" s="13" t="n">
        <v>19</v>
      </c>
      <c r="Z1428" s="13" t="n">
        <v>220</v>
      </c>
      <c r="AA1428" s="13" t="n">
        <v>0.421</v>
      </c>
      <c r="AB1428" s="13" t="n">
        <v>130</v>
      </c>
      <c r="AC1428" s="13" t="n">
        <v>100</v>
      </c>
      <c r="AD1428" s="13" t="n">
        <v>152</v>
      </c>
      <c r="AE1428" s="13" t="n">
        <v>5</v>
      </c>
      <c r="AF1428" s="13" t="n">
        <v>11.3</v>
      </c>
      <c r="AG1428" s="11" t="inlineStr">
        <is>
          <t xml:space="preserve"> Resort Freeride</t>
        </is>
      </c>
      <c r="AH1428" s="11" t="inlineStr">
        <is>
          <t xml:space="preserve"> Powder</t>
        </is>
      </c>
      <c r="AI1428" s="13" t="n"/>
      <c r="AJ1428" s="13" t="n"/>
      <c r="AK1428" s="42" t="n"/>
    </row>
    <row r="1429">
      <c r="E1429" s="40" t="inlineStr">
        <is>
          <t>21/22</t>
        </is>
      </c>
      <c r="F1429" s="10" t="inlineStr">
        <is>
          <t xml:space="preserve"> Völkl</t>
        </is>
      </c>
      <c r="G1429" s="11" t="inlineStr">
        <is>
          <t>Mantra 102</t>
        </is>
      </c>
      <c r="H1429" s="13" t="n">
        <v>177</v>
      </c>
      <c r="I1429" s="11" t="inlineStr">
        <is>
          <t xml:space="preserve"> Unisex</t>
        </is>
      </c>
      <c r="J1429" s="13" t="n">
        <v>177</v>
      </c>
      <c r="K1429" s="13" t="n">
        <v>178.2</v>
      </c>
      <c r="L1429" s="13" t="n">
        <v>130</v>
      </c>
      <c r="M1429" s="13" t="n">
        <v>155</v>
      </c>
      <c r="N1429" s="13" t="n">
        <v>139</v>
      </c>
      <c r="O1429" s="13" t="n">
        <v>101</v>
      </c>
      <c r="P1429" s="13" t="n">
        <v>122</v>
      </c>
      <c r="Q1429" s="13" t="n">
        <v>20.1</v>
      </c>
      <c r="R1429" s="13" t="n">
        <v>2138</v>
      </c>
      <c r="S1429" s="13" t="n">
        <v>0.9399999999999999</v>
      </c>
      <c r="T1429" s="13" t="n">
        <v>2008</v>
      </c>
      <c r="U1429" s="13" t="n">
        <v>209</v>
      </c>
      <c r="V1429" s="13" t="n">
        <v>150</v>
      </c>
      <c r="W1429" s="13" t="n">
        <v>53</v>
      </c>
      <c r="X1429" s="13" t="n">
        <v>281</v>
      </c>
      <c r="Y1429" s="13" t="n">
        <v>17</v>
      </c>
      <c r="Z1429" s="13" t="n">
        <v>201</v>
      </c>
      <c r="AA1429" s="13" t="n">
        <v>0.33</v>
      </c>
      <c r="AB1429" s="13" t="n">
        <v>132</v>
      </c>
      <c r="AC1429" s="13" t="n">
        <v>102</v>
      </c>
      <c r="AD1429" s="13" t="n">
        <v>149</v>
      </c>
      <c r="AE1429" s="13" t="n">
        <v>5</v>
      </c>
      <c r="AF1429" s="13" t="n">
        <v>11.1</v>
      </c>
      <c r="AG1429" s="11" t="inlineStr">
        <is>
          <t xml:space="preserve"> Resort Freeride</t>
        </is>
      </c>
      <c r="AH1429" s="11" t="inlineStr">
        <is>
          <t xml:space="preserve"> Big Mountain</t>
        </is>
      </c>
      <c r="AI1429" s="13" t="n"/>
      <c r="AJ1429" s="13" t="n"/>
      <c r="AK1429" s="42" t="n"/>
    </row>
    <row r="1430">
      <c r="E1430" s="40" t="inlineStr">
        <is>
          <t>21/22</t>
        </is>
      </c>
      <c r="F1430" s="10" t="inlineStr">
        <is>
          <t xml:space="preserve"> Völkl</t>
        </is>
      </c>
      <c r="G1430" s="11" t="inlineStr">
        <is>
          <t>Mantra 102</t>
        </is>
      </c>
      <c r="H1430" s="13" t="n">
        <v>184</v>
      </c>
      <c r="I1430" s="11" t="inlineStr">
        <is>
          <t xml:space="preserve"> Unisex</t>
        </is>
      </c>
      <c r="J1430" s="13" t="n">
        <v>184</v>
      </c>
      <c r="K1430" s="13" t="n">
        <v>183.6</v>
      </c>
      <c r="L1430" s="13" t="n">
        <v>119</v>
      </c>
      <c r="M1430" s="13" t="n">
        <v>161</v>
      </c>
      <c r="N1430" s="13" t="n">
        <v>139</v>
      </c>
      <c r="O1430" s="13" t="n">
        <v>101</v>
      </c>
      <c r="P1430" s="13" t="n">
        <v>123</v>
      </c>
      <c r="Q1430" s="13" t="n">
        <v>21.3</v>
      </c>
      <c r="R1430" s="13" t="n">
        <v>2217</v>
      </c>
      <c r="S1430" s="13" t="n">
        <v>0.93</v>
      </c>
      <c r="T1430" s="13" t="n">
        <v>2069</v>
      </c>
      <c r="U1430" s="13" t="n">
        <v>229</v>
      </c>
      <c r="V1430" s="13" t="n">
        <v>160</v>
      </c>
      <c r="W1430" s="13" t="n">
        <v>48</v>
      </c>
      <c r="X1430" s="13" t="n">
        <v>375</v>
      </c>
      <c r="Y1430" s="13" t="n">
        <v>19</v>
      </c>
      <c r="Z1430" s="13" t="n">
        <v>267</v>
      </c>
      <c r="AA1430" s="13" t="n">
        <v>0.383</v>
      </c>
      <c r="AB1430" s="13" t="n">
        <v>131</v>
      </c>
      <c r="AC1430" s="13" t="n">
        <v>100</v>
      </c>
      <c r="AD1430" s="13" t="n">
        <v>244</v>
      </c>
      <c r="AE1430" s="13" t="n">
        <v>3</v>
      </c>
      <c r="AF1430" s="13" t="n">
        <v>11.6</v>
      </c>
      <c r="AG1430" s="11" t="inlineStr">
        <is>
          <t xml:space="preserve"> Resort Freeride</t>
        </is>
      </c>
      <c r="AH1430" s="11" t="inlineStr">
        <is>
          <t xml:space="preserve"> Powder</t>
        </is>
      </c>
      <c r="AI1430" s="11" t="inlineStr">
        <is>
          <t xml:space="preserve"> Big Mountain</t>
        </is>
      </c>
      <c r="AJ1430" s="13" t="n"/>
      <c r="AK1430" s="42" t="n"/>
    </row>
    <row r="1431">
      <c r="E1431" s="40" t="inlineStr">
        <is>
          <t>21/22</t>
        </is>
      </c>
      <c r="F1431" s="10" t="inlineStr">
        <is>
          <t xml:space="preserve"> Völkl</t>
        </is>
      </c>
      <c r="G1431" s="11" t="inlineStr">
        <is>
          <t>Mantra 102</t>
        </is>
      </c>
      <c r="H1431" s="13" t="n">
        <v>191</v>
      </c>
      <c r="I1431" s="11" t="inlineStr">
        <is>
          <t xml:space="preserve"> Unisex</t>
        </is>
      </c>
      <c r="J1431" s="13" t="n">
        <v>191</v>
      </c>
      <c r="K1431" s="13" t="n">
        <v>191.5</v>
      </c>
      <c r="L1431" s="13" t="n">
        <v>150</v>
      </c>
      <c r="M1431" s="13" t="n">
        <v>169</v>
      </c>
      <c r="N1431" s="13" t="n">
        <v>139</v>
      </c>
      <c r="O1431" s="13" t="n">
        <v>101</v>
      </c>
      <c r="P1431" s="13" t="n">
        <v>122</v>
      </c>
      <c r="Q1431" s="13" t="n">
        <v>23.4</v>
      </c>
      <c r="R1431" s="13" t="n">
        <v>2410</v>
      </c>
      <c r="S1431" s="13" t="n">
        <v>0.89</v>
      </c>
      <c r="T1431" s="13" t="n">
        <v>2155</v>
      </c>
      <c r="U1431" s="13" t="n">
        <v>263</v>
      </c>
      <c r="V1431" s="13" t="n">
        <v>184</v>
      </c>
      <c r="W1431" s="13" t="n">
        <v>44</v>
      </c>
      <c r="X1431" s="13" t="n">
        <v>251</v>
      </c>
      <c r="Y1431" s="13" t="n">
        <v>15</v>
      </c>
      <c r="Z1431" s="13" t="n">
        <v>163</v>
      </c>
      <c r="AA1431" s="13" t="n">
        <v>0.343</v>
      </c>
      <c r="AB1431" s="13" t="n">
        <v>130</v>
      </c>
      <c r="AC1431" s="13" t="n">
        <v>98</v>
      </c>
      <c r="AD1431" s="13" t="n">
        <v>122</v>
      </c>
      <c r="AE1431" s="13" t="n">
        <v>5</v>
      </c>
      <c r="AF1431" s="13" t="n">
        <v>11.8</v>
      </c>
      <c r="AG1431" s="11" t="inlineStr">
        <is>
          <t xml:space="preserve"> Resort Freeride</t>
        </is>
      </c>
      <c r="AH1431" s="11" t="inlineStr">
        <is>
          <t xml:space="preserve"> Big Mountain</t>
        </is>
      </c>
      <c r="AI1431" s="13" t="n"/>
      <c r="AJ1431" s="13" t="n"/>
      <c r="AK1431" s="42" t="n"/>
    </row>
    <row r="1432">
      <c r="E1432" s="40" t="inlineStr">
        <is>
          <t>21/22</t>
        </is>
      </c>
      <c r="F1432" s="10" t="inlineStr">
        <is>
          <t xml:space="preserve"> Völkl</t>
        </is>
      </c>
      <c r="G1432" s="11" t="inlineStr">
        <is>
          <t>Mantra M5</t>
        </is>
      </c>
      <c r="H1432" s="13" t="n">
        <v>170</v>
      </c>
      <c r="I1432" s="11" t="inlineStr">
        <is>
          <t xml:space="preserve"> Unisex</t>
        </is>
      </c>
      <c r="J1432" s="13" t="n">
        <v>170</v>
      </c>
      <c r="K1432" s="13" t="n">
        <v>171.3</v>
      </c>
      <c r="L1432" s="13" t="n">
        <v>129</v>
      </c>
      <c r="M1432" s="13" t="n">
        <v>148</v>
      </c>
      <c r="N1432" s="13" t="n">
        <v>133</v>
      </c>
      <c r="O1432" s="13" t="n">
        <v>95</v>
      </c>
      <c r="P1432" s="13" t="n">
        <v>116</v>
      </c>
      <c r="Q1432" s="13" t="n">
        <v>18</v>
      </c>
      <c r="R1432" s="13" t="n">
        <v>1971</v>
      </c>
      <c r="S1432" s="13" t="n">
        <v>0.93</v>
      </c>
      <c r="T1432" s="13" t="n">
        <v>1826</v>
      </c>
      <c r="U1432" s="13" t="n">
        <v>223</v>
      </c>
      <c r="V1432" s="13" t="n">
        <v>150</v>
      </c>
      <c r="W1432" s="13" t="n">
        <v>45</v>
      </c>
      <c r="X1432" s="13" t="n">
        <v>245</v>
      </c>
      <c r="Y1432" s="13" t="n">
        <v>16</v>
      </c>
      <c r="Z1432" s="13" t="n">
        <v>176</v>
      </c>
      <c r="AA1432" s="13" t="n">
        <v>0.351</v>
      </c>
      <c r="AB1432" s="13" t="n">
        <v>127</v>
      </c>
      <c r="AC1432" s="13" t="n">
        <v>103</v>
      </c>
      <c r="AD1432" s="13" t="n">
        <v>117</v>
      </c>
      <c r="AE1432" s="13" t="n">
        <v>4</v>
      </c>
      <c r="AF1432" s="13" t="n">
        <v>11.7</v>
      </c>
      <c r="AG1432" s="11" t="inlineStr">
        <is>
          <t xml:space="preserve"> Resort Freeride</t>
        </is>
      </c>
      <c r="AH1432" s="13" t="n"/>
      <c r="AI1432" s="13" t="n"/>
      <c r="AJ1432" s="13" t="n"/>
      <c r="AK1432" s="42" t="n"/>
    </row>
    <row r="1433">
      <c r="E1433" s="40" t="inlineStr">
        <is>
          <t>21/22</t>
        </is>
      </c>
      <c r="F1433" s="10" t="inlineStr">
        <is>
          <t xml:space="preserve"> Völkl</t>
        </is>
      </c>
      <c r="G1433" s="11" t="inlineStr">
        <is>
          <t>Mantra M5</t>
        </is>
      </c>
      <c r="H1433" s="13" t="n">
        <v>177</v>
      </c>
      <c r="I1433" s="11" t="inlineStr">
        <is>
          <t xml:space="preserve"> Unisex</t>
        </is>
      </c>
      <c r="J1433" s="13" t="n">
        <v>177</v>
      </c>
      <c r="K1433" s="13" t="n">
        <v>177.9</v>
      </c>
      <c r="L1433" s="13" t="n">
        <v>138</v>
      </c>
      <c r="M1433" s="13" t="n">
        <v>155</v>
      </c>
      <c r="N1433" s="13" t="n">
        <v>133</v>
      </c>
      <c r="O1433" s="13" t="n">
        <v>95</v>
      </c>
      <c r="P1433" s="13" t="n">
        <v>116</v>
      </c>
      <c r="Q1433" s="13" t="n">
        <v>20.2</v>
      </c>
      <c r="R1433" s="13" t="n">
        <v>2082</v>
      </c>
      <c r="S1433" s="13" t="n">
        <v>0.91</v>
      </c>
      <c r="T1433" s="13" t="n">
        <v>1895</v>
      </c>
      <c r="U1433" s="13" t="n">
        <v>224</v>
      </c>
      <c r="V1433" s="13" t="n">
        <v>145</v>
      </c>
      <c r="W1433" s="13" t="n">
        <v>44</v>
      </c>
      <c r="X1433" s="13" t="n">
        <v>256</v>
      </c>
      <c r="Y1433" s="13" t="n">
        <v>13</v>
      </c>
      <c r="Z1433" s="13" t="n">
        <v>144</v>
      </c>
      <c r="AA1433" s="13" t="n">
        <v>0.295</v>
      </c>
      <c r="AB1433" s="13" t="n">
        <v>133</v>
      </c>
      <c r="AC1433" s="13" t="n">
        <v>95</v>
      </c>
      <c r="AD1433" s="13" t="n">
        <v>123</v>
      </c>
      <c r="AE1433" s="13" t="n">
        <v>5</v>
      </c>
      <c r="AF1433" s="13" t="n">
        <v>11.6</v>
      </c>
      <c r="AG1433" s="11" t="inlineStr">
        <is>
          <t xml:space="preserve"> Resort Freeride</t>
        </is>
      </c>
      <c r="AH1433" s="13" t="n"/>
      <c r="AI1433" s="13" t="n"/>
      <c r="AJ1433" s="13" t="n"/>
      <c r="AK1433" s="42" t="n"/>
    </row>
    <row r="1434">
      <c r="E1434" s="40" t="inlineStr">
        <is>
          <t>21/22</t>
        </is>
      </c>
      <c r="F1434" s="10" t="inlineStr">
        <is>
          <t xml:space="preserve"> Völkl</t>
        </is>
      </c>
      <c r="G1434" s="11" t="inlineStr">
        <is>
          <t>Mantra M5</t>
        </is>
      </c>
      <c r="H1434" s="13" t="n">
        <v>184</v>
      </c>
      <c r="I1434" s="11" t="inlineStr">
        <is>
          <t xml:space="preserve"> Unisex</t>
        </is>
      </c>
      <c r="J1434" s="13" t="n">
        <v>184</v>
      </c>
      <c r="K1434" s="13" t="n">
        <v>183.9</v>
      </c>
      <c r="L1434" s="13" t="n">
        <v>144</v>
      </c>
      <c r="M1434" s="13" t="n">
        <v>160</v>
      </c>
      <c r="N1434" s="13" t="n">
        <v>133</v>
      </c>
      <c r="O1434" s="13" t="n">
        <v>95</v>
      </c>
      <c r="P1434" s="13" t="n">
        <v>116</v>
      </c>
      <c r="Q1434" s="13" t="n">
        <v>21.4</v>
      </c>
      <c r="R1434" s="13" t="n">
        <v>2122</v>
      </c>
      <c r="S1434" s="13" t="n">
        <v>0.92</v>
      </c>
      <c r="T1434" s="13" t="n">
        <v>1958</v>
      </c>
      <c r="U1434" s="13" t="n">
        <v>239</v>
      </c>
      <c r="V1434" s="13" t="n">
        <v>147</v>
      </c>
      <c r="W1434" s="13" t="n">
        <v>44</v>
      </c>
      <c r="X1434" s="13" t="n">
        <v>230</v>
      </c>
      <c r="Y1434" s="13" t="n">
        <v>15</v>
      </c>
      <c r="Z1434" s="13" t="n">
        <v>166</v>
      </c>
      <c r="AA1434" s="13" t="n">
        <v>0.347</v>
      </c>
      <c r="AB1434" s="13" t="n">
        <v>138</v>
      </c>
      <c r="AC1434" s="13" t="n">
        <v>106</v>
      </c>
      <c r="AD1434" s="13" t="n">
        <v>92</v>
      </c>
      <c r="AE1434" s="13" t="n">
        <v>6</v>
      </c>
      <c r="AF1434" s="13" t="n">
        <v>11.2</v>
      </c>
      <c r="AG1434" s="11" t="inlineStr">
        <is>
          <t xml:space="preserve"> Resort Freeride</t>
        </is>
      </c>
      <c r="AH1434" s="13" t="n"/>
      <c r="AI1434" s="13" t="n"/>
      <c r="AJ1434" s="13" t="n"/>
      <c r="AK1434" s="42" t="n"/>
    </row>
    <row r="1435">
      <c r="E1435" s="40" t="inlineStr">
        <is>
          <t>21/22</t>
        </is>
      </c>
      <c r="F1435" s="10" t="inlineStr">
        <is>
          <t xml:space="preserve"> Völkl</t>
        </is>
      </c>
      <c r="G1435" s="11" t="inlineStr">
        <is>
          <t>Mantra M5</t>
        </is>
      </c>
      <c r="H1435" s="13" t="n">
        <v>191</v>
      </c>
      <c r="I1435" s="11" t="inlineStr">
        <is>
          <t xml:space="preserve"> Unisex</t>
        </is>
      </c>
      <c r="J1435" s="13" t="n">
        <v>191</v>
      </c>
      <c r="K1435" s="13" t="n">
        <v>190.2</v>
      </c>
      <c r="L1435" s="13" t="n">
        <v>136</v>
      </c>
      <c r="M1435" s="13" t="n">
        <v>168</v>
      </c>
      <c r="N1435" s="13" t="n">
        <v>133</v>
      </c>
      <c r="O1435" s="13" t="n">
        <v>95</v>
      </c>
      <c r="P1435" s="13" t="n">
        <v>116</v>
      </c>
      <c r="Q1435" s="13" t="n">
        <v>23.7</v>
      </c>
      <c r="R1435" s="13" t="n">
        <v>2258</v>
      </c>
      <c r="S1435" s="13" t="n">
        <v>0.9</v>
      </c>
      <c r="T1435" s="13" t="n">
        <v>2026</v>
      </c>
      <c r="U1435" s="13" t="n">
        <v>247</v>
      </c>
      <c r="V1435" s="13" t="n">
        <v>155</v>
      </c>
      <c r="W1435" s="13" t="n">
        <v>40</v>
      </c>
      <c r="X1435" s="13" t="n">
        <v>330</v>
      </c>
      <c r="Y1435" s="13" t="n">
        <v>18</v>
      </c>
      <c r="Z1435" s="13" t="n">
        <v>215</v>
      </c>
      <c r="AA1435" s="13" t="n">
        <v>0.45</v>
      </c>
      <c r="AB1435" s="13" t="n">
        <v>123</v>
      </c>
      <c r="AC1435" s="13" t="n">
        <v>100</v>
      </c>
      <c r="AD1435" s="13" t="n">
        <v>207</v>
      </c>
      <c r="AE1435" s="13" t="n">
        <v>5</v>
      </c>
      <c r="AF1435" s="13" t="n">
        <v>11.2</v>
      </c>
      <c r="AG1435" s="11" t="inlineStr">
        <is>
          <t xml:space="preserve"> Resort Freeride</t>
        </is>
      </c>
      <c r="AH1435" s="13" t="n"/>
      <c r="AI1435" s="13" t="n"/>
      <c r="AJ1435" s="13" t="n"/>
      <c r="AK1435" s="42" t="n"/>
    </row>
    <row r="1436">
      <c r="E1436" s="40" t="inlineStr">
        <is>
          <t>21/22</t>
        </is>
      </c>
      <c r="F1436" s="10" t="inlineStr">
        <is>
          <t xml:space="preserve"> Völkl</t>
        </is>
      </c>
      <c r="G1436" s="11" t="inlineStr">
        <is>
          <t xml:space="preserve"> Mantra V.Werks</t>
        </is>
      </c>
      <c r="H1436" s="13" t="n">
        <v>170</v>
      </c>
      <c r="I1436" s="11" t="inlineStr">
        <is>
          <t xml:space="preserve"> Unisex</t>
        </is>
      </c>
      <c r="J1436" s="13" t="n">
        <v>170</v>
      </c>
      <c r="K1436" s="13" t="n">
        <v>169.7</v>
      </c>
      <c r="L1436" s="13" t="n">
        <v>113</v>
      </c>
      <c r="M1436" s="13" t="n">
        <v>142</v>
      </c>
      <c r="N1436" s="13" t="n">
        <v>134</v>
      </c>
      <c r="O1436" s="13" t="n">
        <v>98</v>
      </c>
      <c r="P1436" s="13" t="n">
        <v>116</v>
      </c>
      <c r="Q1436" s="13" t="n">
        <v>18.4</v>
      </c>
      <c r="R1436" s="13" t="n">
        <v>1583</v>
      </c>
      <c r="S1436" s="13" t="n">
        <v>1.17</v>
      </c>
      <c r="T1436" s="13" t="n">
        <v>1849</v>
      </c>
      <c r="U1436" s="13" t="n">
        <v>174</v>
      </c>
      <c r="V1436" s="13" t="n">
        <v>147</v>
      </c>
      <c r="W1436" s="13" t="n">
        <v>47</v>
      </c>
      <c r="X1436" s="13" t="n">
        <v>321</v>
      </c>
      <c r="Y1436" s="13" t="n">
        <v>17</v>
      </c>
      <c r="Z1436" s="13" t="n">
        <v>242</v>
      </c>
      <c r="AA1436" s="13" t="n">
        <v>0.363</v>
      </c>
      <c r="AB1436" s="13" t="n">
        <v>155</v>
      </c>
      <c r="AC1436" s="13" t="n">
        <v>121</v>
      </c>
      <c r="AD1436" s="13" t="n">
        <v>166</v>
      </c>
      <c r="AE1436" s="13" t="n">
        <v>2</v>
      </c>
      <c r="AF1436" s="13" t="n">
        <v>10.6</v>
      </c>
      <c r="AG1436" s="11" t="inlineStr">
        <is>
          <t xml:space="preserve"> Resort Freeride</t>
        </is>
      </c>
      <c r="AH1436" s="11" t="inlineStr">
        <is>
          <t xml:space="preserve"> Touring</t>
        </is>
      </c>
      <c r="AI1436" s="13" t="n"/>
      <c r="AJ1436" s="13" t="n"/>
      <c r="AK1436" s="42" t="n"/>
    </row>
    <row r="1437">
      <c r="E1437" s="40" t="inlineStr">
        <is>
          <t>21/22</t>
        </is>
      </c>
      <c r="F1437" s="10" t="inlineStr">
        <is>
          <t xml:space="preserve"> Völkl</t>
        </is>
      </c>
      <c r="G1437" s="11" t="inlineStr">
        <is>
          <t xml:space="preserve"> Mantra V.Werks</t>
        </is>
      </c>
      <c r="H1437" s="13" t="n">
        <v>178</v>
      </c>
      <c r="I1437" s="11" t="inlineStr">
        <is>
          <t xml:space="preserve"> Unisex</t>
        </is>
      </c>
      <c r="J1437" s="13" t="n">
        <v>178</v>
      </c>
      <c r="K1437" s="13" t="n">
        <v>179.8</v>
      </c>
      <c r="L1437" s="13" t="n">
        <v>130</v>
      </c>
      <c r="M1437" s="13" t="n">
        <v>151</v>
      </c>
      <c r="N1437" s="13" t="n">
        <v>134</v>
      </c>
      <c r="O1437" s="13" t="n">
        <v>98</v>
      </c>
      <c r="P1437" s="13" t="n">
        <v>116</v>
      </c>
      <c r="Q1437" s="13" t="n">
        <v>21.2</v>
      </c>
      <c r="R1437" s="13" t="n">
        <v>1653</v>
      </c>
      <c r="S1437" s="13" t="n">
        <v>1.18</v>
      </c>
      <c r="T1437" s="13" t="n">
        <v>1955</v>
      </c>
      <c r="U1437" s="13" t="n">
        <v>190</v>
      </c>
      <c r="V1437" s="13" t="n">
        <v>150</v>
      </c>
      <c r="W1437" s="13" t="n">
        <v>49</v>
      </c>
      <c r="X1437" s="13" t="n">
        <v>294</v>
      </c>
      <c r="Y1437" s="13" t="n">
        <v>17</v>
      </c>
      <c r="Z1437" s="13" t="n">
        <v>208</v>
      </c>
      <c r="AA1437" s="13" t="n">
        <v>0.354</v>
      </c>
      <c r="AB1437" s="13" t="n">
        <v>155</v>
      </c>
      <c r="AC1437" s="13" t="n">
        <v>129</v>
      </c>
      <c r="AD1437" s="13" t="n">
        <v>139</v>
      </c>
      <c r="AE1437" s="13" t="n">
        <v>2</v>
      </c>
      <c r="AF1437" s="13" t="n">
        <v>10.5</v>
      </c>
      <c r="AG1437" s="11" t="inlineStr">
        <is>
          <t xml:space="preserve"> Resort Freeride</t>
        </is>
      </c>
      <c r="AH1437" s="11" t="inlineStr">
        <is>
          <t xml:space="preserve"> Touring</t>
        </is>
      </c>
      <c r="AI1437" s="13" t="n"/>
      <c r="AJ1437" s="13" t="n"/>
      <c r="AK1437" s="42" t="n"/>
    </row>
    <row r="1438">
      <c r="E1438" s="40" t="inlineStr">
        <is>
          <t>21/22</t>
        </is>
      </c>
      <c r="F1438" s="10" t="inlineStr">
        <is>
          <t xml:space="preserve"> Völkl</t>
        </is>
      </c>
      <c r="G1438" s="11" t="inlineStr">
        <is>
          <t xml:space="preserve"> Mantra V.Werks</t>
        </is>
      </c>
      <c r="H1438" s="13" t="n">
        <v>186</v>
      </c>
      <c r="I1438" s="11" t="inlineStr">
        <is>
          <t xml:space="preserve"> Unisex</t>
        </is>
      </c>
      <c r="J1438" s="13" t="n">
        <v>186</v>
      </c>
      <c r="K1438" s="13" t="n">
        <v>187.1</v>
      </c>
      <c r="L1438" s="13" t="n">
        <v>131</v>
      </c>
      <c r="M1438" s="13" t="n">
        <v>159</v>
      </c>
      <c r="N1438" s="13" t="n">
        <v>134</v>
      </c>
      <c r="O1438" s="13" t="n">
        <v>98</v>
      </c>
      <c r="P1438" s="13" t="n">
        <v>116</v>
      </c>
      <c r="Q1438" s="13" t="n">
        <v>23.4</v>
      </c>
      <c r="R1438" s="13" t="n">
        <v>1775</v>
      </c>
      <c r="S1438" s="13" t="n">
        <v>1.15</v>
      </c>
      <c r="T1438" s="13" t="n">
        <v>2038</v>
      </c>
      <c r="U1438" s="13" t="n">
        <v>190</v>
      </c>
      <c r="V1438" s="13" t="n">
        <v>147</v>
      </c>
      <c r="W1438" s="13" t="n">
        <v>49</v>
      </c>
      <c r="X1438" s="13" t="n">
        <v>327</v>
      </c>
      <c r="Y1438" s="13" t="n">
        <v>18</v>
      </c>
      <c r="Z1438" s="13" t="n">
        <v>235</v>
      </c>
      <c r="AA1438" s="13" t="n">
        <v>0.367</v>
      </c>
      <c r="AB1438" s="13" t="n">
        <v>151</v>
      </c>
      <c r="AC1438" s="13" t="n">
        <v>126</v>
      </c>
      <c r="AD1438" s="13" t="n">
        <v>177</v>
      </c>
      <c r="AE1438" s="13" t="n">
        <v>3</v>
      </c>
      <c r="AF1438" s="13" t="n">
        <v>10.7</v>
      </c>
      <c r="AG1438" s="11" t="inlineStr">
        <is>
          <t xml:space="preserve"> Resort Freeride</t>
        </is>
      </c>
      <c r="AH1438" s="11" t="inlineStr">
        <is>
          <t xml:space="preserve"> Touring</t>
        </is>
      </c>
      <c r="AI1438" s="13" t="n"/>
      <c r="AJ1438" s="13" t="n"/>
      <c r="AK1438" s="42" t="n"/>
    </row>
    <row r="1439">
      <c r="E1439" s="40" t="inlineStr">
        <is>
          <t>21/22</t>
        </is>
      </c>
      <c r="F1439" s="10" t="inlineStr">
        <is>
          <t xml:space="preserve"> Völkl</t>
        </is>
      </c>
      <c r="G1439" s="11" t="inlineStr">
        <is>
          <t xml:space="preserve"> Racetiger SC</t>
        </is>
      </c>
      <c r="H1439" s="13" t="n">
        <v>170</v>
      </c>
      <c r="I1439" s="11" t="inlineStr">
        <is>
          <t xml:space="preserve"> Unisex</t>
        </is>
      </c>
      <c r="J1439" s="13" t="n">
        <v>170</v>
      </c>
      <c r="K1439" s="13" t="n">
        <v>169.3</v>
      </c>
      <c r="L1439" s="13" t="n">
        <v>149</v>
      </c>
      <c r="M1439" s="13" t="n">
        <v>154</v>
      </c>
      <c r="N1439" s="13" t="n">
        <v>122</v>
      </c>
      <c r="O1439" s="13" t="n">
        <v>69</v>
      </c>
      <c r="P1439" s="13" t="n">
        <v>102</v>
      </c>
      <c r="Q1439" s="13" t="n">
        <v>13.9</v>
      </c>
      <c r="R1439" s="13" t="n">
        <v>1987</v>
      </c>
      <c r="S1439" s="13" t="n">
        <v>0.73</v>
      </c>
      <c r="T1439" s="13" t="n">
        <v>1441</v>
      </c>
      <c r="U1439" s="13" t="n">
        <v>244</v>
      </c>
      <c r="V1439" s="13" t="n">
        <v>102</v>
      </c>
      <c r="W1439" s="13" t="n">
        <v>41</v>
      </c>
      <c r="X1439" s="13" t="n">
        <v>149</v>
      </c>
      <c r="Y1439" s="13" t="n">
        <v>6</v>
      </c>
      <c r="Z1439" s="13" t="n">
        <v>53</v>
      </c>
      <c r="AA1439" s="13" t="n">
        <v>0.141</v>
      </c>
      <c r="AB1439" s="13" t="n">
        <v>71</v>
      </c>
      <c r="AC1439" s="13" t="n">
        <v>79</v>
      </c>
      <c r="AD1439" s="13" t="n">
        <v>78</v>
      </c>
      <c r="AE1439" s="13" t="n">
        <v>6</v>
      </c>
      <c r="AF1439" s="13" t="n">
        <v>11.5</v>
      </c>
      <c r="AG1439" s="11" t="inlineStr">
        <is>
          <t xml:space="preserve"> On-Piste Carving</t>
        </is>
      </c>
      <c r="AH1439" s="13" t="n"/>
      <c r="AI1439" s="13" t="n"/>
      <c r="AJ1439" s="13" t="n"/>
      <c r="AK1439" s="42" t="n"/>
    </row>
    <row r="1440">
      <c r="E1440" s="40" t="inlineStr">
        <is>
          <t>21/22</t>
        </is>
      </c>
      <c r="F1440" s="10" t="inlineStr">
        <is>
          <t xml:space="preserve"> Völkl</t>
        </is>
      </c>
      <c r="G1440" s="11" t="inlineStr">
        <is>
          <t xml:space="preserve"> Racetiger SL</t>
        </is>
      </c>
      <c r="H1440" s="13" t="n">
        <v>155</v>
      </c>
      <c r="I1440" s="11" t="inlineStr">
        <is>
          <t xml:space="preserve"> Unisex</t>
        </is>
      </c>
      <c r="J1440" s="13" t="n">
        <v>155</v>
      </c>
      <c r="K1440" s="13" t="n">
        <v>154.6</v>
      </c>
      <c r="L1440" s="13" t="n">
        <v>130</v>
      </c>
      <c r="M1440" s="13" t="n">
        <v>144</v>
      </c>
      <c r="N1440" s="13" t="n">
        <v>126</v>
      </c>
      <c r="O1440" s="13" t="n">
        <v>67</v>
      </c>
      <c r="P1440" s="13" t="n">
        <v>102</v>
      </c>
      <c r="Q1440" s="13" t="n">
        <v>11</v>
      </c>
      <c r="R1440" s="13" t="n">
        <v>1934</v>
      </c>
      <c r="S1440" s="13" t="n">
        <v>0.68</v>
      </c>
      <c r="T1440" s="13" t="n">
        <v>1306</v>
      </c>
      <c r="U1440" s="13" t="n">
        <v>190</v>
      </c>
      <c r="V1440" s="13" t="n">
        <v>124</v>
      </c>
      <c r="W1440" s="13" t="n">
        <v>43</v>
      </c>
      <c r="X1440" s="13" t="n">
        <v>186</v>
      </c>
      <c r="Y1440" s="13" t="n">
        <v>6</v>
      </c>
      <c r="Z1440" s="13" t="n">
        <v>58</v>
      </c>
      <c r="AA1440" s="13" t="n">
        <v>0.133</v>
      </c>
      <c r="AB1440" s="13" t="n">
        <v>63</v>
      </c>
      <c r="AC1440" s="13" t="n">
        <v>48</v>
      </c>
      <c r="AD1440" s="13" t="n">
        <v>123</v>
      </c>
      <c r="AE1440" s="13" t="n">
        <v>4</v>
      </c>
      <c r="AF1440" s="13" t="n">
        <v>13.2</v>
      </c>
      <c r="AG1440" s="11" t="inlineStr">
        <is>
          <t xml:space="preserve"> On-Piste Carving</t>
        </is>
      </c>
      <c r="AH1440" s="13" t="n"/>
      <c r="AI1440" s="13" t="n"/>
      <c r="AJ1440" s="13" t="n"/>
      <c r="AK1440" s="42" t="n"/>
    </row>
    <row r="1441">
      <c r="E1441" s="40" t="inlineStr">
        <is>
          <t>21/22</t>
        </is>
      </c>
      <c r="F1441" s="10" t="inlineStr">
        <is>
          <t xml:space="preserve"> Völkl</t>
        </is>
      </c>
      <c r="G1441" s="11" t="inlineStr">
        <is>
          <t xml:space="preserve"> Racetiger SL</t>
        </is>
      </c>
      <c r="H1441" s="13" t="n">
        <v>160</v>
      </c>
      <c r="I1441" s="11" t="inlineStr">
        <is>
          <t xml:space="preserve"> Unisex</t>
        </is>
      </c>
      <c r="J1441" s="13" t="n">
        <v>160</v>
      </c>
      <c r="K1441" s="13" t="n">
        <v>159.7</v>
      </c>
      <c r="L1441" s="13" t="n">
        <v>138</v>
      </c>
      <c r="M1441" s="13" t="n">
        <v>148</v>
      </c>
      <c r="N1441" s="13" t="n">
        <v>125</v>
      </c>
      <c r="O1441" s="13" t="n">
        <v>67</v>
      </c>
      <c r="P1441" s="13" t="n">
        <v>102</v>
      </c>
      <c r="Q1441" s="13" t="n">
        <v>11.7</v>
      </c>
      <c r="R1441" s="13" t="n">
        <v>1979</v>
      </c>
      <c r="S1441" s="13" t="n">
        <v>0.68</v>
      </c>
      <c r="T1441" s="13" t="n">
        <v>1351</v>
      </c>
      <c r="U1441" s="13" t="n">
        <v>184</v>
      </c>
      <c r="V1441" s="13" t="n">
        <v>124</v>
      </c>
      <c r="W1441" s="13" t="n">
        <v>41</v>
      </c>
      <c r="X1441" s="13" t="n">
        <v>157</v>
      </c>
      <c r="Y1441" s="13" t="n">
        <v>7</v>
      </c>
      <c r="Z1441" s="13" t="n">
        <v>59</v>
      </c>
      <c r="AA1441" s="13" t="n">
        <v>0.176</v>
      </c>
      <c r="AB1441" s="13" t="n">
        <v>60</v>
      </c>
      <c r="AC1441" s="13" t="n">
        <v>53</v>
      </c>
      <c r="AD1441" s="13" t="n">
        <v>97</v>
      </c>
      <c r="AE1441" s="13" t="n">
        <v>5</v>
      </c>
      <c r="AF1441" s="13" t="n">
        <v>11.9</v>
      </c>
      <c r="AG1441" s="11" t="inlineStr">
        <is>
          <t xml:space="preserve"> On-Piste Carving</t>
        </is>
      </c>
      <c r="AH1441" s="13" t="n"/>
      <c r="AI1441" s="13" t="n"/>
      <c r="AJ1441" s="13" t="n"/>
      <c r="AK1441" s="42" t="n"/>
    </row>
    <row r="1442">
      <c r="E1442" s="40" t="inlineStr">
        <is>
          <t>21/22</t>
        </is>
      </c>
      <c r="F1442" s="10" t="inlineStr">
        <is>
          <t xml:space="preserve"> Völkl</t>
        </is>
      </c>
      <c r="G1442" s="11" t="inlineStr">
        <is>
          <t xml:space="preserve"> Racetiger SL</t>
        </is>
      </c>
      <c r="H1442" s="13" t="n">
        <v>170</v>
      </c>
      <c r="I1442" s="11" t="inlineStr">
        <is>
          <t xml:space="preserve"> Unisex</t>
        </is>
      </c>
      <c r="J1442" s="13" t="n">
        <v>170</v>
      </c>
      <c r="K1442" s="13" t="n">
        <v>169.2</v>
      </c>
      <c r="L1442" s="13" t="n">
        <v>146</v>
      </c>
      <c r="M1442" s="13" t="n">
        <v>158</v>
      </c>
      <c r="N1442" s="13" t="n">
        <v>126</v>
      </c>
      <c r="O1442" s="13" t="n">
        <v>67</v>
      </c>
      <c r="P1442" s="13" t="n">
        <v>102</v>
      </c>
      <c r="Q1442" s="13" t="n">
        <v>13.4</v>
      </c>
      <c r="R1442" s="13" t="n">
        <v>2068</v>
      </c>
      <c r="S1442" s="13" t="n">
        <v>0.6899999999999999</v>
      </c>
      <c r="T1442" s="13" t="n">
        <v>1425</v>
      </c>
      <c r="U1442" s="13" t="n">
        <v>229</v>
      </c>
      <c r="V1442" s="13" t="n">
        <v>150</v>
      </c>
      <c r="W1442" s="13" t="n">
        <v>43</v>
      </c>
      <c r="X1442" s="13" t="n">
        <v>174</v>
      </c>
      <c r="Y1442" s="13" t="n">
        <v>6</v>
      </c>
      <c r="Z1442" s="13" t="n">
        <v>61</v>
      </c>
      <c r="AA1442" s="13" t="n">
        <v>0.151</v>
      </c>
      <c r="AB1442" s="13" t="n">
        <v>57</v>
      </c>
      <c r="AC1442" s="13" t="n">
        <v>50</v>
      </c>
      <c r="AD1442" s="13" t="n">
        <v>117</v>
      </c>
      <c r="AE1442" s="13" t="n">
        <v>5</v>
      </c>
      <c r="AF1442" s="13" t="n">
        <v>11.5</v>
      </c>
      <c r="AG1442" s="11" t="inlineStr">
        <is>
          <t xml:space="preserve"> On-Piste Carving</t>
        </is>
      </c>
      <c r="AH1442" s="13" t="n"/>
      <c r="AI1442" s="13" t="n"/>
      <c r="AJ1442" s="13" t="n"/>
      <c r="AK1442" s="42" t="n"/>
    </row>
    <row r="1443">
      <c r="E1443" s="40" t="inlineStr">
        <is>
          <t>21/22</t>
        </is>
      </c>
      <c r="F1443" s="10" t="inlineStr">
        <is>
          <t xml:space="preserve"> Völkl</t>
        </is>
      </c>
      <c r="G1443" s="11" t="inlineStr">
        <is>
          <t>Revolt 104</t>
        </is>
      </c>
      <c r="H1443" s="13" t="n">
        <v>180</v>
      </c>
      <c r="I1443" s="11" t="inlineStr">
        <is>
          <t xml:space="preserve"> Unisex</t>
        </is>
      </c>
      <c r="J1443" s="13" t="n">
        <v>180</v>
      </c>
      <c r="K1443" s="13" t="n">
        <v>179.9</v>
      </c>
      <c r="L1443" s="13" t="n">
        <v>96</v>
      </c>
      <c r="M1443" s="13" t="n">
        <v>142</v>
      </c>
      <c r="N1443" s="13" t="n">
        <v>131</v>
      </c>
      <c r="O1443" s="13" t="n">
        <v>103</v>
      </c>
      <c r="P1443" s="13" t="n">
        <v>121</v>
      </c>
      <c r="Q1443" s="13" t="n">
        <v>20.4</v>
      </c>
      <c r="R1443" s="13" t="n">
        <v>1958</v>
      </c>
      <c r="S1443" s="13" t="n">
        <v>1.03</v>
      </c>
      <c r="T1443" s="13" t="n">
        <v>2014</v>
      </c>
      <c r="U1443" s="13" t="n">
        <v>168</v>
      </c>
      <c r="V1443" s="13" t="n">
        <v>82</v>
      </c>
      <c r="W1443" s="13" t="n">
        <v>56</v>
      </c>
      <c r="X1443" s="13" t="n">
        <v>462</v>
      </c>
      <c r="Y1443" s="13" t="n">
        <v>39</v>
      </c>
      <c r="Z1443" s="13" t="n">
        <v>374</v>
      </c>
      <c r="AA1443" s="13" t="n">
        <v>0.704</v>
      </c>
      <c r="AB1443" s="13" t="n">
        <v>172</v>
      </c>
      <c r="AC1443" s="13" t="n">
        <v>209</v>
      </c>
      <c r="AD1443" s="13" t="n">
        <v>290</v>
      </c>
      <c r="AE1443" s="13" t="n">
        <v>5</v>
      </c>
      <c r="AF1443" s="13" t="n">
        <v>1.6</v>
      </c>
      <c r="AG1443" s="11" t="inlineStr">
        <is>
          <t xml:space="preserve"> Resort Freeride</t>
        </is>
      </c>
      <c r="AH1443" s="11" t="inlineStr">
        <is>
          <t xml:space="preserve"> Powder</t>
        </is>
      </c>
      <c r="AI1443" s="13" t="n"/>
      <c r="AJ1443" s="13" t="n"/>
      <c r="AK1443" s="42" t="n"/>
    </row>
    <row r="1444">
      <c r="E1444" s="40" t="inlineStr">
        <is>
          <t>21/22</t>
        </is>
      </c>
      <c r="F1444" s="10" t="inlineStr">
        <is>
          <t xml:space="preserve"> Völkl</t>
        </is>
      </c>
      <c r="G1444" s="11" t="inlineStr">
        <is>
          <t>Revolt 104</t>
        </is>
      </c>
      <c r="H1444" s="13" t="n">
        <v>188</v>
      </c>
      <c r="I1444" s="11" t="inlineStr">
        <is>
          <t xml:space="preserve"> Unisex</t>
        </is>
      </c>
      <c r="J1444" s="13" t="n">
        <v>188</v>
      </c>
      <c r="K1444" s="13" t="n">
        <v>186.7</v>
      </c>
      <c r="L1444" s="13" t="n">
        <v>106</v>
      </c>
      <c r="M1444" s="13" t="n">
        <v>148</v>
      </c>
      <c r="N1444" s="13" t="n">
        <v>131</v>
      </c>
      <c r="O1444" s="13" t="n">
        <v>103</v>
      </c>
      <c r="P1444" s="13" t="n">
        <v>120</v>
      </c>
      <c r="Q1444" s="13" t="n">
        <v>22.6</v>
      </c>
      <c r="R1444" s="13" t="n">
        <v>2095</v>
      </c>
      <c r="S1444" s="13" t="n">
        <v>1</v>
      </c>
      <c r="T1444" s="13" t="n">
        <v>2094</v>
      </c>
      <c r="U1444" s="13" t="n">
        <v>182</v>
      </c>
      <c r="V1444" s="13" t="n">
        <v>88</v>
      </c>
      <c r="W1444" s="13" t="n">
        <v>57</v>
      </c>
      <c r="X1444" s="13" t="n">
        <v>399</v>
      </c>
      <c r="Y1444" s="13" t="n">
        <v>41</v>
      </c>
      <c r="Z1444" s="13" t="n">
        <v>406</v>
      </c>
      <c r="AA1444" s="13" t="n">
        <v>0.721</v>
      </c>
      <c r="AB1444" s="13" t="n">
        <v>194</v>
      </c>
      <c r="AC1444" s="13" t="n">
        <v>193</v>
      </c>
      <c r="AD1444" s="13" t="n">
        <v>205</v>
      </c>
      <c r="AE1444" s="13" t="n">
        <v>5</v>
      </c>
      <c r="AF1444" s="13" t="n">
        <v>2.5</v>
      </c>
      <c r="AG1444" s="11" t="inlineStr">
        <is>
          <t xml:space="preserve"> Resort Freeride</t>
        </is>
      </c>
      <c r="AH1444" s="11" t="inlineStr">
        <is>
          <t xml:space="preserve"> Powder</t>
        </is>
      </c>
      <c r="AI1444" s="13" t="n"/>
      <c r="AJ1444" s="13" t="n"/>
      <c r="AK1444" s="42" t="n"/>
    </row>
    <row r="1445">
      <c r="E1445" s="40" t="inlineStr">
        <is>
          <t>21/22</t>
        </is>
      </c>
      <c r="F1445" s="10" t="inlineStr">
        <is>
          <t xml:space="preserve"> Völkl</t>
        </is>
      </c>
      <c r="G1445" s="11" t="inlineStr">
        <is>
          <t>Revolt 121</t>
        </is>
      </c>
      <c r="H1445" s="13" t="n">
        <v>177</v>
      </c>
      <c r="I1445" s="11" t="inlineStr">
        <is>
          <t xml:space="preserve"> Unisex</t>
        </is>
      </c>
      <c r="J1445" s="13" t="n">
        <v>177</v>
      </c>
      <c r="K1445" s="13" t="n">
        <v>177.4</v>
      </c>
      <c r="L1445" s="13" t="n">
        <v>82</v>
      </c>
      <c r="M1445" s="13" t="n">
        <v>118</v>
      </c>
      <c r="N1445" s="13" t="n">
        <v>141</v>
      </c>
      <c r="O1445" s="13" t="n">
        <v>120</v>
      </c>
      <c r="P1445" s="13" t="n">
        <v>133</v>
      </c>
      <c r="Q1445" s="13" t="n">
        <v>17.7</v>
      </c>
      <c r="R1445" s="13" t="n">
        <v>2158</v>
      </c>
      <c r="S1445" s="13" t="n">
        <v>1.04</v>
      </c>
      <c r="T1445" s="13" t="n">
        <v>2242</v>
      </c>
      <c r="U1445" s="13" t="n">
        <v>193</v>
      </c>
      <c r="V1445" s="13" t="n">
        <v>94</v>
      </c>
      <c r="W1445" s="13" t="n">
        <v>77</v>
      </c>
      <c r="X1445" s="13" t="n">
        <v>487</v>
      </c>
      <c r="Y1445" s="13" t="n">
        <v>45</v>
      </c>
      <c r="Z1445" s="13" t="n">
        <v>465</v>
      </c>
      <c r="AA1445" s="13" t="n">
        <v>0.585</v>
      </c>
      <c r="AB1445" s="13" t="n">
        <v>298</v>
      </c>
      <c r="AC1445" s="13" t="n">
        <v>298</v>
      </c>
      <c r="AD1445" s="13" t="n">
        <v>189</v>
      </c>
      <c r="AE1445" s="13" t="n">
        <v>5</v>
      </c>
      <c r="AF1445" s="13" t="n">
        <v>3.4</v>
      </c>
      <c r="AG1445" s="11" t="inlineStr">
        <is>
          <t xml:space="preserve"> Powder</t>
        </is>
      </c>
      <c r="AH1445" s="13" t="n"/>
      <c r="AI1445" s="13" t="n"/>
      <c r="AJ1445" s="13" t="n"/>
      <c r="AK1445" s="42" t="n"/>
    </row>
    <row r="1446">
      <c r="E1446" s="40" t="inlineStr">
        <is>
          <t>21/22</t>
        </is>
      </c>
      <c r="F1446" s="10" t="inlineStr">
        <is>
          <t xml:space="preserve"> Völkl</t>
        </is>
      </c>
      <c r="G1446" s="11" t="inlineStr">
        <is>
          <t>Revolt 87</t>
        </is>
      </c>
      <c r="H1446" s="13" t="n">
        <v>169</v>
      </c>
      <c r="I1446" s="11" t="inlineStr">
        <is>
          <t xml:space="preserve"> Unisex</t>
        </is>
      </c>
      <c r="J1446" s="13" t="n">
        <v>169</v>
      </c>
      <c r="K1446" s="13" t="n">
        <v>166.1</v>
      </c>
      <c r="L1446" s="13" t="n">
        <v>133</v>
      </c>
      <c r="M1446" s="13" t="n">
        <v>145</v>
      </c>
      <c r="N1446" s="13" t="n">
        <v>115</v>
      </c>
      <c r="O1446" s="13" t="n">
        <v>86</v>
      </c>
      <c r="P1446" s="13" t="n">
        <v>115</v>
      </c>
      <c r="Q1446" s="13" t="n">
        <v>18</v>
      </c>
      <c r="R1446" s="13" t="n">
        <v>1834</v>
      </c>
      <c r="S1446" s="13" t="n">
        <v>0.87</v>
      </c>
      <c r="T1446" s="13" t="n">
        <v>1604</v>
      </c>
      <c r="U1446" s="13" t="n">
        <v>221</v>
      </c>
      <c r="V1446" s="13" t="n">
        <v>103</v>
      </c>
      <c r="W1446" s="13" t="n">
        <v>45</v>
      </c>
      <c r="X1446" s="13" t="n">
        <v>169</v>
      </c>
      <c r="Y1446" s="13" t="n">
        <v>42</v>
      </c>
      <c r="Z1446" s="13" t="n">
        <v>166</v>
      </c>
      <c r="AA1446" s="13" t="n">
        <v>0.929</v>
      </c>
      <c r="AB1446" s="13" t="n">
        <v>103</v>
      </c>
      <c r="AC1446" s="13" t="n">
        <v>110</v>
      </c>
      <c r="AD1446" s="13" t="n">
        <v>67</v>
      </c>
      <c r="AE1446" s="13" t="n">
        <v>7</v>
      </c>
      <c r="AF1446" s="13" t="n">
        <v>0.4</v>
      </c>
      <c r="AG1446" s="11" t="inlineStr">
        <is>
          <t xml:space="preserve"> Freeski</t>
        </is>
      </c>
      <c r="AH1446" s="13" t="n"/>
      <c r="AI1446" s="13" t="n"/>
      <c r="AJ1446" s="13" t="n"/>
      <c r="AK1446" s="42" t="n"/>
    </row>
    <row r="1447">
      <c r="E1447" s="40" t="inlineStr">
        <is>
          <t>21/22</t>
        </is>
      </c>
      <c r="F1447" s="10" t="inlineStr">
        <is>
          <t xml:space="preserve"> Völkl</t>
        </is>
      </c>
      <c r="G1447" s="11" t="inlineStr">
        <is>
          <t>Revolt 87</t>
        </is>
      </c>
      <c r="H1447" s="13" t="n">
        <v>177</v>
      </c>
      <c r="I1447" s="11" t="inlineStr">
        <is>
          <t xml:space="preserve"> Unisex</t>
        </is>
      </c>
      <c r="J1447" s="13" t="n">
        <v>177</v>
      </c>
      <c r="K1447" s="13" t="n">
        <v>173.4</v>
      </c>
      <c r="L1447" s="13" t="n">
        <v>139</v>
      </c>
      <c r="M1447" s="13" t="n">
        <v>152</v>
      </c>
      <c r="N1447" s="13" t="n">
        <v>115</v>
      </c>
      <c r="O1447" s="13" t="n">
        <v>86</v>
      </c>
      <c r="P1447" s="13" t="n">
        <v>114</v>
      </c>
      <c r="Q1447" s="13" t="n">
        <v>20</v>
      </c>
      <c r="R1447" s="13" t="n">
        <v>1911</v>
      </c>
      <c r="S1447" s="13" t="n">
        <v>0.87</v>
      </c>
      <c r="T1447" s="13" t="n">
        <v>1670</v>
      </c>
      <c r="U1447" s="13" t="n">
        <v>234</v>
      </c>
      <c r="V1447" s="13" t="n">
        <v>113</v>
      </c>
      <c r="W1447" s="13" t="n">
        <v>45</v>
      </c>
      <c r="X1447" s="13" t="n">
        <v>175</v>
      </c>
      <c r="Y1447" s="13" t="n">
        <v>42</v>
      </c>
      <c r="Z1447" s="13" t="n">
        <v>167</v>
      </c>
      <c r="AA1447" s="13" t="n">
        <v>0.9409999999999999</v>
      </c>
      <c r="AB1447" s="13" t="n">
        <v>103</v>
      </c>
      <c r="AC1447" s="13" t="n">
        <v>108</v>
      </c>
      <c r="AD1447" s="13" t="n">
        <v>72</v>
      </c>
      <c r="AE1447" s="13" t="n">
        <v>6</v>
      </c>
      <c r="AF1447" s="13" t="n">
        <v>0.5</v>
      </c>
      <c r="AG1447" s="11" t="inlineStr">
        <is>
          <t xml:space="preserve"> Freeski</t>
        </is>
      </c>
      <c r="AH1447" s="13" t="n"/>
      <c r="AI1447" s="13" t="n"/>
      <c r="AJ1447" s="13" t="n"/>
      <c r="AK1447" s="42" t="n"/>
    </row>
    <row r="1448">
      <c r="E1448" s="40" t="inlineStr">
        <is>
          <t>21/22</t>
        </is>
      </c>
      <c r="F1448" s="10" t="inlineStr">
        <is>
          <t xml:space="preserve"> Völkl</t>
        </is>
      </c>
      <c r="G1448" s="11" t="inlineStr">
        <is>
          <t>Revolt 95</t>
        </is>
      </c>
      <c r="H1448" s="13" t="n">
        <v>157</v>
      </c>
      <c r="I1448" s="11" t="inlineStr">
        <is>
          <t xml:space="preserve"> Unisex</t>
        </is>
      </c>
      <c r="J1448" s="13" t="n">
        <v>157</v>
      </c>
      <c r="K1448" s="13" t="n">
        <v>156.1</v>
      </c>
      <c r="L1448" s="13" t="n">
        <v>120</v>
      </c>
      <c r="M1448" s="13" t="n">
        <v>141</v>
      </c>
      <c r="N1448" s="13" t="n">
        <v>128</v>
      </c>
      <c r="O1448" s="13" t="n">
        <v>94</v>
      </c>
      <c r="P1448" s="13" t="n">
        <v>118</v>
      </c>
      <c r="Q1448" s="13" t="n">
        <v>16.9</v>
      </c>
      <c r="R1448" s="13" t="n">
        <v>1681</v>
      </c>
      <c r="S1448" s="13" t="n">
        <v>0.97</v>
      </c>
      <c r="T1448" s="13" t="n">
        <v>1624</v>
      </c>
      <c r="U1448" s="13" t="n">
        <v>156</v>
      </c>
      <c r="V1448" s="13" t="n">
        <v>82</v>
      </c>
      <c r="W1448" s="13" t="n">
        <v>39</v>
      </c>
      <c r="X1448" s="13" t="n">
        <v>218</v>
      </c>
      <c r="Y1448" s="13" t="n">
        <v>36</v>
      </c>
      <c r="Z1448" s="13" t="n">
        <v>147</v>
      </c>
      <c r="AA1448" s="13" t="n">
        <v>0.946</v>
      </c>
      <c r="AB1448" s="13" t="n">
        <v>81</v>
      </c>
      <c r="AC1448" s="13" t="n">
        <v>69</v>
      </c>
      <c r="AD1448" s="13" t="n">
        <v>137</v>
      </c>
      <c r="AE1448" s="13" t="n">
        <v>6</v>
      </c>
      <c r="AF1448" s="13" t="n">
        <v>0.1</v>
      </c>
      <c r="AG1448" s="11" t="inlineStr">
        <is>
          <t xml:space="preserve"> Freeski</t>
        </is>
      </c>
      <c r="AH1448" s="13" t="n"/>
      <c r="AI1448" s="13" t="n"/>
      <c r="AJ1448" s="13" t="n"/>
      <c r="AK1448" s="42" t="n"/>
    </row>
    <row r="1449">
      <c r="E1449" s="40" t="inlineStr">
        <is>
          <t>21/22</t>
        </is>
      </c>
      <c r="F1449" s="10" t="inlineStr">
        <is>
          <t xml:space="preserve"> Völkl</t>
        </is>
      </c>
      <c r="G1449" s="11" t="inlineStr">
        <is>
          <t>Revolt 95</t>
        </is>
      </c>
      <c r="H1449" s="13" t="n">
        <v>165</v>
      </c>
      <c r="I1449" s="11" t="inlineStr">
        <is>
          <t xml:space="preserve"> Unisex</t>
        </is>
      </c>
      <c r="J1449" s="13" t="n">
        <v>165</v>
      </c>
      <c r="K1449" s="13" t="n">
        <v>163.6</v>
      </c>
      <c r="L1449" s="13" t="n">
        <v>132</v>
      </c>
      <c r="M1449" s="13" t="n">
        <v>149</v>
      </c>
      <c r="N1449" s="13" t="n">
        <v>128</v>
      </c>
      <c r="O1449" s="13" t="n">
        <v>94</v>
      </c>
      <c r="P1449" s="13" t="n">
        <v>118</v>
      </c>
      <c r="Q1449" s="13" t="n">
        <v>19</v>
      </c>
      <c r="R1449" s="13" t="n">
        <v>1806</v>
      </c>
      <c r="S1449" s="13" t="n">
        <v>0.9399999999999999</v>
      </c>
      <c r="T1449" s="13" t="n">
        <v>1702</v>
      </c>
      <c r="U1449" s="13" t="n">
        <v>170</v>
      </c>
      <c r="V1449" s="13" t="n">
        <v>85</v>
      </c>
      <c r="W1449" s="13" t="n">
        <v>40</v>
      </c>
      <c r="X1449" s="13" t="n">
        <v>163</v>
      </c>
      <c r="Y1449" s="13" t="n">
        <v>36</v>
      </c>
      <c r="Z1449" s="13" t="n">
        <v>149</v>
      </c>
      <c r="AA1449" s="13" t="n">
        <v>0.894</v>
      </c>
      <c r="AB1449" s="13" t="n">
        <v>80</v>
      </c>
      <c r="AC1449" s="13" t="n">
        <v>70</v>
      </c>
      <c r="AD1449" s="13" t="n">
        <v>83</v>
      </c>
      <c r="AE1449" s="13" t="n">
        <v>5</v>
      </c>
      <c r="AF1449" s="13" t="n">
        <v>0.6</v>
      </c>
      <c r="AG1449" s="11" t="inlineStr">
        <is>
          <t xml:space="preserve"> Freeski</t>
        </is>
      </c>
      <c r="AH1449" s="13" t="n"/>
      <c r="AI1449" s="13" t="n"/>
      <c r="AJ1449" s="13" t="n"/>
      <c r="AK1449" s="42" t="n"/>
    </row>
    <row r="1450">
      <c r="E1450" s="40" t="inlineStr">
        <is>
          <t>21/22</t>
        </is>
      </c>
      <c r="F1450" s="10" t="inlineStr">
        <is>
          <t xml:space="preserve"> Völkl</t>
        </is>
      </c>
      <c r="G1450" s="11" t="inlineStr">
        <is>
          <t>Revolt 95</t>
        </is>
      </c>
      <c r="H1450" s="13" t="n">
        <v>173</v>
      </c>
      <c r="I1450" s="11" t="inlineStr">
        <is>
          <t xml:space="preserve"> Unisex</t>
        </is>
      </c>
      <c r="J1450" s="13" t="n">
        <v>173</v>
      </c>
      <c r="K1450" s="13" t="n">
        <v>173.4</v>
      </c>
      <c r="L1450" s="13" t="n">
        <v>130</v>
      </c>
      <c r="M1450" s="13" t="n">
        <v>159</v>
      </c>
      <c r="N1450" s="13" t="n">
        <v>128</v>
      </c>
      <c r="O1450" s="13" t="n">
        <v>94</v>
      </c>
      <c r="P1450" s="13" t="n">
        <v>118</v>
      </c>
      <c r="Q1450" s="13" t="n">
        <v>21.6</v>
      </c>
      <c r="R1450" s="13" t="n">
        <v>1979</v>
      </c>
      <c r="S1450" s="13" t="n">
        <v>0.91</v>
      </c>
      <c r="T1450" s="13" t="n">
        <v>1806</v>
      </c>
      <c r="U1450" s="13" t="n">
        <v>192</v>
      </c>
      <c r="V1450" s="13" t="n">
        <v>104</v>
      </c>
      <c r="W1450" s="13" t="n">
        <v>41</v>
      </c>
      <c r="X1450" s="13" t="n">
        <v>222</v>
      </c>
      <c r="Y1450" s="13" t="n">
        <v>37</v>
      </c>
      <c r="Z1450" s="13" t="n">
        <v>209</v>
      </c>
      <c r="AA1450" s="13" t="n">
        <v>0.912</v>
      </c>
      <c r="AB1450" s="13" t="n">
        <v>81</v>
      </c>
      <c r="AC1450" s="13" t="n">
        <v>62</v>
      </c>
      <c r="AD1450" s="13" t="n">
        <v>141</v>
      </c>
      <c r="AE1450" s="13" t="n">
        <v>5</v>
      </c>
      <c r="AF1450" s="13" t="n">
        <v>0.1</v>
      </c>
      <c r="AG1450" s="11" t="inlineStr">
        <is>
          <t xml:space="preserve"> Freeski</t>
        </is>
      </c>
      <c r="AH1450" s="13" t="n"/>
      <c r="AI1450" s="13" t="n"/>
      <c r="AJ1450" s="13" t="n"/>
      <c r="AK1450" s="42" t="n"/>
    </row>
    <row r="1451">
      <c r="E1451" s="40" t="inlineStr">
        <is>
          <t>21/22</t>
        </is>
      </c>
      <c r="F1451" s="10" t="inlineStr">
        <is>
          <t xml:space="preserve"> Völkl</t>
        </is>
      </c>
      <c r="G1451" s="11" t="inlineStr">
        <is>
          <t>Revolt 95</t>
        </is>
      </c>
      <c r="H1451" s="13" t="n">
        <v>181</v>
      </c>
      <c r="I1451" s="11" t="inlineStr">
        <is>
          <t xml:space="preserve"> Unisex</t>
        </is>
      </c>
      <c r="J1451" s="13" t="n">
        <v>181</v>
      </c>
      <c r="K1451" s="13" t="n">
        <v>181.3</v>
      </c>
      <c r="L1451" s="13" t="n">
        <v>145</v>
      </c>
      <c r="M1451" s="13" t="n">
        <v>166</v>
      </c>
      <c r="N1451" s="13" t="n">
        <v>128</v>
      </c>
      <c r="O1451" s="13" t="n">
        <v>94</v>
      </c>
      <c r="P1451" s="13" t="n">
        <v>118</v>
      </c>
      <c r="Q1451" s="13" t="n">
        <v>23.8</v>
      </c>
      <c r="R1451" s="13" t="n">
        <v>2034</v>
      </c>
      <c r="S1451" s="13" t="n">
        <v>0.93</v>
      </c>
      <c r="T1451" s="13" t="n">
        <v>1886</v>
      </c>
      <c r="U1451" s="13" t="n">
        <v>209</v>
      </c>
      <c r="V1451" s="13" t="n">
        <v>106</v>
      </c>
      <c r="W1451" s="13" t="n">
        <v>38</v>
      </c>
      <c r="X1451" s="13" t="n">
        <v>204</v>
      </c>
      <c r="Y1451" s="13" t="n">
        <v>37</v>
      </c>
      <c r="Z1451" s="13" t="n">
        <v>156</v>
      </c>
      <c r="AA1451" s="13" t="n">
        <v>0.96</v>
      </c>
      <c r="AB1451" s="13" t="n">
        <v>83</v>
      </c>
      <c r="AC1451" s="13" t="n">
        <v>72</v>
      </c>
      <c r="AD1451" s="13" t="n">
        <v>120</v>
      </c>
      <c r="AE1451" s="13" t="n">
        <v>6</v>
      </c>
      <c r="AF1451" s="13" t="n">
        <v>0.2</v>
      </c>
      <c r="AG1451" s="11" t="inlineStr">
        <is>
          <t xml:space="preserve"> Freeski</t>
        </is>
      </c>
      <c r="AH1451" s="13" t="n"/>
      <c r="AI1451" s="13" t="n"/>
      <c r="AJ1451" s="13" t="n"/>
      <c r="AK1451" s="42" t="n"/>
    </row>
    <row r="1452">
      <c r="E1452" s="40" t="inlineStr">
        <is>
          <t>21/22</t>
        </is>
      </c>
      <c r="F1452" s="10" t="inlineStr">
        <is>
          <t xml:space="preserve"> Völkl</t>
        </is>
      </c>
      <c r="G1452" s="11" t="inlineStr">
        <is>
          <t>Rise Above 88</t>
        </is>
      </c>
      <c r="H1452" s="13" t="n">
        <v>170</v>
      </c>
      <c r="I1452" s="11" t="inlineStr">
        <is>
          <t xml:space="preserve"> Unisex</t>
        </is>
      </c>
      <c r="J1452" s="13" t="n">
        <v>170</v>
      </c>
      <c r="K1452" s="13" t="n">
        <v>169.3</v>
      </c>
      <c r="L1452" s="13" t="n">
        <v>140</v>
      </c>
      <c r="M1452" s="13" t="n">
        <v>147</v>
      </c>
      <c r="N1452" s="13" t="n">
        <v>130</v>
      </c>
      <c r="O1452" s="13" t="n">
        <v>87</v>
      </c>
      <c r="P1452" s="13" t="n">
        <v>111</v>
      </c>
      <c r="Q1452" s="13" t="n">
        <v>15.7</v>
      </c>
      <c r="R1452" s="13" t="n">
        <v>1167</v>
      </c>
      <c r="S1452" s="13" t="n">
        <v>1.46</v>
      </c>
      <c r="T1452" s="13" t="n">
        <v>1700</v>
      </c>
      <c r="U1452" s="13" t="n">
        <v>150</v>
      </c>
      <c r="V1452" s="13" t="n">
        <v>57</v>
      </c>
      <c r="W1452" s="13" t="n">
        <v>43</v>
      </c>
      <c r="X1452" s="13" t="n">
        <v>230</v>
      </c>
      <c r="Y1452" s="13" t="n">
        <v>4</v>
      </c>
      <c r="Z1452" s="13" t="n">
        <v>66</v>
      </c>
      <c r="AA1452" s="13" t="n">
        <v>0.104</v>
      </c>
      <c r="AB1452" s="13" t="n">
        <v>124</v>
      </c>
      <c r="AC1452" s="13" t="n">
        <v>95</v>
      </c>
      <c r="AD1452" s="13" t="n">
        <v>106</v>
      </c>
      <c r="AE1452" s="13" t="n">
        <v>6</v>
      </c>
      <c r="AF1452" s="13" t="n">
        <v>11.6</v>
      </c>
      <c r="AG1452" s="11" t="inlineStr">
        <is>
          <t xml:space="preserve"> Touring</t>
        </is>
      </c>
      <c r="AH1452" s="11" t="inlineStr">
        <is>
          <t xml:space="preserve"> Ultralight Touring</t>
        </is>
      </c>
      <c r="AI1452" s="13" t="n"/>
      <c r="AJ1452" s="13" t="n"/>
      <c r="AK1452" s="42" t="n"/>
    </row>
    <row r="1453">
      <c r="E1453" s="40" t="inlineStr">
        <is>
          <t>21/22</t>
        </is>
      </c>
      <c r="F1453" s="10" t="inlineStr">
        <is>
          <t xml:space="preserve"> Völkl</t>
        </is>
      </c>
      <c r="G1453" s="11" t="inlineStr">
        <is>
          <t>Rise Above 88</t>
        </is>
      </c>
      <c r="H1453" s="13" t="n">
        <v>177</v>
      </c>
      <c r="I1453" s="11" t="inlineStr">
        <is>
          <t xml:space="preserve"> Unisex</t>
        </is>
      </c>
      <c r="J1453" s="13" t="n">
        <v>177</v>
      </c>
      <c r="K1453" s="13" t="n">
        <v>176.7</v>
      </c>
      <c r="L1453" s="13" t="n">
        <v>147</v>
      </c>
      <c r="M1453" s="13" t="n">
        <v>156</v>
      </c>
      <c r="N1453" s="13" t="n">
        <v>130</v>
      </c>
      <c r="O1453" s="13" t="n">
        <v>87</v>
      </c>
      <c r="P1453" s="13" t="n">
        <v>111</v>
      </c>
      <c r="Q1453" s="13" t="n">
        <v>17.5</v>
      </c>
      <c r="R1453" s="13" t="n">
        <v>1279</v>
      </c>
      <c r="S1453" s="13" t="n">
        <v>1.39</v>
      </c>
      <c r="T1453" s="13" t="n">
        <v>1773</v>
      </c>
      <c r="U1453" s="13" t="n">
        <v>171</v>
      </c>
      <c r="V1453" s="13" t="n">
        <v>76</v>
      </c>
      <c r="W1453" s="13" t="n">
        <v>42</v>
      </c>
      <c r="X1453" s="13" t="n">
        <v>236</v>
      </c>
      <c r="Y1453" s="13" t="n">
        <v>4</v>
      </c>
      <c r="Z1453" s="13" t="n">
        <v>62</v>
      </c>
      <c r="AA1453" s="13" t="n">
        <v>0.096</v>
      </c>
      <c r="AB1453" s="13" t="n">
        <v>120</v>
      </c>
      <c r="AC1453" s="13" t="n">
        <v>89</v>
      </c>
      <c r="AD1453" s="13" t="n">
        <v>116</v>
      </c>
      <c r="AE1453" s="13" t="n">
        <v>6</v>
      </c>
      <c r="AF1453" s="13" t="n">
        <v>12.2</v>
      </c>
      <c r="AG1453" s="11" t="inlineStr">
        <is>
          <t xml:space="preserve"> Touring</t>
        </is>
      </c>
      <c r="AH1453" s="11" t="inlineStr">
        <is>
          <t xml:space="preserve"> Ultralight Touring</t>
        </is>
      </c>
      <c r="AI1453" s="13" t="n"/>
      <c r="AJ1453" s="13" t="n"/>
      <c r="AK1453" s="42" t="n"/>
    </row>
    <row r="1454">
      <c r="E1454" s="40" t="inlineStr">
        <is>
          <t>21/22</t>
        </is>
      </c>
      <c r="F1454" s="10" t="inlineStr">
        <is>
          <t xml:space="preserve"> Völkl</t>
        </is>
      </c>
      <c r="G1454" s="11" t="inlineStr">
        <is>
          <t>Rise Above 88</t>
        </is>
      </c>
      <c r="H1454" s="13" t="n">
        <v>184</v>
      </c>
      <c r="I1454" s="11" t="inlineStr">
        <is>
          <t xml:space="preserve"> Unisex</t>
        </is>
      </c>
      <c r="J1454" s="13" t="n">
        <v>184</v>
      </c>
      <c r="K1454" s="13" t="n">
        <v>184</v>
      </c>
      <c r="L1454" s="13" t="n">
        <v>149</v>
      </c>
      <c r="M1454" s="13" t="n">
        <v>163</v>
      </c>
      <c r="N1454" s="13" t="n">
        <v>130</v>
      </c>
      <c r="O1454" s="13" t="n">
        <v>87</v>
      </c>
      <c r="P1454" s="13" t="n">
        <v>111</v>
      </c>
      <c r="Q1454" s="13" t="n">
        <v>19.2</v>
      </c>
      <c r="R1454" s="13" t="n">
        <v>1357</v>
      </c>
      <c r="S1454" s="13" t="n">
        <v>1.36</v>
      </c>
      <c r="T1454" s="13" t="n">
        <v>1847</v>
      </c>
      <c r="U1454" s="13" t="n">
        <v>195</v>
      </c>
      <c r="V1454" s="13" t="n">
        <v>76</v>
      </c>
      <c r="W1454" s="13" t="n">
        <v>47</v>
      </c>
      <c r="X1454" s="13" t="n">
        <v>285</v>
      </c>
      <c r="Y1454" s="13" t="n">
        <v>4</v>
      </c>
      <c r="Z1454" s="13" t="n">
        <v>64</v>
      </c>
      <c r="AA1454" s="13" t="n">
        <v>0.08699999999999999</v>
      </c>
      <c r="AB1454" s="13" t="n">
        <v>122</v>
      </c>
      <c r="AC1454" s="13" t="n">
        <v>90</v>
      </c>
      <c r="AD1454" s="13" t="n">
        <v>164</v>
      </c>
      <c r="AE1454" s="13" t="n">
        <v>6</v>
      </c>
      <c r="AF1454" s="13" t="n">
        <v>12.5</v>
      </c>
      <c r="AG1454" s="11" t="inlineStr">
        <is>
          <t xml:space="preserve"> Touring</t>
        </is>
      </c>
      <c r="AH1454" s="11" t="inlineStr">
        <is>
          <t xml:space="preserve"> Ultralight Touring</t>
        </is>
      </c>
      <c r="AI1454" s="13" t="n"/>
      <c r="AJ1454" s="13" t="n"/>
      <c r="AK1454" s="42" t="n"/>
    </row>
    <row r="1455">
      <c r="E1455" s="40" t="inlineStr">
        <is>
          <t>21/22</t>
        </is>
      </c>
      <c r="F1455" s="10" t="inlineStr">
        <is>
          <t xml:space="preserve"> Völkl</t>
        </is>
      </c>
      <c r="G1455" s="11" t="inlineStr">
        <is>
          <t>Rise Above 88 W</t>
        </is>
      </c>
      <c r="H1455" s="13" t="n">
        <v>156</v>
      </c>
      <c r="I1455" s="11" t="inlineStr">
        <is>
          <t xml:space="preserve"> Women's</t>
        </is>
      </c>
      <c r="J1455" s="13" t="n">
        <v>156</v>
      </c>
      <c r="K1455" s="13" t="n">
        <v>154.6</v>
      </c>
      <c r="L1455" s="13" t="n">
        <v>127</v>
      </c>
      <c r="M1455" s="13" t="n">
        <v>132</v>
      </c>
      <c r="N1455" s="13" t="n">
        <v>130</v>
      </c>
      <c r="O1455" s="13" t="n">
        <v>87</v>
      </c>
      <c r="P1455" s="13" t="n">
        <v>111</v>
      </c>
      <c r="Q1455" s="13" t="n">
        <v>12.7</v>
      </c>
      <c r="R1455" s="13" t="n">
        <v>1111</v>
      </c>
      <c r="S1455" s="13" t="n">
        <v>1.4</v>
      </c>
      <c r="T1455" s="13" t="n">
        <v>1555</v>
      </c>
      <c r="U1455" s="13" t="n">
        <v>135</v>
      </c>
      <c r="V1455" s="13" t="n">
        <v>59</v>
      </c>
      <c r="W1455" s="13" t="n">
        <v>42</v>
      </c>
      <c r="X1455" s="13" t="n">
        <v>212</v>
      </c>
      <c r="Y1455" s="13" t="n">
        <v>4</v>
      </c>
      <c r="Z1455" s="13" t="n">
        <v>65</v>
      </c>
      <c r="AA1455" s="13" t="n">
        <v>0.104</v>
      </c>
      <c r="AB1455" s="13" t="n">
        <v>131</v>
      </c>
      <c r="AC1455" s="13" t="n">
        <v>93</v>
      </c>
      <c r="AD1455" s="13" t="n">
        <v>81</v>
      </c>
      <c r="AE1455" s="13" t="n">
        <v>5</v>
      </c>
      <c r="AF1455" s="13" t="n">
        <v>11.4</v>
      </c>
      <c r="AG1455" s="11" t="inlineStr">
        <is>
          <t xml:space="preserve"> Touring</t>
        </is>
      </c>
      <c r="AH1455" s="11" t="inlineStr">
        <is>
          <t xml:space="preserve"> Ultralight Touring</t>
        </is>
      </c>
      <c r="AI1455" s="13" t="n"/>
      <c r="AJ1455" s="13" t="n"/>
      <c r="AK1455" s="42" t="n"/>
    </row>
    <row r="1456">
      <c r="E1456" s="40" t="inlineStr">
        <is>
          <t>21/22</t>
        </is>
      </c>
      <c r="F1456" s="10" t="inlineStr">
        <is>
          <t xml:space="preserve"> Völkl</t>
        </is>
      </c>
      <c r="G1456" s="11" t="inlineStr">
        <is>
          <t>Rise Above 88 W</t>
        </is>
      </c>
      <c r="H1456" s="13" t="n">
        <v>163</v>
      </c>
      <c r="I1456" s="11" t="inlineStr">
        <is>
          <t xml:space="preserve"> Women's</t>
        </is>
      </c>
      <c r="J1456" s="13" t="n">
        <v>163</v>
      </c>
      <c r="K1456" s="13" t="n">
        <v>162.1</v>
      </c>
      <c r="L1456" s="13" t="n">
        <v>133</v>
      </c>
      <c r="M1456" s="13" t="n">
        <v>140</v>
      </c>
      <c r="N1456" s="13" t="n">
        <v>130</v>
      </c>
      <c r="O1456" s="13" t="n">
        <v>87</v>
      </c>
      <c r="P1456" s="13" t="n">
        <v>111</v>
      </c>
      <c r="Q1456" s="13" t="n">
        <v>14.2</v>
      </c>
      <c r="R1456" s="13" t="n">
        <v>1165</v>
      </c>
      <c r="S1456" s="13" t="n">
        <v>1.4</v>
      </c>
      <c r="T1456" s="13" t="n">
        <v>1630</v>
      </c>
      <c r="U1456" s="13" t="n">
        <v>149</v>
      </c>
      <c r="V1456" s="13" t="n">
        <v>62</v>
      </c>
      <c r="W1456" s="13" t="n">
        <v>43</v>
      </c>
      <c r="X1456" s="13" t="n">
        <v>221</v>
      </c>
      <c r="Y1456" s="13" t="n">
        <v>5</v>
      </c>
      <c r="Z1456" s="13" t="n">
        <v>72</v>
      </c>
      <c r="AA1456" s="13" t="n">
        <v>0.113</v>
      </c>
      <c r="AB1456" s="13" t="n">
        <v>130</v>
      </c>
      <c r="AC1456" s="13" t="n">
        <v>95</v>
      </c>
      <c r="AD1456" s="13" t="n">
        <v>91</v>
      </c>
      <c r="AE1456" s="13" t="n">
        <v>4</v>
      </c>
      <c r="AF1456" s="13" t="n">
        <v>10.8</v>
      </c>
      <c r="AG1456" s="11" t="inlineStr">
        <is>
          <t xml:space="preserve"> Touring</t>
        </is>
      </c>
      <c r="AH1456" s="11" t="inlineStr">
        <is>
          <t xml:space="preserve"> Ultralight Touring</t>
        </is>
      </c>
      <c r="AI1456" s="13" t="n"/>
      <c r="AJ1456" s="13" t="n"/>
      <c r="AK1456" s="42" t="n"/>
    </row>
    <row r="1457">
      <c r="E1457" s="40" t="inlineStr">
        <is>
          <t>21/22</t>
        </is>
      </c>
      <c r="F1457" s="10" t="inlineStr">
        <is>
          <t xml:space="preserve"> Völkl</t>
        </is>
      </c>
      <c r="G1457" s="11" t="inlineStr">
        <is>
          <t>Rise Beyond 96</t>
        </is>
      </c>
      <c r="H1457" s="13" t="n">
        <v>156</v>
      </c>
      <c r="I1457" s="11" t="inlineStr">
        <is>
          <t xml:space="preserve"> Unisex</t>
        </is>
      </c>
      <c r="J1457" s="13" t="n">
        <v>156</v>
      </c>
      <c r="K1457" s="13" t="n">
        <v>154.5</v>
      </c>
      <c r="L1457" s="13" t="n">
        <v>122</v>
      </c>
      <c r="M1457" s="13" t="n">
        <v>133</v>
      </c>
      <c r="N1457" s="13" t="n">
        <v>137</v>
      </c>
      <c r="O1457" s="13" t="n">
        <v>95</v>
      </c>
      <c r="P1457" s="13" t="n">
        <v>118</v>
      </c>
      <c r="Q1457" s="13" t="n">
        <v>12.6</v>
      </c>
      <c r="R1457" s="13" t="n">
        <v>1110</v>
      </c>
      <c r="S1457" s="13" t="n">
        <v>1.5</v>
      </c>
      <c r="T1457" s="13" t="n">
        <v>1669</v>
      </c>
      <c r="U1457" s="13" t="n">
        <v>134</v>
      </c>
      <c r="V1457" s="13" t="n">
        <v>66</v>
      </c>
      <c r="W1457" s="13" t="n">
        <v>37</v>
      </c>
      <c r="X1457" s="13" t="n">
        <v>261</v>
      </c>
      <c r="Y1457" s="13" t="n">
        <v>5</v>
      </c>
      <c r="Z1457" s="13" t="n">
        <v>68</v>
      </c>
      <c r="AA1457" s="13" t="n">
        <v>0.123</v>
      </c>
      <c r="AB1457" s="13" t="n">
        <v>125</v>
      </c>
      <c r="AC1457" s="13" t="n">
        <v>95</v>
      </c>
      <c r="AD1457" s="13" t="n">
        <v>136</v>
      </c>
      <c r="AE1457" s="13" t="n">
        <v>4</v>
      </c>
      <c r="AF1457" s="13" t="n">
        <v>10.6</v>
      </c>
      <c r="AG1457" s="11" t="inlineStr">
        <is>
          <t xml:space="preserve"> Touring</t>
        </is>
      </c>
      <c r="AH1457" s="11" t="inlineStr">
        <is>
          <t xml:space="preserve"> Ultralight Touring</t>
        </is>
      </c>
      <c r="AI1457" s="13" t="n"/>
      <c r="AJ1457" s="13" t="n"/>
      <c r="AK1457" s="42" t="n"/>
    </row>
    <row r="1458">
      <c r="E1458" s="40" t="inlineStr">
        <is>
          <t>21/22</t>
        </is>
      </c>
      <c r="F1458" s="10" t="inlineStr">
        <is>
          <t xml:space="preserve"> Völkl</t>
        </is>
      </c>
      <c r="G1458" s="11" t="inlineStr">
        <is>
          <t>Rise Beyond 96</t>
        </is>
      </c>
      <c r="H1458" s="13" t="n">
        <v>163</v>
      </c>
      <c r="I1458" s="11" t="inlineStr">
        <is>
          <t xml:space="preserve"> Unisex</t>
        </is>
      </c>
      <c r="J1458" s="13" t="n">
        <v>163</v>
      </c>
      <c r="K1458" s="13" t="n">
        <v>162</v>
      </c>
      <c r="L1458" s="13" t="n">
        <v>126</v>
      </c>
      <c r="M1458" s="13" t="n">
        <v>140</v>
      </c>
      <c r="N1458" s="13" t="n">
        <v>137</v>
      </c>
      <c r="O1458" s="13" t="n">
        <v>95</v>
      </c>
      <c r="P1458" s="13" t="n">
        <v>118</v>
      </c>
      <c r="Q1458" s="13" t="n">
        <v>14.4</v>
      </c>
      <c r="R1458" s="13" t="n">
        <v>1158</v>
      </c>
      <c r="S1458" s="13" t="n">
        <v>1.51</v>
      </c>
      <c r="T1458" s="13" t="n">
        <v>1751</v>
      </c>
      <c r="U1458" s="13" t="n">
        <v>143</v>
      </c>
      <c r="V1458" s="13" t="n">
        <v>67</v>
      </c>
      <c r="W1458" s="13" t="n">
        <v>38</v>
      </c>
      <c r="X1458" s="13" t="n">
        <v>292</v>
      </c>
      <c r="Y1458" s="13" t="n">
        <v>5</v>
      </c>
      <c r="Z1458" s="13" t="n">
        <v>67</v>
      </c>
      <c r="AA1458" s="13" t="n">
        <v>0.129</v>
      </c>
      <c r="AB1458" s="13" t="n">
        <v>129</v>
      </c>
      <c r="AC1458" s="13" t="n">
        <v>93</v>
      </c>
      <c r="AD1458" s="13" t="n">
        <v>162</v>
      </c>
      <c r="AE1458" s="13" t="n">
        <v>3</v>
      </c>
      <c r="AF1458" s="13" t="n">
        <v>11.6</v>
      </c>
      <c r="AG1458" s="11" t="inlineStr">
        <is>
          <t xml:space="preserve"> Touring</t>
        </is>
      </c>
      <c r="AH1458" s="11" t="inlineStr">
        <is>
          <t xml:space="preserve"> Ultralight Touring</t>
        </is>
      </c>
      <c r="AI1458" s="13" t="n"/>
      <c r="AJ1458" s="13" t="n"/>
      <c r="AK1458" s="42" t="n"/>
    </row>
    <row r="1459">
      <c r="E1459" s="40" t="inlineStr">
        <is>
          <t>21/22</t>
        </is>
      </c>
      <c r="F1459" s="10" t="inlineStr">
        <is>
          <t xml:space="preserve"> Völkl</t>
        </is>
      </c>
      <c r="G1459" s="11" t="inlineStr">
        <is>
          <t>Rise Beyond 96</t>
        </is>
      </c>
      <c r="H1459" s="13" t="n">
        <v>170</v>
      </c>
      <c r="I1459" s="11" t="inlineStr">
        <is>
          <t xml:space="preserve"> Unisex</t>
        </is>
      </c>
      <c r="J1459" s="13" t="n">
        <v>170</v>
      </c>
      <c r="K1459" s="13" t="n">
        <v>169.5</v>
      </c>
      <c r="L1459" s="13" t="n">
        <v>130</v>
      </c>
      <c r="M1459" s="13" t="n">
        <v>148</v>
      </c>
      <c r="N1459" s="13" t="n">
        <v>137</v>
      </c>
      <c r="O1459" s="13" t="n">
        <v>95</v>
      </c>
      <c r="P1459" s="13" t="n">
        <v>118</v>
      </c>
      <c r="Q1459" s="13" t="n">
        <v>15.9</v>
      </c>
      <c r="R1459" s="13" t="n">
        <v>1260</v>
      </c>
      <c r="S1459" s="13" t="n">
        <v>1.45</v>
      </c>
      <c r="T1459" s="13" t="n">
        <v>1830</v>
      </c>
      <c r="U1459" s="13" t="n">
        <v>155</v>
      </c>
      <c r="V1459" s="13" t="n">
        <v>70</v>
      </c>
      <c r="W1459" s="13" t="n">
        <v>39</v>
      </c>
      <c r="X1459" s="13" t="n">
        <v>326</v>
      </c>
      <c r="Y1459" s="13" t="n">
        <v>5</v>
      </c>
      <c r="Z1459" s="13" t="n">
        <v>72</v>
      </c>
      <c r="AA1459" s="13" t="n">
        <v>0.135</v>
      </c>
      <c r="AB1459" s="13" t="n">
        <v>123</v>
      </c>
      <c r="AC1459" s="13" t="n">
        <v>89</v>
      </c>
      <c r="AD1459" s="13" t="n">
        <v>204</v>
      </c>
      <c r="AE1459" s="13" t="n">
        <v>3</v>
      </c>
      <c r="AF1459" s="13" t="n">
        <v>11.3</v>
      </c>
      <c r="AG1459" s="11" t="inlineStr">
        <is>
          <t xml:space="preserve"> Touring</t>
        </is>
      </c>
      <c r="AH1459" s="11" t="inlineStr">
        <is>
          <t xml:space="preserve"> Ultralight Touring</t>
        </is>
      </c>
      <c r="AI1459" s="13" t="n"/>
      <c r="AJ1459" s="13" t="n"/>
      <c r="AK1459" s="42" t="n"/>
    </row>
    <row r="1460">
      <c r="E1460" s="40" t="inlineStr">
        <is>
          <t>21/22</t>
        </is>
      </c>
      <c r="F1460" s="10" t="inlineStr">
        <is>
          <t xml:space="preserve"> Völkl</t>
        </is>
      </c>
      <c r="G1460" s="11" t="inlineStr">
        <is>
          <t>Rise Beyond 96</t>
        </is>
      </c>
      <c r="H1460" s="13" t="n">
        <v>177</v>
      </c>
      <c r="I1460" s="11" t="inlineStr">
        <is>
          <t xml:space="preserve"> Unisex</t>
        </is>
      </c>
      <c r="J1460" s="13" t="n">
        <v>177</v>
      </c>
      <c r="K1460" s="13" t="n">
        <v>176.9</v>
      </c>
      <c r="L1460" s="13" t="n">
        <v>145</v>
      </c>
      <c r="M1460" s="13" t="n">
        <v>154</v>
      </c>
      <c r="N1460" s="13" t="n">
        <v>138</v>
      </c>
      <c r="O1460" s="13" t="n">
        <v>96</v>
      </c>
      <c r="P1460" s="13" t="n">
        <v>119</v>
      </c>
      <c r="Q1460" s="13" t="n">
        <v>17.7</v>
      </c>
      <c r="R1460" s="13" t="n">
        <v>1347</v>
      </c>
      <c r="S1460" s="13" t="n">
        <v>1.43</v>
      </c>
      <c r="T1460" s="13" t="n">
        <v>1921</v>
      </c>
      <c r="U1460" s="13" t="n">
        <v>174</v>
      </c>
      <c r="V1460" s="13" t="n">
        <v>73</v>
      </c>
      <c r="W1460" s="13" t="n">
        <v>36</v>
      </c>
      <c r="X1460" s="13" t="n">
        <v>260</v>
      </c>
      <c r="Y1460" s="13" t="n">
        <v>5</v>
      </c>
      <c r="Z1460" s="13" t="n">
        <v>63</v>
      </c>
      <c r="AA1460" s="13" t="n">
        <v>0.13</v>
      </c>
      <c r="AB1460" s="13" t="n">
        <v>130</v>
      </c>
      <c r="AC1460" s="13" t="n">
        <v>96</v>
      </c>
      <c r="AD1460" s="13" t="n">
        <v>130</v>
      </c>
      <c r="AE1460" s="13" t="n">
        <v>6</v>
      </c>
      <c r="AF1460" s="13" t="n">
        <v>11.8</v>
      </c>
      <c r="AG1460" s="11" t="inlineStr">
        <is>
          <t xml:space="preserve"> Touring</t>
        </is>
      </c>
      <c r="AH1460" s="11" t="inlineStr">
        <is>
          <t xml:space="preserve"> Ultralight Touring</t>
        </is>
      </c>
      <c r="AI1460" s="13" t="n"/>
      <c r="AJ1460" s="13" t="n"/>
      <c r="AK1460" s="42" t="n"/>
    </row>
    <row r="1461">
      <c r="E1461" s="40" t="inlineStr">
        <is>
          <t>21/22</t>
        </is>
      </c>
      <c r="F1461" s="10" t="inlineStr">
        <is>
          <t xml:space="preserve"> Völkl</t>
        </is>
      </c>
      <c r="G1461" s="11" t="inlineStr">
        <is>
          <t>Rise Beyond 96</t>
        </is>
      </c>
      <c r="H1461" s="13" t="n">
        <v>184</v>
      </c>
      <c r="I1461" s="11" t="inlineStr">
        <is>
          <t xml:space="preserve"> Unisex</t>
        </is>
      </c>
      <c r="J1461" s="13" t="n">
        <v>184</v>
      </c>
      <c r="K1461" s="13" t="n">
        <v>184</v>
      </c>
      <c r="L1461" s="13" t="n">
        <v>142</v>
      </c>
      <c r="M1461" s="13" t="n">
        <v>162</v>
      </c>
      <c r="N1461" s="13" t="n">
        <v>138</v>
      </c>
      <c r="O1461" s="13" t="n">
        <v>96</v>
      </c>
      <c r="P1461" s="13" t="n">
        <v>119</v>
      </c>
      <c r="Q1461" s="13" t="n">
        <v>19.5</v>
      </c>
      <c r="R1461" s="13" t="n">
        <v>1366</v>
      </c>
      <c r="S1461" s="13" t="n">
        <v>1.46</v>
      </c>
      <c r="T1461" s="13" t="n">
        <v>1997</v>
      </c>
      <c r="U1461" s="13" t="n">
        <v>192</v>
      </c>
      <c r="V1461" s="13" t="n">
        <v>82</v>
      </c>
      <c r="W1461" s="13" t="n">
        <v>40</v>
      </c>
      <c r="X1461" s="13" t="n">
        <v>346</v>
      </c>
      <c r="Y1461" s="13" t="n">
        <v>5</v>
      </c>
      <c r="Z1461" s="13" t="n">
        <v>69</v>
      </c>
      <c r="AA1461" s="13" t="n">
        <v>0.119</v>
      </c>
      <c r="AB1461" s="13" t="n">
        <v>127</v>
      </c>
      <c r="AC1461" s="13" t="n">
        <v>88</v>
      </c>
      <c r="AD1461" s="13" t="n">
        <v>219</v>
      </c>
      <c r="AE1461" s="13" t="n">
        <v>2</v>
      </c>
      <c r="AF1461" s="13" t="n">
        <v>12.1</v>
      </c>
      <c r="AG1461" s="11" t="inlineStr">
        <is>
          <t xml:space="preserve"> Touring</t>
        </is>
      </c>
      <c r="AH1461" s="11" t="inlineStr">
        <is>
          <t xml:space="preserve"> Ultralight Touring</t>
        </is>
      </c>
      <c r="AI1461" s="13" t="n"/>
      <c r="AJ1461" s="13" t="n"/>
      <c r="AK1461" s="42" t="n"/>
    </row>
    <row r="1462">
      <c r="E1462" s="40" t="inlineStr">
        <is>
          <t>21/22</t>
        </is>
      </c>
      <c r="F1462" s="10" t="inlineStr">
        <is>
          <t xml:space="preserve"> Völkl</t>
        </is>
      </c>
      <c r="G1462" s="11" t="inlineStr">
        <is>
          <t>Rise Beyond 96 W</t>
        </is>
      </c>
      <c r="H1462" s="13" t="n">
        <v>156</v>
      </c>
      <c r="I1462" s="11" t="inlineStr">
        <is>
          <t xml:space="preserve"> Women's</t>
        </is>
      </c>
      <c r="J1462" s="13" t="n">
        <v>156</v>
      </c>
      <c r="K1462" s="13" t="n">
        <v>154.7</v>
      </c>
      <c r="L1462" s="13" t="n">
        <v>119</v>
      </c>
      <c r="M1462" s="13" t="n">
        <v>133</v>
      </c>
      <c r="N1462" s="13" t="n">
        <v>137</v>
      </c>
      <c r="O1462" s="13" t="n">
        <v>95</v>
      </c>
      <c r="P1462" s="13" t="n">
        <v>118</v>
      </c>
      <c r="Q1462" s="13" t="n">
        <v>13</v>
      </c>
      <c r="R1462" s="13" t="n">
        <v>1129</v>
      </c>
      <c r="S1462" s="13" t="n">
        <v>1.48</v>
      </c>
      <c r="T1462" s="13" t="n">
        <v>1672</v>
      </c>
      <c r="U1462" s="13" t="n">
        <v>140</v>
      </c>
      <c r="V1462" s="13" t="n">
        <v>64</v>
      </c>
      <c r="W1462" s="13" t="n">
        <v>40</v>
      </c>
      <c r="X1462" s="13" t="n">
        <v>292</v>
      </c>
      <c r="Y1462" s="13" t="n">
        <v>4</v>
      </c>
      <c r="Z1462" s="13" t="n">
        <v>68</v>
      </c>
      <c r="AA1462" s="13" t="n">
        <v>0.104</v>
      </c>
      <c r="AB1462" s="13" t="n">
        <v>129</v>
      </c>
      <c r="AC1462" s="13" t="n">
        <v>88</v>
      </c>
      <c r="AD1462" s="13" t="n">
        <v>163</v>
      </c>
      <c r="AE1462" s="13" t="n">
        <v>4</v>
      </c>
      <c r="AF1462" s="13" t="n">
        <v>10.3</v>
      </c>
      <c r="AG1462" s="11" t="inlineStr">
        <is>
          <t xml:space="preserve"> Touring</t>
        </is>
      </c>
      <c r="AH1462" s="11" t="inlineStr">
        <is>
          <t xml:space="preserve"> Ultralight Touring</t>
        </is>
      </c>
      <c r="AI1462" s="13" t="n"/>
      <c r="AJ1462" s="13" t="n"/>
      <c r="AK1462" s="42" t="n"/>
    </row>
    <row r="1463">
      <c r="E1463" s="40" t="inlineStr">
        <is>
          <t>21/22</t>
        </is>
      </c>
      <c r="F1463" s="10" t="inlineStr">
        <is>
          <t xml:space="preserve"> Völkl</t>
        </is>
      </c>
      <c r="G1463" s="11" t="inlineStr">
        <is>
          <t>Rise Beyond 96 W</t>
        </is>
      </c>
      <c r="H1463" s="13" t="n">
        <v>163</v>
      </c>
      <c r="I1463" s="11" t="inlineStr">
        <is>
          <t xml:space="preserve"> Women's</t>
        </is>
      </c>
      <c r="J1463" s="13" t="n">
        <v>163</v>
      </c>
      <c r="K1463" s="13" t="n">
        <v>162.2</v>
      </c>
      <c r="L1463" s="13" t="n">
        <v>129</v>
      </c>
      <c r="M1463" s="13" t="n">
        <v>140</v>
      </c>
      <c r="N1463" s="13" t="n">
        <v>137</v>
      </c>
      <c r="O1463" s="13" t="n">
        <v>95</v>
      </c>
      <c r="P1463" s="13" t="n">
        <v>118</v>
      </c>
      <c r="Q1463" s="13" t="n">
        <v>14.7</v>
      </c>
      <c r="R1463" s="13" t="n">
        <v>1205</v>
      </c>
      <c r="S1463" s="13" t="n">
        <v>1.45</v>
      </c>
      <c r="T1463" s="13" t="n">
        <v>1750</v>
      </c>
      <c r="U1463" s="13" t="n">
        <v>142</v>
      </c>
      <c r="V1463" s="13" t="n">
        <v>67</v>
      </c>
      <c r="W1463" s="13" t="n">
        <v>37</v>
      </c>
      <c r="X1463" s="13" t="n">
        <v>271</v>
      </c>
      <c r="Y1463" s="13" t="n">
        <v>4</v>
      </c>
      <c r="Z1463" s="13" t="n">
        <v>64</v>
      </c>
      <c r="AA1463" s="13" t="n">
        <v>0.117</v>
      </c>
      <c r="AB1463" s="13" t="n">
        <v>128</v>
      </c>
      <c r="AC1463" s="13" t="n">
        <v>92</v>
      </c>
      <c r="AD1463" s="13" t="n">
        <v>144</v>
      </c>
      <c r="AE1463" s="13" t="n">
        <v>5</v>
      </c>
      <c r="AF1463" s="13" t="n">
        <v>10.6</v>
      </c>
      <c r="AG1463" s="11" t="inlineStr">
        <is>
          <t xml:space="preserve"> Touring</t>
        </is>
      </c>
      <c r="AH1463" s="11" t="inlineStr">
        <is>
          <t xml:space="preserve"> Ultralight Touring</t>
        </is>
      </c>
      <c r="AI1463" s="13" t="n"/>
      <c r="AJ1463" s="13" t="n"/>
      <c r="AK1463" s="42" t="n"/>
    </row>
    <row r="1464">
      <c r="E1464" s="40" t="inlineStr">
        <is>
          <t>21/22</t>
        </is>
      </c>
      <c r="F1464" s="10" t="inlineStr">
        <is>
          <t xml:space="preserve"> Völkl</t>
        </is>
      </c>
      <c r="G1464" s="11" t="inlineStr">
        <is>
          <t>Rise Beyond 96 W</t>
        </is>
      </c>
      <c r="H1464" s="13" t="n">
        <v>170</v>
      </c>
      <c r="I1464" s="11" t="inlineStr">
        <is>
          <t xml:space="preserve"> Women's</t>
        </is>
      </c>
      <c r="J1464" s="13" t="n">
        <v>170</v>
      </c>
      <c r="K1464" s="13" t="n">
        <v>169.7</v>
      </c>
      <c r="L1464" s="13" t="n">
        <v>133</v>
      </c>
      <c r="M1464" s="13" t="n">
        <v>149</v>
      </c>
      <c r="N1464" s="13" t="n">
        <v>137</v>
      </c>
      <c r="O1464" s="13" t="n">
        <v>95</v>
      </c>
      <c r="P1464" s="13" t="n">
        <v>118</v>
      </c>
      <c r="Q1464" s="13" t="n">
        <v>16.2</v>
      </c>
      <c r="R1464" s="13" t="n">
        <v>1250</v>
      </c>
      <c r="S1464" s="13" t="n">
        <v>1.46</v>
      </c>
      <c r="T1464" s="13" t="n">
        <v>1828</v>
      </c>
      <c r="U1464" s="13" t="n">
        <v>147</v>
      </c>
      <c r="V1464" s="13" t="n">
        <v>66</v>
      </c>
      <c r="W1464" s="13" t="n">
        <v>39</v>
      </c>
      <c r="X1464" s="13" t="n">
        <v>301</v>
      </c>
      <c r="Y1464" s="13" t="n">
        <v>4</v>
      </c>
      <c r="Z1464" s="13" t="n">
        <v>65</v>
      </c>
      <c r="AA1464" s="13" t="n">
        <v>0.109</v>
      </c>
      <c r="AB1464" s="13" t="n">
        <v>123</v>
      </c>
      <c r="AC1464" s="13" t="n">
        <v>89</v>
      </c>
      <c r="AD1464" s="13" t="n">
        <v>179</v>
      </c>
      <c r="AE1464" s="13" t="n">
        <v>4</v>
      </c>
      <c r="AF1464" s="13" t="n">
        <v>11.1</v>
      </c>
      <c r="AG1464" s="11" t="inlineStr">
        <is>
          <t xml:space="preserve"> Touring</t>
        </is>
      </c>
      <c r="AH1464" s="11" t="inlineStr">
        <is>
          <t xml:space="preserve"> Ultralight Touring</t>
        </is>
      </c>
      <c r="AI1464" s="13" t="n"/>
      <c r="AJ1464" s="13" t="n"/>
      <c r="AK1464" s="42" t="n"/>
    </row>
    <row r="1465">
      <c r="E1465" s="40" t="inlineStr">
        <is>
          <t>21/22</t>
        </is>
      </c>
      <c r="F1465" s="10" t="inlineStr">
        <is>
          <t xml:space="preserve"> Völkl</t>
        </is>
      </c>
      <c r="G1465" s="11" t="inlineStr">
        <is>
          <t>Secret 102</t>
        </is>
      </c>
      <c r="H1465" s="13" t="n">
        <v>156</v>
      </c>
      <c r="I1465" s="11" t="inlineStr">
        <is>
          <t xml:space="preserve"> Women's</t>
        </is>
      </c>
      <c r="J1465" s="13" t="n">
        <v>156</v>
      </c>
      <c r="K1465" s="13" t="n">
        <v>155.9</v>
      </c>
      <c r="L1465" s="13" t="n">
        <v>107</v>
      </c>
      <c r="M1465" s="13" t="n">
        <v>133</v>
      </c>
      <c r="N1465" s="13" t="n">
        <v>139</v>
      </c>
      <c r="O1465" s="13" t="n">
        <v>101</v>
      </c>
      <c r="P1465" s="13" t="n">
        <v>123</v>
      </c>
      <c r="Q1465" s="13" t="n">
        <v>14.1</v>
      </c>
      <c r="R1465" s="13" t="n">
        <v>1846</v>
      </c>
      <c r="S1465" s="13" t="n">
        <v>0.96</v>
      </c>
      <c r="T1465" s="13" t="n">
        <v>1763</v>
      </c>
      <c r="U1465" s="13" t="n">
        <v>205</v>
      </c>
      <c r="V1465" s="13" t="n">
        <v>132</v>
      </c>
      <c r="W1465" s="13" t="n">
        <v>49</v>
      </c>
      <c r="X1465" s="13" t="n">
        <v>310</v>
      </c>
      <c r="Y1465" s="13" t="n">
        <v>17</v>
      </c>
      <c r="Z1465" s="13" t="n">
        <v>174</v>
      </c>
      <c r="AA1465" s="13" t="n">
        <v>0.34</v>
      </c>
      <c r="AB1465" s="13" t="n">
        <v>131</v>
      </c>
      <c r="AC1465" s="13" t="n">
        <v>101</v>
      </c>
      <c r="AD1465" s="13" t="n">
        <v>178</v>
      </c>
      <c r="AE1465" s="13" t="n">
        <v>3</v>
      </c>
      <c r="AF1465" s="13" t="n">
        <v>11.4</v>
      </c>
      <c r="AG1465" s="11" t="inlineStr">
        <is>
          <t xml:space="preserve"> Resort Freeride</t>
        </is>
      </c>
      <c r="AH1465" s="11" t="inlineStr">
        <is>
          <t xml:space="preserve"> Big Mountain</t>
        </is>
      </c>
      <c r="AI1465" s="13" t="n"/>
      <c r="AJ1465" s="13" t="n"/>
      <c r="AK1465" s="42" t="n"/>
    </row>
    <row r="1466">
      <c r="E1466" s="40" t="inlineStr">
        <is>
          <t>21/22</t>
        </is>
      </c>
      <c r="F1466" s="10" t="inlineStr">
        <is>
          <t xml:space="preserve"> Völkl</t>
        </is>
      </c>
      <c r="G1466" s="11" t="inlineStr">
        <is>
          <t>Secret 102</t>
        </is>
      </c>
      <c r="H1466" s="13" t="n">
        <v>163</v>
      </c>
      <c r="I1466" s="11" t="inlineStr">
        <is>
          <t xml:space="preserve"> Women's</t>
        </is>
      </c>
      <c r="J1466" s="13" t="n">
        <v>163</v>
      </c>
      <c r="K1466" s="13" t="n">
        <v>163.5</v>
      </c>
      <c r="L1466" s="13" t="n">
        <v>104</v>
      </c>
      <c r="M1466" s="13" t="n">
        <v>140</v>
      </c>
      <c r="N1466" s="13" t="n">
        <v>139</v>
      </c>
      <c r="O1466" s="13" t="n">
        <v>101</v>
      </c>
      <c r="P1466" s="13" t="n">
        <v>123</v>
      </c>
      <c r="Q1466" s="13" t="n">
        <v>15.8</v>
      </c>
      <c r="R1466" s="13" t="n">
        <v>1941</v>
      </c>
      <c r="S1466" s="13" t="n">
        <v>0.95</v>
      </c>
      <c r="T1466" s="13" t="n">
        <v>1848</v>
      </c>
      <c r="U1466" s="13" t="n">
        <v>216</v>
      </c>
      <c r="V1466" s="13" t="n">
        <v>144</v>
      </c>
      <c r="W1466" s="13" t="n">
        <v>50</v>
      </c>
      <c r="X1466" s="13" t="n">
        <v>342</v>
      </c>
      <c r="Y1466" s="13" t="n">
        <v>21</v>
      </c>
      <c r="Z1466" s="13" t="n">
        <v>253</v>
      </c>
      <c r="AA1466" s="13" t="n">
        <v>0.412</v>
      </c>
      <c r="AB1466" s="13" t="n">
        <v>131</v>
      </c>
      <c r="AC1466" s="13" t="n">
        <v>101</v>
      </c>
      <c r="AD1466" s="13" t="n">
        <v>211</v>
      </c>
      <c r="AE1466" s="13" t="n">
        <v>3</v>
      </c>
      <c r="AF1466" s="13" t="n">
        <v>11.4</v>
      </c>
      <c r="AG1466" s="11" t="inlineStr">
        <is>
          <t xml:space="preserve"> Resort Freeride</t>
        </is>
      </c>
      <c r="AH1466" s="11" t="inlineStr">
        <is>
          <t xml:space="preserve"> Powder</t>
        </is>
      </c>
      <c r="AI1466" s="13" t="n"/>
      <c r="AJ1466" s="13" t="n"/>
      <c r="AK1466" s="42" t="n"/>
    </row>
    <row r="1467">
      <c r="E1467" s="40" t="inlineStr">
        <is>
          <t>21/22</t>
        </is>
      </c>
      <c r="F1467" s="10" t="inlineStr">
        <is>
          <t xml:space="preserve"> Völkl</t>
        </is>
      </c>
      <c r="G1467" s="11" t="inlineStr">
        <is>
          <t>Secret 102</t>
        </is>
      </c>
      <c r="H1467" s="13" t="n">
        <v>170</v>
      </c>
      <c r="I1467" s="11" t="inlineStr">
        <is>
          <t xml:space="preserve"> Women's</t>
        </is>
      </c>
      <c r="J1467" s="13" t="n">
        <v>170</v>
      </c>
      <c r="K1467" s="13" t="n">
        <v>171.1</v>
      </c>
      <c r="L1467" s="13" t="n">
        <v>111</v>
      </c>
      <c r="M1467" s="13" t="n">
        <v>147</v>
      </c>
      <c r="N1467" s="13" t="n">
        <v>139</v>
      </c>
      <c r="O1467" s="13" t="n">
        <v>101</v>
      </c>
      <c r="P1467" s="13" t="n">
        <v>123</v>
      </c>
      <c r="Q1467" s="13" t="n">
        <v>17.6</v>
      </c>
      <c r="R1467" s="13" t="n">
        <v>2084</v>
      </c>
      <c r="S1467" s="13" t="n">
        <v>0.93</v>
      </c>
      <c r="T1467" s="13" t="n">
        <v>1934</v>
      </c>
      <c r="U1467" s="13" t="n">
        <v>245</v>
      </c>
      <c r="V1467" s="13" t="n">
        <v>165</v>
      </c>
      <c r="W1467" s="13" t="n">
        <v>46</v>
      </c>
      <c r="X1467" s="13" t="n">
        <v>351</v>
      </c>
      <c r="Y1467" s="13" t="n">
        <v>18</v>
      </c>
      <c r="Z1467" s="13" t="n">
        <v>249</v>
      </c>
      <c r="AA1467" s="13" t="n">
        <v>0.388</v>
      </c>
      <c r="AB1467" s="13" t="n">
        <v>133</v>
      </c>
      <c r="AC1467" s="13" t="n">
        <v>103</v>
      </c>
      <c r="AD1467" s="13" t="n">
        <v>217</v>
      </c>
      <c r="AE1467" s="13" t="n">
        <v>4</v>
      </c>
      <c r="AF1467" s="13" t="n">
        <v>11.8</v>
      </c>
      <c r="AG1467" s="11" t="inlineStr">
        <is>
          <t xml:space="preserve"> Resort Freeride</t>
        </is>
      </c>
      <c r="AH1467" s="11" t="inlineStr">
        <is>
          <t xml:space="preserve"> Powder</t>
        </is>
      </c>
      <c r="AI1467" s="11" t="inlineStr">
        <is>
          <t xml:space="preserve"> Big Mountain</t>
        </is>
      </c>
      <c r="AJ1467" s="13" t="n"/>
      <c r="AK1467" s="42" t="n"/>
    </row>
    <row r="1468">
      <c r="E1468" s="40" t="inlineStr">
        <is>
          <t>21/22</t>
        </is>
      </c>
      <c r="F1468" s="10" t="inlineStr">
        <is>
          <t xml:space="preserve"> Völkl</t>
        </is>
      </c>
      <c r="G1468" s="11" t="inlineStr">
        <is>
          <t>Secret 92</t>
        </is>
      </c>
      <c r="H1468" s="13" t="n">
        <v>163</v>
      </c>
      <c r="I1468" s="11" t="inlineStr">
        <is>
          <t xml:space="preserve"> Women's</t>
        </is>
      </c>
      <c r="J1468" s="13" t="n">
        <v>163</v>
      </c>
      <c r="K1468" s="13" t="n">
        <v>164.1</v>
      </c>
      <c r="L1468" s="13" t="n">
        <v>129</v>
      </c>
      <c r="M1468" s="13" t="n">
        <v>140</v>
      </c>
      <c r="N1468" s="13" t="n">
        <v>129</v>
      </c>
      <c r="O1468" s="13" t="n">
        <v>91</v>
      </c>
      <c r="P1468" s="13" t="n">
        <v>112</v>
      </c>
      <c r="Q1468" s="13" t="n">
        <v>16.1</v>
      </c>
      <c r="R1468" s="13" t="n">
        <v>1738</v>
      </c>
      <c r="S1468" s="13" t="n">
        <v>0.97</v>
      </c>
      <c r="T1468" s="13" t="n">
        <v>1690</v>
      </c>
      <c r="U1468" s="13" t="n">
        <v>193</v>
      </c>
      <c r="V1468" s="13" t="n">
        <v>135</v>
      </c>
      <c r="W1468" s="13" t="n">
        <v>42</v>
      </c>
      <c r="X1468" s="13" t="n">
        <v>235</v>
      </c>
      <c r="Y1468" s="13" t="n">
        <v>14</v>
      </c>
      <c r="Z1468" s="13" t="n">
        <v>115</v>
      </c>
      <c r="AA1468" s="13" t="n">
        <v>0.336</v>
      </c>
      <c r="AB1468" s="13" t="n">
        <v>136</v>
      </c>
      <c r="AC1468" s="13" t="n">
        <v>106</v>
      </c>
      <c r="AD1468" s="13" t="n">
        <v>99</v>
      </c>
      <c r="AE1468" s="13" t="n">
        <v>4</v>
      </c>
      <c r="AF1468" s="13" t="n">
        <v>10.6</v>
      </c>
      <c r="AG1468" s="11" t="inlineStr">
        <is>
          <t xml:space="preserve"> Resort Freeride</t>
        </is>
      </c>
      <c r="AH1468" s="13" t="n"/>
      <c r="AI1468" s="13" t="n"/>
      <c r="AJ1468" s="13" t="n"/>
      <c r="AK1468" s="42" t="n"/>
    </row>
    <row r="1469">
      <c r="E1469" s="40" t="inlineStr">
        <is>
          <t>21/22</t>
        </is>
      </c>
      <c r="F1469" s="10" t="inlineStr">
        <is>
          <t xml:space="preserve"> Völkl</t>
        </is>
      </c>
      <c r="G1469" s="11" t="inlineStr">
        <is>
          <t>Secret 96</t>
        </is>
      </c>
      <c r="H1469" s="13" t="n">
        <v>149</v>
      </c>
      <c r="I1469" s="11" t="inlineStr">
        <is>
          <t xml:space="preserve"> Women's</t>
        </is>
      </c>
      <c r="J1469" s="13" t="n">
        <v>149</v>
      </c>
      <c r="K1469" s="13" t="n">
        <v>148.4</v>
      </c>
      <c r="L1469" s="13" t="n">
        <v>107</v>
      </c>
      <c r="M1469" s="13" t="n">
        <v>125</v>
      </c>
      <c r="N1469" s="13" t="n">
        <v>134</v>
      </c>
      <c r="O1469" s="13" t="n">
        <v>95</v>
      </c>
      <c r="P1469" s="13" t="n">
        <v>118</v>
      </c>
      <c r="Q1469" s="13" t="n">
        <v>12.1</v>
      </c>
      <c r="R1469" s="13" t="n">
        <v>1621</v>
      </c>
      <c r="S1469" s="13" t="n">
        <v>0.98</v>
      </c>
      <c r="T1469" s="13" t="n">
        <v>1596</v>
      </c>
      <c r="U1469" s="13" t="n">
        <v>181</v>
      </c>
      <c r="V1469" s="13" t="n">
        <v>121</v>
      </c>
      <c r="W1469" s="13" t="n">
        <v>45</v>
      </c>
      <c r="X1469" s="13" t="n">
        <v>254</v>
      </c>
      <c r="Y1469" s="13" t="n">
        <v>15</v>
      </c>
      <c r="Z1469" s="13" t="n">
        <v>163</v>
      </c>
      <c r="AA1469" s="13" t="n">
        <v>0.328</v>
      </c>
      <c r="AB1469" s="13" t="n">
        <v>133</v>
      </c>
      <c r="AC1469" s="13" t="n">
        <v>99</v>
      </c>
      <c r="AD1469" s="13" t="n">
        <v>121</v>
      </c>
      <c r="AE1469" s="13" t="n">
        <v>3</v>
      </c>
      <c r="AF1469" s="13" t="n">
        <v>11.2</v>
      </c>
      <c r="AG1469" s="11" t="inlineStr">
        <is>
          <t xml:space="preserve"> Resort Freeride</t>
        </is>
      </c>
      <c r="AH1469" s="13" t="n"/>
      <c r="AI1469" s="13" t="n"/>
      <c r="AJ1469" s="13" t="n"/>
      <c r="AK1469" s="42" t="n"/>
    </row>
    <row r="1470">
      <c r="E1470" s="40" t="inlineStr">
        <is>
          <t>21/22</t>
        </is>
      </c>
      <c r="F1470" s="10" t="inlineStr">
        <is>
          <t xml:space="preserve"> Völkl</t>
        </is>
      </c>
      <c r="G1470" s="11" t="inlineStr">
        <is>
          <t>Secret 96</t>
        </is>
      </c>
      <c r="H1470" s="13" t="n">
        <v>156</v>
      </c>
      <c r="I1470" s="11" t="inlineStr">
        <is>
          <t xml:space="preserve"> Women's</t>
        </is>
      </c>
      <c r="J1470" s="13" t="n">
        <v>156</v>
      </c>
      <c r="K1470" s="13" t="n">
        <v>155.8</v>
      </c>
      <c r="L1470" s="13" t="n">
        <v>112</v>
      </c>
      <c r="M1470" s="13" t="n">
        <v>133</v>
      </c>
      <c r="N1470" s="13" t="n">
        <v>135</v>
      </c>
      <c r="O1470" s="13" t="n">
        <v>95</v>
      </c>
      <c r="P1470" s="13" t="n">
        <v>118</v>
      </c>
      <c r="Q1470" s="13" t="n">
        <v>13.2</v>
      </c>
      <c r="R1470" s="13" t="n">
        <v>1700</v>
      </c>
      <c r="S1470" s="13" t="n">
        <v>0.99</v>
      </c>
      <c r="T1470" s="13" t="n">
        <v>1679</v>
      </c>
      <c r="U1470" s="13" t="n">
        <v>173</v>
      </c>
      <c r="V1470" s="13" t="n">
        <v>120</v>
      </c>
      <c r="W1470" s="13" t="n">
        <v>44</v>
      </c>
      <c r="X1470" s="13" t="n">
        <v>257</v>
      </c>
      <c r="Y1470" s="13" t="n">
        <v>16</v>
      </c>
      <c r="Z1470" s="13" t="n">
        <v>177</v>
      </c>
      <c r="AA1470" s="13" t="n">
        <v>0.357</v>
      </c>
      <c r="AB1470" s="13" t="n">
        <v>125</v>
      </c>
      <c r="AC1470" s="13" t="n">
        <v>101</v>
      </c>
      <c r="AD1470" s="13" t="n">
        <v>132</v>
      </c>
      <c r="AE1470" s="13" t="n">
        <v>3</v>
      </c>
      <c r="AF1470" s="13" t="n">
        <v>11.8</v>
      </c>
      <c r="AG1470" s="11" t="inlineStr">
        <is>
          <t xml:space="preserve"> Resort Freeride</t>
        </is>
      </c>
      <c r="AH1470" s="13" t="n"/>
      <c r="AI1470" s="13" t="n"/>
      <c r="AJ1470" s="13" t="n"/>
      <c r="AK1470" s="42" t="n"/>
    </row>
    <row r="1471">
      <c r="E1471" s="40" t="inlineStr">
        <is>
          <t>21/22</t>
        </is>
      </c>
      <c r="F1471" s="10" t="inlineStr">
        <is>
          <t xml:space="preserve"> Völkl</t>
        </is>
      </c>
      <c r="G1471" s="11" t="inlineStr">
        <is>
          <t>Secret 96</t>
        </is>
      </c>
      <c r="H1471" s="13" t="n">
        <v>163</v>
      </c>
      <c r="I1471" s="11" t="inlineStr">
        <is>
          <t xml:space="preserve"> Women's</t>
        </is>
      </c>
      <c r="J1471" s="13" t="n">
        <v>163</v>
      </c>
      <c r="K1471" s="13" t="n">
        <v>163.2</v>
      </c>
      <c r="L1471" s="13" t="n">
        <v>122</v>
      </c>
      <c r="M1471" s="13" t="n">
        <v>140</v>
      </c>
      <c r="N1471" s="13" t="n">
        <v>135</v>
      </c>
      <c r="O1471" s="13" t="n">
        <v>95</v>
      </c>
      <c r="P1471" s="13" t="n">
        <v>118</v>
      </c>
      <c r="Q1471" s="13" t="n">
        <v>14.8</v>
      </c>
      <c r="R1471" s="13" t="n">
        <v>1809</v>
      </c>
      <c r="S1471" s="13" t="n">
        <v>0.97</v>
      </c>
      <c r="T1471" s="13" t="n">
        <v>1757</v>
      </c>
      <c r="U1471" s="13" t="n">
        <v>180</v>
      </c>
      <c r="V1471" s="13" t="n">
        <v>125</v>
      </c>
      <c r="W1471" s="13" t="n">
        <v>43</v>
      </c>
      <c r="X1471" s="13" t="n">
        <v>245</v>
      </c>
      <c r="Y1471" s="13" t="n">
        <v>16</v>
      </c>
      <c r="Z1471" s="13" t="n">
        <v>171</v>
      </c>
      <c r="AA1471" s="13" t="n">
        <v>0.362</v>
      </c>
      <c r="AB1471" s="13" t="n">
        <v>130</v>
      </c>
      <c r="AC1471" s="13" t="n">
        <v>103</v>
      </c>
      <c r="AD1471" s="13" t="n">
        <v>115</v>
      </c>
      <c r="AE1471" s="13" t="n">
        <v>4</v>
      </c>
      <c r="AF1471" s="13" t="n">
        <v>11.6</v>
      </c>
      <c r="AG1471" s="11" t="inlineStr">
        <is>
          <t xml:space="preserve"> Resort Freeride</t>
        </is>
      </c>
      <c r="AH1471" s="13" t="n"/>
      <c r="AI1471" s="13" t="n"/>
      <c r="AJ1471" s="13" t="n"/>
      <c r="AK1471" s="42" t="n"/>
    </row>
    <row r="1472">
      <c r="E1472" s="40" t="inlineStr">
        <is>
          <t>21/22</t>
        </is>
      </c>
      <c r="F1472" s="10" t="inlineStr">
        <is>
          <t xml:space="preserve"> Völkl</t>
        </is>
      </c>
      <c r="G1472" s="11" t="inlineStr">
        <is>
          <t>Secret 96</t>
        </is>
      </c>
      <c r="H1472" s="13" t="n">
        <v>170</v>
      </c>
      <c r="I1472" s="11" t="inlineStr">
        <is>
          <t xml:space="preserve"> Women's</t>
        </is>
      </c>
      <c r="J1472" s="13" t="n">
        <v>170</v>
      </c>
      <c r="K1472" s="13" t="n">
        <v>170.8</v>
      </c>
      <c r="L1472" s="13" t="n">
        <v>123</v>
      </c>
      <c r="M1472" s="13" t="n">
        <v>147</v>
      </c>
      <c r="N1472" s="13" t="n">
        <v>134</v>
      </c>
      <c r="O1472" s="13" t="n">
        <v>95</v>
      </c>
      <c r="P1472" s="13" t="n">
        <v>118</v>
      </c>
      <c r="Q1472" s="13" t="n">
        <v>16.7</v>
      </c>
      <c r="R1472" s="13" t="n">
        <v>1931</v>
      </c>
      <c r="S1472" s="13" t="n">
        <v>0.95</v>
      </c>
      <c r="T1472" s="13" t="n">
        <v>1838</v>
      </c>
      <c r="U1472" s="13" t="n">
        <v>203</v>
      </c>
      <c r="V1472" s="13" t="n">
        <v>140</v>
      </c>
      <c r="W1472" s="13" t="n">
        <v>44</v>
      </c>
      <c r="X1472" s="13" t="n">
        <v>290</v>
      </c>
      <c r="Y1472" s="13" t="n">
        <v>17</v>
      </c>
      <c r="Z1472" s="13" t="n">
        <v>192</v>
      </c>
      <c r="AA1472" s="13" t="n">
        <v>0.386</v>
      </c>
      <c r="AB1472" s="13" t="n">
        <v>129</v>
      </c>
      <c r="AC1472" s="13" t="n">
        <v>106</v>
      </c>
      <c r="AD1472" s="13" t="n">
        <v>161</v>
      </c>
      <c r="AE1472" s="13" t="n">
        <v>2</v>
      </c>
      <c r="AF1472" s="13" t="n">
        <v>11.7</v>
      </c>
      <c r="AG1472" s="11" t="inlineStr">
        <is>
          <t xml:space="preserve"> Resort Freeride</t>
        </is>
      </c>
      <c r="AH1472" s="13" t="n"/>
      <c r="AI1472" s="13" t="n"/>
      <c r="AJ1472" s="13" t="n"/>
      <c r="AK1472" s="42" t="n"/>
    </row>
    <row r="1473">
      <c r="E1473" s="40" t="inlineStr">
        <is>
          <t>21/22</t>
        </is>
      </c>
      <c r="F1473" s="10" t="inlineStr">
        <is>
          <t xml:space="preserve"> Völkl</t>
        </is>
      </c>
      <c r="G1473" s="11" t="inlineStr">
        <is>
          <t>Yumi 80</t>
        </is>
      </c>
      <c r="H1473" s="13" t="n">
        <v>147</v>
      </c>
      <c r="I1473" s="11" t="inlineStr">
        <is>
          <t xml:space="preserve"> Women's</t>
        </is>
      </c>
      <c r="J1473" s="13" t="n">
        <v>147</v>
      </c>
      <c r="K1473" s="13" t="n">
        <v>148.8</v>
      </c>
      <c r="L1473" s="13" t="n">
        <v>113</v>
      </c>
      <c r="M1473" s="13" t="n">
        <v>124</v>
      </c>
      <c r="N1473" s="13" t="n">
        <v>120</v>
      </c>
      <c r="O1473" s="13" t="n">
        <v>79</v>
      </c>
      <c r="P1473" s="13" t="n">
        <v>102</v>
      </c>
      <c r="Q1473" s="13" t="n">
        <v>11.7</v>
      </c>
      <c r="R1473" s="13" t="n">
        <v>1221</v>
      </c>
      <c r="S1473" s="13" t="n">
        <v>1.13</v>
      </c>
      <c r="T1473" s="13" t="n">
        <v>1377</v>
      </c>
      <c r="U1473" s="13" t="n">
        <v>142</v>
      </c>
      <c r="V1473" s="13" t="n">
        <v>62</v>
      </c>
      <c r="W1473" s="13" t="n">
        <v>43</v>
      </c>
      <c r="X1473" s="13" t="n">
        <v>210</v>
      </c>
      <c r="Y1473" s="13" t="n">
        <v>15</v>
      </c>
      <c r="Z1473" s="13" t="n">
        <v>148</v>
      </c>
      <c r="AA1473" s="13" t="n">
        <v>0.343</v>
      </c>
      <c r="AB1473" s="13" t="n">
        <v>136</v>
      </c>
      <c r="AC1473" s="13" t="n">
        <v>108</v>
      </c>
      <c r="AD1473" s="13" t="n">
        <v>74</v>
      </c>
      <c r="AE1473" s="13" t="n">
        <v>3</v>
      </c>
      <c r="AF1473" s="13" t="n">
        <v>11.2</v>
      </c>
      <c r="AG1473" s="11" t="inlineStr">
        <is>
          <t xml:space="preserve"> On-Piste All-Mountain</t>
        </is>
      </c>
      <c r="AH1473" s="11" t="inlineStr">
        <is>
          <t xml:space="preserve"> Touring</t>
        </is>
      </c>
      <c r="AI1473" s="13" t="n"/>
      <c r="AJ1473" s="13" t="n"/>
      <c r="AK1473" s="42" t="n"/>
    </row>
    <row r="1474">
      <c r="E1474" s="40" t="inlineStr">
        <is>
          <t>21/22</t>
        </is>
      </c>
      <c r="F1474" s="10" t="inlineStr">
        <is>
          <t xml:space="preserve"> Völkl</t>
        </is>
      </c>
      <c r="G1474" s="11" t="inlineStr">
        <is>
          <t>Yumi 80</t>
        </is>
      </c>
      <c r="H1474" s="13" t="n">
        <v>154</v>
      </c>
      <c r="I1474" s="11" t="inlineStr">
        <is>
          <t xml:space="preserve"> Women's</t>
        </is>
      </c>
      <c r="J1474" s="13" t="n">
        <v>154</v>
      </c>
      <c r="K1474" s="13" t="n">
        <v>156.4</v>
      </c>
      <c r="L1474" s="13" t="n">
        <v>129</v>
      </c>
      <c r="M1474" s="13" t="n">
        <v>131</v>
      </c>
      <c r="N1474" s="13" t="n">
        <v>120</v>
      </c>
      <c r="O1474" s="13" t="n">
        <v>79</v>
      </c>
      <c r="P1474" s="13" t="n">
        <v>102</v>
      </c>
      <c r="Q1474" s="13" t="n">
        <v>13.2</v>
      </c>
      <c r="R1474" s="13" t="n">
        <v>1262</v>
      </c>
      <c r="S1474" s="13" t="n">
        <v>1.14</v>
      </c>
      <c r="T1474" s="13" t="n">
        <v>1445</v>
      </c>
      <c r="U1474" s="13" t="n">
        <v>149</v>
      </c>
      <c r="V1474" s="13" t="n">
        <v>62</v>
      </c>
      <c r="W1474" s="13" t="n">
        <v>41</v>
      </c>
      <c r="X1474" s="13" t="n">
        <v>176</v>
      </c>
      <c r="Y1474" s="13" t="n">
        <v>13</v>
      </c>
      <c r="Z1474" s="13" t="n">
        <v>98</v>
      </c>
      <c r="AA1474" s="13" t="n">
        <v>0.311</v>
      </c>
      <c r="AB1474" s="13" t="n">
        <v>142</v>
      </c>
      <c r="AC1474" s="13" t="n">
        <v>108</v>
      </c>
      <c r="AD1474" s="13" t="n">
        <v>34</v>
      </c>
      <c r="AE1474" s="13" t="n">
        <v>4</v>
      </c>
      <c r="AF1474" s="13" t="n">
        <v>11.4</v>
      </c>
      <c r="AG1474" s="11" t="inlineStr">
        <is>
          <t xml:space="preserve"> On-Piste All-Mountain</t>
        </is>
      </c>
      <c r="AH1474" s="11" t="inlineStr">
        <is>
          <t xml:space="preserve"> Touring</t>
        </is>
      </c>
      <c r="AI1474" s="13" t="n"/>
      <c r="AJ1474" s="13" t="n"/>
      <c r="AK1474" s="42" t="n"/>
    </row>
    <row r="1475">
      <c r="E1475" s="40" t="inlineStr">
        <is>
          <t>21/22</t>
        </is>
      </c>
      <c r="F1475" s="10" t="inlineStr">
        <is>
          <t xml:space="preserve"> Völkl</t>
        </is>
      </c>
      <c r="G1475" s="11" t="inlineStr">
        <is>
          <t>Yumi 80</t>
        </is>
      </c>
      <c r="H1475" s="13" t="n">
        <v>161</v>
      </c>
      <c r="I1475" s="11" t="inlineStr">
        <is>
          <t xml:space="preserve"> Women's</t>
        </is>
      </c>
      <c r="J1475" s="13" t="n">
        <v>161</v>
      </c>
      <c r="K1475" s="13" t="n">
        <v>161.3</v>
      </c>
      <c r="L1475" s="13" t="n">
        <v>124</v>
      </c>
      <c r="M1475" s="13" t="n">
        <v>137</v>
      </c>
      <c r="N1475" s="13" t="n">
        <v>120</v>
      </c>
      <c r="O1475" s="13" t="n">
        <v>79</v>
      </c>
      <c r="P1475" s="13" t="n">
        <v>102</v>
      </c>
      <c r="Q1475" s="13" t="n">
        <v>14.3</v>
      </c>
      <c r="R1475" s="13" t="n">
        <v>1359</v>
      </c>
      <c r="S1475" s="13" t="n">
        <v>1.09</v>
      </c>
      <c r="T1475" s="13" t="n">
        <v>1488</v>
      </c>
      <c r="U1475" s="13" t="n">
        <v>156</v>
      </c>
      <c r="V1475" s="13" t="n">
        <v>71</v>
      </c>
      <c r="W1475" s="13" t="n">
        <v>38</v>
      </c>
      <c r="X1475" s="13" t="n">
        <v>208</v>
      </c>
      <c r="Y1475" s="13" t="n">
        <v>13</v>
      </c>
      <c r="Z1475" s="13" t="n">
        <v>161</v>
      </c>
      <c r="AA1475" s="13" t="n">
        <v>0.348</v>
      </c>
      <c r="AB1475" s="13" t="n">
        <v>136</v>
      </c>
      <c r="AC1475" s="13" t="n">
        <v>103</v>
      </c>
      <c r="AD1475" s="13" t="n">
        <v>72</v>
      </c>
      <c r="AE1475" s="13" t="n">
        <v>3</v>
      </c>
      <c r="AF1475" s="13" t="n">
        <v>11.7</v>
      </c>
      <c r="AG1475" s="11" t="inlineStr">
        <is>
          <t xml:space="preserve"> On-Piste All-Mountain</t>
        </is>
      </c>
      <c r="AH1475" s="11" t="inlineStr">
        <is>
          <t xml:space="preserve"> Touring</t>
        </is>
      </c>
      <c r="AI1475" s="13" t="n"/>
      <c r="AJ1475" s="13" t="n"/>
      <c r="AK1475" s="42" t="n"/>
    </row>
    <row r="1476">
      <c r="E1476" s="40" t="inlineStr">
        <is>
          <t>21/22</t>
        </is>
      </c>
      <c r="F1476" s="10" t="inlineStr">
        <is>
          <t xml:space="preserve"> Völkl</t>
        </is>
      </c>
      <c r="G1476" s="11" t="inlineStr">
        <is>
          <t>Yumi 80</t>
        </is>
      </c>
      <c r="H1476" s="13" t="n">
        <v>168</v>
      </c>
      <c r="I1476" s="11" t="inlineStr">
        <is>
          <t xml:space="preserve"> Women's</t>
        </is>
      </c>
      <c r="J1476" s="13" t="n">
        <v>168</v>
      </c>
      <c r="K1476" s="13" t="n">
        <v>168.7</v>
      </c>
      <c r="L1476" s="13" t="n">
        <v>114</v>
      </c>
      <c r="M1476" s="13" t="n">
        <v>144</v>
      </c>
      <c r="N1476" s="13" t="n">
        <v>120</v>
      </c>
      <c r="O1476" s="13" t="n">
        <v>79</v>
      </c>
      <c r="P1476" s="13" t="n">
        <v>102</v>
      </c>
      <c r="Q1476" s="13" t="n">
        <v>15.9</v>
      </c>
      <c r="R1476" s="13" t="n">
        <v>1435</v>
      </c>
      <c r="S1476" s="13" t="n">
        <v>1.08</v>
      </c>
      <c r="T1476" s="13" t="n">
        <v>1556</v>
      </c>
      <c r="U1476" s="13" t="n">
        <v>172</v>
      </c>
      <c r="V1476" s="13" t="n">
        <v>65</v>
      </c>
      <c r="W1476" s="13" t="n">
        <v>40</v>
      </c>
      <c r="X1476" s="13" t="n">
        <v>336</v>
      </c>
      <c r="Y1476" s="13" t="n">
        <v>14</v>
      </c>
      <c r="Z1476" s="13" t="n">
        <v>209</v>
      </c>
      <c r="AA1476" s="13" t="n">
        <v>0.354</v>
      </c>
      <c r="AB1476" s="13" t="n">
        <v>137</v>
      </c>
      <c r="AC1476" s="13" t="n">
        <v>108</v>
      </c>
      <c r="AD1476" s="13" t="n">
        <v>200</v>
      </c>
      <c r="AE1476" s="13" t="n">
        <v>1</v>
      </c>
      <c r="AF1476" s="13" t="n">
        <v>12</v>
      </c>
      <c r="AG1476" s="11" t="inlineStr">
        <is>
          <t xml:space="preserve"> On-Piste All-Mountain</t>
        </is>
      </c>
      <c r="AH1476" s="11" t="inlineStr">
        <is>
          <t xml:space="preserve"> Touring</t>
        </is>
      </c>
      <c r="AI1476" s="13" t="n"/>
      <c r="AJ1476" s="13" t="n"/>
      <c r="AK1476" s="42" t="n"/>
    </row>
    <row r="1477">
      <c r="E1477" s="40" t="inlineStr">
        <is>
          <t>21/22</t>
        </is>
      </c>
      <c r="F1477" s="10" t="inlineStr">
        <is>
          <t xml:space="preserve"> Völkl</t>
        </is>
      </c>
      <c r="G1477" s="11" t="inlineStr">
        <is>
          <t>Yumi 84</t>
        </is>
      </c>
      <c r="H1477" s="13" t="n">
        <v>147</v>
      </c>
      <c r="I1477" s="11" t="inlineStr">
        <is>
          <t xml:space="preserve"> Women's</t>
        </is>
      </c>
      <c r="J1477" s="13" t="n">
        <v>147</v>
      </c>
      <c r="K1477" s="13" t="n">
        <v>148.8</v>
      </c>
      <c r="L1477" s="13" t="n">
        <v>88</v>
      </c>
      <c r="M1477" s="13" t="n">
        <v>125</v>
      </c>
      <c r="N1477" s="13" t="n">
        <v>124</v>
      </c>
      <c r="O1477" s="13" t="n">
        <v>83</v>
      </c>
      <c r="P1477" s="13" t="n">
        <v>106</v>
      </c>
      <c r="Q1477" s="13" t="n">
        <v>11.7</v>
      </c>
      <c r="R1477" s="13" t="n">
        <v>1295</v>
      </c>
      <c r="S1477" s="13" t="n">
        <v>1.11</v>
      </c>
      <c r="T1477" s="13" t="n">
        <v>1435</v>
      </c>
      <c r="U1477" s="13" t="n">
        <v>158</v>
      </c>
      <c r="V1477" s="13" t="n">
        <v>60</v>
      </c>
      <c r="W1477" s="13" t="n">
        <v>42</v>
      </c>
      <c r="X1477" s="13" t="n">
        <v>282</v>
      </c>
      <c r="Y1477" s="13" t="n">
        <v>19</v>
      </c>
      <c r="Z1477" s="13" t="n">
        <v>326</v>
      </c>
      <c r="AA1477" s="13" t="n">
        <v>0.447</v>
      </c>
      <c r="AB1477" s="13" t="n">
        <v>134</v>
      </c>
      <c r="AC1477" s="13" t="n">
        <v>103</v>
      </c>
      <c r="AD1477" s="13" t="n">
        <v>148</v>
      </c>
      <c r="AE1477" s="13" t="n">
        <v>2</v>
      </c>
      <c r="AF1477" s="13" t="n">
        <v>11.2</v>
      </c>
      <c r="AG1477" s="11" t="inlineStr">
        <is>
          <t xml:space="preserve"> On-Piste All-Mountain</t>
        </is>
      </c>
      <c r="AH1477" s="11" t="inlineStr">
        <is>
          <t xml:space="preserve"> Resort Freeride</t>
        </is>
      </c>
      <c r="AI1477" s="11" t="inlineStr">
        <is>
          <t xml:space="preserve"> Touring</t>
        </is>
      </c>
      <c r="AJ1477" s="13" t="n"/>
      <c r="AK1477" s="42" t="n"/>
    </row>
    <row r="1478">
      <c r="E1478" s="40" t="inlineStr">
        <is>
          <t>21/22</t>
        </is>
      </c>
      <c r="F1478" s="10" t="inlineStr">
        <is>
          <t xml:space="preserve"> Völkl</t>
        </is>
      </c>
      <c r="G1478" s="11" t="inlineStr">
        <is>
          <t>Yumi 84</t>
        </is>
      </c>
      <c r="H1478" s="13" t="n">
        <v>154</v>
      </c>
      <c r="I1478" s="11" t="inlineStr">
        <is>
          <t xml:space="preserve"> Women's</t>
        </is>
      </c>
      <c r="J1478" s="13" t="n">
        <v>154</v>
      </c>
      <c r="K1478" s="13" t="n">
        <v>156.2</v>
      </c>
      <c r="L1478" s="13" t="n">
        <v>107</v>
      </c>
      <c r="M1478" s="13" t="n">
        <v>132</v>
      </c>
      <c r="N1478" s="13" t="n">
        <v>124</v>
      </c>
      <c r="O1478" s="13" t="n">
        <v>83</v>
      </c>
      <c r="P1478" s="13" t="n">
        <v>106</v>
      </c>
      <c r="Q1478" s="13" t="n">
        <v>13.1</v>
      </c>
      <c r="R1478" s="13" t="n">
        <v>1349</v>
      </c>
      <c r="S1478" s="13" t="n">
        <v>1.11</v>
      </c>
      <c r="T1478" s="13" t="n">
        <v>1503</v>
      </c>
      <c r="U1478" s="13" t="n">
        <v>163</v>
      </c>
      <c r="V1478" s="13" t="n">
        <v>60</v>
      </c>
      <c r="W1478" s="13" t="n">
        <v>42</v>
      </c>
      <c r="X1478" s="13" t="n">
        <v>287</v>
      </c>
      <c r="Y1478" s="13" t="n">
        <v>16</v>
      </c>
      <c r="Z1478" s="13" t="n">
        <v>201</v>
      </c>
      <c r="AA1478" s="13" t="n">
        <v>0.368</v>
      </c>
      <c r="AB1478" s="13" t="n">
        <v>135</v>
      </c>
      <c r="AC1478" s="13" t="n">
        <v>102</v>
      </c>
      <c r="AD1478" s="13" t="n">
        <v>152</v>
      </c>
      <c r="AE1478" s="13" t="n">
        <v>2</v>
      </c>
      <c r="AF1478" s="13" t="n">
        <v>11.6</v>
      </c>
      <c r="AG1478" s="11" t="inlineStr">
        <is>
          <t xml:space="preserve"> On-Piste All-Mountain</t>
        </is>
      </c>
      <c r="AH1478" s="11" t="inlineStr">
        <is>
          <t xml:space="preserve"> Resort Freeride</t>
        </is>
      </c>
      <c r="AI1478" s="11" t="inlineStr">
        <is>
          <t xml:space="preserve"> Touring</t>
        </is>
      </c>
      <c r="AJ1478" s="13" t="n"/>
      <c r="AK1478" s="42" t="n"/>
    </row>
    <row r="1479">
      <c r="E1479" s="40" t="inlineStr">
        <is>
          <t>21/22</t>
        </is>
      </c>
      <c r="F1479" s="10" t="inlineStr">
        <is>
          <t xml:space="preserve"> Völkl</t>
        </is>
      </c>
      <c r="G1479" s="11" t="inlineStr">
        <is>
          <t>Yumi 84</t>
        </is>
      </c>
      <c r="H1479" s="13" t="n">
        <v>161</v>
      </c>
      <c r="I1479" s="11" t="inlineStr">
        <is>
          <t xml:space="preserve"> Women's</t>
        </is>
      </c>
      <c r="J1479" s="13" t="n">
        <v>161</v>
      </c>
      <c r="K1479" s="13" t="n">
        <v>161.3</v>
      </c>
      <c r="L1479" s="13" t="n">
        <v>122</v>
      </c>
      <c r="M1479" s="13" t="n">
        <v>138</v>
      </c>
      <c r="N1479" s="13" t="n">
        <v>124</v>
      </c>
      <c r="O1479" s="13" t="n">
        <v>83</v>
      </c>
      <c r="P1479" s="13" t="n">
        <v>106</v>
      </c>
      <c r="Q1479" s="13" t="n">
        <v>14.3</v>
      </c>
      <c r="R1479" s="13" t="n">
        <v>1411</v>
      </c>
      <c r="S1479" s="13" t="n">
        <v>1.1</v>
      </c>
      <c r="T1479" s="13" t="n">
        <v>1552</v>
      </c>
      <c r="U1479" s="13" t="n">
        <v>169</v>
      </c>
      <c r="V1479" s="13" t="n">
        <v>67</v>
      </c>
      <c r="W1479" s="13" t="n">
        <v>38</v>
      </c>
      <c r="X1479" s="13" t="n">
        <v>211</v>
      </c>
      <c r="Y1479" s="13" t="n">
        <v>14</v>
      </c>
      <c r="Z1479" s="13" t="n">
        <v>183</v>
      </c>
      <c r="AA1479" s="13" t="n">
        <v>0.365</v>
      </c>
      <c r="AB1479" s="13" t="n">
        <v>130</v>
      </c>
      <c r="AC1479" s="13" t="n">
        <v>106</v>
      </c>
      <c r="AD1479" s="13" t="n">
        <v>81</v>
      </c>
      <c r="AE1479" s="13" t="n">
        <v>2</v>
      </c>
      <c r="AF1479" s="13" t="n">
        <v>11.8</v>
      </c>
      <c r="AG1479" s="11" t="inlineStr">
        <is>
          <t xml:space="preserve"> On-Piste All-Mountain</t>
        </is>
      </c>
      <c r="AH1479" s="11" t="inlineStr">
        <is>
          <t xml:space="preserve"> Resort Freeride</t>
        </is>
      </c>
      <c r="AI1479" s="11" t="inlineStr">
        <is>
          <t xml:space="preserve"> Touring</t>
        </is>
      </c>
      <c r="AJ1479" s="13" t="n"/>
      <c r="AK1479" s="42" t="n"/>
    </row>
    <row r="1480">
      <c r="E1480" s="48" t="inlineStr">
        <is>
          <t>21/22</t>
        </is>
      </c>
      <c r="F1480" s="49" t="inlineStr">
        <is>
          <t xml:space="preserve"> Völkl</t>
        </is>
      </c>
      <c r="G1480" s="50" t="inlineStr">
        <is>
          <t>Yumi 84</t>
        </is>
      </c>
      <c r="H1480" s="52" t="n">
        <v>168</v>
      </c>
      <c r="I1480" s="50" t="inlineStr">
        <is>
          <t xml:space="preserve"> Women's</t>
        </is>
      </c>
      <c r="J1480" s="52" t="n">
        <v>168</v>
      </c>
      <c r="K1480" s="52" t="n">
        <v>168.5</v>
      </c>
      <c r="L1480" s="52" t="n">
        <v>115</v>
      </c>
      <c r="M1480" s="52" t="n">
        <v>145</v>
      </c>
      <c r="N1480" s="52" t="n">
        <v>124</v>
      </c>
      <c r="O1480" s="52" t="n">
        <v>83</v>
      </c>
      <c r="P1480" s="52" t="n">
        <v>106</v>
      </c>
      <c r="Q1480" s="52" t="n">
        <v>15.8</v>
      </c>
      <c r="R1480" s="52" t="n">
        <v>1464</v>
      </c>
      <c r="S1480" s="52" t="n">
        <v>1.11</v>
      </c>
      <c r="T1480" s="52" t="n">
        <v>1623</v>
      </c>
      <c r="U1480" s="52" t="n">
        <v>176</v>
      </c>
      <c r="V1480" s="52" t="n">
        <v>65</v>
      </c>
      <c r="W1480" s="52" t="n">
        <v>38</v>
      </c>
      <c r="X1480" s="52" t="n">
        <v>312</v>
      </c>
      <c r="Y1480" s="52" t="n">
        <v>15</v>
      </c>
      <c r="Z1480" s="52" t="n">
        <v>220</v>
      </c>
      <c r="AA1480" s="52" t="n">
        <v>0.387</v>
      </c>
      <c r="AB1480" s="52" t="n">
        <v>134</v>
      </c>
      <c r="AC1480" s="52" t="n">
        <v>103</v>
      </c>
      <c r="AD1480" s="52" t="n">
        <v>178</v>
      </c>
      <c r="AE1480" s="52" t="n">
        <v>2</v>
      </c>
      <c r="AF1480" s="52" t="n">
        <v>11.8</v>
      </c>
      <c r="AG1480" s="50" t="inlineStr">
        <is>
          <t xml:space="preserve"> On-Piste All-Mountain</t>
        </is>
      </c>
      <c r="AH1480" s="50" t="inlineStr">
        <is>
          <t xml:space="preserve"> Resort Freeride</t>
        </is>
      </c>
      <c r="AI1480" s="50" t="inlineStr">
        <is>
          <t xml:space="preserve"> Touring</t>
        </is>
      </c>
      <c r="AJ1480" s="52" t="n"/>
      <c r="AK1480" s="53" t="n"/>
    </row>
  </sheetData>
  <pageMargins left="0.7" right="0.7" top="0.75" bottom="0.75" header="0.3" footer="0.3"/>
  <pageSetup orientation="portrait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AT1266"/>
  <sheetViews>
    <sheetView tabSelected="1" topLeftCell="AE1" workbookViewId="0">
      <selection activeCell="AI14" sqref="AI14"/>
    </sheetView>
  </sheetViews>
  <sheetFormatPr baseColWidth="8" defaultColWidth="8.6640625" defaultRowHeight="13.8" outlineLevelCol="0"/>
  <cols>
    <col width="8.6640625" customWidth="1" style="280" min="1" max="5"/>
    <col width="8.77734375" customWidth="1" style="184" min="6" max="6"/>
    <col width="8.6640625" customWidth="1" style="280" min="7" max="34"/>
    <col width="13.6640625" bestFit="1" customWidth="1" style="280" min="35" max="35"/>
    <col width="8.6640625" customWidth="1" style="280" min="36" max="38"/>
    <col width="9.77734375" bestFit="1" customWidth="1" style="280" min="39" max="39"/>
    <col width="8.6640625" customWidth="1" style="280" min="40" max="44"/>
    <col width="8.6640625" customWidth="1" style="314" min="45" max="45"/>
    <col width="41.44140625" bestFit="1" customWidth="1" style="281" min="46" max="46"/>
    <col width="8.6640625" customWidth="1" style="280" min="47" max="16384"/>
  </cols>
  <sheetData>
    <row r="1">
      <c r="A1" t="inlineStr">
        <is>
          <t>Year</t>
        </is>
      </c>
      <c r="B1" t="inlineStr">
        <is>
          <t>Brand</t>
        </is>
      </c>
      <c r="C1" t="inlineStr">
        <is>
          <t>Model</t>
        </is>
      </c>
      <c r="D1" t="inlineStr">
        <is>
          <t>Nominal Length (cm)</t>
        </is>
      </c>
      <c r="E1" t="inlineStr">
        <is>
          <t>Gender</t>
        </is>
      </c>
      <c r="F1" t="inlineStr">
        <is>
          <t>Nominal Length (cm).1</t>
        </is>
      </c>
      <c r="G1" t="inlineStr">
        <is>
          <t>Actual Length (cm)</t>
        </is>
      </c>
      <c r="H1" t="inlineStr">
        <is>
          <t>Running lenght (cm)</t>
        </is>
      </c>
      <c r="I1" t="inlineStr">
        <is>
          <t>Sidecut length (cm)</t>
        </is>
      </c>
      <c r="J1" t="inlineStr">
        <is>
          <t>Tip width (mm)</t>
        </is>
      </c>
      <c r="K1" t="inlineStr">
        <is>
          <t xml:space="preserve">Waist width (mm) </t>
        </is>
      </c>
      <c r="L1" t="inlineStr">
        <is>
          <t>Tail width (mm)</t>
        </is>
      </c>
      <c r="M1" t="inlineStr">
        <is>
          <t>Sidecut radius (m)</t>
        </is>
      </c>
      <c r="N1" t="inlineStr">
        <is>
          <t>Mass (g)</t>
        </is>
      </c>
      <c r="O1" t="inlineStr">
        <is>
          <t>Surface-to-weight Ratio (cm^2/g)</t>
        </is>
      </c>
      <c r="P1" t="inlineStr">
        <is>
          <t>Base area (cm2)</t>
        </is>
      </c>
      <c r="Q1" t="inlineStr">
        <is>
          <t>Avg Bending Stiffness (El)</t>
        </is>
      </c>
      <c r="R1" t="inlineStr">
        <is>
          <t>Avg Torsional  Stiffness (GJ)</t>
        </is>
      </c>
      <c r="S1" t="inlineStr">
        <is>
          <t>Tip Height (mm)</t>
        </is>
      </c>
      <c r="T1" t="inlineStr">
        <is>
          <t>Tip Rocker Length (mm)</t>
        </is>
      </c>
      <c r="U1" t="inlineStr">
        <is>
          <t>Tail height (mm)</t>
        </is>
      </c>
      <c r="V1" t="inlineStr">
        <is>
          <t>Tail Rocker Length (mm)</t>
        </is>
      </c>
      <c r="W1" t="inlineStr">
        <is>
          <t>Tail/Tip Height Ratio (%)</t>
        </is>
      </c>
      <c r="X1" t="inlineStr">
        <is>
          <t>Tip  Taper Length (mm)</t>
        </is>
      </c>
      <c r="Y1" t="inlineStr">
        <is>
          <t>Tail Taper Length (mm)</t>
        </is>
      </c>
      <c r="Z1" t="inlineStr">
        <is>
          <t>Front  Contact Point Range (mm)</t>
        </is>
      </c>
      <c r="AA1" t="inlineStr">
        <is>
          <t>Camber (mm)</t>
        </is>
      </c>
      <c r="AB1" t="inlineStr">
        <is>
          <t>Setback (cm)</t>
        </is>
      </c>
      <c r="AC1" t="inlineStr">
        <is>
          <t>Category 1</t>
        </is>
      </c>
      <c r="AD1" t="inlineStr">
        <is>
          <t>Category 2</t>
        </is>
      </c>
      <c r="AE1" t="inlineStr">
        <is>
          <t>Category 3</t>
        </is>
      </c>
      <c r="AF1" t="inlineStr">
        <is>
          <t>Unnamed: 31</t>
        </is>
      </c>
      <c r="AG1" t="inlineStr">
        <is>
          <t>Title1</t>
        </is>
      </c>
      <c r="AH1" t="inlineStr">
        <is>
          <t>Sellername1</t>
        </is>
      </c>
      <c r="AI1" t="inlineStr">
        <is>
          <t>Price1</t>
        </is>
      </c>
      <c r="AJ1" t="inlineStr">
        <is>
          <t>Link1</t>
        </is>
      </c>
      <c r="AK1" t="inlineStr">
        <is>
          <t>Title2</t>
        </is>
      </c>
      <c r="AL1" t="inlineStr">
        <is>
          <t>Sellername2</t>
        </is>
      </c>
      <c r="AM1" t="inlineStr">
        <is>
          <t>Price2</t>
        </is>
      </c>
      <c r="AN1" t="inlineStr">
        <is>
          <t>Link2</t>
        </is>
      </c>
      <c r="AO1" t="inlineStr">
        <is>
          <t>Title3</t>
        </is>
      </c>
      <c r="AP1" t="inlineStr">
        <is>
          <t>Sellername3</t>
        </is>
      </c>
      <c r="AQ1" t="inlineStr">
        <is>
          <t>Price3</t>
        </is>
      </c>
      <c r="AR1" t="inlineStr">
        <is>
          <t>Link3</t>
        </is>
      </c>
      <c r="AS1" s="314" t="inlineStr">
        <is>
          <t>Model_clean</t>
        </is>
      </c>
      <c r="AT1" s="281" t="inlineStr">
        <is>
          <t>Helper</t>
        </is>
      </c>
    </row>
    <row r="2">
      <c r="A2" t="inlineStr">
        <is>
          <t>21/22</t>
        </is>
      </c>
      <c r="B2" t="inlineStr">
        <is>
          <t xml:space="preserve"> Atomic</t>
        </is>
      </c>
      <c r="C2" t="inlineStr">
        <is>
          <t>Vantage 75 C</t>
        </is>
      </c>
      <c r="D2" t="n">
        <v>154</v>
      </c>
      <c r="E2" t="inlineStr">
        <is>
          <t xml:space="preserve"> Unisex</t>
        </is>
      </c>
      <c r="F2" t="n">
        <v>154</v>
      </c>
      <c r="G2" t="n">
        <v>153.5</v>
      </c>
      <c r="H2" t="n">
        <v>129</v>
      </c>
      <c r="I2" t="n">
        <v>137</v>
      </c>
      <c r="J2" t="n">
        <v>113</v>
      </c>
      <c r="K2" t="n">
        <v>74</v>
      </c>
      <c r="L2" t="n">
        <v>98</v>
      </c>
      <c r="M2" t="n">
        <v>14.2</v>
      </c>
      <c r="N2" t="inlineStr">
        <is>
          <t xml:space="preserve"> </t>
        </is>
      </c>
      <c r="O2" t="inlineStr">
        <is>
          <t xml:space="preserve"> </t>
        </is>
      </c>
      <c r="P2" t="n">
        <v>1328</v>
      </c>
      <c r="Q2" t="n">
        <v>154</v>
      </c>
      <c r="R2" t="n">
        <v>67</v>
      </c>
      <c r="S2" t="n">
        <v>35</v>
      </c>
      <c r="T2" t="n">
        <v>169</v>
      </c>
      <c r="U2" t="n">
        <v>6</v>
      </c>
      <c r="V2" t="n">
        <v>73</v>
      </c>
      <c r="W2" t="n">
        <v>0.16</v>
      </c>
      <c r="X2" t="n">
        <v>98</v>
      </c>
      <c r="Y2" t="n">
        <v>70</v>
      </c>
      <c r="Z2" t="n">
        <v>71</v>
      </c>
      <c r="AA2" t="n">
        <v>10</v>
      </c>
      <c r="AB2" t="n">
        <v>10.7</v>
      </c>
      <c r="AC2" t="inlineStr">
        <is>
          <t xml:space="preserve"> Other</t>
        </is>
      </c>
      <c r="AG2" t="inlineStr">
        <is>
          <t>Atomic Vantage 75 C Skis w/ M 10 GW Bindings</t>
        </is>
      </c>
      <c r="AH2" t="inlineStr">
        <is>
          <t>The-House.com</t>
        </is>
      </c>
      <c r="AI2" s="333" t="n">
        <v>319.99</v>
      </c>
      <c r="AJ2" t="inlineStr">
        <is>
          <t>https://tinyurl.com/y7u52u6u</t>
        </is>
      </c>
      <c r="AK2" t="inlineStr">
        <is>
          <t>Atomic Vantage 75 C Skis w/ M 10 GW Bindings</t>
        </is>
      </c>
      <c r="AL2" t="inlineStr">
        <is>
          <t>SkiEssentials.com</t>
        </is>
      </c>
      <c r="AM2" s="333" t="n">
        <v>319.99</v>
      </c>
      <c r="AN2" t="inlineStr">
        <is>
          <t>https://tinyurl.com/y7fj2wle</t>
        </is>
      </c>
      <c r="AO2" t="inlineStr">
        <is>
          <t>Atomic Vantage 75 C Skis w/ M 10 GW Bindings</t>
        </is>
      </c>
      <c r="AP2" t="inlineStr">
        <is>
          <t>Spoke-N-Sport</t>
        </is>
      </c>
      <c r="AQ2" s="333" t="n">
        <v>335.99</v>
      </c>
      <c r="AR2" t="inlineStr">
        <is>
          <t>https://tinyurl.com/yabonsc2</t>
        </is>
      </c>
      <c r="AS2" s="314">
        <f>IF(LEFT(C2,1)=" ",RIGHT(C2,LEN(C2)-1),C2)</f>
        <v/>
      </c>
      <c r="AT2" s="281">
        <f>_xlfn.CONCAT(B2,AS2,D2,E2)</f>
        <v/>
      </c>
    </row>
    <row r="3">
      <c r="A3" t="inlineStr">
        <is>
          <t>21/22</t>
        </is>
      </c>
      <c r="B3" t="inlineStr">
        <is>
          <t xml:space="preserve"> Atomic</t>
        </is>
      </c>
      <c r="C3" t="inlineStr">
        <is>
          <t>Vantage 75 C W</t>
        </is>
      </c>
      <c r="D3" t="n">
        <v>161</v>
      </c>
      <c r="E3" t="inlineStr">
        <is>
          <t xml:space="preserve"> Women's</t>
        </is>
      </c>
      <c r="F3" t="n">
        <v>161</v>
      </c>
      <c r="G3" t="n">
        <v>160.5</v>
      </c>
      <c r="H3" t="n">
        <v>135</v>
      </c>
      <c r="I3" t="n">
        <v>144</v>
      </c>
      <c r="J3" t="n">
        <v>115</v>
      </c>
      <c r="K3" t="n">
        <v>74</v>
      </c>
      <c r="L3" t="n">
        <v>99</v>
      </c>
      <c r="M3" t="n">
        <v>15.2</v>
      </c>
      <c r="N3" t="inlineStr">
        <is>
          <t xml:space="preserve"> </t>
        </is>
      </c>
      <c r="O3" t="inlineStr">
        <is>
          <t xml:space="preserve"> </t>
        </is>
      </c>
      <c r="P3" t="n">
        <v>1397</v>
      </c>
      <c r="Q3" t="n">
        <v>161</v>
      </c>
      <c r="R3" t="n">
        <v>69</v>
      </c>
      <c r="S3" t="n">
        <v>38</v>
      </c>
      <c r="T3" t="n">
        <v>177</v>
      </c>
      <c r="U3" t="n">
        <v>5</v>
      </c>
      <c r="V3" t="n">
        <v>82</v>
      </c>
      <c r="W3" t="n">
        <v>0.119</v>
      </c>
      <c r="X3" t="n">
        <v>97</v>
      </c>
      <c r="Y3" t="n">
        <v>71</v>
      </c>
      <c r="Z3" t="n">
        <v>80</v>
      </c>
      <c r="AA3" t="n">
        <v>10</v>
      </c>
      <c r="AB3" t="n">
        <v>10.6</v>
      </c>
      <c r="AC3" t="inlineStr">
        <is>
          <t xml:space="preserve"> Other</t>
        </is>
      </c>
      <c r="AG3" t="inlineStr">
        <is>
          <t>Atomic Vantage 75 C Skis w/ M 10 GW Bindings</t>
        </is>
      </c>
      <c r="AH3" t="inlineStr">
        <is>
          <t>Gorham Bike and Ski</t>
        </is>
      </c>
      <c r="AI3" s="333" t="n">
        <v>349.99</v>
      </c>
      <c r="AJ3" t="inlineStr">
        <is>
          <t>https://tinyurl.com/y9p9bu8z</t>
        </is>
      </c>
      <c r="AK3" t="inlineStr">
        <is>
          <t>2022 Atomic Women's Vantage 75 C Demo Skis w/ M 10 GW Demo Bindings - 140| Ski Essentials</t>
        </is>
      </c>
      <c r="AL3" t="inlineStr">
        <is>
          <t>SkiEssentials.com</t>
        </is>
      </c>
      <c r="AM3" s="333" t="n">
        <v>399</v>
      </c>
      <c r="AN3" t="inlineStr">
        <is>
          <t>https://tinyurl.com/yae4sa39</t>
        </is>
      </c>
      <c r="AO3" t="inlineStr">
        <is>
          <t>Atomic Vantage 75 C Skis w/ M 10 GW Bindings</t>
        </is>
      </c>
      <c r="AP3" t="inlineStr">
        <is>
          <t>The-House.com</t>
        </is>
      </c>
      <c r="AQ3" s="333" t="n">
        <v>399.99</v>
      </c>
      <c r="AR3" t="inlineStr">
        <is>
          <t>https://tinyurl.com/y76d8fbz</t>
        </is>
      </c>
      <c r="AS3" s="314">
        <f>IF(LEFT(C3,1)=" ",RIGHT(C3,LEN(C3)-1),C3)</f>
        <v/>
      </c>
      <c r="AT3" s="281">
        <f>_xlfn.CONCAT(B3,AS3,D3,E3)</f>
        <v/>
      </c>
    </row>
    <row r="4">
      <c r="A4" t="inlineStr">
        <is>
          <t>21/22</t>
        </is>
      </c>
      <c r="B4" t="inlineStr">
        <is>
          <t xml:space="preserve"> Elan</t>
        </is>
      </c>
      <c r="C4" t="inlineStr">
        <is>
          <t xml:space="preserve"> Ace SLX</t>
        </is>
      </c>
      <c r="D4" t="n">
        <v>164</v>
      </c>
      <c r="E4" t="inlineStr">
        <is>
          <t xml:space="preserve"> Unisex</t>
        </is>
      </c>
      <c r="F4" t="n">
        <v>164</v>
      </c>
      <c r="G4" t="n">
        <v>162.9</v>
      </c>
      <c r="H4" t="n">
        <v>146</v>
      </c>
      <c r="I4" t="n">
        <v>153</v>
      </c>
      <c r="J4" t="n">
        <v>120</v>
      </c>
      <c r="K4" t="n">
        <v>67</v>
      </c>
      <c r="L4" t="n">
        <v>103</v>
      </c>
      <c r="M4" t="n">
        <v>12.8</v>
      </c>
      <c r="N4" t="inlineStr">
        <is>
          <t xml:space="preserve"> </t>
        </is>
      </c>
      <c r="O4" t="inlineStr">
        <is>
          <t xml:space="preserve"> </t>
        </is>
      </c>
      <c r="P4" t="n">
        <v>1363</v>
      </c>
      <c r="Q4" t="n">
        <v>216</v>
      </c>
      <c r="R4" t="n">
        <v>116</v>
      </c>
      <c r="S4" t="n">
        <v>37</v>
      </c>
      <c r="T4" t="n">
        <v>127</v>
      </c>
      <c r="U4" t="n">
        <v>3</v>
      </c>
      <c r="V4" t="n">
        <v>42</v>
      </c>
      <c r="W4" t="n">
        <v>0.075</v>
      </c>
      <c r="X4" t="n">
        <v>60</v>
      </c>
      <c r="Y4" t="n">
        <v>39</v>
      </c>
      <c r="Z4" t="n">
        <v>67</v>
      </c>
      <c r="AA4" t="n">
        <v>10</v>
      </c>
      <c r="AB4" t="n">
        <v>8.4</v>
      </c>
      <c r="AC4" t="inlineStr">
        <is>
          <t xml:space="preserve"> Other</t>
        </is>
      </c>
      <c r="AG4" t="inlineStr">
        <is>
          <t>Elan Ace SLX Blue-Green 164 Ski Lady's Men</t>
        </is>
      </c>
      <c r="AH4" t="inlineStr">
        <is>
          <t>! OutdoorXL.com</t>
        </is>
      </c>
      <c r="AI4" s="333" t="n">
        <v>659.95</v>
      </c>
      <c r="AJ4" t="inlineStr">
        <is>
          <t>https://tinyurl.com/ybc7gwze</t>
        </is>
      </c>
      <c r="AS4" s="314">
        <f>IF(LEFT(C4,1)=" ",RIGHT(C4,LEN(C4)-1),C4)</f>
        <v/>
      </c>
      <c r="AT4" s="281">
        <f>_xlfn.CONCAT(B4,AS4,D4,E4)</f>
        <v/>
      </c>
    </row>
    <row r="5">
      <c r="A5" t="inlineStr">
        <is>
          <t>21/22</t>
        </is>
      </c>
      <c r="B5" t="inlineStr">
        <is>
          <t xml:space="preserve"> Elan</t>
        </is>
      </c>
      <c r="C5" t="inlineStr">
        <is>
          <t xml:space="preserve"> Voyager</t>
        </is>
      </c>
      <c r="D5" t="n">
        <v>166</v>
      </c>
      <c r="E5" t="inlineStr">
        <is>
          <t xml:space="preserve"> Unisex</t>
        </is>
      </c>
      <c r="F5" t="n">
        <v>166</v>
      </c>
      <c r="G5" t="n">
        <v>164.3</v>
      </c>
      <c r="H5" t="n">
        <v>145</v>
      </c>
      <c r="I5" t="n">
        <v>151</v>
      </c>
      <c r="J5" t="n">
        <v>127</v>
      </c>
      <c r="K5" t="n">
        <v>77</v>
      </c>
      <c r="L5" t="n">
        <v>110</v>
      </c>
      <c r="M5" t="n">
        <v>13.6</v>
      </c>
      <c r="N5" t="inlineStr">
        <is>
          <t xml:space="preserve"> </t>
        </is>
      </c>
      <c r="O5" t="inlineStr">
        <is>
          <t xml:space="preserve"> </t>
        </is>
      </c>
      <c r="P5" t="n">
        <v>1528</v>
      </c>
      <c r="Q5" t="n">
        <v>204</v>
      </c>
      <c r="R5" t="n">
        <v>76</v>
      </c>
      <c r="S5" t="n">
        <v>39</v>
      </c>
      <c r="T5" t="n">
        <v>133</v>
      </c>
      <c r="U5" t="n">
        <v>7</v>
      </c>
      <c r="V5" t="n">
        <v>57</v>
      </c>
      <c r="W5" t="n">
        <v>0.182</v>
      </c>
      <c r="X5" t="n">
        <v>84</v>
      </c>
      <c r="Y5" t="n">
        <v>47</v>
      </c>
      <c r="Z5" t="n">
        <v>49</v>
      </c>
      <c r="AA5" t="n">
        <v>15</v>
      </c>
      <c r="AB5" t="n">
        <v>7.5</v>
      </c>
      <c r="AC5" t="inlineStr">
        <is>
          <t xml:space="preserve"> Other</t>
        </is>
      </c>
      <c r="AG5" t="inlineStr">
        <is>
          <t>Elan Voyager 21/22</t>
        </is>
      </c>
      <c r="AH5" t="inlineStr">
        <is>
          <t>Snowcountry.eu</t>
        </is>
      </c>
      <c r="AI5" s="333" t="n">
        <v>1198.63</v>
      </c>
      <c r="AJ5" t="inlineStr">
        <is>
          <t>https://tinyurl.com/y7q7zaaw</t>
        </is>
      </c>
      <c r="AK5" t="inlineStr">
        <is>
          <t>Elan Voyager Ski Bag Package Black-Green 166 Ski Men</t>
        </is>
      </c>
      <c r="AL5" t="inlineStr">
        <is>
          <t>! OutdoorXL.com</t>
        </is>
      </c>
      <c r="AM5" s="333" t="n">
        <v>1404.95</v>
      </c>
      <c r="AN5" t="inlineStr">
        <is>
          <t>https://tinyurl.com/yacvvfcv</t>
        </is>
      </c>
      <c r="AO5" t="inlineStr">
        <is>
          <t>Elan Wingman 86 Ti Skis 2022</t>
        </is>
      </c>
      <c r="AP5" t="inlineStr">
        <is>
          <t>Gorham Bike and Ski</t>
        </is>
      </c>
      <c r="AQ5" s="333" t="n">
        <v>349.99</v>
      </c>
      <c r="AR5" t="inlineStr">
        <is>
          <t>https://tinyurl.com/yac3lp7w</t>
        </is>
      </c>
      <c r="AS5" s="314">
        <f>IF(LEFT(C5,1)=" ",RIGHT(C5,LEN(C5)-1),C5)</f>
        <v/>
      </c>
      <c r="AT5" s="281">
        <f>_xlfn.CONCAT(B5,AS5,D5,E5)</f>
        <v/>
      </c>
    </row>
    <row r="6">
      <c r="A6" t="inlineStr">
        <is>
          <t>21/22</t>
        </is>
      </c>
      <c r="B6" t="inlineStr">
        <is>
          <t xml:space="preserve"> Head</t>
        </is>
      </c>
      <c r="C6" t="inlineStr">
        <is>
          <t>Kore 105</t>
        </is>
      </c>
      <c r="D6" t="n">
        <v>191</v>
      </c>
      <c r="E6" t="inlineStr">
        <is>
          <t xml:space="preserve"> Unisex</t>
        </is>
      </c>
      <c r="F6" t="n">
        <v>191</v>
      </c>
      <c r="G6" t="n">
        <v>189.6</v>
      </c>
      <c r="H6" t="n">
        <v>148</v>
      </c>
      <c r="I6" t="n">
        <v>152</v>
      </c>
      <c r="J6" t="n">
        <v>136</v>
      </c>
      <c r="K6" t="n">
        <v>106</v>
      </c>
      <c r="L6" t="n">
        <v>126</v>
      </c>
      <c r="M6" t="n">
        <v>19.7</v>
      </c>
      <c r="N6" t="inlineStr">
        <is>
          <t xml:space="preserve"> </t>
        </is>
      </c>
      <c r="O6" t="inlineStr">
        <is>
          <t xml:space="preserve"> </t>
        </is>
      </c>
      <c r="P6" t="n">
        <v>2210</v>
      </c>
      <c r="Q6" t="n">
        <v>330</v>
      </c>
      <c r="R6" t="n">
        <v>152</v>
      </c>
      <c r="S6" t="n">
        <v>49</v>
      </c>
      <c r="T6" t="n">
        <v>238</v>
      </c>
      <c r="U6" t="n">
        <v>22</v>
      </c>
      <c r="V6" t="n">
        <v>180</v>
      </c>
      <c r="W6" t="n">
        <v>0.453999999999999</v>
      </c>
      <c r="X6" t="n">
        <v>229</v>
      </c>
      <c r="Y6" t="n">
        <v>148</v>
      </c>
      <c r="Z6" t="n">
        <v>9</v>
      </c>
      <c r="AA6" t="n">
        <v>10</v>
      </c>
      <c r="AB6" t="n">
        <v>11.3</v>
      </c>
      <c r="AC6" t="inlineStr">
        <is>
          <t xml:space="preserve"> Powder</t>
        </is>
      </c>
      <c r="AG6" t="inlineStr">
        <is>
          <t>Head Kore 105 Skis Â· 2022</t>
        </is>
      </c>
      <c r="AH6" t="inlineStr">
        <is>
          <t>Snowcountry.eu</t>
        </is>
      </c>
      <c r="AI6" s="333" t="n">
        <v>450.88</v>
      </c>
      <c r="AJ6" t="inlineStr">
        <is>
          <t>https://tinyurl.com/yabtjb6o</t>
        </is>
      </c>
      <c r="AK6" t="inlineStr">
        <is>
          <t>Head Kore 105 Skis Â· 2022</t>
        </is>
      </c>
      <c r="AL6" t="inlineStr">
        <is>
          <t>! OutdoorXL.com</t>
        </is>
      </c>
      <c r="AM6" s="333" t="n">
        <v>499.95</v>
      </c>
      <c r="AN6" t="inlineStr">
        <is>
          <t>https://tinyurl.com/ycopktyv</t>
        </is>
      </c>
      <c r="AO6" t="inlineStr">
        <is>
          <t>Head Kore 105 Anth/Ge / 191cm</t>
        </is>
      </c>
      <c r="AP6" t="inlineStr">
        <is>
          <t>Sundance Ski and Board Shop</t>
        </is>
      </c>
      <c r="AQ6" s="333" t="n">
        <v>521.29</v>
      </c>
      <c r="AR6" t="inlineStr">
        <is>
          <t>https://tinyurl.com/y72shv7z</t>
        </is>
      </c>
      <c r="AS6" s="314">
        <f>IF(LEFT(C6,1)=" ",RIGHT(C6,LEN(C6)-1),C6)</f>
        <v/>
      </c>
      <c r="AT6" s="281">
        <f>_xlfn.CONCAT(B6,AS6,D6,E6)</f>
        <v/>
      </c>
    </row>
    <row r="7">
      <c r="A7" t="inlineStr">
        <is>
          <t>21/22</t>
        </is>
      </c>
      <c r="B7" t="inlineStr">
        <is>
          <t xml:space="preserve"> Head</t>
        </is>
      </c>
      <c r="C7" t="inlineStr">
        <is>
          <t xml:space="preserve"> Worldcup Rebels e-Speed Pro</t>
        </is>
      </c>
      <c r="D7" t="n">
        <v>180</v>
      </c>
      <c r="E7" t="inlineStr">
        <is>
          <t xml:space="preserve"> Unisex</t>
        </is>
      </c>
      <c r="F7" t="n">
        <v>180</v>
      </c>
      <c r="G7" t="n">
        <v>179</v>
      </c>
      <c r="H7" t="n">
        <v>162</v>
      </c>
      <c r="I7" t="n">
        <v>170</v>
      </c>
      <c r="J7" t="n">
        <v>116</v>
      </c>
      <c r="K7" t="n">
        <v>67</v>
      </c>
      <c r="L7" t="n">
        <v>98</v>
      </c>
      <c r="M7" t="n">
        <v>18</v>
      </c>
      <c r="N7" t="inlineStr">
        <is>
          <t xml:space="preserve"> </t>
        </is>
      </c>
      <c r="O7" t="inlineStr">
        <is>
          <t xml:space="preserve"> </t>
        </is>
      </c>
      <c r="P7" t="n">
        <v>1456</v>
      </c>
      <c r="Q7" t="n">
        <v>259</v>
      </c>
      <c r="R7" t="n">
        <v>143</v>
      </c>
      <c r="S7" t="n">
        <v>31</v>
      </c>
      <c r="T7" t="n">
        <v>123</v>
      </c>
      <c r="U7" t="n">
        <v>3</v>
      </c>
      <c r="V7" t="n">
        <v>43</v>
      </c>
      <c r="W7" t="n">
        <v>0.09</v>
      </c>
      <c r="X7" t="n">
        <v>59</v>
      </c>
      <c r="Y7" t="n">
        <v>33</v>
      </c>
      <c r="Z7" t="n">
        <v>63</v>
      </c>
      <c r="AA7" t="n">
        <v>13</v>
      </c>
      <c r="AB7" t="n">
        <v>13.3</v>
      </c>
      <c r="AC7" t="inlineStr">
        <is>
          <t xml:space="preserve"> Other</t>
        </is>
      </c>
      <c r="AG7" t="inlineStr">
        <is>
          <t>Head Worldcup Rebels eSPEED Pro Skis 2021</t>
        </is>
      </c>
      <c r="AH7" t="inlineStr">
        <is>
          <t>eBay - gloliquidation</t>
        </is>
      </c>
      <c r="AI7" s="333" t="n">
        <v>590</v>
      </c>
      <c r="AJ7" t="inlineStr">
        <is>
          <t>https://tinyurl.com/y8fy9bdl</t>
        </is>
      </c>
      <c r="AK7" t="inlineStr">
        <is>
          <t>Head WC Rebels e-Speed SW Pro RP WCR14 Yellow Black / 180cm</t>
        </is>
      </c>
      <c r="AL7" t="inlineStr">
        <is>
          <t>Sundance Ski and Board Shop</t>
        </is>
      </c>
      <c r="AM7" s="333" t="n">
        <v>641.59</v>
      </c>
      <c r="AN7" t="inlineStr">
        <is>
          <t>https://tinyurl.com/yb5s2j67</t>
        </is>
      </c>
      <c r="AO7" t="inlineStr">
        <is>
          <t>Head Worldcup Rebels eSPEED Pro Skis 2021</t>
        </is>
      </c>
      <c r="AP7" t="inlineStr">
        <is>
          <t>Suburban Ski and Bike</t>
        </is>
      </c>
      <c r="AQ7" s="333" t="n">
        <v>669.99</v>
      </c>
      <c r="AR7" t="inlineStr">
        <is>
          <t>https://tinyurl.com/yafu7259</t>
        </is>
      </c>
      <c r="AS7" s="314">
        <f>IF(LEFT(C7,1)=" ",RIGHT(C7,LEN(C7)-1),C7)</f>
        <v/>
      </c>
      <c r="AT7" s="281">
        <f>_xlfn.CONCAT(B7,AS7,D7,E7)</f>
        <v/>
      </c>
    </row>
    <row r="8">
      <c r="A8" t="inlineStr">
        <is>
          <t>21/22</t>
        </is>
      </c>
      <c r="B8" t="inlineStr">
        <is>
          <t xml:space="preserve"> Rossignol</t>
        </is>
      </c>
      <c r="C8" t="inlineStr">
        <is>
          <t>Experience 86 Ti</t>
        </is>
      </c>
      <c r="D8" t="n">
        <v>167</v>
      </c>
      <c r="E8" t="inlineStr">
        <is>
          <t xml:space="preserve"> Unisex</t>
        </is>
      </c>
      <c r="F8" t="n">
        <v>167</v>
      </c>
      <c r="G8" t="n">
        <v>166.4</v>
      </c>
      <c r="H8" t="n">
        <v>128</v>
      </c>
      <c r="I8" t="n">
        <v>152</v>
      </c>
      <c r="J8" t="n">
        <v>131</v>
      </c>
      <c r="K8" t="n">
        <v>83</v>
      </c>
      <c r="L8" t="n">
        <v>119</v>
      </c>
      <c r="M8" t="n">
        <v>13.6</v>
      </c>
      <c r="N8" t="inlineStr">
        <is>
          <t xml:space="preserve"> </t>
        </is>
      </c>
      <c r="O8" t="inlineStr">
        <is>
          <t xml:space="preserve"> </t>
        </is>
      </c>
      <c r="P8" t="n">
        <v>1643</v>
      </c>
      <c r="Q8" t="n">
        <v>184</v>
      </c>
      <c r="R8" t="n">
        <v>113</v>
      </c>
      <c r="S8" t="n">
        <v>47</v>
      </c>
      <c r="T8" t="n">
        <v>250</v>
      </c>
      <c r="U8" t="n">
        <v>14</v>
      </c>
      <c r="V8" t="n">
        <v>133</v>
      </c>
      <c r="W8" t="n">
        <v>0.304</v>
      </c>
      <c r="X8" t="n">
        <v>82</v>
      </c>
      <c r="Y8" t="n">
        <v>64</v>
      </c>
      <c r="Z8" t="n">
        <v>168</v>
      </c>
      <c r="AA8" t="n">
        <v>11</v>
      </c>
      <c r="AB8" t="n">
        <v>6.9</v>
      </c>
      <c r="AC8" t="inlineStr">
        <is>
          <t xml:space="preserve"> Other</t>
        </is>
      </c>
      <c r="AG8" t="inlineStr">
        <is>
          <t>Rossignol Experience 86 Ti Black 167 Ski Men</t>
        </is>
      </c>
      <c r="AH8" t="inlineStr">
        <is>
          <t>! OutdoorXL.com</t>
        </is>
      </c>
      <c r="AI8" s="333" t="n">
        <v>564.95</v>
      </c>
      <c r="AJ8" t="inlineStr">
        <is>
          <t>https://tinyurl.com/y7k98py8</t>
        </is>
      </c>
      <c r="AK8" t="inlineStr">
        <is>
          <t>2022 Rossignol Experience 86 Ti Demo Skis w/ Look SPX 14 GW Demo Bindings - 167| Ski Essentials</t>
        </is>
      </c>
      <c r="AL8" t="inlineStr">
        <is>
          <t>SkiEssentials.com</t>
        </is>
      </c>
      <c r="AM8" s="333" t="n">
        <v>599</v>
      </c>
      <c r="AN8" t="inlineStr">
        <is>
          <t>https://tinyurl.com/y84e4qyl</t>
        </is>
      </c>
      <c r="AO8" t="inlineStr">
        <is>
          <t>Rossignol Experience 86 Ti Skis 167cm 2022</t>
        </is>
      </c>
      <c r="AP8" t="inlineStr">
        <is>
          <t>Aspen Ski and Board</t>
        </is>
      </c>
      <c r="AQ8" s="333" t="n">
        <v>639.95</v>
      </c>
      <c r="AR8" t="inlineStr">
        <is>
          <t>https://tinyurl.com/y8h9zaa6</t>
        </is>
      </c>
      <c r="AS8" s="314">
        <f>IF(LEFT(C8,1)=" ",RIGHT(C8,LEN(C8)-1),C8)</f>
        <v/>
      </c>
      <c r="AT8" s="281">
        <f>_xlfn.CONCAT(B8,AS8,D8,E8)</f>
        <v/>
      </c>
    </row>
    <row r="9">
      <c r="A9" t="inlineStr">
        <is>
          <t>21/22</t>
        </is>
      </c>
      <c r="B9" t="inlineStr">
        <is>
          <t xml:space="preserve"> Salomon</t>
        </is>
      </c>
      <c r="C9" t="inlineStr">
        <is>
          <t>QST Lumen 99</t>
        </is>
      </c>
      <c r="D9" t="n">
        <v>167</v>
      </c>
      <c r="E9" t="inlineStr">
        <is>
          <t xml:space="preserve"> Women's</t>
        </is>
      </c>
      <c r="F9" t="n">
        <v>167</v>
      </c>
      <c r="G9" t="n">
        <v>165.8</v>
      </c>
      <c r="H9" t="n">
        <v>124</v>
      </c>
      <c r="I9" t="n">
        <v>129</v>
      </c>
      <c r="J9" t="n">
        <v>134</v>
      </c>
      <c r="K9" t="n">
        <v>98</v>
      </c>
      <c r="L9" t="n">
        <v>116</v>
      </c>
      <c r="M9" t="n">
        <v>13.6</v>
      </c>
      <c r="N9" t="inlineStr">
        <is>
          <t xml:space="preserve"> </t>
        </is>
      </c>
      <c r="O9" t="inlineStr">
        <is>
          <t xml:space="preserve"> </t>
        </is>
      </c>
      <c r="P9" t="n">
        <v>1829</v>
      </c>
      <c r="Q9" t="n">
        <v>191</v>
      </c>
      <c r="R9" t="n">
        <v>91</v>
      </c>
      <c r="S9" t="n">
        <v>52</v>
      </c>
      <c r="T9" t="n">
        <v>220</v>
      </c>
      <c r="U9" t="n">
        <v>22</v>
      </c>
      <c r="V9" t="n">
        <v>203</v>
      </c>
      <c r="W9" t="n">
        <v>0.418</v>
      </c>
      <c r="X9" t="n">
        <v>218</v>
      </c>
      <c r="Y9" t="n">
        <v>145</v>
      </c>
      <c r="Z9" t="n">
        <v>2</v>
      </c>
      <c r="AA9" t="n">
        <v>10</v>
      </c>
      <c r="AB9" t="n">
        <v>9.300000000000001</v>
      </c>
      <c r="AC9" t="inlineStr">
        <is>
          <t xml:space="preserve"> Other</t>
        </is>
      </c>
      <c r="AG9" t="inlineStr">
        <is>
          <t>Salomon Qst Lumen 99 Skis 2021 &amp; Warden 11 Bindings 167cm Womens</t>
        </is>
      </c>
      <c r="AH9" t="inlineStr">
        <is>
          <t>eBay - suburbansports</t>
        </is>
      </c>
      <c r="AI9" s="333" t="n">
        <v>469.99</v>
      </c>
      <c r="AJ9" t="inlineStr">
        <is>
          <t>https://tinyurl.com/yaghz5cw</t>
        </is>
      </c>
      <c r="AK9" t="inlineStr">
        <is>
          <t>Salomon QST Lumen 99 Skis - Women's 2022</t>
        </is>
      </c>
      <c r="AL9" t="inlineStr">
        <is>
          <t>evo.com</t>
        </is>
      </c>
      <c r="AM9" s="333" t="n">
        <v>479.99</v>
      </c>
      <c r="AN9" t="inlineStr">
        <is>
          <t>https://tinyurl.com/y8k55cee</t>
        </is>
      </c>
      <c r="AO9" t="inlineStr">
        <is>
          <t>Salomon QST Lumen 99 Skis - Women's 2022</t>
        </is>
      </c>
      <c r="AP9" t="inlineStr">
        <is>
          <t>Curated</t>
        </is>
      </c>
      <c r="AQ9" s="333" t="n">
        <v>479.99</v>
      </c>
      <c r="AR9" t="inlineStr">
        <is>
          <t>https://tinyurl.com/yay38hmh</t>
        </is>
      </c>
      <c r="AS9" s="314">
        <f>IF(LEFT(C9,1)=" ",RIGHT(C9,LEN(C9)-1),C9)</f>
        <v/>
      </c>
      <c r="AT9" s="281">
        <f>_xlfn.CONCAT(B9,AS9,D9,E9)</f>
        <v/>
      </c>
    </row>
    <row r="10">
      <c r="A10" t="inlineStr">
        <is>
          <t>21/22</t>
        </is>
      </c>
      <c r="B10" t="inlineStr">
        <is>
          <t xml:space="preserve"> Salomon</t>
        </is>
      </c>
      <c r="C10" t="inlineStr">
        <is>
          <t>Stance 102</t>
        </is>
      </c>
      <c r="D10" t="n">
        <v>176</v>
      </c>
      <c r="E10" t="inlineStr">
        <is>
          <t xml:space="preserve"> Unisex</t>
        </is>
      </c>
      <c r="F10" t="n">
        <v>176</v>
      </c>
      <c r="G10" t="n">
        <v>175.6</v>
      </c>
      <c r="H10" t="n">
        <v>117</v>
      </c>
      <c r="I10" t="n">
        <v>151</v>
      </c>
      <c r="J10" t="n">
        <v>131</v>
      </c>
      <c r="K10" t="n">
        <v>102</v>
      </c>
      <c r="L10" t="n">
        <v>119</v>
      </c>
      <c r="M10" t="n">
        <v>23.5</v>
      </c>
      <c r="N10" t="inlineStr">
        <is>
          <t xml:space="preserve"> </t>
        </is>
      </c>
      <c r="O10" t="inlineStr">
        <is>
          <t xml:space="preserve"> </t>
        </is>
      </c>
      <c r="P10" t="n">
        <v>1939</v>
      </c>
      <c r="Q10" t="n">
        <v>197</v>
      </c>
      <c r="R10" t="n">
        <v>123</v>
      </c>
      <c r="S10" t="n">
        <v>49</v>
      </c>
      <c r="T10" t="n">
        <v>345</v>
      </c>
      <c r="U10" t="n">
        <v>8</v>
      </c>
      <c r="V10" t="n">
        <v>244</v>
      </c>
      <c r="W10" t="n">
        <v>0.163</v>
      </c>
      <c r="X10" t="n">
        <v>134</v>
      </c>
      <c r="Y10" t="n">
        <v>108</v>
      </c>
      <c r="Z10" t="n">
        <v>212</v>
      </c>
      <c r="AA10" t="n">
        <v>8</v>
      </c>
      <c r="AB10" t="n">
        <v>10.5</v>
      </c>
      <c r="AC10" t="inlineStr">
        <is>
          <t xml:space="preserve"> Big Mountain</t>
        </is>
      </c>
      <c r="AG10" t="inlineStr">
        <is>
          <t>Salomon Stance 102 Skis</t>
        </is>
      </c>
      <c r="AH10" t="inlineStr">
        <is>
          <t>eBay - asogear</t>
        </is>
      </c>
      <c r="AI10" s="333" t="n">
        <v>479.99</v>
      </c>
      <c r="AJ10" t="inlineStr">
        <is>
          <t>https://tinyurl.com/y8rryby3</t>
        </is>
      </c>
      <c r="AK10" t="inlineStr">
        <is>
          <t>Salomon Stance 102 Skis 2020-2021 | BLACK / 176</t>
        </is>
      </c>
      <c r="AL10" t="inlineStr">
        <is>
          <t>Ski Pro  - Snow Ski &amp; Snowboard</t>
        </is>
      </c>
      <c r="AM10" s="333" t="n">
        <v>539.95</v>
      </c>
      <c r="AN10" t="inlineStr">
        <is>
          <t>https://tinyurl.com/y8w3grpv</t>
        </is>
      </c>
      <c r="AO10" t="inlineStr">
        <is>
          <t>Salomon Stance 102 Skis</t>
        </is>
      </c>
      <c r="AP10" t="inlineStr">
        <is>
          <t>The-House.com</t>
        </is>
      </c>
      <c r="AQ10" s="333" t="n">
        <v>575.95</v>
      </c>
      <c r="AR10" t="inlineStr">
        <is>
          <t>https://tinyurl.com/y9rd6wov</t>
        </is>
      </c>
      <c r="AS10" s="314">
        <f>IF(LEFT(C10,1)=" ",RIGHT(C10,LEN(C10)-1),C10)</f>
        <v/>
      </c>
      <c r="AT10" s="281">
        <f>_xlfn.CONCAT(B10,AS10,D10,E10)</f>
        <v/>
      </c>
    </row>
    <row r="11">
      <c r="A11" t="inlineStr">
        <is>
          <t>21/22</t>
        </is>
      </c>
      <c r="B11" t="inlineStr">
        <is>
          <t xml:space="preserve"> Salomon</t>
        </is>
      </c>
      <c r="C11" t="inlineStr">
        <is>
          <t>Stance 102</t>
        </is>
      </c>
      <c r="D11" t="n">
        <v>183</v>
      </c>
      <c r="E11" t="inlineStr">
        <is>
          <t xml:space="preserve"> Unisex</t>
        </is>
      </c>
      <c r="F11" t="n">
        <v>183</v>
      </c>
      <c r="G11" t="n">
        <v>182.5</v>
      </c>
      <c r="H11" t="n">
        <v>119</v>
      </c>
      <c r="I11" t="n">
        <v>158</v>
      </c>
      <c r="J11" t="n">
        <v>133</v>
      </c>
      <c r="K11" t="n">
        <v>101</v>
      </c>
      <c r="L11" t="n">
        <v>120</v>
      </c>
      <c r="M11" t="n">
        <v>23.9</v>
      </c>
      <c r="N11" t="inlineStr">
        <is>
          <t xml:space="preserve"> </t>
        </is>
      </c>
      <c r="O11" t="inlineStr">
        <is>
          <t xml:space="preserve"> </t>
        </is>
      </c>
      <c r="P11" t="n">
        <v>2026</v>
      </c>
      <c r="Q11" t="n">
        <v>218</v>
      </c>
      <c r="R11" t="n">
        <v>139</v>
      </c>
      <c r="S11" t="n">
        <v>48</v>
      </c>
      <c r="T11" t="n">
        <v>369</v>
      </c>
      <c r="U11" t="n">
        <v>4</v>
      </c>
      <c r="V11" t="n">
        <v>263</v>
      </c>
      <c r="W11" t="n">
        <v>0.081</v>
      </c>
      <c r="X11" t="n">
        <v>142</v>
      </c>
      <c r="Y11" t="n">
        <v>106</v>
      </c>
      <c r="Z11" t="n">
        <v>227</v>
      </c>
      <c r="AA11" t="n">
        <v>7</v>
      </c>
      <c r="AB11" t="n">
        <v>10.6</v>
      </c>
      <c r="AC11" t="inlineStr">
        <is>
          <t xml:space="preserve"> Big Mountain</t>
        </is>
      </c>
      <c r="AG11" t="inlineStr">
        <is>
          <t>Salomon STANCE 102 Black Grey / 183cm</t>
        </is>
      </c>
      <c r="AH11" t="inlineStr">
        <is>
          <t>Sundance Ski and Board Shop</t>
        </is>
      </c>
      <c r="AI11" s="333" t="n">
        <v>521.29</v>
      </c>
      <c r="AJ11" t="inlineStr">
        <is>
          <t>https://tinyurl.com/y9gg45ws</t>
        </is>
      </c>
      <c r="AK11" t="inlineStr">
        <is>
          <t>Salomon Stance 102 Skis 2020-2021 | BLACK / 183</t>
        </is>
      </c>
      <c r="AL11" t="inlineStr">
        <is>
          <t>Ski Pro  - Snow Ski &amp; Snowboard</t>
        </is>
      </c>
      <c r="AM11" s="333" t="n">
        <v>539.95</v>
      </c>
      <c r="AN11" t="inlineStr">
        <is>
          <t>https://tinyurl.com/y7xggw34</t>
        </is>
      </c>
      <c r="AO11" t="inlineStr">
        <is>
          <t>'21 Salomon Stance 102 Skis 183cm</t>
        </is>
      </c>
      <c r="AP11" t="inlineStr">
        <is>
          <t>Al's Ski Equipment Barn</t>
        </is>
      </c>
      <c r="AQ11" s="333" t="n">
        <v>569.95</v>
      </c>
      <c r="AR11" t="inlineStr">
        <is>
          <t>https://tinyurl.com/y8npa4fp</t>
        </is>
      </c>
      <c r="AS11" s="314">
        <f>IF(LEFT(C11,1)=" ",RIGHT(C11,LEN(C11)-1),C11)</f>
        <v/>
      </c>
      <c r="AT11" s="281">
        <f>_xlfn.CONCAT(B11,AS11,D11,E11)</f>
        <v/>
      </c>
    </row>
    <row r="12">
      <c r="A12" t="inlineStr">
        <is>
          <t>21/22</t>
        </is>
      </c>
      <c r="B12" t="inlineStr">
        <is>
          <t xml:space="preserve"> Salomon</t>
        </is>
      </c>
      <c r="C12" t="inlineStr">
        <is>
          <t>Stance 102</t>
        </is>
      </c>
      <c r="D12" t="n">
        <v>190</v>
      </c>
      <c r="E12" t="inlineStr">
        <is>
          <t xml:space="preserve"> Unisex</t>
        </is>
      </c>
      <c r="F12" t="n">
        <v>190</v>
      </c>
      <c r="G12" t="n">
        <v>189.9</v>
      </c>
      <c r="H12" t="n">
        <v>141</v>
      </c>
      <c r="I12" t="n">
        <v>165</v>
      </c>
      <c r="J12" t="n">
        <v>133</v>
      </c>
      <c r="K12" t="n">
        <v>102</v>
      </c>
      <c r="L12" t="n">
        <v>120</v>
      </c>
      <c r="M12" t="n">
        <v>25.8</v>
      </c>
      <c r="N12" t="inlineStr">
        <is>
          <t xml:space="preserve"> </t>
        </is>
      </c>
      <c r="O12" t="inlineStr">
        <is>
          <t xml:space="preserve"> </t>
        </is>
      </c>
      <c r="P12" t="n">
        <v>2108</v>
      </c>
      <c r="Q12" t="n">
        <v>254</v>
      </c>
      <c r="R12" t="n">
        <v>158</v>
      </c>
      <c r="S12" t="n">
        <v>46</v>
      </c>
      <c r="T12" t="n">
        <v>379</v>
      </c>
      <c r="U12" t="n">
        <v>4</v>
      </c>
      <c r="V12" t="n">
        <v>107</v>
      </c>
      <c r="W12" t="n">
        <v>0.08500000000000001</v>
      </c>
      <c r="X12" t="n">
        <v>142</v>
      </c>
      <c r="Y12" t="n">
        <v>111</v>
      </c>
      <c r="Z12" t="n">
        <v>237</v>
      </c>
      <c r="AA12" t="n">
        <v>9</v>
      </c>
      <c r="AB12" t="n">
        <v>9.800000000000001</v>
      </c>
      <c r="AC12" t="inlineStr">
        <is>
          <t xml:space="preserve"> Big Mountain</t>
        </is>
      </c>
      <c r="AG12" t="inlineStr">
        <is>
          <t>Salomon Stance 102 Skis</t>
        </is>
      </c>
      <c r="AH12" t="inlineStr">
        <is>
          <t>Erik's Bike, Board and Ski</t>
        </is>
      </c>
      <c r="AI12" s="333" t="n">
        <v>429.99</v>
      </c>
      <c r="AJ12" t="inlineStr">
        <is>
          <t>https://tinyurl.com/y7r9n4qe</t>
        </is>
      </c>
      <c r="AK12" t="inlineStr">
        <is>
          <t>Salomon Stance 102 Skis</t>
        </is>
      </c>
      <c r="AL12" t="inlineStr">
        <is>
          <t>Backcountry.com</t>
        </is>
      </c>
      <c r="AM12" s="333" t="n">
        <v>599.96</v>
      </c>
      <c r="AN12" t="inlineStr">
        <is>
          <t>https://tinyurl.com/y7wefbn8</t>
        </is>
      </c>
      <c r="AO12" t="inlineStr">
        <is>
          <t>Salomon Stance 102 Skis</t>
        </is>
      </c>
      <c r="AP12" t="inlineStr">
        <is>
          <t>SkiEssentials.com</t>
        </is>
      </c>
      <c r="AQ12" s="333" t="n">
        <v>599.99</v>
      </c>
      <c r="AR12" t="inlineStr">
        <is>
          <t>https://tinyurl.com/yaxad2et</t>
        </is>
      </c>
      <c r="AS12" s="314">
        <f>IF(LEFT(C12,1)=" ",RIGHT(C12,LEN(C12)-1),C12)</f>
        <v/>
      </c>
      <c r="AT12" s="281">
        <f>_xlfn.CONCAT(B12,AS12,D12,E12)</f>
        <v/>
      </c>
    </row>
    <row r="13">
      <c r="A13" t="inlineStr">
        <is>
          <t>21/22</t>
        </is>
      </c>
      <c r="B13" t="inlineStr">
        <is>
          <t xml:space="preserve"> Scott</t>
        </is>
      </c>
      <c r="C13" t="inlineStr">
        <is>
          <t>Scrapper 95 W</t>
        </is>
      </c>
      <c r="D13" t="n">
        <v>160</v>
      </c>
      <c r="E13" t="inlineStr">
        <is>
          <t xml:space="preserve"> Women's</t>
        </is>
      </c>
      <c r="F13" t="n">
        <v>160</v>
      </c>
      <c r="G13" t="n">
        <v>158.3</v>
      </c>
      <c r="H13" t="n">
        <v>114</v>
      </c>
      <c r="I13" t="n">
        <v>141</v>
      </c>
      <c r="J13" t="n">
        <v>126</v>
      </c>
      <c r="K13" t="n">
        <v>92</v>
      </c>
      <c r="L13" t="n">
        <v>115</v>
      </c>
      <c r="M13" t="n">
        <v>18</v>
      </c>
      <c r="N13" t="inlineStr">
        <is>
          <t xml:space="preserve"> </t>
        </is>
      </c>
      <c r="O13" t="inlineStr">
        <is>
          <t xml:space="preserve"> </t>
        </is>
      </c>
      <c r="P13" t="n">
        <v>1594</v>
      </c>
      <c r="Q13" t="n">
        <v>148</v>
      </c>
      <c r="R13" t="n">
        <v>62</v>
      </c>
      <c r="S13" t="n">
        <v>56</v>
      </c>
      <c r="T13" t="n">
        <v>269</v>
      </c>
      <c r="U13" t="n">
        <v>33</v>
      </c>
      <c r="V13" t="n">
        <v>175</v>
      </c>
      <c r="W13" t="n">
        <v>0.594</v>
      </c>
      <c r="X13" t="n">
        <v>96</v>
      </c>
      <c r="Y13" t="n">
        <v>74</v>
      </c>
      <c r="Z13" t="n">
        <v>173</v>
      </c>
      <c r="AA13" t="n">
        <v>4</v>
      </c>
      <c r="AB13" t="n">
        <v>6.9</v>
      </c>
      <c r="AC13" t="inlineStr">
        <is>
          <t xml:space="preserve"> Other</t>
        </is>
      </c>
      <c r="AG13" t="inlineStr">
        <is>
          <t>Scott Scrapper 95 Skis - Women's 2021 - Sample</t>
        </is>
      </c>
      <c r="AH13" t="inlineStr">
        <is>
          <t>Next Adventure</t>
        </is>
      </c>
      <c r="AI13" s="333" t="n">
        <v>419.97</v>
      </c>
      <c r="AJ13" t="inlineStr">
        <is>
          <t>https://tinyurl.com/yarfvofk</t>
        </is>
      </c>
      <c r="AK13" t="inlineStr">
        <is>
          <t>Scott Ski Scrapper 95 W's - 160</t>
        </is>
      </c>
      <c r="AL13" t="inlineStr">
        <is>
          <t>eXXpozed.com</t>
        </is>
      </c>
      <c r="AM13" s="333" t="n">
        <v>485.38</v>
      </c>
      <c r="AN13" t="inlineStr">
        <is>
          <t>https://tinyurl.com/ycxugxd7</t>
        </is>
      </c>
      <c r="AO13" t="inlineStr">
        <is>
          <t>Scott Women's Scrapper 95 Skis Â· 160 cm</t>
        </is>
      </c>
      <c r="AP13" t="inlineStr">
        <is>
          <t>evo.com</t>
        </is>
      </c>
      <c r="AQ13" s="333" t="n">
        <v>560</v>
      </c>
      <c r="AR13" t="inlineStr">
        <is>
          <t>https://tinyurl.com/ycyppnz6</t>
        </is>
      </c>
      <c r="AS13" s="314">
        <f>IF(LEFT(C13,1)=" ",RIGHT(C13,LEN(C13)-1),C13)</f>
        <v/>
      </c>
      <c r="AT13" s="281">
        <f>_xlfn.CONCAT(B13,AS13,D13,E13)</f>
        <v/>
      </c>
    </row>
    <row r="14">
      <c r="A14" t="inlineStr">
        <is>
          <t>21/22</t>
        </is>
      </c>
      <c r="B14" t="inlineStr">
        <is>
          <t xml:space="preserve"> Scott</t>
        </is>
      </c>
      <c r="C14" t="inlineStr">
        <is>
          <t>Scrapper 95 W</t>
        </is>
      </c>
      <c r="D14" t="n">
        <v>168</v>
      </c>
      <c r="E14" t="inlineStr">
        <is>
          <t xml:space="preserve"> Women's</t>
        </is>
      </c>
      <c r="F14" t="n">
        <v>168</v>
      </c>
      <c r="G14" t="n">
        <v>166.5</v>
      </c>
      <c r="H14" t="n">
        <v>120</v>
      </c>
      <c r="I14" t="n">
        <v>149</v>
      </c>
      <c r="J14" t="n">
        <v>128</v>
      </c>
      <c r="K14" t="n">
        <v>93</v>
      </c>
      <c r="L14" t="n">
        <v>117</v>
      </c>
      <c r="M14" t="n">
        <v>19.6</v>
      </c>
      <c r="N14" t="inlineStr">
        <is>
          <t xml:space="preserve"> </t>
        </is>
      </c>
      <c r="O14" t="inlineStr">
        <is>
          <t xml:space="preserve"> </t>
        </is>
      </c>
      <c r="P14" t="n">
        <v>1695</v>
      </c>
      <c r="Q14" t="n">
        <v>145</v>
      </c>
      <c r="R14" t="n">
        <v>64</v>
      </c>
      <c r="S14" t="n">
        <v>59</v>
      </c>
      <c r="T14" t="n">
        <v>295</v>
      </c>
      <c r="U14" t="n">
        <v>34</v>
      </c>
      <c r="V14" t="n">
        <v>165</v>
      </c>
      <c r="W14" t="n">
        <v>0.578</v>
      </c>
      <c r="X14" t="n">
        <v>105</v>
      </c>
      <c r="Y14" t="n">
        <v>75</v>
      </c>
      <c r="Z14" t="n">
        <v>190</v>
      </c>
      <c r="AA14" t="n">
        <v>5</v>
      </c>
      <c r="AB14" t="n">
        <v>7</v>
      </c>
      <c r="AC14" t="inlineStr">
        <is>
          <t xml:space="preserve"> Other</t>
        </is>
      </c>
      <c r="AG14" t="inlineStr">
        <is>
          <t>Scott Sports W's Scrapper 95 Womens Skis - Multicolour</t>
        </is>
      </c>
      <c r="AH14" t="inlineStr">
        <is>
          <t>Surfdome US</t>
        </is>
      </c>
      <c r="AI14" s="333" t="n">
        <v>317.95</v>
      </c>
      <c r="AJ14" t="inlineStr">
        <is>
          <t>https://tinyurl.com/y797pytx</t>
        </is>
      </c>
      <c r="AK14" t="inlineStr">
        <is>
          <t>Scott Sports W's Scrapper 95 Womens Skis - Multicolour</t>
        </is>
      </c>
      <c r="AL14" t="inlineStr">
        <is>
          <t>eBay - extremepiestores</t>
        </is>
      </c>
      <c r="AM14" s="333" t="n">
        <v>357.82</v>
      </c>
      <c r="AN14" t="inlineStr">
        <is>
          <t>https://tinyurl.com/yc2s4rod</t>
        </is>
      </c>
      <c r="AO14" t="inlineStr">
        <is>
          <t>Scott Scrapper 95 Skis - Women's 2021 - Sample</t>
        </is>
      </c>
      <c r="AP14" t="inlineStr">
        <is>
          <t>Next Adventure</t>
        </is>
      </c>
      <c r="AQ14" s="333" t="n">
        <v>419.97</v>
      </c>
      <c r="AR14" t="inlineStr">
        <is>
          <t>https://tinyurl.com/y9dwxeax</t>
        </is>
      </c>
      <c r="AS14" s="314">
        <f>IF(LEFT(C14,1)=" ",RIGHT(C14,LEN(C14)-1),C14)</f>
        <v/>
      </c>
      <c r="AT14" s="281">
        <f>_xlfn.CONCAT(B14,AS14,D14,E14)</f>
        <v/>
      </c>
    </row>
    <row r="15">
      <c r="A15" t="inlineStr">
        <is>
          <t>21/22</t>
        </is>
      </c>
      <c r="B15" t="inlineStr">
        <is>
          <t xml:space="preserve"> Armada</t>
        </is>
      </c>
      <c r="C15" t="inlineStr">
        <is>
          <t>ARV 116 JJ UL</t>
        </is>
      </c>
      <c r="D15" t="n">
        <v>165</v>
      </c>
      <c r="E15" t="inlineStr">
        <is>
          <t xml:space="preserve"> Unisex</t>
        </is>
      </c>
      <c r="F15" t="n">
        <v>165</v>
      </c>
      <c r="G15" t="n">
        <v>163.4</v>
      </c>
      <c r="H15" t="n">
        <v>101</v>
      </c>
      <c r="I15" t="n">
        <v>122</v>
      </c>
      <c r="J15" t="n">
        <v>137</v>
      </c>
      <c r="K15" t="n">
        <v>115</v>
      </c>
      <c r="L15" t="n">
        <v>133</v>
      </c>
      <c r="M15" t="n">
        <v>16.2</v>
      </c>
      <c r="N15" t="n">
        <v>1617</v>
      </c>
      <c r="O15" t="n">
        <v>1.24</v>
      </c>
      <c r="P15" t="n">
        <v>2008</v>
      </c>
      <c r="Q15" t="n">
        <v>166</v>
      </c>
      <c r="R15" t="n">
        <v>94</v>
      </c>
      <c r="S15" t="n">
        <v>57</v>
      </c>
      <c r="T15" t="n">
        <v>324</v>
      </c>
      <c r="U15" t="n">
        <v>56</v>
      </c>
      <c r="V15" t="n">
        <v>304</v>
      </c>
      <c r="W15" t="n">
        <v>0.987</v>
      </c>
      <c r="X15" t="n">
        <v>226</v>
      </c>
      <c r="Y15" t="n">
        <v>188</v>
      </c>
      <c r="Z15" t="n">
        <v>98</v>
      </c>
      <c r="AA15" t="n">
        <v>5</v>
      </c>
      <c r="AB15" t="n">
        <v>5.8</v>
      </c>
      <c r="AC15" t="inlineStr">
        <is>
          <t xml:space="preserve"> Freeski</t>
        </is>
      </c>
      <c r="AD15" t="inlineStr">
        <is>
          <t xml:space="preserve"> Powder</t>
        </is>
      </c>
      <c r="AE15" t="inlineStr">
        <is>
          <t xml:space="preserve"> Touring</t>
        </is>
      </c>
      <c r="AG15" t="inlineStr">
        <is>
          <t>Armada ARV 116 Jj UL Skis 2022 - 165</t>
        </is>
      </c>
      <c r="AH15" t="inlineStr">
        <is>
          <t>Blue Tomato</t>
        </is>
      </c>
      <c r="AI15" s="333" t="n">
        <v>553.33</v>
      </c>
      <c r="AJ15" t="inlineStr">
        <is>
          <t>https://tinyurl.com/yceonvas</t>
        </is>
      </c>
      <c r="AK15" t="inlineStr">
        <is>
          <t>Armada ARW 116 VJJ UL Skis - Women's 2022</t>
        </is>
      </c>
      <c r="AL15" t="inlineStr">
        <is>
          <t>PRFO Sports</t>
        </is>
      </c>
      <c r="AM15" s="333" t="n">
        <v>544.55</v>
      </c>
      <c r="AN15" t="inlineStr">
        <is>
          <t>https://tinyurl.com/yacjbmbp</t>
        </is>
      </c>
      <c r="AO15" t="inlineStr">
        <is>
          <t>Armada ARW 116 VJJ UL Skis - Women's 2022</t>
        </is>
      </c>
      <c r="AP15" t="inlineStr">
        <is>
          <t>Curated</t>
        </is>
      </c>
      <c r="AQ15" s="333" t="n">
        <v>599</v>
      </c>
      <c r="AR15" t="inlineStr">
        <is>
          <t>https://tinyurl.com/y84s2bdc</t>
        </is>
      </c>
      <c r="AS15" s="314">
        <f>IF(LEFT(C15,1)=" ",RIGHT(C15,LEN(C15)-1),C15)</f>
        <v/>
      </c>
      <c r="AT15" s="281">
        <f>_xlfn.CONCAT(B15,AS15,D15,E15)</f>
        <v/>
      </c>
    </row>
    <row r="16">
      <c r="A16" t="inlineStr">
        <is>
          <t>21/22</t>
        </is>
      </c>
      <c r="B16" t="inlineStr">
        <is>
          <t xml:space="preserve"> Armada</t>
        </is>
      </c>
      <c r="C16" t="inlineStr">
        <is>
          <t>ARV 116 JJ UL</t>
        </is>
      </c>
      <c r="D16" t="n">
        <v>175</v>
      </c>
      <c r="E16" t="inlineStr">
        <is>
          <t xml:space="preserve"> Unisex</t>
        </is>
      </c>
      <c r="F16" t="n">
        <v>175</v>
      </c>
      <c r="G16" t="n">
        <v>173.2</v>
      </c>
      <c r="H16" t="n">
        <v>103</v>
      </c>
      <c r="I16" t="n">
        <v>130</v>
      </c>
      <c r="J16" t="n">
        <v>138</v>
      </c>
      <c r="K16" t="n">
        <v>115</v>
      </c>
      <c r="L16" t="n">
        <v>135</v>
      </c>
      <c r="M16" t="n">
        <v>17.5</v>
      </c>
      <c r="N16" t="n">
        <v>1700</v>
      </c>
      <c r="O16" t="n">
        <v>1.24</v>
      </c>
      <c r="P16" t="n">
        <v>2109</v>
      </c>
      <c r="Q16" t="n">
        <v>185</v>
      </c>
      <c r="R16" t="n">
        <v>96</v>
      </c>
      <c r="S16" t="n">
        <v>63</v>
      </c>
      <c r="T16" t="n">
        <v>359</v>
      </c>
      <c r="U16" t="n">
        <v>63</v>
      </c>
      <c r="V16" t="n">
        <v>344</v>
      </c>
      <c r="W16" t="n">
        <v>0.986</v>
      </c>
      <c r="X16" t="n">
        <v>239</v>
      </c>
      <c r="Y16" t="n">
        <v>197</v>
      </c>
      <c r="Z16" t="n">
        <v>120</v>
      </c>
      <c r="AA16" t="n">
        <v>3</v>
      </c>
      <c r="AB16" t="n">
        <v>6</v>
      </c>
      <c r="AC16" t="inlineStr">
        <is>
          <t xml:space="preserve"> Freeski</t>
        </is>
      </c>
      <c r="AD16" t="inlineStr">
        <is>
          <t xml:space="preserve"> Powder</t>
        </is>
      </c>
      <c r="AE16" t="inlineStr">
        <is>
          <t xml:space="preserve"> Touring</t>
        </is>
      </c>
      <c r="AG16" t="inlineStr">
        <is>
          <t>Armada ARV 116 Jj UL Skis 2022</t>
        </is>
      </c>
      <c r="AH16" t="inlineStr">
        <is>
          <t>Next Adventure</t>
        </is>
      </c>
      <c r="AI16" s="333" t="n">
        <v>599.96</v>
      </c>
      <c r="AJ16" t="inlineStr">
        <is>
          <t>https://tinyurl.com/ybfcknl8</t>
        </is>
      </c>
      <c r="AK16" t="inlineStr">
        <is>
          <t>Armada ARV 116 Jj UL Skis 2022</t>
        </is>
      </c>
      <c r="AL16" t="inlineStr">
        <is>
          <t>! OutdoorXL.com</t>
        </is>
      </c>
      <c r="AM16" s="333" t="n">
        <v>609.95</v>
      </c>
      <c r="AN16" t="inlineStr">
        <is>
          <t>https://tinyurl.com/y7bu5ssy</t>
        </is>
      </c>
      <c r="AO16" t="inlineStr">
        <is>
          <t>Armada ARV 116 Jj UL Skis 2022</t>
        </is>
      </c>
      <c r="AP16" t="inlineStr">
        <is>
          <t>Powder7 Ski Shop</t>
        </is>
      </c>
      <c r="AQ16" s="333" t="n">
        <v>649.95</v>
      </c>
      <c r="AR16" t="inlineStr">
        <is>
          <t>https://tinyurl.com/y7zbckwa</t>
        </is>
      </c>
      <c r="AS16" s="314">
        <f>IF(LEFT(C16,1)=" ",RIGHT(C16,LEN(C16)-1),C16)</f>
        <v/>
      </c>
      <c r="AT16" s="281">
        <f>_xlfn.CONCAT(B16,AS16,D16,E16)</f>
        <v/>
      </c>
    </row>
    <row r="17">
      <c r="A17" t="inlineStr">
        <is>
          <t>21/22</t>
        </is>
      </c>
      <c r="B17" t="inlineStr">
        <is>
          <t xml:space="preserve"> Armada</t>
        </is>
      </c>
      <c r="C17" t="inlineStr">
        <is>
          <t>ARV 116 JJ UL</t>
        </is>
      </c>
      <c r="D17" t="n">
        <v>185</v>
      </c>
      <c r="E17" t="inlineStr">
        <is>
          <t xml:space="preserve"> Unisex</t>
        </is>
      </c>
      <c r="F17" t="n">
        <v>185</v>
      </c>
      <c r="G17" t="n">
        <v>183</v>
      </c>
      <c r="H17" t="n">
        <v>113</v>
      </c>
      <c r="I17" t="n">
        <v>136</v>
      </c>
      <c r="J17" t="n">
        <v>138</v>
      </c>
      <c r="K17" t="n">
        <v>115</v>
      </c>
      <c r="L17" t="n">
        <v>134</v>
      </c>
      <c r="M17" t="n">
        <v>18.5</v>
      </c>
      <c r="N17" t="n">
        <v>1783</v>
      </c>
      <c r="O17" t="n">
        <v>1.24</v>
      </c>
      <c r="P17" t="n">
        <v>2218</v>
      </c>
      <c r="Q17" t="n">
        <v>203</v>
      </c>
      <c r="R17" t="n">
        <v>103</v>
      </c>
      <c r="S17" t="n">
        <v>66</v>
      </c>
      <c r="T17" t="n">
        <v>361</v>
      </c>
      <c r="U17" t="n">
        <v>63</v>
      </c>
      <c r="V17" t="n">
        <v>340</v>
      </c>
      <c r="W17" t="n">
        <v>0.953</v>
      </c>
      <c r="X17" t="n">
        <v>236</v>
      </c>
      <c r="Y17" t="n">
        <v>231</v>
      </c>
      <c r="Z17" t="n">
        <v>124</v>
      </c>
      <c r="AA17" t="n">
        <v>4</v>
      </c>
      <c r="AB17" t="n">
        <v>5.4</v>
      </c>
      <c r="AC17" t="inlineStr">
        <is>
          <t xml:space="preserve"> Freeski</t>
        </is>
      </c>
      <c r="AD17" t="inlineStr">
        <is>
          <t xml:space="preserve"> Powder</t>
        </is>
      </c>
      <c r="AE17" t="inlineStr">
        <is>
          <t xml:space="preserve"> Touring</t>
        </is>
      </c>
      <c r="AG17" t="inlineStr">
        <is>
          <t>Armada ARV 116 Jj UL Skis 2022</t>
        </is>
      </c>
      <c r="AH17" t="inlineStr">
        <is>
          <t>Snowcountry.eu</t>
        </is>
      </c>
      <c r="AI17" s="333" t="n">
        <v>506.21</v>
      </c>
      <c r="AJ17" t="inlineStr">
        <is>
          <t>https://tinyurl.com/y8h28jz6</t>
        </is>
      </c>
      <c r="AK17" t="inlineStr">
        <is>
          <t>Armada ARV 116 Jj UL Skis 2022</t>
        </is>
      </c>
      <c r="AL17" t="inlineStr">
        <is>
          <t>Blue Tomato</t>
        </is>
      </c>
      <c r="AM17" s="333" t="n">
        <v>553.33</v>
      </c>
      <c r="AN17" t="inlineStr">
        <is>
          <t>https://tinyurl.com/y7rs8t92</t>
        </is>
      </c>
      <c r="AO17" t="inlineStr">
        <is>
          <t>Armada ARV 116 Jj UL Skis 2022</t>
        </is>
      </c>
      <c r="AP17" t="inlineStr">
        <is>
          <t>Next Adventure</t>
        </is>
      </c>
      <c r="AQ17" s="333" t="n">
        <v>599.96</v>
      </c>
      <c r="AR17" t="inlineStr">
        <is>
          <t>https://tinyurl.com/ycyothm5</t>
        </is>
      </c>
      <c r="AS17" s="314">
        <f>IF(LEFT(C17,1)=" ",RIGHT(C17,LEN(C17)-1),C17)</f>
        <v/>
      </c>
      <c r="AT17" s="281">
        <f>_xlfn.CONCAT(B17,AS17,D17,E17)</f>
        <v/>
      </c>
    </row>
    <row r="18">
      <c r="A18" t="inlineStr">
        <is>
          <t>21/22</t>
        </is>
      </c>
      <c r="B18" t="inlineStr">
        <is>
          <t xml:space="preserve"> Armada</t>
        </is>
      </c>
      <c r="C18" t="inlineStr">
        <is>
          <t>ARV 106</t>
        </is>
      </c>
      <c r="D18" t="n">
        <v>172</v>
      </c>
      <c r="E18" t="inlineStr">
        <is>
          <t xml:space="preserve"> Unisex</t>
        </is>
      </c>
      <c r="F18" t="n">
        <v>172</v>
      </c>
      <c r="G18" t="n">
        <v>170.4</v>
      </c>
      <c r="H18" t="n">
        <v>119</v>
      </c>
      <c r="I18" t="n">
        <v>140</v>
      </c>
      <c r="J18" t="n">
        <v>132</v>
      </c>
      <c r="K18" t="n">
        <v>105</v>
      </c>
      <c r="L18" t="n">
        <v>122</v>
      </c>
      <c r="M18" t="n">
        <v>20</v>
      </c>
      <c r="N18" t="n">
        <v>1948</v>
      </c>
      <c r="O18" t="n">
        <v>0.98</v>
      </c>
      <c r="P18" t="n">
        <v>1900</v>
      </c>
      <c r="Q18" t="n">
        <v>187</v>
      </c>
      <c r="R18" t="n">
        <v>103</v>
      </c>
      <c r="S18" t="n">
        <v>55</v>
      </c>
      <c r="T18" t="n">
        <v>280</v>
      </c>
      <c r="U18" t="n">
        <v>43</v>
      </c>
      <c r="V18" t="n">
        <v>237</v>
      </c>
      <c r="W18" t="n">
        <v>0.78</v>
      </c>
      <c r="X18" t="n">
        <v>150</v>
      </c>
      <c r="Y18" t="n">
        <v>155</v>
      </c>
      <c r="Z18" t="n">
        <v>130</v>
      </c>
      <c r="AA18" t="n">
        <v>7</v>
      </c>
      <c r="AB18" t="n">
        <v>5.4</v>
      </c>
      <c r="AC18" t="inlineStr">
        <is>
          <t xml:space="preserve"> Resort Freeride</t>
        </is>
      </c>
      <c r="AD18" t="inlineStr">
        <is>
          <t xml:space="preserve"> Powder</t>
        </is>
      </c>
      <c r="AG18" t="inlineStr">
        <is>
          <t>Armada Arv 106 Size 172</t>
        </is>
      </c>
      <c r="AH18" t="inlineStr">
        <is>
          <t>eBay</t>
        </is>
      </c>
      <c r="AI18" s="333" t="n">
        <v>400</v>
      </c>
      <c r="AJ18" t="inlineStr">
        <is>
          <t>https://tinyurl.com/y8md7yk7</t>
        </is>
      </c>
      <c r="AK18" t="inlineStr">
        <is>
          <t>Armada ARV 106 Skis 2022</t>
        </is>
      </c>
      <c r="AL18" t="inlineStr">
        <is>
          <t>REI</t>
        </is>
      </c>
      <c r="AM18" s="333" t="n">
        <v>519.9299999999999</v>
      </c>
      <c r="AN18" t="inlineStr">
        <is>
          <t>https://tinyurl.com/y9eqdvzv</t>
        </is>
      </c>
      <c r="AO18" t="inlineStr">
        <is>
          <t>Armada ARV 106 Skis 2022</t>
        </is>
      </c>
      <c r="AP18" t="inlineStr">
        <is>
          <t>Level Nine Sports</t>
        </is>
      </c>
      <c r="AQ18" s="333" t="n">
        <v>519.96</v>
      </c>
      <c r="AR18" t="inlineStr">
        <is>
          <t>https://tinyurl.com/yaom4y3e</t>
        </is>
      </c>
      <c r="AS18" s="314">
        <f>IF(LEFT(C18,1)=" ",RIGHT(C18,LEN(C18)-1),C18)</f>
        <v/>
      </c>
      <c r="AT18" s="281">
        <f>_xlfn.CONCAT(B18,AS18,D18,E18)</f>
        <v/>
      </c>
    </row>
    <row r="19">
      <c r="A19" t="inlineStr">
        <is>
          <t>21/22</t>
        </is>
      </c>
      <c r="B19" t="inlineStr">
        <is>
          <t>4FRNT</t>
        </is>
      </c>
      <c r="C19" t="inlineStr">
        <is>
          <t xml:space="preserve"> Switch</t>
        </is>
      </c>
      <c r="D19" t="n">
        <v>184</v>
      </c>
      <c r="E19" t="inlineStr">
        <is>
          <t xml:space="preserve"> Unisex</t>
        </is>
      </c>
      <c r="F19" t="n">
        <v>184</v>
      </c>
      <c r="G19" t="n">
        <v>182.1</v>
      </c>
      <c r="H19" t="n">
        <v>146</v>
      </c>
      <c r="I19" t="n">
        <v>149</v>
      </c>
      <c r="J19" t="n">
        <v>126</v>
      </c>
      <c r="K19" t="n">
        <v>98</v>
      </c>
      <c r="L19" t="n">
        <v>122</v>
      </c>
      <c r="M19" t="n">
        <v>18.8</v>
      </c>
      <c r="N19" t="n">
        <v>1760</v>
      </c>
      <c r="O19" t="n">
        <v>1.12</v>
      </c>
      <c r="P19" t="n">
        <v>1978</v>
      </c>
      <c r="Q19" t="n">
        <v>181</v>
      </c>
      <c r="R19" t="n">
        <v>87</v>
      </c>
      <c r="S19" t="n">
        <v>40</v>
      </c>
      <c r="T19" t="n">
        <v>202</v>
      </c>
      <c r="U19" t="n">
        <v>30</v>
      </c>
      <c r="V19" t="n">
        <v>155</v>
      </c>
      <c r="W19" t="n">
        <v>0.746</v>
      </c>
      <c r="X19" t="n">
        <v>176</v>
      </c>
      <c r="Y19" t="n">
        <v>154</v>
      </c>
      <c r="Z19" t="n">
        <v>27</v>
      </c>
      <c r="AA19" t="n">
        <v>8</v>
      </c>
      <c r="AB19" t="n">
        <v>3.6</v>
      </c>
      <c r="AC19" t="inlineStr">
        <is>
          <t xml:space="preserve"> Resort Freeride</t>
        </is>
      </c>
      <c r="AD19" t="inlineStr">
        <is>
          <t xml:space="preserve"> Touring</t>
        </is>
      </c>
      <c r="AS19" s="314">
        <f>IF(LEFT(C19,1)=" ",RIGHT(C19,LEN(C19)-1),C19)</f>
        <v/>
      </c>
      <c r="AT19" s="281">
        <f>_xlfn.CONCAT(B19,AS19,D19,E19)</f>
        <v/>
      </c>
    </row>
    <row r="20">
      <c r="A20" t="inlineStr">
        <is>
          <t>21/22</t>
        </is>
      </c>
      <c r="B20" t="inlineStr">
        <is>
          <t xml:space="preserve"> Armada</t>
        </is>
      </c>
      <c r="C20" t="inlineStr">
        <is>
          <t>ARV 116 JJ UL</t>
        </is>
      </c>
      <c r="D20" t="n">
        <v>192</v>
      </c>
      <c r="E20" t="inlineStr">
        <is>
          <t xml:space="preserve"> Unisex</t>
        </is>
      </c>
      <c r="F20" t="n">
        <v>192</v>
      </c>
      <c r="G20" t="n">
        <v>188.2</v>
      </c>
      <c r="H20" t="n">
        <v>121</v>
      </c>
      <c r="I20" t="n">
        <v>138</v>
      </c>
      <c r="J20" t="n">
        <v>138</v>
      </c>
      <c r="K20" t="n">
        <v>115</v>
      </c>
      <c r="L20" t="n">
        <v>134</v>
      </c>
      <c r="M20" t="n">
        <v>19.3</v>
      </c>
      <c r="N20" t="n">
        <v>1874</v>
      </c>
      <c r="O20" t="n">
        <v>1.21</v>
      </c>
      <c r="P20" t="n">
        <v>2270</v>
      </c>
      <c r="Q20" t="n">
        <v>239</v>
      </c>
      <c r="R20" t="n">
        <v>118</v>
      </c>
      <c r="S20" t="n">
        <v>62</v>
      </c>
      <c r="T20" t="n">
        <v>359</v>
      </c>
      <c r="U20" t="n">
        <v>52</v>
      </c>
      <c r="V20" t="n">
        <v>318</v>
      </c>
      <c r="W20" t="n">
        <v>0.839</v>
      </c>
      <c r="X20" t="n">
        <v>270</v>
      </c>
      <c r="Y20" t="n">
        <v>234</v>
      </c>
      <c r="Z20" t="n">
        <v>89</v>
      </c>
      <c r="AA20" t="n">
        <v>5</v>
      </c>
      <c r="AB20" t="n">
        <v>6.7</v>
      </c>
      <c r="AC20" t="inlineStr">
        <is>
          <t xml:space="preserve"> Freeski</t>
        </is>
      </c>
      <c r="AD20" t="inlineStr">
        <is>
          <t xml:space="preserve"> Powder</t>
        </is>
      </c>
      <c r="AE20" t="inlineStr">
        <is>
          <t xml:space="preserve"> Touring</t>
        </is>
      </c>
      <c r="AG20" t="inlineStr">
        <is>
          <t>'21 Armada ARV 116 JJ Skis 192cm</t>
        </is>
      </c>
      <c r="AH20" t="inlineStr">
        <is>
          <t>Al's Ski Equipment Barn</t>
        </is>
      </c>
      <c r="AI20" s="333" t="n">
        <v>549.95</v>
      </c>
      <c r="AJ20" t="inlineStr">
        <is>
          <t>https://tinyurl.com/ya67bse2</t>
        </is>
      </c>
      <c r="AK20" t="inlineStr">
        <is>
          <t>Armada ARV 116 Jj Skis Â· 2021 Â· 192 cm</t>
        </is>
      </c>
      <c r="AL20" t="inlineStr">
        <is>
          <t>evo.com</t>
        </is>
      </c>
      <c r="AM20" s="333" t="n">
        <v>549.97</v>
      </c>
      <c r="AN20" t="inlineStr">
        <is>
          <t>https://tinyurl.com/y8x6lupk</t>
        </is>
      </c>
      <c r="AO20" t="inlineStr">
        <is>
          <t>Armada ARV JJ 116 Skis - Men's - 2022 192 cm</t>
        </is>
      </c>
      <c r="AP20" t="inlineStr">
        <is>
          <t>Arlberg Ski &amp; Surf Shops</t>
        </is>
      </c>
      <c r="AQ20" s="333" t="n">
        <v>559.95</v>
      </c>
      <c r="AR20" t="inlineStr">
        <is>
          <t>https://tinyurl.com/yao7hjje</t>
        </is>
      </c>
      <c r="AS20" s="314">
        <f>IF(LEFT(C20,1)=" ",RIGHT(C20,LEN(C20)-1),C20)</f>
        <v/>
      </c>
      <c r="AT20" s="281">
        <f>_xlfn.CONCAT(B20,AS20,D20,E20)</f>
        <v/>
      </c>
    </row>
    <row r="21">
      <c r="A21" t="inlineStr">
        <is>
          <t>21/22</t>
        </is>
      </c>
      <c r="B21" t="inlineStr">
        <is>
          <t xml:space="preserve"> Armada</t>
        </is>
      </c>
      <c r="C21" t="inlineStr">
        <is>
          <t>ARV 106</t>
        </is>
      </c>
      <c r="D21" t="n">
        <v>180</v>
      </c>
      <c r="E21" t="inlineStr">
        <is>
          <t xml:space="preserve"> Unisex</t>
        </is>
      </c>
      <c r="F21" t="n">
        <v>180</v>
      </c>
      <c r="G21" t="n">
        <v>177.9</v>
      </c>
      <c r="H21" t="n">
        <v>125</v>
      </c>
      <c r="I21" t="n">
        <v>140</v>
      </c>
      <c r="J21" t="n">
        <v>132</v>
      </c>
      <c r="K21" t="n">
        <v>105</v>
      </c>
      <c r="L21" t="n">
        <v>121</v>
      </c>
      <c r="M21" t="n">
        <v>20.7</v>
      </c>
      <c r="N21" t="n">
        <v>2142</v>
      </c>
      <c r="O21" t="n">
        <v>0.93</v>
      </c>
      <c r="P21" t="n">
        <v>1983</v>
      </c>
      <c r="Q21" t="n">
        <v>242</v>
      </c>
      <c r="R21" t="n">
        <v>119</v>
      </c>
      <c r="S21" t="n">
        <v>53</v>
      </c>
      <c r="T21" t="n">
        <v>285</v>
      </c>
      <c r="U21" t="n">
        <v>46</v>
      </c>
      <c r="V21" t="n">
        <v>242</v>
      </c>
      <c r="W21" t="n">
        <v>0.852</v>
      </c>
      <c r="X21" t="n">
        <v>177</v>
      </c>
      <c r="Y21" t="n">
        <v>200</v>
      </c>
      <c r="Z21" t="n">
        <v>108</v>
      </c>
      <c r="AA21" t="n">
        <v>8</v>
      </c>
      <c r="AB21" t="n">
        <v>5.4</v>
      </c>
      <c r="AC21" t="inlineStr">
        <is>
          <t xml:space="preserve"> Resort Freeride</t>
        </is>
      </c>
      <c r="AD21" t="inlineStr">
        <is>
          <t xml:space="preserve"> Freeski</t>
        </is>
      </c>
      <c r="AE21" t="inlineStr">
        <is>
          <t xml:space="preserve"> Powder</t>
        </is>
      </c>
      <c r="AG21" t="inlineStr">
        <is>
          <t xml:space="preserve">Armada ARV 106 W/ Armada Warden Bindings Grey/ Orange / 180 / </t>
        </is>
      </c>
      <c r="AH21" t="inlineStr">
        <is>
          <t>Lone Pine Gear Exchange</t>
        </is>
      </c>
      <c r="AI21" s="333" t="n">
        <v>375</v>
      </c>
      <c r="AJ21" t="inlineStr">
        <is>
          <t>https://tinyurl.com/ybdknzxp</t>
        </is>
      </c>
      <c r="AK21" t="inlineStr">
        <is>
          <t>Armada ARV 106 Skis 2022</t>
        </is>
      </c>
      <c r="AL21" t="inlineStr">
        <is>
          <t>sunandski.com</t>
        </is>
      </c>
      <c r="AM21" s="333" t="n">
        <v>519.9299999999999</v>
      </c>
      <c r="AN21" t="inlineStr">
        <is>
          <t>https://tinyurl.com/yb46frc3</t>
        </is>
      </c>
      <c r="AO21" t="inlineStr">
        <is>
          <t>Armada ARV 106 Skis 2022</t>
        </is>
      </c>
      <c r="AP21" t="inlineStr">
        <is>
          <t>Powder7 Ski Shop</t>
        </is>
      </c>
      <c r="AQ21" s="333" t="n">
        <v>519.9299999999999</v>
      </c>
      <c r="AR21" t="inlineStr">
        <is>
          <t>https://tinyurl.com/yaqtvdzf</t>
        </is>
      </c>
      <c r="AS21" s="314">
        <f>IF(LEFT(C21,1)=" ",RIGHT(C21,LEN(C21)-1),C21)</f>
        <v/>
      </c>
      <c r="AT21" s="281">
        <f>_xlfn.CONCAT(B21,AS21,D21,E21)</f>
        <v/>
      </c>
    </row>
    <row r="22">
      <c r="A22" t="inlineStr">
        <is>
          <t>21/22</t>
        </is>
      </c>
      <c r="B22" t="inlineStr">
        <is>
          <t>4FRNT</t>
        </is>
      </c>
      <c r="C22" t="inlineStr">
        <is>
          <t xml:space="preserve"> Raven</t>
        </is>
      </c>
      <c r="D22" t="n">
        <v>184</v>
      </c>
      <c r="E22" t="inlineStr">
        <is>
          <t xml:space="preserve"> Unisex</t>
        </is>
      </c>
      <c r="F22" t="n">
        <v>184</v>
      </c>
      <c r="G22" t="n">
        <v>182.6</v>
      </c>
      <c r="H22" t="n">
        <v>0</v>
      </c>
      <c r="I22" t="n">
        <v>130</v>
      </c>
      <c r="J22" t="n">
        <v>121</v>
      </c>
      <c r="K22" t="n">
        <v>103</v>
      </c>
      <c r="L22" t="n">
        <v>111</v>
      </c>
      <c r="M22" t="n">
        <v>28.4</v>
      </c>
      <c r="N22" t="n">
        <v>1810</v>
      </c>
      <c r="O22" t="n">
        <v>1.09</v>
      </c>
      <c r="P22" t="n">
        <v>1969</v>
      </c>
      <c r="Q22" t="n">
        <v>221</v>
      </c>
      <c r="R22" t="n">
        <v>96</v>
      </c>
      <c r="S22" t="n">
        <v>67</v>
      </c>
      <c r="T22" t="n">
        <v>972</v>
      </c>
      <c r="U22" t="n">
        <v>26</v>
      </c>
      <c r="V22" t="n">
        <v>854</v>
      </c>
      <c r="W22" t="n">
        <v>0.393999999999999</v>
      </c>
      <c r="X22" t="n">
        <v>216</v>
      </c>
      <c r="Y22" t="n">
        <v>309</v>
      </c>
      <c r="Z22" t="n">
        <v>756</v>
      </c>
      <c r="AA22" t="n">
        <v>-7</v>
      </c>
      <c r="AB22" t="n">
        <v>5.9</v>
      </c>
      <c r="AC22" t="inlineStr">
        <is>
          <t xml:space="preserve"> Resort Freeride</t>
        </is>
      </c>
      <c r="AD22" t="inlineStr">
        <is>
          <t xml:space="preserve"> Powder</t>
        </is>
      </c>
      <c r="AE22" t="inlineStr">
        <is>
          <t xml:space="preserve"> Big Mountain</t>
        </is>
      </c>
      <c r="AF22" t="inlineStr">
        <is>
          <t xml:space="preserve"> Touring</t>
        </is>
      </c>
      <c r="AG22" t="inlineStr">
        <is>
          <t>4frnt Raven 184cm Snow Skis 4-lock All Mountain Touring No Bindings</t>
        </is>
      </c>
      <c r="AH22" t="inlineStr">
        <is>
          <t>eBay - ecornholebag</t>
        </is>
      </c>
      <c r="AI22" s="333" t="n">
        <v>649.99</v>
      </c>
      <c r="AJ22" t="inlineStr">
        <is>
          <t>https://tinyurl.com/y9t34gtk</t>
        </is>
      </c>
      <c r="AS22" s="314">
        <f>IF(LEFT(C22,1)=" ",RIGHT(C22,LEN(C22)-1),C22)</f>
        <v/>
      </c>
      <c r="AT22" s="281">
        <f>_xlfn.CONCAT(B22,AS22,D22,E22)</f>
        <v/>
      </c>
    </row>
    <row r="23">
      <c r="A23" t="inlineStr">
        <is>
          <t>21/22</t>
        </is>
      </c>
      <c r="B23" t="inlineStr">
        <is>
          <t xml:space="preserve"> Armada</t>
        </is>
      </c>
      <c r="C23" t="inlineStr">
        <is>
          <t>ARV 84</t>
        </is>
      </c>
      <c r="D23" t="n">
        <v>157</v>
      </c>
      <c r="E23" t="inlineStr">
        <is>
          <t xml:space="preserve"> Unisex</t>
        </is>
      </c>
      <c r="F23" t="n">
        <v>157</v>
      </c>
      <c r="G23" t="n">
        <v>155.4</v>
      </c>
      <c r="H23" t="n">
        <v>111</v>
      </c>
      <c r="I23" t="n">
        <v>128</v>
      </c>
      <c r="J23" t="n">
        <v>116</v>
      </c>
      <c r="K23" t="n">
        <v>84</v>
      </c>
      <c r="L23" t="n">
        <v>108</v>
      </c>
      <c r="M23" t="n">
        <v>13.3</v>
      </c>
      <c r="N23" t="n">
        <v>1533</v>
      </c>
      <c r="O23" t="n">
        <v>0.96</v>
      </c>
      <c r="P23" t="n">
        <v>1479</v>
      </c>
      <c r="Q23" t="n">
        <v>130</v>
      </c>
      <c r="R23" t="n">
        <v>47</v>
      </c>
      <c r="S23" t="n">
        <v>46</v>
      </c>
      <c r="T23" t="n">
        <v>248</v>
      </c>
      <c r="U23" t="n">
        <v>37</v>
      </c>
      <c r="V23" t="n">
        <v>192</v>
      </c>
      <c r="W23" t="n">
        <v>0.797999999999999</v>
      </c>
      <c r="X23" t="n">
        <v>144</v>
      </c>
      <c r="Y23" t="n">
        <v>126</v>
      </c>
      <c r="Z23" t="n">
        <v>104</v>
      </c>
      <c r="AA23" t="n">
        <v>8</v>
      </c>
      <c r="AB23" t="n">
        <v>6.8</v>
      </c>
      <c r="AC23" t="inlineStr">
        <is>
          <t xml:space="preserve"> Resort Freeride</t>
        </is>
      </c>
      <c r="AG23" t="inlineStr">
        <is>
          <t>Armada ARV 84 Ski 2022 - 157</t>
        </is>
      </c>
      <c r="AH23" t="inlineStr">
        <is>
          <t>UtahSkis</t>
        </is>
      </c>
      <c r="AI23" s="333" t="n">
        <v>279.96</v>
      </c>
      <c r="AJ23" t="inlineStr">
        <is>
          <t>https://tinyurl.com/yd2z9qdt</t>
        </is>
      </c>
      <c r="AK23" t="inlineStr">
        <is>
          <t>Armada Arv 84 Skis 2022 157cm</t>
        </is>
      </c>
      <c r="AL23" t="inlineStr">
        <is>
          <t>eBay</t>
        </is>
      </c>
      <c r="AM23" s="333" t="n">
        <v>315.99</v>
      </c>
      <c r="AN23" t="inlineStr">
        <is>
          <t>https://tinyurl.com/y7gl7r3t</t>
        </is>
      </c>
      <c r="AO23" t="inlineStr">
        <is>
          <t>Armada ARV 84 Ski 2022 - 157</t>
        </is>
      </c>
      <c r="AP23" t="inlineStr">
        <is>
          <t xml:space="preserve">Aspen East </t>
        </is>
      </c>
      <c r="AQ23" s="333" t="n">
        <v>349</v>
      </c>
      <c r="AR23" t="inlineStr">
        <is>
          <t>https://tinyurl.com/y89cyskw</t>
        </is>
      </c>
      <c r="AS23" s="314">
        <f>IF(LEFT(C23,1)=" ",RIGHT(C23,LEN(C23)-1),C23)</f>
        <v/>
      </c>
      <c r="AT23" s="281">
        <f>_xlfn.CONCAT(B23,AS23,D23,E23)</f>
        <v/>
      </c>
    </row>
    <row r="24">
      <c r="A24" t="inlineStr">
        <is>
          <t>21/22</t>
        </is>
      </c>
      <c r="B24" t="inlineStr">
        <is>
          <t xml:space="preserve"> Armada</t>
        </is>
      </c>
      <c r="C24" t="inlineStr">
        <is>
          <t>ARV 84</t>
        </is>
      </c>
      <c r="D24" t="n">
        <v>150</v>
      </c>
      <c r="E24" t="inlineStr">
        <is>
          <t xml:space="preserve"> Unisex</t>
        </is>
      </c>
      <c r="F24" t="n">
        <v>150</v>
      </c>
      <c r="G24" t="n">
        <v>148</v>
      </c>
      <c r="H24" t="n">
        <v>103</v>
      </c>
      <c r="I24" t="n">
        <v>122</v>
      </c>
      <c r="J24" t="n">
        <v>116</v>
      </c>
      <c r="K24" t="n">
        <v>84</v>
      </c>
      <c r="L24" t="n">
        <v>107</v>
      </c>
      <c r="M24" t="n">
        <v>12</v>
      </c>
      <c r="N24" t="n">
        <v>1466</v>
      </c>
      <c r="O24" t="n">
        <v>0.96</v>
      </c>
      <c r="P24" t="n">
        <v>1412</v>
      </c>
      <c r="Q24" t="n">
        <v>124</v>
      </c>
      <c r="R24" t="n">
        <v>45</v>
      </c>
      <c r="S24" t="n">
        <v>49</v>
      </c>
      <c r="T24" t="n">
        <v>256</v>
      </c>
      <c r="U24" t="n">
        <v>38</v>
      </c>
      <c r="V24" t="n">
        <v>198</v>
      </c>
      <c r="W24" t="n">
        <v>0.769</v>
      </c>
      <c r="X24" t="n">
        <v>138</v>
      </c>
      <c r="Y24" t="n">
        <v>121</v>
      </c>
      <c r="Z24" t="n">
        <v>118</v>
      </c>
      <c r="AA24" t="n">
        <v>7</v>
      </c>
      <c r="AB24" t="n">
        <v>5.8</v>
      </c>
      <c r="AC24" t="inlineStr">
        <is>
          <t xml:space="preserve"> Resort Freeride</t>
        </is>
      </c>
      <c r="AG24" t="inlineStr">
        <is>
          <t>Armada ARV 84 Ski 2022 - 150</t>
        </is>
      </c>
      <c r="AH24" t="inlineStr">
        <is>
          <t>evo.com</t>
        </is>
      </c>
      <c r="AI24" s="333" t="n">
        <v>279.96</v>
      </c>
      <c r="AJ24" t="inlineStr">
        <is>
          <t>https://tinyurl.com/y9w5rx23</t>
        </is>
      </c>
      <c r="AK24" t="inlineStr">
        <is>
          <t>Armada ARV 84 Ski 2022 - 150</t>
        </is>
      </c>
      <c r="AL24" t="inlineStr">
        <is>
          <t>Steep &amp; Cheap</t>
        </is>
      </c>
      <c r="AM24" s="333" t="n">
        <v>279.96</v>
      </c>
      <c r="AN24" t="inlineStr">
        <is>
          <t>https://tinyurl.com/ya3f9gqv</t>
        </is>
      </c>
      <c r="AO24" t="inlineStr">
        <is>
          <t>Armada ARV 84 Ski 2022 - 150</t>
        </is>
      </c>
      <c r="AP24" t="inlineStr">
        <is>
          <t>UtahSkis</t>
        </is>
      </c>
      <c r="AQ24" s="333" t="n">
        <v>279.96</v>
      </c>
      <c r="AR24" t="inlineStr">
        <is>
          <t>https://tinyurl.com/yawk9buu</t>
        </is>
      </c>
      <c r="AS24" s="314">
        <f>IF(LEFT(C24,1)=" ",RIGHT(C24,LEN(C24)-1),C24)</f>
        <v/>
      </c>
      <c r="AT24" s="281">
        <f>_xlfn.CONCAT(B24,AS24,D24,E24)</f>
        <v/>
      </c>
    </row>
    <row r="25">
      <c r="A25" t="inlineStr">
        <is>
          <t>21/22</t>
        </is>
      </c>
      <c r="B25" t="inlineStr">
        <is>
          <t xml:space="preserve"> Armada</t>
        </is>
      </c>
      <c r="C25" t="inlineStr">
        <is>
          <t>ARV 84</t>
        </is>
      </c>
      <c r="D25" t="n">
        <v>143</v>
      </c>
      <c r="E25" t="inlineStr">
        <is>
          <t xml:space="preserve"> Unisex</t>
        </is>
      </c>
      <c r="F25" t="n">
        <v>143</v>
      </c>
      <c r="G25" t="n">
        <v>140.9</v>
      </c>
      <c r="H25" t="n">
        <v>98</v>
      </c>
      <c r="I25" t="n">
        <v>116</v>
      </c>
      <c r="J25" t="n">
        <v>116</v>
      </c>
      <c r="K25" t="n">
        <v>84</v>
      </c>
      <c r="L25" t="n">
        <v>108</v>
      </c>
      <c r="M25" t="n">
        <v>10.5</v>
      </c>
      <c r="N25" t="n">
        <v>1373</v>
      </c>
      <c r="O25" t="n">
        <v>0.99</v>
      </c>
      <c r="P25" t="n">
        <v>1353</v>
      </c>
      <c r="Q25" t="n">
        <v>112</v>
      </c>
      <c r="R25" t="n">
        <v>43</v>
      </c>
      <c r="S25" t="n">
        <v>47</v>
      </c>
      <c r="T25" t="n">
        <v>245</v>
      </c>
      <c r="U25" t="n">
        <v>37</v>
      </c>
      <c r="V25" t="n">
        <v>189</v>
      </c>
      <c r="W25" t="n">
        <v>0.769</v>
      </c>
      <c r="X25" t="n">
        <v>130</v>
      </c>
      <c r="Y25" t="n">
        <v>114</v>
      </c>
      <c r="Z25" t="n">
        <v>115</v>
      </c>
      <c r="AA25" t="n">
        <v>5</v>
      </c>
      <c r="AB25" t="n">
        <v>9.1</v>
      </c>
      <c r="AC25" t="inlineStr">
        <is>
          <t xml:space="preserve"> Resort Freeride</t>
        </is>
      </c>
      <c r="AG25" t="inlineStr">
        <is>
          <t>Armada 2022 ARV 84 Ski 143</t>
        </is>
      </c>
      <c r="AH25" t="inlineStr">
        <is>
          <t>PRFO Sports</t>
        </is>
      </c>
      <c r="AI25" s="333" t="n">
        <v>275.08</v>
      </c>
      <c r="AJ25" t="inlineStr">
        <is>
          <t>https://tinyurl.com/yad74cxw</t>
        </is>
      </c>
      <c r="AK25" t="inlineStr">
        <is>
          <t>Armada - ARV 84 - 143 Short Blue</t>
        </is>
      </c>
      <c r="AL25" t="inlineStr">
        <is>
          <t>REI</t>
        </is>
      </c>
      <c r="AM25" s="333" t="n">
        <v>279.93</v>
      </c>
      <c r="AN25" t="inlineStr">
        <is>
          <t>https://tinyurl.com/ycujnrm9</t>
        </is>
      </c>
      <c r="AO25" t="inlineStr">
        <is>
          <t>Armada - ARV 84 - 143 Short Blue</t>
        </is>
      </c>
      <c r="AP25" t="inlineStr">
        <is>
          <t>evo.com</t>
        </is>
      </c>
      <c r="AQ25" s="333" t="n">
        <v>279.96</v>
      </c>
      <c r="AR25" t="inlineStr">
        <is>
          <t>https://tinyurl.com/ycderqlt</t>
        </is>
      </c>
      <c r="AS25" s="314">
        <f>IF(LEFT(C25,1)=" ",RIGHT(C25,LEN(C25)-1),C25)</f>
        <v/>
      </c>
      <c r="AT25" s="281">
        <f>_xlfn.CONCAT(B25,AS25,D25,E25)</f>
        <v/>
      </c>
    </row>
    <row r="26">
      <c r="A26" t="inlineStr">
        <is>
          <t>21/22</t>
        </is>
      </c>
      <c r="B26" t="inlineStr">
        <is>
          <t xml:space="preserve"> Armada</t>
        </is>
      </c>
      <c r="C26" t="inlineStr">
        <is>
          <t>ARV 106</t>
        </is>
      </c>
      <c r="D26" t="n">
        <v>188</v>
      </c>
      <c r="E26" t="inlineStr">
        <is>
          <t xml:space="preserve"> Unisex</t>
        </is>
      </c>
      <c r="F26" t="n">
        <v>188</v>
      </c>
      <c r="G26" t="n">
        <v>186.1</v>
      </c>
      <c r="H26" t="n">
        <v>131</v>
      </c>
      <c r="I26" t="n">
        <v>151</v>
      </c>
      <c r="J26" t="n">
        <v>136</v>
      </c>
      <c r="K26" t="n">
        <v>105</v>
      </c>
      <c r="L26" t="n">
        <v>124</v>
      </c>
      <c r="M26" t="n">
        <v>21.8</v>
      </c>
      <c r="N26" t="n">
        <v>2335</v>
      </c>
      <c r="O26" t="n">
        <v>0.9</v>
      </c>
      <c r="P26" t="n">
        <v>2091</v>
      </c>
      <c r="Q26" t="n">
        <v>263</v>
      </c>
      <c r="R26" t="n">
        <v>135</v>
      </c>
      <c r="S26" t="n">
        <v>56</v>
      </c>
      <c r="T26" t="n">
        <v>298</v>
      </c>
      <c r="U26" t="n">
        <v>46</v>
      </c>
      <c r="V26" t="n">
        <v>253</v>
      </c>
      <c r="W26" t="n">
        <v>0.823</v>
      </c>
      <c r="X26" t="n">
        <v>174</v>
      </c>
      <c r="Y26" t="n">
        <v>174</v>
      </c>
      <c r="Z26" t="n">
        <v>125</v>
      </c>
      <c r="AA26" t="n">
        <v>9</v>
      </c>
      <c r="AB26" t="n">
        <v>5.2</v>
      </c>
      <c r="AC26" t="inlineStr">
        <is>
          <t xml:space="preserve"> Resort Freeride</t>
        </is>
      </c>
      <c r="AD26" t="inlineStr">
        <is>
          <t xml:space="preserve"> Freeski</t>
        </is>
      </c>
      <c r="AE26" t="inlineStr">
        <is>
          <t xml:space="preserve"> Powder</t>
        </is>
      </c>
      <c r="AG26" t="inlineStr">
        <is>
          <t>Armada ARV 106 Skis - 2021</t>
        </is>
      </c>
      <c r="AH26" t="inlineStr">
        <is>
          <t>Erik's Bike, Board and Ski</t>
        </is>
      </c>
      <c r="AI26" s="333" t="n">
        <v>519.96</v>
      </c>
      <c r="AJ26" t="inlineStr">
        <is>
          <t>https://tinyurl.com/yc3hmt5m</t>
        </is>
      </c>
      <c r="AK26" t="inlineStr">
        <is>
          <t>Armada ARV 106 Skis</t>
        </is>
      </c>
      <c r="AL26" t="inlineStr">
        <is>
          <t>Cole Sport</t>
        </is>
      </c>
      <c r="AM26" s="333" t="n">
        <v>519.96</v>
      </c>
      <c r="AN26" t="inlineStr">
        <is>
          <t>https://tinyurl.com/ycn8fxkw</t>
        </is>
      </c>
      <c r="AO26" t="inlineStr">
        <is>
          <t>Armada ARV 106 Flat Ski 2020-2021 | GREY/BLUE / 188</t>
        </is>
      </c>
      <c r="AP26" t="inlineStr">
        <is>
          <t>Ski Pro  - Snow Ski &amp; Snowboard</t>
        </is>
      </c>
      <c r="AQ26" s="333" t="n">
        <v>549.95</v>
      </c>
      <c r="AR26" t="inlineStr">
        <is>
          <t>https://tinyurl.com/y8el7vuv</t>
        </is>
      </c>
      <c r="AS26" s="314">
        <f>IF(LEFT(C26,1)=" ",RIGHT(C26,LEN(C26)-1),C26)</f>
        <v/>
      </c>
      <c r="AT26" s="281">
        <f>_xlfn.CONCAT(B26,AS26,D26,E26)</f>
        <v/>
      </c>
    </row>
    <row r="27">
      <c r="A27" t="inlineStr">
        <is>
          <t>21/22</t>
        </is>
      </c>
      <c r="B27" t="inlineStr">
        <is>
          <t>4FRNT</t>
        </is>
      </c>
      <c r="C27" t="inlineStr">
        <is>
          <t xml:space="preserve"> Renegade</t>
        </is>
      </c>
      <c r="D27" t="n">
        <v>184</v>
      </c>
      <c r="E27" t="inlineStr">
        <is>
          <t xml:space="preserve"> Unisex</t>
        </is>
      </c>
      <c r="F27" t="n">
        <v>184</v>
      </c>
      <c r="G27" t="n">
        <v>182.2</v>
      </c>
      <c r="H27" t="n">
        <v>0</v>
      </c>
      <c r="I27" t="n">
        <v>131</v>
      </c>
      <c r="J27" t="n">
        <v>136</v>
      </c>
      <c r="K27" t="n">
        <v>122</v>
      </c>
      <c r="L27" t="n">
        <v>129</v>
      </c>
      <c r="M27" t="n">
        <v>31.2</v>
      </c>
      <c r="N27" t="n">
        <v>2031</v>
      </c>
      <c r="O27" t="n">
        <v>1.12</v>
      </c>
      <c r="P27" t="n">
        <v>2279</v>
      </c>
      <c r="Q27" t="n">
        <v>287</v>
      </c>
      <c r="R27" t="n">
        <v>124</v>
      </c>
      <c r="S27" t="n">
        <v>83</v>
      </c>
      <c r="T27" t="n">
        <v>968</v>
      </c>
      <c r="U27" t="n">
        <v>34</v>
      </c>
      <c r="V27" t="n">
        <v>854</v>
      </c>
      <c r="W27" t="n">
        <v>0.405</v>
      </c>
      <c r="X27" t="n">
        <v>238</v>
      </c>
      <c r="Y27" t="n">
        <v>276</v>
      </c>
      <c r="Z27" t="n">
        <v>730</v>
      </c>
      <c r="AA27" t="n">
        <v>-10</v>
      </c>
      <c r="AB27" t="n">
        <v>5.7</v>
      </c>
      <c r="AC27" t="inlineStr">
        <is>
          <t xml:space="preserve"> Powder</t>
        </is>
      </c>
      <c r="AD27" t="inlineStr">
        <is>
          <t xml:space="preserve"> Touring</t>
        </is>
      </c>
      <c r="AG27" t="inlineStr">
        <is>
          <t>4frnt Raven 184cm Snow Skis 4-lock All Mountain Touring No Bindings</t>
        </is>
      </c>
      <c r="AH27" t="inlineStr">
        <is>
          <t>eBay - ecornholebag</t>
        </is>
      </c>
      <c r="AI27" s="333" t="n">
        <v>649.99</v>
      </c>
      <c r="AJ27" t="inlineStr">
        <is>
          <t>https://tinyurl.com/y82vo9co</t>
        </is>
      </c>
      <c r="AS27" s="314">
        <f>IF(LEFT(C27,1)=" ",RIGHT(C27,LEN(C27)-1),C27)</f>
        <v/>
      </c>
      <c r="AT27" s="281">
        <f>_xlfn.CONCAT(B27,AS27,D27,E27)</f>
        <v/>
      </c>
    </row>
    <row r="28">
      <c r="A28" t="inlineStr">
        <is>
          <t>21/22</t>
        </is>
      </c>
      <c r="B28" t="inlineStr">
        <is>
          <t xml:space="preserve"> Scott</t>
        </is>
      </c>
      <c r="C28" t="inlineStr">
        <is>
          <t>Slight 93</t>
        </is>
      </c>
      <c r="D28" t="n">
        <v>180</v>
      </c>
      <c r="E28" t="inlineStr">
        <is>
          <t xml:space="preserve"> Unisex</t>
        </is>
      </c>
      <c r="F28" t="n">
        <v>180</v>
      </c>
      <c r="G28" t="n">
        <v>178.5</v>
      </c>
      <c r="H28" t="n">
        <v>139</v>
      </c>
      <c r="I28" t="n">
        <v>157</v>
      </c>
      <c r="J28" t="n">
        <v>137</v>
      </c>
      <c r="K28" t="n">
        <v>94</v>
      </c>
      <c r="L28" t="n">
        <v>124</v>
      </c>
      <c r="M28" t="n">
        <v>17</v>
      </c>
      <c r="N28" t="n">
        <v>1609</v>
      </c>
      <c r="O28" t="n">
        <v>1.19</v>
      </c>
      <c r="P28" t="n">
        <v>1921</v>
      </c>
      <c r="Q28" t="n">
        <v>242</v>
      </c>
      <c r="R28" t="n">
        <v>103</v>
      </c>
      <c r="S28" t="n">
        <v>56</v>
      </c>
      <c r="T28" t="n">
        <v>265</v>
      </c>
      <c r="U28" t="n">
        <v>19</v>
      </c>
      <c r="V28" t="n">
        <v>130</v>
      </c>
      <c r="W28" t="n">
        <v>0.337999999999999</v>
      </c>
      <c r="X28" t="n">
        <v>123</v>
      </c>
      <c r="Y28" t="n">
        <v>88</v>
      </c>
      <c r="Z28" t="n">
        <v>142</v>
      </c>
      <c r="AA28" t="n">
        <v>6</v>
      </c>
      <c r="AB28" t="n">
        <v>12.4</v>
      </c>
      <c r="AC28" t="inlineStr">
        <is>
          <t xml:space="preserve"> Resort Freeride</t>
        </is>
      </c>
      <c r="AD28" t="inlineStr">
        <is>
          <t xml:space="preserve"> Touring</t>
        </is>
      </c>
      <c r="AG28" t="inlineStr">
        <is>
          <t>Scott Sports Ski Slight 93 Set M11 Mens Skis - Multicolour</t>
        </is>
      </c>
      <c r="AH28" t="inlineStr">
        <is>
          <t>Bobleisure</t>
        </is>
      </c>
      <c r="AI28" s="333" t="n">
        <v>531.48</v>
      </c>
      <c r="AJ28" t="inlineStr">
        <is>
          <t>https://tinyurl.com/yc3eg3o6</t>
        </is>
      </c>
      <c r="AK28" t="inlineStr">
        <is>
          <t>Scott Sports Ski Slight 93 Set M11 Mens Skis - Multicolour</t>
        </is>
      </c>
      <c r="AL28" t="inlineStr">
        <is>
          <t>Surfdome US</t>
        </is>
      </c>
      <c r="AM28" s="333" t="n">
        <v>559.45</v>
      </c>
      <c r="AN28" t="inlineStr">
        <is>
          <t>https://tinyurl.com/y7fqr9rv</t>
        </is>
      </c>
      <c r="AO28" t="inlineStr">
        <is>
          <t>Scott Slight 93 Skis Â· 180 cm</t>
        </is>
      </c>
      <c r="AP28" t="inlineStr">
        <is>
          <t>Steep &amp; Cheap</t>
        </is>
      </c>
      <c r="AQ28" s="333" t="n">
        <v>639.96</v>
      </c>
      <c r="AR28" t="inlineStr">
        <is>
          <t>https://tinyurl.com/ycpnqdzp</t>
        </is>
      </c>
      <c r="AS28" s="314">
        <f>IF(LEFT(C28,1)=" ",RIGHT(C28,LEN(C28)-1),C28)</f>
        <v/>
      </c>
      <c r="AT28" s="281">
        <f>_xlfn.CONCAT(B28,AS28,D28,E28)</f>
        <v/>
      </c>
    </row>
    <row r="29">
      <c r="A29" t="inlineStr">
        <is>
          <t>21/22</t>
        </is>
      </c>
      <c r="B29" t="inlineStr">
        <is>
          <t xml:space="preserve"> Atomic</t>
        </is>
      </c>
      <c r="C29" t="inlineStr">
        <is>
          <t>Backland 107</t>
        </is>
      </c>
      <c r="D29" t="n">
        <v>182</v>
      </c>
      <c r="E29" t="inlineStr">
        <is>
          <t xml:space="preserve"> Unisex</t>
        </is>
      </c>
      <c r="F29" t="n">
        <v>182</v>
      </c>
      <c r="G29" t="n">
        <v>181.2</v>
      </c>
      <c r="H29" t="n">
        <v>121</v>
      </c>
      <c r="I29" t="n">
        <v>143</v>
      </c>
      <c r="J29" t="n">
        <v>136</v>
      </c>
      <c r="K29" t="n">
        <v>107</v>
      </c>
      <c r="L29" t="n">
        <v>123</v>
      </c>
      <c r="M29" t="n">
        <v>19.2</v>
      </c>
      <c r="N29" t="n">
        <v>1649</v>
      </c>
      <c r="O29" t="n">
        <v>1.27</v>
      </c>
      <c r="P29" t="n">
        <v>2094</v>
      </c>
      <c r="Q29" t="n">
        <v>190</v>
      </c>
      <c r="R29" t="n">
        <v>102</v>
      </c>
      <c r="S29" t="n">
        <v>47</v>
      </c>
      <c r="T29" t="n">
        <v>373</v>
      </c>
      <c r="U29" t="n">
        <v>16</v>
      </c>
      <c r="V29" t="n">
        <v>230</v>
      </c>
      <c r="W29" t="n">
        <v>0.347</v>
      </c>
      <c r="X29" t="n">
        <v>214</v>
      </c>
      <c r="Y29" t="n">
        <v>170</v>
      </c>
      <c r="Z29" t="n">
        <v>160</v>
      </c>
      <c r="AA29" t="n">
        <v>7</v>
      </c>
      <c r="AB29" t="n">
        <v>9.800000000000001</v>
      </c>
      <c r="AC29" t="inlineStr">
        <is>
          <t xml:space="preserve"> Big Mountain</t>
        </is>
      </c>
      <c r="AD29" t="inlineStr">
        <is>
          <t xml:space="preserve"> Touring</t>
        </is>
      </c>
      <c r="AE29" t="inlineStr">
        <is>
          <t xml:space="preserve"> Ultralight Touring</t>
        </is>
      </c>
      <c r="AG29" t="inlineStr">
        <is>
          <t>Atomic Backland 107</t>
        </is>
      </c>
      <c r="AH29" t="inlineStr">
        <is>
          <t>Gorham Bike and Ski</t>
        </is>
      </c>
      <c r="AI29" s="333" t="n">
        <v>489.99</v>
      </c>
      <c r="AJ29" t="inlineStr">
        <is>
          <t>https://tinyurl.com/y7kx3y5a</t>
        </is>
      </c>
      <c r="AK29" t="inlineStr">
        <is>
          <t>Atomic Backland 107</t>
        </is>
      </c>
      <c r="AL29" t="inlineStr">
        <is>
          <t>REI</t>
        </is>
      </c>
      <c r="AM29" s="333" t="n">
        <v>559.9299999999999</v>
      </c>
      <c r="AN29" t="inlineStr">
        <is>
          <t>https://tinyurl.com/y8z2onkf</t>
        </is>
      </c>
      <c r="AO29" t="inlineStr">
        <is>
          <t>Atomic Backland 107</t>
        </is>
      </c>
      <c r="AP29" t="inlineStr">
        <is>
          <t>Skimo &amp; SkyRun</t>
        </is>
      </c>
      <c r="AQ29" s="333" t="n">
        <v>559.96</v>
      </c>
      <c r="AR29" t="inlineStr">
        <is>
          <t>https://tinyurl.com/y74wv8hb</t>
        </is>
      </c>
      <c r="AS29" s="314">
        <f>IF(LEFT(C29,1)=" ",RIGHT(C29,LEN(C29)-1),C29)</f>
        <v/>
      </c>
      <c r="AT29" s="281">
        <f>_xlfn.CONCAT(B29,AS29,D29,E29)</f>
        <v/>
      </c>
    </row>
    <row r="30">
      <c r="A30" t="inlineStr">
        <is>
          <t>21/22</t>
        </is>
      </c>
      <c r="B30" t="inlineStr">
        <is>
          <t xml:space="preserve"> Head</t>
        </is>
      </c>
      <c r="C30" t="inlineStr">
        <is>
          <t>Kore 93</t>
        </is>
      </c>
      <c r="D30" t="n">
        <v>170</v>
      </c>
      <c r="E30" t="inlineStr">
        <is>
          <t xml:space="preserve"> Unisex</t>
        </is>
      </c>
      <c r="F30" t="n">
        <v>170</v>
      </c>
      <c r="G30" t="n">
        <v>169.7</v>
      </c>
      <c r="H30" t="n">
        <v>134</v>
      </c>
      <c r="I30" t="n">
        <v>140</v>
      </c>
      <c r="J30" t="n">
        <v>129</v>
      </c>
      <c r="K30" t="n">
        <v>90</v>
      </c>
      <c r="L30" t="n">
        <v>112</v>
      </c>
      <c r="M30" t="n">
        <v>14.6</v>
      </c>
      <c r="N30" t="n">
        <v>1582</v>
      </c>
      <c r="O30" t="n">
        <v>1.1</v>
      </c>
      <c r="P30" t="n">
        <v>1742</v>
      </c>
      <c r="Q30" t="n">
        <v>228</v>
      </c>
      <c r="R30" t="n">
        <v>101</v>
      </c>
      <c r="S30" t="n">
        <v>48</v>
      </c>
      <c r="T30" t="n">
        <v>217</v>
      </c>
      <c r="U30" t="n">
        <v>13</v>
      </c>
      <c r="V30" t="n">
        <v>142</v>
      </c>
      <c r="W30" t="n">
        <v>0.276999999999999</v>
      </c>
      <c r="X30" t="n">
        <v>145</v>
      </c>
      <c r="Y30" t="n">
        <v>153</v>
      </c>
      <c r="Z30" t="n">
        <v>71</v>
      </c>
      <c r="AA30" t="n">
        <v>6</v>
      </c>
      <c r="AB30" t="n">
        <v>10.3</v>
      </c>
      <c r="AC30" t="inlineStr">
        <is>
          <t xml:space="preserve"> Resort Freeride</t>
        </is>
      </c>
      <c r="AD30" t="inlineStr">
        <is>
          <t xml:space="preserve"> Touring</t>
        </is>
      </c>
      <c r="AG30" t="inlineStr">
        <is>
          <t xml:space="preserve"> Head Kore 93 Attack 11 162 Cm Downhill Ski Mens Combo</t>
        </is>
      </c>
      <c r="AH30" t="inlineStr">
        <is>
          <t>SidelineSwap</t>
        </is>
      </c>
      <c r="AI30" s="333" t="n">
        <v>349.99</v>
      </c>
      <c r="AJ30" t="inlineStr">
        <is>
          <t>https://tinyurl.com/ychagddt</t>
        </is>
      </c>
      <c r="AK30" t="inlineStr">
        <is>
          <t>Head Kore 93 Skis</t>
        </is>
      </c>
      <c r="AL30" t="inlineStr">
        <is>
          <t>Gorham Bike and Ski</t>
        </is>
      </c>
      <c r="AM30" s="333" t="n">
        <v>454.99</v>
      </c>
      <c r="AN30" t="inlineStr">
        <is>
          <t>https://tinyurl.com/y9o8e6op</t>
        </is>
      </c>
      <c r="AO30" t="inlineStr">
        <is>
          <t>Head Kore 93 Skis</t>
        </is>
      </c>
      <c r="AP30" t="inlineStr">
        <is>
          <t>SkiEssentials.com</t>
        </is>
      </c>
      <c r="AQ30" s="333" t="n">
        <v>489</v>
      </c>
      <c r="AR30" t="inlineStr">
        <is>
          <t>https://tinyurl.com/y7vveggr</t>
        </is>
      </c>
      <c r="AS30" s="314">
        <f>IF(LEFT(C30,1)=" ",RIGHT(C30,LEN(C30)-1),C30)</f>
        <v/>
      </c>
      <c r="AT30" s="281">
        <f>_xlfn.CONCAT(B30,AS30,D30,E30)</f>
        <v/>
      </c>
    </row>
    <row r="31">
      <c r="A31" t="inlineStr">
        <is>
          <t>21/22</t>
        </is>
      </c>
      <c r="B31" t="inlineStr">
        <is>
          <t xml:space="preserve"> Dynastar</t>
        </is>
      </c>
      <c r="C31" t="inlineStr">
        <is>
          <t>M-Pro 90</t>
        </is>
      </c>
      <c r="D31" t="n">
        <v>178</v>
      </c>
      <c r="E31" t="inlineStr">
        <is>
          <t xml:space="preserve"> Unisex</t>
        </is>
      </c>
      <c r="F31" t="n">
        <v>178</v>
      </c>
      <c r="G31" t="n">
        <v>177.3</v>
      </c>
      <c r="H31" t="n">
        <v>130</v>
      </c>
      <c r="I31" t="n">
        <v>147</v>
      </c>
      <c r="J31" t="n">
        <v>119</v>
      </c>
      <c r="K31" t="n">
        <v>88</v>
      </c>
      <c r="L31" t="n">
        <v>109</v>
      </c>
      <c r="M31" t="n">
        <v>18.3</v>
      </c>
      <c r="N31" t="n">
        <v>1765</v>
      </c>
      <c r="O31" t="n">
        <v>1</v>
      </c>
      <c r="P31" t="n">
        <v>1756</v>
      </c>
      <c r="Q31" t="n">
        <v>245</v>
      </c>
      <c r="R31" t="n">
        <v>97</v>
      </c>
      <c r="S31" t="n">
        <v>60</v>
      </c>
      <c r="T31" t="n">
        <v>325</v>
      </c>
      <c r="U31" t="n">
        <v>13</v>
      </c>
      <c r="V31" t="n">
        <v>147</v>
      </c>
      <c r="W31" t="n">
        <v>0.22</v>
      </c>
      <c r="X31" t="n">
        <v>187</v>
      </c>
      <c r="Y31" t="n">
        <v>119</v>
      </c>
      <c r="Z31" t="n">
        <v>137</v>
      </c>
      <c r="AA31" t="n">
        <v>7</v>
      </c>
      <c r="AB31" t="n">
        <v>11.9</v>
      </c>
      <c r="AC31" t="inlineStr">
        <is>
          <t xml:space="preserve"> Resort Freeride</t>
        </is>
      </c>
      <c r="AG31" t="inlineStr">
        <is>
          <t>Dynastar M-Pro 90 Skis 2022</t>
        </is>
      </c>
      <c r="AH31" t="inlineStr">
        <is>
          <t>Next Adventure</t>
        </is>
      </c>
      <c r="AI31" s="333" t="n">
        <v>419.97</v>
      </c>
      <c r="AJ31" t="inlineStr">
        <is>
          <t>https://tinyurl.com/y9rxgzbt</t>
        </is>
      </c>
      <c r="AK31" t="inlineStr">
        <is>
          <t>Dynastar M-PRO 90 178cm</t>
        </is>
      </c>
      <c r="AL31" t="inlineStr">
        <is>
          <t>Sundance Ski and Board Shop</t>
        </is>
      </c>
      <c r="AM31" s="333" t="n">
        <v>449.11</v>
      </c>
      <c r="AN31" t="inlineStr">
        <is>
          <t>https://tinyurl.com/ycyopta9</t>
        </is>
      </c>
      <c r="AO31" t="inlineStr">
        <is>
          <t>Dynastar M-Pro 90 Skis 2022</t>
        </is>
      </c>
      <c r="AP31" t="inlineStr">
        <is>
          <t>Level Nine Sports</t>
        </is>
      </c>
      <c r="AQ31" s="333" t="n">
        <v>479.96</v>
      </c>
      <c r="AR31" t="inlineStr">
        <is>
          <t>https://tinyurl.com/y88g6umk</t>
        </is>
      </c>
      <c r="AS31" s="314">
        <f>IF(LEFT(C31,1)=" ",RIGHT(C31,LEN(C31)-1),C31)</f>
        <v/>
      </c>
      <c r="AT31" s="281">
        <f>_xlfn.CONCAT(B31,AS31,D31,E31)</f>
        <v/>
      </c>
    </row>
    <row r="32">
      <c r="A32" t="inlineStr">
        <is>
          <t>21/22</t>
        </is>
      </c>
      <c r="B32" t="inlineStr">
        <is>
          <t xml:space="preserve"> Faction</t>
        </is>
      </c>
      <c r="C32" t="inlineStr">
        <is>
          <t>Agent 2.0</t>
        </is>
      </c>
      <c r="D32" t="n">
        <v>171</v>
      </c>
      <c r="E32" t="inlineStr">
        <is>
          <t xml:space="preserve"> Unisex</t>
        </is>
      </c>
      <c r="F32" t="n">
        <v>171</v>
      </c>
      <c r="G32" t="n">
        <v>169.4</v>
      </c>
      <c r="H32" t="n">
        <v>126</v>
      </c>
      <c r="I32" t="n">
        <v>143</v>
      </c>
      <c r="J32" t="n">
        <v>127</v>
      </c>
      <c r="K32" t="n">
        <v>95</v>
      </c>
      <c r="L32" t="n">
        <v>117</v>
      </c>
      <c r="M32" t="n">
        <v>17.6</v>
      </c>
      <c r="N32" t="n">
        <v>1566</v>
      </c>
      <c r="O32" t="n">
        <v>1.15</v>
      </c>
      <c r="P32" t="n">
        <v>1801</v>
      </c>
      <c r="Q32" t="n">
        <v>206</v>
      </c>
      <c r="R32" t="n">
        <v>96</v>
      </c>
      <c r="S32" t="n">
        <v>52</v>
      </c>
      <c r="T32" t="n">
        <v>247</v>
      </c>
      <c r="U32" t="n">
        <v>20</v>
      </c>
      <c r="V32" t="n">
        <v>186</v>
      </c>
      <c r="W32" t="n">
        <v>0.387999999999999</v>
      </c>
      <c r="X32" t="n">
        <v>161</v>
      </c>
      <c r="Y32" t="n">
        <v>107</v>
      </c>
      <c r="Z32" t="n">
        <v>86</v>
      </c>
      <c r="AA32" t="n">
        <v>6</v>
      </c>
      <c r="AB32" t="n">
        <v>11.4</v>
      </c>
      <c r="AC32" t="inlineStr">
        <is>
          <t xml:space="preserve"> Resort Freeride</t>
        </is>
      </c>
      <c r="AD32" t="inlineStr">
        <is>
          <t xml:space="preserve"> Touring</t>
        </is>
      </c>
      <c r="AG32" t="inlineStr">
        <is>
          <t>Faction Agent 2.0 Skis</t>
        </is>
      </c>
      <c r="AH32" t="inlineStr">
        <is>
          <t>Gorham Bike and Ski</t>
        </is>
      </c>
      <c r="AI32" s="333" t="n">
        <v>489.99</v>
      </c>
      <c r="AJ32" t="inlineStr">
        <is>
          <t>https://tinyurl.com/y7gqsrfn</t>
        </is>
      </c>
      <c r="AK32" t="inlineStr">
        <is>
          <t>Faction Agent 2.0 Skis</t>
        </is>
      </c>
      <c r="AL32" t="inlineStr">
        <is>
          <t>Telemark Pyrenees</t>
        </is>
      </c>
      <c r="AM32" s="333" t="n">
        <v>504.17</v>
      </c>
      <c r="AN32" t="inlineStr">
        <is>
          <t>https://tinyurl.com/y958hty9</t>
        </is>
      </c>
      <c r="AO32" t="inlineStr">
        <is>
          <t>Faction Agent 2.0 21/22</t>
        </is>
      </c>
      <c r="AP32" t="inlineStr">
        <is>
          <t>PRFO Sports</t>
        </is>
      </c>
      <c r="AQ32" s="333" t="n">
        <v>544.55</v>
      </c>
      <c r="AR32" t="inlineStr">
        <is>
          <t>https://tinyurl.com/y8gdyg6z</t>
        </is>
      </c>
      <c r="AS32" s="314">
        <f>IF(LEFT(C32,1)=" ",RIGHT(C32,LEN(C32)-1),C32)</f>
        <v/>
      </c>
      <c r="AT32" s="281">
        <f>_xlfn.CONCAT(B32,AS32,D32,E32)</f>
        <v/>
      </c>
    </row>
    <row r="33">
      <c r="A33" t="inlineStr">
        <is>
          <t>21/22</t>
        </is>
      </c>
      <c r="B33" t="inlineStr">
        <is>
          <t xml:space="preserve"> Line</t>
        </is>
      </c>
      <c r="C33" t="inlineStr">
        <is>
          <t>Vision 98</t>
        </is>
      </c>
      <c r="D33" t="n">
        <v>186</v>
      </c>
      <c r="E33" t="inlineStr">
        <is>
          <t xml:space="preserve"> Unisex</t>
        </is>
      </c>
      <c r="F33" t="n">
        <v>186</v>
      </c>
      <c r="G33" t="n">
        <v>185.2</v>
      </c>
      <c r="H33" t="n">
        <v>112</v>
      </c>
      <c r="I33" t="n">
        <v>151</v>
      </c>
      <c r="J33" t="n">
        <v>130</v>
      </c>
      <c r="K33" t="n">
        <v>97</v>
      </c>
      <c r="L33" t="n">
        <v>117</v>
      </c>
      <c r="M33" t="n">
        <v>19.8</v>
      </c>
      <c r="N33" t="n">
        <v>1531</v>
      </c>
      <c r="O33" t="n">
        <v>1.29</v>
      </c>
      <c r="P33" t="n">
        <v>1982</v>
      </c>
      <c r="Q33" t="n">
        <v>202</v>
      </c>
      <c r="R33" t="n">
        <v>88</v>
      </c>
      <c r="S33" t="n">
        <v>52</v>
      </c>
      <c r="T33" t="n">
        <v>383</v>
      </c>
      <c r="U33" t="n">
        <v>35</v>
      </c>
      <c r="V33" t="n">
        <v>349</v>
      </c>
      <c r="W33" t="n">
        <v>0.665</v>
      </c>
      <c r="X33" t="n">
        <v>168</v>
      </c>
      <c r="Y33" t="n">
        <v>176</v>
      </c>
      <c r="Z33" t="n">
        <v>215</v>
      </c>
      <c r="AA33" t="n">
        <v>5</v>
      </c>
      <c r="AB33" t="n">
        <v>6.6</v>
      </c>
      <c r="AC33" t="inlineStr">
        <is>
          <t xml:space="preserve"> Touring</t>
        </is>
      </c>
      <c r="AD33" t="inlineStr">
        <is>
          <t xml:space="preserve"> Ultralight Touring</t>
        </is>
      </c>
      <c r="AG33" t="inlineStr">
        <is>
          <t>Line Vision 98 Skis 2022</t>
        </is>
      </c>
      <c r="AH33" t="inlineStr">
        <is>
          <t>Snowcountry.eu</t>
        </is>
      </c>
      <c r="AI33" s="333" t="n">
        <v>395.57</v>
      </c>
      <c r="AJ33" t="inlineStr">
        <is>
          <t>https://tinyurl.com/y97plko4</t>
        </is>
      </c>
      <c r="AK33" t="inlineStr">
        <is>
          <t>Line Vision 98 Skis 2022</t>
        </is>
      </c>
      <c r="AL33" t="inlineStr">
        <is>
          <t>! OutdoorXL.com</t>
        </is>
      </c>
      <c r="AM33" s="333" t="n">
        <v>424.95</v>
      </c>
      <c r="AN33" t="inlineStr">
        <is>
          <t>https://tinyurl.com/y79fkxed</t>
        </is>
      </c>
      <c r="AO33" t="inlineStr">
        <is>
          <t>Line Vision 98 Skis 2022</t>
        </is>
      </c>
      <c r="AP33" t="inlineStr">
        <is>
          <t>Surfdome US</t>
        </is>
      </c>
      <c r="AQ33" s="333" t="n">
        <v>455.95</v>
      </c>
      <c r="AR33" t="inlineStr">
        <is>
          <t>https://tinyurl.com/yb57dhst</t>
        </is>
      </c>
      <c r="AS33" s="314">
        <f>IF(LEFT(C33,1)=" ",RIGHT(C33,LEN(C33)-1),C33)</f>
        <v/>
      </c>
      <c r="AT33" s="281">
        <f>_xlfn.CONCAT(B33,AS33,D33,E33)</f>
        <v/>
      </c>
    </row>
    <row r="34">
      <c r="A34" t="inlineStr">
        <is>
          <t>21/22</t>
        </is>
      </c>
      <c r="B34" t="inlineStr">
        <is>
          <t xml:space="preserve"> Dynastar</t>
        </is>
      </c>
      <c r="C34" t="inlineStr">
        <is>
          <t>M-Pro 99 W</t>
        </is>
      </c>
      <c r="D34" t="n">
        <v>170</v>
      </c>
      <c r="E34" t="inlineStr">
        <is>
          <t xml:space="preserve"> Women's</t>
        </is>
      </c>
      <c r="F34" t="n">
        <v>170</v>
      </c>
      <c r="G34" t="n">
        <v>169.6</v>
      </c>
      <c r="H34" t="n">
        <v>122</v>
      </c>
      <c r="I34" t="n">
        <v>139</v>
      </c>
      <c r="J34" t="n">
        <v>125</v>
      </c>
      <c r="K34" t="n">
        <v>96</v>
      </c>
      <c r="L34" t="n">
        <v>114</v>
      </c>
      <c r="M34" t="n">
        <v>17.3</v>
      </c>
      <c r="N34" t="n">
        <v>1768</v>
      </c>
      <c r="O34" t="n">
        <v>1.01</v>
      </c>
      <c r="P34" t="n">
        <v>1789</v>
      </c>
      <c r="Q34" t="n">
        <v>227</v>
      </c>
      <c r="R34" t="n">
        <v>99</v>
      </c>
      <c r="S34" t="n">
        <v>60</v>
      </c>
      <c r="T34" t="n">
        <v>325</v>
      </c>
      <c r="U34" t="n">
        <v>14</v>
      </c>
      <c r="V34" t="n">
        <v>148</v>
      </c>
      <c r="W34" t="n">
        <v>0.228999999999999</v>
      </c>
      <c r="X34" t="n">
        <v>199</v>
      </c>
      <c r="Y34" t="n">
        <v>107</v>
      </c>
      <c r="Z34" t="n">
        <v>126</v>
      </c>
      <c r="AA34" t="n">
        <v>9</v>
      </c>
      <c r="AB34" t="n">
        <v>11.6</v>
      </c>
      <c r="AC34" t="inlineStr">
        <is>
          <t xml:space="preserve"> Resort Freeride</t>
        </is>
      </c>
      <c r="AG34" t="inlineStr">
        <is>
          <t>Dynastar M-Pro 99 W Skis Women's 2022 - 170</t>
        </is>
      </c>
      <c r="AH34" t="inlineStr">
        <is>
          <t>Snowcountry.eu</t>
        </is>
      </c>
      <c r="AI34" s="333" t="n">
        <v>414</v>
      </c>
      <c r="AJ34" t="inlineStr">
        <is>
          <t>https://tinyurl.com/ycv22qne</t>
        </is>
      </c>
      <c r="AK34" t="inlineStr">
        <is>
          <t>Dynastar M-Pro 99 W Skis Women's 2022 - 170</t>
        </is>
      </c>
      <c r="AL34" t="inlineStr">
        <is>
          <t>Next Adventure</t>
        </is>
      </c>
      <c r="AM34" s="333" t="n">
        <v>489.97</v>
      </c>
      <c r="AN34" t="inlineStr">
        <is>
          <t>https://tinyurl.com/yddgcedt</t>
        </is>
      </c>
      <c r="AO34" t="inlineStr">
        <is>
          <t>Dynastar M-Pro 99 W Skis Women's 2022 - 170</t>
        </is>
      </c>
      <c r="AP34" t="inlineStr">
        <is>
          <t>Backcountry.com</t>
        </is>
      </c>
      <c r="AQ34" s="333" t="n">
        <v>524.96</v>
      </c>
      <c r="AR34" t="inlineStr">
        <is>
          <t>https://tinyurl.com/y9p4k2pp</t>
        </is>
      </c>
      <c r="AS34" s="314">
        <f>IF(LEFT(C34,1)=" ",RIGHT(C34,LEN(C34)-1),C34)</f>
        <v/>
      </c>
      <c r="AT34" s="281">
        <f>_xlfn.CONCAT(B34,AS34,D34,E34)</f>
        <v/>
      </c>
    </row>
    <row r="35">
      <c r="A35" t="inlineStr">
        <is>
          <t>21/22</t>
        </is>
      </c>
      <c r="B35" t="inlineStr">
        <is>
          <t xml:space="preserve"> Stï¿½ckli</t>
        </is>
      </c>
      <c r="C35" t="inlineStr">
        <is>
          <t>Edge 88</t>
        </is>
      </c>
      <c r="D35" t="n">
        <v>174</v>
      </c>
      <c r="E35" t="inlineStr">
        <is>
          <t xml:space="preserve"> Unisex</t>
        </is>
      </c>
      <c r="F35" t="n">
        <v>174</v>
      </c>
      <c r="G35" t="n">
        <v>173.1</v>
      </c>
      <c r="H35" t="n">
        <v>145</v>
      </c>
      <c r="I35" t="n">
        <v>153</v>
      </c>
      <c r="J35" t="n">
        <v>123</v>
      </c>
      <c r="K35" t="n">
        <v>87</v>
      </c>
      <c r="L35" t="n">
        <v>110</v>
      </c>
      <c r="M35" t="n">
        <v>19.1</v>
      </c>
      <c r="N35" t="n">
        <v>1613</v>
      </c>
      <c r="O35" t="n">
        <v>1.05</v>
      </c>
      <c r="P35" t="n">
        <v>1697</v>
      </c>
      <c r="Q35" t="n">
        <v>206</v>
      </c>
      <c r="R35" t="n">
        <v>106</v>
      </c>
      <c r="S35" t="n">
        <v>44</v>
      </c>
      <c r="T35" t="n">
        <v>204</v>
      </c>
      <c r="U35" t="n">
        <v>8</v>
      </c>
      <c r="V35" t="n">
        <v>74</v>
      </c>
      <c r="W35" t="n">
        <v>0.186</v>
      </c>
      <c r="X35" t="n">
        <v>141</v>
      </c>
      <c r="Y35" t="n">
        <v>59</v>
      </c>
      <c r="Z35" t="n">
        <v>63</v>
      </c>
      <c r="AA35" t="n">
        <v>7</v>
      </c>
      <c r="AB35" t="n">
        <v>13.5</v>
      </c>
      <c r="AC35" t="inlineStr">
        <is>
          <t xml:space="preserve"> Resort Freeride</t>
        </is>
      </c>
      <c r="AD35" t="inlineStr">
        <is>
          <t xml:space="preserve"> Touring</t>
        </is>
      </c>
      <c r="AG35" t="inlineStr">
        <is>
          <t>Stockli Edge 88 Skis 2020/2021</t>
        </is>
      </c>
      <c r="AH35" t="inlineStr">
        <is>
          <t>Powder7 Ski Shop</t>
        </is>
      </c>
      <c r="AI35" s="333" t="n">
        <v>1099</v>
      </c>
      <c r="AJ35" t="inlineStr">
        <is>
          <t>https://tinyurl.com/y9zs8qg5</t>
        </is>
      </c>
      <c r="AK35" t="inlineStr">
        <is>
          <t>Stockli Edge 88 Skis 2023 174</t>
        </is>
      </c>
      <c r="AL35" t="inlineStr">
        <is>
          <t>Ski Depot RaceSkis.com</t>
        </is>
      </c>
      <c r="AM35" s="333" t="n">
        <v>1149</v>
      </c>
      <c r="AN35" t="inlineStr">
        <is>
          <t>https://tinyurl.com/yd8kxdss</t>
        </is>
      </c>
      <c r="AS35" s="314">
        <f>IF(LEFT(C35,1)=" ",RIGHT(C35,LEN(C35)-1),C35)</f>
        <v/>
      </c>
      <c r="AT35" s="281">
        <f>_xlfn.CONCAT(B35,AS35,D35,E35)</f>
        <v/>
      </c>
    </row>
    <row r="36">
      <c r="A36" t="inlineStr">
        <is>
          <t>21/22</t>
        </is>
      </c>
      <c r="B36" t="inlineStr">
        <is>
          <t xml:space="preserve"> Liberty</t>
        </is>
      </c>
      <c r="C36" t="inlineStr">
        <is>
          <t>Evolv 100</t>
        </is>
      </c>
      <c r="D36" t="n">
        <v>172</v>
      </c>
      <c r="E36" t="inlineStr">
        <is>
          <t xml:space="preserve"> Unisex</t>
        </is>
      </c>
      <c r="F36" t="n">
        <v>172</v>
      </c>
      <c r="G36" t="n">
        <v>171.4</v>
      </c>
      <c r="H36" t="n">
        <v>139</v>
      </c>
      <c r="I36" t="n">
        <v>150</v>
      </c>
      <c r="J36" t="n">
        <v>137</v>
      </c>
      <c r="K36" t="n">
        <v>99</v>
      </c>
      <c r="L36" t="n">
        <v>121</v>
      </c>
      <c r="M36" t="n">
        <v>17.6</v>
      </c>
      <c r="N36" t="n">
        <v>1830</v>
      </c>
      <c r="O36" t="n">
        <v>1.04</v>
      </c>
      <c r="P36" t="n">
        <v>1898</v>
      </c>
      <c r="Q36" t="n">
        <v>211</v>
      </c>
      <c r="R36" t="n">
        <v>102</v>
      </c>
      <c r="S36" t="n">
        <v>38</v>
      </c>
      <c r="T36" t="n">
        <v>223</v>
      </c>
      <c r="U36" t="n">
        <v>10</v>
      </c>
      <c r="V36" t="n">
        <v>103</v>
      </c>
      <c r="W36" t="n">
        <v>0.256</v>
      </c>
      <c r="X36" t="n">
        <v>125</v>
      </c>
      <c r="Y36" t="n">
        <v>85</v>
      </c>
      <c r="Z36" t="n">
        <v>98</v>
      </c>
      <c r="AA36" t="n">
        <v>10</v>
      </c>
      <c r="AB36" t="n">
        <v>11</v>
      </c>
      <c r="AC36" t="inlineStr">
        <is>
          <t xml:space="preserve"> Resort Freeride</t>
        </is>
      </c>
      <c r="AG36" t="inlineStr">
        <is>
          <t>2022 Liberty Evolv 100 Skis - 172| Ski Essentials</t>
        </is>
      </c>
      <c r="AH36" t="inlineStr">
        <is>
          <t>REI</t>
        </is>
      </c>
      <c r="AI36" s="333" t="n">
        <v>523.9299999999999</v>
      </c>
      <c r="AJ36" t="inlineStr">
        <is>
          <t>https://tinyurl.com/ybmv9tqe</t>
        </is>
      </c>
      <c r="AK36" t="inlineStr">
        <is>
          <t>Evolv 100 172</t>
        </is>
      </c>
      <c r="AL36" t="inlineStr">
        <is>
          <t>Liberty Skis</t>
        </is>
      </c>
      <c r="AM36" s="333" t="n">
        <v>525</v>
      </c>
      <c r="AN36" t="inlineStr">
        <is>
          <t>https://tinyurl.com/y7pftw2x</t>
        </is>
      </c>
      <c r="AO36" t="inlineStr">
        <is>
          <t>2021 Liberty Evolv100 Skis W/ Marker 11.0 Tp Bindings 172 Cm</t>
        </is>
      </c>
      <c r="AP36" t="inlineStr">
        <is>
          <t>eBay</t>
        </is>
      </c>
      <c r="AQ36" s="333" t="n">
        <v>499.99</v>
      </c>
      <c r="AR36" t="inlineStr">
        <is>
          <t>https://tinyurl.com/yaggpksr</t>
        </is>
      </c>
      <c r="AS36" s="314">
        <f>IF(LEFT(C36,1)=" ",RIGHT(C36,LEN(C36)-1),C36)</f>
        <v/>
      </c>
      <c r="AT36" s="281">
        <f>_xlfn.CONCAT(B36,AS36,D36,E36)</f>
        <v/>
      </c>
    </row>
    <row r="37">
      <c r="A37" t="inlineStr">
        <is>
          <t>22/23</t>
        </is>
      </c>
      <c r="B37" t="inlineStr">
        <is>
          <t xml:space="preserve"> DPS</t>
        </is>
      </c>
      <c r="C37" t="inlineStr">
        <is>
          <t>Pagoda Tour 94</t>
        </is>
      </c>
      <c r="D37" t="n">
        <v>178</v>
      </c>
      <c r="E37" t="inlineStr">
        <is>
          <t xml:space="preserve"> Unisex</t>
        </is>
      </c>
      <c r="F37" t="n">
        <v>178</v>
      </c>
      <c r="G37" t="n">
        <v>176.2</v>
      </c>
      <c r="H37" t="n">
        <v>130</v>
      </c>
      <c r="I37" t="n">
        <v>146</v>
      </c>
      <c r="J37" t="n">
        <v>131</v>
      </c>
      <c r="K37" t="n">
        <v>94</v>
      </c>
      <c r="L37" t="n">
        <v>111</v>
      </c>
      <c r="M37" t="n">
        <v>18.9</v>
      </c>
      <c r="N37" t="n">
        <v>1372</v>
      </c>
      <c r="O37" t="n">
        <v>1.35</v>
      </c>
      <c r="P37" t="n">
        <v>1846</v>
      </c>
      <c r="Q37" t="n">
        <v>227</v>
      </c>
      <c r="R37" t="n">
        <v>101</v>
      </c>
      <c r="S37" t="n">
        <v>53</v>
      </c>
      <c r="T37" t="n">
        <v>269</v>
      </c>
      <c r="U37" t="n">
        <v>23</v>
      </c>
      <c r="V37" t="n">
        <v>189</v>
      </c>
      <c r="W37" t="n">
        <v>0.437</v>
      </c>
      <c r="X37" t="n">
        <v>143</v>
      </c>
      <c r="Y37" t="n">
        <v>159</v>
      </c>
      <c r="Z37" t="n">
        <v>125</v>
      </c>
      <c r="AA37" t="n">
        <v>6</v>
      </c>
      <c r="AB37" t="n">
        <v>10.8</v>
      </c>
      <c r="AC37" t="inlineStr">
        <is>
          <t xml:space="preserve"> Touring</t>
        </is>
      </c>
      <c r="AD37" t="inlineStr">
        <is>
          <t xml:space="preserve"> Ultralight Touring</t>
        </is>
      </c>
      <c r="AG37" t="inlineStr">
        <is>
          <t>DPS Pagoda Tour 94 C2 Skis Â· 178 cm</t>
        </is>
      </c>
      <c r="AH37" t="inlineStr">
        <is>
          <t>Backcountry.com</t>
        </is>
      </c>
      <c r="AI37" s="333" t="n">
        <v>1039.2</v>
      </c>
      <c r="AJ37" t="inlineStr">
        <is>
          <t>https://tinyurl.com/ya2mhmv6</t>
        </is>
      </c>
      <c r="AK37" t="inlineStr">
        <is>
          <t>DPS Pagoda Tour 94 C2 Skis Â· 178 cm</t>
        </is>
      </c>
      <c r="AL37" t="inlineStr">
        <is>
          <t>Steep &amp; Cheap</t>
        </is>
      </c>
      <c r="AM37" s="333" t="n">
        <v>1039.2</v>
      </c>
      <c r="AN37" t="inlineStr">
        <is>
          <t>https://tinyurl.com/yc7dq2c6</t>
        </is>
      </c>
      <c r="AO37" t="inlineStr">
        <is>
          <t>DPS Pagoda Tour 94 C2 Skis Â· 178 cm</t>
        </is>
      </c>
      <c r="AP37" t="inlineStr">
        <is>
          <t>Skimo &amp; SkyRun</t>
        </is>
      </c>
      <c r="AQ37" s="333" t="n">
        <v>1098.95</v>
      </c>
      <c r="AR37" t="inlineStr">
        <is>
          <t>https://tinyurl.com/y9rhohgw</t>
        </is>
      </c>
      <c r="AS37" s="314">
        <f>IF(LEFT(C37,1)=" ",RIGHT(C37,LEN(C37)-1),C37)</f>
        <v/>
      </c>
      <c r="AT37" s="281">
        <f>_xlfn.CONCAT(B37,AS37,D37,E37)</f>
        <v/>
      </c>
    </row>
    <row r="38">
      <c r="A38" t="inlineStr">
        <is>
          <t>21/22</t>
        </is>
      </c>
      <c r="B38" t="inlineStr">
        <is>
          <t xml:space="preserve"> Armada</t>
        </is>
      </c>
      <c r="C38" t="inlineStr">
        <is>
          <t>ARW 106 UL</t>
        </is>
      </c>
      <c r="D38" t="n">
        <v>172</v>
      </c>
      <c r="E38" t="inlineStr">
        <is>
          <t xml:space="preserve"> Women's</t>
        </is>
      </c>
      <c r="F38" t="n">
        <v>172</v>
      </c>
      <c r="G38" t="n">
        <v>170.1</v>
      </c>
      <c r="H38" t="n">
        <v>119</v>
      </c>
      <c r="I38" t="n">
        <v>137</v>
      </c>
      <c r="J38" t="n">
        <v>133</v>
      </c>
      <c r="K38" t="n">
        <v>105</v>
      </c>
      <c r="L38" t="n">
        <v>122</v>
      </c>
      <c r="M38" t="n">
        <v>19.3</v>
      </c>
      <c r="N38" t="n">
        <v>1762</v>
      </c>
      <c r="O38" t="n">
        <v>1.09</v>
      </c>
      <c r="P38" t="n">
        <v>1917</v>
      </c>
      <c r="Q38" t="n">
        <v>200</v>
      </c>
      <c r="R38" t="n">
        <v>97</v>
      </c>
      <c r="S38" t="n">
        <v>54</v>
      </c>
      <c r="T38" t="n">
        <v>275</v>
      </c>
      <c r="U38" t="n">
        <v>44</v>
      </c>
      <c r="V38" t="n">
        <v>241</v>
      </c>
      <c r="W38" t="n">
        <v>0.823</v>
      </c>
      <c r="X38" t="n">
        <v>146</v>
      </c>
      <c r="Y38" t="n">
        <v>180</v>
      </c>
      <c r="Z38" t="n">
        <v>129</v>
      </c>
      <c r="AA38" t="n">
        <v>7</v>
      </c>
      <c r="AB38" t="n">
        <v>6.1</v>
      </c>
      <c r="AC38" t="inlineStr">
        <is>
          <t xml:space="preserve"> Resort Freeride</t>
        </is>
      </c>
      <c r="AD38" t="inlineStr">
        <is>
          <t xml:space="preserve"> Freeski</t>
        </is>
      </c>
      <c r="AE38" t="inlineStr">
        <is>
          <t xml:space="preserve"> Powder</t>
        </is>
      </c>
      <c r="AF38" t="inlineStr">
        <is>
          <t xml:space="preserve"> Touring</t>
        </is>
      </c>
      <c r="AG38" t="inlineStr">
        <is>
          <t>Armada ARW 106 UL Skis - Women's 2022</t>
        </is>
      </c>
      <c r="AH38" t="inlineStr">
        <is>
          <t>Powder7 Ski Shop</t>
        </is>
      </c>
      <c r="AI38" s="333" t="n">
        <v>559.9299999999999</v>
      </c>
      <c r="AJ38" t="inlineStr">
        <is>
          <t>https://tinyurl.com/y8j3q2g4</t>
        </is>
      </c>
      <c r="AK38" t="inlineStr">
        <is>
          <t>Armada ARW 106 UL Skis - Women's 2022</t>
        </is>
      </c>
      <c r="AL38" t="inlineStr">
        <is>
          <t>Next Adventure</t>
        </is>
      </c>
      <c r="AM38" s="333" t="n">
        <v>559.96</v>
      </c>
      <c r="AN38" t="inlineStr">
        <is>
          <t>https://tinyurl.com/y7yhemju</t>
        </is>
      </c>
      <c r="AO38" t="inlineStr">
        <is>
          <t>Armada ARW 106 UL Skis - Women's 2022</t>
        </is>
      </c>
      <c r="AP38" t="inlineStr">
        <is>
          <t>evo.com</t>
        </is>
      </c>
      <c r="AQ38" s="333" t="n">
        <v>559.96</v>
      </c>
      <c r="AR38" t="inlineStr">
        <is>
          <t>https://tinyurl.com/y8rmo2wr</t>
        </is>
      </c>
      <c r="AS38" s="314">
        <f>IF(LEFT(C38,1)=" ",RIGHT(C38,LEN(C38)-1),C38)</f>
        <v/>
      </c>
      <c r="AT38" s="281">
        <f>_xlfn.CONCAT(B38,AS38,D38,E38)</f>
        <v/>
      </c>
    </row>
    <row r="39">
      <c r="A39" t="inlineStr">
        <is>
          <t>21/22</t>
        </is>
      </c>
      <c r="B39" t="inlineStr">
        <is>
          <t xml:space="preserve"> DPS</t>
        </is>
      </c>
      <c r="C39" t="inlineStr">
        <is>
          <t>Pagoda Tour 100 RP</t>
        </is>
      </c>
      <c r="D39" t="n">
        <v>179</v>
      </c>
      <c r="E39" t="inlineStr">
        <is>
          <t xml:space="preserve"> Unisex</t>
        </is>
      </c>
      <c r="F39" t="n">
        <v>179</v>
      </c>
      <c r="G39" t="n">
        <v>177.4</v>
      </c>
      <c r="H39" t="n">
        <v>115</v>
      </c>
      <c r="I39" t="n">
        <v>132</v>
      </c>
      <c r="J39" t="n">
        <v>132</v>
      </c>
      <c r="K39" t="n">
        <v>99</v>
      </c>
      <c r="L39" t="n">
        <v>117</v>
      </c>
      <c r="M39" t="n">
        <v>15</v>
      </c>
      <c r="N39" t="n">
        <v>1545</v>
      </c>
      <c r="O39" t="n">
        <v>1.27</v>
      </c>
      <c r="P39" t="n">
        <v>1968</v>
      </c>
      <c r="Q39" t="n">
        <v>235</v>
      </c>
      <c r="R39" t="n">
        <v>111</v>
      </c>
      <c r="S39" t="n">
        <v>62</v>
      </c>
      <c r="T39" t="n">
        <v>354</v>
      </c>
      <c r="U39" t="n">
        <v>16</v>
      </c>
      <c r="V39" t="n">
        <v>270</v>
      </c>
      <c r="W39" t="n">
        <v>0.256</v>
      </c>
      <c r="X39" t="n">
        <v>231</v>
      </c>
      <c r="Y39" t="n">
        <v>222</v>
      </c>
      <c r="Z39" t="n">
        <v>123</v>
      </c>
      <c r="AA39" t="n">
        <v>6</v>
      </c>
      <c r="AB39" t="n">
        <v>12.2</v>
      </c>
      <c r="AC39" t="inlineStr">
        <is>
          <t xml:space="preserve"> Resort Freeride</t>
        </is>
      </c>
      <c r="AD39" t="inlineStr">
        <is>
          <t xml:space="preserve"> Touring</t>
        </is>
      </c>
      <c r="AE39" t="inlineStr">
        <is>
          <t xml:space="preserve"> Ultralight Touring</t>
        </is>
      </c>
      <c r="AG39" t="inlineStr">
        <is>
          <t>DPS Pagoda Tour 100 RP 179cm</t>
        </is>
      </c>
      <c r="AH39" t="inlineStr">
        <is>
          <t>Skimo &amp; SkyRun</t>
        </is>
      </c>
      <c r="AI39" s="333" t="n">
        <v>1029</v>
      </c>
      <c r="AJ39" t="inlineStr">
        <is>
          <t>https://tinyurl.com/y9eecdb5</t>
        </is>
      </c>
      <c r="AK39" t="inlineStr">
        <is>
          <t>DPS Pagoda Tour 100 RP 179cm</t>
        </is>
      </c>
      <c r="AL39" t="inlineStr">
        <is>
          <t>REI</t>
        </is>
      </c>
      <c r="AM39" s="333" t="n">
        <v>1038.93</v>
      </c>
      <c r="AN39" t="inlineStr">
        <is>
          <t>https://tinyurl.com/ydemnszo</t>
        </is>
      </c>
      <c r="AO39" t="inlineStr">
        <is>
          <t>DPS Pagoda Tour 100 RP 179cm</t>
        </is>
      </c>
      <c r="AP39" t="inlineStr">
        <is>
          <t>Backcountry.com</t>
        </is>
      </c>
      <c r="AQ39" s="333" t="n">
        <v>1039.2</v>
      </c>
      <c r="AR39" t="inlineStr">
        <is>
          <t>https://tinyurl.com/ycy5pzd4</t>
        </is>
      </c>
      <c r="AS39" s="314">
        <f>IF(LEFT(C39,1)=" ",RIGHT(C39,LEN(C39)-1),C39)</f>
        <v/>
      </c>
      <c r="AT39" s="281">
        <f>_xlfn.CONCAT(B39,AS39,D39,E39)</f>
        <v/>
      </c>
    </row>
    <row r="40">
      <c r="A40" t="inlineStr">
        <is>
          <t>21/22</t>
        </is>
      </c>
      <c r="B40" t="inlineStr">
        <is>
          <t xml:space="preserve"> Head</t>
        </is>
      </c>
      <c r="C40" t="inlineStr">
        <is>
          <t>Kore 91 W</t>
        </is>
      </c>
      <c r="D40" t="n">
        <v>170</v>
      </c>
      <c r="E40" t="inlineStr">
        <is>
          <t xml:space="preserve"> Women's</t>
        </is>
      </c>
      <c r="F40" t="n">
        <v>170</v>
      </c>
      <c r="G40" t="n">
        <v>169.7</v>
      </c>
      <c r="H40" t="n">
        <v>134</v>
      </c>
      <c r="I40" t="n">
        <v>139</v>
      </c>
      <c r="J40" t="n">
        <v>129</v>
      </c>
      <c r="K40" t="n">
        <v>90</v>
      </c>
      <c r="L40" t="n">
        <v>111</v>
      </c>
      <c r="M40" t="n">
        <v>15</v>
      </c>
      <c r="N40" t="n">
        <v>1551</v>
      </c>
      <c r="O40" t="n">
        <v>1.12</v>
      </c>
      <c r="P40" t="n">
        <v>1738</v>
      </c>
      <c r="Q40" t="n">
        <v>213</v>
      </c>
      <c r="R40" t="n">
        <v>104</v>
      </c>
      <c r="S40" t="n">
        <v>50</v>
      </c>
      <c r="T40" t="n">
        <v>217</v>
      </c>
      <c r="U40" t="n">
        <v>12</v>
      </c>
      <c r="V40" t="n">
        <v>140</v>
      </c>
      <c r="W40" t="n">
        <v>0.238</v>
      </c>
      <c r="X40" t="n">
        <v>150</v>
      </c>
      <c r="Y40" t="n">
        <v>158</v>
      </c>
      <c r="Z40" t="n">
        <v>67</v>
      </c>
      <c r="AA40" t="n">
        <v>5</v>
      </c>
      <c r="AB40" t="n">
        <v>9</v>
      </c>
      <c r="AC40" t="inlineStr">
        <is>
          <t xml:space="preserve"> Resort Freeride</t>
        </is>
      </c>
      <c r="AD40" t="inlineStr">
        <is>
          <t xml:space="preserve"> Touring</t>
        </is>
      </c>
      <c r="AG40" t="inlineStr">
        <is>
          <t>Head Kore 91 W Testski's Incl Attack 11 GW binding Anthracite-Mint 170 Ski Lady's Ladies / Women</t>
        </is>
      </c>
      <c r="AH40" t="inlineStr">
        <is>
          <t>! OutdoorXL.com</t>
        </is>
      </c>
      <c r="AI40" s="333" t="n">
        <v>374.95</v>
      </c>
      <c r="AJ40" t="inlineStr">
        <is>
          <t>https://tinyurl.com/y7sm45ok</t>
        </is>
      </c>
      <c r="AK40" t="inlineStr">
        <is>
          <t>Head Kore 91 W Skis - Women's 2022</t>
        </is>
      </c>
      <c r="AL40" t="inlineStr">
        <is>
          <t>UtahSkis</t>
        </is>
      </c>
      <c r="AM40" s="333" t="n">
        <v>389</v>
      </c>
      <c r="AN40" t="inlineStr">
        <is>
          <t>https://tinyurl.com/ycmnlqmg</t>
        </is>
      </c>
      <c r="AO40" t="inlineStr">
        <is>
          <t>Head Kore 91 W Skis - Women's 2022</t>
        </is>
      </c>
      <c r="AP40" t="inlineStr">
        <is>
          <t>Snowcountry.eu</t>
        </is>
      </c>
      <c r="AQ40" s="333" t="n">
        <v>414</v>
      </c>
      <c r="AR40" t="inlineStr">
        <is>
          <t>https://tinyurl.com/yaamtvw8</t>
        </is>
      </c>
      <c r="AS40" s="314">
        <f>IF(LEFT(C40,1)=" ",RIGHT(C40,LEN(C40)-1),C40)</f>
        <v/>
      </c>
      <c r="AT40" s="281">
        <f>_xlfn.CONCAT(B40,AS40,D40,E40)</f>
        <v/>
      </c>
    </row>
    <row r="41">
      <c r="A41" t="inlineStr">
        <is>
          <t>21/22</t>
        </is>
      </c>
      <c r="B41" t="inlineStr">
        <is>
          <t xml:space="preserve"> Faction</t>
        </is>
      </c>
      <c r="C41" t="inlineStr">
        <is>
          <t>Prodigy 3.0</t>
        </is>
      </c>
      <c r="D41" t="n">
        <v>184</v>
      </c>
      <c r="E41" t="inlineStr">
        <is>
          <t xml:space="preserve"> Unisex</t>
        </is>
      </c>
      <c r="F41" t="n">
        <v>184</v>
      </c>
      <c r="G41" t="n">
        <v>182.6</v>
      </c>
      <c r="H41" t="n">
        <v>124</v>
      </c>
      <c r="I41" t="n">
        <v>147</v>
      </c>
      <c r="J41" t="n">
        <v>132</v>
      </c>
      <c r="K41" t="n">
        <v>105</v>
      </c>
      <c r="L41" t="n">
        <v>125</v>
      </c>
      <c r="M41" t="n">
        <v>21</v>
      </c>
      <c r="N41" t="n">
        <v>2000</v>
      </c>
      <c r="O41" t="n">
        <v>1.05</v>
      </c>
      <c r="P41" t="n">
        <v>2096</v>
      </c>
      <c r="Q41" t="n">
        <v>206</v>
      </c>
      <c r="R41" t="n">
        <v>97</v>
      </c>
      <c r="S41" t="n">
        <v>51</v>
      </c>
      <c r="T41" t="n">
        <v>328</v>
      </c>
      <c r="U41" t="n">
        <v>43</v>
      </c>
      <c r="V41" t="n">
        <v>261</v>
      </c>
      <c r="W41" t="n">
        <v>0.846</v>
      </c>
      <c r="X41" t="n">
        <v>192</v>
      </c>
      <c r="Y41" t="n">
        <v>164</v>
      </c>
      <c r="Z41" t="n">
        <v>137</v>
      </c>
      <c r="AA41" t="n">
        <v>7</v>
      </c>
      <c r="AB41" t="n">
        <v>9.300000000000001</v>
      </c>
      <c r="AC41" t="inlineStr">
        <is>
          <t xml:space="preserve"> Freeski</t>
        </is>
      </c>
      <c r="AD41" t="inlineStr">
        <is>
          <t xml:space="preserve"> Powder</t>
        </is>
      </c>
      <c r="AG41" t="inlineStr">
        <is>
          <t>Faction Prodigy 3.0 Skis 2022 - 184</t>
        </is>
      </c>
      <c r="AH41" t="inlineStr">
        <is>
          <t>evo.com</t>
        </is>
      </c>
      <c r="AI41" s="333" t="n">
        <v>559.2</v>
      </c>
      <c r="AJ41" t="inlineStr">
        <is>
          <t>https://tinyurl.com/y9vgcjwn</t>
        </is>
      </c>
      <c r="AK41" t="inlineStr">
        <is>
          <t>Faction Prodigy 3.0 Skis 2022 - 184</t>
        </is>
      </c>
      <c r="AL41" t="inlineStr">
        <is>
          <t>Powder7 Ski Shop</t>
        </is>
      </c>
      <c r="AM41" s="333" t="n">
        <v>629.9299999999999</v>
      </c>
      <c r="AN41" t="inlineStr">
        <is>
          <t>https://tinyurl.com/yasurxb4</t>
        </is>
      </c>
      <c r="AO41" t="inlineStr">
        <is>
          <t>Faction Prodigy 3.0 Skis 2022 - 184</t>
        </is>
      </c>
      <c r="AP41" t="inlineStr">
        <is>
          <t>Next Adventure</t>
        </is>
      </c>
      <c r="AQ41" s="333" t="n">
        <v>639.2</v>
      </c>
      <c r="AR41" t="inlineStr">
        <is>
          <t>https://tinyurl.com/yawbwqvx</t>
        </is>
      </c>
      <c r="AS41" s="314">
        <f>IF(LEFT(C41,1)=" ",RIGHT(C41,LEN(C41)-1),C41)</f>
        <v/>
      </c>
      <c r="AT41" s="281">
        <f>_xlfn.CONCAT(B41,AS41,D41,E41)</f>
        <v/>
      </c>
    </row>
    <row r="42">
      <c r="A42" t="inlineStr">
        <is>
          <t>21/22</t>
        </is>
      </c>
      <c r="B42" t="inlineStr">
        <is>
          <t xml:space="preserve"> Raccoon</t>
        </is>
      </c>
      <c r="C42" t="inlineStr">
        <is>
          <t xml:space="preserve"> Le Grizzly</t>
        </is>
      </c>
      <c r="D42" t="n">
        <v>180</v>
      </c>
      <c r="E42" t="inlineStr">
        <is>
          <t xml:space="preserve"> Unisex</t>
        </is>
      </c>
      <c r="F42" t="n">
        <v>180</v>
      </c>
      <c r="G42" t="n">
        <v>178.1</v>
      </c>
      <c r="H42" t="n">
        <v>121</v>
      </c>
      <c r="I42" t="n">
        <v>149</v>
      </c>
      <c r="J42" t="n">
        <v>129</v>
      </c>
      <c r="K42" t="n">
        <v>99</v>
      </c>
      <c r="L42" t="n">
        <v>120</v>
      </c>
      <c r="M42" t="n">
        <v>19.3</v>
      </c>
      <c r="N42" t="n">
        <v>1678</v>
      </c>
      <c r="O42" t="n">
        <v>1.16</v>
      </c>
      <c r="P42" t="n">
        <v>1949</v>
      </c>
      <c r="Q42" t="n">
        <v>212</v>
      </c>
      <c r="R42" t="n">
        <v>101</v>
      </c>
      <c r="S42" t="n">
        <v>72</v>
      </c>
      <c r="T42" t="n">
        <v>328</v>
      </c>
      <c r="U42" t="n">
        <v>27</v>
      </c>
      <c r="V42" t="n">
        <v>247</v>
      </c>
      <c r="W42" t="n">
        <v>0.376</v>
      </c>
      <c r="X42" t="n">
        <v>169</v>
      </c>
      <c r="Y42" t="n">
        <v>123</v>
      </c>
      <c r="Z42" t="n">
        <v>159</v>
      </c>
      <c r="AA42" t="n">
        <v>5</v>
      </c>
      <c r="AB42" t="n">
        <v>11.5</v>
      </c>
      <c r="AC42" t="inlineStr">
        <is>
          <t xml:space="preserve"> Resort Freeride</t>
        </is>
      </c>
      <c r="AD42" t="inlineStr">
        <is>
          <t xml:space="preserve"> Touring</t>
        </is>
      </c>
      <c r="AS42" s="314">
        <f>IF(LEFT(C42,1)=" ",RIGHT(C42,LEN(C42)-1),C42)</f>
        <v/>
      </c>
      <c r="AT42" s="281">
        <f>_xlfn.CONCAT(B42,AS42,D42,E42)</f>
        <v/>
      </c>
    </row>
    <row r="43">
      <c r="A43" t="inlineStr">
        <is>
          <t>21/22</t>
        </is>
      </c>
      <c r="B43" t="inlineStr">
        <is>
          <t xml:space="preserve"> Vï¿½lkl</t>
        </is>
      </c>
      <c r="C43" t="inlineStr">
        <is>
          <t>Kanjo 84</t>
        </is>
      </c>
      <c r="D43" t="n">
        <v>182</v>
      </c>
      <c r="E43" t="inlineStr">
        <is>
          <t xml:space="preserve"> Unisex</t>
        </is>
      </c>
      <c r="F43" t="n">
        <v>182</v>
      </c>
      <c r="G43" t="n">
        <v>183.5</v>
      </c>
      <c r="H43" t="n">
        <v>157</v>
      </c>
      <c r="I43" t="n">
        <v>160</v>
      </c>
      <c r="J43" t="n">
        <v>124</v>
      </c>
      <c r="K43" t="n">
        <v>83</v>
      </c>
      <c r="L43" t="n">
        <v>106</v>
      </c>
      <c r="M43" t="n">
        <v>19.4</v>
      </c>
      <c r="N43" t="n">
        <v>1668</v>
      </c>
      <c r="O43" t="n">
        <v>1.06</v>
      </c>
      <c r="P43" t="n">
        <v>1763</v>
      </c>
      <c r="Q43" t="n">
        <v>196</v>
      </c>
      <c r="R43" t="n">
        <v>76</v>
      </c>
      <c r="S43" t="n">
        <v>34</v>
      </c>
      <c r="T43" t="n">
        <v>166</v>
      </c>
      <c r="U43" t="n">
        <v>12</v>
      </c>
      <c r="V43" t="n">
        <v>96</v>
      </c>
      <c r="W43" t="n">
        <v>0.35</v>
      </c>
      <c r="X43" t="n">
        <v>132</v>
      </c>
      <c r="Y43" t="n">
        <v>104</v>
      </c>
      <c r="Z43" t="n">
        <v>34</v>
      </c>
      <c r="AA43" t="n">
        <v>4</v>
      </c>
      <c r="AB43" t="n">
        <v>11.8</v>
      </c>
      <c r="AC43" t="inlineStr">
        <is>
          <t xml:space="preserve"> On-Piste All-Mountain</t>
        </is>
      </c>
      <c r="AD43" t="inlineStr">
        <is>
          <t xml:space="preserve"> Resort Freeride</t>
        </is>
      </c>
      <c r="AE43" t="inlineStr">
        <is>
          <t xml:space="preserve"> Touring</t>
        </is>
      </c>
      <c r="AG43" t="inlineStr">
        <is>
          <t>VOLKL KANJO 84 21</t>
        </is>
      </c>
      <c r="AH43" t="inlineStr">
        <is>
          <t>Vertical Drop</t>
        </is>
      </c>
      <c r="AI43" s="333" t="n">
        <v>419.99</v>
      </c>
      <c r="AJ43" t="inlineStr">
        <is>
          <t>https://tinyurl.com/yc4rmm6h</t>
        </is>
      </c>
      <c r="AK43" t="inlineStr">
        <is>
          <t>Volkl Kanjo 84 Skis</t>
        </is>
      </c>
      <c r="AL43" t="inlineStr">
        <is>
          <t>AlpineShopVT.com</t>
        </is>
      </c>
      <c r="AM43" s="333" t="n">
        <v>429.95</v>
      </c>
      <c r="AN43" t="inlineStr">
        <is>
          <t>https://tinyurl.com/ybuz66u9</t>
        </is>
      </c>
      <c r="AO43" t="inlineStr">
        <is>
          <t>Volkl Kanjo 84 Skis</t>
        </is>
      </c>
      <c r="AP43" t="inlineStr">
        <is>
          <t>BobsSportsChalet.com</t>
        </is>
      </c>
      <c r="AQ43" s="333" t="n">
        <v>599.99</v>
      </c>
      <c r="AR43" t="inlineStr">
        <is>
          <t>https://tinyurl.com/y7vqbnvd</t>
        </is>
      </c>
      <c r="AS43" s="314">
        <f>IF(LEFT(C43,1)=" ",RIGHT(C43,LEN(C43)-1),C43)</f>
        <v/>
      </c>
      <c r="AT43" s="281">
        <f>_xlfn.CONCAT(B43,AS43,D43,E43)</f>
        <v/>
      </c>
    </row>
    <row r="44">
      <c r="A44" t="inlineStr">
        <is>
          <t>21/22</t>
        </is>
      </c>
      <c r="B44" t="inlineStr">
        <is>
          <t xml:space="preserve"> Scott</t>
        </is>
      </c>
      <c r="C44" t="inlineStr">
        <is>
          <t>Scrapper 105</t>
        </is>
      </c>
      <c r="D44" t="n">
        <v>175</v>
      </c>
      <c r="E44" t="inlineStr">
        <is>
          <t xml:space="preserve"> Unisex</t>
        </is>
      </c>
      <c r="F44" t="n">
        <v>175</v>
      </c>
      <c r="G44" t="n">
        <v>173.4</v>
      </c>
      <c r="H44" t="n">
        <v>124</v>
      </c>
      <c r="I44" t="n">
        <v>156</v>
      </c>
      <c r="J44" t="n">
        <v>135</v>
      </c>
      <c r="K44" t="n">
        <v>100</v>
      </c>
      <c r="L44" t="n">
        <v>123</v>
      </c>
      <c r="M44" t="n">
        <v>22.6</v>
      </c>
      <c r="N44" t="n">
        <v>1547</v>
      </c>
      <c r="O44" t="n">
        <v>1.21</v>
      </c>
      <c r="P44" t="n">
        <v>1877</v>
      </c>
      <c r="Q44" t="n">
        <v>224</v>
      </c>
      <c r="R44" t="n">
        <v>98</v>
      </c>
      <c r="S44" t="n">
        <v>60</v>
      </c>
      <c r="T44" t="n">
        <v>306</v>
      </c>
      <c r="U44" t="n">
        <v>39</v>
      </c>
      <c r="V44" t="n">
        <v>188</v>
      </c>
      <c r="W44" t="n">
        <v>0.64</v>
      </c>
      <c r="X44" t="n">
        <v>99</v>
      </c>
      <c r="Y44" t="n">
        <v>74</v>
      </c>
      <c r="Z44" t="n">
        <v>207</v>
      </c>
      <c r="AA44" t="n">
        <v>4</v>
      </c>
      <c r="AB44" t="n">
        <v>11.1</v>
      </c>
      <c r="AC44" t="inlineStr">
        <is>
          <t xml:space="preserve"> Resort Freeride</t>
        </is>
      </c>
      <c r="AD44" t="inlineStr">
        <is>
          <t xml:space="preserve"> Powder</t>
        </is>
      </c>
      <c r="AE44" t="inlineStr">
        <is>
          <t xml:space="preserve"> Touring</t>
        </is>
      </c>
      <c r="AG44" t="inlineStr">
        <is>
          <t>2020 Scott Scrapper 105 Women's Skis w/ Tyrolia Attack2 14 GW Bindings - 175| Ski Essentials</t>
        </is>
      </c>
      <c r="AH44" t="inlineStr">
        <is>
          <t>eBay - david110549</t>
        </is>
      </c>
      <c r="AI44" s="333" t="n">
        <v>420.95</v>
      </c>
      <c r="AJ44" t="inlineStr">
        <is>
          <t>https://tinyurl.com/y8jal6qk</t>
        </is>
      </c>
      <c r="AK44" t="inlineStr">
        <is>
          <t>2020 Scott Scrapper 105 Women's Skis w/ Tyrolia Attack2 14 GW Bindings - 175| Ski Essentials</t>
        </is>
      </c>
      <c r="AL44" t="inlineStr">
        <is>
          <t>SkiEssentials.com</t>
        </is>
      </c>
      <c r="AM44" s="333" t="n">
        <v>420.95</v>
      </c>
      <c r="AN44" t="inlineStr">
        <is>
          <t>https://tinyurl.com/ycjbu7wv</t>
        </is>
      </c>
      <c r="AO44" t="inlineStr">
        <is>
          <t>Scott Scrapper 105 Skis 2022 - 175</t>
        </is>
      </c>
      <c r="AP44" t="inlineStr">
        <is>
          <t>AlpinStore</t>
        </is>
      </c>
      <c r="AQ44" s="333" t="n">
        <v>427.58</v>
      </c>
      <c r="AR44" t="inlineStr">
        <is>
          <t>https://tinyurl.com/y7esz3w8</t>
        </is>
      </c>
      <c r="AS44" s="314">
        <f>IF(LEFT(C44,1)=" ",RIGHT(C44,LEN(C44)-1),C44)</f>
        <v/>
      </c>
      <c r="AT44" s="281">
        <f>_xlfn.CONCAT(B44,AS44,D44,E44)</f>
        <v/>
      </c>
    </row>
    <row r="45">
      <c r="A45" t="inlineStr">
        <is>
          <t>21/22</t>
        </is>
      </c>
      <c r="B45" t="inlineStr">
        <is>
          <t xml:space="preserve"> Head</t>
        </is>
      </c>
      <c r="C45" t="inlineStr">
        <is>
          <t>Kore 97 W</t>
        </is>
      </c>
      <c r="D45" t="n">
        <v>156</v>
      </c>
      <c r="E45" t="inlineStr">
        <is>
          <t xml:space="preserve"> Women's</t>
        </is>
      </c>
      <c r="F45" t="n">
        <v>156</v>
      </c>
      <c r="G45" t="n">
        <v>155.8</v>
      </c>
      <c r="H45" t="n">
        <v>119</v>
      </c>
      <c r="I45" t="n">
        <v>123</v>
      </c>
      <c r="J45" t="n">
        <v>124</v>
      </c>
      <c r="K45" t="n">
        <v>92</v>
      </c>
      <c r="L45" t="n">
        <v>111</v>
      </c>
      <c r="M45" t="n">
        <v>13.1</v>
      </c>
      <c r="N45" t="n">
        <v>1497</v>
      </c>
      <c r="O45" t="n">
        <v>1.08</v>
      </c>
      <c r="P45" t="n">
        <v>1614</v>
      </c>
      <c r="Q45" t="n">
        <v>225</v>
      </c>
      <c r="R45" t="n">
        <v>106</v>
      </c>
      <c r="S45" t="n">
        <v>48</v>
      </c>
      <c r="T45" t="n">
        <v>234</v>
      </c>
      <c r="U45" t="n">
        <v>13</v>
      </c>
      <c r="V45" t="n">
        <v>137</v>
      </c>
      <c r="W45" t="n">
        <v>0.272</v>
      </c>
      <c r="X45" t="n">
        <v>167</v>
      </c>
      <c r="Y45" t="n">
        <v>158</v>
      </c>
      <c r="Z45" t="n">
        <v>67</v>
      </c>
      <c r="AA45" t="n">
        <v>5</v>
      </c>
      <c r="AB45" t="n">
        <v>6.9</v>
      </c>
      <c r="AC45" t="inlineStr">
        <is>
          <t xml:space="preserve"> Resort Freeride</t>
        </is>
      </c>
      <c r="AD45" t="inlineStr">
        <is>
          <t xml:space="preserve"> Touring</t>
        </is>
      </c>
      <c r="AG45" t="inlineStr">
        <is>
          <t>Head Kore 97 W Incl Attack 12 GW Binding Anthracite-Green 156 Ski Lady's Ladies / Women</t>
        </is>
      </c>
      <c r="AH45" t="inlineStr">
        <is>
          <t>! OutdoorXL.com</t>
        </is>
      </c>
      <c r="AI45" s="333" t="n">
        <v>514.95</v>
      </c>
      <c r="AJ45" t="inlineStr">
        <is>
          <t>https://tinyurl.com/yaslw7hr</t>
        </is>
      </c>
      <c r="AK45" t="inlineStr">
        <is>
          <t>Head Women's Kore 97 W Skis Green 156 Cm</t>
        </is>
      </c>
      <c r="AL45" t="inlineStr">
        <is>
          <t>REI</t>
        </is>
      </c>
      <c r="AM45" s="333" t="n">
        <v>518.9299999999999</v>
      </c>
      <c r="AN45" t="inlineStr">
        <is>
          <t>https://tinyurl.com/y8vvwaxu</t>
        </is>
      </c>
      <c r="AO45" t="inlineStr">
        <is>
          <t>2022 Head Kore 97 W Ladies' Snow Skis 156</t>
        </is>
      </c>
      <c r="AP45" t="inlineStr">
        <is>
          <t>The Pro Shop</t>
        </is>
      </c>
      <c r="AQ45" s="333" t="n">
        <v>699</v>
      </c>
      <c r="AR45" t="inlineStr">
        <is>
          <t>https://tinyurl.com/y728wchx</t>
        </is>
      </c>
      <c r="AS45" s="314">
        <f>IF(LEFT(C45,1)=" ",RIGHT(C45,LEN(C45)-1),C45)</f>
        <v/>
      </c>
      <c r="AT45" s="281">
        <f>_xlfn.CONCAT(B45,AS45,D45,E45)</f>
        <v/>
      </c>
    </row>
    <row r="46">
      <c r="A46" t="inlineStr">
        <is>
          <t>21/22</t>
        </is>
      </c>
      <c r="B46" t="inlineStr">
        <is>
          <t xml:space="preserve"> Armada</t>
        </is>
      </c>
      <c r="C46" t="inlineStr">
        <is>
          <t>ARW 86</t>
        </is>
      </c>
      <c r="D46" t="n">
        <v>170</v>
      </c>
      <c r="E46" t="inlineStr">
        <is>
          <t xml:space="preserve"> Women's</t>
        </is>
      </c>
      <c r="F46" t="n">
        <v>170</v>
      </c>
      <c r="G46" t="n">
        <v>168.2</v>
      </c>
      <c r="H46" t="n">
        <v>135</v>
      </c>
      <c r="I46" t="n">
        <v>139</v>
      </c>
      <c r="J46" t="n">
        <v>114</v>
      </c>
      <c r="K46" t="n">
        <v>85</v>
      </c>
      <c r="L46" t="n">
        <v>108</v>
      </c>
      <c r="M46" t="n">
        <v>17.6</v>
      </c>
      <c r="N46" t="n">
        <v>1704</v>
      </c>
      <c r="O46" t="n">
        <v>0.9399999999999999</v>
      </c>
      <c r="P46" t="n">
        <v>1604</v>
      </c>
      <c r="Q46" t="n">
        <v>166</v>
      </c>
      <c r="R46" t="n">
        <v>95</v>
      </c>
      <c r="S46" t="n">
        <v>44</v>
      </c>
      <c r="T46" t="n">
        <v>168</v>
      </c>
      <c r="U46" t="n">
        <v>38</v>
      </c>
      <c r="V46" t="n">
        <v>167</v>
      </c>
      <c r="W46" t="n">
        <v>0.87</v>
      </c>
      <c r="X46" t="n">
        <v>139</v>
      </c>
      <c r="Y46" t="n">
        <v>152</v>
      </c>
      <c r="Z46" t="n">
        <v>29</v>
      </c>
      <c r="AA46" t="n">
        <v>12</v>
      </c>
      <c r="AB46" t="n">
        <v>3.8</v>
      </c>
      <c r="AC46" t="inlineStr">
        <is>
          <t xml:space="preserve"> Freeski</t>
        </is>
      </c>
      <c r="AG46" t="inlineStr">
        <is>
          <t>Armada Women's ARW 86 Skis 170 cm</t>
        </is>
      </c>
      <c r="AH46" t="inlineStr">
        <is>
          <t>! OutdoorXL.com</t>
        </is>
      </c>
      <c r="AI46" s="333" t="n">
        <v>299.95</v>
      </c>
      <c r="AJ46" t="inlineStr">
        <is>
          <t>https://tinyurl.com/yc939x2b</t>
        </is>
      </c>
      <c r="AK46" t="inlineStr">
        <is>
          <t>Armada Women's ARW 86 Skis 170 cm</t>
        </is>
      </c>
      <c r="AL46" t="inlineStr">
        <is>
          <t>evo.com</t>
        </is>
      </c>
      <c r="AM46" s="333" t="n">
        <v>319.96</v>
      </c>
      <c r="AN46" t="inlineStr">
        <is>
          <t>https://tinyurl.com/ybblrjnu</t>
        </is>
      </c>
      <c r="AO46" t="inlineStr">
        <is>
          <t>Armada Women's ARW 86 Skis 170 cm</t>
        </is>
      </c>
      <c r="AP46" t="inlineStr">
        <is>
          <t>BlueZone Sports</t>
        </is>
      </c>
      <c r="AQ46" s="333" t="n">
        <v>399.95</v>
      </c>
      <c r="AR46" t="inlineStr">
        <is>
          <t>https://tinyurl.com/ycyckmnk</t>
        </is>
      </c>
      <c r="AS46" s="314">
        <f>IF(LEFT(C46,1)=" ",RIGHT(C46,LEN(C46)-1),C46)</f>
        <v/>
      </c>
      <c r="AT46" s="281">
        <f>_xlfn.CONCAT(B46,AS46,D46,E46)</f>
        <v/>
      </c>
    </row>
    <row r="47">
      <c r="A47" t="inlineStr">
        <is>
          <t>21/22</t>
        </is>
      </c>
      <c r="B47" t="inlineStr">
        <is>
          <t xml:space="preserve"> Black Crows</t>
        </is>
      </c>
      <c r="C47" t="inlineStr">
        <is>
          <t xml:space="preserve"> Navis Freebird</t>
        </is>
      </c>
      <c r="D47" t="n">
        <v>173.4</v>
      </c>
      <c r="E47" t="inlineStr">
        <is>
          <t xml:space="preserve"> Unisex</t>
        </is>
      </c>
      <c r="F47" t="n">
        <v>173.4</v>
      </c>
      <c r="G47" t="n">
        <v>171.8</v>
      </c>
      <c r="H47" t="n">
        <v>122</v>
      </c>
      <c r="I47" t="n">
        <v>145</v>
      </c>
      <c r="J47" t="n">
        <v>138</v>
      </c>
      <c r="K47" t="n">
        <v>100</v>
      </c>
      <c r="L47" t="n">
        <v>118</v>
      </c>
      <c r="M47" t="n">
        <v>18.7</v>
      </c>
      <c r="N47" t="n">
        <v>1671</v>
      </c>
      <c r="O47" t="n">
        <v>1.14</v>
      </c>
      <c r="P47" t="n">
        <v>1913</v>
      </c>
      <c r="Q47" t="n">
        <v>209</v>
      </c>
      <c r="R47" t="n">
        <v>95</v>
      </c>
      <c r="S47" t="n">
        <v>44</v>
      </c>
      <c r="T47" t="n">
        <v>292</v>
      </c>
      <c r="U47" t="n">
        <v>16</v>
      </c>
      <c r="V47" t="n">
        <v>202</v>
      </c>
      <c r="W47" t="n">
        <v>0.352</v>
      </c>
      <c r="X47" t="n">
        <v>157</v>
      </c>
      <c r="Y47" t="n">
        <v>116</v>
      </c>
      <c r="Z47" t="n">
        <v>135</v>
      </c>
      <c r="AA47" t="n">
        <v>4</v>
      </c>
      <c r="AB47" t="n">
        <v>9.699999999999999</v>
      </c>
      <c r="AC47" t="inlineStr">
        <is>
          <t xml:space="preserve"> Resort Freeride</t>
        </is>
      </c>
      <c r="AD47" t="inlineStr">
        <is>
          <t xml:space="preserve"> Powder</t>
        </is>
      </c>
      <c r="AE47" t="inlineStr">
        <is>
          <t xml:space="preserve"> Big Mountain</t>
        </is>
      </c>
      <c r="AF47" t="inlineStr">
        <is>
          <t xml:space="preserve"> Touring</t>
        </is>
      </c>
      <c r="AG47" t="inlineStr">
        <is>
          <t>Skis Black Crows Navis Freebird</t>
        </is>
      </c>
      <c r="AH47" t="inlineStr">
        <is>
          <t>Ascent Outdoors</t>
        </is>
      </c>
      <c r="AI47" s="333" t="n">
        <v>576.99</v>
      </c>
      <c r="AJ47" t="inlineStr">
        <is>
          <t>https://tinyurl.com/y8rqumm7</t>
        </is>
      </c>
      <c r="AK47" t="inlineStr">
        <is>
          <t>Skis Black Crows Navis Freebird</t>
        </is>
      </c>
      <c r="AL47" t="inlineStr">
        <is>
          <t>! OutdoorXL.com</t>
        </is>
      </c>
      <c r="AM47" s="333" t="n">
        <v>584.95</v>
      </c>
      <c r="AN47" t="inlineStr">
        <is>
          <t>https://tinyurl.com/ybwzgztz</t>
        </is>
      </c>
      <c r="AO47" t="inlineStr">
        <is>
          <t>Skis Black Crows Navis Freebird</t>
        </is>
      </c>
      <c r="AP47" t="inlineStr">
        <is>
          <t>evo.com</t>
        </is>
      </c>
      <c r="AQ47" s="333" t="n">
        <v>663.96</v>
      </c>
      <c r="AR47" t="inlineStr">
        <is>
          <t>https://tinyurl.com/yackbgjm</t>
        </is>
      </c>
      <c r="AS47" s="314">
        <f>IF(LEFT(C47,1)=" ",RIGHT(C47,LEN(C47)-1),C47)</f>
        <v/>
      </c>
      <c r="AT47" s="281">
        <f>_xlfn.CONCAT(B47,AS47,D47,E47)</f>
        <v/>
      </c>
    </row>
    <row r="48">
      <c r="A48" t="inlineStr">
        <is>
          <t>21/22</t>
        </is>
      </c>
      <c r="B48" t="inlineStr">
        <is>
          <t xml:space="preserve"> Head</t>
        </is>
      </c>
      <c r="C48" t="inlineStr">
        <is>
          <t>Kore 99</t>
        </is>
      </c>
      <c r="D48" t="n">
        <v>163</v>
      </c>
      <c r="E48" t="inlineStr">
        <is>
          <t xml:space="preserve"> Unisex</t>
        </is>
      </c>
      <c r="F48" t="n">
        <v>163</v>
      </c>
      <c r="G48" t="n">
        <v>162.6</v>
      </c>
      <c r="H48" t="n">
        <v>126</v>
      </c>
      <c r="I48" t="n">
        <v>130</v>
      </c>
      <c r="J48" t="n">
        <v>127</v>
      </c>
      <c r="K48" t="n">
        <v>94</v>
      </c>
      <c r="L48" t="n">
        <v>114</v>
      </c>
      <c r="M48" t="n">
        <v>14.4</v>
      </c>
      <c r="N48" t="n">
        <v>1515</v>
      </c>
      <c r="O48" t="n">
        <v>1.13</v>
      </c>
      <c r="P48" t="n">
        <v>1718</v>
      </c>
      <c r="Q48" t="n">
        <v>198</v>
      </c>
      <c r="R48" t="n">
        <v>100</v>
      </c>
      <c r="S48" t="n">
        <v>49</v>
      </c>
      <c r="T48" t="n">
        <v>237</v>
      </c>
      <c r="U48" t="n">
        <v>11</v>
      </c>
      <c r="V48" t="n">
        <v>134</v>
      </c>
      <c r="W48" t="n">
        <v>0.218999999999999</v>
      </c>
      <c r="X48" t="n">
        <v>179</v>
      </c>
      <c r="Y48" t="n">
        <v>142</v>
      </c>
      <c r="Z48" t="n">
        <v>58</v>
      </c>
      <c r="AA48" t="n">
        <v>7</v>
      </c>
      <c r="AB48" t="n">
        <v>8.9</v>
      </c>
      <c r="AC48" t="inlineStr">
        <is>
          <t xml:space="preserve"> Resort Freeride</t>
        </is>
      </c>
      <c r="AD48" t="inlineStr">
        <is>
          <t xml:space="preserve"> Touring</t>
        </is>
      </c>
      <c r="AG48" t="inlineStr">
        <is>
          <t>Head Kore 99 Skis</t>
        </is>
      </c>
      <c r="AH48" t="inlineStr">
        <is>
          <t>Snowcountry.eu</t>
        </is>
      </c>
      <c r="AI48" s="333" t="n">
        <v>414</v>
      </c>
      <c r="AJ48" t="inlineStr">
        <is>
          <t>https://tinyurl.com/yag2s2h3</t>
        </is>
      </c>
      <c r="AK48" t="inlineStr">
        <is>
          <t>Head Kore 99 Skis</t>
        </is>
      </c>
      <c r="AL48" t="inlineStr">
        <is>
          <t>Gorham Bike and Ski</t>
        </is>
      </c>
      <c r="AM48" s="333" t="n">
        <v>489.99</v>
      </c>
      <c r="AN48" t="inlineStr">
        <is>
          <t>https://tinyurl.com/y8g27yue</t>
        </is>
      </c>
      <c r="AO48" t="inlineStr">
        <is>
          <t>Head Kore 99 + Attack 14 GW Alpine Skis 163</t>
        </is>
      </c>
      <c r="AP48" t="inlineStr">
        <is>
          <t>! OutdoorXL.com</t>
        </is>
      </c>
      <c r="AQ48" s="333" t="n">
        <v>514.95</v>
      </c>
      <c r="AR48" t="inlineStr">
        <is>
          <t>https://tinyurl.com/ybx7o3hg</t>
        </is>
      </c>
      <c r="AS48" s="314">
        <f>IF(LEFT(C48,1)=" ",RIGHT(C48,LEN(C48)-1),C48)</f>
        <v/>
      </c>
      <c r="AT48" s="281">
        <f>_xlfn.CONCAT(B48,AS48,D48,E48)</f>
        <v/>
      </c>
    </row>
    <row r="49">
      <c r="A49" t="inlineStr">
        <is>
          <t>21/22</t>
        </is>
      </c>
      <c r="B49" t="inlineStr">
        <is>
          <t xml:space="preserve"> Faction</t>
        </is>
      </c>
      <c r="C49" t="inlineStr">
        <is>
          <t>CT 3.0</t>
        </is>
      </c>
      <c r="D49" t="n">
        <v>178</v>
      </c>
      <c r="E49" t="inlineStr">
        <is>
          <t xml:space="preserve"> Unisex</t>
        </is>
      </c>
      <c r="F49" t="n">
        <v>178</v>
      </c>
      <c r="G49" t="n">
        <v>176.4</v>
      </c>
      <c r="H49" t="n">
        <v>111</v>
      </c>
      <c r="I49" t="n">
        <v>147</v>
      </c>
      <c r="J49" t="n">
        <v>139</v>
      </c>
      <c r="K49" t="n">
        <v>111</v>
      </c>
      <c r="L49" t="n">
        <v>133</v>
      </c>
      <c r="M49" t="n">
        <v>20</v>
      </c>
      <c r="N49" t="n">
        <v>1931</v>
      </c>
      <c r="O49" t="n">
        <v>1.1</v>
      </c>
      <c r="P49" t="n">
        <v>2119</v>
      </c>
      <c r="Q49" t="n">
        <v>221</v>
      </c>
      <c r="R49" t="n">
        <v>106</v>
      </c>
      <c r="S49" t="n">
        <v>59</v>
      </c>
      <c r="T49" t="n">
        <v>346</v>
      </c>
      <c r="U49" t="n">
        <v>52</v>
      </c>
      <c r="V49" t="n">
        <v>305</v>
      </c>
      <c r="W49" t="n">
        <v>0.882</v>
      </c>
      <c r="X49" t="n">
        <v>148</v>
      </c>
      <c r="Y49" t="n">
        <v>147</v>
      </c>
      <c r="Z49" t="n">
        <v>198</v>
      </c>
      <c r="AA49" t="n">
        <v>6</v>
      </c>
      <c r="AB49" t="n">
        <v>5.6</v>
      </c>
      <c r="AC49" t="inlineStr">
        <is>
          <t xml:space="preserve"> Freeski</t>
        </is>
      </c>
      <c r="AD49" t="inlineStr">
        <is>
          <t xml:space="preserve"> Powder</t>
        </is>
      </c>
      <c r="AE49" t="inlineStr">
        <is>
          <t xml:space="preserve"> Touring</t>
        </is>
      </c>
      <c r="AG49" t="inlineStr">
        <is>
          <t>Faction Ct Candide 3.0 x Skis</t>
        </is>
      </c>
      <c r="AH49" t="inlineStr">
        <is>
          <t>AlpinStore</t>
        </is>
      </c>
      <c r="AI49" s="333" t="n">
        <v>623.86</v>
      </c>
      <c r="AJ49" t="inlineStr">
        <is>
          <t>https://tinyurl.com/y8ofsx4v</t>
        </is>
      </c>
      <c r="AK49" t="inlineStr">
        <is>
          <t>Faction Prodigy 3.0 Skis 2022 - 178</t>
        </is>
      </c>
      <c r="AL49" t="inlineStr">
        <is>
          <t>Powder7 Ski Shop</t>
        </is>
      </c>
      <c r="AM49" s="333" t="n">
        <v>599.9299999999999</v>
      </c>
      <c r="AN49" t="inlineStr">
        <is>
          <t>https://tinyurl.com/ydemywdf</t>
        </is>
      </c>
      <c r="AO49" t="inlineStr">
        <is>
          <t>Faction Women's Candide 3.0 x Skis Black 178 cm</t>
        </is>
      </c>
      <c r="AP49" t="inlineStr">
        <is>
          <t>REI</t>
        </is>
      </c>
      <c r="AQ49" s="333" t="n">
        <v>638.9299999999999</v>
      </c>
      <c r="AR49" t="inlineStr">
        <is>
          <t>https://tinyurl.com/y89ts2jf</t>
        </is>
      </c>
      <c r="AS49" s="314">
        <f>IF(LEFT(C49,1)=" ",RIGHT(C49,LEN(C49)-1),C49)</f>
        <v/>
      </c>
      <c r="AT49" s="281">
        <f>_xlfn.CONCAT(B49,AS49,D49,E49)</f>
        <v/>
      </c>
    </row>
    <row r="50">
      <c r="A50" t="inlineStr">
        <is>
          <t>21/22</t>
        </is>
      </c>
      <c r="B50" t="inlineStr">
        <is>
          <t xml:space="preserve"> Head</t>
        </is>
      </c>
      <c r="C50" t="inlineStr">
        <is>
          <t>Kore 105</t>
        </is>
      </c>
      <c r="D50" t="n">
        <v>170</v>
      </c>
      <c r="E50" t="inlineStr">
        <is>
          <t xml:space="preserve"> Unisex</t>
        </is>
      </c>
      <c r="F50" t="n">
        <v>170</v>
      </c>
      <c r="G50" t="n">
        <v>170.1</v>
      </c>
      <c r="H50" t="n">
        <v>127</v>
      </c>
      <c r="I50" t="n">
        <v>131</v>
      </c>
      <c r="J50" t="n">
        <v>128</v>
      </c>
      <c r="K50" t="n">
        <v>100</v>
      </c>
      <c r="L50" t="n">
        <v>118</v>
      </c>
      <c r="M50" t="n">
        <v>15.9</v>
      </c>
      <c r="N50" t="n">
        <v>1636</v>
      </c>
      <c r="O50" t="n">
        <v>1.15</v>
      </c>
      <c r="P50" t="n">
        <v>1875</v>
      </c>
      <c r="Q50" t="n">
        <v>222</v>
      </c>
      <c r="R50" t="n">
        <v>108</v>
      </c>
      <c r="S50" t="n">
        <v>54</v>
      </c>
      <c r="T50" t="n">
        <v>253</v>
      </c>
      <c r="U50" t="n">
        <v>19</v>
      </c>
      <c r="V50" t="n">
        <v>176</v>
      </c>
      <c r="W50" t="n">
        <v>0.356</v>
      </c>
      <c r="X50" t="n">
        <v>230</v>
      </c>
      <c r="Y50" t="n">
        <v>161</v>
      </c>
      <c r="Z50" t="n">
        <v>23</v>
      </c>
      <c r="AA50" t="n">
        <v>6</v>
      </c>
      <c r="AB50" t="n">
        <v>9.800000000000001</v>
      </c>
      <c r="AC50" t="inlineStr">
        <is>
          <t xml:space="preserve"> Resort Freeride</t>
        </is>
      </c>
      <c r="AD50" t="inlineStr">
        <is>
          <t xml:space="preserve"> Touring</t>
        </is>
      </c>
      <c r="AG50" t="inlineStr">
        <is>
          <t>Head Kore 105 Skis</t>
        </is>
      </c>
      <c r="AH50" t="inlineStr">
        <is>
          <t>UtahSkis</t>
        </is>
      </c>
      <c r="AI50" s="333" t="n">
        <v>449</v>
      </c>
      <c r="AJ50" t="inlineStr">
        <is>
          <t>https://tinyurl.com/yb4mgmzh</t>
        </is>
      </c>
      <c r="AK50" t="inlineStr">
        <is>
          <t>Head Kore 105 Anth/Ge / 170cm</t>
        </is>
      </c>
      <c r="AL50" t="inlineStr">
        <is>
          <t>Sundance Ski and Board Shop</t>
        </is>
      </c>
      <c r="AM50" s="333" t="n">
        <v>521.29</v>
      </c>
      <c r="AN50" t="inlineStr">
        <is>
          <t>https://tinyurl.com/ya86xhx5</t>
        </is>
      </c>
      <c r="AO50" t="inlineStr">
        <is>
          <t>Head Kore 105 Skis</t>
        </is>
      </c>
      <c r="AP50" t="inlineStr">
        <is>
          <t>Gorham Bike and Ski</t>
        </is>
      </c>
      <c r="AQ50" s="333" t="n">
        <v>524.99</v>
      </c>
      <c r="AR50" t="inlineStr">
        <is>
          <t>https://tinyurl.com/y7glbffp</t>
        </is>
      </c>
      <c r="AS50" s="314">
        <f>IF(LEFT(C50,1)=" ",RIGHT(C50,LEN(C50)-1),C50)</f>
        <v/>
      </c>
      <c r="AT50" s="281">
        <f>_xlfn.CONCAT(B50,AS50,D50,E50)</f>
        <v/>
      </c>
    </row>
    <row r="51">
      <c r="A51" t="inlineStr">
        <is>
          <t>21/22</t>
        </is>
      </c>
      <c r="B51" t="inlineStr">
        <is>
          <t xml:space="preserve"> Armada</t>
        </is>
      </c>
      <c r="C51" t="inlineStr">
        <is>
          <t>Reliance 88 Ca</t>
        </is>
      </c>
      <c r="D51" t="n">
        <v>160</v>
      </c>
      <c r="E51" t="inlineStr">
        <is>
          <t xml:space="preserve"> Women's</t>
        </is>
      </c>
      <c r="F51" t="n">
        <v>160</v>
      </c>
      <c r="G51" t="n">
        <v>159.5</v>
      </c>
      <c r="H51" t="n">
        <v>132</v>
      </c>
      <c r="I51" t="n">
        <v>142</v>
      </c>
      <c r="J51" t="n">
        <v>127</v>
      </c>
      <c r="K51" t="n">
        <v>87</v>
      </c>
      <c r="L51" t="n">
        <v>109</v>
      </c>
      <c r="M51" t="n">
        <v>16.3</v>
      </c>
      <c r="N51" t="n">
        <v>1478</v>
      </c>
      <c r="O51" t="n">
        <v>1.06</v>
      </c>
      <c r="P51" t="n">
        <v>1574</v>
      </c>
      <c r="Q51" t="n">
        <v>222</v>
      </c>
      <c r="R51" t="n">
        <v>104</v>
      </c>
      <c r="S51" t="n">
        <v>39</v>
      </c>
      <c r="T51" t="n">
        <v>172</v>
      </c>
      <c r="U51" t="n">
        <v>10</v>
      </c>
      <c r="V51" t="n">
        <v>100</v>
      </c>
      <c r="W51" t="n">
        <v>0.245</v>
      </c>
      <c r="X51" t="n">
        <v>112</v>
      </c>
      <c r="Y51" t="n">
        <v>62</v>
      </c>
      <c r="Z51" t="n">
        <v>60</v>
      </c>
      <c r="AA51" t="n">
        <v>5</v>
      </c>
      <c r="AB51" t="n">
        <v>11.4</v>
      </c>
      <c r="AC51" t="inlineStr">
        <is>
          <t xml:space="preserve"> Resort Freeride</t>
        </is>
      </c>
      <c r="AD51" t="inlineStr">
        <is>
          <t xml:space="preserve"> Touring</t>
        </is>
      </c>
      <c r="AG51" t="inlineStr">
        <is>
          <t>Armada Reliance 88 C Skis</t>
        </is>
      </c>
      <c r="AH51" t="inlineStr">
        <is>
          <t>Snowcountry.eu</t>
        </is>
      </c>
      <c r="AI51" s="333" t="n">
        <v>367.9</v>
      </c>
      <c r="AJ51" t="inlineStr">
        <is>
          <t>https://tinyurl.com/y8e8w3wd</t>
        </is>
      </c>
      <c r="AK51" t="inlineStr">
        <is>
          <t>Armada Reliance 88 C White-Black 160 Ski Lady's Ladies / Women</t>
        </is>
      </c>
      <c r="AL51" t="inlineStr">
        <is>
          <t>! OutdoorXL.com</t>
        </is>
      </c>
      <c r="AM51" s="333" t="n">
        <v>374.95</v>
      </c>
      <c r="AN51" t="inlineStr">
        <is>
          <t>https://tinyurl.com/y8345xxq</t>
        </is>
      </c>
      <c r="AO51" t="inlineStr">
        <is>
          <t>Armada Reliance 88 C Skis</t>
        </is>
      </c>
      <c r="AP51" t="inlineStr">
        <is>
          <t>UtahSkis</t>
        </is>
      </c>
      <c r="AQ51" s="333" t="n">
        <v>479.96</v>
      </c>
      <c r="AR51" t="inlineStr">
        <is>
          <t>https://tinyurl.com/y9kngcux</t>
        </is>
      </c>
      <c r="AS51" s="314">
        <f>IF(LEFT(C51,1)=" ",RIGHT(C51,LEN(C51)-1),C51)</f>
        <v/>
      </c>
      <c r="AT51" s="281">
        <f>_xlfn.CONCAT(B51,AS51,D51,E51)</f>
        <v/>
      </c>
    </row>
    <row r="52">
      <c r="A52" t="inlineStr">
        <is>
          <t>21/22</t>
        </is>
      </c>
      <c r="B52" t="inlineStr">
        <is>
          <t xml:space="preserve"> Fischer</t>
        </is>
      </c>
      <c r="C52" t="inlineStr">
        <is>
          <t>Ranger 94 FR W</t>
        </is>
      </c>
      <c r="D52" t="n">
        <v>169</v>
      </c>
      <c r="E52" t="inlineStr">
        <is>
          <t xml:space="preserve"> Women's</t>
        </is>
      </c>
      <c r="F52" t="n">
        <v>169</v>
      </c>
      <c r="G52" t="n">
        <v>168.1</v>
      </c>
      <c r="H52" t="n">
        <v>113</v>
      </c>
      <c r="I52" t="n">
        <v>139</v>
      </c>
      <c r="J52" t="n">
        <v>125</v>
      </c>
      <c r="K52" t="n">
        <v>90</v>
      </c>
      <c r="L52" t="n">
        <v>116</v>
      </c>
      <c r="M52" t="n">
        <v>13.2</v>
      </c>
      <c r="N52" t="n">
        <v>1593</v>
      </c>
      <c r="O52" t="n">
        <v>1.1</v>
      </c>
      <c r="P52" t="n">
        <v>1746</v>
      </c>
      <c r="Q52" t="n">
        <v>211</v>
      </c>
      <c r="R52" t="n">
        <v>100</v>
      </c>
      <c r="S52" t="n">
        <v>52</v>
      </c>
      <c r="T52" t="n">
        <v>359</v>
      </c>
      <c r="U52" t="n">
        <v>33</v>
      </c>
      <c r="V52" t="n">
        <v>190</v>
      </c>
      <c r="W52" t="n">
        <v>0.634</v>
      </c>
      <c r="X52" t="n">
        <v>147</v>
      </c>
      <c r="Y52" t="n">
        <v>145</v>
      </c>
      <c r="Z52" t="n">
        <v>212</v>
      </c>
      <c r="AA52" t="n">
        <v>5</v>
      </c>
      <c r="AB52" t="n">
        <v>5.9</v>
      </c>
      <c r="AC52" t="inlineStr">
        <is>
          <t xml:space="preserve"> Resort Freeride</t>
        </is>
      </c>
      <c r="AD52" t="inlineStr">
        <is>
          <t xml:space="preserve"> Touring</t>
        </is>
      </c>
      <c r="AG52" t="inlineStr">
        <is>
          <t>Fischer Ranger 94 FR Skis</t>
        </is>
      </c>
      <c r="AH52" t="inlineStr">
        <is>
          <t>ColoradoSkiShop.com</t>
        </is>
      </c>
      <c r="AI52" s="333" t="n">
        <v>479.99</v>
      </c>
      <c r="AJ52" t="inlineStr">
        <is>
          <t>https://tinyurl.com/y86b8cje</t>
        </is>
      </c>
      <c r="AK52" t="inlineStr">
        <is>
          <t>Fischer Ranger 94 FR Skis</t>
        </is>
      </c>
      <c r="AL52" t="inlineStr">
        <is>
          <t>skicenterltd.com</t>
        </is>
      </c>
      <c r="AM52" s="333" t="n">
        <v>699.99</v>
      </c>
      <c r="AN52" t="inlineStr">
        <is>
          <t>https://tinyurl.com/y7a68hff</t>
        </is>
      </c>
      <c r="AO52" t="inlineStr">
        <is>
          <t>Ranger 94 Fr 169</t>
        </is>
      </c>
      <c r="AP52" t="inlineStr">
        <is>
          <t>Pro Ski and Mountain Service</t>
        </is>
      </c>
      <c r="AQ52" s="333" t="n">
        <v>699.99</v>
      </c>
      <c r="AR52" t="inlineStr">
        <is>
          <t>https://tinyurl.com/y8cpf4nn</t>
        </is>
      </c>
      <c r="AS52" s="314">
        <f>IF(LEFT(C52,1)=" ",RIGHT(C52,LEN(C52)-1),C52)</f>
        <v/>
      </c>
      <c r="AT52" s="281">
        <f>_xlfn.CONCAT(B52,AS52,D52,E52)</f>
        <v/>
      </c>
    </row>
    <row r="53">
      <c r="A53" t="inlineStr">
        <is>
          <t>21/22</t>
        </is>
      </c>
      <c r="B53" t="inlineStr">
        <is>
          <t xml:space="preserve"> Atomic</t>
        </is>
      </c>
      <c r="C53" t="inlineStr">
        <is>
          <t>Maven 93 C</t>
        </is>
      </c>
      <c r="D53" t="n">
        <v>172</v>
      </c>
      <c r="E53" t="inlineStr">
        <is>
          <t xml:space="preserve"> Women's</t>
        </is>
      </c>
      <c r="F53" t="n">
        <v>172</v>
      </c>
      <c r="G53" t="n">
        <v>171.4</v>
      </c>
      <c r="H53" t="n">
        <v>122</v>
      </c>
      <c r="I53" t="n">
        <v>140</v>
      </c>
      <c r="J53" t="n">
        <v>127</v>
      </c>
      <c r="K53" t="n">
        <v>92</v>
      </c>
      <c r="L53" t="n">
        <v>110</v>
      </c>
      <c r="M53" t="n">
        <v>17.9</v>
      </c>
      <c r="N53" t="n">
        <v>1642</v>
      </c>
      <c r="O53" t="n">
        <v>1.07</v>
      </c>
      <c r="P53" t="n">
        <v>1761</v>
      </c>
      <c r="Q53" t="n">
        <v>219</v>
      </c>
      <c r="R53" t="n">
        <v>107</v>
      </c>
      <c r="S53" t="n">
        <v>52</v>
      </c>
      <c r="T53" t="n">
        <v>297</v>
      </c>
      <c r="U53" t="n">
        <v>14</v>
      </c>
      <c r="V53" t="n">
        <v>194</v>
      </c>
      <c r="W53" t="n">
        <v>0.268999999999999</v>
      </c>
      <c r="X53" t="n">
        <v>183</v>
      </c>
      <c r="Y53" t="n">
        <v>133</v>
      </c>
      <c r="Z53" t="n">
        <v>114</v>
      </c>
      <c r="AA53" t="n">
        <v>5</v>
      </c>
      <c r="AB53" t="n">
        <v>8.800000000000001</v>
      </c>
      <c r="AC53" t="inlineStr">
        <is>
          <t xml:space="preserve"> Resort Freeride</t>
        </is>
      </c>
      <c r="AD53" t="inlineStr">
        <is>
          <t xml:space="preserve"> Touring</t>
        </is>
      </c>
      <c r="AG53" t="inlineStr">
        <is>
          <t>Atomic Maven 93 C Skis</t>
        </is>
      </c>
      <c r="AH53" t="inlineStr">
        <is>
          <t>eBay - asogear</t>
        </is>
      </c>
      <c r="AI53" s="333" t="n">
        <v>389.99</v>
      </c>
      <c r="AJ53" t="inlineStr">
        <is>
          <t>https://tinyurl.com/y95z7xhm</t>
        </is>
      </c>
      <c r="AK53" t="inlineStr">
        <is>
          <t>Atomic Maven 93 C Anthracite/Mint / 172cm</t>
        </is>
      </c>
      <c r="AL53" t="inlineStr">
        <is>
          <t>Sundance Ski and Board Shop</t>
        </is>
      </c>
      <c r="AM53" s="333" t="n">
        <v>441.09</v>
      </c>
      <c r="AN53" t="inlineStr">
        <is>
          <t>https://tinyurl.com/y8vyl476</t>
        </is>
      </c>
      <c r="AO53" t="inlineStr">
        <is>
          <t>Atomic Maven 93 C Skis</t>
        </is>
      </c>
      <c r="AP53" t="inlineStr">
        <is>
          <t>Backcountry.com</t>
        </is>
      </c>
      <c r="AQ53" s="333" t="n">
        <v>519.96</v>
      </c>
      <c r="AR53" t="inlineStr">
        <is>
          <t>https://tinyurl.com/ybq4tsok</t>
        </is>
      </c>
      <c r="AS53" s="314">
        <f>IF(LEFT(C53,1)=" ",RIGHT(C53,LEN(C53)-1),C53)</f>
        <v/>
      </c>
      <c r="AT53" s="281">
        <f>_xlfn.CONCAT(B53,AS53,D53,E53)</f>
        <v/>
      </c>
    </row>
    <row r="54">
      <c r="A54" t="inlineStr">
        <is>
          <t>21/22</t>
        </is>
      </c>
      <c r="B54" t="inlineStr">
        <is>
          <t xml:space="preserve"> Faction</t>
        </is>
      </c>
      <c r="C54" t="inlineStr">
        <is>
          <t>Agent 2.0 X</t>
        </is>
      </c>
      <c r="D54" t="n">
        <v>163</v>
      </c>
      <c r="E54" t="inlineStr">
        <is>
          <t xml:space="preserve"> Women's</t>
        </is>
      </c>
      <c r="F54" t="n">
        <v>163</v>
      </c>
      <c r="G54" t="n">
        <v>169.5</v>
      </c>
      <c r="H54" t="n">
        <v>126</v>
      </c>
      <c r="I54" t="n">
        <v>140</v>
      </c>
      <c r="J54" t="n">
        <v>126</v>
      </c>
      <c r="K54" t="n">
        <v>95</v>
      </c>
      <c r="L54" t="n">
        <v>116</v>
      </c>
      <c r="M54" t="n">
        <v>17.6</v>
      </c>
      <c r="N54" t="n">
        <v>1528</v>
      </c>
      <c r="O54" t="n">
        <v>1.17</v>
      </c>
      <c r="P54" t="n">
        <v>1793</v>
      </c>
      <c r="Q54" t="n">
        <v>221</v>
      </c>
      <c r="R54" t="n">
        <v>107</v>
      </c>
      <c r="S54" t="n">
        <v>52</v>
      </c>
      <c r="T54" t="n">
        <v>247</v>
      </c>
      <c r="U54" t="n">
        <v>21</v>
      </c>
      <c r="V54" t="n">
        <v>186</v>
      </c>
      <c r="W54" t="n">
        <v>0.405</v>
      </c>
      <c r="X54" t="n">
        <v>173</v>
      </c>
      <c r="Y54" t="n">
        <v>120</v>
      </c>
      <c r="Z54" t="n">
        <v>74</v>
      </c>
      <c r="AA54" t="n">
        <v>6</v>
      </c>
      <c r="AB54" t="n">
        <v>10.9</v>
      </c>
      <c r="AC54" t="inlineStr">
        <is>
          <t xml:space="preserve"> Resort Freeride</t>
        </is>
      </c>
      <c r="AD54" t="inlineStr">
        <is>
          <t xml:space="preserve"> Touring</t>
        </is>
      </c>
      <c r="AG54" t="inlineStr">
        <is>
          <t>Faction Agent 2.0x Women's Skis</t>
        </is>
      </c>
      <c r="AH54" t="inlineStr">
        <is>
          <t>Aspen Ski and Board</t>
        </is>
      </c>
      <c r="AI54" s="333" t="n">
        <v>559.2</v>
      </c>
      <c r="AJ54" t="inlineStr">
        <is>
          <t>https://tinyurl.com/ycql4jcg</t>
        </is>
      </c>
      <c r="AK54" t="inlineStr">
        <is>
          <t>Faction Agent 2.0x Women's Skis</t>
        </is>
      </c>
      <c r="AL54" t="inlineStr">
        <is>
          <t>Saint Bernard</t>
        </is>
      </c>
      <c r="AM54" s="333" t="n">
        <v>559.9</v>
      </c>
      <c r="AN54" t="inlineStr">
        <is>
          <t>https://tinyurl.com/yauymccn</t>
        </is>
      </c>
      <c r="AO54" t="inlineStr">
        <is>
          <t>Faction Agent 2.0x Women's Skis</t>
        </is>
      </c>
      <c r="AP54" t="inlineStr">
        <is>
          <t>Next Adventure</t>
        </is>
      </c>
      <c r="AQ54" s="333" t="n">
        <v>639.2</v>
      </c>
      <c r="AR54" t="inlineStr">
        <is>
          <t>https://tinyurl.com/ybpbchbn</t>
        </is>
      </c>
      <c r="AS54" s="314">
        <f>IF(LEFT(C54,1)=" ",RIGHT(C54,LEN(C54)-1),C54)</f>
        <v/>
      </c>
      <c r="AT54" s="281">
        <f>_xlfn.CONCAT(B54,AS54,D54,E54)</f>
        <v/>
      </c>
    </row>
    <row r="55">
      <c r="A55" t="inlineStr">
        <is>
          <t>21/22</t>
        </is>
      </c>
      <c r="B55" t="inlineStr">
        <is>
          <t xml:space="preserve"> DPS</t>
        </is>
      </c>
      <c r="C55" t="inlineStr">
        <is>
          <t>Pagoda 106 C2</t>
        </is>
      </c>
      <c r="D55" t="n">
        <v>163</v>
      </c>
      <c r="E55" t="inlineStr">
        <is>
          <t xml:space="preserve"> Unisex</t>
        </is>
      </c>
      <c r="F55" t="n">
        <v>163</v>
      </c>
      <c r="G55" t="n">
        <v>162</v>
      </c>
      <c r="H55" t="n">
        <v>113</v>
      </c>
      <c r="I55" t="n">
        <v>126</v>
      </c>
      <c r="J55" t="n">
        <v>131</v>
      </c>
      <c r="K55" t="n">
        <v>105</v>
      </c>
      <c r="L55" t="n">
        <v>117</v>
      </c>
      <c r="M55" t="n">
        <v>19.2</v>
      </c>
      <c r="N55" t="n">
        <v>1720</v>
      </c>
      <c r="O55" t="n">
        <v>1.06</v>
      </c>
      <c r="P55" t="n">
        <v>1832</v>
      </c>
      <c r="Q55" t="n">
        <v>212</v>
      </c>
      <c r="R55" t="n">
        <v>109</v>
      </c>
      <c r="S55" t="n">
        <v>43</v>
      </c>
      <c r="T55" t="n">
        <v>278</v>
      </c>
      <c r="U55" t="n">
        <v>20</v>
      </c>
      <c r="V55" t="n">
        <v>214</v>
      </c>
      <c r="W55" t="n">
        <v>0.462999999999999</v>
      </c>
      <c r="X55" t="n">
        <v>192</v>
      </c>
      <c r="Y55" t="n">
        <v>173</v>
      </c>
      <c r="Z55" t="n">
        <v>86</v>
      </c>
      <c r="AA55" t="n">
        <v>6</v>
      </c>
      <c r="AB55" t="n">
        <v>9.5</v>
      </c>
      <c r="AC55" t="inlineStr">
        <is>
          <t xml:space="preserve"> Powder</t>
        </is>
      </c>
      <c r="AD55" t="inlineStr">
        <is>
          <t xml:space="preserve"> Touring</t>
        </is>
      </c>
      <c r="AG55" t="inlineStr">
        <is>
          <t>DPS Pagoda 106 C2 Ski 163 / Blue</t>
        </is>
      </c>
      <c r="AH55" t="inlineStr">
        <is>
          <t>Cripple Creek Backcountry</t>
        </is>
      </c>
      <c r="AI55" s="333" t="n">
        <v>1029</v>
      </c>
      <c r="AJ55" t="inlineStr">
        <is>
          <t>https://tinyurl.com/yc4pl6hp</t>
        </is>
      </c>
      <c r="AK55" t="inlineStr">
        <is>
          <t>DPS Pagoda 106 C2 163CM / PURPLE</t>
        </is>
      </c>
      <c r="AL55" t="inlineStr">
        <is>
          <t>Neptune Mountaineering</t>
        </is>
      </c>
      <c r="AM55" s="333" t="n">
        <v>1039.2</v>
      </c>
      <c r="AN55" t="inlineStr">
        <is>
          <t>https://tinyurl.com/yajbx3gj</t>
        </is>
      </c>
      <c r="AO55" t="inlineStr">
        <is>
          <t>DPS Pagoda 106 C2 Skis 2022 - 163</t>
        </is>
      </c>
      <c r="AP55" t="inlineStr">
        <is>
          <t>Powder7 Ski Shop</t>
        </is>
      </c>
      <c r="AQ55" s="333" t="n">
        <v>1039.2</v>
      </c>
      <c r="AR55" t="inlineStr">
        <is>
          <t>https://tinyurl.com/yaryldsa</t>
        </is>
      </c>
      <c r="AS55" s="314">
        <f>IF(LEFT(C55,1)=" ",RIGHT(C55,LEN(C55)-1),C55)</f>
        <v/>
      </c>
      <c r="AT55" s="281">
        <f>_xlfn.CONCAT(B55,AS55,D55,E55)</f>
        <v/>
      </c>
    </row>
    <row r="56">
      <c r="A56" t="inlineStr">
        <is>
          <t>21/22</t>
        </is>
      </c>
      <c r="B56" t="inlineStr">
        <is>
          <t xml:space="preserve"> Salomon</t>
        </is>
      </c>
      <c r="C56" t="inlineStr">
        <is>
          <t>MTN Explore 95</t>
        </is>
      </c>
      <c r="D56" t="n">
        <v>184</v>
      </c>
      <c r="E56" t="inlineStr">
        <is>
          <t xml:space="preserve"> Unisex</t>
        </is>
      </c>
      <c r="F56" t="n">
        <v>184</v>
      </c>
      <c r="G56" t="n">
        <v>183.6</v>
      </c>
      <c r="H56" t="n">
        <v>145</v>
      </c>
      <c r="I56" t="n">
        <v>153</v>
      </c>
      <c r="J56" t="n">
        <v>131</v>
      </c>
      <c r="K56" t="n">
        <v>95</v>
      </c>
      <c r="L56" t="n">
        <v>117</v>
      </c>
      <c r="M56" t="n">
        <v>18.9</v>
      </c>
      <c r="N56" t="n">
        <v>1701</v>
      </c>
      <c r="O56" t="n">
        <v>1.15</v>
      </c>
      <c r="P56" t="n">
        <v>1959</v>
      </c>
      <c r="Q56" t="n">
        <v>219</v>
      </c>
      <c r="R56" t="n">
        <v>88</v>
      </c>
      <c r="S56" t="n">
        <v>50</v>
      </c>
      <c r="T56" t="n">
        <v>289</v>
      </c>
      <c r="U56" t="n">
        <v>7</v>
      </c>
      <c r="V56" t="n">
        <v>99</v>
      </c>
      <c r="W56" t="n">
        <v>0.142</v>
      </c>
      <c r="X56" t="n">
        <v>199</v>
      </c>
      <c r="Y56" t="n">
        <v>110</v>
      </c>
      <c r="Z56" t="n">
        <v>90</v>
      </c>
      <c r="AA56" t="n">
        <v>10</v>
      </c>
      <c r="AB56" t="n">
        <v>10.9</v>
      </c>
      <c r="AC56" t="inlineStr">
        <is>
          <t xml:space="preserve"> Resort Freeride</t>
        </is>
      </c>
      <c r="AD56" t="inlineStr">
        <is>
          <t xml:space="preserve"> Touring</t>
        </is>
      </c>
      <c r="AG56" t="inlineStr">
        <is>
          <t>Salomon MTN Explore 95 Skis 2022</t>
        </is>
      </c>
      <c r="AH56" t="inlineStr">
        <is>
          <t>Telemark Pyrenees</t>
        </is>
      </c>
      <c r="AI56" s="333" t="n">
        <v>366.64</v>
      </c>
      <c r="AJ56" t="inlineStr">
        <is>
          <t>https://tinyurl.com/yd4tgds7</t>
        </is>
      </c>
      <c r="AK56" t="inlineStr">
        <is>
          <t>Salomon MTN Explore 95 Skis 2022</t>
        </is>
      </c>
      <c r="AL56" t="inlineStr">
        <is>
          <t>Powder7 Ski Shop</t>
        </is>
      </c>
      <c r="AM56" s="333" t="n">
        <v>559.99</v>
      </c>
      <c r="AN56" t="inlineStr">
        <is>
          <t>https://tinyurl.com/yd35uxz9</t>
        </is>
      </c>
      <c r="AO56" t="inlineStr">
        <is>
          <t>Salomon MTN Explore 95</t>
        </is>
      </c>
      <c r="AP56" t="inlineStr">
        <is>
          <t>Level Nine Sports</t>
        </is>
      </c>
      <c r="AQ56" s="333" t="n">
        <v>559.99</v>
      </c>
      <c r="AR56" t="inlineStr">
        <is>
          <t>https://tinyurl.com/y7w8wqt8</t>
        </is>
      </c>
      <c r="AS56" s="314">
        <f>IF(LEFT(C56,1)=" ",RIGHT(C56,LEN(C56)-1),C56)</f>
        <v/>
      </c>
      <c r="AT56" s="281">
        <f>_xlfn.CONCAT(B56,AS56,D56,E56)</f>
        <v/>
      </c>
    </row>
    <row r="57">
      <c r="A57" t="inlineStr">
        <is>
          <t>21/22</t>
        </is>
      </c>
      <c r="B57" t="inlineStr">
        <is>
          <t xml:space="preserve"> DPS</t>
        </is>
      </c>
      <c r="C57" t="inlineStr">
        <is>
          <t>Pagoda Piste 100 C2</t>
        </is>
      </c>
      <c r="D57" t="n">
        <v>157</v>
      </c>
      <c r="E57" t="inlineStr">
        <is>
          <t xml:space="preserve"> Unisex</t>
        </is>
      </c>
      <c r="F57" t="n">
        <v>157</v>
      </c>
      <c r="G57" t="n">
        <v>156.8</v>
      </c>
      <c r="H57" t="n">
        <v>118</v>
      </c>
      <c r="I57" t="n">
        <v>121</v>
      </c>
      <c r="J57" t="n">
        <v>125</v>
      </c>
      <c r="K57" t="n">
        <v>100</v>
      </c>
      <c r="L57" t="n">
        <v>111</v>
      </c>
      <c r="M57" t="n">
        <v>18.8</v>
      </c>
      <c r="N57" t="n">
        <v>1559</v>
      </c>
      <c r="O57" t="n">
        <v>1.08</v>
      </c>
      <c r="P57" t="n">
        <v>1683</v>
      </c>
      <c r="Q57" t="n">
        <v>175</v>
      </c>
      <c r="R57" t="n">
        <v>104</v>
      </c>
      <c r="S57" t="n">
        <v>35</v>
      </c>
      <c r="T57" t="n">
        <v>223</v>
      </c>
      <c r="U57" t="n">
        <v>18</v>
      </c>
      <c r="V57" t="n">
        <v>169</v>
      </c>
      <c r="W57" t="n">
        <v>0.508</v>
      </c>
      <c r="X57" t="n">
        <v>170</v>
      </c>
      <c r="Y57" t="n">
        <v>184</v>
      </c>
      <c r="Z57" t="n">
        <v>53</v>
      </c>
      <c r="AA57" t="n">
        <v>7</v>
      </c>
      <c r="AB57" t="n">
        <v>10.2</v>
      </c>
      <c r="AC57" t="inlineStr">
        <is>
          <t xml:space="preserve"> Resort Freeride</t>
        </is>
      </c>
      <c r="AD57" t="inlineStr">
        <is>
          <t xml:space="preserve"> Touring</t>
        </is>
      </c>
      <c r="AG57" t="inlineStr">
        <is>
          <t>DPS Pagoda Piste 100 C2 Ski 157 / Red</t>
        </is>
      </c>
      <c r="AH57" t="inlineStr">
        <is>
          <t>Cripple Creek Backcountry</t>
        </is>
      </c>
      <c r="AI57" s="333" t="n">
        <v>1029</v>
      </c>
      <c r="AJ57" t="inlineStr">
        <is>
          <t>https://tinyurl.com/y9n9hvto</t>
        </is>
      </c>
      <c r="AK57" t="inlineStr">
        <is>
          <t>DPS Pagoda Piste 100 C2 Red Skis 157cm 2021</t>
        </is>
      </c>
      <c r="AL57" t="inlineStr">
        <is>
          <t>SkiEssentials.com</t>
        </is>
      </c>
      <c r="AM57" s="333" t="n">
        <v>1039</v>
      </c>
      <c r="AN57" t="inlineStr">
        <is>
          <t>https://tinyurl.com/y98nzyb8</t>
        </is>
      </c>
      <c r="AO57" t="inlineStr">
        <is>
          <t>DPS Pagoda Piste 100 C2 Red Skis 157cm 2021</t>
        </is>
      </c>
      <c r="AP57" t="inlineStr">
        <is>
          <t>Powder7 Ski Shop</t>
        </is>
      </c>
      <c r="AQ57" s="333" t="n">
        <v>1039.2</v>
      </c>
      <c r="AR57" t="inlineStr">
        <is>
          <t>https://tinyurl.com/ybdsv8ro</t>
        </is>
      </c>
      <c r="AS57" s="314">
        <f>IF(LEFT(C57,1)=" ",RIGHT(C57,LEN(C57)-1),C57)</f>
        <v/>
      </c>
      <c r="AT57" s="281">
        <f>_xlfn.CONCAT(B57,AS57,D57,E57)</f>
        <v/>
      </c>
    </row>
    <row r="58">
      <c r="A58" t="inlineStr">
        <is>
          <t>22/23</t>
        </is>
      </c>
      <c r="B58" t="inlineStr">
        <is>
          <t xml:space="preserve"> DPS</t>
        </is>
      </c>
      <c r="C58" t="inlineStr">
        <is>
          <t>Pagoda Tour 100 RP</t>
        </is>
      </c>
      <c r="D58" t="n">
        <v>171</v>
      </c>
      <c r="E58" t="inlineStr">
        <is>
          <t xml:space="preserve"> Unisex</t>
        </is>
      </c>
      <c r="F58" t="n">
        <v>171</v>
      </c>
      <c r="G58" t="n">
        <v>169.4</v>
      </c>
      <c r="H58" t="n">
        <v>107</v>
      </c>
      <c r="I58" t="n">
        <v>130</v>
      </c>
      <c r="J58" t="n">
        <v>129</v>
      </c>
      <c r="K58" t="n">
        <v>100</v>
      </c>
      <c r="L58" t="n">
        <v>115</v>
      </c>
      <c r="M58" t="n">
        <v>15.3</v>
      </c>
      <c r="N58" t="n">
        <v>1410</v>
      </c>
      <c r="O58" t="n">
        <v>1.32</v>
      </c>
      <c r="P58" t="n">
        <v>1864</v>
      </c>
      <c r="Q58" t="n">
        <v>217</v>
      </c>
      <c r="R58" t="n">
        <v>104</v>
      </c>
      <c r="S58" t="n">
        <v>61</v>
      </c>
      <c r="T58" t="n">
        <v>353</v>
      </c>
      <c r="U58" t="n">
        <v>14</v>
      </c>
      <c r="V58" t="n">
        <v>267</v>
      </c>
      <c r="W58" t="n">
        <v>0.233</v>
      </c>
      <c r="X58" t="n">
        <v>214</v>
      </c>
      <c r="Y58" t="n">
        <v>182</v>
      </c>
      <c r="Z58" t="n">
        <v>139</v>
      </c>
      <c r="AA58" t="n">
        <v>4</v>
      </c>
      <c r="AB58" t="n">
        <v>11.9</v>
      </c>
      <c r="AC58" t="inlineStr">
        <is>
          <t xml:space="preserve"> Touring</t>
        </is>
      </c>
      <c r="AD58" t="inlineStr">
        <is>
          <t xml:space="preserve"> Ultralight Touring</t>
        </is>
      </c>
      <c r="AG58" t="inlineStr">
        <is>
          <t>DPS Pagoda Tour 100 RP Skis Â· 171 cm</t>
        </is>
      </c>
      <c r="AH58" t="inlineStr">
        <is>
          <t>Skimo &amp; SkyRun</t>
        </is>
      </c>
      <c r="AI58" s="333" t="n">
        <v>1029</v>
      </c>
      <c r="AJ58" t="inlineStr">
        <is>
          <t>https://tinyurl.com/yb3qg92b</t>
        </is>
      </c>
      <c r="AK58" t="inlineStr">
        <is>
          <t>DPS Pagoda Tour 100 RP Skis Â· 171 cm</t>
        </is>
      </c>
      <c r="AL58" t="inlineStr">
        <is>
          <t>REI</t>
        </is>
      </c>
      <c r="AM58" s="333" t="n">
        <v>1038.93</v>
      </c>
      <c r="AN58" t="inlineStr">
        <is>
          <t>https://tinyurl.com/y7upfrkz</t>
        </is>
      </c>
      <c r="AO58" t="inlineStr">
        <is>
          <t>DPS Pagoda Tour 100 RP Skis Â· 171 cm</t>
        </is>
      </c>
      <c r="AP58" t="inlineStr">
        <is>
          <t>Backcountry.com</t>
        </is>
      </c>
      <c r="AQ58" s="333" t="n">
        <v>1039.2</v>
      </c>
      <c r="AR58" t="inlineStr">
        <is>
          <t>https://tinyurl.com/yct3fwa9</t>
        </is>
      </c>
      <c r="AS58" s="314">
        <f>IF(LEFT(C58,1)=" ",RIGHT(C58,LEN(C58)-1),C58)</f>
        <v/>
      </c>
      <c r="AT58" s="281">
        <f>_xlfn.CONCAT(B58,AS58,D58,E58)</f>
        <v/>
      </c>
    </row>
    <row r="59">
      <c r="A59" t="inlineStr">
        <is>
          <t>21/22</t>
        </is>
      </c>
      <c r="B59" t="inlineStr">
        <is>
          <t xml:space="preserve"> Elan</t>
        </is>
      </c>
      <c r="C59" t="inlineStr">
        <is>
          <t>Ripstick 96</t>
        </is>
      </c>
      <c r="D59" t="n">
        <v>188</v>
      </c>
      <c r="E59" t="inlineStr">
        <is>
          <t xml:space="preserve"> Unisex</t>
        </is>
      </c>
      <c r="F59" t="n">
        <v>188</v>
      </c>
      <c r="G59" t="n">
        <v>184.2</v>
      </c>
      <c r="H59" t="n">
        <v>135</v>
      </c>
      <c r="I59" t="n">
        <v>150</v>
      </c>
      <c r="J59" t="n">
        <v>136</v>
      </c>
      <c r="K59" t="n">
        <v>94</v>
      </c>
      <c r="L59" t="n">
        <v>110</v>
      </c>
      <c r="M59" t="n">
        <v>19</v>
      </c>
      <c r="N59" t="n">
        <v>1789</v>
      </c>
      <c r="O59" t="n">
        <v>1.09</v>
      </c>
      <c r="P59" t="n">
        <v>1958</v>
      </c>
      <c r="Q59" t="n">
        <v>239</v>
      </c>
      <c r="R59" t="n">
        <v>92</v>
      </c>
      <c r="S59" t="n">
        <v>45</v>
      </c>
      <c r="T59" t="n">
        <v>259</v>
      </c>
      <c r="U59" t="n">
        <v>12</v>
      </c>
      <c r="V59" t="n">
        <v>233</v>
      </c>
      <c r="W59" t="n">
        <v>0.276</v>
      </c>
      <c r="X59" t="n">
        <v>170</v>
      </c>
      <c r="Y59" t="n">
        <v>168</v>
      </c>
      <c r="Z59" t="n">
        <v>88</v>
      </c>
      <c r="AA59" t="n">
        <v>4</v>
      </c>
      <c r="AB59" t="n">
        <v>7.7</v>
      </c>
      <c r="AC59" t="inlineStr">
        <is>
          <t xml:space="preserve"> Resort Freeride</t>
        </is>
      </c>
      <c r="AD59" t="inlineStr">
        <is>
          <t xml:space="preserve"> Touring</t>
        </is>
      </c>
      <c r="AG59" t="inlineStr">
        <is>
          <t>Elan Ripstick 96 Skis</t>
        </is>
      </c>
      <c r="AH59" t="inlineStr">
        <is>
          <t>eBay - asogear</t>
        </is>
      </c>
      <c r="AI59" s="333" t="n">
        <v>419.99</v>
      </c>
      <c r="AJ59" t="inlineStr">
        <is>
          <t>https://tinyurl.com/ybz4hjnz</t>
        </is>
      </c>
      <c r="AK59" t="inlineStr">
        <is>
          <t>Elan Ripstick 96 Skis</t>
        </is>
      </c>
      <c r="AL59" t="inlineStr">
        <is>
          <t>Gorham Bike and Ski</t>
        </is>
      </c>
      <c r="AM59" s="333" t="n">
        <v>454.99</v>
      </c>
      <c r="AN59" t="inlineStr">
        <is>
          <t>https://tinyurl.com/yb64dpjw</t>
        </is>
      </c>
      <c r="AO59" t="inlineStr">
        <is>
          <t>Elan Ripstick 96 Testski's Incl Attack 13 Binding Blue-Green 188 Ski Men</t>
        </is>
      </c>
      <c r="AP59" t="inlineStr">
        <is>
          <t>! OutdoorXL.com</t>
        </is>
      </c>
      <c r="AQ59" s="333" t="n">
        <v>469.95</v>
      </c>
      <c r="AR59" t="inlineStr">
        <is>
          <t>https://tinyurl.com/y8mk4x3l</t>
        </is>
      </c>
      <c r="AS59" s="314">
        <f>IF(LEFT(C59,1)=" ",RIGHT(C59,LEN(C59)-1),C59)</f>
        <v/>
      </c>
      <c r="AT59" s="281">
        <f>_xlfn.CONCAT(B59,AS59,D59,E59)</f>
        <v/>
      </c>
    </row>
    <row r="60">
      <c r="A60" t="inlineStr">
        <is>
          <t>21/22</t>
        </is>
      </c>
      <c r="B60" t="inlineStr">
        <is>
          <t xml:space="preserve"> Atomic</t>
        </is>
      </c>
      <c r="C60" t="inlineStr">
        <is>
          <t>Bent Chetler 100</t>
        </is>
      </c>
      <c r="D60" t="n">
        <v>172</v>
      </c>
      <c r="E60" t="inlineStr">
        <is>
          <t xml:space="preserve"> Unisex</t>
        </is>
      </c>
      <c r="F60" t="n">
        <v>172</v>
      </c>
      <c r="G60" t="n">
        <v>171.4</v>
      </c>
      <c r="H60" t="n">
        <v>124</v>
      </c>
      <c r="I60" t="n">
        <v>139</v>
      </c>
      <c r="J60" t="n">
        <v>128</v>
      </c>
      <c r="K60" t="n">
        <v>99</v>
      </c>
      <c r="L60" t="n">
        <v>118</v>
      </c>
      <c r="M60" t="n">
        <v>17.7</v>
      </c>
      <c r="N60" t="n">
        <v>1678</v>
      </c>
      <c r="O60" t="n">
        <v>1.09</v>
      </c>
      <c r="P60" t="n">
        <v>1829</v>
      </c>
      <c r="Q60" t="n">
        <v>190</v>
      </c>
      <c r="R60" t="n">
        <v>108</v>
      </c>
      <c r="S60" t="n">
        <v>46</v>
      </c>
      <c r="T60" t="n">
        <v>293</v>
      </c>
      <c r="U60" t="n">
        <v>29</v>
      </c>
      <c r="V60" t="n">
        <v>182</v>
      </c>
      <c r="W60" t="n">
        <v>0.643</v>
      </c>
      <c r="X60" t="n">
        <v>180</v>
      </c>
      <c r="Y60" t="n">
        <v>147</v>
      </c>
      <c r="Z60" t="n">
        <v>113</v>
      </c>
      <c r="AA60" t="n">
        <v>10</v>
      </c>
      <c r="AB60" t="n">
        <v>7.9</v>
      </c>
      <c r="AC60" t="inlineStr">
        <is>
          <t xml:space="preserve"> Resort Freeride</t>
        </is>
      </c>
      <c r="AD60" t="inlineStr">
        <is>
          <t xml:space="preserve"> Touring</t>
        </is>
      </c>
      <c r="AG60" t="inlineStr">
        <is>
          <t>Atomic Bent Chetler 100 Grey/Green / 172cm</t>
        </is>
      </c>
      <c r="AH60" t="inlineStr">
        <is>
          <t>Sundance Ski and Board Shop</t>
        </is>
      </c>
      <c r="AI60" s="333" t="n">
        <v>400.99</v>
      </c>
      <c r="AJ60" t="inlineStr">
        <is>
          <t>https://tinyurl.com/y8yfvxf8</t>
        </is>
      </c>
      <c r="AK60" t="inlineStr">
        <is>
          <t>Atomic Bent Chetler 100</t>
        </is>
      </c>
      <c r="AL60" t="inlineStr">
        <is>
          <t>Skirack</t>
        </is>
      </c>
      <c r="AM60" s="333" t="n">
        <v>479.99</v>
      </c>
      <c r="AN60" t="inlineStr">
        <is>
          <t>https://tinyurl.com/y9x6qwy4</t>
        </is>
      </c>
      <c r="AO60" t="inlineStr">
        <is>
          <t>Atomic Bent Chetler 100</t>
        </is>
      </c>
      <c r="AP60" t="inlineStr">
        <is>
          <t>Level Nine Sports</t>
        </is>
      </c>
      <c r="AQ60" s="333" t="n">
        <v>479.99</v>
      </c>
      <c r="AR60" t="inlineStr">
        <is>
          <t>https://tinyurl.com/y8kpz9s2</t>
        </is>
      </c>
      <c r="AS60" s="314">
        <f>IF(LEFT(C60,1)=" ",RIGHT(C60,LEN(C60)-1),C60)</f>
        <v/>
      </c>
      <c r="AT60" s="281">
        <f>_xlfn.CONCAT(B60,AS60,D60,E60)</f>
        <v/>
      </c>
    </row>
    <row r="61">
      <c r="A61" t="inlineStr">
        <is>
          <t>21/22</t>
        </is>
      </c>
      <c r="B61" t="inlineStr">
        <is>
          <t xml:space="preserve"> Faction</t>
        </is>
      </c>
      <c r="C61" t="inlineStr">
        <is>
          <t>CT 2.0</t>
        </is>
      </c>
      <c r="D61" t="n">
        <v>166</v>
      </c>
      <c r="E61" t="inlineStr">
        <is>
          <t xml:space="preserve"> Unisex</t>
        </is>
      </c>
      <c r="F61" t="n">
        <v>166</v>
      </c>
      <c r="G61" t="n">
        <v>163.9</v>
      </c>
      <c r="H61" t="n">
        <v>108</v>
      </c>
      <c r="I61" t="n">
        <v>138</v>
      </c>
      <c r="J61" t="n">
        <v>131</v>
      </c>
      <c r="K61" t="n">
        <v>102</v>
      </c>
      <c r="L61" t="n">
        <v>127</v>
      </c>
      <c r="M61" t="n">
        <v>16.2</v>
      </c>
      <c r="N61" t="n">
        <v>1726</v>
      </c>
      <c r="O61" t="n">
        <v>1.06</v>
      </c>
      <c r="P61" t="n">
        <v>1831</v>
      </c>
      <c r="Q61" t="n">
        <v>204</v>
      </c>
      <c r="R61" t="n">
        <v>92</v>
      </c>
      <c r="S61" t="n">
        <v>51</v>
      </c>
      <c r="T61" t="n">
        <v>285</v>
      </c>
      <c r="U61" t="n">
        <v>51</v>
      </c>
      <c r="V61" t="n">
        <v>278</v>
      </c>
      <c r="W61" t="n">
        <v>0.993</v>
      </c>
      <c r="X61" t="n">
        <v>133</v>
      </c>
      <c r="Y61" t="n">
        <v>130</v>
      </c>
      <c r="Z61" t="n">
        <v>151</v>
      </c>
      <c r="AA61" t="n">
        <v>6</v>
      </c>
      <c r="AB61" t="n">
        <v>3.8</v>
      </c>
      <c r="AC61" t="inlineStr">
        <is>
          <t xml:space="preserve"> Freeski</t>
        </is>
      </c>
      <c r="AD61" t="inlineStr">
        <is>
          <t xml:space="preserve"> Powder</t>
        </is>
      </c>
      <c r="AE61" t="inlineStr">
        <is>
          <t xml:space="preserve"> Touring</t>
        </is>
      </c>
      <c r="AG61" t="inlineStr">
        <is>
          <t>Rossignol Blackops W Blazer Skis - Women's 2021</t>
        </is>
      </c>
      <c r="AH61" t="inlineStr">
        <is>
          <t>Snowcountry.eu</t>
        </is>
      </c>
      <c r="AI61" s="333" t="n">
        <v>387.23</v>
      </c>
      <c r="AJ61" t="inlineStr">
        <is>
          <t>https://tinyurl.com/yakkt85z</t>
        </is>
      </c>
      <c r="AK61" t="inlineStr">
        <is>
          <t>Rossignol Blackops W Blazer Skis - Women's 2021</t>
        </is>
      </c>
      <c r="AL61" t="inlineStr">
        <is>
          <t>eBay - asogear</t>
        </is>
      </c>
      <c r="AM61" s="333" t="n">
        <v>524.99</v>
      </c>
      <c r="AN61" t="inlineStr">
        <is>
          <t>https://tinyurl.com/y7gaf7xn</t>
        </is>
      </c>
      <c r="AO61" t="inlineStr">
        <is>
          <t>Rossignol Blackops W Blazer Skis - Women's 2021</t>
        </is>
      </c>
      <c r="AP61" t="inlineStr">
        <is>
          <t>Powder7 Ski Shop</t>
        </is>
      </c>
      <c r="AQ61" s="333" t="n">
        <v>559.95</v>
      </c>
      <c r="AR61" t="inlineStr">
        <is>
          <t>https://tinyurl.com/y87ams7s</t>
        </is>
      </c>
      <c r="AS61" s="314">
        <f>IF(LEFT(C61,1)=" ",RIGHT(C61,LEN(C61)-1),C61)</f>
        <v/>
      </c>
      <c r="AT61" s="281">
        <f>_xlfn.CONCAT(B61,AS61,D61,E61)</f>
        <v/>
      </c>
    </row>
    <row r="62">
      <c r="A62" t="inlineStr">
        <is>
          <t>21/22</t>
        </is>
      </c>
      <c r="B62" t="inlineStr">
        <is>
          <t xml:space="preserve"> Fischer</t>
        </is>
      </c>
      <c r="C62" t="inlineStr">
        <is>
          <t>Ranger 102 FR</t>
        </is>
      </c>
      <c r="D62" t="n">
        <v>177</v>
      </c>
      <c r="E62" t="inlineStr">
        <is>
          <t xml:space="preserve"> Unisex</t>
        </is>
      </c>
      <c r="F62" t="n">
        <v>177</v>
      </c>
      <c r="G62" t="n">
        <v>176.8</v>
      </c>
      <c r="H62" t="n">
        <v>121</v>
      </c>
      <c r="I62" t="n">
        <v>146</v>
      </c>
      <c r="J62" t="n">
        <v>135</v>
      </c>
      <c r="K62" t="n">
        <v>101</v>
      </c>
      <c r="L62" t="n">
        <v>125</v>
      </c>
      <c r="M62" t="n">
        <v>15.4</v>
      </c>
      <c r="N62" t="n">
        <v>1850</v>
      </c>
      <c r="O62" t="n">
        <v>1.08</v>
      </c>
      <c r="P62" t="n">
        <v>2004</v>
      </c>
      <c r="Q62" t="n">
        <v>214</v>
      </c>
      <c r="R62" t="n">
        <v>104</v>
      </c>
      <c r="S62" t="n">
        <v>49</v>
      </c>
      <c r="T62" t="n">
        <v>368</v>
      </c>
      <c r="U62" t="n">
        <v>29</v>
      </c>
      <c r="V62" t="n">
        <v>195</v>
      </c>
      <c r="W62" t="n">
        <v>0.598</v>
      </c>
      <c r="X62" t="n">
        <v>158</v>
      </c>
      <c r="Y62" t="n">
        <v>154</v>
      </c>
      <c r="Z62" t="n">
        <v>210</v>
      </c>
      <c r="AA62" t="n">
        <v>6</v>
      </c>
      <c r="AB62" t="n">
        <v>9.199999999999999</v>
      </c>
      <c r="AC62" t="inlineStr">
        <is>
          <t xml:space="preserve"> Resort Freeride</t>
        </is>
      </c>
      <c r="AD62" t="inlineStr">
        <is>
          <t xml:space="preserve"> Powder</t>
        </is>
      </c>
      <c r="AE62" t="inlineStr">
        <is>
          <t xml:space="preserve"> Touring</t>
        </is>
      </c>
      <c r="AG62" t="inlineStr">
        <is>
          <t>Fischer Ranger 102 FR 177cm</t>
        </is>
      </c>
      <c r="AH62" t="inlineStr">
        <is>
          <t>Sundance Ski and Board Shop</t>
        </is>
      </c>
      <c r="AI62" s="333" t="n">
        <v>521.29</v>
      </c>
      <c r="AJ62" t="inlineStr">
        <is>
          <t>https://tinyurl.com/y77duyvl</t>
        </is>
      </c>
      <c r="AK62" t="inlineStr">
        <is>
          <t>Fischer Ranger 102 FR Skis (Pink)</t>
        </is>
      </c>
      <c r="AL62" t="inlineStr">
        <is>
          <t>ColoradoSkiShop.com</t>
        </is>
      </c>
      <c r="AM62" s="333" t="n">
        <v>699.99</v>
      </c>
      <c r="AN62" t="inlineStr">
        <is>
          <t>https://tinyurl.com/yco67pt7</t>
        </is>
      </c>
      <c r="AS62" s="314">
        <f>IF(LEFT(C62,1)=" ",RIGHT(C62,LEN(C62)-1),C62)</f>
        <v/>
      </c>
      <c r="AT62" s="281">
        <f>_xlfn.CONCAT(B62,AS62,D62,E62)</f>
        <v/>
      </c>
    </row>
    <row r="63">
      <c r="A63" t="inlineStr">
        <is>
          <t>21/22</t>
        </is>
      </c>
      <c r="B63" t="inlineStr">
        <is>
          <t>K2</t>
        </is>
      </c>
      <c r="C63" t="inlineStr">
        <is>
          <t>Wayback 106</t>
        </is>
      </c>
      <c r="D63" t="n">
        <v>179</v>
      </c>
      <c r="E63" t="inlineStr">
        <is>
          <t xml:space="preserve"> Unisex</t>
        </is>
      </c>
      <c r="F63" t="n">
        <v>179</v>
      </c>
      <c r="G63" t="n">
        <v>178.9</v>
      </c>
      <c r="H63" t="n">
        <v>108</v>
      </c>
      <c r="I63" t="n">
        <v>148</v>
      </c>
      <c r="J63" t="n">
        <v>135</v>
      </c>
      <c r="K63" t="n">
        <v>105</v>
      </c>
      <c r="L63" t="n">
        <v>123</v>
      </c>
      <c r="M63" t="n">
        <v>21.6</v>
      </c>
      <c r="N63" t="n">
        <v>1522</v>
      </c>
      <c r="O63" t="n">
        <v>1.34</v>
      </c>
      <c r="P63" t="n">
        <v>2039</v>
      </c>
      <c r="Q63" t="n">
        <v>195</v>
      </c>
      <c r="R63" t="n">
        <v>96</v>
      </c>
      <c r="S63" t="n">
        <v>47</v>
      </c>
      <c r="T63" t="n">
        <v>458</v>
      </c>
      <c r="U63" t="n">
        <v>16</v>
      </c>
      <c r="V63" t="n">
        <v>255</v>
      </c>
      <c r="W63" t="n">
        <v>0.34</v>
      </c>
      <c r="X63" t="n">
        <v>181</v>
      </c>
      <c r="Y63" t="n">
        <v>133</v>
      </c>
      <c r="Z63" t="n">
        <v>276</v>
      </c>
      <c r="AA63" t="n">
        <v>3</v>
      </c>
      <c r="AB63" t="n">
        <v>13.2</v>
      </c>
      <c r="AC63" t="inlineStr">
        <is>
          <t xml:space="preserve"> Big Mountain</t>
        </is>
      </c>
      <c r="AD63" t="inlineStr">
        <is>
          <t xml:space="preserve"> Touring</t>
        </is>
      </c>
      <c r="AE63" t="inlineStr">
        <is>
          <t xml:space="preserve"> Ultralight Touring</t>
        </is>
      </c>
      <c r="AG63" t="inlineStr">
        <is>
          <t>K2 Wayback 106 179</t>
        </is>
      </c>
      <c r="AH63" t="inlineStr">
        <is>
          <t>Snowinn.com</t>
        </is>
      </c>
      <c r="AI63" s="333" t="n">
        <v>480.99</v>
      </c>
      <c r="AJ63" t="inlineStr">
        <is>
          <t>https://tinyurl.com/yazjmna8</t>
        </is>
      </c>
      <c r="AK63" t="inlineStr">
        <is>
          <t>K2 Wayback 106 179</t>
        </is>
      </c>
      <c r="AL63" t="inlineStr">
        <is>
          <t>Ski Town All-Stars</t>
        </is>
      </c>
      <c r="AM63" s="333" t="n">
        <v>559.99</v>
      </c>
      <c r="AN63" t="inlineStr">
        <is>
          <t>https://tinyurl.com/yadeugde</t>
        </is>
      </c>
      <c r="AO63" t="inlineStr">
        <is>
          <t>K2 Wayback 106 179</t>
        </is>
      </c>
      <c r="AP63" t="inlineStr">
        <is>
          <t>Skimo &amp; SkyRun</t>
        </is>
      </c>
      <c r="AQ63" s="333" t="n">
        <v>639.9299999999999</v>
      </c>
      <c r="AR63" t="inlineStr">
        <is>
          <t>https://tinyurl.com/y8u5xlom</t>
        </is>
      </c>
      <c r="AS63" s="314">
        <f>IF(LEFT(C63,1)=" ",RIGHT(C63,LEN(C63)-1),C63)</f>
        <v/>
      </c>
      <c r="AT63" s="281">
        <f>_xlfn.CONCAT(B63,AS63,D63,E63)</f>
        <v/>
      </c>
    </row>
    <row r="64">
      <c r="A64" t="inlineStr">
        <is>
          <t>21/22</t>
        </is>
      </c>
      <c r="B64" t="inlineStr">
        <is>
          <t xml:space="preserve"> Line</t>
        </is>
      </c>
      <c r="C64" t="inlineStr">
        <is>
          <t xml:space="preserve"> Blade W</t>
        </is>
      </c>
      <c r="D64" t="n">
        <v>153</v>
      </c>
      <c r="E64" t="inlineStr">
        <is>
          <t xml:space="preserve"> Women's</t>
        </is>
      </c>
      <c r="F64" t="n">
        <v>153</v>
      </c>
      <c r="G64" t="n">
        <v>152.2</v>
      </c>
      <c r="H64" t="n">
        <v>121</v>
      </c>
      <c r="I64" t="n">
        <v>137</v>
      </c>
      <c r="J64" t="n">
        <v>139</v>
      </c>
      <c r="K64" t="n">
        <v>90</v>
      </c>
      <c r="L64" t="n">
        <v>113</v>
      </c>
      <c r="M64" t="n">
        <v>13.2</v>
      </c>
      <c r="N64" t="n">
        <v>1555</v>
      </c>
      <c r="O64" t="n">
        <v>1.02</v>
      </c>
      <c r="P64" t="n">
        <v>1593</v>
      </c>
      <c r="Q64" t="n">
        <v>136</v>
      </c>
      <c r="R64" t="n">
        <v>92</v>
      </c>
      <c r="S64" t="n">
        <v>30</v>
      </c>
      <c r="T64" t="n">
        <v>192</v>
      </c>
      <c r="U64" t="n">
        <v>22</v>
      </c>
      <c r="V64" t="n">
        <v>120</v>
      </c>
      <c r="W64" t="n">
        <v>0.746</v>
      </c>
      <c r="X64" t="n">
        <v>131</v>
      </c>
      <c r="Y64" t="n">
        <v>22</v>
      </c>
      <c r="Z64" t="n">
        <v>61</v>
      </c>
      <c r="AA64" t="n">
        <v>8</v>
      </c>
      <c r="AB64" t="n">
        <v>6</v>
      </c>
      <c r="AC64" t="inlineStr">
        <is>
          <t xml:space="preserve"> Resort Freeride</t>
        </is>
      </c>
      <c r="AG64" t="inlineStr">
        <is>
          <t>Line Blade W Women's Skis Â· 2021 Â· 153 cm</t>
        </is>
      </c>
      <c r="AH64" t="inlineStr">
        <is>
          <t>Level Nine Sports</t>
        </is>
      </c>
      <c r="AI64" s="333" t="n">
        <v>449.97</v>
      </c>
      <c r="AJ64" t="inlineStr">
        <is>
          <t>https://tinyurl.com/ycehyfa9</t>
        </is>
      </c>
      <c r="AK64" t="inlineStr">
        <is>
          <t>Line Blade W Women's Skis Â· 2021 Â· 153 cm</t>
        </is>
      </c>
      <c r="AL64" t="inlineStr">
        <is>
          <t>eBay - asogear</t>
        </is>
      </c>
      <c r="AM64" s="333" t="n">
        <v>449.99</v>
      </c>
      <c r="AN64" t="inlineStr">
        <is>
          <t>https://tinyurl.com/y7xajrrk</t>
        </is>
      </c>
      <c r="AO64" t="inlineStr">
        <is>
          <t>Line Blade W Women's Skis Â· 2021 Â· 153 cm</t>
        </is>
      </c>
      <c r="AP64" t="inlineStr">
        <is>
          <t>SkiEssentials.com</t>
        </is>
      </c>
      <c r="AQ64" s="333" t="n">
        <v>544.95</v>
      </c>
      <c r="AR64" t="inlineStr">
        <is>
          <t>https://tinyurl.com/y8dkfnvw</t>
        </is>
      </c>
      <c r="AS64" s="314">
        <f>IF(LEFT(C64,1)=" ",RIGHT(C64,LEN(C64)-1),C64)</f>
        <v/>
      </c>
      <c r="AT64" s="281">
        <f>_xlfn.CONCAT(B64,AS64,D64,E64)</f>
        <v/>
      </c>
    </row>
    <row r="65">
      <c r="A65" t="inlineStr">
        <is>
          <t>21/22</t>
        </is>
      </c>
      <c r="B65" t="inlineStr">
        <is>
          <t xml:space="preserve"> Atomic</t>
        </is>
      </c>
      <c r="C65" t="inlineStr">
        <is>
          <t>Maverick 86 C</t>
        </is>
      </c>
      <c r="D65" t="n">
        <v>176</v>
      </c>
      <c r="E65" t="inlineStr">
        <is>
          <t xml:space="preserve"> Unisex</t>
        </is>
      </c>
      <c r="F65" t="n">
        <v>176</v>
      </c>
      <c r="G65" t="n">
        <v>175.3</v>
      </c>
      <c r="H65" t="n">
        <v>131</v>
      </c>
      <c r="I65" t="n">
        <v>147</v>
      </c>
      <c r="J65" t="n">
        <v>124</v>
      </c>
      <c r="K65" t="n">
        <v>87</v>
      </c>
      <c r="L65" t="n">
        <v>107</v>
      </c>
      <c r="M65" t="n">
        <v>18.3</v>
      </c>
      <c r="N65" t="n">
        <v>1547</v>
      </c>
      <c r="O65" t="n">
        <v>1.11</v>
      </c>
      <c r="P65" t="n">
        <v>1719</v>
      </c>
      <c r="Q65" t="n">
        <v>217</v>
      </c>
      <c r="R65" t="n">
        <v>99</v>
      </c>
      <c r="S65" t="n">
        <v>45</v>
      </c>
      <c r="T65" t="n">
        <v>268</v>
      </c>
      <c r="U65" t="n">
        <v>11</v>
      </c>
      <c r="V65" t="n">
        <v>173</v>
      </c>
      <c r="W65" t="n">
        <v>0.24</v>
      </c>
      <c r="X65" t="n">
        <v>170</v>
      </c>
      <c r="Y65" t="n">
        <v>109</v>
      </c>
      <c r="Z65" t="n">
        <v>98</v>
      </c>
      <c r="AA65" t="n">
        <v>6</v>
      </c>
      <c r="AB65" t="n">
        <v>8.800000000000001</v>
      </c>
      <c r="AC65" t="inlineStr">
        <is>
          <t xml:space="preserve"> Resort Freeride</t>
        </is>
      </c>
      <c r="AD65" t="inlineStr">
        <is>
          <t xml:space="preserve"> Touring</t>
        </is>
      </c>
      <c r="AG65" t="inlineStr">
        <is>
          <t>Atomic Maverick 86 C Skis 2022</t>
        </is>
      </c>
      <c r="AH65" t="inlineStr">
        <is>
          <t>evo.com</t>
        </is>
      </c>
      <c r="AI65" s="333" t="n">
        <v>399.99</v>
      </c>
      <c r="AJ65" t="inlineStr">
        <is>
          <t>https://tinyurl.com/y8hl3euh</t>
        </is>
      </c>
      <c r="AK65" t="inlineStr">
        <is>
          <t>Atomic Maverick 86 C Skis 2022</t>
        </is>
      </c>
      <c r="AL65" t="inlineStr">
        <is>
          <t>BlueZone Sports</t>
        </is>
      </c>
      <c r="AM65" s="333" t="n">
        <v>399.99</v>
      </c>
      <c r="AN65" t="inlineStr">
        <is>
          <t>https://tinyurl.com/yb9a6cs2</t>
        </is>
      </c>
      <c r="AO65" t="inlineStr">
        <is>
          <t>Atomic Maverick 86 C Skis 2022 - - 176 cm</t>
        </is>
      </c>
      <c r="AP65" t="inlineStr">
        <is>
          <t>Skirack</t>
        </is>
      </c>
      <c r="AQ65" s="333" t="n">
        <v>399.99</v>
      </c>
      <c r="AR65" t="inlineStr">
        <is>
          <t>https://tinyurl.com/y9x9fgm7</t>
        </is>
      </c>
      <c r="AS65" s="314">
        <f>IF(LEFT(C65,1)=" ",RIGHT(C65,LEN(C65)-1),C65)</f>
        <v/>
      </c>
      <c r="AT65" s="281">
        <f>_xlfn.CONCAT(B65,AS65,D65,E65)</f>
        <v/>
      </c>
    </row>
    <row r="66">
      <c r="A66" t="inlineStr">
        <is>
          <t>21/22</t>
        </is>
      </c>
      <c r="B66" t="inlineStr">
        <is>
          <t>K2</t>
        </is>
      </c>
      <c r="C66" t="inlineStr">
        <is>
          <t>Wayback 96</t>
        </is>
      </c>
      <c r="D66" t="n">
        <v>184</v>
      </c>
      <c r="E66" t="inlineStr">
        <is>
          <t xml:space="preserve"> Unisex</t>
        </is>
      </c>
      <c r="F66" t="n">
        <v>184</v>
      </c>
      <c r="G66" t="n">
        <v>183.5</v>
      </c>
      <c r="H66" t="n">
        <v>136</v>
      </c>
      <c r="I66" t="n">
        <v>157</v>
      </c>
      <c r="J66" t="n">
        <v>127</v>
      </c>
      <c r="K66" t="n">
        <v>95</v>
      </c>
      <c r="L66" t="n">
        <v>114</v>
      </c>
      <c r="M66" t="n">
        <v>23.7</v>
      </c>
      <c r="N66" t="n">
        <v>1482</v>
      </c>
      <c r="O66" t="n">
        <v>1.29</v>
      </c>
      <c r="P66" t="n">
        <v>1919</v>
      </c>
      <c r="Q66" t="n">
        <v>228</v>
      </c>
      <c r="R66" t="n">
        <v>100</v>
      </c>
      <c r="S66" t="n">
        <v>51</v>
      </c>
      <c r="T66" t="n">
        <v>309</v>
      </c>
      <c r="U66" t="n">
        <v>8</v>
      </c>
      <c r="V66" t="n">
        <v>167</v>
      </c>
      <c r="W66" t="n">
        <v>0.159</v>
      </c>
      <c r="X66" t="n">
        <v>156</v>
      </c>
      <c r="Y66" t="n">
        <v>112</v>
      </c>
      <c r="Z66" t="n">
        <v>153</v>
      </c>
      <c r="AA66" t="n">
        <v>7</v>
      </c>
      <c r="AB66" t="n">
        <v>12.6</v>
      </c>
      <c r="AC66" t="inlineStr">
        <is>
          <t xml:space="preserve"> Touring</t>
        </is>
      </c>
      <c r="AD66" t="inlineStr">
        <is>
          <t xml:space="preserve"> Ultralight Touring</t>
        </is>
      </c>
      <c r="AG66" t="inlineStr">
        <is>
          <t>K2 Wayback 96</t>
        </is>
      </c>
      <c r="AH66" t="inlineStr">
        <is>
          <t>Snowcountry.eu</t>
        </is>
      </c>
      <c r="AI66" s="333" t="n">
        <v>340.24</v>
      </c>
      <c r="AJ66" t="inlineStr">
        <is>
          <t>https://tinyurl.com/ya3vn48v</t>
        </is>
      </c>
      <c r="AK66" t="inlineStr">
        <is>
          <t>K2 Wayback 96 184</t>
        </is>
      </c>
      <c r="AL66" t="inlineStr">
        <is>
          <t>AlpinStore</t>
        </is>
      </c>
      <c r="AM66" s="333" t="n">
        <v>386.69</v>
      </c>
      <c r="AN66" t="inlineStr">
        <is>
          <t>https://tinyurl.com/ybj67rog</t>
        </is>
      </c>
      <c r="AO66" t="inlineStr">
        <is>
          <t>K2 Wayback 96</t>
        </is>
      </c>
      <c r="AP66" t="inlineStr">
        <is>
          <t>Snowinn.com</t>
        </is>
      </c>
      <c r="AQ66" s="333" t="n">
        <v>424.99</v>
      </c>
      <c r="AR66" t="inlineStr">
        <is>
          <t>https://tinyurl.com/y9m5kpm7</t>
        </is>
      </c>
      <c r="AS66" s="314">
        <f>IF(LEFT(C66,1)=" ",RIGHT(C66,LEN(C66)-1),C66)</f>
        <v/>
      </c>
      <c r="AT66" s="281">
        <f>_xlfn.CONCAT(B66,AS66,D66,E66)</f>
        <v/>
      </c>
    </row>
    <row r="67">
      <c r="A67" t="inlineStr">
        <is>
          <t>21/22</t>
        </is>
      </c>
      <c r="B67" t="inlineStr">
        <is>
          <t xml:space="preserve"> Head</t>
        </is>
      </c>
      <c r="C67" t="inlineStr">
        <is>
          <t>Kore 91 W</t>
        </is>
      </c>
      <c r="D67" t="n">
        <v>163</v>
      </c>
      <c r="E67" t="inlineStr">
        <is>
          <t xml:space="preserve"> Women's</t>
        </is>
      </c>
      <c r="F67" t="n">
        <v>163</v>
      </c>
      <c r="G67" t="n">
        <v>162.7</v>
      </c>
      <c r="H67" t="n">
        <v>127</v>
      </c>
      <c r="I67" t="n">
        <v>132</v>
      </c>
      <c r="J67" t="n">
        <v>126</v>
      </c>
      <c r="K67" t="n">
        <v>88</v>
      </c>
      <c r="L67" t="n">
        <v>108</v>
      </c>
      <c r="M67" t="n">
        <v>13.6</v>
      </c>
      <c r="N67" t="n">
        <v>1534</v>
      </c>
      <c r="O67" t="n">
        <v>1.07</v>
      </c>
      <c r="P67" t="n">
        <v>1635</v>
      </c>
      <c r="Q67" t="n">
        <v>211</v>
      </c>
      <c r="R67" t="n">
        <v>100</v>
      </c>
      <c r="S67" t="n">
        <v>47</v>
      </c>
      <c r="T67" t="n">
        <v>218</v>
      </c>
      <c r="U67" t="n">
        <v>11</v>
      </c>
      <c r="V67" t="n">
        <v>138</v>
      </c>
      <c r="W67" t="n">
        <v>0.242</v>
      </c>
      <c r="X67" t="n">
        <v>147</v>
      </c>
      <c r="Y67" t="n">
        <v>156</v>
      </c>
      <c r="Z67" t="n">
        <v>71</v>
      </c>
      <c r="AA67" t="n">
        <v>5</v>
      </c>
      <c r="AB67" t="n">
        <v>8.1</v>
      </c>
      <c r="AC67" t="inlineStr">
        <is>
          <t xml:space="preserve"> Resort Freeride</t>
        </is>
      </c>
      <c r="AD67" t="inlineStr">
        <is>
          <t xml:space="preserve"> Touring</t>
        </is>
      </c>
      <c r="AG67" t="inlineStr">
        <is>
          <t>Head Kore 91 W Anth/Mi / 163cm</t>
        </is>
      </c>
      <c r="AH67" t="inlineStr">
        <is>
          <t>Sundance Ski and Board Shop</t>
        </is>
      </c>
      <c r="AI67" s="333" t="n">
        <v>481.19</v>
      </c>
      <c r="AJ67" t="inlineStr">
        <is>
          <t>https://tinyurl.com/y8tqayjh</t>
        </is>
      </c>
      <c r="AK67" t="inlineStr">
        <is>
          <t>Head Kore 91 W Skis</t>
        </is>
      </c>
      <c r="AL67" t="inlineStr">
        <is>
          <t>Cole Sport</t>
        </is>
      </c>
      <c r="AM67" s="333" t="n">
        <v>489</v>
      </c>
      <c r="AN67" t="inlineStr">
        <is>
          <t>https://tinyurl.com/y9cz6qsb</t>
        </is>
      </c>
      <c r="AO67" t="inlineStr">
        <is>
          <t>Head Kore 91 W 2022 (Size: 163) | By Alpine Shop Vermont</t>
        </is>
      </c>
      <c r="AP67" t="inlineStr">
        <is>
          <t>AlpineShopVT.com</t>
        </is>
      </c>
      <c r="AQ67" s="333" t="n">
        <v>489</v>
      </c>
      <c r="AR67" t="inlineStr">
        <is>
          <t>https://tinyurl.com/yax7qbwo</t>
        </is>
      </c>
      <c r="AS67" s="314">
        <f>IF(LEFT(C67,1)=" ",RIGHT(C67,LEN(C67)-1),C67)</f>
        <v/>
      </c>
      <c r="AT67" s="281">
        <f>_xlfn.CONCAT(B67,AS67,D67,E67)</f>
        <v/>
      </c>
    </row>
    <row r="68">
      <c r="A68" t="inlineStr">
        <is>
          <t>21/22</t>
        </is>
      </c>
      <c r="B68" t="inlineStr">
        <is>
          <t xml:space="preserve"> Armada</t>
        </is>
      </c>
      <c r="C68" t="inlineStr">
        <is>
          <t>Declivity 92 Ti</t>
        </is>
      </c>
      <c r="D68" t="n">
        <v>164</v>
      </c>
      <c r="E68" t="inlineStr">
        <is>
          <t xml:space="preserve"> Unisex</t>
        </is>
      </c>
      <c r="F68" t="n">
        <v>164</v>
      </c>
      <c r="G68" t="n">
        <v>163.8</v>
      </c>
      <c r="H68" t="n">
        <v>126</v>
      </c>
      <c r="I68" t="n">
        <v>143</v>
      </c>
      <c r="J68" t="n">
        <v>129</v>
      </c>
      <c r="K68" t="n">
        <v>91</v>
      </c>
      <c r="L68" t="n">
        <v>114</v>
      </c>
      <c r="M68" t="n">
        <v>16.4</v>
      </c>
      <c r="N68" t="n">
        <v>1621</v>
      </c>
      <c r="O68" t="n">
        <v>1.04</v>
      </c>
      <c r="P68" t="n">
        <v>1688</v>
      </c>
      <c r="Q68" t="n">
        <v>188</v>
      </c>
      <c r="R68" t="n">
        <v>101</v>
      </c>
      <c r="S68" t="n">
        <v>42</v>
      </c>
      <c r="T68" t="n">
        <v>231</v>
      </c>
      <c r="U68" t="n">
        <v>18</v>
      </c>
      <c r="V68" t="n">
        <v>145</v>
      </c>
      <c r="W68" t="n">
        <v>0.43</v>
      </c>
      <c r="X68" t="n">
        <v>131</v>
      </c>
      <c r="Y68" t="n">
        <v>74</v>
      </c>
      <c r="Z68" t="n">
        <v>100</v>
      </c>
      <c r="AA68" t="n">
        <v>7</v>
      </c>
      <c r="AB68" t="n">
        <v>10.3</v>
      </c>
      <c r="AC68" t="inlineStr">
        <is>
          <t xml:space="preserve"> Resort Freeride</t>
        </is>
      </c>
      <c r="AG68" t="inlineStr">
        <is>
          <t>Armada Declivity 92 Ti Skis</t>
        </is>
      </c>
      <c r="AH68" t="inlineStr">
        <is>
          <t>Snowcountry.eu</t>
        </is>
      </c>
      <c r="AI68" s="333" t="n">
        <v>414</v>
      </c>
      <c r="AJ68" t="inlineStr">
        <is>
          <t>https://tinyurl.com/y8w6t2p8</t>
        </is>
      </c>
      <c r="AK68" t="inlineStr">
        <is>
          <t>Armada Declivity 92 Ti Skis</t>
        </is>
      </c>
      <c r="AL68" t="inlineStr">
        <is>
          <t>SkiEssentials.com</t>
        </is>
      </c>
      <c r="AM68" s="333" t="n">
        <v>519.96</v>
      </c>
      <c r="AN68" t="inlineStr">
        <is>
          <t>https://tinyurl.com/yaq7f6a4</t>
        </is>
      </c>
      <c r="AO68" t="inlineStr">
        <is>
          <t>Armada Declivity 92 Ti Skis</t>
        </is>
      </c>
      <c r="AP68" t="inlineStr">
        <is>
          <t>evo.com</t>
        </is>
      </c>
      <c r="AQ68" s="333" t="n">
        <v>519.96</v>
      </c>
      <c r="AR68" t="inlineStr">
        <is>
          <t>https://tinyurl.com/yaw7h3bu</t>
        </is>
      </c>
      <c r="AS68" s="314">
        <f>IF(LEFT(C68,1)=" ",RIGHT(C68,LEN(C68)-1),C68)</f>
        <v/>
      </c>
      <c r="AT68" s="281">
        <f>_xlfn.CONCAT(B68,AS68,D68,E68)</f>
        <v/>
      </c>
    </row>
    <row r="69">
      <c r="A69" t="inlineStr">
        <is>
          <t>21/22</t>
        </is>
      </c>
      <c r="B69" t="inlineStr">
        <is>
          <t xml:space="preserve"> DPS</t>
        </is>
      </c>
      <c r="C69" t="inlineStr">
        <is>
          <t>Pagoda 112 RP</t>
        </is>
      </c>
      <c r="D69" t="n">
        <v>178</v>
      </c>
      <c r="E69" t="inlineStr">
        <is>
          <t xml:space="preserve"> Unisex</t>
        </is>
      </c>
      <c r="F69" t="n">
        <v>178</v>
      </c>
      <c r="G69" t="n">
        <v>176.7</v>
      </c>
      <c r="H69" t="n">
        <v>105</v>
      </c>
      <c r="I69" t="n">
        <v>124</v>
      </c>
      <c r="J69" t="n">
        <v>138</v>
      </c>
      <c r="K69" t="n">
        <v>112</v>
      </c>
      <c r="L69" t="n">
        <v>126</v>
      </c>
      <c r="M69" t="n">
        <v>15.7</v>
      </c>
      <c r="N69" t="n">
        <v>1887</v>
      </c>
      <c r="O69" t="n">
        <v>1.13</v>
      </c>
      <c r="P69" t="n">
        <v>2127</v>
      </c>
      <c r="Q69" t="n">
        <v>187</v>
      </c>
      <c r="R69" t="n">
        <v>110</v>
      </c>
      <c r="S69" t="n">
        <v>63</v>
      </c>
      <c r="T69" t="n">
        <v>411</v>
      </c>
      <c r="U69" t="n">
        <v>34</v>
      </c>
      <c r="V69" t="n">
        <v>303</v>
      </c>
      <c r="W69" t="n">
        <v>0.542</v>
      </c>
      <c r="X69" t="n">
        <v>322</v>
      </c>
      <c r="Y69" t="n">
        <v>201</v>
      </c>
      <c r="Z69" t="n">
        <v>89</v>
      </c>
      <c r="AA69" t="n">
        <v>6</v>
      </c>
      <c r="AB69" t="n">
        <v>14.8</v>
      </c>
      <c r="AC69" t="inlineStr">
        <is>
          <t xml:space="preserve"> Powder</t>
        </is>
      </c>
      <c r="AD69" t="inlineStr">
        <is>
          <t xml:space="preserve"> Touring</t>
        </is>
      </c>
      <c r="AG69" t="inlineStr">
        <is>
          <t>DPS Pagoda 112 RP Light Green Skis 178cm 2022</t>
        </is>
      </c>
      <c r="AH69" t="inlineStr">
        <is>
          <t>Telemark Pyrenees</t>
        </is>
      </c>
      <c r="AI69" s="333" t="n">
        <v>1008.42</v>
      </c>
      <c r="AJ69" t="inlineStr">
        <is>
          <t>https://tinyurl.com/y7fy7vhx</t>
        </is>
      </c>
      <c r="AK69" t="inlineStr">
        <is>
          <t>DPS Pagoda 112 RP Ski 178 / Yellow</t>
        </is>
      </c>
      <c r="AL69" t="inlineStr">
        <is>
          <t>Cripple Creek Backcountry</t>
        </is>
      </c>
      <c r="AM69" s="333" t="n">
        <v>1029</v>
      </c>
      <c r="AN69" t="inlineStr">
        <is>
          <t>https://tinyurl.com/y8jbxw26</t>
        </is>
      </c>
      <c r="AO69" t="inlineStr">
        <is>
          <t>DPS Pagoda Tour 112 RP 178CM</t>
        </is>
      </c>
      <c r="AP69" t="inlineStr">
        <is>
          <t>Neptune Mountaineering</t>
        </is>
      </c>
      <c r="AQ69" s="333" t="n">
        <v>1039</v>
      </c>
      <c r="AR69" t="inlineStr">
        <is>
          <t>https://tinyurl.com/y7gorbqv</t>
        </is>
      </c>
      <c r="AS69" s="314">
        <f>IF(LEFT(C69,1)=" ",RIGHT(C69,LEN(C69)-1),C69)</f>
        <v/>
      </c>
      <c r="AT69" s="281">
        <f>_xlfn.CONCAT(B69,AS69,D69,E69)</f>
        <v/>
      </c>
    </row>
    <row r="70">
      <c r="A70" t="inlineStr">
        <is>
          <t>21/22</t>
        </is>
      </c>
      <c r="B70" t="inlineStr">
        <is>
          <t xml:space="preserve"> Fischer</t>
        </is>
      </c>
      <c r="C70" t="inlineStr">
        <is>
          <t>Hannibal 106</t>
        </is>
      </c>
      <c r="D70" t="n">
        <v>178</v>
      </c>
      <c r="E70" t="inlineStr">
        <is>
          <t xml:space="preserve"> Unisex</t>
        </is>
      </c>
      <c r="F70" t="n">
        <v>178</v>
      </c>
      <c r="G70" t="n">
        <v>176.9</v>
      </c>
      <c r="H70" t="n">
        <v>118</v>
      </c>
      <c r="I70" t="n">
        <v>148</v>
      </c>
      <c r="J70" t="n">
        <v>137</v>
      </c>
      <c r="K70" t="n">
        <v>104</v>
      </c>
      <c r="L70" t="n">
        <v>120</v>
      </c>
      <c r="M70" t="n">
        <v>21.7</v>
      </c>
      <c r="N70" t="n">
        <v>1560</v>
      </c>
      <c r="O70" t="n">
        <v>1.29</v>
      </c>
      <c r="P70" t="n">
        <v>2007</v>
      </c>
      <c r="Q70" t="n">
        <v>243</v>
      </c>
      <c r="R70" t="n">
        <v>107</v>
      </c>
      <c r="S70" t="n">
        <v>63</v>
      </c>
      <c r="T70" t="n">
        <v>411</v>
      </c>
      <c r="U70" t="n">
        <v>13</v>
      </c>
      <c r="V70" t="n">
        <v>175</v>
      </c>
      <c r="W70" t="n">
        <v>0.205</v>
      </c>
      <c r="X70" t="n">
        <v>164</v>
      </c>
      <c r="Y70" t="n">
        <v>126</v>
      </c>
      <c r="Z70" t="n">
        <v>247</v>
      </c>
      <c r="AA70" t="n">
        <v>4</v>
      </c>
      <c r="AB70" t="n">
        <v>11.4</v>
      </c>
      <c r="AC70" t="inlineStr">
        <is>
          <t xml:space="preserve"> Resort Freeride</t>
        </is>
      </c>
      <c r="AD70" t="inlineStr">
        <is>
          <t xml:space="preserve"> Big Mountain</t>
        </is>
      </c>
      <c r="AE70" t="inlineStr">
        <is>
          <t xml:space="preserve"> Touring</t>
        </is>
      </c>
      <c r="AF70" t="inlineStr">
        <is>
          <t xml:space="preserve"> Ultralight Touring</t>
        </is>
      </c>
      <c r="AG70" t="inlineStr">
        <is>
          <t>Fischer Hannibal 106 Carbon</t>
        </is>
      </c>
      <c r="AH70" t="inlineStr">
        <is>
          <t>Snowcountry.eu</t>
        </is>
      </c>
      <c r="AI70" s="333" t="n">
        <v>451.78</v>
      </c>
      <c r="AJ70" t="inlineStr">
        <is>
          <t>https://tinyurl.com/yd4ysjsh</t>
        </is>
      </c>
      <c r="AK70" t="inlineStr">
        <is>
          <t>Fischer Hannibal 106 178 Carbon Alpine Touring Skis 138-106-122</t>
        </is>
      </c>
      <c r="AL70" t="inlineStr">
        <is>
          <t>eBay - thegearrushstore</t>
        </is>
      </c>
      <c r="AM70" s="333" t="n">
        <v>474.99</v>
      </c>
      <c r="AN70" t="inlineStr">
        <is>
          <t>https://tinyurl.com/yaqvpjgf</t>
        </is>
      </c>
      <c r="AO70" t="inlineStr">
        <is>
          <t>Fischer Hannibal 106 Carbon</t>
        </is>
      </c>
      <c r="AP70" t="inlineStr">
        <is>
          <t>JANS Mountain Outfitters</t>
        </is>
      </c>
      <c r="AQ70" s="333" t="n">
        <v>480</v>
      </c>
      <c r="AR70" t="inlineStr">
        <is>
          <t>https://tinyurl.com/yamtcgps</t>
        </is>
      </c>
      <c r="AS70" s="314">
        <f>IF(LEFT(C70,1)=" ",RIGHT(C70,LEN(C70)-1),C70)</f>
        <v/>
      </c>
      <c r="AT70" s="281">
        <f>_xlfn.CONCAT(B70,AS70,D70,E70)</f>
        <v/>
      </c>
    </row>
    <row r="71">
      <c r="A71" t="inlineStr">
        <is>
          <t>21/22</t>
        </is>
      </c>
      <c r="B71" t="inlineStr">
        <is>
          <t xml:space="preserve"> Faction</t>
        </is>
      </c>
      <c r="C71" t="inlineStr">
        <is>
          <t>Agent 3.0</t>
        </is>
      </c>
      <c r="D71" t="n">
        <v>172</v>
      </c>
      <c r="E71" t="inlineStr">
        <is>
          <t xml:space="preserve"> Unisex</t>
        </is>
      </c>
      <c r="F71" t="n">
        <v>172</v>
      </c>
      <c r="G71" t="n">
        <v>170.6</v>
      </c>
      <c r="H71" t="n">
        <v>122</v>
      </c>
      <c r="I71" t="n">
        <v>139</v>
      </c>
      <c r="J71" t="n">
        <v>134</v>
      </c>
      <c r="K71" t="n">
        <v>106</v>
      </c>
      <c r="L71" t="n">
        <v>124</v>
      </c>
      <c r="M71" t="n">
        <v>18.8</v>
      </c>
      <c r="N71" t="n">
        <v>1724</v>
      </c>
      <c r="O71" t="n">
        <v>1.14</v>
      </c>
      <c r="P71" t="n">
        <v>1964</v>
      </c>
      <c r="Q71" t="n">
        <v>202</v>
      </c>
      <c r="R71" t="n">
        <v>107</v>
      </c>
      <c r="S71" t="n">
        <v>55</v>
      </c>
      <c r="T71" t="n">
        <v>291</v>
      </c>
      <c r="U71" t="n">
        <v>21</v>
      </c>
      <c r="V71" t="n">
        <v>198</v>
      </c>
      <c r="W71" t="n">
        <v>0.377999999999999</v>
      </c>
      <c r="X71" t="n">
        <v>200</v>
      </c>
      <c r="Y71" t="n">
        <v>121</v>
      </c>
      <c r="Z71" t="n">
        <v>91</v>
      </c>
      <c r="AA71" t="n">
        <v>6</v>
      </c>
      <c r="AB71" t="n">
        <v>11.1</v>
      </c>
      <c r="AC71" t="inlineStr">
        <is>
          <t xml:space="preserve"> Powder</t>
        </is>
      </c>
      <c r="AD71" t="inlineStr">
        <is>
          <t xml:space="preserve"> Big Mountain</t>
        </is>
      </c>
      <c r="AE71" t="inlineStr">
        <is>
          <t xml:space="preserve"> Touring</t>
        </is>
      </c>
      <c r="AG71" t="inlineStr">
        <is>
          <t>Faction Agent 3.0 Skis</t>
        </is>
      </c>
      <c r="AH71" t="inlineStr">
        <is>
          <t>Blue Tomato</t>
        </is>
      </c>
      <c r="AI71" s="333" t="n">
        <v>507.14</v>
      </c>
      <c r="AJ71" t="inlineStr">
        <is>
          <t>https://tinyurl.com/y7usq8du</t>
        </is>
      </c>
      <c r="AK71" t="inlineStr">
        <is>
          <t>Faction Agent 3.0 Skis</t>
        </is>
      </c>
      <c r="AL71" t="inlineStr">
        <is>
          <t>Snowcountry.eu</t>
        </is>
      </c>
      <c r="AM71" s="333" t="n">
        <v>515.4299999999999</v>
      </c>
      <c r="AN71" t="inlineStr">
        <is>
          <t>https://tinyurl.com/yalmjg6g</t>
        </is>
      </c>
      <c r="AO71" t="inlineStr">
        <is>
          <t>Faction Agent 3.0 Skis</t>
        </is>
      </c>
      <c r="AP71" t="inlineStr">
        <is>
          <t>Gorham Bike and Ski</t>
        </is>
      </c>
      <c r="AQ71" s="333" t="n">
        <v>524.99</v>
      </c>
      <c r="AR71" t="inlineStr">
        <is>
          <t>https://tinyurl.com/y76x8uyq</t>
        </is>
      </c>
      <c r="AS71" s="314">
        <f>IF(LEFT(C71,1)=" ",RIGHT(C71,LEN(C71)-1),C71)</f>
        <v/>
      </c>
      <c r="AT71" s="281">
        <f>_xlfn.CONCAT(B71,AS71,D71,E71)</f>
        <v/>
      </c>
    </row>
    <row r="72">
      <c r="A72" t="inlineStr">
        <is>
          <t>21/22</t>
        </is>
      </c>
      <c r="B72" t="inlineStr">
        <is>
          <t xml:space="preserve"> Faction</t>
        </is>
      </c>
      <c r="C72" t="inlineStr">
        <is>
          <t>Dictator FG 2.0</t>
        </is>
      </c>
      <c r="D72" t="n">
        <v>179</v>
      </c>
      <c r="E72" t="inlineStr">
        <is>
          <t xml:space="preserve"> Unisex</t>
        </is>
      </c>
      <c r="F72" t="n">
        <v>179</v>
      </c>
      <c r="G72" t="n">
        <v>177.6</v>
      </c>
      <c r="H72" t="n">
        <v>134</v>
      </c>
      <c r="I72" t="n">
        <v>150</v>
      </c>
      <c r="J72" t="n">
        <v>126</v>
      </c>
      <c r="K72" t="n">
        <v>95</v>
      </c>
      <c r="L72" t="n">
        <v>116</v>
      </c>
      <c r="M72" t="n">
        <v>19.6</v>
      </c>
      <c r="N72" t="n">
        <v>1784</v>
      </c>
      <c r="O72" t="n">
        <v>1.05</v>
      </c>
      <c r="P72" t="n">
        <v>1869</v>
      </c>
      <c r="Q72" t="n">
        <v>220</v>
      </c>
      <c r="R72" t="n">
        <v>98</v>
      </c>
      <c r="S72" t="n">
        <v>52</v>
      </c>
      <c r="T72" t="n">
        <v>269</v>
      </c>
      <c r="U72" t="n">
        <v>19</v>
      </c>
      <c r="V72" t="n">
        <v>171</v>
      </c>
      <c r="W72" t="n">
        <v>0.365</v>
      </c>
      <c r="X72" t="n">
        <v>168</v>
      </c>
      <c r="Y72" t="n">
        <v>107</v>
      </c>
      <c r="Z72" t="n">
        <v>101</v>
      </c>
      <c r="AA72" t="n">
        <v>8</v>
      </c>
      <c r="AB72" t="n">
        <v>11.3</v>
      </c>
      <c r="AC72" t="inlineStr">
        <is>
          <t xml:space="preserve"> Resort Freeride</t>
        </is>
      </c>
      <c r="AG72" t="inlineStr">
        <is>
          <t>Faction Dictator 2.0 Skis</t>
        </is>
      </c>
      <c r="AH72" t="inlineStr">
        <is>
          <t>Gear West Ski &amp; Bike</t>
        </is>
      </c>
      <c r="AI72" s="333" t="n">
        <v>407.99</v>
      </c>
      <c r="AJ72" t="inlineStr">
        <is>
          <t>https://tinyurl.com/y8b8tb92</t>
        </is>
      </c>
      <c r="AK72" t="inlineStr">
        <is>
          <t>Faction Dictator 2.0 Skis 2022</t>
        </is>
      </c>
      <c r="AL72" t="inlineStr">
        <is>
          <t>Next Adventure</t>
        </is>
      </c>
      <c r="AM72" s="333" t="n">
        <v>623.2</v>
      </c>
      <c r="AN72" t="inlineStr">
        <is>
          <t>https://tinyurl.com/ycqofx5s</t>
        </is>
      </c>
      <c r="AO72" t="inlineStr">
        <is>
          <t>Brand Faction Chapter 2.0 Snow Ski, 179cm Retail $629</t>
        </is>
      </c>
      <c r="AP72" t="inlineStr">
        <is>
          <t>eBay</t>
        </is>
      </c>
      <c r="AQ72" s="333" t="n">
        <v>439</v>
      </c>
      <c r="AR72" t="inlineStr">
        <is>
          <t>https://tinyurl.com/ya8gzrcj</t>
        </is>
      </c>
      <c r="AS72" s="314">
        <f>IF(LEFT(C72,1)=" ",RIGHT(C72,LEN(C72)-1),C72)</f>
        <v/>
      </c>
      <c r="AT72" s="281">
        <f>_xlfn.CONCAT(B72,AS72,D72,E72)</f>
        <v/>
      </c>
    </row>
    <row r="73">
      <c r="A73" t="inlineStr">
        <is>
          <t>21/22</t>
        </is>
      </c>
      <c r="B73" t="inlineStr">
        <is>
          <t xml:space="preserve"> Liberty</t>
        </is>
      </c>
      <c r="C73" t="inlineStr">
        <is>
          <t>Origin 96</t>
        </is>
      </c>
      <c r="D73" t="n">
        <v>176</v>
      </c>
      <c r="E73" t="inlineStr">
        <is>
          <t xml:space="preserve"> Unisex</t>
        </is>
      </c>
      <c r="F73" t="n">
        <v>176</v>
      </c>
      <c r="G73" t="n">
        <v>174.9</v>
      </c>
      <c r="H73" t="n">
        <v>117</v>
      </c>
      <c r="I73" t="n">
        <v>145</v>
      </c>
      <c r="J73" t="n">
        <v>129</v>
      </c>
      <c r="K73" t="n">
        <v>96</v>
      </c>
      <c r="L73" t="n">
        <v>117</v>
      </c>
      <c r="M73" t="n">
        <v>17.3</v>
      </c>
      <c r="N73" t="n">
        <v>1772</v>
      </c>
      <c r="O73" t="n">
        <v>1.05</v>
      </c>
      <c r="P73" t="n">
        <v>1865</v>
      </c>
      <c r="Q73" t="n">
        <v>213</v>
      </c>
      <c r="R73" t="n">
        <v>98</v>
      </c>
      <c r="S73" t="n">
        <v>47</v>
      </c>
      <c r="T73" t="n">
        <v>307</v>
      </c>
      <c r="U73" t="n">
        <v>30</v>
      </c>
      <c r="V73" t="n">
        <v>272</v>
      </c>
      <c r="W73" t="n">
        <v>0.645</v>
      </c>
      <c r="X73" t="n">
        <v>136</v>
      </c>
      <c r="Y73" t="n">
        <v>168</v>
      </c>
      <c r="Z73" t="n">
        <v>171</v>
      </c>
      <c r="AA73" t="n">
        <v>4</v>
      </c>
      <c r="AB73" t="n">
        <v>7.9</v>
      </c>
      <c r="AC73" t="inlineStr">
        <is>
          <t xml:space="preserve"> Resort Freeride</t>
        </is>
      </c>
      <c r="AD73" t="inlineStr">
        <is>
          <t xml:space="preserve"> Touring</t>
        </is>
      </c>
      <c r="AG73" t="inlineStr">
        <is>
          <t>Liberty Skis Origin 96 Ski</t>
        </is>
      </c>
      <c r="AH73" t="inlineStr">
        <is>
          <t>Powder7 Ski Shop</t>
        </is>
      </c>
      <c r="AI73" s="333" t="n">
        <v>599.99</v>
      </c>
      <c r="AJ73" t="inlineStr">
        <is>
          <t>https://tinyurl.com/y88fuqpu</t>
        </is>
      </c>
      <c r="AK73" t="inlineStr">
        <is>
          <t>'22 Liberty Origin 96 Skis 176cm</t>
        </is>
      </c>
      <c r="AL73" t="inlineStr">
        <is>
          <t>Al's Ski Equipment Barn</t>
        </is>
      </c>
      <c r="AM73" s="333" t="n">
        <v>629</v>
      </c>
      <c r="AN73" t="inlineStr">
        <is>
          <t>https://tinyurl.com/ybaqulrh</t>
        </is>
      </c>
      <c r="AO73" t="inlineStr">
        <is>
          <t>Liberty Skis Origin 96 Ski</t>
        </is>
      </c>
      <c r="AP73" t="inlineStr">
        <is>
          <t>BobWards.com</t>
        </is>
      </c>
      <c r="AQ73" s="333" t="n">
        <v>629.99</v>
      </c>
      <c r="AR73" t="inlineStr">
        <is>
          <t>https://tinyurl.com/ybchh24f</t>
        </is>
      </c>
      <c r="AS73" s="314">
        <f>IF(LEFT(C73,1)=" ",RIGHT(C73,LEN(C73)-1),C73)</f>
        <v/>
      </c>
      <c r="AT73" s="281">
        <f>_xlfn.CONCAT(B73,AS73,D73,E73)</f>
        <v/>
      </c>
    </row>
    <row r="74">
      <c r="A74" t="inlineStr">
        <is>
          <t>21/22</t>
        </is>
      </c>
      <c r="B74" t="inlineStr">
        <is>
          <t xml:space="preserve"> DPS</t>
        </is>
      </c>
      <c r="C74" t="inlineStr">
        <is>
          <t>Pagoda 106 C2</t>
        </is>
      </c>
      <c r="D74" t="n">
        <v>155</v>
      </c>
      <c r="E74" t="inlineStr">
        <is>
          <t xml:space="preserve"> Unisex</t>
        </is>
      </c>
      <c r="F74" t="n">
        <v>155</v>
      </c>
      <c r="G74" t="n">
        <v>154</v>
      </c>
      <c r="H74" t="n">
        <v>107</v>
      </c>
      <c r="I74" t="n">
        <v>119</v>
      </c>
      <c r="J74" t="n">
        <v>129</v>
      </c>
      <c r="K74" t="n">
        <v>106</v>
      </c>
      <c r="L74" t="n">
        <v>116</v>
      </c>
      <c r="M74" t="n">
        <v>19.3</v>
      </c>
      <c r="N74" t="n">
        <v>1590</v>
      </c>
      <c r="O74" t="n">
        <v>1.09</v>
      </c>
      <c r="P74" t="n">
        <v>1730</v>
      </c>
      <c r="Q74" t="n">
        <v>187</v>
      </c>
      <c r="R74" t="n">
        <v>95</v>
      </c>
      <c r="S74" t="n">
        <v>39</v>
      </c>
      <c r="T74" t="n">
        <v>261</v>
      </c>
      <c r="U74" t="n">
        <v>19</v>
      </c>
      <c r="V74" t="n">
        <v>204</v>
      </c>
      <c r="W74" t="n">
        <v>0.49</v>
      </c>
      <c r="X74" t="n">
        <v>188</v>
      </c>
      <c r="Y74" t="n">
        <v>165</v>
      </c>
      <c r="Z74" t="n">
        <v>73</v>
      </c>
      <c r="AA74" t="n">
        <v>5</v>
      </c>
      <c r="AB74" t="n">
        <v>11.5</v>
      </c>
      <c r="AC74" t="inlineStr">
        <is>
          <t xml:space="preserve"> Powder</t>
        </is>
      </c>
      <c r="AD74" t="inlineStr">
        <is>
          <t xml:space="preserve"> Touring</t>
        </is>
      </c>
      <c r="AG74" t="inlineStr">
        <is>
          <t>DPS Pagoda 106 C2 Ski 155 / Purple</t>
        </is>
      </c>
      <c r="AH74" t="inlineStr">
        <is>
          <t>Cripple Creek Backcountry</t>
        </is>
      </c>
      <c r="AI74" s="333" t="n">
        <v>1029</v>
      </c>
      <c r="AJ74" t="inlineStr">
        <is>
          <t>https://tinyurl.com/ycjk8k5q</t>
        </is>
      </c>
      <c r="AK74" t="inlineStr">
        <is>
          <t>DPS Pagoda Tour 106 C2 155cm</t>
        </is>
      </c>
      <c r="AL74" t="inlineStr">
        <is>
          <t>REI</t>
        </is>
      </c>
      <c r="AM74" s="333" t="n">
        <v>1038.93</v>
      </c>
      <c r="AN74" t="inlineStr">
        <is>
          <t>https://tinyurl.com/yczaryvb</t>
        </is>
      </c>
      <c r="AO74" t="inlineStr">
        <is>
          <t>DPS Pagoda Tour 106 C2 155cm</t>
        </is>
      </c>
      <c r="AP74" t="inlineStr">
        <is>
          <t>Backcountry.com</t>
        </is>
      </c>
      <c r="AQ74" s="333" t="n">
        <v>1039.2</v>
      </c>
      <c r="AR74" t="inlineStr">
        <is>
          <t>https://tinyurl.com/yawt5vu5</t>
        </is>
      </c>
      <c r="AS74" s="314">
        <f>IF(LEFT(C74,1)=" ",RIGHT(C74,LEN(C74)-1),C74)</f>
        <v/>
      </c>
      <c r="AT74" s="281">
        <f>_xlfn.CONCAT(B74,AS74,D74,E74)</f>
        <v/>
      </c>
    </row>
    <row r="75">
      <c r="A75" t="inlineStr">
        <is>
          <t>21/22</t>
        </is>
      </c>
      <c r="B75" t="inlineStr">
        <is>
          <t xml:space="preserve"> Salomon</t>
        </is>
      </c>
      <c r="C75" t="inlineStr">
        <is>
          <t>QST 92</t>
        </is>
      </c>
      <c r="D75" t="n">
        <v>169</v>
      </c>
      <c r="E75" t="inlineStr">
        <is>
          <t xml:space="preserve"> Unisex</t>
        </is>
      </c>
      <c r="F75" t="n">
        <v>169</v>
      </c>
      <c r="G75" t="n">
        <v>168.2</v>
      </c>
      <c r="H75" t="n">
        <v>130</v>
      </c>
      <c r="I75" t="n">
        <v>140</v>
      </c>
      <c r="J75" t="n">
        <v>129</v>
      </c>
      <c r="K75" t="n">
        <v>91</v>
      </c>
      <c r="L75" t="n">
        <v>112</v>
      </c>
      <c r="M75" t="n">
        <v>15.4</v>
      </c>
      <c r="N75" t="n">
        <v>1763</v>
      </c>
      <c r="O75" t="n">
        <v>0.99</v>
      </c>
      <c r="P75" t="n">
        <v>1750</v>
      </c>
      <c r="Q75" t="n">
        <v>190</v>
      </c>
      <c r="R75" t="n">
        <v>91</v>
      </c>
      <c r="S75" t="n">
        <v>48</v>
      </c>
      <c r="T75" t="n">
        <v>257</v>
      </c>
      <c r="U75" t="n">
        <v>11</v>
      </c>
      <c r="V75" t="n">
        <v>129</v>
      </c>
      <c r="W75" t="n">
        <v>0.226</v>
      </c>
      <c r="X75" t="n">
        <v>157</v>
      </c>
      <c r="Y75" t="n">
        <v>127</v>
      </c>
      <c r="Z75" t="n">
        <v>99</v>
      </c>
      <c r="AA75" t="n">
        <v>10</v>
      </c>
      <c r="AB75" t="n">
        <v>9.800000000000001</v>
      </c>
      <c r="AC75" t="inlineStr">
        <is>
          <t xml:space="preserve"> Resort Freeride</t>
        </is>
      </c>
      <c r="AG75" t="inlineStr">
        <is>
          <t>Salomon QST Lux 92 Skis - Women's 2022</t>
        </is>
      </c>
      <c r="AH75" t="inlineStr">
        <is>
          <t>Ski Pro  - Snow Ski &amp; Snowboard</t>
        </is>
      </c>
      <c r="AI75" s="333" t="n">
        <v>399.95</v>
      </c>
      <c r="AJ75" t="inlineStr">
        <is>
          <t>https://tinyurl.com/yaan2eh2</t>
        </is>
      </c>
      <c r="AK75" t="inlineStr">
        <is>
          <t>Salomon QST Lux 92 Skis</t>
        </is>
      </c>
      <c r="AL75" t="inlineStr">
        <is>
          <t>Cole Sport</t>
        </is>
      </c>
      <c r="AM75" s="333" t="n">
        <v>399.99</v>
      </c>
      <c r="AN75" t="inlineStr">
        <is>
          <t>https://tinyurl.com/y9gmqrph</t>
        </is>
      </c>
      <c r="AO75" t="inlineStr">
        <is>
          <t>Salomon QST Lux 92 Skis - Women's 2022</t>
        </is>
      </c>
      <c r="AP75" t="inlineStr">
        <is>
          <t>Level Nine Sports</t>
        </is>
      </c>
      <c r="AQ75" s="333" t="n">
        <v>399.99</v>
      </c>
      <c r="AR75" t="inlineStr">
        <is>
          <t>https://tinyurl.com/yb6s29ly</t>
        </is>
      </c>
      <c r="AS75" s="314">
        <f>IF(LEFT(C75,1)=" ",RIGHT(C75,LEN(C75)-1),C75)</f>
        <v/>
      </c>
      <c r="AT75" s="281">
        <f>_xlfn.CONCAT(B75,AS75,D75,E75)</f>
        <v/>
      </c>
    </row>
    <row r="76">
      <c r="A76" t="inlineStr">
        <is>
          <t>21/22</t>
        </is>
      </c>
      <c r="B76" t="inlineStr">
        <is>
          <t xml:space="preserve"> Raccoon</t>
        </is>
      </c>
      <c r="C76" t="inlineStr">
        <is>
          <t xml:space="preserve"> Le Grizzly</t>
        </is>
      </c>
      <c r="D76" t="n">
        <v>188</v>
      </c>
      <c r="E76" t="inlineStr">
        <is>
          <t xml:space="preserve"> Unisex</t>
        </is>
      </c>
      <c r="F76" t="n">
        <v>188</v>
      </c>
      <c r="G76" t="n">
        <v>186.4</v>
      </c>
      <c r="H76" t="n">
        <v>129</v>
      </c>
      <c r="I76" t="n">
        <v>154</v>
      </c>
      <c r="J76" t="n">
        <v>130</v>
      </c>
      <c r="K76" t="n">
        <v>98</v>
      </c>
      <c r="L76" t="n">
        <v>120</v>
      </c>
      <c r="M76" t="n">
        <v>20.9</v>
      </c>
      <c r="N76" t="n">
        <v>1803</v>
      </c>
      <c r="O76" t="n">
        <v>1.13</v>
      </c>
      <c r="P76" t="n">
        <v>2039</v>
      </c>
      <c r="Q76" t="n">
        <v>220</v>
      </c>
      <c r="R76" t="n">
        <v>102</v>
      </c>
      <c r="S76" t="n">
        <v>66</v>
      </c>
      <c r="T76" t="n">
        <v>365</v>
      </c>
      <c r="U76" t="n">
        <v>26</v>
      </c>
      <c r="V76" t="n">
        <v>211</v>
      </c>
      <c r="W76" t="n">
        <v>0.403999999999999</v>
      </c>
      <c r="X76" t="n">
        <v>181</v>
      </c>
      <c r="Y76" t="n">
        <v>139</v>
      </c>
      <c r="Z76" t="n">
        <v>184</v>
      </c>
      <c r="AA76" t="n">
        <v>6</v>
      </c>
      <c r="AB76" t="n">
        <v>11.8</v>
      </c>
      <c r="AC76" t="inlineStr">
        <is>
          <t xml:space="preserve"> Resort Freeride</t>
        </is>
      </c>
      <c r="AD76" t="inlineStr">
        <is>
          <t xml:space="preserve"> Touring</t>
        </is>
      </c>
      <c r="AS76" s="314">
        <f>IF(LEFT(C76,1)=" ",RIGHT(C76,LEN(C76)-1),C76)</f>
        <v/>
      </c>
      <c r="AT76" s="281">
        <f>_xlfn.CONCAT(B76,AS76,D76,E76)</f>
        <v/>
      </c>
    </row>
    <row r="77">
      <c r="A77" t="inlineStr">
        <is>
          <t>21/22</t>
        </is>
      </c>
      <c r="B77" t="inlineStr">
        <is>
          <t xml:space="preserve"> Head</t>
        </is>
      </c>
      <c r="C77" t="inlineStr">
        <is>
          <t>Kore 99</t>
        </is>
      </c>
      <c r="D77" t="n">
        <v>170</v>
      </c>
      <c r="E77" t="inlineStr">
        <is>
          <t xml:space="preserve"> Unisex</t>
        </is>
      </c>
      <c r="F77" t="n">
        <v>170</v>
      </c>
      <c r="G77" t="n">
        <v>169.4</v>
      </c>
      <c r="H77" t="n">
        <v>133</v>
      </c>
      <c r="I77" t="n">
        <v>137</v>
      </c>
      <c r="J77" t="n">
        <v>130</v>
      </c>
      <c r="K77" t="n">
        <v>96</v>
      </c>
      <c r="L77" t="n">
        <v>117</v>
      </c>
      <c r="M77" t="n">
        <v>15.3</v>
      </c>
      <c r="N77" t="n">
        <v>1623</v>
      </c>
      <c r="O77" t="n">
        <v>1.12</v>
      </c>
      <c r="P77" t="n">
        <v>1824</v>
      </c>
      <c r="Q77" t="n">
        <v>238</v>
      </c>
      <c r="R77" t="n">
        <v>111</v>
      </c>
      <c r="S77" t="n">
        <v>48</v>
      </c>
      <c r="T77" t="n">
        <v>227</v>
      </c>
      <c r="U77" t="n">
        <v>12</v>
      </c>
      <c r="V77" t="n">
        <v>137</v>
      </c>
      <c r="W77" t="n">
        <v>0.259</v>
      </c>
      <c r="X77" t="n">
        <v>184</v>
      </c>
      <c r="Y77" t="n">
        <v>141</v>
      </c>
      <c r="Z77" t="n">
        <v>43</v>
      </c>
      <c r="AA77" t="n">
        <v>6</v>
      </c>
      <c r="AB77" t="n">
        <v>10.2</v>
      </c>
      <c r="AC77" t="inlineStr">
        <is>
          <t xml:space="preserve"> Resort Freeride</t>
        </is>
      </c>
      <c r="AD77" t="inlineStr">
        <is>
          <t xml:space="preserve"> Touring</t>
        </is>
      </c>
      <c r="AG77" t="inlineStr">
        <is>
          <t xml:space="preserve"> Head Kore 99 162 Cm Downhill Ski Mens Combo</t>
        </is>
      </c>
      <c r="AH77" t="inlineStr">
        <is>
          <t>SidelineSwap</t>
        </is>
      </c>
      <c r="AI77" s="333" t="n">
        <v>349.99</v>
      </c>
      <c r="AJ77" t="inlineStr">
        <is>
          <t>https://tinyurl.com/y9n7t8gz</t>
        </is>
      </c>
      <c r="AK77" t="inlineStr">
        <is>
          <t>Head Kore 99 Skis</t>
        </is>
      </c>
      <c r="AL77" t="inlineStr">
        <is>
          <t>Gorham Bike and Ski</t>
        </is>
      </c>
      <c r="AM77" s="333" t="n">
        <v>489.99</v>
      </c>
      <c r="AN77" t="inlineStr">
        <is>
          <t>https://tinyurl.com/y9hlw6h8</t>
        </is>
      </c>
      <c r="AO77" t="inlineStr">
        <is>
          <t>Head Kore 99 + Attack 14 GW Alpine Skis 170</t>
        </is>
      </c>
      <c r="AP77" t="inlineStr">
        <is>
          <t>! OutdoorXL.com</t>
        </is>
      </c>
      <c r="AQ77" s="333" t="n">
        <v>514.95</v>
      </c>
      <c r="AR77" t="inlineStr">
        <is>
          <t>https://tinyurl.com/yce8ouac</t>
        </is>
      </c>
      <c r="AS77" s="314">
        <f>IF(LEFT(C77,1)=" ",RIGHT(C77,LEN(C77)-1),C77)</f>
        <v/>
      </c>
      <c r="AT77" s="281">
        <f>_xlfn.CONCAT(B77,AS77,D77,E77)</f>
        <v/>
      </c>
    </row>
    <row r="78">
      <c r="A78" t="inlineStr">
        <is>
          <t>21/22</t>
        </is>
      </c>
      <c r="B78" t="inlineStr">
        <is>
          <t xml:space="preserve"> Vï¿½lkl</t>
        </is>
      </c>
      <c r="C78" t="inlineStr">
        <is>
          <t>Bash 81</t>
        </is>
      </c>
      <c r="D78" t="n">
        <v>168</v>
      </c>
      <c r="E78" t="inlineStr">
        <is>
          <t xml:space="preserve"> Unisex</t>
        </is>
      </c>
      <c r="F78" t="n">
        <v>168</v>
      </c>
      <c r="G78" t="n">
        <v>166.9</v>
      </c>
      <c r="H78" t="n">
        <v>138</v>
      </c>
      <c r="I78" t="n">
        <v>145</v>
      </c>
      <c r="J78" t="n">
        <v>110</v>
      </c>
      <c r="K78" t="n">
        <v>80</v>
      </c>
      <c r="L78" t="n">
        <v>104</v>
      </c>
      <c r="M78" t="n">
        <v>19.1</v>
      </c>
      <c r="N78" t="n">
        <v>1640</v>
      </c>
      <c r="O78" t="n">
        <v>0.92</v>
      </c>
      <c r="P78" t="n">
        <v>1505</v>
      </c>
      <c r="Q78" t="n">
        <v>193</v>
      </c>
      <c r="R78" t="n">
        <v>107</v>
      </c>
      <c r="S78" t="n">
        <v>45</v>
      </c>
      <c r="T78" t="n">
        <v>153</v>
      </c>
      <c r="U78" t="n">
        <v>34</v>
      </c>
      <c r="V78" t="n">
        <v>135</v>
      </c>
      <c r="W78" t="n">
        <v>0.763</v>
      </c>
      <c r="X78" t="n">
        <v>93</v>
      </c>
      <c r="Y78" t="n">
        <v>129</v>
      </c>
      <c r="Z78" t="n">
        <v>60</v>
      </c>
      <c r="AA78" t="n">
        <v>9</v>
      </c>
      <c r="AB78" t="n">
        <v>2.2</v>
      </c>
      <c r="AC78" t="inlineStr">
        <is>
          <t xml:space="preserve"> Resort Freeride</t>
        </is>
      </c>
      <c r="AG78" t="inlineStr">
        <is>
          <t>Volkl Bash 81 Skis</t>
        </is>
      </c>
      <c r="AH78" t="inlineStr">
        <is>
          <t>Blue Tomato</t>
        </is>
      </c>
      <c r="AI78" s="333" t="n">
        <v>249.37</v>
      </c>
      <c r="AJ78" t="inlineStr">
        <is>
          <t>https://tinyurl.com/ycxy8a69</t>
        </is>
      </c>
      <c r="AK78" t="inlineStr">
        <is>
          <t>Volkl Yumi 80 20/21</t>
        </is>
      </c>
      <c r="AL78" t="inlineStr">
        <is>
          <t>Snowcountry.eu</t>
        </is>
      </c>
      <c r="AM78" s="333" t="n">
        <v>253.56</v>
      </c>
      <c r="AN78" t="inlineStr">
        <is>
          <t>https://tinyurl.com/ycpp2bnc</t>
        </is>
      </c>
      <c r="AO78" t="inlineStr">
        <is>
          <t>2016 Volkl Yumi</t>
        </is>
      </c>
      <c r="AP78" t="inlineStr">
        <is>
          <t>eBay - larsonski</t>
        </is>
      </c>
      <c r="AQ78" s="333" t="n">
        <v>315</v>
      </c>
      <c r="AR78" t="inlineStr">
        <is>
          <t>https://tinyurl.com/yawqscbn</t>
        </is>
      </c>
      <c r="AS78" s="314">
        <f>IF(LEFT(C78,1)=" ",RIGHT(C78,LEN(C78)-1),C78)</f>
        <v/>
      </c>
      <c r="AT78" s="281">
        <f>_xlfn.CONCAT(B78,AS78,D78,E78)</f>
        <v/>
      </c>
    </row>
    <row r="79">
      <c r="A79" t="inlineStr">
        <is>
          <t>21/22</t>
        </is>
      </c>
      <c r="B79" t="inlineStr">
        <is>
          <t xml:space="preserve"> Armada</t>
        </is>
      </c>
      <c r="C79" t="inlineStr">
        <is>
          <t>Reliance 102 Ti</t>
        </is>
      </c>
      <c r="D79" t="n">
        <v>164</v>
      </c>
      <c r="E79" t="inlineStr">
        <is>
          <t xml:space="preserve"> Women's</t>
        </is>
      </c>
      <c r="F79" t="n">
        <v>164</v>
      </c>
      <c r="G79" t="n">
        <v>163.5</v>
      </c>
      <c r="H79" t="n">
        <v>117</v>
      </c>
      <c r="I79" t="n">
        <v>136</v>
      </c>
      <c r="J79" t="n">
        <v>132</v>
      </c>
      <c r="K79" t="n">
        <v>101</v>
      </c>
      <c r="L79" t="n">
        <v>122</v>
      </c>
      <c r="M79" t="n">
        <v>16.9</v>
      </c>
      <c r="N79" t="n">
        <v>1707</v>
      </c>
      <c r="O79" t="n">
        <v>1.07</v>
      </c>
      <c r="P79" t="n">
        <v>1819</v>
      </c>
      <c r="Q79" t="n">
        <v>190</v>
      </c>
      <c r="R79" t="n">
        <v>112</v>
      </c>
      <c r="S79" t="n">
        <v>53</v>
      </c>
      <c r="T79" t="n">
        <v>304</v>
      </c>
      <c r="U79" t="n">
        <v>18</v>
      </c>
      <c r="V79" t="n">
        <v>157</v>
      </c>
      <c r="W79" t="n">
        <v>0.33</v>
      </c>
      <c r="X79" t="n">
        <v>162</v>
      </c>
      <c r="Y79" t="n">
        <v>116</v>
      </c>
      <c r="Z79" t="n">
        <v>142</v>
      </c>
      <c r="AA79" t="n">
        <v>4</v>
      </c>
      <c r="AB79" t="n">
        <v>7.5</v>
      </c>
      <c r="AC79" t="inlineStr">
        <is>
          <t xml:space="preserve"> Resort Freeride</t>
        </is>
      </c>
      <c r="AD79" t="inlineStr">
        <is>
          <t xml:space="preserve"> Big Mountain</t>
        </is>
      </c>
      <c r="AE79" t="inlineStr">
        <is>
          <t xml:space="preserve"> Touring</t>
        </is>
      </c>
      <c r="AG79" t="inlineStr">
        <is>
          <t>Armada Reliance 102 Ti Skis - Women's 2022</t>
        </is>
      </c>
      <c r="AH79" t="inlineStr">
        <is>
          <t>Ski Pro  - Snow Ski &amp; Snowboard</t>
        </is>
      </c>
      <c r="AI79" s="333" t="n">
        <v>639.95</v>
      </c>
      <c r="AJ79" t="inlineStr">
        <is>
          <t>https://tinyurl.com/y8s2jwun</t>
        </is>
      </c>
      <c r="AK79" t="inlineStr">
        <is>
          <t>Armada Reliance 102 Ti Skis - Women's 2022</t>
        </is>
      </c>
      <c r="AL79" t="inlineStr">
        <is>
          <t>Absolute-Snow.co.uk</t>
        </is>
      </c>
      <c r="AM79" s="333" t="n">
        <v>656.91</v>
      </c>
      <c r="AN79" t="inlineStr">
        <is>
          <t>https://tinyurl.com/ybtnk73h</t>
        </is>
      </c>
      <c r="AO79" t="inlineStr">
        <is>
          <t>Armada Reliance 102 Ti+warden 11 Alpine Skis Woman 164</t>
        </is>
      </c>
      <c r="AP79" t="inlineStr">
        <is>
          <t>Snowinn.com</t>
        </is>
      </c>
      <c r="AQ79" s="333" t="n">
        <v>677.99</v>
      </c>
      <c r="AR79" t="inlineStr">
        <is>
          <t>https://tinyurl.com/y7e8yz6o</t>
        </is>
      </c>
      <c r="AS79" s="314">
        <f>IF(LEFT(C79,1)=" ",RIGHT(C79,LEN(C79)-1),C79)</f>
        <v/>
      </c>
      <c r="AT79" s="281">
        <f>_xlfn.CONCAT(B79,AS79,D79,E79)</f>
        <v/>
      </c>
    </row>
    <row r="80">
      <c r="A80" t="inlineStr">
        <is>
          <t>21/22</t>
        </is>
      </c>
      <c r="B80" t="inlineStr">
        <is>
          <t xml:space="preserve"> Armada</t>
        </is>
      </c>
      <c r="C80" t="inlineStr">
        <is>
          <t>Trace 98</t>
        </is>
      </c>
      <c r="D80" t="n">
        <v>172</v>
      </c>
      <c r="E80" t="inlineStr">
        <is>
          <t xml:space="preserve"> Women's</t>
        </is>
      </c>
      <c r="F80" t="n">
        <v>172</v>
      </c>
      <c r="G80" t="n">
        <v>171.6</v>
      </c>
      <c r="H80" t="n">
        <v>130</v>
      </c>
      <c r="I80" t="n">
        <v>144</v>
      </c>
      <c r="J80" t="n">
        <v>128</v>
      </c>
      <c r="K80" t="n">
        <v>97</v>
      </c>
      <c r="L80" t="n">
        <v>120</v>
      </c>
      <c r="M80" t="n">
        <v>17.4</v>
      </c>
      <c r="N80" t="n">
        <v>1520</v>
      </c>
      <c r="O80" t="n">
        <v>1.21</v>
      </c>
      <c r="P80" t="n">
        <v>1843</v>
      </c>
      <c r="Q80" t="n">
        <v>175</v>
      </c>
      <c r="R80" t="n">
        <v>98</v>
      </c>
      <c r="S80" t="n">
        <v>43</v>
      </c>
      <c r="T80" t="n">
        <v>256</v>
      </c>
      <c r="U80" t="n">
        <v>18</v>
      </c>
      <c r="V80" t="n">
        <v>158</v>
      </c>
      <c r="W80" t="n">
        <v>0.407</v>
      </c>
      <c r="X80" t="n">
        <v>171</v>
      </c>
      <c r="Y80" t="n">
        <v>104</v>
      </c>
      <c r="Z80" t="n">
        <v>85</v>
      </c>
      <c r="AA80" t="n">
        <v>5</v>
      </c>
      <c r="AB80" t="n">
        <v>9.5</v>
      </c>
      <c r="AC80" t="inlineStr">
        <is>
          <t xml:space="preserve"> Resort Freeride</t>
        </is>
      </c>
      <c r="AD80" t="inlineStr">
        <is>
          <t xml:space="preserve"> Touring</t>
        </is>
      </c>
      <c r="AG80" t="inlineStr">
        <is>
          <t>Armada Trace 98 Skis - Women's 2022</t>
        </is>
      </c>
      <c r="AH80" t="inlineStr">
        <is>
          <t>Snowcountry.eu</t>
        </is>
      </c>
      <c r="AI80" s="333" t="n">
        <v>414</v>
      </c>
      <c r="AJ80" t="inlineStr">
        <is>
          <t>https://tinyurl.com/ya4thnn4</t>
        </is>
      </c>
      <c r="AK80" t="inlineStr">
        <is>
          <t>Armada Trace 98 Skis - Women's 2022</t>
        </is>
      </c>
      <c r="AL80" t="inlineStr">
        <is>
          <t>REI</t>
        </is>
      </c>
      <c r="AM80" s="333" t="n">
        <v>559.9299999999999</v>
      </c>
      <c r="AN80" t="inlineStr">
        <is>
          <t>https://tinyurl.com/y87sulks</t>
        </is>
      </c>
      <c r="AO80" t="inlineStr">
        <is>
          <t>Armada Trace 98 Skis - Women's 2022</t>
        </is>
      </c>
      <c r="AP80" t="inlineStr">
        <is>
          <t>evo.com</t>
        </is>
      </c>
      <c r="AQ80" s="333" t="n">
        <v>559.96</v>
      </c>
      <c r="AR80" t="inlineStr">
        <is>
          <t>https://tinyurl.com/ydduj3ma</t>
        </is>
      </c>
      <c r="AS80" s="314">
        <f>IF(LEFT(C80,1)=" ",RIGHT(C80,LEN(C80)-1),C80)</f>
        <v/>
      </c>
      <c r="AT80" s="281">
        <f>_xlfn.CONCAT(B80,AS80,D80,E80)</f>
        <v/>
      </c>
    </row>
    <row r="81">
      <c r="A81" t="inlineStr">
        <is>
          <t>21/22</t>
        </is>
      </c>
      <c r="B81" t="inlineStr">
        <is>
          <t xml:space="preserve"> Fischer</t>
        </is>
      </c>
      <c r="C81" t="inlineStr">
        <is>
          <t>Ranger 92 Ti W</t>
        </is>
      </c>
      <c r="D81" t="n">
        <v>163</v>
      </c>
      <c r="E81" t="inlineStr">
        <is>
          <t xml:space="preserve"> Women's</t>
        </is>
      </c>
      <c r="F81" t="n">
        <v>163</v>
      </c>
      <c r="G81" t="n">
        <v>162.1</v>
      </c>
      <c r="H81" t="n">
        <v>113</v>
      </c>
      <c r="I81" t="n">
        <v>138</v>
      </c>
      <c r="J81" t="n">
        <v>123</v>
      </c>
      <c r="K81" t="n">
        <v>88</v>
      </c>
      <c r="L81" t="n">
        <v>113</v>
      </c>
      <c r="M81" t="n">
        <v>13.5</v>
      </c>
      <c r="N81" t="n">
        <v>1649</v>
      </c>
      <c r="O81" t="n">
        <v>1</v>
      </c>
      <c r="P81" t="n">
        <v>1642</v>
      </c>
      <c r="Q81" t="n">
        <v>176</v>
      </c>
      <c r="R81" t="n">
        <v>114</v>
      </c>
      <c r="S81" t="n">
        <v>49</v>
      </c>
      <c r="T81" t="n">
        <v>296</v>
      </c>
      <c r="U81" t="n">
        <v>15</v>
      </c>
      <c r="V81" t="n">
        <v>197</v>
      </c>
      <c r="W81" t="n">
        <v>0.3</v>
      </c>
      <c r="X81" t="n">
        <v>121</v>
      </c>
      <c r="Y81" t="n">
        <v>121</v>
      </c>
      <c r="Z81" t="n">
        <v>174</v>
      </c>
      <c r="AA81" t="n">
        <v>4</v>
      </c>
      <c r="AB81" t="n">
        <v>9.4</v>
      </c>
      <c r="AC81" t="inlineStr">
        <is>
          <t xml:space="preserve"> Resort Freeride</t>
        </is>
      </c>
      <c r="AG81" t="inlineStr">
        <is>
          <t>Fischer Ranger 92 Ti Ski 163</t>
        </is>
      </c>
      <c r="AH81" t="inlineStr">
        <is>
          <t>Ski The Whites</t>
        </is>
      </c>
      <c r="AI81" s="333" t="n">
        <v>649.95</v>
      </c>
      <c r="AJ81" t="inlineStr">
        <is>
          <t>https://tinyurl.com/ybc44oj4</t>
        </is>
      </c>
      <c r="AK81" t="inlineStr">
        <is>
          <t>Fischer Ranger 92 Ti, Alpine Skis Freeride, Size 163 (A16020-163)</t>
        </is>
      </c>
      <c r="AL81" t="inlineStr">
        <is>
          <t>Snowcountry.eu</t>
        </is>
      </c>
      <c r="AM81" s="333" t="n">
        <v>331.01</v>
      </c>
      <c r="AN81" t="inlineStr">
        <is>
          <t>https://tinyurl.com/yc894jn3</t>
        </is>
      </c>
      <c r="AO81" t="inlineStr">
        <is>
          <t>Fischer W Ranger 102 FR 163cm</t>
        </is>
      </c>
      <c r="AP81" t="inlineStr">
        <is>
          <t>Sundance Ski and Board Shop</t>
        </is>
      </c>
      <c r="AQ81" s="333" t="n">
        <v>521.29</v>
      </c>
      <c r="AR81" t="inlineStr">
        <is>
          <t>https://tinyurl.com/y8qf3nnc</t>
        </is>
      </c>
      <c r="AS81" s="314">
        <f>IF(LEFT(C81,1)=" ",RIGHT(C81,LEN(C81)-1),C81)</f>
        <v/>
      </c>
      <c r="AT81" s="281">
        <f>_xlfn.CONCAT(B81,AS81,D81,E81)</f>
        <v/>
      </c>
    </row>
    <row r="82">
      <c r="A82" t="inlineStr">
        <is>
          <t>21/22</t>
        </is>
      </c>
      <c r="B82" t="inlineStr">
        <is>
          <t xml:space="preserve"> Elan</t>
        </is>
      </c>
      <c r="C82" t="inlineStr">
        <is>
          <t>Wildcat 82 C</t>
        </is>
      </c>
      <c r="D82" t="n">
        <v>164</v>
      </c>
      <c r="E82" t="inlineStr">
        <is>
          <t xml:space="preserve"> Women's</t>
        </is>
      </c>
      <c r="F82" t="n">
        <v>164</v>
      </c>
      <c r="G82" t="n">
        <v>165.1</v>
      </c>
      <c r="H82" t="n">
        <v>135</v>
      </c>
      <c r="I82" t="n">
        <v>145</v>
      </c>
      <c r="J82" t="n">
        <v>129</v>
      </c>
      <c r="K82" t="n">
        <v>82</v>
      </c>
      <c r="L82" t="n">
        <v>112</v>
      </c>
      <c r="M82" t="n">
        <v>13.1</v>
      </c>
      <c r="N82" t="n">
        <v>1818</v>
      </c>
      <c r="O82" t="n">
        <v>0.88</v>
      </c>
      <c r="P82" t="n">
        <v>1600</v>
      </c>
      <c r="Q82" t="n">
        <v>222</v>
      </c>
      <c r="R82" t="n">
        <v>89</v>
      </c>
      <c r="S82" t="n">
        <v>41</v>
      </c>
      <c r="T82" t="n">
        <v>185</v>
      </c>
      <c r="U82" t="n">
        <v>9</v>
      </c>
      <c r="V82" t="n">
        <v>117</v>
      </c>
      <c r="W82" t="n">
        <v>0.22</v>
      </c>
      <c r="X82" t="n">
        <v>109</v>
      </c>
      <c r="Y82" t="n">
        <v>91</v>
      </c>
      <c r="Z82" t="n">
        <v>76</v>
      </c>
      <c r="AA82" t="n">
        <v>8</v>
      </c>
      <c r="AB82" t="n">
        <v>8.6</v>
      </c>
      <c r="AC82" t="inlineStr">
        <is>
          <t xml:space="preserve"> On-Piste All-Mountain</t>
        </is>
      </c>
      <c r="AD82" t="inlineStr">
        <is>
          <t xml:space="preserve"> Resort Freeride</t>
        </is>
      </c>
      <c r="AG82" t="inlineStr">
        <is>
          <t>Elan Ladies Wildcat 82 C Flat Ski 2020-2021 | PURPLE / 164</t>
        </is>
      </c>
      <c r="AH82" t="inlineStr">
        <is>
          <t>Ski Pro  - Snow Ski &amp; Snowboard</t>
        </is>
      </c>
      <c r="AI82" s="333" t="n">
        <v>399.95</v>
      </c>
      <c r="AJ82" t="inlineStr">
        <is>
          <t>https://tinyurl.com/ycpyl4d2</t>
        </is>
      </c>
      <c r="AK82" t="inlineStr">
        <is>
          <t>Women's Elan Wildcat 82 C Skis + ELW 9.0 GW Bindings 2022 - 164</t>
        </is>
      </c>
      <c r="AL82" t="inlineStr">
        <is>
          <t>Ski World</t>
        </is>
      </c>
      <c r="AM82" s="333" t="n">
        <v>599.99</v>
      </c>
      <c r="AN82" t="inlineStr">
        <is>
          <t>https://tinyurl.com/yawey9jp</t>
        </is>
      </c>
      <c r="AO82" t="inlineStr">
        <is>
          <t>WILDCAT 82 C - FLAT 164</t>
        </is>
      </c>
      <c r="AP82" t="inlineStr">
        <is>
          <t>Maine Sport Outfitters</t>
        </is>
      </c>
      <c r="AQ82" s="333" t="n">
        <v>449.99</v>
      </c>
      <c r="AR82" t="inlineStr">
        <is>
          <t>https://tinyurl.com/yd3dhmcu</t>
        </is>
      </c>
      <c r="AS82" s="314">
        <f>IF(LEFT(C82,1)=" ",RIGHT(C82,LEN(C82)-1),C82)</f>
        <v/>
      </c>
      <c r="AT82" s="281">
        <f>_xlfn.CONCAT(B82,AS82,D82,E82)</f>
        <v/>
      </c>
    </row>
    <row r="83">
      <c r="A83" t="inlineStr">
        <is>
          <t>21/22</t>
        </is>
      </c>
      <c r="B83" t="inlineStr">
        <is>
          <t xml:space="preserve"> Fischer</t>
        </is>
      </c>
      <c r="C83" t="inlineStr">
        <is>
          <t>Ranger 94 FR</t>
        </is>
      </c>
      <c r="D83" t="n">
        <v>169</v>
      </c>
      <c r="E83" t="inlineStr">
        <is>
          <t xml:space="preserve"> Unisex</t>
        </is>
      </c>
      <c r="F83" t="n">
        <v>169</v>
      </c>
      <c r="G83" t="n">
        <v>168.3</v>
      </c>
      <c r="H83" t="n">
        <v>119</v>
      </c>
      <c r="I83" t="n">
        <v>137</v>
      </c>
      <c r="J83" t="n">
        <v>125</v>
      </c>
      <c r="K83" t="n">
        <v>90</v>
      </c>
      <c r="L83" t="n">
        <v>115</v>
      </c>
      <c r="M83" t="n">
        <v>13.2</v>
      </c>
      <c r="N83" t="n">
        <v>1713</v>
      </c>
      <c r="O83" t="n">
        <v>1.01</v>
      </c>
      <c r="P83" t="n">
        <v>1736</v>
      </c>
      <c r="Q83" t="n">
        <v>207</v>
      </c>
      <c r="R83" t="n">
        <v>104</v>
      </c>
      <c r="S83" t="n">
        <v>50</v>
      </c>
      <c r="T83" t="n">
        <v>299</v>
      </c>
      <c r="U83" t="n">
        <v>31</v>
      </c>
      <c r="V83" t="n">
        <v>190</v>
      </c>
      <c r="W83" t="n">
        <v>0.621</v>
      </c>
      <c r="X83" t="n">
        <v>167</v>
      </c>
      <c r="Y83" t="n">
        <v>145</v>
      </c>
      <c r="Z83" t="n">
        <v>132</v>
      </c>
      <c r="AA83" t="n">
        <v>6</v>
      </c>
      <c r="AB83" t="n">
        <v>8</v>
      </c>
      <c r="AC83" t="inlineStr">
        <is>
          <t xml:space="preserve"> Resort Freeride</t>
        </is>
      </c>
      <c r="AG83" t="inlineStr">
        <is>
          <t>Fischer Ranger 94 FR Skis</t>
        </is>
      </c>
      <c r="AH83" t="inlineStr">
        <is>
          <t>ColoradoSkiShop.com</t>
        </is>
      </c>
      <c r="AI83" s="333" t="n">
        <v>479.99</v>
      </c>
      <c r="AJ83" t="inlineStr">
        <is>
          <t>https://tinyurl.com/y9qezykm</t>
        </is>
      </c>
      <c r="AK83" t="inlineStr">
        <is>
          <t>Fischer Ranger 94 FR Skis</t>
        </is>
      </c>
      <c r="AL83" t="inlineStr">
        <is>
          <t>skicenterltd.com</t>
        </is>
      </c>
      <c r="AM83" s="333" t="n">
        <v>699.99</v>
      </c>
      <c r="AN83" t="inlineStr">
        <is>
          <t>https://tinyurl.com/yara58zw</t>
        </is>
      </c>
      <c r="AO83" t="inlineStr">
        <is>
          <t>Ranger 94 Fr 169</t>
        </is>
      </c>
      <c r="AP83" t="inlineStr">
        <is>
          <t>Pro Ski and Mountain Service</t>
        </is>
      </c>
      <c r="AQ83" s="333" t="n">
        <v>699.99</v>
      </c>
      <c r="AR83" t="inlineStr">
        <is>
          <t>https://tinyurl.com/ycbtglf6</t>
        </is>
      </c>
      <c r="AS83" s="314">
        <f>IF(LEFT(C83,1)=" ",RIGHT(C83,LEN(C83)-1),C83)</f>
        <v/>
      </c>
      <c r="AT83" s="281">
        <f>_xlfn.CONCAT(B83,AS83,D83,E83)</f>
        <v/>
      </c>
    </row>
    <row r="84">
      <c r="A84" t="inlineStr">
        <is>
          <t>21/22</t>
        </is>
      </c>
      <c r="B84" t="inlineStr">
        <is>
          <t xml:space="preserve"> DPS</t>
        </is>
      </c>
      <c r="C84" t="inlineStr">
        <is>
          <t>Pagoda Tour 112 RP</t>
        </is>
      </c>
      <c r="D84" t="n">
        <v>184</v>
      </c>
      <c r="E84" t="inlineStr">
        <is>
          <t xml:space="preserve"> Unisex</t>
        </is>
      </c>
      <c r="F84" t="n">
        <v>184</v>
      </c>
      <c r="G84" t="n">
        <v>182.2</v>
      </c>
      <c r="H84" t="n">
        <v>107</v>
      </c>
      <c r="I84" t="n">
        <v>125</v>
      </c>
      <c r="J84" t="n">
        <v>140</v>
      </c>
      <c r="K84" t="n">
        <v>112</v>
      </c>
      <c r="L84" t="n">
        <v>127</v>
      </c>
      <c r="M84" t="n">
        <v>15.2</v>
      </c>
      <c r="N84" t="n">
        <v>1661</v>
      </c>
      <c r="O84" t="n">
        <v>1.33</v>
      </c>
      <c r="P84" t="n">
        <v>2209</v>
      </c>
      <c r="Q84" t="n">
        <v>229</v>
      </c>
      <c r="R84" t="n">
        <v>112</v>
      </c>
      <c r="S84" t="n">
        <v>73</v>
      </c>
      <c r="T84" t="n">
        <v>422</v>
      </c>
      <c r="U84" t="n">
        <v>34</v>
      </c>
      <c r="V84" t="n">
        <v>330</v>
      </c>
      <c r="W84" t="n">
        <v>0.463999999999999</v>
      </c>
      <c r="X84" t="n">
        <v>304</v>
      </c>
      <c r="Y84" t="n">
        <v>270</v>
      </c>
      <c r="Z84" t="n">
        <v>118</v>
      </c>
      <c r="AA84" t="n">
        <v>4</v>
      </c>
      <c r="AB84" t="n">
        <v>13.2</v>
      </c>
      <c r="AC84" t="inlineStr">
        <is>
          <t xml:space="preserve"> Powder</t>
        </is>
      </c>
      <c r="AD84" t="inlineStr">
        <is>
          <t xml:space="preserve"> Touring</t>
        </is>
      </c>
      <c r="AE84" t="inlineStr">
        <is>
          <t xml:space="preserve"> Ultralight Touring</t>
        </is>
      </c>
      <c r="AG84" t="inlineStr">
        <is>
          <t>DPS Pagoda Tour 112 RP SE Ski 184 / Early Riser Orange</t>
        </is>
      </c>
      <c r="AH84" t="inlineStr">
        <is>
          <t>Cripple Creek Backcountry</t>
        </is>
      </c>
      <c r="AI84" s="333" t="n">
        <v>1029</v>
      </c>
      <c r="AJ84" t="inlineStr">
        <is>
          <t>https://tinyurl.com/y7v8nwho</t>
        </is>
      </c>
      <c r="AK84" t="inlineStr">
        <is>
          <t>DPS Pagoda Tour 112 RP Skis 184cm</t>
        </is>
      </c>
      <c r="AL84" t="inlineStr">
        <is>
          <t>Skimo &amp; SkyRun</t>
        </is>
      </c>
      <c r="AM84" s="333" t="n">
        <v>1029</v>
      </c>
      <c r="AN84" t="inlineStr">
        <is>
          <t>https://tinyurl.com/ycb4olrb</t>
        </is>
      </c>
      <c r="AO84" t="inlineStr">
        <is>
          <t>DPS Pagoda Tour 112 RP Skis 184cm</t>
        </is>
      </c>
      <c r="AP84" t="inlineStr">
        <is>
          <t>REI</t>
        </is>
      </c>
      <c r="AQ84" s="333" t="n">
        <v>1038.93</v>
      </c>
      <c r="AR84" t="inlineStr">
        <is>
          <t>https://tinyurl.com/ycfe75j6</t>
        </is>
      </c>
      <c r="AS84" s="314">
        <f>IF(LEFT(C84,1)=" ",RIGHT(C84,LEN(C84)-1),C84)</f>
        <v/>
      </c>
      <c r="AT84" s="281">
        <f>_xlfn.CONCAT(B84,AS84,D84,E84)</f>
        <v/>
      </c>
    </row>
    <row r="85">
      <c r="A85" t="inlineStr">
        <is>
          <t>21/22</t>
        </is>
      </c>
      <c r="B85" t="inlineStr">
        <is>
          <t xml:space="preserve"> Icelantic</t>
        </is>
      </c>
      <c r="C85" t="inlineStr">
        <is>
          <t>Pioneer 96</t>
        </is>
      </c>
      <c r="D85" t="n">
        <v>182</v>
      </c>
      <c r="E85" t="inlineStr">
        <is>
          <t xml:space="preserve"> Unisex</t>
        </is>
      </c>
      <c r="F85" t="n">
        <v>182</v>
      </c>
      <c r="G85" t="n">
        <v>180.9</v>
      </c>
      <c r="H85" t="n">
        <v>126</v>
      </c>
      <c r="I85" t="n">
        <v>151</v>
      </c>
      <c r="J85" t="n">
        <v>131</v>
      </c>
      <c r="K85" t="n">
        <v>96</v>
      </c>
      <c r="L85" t="n">
        <v>118</v>
      </c>
      <c r="M85" t="n">
        <v>19.4</v>
      </c>
      <c r="N85" t="n">
        <v>1844</v>
      </c>
      <c r="O85" t="n">
        <v>1.05</v>
      </c>
      <c r="P85" t="n">
        <v>1930</v>
      </c>
      <c r="Q85" t="n">
        <v>224</v>
      </c>
      <c r="R85" t="n">
        <v>100</v>
      </c>
      <c r="S85" t="n">
        <v>59</v>
      </c>
      <c r="T85" t="n">
        <v>320</v>
      </c>
      <c r="U85" t="n">
        <v>19</v>
      </c>
      <c r="V85" t="n">
        <v>231</v>
      </c>
      <c r="W85" t="n">
        <v>0.328999999999999</v>
      </c>
      <c r="X85" t="n">
        <v>188</v>
      </c>
      <c r="Y85" t="n">
        <v>115</v>
      </c>
      <c r="Z85" t="n">
        <v>132</v>
      </c>
      <c r="AA85" t="n">
        <v>3</v>
      </c>
      <c r="AB85" t="n">
        <v>8.300000000000001</v>
      </c>
      <c r="AC85" t="inlineStr">
        <is>
          <t xml:space="preserve"> Resort Freeride</t>
        </is>
      </c>
      <c r="AG85" t="inlineStr">
        <is>
          <t>Icelantic Pioneer 96 Skis Â· 2022 Â· 182 cm</t>
        </is>
      </c>
      <c r="AH85" t="inlineStr">
        <is>
          <t>REI</t>
        </is>
      </c>
      <c r="AI85" s="333" t="n">
        <v>508.93</v>
      </c>
      <c r="AJ85" t="inlineStr">
        <is>
          <t>https://tinyurl.com/ydz853xv</t>
        </is>
      </c>
      <c r="AK85" t="inlineStr">
        <is>
          <t>Icelantic Pioneer 96 Skis Â· 2022 Â· 182 cm</t>
        </is>
      </c>
      <c r="AL85" t="inlineStr">
        <is>
          <t>Curated</t>
        </is>
      </c>
      <c r="AM85" s="333" t="n">
        <v>509</v>
      </c>
      <c r="AN85" t="inlineStr">
        <is>
          <t>https://tinyurl.com/y8kltuw2</t>
        </is>
      </c>
      <c r="AO85" t="inlineStr">
        <is>
          <t>Icelantic Pioneer 96 Skis 2022 182cm</t>
        </is>
      </c>
      <c r="AP85" t="inlineStr">
        <is>
          <t>Glacier Ski Shop</t>
        </is>
      </c>
      <c r="AQ85" s="333" t="n">
        <v>509</v>
      </c>
      <c r="AR85" t="inlineStr">
        <is>
          <t>https://tinyurl.com/y987vpjb</t>
        </is>
      </c>
      <c r="AS85" s="314">
        <f>IF(LEFT(C85,1)=" ",RIGHT(C85,LEN(C85)-1),C85)</f>
        <v/>
      </c>
      <c r="AT85" s="281">
        <f>_xlfn.CONCAT(B85,AS85,D85,E85)</f>
        <v/>
      </c>
    </row>
    <row r="86">
      <c r="A86" t="inlineStr">
        <is>
          <t>21/22</t>
        </is>
      </c>
      <c r="B86" t="inlineStr">
        <is>
          <t>K2</t>
        </is>
      </c>
      <c r="C86" t="inlineStr">
        <is>
          <t>Reckoner 112</t>
        </is>
      </c>
      <c r="D86" t="n">
        <v>184</v>
      </c>
      <c r="E86" t="inlineStr">
        <is>
          <t xml:space="preserve"> Unisex</t>
        </is>
      </c>
      <c r="F86" t="n">
        <v>184</v>
      </c>
      <c r="G86" t="n">
        <v>184.2</v>
      </c>
      <c r="H86" t="n">
        <v>110</v>
      </c>
      <c r="I86" t="n">
        <v>141</v>
      </c>
      <c r="J86" t="n">
        <v>136</v>
      </c>
      <c r="K86" t="n">
        <v>112</v>
      </c>
      <c r="L86" t="n">
        <v>126</v>
      </c>
      <c r="M86" t="n">
        <v>22.8</v>
      </c>
      <c r="N86" t="n">
        <v>2012</v>
      </c>
      <c r="O86" t="n">
        <v>1.09</v>
      </c>
      <c r="P86" t="n">
        <v>2190</v>
      </c>
      <c r="Q86" t="n">
        <v>202</v>
      </c>
      <c r="R86" t="n">
        <v>108</v>
      </c>
      <c r="S86" t="n">
        <v>53</v>
      </c>
      <c r="T86" t="n">
        <v>394</v>
      </c>
      <c r="U86" t="n">
        <v>40</v>
      </c>
      <c r="V86" t="n">
        <v>350</v>
      </c>
      <c r="W86" t="n">
        <v>0.75</v>
      </c>
      <c r="X86" t="n">
        <v>213</v>
      </c>
      <c r="Y86" t="n">
        <v>223</v>
      </c>
      <c r="Z86" t="n">
        <v>181</v>
      </c>
      <c r="AA86" t="n">
        <v>5</v>
      </c>
      <c r="AB86" t="n">
        <v>6.6</v>
      </c>
      <c r="AC86" t="inlineStr">
        <is>
          <t xml:space="preserve"> Powder</t>
        </is>
      </c>
      <c r="AD86" t="inlineStr">
        <is>
          <t xml:space="preserve"> Touring</t>
        </is>
      </c>
      <c r="AG86" t="inlineStr">
        <is>
          <t>K2 Reckoner 112 Skis - 2022 184 cm</t>
        </is>
      </c>
      <c r="AH86" t="inlineStr">
        <is>
          <t>Blue Tomato</t>
        </is>
      </c>
      <c r="AI86" s="333" t="n">
        <v>405.53</v>
      </c>
      <c r="AJ86" t="inlineStr">
        <is>
          <t>https://tinyurl.com/y8tlwqz8</t>
        </is>
      </c>
      <c r="AK86" t="inlineStr">
        <is>
          <t>K2 Reckoner 112 Skis</t>
        </is>
      </c>
      <c r="AL86" t="inlineStr">
        <is>
          <t>Snowinn.com</t>
        </is>
      </c>
      <c r="AM86" s="333" t="n">
        <v>465.99</v>
      </c>
      <c r="AN86" t="inlineStr">
        <is>
          <t>https://tinyurl.com/yblwaxjh</t>
        </is>
      </c>
      <c r="AO86" t="inlineStr">
        <is>
          <t>K2 Reckoner 112 Skis - 2022 184 cm</t>
        </is>
      </c>
      <c r="AP86" t="inlineStr">
        <is>
          <t>PRFO Sports</t>
        </is>
      </c>
      <c r="AQ86" s="333" t="n">
        <v>481.19</v>
      </c>
      <c r="AR86" t="inlineStr">
        <is>
          <t>https://tinyurl.com/ydh9ambs</t>
        </is>
      </c>
      <c r="AS86" s="314">
        <f>IF(LEFT(C86,1)=" ",RIGHT(C86,LEN(C86)-1),C86)</f>
        <v/>
      </c>
      <c r="AT86" s="281">
        <f>_xlfn.CONCAT(B86,AS86,D86,E86)</f>
        <v/>
      </c>
    </row>
    <row r="87">
      <c r="A87" t="inlineStr">
        <is>
          <t>21/22</t>
        </is>
      </c>
      <c r="B87" t="inlineStr">
        <is>
          <t xml:space="preserve"> Vï¿½lkl</t>
        </is>
      </c>
      <c r="C87" t="inlineStr">
        <is>
          <t>Blaze 94</t>
        </is>
      </c>
      <c r="D87" t="n">
        <v>186</v>
      </c>
      <c r="E87" t="inlineStr">
        <is>
          <t xml:space="preserve"> Unisex</t>
        </is>
      </c>
      <c r="F87" t="n">
        <v>186</v>
      </c>
      <c r="G87" t="n">
        <v>186.6</v>
      </c>
      <c r="H87" t="n">
        <v>104</v>
      </c>
      <c r="I87" t="n">
        <v>163</v>
      </c>
      <c r="J87" t="n">
        <v>133</v>
      </c>
      <c r="K87" t="n">
        <v>93</v>
      </c>
      <c r="L87" t="n">
        <v>116</v>
      </c>
      <c r="M87" t="n">
        <v>20</v>
      </c>
      <c r="N87" t="n">
        <v>1699</v>
      </c>
      <c r="O87" t="n">
        <v>1.16</v>
      </c>
      <c r="P87" t="n">
        <v>1976</v>
      </c>
      <c r="Q87" t="n">
        <v>232</v>
      </c>
      <c r="R87" t="n">
        <v>111</v>
      </c>
      <c r="S87" t="n">
        <v>47</v>
      </c>
      <c r="T87" t="n">
        <v>477</v>
      </c>
      <c r="U87" t="n">
        <v>22</v>
      </c>
      <c r="V87" t="n">
        <v>345</v>
      </c>
      <c r="W87" t="n">
        <v>0.46</v>
      </c>
      <c r="X87" t="n">
        <v>138</v>
      </c>
      <c r="Y87" t="n">
        <v>102</v>
      </c>
      <c r="Z87" t="n">
        <v>338</v>
      </c>
      <c r="AA87" t="n">
        <v>2</v>
      </c>
      <c r="AB87" t="n">
        <v>11.6</v>
      </c>
      <c r="AC87" t="inlineStr">
        <is>
          <t xml:space="preserve"> Resort Freeride</t>
        </is>
      </c>
      <c r="AD87" t="inlineStr">
        <is>
          <t xml:space="preserve"> Touring</t>
        </is>
      </c>
      <c r="AG87" t="inlineStr">
        <is>
          <t>Volkl Blaze 94</t>
        </is>
      </c>
      <c r="AH87" t="inlineStr">
        <is>
          <t>Snowcountry.eu</t>
        </is>
      </c>
      <c r="AI87" s="333" t="n">
        <v>367.9</v>
      </c>
      <c r="AJ87" t="inlineStr">
        <is>
          <t>https://tinyurl.com/yaj7qb23</t>
        </is>
      </c>
      <c r="AK87" t="inlineStr">
        <is>
          <t>Volkl Blaze 94</t>
        </is>
      </c>
      <c r="AL87" t="inlineStr">
        <is>
          <t>! OutdoorXL.com</t>
        </is>
      </c>
      <c r="AM87" s="333" t="n">
        <v>374.95</v>
      </c>
      <c r="AN87" t="inlineStr">
        <is>
          <t>https://tinyurl.com/yb6cnajt</t>
        </is>
      </c>
      <c r="AO87" t="inlineStr">
        <is>
          <t>Volkl Blaze 94</t>
        </is>
      </c>
      <c r="AP87" t="inlineStr">
        <is>
          <t>Powder7 Ski Shop</t>
        </is>
      </c>
      <c r="AQ87" s="333" t="n">
        <v>429.93</v>
      </c>
      <c r="AR87" t="inlineStr">
        <is>
          <t>https://tinyurl.com/y922jq8c</t>
        </is>
      </c>
      <c r="AS87" s="314">
        <f>IF(LEFT(C87,1)=" ",RIGHT(C87,LEN(C87)-1),C87)</f>
        <v/>
      </c>
      <c r="AT87" s="281">
        <f>_xlfn.CONCAT(B87,AS87,D87,E87)</f>
        <v/>
      </c>
    </row>
    <row r="88">
      <c r="A88" t="inlineStr">
        <is>
          <t>21/22</t>
        </is>
      </c>
      <c r="B88" t="inlineStr">
        <is>
          <t xml:space="preserve"> Liberty</t>
        </is>
      </c>
      <c r="C88" t="inlineStr">
        <is>
          <t>Evolv 90W</t>
        </is>
      </c>
      <c r="D88" t="n">
        <v>165</v>
      </c>
      <c r="E88" t="inlineStr">
        <is>
          <t xml:space="preserve"> Women's</t>
        </is>
      </c>
      <c r="F88" t="n">
        <v>165</v>
      </c>
      <c r="G88" t="n">
        <v>164.2</v>
      </c>
      <c r="H88" t="n">
        <v>131</v>
      </c>
      <c r="I88" t="n">
        <v>145</v>
      </c>
      <c r="J88" t="n">
        <v>131</v>
      </c>
      <c r="K88" t="n">
        <v>90</v>
      </c>
      <c r="L88" t="n">
        <v>113</v>
      </c>
      <c r="M88" t="n">
        <v>15.4</v>
      </c>
      <c r="N88" t="n">
        <v>1591</v>
      </c>
      <c r="O88" t="n">
        <v>1.06</v>
      </c>
      <c r="P88" t="n">
        <v>1679</v>
      </c>
      <c r="Q88" t="n">
        <v>208</v>
      </c>
      <c r="R88" t="n">
        <v>99</v>
      </c>
      <c r="S88" t="n">
        <v>37</v>
      </c>
      <c r="T88" t="n">
        <v>206</v>
      </c>
      <c r="U88" t="n">
        <v>10</v>
      </c>
      <c r="V88" t="n">
        <v>130</v>
      </c>
      <c r="W88" t="n">
        <v>0.262</v>
      </c>
      <c r="X88" t="n">
        <v>108</v>
      </c>
      <c r="Y88" t="n">
        <v>79</v>
      </c>
      <c r="Z88" t="n">
        <v>98</v>
      </c>
      <c r="AA88" t="n">
        <v>8</v>
      </c>
      <c r="AB88" t="n">
        <v>7.1</v>
      </c>
      <c r="AC88" t="inlineStr">
        <is>
          <t xml:space="preserve"> Resort Freeride</t>
        </is>
      </c>
      <c r="AD88" t="inlineStr">
        <is>
          <t xml:space="preserve"> Touring</t>
        </is>
      </c>
      <c r="AG88" t="inlineStr">
        <is>
          <t>Liberty Skis Evolv 90W Skis - Women's 2021</t>
        </is>
      </c>
      <c r="AH88" t="inlineStr">
        <is>
          <t>BobWards.com</t>
        </is>
      </c>
      <c r="AI88" s="333" t="n">
        <v>450</v>
      </c>
      <c r="AJ88" t="inlineStr">
        <is>
          <t>https://tinyurl.com/y9kn3kle</t>
        </is>
      </c>
      <c r="AK88" t="inlineStr">
        <is>
          <t>Liberty Skis Evolv 90W Skis - Women's 2021</t>
        </is>
      </c>
      <c r="AL88" t="inlineStr">
        <is>
          <t>SkiEssentials.com</t>
        </is>
      </c>
      <c r="AM88" s="333" t="n">
        <v>469.95</v>
      </c>
      <c r="AN88" t="inlineStr">
        <is>
          <t>https://tinyurl.com/ycsenfd5</t>
        </is>
      </c>
      <c r="AO88" t="inlineStr">
        <is>
          <t>2020 Liberty Evolv 90</t>
        </is>
      </c>
      <c r="AP88" t="inlineStr">
        <is>
          <t>eBay - larsonski</t>
        </is>
      </c>
      <c r="AQ88" s="333" t="n">
        <v>425</v>
      </c>
      <c r="AR88" t="inlineStr">
        <is>
          <t>https://tinyurl.com/y9mdnxvc</t>
        </is>
      </c>
      <c r="AS88" s="314">
        <f>IF(LEFT(C88,1)=" ",RIGHT(C88,LEN(C88)-1),C88)</f>
        <v/>
      </c>
      <c r="AT88" s="281">
        <f>_xlfn.CONCAT(B88,AS88,D88,E88)</f>
        <v/>
      </c>
    </row>
    <row r="89">
      <c r="A89" t="inlineStr">
        <is>
          <t>21/22</t>
        </is>
      </c>
      <c r="B89" t="inlineStr">
        <is>
          <t xml:space="preserve"> Armada</t>
        </is>
      </c>
      <c r="C89" t="inlineStr">
        <is>
          <t>Tracer 108</t>
        </is>
      </c>
      <c r="D89" t="n">
        <v>180</v>
      </c>
      <c r="E89" t="inlineStr">
        <is>
          <t xml:space="preserve"> Unisex</t>
        </is>
      </c>
      <c r="F89" t="n">
        <v>180</v>
      </c>
      <c r="G89" t="n">
        <v>179.4</v>
      </c>
      <c r="H89" t="n">
        <v>125</v>
      </c>
      <c r="I89" t="n">
        <v>139</v>
      </c>
      <c r="J89" t="n">
        <v>133</v>
      </c>
      <c r="K89" t="n">
        <v>107</v>
      </c>
      <c r="L89" t="n">
        <v>125</v>
      </c>
      <c r="M89" t="n">
        <v>19.2</v>
      </c>
      <c r="N89" t="n">
        <v>1712</v>
      </c>
      <c r="O89" t="n">
        <v>1.22</v>
      </c>
      <c r="P89" t="n">
        <v>2087</v>
      </c>
      <c r="Q89" t="n">
        <v>204</v>
      </c>
      <c r="R89" t="n">
        <v>111</v>
      </c>
      <c r="S89" t="n">
        <v>44</v>
      </c>
      <c r="T89" t="n">
        <v>388</v>
      </c>
      <c r="U89" t="n">
        <v>27</v>
      </c>
      <c r="V89" t="n">
        <v>159</v>
      </c>
      <c r="W89" t="n">
        <v>0.609</v>
      </c>
      <c r="X89" t="n">
        <v>236</v>
      </c>
      <c r="Y89" t="n">
        <v>164</v>
      </c>
      <c r="Z89" t="n">
        <v>152</v>
      </c>
      <c r="AA89" t="n">
        <v>5</v>
      </c>
      <c r="AB89" t="n">
        <v>9.5</v>
      </c>
      <c r="AC89" t="inlineStr">
        <is>
          <t xml:space="preserve"> Powder</t>
        </is>
      </c>
      <c r="AD89" t="inlineStr">
        <is>
          <t xml:space="preserve"> Touring</t>
        </is>
      </c>
      <c r="AG89" t="inlineStr">
        <is>
          <t>Armada Tracer 108 Purple-White-Orange 180 Ski Men</t>
        </is>
      </c>
      <c r="AH89" t="inlineStr">
        <is>
          <t>! OutdoorXL.com</t>
        </is>
      </c>
      <c r="AI89" s="333" t="n">
        <v>514.95</v>
      </c>
      <c r="AJ89" t="inlineStr">
        <is>
          <t>https://tinyurl.com/y8noje4z</t>
        </is>
      </c>
      <c r="AK89" t="inlineStr">
        <is>
          <t>Armada Men's Tracer 108 Ski</t>
        </is>
      </c>
      <c r="AL89" t="inlineStr">
        <is>
          <t>PRFO Sports</t>
        </is>
      </c>
      <c r="AM89" s="333" t="n">
        <v>544.55</v>
      </c>
      <c r="AN89" t="inlineStr">
        <is>
          <t>https://tinyurl.com/y92on884</t>
        </is>
      </c>
      <c r="AO89" t="inlineStr">
        <is>
          <t>Armada Tracer 108 Skis</t>
        </is>
      </c>
      <c r="AP89" t="inlineStr">
        <is>
          <t>Powder7 Ski Shop</t>
        </is>
      </c>
      <c r="AQ89" s="333" t="n">
        <v>599.95</v>
      </c>
      <c r="AR89" t="inlineStr">
        <is>
          <t>https://tinyurl.com/ya365k3v</t>
        </is>
      </c>
      <c r="AS89" s="314">
        <f>IF(LEFT(C89,1)=" ",RIGHT(C89,LEN(C89)-1),C89)</f>
        <v/>
      </c>
      <c r="AT89" s="281">
        <f>_xlfn.CONCAT(B89,AS89,D89,E89)</f>
        <v/>
      </c>
    </row>
    <row r="90">
      <c r="A90" t="inlineStr">
        <is>
          <t>21/22</t>
        </is>
      </c>
      <c r="B90" t="inlineStr">
        <is>
          <t xml:space="preserve"> Rossignol</t>
        </is>
      </c>
      <c r="C90" t="inlineStr">
        <is>
          <t xml:space="preserve"> Blackops Stargazer W</t>
        </is>
      </c>
      <c r="D90" t="n">
        <v>170</v>
      </c>
      <c r="E90" t="inlineStr">
        <is>
          <t xml:space="preserve"> Women's</t>
        </is>
      </c>
      <c r="F90" t="n">
        <v>170</v>
      </c>
      <c r="G90" t="n">
        <v>170.6</v>
      </c>
      <c r="H90" t="n">
        <v>124</v>
      </c>
      <c r="I90" t="n">
        <v>146</v>
      </c>
      <c r="J90" t="n">
        <v>126</v>
      </c>
      <c r="K90" t="n">
        <v>92</v>
      </c>
      <c r="L90" t="n">
        <v>116</v>
      </c>
      <c r="M90" t="n">
        <v>16</v>
      </c>
      <c r="N90" t="n">
        <v>1654</v>
      </c>
      <c r="O90" t="n">
        <v>1.07</v>
      </c>
      <c r="P90" t="n">
        <v>1771</v>
      </c>
      <c r="Q90" t="n">
        <v>211</v>
      </c>
      <c r="R90" t="n">
        <v>99</v>
      </c>
      <c r="S90" t="n">
        <v>46</v>
      </c>
      <c r="T90" t="n">
        <v>293</v>
      </c>
      <c r="U90" t="n">
        <v>12</v>
      </c>
      <c r="V90" t="n">
        <v>172</v>
      </c>
      <c r="W90" t="n">
        <v>0.252</v>
      </c>
      <c r="X90" t="n">
        <v>144</v>
      </c>
      <c r="Y90" t="n">
        <v>106</v>
      </c>
      <c r="Z90" t="n">
        <v>150</v>
      </c>
      <c r="AA90" t="n">
        <v>7</v>
      </c>
      <c r="AB90" t="n">
        <v>7</v>
      </c>
      <c r="AC90" t="inlineStr">
        <is>
          <t xml:space="preserve"> Resort Freeride</t>
        </is>
      </c>
      <c r="AD90" t="inlineStr">
        <is>
          <t xml:space="preserve"> Touring</t>
        </is>
      </c>
      <c r="AG90" t="inlineStr">
        <is>
          <t>Rossignol Women's Freeride Skis Blackops W Stargazer</t>
        </is>
      </c>
      <c r="AH90" t="inlineStr">
        <is>
          <t>Level Nine Sports</t>
        </is>
      </c>
      <c r="AI90" s="333" t="n">
        <v>479.96</v>
      </c>
      <c r="AJ90" t="inlineStr">
        <is>
          <t>https://tinyurl.com/y9lhvobt</t>
        </is>
      </c>
      <c r="AK90" t="inlineStr">
        <is>
          <t>Rossignol Blackops W Stargazer Skis</t>
        </is>
      </c>
      <c r="AL90" t="inlineStr">
        <is>
          <t>Cole Sport</t>
        </is>
      </c>
      <c r="AM90" s="333" t="n">
        <v>479.96</v>
      </c>
      <c r="AN90" t="inlineStr">
        <is>
          <t>https://tinyurl.com/y9n8z4lr</t>
        </is>
      </c>
      <c r="AO90" t="inlineStr">
        <is>
          <t>Rossignol Blackops W Stargazer 92 Skis Womens 2022</t>
        </is>
      </c>
      <c r="AP90" t="inlineStr">
        <is>
          <t>BlueZone Sports</t>
        </is>
      </c>
      <c r="AQ90" s="333" t="n">
        <v>479.99</v>
      </c>
      <c r="AR90" t="inlineStr">
        <is>
          <t>https://tinyurl.com/y84jrkjd</t>
        </is>
      </c>
      <c r="AS90" s="314">
        <f>IF(LEFT(C90,1)=" ",RIGHT(C90,LEN(C90)-1),C90)</f>
        <v/>
      </c>
      <c r="AT90" s="281">
        <f>_xlfn.CONCAT(B90,AS90,D90,E90)</f>
        <v/>
      </c>
    </row>
    <row r="91">
      <c r="A91" t="inlineStr">
        <is>
          <t>21/22</t>
        </is>
      </c>
      <c r="B91" t="inlineStr">
        <is>
          <t xml:space="preserve"> Liberty</t>
        </is>
      </c>
      <c r="C91" t="inlineStr">
        <is>
          <t>Evolv 90</t>
        </is>
      </c>
      <c r="D91" t="n">
        <v>165</v>
      </c>
      <c r="E91" t="inlineStr">
        <is>
          <t xml:space="preserve"> Unisex</t>
        </is>
      </c>
      <c r="F91" t="n">
        <v>165</v>
      </c>
      <c r="G91" t="n">
        <v>165.1</v>
      </c>
      <c r="H91" t="n">
        <v>133</v>
      </c>
      <c r="I91" t="n">
        <v>146</v>
      </c>
      <c r="J91" t="n">
        <v>130</v>
      </c>
      <c r="K91" t="n">
        <v>89</v>
      </c>
      <c r="L91" t="n">
        <v>112</v>
      </c>
      <c r="M91" t="n">
        <v>15.6</v>
      </c>
      <c r="N91" t="n">
        <v>1638</v>
      </c>
      <c r="O91" t="n">
        <v>1.02</v>
      </c>
      <c r="P91" t="n">
        <v>1679</v>
      </c>
      <c r="Q91" t="n">
        <v>195</v>
      </c>
      <c r="R91" t="n">
        <v>100</v>
      </c>
      <c r="S91" t="n">
        <v>38</v>
      </c>
      <c r="T91" t="n">
        <v>203</v>
      </c>
      <c r="U91" t="n">
        <v>10</v>
      </c>
      <c r="V91" t="n">
        <v>120</v>
      </c>
      <c r="W91" t="n">
        <v>0.257</v>
      </c>
      <c r="X91" t="n">
        <v>103</v>
      </c>
      <c r="Y91" t="n">
        <v>88</v>
      </c>
      <c r="Z91" t="n">
        <v>100</v>
      </c>
      <c r="AA91" t="n">
        <v>8</v>
      </c>
      <c r="AB91" t="n">
        <v>10.5</v>
      </c>
      <c r="AC91" t="inlineStr">
        <is>
          <t xml:space="preserve"> Resort Freeride</t>
        </is>
      </c>
      <c r="AG91" t="inlineStr">
        <is>
          <t>2020 Liberty Evolv 90</t>
        </is>
      </c>
      <c r="AH91" t="inlineStr">
        <is>
          <t>eBay - larsonski</t>
        </is>
      </c>
      <c r="AI91" s="333" t="n">
        <v>425</v>
      </c>
      <c r="AJ91" t="inlineStr">
        <is>
          <t>https://tinyurl.com/y97wzj7z</t>
        </is>
      </c>
      <c r="AK91" t="inlineStr">
        <is>
          <t>Liberty Evolv 90 Skis | Men's | 20/21 | Size 165</t>
        </is>
      </c>
      <c r="AL91" t="inlineStr">
        <is>
          <t>Christy Sports</t>
        </is>
      </c>
      <c r="AM91" s="333" t="n">
        <v>479.94</v>
      </c>
      <c r="AN91" t="inlineStr">
        <is>
          <t>https://tinyurl.com/y98rs9ch</t>
        </is>
      </c>
      <c r="AO91" t="inlineStr">
        <is>
          <t>2021 Liberty Evolv 90 Women's Skis w/ Tyrolia Attack 11 GW Bindings - 165| Ski Essentials</t>
        </is>
      </c>
      <c r="AP91" t="inlineStr">
        <is>
          <t>SkiEssentials.com</t>
        </is>
      </c>
      <c r="AQ91" s="333" t="n">
        <v>584.95</v>
      </c>
      <c r="AR91" t="inlineStr">
        <is>
          <t>https://tinyurl.com/yd3oc3my</t>
        </is>
      </c>
      <c r="AS91" s="314">
        <f>IF(LEFT(C91,1)=" ",RIGHT(C91,LEN(C91)-1),C91)</f>
        <v/>
      </c>
      <c r="AT91" s="281">
        <f>_xlfn.CONCAT(B91,AS91,D91,E91)</f>
        <v/>
      </c>
    </row>
    <row r="92">
      <c r="A92" t="inlineStr">
        <is>
          <t>21/22</t>
        </is>
      </c>
      <c r="B92" t="inlineStr">
        <is>
          <t xml:space="preserve"> Fischer</t>
        </is>
      </c>
      <c r="C92" t="inlineStr">
        <is>
          <t>Ranger 99 Ti W</t>
        </is>
      </c>
      <c r="D92" t="n">
        <v>158</v>
      </c>
      <c r="E92" t="inlineStr">
        <is>
          <t xml:space="preserve"> Women's</t>
        </is>
      </c>
      <c r="F92" t="n">
        <v>158</v>
      </c>
      <c r="G92" t="n">
        <v>157.1</v>
      </c>
      <c r="H92" t="n">
        <v>102</v>
      </c>
      <c r="I92" t="n">
        <v>133</v>
      </c>
      <c r="J92" t="n">
        <v>124</v>
      </c>
      <c r="K92" t="n">
        <v>93</v>
      </c>
      <c r="L92" t="n">
        <v>115</v>
      </c>
      <c r="M92" t="n">
        <v>14.2</v>
      </c>
      <c r="N92" t="n">
        <v>1650</v>
      </c>
      <c r="O92" t="n">
        <v>0.99</v>
      </c>
      <c r="P92" t="n">
        <v>1633</v>
      </c>
      <c r="Q92" t="n">
        <v>190</v>
      </c>
      <c r="R92" t="n">
        <v>117</v>
      </c>
      <c r="S92" t="n">
        <v>50</v>
      </c>
      <c r="T92" t="n">
        <v>332</v>
      </c>
      <c r="U92" t="n">
        <v>19</v>
      </c>
      <c r="V92" t="n">
        <v>216</v>
      </c>
      <c r="W92" t="n">
        <v>0.374</v>
      </c>
      <c r="X92" t="n">
        <v>132</v>
      </c>
      <c r="Y92" t="n">
        <v>114</v>
      </c>
      <c r="Z92" t="n">
        <v>200</v>
      </c>
      <c r="AA92" t="n">
        <v>3</v>
      </c>
      <c r="AB92" t="n">
        <v>9</v>
      </c>
      <c r="AC92" t="inlineStr">
        <is>
          <t xml:space="preserve"> Resort Freeride</t>
        </is>
      </c>
      <c r="AG92" t="inlineStr">
        <is>
          <t>Fischer RANGER 99 TI Women's Skis 2021</t>
        </is>
      </c>
      <c r="AH92" t="inlineStr">
        <is>
          <t>Level Nine Sports</t>
        </is>
      </c>
      <c r="AI92" s="333" t="n">
        <v>389.99</v>
      </c>
      <c r="AJ92" t="inlineStr">
        <is>
          <t>https://tinyurl.com/ycyfpkw5</t>
        </is>
      </c>
      <c r="AK92" t="inlineStr">
        <is>
          <t>2021 Fischer Ranger 99 Ti WS Womens Skis w/ Tyrolia Attack2 13 GW Bindings - 158</t>
        </is>
      </c>
      <c r="AL92" t="inlineStr">
        <is>
          <t>eBay - david110549</t>
        </is>
      </c>
      <c r="AM92" s="333" t="n">
        <v>644.95</v>
      </c>
      <c r="AN92" t="inlineStr">
        <is>
          <t>https://tinyurl.com/yd3krd4u</t>
        </is>
      </c>
      <c r="AO92" t="inlineStr">
        <is>
          <t>2021 Fischer Ranger 99 Ti WS Womens Skis w/ Tyrolia Attack2 13 GW Bindings - 158</t>
        </is>
      </c>
      <c r="AP92" t="inlineStr">
        <is>
          <t>SkiEssentials.com</t>
        </is>
      </c>
      <c r="AQ92" s="333" t="n">
        <v>644.95</v>
      </c>
      <c r="AR92" t="inlineStr">
        <is>
          <t>https://tinyurl.com/ycgfudk4</t>
        </is>
      </c>
      <c r="AS92" s="314">
        <f>IF(LEFT(C92,1)=" ",RIGHT(C92,LEN(C92)-1),C92)</f>
        <v/>
      </c>
      <c r="AT92" s="281">
        <f>_xlfn.CONCAT(B92,AS92,D92,E92)</f>
        <v/>
      </c>
    </row>
    <row r="93">
      <c r="A93" t="inlineStr">
        <is>
          <t>21/22</t>
        </is>
      </c>
      <c r="B93" t="inlineStr">
        <is>
          <t xml:space="preserve"> Faction</t>
        </is>
      </c>
      <c r="C93" t="inlineStr">
        <is>
          <t>Prodigy 2.0</t>
        </is>
      </c>
      <c r="D93" t="n">
        <v>177</v>
      </c>
      <c r="E93" t="inlineStr">
        <is>
          <t xml:space="preserve"> Unisex</t>
        </is>
      </c>
      <c r="F93" t="n">
        <v>177</v>
      </c>
      <c r="G93" t="n">
        <v>175.3</v>
      </c>
      <c r="H93" t="n">
        <v>126</v>
      </c>
      <c r="I93" t="n">
        <v>145</v>
      </c>
      <c r="J93" t="n">
        <v>127</v>
      </c>
      <c r="K93" t="n">
        <v>97</v>
      </c>
      <c r="L93" t="n">
        <v>119</v>
      </c>
      <c r="M93" t="n">
        <v>18.7</v>
      </c>
      <c r="N93" t="n">
        <v>1891</v>
      </c>
      <c r="O93" t="n">
        <v>1</v>
      </c>
      <c r="P93" t="n">
        <v>1887</v>
      </c>
      <c r="Q93" t="n">
        <v>219</v>
      </c>
      <c r="R93" t="n">
        <v>99</v>
      </c>
      <c r="S93" t="n">
        <v>51</v>
      </c>
      <c r="T93" t="n">
        <v>272</v>
      </c>
      <c r="U93" t="n">
        <v>43</v>
      </c>
      <c r="V93" t="n">
        <v>225</v>
      </c>
      <c r="W93" t="n">
        <v>0.829</v>
      </c>
      <c r="X93" t="n">
        <v>167</v>
      </c>
      <c r="Y93" t="n">
        <v>138</v>
      </c>
      <c r="Z93" t="n">
        <v>105</v>
      </c>
      <c r="AA93" t="n">
        <v>8</v>
      </c>
      <c r="AB93" t="n">
        <v>7.6</v>
      </c>
      <c r="AC93" t="inlineStr">
        <is>
          <t xml:space="preserve"> Resort Freeride</t>
        </is>
      </c>
      <c r="AD93" t="inlineStr">
        <is>
          <t xml:space="preserve"> Freeski</t>
        </is>
      </c>
      <c r="AG93" t="inlineStr">
        <is>
          <t>Faction Prodigy 2.0 Skis - 2021</t>
        </is>
      </c>
      <c r="AH93" t="inlineStr">
        <is>
          <t>Backcountry Freeskier</t>
        </is>
      </c>
      <c r="AI93" s="333" t="n">
        <v>499</v>
      </c>
      <c r="AJ93" t="inlineStr">
        <is>
          <t>https://tinyurl.com/y9rcnj4g</t>
        </is>
      </c>
      <c r="AK93" t="inlineStr">
        <is>
          <t>Faction Prodigy 2.0 Skis 177cm 2022</t>
        </is>
      </c>
      <c r="AL93" t="inlineStr">
        <is>
          <t>Gear West Ski &amp; Bike</t>
        </is>
      </c>
      <c r="AM93" s="333" t="n">
        <v>699</v>
      </c>
      <c r="AN93" t="inlineStr">
        <is>
          <t>https://tinyurl.com/y77lae2h</t>
        </is>
      </c>
      <c r="AO93" t="inlineStr">
        <is>
          <t>K2 reckoner 102 skis - men</t>
        </is>
      </c>
      <c r="AP93" t="inlineStr">
        <is>
          <t>Level Nine Sports</t>
        </is>
      </c>
      <c r="AQ93" s="333" t="n">
        <v>599.95</v>
      </c>
      <c r="AR93" t="inlineStr">
        <is>
          <t>https://tinyurl.com/yc5z5nmp</t>
        </is>
      </c>
      <c r="AS93" s="314">
        <f>IF(LEFT(C93,1)=" ",RIGHT(C93,LEN(C93)-1),C93)</f>
        <v/>
      </c>
      <c r="AT93" s="281">
        <f>_xlfn.CONCAT(B93,AS93,D93,E93)</f>
        <v/>
      </c>
    </row>
    <row r="94">
      <c r="A94" t="inlineStr">
        <is>
          <t>21/22</t>
        </is>
      </c>
      <c r="B94" t="inlineStr">
        <is>
          <t xml:space="preserve"> Armada</t>
        </is>
      </c>
      <c r="C94" t="inlineStr">
        <is>
          <t>Declivity 88 Ca</t>
        </is>
      </c>
      <c r="D94" t="n">
        <v>160</v>
      </c>
      <c r="E94" t="inlineStr">
        <is>
          <t xml:space="preserve"> Unisex</t>
        </is>
      </c>
      <c r="F94" t="n">
        <v>160</v>
      </c>
      <c r="G94" t="n">
        <v>159.6</v>
      </c>
      <c r="H94" t="n">
        <v>133</v>
      </c>
      <c r="I94" t="n">
        <v>142</v>
      </c>
      <c r="J94" t="n">
        <v>127</v>
      </c>
      <c r="K94" t="n">
        <v>87</v>
      </c>
      <c r="L94" t="n">
        <v>109</v>
      </c>
      <c r="M94" t="n">
        <v>16.1</v>
      </c>
      <c r="N94" t="n">
        <v>1440</v>
      </c>
      <c r="O94" t="n">
        <v>1.09</v>
      </c>
      <c r="P94" t="n">
        <v>1574</v>
      </c>
      <c r="Q94" t="n">
        <v>223</v>
      </c>
      <c r="R94" t="n">
        <v>102</v>
      </c>
      <c r="S94" t="n">
        <v>37</v>
      </c>
      <c r="T94" t="n">
        <v>169</v>
      </c>
      <c r="U94" t="n">
        <v>9</v>
      </c>
      <c r="V94" t="n">
        <v>94</v>
      </c>
      <c r="W94" t="n">
        <v>0.239</v>
      </c>
      <c r="X94" t="n">
        <v>114</v>
      </c>
      <c r="Y94" t="n">
        <v>65</v>
      </c>
      <c r="Z94" t="n">
        <v>55</v>
      </c>
      <c r="AA94" t="n">
        <v>6</v>
      </c>
      <c r="AB94" t="n">
        <v>11</v>
      </c>
      <c r="AC94" t="inlineStr">
        <is>
          <t xml:space="preserve"> Resort Freeride</t>
        </is>
      </c>
      <c r="AD94" t="inlineStr">
        <is>
          <t xml:space="preserve"> Touring</t>
        </is>
      </c>
      <c r="AG94" t="inlineStr">
        <is>
          <t>Armada Declivity 88 C Skis</t>
        </is>
      </c>
      <c r="AH94" t="inlineStr">
        <is>
          <t>The-House.com</t>
        </is>
      </c>
      <c r="AI94" s="333" t="n">
        <v>599.95</v>
      </c>
      <c r="AJ94" t="inlineStr">
        <is>
          <t>https://tinyurl.com/ydg95gc7</t>
        </is>
      </c>
      <c r="AK94" t="inlineStr">
        <is>
          <t>Armada Reliance 88 C Skis</t>
        </is>
      </c>
      <c r="AL94" t="inlineStr">
        <is>
          <t>Snowcountry.eu</t>
        </is>
      </c>
      <c r="AM94" s="333" t="n">
        <v>367.9</v>
      </c>
      <c r="AN94" t="inlineStr">
        <is>
          <t>https://tinyurl.com/y9sm54bv</t>
        </is>
      </c>
      <c r="AO94" t="inlineStr">
        <is>
          <t>Armada Reliance 88 C White-Black 160 Ski Lady's Ladies / Women</t>
        </is>
      </c>
      <c r="AP94" t="inlineStr">
        <is>
          <t>! OutdoorXL.com</t>
        </is>
      </c>
      <c r="AQ94" s="333" t="n">
        <v>374.95</v>
      </c>
      <c r="AR94" t="inlineStr">
        <is>
          <t>https://tinyurl.com/yahvqc95</t>
        </is>
      </c>
      <c r="AS94" s="314">
        <f>IF(LEFT(C94,1)=" ",RIGHT(C94,LEN(C94)-1),C94)</f>
        <v/>
      </c>
      <c r="AT94" s="281">
        <f>_xlfn.CONCAT(B94,AS94,D94,E94)</f>
        <v/>
      </c>
    </row>
    <row r="95">
      <c r="A95" t="inlineStr">
        <is>
          <t>21/22</t>
        </is>
      </c>
      <c r="B95" t="inlineStr">
        <is>
          <t xml:space="preserve"> Vï¿½lkl</t>
        </is>
      </c>
      <c r="C95" t="inlineStr">
        <is>
          <t>Kenja 88</t>
        </is>
      </c>
      <c r="D95" t="n">
        <v>149</v>
      </c>
      <c r="E95" t="inlineStr">
        <is>
          <t xml:space="preserve"> Women's</t>
        </is>
      </c>
      <c r="F95" t="n">
        <v>149</v>
      </c>
      <c r="G95" t="n">
        <v>149.1</v>
      </c>
      <c r="H95" t="n">
        <v>100</v>
      </c>
      <c r="I95" t="n">
        <v>125</v>
      </c>
      <c r="J95" t="n">
        <v>128</v>
      </c>
      <c r="K95" t="n">
        <v>88</v>
      </c>
      <c r="L95" t="n">
        <v>110</v>
      </c>
      <c r="M95" t="n">
        <v>11.7</v>
      </c>
      <c r="N95" t="n">
        <v>1544</v>
      </c>
      <c r="O95" t="n">
        <v>0.97</v>
      </c>
      <c r="P95" t="n">
        <v>1497</v>
      </c>
      <c r="Q95" t="n">
        <v>177</v>
      </c>
      <c r="R95" t="n">
        <v>115</v>
      </c>
      <c r="S95" t="n">
        <v>43</v>
      </c>
      <c r="T95" t="n">
        <v>300</v>
      </c>
      <c r="U95" t="n">
        <v>16</v>
      </c>
      <c r="V95" t="n">
        <v>196</v>
      </c>
      <c r="W95" t="n">
        <v>0.37</v>
      </c>
      <c r="X95" t="n">
        <v>135</v>
      </c>
      <c r="Y95" t="n">
        <v>103</v>
      </c>
      <c r="Z95" t="n">
        <v>164</v>
      </c>
      <c r="AA95" t="n">
        <v>3</v>
      </c>
      <c r="AB95" t="n">
        <v>11</v>
      </c>
      <c r="AC95" t="inlineStr">
        <is>
          <t xml:space="preserve"> Resort Freeride</t>
        </is>
      </c>
      <c r="AG95" t="inlineStr">
        <is>
          <t>Volkl Kenja 88 Skis - 2021</t>
        </is>
      </c>
      <c r="AH95" t="inlineStr">
        <is>
          <t>Allspeed Cyclery &amp; Snow</t>
        </is>
      </c>
      <c r="AI95" s="333" t="n">
        <v>389.99</v>
      </c>
      <c r="AJ95" t="inlineStr">
        <is>
          <t>https://tinyurl.com/ydxgcz7c</t>
        </is>
      </c>
      <c r="AK95" t="inlineStr">
        <is>
          <t>Volkl Kenja 88 Skis - 2021</t>
        </is>
      </c>
      <c r="AL95" t="inlineStr">
        <is>
          <t>Gorham Bike and Ski</t>
        </is>
      </c>
      <c r="AM95" s="333" t="n">
        <v>454.99</v>
      </c>
      <c r="AN95" t="inlineStr">
        <is>
          <t>https://tinyurl.com/y9zf986d</t>
        </is>
      </c>
      <c r="AO95" t="inlineStr">
        <is>
          <t>Volkl Kenja 88 149cm</t>
        </is>
      </c>
      <c r="AP95" t="inlineStr">
        <is>
          <t>Sundance Ski and Board Shop</t>
        </is>
      </c>
      <c r="AQ95" s="333" t="n">
        <v>481.19</v>
      </c>
      <c r="AR95" t="inlineStr">
        <is>
          <t>https://tinyurl.com/ya9tlogy</t>
        </is>
      </c>
      <c r="AS95" s="314">
        <f>IF(LEFT(C95,1)=" ",RIGHT(C95,LEN(C95)-1),C95)</f>
        <v/>
      </c>
      <c r="AT95" s="281">
        <f>_xlfn.CONCAT(B95,AS95,D95,E95)</f>
        <v/>
      </c>
    </row>
    <row r="96">
      <c r="A96" t="inlineStr">
        <is>
          <t>21/22</t>
        </is>
      </c>
      <c r="B96" t="inlineStr">
        <is>
          <t xml:space="preserve"> Salomon</t>
        </is>
      </c>
      <c r="C96" t="inlineStr">
        <is>
          <t>QST Lumen 99</t>
        </is>
      </c>
      <c r="D96" t="n">
        <v>174</v>
      </c>
      <c r="E96" t="inlineStr">
        <is>
          <t xml:space="preserve"> Women's</t>
        </is>
      </c>
      <c r="F96" t="n">
        <v>174</v>
      </c>
      <c r="G96" t="n">
        <v>172.6</v>
      </c>
      <c r="H96" t="n">
        <v>127</v>
      </c>
      <c r="I96" t="n">
        <v>134</v>
      </c>
      <c r="J96" t="n">
        <v>135</v>
      </c>
      <c r="K96" t="n">
        <v>99</v>
      </c>
      <c r="L96" t="n">
        <v>117</v>
      </c>
      <c r="M96" t="n">
        <v>14.2</v>
      </c>
      <c r="N96" t="n">
        <v>1830</v>
      </c>
      <c r="O96" t="n">
        <v>1.05</v>
      </c>
      <c r="P96" t="n">
        <v>1919</v>
      </c>
      <c r="Q96" t="n">
        <v>223</v>
      </c>
      <c r="R96" t="n">
        <v>109</v>
      </c>
      <c r="S96" t="n">
        <v>53</v>
      </c>
      <c r="T96" t="n">
        <v>258</v>
      </c>
      <c r="U96" t="n">
        <v>19</v>
      </c>
      <c r="V96" t="n">
        <v>201</v>
      </c>
      <c r="W96" t="n">
        <v>0.356</v>
      </c>
      <c r="X96" t="n">
        <v>227</v>
      </c>
      <c r="Y96" t="n">
        <v>155</v>
      </c>
      <c r="Z96" t="n">
        <v>32</v>
      </c>
      <c r="AA96" t="n">
        <v>10</v>
      </c>
      <c r="AB96" t="n">
        <v>10.6</v>
      </c>
      <c r="AC96" t="inlineStr">
        <is>
          <t xml:space="preserve"> Resort Freeride</t>
        </is>
      </c>
      <c r="AG96" t="inlineStr">
        <is>
          <t>2017 Salomon Qst 99 Lumen Women Skis 174cm With Tyrolia 10 Bindings</t>
        </is>
      </c>
      <c r="AH96" t="inlineStr">
        <is>
          <t>eBay</t>
        </is>
      </c>
      <c r="AI96" s="333" t="n">
        <v>280</v>
      </c>
      <c r="AJ96" t="inlineStr">
        <is>
          <t>https://tinyurl.com/yblqzbsr</t>
        </is>
      </c>
      <c r="AK96" t="inlineStr">
        <is>
          <t>Salomon QST Lumen 99 Skis - Women's 2022</t>
        </is>
      </c>
      <c r="AL96" t="inlineStr">
        <is>
          <t>Backcountry.com</t>
        </is>
      </c>
      <c r="AM96" s="333" t="n">
        <v>479.96</v>
      </c>
      <c r="AN96" t="inlineStr">
        <is>
          <t>https://tinyurl.com/yae2jhnp</t>
        </is>
      </c>
      <c r="AO96" t="inlineStr">
        <is>
          <t>Salomon QST Lumen 99 Skis - Women's 2022</t>
        </is>
      </c>
      <c r="AP96" t="inlineStr">
        <is>
          <t>evo.com</t>
        </is>
      </c>
      <c r="AQ96" s="333" t="n">
        <v>479.99</v>
      </c>
      <c r="AR96" t="inlineStr">
        <is>
          <t>https://tinyurl.com/yb7ln9cr</t>
        </is>
      </c>
      <c r="AS96" s="314">
        <f>IF(LEFT(C96,1)=" ",RIGHT(C96,LEN(C96)-1),C96)</f>
        <v/>
      </c>
      <c r="AT96" s="281">
        <f>_xlfn.CONCAT(B96,AS96,D96,E96)</f>
        <v/>
      </c>
    </row>
    <row r="97">
      <c r="A97" t="inlineStr">
        <is>
          <t>21/22</t>
        </is>
      </c>
      <c r="B97" t="inlineStr">
        <is>
          <t xml:space="preserve"> Elan</t>
        </is>
      </c>
      <c r="C97" t="inlineStr">
        <is>
          <t>Ripstick 106</t>
        </is>
      </c>
      <c r="D97" t="n">
        <v>172</v>
      </c>
      <c r="E97" t="inlineStr">
        <is>
          <t xml:space="preserve"> Unisex</t>
        </is>
      </c>
      <c r="F97" t="n">
        <v>172</v>
      </c>
      <c r="G97" t="n">
        <v>170.4</v>
      </c>
      <c r="H97" t="n">
        <v>128</v>
      </c>
      <c r="I97" t="n">
        <v>136</v>
      </c>
      <c r="J97" t="n">
        <v>143</v>
      </c>
      <c r="K97" t="n">
        <v>104</v>
      </c>
      <c r="L97" t="n">
        <v>120</v>
      </c>
      <c r="M97" t="n">
        <v>16.4</v>
      </c>
      <c r="N97" t="n">
        <v>1544</v>
      </c>
      <c r="O97" t="n">
        <v>1.28</v>
      </c>
      <c r="P97" t="n">
        <v>1975</v>
      </c>
      <c r="Q97" t="n">
        <v>199</v>
      </c>
      <c r="R97" t="n">
        <v>85</v>
      </c>
      <c r="S97" t="n">
        <v>48</v>
      </c>
      <c r="T97" t="n">
        <v>246</v>
      </c>
      <c r="U97" t="n">
        <v>17</v>
      </c>
      <c r="V97" t="n">
        <v>181</v>
      </c>
      <c r="W97" t="n">
        <v>0.351</v>
      </c>
      <c r="X97" t="n">
        <v>175</v>
      </c>
      <c r="Y97" t="n">
        <v>167</v>
      </c>
      <c r="Z97" t="n">
        <v>71</v>
      </c>
      <c r="AA97" t="n">
        <v>5</v>
      </c>
      <c r="AB97" t="n">
        <v>9.800000000000001</v>
      </c>
      <c r="AC97" t="inlineStr">
        <is>
          <t xml:space="preserve"> Resort Freeride</t>
        </is>
      </c>
      <c r="AD97" t="inlineStr">
        <is>
          <t xml:space="preserve"> Powder</t>
        </is>
      </c>
      <c r="AE97" t="inlineStr">
        <is>
          <t xml:space="preserve"> Big Mountain</t>
        </is>
      </c>
      <c r="AF97" t="inlineStr">
        <is>
          <t xml:space="preserve"> Touring</t>
        </is>
      </c>
      <c r="AG97" t="inlineStr">
        <is>
          <t>Elan Ripstick 106</t>
        </is>
      </c>
      <c r="AH97" t="inlineStr">
        <is>
          <t>Varuste.net</t>
        </is>
      </c>
      <c r="AI97" s="333" t="n">
        <v>375.21</v>
      </c>
      <c r="AJ97" t="inlineStr">
        <is>
          <t>https://tinyurl.com/yd3el4wn</t>
        </is>
      </c>
      <c r="AK97" t="inlineStr">
        <is>
          <t>Elan Ripstick 106</t>
        </is>
      </c>
      <c r="AL97" t="inlineStr">
        <is>
          <t>Snowcountry.eu</t>
        </is>
      </c>
      <c r="AM97" s="333" t="n">
        <v>450.88</v>
      </c>
      <c r="AN97" t="inlineStr">
        <is>
          <t>https://tinyurl.com/y6vfyab4</t>
        </is>
      </c>
      <c r="AO97" t="inlineStr">
        <is>
          <t>Elan Ripstick 106 - Ski - 2022 172</t>
        </is>
      </c>
      <c r="AP97" t="inlineStr">
        <is>
          <t>AJ Motion Sports</t>
        </is>
      </c>
      <c r="AQ97" s="333" t="n">
        <v>524.99</v>
      </c>
      <c r="AR97" t="inlineStr">
        <is>
          <t>https://tinyurl.com/yawbmpvb</t>
        </is>
      </c>
      <c r="AS97" s="314">
        <f>IF(LEFT(C97,1)=" ",RIGHT(C97,LEN(C97)-1),C97)</f>
        <v/>
      </c>
      <c r="AT97" s="281">
        <f>_xlfn.CONCAT(B97,AS97,D97,E97)</f>
        <v/>
      </c>
    </row>
    <row r="98">
      <c r="A98" t="inlineStr">
        <is>
          <t>21/22</t>
        </is>
      </c>
      <c r="B98" t="inlineStr">
        <is>
          <t xml:space="preserve"> Scott</t>
        </is>
      </c>
      <c r="C98" t="inlineStr">
        <is>
          <t>Scrapper 95</t>
        </is>
      </c>
      <c r="D98" t="n">
        <v>184</v>
      </c>
      <c r="E98" t="inlineStr">
        <is>
          <t xml:space="preserve"> Unisex</t>
        </is>
      </c>
      <c r="F98" t="n">
        <v>184</v>
      </c>
      <c r="G98" t="n">
        <v>182.4</v>
      </c>
      <c r="H98" t="n">
        <v>141</v>
      </c>
      <c r="I98" t="n">
        <v>166</v>
      </c>
      <c r="J98" t="n">
        <v>133</v>
      </c>
      <c r="K98" t="n">
        <v>95</v>
      </c>
      <c r="L98" t="n">
        <v>121</v>
      </c>
      <c r="M98" t="n">
        <v>22.9</v>
      </c>
      <c r="N98" t="n">
        <v>1583</v>
      </c>
      <c r="O98" t="n">
        <v>1.2</v>
      </c>
      <c r="P98" t="n">
        <v>1901</v>
      </c>
      <c r="Q98" t="n">
        <v>259</v>
      </c>
      <c r="R98" t="n">
        <v>105</v>
      </c>
      <c r="S98" t="n">
        <v>56</v>
      </c>
      <c r="T98" t="n">
        <v>247</v>
      </c>
      <c r="U98" t="n">
        <v>33</v>
      </c>
      <c r="V98" t="n">
        <v>171</v>
      </c>
      <c r="W98" t="n">
        <v>0.589</v>
      </c>
      <c r="X98" t="n">
        <v>95</v>
      </c>
      <c r="Y98" t="n">
        <v>74</v>
      </c>
      <c r="Z98" t="n">
        <v>152</v>
      </c>
      <c r="AA98" t="n">
        <v>7</v>
      </c>
      <c r="AB98" t="n">
        <v>9.1</v>
      </c>
      <c r="AC98" t="inlineStr">
        <is>
          <t xml:space="preserve"> Resort Freeride</t>
        </is>
      </c>
      <c r="AD98" t="inlineStr">
        <is>
          <t xml:space="preserve"> Touring</t>
        </is>
      </c>
      <c r="AG98" t="inlineStr">
        <is>
          <t>Scott Scrapper 95 A Version 184cm</t>
        </is>
      </c>
      <c r="AH98" t="inlineStr">
        <is>
          <t>Sundance Ski and Board Shop</t>
        </is>
      </c>
      <c r="AI98" s="333" t="n">
        <v>497.23</v>
      </c>
      <c r="AJ98" t="inlineStr">
        <is>
          <t>https://tinyurl.com/ybwtmsb9</t>
        </is>
      </c>
      <c r="AK98" t="inlineStr">
        <is>
          <t>Scott Scrapper 95 Ski - 2022 - Size: 184cm</t>
        </is>
      </c>
      <c r="AL98" t="inlineStr">
        <is>
          <t>Backcountry.com</t>
        </is>
      </c>
      <c r="AM98" s="333" t="n">
        <v>559.96</v>
      </c>
      <c r="AN98" t="inlineStr">
        <is>
          <t>https://tinyurl.com/yc465c34</t>
        </is>
      </c>
      <c r="AO98" t="inlineStr">
        <is>
          <t>Scott Scrapper 95 Ski - 2022 - Size: 184cm</t>
        </is>
      </c>
      <c r="AP98" t="inlineStr">
        <is>
          <t>Steep &amp; Cheap</t>
        </is>
      </c>
      <c r="AQ98" s="333" t="n">
        <v>559.96</v>
      </c>
      <c r="AR98" t="inlineStr">
        <is>
          <t>https://tinyurl.com/y7fnhq4z</t>
        </is>
      </c>
      <c r="AS98" s="314">
        <f>IF(LEFT(C98,1)=" ",RIGHT(C98,LEN(C98)-1),C98)</f>
        <v/>
      </c>
      <c r="AT98" s="281">
        <f>_xlfn.CONCAT(B98,AS98,D98,E98)</f>
        <v/>
      </c>
    </row>
    <row r="99">
      <c r="A99" t="inlineStr">
        <is>
          <t>21/22</t>
        </is>
      </c>
      <c r="B99" t="inlineStr">
        <is>
          <t xml:space="preserve"> Blizzard</t>
        </is>
      </c>
      <c r="C99" t="inlineStr">
        <is>
          <t>Sheeva 11</t>
        </is>
      </c>
      <c r="D99" t="n">
        <v>164</v>
      </c>
      <c r="E99" t="inlineStr">
        <is>
          <t xml:space="preserve"> Women's</t>
        </is>
      </c>
      <c r="F99" t="n">
        <v>164</v>
      </c>
      <c r="G99" t="n">
        <v>162.8</v>
      </c>
      <c r="H99" t="n">
        <v>92</v>
      </c>
      <c r="I99" t="n">
        <v>131</v>
      </c>
      <c r="J99" t="n">
        <v>138</v>
      </c>
      <c r="K99" t="n">
        <v>112</v>
      </c>
      <c r="L99" t="n">
        <v>128</v>
      </c>
      <c r="M99" t="n">
        <v>17.4</v>
      </c>
      <c r="N99" t="n">
        <v>1810</v>
      </c>
      <c r="O99" t="n">
        <v>1.08</v>
      </c>
      <c r="P99" t="n">
        <v>1955</v>
      </c>
      <c r="Q99" t="n">
        <v>161</v>
      </c>
      <c r="R99" t="n">
        <v>97</v>
      </c>
      <c r="S99" t="n">
        <v>67</v>
      </c>
      <c r="T99" t="n">
        <v>403</v>
      </c>
      <c r="U99" t="n">
        <v>27</v>
      </c>
      <c r="V99" t="n">
        <v>309</v>
      </c>
      <c r="W99" t="n">
        <v>0.402999999999999</v>
      </c>
      <c r="X99" t="n">
        <v>167</v>
      </c>
      <c r="Y99" t="n">
        <v>150</v>
      </c>
      <c r="Z99" t="n">
        <v>235</v>
      </c>
      <c r="AA99" t="n">
        <v>3</v>
      </c>
      <c r="AB99" t="n">
        <v>7.6</v>
      </c>
      <c r="AC99" t="inlineStr">
        <is>
          <t xml:space="preserve"> Powder</t>
        </is>
      </c>
      <c r="AD99" t="inlineStr">
        <is>
          <t xml:space="preserve"> Touring</t>
        </is>
      </c>
      <c r="AG99" t="inlineStr">
        <is>
          <t>Blizzard Sheeva 11 Women's Skis 2021 164 cm</t>
        </is>
      </c>
      <c r="AH99" t="inlineStr">
        <is>
          <t>AlpineShopVT.com</t>
        </is>
      </c>
      <c r="AI99" s="333" t="n">
        <v>559.95</v>
      </c>
      <c r="AJ99" t="inlineStr">
        <is>
          <t>https://tinyurl.com/y9lfcuwn</t>
        </is>
      </c>
      <c r="AK99" t="inlineStr">
        <is>
          <t>Blizzard Sheeva 11 Women's Skis 2021 164 cm</t>
        </is>
      </c>
      <c r="AL99" t="inlineStr">
        <is>
          <t>Powder7 Ski Shop</t>
        </is>
      </c>
      <c r="AM99" s="333" t="n">
        <v>579.95</v>
      </c>
      <c r="AN99" t="inlineStr">
        <is>
          <t>https://tinyurl.com/y89t3f59</t>
        </is>
      </c>
      <c r="AO99" t="inlineStr">
        <is>
          <t>Blizzard Sheeva 11 Women's Skis 2021 164 cm</t>
        </is>
      </c>
      <c r="AP99" t="inlineStr">
        <is>
          <t>BlueZone Sports</t>
        </is>
      </c>
      <c r="AQ99" s="333" t="n">
        <v>699.95</v>
      </c>
      <c r="AR99" t="inlineStr">
        <is>
          <t>https://tinyurl.com/y7csqttb</t>
        </is>
      </c>
      <c r="AS99" s="314">
        <f>IF(LEFT(C99,1)=" ",RIGHT(C99,LEN(C99)-1),C99)</f>
        <v/>
      </c>
      <c r="AT99" s="281">
        <f>_xlfn.CONCAT(B99,AS99,D99,E99)</f>
        <v/>
      </c>
    </row>
    <row r="100">
      <c r="A100" t="inlineStr">
        <is>
          <t>21/22</t>
        </is>
      </c>
      <c r="B100" t="inlineStr">
        <is>
          <t xml:space="preserve"> Vï¿½lkl</t>
        </is>
      </c>
      <c r="C100" t="inlineStr">
        <is>
          <t>Secret 96</t>
        </is>
      </c>
      <c r="D100" t="n">
        <v>149</v>
      </c>
      <c r="E100" t="inlineStr">
        <is>
          <t xml:space="preserve"> Women's</t>
        </is>
      </c>
      <c r="F100" t="n">
        <v>149</v>
      </c>
      <c r="G100" t="n">
        <v>148.4</v>
      </c>
      <c r="H100" t="n">
        <v>107</v>
      </c>
      <c r="I100" t="n">
        <v>125</v>
      </c>
      <c r="J100" t="n">
        <v>134</v>
      </c>
      <c r="K100" t="n">
        <v>95</v>
      </c>
      <c r="L100" t="n">
        <v>118</v>
      </c>
      <c r="M100" t="n">
        <v>12.1</v>
      </c>
      <c r="N100" t="n">
        <v>1621</v>
      </c>
      <c r="O100" t="n">
        <v>0.98</v>
      </c>
      <c r="P100" t="n">
        <v>1596</v>
      </c>
      <c r="Q100" t="n">
        <v>181</v>
      </c>
      <c r="R100" t="n">
        <v>121</v>
      </c>
      <c r="S100" t="n">
        <v>45</v>
      </c>
      <c r="T100" t="n">
        <v>254</v>
      </c>
      <c r="U100" t="n">
        <v>15</v>
      </c>
      <c r="V100" t="n">
        <v>163</v>
      </c>
      <c r="W100" t="n">
        <v>0.327999999999999</v>
      </c>
      <c r="X100" t="n">
        <v>133</v>
      </c>
      <c r="Y100" t="n">
        <v>99</v>
      </c>
      <c r="Z100" t="n">
        <v>121</v>
      </c>
      <c r="AA100" t="n">
        <v>3</v>
      </c>
      <c r="AB100" t="n">
        <v>11.2</v>
      </c>
      <c r="AC100" t="inlineStr">
        <is>
          <t xml:space="preserve"> Resort Freeride</t>
        </is>
      </c>
      <c r="AG100" t="inlineStr">
        <is>
          <t>Volkl Secret 96</t>
        </is>
      </c>
      <c r="AH100" t="inlineStr">
        <is>
          <t>Gorham Bike and Ski</t>
        </is>
      </c>
      <c r="AI100" s="333" t="n">
        <v>489.99</v>
      </c>
      <c r="AJ100" t="inlineStr">
        <is>
          <t>https://tinyurl.com/y9mnvab4</t>
        </is>
      </c>
      <c r="AK100" t="inlineStr">
        <is>
          <t>Volkl Secret 96 Flat Women's Ski Winter 2021/2022 149</t>
        </is>
      </c>
      <c r="AL100" t="inlineStr">
        <is>
          <t>Equipe Sport</t>
        </is>
      </c>
      <c r="AM100" s="333" t="n">
        <v>559.95</v>
      </c>
      <c r="AN100" t="inlineStr">
        <is>
          <t>https://tinyurl.com/yc3y4n8r</t>
        </is>
      </c>
      <c r="AO100" t="inlineStr">
        <is>
          <t>Volkl Secret 96</t>
        </is>
      </c>
      <c r="AP100" t="inlineStr">
        <is>
          <t>SkiEssentials.com</t>
        </is>
      </c>
      <c r="AQ100" s="333" t="n">
        <v>559.99</v>
      </c>
      <c r="AR100" t="inlineStr">
        <is>
          <t>https://tinyurl.com/ybe5lae3</t>
        </is>
      </c>
      <c r="AS100" s="314">
        <f>IF(LEFT(C100,1)=" ",RIGHT(C100,LEN(C100)-1),C100)</f>
        <v/>
      </c>
      <c r="AT100" s="281">
        <f>_xlfn.CONCAT(B100,AS100,D100,E100)</f>
        <v/>
      </c>
    </row>
    <row r="101">
      <c r="A101" t="inlineStr">
        <is>
          <t>21/22</t>
        </is>
      </c>
      <c r="B101" t="inlineStr">
        <is>
          <t xml:space="preserve"> Ferreol</t>
        </is>
      </c>
      <c r="C101" t="inlineStr">
        <is>
          <t>Explo 96</t>
        </is>
      </c>
      <c r="D101" t="n">
        <v>182</v>
      </c>
      <c r="E101" t="inlineStr">
        <is>
          <t xml:space="preserve"> Unisex</t>
        </is>
      </c>
      <c r="F101" t="n">
        <v>182</v>
      </c>
      <c r="G101" t="n">
        <v>179.8</v>
      </c>
      <c r="H101" t="n">
        <v>134</v>
      </c>
      <c r="I101" t="n">
        <v>152</v>
      </c>
      <c r="J101" t="n">
        <v>130</v>
      </c>
      <c r="K101" t="n">
        <v>97</v>
      </c>
      <c r="L101" t="n">
        <v>120</v>
      </c>
      <c r="M101" t="n">
        <v>17</v>
      </c>
      <c r="N101" t="n">
        <v>1714</v>
      </c>
      <c r="O101" t="n">
        <v>1.15</v>
      </c>
      <c r="P101" t="n">
        <v>1972</v>
      </c>
      <c r="Q101" t="n">
        <v>195</v>
      </c>
      <c r="R101" t="n">
        <v>90</v>
      </c>
      <c r="S101" t="n">
        <v>56</v>
      </c>
      <c r="T101" t="n">
        <v>266</v>
      </c>
      <c r="U101" t="n">
        <v>28</v>
      </c>
      <c r="V101" t="n">
        <v>187</v>
      </c>
      <c r="W101" t="n">
        <v>0.501</v>
      </c>
      <c r="X101" t="n">
        <v>160</v>
      </c>
      <c r="Y101" t="n">
        <v>117</v>
      </c>
      <c r="Z101" t="n">
        <v>106</v>
      </c>
      <c r="AA101" t="n">
        <v>11</v>
      </c>
      <c r="AB101" t="n">
        <v>8</v>
      </c>
      <c r="AC101" t="inlineStr">
        <is>
          <t xml:space="preserve"> Resort Freeride</t>
        </is>
      </c>
      <c r="AD101" t="inlineStr">
        <is>
          <t xml:space="preserve"> Touring</t>
        </is>
      </c>
      <c r="AS101" s="314">
        <f>IF(LEFT(C101,1)=" ",RIGHT(C101,LEN(C101)-1),C101)</f>
        <v/>
      </c>
      <c r="AT101" s="281">
        <f>_xlfn.CONCAT(B101,AS101,D101,E101)</f>
        <v/>
      </c>
    </row>
    <row r="102">
      <c r="A102" t="inlineStr">
        <is>
          <t>21/22</t>
        </is>
      </c>
      <c r="B102" t="inlineStr">
        <is>
          <t xml:space="preserve"> Black Crows</t>
        </is>
      </c>
      <c r="C102" t="inlineStr">
        <is>
          <t xml:space="preserve"> Divus</t>
        </is>
      </c>
      <c r="D102" t="n">
        <v>172.1</v>
      </c>
      <c r="E102" t="inlineStr">
        <is>
          <t xml:space="preserve"> Unisex</t>
        </is>
      </c>
      <c r="F102" t="n">
        <v>172.1</v>
      </c>
      <c r="G102" t="n">
        <v>171.1</v>
      </c>
      <c r="H102" t="n">
        <v>136</v>
      </c>
      <c r="I102" t="n">
        <v>151</v>
      </c>
      <c r="J102" t="n">
        <v>123</v>
      </c>
      <c r="K102" t="n">
        <v>81</v>
      </c>
      <c r="L102" t="n">
        <v>109</v>
      </c>
      <c r="M102" t="n">
        <v>15.9</v>
      </c>
      <c r="N102" t="n">
        <v>1580</v>
      </c>
      <c r="O102" t="n">
        <v>1.02</v>
      </c>
      <c r="P102" t="n">
        <v>1614</v>
      </c>
      <c r="Q102" t="n">
        <v>183</v>
      </c>
      <c r="R102" t="n">
        <v>97</v>
      </c>
      <c r="S102" t="n">
        <v>36</v>
      </c>
      <c r="T102" t="n">
        <v>199</v>
      </c>
      <c r="U102" t="n">
        <v>17</v>
      </c>
      <c r="V102" t="n">
        <v>157</v>
      </c>
      <c r="W102" t="n">
        <v>0.476</v>
      </c>
      <c r="X102" t="n">
        <v>113</v>
      </c>
      <c r="Y102" t="n">
        <v>84</v>
      </c>
      <c r="Z102" t="n">
        <v>86</v>
      </c>
      <c r="AA102" t="n">
        <v>7</v>
      </c>
      <c r="AB102" t="n">
        <v>10.4</v>
      </c>
      <c r="AC102" t="inlineStr">
        <is>
          <t xml:space="preserve"> Resort Freeride</t>
        </is>
      </c>
      <c r="AG102" t="inlineStr">
        <is>
          <t>Black Crows Divus Skis 172 cm</t>
        </is>
      </c>
      <c r="AH102" t="inlineStr">
        <is>
          <t>SkiEssentials.com</t>
        </is>
      </c>
      <c r="AI102" s="333" t="n">
        <v>623.96</v>
      </c>
      <c r="AJ102" t="inlineStr">
        <is>
          <t>https://tinyurl.com/yb8qqmgy</t>
        </is>
      </c>
      <c r="AK102" t="inlineStr">
        <is>
          <t>Black Crows Divus Skis 172 cm</t>
        </is>
      </c>
      <c r="AL102" t="inlineStr">
        <is>
          <t>Powder7 Ski Shop</t>
        </is>
      </c>
      <c r="AM102" s="333" t="n">
        <v>623.96</v>
      </c>
      <c r="AN102" t="inlineStr">
        <is>
          <t>https://tinyurl.com/y7j2223b</t>
        </is>
      </c>
      <c r="AO102" t="inlineStr">
        <is>
          <t>Black Crows Divus Skis 172 cm</t>
        </is>
      </c>
      <c r="AP102" t="inlineStr">
        <is>
          <t>evo.com</t>
        </is>
      </c>
      <c r="AQ102" s="333" t="n">
        <v>623.96</v>
      </c>
      <c r="AR102" t="inlineStr">
        <is>
          <t>https://tinyurl.com/yb2926rl</t>
        </is>
      </c>
      <c r="AS102" s="314">
        <f>IF(LEFT(C102,1)=" ",RIGHT(C102,LEN(C102)-1),C102)</f>
        <v/>
      </c>
      <c r="AT102" s="281">
        <f>_xlfn.CONCAT(B102,AS102,D102,E102)</f>
        <v/>
      </c>
    </row>
    <row r="103">
      <c r="A103" t="inlineStr">
        <is>
          <t>21/22</t>
        </is>
      </c>
      <c r="B103" t="inlineStr">
        <is>
          <t xml:space="preserve"> Faction</t>
        </is>
      </c>
      <c r="C103" t="inlineStr">
        <is>
          <t>Agent 3.0 X</t>
        </is>
      </c>
      <c r="D103" t="n">
        <v>172</v>
      </c>
      <c r="E103" t="inlineStr">
        <is>
          <t xml:space="preserve"> Women's</t>
        </is>
      </c>
      <c r="F103" t="n">
        <v>172</v>
      </c>
      <c r="G103" t="n">
        <v>170.6</v>
      </c>
      <c r="H103" t="n">
        <v>123</v>
      </c>
      <c r="I103" t="n">
        <v>139</v>
      </c>
      <c r="J103" t="n">
        <v>134</v>
      </c>
      <c r="K103" t="n">
        <v>106</v>
      </c>
      <c r="L103" t="n">
        <v>124</v>
      </c>
      <c r="M103" t="n">
        <v>19</v>
      </c>
      <c r="N103" t="n">
        <v>1685</v>
      </c>
      <c r="O103" t="n">
        <v>1.16</v>
      </c>
      <c r="P103" t="n">
        <v>1962</v>
      </c>
      <c r="Q103" t="n">
        <v>218</v>
      </c>
      <c r="R103" t="n">
        <v>103</v>
      </c>
      <c r="S103" t="n">
        <v>55</v>
      </c>
      <c r="T103" t="n">
        <v>296</v>
      </c>
      <c r="U103" t="n">
        <v>23</v>
      </c>
      <c r="V103" t="n">
        <v>184</v>
      </c>
      <c r="W103" t="n">
        <v>0.419</v>
      </c>
      <c r="X103" t="n">
        <v>194</v>
      </c>
      <c r="Y103" t="n">
        <v>121</v>
      </c>
      <c r="Z103" t="n">
        <v>102</v>
      </c>
      <c r="AA103" t="n">
        <v>6</v>
      </c>
      <c r="AB103" t="n">
        <v>11.1</v>
      </c>
      <c r="AC103" t="inlineStr">
        <is>
          <t xml:space="preserve"> Powder</t>
        </is>
      </c>
      <c r="AD103" t="inlineStr">
        <is>
          <t xml:space="preserve"> Touring</t>
        </is>
      </c>
      <c r="AG103" t="inlineStr">
        <is>
          <t>Faction Dictator 3.0 Skis</t>
        </is>
      </c>
      <c r="AH103" t="inlineStr">
        <is>
          <t>Snowcountry.eu</t>
        </is>
      </c>
      <c r="AI103" s="333" t="n">
        <v>460.11</v>
      </c>
      <c r="AJ103" t="inlineStr">
        <is>
          <t>https://tinyurl.com/y9efkecq</t>
        </is>
      </c>
      <c r="AK103" t="inlineStr">
        <is>
          <t>Faction Dictator 3.0 Skis</t>
        </is>
      </c>
      <c r="AL103" t="inlineStr">
        <is>
          <t>Aspen Ski and Board</t>
        </is>
      </c>
      <c r="AM103" s="333" t="n">
        <v>575.2</v>
      </c>
      <c r="AN103" t="inlineStr">
        <is>
          <t>https://tinyurl.com/yclq2e2y</t>
        </is>
      </c>
      <c r="AO103" t="inlineStr">
        <is>
          <t>Faction Dictator 3.0 Skis</t>
        </is>
      </c>
      <c r="AP103" t="inlineStr">
        <is>
          <t>Saint Bernard</t>
        </is>
      </c>
      <c r="AQ103" s="333" t="n">
        <v>575.9</v>
      </c>
      <c r="AR103" t="inlineStr">
        <is>
          <t>https://tinyurl.com/y7codxg6</t>
        </is>
      </c>
      <c r="AS103" s="314">
        <f>IF(LEFT(C103,1)=" ",RIGHT(C103,LEN(C103)-1),C103)</f>
        <v/>
      </c>
      <c r="AT103" s="281">
        <f>_xlfn.CONCAT(B103,AS103,D103,E103)</f>
        <v/>
      </c>
    </row>
    <row r="104">
      <c r="A104" t="inlineStr">
        <is>
          <t>21/22</t>
        </is>
      </c>
      <c r="B104" t="inlineStr">
        <is>
          <t xml:space="preserve"> Fischer</t>
        </is>
      </c>
      <c r="C104" t="inlineStr">
        <is>
          <t>Ranger 90 FR</t>
        </is>
      </c>
      <c r="D104" t="n">
        <v>172</v>
      </c>
      <c r="E104" t="inlineStr">
        <is>
          <t xml:space="preserve"> Unisex</t>
        </is>
      </c>
      <c r="F104" t="n">
        <v>172</v>
      </c>
      <c r="G104" t="n">
        <v>170.6</v>
      </c>
      <c r="H104" t="n">
        <v>138</v>
      </c>
      <c r="I104" t="n">
        <v>145</v>
      </c>
      <c r="J104" t="n">
        <v>129</v>
      </c>
      <c r="K104" t="n">
        <v>92</v>
      </c>
      <c r="L104" t="n">
        <v>117</v>
      </c>
      <c r="M104" t="n">
        <v>15.3</v>
      </c>
      <c r="N104" t="n">
        <v>1677</v>
      </c>
      <c r="O104" t="n">
        <v>1.06</v>
      </c>
      <c r="P104" t="n">
        <v>1782</v>
      </c>
      <c r="Q104" t="n">
        <v>214</v>
      </c>
      <c r="R104" t="n">
        <v>103</v>
      </c>
      <c r="S104" t="n">
        <v>56</v>
      </c>
      <c r="T104" t="n">
        <v>203</v>
      </c>
      <c r="U104" t="n">
        <v>22</v>
      </c>
      <c r="V104" t="n">
        <v>123</v>
      </c>
      <c r="W104" t="n">
        <v>0.392</v>
      </c>
      <c r="X104" t="n">
        <v>153</v>
      </c>
      <c r="Y104" t="n">
        <v>98</v>
      </c>
      <c r="Z104" t="n">
        <v>50</v>
      </c>
      <c r="AA104" t="n">
        <v>8</v>
      </c>
      <c r="AB104" t="n">
        <v>10.9</v>
      </c>
      <c r="AC104" t="inlineStr">
        <is>
          <t xml:space="preserve"> Resort Freeride</t>
        </is>
      </c>
      <c r="AD104" t="inlineStr">
        <is>
          <t xml:space="preserve"> Touring</t>
        </is>
      </c>
      <c r="AG104" t="inlineStr">
        <is>
          <t>Fischer Ranger 90 FR Skis Â· 2022 Â· 172 cm</t>
        </is>
      </c>
      <c r="AH104" t="inlineStr">
        <is>
          <t>! OutdoorXL.com</t>
        </is>
      </c>
      <c r="AI104" s="333" t="n">
        <v>244.95</v>
      </c>
      <c r="AJ104" t="inlineStr">
        <is>
          <t>https://tinyurl.com/yabyp4j8</t>
        </is>
      </c>
      <c r="AK104" t="inlineStr">
        <is>
          <t xml:space="preserve"> 2017 Fischer Ranger 90 Ti Demo Ski with Bindings Size 172 (Option 210684)</t>
        </is>
      </c>
      <c r="AL104" t="inlineStr">
        <is>
          <t>SidelineSwap</t>
        </is>
      </c>
      <c r="AM104" s="333" t="n">
        <v>329</v>
      </c>
      <c r="AN104" t="inlineStr">
        <is>
          <t>https://tinyurl.com/ydbgshyo</t>
        </is>
      </c>
      <c r="AO104" t="inlineStr">
        <is>
          <t>Fischer My Ranger 89 Skis - Women's 2018</t>
        </is>
      </c>
      <c r="AP104" t="inlineStr">
        <is>
          <t>Level Nine Sports</t>
        </is>
      </c>
      <c r="AQ104" s="333" t="n">
        <v>299</v>
      </c>
      <c r="AR104" t="inlineStr">
        <is>
          <t>https://tinyurl.com/y7hkaejn</t>
        </is>
      </c>
      <c r="AS104" s="314">
        <f>IF(LEFT(C104,1)=" ",RIGHT(C104,LEN(C104)-1),C104)</f>
        <v/>
      </c>
      <c r="AT104" s="281">
        <f>_xlfn.CONCAT(B104,AS104,D104,E104)</f>
        <v/>
      </c>
    </row>
    <row r="105">
      <c r="A105" t="inlineStr">
        <is>
          <t>21/22</t>
        </is>
      </c>
      <c r="B105" t="inlineStr">
        <is>
          <t>K2</t>
        </is>
      </c>
      <c r="C105" t="inlineStr">
        <is>
          <t>Mindbender 90C</t>
        </is>
      </c>
      <c r="D105" t="n">
        <v>177</v>
      </c>
      <c r="E105" t="inlineStr">
        <is>
          <t xml:space="preserve"> Unisex</t>
        </is>
      </c>
      <c r="F105" t="n">
        <v>177</v>
      </c>
      <c r="G105" t="n">
        <v>177.4</v>
      </c>
      <c r="H105" t="n">
        <v>140</v>
      </c>
      <c r="I105" t="n">
        <v>149</v>
      </c>
      <c r="J105" t="n">
        <v>126</v>
      </c>
      <c r="K105" t="n">
        <v>89</v>
      </c>
      <c r="L105" t="n">
        <v>112</v>
      </c>
      <c r="M105" t="n">
        <v>17.6</v>
      </c>
      <c r="N105" t="n">
        <v>1716</v>
      </c>
      <c r="O105" t="n">
        <v>1.05</v>
      </c>
      <c r="P105" t="n">
        <v>1795</v>
      </c>
      <c r="Q105" t="n">
        <v>185</v>
      </c>
      <c r="R105" t="n">
        <v>93</v>
      </c>
      <c r="S105" t="n">
        <v>46</v>
      </c>
      <c r="T105" t="n">
        <v>216</v>
      </c>
      <c r="U105" t="n">
        <v>15</v>
      </c>
      <c r="V105" t="n">
        <v>159</v>
      </c>
      <c r="W105" t="n">
        <v>0.318</v>
      </c>
      <c r="X105" t="n">
        <v>166</v>
      </c>
      <c r="Y105" t="n">
        <v>119</v>
      </c>
      <c r="Z105" t="n">
        <v>50</v>
      </c>
      <c r="AA105" t="n">
        <v>8</v>
      </c>
      <c r="AB105" t="n">
        <v>11</v>
      </c>
      <c r="AC105" t="inlineStr">
        <is>
          <t xml:space="preserve"> Resort Freeride</t>
        </is>
      </c>
      <c r="AG105" t="inlineStr">
        <is>
          <t>'22 K2 Mindbender 90C Skis 177cm</t>
        </is>
      </c>
      <c r="AH105" t="inlineStr">
        <is>
          <t>Al's Ski Equipment Barn</t>
        </is>
      </c>
      <c r="AI105" s="333" t="n">
        <v>499</v>
      </c>
      <c r="AJ105" t="inlineStr">
        <is>
          <t>https://tinyurl.com/y8pb98op</t>
        </is>
      </c>
      <c r="AK105" t="inlineStr">
        <is>
          <t>K2 Mindbender 90c Alpine Skis 177</t>
        </is>
      </c>
      <c r="AL105" t="inlineStr">
        <is>
          <t>Level Nine Sports</t>
        </is>
      </c>
      <c r="AM105" s="333" t="n">
        <v>499.95</v>
      </c>
      <c r="AN105" t="inlineStr">
        <is>
          <t>https://tinyurl.com/ycnlvtl5</t>
        </is>
      </c>
      <c r="AO105" t="inlineStr">
        <is>
          <t>K2 Mindbender 90C Skis</t>
        </is>
      </c>
      <c r="AP105" t="inlineStr">
        <is>
          <t>evo.com</t>
        </is>
      </c>
      <c r="AQ105" s="333" t="n">
        <v>499.95</v>
      </c>
      <c r="AR105" t="inlineStr">
        <is>
          <t>https://tinyurl.com/ycmqm6g6</t>
        </is>
      </c>
      <c r="AS105" s="314">
        <f>IF(LEFT(C105,1)=" ",RIGHT(C105,LEN(C105)-1),C105)</f>
        <v/>
      </c>
      <c r="AT105" s="281">
        <f>_xlfn.CONCAT(B105,AS105,D105,E105)</f>
        <v/>
      </c>
    </row>
    <row r="106">
      <c r="A106" t="inlineStr">
        <is>
          <t>21/22</t>
        </is>
      </c>
      <c r="B106" t="inlineStr">
        <is>
          <t xml:space="preserve"> Dynafit</t>
        </is>
      </c>
      <c r="C106" t="inlineStr">
        <is>
          <t>Beast 108</t>
        </is>
      </c>
      <c r="D106" t="n">
        <v>173</v>
      </c>
      <c r="E106" t="inlineStr">
        <is>
          <t xml:space="preserve"> Unisex</t>
        </is>
      </c>
      <c r="F106" t="n">
        <v>173</v>
      </c>
      <c r="G106" t="n">
        <v>171.8</v>
      </c>
      <c r="H106" t="n">
        <v>109</v>
      </c>
      <c r="I106" t="n">
        <v>137</v>
      </c>
      <c r="J106" t="n">
        <v>133</v>
      </c>
      <c r="K106" t="n">
        <v>105</v>
      </c>
      <c r="L106" t="n">
        <v>123</v>
      </c>
      <c r="M106" t="n">
        <v>18.7</v>
      </c>
      <c r="N106" t="n">
        <v>1538</v>
      </c>
      <c r="O106" t="n">
        <v>1.28</v>
      </c>
      <c r="P106" t="n">
        <v>1962</v>
      </c>
      <c r="Q106" t="n">
        <v>211</v>
      </c>
      <c r="R106" t="n">
        <v>101</v>
      </c>
      <c r="S106" t="n">
        <v>70</v>
      </c>
      <c r="T106" t="n">
        <v>443</v>
      </c>
      <c r="U106" t="n">
        <v>15</v>
      </c>
      <c r="V106" t="n">
        <v>189</v>
      </c>
      <c r="W106" t="n">
        <v>0.214</v>
      </c>
      <c r="X106" t="n">
        <v>198</v>
      </c>
      <c r="Y106" t="n">
        <v>150</v>
      </c>
      <c r="Z106" t="n">
        <v>244</v>
      </c>
      <c r="AA106" t="n">
        <v>4</v>
      </c>
      <c r="AB106" t="n">
        <v>8</v>
      </c>
      <c r="AC106" t="inlineStr">
        <is>
          <t xml:space="preserve"> Resort Freeride</t>
        </is>
      </c>
      <c r="AD106" t="inlineStr">
        <is>
          <t xml:space="preserve"> Big Mountain</t>
        </is>
      </c>
      <c r="AE106" t="inlineStr">
        <is>
          <t xml:space="preserve"> Touring</t>
        </is>
      </c>
      <c r="AF106" t="inlineStr">
        <is>
          <t xml:space="preserve"> Ultralight Touring</t>
        </is>
      </c>
      <c r="AG106" t="inlineStr">
        <is>
          <t>Dynafit Beast 108 Ski</t>
        </is>
      </c>
      <c r="AH106" t="inlineStr">
        <is>
          <t>eBay - bikesportadventurecom</t>
        </is>
      </c>
      <c r="AI106" s="333" t="n">
        <v>511.71</v>
      </c>
      <c r="AJ106" t="inlineStr">
        <is>
          <t>https://tinyurl.com/yam8bk9u</t>
        </is>
      </c>
      <c r="AK106" t="inlineStr">
        <is>
          <t>Dynafit Beast 108 - Neon/Yellow - Skis 173</t>
        </is>
      </c>
      <c r="AL106" t="inlineStr">
        <is>
          <t>eXXpozed.com</t>
        </is>
      </c>
      <c r="AM106" s="333" t="n">
        <v>617.67</v>
      </c>
      <c r="AN106" t="inlineStr">
        <is>
          <t>https://tinyurl.com/ybk3usnr</t>
        </is>
      </c>
      <c r="AO106" t="inlineStr">
        <is>
          <t>Dynafit Free 107 Ski</t>
        </is>
      </c>
      <c r="AP106" t="inlineStr">
        <is>
          <t>JANS Mountain Outfitters</t>
        </is>
      </c>
      <c r="AQ106" s="333" t="n">
        <v>420</v>
      </c>
      <c r="AR106" t="inlineStr">
        <is>
          <t>https://tinyurl.com/ydbzksqq</t>
        </is>
      </c>
      <c r="AS106" s="314">
        <f>IF(LEFT(C106,1)=" ",RIGHT(C106,LEN(C106)-1),C106)</f>
        <v/>
      </c>
      <c r="AT106" s="281">
        <f>_xlfn.CONCAT(B106,AS106,D106,E106)</f>
        <v/>
      </c>
    </row>
    <row r="107">
      <c r="A107" t="inlineStr">
        <is>
          <t>21/22</t>
        </is>
      </c>
      <c r="B107" t="inlineStr">
        <is>
          <t xml:space="preserve"> Rossignol</t>
        </is>
      </c>
      <c r="C107" t="inlineStr">
        <is>
          <t xml:space="preserve"> Blackops Holyshred</t>
        </is>
      </c>
      <c r="D107" t="n">
        <v>172</v>
      </c>
      <c r="E107" t="inlineStr">
        <is>
          <t xml:space="preserve"> Unisex</t>
        </is>
      </c>
      <c r="F107" t="n">
        <v>172</v>
      </c>
      <c r="G107" t="n">
        <v>169.3</v>
      </c>
      <c r="H107" t="n">
        <v>121</v>
      </c>
      <c r="I107" t="n">
        <v>146</v>
      </c>
      <c r="J107" t="n">
        <v>129</v>
      </c>
      <c r="K107" t="n">
        <v>97</v>
      </c>
      <c r="L107" t="n">
        <v>120</v>
      </c>
      <c r="M107" t="n">
        <v>17</v>
      </c>
      <c r="N107" t="n">
        <v>1850</v>
      </c>
      <c r="O107" t="n">
        <v>0.99</v>
      </c>
      <c r="P107" t="n">
        <v>1826</v>
      </c>
      <c r="Q107" t="n">
        <v>196</v>
      </c>
      <c r="R107" t="n">
        <v>107</v>
      </c>
      <c r="S107" t="n">
        <v>57</v>
      </c>
      <c r="T107" t="n">
        <v>260</v>
      </c>
      <c r="U107" t="n">
        <v>37</v>
      </c>
      <c r="V107" t="n">
        <v>226</v>
      </c>
      <c r="W107" t="n">
        <v>0.65</v>
      </c>
      <c r="X107" t="n">
        <v>136</v>
      </c>
      <c r="Y107" t="n">
        <v>97</v>
      </c>
      <c r="Z107" t="n">
        <v>125</v>
      </c>
      <c r="AA107" t="n">
        <v>8</v>
      </c>
      <c r="AB107" t="n">
        <v>4.3</v>
      </c>
      <c r="AC107" t="inlineStr">
        <is>
          <t xml:space="preserve"> Resort Freeride</t>
        </is>
      </c>
      <c r="AG107" t="inlineStr">
        <is>
          <t>Rossignol Blackops Holyshred 172cm</t>
        </is>
      </c>
      <c r="AH107" t="inlineStr">
        <is>
          <t>Sundance Ski and Board Shop</t>
        </is>
      </c>
      <c r="AI107" s="333" t="n">
        <v>481.19</v>
      </c>
      <c r="AJ107" t="inlineStr">
        <is>
          <t>https://tinyurl.com/y83klbon</t>
        </is>
      </c>
      <c r="AK107" t="inlineStr">
        <is>
          <t>Skis Rossignol Blackops Holyshred</t>
        </is>
      </c>
      <c r="AL107" t="inlineStr">
        <is>
          <t>Gorham Bike and Ski</t>
        </is>
      </c>
      <c r="AM107" s="333" t="n">
        <v>489.99</v>
      </c>
      <c r="AN107" t="inlineStr">
        <is>
          <t>https://tinyurl.com/y6u642r3</t>
        </is>
      </c>
      <c r="AO107" t="inlineStr">
        <is>
          <t>2022 Rossignol Blackops Holyshred Skis 172cm</t>
        </is>
      </c>
      <c r="AP107" t="inlineStr">
        <is>
          <t>eBay</t>
        </is>
      </c>
      <c r="AQ107" s="333" t="n">
        <v>505</v>
      </c>
      <c r="AR107" t="inlineStr">
        <is>
          <t>https://tinyurl.com/yayumwye</t>
        </is>
      </c>
      <c r="AS107" s="314">
        <f>IF(LEFT(C107,1)=" ",RIGHT(C107,LEN(C107)-1),C107)</f>
        <v/>
      </c>
      <c r="AT107" s="281">
        <f>_xlfn.CONCAT(B107,AS107,D107,E107)</f>
        <v/>
      </c>
    </row>
    <row r="108">
      <c r="A108" t="inlineStr">
        <is>
          <t>21/22</t>
        </is>
      </c>
      <c r="B108" t="inlineStr">
        <is>
          <t xml:space="preserve"> Armada</t>
        </is>
      </c>
      <c r="C108" t="inlineStr">
        <is>
          <t>Reliance 88 Ca</t>
        </is>
      </c>
      <c r="D108" t="n">
        <v>168</v>
      </c>
      <c r="E108" t="inlineStr">
        <is>
          <t xml:space="preserve"> Women's</t>
        </is>
      </c>
      <c r="F108" t="n">
        <v>168</v>
      </c>
      <c r="G108" t="n">
        <v>167.4</v>
      </c>
      <c r="H108" t="n">
        <v>138</v>
      </c>
      <c r="I108" t="n">
        <v>149</v>
      </c>
      <c r="J108" t="n">
        <v>128</v>
      </c>
      <c r="K108" t="n">
        <v>87</v>
      </c>
      <c r="L108" t="n">
        <v>109</v>
      </c>
      <c r="M108" t="n">
        <v>16.9</v>
      </c>
      <c r="N108" t="n">
        <v>1550</v>
      </c>
      <c r="O108" t="n">
        <v>1.07</v>
      </c>
      <c r="P108" t="n">
        <v>1664</v>
      </c>
      <c r="Q108" t="n">
        <v>243</v>
      </c>
      <c r="R108" t="n">
        <v>106</v>
      </c>
      <c r="S108" t="n">
        <v>41</v>
      </c>
      <c r="T108" t="n">
        <v>186</v>
      </c>
      <c r="U108" t="n">
        <v>11</v>
      </c>
      <c r="V108" t="n">
        <v>112</v>
      </c>
      <c r="W108" t="n">
        <v>0.258</v>
      </c>
      <c r="X108" t="n">
        <v>114</v>
      </c>
      <c r="Y108" t="n">
        <v>74</v>
      </c>
      <c r="Z108" t="n">
        <v>72</v>
      </c>
      <c r="AA108" t="n">
        <v>5</v>
      </c>
      <c r="AB108" t="n">
        <v>11.8</v>
      </c>
      <c r="AC108" t="inlineStr">
        <is>
          <t xml:space="preserve"> Resort Freeride</t>
        </is>
      </c>
      <c r="AD108" t="inlineStr">
        <is>
          <t xml:space="preserve"> Touring</t>
        </is>
      </c>
      <c r="AG108" t="inlineStr">
        <is>
          <t>Armada Reliance 88 C Skis - Women's 2022</t>
        </is>
      </c>
      <c r="AH108" t="inlineStr">
        <is>
          <t>Snowcountry.eu</t>
        </is>
      </c>
      <c r="AI108" s="333" t="n">
        <v>367.9</v>
      </c>
      <c r="AJ108" t="inlineStr">
        <is>
          <t>https://tinyurl.com/ybt3j4sg</t>
        </is>
      </c>
      <c r="AK108" t="inlineStr">
        <is>
          <t>Armada Reliance 88 C White-Black 168 Ski Lady's Ladies / Women</t>
        </is>
      </c>
      <c r="AL108" t="inlineStr">
        <is>
          <t>! OutdoorXL.com</t>
        </is>
      </c>
      <c r="AM108" s="333" t="n">
        <v>374.95</v>
      </c>
      <c r="AN108" t="inlineStr">
        <is>
          <t>https://tinyurl.com/yb5hgbnr</t>
        </is>
      </c>
      <c r="AO108" t="inlineStr">
        <is>
          <t>Armada Reliance 88 C Skis - Women's 2022</t>
        </is>
      </c>
      <c r="AP108" t="inlineStr">
        <is>
          <t>Next Adventure</t>
        </is>
      </c>
      <c r="AQ108" s="333" t="n">
        <v>479.96</v>
      </c>
      <c r="AR108" t="inlineStr">
        <is>
          <t>https://tinyurl.com/ycd8f5st</t>
        </is>
      </c>
      <c r="AS108" s="314">
        <f>IF(LEFT(C108,1)=" ",RIGHT(C108,LEN(C108)-1),C108)</f>
        <v/>
      </c>
      <c r="AT108" s="281">
        <f>_xlfn.CONCAT(B108,AS108,D108,E108)</f>
        <v/>
      </c>
    </row>
    <row r="109">
      <c r="A109" t="inlineStr">
        <is>
          <t>21/22</t>
        </is>
      </c>
      <c r="B109" t="inlineStr">
        <is>
          <t xml:space="preserve"> Nordica</t>
        </is>
      </c>
      <c r="C109" t="inlineStr">
        <is>
          <t>Santa Ana 110 Free</t>
        </is>
      </c>
      <c r="D109" t="n">
        <v>177</v>
      </c>
      <c r="E109" t="inlineStr">
        <is>
          <t xml:space="preserve"> Women's</t>
        </is>
      </c>
      <c r="F109" t="n">
        <v>177</v>
      </c>
      <c r="G109" t="n">
        <v>175.5</v>
      </c>
      <c r="H109" t="n">
        <v>116</v>
      </c>
      <c r="I109" t="n">
        <v>145</v>
      </c>
      <c r="J109" t="n">
        <v>140</v>
      </c>
      <c r="K109" t="n">
        <v>108</v>
      </c>
      <c r="L109" t="n">
        <v>131</v>
      </c>
      <c r="M109" t="n">
        <v>16.7</v>
      </c>
      <c r="N109" t="n">
        <v>1908</v>
      </c>
      <c r="O109" t="n">
        <v>1.09</v>
      </c>
      <c r="P109" t="n">
        <v>2087</v>
      </c>
      <c r="Q109" t="n">
        <v>199</v>
      </c>
      <c r="R109" t="n">
        <v>103</v>
      </c>
      <c r="S109" t="n">
        <v>71</v>
      </c>
      <c r="T109" t="n">
        <v>323</v>
      </c>
      <c r="U109" t="n">
        <v>50</v>
      </c>
      <c r="V109" t="n">
        <v>268</v>
      </c>
      <c r="W109" t="n">
        <v>0.708</v>
      </c>
      <c r="X109" t="n">
        <v>156</v>
      </c>
      <c r="Y109" t="n">
        <v>153</v>
      </c>
      <c r="Z109" t="n">
        <v>167</v>
      </c>
      <c r="AA109" t="n">
        <v>6</v>
      </c>
      <c r="AB109" t="n">
        <v>8.4</v>
      </c>
      <c r="AC109" t="inlineStr">
        <is>
          <t xml:space="preserve"> Powder</t>
        </is>
      </c>
      <c r="AD109" t="inlineStr">
        <is>
          <t xml:space="preserve"> Touring</t>
        </is>
      </c>
      <c r="AG109" t="inlineStr">
        <is>
          <t>Nordica Santa Ana Free 110 Skis Â· Women's Â· 2021 Â· 177 cm</t>
        </is>
      </c>
      <c r="AH109" t="inlineStr">
        <is>
          <t>Next Adventure</t>
        </is>
      </c>
      <c r="AI109" s="333" t="n">
        <v>447.99</v>
      </c>
      <c r="AJ109" t="inlineStr">
        <is>
          <t>https://tinyurl.com/yd9yvnzf</t>
        </is>
      </c>
      <c r="AK109" t="inlineStr">
        <is>
          <t>Nordica Santa Ana Free 110 21/22</t>
        </is>
      </c>
      <c r="AL109" t="inlineStr">
        <is>
          <t>Snowcountry.eu</t>
        </is>
      </c>
      <c r="AM109" s="333" t="n">
        <v>460.11</v>
      </c>
      <c r="AN109" t="inlineStr">
        <is>
          <t>https://tinyurl.com/y7wj4eu4</t>
        </is>
      </c>
      <c r="AO109" t="inlineStr">
        <is>
          <t>Nordica Santa Ana Free 110 Skis Â· Women's Â· 2021 Â· 177 cm</t>
        </is>
      </c>
      <c r="AP109" t="inlineStr">
        <is>
          <t>Curated</t>
        </is>
      </c>
      <c r="AQ109" s="333" t="n">
        <v>559.99</v>
      </c>
      <c r="AR109" t="inlineStr">
        <is>
          <t>https://tinyurl.com/y9ma8yn5</t>
        </is>
      </c>
      <c r="AS109" s="314">
        <f>IF(LEFT(C109,1)=" ",RIGHT(C109,LEN(C109)-1),C109)</f>
        <v/>
      </c>
      <c r="AT109" s="281">
        <f>_xlfn.CONCAT(B109,AS109,D109,E109)</f>
        <v/>
      </c>
    </row>
    <row r="110">
      <c r="A110" t="inlineStr">
        <is>
          <t>21/22</t>
        </is>
      </c>
      <c r="B110" t="inlineStr">
        <is>
          <t xml:space="preserve"> Vï¿½lkl</t>
        </is>
      </c>
      <c r="C110" t="inlineStr">
        <is>
          <t>Blaze 106</t>
        </is>
      </c>
      <c r="D110" t="n">
        <v>186</v>
      </c>
      <c r="E110" t="inlineStr">
        <is>
          <t xml:space="preserve"> Unisex</t>
        </is>
      </c>
      <c r="F110" t="n">
        <v>186</v>
      </c>
      <c r="G110" t="n">
        <v>186.9</v>
      </c>
      <c r="H110" t="n">
        <v>114</v>
      </c>
      <c r="I110" t="n">
        <v>162</v>
      </c>
      <c r="J110" t="n">
        <v>145</v>
      </c>
      <c r="K110" t="n">
        <v>105</v>
      </c>
      <c r="L110" t="n">
        <v>127</v>
      </c>
      <c r="M110" t="n">
        <v>20.6</v>
      </c>
      <c r="N110" t="n">
        <v>1845</v>
      </c>
      <c r="O110" t="n">
        <v>1.19</v>
      </c>
      <c r="P110" t="n">
        <v>2189</v>
      </c>
      <c r="Q110" t="n">
        <v>200</v>
      </c>
      <c r="R110" t="n">
        <v>102</v>
      </c>
      <c r="S110" t="n">
        <v>55</v>
      </c>
      <c r="T110" t="n">
        <v>475</v>
      </c>
      <c r="U110" t="n">
        <v>23</v>
      </c>
      <c r="V110" t="n">
        <v>257</v>
      </c>
      <c r="W110" t="n">
        <v>0.417</v>
      </c>
      <c r="X110" t="n">
        <v>145</v>
      </c>
      <c r="Y110" t="n">
        <v>103</v>
      </c>
      <c r="Z110" t="n">
        <v>330</v>
      </c>
      <c r="AA110" t="n">
        <v>2</v>
      </c>
      <c r="AB110" t="n">
        <v>11.3</v>
      </c>
      <c r="AC110" t="inlineStr">
        <is>
          <t xml:space="preserve"> Powder</t>
        </is>
      </c>
      <c r="AD110" t="inlineStr">
        <is>
          <t xml:space="preserve"> Touring</t>
        </is>
      </c>
      <c r="AG110" t="inlineStr">
        <is>
          <t>Volkl Blaze 106 Skis</t>
        </is>
      </c>
      <c r="AH110" t="inlineStr">
        <is>
          <t>Powder7 Ski Shop</t>
        </is>
      </c>
      <c r="AI110" s="333" t="n">
        <v>439.93</v>
      </c>
      <c r="AJ110" t="inlineStr">
        <is>
          <t>https://tinyurl.com/yd5rsawr</t>
        </is>
      </c>
      <c r="AK110" t="inlineStr">
        <is>
          <t>Volkl Blaze 106 Skis 2022</t>
        </is>
      </c>
      <c r="AL110" t="inlineStr">
        <is>
          <t>Saint Bernard</t>
        </is>
      </c>
      <c r="AM110" s="333" t="n">
        <v>479.9</v>
      </c>
      <c r="AN110" t="inlineStr">
        <is>
          <t>https://tinyurl.com/ycqo6qc4</t>
        </is>
      </c>
      <c r="AO110" t="inlineStr">
        <is>
          <t>Volkl Blaze 106 Flat Ski 2021-2022 | BLUE/ORG / 186</t>
        </is>
      </c>
      <c r="AP110" t="inlineStr">
        <is>
          <t>Ski Pro  - Snow Ski &amp; Snowboard</t>
        </is>
      </c>
      <c r="AQ110" s="333" t="n">
        <v>479.95</v>
      </c>
      <c r="AR110" t="inlineStr">
        <is>
          <t>https://tinyurl.com/ydhoeej9</t>
        </is>
      </c>
      <c r="AS110" s="314">
        <f>IF(LEFT(C110,1)=" ",RIGHT(C110,LEN(C110)-1),C110)</f>
        <v/>
      </c>
      <c r="AT110" s="281">
        <f>_xlfn.CONCAT(B110,AS110,D110,E110)</f>
        <v/>
      </c>
    </row>
    <row r="111">
      <c r="A111" t="inlineStr">
        <is>
          <t>21/22</t>
        </is>
      </c>
      <c r="B111" t="inlineStr">
        <is>
          <t xml:space="preserve"> Fischer</t>
        </is>
      </c>
      <c r="C111" t="inlineStr">
        <is>
          <t>Ranger 102 FR W</t>
        </is>
      </c>
      <c r="D111" t="n">
        <v>177</v>
      </c>
      <c r="E111" t="inlineStr">
        <is>
          <t xml:space="preserve"> Women's</t>
        </is>
      </c>
      <c r="F111" t="n">
        <v>177</v>
      </c>
      <c r="G111" t="n">
        <v>176.5</v>
      </c>
      <c r="H111" t="n">
        <v>119</v>
      </c>
      <c r="I111" t="n">
        <v>147</v>
      </c>
      <c r="J111" t="n">
        <v>135</v>
      </c>
      <c r="K111" t="n">
        <v>101</v>
      </c>
      <c r="L111" t="n">
        <v>125</v>
      </c>
      <c r="M111" t="n">
        <v>15.2</v>
      </c>
      <c r="N111" t="n">
        <v>1771</v>
      </c>
      <c r="O111" t="n">
        <v>1.13</v>
      </c>
      <c r="P111" t="n">
        <v>2009</v>
      </c>
      <c r="Q111" t="n">
        <v>229</v>
      </c>
      <c r="R111" t="n">
        <v>105</v>
      </c>
      <c r="S111" t="n">
        <v>49</v>
      </c>
      <c r="T111" t="n">
        <v>380</v>
      </c>
      <c r="U111" t="n">
        <v>28</v>
      </c>
      <c r="V111" t="n">
        <v>192</v>
      </c>
      <c r="W111" t="n">
        <v>0.575</v>
      </c>
      <c r="X111" t="n">
        <v>148</v>
      </c>
      <c r="Y111" t="n">
        <v>152</v>
      </c>
      <c r="Z111" t="n">
        <v>232</v>
      </c>
      <c r="AA111" t="n">
        <v>6</v>
      </c>
      <c r="AB111" t="n">
        <v>10.7</v>
      </c>
      <c r="AC111" t="inlineStr">
        <is>
          <t xml:space="preserve"> Resort Freeride</t>
        </is>
      </c>
      <c r="AD111" t="inlineStr">
        <is>
          <t xml:space="preserve"> Powder</t>
        </is>
      </c>
      <c r="AE111" t="inlineStr">
        <is>
          <t xml:space="preserve"> Touring</t>
        </is>
      </c>
      <c r="AG111" t="inlineStr">
        <is>
          <t>Fischer Ranger 102 FR Skis (Pink)</t>
        </is>
      </c>
      <c r="AH111" t="inlineStr">
        <is>
          <t>ColoradoSkiShop.com</t>
        </is>
      </c>
      <c r="AI111" s="333" t="n">
        <v>699.99</v>
      </c>
      <c r="AJ111" t="inlineStr">
        <is>
          <t>https://tinyurl.com/yd5vdygv</t>
        </is>
      </c>
      <c r="AK111" t="inlineStr">
        <is>
          <t>Fischer Ranger 94 FR Women's Skis 2021 177cm</t>
        </is>
      </c>
      <c r="AL111" t="inlineStr">
        <is>
          <t>Powder7 Ski Shop</t>
        </is>
      </c>
      <c r="AM111" s="333" t="n">
        <v>419.99</v>
      </c>
      <c r="AN111" t="inlineStr">
        <is>
          <t>https://tinyurl.com/y89p456l</t>
        </is>
      </c>
      <c r="AO111" t="inlineStr">
        <is>
          <t>Ranger 94 Fr 177</t>
        </is>
      </c>
      <c r="AP111" t="inlineStr">
        <is>
          <t>Pro Ski and Mountain Service</t>
        </is>
      </c>
      <c r="AQ111" s="333" t="n">
        <v>699.99</v>
      </c>
      <c r="AR111" t="inlineStr">
        <is>
          <t>https://tinyurl.com/y74kyegg</t>
        </is>
      </c>
      <c r="AS111" s="314">
        <f>IF(LEFT(C111,1)=" ",RIGHT(C111,LEN(C111)-1),C111)</f>
        <v/>
      </c>
      <c r="AT111" s="281">
        <f>_xlfn.CONCAT(B111,AS111,D111,E111)</f>
        <v/>
      </c>
    </row>
    <row r="112">
      <c r="A112" t="inlineStr">
        <is>
          <t>21/22</t>
        </is>
      </c>
      <c r="B112" t="inlineStr">
        <is>
          <t xml:space="preserve"> Line</t>
        </is>
      </c>
      <c r="C112" t="inlineStr">
        <is>
          <t>Vision 108</t>
        </is>
      </c>
      <c r="D112" t="n">
        <v>183</v>
      </c>
      <c r="E112" t="inlineStr">
        <is>
          <t xml:space="preserve"> Unisex</t>
        </is>
      </c>
      <c r="F112" t="n">
        <v>183</v>
      </c>
      <c r="G112" t="n">
        <v>181.7</v>
      </c>
      <c r="H112" t="n">
        <v>97</v>
      </c>
      <c r="I112" t="n">
        <v>148</v>
      </c>
      <c r="J112" t="n">
        <v>141</v>
      </c>
      <c r="K112" t="n">
        <v>107</v>
      </c>
      <c r="L112" t="n">
        <v>127</v>
      </c>
      <c r="M112" t="n">
        <v>19</v>
      </c>
      <c r="N112" t="n">
        <v>1627</v>
      </c>
      <c r="O112" t="n">
        <v>1.31</v>
      </c>
      <c r="P112" t="n">
        <v>2125</v>
      </c>
      <c r="Q112" t="n">
        <v>186</v>
      </c>
      <c r="R112" t="n">
        <v>92</v>
      </c>
      <c r="S112" t="n">
        <v>55</v>
      </c>
      <c r="T112" t="n">
        <v>465</v>
      </c>
      <c r="U112" t="n">
        <v>35</v>
      </c>
      <c r="V112" t="n">
        <v>380</v>
      </c>
      <c r="W112" t="n">
        <v>0.643</v>
      </c>
      <c r="X112" t="n">
        <v>164</v>
      </c>
      <c r="Y112" t="n">
        <v>173</v>
      </c>
      <c r="Z112" t="n">
        <v>302</v>
      </c>
      <c r="AA112" t="n">
        <v>3</v>
      </c>
      <c r="AB112" t="n">
        <v>6.8</v>
      </c>
      <c r="AC112" t="inlineStr">
        <is>
          <t xml:space="preserve"> Powder</t>
        </is>
      </c>
      <c r="AD112" t="inlineStr">
        <is>
          <t xml:space="preserve"> Touring</t>
        </is>
      </c>
      <c r="AE112" t="inlineStr">
        <is>
          <t xml:space="preserve"> Ultralight Touring</t>
        </is>
      </c>
      <c r="AG112" t="inlineStr">
        <is>
          <t>Line Vision 108 Skis 2022</t>
        </is>
      </c>
      <c r="AH112" t="inlineStr">
        <is>
          <t>Telemark Pyrenees</t>
        </is>
      </c>
      <c r="AI112" s="333" t="n">
        <v>421.65</v>
      </c>
      <c r="AJ112" t="inlineStr">
        <is>
          <t>https://tinyurl.com/y8zuh32x</t>
        </is>
      </c>
      <c r="AK112" t="inlineStr">
        <is>
          <t>Line Vision 108 Skis 2022</t>
        </is>
      </c>
      <c r="AL112" t="inlineStr">
        <is>
          <t>! OutdoorXL.com</t>
        </is>
      </c>
      <c r="AM112" s="333" t="n">
        <v>514.95</v>
      </c>
      <c r="AN112" t="inlineStr">
        <is>
          <t>https://tinyurl.com/ybmqq94c</t>
        </is>
      </c>
      <c r="AO112" t="inlineStr">
        <is>
          <t>Line Vision 108 Skis 2022</t>
        </is>
      </c>
      <c r="AP112" t="inlineStr">
        <is>
          <t>The-House.com</t>
        </is>
      </c>
      <c r="AQ112" s="333" t="n">
        <v>599.95</v>
      </c>
      <c r="AR112" t="inlineStr">
        <is>
          <t>https://tinyurl.com/y9kyw2qk</t>
        </is>
      </c>
      <c r="AS112" s="314">
        <f>IF(LEFT(C112,1)=" ",RIGHT(C112,LEN(C112)-1),C112)</f>
        <v/>
      </c>
      <c r="AT112" s="281">
        <f>_xlfn.CONCAT(B112,AS112,D112,E112)</f>
        <v/>
      </c>
    </row>
    <row r="113">
      <c r="A113" t="inlineStr">
        <is>
          <t>21/22</t>
        </is>
      </c>
      <c r="B113" t="inlineStr">
        <is>
          <t xml:space="preserve"> Head</t>
        </is>
      </c>
      <c r="C113" t="inlineStr">
        <is>
          <t>Kore 97 W</t>
        </is>
      </c>
      <c r="D113" t="n">
        <v>170</v>
      </c>
      <c r="E113" t="inlineStr">
        <is>
          <t xml:space="preserve"> Women's</t>
        </is>
      </c>
      <c r="F113" t="n">
        <v>170</v>
      </c>
      <c r="G113" t="n">
        <v>169.9</v>
      </c>
      <c r="H113" t="n">
        <v>133</v>
      </c>
      <c r="I113" t="n">
        <v>135</v>
      </c>
      <c r="J113" t="n">
        <v>130</v>
      </c>
      <c r="K113" t="n">
        <v>96</v>
      </c>
      <c r="L113" t="n">
        <v>116</v>
      </c>
      <c r="M113" t="n">
        <v>15.9</v>
      </c>
      <c r="N113" t="n">
        <v>1626</v>
      </c>
      <c r="O113" t="n">
        <v>1.12</v>
      </c>
      <c r="P113" t="n">
        <v>1826</v>
      </c>
      <c r="Q113" t="n">
        <v>238</v>
      </c>
      <c r="R113" t="n">
        <v>118</v>
      </c>
      <c r="S113" t="n">
        <v>47</v>
      </c>
      <c r="T113" t="n">
        <v>230</v>
      </c>
      <c r="U113" t="n">
        <v>12</v>
      </c>
      <c r="V113" t="n">
        <v>138</v>
      </c>
      <c r="W113" t="n">
        <v>0.257</v>
      </c>
      <c r="X113" t="n">
        <v>186</v>
      </c>
      <c r="Y113" t="n">
        <v>161</v>
      </c>
      <c r="Z113" t="n">
        <v>44</v>
      </c>
      <c r="AA113" t="n">
        <v>7</v>
      </c>
      <c r="AB113" t="n">
        <v>8.800000000000001</v>
      </c>
      <c r="AC113" t="inlineStr">
        <is>
          <t xml:space="preserve"> Resort Freeride</t>
        </is>
      </c>
      <c r="AD113" t="inlineStr">
        <is>
          <t xml:space="preserve"> Touring</t>
        </is>
      </c>
      <c r="AG113" t="inlineStr">
        <is>
          <t>Head Kore 97 W Incl Attack 12 GW Binding Anthracite-Green 170 Ski Lady's Ladies / Women</t>
        </is>
      </c>
      <c r="AH113" t="inlineStr">
        <is>
          <t>! OutdoorXL.com</t>
        </is>
      </c>
      <c r="AI113" s="333" t="n">
        <v>514.95</v>
      </c>
      <c r="AJ113" t="inlineStr">
        <is>
          <t>https://tinyurl.com/yaj57hmu</t>
        </is>
      </c>
      <c r="AK113" t="inlineStr">
        <is>
          <t>Head Women's Kore 97 W Skis Green 170 Cm</t>
        </is>
      </c>
      <c r="AL113" t="inlineStr">
        <is>
          <t>REI</t>
        </is>
      </c>
      <c r="AM113" s="333" t="n">
        <v>518.9299999999999</v>
      </c>
      <c r="AN113" t="inlineStr">
        <is>
          <t>https://tinyurl.com/yd5tkmot</t>
        </is>
      </c>
      <c r="AO113" t="inlineStr">
        <is>
          <t>Head Kore 97 W 170cm</t>
        </is>
      </c>
      <c r="AP113" t="inlineStr">
        <is>
          <t>Miller Sports</t>
        </is>
      </c>
      <c r="AQ113" s="333" t="n">
        <v>600</v>
      </c>
      <c r="AR113" t="inlineStr">
        <is>
          <t>https://tinyurl.com/y8bdv6oh</t>
        </is>
      </c>
      <c r="AS113" s="314">
        <f>IF(LEFT(C113,1)=" ",RIGHT(C113,LEN(C113)-1),C113)</f>
        <v/>
      </c>
      <c r="AT113" s="281">
        <f>_xlfn.CONCAT(B113,AS113,D113,E113)</f>
        <v/>
      </c>
    </row>
    <row r="114">
      <c r="A114" t="inlineStr">
        <is>
          <t>21/22</t>
        </is>
      </c>
      <c r="B114" t="inlineStr">
        <is>
          <t xml:space="preserve"> Dynastar</t>
        </is>
      </c>
      <c r="C114" t="inlineStr">
        <is>
          <t>M-Free 99</t>
        </is>
      </c>
      <c r="D114" t="n">
        <v>179</v>
      </c>
      <c r="E114" t="inlineStr">
        <is>
          <t xml:space="preserve"> Unisex</t>
        </is>
      </c>
      <c r="F114" t="n">
        <v>179</v>
      </c>
      <c r="G114" t="n">
        <v>177.9</v>
      </c>
      <c r="H114" t="n">
        <v>110</v>
      </c>
      <c r="I114" t="n">
        <v>143</v>
      </c>
      <c r="J114" t="n">
        <v>127</v>
      </c>
      <c r="K114" t="n">
        <v>97</v>
      </c>
      <c r="L114" t="n">
        <v>119</v>
      </c>
      <c r="M114" t="n">
        <v>16.7</v>
      </c>
      <c r="N114" t="n">
        <v>1935</v>
      </c>
      <c r="O114" t="n">
        <v>0.99</v>
      </c>
      <c r="P114" t="n">
        <v>1914</v>
      </c>
      <c r="Q114" t="n">
        <v>228</v>
      </c>
      <c r="R114" t="n">
        <v>106</v>
      </c>
      <c r="S114" t="n">
        <v>54</v>
      </c>
      <c r="T114" t="n">
        <v>335</v>
      </c>
      <c r="U114" t="n">
        <v>46</v>
      </c>
      <c r="V114" t="n">
        <v>343</v>
      </c>
      <c r="W114" t="n">
        <v>0.852</v>
      </c>
      <c r="X114" t="n">
        <v>198</v>
      </c>
      <c r="Y114" t="n">
        <v>155</v>
      </c>
      <c r="Z114" t="n">
        <v>137</v>
      </c>
      <c r="AA114" t="n">
        <v>7</v>
      </c>
      <c r="AB114" t="n">
        <v>8</v>
      </c>
      <c r="AC114" t="inlineStr">
        <is>
          <t xml:space="preserve"> Resort Freeride</t>
        </is>
      </c>
      <c r="AD114" t="inlineStr">
        <is>
          <t xml:space="preserve"> Freeski</t>
        </is>
      </c>
      <c r="AG114" t="inlineStr">
        <is>
          <t>Dynastar M-Free 99 Skis 2022</t>
        </is>
      </c>
      <c r="AH114" t="inlineStr">
        <is>
          <t>Snowcountry.eu</t>
        </is>
      </c>
      <c r="AI114" s="333" t="n">
        <v>367.9</v>
      </c>
      <c r="AJ114" t="inlineStr">
        <is>
          <t>https://tinyurl.com/y8q3frr4</t>
        </is>
      </c>
      <c r="AK114" t="inlineStr">
        <is>
          <t>Dynastar M-Free 99 Skis 2022</t>
        </is>
      </c>
      <c r="AL114" t="inlineStr">
        <is>
          <t>Next Adventure</t>
        </is>
      </c>
      <c r="AM114" s="333" t="n">
        <v>419.97</v>
      </c>
      <c r="AN114" t="inlineStr">
        <is>
          <t>https://tinyurl.com/yce4lytt</t>
        </is>
      </c>
      <c r="AO114" t="inlineStr">
        <is>
          <t>Dynastar M-Free 99 Skis 2022</t>
        </is>
      </c>
      <c r="AP114" t="inlineStr">
        <is>
          <t>Ski Pro  - Snow Ski &amp; Snowboard</t>
        </is>
      </c>
      <c r="AQ114" s="333" t="n">
        <v>479.95</v>
      </c>
      <c r="AR114" t="inlineStr">
        <is>
          <t>https://tinyurl.com/yb48uwcd</t>
        </is>
      </c>
      <c r="AS114" s="314">
        <f>IF(LEFT(C114,1)=" ",RIGHT(C114,LEN(C114)-1),C114)</f>
        <v/>
      </c>
      <c r="AT114" s="281">
        <f>_xlfn.CONCAT(B114,AS114,D114,E114)</f>
        <v/>
      </c>
    </row>
    <row r="115">
      <c r="A115" t="inlineStr">
        <is>
          <t>21/22</t>
        </is>
      </c>
      <c r="B115" t="inlineStr">
        <is>
          <t xml:space="preserve"> Rossignol</t>
        </is>
      </c>
      <c r="C115" t="inlineStr">
        <is>
          <t xml:space="preserve"> Blackops Escaper</t>
        </is>
      </c>
      <c r="D115" t="n">
        <v>172</v>
      </c>
      <c r="E115" t="inlineStr">
        <is>
          <t xml:space="preserve"> Unisex</t>
        </is>
      </c>
      <c r="F115" t="n">
        <v>172</v>
      </c>
      <c r="G115" t="n">
        <v>170.8</v>
      </c>
      <c r="H115" t="n">
        <v>124</v>
      </c>
      <c r="I115" t="n">
        <v>146</v>
      </c>
      <c r="J115" t="n">
        <v>126</v>
      </c>
      <c r="K115" t="n">
        <v>92</v>
      </c>
      <c r="L115" t="n">
        <v>116</v>
      </c>
      <c r="M115" t="n">
        <v>16</v>
      </c>
      <c r="N115" t="n">
        <v>1632</v>
      </c>
      <c r="O115" t="n">
        <v>1.08</v>
      </c>
      <c r="P115" t="n">
        <v>1769</v>
      </c>
      <c r="Q115" t="n">
        <v>204</v>
      </c>
      <c r="R115" t="n">
        <v>90</v>
      </c>
      <c r="S115" t="n">
        <v>47</v>
      </c>
      <c r="T115" t="n">
        <v>291</v>
      </c>
      <c r="U115" t="n">
        <v>12</v>
      </c>
      <c r="V115" t="n">
        <v>174</v>
      </c>
      <c r="W115" t="n">
        <v>0.26</v>
      </c>
      <c r="X115" t="n">
        <v>153</v>
      </c>
      <c r="Y115" t="n">
        <v>98</v>
      </c>
      <c r="Z115" t="n">
        <v>138</v>
      </c>
      <c r="AA115" t="n">
        <v>6</v>
      </c>
      <c r="AB115" t="n">
        <v>6.5</v>
      </c>
      <c r="AC115" t="inlineStr">
        <is>
          <t xml:space="preserve"> Resort Freeride</t>
        </is>
      </c>
      <c r="AD115" t="inlineStr">
        <is>
          <t xml:space="preserve"> Touring</t>
        </is>
      </c>
      <c r="AG115" t="inlineStr">
        <is>
          <t>Rossignol Blackops Escaper Open 172cm</t>
        </is>
      </c>
      <c r="AH115" t="inlineStr">
        <is>
          <t>Sundance Ski and Board Shop</t>
        </is>
      </c>
      <c r="AI115" s="333" t="n">
        <v>400.99</v>
      </c>
      <c r="AJ115" t="inlineStr">
        <is>
          <t>https://tinyurl.com/y79k5f9d</t>
        </is>
      </c>
      <c r="AK115" t="inlineStr">
        <is>
          <t>Rossignol Blackops Escaper Skis 2022</t>
        </is>
      </c>
      <c r="AL115" t="inlineStr">
        <is>
          <t>Saint Bernard</t>
        </is>
      </c>
      <c r="AM115" s="333" t="n">
        <v>473.9</v>
      </c>
      <c r="AN115" t="inlineStr">
        <is>
          <t>https://tinyurl.com/yanbr72u</t>
        </is>
      </c>
      <c r="AO115" t="inlineStr">
        <is>
          <t>Rossignol Blackops Escaper Skis</t>
        </is>
      </c>
      <c r="AP115" t="inlineStr">
        <is>
          <t>sunandski.com</t>
        </is>
      </c>
      <c r="AQ115" s="333" t="n">
        <v>479.93</v>
      </c>
      <c r="AR115" t="inlineStr">
        <is>
          <t>https://tinyurl.com/y82zyuro</t>
        </is>
      </c>
      <c r="AS115" s="314">
        <f>IF(LEFT(C115,1)=" ",RIGHT(C115,LEN(C115)-1),C115)</f>
        <v/>
      </c>
      <c r="AT115" s="281">
        <f>_xlfn.CONCAT(B115,AS115,D115,E115)</f>
        <v/>
      </c>
    </row>
    <row r="116">
      <c r="A116" t="inlineStr">
        <is>
          <t>21/22</t>
        </is>
      </c>
      <c r="B116" t="inlineStr">
        <is>
          <t xml:space="preserve"> Salomon</t>
        </is>
      </c>
      <c r="C116" t="inlineStr">
        <is>
          <t>Stance 84</t>
        </is>
      </c>
      <c r="D116" t="n">
        <v>185</v>
      </c>
      <c r="E116" t="inlineStr">
        <is>
          <t xml:space="preserve"> Unisex</t>
        </is>
      </c>
      <c r="F116" t="n">
        <v>185</v>
      </c>
      <c r="G116" t="n">
        <v>184.7</v>
      </c>
      <c r="H116" t="n">
        <v>134</v>
      </c>
      <c r="I116" t="n">
        <v>156</v>
      </c>
      <c r="J116" t="n">
        <v>122</v>
      </c>
      <c r="K116" t="n">
        <v>83</v>
      </c>
      <c r="L116" t="n">
        <v>105</v>
      </c>
      <c r="M116" t="n">
        <v>18.1</v>
      </c>
      <c r="N116" t="n">
        <v>1657</v>
      </c>
      <c r="O116" t="n">
        <v>1.07</v>
      </c>
      <c r="P116" t="n">
        <v>1779</v>
      </c>
      <c r="Q116" t="n">
        <v>242</v>
      </c>
      <c r="R116" t="n">
        <v>95</v>
      </c>
      <c r="S116" t="n">
        <v>48</v>
      </c>
      <c r="T116" t="n">
        <v>288</v>
      </c>
      <c r="U116" t="n">
        <v>12</v>
      </c>
      <c r="V116" t="n">
        <v>218</v>
      </c>
      <c r="W116" t="n">
        <v>0.257</v>
      </c>
      <c r="X116" t="n">
        <v>160</v>
      </c>
      <c r="Y116" t="n">
        <v>128</v>
      </c>
      <c r="Z116" t="n">
        <v>128</v>
      </c>
      <c r="AA116" t="n">
        <v>5</v>
      </c>
      <c r="AB116" t="n">
        <v>9.300000000000001</v>
      </c>
      <c r="AC116" t="inlineStr">
        <is>
          <t xml:space="preserve"> On-Piste All-Mountain</t>
        </is>
      </c>
      <c r="AD116" t="inlineStr">
        <is>
          <t xml:space="preserve"> Resort Freeride</t>
        </is>
      </c>
      <c r="AE116" t="inlineStr">
        <is>
          <t xml:space="preserve"> Touring</t>
        </is>
      </c>
      <c r="AG116" t="inlineStr">
        <is>
          <t>Salomon Stance 84 Skis Â· 185 cm</t>
        </is>
      </c>
      <c r="AH116" t="inlineStr">
        <is>
          <t>Curated</t>
        </is>
      </c>
      <c r="AI116" s="333" t="n">
        <v>499.99</v>
      </c>
      <c r="AJ116" t="inlineStr">
        <is>
          <t>https://tinyurl.com/y8w7obza</t>
        </is>
      </c>
      <c r="AK116" t="inlineStr">
        <is>
          <t>Salomon Stance 84 Skis + M12 GW Bindings 2022 - 185</t>
        </is>
      </c>
      <c r="AL116" t="inlineStr">
        <is>
          <t>evo.com</t>
        </is>
      </c>
      <c r="AM116" s="333" t="n">
        <v>599.99</v>
      </c>
      <c r="AN116" t="inlineStr">
        <is>
          <t>https://tinyurl.com/yaarxrco</t>
        </is>
      </c>
      <c r="AO116" t="inlineStr">
        <is>
          <t>Salomon Stance 80 M10 GW Skis, 185cm Dark Blue/Red/Black 2021</t>
        </is>
      </c>
      <c r="AP116" t="inlineStr">
        <is>
          <t>Absolute-Snow.co.uk</t>
        </is>
      </c>
      <c r="AQ116" s="333" t="n">
        <v>375.83</v>
      </c>
      <c r="AR116" t="inlineStr">
        <is>
          <t>https://tinyurl.com/y8tepr25</t>
        </is>
      </c>
      <c r="AS116" s="314">
        <f>IF(LEFT(C116,1)=" ",RIGHT(C116,LEN(C116)-1),C116)</f>
        <v/>
      </c>
      <c r="AT116" s="281">
        <f>_xlfn.CONCAT(B116,AS116,D116,E116)</f>
        <v/>
      </c>
    </row>
    <row r="117">
      <c r="A117" t="inlineStr">
        <is>
          <t>21/22</t>
        </is>
      </c>
      <c r="B117" t="inlineStr">
        <is>
          <t xml:space="preserve"> Rossignol</t>
        </is>
      </c>
      <c r="C117" t="inlineStr">
        <is>
          <t>Experience 86 Basalt</t>
        </is>
      </c>
      <c r="D117" t="n">
        <v>176</v>
      </c>
      <c r="E117" t="inlineStr">
        <is>
          <t xml:space="preserve"> Unisex</t>
        </is>
      </c>
      <c r="F117" t="n">
        <v>176</v>
      </c>
      <c r="G117" t="n">
        <v>175.5</v>
      </c>
      <c r="H117" t="n">
        <v>137</v>
      </c>
      <c r="I117" t="n">
        <v>161</v>
      </c>
      <c r="J117" t="n">
        <v>131</v>
      </c>
      <c r="K117" t="n">
        <v>84</v>
      </c>
      <c r="L117" t="n">
        <v>119</v>
      </c>
      <c r="M117" t="n">
        <v>15.4</v>
      </c>
      <c r="N117" t="n">
        <v>1911</v>
      </c>
      <c r="O117" t="n">
        <v>0.91</v>
      </c>
      <c r="P117" t="n">
        <v>1733</v>
      </c>
      <c r="Q117" t="n">
        <v>230</v>
      </c>
      <c r="R117" t="n">
        <v>92</v>
      </c>
      <c r="S117" t="n">
        <v>47</v>
      </c>
      <c r="T117" t="n">
        <v>258</v>
      </c>
      <c r="U117" t="n">
        <v>13</v>
      </c>
      <c r="V117" t="n">
        <v>126</v>
      </c>
      <c r="W117" t="n">
        <v>0.268999999999999</v>
      </c>
      <c r="X117" t="n">
        <v>73</v>
      </c>
      <c r="Y117" t="n">
        <v>67</v>
      </c>
      <c r="Z117" t="n">
        <v>184</v>
      </c>
      <c r="AA117" t="n">
        <v>10</v>
      </c>
      <c r="AB117" t="n">
        <v>6.9</v>
      </c>
      <c r="AC117" t="inlineStr">
        <is>
          <t xml:space="preserve"> Resort Freeride</t>
        </is>
      </c>
      <c r="AG117" t="inlineStr">
        <is>
          <t>Rossignol Experience 86 Basalt Mens Skis</t>
        </is>
      </c>
      <c r="AH117" t="inlineStr">
        <is>
          <t>UtahSkis</t>
        </is>
      </c>
      <c r="AI117" s="333" t="n">
        <v>479.96</v>
      </c>
      <c r="AJ117" t="inlineStr">
        <is>
          <t>https://tinyurl.com/y7t5khfh</t>
        </is>
      </c>
      <c r="AK117" t="inlineStr">
        <is>
          <t>Rossignol Experience 86 Basalt Skis | 176 | Christy Sports</t>
        </is>
      </c>
      <c r="AL117" t="inlineStr">
        <is>
          <t>Christy Sports</t>
        </is>
      </c>
      <c r="AM117" s="333" t="n">
        <v>599.95</v>
      </c>
      <c r="AN117" t="inlineStr">
        <is>
          <t>https://tinyurl.com/y8e28z3p</t>
        </is>
      </c>
      <c r="AO117" t="inlineStr">
        <is>
          <t>Rossignol Experience 86 Basalt Skis w/ Look SPX 12 Konect GW Bindings</t>
        </is>
      </c>
      <c r="AP117" t="inlineStr">
        <is>
          <t>The-House.com</t>
        </is>
      </c>
      <c r="AQ117" s="333" t="n">
        <v>639.95</v>
      </c>
      <c r="AR117" t="inlineStr">
        <is>
          <t>https://www.google.com/url?q=https://www.the-house.com/roe8bmbc149958zz-rossignol-ski-packages%3Futm_source%3Dfroogle%26utm_medium%3Dppc%26utm_campaign%3Dshopcomparefeed&amp;sa=U&amp;ved=0ahUKEwjTsreYtO72AhWVKEQIHUhUC7AQ2SkIeg&amp;usg=AOvVaw2Ljx26fRAidRGojU2Y9UW6</t>
        </is>
      </c>
      <c r="AS117" s="314">
        <f>IF(LEFT(C117,1)=" ",RIGHT(C117,LEN(C117)-1),C117)</f>
        <v/>
      </c>
      <c r="AT117" s="281">
        <f>_xlfn.CONCAT(B117,AS117,D117,E117)</f>
        <v/>
      </c>
    </row>
    <row r="118">
      <c r="A118" t="inlineStr">
        <is>
          <t>21/22</t>
        </is>
      </c>
      <c r="B118" t="inlineStr">
        <is>
          <t xml:space="preserve"> Liberty</t>
        </is>
      </c>
      <c r="C118" t="inlineStr">
        <is>
          <t>Evolv 90</t>
        </is>
      </c>
      <c r="D118" t="n">
        <v>172</v>
      </c>
      <c r="E118" t="inlineStr">
        <is>
          <t xml:space="preserve"> Unisex</t>
        </is>
      </c>
      <c r="F118" t="n">
        <v>172</v>
      </c>
      <c r="G118" t="n">
        <v>171.9</v>
      </c>
      <c r="H118" t="n">
        <v>140</v>
      </c>
      <c r="I118" t="n">
        <v>152</v>
      </c>
      <c r="J118" t="n">
        <v>130</v>
      </c>
      <c r="K118" t="n">
        <v>89</v>
      </c>
      <c r="L118" t="n">
        <v>113</v>
      </c>
      <c r="M118" t="n">
        <v>17.3</v>
      </c>
      <c r="N118" t="n">
        <v>1655</v>
      </c>
      <c r="O118" t="n">
        <v>1.06</v>
      </c>
      <c r="P118" t="n">
        <v>1748</v>
      </c>
      <c r="Q118" t="n">
        <v>199</v>
      </c>
      <c r="R118" t="n">
        <v>101</v>
      </c>
      <c r="S118" t="n">
        <v>36</v>
      </c>
      <c r="T118" t="n">
        <v>192</v>
      </c>
      <c r="U118" t="n">
        <v>9</v>
      </c>
      <c r="V118" t="n">
        <v>128</v>
      </c>
      <c r="W118" t="n">
        <v>0.253</v>
      </c>
      <c r="X118" t="n">
        <v>114</v>
      </c>
      <c r="Y118" t="n">
        <v>84</v>
      </c>
      <c r="Z118" t="n">
        <v>79</v>
      </c>
      <c r="AA118" t="n">
        <v>11</v>
      </c>
      <c r="AB118" t="n">
        <v>10.4</v>
      </c>
      <c r="AC118" t="inlineStr">
        <is>
          <t xml:space="preserve"> Resort Freeride</t>
        </is>
      </c>
      <c r="AD118" t="inlineStr">
        <is>
          <t xml:space="preserve"> Touring</t>
        </is>
      </c>
      <c r="AG118" t="inlineStr">
        <is>
          <t>Men's Liberty Evolv 90 Skis</t>
        </is>
      </c>
      <c r="AH118" t="inlineStr">
        <is>
          <t>REI</t>
        </is>
      </c>
      <c r="AI118" s="333" t="n">
        <v>485.93</v>
      </c>
      <c r="AJ118" t="inlineStr">
        <is>
          <t>https://tinyurl.com/y7uhnkb2</t>
        </is>
      </c>
      <c r="AK118" t="inlineStr">
        <is>
          <t>Evolv 90 - 2023 172</t>
        </is>
      </c>
      <c r="AL118" t="inlineStr">
        <is>
          <t>Liberty Skis</t>
        </is>
      </c>
      <c r="AM118" s="333" t="n">
        <v>729.99</v>
      </c>
      <c r="AN118" t="inlineStr">
        <is>
          <t>https://tinyurl.com/y7scwbvl</t>
        </is>
      </c>
      <c r="AO118" t="inlineStr">
        <is>
          <t>2021 Liberty Evolv100 Skis W/ Marker 11.0 Tp Bindings 172 Cm</t>
        </is>
      </c>
      <c r="AP118" t="inlineStr">
        <is>
          <t>eBay</t>
        </is>
      </c>
      <c r="AQ118" s="333" t="n">
        <v>499.99</v>
      </c>
      <c r="AR118" t="inlineStr">
        <is>
          <t>https://tinyurl.com/yb2nebkt</t>
        </is>
      </c>
      <c r="AS118" s="314">
        <f>IF(LEFT(C118,1)=" ",RIGHT(C118,LEN(C118)-1),C118)</f>
        <v/>
      </c>
      <c r="AT118" s="281">
        <f>_xlfn.CONCAT(B118,AS118,D118,E118)</f>
        <v/>
      </c>
    </row>
    <row r="119">
      <c r="A119" t="inlineStr">
        <is>
          <t>21/22</t>
        </is>
      </c>
      <c r="B119" t="inlineStr">
        <is>
          <t xml:space="preserve"> Faction</t>
        </is>
      </c>
      <c r="C119" t="inlineStr">
        <is>
          <t>Dictator FG 1.0</t>
        </is>
      </c>
      <c r="D119" t="n">
        <v>178</v>
      </c>
      <c r="E119" t="inlineStr">
        <is>
          <t xml:space="preserve"> Unisex</t>
        </is>
      </c>
      <c r="F119" t="n">
        <v>178</v>
      </c>
      <c r="G119" t="n">
        <v>176.5</v>
      </c>
      <c r="H119" t="n">
        <v>139</v>
      </c>
      <c r="I119" t="n">
        <v>151</v>
      </c>
      <c r="J119" t="n">
        <v>119</v>
      </c>
      <c r="K119" t="n">
        <v>85</v>
      </c>
      <c r="L119" t="n">
        <v>109</v>
      </c>
      <c r="M119" t="n">
        <v>18.8</v>
      </c>
      <c r="N119" t="n">
        <v>1648</v>
      </c>
      <c r="O119" t="n">
        <v>1.03</v>
      </c>
      <c r="P119" t="n">
        <v>1703</v>
      </c>
      <c r="Q119" t="n">
        <v>216</v>
      </c>
      <c r="R119" t="n">
        <v>96</v>
      </c>
      <c r="S119" t="n">
        <v>48</v>
      </c>
      <c r="T119" t="n">
        <v>226</v>
      </c>
      <c r="U119" t="n">
        <v>17</v>
      </c>
      <c r="V119" t="n">
        <v>146</v>
      </c>
      <c r="W119" t="n">
        <v>0.345</v>
      </c>
      <c r="X119" t="n">
        <v>157</v>
      </c>
      <c r="Y119" t="n">
        <v>97</v>
      </c>
      <c r="Z119" t="n">
        <v>69</v>
      </c>
      <c r="AA119" t="n">
        <v>9</v>
      </c>
      <c r="AB119" t="n">
        <v>10.3</v>
      </c>
      <c r="AC119" t="inlineStr">
        <is>
          <t xml:space="preserve"> On-Piste All-Mountain</t>
        </is>
      </c>
      <c r="AD119" t="inlineStr">
        <is>
          <t xml:space="preserve"> Resort Freeride</t>
        </is>
      </c>
      <c r="AG119" t="inlineStr">
        <is>
          <t>Faction Dictator 1.0 FG Skis- 2022</t>
        </is>
      </c>
      <c r="AH119" t="inlineStr">
        <is>
          <t>Next Adventure</t>
        </is>
      </c>
      <c r="AI119" s="333" t="n">
        <v>479.2</v>
      </c>
      <c r="AJ119" t="inlineStr">
        <is>
          <t>https://tinyurl.com/y745m9n8</t>
        </is>
      </c>
      <c r="AK119" t="inlineStr">
        <is>
          <t>Faction Chapter 1.0 Skis</t>
        </is>
      </c>
      <c r="AL119" t="inlineStr">
        <is>
          <t>The Locals Sale</t>
        </is>
      </c>
      <c r="AM119" s="333" t="n">
        <v>222</v>
      </c>
      <c r="AN119" t="inlineStr">
        <is>
          <t>https://tinyurl.com/y9p6gwwm</t>
        </is>
      </c>
      <c r="AO119" t="inlineStr">
        <is>
          <t xml:space="preserve"> Faction Candide 1.0 178 cm Mens Downhill Ski Combo</t>
        </is>
      </c>
      <c r="AP119" t="inlineStr">
        <is>
          <t>Play It Again Sports</t>
        </is>
      </c>
      <c r="AQ119" s="333" t="n">
        <v>429.99</v>
      </c>
      <c r="AR119" t="inlineStr">
        <is>
          <t>https://tinyurl.com/ycglhgsw</t>
        </is>
      </c>
      <c r="AS119" s="314">
        <f>IF(LEFT(C119,1)=" ",RIGHT(C119,LEN(C119)-1),C119)</f>
        <v/>
      </c>
      <c r="AT119" s="281">
        <f>_xlfn.CONCAT(B119,AS119,D119,E119)</f>
        <v/>
      </c>
    </row>
    <row r="120">
      <c r="A120" t="inlineStr">
        <is>
          <t>21/22</t>
        </is>
      </c>
      <c r="B120" t="inlineStr">
        <is>
          <t xml:space="preserve"> Vï¿½lkl</t>
        </is>
      </c>
      <c r="C120" t="inlineStr">
        <is>
          <t>Deacon 79</t>
        </is>
      </c>
      <c r="D120" t="n">
        <v>177</v>
      </c>
      <c r="E120" t="inlineStr">
        <is>
          <t xml:space="preserve"> Unisex</t>
        </is>
      </c>
      <c r="F120" t="n">
        <v>177</v>
      </c>
      <c r="G120" t="n">
        <v>177</v>
      </c>
      <c r="H120" t="n">
        <v>158</v>
      </c>
      <c r="I120" t="n">
        <v>165</v>
      </c>
      <c r="J120" t="n">
        <v>128</v>
      </c>
      <c r="K120" t="n">
        <v>78</v>
      </c>
      <c r="L120" t="n">
        <v>108</v>
      </c>
      <c r="M120" t="n">
        <v>17.1</v>
      </c>
      <c r="N120" t="n">
        <v>1831</v>
      </c>
      <c r="O120" t="n">
        <v>0.89</v>
      </c>
      <c r="P120" t="n">
        <v>1637</v>
      </c>
      <c r="Q120" t="n">
        <v>215</v>
      </c>
      <c r="R120" t="n">
        <v>79</v>
      </c>
      <c r="S120" t="n">
        <v>34</v>
      </c>
      <c r="T120" t="n">
        <v>126</v>
      </c>
      <c r="U120" t="n">
        <v>5</v>
      </c>
      <c r="V120" t="n">
        <v>65</v>
      </c>
      <c r="W120" t="n">
        <v>0.159</v>
      </c>
      <c r="X120" t="n">
        <v>69</v>
      </c>
      <c r="Y120" t="n">
        <v>50</v>
      </c>
      <c r="Z120" t="n">
        <v>57</v>
      </c>
      <c r="AA120" t="n">
        <v>7</v>
      </c>
      <c r="AB120" t="n">
        <v>11.6</v>
      </c>
      <c r="AC120" t="inlineStr">
        <is>
          <t xml:space="preserve"> On-Piste Carving</t>
        </is>
      </c>
      <c r="AG120" t="inlineStr">
        <is>
          <t>Volkl Deacon 79 Skis with IPT XL 12 TCX GW Bindings 177cm</t>
        </is>
      </c>
      <c r="AH120" t="inlineStr">
        <is>
          <t>The-House.com</t>
        </is>
      </c>
      <c r="AI120" s="333" t="n">
        <v>799.99</v>
      </c>
      <c r="AJ120" t="inlineStr">
        <is>
          <t>https://tinyurl.com/yd5mavwt</t>
        </is>
      </c>
      <c r="AK120" t="inlineStr">
        <is>
          <t>Volkl Deacon 79 Skis with IPT XL 12 TCX GW Bindings 177cm</t>
        </is>
      </c>
      <c r="AL120" t="inlineStr">
        <is>
          <t>BobsSportsChalet.com</t>
        </is>
      </c>
      <c r="AM120" s="333" t="n">
        <v>799.99</v>
      </c>
      <c r="AN120" t="inlineStr">
        <is>
          <t>https://tinyurl.com/y8q6q8kg</t>
        </is>
      </c>
      <c r="AO120" t="inlineStr">
        <is>
          <t>Volkl Deacon 80 Skis</t>
        </is>
      </c>
      <c r="AP120" t="inlineStr">
        <is>
          <t>Cole Sport</t>
        </is>
      </c>
      <c r="AQ120" s="333" t="n">
        <v>719.99</v>
      </c>
      <c r="AR120" t="inlineStr">
        <is>
          <t>https://tinyurl.com/y89n4gnr</t>
        </is>
      </c>
      <c r="AS120" s="314">
        <f>IF(LEFT(C120,1)=" ",RIGHT(C120,LEN(C120)-1),C120)</f>
        <v/>
      </c>
      <c r="AT120" s="281">
        <f>_xlfn.CONCAT(B120,AS120,D120,E120)</f>
        <v/>
      </c>
    </row>
    <row r="121">
      <c r="A121" t="inlineStr">
        <is>
          <t>21/22</t>
        </is>
      </c>
      <c r="B121" t="inlineStr">
        <is>
          <t xml:space="preserve"> DPS</t>
        </is>
      </c>
      <c r="C121" t="inlineStr">
        <is>
          <t>Pagoda 100 RP</t>
        </is>
      </c>
      <c r="D121" t="n">
        <v>171</v>
      </c>
      <c r="E121" t="inlineStr">
        <is>
          <t xml:space="preserve"> Unisex</t>
        </is>
      </c>
      <c r="F121" t="n">
        <v>171</v>
      </c>
      <c r="G121" t="n">
        <v>169.1</v>
      </c>
      <c r="H121" t="n">
        <v>112</v>
      </c>
      <c r="I121" t="n">
        <v>124</v>
      </c>
      <c r="J121" t="n">
        <v>129</v>
      </c>
      <c r="K121" t="n">
        <v>100</v>
      </c>
      <c r="L121" t="n">
        <v>115</v>
      </c>
      <c r="M121" t="n">
        <v>15</v>
      </c>
      <c r="N121" t="n">
        <v>1718</v>
      </c>
      <c r="O121" t="n">
        <v>1.08</v>
      </c>
      <c r="P121" t="n">
        <v>1858</v>
      </c>
      <c r="Q121" t="n">
        <v>192</v>
      </c>
      <c r="R121" t="n">
        <v>99</v>
      </c>
      <c r="S121" t="n">
        <v>56</v>
      </c>
      <c r="T121" t="n">
        <v>335</v>
      </c>
      <c r="U121" t="n">
        <v>26</v>
      </c>
      <c r="V121" t="n">
        <v>233</v>
      </c>
      <c r="W121" t="n">
        <v>0.456</v>
      </c>
      <c r="X121" t="n">
        <v>237</v>
      </c>
      <c r="Y121" t="n">
        <v>211</v>
      </c>
      <c r="Z121" t="n">
        <v>98</v>
      </c>
      <c r="AA121" t="n">
        <v>8</v>
      </c>
      <c r="AB121" t="n">
        <v>12.4</v>
      </c>
      <c r="AC121" t="inlineStr">
        <is>
          <t xml:space="preserve"> Resort Freeride</t>
        </is>
      </c>
      <c r="AD121" t="inlineStr">
        <is>
          <t xml:space="preserve"> Touring</t>
        </is>
      </c>
      <c r="AG121" t="inlineStr">
        <is>
          <t>DPS Pagoda 100 RP Skis - 2022</t>
        </is>
      </c>
      <c r="AH121" t="inlineStr">
        <is>
          <t>Next Adventure</t>
        </is>
      </c>
      <c r="AI121" s="333" t="n">
        <v>1039.2</v>
      </c>
      <c r="AJ121" t="inlineStr">
        <is>
          <t>https://tinyurl.com/ydd2c4q8</t>
        </is>
      </c>
      <c r="AK121" t="inlineStr">
        <is>
          <t>DPS Pagoda 100 RP Orange Skis 171cm 2022</t>
        </is>
      </c>
      <c r="AL121" t="inlineStr">
        <is>
          <t>Powder7 Ski Shop</t>
        </is>
      </c>
      <c r="AM121" s="333" t="n">
        <v>1039.93</v>
      </c>
      <c r="AN121" t="inlineStr">
        <is>
          <t>https://tinyurl.com/ydc72el9</t>
        </is>
      </c>
      <c r="AO121" t="inlineStr">
        <is>
          <t>DPS Pagoda 100 RP Orange Skis 171cm 2022</t>
        </is>
      </c>
      <c r="AP121" t="inlineStr">
        <is>
          <t>Backcountry.com</t>
        </is>
      </c>
      <c r="AQ121" s="333" t="n">
        <v>1299</v>
      </c>
      <c r="AR121" t="inlineStr">
        <is>
          <t>https://tinyurl.com/yadfzffo</t>
        </is>
      </c>
      <c r="AS121" s="314">
        <f>IF(LEFT(C121,1)=" ",RIGHT(C121,LEN(C121)-1),C121)</f>
        <v/>
      </c>
      <c r="AT121" s="281">
        <f>_xlfn.CONCAT(B121,AS121,D121,E121)</f>
        <v/>
      </c>
    </row>
    <row r="122">
      <c r="A122" t="inlineStr">
        <is>
          <t>21/22</t>
        </is>
      </c>
      <c r="B122" t="inlineStr">
        <is>
          <t xml:space="preserve"> Liberty</t>
        </is>
      </c>
      <c r="C122" t="inlineStr">
        <is>
          <t>Evolv 90W</t>
        </is>
      </c>
      <c r="D122" t="n">
        <v>158</v>
      </c>
      <c r="E122" t="inlineStr">
        <is>
          <t xml:space="preserve"> Women's</t>
        </is>
      </c>
      <c r="F122" t="n">
        <v>158</v>
      </c>
      <c r="G122" t="n">
        <v>157.5</v>
      </c>
      <c r="H122" t="n">
        <v>125</v>
      </c>
      <c r="I122" t="n">
        <v>137</v>
      </c>
      <c r="J122" t="n">
        <v>131</v>
      </c>
      <c r="K122" t="n">
        <v>90</v>
      </c>
      <c r="L122" t="n">
        <v>113</v>
      </c>
      <c r="M122" t="n">
        <v>14</v>
      </c>
      <c r="N122" t="n">
        <v>1547</v>
      </c>
      <c r="O122" t="n">
        <v>1.04</v>
      </c>
      <c r="P122" t="n">
        <v>1614</v>
      </c>
      <c r="Q122" t="n">
        <v>178</v>
      </c>
      <c r="R122" t="n">
        <v>97</v>
      </c>
      <c r="S122" t="n">
        <v>36</v>
      </c>
      <c r="T122" t="n">
        <v>202</v>
      </c>
      <c r="U122" t="n">
        <v>11</v>
      </c>
      <c r="V122" t="n">
        <v>120</v>
      </c>
      <c r="W122" t="n">
        <v>0.296</v>
      </c>
      <c r="X122" t="n">
        <v>111</v>
      </c>
      <c r="Y122" t="n">
        <v>91</v>
      </c>
      <c r="Z122" t="n">
        <v>91</v>
      </c>
      <c r="AA122" t="n">
        <v>7</v>
      </c>
      <c r="AB122" t="n">
        <v>11</v>
      </c>
      <c r="AC122" t="inlineStr">
        <is>
          <t xml:space="preserve"> Resort Freeride</t>
        </is>
      </c>
      <c r="AG122" t="inlineStr">
        <is>
          <t>Evolv 90W - 2023 158</t>
        </is>
      </c>
      <c r="AH122" t="inlineStr">
        <is>
          <t>Liberty Skis</t>
        </is>
      </c>
      <c r="AI122" s="333" t="n">
        <v>649.99</v>
      </c>
      <c r="AJ122" t="inlineStr">
        <is>
          <t>https://tinyurl.com/y82wlcbo</t>
        </is>
      </c>
      <c r="AK122" t="inlineStr">
        <is>
          <t>'21 Liberty Genesis 90 Skis 158cm</t>
        </is>
      </c>
      <c r="AL122" t="inlineStr">
        <is>
          <t>Al's Ski Equipment Barn</t>
        </is>
      </c>
      <c r="AM122" s="333" t="n">
        <v>399.95</v>
      </c>
      <c r="AN122" t="inlineStr">
        <is>
          <t>https://tinyurl.com/yav9whud</t>
        </is>
      </c>
      <c r="AO122" t="inlineStr">
        <is>
          <t>Liberty Genesis 90 Women's Skis</t>
        </is>
      </c>
      <c r="AP122" t="inlineStr">
        <is>
          <t>ColoradoSkiShop.com</t>
        </is>
      </c>
      <c r="AQ122" s="333" t="n">
        <v>499.95</v>
      </c>
      <c r="AR122" t="inlineStr">
        <is>
          <t>https://tinyurl.com/ycnjw85b</t>
        </is>
      </c>
      <c r="AS122" s="314">
        <f>IF(LEFT(C122,1)=" ",RIGHT(C122,LEN(C122)-1),C122)</f>
        <v/>
      </c>
      <c r="AT122" s="281">
        <f>_xlfn.CONCAT(B122,AS122,D122,E122)</f>
        <v/>
      </c>
    </row>
    <row r="123">
      <c r="A123" t="inlineStr">
        <is>
          <t>21/22</t>
        </is>
      </c>
      <c r="B123" t="inlineStr">
        <is>
          <t xml:space="preserve"> Line</t>
        </is>
      </c>
      <c r="C123" t="inlineStr">
        <is>
          <t>Sick Day 104</t>
        </is>
      </c>
      <c r="D123" t="n">
        <v>179</v>
      </c>
      <c r="E123" t="inlineStr">
        <is>
          <t xml:space="preserve"> Unisex</t>
        </is>
      </c>
      <c r="F123" t="n">
        <v>179</v>
      </c>
      <c r="G123" t="n">
        <v>179</v>
      </c>
      <c r="H123" t="n">
        <v>126</v>
      </c>
      <c r="I123" t="n">
        <v>140</v>
      </c>
      <c r="J123" t="n">
        <v>136</v>
      </c>
      <c r="K123" t="n">
        <v>103</v>
      </c>
      <c r="L123" t="n">
        <v>121</v>
      </c>
      <c r="M123" t="n">
        <v>18.1</v>
      </c>
      <c r="N123" t="n">
        <v>1769</v>
      </c>
      <c r="O123" t="n">
        <v>1.15</v>
      </c>
      <c r="P123" t="n">
        <v>2031</v>
      </c>
      <c r="Q123" t="n">
        <v>183</v>
      </c>
      <c r="R123" t="n">
        <v>98</v>
      </c>
      <c r="S123" t="n">
        <v>47</v>
      </c>
      <c r="T123" t="n">
        <v>326</v>
      </c>
      <c r="U123" t="n">
        <v>19</v>
      </c>
      <c r="V123" t="n">
        <v>202</v>
      </c>
      <c r="W123" t="n">
        <v>0.41</v>
      </c>
      <c r="X123" t="n">
        <v>193</v>
      </c>
      <c r="Y123" t="n">
        <v>198</v>
      </c>
      <c r="Z123" t="n">
        <v>133</v>
      </c>
      <c r="AA123" t="n">
        <v>6</v>
      </c>
      <c r="AB123" t="n">
        <v>10.6</v>
      </c>
      <c r="AC123" t="inlineStr">
        <is>
          <t xml:space="preserve"> Resort Freeride</t>
        </is>
      </c>
      <c r="AD123" t="inlineStr">
        <is>
          <t xml:space="preserve"> Powder</t>
        </is>
      </c>
      <c r="AE123" t="inlineStr">
        <is>
          <t xml:space="preserve"> Touring</t>
        </is>
      </c>
      <c r="AG123" t="inlineStr">
        <is>
          <t>Line 2022 Sick Day 104 Skis</t>
        </is>
      </c>
      <c r="AH123" t="inlineStr">
        <is>
          <t>Surfdome US</t>
        </is>
      </c>
      <c r="AI123" s="333" t="n">
        <v>418.95</v>
      </c>
      <c r="AJ123" t="inlineStr">
        <is>
          <t>https://tinyurl.com/y7ytvoc6</t>
        </is>
      </c>
      <c r="AK123" t="inlineStr">
        <is>
          <t>Line 2022 Sick Day 104 Skis</t>
        </is>
      </c>
      <c r="AL123" t="inlineStr">
        <is>
          <t>! OutdoorXL.com</t>
        </is>
      </c>
      <c r="AM123" s="333" t="n">
        <v>424.95</v>
      </c>
      <c r="AN123" t="inlineStr">
        <is>
          <t>https://tinyurl.com/ybshbh7j</t>
        </is>
      </c>
      <c r="AO123" t="inlineStr">
        <is>
          <t>Line 2022 Sick Day 104 Skis</t>
        </is>
      </c>
      <c r="AP123" t="inlineStr">
        <is>
          <t>Next Adventure</t>
        </is>
      </c>
      <c r="AQ123" s="333" t="n">
        <v>479.96</v>
      </c>
      <c r="AR123" t="inlineStr">
        <is>
          <t>https://tinyurl.com/y7x6cb28</t>
        </is>
      </c>
      <c r="AS123" s="314">
        <f>IF(LEFT(C123,1)=" ",RIGHT(C123,LEN(C123)-1),C123)</f>
        <v/>
      </c>
      <c r="AT123" s="281">
        <f>_xlfn.CONCAT(B123,AS123,D123,E123)</f>
        <v/>
      </c>
    </row>
    <row r="124">
      <c r="A124" t="inlineStr">
        <is>
          <t>21/22</t>
        </is>
      </c>
      <c r="B124" t="inlineStr">
        <is>
          <t xml:space="preserve"> Black Diamond</t>
        </is>
      </c>
      <c r="C124" t="inlineStr">
        <is>
          <t>Impulse 98</t>
        </is>
      </c>
      <c r="D124" t="n">
        <v>182</v>
      </c>
      <c r="E124" t="inlineStr">
        <is>
          <t xml:space="preserve"> Unisex</t>
        </is>
      </c>
      <c r="F124" t="n">
        <v>182</v>
      </c>
      <c r="G124" t="n">
        <v>182.6</v>
      </c>
      <c r="H124" t="n">
        <v>130</v>
      </c>
      <c r="I124" t="n">
        <v>148</v>
      </c>
      <c r="J124" t="n">
        <v>131</v>
      </c>
      <c r="K124" t="n">
        <v>97</v>
      </c>
      <c r="L124" t="n">
        <v>118</v>
      </c>
      <c r="M124" t="n">
        <v>17.9</v>
      </c>
      <c r="N124" t="n">
        <v>1920</v>
      </c>
      <c r="O124" t="n">
        <v>1.03</v>
      </c>
      <c r="P124" t="n">
        <v>1975</v>
      </c>
      <c r="Q124" t="n">
        <v>224</v>
      </c>
      <c r="R124" t="n">
        <v>96</v>
      </c>
      <c r="S124" t="n">
        <v>46</v>
      </c>
      <c r="T124" t="n">
        <v>300</v>
      </c>
      <c r="U124" t="n">
        <v>25</v>
      </c>
      <c r="V124" t="n">
        <v>223</v>
      </c>
      <c r="W124" t="n">
        <v>0.552</v>
      </c>
      <c r="X124" t="n">
        <v>215</v>
      </c>
      <c r="Y124" t="n">
        <v>135</v>
      </c>
      <c r="Z124" t="n">
        <v>85</v>
      </c>
      <c r="AA124" t="n">
        <v>6</v>
      </c>
      <c r="AB124" t="n">
        <v>8.9</v>
      </c>
      <c r="AC124" t="inlineStr">
        <is>
          <t xml:space="preserve"> Resort Freeride</t>
        </is>
      </c>
      <c r="AG124" t="inlineStr">
        <is>
          <t>Black Diamond Impulse 98 NO COLOR / 182</t>
        </is>
      </c>
      <c r="AH124" t="inlineStr">
        <is>
          <t>Neptune Mountaineering</t>
        </is>
      </c>
      <c r="AI124" s="333" t="n">
        <v>490</v>
      </c>
      <c r="AJ124" t="inlineStr">
        <is>
          <t>https://tinyurl.com/y9jpfdsy</t>
        </is>
      </c>
      <c r="AK124" t="inlineStr">
        <is>
          <t>Black Diamond Impulse 98 Skis</t>
        </is>
      </c>
      <c r="AL124" t="inlineStr">
        <is>
          <t>PRFO Sports</t>
        </is>
      </c>
      <c r="AM124" s="333" t="n">
        <v>513.27</v>
      </c>
      <c r="AN124" t="inlineStr">
        <is>
          <t>https://tinyurl.com/y9hko5fk</t>
        </is>
      </c>
      <c r="AO124" t="inlineStr">
        <is>
          <t>Black Diamond Impulse 98 Skis</t>
        </is>
      </c>
      <c r="AP124" t="inlineStr">
        <is>
          <t>Moosejaw</t>
        </is>
      </c>
      <c r="AQ124" s="333" t="n">
        <v>524.99</v>
      </c>
      <c r="AR124" t="inlineStr">
        <is>
          <t>https://tinyurl.com/y7uybr2x</t>
        </is>
      </c>
      <c r="AS124" s="314">
        <f>IF(LEFT(C124,1)=" ",RIGHT(C124,LEN(C124)-1),C124)</f>
        <v/>
      </c>
      <c r="AT124" s="281">
        <f>_xlfn.CONCAT(B124,AS124,D124,E124)</f>
        <v/>
      </c>
    </row>
    <row r="125">
      <c r="A125" t="inlineStr">
        <is>
          <t>21/22</t>
        </is>
      </c>
      <c r="B125" t="inlineStr">
        <is>
          <t>K2</t>
        </is>
      </c>
      <c r="C125" t="inlineStr">
        <is>
          <t>Wayback 106</t>
        </is>
      </c>
      <c r="D125" t="n">
        <v>186</v>
      </c>
      <c r="E125" t="inlineStr">
        <is>
          <t xml:space="preserve"> Unisex</t>
        </is>
      </c>
      <c r="F125" t="n">
        <v>186</v>
      </c>
      <c r="G125" t="n">
        <v>185.7</v>
      </c>
      <c r="H125" t="n">
        <v>129</v>
      </c>
      <c r="I125" t="n">
        <v>152</v>
      </c>
      <c r="J125" t="n">
        <v>136</v>
      </c>
      <c r="K125" t="n">
        <v>105</v>
      </c>
      <c r="L125" t="n">
        <v>123</v>
      </c>
      <c r="M125" t="n">
        <v>23.7</v>
      </c>
      <c r="N125" t="n">
        <v>1680</v>
      </c>
      <c r="O125" t="n">
        <v>1.26</v>
      </c>
      <c r="P125" t="n">
        <v>2121</v>
      </c>
      <c r="Q125" t="n">
        <v>224</v>
      </c>
      <c r="R125" t="n">
        <v>115</v>
      </c>
      <c r="S125" t="n">
        <v>42</v>
      </c>
      <c r="T125" t="n">
        <v>358</v>
      </c>
      <c r="U125" t="n">
        <v>13</v>
      </c>
      <c r="V125" t="n">
        <v>210</v>
      </c>
      <c r="W125" t="n">
        <v>0.318</v>
      </c>
      <c r="X125" t="n">
        <v>195</v>
      </c>
      <c r="Y125" t="n">
        <v>138</v>
      </c>
      <c r="Z125" t="n">
        <v>163</v>
      </c>
      <c r="AA125" t="n">
        <v>6</v>
      </c>
      <c r="AB125" t="n">
        <v>12.9</v>
      </c>
      <c r="AC125" t="inlineStr">
        <is>
          <t xml:space="preserve"> Big Mountain</t>
        </is>
      </c>
      <c r="AD125" t="inlineStr">
        <is>
          <t xml:space="preserve"> Touring</t>
        </is>
      </c>
      <c r="AE125" t="inlineStr">
        <is>
          <t xml:space="preserve"> Ultralight Touring</t>
        </is>
      </c>
      <c r="AG125" t="inlineStr">
        <is>
          <t>K2 Wayback 106 Ski 2022</t>
        </is>
      </c>
      <c r="AH125" t="inlineStr">
        <is>
          <t>Snowcountry.eu</t>
        </is>
      </c>
      <c r="AI125" s="333" t="n">
        <v>367.9</v>
      </c>
      <c r="AJ125" t="inlineStr">
        <is>
          <t>https://tinyurl.com/yc2skb8t</t>
        </is>
      </c>
      <c r="AK125" t="inlineStr">
        <is>
          <t>K2 Wayback 106 Ski 2022</t>
        </is>
      </c>
      <c r="AL125" t="inlineStr">
        <is>
          <t>Bobleisure</t>
        </is>
      </c>
      <c r="AM125" s="333" t="n">
        <v>470.29</v>
      </c>
      <c r="AN125" t="inlineStr">
        <is>
          <t>https://tinyurl.com/y7er4kcq</t>
        </is>
      </c>
      <c r="AO125" t="inlineStr">
        <is>
          <t>K2 Wayback 106 Touring Skis 186</t>
        </is>
      </c>
      <c r="AP125" t="inlineStr">
        <is>
          <t>Snowinn.com</t>
        </is>
      </c>
      <c r="AQ125" s="333" t="n">
        <v>470.99</v>
      </c>
      <c r="AR125" t="inlineStr">
        <is>
          <t>https://tinyurl.com/y8gw6czz</t>
        </is>
      </c>
      <c r="AS125" s="314">
        <f>IF(LEFT(C125,1)=" ",RIGHT(C125,LEN(C125)-1),C125)</f>
        <v/>
      </c>
      <c r="AT125" s="281">
        <f>_xlfn.CONCAT(B125,AS125,D125,E125)</f>
        <v/>
      </c>
    </row>
    <row r="126">
      <c r="A126" t="inlineStr">
        <is>
          <t>21/22</t>
        </is>
      </c>
      <c r="B126" t="inlineStr">
        <is>
          <t xml:space="preserve"> Stï¿½ckli</t>
        </is>
      </c>
      <c r="C126" t="inlineStr">
        <is>
          <t>Nela 96</t>
        </is>
      </c>
      <c r="D126" t="n">
        <v>156</v>
      </c>
      <c r="E126" t="inlineStr">
        <is>
          <t xml:space="preserve"> Women's</t>
        </is>
      </c>
      <c r="F126" t="n">
        <v>156</v>
      </c>
      <c r="G126" t="n">
        <v>155.3</v>
      </c>
      <c r="H126" t="n">
        <v>126</v>
      </c>
      <c r="I126" t="n">
        <v>134</v>
      </c>
      <c r="J126" t="n">
        <v>133</v>
      </c>
      <c r="K126" t="n">
        <v>96</v>
      </c>
      <c r="L126" t="n">
        <v>120</v>
      </c>
      <c r="M126" t="n">
        <v>13.6</v>
      </c>
      <c r="N126" t="n">
        <v>1585</v>
      </c>
      <c r="O126" t="n">
        <v>1.06</v>
      </c>
      <c r="P126" t="n">
        <v>1673</v>
      </c>
      <c r="Q126" t="n">
        <v>168</v>
      </c>
      <c r="R126" t="n">
        <v>95</v>
      </c>
      <c r="S126" t="n">
        <v>45</v>
      </c>
      <c r="T126" t="n">
        <v>211</v>
      </c>
      <c r="U126" t="n">
        <v>9</v>
      </c>
      <c r="V126" t="n">
        <v>79</v>
      </c>
      <c r="W126" t="n">
        <v>0.196999999999999</v>
      </c>
      <c r="X126" t="n">
        <v>155</v>
      </c>
      <c r="Y126" t="n">
        <v>55</v>
      </c>
      <c r="Z126" t="n">
        <v>55</v>
      </c>
      <c r="AA126" t="n">
        <v>4</v>
      </c>
      <c r="AB126" t="n">
        <v>12.7</v>
      </c>
      <c r="AC126" t="inlineStr">
        <is>
          <t xml:space="preserve"> Resort Freeride</t>
        </is>
      </c>
      <c r="AD126" t="inlineStr">
        <is>
          <t xml:space="preserve"> Touring</t>
        </is>
      </c>
      <c r="AG126" t="inlineStr">
        <is>
          <t>Stockli Nela 96 Skis - Women's 2022 156cm</t>
        </is>
      </c>
      <c r="AH126" t="inlineStr">
        <is>
          <t>Glacier Ski Shop</t>
        </is>
      </c>
      <c r="AI126" s="333" t="n">
        <v>1049</v>
      </c>
      <c r="AJ126" t="inlineStr">
        <is>
          <t>https://tinyurl.com/y8cz9wdz</t>
        </is>
      </c>
      <c r="AK126" t="inlineStr">
        <is>
          <t>Stockli Nela 96 Women's All Mountain Wide Skis 20/21 156 cm</t>
        </is>
      </c>
      <c r="AL126" t="inlineStr">
        <is>
          <t>Utah SKI Gear</t>
        </is>
      </c>
      <c r="AM126" s="333" t="n">
        <v>1049</v>
      </c>
      <c r="AN126" t="inlineStr">
        <is>
          <t>https://tinyurl.com/ybyeecrv</t>
        </is>
      </c>
      <c r="AO126" t="inlineStr">
        <is>
          <t>Stockli Nela 96 Womens Skis 2023 156</t>
        </is>
      </c>
      <c r="AP126" t="inlineStr">
        <is>
          <t>Ski Depot RaceSkis.com</t>
        </is>
      </c>
      <c r="AQ126" s="333" t="n">
        <v>1149</v>
      </c>
      <c r="AR126" t="inlineStr">
        <is>
          <t>https://tinyurl.com/ya4s9mlg</t>
        </is>
      </c>
      <c r="AS126" s="314">
        <f>IF(LEFT(C126,1)=" ",RIGHT(C126,LEN(C126)-1),C126)</f>
        <v/>
      </c>
      <c r="AT126" s="281">
        <f>_xlfn.CONCAT(B126,AS126,D126,E126)</f>
        <v/>
      </c>
    </row>
    <row r="127">
      <c r="A127" t="inlineStr">
        <is>
          <t>21/22</t>
        </is>
      </c>
      <c r="B127" t="inlineStr">
        <is>
          <t xml:space="preserve"> Icelantic</t>
        </is>
      </c>
      <c r="C127" t="inlineStr">
        <is>
          <t>Natural 101</t>
        </is>
      </c>
      <c r="D127" t="n">
        <v>171</v>
      </c>
      <c r="E127" t="inlineStr">
        <is>
          <t xml:space="preserve"> Unisex</t>
        </is>
      </c>
      <c r="F127" t="n">
        <v>171</v>
      </c>
      <c r="G127" t="n">
        <v>168.6</v>
      </c>
      <c r="H127" t="n">
        <v>118</v>
      </c>
      <c r="I127" t="n">
        <v>134</v>
      </c>
      <c r="J127" t="n">
        <v>132</v>
      </c>
      <c r="K127" t="n">
        <v>101</v>
      </c>
      <c r="L127" t="n">
        <v>116</v>
      </c>
      <c r="M127" t="n">
        <v>18.8</v>
      </c>
      <c r="N127" t="n">
        <v>1582</v>
      </c>
      <c r="O127" t="n">
        <v>1.17</v>
      </c>
      <c r="P127" t="n">
        <v>1854</v>
      </c>
      <c r="Q127" t="n">
        <v>211</v>
      </c>
      <c r="R127" t="n">
        <v>88</v>
      </c>
      <c r="S127" t="n">
        <v>64</v>
      </c>
      <c r="T127" t="n">
        <v>329</v>
      </c>
      <c r="U127" t="n">
        <v>25</v>
      </c>
      <c r="V127" t="n">
        <v>177</v>
      </c>
      <c r="W127" t="n">
        <v>0.395</v>
      </c>
      <c r="X127" t="n">
        <v>238</v>
      </c>
      <c r="Y127" t="n">
        <v>105</v>
      </c>
      <c r="Z127" t="n">
        <v>91</v>
      </c>
      <c r="AA127" t="n">
        <v>5</v>
      </c>
      <c r="AB127" t="n">
        <v>9.5</v>
      </c>
      <c r="AC127" t="inlineStr">
        <is>
          <t xml:space="preserve"> Resort Freeride</t>
        </is>
      </c>
      <c r="AD127" t="inlineStr">
        <is>
          <t xml:space="preserve"> Powder</t>
        </is>
      </c>
      <c r="AE127" t="inlineStr">
        <is>
          <t xml:space="preserve"> Big Mountain</t>
        </is>
      </c>
      <c r="AF127" t="inlineStr">
        <is>
          <t xml:space="preserve"> Touring</t>
        </is>
      </c>
      <c r="AG127" t="inlineStr">
        <is>
          <t>Icelantic NATURAL 101 21/22</t>
        </is>
      </c>
      <c r="AH127" t="inlineStr">
        <is>
          <t>H2Osport.se</t>
        </is>
      </c>
      <c r="AI127" s="333" t="n">
        <v>531.2</v>
      </c>
      <c r="AJ127" t="inlineStr">
        <is>
          <t>https://tinyurl.com/ycjmxyrt</t>
        </is>
      </c>
      <c r="AK127" t="inlineStr">
        <is>
          <t>Icelantic Natural 101 Skis Â· 2022 Â· 171 cm</t>
        </is>
      </c>
      <c r="AL127" t="inlineStr">
        <is>
          <t>Next Adventure</t>
        </is>
      </c>
      <c r="AM127" s="333" t="n">
        <v>584.25</v>
      </c>
      <c r="AN127" t="inlineStr">
        <is>
          <t>https://tinyurl.com/ybqv6xaq</t>
        </is>
      </c>
      <c r="AO127" t="inlineStr">
        <is>
          <t>Icelantic Natural 101 Skis Â· 2022 Â· 171 cm</t>
        </is>
      </c>
      <c r="AP127" t="inlineStr">
        <is>
          <t>REI</t>
        </is>
      </c>
      <c r="AQ127" s="333" t="n">
        <v>598.9299999999999</v>
      </c>
      <c r="AR127" t="inlineStr">
        <is>
          <t>https://tinyurl.com/ycp7u3r6</t>
        </is>
      </c>
      <c r="AS127" s="314">
        <f>IF(LEFT(C127,1)=" ",RIGHT(C127,LEN(C127)-1),C127)</f>
        <v/>
      </c>
      <c r="AT127" s="281">
        <f>_xlfn.CONCAT(B127,AS127,D127,E127)</f>
        <v/>
      </c>
    </row>
    <row r="128">
      <c r="A128" t="inlineStr">
        <is>
          <t>21/22</t>
        </is>
      </c>
      <c r="B128" t="inlineStr">
        <is>
          <t xml:space="preserve"> Black Crows</t>
        </is>
      </c>
      <c r="C128" t="inlineStr">
        <is>
          <t xml:space="preserve"> Camox Freebird</t>
        </is>
      </c>
      <c r="D128" t="n">
        <v>183.3</v>
      </c>
      <c r="E128" t="inlineStr">
        <is>
          <t xml:space="preserve"> Unisex</t>
        </is>
      </c>
      <c r="F128" t="n">
        <v>183.3</v>
      </c>
      <c r="G128" t="n">
        <v>182.3</v>
      </c>
      <c r="H128" t="n">
        <v>141</v>
      </c>
      <c r="I128" t="n">
        <v>150</v>
      </c>
      <c r="J128" t="n">
        <v>136</v>
      </c>
      <c r="K128" t="n">
        <v>95</v>
      </c>
      <c r="L128" t="n">
        <v>116</v>
      </c>
      <c r="M128" t="n">
        <v>17.3</v>
      </c>
      <c r="N128" t="n">
        <v>1615</v>
      </c>
      <c r="O128" t="n">
        <v>1.22</v>
      </c>
      <c r="P128" t="n">
        <v>1966</v>
      </c>
      <c r="Q128" t="n">
        <v>229</v>
      </c>
      <c r="R128" t="n">
        <v>113</v>
      </c>
      <c r="S128" t="n">
        <v>43</v>
      </c>
      <c r="T128" t="n">
        <v>248</v>
      </c>
      <c r="U128" t="n">
        <v>13</v>
      </c>
      <c r="V128" t="n">
        <v>167</v>
      </c>
      <c r="W128" t="n">
        <v>0.312</v>
      </c>
      <c r="X128" t="n">
        <v>179</v>
      </c>
      <c r="Y128" t="n">
        <v>142</v>
      </c>
      <c r="Z128" t="n">
        <v>69</v>
      </c>
      <c r="AA128" t="n">
        <v>8</v>
      </c>
      <c r="AB128" t="n">
        <v>9</v>
      </c>
      <c r="AC128" t="inlineStr">
        <is>
          <t xml:space="preserve"> Resort Freeride</t>
        </is>
      </c>
      <c r="AD128" t="inlineStr">
        <is>
          <t xml:space="preserve"> Touring</t>
        </is>
      </c>
      <c r="AG128" t="inlineStr">
        <is>
          <t>Black Crows Camox Freebird Skis 183cm</t>
        </is>
      </c>
      <c r="AH128" t="inlineStr">
        <is>
          <t>Ascent Outdoors</t>
        </is>
      </c>
      <c r="AI128" s="333" t="n">
        <v>514.99</v>
      </c>
      <c r="AJ128" t="inlineStr">
        <is>
          <t>https://tinyurl.com/y8f2do3d</t>
        </is>
      </c>
      <c r="AK128" t="inlineStr">
        <is>
          <t>Black Crows Camox Freebird Skis 183cm</t>
        </is>
      </c>
      <c r="AL128" t="inlineStr">
        <is>
          <t>Backcountry.com</t>
        </is>
      </c>
      <c r="AM128" s="333" t="n">
        <v>591.96</v>
      </c>
      <c r="AN128" t="inlineStr">
        <is>
          <t>https://tinyurl.com/ya5lryyd</t>
        </is>
      </c>
      <c r="AO128" t="inlineStr">
        <is>
          <t>Black Crows Camox Freebird Skis 183cm</t>
        </is>
      </c>
      <c r="AP128" t="inlineStr">
        <is>
          <t>evo.com</t>
        </is>
      </c>
      <c r="AQ128" s="333" t="n">
        <v>591.96</v>
      </c>
      <c r="AR128" t="inlineStr">
        <is>
          <t>https://tinyurl.com/yanlwp6p</t>
        </is>
      </c>
      <c r="AS128" s="314">
        <f>IF(LEFT(C128,1)=" ",RIGHT(C128,LEN(C128)-1),C128)</f>
        <v/>
      </c>
      <c r="AT128" s="281">
        <f>_xlfn.CONCAT(B128,AS128,D128,E128)</f>
        <v/>
      </c>
    </row>
    <row r="129">
      <c r="A129" t="inlineStr">
        <is>
          <t>21/22</t>
        </is>
      </c>
      <c r="B129" t="inlineStr">
        <is>
          <t xml:space="preserve"> Black Crows</t>
        </is>
      </c>
      <c r="C129" t="inlineStr">
        <is>
          <t xml:space="preserve"> Serpo</t>
        </is>
      </c>
      <c r="D129" t="n">
        <v>180.1</v>
      </c>
      <c r="E129" t="inlineStr">
        <is>
          <t xml:space="preserve"> Unisex</t>
        </is>
      </c>
      <c r="F129" t="n">
        <v>180.1</v>
      </c>
      <c r="G129" t="n">
        <v>179.2</v>
      </c>
      <c r="H129" t="n">
        <v>123</v>
      </c>
      <c r="I129" t="n">
        <v>157</v>
      </c>
      <c r="J129" t="n">
        <v>131</v>
      </c>
      <c r="K129" t="n">
        <v>92</v>
      </c>
      <c r="L129" t="n">
        <v>114</v>
      </c>
      <c r="M129" t="n">
        <v>19.4</v>
      </c>
      <c r="N129" t="n">
        <v>1828</v>
      </c>
      <c r="O129" t="n">
        <v>1.01</v>
      </c>
      <c r="P129" t="n">
        <v>1855</v>
      </c>
      <c r="Q129" t="n">
        <v>221</v>
      </c>
      <c r="R129" t="n">
        <v>97</v>
      </c>
      <c r="S129" t="n">
        <v>54</v>
      </c>
      <c r="T129" t="n">
        <v>333</v>
      </c>
      <c r="U129" t="n">
        <v>11</v>
      </c>
      <c r="V129" t="n">
        <v>230</v>
      </c>
      <c r="W129" t="n">
        <v>0.198</v>
      </c>
      <c r="X129" t="n">
        <v>111</v>
      </c>
      <c r="Y129" t="n">
        <v>109</v>
      </c>
      <c r="Z129" t="n">
        <v>222</v>
      </c>
      <c r="AA129" t="n">
        <v>4</v>
      </c>
      <c r="AB129" t="n">
        <v>8.199999999999999</v>
      </c>
      <c r="AC129" t="inlineStr">
        <is>
          <t xml:space="preserve"> Resort Freeride</t>
        </is>
      </c>
      <c r="AG129" t="inlineStr">
        <is>
          <t>Black Crows Serpo Skis 2022</t>
        </is>
      </c>
      <c r="AH129" t="inlineStr">
        <is>
          <t>Teton Wasatch Ski Co.</t>
        </is>
      </c>
      <c r="AI129" s="333" t="n">
        <v>671</v>
      </c>
      <c r="AJ129" t="inlineStr">
        <is>
          <t>https://tinyurl.com/y8sybvt2</t>
        </is>
      </c>
      <c r="AK129" t="inlineStr">
        <is>
          <t>Black Crows Serpo Skis 2022</t>
        </is>
      </c>
      <c r="AL129" t="inlineStr">
        <is>
          <t>Powder7 Ski Shop</t>
        </is>
      </c>
      <c r="AM129" s="333" t="n">
        <v>671.9299999999999</v>
      </c>
      <c r="AN129" t="inlineStr">
        <is>
          <t>https://tinyurl.com/ybd25nl3</t>
        </is>
      </c>
      <c r="AO129" t="inlineStr">
        <is>
          <t>Black Crows Serpo Skis 2022</t>
        </is>
      </c>
      <c r="AP129" t="inlineStr">
        <is>
          <t>evo.com</t>
        </is>
      </c>
      <c r="AQ129" s="333" t="n">
        <v>671.96</v>
      </c>
      <c r="AR129" t="inlineStr">
        <is>
          <t>https://tinyurl.com/y6woba3o</t>
        </is>
      </c>
      <c r="AS129" s="314">
        <f>IF(LEFT(C129,1)=" ",RIGHT(C129,LEN(C129)-1),C129)</f>
        <v/>
      </c>
      <c r="AT129" s="281">
        <f>_xlfn.CONCAT(B129,AS129,D129,E129)</f>
        <v/>
      </c>
    </row>
    <row r="130">
      <c r="A130" t="inlineStr">
        <is>
          <t>21/22</t>
        </is>
      </c>
      <c r="B130" t="inlineStr">
        <is>
          <t xml:space="preserve"> Ferreol</t>
        </is>
      </c>
      <c r="C130" t="inlineStr">
        <is>
          <t>Pionnier 104</t>
        </is>
      </c>
      <c r="D130" t="n">
        <v>172</v>
      </c>
      <c r="E130" t="inlineStr">
        <is>
          <t xml:space="preserve"> Unisex</t>
        </is>
      </c>
      <c r="F130" t="n">
        <v>172</v>
      </c>
      <c r="G130" t="n">
        <v>172.7</v>
      </c>
      <c r="H130" t="n">
        <v>118</v>
      </c>
      <c r="I130" t="n">
        <v>136</v>
      </c>
      <c r="J130" t="n">
        <v>133</v>
      </c>
      <c r="K130" t="n">
        <v>103</v>
      </c>
      <c r="L130" t="n">
        <v>125</v>
      </c>
      <c r="M130" t="n">
        <v>14.8</v>
      </c>
      <c r="N130" t="n">
        <v>1660</v>
      </c>
      <c r="O130" t="n">
        <v>1.19</v>
      </c>
      <c r="P130" t="n">
        <v>1973</v>
      </c>
      <c r="Q130" t="n">
        <v>201</v>
      </c>
      <c r="R130" t="n">
        <v>84</v>
      </c>
      <c r="S130" t="n">
        <v>46</v>
      </c>
      <c r="T130" t="n">
        <v>328</v>
      </c>
      <c r="U130" t="n">
        <v>27</v>
      </c>
      <c r="V130" t="n">
        <v>220</v>
      </c>
      <c r="W130" t="n">
        <v>0.572</v>
      </c>
      <c r="X130" t="n">
        <v>250</v>
      </c>
      <c r="Y130" t="n">
        <v>116</v>
      </c>
      <c r="Z130" t="n">
        <v>78</v>
      </c>
      <c r="AA130" t="n">
        <v>10</v>
      </c>
      <c r="AB130" t="n">
        <v>9.5</v>
      </c>
      <c r="AC130" t="inlineStr">
        <is>
          <t xml:space="preserve"> Resort Freeride</t>
        </is>
      </c>
      <c r="AD130" t="inlineStr">
        <is>
          <t xml:space="preserve"> Powder</t>
        </is>
      </c>
      <c r="AE130" t="inlineStr">
        <is>
          <t xml:space="preserve"> Touring</t>
        </is>
      </c>
      <c r="AS130" s="314">
        <f>IF(LEFT(C130,1)=" ",RIGHT(C130,LEN(C130)-1),C130)</f>
        <v/>
      </c>
      <c r="AT130" s="281">
        <f>_xlfn.CONCAT(B130,AS130,D130,E130)</f>
        <v/>
      </c>
    </row>
    <row r="131">
      <c r="A131" t="inlineStr">
        <is>
          <t>21/22</t>
        </is>
      </c>
      <c r="B131" t="inlineStr">
        <is>
          <t xml:space="preserve"> Elan</t>
        </is>
      </c>
      <c r="C131" t="inlineStr">
        <is>
          <t>Ripstick 102 W</t>
        </is>
      </c>
      <c r="D131" t="n">
        <v>170</v>
      </c>
      <c r="E131" t="inlineStr">
        <is>
          <t xml:space="preserve"> Women's</t>
        </is>
      </c>
      <c r="F131" t="n">
        <v>170</v>
      </c>
      <c r="G131" t="n">
        <v>170.3</v>
      </c>
      <c r="H131" t="n">
        <v>127</v>
      </c>
      <c r="I131" t="n">
        <v>136</v>
      </c>
      <c r="J131" t="n">
        <v>143</v>
      </c>
      <c r="K131" t="n">
        <v>105</v>
      </c>
      <c r="L131" t="n">
        <v>120</v>
      </c>
      <c r="M131" t="n">
        <v>16.4</v>
      </c>
      <c r="N131" t="n">
        <v>1797</v>
      </c>
      <c r="O131" t="n">
        <v>1.1</v>
      </c>
      <c r="P131" t="n">
        <v>1982</v>
      </c>
      <c r="Q131" t="n">
        <v>205</v>
      </c>
      <c r="R131" t="n">
        <v>86</v>
      </c>
      <c r="S131" t="n">
        <v>47</v>
      </c>
      <c r="T131" t="n">
        <v>266</v>
      </c>
      <c r="U131" t="n">
        <v>17</v>
      </c>
      <c r="V131" t="n">
        <v>167</v>
      </c>
      <c r="W131" t="n">
        <v>0.355</v>
      </c>
      <c r="X131" t="n">
        <v>174</v>
      </c>
      <c r="Y131" t="n">
        <v>167</v>
      </c>
      <c r="Z131" t="n">
        <v>92</v>
      </c>
      <c r="AA131" t="n">
        <v>5</v>
      </c>
      <c r="AB131" t="n">
        <v>8.699999999999999</v>
      </c>
      <c r="AC131" t="inlineStr">
        <is>
          <t xml:space="preserve"> Resort Freeride</t>
        </is>
      </c>
      <c r="AD131" t="inlineStr">
        <is>
          <t xml:space="preserve"> Powder</t>
        </is>
      </c>
      <c r="AE131" t="inlineStr">
        <is>
          <t xml:space="preserve"> Big Mountain</t>
        </is>
      </c>
      <c r="AF131" t="inlineStr">
        <is>
          <t xml:space="preserve"> Touring</t>
        </is>
      </c>
      <c r="AG131" t="inlineStr">
        <is>
          <t>Elan Ripstick 102 W Women's Skis 2022</t>
        </is>
      </c>
      <c r="AH131" t="inlineStr">
        <is>
          <t>PRFO Sports</t>
        </is>
      </c>
      <c r="AI131" s="333" t="n">
        <v>601.49</v>
      </c>
      <c r="AJ131" t="inlineStr">
        <is>
          <t>https://tinyurl.com/ydh5hpyx</t>
        </is>
      </c>
      <c r="AK131" t="inlineStr">
        <is>
          <t>Elan Ripstick 102 Skis - Women's 2021</t>
        </is>
      </c>
      <c r="AL131" t="inlineStr">
        <is>
          <t>Snowcountry.eu</t>
        </is>
      </c>
      <c r="AM131" s="333" t="n">
        <v>414</v>
      </c>
      <c r="AN131" t="inlineStr">
        <is>
          <t>https://tinyurl.com/y8j8mfdp</t>
        </is>
      </c>
      <c r="AO131" t="inlineStr">
        <is>
          <t>Elan Ripstick 102 Skis - Women's 2021</t>
        </is>
      </c>
      <c r="AP131" t="inlineStr">
        <is>
          <t>! OutdoorXL.com</t>
        </is>
      </c>
      <c r="AQ131" s="333" t="n">
        <v>449.95</v>
      </c>
      <c r="AR131" t="inlineStr">
        <is>
          <t>https://tinyurl.com/yad98zvl</t>
        </is>
      </c>
      <c r="AS131" s="314">
        <f>IF(LEFT(C131,1)=" ",RIGHT(C131,LEN(C131)-1),C131)</f>
        <v/>
      </c>
      <c r="AT131" s="281">
        <f>_xlfn.CONCAT(B131,AS131,D131,E131)</f>
        <v/>
      </c>
    </row>
    <row r="132">
      <c r="A132" t="inlineStr">
        <is>
          <t>21/22</t>
        </is>
      </c>
      <c r="B132" t="inlineStr">
        <is>
          <t>K2</t>
        </is>
      </c>
      <c r="C132" t="inlineStr">
        <is>
          <t>Mindbender 116 C</t>
        </is>
      </c>
      <c r="D132" t="n">
        <v>179</v>
      </c>
      <c r="E132" t="inlineStr">
        <is>
          <t xml:space="preserve"> Unisex</t>
        </is>
      </c>
      <c r="F132" t="n">
        <v>179</v>
      </c>
      <c r="G132" t="n">
        <v>179</v>
      </c>
      <c r="H132" t="n">
        <v>101</v>
      </c>
      <c r="I132" t="n">
        <v>141</v>
      </c>
      <c r="J132" t="n">
        <v>142</v>
      </c>
      <c r="K132" t="n">
        <v>115</v>
      </c>
      <c r="L132" t="n">
        <v>132</v>
      </c>
      <c r="M132" t="n">
        <v>21.5</v>
      </c>
      <c r="N132" t="n">
        <v>1821</v>
      </c>
      <c r="O132" t="n">
        <v>1.21</v>
      </c>
      <c r="P132" t="n">
        <v>2209</v>
      </c>
      <c r="Q132" t="n">
        <v>180</v>
      </c>
      <c r="R132" t="n">
        <v>110</v>
      </c>
      <c r="S132" t="n">
        <v>59</v>
      </c>
      <c r="T132" t="n">
        <v>461</v>
      </c>
      <c r="U132" t="n">
        <v>25</v>
      </c>
      <c r="V132" t="n">
        <v>317</v>
      </c>
      <c r="W132" t="n">
        <v>0.427</v>
      </c>
      <c r="X132" t="n">
        <v>204</v>
      </c>
      <c r="Y132" t="n">
        <v>175</v>
      </c>
      <c r="Z132" t="n">
        <v>257</v>
      </c>
      <c r="AA132" t="n">
        <v>4</v>
      </c>
      <c r="AB132" t="n">
        <v>10.4</v>
      </c>
      <c r="AC132" t="inlineStr">
        <is>
          <t xml:space="preserve"> Powder</t>
        </is>
      </c>
      <c r="AD132" t="inlineStr">
        <is>
          <t xml:space="preserve"> Touring</t>
        </is>
      </c>
      <c r="AG132" t="inlineStr">
        <is>
          <t>K2 Mindbender 115C Alliance Skis Â· Women's Â· 2021 Â· 179 cm</t>
        </is>
      </c>
      <c r="AH132" t="inlineStr">
        <is>
          <t>Powder7 Ski Shop</t>
        </is>
      </c>
      <c r="AI132" s="333" t="n">
        <v>479.95</v>
      </c>
      <c r="AJ132" t="inlineStr">
        <is>
          <t>https://tinyurl.com/yaqmblqq</t>
        </is>
      </c>
      <c r="AK132" t="inlineStr">
        <is>
          <t>K2 Mindbender 108Ti Skis Â· 2022 Â· 179 cm</t>
        </is>
      </c>
      <c r="AL132" t="inlineStr">
        <is>
          <t>! OutdoorXL.com</t>
        </is>
      </c>
      <c r="AM132" s="333" t="n">
        <v>489.95</v>
      </c>
      <c r="AN132" t="inlineStr">
        <is>
          <t>https://tinyurl.com/ybn8gcx8</t>
        </is>
      </c>
      <c r="AO132" t="inlineStr">
        <is>
          <t>K2 Mindbender 116C Skis 2021</t>
        </is>
      </c>
      <c r="AP132" t="inlineStr">
        <is>
          <t>UtahSkis</t>
        </is>
      </c>
      <c r="AQ132" s="333" t="n">
        <v>519.95</v>
      </c>
      <c r="AR132" t="inlineStr">
        <is>
          <t>https://tinyurl.com/ybmgoccd</t>
        </is>
      </c>
      <c r="AS132" s="314">
        <f>IF(LEFT(C132,1)=" ",RIGHT(C132,LEN(C132)-1),C132)</f>
        <v/>
      </c>
      <c r="AT132" s="281">
        <f>_xlfn.CONCAT(B132,AS132,D132,E132)</f>
        <v/>
      </c>
    </row>
    <row r="133">
      <c r="A133" t="inlineStr">
        <is>
          <t>21/22</t>
        </is>
      </c>
      <c r="B133" t="inlineStr">
        <is>
          <t xml:space="preserve"> DPS</t>
        </is>
      </c>
      <c r="C133" t="inlineStr">
        <is>
          <t>Pagoda Piste 100 C2</t>
        </is>
      </c>
      <c r="D133" t="n">
        <v>165</v>
      </c>
      <c r="E133" t="inlineStr">
        <is>
          <t xml:space="preserve"> Unisex</t>
        </is>
      </c>
      <c r="F133" t="n">
        <v>165</v>
      </c>
      <c r="G133" t="n">
        <v>164.5</v>
      </c>
      <c r="H133" t="n">
        <v>123</v>
      </c>
      <c r="I133" t="n">
        <v>128</v>
      </c>
      <c r="J133" t="n">
        <v>127</v>
      </c>
      <c r="K133" t="n">
        <v>100</v>
      </c>
      <c r="L133" t="n">
        <v>112</v>
      </c>
      <c r="M133" t="n">
        <v>18.9</v>
      </c>
      <c r="N133" t="n">
        <v>1732</v>
      </c>
      <c r="O133" t="n">
        <v>1.03</v>
      </c>
      <c r="P133" t="n">
        <v>1777</v>
      </c>
      <c r="Q133" t="n">
        <v>183</v>
      </c>
      <c r="R133" t="n">
        <v>117</v>
      </c>
      <c r="S133" t="n">
        <v>39</v>
      </c>
      <c r="T133" t="n">
        <v>238</v>
      </c>
      <c r="U133" t="n">
        <v>19</v>
      </c>
      <c r="V133" t="n">
        <v>180</v>
      </c>
      <c r="W133" t="n">
        <v>0.48</v>
      </c>
      <c r="X133" t="n">
        <v>186</v>
      </c>
      <c r="Y133" t="n">
        <v>183</v>
      </c>
      <c r="Z133" t="n">
        <v>52</v>
      </c>
      <c r="AA133" t="n">
        <v>6</v>
      </c>
      <c r="AB133" t="n">
        <v>10.4</v>
      </c>
      <c r="AC133" t="inlineStr">
        <is>
          <t xml:space="preserve"> Resort Freeride</t>
        </is>
      </c>
      <c r="AG133" t="inlineStr">
        <is>
          <t>DPS Pagoda Piste 100 C2 Pinot Skis 165cm 2022</t>
        </is>
      </c>
      <c r="AH133" t="inlineStr">
        <is>
          <t>Powder7 Ski Shop</t>
        </is>
      </c>
      <c r="AI133" s="333" t="n">
        <v>1039.2</v>
      </c>
      <c r="AJ133" t="inlineStr">
        <is>
          <t>https://tinyurl.com/ya5da6ao</t>
        </is>
      </c>
      <c r="AK133" t="inlineStr">
        <is>
          <t>2022 DPS Pagoda Piste 100 C2 Skis w/ Tyrolia Attack2 13 GW Bindings - Red - 165| Ski Essentials</t>
        </is>
      </c>
      <c r="AL133" t="inlineStr">
        <is>
          <t>SkiEssentials.com</t>
        </is>
      </c>
      <c r="AM133" s="333" t="n">
        <v>1214</v>
      </c>
      <c r="AN133" t="inlineStr">
        <is>
          <t>https://tinyurl.com/yadw86re</t>
        </is>
      </c>
      <c r="AO133" t="inlineStr">
        <is>
          <t>DPS Pagoda Piste 94 C2 Ski 2021 - 165</t>
        </is>
      </c>
      <c r="AP133" t="inlineStr">
        <is>
          <t>Gear West Ski &amp; Bike</t>
        </is>
      </c>
      <c r="AQ133" s="333" t="n">
        <v>1299</v>
      </c>
      <c r="AR133" t="inlineStr">
        <is>
          <t>https://tinyurl.com/y75cbluo</t>
        </is>
      </c>
      <c r="AS133" s="314">
        <f>IF(LEFT(C133,1)=" ",RIGHT(C133,LEN(C133)-1),C133)</f>
        <v/>
      </c>
      <c r="AT133" s="281">
        <f>_xlfn.CONCAT(B133,AS133,D133,E133)</f>
        <v/>
      </c>
    </row>
    <row r="134">
      <c r="A134" t="inlineStr">
        <is>
          <t>21/22</t>
        </is>
      </c>
      <c r="B134" t="inlineStr">
        <is>
          <t xml:space="preserve"> Armada</t>
        </is>
      </c>
      <c r="C134" t="inlineStr">
        <is>
          <t>Declivity 88 Ca</t>
        </is>
      </c>
      <c r="D134" t="n">
        <v>176</v>
      </c>
      <c r="E134" t="inlineStr">
        <is>
          <t xml:space="preserve"> Unisex</t>
        </is>
      </c>
      <c r="F134" t="n">
        <v>176</v>
      </c>
      <c r="G134" t="n">
        <v>175.4</v>
      </c>
      <c r="H134" t="n">
        <v>145</v>
      </c>
      <c r="I134" t="n">
        <v>154</v>
      </c>
      <c r="J134" t="n">
        <v>131</v>
      </c>
      <c r="K134" t="n">
        <v>87</v>
      </c>
      <c r="L134" t="n">
        <v>111</v>
      </c>
      <c r="M134" t="n">
        <v>17.2</v>
      </c>
      <c r="N134" t="n">
        <v>1632</v>
      </c>
      <c r="O134" t="n">
        <v>1.08</v>
      </c>
      <c r="P134" t="n">
        <v>1766</v>
      </c>
      <c r="Q134" t="n">
        <v>276</v>
      </c>
      <c r="R134" t="n">
        <v>116</v>
      </c>
      <c r="S134" t="n">
        <v>40</v>
      </c>
      <c r="T134" t="n">
        <v>189</v>
      </c>
      <c r="U134" t="n">
        <v>11</v>
      </c>
      <c r="V134" t="n">
        <v>117</v>
      </c>
      <c r="W134" t="n">
        <v>0.272</v>
      </c>
      <c r="X134" t="n">
        <v>138</v>
      </c>
      <c r="Y134" t="n">
        <v>80</v>
      </c>
      <c r="Z134" t="n">
        <v>51</v>
      </c>
      <c r="AA134" t="n">
        <v>6</v>
      </c>
      <c r="AB134" t="n">
        <v>11.8</v>
      </c>
      <c r="AC134" t="inlineStr">
        <is>
          <t xml:space="preserve"> Resort Freeride</t>
        </is>
      </c>
      <c r="AD134" t="inlineStr">
        <is>
          <t xml:space="preserve"> Touring</t>
        </is>
      </c>
      <c r="AG134" t="inlineStr">
        <is>
          <t>Armada Declivity 88 C Skis 2022</t>
        </is>
      </c>
      <c r="AH134" t="inlineStr">
        <is>
          <t>sunandski.com</t>
        </is>
      </c>
      <c r="AI134" s="333" t="n">
        <v>479.93</v>
      </c>
      <c r="AJ134" t="inlineStr">
        <is>
          <t>https://tinyurl.com/y929exft</t>
        </is>
      </c>
      <c r="AK134" t="inlineStr">
        <is>
          <t>Armada Declivity 88 C Skis 2022</t>
        </is>
      </c>
      <c r="AL134" t="inlineStr">
        <is>
          <t>Ski Pro  - Snow Ski &amp; Snowboard</t>
        </is>
      </c>
      <c r="AM134" s="333" t="n">
        <v>479.95</v>
      </c>
      <c r="AN134" t="inlineStr">
        <is>
          <t>https://tinyurl.com/ybl5hfct</t>
        </is>
      </c>
      <c r="AO134" t="inlineStr">
        <is>
          <t>Armada Declivity 88 C Skis 2022</t>
        </is>
      </c>
      <c r="AP134" t="inlineStr">
        <is>
          <t>Erik's Bike, Board and Ski</t>
        </is>
      </c>
      <c r="AQ134" s="333" t="n">
        <v>560</v>
      </c>
      <c r="AR134" t="inlineStr">
        <is>
          <t>https://tinyurl.com/y9rj36ug</t>
        </is>
      </c>
      <c r="AS134" s="314">
        <f>IF(LEFT(C134,1)=" ",RIGHT(C134,LEN(C134)-1),C134)</f>
        <v/>
      </c>
      <c r="AT134" s="281">
        <f>_xlfn.CONCAT(B134,AS134,D134,E134)</f>
        <v/>
      </c>
    </row>
    <row r="135">
      <c r="A135" t="inlineStr">
        <is>
          <t>21/22</t>
        </is>
      </c>
      <c r="B135" t="inlineStr">
        <is>
          <t xml:space="preserve"> Nordica</t>
        </is>
      </c>
      <c r="C135" t="inlineStr">
        <is>
          <t>Santa Ana 98</t>
        </is>
      </c>
      <c r="D135" t="n">
        <v>165</v>
      </c>
      <c r="E135" t="inlineStr">
        <is>
          <t xml:space="preserve"> Women's</t>
        </is>
      </c>
      <c r="F135" t="n">
        <v>165</v>
      </c>
      <c r="G135" t="n">
        <v>164.4</v>
      </c>
      <c r="H135" t="n">
        <v>119</v>
      </c>
      <c r="I135" t="n">
        <v>135</v>
      </c>
      <c r="J135" t="n">
        <v>131</v>
      </c>
      <c r="K135" t="n">
        <v>99</v>
      </c>
      <c r="L135" t="n">
        <v>117</v>
      </c>
      <c r="M135" t="n">
        <v>16.2</v>
      </c>
      <c r="N135" t="n">
        <v>1783</v>
      </c>
      <c r="O135" t="n">
        <v>1.01</v>
      </c>
      <c r="P135" t="n">
        <v>1798</v>
      </c>
      <c r="Q135" t="n">
        <v>172</v>
      </c>
      <c r="R135" t="n">
        <v>91</v>
      </c>
      <c r="S135" t="n">
        <v>51</v>
      </c>
      <c r="T135" t="n">
        <v>252</v>
      </c>
      <c r="U135" t="n">
        <v>18</v>
      </c>
      <c r="V135" t="n">
        <v>200</v>
      </c>
      <c r="W135" t="n">
        <v>0.356</v>
      </c>
      <c r="X135" t="n">
        <v>154</v>
      </c>
      <c r="Y135" t="n">
        <v>143</v>
      </c>
      <c r="Z135" t="n">
        <v>98</v>
      </c>
      <c r="AA135" t="n">
        <v>7</v>
      </c>
      <c r="AB135" t="n">
        <v>8.5</v>
      </c>
      <c r="AC135" t="inlineStr">
        <is>
          <t xml:space="preserve"> Resort Freeride</t>
        </is>
      </c>
      <c r="AG135" t="inlineStr">
        <is>
          <t>Nordica Santa Ana 98 21/22</t>
        </is>
      </c>
      <c r="AH135" t="inlineStr">
        <is>
          <t>Snowcountry.eu</t>
        </is>
      </c>
      <c r="AI135" s="333" t="n">
        <v>386.34</v>
      </c>
      <c r="AJ135" t="inlineStr">
        <is>
          <t>https://tinyurl.com/ycqhmk49</t>
        </is>
      </c>
      <c r="AK135" t="inlineStr">
        <is>
          <t>Nordica Santa Ana 98 2022 (Size: 165) | By Alpine Shop Vermont</t>
        </is>
      </c>
      <c r="AL135" t="inlineStr">
        <is>
          <t>AlpineShopVT.com</t>
        </is>
      </c>
      <c r="AM135" s="333" t="n">
        <v>559.99</v>
      </c>
      <c r="AN135" t="inlineStr">
        <is>
          <t>https://tinyurl.com/y9w2l4nj</t>
        </is>
      </c>
      <c r="AO135" t="inlineStr">
        <is>
          <t>Nordica Santa Ana 98 Flat Skis - Women's 2022 165cm</t>
        </is>
      </c>
      <c r="AP135" t="inlineStr">
        <is>
          <t>Glacier Ski Shop</t>
        </is>
      </c>
      <c r="AQ135" s="333" t="n">
        <v>629</v>
      </c>
      <c r="AR135" t="inlineStr">
        <is>
          <t>https://tinyurl.com/ybe5ovpw</t>
        </is>
      </c>
      <c r="AS135" s="314">
        <f>IF(LEFT(C135,1)=" ",RIGHT(C135,LEN(C135)-1),C135)</f>
        <v/>
      </c>
      <c r="AT135" s="281">
        <f>_xlfn.CONCAT(B135,AS135,D135,E135)</f>
        <v/>
      </c>
    </row>
    <row r="136">
      <c r="A136" t="inlineStr">
        <is>
          <t>21/22</t>
        </is>
      </c>
      <c r="B136" t="inlineStr">
        <is>
          <t xml:space="preserve"> Black Crows</t>
        </is>
      </c>
      <c r="C136" t="inlineStr">
        <is>
          <t xml:space="preserve"> Orb</t>
        </is>
      </c>
      <c r="D136" t="n">
        <v>169.2</v>
      </c>
      <c r="E136" t="inlineStr">
        <is>
          <t xml:space="preserve"> Unisex</t>
        </is>
      </c>
      <c r="F136" t="n">
        <v>169.2</v>
      </c>
      <c r="G136" t="n">
        <v>168.8</v>
      </c>
      <c r="H136" t="n">
        <v>104</v>
      </c>
      <c r="I136" t="n">
        <v>151</v>
      </c>
      <c r="J136" t="n">
        <v>122</v>
      </c>
      <c r="K136" t="n">
        <v>87</v>
      </c>
      <c r="L136" t="n">
        <v>106</v>
      </c>
      <c r="M136" t="n">
        <v>21.1</v>
      </c>
      <c r="N136" t="n">
        <v>1615</v>
      </c>
      <c r="O136" t="n">
        <v>1.02</v>
      </c>
      <c r="P136" t="n">
        <v>1640</v>
      </c>
      <c r="Q136" t="n">
        <v>190</v>
      </c>
      <c r="R136" t="n">
        <v>109</v>
      </c>
      <c r="S136" t="n">
        <v>43</v>
      </c>
      <c r="T136" t="n">
        <v>396</v>
      </c>
      <c r="U136" t="n">
        <v>19</v>
      </c>
      <c r="V136" t="n">
        <v>251</v>
      </c>
      <c r="W136" t="n">
        <v>0.45</v>
      </c>
      <c r="X136" t="n">
        <v>97</v>
      </c>
      <c r="Y136" t="n">
        <v>78</v>
      </c>
      <c r="Z136" t="n">
        <v>299</v>
      </c>
      <c r="AA136" t="n">
        <v>4</v>
      </c>
      <c r="AB136" t="n">
        <v>9.9</v>
      </c>
      <c r="AC136" t="inlineStr">
        <is>
          <t xml:space="preserve"> Resort Freeride</t>
        </is>
      </c>
      <c r="AG136" t="inlineStr">
        <is>
          <t>Black Crows Orb Skis</t>
        </is>
      </c>
      <c r="AH136" t="inlineStr">
        <is>
          <t>evo.com</t>
        </is>
      </c>
      <c r="AI136" s="333" t="n">
        <v>671.96</v>
      </c>
      <c r="AJ136" t="inlineStr">
        <is>
          <t>https://tinyurl.com/y9o7zuvn</t>
        </is>
      </c>
      <c r="AK136" t="inlineStr">
        <is>
          <t>Black Crows Orb Skis</t>
        </is>
      </c>
      <c r="AL136" t="inlineStr">
        <is>
          <t>SkiEssentials.com</t>
        </is>
      </c>
      <c r="AM136" s="333" t="n">
        <v>671.96</v>
      </c>
      <c r="AN136" t="inlineStr">
        <is>
          <t>https://tinyurl.com/ycf8ejph</t>
        </is>
      </c>
      <c r="AO136" t="inlineStr">
        <is>
          <t>Black Crows Orb Skis</t>
        </is>
      </c>
      <c r="AP136" t="inlineStr">
        <is>
          <t>Powder7 Ski Shop</t>
        </is>
      </c>
      <c r="AQ136" s="333" t="n">
        <v>671.96</v>
      </c>
      <c r="AR136" t="inlineStr">
        <is>
          <t>https://tinyurl.com/ybj3eolz</t>
        </is>
      </c>
      <c r="AS136" s="314">
        <f>IF(LEFT(C136,1)=" ",RIGHT(C136,LEN(C136)-1),C136)</f>
        <v/>
      </c>
      <c r="AT136" s="281">
        <f>_xlfn.CONCAT(B136,AS136,D136,E136)</f>
        <v/>
      </c>
    </row>
    <row r="137">
      <c r="A137" t="inlineStr">
        <is>
          <t>21/22</t>
        </is>
      </c>
      <c r="B137" t="inlineStr">
        <is>
          <t xml:space="preserve"> Armada</t>
        </is>
      </c>
      <c r="C137" t="inlineStr">
        <is>
          <t>Tracer 98</t>
        </is>
      </c>
      <c r="D137" t="n">
        <v>180</v>
      </c>
      <c r="E137" t="inlineStr">
        <is>
          <t xml:space="preserve"> Unisex</t>
        </is>
      </c>
      <c r="F137" t="n">
        <v>180</v>
      </c>
      <c r="G137" t="n">
        <v>179.4</v>
      </c>
      <c r="H137" t="n">
        <v>136</v>
      </c>
      <c r="I137" t="n">
        <v>151</v>
      </c>
      <c r="J137" t="n">
        <v>131</v>
      </c>
      <c r="K137" t="n">
        <v>97</v>
      </c>
      <c r="L137" t="n">
        <v>122</v>
      </c>
      <c r="M137" t="n">
        <v>17.9</v>
      </c>
      <c r="N137" t="n">
        <v>1601</v>
      </c>
      <c r="O137" t="n">
        <v>1.21</v>
      </c>
      <c r="P137" t="n">
        <v>1945</v>
      </c>
      <c r="Q137" t="n">
        <v>200</v>
      </c>
      <c r="R137" t="n">
        <v>108</v>
      </c>
      <c r="S137" t="n">
        <v>46</v>
      </c>
      <c r="T137" t="n">
        <v>260</v>
      </c>
      <c r="U137" t="n">
        <v>19</v>
      </c>
      <c r="V137" t="n">
        <v>169</v>
      </c>
      <c r="W137" t="n">
        <v>0.423</v>
      </c>
      <c r="X137" t="n">
        <v>174</v>
      </c>
      <c r="Y137" t="n">
        <v>109</v>
      </c>
      <c r="Z137" t="n">
        <v>86</v>
      </c>
      <c r="AA137" t="n">
        <v>5</v>
      </c>
      <c r="AB137" t="n">
        <v>10.3</v>
      </c>
      <c r="AC137" t="inlineStr">
        <is>
          <t xml:space="preserve"> Resort Freeride</t>
        </is>
      </c>
      <c r="AD137" t="inlineStr">
        <is>
          <t xml:space="preserve"> Touring</t>
        </is>
      </c>
      <c r="AG137" t="inlineStr">
        <is>
          <t>Armada Tracer 98 Limited Dark Blue-Black-White 180 Ski Men</t>
        </is>
      </c>
      <c r="AH137" t="inlineStr">
        <is>
          <t>! OutdoorXL.com</t>
        </is>
      </c>
      <c r="AI137" s="333" t="n">
        <v>374.95</v>
      </c>
      <c r="AJ137" t="inlineStr">
        <is>
          <t>https://tinyurl.com/ybzdf3pp</t>
        </is>
      </c>
      <c r="AK137" t="inlineStr">
        <is>
          <t>Barely  Men's Armada tracer 98 2020 Skis 172 - Griffon bindings</t>
        </is>
      </c>
      <c r="AL137" t="inlineStr">
        <is>
          <t>SidelineSwap</t>
        </is>
      </c>
      <c r="AM137" s="333" t="n">
        <v>435</v>
      </c>
      <c r="AN137" t="inlineStr">
        <is>
          <t>https://tinyurl.com/ycezevto</t>
        </is>
      </c>
      <c r="AO137" t="inlineStr">
        <is>
          <t>Armada Tracer 98 Skis 2022</t>
        </is>
      </c>
      <c r="AP137" t="inlineStr">
        <is>
          <t>evo.com</t>
        </is>
      </c>
      <c r="AQ137" s="333" t="n">
        <v>559.96</v>
      </c>
      <c r="AR137" t="inlineStr">
        <is>
          <t>https://tinyurl.com/yaw3rrcv</t>
        </is>
      </c>
      <c r="AS137" s="314">
        <f>IF(LEFT(C137,1)=" ",RIGHT(C137,LEN(C137)-1),C137)</f>
        <v/>
      </c>
      <c r="AT137" s="281">
        <f>_xlfn.CONCAT(B137,AS137,D137,E137)</f>
        <v/>
      </c>
    </row>
    <row r="138">
      <c r="A138" t="inlineStr">
        <is>
          <t>21/22</t>
        </is>
      </c>
      <c r="B138" t="inlineStr">
        <is>
          <t xml:space="preserve"> Nordica</t>
        </is>
      </c>
      <c r="C138" t="inlineStr">
        <is>
          <t>Santa Ana 110 Free</t>
        </is>
      </c>
      <c r="D138" t="n">
        <v>169</v>
      </c>
      <c r="E138" t="inlineStr">
        <is>
          <t xml:space="preserve"> Women's</t>
        </is>
      </c>
      <c r="F138" t="n">
        <v>169</v>
      </c>
      <c r="G138" t="n">
        <v>167.7</v>
      </c>
      <c r="H138" t="n">
        <v>110</v>
      </c>
      <c r="I138" t="n">
        <v>136</v>
      </c>
      <c r="J138" t="n">
        <v>140</v>
      </c>
      <c r="K138" t="n">
        <v>109</v>
      </c>
      <c r="L138" t="n">
        <v>130</v>
      </c>
      <c r="M138" t="n">
        <v>15.7</v>
      </c>
      <c r="N138" t="n">
        <v>1839</v>
      </c>
      <c r="O138" t="n">
        <v>1.09</v>
      </c>
      <c r="P138" t="n">
        <v>1999</v>
      </c>
      <c r="Q138" t="n">
        <v>197</v>
      </c>
      <c r="R138" t="n">
        <v>103</v>
      </c>
      <c r="S138" t="n">
        <v>64</v>
      </c>
      <c r="T138" t="n">
        <v>312</v>
      </c>
      <c r="U138" t="n">
        <v>45</v>
      </c>
      <c r="V138" t="n">
        <v>262</v>
      </c>
      <c r="W138" t="n">
        <v>0.71</v>
      </c>
      <c r="X138" t="n">
        <v>156</v>
      </c>
      <c r="Y138" t="n">
        <v>162</v>
      </c>
      <c r="Z138" t="n">
        <v>156</v>
      </c>
      <c r="AA138" t="n">
        <v>5</v>
      </c>
      <c r="AB138" t="n">
        <v>9.300000000000001</v>
      </c>
      <c r="AC138" t="inlineStr">
        <is>
          <t xml:space="preserve"> Powder</t>
        </is>
      </c>
      <c r="AD138" t="inlineStr">
        <is>
          <t xml:space="preserve"> Touring</t>
        </is>
      </c>
      <c r="AG138" t="inlineStr">
        <is>
          <t>2022 Nordica Santa Ana 110 Free Women's Skis w/ Tyrolia Attack2 14 GW Bindings - 169| Ski Essentials</t>
        </is>
      </c>
      <c r="AH138" t="inlineStr">
        <is>
          <t>SkiEssentials.com</t>
        </is>
      </c>
      <c r="AI138" s="333" t="n">
        <v>814.99</v>
      </c>
      <c r="AJ138" t="inlineStr">
        <is>
          <t>https://tinyurl.com/y82es5d8</t>
        </is>
      </c>
      <c r="AK138" t="inlineStr">
        <is>
          <t>2022 Nordica Santa Ana 110 Free Women's Skis w/ Tyrolia Attack2 14 GW Bindings - 169| Ski Essentials</t>
        </is>
      </c>
      <c r="AL138" t="inlineStr">
        <is>
          <t>eBay - david110549</t>
        </is>
      </c>
      <c r="AM138" s="333" t="n">
        <v>814.99</v>
      </c>
      <c r="AN138" t="inlineStr">
        <is>
          <t>https://tinyurl.com/ycrblhvn</t>
        </is>
      </c>
      <c r="AO138" t="inlineStr">
        <is>
          <t>18/19 Nordica Santa Ana 93, 169,  Demo Skis, 188198</t>
        </is>
      </c>
      <c r="AP138" t="inlineStr">
        <is>
          <t>eBay</t>
        </is>
      </c>
      <c r="AQ138" s="333" t="n">
        <v>499</v>
      </c>
      <c r="AR138" t="inlineStr">
        <is>
          <t>https://tinyurl.com/yaxu6rw5</t>
        </is>
      </c>
      <c r="AS138" s="314">
        <f>IF(LEFT(C138,1)=" ",RIGHT(C138,LEN(C138)-1),C138)</f>
        <v/>
      </c>
      <c r="AT138" s="281">
        <f>_xlfn.CONCAT(B138,AS138,D138,E138)</f>
        <v/>
      </c>
    </row>
    <row r="139">
      <c r="A139" t="inlineStr">
        <is>
          <t>21/22</t>
        </is>
      </c>
      <c r="B139" t="inlineStr">
        <is>
          <t xml:space="preserve"> Stï¿½ckli</t>
        </is>
      </c>
      <c r="C139" t="inlineStr">
        <is>
          <t xml:space="preserve"> Laser SC</t>
        </is>
      </c>
      <c r="D139" t="n">
        <v>156</v>
      </c>
      <c r="E139" t="inlineStr">
        <is>
          <t xml:space="preserve"> Unisex</t>
        </is>
      </c>
      <c r="F139" t="n">
        <v>156</v>
      </c>
      <c r="G139" t="n">
        <v>154.8</v>
      </c>
      <c r="H139" t="n">
        <v>134</v>
      </c>
      <c r="I139" t="n">
        <v>142</v>
      </c>
      <c r="J139" t="n">
        <v>122</v>
      </c>
      <c r="K139" t="n">
        <v>71</v>
      </c>
      <c r="L139" t="n">
        <v>103</v>
      </c>
      <c r="M139" t="n">
        <v>12.1</v>
      </c>
      <c r="N139" t="n">
        <v>1577</v>
      </c>
      <c r="O139" t="n">
        <v>0.85</v>
      </c>
      <c r="P139" t="n">
        <v>1343</v>
      </c>
      <c r="Q139" t="n">
        <v>160</v>
      </c>
      <c r="R139" t="n">
        <v>92</v>
      </c>
      <c r="S139" t="n">
        <v>42</v>
      </c>
      <c r="T139" t="n">
        <v>151</v>
      </c>
      <c r="U139" t="n">
        <v>6</v>
      </c>
      <c r="V139" t="n">
        <v>57</v>
      </c>
      <c r="W139" t="n">
        <v>0.135</v>
      </c>
      <c r="X139" t="n">
        <v>75</v>
      </c>
      <c r="Y139" t="n">
        <v>55</v>
      </c>
      <c r="Z139" t="n">
        <v>77</v>
      </c>
      <c r="AA139" t="n">
        <v>7</v>
      </c>
      <c r="AB139" t="n">
        <v>12.1</v>
      </c>
      <c r="AC139" t="inlineStr">
        <is>
          <t xml:space="preserve"> On-Piste Carving</t>
        </is>
      </c>
      <c r="AG139" t="inlineStr">
        <is>
          <t>Stockli Laser SC Skis 2023 w/MC11 bindings 156</t>
        </is>
      </c>
      <c r="AH139" t="inlineStr">
        <is>
          <t>Ski Depot RaceSkis.com</t>
        </is>
      </c>
      <c r="AI139" s="333" t="n">
        <v>1419</v>
      </c>
      <c r="AJ139" t="inlineStr">
        <is>
          <t>https://tinyurl.com/yd62uj8w</t>
        </is>
      </c>
      <c r="AK139" t="inlineStr">
        <is>
          <t>Stockli Nela 96 Skis - Women's 2022 156cm</t>
        </is>
      </c>
      <c r="AL139" t="inlineStr">
        <is>
          <t>Glacier Ski Shop</t>
        </is>
      </c>
      <c r="AM139" s="333" t="n">
        <v>1049</v>
      </c>
      <c r="AN139" t="inlineStr">
        <is>
          <t>https://tinyurl.com/y82r7lnm</t>
        </is>
      </c>
      <c r="AS139" s="314">
        <f>IF(LEFT(C139,1)=" ",RIGHT(C139,LEN(C139)-1),C139)</f>
        <v/>
      </c>
      <c r="AT139" s="281">
        <f>_xlfn.CONCAT(B139,AS139,D139,E139)</f>
        <v/>
      </c>
    </row>
    <row r="140">
      <c r="A140" t="inlineStr">
        <is>
          <t>21/22</t>
        </is>
      </c>
      <c r="B140" t="inlineStr">
        <is>
          <t xml:space="preserve"> Liberty</t>
        </is>
      </c>
      <c r="C140" t="inlineStr">
        <is>
          <t>Genesis 101</t>
        </is>
      </c>
      <c r="D140" t="n">
        <v>151</v>
      </c>
      <c r="E140" t="inlineStr">
        <is>
          <t xml:space="preserve"> Women's</t>
        </is>
      </c>
      <c r="F140" t="n">
        <v>151</v>
      </c>
      <c r="G140" t="n">
        <v>150.1</v>
      </c>
      <c r="H140" t="n">
        <v>90</v>
      </c>
      <c r="I140" t="n">
        <v>123</v>
      </c>
      <c r="J140" t="n">
        <v>134</v>
      </c>
      <c r="K140" t="n">
        <v>101</v>
      </c>
      <c r="L140" t="n">
        <v>121</v>
      </c>
      <c r="M140" t="n">
        <v>12.5</v>
      </c>
      <c r="N140" t="n">
        <v>1483</v>
      </c>
      <c r="O140" t="n">
        <v>1.13</v>
      </c>
      <c r="P140" t="n">
        <v>1669</v>
      </c>
      <c r="Q140" t="n">
        <v>170</v>
      </c>
      <c r="R140" t="n">
        <v>84</v>
      </c>
      <c r="S140" t="n">
        <v>44</v>
      </c>
      <c r="T140" t="n">
        <v>339</v>
      </c>
      <c r="U140" t="n">
        <v>34</v>
      </c>
      <c r="V140" t="n">
        <v>258</v>
      </c>
      <c r="W140" t="n">
        <v>0.759</v>
      </c>
      <c r="X140" t="n">
        <v>139</v>
      </c>
      <c r="Y140" t="n">
        <v>136</v>
      </c>
      <c r="Z140" t="n">
        <v>201</v>
      </c>
      <c r="AA140" t="n">
        <v>4</v>
      </c>
      <c r="AB140" t="n">
        <v>6.5</v>
      </c>
      <c r="AC140" t="inlineStr">
        <is>
          <t xml:space="preserve"> Resort Freeride</t>
        </is>
      </c>
      <c r="AD140" t="inlineStr">
        <is>
          <t xml:space="preserve"> Powder</t>
        </is>
      </c>
      <c r="AE140" t="inlineStr">
        <is>
          <t xml:space="preserve"> Touring</t>
        </is>
      </c>
      <c r="AG140" t="inlineStr">
        <is>
          <t>Faction candide ct 2.0 x (black) women's skis</t>
        </is>
      </c>
      <c r="AH140" t="inlineStr">
        <is>
          <t>AlpinStore</t>
        </is>
      </c>
      <c r="AI140" s="333" t="n">
        <v>475.13</v>
      </c>
      <c r="AJ140" t="inlineStr">
        <is>
          <t>https://tinyurl.com/ybmtzf4b</t>
        </is>
      </c>
      <c r="AK140" t="inlineStr">
        <is>
          <t>Faction Candide 2.0</t>
        </is>
      </c>
      <c r="AL140" t="inlineStr">
        <is>
          <t>eBay</t>
        </is>
      </c>
      <c r="AM140" s="333" t="n">
        <v>499</v>
      </c>
      <c r="AN140" t="inlineStr">
        <is>
          <t>https://tinyurl.com/y8n9opqr</t>
        </is>
      </c>
      <c r="AO140" t="inlineStr">
        <is>
          <t>Women's Faction Ct 2.0x Skis 2022 - 166</t>
        </is>
      </c>
      <c r="AP140" t="inlineStr">
        <is>
          <t>Powder7 Ski Shop</t>
        </is>
      </c>
      <c r="AQ140" s="333" t="n">
        <v>559</v>
      </c>
      <c r="AR140" t="inlineStr">
        <is>
          <t>https://tinyurl.com/yblnlkex</t>
        </is>
      </c>
      <c r="AS140" s="314">
        <f>IF(LEFT(C140,1)=" ",RIGHT(C140,LEN(C140)-1),C140)</f>
        <v/>
      </c>
      <c r="AT140" s="281">
        <f>_xlfn.CONCAT(B140,AS140,D140,E140)</f>
        <v/>
      </c>
    </row>
    <row r="141">
      <c r="A141" t="inlineStr">
        <is>
          <t>21/22</t>
        </is>
      </c>
      <c r="B141" t="inlineStr">
        <is>
          <t xml:space="preserve"> Black Crows</t>
        </is>
      </c>
      <c r="C141" t="inlineStr">
        <is>
          <t xml:space="preserve"> Camox Freebird</t>
        </is>
      </c>
      <c r="D141" t="n">
        <v>178.2</v>
      </c>
      <c r="E141" t="inlineStr">
        <is>
          <t xml:space="preserve"> Unisex</t>
        </is>
      </c>
      <c r="F141" t="n">
        <v>178.2</v>
      </c>
      <c r="G141" t="n">
        <v>177.2</v>
      </c>
      <c r="H141" t="n">
        <v>137</v>
      </c>
      <c r="I141" t="n">
        <v>147</v>
      </c>
      <c r="J141" t="n">
        <v>134</v>
      </c>
      <c r="K141" t="n">
        <v>95</v>
      </c>
      <c r="L141" t="n">
        <v>114</v>
      </c>
      <c r="M141" t="n">
        <v>17.1</v>
      </c>
      <c r="N141" t="n">
        <v>1505</v>
      </c>
      <c r="O141" t="n">
        <v>1.26</v>
      </c>
      <c r="P141" t="n">
        <v>1902</v>
      </c>
      <c r="Q141" t="n">
        <v>208</v>
      </c>
      <c r="R141" t="n">
        <v>111</v>
      </c>
      <c r="S141" t="n">
        <v>44</v>
      </c>
      <c r="T141" t="n">
        <v>254</v>
      </c>
      <c r="U141" t="n">
        <v>12</v>
      </c>
      <c r="V141" t="n">
        <v>144</v>
      </c>
      <c r="W141" t="n">
        <v>0.273</v>
      </c>
      <c r="X141" t="n">
        <v>169</v>
      </c>
      <c r="Y141" t="n">
        <v>133</v>
      </c>
      <c r="Z141" t="n">
        <v>85</v>
      </c>
      <c r="AA141" t="n">
        <v>8</v>
      </c>
      <c r="AB141" t="n">
        <v>9.199999999999999</v>
      </c>
      <c r="AC141" t="inlineStr">
        <is>
          <t xml:space="preserve"> Resort Freeride</t>
        </is>
      </c>
      <c r="AD141" t="inlineStr">
        <is>
          <t xml:space="preserve"> Touring</t>
        </is>
      </c>
      <c r="AE141" t="inlineStr">
        <is>
          <t xml:space="preserve"> Ultralight Touring</t>
        </is>
      </c>
      <c r="AG141" t="inlineStr">
        <is>
          <t>Black Crows Camox Freebird Skis, 178cm</t>
        </is>
      </c>
      <c r="AH141" t="inlineStr">
        <is>
          <t>Ascent Outdoors</t>
        </is>
      </c>
      <c r="AI141" s="333" t="n">
        <v>514.99</v>
      </c>
      <c r="AJ141" t="inlineStr">
        <is>
          <t>https://tinyurl.com/y7hujl2e</t>
        </is>
      </c>
      <c r="AK141" t="inlineStr">
        <is>
          <t>Black Crows Camox Freebird Skis, 178cm</t>
        </is>
      </c>
      <c r="AL141" t="inlineStr">
        <is>
          <t>SkiEssentials.com</t>
        </is>
      </c>
      <c r="AM141" s="333" t="n">
        <v>591.96</v>
      </c>
      <c r="AN141" t="inlineStr">
        <is>
          <t>https://tinyurl.com/yc363rfc</t>
        </is>
      </c>
      <c r="AO141" t="inlineStr">
        <is>
          <t>Black Crows Camox Freebird Skis, 178cm</t>
        </is>
      </c>
      <c r="AP141" t="inlineStr">
        <is>
          <t>evo.com</t>
        </is>
      </c>
      <c r="AQ141" s="333" t="n">
        <v>591.96</v>
      </c>
      <c r="AR141" t="inlineStr">
        <is>
          <t>https://tinyurl.com/ybjthgjv</t>
        </is>
      </c>
      <c r="AS141" s="314">
        <f>IF(LEFT(C141,1)=" ",RIGHT(C141,LEN(C141)-1),C141)</f>
        <v/>
      </c>
      <c r="AT141" s="281">
        <f>_xlfn.CONCAT(B141,AS141,D141,E141)</f>
        <v/>
      </c>
    </row>
    <row r="142">
      <c r="A142" t="inlineStr">
        <is>
          <t>21/22</t>
        </is>
      </c>
      <c r="B142" t="inlineStr">
        <is>
          <t xml:space="preserve"> Fischer</t>
        </is>
      </c>
      <c r="C142" t="inlineStr">
        <is>
          <t>Hannibal 106</t>
        </is>
      </c>
      <c r="D142" t="n">
        <v>171</v>
      </c>
      <c r="E142" t="inlineStr">
        <is>
          <t xml:space="preserve"> Unisex</t>
        </is>
      </c>
      <c r="F142" t="n">
        <v>171</v>
      </c>
      <c r="G142" t="n">
        <v>169.8</v>
      </c>
      <c r="H142" t="n">
        <v>111</v>
      </c>
      <c r="I142" t="n">
        <v>142</v>
      </c>
      <c r="J142" t="n">
        <v>135</v>
      </c>
      <c r="K142" t="n">
        <v>103</v>
      </c>
      <c r="L142" t="n">
        <v>118</v>
      </c>
      <c r="M142" t="n">
        <v>20.4</v>
      </c>
      <c r="N142" t="n">
        <v>1463</v>
      </c>
      <c r="O142" t="n">
        <v>1.3</v>
      </c>
      <c r="P142" t="n">
        <v>1895</v>
      </c>
      <c r="Q142" t="n">
        <v>216</v>
      </c>
      <c r="R142" t="n">
        <v>93</v>
      </c>
      <c r="S142" t="n">
        <v>65</v>
      </c>
      <c r="T142" t="n">
        <v>419</v>
      </c>
      <c r="U142" t="n">
        <v>14</v>
      </c>
      <c r="V142" t="n">
        <v>165</v>
      </c>
      <c r="W142" t="n">
        <v>0.216</v>
      </c>
      <c r="X142" t="n">
        <v>163</v>
      </c>
      <c r="Y142" t="n">
        <v>119</v>
      </c>
      <c r="Z142" t="n">
        <v>256</v>
      </c>
      <c r="AA142" t="n">
        <v>1</v>
      </c>
      <c r="AB142" t="n">
        <v>12.9</v>
      </c>
      <c r="AC142" t="inlineStr">
        <is>
          <t xml:space="preserve"> Big Mountain</t>
        </is>
      </c>
      <c r="AD142" t="inlineStr">
        <is>
          <t xml:space="preserve"> Touring</t>
        </is>
      </c>
      <c r="AE142" t="inlineStr">
        <is>
          <t xml:space="preserve"> Ultralight Touring</t>
        </is>
      </c>
      <c r="AG142" t="inlineStr">
        <is>
          <t>Fischer Hannibal 106 Carbon</t>
        </is>
      </c>
      <c r="AH142" t="inlineStr">
        <is>
          <t>Telemark Pyrenees</t>
        </is>
      </c>
      <c r="AI142" s="333" t="n">
        <v>394.15</v>
      </c>
      <c r="AJ142" t="inlineStr">
        <is>
          <t>https://tinyurl.com/ycwa7gna</t>
        </is>
      </c>
      <c r="AK142" t="inlineStr">
        <is>
          <t>Fischer Hannibal 106 Carbon</t>
        </is>
      </c>
      <c r="AL142" t="inlineStr">
        <is>
          <t>Snowcountry.eu</t>
        </is>
      </c>
      <c r="AM142" s="333" t="n">
        <v>451.78</v>
      </c>
      <c r="AN142" t="inlineStr">
        <is>
          <t>https://tinyurl.com/ydbabaqt</t>
        </is>
      </c>
      <c r="AO142" t="inlineStr">
        <is>
          <t>Fischer Hannibal 106 Carbon</t>
        </is>
      </c>
      <c r="AP142" t="inlineStr">
        <is>
          <t>Gorham Bike and Ski</t>
        </is>
      </c>
      <c r="AQ142" s="333" t="n">
        <v>524.99</v>
      </c>
      <c r="AR142" t="inlineStr">
        <is>
          <t>https://tinyurl.com/ybn2on9z</t>
        </is>
      </c>
      <c r="AS142" s="314">
        <f>IF(LEFT(C142,1)=" ",RIGHT(C142,LEN(C142)-1),C142)</f>
        <v/>
      </c>
      <c r="AT142" s="281">
        <f>_xlfn.CONCAT(B142,AS142,D142,E142)</f>
        <v/>
      </c>
    </row>
    <row r="143">
      <c r="A143" t="inlineStr">
        <is>
          <t>21/22</t>
        </is>
      </c>
      <c r="B143" t="inlineStr">
        <is>
          <t xml:space="preserve"> Black Crows</t>
        </is>
      </c>
      <c r="C143" t="inlineStr">
        <is>
          <t xml:space="preserve"> Navis Freebird</t>
        </is>
      </c>
      <c r="D143" t="n">
        <v>179.1</v>
      </c>
      <c r="E143" t="inlineStr">
        <is>
          <t xml:space="preserve"> Unisex</t>
        </is>
      </c>
      <c r="F143" t="n">
        <v>179.1</v>
      </c>
      <c r="G143" t="n">
        <v>178.4</v>
      </c>
      <c r="H143" t="n">
        <v>125</v>
      </c>
      <c r="I143" t="n">
        <v>149</v>
      </c>
      <c r="J143" t="n">
        <v>138</v>
      </c>
      <c r="K143" t="n">
        <v>100</v>
      </c>
      <c r="L143" t="n">
        <v>119</v>
      </c>
      <c r="M143" t="n">
        <v>19</v>
      </c>
      <c r="N143" t="n">
        <v>1748</v>
      </c>
      <c r="O143" t="n">
        <v>1.14</v>
      </c>
      <c r="P143" t="n">
        <v>1996</v>
      </c>
      <c r="Q143" t="n">
        <v>231</v>
      </c>
      <c r="R143" t="n">
        <v>108</v>
      </c>
      <c r="S143" t="n">
        <v>45</v>
      </c>
      <c r="T143" t="n">
        <v>338</v>
      </c>
      <c r="U143" t="n">
        <v>15</v>
      </c>
      <c r="V143" t="n">
        <v>196</v>
      </c>
      <c r="W143" t="n">
        <v>0.332999999999999</v>
      </c>
      <c r="X143" t="n">
        <v>166</v>
      </c>
      <c r="Y143" t="n">
        <v>130</v>
      </c>
      <c r="Z143" t="n">
        <v>171</v>
      </c>
      <c r="AA143" t="n">
        <v>5</v>
      </c>
      <c r="AB143" t="n">
        <v>9.4</v>
      </c>
      <c r="AC143" t="inlineStr">
        <is>
          <t xml:space="preserve"> Resort Freeride</t>
        </is>
      </c>
      <c r="AD143" t="inlineStr">
        <is>
          <t xml:space="preserve"> Big Mountain</t>
        </is>
      </c>
      <c r="AE143" t="inlineStr">
        <is>
          <t xml:space="preserve"> Touring</t>
        </is>
      </c>
      <c r="AG143" t="inlineStr">
        <is>
          <t>2022 Black Crows Navis Freebird Skis w/ Marker Kingpin13 Bindings - 179| Ski Essentials</t>
        </is>
      </c>
      <c r="AH143" t="inlineStr">
        <is>
          <t>SkiEssentials.com</t>
        </is>
      </c>
      <c r="AI143" s="333" t="n">
        <v>1058.96</v>
      </c>
      <c r="AJ143" t="inlineStr">
        <is>
          <t>https://tinyurl.com/y7dpzxno</t>
        </is>
      </c>
      <c r="AK143" t="inlineStr">
        <is>
          <t>Skis Black Crows Navis Freebird</t>
        </is>
      </c>
      <c r="AL143" t="inlineStr">
        <is>
          <t>! OutdoorXL.com</t>
        </is>
      </c>
      <c r="AM143" s="333" t="n">
        <v>584.95</v>
      </c>
      <c r="AN143" t="inlineStr">
        <is>
          <t>https://tinyurl.com/ybscqwfz</t>
        </is>
      </c>
      <c r="AO143" t="inlineStr">
        <is>
          <t>Skis Black Crows Navis Freebird</t>
        </is>
      </c>
      <c r="AP143" t="inlineStr">
        <is>
          <t>ColoradoSkiShop.com</t>
        </is>
      </c>
      <c r="AQ143" s="333" t="n">
        <v>659.99</v>
      </c>
      <c r="AR143" t="inlineStr">
        <is>
          <t>https://tinyurl.com/y7spmqbn</t>
        </is>
      </c>
      <c r="AS143" s="314">
        <f>IF(LEFT(C143,1)=" ",RIGHT(C143,LEN(C143)-1),C143)</f>
        <v/>
      </c>
      <c r="AT143" s="281">
        <f>_xlfn.CONCAT(B143,AS143,D143,E143)</f>
        <v/>
      </c>
    </row>
    <row r="144">
      <c r="A144" t="inlineStr">
        <is>
          <t>21/22</t>
        </is>
      </c>
      <c r="B144" t="inlineStr">
        <is>
          <t xml:space="preserve"> Dynastar</t>
        </is>
      </c>
      <c r="C144" t="inlineStr">
        <is>
          <t>M-Pro 99 W</t>
        </is>
      </c>
      <c r="D144" t="n">
        <v>162</v>
      </c>
      <c r="E144" t="inlineStr">
        <is>
          <t xml:space="preserve"> Women's</t>
        </is>
      </c>
      <c r="F144" t="n">
        <v>162</v>
      </c>
      <c r="G144" t="n">
        <v>161.4</v>
      </c>
      <c r="H144" t="n">
        <v>113</v>
      </c>
      <c r="I144" t="n">
        <v>132</v>
      </c>
      <c r="J144" t="n">
        <v>124</v>
      </c>
      <c r="K144" t="n">
        <v>95</v>
      </c>
      <c r="L144" t="n">
        <v>114</v>
      </c>
      <c r="M144" t="n">
        <v>15.4</v>
      </c>
      <c r="N144" t="n">
        <v>1710</v>
      </c>
      <c r="O144" t="n">
        <v>0.99</v>
      </c>
      <c r="P144" t="n">
        <v>1698</v>
      </c>
      <c r="Q144" t="n">
        <v>249</v>
      </c>
      <c r="R144" t="n">
        <v>95</v>
      </c>
      <c r="S144" t="n">
        <v>59</v>
      </c>
      <c r="T144" t="n">
        <v>332</v>
      </c>
      <c r="U144" t="n">
        <v>15</v>
      </c>
      <c r="V144" t="n">
        <v>157</v>
      </c>
      <c r="W144" t="n">
        <v>0.254</v>
      </c>
      <c r="X144" t="n">
        <v>192</v>
      </c>
      <c r="Y144" t="n">
        <v>105</v>
      </c>
      <c r="Z144" t="n">
        <v>140</v>
      </c>
      <c r="AA144" t="n">
        <v>5</v>
      </c>
      <c r="AB144" t="n">
        <v>12</v>
      </c>
      <c r="AC144" t="inlineStr">
        <is>
          <t xml:space="preserve"> Resort Freeride</t>
        </is>
      </c>
      <c r="AG144" t="inlineStr">
        <is>
          <t>Dynastar M-Pro 99 W Skis Women's 2022 - 162</t>
        </is>
      </c>
      <c r="AH144" t="inlineStr">
        <is>
          <t>Snowcountry.eu</t>
        </is>
      </c>
      <c r="AI144" s="333" t="n">
        <v>414</v>
      </c>
      <c r="AJ144" t="inlineStr">
        <is>
          <t>https://tinyurl.com/yal6hnu3</t>
        </is>
      </c>
      <c r="AK144" t="inlineStr">
        <is>
          <t>Dynastar M-Pro 99 W Skis Women's 2022 - 162</t>
        </is>
      </c>
      <c r="AL144" t="inlineStr">
        <is>
          <t>Next Adventure</t>
        </is>
      </c>
      <c r="AM144" s="333" t="n">
        <v>489.97</v>
      </c>
      <c r="AN144" t="inlineStr">
        <is>
          <t>https://tinyurl.com/y7s8x7p3</t>
        </is>
      </c>
      <c r="AO144" t="inlineStr">
        <is>
          <t>Dynastar M-Pro 99 W Skis Women's 2022 - 162</t>
        </is>
      </c>
      <c r="AP144" t="inlineStr">
        <is>
          <t>evo.com</t>
        </is>
      </c>
      <c r="AQ144" s="333" t="n">
        <v>559.96</v>
      </c>
      <c r="AR144" t="inlineStr">
        <is>
          <t>https://tinyurl.com/ydhqaen7</t>
        </is>
      </c>
      <c r="AS144" s="314">
        <f>IF(LEFT(C144,1)=" ",RIGHT(C144,LEN(C144)-1),C144)</f>
        <v/>
      </c>
      <c r="AT144" s="281">
        <f>_xlfn.CONCAT(B144,AS144,D144,E144)</f>
        <v/>
      </c>
    </row>
    <row r="145">
      <c r="A145" t="inlineStr">
        <is>
          <t>21/22</t>
        </is>
      </c>
      <c r="B145" t="inlineStr">
        <is>
          <t xml:space="preserve"> Faction</t>
        </is>
      </c>
      <c r="C145" t="inlineStr">
        <is>
          <t>Dictator 2.0</t>
        </is>
      </c>
      <c r="D145" t="n">
        <v>163</v>
      </c>
      <c r="E145" t="inlineStr">
        <is>
          <t xml:space="preserve"> Unisex</t>
        </is>
      </c>
      <c r="F145" t="n">
        <v>163</v>
      </c>
      <c r="G145" t="n">
        <v>163</v>
      </c>
      <c r="H145" t="n">
        <v>119</v>
      </c>
      <c r="I145" t="n">
        <v>135</v>
      </c>
      <c r="J145" t="n">
        <v>127</v>
      </c>
      <c r="K145" t="n">
        <v>96</v>
      </c>
      <c r="L145" t="n">
        <v>117</v>
      </c>
      <c r="M145" t="n">
        <v>15.6</v>
      </c>
      <c r="N145" t="n">
        <v>1699</v>
      </c>
      <c r="O145" t="n">
        <v>1.02</v>
      </c>
      <c r="P145" t="n">
        <v>1730</v>
      </c>
      <c r="Q145" t="n">
        <v>183</v>
      </c>
      <c r="R145" t="n">
        <v>117</v>
      </c>
      <c r="S145" t="n">
        <v>56</v>
      </c>
      <c r="T145" t="n">
        <v>253</v>
      </c>
      <c r="U145" t="n">
        <v>25</v>
      </c>
      <c r="V145" t="n">
        <v>184</v>
      </c>
      <c r="W145" t="n">
        <v>0.456</v>
      </c>
      <c r="X145" t="n">
        <v>162</v>
      </c>
      <c r="Y145" t="n">
        <v>120</v>
      </c>
      <c r="Z145" t="n">
        <v>91</v>
      </c>
      <c r="AA145" t="n">
        <v>5</v>
      </c>
      <c r="AB145" t="n">
        <v>9.9</v>
      </c>
      <c r="AC145" t="inlineStr">
        <is>
          <t xml:space="preserve"> Resort Freeride</t>
        </is>
      </c>
      <c r="AG145" t="inlineStr">
        <is>
          <t>Faction Dictator 2.0 Skis- 2022</t>
        </is>
      </c>
      <c r="AH145" t="inlineStr">
        <is>
          <t>Next Adventure</t>
        </is>
      </c>
      <c r="AI145" s="333" t="n">
        <v>623.2</v>
      </c>
      <c r="AJ145" t="inlineStr">
        <is>
          <t>https://tinyurl.com/y9x8epbb</t>
        </is>
      </c>
      <c r="AK145" t="inlineStr">
        <is>
          <t>Faction Agent 2.0x Women's Skis</t>
        </is>
      </c>
      <c r="AL145" t="inlineStr">
        <is>
          <t>Aspen Ski and Board</t>
        </is>
      </c>
      <c r="AM145" s="333" t="n">
        <v>559.2</v>
      </c>
      <c r="AN145" t="inlineStr">
        <is>
          <t>https://tinyurl.com/y8a3gr95</t>
        </is>
      </c>
      <c r="AO145" t="inlineStr">
        <is>
          <t>Faction Agent 2.0x Women's Skis</t>
        </is>
      </c>
      <c r="AP145" t="inlineStr">
        <is>
          <t>Saint Bernard</t>
        </is>
      </c>
      <c r="AQ145" s="333" t="n">
        <v>559.9</v>
      </c>
      <c r="AR145" t="inlineStr">
        <is>
          <t>https://tinyurl.com/yd8slryc</t>
        </is>
      </c>
      <c r="AS145" s="314">
        <f>IF(LEFT(C145,1)=" ",RIGHT(C145,LEN(C145)-1),C145)</f>
        <v/>
      </c>
      <c r="AT145" s="281">
        <f>_xlfn.CONCAT(B145,AS145,D145,E145)</f>
        <v/>
      </c>
    </row>
    <row r="146">
      <c r="A146" t="inlineStr">
        <is>
          <t>21/22</t>
        </is>
      </c>
      <c r="B146" t="inlineStr">
        <is>
          <t xml:space="preserve"> Armada</t>
        </is>
      </c>
      <c r="C146" t="inlineStr">
        <is>
          <t>ARW 106 UL</t>
        </is>
      </c>
      <c r="D146" t="n">
        <v>180</v>
      </c>
      <c r="E146" t="inlineStr">
        <is>
          <t xml:space="preserve"> Women's</t>
        </is>
      </c>
      <c r="F146" t="n">
        <v>180</v>
      </c>
      <c r="G146" t="n">
        <v>177.6</v>
      </c>
      <c r="H146" t="n">
        <v>124</v>
      </c>
      <c r="I146" t="n">
        <v>142</v>
      </c>
      <c r="J146" t="n">
        <v>134</v>
      </c>
      <c r="K146" t="n">
        <v>105</v>
      </c>
      <c r="L146" t="n">
        <v>124</v>
      </c>
      <c r="M146" t="n">
        <v>20.2</v>
      </c>
      <c r="N146" t="n">
        <v>1853</v>
      </c>
      <c r="O146" t="n">
        <v>1.09</v>
      </c>
      <c r="P146" t="n">
        <v>2011</v>
      </c>
      <c r="Q146" t="n">
        <v>229</v>
      </c>
      <c r="R146" t="n">
        <v>103</v>
      </c>
      <c r="S146" t="n">
        <v>57</v>
      </c>
      <c r="T146" t="n">
        <v>291</v>
      </c>
      <c r="U146" t="n">
        <v>47</v>
      </c>
      <c r="V146" t="n">
        <v>249</v>
      </c>
      <c r="W146" t="n">
        <v>0.832</v>
      </c>
      <c r="X146" t="n">
        <v>172</v>
      </c>
      <c r="Y146" t="n">
        <v>184</v>
      </c>
      <c r="Z146" t="n">
        <v>119</v>
      </c>
      <c r="AA146" t="n">
        <v>7</v>
      </c>
      <c r="AB146" t="n">
        <v>2.6</v>
      </c>
      <c r="AC146" t="inlineStr">
        <is>
          <t xml:space="preserve"> Resort Freeride</t>
        </is>
      </c>
      <c r="AD146" t="inlineStr">
        <is>
          <t xml:space="preserve"> Freeski</t>
        </is>
      </c>
      <c r="AE146" t="inlineStr">
        <is>
          <t xml:space="preserve"> Powder</t>
        </is>
      </c>
      <c r="AF146" t="inlineStr">
        <is>
          <t xml:space="preserve"> Touring</t>
        </is>
      </c>
      <c r="AG146" t="inlineStr">
        <is>
          <t>Armada ARW 106 UL Skis - Women's 2022</t>
        </is>
      </c>
      <c r="AH146" t="inlineStr">
        <is>
          <t>REI</t>
        </is>
      </c>
      <c r="AI146" s="333" t="n">
        <v>559.9299999999999</v>
      </c>
      <c r="AJ146" t="inlineStr">
        <is>
          <t>https://tinyurl.com/y8q9zekf</t>
        </is>
      </c>
      <c r="AK146" t="inlineStr">
        <is>
          <t>Armada ARW 106 UL Skis - Women's 2022</t>
        </is>
      </c>
      <c r="AL146" t="inlineStr">
        <is>
          <t>Next Adventure</t>
        </is>
      </c>
      <c r="AM146" s="333" t="n">
        <v>559.96</v>
      </c>
      <c r="AN146" t="inlineStr">
        <is>
          <t>https://tinyurl.com/ycborz8a</t>
        </is>
      </c>
      <c r="AO146" t="inlineStr">
        <is>
          <t>Armada ARW 106 UL Skis - Women's 2022</t>
        </is>
      </c>
      <c r="AP146" t="inlineStr">
        <is>
          <t>evo.com</t>
        </is>
      </c>
      <c r="AQ146" s="333" t="n">
        <v>559.96</v>
      </c>
      <c r="AR146" t="inlineStr">
        <is>
          <t>https://tinyurl.com/ydatsbtm</t>
        </is>
      </c>
      <c r="AS146" s="314">
        <f>IF(LEFT(C146,1)=" ",RIGHT(C146,LEN(C146)-1),C146)</f>
        <v/>
      </c>
      <c r="AT146" s="281">
        <f>_xlfn.CONCAT(B146,AS146,D146,E146)</f>
        <v/>
      </c>
    </row>
    <row r="147">
      <c r="A147" t="inlineStr">
        <is>
          <t>21/22</t>
        </is>
      </c>
      <c r="B147" t="inlineStr">
        <is>
          <t xml:space="preserve"> DPS</t>
        </is>
      </c>
      <c r="C147" t="inlineStr">
        <is>
          <t>Pagoda Tour 112 RP</t>
        </is>
      </c>
      <c r="D147" t="n">
        <v>178</v>
      </c>
      <c r="E147" t="inlineStr">
        <is>
          <t xml:space="preserve"> Unisex</t>
        </is>
      </c>
      <c r="F147" t="n">
        <v>178</v>
      </c>
      <c r="G147" t="n">
        <v>176.4</v>
      </c>
      <c r="H147" t="n">
        <v>94</v>
      </c>
      <c r="I147" t="n">
        <v>123</v>
      </c>
      <c r="J147" t="n">
        <v>139</v>
      </c>
      <c r="K147" t="n">
        <v>112</v>
      </c>
      <c r="L147" t="n">
        <v>126</v>
      </c>
      <c r="M147" t="n">
        <v>15.3</v>
      </c>
      <c r="N147" t="n">
        <v>1572</v>
      </c>
      <c r="O147" t="n">
        <v>1.35</v>
      </c>
      <c r="P147" t="n">
        <v>2127</v>
      </c>
      <c r="Q147" t="n">
        <v>211</v>
      </c>
      <c r="R147" t="n">
        <v>110</v>
      </c>
      <c r="S147" t="n">
        <v>62</v>
      </c>
      <c r="T147" t="n">
        <v>439</v>
      </c>
      <c r="U147" t="n">
        <v>39</v>
      </c>
      <c r="V147" t="n">
        <v>389</v>
      </c>
      <c r="W147" t="n">
        <v>0.631</v>
      </c>
      <c r="X147" t="n">
        <v>290</v>
      </c>
      <c r="Y147" t="n">
        <v>248</v>
      </c>
      <c r="Z147" t="n">
        <v>149</v>
      </c>
      <c r="AA147" t="n">
        <v>3</v>
      </c>
      <c r="AB147" t="n">
        <v>14.6</v>
      </c>
      <c r="AC147" t="inlineStr">
        <is>
          <t xml:space="preserve"> Powder</t>
        </is>
      </c>
      <c r="AD147" t="inlineStr">
        <is>
          <t xml:space="preserve"> Touring</t>
        </is>
      </c>
      <c r="AE147" t="inlineStr">
        <is>
          <t xml:space="preserve"> Ultralight Touring</t>
        </is>
      </c>
      <c r="AG147" t="inlineStr">
        <is>
          <t>DPS Pagoda Tour 112 RP Skis Â· 178 cm</t>
        </is>
      </c>
      <c r="AH147" t="inlineStr">
        <is>
          <t>Skimo &amp; SkyRun</t>
        </is>
      </c>
      <c r="AI147" s="333" t="n">
        <v>1029</v>
      </c>
      <c r="AJ147" t="inlineStr">
        <is>
          <t>https://tinyurl.com/y9eyqhcv</t>
        </is>
      </c>
      <c r="AK147" t="inlineStr">
        <is>
          <t>DPS Pagoda Tour 112 RP Skis Â· 178 cm</t>
        </is>
      </c>
      <c r="AL147" t="inlineStr">
        <is>
          <t>REI</t>
        </is>
      </c>
      <c r="AM147" s="333" t="n">
        <v>1038.93</v>
      </c>
      <c r="AN147" t="inlineStr">
        <is>
          <t>https://tinyurl.com/y8fauzr2</t>
        </is>
      </c>
      <c r="AO147" t="inlineStr">
        <is>
          <t>DPS Pagoda Tour 112 RP 178CM</t>
        </is>
      </c>
      <c r="AP147" t="inlineStr">
        <is>
          <t>Neptune Mountaineering</t>
        </is>
      </c>
      <c r="AQ147" s="333" t="n">
        <v>1039</v>
      </c>
      <c r="AR147" t="inlineStr">
        <is>
          <t>https://tinyurl.com/ybaqzqlu</t>
        </is>
      </c>
      <c r="AS147" s="314">
        <f>IF(LEFT(C147,1)=" ",RIGHT(C147,LEN(C147)-1),C147)</f>
        <v/>
      </c>
      <c r="AT147" s="281">
        <f>_xlfn.CONCAT(B147,AS147,D147,E147)</f>
        <v/>
      </c>
    </row>
    <row r="148">
      <c r="A148" t="inlineStr">
        <is>
          <t>21/22</t>
        </is>
      </c>
      <c r="B148" t="inlineStr">
        <is>
          <t xml:space="preserve"> Dynastar</t>
        </is>
      </c>
      <c r="C148" t="inlineStr">
        <is>
          <t>M-Pro 99</t>
        </is>
      </c>
      <c r="D148" t="n">
        <v>170</v>
      </c>
      <c r="E148" t="inlineStr">
        <is>
          <t xml:space="preserve"> Unisex</t>
        </is>
      </c>
      <c r="F148" t="n">
        <v>170</v>
      </c>
      <c r="G148" t="n">
        <v>169</v>
      </c>
      <c r="H148" t="n">
        <v>121</v>
      </c>
      <c r="I148" t="n">
        <v>137</v>
      </c>
      <c r="J148" t="n">
        <v>125</v>
      </c>
      <c r="K148" t="n">
        <v>96</v>
      </c>
      <c r="L148" t="n">
        <v>115</v>
      </c>
      <c r="M148" t="n">
        <v>17.6</v>
      </c>
      <c r="N148" t="n">
        <v>1830</v>
      </c>
      <c r="O148" t="n">
        <v>0.98</v>
      </c>
      <c r="P148" t="n">
        <v>1791</v>
      </c>
      <c r="Q148" t="n">
        <v>253</v>
      </c>
      <c r="R148" t="n">
        <v>93</v>
      </c>
      <c r="S148" t="n">
        <v>60</v>
      </c>
      <c r="T148" t="n">
        <v>330</v>
      </c>
      <c r="U148" t="n">
        <v>12</v>
      </c>
      <c r="V148" t="n">
        <v>146</v>
      </c>
      <c r="W148" t="n">
        <v>0.196999999999999</v>
      </c>
      <c r="X148" t="n">
        <v>202</v>
      </c>
      <c r="Y148" t="n">
        <v>116</v>
      </c>
      <c r="Z148" t="n">
        <v>127</v>
      </c>
      <c r="AA148" t="n">
        <v>6</v>
      </c>
      <c r="AB148" t="n">
        <v>12.1</v>
      </c>
      <c r="AC148" t="inlineStr">
        <is>
          <t xml:space="preserve"> Resort Freeride</t>
        </is>
      </c>
      <c r="AG148" t="inlineStr">
        <is>
          <t>Dynastar M-Pro 99 W Skis Women's 2022 - 170</t>
        </is>
      </c>
      <c r="AH148" t="inlineStr">
        <is>
          <t>Snowcountry.eu</t>
        </is>
      </c>
      <c r="AI148" s="333" t="n">
        <v>414</v>
      </c>
      <c r="AJ148" t="inlineStr">
        <is>
          <t>https://tinyurl.com/yce4hdzx</t>
        </is>
      </c>
      <c r="AK148" t="inlineStr">
        <is>
          <t>Dynastar M-PRO 99 170cm</t>
        </is>
      </c>
      <c r="AL148" t="inlineStr">
        <is>
          <t>Sundance Ski and Board Shop</t>
        </is>
      </c>
      <c r="AM148" s="333" t="n">
        <v>481.19</v>
      </c>
      <c r="AN148" t="inlineStr">
        <is>
          <t>https://tinyurl.com/yabw54zu</t>
        </is>
      </c>
      <c r="AO148" t="inlineStr">
        <is>
          <t>Dynastar M-Pro 99 W Skis Women's 2022 - 170</t>
        </is>
      </c>
      <c r="AP148" t="inlineStr">
        <is>
          <t>Next Adventure</t>
        </is>
      </c>
      <c r="AQ148" s="333" t="n">
        <v>489.97</v>
      </c>
      <c r="AR148" t="inlineStr">
        <is>
          <t>https://tinyurl.com/y8k3a9df</t>
        </is>
      </c>
      <c r="AS148" s="314">
        <f>IF(LEFT(C148,1)=" ",RIGHT(C148,LEN(C148)-1),C148)</f>
        <v/>
      </c>
      <c r="AT148" s="281">
        <f>_xlfn.CONCAT(B148,AS148,D148,E148)</f>
        <v/>
      </c>
    </row>
    <row r="149">
      <c r="A149" t="inlineStr">
        <is>
          <t>21/22</t>
        </is>
      </c>
      <c r="B149" t="inlineStr">
        <is>
          <t xml:space="preserve"> Vï¿½lkl</t>
        </is>
      </c>
      <c r="C149" t="inlineStr">
        <is>
          <t>Blaze 106 W</t>
        </is>
      </c>
      <c r="D149" t="n">
        <v>165</v>
      </c>
      <c r="E149" t="inlineStr">
        <is>
          <t xml:space="preserve"> Women's</t>
        </is>
      </c>
      <c r="F149" t="n">
        <v>165</v>
      </c>
      <c r="G149" t="n">
        <v>164.2</v>
      </c>
      <c r="H149" t="n">
        <v>90</v>
      </c>
      <c r="I149" t="n">
        <v>140</v>
      </c>
      <c r="J149" t="n">
        <v>145</v>
      </c>
      <c r="K149" t="n">
        <v>105</v>
      </c>
      <c r="L149" t="n">
        <v>127</v>
      </c>
      <c r="M149" t="n">
        <v>15</v>
      </c>
      <c r="N149" t="n">
        <v>1626</v>
      </c>
      <c r="O149" t="n">
        <v>1.19</v>
      </c>
      <c r="P149" t="n">
        <v>1933</v>
      </c>
      <c r="Q149" t="n">
        <v>176</v>
      </c>
      <c r="R149" t="n">
        <v>100</v>
      </c>
      <c r="S149" t="n">
        <v>53</v>
      </c>
      <c r="T149" t="n">
        <v>458</v>
      </c>
      <c r="U149" t="n">
        <v>23</v>
      </c>
      <c r="V149" t="n">
        <v>289</v>
      </c>
      <c r="W149" t="n">
        <v>0.437999999999999</v>
      </c>
      <c r="X149" t="n">
        <v>137</v>
      </c>
      <c r="Y149" t="n">
        <v>107</v>
      </c>
      <c r="Z149" t="n">
        <v>321</v>
      </c>
      <c r="AA149" t="n">
        <v>1</v>
      </c>
      <c r="AB149" t="n">
        <v>12.4</v>
      </c>
      <c r="AC149" t="inlineStr">
        <is>
          <t xml:space="preserve"> Powder</t>
        </is>
      </c>
      <c r="AD149" t="inlineStr">
        <is>
          <t xml:space="preserve"> Touring</t>
        </is>
      </c>
      <c r="AG149" t="inlineStr">
        <is>
          <t>Volkl Blaze 106 W</t>
        </is>
      </c>
      <c r="AH149" t="inlineStr">
        <is>
          <t>! OutdoorXL.com</t>
        </is>
      </c>
      <c r="AI149" s="333" t="n">
        <v>469.95</v>
      </c>
      <c r="AJ149" t="inlineStr">
        <is>
          <t>https://www.google.com/url?q=https://www.outdoorxl.com/volkl-blaze-106-women.html%3Fprl%3D92-3458x144-2321&amp;sa=U&amp;ved=0ahUKEwia3ZOLte72AhX_C0QIHUauDysQsDwIgAE&amp;usg=AOvVaw1tavKG6g81SvsjBml-NUke</t>
        </is>
      </c>
      <c r="AK149" t="inlineStr">
        <is>
          <t>Volkl Blaze 106 W Alpine Skis 2022 - - 165 cm</t>
        </is>
      </c>
      <c r="AL149" t="inlineStr">
        <is>
          <t>Skirack</t>
        </is>
      </c>
      <c r="AM149" s="333" t="n">
        <v>479.96</v>
      </c>
      <c r="AN149" t="inlineStr">
        <is>
          <t>https://tinyurl.com/yc6czaso</t>
        </is>
      </c>
      <c r="AO149" t="inlineStr">
        <is>
          <t>Volkl Blaze 106 w 2022 (Size: 165) | By Alpine Shop Vermont</t>
        </is>
      </c>
      <c r="AP149" t="inlineStr">
        <is>
          <t>AlpineShopVT.com</t>
        </is>
      </c>
      <c r="AQ149" s="333" t="n">
        <v>479.99</v>
      </c>
      <c r="AR149" t="inlineStr">
        <is>
          <t>https://tinyurl.com/ya9q33sv</t>
        </is>
      </c>
      <c r="AS149" s="314">
        <f>IF(LEFT(C149,1)=" ",RIGHT(C149,LEN(C149)-1),C149)</f>
        <v/>
      </c>
      <c r="AT149" s="281">
        <f>_xlfn.CONCAT(B149,AS149,D149,E149)</f>
        <v/>
      </c>
    </row>
    <row r="150">
      <c r="A150" t="inlineStr">
        <is>
          <t>21/22</t>
        </is>
      </c>
      <c r="B150" t="inlineStr">
        <is>
          <t xml:space="preserve"> Line</t>
        </is>
      </c>
      <c r="C150" t="inlineStr">
        <is>
          <t xml:space="preserve"> Sir Francis Bacon Shorty</t>
        </is>
      </c>
      <c r="D150" t="n">
        <v>155</v>
      </c>
      <c r="E150" t="inlineStr">
        <is>
          <t xml:space="preserve"> Junior</t>
        </is>
      </c>
      <c r="F150" t="n">
        <v>155</v>
      </c>
      <c r="G150" t="n">
        <v>152.3</v>
      </c>
      <c r="H150" t="n">
        <v>76</v>
      </c>
      <c r="I150" t="n">
        <v>119</v>
      </c>
      <c r="J150" t="n">
        <v>132</v>
      </c>
      <c r="K150" t="n">
        <v>106</v>
      </c>
      <c r="L150" t="n">
        <v>129</v>
      </c>
      <c r="M150" t="n">
        <v>13.2</v>
      </c>
      <c r="N150" t="n">
        <v>1682</v>
      </c>
      <c r="O150" t="n">
        <v>1.05</v>
      </c>
      <c r="P150" t="n">
        <v>1761</v>
      </c>
      <c r="Q150" t="n">
        <v>177</v>
      </c>
      <c r="R150" t="n">
        <v>87</v>
      </c>
      <c r="S150" t="n">
        <v>52</v>
      </c>
      <c r="T150" t="n">
        <v>366</v>
      </c>
      <c r="U150" t="n">
        <v>50</v>
      </c>
      <c r="V150" t="n">
        <v>400</v>
      </c>
      <c r="W150" t="n">
        <v>0.957</v>
      </c>
      <c r="X150" t="n">
        <v>179</v>
      </c>
      <c r="Y150" t="n">
        <v>158</v>
      </c>
      <c r="Z150" t="n">
        <v>186</v>
      </c>
      <c r="AA150" t="n">
        <v>1</v>
      </c>
      <c r="AB150" t="n">
        <v>3.5</v>
      </c>
      <c r="AC150" t="inlineStr">
        <is>
          <t xml:space="preserve"> Freeski</t>
        </is>
      </c>
      <c r="AD150" t="inlineStr">
        <is>
          <t xml:space="preserve"> Powder</t>
        </is>
      </c>
      <c r="AG150" t="inlineStr">
        <is>
          <t>Line Sir Francis Bacon Shorty Skis 2021</t>
        </is>
      </c>
      <c r="AH150" t="inlineStr">
        <is>
          <t>LINE Skis</t>
        </is>
      </c>
      <c r="AI150" s="333" t="n">
        <v>369.95</v>
      </c>
      <c r="AJ150" t="inlineStr">
        <is>
          <t>https://tinyurl.com/yd46c7hj</t>
        </is>
      </c>
      <c r="AK150" t="inlineStr">
        <is>
          <t>Line Sir Francis Bacon Shorty Skis</t>
        </is>
      </c>
      <c r="AL150" t="inlineStr">
        <is>
          <t>Cole Sport</t>
        </is>
      </c>
      <c r="AM150" s="333" t="n">
        <v>369.95</v>
      </c>
      <c r="AN150" t="inlineStr">
        <is>
          <t>https://tinyurl.com/y9v5bq2q</t>
        </is>
      </c>
      <c r="AS150" s="314">
        <f>IF(LEFT(C150,1)=" ",RIGHT(C150,LEN(C150)-1),C150)</f>
        <v/>
      </c>
      <c r="AT150" s="281">
        <f>_xlfn.CONCAT(B150,AS150,D150,E150)</f>
        <v/>
      </c>
    </row>
    <row r="151">
      <c r="A151" t="inlineStr">
        <is>
          <t>21/22</t>
        </is>
      </c>
      <c r="B151" t="inlineStr">
        <is>
          <t xml:space="preserve"> DPS</t>
        </is>
      </c>
      <c r="C151" t="inlineStr">
        <is>
          <t>Pagoda Piste 90 RP</t>
        </is>
      </c>
      <c r="D151" t="n">
        <v>171</v>
      </c>
      <c r="E151" t="inlineStr">
        <is>
          <t xml:space="preserve"> Unisex</t>
        </is>
      </c>
      <c r="F151" t="n">
        <v>171</v>
      </c>
      <c r="G151" t="n">
        <v>169.2</v>
      </c>
      <c r="H151" t="n">
        <v>124</v>
      </c>
      <c r="I151" t="n">
        <v>130</v>
      </c>
      <c r="J151" t="n">
        <v>122</v>
      </c>
      <c r="K151" t="n">
        <v>90</v>
      </c>
      <c r="L151" t="n">
        <v>107</v>
      </c>
      <c r="M151" t="n">
        <v>15</v>
      </c>
      <c r="N151" t="n">
        <v>1643</v>
      </c>
      <c r="O151" t="n">
        <v>1.04</v>
      </c>
      <c r="P151" t="n">
        <v>1714</v>
      </c>
      <c r="Q151" t="n">
        <v>217</v>
      </c>
      <c r="R151" t="n">
        <v>112</v>
      </c>
      <c r="S151" t="n">
        <v>49</v>
      </c>
      <c r="T151" t="n">
        <v>310</v>
      </c>
      <c r="U151" t="n">
        <v>7</v>
      </c>
      <c r="V151" t="n">
        <v>140</v>
      </c>
      <c r="W151" t="n">
        <v>0.148</v>
      </c>
      <c r="X151" t="n">
        <v>199</v>
      </c>
      <c r="Y151" t="n">
        <v>197</v>
      </c>
      <c r="Z151" t="n">
        <v>111</v>
      </c>
      <c r="AA151" t="n">
        <v>9</v>
      </c>
      <c r="AB151" t="n">
        <v>11.8</v>
      </c>
      <c r="AC151" t="inlineStr">
        <is>
          <t xml:space="preserve"> Resort Freeride</t>
        </is>
      </c>
      <c r="AG151" t="inlineStr">
        <is>
          <t>DPS Pagoda Piste 90 RP Skis Â· 171 cm Â· Yellow</t>
        </is>
      </c>
      <c r="AH151" t="inlineStr">
        <is>
          <t>Powder7 Ski Shop</t>
        </is>
      </c>
      <c r="AI151" s="333" t="n">
        <v>1039.2</v>
      </c>
      <c r="AJ151" t="inlineStr">
        <is>
          <t>https://tinyurl.com/y9bejlkg</t>
        </is>
      </c>
      <c r="AK151" t="inlineStr">
        <is>
          <t>DPS Pagoda Piste 90 RP Skis Â· 171 cm Â· Yellow</t>
        </is>
      </c>
      <c r="AL151" t="inlineStr">
        <is>
          <t>Gear West Ski &amp; Bike</t>
        </is>
      </c>
      <c r="AM151" s="333" t="n">
        <v>1299</v>
      </c>
      <c r="AN151" t="inlineStr">
        <is>
          <t>https://tinyurl.com/ychc2cz5</t>
        </is>
      </c>
      <c r="AO151" t="inlineStr">
        <is>
          <t>Pagoda Piste 90 RP Yellow - 171cm</t>
        </is>
      </c>
      <c r="AP151" t="inlineStr">
        <is>
          <t>DPS Skis</t>
        </is>
      </c>
      <c r="AQ151" s="333" t="n">
        <v>1448.99</v>
      </c>
      <c r="AR151" t="inlineStr">
        <is>
          <t>https://tinyurl.com/y9gym9un</t>
        </is>
      </c>
      <c r="AS151" s="314">
        <f>IF(LEFT(C151,1)=" ",RIGHT(C151,LEN(C151)-1),C151)</f>
        <v/>
      </c>
      <c r="AT151" s="281">
        <f>_xlfn.CONCAT(B151,AS151,D151,E151)</f>
        <v/>
      </c>
    </row>
    <row r="152">
      <c r="A152" t="inlineStr">
        <is>
          <t>21/22</t>
        </is>
      </c>
      <c r="B152" t="inlineStr">
        <is>
          <t xml:space="preserve"> Black Crows</t>
        </is>
      </c>
      <c r="C152" t="inlineStr">
        <is>
          <t xml:space="preserve"> Camox Freebird</t>
        </is>
      </c>
      <c r="D152" t="n">
        <v>172.2</v>
      </c>
      <c r="E152" t="inlineStr">
        <is>
          <t xml:space="preserve"> Unisex</t>
        </is>
      </c>
      <c r="F152" t="n">
        <v>172.2</v>
      </c>
      <c r="G152" t="n">
        <v>171.3</v>
      </c>
      <c r="H152" t="n">
        <v>132</v>
      </c>
      <c r="I152" t="n">
        <v>144</v>
      </c>
      <c r="J152" t="n">
        <v>132</v>
      </c>
      <c r="K152" t="n">
        <v>95</v>
      </c>
      <c r="L152" t="n">
        <v>114</v>
      </c>
      <c r="M152" t="n">
        <v>17.1</v>
      </c>
      <c r="N152" t="n">
        <v>1468</v>
      </c>
      <c r="O152" t="n">
        <v>1.24</v>
      </c>
      <c r="P152" t="n">
        <v>1822</v>
      </c>
      <c r="Q152" t="n">
        <v>192</v>
      </c>
      <c r="R152" t="n">
        <v>99</v>
      </c>
      <c r="S152" t="n">
        <v>43</v>
      </c>
      <c r="T152" t="n">
        <v>252</v>
      </c>
      <c r="U152" t="n">
        <v>11</v>
      </c>
      <c r="V152" t="n">
        <v>137</v>
      </c>
      <c r="W152" t="n">
        <v>0.259</v>
      </c>
      <c r="X152" t="n">
        <v>164</v>
      </c>
      <c r="Y152" t="n">
        <v>110</v>
      </c>
      <c r="Z152" t="n">
        <v>88</v>
      </c>
      <c r="AA152" t="n">
        <v>9</v>
      </c>
      <c r="AB152" t="n">
        <v>9.4</v>
      </c>
      <c r="AC152" t="inlineStr">
        <is>
          <t xml:space="preserve"> Resort Freeride</t>
        </is>
      </c>
      <c r="AD152" t="inlineStr">
        <is>
          <t xml:space="preserve"> Touring</t>
        </is>
      </c>
      <c r="AG152" t="inlineStr">
        <is>
          <t>Skis Black Crows Camox Freebird</t>
        </is>
      </c>
      <c r="AH152" t="inlineStr">
        <is>
          <t>Ascent Outdoors</t>
        </is>
      </c>
      <c r="AI152" s="333" t="n">
        <v>514.99</v>
      </c>
      <c r="AJ152" t="inlineStr">
        <is>
          <t>https://tinyurl.com/ybgnn25u</t>
        </is>
      </c>
      <c r="AK152" t="inlineStr">
        <is>
          <t>Skis Black Crows Camox Freebird</t>
        </is>
      </c>
      <c r="AL152" t="inlineStr">
        <is>
          <t>evo.com</t>
        </is>
      </c>
      <c r="AM152" s="333" t="n">
        <v>591.96</v>
      </c>
      <c r="AN152" t="inlineStr">
        <is>
          <t>https://tinyurl.com/y7q3g93e</t>
        </is>
      </c>
      <c r="AO152" t="inlineStr">
        <is>
          <t>Skis Black Crows Camox Freebird</t>
        </is>
      </c>
      <c r="AP152" t="inlineStr">
        <is>
          <t>SkiEssentials.com</t>
        </is>
      </c>
      <c r="AQ152" s="333" t="n">
        <v>591.96</v>
      </c>
      <c r="AR152" t="inlineStr">
        <is>
          <t>https://tinyurl.com/yb79fbh8</t>
        </is>
      </c>
      <c r="AS152" s="314">
        <f>IF(LEFT(C152,1)=" ",RIGHT(C152,LEN(C152)-1),C152)</f>
        <v/>
      </c>
      <c r="AT152" s="281">
        <f>_xlfn.CONCAT(B152,AS152,D152,E152)</f>
        <v/>
      </c>
    </row>
    <row r="153">
      <c r="A153" t="inlineStr">
        <is>
          <t>21/22</t>
        </is>
      </c>
      <c r="B153" t="inlineStr">
        <is>
          <t xml:space="preserve"> DPS</t>
        </is>
      </c>
      <c r="C153" t="inlineStr">
        <is>
          <t>Pagoda Tour 100 RP</t>
        </is>
      </c>
      <c r="D153" t="n">
        <v>171</v>
      </c>
      <c r="E153" t="inlineStr">
        <is>
          <t xml:space="preserve"> Unisex</t>
        </is>
      </c>
      <c r="F153" t="n">
        <v>171</v>
      </c>
      <c r="G153" t="n">
        <v>169.5</v>
      </c>
      <c r="H153" t="n">
        <v>115</v>
      </c>
      <c r="I153" t="n">
        <v>125</v>
      </c>
      <c r="J153" t="n">
        <v>129</v>
      </c>
      <c r="K153" t="n">
        <v>100</v>
      </c>
      <c r="L153" t="n">
        <v>115</v>
      </c>
      <c r="M153" t="n">
        <v>15</v>
      </c>
      <c r="N153" t="n">
        <v>1431</v>
      </c>
      <c r="O153" t="n">
        <v>1.3</v>
      </c>
      <c r="P153" t="n">
        <v>1861</v>
      </c>
      <c r="Q153" t="n">
        <v>203</v>
      </c>
      <c r="R153" t="n">
        <v>94</v>
      </c>
      <c r="S153" t="n">
        <v>57</v>
      </c>
      <c r="T153" t="n">
        <v>332</v>
      </c>
      <c r="U153" t="n">
        <v>12</v>
      </c>
      <c r="V153" t="n">
        <v>210</v>
      </c>
      <c r="W153" t="n">
        <v>0.209</v>
      </c>
      <c r="X153" t="n">
        <v>230</v>
      </c>
      <c r="Y153" t="n">
        <v>213</v>
      </c>
      <c r="Z153" t="n">
        <v>102</v>
      </c>
      <c r="AA153" t="n">
        <v>6</v>
      </c>
      <c r="AB153" t="n">
        <v>11.9</v>
      </c>
      <c r="AC153" t="inlineStr">
        <is>
          <t xml:space="preserve"> Touring</t>
        </is>
      </c>
      <c r="AD153" t="inlineStr">
        <is>
          <t xml:space="preserve"> Ultralight Touring</t>
        </is>
      </c>
      <c r="AG153" t="inlineStr">
        <is>
          <t>DPS Pagoda Tour 100 RP Skis Â· 171 cm</t>
        </is>
      </c>
      <c r="AH153" t="inlineStr">
        <is>
          <t>Skimo &amp; SkyRun</t>
        </is>
      </c>
      <c r="AI153" s="333" t="n">
        <v>1029</v>
      </c>
      <c r="AJ153" t="inlineStr">
        <is>
          <t>https://tinyurl.com/ybnmjctq</t>
        </is>
      </c>
      <c r="AK153" t="inlineStr">
        <is>
          <t>DPS Pagoda Tour 100 RP Skis Â· 171 cm</t>
        </is>
      </c>
      <c r="AL153" t="inlineStr">
        <is>
          <t>REI</t>
        </is>
      </c>
      <c r="AM153" s="333" t="n">
        <v>1038.93</v>
      </c>
      <c r="AN153" t="inlineStr">
        <is>
          <t>https://tinyurl.com/y7lk3qs5</t>
        </is>
      </c>
      <c r="AO153" t="inlineStr">
        <is>
          <t>DPS Pagoda Tour 100 RP Skis Â· 171 cm</t>
        </is>
      </c>
      <c r="AP153" t="inlineStr">
        <is>
          <t>Backcountry.com</t>
        </is>
      </c>
      <c r="AQ153" s="333" t="n">
        <v>1039.2</v>
      </c>
      <c r="AR153" t="inlineStr">
        <is>
          <t>https://tinyurl.com/y7uglvu7</t>
        </is>
      </c>
      <c r="AS153" s="314">
        <f>IF(LEFT(C153,1)=" ",RIGHT(C153,LEN(C153)-1),C153)</f>
        <v/>
      </c>
      <c r="AT153" s="281">
        <f>_xlfn.CONCAT(B153,AS153,D153,E153)</f>
        <v/>
      </c>
    </row>
    <row r="154">
      <c r="A154" t="inlineStr">
        <is>
          <t>21/22</t>
        </is>
      </c>
      <c r="B154" t="inlineStr">
        <is>
          <t xml:space="preserve"> Rossignol</t>
        </is>
      </c>
      <c r="C154" t="inlineStr">
        <is>
          <t xml:space="preserve"> Blackops Sender</t>
        </is>
      </c>
      <c r="D154" t="n">
        <v>172</v>
      </c>
      <c r="E154" t="inlineStr">
        <is>
          <t xml:space="preserve"> Unisex</t>
        </is>
      </c>
      <c r="F154" t="n">
        <v>172</v>
      </c>
      <c r="G154" t="n">
        <v>170.6</v>
      </c>
      <c r="H154" t="n">
        <v>121</v>
      </c>
      <c r="I154" t="n">
        <v>145</v>
      </c>
      <c r="J154" t="n">
        <v>136</v>
      </c>
      <c r="K154" t="n">
        <v>101</v>
      </c>
      <c r="L154" t="n">
        <v>127</v>
      </c>
      <c r="M154" t="n">
        <v>15.4</v>
      </c>
      <c r="N154" t="n">
        <v>1793</v>
      </c>
      <c r="O154" t="n">
        <v>1.08</v>
      </c>
      <c r="P154" t="n">
        <v>1935</v>
      </c>
      <c r="Q154" t="n">
        <v>212</v>
      </c>
      <c r="R154" t="n">
        <v>94</v>
      </c>
      <c r="S154" t="n">
        <v>48</v>
      </c>
      <c r="T154" t="n">
        <v>298</v>
      </c>
      <c r="U154" t="n">
        <v>12</v>
      </c>
      <c r="V154" t="n">
        <v>197</v>
      </c>
      <c r="W154" t="n">
        <v>0.251</v>
      </c>
      <c r="X154" t="n">
        <v>146</v>
      </c>
      <c r="Y154" t="n">
        <v>109</v>
      </c>
      <c r="Z154" t="n">
        <v>153</v>
      </c>
      <c r="AA154" t="n">
        <v>6</v>
      </c>
      <c r="AB154" t="n">
        <v>6.5</v>
      </c>
      <c r="AC154" t="inlineStr">
        <is>
          <t xml:space="preserve"> Resort Freeride</t>
        </is>
      </c>
      <c r="AD154" t="inlineStr">
        <is>
          <t xml:space="preserve"> Big Mountain</t>
        </is>
      </c>
      <c r="AE154" t="inlineStr">
        <is>
          <t xml:space="preserve"> Touring</t>
        </is>
      </c>
      <c r="AG154" t="inlineStr">
        <is>
          <t>Rossignol BlackOps Sender Skis - Unisex</t>
        </is>
      </c>
      <c r="AH154" t="inlineStr">
        <is>
          <t>Level Nine Sports</t>
        </is>
      </c>
      <c r="AI154" s="333" t="n">
        <v>559.96</v>
      </c>
      <c r="AJ154" t="inlineStr">
        <is>
          <t>https://tinyurl.com/yb5dzsv4</t>
        </is>
      </c>
      <c r="AK154" t="inlineStr">
        <is>
          <t>Rossignol Blackops Sender Skis Mens 2022</t>
        </is>
      </c>
      <c r="AL154" t="inlineStr">
        <is>
          <t>BlueZone Sports</t>
        </is>
      </c>
      <c r="AM154" s="333" t="n">
        <v>559.99</v>
      </c>
      <c r="AN154" t="inlineStr">
        <is>
          <t>https://tinyurl.com/y882y5h5</t>
        </is>
      </c>
      <c r="AO154" t="inlineStr">
        <is>
          <t>Rossignol Blackops Sender with Look SPX 12 GW Grey/Organic 172cm</t>
        </is>
      </c>
      <c r="AP154" t="inlineStr">
        <is>
          <t>Sundance Ski and Board Shop</t>
        </is>
      </c>
      <c r="AQ154" s="333" t="n">
        <v>641.59</v>
      </c>
      <c r="AR154" t="inlineStr">
        <is>
          <t>https://tinyurl.com/ydcr82b5</t>
        </is>
      </c>
      <c r="AS154" s="314">
        <f>IF(LEFT(C154,1)=" ",RIGHT(C154,LEN(C154)-1),C154)</f>
        <v/>
      </c>
      <c r="AT154" s="281">
        <f>_xlfn.CONCAT(B154,AS154,D154,E154)</f>
        <v/>
      </c>
    </row>
    <row r="155">
      <c r="A155" t="inlineStr">
        <is>
          <t>21/22</t>
        </is>
      </c>
      <c r="B155" t="inlineStr">
        <is>
          <t xml:space="preserve"> Atomic</t>
        </is>
      </c>
      <c r="C155" t="inlineStr">
        <is>
          <t>Backland 95</t>
        </is>
      </c>
      <c r="D155" t="n">
        <v>177</v>
      </c>
      <c r="E155" t="inlineStr">
        <is>
          <t xml:space="preserve"> Unisex</t>
        </is>
      </c>
      <c r="F155" t="n">
        <v>177</v>
      </c>
      <c r="G155" t="n">
        <v>176</v>
      </c>
      <c r="H155" t="n">
        <v>136</v>
      </c>
      <c r="I155" t="n">
        <v>146</v>
      </c>
      <c r="J155" t="n">
        <v>126</v>
      </c>
      <c r="K155" t="n">
        <v>93</v>
      </c>
      <c r="L155" t="n">
        <v>115</v>
      </c>
      <c r="M155" t="n">
        <v>18.2</v>
      </c>
      <c r="N155" t="n">
        <v>1416</v>
      </c>
      <c r="O155" t="n">
        <v>1.29</v>
      </c>
      <c r="P155" t="n">
        <v>1830</v>
      </c>
      <c r="Q155" t="n">
        <v>214</v>
      </c>
      <c r="R155" t="n">
        <v>92</v>
      </c>
      <c r="S155" t="n">
        <v>50</v>
      </c>
      <c r="T155" t="n">
        <v>243</v>
      </c>
      <c r="U155" t="n">
        <v>10</v>
      </c>
      <c r="V155" t="n">
        <v>160</v>
      </c>
      <c r="W155" t="n">
        <v>0.209</v>
      </c>
      <c r="X155" t="n">
        <v>174</v>
      </c>
      <c r="Y155" t="n">
        <v>123</v>
      </c>
      <c r="Z155" t="n">
        <v>69</v>
      </c>
      <c r="AA155" t="n">
        <v>6</v>
      </c>
      <c r="AB155" t="n">
        <v>11.1</v>
      </c>
      <c r="AC155" t="inlineStr">
        <is>
          <t xml:space="preserve"> Touring</t>
        </is>
      </c>
      <c r="AD155" t="inlineStr">
        <is>
          <t xml:space="preserve"> Ultralight Touring</t>
        </is>
      </c>
      <c r="AG155" t="inlineStr">
        <is>
          <t>Atomic Backland 95</t>
        </is>
      </c>
      <c r="AH155" t="inlineStr">
        <is>
          <t>eBay - fun-sport-vision-shop</t>
        </is>
      </c>
      <c r="AI155" s="333" t="n">
        <v>534.13</v>
      </c>
      <c r="AJ155" t="inlineStr">
        <is>
          <t>https://tinyurl.com/y96pxv7x</t>
        </is>
      </c>
      <c r="AK155" t="inlineStr">
        <is>
          <t>Atomic Backland 95</t>
        </is>
      </c>
      <c r="AL155" t="inlineStr">
        <is>
          <t>Stowesports.com</t>
        </is>
      </c>
      <c r="AM155" s="333" t="n">
        <v>698</v>
      </c>
      <c r="AN155" t="inlineStr">
        <is>
          <t>https://tinyurl.com/yc8unnwe</t>
        </is>
      </c>
      <c r="AO155" t="inlineStr">
        <is>
          <t>Atomic Backland 95</t>
        </is>
      </c>
      <c r="AP155" t="inlineStr">
        <is>
          <t>Alaska Mountaineering &amp; Hiking</t>
        </is>
      </c>
      <c r="AQ155" s="333" t="n">
        <v>699.99</v>
      </c>
      <c r="AR155" t="inlineStr">
        <is>
          <t>https://tinyurl.com/yang2kv8</t>
        </is>
      </c>
      <c r="AS155" s="314">
        <f>IF(LEFT(C155,1)=" ",RIGHT(C155,LEN(C155)-1),C155)</f>
        <v/>
      </c>
      <c r="AT155" s="281">
        <f>_xlfn.CONCAT(B155,AS155,D155,E155)</f>
        <v/>
      </c>
    </row>
    <row r="156">
      <c r="A156" t="inlineStr">
        <is>
          <t>21/22</t>
        </is>
      </c>
      <c r="B156" t="inlineStr">
        <is>
          <t xml:space="preserve"> DPS</t>
        </is>
      </c>
      <c r="C156" t="inlineStr">
        <is>
          <t>Pagoda Tour 100 RP</t>
        </is>
      </c>
      <c r="D156" t="n">
        <v>184</v>
      </c>
      <c r="E156" t="inlineStr">
        <is>
          <t xml:space="preserve"> Unisex</t>
        </is>
      </c>
      <c r="F156" t="n">
        <v>184</v>
      </c>
      <c r="G156" t="n">
        <v>182.4</v>
      </c>
      <c r="H156" t="n">
        <v>120</v>
      </c>
      <c r="I156" t="n">
        <v>134</v>
      </c>
      <c r="J156" t="n">
        <v>133</v>
      </c>
      <c r="K156" t="n">
        <v>99</v>
      </c>
      <c r="L156" t="n">
        <v>118</v>
      </c>
      <c r="M156" t="n">
        <v>15</v>
      </c>
      <c r="N156" t="n">
        <v>1575</v>
      </c>
      <c r="O156" t="n">
        <v>1.29</v>
      </c>
      <c r="P156" t="n">
        <v>2033</v>
      </c>
      <c r="Q156" t="n">
        <v>254</v>
      </c>
      <c r="R156" t="n">
        <v>123</v>
      </c>
      <c r="S156" t="n">
        <v>68</v>
      </c>
      <c r="T156" t="n">
        <v>372</v>
      </c>
      <c r="U156" t="n">
        <v>16</v>
      </c>
      <c r="V156" t="n">
        <v>256</v>
      </c>
      <c r="W156" t="n">
        <v>0.231999999999999</v>
      </c>
      <c r="X156" t="n">
        <v>250</v>
      </c>
      <c r="Y156" t="n">
        <v>231</v>
      </c>
      <c r="Z156" t="n">
        <v>122</v>
      </c>
      <c r="AA156" t="n">
        <v>6</v>
      </c>
      <c r="AB156" t="n">
        <v>12.8</v>
      </c>
      <c r="AC156" t="inlineStr">
        <is>
          <t xml:space="preserve"> Touring</t>
        </is>
      </c>
      <c r="AD156" t="inlineStr">
        <is>
          <t xml:space="preserve"> Ultralight Touring</t>
        </is>
      </c>
      <c r="AG156" t="inlineStr">
        <is>
          <t>DPS Pagoda Tour 100 RP Skis 184cm 2022</t>
        </is>
      </c>
      <c r="AH156" t="inlineStr">
        <is>
          <t>Powder7 Ski Shop</t>
        </is>
      </c>
      <c r="AI156" s="333" t="n">
        <v>979.9299999999999</v>
      </c>
      <c r="AJ156" t="inlineStr">
        <is>
          <t>https://tinyurl.com/ycqmymbg</t>
        </is>
      </c>
      <c r="AK156" t="inlineStr">
        <is>
          <t>DPS Pagoda Tour 112 RP SE Ski 184 / Early Riser Orange</t>
        </is>
      </c>
      <c r="AL156" t="inlineStr">
        <is>
          <t>Cripple Creek Backcountry</t>
        </is>
      </c>
      <c r="AM156" s="333" t="n">
        <v>1029</v>
      </c>
      <c r="AN156" t="inlineStr">
        <is>
          <t>https://tinyurl.com/y9ekwaru</t>
        </is>
      </c>
      <c r="AO156" t="inlineStr">
        <is>
          <t>DPS Pagoda 112 RP Ski 2022, 184</t>
        </is>
      </c>
      <c r="AP156" t="inlineStr">
        <is>
          <t>Gear West Ski &amp; Bike</t>
        </is>
      </c>
      <c r="AQ156" s="333" t="n">
        <v>1299</v>
      </c>
      <c r="AR156" t="inlineStr">
        <is>
          <t>https://tinyurl.com/ycg5ergk</t>
        </is>
      </c>
      <c r="AS156" s="314">
        <f>IF(LEFT(C156,1)=" ",RIGHT(C156,LEN(C156)-1),C156)</f>
        <v/>
      </c>
      <c r="AT156" s="281">
        <f>_xlfn.CONCAT(B156,AS156,D156,E156)</f>
        <v/>
      </c>
    </row>
    <row r="157">
      <c r="A157" t="inlineStr">
        <is>
          <t>21/22</t>
        </is>
      </c>
      <c r="B157" t="inlineStr">
        <is>
          <t xml:space="preserve"> Faction</t>
        </is>
      </c>
      <c r="C157" t="inlineStr">
        <is>
          <t>Agent 2.0</t>
        </is>
      </c>
      <c r="D157" t="n">
        <v>179</v>
      </c>
      <c r="E157" t="inlineStr">
        <is>
          <t xml:space="preserve"> Unisex</t>
        </is>
      </c>
      <c r="F157" t="n">
        <v>179</v>
      </c>
      <c r="G157" t="n">
        <v>177.3</v>
      </c>
      <c r="H157" t="n">
        <v>134</v>
      </c>
      <c r="I157" t="n">
        <v>149</v>
      </c>
      <c r="J157" t="n">
        <v>127</v>
      </c>
      <c r="K157" t="n">
        <v>95</v>
      </c>
      <c r="L157" t="n">
        <v>117</v>
      </c>
      <c r="M157" t="n">
        <v>19.7</v>
      </c>
      <c r="N157" t="n">
        <v>1630</v>
      </c>
      <c r="O157" t="n">
        <v>1.16</v>
      </c>
      <c r="P157" t="n">
        <v>1883</v>
      </c>
      <c r="Q157" t="n">
        <v>218</v>
      </c>
      <c r="R157" t="n">
        <v>115</v>
      </c>
      <c r="S157" t="n">
        <v>52</v>
      </c>
      <c r="T157" t="n">
        <v>259</v>
      </c>
      <c r="U157" t="n">
        <v>21</v>
      </c>
      <c r="V157" t="n">
        <v>177</v>
      </c>
      <c r="W157" t="n">
        <v>0.396</v>
      </c>
      <c r="X157" t="n">
        <v>174</v>
      </c>
      <c r="Y157" t="n">
        <v>104</v>
      </c>
      <c r="Z157" t="n">
        <v>85</v>
      </c>
      <c r="AA157" t="n">
        <v>8</v>
      </c>
      <c r="AB157" t="n">
        <v>11.3</v>
      </c>
      <c r="AC157" t="inlineStr">
        <is>
          <t xml:space="preserve"> Resort Freeride</t>
        </is>
      </c>
      <c r="AD157" t="inlineStr">
        <is>
          <t xml:space="preserve"> Touring</t>
        </is>
      </c>
      <c r="AG157" t="inlineStr">
        <is>
          <t>Faction Agent 2.0 Skis</t>
        </is>
      </c>
      <c r="AH157" t="inlineStr">
        <is>
          <t>Gorham Bike and Ski</t>
        </is>
      </c>
      <c r="AI157" s="333" t="n">
        <v>489.99</v>
      </c>
      <c r="AJ157" t="inlineStr">
        <is>
          <t>https://tinyurl.com/ycum7qsh</t>
        </is>
      </c>
      <c r="AK157" t="inlineStr">
        <is>
          <t>Faction Agent 2.0 21/22</t>
        </is>
      </c>
      <c r="AL157" t="inlineStr">
        <is>
          <t>PRFO Sports</t>
        </is>
      </c>
      <c r="AM157" s="333" t="n">
        <v>544.55</v>
      </c>
      <c r="AN157" t="inlineStr">
        <is>
          <t>https://tinyurl.com/ybdv6449</t>
        </is>
      </c>
      <c r="AO157" t="inlineStr">
        <is>
          <t>Faction Agent 2.0 Skis</t>
        </is>
      </c>
      <c r="AP157" t="inlineStr">
        <is>
          <t>Powder7 Ski Shop</t>
        </is>
      </c>
      <c r="AQ157" s="333" t="n">
        <v>559</v>
      </c>
      <c r="AR157" t="inlineStr">
        <is>
          <t>https://tinyurl.com/y93vkr9b</t>
        </is>
      </c>
      <c r="AS157" s="314">
        <f>IF(LEFT(C157,1)=" ",RIGHT(C157,LEN(C157)-1),C157)</f>
        <v/>
      </c>
      <c r="AT157" s="281">
        <f>_xlfn.CONCAT(B157,AS157,D157,E157)</f>
        <v/>
      </c>
    </row>
    <row r="158">
      <c r="A158" t="inlineStr">
        <is>
          <t>21/22</t>
        </is>
      </c>
      <c r="B158" t="inlineStr">
        <is>
          <t xml:space="preserve"> Black Crows</t>
        </is>
      </c>
      <c r="C158" t="inlineStr">
        <is>
          <t xml:space="preserve"> Orb Freebird</t>
        </is>
      </c>
      <c r="D158" t="n">
        <v>179.3</v>
      </c>
      <c r="E158" t="inlineStr">
        <is>
          <t xml:space="preserve"> Unisex</t>
        </is>
      </c>
      <c r="F158" t="n">
        <v>179.3</v>
      </c>
      <c r="G158" t="n">
        <v>178.4</v>
      </c>
      <c r="H158" t="n">
        <v>139</v>
      </c>
      <c r="I158" t="n">
        <v>150</v>
      </c>
      <c r="J158" t="n">
        <v>127</v>
      </c>
      <c r="K158" t="n">
        <v>88</v>
      </c>
      <c r="L158" t="n">
        <v>111</v>
      </c>
      <c r="M158" t="n">
        <v>17.6</v>
      </c>
      <c r="N158" t="n">
        <v>1450</v>
      </c>
      <c r="O158" t="n">
        <v>1.24</v>
      </c>
      <c r="P158" t="n">
        <v>1793</v>
      </c>
      <c r="Q158" t="n">
        <v>189</v>
      </c>
      <c r="R158" t="n">
        <v>89</v>
      </c>
      <c r="S158" t="n">
        <v>39</v>
      </c>
      <c r="T158" t="n">
        <v>254</v>
      </c>
      <c r="U158" t="n">
        <v>11</v>
      </c>
      <c r="V158" t="n">
        <v>143</v>
      </c>
      <c r="W158" t="n">
        <v>0.27</v>
      </c>
      <c r="X158" t="n">
        <v>139</v>
      </c>
      <c r="Y158" t="n">
        <v>142</v>
      </c>
      <c r="Z158" t="n">
        <v>115</v>
      </c>
      <c r="AA158" t="n">
        <v>7</v>
      </c>
      <c r="AB158" t="n">
        <v>10.4</v>
      </c>
      <c r="AC158" t="inlineStr">
        <is>
          <t xml:space="preserve"> Resort Freeride</t>
        </is>
      </c>
      <c r="AD158" t="inlineStr">
        <is>
          <t xml:space="preserve"> Touring</t>
        </is>
      </c>
      <c r="AG158" t="inlineStr">
        <is>
          <t>Black Crows Orb Freebird Skis</t>
        </is>
      </c>
      <c r="AH158" t="inlineStr">
        <is>
          <t>! OutdoorXL.com</t>
        </is>
      </c>
      <c r="AI158" s="333" t="n">
        <v>514.95</v>
      </c>
      <c r="AJ158" t="inlineStr">
        <is>
          <t>https://tinyurl.com/yakfk2wb</t>
        </is>
      </c>
      <c r="AK158" t="inlineStr">
        <is>
          <t>Black Crows Orb Freebird Skis</t>
        </is>
      </c>
      <c r="AL158" t="inlineStr">
        <is>
          <t>Backcountry.com</t>
        </is>
      </c>
      <c r="AM158" s="333" t="n">
        <v>583.92</v>
      </c>
      <c r="AN158" t="inlineStr">
        <is>
          <t>https://tinyurl.com/yccpjq79</t>
        </is>
      </c>
      <c r="AO158" t="inlineStr">
        <is>
          <t>Black Crows Orb Freebird Skis</t>
        </is>
      </c>
      <c r="AP158" t="inlineStr">
        <is>
          <t>Powder7 Ski Shop</t>
        </is>
      </c>
      <c r="AQ158" s="333" t="n">
        <v>583.96</v>
      </c>
      <c r="AR158" t="inlineStr">
        <is>
          <t>https://tinyurl.com/y7teoe5h</t>
        </is>
      </c>
      <c r="AS158" s="314">
        <f>IF(LEFT(C158,1)=" ",RIGHT(C158,LEN(C158)-1),C158)</f>
        <v/>
      </c>
      <c r="AT158" s="281">
        <f>_xlfn.CONCAT(B158,AS158,D158,E158)</f>
        <v/>
      </c>
    </row>
    <row r="159">
      <c r="A159" t="inlineStr">
        <is>
          <t>21/22</t>
        </is>
      </c>
      <c r="B159" t="inlineStr">
        <is>
          <t xml:space="preserve"> Head</t>
        </is>
      </c>
      <c r="C159" t="inlineStr">
        <is>
          <t>Oblivion 94</t>
        </is>
      </c>
      <c r="D159" t="n">
        <v>177</v>
      </c>
      <c r="E159" t="inlineStr">
        <is>
          <t xml:space="preserve"> Unisex</t>
        </is>
      </c>
      <c r="F159" t="n">
        <v>177</v>
      </c>
      <c r="G159" t="n">
        <v>175.2</v>
      </c>
      <c r="H159" t="n">
        <v>137</v>
      </c>
      <c r="I159" t="n">
        <v>156</v>
      </c>
      <c r="J159" t="n">
        <v>126</v>
      </c>
      <c r="K159" t="n">
        <v>92</v>
      </c>
      <c r="L159" t="n">
        <v>116</v>
      </c>
      <c r="M159" t="n">
        <v>20.9</v>
      </c>
      <c r="N159" t="n">
        <v>1773</v>
      </c>
      <c r="O159" t="n">
        <v>1.01</v>
      </c>
      <c r="P159" t="n">
        <v>1793</v>
      </c>
      <c r="Q159" t="n">
        <v>181</v>
      </c>
      <c r="R159" t="n">
        <v>75</v>
      </c>
      <c r="S159" t="n">
        <v>53</v>
      </c>
      <c r="T159" t="n">
        <v>237</v>
      </c>
      <c r="U159" t="n">
        <v>37</v>
      </c>
      <c r="V159" t="n">
        <v>141</v>
      </c>
      <c r="W159" t="n">
        <v>0.6909999999999999</v>
      </c>
      <c r="X159" t="n">
        <v>98</v>
      </c>
      <c r="Y159" t="n">
        <v>92</v>
      </c>
      <c r="Z159" t="n">
        <v>139</v>
      </c>
      <c r="AA159" t="n">
        <v>10</v>
      </c>
      <c r="AB159" t="n">
        <v>5.5</v>
      </c>
      <c r="AC159" t="inlineStr">
        <is>
          <t xml:space="preserve"> Resort Freeride</t>
        </is>
      </c>
      <c r="AG159" t="inlineStr">
        <is>
          <t>Head Oblivion 94 Skis 2022 - 177</t>
        </is>
      </c>
      <c r="AH159" t="inlineStr">
        <is>
          <t>Ridgeline Bike &amp; Ski</t>
        </is>
      </c>
      <c r="AI159" s="333" t="n">
        <v>399</v>
      </c>
      <c r="AJ159" t="inlineStr">
        <is>
          <t>https://tinyurl.com/ybok3y8b</t>
        </is>
      </c>
      <c r="AK159" t="inlineStr">
        <is>
          <t>Head Oblivion 94 Gr/Bl / 177cm</t>
        </is>
      </c>
      <c r="AL159" t="inlineStr">
        <is>
          <t>Sundance Ski and Board Shop</t>
        </is>
      </c>
      <c r="AM159" s="333" t="n">
        <v>441.09</v>
      </c>
      <c r="AN159" t="inlineStr">
        <is>
          <t>https://tinyurl.com/ycbas5nl</t>
        </is>
      </c>
      <c r="AO159" t="inlineStr">
        <is>
          <t>Head Oblivion 94 Skis 2022 - 177</t>
        </is>
      </c>
      <c r="AP159" t="inlineStr">
        <is>
          <t>evo.com</t>
        </is>
      </c>
      <c r="AQ159" s="333" t="n">
        <v>499</v>
      </c>
      <c r="AR159" t="inlineStr">
        <is>
          <t>https://tinyurl.com/yats2esv</t>
        </is>
      </c>
      <c r="AS159" s="314">
        <f>IF(LEFT(C159,1)=" ",RIGHT(C159,LEN(C159)-1),C159)</f>
        <v/>
      </c>
      <c r="AT159" s="281">
        <f>_xlfn.CONCAT(B159,AS159,D159,E159)</f>
        <v/>
      </c>
    </row>
    <row r="160">
      <c r="A160" t="inlineStr">
        <is>
          <t>21/22</t>
        </is>
      </c>
      <c r="B160" t="inlineStr">
        <is>
          <t xml:space="preserve"> Armada</t>
        </is>
      </c>
      <c r="C160" t="inlineStr">
        <is>
          <t>Trace 108</t>
        </is>
      </c>
      <c r="D160" t="n">
        <v>172</v>
      </c>
      <c r="E160" t="inlineStr">
        <is>
          <t xml:space="preserve"> Women's</t>
        </is>
      </c>
      <c r="F160" t="n">
        <v>172</v>
      </c>
      <c r="G160" t="n">
        <v>171.3</v>
      </c>
      <c r="H160" t="n">
        <v>119</v>
      </c>
      <c r="I160" t="n">
        <v>136</v>
      </c>
      <c r="J160" t="n">
        <v>133</v>
      </c>
      <c r="K160" t="n">
        <v>107</v>
      </c>
      <c r="L160" t="n">
        <v>125</v>
      </c>
      <c r="M160" t="n">
        <v>18.1</v>
      </c>
      <c r="N160" t="n">
        <v>1596</v>
      </c>
      <c r="O160" t="n">
        <v>1.25</v>
      </c>
      <c r="P160" t="n">
        <v>1989</v>
      </c>
      <c r="Q160" t="n">
        <v>163</v>
      </c>
      <c r="R160" t="n">
        <v>93</v>
      </c>
      <c r="S160" t="n">
        <v>45</v>
      </c>
      <c r="T160" t="n">
        <v>355</v>
      </c>
      <c r="U160" t="n">
        <v>28</v>
      </c>
      <c r="V160" t="n">
        <v>167</v>
      </c>
      <c r="W160" t="n">
        <v>0.622</v>
      </c>
      <c r="X160" t="n">
        <v>208</v>
      </c>
      <c r="Y160" t="n">
        <v>143</v>
      </c>
      <c r="Z160" t="n">
        <v>147</v>
      </c>
      <c r="AA160" t="n">
        <v>5</v>
      </c>
      <c r="AB160" t="n">
        <v>9.800000000000001</v>
      </c>
      <c r="AC160" t="inlineStr">
        <is>
          <t xml:space="preserve"> Powder</t>
        </is>
      </c>
      <c r="AD160" t="inlineStr">
        <is>
          <t xml:space="preserve"> Touring</t>
        </is>
      </c>
      <c r="AG160" t="inlineStr">
        <is>
          <t>Armada Trace 108 Skis - Women's 2022</t>
        </is>
      </c>
      <c r="AH160" t="inlineStr">
        <is>
          <t>Snowcountry.eu</t>
        </is>
      </c>
      <c r="AI160" s="333" t="n">
        <v>423.23</v>
      </c>
      <c r="AJ160" t="inlineStr">
        <is>
          <t>https://tinyurl.com/yddyp2qu</t>
        </is>
      </c>
      <c r="AK160" t="inlineStr">
        <is>
          <t>Armada Trace 108 Skis - Women's 2022</t>
        </is>
      </c>
      <c r="AL160" t="inlineStr">
        <is>
          <t>PRFO Sports</t>
        </is>
      </c>
      <c r="AM160" s="333" t="n">
        <v>544.55</v>
      </c>
      <c r="AN160" t="inlineStr">
        <is>
          <t>https://tinyurl.com/ybkhmvho</t>
        </is>
      </c>
      <c r="AO160" t="inlineStr">
        <is>
          <t>Armada Trace 108 Skis - Women's 2022</t>
        </is>
      </c>
      <c r="AP160" t="inlineStr">
        <is>
          <t>REI</t>
        </is>
      </c>
      <c r="AQ160" s="333" t="n">
        <v>599.9299999999999</v>
      </c>
      <c r="AR160" t="inlineStr">
        <is>
          <t>https://tinyurl.com/ybor5f9j</t>
        </is>
      </c>
      <c r="AS160" s="314">
        <f>IF(LEFT(C160,1)=" ",RIGHT(C160,LEN(C160)-1),C160)</f>
        <v/>
      </c>
      <c r="AT160" s="281">
        <f>_xlfn.CONCAT(B160,AS160,D160,E160)</f>
        <v/>
      </c>
    </row>
    <row r="161">
      <c r="A161" t="inlineStr">
        <is>
          <t>22/23</t>
        </is>
      </c>
      <c r="B161" t="inlineStr">
        <is>
          <t xml:space="preserve"> DPS</t>
        </is>
      </c>
      <c r="C161" t="inlineStr">
        <is>
          <t>Pagoda Tour 106 W</t>
        </is>
      </c>
      <c r="D161" t="n">
        <v>163</v>
      </c>
      <c r="E161" t="inlineStr">
        <is>
          <t xml:space="preserve"> Women's</t>
        </is>
      </c>
      <c r="F161" t="n">
        <v>163</v>
      </c>
      <c r="G161" t="n">
        <v>161.7</v>
      </c>
      <c r="H161" t="n">
        <v>111</v>
      </c>
      <c r="I161" t="n">
        <v>124</v>
      </c>
      <c r="J161" t="n">
        <v>132</v>
      </c>
      <c r="K161" t="n">
        <v>106</v>
      </c>
      <c r="L161" t="n">
        <v>118</v>
      </c>
      <c r="M161" t="n">
        <v>18.9</v>
      </c>
      <c r="N161" t="n">
        <v>1364</v>
      </c>
      <c r="O161" t="n">
        <v>1.35</v>
      </c>
      <c r="P161" t="n">
        <v>1840</v>
      </c>
      <c r="Q161" t="n">
        <v>210</v>
      </c>
      <c r="R161" t="n">
        <v>97</v>
      </c>
      <c r="S161" t="n">
        <v>43</v>
      </c>
      <c r="T161" t="n">
        <v>273</v>
      </c>
      <c r="U161" t="n">
        <v>22</v>
      </c>
      <c r="V161" t="n">
        <v>231</v>
      </c>
      <c r="W161" t="n">
        <v>0.523</v>
      </c>
      <c r="X161" t="n">
        <v>194</v>
      </c>
      <c r="Y161" t="n">
        <v>181</v>
      </c>
      <c r="Z161" t="n">
        <v>79</v>
      </c>
      <c r="AA161" t="n">
        <v>5</v>
      </c>
      <c r="AB161" t="n">
        <v>10.7</v>
      </c>
      <c r="AC161" t="inlineStr">
        <is>
          <t xml:space="preserve"> Powder</t>
        </is>
      </c>
      <c r="AD161" t="inlineStr">
        <is>
          <t xml:space="preserve"> Touring</t>
        </is>
      </c>
      <c r="AE161" t="inlineStr">
        <is>
          <t xml:space="preserve"> Ultralight Touring</t>
        </is>
      </c>
      <c r="AG161" t="inlineStr">
        <is>
          <t>DPS Pagoda Tour 106 C2 Skis 163cm 2022</t>
        </is>
      </c>
      <c r="AH161" t="inlineStr">
        <is>
          <t>REI</t>
        </is>
      </c>
      <c r="AI161" s="333" t="n">
        <v>1038.93</v>
      </c>
      <c r="AJ161" t="inlineStr">
        <is>
          <t>https://tinyurl.com/yboc4eb2</t>
        </is>
      </c>
      <c r="AK161" t="inlineStr">
        <is>
          <t>DPS Pagoda Tour 106 C2 Skis 163cm 2022</t>
        </is>
      </c>
      <c r="AL161" t="inlineStr">
        <is>
          <t>Bentgate Mountaineering</t>
        </is>
      </c>
      <c r="AM161" s="333" t="n">
        <v>1039.2</v>
      </c>
      <c r="AN161" t="inlineStr">
        <is>
          <t>https://tinyurl.com/y9gks3cm</t>
        </is>
      </c>
      <c r="AO161" t="inlineStr">
        <is>
          <t>DPS Pagoda Tour 106 C2 Skis 163cm 2022</t>
        </is>
      </c>
      <c r="AP161" t="inlineStr">
        <is>
          <t>Skimo &amp; SkyRun</t>
        </is>
      </c>
      <c r="AQ161" s="333" t="n">
        <v>1098.95</v>
      </c>
      <c r="AR161" t="inlineStr">
        <is>
          <t>https://tinyurl.com/yd77tdub</t>
        </is>
      </c>
      <c r="AS161" s="314">
        <f>IF(LEFT(C161,1)=" ",RIGHT(C161,LEN(C161)-1),C161)</f>
        <v/>
      </c>
      <c r="AT161" s="281">
        <f>_xlfn.CONCAT(B161,AS161,D161,E161)</f>
        <v/>
      </c>
    </row>
    <row r="162">
      <c r="A162" t="inlineStr">
        <is>
          <t>21/22</t>
        </is>
      </c>
      <c r="B162" t="inlineStr">
        <is>
          <t xml:space="preserve"> Liberty</t>
        </is>
      </c>
      <c r="C162" t="inlineStr">
        <is>
          <t>Evolv 90W</t>
        </is>
      </c>
      <c r="D162" t="n">
        <v>151</v>
      </c>
      <c r="E162" t="inlineStr">
        <is>
          <t xml:space="preserve"> Women's</t>
        </is>
      </c>
      <c r="F162" t="n">
        <v>151</v>
      </c>
      <c r="G162" t="n">
        <v>150.4</v>
      </c>
      <c r="H162" t="n">
        <v>117</v>
      </c>
      <c r="I162" t="n">
        <v>131</v>
      </c>
      <c r="J162" t="n">
        <v>131</v>
      </c>
      <c r="K162" t="n">
        <v>89</v>
      </c>
      <c r="L162" t="n">
        <v>114</v>
      </c>
      <c r="M162" t="n">
        <v>12.4</v>
      </c>
      <c r="N162" t="n">
        <v>1457</v>
      </c>
      <c r="O162" t="n">
        <v>1.06</v>
      </c>
      <c r="P162" t="n">
        <v>1541</v>
      </c>
      <c r="Q162" t="n">
        <v>196</v>
      </c>
      <c r="R162" t="n">
        <v>94</v>
      </c>
      <c r="S162" t="n">
        <v>37</v>
      </c>
      <c r="T162" t="n">
        <v>205</v>
      </c>
      <c r="U162" t="n">
        <v>10</v>
      </c>
      <c r="V162" t="n">
        <v>130</v>
      </c>
      <c r="W162" t="n">
        <v>0.273999999999999</v>
      </c>
      <c r="X162" t="n">
        <v>112</v>
      </c>
      <c r="Y162" t="n">
        <v>85</v>
      </c>
      <c r="Z162" t="n">
        <v>93</v>
      </c>
      <c r="AA162" t="n">
        <v>7</v>
      </c>
      <c r="AB162" t="n">
        <v>9.699999999999999</v>
      </c>
      <c r="AC162" t="inlineStr">
        <is>
          <t xml:space="preserve"> Resort Freeride</t>
        </is>
      </c>
      <c r="AD162" t="inlineStr">
        <is>
          <t xml:space="preserve"> Touring</t>
        </is>
      </c>
      <c r="AG162" t="inlineStr">
        <is>
          <t>Liberty Evolv 90W Women's Skis</t>
        </is>
      </c>
      <c r="AH162" t="inlineStr">
        <is>
          <t>Backcountry Freeskier</t>
        </is>
      </c>
      <c r="AI162" s="333" t="n">
        <v>389</v>
      </c>
      <c r="AJ162" t="inlineStr">
        <is>
          <t>https://tinyurl.com/yam5aad8</t>
        </is>
      </c>
      <c r="AK162" t="inlineStr">
        <is>
          <t>Liberty Evolv 90W Women's Skis</t>
        </is>
      </c>
      <c r="AL162" t="inlineStr">
        <is>
          <t>eBay - david110549</t>
        </is>
      </c>
      <c r="AM162" s="333" t="n">
        <v>469.95</v>
      </c>
      <c r="AN162" t="inlineStr">
        <is>
          <t>https://tinyurl.com/y8m4m9qj</t>
        </is>
      </c>
      <c r="AO162" t="inlineStr">
        <is>
          <t>Liberty Evolv 90W Women's Skis</t>
        </is>
      </c>
      <c r="AP162" t="inlineStr">
        <is>
          <t>SkiEssentials.com</t>
        </is>
      </c>
      <c r="AQ162" s="333" t="n">
        <v>469.95</v>
      </c>
      <c r="AR162" t="inlineStr">
        <is>
          <t>https://tinyurl.com/y7wsyytc</t>
        </is>
      </c>
      <c r="AS162" s="314">
        <f>IF(LEFT(C162,1)=" ",RIGHT(C162,LEN(C162)-1),C162)</f>
        <v/>
      </c>
      <c r="AT162" s="281">
        <f>_xlfn.CONCAT(B162,AS162,D162,E162)</f>
        <v/>
      </c>
    </row>
    <row r="163">
      <c r="A163" t="inlineStr">
        <is>
          <t>21/22</t>
        </is>
      </c>
      <c r="B163" t="inlineStr">
        <is>
          <t>K2</t>
        </is>
      </c>
      <c r="C163" t="inlineStr">
        <is>
          <t>Wayback 96</t>
        </is>
      </c>
      <c r="D163" t="n">
        <v>177</v>
      </c>
      <c r="E163" t="inlineStr">
        <is>
          <t xml:space="preserve"> Unisex</t>
        </is>
      </c>
      <c r="F163" t="n">
        <v>177</v>
      </c>
      <c r="G163" t="n">
        <v>176.8</v>
      </c>
      <c r="H163" t="n">
        <v>129</v>
      </c>
      <c r="I163" t="n">
        <v>149</v>
      </c>
      <c r="J163" t="n">
        <v>127</v>
      </c>
      <c r="K163" t="n">
        <v>95</v>
      </c>
      <c r="L163" t="n">
        <v>113</v>
      </c>
      <c r="M163" t="n">
        <v>21.6</v>
      </c>
      <c r="N163" t="n">
        <v>1389</v>
      </c>
      <c r="O163" t="n">
        <v>1.33</v>
      </c>
      <c r="P163" t="n">
        <v>1844</v>
      </c>
      <c r="Q163" t="n">
        <v>213</v>
      </c>
      <c r="R163" t="n">
        <v>96</v>
      </c>
      <c r="S163" t="n">
        <v>51</v>
      </c>
      <c r="T163" t="n">
        <v>300</v>
      </c>
      <c r="U163" t="n">
        <v>9</v>
      </c>
      <c r="V163" t="n">
        <v>180</v>
      </c>
      <c r="W163" t="n">
        <v>0.172</v>
      </c>
      <c r="X163" t="n">
        <v>164</v>
      </c>
      <c r="Y163" t="n">
        <v>114</v>
      </c>
      <c r="Z163" t="n">
        <v>136</v>
      </c>
      <c r="AA163" t="n">
        <v>5</v>
      </c>
      <c r="AB163" t="n">
        <v>11.4</v>
      </c>
      <c r="AC163" t="inlineStr">
        <is>
          <t xml:space="preserve"> Touring</t>
        </is>
      </c>
      <c r="AD163" t="inlineStr">
        <is>
          <t xml:space="preserve"> Ultralight Touring</t>
        </is>
      </c>
      <c r="AG163" t="inlineStr">
        <is>
          <t>K2 Wayback 96</t>
        </is>
      </c>
      <c r="AH163" t="inlineStr">
        <is>
          <t>Snowcountry.eu</t>
        </is>
      </c>
      <c r="AI163" s="333" t="n">
        <v>340.24</v>
      </c>
      <c r="AJ163" t="inlineStr">
        <is>
          <t>https://tinyurl.com/ybhbfos4</t>
        </is>
      </c>
      <c r="AK163" t="inlineStr">
        <is>
          <t>K2 Wayback 96 177</t>
        </is>
      </c>
      <c r="AL163" t="inlineStr">
        <is>
          <t>! OutdoorXL.com</t>
        </is>
      </c>
      <c r="AM163" s="333" t="n">
        <v>414.95</v>
      </c>
      <c r="AN163" t="inlineStr">
        <is>
          <t>https://tinyurl.com/ycs9hvzr</t>
        </is>
      </c>
      <c r="AO163" t="inlineStr">
        <is>
          <t>K2 Wayback 96</t>
        </is>
      </c>
      <c r="AP163" t="inlineStr">
        <is>
          <t>Bobleisure</t>
        </is>
      </c>
      <c r="AQ163" s="333" t="n">
        <v>415.28</v>
      </c>
      <c r="AR163" t="inlineStr">
        <is>
          <t>https://tinyurl.com/ybhwnxvs</t>
        </is>
      </c>
      <c r="AS163" s="314">
        <f>IF(LEFT(C163,1)=" ",RIGHT(C163,LEN(C163)-1),C163)</f>
        <v/>
      </c>
      <c r="AT163" s="281">
        <f>_xlfn.CONCAT(B163,AS163,D163,E163)</f>
        <v/>
      </c>
    </row>
    <row r="164">
      <c r="A164" t="inlineStr">
        <is>
          <t>21/22</t>
        </is>
      </c>
      <c r="B164" t="inlineStr">
        <is>
          <t xml:space="preserve"> DPS</t>
        </is>
      </c>
      <c r="C164" t="inlineStr">
        <is>
          <t>Pagoda Piste 90 RP</t>
        </is>
      </c>
      <c r="D164" t="n">
        <v>179</v>
      </c>
      <c r="E164" t="inlineStr">
        <is>
          <t xml:space="preserve"> Unisex</t>
        </is>
      </c>
      <c r="F164" t="n">
        <v>179</v>
      </c>
      <c r="G164" t="n">
        <v>178.4</v>
      </c>
      <c r="H164" t="n">
        <v>125</v>
      </c>
      <c r="I164" t="n">
        <v>137</v>
      </c>
      <c r="J164" t="n">
        <v>125</v>
      </c>
      <c r="K164" t="n">
        <v>90</v>
      </c>
      <c r="L164" t="n">
        <v>109</v>
      </c>
      <c r="M164" t="n">
        <v>14.9</v>
      </c>
      <c r="N164" t="n">
        <v>1826</v>
      </c>
      <c r="O164" t="n">
        <v>1</v>
      </c>
      <c r="P164" t="n">
        <v>1819</v>
      </c>
      <c r="Q164" t="n">
        <v>234</v>
      </c>
      <c r="R164" t="n">
        <v>110</v>
      </c>
      <c r="S164" t="n">
        <v>56</v>
      </c>
      <c r="T164" t="n">
        <v>336</v>
      </c>
      <c r="U164" t="n">
        <v>11</v>
      </c>
      <c r="V164" t="n">
        <v>194</v>
      </c>
      <c r="W164" t="n">
        <v>0.198999999999999</v>
      </c>
      <c r="X164" t="n">
        <v>203</v>
      </c>
      <c r="Y164" t="n">
        <v>212</v>
      </c>
      <c r="Z164" t="n">
        <v>133</v>
      </c>
      <c r="AA164" t="n">
        <v>10</v>
      </c>
      <c r="AB164" t="n">
        <v>11.7</v>
      </c>
      <c r="AC164" t="inlineStr">
        <is>
          <t xml:space="preserve"> Resort Freeride</t>
        </is>
      </c>
      <c r="AG164" t="inlineStr">
        <is>
          <t>DPS Pagoda Piste 90 RP Skis - Yellow 179cm</t>
        </is>
      </c>
      <c r="AH164" t="inlineStr">
        <is>
          <t>Powder7 Ski Shop</t>
        </is>
      </c>
      <c r="AI164" s="333" t="n">
        <v>1039.2</v>
      </c>
      <c r="AJ164" t="inlineStr">
        <is>
          <t>https://tinyurl.com/y796vk8t</t>
        </is>
      </c>
      <c r="AK164" t="inlineStr">
        <is>
          <t>DPS Pagoda Piste 90 RP Skis - Yellow 179cm</t>
        </is>
      </c>
      <c r="AL164" t="inlineStr">
        <is>
          <t>Gear West Ski &amp; Bike</t>
        </is>
      </c>
      <c r="AM164" s="333" t="n">
        <v>1299</v>
      </c>
      <c r="AN164" t="inlineStr">
        <is>
          <t>https://tinyurl.com/y9g2v82a</t>
        </is>
      </c>
      <c r="AO164" t="inlineStr">
        <is>
          <t>Pagoda Piste 90 RP Orange - 179cm</t>
        </is>
      </c>
      <c r="AP164" t="inlineStr">
        <is>
          <t>DPS Skis</t>
        </is>
      </c>
      <c r="AQ164" s="333" t="n">
        <v>1299</v>
      </c>
      <c r="AR164" t="inlineStr">
        <is>
          <t>https://tinyurl.com/ycs4xjzt</t>
        </is>
      </c>
      <c r="AS164" s="314">
        <f>IF(LEFT(C164,1)=" ",RIGHT(C164,LEN(C164)-1),C164)</f>
        <v/>
      </c>
      <c r="AT164" s="281">
        <f>_xlfn.CONCAT(B164,AS164,D164,E164)</f>
        <v/>
      </c>
    </row>
    <row r="165">
      <c r="A165" t="inlineStr">
        <is>
          <t>21/22</t>
        </is>
      </c>
      <c r="B165" t="inlineStr">
        <is>
          <t xml:space="preserve"> Faction</t>
        </is>
      </c>
      <c r="C165" t="inlineStr">
        <is>
          <t>Agent 3.0 X</t>
        </is>
      </c>
      <c r="D165" t="n">
        <v>164</v>
      </c>
      <c r="E165" t="inlineStr">
        <is>
          <t xml:space="preserve"> Women's</t>
        </is>
      </c>
      <c r="F165" t="n">
        <v>164</v>
      </c>
      <c r="G165" t="n">
        <v>162.6</v>
      </c>
      <c r="H165" t="n">
        <v>117</v>
      </c>
      <c r="I165" t="n">
        <v>134</v>
      </c>
      <c r="J165" t="n">
        <v>133</v>
      </c>
      <c r="K165" t="n">
        <v>106</v>
      </c>
      <c r="L165" t="n">
        <v>124</v>
      </c>
      <c r="M165" t="n">
        <v>16.8</v>
      </c>
      <c r="N165" t="n">
        <v>1604</v>
      </c>
      <c r="O165" t="n">
        <v>1.17</v>
      </c>
      <c r="P165" t="n">
        <v>1872</v>
      </c>
      <c r="Q165" t="n">
        <v>182</v>
      </c>
      <c r="R165" t="n">
        <v>88</v>
      </c>
      <c r="S165" t="n">
        <v>53</v>
      </c>
      <c r="T165" t="n">
        <v>275</v>
      </c>
      <c r="U165" t="n">
        <v>20</v>
      </c>
      <c r="V165" t="n">
        <v>179</v>
      </c>
      <c r="W165" t="n">
        <v>0.377999999999999</v>
      </c>
      <c r="X165" t="n">
        <v>179</v>
      </c>
      <c r="Y165" t="n">
        <v>111</v>
      </c>
      <c r="Z165" t="n">
        <v>96</v>
      </c>
      <c r="AA165" t="n">
        <v>5</v>
      </c>
      <c r="AB165" t="n">
        <v>10.6</v>
      </c>
      <c r="AC165" t="inlineStr">
        <is>
          <t xml:space="preserve"> Powder</t>
        </is>
      </c>
      <c r="AD165" t="inlineStr">
        <is>
          <t xml:space="preserve"> Big Mountain</t>
        </is>
      </c>
      <c r="AE165" t="inlineStr">
        <is>
          <t xml:space="preserve"> Touring</t>
        </is>
      </c>
      <c r="AG165" t="inlineStr">
        <is>
          <t>Faction Agent 3.0x 21/22</t>
        </is>
      </c>
      <c r="AH165" t="inlineStr">
        <is>
          <t>Powder7 Ski Shop</t>
        </is>
      </c>
      <c r="AI165" s="333" t="n">
        <v>599</v>
      </c>
      <c r="AJ165" t="inlineStr">
        <is>
          <t>https://tinyurl.com/y9yddjwn</t>
        </is>
      </c>
      <c r="AK165" t="inlineStr">
        <is>
          <t>Faction Dictator 3.0 Skis 21/22</t>
        </is>
      </c>
      <c r="AL165" t="inlineStr">
        <is>
          <t>Next Adventure</t>
        </is>
      </c>
      <c r="AM165" s="333" t="n">
        <v>655.2</v>
      </c>
      <c r="AN165" t="inlineStr">
        <is>
          <t>https://tinyurl.com/yafzj69y</t>
        </is>
      </c>
      <c r="AO165" t="inlineStr">
        <is>
          <t>Faction Prodigy 0.0 with M10 GW Binding Skis</t>
        </is>
      </c>
      <c r="AP165" t="inlineStr">
        <is>
          <t>Backcountry.com</t>
        </is>
      </c>
      <c r="AQ165" s="333" t="n">
        <v>314.27</v>
      </c>
      <c r="AR165" t="inlineStr">
        <is>
          <t>https://tinyurl.com/yd29wbbx</t>
        </is>
      </c>
      <c r="AS165" s="314">
        <f>IF(LEFT(C165,1)=" ",RIGHT(C165,LEN(C165)-1),C165)</f>
        <v/>
      </c>
      <c r="AT165" s="281">
        <f>_xlfn.CONCAT(B165,AS165,D165,E165)</f>
        <v/>
      </c>
    </row>
    <row r="166">
      <c r="A166" t="inlineStr">
        <is>
          <t>21/22</t>
        </is>
      </c>
      <c r="B166" t="inlineStr">
        <is>
          <t xml:space="preserve"> DPS</t>
        </is>
      </c>
      <c r="C166" t="inlineStr">
        <is>
          <t>Foundation 103 Koala</t>
        </is>
      </c>
      <c r="D166" t="n">
        <v>176</v>
      </c>
      <c r="E166" t="inlineStr">
        <is>
          <t xml:space="preserve"> Unisex</t>
        </is>
      </c>
      <c r="F166" t="n">
        <v>176</v>
      </c>
      <c r="G166" t="n">
        <v>175.1</v>
      </c>
      <c r="H166" t="n">
        <v>117</v>
      </c>
      <c r="I166" t="n">
        <v>140</v>
      </c>
      <c r="J166" t="n">
        <v>131</v>
      </c>
      <c r="K166" t="n">
        <v>103</v>
      </c>
      <c r="L166" t="n">
        <v>120</v>
      </c>
      <c r="M166" t="n">
        <v>18.3</v>
      </c>
      <c r="N166" t="n">
        <v>1804</v>
      </c>
      <c r="O166" t="n">
        <v>1.09</v>
      </c>
      <c r="P166" t="n">
        <v>1972</v>
      </c>
      <c r="Q166" t="n">
        <v>210</v>
      </c>
      <c r="R166" t="n">
        <v>95</v>
      </c>
      <c r="S166" t="n">
        <v>48</v>
      </c>
      <c r="T166" t="n">
        <v>298</v>
      </c>
      <c r="U166" t="n">
        <v>37</v>
      </c>
      <c r="V166" t="n">
        <v>280</v>
      </c>
      <c r="W166" t="n">
        <v>0.777</v>
      </c>
      <c r="X166" t="n">
        <v>184</v>
      </c>
      <c r="Y166" t="n">
        <v>167</v>
      </c>
      <c r="Z166" t="n">
        <v>114</v>
      </c>
      <c r="AA166" t="n">
        <v>7</v>
      </c>
      <c r="AB166" t="n">
        <v>6.3</v>
      </c>
      <c r="AC166" t="inlineStr">
        <is>
          <t xml:space="preserve"> Resort Freeride</t>
        </is>
      </c>
      <c r="AD166" t="inlineStr">
        <is>
          <t xml:space="preserve"> Powder</t>
        </is>
      </c>
      <c r="AE166" t="inlineStr">
        <is>
          <t xml:space="preserve"> Touring</t>
        </is>
      </c>
      <c r="AG166" t="inlineStr">
        <is>
          <t>DPS Koala 103 Foundation Skis 2022</t>
        </is>
      </c>
      <c r="AH166" t="inlineStr">
        <is>
          <t>Gorham Bike and Ski</t>
        </is>
      </c>
      <c r="AI166" s="333" t="n">
        <v>489.99</v>
      </c>
      <c r="AJ166" t="inlineStr">
        <is>
          <t>https://tinyurl.com/ybdsa9pe</t>
        </is>
      </c>
      <c r="AK166" t="inlineStr">
        <is>
          <t>DPS Koala 103 Foundation Skis 2022</t>
        </is>
      </c>
      <c r="AL166" t="inlineStr">
        <is>
          <t>Telemark Pyrenees</t>
        </is>
      </c>
      <c r="AM166" s="333" t="n">
        <v>550</v>
      </c>
      <c r="AN166" t="inlineStr">
        <is>
          <t>https://tinyurl.com/y98frl7n</t>
        </is>
      </c>
      <c r="AO166" t="inlineStr">
        <is>
          <t>DPS Koala 103 Foundation Skis 2022</t>
        </is>
      </c>
      <c r="AP166" t="inlineStr">
        <is>
          <t>Teton Wasatch Ski Co.</t>
        </is>
      </c>
      <c r="AQ166" s="333" t="n">
        <v>559</v>
      </c>
      <c r="AR166" t="inlineStr">
        <is>
          <t>https://tinyurl.com/y8lp2gpd</t>
        </is>
      </c>
      <c r="AS166" s="314">
        <f>IF(LEFT(C166,1)=" ",RIGHT(C166,LEN(C166)-1),C166)</f>
        <v/>
      </c>
      <c r="AT166" s="281">
        <f>_xlfn.CONCAT(B166,AS166,D166,E166)</f>
        <v/>
      </c>
    </row>
    <row r="167">
      <c r="A167" t="inlineStr">
        <is>
          <t>21/22</t>
        </is>
      </c>
      <c r="B167" t="inlineStr">
        <is>
          <t xml:space="preserve"> Atomic</t>
        </is>
      </c>
      <c r="C167" t="inlineStr">
        <is>
          <t>Backland 100</t>
        </is>
      </c>
      <c r="D167" t="n">
        <v>188</v>
      </c>
      <c r="E167" t="inlineStr">
        <is>
          <t xml:space="preserve"> Unisex</t>
        </is>
      </c>
      <c r="F167" t="n">
        <v>188</v>
      </c>
      <c r="G167" t="n">
        <v>186.7</v>
      </c>
      <c r="H167" t="n">
        <v>140</v>
      </c>
      <c r="I167" t="n">
        <v>150</v>
      </c>
      <c r="J167" t="n">
        <v>129</v>
      </c>
      <c r="K167" t="n">
        <v>100</v>
      </c>
      <c r="L167" t="n">
        <v>120</v>
      </c>
      <c r="M167" t="n">
        <v>21.5</v>
      </c>
      <c r="N167" t="n">
        <v>1435</v>
      </c>
      <c r="O167" t="n">
        <v>1.4</v>
      </c>
      <c r="P167" t="n">
        <v>2009</v>
      </c>
      <c r="Q167" t="n">
        <v>217</v>
      </c>
      <c r="R167" t="n">
        <v>112</v>
      </c>
      <c r="S167" t="n">
        <v>54</v>
      </c>
      <c r="T167" t="n">
        <v>286</v>
      </c>
      <c r="U167" t="n">
        <v>14</v>
      </c>
      <c r="V167" t="n">
        <v>180</v>
      </c>
      <c r="W167" t="n">
        <v>0.251</v>
      </c>
      <c r="X167" t="n">
        <v>195</v>
      </c>
      <c r="Y167" t="n">
        <v>169</v>
      </c>
      <c r="Z167" t="n">
        <v>90</v>
      </c>
      <c r="AA167" t="n">
        <v>7</v>
      </c>
      <c r="AB167" t="n">
        <v>9</v>
      </c>
      <c r="AC167" t="inlineStr">
        <is>
          <t xml:space="preserve"> Touring</t>
        </is>
      </c>
      <c r="AD167" t="inlineStr">
        <is>
          <t xml:space="preserve"> Ultralight Touring</t>
        </is>
      </c>
      <c r="AG167" t="inlineStr">
        <is>
          <t>Atomic Backland 100 Skis 2021 188</t>
        </is>
      </c>
      <c r="AH167" t="inlineStr">
        <is>
          <t>The Startingate</t>
        </is>
      </c>
      <c r="AI167" s="333" t="n">
        <v>450</v>
      </c>
      <c r="AJ167" t="inlineStr">
        <is>
          <t>https://tinyurl.com/ycchdtj8</t>
        </is>
      </c>
      <c r="AK167" t="inlineStr">
        <is>
          <t>Atomic Backland 100 Ski 2022</t>
        </is>
      </c>
      <c r="AL167" t="inlineStr">
        <is>
          <t>JANS Mountain Outfitters</t>
        </is>
      </c>
      <c r="AM167" s="333" t="n">
        <v>468</v>
      </c>
      <c r="AN167" t="inlineStr">
        <is>
          <t>https://tinyurl.com/ybuh93v9</t>
        </is>
      </c>
      <c r="AO167" t="inlineStr">
        <is>
          <t>'21 Atomic Backland 100 Skis 188cm</t>
        </is>
      </c>
      <c r="AP167" t="inlineStr">
        <is>
          <t>Al's Ski Equipment Barn</t>
        </is>
      </c>
      <c r="AQ167" s="333" t="n">
        <v>499.95</v>
      </c>
      <c r="AR167" t="inlineStr">
        <is>
          <t>https://tinyurl.com/yac2lxu3</t>
        </is>
      </c>
      <c r="AS167" s="314">
        <f>IF(LEFT(C167,1)=" ",RIGHT(C167,LEN(C167)-1),C167)</f>
        <v/>
      </c>
      <c r="AT167" s="281">
        <f>_xlfn.CONCAT(B167,AS167,D167,E167)</f>
        <v/>
      </c>
    </row>
    <row r="168">
      <c r="A168" t="inlineStr">
        <is>
          <t>21/22</t>
        </is>
      </c>
      <c r="B168" t="inlineStr">
        <is>
          <t xml:space="preserve"> Vï¿½lkl</t>
        </is>
      </c>
      <c r="C168" t="inlineStr">
        <is>
          <t>Blaze 106 W</t>
        </is>
      </c>
      <c r="D168" t="n">
        <v>172</v>
      </c>
      <c r="E168" t="inlineStr">
        <is>
          <t xml:space="preserve"> Women's</t>
        </is>
      </c>
      <c r="F168" t="n">
        <v>172</v>
      </c>
      <c r="G168" t="n">
        <v>171.5</v>
      </c>
      <c r="H168" t="n">
        <v>95</v>
      </c>
      <c r="I168" t="n">
        <v>147</v>
      </c>
      <c r="J168" t="n">
        <v>145</v>
      </c>
      <c r="K168" t="n">
        <v>106</v>
      </c>
      <c r="L168" t="n">
        <v>127</v>
      </c>
      <c r="M168" t="n">
        <v>16.6</v>
      </c>
      <c r="N168" t="n">
        <v>1688</v>
      </c>
      <c r="O168" t="n">
        <v>1.2</v>
      </c>
      <c r="P168" t="n">
        <v>2017</v>
      </c>
      <c r="Q168" t="n">
        <v>196</v>
      </c>
      <c r="R168" t="n">
        <v>98</v>
      </c>
      <c r="S168" t="n">
        <v>54</v>
      </c>
      <c r="T168" t="n">
        <v>465</v>
      </c>
      <c r="U168" t="n">
        <v>25</v>
      </c>
      <c r="V168" t="n">
        <v>296</v>
      </c>
      <c r="W168" t="n">
        <v>0.461</v>
      </c>
      <c r="X168" t="n">
        <v>136</v>
      </c>
      <c r="Y168" t="n">
        <v>105</v>
      </c>
      <c r="Z168" t="n">
        <v>329</v>
      </c>
      <c r="AA168" t="n">
        <v>1</v>
      </c>
      <c r="AB168" t="n">
        <v>12</v>
      </c>
      <c r="AC168" t="inlineStr">
        <is>
          <t xml:space="preserve"> Powder</t>
        </is>
      </c>
      <c r="AD168" t="inlineStr">
        <is>
          <t xml:space="preserve"> Touring</t>
        </is>
      </c>
      <c r="AG168" t="inlineStr">
        <is>
          <t>Volkl Blaze 106 W Alpine Skis 2022 - - 172 cm</t>
        </is>
      </c>
      <c r="AH168" t="inlineStr">
        <is>
          <t>Skirack</t>
        </is>
      </c>
      <c r="AI168" s="333" t="n">
        <v>479.96</v>
      </c>
      <c r="AJ168" t="inlineStr">
        <is>
          <t>https://tinyurl.com/ybwjqe44</t>
        </is>
      </c>
      <c r="AK168" t="inlineStr">
        <is>
          <t>Volkl Blaze 106 w 2022 (Size: 172) | By Alpine Shop Vermont</t>
        </is>
      </c>
      <c r="AL168" t="inlineStr">
        <is>
          <t>AlpineShopVT.com</t>
        </is>
      </c>
      <c r="AM168" s="333" t="n">
        <v>479.99</v>
      </c>
      <c r="AN168" t="inlineStr">
        <is>
          <t>https://tinyurl.com/y7frq6wt</t>
        </is>
      </c>
      <c r="AO168" t="inlineStr">
        <is>
          <t>Volkl Blaze 106 W Skis</t>
        </is>
      </c>
      <c r="AP168" t="inlineStr">
        <is>
          <t>Cole Sport</t>
        </is>
      </c>
      <c r="AQ168" s="333" t="n">
        <v>479.99</v>
      </c>
      <c r="AR168" t="inlineStr">
        <is>
          <t>https://tinyurl.com/y8qwuror</t>
        </is>
      </c>
      <c r="AS168" s="314">
        <f>IF(LEFT(C168,1)=" ",RIGHT(C168,LEN(C168)-1),C168)</f>
        <v/>
      </c>
      <c r="AT168" s="281">
        <f>_xlfn.CONCAT(B168,AS168,D168,E168)</f>
        <v/>
      </c>
    </row>
    <row r="169">
      <c r="A169" t="inlineStr">
        <is>
          <t>21/22</t>
        </is>
      </c>
      <c r="B169" t="inlineStr">
        <is>
          <t xml:space="preserve"> Vï¿½lkl</t>
        </is>
      </c>
      <c r="C169" t="inlineStr">
        <is>
          <t>Blaze 106</t>
        </is>
      </c>
      <c r="D169" t="n">
        <v>172</v>
      </c>
      <c r="E169" t="inlineStr">
        <is>
          <t xml:space="preserve"> Unisex</t>
        </is>
      </c>
      <c r="F169" t="n">
        <v>172</v>
      </c>
      <c r="G169" t="n">
        <v>171.7</v>
      </c>
      <c r="H169" t="n">
        <v>96</v>
      </c>
      <c r="I169" t="n">
        <v>148</v>
      </c>
      <c r="J169" t="n">
        <v>144</v>
      </c>
      <c r="K169" t="n">
        <v>105</v>
      </c>
      <c r="L169" t="n">
        <v>127</v>
      </c>
      <c r="M169" t="n">
        <v>16.9</v>
      </c>
      <c r="N169" t="n">
        <v>1642</v>
      </c>
      <c r="O169" t="n">
        <v>1.23</v>
      </c>
      <c r="P169" t="n">
        <v>2013</v>
      </c>
      <c r="Q169" t="n">
        <v>192</v>
      </c>
      <c r="R169" t="n">
        <v>95</v>
      </c>
      <c r="S169" t="n">
        <v>54</v>
      </c>
      <c r="T169" t="n">
        <v>475</v>
      </c>
      <c r="U169" t="n">
        <v>24</v>
      </c>
      <c r="V169" t="n">
        <v>277</v>
      </c>
      <c r="W169" t="n">
        <v>0.44</v>
      </c>
      <c r="X169" t="n">
        <v>138</v>
      </c>
      <c r="Y169" t="n">
        <v>96</v>
      </c>
      <c r="Z169" t="n">
        <v>337</v>
      </c>
      <c r="AA169" t="n">
        <v>1</v>
      </c>
      <c r="AB169" t="n">
        <v>11.6</v>
      </c>
      <c r="AC169" t="inlineStr">
        <is>
          <t xml:space="preserve"> Powder</t>
        </is>
      </c>
      <c r="AD169" t="inlineStr">
        <is>
          <t xml:space="preserve"> Touring</t>
        </is>
      </c>
      <c r="AG169" t="inlineStr">
        <is>
          <t>Volkl Blaze 106 Skis 2022</t>
        </is>
      </c>
      <c r="AH169" t="inlineStr">
        <is>
          <t>Gorham Bike and Ski</t>
        </is>
      </c>
      <c r="AI169" s="333" t="n">
        <v>419.99</v>
      </c>
      <c r="AJ169" t="inlineStr">
        <is>
          <t>https://tinyurl.com/ybw969zp</t>
        </is>
      </c>
      <c r="AK169" t="inlineStr">
        <is>
          <t>Volkl Blaze 106 Skis</t>
        </is>
      </c>
      <c r="AL169" t="inlineStr">
        <is>
          <t>Powder7 Ski Shop</t>
        </is>
      </c>
      <c r="AM169" s="333" t="n">
        <v>439.93</v>
      </c>
      <c r="AN169" t="inlineStr">
        <is>
          <t>https://tinyurl.com/ybwqss5c</t>
        </is>
      </c>
      <c r="AO169" t="inlineStr">
        <is>
          <t>Volkl Blaze 106 Skis 2022</t>
        </is>
      </c>
      <c r="AP169" t="inlineStr">
        <is>
          <t>REI</t>
        </is>
      </c>
      <c r="AQ169" s="333" t="n">
        <v>479.93</v>
      </c>
      <c r="AR169" t="inlineStr">
        <is>
          <t>https://tinyurl.com/yas2uwhn</t>
        </is>
      </c>
      <c r="AS169" s="314">
        <f>IF(LEFT(C169,1)=" ",RIGHT(C169,LEN(C169)-1),C169)</f>
        <v/>
      </c>
      <c r="AT169" s="281">
        <f>_xlfn.CONCAT(B169,AS169,D169,E169)</f>
        <v/>
      </c>
    </row>
    <row r="170">
      <c r="A170" t="inlineStr">
        <is>
          <t>21/22</t>
        </is>
      </c>
      <c r="B170" t="inlineStr">
        <is>
          <t xml:space="preserve"> Rossignol</t>
        </is>
      </c>
      <c r="C170" t="inlineStr">
        <is>
          <t xml:space="preserve"> Blackops Rallybird Ti W</t>
        </is>
      </c>
      <c r="D170" t="n">
        <v>171</v>
      </c>
      <c r="E170" t="inlineStr">
        <is>
          <t xml:space="preserve"> Women's</t>
        </is>
      </c>
      <c r="F170" t="n">
        <v>171</v>
      </c>
      <c r="G170" t="n">
        <v>170.6</v>
      </c>
      <c r="H170" t="n">
        <v>117</v>
      </c>
      <c r="I170" t="n">
        <v>146</v>
      </c>
      <c r="J170" t="n">
        <v>137</v>
      </c>
      <c r="K170" t="n">
        <v>101</v>
      </c>
      <c r="L170" t="n">
        <v>127</v>
      </c>
      <c r="M170" t="n">
        <v>15.3</v>
      </c>
      <c r="N170" t="n">
        <v>1829</v>
      </c>
      <c r="O170" t="n">
        <v>1.06</v>
      </c>
      <c r="P170" t="n">
        <v>1938</v>
      </c>
      <c r="Q170" t="n">
        <v>232</v>
      </c>
      <c r="R170" t="n">
        <v>94</v>
      </c>
      <c r="S170" t="n">
        <v>47</v>
      </c>
      <c r="T170" t="n">
        <v>300</v>
      </c>
      <c r="U170" t="n">
        <v>14</v>
      </c>
      <c r="V170" t="n">
        <v>233</v>
      </c>
      <c r="W170" t="n">
        <v>0.307</v>
      </c>
      <c r="X170" t="n">
        <v>151</v>
      </c>
      <c r="Y170" t="n">
        <v>99</v>
      </c>
      <c r="Z170" t="n">
        <v>149</v>
      </c>
      <c r="AA170" t="n">
        <v>4</v>
      </c>
      <c r="AB170" t="n">
        <v>6.9</v>
      </c>
      <c r="AC170" t="inlineStr">
        <is>
          <t xml:space="preserve"> Resort Freeride</t>
        </is>
      </c>
      <c r="AD170" t="inlineStr">
        <is>
          <t xml:space="preserve"> Big Mountain</t>
        </is>
      </c>
      <c r="AE170" t="inlineStr">
        <is>
          <t xml:space="preserve"> Touring</t>
        </is>
      </c>
      <c r="AG170" t="inlineStr">
        <is>
          <t>Rossignol Blackops W Rallybird Ti Skis</t>
        </is>
      </c>
      <c r="AH170" t="inlineStr">
        <is>
          <t>Cole Sport</t>
        </is>
      </c>
      <c r="AI170" s="333" t="n">
        <v>639.96</v>
      </c>
      <c r="AJ170" t="inlineStr">
        <is>
          <t>https://tinyurl.com/y9gtyxxn</t>
        </is>
      </c>
      <c r="AK170" t="inlineStr">
        <is>
          <t>Rossignol Women's Freeride Skis Blackops W Rallybird Ti</t>
        </is>
      </c>
      <c r="AL170" t="inlineStr">
        <is>
          <t>Rossignol US</t>
        </is>
      </c>
      <c r="AM170" s="333" t="n">
        <v>799.95</v>
      </c>
      <c r="AN170" t="inlineStr">
        <is>
          <t>https://tinyurl.com/yaz9apzk</t>
        </is>
      </c>
      <c r="AO170" t="inlineStr">
        <is>
          <t>Rossignol Blackops Rallybird Ti Skis - Women's - 2022</t>
        </is>
      </c>
      <c r="AP170" t="inlineStr">
        <is>
          <t>Snowcountry.eu</t>
        </is>
      </c>
      <c r="AQ170" s="333" t="n">
        <v>451.78</v>
      </c>
      <c r="AR170" t="inlineStr">
        <is>
          <t>https://tinyurl.com/yb9gkrrx</t>
        </is>
      </c>
      <c r="AS170" s="314">
        <f>IF(LEFT(C170,1)=" ",RIGHT(C170,LEN(C170)-1),C170)</f>
        <v/>
      </c>
      <c r="AT170" s="281">
        <f>_xlfn.CONCAT(B170,AS170,D170,E170)</f>
        <v/>
      </c>
    </row>
    <row r="171">
      <c r="A171" t="inlineStr">
        <is>
          <t>21/22</t>
        </is>
      </c>
      <c r="B171" t="inlineStr">
        <is>
          <t xml:space="preserve"> Black Crows</t>
        </is>
      </c>
      <c r="C171" t="inlineStr">
        <is>
          <t xml:space="preserve"> Serpo</t>
        </is>
      </c>
      <c r="D171" t="n">
        <v>186.3</v>
      </c>
      <c r="E171" t="inlineStr">
        <is>
          <t xml:space="preserve"> Unisex</t>
        </is>
      </c>
      <c r="F171" t="n">
        <v>186.3</v>
      </c>
      <c r="G171" t="n">
        <v>185.8</v>
      </c>
      <c r="H171" t="n">
        <v>119</v>
      </c>
      <c r="I171" t="n">
        <v>162</v>
      </c>
      <c r="J171" t="n">
        <v>131</v>
      </c>
      <c r="K171" t="n">
        <v>91</v>
      </c>
      <c r="L171" t="n">
        <v>114</v>
      </c>
      <c r="M171" t="n">
        <v>19.8</v>
      </c>
      <c r="N171" t="n">
        <v>1964</v>
      </c>
      <c r="O171" t="n">
        <v>0.98</v>
      </c>
      <c r="P171" t="n">
        <v>1927</v>
      </c>
      <c r="Q171" t="n">
        <v>220</v>
      </c>
      <c r="R171" t="n">
        <v>113</v>
      </c>
      <c r="S171" t="n">
        <v>51</v>
      </c>
      <c r="T171" t="n">
        <v>362</v>
      </c>
      <c r="U171" t="n">
        <v>15</v>
      </c>
      <c r="V171" t="n">
        <v>310</v>
      </c>
      <c r="W171" t="n">
        <v>0.296</v>
      </c>
      <c r="X171" t="n">
        <v>121</v>
      </c>
      <c r="Y171" t="n">
        <v>115</v>
      </c>
      <c r="Z171" t="n">
        <v>241</v>
      </c>
      <c r="AA171" t="n">
        <v>2</v>
      </c>
      <c r="AB171" t="n">
        <v>8.1</v>
      </c>
      <c r="AC171" t="inlineStr">
        <is>
          <t xml:space="preserve"> Resort Freeride</t>
        </is>
      </c>
      <c r="AG171" t="inlineStr">
        <is>
          <t>Black Crows Serpo Skis 2022</t>
        </is>
      </c>
      <c r="AH171" t="inlineStr">
        <is>
          <t>eBay - asogear</t>
        </is>
      </c>
      <c r="AI171" s="333" t="n">
        <v>593.99</v>
      </c>
      <c r="AJ171" t="inlineStr">
        <is>
          <t>https://tinyurl.com/ycsu3bh9</t>
        </is>
      </c>
      <c r="AK171" t="inlineStr">
        <is>
          <t>Black Crows Serpo Skis 2022</t>
        </is>
      </c>
      <c r="AL171" t="inlineStr">
        <is>
          <t>Saint Bernard</t>
        </is>
      </c>
      <c r="AM171" s="333" t="n">
        <v>671.9</v>
      </c>
      <c r="AN171" t="inlineStr">
        <is>
          <t>https://tinyurl.com/y8yedsgu</t>
        </is>
      </c>
      <c r="AO171" t="inlineStr">
        <is>
          <t>Black Crows Serpo Skis 2022</t>
        </is>
      </c>
      <c r="AP171" t="inlineStr">
        <is>
          <t>Powder7 Ski Shop</t>
        </is>
      </c>
      <c r="AQ171" s="333" t="n">
        <v>671.9299999999999</v>
      </c>
      <c r="AR171" t="inlineStr">
        <is>
          <t>https://tinyurl.com/y7c4pkjn</t>
        </is>
      </c>
      <c r="AS171" s="314">
        <f>IF(LEFT(C171,1)=" ",RIGHT(C171,LEN(C171)-1),C171)</f>
        <v/>
      </c>
      <c r="AT171" s="281">
        <f>_xlfn.CONCAT(B171,AS171,D171,E171)</f>
        <v/>
      </c>
    </row>
    <row r="172">
      <c r="A172" t="inlineStr">
        <is>
          <t>21/22</t>
        </is>
      </c>
      <c r="B172" t="inlineStr">
        <is>
          <t xml:space="preserve"> Ferreol</t>
        </is>
      </c>
      <c r="C172" t="inlineStr">
        <is>
          <t>Explo 96</t>
        </is>
      </c>
      <c r="D172" t="n">
        <v>162</v>
      </c>
      <c r="E172" t="inlineStr">
        <is>
          <t xml:space="preserve"> Unisex</t>
        </is>
      </c>
      <c r="F172" t="n">
        <v>162</v>
      </c>
      <c r="G172" t="n">
        <v>160.5</v>
      </c>
      <c r="H172" t="n">
        <v>115</v>
      </c>
      <c r="I172" t="n">
        <v>135</v>
      </c>
      <c r="J172" t="n">
        <v>129</v>
      </c>
      <c r="K172" t="n">
        <v>96</v>
      </c>
      <c r="L172" t="n">
        <v>118</v>
      </c>
      <c r="M172" t="n">
        <v>14.3</v>
      </c>
      <c r="N172" t="n">
        <v>1565</v>
      </c>
      <c r="O172" t="n">
        <v>1.11</v>
      </c>
      <c r="P172" t="n">
        <v>1734</v>
      </c>
      <c r="Q172" t="n">
        <v>197</v>
      </c>
      <c r="R172" t="n">
        <v>89</v>
      </c>
      <c r="S172" t="n">
        <v>59</v>
      </c>
      <c r="T172" t="n">
        <v>270</v>
      </c>
      <c r="U172" t="n">
        <v>27</v>
      </c>
      <c r="V172" t="n">
        <v>185</v>
      </c>
      <c r="W172" t="n">
        <v>0.463999999999999</v>
      </c>
      <c r="X172" t="n">
        <v>132</v>
      </c>
      <c r="Y172" t="n">
        <v>119</v>
      </c>
      <c r="Z172" t="n">
        <v>138</v>
      </c>
      <c r="AA172" t="n">
        <v>11</v>
      </c>
      <c r="AB172" t="n">
        <v>7.8</v>
      </c>
      <c r="AC172" t="inlineStr">
        <is>
          <t xml:space="preserve"> Resort Freeride</t>
        </is>
      </c>
      <c r="AD172" t="inlineStr">
        <is>
          <t xml:space="preserve"> Touring</t>
        </is>
      </c>
      <c r="AG172" t="inlineStr">
        <is>
          <t>2022 Fischer Hannibal 96 Carbon Skis Mounted W/ Kingpin 13 284mm 162cm</t>
        </is>
      </c>
      <c r="AH172" t="inlineStr">
        <is>
          <t>eBay - david110549</t>
        </is>
      </c>
      <c r="AI172" s="333" t="n">
        <v>1049.95</v>
      </c>
      <c r="AJ172" t="inlineStr">
        <is>
          <t>https://tinyurl.com/y937wa89</t>
        </is>
      </c>
      <c r="AK172" t="inlineStr">
        <is>
          <t>Fischer Hannibal 96 Carbon Ski</t>
        </is>
      </c>
      <c r="AL172" t="inlineStr">
        <is>
          <t>SkiEssentials.com</t>
        </is>
      </c>
      <c r="AM172" s="333" t="n">
        <v>509.99</v>
      </c>
      <c r="AN172" t="inlineStr">
        <is>
          <t>https://tinyurl.com/y7uxhfbu</t>
        </is>
      </c>
      <c r="AS172" s="314">
        <f>IF(LEFT(C172,1)=" ",RIGHT(C172,LEN(C172)-1),C172)</f>
        <v/>
      </c>
      <c r="AT172" s="281">
        <f>_xlfn.CONCAT(B172,AS172,D172,E172)</f>
        <v/>
      </c>
    </row>
    <row r="173">
      <c r="A173" t="inlineStr">
        <is>
          <t>21/22</t>
        </is>
      </c>
      <c r="B173" t="inlineStr">
        <is>
          <t>K2</t>
        </is>
      </c>
      <c r="C173" t="inlineStr">
        <is>
          <t>Mindbender 115 C Alliance</t>
        </is>
      </c>
      <c r="D173" t="n">
        <v>172</v>
      </c>
      <c r="E173" t="inlineStr">
        <is>
          <t xml:space="preserve"> Women's</t>
        </is>
      </c>
      <c r="F173" t="n">
        <v>172</v>
      </c>
      <c r="G173" t="n">
        <v>172.2</v>
      </c>
      <c r="H173" t="n">
        <v>101</v>
      </c>
      <c r="I173" t="n">
        <v>131</v>
      </c>
      <c r="J173" t="n">
        <v>139</v>
      </c>
      <c r="K173" t="n">
        <v>114</v>
      </c>
      <c r="L173" t="n">
        <v>128</v>
      </c>
      <c r="M173" t="n">
        <v>20.9</v>
      </c>
      <c r="N173" t="n">
        <v>1735</v>
      </c>
      <c r="O173" t="n">
        <v>1.2</v>
      </c>
      <c r="P173" t="n">
        <v>2078</v>
      </c>
      <c r="Q173" t="n">
        <v>166</v>
      </c>
      <c r="R173" t="n">
        <v>94</v>
      </c>
      <c r="S173" t="n">
        <v>55</v>
      </c>
      <c r="T173" t="n">
        <v>411</v>
      </c>
      <c r="U173" t="n">
        <v>21</v>
      </c>
      <c r="V173" t="n">
        <v>302</v>
      </c>
      <c r="W173" t="n">
        <v>0.39</v>
      </c>
      <c r="X173" t="n">
        <v>213</v>
      </c>
      <c r="Y173" t="n">
        <v>198</v>
      </c>
      <c r="Z173" t="n">
        <v>199</v>
      </c>
      <c r="AA173" t="n">
        <v>5</v>
      </c>
      <c r="AB173" t="n">
        <v>10.5</v>
      </c>
      <c r="AC173" t="inlineStr">
        <is>
          <t xml:space="preserve"> Powder</t>
        </is>
      </c>
      <c r="AD173" t="inlineStr">
        <is>
          <t xml:space="preserve"> Big Mountain</t>
        </is>
      </c>
      <c r="AE173" t="inlineStr">
        <is>
          <t xml:space="preserve"> Touring</t>
        </is>
      </c>
      <c r="AG173" t="inlineStr">
        <is>
          <t>2022 K2 Mindbender 115C Alliance Women's Skis w/ Marker Griffon 13 ID Bindings - 172| Ski Essentials</t>
        </is>
      </c>
      <c r="AH173" t="inlineStr">
        <is>
          <t>SkiEssentials.com</t>
        </is>
      </c>
      <c r="AI173" s="333" t="n">
        <v>869.95</v>
      </c>
      <c r="AJ173" t="inlineStr">
        <is>
          <t>https://tinyurl.com/y8d3yc63</t>
        </is>
      </c>
      <c r="AK173" t="inlineStr">
        <is>
          <t>2022 K2 Mindbender 115C Alliance Women's Skis w/ Marker Griffon 13 ID Bindings - 172| Ski Essentials</t>
        </is>
      </c>
      <c r="AL173" t="inlineStr">
        <is>
          <t>eBay - david110549</t>
        </is>
      </c>
      <c r="AM173" s="333" t="n">
        <v>869.95</v>
      </c>
      <c r="AN173" t="inlineStr">
        <is>
          <t>https://tinyurl.com/yaphvyvr</t>
        </is>
      </c>
      <c r="AO173" t="inlineStr">
        <is>
          <t>K2 Mindbender 108Ti Skis 2022 172 cm</t>
        </is>
      </c>
      <c r="AP173" t="inlineStr">
        <is>
          <t>! OutdoorXL.com</t>
        </is>
      </c>
      <c r="AQ173" s="333" t="n">
        <v>489.95</v>
      </c>
      <c r="AR173" t="inlineStr">
        <is>
          <t>https://tinyurl.com/ycg4bbtr</t>
        </is>
      </c>
      <c r="AS173" s="314">
        <f>IF(LEFT(C173,1)=" ",RIGHT(C173,LEN(C173)-1),C173)</f>
        <v/>
      </c>
      <c r="AT173" s="281">
        <f>_xlfn.CONCAT(B173,AS173,D173,E173)</f>
        <v/>
      </c>
    </row>
    <row r="174">
      <c r="A174" t="inlineStr">
        <is>
          <t>22/23</t>
        </is>
      </c>
      <c r="B174" t="inlineStr">
        <is>
          <t xml:space="preserve"> DPS</t>
        </is>
      </c>
      <c r="C174" t="inlineStr">
        <is>
          <t>Pagoda Tour 112 W</t>
        </is>
      </c>
      <c r="D174" t="n">
        <v>168</v>
      </c>
      <c r="E174" t="inlineStr">
        <is>
          <t xml:space="preserve"> Women's</t>
        </is>
      </c>
      <c r="F174" t="n">
        <v>168</v>
      </c>
      <c r="G174" t="n">
        <v>166.3</v>
      </c>
      <c r="H174" t="n">
        <v>95</v>
      </c>
      <c r="I174" t="n">
        <v>111</v>
      </c>
      <c r="J174" t="n">
        <v>136</v>
      </c>
      <c r="K174" t="n">
        <v>112</v>
      </c>
      <c r="L174" t="n">
        <v>124</v>
      </c>
      <c r="M174" t="n">
        <v>15.2</v>
      </c>
      <c r="N174" t="n">
        <v>1419</v>
      </c>
      <c r="O174" t="n">
        <v>1.4</v>
      </c>
      <c r="P174" t="n">
        <v>1992</v>
      </c>
      <c r="Q174" t="n">
        <v>212</v>
      </c>
      <c r="R174" t="n">
        <v>112</v>
      </c>
      <c r="S174" t="n">
        <v>64</v>
      </c>
      <c r="T174" t="n">
        <v>403</v>
      </c>
      <c r="U174" t="n">
        <v>36</v>
      </c>
      <c r="V174" t="n">
        <v>309</v>
      </c>
      <c r="W174" t="n">
        <v>0.556</v>
      </c>
      <c r="X174" t="n">
        <v>298</v>
      </c>
      <c r="Y174" t="n">
        <v>253</v>
      </c>
      <c r="Z174" t="n">
        <v>104</v>
      </c>
      <c r="AA174" t="n">
        <v>4</v>
      </c>
      <c r="AB174" t="n">
        <v>13.3</v>
      </c>
      <c r="AC174" t="inlineStr">
        <is>
          <t xml:space="preserve"> Powder</t>
        </is>
      </c>
      <c r="AD174" t="inlineStr">
        <is>
          <t xml:space="preserve"> Touring</t>
        </is>
      </c>
      <c r="AE174" t="inlineStr">
        <is>
          <t xml:space="preserve"> Ultralight Touring</t>
        </is>
      </c>
      <c r="AG174" t="inlineStr">
        <is>
          <t>DPS Pagoda Tour 112 RP SE Ski 168 / Early Riser Orange</t>
        </is>
      </c>
      <c r="AH174" t="inlineStr">
        <is>
          <t>Cripple Creek Backcountry</t>
        </is>
      </c>
      <c r="AI174" s="333" t="n">
        <v>1029</v>
      </c>
      <c r="AJ174" t="inlineStr">
        <is>
          <t>https://tinyurl.com/yb9qbqgb</t>
        </is>
      </c>
      <c r="AK174" t="inlineStr">
        <is>
          <t>DPS Pagoda Tour 112 RP Skis 168cm</t>
        </is>
      </c>
      <c r="AL174" t="inlineStr">
        <is>
          <t>Skimo &amp; SkyRun</t>
        </is>
      </c>
      <c r="AM174" s="333" t="n">
        <v>1029</v>
      </c>
      <c r="AN174" t="inlineStr">
        <is>
          <t>https://tinyurl.com/ybrjf3kf</t>
        </is>
      </c>
      <c r="AO174" t="inlineStr">
        <is>
          <t>DPS Pagoda Tour 112 RP Skis 168cm</t>
        </is>
      </c>
      <c r="AP174" t="inlineStr">
        <is>
          <t>REI</t>
        </is>
      </c>
      <c r="AQ174" s="333" t="n">
        <v>1038.93</v>
      </c>
      <c r="AR174" t="inlineStr">
        <is>
          <t>https://tinyurl.com/y7btrxme</t>
        </is>
      </c>
      <c r="AS174" s="314">
        <f>IF(LEFT(C174,1)=" ",RIGHT(C174,LEN(C174)-1),C174)</f>
        <v/>
      </c>
      <c r="AT174" s="281">
        <f>_xlfn.CONCAT(B174,AS174,D174,E174)</f>
        <v/>
      </c>
    </row>
    <row r="175">
      <c r="A175" t="inlineStr">
        <is>
          <t>21/22</t>
        </is>
      </c>
      <c r="B175" t="inlineStr">
        <is>
          <t>K2</t>
        </is>
      </c>
      <c r="C175" t="inlineStr">
        <is>
          <t>Mindbender 108 Ti</t>
        </is>
      </c>
      <c r="D175" t="n">
        <v>172</v>
      </c>
      <c r="E175" t="inlineStr">
        <is>
          <t xml:space="preserve"> Unisex</t>
        </is>
      </c>
      <c r="F175" t="n">
        <v>172</v>
      </c>
      <c r="G175" t="n">
        <v>172.2</v>
      </c>
      <c r="H175" t="n">
        <v>100</v>
      </c>
      <c r="I175" t="n">
        <v>137</v>
      </c>
      <c r="J175" t="n">
        <v>136</v>
      </c>
      <c r="K175" t="n">
        <v>107</v>
      </c>
      <c r="L175" t="n">
        <v>124</v>
      </c>
      <c r="M175" t="n">
        <v>19.3</v>
      </c>
      <c r="N175" t="n">
        <v>1923</v>
      </c>
      <c r="O175" t="n">
        <v>1.04</v>
      </c>
      <c r="P175" t="n">
        <v>1999</v>
      </c>
      <c r="Q175" t="n">
        <v>182</v>
      </c>
      <c r="R175" t="n">
        <v>120</v>
      </c>
      <c r="S175" t="n">
        <v>48</v>
      </c>
      <c r="T175" t="n">
        <v>402</v>
      </c>
      <c r="U175" t="n">
        <v>25</v>
      </c>
      <c r="V175" t="n">
        <v>315</v>
      </c>
      <c r="W175" t="n">
        <v>0.521</v>
      </c>
      <c r="X175" t="n">
        <v>182</v>
      </c>
      <c r="Y175" t="n">
        <v>169</v>
      </c>
      <c r="Z175" t="n">
        <v>220</v>
      </c>
      <c r="AA175" t="n">
        <v>4</v>
      </c>
      <c r="AB175" t="n">
        <v>9.300000000000001</v>
      </c>
      <c r="AC175" t="inlineStr">
        <is>
          <t xml:space="preserve"> Powder</t>
        </is>
      </c>
      <c r="AG175" t="inlineStr">
        <is>
          <t>K2 Mindbender 108 Ti 2022</t>
        </is>
      </c>
      <c r="AH175" t="inlineStr">
        <is>
          <t>Level Nine Sports</t>
        </is>
      </c>
      <c r="AI175" s="333" t="n">
        <v>749.95</v>
      </c>
      <c r="AJ175" t="inlineStr">
        <is>
          <t>https://tinyurl.com/y7t7x3wx</t>
        </is>
      </c>
      <c r="AK175" t="inlineStr">
        <is>
          <t>K2 Mindbender 108Ti Skis 2022 172 cm</t>
        </is>
      </c>
      <c r="AL175" t="inlineStr">
        <is>
          <t>! OutdoorXL.com</t>
        </is>
      </c>
      <c r="AM175" s="333" t="n">
        <v>489.95</v>
      </c>
      <c r="AN175" t="inlineStr">
        <is>
          <t>https://tinyurl.com/y786qe98</t>
        </is>
      </c>
      <c r="AO175" t="inlineStr">
        <is>
          <t>K2 Mindbender 108Ti Skis 2022 172 cm</t>
        </is>
      </c>
      <c r="AP175" t="inlineStr">
        <is>
          <t>Aspen Ski and Board</t>
        </is>
      </c>
      <c r="AQ175" s="333" t="n">
        <v>599.95</v>
      </c>
      <c r="AR175" t="inlineStr">
        <is>
          <t>https://tinyurl.com/y8cgjere</t>
        </is>
      </c>
      <c r="AS175" s="314">
        <f>IF(LEFT(C175,1)=" ",RIGHT(C175,LEN(C175)-1),C175)</f>
        <v/>
      </c>
      <c r="AT175" s="281">
        <f>_xlfn.CONCAT(B175,AS175,D175,E175)</f>
        <v/>
      </c>
    </row>
    <row r="176">
      <c r="A176" t="inlineStr">
        <is>
          <t>21/22</t>
        </is>
      </c>
      <c r="B176" t="inlineStr">
        <is>
          <t xml:space="preserve"> Faction</t>
        </is>
      </c>
      <c r="C176" t="inlineStr">
        <is>
          <t>Agent 1.0 X</t>
        </is>
      </c>
      <c r="D176" t="n">
        <v>170</v>
      </c>
      <c r="E176" t="inlineStr">
        <is>
          <t xml:space="preserve"> Women's</t>
        </is>
      </c>
      <c r="F176" t="n">
        <v>170</v>
      </c>
      <c r="G176" t="n">
        <v>168.4</v>
      </c>
      <c r="H176" t="n">
        <v>130</v>
      </c>
      <c r="I176" t="n">
        <v>143</v>
      </c>
      <c r="J176" t="n">
        <v>119</v>
      </c>
      <c r="K176" t="n">
        <v>85</v>
      </c>
      <c r="L176" t="n">
        <v>109</v>
      </c>
      <c r="M176" t="n">
        <v>16.8</v>
      </c>
      <c r="N176" t="n">
        <v>1447</v>
      </c>
      <c r="O176" t="n">
        <v>1.13</v>
      </c>
      <c r="P176" t="n">
        <v>1629</v>
      </c>
      <c r="Q176" t="n">
        <v>208</v>
      </c>
      <c r="R176" t="n">
        <v>96</v>
      </c>
      <c r="S176" t="n">
        <v>50</v>
      </c>
      <c r="T176" t="n">
        <v>228</v>
      </c>
      <c r="U176" t="n">
        <v>21</v>
      </c>
      <c r="V176" t="n">
        <v>157</v>
      </c>
      <c r="W176" t="n">
        <v>0.412</v>
      </c>
      <c r="X176" t="n">
        <v>148</v>
      </c>
      <c r="Y176" t="n">
        <v>103</v>
      </c>
      <c r="Z176" t="n">
        <v>80</v>
      </c>
      <c r="AA176" t="n">
        <v>8</v>
      </c>
      <c r="AB176" t="n">
        <v>9.9</v>
      </c>
      <c r="AC176" t="inlineStr">
        <is>
          <t xml:space="preserve"> Resort Freeride</t>
        </is>
      </c>
      <c r="AD176" t="inlineStr">
        <is>
          <t xml:space="preserve"> Touring</t>
        </is>
      </c>
      <c r="AG176" t="inlineStr">
        <is>
          <t>Faction Agent 1.0 Skis 170 Cm At All Mtn Lightweight</t>
        </is>
      </c>
      <c r="AH176" t="inlineStr">
        <is>
          <t>eBay</t>
        </is>
      </c>
      <c r="AI176" s="333" t="n">
        <v>391</v>
      </c>
      <c r="AJ176" t="inlineStr">
        <is>
          <t>https://tinyurl.com/y8mymr2s</t>
        </is>
      </c>
      <c r="AK176" t="inlineStr">
        <is>
          <t>Faction Agent 1.0 Skis 2022 - 170</t>
        </is>
      </c>
      <c r="AL176" t="inlineStr">
        <is>
          <t>Telemark Pyrenees</t>
        </is>
      </c>
      <c r="AM176" s="333" t="n">
        <v>439.98</v>
      </c>
      <c r="AN176" t="inlineStr">
        <is>
          <t>https://tinyurl.com/yc4v2r8q</t>
        </is>
      </c>
      <c r="AO176" t="inlineStr">
        <is>
          <t>Faction Dictator 1.0 x Skis</t>
        </is>
      </c>
      <c r="AP176" t="inlineStr">
        <is>
          <t>Next Adventure</t>
        </is>
      </c>
      <c r="AQ176" s="333" t="n">
        <v>575.2</v>
      </c>
      <c r="AR176" t="inlineStr">
        <is>
          <t>https://tinyurl.com/yas2cooa</t>
        </is>
      </c>
      <c r="AS176" s="314">
        <f>IF(LEFT(C176,1)=" ",RIGHT(C176,LEN(C176)-1),C176)</f>
        <v/>
      </c>
      <c r="AT176" s="281">
        <f>_xlfn.CONCAT(B176,AS176,D176,E176)</f>
        <v/>
      </c>
    </row>
    <row r="177">
      <c r="A177" t="inlineStr">
        <is>
          <t>21/22</t>
        </is>
      </c>
      <c r="B177" t="inlineStr">
        <is>
          <t xml:space="preserve"> Armada</t>
        </is>
      </c>
      <c r="C177" t="inlineStr">
        <is>
          <t>Tracer 108</t>
        </is>
      </c>
      <c r="D177" t="n">
        <v>172</v>
      </c>
      <c r="E177" t="inlineStr">
        <is>
          <t xml:space="preserve"> Unisex</t>
        </is>
      </c>
      <c r="F177" t="n">
        <v>172</v>
      </c>
      <c r="G177" t="n">
        <v>171.3</v>
      </c>
      <c r="H177" t="n">
        <v>118</v>
      </c>
      <c r="I177" t="n">
        <v>135</v>
      </c>
      <c r="J177" t="n">
        <v>133</v>
      </c>
      <c r="K177" t="n">
        <v>107</v>
      </c>
      <c r="L177" t="n">
        <v>125</v>
      </c>
      <c r="M177" t="n">
        <v>17.7</v>
      </c>
      <c r="N177" t="n">
        <v>1625</v>
      </c>
      <c r="O177" t="n">
        <v>1.23</v>
      </c>
      <c r="P177" t="n">
        <v>1991</v>
      </c>
      <c r="Q177" t="n">
        <v>166</v>
      </c>
      <c r="R177" t="n">
        <v>92</v>
      </c>
      <c r="S177" t="n">
        <v>47</v>
      </c>
      <c r="T177" t="n">
        <v>371</v>
      </c>
      <c r="U177" t="n">
        <v>28</v>
      </c>
      <c r="V177" t="n">
        <v>162</v>
      </c>
      <c r="W177" t="n">
        <v>0.591</v>
      </c>
      <c r="X177" t="n">
        <v>212</v>
      </c>
      <c r="Y177" t="n">
        <v>150</v>
      </c>
      <c r="Z177" t="n">
        <v>159</v>
      </c>
      <c r="AA177" t="n">
        <v>5</v>
      </c>
      <c r="AB177" t="n">
        <v>10.2</v>
      </c>
      <c r="AC177" t="inlineStr">
        <is>
          <t xml:space="preserve"> Powder</t>
        </is>
      </c>
      <c r="AD177" t="inlineStr">
        <is>
          <t xml:space="preserve"> Touring</t>
        </is>
      </c>
      <c r="AG177" t="inlineStr">
        <is>
          <t>Armada Tracer 108 Skis 2021 - 172</t>
        </is>
      </c>
      <c r="AH177" t="inlineStr">
        <is>
          <t>Powder7 Ski Shop</t>
        </is>
      </c>
      <c r="AI177" s="333" t="n">
        <v>489.99</v>
      </c>
      <c r="AJ177" t="inlineStr">
        <is>
          <t>https://tinyurl.com/yb7r8zfo</t>
        </is>
      </c>
      <c r="AK177" t="inlineStr">
        <is>
          <t>Armada Tracer 108 172cm</t>
        </is>
      </c>
      <c r="AL177" t="inlineStr">
        <is>
          <t>Base Mountain Sports</t>
        </is>
      </c>
      <c r="AM177" s="333" t="n">
        <v>499</v>
      </c>
      <c r="AN177" t="inlineStr">
        <is>
          <t>https://tinyurl.com/ycxbx5vj</t>
        </is>
      </c>
      <c r="AO177" t="inlineStr">
        <is>
          <t>Armada Men's Tracer 108 Ski</t>
        </is>
      </c>
      <c r="AP177" t="inlineStr">
        <is>
          <t>PRFO Sports</t>
        </is>
      </c>
      <c r="AQ177" s="333" t="n">
        <v>544.55</v>
      </c>
      <c r="AR177" t="inlineStr">
        <is>
          <t>https://tinyurl.com/ybkmm2o9</t>
        </is>
      </c>
      <c r="AS177" s="314">
        <f>IF(LEFT(C177,1)=" ",RIGHT(C177,LEN(C177)-1),C177)</f>
        <v/>
      </c>
      <c r="AT177" s="281">
        <f>_xlfn.CONCAT(B177,AS177,D177,E177)</f>
        <v/>
      </c>
    </row>
    <row r="178">
      <c r="A178" t="inlineStr">
        <is>
          <t>21/22</t>
        </is>
      </c>
      <c r="B178" t="inlineStr">
        <is>
          <t xml:space="preserve"> Elan</t>
        </is>
      </c>
      <c r="C178" t="inlineStr">
        <is>
          <t>Ripstick 96 Black Edition</t>
        </is>
      </c>
      <c r="D178" t="n">
        <v>188</v>
      </c>
      <c r="E178" t="inlineStr">
        <is>
          <t xml:space="preserve"> Unisex</t>
        </is>
      </c>
      <c r="F178" t="n">
        <v>188</v>
      </c>
      <c r="G178" t="n">
        <v>184</v>
      </c>
      <c r="H178" t="n">
        <v>132</v>
      </c>
      <c r="I178" t="n">
        <v>151</v>
      </c>
      <c r="J178" t="n">
        <v>136</v>
      </c>
      <c r="K178" t="n">
        <v>94</v>
      </c>
      <c r="L178" t="n">
        <v>110</v>
      </c>
      <c r="M178" t="n">
        <v>18.9</v>
      </c>
      <c r="N178" t="n">
        <v>1775</v>
      </c>
      <c r="O178" t="n">
        <v>1.1</v>
      </c>
      <c r="P178" t="n">
        <v>1957</v>
      </c>
      <c r="Q178" t="n">
        <v>261</v>
      </c>
      <c r="R178" t="n">
        <v>107</v>
      </c>
      <c r="S178" t="n">
        <v>49</v>
      </c>
      <c r="T178" t="n">
        <v>264</v>
      </c>
      <c r="U178" t="n">
        <v>18</v>
      </c>
      <c r="V178" t="n">
        <v>260</v>
      </c>
      <c r="W178" t="n">
        <v>0.371</v>
      </c>
      <c r="X178" t="n">
        <v>172</v>
      </c>
      <c r="Y178" t="n">
        <v>159</v>
      </c>
      <c r="Z178" t="n">
        <v>93</v>
      </c>
      <c r="AA178" t="n">
        <v>5</v>
      </c>
      <c r="AB178" t="n">
        <v>8.1</v>
      </c>
      <c r="AC178" t="inlineStr">
        <is>
          <t xml:space="preserve"> Resort Freeride</t>
        </is>
      </c>
      <c r="AD178" t="inlineStr">
        <is>
          <t xml:space="preserve"> Touring</t>
        </is>
      </c>
      <c r="AG178" t="inlineStr">
        <is>
          <t>Elan Ripstick 96 Black Edition Skis 2022</t>
        </is>
      </c>
      <c r="AH178" t="inlineStr">
        <is>
          <t>! OutdoorXL.com</t>
        </is>
      </c>
      <c r="AI178" s="333" t="n">
        <v>564.95</v>
      </c>
      <c r="AJ178" t="inlineStr">
        <is>
          <t>https://tinyurl.com/y7srvzo7</t>
        </is>
      </c>
      <c r="AK178" t="inlineStr">
        <is>
          <t>Elan Ripstick 96 Black Edition Skis 2023 188</t>
        </is>
      </c>
      <c r="AL178" t="inlineStr">
        <is>
          <t>Ski Depot RaceSkis.com</t>
        </is>
      </c>
      <c r="AM178" s="333" t="n">
        <v>799.99</v>
      </c>
      <c r="AN178" t="inlineStr">
        <is>
          <t>https://tinyurl.com/y9tnt9fs</t>
        </is>
      </c>
      <c r="AO178" t="inlineStr">
        <is>
          <t>Elan Ripstick 96 Skis</t>
        </is>
      </c>
      <c r="AP178" t="inlineStr">
        <is>
          <t>eBay - asogear</t>
        </is>
      </c>
      <c r="AQ178" s="333" t="n">
        <v>419.99</v>
      </c>
      <c r="AR178" t="inlineStr">
        <is>
          <t>https://tinyurl.com/y7wn97dj</t>
        </is>
      </c>
      <c r="AS178" s="314">
        <f>IF(LEFT(C178,1)=" ",RIGHT(C178,LEN(C178)-1),C178)</f>
        <v/>
      </c>
      <c r="AT178" s="281">
        <f>_xlfn.CONCAT(B178,AS178,D178,E178)</f>
        <v/>
      </c>
    </row>
    <row r="179">
      <c r="A179" t="inlineStr">
        <is>
          <t>21/22</t>
        </is>
      </c>
      <c r="B179" t="inlineStr">
        <is>
          <t xml:space="preserve"> Armada</t>
        </is>
      </c>
      <c r="C179" t="inlineStr">
        <is>
          <t>Declivity 88 Ca</t>
        </is>
      </c>
      <c r="D179" t="n">
        <v>168</v>
      </c>
      <c r="E179" t="inlineStr">
        <is>
          <t xml:space="preserve"> Unisex</t>
        </is>
      </c>
      <c r="F179" t="n">
        <v>168</v>
      </c>
      <c r="G179" t="n">
        <v>167.5</v>
      </c>
      <c r="H179" t="n">
        <v>139</v>
      </c>
      <c r="I179" t="n">
        <v>148</v>
      </c>
      <c r="J179" t="n">
        <v>129</v>
      </c>
      <c r="K179" t="n">
        <v>87</v>
      </c>
      <c r="L179" t="n">
        <v>110</v>
      </c>
      <c r="M179" t="n">
        <v>17</v>
      </c>
      <c r="N179" t="n">
        <v>1562</v>
      </c>
      <c r="O179" t="n">
        <v>1.07</v>
      </c>
      <c r="P179" t="n">
        <v>1666</v>
      </c>
      <c r="Q179" t="n">
        <v>236</v>
      </c>
      <c r="R179" t="n">
        <v>109</v>
      </c>
      <c r="S179" t="n">
        <v>39</v>
      </c>
      <c r="T179" t="n">
        <v>182</v>
      </c>
      <c r="U179" t="n">
        <v>9</v>
      </c>
      <c r="V179" t="n">
        <v>105</v>
      </c>
      <c r="W179" t="n">
        <v>0.239</v>
      </c>
      <c r="X179" t="n">
        <v>118</v>
      </c>
      <c r="Y179" t="n">
        <v>74</v>
      </c>
      <c r="Z179" t="n">
        <v>65</v>
      </c>
      <c r="AA179" t="n">
        <v>5</v>
      </c>
      <c r="AB179" t="n">
        <v>11.3</v>
      </c>
      <c r="AC179" t="inlineStr">
        <is>
          <t xml:space="preserve"> Resort Freeride</t>
        </is>
      </c>
      <c r="AD179" t="inlineStr">
        <is>
          <t xml:space="preserve"> Touring</t>
        </is>
      </c>
      <c r="AS179" s="314">
        <f>IF(LEFT(C179,1)=" ",RIGHT(C179,LEN(C179)-1),C179)</f>
        <v/>
      </c>
      <c r="AT179" s="281">
        <f>_xlfn.CONCAT(B179,AS179,D179,E179)</f>
        <v/>
      </c>
    </row>
    <row r="180">
      <c r="A180" t="inlineStr">
        <is>
          <t>21/22</t>
        </is>
      </c>
      <c r="B180" t="inlineStr">
        <is>
          <t xml:space="preserve"> Faction</t>
        </is>
      </c>
      <c r="C180" t="inlineStr">
        <is>
          <t>Agent 3.0</t>
        </is>
      </c>
      <c r="D180" t="n">
        <v>180</v>
      </c>
      <c r="E180" t="inlineStr">
        <is>
          <t xml:space="preserve"> Unisex</t>
        </is>
      </c>
      <c r="F180" t="n">
        <v>180</v>
      </c>
      <c r="G180" t="n">
        <v>178.8</v>
      </c>
      <c r="H180" t="n">
        <v>132</v>
      </c>
      <c r="I180" t="n">
        <v>147</v>
      </c>
      <c r="J180" t="n">
        <v>134</v>
      </c>
      <c r="K180" t="n">
        <v>106</v>
      </c>
      <c r="L180" t="n">
        <v>124</v>
      </c>
      <c r="M180" t="n">
        <v>21</v>
      </c>
      <c r="N180" t="n">
        <v>1752</v>
      </c>
      <c r="O180" t="n">
        <v>1.18</v>
      </c>
      <c r="P180" t="n">
        <v>2059</v>
      </c>
      <c r="Q180" t="n">
        <v>223</v>
      </c>
      <c r="R180" t="n">
        <v>106</v>
      </c>
      <c r="S180" t="n">
        <v>51</v>
      </c>
      <c r="T180" t="n">
        <v>275</v>
      </c>
      <c r="U180" t="n">
        <v>20</v>
      </c>
      <c r="V180" t="n">
        <v>194</v>
      </c>
      <c r="W180" t="n">
        <v>0.391</v>
      </c>
      <c r="X180" t="n">
        <v>198</v>
      </c>
      <c r="Y180" t="n">
        <v>116</v>
      </c>
      <c r="Z180" t="n">
        <v>77</v>
      </c>
      <c r="AA180" t="n">
        <v>5</v>
      </c>
      <c r="AB180" t="n">
        <v>11.5</v>
      </c>
      <c r="AC180" t="inlineStr">
        <is>
          <t xml:space="preserve"> Powder</t>
        </is>
      </c>
      <c r="AD180" t="inlineStr">
        <is>
          <t xml:space="preserve"> Big Mountain</t>
        </is>
      </c>
      <c r="AE180" t="inlineStr">
        <is>
          <t xml:space="preserve"> Touring</t>
        </is>
      </c>
      <c r="AG180" t="inlineStr">
        <is>
          <t>Faction Agent 3.0x Womens Skis</t>
        </is>
      </c>
      <c r="AH180" t="inlineStr">
        <is>
          <t>Snowcountry.eu</t>
        </is>
      </c>
      <c r="AI180" s="333" t="n">
        <v>515.4299999999999</v>
      </c>
      <c r="AJ180" t="inlineStr">
        <is>
          <t>https://tinyurl.com/yanclzqx</t>
        </is>
      </c>
      <c r="AK180" t="inlineStr">
        <is>
          <t>Faction Dictator 3.0 Skis</t>
        </is>
      </c>
      <c r="AL180" t="inlineStr">
        <is>
          <t>Next Adventure</t>
        </is>
      </c>
      <c r="AM180" s="333" t="n">
        <v>655.2</v>
      </c>
      <c r="AN180" t="inlineStr">
        <is>
          <t>https://tinyurl.com/y796rvux</t>
        </is>
      </c>
      <c r="AS180" s="314">
        <f>IF(LEFT(C180,1)=" ",RIGHT(C180,LEN(C180)-1),C180)</f>
        <v/>
      </c>
      <c r="AT180" s="281">
        <f>_xlfn.CONCAT(B180,AS180,D180,E180)</f>
        <v/>
      </c>
    </row>
    <row r="181">
      <c r="A181" t="inlineStr">
        <is>
          <t>21/22</t>
        </is>
      </c>
      <c r="B181" t="inlineStr">
        <is>
          <t xml:space="preserve"> Nordica</t>
        </is>
      </c>
      <c r="C181" t="inlineStr">
        <is>
          <t>Santa Ana 104 Free</t>
        </is>
      </c>
      <c r="D181" t="n">
        <v>158</v>
      </c>
      <c r="E181" t="inlineStr">
        <is>
          <t xml:space="preserve"> Women's</t>
        </is>
      </c>
      <c r="F181" t="n">
        <v>158</v>
      </c>
      <c r="G181" t="n">
        <v>157.3</v>
      </c>
      <c r="H181" t="n">
        <v>109</v>
      </c>
      <c r="I181" t="n">
        <v>130</v>
      </c>
      <c r="J181" t="n">
        <v>132</v>
      </c>
      <c r="K181" t="n">
        <v>103</v>
      </c>
      <c r="L181" t="n">
        <v>123</v>
      </c>
      <c r="M181" t="n">
        <v>15.3</v>
      </c>
      <c r="N181" t="n">
        <v>1713</v>
      </c>
      <c r="O181" t="n">
        <v>1.03</v>
      </c>
      <c r="P181" t="n">
        <v>1771</v>
      </c>
      <c r="Q181" t="n">
        <v>174</v>
      </c>
      <c r="R181" t="n">
        <v>88</v>
      </c>
      <c r="S181" t="n">
        <v>44</v>
      </c>
      <c r="T181" t="n">
        <v>263</v>
      </c>
      <c r="U181" t="n">
        <v>32</v>
      </c>
      <c r="V181" t="n">
        <v>219</v>
      </c>
      <c r="W181" t="n">
        <v>0.719</v>
      </c>
      <c r="X181" t="n">
        <v>133</v>
      </c>
      <c r="Y181" t="n">
        <v>144</v>
      </c>
      <c r="Z181" t="n">
        <v>131</v>
      </c>
      <c r="AA181" t="n">
        <v>8</v>
      </c>
      <c r="AB181" t="n">
        <v>8.5</v>
      </c>
      <c r="AC181" t="inlineStr">
        <is>
          <t xml:space="preserve"> Resort Freeride</t>
        </is>
      </c>
      <c r="AD181" t="inlineStr">
        <is>
          <t xml:space="preserve"> Powder</t>
        </is>
      </c>
      <c r="AG181" t="inlineStr">
        <is>
          <t>Rossignol Blackops Holyshred Skis 162cm</t>
        </is>
      </c>
      <c r="AH181" t="inlineStr">
        <is>
          <t>Snowcountry.eu</t>
        </is>
      </c>
      <c r="AI181" s="333" t="n">
        <v>387.23</v>
      </c>
      <c r="AJ181" t="inlineStr">
        <is>
          <t>https://tinyurl.com/yatqsau9</t>
        </is>
      </c>
      <c r="AK181" t="inlineStr">
        <is>
          <t>Rossignol Blackops Holyshred Skis w/ Salomon Warden 11 Bindings 162</t>
        </is>
      </c>
      <c r="AL181" t="inlineStr">
        <is>
          <t>The Locals Sale</t>
        </is>
      </c>
      <c r="AM181" s="333" t="n">
        <v>499</v>
      </c>
      <c r="AN181" t="inlineStr">
        <is>
          <t>https://tinyurl.com/yayrpagl</t>
        </is>
      </c>
      <c r="AO181" t="inlineStr">
        <is>
          <t>Rossignol Blackops Holyshred Skis 162cm</t>
        </is>
      </c>
      <c r="AP181" t="inlineStr">
        <is>
          <t>Powder7 Ski Shop</t>
        </is>
      </c>
      <c r="AQ181" s="333" t="n">
        <v>559.9299999999999</v>
      </c>
      <c r="AR181" t="inlineStr">
        <is>
          <t>https://tinyurl.com/yc8d4qon</t>
        </is>
      </c>
      <c r="AS181" s="314">
        <f>IF(LEFT(C181,1)=" ",RIGHT(C181,LEN(C181)-1),C181)</f>
        <v/>
      </c>
      <c r="AT181" s="281">
        <f>_xlfn.CONCAT(B181,AS181,D181,E181)</f>
        <v/>
      </c>
    </row>
    <row r="182">
      <c r="A182" t="inlineStr">
        <is>
          <t>21/22</t>
        </is>
      </c>
      <c r="B182" t="inlineStr">
        <is>
          <t xml:space="preserve"> Rossignol</t>
        </is>
      </c>
      <c r="C182" t="inlineStr">
        <is>
          <t xml:space="preserve"> Blackops Rallybird Ti W</t>
        </is>
      </c>
      <c r="D182" t="n">
        <v>163</v>
      </c>
      <c r="E182" t="inlineStr">
        <is>
          <t xml:space="preserve"> Women's</t>
        </is>
      </c>
      <c r="F182" t="n">
        <v>163</v>
      </c>
      <c r="G182" t="n">
        <v>162.7</v>
      </c>
      <c r="H182" t="n">
        <v>107</v>
      </c>
      <c r="I182" t="n">
        <v>136</v>
      </c>
      <c r="J182" t="n">
        <v>136</v>
      </c>
      <c r="K182" t="n">
        <v>100</v>
      </c>
      <c r="L182" t="n">
        <v>127</v>
      </c>
      <c r="M182" t="n">
        <v>13</v>
      </c>
      <c r="N182" t="n">
        <v>1742</v>
      </c>
      <c r="O182" t="n">
        <v>1.06</v>
      </c>
      <c r="P182" t="n">
        <v>1841</v>
      </c>
      <c r="Q182" t="n">
        <v>190</v>
      </c>
      <c r="R182" t="n">
        <v>98</v>
      </c>
      <c r="S182" t="n">
        <v>50</v>
      </c>
      <c r="T182" t="n">
        <v>304</v>
      </c>
      <c r="U182" t="n">
        <v>16</v>
      </c>
      <c r="V182" t="n">
        <v>251</v>
      </c>
      <c r="W182" t="n">
        <v>0.322</v>
      </c>
      <c r="X182" t="n">
        <v>157</v>
      </c>
      <c r="Y182" t="n">
        <v>108</v>
      </c>
      <c r="Z182" t="n">
        <v>147</v>
      </c>
      <c r="AA182" t="n">
        <v>3</v>
      </c>
      <c r="AB182" t="n">
        <v>6.3</v>
      </c>
      <c r="AC182" t="inlineStr">
        <is>
          <t xml:space="preserve"> Resort Freeride</t>
        </is>
      </c>
      <c r="AD182" t="inlineStr">
        <is>
          <t xml:space="preserve"> Big Mountain</t>
        </is>
      </c>
      <c r="AE182" t="inlineStr">
        <is>
          <t xml:space="preserve"> Touring</t>
        </is>
      </c>
      <c r="AG182" t="inlineStr">
        <is>
          <t>Rossignol Blackops W Rallybird Ti Skis</t>
        </is>
      </c>
      <c r="AH182" t="inlineStr">
        <is>
          <t>Cole Sport</t>
        </is>
      </c>
      <c r="AI182" s="333" t="n">
        <v>639.96</v>
      </c>
      <c r="AJ182" t="inlineStr">
        <is>
          <t>https://tinyurl.com/y8jg8a2f</t>
        </is>
      </c>
      <c r="AK182" t="inlineStr">
        <is>
          <t>Rossignol Blackops Rallybird Ti Skis - Women's - 2022</t>
        </is>
      </c>
      <c r="AL182" t="inlineStr">
        <is>
          <t>Snowcountry.eu</t>
        </is>
      </c>
      <c r="AM182" s="333" t="n">
        <v>451.78</v>
      </c>
      <c r="AN182" t="inlineStr">
        <is>
          <t>https://tinyurl.com/ycyvgf5u</t>
        </is>
      </c>
      <c r="AO182" t="inlineStr">
        <is>
          <t>Rossignol Blackops Rallybird Ti Skis - Women's - 2022</t>
        </is>
      </c>
      <c r="AP182" t="inlineStr">
        <is>
          <t>Backcountry.com</t>
        </is>
      </c>
      <c r="AQ182" s="333" t="n">
        <v>599.96</v>
      </c>
      <c r="AR182" t="inlineStr">
        <is>
          <t>https://tinyurl.com/y75p7zsk</t>
        </is>
      </c>
      <c r="AS182" s="314">
        <f>IF(LEFT(C182,1)=" ",RIGHT(C182,LEN(C182)-1),C182)</f>
        <v/>
      </c>
      <c r="AT182" s="281">
        <f>_xlfn.CONCAT(B182,AS182,D182,E182)</f>
        <v/>
      </c>
    </row>
    <row r="183">
      <c r="A183" t="inlineStr">
        <is>
          <t>21/22</t>
        </is>
      </c>
      <c r="B183" t="inlineStr">
        <is>
          <t xml:space="preserve"> Vï¿½lkl</t>
        </is>
      </c>
      <c r="C183" t="inlineStr">
        <is>
          <t>Kenja 88</t>
        </is>
      </c>
      <c r="D183" t="n">
        <v>163</v>
      </c>
      <c r="E183" t="inlineStr">
        <is>
          <t xml:space="preserve"> Women's</t>
        </is>
      </c>
      <c r="F183" t="n">
        <v>163</v>
      </c>
      <c r="G183" t="n">
        <v>164</v>
      </c>
      <c r="H183" t="n">
        <v>104</v>
      </c>
      <c r="I183" t="n">
        <v>140</v>
      </c>
      <c r="J183" t="n">
        <v>128</v>
      </c>
      <c r="K183" t="n">
        <v>87</v>
      </c>
      <c r="L183" t="n">
        <v>110</v>
      </c>
      <c r="M183" t="n">
        <v>14.7</v>
      </c>
      <c r="N183" t="n">
        <v>1707</v>
      </c>
      <c r="O183" t="n">
        <v>0.96</v>
      </c>
      <c r="P183" t="n">
        <v>1644</v>
      </c>
      <c r="Q183" t="n">
        <v>195</v>
      </c>
      <c r="R183" t="n">
        <v>125</v>
      </c>
      <c r="S183" t="n">
        <v>44</v>
      </c>
      <c r="T183" t="n">
        <v>361</v>
      </c>
      <c r="U183" t="n">
        <v>18</v>
      </c>
      <c r="V183" t="n">
        <v>238</v>
      </c>
      <c r="W183" t="n">
        <v>0.401</v>
      </c>
      <c r="X183" t="n">
        <v>133</v>
      </c>
      <c r="Y183" t="n">
        <v>105</v>
      </c>
      <c r="Z183" t="n">
        <v>228</v>
      </c>
      <c r="AA183" t="n">
        <v>3</v>
      </c>
      <c r="AB183" t="n">
        <v>11</v>
      </c>
      <c r="AC183" t="inlineStr">
        <is>
          <t xml:space="preserve"> Resort Freeride</t>
        </is>
      </c>
      <c r="AG183" t="inlineStr">
        <is>
          <t>VÃ¶lkl Kenja 88 22/23 Skis Â· Women's Â· 163 cm</t>
        </is>
      </c>
      <c r="AH183" t="inlineStr">
        <is>
          <t>Curated</t>
        </is>
      </c>
      <c r="AI183" s="333" t="n">
        <v>699.99</v>
      </c>
      <c r="AJ183" t="inlineStr">
        <is>
          <t>https://tinyurl.com/yam6a4l5</t>
        </is>
      </c>
      <c r="AK183" t="inlineStr">
        <is>
          <t>Volkl Kenja 88 163cm</t>
        </is>
      </c>
      <c r="AL183" t="inlineStr">
        <is>
          <t>Sundance Ski and Board Shop</t>
        </is>
      </c>
      <c r="AM183" s="333" t="n">
        <v>481.19</v>
      </c>
      <c r="AN183" t="inlineStr">
        <is>
          <t>https://tinyurl.com/yclpqa5b</t>
        </is>
      </c>
      <c r="AO183" t="inlineStr">
        <is>
          <t>Volkl Ladies' Kenja 88 Flat Ski 2020-2021 | RED / 163</t>
        </is>
      </c>
      <c r="AP183" t="inlineStr">
        <is>
          <t>Ski Pro  - Snow Ski &amp; Snowboard</t>
        </is>
      </c>
      <c r="AQ183" s="333" t="n">
        <v>499.95</v>
      </c>
      <c r="AR183" t="inlineStr">
        <is>
          <t>https://tinyurl.com/yby6dvoo</t>
        </is>
      </c>
      <c r="AS183" s="314">
        <f>IF(LEFT(C183,1)=" ",RIGHT(C183,LEN(C183)-1),C183)</f>
        <v/>
      </c>
      <c r="AT183" s="281">
        <f>_xlfn.CONCAT(B183,AS183,D183,E183)</f>
        <v/>
      </c>
    </row>
    <row r="184">
      <c r="A184" t="inlineStr">
        <is>
          <t>21/22</t>
        </is>
      </c>
      <c r="B184" t="inlineStr">
        <is>
          <t xml:space="preserve"> Atomic</t>
        </is>
      </c>
      <c r="C184" t="inlineStr">
        <is>
          <t>Maverick 88 Ti</t>
        </is>
      </c>
      <c r="D184" t="n">
        <v>169</v>
      </c>
      <c r="E184" t="inlineStr">
        <is>
          <t xml:space="preserve"> Unisex</t>
        </is>
      </c>
      <c r="F184" t="n">
        <v>169</v>
      </c>
      <c r="G184" t="n">
        <v>168</v>
      </c>
      <c r="H184" t="n">
        <v>120</v>
      </c>
      <c r="I184" t="n">
        <v>144</v>
      </c>
      <c r="J184" t="n">
        <v>122</v>
      </c>
      <c r="K184" t="n">
        <v>86</v>
      </c>
      <c r="L184" t="n">
        <v>106</v>
      </c>
      <c r="M184" t="n">
        <v>17.1</v>
      </c>
      <c r="N184" t="n">
        <v>1591</v>
      </c>
      <c r="O184" t="n">
        <v>1.03</v>
      </c>
      <c r="P184" t="n">
        <v>1637</v>
      </c>
      <c r="Q184" t="n">
        <v>189</v>
      </c>
      <c r="R184" t="n">
        <v>122</v>
      </c>
      <c r="S184" t="n">
        <v>53</v>
      </c>
      <c r="T184" t="n">
        <v>288</v>
      </c>
      <c r="U184" t="n">
        <v>13</v>
      </c>
      <c r="V184" t="n">
        <v>192</v>
      </c>
      <c r="W184" t="n">
        <v>0.251</v>
      </c>
      <c r="X184" t="n">
        <v>148</v>
      </c>
      <c r="Y184" t="n">
        <v>94</v>
      </c>
      <c r="Z184" t="n">
        <v>139</v>
      </c>
      <c r="AA184" t="n">
        <v>6</v>
      </c>
      <c r="AB184" t="n">
        <v>8.800000000000001</v>
      </c>
      <c r="AC184" t="inlineStr">
        <is>
          <t xml:space="preserve"> Resort Freeride</t>
        </is>
      </c>
      <c r="AG184" t="inlineStr">
        <is>
          <t>Atomic Maverick 88 Ti Skis</t>
        </is>
      </c>
      <c r="AH184" t="inlineStr">
        <is>
          <t>REI</t>
        </is>
      </c>
      <c r="AI184" s="333" t="n">
        <v>519.9299999999999</v>
      </c>
      <c r="AJ184" t="inlineStr">
        <is>
          <t>https://tinyurl.com/y9pesc5h</t>
        </is>
      </c>
      <c r="AK184" t="inlineStr">
        <is>
          <t>Atomic Maverick 88 Ti Skis</t>
        </is>
      </c>
      <c r="AL184" t="inlineStr">
        <is>
          <t>SkiEssentials.com</t>
        </is>
      </c>
      <c r="AM184" s="333" t="n">
        <v>519.99</v>
      </c>
      <c r="AN184" t="inlineStr">
        <is>
          <t>https://tinyurl.com/y9msw8nk</t>
        </is>
      </c>
      <c r="AO184" t="inlineStr">
        <is>
          <t>Atomic Maverick 88 Ti Skis</t>
        </is>
      </c>
      <c r="AP184" t="inlineStr">
        <is>
          <t>Outdoor Gear Exchange</t>
        </is>
      </c>
      <c r="AQ184" s="333" t="n">
        <v>519.99</v>
      </c>
      <c r="AR184" t="inlineStr">
        <is>
          <t>https://tinyurl.com/yanojflu</t>
        </is>
      </c>
      <c r="AS184" s="314">
        <f>IF(LEFT(C184,1)=" ",RIGHT(C184,LEN(C184)-1),C184)</f>
        <v/>
      </c>
      <c r="AT184" s="281">
        <f>_xlfn.CONCAT(B184,AS184,D184,E184)</f>
        <v/>
      </c>
    </row>
    <row r="185">
      <c r="A185" t="inlineStr">
        <is>
          <t>21/22</t>
        </is>
      </c>
      <c r="B185" t="inlineStr">
        <is>
          <t xml:space="preserve"> Armada</t>
        </is>
      </c>
      <c r="C185" t="inlineStr">
        <is>
          <t>Tracer 88</t>
        </is>
      </c>
      <c r="D185" t="n">
        <v>182</v>
      </c>
      <c r="E185" t="inlineStr">
        <is>
          <t xml:space="preserve"> Unisex</t>
        </is>
      </c>
      <c r="F185" t="n">
        <v>182</v>
      </c>
      <c r="G185" t="n">
        <v>181.2</v>
      </c>
      <c r="H185" t="n">
        <v>146</v>
      </c>
      <c r="I185" t="n">
        <v>151</v>
      </c>
      <c r="J185" t="n">
        <v>116</v>
      </c>
      <c r="K185" t="n">
        <v>87</v>
      </c>
      <c r="L185" t="n">
        <v>108</v>
      </c>
      <c r="M185" t="n">
        <v>21.7</v>
      </c>
      <c r="N185" t="n">
        <v>1329</v>
      </c>
      <c r="O185" t="n">
        <v>1.31</v>
      </c>
      <c r="P185" t="n">
        <v>1745</v>
      </c>
      <c r="Q185" t="n">
        <v>226</v>
      </c>
      <c r="R185" t="n">
        <v>96</v>
      </c>
      <c r="S185" t="n">
        <v>41</v>
      </c>
      <c r="T185" t="n">
        <v>215</v>
      </c>
      <c r="U185" t="n">
        <v>11</v>
      </c>
      <c r="V185" t="n">
        <v>134</v>
      </c>
      <c r="W185" t="n">
        <v>0.267</v>
      </c>
      <c r="X185" t="n">
        <v>186</v>
      </c>
      <c r="Y185" t="n">
        <v>115</v>
      </c>
      <c r="Z185" t="n">
        <v>29</v>
      </c>
      <c r="AA185" t="n">
        <v>5</v>
      </c>
      <c r="AB185" t="n">
        <v>8.300000000000001</v>
      </c>
      <c r="AC185" t="inlineStr">
        <is>
          <t xml:space="preserve"> Touring</t>
        </is>
      </c>
      <c r="AD185" t="inlineStr">
        <is>
          <t xml:space="preserve"> Ultralight Touring</t>
        </is>
      </c>
      <c r="AG185" t="inlineStr">
        <is>
          <t>Armada - Tracer 88 - 182 Silver</t>
        </is>
      </c>
      <c r="AH185" t="inlineStr">
        <is>
          <t>Snowcountry.eu</t>
        </is>
      </c>
      <c r="AI185" s="333" t="n">
        <v>367.9</v>
      </c>
      <c r="AJ185" t="inlineStr">
        <is>
          <t>https://tinyurl.com/yca45qg5</t>
        </is>
      </c>
      <c r="AK185" t="inlineStr">
        <is>
          <t>2020 Armada Tracer 88 Skis 182</t>
        </is>
      </c>
      <c r="AL185" t="inlineStr">
        <is>
          <t>SkiYard</t>
        </is>
      </c>
      <c r="AM185" s="333" t="n">
        <v>379.99</v>
      </c>
      <c r="AN185" t="inlineStr">
        <is>
          <t>https://tinyurl.com/y7fw3fy5</t>
        </is>
      </c>
      <c r="AO185" t="inlineStr">
        <is>
          <t>Armada Tracer 88 White-Purple 182 Ski Men</t>
        </is>
      </c>
      <c r="AP185" t="inlineStr">
        <is>
          <t>! OutdoorXL.com</t>
        </is>
      </c>
      <c r="AQ185" s="333" t="n">
        <v>424.95</v>
      </c>
      <c r="AR185" t="inlineStr">
        <is>
          <t>https://tinyurl.com/y86wb38a</t>
        </is>
      </c>
      <c r="AS185" s="314">
        <f>IF(LEFT(C185,1)=" ",RIGHT(C185,LEN(C185)-1),C185)</f>
        <v/>
      </c>
      <c r="AT185" s="281">
        <f>_xlfn.CONCAT(B185,AS185,D185,E185)</f>
        <v/>
      </c>
    </row>
    <row r="186">
      <c r="A186" t="inlineStr">
        <is>
          <t>21/22</t>
        </is>
      </c>
      <c r="B186" t="inlineStr">
        <is>
          <t xml:space="preserve"> Line</t>
        </is>
      </c>
      <c r="C186" t="inlineStr">
        <is>
          <t>Vision 118</t>
        </is>
      </c>
      <c r="D186" t="n">
        <v>183</v>
      </c>
      <c r="E186" t="inlineStr">
        <is>
          <t xml:space="preserve"> Unisex</t>
        </is>
      </c>
      <c r="F186" t="n">
        <v>183</v>
      </c>
      <c r="G186" t="n">
        <v>182.6</v>
      </c>
      <c r="H186" t="n">
        <v>102</v>
      </c>
      <c r="I186" t="n">
        <v>147</v>
      </c>
      <c r="J186" t="n">
        <v>151</v>
      </c>
      <c r="K186" t="n">
        <v>117</v>
      </c>
      <c r="L186" t="n">
        <v>137</v>
      </c>
      <c r="M186" t="n">
        <v>19.1</v>
      </c>
      <c r="N186" t="n">
        <v>1854</v>
      </c>
      <c r="O186" t="n">
        <v>1.25</v>
      </c>
      <c r="P186" t="n">
        <v>2318</v>
      </c>
      <c r="Q186" t="n">
        <v>210</v>
      </c>
      <c r="R186" t="n">
        <v>102</v>
      </c>
      <c r="S186" t="n">
        <v>56</v>
      </c>
      <c r="T186" t="n">
        <v>430</v>
      </c>
      <c r="U186" t="n">
        <v>37</v>
      </c>
      <c r="V186" t="n">
        <v>376</v>
      </c>
      <c r="W186" t="n">
        <v>0.657</v>
      </c>
      <c r="X186" t="n">
        <v>177</v>
      </c>
      <c r="Y186" t="n">
        <v>179</v>
      </c>
      <c r="Z186" t="n">
        <v>252</v>
      </c>
      <c r="AA186" t="n">
        <v>3</v>
      </c>
      <c r="AB186" t="n">
        <v>6.1</v>
      </c>
      <c r="AC186" t="inlineStr">
        <is>
          <t xml:space="preserve"> Powder</t>
        </is>
      </c>
      <c r="AD186" t="inlineStr">
        <is>
          <t xml:space="preserve"> Touring</t>
        </is>
      </c>
      <c r="AE186" t="inlineStr">
        <is>
          <t xml:space="preserve"> Ultralight Touring</t>
        </is>
      </c>
      <c r="AG186" t="inlineStr">
        <is>
          <t>Line Vision 118 Skis 183cm 2022</t>
        </is>
      </c>
      <c r="AH186" t="inlineStr">
        <is>
          <t>Snowcountry.eu</t>
        </is>
      </c>
      <c r="AI186" s="333" t="n">
        <v>487.77</v>
      </c>
      <c r="AJ186" t="inlineStr">
        <is>
          <t>https://tinyurl.com/ycz3ltl6</t>
        </is>
      </c>
      <c r="AK186" t="inlineStr">
        <is>
          <t>Line Vision 118 Skis 183cm 2022</t>
        </is>
      </c>
      <c r="AL186" t="inlineStr">
        <is>
          <t>PRFO Sports</t>
        </is>
      </c>
      <c r="AM186" s="333" t="n">
        <v>545.35</v>
      </c>
      <c r="AN186" t="inlineStr">
        <is>
          <t>https://tinyurl.com/ybxhagow</t>
        </is>
      </c>
      <c r="AO186" t="inlineStr">
        <is>
          <t>Line Vision 118 Skis 183cm 2022</t>
        </is>
      </c>
      <c r="AP186" t="inlineStr">
        <is>
          <t>Backcountry.com</t>
        </is>
      </c>
      <c r="AQ186" s="333" t="n">
        <v>639.96</v>
      </c>
      <c r="AR186" t="inlineStr">
        <is>
          <t>https://tinyurl.com/ybtmabsv</t>
        </is>
      </c>
      <c r="AS186" s="314">
        <f>IF(LEFT(C186,1)=" ",RIGHT(C186,LEN(C186)-1),C186)</f>
        <v/>
      </c>
      <c r="AT186" s="281">
        <f>_xlfn.CONCAT(B186,AS186,D186,E186)</f>
        <v/>
      </c>
    </row>
    <row r="187">
      <c r="A187" t="inlineStr">
        <is>
          <t>21/22</t>
        </is>
      </c>
      <c r="B187" t="inlineStr">
        <is>
          <t xml:space="preserve"> Salomon</t>
        </is>
      </c>
      <c r="C187" t="inlineStr">
        <is>
          <t>QST 92</t>
        </is>
      </c>
      <c r="D187" t="n">
        <v>177</v>
      </c>
      <c r="E187" t="inlineStr">
        <is>
          <t xml:space="preserve"> Unisex</t>
        </is>
      </c>
      <c r="F187" t="n">
        <v>177</v>
      </c>
      <c r="G187" t="n">
        <v>176.4</v>
      </c>
      <c r="H187" t="n">
        <v>136</v>
      </c>
      <c r="I187" t="n">
        <v>148</v>
      </c>
      <c r="J187" t="n">
        <v>131</v>
      </c>
      <c r="K187" t="n">
        <v>91</v>
      </c>
      <c r="L187" t="n">
        <v>114</v>
      </c>
      <c r="M187" t="n">
        <v>16.5</v>
      </c>
      <c r="N187" t="n">
        <v>1860</v>
      </c>
      <c r="O187" t="n">
        <v>0.99</v>
      </c>
      <c r="P187" t="n">
        <v>1843</v>
      </c>
      <c r="Q187" t="n">
        <v>219</v>
      </c>
      <c r="R187" t="n">
        <v>94</v>
      </c>
      <c r="S187" t="n">
        <v>49</v>
      </c>
      <c r="T187" t="n">
        <v>273</v>
      </c>
      <c r="U187" t="n">
        <v>11</v>
      </c>
      <c r="V187" t="n">
        <v>130</v>
      </c>
      <c r="W187" t="n">
        <v>0.217</v>
      </c>
      <c r="X187" t="n">
        <v>152</v>
      </c>
      <c r="Y187" t="n">
        <v>128</v>
      </c>
      <c r="Z187" t="n">
        <v>121</v>
      </c>
      <c r="AA187" t="n">
        <v>11</v>
      </c>
      <c r="AB187" t="n">
        <v>10</v>
      </c>
      <c r="AC187" t="inlineStr">
        <is>
          <t xml:space="preserve"> Resort Freeride</t>
        </is>
      </c>
      <c r="AG187" t="inlineStr">
        <is>
          <t>Salomon QST 92 Skis</t>
        </is>
      </c>
      <c r="AH187" t="inlineStr">
        <is>
          <t>The-House.com</t>
        </is>
      </c>
      <c r="AI187" s="333" t="n">
        <v>383.95</v>
      </c>
      <c r="AJ187" t="inlineStr">
        <is>
          <t>https://tinyurl.com/y7gwn7fa</t>
        </is>
      </c>
      <c r="AK187" t="inlineStr">
        <is>
          <t>Salomon QST 92 Skis</t>
        </is>
      </c>
      <c r="AL187" t="inlineStr">
        <is>
          <t>Level Nine Sports</t>
        </is>
      </c>
      <c r="AM187" s="333" t="n">
        <v>399.99</v>
      </c>
      <c r="AN187" t="inlineStr">
        <is>
          <t>https://tinyurl.com/y8g4oy3m</t>
        </is>
      </c>
      <c r="AO187" t="inlineStr">
        <is>
          <t>Salomon QST 92 Skis</t>
        </is>
      </c>
      <c r="AP187" t="inlineStr">
        <is>
          <t>Curated</t>
        </is>
      </c>
      <c r="AQ187" s="333" t="n">
        <v>399.99</v>
      </c>
      <c r="AR187" t="inlineStr">
        <is>
          <t>https://tinyurl.com/y9mj8ay9</t>
        </is>
      </c>
      <c r="AS187" s="314">
        <f>IF(LEFT(C187,1)=" ",RIGHT(C187,LEN(C187)-1),C187)</f>
        <v/>
      </c>
      <c r="AT187" s="281">
        <f>_xlfn.CONCAT(B187,AS187,D187,E187)</f>
        <v/>
      </c>
    </row>
    <row r="188">
      <c r="A188" t="inlineStr">
        <is>
          <t>21/22</t>
        </is>
      </c>
      <c r="B188" t="inlineStr">
        <is>
          <t xml:space="preserve"> Line</t>
        </is>
      </c>
      <c r="C188" t="inlineStr">
        <is>
          <t>Sick Day 94</t>
        </is>
      </c>
      <c r="D188" t="n">
        <v>179</v>
      </c>
      <c r="E188" t="inlineStr">
        <is>
          <t xml:space="preserve"> Unisex</t>
        </is>
      </c>
      <c r="F188" t="n">
        <v>179</v>
      </c>
      <c r="G188" t="n">
        <v>178.8</v>
      </c>
      <c r="H188" t="n">
        <v>138</v>
      </c>
      <c r="I188" t="n">
        <v>151</v>
      </c>
      <c r="J188" t="n">
        <v>131</v>
      </c>
      <c r="K188" t="n">
        <v>93</v>
      </c>
      <c r="L188" t="n">
        <v>116</v>
      </c>
      <c r="M188" t="n">
        <v>18</v>
      </c>
      <c r="N188" t="n">
        <v>1763</v>
      </c>
      <c r="O188" t="n">
        <v>1.07</v>
      </c>
      <c r="P188" t="n">
        <v>1883</v>
      </c>
      <c r="Q188" t="n">
        <v>196</v>
      </c>
      <c r="R188" t="n">
        <v>93</v>
      </c>
      <c r="S188" t="n">
        <v>42</v>
      </c>
      <c r="T188" t="n">
        <v>280</v>
      </c>
      <c r="U188" t="n">
        <v>15</v>
      </c>
      <c r="V188" t="n">
        <v>129</v>
      </c>
      <c r="W188" t="n">
        <v>0.357</v>
      </c>
      <c r="X188" t="n">
        <v>147</v>
      </c>
      <c r="Y188" t="n">
        <v>127</v>
      </c>
      <c r="Z188" t="n">
        <v>133</v>
      </c>
      <c r="AA188" t="n">
        <v>9</v>
      </c>
      <c r="AB188" t="n">
        <v>9.6</v>
      </c>
      <c r="AC188" t="inlineStr">
        <is>
          <t xml:space="preserve"> Resort Freeride</t>
        </is>
      </c>
      <c r="AD188" t="inlineStr">
        <is>
          <t xml:space="preserve"> Touring</t>
        </is>
      </c>
      <c r="AG188" t="inlineStr">
        <is>
          <t>Line Sick Day 94 Skis 2022</t>
        </is>
      </c>
      <c r="AH188" t="inlineStr">
        <is>
          <t>Telemark Pyrenees</t>
        </is>
      </c>
      <c r="AI188" s="333" t="n">
        <v>348.3</v>
      </c>
      <c r="AJ188" t="inlineStr">
        <is>
          <t>https://tinyurl.com/ybpv69sw</t>
        </is>
      </c>
      <c r="AK188" t="inlineStr">
        <is>
          <t>Line Sick Day 94 Skis 2022</t>
        </is>
      </c>
      <c r="AL188" t="inlineStr">
        <is>
          <t>Hillcrest Ski &amp; Sports</t>
        </is>
      </c>
      <c r="AM188" s="333" t="n">
        <v>399.96</v>
      </c>
      <c r="AN188" t="inlineStr">
        <is>
          <t>https://tinyurl.com/y9f3b9t2</t>
        </is>
      </c>
      <c r="AO188" t="inlineStr">
        <is>
          <t>Line Sick Day 94 Skis</t>
        </is>
      </c>
      <c r="AP188" t="inlineStr">
        <is>
          <t>! OutdoorXL.com</t>
        </is>
      </c>
      <c r="AQ188" s="333" t="n">
        <v>469.95</v>
      </c>
      <c r="AR188" t="inlineStr">
        <is>
          <t>https://tinyurl.com/yamra4y4</t>
        </is>
      </c>
      <c r="AS188" s="314">
        <f>IF(LEFT(C188,1)=" ",RIGHT(C188,LEN(C188)-1),C188)</f>
        <v/>
      </c>
      <c r="AT188" s="281">
        <f>_xlfn.CONCAT(B188,AS188,D188,E188)</f>
        <v/>
      </c>
    </row>
    <row r="189">
      <c r="A189" t="inlineStr">
        <is>
          <t>21/22</t>
        </is>
      </c>
      <c r="B189" t="inlineStr">
        <is>
          <t xml:space="preserve"> Fischer</t>
        </is>
      </c>
      <c r="C189" t="inlineStr">
        <is>
          <t>Ranger 92 Ti</t>
        </is>
      </c>
      <c r="D189" t="n">
        <v>171</v>
      </c>
      <c r="E189" t="inlineStr">
        <is>
          <t xml:space="preserve"> Unisex</t>
        </is>
      </c>
      <c r="F189" t="n">
        <v>171</v>
      </c>
      <c r="G189" t="n">
        <v>170.8</v>
      </c>
      <c r="H189" t="n">
        <v>117</v>
      </c>
      <c r="I189" t="n">
        <v>144</v>
      </c>
      <c r="J189" t="n">
        <v>124</v>
      </c>
      <c r="K189" t="n">
        <v>89</v>
      </c>
      <c r="L189" t="n">
        <v>115</v>
      </c>
      <c r="M189" t="n">
        <v>14.3</v>
      </c>
      <c r="N189" t="n">
        <v>1645</v>
      </c>
      <c r="O189" t="n">
        <v>1.06</v>
      </c>
      <c r="P189" t="n">
        <v>1751</v>
      </c>
      <c r="Q189" t="n">
        <v>187</v>
      </c>
      <c r="R189" t="n">
        <v>116</v>
      </c>
      <c r="S189" t="n">
        <v>49</v>
      </c>
      <c r="T189" t="n">
        <v>317</v>
      </c>
      <c r="U189" t="n">
        <v>16</v>
      </c>
      <c r="V189" t="n">
        <v>216</v>
      </c>
      <c r="W189" t="n">
        <v>0.319</v>
      </c>
      <c r="X189" t="n">
        <v>132</v>
      </c>
      <c r="Y189" t="n">
        <v>138</v>
      </c>
      <c r="Z189" t="n">
        <v>186</v>
      </c>
      <c r="AA189" t="n">
        <v>4</v>
      </c>
      <c r="AB189" t="n">
        <v>9.800000000000001</v>
      </c>
      <c r="AC189" t="inlineStr">
        <is>
          <t xml:space="preserve"> Resort Freeride</t>
        </is>
      </c>
      <c r="AD189" t="inlineStr">
        <is>
          <t xml:space="preserve"> Touring</t>
        </is>
      </c>
      <c r="AG189" t="inlineStr">
        <is>
          <t>Fischer Ranger 92 Ti Skis 2022 - 171</t>
        </is>
      </c>
      <c r="AH189" t="inlineStr">
        <is>
          <t>Telemark Pyrenees</t>
        </is>
      </c>
      <c r="AI189" s="333" t="n">
        <v>348.3</v>
      </c>
      <c r="AJ189" t="inlineStr">
        <is>
          <t>https://tinyurl.com/y9mb2dd8</t>
        </is>
      </c>
      <c r="AK189" t="inlineStr">
        <is>
          <t>Fischer Ranger 92 Ti Skis 2022 - 171</t>
        </is>
      </c>
      <c r="AL189" t="inlineStr">
        <is>
          <t>Snowcountry.eu</t>
        </is>
      </c>
      <c r="AM189" s="333" t="n">
        <v>387.23</v>
      </c>
      <c r="AN189" t="inlineStr">
        <is>
          <t>https://tinyurl.com/y9vpa4yu</t>
        </is>
      </c>
      <c r="AO189" t="inlineStr">
        <is>
          <t>Fischer Ranger 92 Ti Skis 2022 - 171</t>
        </is>
      </c>
      <c r="AP189" t="inlineStr">
        <is>
          <t>! OutdoorXL.com</t>
        </is>
      </c>
      <c r="AQ189" s="333" t="n">
        <v>469.95</v>
      </c>
      <c r="AR189" t="inlineStr">
        <is>
          <t>https://tinyurl.com/yb8lx6jd</t>
        </is>
      </c>
      <c r="AS189" s="314">
        <f>IF(LEFT(C189,1)=" ",RIGHT(C189,LEN(C189)-1),C189)</f>
        <v/>
      </c>
      <c r="AT189" s="281">
        <f>_xlfn.CONCAT(B189,AS189,D189,E189)</f>
        <v/>
      </c>
    </row>
    <row r="190">
      <c r="A190" t="inlineStr">
        <is>
          <t>21/22</t>
        </is>
      </c>
      <c r="B190" t="inlineStr">
        <is>
          <t xml:space="preserve"> Ferreol</t>
        </is>
      </c>
      <c r="C190" t="inlineStr">
        <is>
          <t>Pionnier 104</t>
        </is>
      </c>
      <c r="D190" t="n">
        <v>180</v>
      </c>
      <c r="E190" t="inlineStr">
        <is>
          <t xml:space="preserve"> Unisex</t>
        </is>
      </c>
      <c r="F190" t="n">
        <v>180</v>
      </c>
      <c r="G190" t="n">
        <v>179.2</v>
      </c>
      <c r="H190" t="n">
        <v>125</v>
      </c>
      <c r="I190" t="n">
        <v>143</v>
      </c>
      <c r="J190" t="n">
        <v>133</v>
      </c>
      <c r="K190" t="n">
        <v>103</v>
      </c>
      <c r="L190" t="n">
        <v>125</v>
      </c>
      <c r="M190" t="n">
        <v>16.4</v>
      </c>
      <c r="N190" t="n">
        <v>1720</v>
      </c>
      <c r="O190" t="n">
        <v>1.19</v>
      </c>
      <c r="P190" t="n">
        <v>2048</v>
      </c>
      <c r="Q190" t="n">
        <v>224</v>
      </c>
      <c r="R190" t="n">
        <v>88</v>
      </c>
      <c r="S190" t="n">
        <v>44</v>
      </c>
      <c r="T190" t="n">
        <v>326</v>
      </c>
      <c r="U190" t="n">
        <v>26</v>
      </c>
      <c r="V190" t="n">
        <v>219</v>
      </c>
      <c r="W190" t="n">
        <v>0.599</v>
      </c>
      <c r="X190" t="n">
        <v>244</v>
      </c>
      <c r="Y190" t="n">
        <v>116</v>
      </c>
      <c r="Z190" t="n">
        <v>82</v>
      </c>
      <c r="AA190" t="n">
        <v>10</v>
      </c>
      <c r="AB190" t="n">
        <v>9</v>
      </c>
      <c r="AC190" t="inlineStr">
        <is>
          <t xml:space="preserve"> Resort Freeride</t>
        </is>
      </c>
      <c r="AD190" t="inlineStr">
        <is>
          <t xml:space="preserve"> Powder</t>
        </is>
      </c>
      <c r="AE190" t="inlineStr">
        <is>
          <t xml:space="preserve"> Touring</t>
        </is>
      </c>
      <c r="AS190" s="314">
        <f>IF(LEFT(C190,1)=" ",RIGHT(C190,LEN(C190)-1),C190)</f>
        <v/>
      </c>
      <c r="AT190" s="281">
        <f>_xlfn.CONCAT(B190,AS190,D190,E190)</f>
        <v/>
      </c>
    </row>
    <row r="191">
      <c r="A191" t="inlineStr">
        <is>
          <t>21/22</t>
        </is>
      </c>
      <c r="B191" t="inlineStr">
        <is>
          <t xml:space="preserve"> Elan</t>
        </is>
      </c>
      <c r="C191" t="inlineStr">
        <is>
          <t xml:space="preserve"> Ace Speed Magic</t>
        </is>
      </c>
      <c r="D191" t="n">
        <v>149</v>
      </c>
      <c r="E191" t="inlineStr">
        <is>
          <t xml:space="preserve"> Women's</t>
        </is>
      </c>
      <c r="F191" t="n">
        <v>149</v>
      </c>
      <c r="G191" t="n">
        <v>147.7</v>
      </c>
      <c r="H191" t="n">
        <v>131</v>
      </c>
      <c r="I191" t="n">
        <v>138</v>
      </c>
      <c r="J191" t="n">
        <v>109</v>
      </c>
      <c r="K191" t="n">
        <v>67</v>
      </c>
      <c r="L191" t="n">
        <v>95</v>
      </c>
      <c r="M191" t="n">
        <v>12.7</v>
      </c>
      <c r="N191" t="n">
        <v>1569</v>
      </c>
      <c r="O191" t="n">
        <v>0.76</v>
      </c>
      <c r="P191" t="n">
        <v>1185</v>
      </c>
      <c r="Q191" t="n">
        <v>222</v>
      </c>
      <c r="R191" t="n">
        <v>98</v>
      </c>
      <c r="S191" t="n">
        <v>34</v>
      </c>
      <c r="T191" t="n">
        <v>125</v>
      </c>
      <c r="U191" t="n">
        <v>3</v>
      </c>
      <c r="V191" t="n">
        <v>44</v>
      </c>
      <c r="W191" t="n">
        <v>0.079</v>
      </c>
      <c r="X191" t="n">
        <v>57</v>
      </c>
      <c r="Y191" t="n">
        <v>40</v>
      </c>
      <c r="Z191" t="n">
        <v>68</v>
      </c>
      <c r="AA191" t="n">
        <v>6</v>
      </c>
      <c r="AB191" t="n">
        <v>11</v>
      </c>
      <c r="AC191" t="inlineStr">
        <is>
          <t xml:space="preserve"> On-Piste Carving</t>
        </is>
      </c>
      <c r="AS191" s="314">
        <f>IF(LEFT(C191,1)=" ",RIGHT(C191,LEN(C191)-1),C191)</f>
        <v/>
      </c>
      <c r="AT191" s="281">
        <f>_xlfn.CONCAT(B191,AS191,D191,E191)</f>
        <v/>
      </c>
    </row>
    <row r="192">
      <c r="A192" t="inlineStr">
        <is>
          <t>21/22</t>
        </is>
      </c>
      <c r="B192" t="inlineStr">
        <is>
          <t xml:space="preserve"> Salomon</t>
        </is>
      </c>
      <c r="C192" t="inlineStr">
        <is>
          <t>Stance 84</t>
        </is>
      </c>
      <c r="D192" t="n">
        <v>177</v>
      </c>
      <c r="E192" t="inlineStr">
        <is>
          <t xml:space="preserve"> Unisex</t>
        </is>
      </c>
      <c r="F192" t="n">
        <v>177</v>
      </c>
      <c r="G192" t="n">
        <v>175.9</v>
      </c>
      <c r="H192" t="n">
        <v>131</v>
      </c>
      <c r="I192" t="n">
        <v>148</v>
      </c>
      <c r="J192" t="n">
        <v>122</v>
      </c>
      <c r="K192" t="n">
        <v>84</v>
      </c>
      <c r="L192" t="n">
        <v>105</v>
      </c>
      <c r="M192" t="n">
        <v>16.2</v>
      </c>
      <c r="N192" t="n">
        <v>1616</v>
      </c>
      <c r="O192" t="n">
        <v>1.06</v>
      </c>
      <c r="P192" t="n">
        <v>1708</v>
      </c>
      <c r="Q192" t="n">
        <v>205</v>
      </c>
      <c r="R192" t="n">
        <v>88</v>
      </c>
      <c r="S192" t="n">
        <v>49</v>
      </c>
      <c r="T192" t="n">
        <v>256</v>
      </c>
      <c r="U192" t="n">
        <v>12</v>
      </c>
      <c r="V192" t="n">
        <v>198</v>
      </c>
      <c r="W192" t="n">
        <v>0.238</v>
      </c>
      <c r="X192" t="n">
        <v>162</v>
      </c>
      <c r="Y192" t="n">
        <v>115</v>
      </c>
      <c r="Z192" t="n">
        <v>93</v>
      </c>
      <c r="AA192" t="n">
        <v>7</v>
      </c>
      <c r="AB192" t="n">
        <v>9.9</v>
      </c>
      <c r="AC192" t="inlineStr">
        <is>
          <t xml:space="preserve"> On-Piste All-Mountain</t>
        </is>
      </c>
      <c r="AD192" t="inlineStr">
        <is>
          <t xml:space="preserve"> Resort Freeride</t>
        </is>
      </c>
      <c r="AE192" t="inlineStr">
        <is>
          <t xml:space="preserve"> Touring</t>
        </is>
      </c>
      <c r="AG192" t="inlineStr">
        <is>
          <t>Salomon Stance 84 Skis + M12 GW Bindings 2022 - 177</t>
        </is>
      </c>
      <c r="AH192" t="inlineStr">
        <is>
          <t>evo.com</t>
        </is>
      </c>
      <c r="AI192" s="333" t="n">
        <v>599.99</v>
      </c>
      <c r="AJ192" t="inlineStr">
        <is>
          <t>https://tinyurl.com/y77dramo</t>
        </is>
      </c>
      <c r="AK192" t="inlineStr">
        <is>
          <t>Salomon STANCE 80 Skis with M11 GW Bindings 2022</t>
        </is>
      </c>
      <c r="AL192" t="inlineStr">
        <is>
          <t>Level Nine Sports</t>
        </is>
      </c>
      <c r="AM192" s="333" t="n">
        <v>399.99</v>
      </c>
      <c r="AN192" t="inlineStr">
        <is>
          <t>https://tinyurl.com/y7q99px2</t>
        </is>
      </c>
      <c r="AO192" t="inlineStr">
        <is>
          <t>Salomon Stance 80 + M11 GW Alpine Ski 2022 - - 177 cm</t>
        </is>
      </c>
      <c r="AP192" t="inlineStr">
        <is>
          <t>Skirack</t>
        </is>
      </c>
      <c r="AQ192" s="333" t="n">
        <v>399.99</v>
      </c>
      <c r="AR192" t="inlineStr">
        <is>
          <t>https://tinyurl.com/y8dxytfc</t>
        </is>
      </c>
      <c r="AS192" s="314">
        <f>IF(LEFT(C192,1)=" ",RIGHT(C192,LEN(C192)-1),C192)</f>
        <v/>
      </c>
      <c r="AT192" s="281">
        <f>_xlfn.CONCAT(B192,AS192,D192,E192)</f>
        <v/>
      </c>
    </row>
    <row r="193">
      <c r="A193" t="inlineStr">
        <is>
          <t>21/22</t>
        </is>
      </c>
      <c r="B193" t="inlineStr">
        <is>
          <t xml:space="preserve"> Ferreol</t>
        </is>
      </c>
      <c r="C193" t="inlineStr">
        <is>
          <t>Explo 96</t>
        </is>
      </c>
      <c r="D193" t="n">
        <v>172</v>
      </c>
      <c r="E193" t="inlineStr">
        <is>
          <t xml:space="preserve"> Unisex</t>
        </is>
      </c>
      <c r="F193" t="n">
        <v>172</v>
      </c>
      <c r="G193" t="n">
        <v>170.1</v>
      </c>
      <c r="H193" t="n">
        <v>123</v>
      </c>
      <c r="I193" t="n">
        <v>145</v>
      </c>
      <c r="J193" t="n">
        <v>129</v>
      </c>
      <c r="K193" t="n">
        <v>96</v>
      </c>
      <c r="L193" t="n">
        <v>119</v>
      </c>
      <c r="M193" t="n">
        <v>15.4</v>
      </c>
      <c r="N193" t="n">
        <v>1584</v>
      </c>
      <c r="O193" t="n">
        <v>1.16</v>
      </c>
      <c r="P193" t="n">
        <v>1844</v>
      </c>
      <c r="Q193" t="n">
        <v>184</v>
      </c>
      <c r="R193" t="n">
        <v>87</v>
      </c>
      <c r="S193" t="n">
        <v>60</v>
      </c>
      <c r="T193" t="n">
        <v>275</v>
      </c>
      <c r="U193" t="n">
        <v>29</v>
      </c>
      <c r="V193" t="n">
        <v>195</v>
      </c>
      <c r="W193" t="n">
        <v>0.485</v>
      </c>
      <c r="X193" t="n">
        <v>136</v>
      </c>
      <c r="Y193" t="n">
        <v>120</v>
      </c>
      <c r="Z193" t="n">
        <v>139</v>
      </c>
      <c r="AA193" t="n">
        <v>9</v>
      </c>
      <c r="AB193" t="n">
        <v>8</v>
      </c>
      <c r="AC193" t="inlineStr">
        <is>
          <t xml:space="preserve"> Resort Freeride</t>
        </is>
      </c>
      <c r="AD193" t="inlineStr">
        <is>
          <t xml:space="preserve"> Touring</t>
        </is>
      </c>
      <c r="AS193" s="314">
        <f>IF(LEFT(C193,1)=" ",RIGHT(C193,LEN(C193)-1),C193)</f>
        <v/>
      </c>
      <c r="AT193" s="281">
        <f>_xlfn.CONCAT(B193,AS193,D193,E193)</f>
        <v/>
      </c>
    </row>
    <row r="194">
      <c r="A194" t="inlineStr">
        <is>
          <t>21/22</t>
        </is>
      </c>
      <c r="B194" t="inlineStr">
        <is>
          <t xml:space="preserve"> Dynastar</t>
        </is>
      </c>
      <c r="C194" t="inlineStr">
        <is>
          <t>M-Pro 84</t>
        </is>
      </c>
      <c r="D194" t="n">
        <v>177</v>
      </c>
      <c r="E194" t="inlineStr">
        <is>
          <t xml:space="preserve"> Unisex</t>
        </is>
      </c>
      <c r="F194" t="n">
        <v>177</v>
      </c>
      <c r="G194" t="n">
        <v>177</v>
      </c>
      <c r="H194" t="n">
        <v>146</v>
      </c>
      <c r="I194" t="n">
        <v>143</v>
      </c>
      <c r="J194" t="n">
        <v>120</v>
      </c>
      <c r="K194" t="n">
        <v>82</v>
      </c>
      <c r="L194" t="n">
        <v>105</v>
      </c>
      <c r="M194" t="n">
        <v>16.4</v>
      </c>
      <c r="N194" t="n">
        <v>1760</v>
      </c>
      <c r="O194" t="n">
        <v>0.95</v>
      </c>
      <c r="P194" t="n">
        <v>1670</v>
      </c>
      <c r="Q194" t="n">
        <v>223</v>
      </c>
      <c r="R194" t="n">
        <v>99</v>
      </c>
      <c r="S194" t="n">
        <v>40</v>
      </c>
      <c r="T194" t="n">
        <v>252</v>
      </c>
      <c r="U194" t="n">
        <v>5</v>
      </c>
      <c r="V194" t="n">
        <v>63</v>
      </c>
      <c r="W194" t="n">
        <v>0.136999999999999</v>
      </c>
      <c r="X194" t="n">
        <v>167</v>
      </c>
      <c r="Y194" t="n">
        <v>175</v>
      </c>
      <c r="Z194" t="n">
        <v>85</v>
      </c>
      <c r="AA194" t="n">
        <v>9</v>
      </c>
      <c r="AB194" t="n">
        <v>6.6</v>
      </c>
      <c r="AC194" t="inlineStr">
        <is>
          <t xml:space="preserve"> On-Piste Carving</t>
        </is>
      </c>
      <c r="AD194" t="inlineStr">
        <is>
          <t xml:space="preserve"> On-Piste All-Mountain</t>
        </is>
      </c>
      <c r="AE194" t="inlineStr">
        <is>
          <t xml:space="preserve"> Resort Freeride</t>
        </is>
      </c>
      <c r="AG194" t="inlineStr">
        <is>
          <t>Dynastar M-Pro 84 Skis Â· 177 cm</t>
        </is>
      </c>
      <c r="AH194" t="inlineStr">
        <is>
          <t>evo.com</t>
        </is>
      </c>
      <c r="AI194" s="333" t="n">
        <v>299.97</v>
      </c>
      <c r="AJ194" t="inlineStr">
        <is>
          <t>https://tinyurl.com/y95jfyja</t>
        </is>
      </c>
      <c r="AK194" t="inlineStr">
        <is>
          <t>Dynastar M-Pro 84 Skis Â· 177 cm</t>
        </is>
      </c>
      <c r="AL194" t="inlineStr">
        <is>
          <t>eBay - david110549</t>
        </is>
      </c>
      <c r="AM194" s="333" t="n">
        <v>399.96</v>
      </c>
      <c r="AN194" t="inlineStr">
        <is>
          <t>https://tinyurl.com/yb7orazd</t>
        </is>
      </c>
      <c r="AO194" t="inlineStr">
        <is>
          <t>Dynastar M-Pro 84 Skis Â· 177 cm</t>
        </is>
      </c>
      <c r="AP194" t="inlineStr">
        <is>
          <t>SkiEssentials.com</t>
        </is>
      </c>
      <c r="AQ194" s="333" t="n">
        <v>399.99</v>
      </c>
      <c r="AR194" t="inlineStr">
        <is>
          <t>https://tinyurl.com/ydfg3lgq</t>
        </is>
      </c>
      <c r="AS194" s="314">
        <f>IF(LEFT(C194,1)=" ",RIGHT(C194,LEN(C194)-1),C194)</f>
        <v/>
      </c>
      <c r="AT194" s="281">
        <f>_xlfn.CONCAT(B194,AS194,D194,E194)</f>
        <v/>
      </c>
    </row>
    <row r="195">
      <c r="A195" t="inlineStr">
        <is>
          <t>21/22</t>
        </is>
      </c>
      <c r="B195" t="inlineStr">
        <is>
          <t xml:space="preserve"> Head</t>
        </is>
      </c>
      <c r="C195" t="inlineStr">
        <is>
          <t>Kore 93</t>
        </is>
      </c>
      <c r="D195" t="n">
        <v>163</v>
      </c>
      <c r="E195" t="inlineStr">
        <is>
          <t xml:space="preserve"> Unisex</t>
        </is>
      </c>
      <c r="F195" t="n">
        <v>163</v>
      </c>
      <c r="G195" t="n">
        <v>162.7</v>
      </c>
      <c r="H195" t="n">
        <v>128</v>
      </c>
      <c r="I195" t="n">
        <v>132</v>
      </c>
      <c r="J195" t="n">
        <v>127</v>
      </c>
      <c r="K195" t="n">
        <v>88</v>
      </c>
      <c r="L195" t="n">
        <v>109</v>
      </c>
      <c r="M195" t="n">
        <v>13.2</v>
      </c>
      <c r="N195" t="n">
        <v>1474</v>
      </c>
      <c r="O195" t="n">
        <v>1.11</v>
      </c>
      <c r="P195" t="n">
        <v>1639</v>
      </c>
      <c r="Q195" t="n">
        <v>206</v>
      </c>
      <c r="R195" t="n">
        <v>93</v>
      </c>
      <c r="S195" t="n">
        <v>49</v>
      </c>
      <c r="T195" t="n">
        <v>218</v>
      </c>
      <c r="U195" t="n">
        <v>11</v>
      </c>
      <c r="V195" t="n">
        <v>130</v>
      </c>
      <c r="W195" t="n">
        <v>0.218</v>
      </c>
      <c r="X195" t="n">
        <v>152</v>
      </c>
      <c r="Y195" t="n">
        <v>159</v>
      </c>
      <c r="Z195" t="n">
        <v>65</v>
      </c>
      <c r="AA195" t="n">
        <v>7</v>
      </c>
      <c r="AB195" t="n">
        <v>9.199999999999999</v>
      </c>
      <c r="AC195" t="inlineStr">
        <is>
          <t xml:space="preserve"> Resort Freeride</t>
        </is>
      </c>
      <c r="AD195" t="inlineStr">
        <is>
          <t xml:space="preserve"> Touring</t>
        </is>
      </c>
      <c r="AG195" t="inlineStr">
        <is>
          <t>Head Kore 93 Skis</t>
        </is>
      </c>
      <c r="AH195" t="inlineStr">
        <is>
          <t>Gorham Bike and Ski</t>
        </is>
      </c>
      <c r="AI195" s="333" t="n">
        <v>454.99</v>
      </c>
      <c r="AJ195" t="inlineStr">
        <is>
          <t>https://tinyurl.com/y82yexlw</t>
        </is>
      </c>
      <c r="AK195" t="inlineStr">
        <is>
          <t>2022 Head Kore 93 Skis-163cm</t>
        </is>
      </c>
      <c r="AL195" t="inlineStr">
        <is>
          <t>eBay - jeffmagnusson</t>
        </is>
      </c>
      <c r="AM195" s="333" t="n">
        <v>459.99</v>
      </c>
      <c r="AN195" t="inlineStr">
        <is>
          <t>https://tinyurl.com/y87kb2l9</t>
        </is>
      </c>
      <c r="AO195" t="inlineStr">
        <is>
          <t>Head Kore 93 Skis</t>
        </is>
      </c>
      <c r="AP195" t="inlineStr">
        <is>
          <t>SkiEssentials.com</t>
        </is>
      </c>
      <c r="AQ195" s="333" t="n">
        <v>489</v>
      </c>
      <c r="AR195" t="inlineStr">
        <is>
          <t>https://www.google.com/url?q=https://www.skiessentials.com/2022-head-kore-93-skis.html&amp;sa=U&amp;ved=0ahUKEwih0vattu72AhUMKUQIHX9SBNkQsDwIWw&amp;usg=AOvVaw32tx9WIRaVSpikekxwAVDI</t>
        </is>
      </c>
      <c r="AS195" s="314">
        <f>IF(LEFT(C195,1)=" ",RIGHT(C195,LEN(C195)-1),C195)</f>
        <v/>
      </c>
      <c r="AT195" s="281">
        <f>_xlfn.CONCAT(B195,AS195,D195,E195)</f>
        <v/>
      </c>
    </row>
    <row r="196">
      <c r="A196" t="inlineStr">
        <is>
          <t>21/22</t>
        </is>
      </c>
      <c r="B196" t="inlineStr">
        <is>
          <t xml:space="preserve"> Line</t>
        </is>
      </c>
      <c r="C196" t="inlineStr">
        <is>
          <t xml:space="preserve"> Sir Francis Bacon</t>
        </is>
      </c>
      <c r="D196" t="n">
        <v>190</v>
      </c>
      <c r="E196" t="inlineStr">
        <is>
          <t xml:space="preserve"> Unisex</t>
        </is>
      </c>
      <c r="F196" t="n">
        <v>190</v>
      </c>
      <c r="G196" t="n">
        <v>188.8</v>
      </c>
      <c r="H196" t="n">
        <v>135</v>
      </c>
      <c r="I196" t="n">
        <v>157</v>
      </c>
      <c r="J196" t="n">
        <v>142</v>
      </c>
      <c r="K196" t="n">
        <v>106</v>
      </c>
      <c r="L196" t="n">
        <v>138</v>
      </c>
      <c r="M196" t="n">
        <v>17.8</v>
      </c>
      <c r="N196" t="n">
        <v>1910</v>
      </c>
      <c r="O196" t="n">
        <v>1.15</v>
      </c>
      <c r="P196" t="n">
        <v>2188</v>
      </c>
      <c r="Q196" t="n">
        <v>177</v>
      </c>
      <c r="R196" t="n">
        <v>95</v>
      </c>
      <c r="S196" t="n">
        <v>44</v>
      </c>
      <c r="T196" t="n">
        <v>346</v>
      </c>
      <c r="U196" t="n">
        <v>44</v>
      </c>
      <c r="V196" t="n">
        <v>190</v>
      </c>
      <c r="W196" t="n">
        <v>1.004</v>
      </c>
      <c r="X196" t="n">
        <v>157</v>
      </c>
      <c r="Y196" t="n">
        <v>163</v>
      </c>
      <c r="Z196" t="n">
        <v>189</v>
      </c>
      <c r="AA196" t="n">
        <v>6</v>
      </c>
      <c r="AB196" t="n">
        <v>4.1</v>
      </c>
      <c r="AC196" t="inlineStr">
        <is>
          <t xml:space="preserve"> Freeski</t>
        </is>
      </c>
      <c r="AD196" t="inlineStr">
        <is>
          <t xml:space="preserve"> Powder</t>
        </is>
      </c>
      <c r="AE196" t="inlineStr">
        <is>
          <t xml:space="preserve"> Touring</t>
        </is>
      </c>
      <c r="AG196" t="inlineStr">
        <is>
          <t>Line Sir Francis Bacon Skis</t>
        </is>
      </c>
      <c r="AH196" t="inlineStr">
        <is>
          <t>Powder7 Ski Shop</t>
        </is>
      </c>
      <c r="AI196" s="333" t="n">
        <v>549.99</v>
      </c>
      <c r="AJ196" t="inlineStr">
        <is>
          <t>https://tinyurl.com/yck85s9s</t>
        </is>
      </c>
      <c r="AK196" t="inlineStr">
        <is>
          <t>LINE Sir Francis Bacon Skis - 190</t>
        </is>
      </c>
      <c r="AL196" t="inlineStr">
        <is>
          <t>LINE Skis</t>
        </is>
      </c>
      <c r="AM196" s="333" t="n">
        <v>699.95</v>
      </c>
      <c r="AN196" t="inlineStr">
        <is>
          <t>https://tinyurl.com/y9jq2frc</t>
        </is>
      </c>
      <c r="AO196" t="inlineStr">
        <is>
          <t>2022 Line Sir Francis Bacon Skis w/Tyrolia Attack2 13 GW Bindings (190)</t>
        </is>
      </c>
      <c r="AP196" t="inlineStr">
        <is>
          <t>SkiEssentials.com</t>
        </is>
      </c>
      <c r="AQ196" s="333" t="n">
        <v>869.95</v>
      </c>
      <c r="AR196" t="inlineStr">
        <is>
          <t>https://tinyurl.com/y9cunskk</t>
        </is>
      </c>
      <c r="AS196" s="314">
        <f>IF(LEFT(C196,1)=" ",RIGHT(C196,LEN(C196)-1),C196)</f>
        <v/>
      </c>
      <c r="AT196" s="281">
        <f>_xlfn.CONCAT(B196,AS196,D196,E196)</f>
        <v/>
      </c>
    </row>
    <row r="197">
      <c r="A197" t="inlineStr">
        <is>
          <t>21/22</t>
        </is>
      </c>
      <c r="B197" t="inlineStr">
        <is>
          <t xml:space="preserve"> Stï¿½ckli</t>
        </is>
      </c>
      <c r="C197" t="inlineStr">
        <is>
          <t xml:space="preserve"> Edge FT</t>
        </is>
      </c>
      <c r="D197" t="n">
        <v>167</v>
      </c>
      <c r="E197" t="inlineStr">
        <is>
          <t xml:space="preserve"> Unisex</t>
        </is>
      </c>
      <c r="F197" t="n">
        <v>167</v>
      </c>
      <c r="G197" t="n">
        <v>166.2</v>
      </c>
      <c r="H197" t="n">
        <v>139</v>
      </c>
      <c r="I197" t="n">
        <v>144</v>
      </c>
      <c r="J197" t="n">
        <v>127</v>
      </c>
      <c r="K197" t="n">
        <v>91</v>
      </c>
      <c r="L197" t="n">
        <v>117</v>
      </c>
      <c r="M197" t="n">
        <v>16.1</v>
      </c>
      <c r="N197" t="n">
        <v>1544</v>
      </c>
      <c r="O197" t="n">
        <v>1.11</v>
      </c>
      <c r="P197" t="n">
        <v>1714</v>
      </c>
      <c r="Q197" t="n">
        <v>164</v>
      </c>
      <c r="R197" t="n">
        <v>88</v>
      </c>
      <c r="S197" t="n">
        <v>44</v>
      </c>
      <c r="T197" t="n">
        <v>201</v>
      </c>
      <c r="U197" t="n">
        <v>9</v>
      </c>
      <c r="V197" t="n">
        <v>75</v>
      </c>
      <c r="W197" t="n">
        <v>0.198</v>
      </c>
      <c r="X197" t="n">
        <v>168</v>
      </c>
      <c r="Y197" t="n">
        <v>54</v>
      </c>
      <c r="Z197" t="n">
        <v>33</v>
      </c>
      <c r="AA197" t="n">
        <v>6</v>
      </c>
      <c r="AB197" t="n">
        <v>13.3</v>
      </c>
      <c r="AC197" t="inlineStr">
        <is>
          <t xml:space="preserve"> Resort Freeride</t>
        </is>
      </c>
      <c r="AD197" t="inlineStr">
        <is>
          <t xml:space="preserve"> Touring</t>
        </is>
      </c>
      <c r="AG197" t="inlineStr">
        <is>
          <t>Stockli Edge ft Skis 167cm 2022</t>
        </is>
      </c>
      <c r="AH197" t="inlineStr">
        <is>
          <t>SkiEssentials.com</t>
        </is>
      </c>
      <c r="AI197" s="333" t="n">
        <v>1199</v>
      </c>
      <c r="AJ197" t="inlineStr">
        <is>
          <t>https://tinyurl.com/ycp5sl5e</t>
        </is>
      </c>
      <c r="AK197" t="inlineStr">
        <is>
          <t>Stockli Edge ft Skis 167cm 2022</t>
        </is>
      </c>
      <c r="AL197" t="inlineStr">
        <is>
          <t>Telemark Pyrenees</t>
        </is>
      </c>
      <c r="AM197" s="333" t="n">
        <v>897.58</v>
      </c>
      <c r="AN197" t="inlineStr">
        <is>
          <t>https://tinyurl.com/y6vwa6j6</t>
        </is>
      </c>
      <c r="AS197" s="314">
        <f>IF(LEFT(C197,1)=" ",RIGHT(C197,LEN(C197)-1),C197)</f>
        <v/>
      </c>
      <c r="AT197" s="281">
        <f>_xlfn.CONCAT(B197,AS197,D197,E197)</f>
        <v/>
      </c>
    </row>
    <row r="198">
      <c r="A198" t="inlineStr">
        <is>
          <t>21/22</t>
        </is>
      </c>
      <c r="B198" t="inlineStr">
        <is>
          <t xml:space="preserve"> Dynafit</t>
        </is>
      </c>
      <c r="C198" t="inlineStr">
        <is>
          <t>Beast 98</t>
        </is>
      </c>
      <c r="D198" t="n">
        <v>177</v>
      </c>
      <c r="E198" t="inlineStr">
        <is>
          <t xml:space="preserve"> Unisex</t>
        </is>
      </c>
      <c r="F198" t="n">
        <v>177</v>
      </c>
      <c r="G198" t="n">
        <v>175.8</v>
      </c>
      <c r="H198" t="n">
        <v>115</v>
      </c>
      <c r="I198" t="n">
        <v>142</v>
      </c>
      <c r="J198" t="n">
        <v>125</v>
      </c>
      <c r="K198" t="n">
        <v>96</v>
      </c>
      <c r="L198" t="n">
        <v>115</v>
      </c>
      <c r="M198" t="n">
        <v>18.4</v>
      </c>
      <c r="N198" t="n">
        <v>1525</v>
      </c>
      <c r="O198" t="n">
        <v>1.22</v>
      </c>
      <c r="P198" t="n">
        <v>1867</v>
      </c>
      <c r="Q198" t="n">
        <v>187</v>
      </c>
      <c r="R198" t="n">
        <v>92</v>
      </c>
      <c r="S198" t="n">
        <v>59</v>
      </c>
      <c r="T198" t="n">
        <v>442</v>
      </c>
      <c r="U198" t="n">
        <v>13</v>
      </c>
      <c r="V198" t="n">
        <v>167</v>
      </c>
      <c r="W198" t="n">
        <v>0.223999999999999</v>
      </c>
      <c r="X198" t="n">
        <v>183</v>
      </c>
      <c r="Y198" t="n">
        <v>151</v>
      </c>
      <c r="Z198" t="n">
        <v>259</v>
      </c>
      <c r="AA198" t="n">
        <v>3</v>
      </c>
      <c r="AB198" t="n">
        <v>8.5</v>
      </c>
      <c r="AC198" t="inlineStr">
        <is>
          <t xml:space="preserve"> Resort Freeride</t>
        </is>
      </c>
      <c r="AD198" t="inlineStr">
        <is>
          <t xml:space="preserve"> Touring</t>
        </is>
      </c>
      <c r="AG198" t="inlineStr">
        <is>
          <t>Dynafit Women's Beast 98 Ski</t>
        </is>
      </c>
      <c r="AH198" t="inlineStr">
        <is>
          <t>Idaho Mountain Touring</t>
        </is>
      </c>
      <c r="AI198" s="333" t="n">
        <v>475.72</v>
      </c>
      <c r="AJ198" t="inlineStr">
        <is>
          <t>https://tinyurl.com/yaexdgk5</t>
        </is>
      </c>
      <c r="AK198" t="inlineStr">
        <is>
          <t>Dynafit Beast 98 AT Setup Skis w Dynafit Rotation 10 Bindings  Demo</t>
        </is>
      </c>
      <c r="AL198" t="inlineStr">
        <is>
          <t>Powder7 Ski Shop</t>
        </is>
      </c>
      <c r="AM198" s="333" t="n">
        <v>939.99</v>
      </c>
      <c r="AN198" t="inlineStr">
        <is>
          <t>https://www.google.com/url?q=https://www.powder7.com/Dynafit-Beast-98-AT-Setup-Skis-177cm--2021/for-sale%3Futm_source%3Dfeed%26utm_medium%3Dfree&amp;sa=U&amp;ved=0ahUKEwjCxNe1tu72AhXlIUQIHTW8BDoQ2SkIQA&amp;usg=AOvVaw1TxRXQSCUeKbze9-wRcRWj</t>
        </is>
      </c>
      <c r="AO198" t="inlineStr">
        <is>
          <t>Dynafit Free 97 Ski</t>
        </is>
      </c>
      <c r="AP198" t="inlineStr">
        <is>
          <t>JANS Mountain Outfitters</t>
        </is>
      </c>
      <c r="AQ198" s="333" t="n">
        <v>390</v>
      </c>
      <c r="AR198" t="inlineStr">
        <is>
          <t>https://tinyurl.com/ydxycebr</t>
        </is>
      </c>
      <c r="AS198" s="314">
        <f>IF(LEFT(C198,1)=" ",RIGHT(C198,LEN(C198)-1),C198)</f>
        <v/>
      </c>
      <c r="AT198" s="281">
        <f>_xlfn.CONCAT(B198,AS198,D198,E198)</f>
        <v/>
      </c>
    </row>
    <row r="199">
      <c r="A199" t="inlineStr">
        <is>
          <t>21/22</t>
        </is>
      </c>
      <c r="B199" t="inlineStr">
        <is>
          <t xml:space="preserve"> Armada</t>
        </is>
      </c>
      <c r="C199" t="inlineStr">
        <is>
          <t>ARW 106 UL</t>
        </is>
      </c>
      <c r="D199" t="n">
        <v>164</v>
      </c>
      <c r="E199" t="inlineStr">
        <is>
          <t xml:space="preserve"> Women's</t>
        </is>
      </c>
      <c r="F199" t="n">
        <v>164</v>
      </c>
      <c r="G199" t="n">
        <v>161.8</v>
      </c>
      <c r="H199" t="n">
        <v>111</v>
      </c>
      <c r="I199" t="n">
        <v>129</v>
      </c>
      <c r="J199" t="n">
        <v>131</v>
      </c>
      <c r="K199" t="n">
        <v>105</v>
      </c>
      <c r="L199" t="n">
        <v>120</v>
      </c>
      <c r="M199" t="n">
        <v>18.4</v>
      </c>
      <c r="N199" t="n">
        <v>1668</v>
      </c>
      <c r="O199" t="n">
        <v>1.09</v>
      </c>
      <c r="P199" t="n">
        <v>1816</v>
      </c>
      <c r="Q199" t="n">
        <v>174</v>
      </c>
      <c r="R199" t="n">
        <v>85</v>
      </c>
      <c r="S199" t="n">
        <v>52</v>
      </c>
      <c r="T199" t="n">
        <v>274</v>
      </c>
      <c r="U199" t="n">
        <v>44</v>
      </c>
      <c r="V199" t="n">
        <v>233</v>
      </c>
      <c r="W199" t="n">
        <v>0.845</v>
      </c>
      <c r="X199" t="n">
        <v>144</v>
      </c>
      <c r="Y199" t="n">
        <v>188</v>
      </c>
      <c r="Z199" t="n">
        <v>129</v>
      </c>
      <c r="AA199" t="n">
        <v>5</v>
      </c>
      <c r="AB199" t="n">
        <v>2.6</v>
      </c>
      <c r="AC199" t="inlineStr">
        <is>
          <t xml:space="preserve"> Resort Freeride</t>
        </is>
      </c>
      <c r="AD199" t="inlineStr">
        <is>
          <t xml:space="preserve"> Freeski</t>
        </is>
      </c>
      <c r="AE199" t="inlineStr">
        <is>
          <t xml:space="preserve"> Powder</t>
        </is>
      </c>
      <c r="AF199" t="inlineStr">
        <is>
          <t xml:space="preserve"> Touring</t>
        </is>
      </c>
      <c r="AG199" t="inlineStr">
        <is>
          <t>Armada Powder7 ARW 106 UL Women's Skis 164cm 2022</t>
        </is>
      </c>
      <c r="AH199" t="inlineStr">
        <is>
          <t>Powder7 Ski Shop</t>
        </is>
      </c>
      <c r="AI199" s="333" t="n">
        <v>549.9299999999999</v>
      </c>
      <c r="AJ199" t="inlineStr">
        <is>
          <t>https://tinyurl.com/ydg3tb6x</t>
        </is>
      </c>
      <c r="AK199" t="inlineStr">
        <is>
          <t>Armada ARW 106 UL Skis - Women's 2022 164cm</t>
        </is>
      </c>
      <c r="AL199" t="inlineStr">
        <is>
          <t>Glacier Ski Shop</t>
        </is>
      </c>
      <c r="AM199" s="333" t="n">
        <v>629</v>
      </c>
      <c r="AN199" t="inlineStr">
        <is>
          <t>https://tinyurl.com/yapvach5</t>
        </is>
      </c>
      <c r="AO199" t="inlineStr">
        <is>
          <t>Armada ARW 84 Skis 2022</t>
        </is>
      </c>
      <c r="AP199" t="inlineStr">
        <is>
          <t>Next Adventure</t>
        </is>
      </c>
      <c r="AQ199" s="333" t="n">
        <v>279.96</v>
      </c>
      <c r="AR199" t="inlineStr">
        <is>
          <t>https://tinyurl.com/ydxmjnfz</t>
        </is>
      </c>
      <c r="AS199" s="314">
        <f>IF(LEFT(C199,1)=" ",RIGHT(C199,LEN(C199)-1),C199)</f>
        <v/>
      </c>
      <c r="AT199" s="281">
        <f>_xlfn.CONCAT(B199,AS199,D199,E199)</f>
        <v/>
      </c>
    </row>
    <row r="200">
      <c r="A200" t="inlineStr">
        <is>
          <t>21/22</t>
        </is>
      </c>
      <c r="B200" t="inlineStr">
        <is>
          <t xml:space="preserve"> Vï¿½lkl</t>
        </is>
      </c>
      <c r="C200" t="inlineStr">
        <is>
          <t>Secret 102</t>
        </is>
      </c>
      <c r="D200" t="n">
        <v>156</v>
      </c>
      <c r="E200" t="inlineStr">
        <is>
          <t xml:space="preserve"> Women's</t>
        </is>
      </c>
      <c r="F200" t="n">
        <v>156</v>
      </c>
      <c r="G200" t="n">
        <v>155.9</v>
      </c>
      <c r="H200" t="n">
        <v>107</v>
      </c>
      <c r="I200" t="n">
        <v>133</v>
      </c>
      <c r="J200" t="n">
        <v>139</v>
      </c>
      <c r="K200" t="n">
        <v>101</v>
      </c>
      <c r="L200" t="n">
        <v>123</v>
      </c>
      <c r="M200" t="n">
        <v>14.1</v>
      </c>
      <c r="N200" t="n">
        <v>1846</v>
      </c>
      <c r="O200" t="n">
        <v>0.96</v>
      </c>
      <c r="P200" t="n">
        <v>1763</v>
      </c>
      <c r="Q200" t="n">
        <v>205</v>
      </c>
      <c r="R200" t="n">
        <v>132</v>
      </c>
      <c r="S200" t="n">
        <v>49</v>
      </c>
      <c r="T200" t="n">
        <v>310</v>
      </c>
      <c r="U200" t="n">
        <v>17</v>
      </c>
      <c r="V200" t="n">
        <v>174</v>
      </c>
      <c r="W200" t="n">
        <v>0.34</v>
      </c>
      <c r="X200" t="n">
        <v>131</v>
      </c>
      <c r="Y200" t="n">
        <v>101</v>
      </c>
      <c r="Z200" t="n">
        <v>178</v>
      </c>
      <c r="AA200" t="n">
        <v>3</v>
      </c>
      <c r="AB200" t="n">
        <v>11.4</v>
      </c>
      <c r="AC200" t="inlineStr">
        <is>
          <t xml:space="preserve"> Resort Freeride</t>
        </is>
      </c>
      <c r="AD200" t="inlineStr">
        <is>
          <t xml:space="preserve"> Big Mountain</t>
        </is>
      </c>
      <c r="AG200" t="inlineStr">
        <is>
          <t>Volkl Secret 102 Women's Skis 2021</t>
        </is>
      </c>
      <c r="AH200" t="inlineStr">
        <is>
          <t>evo.com</t>
        </is>
      </c>
      <c r="AI200" s="333" t="n">
        <v>399.97</v>
      </c>
      <c r="AJ200" t="inlineStr">
        <is>
          <t>https://tinyurl.com/yagzsxkz</t>
        </is>
      </c>
      <c r="AK200" t="inlineStr">
        <is>
          <t>Volkl Secret 102 156cm</t>
        </is>
      </c>
      <c r="AL200" t="inlineStr">
        <is>
          <t>Sundance Ski and Board Shop</t>
        </is>
      </c>
      <c r="AM200" s="333" t="n">
        <v>441.09</v>
      </c>
      <c r="AN200" t="inlineStr">
        <is>
          <t>https://tinyurl.com/y9kaaewf</t>
        </is>
      </c>
      <c r="AO200" t="inlineStr">
        <is>
          <t>Volkl Secret 102 Women's Skis 2021</t>
        </is>
      </c>
      <c r="AP200" t="inlineStr">
        <is>
          <t>Snowcountry.eu</t>
        </is>
      </c>
      <c r="AQ200" s="333" t="n">
        <v>441.67</v>
      </c>
      <c r="AR200" t="inlineStr">
        <is>
          <t>https://tinyurl.com/ycwxplum</t>
        </is>
      </c>
      <c r="AS200" s="314">
        <f>IF(LEFT(C200,1)=" ",RIGHT(C200,LEN(C200)-1),C200)</f>
        <v/>
      </c>
      <c r="AT200" s="281">
        <f>_xlfn.CONCAT(B200,AS200,D200,E200)</f>
        <v/>
      </c>
    </row>
    <row r="201">
      <c r="A201" t="inlineStr">
        <is>
          <t>21/22</t>
        </is>
      </c>
      <c r="B201" t="inlineStr">
        <is>
          <t xml:space="preserve"> Armada</t>
        </is>
      </c>
      <c r="C201" t="inlineStr">
        <is>
          <t>ARW 96</t>
        </is>
      </c>
      <c r="D201" t="n">
        <v>170</v>
      </c>
      <c r="E201" t="inlineStr">
        <is>
          <t xml:space="preserve"> Women's</t>
        </is>
      </c>
      <c r="F201" t="n">
        <v>170</v>
      </c>
      <c r="G201" t="n">
        <v>168.4</v>
      </c>
      <c r="H201" t="n">
        <v>123</v>
      </c>
      <c r="I201" t="n">
        <v>139</v>
      </c>
      <c r="J201" t="n">
        <v>123</v>
      </c>
      <c r="K201" t="n">
        <v>95</v>
      </c>
      <c r="L201" t="n">
        <v>115</v>
      </c>
      <c r="M201" t="n">
        <v>18.2</v>
      </c>
      <c r="N201" t="n">
        <v>1769</v>
      </c>
      <c r="O201" t="n">
        <v>0.99</v>
      </c>
      <c r="P201" t="n">
        <v>1756</v>
      </c>
      <c r="Q201" t="n">
        <v>183</v>
      </c>
      <c r="R201" t="n">
        <v>96</v>
      </c>
      <c r="S201" t="n">
        <v>47</v>
      </c>
      <c r="T201" t="n">
        <v>236</v>
      </c>
      <c r="U201" t="n">
        <v>40</v>
      </c>
      <c r="V201" t="n">
        <v>221</v>
      </c>
      <c r="W201" t="n">
        <v>0.86</v>
      </c>
      <c r="X201" t="n">
        <v>141</v>
      </c>
      <c r="Y201" t="n">
        <v>152</v>
      </c>
      <c r="Z201" t="n">
        <v>94</v>
      </c>
      <c r="AA201" t="n">
        <v>10</v>
      </c>
      <c r="AB201" t="n">
        <v>5</v>
      </c>
      <c r="AC201" t="inlineStr">
        <is>
          <t xml:space="preserve"> Resort Freeride</t>
        </is>
      </c>
      <c r="AD201" t="inlineStr">
        <is>
          <t xml:space="preserve"> Freeski</t>
        </is>
      </c>
      <c r="AG201" t="inlineStr">
        <is>
          <t>Armada Women's ARW 86 Skis 170 cm</t>
        </is>
      </c>
      <c r="AH201" t="inlineStr">
        <is>
          <t>! OutdoorXL.com</t>
        </is>
      </c>
      <c r="AI201" s="333" t="n">
        <v>299.95</v>
      </c>
      <c r="AJ201" t="inlineStr">
        <is>
          <t>https://tinyurl.com/yaamar2t</t>
        </is>
      </c>
      <c r="AK201" t="inlineStr">
        <is>
          <t>Armada Women's ARW 86 Skis 170 cm</t>
        </is>
      </c>
      <c r="AL201" t="inlineStr">
        <is>
          <t>evo.com</t>
        </is>
      </c>
      <c r="AM201" s="333" t="n">
        <v>319.96</v>
      </c>
      <c r="AN201" t="inlineStr">
        <is>
          <t>https://tinyurl.com/ycp8vp8y</t>
        </is>
      </c>
      <c r="AO201" t="inlineStr">
        <is>
          <t>Armada Women's ARW 86 Skis 170 cm</t>
        </is>
      </c>
      <c r="AP201" t="inlineStr">
        <is>
          <t>BlueZone Sports</t>
        </is>
      </c>
      <c r="AQ201" s="333" t="n">
        <v>399.95</v>
      </c>
      <c r="AR201" t="inlineStr">
        <is>
          <t>https://tinyurl.com/yc2wahar</t>
        </is>
      </c>
      <c r="AS201" s="314">
        <f>IF(LEFT(C201,1)=" ",RIGHT(C201,LEN(C201)-1),C201)</f>
        <v/>
      </c>
      <c r="AT201" s="281">
        <f>_xlfn.CONCAT(B201,AS201,D201,E201)</f>
        <v/>
      </c>
    </row>
    <row r="202">
      <c r="A202" t="inlineStr">
        <is>
          <t>21/22</t>
        </is>
      </c>
      <c r="B202" t="inlineStr">
        <is>
          <t xml:space="preserve"> Atomic</t>
        </is>
      </c>
      <c r="C202" t="inlineStr">
        <is>
          <t>Bent Chetler 100</t>
        </is>
      </c>
      <c r="D202" t="n">
        <v>180</v>
      </c>
      <c r="E202" t="inlineStr">
        <is>
          <t xml:space="preserve"> Unisex</t>
        </is>
      </c>
      <c r="F202" t="n">
        <v>180</v>
      </c>
      <c r="G202" t="n">
        <v>179.3</v>
      </c>
      <c r="H202" t="n">
        <v>135</v>
      </c>
      <c r="I202" t="n">
        <v>146</v>
      </c>
      <c r="J202" t="n">
        <v>129</v>
      </c>
      <c r="K202" t="n">
        <v>99</v>
      </c>
      <c r="L202" t="n">
        <v>119</v>
      </c>
      <c r="M202" t="n">
        <v>19.6</v>
      </c>
      <c r="N202" t="n">
        <v>1763</v>
      </c>
      <c r="O202" t="n">
        <v>1.09</v>
      </c>
      <c r="P202" t="n">
        <v>1921</v>
      </c>
      <c r="Q202" t="n">
        <v>208</v>
      </c>
      <c r="R202" t="n">
        <v>113</v>
      </c>
      <c r="S202" t="n">
        <v>45</v>
      </c>
      <c r="T202" t="n">
        <v>277</v>
      </c>
      <c r="U202" t="n">
        <v>26</v>
      </c>
      <c r="V202" t="n">
        <v>168</v>
      </c>
      <c r="W202" t="n">
        <v>0.583</v>
      </c>
      <c r="X202" t="n">
        <v>184</v>
      </c>
      <c r="Y202" t="n">
        <v>147</v>
      </c>
      <c r="Z202" t="n">
        <v>94</v>
      </c>
      <c r="AA202" t="n">
        <v>12</v>
      </c>
      <c r="AB202" t="n">
        <v>8.199999999999999</v>
      </c>
      <c r="AC202" t="inlineStr">
        <is>
          <t xml:space="preserve"> Resort Freeride</t>
        </is>
      </c>
      <c r="AD202" t="inlineStr">
        <is>
          <t xml:space="preserve"> Touring</t>
        </is>
      </c>
      <c r="AG202" t="inlineStr">
        <is>
          <t>Atomic Bent Chetler 100</t>
        </is>
      </c>
      <c r="AH202" t="inlineStr">
        <is>
          <t>eBay - david110549</t>
        </is>
      </c>
      <c r="AI202" s="333" t="n">
        <v>479.99</v>
      </c>
      <c r="AJ202" t="inlineStr">
        <is>
          <t>https://tinyurl.com/y8kjntsf</t>
        </is>
      </c>
      <c r="AK202" t="inlineStr">
        <is>
          <t>Atomic Bent Chetler 100</t>
        </is>
      </c>
      <c r="AL202" t="inlineStr">
        <is>
          <t>Level Nine Sports</t>
        </is>
      </c>
      <c r="AM202" s="333" t="n">
        <v>479.99</v>
      </c>
      <c r="AN202" t="inlineStr">
        <is>
          <t>https://tinyurl.com/y7rstsbc</t>
        </is>
      </c>
      <c r="AO202" t="inlineStr">
        <is>
          <t>Atomic Bent Chetler 100</t>
        </is>
      </c>
      <c r="AP202" t="inlineStr">
        <is>
          <t>SkiEssentials.com</t>
        </is>
      </c>
      <c r="AQ202" s="333" t="n">
        <v>479.99</v>
      </c>
      <c r="AR202" t="inlineStr">
        <is>
          <t>https://tinyurl.com/y8zt4gzh</t>
        </is>
      </c>
      <c r="AS202" s="314">
        <f>IF(LEFT(C202,1)=" ",RIGHT(C202,LEN(C202)-1),C202)</f>
        <v/>
      </c>
      <c r="AT202" s="281">
        <f>_xlfn.CONCAT(B202,AS202,D202,E202)</f>
        <v/>
      </c>
    </row>
    <row r="203">
      <c r="A203" t="inlineStr">
        <is>
          <t>21/22</t>
        </is>
      </c>
      <c r="B203" t="inlineStr">
        <is>
          <t xml:space="preserve"> Head</t>
        </is>
      </c>
      <c r="C203" t="inlineStr">
        <is>
          <t>Kore 90 X</t>
        </is>
      </c>
      <c r="D203" t="n">
        <v>163</v>
      </c>
      <c r="E203" t="inlineStr">
        <is>
          <t xml:space="preserve"> Unisex</t>
        </is>
      </c>
      <c r="F203" t="n">
        <v>163</v>
      </c>
      <c r="G203" t="n">
        <v>162.4</v>
      </c>
      <c r="H203" t="n">
        <v>128</v>
      </c>
      <c r="I203" t="n">
        <v>133</v>
      </c>
      <c r="J203" t="n">
        <v>127</v>
      </c>
      <c r="K203" t="n">
        <v>89</v>
      </c>
      <c r="L203" t="n">
        <v>109</v>
      </c>
      <c r="M203" t="n">
        <v>13.2</v>
      </c>
      <c r="N203" t="n">
        <v>1683</v>
      </c>
      <c r="O203" t="n">
        <v>0.98</v>
      </c>
      <c r="P203" t="n">
        <v>1645</v>
      </c>
      <c r="Q203" t="n">
        <v>188</v>
      </c>
      <c r="R203" t="n">
        <v>80</v>
      </c>
      <c r="S203" t="n">
        <v>46</v>
      </c>
      <c r="T203" t="n">
        <v>212</v>
      </c>
      <c r="U203" t="n">
        <v>11</v>
      </c>
      <c r="V203" t="n">
        <v>129</v>
      </c>
      <c r="W203" t="n">
        <v>0.238</v>
      </c>
      <c r="X203" t="n">
        <v>142</v>
      </c>
      <c r="Y203" t="n">
        <v>156</v>
      </c>
      <c r="Z203" t="n">
        <v>70</v>
      </c>
      <c r="AA203" t="n">
        <v>7</v>
      </c>
      <c r="AB203" t="n">
        <v>11.5</v>
      </c>
      <c r="AC203" t="inlineStr">
        <is>
          <t xml:space="preserve"> Resort Freeride</t>
        </is>
      </c>
      <c r="AG203" t="inlineStr">
        <is>
          <t>Head Kore 90 x Anthracite-Beige 163 Ski Men</t>
        </is>
      </c>
      <c r="AH203" t="inlineStr">
        <is>
          <t>evo.com</t>
        </is>
      </c>
      <c r="AI203" s="333" t="n">
        <v>409</v>
      </c>
      <c r="AJ203" t="inlineStr">
        <is>
          <t>https://tinyurl.com/y788med6</t>
        </is>
      </c>
      <c r="AK203" t="inlineStr">
        <is>
          <t>Head Kore 90 x Anthracite-Beige 163 Ski Men</t>
        </is>
      </c>
      <c r="AL203" t="inlineStr">
        <is>
          <t>BobsSportsChalet.com</t>
        </is>
      </c>
      <c r="AM203" s="333" t="n">
        <v>549</v>
      </c>
      <c r="AN203" t="inlineStr">
        <is>
          <t>https://tinyurl.com/y7z42x4b</t>
        </is>
      </c>
      <c r="AO203" t="inlineStr">
        <is>
          <t>Head Kore 90 x Anthracite-Beige 163 Ski Men</t>
        </is>
      </c>
      <c r="AP203" t="inlineStr">
        <is>
          <t>BobWards.com</t>
        </is>
      </c>
      <c r="AQ203" s="333" t="n">
        <v>549.99</v>
      </c>
      <c r="AR203" t="inlineStr">
        <is>
          <t>https://tinyurl.com/yceaatel</t>
        </is>
      </c>
      <c r="AS203" s="314">
        <f>IF(LEFT(C203,1)=" ",RIGHT(C203,LEN(C203)-1),C203)</f>
        <v/>
      </c>
      <c r="AT203" s="281">
        <f>_xlfn.CONCAT(B203,AS203,D203,E203)</f>
        <v/>
      </c>
    </row>
    <row r="204">
      <c r="A204" t="inlineStr">
        <is>
          <t>21/22</t>
        </is>
      </c>
      <c r="B204" t="inlineStr">
        <is>
          <t xml:space="preserve"> DPS</t>
        </is>
      </c>
      <c r="C204" t="inlineStr">
        <is>
          <t>Pagoda Piste 100 C2</t>
        </is>
      </c>
      <c r="D204" t="n">
        <v>171</v>
      </c>
      <c r="E204" t="inlineStr">
        <is>
          <t xml:space="preserve"> Unisex</t>
        </is>
      </c>
      <c r="F204" t="n">
        <v>171</v>
      </c>
      <c r="G204" t="n">
        <v>170.9</v>
      </c>
      <c r="H204" t="n">
        <v>127</v>
      </c>
      <c r="I204" t="n">
        <v>135</v>
      </c>
      <c r="J204" t="n">
        <v>128</v>
      </c>
      <c r="K204" t="n">
        <v>99</v>
      </c>
      <c r="L204" t="n">
        <v>115</v>
      </c>
      <c r="M204" t="n">
        <v>19.4</v>
      </c>
      <c r="N204" t="n">
        <v>1793</v>
      </c>
      <c r="O204" t="n">
        <v>1.03</v>
      </c>
      <c r="P204" t="n">
        <v>1849</v>
      </c>
      <c r="Q204" t="n">
        <v>192</v>
      </c>
      <c r="R204" t="n">
        <v>106</v>
      </c>
      <c r="S204" t="n">
        <v>43</v>
      </c>
      <c r="T204" t="n">
        <v>252</v>
      </c>
      <c r="U204" t="n">
        <v>21</v>
      </c>
      <c r="V204" t="n">
        <v>184</v>
      </c>
      <c r="W204" t="n">
        <v>0.488</v>
      </c>
      <c r="X204" t="n">
        <v>185</v>
      </c>
      <c r="Y204" t="n">
        <v>176</v>
      </c>
      <c r="Z204" t="n">
        <v>67</v>
      </c>
      <c r="AA204" t="n">
        <v>8</v>
      </c>
      <c r="AB204" t="n">
        <v>10.4</v>
      </c>
      <c r="AC204" t="inlineStr">
        <is>
          <t xml:space="preserve"> Resort Freeride</t>
        </is>
      </c>
      <c r="AG204" t="inlineStr">
        <is>
          <t>DPS Pagoda Piste 100 C2 Ski 171 / Pinot</t>
        </is>
      </c>
      <c r="AH204" t="inlineStr">
        <is>
          <t>Cripple Creek Backcountry</t>
        </is>
      </c>
      <c r="AI204" s="333" t="n">
        <v>1029</v>
      </c>
      <c r="AJ204" t="inlineStr">
        <is>
          <t>https://tinyurl.com/y7k3gsqa</t>
        </is>
      </c>
      <c r="AK204" t="inlineStr">
        <is>
          <t>DPS Skis Pagoda Piste 100 C2 Ski - 2022 Pinot, 171cm</t>
        </is>
      </c>
      <c r="AL204" t="inlineStr">
        <is>
          <t>SkiEssentials.com</t>
        </is>
      </c>
      <c r="AM204" s="333" t="n">
        <v>1039</v>
      </c>
      <c r="AN204" t="inlineStr">
        <is>
          <t>https://tinyurl.com/ybgnk3cp</t>
        </is>
      </c>
      <c r="AO204" t="inlineStr">
        <is>
          <t>DPS Skis Pagoda Piste 100 C2 Ski - 2022 Pinot, 171cm</t>
        </is>
      </c>
      <c r="AP204" t="inlineStr">
        <is>
          <t>Backcountry.com</t>
        </is>
      </c>
      <c r="AQ204" s="333" t="n">
        <v>1039.2</v>
      </c>
      <c r="AR204" t="inlineStr">
        <is>
          <t>https://tinyurl.com/yd85a3fo</t>
        </is>
      </c>
      <c r="AS204" s="314">
        <f>IF(LEFT(C204,1)=" ",RIGHT(C204,LEN(C204)-1),C204)</f>
        <v/>
      </c>
      <c r="AT204" s="281">
        <f>_xlfn.CONCAT(B204,AS204,D204,E204)</f>
        <v/>
      </c>
    </row>
    <row r="205">
      <c r="A205" t="inlineStr">
        <is>
          <t>21/22</t>
        </is>
      </c>
      <c r="B205" t="inlineStr">
        <is>
          <t xml:space="preserve"> Blizzard</t>
        </is>
      </c>
      <c r="C205" t="inlineStr">
        <is>
          <t>Zero G 105</t>
        </is>
      </c>
      <c r="D205" t="n">
        <v>188</v>
      </c>
      <c r="E205" t="inlineStr">
        <is>
          <t xml:space="preserve"> Unisex</t>
        </is>
      </c>
      <c r="F205" t="n">
        <v>188</v>
      </c>
      <c r="G205" t="n">
        <v>185.8</v>
      </c>
      <c r="H205" t="n">
        <v>126</v>
      </c>
      <c r="I205" t="n">
        <v>155</v>
      </c>
      <c r="J205" t="n">
        <v>133</v>
      </c>
      <c r="K205" t="n">
        <v>104</v>
      </c>
      <c r="L205" t="n">
        <v>119</v>
      </c>
      <c r="M205" t="n">
        <v>25.3</v>
      </c>
      <c r="N205" t="n">
        <v>1645</v>
      </c>
      <c r="O205" t="n">
        <v>1.27</v>
      </c>
      <c r="P205" t="n">
        <v>2096</v>
      </c>
      <c r="Q205" t="n">
        <v>265</v>
      </c>
      <c r="R205" t="n">
        <v>95</v>
      </c>
      <c r="S205" t="n">
        <v>52</v>
      </c>
      <c r="T205" t="n">
        <v>333</v>
      </c>
      <c r="U205" t="n">
        <v>22</v>
      </c>
      <c r="V205" t="n">
        <v>265</v>
      </c>
      <c r="W205" t="n">
        <v>0.425</v>
      </c>
      <c r="X205" t="n">
        <v>160</v>
      </c>
      <c r="Y205" t="n">
        <v>145</v>
      </c>
      <c r="Z205" t="n">
        <v>173</v>
      </c>
      <c r="AA205" t="n">
        <v>4</v>
      </c>
      <c r="AB205" t="n">
        <v>9.6</v>
      </c>
      <c r="AC205" t="inlineStr">
        <is>
          <t xml:space="preserve"> Resort Freeride</t>
        </is>
      </c>
      <c r="AD205" t="inlineStr">
        <is>
          <t xml:space="preserve"> Powder</t>
        </is>
      </c>
      <c r="AE205" t="inlineStr">
        <is>
          <t xml:space="preserve"> Touring</t>
        </is>
      </c>
      <c r="AF205" t="inlineStr">
        <is>
          <t xml:space="preserve"> Ultralight Touring</t>
        </is>
      </c>
      <c r="AG205" t="inlineStr">
        <is>
          <t>Blizzard Zero G 105 20/21</t>
        </is>
      </c>
      <c r="AH205" t="inlineStr">
        <is>
          <t>AlpinStore</t>
        </is>
      </c>
      <c r="AI205" s="333" t="n">
        <v>555.33</v>
      </c>
      <c r="AJ205" t="inlineStr">
        <is>
          <t>https://tinyurl.com/y8f64jo2</t>
        </is>
      </c>
      <c r="AK205" t="inlineStr">
        <is>
          <t>Blizzard Zero G 105 Ski</t>
        </is>
      </c>
      <c r="AL205" t="inlineStr">
        <is>
          <t>SkiEssentials.com</t>
        </is>
      </c>
      <c r="AM205" s="333" t="n">
        <v>639.95</v>
      </c>
      <c r="AN205" t="inlineStr">
        <is>
          <t>https://tinyurl.com/y9lklslm</t>
        </is>
      </c>
      <c r="AO205" t="inlineStr">
        <is>
          <t>Blizzard Zero G 105 Ski</t>
        </is>
      </c>
      <c r="AP205" t="inlineStr">
        <is>
          <t>AlpineShopVT.com</t>
        </is>
      </c>
      <c r="AQ205" s="333" t="n">
        <v>639.95</v>
      </c>
      <c r="AR205" t="inlineStr">
        <is>
          <t>https://tinyurl.com/y8ayccr8</t>
        </is>
      </c>
      <c r="AS205" s="314">
        <f>IF(LEFT(C205,1)=" ",RIGHT(C205,LEN(C205)-1),C205)</f>
        <v/>
      </c>
      <c r="AT205" s="281">
        <f>_xlfn.CONCAT(B205,AS205,D205,E205)</f>
        <v/>
      </c>
    </row>
    <row r="206">
      <c r="A206" t="inlineStr">
        <is>
          <t>21/22</t>
        </is>
      </c>
      <c r="B206" t="inlineStr">
        <is>
          <t xml:space="preserve"> Head</t>
        </is>
      </c>
      <c r="C206" t="inlineStr">
        <is>
          <t>Kore 93</t>
        </is>
      </c>
      <c r="D206" t="n">
        <v>177</v>
      </c>
      <c r="E206" t="inlineStr">
        <is>
          <t xml:space="preserve"> Unisex</t>
        </is>
      </c>
      <c r="F206" t="n">
        <v>177</v>
      </c>
      <c r="G206" t="n">
        <v>176.3</v>
      </c>
      <c r="H206" t="n">
        <v>138</v>
      </c>
      <c r="I206" t="n">
        <v>146</v>
      </c>
      <c r="J206" t="n">
        <v>132</v>
      </c>
      <c r="K206" t="n">
        <v>92</v>
      </c>
      <c r="L206" t="n">
        <v>114</v>
      </c>
      <c r="M206" t="n">
        <v>16.4</v>
      </c>
      <c r="N206" t="n">
        <v>1660</v>
      </c>
      <c r="O206" t="n">
        <v>1.11</v>
      </c>
      <c r="P206" t="n">
        <v>1844</v>
      </c>
      <c r="Q206" t="n">
        <v>257</v>
      </c>
      <c r="R206" t="n">
        <v>119</v>
      </c>
      <c r="S206" t="n">
        <v>50</v>
      </c>
      <c r="T206" t="n">
        <v>221</v>
      </c>
      <c r="U206" t="n">
        <v>15</v>
      </c>
      <c r="V206" t="n">
        <v>160</v>
      </c>
      <c r="W206" t="n">
        <v>0.299</v>
      </c>
      <c r="X206" t="n">
        <v>147</v>
      </c>
      <c r="Y206" t="n">
        <v>151</v>
      </c>
      <c r="Z206" t="n">
        <v>74</v>
      </c>
      <c r="AA206" t="n">
        <v>8</v>
      </c>
      <c r="AB206" t="n">
        <v>10.2</v>
      </c>
      <c r="AC206" t="inlineStr">
        <is>
          <t xml:space="preserve"> Resort Freeride</t>
        </is>
      </c>
      <c r="AD206" t="inlineStr">
        <is>
          <t xml:space="preserve"> Touring</t>
        </is>
      </c>
      <c r="AG206" t="inlineStr">
        <is>
          <t>Head Kore 93 Skis</t>
        </is>
      </c>
      <c r="AH206" t="inlineStr">
        <is>
          <t>Gorham Bike and Ski</t>
        </is>
      </c>
      <c r="AI206" s="333" t="n">
        <v>454.99</v>
      </c>
      <c r="AJ206" t="inlineStr">
        <is>
          <t>https://tinyurl.com/ybxoku2n</t>
        </is>
      </c>
      <c r="AK206" t="inlineStr">
        <is>
          <t>2022 Head Kore 93 Skis-177cm</t>
        </is>
      </c>
      <c r="AL206" t="inlineStr">
        <is>
          <t>eBay - jeffmagnusson</t>
        </is>
      </c>
      <c r="AM206" s="333" t="n">
        <v>459.99</v>
      </c>
      <c r="AN206" t="inlineStr">
        <is>
          <t>https://tinyurl.com/ybzalq5j</t>
        </is>
      </c>
      <c r="AO206" t="inlineStr">
        <is>
          <t>Demo Head Kore 93 Ski w/ Tyrolia Attack 14 Binding 2022</t>
        </is>
      </c>
      <c r="AP206" t="inlineStr">
        <is>
          <t>High Mountain Sports</t>
        </is>
      </c>
      <c r="AQ206" s="333" t="n">
        <v>464.99</v>
      </c>
      <c r="AR206" t="inlineStr">
        <is>
          <t>https://tinyurl.com/ydaklgdh</t>
        </is>
      </c>
      <c r="AS206" s="314">
        <f>IF(LEFT(C206,1)=" ",RIGHT(C206,LEN(C206)-1),C206)</f>
        <v/>
      </c>
      <c r="AT206" s="281">
        <f>_xlfn.CONCAT(B206,AS206,D206,E206)</f>
        <v/>
      </c>
    </row>
    <row r="207">
      <c r="A207" t="inlineStr">
        <is>
          <t>21/22</t>
        </is>
      </c>
      <c r="B207" t="inlineStr">
        <is>
          <t xml:space="preserve"> Faction</t>
        </is>
      </c>
      <c r="C207" t="inlineStr">
        <is>
          <t>CT 2.0</t>
        </is>
      </c>
      <c r="D207" t="n">
        <v>183</v>
      </c>
      <c r="E207" t="inlineStr">
        <is>
          <t xml:space="preserve"> Unisex</t>
        </is>
      </c>
      <c r="F207" t="n">
        <v>183</v>
      </c>
      <c r="G207" t="n">
        <v>181.1</v>
      </c>
      <c r="H207" t="n">
        <v>120</v>
      </c>
      <c r="I207" t="n">
        <v>154</v>
      </c>
      <c r="J207" t="n">
        <v>131</v>
      </c>
      <c r="K207" t="n">
        <v>101</v>
      </c>
      <c r="L207" t="n">
        <v>127</v>
      </c>
      <c r="M207" t="n">
        <v>20.7</v>
      </c>
      <c r="N207" t="n">
        <v>1912</v>
      </c>
      <c r="O207" t="n">
        <v>1.06</v>
      </c>
      <c r="P207" t="n">
        <v>2023</v>
      </c>
      <c r="Q207" t="n">
        <v>245</v>
      </c>
      <c r="R207" t="n">
        <v>102</v>
      </c>
      <c r="S207" t="n">
        <v>54</v>
      </c>
      <c r="T207" t="n">
        <v>320</v>
      </c>
      <c r="U207" t="n">
        <v>49</v>
      </c>
      <c r="V207" t="n">
        <v>291</v>
      </c>
      <c r="W207" t="n">
        <v>0.909</v>
      </c>
      <c r="X207" t="n">
        <v>143</v>
      </c>
      <c r="Y207" t="n">
        <v>130</v>
      </c>
      <c r="Z207" t="n">
        <v>177</v>
      </c>
      <c r="AA207" t="n">
        <v>6</v>
      </c>
      <c r="AB207" t="n">
        <v>4.1</v>
      </c>
      <c r="AC207" t="inlineStr">
        <is>
          <t xml:space="preserve"> Freeski</t>
        </is>
      </c>
      <c r="AD207" t="inlineStr">
        <is>
          <t xml:space="preserve"> Powder</t>
        </is>
      </c>
      <c r="AE207" t="inlineStr">
        <is>
          <t xml:space="preserve"> Touring</t>
        </is>
      </c>
      <c r="AG207" t="inlineStr">
        <is>
          <t>Faction Ct 2.0 Skis</t>
        </is>
      </c>
      <c r="AH207" t="inlineStr">
        <is>
          <t>Powder7 Ski Shop</t>
        </is>
      </c>
      <c r="AI207" s="333" t="n">
        <v>669</v>
      </c>
      <c r="AJ207" t="inlineStr">
        <is>
          <t>https://tinyurl.com/y8aocxny</t>
        </is>
      </c>
      <c r="AK207" t="inlineStr">
        <is>
          <t>Faction Ct 2.0 Skis</t>
        </is>
      </c>
      <c r="AL207" t="inlineStr">
        <is>
          <t>The-House.com</t>
        </is>
      </c>
      <c r="AM207" s="333" t="n">
        <v>699</v>
      </c>
      <c r="AN207" t="inlineStr">
        <is>
          <t>https://tinyurl.com/ybppfaox</t>
        </is>
      </c>
      <c r="AO207" t="inlineStr">
        <is>
          <t>Faction Prodigy 2.0 Skis</t>
        </is>
      </c>
      <c r="AP207" t="inlineStr">
        <is>
          <t>Gear West Ski &amp; Bike</t>
        </is>
      </c>
      <c r="AQ207" s="333" t="n">
        <v>699</v>
      </c>
      <c r="AR207" t="inlineStr">
        <is>
          <t>https://tinyurl.com/y867r2tv</t>
        </is>
      </c>
      <c r="AS207" s="314">
        <f>IF(LEFT(C207,1)=" ",RIGHT(C207,LEN(C207)-1),C207)</f>
        <v/>
      </c>
      <c r="AT207" s="281">
        <f>_xlfn.CONCAT(B207,AS207,D207,E207)</f>
        <v/>
      </c>
    </row>
    <row r="208">
      <c r="A208" t="inlineStr">
        <is>
          <t>21/22</t>
        </is>
      </c>
      <c r="B208" t="inlineStr">
        <is>
          <t xml:space="preserve"> Black Diamond</t>
        </is>
      </c>
      <c r="C208" t="inlineStr">
        <is>
          <t>Impulse 98</t>
        </is>
      </c>
      <c r="D208" t="n">
        <v>175</v>
      </c>
      <c r="E208" t="inlineStr">
        <is>
          <t xml:space="preserve"> Unisex</t>
        </is>
      </c>
      <c r="F208" t="n">
        <v>175</v>
      </c>
      <c r="G208" t="n">
        <v>175.7</v>
      </c>
      <c r="H208" t="n">
        <v>128</v>
      </c>
      <c r="I208" t="n">
        <v>141</v>
      </c>
      <c r="J208" t="n">
        <v>130</v>
      </c>
      <c r="K208" t="n">
        <v>97</v>
      </c>
      <c r="L208" t="n">
        <v>118</v>
      </c>
      <c r="M208" t="n">
        <v>16.8</v>
      </c>
      <c r="N208" t="n">
        <v>1856</v>
      </c>
      <c r="O208" t="n">
        <v>1.02</v>
      </c>
      <c r="P208" t="n">
        <v>1896</v>
      </c>
      <c r="Q208" t="n">
        <v>212</v>
      </c>
      <c r="R208" t="n">
        <v>85</v>
      </c>
      <c r="S208" t="n">
        <v>40</v>
      </c>
      <c r="T208" t="n">
        <v>273</v>
      </c>
      <c r="U208" t="n">
        <v>22</v>
      </c>
      <c r="V208" t="n">
        <v>202</v>
      </c>
      <c r="W208" t="n">
        <v>0.5610000000000001</v>
      </c>
      <c r="X208" t="n">
        <v>217</v>
      </c>
      <c r="Y208" t="n">
        <v>131</v>
      </c>
      <c r="Z208" t="n">
        <v>57</v>
      </c>
      <c r="AA208" t="n">
        <v>10</v>
      </c>
      <c r="AB208" t="n">
        <v>8.5</v>
      </c>
      <c r="AC208" t="inlineStr">
        <is>
          <t xml:space="preserve"> Resort Freeride</t>
        </is>
      </c>
      <c r="AG208" t="inlineStr">
        <is>
          <t>Black Diamond Impulse 98 Skis</t>
        </is>
      </c>
      <c r="AH208" t="inlineStr">
        <is>
          <t>Black Diamond Equipment - US</t>
        </is>
      </c>
      <c r="AI208" s="333" t="n">
        <v>559.96</v>
      </c>
      <c r="AJ208" t="inlineStr">
        <is>
          <t>https://tinyurl.com/y9p3kyxk</t>
        </is>
      </c>
      <c r="AK208" t="inlineStr">
        <is>
          <t>Black Diamond 175cm Voodoo skis/skins w/ Silvretta 300 Bindings</t>
        </is>
      </c>
      <c r="AL208" t="inlineStr">
        <is>
          <t>Geartrade.com</t>
        </is>
      </c>
      <c r="AM208" s="333" t="n">
        <v>275</v>
      </c>
      <c r="AN208" t="inlineStr">
        <is>
          <t>https://tinyurl.com/y8c4b9ek</t>
        </is>
      </c>
      <c r="AO208" t="inlineStr">
        <is>
          <t>Black Diamond Helio Recon 95 Ski 2022</t>
        </is>
      </c>
      <c r="AP208" t="inlineStr">
        <is>
          <t>Telemark Pyrenees</t>
        </is>
      </c>
      <c r="AQ208" s="333" t="n">
        <v>384.97</v>
      </c>
      <c r="AR208" t="inlineStr">
        <is>
          <t>https://tinyurl.com/y9ndxknm</t>
        </is>
      </c>
      <c r="AS208" s="314">
        <f>IF(LEFT(C208,1)=" ",RIGHT(C208,LEN(C208)-1),C208)</f>
        <v/>
      </c>
      <c r="AT208" s="281">
        <f>_xlfn.CONCAT(B208,AS208,D208,E208)</f>
        <v/>
      </c>
    </row>
    <row r="209">
      <c r="A209" t="inlineStr">
        <is>
          <t>21/22</t>
        </is>
      </c>
      <c r="B209" t="inlineStr">
        <is>
          <t xml:space="preserve"> Nordica</t>
        </is>
      </c>
      <c r="C209" t="inlineStr">
        <is>
          <t>Santa Ana 104 Free</t>
        </is>
      </c>
      <c r="D209" t="n">
        <v>172</v>
      </c>
      <c r="E209" t="inlineStr">
        <is>
          <t xml:space="preserve"> Women's</t>
        </is>
      </c>
      <c r="F209" t="n">
        <v>172</v>
      </c>
      <c r="G209" t="n">
        <v>170.6</v>
      </c>
      <c r="H209" t="n">
        <v>116</v>
      </c>
      <c r="I209" t="n">
        <v>142</v>
      </c>
      <c r="J209" t="n">
        <v>135</v>
      </c>
      <c r="K209" t="n">
        <v>103</v>
      </c>
      <c r="L209" t="n">
        <v>125</v>
      </c>
      <c r="M209" t="n">
        <v>16.3</v>
      </c>
      <c r="N209" t="n">
        <v>1787</v>
      </c>
      <c r="O209" t="n">
        <v>1.09</v>
      </c>
      <c r="P209" t="n">
        <v>1945</v>
      </c>
      <c r="Q209" t="n">
        <v>182</v>
      </c>
      <c r="R209" t="n">
        <v>99</v>
      </c>
      <c r="S209" t="n">
        <v>62</v>
      </c>
      <c r="T209" t="n">
        <v>298</v>
      </c>
      <c r="U209" t="n">
        <v>44</v>
      </c>
      <c r="V209" t="n">
        <v>248</v>
      </c>
      <c r="W209" t="n">
        <v>0.713</v>
      </c>
      <c r="X209" t="n">
        <v>140</v>
      </c>
      <c r="Y209" t="n">
        <v>151</v>
      </c>
      <c r="Z209" t="n">
        <v>159</v>
      </c>
      <c r="AA209" t="n">
        <v>7</v>
      </c>
      <c r="AB209" t="n">
        <v>8.800000000000001</v>
      </c>
      <c r="AC209" t="inlineStr">
        <is>
          <t xml:space="preserve"> Resort Freeride</t>
        </is>
      </c>
      <c r="AD209" t="inlineStr">
        <is>
          <t xml:space="preserve"> Powder</t>
        </is>
      </c>
      <c r="AE209" t="inlineStr">
        <is>
          <t xml:space="preserve"> Touring</t>
        </is>
      </c>
      <c r="AG209" t="inlineStr">
        <is>
          <t>Nordica Santa Ana Free 104 21/22</t>
        </is>
      </c>
      <c r="AH209" t="inlineStr">
        <is>
          <t>Snowcountry.eu</t>
        </is>
      </c>
      <c r="AI209" s="333" t="n">
        <v>414</v>
      </c>
      <c r="AJ209" t="inlineStr">
        <is>
          <t>https://tinyurl.com/y8u4hxjw</t>
        </is>
      </c>
      <c r="AK209" t="inlineStr">
        <is>
          <t>Nordica Santa Ana 104 Free Skis</t>
        </is>
      </c>
      <c r="AL209" t="inlineStr">
        <is>
          <t>Cole Sport</t>
        </is>
      </c>
      <c r="AM209" s="333" t="n">
        <v>599.99</v>
      </c>
      <c r="AN209" t="inlineStr">
        <is>
          <t>https://tinyurl.com/y8xwh5gx</t>
        </is>
      </c>
      <c r="AO209" t="inlineStr">
        <is>
          <t>Nordica 2022 Santa Ana 104 Women's Skis w/Tyrolia Attack2 13 GW Bindings (172)</t>
        </is>
      </c>
      <c r="AP209" t="inlineStr">
        <is>
          <t>SkiEssentials.com</t>
        </is>
      </c>
      <c r="AQ209" s="333" t="n">
        <v>774.99</v>
      </c>
      <c r="AR209" t="inlineStr">
        <is>
          <t>https://tinyurl.com/y828vnnf</t>
        </is>
      </c>
      <c r="AS209" s="314">
        <f>IF(LEFT(C209,1)=" ",RIGHT(C209,LEN(C209)-1),C209)</f>
        <v/>
      </c>
      <c r="AT209" s="281">
        <f>_xlfn.CONCAT(B209,AS209,D209,E209)</f>
        <v/>
      </c>
    </row>
    <row r="210">
      <c r="A210" t="inlineStr">
        <is>
          <t>21/22</t>
        </is>
      </c>
      <c r="B210" t="inlineStr">
        <is>
          <t xml:space="preserve"> Line</t>
        </is>
      </c>
      <c r="C210" t="inlineStr">
        <is>
          <t>Sick Day 88</t>
        </is>
      </c>
      <c r="D210" t="n">
        <v>172</v>
      </c>
      <c r="E210" t="inlineStr">
        <is>
          <t xml:space="preserve"> Unisex</t>
        </is>
      </c>
      <c r="F210" t="n">
        <v>172</v>
      </c>
      <c r="G210" t="n">
        <v>171.9</v>
      </c>
      <c r="H210" t="n">
        <v>127</v>
      </c>
      <c r="I210" t="n">
        <v>146</v>
      </c>
      <c r="J210" t="n">
        <v>126</v>
      </c>
      <c r="K210" t="n">
        <v>87</v>
      </c>
      <c r="L210" t="n">
        <v>112</v>
      </c>
      <c r="M210" t="n">
        <v>16.2</v>
      </c>
      <c r="N210" t="n">
        <v>1588</v>
      </c>
      <c r="O210" t="n">
        <v>1.08</v>
      </c>
      <c r="P210" t="n">
        <v>1709</v>
      </c>
      <c r="Q210" t="n">
        <v>183</v>
      </c>
      <c r="R210" t="n">
        <v>96</v>
      </c>
      <c r="S210" t="n">
        <v>44</v>
      </c>
      <c r="T210" t="n">
        <v>284</v>
      </c>
      <c r="U210" t="n">
        <v>16</v>
      </c>
      <c r="V210" t="n">
        <v>160</v>
      </c>
      <c r="W210" t="n">
        <v>0.359</v>
      </c>
      <c r="X210" t="n">
        <v>147</v>
      </c>
      <c r="Y210" t="n">
        <v>108</v>
      </c>
      <c r="Z210" t="n">
        <v>138</v>
      </c>
      <c r="AA210" t="n">
        <v>6</v>
      </c>
      <c r="AB210" t="n">
        <v>9.699999999999999</v>
      </c>
      <c r="AC210" t="inlineStr">
        <is>
          <t xml:space="preserve"> Resort Freeride</t>
        </is>
      </c>
      <c r="AD210" t="inlineStr">
        <is>
          <t xml:space="preserve"> Touring</t>
        </is>
      </c>
      <c r="AG210" t="inlineStr">
        <is>
          <t>'22 Line Sick Day 88 Skis 172cm</t>
        </is>
      </c>
      <c r="AH210" t="inlineStr">
        <is>
          <t>Al's Ski Equipment Barn</t>
        </is>
      </c>
      <c r="AI210" s="333" t="n">
        <v>399.95</v>
      </c>
      <c r="AJ210" t="inlineStr">
        <is>
          <t>https://tinyurl.com/yabjdzzl</t>
        </is>
      </c>
      <c r="AK210" t="inlineStr">
        <is>
          <t>Line Sick Day 88 Skis</t>
        </is>
      </c>
      <c r="AL210" t="inlineStr">
        <is>
          <t>LINE Skis</t>
        </is>
      </c>
      <c r="AM210" s="333" t="n">
        <v>399.95</v>
      </c>
      <c r="AN210" t="inlineStr">
        <is>
          <t>https://tinyurl.com/y9xx42o7</t>
        </is>
      </c>
      <c r="AO210" t="inlineStr">
        <is>
          <t>Line Other | Line Sick Day All-Mountain Rocker Skis 172 Cm Wo Bindings | Color: Black/Yellow | Size: 172 Cm | Chrispy_Kicks's Closet</t>
        </is>
      </c>
      <c r="AP210" t="inlineStr">
        <is>
          <t>Poshmark</t>
        </is>
      </c>
      <c r="AQ210" s="333" t="n">
        <v>200</v>
      </c>
      <c r="AR210" t="inlineStr">
        <is>
          <t>https://tinyurl.com/yaclpmos</t>
        </is>
      </c>
      <c r="AS210" s="314">
        <f>IF(LEFT(C210,1)=" ",RIGHT(C210,LEN(C210)-1),C210)</f>
        <v/>
      </c>
      <c r="AT210" s="281">
        <f>_xlfn.CONCAT(B210,AS210,D210,E210)</f>
        <v/>
      </c>
    </row>
    <row r="211">
      <c r="A211" t="inlineStr">
        <is>
          <t>21/22</t>
        </is>
      </c>
      <c r="B211" t="inlineStr">
        <is>
          <t xml:space="preserve"> Faction</t>
        </is>
      </c>
      <c r="C211" t="inlineStr">
        <is>
          <t>CT 2.0</t>
        </is>
      </c>
      <c r="D211" t="n">
        <v>178</v>
      </c>
      <c r="E211" t="inlineStr">
        <is>
          <t xml:space="preserve"> Unisex</t>
        </is>
      </c>
      <c r="F211" t="n">
        <v>178</v>
      </c>
      <c r="G211" t="n">
        <v>176.1</v>
      </c>
      <c r="H211" t="n">
        <v>119</v>
      </c>
      <c r="I211" t="n">
        <v>147</v>
      </c>
      <c r="J211" t="n">
        <v>131</v>
      </c>
      <c r="K211" t="n">
        <v>102</v>
      </c>
      <c r="L211" t="n">
        <v>127</v>
      </c>
      <c r="M211" t="n">
        <v>19.4</v>
      </c>
      <c r="N211" t="n">
        <v>1905</v>
      </c>
      <c r="O211" t="n">
        <v>1.03</v>
      </c>
      <c r="P211" t="n">
        <v>1969</v>
      </c>
      <c r="Q211" t="n">
        <v>227</v>
      </c>
      <c r="R211" t="n">
        <v>97</v>
      </c>
      <c r="S211" t="n">
        <v>55</v>
      </c>
      <c r="T211" t="n">
        <v>302</v>
      </c>
      <c r="U211" t="n">
        <v>49</v>
      </c>
      <c r="V211" t="n">
        <v>270</v>
      </c>
      <c r="W211" t="n">
        <v>0.890999999999999</v>
      </c>
      <c r="X211" t="n">
        <v>149</v>
      </c>
      <c r="Y211" t="n">
        <v>141</v>
      </c>
      <c r="Z211" t="n">
        <v>153</v>
      </c>
      <c r="AA211" t="n">
        <v>7</v>
      </c>
      <c r="AB211" t="n">
        <v>4.6</v>
      </c>
      <c r="AC211" t="inlineStr">
        <is>
          <t xml:space="preserve"> Freeski</t>
        </is>
      </c>
      <c r="AD211" t="inlineStr">
        <is>
          <t xml:space="preserve"> Powder</t>
        </is>
      </c>
      <c r="AG211" t="inlineStr">
        <is>
          <t>Faction Ct 2.0 Skis</t>
        </is>
      </c>
      <c r="AH211" t="inlineStr">
        <is>
          <t>Blue Tomato</t>
        </is>
      </c>
      <c r="AI211" s="333" t="n">
        <v>554.2</v>
      </c>
      <c r="AJ211" t="inlineStr">
        <is>
          <t>https://tinyurl.com/y8uan8p6</t>
        </is>
      </c>
      <c r="AK211" t="inlineStr">
        <is>
          <t>Faction Ct 2.0 Ski - 2022</t>
        </is>
      </c>
      <c r="AL211" t="inlineStr">
        <is>
          <t>Next Adventure</t>
        </is>
      </c>
      <c r="AM211" s="333" t="n">
        <v>639.2</v>
      </c>
      <c r="AN211" t="inlineStr">
        <is>
          <t>https://tinyurl.com/yapknuhh</t>
        </is>
      </c>
      <c r="AO211" t="inlineStr">
        <is>
          <t>Faction Ct 2.0 Skis</t>
        </is>
      </c>
      <c r="AP211" t="inlineStr">
        <is>
          <t>The-House.com</t>
        </is>
      </c>
      <c r="AQ211" s="333" t="n">
        <v>699</v>
      </c>
      <c r="AR211" t="inlineStr">
        <is>
          <t>https://tinyurl.com/y8qfck2r</t>
        </is>
      </c>
      <c r="AS211" s="314">
        <f>IF(LEFT(C211,1)=" ",RIGHT(C211,LEN(C211)-1),C211)</f>
        <v/>
      </c>
      <c r="AT211" s="281">
        <f>_xlfn.CONCAT(B211,AS211,D211,E211)</f>
        <v/>
      </c>
    </row>
    <row r="212">
      <c r="A212" t="inlineStr">
        <is>
          <t>21/22</t>
        </is>
      </c>
      <c r="B212" t="inlineStr">
        <is>
          <t xml:space="preserve"> Faction</t>
        </is>
      </c>
      <c r="C212" t="inlineStr">
        <is>
          <t>Dictator 1.0 X</t>
        </is>
      </c>
      <c r="D212" t="n">
        <v>162</v>
      </c>
      <c r="E212" t="inlineStr">
        <is>
          <t xml:space="preserve"> Women's</t>
        </is>
      </c>
      <c r="F212" t="n">
        <v>162</v>
      </c>
      <c r="G212" t="n">
        <v>160.3</v>
      </c>
      <c r="H212" t="n">
        <v>122</v>
      </c>
      <c r="I212" t="n">
        <v>136</v>
      </c>
      <c r="J212" t="n">
        <v>120</v>
      </c>
      <c r="K212" t="n">
        <v>86</v>
      </c>
      <c r="L212" t="n">
        <v>110</v>
      </c>
      <c r="M212" t="n">
        <v>15</v>
      </c>
      <c r="N212" t="n">
        <v>1574</v>
      </c>
      <c r="O212" t="n">
        <v>0.99</v>
      </c>
      <c r="P212" t="n">
        <v>1561</v>
      </c>
      <c r="Q212" t="n">
        <v>190</v>
      </c>
      <c r="R212" t="n">
        <v>116</v>
      </c>
      <c r="S212" t="n">
        <v>50</v>
      </c>
      <c r="T212" t="n">
        <v>230</v>
      </c>
      <c r="U212" t="n">
        <v>20</v>
      </c>
      <c r="V212" t="n">
        <v>150</v>
      </c>
      <c r="W212" t="n">
        <v>0.403999999999999</v>
      </c>
      <c r="X212" t="n">
        <v>154</v>
      </c>
      <c r="Y212" t="n">
        <v>88</v>
      </c>
      <c r="Z212" t="n">
        <v>76</v>
      </c>
      <c r="AA212" t="n">
        <v>6</v>
      </c>
      <c r="AB212" t="n">
        <v>9.4</v>
      </c>
      <c r="AC212" t="inlineStr">
        <is>
          <t xml:space="preserve"> Resort Freeride</t>
        </is>
      </c>
      <c r="AG212" t="inlineStr">
        <is>
          <t>Faction Agent 1.0 Ski 2022</t>
        </is>
      </c>
      <c r="AH212" t="inlineStr">
        <is>
          <t>Telemark Pyrenees</t>
        </is>
      </c>
      <c r="AI212" s="333" t="n">
        <v>439.98</v>
      </c>
      <c r="AJ212" t="inlineStr">
        <is>
          <t>https://tinyurl.com/y9kkv93z</t>
        </is>
      </c>
      <c r="AK212" t="inlineStr">
        <is>
          <t>Faction Agent 1.0 Skis</t>
        </is>
      </c>
      <c r="AL212" t="inlineStr">
        <is>
          <t>Backcountry Freeskier</t>
        </is>
      </c>
      <c r="AM212" s="333" t="n">
        <v>499</v>
      </c>
      <c r="AN212" t="inlineStr">
        <is>
          <t>https://www.google.com/url?q=https://www.backcountryfreeskier.com/faction-agent-1-0-skis/%3Fsku%3DAGT1%26utm_source%3Dgoogleshopping%26utm_medium%3Dcse&amp;sa=U&amp;ved=0ahUKEwj6sZ7wtu72AhUJDkQIHTAwDqUQsDwISA&amp;usg=AOvVaw1uMp49pBNUK0rAbU_foybm</t>
        </is>
      </c>
      <c r="AO212" t="inlineStr">
        <is>
          <t>Faction Dictator 1.0x Skis- Women's 2022</t>
        </is>
      </c>
      <c r="AP212" t="inlineStr">
        <is>
          <t>Next Adventure</t>
        </is>
      </c>
      <c r="AQ212" s="333" t="n">
        <v>575.2</v>
      </c>
      <c r="AR212" t="inlineStr">
        <is>
          <t>https://tinyurl.com/y7k65ded</t>
        </is>
      </c>
      <c r="AS212" s="314">
        <f>IF(LEFT(C212,1)=" ",RIGHT(C212,LEN(C212)-1),C212)</f>
        <v/>
      </c>
      <c r="AT212" s="281">
        <f>_xlfn.CONCAT(B212,AS212,D212,E212)</f>
        <v/>
      </c>
    </row>
    <row r="213">
      <c r="A213" t="inlineStr">
        <is>
          <t>21/22</t>
        </is>
      </c>
      <c r="B213" t="inlineStr">
        <is>
          <t xml:space="preserve"> Vï¿½lkl</t>
        </is>
      </c>
      <c r="C213" t="inlineStr">
        <is>
          <t>Kendo 88</t>
        </is>
      </c>
      <c r="D213" t="n">
        <v>163</v>
      </c>
      <c r="E213" t="inlineStr">
        <is>
          <t xml:space="preserve"> Unisex</t>
        </is>
      </c>
      <c r="F213" t="n">
        <v>163</v>
      </c>
      <c r="G213" t="n">
        <v>163.4</v>
      </c>
      <c r="H213" t="n">
        <v>106</v>
      </c>
      <c r="I213" t="n">
        <v>140</v>
      </c>
      <c r="J213" t="n">
        <v>128</v>
      </c>
      <c r="K213" t="n">
        <v>87</v>
      </c>
      <c r="L213" t="n">
        <v>110</v>
      </c>
      <c r="M213" t="n">
        <v>14.6</v>
      </c>
      <c r="N213" t="n">
        <v>1722</v>
      </c>
      <c r="O213" t="n">
        <v>0.95</v>
      </c>
      <c r="P213" t="n">
        <v>1637</v>
      </c>
      <c r="Q213" t="n">
        <v>202</v>
      </c>
      <c r="R213" t="n">
        <v>128</v>
      </c>
      <c r="S213" t="n">
        <v>40</v>
      </c>
      <c r="T213" t="n">
        <v>345</v>
      </c>
      <c r="U213" t="n">
        <v>17</v>
      </c>
      <c r="V213" t="n">
        <v>228</v>
      </c>
      <c r="W213" t="n">
        <v>0.416</v>
      </c>
      <c r="X213" t="n">
        <v>130</v>
      </c>
      <c r="Y213" t="n">
        <v>106</v>
      </c>
      <c r="Z213" t="n">
        <v>215</v>
      </c>
      <c r="AA213" t="n">
        <v>3</v>
      </c>
      <c r="AB213" t="n">
        <v>11.8</v>
      </c>
      <c r="AC213" t="inlineStr">
        <is>
          <t xml:space="preserve"> Resort Freeride</t>
        </is>
      </c>
      <c r="AG213" t="inlineStr">
        <is>
          <t>Volkl Kendo 88 Ski 2023</t>
        </is>
      </c>
      <c r="AH213" t="inlineStr">
        <is>
          <t>Telemark Pyrenees</t>
        </is>
      </c>
      <c r="AI213" s="333" t="n">
        <v>622.53</v>
      </c>
      <c r="AJ213" t="inlineStr">
        <is>
          <t>https://tinyurl.com/y7oc36m4</t>
        </is>
      </c>
      <c r="AK213" t="inlineStr">
        <is>
          <t>Volkl Kendo 88 Flat Ski 2021-2022 | BLUE/BLACK / 163</t>
        </is>
      </c>
      <c r="AL213" t="inlineStr">
        <is>
          <t>Ski Pro  - Snow Ski &amp; Snowboard</t>
        </is>
      </c>
      <c r="AM213" s="333" t="n">
        <v>649.95</v>
      </c>
      <c r="AN213" t="inlineStr">
        <is>
          <t>https://tinyurl.com/y9mnfj9d</t>
        </is>
      </c>
      <c r="AO213" t="inlineStr">
        <is>
          <t>2022 Volkl Kendo 88 Snow Skis 163</t>
        </is>
      </c>
      <c r="AP213" t="inlineStr">
        <is>
          <t>The Pro Shop</t>
        </is>
      </c>
      <c r="AQ213" s="333" t="n">
        <v>649.99</v>
      </c>
      <c r="AR213" t="inlineStr">
        <is>
          <t>https://tinyurl.com/ycaoa9zr</t>
        </is>
      </c>
      <c r="AS213" s="314">
        <f>IF(LEFT(C213,1)=" ",RIGHT(C213,LEN(C213)-1),C213)</f>
        <v/>
      </c>
      <c r="AT213" s="281">
        <f>_xlfn.CONCAT(B213,AS213,D213,E213)</f>
        <v/>
      </c>
    </row>
    <row r="214">
      <c r="A214" t="inlineStr">
        <is>
          <t>21/22</t>
        </is>
      </c>
      <c r="B214" t="inlineStr">
        <is>
          <t xml:space="preserve"> Atomic</t>
        </is>
      </c>
      <c r="C214" t="inlineStr">
        <is>
          <t>Bent Chetler 100</t>
        </is>
      </c>
      <c r="D214" t="n">
        <v>164</v>
      </c>
      <c r="E214" t="inlineStr">
        <is>
          <t xml:space="preserve"> Unisex</t>
        </is>
      </c>
      <c r="F214" t="n">
        <v>164</v>
      </c>
      <c r="G214" t="n">
        <v>163.4</v>
      </c>
      <c r="H214" t="n">
        <v>115</v>
      </c>
      <c r="I214" t="n">
        <v>129</v>
      </c>
      <c r="J214" t="n">
        <v>127</v>
      </c>
      <c r="K214" t="n">
        <v>99</v>
      </c>
      <c r="L214" t="n">
        <v>117</v>
      </c>
      <c r="M214" t="n">
        <v>16.3</v>
      </c>
      <c r="N214" t="n">
        <v>1568</v>
      </c>
      <c r="O214" t="n">
        <v>1.11</v>
      </c>
      <c r="P214" t="n">
        <v>1733</v>
      </c>
      <c r="Q214" t="n">
        <v>165</v>
      </c>
      <c r="R214" t="n">
        <v>99</v>
      </c>
      <c r="S214" t="n">
        <v>48</v>
      </c>
      <c r="T214" t="n">
        <v>297</v>
      </c>
      <c r="U214" t="n">
        <v>30</v>
      </c>
      <c r="V214" t="n">
        <v>187</v>
      </c>
      <c r="W214" t="n">
        <v>0.619</v>
      </c>
      <c r="X214" t="n">
        <v>187</v>
      </c>
      <c r="Y214" t="n">
        <v>160</v>
      </c>
      <c r="Z214" t="n">
        <v>110</v>
      </c>
      <c r="AA214" t="n">
        <v>8</v>
      </c>
      <c r="AB214" t="n">
        <v>7.9</v>
      </c>
      <c r="AC214" t="inlineStr">
        <is>
          <t xml:space="preserve"> Resort Freeride</t>
        </is>
      </c>
      <c r="AD214" t="inlineStr">
        <is>
          <t xml:space="preserve"> Touring</t>
        </is>
      </c>
      <c r="AG214" t="inlineStr">
        <is>
          <t>Atomic Bent Chetler 100 Grey/Green / 164cm</t>
        </is>
      </c>
      <c r="AH214" t="inlineStr">
        <is>
          <t>Sundance Ski and Board Shop</t>
        </is>
      </c>
      <c r="AI214" s="333" t="n">
        <v>400.99</v>
      </c>
      <c r="AJ214" t="inlineStr">
        <is>
          <t>https://tinyurl.com/ycqg7yrl</t>
        </is>
      </c>
      <c r="AK214" t="inlineStr">
        <is>
          <t>Atomic Bent Chetler 100 Skis</t>
        </is>
      </c>
      <c r="AL214" t="inlineStr">
        <is>
          <t>SkiEssentials.com</t>
        </is>
      </c>
      <c r="AM214" s="333" t="n">
        <v>479.99</v>
      </c>
      <c r="AN214" t="inlineStr">
        <is>
          <t>https://tinyurl.com/y7a5y5wz</t>
        </is>
      </c>
      <c r="AO214" t="inlineStr">
        <is>
          <t>Atomic Bent Chetler 100 Skis</t>
        </is>
      </c>
      <c r="AP214" t="inlineStr">
        <is>
          <t>Level Nine Sports</t>
        </is>
      </c>
      <c r="AQ214" s="333" t="n">
        <v>479.99</v>
      </c>
      <c r="AR214" t="inlineStr">
        <is>
          <t>https://tinyurl.com/ycng63a8</t>
        </is>
      </c>
      <c r="AS214" s="314">
        <f>IF(LEFT(C214,1)=" ",RIGHT(C214,LEN(C214)-1),C214)</f>
        <v/>
      </c>
      <c r="AT214" s="281">
        <f>_xlfn.CONCAT(B214,AS214,D214,E214)</f>
        <v/>
      </c>
    </row>
    <row r="215">
      <c r="A215" t="inlineStr">
        <is>
          <t>21/22</t>
        </is>
      </c>
      <c r="B215" t="inlineStr">
        <is>
          <t xml:space="preserve"> Fischer</t>
        </is>
      </c>
      <c r="C215" t="inlineStr">
        <is>
          <t>Ranger 92 Ti W</t>
        </is>
      </c>
      <c r="D215" t="n">
        <v>155</v>
      </c>
      <c r="E215" t="inlineStr">
        <is>
          <t xml:space="preserve"> Women's</t>
        </is>
      </c>
      <c r="F215" t="n">
        <v>155</v>
      </c>
      <c r="G215" t="n">
        <v>154.1</v>
      </c>
      <c r="H215" t="n">
        <v>109</v>
      </c>
      <c r="I215" t="n">
        <v>131</v>
      </c>
      <c r="J215" t="n">
        <v>120</v>
      </c>
      <c r="K215" t="n">
        <v>87</v>
      </c>
      <c r="L215" t="n">
        <v>109</v>
      </c>
      <c r="M215" t="n">
        <v>13.1</v>
      </c>
      <c r="N215" t="n">
        <v>1530</v>
      </c>
      <c r="O215" t="n">
        <v>1</v>
      </c>
      <c r="P215" t="n">
        <v>1525</v>
      </c>
      <c r="Q215" t="n">
        <v>179</v>
      </c>
      <c r="R215" t="n">
        <v>111</v>
      </c>
      <c r="S215" t="n">
        <v>48</v>
      </c>
      <c r="T215" t="n">
        <v>288</v>
      </c>
      <c r="U215" t="n">
        <v>15</v>
      </c>
      <c r="V215" t="n">
        <v>160</v>
      </c>
      <c r="W215" t="n">
        <v>0.308</v>
      </c>
      <c r="X215" t="n">
        <v>114</v>
      </c>
      <c r="Y215" t="n">
        <v>119</v>
      </c>
      <c r="Z215" t="n">
        <v>173</v>
      </c>
      <c r="AA215" t="n">
        <v>2</v>
      </c>
      <c r="AB215" t="n">
        <v>10.1</v>
      </c>
      <c r="AC215" t="inlineStr">
        <is>
          <t xml:space="preserve"> Resort Freeride</t>
        </is>
      </c>
      <c r="AG215" t="inlineStr">
        <is>
          <t>Fischer Ranger 92 Ti Ski 155</t>
        </is>
      </c>
      <c r="AH215" t="inlineStr">
        <is>
          <t>Ski The Whites</t>
        </is>
      </c>
      <c r="AI215" s="333" t="n">
        <v>649.95</v>
      </c>
      <c r="AJ215" t="inlineStr">
        <is>
          <t>https://tinyurl.com/y9pb4ygc</t>
        </is>
      </c>
      <c r="AK215" t="inlineStr">
        <is>
          <t>Fischer Ranger 92 Ti, Alpine Skis Freeride, Size 155 (A16020-155)</t>
        </is>
      </c>
      <c r="AL215" t="inlineStr">
        <is>
          <t>GritrOutdoors</t>
        </is>
      </c>
      <c r="AM215" s="333" t="n">
        <v>429.99</v>
      </c>
      <c r="AN215" t="inlineStr">
        <is>
          <t>https://tinyurl.com/y8m5fgtf</t>
        </is>
      </c>
      <c r="AO215" t="inlineStr">
        <is>
          <t>Fischer Ranger 92 Ti, Alpine Skis Freeride, Size 155 (A16020-155)</t>
        </is>
      </c>
      <c r="AP215" t="inlineStr">
        <is>
          <t>Walmart - WEBY Corporation</t>
        </is>
      </c>
      <c r="AQ215" s="333" t="n">
        <v>479.99</v>
      </c>
      <c r="AR215" t="inlineStr">
        <is>
          <t>https://tinyurl.com/y7rtc4bk</t>
        </is>
      </c>
      <c r="AS215" s="314">
        <f>IF(LEFT(C215,1)=" ",RIGHT(C215,LEN(C215)-1),C215)</f>
        <v/>
      </c>
      <c r="AT215" s="281">
        <f>_xlfn.CONCAT(B215,AS215,D215,E215)</f>
        <v/>
      </c>
    </row>
    <row r="216">
      <c r="A216" t="inlineStr">
        <is>
          <t>21/22</t>
        </is>
      </c>
      <c r="B216" t="inlineStr">
        <is>
          <t xml:space="preserve"> Salomon</t>
        </is>
      </c>
      <c r="C216" t="inlineStr">
        <is>
          <t>QST 106</t>
        </is>
      </c>
      <c r="D216" t="n">
        <v>167</v>
      </c>
      <c r="E216" t="inlineStr">
        <is>
          <t xml:space="preserve"> Unisex</t>
        </is>
      </c>
      <c r="F216" t="n">
        <v>167</v>
      </c>
      <c r="G216" t="n">
        <v>166.8</v>
      </c>
      <c r="H216" t="n">
        <v>105</v>
      </c>
      <c r="I216" t="n">
        <v>135</v>
      </c>
      <c r="J216" t="n">
        <v>136</v>
      </c>
      <c r="K216" t="n">
        <v>104</v>
      </c>
      <c r="L216" t="n">
        <v>122</v>
      </c>
      <c r="M216" t="n">
        <v>18.1</v>
      </c>
      <c r="N216" t="n">
        <v>1881</v>
      </c>
      <c r="O216" t="n">
        <v>1.02</v>
      </c>
      <c r="P216" t="n">
        <v>1912</v>
      </c>
      <c r="Q216" t="n">
        <v>174</v>
      </c>
      <c r="R216" t="n">
        <v>83</v>
      </c>
      <c r="S216" t="n">
        <v>59</v>
      </c>
      <c r="T216" t="n">
        <v>353</v>
      </c>
      <c r="U216" t="n">
        <v>22</v>
      </c>
      <c r="V216" t="n">
        <v>262</v>
      </c>
      <c r="W216" t="n">
        <v>0.368</v>
      </c>
      <c r="X216" t="n">
        <v>189</v>
      </c>
      <c r="Y216" t="n">
        <v>124</v>
      </c>
      <c r="Z216" t="n">
        <v>164</v>
      </c>
      <c r="AA216" t="n">
        <v>6</v>
      </c>
      <c r="AB216" t="n">
        <v>9.300000000000001</v>
      </c>
      <c r="AC216" t="inlineStr">
        <is>
          <t xml:space="preserve"> Resort Freeride</t>
        </is>
      </c>
      <c r="AD216" t="inlineStr">
        <is>
          <t xml:space="preserve"> Powder</t>
        </is>
      </c>
      <c r="AE216" t="inlineStr">
        <is>
          <t xml:space="preserve"> Big Mountain</t>
        </is>
      </c>
      <c r="AG216" t="inlineStr">
        <is>
          <t>Salomon QST 106 Skis</t>
        </is>
      </c>
      <c r="AH216" t="inlineStr">
        <is>
          <t>Varuste.net</t>
        </is>
      </c>
      <c r="AI216" s="333" t="n">
        <v>398.15</v>
      </c>
      <c r="AJ216" t="inlineStr">
        <is>
          <t>https://tinyurl.com/y8u8gazk</t>
        </is>
      </c>
      <c r="AK216" t="inlineStr">
        <is>
          <t>Salomon QST Stella 106 Skis</t>
        </is>
      </c>
      <c r="AL216" t="inlineStr">
        <is>
          <t>Erik's Bike, Board and Ski</t>
        </is>
      </c>
      <c r="AM216" s="333" t="n">
        <v>399.99</v>
      </c>
      <c r="AN216" t="inlineStr">
        <is>
          <t>https://tinyurl.com/y95reb2a</t>
        </is>
      </c>
      <c r="AO216" t="inlineStr">
        <is>
          <t xml:space="preserve"> 2019 Salomon QST 106 Demo Ski with Bindings Size 167 (Option 211783)</t>
        </is>
      </c>
      <c r="AP216" t="inlineStr">
        <is>
          <t>SidelineSwap</t>
        </is>
      </c>
      <c r="AQ216" s="333" t="n">
        <v>459.99</v>
      </c>
      <c r="AR216" t="inlineStr">
        <is>
          <t>https://tinyurl.com/yapzgwav</t>
        </is>
      </c>
      <c r="AS216" s="314">
        <f>IF(LEFT(C216,1)=" ",RIGHT(C216,LEN(C216)-1),C216)</f>
        <v/>
      </c>
      <c r="AT216" s="281">
        <f>_xlfn.CONCAT(B216,AS216,D216,E216)</f>
        <v/>
      </c>
    </row>
    <row r="217">
      <c r="A217" t="inlineStr">
        <is>
          <t>21/22</t>
        </is>
      </c>
      <c r="B217" t="inlineStr">
        <is>
          <t xml:space="preserve"> Fischer</t>
        </is>
      </c>
      <c r="C217" t="inlineStr">
        <is>
          <t>Ranger 102 FR W</t>
        </is>
      </c>
      <c r="D217" t="n">
        <v>184</v>
      </c>
      <c r="E217" t="inlineStr">
        <is>
          <t xml:space="preserve"> Women's</t>
        </is>
      </c>
      <c r="F217" t="n">
        <v>184</v>
      </c>
      <c r="G217" t="n">
        <v>184.2</v>
      </c>
      <c r="H217" t="n">
        <v>125</v>
      </c>
      <c r="I217" t="n">
        <v>152</v>
      </c>
      <c r="J217" t="n">
        <v>137</v>
      </c>
      <c r="K217" t="n">
        <v>102</v>
      </c>
      <c r="L217" t="n">
        <v>127</v>
      </c>
      <c r="M217" t="n">
        <v>16.1</v>
      </c>
      <c r="N217" t="n">
        <v>1930</v>
      </c>
      <c r="O217" t="n">
        <v>1.1</v>
      </c>
      <c r="P217" t="n">
        <v>2127</v>
      </c>
      <c r="Q217" t="n">
        <v>230</v>
      </c>
      <c r="R217" t="n">
        <v>108</v>
      </c>
      <c r="S217" t="n">
        <v>51</v>
      </c>
      <c r="T217" t="n">
        <v>396</v>
      </c>
      <c r="U217" t="n">
        <v>28</v>
      </c>
      <c r="V217" t="n">
        <v>199</v>
      </c>
      <c r="W217" t="n">
        <v>0.552</v>
      </c>
      <c r="X217" t="n">
        <v>156</v>
      </c>
      <c r="Y217" t="n">
        <v>168</v>
      </c>
      <c r="Z217" t="n">
        <v>240</v>
      </c>
      <c r="AA217" t="n">
        <v>5</v>
      </c>
      <c r="AB217" t="n">
        <v>10</v>
      </c>
      <c r="AC217" t="inlineStr">
        <is>
          <t xml:space="preserve"> Resort Freeride</t>
        </is>
      </c>
      <c r="AD217" t="inlineStr">
        <is>
          <t xml:space="preserve"> Powder</t>
        </is>
      </c>
      <c r="AE217" t="inlineStr">
        <is>
          <t xml:space="preserve"> Touring</t>
        </is>
      </c>
      <c r="AG217" t="inlineStr">
        <is>
          <t>Fischer Ranger 102 FR 184cm</t>
        </is>
      </c>
      <c r="AH217" t="inlineStr">
        <is>
          <t>Sundance Ski and Board Shop</t>
        </is>
      </c>
      <c r="AI217" s="333" t="n">
        <v>521.29</v>
      </c>
      <c r="AJ217" t="inlineStr">
        <is>
          <t>https://tinyurl.com/ybucwzfo</t>
        </is>
      </c>
      <c r="AK217" t="inlineStr">
        <is>
          <t>Fischer Ranger 102 FR Skis (Pink)</t>
        </is>
      </c>
      <c r="AL217" t="inlineStr">
        <is>
          <t>Powder7 Ski Shop</t>
        </is>
      </c>
      <c r="AM217" s="333" t="n">
        <v>659.9299999999999</v>
      </c>
      <c r="AN217" t="inlineStr">
        <is>
          <t>https://tinyurl.com/ycbhrkvo</t>
        </is>
      </c>
      <c r="AO217" t="inlineStr">
        <is>
          <t>Fischer Ranger 102 FR Skis (Pink)</t>
        </is>
      </c>
      <c r="AP217" t="inlineStr">
        <is>
          <t>ColoradoSkiShop.com</t>
        </is>
      </c>
      <c r="AQ217" s="333" t="n">
        <v>699.99</v>
      </c>
      <c r="AR217" t="inlineStr">
        <is>
          <t>https://tinyurl.com/ybm86dyh</t>
        </is>
      </c>
      <c r="AS217" s="314">
        <f>IF(LEFT(C217,1)=" ",RIGHT(C217,LEN(C217)-1),C217)</f>
        <v/>
      </c>
      <c r="AT217" s="281">
        <f>_xlfn.CONCAT(B217,AS217,D217,E217)</f>
        <v/>
      </c>
    </row>
    <row r="218">
      <c r="A218" t="inlineStr">
        <is>
          <t>21/22</t>
        </is>
      </c>
      <c r="B218" t="inlineStr">
        <is>
          <t xml:space="preserve"> Armada</t>
        </is>
      </c>
      <c r="C218" t="inlineStr">
        <is>
          <t>Reliance 92 Ti</t>
        </is>
      </c>
      <c r="D218" t="n">
        <v>164</v>
      </c>
      <c r="E218" t="inlineStr">
        <is>
          <t xml:space="preserve"> Women's</t>
        </is>
      </c>
      <c r="F218" t="n">
        <v>164</v>
      </c>
      <c r="G218" t="n">
        <v>163.6</v>
      </c>
      <c r="H218" t="n">
        <v>126</v>
      </c>
      <c r="I218" t="n">
        <v>143</v>
      </c>
      <c r="J218" t="n">
        <v>129</v>
      </c>
      <c r="K218" t="n">
        <v>91</v>
      </c>
      <c r="L218" t="n">
        <v>114</v>
      </c>
      <c r="M218" t="n">
        <v>16.4</v>
      </c>
      <c r="N218" t="n">
        <v>1610</v>
      </c>
      <c r="O218" t="n">
        <v>1.05</v>
      </c>
      <c r="P218" t="n">
        <v>1687</v>
      </c>
      <c r="Q218" t="n">
        <v>203</v>
      </c>
      <c r="R218" t="n">
        <v>125</v>
      </c>
      <c r="S218" t="n">
        <v>40</v>
      </c>
      <c r="T218" t="n">
        <v>229</v>
      </c>
      <c r="U218" t="n">
        <v>17</v>
      </c>
      <c r="V218" t="n">
        <v>146</v>
      </c>
      <c r="W218" t="n">
        <v>0.417</v>
      </c>
      <c r="X218" t="n">
        <v>130</v>
      </c>
      <c r="Y218" t="n">
        <v>78</v>
      </c>
      <c r="Z218" t="n">
        <v>99</v>
      </c>
      <c r="AA218" t="n">
        <v>8</v>
      </c>
      <c r="AB218" t="n">
        <v>9.9</v>
      </c>
      <c r="AC218" t="inlineStr">
        <is>
          <t xml:space="preserve"> Resort Freeride</t>
        </is>
      </c>
      <c r="AG218" t="inlineStr">
        <is>
          <t>Armada Reliance 92 Ti Skis</t>
        </is>
      </c>
      <c r="AH218" t="inlineStr">
        <is>
          <t>! OutdoorXL.com</t>
        </is>
      </c>
      <c r="AI218" s="333" t="n">
        <v>424.95</v>
      </c>
      <c r="AJ218" t="inlineStr">
        <is>
          <t>https://tinyurl.com/y8bunert</t>
        </is>
      </c>
      <c r="AK218" t="inlineStr">
        <is>
          <t>Armada Reliance 92 Ti Skis</t>
        </is>
      </c>
      <c r="AL218" t="inlineStr">
        <is>
          <t>Surfdome US</t>
        </is>
      </c>
      <c r="AM218" s="333" t="n">
        <v>427.45</v>
      </c>
      <c r="AN218" t="inlineStr">
        <is>
          <t>https://tinyurl.com/ya4abmnu</t>
        </is>
      </c>
      <c r="AO218" t="inlineStr">
        <is>
          <t>Armada Reliance 92 Ti Skis</t>
        </is>
      </c>
      <c r="AP218" t="inlineStr">
        <is>
          <t>Powder7 Ski Shop</t>
        </is>
      </c>
      <c r="AQ218" s="333" t="n">
        <v>519.95</v>
      </c>
      <c r="AR218" t="inlineStr">
        <is>
          <t>https://tinyurl.com/yb25uv4r</t>
        </is>
      </c>
      <c r="AS218" s="314">
        <f>IF(LEFT(C218,1)=" ",RIGHT(C218,LEN(C218)-1),C218)</f>
        <v/>
      </c>
      <c r="AT218" s="281">
        <f>_xlfn.CONCAT(B218,AS218,D218,E218)</f>
        <v/>
      </c>
    </row>
    <row r="219">
      <c r="A219" t="inlineStr">
        <is>
          <t>21/22</t>
        </is>
      </c>
      <c r="B219" t="inlineStr">
        <is>
          <t xml:space="preserve"> Rossignol</t>
        </is>
      </c>
      <c r="C219" t="inlineStr">
        <is>
          <t xml:space="preserve"> Blackops Rallybird W</t>
        </is>
      </c>
      <c r="D219" t="n">
        <v>162</v>
      </c>
      <c r="E219" t="inlineStr">
        <is>
          <t xml:space="preserve"> Women's</t>
        </is>
      </c>
      <c r="F219" t="n">
        <v>162</v>
      </c>
      <c r="G219" t="n">
        <v>162.7</v>
      </c>
      <c r="H219" t="n">
        <v>111</v>
      </c>
      <c r="I219" t="n">
        <v>136</v>
      </c>
      <c r="J219" t="n">
        <v>136</v>
      </c>
      <c r="K219" t="n">
        <v>100</v>
      </c>
      <c r="L219" t="n">
        <v>127</v>
      </c>
      <c r="M219" t="n">
        <v>13</v>
      </c>
      <c r="N219" t="n">
        <v>1690</v>
      </c>
      <c r="O219" t="n">
        <v>1.09</v>
      </c>
      <c r="P219" t="n">
        <v>1839</v>
      </c>
      <c r="Q219" t="n">
        <v>200</v>
      </c>
      <c r="R219" t="n">
        <v>97</v>
      </c>
      <c r="S219" t="n">
        <v>48</v>
      </c>
      <c r="T219" t="n">
        <v>297</v>
      </c>
      <c r="U219" t="n">
        <v>14</v>
      </c>
      <c r="V219" t="n">
        <v>223</v>
      </c>
      <c r="W219" t="n">
        <v>0.29</v>
      </c>
      <c r="X219" t="n">
        <v>161</v>
      </c>
      <c r="Y219" t="n">
        <v>107</v>
      </c>
      <c r="Z219" t="n">
        <v>136</v>
      </c>
      <c r="AA219" t="n">
        <v>5</v>
      </c>
      <c r="AB219" t="n">
        <v>6.3</v>
      </c>
      <c r="AC219" t="inlineStr">
        <is>
          <t xml:space="preserve"> Resort Freeride</t>
        </is>
      </c>
      <c r="AD219" t="inlineStr">
        <is>
          <t xml:space="preserve"> Big Mountain</t>
        </is>
      </c>
      <c r="AE219" t="inlineStr">
        <is>
          <t xml:space="preserve"> Touring</t>
        </is>
      </c>
      <c r="AG219" t="inlineStr">
        <is>
          <t>Rossignol Blackops W Rallybird Skis - Women's</t>
        </is>
      </c>
      <c r="AH219" t="inlineStr">
        <is>
          <t>Snowcountry.eu</t>
        </is>
      </c>
      <c r="AI219" s="333" t="n">
        <v>414</v>
      </c>
      <c r="AJ219" t="inlineStr">
        <is>
          <t>https://tinyurl.com/yd3cfqer</t>
        </is>
      </c>
      <c r="AK219" t="inlineStr">
        <is>
          <t>Rossignol Blackops W Rallybird 162cm</t>
        </is>
      </c>
      <c r="AL219" t="inlineStr">
        <is>
          <t>Sundance Ski and Board Shop</t>
        </is>
      </c>
      <c r="AM219" s="333" t="n">
        <v>521.29</v>
      </c>
      <c r="AN219" t="inlineStr">
        <is>
          <t>https://tinyurl.com/ybh2zx8m</t>
        </is>
      </c>
      <c r="AO219" t="inlineStr">
        <is>
          <t>Rossignol Blackops W Rallybird Skis - Women's</t>
        </is>
      </c>
      <c r="AP219" t="inlineStr">
        <is>
          <t>Level Nine Sports</t>
        </is>
      </c>
      <c r="AQ219" s="333" t="n">
        <v>559.96</v>
      </c>
      <c r="AR219" t="inlineStr">
        <is>
          <t>https://tinyurl.com/y7kmh6nf</t>
        </is>
      </c>
      <c r="AS219" s="314">
        <f>IF(LEFT(C219,1)=" ",RIGHT(C219,LEN(C219)-1),C219)</f>
        <v/>
      </c>
      <c r="AT219" s="281">
        <f>_xlfn.CONCAT(B219,AS219,D219,E219)</f>
        <v/>
      </c>
    </row>
    <row r="220">
      <c r="A220" t="inlineStr">
        <is>
          <t>21/22</t>
        </is>
      </c>
      <c r="B220" t="inlineStr">
        <is>
          <t xml:space="preserve"> DPS</t>
        </is>
      </c>
      <c r="C220" t="inlineStr">
        <is>
          <t>Pagoda 106 C2</t>
        </is>
      </c>
      <c r="D220" t="n">
        <v>171</v>
      </c>
      <c r="E220" t="inlineStr">
        <is>
          <t xml:space="preserve"> Unisex</t>
        </is>
      </c>
      <c r="F220" t="n">
        <v>171</v>
      </c>
      <c r="G220" t="n">
        <v>169.4</v>
      </c>
      <c r="H220" t="n">
        <v>123</v>
      </c>
      <c r="I220" t="n">
        <v>131</v>
      </c>
      <c r="J220" t="n">
        <v>134</v>
      </c>
      <c r="K220" t="n">
        <v>106</v>
      </c>
      <c r="L220" t="n">
        <v>119</v>
      </c>
      <c r="M220" t="n">
        <v>19</v>
      </c>
      <c r="N220" t="n">
        <v>1843</v>
      </c>
      <c r="O220" t="n">
        <v>1.05</v>
      </c>
      <c r="P220" t="n">
        <v>1938</v>
      </c>
      <c r="Q220" t="n">
        <v>209</v>
      </c>
      <c r="R220" t="n">
        <v>116</v>
      </c>
      <c r="S220" t="n">
        <v>34</v>
      </c>
      <c r="T220" t="n">
        <v>261</v>
      </c>
      <c r="U220" t="n">
        <v>21</v>
      </c>
      <c r="V220" t="n">
        <v>203</v>
      </c>
      <c r="W220" t="n">
        <v>0.607</v>
      </c>
      <c r="X220" t="n">
        <v>199</v>
      </c>
      <c r="Y220" t="n">
        <v>188</v>
      </c>
      <c r="Z220" t="n">
        <v>62</v>
      </c>
      <c r="AA220" t="n">
        <v>9</v>
      </c>
      <c r="AB220" t="n">
        <v>10.6</v>
      </c>
      <c r="AC220" t="inlineStr">
        <is>
          <t xml:space="preserve"> Powder</t>
        </is>
      </c>
      <c r="AD220" t="inlineStr">
        <is>
          <t xml:space="preserve"> Touring</t>
        </is>
      </c>
      <c r="AG220" t="inlineStr">
        <is>
          <t>DPS Pagoda 106 C2 Ski 171 / Blue</t>
        </is>
      </c>
      <c r="AH220" t="inlineStr">
        <is>
          <t>Cripple Creek Backcountry</t>
        </is>
      </c>
      <c r="AI220" s="333" t="n">
        <v>1029</v>
      </c>
      <c r="AJ220" t="inlineStr">
        <is>
          <t>https://tinyurl.com/y9tzjtpd</t>
        </is>
      </c>
      <c r="AK220" t="inlineStr">
        <is>
          <t>DPS Pagoda 106 C2 171CM / BLUE</t>
        </is>
      </c>
      <c r="AL220" t="inlineStr">
        <is>
          <t>Neptune Mountaineering</t>
        </is>
      </c>
      <c r="AM220" s="333" t="n">
        <v>1039.2</v>
      </c>
      <c r="AN220" t="inlineStr">
        <is>
          <t>https://tinyurl.com/y8hwaduw</t>
        </is>
      </c>
      <c r="AO220" t="inlineStr">
        <is>
          <t>DPS Pagoda Tour 106 C2 Skis 171cm 2022</t>
        </is>
      </c>
      <c r="AP220" t="inlineStr">
        <is>
          <t>Steep &amp; Cheap</t>
        </is>
      </c>
      <c r="AQ220" s="333" t="n">
        <v>1039.2</v>
      </c>
      <c r="AR220" t="inlineStr">
        <is>
          <t>https://tinyurl.com/ybd9ljgl</t>
        </is>
      </c>
      <c r="AS220" s="314">
        <f>IF(LEFT(C220,1)=" ",RIGHT(C220,LEN(C220)-1),C220)</f>
        <v/>
      </c>
      <c r="AT220" s="281">
        <f>_xlfn.CONCAT(B220,AS220,D220,E220)</f>
        <v/>
      </c>
    </row>
    <row r="221">
      <c r="A221" t="inlineStr">
        <is>
          <t>21/22</t>
        </is>
      </c>
      <c r="B221" t="inlineStr">
        <is>
          <t xml:space="preserve"> Liberty</t>
        </is>
      </c>
      <c r="C221" t="inlineStr">
        <is>
          <t>Origin 96</t>
        </is>
      </c>
      <c r="D221" t="n">
        <v>182</v>
      </c>
      <c r="E221" t="inlineStr">
        <is>
          <t xml:space="preserve"> Unisex</t>
        </is>
      </c>
      <c r="F221" t="n">
        <v>182</v>
      </c>
      <c r="G221" t="n">
        <v>180.8</v>
      </c>
      <c r="H221" t="n">
        <v>123</v>
      </c>
      <c r="I221" t="n">
        <v>151</v>
      </c>
      <c r="J221" t="n">
        <v>129</v>
      </c>
      <c r="K221" t="n">
        <v>96</v>
      </c>
      <c r="L221" t="n">
        <v>117</v>
      </c>
      <c r="M221" t="n">
        <v>18.7</v>
      </c>
      <c r="N221" t="n">
        <v>1860</v>
      </c>
      <c r="O221" t="n">
        <v>1.03</v>
      </c>
      <c r="P221" t="n">
        <v>1919</v>
      </c>
      <c r="Q221" t="n">
        <v>205</v>
      </c>
      <c r="R221" t="n">
        <v>97</v>
      </c>
      <c r="S221" t="n">
        <v>47</v>
      </c>
      <c r="T221" t="n">
        <v>332</v>
      </c>
      <c r="U221" t="n">
        <v>30</v>
      </c>
      <c r="V221" t="n">
        <v>243</v>
      </c>
      <c r="W221" t="n">
        <v>0.645999999999999</v>
      </c>
      <c r="X221" t="n">
        <v>136</v>
      </c>
      <c r="Y221" t="n">
        <v>164</v>
      </c>
      <c r="Z221" t="n">
        <v>195</v>
      </c>
      <c r="AA221" t="n">
        <v>6</v>
      </c>
      <c r="AB221" t="n">
        <v>8.6</v>
      </c>
      <c r="AC221" t="inlineStr">
        <is>
          <t xml:space="preserve"> Resort Freeride</t>
        </is>
      </c>
      <c r="AG221" t="inlineStr">
        <is>
          <t>Liberty 22 Origin 96 182cm  Demo Skis w/ Bindings</t>
        </is>
      </c>
      <c r="AH221" t="inlineStr">
        <is>
          <t>Play It Again Sports</t>
        </is>
      </c>
      <c r="AI221" s="333" t="n">
        <v>549.91</v>
      </c>
      <c r="AJ221" t="inlineStr">
        <is>
          <t>https://tinyurl.com/yaqme5zf</t>
        </is>
      </c>
      <c r="AK221" t="inlineStr">
        <is>
          <t>Liberty Skis Men ' S Origin 96 All - Mountain Skis</t>
        </is>
      </c>
      <c r="AL221" t="inlineStr">
        <is>
          <t>BobWards.com</t>
        </is>
      </c>
      <c r="AM221" s="333" t="n">
        <v>599.95</v>
      </c>
      <c r="AN221" t="inlineStr">
        <is>
          <t>https://tinyurl.com/yb5mhwmy</t>
        </is>
      </c>
      <c r="AO221" t="inlineStr">
        <is>
          <t>'22 Liberty Origin 96 Skis 182cm</t>
        </is>
      </c>
      <c r="AP221" t="inlineStr">
        <is>
          <t>Al's Ski Equipment Barn</t>
        </is>
      </c>
      <c r="AQ221" s="333" t="n">
        <v>629</v>
      </c>
      <c r="AR221" t="inlineStr">
        <is>
          <t>https://tinyurl.com/y8zv4rk2</t>
        </is>
      </c>
      <c r="AS221" s="314">
        <f>IF(LEFT(C221,1)=" ",RIGHT(C221,LEN(C221)-1),C221)</f>
        <v/>
      </c>
      <c r="AT221" s="281">
        <f>_xlfn.CONCAT(B221,AS221,D221,E221)</f>
        <v/>
      </c>
    </row>
    <row r="222">
      <c r="A222" t="inlineStr">
        <is>
          <t>21/22</t>
        </is>
      </c>
      <c r="B222" t="inlineStr">
        <is>
          <t xml:space="preserve"> Salomon</t>
        </is>
      </c>
      <c r="C222" t="inlineStr">
        <is>
          <t>QST 92</t>
        </is>
      </c>
      <c r="D222" t="n">
        <v>153</v>
      </c>
      <c r="E222" t="inlineStr">
        <is>
          <t xml:space="preserve"> Unisex</t>
        </is>
      </c>
      <c r="F222" t="n">
        <v>153</v>
      </c>
      <c r="G222" t="n">
        <v>151.9</v>
      </c>
      <c r="H222" t="n">
        <v>112</v>
      </c>
      <c r="I222" t="n">
        <v>127</v>
      </c>
      <c r="J222" t="n">
        <v>128</v>
      </c>
      <c r="K222" t="n">
        <v>91</v>
      </c>
      <c r="L222" t="n">
        <v>111</v>
      </c>
      <c r="M222" t="n">
        <v>12.7</v>
      </c>
      <c r="N222" t="n">
        <v>1579</v>
      </c>
      <c r="O222" t="n">
        <v>0.99</v>
      </c>
      <c r="P222" t="n">
        <v>1571</v>
      </c>
      <c r="Q222" t="n">
        <v>172</v>
      </c>
      <c r="R222" t="n">
        <v>84</v>
      </c>
      <c r="S222" t="n">
        <v>54</v>
      </c>
      <c r="T222" t="n">
        <v>254</v>
      </c>
      <c r="U222" t="n">
        <v>16</v>
      </c>
      <c r="V222" t="n">
        <v>147</v>
      </c>
      <c r="W222" t="n">
        <v>0.301</v>
      </c>
      <c r="X222" t="n">
        <v>131</v>
      </c>
      <c r="Y222" t="n">
        <v>118</v>
      </c>
      <c r="Z222" t="n">
        <v>123</v>
      </c>
      <c r="AA222" t="n">
        <v>6</v>
      </c>
      <c r="AB222" t="n">
        <v>8.5</v>
      </c>
      <c r="AC222" t="inlineStr">
        <is>
          <t xml:space="preserve"> Resort Freeride</t>
        </is>
      </c>
      <c r="AG222" t="inlineStr">
        <is>
          <t>Salomon QST 92 Skis - 2021</t>
        </is>
      </c>
      <c r="AH222" t="inlineStr">
        <is>
          <t>Gravity Coalition</t>
        </is>
      </c>
      <c r="AI222" s="333" t="n">
        <v>299.95</v>
      </c>
      <c r="AJ222" t="inlineStr">
        <is>
          <t>https://tinyurl.com/y9cobxac</t>
        </is>
      </c>
      <c r="AK222" t="inlineStr">
        <is>
          <t>Salomon QST Lux 92 Skis 153 W/ Bindings - Sports &amp; outdoors</t>
        </is>
      </c>
      <c r="AL222" t="inlineStr">
        <is>
          <t>Mercari</t>
        </is>
      </c>
      <c r="AM222" s="333" t="n">
        <v>325</v>
      </c>
      <c r="AN222" t="inlineStr">
        <is>
          <t>https://tinyurl.com/yct75urw</t>
        </is>
      </c>
      <c r="AO222" t="inlineStr">
        <is>
          <t>2020 Salomon Qst 92 153cm W/ Salomon Warden 11 Binding</t>
        </is>
      </c>
      <c r="AP222" t="inlineStr">
        <is>
          <t>eBay - riverpirate999</t>
        </is>
      </c>
      <c r="AQ222" s="333" t="n">
        <v>368</v>
      </c>
      <c r="AR222" t="inlineStr">
        <is>
          <t>https://tinyurl.com/ya4bxzt6</t>
        </is>
      </c>
      <c r="AS222" s="314">
        <f>IF(LEFT(C222,1)=" ",RIGHT(C222,LEN(C222)-1),C222)</f>
        <v/>
      </c>
      <c r="AT222" s="281">
        <f>_xlfn.CONCAT(B222,AS222,D222,E222)</f>
        <v/>
      </c>
    </row>
    <row r="223">
      <c r="A223" t="inlineStr">
        <is>
          <t>21/22</t>
        </is>
      </c>
      <c r="B223" t="inlineStr">
        <is>
          <t xml:space="preserve"> Black Crows</t>
        </is>
      </c>
      <c r="C223" t="inlineStr">
        <is>
          <t xml:space="preserve"> Corvus Freebird</t>
        </is>
      </c>
      <c r="D223" t="n">
        <v>176</v>
      </c>
      <c r="E223" t="inlineStr">
        <is>
          <t xml:space="preserve"> Unisex</t>
        </is>
      </c>
      <c r="F223" t="n">
        <v>176</v>
      </c>
      <c r="G223" t="n">
        <v>175.6</v>
      </c>
      <c r="H223" t="n">
        <v>140</v>
      </c>
      <c r="I223" t="n">
        <v>143</v>
      </c>
      <c r="J223" t="n">
        <v>141</v>
      </c>
      <c r="K223" t="n">
        <v>106</v>
      </c>
      <c r="L223" t="n">
        <v>118</v>
      </c>
      <c r="M223" t="n">
        <v>20.8</v>
      </c>
      <c r="N223" t="n">
        <v>1817</v>
      </c>
      <c r="O223" t="n">
        <v>1.12</v>
      </c>
      <c r="P223" t="n">
        <v>2035</v>
      </c>
      <c r="Q223" t="n">
        <v>189</v>
      </c>
      <c r="R223" t="n">
        <v>103</v>
      </c>
      <c r="S223" t="n">
        <v>45</v>
      </c>
      <c r="T223" t="n">
        <v>274</v>
      </c>
      <c r="U223" t="n">
        <v>4</v>
      </c>
      <c r="V223" t="n">
        <v>83</v>
      </c>
      <c r="W223" t="n">
        <v>0.08</v>
      </c>
      <c r="X223" t="n">
        <v>193</v>
      </c>
      <c r="Y223" t="n">
        <v>138</v>
      </c>
      <c r="Z223" t="n">
        <v>81</v>
      </c>
      <c r="AA223" t="n">
        <v>9</v>
      </c>
      <c r="AB223" t="n">
        <v>10.3</v>
      </c>
      <c r="AC223" t="inlineStr">
        <is>
          <t xml:space="preserve"> Big Mountain</t>
        </is>
      </c>
      <c r="AD223" t="inlineStr">
        <is>
          <t xml:space="preserve"> Touring</t>
        </is>
      </c>
      <c r="AG223" t="inlineStr">
        <is>
          <t>2022 Black Crows Corvus Freebird Skis w/ Marker Kingpin 13 Bindings - 176| Ski Essentials</t>
        </is>
      </c>
      <c r="AH223" t="inlineStr">
        <is>
          <t>SkiEssentials.com</t>
        </is>
      </c>
      <c r="AI223" s="333" t="n">
        <v>1114.96</v>
      </c>
      <c r="AJ223" t="inlineStr">
        <is>
          <t>https://tinyurl.com/ybfn7kmc</t>
        </is>
      </c>
      <c r="AK223" t="inlineStr">
        <is>
          <t>Black Crows Corvus Freebird Skis</t>
        </is>
      </c>
      <c r="AL223" t="inlineStr">
        <is>
          <t>Cole Sport</t>
        </is>
      </c>
      <c r="AM223" s="333" t="n">
        <v>719.96</v>
      </c>
      <c r="AN223" t="inlineStr">
        <is>
          <t>https://tinyurl.com/ycrk4825</t>
        </is>
      </c>
      <c r="AO223" t="inlineStr">
        <is>
          <t>Black Crows Corvus Freebird Skis Â· 2021 Â· 176 cm</t>
        </is>
      </c>
      <c r="AP223" t="inlineStr">
        <is>
          <t>Powder7 Ski Shop</t>
        </is>
      </c>
      <c r="AQ223" s="333" t="n">
        <v>720.9299999999999</v>
      </c>
      <c r="AR223" t="inlineStr">
        <is>
          <t>https://tinyurl.com/ybx8uwvu</t>
        </is>
      </c>
      <c r="AS223" s="314">
        <f>IF(LEFT(C223,1)=" ",RIGHT(C223,LEN(C223)-1),C223)</f>
        <v/>
      </c>
      <c r="AT223" s="281">
        <f>_xlfn.CONCAT(B223,AS223,D223,E223)</f>
        <v/>
      </c>
    </row>
    <row r="224">
      <c r="A224" t="inlineStr">
        <is>
          <t>21/22</t>
        </is>
      </c>
      <c r="B224" t="inlineStr">
        <is>
          <t xml:space="preserve"> Fischer</t>
        </is>
      </c>
      <c r="C224" t="inlineStr">
        <is>
          <t>Ranger 102 FR W</t>
        </is>
      </c>
      <c r="D224" t="n">
        <v>170</v>
      </c>
      <c r="E224" t="inlineStr">
        <is>
          <t xml:space="preserve"> Women's</t>
        </is>
      </c>
      <c r="F224" t="n">
        <v>170</v>
      </c>
      <c r="G224" t="n">
        <v>168.3</v>
      </c>
      <c r="H224" t="n">
        <v>113</v>
      </c>
      <c r="I224" t="n">
        <v>139</v>
      </c>
      <c r="J224" t="n">
        <v>135</v>
      </c>
      <c r="K224" t="n">
        <v>100</v>
      </c>
      <c r="L224" t="n">
        <v>124</v>
      </c>
      <c r="M224" t="n">
        <v>13.7</v>
      </c>
      <c r="N224" t="n">
        <v>1700</v>
      </c>
      <c r="O224" t="n">
        <v>1.12</v>
      </c>
      <c r="P224" t="n">
        <v>1900</v>
      </c>
      <c r="Q224" t="n">
        <v>191</v>
      </c>
      <c r="R224" t="n">
        <v>86</v>
      </c>
      <c r="S224" t="n">
        <v>50</v>
      </c>
      <c r="T224" t="n">
        <v>361</v>
      </c>
      <c r="U224" t="n">
        <v>30</v>
      </c>
      <c r="V224" t="n">
        <v>189</v>
      </c>
      <c r="W224" t="n">
        <v>0.594</v>
      </c>
      <c r="X224" t="n">
        <v>153</v>
      </c>
      <c r="Y224" t="n">
        <v>139</v>
      </c>
      <c r="Z224" t="n">
        <v>208</v>
      </c>
      <c r="AA224" t="n">
        <v>6</v>
      </c>
      <c r="AB224" t="n">
        <v>10.5</v>
      </c>
      <c r="AC224" t="inlineStr">
        <is>
          <t xml:space="preserve"> Resort Freeride</t>
        </is>
      </c>
      <c r="AD224" t="inlineStr">
        <is>
          <t xml:space="preserve"> Touring</t>
        </is>
      </c>
      <c r="AG224" t="inlineStr">
        <is>
          <t>Fischer Ranger 102 FR</t>
        </is>
      </c>
      <c r="AH224" t="inlineStr">
        <is>
          <t>Gorham Bike and Ski</t>
        </is>
      </c>
      <c r="AI224" s="333" t="n">
        <v>489.99</v>
      </c>
      <c r="AJ224" t="inlineStr">
        <is>
          <t>https://tinyurl.com/y8lbnspq</t>
        </is>
      </c>
      <c r="AK224" t="inlineStr">
        <is>
          <t>Fischer Ranger 102 FR</t>
        </is>
      </c>
      <c r="AL224" t="inlineStr">
        <is>
          <t>Aistriu</t>
        </is>
      </c>
      <c r="AM224" s="333" t="n">
        <v>699.99</v>
      </c>
      <c r="AN224" t="inlineStr">
        <is>
          <t>https://tinyurl.com/ya3c6573</t>
        </is>
      </c>
      <c r="AO224" t="inlineStr">
        <is>
          <t>Fischer Ranger 102 FR</t>
        </is>
      </c>
      <c r="AP224" t="inlineStr">
        <is>
          <t>Curated</t>
        </is>
      </c>
      <c r="AQ224" s="333" t="n">
        <v>799.99</v>
      </c>
      <c r="AR224" t="inlineStr">
        <is>
          <t>https://tinyurl.com/ycud2pza</t>
        </is>
      </c>
      <c r="AS224" s="314">
        <f>IF(LEFT(C224,1)=" ",RIGHT(C224,LEN(C224)-1),C224)</f>
        <v/>
      </c>
      <c r="AT224" s="281">
        <f>_xlfn.CONCAT(B224,AS224,D224,E224)</f>
        <v/>
      </c>
    </row>
    <row r="225">
      <c r="A225" t="inlineStr">
        <is>
          <t>21/22</t>
        </is>
      </c>
      <c r="B225" t="inlineStr">
        <is>
          <t xml:space="preserve"> Dynastar</t>
        </is>
      </c>
      <c r="C225" t="inlineStr">
        <is>
          <t>M-Pro 90</t>
        </is>
      </c>
      <c r="D225" t="n">
        <v>170</v>
      </c>
      <c r="E225" t="inlineStr">
        <is>
          <t xml:space="preserve"> Unisex</t>
        </is>
      </c>
      <c r="F225" t="n">
        <v>170</v>
      </c>
      <c r="G225" t="n">
        <v>170</v>
      </c>
      <c r="H225" t="n">
        <v>121</v>
      </c>
      <c r="I225" t="n">
        <v>140</v>
      </c>
      <c r="J225" t="n">
        <v>118</v>
      </c>
      <c r="K225" t="n">
        <v>87</v>
      </c>
      <c r="L225" t="n">
        <v>108</v>
      </c>
      <c r="M225" t="n">
        <v>16.5</v>
      </c>
      <c r="N225" t="n">
        <v>1683</v>
      </c>
      <c r="O225" t="n">
        <v>0.99</v>
      </c>
      <c r="P225" t="n">
        <v>1668</v>
      </c>
      <c r="Q225" t="n">
        <v>223</v>
      </c>
      <c r="R225" t="n">
        <v>89</v>
      </c>
      <c r="S225" t="n">
        <v>62</v>
      </c>
      <c r="T225" t="n">
        <v>334</v>
      </c>
      <c r="U225" t="n">
        <v>15</v>
      </c>
      <c r="V225" t="n">
        <v>153</v>
      </c>
      <c r="W225" t="n">
        <v>0.233999999999999</v>
      </c>
      <c r="X225" t="n">
        <v>187</v>
      </c>
      <c r="Y225" t="n">
        <v>117</v>
      </c>
      <c r="Z225" t="n">
        <v>147</v>
      </c>
      <c r="AA225" t="n">
        <v>6</v>
      </c>
      <c r="AB225" t="n">
        <v>11.4</v>
      </c>
      <c r="AC225" t="inlineStr">
        <is>
          <t xml:space="preserve"> Resort Freeride</t>
        </is>
      </c>
      <c r="AG225" t="inlineStr">
        <is>
          <t>Dynastar M-Pro 90 W Skis - Women's 2022</t>
        </is>
      </c>
      <c r="AH225" t="inlineStr">
        <is>
          <t>Next Adventure</t>
        </is>
      </c>
      <c r="AI225" s="333" t="n">
        <v>419.97</v>
      </c>
      <c r="AJ225" t="inlineStr">
        <is>
          <t>https://tinyurl.com/ya9lwxv7</t>
        </is>
      </c>
      <c r="AK225" t="inlineStr">
        <is>
          <t>Dynastar M-PRO 90 170cm</t>
        </is>
      </c>
      <c r="AL225" t="inlineStr">
        <is>
          <t>Sundance Ski and Board Shop</t>
        </is>
      </c>
      <c r="AM225" s="333" t="n">
        <v>449.11</v>
      </c>
      <c r="AN225" t="inlineStr">
        <is>
          <t>https://tinyurl.com/ybbcsvyg</t>
        </is>
      </c>
      <c r="AO225" t="inlineStr">
        <is>
          <t>Dynastar M-Pro 90 Skis</t>
        </is>
      </c>
      <c r="AP225" t="inlineStr">
        <is>
          <t>Cole Sport</t>
        </is>
      </c>
      <c r="AQ225" s="333" t="n">
        <v>479.96</v>
      </c>
      <c r="AR225" t="inlineStr">
        <is>
          <t>https://tinyurl.com/yal7uwwa</t>
        </is>
      </c>
      <c r="AS225" s="314">
        <f>IF(LEFT(C225,1)=" ",RIGHT(C225,LEN(C225)-1),C225)</f>
        <v/>
      </c>
      <c r="AT225" s="281">
        <f>_xlfn.CONCAT(B225,AS225,D225,E225)</f>
        <v/>
      </c>
    </row>
    <row r="226">
      <c r="A226" t="inlineStr">
        <is>
          <t>21/22</t>
        </is>
      </c>
      <c r="B226" t="inlineStr">
        <is>
          <t xml:space="preserve"> Vï¿½lkl</t>
        </is>
      </c>
      <c r="C226" t="inlineStr">
        <is>
          <t>Bash 86 W</t>
        </is>
      </c>
      <c r="D226" t="n">
        <v>172</v>
      </c>
      <c r="E226" t="inlineStr">
        <is>
          <t xml:space="preserve"> Women's</t>
        </is>
      </c>
      <c r="F226" t="n">
        <v>172</v>
      </c>
      <c r="G226" t="n">
        <v>172.6</v>
      </c>
      <c r="H226" t="n">
        <v>123</v>
      </c>
      <c r="I226" t="n">
        <v>158</v>
      </c>
      <c r="J226" t="n">
        <v>119</v>
      </c>
      <c r="K226" t="n">
        <v>85</v>
      </c>
      <c r="L226" t="n">
        <v>109</v>
      </c>
      <c r="M226" t="n">
        <v>21.1</v>
      </c>
      <c r="N226" t="n">
        <v>1733</v>
      </c>
      <c r="O226" t="n">
        <v>0.95</v>
      </c>
      <c r="P226" t="n">
        <v>1652</v>
      </c>
      <c r="Q226" t="n">
        <v>193</v>
      </c>
      <c r="R226" t="n">
        <v>89</v>
      </c>
      <c r="S226" t="n">
        <v>42</v>
      </c>
      <c r="T226" t="n">
        <v>271</v>
      </c>
      <c r="U226" t="n">
        <v>37</v>
      </c>
      <c r="V226" t="n">
        <v>228</v>
      </c>
      <c r="W226" t="n">
        <v>0.880999999999999</v>
      </c>
      <c r="X226" t="n">
        <v>75</v>
      </c>
      <c r="Y226" t="n">
        <v>74</v>
      </c>
      <c r="Z226" t="n">
        <v>196</v>
      </c>
      <c r="AA226" t="n">
        <v>4</v>
      </c>
      <c r="AB226" t="n">
        <v>1.7</v>
      </c>
      <c r="AC226" t="inlineStr">
        <is>
          <t xml:space="preserve"> Freeski</t>
        </is>
      </c>
      <c r="AG226" t="inlineStr">
        <is>
          <t>Volkl Bash 86 W 172cm</t>
        </is>
      </c>
      <c r="AH226" t="inlineStr">
        <is>
          <t>Sundance Ski and Board Shop</t>
        </is>
      </c>
      <c r="AI226" s="333" t="n">
        <v>320.79</v>
      </c>
      <c r="AJ226" t="inlineStr">
        <is>
          <t>https://tinyurl.com/y7hkgjn8</t>
        </is>
      </c>
      <c r="AK226" t="inlineStr">
        <is>
          <t>Volkl Bash 86 Ski - 2022, 180cm /56170/</t>
        </is>
      </c>
      <c r="AL226" t="inlineStr">
        <is>
          <t>eBay - gearoutlet</t>
        </is>
      </c>
      <c r="AM226" s="333" t="n">
        <v>318</v>
      </c>
      <c r="AN226" t="inlineStr">
        <is>
          <t>https://tinyurl.com/y75kcpjm</t>
        </is>
      </c>
      <c r="AO226" t="inlineStr">
        <is>
          <t>Volkl Women's Bash 86 Skis</t>
        </is>
      </c>
      <c r="AP226" t="inlineStr">
        <is>
          <t>Steep &amp; Cheap</t>
        </is>
      </c>
      <c r="AQ226" s="333" t="n">
        <v>319.96</v>
      </c>
      <c r="AR226" t="inlineStr">
        <is>
          <t>https://tinyurl.com/yarbhkz7</t>
        </is>
      </c>
      <c r="AS226" s="314">
        <f>IF(LEFT(C226,1)=" ",RIGHT(C226,LEN(C226)-1),C226)</f>
        <v/>
      </c>
      <c r="AT226" s="281">
        <f>_xlfn.CONCAT(B226,AS226,D226,E226)</f>
        <v/>
      </c>
    </row>
    <row r="227">
      <c r="A227" t="inlineStr">
        <is>
          <t>21/22</t>
        </is>
      </c>
      <c r="B227" t="inlineStr">
        <is>
          <t xml:space="preserve"> Scott</t>
        </is>
      </c>
      <c r="C227" t="inlineStr">
        <is>
          <t>Slight 93</t>
        </is>
      </c>
      <c r="D227" t="n">
        <v>170</v>
      </c>
      <c r="E227" t="inlineStr">
        <is>
          <t xml:space="preserve"> Unisex</t>
        </is>
      </c>
      <c r="F227" t="n">
        <v>170</v>
      </c>
      <c r="G227" t="n">
        <v>168.5</v>
      </c>
      <c r="H227" t="n">
        <v>128</v>
      </c>
      <c r="I227" t="n">
        <v>149</v>
      </c>
      <c r="J227" t="n">
        <v>134</v>
      </c>
      <c r="K227" t="n">
        <v>90</v>
      </c>
      <c r="L227" t="n">
        <v>121</v>
      </c>
      <c r="M227" t="n">
        <v>15.1</v>
      </c>
      <c r="N227" t="n">
        <v>1472</v>
      </c>
      <c r="O227" t="n">
        <v>1.19</v>
      </c>
      <c r="P227" t="n">
        <v>1746</v>
      </c>
      <c r="Q227" t="n">
        <v>229</v>
      </c>
      <c r="R227" t="n">
        <v>90</v>
      </c>
      <c r="S227" t="n">
        <v>57</v>
      </c>
      <c r="T227" t="n">
        <v>272</v>
      </c>
      <c r="U227" t="n">
        <v>21</v>
      </c>
      <c r="V227" t="n">
        <v>134</v>
      </c>
      <c r="W227" t="n">
        <v>0.362</v>
      </c>
      <c r="X227" t="n">
        <v>122</v>
      </c>
      <c r="Y227" t="n">
        <v>73</v>
      </c>
      <c r="Z227" t="n">
        <v>150</v>
      </c>
      <c r="AA227" t="n">
        <v>4</v>
      </c>
      <c r="AB227" t="n">
        <v>12.2</v>
      </c>
      <c r="AC227" t="inlineStr">
        <is>
          <t xml:space="preserve"> Resort Freeride</t>
        </is>
      </c>
      <c r="AD227" t="inlineStr">
        <is>
          <t xml:space="preserve"> Touring</t>
        </is>
      </c>
      <c r="AG227" t="inlineStr">
        <is>
          <t>Scott Sports Ski Slight 93 Set M11 Mens Skis - Multicolour</t>
        </is>
      </c>
      <c r="AH227" t="inlineStr">
        <is>
          <t>Bobleisure</t>
        </is>
      </c>
      <c r="AI227" s="333" t="n">
        <v>557.96</v>
      </c>
      <c r="AJ227" t="inlineStr">
        <is>
          <t>https://tinyurl.com/yaatl7dk</t>
        </is>
      </c>
      <c r="AK227" t="inlineStr">
        <is>
          <t>Scott Slight 93 Skis Â· 170 cm</t>
        </is>
      </c>
      <c r="AL227" t="inlineStr">
        <is>
          <t>Mountain Steals</t>
        </is>
      </c>
      <c r="AM227" s="333" t="n">
        <v>599.99</v>
      </c>
      <c r="AN227" t="inlineStr">
        <is>
          <t>https://tinyurl.com/ybmyps5z</t>
        </is>
      </c>
      <c r="AO227" t="inlineStr">
        <is>
          <t>Scott Slight 93 Skis Â· 170 cm</t>
        </is>
      </c>
      <c r="AP227" t="inlineStr">
        <is>
          <t>Moosejaw</t>
        </is>
      </c>
      <c r="AQ227" s="333" t="n">
        <v>599.99</v>
      </c>
      <c r="AR227" t="inlineStr">
        <is>
          <t>https://tinyurl.com/y8ea6xdr</t>
        </is>
      </c>
      <c r="AS227" s="314">
        <f>IF(LEFT(C227,1)=" ",RIGHT(C227,LEN(C227)-1),C227)</f>
        <v/>
      </c>
      <c r="AT227" s="281">
        <f>_xlfn.CONCAT(B227,AS227,D227,E227)</f>
        <v/>
      </c>
    </row>
    <row r="228">
      <c r="A228" t="inlineStr">
        <is>
          <t>21/22</t>
        </is>
      </c>
      <c r="B228" t="inlineStr">
        <is>
          <t xml:space="preserve"> Blizzard</t>
        </is>
      </c>
      <c r="C228" t="inlineStr">
        <is>
          <t>Sheeva 10</t>
        </is>
      </c>
      <c r="D228" t="n">
        <v>172</v>
      </c>
      <c r="E228" t="inlineStr">
        <is>
          <t xml:space="preserve"> Women's</t>
        </is>
      </c>
      <c r="F228" t="n">
        <v>172</v>
      </c>
      <c r="G228" t="n">
        <v>170.1</v>
      </c>
      <c r="H228" t="n">
        <v>100</v>
      </c>
      <c r="I228" t="n">
        <v>141</v>
      </c>
      <c r="J228" t="n">
        <v>132</v>
      </c>
      <c r="K228" t="n">
        <v>101</v>
      </c>
      <c r="L228" t="n">
        <v>122</v>
      </c>
      <c r="M228" t="n">
        <v>17.1</v>
      </c>
      <c r="N228" t="n">
        <v>1919</v>
      </c>
      <c r="O228" t="n">
        <v>0.99</v>
      </c>
      <c r="P228" t="n">
        <v>1903</v>
      </c>
      <c r="Q228" t="n">
        <v>190</v>
      </c>
      <c r="R228" t="n">
        <v>106</v>
      </c>
      <c r="S228" t="n">
        <v>72</v>
      </c>
      <c r="T228" t="n">
        <v>387</v>
      </c>
      <c r="U228" t="n">
        <v>37</v>
      </c>
      <c r="V228" t="n">
        <v>313</v>
      </c>
      <c r="W228" t="n">
        <v>0.517</v>
      </c>
      <c r="X228" t="n">
        <v>147</v>
      </c>
      <c r="Y228" t="n">
        <v>145</v>
      </c>
      <c r="Z228" t="n">
        <v>240</v>
      </c>
      <c r="AA228" t="n">
        <v>3</v>
      </c>
      <c r="AB228" t="n">
        <v>7.5</v>
      </c>
      <c r="AC228" t="inlineStr">
        <is>
          <t xml:space="preserve"> Resort Freeride</t>
        </is>
      </c>
      <c r="AD228" t="inlineStr">
        <is>
          <t xml:space="preserve"> Powder</t>
        </is>
      </c>
      <c r="AG228" t="inlineStr">
        <is>
          <t>2023 Blizzard Sheeva 10 Women's Skis w/ Tyrolia Attack 11 GW Bindings - 172| Ski Essentials</t>
        </is>
      </c>
      <c r="AH228" t="inlineStr">
        <is>
          <t>SkiEssentials.com</t>
        </is>
      </c>
      <c r="AI228" s="333" t="n">
        <v>849.95</v>
      </c>
      <c r="AJ228" t="inlineStr">
        <is>
          <t>https://tinyurl.com/ycyn3vcs</t>
        </is>
      </c>
      <c r="AK228" t="inlineStr">
        <is>
          <t>Blizzard Sheeva 11 Woman 172</t>
        </is>
      </c>
      <c r="AL228" t="inlineStr">
        <is>
          <t>Snowcountry.eu</t>
        </is>
      </c>
      <c r="AM228" s="333" t="n">
        <v>387.23</v>
      </c>
      <c r="AN228" t="inlineStr">
        <is>
          <t>https://tinyurl.com/y88besmj</t>
        </is>
      </c>
      <c r="AO228" t="inlineStr">
        <is>
          <t xml:space="preserve"> 2018 Blizzard Rustler 10 Demo Ski with Bindings Size 172 (Option 211702)</t>
        </is>
      </c>
      <c r="AP228" t="inlineStr">
        <is>
          <t>SidelineSwap</t>
        </is>
      </c>
      <c r="AQ228" s="333" t="n">
        <v>399.99</v>
      </c>
      <c r="AR228" t="inlineStr">
        <is>
          <t>https://tinyurl.com/ybcnl8jg</t>
        </is>
      </c>
      <c r="AS228" s="314">
        <f>IF(LEFT(C228,1)=" ",RIGHT(C228,LEN(C228)-1),C228)</f>
        <v/>
      </c>
      <c r="AT228" s="281">
        <f>_xlfn.CONCAT(B228,AS228,D228,E228)</f>
        <v/>
      </c>
    </row>
    <row r="229">
      <c r="A229" t="inlineStr">
        <is>
          <t>21/22</t>
        </is>
      </c>
      <c r="B229" t="inlineStr">
        <is>
          <t xml:space="preserve"> Black Crows</t>
        </is>
      </c>
      <c r="C229" t="inlineStr">
        <is>
          <t xml:space="preserve"> Navis Freebird</t>
        </is>
      </c>
      <c r="D229" t="n">
        <v>167.1</v>
      </c>
      <c r="E229" t="inlineStr">
        <is>
          <t xml:space="preserve"> Unisex</t>
        </is>
      </c>
      <c r="F229" t="n">
        <v>167.1</v>
      </c>
      <c r="G229" t="n">
        <v>166.5</v>
      </c>
      <c r="H229" t="n">
        <v>114</v>
      </c>
      <c r="I229" t="n">
        <v>140</v>
      </c>
      <c r="J229" t="n">
        <v>137</v>
      </c>
      <c r="K229" t="n">
        <v>100</v>
      </c>
      <c r="L229" t="n">
        <v>117</v>
      </c>
      <c r="M229" t="n">
        <v>18.2</v>
      </c>
      <c r="N229" t="n">
        <v>1576</v>
      </c>
      <c r="O229" t="n">
        <v>1.17</v>
      </c>
      <c r="P229" t="n">
        <v>1847</v>
      </c>
      <c r="Q229" t="n">
        <v>185</v>
      </c>
      <c r="R229" t="n">
        <v>82</v>
      </c>
      <c r="S229" t="n">
        <v>46</v>
      </c>
      <c r="T229" t="n">
        <v>309</v>
      </c>
      <c r="U229" t="n">
        <v>17</v>
      </c>
      <c r="V229" t="n">
        <v>215</v>
      </c>
      <c r="W229" t="n">
        <v>0.361</v>
      </c>
      <c r="X229" t="n">
        <v>138</v>
      </c>
      <c r="Y229" t="n">
        <v>122</v>
      </c>
      <c r="Z229" t="n">
        <v>171</v>
      </c>
      <c r="AA229" t="n">
        <v>4</v>
      </c>
      <c r="AB229" t="n">
        <v>9.300000000000001</v>
      </c>
      <c r="AC229" t="inlineStr">
        <is>
          <t xml:space="preserve"> Resort Freeride</t>
        </is>
      </c>
      <c r="AD229" t="inlineStr">
        <is>
          <t xml:space="preserve"> Powder</t>
        </is>
      </c>
      <c r="AE229" t="inlineStr">
        <is>
          <t xml:space="preserve"> Big Mountain</t>
        </is>
      </c>
      <c r="AF229" t="inlineStr">
        <is>
          <t xml:space="preserve"> Touring</t>
        </is>
      </c>
      <c r="AG229" t="inlineStr">
        <is>
          <t>2022 Black Crows Navis Freebird Skis w/ Marker Kingpin13 Bindings - 167| Ski Essentials</t>
        </is>
      </c>
      <c r="AH229" t="inlineStr">
        <is>
          <t>SkiEssentials.com</t>
        </is>
      </c>
      <c r="AI229" s="333" t="n">
        <v>1058.96</v>
      </c>
      <c r="AJ229" t="inlineStr">
        <is>
          <t>https://tinyurl.com/ydezddx7</t>
        </is>
      </c>
      <c r="AK229" t="inlineStr">
        <is>
          <t>Black Crows Pilus Navis Freebird Skins</t>
        </is>
      </c>
      <c r="AL229" t="inlineStr">
        <is>
          <t>Teton Wasatch Ski Co.</t>
        </is>
      </c>
      <c r="AM229" s="333" t="n">
        <v>175</v>
      </c>
      <c r="AN229" t="inlineStr">
        <is>
          <t>https://tinyurl.com/yd8zbfve</t>
        </is>
      </c>
      <c r="AO229" t="inlineStr">
        <is>
          <t>Black Crows Pilus Navis Freebird Skins</t>
        </is>
      </c>
      <c r="AP229" t="inlineStr">
        <is>
          <t>Next Adventure</t>
        </is>
      </c>
      <c r="AQ229" s="333" t="n">
        <v>175.96</v>
      </c>
      <c r="AR229" t="inlineStr">
        <is>
          <t>https://tinyurl.com/ya8383fv</t>
        </is>
      </c>
      <c r="AS229" s="314">
        <f>IF(LEFT(C229,1)=" ",RIGHT(C229,LEN(C229)-1),C229)</f>
        <v/>
      </c>
      <c r="AT229" s="281">
        <f>_xlfn.CONCAT(B229,AS229,D229,E229)</f>
        <v/>
      </c>
    </row>
    <row r="230">
      <c r="A230" t="inlineStr">
        <is>
          <t>21/22</t>
        </is>
      </c>
      <c r="B230" t="inlineStr">
        <is>
          <t xml:space="preserve"> Blizzard</t>
        </is>
      </c>
      <c r="C230" t="inlineStr">
        <is>
          <t>Zero G 95</t>
        </is>
      </c>
      <c r="D230" t="n">
        <v>185</v>
      </c>
      <c r="E230" t="inlineStr">
        <is>
          <t xml:space="preserve"> Unisex</t>
        </is>
      </c>
      <c r="F230" t="n">
        <v>185</v>
      </c>
      <c r="G230" t="n">
        <v>182.7</v>
      </c>
      <c r="H230" t="n">
        <v>141</v>
      </c>
      <c r="I230" t="n">
        <v>156</v>
      </c>
      <c r="J230" t="n">
        <v>127</v>
      </c>
      <c r="K230" t="n">
        <v>93</v>
      </c>
      <c r="L230" t="n">
        <v>110</v>
      </c>
      <c r="M230" t="n">
        <v>24</v>
      </c>
      <c r="N230" t="n">
        <v>1374</v>
      </c>
      <c r="O230" t="n">
        <v>1.36</v>
      </c>
      <c r="P230" t="n">
        <v>1865</v>
      </c>
      <c r="Q230" t="n">
        <v>275</v>
      </c>
      <c r="R230" t="n">
        <v>104</v>
      </c>
      <c r="S230" t="n">
        <v>56</v>
      </c>
      <c r="T230" t="n">
        <v>276</v>
      </c>
      <c r="U230" t="n">
        <v>9</v>
      </c>
      <c r="V230" t="n">
        <v>143</v>
      </c>
      <c r="W230" t="n">
        <v>0.166999999999999</v>
      </c>
      <c r="X230" t="n">
        <v>134</v>
      </c>
      <c r="Y230" t="n">
        <v>137</v>
      </c>
      <c r="Z230" t="n">
        <v>142</v>
      </c>
      <c r="AA230" t="n">
        <v>4</v>
      </c>
      <c r="AB230" t="n">
        <v>10.8</v>
      </c>
      <c r="AC230" t="inlineStr">
        <is>
          <t xml:space="preserve"> Touring</t>
        </is>
      </c>
      <c r="AD230" t="inlineStr">
        <is>
          <t xml:space="preserve"> Ultralight Touring</t>
        </is>
      </c>
      <c r="AG230" t="inlineStr">
        <is>
          <t>2022 Blizzard Zero G 95 Skis w/ Marker Kingpin 13 Binding - Green - 185| Ski Essentials</t>
        </is>
      </c>
      <c r="AH230" t="inlineStr">
        <is>
          <t>SkiEssentials.com</t>
        </is>
      </c>
      <c r="AI230" s="333" t="n">
        <v>1050</v>
      </c>
      <c r="AJ230" t="inlineStr">
        <is>
          <t>https://tinyurl.com/ychdmvb4</t>
        </is>
      </c>
      <c r="AK230" t="inlineStr">
        <is>
          <t>Blizzard Zero G 95 Skis (2021) GREEN / 185</t>
        </is>
      </c>
      <c r="AL230" t="inlineStr">
        <is>
          <t>Neptune Mountaineering</t>
        </is>
      </c>
      <c r="AM230" s="333" t="n">
        <v>490</v>
      </c>
      <c r="AN230" t="inlineStr">
        <is>
          <t>https://tinyurl.com/y9nqv62d</t>
        </is>
      </c>
      <c r="AO230" t="inlineStr">
        <is>
          <t>Blizzard Zero G 95 Flat Skis - Unisex</t>
        </is>
      </c>
      <c r="AP230" t="inlineStr">
        <is>
          <t>Level Nine Sports</t>
        </is>
      </c>
      <c r="AQ230" s="333" t="n">
        <v>559.95</v>
      </c>
      <c r="AR230" t="inlineStr">
        <is>
          <t>https://tinyurl.com/y9n5ntvm</t>
        </is>
      </c>
      <c r="AS230" s="314">
        <f>IF(LEFT(C230,1)=" ",RIGHT(C230,LEN(C230)-1),C230)</f>
        <v/>
      </c>
      <c r="AT230" s="281">
        <f>_xlfn.CONCAT(B230,AS230,D230,E230)</f>
        <v/>
      </c>
    </row>
    <row r="231">
      <c r="A231" t="inlineStr">
        <is>
          <t>21/22</t>
        </is>
      </c>
      <c r="B231" t="inlineStr">
        <is>
          <t xml:space="preserve"> Scott</t>
        </is>
      </c>
      <c r="C231" t="inlineStr">
        <is>
          <t>Superguide 88</t>
        </is>
      </c>
      <c r="D231" t="n">
        <v>178</v>
      </c>
      <c r="E231" t="inlineStr">
        <is>
          <t xml:space="preserve"> Unisex</t>
        </is>
      </c>
      <c r="F231" t="n">
        <v>178</v>
      </c>
      <c r="G231" t="n">
        <v>176.9</v>
      </c>
      <c r="H231" t="n">
        <v>136</v>
      </c>
      <c r="I231" t="n">
        <v>157</v>
      </c>
      <c r="J231" t="n">
        <v>125</v>
      </c>
      <c r="K231" t="n">
        <v>88</v>
      </c>
      <c r="L231" t="n">
        <v>110</v>
      </c>
      <c r="M231" t="n">
        <v>19.2</v>
      </c>
      <c r="N231" t="n">
        <v>1470</v>
      </c>
      <c r="O231" t="n">
        <v>1.19</v>
      </c>
      <c r="P231" t="n">
        <v>1753</v>
      </c>
      <c r="Q231" t="n">
        <v>301</v>
      </c>
      <c r="R231" t="n">
        <v>112</v>
      </c>
      <c r="S231" t="n">
        <v>55</v>
      </c>
      <c r="T231" t="n">
        <v>272</v>
      </c>
      <c r="U231" t="n">
        <v>18</v>
      </c>
      <c r="V231" t="n">
        <v>139</v>
      </c>
      <c r="W231" t="n">
        <v>0.322</v>
      </c>
      <c r="X231" t="n">
        <v>112</v>
      </c>
      <c r="Y231" t="n">
        <v>87</v>
      </c>
      <c r="Z231" t="n">
        <v>159</v>
      </c>
      <c r="AA231" t="n">
        <v>5</v>
      </c>
      <c r="AB231" t="n">
        <v>10.8</v>
      </c>
      <c r="AC231" t="inlineStr">
        <is>
          <t xml:space="preserve"> Resort Freeride</t>
        </is>
      </c>
      <c r="AD231" t="inlineStr">
        <is>
          <t xml:space="preserve"> Touring</t>
        </is>
      </c>
      <c r="AG231" t="inlineStr">
        <is>
          <t>Scott Superguide 88 Ski 178cm</t>
        </is>
      </c>
      <c r="AH231" t="inlineStr">
        <is>
          <t>Sundance Ski and Board Shop</t>
        </is>
      </c>
      <c r="AI231" s="333" t="n">
        <v>320.79</v>
      </c>
      <c r="AJ231" t="inlineStr">
        <is>
          <t>https://tinyurl.com/y8drndxq</t>
        </is>
      </c>
      <c r="AK231" t="inlineStr">
        <is>
          <t>Scott Superguide 88 Skis - Men</t>
        </is>
      </c>
      <c r="AL231" t="inlineStr">
        <is>
          <t>Telemark Pyrenees</t>
        </is>
      </c>
      <c r="AM231" s="333" t="n">
        <v>352.89</v>
      </c>
      <c r="AN231" t="inlineStr">
        <is>
          <t>https://tinyurl.com/y93my6hk</t>
        </is>
      </c>
      <c r="AO231" t="inlineStr">
        <is>
          <t>Scott Superguide 88 R Skis 2022 - Sample</t>
        </is>
      </c>
      <c r="AP231" t="inlineStr">
        <is>
          <t>Next Adventure</t>
        </is>
      </c>
      <c r="AQ231" s="333" t="n">
        <v>359.96</v>
      </c>
      <c r="AR231" t="inlineStr">
        <is>
          <t>https://tinyurl.com/ydgtaths</t>
        </is>
      </c>
      <c r="AS231" s="314">
        <f>IF(LEFT(C231,1)=" ",RIGHT(C231,LEN(C231)-1),C231)</f>
        <v/>
      </c>
      <c r="AT231" s="281">
        <f>_xlfn.CONCAT(B231,AS231,D231,E231)</f>
        <v/>
      </c>
    </row>
    <row r="232">
      <c r="A232" t="inlineStr">
        <is>
          <t>21/22</t>
        </is>
      </c>
      <c r="B232" t="inlineStr">
        <is>
          <t xml:space="preserve"> Line</t>
        </is>
      </c>
      <c r="C232" t="inlineStr">
        <is>
          <t xml:space="preserve"> Sakana</t>
        </is>
      </c>
      <c r="D232" t="n">
        <v>181</v>
      </c>
      <c r="E232" t="inlineStr">
        <is>
          <t xml:space="preserve"> Unisex</t>
        </is>
      </c>
      <c r="F232" t="n">
        <v>181</v>
      </c>
      <c r="G232" t="n">
        <v>180.9</v>
      </c>
      <c r="H232" t="n">
        <v>130</v>
      </c>
      <c r="I232" t="n">
        <v>160</v>
      </c>
      <c r="J232" t="n">
        <v>149</v>
      </c>
      <c r="K232" t="n">
        <v>104</v>
      </c>
      <c r="L232" t="n">
        <v>136</v>
      </c>
      <c r="M232" t="n">
        <v>16.2</v>
      </c>
      <c r="N232" t="n">
        <v>1801</v>
      </c>
      <c r="O232" t="n">
        <v>1.19</v>
      </c>
      <c r="P232" t="n">
        <v>2142</v>
      </c>
      <c r="Q232" t="n">
        <v>168</v>
      </c>
      <c r="R232" t="n">
        <v>92</v>
      </c>
      <c r="S232" t="n">
        <v>45</v>
      </c>
      <c r="T232" t="n">
        <v>382</v>
      </c>
      <c r="U232" t="n">
        <v>14</v>
      </c>
      <c r="V232" t="n">
        <v>130</v>
      </c>
      <c r="W232" t="n">
        <v>0.301</v>
      </c>
      <c r="X232" t="n">
        <v>164</v>
      </c>
      <c r="Y232" t="n">
        <v>40</v>
      </c>
      <c r="Z232" t="n">
        <v>218</v>
      </c>
      <c r="AA232" t="n">
        <v>6</v>
      </c>
      <c r="AB232" t="n">
        <v>11.2</v>
      </c>
      <c r="AC232" t="inlineStr">
        <is>
          <t xml:space="preserve"> Resort Freeride</t>
        </is>
      </c>
      <c r="AD232" t="inlineStr">
        <is>
          <t xml:space="preserve"> Big Mountain</t>
        </is>
      </c>
      <c r="AE232" t="inlineStr">
        <is>
          <t xml:space="preserve"> Touring</t>
        </is>
      </c>
      <c r="AG232" t="inlineStr">
        <is>
          <t>'22 Line Sakana Skis 181cm</t>
        </is>
      </c>
      <c r="AH232" t="inlineStr">
        <is>
          <t>Al's Ski Equipment Barn</t>
        </is>
      </c>
      <c r="AI232" s="333" t="n">
        <v>649.95</v>
      </c>
      <c r="AJ232" t="inlineStr">
        <is>
          <t>https://tinyurl.com/yc7dxaaq</t>
        </is>
      </c>
      <c r="AK232" t="inlineStr">
        <is>
          <t>Line 2022 Sakana Skis</t>
        </is>
      </c>
      <c r="AL232" t="inlineStr">
        <is>
          <t>sunandski.com</t>
        </is>
      </c>
      <c r="AM232" s="333" t="n">
        <v>749.95</v>
      </c>
      <c r="AN232" t="inlineStr">
        <is>
          <t>https://tinyurl.com/yd93u7e2</t>
        </is>
      </c>
      <c r="AO232" t="inlineStr">
        <is>
          <t>Line 2022 Sakana Skis</t>
        </is>
      </c>
      <c r="AP232" t="inlineStr">
        <is>
          <t>Powder7 Ski Shop</t>
        </is>
      </c>
      <c r="AQ232" s="333" t="n">
        <v>749.95</v>
      </c>
      <c r="AR232" t="inlineStr">
        <is>
          <t>https://tinyurl.com/y9mqbdl8</t>
        </is>
      </c>
      <c r="AS232" s="314">
        <f>IF(LEFT(C232,1)=" ",RIGHT(C232,LEN(C232)-1),C232)</f>
        <v/>
      </c>
      <c r="AT232" s="281">
        <f>_xlfn.CONCAT(B232,AS232,D232,E232)</f>
        <v/>
      </c>
    </row>
    <row r="233">
      <c r="A233" t="inlineStr">
        <is>
          <t>21/22</t>
        </is>
      </c>
      <c r="B233" t="inlineStr">
        <is>
          <t xml:space="preserve"> Nordica</t>
        </is>
      </c>
      <c r="C233" t="inlineStr">
        <is>
          <t>Soul Rider 84</t>
        </is>
      </c>
      <c r="D233" t="n">
        <v>163</v>
      </c>
      <c r="E233" t="inlineStr">
        <is>
          <t xml:space="preserve"> Unisex</t>
        </is>
      </c>
      <c r="F233" t="n">
        <v>163</v>
      </c>
      <c r="G233" t="n">
        <v>161.4</v>
      </c>
      <c r="H233" t="n">
        <v>132</v>
      </c>
      <c r="I233" t="n">
        <v>145</v>
      </c>
      <c r="J233" t="n">
        <v>120</v>
      </c>
      <c r="K233" t="n">
        <v>83</v>
      </c>
      <c r="L233" t="n">
        <v>109</v>
      </c>
      <c r="M233" t="n">
        <v>16</v>
      </c>
      <c r="N233" t="n">
        <v>1565</v>
      </c>
      <c r="O233" t="n">
        <v>0.98</v>
      </c>
      <c r="P233" t="n">
        <v>1527</v>
      </c>
      <c r="Q233" t="n">
        <v>160</v>
      </c>
      <c r="R233" t="n">
        <v>86</v>
      </c>
      <c r="S233" t="n">
        <v>45</v>
      </c>
      <c r="T233" t="n">
        <v>152</v>
      </c>
      <c r="U233" t="n">
        <v>39</v>
      </c>
      <c r="V233" t="n">
        <v>140</v>
      </c>
      <c r="W233" t="n">
        <v>0.866</v>
      </c>
      <c r="X233" t="n">
        <v>90</v>
      </c>
      <c r="Y233" t="n">
        <v>76</v>
      </c>
      <c r="Z233" t="n">
        <v>62</v>
      </c>
      <c r="AA233" t="n">
        <v>9</v>
      </c>
      <c r="AB233" t="n">
        <v>9.300000000000001</v>
      </c>
      <c r="AC233" t="inlineStr">
        <is>
          <t xml:space="preserve"> Freeski</t>
        </is>
      </c>
      <c r="AG233" t="inlineStr">
        <is>
          <t>Nordica Men's Soul Rider 84 Ski 2021</t>
        </is>
      </c>
      <c r="AH233" t="inlineStr">
        <is>
          <t>eBay - gloliquidation</t>
        </is>
      </c>
      <c r="AI233" s="333" t="n">
        <v>284.95</v>
      </c>
      <c r="AJ233" t="inlineStr">
        <is>
          <t>https://tinyurl.com/ybbt7oaz</t>
        </is>
      </c>
      <c r="AK233" t="inlineStr">
        <is>
          <t>Nordica Men's Soul Rider 84 Ski 2021</t>
        </is>
      </c>
      <c r="AL233" t="inlineStr">
        <is>
          <t>BobsSportsChalet.com</t>
        </is>
      </c>
      <c r="AM233" s="333" t="n">
        <v>349.99</v>
      </c>
      <c r="AN233" t="inlineStr">
        <is>
          <t>https://tinyurl.com/y7cn8d96</t>
        </is>
      </c>
      <c r="AO233" t="inlineStr">
        <is>
          <t>SOULRIDER 84 '22</t>
        </is>
      </c>
      <c r="AP233" t="inlineStr">
        <is>
          <t>Vertical Drop</t>
        </is>
      </c>
      <c r="AQ233" s="333" t="n">
        <v>349.99</v>
      </c>
      <c r="AR233" t="inlineStr">
        <is>
          <t>https://tinyurl.com/y7z95f8g</t>
        </is>
      </c>
      <c r="AS233" s="314">
        <f>IF(LEFT(C233,1)=" ",RIGHT(C233,LEN(C233)-1),C233)</f>
        <v/>
      </c>
      <c r="AT233" s="281">
        <f>_xlfn.CONCAT(B233,AS233,D233,E233)</f>
        <v/>
      </c>
    </row>
    <row r="234">
      <c r="A234" t="inlineStr">
        <is>
          <t>21/22</t>
        </is>
      </c>
      <c r="B234" t="inlineStr">
        <is>
          <t xml:space="preserve"> Faction</t>
        </is>
      </c>
      <c r="C234" t="inlineStr">
        <is>
          <t>Dictator FG 2.0</t>
        </is>
      </c>
      <c r="D234" t="n">
        <v>171</v>
      </c>
      <c r="E234" t="inlineStr">
        <is>
          <t xml:space="preserve"> Unisex</t>
        </is>
      </c>
      <c r="F234" t="n">
        <v>171</v>
      </c>
      <c r="G234" t="n">
        <v>169.4</v>
      </c>
      <c r="H234" t="n">
        <v>127</v>
      </c>
      <c r="I234" t="n">
        <v>142</v>
      </c>
      <c r="J234" t="n">
        <v>126</v>
      </c>
      <c r="K234" t="n">
        <v>94</v>
      </c>
      <c r="L234" t="n">
        <v>116</v>
      </c>
      <c r="M234" t="n">
        <v>17.4</v>
      </c>
      <c r="N234" t="n">
        <v>1721</v>
      </c>
      <c r="O234" t="n">
        <v>1.04</v>
      </c>
      <c r="P234" t="n">
        <v>1784</v>
      </c>
      <c r="Q234" t="n">
        <v>205</v>
      </c>
      <c r="R234" t="n">
        <v>87</v>
      </c>
      <c r="S234" t="n">
        <v>49</v>
      </c>
      <c r="T234" t="n">
        <v>248</v>
      </c>
      <c r="U234" t="n">
        <v>21</v>
      </c>
      <c r="V234" t="n">
        <v>174</v>
      </c>
      <c r="W234" t="n">
        <v>0.424</v>
      </c>
      <c r="X234" t="n">
        <v>172</v>
      </c>
      <c r="Y234" t="n">
        <v>107</v>
      </c>
      <c r="Z234" t="n">
        <v>76</v>
      </c>
      <c r="AA234" t="n">
        <v>9</v>
      </c>
      <c r="AB234" t="n">
        <v>10.9</v>
      </c>
      <c r="AC234" t="inlineStr">
        <is>
          <t xml:space="preserve"> Resort Freeride</t>
        </is>
      </c>
      <c r="AG234" t="inlineStr">
        <is>
          <t>Faction Dictator 2.0 Skis 2022</t>
        </is>
      </c>
      <c r="AH234" t="inlineStr">
        <is>
          <t>PRFO Sports</t>
        </is>
      </c>
      <c r="AI234" s="333" t="n">
        <v>544.55</v>
      </c>
      <c r="AJ234" t="inlineStr">
        <is>
          <t>https://tinyurl.com/y7xjjslg</t>
        </is>
      </c>
      <c r="AK234" t="inlineStr">
        <is>
          <t>Faction Dictator 2.0 Skis</t>
        </is>
      </c>
      <c r="AL234" t="inlineStr">
        <is>
          <t>ColoradoSkiShop.com</t>
        </is>
      </c>
      <c r="AM234" s="333" t="n">
        <v>699.99</v>
      </c>
      <c r="AN234" t="inlineStr">
        <is>
          <t>https://tinyurl.com/yabxkhc8</t>
        </is>
      </c>
      <c r="AO234" t="inlineStr">
        <is>
          <t>Faction Agent 2.0 Skis</t>
        </is>
      </c>
      <c r="AP234" t="inlineStr">
        <is>
          <t>Gorham Bike and Ski</t>
        </is>
      </c>
      <c r="AQ234" s="333" t="n">
        <v>489.99</v>
      </c>
      <c r="AR234" t="inlineStr">
        <is>
          <t>https://tinyurl.com/y8o6x5jg</t>
        </is>
      </c>
      <c r="AS234" s="314">
        <f>IF(LEFT(C234,1)=" ",RIGHT(C234,LEN(C234)-1),C234)</f>
        <v/>
      </c>
      <c r="AT234" s="281">
        <f>_xlfn.CONCAT(B234,AS234,D234,E234)</f>
        <v/>
      </c>
    </row>
    <row r="235">
      <c r="A235" t="inlineStr">
        <is>
          <t>21/22</t>
        </is>
      </c>
      <c r="B235" t="inlineStr">
        <is>
          <t xml:space="preserve"> Line</t>
        </is>
      </c>
      <c r="C235" t="inlineStr">
        <is>
          <t xml:space="preserve"> Blade W</t>
        </is>
      </c>
      <c r="D235" t="n">
        <v>167</v>
      </c>
      <c r="E235" t="inlineStr">
        <is>
          <t xml:space="preserve"> Women's</t>
        </is>
      </c>
      <c r="F235" t="n">
        <v>167</v>
      </c>
      <c r="G235" t="n">
        <v>166.7</v>
      </c>
      <c r="H235" t="n">
        <v>134</v>
      </c>
      <c r="I235" t="n">
        <v>152</v>
      </c>
      <c r="J235" t="n">
        <v>139</v>
      </c>
      <c r="K235" t="n">
        <v>90</v>
      </c>
      <c r="L235" t="n">
        <v>113</v>
      </c>
      <c r="M235" t="n">
        <v>16.3</v>
      </c>
      <c r="N235" t="n">
        <v>1752</v>
      </c>
      <c r="O235" t="n">
        <v>0.99</v>
      </c>
      <c r="P235" t="n">
        <v>1743</v>
      </c>
      <c r="Q235" t="n">
        <v>174</v>
      </c>
      <c r="R235" t="n">
        <v>116</v>
      </c>
      <c r="S235" t="n">
        <v>39</v>
      </c>
      <c r="T235" t="n">
        <v>211</v>
      </c>
      <c r="U235" t="n">
        <v>16</v>
      </c>
      <c r="V235" t="n">
        <v>121</v>
      </c>
      <c r="W235" t="n">
        <v>0.401</v>
      </c>
      <c r="X235" t="n">
        <v>128</v>
      </c>
      <c r="Y235" t="n">
        <v>23</v>
      </c>
      <c r="Z235" t="n">
        <v>82</v>
      </c>
      <c r="AA235" t="n">
        <v>10</v>
      </c>
      <c r="AB235" t="n">
        <v>6.9</v>
      </c>
      <c r="AC235" t="inlineStr">
        <is>
          <t xml:space="preserve"> Resort Freeride</t>
        </is>
      </c>
      <c r="AG235" t="inlineStr">
        <is>
          <t>Line Blade W Women's Skis 167cm 2022</t>
        </is>
      </c>
      <c r="AH235" t="inlineStr">
        <is>
          <t>Snowcountry.eu</t>
        </is>
      </c>
      <c r="AI235" s="333" t="n">
        <v>460.11</v>
      </c>
      <c r="AJ235" t="inlineStr">
        <is>
          <t>https://tinyurl.com/ybpnfm86</t>
        </is>
      </c>
      <c r="AK235" t="inlineStr">
        <is>
          <t>'21 Line Blade W Skis 167cm</t>
        </is>
      </c>
      <c r="AL235" t="inlineStr">
        <is>
          <t>Al's Ski Equipment Barn</t>
        </is>
      </c>
      <c r="AM235" s="333" t="n">
        <v>479.95</v>
      </c>
      <c r="AN235" t="inlineStr">
        <is>
          <t>https://tinyurl.com/y777tyrx</t>
        </is>
      </c>
      <c r="AO235" t="inlineStr">
        <is>
          <t>Line 2022 Blade W's Skis w Marker Griffon Bindings 167</t>
        </is>
      </c>
      <c r="AP235" t="inlineStr">
        <is>
          <t>The Locals Sale</t>
        </is>
      </c>
      <c r="AQ235" s="333" t="n">
        <v>511</v>
      </c>
      <c r="AR235" t="inlineStr">
        <is>
          <t>https://tinyurl.com/yd3xajs5</t>
        </is>
      </c>
      <c r="AS235" s="314">
        <f>IF(LEFT(C235,1)=" ",RIGHT(C235,LEN(C235)-1),C235)</f>
        <v/>
      </c>
      <c r="AT235" s="281">
        <f>_xlfn.CONCAT(B235,AS235,D235,E235)</f>
        <v/>
      </c>
    </row>
    <row r="236">
      <c r="A236" t="inlineStr">
        <is>
          <t>21/22</t>
        </is>
      </c>
      <c r="B236" t="inlineStr">
        <is>
          <t xml:space="preserve"> Armada</t>
        </is>
      </c>
      <c r="C236" t="inlineStr">
        <is>
          <t>Tracer 98</t>
        </is>
      </c>
      <c r="D236" t="n">
        <v>172</v>
      </c>
      <c r="E236" t="inlineStr">
        <is>
          <t xml:space="preserve"> Unisex</t>
        </is>
      </c>
      <c r="F236" t="n">
        <v>172</v>
      </c>
      <c r="G236" t="n">
        <v>171.5</v>
      </c>
      <c r="H236" t="n">
        <v>132</v>
      </c>
      <c r="I236" t="n">
        <v>143</v>
      </c>
      <c r="J236" t="n">
        <v>129</v>
      </c>
      <c r="K236" t="n">
        <v>97</v>
      </c>
      <c r="L236" t="n">
        <v>120</v>
      </c>
      <c r="M236" t="n">
        <v>17.3</v>
      </c>
      <c r="N236" t="n">
        <v>1497</v>
      </c>
      <c r="O236" t="n">
        <v>1.23</v>
      </c>
      <c r="P236" t="n">
        <v>1844</v>
      </c>
      <c r="Q236" t="n">
        <v>163</v>
      </c>
      <c r="R236" t="n">
        <v>102</v>
      </c>
      <c r="S236" t="n">
        <v>41</v>
      </c>
      <c r="T236" t="n">
        <v>250</v>
      </c>
      <c r="U236" t="n">
        <v>15</v>
      </c>
      <c r="V236" t="n">
        <v>145</v>
      </c>
      <c r="W236" t="n">
        <v>0.369</v>
      </c>
      <c r="X236" t="n">
        <v>171</v>
      </c>
      <c r="Y236" t="n">
        <v>112</v>
      </c>
      <c r="Z236" t="n">
        <v>79</v>
      </c>
      <c r="AA236" t="n">
        <v>6</v>
      </c>
      <c r="AB236" t="n">
        <v>10</v>
      </c>
      <c r="AC236" t="inlineStr">
        <is>
          <t xml:space="preserve"> Resort Freeride</t>
        </is>
      </c>
      <c r="AD236" t="inlineStr">
        <is>
          <t xml:space="preserve"> Touring</t>
        </is>
      </c>
      <c r="AG236" t="inlineStr">
        <is>
          <t>Armada Men's Tracer 98 Ski</t>
        </is>
      </c>
      <c r="AH236" t="inlineStr">
        <is>
          <t>PRFO Sports</t>
        </is>
      </c>
      <c r="AI236" s="333" t="n">
        <v>512.47</v>
      </c>
      <c r="AJ236" t="inlineStr">
        <is>
          <t>https://tinyurl.com/y9a8swxn</t>
        </is>
      </c>
      <c r="AK236" t="inlineStr">
        <is>
          <t>Armada Tracer 98 Skis 2022 - 172</t>
        </is>
      </c>
      <c r="AL236" t="inlineStr">
        <is>
          <t>Absolute-Snow.co.uk</t>
        </is>
      </c>
      <c r="AM236" s="333" t="n">
        <v>530.42</v>
      </c>
      <c r="AN236" t="inlineStr">
        <is>
          <t>https://tinyurl.com/y8j8laqz</t>
        </is>
      </c>
      <c r="AO236" t="inlineStr">
        <is>
          <t>Armada Tracer 98 Skis 2022 - 172</t>
        </is>
      </c>
      <c r="AP236" t="inlineStr">
        <is>
          <t>Pinewski's Ski and Board Shop</t>
        </is>
      </c>
      <c r="AQ236" s="333" t="n">
        <v>559.95</v>
      </c>
      <c r="AR236" t="inlineStr">
        <is>
          <t>https://tinyurl.com/yasnh2yt</t>
        </is>
      </c>
      <c r="AS236" s="314">
        <f>IF(LEFT(C236,1)=" ",RIGHT(C236,LEN(C236)-1),C236)</f>
        <v/>
      </c>
      <c r="AT236" s="281">
        <f>_xlfn.CONCAT(B236,AS236,D236,E236)</f>
        <v/>
      </c>
    </row>
    <row r="237">
      <c r="A237" t="inlineStr">
        <is>
          <t>21/22</t>
        </is>
      </c>
      <c r="B237" t="inlineStr">
        <is>
          <t xml:space="preserve"> Nordica</t>
        </is>
      </c>
      <c r="C237" t="inlineStr">
        <is>
          <t>Enforcer 88</t>
        </is>
      </c>
      <c r="D237" t="n">
        <v>165</v>
      </c>
      <c r="E237" t="inlineStr">
        <is>
          <t xml:space="preserve"> Unisex</t>
        </is>
      </c>
      <c r="F237" t="n">
        <v>165</v>
      </c>
      <c r="G237" t="n">
        <v>164.5</v>
      </c>
      <c r="H237" t="n">
        <v>122</v>
      </c>
      <c r="I237" t="n">
        <v>137</v>
      </c>
      <c r="J237" t="n">
        <v>121</v>
      </c>
      <c r="K237" t="n">
        <v>87</v>
      </c>
      <c r="L237" t="n">
        <v>107</v>
      </c>
      <c r="M237" t="n">
        <v>15.3</v>
      </c>
      <c r="N237" t="n">
        <v>1820</v>
      </c>
      <c r="O237" t="n">
        <v>0.89</v>
      </c>
      <c r="P237" t="n">
        <v>1620</v>
      </c>
      <c r="Q237" t="n">
        <v>178</v>
      </c>
      <c r="R237" t="n">
        <v>121</v>
      </c>
      <c r="S237" t="n">
        <v>52</v>
      </c>
      <c r="T237" t="n">
        <v>258</v>
      </c>
      <c r="U237" t="n">
        <v>11</v>
      </c>
      <c r="V237" t="n">
        <v>166</v>
      </c>
      <c r="W237" t="n">
        <v>0.215</v>
      </c>
      <c r="X237" t="n">
        <v>128</v>
      </c>
      <c r="Y237" t="n">
        <v>148</v>
      </c>
      <c r="Z237" t="n">
        <v>130</v>
      </c>
      <c r="AA237" t="n">
        <v>8</v>
      </c>
      <c r="AB237" t="n">
        <v>8.699999999999999</v>
      </c>
      <c r="AC237" t="inlineStr">
        <is>
          <t xml:space="preserve"> Resort Freeride</t>
        </is>
      </c>
      <c r="AG237" t="inlineStr">
        <is>
          <t>Nordica Enforcer 88 Skis 2022 - 165</t>
        </is>
      </c>
      <c r="AH237" t="inlineStr">
        <is>
          <t>BlueZone Sports</t>
        </is>
      </c>
      <c r="AI237" s="333" t="n">
        <v>487.49</v>
      </c>
      <c r="AJ237" t="inlineStr">
        <is>
          <t>https://tinyurl.com/yd2vt65o</t>
        </is>
      </c>
      <c r="AK237" t="inlineStr">
        <is>
          <t>Nordica Enforcer 88 Skis 2022 - 165</t>
        </is>
      </c>
      <c r="AL237" t="inlineStr">
        <is>
          <t>eBay - webyshops</t>
        </is>
      </c>
      <c r="AM237" s="333" t="n">
        <v>519.99</v>
      </c>
      <c r="AN237" t="inlineStr">
        <is>
          <t>https://tinyurl.com/ybq363l8</t>
        </is>
      </c>
      <c r="AO237" t="inlineStr">
        <is>
          <t>Nordica Enforcer 88 Skis 2022 - 165</t>
        </is>
      </c>
      <c r="AP237" t="inlineStr">
        <is>
          <t>AlpineShopVT.com</t>
        </is>
      </c>
      <c r="AQ237" s="333" t="n">
        <v>519.99</v>
      </c>
      <c r="AR237" t="inlineStr">
        <is>
          <t>https://tinyurl.com/yawh2bw6</t>
        </is>
      </c>
      <c r="AS237" s="314">
        <f>IF(LEFT(C237,1)=" ",RIGHT(C237,LEN(C237)-1),C237)</f>
        <v/>
      </c>
      <c r="AT237" s="281">
        <f>_xlfn.CONCAT(B237,AS237,D237,E237)</f>
        <v/>
      </c>
    </row>
    <row r="238">
      <c r="A238" t="inlineStr">
        <is>
          <t>21/22</t>
        </is>
      </c>
      <c r="B238" t="inlineStr">
        <is>
          <t xml:space="preserve"> Line</t>
        </is>
      </c>
      <c r="C238" t="inlineStr">
        <is>
          <t>Sick Day 88</t>
        </is>
      </c>
      <c r="D238" t="n">
        <v>179</v>
      </c>
      <c r="E238" t="inlineStr">
        <is>
          <t xml:space="preserve"> Unisex</t>
        </is>
      </c>
      <c r="F238" t="n">
        <v>179</v>
      </c>
      <c r="G238" t="n">
        <v>179</v>
      </c>
      <c r="H238" t="n">
        <v>135</v>
      </c>
      <c r="I238" t="n">
        <v>154</v>
      </c>
      <c r="J238" t="n">
        <v>126</v>
      </c>
      <c r="K238" t="n">
        <v>87</v>
      </c>
      <c r="L238" t="n">
        <v>113</v>
      </c>
      <c r="M238" t="n">
        <v>18.1</v>
      </c>
      <c r="N238" t="n">
        <v>1635</v>
      </c>
      <c r="O238" t="n">
        <v>1.09</v>
      </c>
      <c r="P238" t="n">
        <v>1784</v>
      </c>
      <c r="Q238" t="n">
        <v>191</v>
      </c>
      <c r="R238" t="n">
        <v>101</v>
      </c>
      <c r="S238" t="n">
        <v>44</v>
      </c>
      <c r="T238" t="n">
        <v>282</v>
      </c>
      <c r="U238" t="n">
        <v>17</v>
      </c>
      <c r="V238" t="n">
        <v>155</v>
      </c>
      <c r="W238" t="n">
        <v>0.376</v>
      </c>
      <c r="X238" t="n">
        <v>146</v>
      </c>
      <c r="Y238" t="n">
        <v>102</v>
      </c>
      <c r="Z238" t="n">
        <v>136</v>
      </c>
      <c r="AA238" t="n">
        <v>7</v>
      </c>
      <c r="AB238" t="n">
        <v>10.3</v>
      </c>
      <c r="AC238" t="inlineStr">
        <is>
          <t xml:space="preserve"> Resort Freeride</t>
        </is>
      </c>
      <c r="AD238" t="inlineStr">
        <is>
          <t xml:space="preserve"> Touring</t>
        </is>
      </c>
      <c r="AG238" t="inlineStr">
        <is>
          <t>Line Skis Sick Day 88</t>
        </is>
      </c>
      <c r="AH238" t="inlineStr">
        <is>
          <t>Powder7 Ski Shop</t>
        </is>
      </c>
      <c r="AI238" s="333" t="n">
        <v>399.95</v>
      </c>
      <c r="AJ238" t="inlineStr">
        <is>
          <t>https://tinyurl.com/y757tkuc</t>
        </is>
      </c>
      <c r="AK238" t="inlineStr">
        <is>
          <t>Line Skis Sick Day 88</t>
        </is>
      </c>
      <c r="AL238" t="inlineStr">
        <is>
          <t>UtahSkis</t>
        </is>
      </c>
      <c r="AM238" s="333" t="n">
        <v>399.95</v>
      </c>
      <c r="AN238" t="inlineStr">
        <is>
          <t>https://tinyurl.com/ycnnqp4t</t>
        </is>
      </c>
      <c r="AO238" t="inlineStr">
        <is>
          <t>'22 Line Sick Day 88 Skis 179cm</t>
        </is>
      </c>
      <c r="AP238" t="inlineStr">
        <is>
          <t>Al's Ski Equipment Barn</t>
        </is>
      </c>
      <c r="AQ238" s="333" t="n">
        <v>399.95</v>
      </c>
      <c r="AR238" t="inlineStr">
        <is>
          <t>https://tinyurl.com/ycv7clfc</t>
        </is>
      </c>
      <c r="AS238" s="314">
        <f>IF(LEFT(C238,1)=" ",RIGHT(C238,LEN(C238)-1),C238)</f>
        <v/>
      </c>
      <c r="AT238" s="281">
        <f>_xlfn.CONCAT(B238,AS238,D238,E238)</f>
        <v/>
      </c>
    </row>
    <row r="239">
      <c r="A239" t="inlineStr">
        <is>
          <t>21/22</t>
        </is>
      </c>
      <c r="B239" t="inlineStr">
        <is>
          <t xml:space="preserve"> Blizzard</t>
        </is>
      </c>
      <c r="C239" t="inlineStr">
        <is>
          <t>Black Pearl 97</t>
        </is>
      </c>
      <c r="D239" t="n">
        <v>165</v>
      </c>
      <c r="E239" t="inlineStr">
        <is>
          <t xml:space="preserve"> Women's</t>
        </is>
      </c>
      <c r="F239" t="n">
        <v>165</v>
      </c>
      <c r="G239" t="n">
        <v>163.8</v>
      </c>
      <c r="H239" t="n">
        <v>130</v>
      </c>
      <c r="I239" t="n">
        <v>140</v>
      </c>
      <c r="J239" t="n">
        <v>136</v>
      </c>
      <c r="K239" t="n">
        <v>96</v>
      </c>
      <c r="L239" t="n">
        <v>118</v>
      </c>
      <c r="M239" t="n">
        <v>15.3</v>
      </c>
      <c r="N239" t="n">
        <v>1911</v>
      </c>
      <c r="O239" t="n">
        <v>0.92</v>
      </c>
      <c r="P239" t="n">
        <v>1766</v>
      </c>
      <c r="Q239" t="n">
        <v>191</v>
      </c>
      <c r="R239" t="n">
        <v>95</v>
      </c>
      <c r="S239" t="n">
        <v>59</v>
      </c>
      <c r="T239" t="n">
        <v>228</v>
      </c>
      <c r="U239" t="n">
        <v>9</v>
      </c>
      <c r="V239" t="n">
        <v>112</v>
      </c>
      <c r="W239" t="n">
        <v>0.16</v>
      </c>
      <c r="X239" t="n">
        <v>126</v>
      </c>
      <c r="Y239" t="n">
        <v>108</v>
      </c>
      <c r="Z239" t="n">
        <v>102</v>
      </c>
      <c r="AA239" t="n">
        <v>6</v>
      </c>
      <c r="AB239" t="n">
        <v>11.4</v>
      </c>
      <c r="AC239" t="inlineStr">
        <is>
          <t xml:space="preserve"> Resort Freeride</t>
        </is>
      </c>
      <c r="AG239" t="inlineStr">
        <is>
          <t>Blizzard Black Pearl 97 21/22</t>
        </is>
      </c>
      <c r="AH239" t="inlineStr">
        <is>
          <t>Snowcountry.eu</t>
        </is>
      </c>
      <c r="AI239" s="333" t="n">
        <v>387.23</v>
      </c>
      <c r="AJ239" t="inlineStr">
        <is>
          <t>https://tinyurl.com/y95drnq7</t>
        </is>
      </c>
      <c r="AK239" t="inlineStr">
        <is>
          <t>'22 Blizzard Black Pearl 97 Skis 165cm</t>
        </is>
      </c>
      <c r="AL239" t="inlineStr">
        <is>
          <t>Al's Ski Equipment Barn</t>
        </is>
      </c>
      <c r="AM239" s="333" t="n">
        <v>599.95</v>
      </c>
      <c r="AN239" t="inlineStr">
        <is>
          <t>https://tinyurl.com/ybv59ptw</t>
        </is>
      </c>
      <c r="AO239" t="inlineStr">
        <is>
          <t>2022 Blizzard Black Pearl 97 + Marker Demo Bindings -  - Ski Town All-Stars -  Skis</t>
        </is>
      </c>
      <c r="AP239" t="inlineStr">
        <is>
          <t>Ski Town All-Stars</t>
        </is>
      </c>
      <c r="AQ239" s="333" t="n">
        <v>599.99</v>
      </c>
      <c r="AR239" t="inlineStr">
        <is>
          <t>https://tinyurl.com/ydzah983</t>
        </is>
      </c>
      <c r="AS239" s="314">
        <f>IF(LEFT(C239,1)=" ",RIGHT(C239,LEN(C239)-1),C239)</f>
        <v/>
      </c>
      <c r="AT239" s="281">
        <f>_xlfn.CONCAT(B239,AS239,D239,E239)</f>
        <v/>
      </c>
    </row>
    <row r="240">
      <c r="A240" t="inlineStr">
        <is>
          <t>21/22</t>
        </is>
      </c>
      <c r="B240" t="inlineStr">
        <is>
          <t xml:space="preserve"> Icelantic</t>
        </is>
      </c>
      <c r="C240" t="inlineStr">
        <is>
          <t>Nomad Lite 105</t>
        </is>
      </c>
      <c r="D240" t="n">
        <v>176</v>
      </c>
      <c r="E240" t="inlineStr">
        <is>
          <t xml:space="preserve"> Unisex</t>
        </is>
      </c>
      <c r="F240" t="n">
        <v>176</v>
      </c>
      <c r="G240" t="n">
        <v>173.3</v>
      </c>
      <c r="H240" t="n">
        <v>108</v>
      </c>
      <c r="I240" t="n">
        <v>147</v>
      </c>
      <c r="J240" t="n">
        <v>145</v>
      </c>
      <c r="K240" t="n">
        <v>110</v>
      </c>
      <c r="L240" t="n">
        <v>135</v>
      </c>
      <c r="M240" t="n">
        <v>17.7</v>
      </c>
      <c r="N240" t="n">
        <v>1781</v>
      </c>
      <c r="O240" t="n">
        <v>1.18</v>
      </c>
      <c r="P240" t="n">
        <v>2096</v>
      </c>
      <c r="Q240" t="n">
        <v>247</v>
      </c>
      <c r="R240" t="n">
        <v>108</v>
      </c>
      <c r="S240" t="n">
        <v>57</v>
      </c>
      <c r="T240" t="n">
        <v>354</v>
      </c>
      <c r="U240" t="n">
        <v>53</v>
      </c>
      <c r="V240" t="n">
        <v>304</v>
      </c>
      <c r="W240" t="n">
        <v>0.924</v>
      </c>
      <c r="X240" t="n">
        <v>128</v>
      </c>
      <c r="Y240" t="n">
        <v>137</v>
      </c>
      <c r="Z240" t="n">
        <v>226</v>
      </c>
      <c r="AA240" t="n">
        <v>3</v>
      </c>
      <c r="AB240" t="n">
        <v>8.5</v>
      </c>
      <c r="AC240" t="inlineStr">
        <is>
          <t xml:space="preserve"> Freeski</t>
        </is>
      </c>
      <c r="AD240" t="inlineStr">
        <is>
          <t xml:space="preserve"> Powder</t>
        </is>
      </c>
      <c r="AE240" t="inlineStr">
        <is>
          <t xml:space="preserve"> Touring</t>
        </is>
      </c>
      <c r="AG240" t="inlineStr">
        <is>
          <t>Icelantic Nomad 105 Lite Skis 176cm 2022</t>
        </is>
      </c>
      <c r="AH240" t="inlineStr">
        <is>
          <t>REI</t>
        </is>
      </c>
      <c r="AI240" s="333" t="n">
        <v>598.9299999999999</v>
      </c>
      <c r="AJ240" t="inlineStr">
        <is>
          <t>https://tinyurl.com/y8nvcgos</t>
        </is>
      </c>
      <c r="AK240" t="inlineStr">
        <is>
          <t>Icelantic Nomad 105 Lite Skis 176cm 2022</t>
        </is>
      </c>
      <c r="AL240" t="inlineStr">
        <is>
          <t>Mountain Steals</t>
        </is>
      </c>
      <c r="AM240" s="333" t="n">
        <v>598.99</v>
      </c>
      <c r="AN240" t="inlineStr">
        <is>
          <t>https://tinyurl.com/yazx9ck9</t>
        </is>
      </c>
      <c r="AO240" t="inlineStr">
        <is>
          <t>Icelantic Nomad 105 Lite Skis 176cm 2022</t>
        </is>
      </c>
      <c r="AP240" t="inlineStr">
        <is>
          <t>Moosejaw</t>
        </is>
      </c>
      <c r="AQ240" s="333" t="n">
        <v>598.99</v>
      </c>
      <c r="AR240" t="inlineStr">
        <is>
          <t>https://tinyurl.com/y8pn9mcb</t>
        </is>
      </c>
      <c r="AS240" s="314">
        <f>IF(LEFT(C240,1)=" ",RIGHT(C240,LEN(C240)-1),C240)</f>
        <v/>
      </c>
      <c r="AT240" s="281">
        <f>_xlfn.CONCAT(B240,AS240,D240,E240)</f>
        <v/>
      </c>
    </row>
    <row r="241">
      <c r="A241" t="inlineStr">
        <is>
          <t>21/22</t>
        </is>
      </c>
      <c r="B241" t="inlineStr">
        <is>
          <t xml:space="preserve"> Atomic</t>
        </is>
      </c>
      <c r="C241" t="inlineStr">
        <is>
          <t>Backland 107</t>
        </is>
      </c>
      <c r="D241" t="n">
        <v>175</v>
      </c>
      <c r="E241" t="inlineStr">
        <is>
          <t xml:space="preserve"> Unisex</t>
        </is>
      </c>
      <c r="F241" t="n">
        <v>175</v>
      </c>
      <c r="G241" t="n">
        <v>174.5</v>
      </c>
      <c r="H241" t="n">
        <v>114</v>
      </c>
      <c r="I241" t="n">
        <v>134</v>
      </c>
      <c r="J241" t="n">
        <v>135</v>
      </c>
      <c r="K241" t="n">
        <v>107</v>
      </c>
      <c r="L241" t="n">
        <v>122</v>
      </c>
      <c r="M241" t="n">
        <v>18.1</v>
      </c>
      <c r="N241" t="n">
        <v>1508</v>
      </c>
      <c r="O241" t="n">
        <v>1.33</v>
      </c>
      <c r="P241" t="n">
        <v>2013</v>
      </c>
      <c r="Q241" t="n">
        <v>178</v>
      </c>
      <c r="R241" t="n">
        <v>89</v>
      </c>
      <c r="S241" t="n">
        <v>51</v>
      </c>
      <c r="T241" t="n">
        <v>367</v>
      </c>
      <c r="U241" t="n">
        <v>16</v>
      </c>
      <c r="V241" t="n">
        <v>234</v>
      </c>
      <c r="W241" t="n">
        <v>0.32</v>
      </c>
      <c r="X241" t="n">
        <v>225</v>
      </c>
      <c r="Y241" t="n">
        <v>185</v>
      </c>
      <c r="Z241" t="n">
        <v>143</v>
      </c>
      <c r="AA241" t="n">
        <v>4</v>
      </c>
      <c r="AB241" t="n">
        <v>9.699999999999999</v>
      </c>
      <c r="AC241" t="inlineStr">
        <is>
          <t xml:space="preserve"> Big Mountain</t>
        </is>
      </c>
      <c r="AD241" t="inlineStr">
        <is>
          <t xml:space="preserve"> Touring</t>
        </is>
      </c>
      <c r="AE241" t="inlineStr">
        <is>
          <t xml:space="preserve"> Ultralight Touring</t>
        </is>
      </c>
      <c r="AG241" t="inlineStr">
        <is>
          <t>Atomic Backland 107 Ski - Women's</t>
        </is>
      </c>
      <c r="AH241" t="inlineStr">
        <is>
          <t>Powder7 Ski Shop</t>
        </is>
      </c>
      <c r="AI241" s="333" t="n">
        <v>429.93</v>
      </c>
      <c r="AJ241" t="inlineStr">
        <is>
          <t>https://tinyurl.com/yd6mbcxe</t>
        </is>
      </c>
      <c r="AK241" t="inlineStr">
        <is>
          <t>Atomic Backland 107 Ski - Women's</t>
        </is>
      </c>
      <c r="AL241" t="inlineStr">
        <is>
          <t>Next Adventure</t>
        </is>
      </c>
      <c r="AM241" s="333" t="n">
        <v>489.99</v>
      </c>
      <c r="AN241" t="inlineStr">
        <is>
          <t>https://tinyurl.com/y9vgjm67</t>
        </is>
      </c>
      <c r="AO241" t="inlineStr">
        <is>
          <t>Atomic Backland W 107 Anthracite Berry / 175cm</t>
        </is>
      </c>
      <c r="AP241" t="inlineStr">
        <is>
          <t>Sundance Ski and Board Shop</t>
        </is>
      </c>
      <c r="AQ241" s="333" t="n">
        <v>521.29</v>
      </c>
      <c r="AR241" t="inlineStr">
        <is>
          <t>https://tinyurl.com/y9j2bxx5</t>
        </is>
      </c>
      <c r="AS241" s="314">
        <f>IF(LEFT(C241,1)=" ",RIGHT(C241,LEN(C241)-1),C241)</f>
        <v/>
      </c>
      <c r="AT241" s="281">
        <f>_xlfn.CONCAT(B241,AS241,D241,E241)</f>
        <v/>
      </c>
    </row>
    <row r="242">
      <c r="A242" t="inlineStr">
        <is>
          <t>21/22</t>
        </is>
      </c>
      <c r="B242" t="inlineStr">
        <is>
          <t xml:space="preserve"> Rossignol</t>
        </is>
      </c>
      <c r="C242" t="inlineStr">
        <is>
          <t>Nova 10 Ti</t>
        </is>
      </c>
      <c r="D242" t="n">
        <v>153</v>
      </c>
      <c r="E242" t="inlineStr">
        <is>
          <t xml:space="preserve"> Women's</t>
        </is>
      </c>
      <c r="F242" t="n">
        <v>153</v>
      </c>
      <c r="G242" t="n">
        <v>152.5</v>
      </c>
      <c r="H242" t="n">
        <v>130</v>
      </c>
      <c r="I242" t="n">
        <v>139</v>
      </c>
      <c r="J242" t="n">
        <v>122</v>
      </c>
      <c r="K242" t="n">
        <v>73</v>
      </c>
      <c r="L242" t="n">
        <v>108</v>
      </c>
      <c r="M242" t="n">
        <v>11.2</v>
      </c>
      <c r="N242" t="n">
        <v>1630</v>
      </c>
      <c r="O242" t="n">
        <v>0.83</v>
      </c>
      <c r="P242" t="n">
        <v>1359</v>
      </c>
      <c r="Q242" t="n">
        <v>180</v>
      </c>
      <c r="R242" t="n">
        <v>77</v>
      </c>
      <c r="S242" t="n">
        <v>39</v>
      </c>
      <c r="T242" t="n">
        <v>149</v>
      </c>
      <c r="U242" t="n">
        <v>6</v>
      </c>
      <c r="V242" t="n">
        <v>73</v>
      </c>
      <c r="W242" t="n">
        <v>0.15</v>
      </c>
      <c r="X242" t="n">
        <v>75</v>
      </c>
      <c r="Y242" t="n">
        <v>63</v>
      </c>
      <c r="Z242" t="n">
        <v>74</v>
      </c>
      <c r="AA242" t="n">
        <v>7</v>
      </c>
      <c r="AB242" t="n">
        <v>9.6</v>
      </c>
      <c r="AC242" t="inlineStr">
        <is>
          <t xml:space="preserve"> On-Piste Carving</t>
        </is>
      </c>
      <c r="AG242" t="inlineStr">
        <is>
          <t>Rossignol Nova 10 Ti Skis w/ Look Xpress 11 GW Bindings</t>
        </is>
      </c>
      <c r="AH242" t="inlineStr">
        <is>
          <t>eBay - asogear</t>
        </is>
      </c>
      <c r="AI242" s="333" t="n">
        <v>449.99</v>
      </c>
      <c r="AJ242" t="inlineStr">
        <is>
          <t>https://tinyurl.com/y76vyepq</t>
        </is>
      </c>
      <c r="AK242" t="inlineStr">
        <is>
          <t>Rossignol Nova 10 Ti Skis w/ Look Xpress 11 GW Bindings</t>
        </is>
      </c>
      <c r="AL242" t="inlineStr">
        <is>
          <t>The-House.com</t>
        </is>
      </c>
      <c r="AM242" s="333" t="n">
        <v>639.95</v>
      </c>
      <c r="AN242" t="inlineStr">
        <is>
          <t>https://tinyurl.com/y7zv58tc</t>
        </is>
      </c>
      <c r="AO242" t="inlineStr">
        <is>
          <t>2023 Rossignol Escaper 87 Touring Skis w/ Elan ADK C-Raider 12 Binding - 153| Ski Essentials</t>
        </is>
      </c>
      <c r="AP242" t="inlineStr">
        <is>
          <t>SkiEssentials.com</t>
        </is>
      </c>
      <c r="AQ242" s="333" t="n">
        <v>1169.95</v>
      </c>
      <c r="AR242" t="inlineStr">
        <is>
          <t>https://tinyurl.com/ya5ffwu3</t>
        </is>
      </c>
      <c r="AS242" s="314">
        <f>IF(LEFT(C242,1)=" ",RIGHT(C242,LEN(C242)-1),C242)</f>
        <v/>
      </c>
      <c r="AT242" s="281">
        <f>_xlfn.CONCAT(B242,AS242,D242,E242)</f>
        <v/>
      </c>
    </row>
    <row r="243">
      <c r="A243" t="inlineStr">
        <is>
          <t>21/22</t>
        </is>
      </c>
      <c r="B243" t="inlineStr">
        <is>
          <t xml:space="preserve"> Vï¿½lkl</t>
        </is>
      </c>
      <c r="C243" t="inlineStr">
        <is>
          <t>Rise Beyond 96</t>
        </is>
      </c>
      <c r="D243" t="n">
        <v>184</v>
      </c>
      <c r="E243" t="inlineStr">
        <is>
          <t xml:space="preserve"> Unisex</t>
        </is>
      </c>
      <c r="F243" t="n">
        <v>184</v>
      </c>
      <c r="G243" t="n">
        <v>184</v>
      </c>
      <c r="H243" t="n">
        <v>142</v>
      </c>
      <c r="I243" t="n">
        <v>162</v>
      </c>
      <c r="J243" t="n">
        <v>138</v>
      </c>
      <c r="K243" t="n">
        <v>96</v>
      </c>
      <c r="L243" t="n">
        <v>119</v>
      </c>
      <c r="M243" t="n">
        <v>19.5</v>
      </c>
      <c r="N243" t="n">
        <v>1366</v>
      </c>
      <c r="O243" t="n">
        <v>1.46</v>
      </c>
      <c r="P243" t="n">
        <v>1997</v>
      </c>
      <c r="Q243" t="n">
        <v>192</v>
      </c>
      <c r="R243" t="n">
        <v>82</v>
      </c>
      <c r="S243" t="n">
        <v>40</v>
      </c>
      <c r="T243" t="n">
        <v>346</v>
      </c>
      <c r="U243" t="n">
        <v>5</v>
      </c>
      <c r="V243" t="n">
        <v>69</v>
      </c>
      <c r="W243" t="n">
        <v>0.119</v>
      </c>
      <c r="X243" t="n">
        <v>127</v>
      </c>
      <c r="Y243" t="n">
        <v>88</v>
      </c>
      <c r="Z243" t="n">
        <v>219</v>
      </c>
      <c r="AA243" t="n">
        <v>2</v>
      </c>
      <c r="AB243" t="n">
        <v>12.1</v>
      </c>
      <c r="AC243" t="inlineStr">
        <is>
          <t xml:space="preserve"> Touring</t>
        </is>
      </c>
      <c r="AD243" t="inlineStr">
        <is>
          <t xml:space="preserve"> Ultralight Touring</t>
        </is>
      </c>
      <c r="AG243" t="inlineStr">
        <is>
          <t>Volkl Rise Beyond 96 21/22</t>
        </is>
      </c>
      <c r="AH243" t="inlineStr">
        <is>
          <t>PRFO Sports</t>
        </is>
      </c>
      <c r="AI243" s="333" t="n">
        <v>513.27</v>
      </c>
      <c r="AJ243" t="inlineStr">
        <is>
          <t>https://tinyurl.com/y7exfgxq</t>
        </is>
      </c>
      <c r="AK243" t="inlineStr">
        <is>
          <t>Volkl Rise Beyond 96 Ski 2022</t>
        </is>
      </c>
      <c r="AL243" t="inlineStr">
        <is>
          <t>Steep &amp; Cheap</t>
        </is>
      </c>
      <c r="AM243" s="333" t="n">
        <v>559.96</v>
      </c>
      <c r="AN243" t="inlineStr">
        <is>
          <t>https://tinyurl.com/yc5yw5e9</t>
        </is>
      </c>
      <c r="AO243" t="inlineStr">
        <is>
          <t>Volkl Rise Beyond 96 Ski 2022</t>
        </is>
      </c>
      <c r="AP243" t="inlineStr">
        <is>
          <t>Backcountry.com</t>
        </is>
      </c>
      <c r="AQ243" s="333" t="n">
        <v>559.96</v>
      </c>
      <c r="AR243" t="inlineStr">
        <is>
          <t>https://tinyurl.com/ychucmmr</t>
        </is>
      </c>
      <c r="AS243" s="314">
        <f>IF(LEFT(C243,1)=" ",RIGHT(C243,LEN(C243)-1),C243)</f>
        <v/>
      </c>
      <c r="AT243" s="281">
        <f>_xlfn.CONCAT(B243,AS243,D243,E243)</f>
        <v/>
      </c>
    </row>
    <row r="244">
      <c r="A244" t="inlineStr">
        <is>
          <t>21/22</t>
        </is>
      </c>
      <c r="B244" t="inlineStr">
        <is>
          <t xml:space="preserve"> Black Crows</t>
        </is>
      </c>
      <c r="C244" t="inlineStr">
        <is>
          <t xml:space="preserve"> Navis Freebird</t>
        </is>
      </c>
      <c r="D244" t="n">
        <v>185.8</v>
      </c>
      <c r="E244" t="inlineStr">
        <is>
          <t xml:space="preserve"> Unisex</t>
        </is>
      </c>
      <c r="F244" t="n">
        <v>185.8</v>
      </c>
      <c r="G244" t="n">
        <v>184.5</v>
      </c>
      <c r="H244" t="n">
        <v>143</v>
      </c>
      <c r="I244" t="n">
        <v>152</v>
      </c>
      <c r="J244" t="n">
        <v>139</v>
      </c>
      <c r="K244" t="n">
        <v>100</v>
      </c>
      <c r="L244" t="n">
        <v>120</v>
      </c>
      <c r="M244" t="n">
        <v>19.1</v>
      </c>
      <c r="N244" t="n">
        <v>1800</v>
      </c>
      <c r="O244" t="n">
        <v>1.15</v>
      </c>
      <c r="P244" t="n">
        <v>2071</v>
      </c>
      <c r="Q244" t="n">
        <v>239</v>
      </c>
      <c r="R244" t="n">
        <v>116</v>
      </c>
      <c r="S244" t="n">
        <v>41</v>
      </c>
      <c r="T244" t="n">
        <v>213</v>
      </c>
      <c r="U244" t="n">
        <v>15</v>
      </c>
      <c r="V244" t="n">
        <v>202</v>
      </c>
      <c r="W244" t="n">
        <v>0.371</v>
      </c>
      <c r="X244" t="n">
        <v>182</v>
      </c>
      <c r="Y244" t="n">
        <v>142</v>
      </c>
      <c r="Z244" t="n">
        <v>31</v>
      </c>
      <c r="AA244" t="n">
        <v>7</v>
      </c>
      <c r="AB244" t="n">
        <v>9.5</v>
      </c>
      <c r="AC244" t="inlineStr">
        <is>
          <t xml:space="preserve"> Resort Freeride</t>
        </is>
      </c>
      <c r="AD244" t="inlineStr">
        <is>
          <t xml:space="preserve"> Powder</t>
        </is>
      </c>
      <c r="AE244" t="inlineStr">
        <is>
          <t xml:space="preserve"> Big Mountain</t>
        </is>
      </c>
      <c r="AF244" t="inlineStr">
        <is>
          <t xml:space="preserve"> Touring</t>
        </is>
      </c>
      <c r="AG244" t="inlineStr">
        <is>
          <t>Black Crows Navis Freebird Touring Ski - 185.8 cm</t>
        </is>
      </c>
      <c r="AH244" t="inlineStr">
        <is>
          <t>ColoradoSkiShop.com</t>
        </is>
      </c>
      <c r="AI244" s="333" t="n">
        <v>659.99</v>
      </c>
      <c r="AJ244" t="inlineStr">
        <is>
          <t>https://tinyurl.com/yd9uauf3</t>
        </is>
      </c>
      <c r="AK244" t="inlineStr">
        <is>
          <t>Black Crows Navis Freebird Touring Ski - 185.8 cm</t>
        </is>
      </c>
      <c r="AL244" t="inlineStr">
        <is>
          <t>Powder7 Ski Shop</t>
        </is>
      </c>
      <c r="AM244" s="333" t="n">
        <v>663.9299999999999</v>
      </c>
      <c r="AN244" t="inlineStr">
        <is>
          <t>https://tinyurl.com/yayaeczd</t>
        </is>
      </c>
      <c r="AO244" t="inlineStr">
        <is>
          <t>Black Crows Navis Freebird Skis</t>
        </is>
      </c>
      <c r="AP244" t="inlineStr">
        <is>
          <t>Cole Sport</t>
        </is>
      </c>
      <c r="AQ244" s="333" t="n">
        <v>663.96</v>
      </c>
      <c r="AR244" t="inlineStr">
        <is>
          <t>https://tinyurl.com/ybuttjz6</t>
        </is>
      </c>
      <c r="AS244" s="314">
        <f>IF(LEFT(C244,1)=" ",RIGHT(C244,LEN(C244)-1),C244)</f>
        <v/>
      </c>
      <c r="AT244" s="281">
        <f>_xlfn.CONCAT(B244,AS244,D244,E244)</f>
        <v/>
      </c>
    </row>
    <row r="245">
      <c r="A245" t="inlineStr">
        <is>
          <t>21/22</t>
        </is>
      </c>
      <c r="B245" t="inlineStr">
        <is>
          <t xml:space="preserve"> Fischer</t>
        </is>
      </c>
      <c r="C245" t="inlineStr">
        <is>
          <t>Ranger 115 FR Big Stix</t>
        </is>
      </c>
      <c r="D245" t="n">
        <v>172</v>
      </c>
      <c r="E245" t="inlineStr">
        <is>
          <t xml:space="preserve"> Unisex</t>
        </is>
      </c>
      <c r="F245" t="n">
        <v>172</v>
      </c>
      <c r="G245" t="n">
        <v>171.2</v>
      </c>
      <c r="H245" t="n">
        <v>117</v>
      </c>
      <c r="I245" t="n">
        <v>140</v>
      </c>
      <c r="J245" t="n">
        <v>138</v>
      </c>
      <c r="K245" t="n">
        <v>109</v>
      </c>
      <c r="L245" t="n">
        <v>128</v>
      </c>
      <c r="M245" t="n">
        <v>17.3</v>
      </c>
      <c r="N245" t="n">
        <v>1827</v>
      </c>
      <c r="O245" t="n">
        <v>1.11</v>
      </c>
      <c r="P245" t="n">
        <v>2027</v>
      </c>
      <c r="Q245" t="n">
        <v>186</v>
      </c>
      <c r="R245" t="n">
        <v>91</v>
      </c>
      <c r="S245" t="n">
        <v>51</v>
      </c>
      <c r="T245" t="n">
        <v>340</v>
      </c>
      <c r="U245" t="n">
        <v>30</v>
      </c>
      <c r="V245" t="n">
        <v>205</v>
      </c>
      <c r="W245" t="n">
        <v>0.587</v>
      </c>
      <c r="X245" t="n">
        <v>159</v>
      </c>
      <c r="Y245" t="n">
        <v>152</v>
      </c>
      <c r="Z245" t="n">
        <v>180</v>
      </c>
      <c r="AA245" t="n">
        <v>7</v>
      </c>
      <c r="AB245" t="n">
        <v>9.6</v>
      </c>
      <c r="AC245" t="inlineStr">
        <is>
          <t xml:space="preserve"> Powder</t>
        </is>
      </c>
      <c r="AD245" t="inlineStr">
        <is>
          <t xml:space="preserve"> Touring</t>
        </is>
      </c>
      <c r="AG245" t="inlineStr">
        <is>
          <t>Fischer Ranger 90 FR Skis Â· 2022 Â· 172 cm</t>
        </is>
      </c>
      <c r="AH245" t="inlineStr">
        <is>
          <t>! OutdoorXL.com</t>
        </is>
      </c>
      <c r="AI245" s="333" t="n">
        <v>244.95</v>
      </c>
      <c r="AJ245" t="inlineStr">
        <is>
          <t>https://tinyurl.com/y8z7jvut</t>
        </is>
      </c>
      <c r="AK245" t="inlineStr">
        <is>
          <t>Fischer My Ranger 89 Skis - Women's 2018</t>
        </is>
      </c>
      <c r="AL245" t="inlineStr">
        <is>
          <t>Level Nine Sports</t>
        </is>
      </c>
      <c r="AM245" s="333" t="n">
        <v>299</v>
      </c>
      <c r="AN245" t="inlineStr">
        <is>
          <t>https://tinyurl.com/y9733bpk</t>
        </is>
      </c>
      <c r="AO245" t="inlineStr">
        <is>
          <t>Fischer My Ranger 89 Skis - Women's 2018</t>
        </is>
      </c>
      <c r="AP245" t="inlineStr">
        <is>
          <t>eBay - bikewagon</t>
        </is>
      </c>
      <c r="AQ245" s="333" t="n">
        <v>324.97</v>
      </c>
      <c r="AR245" t="inlineStr">
        <is>
          <t>https://tinyurl.com/ya6m9xgf</t>
        </is>
      </c>
      <c r="AS245" s="314">
        <f>IF(LEFT(C245,1)=" ",RIGHT(C245,LEN(C245)-1),C245)</f>
        <v/>
      </c>
      <c r="AT245" s="281">
        <f>_xlfn.CONCAT(B245,AS245,D245,E245)</f>
        <v/>
      </c>
    </row>
    <row r="246">
      <c r="A246" t="inlineStr">
        <is>
          <t>21/22</t>
        </is>
      </c>
      <c r="B246" t="inlineStr">
        <is>
          <t xml:space="preserve"> Faction</t>
        </is>
      </c>
      <c r="C246" t="inlineStr">
        <is>
          <t>CT 2.0</t>
        </is>
      </c>
      <c r="D246" t="n">
        <v>173</v>
      </c>
      <c r="E246" t="inlineStr">
        <is>
          <t xml:space="preserve"> Unisex</t>
        </is>
      </c>
      <c r="F246" t="n">
        <v>173</v>
      </c>
      <c r="G246" t="n">
        <v>171.1</v>
      </c>
      <c r="H246" t="n">
        <v>112</v>
      </c>
      <c r="I246" t="n">
        <v>145</v>
      </c>
      <c r="J246" t="n">
        <v>131</v>
      </c>
      <c r="K246" t="n">
        <v>102</v>
      </c>
      <c r="L246" t="n">
        <v>127</v>
      </c>
      <c r="M246" t="n">
        <v>18.1</v>
      </c>
      <c r="N246" t="n">
        <v>1782</v>
      </c>
      <c r="O246" t="n">
        <v>1.07</v>
      </c>
      <c r="P246" t="n">
        <v>1913</v>
      </c>
      <c r="Q246" t="n">
        <v>213</v>
      </c>
      <c r="R246" t="n">
        <v>96</v>
      </c>
      <c r="S246" t="n">
        <v>57</v>
      </c>
      <c r="T246" t="n">
        <v>316</v>
      </c>
      <c r="U246" t="n">
        <v>51</v>
      </c>
      <c r="V246" t="n">
        <v>278</v>
      </c>
      <c r="W246" t="n">
        <v>0.887</v>
      </c>
      <c r="X246" t="n">
        <v>136</v>
      </c>
      <c r="Y246" t="n">
        <v>123</v>
      </c>
      <c r="Z246" t="n">
        <v>179</v>
      </c>
      <c r="AA246" t="n">
        <v>5</v>
      </c>
      <c r="AB246" t="n">
        <v>4</v>
      </c>
      <c r="AC246" t="inlineStr">
        <is>
          <t xml:space="preserve"> Freeski</t>
        </is>
      </c>
      <c r="AD246" t="inlineStr">
        <is>
          <t xml:space="preserve"> Powder</t>
        </is>
      </c>
      <c r="AE246" t="inlineStr">
        <is>
          <t xml:space="preserve"> Touring</t>
        </is>
      </c>
      <c r="AG246" t="inlineStr">
        <is>
          <t>Faction Ct Candide 2.0 x Skis</t>
        </is>
      </c>
      <c r="AH246" t="inlineStr">
        <is>
          <t>REI</t>
        </is>
      </c>
      <c r="AI246" s="333" t="n">
        <v>488.93</v>
      </c>
      <c r="AJ246" t="inlineStr">
        <is>
          <t>https://tinyurl.com/ybe9n44d</t>
        </is>
      </c>
      <c r="AK246" t="inlineStr">
        <is>
          <t>Faction Ct 2.0 Skis</t>
        </is>
      </c>
      <c r="AL246" t="inlineStr">
        <is>
          <t>Backcountry.com</t>
        </is>
      </c>
      <c r="AM246" s="333" t="n">
        <v>489.27</v>
      </c>
      <c r="AN246" t="inlineStr">
        <is>
          <t>https://tinyurl.com/ycwob75j</t>
        </is>
      </c>
      <c r="AO246" t="inlineStr">
        <is>
          <t>Faction Candide 2.0 Skis</t>
        </is>
      </c>
      <c r="AP246" t="inlineStr">
        <is>
          <t>Powder7 Ski Shop</t>
        </is>
      </c>
      <c r="AQ246" s="333" t="n">
        <v>619.9299999999999</v>
      </c>
      <c r="AR246" t="inlineStr">
        <is>
          <t>https://tinyurl.com/ycx55zeo</t>
        </is>
      </c>
      <c r="AS246" s="314">
        <f>IF(LEFT(C246,1)=" ",RIGHT(C246,LEN(C246)-1),C246)</f>
        <v/>
      </c>
      <c r="AT246" s="281">
        <f>_xlfn.CONCAT(B246,AS246,D246,E246)</f>
        <v/>
      </c>
    </row>
    <row r="247">
      <c r="A247" t="inlineStr">
        <is>
          <t>21/22</t>
        </is>
      </c>
      <c r="B247" t="inlineStr">
        <is>
          <t xml:space="preserve"> Black Crows</t>
        </is>
      </c>
      <c r="C247" t="inlineStr">
        <is>
          <t xml:space="preserve"> Serpo</t>
        </is>
      </c>
      <c r="D247" t="n">
        <v>174.1</v>
      </c>
      <c r="E247" t="inlineStr">
        <is>
          <t xml:space="preserve"> Unisex</t>
        </is>
      </c>
      <c r="F247" t="n">
        <v>174.1</v>
      </c>
      <c r="G247" t="n">
        <v>173.5</v>
      </c>
      <c r="H247" t="n">
        <v>117</v>
      </c>
      <c r="I247" t="n">
        <v>153</v>
      </c>
      <c r="J247" t="n">
        <v>129</v>
      </c>
      <c r="K247" t="n">
        <v>92</v>
      </c>
      <c r="L247" t="n">
        <v>112</v>
      </c>
      <c r="M247" t="n">
        <v>19.8</v>
      </c>
      <c r="N247" t="n">
        <v>1752</v>
      </c>
      <c r="O247" t="n">
        <v>1.02</v>
      </c>
      <c r="P247" t="n">
        <v>1784</v>
      </c>
      <c r="Q247" t="n">
        <v>185</v>
      </c>
      <c r="R247" t="n">
        <v>80</v>
      </c>
      <c r="S247" t="n">
        <v>42</v>
      </c>
      <c r="T247" t="n">
        <v>292</v>
      </c>
      <c r="U247" t="n">
        <v>14</v>
      </c>
      <c r="V247" t="n">
        <v>276</v>
      </c>
      <c r="W247" t="n">
        <v>0.324</v>
      </c>
      <c r="X247" t="n">
        <v>107</v>
      </c>
      <c r="Y247" t="n">
        <v>95</v>
      </c>
      <c r="Z247" t="n">
        <v>185</v>
      </c>
      <c r="AA247" t="n">
        <v>3</v>
      </c>
      <c r="AB247" t="n">
        <v>8.5</v>
      </c>
      <c r="AC247" t="inlineStr">
        <is>
          <t xml:space="preserve"> Resort Freeride</t>
        </is>
      </c>
      <c r="AG247" t="inlineStr">
        <is>
          <t>Black Crows Serpo Skis 2022</t>
        </is>
      </c>
      <c r="AH247" t="inlineStr">
        <is>
          <t>Basin Sports</t>
        </is>
      </c>
      <c r="AI247" s="333" t="n">
        <v>669.95</v>
      </c>
      <c r="AJ247" t="inlineStr">
        <is>
          <t>https://tinyurl.com/yb3jxs89</t>
        </is>
      </c>
      <c r="AK247" t="inlineStr">
        <is>
          <t>Black Crows Serpo Skis 2022</t>
        </is>
      </c>
      <c r="AL247" t="inlineStr">
        <is>
          <t>Teton Wasatch Ski Co.</t>
        </is>
      </c>
      <c r="AM247" s="333" t="n">
        <v>671</v>
      </c>
      <c r="AN247" t="inlineStr">
        <is>
          <t>https://tinyurl.com/yahnzduv</t>
        </is>
      </c>
      <c r="AO247" t="inlineStr">
        <is>
          <t>Black Crows Serpo Skis 2022</t>
        </is>
      </c>
      <c r="AP247" t="inlineStr">
        <is>
          <t>Saint Bernard</t>
        </is>
      </c>
      <c r="AQ247" s="333" t="n">
        <v>671.9</v>
      </c>
      <c r="AR247" t="inlineStr">
        <is>
          <t>https://tinyurl.com/y8uzaujr</t>
        </is>
      </c>
      <c r="AS247" s="314">
        <f>IF(LEFT(C247,1)=" ",RIGHT(C247,LEN(C247)-1),C247)</f>
        <v/>
      </c>
      <c r="AT247" s="281">
        <f>_xlfn.CONCAT(B247,AS247,D247,E247)</f>
        <v/>
      </c>
    </row>
    <row r="248">
      <c r="A248" t="inlineStr">
        <is>
          <t>21/22</t>
        </is>
      </c>
      <c r="B248" t="inlineStr">
        <is>
          <t xml:space="preserve"> Vï¿½lkl</t>
        </is>
      </c>
      <c r="C248" t="inlineStr">
        <is>
          <t>Blaze 106</t>
        </is>
      </c>
      <c r="D248" t="n">
        <v>179</v>
      </c>
      <c r="E248" t="inlineStr">
        <is>
          <t xml:space="preserve"> Unisex</t>
        </is>
      </c>
      <c r="F248" t="n">
        <v>179</v>
      </c>
      <c r="G248" t="n">
        <v>179.4</v>
      </c>
      <c r="H248" t="n">
        <v>111</v>
      </c>
      <c r="I248" t="n">
        <v>155</v>
      </c>
      <c r="J248" t="n">
        <v>145</v>
      </c>
      <c r="K248" t="n">
        <v>105</v>
      </c>
      <c r="L248" t="n">
        <v>127</v>
      </c>
      <c r="M248" t="n">
        <v>18.7</v>
      </c>
      <c r="N248" t="n">
        <v>1763</v>
      </c>
      <c r="O248" t="n">
        <v>1.19</v>
      </c>
      <c r="P248" t="n">
        <v>2103</v>
      </c>
      <c r="Q248" t="n">
        <v>187</v>
      </c>
      <c r="R248" t="n">
        <v>95</v>
      </c>
      <c r="S248" t="n">
        <v>52</v>
      </c>
      <c r="T248" t="n">
        <v>434</v>
      </c>
      <c r="U248" t="n">
        <v>22</v>
      </c>
      <c r="V248" t="n">
        <v>248</v>
      </c>
      <c r="W248" t="n">
        <v>0.42</v>
      </c>
      <c r="X248" t="n">
        <v>145</v>
      </c>
      <c r="Y248" t="n">
        <v>97</v>
      </c>
      <c r="Z248" t="n">
        <v>290</v>
      </c>
      <c r="AA248" t="n">
        <v>2</v>
      </c>
      <c r="AB248" t="n">
        <v>13</v>
      </c>
      <c r="AC248" t="inlineStr">
        <is>
          <t xml:space="preserve"> Powder</t>
        </is>
      </c>
      <c r="AD248" t="inlineStr">
        <is>
          <t xml:space="preserve"> Touring</t>
        </is>
      </c>
      <c r="AG248" t="inlineStr">
        <is>
          <t>Volkl Blaze 106 Skis</t>
        </is>
      </c>
      <c r="AH248" t="inlineStr">
        <is>
          <t>Powder7 Ski Shop</t>
        </is>
      </c>
      <c r="AI248" s="333" t="n">
        <v>459.93</v>
      </c>
      <c r="AJ248" t="inlineStr">
        <is>
          <t>https://tinyurl.com/yaqlsup2</t>
        </is>
      </c>
      <c r="AK248" t="inlineStr">
        <is>
          <t>Volkl Blaze 106 Skis 2022</t>
        </is>
      </c>
      <c r="AL248" t="inlineStr">
        <is>
          <t>! OutdoorXL.com</t>
        </is>
      </c>
      <c r="AM248" s="333" t="n">
        <v>469.95</v>
      </c>
      <c r="AN248" t="inlineStr">
        <is>
          <t>https://tinyurl.com/y9sc4r8m</t>
        </is>
      </c>
      <c r="AO248" t="inlineStr">
        <is>
          <t>Volkl Blaze 106 Skis 2022</t>
        </is>
      </c>
      <c r="AP248" t="inlineStr">
        <is>
          <t>The-House.com</t>
        </is>
      </c>
      <c r="AQ248" s="333" t="n">
        <v>479.95</v>
      </c>
      <c r="AR248" t="inlineStr">
        <is>
          <t>https://tinyurl.com/yb87ssaz</t>
        </is>
      </c>
      <c r="AS248" s="314">
        <f>IF(LEFT(C248,1)=" ",RIGHT(C248,LEN(C248)-1),C248)</f>
        <v/>
      </c>
      <c r="AT248" s="281">
        <f>_xlfn.CONCAT(B248,AS248,D248,E248)</f>
        <v/>
      </c>
    </row>
    <row r="249">
      <c r="A249" t="inlineStr">
        <is>
          <t>21/22</t>
        </is>
      </c>
      <c r="B249" t="inlineStr">
        <is>
          <t xml:space="preserve"> Line</t>
        </is>
      </c>
      <c r="C249" t="inlineStr">
        <is>
          <t>Sick Day 104</t>
        </is>
      </c>
      <c r="D249" t="n">
        <v>172</v>
      </c>
      <c r="E249" t="inlineStr">
        <is>
          <t xml:space="preserve"> Unisex</t>
        </is>
      </c>
      <c r="F249" t="n">
        <v>172</v>
      </c>
      <c r="G249" t="n">
        <v>171.8</v>
      </c>
      <c r="H249" t="n">
        <v>113</v>
      </c>
      <c r="I249" t="n">
        <v>133</v>
      </c>
      <c r="J249" t="n">
        <v>136</v>
      </c>
      <c r="K249" t="n">
        <v>103</v>
      </c>
      <c r="L249" t="n">
        <v>120</v>
      </c>
      <c r="M249" t="n">
        <v>16.5</v>
      </c>
      <c r="N249" t="n">
        <v>1625</v>
      </c>
      <c r="O249" t="n">
        <v>1.2</v>
      </c>
      <c r="P249" t="n">
        <v>1949</v>
      </c>
      <c r="Q249" t="n">
        <v>158</v>
      </c>
      <c r="R249" t="n">
        <v>92</v>
      </c>
      <c r="S249" t="n">
        <v>50</v>
      </c>
      <c r="T249" t="n">
        <v>365</v>
      </c>
      <c r="U249" t="n">
        <v>20</v>
      </c>
      <c r="V249" t="n">
        <v>220</v>
      </c>
      <c r="W249" t="n">
        <v>0.402</v>
      </c>
      <c r="X249" t="n">
        <v>189</v>
      </c>
      <c r="Y249" t="n">
        <v>198</v>
      </c>
      <c r="Z249" t="n">
        <v>176</v>
      </c>
      <c r="AA249" t="n">
        <v>6</v>
      </c>
      <c r="AB249" t="n">
        <v>10.2</v>
      </c>
      <c r="AC249" t="inlineStr">
        <is>
          <t xml:space="preserve"> Resort Freeride</t>
        </is>
      </c>
      <c r="AD249" t="inlineStr">
        <is>
          <t xml:space="preserve"> Powder</t>
        </is>
      </c>
      <c r="AE249" t="inlineStr">
        <is>
          <t xml:space="preserve"> Touring</t>
        </is>
      </c>
      <c r="AG249" t="inlineStr">
        <is>
          <t>Line Sick Day 104 Skis 2022</t>
        </is>
      </c>
      <c r="AH249" t="inlineStr">
        <is>
          <t>Teton Wasatch Ski Co.</t>
        </is>
      </c>
      <c r="AI249" s="333" t="n">
        <v>479</v>
      </c>
      <c r="AJ249" t="inlineStr">
        <is>
          <t>https://tinyurl.com/y9okbt3e</t>
        </is>
      </c>
      <c r="AK249" t="inlineStr">
        <is>
          <t>'22 Line Sick Day 104 Skis 172cm</t>
        </is>
      </c>
      <c r="AL249" t="inlineStr">
        <is>
          <t>Al's Ski Equipment Barn</t>
        </is>
      </c>
      <c r="AM249" s="333" t="n">
        <v>529.95</v>
      </c>
      <c r="AN249" t="inlineStr">
        <is>
          <t>https://tinyurl.com/y7axnuv9</t>
        </is>
      </c>
      <c r="AO249" t="inlineStr">
        <is>
          <t>Line Skis Sick Day 104 Mens Skis 2022 172cm</t>
        </is>
      </c>
      <c r="AP249" t="inlineStr">
        <is>
          <t>eBay</t>
        </is>
      </c>
      <c r="AQ249" s="333" t="n">
        <v>539.95</v>
      </c>
      <c r="AR249" t="inlineStr">
        <is>
          <t>https://tinyurl.com/y8noom54</t>
        </is>
      </c>
      <c r="AS249" s="314">
        <f>IF(LEFT(C249,1)=" ",RIGHT(C249,LEN(C249)-1),C249)</f>
        <v/>
      </c>
      <c r="AT249" s="281">
        <f>_xlfn.CONCAT(B249,AS249,D249,E249)</f>
        <v/>
      </c>
    </row>
    <row r="250">
      <c r="A250" t="inlineStr">
        <is>
          <t>21/22</t>
        </is>
      </c>
      <c r="B250" t="inlineStr">
        <is>
          <t xml:space="preserve"> Blizzard</t>
        </is>
      </c>
      <c r="C250" t="inlineStr">
        <is>
          <t>Rustler 9</t>
        </is>
      </c>
      <c r="D250" t="n">
        <v>180</v>
      </c>
      <c r="E250" t="inlineStr">
        <is>
          <t xml:space="preserve"> Unisex</t>
        </is>
      </c>
      <c r="F250" t="n">
        <v>180</v>
      </c>
      <c r="G250" t="n">
        <v>178.6</v>
      </c>
      <c r="H250" t="n">
        <v>121</v>
      </c>
      <c r="I250" t="n">
        <v>150</v>
      </c>
      <c r="J250" t="n">
        <v>127</v>
      </c>
      <c r="K250" t="n">
        <v>93</v>
      </c>
      <c r="L250" t="n">
        <v>117</v>
      </c>
      <c r="M250" t="n">
        <v>17.3</v>
      </c>
      <c r="N250" t="n">
        <v>2073</v>
      </c>
      <c r="O250" t="n">
        <v>0.91</v>
      </c>
      <c r="P250" t="n">
        <v>1880</v>
      </c>
      <c r="Q250" t="n">
        <v>230</v>
      </c>
      <c r="R250" t="n">
        <v>114</v>
      </c>
      <c r="S250" t="n">
        <v>63</v>
      </c>
      <c r="T250" t="n">
        <v>335</v>
      </c>
      <c r="U250" t="n">
        <v>27</v>
      </c>
      <c r="V250" t="n">
        <v>242</v>
      </c>
      <c r="W250" t="n">
        <v>0.427</v>
      </c>
      <c r="X250" t="n">
        <v>148</v>
      </c>
      <c r="Y250" t="n">
        <v>140</v>
      </c>
      <c r="Z250" t="n">
        <v>187</v>
      </c>
      <c r="AA250" t="n">
        <v>3</v>
      </c>
      <c r="AB250" t="n">
        <v>7.9</v>
      </c>
      <c r="AC250" t="inlineStr">
        <is>
          <t xml:space="preserve"> Resort Freeride</t>
        </is>
      </c>
      <c r="AG250" t="inlineStr">
        <is>
          <t>Blizzard Rustler 9 2022 Rust (Size: 180) | By Alpine Shop Vermont</t>
        </is>
      </c>
      <c r="AH250" t="inlineStr">
        <is>
          <t>AlpineShopVT.com</t>
        </is>
      </c>
      <c r="AI250" s="333" t="n">
        <v>479.95</v>
      </c>
      <c r="AJ250" t="inlineStr">
        <is>
          <t>https://tinyurl.com/ydx7ua5d</t>
        </is>
      </c>
      <c r="AK250" t="inlineStr">
        <is>
          <t>Blizzard Rustler 9 Skis - Winter 2021/2022 180</t>
        </is>
      </c>
      <c r="AL250" t="inlineStr">
        <is>
          <t>Equipe Sport</t>
        </is>
      </c>
      <c r="AM250" s="333" t="n">
        <v>479.95</v>
      </c>
      <c r="AN250" t="inlineStr">
        <is>
          <t>https://tinyurl.com/yc97mlv8</t>
        </is>
      </c>
      <c r="AO250" t="inlineStr">
        <is>
          <t>Blizzard Rustler 9 Skis</t>
        </is>
      </c>
      <c r="AP250" t="inlineStr">
        <is>
          <t>Ski Pro  - Snow Ski &amp; Snowboard</t>
        </is>
      </c>
      <c r="AQ250" s="333" t="n">
        <v>479.95</v>
      </c>
      <c r="AR250" t="inlineStr">
        <is>
          <t>https://tinyurl.com/y99dqzjg</t>
        </is>
      </c>
      <c r="AS250" s="314">
        <f>IF(LEFT(C250,1)=" ",RIGHT(C250,LEN(C250)-1),C250)</f>
        <v/>
      </c>
      <c r="AT250" s="281">
        <f>_xlfn.CONCAT(B250,AS250,D250,E250)</f>
        <v/>
      </c>
    </row>
    <row r="251">
      <c r="A251" t="inlineStr">
        <is>
          <t>21/22</t>
        </is>
      </c>
      <c r="B251" t="inlineStr">
        <is>
          <t xml:space="preserve"> Nordica</t>
        </is>
      </c>
      <c r="C251" t="inlineStr">
        <is>
          <t>Soul Rider 97</t>
        </is>
      </c>
      <c r="D251" t="n">
        <v>177</v>
      </c>
      <c r="E251" t="inlineStr">
        <is>
          <t xml:space="preserve"> Unisex</t>
        </is>
      </c>
      <c r="F251" t="n">
        <v>177</v>
      </c>
      <c r="G251" t="n">
        <v>175.3</v>
      </c>
      <c r="H251" t="n">
        <v>140</v>
      </c>
      <c r="I251" t="n">
        <v>152</v>
      </c>
      <c r="J251" t="n">
        <v>133</v>
      </c>
      <c r="K251" t="n">
        <v>96</v>
      </c>
      <c r="L251" t="n">
        <v>123</v>
      </c>
      <c r="M251" t="n">
        <v>16.9</v>
      </c>
      <c r="N251" t="n">
        <v>1992</v>
      </c>
      <c r="O251" t="n">
        <v>0.95</v>
      </c>
      <c r="P251" t="n">
        <v>1896</v>
      </c>
      <c r="Q251" t="n">
        <v>184</v>
      </c>
      <c r="R251" t="n">
        <v>91</v>
      </c>
      <c r="S251" t="n">
        <v>48</v>
      </c>
      <c r="T251" t="n">
        <v>177</v>
      </c>
      <c r="U251" t="n">
        <v>44</v>
      </c>
      <c r="V251" t="n">
        <v>175</v>
      </c>
      <c r="W251" t="n">
        <v>0.922</v>
      </c>
      <c r="X251" t="n">
        <v>103</v>
      </c>
      <c r="Y251" t="n">
        <v>128</v>
      </c>
      <c r="Z251" t="n">
        <v>74</v>
      </c>
      <c r="AA251" t="n">
        <v>11</v>
      </c>
      <c r="AB251" t="n">
        <v>6</v>
      </c>
      <c r="AC251" t="inlineStr">
        <is>
          <t xml:space="preserve"> Freeski</t>
        </is>
      </c>
      <c r="AG251" t="inlineStr">
        <is>
          <t>Nordica Soul Rider 97 Skis 177cm 2022</t>
        </is>
      </c>
      <c r="AH251" t="inlineStr">
        <is>
          <t>Ski Pro  - Snow Ski &amp; Snowboard</t>
        </is>
      </c>
      <c r="AI251" s="333" t="n">
        <v>479.95</v>
      </c>
      <c r="AJ251" t="inlineStr">
        <is>
          <t>https://tinyurl.com/yazyrelj</t>
        </is>
      </c>
      <c r="AK251" t="inlineStr">
        <is>
          <t>Nordica Soul Rider 97 Skis 177cm 2022</t>
        </is>
      </c>
      <c r="AL251" t="inlineStr">
        <is>
          <t>Alpine Options</t>
        </is>
      </c>
      <c r="AM251" s="333" t="n">
        <v>479.99</v>
      </c>
      <c r="AN251" t="inlineStr">
        <is>
          <t>https://tinyurl.com/y7mog92u</t>
        </is>
      </c>
      <c r="AO251" t="inlineStr">
        <is>
          <t>Nordica Soul Rider 97 Skis 177cm 2022</t>
        </is>
      </c>
      <c r="AP251" t="inlineStr">
        <is>
          <t>AlpineShopVT.com</t>
        </is>
      </c>
      <c r="AQ251" s="333" t="n">
        <v>479.99</v>
      </c>
      <c r="AR251" t="inlineStr">
        <is>
          <t>https://tinyurl.com/y99odn4s</t>
        </is>
      </c>
      <c r="AS251" s="314">
        <f>IF(LEFT(C251,1)=" ",RIGHT(C251,LEN(C251)-1),C251)</f>
        <v/>
      </c>
      <c r="AT251" s="281">
        <f>_xlfn.CONCAT(B251,AS251,D251,E251)</f>
        <v/>
      </c>
    </row>
    <row r="252">
      <c r="A252" t="inlineStr">
        <is>
          <t>21/22</t>
        </is>
      </c>
      <c r="B252" t="inlineStr">
        <is>
          <t xml:space="preserve"> Fischer</t>
        </is>
      </c>
      <c r="C252" t="inlineStr">
        <is>
          <t>Ranger 94 FR</t>
        </is>
      </c>
      <c r="D252" t="n">
        <v>177</v>
      </c>
      <c r="E252" t="inlineStr">
        <is>
          <t xml:space="preserve"> Unisex</t>
        </is>
      </c>
      <c r="F252" t="n">
        <v>177</v>
      </c>
      <c r="G252" t="n">
        <v>176</v>
      </c>
      <c r="H252" t="n">
        <v>113</v>
      </c>
      <c r="I252" t="n">
        <v>148</v>
      </c>
      <c r="J252" t="n">
        <v>125</v>
      </c>
      <c r="K252" t="n">
        <v>91</v>
      </c>
      <c r="L252" t="n">
        <v>116</v>
      </c>
      <c r="M252" t="n">
        <v>15</v>
      </c>
      <c r="N252" t="n">
        <v>1867</v>
      </c>
      <c r="O252" t="n">
        <v>0.98</v>
      </c>
      <c r="P252" t="n">
        <v>1837</v>
      </c>
      <c r="Q252" t="n">
        <v>221</v>
      </c>
      <c r="R252" t="n">
        <v>114</v>
      </c>
      <c r="S252" t="n">
        <v>56</v>
      </c>
      <c r="T252" t="n">
        <v>387</v>
      </c>
      <c r="U252" t="n">
        <v>34</v>
      </c>
      <c r="V252" t="n">
        <v>241</v>
      </c>
      <c r="W252" t="n">
        <v>0.607</v>
      </c>
      <c r="X252" t="n">
        <v>146</v>
      </c>
      <c r="Y252" t="n">
        <v>139</v>
      </c>
      <c r="Z252" t="n">
        <v>241</v>
      </c>
      <c r="AA252" t="n">
        <v>5</v>
      </c>
      <c r="AB252" t="n">
        <v>8.9</v>
      </c>
      <c r="AC252" t="inlineStr">
        <is>
          <t xml:space="preserve"> Resort Freeride</t>
        </is>
      </c>
      <c r="AG252" t="inlineStr">
        <is>
          <t>Fischer Ranger 94 FR Women's Skis 2021 177cm</t>
        </is>
      </c>
      <c r="AH252" t="inlineStr">
        <is>
          <t>Powder7 Ski Shop</t>
        </is>
      </c>
      <c r="AI252" s="333" t="n">
        <v>419.99</v>
      </c>
      <c r="AJ252" t="inlineStr">
        <is>
          <t>https://tinyurl.com/ybjpobos</t>
        </is>
      </c>
      <c r="AK252" t="inlineStr">
        <is>
          <t>Fischer Ranger 102 FR 177cm</t>
        </is>
      </c>
      <c r="AL252" t="inlineStr">
        <is>
          <t>Sundance Ski and Board Shop</t>
        </is>
      </c>
      <c r="AM252" s="333" t="n">
        <v>521.29</v>
      </c>
      <c r="AN252" t="inlineStr">
        <is>
          <t>https://tinyurl.com/y97owhyk</t>
        </is>
      </c>
      <c r="AO252" t="inlineStr">
        <is>
          <t>Ranger 94 Fr 177</t>
        </is>
      </c>
      <c r="AP252" t="inlineStr">
        <is>
          <t>Pro Ski and Mountain Service</t>
        </is>
      </c>
      <c r="AQ252" s="333" t="n">
        <v>699.99</v>
      </c>
      <c r="AR252" t="inlineStr">
        <is>
          <t>https://tinyurl.com/y8xf5hwy</t>
        </is>
      </c>
      <c r="AS252" s="314">
        <f>IF(LEFT(C252,1)=" ",RIGHT(C252,LEN(C252)-1),C252)</f>
        <v/>
      </c>
      <c r="AT252" s="281">
        <f>_xlfn.CONCAT(B252,AS252,D252,E252)</f>
        <v/>
      </c>
    </row>
    <row r="253">
      <c r="A253" t="inlineStr">
        <is>
          <t>21/22</t>
        </is>
      </c>
      <c r="B253" t="inlineStr">
        <is>
          <t xml:space="preserve"> Vï¿½lkl</t>
        </is>
      </c>
      <c r="C253" t="inlineStr">
        <is>
          <t>Secret 96</t>
        </is>
      </c>
      <c r="D253" t="n">
        <v>156</v>
      </c>
      <c r="E253" t="inlineStr">
        <is>
          <t xml:space="preserve"> Women's</t>
        </is>
      </c>
      <c r="F253" t="n">
        <v>156</v>
      </c>
      <c r="G253" t="n">
        <v>155.8</v>
      </c>
      <c r="H253" t="n">
        <v>112</v>
      </c>
      <c r="I253" t="n">
        <v>133</v>
      </c>
      <c r="J253" t="n">
        <v>135</v>
      </c>
      <c r="K253" t="n">
        <v>95</v>
      </c>
      <c r="L253" t="n">
        <v>118</v>
      </c>
      <c r="M253" t="n">
        <v>13.2</v>
      </c>
      <c r="N253" t="n">
        <v>1700</v>
      </c>
      <c r="O253" t="n">
        <v>0.99</v>
      </c>
      <c r="P253" t="n">
        <v>1679</v>
      </c>
      <c r="Q253" t="n">
        <v>173</v>
      </c>
      <c r="R253" t="n">
        <v>120</v>
      </c>
      <c r="S253" t="n">
        <v>44</v>
      </c>
      <c r="T253" t="n">
        <v>257</v>
      </c>
      <c r="U253" t="n">
        <v>16</v>
      </c>
      <c r="V253" t="n">
        <v>177</v>
      </c>
      <c r="W253" t="n">
        <v>0.357</v>
      </c>
      <c r="X253" t="n">
        <v>125</v>
      </c>
      <c r="Y253" t="n">
        <v>101</v>
      </c>
      <c r="Z253" t="n">
        <v>132</v>
      </c>
      <c r="AA253" t="n">
        <v>3</v>
      </c>
      <c r="AB253" t="n">
        <v>11.8</v>
      </c>
      <c r="AC253" t="inlineStr">
        <is>
          <t xml:space="preserve"> Resort Freeride</t>
        </is>
      </c>
      <c r="AG253" t="inlineStr">
        <is>
          <t>18/19 VÃ¶lkl Secret 156cm,  Demo Ski, Squire 11 Bindings, Phantom</t>
        </is>
      </c>
      <c r="AH253" t="inlineStr">
        <is>
          <t>eBay</t>
        </is>
      </c>
      <c r="AI253" s="333" t="n">
        <v>399</v>
      </c>
      <c r="AJ253" t="inlineStr">
        <is>
          <t>https://tinyurl.com/ya89wjez</t>
        </is>
      </c>
      <c r="AK253" t="inlineStr">
        <is>
          <t>Volkl Ladies Secret 96 Flat Ski 2021-2022 | MINT/BLK / 156</t>
        </is>
      </c>
      <c r="AL253" t="inlineStr">
        <is>
          <t>Ski Pro  - Snow Ski &amp; Snowboard</t>
        </is>
      </c>
      <c r="AM253" s="333" t="n">
        <v>559.95</v>
      </c>
      <c r="AN253" t="inlineStr">
        <is>
          <t>https://tinyurl.com/ydz9sd2r</t>
        </is>
      </c>
      <c r="AO253" t="inlineStr">
        <is>
          <t>Volkl Secret 96 Flat Women's Ski Winter 2021/2022 156</t>
        </is>
      </c>
      <c r="AP253" t="inlineStr">
        <is>
          <t>Equipe Sport</t>
        </is>
      </c>
      <c r="AQ253" s="333" t="n">
        <v>559.95</v>
      </c>
      <c r="AR253" t="inlineStr">
        <is>
          <t>https://tinyurl.com/y77347b7</t>
        </is>
      </c>
      <c r="AS253" s="314">
        <f>IF(LEFT(C253,1)=" ",RIGHT(C253,LEN(C253)-1),C253)</f>
        <v/>
      </c>
      <c r="AT253" s="281">
        <f>_xlfn.CONCAT(B253,AS253,D253,E253)</f>
        <v/>
      </c>
    </row>
    <row r="254">
      <c r="A254" t="inlineStr">
        <is>
          <t>21/22</t>
        </is>
      </c>
      <c r="B254" t="inlineStr">
        <is>
          <t xml:space="preserve"> Line</t>
        </is>
      </c>
      <c r="C254" t="inlineStr">
        <is>
          <t xml:space="preserve"> Sakana</t>
        </is>
      </c>
      <c r="D254" t="n">
        <v>174</v>
      </c>
      <c r="E254" t="inlineStr">
        <is>
          <t xml:space="preserve"> Unisex</t>
        </is>
      </c>
      <c r="F254" t="n">
        <v>174</v>
      </c>
      <c r="G254" t="n">
        <v>174</v>
      </c>
      <c r="H254" t="n">
        <v>137</v>
      </c>
      <c r="I254" t="n">
        <v>142</v>
      </c>
      <c r="J254" t="n">
        <v>149</v>
      </c>
      <c r="K254" t="n">
        <v>104</v>
      </c>
      <c r="L254" t="n">
        <v>128</v>
      </c>
      <c r="M254" t="n">
        <v>14.4</v>
      </c>
      <c r="N254" t="n">
        <v>1720</v>
      </c>
      <c r="O254" t="n">
        <v>1.17</v>
      </c>
      <c r="P254" t="n">
        <v>2017</v>
      </c>
      <c r="Q254" t="n">
        <v>145</v>
      </c>
      <c r="R254" t="n">
        <v>84</v>
      </c>
      <c r="S254" t="n">
        <v>48</v>
      </c>
      <c r="T254" t="n">
        <v>368</v>
      </c>
      <c r="U254" t="n">
        <v>0</v>
      </c>
      <c r="V254" t="n">
        <v>0</v>
      </c>
      <c r="W254" t="n">
        <v>0.001</v>
      </c>
      <c r="X254" t="n">
        <v>169</v>
      </c>
      <c r="Y254" t="n">
        <v>148</v>
      </c>
      <c r="Z254" t="n">
        <v>200</v>
      </c>
      <c r="AA254" t="n">
        <v>6</v>
      </c>
      <c r="AB254" t="n">
        <v>10.7</v>
      </c>
      <c r="AC254" t="inlineStr">
        <is>
          <t xml:space="preserve"> Resort Freeride</t>
        </is>
      </c>
      <c r="AD254" t="inlineStr">
        <is>
          <t xml:space="preserve"> Big Mountain</t>
        </is>
      </c>
      <c r="AE254" t="inlineStr">
        <is>
          <t xml:space="preserve"> Touring</t>
        </is>
      </c>
      <c r="AG254" t="inlineStr">
        <is>
          <t>Line Skis Sakana</t>
        </is>
      </c>
      <c r="AH254" t="inlineStr">
        <is>
          <t>H2Osport.se</t>
        </is>
      </c>
      <c r="AI254" s="333" t="n">
        <v>412.86</v>
      </c>
      <c r="AJ254" t="inlineStr">
        <is>
          <t>https://tinyurl.com/ydhbxwdo</t>
        </is>
      </c>
      <c r="AK254" t="inlineStr">
        <is>
          <t>Line SAKANA Skis 2022</t>
        </is>
      </c>
      <c r="AL254" t="inlineStr">
        <is>
          <t>PRFO Sports</t>
        </is>
      </c>
      <c r="AM254" s="333" t="n">
        <v>513.27</v>
      </c>
      <c r="AN254" t="inlineStr">
        <is>
          <t>https://tinyurl.com/yc35sd4d</t>
        </is>
      </c>
      <c r="AO254" t="inlineStr">
        <is>
          <t>Line Skis Sakana</t>
        </is>
      </c>
      <c r="AP254" t="inlineStr">
        <is>
          <t>LINE Skis</t>
        </is>
      </c>
      <c r="AQ254" s="333" t="n">
        <v>749.95</v>
      </c>
      <c r="AR254" t="inlineStr">
        <is>
          <t>https://tinyurl.com/ycdfcqvy</t>
        </is>
      </c>
      <c r="AS254" s="314">
        <f>IF(LEFT(C254,1)=" ",RIGHT(C254,LEN(C254)-1),C254)</f>
        <v/>
      </c>
      <c r="AT254" s="281">
        <f>_xlfn.CONCAT(B254,AS254,D254,E254)</f>
        <v/>
      </c>
    </row>
    <row r="255">
      <c r="A255" t="inlineStr">
        <is>
          <t>21/22</t>
        </is>
      </c>
      <c r="B255" t="inlineStr">
        <is>
          <t xml:space="preserve"> Head</t>
        </is>
      </c>
      <c r="C255" t="inlineStr">
        <is>
          <t>Kore 85 W</t>
        </is>
      </c>
      <c r="D255" t="n">
        <v>163</v>
      </c>
      <c r="E255" t="inlineStr">
        <is>
          <t xml:space="preserve"> Women's</t>
        </is>
      </c>
      <c r="F255" t="n">
        <v>163</v>
      </c>
      <c r="G255" t="n">
        <v>162.6</v>
      </c>
      <c r="H255" t="n">
        <v>128</v>
      </c>
      <c r="I255" t="n">
        <v>135</v>
      </c>
      <c r="J255" t="n">
        <v>123</v>
      </c>
      <c r="K255" t="n">
        <v>82</v>
      </c>
      <c r="L255" t="n">
        <v>104</v>
      </c>
      <c r="M255" t="n">
        <v>13.7</v>
      </c>
      <c r="N255" t="n">
        <v>1444</v>
      </c>
      <c r="O255" t="n">
        <v>1.08</v>
      </c>
      <c r="P255" t="n">
        <v>1555</v>
      </c>
      <c r="Q255" t="n">
        <v>209</v>
      </c>
      <c r="R255" t="n">
        <v>96</v>
      </c>
      <c r="S255" t="n">
        <v>45</v>
      </c>
      <c r="T255" t="n">
        <v>210</v>
      </c>
      <c r="U255" t="n">
        <v>11</v>
      </c>
      <c r="V255" t="n">
        <v>135</v>
      </c>
      <c r="W255" t="n">
        <v>0.238</v>
      </c>
      <c r="X255" t="n">
        <v>140</v>
      </c>
      <c r="Y255" t="n">
        <v>132</v>
      </c>
      <c r="Z255" t="n">
        <v>70</v>
      </c>
      <c r="AA255" t="n">
        <v>6</v>
      </c>
      <c r="AB255" t="n">
        <v>8.699999999999999</v>
      </c>
      <c r="AC255" t="inlineStr">
        <is>
          <t xml:space="preserve"> On-Piste All-Mountain</t>
        </is>
      </c>
      <c r="AD255" t="inlineStr">
        <is>
          <t xml:space="preserve"> Resort Freeride</t>
        </is>
      </c>
      <c r="AE255" t="inlineStr">
        <is>
          <t xml:space="preserve"> Touring</t>
        </is>
      </c>
      <c r="AG255" t="inlineStr">
        <is>
          <t>Head Kore 85 W Skis</t>
        </is>
      </c>
      <c r="AH255" t="inlineStr">
        <is>
          <t>Cole Sport</t>
        </is>
      </c>
      <c r="AI255" s="333" t="n">
        <v>489</v>
      </c>
      <c r="AJ255" t="inlineStr">
        <is>
          <t>https://tinyurl.com/yc565p3m</t>
        </is>
      </c>
      <c r="AK255" t="inlineStr">
        <is>
          <t>Head Kore 85 W Skis 2022 163cm</t>
        </is>
      </c>
      <c r="AL255" t="inlineStr">
        <is>
          <t>The Startingate</t>
        </is>
      </c>
      <c r="AM255" s="333" t="n">
        <v>549</v>
      </c>
      <c r="AN255" t="inlineStr">
        <is>
          <t>https://tinyurl.com/y7lxxmtv</t>
        </is>
      </c>
      <c r="AO255" t="inlineStr">
        <is>
          <t>Head Kore 85 W Incl Attack 11 GW Binding Anthracite-Berry 163 Ski Lady's Ladies / Women</t>
        </is>
      </c>
      <c r="AP255" t="inlineStr">
        <is>
          <t>! OutdoorXL.com</t>
        </is>
      </c>
      <c r="AQ255" s="333" t="n">
        <v>609.95</v>
      </c>
      <c r="AR255" t="inlineStr">
        <is>
          <t>https://tinyurl.com/y8kghqwn</t>
        </is>
      </c>
      <c r="AS255" s="314">
        <f>IF(LEFT(C255,1)=" ",RIGHT(C255,LEN(C255)-1),C255)</f>
        <v/>
      </c>
      <c r="AT255" s="281">
        <f>_xlfn.CONCAT(B255,AS255,D255,E255)</f>
        <v/>
      </c>
    </row>
    <row r="256">
      <c r="A256" t="inlineStr">
        <is>
          <t>21/22</t>
        </is>
      </c>
      <c r="B256" t="inlineStr">
        <is>
          <t xml:space="preserve"> Ferreol</t>
        </is>
      </c>
      <c r="C256" t="inlineStr">
        <is>
          <t>Pionnier 104</t>
        </is>
      </c>
      <c r="D256" t="n">
        <v>164</v>
      </c>
      <c r="E256" t="inlineStr">
        <is>
          <t xml:space="preserve"> Unisex</t>
        </is>
      </c>
      <c r="F256" t="n">
        <v>164</v>
      </c>
      <c r="G256" t="n">
        <v>164.8</v>
      </c>
      <c r="H256" t="n">
        <v>110</v>
      </c>
      <c r="I256" t="n">
        <v>131</v>
      </c>
      <c r="J256" t="n">
        <v>132</v>
      </c>
      <c r="K256" t="n">
        <v>103</v>
      </c>
      <c r="L256" t="n">
        <v>124</v>
      </c>
      <c r="M256" t="n">
        <v>14.2</v>
      </c>
      <c r="N256" t="n">
        <v>1634</v>
      </c>
      <c r="O256" t="n">
        <v>1.15</v>
      </c>
      <c r="P256" t="n">
        <v>1876</v>
      </c>
      <c r="Q256" t="n">
        <v>194</v>
      </c>
      <c r="R256" t="n">
        <v>73</v>
      </c>
      <c r="S256" t="n">
        <v>46</v>
      </c>
      <c r="T256" t="n">
        <v>324</v>
      </c>
      <c r="U256" t="n">
        <v>27</v>
      </c>
      <c r="V256" t="n">
        <v>222</v>
      </c>
      <c r="W256" t="n">
        <v>0.585</v>
      </c>
      <c r="X256" t="n">
        <v>227</v>
      </c>
      <c r="Y256" t="n">
        <v>107</v>
      </c>
      <c r="Z256" t="n">
        <v>97</v>
      </c>
      <c r="AA256" t="n">
        <v>10</v>
      </c>
      <c r="AB256" t="n">
        <v>7.9</v>
      </c>
      <c r="AC256" t="inlineStr">
        <is>
          <t xml:space="preserve"> Resort Freeride</t>
        </is>
      </c>
      <c r="AD256" t="inlineStr">
        <is>
          <t xml:space="preserve"> Powder</t>
        </is>
      </c>
      <c r="AE256" t="inlineStr">
        <is>
          <t xml:space="preserve"> Touring</t>
        </is>
      </c>
      <c r="AS256" s="314">
        <f>IF(LEFT(C256,1)=" ",RIGHT(C256,LEN(C256)-1),C256)</f>
        <v/>
      </c>
      <c r="AT256" s="281">
        <f>_xlfn.CONCAT(B256,AS256,D256,E256)</f>
        <v/>
      </c>
    </row>
    <row r="257">
      <c r="A257" t="inlineStr">
        <is>
          <t>21/22</t>
        </is>
      </c>
      <c r="B257" t="inlineStr">
        <is>
          <t xml:space="preserve"> Line</t>
        </is>
      </c>
      <c r="C257" t="inlineStr">
        <is>
          <t>Sick Day 94</t>
        </is>
      </c>
      <c r="D257" t="n">
        <v>172</v>
      </c>
      <c r="E257" t="inlineStr">
        <is>
          <t xml:space="preserve"> Unisex</t>
        </is>
      </c>
      <c r="F257" t="n">
        <v>172</v>
      </c>
      <c r="G257" t="n">
        <v>172.2</v>
      </c>
      <c r="H257" t="n">
        <v>129</v>
      </c>
      <c r="I257" t="n">
        <v>144</v>
      </c>
      <c r="J257" t="n">
        <v>131</v>
      </c>
      <c r="K257" t="n">
        <v>93</v>
      </c>
      <c r="L257" t="n">
        <v>116</v>
      </c>
      <c r="M257" t="n">
        <v>16.4</v>
      </c>
      <c r="N257" t="n">
        <v>1500</v>
      </c>
      <c r="O257" t="n">
        <v>1.21</v>
      </c>
      <c r="P257" t="n">
        <v>1811</v>
      </c>
      <c r="Q257" t="n">
        <v>146</v>
      </c>
      <c r="R257" t="n">
        <v>77</v>
      </c>
      <c r="S257" t="n">
        <v>48</v>
      </c>
      <c r="T257" t="n">
        <v>277</v>
      </c>
      <c r="U257" t="n">
        <v>19</v>
      </c>
      <c r="V257" t="n">
        <v>155</v>
      </c>
      <c r="W257" t="n">
        <v>0.393999999999999</v>
      </c>
      <c r="X257" t="n">
        <v>153</v>
      </c>
      <c r="Y257" t="n">
        <v>126</v>
      </c>
      <c r="Z257" t="n">
        <v>124</v>
      </c>
      <c r="AA257" t="n">
        <v>7</v>
      </c>
      <c r="AB257" t="n">
        <v>9.199999999999999</v>
      </c>
      <c r="AC257" t="inlineStr">
        <is>
          <t xml:space="preserve"> Resort Freeride</t>
        </is>
      </c>
      <c r="AD257" t="inlineStr">
        <is>
          <t xml:space="preserve"> Touring</t>
        </is>
      </c>
      <c r="AG257" t="inlineStr">
        <is>
          <t>Line Sick Day 94 Skis 2022</t>
        </is>
      </c>
      <c r="AH257" t="inlineStr">
        <is>
          <t>Telemark Pyrenees</t>
        </is>
      </c>
      <c r="AI257" s="333" t="n">
        <v>348.3</v>
      </c>
      <c r="AJ257" t="inlineStr">
        <is>
          <t>https://tinyurl.com/yaxlwqnu</t>
        </is>
      </c>
      <c r="AK257" t="inlineStr">
        <is>
          <t>Line Sick Day 94 Skis 2022</t>
        </is>
      </c>
      <c r="AL257" t="inlineStr">
        <is>
          <t>Curated</t>
        </is>
      </c>
      <c r="AM257" s="333" t="n">
        <v>499.95</v>
      </c>
      <c r="AN257" t="inlineStr">
        <is>
          <t>https://tinyurl.com/ybj3ktp3</t>
        </is>
      </c>
      <c r="AO257" t="inlineStr">
        <is>
          <t>Line Sick Day 94 Skis 2022</t>
        </is>
      </c>
      <c r="AP257" t="inlineStr">
        <is>
          <t>sunandski.com</t>
        </is>
      </c>
      <c r="AQ257" s="333" t="n">
        <v>499.95</v>
      </c>
      <c r="AR257" t="inlineStr">
        <is>
          <t>https://tinyurl.com/yb5nhqtv</t>
        </is>
      </c>
      <c r="AS257" s="314">
        <f>IF(LEFT(C257,1)=" ",RIGHT(C257,LEN(C257)-1),C257)</f>
        <v/>
      </c>
      <c r="AT257" s="281">
        <f>_xlfn.CONCAT(B257,AS257,D257,E257)</f>
        <v/>
      </c>
    </row>
    <row r="258">
      <c r="A258" t="inlineStr">
        <is>
          <t>21/22</t>
        </is>
      </c>
      <c r="B258" t="inlineStr">
        <is>
          <t xml:space="preserve"> Rossignol</t>
        </is>
      </c>
      <c r="C258" t="inlineStr">
        <is>
          <t xml:space="preserve"> Blackops Rallybird W</t>
        </is>
      </c>
      <c r="D258" t="n">
        <v>154</v>
      </c>
      <c r="E258" t="inlineStr">
        <is>
          <t xml:space="preserve"> Women's</t>
        </is>
      </c>
      <c r="F258" t="n">
        <v>154</v>
      </c>
      <c r="G258" t="n">
        <v>154.4</v>
      </c>
      <c r="H258" t="n">
        <v>100</v>
      </c>
      <c r="I258" t="n">
        <v>129</v>
      </c>
      <c r="J258" t="n">
        <v>136</v>
      </c>
      <c r="K258" t="n">
        <v>99</v>
      </c>
      <c r="L258" t="n">
        <v>127</v>
      </c>
      <c r="M258" t="n">
        <v>11.1</v>
      </c>
      <c r="N258" t="n">
        <v>1623</v>
      </c>
      <c r="O258" t="n">
        <v>1.07</v>
      </c>
      <c r="P258" t="n">
        <v>1736</v>
      </c>
      <c r="Q258" t="n">
        <v>205</v>
      </c>
      <c r="R258" t="n">
        <v>81</v>
      </c>
      <c r="S258" t="n">
        <v>49</v>
      </c>
      <c r="T258" t="n">
        <v>304</v>
      </c>
      <c r="U258" t="n">
        <v>14</v>
      </c>
      <c r="V258" t="n">
        <v>237</v>
      </c>
      <c r="W258" t="n">
        <v>0.275</v>
      </c>
      <c r="X258" t="n">
        <v>147</v>
      </c>
      <c r="Y258" t="n">
        <v>106</v>
      </c>
      <c r="Z258" t="n">
        <v>157</v>
      </c>
      <c r="AA258" t="n">
        <v>3</v>
      </c>
      <c r="AB258" t="n">
        <v>6</v>
      </c>
      <c r="AC258" t="inlineStr">
        <is>
          <t xml:space="preserve"> Resort Freeride</t>
        </is>
      </c>
      <c r="AD258" t="inlineStr">
        <is>
          <t xml:space="preserve"> Touring</t>
        </is>
      </c>
      <c r="AG258" t="inlineStr">
        <is>
          <t>Rossignol Blackops W Rallybird 154cm</t>
        </is>
      </c>
      <c r="AH258" t="inlineStr">
        <is>
          <t>Sundance Ski and Board Shop</t>
        </is>
      </c>
      <c r="AI258" s="333" t="n">
        <v>521.29</v>
      </c>
      <c r="AJ258" t="inlineStr">
        <is>
          <t>https://tinyurl.com/ya9d7tgq</t>
        </is>
      </c>
      <c r="AK258" t="inlineStr">
        <is>
          <t>Rossignol Blackops W Rallybird Skis - Women's</t>
        </is>
      </c>
      <c r="AL258" t="inlineStr">
        <is>
          <t>REI</t>
        </is>
      </c>
      <c r="AM258" s="333" t="n">
        <v>559.9299999999999</v>
      </c>
      <c r="AN258" t="inlineStr">
        <is>
          <t>https://tinyurl.com/y9n3kk3w</t>
        </is>
      </c>
      <c r="AO258" t="inlineStr">
        <is>
          <t>Rossignol Blackops W Rallybird Skis - Women's</t>
        </is>
      </c>
      <c r="AP258" t="inlineStr">
        <is>
          <t>Level Nine Sports</t>
        </is>
      </c>
      <c r="AQ258" s="333" t="n">
        <v>559.96</v>
      </c>
      <c r="AR258" t="inlineStr">
        <is>
          <t>https://tinyurl.com/ybh46nls</t>
        </is>
      </c>
      <c r="AS258" s="314">
        <f>IF(LEFT(C258,1)=" ",RIGHT(C258,LEN(C258)-1),C258)</f>
        <v/>
      </c>
      <c r="AT258" s="281">
        <f>_xlfn.CONCAT(B258,AS258,D258,E258)</f>
        <v/>
      </c>
    </row>
    <row r="259">
      <c r="A259" t="inlineStr">
        <is>
          <t>21/22</t>
        </is>
      </c>
      <c r="B259" t="inlineStr">
        <is>
          <t xml:space="preserve"> Stï¿½ckli</t>
        </is>
      </c>
      <c r="C259" t="inlineStr">
        <is>
          <t>Stormrider 102</t>
        </is>
      </c>
      <c r="D259" t="n">
        <v>173</v>
      </c>
      <c r="E259" t="inlineStr">
        <is>
          <t xml:space="preserve"> Unisex</t>
        </is>
      </c>
      <c r="F259" t="n">
        <v>173</v>
      </c>
      <c r="G259" t="n">
        <v>171.2</v>
      </c>
      <c r="H259" t="n">
        <v>135</v>
      </c>
      <c r="I259" t="n">
        <v>143</v>
      </c>
      <c r="J259" t="n">
        <v>135</v>
      </c>
      <c r="K259" t="n">
        <v>102</v>
      </c>
      <c r="L259" t="n">
        <v>124</v>
      </c>
      <c r="M259" t="n">
        <v>16.9</v>
      </c>
      <c r="N259" t="n">
        <v>1817</v>
      </c>
      <c r="O259" t="n">
        <v>1.06</v>
      </c>
      <c r="P259" t="n">
        <v>1933</v>
      </c>
      <c r="Q259" t="n">
        <v>190</v>
      </c>
      <c r="R259" t="n">
        <v>104</v>
      </c>
      <c r="S259" t="n">
        <v>58</v>
      </c>
      <c r="T259" t="n">
        <v>252</v>
      </c>
      <c r="U259" t="n">
        <v>10</v>
      </c>
      <c r="V259" t="n">
        <v>107</v>
      </c>
      <c r="W259" t="n">
        <v>0.178</v>
      </c>
      <c r="X259" t="n">
        <v>193</v>
      </c>
      <c r="Y259" t="n">
        <v>87</v>
      </c>
      <c r="Z259" t="n">
        <v>59</v>
      </c>
      <c r="AA259" t="n">
        <v>4</v>
      </c>
      <c r="AB259" t="n">
        <v>12.6</v>
      </c>
      <c r="AC259" t="inlineStr">
        <is>
          <t xml:space="preserve"> Resort Freeride</t>
        </is>
      </c>
      <c r="AD259" t="inlineStr">
        <is>
          <t xml:space="preserve"> Big Mountain</t>
        </is>
      </c>
      <c r="AE259" t="inlineStr">
        <is>
          <t xml:space="preserve"> Touring</t>
        </is>
      </c>
      <c r="AG259" t="inlineStr">
        <is>
          <t>Stockli Stormrider 102 Skis 173cm 2022</t>
        </is>
      </c>
      <c r="AH259" t="inlineStr">
        <is>
          <t>Powder7 Ski Shop</t>
        </is>
      </c>
      <c r="AI259" s="333" t="n">
        <v>1149.99</v>
      </c>
      <c r="AJ259" t="inlineStr">
        <is>
          <t>https://tinyurl.com/y8rvpuwl</t>
        </is>
      </c>
      <c r="AK259" t="inlineStr">
        <is>
          <t>Stockli Stormrider 102 Skis 173cm 2022</t>
        </is>
      </c>
      <c r="AL259" t="inlineStr">
        <is>
          <t>SkiEssentials.com</t>
        </is>
      </c>
      <c r="AM259" s="333" t="n">
        <v>1249</v>
      </c>
      <c r="AN259" t="inlineStr">
        <is>
          <t>https://tinyurl.com/y9o3pq3k</t>
        </is>
      </c>
      <c r="AO259" t="inlineStr">
        <is>
          <t>Stockli Stormrider 102 Skis - 2022 173cm</t>
        </is>
      </c>
      <c r="AP259" t="inlineStr">
        <is>
          <t>Glacier Ski Shop</t>
        </is>
      </c>
      <c r="AQ259" s="333" t="n">
        <v>1249</v>
      </c>
      <c r="AR259" t="inlineStr">
        <is>
          <t>https://tinyurl.com/y757mb6k</t>
        </is>
      </c>
      <c r="AS259" s="314">
        <f>IF(LEFT(C259,1)=" ",RIGHT(C259,LEN(C259)-1),C259)</f>
        <v/>
      </c>
      <c r="AT259" s="281">
        <f>_xlfn.CONCAT(B259,AS259,D259,E259)</f>
        <v/>
      </c>
    </row>
    <row r="260">
      <c r="A260" t="inlineStr">
        <is>
          <t>21/22</t>
        </is>
      </c>
      <c r="B260" t="inlineStr">
        <is>
          <t xml:space="preserve"> Dynastar</t>
        </is>
      </c>
      <c r="C260" t="inlineStr">
        <is>
          <t>M-Pro 84</t>
        </is>
      </c>
      <c r="D260" t="n">
        <v>170</v>
      </c>
      <c r="E260" t="inlineStr">
        <is>
          <t xml:space="preserve"> Unisex</t>
        </is>
      </c>
      <c r="F260" t="n">
        <v>170</v>
      </c>
      <c r="G260" t="n">
        <v>171.1</v>
      </c>
      <c r="H260" t="n">
        <v>139</v>
      </c>
      <c r="I260" t="n">
        <v>140</v>
      </c>
      <c r="J260" t="n">
        <v>121</v>
      </c>
      <c r="K260" t="n">
        <v>82</v>
      </c>
      <c r="L260" t="n">
        <v>103</v>
      </c>
      <c r="M260" t="n">
        <v>15.6</v>
      </c>
      <c r="N260" t="n">
        <v>1610</v>
      </c>
      <c r="O260" t="n">
        <v>1</v>
      </c>
      <c r="P260" t="n">
        <v>1615</v>
      </c>
      <c r="Q260" t="n">
        <v>186</v>
      </c>
      <c r="R260" t="n">
        <v>84</v>
      </c>
      <c r="S260" t="n">
        <v>41</v>
      </c>
      <c r="T260" t="n">
        <v>260</v>
      </c>
      <c r="U260" t="n">
        <v>5</v>
      </c>
      <c r="V260" t="n">
        <v>59</v>
      </c>
      <c r="W260" t="n">
        <v>0.115</v>
      </c>
      <c r="X260" t="n">
        <v>164</v>
      </c>
      <c r="Y260" t="n">
        <v>148</v>
      </c>
      <c r="Z260" t="n">
        <v>96</v>
      </c>
      <c r="AA260" t="n">
        <v>11</v>
      </c>
      <c r="AB260" t="n">
        <v>6.2</v>
      </c>
      <c r="AC260" t="inlineStr">
        <is>
          <t xml:space="preserve"> On-Piste All-Mountain</t>
        </is>
      </c>
      <c r="AD260" t="inlineStr">
        <is>
          <t xml:space="preserve"> Resort Freeride</t>
        </is>
      </c>
      <c r="AG260" t="inlineStr">
        <is>
          <t>Dynastar M-Pro 84 Skis - Women's 2022</t>
        </is>
      </c>
      <c r="AH260" t="inlineStr">
        <is>
          <t>Next Adventure</t>
        </is>
      </c>
      <c r="AI260" s="333" t="n">
        <v>349.97</v>
      </c>
      <c r="AJ260" t="inlineStr">
        <is>
          <t>https://tinyurl.com/ycq2d4rq</t>
        </is>
      </c>
      <c r="AK260" t="inlineStr">
        <is>
          <t>Dynastar M-Pro 84 Skis - Women's 2022</t>
        </is>
      </c>
      <c r="AL260" t="inlineStr">
        <is>
          <t>Ski Pro  - Snow Ski &amp; Snowboard</t>
        </is>
      </c>
      <c r="AM260" s="333" t="n">
        <v>399.95</v>
      </c>
      <c r="AN260" t="inlineStr">
        <is>
          <t>https://tinyurl.com/y9ttp945</t>
        </is>
      </c>
      <c r="AO260" t="inlineStr">
        <is>
          <t>Dynastar M-Pro 84 Skis - Women's 2022</t>
        </is>
      </c>
      <c r="AP260" t="inlineStr">
        <is>
          <t>Powder7 Ski Shop</t>
        </is>
      </c>
      <c r="AQ260" s="333" t="n">
        <v>399.95</v>
      </c>
      <c r="AR260" t="inlineStr">
        <is>
          <t>https://tinyurl.com/ycgl5e64</t>
        </is>
      </c>
      <c r="AS260" s="314">
        <f>IF(LEFT(C260,1)=" ",RIGHT(C260,LEN(C260)-1),C260)</f>
        <v/>
      </c>
      <c r="AT260" s="281">
        <f>_xlfn.CONCAT(B260,AS260,D260,E260)</f>
        <v/>
      </c>
    </row>
    <row r="261">
      <c r="A261" t="inlineStr">
        <is>
          <t>21/22</t>
        </is>
      </c>
      <c r="B261" t="inlineStr">
        <is>
          <t xml:space="preserve"> Rossignol</t>
        </is>
      </c>
      <c r="C261" t="inlineStr">
        <is>
          <t>Experience 82 Basalt</t>
        </is>
      </c>
      <c r="D261" t="n">
        <v>176</v>
      </c>
      <c r="E261" t="inlineStr">
        <is>
          <t xml:space="preserve"> Unisex</t>
        </is>
      </c>
      <c r="F261" t="n">
        <v>176</v>
      </c>
      <c r="G261" t="n">
        <v>174.4</v>
      </c>
      <c r="H261" t="n">
        <v>134</v>
      </c>
      <c r="I261" t="n">
        <v>160</v>
      </c>
      <c r="J261" t="n">
        <v>125</v>
      </c>
      <c r="K261" t="n">
        <v>80</v>
      </c>
      <c r="L261" t="n">
        <v>113</v>
      </c>
      <c r="M261" t="n">
        <v>16</v>
      </c>
      <c r="N261" t="n">
        <v>1805</v>
      </c>
      <c r="O261" t="n">
        <v>0.91</v>
      </c>
      <c r="P261" t="n">
        <v>1639</v>
      </c>
      <c r="Q261" t="n">
        <v>241</v>
      </c>
      <c r="R261" t="n">
        <v>89</v>
      </c>
      <c r="S261" t="n">
        <v>48</v>
      </c>
      <c r="T261" t="n">
        <v>266</v>
      </c>
      <c r="U261" t="n">
        <v>14</v>
      </c>
      <c r="V261" t="n">
        <v>134</v>
      </c>
      <c r="W261" t="n">
        <v>0.285</v>
      </c>
      <c r="X261" t="n">
        <v>77</v>
      </c>
      <c r="Y261" t="n">
        <v>65</v>
      </c>
      <c r="Z261" t="n">
        <v>189</v>
      </c>
      <c r="AA261" t="n">
        <v>7</v>
      </c>
      <c r="AB261" t="n">
        <v>6.1</v>
      </c>
      <c r="AC261" t="inlineStr">
        <is>
          <t xml:space="preserve"> Other</t>
        </is>
      </c>
      <c r="AG261" t="inlineStr">
        <is>
          <t>Rossignol Experience 82 Ti Konnect Black 176 Ski Men</t>
        </is>
      </c>
      <c r="AH261" t="inlineStr">
        <is>
          <t>! OutdoorXL.com</t>
        </is>
      </c>
      <c r="AI261" s="333" t="n">
        <v>469.95</v>
      </c>
      <c r="AJ261" t="inlineStr">
        <is>
          <t>https://tinyurl.com/ydgg5sn9</t>
        </is>
      </c>
      <c r="AK261" t="inlineStr">
        <is>
          <t>Rossignol Experience 86 Basalt Mens Skis</t>
        </is>
      </c>
      <c r="AL261" t="inlineStr">
        <is>
          <t>UtahSkis</t>
        </is>
      </c>
      <c r="AM261" s="333" t="n">
        <v>479.96</v>
      </c>
      <c r="AN261" t="inlineStr">
        <is>
          <t>https://tinyurl.com/y7msfjyz</t>
        </is>
      </c>
      <c r="AO261" t="inlineStr">
        <is>
          <t>Rossignol Men's All Mountain Skis Experience 82 Ti (Open)</t>
        </is>
      </c>
      <c r="AP261" t="inlineStr">
        <is>
          <t>Aspen Ski and Board</t>
        </is>
      </c>
      <c r="AQ261" s="333" t="n">
        <v>559.95</v>
      </c>
      <c r="AR261" t="inlineStr">
        <is>
          <t>https://tinyurl.com/y6ve32ou</t>
        </is>
      </c>
      <c r="AS261" s="314">
        <f>IF(LEFT(C261,1)=" ",RIGHT(C261,LEN(C261)-1),C261)</f>
        <v/>
      </c>
      <c r="AT261" s="281">
        <f>_xlfn.CONCAT(B261,AS261,D261,E261)</f>
        <v/>
      </c>
    </row>
    <row r="262">
      <c r="A262" t="inlineStr">
        <is>
          <t>21/22</t>
        </is>
      </c>
      <c r="B262" t="inlineStr">
        <is>
          <t xml:space="preserve"> Vï¿½lkl</t>
        </is>
      </c>
      <c r="C262" t="inlineStr">
        <is>
          <t>Bash 86</t>
        </is>
      </c>
      <c r="D262" t="n">
        <v>172</v>
      </c>
      <c r="E262" t="inlineStr">
        <is>
          <t xml:space="preserve"> Unisex</t>
        </is>
      </c>
      <c r="F262" t="n">
        <v>172</v>
      </c>
      <c r="G262" t="n">
        <v>173</v>
      </c>
      <c r="H262" t="n">
        <v>129</v>
      </c>
      <c r="I262" t="n">
        <v>159</v>
      </c>
      <c r="J262" t="n">
        <v>119</v>
      </c>
      <c r="K262" t="n">
        <v>85</v>
      </c>
      <c r="L262" t="n">
        <v>109</v>
      </c>
      <c r="M262" t="n">
        <v>21.2</v>
      </c>
      <c r="N262" t="n">
        <v>1754</v>
      </c>
      <c r="O262" t="n">
        <v>0.9399999999999999</v>
      </c>
      <c r="P262" t="n">
        <v>1655</v>
      </c>
      <c r="Q262" t="n">
        <v>188</v>
      </c>
      <c r="R262" t="n">
        <v>92</v>
      </c>
      <c r="S262" t="n">
        <v>42</v>
      </c>
      <c r="T262" t="n">
        <v>226</v>
      </c>
      <c r="U262" t="n">
        <v>36</v>
      </c>
      <c r="V262" t="n">
        <v>210</v>
      </c>
      <c r="W262" t="n">
        <v>0.861</v>
      </c>
      <c r="X262" t="n">
        <v>81</v>
      </c>
      <c r="Y262" t="n">
        <v>62</v>
      </c>
      <c r="Z262" t="n">
        <v>145</v>
      </c>
      <c r="AA262" t="n">
        <v>6</v>
      </c>
      <c r="AB262" t="n">
        <v>2</v>
      </c>
      <c r="AC262" t="inlineStr">
        <is>
          <t xml:space="preserve"> Freeski</t>
        </is>
      </c>
      <c r="AG262" t="inlineStr">
        <is>
          <t>Volkl Bash 86 Ski - 2022, 180cm /56170/</t>
        </is>
      </c>
      <c r="AH262" t="inlineStr">
        <is>
          <t>eBay - gearoutlet</t>
        </is>
      </c>
      <c r="AI262" s="333" t="n">
        <v>318</v>
      </c>
      <c r="AJ262" t="inlineStr">
        <is>
          <t>https://tinyurl.com/yd8mtxnf</t>
        </is>
      </c>
      <c r="AK262" t="inlineStr">
        <is>
          <t>Volkl Bash 86 172cm</t>
        </is>
      </c>
      <c r="AL262" t="inlineStr">
        <is>
          <t>Sundance Ski and Board Shop</t>
        </is>
      </c>
      <c r="AM262" s="333" t="n">
        <v>320.79</v>
      </c>
      <c r="AN262" t="inlineStr">
        <is>
          <t>https://tinyurl.com/ybb843zn</t>
        </is>
      </c>
      <c r="AO262" t="inlineStr">
        <is>
          <t>Volkl 2021 Bash 86 Womens Skis w/Tyrolia Attack2 11 GW Bindings (172)</t>
        </is>
      </c>
      <c r="AP262" t="inlineStr">
        <is>
          <t>eBay - david110549</t>
        </is>
      </c>
      <c r="AQ262" s="333" t="n">
        <v>469.99</v>
      </c>
      <c r="AR262" t="inlineStr">
        <is>
          <t>https://tinyurl.com/y8874kla</t>
        </is>
      </c>
      <c r="AS262" s="314">
        <f>IF(LEFT(C262,1)=" ",RIGHT(C262,LEN(C262)-1),C262)</f>
        <v/>
      </c>
      <c r="AT262" s="281">
        <f>_xlfn.CONCAT(B262,AS262,D262,E262)</f>
        <v/>
      </c>
    </row>
    <row r="263">
      <c r="A263" t="inlineStr">
        <is>
          <t>21/22</t>
        </is>
      </c>
      <c r="B263" t="inlineStr">
        <is>
          <t xml:space="preserve"> Dynastar</t>
        </is>
      </c>
      <c r="C263" t="inlineStr">
        <is>
          <t>M-Pro 99 W</t>
        </is>
      </c>
      <c r="D263" t="n">
        <v>154</v>
      </c>
      <c r="E263" t="inlineStr">
        <is>
          <t xml:space="preserve"> Women's</t>
        </is>
      </c>
      <c r="F263" t="n">
        <v>154</v>
      </c>
      <c r="G263" t="n">
        <v>153.7</v>
      </c>
      <c r="H263" t="n">
        <v>105</v>
      </c>
      <c r="I263" t="n">
        <v>124</v>
      </c>
      <c r="J263" t="n">
        <v>124</v>
      </c>
      <c r="K263" t="n">
        <v>95</v>
      </c>
      <c r="L263" t="n">
        <v>114</v>
      </c>
      <c r="M263" t="n">
        <v>13.8</v>
      </c>
      <c r="N263" t="n">
        <v>1561</v>
      </c>
      <c r="O263" t="n">
        <v>1.03</v>
      </c>
      <c r="P263" t="n">
        <v>1614</v>
      </c>
      <c r="Q263" t="n">
        <v>205</v>
      </c>
      <c r="R263" t="n">
        <v>91</v>
      </c>
      <c r="S263" t="n">
        <v>64</v>
      </c>
      <c r="T263" t="n">
        <v>334</v>
      </c>
      <c r="U263" t="n">
        <v>14</v>
      </c>
      <c r="V263" t="n">
        <v>150</v>
      </c>
      <c r="W263" t="n">
        <v>0.225</v>
      </c>
      <c r="X263" t="n">
        <v>194</v>
      </c>
      <c r="Y263" t="n">
        <v>99</v>
      </c>
      <c r="Z263" t="n">
        <v>140</v>
      </c>
      <c r="AA263" t="n">
        <v>4</v>
      </c>
      <c r="AB263" t="n">
        <v>11.2</v>
      </c>
      <c r="AC263" t="inlineStr">
        <is>
          <t xml:space="preserve"> Resort Freeride</t>
        </is>
      </c>
      <c r="AG263" t="inlineStr">
        <is>
          <t>Dynastar M-Pro 99 W Skis Women's 2022 - 154</t>
        </is>
      </c>
      <c r="AH263" t="inlineStr">
        <is>
          <t>Snowcountry.eu</t>
        </is>
      </c>
      <c r="AI263" s="333" t="n">
        <v>414</v>
      </c>
      <c r="AJ263" t="inlineStr">
        <is>
          <t>https://tinyurl.com/ybh4la3c</t>
        </is>
      </c>
      <c r="AK263" t="inlineStr">
        <is>
          <t>Dynastar M-Pro 99 W Skis Women's 2022 - 154</t>
        </is>
      </c>
      <c r="AL263" t="inlineStr">
        <is>
          <t>Next Adventure</t>
        </is>
      </c>
      <c r="AM263" s="333" t="n">
        <v>489.97</v>
      </c>
      <c r="AN263" t="inlineStr">
        <is>
          <t>https://tinyurl.com/y7qvorl6</t>
        </is>
      </c>
      <c r="AO263" t="inlineStr">
        <is>
          <t>Dynastar M-Pro 99 W Skis Women's 2022 - 154</t>
        </is>
      </c>
      <c r="AP263" t="inlineStr">
        <is>
          <t>Level Nine Sports</t>
        </is>
      </c>
      <c r="AQ263" s="333" t="n">
        <v>559.96</v>
      </c>
      <c r="AR263" t="inlineStr">
        <is>
          <t>https://tinyurl.com/y7k3d7ee</t>
        </is>
      </c>
      <c r="AS263" s="314">
        <f>IF(LEFT(C263,1)=" ",RIGHT(C263,LEN(C263)-1),C263)</f>
        <v/>
      </c>
      <c r="AT263" s="281">
        <f>_xlfn.CONCAT(B263,AS263,D263,E263)</f>
        <v/>
      </c>
    </row>
    <row r="264">
      <c r="A264" t="inlineStr">
        <is>
          <t>21/22</t>
        </is>
      </c>
      <c r="B264" t="inlineStr">
        <is>
          <t xml:space="preserve"> Salomon</t>
        </is>
      </c>
      <c r="C264" t="inlineStr">
        <is>
          <t>Stance 90</t>
        </is>
      </c>
      <c r="D264" t="n">
        <v>168</v>
      </c>
      <c r="E264" t="inlineStr">
        <is>
          <t xml:space="preserve"> Unisex</t>
        </is>
      </c>
      <c r="F264" t="n">
        <v>168</v>
      </c>
      <c r="G264" t="n">
        <v>167</v>
      </c>
      <c r="H264" t="n">
        <v>129</v>
      </c>
      <c r="I264" t="n">
        <v>138</v>
      </c>
      <c r="J264" t="n">
        <v>122</v>
      </c>
      <c r="K264" t="n">
        <v>88</v>
      </c>
      <c r="L264" t="n">
        <v>104</v>
      </c>
      <c r="M264" t="n">
        <v>16.9</v>
      </c>
      <c r="N264" t="n">
        <v>1643</v>
      </c>
      <c r="O264" t="n">
        <v>1</v>
      </c>
      <c r="P264" t="n">
        <v>1650</v>
      </c>
      <c r="Q264" t="n">
        <v>164</v>
      </c>
      <c r="R264" t="n">
        <v>91</v>
      </c>
      <c r="S264" t="n">
        <v>47</v>
      </c>
      <c r="T264" t="n">
        <v>220</v>
      </c>
      <c r="U264" t="n">
        <v>8</v>
      </c>
      <c r="V264" t="n">
        <v>158</v>
      </c>
      <c r="W264" t="n">
        <v>0.161</v>
      </c>
      <c r="X264" t="n">
        <v>168</v>
      </c>
      <c r="Y264" t="n">
        <v>124</v>
      </c>
      <c r="Z264" t="n">
        <v>53</v>
      </c>
      <c r="AA264" t="n">
        <v>9</v>
      </c>
      <c r="AB264" t="n">
        <v>9.699999999999999</v>
      </c>
      <c r="AC264" t="inlineStr">
        <is>
          <t xml:space="preserve"> Resort Freeride</t>
        </is>
      </c>
      <c r="AG264" t="inlineStr">
        <is>
          <t>Salomon Stance 90 Skis</t>
        </is>
      </c>
      <c r="AH264" t="inlineStr">
        <is>
          <t>eBay - asogear</t>
        </is>
      </c>
      <c r="AI264" s="333" t="n">
        <v>419.99</v>
      </c>
      <c r="AJ264" t="inlineStr">
        <is>
          <t>https://tinyurl.com/yc7gr4ok</t>
        </is>
      </c>
      <c r="AK264" t="inlineStr">
        <is>
          <t>Salomon Stance 90 Skis</t>
        </is>
      </c>
      <c r="AL264" t="inlineStr">
        <is>
          <t>The-House.com</t>
        </is>
      </c>
      <c r="AM264" s="333" t="n">
        <v>441.95</v>
      </c>
      <c r="AN264" t="inlineStr">
        <is>
          <t>https://tinyurl.com/y7sy9ec7</t>
        </is>
      </c>
      <c r="AO264" t="inlineStr">
        <is>
          <t>Salomon Stance 90 Dark Green/Black/White / 168cm</t>
        </is>
      </c>
      <c r="AP264" t="inlineStr">
        <is>
          <t>Sundance Ski and Board Shop</t>
        </is>
      </c>
      <c r="AQ264" s="333" t="n">
        <v>449.11</v>
      </c>
      <c r="AR264" t="inlineStr">
        <is>
          <t>https://tinyurl.com/ydx7l68n</t>
        </is>
      </c>
      <c r="AS264" s="314">
        <f>IF(LEFT(C264,1)=" ",RIGHT(C264,LEN(C264)-1),C264)</f>
        <v/>
      </c>
      <c r="AT264" s="281">
        <f>_xlfn.CONCAT(B264,AS264,D264,E264)</f>
        <v/>
      </c>
    </row>
    <row r="265">
      <c r="A265" t="inlineStr">
        <is>
          <t>21/22</t>
        </is>
      </c>
      <c r="B265" t="inlineStr">
        <is>
          <t xml:space="preserve"> Vï¿½lkl</t>
        </is>
      </c>
      <c r="C265" t="inlineStr">
        <is>
          <t>Blaze 106 W</t>
        </is>
      </c>
      <c r="D265" t="n">
        <v>158</v>
      </c>
      <c r="E265" t="inlineStr">
        <is>
          <t xml:space="preserve"> Women's</t>
        </is>
      </c>
      <c r="F265" t="n">
        <v>158</v>
      </c>
      <c r="G265" t="n">
        <v>159.2</v>
      </c>
      <c r="H265" t="n">
        <v>85</v>
      </c>
      <c r="I265" t="n">
        <v>135</v>
      </c>
      <c r="J265" t="n">
        <v>145</v>
      </c>
      <c r="K265" t="n">
        <v>105</v>
      </c>
      <c r="L265" t="n">
        <v>127</v>
      </c>
      <c r="M265" t="n">
        <v>13.8</v>
      </c>
      <c r="N265" t="n">
        <v>1526</v>
      </c>
      <c r="O265" t="n">
        <v>1.23</v>
      </c>
      <c r="P265" t="n">
        <v>1873</v>
      </c>
      <c r="Q265" t="n">
        <v>189</v>
      </c>
      <c r="R265" t="n">
        <v>101</v>
      </c>
      <c r="S265" t="n">
        <v>50</v>
      </c>
      <c r="T265" t="n">
        <v>441</v>
      </c>
      <c r="U265" t="n">
        <v>23</v>
      </c>
      <c r="V265" t="n">
        <v>297</v>
      </c>
      <c r="W265" t="n">
        <v>0.466</v>
      </c>
      <c r="X265" t="n">
        <v>139</v>
      </c>
      <c r="Y265" t="n">
        <v>101</v>
      </c>
      <c r="Z265" t="n">
        <v>302</v>
      </c>
      <c r="AA265" t="n">
        <v>1</v>
      </c>
      <c r="AB265" t="n">
        <v>11.6</v>
      </c>
      <c r="AC265" t="inlineStr">
        <is>
          <t xml:space="preserve"> Powder</t>
        </is>
      </c>
      <c r="AD265" t="inlineStr">
        <is>
          <t xml:space="preserve"> Touring</t>
        </is>
      </c>
      <c r="AG265" t="inlineStr">
        <is>
          <t>Volkl Blaze 106 W Alpine Skis 2022 - - 158 cm</t>
        </is>
      </c>
      <c r="AH265" t="inlineStr">
        <is>
          <t>Skirack</t>
        </is>
      </c>
      <c r="AI265" s="333" t="n">
        <v>479.96</v>
      </c>
      <c r="AJ265" t="inlineStr">
        <is>
          <t>https://tinyurl.com/y8qquon5</t>
        </is>
      </c>
      <c r="AK265" t="inlineStr">
        <is>
          <t>Volkl Blaze 106 W Skis</t>
        </is>
      </c>
      <c r="AL265" t="inlineStr">
        <is>
          <t>Cole Sport</t>
        </is>
      </c>
      <c r="AM265" s="333" t="n">
        <v>479.99</v>
      </c>
      <c r="AN265" t="inlineStr">
        <is>
          <t>https://tinyurl.com/yces2vpu</t>
        </is>
      </c>
      <c r="AO265" t="inlineStr">
        <is>
          <t>2021 Volkl BLAZE 106 W ladies snow skis 158</t>
        </is>
      </c>
      <c r="AP265" t="inlineStr">
        <is>
          <t>The Pro Shop</t>
        </is>
      </c>
      <c r="AQ265" s="333" t="n">
        <v>599.99</v>
      </c>
      <c r="AR265" t="inlineStr">
        <is>
          <t>https://tinyurl.com/ybedkju3</t>
        </is>
      </c>
      <c r="AS265" s="314">
        <f>IF(LEFT(C265,1)=" ",RIGHT(C265,LEN(C265)-1),C265)</f>
        <v/>
      </c>
      <c r="AT265" s="281">
        <f>_xlfn.CONCAT(B265,AS265,D265,E265)</f>
        <v/>
      </c>
    </row>
    <row r="266">
      <c r="A266" t="inlineStr">
        <is>
          <t>21/22</t>
        </is>
      </c>
      <c r="B266" t="inlineStr">
        <is>
          <t>K2</t>
        </is>
      </c>
      <c r="C266" t="inlineStr">
        <is>
          <t>Mindbender 90 Ti</t>
        </is>
      </c>
      <c r="D266" t="n">
        <v>163</v>
      </c>
      <c r="E266" t="inlineStr">
        <is>
          <t xml:space="preserve"> Unisex</t>
        </is>
      </c>
      <c r="F266" t="n">
        <v>163</v>
      </c>
      <c r="G266" t="n">
        <v>163</v>
      </c>
      <c r="H266" t="n">
        <v>122</v>
      </c>
      <c r="I266" t="n">
        <v>139</v>
      </c>
      <c r="J266" t="n">
        <v>126</v>
      </c>
      <c r="K266" t="n">
        <v>89</v>
      </c>
      <c r="L266" t="n">
        <v>112</v>
      </c>
      <c r="M266" t="n">
        <v>15</v>
      </c>
      <c r="N266" t="n">
        <v>1675</v>
      </c>
      <c r="O266" t="n">
        <v>0.98</v>
      </c>
      <c r="P266" t="n">
        <v>1650</v>
      </c>
      <c r="Q266" t="n">
        <v>155</v>
      </c>
      <c r="R266" t="n">
        <v>105</v>
      </c>
      <c r="S266" t="n">
        <v>43</v>
      </c>
      <c r="T266" t="n">
        <v>230</v>
      </c>
      <c r="U266" t="n">
        <v>20</v>
      </c>
      <c r="V266" t="n">
        <v>178</v>
      </c>
      <c r="W266" t="n">
        <v>0.479</v>
      </c>
      <c r="X266" t="n">
        <v>140</v>
      </c>
      <c r="Y266" t="n">
        <v>99</v>
      </c>
      <c r="Z266" t="n">
        <v>91</v>
      </c>
      <c r="AA266" t="n">
        <v>7</v>
      </c>
      <c r="AB266" t="n">
        <v>10.6</v>
      </c>
      <c r="AC266" t="inlineStr">
        <is>
          <t xml:space="preserve"> Resort Freeride</t>
        </is>
      </c>
      <c r="AG266" t="inlineStr">
        <is>
          <t>'20 K2 Mindbender Alliance 88 Ti 163cm</t>
        </is>
      </c>
      <c r="AH266" t="inlineStr">
        <is>
          <t>Al's Ski Equipment Barn</t>
        </is>
      </c>
      <c r="AI266" s="333" t="n">
        <v>429.95</v>
      </c>
      <c r="AJ266" t="inlineStr">
        <is>
          <t>https://tinyurl.com/y9h5yuuz</t>
        </is>
      </c>
      <c r="AK266" t="inlineStr">
        <is>
          <t>Mindbender 90 Ti Griffon 13 Tcx D Black Set</t>
        </is>
      </c>
      <c r="AL266" t="inlineStr">
        <is>
          <t>Bobleisure</t>
        </is>
      </c>
      <c r="AM266" s="333" t="n">
        <v>998.95</v>
      </c>
      <c r="AN266" t="inlineStr">
        <is>
          <t>https://tinyurl.com/y9wgnxwu</t>
        </is>
      </c>
      <c r="AO266" t="inlineStr">
        <is>
          <t>K2 Mindbender 90C Men's Skis 2021/22</t>
        </is>
      </c>
      <c r="AP266" t="inlineStr">
        <is>
          <t>PRFO Sports</t>
        </is>
      </c>
      <c r="AQ266" s="333" t="n">
        <v>352.87</v>
      </c>
      <c r="AR266" t="inlineStr">
        <is>
          <t>https://tinyurl.com/yafq9bsb</t>
        </is>
      </c>
      <c r="AS266" s="314">
        <f>IF(LEFT(C266,1)=" ",RIGHT(C266,LEN(C266)-1),C266)</f>
        <v/>
      </c>
      <c r="AT266" s="281">
        <f>_xlfn.CONCAT(B266,AS266,D266,E266)</f>
        <v/>
      </c>
    </row>
    <row r="267">
      <c r="A267" t="inlineStr">
        <is>
          <t>21/22</t>
        </is>
      </c>
      <c r="B267" t="inlineStr">
        <is>
          <t xml:space="preserve"> Fischer</t>
        </is>
      </c>
      <c r="C267" t="inlineStr">
        <is>
          <t>Ranger 102 FR</t>
        </is>
      </c>
      <c r="D267" t="n">
        <v>170</v>
      </c>
      <c r="E267" t="inlineStr">
        <is>
          <t xml:space="preserve"> Unisex</t>
        </is>
      </c>
      <c r="F267" t="n">
        <v>170</v>
      </c>
      <c r="G267" t="n">
        <v>168.7</v>
      </c>
      <c r="H267" t="n">
        <v>116</v>
      </c>
      <c r="I267" t="n">
        <v>139</v>
      </c>
      <c r="J267" t="n">
        <v>134</v>
      </c>
      <c r="K267" t="n">
        <v>100</v>
      </c>
      <c r="L267" t="n">
        <v>124</v>
      </c>
      <c r="M267" t="n">
        <v>13.9</v>
      </c>
      <c r="N267" t="n">
        <v>1664</v>
      </c>
      <c r="O267" t="n">
        <v>1.14</v>
      </c>
      <c r="P267" t="n">
        <v>1900</v>
      </c>
      <c r="Q267" t="n">
        <v>172</v>
      </c>
      <c r="R267" t="n">
        <v>89</v>
      </c>
      <c r="S267" t="n">
        <v>48</v>
      </c>
      <c r="T267" t="n">
        <v>342</v>
      </c>
      <c r="U267" t="n">
        <v>29</v>
      </c>
      <c r="V267" t="n">
        <v>182</v>
      </c>
      <c r="W267" t="n">
        <v>0.601</v>
      </c>
      <c r="X267" t="n">
        <v>153</v>
      </c>
      <c r="Y267" t="n">
        <v>145</v>
      </c>
      <c r="Z267" t="n">
        <v>189</v>
      </c>
      <c r="AA267" t="n">
        <v>7</v>
      </c>
      <c r="AB267" t="n">
        <v>9.5</v>
      </c>
      <c r="AC267" t="inlineStr">
        <is>
          <t xml:space="preserve"> Resort Freeride</t>
        </is>
      </c>
      <c r="AD267" t="inlineStr">
        <is>
          <t xml:space="preserve"> Touring</t>
        </is>
      </c>
      <c r="AG267" t="inlineStr">
        <is>
          <t>Fischer Ranger 102 FR Skis (Pink)</t>
        </is>
      </c>
      <c r="AH267" t="inlineStr">
        <is>
          <t>ColoradoSkiShop.com</t>
        </is>
      </c>
      <c r="AI267" s="333" t="n">
        <v>699.99</v>
      </c>
      <c r="AJ267" t="inlineStr">
        <is>
          <t>https://tinyurl.com/y8z3zrqa</t>
        </is>
      </c>
      <c r="AK267" t="inlineStr">
        <is>
          <t>Fischer Ranger 102 FR Skis (Pink)</t>
        </is>
      </c>
      <c r="AL267" t="inlineStr">
        <is>
          <t>Buyr.com</t>
        </is>
      </c>
      <c r="AM267" s="333" t="n">
        <v>699.99</v>
      </c>
      <c r="AN267" t="inlineStr">
        <is>
          <t>https://tinyurl.com/yd4cmqkd</t>
        </is>
      </c>
      <c r="AO267" t="inlineStr">
        <is>
          <t>Fischer Ranger 90 Grey Celest Skis 170cm 2023</t>
        </is>
      </c>
      <c r="AP267" t="inlineStr">
        <is>
          <t>Powder7 Ski Shop</t>
        </is>
      </c>
      <c r="AQ267" s="333" t="n">
        <v>699</v>
      </c>
      <c r="AR267" t="inlineStr">
        <is>
          <t>https://tinyurl.com/ydfaeghp</t>
        </is>
      </c>
      <c r="AS267" s="314">
        <f>IF(LEFT(C267,1)=" ",RIGHT(C267,LEN(C267)-1),C267)</f>
        <v/>
      </c>
      <c r="AT267" s="281">
        <f>_xlfn.CONCAT(B267,AS267,D267,E267)</f>
        <v/>
      </c>
    </row>
    <row r="268">
      <c r="A268" t="inlineStr">
        <is>
          <t>21/22</t>
        </is>
      </c>
      <c r="B268" t="inlineStr">
        <is>
          <t xml:space="preserve"> Icelantic</t>
        </is>
      </c>
      <c r="C268" t="inlineStr">
        <is>
          <t>Nomad 105</t>
        </is>
      </c>
      <c r="D268" t="n">
        <v>176</v>
      </c>
      <c r="E268" t="inlineStr">
        <is>
          <t xml:space="preserve"> Unisex</t>
        </is>
      </c>
      <c r="F268" t="n">
        <v>176</v>
      </c>
      <c r="G268" t="n">
        <v>173.5</v>
      </c>
      <c r="H268" t="n">
        <v>107</v>
      </c>
      <c r="I268" t="n">
        <v>147</v>
      </c>
      <c r="J268" t="n">
        <v>145</v>
      </c>
      <c r="K268" t="n">
        <v>111</v>
      </c>
      <c r="L268" t="n">
        <v>135</v>
      </c>
      <c r="M268" t="n">
        <v>18</v>
      </c>
      <c r="N268" t="n">
        <v>1848</v>
      </c>
      <c r="O268" t="n">
        <v>1.14</v>
      </c>
      <c r="P268" t="n">
        <v>2103</v>
      </c>
      <c r="Q268" t="n">
        <v>216</v>
      </c>
      <c r="R268" t="n">
        <v>102</v>
      </c>
      <c r="S268" t="n">
        <v>58</v>
      </c>
      <c r="T268" t="n">
        <v>351</v>
      </c>
      <c r="U268" t="n">
        <v>57</v>
      </c>
      <c r="V268" t="n">
        <v>312</v>
      </c>
      <c r="W268" t="n">
        <v>0.975</v>
      </c>
      <c r="X268" t="n">
        <v>129</v>
      </c>
      <c r="Y268" t="n">
        <v>132</v>
      </c>
      <c r="Z268" t="n">
        <v>222</v>
      </c>
      <c r="AA268" t="n">
        <v>3</v>
      </c>
      <c r="AB268" t="n">
        <v>8.300000000000001</v>
      </c>
      <c r="AC268" t="inlineStr">
        <is>
          <t xml:space="preserve"> Freeski</t>
        </is>
      </c>
      <c r="AD268" t="inlineStr">
        <is>
          <t xml:space="preserve"> Powder</t>
        </is>
      </c>
      <c r="AE268" t="inlineStr">
        <is>
          <t xml:space="preserve"> Touring</t>
        </is>
      </c>
      <c r="AG268" t="inlineStr">
        <is>
          <t>Icelantic Nomad 105 Skis 2022 176cm</t>
        </is>
      </c>
      <c r="AH268" t="inlineStr">
        <is>
          <t>Glacier Ski Shop</t>
        </is>
      </c>
      <c r="AI268" s="333" t="n">
        <v>585</v>
      </c>
      <c r="AJ268" t="inlineStr">
        <is>
          <t>https://tinyurl.com/y9sf645b</t>
        </is>
      </c>
      <c r="AK268" t="inlineStr">
        <is>
          <t>Icelantic Nomad 105 Lite Skis 176cm 2022</t>
        </is>
      </c>
      <c r="AL268" t="inlineStr">
        <is>
          <t>REI</t>
        </is>
      </c>
      <c r="AM268" s="333" t="n">
        <v>598.9299999999999</v>
      </c>
      <c r="AN268" t="inlineStr">
        <is>
          <t>https://tinyurl.com/y7x8cm3q</t>
        </is>
      </c>
      <c r="AO268" t="inlineStr">
        <is>
          <t>Icelantic Nomad 105 Lite Skis 176cm 2022</t>
        </is>
      </c>
      <c r="AP268" t="inlineStr">
        <is>
          <t>Mountain Steals</t>
        </is>
      </c>
      <c r="AQ268" s="333" t="n">
        <v>598.99</v>
      </c>
      <c r="AR268" t="inlineStr">
        <is>
          <t>https://tinyurl.com/ycyuxtt9</t>
        </is>
      </c>
      <c r="AS268" s="314">
        <f>IF(LEFT(C268,1)=" ",RIGHT(C268,LEN(C268)-1),C268)</f>
        <v/>
      </c>
      <c r="AT268" s="281">
        <f>_xlfn.CONCAT(B268,AS268,D268,E268)</f>
        <v/>
      </c>
    </row>
    <row r="269">
      <c r="A269" t="inlineStr">
        <is>
          <t>21/22</t>
        </is>
      </c>
      <c r="B269" t="inlineStr">
        <is>
          <t xml:space="preserve"> Vï¿½lkl</t>
        </is>
      </c>
      <c r="C269" t="inlineStr">
        <is>
          <t xml:space="preserve"> Deacon XTD</t>
        </is>
      </c>
      <c r="D269" t="n">
        <v>168</v>
      </c>
      <c r="E269" t="inlineStr">
        <is>
          <t xml:space="preserve"> Unisex</t>
        </is>
      </c>
      <c r="F269" t="n">
        <v>168</v>
      </c>
      <c r="G269" t="n">
        <v>168.1</v>
      </c>
      <c r="H269" t="n">
        <v>148</v>
      </c>
      <c r="I269" t="n">
        <v>156</v>
      </c>
      <c r="J269" t="n">
        <v>123</v>
      </c>
      <c r="K269" t="n">
        <v>75</v>
      </c>
      <c r="L269" t="n">
        <v>104</v>
      </c>
      <c r="M269" t="n">
        <v>15.5</v>
      </c>
      <c r="N269" t="n">
        <v>1802</v>
      </c>
      <c r="O269" t="n">
        <v>0.83</v>
      </c>
      <c r="P269" t="n">
        <v>1497</v>
      </c>
      <c r="Q269" t="n">
        <v>176</v>
      </c>
      <c r="R269" t="n">
        <v>76</v>
      </c>
      <c r="S269" t="n">
        <v>36</v>
      </c>
      <c r="T269" t="n">
        <v>147</v>
      </c>
      <c r="U269" t="n">
        <v>5</v>
      </c>
      <c r="V269" t="n">
        <v>54</v>
      </c>
      <c r="W269" t="n">
        <v>0.127</v>
      </c>
      <c r="X269" t="n">
        <v>75</v>
      </c>
      <c r="Y269" t="n">
        <v>51</v>
      </c>
      <c r="Z269" t="n">
        <v>72</v>
      </c>
      <c r="AA269" t="n">
        <v>8</v>
      </c>
      <c r="AB269" t="n">
        <v>13.1</v>
      </c>
      <c r="AC269" t="inlineStr">
        <is>
          <t xml:space="preserve"> On-Piste Carving</t>
        </is>
      </c>
      <c r="AG269" t="inlineStr">
        <is>
          <t>Volkl Men's Deacon XTD Skis with vMotion 10 GW Binding Black</t>
        </is>
      </c>
      <c r="AH269" t="inlineStr">
        <is>
          <t>Cotswold Outdoor US</t>
        </is>
      </c>
      <c r="AI269" s="333" t="n">
        <v>590</v>
      </c>
      <c r="AJ269" t="inlineStr">
        <is>
          <t>https://tinyurl.com/yc3rmo7f</t>
        </is>
      </c>
      <c r="AK269" t="inlineStr">
        <is>
          <t>All Mountain Skis VÃ¶lkl Deacon 74 19/20 + rMotion2 12 GW Binding (Black)</t>
        </is>
      </c>
      <c r="AL269" t="inlineStr">
        <is>
          <t>Absolute-Snow.co.uk</t>
        </is>
      </c>
      <c r="AM269" s="333" t="n">
        <v>785.95</v>
      </c>
      <c r="AN269" t="inlineStr">
        <is>
          <t>https://tinyurl.com/yccdkoo5</t>
        </is>
      </c>
      <c r="AO269" t="inlineStr">
        <is>
          <t>VÃ¶lkl Deacon 72 + rMotion3 12 GW 22/23</t>
        </is>
      </c>
      <c r="AP269" t="inlineStr">
        <is>
          <t>Snowcountry.eu</t>
        </is>
      </c>
      <c r="AQ269" s="333" t="n">
        <v>829.8099999999999</v>
      </c>
      <c r="AR269" t="inlineStr">
        <is>
          <t>https://tinyurl.com/y8th7oz7</t>
        </is>
      </c>
      <c r="AS269" s="314">
        <f>IF(LEFT(C269,1)=" ",RIGHT(C269,LEN(C269)-1),C269)</f>
        <v/>
      </c>
      <c r="AT269" s="281">
        <f>_xlfn.CONCAT(B269,AS269,D269,E269)</f>
        <v/>
      </c>
    </row>
    <row r="270">
      <c r="A270" t="inlineStr">
        <is>
          <t>21/22</t>
        </is>
      </c>
      <c r="B270" t="inlineStr">
        <is>
          <t xml:space="preserve"> Nordica</t>
        </is>
      </c>
      <c r="C270" t="inlineStr">
        <is>
          <t>Santa Ana 104 Free</t>
        </is>
      </c>
      <c r="D270" t="n">
        <v>165</v>
      </c>
      <c r="E270" t="inlineStr">
        <is>
          <t xml:space="preserve"> Women's</t>
        </is>
      </c>
      <c r="F270" t="n">
        <v>165</v>
      </c>
      <c r="G270" t="n">
        <v>164.1</v>
      </c>
      <c r="H270" t="n">
        <v>110</v>
      </c>
      <c r="I270" t="n">
        <v>135</v>
      </c>
      <c r="J270" t="n">
        <v>134</v>
      </c>
      <c r="K270" t="n">
        <v>103</v>
      </c>
      <c r="L270" t="n">
        <v>124</v>
      </c>
      <c r="M270" t="n">
        <v>15.6</v>
      </c>
      <c r="N270" t="n">
        <v>1715</v>
      </c>
      <c r="O270" t="n">
        <v>1.08</v>
      </c>
      <c r="P270" t="n">
        <v>1857</v>
      </c>
      <c r="Q270" t="n">
        <v>174</v>
      </c>
      <c r="R270" t="n">
        <v>94</v>
      </c>
      <c r="S270" t="n">
        <v>57</v>
      </c>
      <c r="T270" t="n">
        <v>297</v>
      </c>
      <c r="U270" t="n">
        <v>39</v>
      </c>
      <c r="V270" t="n">
        <v>241</v>
      </c>
      <c r="W270" t="n">
        <v>0.6870000000000001</v>
      </c>
      <c r="X270" t="n">
        <v>134</v>
      </c>
      <c r="Y270" t="n">
        <v>160</v>
      </c>
      <c r="Z270" t="n">
        <v>163</v>
      </c>
      <c r="AA270" t="n">
        <v>5</v>
      </c>
      <c r="AB270" t="n">
        <v>8.4</v>
      </c>
      <c r="AC270" t="inlineStr">
        <is>
          <t xml:space="preserve"> Resort Freeride</t>
        </is>
      </c>
      <c r="AD270" t="inlineStr">
        <is>
          <t xml:space="preserve"> Powder</t>
        </is>
      </c>
      <c r="AE270" t="inlineStr">
        <is>
          <t xml:space="preserve"> Touring</t>
        </is>
      </c>
      <c r="AG270" t="inlineStr">
        <is>
          <t>Nordica Santa Ana Free 104 21/22</t>
        </is>
      </c>
      <c r="AH270" t="inlineStr">
        <is>
          <t>Snowcountry.eu</t>
        </is>
      </c>
      <c r="AI270" s="333" t="n">
        <v>414</v>
      </c>
      <c r="AJ270" t="inlineStr">
        <is>
          <t>https://tinyurl.com/yb253jeo</t>
        </is>
      </c>
      <c r="AK270" t="inlineStr">
        <is>
          <t>Nordica Santa Ana 104 Free Skis Women's 2022</t>
        </is>
      </c>
      <c r="AL270" t="inlineStr">
        <is>
          <t>Level Nine Sports</t>
        </is>
      </c>
      <c r="AM270" s="333" t="n">
        <v>599.99</v>
      </c>
      <c r="AN270" t="inlineStr">
        <is>
          <t>https://tinyurl.com/ycxxmrsl</t>
        </is>
      </c>
      <c r="AO270" t="inlineStr">
        <is>
          <t>Nordica Santa Ana 104 Free Skis</t>
        </is>
      </c>
      <c r="AP270" t="inlineStr">
        <is>
          <t>Cole Sport</t>
        </is>
      </c>
      <c r="AQ270" s="333" t="n">
        <v>599.99</v>
      </c>
      <c r="AR270" t="inlineStr">
        <is>
          <t>https://tinyurl.com/y85wfno3</t>
        </is>
      </c>
      <c r="AS270" s="314">
        <f>IF(LEFT(C270,1)=" ",RIGHT(C270,LEN(C270)-1),C270)</f>
        <v/>
      </c>
      <c r="AT270" s="281">
        <f>_xlfn.CONCAT(B270,AS270,D270,E270)</f>
        <v/>
      </c>
    </row>
    <row r="271">
      <c r="A271" t="inlineStr">
        <is>
          <t>21/22</t>
        </is>
      </c>
      <c r="B271" t="inlineStr">
        <is>
          <t xml:space="preserve"> Rossignol</t>
        </is>
      </c>
      <c r="C271" t="inlineStr">
        <is>
          <t>Experience 80 Carbon W</t>
        </is>
      </c>
      <c r="D271" t="n">
        <v>150</v>
      </c>
      <c r="E271" t="inlineStr">
        <is>
          <t xml:space="preserve"> Women's</t>
        </is>
      </c>
      <c r="F271" t="n">
        <v>150</v>
      </c>
      <c r="G271" t="n">
        <v>150.3</v>
      </c>
      <c r="H271" t="n">
        <v>112</v>
      </c>
      <c r="I271" t="n">
        <v>136</v>
      </c>
      <c r="J271" t="n">
        <v>125</v>
      </c>
      <c r="K271" t="n">
        <v>80</v>
      </c>
      <c r="L271" t="n">
        <v>113</v>
      </c>
      <c r="M271" t="n">
        <v>11.2</v>
      </c>
      <c r="N271" t="n">
        <v>1598</v>
      </c>
      <c r="O271" t="n">
        <v>0.89</v>
      </c>
      <c r="P271" t="n">
        <v>1429</v>
      </c>
      <c r="Q271" t="n">
        <v>167</v>
      </c>
      <c r="R271" t="n">
        <v>72</v>
      </c>
      <c r="S271" t="n">
        <v>47</v>
      </c>
      <c r="T271" t="n">
        <v>260</v>
      </c>
      <c r="U271" t="n">
        <v>12</v>
      </c>
      <c r="V271" t="n">
        <v>126</v>
      </c>
      <c r="W271" t="n">
        <v>0.266</v>
      </c>
      <c r="X271" t="n">
        <v>80</v>
      </c>
      <c r="Y271" t="n">
        <v>65</v>
      </c>
      <c r="Z271" t="n">
        <v>181</v>
      </c>
      <c r="AA271" t="n">
        <v>9</v>
      </c>
      <c r="AB271" t="n">
        <v>6.6</v>
      </c>
      <c r="AC271" t="inlineStr">
        <is>
          <t xml:space="preserve"> Resort Freeride</t>
        </is>
      </c>
      <c r="AG271" t="inlineStr">
        <is>
          <t>Rossignol Experience W 80 White-Peach 150 Ski Lady's Ladies / Women</t>
        </is>
      </c>
      <c r="AH271" t="inlineStr">
        <is>
          <t>! OutdoorXL.com</t>
        </is>
      </c>
      <c r="AI271" s="333" t="n">
        <v>374.95</v>
      </c>
      <c r="AJ271" t="inlineStr">
        <is>
          <t>https://tinyurl.com/ybsrpyku</t>
        </is>
      </c>
      <c r="AK271" t="inlineStr">
        <is>
          <t>Rossignol Experience 80 Carbon Skis w/ Look Xpress 11 GW Bindings</t>
        </is>
      </c>
      <c r="AL271" t="inlineStr">
        <is>
          <t>The-House.com</t>
        </is>
      </c>
      <c r="AM271" s="333" t="n">
        <v>479.95</v>
      </c>
      <c r="AN271" t="inlineStr">
        <is>
          <t>https://tinyurl.com/ya42etwj</t>
        </is>
      </c>
      <c r="AO271" t="inlineStr">
        <is>
          <t>Rossignol Experience 80 Carbon Skis w/ Look Xpress 11 GW Bindings</t>
        </is>
      </c>
      <c r="AP271" t="inlineStr">
        <is>
          <t>eBay - asogear</t>
        </is>
      </c>
      <c r="AQ271" s="333" t="n">
        <v>489.99</v>
      </c>
      <c r="AR271" t="inlineStr">
        <is>
          <t>https://tinyurl.com/y9f3dqko</t>
        </is>
      </c>
      <c r="AS271" s="314">
        <f>IF(LEFT(C271,1)=" ",RIGHT(C271,LEN(C271)-1),C271)</f>
        <v/>
      </c>
      <c r="AT271" s="281">
        <f>_xlfn.CONCAT(B271,AS271,D271,E271)</f>
        <v/>
      </c>
    </row>
    <row r="272">
      <c r="A272" t="inlineStr">
        <is>
          <t>21/22</t>
        </is>
      </c>
      <c r="B272" t="inlineStr">
        <is>
          <t xml:space="preserve"> Elan</t>
        </is>
      </c>
      <c r="C272" t="inlineStr">
        <is>
          <t>Wingman 82 Ti</t>
        </is>
      </c>
      <c r="D272" t="n">
        <v>172</v>
      </c>
      <c r="E272" t="inlineStr">
        <is>
          <t xml:space="preserve"> Unisex</t>
        </is>
      </c>
      <c r="F272" t="n">
        <v>172</v>
      </c>
      <c r="G272" t="n">
        <v>171.3</v>
      </c>
      <c r="H272" t="n">
        <v>142</v>
      </c>
      <c r="I272" t="n">
        <v>151</v>
      </c>
      <c r="J272" t="n">
        <v>128</v>
      </c>
      <c r="K272" t="n">
        <v>81</v>
      </c>
      <c r="L272" t="n">
        <v>111</v>
      </c>
      <c r="M272" t="n">
        <v>14.3</v>
      </c>
      <c r="N272" t="n">
        <v>1910</v>
      </c>
      <c r="O272" t="n">
        <v>0.86</v>
      </c>
      <c r="P272" t="n">
        <v>1651</v>
      </c>
      <c r="Q272" t="n">
        <v>231</v>
      </c>
      <c r="R272" t="n">
        <v>99</v>
      </c>
      <c r="S272" t="n">
        <v>37</v>
      </c>
      <c r="T272" t="n">
        <v>170</v>
      </c>
      <c r="U272" t="n">
        <v>12</v>
      </c>
      <c r="V272" t="n">
        <v>122</v>
      </c>
      <c r="W272" t="n">
        <v>0.313</v>
      </c>
      <c r="X272" t="n">
        <v>105</v>
      </c>
      <c r="Y272" t="n">
        <v>95</v>
      </c>
      <c r="Z272" t="n">
        <v>66</v>
      </c>
      <c r="AA272" t="n">
        <v>11</v>
      </c>
      <c r="AB272" t="n">
        <v>10</v>
      </c>
      <c r="AC272" t="inlineStr">
        <is>
          <t xml:space="preserve"> On-Piste All-Mountain</t>
        </is>
      </c>
      <c r="AD272" t="inlineStr">
        <is>
          <t xml:space="preserve"> Resort Freeride</t>
        </is>
      </c>
      <c r="AG272" t="inlineStr">
        <is>
          <t>Elan Wingman 82 Ti Skis Men's Â· 2022 Â· 172 cm</t>
        </is>
      </c>
      <c r="AH272" t="inlineStr">
        <is>
          <t>BobWards.com</t>
        </is>
      </c>
      <c r="AI272" s="333" t="n">
        <v>399.99</v>
      </c>
      <c r="AJ272" t="inlineStr">
        <is>
          <t>https://tinyurl.com/y99aeak6</t>
        </is>
      </c>
      <c r="AK272" t="inlineStr">
        <is>
          <t>Elan Wingman 82 Ti Skis 2023 172</t>
        </is>
      </c>
      <c r="AL272" t="inlineStr">
        <is>
          <t>Ski Depot RaceSkis.com</t>
        </is>
      </c>
      <c r="AM272" s="333" t="n">
        <v>399.99</v>
      </c>
      <c r="AN272" t="inlineStr">
        <is>
          <t>https://tinyurl.com/ya76xjy3</t>
        </is>
      </c>
      <c r="AO272" t="inlineStr">
        <is>
          <t>Elan Wingman 82 Ti Skis Men's Â· 2022 Â· 172 cm</t>
        </is>
      </c>
      <c r="AP272" t="inlineStr">
        <is>
          <t>Suburban Ski and Bike</t>
        </is>
      </c>
      <c r="AQ272" s="333" t="n">
        <v>399.99</v>
      </c>
      <c r="AR272" t="inlineStr">
        <is>
          <t>https://tinyurl.com/y9wfc8mc</t>
        </is>
      </c>
      <c r="AS272" s="314">
        <f>IF(LEFT(C272,1)=" ",RIGHT(C272,LEN(C272)-1),C272)</f>
        <v/>
      </c>
      <c r="AT272" s="281">
        <f>_xlfn.CONCAT(B272,AS272,D272,E272)</f>
        <v/>
      </c>
    </row>
    <row r="273">
      <c r="A273" t="inlineStr">
        <is>
          <t>21/22</t>
        </is>
      </c>
      <c r="B273" t="inlineStr">
        <is>
          <t xml:space="preserve"> Salomon</t>
        </is>
      </c>
      <c r="C273" t="inlineStr">
        <is>
          <t>Stance 94 W</t>
        </is>
      </c>
      <c r="D273" t="n">
        <v>168</v>
      </c>
      <c r="E273" t="inlineStr">
        <is>
          <t xml:space="preserve"> Women's</t>
        </is>
      </c>
      <c r="F273" t="n">
        <v>168</v>
      </c>
      <c r="G273" t="n">
        <v>167.1</v>
      </c>
      <c r="H273" t="n">
        <v>133</v>
      </c>
      <c r="I273" t="n">
        <v>138</v>
      </c>
      <c r="J273" t="n">
        <v>126</v>
      </c>
      <c r="K273" t="n">
        <v>94</v>
      </c>
      <c r="L273" t="n">
        <v>108</v>
      </c>
      <c r="M273" t="n">
        <v>18.5</v>
      </c>
      <c r="N273" t="n">
        <v>1700</v>
      </c>
      <c r="O273" t="n">
        <v>1.02</v>
      </c>
      <c r="P273" t="n">
        <v>1733</v>
      </c>
      <c r="Q273" t="n">
        <v>171</v>
      </c>
      <c r="R273" t="n">
        <v>106</v>
      </c>
      <c r="S273" t="n">
        <v>49</v>
      </c>
      <c r="T273" t="n">
        <v>212</v>
      </c>
      <c r="U273" t="n">
        <v>6</v>
      </c>
      <c r="V273" t="n">
        <v>134</v>
      </c>
      <c r="W273" t="n">
        <v>0.114</v>
      </c>
      <c r="X273" t="n">
        <v>160</v>
      </c>
      <c r="Y273" t="n">
        <v>130</v>
      </c>
      <c r="Z273" t="n">
        <v>51</v>
      </c>
      <c r="AA273" t="n">
        <v>10</v>
      </c>
      <c r="AB273" t="n">
        <v>9.6</v>
      </c>
      <c r="AC273" t="inlineStr">
        <is>
          <t xml:space="preserve"> Resort Freeride</t>
        </is>
      </c>
      <c r="AG273" t="inlineStr">
        <is>
          <t>Salomon STANCE W 94 168cm</t>
        </is>
      </c>
      <c r="AH273" t="inlineStr">
        <is>
          <t>Sundance Ski and Board Shop</t>
        </is>
      </c>
      <c r="AI273" s="333" t="n">
        <v>601.49</v>
      </c>
      <c r="AJ273" t="inlineStr">
        <is>
          <t>https://tinyurl.com/y7lwtowt</t>
        </is>
      </c>
      <c r="AK273" t="inlineStr">
        <is>
          <t>Salomon Stance W 94 Skis 2022</t>
        </is>
      </c>
      <c r="AL273" t="inlineStr">
        <is>
          <t>Level Nine Sports</t>
        </is>
      </c>
      <c r="AM273" s="333" t="n">
        <v>649.99</v>
      </c>
      <c r="AN273" t="inlineStr">
        <is>
          <t>https://tinyurl.com/yatabom4</t>
        </is>
      </c>
      <c r="AO273" t="inlineStr">
        <is>
          <t>Salomon Stance 94 Women's Skis 2022</t>
        </is>
      </c>
      <c r="AP273" t="inlineStr">
        <is>
          <t>Hillcrest Ski &amp; Sports</t>
        </is>
      </c>
      <c r="AQ273" s="333" t="n">
        <v>519.99</v>
      </c>
      <c r="AR273" t="inlineStr">
        <is>
          <t>https://tinyurl.com/yaqdsgls</t>
        </is>
      </c>
      <c r="AS273" s="314">
        <f>IF(LEFT(C273,1)=" ",RIGHT(C273,LEN(C273)-1),C273)</f>
        <v/>
      </c>
      <c r="AT273" s="281">
        <f>_xlfn.CONCAT(B273,AS273,D273,E273)</f>
        <v/>
      </c>
    </row>
    <row r="274">
      <c r="A274" t="inlineStr">
        <is>
          <t>21/22</t>
        </is>
      </c>
      <c r="B274" t="inlineStr">
        <is>
          <t xml:space="preserve"> Blizzard</t>
        </is>
      </c>
      <c r="C274" t="inlineStr">
        <is>
          <t>Rustler 9</t>
        </is>
      </c>
      <c r="D274" t="n">
        <v>172</v>
      </c>
      <c r="E274" t="inlineStr">
        <is>
          <t xml:space="preserve"> Unisex</t>
        </is>
      </c>
      <c r="F274" t="n">
        <v>172</v>
      </c>
      <c r="G274" t="n">
        <v>170.8</v>
      </c>
      <c r="H274" t="n">
        <v>118</v>
      </c>
      <c r="I274" t="n">
        <v>142</v>
      </c>
      <c r="J274" t="n">
        <v>124</v>
      </c>
      <c r="K274" t="n">
        <v>91</v>
      </c>
      <c r="L274" t="n">
        <v>113</v>
      </c>
      <c r="M274" t="n">
        <v>15.9</v>
      </c>
      <c r="N274" t="n">
        <v>1914</v>
      </c>
      <c r="O274" t="n">
        <v>0.92</v>
      </c>
      <c r="P274" t="n">
        <v>1751</v>
      </c>
      <c r="Q274" t="n">
        <v>200</v>
      </c>
      <c r="R274" t="n">
        <v>109</v>
      </c>
      <c r="S274" t="n">
        <v>62</v>
      </c>
      <c r="T274" t="n">
        <v>320</v>
      </c>
      <c r="U274" t="n">
        <v>27</v>
      </c>
      <c r="V274" t="n">
        <v>208</v>
      </c>
      <c r="W274" t="n">
        <v>0.436</v>
      </c>
      <c r="X274" t="n">
        <v>153</v>
      </c>
      <c r="Y274" t="n">
        <v>133</v>
      </c>
      <c r="Z274" t="n">
        <v>167</v>
      </c>
      <c r="AA274" t="n">
        <v>5</v>
      </c>
      <c r="AB274" t="n">
        <v>7.2</v>
      </c>
      <c r="AC274" t="inlineStr">
        <is>
          <t xml:space="preserve"> Resort Freeride</t>
        </is>
      </c>
      <c r="AG274" t="inlineStr">
        <is>
          <t>Blizzard Rustler 9 Skis</t>
        </is>
      </c>
      <c r="AH274" t="inlineStr">
        <is>
          <t xml:space="preserve">Aspen East </t>
        </is>
      </c>
      <c r="AI274" s="333" t="n">
        <v>529</v>
      </c>
      <c r="AJ274" t="inlineStr">
        <is>
          <t>https://tinyurl.com/y937nsua</t>
        </is>
      </c>
      <c r="AK274" t="inlineStr">
        <is>
          <t>Blizzard Rustler 9 Skis</t>
        </is>
      </c>
      <c r="AL274" t="inlineStr">
        <is>
          <t>Powder7 Ski Shop</t>
        </is>
      </c>
      <c r="AM274" s="333" t="n">
        <v>529.9299999999999</v>
      </c>
      <c r="AN274" t="inlineStr">
        <is>
          <t>https://tinyurl.com/ybh64hvo</t>
        </is>
      </c>
      <c r="AO274" t="inlineStr">
        <is>
          <t>Blizzard Rustler 9 Skis - Winter 2021/2022 172</t>
        </is>
      </c>
      <c r="AP274" t="inlineStr">
        <is>
          <t>Equipe Sport</t>
        </is>
      </c>
      <c r="AQ274" s="333" t="n">
        <v>599</v>
      </c>
      <c r="AR274" t="inlineStr">
        <is>
          <t>https://tinyurl.com/y8z7z4ov</t>
        </is>
      </c>
      <c r="AS274" s="314">
        <f>IF(LEFT(C274,1)=" ",RIGHT(C274,LEN(C274)-1),C274)</f>
        <v/>
      </c>
      <c r="AT274" s="281">
        <f>_xlfn.CONCAT(B274,AS274,D274,E274)</f>
        <v/>
      </c>
    </row>
    <row r="275">
      <c r="A275" t="inlineStr">
        <is>
          <t>21/22</t>
        </is>
      </c>
      <c r="B275" t="inlineStr">
        <is>
          <t xml:space="preserve"> Line</t>
        </is>
      </c>
      <c r="C275" t="inlineStr">
        <is>
          <t xml:space="preserve"> Honey Badger</t>
        </is>
      </c>
      <c r="D275" t="n">
        <v>177</v>
      </c>
      <c r="E275" t="inlineStr">
        <is>
          <t xml:space="preserve"> Unisex</t>
        </is>
      </c>
      <c r="F275" t="n">
        <v>177</v>
      </c>
      <c r="G275" t="n">
        <v>176.2</v>
      </c>
      <c r="H275" t="n">
        <v>136</v>
      </c>
      <c r="I275" t="n">
        <v>152</v>
      </c>
      <c r="J275" t="n">
        <v>120</v>
      </c>
      <c r="K275" t="n">
        <v>91</v>
      </c>
      <c r="L275" t="n">
        <v>117</v>
      </c>
      <c r="M275" t="n">
        <v>20.4</v>
      </c>
      <c r="N275" t="n">
        <v>1704</v>
      </c>
      <c r="O275" t="n">
        <v>1.05</v>
      </c>
      <c r="P275" t="n">
        <v>1784</v>
      </c>
      <c r="Q275" t="n">
        <v>164</v>
      </c>
      <c r="R275" t="n">
        <v>71</v>
      </c>
      <c r="S275" t="n">
        <v>44</v>
      </c>
      <c r="T275" t="n">
        <v>195</v>
      </c>
      <c r="U275" t="n">
        <v>44</v>
      </c>
      <c r="V275" t="n">
        <v>210</v>
      </c>
      <c r="W275" t="n">
        <v>0.986</v>
      </c>
      <c r="X275" t="n">
        <v>120</v>
      </c>
      <c r="Y275" t="n">
        <v>122</v>
      </c>
      <c r="Z275" t="n">
        <v>75</v>
      </c>
      <c r="AA275" t="n">
        <v>5</v>
      </c>
      <c r="AB275" t="n">
        <v>3.3</v>
      </c>
      <c r="AC275" t="inlineStr">
        <is>
          <t xml:space="preserve"> Freeski</t>
        </is>
      </c>
      <c r="AG275" t="inlineStr">
        <is>
          <t>'22 Line Honey Badger Skis 177cm</t>
        </is>
      </c>
      <c r="AH275" t="inlineStr">
        <is>
          <t>Al's Ski Equipment Barn</t>
        </is>
      </c>
      <c r="AI275" s="333" t="n">
        <v>329.95</v>
      </c>
      <c r="AJ275" t="inlineStr">
        <is>
          <t>https://tinyurl.com/ydgrd27w</t>
        </is>
      </c>
      <c r="AK275" t="inlineStr">
        <is>
          <t>Line Honey Badger Skis 2022</t>
        </is>
      </c>
      <c r="AL275" t="inlineStr">
        <is>
          <t>UtahSkis</t>
        </is>
      </c>
      <c r="AM275" s="333" t="n">
        <v>349.95</v>
      </c>
      <c r="AN275" t="inlineStr">
        <is>
          <t>https://tinyurl.com/y8dppznu</t>
        </is>
      </c>
      <c r="AS275" s="314">
        <f>IF(LEFT(C275,1)=" ",RIGHT(C275,LEN(C275)-1),C275)</f>
        <v/>
      </c>
      <c r="AT275" s="281">
        <f>_xlfn.CONCAT(B275,AS275,D275,E275)</f>
        <v/>
      </c>
    </row>
    <row r="276">
      <c r="A276" t="inlineStr">
        <is>
          <t>21/22</t>
        </is>
      </c>
      <c r="B276" t="inlineStr">
        <is>
          <t xml:space="preserve"> Elan</t>
        </is>
      </c>
      <c r="C276" t="inlineStr">
        <is>
          <t>Wildcat 82 CX</t>
        </is>
      </c>
      <c r="D276" t="n">
        <v>164</v>
      </c>
      <c r="E276" t="inlineStr">
        <is>
          <t xml:space="preserve"> Women's</t>
        </is>
      </c>
      <c r="F276" t="n">
        <v>164</v>
      </c>
      <c r="G276" t="n">
        <v>165.2</v>
      </c>
      <c r="H276" t="n">
        <v>136</v>
      </c>
      <c r="I276" t="n">
        <v>145</v>
      </c>
      <c r="J276" t="n">
        <v>128</v>
      </c>
      <c r="K276" t="n">
        <v>82</v>
      </c>
      <c r="L276" t="n">
        <v>112</v>
      </c>
      <c r="M276" t="n">
        <v>13.1</v>
      </c>
      <c r="N276" t="n">
        <v>1790</v>
      </c>
      <c r="O276" t="n">
        <v>0.89</v>
      </c>
      <c r="P276" t="n">
        <v>1600</v>
      </c>
      <c r="Q276" t="n">
        <v>206</v>
      </c>
      <c r="R276" t="n">
        <v>91</v>
      </c>
      <c r="S276" t="n">
        <v>41</v>
      </c>
      <c r="T276" t="n">
        <v>179</v>
      </c>
      <c r="U276" t="n">
        <v>9</v>
      </c>
      <c r="V276" t="n">
        <v>118</v>
      </c>
      <c r="W276" t="n">
        <v>0.214</v>
      </c>
      <c r="X276" t="n">
        <v>106</v>
      </c>
      <c r="Y276" t="n">
        <v>92</v>
      </c>
      <c r="Z276" t="n">
        <v>72</v>
      </c>
      <c r="AA276" t="n">
        <v>8</v>
      </c>
      <c r="AB276" t="n">
        <v>8.4</v>
      </c>
      <c r="AC276" t="inlineStr">
        <is>
          <t xml:space="preserve"> On-Piste All-Mountain</t>
        </is>
      </c>
      <c r="AD276" t="inlineStr">
        <is>
          <t xml:space="preserve"> Resort Freeride</t>
        </is>
      </c>
      <c r="AG276" t="inlineStr">
        <is>
          <t>Elan Wildcat 82 CX + ELW 11 Shift 20/21</t>
        </is>
      </c>
      <c r="AH276" t="inlineStr">
        <is>
          <t>Snowcountry.eu</t>
        </is>
      </c>
      <c r="AI276" s="333" t="n">
        <v>414</v>
      </c>
      <c r="AJ276" t="inlineStr">
        <is>
          <t>https://tinyurl.com/ycn89azu</t>
        </is>
      </c>
      <c r="AK276" t="inlineStr">
        <is>
          <t>Elan Wildcat 82 CX Skis NA 164</t>
        </is>
      </c>
      <c r="AL276" t="inlineStr">
        <is>
          <t>U.S. Outdoor</t>
        </is>
      </c>
      <c r="AM276" s="333" t="n">
        <v>499.99</v>
      </c>
      <c r="AN276" t="inlineStr">
        <is>
          <t>https://tinyurl.com/yapcczbm</t>
        </is>
      </c>
      <c r="AO276" t="inlineStr">
        <is>
          <t>Elan Wildcat 82 CX Skis Na 164</t>
        </is>
      </c>
      <c r="AP276" t="inlineStr">
        <is>
          <t>Discount Bandit - Home Run Deals</t>
        </is>
      </c>
      <c r="AQ276" s="333" t="n">
        <v>505.04</v>
      </c>
      <c r="AR276" t="inlineStr">
        <is>
          <t>https://tinyurl.com/yagqehrw</t>
        </is>
      </c>
      <c r="AS276" s="314">
        <f>IF(LEFT(C276,1)=" ",RIGHT(C276,LEN(C276)-1),C276)</f>
        <v/>
      </c>
      <c r="AT276" s="281">
        <f>_xlfn.CONCAT(B276,AS276,D276,E276)</f>
        <v/>
      </c>
    </row>
    <row r="277">
      <c r="A277" t="inlineStr">
        <is>
          <t>21/22</t>
        </is>
      </c>
      <c r="B277" t="inlineStr">
        <is>
          <t>K2</t>
        </is>
      </c>
      <c r="C277" t="inlineStr">
        <is>
          <t>Mindbender 88 Ti Alliance</t>
        </is>
      </c>
      <c r="D277" t="n">
        <v>170</v>
      </c>
      <c r="E277" t="inlineStr">
        <is>
          <t xml:space="preserve"> Women's</t>
        </is>
      </c>
      <c r="F277" t="n">
        <v>170</v>
      </c>
      <c r="G277" t="n">
        <v>169.4</v>
      </c>
      <c r="H277" t="n">
        <v>125</v>
      </c>
      <c r="I277" t="n">
        <v>146</v>
      </c>
      <c r="J277" t="n">
        <v>125</v>
      </c>
      <c r="K277" t="n">
        <v>87</v>
      </c>
      <c r="L277" t="n">
        <v>111</v>
      </c>
      <c r="M277" t="n">
        <v>16.5</v>
      </c>
      <c r="N277" t="n">
        <v>1668</v>
      </c>
      <c r="O277" t="n">
        <v>1.01</v>
      </c>
      <c r="P277" t="n">
        <v>1685</v>
      </c>
      <c r="Q277" t="n">
        <v>176</v>
      </c>
      <c r="R277" t="n">
        <v>90</v>
      </c>
      <c r="S277" t="n">
        <v>52</v>
      </c>
      <c r="T277" t="n">
        <v>250</v>
      </c>
      <c r="U277" t="n">
        <v>26</v>
      </c>
      <c r="V277" t="n">
        <v>198</v>
      </c>
      <c r="W277" t="n">
        <v>0.495</v>
      </c>
      <c r="X277" t="n">
        <v>137</v>
      </c>
      <c r="Y277" t="n">
        <v>99</v>
      </c>
      <c r="Z277" t="n">
        <v>112</v>
      </c>
      <c r="AA277" t="n">
        <v>8</v>
      </c>
      <c r="AB277" t="n">
        <v>11.2</v>
      </c>
      <c r="AC277" t="inlineStr">
        <is>
          <t xml:space="preserve"> Resort Freeride</t>
        </is>
      </c>
      <c r="AG277" t="inlineStr">
        <is>
          <t>K2 Mindbender 88 Ti Alliance Squire 11 ID Set - Black 170</t>
        </is>
      </c>
      <c r="AH277" t="inlineStr">
        <is>
          <t>! OutdoorXL.com</t>
        </is>
      </c>
      <c r="AI277" s="333" t="n">
        <v>469.95</v>
      </c>
      <c r="AJ277" t="inlineStr">
        <is>
          <t>https://tinyurl.com/yd8bwp8d</t>
        </is>
      </c>
      <c r="AK277" t="inlineStr">
        <is>
          <t>K2 Mindbender 88 Ti Alliance Skis 2021 170</t>
        </is>
      </c>
      <c r="AL277" t="inlineStr">
        <is>
          <t>Gear Coop</t>
        </is>
      </c>
      <c r="AM277" s="333" t="n">
        <v>800</v>
      </c>
      <c r="AN277" t="inlineStr">
        <is>
          <t>https://tinyurl.com/yd6ldbvf</t>
        </is>
      </c>
      <c r="AO277" t="inlineStr">
        <is>
          <t>K2 Mindbender 89 Ti Alliance 22/23</t>
        </is>
      </c>
      <c r="AP277" t="inlineStr">
        <is>
          <t>Snowcountry.eu</t>
        </is>
      </c>
      <c r="AQ277" s="333" t="n">
        <v>599.29</v>
      </c>
      <c r="AR277" t="inlineStr">
        <is>
          <t>https://tinyurl.com/y97fexu3</t>
        </is>
      </c>
      <c r="AS277" s="314">
        <f>IF(LEFT(C277,1)=" ",RIGHT(C277,LEN(C277)-1),C277)</f>
        <v/>
      </c>
      <c r="AT277" s="281">
        <f>_xlfn.CONCAT(B277,AS277,D277,E277)</f>
        <v/>
      </c>
    </row>
    <row r="278">
      <c r="A278" t="inlineStr">
        <is>
          <t>21/22</t>
        </is>
      </c>
      <c r="B278" t="inlineStr">
        <is>
          <t xml:space="preserve"> Icelantic</t>
        </is>
      </c>
      <c r="C278" t="inlineStr">
        <is>
          <t>Pioneer 96</t>
        </is>
      </c>
      <c r="D278" t="n">
        <v>166</v>
      </c>
      <c r="E278" t="inlineStr">
        <is>
          <t xml:space="preserve"> Unisex</t>
        </is>
      </c>
      <c r="F278" t="n">
        <v>166</v>
      </c>
      <c r="G278" t="n">
        <v>165.1</v>
      </c>
      <c r="H278" t="n">
        <v>112</v>
      </c>
      <c r="I278" t="n">
        <v>135</v>
      </c>
      <c r="J278" t="n">
        <v>131</v>
      </c>
      <c r="K278" t="n">
        <v>96</v>
      </c>
      <c r="L278" t="n">
        <v>117</v>
      </c>
      <c r="M278" t="n">
        <v>15.5</v>
      </c>
      <c r="N278" t="n">
        <v>1691</v>
      </c>
      <c r="O278" t="n">
        <v>1.04</v>
      </c>
      <c r="P278" t="n">
        <v>1757</v>
      </c>
      <c r="Q278" t="n">
        <v>200</v>
      </c>
      <c r="R278" t="n">
        <v>94</v>
      </c>
      <c r="S278" t="n">
        <v>53</v>
      </c>
      <c r="T278" t="n">
        <v>308</v>
      </c>
      <c r="U278" t="n">
        <v>17</v>
      </c>
      <c r="V278" t="n">
        <v>228</v>
      </c>
      <c r="W278" t="n">
        <v>0.327999999999999</v>
      </c>
      <c r="X278" t="n">
        <v>182</v>
      </c>
      <c r="Y278" t="n">
        <v>116</v>
      </c>
      <c r="Z278" t="n">
        <v>126</v>
      </c>
      <c r="AA278" t="n">
        <v>6</v>
      </c>
      <c r="AB278" t="n">
        <v>8.800000000000001</v>
      </c>
      <c r="AC278" t="inlineStr">
        <is>
          <t xml:space="preserve"> Resort Freeride</t>
        </is>
      </c>
      <c r="AG278" t="inlineStr">
        <is>
          <t>Icelantic Pioneer 96 Skis</t>
        </is>
      </c>
      <c r="AH278" t="inlineStr">
        <is>
          <t>Curated</t>
        </is>
      </c>
      <c r="AI278" s="333" t="n">
        <v>509</v>
      </c>
      <c r="AJ278" t="inlineStr">
        <is>
          <t>https://tinyurl.com/yat6joe8</t>
        </is>
      </c>
      <c r="AK278" t="inlineStr">
        <is>
          <t>Icelantic Pioneer 96 Skis</t>
        </is>
      </c>
      <c r="AL278" t="inlineStr">
        <is>
          <t>Teton Wasatch Ski Co.</t>
        </is>
      </c>
      <c r="AM278" s="333" t="n">
        <v>509</v>
      </c>
      <c r="AN278" t="inlineStr">
        <is>
          <t>https://tinyurl.com/y74a3sm4</t>
        </is>
      </c>
      <c r="AO278" t="inlineStr">
        <is>
          <t>Icelantic Pioneer 96 Skis 2022 166cm</t>
        </is>
      </c>
      <c r="AP278" t="inlineStr">
        <is>
          <t>Glacier Ski Shop</t>
        </is>
      </c>
      <c r="AQ278" s="333" t="n">
        <v>509</v>
      </c>
      <c r="AR278" t="inlineStr">
        <is>
          <t>https://tinyurl.com/yccggj3x</t>
        </is>
      </c>
      <c r="AS278" s="314">
        <f>IF(LEFT(C278,1)=" ",RIGHT(C278,LEN(C278)-1),C278)</f>
        <v/>
      </c>
      <c r="AT278" s="281">
        <f>_xlfn.CONCAT(B278,AS278,D278,E278)</f>
        <v/>
      </c>
    </row>
    <row r="279">
      <c r="A279" t="inlineStr">
        <is>
          <t>21/22</t>
        </is>
      </c>
      <c r="B279" t="inlineStr">
        <is>
          <t xml:space="preserve"> Fischer</t>
        </is>
      </c>
      <c r="C279" t="inlineStr">
        <is>
          <t>Ranger 99 Ti W</t>
        </is>
      </c>
      <c r="D279" t="n">
        <v>166</v>
      </c>
      <c r="E279" t="inlineStr">
        <is>
          <t xml:space="preserve"> Women's</t>
        </is>
      </c>
      <c r="F279" t="n">
        <v>166</v>
      </c>
      <c r="G279" t="n">
        <v>165.2</v>
      </c>
      <c r="H279" t="n">
        <v>114</v>
      </c>
      <c r="I279" t="n">
        <v>140</v>
      </c>
      <c r="J279" t="n">
        <v>126</v>
      </c>
      <c r="K279" t="n">
        <v>94</v>
      </c>
      <c r="L279" t="n">
        <v>117</v>
      </c>
      <c r="M279" t="n">
        <v>15.3</v>
      </c>
      <c r="N279" t="n">
        <v>1723</v>
      </c>
      <c r="O279" t="n">
        <v>1.01</v>
      </c>
      <c r="P279" t="n">
        <v>1740</v>
      </c>
      <c r="Q279" t="n">
        <v>189</v>
      </c>
      <c r="R279" t="n">
        <v>118</v>
      </c>
      <c r="S279" t="n">
        <v>45</v>
      </c>
      <c r="T279" t="n">
        <v>286</v>
      </c>
      <c r="U279" t="n">
        <v>19</v>
      </c>
      <c r="V279" t="n">
        <v>229</v>
      </c>
      <c r="W279" t="n">
        <v>0.409</v>
      </c>
      <c r="X279" t="n">
        <v>134</v>
      </c>
      <c r="Y279" t="n">
        <v>120</v>
      </c>
      <c r="Z279" t="n">
        <v>152</v>
      </c>
      <c r="AA279" t="n">
        <v>4</v>
      </c>
      <c r="AB279" t="n">
        <v>9.5</v>
      </c>
      <c r="AC279" t="inlineStr">
        <is>
          <t xml:space="preserve"> Resort Freeride</t>
        </is>
      </c>
      <c r="AG279" t="inlineStr">
        <is>
          <t>Fischer RANGER 99 TI Women's Skis 2021</t>
        </is>
      </c>
      <c r="AH279" t="inlineStr">
        <is>
          <t>Level Nine Sports</t>
        </is>
      </c>
      <c r="AI279" s="333" t="n">
        <v>389.99</v>
      </c>
      <c r="AJ279" t="inlineStr">
        <is>
          <t>https://tinyurl.com/yahkkpd5</t>
        </is>
      </c>
      <c r="AK279" t="inlineStr">
        <is>
          <t>Fischer Ranger 99 Ti Skis with Tyrolia Attack 13 Demo Bindings 166cm (1101048)</t>
        </is>
      </c>
      <c r="AL279" t="inlineStr">
        <is>
          <t>SidelineSwap</t>
        </is>
      </c>
      <c r="AM279" s="333" t="n">
        <v>499</v>
      </c>
      <c r="AN279" t="inlineStr">
        <is>
          <t>https://tinyurl.com/yajb75n3</t>
        </is>
      </c>
      <c r="AO279" t="inlineStr">
        <is>
          <t>2019 Fischer My Ranger 85 Women's Light All Mountain Skis 166cm No</t>
        </is>
      </c>
      <c r="AP279" t="inlineStr">
        <is>
          <t>eBay - matterhood</t>
        </is>
      </c>
      <c r="AQ279" s="333" t="n">
        <v>318</v>
      </c>
      <c r="AR279" t="inlineStr">
        <is>
          <t>https://tinyurl.com/y87hhpy3</t>
        </is>
      </c>
      <c r="AS279" s="314">
        <f>IF(LEFT(C279,1)=" ",RIGHT(C279,LEN(C279)-1),C279)</f>
        <v/>
      </c>
      <c r="AT279" s="281">
        <f>_xlfn.CONCAT(B279,AS279,D279,E279)</f>
        <v/>
      </c>
    </row>
    <row r="280">
      <c r="A280" t="inlineStr">
        <is>
          <t>21/22</t>
        </is>
      </c>
      <c r="B280" t="inlineStr">
        <is>
          <t xml:space="preserve"> Black Crows</t>
        </is>
      </c>
      <c r="C280" t="inlineStr">
        <is>
          <t xml:space="preserve"> Ferox Freebird</t>
        </is>
      </c>
      <c r="D280" t="n">
        <v>186.2</v>
      </c>
      <c r="E280" t="inlineStr">
        <is>
          <t xml:space="preserve"> Unisex</t>
        </is>
      </c>
      <c r="F280" t="n">
        <v>186.2</v>
      </c>
      <c r="G280" t="n">
        <v>184.6</v>
      </c>
      <c r="H280" t="n">
        <v>136</v>
      </c>
      <c r="I280" t="n">
        <v>145</v>
      </c>
      <c r="J280" t="n">
        <v>138</v>
      </c>
      <c r="K280" t="n">
        <v>109</v>
      </c>
      <c r="L280" t="n">
        <v>127</v>
      </c>
      <c r="M280" t="n">
        <v>21.2</v>
      </c>
      <c r="N280" t="n">
        <v>1964</v>
      </c>
      <c r="O280" t="n">
        <v>1.11</v>
      </c>
      <c r="P280" t="n">
        <v>2179</v>
      </c>
      <c r="Q280" t="n">
        <v>210</v>
      </c>
      <c r="R280" t="n">
        <v>94</v>
      </c>
      <c r="S280" t="n">
        <v>42</v>
      </c>
      <c r="T280" t="n">
        <v>195</v>
      </c>
      <c r="U280" t="n">
        <v>39</v>
      </c>
      <c r="V280" t="n">
        <v>293</v>
      </c>
      <c r="W280" t="n">
        <v>0.927999999999999</v>
      </c>
      <c r="X280" t="n">
        <v>220</v>
      </c>
      <c r="Y280" t="n">
        <v>174</v>
      </c>
      <c r="Z280" t="n">
        <v>-25</v>
      </c>
      <c r="AA280" t="n">
        <v>3</v>
      </c>
      <c r="AB280" t="n">
        <v>8.199999999999999</v>
      </c>
      <c r="AC280" t="inlineStr">
        <is>
          <t xml:space="preserve"> Freeski</t>
        </is>
      </c>
      <c r="AD280" t="inlineStr">
        <is>
          <t xml:space="preserve"> Powder</t>
        </is>
      </c>
      <c r="AE280" t="inlineStr">
        <is>
          <t xml:space="preserve"> Touring</t>
        </is>
      </c>
      <c r="AG280" t="inlineStr">
        <is>
          <t>Black Crows Ferox Freebird 186</t>
        </is>
      </c>
      <c r="AH280" t="inlineStr">
        <is>
          <t>Outbound Mountain Gear</t>
        </is>
      </c>
      <c r="AI280" s="333" t="n">
        <v>1019.99</v>
      </c>
      <c r="AJ280" t="inlineStr">
        <is>
          <t>https://tinyurl.com/y9gx8zrx</t>
        </is>
      </c>
      <c r="AK280" t="inlineStr">
        <is>
          <t>Skis Black Crows Ferox Freebird</t>
        </is>
      </c>
      <c r="AL280" t="inlineStr">
        <is>
          <t>SkatePro.com</t>
        </is>
      </c>
      <c r="AM280" s="333" t="n">
        <v>709.95</v>
      </c>
      <c r="AN280" t="inlineStr">
        <is>
          <t>https://tinyurl.com/yafje7hs</t>
        </is>
      </c>
      <c r="AO280" t="inlineStr">
        <is>
          <t>Black Crows Ferox Freebird Skis (2022) 186</t>
        </is>
      </c>
      <c r="AP280" t="inlineStr">
        <is>
          <t>Cripple Creek Backcountry</t>
        </is>
      </c>
      <c r="AQ280" s="333" t="n">
        <v>799.95</v>
      </c>
      <c r="AR280" t="inlineStr">
        <is>
          <t>https://tinyurl.com/y7f4as2c</t>
        </is>
      </c>
      <c r="AS280" s="314">
        <f>IF(LEFT(C280,1)=" ",RIGHT(C280,LEN(C280)-1),C280)</f>
        <v/>
      </c>
      <c r="AT280" s="281">
        <f>_xlfn.CONCAT(B280,AS280,D280,E280)</f>
        <v/>
      </c>
    </row>
    <row r="281">
      <c r="A281" t="inlineStr">
        <is>
          <t>21/22</t>
        </is>
      </c>
      <c r="B281" t="inlineStr">
        <is>
          <t>K2</t>
        </is>
      </c>
      <c r="C281" t="inlineStr">
        <is>
          <t>Mindbender 98 Ti Alliance</t>
        </is>
      </c>
      <c r="D281" t="n">
        <v>168</v>
      </c>
      <c r="E281" t="inlineStr">
        <is>
          <t xml:space="preserve"> Women's</t>
        </is>
      </c>
      <c r="F281" t="n">
        <v>168</v>
      </c>
      <c r="G281" t="n">
        <v>167.8</v>
      </c>
      <c r="H281" t="n">
        <v>119</v>
      </c>
      <c r="I281" t="n">
        <v>139</v>
      </c>
      <c r="J281" t="n">
        <v>132</v>
      </c>
      <c r="K281" t="n">
        <v>97</v>
      </c>
      <c r="L281" t="n">
        <v>118</v>
      </c>
      <c r="M281" t="n">
        <v>16.3</v>
      </c>
      <c r="N281" t="n">
        <v>1803</v>
      </c>
      <c r="O281" t="n">
        <v>1.01</v>
      </c>
      <c r="P281" t="n">
        <v>1823</v>
      </c>
      <c r="Q281" t="n">
        <v>169</v>
      </c>
      <c r="R281" t="n">
        <v>106</v>
      </c>
      <c r="S281" t="n">
        <v>51</v>
      </c>
      <c r="T281" t="n">
        <v>294</v>
      </c>
      <c r="U281" t="n">
        <v>19</v>
      </c>
      <c r="V281" t="n">
        <v>197</v>
      </c>
      <c r="W281" t="n">
        <v>0.374</v>
      </c>
      <c r="X281" t="n">
        <v>157</v>
      </c>
      <c r="Y281" t="n">
        <v>128</v>
      </c>
      <c r="Z281" t="n">
        <v>137</v>
      </c>
      <c r="AA281" t="n">
        <v>7</v>
      </c>
      <c r="AB281" t="n">
        <v>10.3</v>
      </c>
      <c r="AC281" t="inlineStr">
        <is>
          <t xml:space="preserve"> Resort Freeride</t>
        </is>
      </c>
      <c r="AG281" t="inlineStr">
        <is>
          <t>K2 Mindbender 100 TI USA Alliance Skis 2022 - Size: 168</t>
        </is>
      </c>
      <c r="AH281" t="inlineStr">
        <is>
          <t>K2 Snow</t>
        </is>
      </c>
      <c r="AI281" s="333" t="n">
        <v>1199</v>
      </c>
      <c r="AJ281" t="inlineStr">
        <is>
          <t>https://tinyurl.com/y6wyqv86</t>
        </is>
      </c>
      <c r="AK281" t="inlineStr">
        <is>
          <t>K2 Mindbender 98Ti Alliance Skis - Women's - 2022</t>
        </is>
      </c>
      <c r="AL281" t="inlineStr">
        <is>
          <t>Snowcountry.eu</t>
        </is>
      </c>
      <c r="AM281" s="333" t="n">
        <v>450.88</v>
      </c>
      <c r="AN281" t="inlineStr">
        <is>
          <t>https://tinyurl.com/y9vsnyjv</t>
        </is>
      </c>
      <c r="AO281" t="inlineStr">
        <is>
          <t>K2 Mindbender 98Ti Alliance Skis - Women's - 2022</t>
        </is>
      </c>
      <c r="AP281" t="inlineStr">
        <is>
          <t>! OutdoorXL.com</t>
        </is>
      </c>
      <c r="AQ281" s="333" t="n">
        <v>514.95</v>
      </c>
      <c r="AR281" t="inlineStr">
        <is>
          <t>https://tinyurl.com/ybqozs9q</t>
        </is>
      </c>
      <c r="AS281" s="314">
        <f>IF(LEFT(C281,1)=" ",RIGHT(C281,LEN(C281)-1),C281)</f>
        <v/>
      </c>
      <c r="AT281" s="281">
        <f>_xlfn.CONCAT(B281,AS281,D281,E281)</f>
        <v/>
      </c>
    </row>
    <row r="282">
      <c r="A282" t="inlineStr">
        <is>
          <t>21/22</t>
        </is>
      </c>
      <c r="B282" t="inlineStr">
        <is>
          <t>K2</t>
        </is>
      </c>
      <c r="C282" t="inlineStr">
        <is>
          <t xml:space="preserve"> Poacher</t>
        </is>
      </c>
      <c r="D282" t="n">
        <v>170</v>
      </c>
      <c r="E282" t="inlineStr">
        <is>
          <t xml:space="preserve"> Unisex</t>
        </is>
      </c>
      <c r="F282" t="n">
        <v>170</v>
      </c>
      <c r="G282" t="n">
        <v>168.2</v>
      </c>
      <c r="H282" t="n">
        <v>97</v>
      </c>
      <c r="I282" t="n">
        <v>131</v>
      </c>
      <c r="J282" t="n">
        <v>123</v>
      </c>
      <c r="K282" t="n">
        <v>95</v>
      </c>
      <c r="L282" t="n">
        <v>117</v>
      </c>
      <c r="M282" t="n">
        <v>15.4</v>
      </c>
      <c r="N282" t="n">
        <v>1935</v>
      </c>
      <c r="O282" t="n">
        <v>0.91</v>
      </c>
      <c r="P282" t="n">
        <v>1769</v>
      </c>
      <c r="Q282" t="n">
        <v>202</v>
      </c>
      <c r="R282" t="n">
        <v>104</v>
      </c>
      <c r="S282" t="n">
        <v>43</v>
      </c>
      <c r="T282" t="n">
        <v>368</v>
      </c>
      <c r="U282" t="n">
        <v>42</v>
      </c>
      <c r="V282" t="n">
        <v>340</v>
      </c>
      <c r="W282" t="n">
        <v>0.984</v>
      </c>
      <c r="X282" t="n">
        <v>188</v>
      </c>
      <c r="Y282" t="n">
        <v>185</v>
      </c>
      <c r="Z282" t="n">
        <v>180</v>
      </c>
      <c r="AA282" t="n">
        <v>5</v>
      </c>
      <c r="AB282" t="n">
        <v>5.3</v>
      </c>
      <c r="AC282" t="inlineStr">
        <is>
          <t xml:space="preserve"> Freeski</t>
        </is>
      </c>
      <c r="AG282" t="inlineStr">
        <is>
          <t>K2 Poacher Skis 2022 - 170</t>
        </is>
      </c>
      <c r="AH282" t="inlineStr">
        <is>
          <t>Blue Tomato</t>
        </is>
      </c>
      <c r="AI282" s="333" t="n">
        <v>387.05</v>
      </c>
      <c r="AJ282" t="inlineStr">
        <is>
          <t>https://tinyurl.com/yaa7jjjq</t>
        </is>
      </c>
      <c r="AK282" t="inlineStr">
        <is>
          <t>'22 K2 Poacher Skis 170cm</t>
        </is>
      </c>
      <c r="AL282" t="inlineStr">
        <is>
          <t>Al's Ski Equipment Barn</t>
        </is>
      </c>
      <c r="AM282" s="333" t="n">
        <v>499</v>
      </c>
      <c r="AN282" t="inlineStr">
        <is>
          <t>https://tinyurl.com/yacqfnyn</t>
        </is>
      </c>
      <c r="AO282" t="inlineStr">
        <is>
          <t>K2 Poacher Skis 2022 - 170</t>
        </is>
      </c>
      <c r="AP282" t="inlineStr">
        <is>
          <t>evo.com</t>
        </is>
      </c>
      <c r="AQ282" s="333" t="n">
        <v>499.95</v>
      </c>
      <c r="AR282" t="inlineStr">
        <is>
          <t>https://tinyurl.com/ycw3oxy6</t>
        </is>
      </c>
      <c r="AS282" s="314">
        <f>IF(LEFT(C282,1)=" ",RIGHT(C282,LEN(C282)-1),C282)</f>
        <v/>
      </c>
      <c r="AT282" s="281">
        <f>_xlfn.CONCAT(B282,AS282,D282,E282)</f>
        <v/>
      </c>
    </row>
    <row r="283">
      <c r="A283" t="inlineStr">
        <is>
          <t>21/22</t>
        </is>
      </c>
      <c r="B283" t="inlineStr">
        <is>
          <t xml:space="preserve"> Rossignol</t>
        </is>
      </c>
      <c r="C283" t="inlineStr">
        <is>
          <t xml:space="preserve"> Blackops Sender</t>
        </is>
      </c>
      <c r="D283" t="n">
        <v>164</v>
      </c>
      <c r="E283" t="inlineStr">
        <is>
          <t xml:space="preserve"> Unisex</t>
        </is>
      </c>
      <c r="F283" t="n">
        <v>164</v>
      </c>
      <c r="G283" t="n">
        <v>162.6</v>
      </c>
      <c r="H283" t="n">
        <v>113</v>
      </c>
      <c r="I283" t="n">
        <v>137</v>
      </c>
      <c r="J283" t="n">
        <v>137</v>
      </c>
      <c r="K283" t="n">
        <v>100</v>
      </c>
      <c r="L283" t="n">
        <v>127</v>
      </c>
      <c r="M283" t="n">
        <v>12.9</v>
      </c>
      <c r="N283" t="n">
        <v>1700</v>
      </c>
      <c r="O283" t="n">
        <v>1.08</v>
      </c>
      <c r="P283" t="n">
        <v>1839</v>
      </c>
      <c r="Q283" t="n">
        <v>201</v>
      </c>
      <c r="R283" t="n">
        <v>91</v>
      </c>
      <c r="S283" t="n">
        <v>48</v>
      </c>
      <c r="T283" t="n">
        <v>291</v>
      </c>
      <c r="U283" t="n">
        <v>13</v>
      </c>
      <c r="V283" t="n">
        <v>207</v>
      </c>
      <c r="W283" t="n">
        <v>0.282</v>
      </c>
      <c r="X283" t="n">
        <v>143</v>
      </c>
      <c r="Y283" t="n">
        <v>113</v>
      </c>
      <c r="Z283" t="n">
        <v>148</v>
      </c>
      <c r="AA283" t="n">
        <v>6</v>
      </c>
      <c r="AB283" t="n">
        <v>5.9</v>
      </c>
      <c r="AC283" t="inlineStr">
        <is>
          <t xml:space="preserve"> Resort Freeride</t>
        </is>
      </c>
      <c r="AD283" t="inlineStr">
        <is>
          <t xml:space="preserve"> Big Mountain</t>
        </is>
      </c>
      <c r="AE283" t="inlineStr">
        <is>
          <t xml:space="preserve"> Touring</t>
        </is>
      </c>
      <c r="AG283" t="inlineStr">
        <is>
          <t>Rossignol Blackops Sender Skis</t>
        </is>
      </c>
      <c r="AH283" t="inlineStr">
        <is>
          <t>Snowcountry.eu</t>
        </is>
      </c>
      <c r="AI283" s="333" t="n">
        <v>367.9</v>
      </c>
      <c r="AJ283" t="inlineStr">
        <is>
          <t>https://tinyurl.com/ybxpq6se</t>
        </is>
      </c>
      <c r="AK283" t="inlineStr">
        <is>
          <t>Rossignol Blackops Sender Skis 2022</t>
        </is>
      </c>
      <c r="AL283" t="inlineStr">
        <is>
          <t>Saint Bernard</t>
        </is>
      </c>
      <c r="AM283" s="333" t="n">
        <v>552.9</v>
      </c>
      <c r="AN283" t="inlineStr">
        <is>
          <t>https://tinyurl.com/yakucmjt</t>
        </is>
      </c>
      <c r="AO283" t="inlineStr">
        <is>
          <t>Rossignol Blackops Sender Skis</t>
        </is>
      </c>
      <c r="AP283" t="inlineStr">
        <is>
          <t>The-House.com</t>
        </is>
      </c>
      <c r="AQ283" s="333" t="n">
        <v>559.95</v>
      </c>
      <c r="AR283" t="inlineStr">
        <is>
          <t>https://tinyurl.com/y98fqgkg</t>
        </is>
      </c>
      <c r="AS283" s="314">
        <f>IF(LEFT(C283,1)=" ",RIGHT(C283,LEN(C283)-1),C283)</f>
        <v/>
      </c>
      <c r="AT283" s="281">
        <f>_xlfn.CONCAT(B283,AS283,D283,E283)</f>
        <v/>
      </c>
    </row>
    <row r="284">
      <c r="A284" t="inlineStr">
        <is>
          <t>21/22</t>
        </is>
      </c>
      <c r="B284" t="inlineStr">
        <is>
          <t xml:space="preserve"> Armada</t>
        </is>
      </c>
      <c r="C284" t="inlineStr">
        <is>
          <t>ARV 86</t>
        </is>
      </c>
      <c r="D284" t="n">
        <v>177</v>
      </c>
      <c r="E284" t="inlineStr">
        <is>
          <t xml:space="preserve"> Unisex</t>
        </is>
      </c>
      <c r="F284" t="n">
        <v>177</v>
      </c>
      <c r="G284" t="n">
        <v>174.9</v>
      </c>
      <c r="H284" t="n">
        <v>140</v>
      </c>
      <c r="I284" t="n">
        <v>152</v>
      </c>
      <c r="J284" t="n">
        <v>118</v>
      </c>
      <c r="K284" t="n">
        <v>85</v>
      </c>
      <c r="L284" t="n">
        <v>112</v>
      </c>
      <c r="M284" t="n">
        <v>18</v>
      </c>
      <c r="N284" t="n">
        <v>1819</v>
      </c>
      <c r="O284" t="n">
        <v>0.93</v>
      </c>
      <c r="P284" t="n">
        <v>1694</v>
      </c>
      <c r="Q284" t="n">
        <v>204</v>
      </c>
      <c r="R284" t="n">
        <v>97</v>
      </c>
      <c r="S284" t="n">
        <v>44</v>
      </c>
      <c r="T284" t="n">
        <v>181</v>
      </c>
      <c r="U284" t="n">
        <v>38</v>
      </c>
      <c r="V284" t="n">
        <v>169</v>
      </c>
      <c r="W284" t="n">
        <v>0.853</v>
      </c>
      <c r="X284" t="n">
        <v>108</v>
      </c>
      <c r="Y284" t="n">
        <v>120</v>
      </c>
      <c r="Z284" t="n">
        <v>73</v>
      </c>
      <c r="AA284" t="n">
        <v>11</v>
      </c>
      <c r="AB284" t="n">
        <v>4</v>
      </c>
      <c r="AC284" t="inlineStr">
        <is>
          <t xml:space="preserve"> Resort Freeride</t>
        </is>
      </c>
      <c r="AD284" t="inlineStr">
        <is>
          <t xml:space="preserve"> Freeski</t>
        </is>
      </c>
      <c r="AG284" t="inlineStr">
        <is>
          <t>Armada ARV 86 Skis 2022</t>
        </is>
      </c>
      <c r="AH284" t="inlineStr">
        <is>
          <t>Absolute-Snow.co.uk</t>
        </is>
      </c>
      <c r="AI284" s="333" t="n">
        <v>291</v>
      </c>
      <c r="AJ284" t="inlineStr">
        <is>
          <t>https://tinyurl.com/ybbpa8hs</t>
        </is>
      </c>
      <c r="AK284" t="inlineStr">
        <is>
          <t>Armada ARV 86 Skis 2022</t>
        </is>
      </c>
      <c r="AL284" t="inlineStr">
        <is>
          <t>! OutdoorXL.com</t>
        </is>
      </c>
      <c r="AM284" s="333" t="n">
        <v>339.95</v>
      </c>
      <c r="AN284" t="inlineStr">
        <is>
          <t>https://tinyurl.com/ybqpfy5r</t>
        </is>
      </c>
      <c r="AO284" t="inlineStr">
        <is>
          <t>'22 Armada ARV 86 Skis 177cm</t>
        </is>
      </c>
      <c r="AP284" t="inlineStr">
        <is>
          <t>Al's Ski Equipment Barn</t>
        </is>
      </c>
      <c r="AQ284" s="333" t="n">
        <v>399.95</v>
      </c>
      <c r="AR284" t="inlineStr">
        <is>
          <t>https://tinyurl.com/y86jjh8y</t>
        </is>
      </c>
      <c r="AS284" s="314">
        <f>IF(LEFT(C284,1)=" ",RIGHT(C284,LEN(C284)-1),C284)</f>
        <v/>
      </c>
      <c r="AT284" s="281">
        <f>_xlfn.CONCAT(B284,AS284,D284,E284)</f>
        <v/>
      </c>
    </row>
    <row r="285">
      <c r="A285" t="inlineStr">
        <is>
          <t>21/22</t>
        </is>
      </c>
      <c r="B285" t="inlineStr">
        <is>
          <t xml:space="preserve"> Dynastar</t>
        </is>
      </c>
      <c r="C285" t="inlineStr">
        <is>
          <t>M-Free 108</t>
        </is>
      </c>
      <c r="D285" t="n">
        <v>172</v>
      </c>
      <c r="E285" t="inlineStr">
        <is>
          <t xml:space="preserve"> Unisex</t>
        </is>
      </c>
      <c r="F285" t="n">
        <v>172</v>
      </c>
      <c r="G285" t="n">
        <v>170</v>
      </c>
      <c r="H285" t="n">
        <v>107</v>
      </c>
      <c r="I285" t="n">
        <v>133</v>
      </c>
      <c r="J285" t="n">
        <v>137</v>
      </c>
      <c r="K285" t="n">
        <v>107</v>
      </c>
      <c r="L285" t="n">
        <v>127</v>
      </c>
      <c r="M285" t="n">
        <v>15.1</v>
      </c>
      <c r="N285" t="n">
        <v>1972</v>
      </c>
      <c r="O285" t="n">
        <v>1.01</v>
      </c>
      <c r="P285" t="n">
        <v>1986</v>
      </c>
      <c r="Q285" t="n">
        <v>197</v>
      </c>
      <c r="R285" t="n">
        <v>95</v>
      </c>
      <c r="S285" t="n">
        <v>57</v>
      </c>
      <c r="T285" t="n">
        <v>334</v>
      </c>
      <c r="U285" t="n">
        <v>40</v>
      </c>
      <c r="V285" t="n">
        <v>300</v>
      </c>
      <c r="W285" t="n">
        <v>0.699</v>
      </c>
      <c r="X285" t="n">
        <v>198</v>
      </c>
      <c r="Y285" t="n">
        <v>172</v>
      </c>
      <c r="Z285" t="n">
        <v>135</v>
      </c>
      <c r="AA285" t="n">
        <v>7</v>
      </c>
      <c r="AB285" t="n">
        <v>7.4</v>
      </c>
      <c r="AC285" t="inlineStr">
        <is>
          <t xml:space="preserve"> Powder</t>
        </is>
      </c>
      <c r="AG285" t="inlineStr">
        <is>
          <t>Dynastar M-Free 108 Skis</t>
        </is>
      </c>
      <c r="AH285" t="inlineStr">
        <is>
          <t>Next Adventure</t>
        </is>
      </c>
      <c r="AI285" s="333" t="n">
        <v>559.96</v>
      </c>
      <c r="AJ285" t="inlineStr">
        <is>
          <t>https://tinyurl.com/y7qwj6b9</t>
        </is>
      </c>
      <c r="AK285" t="inlineStr">
        <is>
          <t>Dynastar M-Free 108 Skis</t>
        </is>
      </c>
      <c r="AL285" t="inlineStr">
        <is>
          <t>evo.com</t>
        </is>
      </c>
      <c r="AM285" s="333" t="n">
        <v>559.96</v>
      </c>
      <c r="AN285" t="inlineStr">
        <is>
          <t>https://tinyurl.com/y7occazr</t>
        </is>
      </c>
      <c r="AO285" t="inlineStr">
        <is>
          <t>Dynastar M-Free 108 Skis</t>
        </is>
      </c>
      <c r="AP285" t="inlineStr">
        <is>
          <t>Outdoor Gear Exchange</t>
        </is>
      </c>
      <c r="AQ285" s="333" t="n">
        <v>559.99</v>
      </c>
      <c r="AR285" t="inlineStr">
        <is>
          <t>https://tinyurl.com/ydgovral</t>
        </is>
      </c>
      <c r="AS285" s="314">
        <f>IF(LEFT(C285,1)=" ",RIGHT(C285,LEN(C285)-1),C285)</f>
        <v/>
      </c>
      <c r="AT285" s="281">
        <f>_xlfn.CONCAT(B285,AS285,D285,E285)</f>
        <v/>
      </c>
    </row>
    <row r="286">
      <c r="A286" t="inlineStr">
        <is>
          <t>21/22</t>
        </is>
      </c>
      <c r="B286" t="inlineStr">
        <is>
          <t xml:space="preserve"> Stï¿½ckli</t>
        </is>
      </c>
      <c r="C286" t="inlineStr">
        <is>
          <t xml:space="preserve"> Laser SC Orea</t>
        </is>
      </c>
      <c r="D286" t="n">
        <v>163</v>
      </c>
      <c r="E286" t="inlineStr">
        <is>
          <t xml:space="preserve"> Unisex</t>
        </is>
      </c>
      <c r="F286" t="n">
        <v>163</v>
      </c>
      <c r="G286" t="n">
        <v>162</v>
      </c>
      <c r="H286" t="n">
        <v>141</v>
      </c>
      <c r="I286" t="n">
        <v>148</v>
      </c>
      <c r="J286" t="n">
        <v>122</v>
      </c>
      <c r="K286" t="n">
        <v>72</v>
      </c>
      <c r="L286" t="n">
        <v>103</v>
      </c>
      <c r="M286" t="n">
        <v>13.5</v>
      </c>
      <c r="N286" t="n">
        <v>1671</v>
      </c>
      <c r="O286" t="n">
        <v>0.84</v>
      </c>
      <c r="P286" t="n">
        <v>1405</v>
      </c>
      <c r="Q286" t="n">
        <v>170</v>
      </c>
      <c r="R286" t="n">
        <v>106</v>
      </c>
      <c r="S286" t="n">
        <v>40</v>
      </c>
      <c r="T286" t="n">
        <v>144</v>
      </c>
      <c r="U286" t="n">
        <v>7</v>
      </c>
      <c r="V286" t="n">
        <v>66</v>
      </c>
      <c r="W286" t="n">
        <v>0.179</v>
      </c>
      <c r="X286" t="n">
        <v>78</v>
      </c>
      <c r="Y286" t="n">
        <v>57</v>
      </c>
      <c r="Z286" t="n">
        <v>66</v>
      </c>
      <c r="AA286" t="n">
        <v>8</v>
      </c>
      <c r="AB286" t="n">
        <v>12.1</v>
      </c>
      <c r="AC286" t="inlineStr">
        <is>
          <t xml:space="preserve"> On-Piste Carving</t>
        </is>
      </c>
      <c r="AG286" t="inlineStr">
        <is>
          <t>Stockli Laser SC Orea Skis W SRT 12 Bindings 163cm 2022</t>
        </is>
      </c>
      <c r="AH286" t="inlineStr">
        <is>
          <t>Powder7 Ski Shop</t>
        </is>
      </c>
      <c r="AI286" s="333" t="n">
        <v>1749</v>
      </c>
      <c r="AJ286" t="inlineStr">
        <is>
          <t>https://tinyurl.com/y8w6e8qg</t>
        </is>
      </c>
      <c r="AK286" t="inlineStr">
        <is>
          <t>Stockli Laser SC Orea Skis 2023 w/12 Bindings 163</t>
        </is>
      </c>
      <c r="AL286" t="inlineStr">
        <is>
          <t>Ski Depot RaceSkis.com</t>
        </is>
      </c>
      <c r="AM286" s="333" t="n">
        <v>2019</v>
      </c>
      <c r="AN286" t="inlineStr">
        <is>
          <t>https://tinyurl.com/y8fmpgtr</t>
        </is>
      </c>
      <c r="AO286" t="inlineStr">
        <is>
          <t>Stockli Laser SC Skis W SRT 12 Bindings 163cm 2022</t>
        </is>
      </c>
      <c r="AP286" t="inlineStr">
        <is>
          <t>eBay</t>
        </is>
      </c>
      <c r="AQ286" s="333" t="n">
        <v>1299</v>
      </c>
      <c r="AR286" t="inlineStr">
        <is>
          <t>https://tinyurl.com/yaes3rbh</t>
        </is>
      </c>
      <c r="AS286" s="314">
        <f>IF(LEFT(C286,1)=" ",RIGHT(C286,LEN(C286)-1),C286)</f>
        <v/>
      </c>
      <c r="AT286" s="281">
        <f>_xlfn.CONCAT(B286,AS286,D286,E286)</f>
        <v/>
      </c>
    </row>
    <row r="287">
      <c r="A287" t="inlineStr">
        <is>
          <t>21/22</t>
        </is>
      </c>
      <c r="B287" t="inlineStr">
        <is>
          <t xml:space="preserve"> Blizzard</t>
        </is>
      </c>
      <c r="C287" t="inlineStr">
        <is>
          <t>Zero G 95</t>
        </is>
      </c>
      <c r="D287" t="n">
        <v>178</v>
      </c>
      <c r="E287" t="inlineStr">
        <is>
          <t xml:space="preserve"> Unisex</t>
        </is>
      </c>
      <c r="F287" t="n">
        <v>178</v>
      </c>
      <c r="G287" t="n">
        <v>176</v>
      </c>
      <c r="H287" t="n">
        <v>125</v>
      </c>
      <c r="I287" t="n">
        <v>149</v>
      </c>
      <c r="J287" t="n">
        <v>126</v>
      </c>
      <c r="K287" t="n">
        <v>93</v>
      </c>
      <c r="L287" t="n">
        <v>110</v>
      </c>
      <c r="M287" t="n">
        <v>22.1</v>
      </c>
      <c r="N287" t="n">
        <v>1284</v>
      </c>
      <c r="O287" t="n">
        <v>1.4</v>
      </c>
      <c r="P287" t="n">
        <v>1794</v>
      </c>
      <c r="Q287" t="n">
        <v>242</v>
      </c>
      <c r="R287" t="n">
        <v>84</v>
      </c>
      <c r="S287" t="n">
        <v>54</v>
      </c>
      <c r="T287" t="n">
        <v>304</v>
      </c>
      <c r="U287" t="n">
        <v>12</v>
      </c>
      <c r="V287" t="n">
        <v>210</v>
      </c>
      <c r="W287" t="n">
        <v>0.218999999999999</v>
      </c>
      <c r="X287" t="n">
        <v>138</v>
      </c>
      <c r="Y287" t="n">
        <v>129</v>
      </c>
      <c r="Z287" t="n">
        <v>166</v>
      </c>
      <c r="AA287" t="n">
        <v>3</v>
      </c>
      <c r="AB287" t="n">
        <v>10.5</v>
      </c>
      <c r="AC287" t="inlineStr">
        <is>
          <t xml:space="preserve"> Touring</t>
        </is>
      </c>
      <c r="AD287" t="inlineStr">
        <is>
          <t xml:space="preserve"> Ultralight Touring</t>
        </is>
      </c>
      <c r="AG287" t="inlineStr">
        <is>
          <t>Blizzard Zero G 95</t>
        </is>
      </c>
      <c r="AH287" t="inlineStr">
        <is>
          <t>eBay - webyshops</t>
        </is>
      </c>
      <c r="AI287" s="333" t="n">
        <v>559.95</v>
      </c>
      <c r="AJ287" t="inlineStr">
        <is>
          <t>https://tinyurl.com/ydd5fvej</t>
        </is>
      </c>
      <c r="AK287" t="inlineStr">
        <is>
          <t>Blizzard Zero G 95</t>
        </is>
      </c>
      <c r="AL287" t="inlineStr">
        <is>
          <t>GritrOutdoors</t>
        </is>
      </c>
      <c r="AM287" s="333" t="n">
        <v>559.95</v>
      </c>
      <c r="AN287" t="inlineStr">
        <is>
          <t>https://tinyurl.com/ya394sae</t>
        </is>
      </c>
      <c r="AO287" t="inlineStr">
        <is>
          <t>Blizzard Zero G 95 Skis Men's 2022</t>
        </is>
      </c>
      <c r="AP287" t="inlineStr">
        <is>
          <t>Level Nine Sports</t>
        </is>
      </c>
      <c r="AQ287" s="333" t="n">
        <v>559.95</v>
      </c>
      <c r="AR287" t="inlineStr">
        <is>
          <t>https://tinyurl.com/y794nhf3</t>
        </is>
      </c>
      <c r="AS287" s="314">
        <f>IF(LEFT(C287,1)=" ",RIGHT(C287,LEN(C287)-1),C287)</f>
        <v/>
      </c>
      <c r="AT287" s="281">
        <f>_xlfn.CONCAT(B287,AS287,D287,E287)</f>
        <v/>
      </c>
    </row>
    <row r="288">
      <c r="A288" t="inlineStr">
        <is>
          <t>21/22</t>
        </is>
      </c>
      <c r="B288" t="inlineStr">
        <is>
          <t>K2</t>
        </is>
      </c>
      <c r="C288" t="inlineStr">
        <is>
          <t xml:space="preserve"> Sight</t>
        </is>
      </c>
      <c r="D288" t="n">
        <v>169</v>
      </c>
      <c r="E288" t="inlineStr">
        <is>
          <t xml:space="preserve"> Unisex</t>
        </is>
      </c>
      <c r="F288" t="n">
        <v>169</v>
      </c>
      <c r="G288" t="n">
        <v>169.7</v>
      </c>
      <c r="H288" t="n">
        <v>131</v>
      </c>
      <c r="I288" t="n">
        <v>137</v>
      </c>
      <c r="J288" t="n">
        <v>116</v>
      </c>
      <c r="K288" t="n">
        <v>87</v>
      </c>
      <c r="L288" t="n">
        <v>110</v>
      </c>
      <c r="M288" t="n">
        <v>16.9</v>
      </c>
      <c r="N288" t="n">
        <v>1772</v>
      </c>
      <c r="O288" t="n">
        <v>0.9399999999999999</v>
      </c>
      <c r="P288" t="n">
        <v>1663</v>
      </c>
      <c r="Q288" t="n">
        <v>166</v>
      </c>
      <c r="R288" t="n">
        <v>85</v>
      </c>
      <c r="S288" t="n">
        <v>49</v>
      </c>
      <c r="T288" t="n">
        <v>190</v>
      </c>
      <c r="U288" t="n">
        <v>48</v>
      </c>
      <c r="V288" t="n">
        <v>200</v>
      </c>
      <c r="W288" t="n">
        <v>0.963</v>
      </c>
      <c r="X288" t="n">
        <v>163</v>
      </c>
      <c r="Y288" t="n">
        <v>167</v>
      </c>
      <c r="Z288" t="n">
        <v>26</v>
      </c>
      <c r="AA288" t="n">
        <v>7</v>
      </c>
      <c r="AB288" t="n">
        <v>4</v>
      </c>
      <c r="AC288" t="inlineStr">
        <is>
          <t xml:space="preserve"> Freeski</t>
        </is>
      </c>
      <c r="AG288" t="inlineStr">
        <is>
          <t>K2 Sight Skis</t>
        </is>
      </c>
      <c r="AH288" t="inlineStr">
        <is>
          <t>BobsSportsChalet.com</t>
        </is>
      </c>
      <c r="AI288" s="333" t="n">
        <v>399.95</v>
      </c>
      <c r="AJ288" t="inlineStr">
        <is>
          <t>https://tinyurl.com/y75gf9qw</t>
        </is>
      </c>
      <c r="AK288" t="inlineStr">
        <is>
          <t>K2 Sight Skis</t>
        </is>
      </c>
      <c r="AL288" t="inlineStr">
        <is>
          <t>evo.com</t>
        </is>
      </c>
      <c r="AM288" s="333" t="n">
        <v>399.95</v>
      </c>
      <c r="AN288" t="inlineStr">
        <is>
          <t>https://tinyurl.com/yafcqcv4</t>
        </is>
      </c>
      <c r="AO288" t="inlineStr">
        <is>
          <t>K2 Sight Skis</t>
        </is>
      </c>
      <c r="AP288" t="inlineStr">
        <is>
          <t>Buckman's Ski and Snowboard Shop</t>
        </is>
      </c>
      <c r="AQ288" s="333" t="n">
        <v>399.95</v>
      </c>
      <c r="AR288" t="inlineStr">
        <is>
          <t>https://tinyurl.com/ybww4prb</t>
        </is>
      </c>
      <c r="AS288" s="314">
        <f>IF(LEFT(C288,1)=" ",RIGHT(C288,LEN(C288)-1),C288)</f>
        <v/>
      </c>
      <c r="AT288" s="281">
        <f>_xlfn.CONCAT(B288,AS288,D288,E288)</f>
        <v/>
      </c>
    </row>
    <row r="289">
      <c r="A289" t="inlineStr">
        <is>
          <t>21/22</t>
        </is>
      </c>
      <c r="B289" t="inlineStr">
        <is>
          <t xml:space="preserve"> Dynastar</t>
        </is>
      </c>
      <c r="C289" t="inlineStr">
        <is>
          <t>M-Tour 99</t>
        </is>
      </c>
      <c r="D289" t="n">
        <v>170</v>
      </c>
      <c r="E289" t="inlineStr">
        <is>
          <t xml:space="preserve"> Unisex</t>
        </is>
      </c>
      <c r="F289" t="n">
        <v>170</v>
      </c>
      <c r="G289" t="n">
        <v>169.6</v>
      </c>
      <c r="H289" t="n">
        <v>123</v>
      </c>
      <c r="I289" t="n">
        <v>136</v>
      </c>
      <c r="J289" t="n">
        <v>125</v>
      </c>
      <c r="K289" t="n">
        <v>96</v>
      </c>
      <c r="L289" t="n">
        <v>115</v>
      </c>
      <c r="M289" t="n">
        <v>17.6</v>
      </c>
      <c r="N289" t="n">
        <v>1245</v>
      </c>
      <c r="O289" t="n">
        <v>1.44</v>
      </c>
      <c r="P289" t="n">
        <v>1796</v>
      </c>
      <c r="Q289" t="n">
        <v>189</v>
      </c>
      <c r="R289" t="n">
        <v>80</v>
      </c>
      <c r="S289" t="n">
        <v>55</v>
      </c>
      <c r="T289" t="n">
        <v>320</v>
      </c>
      <c r="U289" t="n">
        <v>14</v>
      </c>
      <c r="V289" t="n">
        <v>149</v>
      </c>
      <c r="W289" t="n">
        <v>0.255</v>
      </c>
      <c r="X289" t="n">
        <v>201</v>
      </c>
      <c r="Y289" t="n">
        <v>132</v>
      </c>
      <c r="Z289" t="n">
        <v>120</v>
      </c>
      <c r="AA289" t="n">
        <v>6</v>
      </c>
      <c r="AB289" t="n">
        <v>11.9</v>
      </c>
      <c r="AC289" t="inlineStr">
        <is>
          <t xml:space="preserve"> Touring</t>
        </is>
      </c>
      <c r="AD289" t="inlineStr">
        <is>
          <t xml:space="preserve"> Ultralight Touring</t>
        </is>
      </c>
      <c r="AG289" t="inlineStr">
        <is>
          <t>Dynastar M-Tour 99 Ski 2022</t>
        </is>
      </c>
      <c r="AH289" t="inlineStr">
        <is>
          <t>Telemark Pyrenees</t>
        </is>
      </c>
      <c r="AI289" s="333" t="n">
        <v>546.34</v>
      </c>
      <c r="AJ289" t="inlineStr">
        <is>
          <t>https://tinyurl.com/y9738rae</t>
        </is>
      </c>
      <c r="AK289" t="inlineStr">
        <is>
          <t>Dynastar M-Tour 99 Ski 2022</t>
        </is>
      </c>
      <c r="AL289" t="inlineStr">
        <is>
          <t>Powder7 Ski Shop</t>
        </is>
      </c>
      <c r="AM289" s="333" t="n">
        <v>639.95</v>
      </c>
      <c r="AN289" t="inlineStr">
        <is>
          <t>https://tinyurl.com/yctsxen4</t>
        </is>
      </c>
      <c r="AO289" t="inlineStr">
        <is>
          <t>Dynastar M-Tour 99 Ski 2022</t>
        </is>
      </c>
      <c r="AP289" t="inlineStr">
        <is>
          <t>evo.com</t>
        </is>
      </c>
      <c r="AQ289" s="333" t="n">
        <v>639.96</v>
      </c>
      <c r="AR289" t="inlineStr">
        <is>
          <t>https://tinyurl.com/y82cavmp</t>
        </is>
      </c>
      <c r="AS289" s="314">
        <f>IF(LEFT(C289,1)=" ",RIGHT(C289,LEN(C289)-1),C289)</f>
        <v/>
      </c>
      <c r="AT289" s="281">
        <f>_xlfn.CONCAT(B289,AS289,D289,E289)</f>
        <v/>
      </c>
    </row>
    <row r="290">
      <c r="A290" t="inlineStr">
        <is>
          <t>21/22</t>
        </is>
      </c>
      <c r="B290" t="inlineStr">
        <is>
          <t xml:space="preserve"> Black Diamond</t>
        </is>
      </c>
      <c r="C290" t="inlineStr">
        <is>
          <t>Impulse 104</t>
        </is>
      </c>
      <c r="D290" t="n">
        <v>165</v>
      </c>
      <c r="E290" t="inlineStr">
        <is>
          <t xml:space="preserve"> Unisex</t>
        </is>
      </c>
      <c r="F290" t="n">
        <v>165</v>
      </c>
      <c r="G290" t="n">
        <v>165.7</v>
      </c>
      <c r="H290" t="n">
        <v>120</v>
      </c>
      <c r="I290" t="n">
        <v>131</v>
      </c>
      <c r="J290" t="n">
        <v>134</v>
      </c>
      <c r="K290" t="n">
        <v>103</v>
      </c>
      <c r="L290" t="n">
        <v>122</v>
      </c>
      <c r="M290" t="n">
        <v>15.9</v>
      </c>
      <c r="N290" t="n">
        <v>1780</v>
      </c>
      <c r="O290" t="n">
        <v>1.05</v>
      </c>
      <c r="P290" t="n">
        <v>1864</v>
      </c>
      <c r="Q290" t="n">
        <v>185</v>
      </c>
      <c r="R290" t="n">
        <v>75</v>
      </c>
      <c r="S290" t="n">
        <v>39</v>
      </c>
      <c r="T290" t="n">
        <v>272</v>
      </c>
      <c r="U290" t="n">
        <v>19</v>
      </c>
      <c r="V290" t="n">
        <v>185</v>
      </c>
      <c r="W290" t="n">
        <v>0.493</v>
      </c>
      <c r="X290" t="n">
        <v>214</v>
      </c>
      <c r="Y290" t="n">
        <v>137</v>
      </c>
      <c r="Z290" t="n">
        <v>58</v>
      </c>
      <c r="AA290" t="n">
        <v>8</v>
      </c>
      <c r="AB290" t="n">
        <v>8.4</v>
      </c>
      <c r="AC290" t="inlineStr">
        <is>
          <t xml:space="preserve"> Resort Freeride</t>
        </is>
      </c>
      <c r="AD290" t="inlineStr">
        <is>
          <t xml:space="preserve"> Powder</t>
        </is>
      </c>
      <c r="AG290" t="inlineStr">
        <is>
          <t>Black Diamond Impulse 104 Skis Â· 2022 Â· 165 cm</t>
        </is>
      </c>
      <c r="AH290" t="inlineStr">
        <is>
          <t>Snowcountry.eu</t>
        </is>
      </c>
      <c r="AI290" s="333" t="n">
        <v>479.47</v>
      </c>
      <c r="AJ290" t="inlineStr">
        <is>
          <t>https://tinyurl.com/y7jzlrlt</t>
        </is>
      </c>
      <c r="AK290" t="inlineStr">
        <is>
          <t>Black Diamond Impulse 104 Skis Â· 2022 Â· 165 cm</t>
        </is>
      </c>
      <c r="AL290" t="inlineStr">
        <is>
          <t>Black Diamond Equipment - US</t>
        </is>
      </c>
      <c r="AM290" s="333" t="n">
        <v>583.96</v>
      </c>
      <c r="AN290" t="inlineStr">
        <is>
          <t>https://tinyurl.com/ydcw9n9c</t>
        </is>
      </c>
      <c r="AO290" t="inlineStr">
        <is>
          <t>Black Diamond Impulse 104 Skis Â· 2022 Â· 165 cm</t>
        </is>
      </c>
      <c r="AP290" t="inlineStr">
        <is>
          <t>CampSaver.com</t>
        </is>
      </c>
      <c r="AQ290" s="333" t="n">
        <v>729.95</v>
      </c>
      <c r="AR290" t="inlineStr">
        <is>
          <t>https://tinyurl.com/y7yzg3gh</t>
        </is>
      </c>
      <c r="AS290" s="314">
        <f>IF(LEFT(C290,1)=" ",RIGHT(C290,LEN(C290)-1),C290)</f>
        <v/>
      </c>
      <c r="AT290" s="281">
        <f>_xlfn.CONCAT(B290,AS290,D290,E290)</f>
        <v/>
      </c>
    </row>
    <row r="291">
      <c r="A291" t="inlineStr">
        <is>
          <t>21/22</t>
        </is>
      </c>
      <c r="B291" t="inlineStr">
        <is>
          <t xml:space="preserve"> Dynastar</t>
        </is>
      </c>
      <c r="C291" t="inlineStr">
        <is>
          <t>M-Tour 99</t>
        </is>
      </c>
      <c r="D291" t="n">
        <v>186</v>
      </c>
      <c r="E291" t="inlineStr">
        <is>
          <t xml:space="preserve"> Unisex</t>
        </is>
      </c>
      <c r="F291" t="n">
        <v>186</v>
      </c>
      <c r="G291" t="n">
        <v>185.2</v>
      </c>
      <c r="H291" t="n">
        <v>138</v>
      </c>
      <c r="I291" t="n">
        <v>153</v>
      </c>
      <c r="J291" t="n">
        <v>126</v>
      </c>
      <c r="K291" t="n">
        <v>97</v>
      </c>
      <c r="L291" t="n">
        <v>116</v>
      </c>
      <c r="M291" t="n">
        <v>22.1</v>
      </c>
      <c r="N291" t="n">
        <v>1421</v>
      </c>
      <c r="O291" t="n">
        <v>1.39</v>
      </c>
      <c r="P291" t="n">
        <v>1975</v>
      </c>
      <c r="Q291" t="n">
        <v>278</v>
      </c>
      <c r="R291" t="n">
        <v>92</v>
      </c>
      <c r="S291" t="n">
        <v>56</v>
      </c>
      <c r="T291" t="n">
        <v>324</v>
      </c>
      <c r="U291" t="n">
        <v>12</v>
      </c>
      <c r="V291" t="n">
        <v>145</v>
      </c>
      <c r="W291" t="n">
        <v>0.214</v>
      </c>
      <c r="X291" t="n">
        <v>201</v>
      </c>
      <c r="Y291" t="n">
        <v>122</v>
      </c>
      <c r="Z291" t="n">
        <v>123</v>
      </c>
      <c r="AA291" t="n">
        <v>7</v>
      </c>
      <c r="AB291" t="n">
        <v>12.4</v>
      </c>
      <c r="AC291" t="inlineStr">
        <is>
          <t xml:space="preserve"> Touring</t>
        </is>
      </c>
      <c r="AD291" t="inlineStr">
        <is>
          <t xml:space="preserve"> Ultralight Touring</t>
        </is>
      </c>
      <c r="AG291" t="inlineStr">
        <is>
          <t>Dynastar M-Tour 99 Ski 2022</t>
        </is>
      </c>
      <c r="AH291" t="inlineStr">
        <is>
          <t>Powder7 Ski Shop</t>
        </is>
      </c>
      <c r="AI291" s="333" t="n">
        <v>639.95</v>
      </c>
      <c r="AJ291" t="inlineStr">
        <is>
          <t>https://tinyurl.com/y8s4ubvu</t>
        </is>
      </c>
      <c r="AK291" t="inlineStr">
        <is>
          <t>Dynastar M-Tour 99 Ski 2022</t>
        </is>
      </c>
      <c r="AL291" t="inlineStr">
        <is>
          <t>evo.com</t>
        </is>
      </c>
      <c r="AM291" s="333" t="n">
        <v>639.96</v>
      </c>
      <c r="AN291" t="inlineStr">
        <is>
          <t>https://tinyurl.com/yatt4psh</t>
        </is>
      </c>
      <c r="AO291" t="inlineStr">
        <is>
          <t>Dynastar M-Tour 99 Ski 2022</t>
        </is>
      </c>
      <c r="AP291" t="inlineStr">
        <is>
          <t>Next Adventure</t>
        </is>
      </c>
      <c r="AQ291" s="333" t="n">
        <v>639.96</v>
      </c>
      <c r="AR291" t="inlineStr">
        <is>
          <t>https://tinyurl.com/ya45aobe</t>
        </is>
      </c>
      <c r="AS291" s="314">
        <f>IF(LEFT(C291,1)=" ",RIGHT(C291,LEN(C291)-1),C291)</f>
        <v/>
      </c>
      <c r="AT291" s="281">
        <f>_xlfn.CONCAT(B291,AS291,D291,E291)</f>
        <v/>
      </c>
    </row>
    <row r="292">
      <c r="A292" t="inlineStr">
        <is>
          <t>21/22</t>
        </is>
      </c>
      <c r="B292" t="inlineStr">
        <is>
          <t xml:space="preserve"> Line</t>
        </is>
      </c>
      <c r="C292" t="inlineStr">
        <is>
          <t>Vision 98</t>
        </is>
      </c>
      <c r="D292" t="n">
        <v>179</v>
      </c>
      <c r="E292" t="inlineStr">
        <is>
          <t xml:space="preserve"> Unisex</t>
        </is>
      </c>
      <c r="F292" t="n">
        <v>179</v>
      </c>
      <c r="G292" t="n">
        <v>178.3</v>
      </c>
      <c r="H292" t="n">
        <v>117</v>
      </c>
      <c r="I292" t="n">
        <v>145</v>
      </c>
      <c r="J292" t="n">
        <v>130</v>
      </c>
      <c r="K292" t="n">
        <v>97</v>
      </c>
      <c r="L292" t="n">
        <v>117</v>
      </c>
      <c r="M292" t="n">
        <v>18.1</v>
      </c>
      <c r="N292" t="n">
        <v>1452</v>
      </c>
      <c r="O292" t="n">
        <v>1.32</v>
      </c>
      <c r="P292" t="n">
        <v>1910</v>
      </c>
      <c r="Q292" t="n">
        <v>192</v>
      </c>
      <c r="R292" t="n">
        <v>80</v>
      </c>
      <c r="S292" t="n">
        <v>52</v>
      </c>
      <c r="T292" t="n">
        <v>341</v>
      </c>
      <c r="U292" t="n">
        <v>32</v>
      </c>
      <c r="V292" t="n">
        <v>271</v>
      </c>
      <c r="W292" t="n">
        <v>0.619</v>
      </c>
      <c r="X292" t="n">
        <v>165</v>
      </c>
      <c r="Y292" t="n">
        <v>171</v>
      </c>
      <c r="Z292" t="n">
        <v>176</v>
      </c>
      <c r="AA292" t="n">
        <v>5</v>
      </c>
      <c r="AB292" t="n">
        <v>6.3</v>
      </c>
      <c r="AC292" t="inlineStr">
        <is>
          <t xml:space="preserve"> Touring</t>
        </is>
      </c>
      <c r="AD292" t="inlineStr">
        <is>
          <t xml:space="preserve"> Ultralight Touring</t>
        </is>
      </c>
      <c r="AG292" t="inlineStr">
        <is>
          <t>Line Vision 98 Skis</t>
        </is>
      </c>
      <c r="AH292" t="inlineStr">
        <is>
          <t>Powder7 Ski Shop</t>
        </is>
      </c>
      <c r="AI292" s="333" t="n">
        <v>479.99</v>
      </c>
      <c r="AJ292" t="inlineStr">
        <is>
          <t>https://tinyurl.com/yae4zvmb</t>
        </is>
      </c>
      <c r="AK292" t="inlineStr">
        <is>
          <t>Line Vision 98 Skis 179</t>
        </is>
      </c>
      <c r="AL292" t="inlineStr">
        <is>
          <t>PRFO Sports</t>
        </is>
      </c>
      <c r="AM292" s="333" t="n">
        <v>481.02</v>
      </c>
      <c r="AN292" t="inlineStr">
        <is>
          <t>https://tinyurl.com/yavum8qf</t>
        </is>
      </c>
      <c r="AO292" t="inlineStr">
        <is>
          <t>'22 Line Vision 98 Skis 179cm</t>
        </is>
      </c>
      <c r="AP292" t="inlineStr">
        <is>
          <t>Al's Ski Equipment Barn</t>
        </is>
      </c>
      <c r="AQ292" s="333" t="n">
        <v>629.95</v>
      </c>
      <c r="AR292" t="inlineStr">
        <is>
          <t>https://tinyurl.com/ybmutuxk</t>
        </is>
      </c>
      <c r="AS292" s="314">
        <f>IF(LEFT(C292,1)=" ",RIGHT(C292,LEN(C292)-1),C292)</f>
        <v/>
      </c>
      <c r="AT292" s="281">
        <f>_xlfn.CONCAT(B292,AS292,D292,E292)</f>
        <v/>
      </c>
    </row>
    <row r="293">
      <c r="A293" t="inlineStr">
        <is>
          <t>21/22</t>
        </is>
      </c>
      <c r="B293" t="inlineStr">
        <is>
          <t xml:space="preserve"> Blizzard</t>
        </is>
      </c>
      <c r="C293" t="inlineStr">
        <is>
          <t>Black Pearl 88</t>
        </is>
      </c>
      <c r="D293" t="n">
        <v>165</v>
      </c>
      <c r="E293" t="inlineStr">
        <is>
          <t xml:space="preserve"> Women's</t>
        </is>
      </c>
      <c r="F293" t="n">
        <v>165</v>
      </c>
      <c r="G293" t="n">
        <v>163.7</v>
      </c>
      <c r="H293" t="n">
        <v>133</v>
      </c>
      <c r="I293" t="n">
        <v>141</v>
      </c>
      <c r="J293" t="n">
        <v>128</v>
      </c>
      <c r="K293" t="n">
        <v>86</v>
      </c>
      <c r="L293" t="n">
        <v>109</v>
      </c>
      <c r="M293" t="n">
        <v>14.9</v>
      </c>
      <c r="N293" t="n">
        <v>1757</v>
      </c>
      <c r="O293" t="n">
        <v>0.92</v>
      </c>
      <c r="P293" t="n">
        <v>1613</v>
      </c>
      <c r="Q293" t="n">
        <v>177</v>
      </c>
      <c r="R293" t="n">
        <v>91</v>
      </c>
      <c r="S293" t="n">
        <v>63</v>
      </c>
      <c r="T293" t="n">
        <v>209</v>
      </c>
      <c r="U293" t="n">
        <v>7</v>
      </c>
      <c r="V293" t="n">
        <v>96</v>
      </c>
      <c r="W293" t="n">
        <v>0.118</v>
      </c>
      <c r="X293" t="n">
        <v>123</v>
      </c>
      <c r="Y293" t="n">
        <v>106</v>
      </c>
      <c r="Z293" t="n">
        <v>86</v>
      </c>
      <c r="AA293" t="n">
        <v>8</v>
      </c>
      <c r="AB293" t="n">
        <v>11.1</v>
      </c>
      <c r="AC293" t="inlineStr">
        <is>
          <t xml:space="preserve"> Resort Freeride</t>
        </is>
      </c>
      <c r="AG293" t="inlineStr">
        <is>
          <t>Blizzard Black Pearl 88 21/22</t>
        </is>
      </c>
      <c r="AH293" t="inlineStr">
        <is>
          <t>Snowcountry.eu</t>
        </is>
      </c>
      <c r="AI293" s="333" t="n">
        <v>354.97</v>
      </c>
      <c r="AJ293" t="inlineStr">
        <is>
          <t>https://tinyurl.com/yahpr6af</t>
        </is>
      </c>
      <c r="AK293" t="inlineStr">
        <is>
          <t>Blizzard Black Pearl 88 21/22</t>
        </is>
      </c>
      <c r="AL293" t="inlineStr">
        <is>
          <t>SportÃ¨que</t>
        </is>
      </c>
      <c r="AM293" s="333" t="n">
        <v>511.06</v>
      </c>
      <c r="AN293" t="inlineStr">
        <is>
          <t>https://tinyurl.com/y7sq52bv</t>
        </is>
      </c>
      <c r="AO293" t="inlineStr">
        <is>
          <t>Blizzard Black Pearl 88 - Winter 2021/2022 165</t>
        </is>
      </c>
      <c r="AP293" t="inlineStr">
        <is>
          <t>Equipe Sport</t>
        </is>
      </c>
      <c r="AQ293" s="333" t="n">
        <v>519.95</v>
      </c>
      <c r="AR293" t="inlineStr">
        <is>
          <t>https://tinyurl.com/y89vx4rv</t>
        </is>
      </c>
      <c r="AS293" s="314">
        <f>IF(LEFT(C293,1)=" ",RIGHT(C293,LEN(C293)-1),C293)</f>
        <v/>
      </c>
      <c r="AT293" s="281">
        <f>_xlfn.CONCAT(B293,AS293,D293,E293)</f>
        <v/>
      </c>
    </row>
    <row r="294">
      <c r="A294" t="inlineStr">
        <is>
          <t>21/22</t>
        </is>
      </c>
      <c r="B294" t="inlineStr">
        <is>
          <t xml:space="preserve"> Stï¿½ckli</t>
        </is>
      </c>
      <c r="C294" t="inlineStr">
        <is>
          <t>Stormrider 95</t>
        </is>
      </c>
      <c r="D294" t="n">
        <v>166</v>
      </c>
      <c r="E294" t="inlineStr">
        <is>
          <t xml:space="preserve"> Unisex</t>
        </is>
      </c>
      <c r="F294" t="n">
        <v>166</v>
      </c>
      <c r="G294" t="n">
        <v>165.3</v>
      </c>
      <c r="H294" t="n">
        <v>134</v>
      </c>
      <c r="I294" t="n">
        <v>144</v>
      </c>
      <c r="J294" t="n">
        <v>131</v>
      </c>
      <c r="K294" t="n">
        <v>94</v>
      </c>
      <c r="L294" t="n">
        <v>122</v>
      </c>
      <c r="M294" t="n">
        <v>14.8</v>
      </c>
      <c r="N294" t="n">
        <v>1691</v>
      </c>
      <c r="O294" t="n">
        <v>1.04</v>
      </c>
      <c r="P294" t="n">
        <v>1762</v>
      </c>
      <c r="Q294" t="n">
        <v>171</v>
      </c>
      <c r="R294" t="n">
        <v>104</v>
      </c>
      <c r="S294" t="n">
        <v>48</v>
      </c>
      <c r="T294" t="n">
        <v>229</v>
      </c>
      <c r="U294" t="n">
        <v>10</v>
      </c>
      <c r="V294" t="n">
        <v>87</v>
      </c>
      <c r="W294" t="n">
        <v>0.203</v>
      </c>
      <c r="X294" t="n">
        <v>157</v>
      </c>
      <c r="Y294" t="n">
        <v>61</v>
      </c>
      <c r="Z294" t="n">
        <v>72</v>
      </c>
      <c r="AA294" t="n">
        <v>4</v>
      </c>
      <c r="AB294" t="n">
        <v>13.3</v>
      </c>
      <c r="AC294" t="inlineStr">
        <is>
          <t xml:space="preserve"> Resort Freeride</t>
        </is>
      </c>
      <c r="AG294" t="inlineStr">
        <is>
          <t>Stockli Stormrider 95 2022</t>
        </is>
      </c>
      <c r="AH294" t="inlineStr">
        <is>
          <t>Powder7 Ski Shop</t>
        </is>
      </c>
      <c r="AI294" s="333" t="n">
        <v>1149</v>
      </c>
      <c r="AJ294" t="inlineStr">
        <is>
          <t>https://tinyurl.com/y7uxr8rb</t>
        </is>
      </c>
      <c r="AK294" t="inlineStr">
        <is>
          <t>Stockli Stormrider 95 2022</t>
        </is>
      </c>
      <c r="AL294" t="inlineStr">
        <is>
          <t>SkiEssentials.com</t>
        </is>
      </c>
      <c r="AM294" s="333" t="n">
        <v>1149</v>
      </c>
      <c r="AN294" t="inlineStr">
        <is>
          <t>https://tinyurl.com/y6uelk3g</t>
        </is>
      </c>
      <c r="AO294" t="inlineStr">
        <is>
          <t>Stockli Stormrider 95 2022</t>
        </is>
      </c>
      <c r="AP294" t="inlineStr">
        <is>
          <t>BobsSportsChalet.com</t>
        </is>
      </c>
      <c r="AQ294" s="333" t="n">
        <v>1149</v>
      </c>
      <c r="AR294" t="inlineStr">
        <is>
          <t>https://tinyurl.com/y7t5hzmc</t>
        </is>
      </c>
      <c r="AS294" s="314">
        <f>IF(LEFT(C294,1)=" ",RIGHT(C294,LEN(C294)-1),C294)</f>
        <v/>
      </c>
      <c r="AT294" s="281">
        <f>_xlfn.CONCAT(B294,AS294,D294,E294)</f>
        <v/>
      </c>
    </row>
    <row r="295">
      <c r="A295" t="inlineStr">
        <is>
          <t>21/22</t>
        </is>
      </c>
      <c r="B295" t="inlineStr">
        <is>
          <t xml:space="preserve"> Icelantic</t>
        </is>
      </c>
      <c r="C295" t="inlineStr">
        <is>
          <t>Nomad Lite 105</t>
        </is>
      </c>
      <c r="D295" t="n">
        <v>171</v>
      </c>
      <c r="E295" t="inlineStr">
        <is>
          <t xml:space="preserve"> Unisex</t>
        </is>
      </c>
      <c r="F295" t="n">
        <v>171</v>
      </c>
      <c r="G295" t="n">
        <v>168.7</v>
      </c>
      <c r="H295" t="n">
        <v>102</v>
      </c>
      <c r="I295" t="n">
        <v>142</v>
      </c>
      <c r="J295" t="n">
        <v>145</v>
      </c>
      <c r="K295" t="n">
        <v>111</v>
      </c>
      <c r="L295" t="n">
        <v>136</v>
      </c>
      <c r="M295" t="n">
        <v>16.3</v>
      </c>
      <c r="N295" t="n">
        <v>1797</v>
      </c>
      <c r="O295" t="n">
        <v>1.14</v>
      </c>
      <c r="P295" t="n">
        <v>2052</v>
      </c>
      <c r="Q295" t="n">
        <v>237</v>
      </c>
      <c r="R295" t="n">
        <v>109</v>
      </c>
      <c r="S295" t="n">
        <v>60</v>
      </c>
      <c r="T295" t="n">
        <v>364</v>
      </c>
      <c r="U295" t="n">
        <v>54</v>
      </c>
      <c r="V295" t="n">
        <v>304</v>
      </c>
      <c r="W295" t="n">
        <v>0.912999999999999</v>
      </c>
      <c r="X295" t="n">
        <v>134</v>
      </c>
      <c r="Y295" t="n">
        <v>136</v>
      </c>
      <c r="Z295" t="n">
        <v>230</v>
      </c>
      <c r="AA295" t="n">
        <v>2</v>
      </c>
      <c r="AB295" t="n">
        <v>8.6</v>
      </c>
      <c r="AC295" t="inlineStr">
        <is>
          <t xml:space="preserve"> Freeski</t>
        </is>
      </c>
      <c r="AD295" t="inlineStr">
        <is>
          <t xml:space="preserve"> Powder</t>
        </is>
      </c>
      <c r="AE295" t="inlineStr">
        <is>
          <t xml:space="preserve"> Touring</t>
        </is>
      </c>
      <c r="AG295" t="inlineStr">
        <is>
          <t>Icelantic Nomad 105 Lite Skis Â· 2022 Â· 171 cm</t>
        </is>
      </c>
      <c r="AH295" t="inlineStr">
        <is>
          <t>REI</t>
        </is>
      </c>
      <c r="AI295" s="333" t="n">
        <v>598.9299999999999</v>
      </c>
      <c r="AJ295" t="inlineStr">
        <is>
          <t>https://tinyurl.com/ycz9cdom</t>
        </is>
      </c>
      <c r="AK295" t="inlineStr">
        <is>
          <t>Icelantic Nomad 105 Lite Skis Â· 2022 Â· 171 cm</t>
        </is>
      </c>
      <c r="AL295" t="inlineStr">
        <is>
          <t>Teton Wasatch Ski Co.</t>
        </is>
      </c>
      <c r="AM295" s="333" t="n">
        <v>599</v>
      </c>
      <c r="AN295" t="inlineStr">
        <is>
          <t>https://tinyurl.com/y9hd466n</t>
        </is>
      </c>
      <c r="AO295" t="inlineStr">
        <is>
          <t>Icelantic Nomad 105 Lite Skis Â· 2022 Â· 171 cm</t>
        </is>
      </c>
      <c r="AP295" t="inlineStr">
        <is>
          <t>Ski World</t>
        </is>
      </c>
      <c r="AQ295" s="333" t="n">
        <v>799</v>
      </c>
      <c r="AR295" t="inlineStr">
        <is>
          <t>https://tinyurl.com/yccnfbpc</t>
        </is>
      </c>
      <c r="AS295" s="314">
        <f>IF(LEFT(C295,1)=" ",RIGHT(C295,LEN(C295)-1),C295)</f>
        <v/>
      </c>
      <c r="AT295" s="281">
        <f>_xlfn.CONCAT(B295,AS295,D295,E295)</f>
        <v/>
      </c>
    </row>
    <row r="296">
      <c r="A296" t="inlineStr">
        <is>
          <t>21/22</t>
        </is>
      </c>
      <c r="B296" t="inlineStr">
        <is>
          <t xml:space="preserve"> Armada</t>
        </is>
      </c>
      <c r="C296" t="inlineStr">
        <is>
          <t>ARV 96</t>
        </is>
      </c>
      <c r="D296" t="n">
        <v>170</v>
      </c>
      <c r="E296" t="inlineStr">
        <is>
          <t xml:space="preserve"> Unisex</t>
        </is>
      </c>
      <c r="F296" t="n">
        <v>170</v>
      </c>
      <c r="G296" t="n">
        <v>168.9</v>
      </c>
      <c r="H296" t="n">
        <v>126</v>
      </c>
      <c r="I296" t="n">
        <v>141</v>
      </c>
      <c r="J296" t="n">
        <v>123</v>
      </c>
      <c r="K296" t="n">
        <v>95</v>
      </c>
      <c r="L296" t="n">
        <v>115</v>
      </c>
      <c r="M296" t="n">
        <v>18.7</v>
      </c>
      <c r="N296" t="n">
        <v>1729</v>
      </c>
      <c r="O296" t="n">
        <v>1.02</v>
      </c>
      <c r="P296" t="n">
        <v>1755</v>
      </c>
      <c r="Q296" t="n">
        <v>155</v>
      </c>
      <c r="R296" t="n">
        <v>92</v>
      </c>
      <c r="S296" t="n">
        <v>44</v>
      </c>
      <c r="T296" t="n">
        <v>226</v>
      </c>
      <c r="U296" t="n">
        <v>37</v>
      </c>
      <c r="V296" t="n">
        <v>205</v>
      </c>
      <c r="W296" t="n">
        <v>0.836</v>
      </c>
      <c r="X296" t="n">
        <v>135</v>
      </c>
      <c r="Y296" t="n">
        <v>141</v>
      </c>
      <c r="Z296" t="n">
        <v>91</v>
      </c>
      <c r="AA296" t="n">
        <v>11</v>
      </c>
      <c r="AB296" t="n">
        <v>4.8</v>
      </c>
      <c r="AC296" t="inlineStr">
        <is>
          <t xml:space="preserve"> Resort Freeride</t>
        </is>
      </c>
      <c r="AD296" t="inlineStr">
        <is>
          <t xml:space="preserve"> Freeski</t>
        </is>
      </c>
      <c r="AG296" t="inlineStr">
        <is>
          <t>Armada ARV 96 Limited Black-Grey-Purple-Orange 170 Ski Men</t>
        </is>
      </c>
      <c r="AH296" t="inlineStr">
        <is>
          <t>! OutdoorXL.com</t>
        </is>
      </c>
      <c r="AI296" s="333" t="n">
        <v>369.95</v>
      </c>
      <c r="AJ296" t="inlineStr">
        <is>
          <t>https://tinyurl.com/ydbo29xj</t>
        </is>
      </c>
      <c r="AK296" t="inlineStr">
        <is>
          <t>Armada ARV 96 Skis 2022</t>
        </is>
      </c>
      <c r="AL296" t="inlineStr">
        <is>
          <t>The Mountain Air</t>
        </is>
      </c>
      <c r="AM296" s="333" t="n">
        <v>399.96</v>
      </c>
      <c r="AN296" t="inlineStr">
        <is>
          <t>https://tinyurl.com/ybtcwsxu</t>
        </is>
      </c>
      <c r="AO296" t="inlineStr">
        <is>
          <t>Armada ARV 96 Skis 2022</t>
        </is>
      </c>
      <c r="AP296" t="inlineStr">
        <is>
          <t>AlpineShopVT.com</t>
        </is>
      </c>
      <c r="AQ296" s="333" t="n">
        <v>399.96</v>
      </c>
      <c r="AR296" t="inlineStr">
        <is>
          <t>https://tinyurl.com/ybrmdenw</t>
        </is>
      </c>
      <c r="AS296" s="314">
        <f>IF(LEFT(C296,1)=" ",RIGHT(C296,LEN(C296)-1),C296)</f>
        <v/>
      </c>
      <c r="AT296" s="281">
        <f>_xlfn.CONCAT(B296,AS296,D296,E296)</f>
        <v/>
      </c>
    </row>
    <row r="297">
      <c r="A297" t="inlineStr">
        <is>
          <t>21/22</t>
        </is>
      </c>
      <c r="B297" t="inlineStr">
        <is>
          <t xml:space="preserve"> Atomic</t>
        </is>
      </c>
      <c r="C297" t="inlineStr">
        <is>
          <t>Maven 93 C</t>
        </is>
      </c>
      <c r="D297" t="n">
        <v>164</v>
      </c>
      <c r="E297" t="inlineStr">
        <is>
          <t xml:space="preserve"> Women's</t>
        </is>
      </c>
      <c r="F297" t="n">
        <v>164</v>
      </c>
      <c r="G297" t="n">
        <v>163.4</v>
      </c>
      <c r="H297" t="n">
        <v>113</v>
      </c>
      <c r="I297" t="n">
        <v>134</v>
      </c>
      <c r="J297" t="n">
        <v>125</v>
      </c>
      <c r="K297" t="n">
        <v>92</v>
      </c>
      <c r="L297" t="n">
        <v>109</v>
      </c>
      <c r="M297" t="n">
        <v>16.6</v>
      </c>
      <c r="N297" t="n">
        <v>1489</v>
      </c>
      <c r="O297" t="n">
        <v>1.12</v>
      </c>
      <c r="P297" t="n">
        <v>1669</v>
      </c>
      <c r="Q297" t="n">
        <v>218</v>
      </c>
      <c r="R297" t="n">
        <v>87</v>
      </c>
      <c r="S297" t="n">
        <v>53</v>
      </c>
      <c r="T297" t="n">
        <v>303</v>
      </c>
      <c r="U297" t="n">
        <v>13</v>
      </c>
      <c r="V297" t="n">
        <v>197</v>
      </c>
      <c r="W297" t="n">
        <v>0.255</v>
      </c>
      <c r="X297" t="n">
        <v>163</v>
      </c>
      <c r="Y297" t="n">
        <v>135</v>
      </c>
      <c r="Z297" t="n">
        <v>140</v>
      </c>
      <c r="AA297" t="n">
        <v>4</v>
      </c>
      <c r="AB297" t="n">
        <v>9.5</v>
      </c>
      <c r="AC297" t="inlineStr">
        <is>
          <t xml:space="preserve"> Resort Freeride</t>
        </is>
      </c>
      <c r="AD297" t="inlineStr">
        <is>
          <t xml:space="preserve"> Touring</t>
        </is>
      </c>
      <c r="AG297" t="inlineStr">
        <is>
          <t>Atomic Maven 93 C</t>
        </is>
      </c>
      <c r="AH297" t="inlineStr">
        <is>
          <t>Gorham Bike and Ski</t>
        </is>
      </c>
      <c r="AI297" s="333" t="n">
        <v>454.99</v>
      </c>
      <c r="AJ297" t="inlineStr">
        <is>
          <t>https://tinyurl.com/yblbod3r</t>
        </is>
      </c>
      <c r="AK297" t="inlineStr">
        <is>
          <t>Atomic Maven 93 C</t>
        </is>
      </c>
      <c r="AL297" t="inlineStr">
        <is>
          <t>SkiEssentials.com</t>
        </is>
      </c>
      <c r="AM297" s="333" t="n">
        <v>519.99</v>
      </c>
      <c r="AN297" t="inlineStr">
        <is>
          <t>https://tinyurl.com/yccbwyaw</t>
        </is>
      </c>
      <c r="AO297" t="inlineStr">
        <is>
          <t>Atomic Maven 93 C</t>
        </is>
      </c>
      <c r="AP297" t="inlineStr">
        <is>
          <t>Level Nine Sports</t>
        </is>
      </c>
      <c r="AQ297" s="333" t="n">
        <v>519.99</v>
      </c>
      <c r="AR297" t="inlineStr">
        <is>
          <t>https://tinyurl.com/ycbgmb6x</t>
        </is>
      </c>
      <c r="AS297" s="314">
        <f>IF(LEFT(C297,1)=" ",RIGHT(C297,LEN(C297)-1),C297)</f>
        <v/>
      </c>
      <c r="AT297" s="281">
        <f>_xlfn.CONCAT(B297,AS297,D297,E297)</f>
        <v/>
      </c>
    </row>
    <row r="298">
      <c r="A298" t="inlineStr">
        <is>
          <t>21/22</t>
        </is>
      </c>
      <c r="B298" t="inlineStr">
        <is>
          <t xml:space="preserve"> Black Crows</t>
        </is>
      </c>
      <c r="C298" t="inlineStr">
        <is>
          <t xml:space="preserve"> Camox</t>
        </is>
      </c>
      <c r="D298" t="n">
        <v>180.4</v>
      </c>
      <c r="E298" t="inlineStr">
        <is>
          <t xml:space="preserve"> Unisex</t>
        </is>
      </c>
      <c r="F298" t="n">
        <v>180.4</v>
      </c>
      <c r="G298" t="n">
        <v>179.2</v>
      </c>
      <c r="H298" t="n">
        <v>143</v>
      </c>
      <c r="I298" t="n">
        <v>157</v>
      </c>
      <c r="J298" t="n">
        <v>129</v>
      </c>
      <c r="K298" t="n">
        <v>96</v>
      </c>
      <c r="L298" t="n">
        <v>118</v>
      </c>
      <c r="M298" t="n">
        <v>20.2</v>
      </c>
      <c r="N298" t="n">
        <v>1790</v>
      </c>
      <c r="O298" t="n">
        <v>1.07</v>
      </c>
      <c r="P298" t="n">
        <v>1910</v>
      </c>
      <c r="Q298" t="n">
        <v>177</v>
      </c>
      <c r="R298" t="n">
        <v>83</v>
      </c>
      <c r="S298" t="n">
        <v>44</v>
      </c>
      <c r="T298" t="n">
        <v>214</v>
      </c>
      <c r="U298" t="n">
        <v>29</v>
      </c>
      <c r="V298" t="n">
        <v>145</v>
      </c>
      <c r="W298" t="n">
        <v>0.667</v>
      </c>
      <c r="X298" t="n">
        <v>137</v>
      </c>
      <c r="Y298" t="n">
        <v>86</v>
      </c>
      <c r="Z298" t="n">
        <v>77</v>
      </c>
      <c r="AA298" t="n">
        <v>15</v>
      </c>
      <c r="AB298" t="n">
        <v>6.7</v>
      </c>
      <c r="AC298" t="inlineStr">
        <is>
          <t xml:space="preserve"> Resort Freeride</t>
        </is>
      </c>
      <c r="AD298" t="inlineStr">
        <is>
          <t xml:space="preserve"> Touring</t>
        </is>
      </c>
      <c r="AG298" t="inlineStr">
        <is>
          <t>Black Crows Camox Skis</t>
        </is>
      </c>
      <c r="AH298" t="inlineStr">
        <is>
          <t>Teton Wasatch Ski Co.</t>
        </is>
      </c>
      <c r="AI298" s="333" t="n">
        <v>575</v>
      </c>
      <c r="AJ298" t="inlineStr">
        <is>
          <t>https://tinyurl.com/ybbbyp3g</t>
        </is>
      </c>
      <c r="AK298" t="inlineStr">
        <is>
          <t>Black Crows Camox Skis</t>
        </is>
      </c>
      <c r="AL298" t="inlineStr">
        <is>
          <t>Next Adventure</t>
        </is>
      </c>
      <c r="AM298" s="333" t="n">
        <v>575.96</v>
      </c>
      <c r="AN298" t="inlineStr">
        <is>
          <t>https://tinyurl.com/y9af4ybs</t>
        </is>
      </c>
      <c r="AO298" t="inlineStr">
        <is>
          <t>Black Crows Camox Skis</t>
        </is>
      </c>
      <c r="AP298" t="inlineStr">
        <is>
          <t>evo.com</t>
        </is>
      </c>
      <c r="AQ298" s="333" t="n">
        <v>575.96</v>
      </c>
      <c r="AR298" t="inlineStr">
        <is>
          <t>https://tinyurl.com/ybr6g7te</t>
        </is>
      </c>
      <c r="AS298" s="314">
        <f>IF(LEFT(C298,1)=" ",RIGHT(C298,LEN(C298)-1),C298)</f>
        <v/>
      </c>
      <c r="AT298" s="281">
        <f>_xlfn.CONCAT(B298,AS298,D298,E298)</f>
        <v/>
      </c>
    </row>
    <row r="299">
      <c r="A299" t="inlineStr">
        <is>
          <t>21/22</t>
        </is>
      </c>
      <c r="B299" t="inlineStr">
        <is>
          <t xml:space="preserve"> Salomon</t>
        </is>
      </c>
      <c r="C299" t="inlineStr">
        <is>
          <t>MTN Explore 88</t>
        </is>
      </c>
      <c r="D299" t="n">
        <v>177</v>
      </c>
      <c r="E299" t="inlineStr">
        <is>
          <t xml:space="preserve"> Unisex</t>
        </is>
      </c>
      <c r="F299" t="n">
        <v>177</v>
      </c>
      <c r="G299" t="n">
        <v>175.7</v>
      </c>
      <c r="H299" t="n">
        <v>139</v>
      </c>
      <c r="I299" t="n">
        <v>153</v>
      </c>
      <c r="J299" t="n">
        <v>125</v>
      </c>
      <c r="K299" t="n">
        <v>88</v>
      </c>
      <c r="L299" t="n">
        <v>111</v>
      </c>
      <c r="M299" t="n">
        <v>18.5</v>
      </c>
      <c r="N299" t="n">
        <v>1397</v>
      </c>
      <c r="O299" t="n">
        <v>1.27</v>
      </c>
      <c r="P299" t="n">
        <v>1768</v>
      </c>
      <c r="Q299" t="n">
        <v>173</v>
      </c>
      <c r="R299" t="n">
        <v>76</v>
      </c>
      <c r="S299" t="n">
        <v>50</v>
      </c>
      <c r="T299" t="n">
        <v>205</v>
      </c>
      <c r="U299" t="n">
        <v>12</v>
      </c>
      <c r="V299" t="n">
        <v>162</v>
      </c>
      <c r="W299" t="n">
        <v>0.251</v>
      </c>
      <c r="X299" t="n">
        <v>149</v>
      </c>
      <c r="Y299" t="n">
        <v>78</v>
      </c>
      <c r="Z299" t="n">
        <v>56</v>
      </c>
      <c r="AA299" t="n">
        <v>8</v>
      </c>
      <c r="AB299" t="n">
        <v>11.6</v>
      </c>
      <c r="AC299" t="inlineStr">
        <is>
          <t xml:space="preserve"> Resort Freeride</t>
        </is>
      </c>
      <c r="AD299" t="inlineStr">
        <is>
          <t xml:space="preserve"> Touring</t>
        </is>
      </c>
      <c r="AE299" t="inlineStr">
        <is>
          <t xml:space="preserve"> Ultralight Touring</t>
        </is>
      </c>
      <c r="AG299" t="inlineStr">
        <is>
          <t>Salomon MTN Explore 88 177 cm</t>
        </is>
      </c>
      <c r="AH299" t="inlineStr">
        <is>
          <t>Powder7 Ski Shop</t>
        </is>
      </c>
      <c r="AI299" s="333" t="n">
        <v>519.99</v>
      </c>
      <c r="AJ299" t="inlineStr">
        <is>
          <t>https://tinyurl.com/y9wjxkzc</t>
        </is>
      </c>
      <c r="AK299" t="inlineStr">
        <is>
          <t>Salomon MTN Explore 88 177 cm</t>
        </is>
      </c>
      <c r="AL299" t="inlineStr">
        <is>
          <t>evo.com</t>
        </is>
      </c>
      <c r="AM299" s="333" t="n">
        <v>519.99</v>
      </c>
      <c r="AN299" t="inlineStr">
        <is>
          <t>https://tinyurl.com/y9t4rqvg</t>
        </is>
      </c>
      <c r="AO299" t="inlineStr">
        <is>
          <t>Salomon MTN Explore 88 RED/BLACK / 177</t>
        </is>
      </c>
      <c r="AP299" t="inlineStr">
        <is>
          <t>Neptune Mountaineering</t>
        </is>
      </c>
      <c r="AQ299" s="333" t="n">
        <v>560</v>
      </c>
      <c r="AR299" t="inlineStr">
        <is>
          <t>https://tinyurl.com/yc6fx8bq</t>
        </is>
      </c>
      <c r="AS299" s="314">
        <f>IF(LEFT(C299,1)=" ",RIGHT(C299,LEN(C299)-1),C299)</f>
        <v/>
      </c>
      <c r="AT299" s="281">
        <f>_xlfn.CONCAT(B299,AS299,D299,E299)</f>
        <v/>
      </c>
    </row>
    <row r="300">
      <c r="A300" t="inlineStr">
        <is>
          <t>21/22</t>
        </is>
      </c>
      <c r="B300" t="inlineStr">
        <is>
          <t>K2</t>
        </is>
      </c>
      <c r="C300" t="inlineStr">
        <is>
          <t>Reckoner 102</t>
        </is>
      </c>
      <c r="D300" t="n">
        <v>184</v>
      </c>
      <c r="E300" t="inlineStr">
        <is>
          <t xml:space="preserve"> Unisex</t>
        </is>
      </c>
      <c r="F300" t="n">
        <v>184</v>
      </c>
      <c r="G300" t="n">
        <v>184.2</v>
      </c>
      <c r="H300" t="n">
        <v>121</v>
      </c>
      <c r="I300" t="n">
        <v>155</v>
      </c>
      <c r="J300" t="n">
        <v>134</v>
      </c>
      <c r="K300" t="n">
        <v>101</v>
      </c>
      <c r="L300" t="n">
        <v>126</v>
      </c>
      <c r="M300" t="n">
        <v>19.8</v>
      </c>
      <c r="N300" t="n">
        <v>1875</v>
      </c>
      <c r="O300" t="n">
        <v>1.1</v>
      </c>
      <c r="P300" t="n">
        <v>2065</v>
      </c>
      <c r="Q300" t="n">
        <v>210</v>
      </c>
      <c r="R300" t="n">
        <v>85</v>
      </c>
      <c r="S300" t="n">
        <v>46</v>
      </c>
      <c r="T300" t="n">
        <v>333</v>
      </c>
      <c r="U300" t="n">
        <v>43</v>
      </c>
      <c r="V300" t="n">
        <v>302</v>
      </c>
      <c r="W300" t="n">
        <v>0.927</v>
      </c>
      <c r="X300" t="n">
        <v>147</v>
      </c>
      <c r="Y300" t="n">
        <v>147</v>
      </c>
      <c r="Z300" t="n">
        <v>186</v>
      </c>
      <c r="AA300" t="n">
        <v>7</v>
      </c>
      <c r="AB300" t="n">
        <v>4.8</v>
      </c>
      <c r="AC300" t="inlineStr">
        <is>
          <t xml:space="preserve"> Freeski</t>
        </is>
      </c>
      <c r="AD300" t="inlineStr">
        <is>
          <t xml:space="preserve"> Powder</t>
        </is>
      </c>
      <c r="AE300" t="inlineStr">
        <is>
          <t xml:space="preserve"> Touring</t>
        </is>
      </c>
      <c r="AG300" t="inlineStr">
        <is>
          <t>K2 Reckoner 102 Skis 2022</t>
        </is>
      </c>
      <c r="AH300" t="inlineStr">
        <is>
          <t>PRFO Sports</t>
        </is>
      </c>
      <c r="AI300" s="333" t="n">
        <v>448.96</v>
      </c>
      <c r="AJ300" t="inlineStr">
        <is>
          <t>https://tinyurl.com/ybarmvre</t>
        </is>
      </c>
      <c r="AK300" t="inlineStr">
        <is>
          <t>K2 Reckoner 102 21/22</t>
        </is>
      </c>
      <c r="AL300" t="inlineStr">
        <is>
          <t>Ski Town All-Stars</t>
        </is>
      </c>
      <c r="AM300" s="333" t="n">
        <v>479.99</v>
      </c>
      <c r="AN300" t="inlineStr">
        <is>
          <t>https://tinyurl.com/y72lkp6t</t>
        </is>
      </c>
      <c r="AO300" t="inlineStr">
        <is>
          <t>2022 K2 Reckoner 102 Demo Skis w/ Marker Griffon 13 Demo Bindings - 184| Ski Essentials</t>
        </is>
      </c>
      <c r="AP300" t="inlineStr">
        <is>
          <t>SkiEssentials.com</t>
        </is>
      </c>
      <c r="AQ300" s="333" t="n">
        <v>599</v>
      </c>
      <c r="AR300" t="inlineStr">
        <is>
          <t>https://tinyurl.com/ya7t3s8p</t>
        </is>
      </c>
      <c r="AS300" s="314">
        <f>IF(LEFT(C300,1)=" ",RIGHT(C300,LEN(C300)-1),C300)</f>
        <v/>
      </c>
      <c r="AT300" s="281">
        <f>_xlfn.CONCAT(B300,AS300,D300,E300)</f>
        <v/>
      </c>
    </row>
    <row r="301">
      <c r="A301" t="inlineStr">
        <is>
          <t>21/22</t>
        </is>
      </c>
      <c r="B301" t="inlineStr">
        <is>
          <t xml:space="preserve"> Fischer</t>
        </is>
      </c>
      <c r="C301" t="inlineStr">
        <is>
          <t>Ranger 99 Ti</t>
        </is>
      </c>
      <c r="D301" t="n">
        <v>174</v>
      </c>
      <c r="E301" t="inlineStr">
        <is>
          <t xml:space="preserve"> Unisex</t>
        </is>
      </c>
      <c r="F301" t="n">
        <v>174</v>
      </c>
      <c r="G301" t="n">
        <v>174.2</v>
      </c>
      <c r="H301" t="n">
        <v>123</v>
      </c>
      <c r="I301" t="n">
        <v>147</v>
      </c>
      <c r="J301" t="n">
        <v>127</v>
      </c>
      <c r="K301" t="n">
        <v>95</v>
      </c>
      <c r="L301" t="n">
        <v>118</v>
      </c>
      <c r="M301" t="n">
        <v>16.5</v>
      </c>
      <c r="N301" t="n">
        <v>1786</v>
      </c>
      <c r="O301" t="n">
        <v>1.04</v>
      </c>
      <c r="P301" t="n">
        <v>1857</v>
      </c>
      <c r="Q301" t="n">
        <v>210</v>
      </c>
      <c r="R301" t="n">
        <v>118</v>
      </c>
      <c r="S301" t="n">
        <v>49</v>
      </c>
      <c r="T301" t="n">
        <v>296</v>
      </c>
      <c r="U301" t="n">
        <v>18</v>
      </c>
      <c r="V301" t="n">
        <v>217</v>
      </c>
      <c r="W301" t="n">
        <v>0.373</v>
      </c>
      <c r="X301" t="n">
        <v>144</v>
      </c>
      <c r="Y301" t="n">
        <v>126</v>
      </c>
      <c r="Z301" t="n">
        <v>152</v>
      </c>
      <c r="AA301" t="n">
        <v>6</v>
      </c>
      <c r="AB301" t="n">
        <v>9.300000000000001</v>
      </c>
      <c r="AC301" t="inlineStr">
        <is>
          <t xml:space="preserve"> Resort Freeride</t>
        </is>
      </c>
      <c r="AG301" t="inlineStr">
        <is>
          <t>Fischer Ranger 99 Ti Ski - 2022</t>
        </is>
      </c>
      <c r="AH301" t="inlineStr">
        <is>
          <t>Snowcountry.eu</t>
        </is>
      </c>
      <c r="AI301" s="333" t="n">
        <v>387.23</v>
      </c>
      <c r="AJ301" t="inlineStr">
        <is>
          <t>https://tinyurl.com/y9r825gb</t>
        </is>
      </c>
      <c r="AK301" t="inlineStr">
        <is>
          <t>Fischer Ranger 99 Ti WS 20/21</t>
        </is>
      </c>
      <c r="AL301" t="inlineStr">
        <is>
          <t>Level Nine Sports</t>
        </is>
      </c>
      <c r="AM301" s="333" t="n">
        <v>389.99</v>
      </c>
      <c r="AN301" t="inlineStr">
        <is>
          <t>https://tinyurl.com/y9jhds4k</t>
        </is>
      </c>
      <c r="AO301" t="inlineStr">
        <is>
          <t>Fischer Ranger 99 Ti Dark Green 174 Ski Men</t>
        </is>
      </c>
      <c r="AP301" t="inlineStr">
        <is>
          <t>! OutdoorXL.com</t>
        </is>
      </c>
      <c r="AQ301" s="333" t="n">
        <v>469.95</v>
      </c>
      <c r="AR301" t="inlineStr">
        <is>
          <t>https://tinyurl.com/yb38fhss</t>
        </is>
      </c>
      <c r="AS301" s="314">
        <f>IF(LEFT(C301,1)=" ",RIGHT(C301,LEN(C301)-1),C301)</f>
        <v/>
      </c>
      <c r="AT301" s="281">
        <f>_xlfn.CONCAT(B301,AS301,D301,E301)</f>
        <v/>
      </c>
    </row>
    <row r="302">
      <c r="A302" t="inlineStr">
        <is>
          <t>21/22</t>
        </is>
      </c>
      <c r="B302" t="inlineStr">
        <is>
          <t xml:space="preserve"> DPS</t>
        </is>
      </c>
      <c r="C302" t="inlineStr">
        <is>
          <t>Foundation 103 Koala</t>
        </is>
      </c>
      <c r="D302" t="n">
        <v>168</v>
      </c>
      <c r="E302" t="inlineStr">
        <is>
          <t xml:space="preserve"> Unisex</t>
        </is>
      </c>
      <c r="F302" t="n">
        <v>168</v>
      </c>
      <c r="G302" t="n">
        <v>167.4</v>
      </c>
      <c r="H302" t="n">
        <v>108</v>
      </c>
      <c r="I302" t="n">
        <v>133</v>
      </c>
      <c r="J302" t="n">
        <v>128</v>
      </c>
      <c r="K302" t="n">
        <v>103</v>
      </c>
      <c r="L302" t="n">
        <v>117</v>
      </c>
      <c r="M302" t="n">
        <v>18.2</v>
      </c>
      <c r="N302" t="n">
        <v>1615</v>
      </c>
      <c r="O302" t="n">
        <v>1.15</v>
      </c>
      <c r="P302" t="n">
        <v>1863</v>
      </c>
      <c r="Q302" t="n">
        <v>173</v>
      </c>
      <c r="R302" t="n">
        <v>79</v>
      </c>
      <c r="S302" t="n">
        <v>50</v>
      </c>
      <c r="T302" t="n">
        <v>313</v>
      </c>
      <c r="U302" t="n">
        <v>33</v>
      </c>
      <c r="V302" t="n">
        <v>278</v>
      </c>
      <c r="W302" t="n">
        <v>0.660999999999999</v>
      </c>
      <c r="X302" t="n">
        <v>198</v>
      </c>
      <c r="Y302" t="n">
        <v>147</v>
      </c>
      <c r="Z302" t="n">
        <v>115</v>
      </c>
      <c r="AA302" t="n">
        <v>5</v>
      </c>
      <c r="AB302" t="n">
        <v>6.5</v>
      </c>
      <c r="AC302" t="inlineStr">
        <is>
          <t xml:space="preserve"> Resort Freeride</t>
        </is>
      </c>
      <c r="AD302" t="inlineStr">
        <is>
          <t xml:space="preserve"> Powder</t>
        </is>
      </c>
      <c r="AE302" t="inlineStr">
        <is>
          <t xml:space="preserve"> Touring</t>
        </is>
      </c>
      <c r="AG302" t="inlineStr">
        <is>
          <t>DPS Koala 103 Foundation Skis 2022</t>
        </is>
      </c>
      <c r="AH302" t="inlineStr">
        <is>
          <t>eBay - david110549</t>
        </is>
      </c>
      <c r="AI302" s="333" t="n">
        <v>559</v>
      </c>
      <c r="AJ302" t="inlineStr">
        <is>
          <t>https://tinyurl.com/y9349qp2</t>
        </is>
      </c>
      <c r="AK302" t="inlineStr">
        <is>
          <t>DPS Koala 103 Foundation Skis 2022</t>
        </is>
      </c>
      <c r="AL302" t="inlineStr">
        <is>
          <t>Teton Wasatch Ski Co.</t>
        </is>
      </c>
      <c r="AM302" s="333" t="n">
        <v>559</v>
      </c>
      <c r="AN302" t="inlineStr">
        <is>
          <t>https://tinyurl.com/y9ddr7zn</t>
        </is>
      </c>
      <c r="AO302" t="inlineStr">
        <is>
          <t>DPS Koala 103 Foundation Skis 2022</t>
        </is>
      </c>
      <c r="AP302" t="inlineStr">
        <is>
          <t>SkiEssentials.com</t>
        </is>
      </c>
      <c r="AQ302" s="333" t="n">
        <v>559</v>
      </c>
      <c r="AR302" t="inlineStr">
        <is>
          <t>https://tinyurl.com/y94h92gl</t>
        </is>
      </c>
      <c r="AS302" s="314">
        <f>IF(LEFT(C302,1)=" ",RIGHT(C302,LEN(C302)-1),C302)</f>
        <v/>
      </c>
      <c r="AT302" s="281">
        <f>_xlfn.CONCAT(B302,AS302,D302,E302)</f>
        <v/>
      </c>
    </row>
    <row r="303">
      <c r="A303" t="inlineStr">
        <is>
          <t>21/22</t>
        </is>
      </c>
      <c r="B303" t="inlineStr">
        <is>
          <t>K2</t>
        </is>
      </c>
      <c r="C303" t="inlineStr">
        <is>
          <t xml:space="preserve"> Poacher</t>
        </is>
      </c>
      <c r="D303" t="n">
        <v>177</v>
      </c>
      <c r="E303" t="inlineStr">
        <is>
          <t xml:space="preserve"> Unisex</t>
        </is>
      </c>
      <c r="F303" t="n">
        <v>177</v>
      </c>
      <c r="G303" t="n">
        <v>175.6</v>
      </c>
      <c r="H303" t="n">
        <v>106</v>
      </c>
      <c r="I303" t="n">
        <v>138</v>
      </c>
      <c r="J303" t="n">
        <v>123</v>
      </c>
      <c r="K303" t="n">
        <v>95</v>
      </c>
      <c r="L303" t="n">
        <v>117</v>
      </c>
      <c r="M303" t="n">
        <v>17.3</v>
      </c>
      <c r="N303" t="n">
        <v>2037</v>
      </c>
      <c r="O303" t="n">
        <v>0.91</v>
      </c>
      <c r="P303" t="n">
        <v>1847</v>
      </c>
      <c r="Q303" t="n">
        <v>233</v>
      </c>
      <c r="R303" t="n">
        <v>108</v>
      </c>
      <c r="S303" t="n">
        <v>41</v>
      </c>
      <c r="T303" t="n">
        <v>328</v>
      </c>
      <c r="U303" t="n">
        <v>38</v>
      </c>
      <c r="V303" t="n">
        <v>370</v>
      </c>
      <c r="W303" t="n">
        <v>0.929</v>
      </c>
      <c r="X303" t="n">
        <v>190</v>
      </c>
      <c r="Y303" t="n">
        <v>184</v>
      </c>
      <c r="Z303" t="n">
        <v>137</v>
      </c>
      <c r="AA303" t="n">
        <v>6</v>
      </c>
      <c r="AB303" t="n">
        <v>5.5</v>
      </c>
      <c r="AC303" t="inlineStr">
        <is>
          <t xml:space="preserve"> Freeski</t>
        </is>
      </c>
      <c r="AG303" t="inlineStr">
        <is>
          <t>'22 K2 Poacher Skis 177cm</t>
        </is>
      </c>
      <c r="AH303" t="inlineStr">
        <is>
          <t>Al's Ski Equipment Barn</t>
        </is>
      </c>
      <c r="AI303" s="333" t="n">
        <v>499</v>
      </c>
      <c r="AJ303" t="inlineStr">
        <is>
          <t>https://tinyurl.com/y9kg88qn</t>
        </is>
      </c>
      <c r="AK303" t="inlineStr">
        <is>
          <t>K2 Poacher Skis 2022 - 177</t>
        </is>
      </c>
      <c r="AL303" t="inlineStr">
        <is>
          <t>evo.com</t>
        </is>
      </c>
      <c r="AM303" s="333" t="n">
        <v>499.95</v>
      </c>
      <c r="AN303" t="inlineStr">
        <is>
          <t>https://tinyurl.com/y8tn3ykq</t>
        </is>
      </c>
      <c r="AO303" t="inlineStr">
        <is>
          <t>K2 Poacher Skis 2022 - Size: 177</t>
        </is>
      </c>
      <c r="AP303" t="inlineStr">
        <is>
          <t>K2 Snow</t>
        </is>
      </c>
      <c r="AQ303" s="333" t="n">
        <v>499.95</v>
      </c>
      <c r="AR303" t="inlineStr">
        <is>
          <t>https://tinyurl.com/yc77ldsm</t>
        </is>
      </c>
      <c r="AS303" s="314">
        <f>IF(LEFT(C303,1)=" ",RIGHT(C303,LEN(C303)-1),C303)</f>
        <v/>
      </c>
      <c r="AT303" s="281">
        <f>_xlfn.CONCAT(B303,AS303,D303,E303)</f>
        <v/>
      </c>
    </row>
    <row r="304">
      <c r="A304" t="inlineStr">
        <is>
          <t>21/22</t>
        </is>
      </c>
      <c r="B304" t="inlineStr">
        <is>
          <t xml:space="preserve"> Faction</t>
        </is>
      </c>
      <c r="C304" t="inlineStr">
        <is>
          <t>Dictator 2.0 X</t>
        </is>
      </c>
      <c r="D304" t="n">
        <v>163</v>
      </c>
      <c r="E304" t="inlineStr">
        <is>
          <t xml:space="preserve"> Women's</t>
        </is>
      </c>
      <c r="F304" t="n">
        <v>163</v>
      </c>
      <c r="G304" t="n">
        <v>161.6</v>
      </c>
      <c r="H304" t="n">
        <v>119</v>
      </c>
      <c r="I304" t="n">
        <v>134</v>
      </c>
      <c r="J304" t="n">
        <v>127</v>
      </c>
      <c r="K304" t="n">
        <v>96</v>
      </c>
      <c r="L304" t="n">
        <v>117</v>
      </c>
      <c r="M304" t="n">
        <v>15.4</v>
      </c>
      <c r="N304" t="n">
        <v>1753</v>
      </c>
      <c r="O304" t="n">
        <v>0.98</v>
      </c>
      <c r="P304" t="n">
        <v>1719</v>
      </c>
      <c r="Q304" t="n">
        <v>197</v>
      </c>
      <c r="R304" t="n">
        <v>122</v>
      </c>
      <c r="S304" t="n">
        <v>54</v>
      </c>
      <c r="T304" t="n">
        <v>252</v>
      </c>
      <c r="U304" t="n">
        <v>20</v>
      </c>
      <c r="V304" t="n">
        <v>170</v>
      </c>
      <c r="W304" t="n">
        <v>0.377</v>
      </c>
      <c r="X304" t="n">
        <v>168</v>
      </c>
      <c r="Y304" t="n">
        <v>108</v>
      </c>
      <c r="Z304" t="n">
        <v>84</v>
      </c>
      <c r="AA304" t="n">
        <v>5</v>
      </c>
      <c r="AB304" t="n">
        <v>10.4</v>
      </c>
      <c r="AC304" t="inlineStr">
        <is>
          <t xml:space="preserve"> Resort Freeride</t>
        </is>
      </c>
      <c r="AG304" t="inlineStr">
        <is>
          <t>Faction Dictator 2.0x Skis</t>
        </is>
      </c>
      <c r="AH304" t="inlineStr">
        <is>
          <t>Backcountry Freeskier</t>
        </is>
      </c>
      <c r="AI304" s="333" t="n">
        <v>529</v>
      </c>
      <c r="AJ304" t="inlineStr">
        <is>
          <t>https://tinyurl.com/y7g7u378</t>
        </is>
      </c>
      <c r="AK304" t="inlineStr">
        <is>
          <t>Faction Agent 2.0x Women's Skis</t>
        </is>
      </c>
      <c r="AL304" t="inlineStr">
        <is>
          <t>Aspen Ski and Board</t>
        </is>
      </c>
      <c r="AM304" s="333" t="n">
        <v>559.2</v>
      </c>
      <c r="AN304" t="inlineStr">
        <is>
          <t>https://tinyurl.com/y7h36qc7</t>
        </is>
      </c>
      <c r="AO304" t="inlineStr">
        <is>
          <t>Faction Agent 2.0x Women's Skis</t>
        </is>
      </c>
      <c r="AP304" t="inlineStr">
        <is>
          <t>Saint Bernard</t>
        </is>
      </c>
      <c r="AQ304" s="333" t="n">
        <v>559.9</v>
      </c>
      <c r="AR304" t="inlineStr">
        <is>
          <t>https://tinyurl.com/ycbzt9cj</t>
        </is>
      </c>
      <c r="AS304" s="314">
        <f>IF(LEFT(C304,1)=" ",RIGHT(C304,LEN(C304)-1),C304)</f>
        <v/>
      </c>
      <c r="AT304" s="281">
        <f>_xlfn.CONCAT(B304,AS304,D304,E304)</f>
        <v/>
      </c>
    </row>
    <row r="305">
      <c r="A305" t="inlineStr">
        <is>
          <t>21/22</t>
        </is>
      </c>
      <c r="B305" t="inlineStr">
        <is>
          <t xml:space="preserve"> Blizzard</t>
        </is>
      </c>
      <c r="C305" t="inlineStr">
        <is>
          <t>Zero G 105</t>
        </is>
      </c>
      <c r="D305" t="n">
        <v>180</v>
      </c>
      <c r="E305" t="inlineStr">
        <is>
          <t xml:space="preserve"> Unisex</t>
        </is>
      </c>
      <c r="F305" t="n">
        <v>180</v>
      </c>
      <c r="G305" t="n">
        <v>177.9</v>
      </c>
      <c r="H305" t="n">
        <v>120</v>
      </c>
      <c r="I305" t="n">
        <v>148</v>
      </c>
      <c r="J305" t="n">
        <v>132</v>
      </c>
      <c r="K305" t="n">
        <v>104</v>
      </c>
      <c r="L305" t="n">
        <v>118</v>
      </c>
      <c r="M305" t="n">
        <v>23.8</v>
      </c>
      <c r="N305" t="n">
        <v>1487</v>
      </c>
      <c r="O305" t="n">
        <v>1.34</v>
      </c>
      <c r="P305" t="n">
        <v>1999</v>
      </c>
      <c r="Q305" t="n">
        <v>208</v>
      </c>
      <c r="R305" t="n">
        <v>78</v>
      </c>
      <c r="S305" t="n">
        <v>58</v>
      </c>
      <c r="T305" t="n">
        <v>336</v>
      </c>
      <c r="U305" t="n">
        <v>24</v>
      </c>
      <c r="V305" t="n">
        <v>243</v>
      </c>
      <c r="W305" t="n">
        <v>0.414</v>
      </c>
      <c r="X305" t="n">
        <v>152</v>
      </c>
      <c r="Y305" t="n">
        <v>145</v>
      </c>
      <c r="Z305" t="n">
        <v>184</v>
      </c>
      <c r="AA305" t="n">
        <v>3</v>
      </c>
      <c r="AB305" t="n">
        <v>9.199999999999999</v>
      </c>
      <c r="AC305" t="inlineStr">
        <is>
          <t xml:space="preserve"> Powder</t>
        </is>
      </c>
      <c r="AD305" t="inlineStr">
        <is>
          <t xml:space="preserve"> Touring</t>
        </is>
      </c>
      <c r="AE305" t="inlineStr">
        <is>
          <t xml:space="preserve"> Ultralight Touring</t>
        </is>
      </c>
      <c r="AG305" t="inlineStr">
        <is>
          <t>Blizzard Zero G 105 AT Setup Skis w Marker Alpinist 12 Bindings  Demo</t>
        </is>
      </c>
      <c r="AH305" t="inlineStr">
        <is>
          <t>Powder7 Ski Shop</t>
        </is>
      </c>
      <c r="AI305" s="333" t="n">
        <v>1109.99</v>
      </c>
      <c r="AJ305" t="inlineStr">
        <is>
          <t>https://tinyurl.com/y8a85mvq</t>
        </is>
      </c>
      <c r="AK305" t="inlineStr">
        <is>
          <t>2022 Blizzard Zero G 105 Skis with Marker Kingpin 13 Bindings (180)</t>
        </is>
      </c>
      <c r="AL305" t="inlineStr">
        <is>
          <t>SkiEssentials.com</t>
        </is>
      </c>
      <c r="AM305" s="333" t="n">
        <v>1125</v>
      </c>
      <c r="AN305" t="inlineStr">
        <is>
          <t>https://tinyurl.com/y8pmfam8</t>
        </is>
      </c>
      <c r="AO305" t="inlineStr">
        <is>
          <t>Blizzard Zero G 105</t>
        </is>
      </c>
      <c r="AP305" t="inlineStr">
        <is>
          <t>GritrOutdoors</t>
        </is>
      </c>
      <c r="AQ305" s="333" t="n">
        <v>639.95</v>
      </c>
      <c r="AR305" t="inlineStr">
        <is>
          <t>https://tinyurl.com/yardmozs</t>
        </is>
      </c>
      <c r="AS305" s="314">
        <f>IF(LEFT(C305,1)=" ",RIGHT(C305,LEN(C305)-1),C305)</f>
        <v/>
      </c>
      <c r="AT305" s="281">
        <f>_xlfn.CONCAT(B305,AS305,D305,E305)</f>
        <v/>
      </c>
    </row>
    <row r="306">
      <c r="A306" t="inlineStr">
        <is>
          <t>21/22</t>
        </is>
      </c>
      <c r="B306" t="inlineStr">
        <is>
          <t xml:space="preserve"> Salomon</t>
        </is>
      </c>
      <c r="C306" t="inlineStr">
        <is>
          <t>Stance 96</t>
        </is>
      </c>
      <c r="D306" t="n">
        <v>168</v>
      </c>
      <c r="E306" t="inlineStr">
        <is>
          <t xml:space="preserve"> Unisex</t>
        </is>
      </c>
      <c r="F306" t="n">
        <v>168</v>
      </c>
      <c r="G306" t="n">
        <v>167.4</v>
      </c>
      <c r="H306" t="n">
        <v>128</v>
      </c>
      <c r="I306" t="n">
        <v>137</v>
      </c>
      <c r="J306" t="n">
        <v>126</v>
      </c>
      <c r="K306" t="n">
        <v>93</v>
      </c>
      <c r="L306" t="n">
        <v>107</v>
      </c>
      <c r="M306" t="n">
        <v>18.5</v>
      </c>
      <c r="N306" t="n">
        <v>1767</v>
      </c>
      <c r="O306" t="n">
        <v>0.98</v>
      </c>
      <c r="P306" t="n">
        <v>1734</v>
      </c>
      <c r="Q306" t="n">
        <v>180</v>
      </c>
      <c r="R306" t="n">
        <v>111</v>
      </c>
      <c r="S306" t="n">
        <v>48</v>
      </c>
      <c r="T306" t="n">
        <v>225</v>
      </c>
      <c r="U306" t="n">
        <v>9</v>
      </c>
      <c r="V306" t="n">
        <v>167</v>
      </c>
      <c r="W306" t="n">
        <v>0.188999999999999</v>
      </c>
      <c r="X306" t="n">
        <v>166</v>
      </c>
      <c r="Y306" t="n">
        <v>138</v>
      </c>
      <c r="Z306" t="n">
        <v>58</v>
      </c>
      <c r="AA306" t="n">
        <v>9</v>
      </c>
      <c r="AB306" t="n">
        <v>9.4</v>
      </c>
      <c r="AC306" t="inlineStr">
        <is>
          <t xml:space="preserve"> Resort Freeride</t>
        </is>
      </c>
      <c r="AG306" t="inlineStr">
        <is>
          <t>168 Cm Salomon Stance 96 Demo Skis + Salomon Warden 13 Demo Bindings</t>
        </is>
      </c>
      <c r="AH306" t="inlineStr">
        <is>
          <t>eBay - equinox_outfitters</t>
        </is>
      </c>
      <c r="AI306" s="333" t="n">
        <v>279.99</v>
      </c>
      <c r="AJ306" t="inlineStr">
        <is>
          <t>https://tinyurl.com/y9q8497f</t>
        </is>
      </c>
      <c r="AK306" t="inlineStr">
        <is>
          <t xml:space="preserve"> 2021 Salomon Stance 96 Demo Ski with Bindings Size 168 (Option 210060)</t>
        </is>
      </c>
      <c r="AL306" t="inlineStr">
        <is>
          <t>SidelineSwap</t>
        </is>
      </c>
      <c r="AM306" s="333" t="n">
        <v>415</v>
      </c>
      <c r="AN306" t="inlineStr">
        <is>
          <t>https://tinyurl.com/y8ovc76m</t>
        </is>
      </c>
      <c r="AO306" t="inlineStr">
        <is>
          <t>Salomon N Stance 96 168cm</t>
        </is>
      </c>
      <c r="AP306" t="inlineStr">
        <is>
          <t>Sundance Ski and Board Shop</t>
        </is>
      </c>
      <c r="AQ306" s="333" t="n">
        <v>481.02</v>
      </c>
      <c r="AR306" t="inlineStr">
        <is>
          <t>https://tinyurl.com/yab8axcr</t>
        </is>
      </c>
      <c r="AS306" s="314">
        <f>IF(LEFT(C306,1)=" ",RIGHT(C306,LEN(C306)-1),C306)</f>
        <v/>
      </c>
      <c r="AT306" s="281">
        <f>_xlfn.CONCAT(B306,AS306,D306,E306)</f>
        <v/>
      </c>
    </row>
    <row r="307">
      <c r="A307" t="inlineStr">
        <is>
          <t>21/22</t>
        </is>
      </c>
      <c r="B307" t="inlineStr">
        <is>
          <t xml:space="preserve"> DPS</t>
        </is>
      </c>
      <c r="C307" t="inlineStr">
        <is>
          <t>Pagoda Piste 90 RP</t>
        </is>
      </c>
      <c r="D307" t="n">
        <v>184</v>
      </c>
      <c r="E307" t="inlineStr">
        <is>
          <t xml:space="preserve"> Unisex</t>
        </is>
      </c>
      <c r="F307" t="n">
        <v>184</v>
      </c>
      <c r="G307" t="n">
        <v>183.3</v>
      </c>
      <c r="H307" t="n">
        <v>131</v>
      </c>
      <c r="I307" t="n">
        <v>140</v>
      </c>
      <c r="J307" t="n">
        <v>127</v>
      </c>
      <c r="K307" t="n">
        <v>90</v>
      </c>
      <c r="L307" t="n">
        <v>110</v>
      </c>
      <c r="M307" t="n">
        <v>14.9</v>
      </c>
      <c r="N307" t="n">
        <v>1885</v>
      </c>
      <c r="O307" t="n">
        <v>1</v>
      </c>
      <c r="P307" t="n">
        <v>1885</v>
      </c>
      <c r="Q307" t="n">
        <v>245</v>
      </c>
      <c r="R307" t="n">
        <v>117</v>
      </c>
      <c r="S307" t="n">
        <v>58</v>
      </c>
      <c r="T307" t="n">
        <v>339</v>
      </c>
      <c r="U307" t="n">
        <v>11</v>
      </c>
      <c r="V307" t="n">
        <v>184</v>
      </c>
      <c r="W307" t="n">
        <v>0.184</v>
      </c>
      <c r="X307" t="n">
        <v>203</v>
      </c>
      <c r="Y307" t="n">
        <v>227</v>
      </c>
      <c r="Z307" t="n">
        <v>136</v>
      </c>
      <c r="AA307" t="n">
        <v>9</v>
      </c>
      <c r="AB307" t="n">
        <v>12</v>
      </c>
      <c r="AC307" t="inlineStr">
        <is>
          <t xml:space="preserve"> Resort Freeride</t>
        </is>
      </c>
      <c r="AG307" t="inlineStr">
        <is>
          <t>DPS Pagoda Piste 90 RP Skis Â· 184 cm Â· Yellow</t>
        </is>
      </c>
      <c r="AH307" t="inlineStr">
        <is>
          <t>Powder7 Ski Shop</t>
        </is>
      </c>
      <c r="AI307" s="333" t="n">
        <v>1039.2</v>
      </c>
      <c r="AJ307" t="inlineStr">
        <is>
          <t>https://tinyurl.com/yb3ubn4s</t>
        </is>
      </c>
      <c r="AK307" t="inlineStr">
        <is>
          <t>DPS Pagoda Piste 90 RP Skis Â· 184 cm Â· Yellow</t>
        </is>
      </c>
      <c r="AL307" t="inlineStr">
        <is>
          <t>Gear West Ski &amp; Bike</t>
        </is>
      </c>
      <c r="AM307" s="333" t="n">
        <v>1299</v>
      </c>
      <c r="AN307" t="inlineStr">
        <is>
          <t>https://tinyurl.com/y93tnmz6</t>
        </is>
      </c>
      <c r="AO307" t="inlineStr">
        <is>
          <t>Pagoda Piste 90 RP Yellow - 184cm</t>
        </is>
      </c>
      <c r="AP307" t="inlineStr">
        <is>
          <t>DPS Skis</t>
        </is>
      </c>
      <c r="AQ307" s="333" t="n">
        <v>1299</v>
      </c>
      <c r="AR307" t="inlineStr">
        <is>
          <t>https://tinyurl.com/y87onre7</t>
        </is>
      </c>
      <c r="AS307" s="314">
        <f>IF(LEFT(C307,1)=" ",RIGHT(C307,LEN(C307)-1),C307)</f>
        <v/>
      </c>
      <c r="AT307" s="281">
        <f>_xlfn.CONCAT(B307,AS307,D307,E307)</f>
        <v/>
      </c>
    </row>
    <row r="308">
      <c r="A308" t="inlineStr">
        <is>
          <t>21/22</t>
        </is>
      </c>
      <c r="B308" t="inlineStr">
        <is>
          <t xml:space="preserve"> Head</t>
        </is>
      </c>
      <c r="C308" t="inlineStr">
        <is>
          <t>Kore 90 X</t>
        </is>
      </c>
      <c r="D308" t="n">
        <v>177</v>
      </c>
      <c r="E308" t="inlineStr">
        <is>
          <t xml:space="preserve"> Unisex</t>
        </is>
      </c>
      <c r="F308" t="n">
        <v>177</v>
      </c>
      <c r="G308" t="n">
        <v>176.3</v>
      </c>
      <c r="H308" t="n">
        <v>140</v>
      </c>
      <c r="I308" t="n">
        <v>147</v>
      </c>
      <c r="J308" t="n">
        <v>132</v>
      </c>
      <c r="K308" t="n">
        <v>92</v>
      </c>
      <c r="L308" t="n">
        <v>114</v>
      </c>
      <c r="M308" t="n">
        <v>16.4</v>
      </c>
      <c r="N308" t="n">
        <v>1930</v>
      </c>
      <c r="O308" t="n">
        <v>0.96</v>
      </c>
      <c r="P308" t="n">
        <v>1845</v>
      </c>
      <c r="Q308" t="n">
        <v>216</v>
      </c>
      <c r="R308" t="n">
        <v>101</v>
      </c>
      <c r="S308" t="n">
        <v>51</v>
      </c>
      <c r="T308" t="n">
        <v>217</v>
      </c>
      <c r="U308" t="n">
        <v>12</v>
      </c>
      <c r="V308" t="n">
        <v>142</v>
      </c>
      <c r="W308" t="n">
        <v>0.241</v>
      </c>
      <c r="X308" t="n">
        <v>147</v>
      </c>
      <c r="Y308" t="n">
        <v>146</v>
      </c>
      <c r="Z308" t="n">
        <v>69</v>
      </c>
      <c r="AA308" t="n">
        <v>11</v>
      </c>
      <c r="AB308" t="n">
        <v>10.5</v>
      </c>
      <c r="AC308" t="inlineStr">
        <is>
          <t xml:space="preserve"> Resort Freeride</t>
        </is>
      </c>
      <c r="AG308" t="inlineStr">
        <is>
          <t>Head Kore 90 x Skis 2022 - 177</t>
        </is>
      </c>
      <c r="AH308" t="inlineStr">
        <is>
          <t>! OutdoorXL.com</t>
        </is>
      </c>
      <c r="AI308" s="333" t="n">
        <v>329.95</v>
      </c>
      <c r="AJ308" t="inlineStr">
        <is>
          <t>https://tinyurl.com/ybg3lpdl</t>
        </is>
      </c>
      <c r="AK308" t="inlineStr">
        <is>
          <t>Head Kore 90 x Skis 2022 - 177</t>
        </is>
      </c>
      <c r="AL308" t="inlineStr">
        <is>
          <t>evo.com</t>
        </is>
      </c>
      <c r="AM308" s="333" t="n">
        <v>409</v>
      </c>
      <c r="AN308" t="inlineStr">
        <is>
          <t>https://tinyurl.com/ybh6xtjs</t>
        </is>
      </c>
      <c r="AO308" t="inlineStr">
        <is>
          <t>Head Kore 90 x Skis 2022 - 177</t>
        </is>
      </c>
      <c r="AP308" t="inlineStr">
        <is>
          <t>eBay</t>
        </is>
      </c>
      <c r="AQ308" s="333" t="n">
        <v>525</v>
      </c>
      <c r="AR308" t="inlineStr">
        <is>
          <t>https://tinyurl.com/y7g2co7a</t>
        </is>
      </c>
      <c r="AS308" s="314">
        <f>IF(LEFT(C308,1)=" ",RIGHT(C308,LEN(C308)-1),C308)</f>
        <v/>
      </c>
      <c r="AT308" s="281">
        <f>_xlfn.CONCAT(B308,AS308,D308,E308)</f>
        <v/>
      </c>
    </row>
    <row r="309">
      <c r="A309" t="inlineStr">
        <is>
          <t>21/22</t>
        </is>
      </c>
      <c r="B309" t="inlineStr">
        <is>
          <t xml:space="preserve"> Elan</t>
        </is>
      </c>
      <c r="C309" t="inlineStr">
        <is>
          <t>Ripstick 94 W</t>
        </is>
      </c>
      <c r="D309" t="n">
        <v>170</v>
      </c>
      <c r="E309" t="inlineStr">
        <is>
          <t xml:space="preserve"> Women's</t>
        </is>
      </c>
      <c r="F309" t="n">
        <v>170</v>
      </c>
      <c r="G309" t="n">
        <v>170.4</v>
      </c>
      <c r="H309" t="n">
        <v>128</v>
      </c>
      <c r="I309" t="n">
        <v>137</v>
      </c>
      <c r="J309" t="n">
        <v>136</v>
      </c>
      <c r="K309" t="n">
        <v>95</v>
      </c>
      <c r="L309" t="n">
        <v>111</v>
      </c>
      <c r="M309" t="n">
        <v>15.7</v>
      </c>
      <c r="N309" t="n">
        <v>1612</v>
      </c>
      <c r="O309" t="n">
        <v>1.13</v>
      </c>
      <c r="P309" t="n">
        <v>1827</v>
      </c>
      <c r="Q309" t="n">
        <v>187</v>
      </c>
      <c r="R309" t="n">
        <v>74</v>
      </c>
      <c r="S309" t="n">
        <v>47</v>
      </c>
      <c r="T309" t="n">
        <v>242</v>
      </c>
      <c r="U309" t="n">
        <v>16</v>
      </c>
      <c r="V309" t="n">
        <v>181</v>
      </c>
      <c r="W309" t="n">
        <v>0.347</v>
      </c>
      <c r="X309" t="n">
        <v>176</v>
      </c>
      <c r="Y309" t="n">
        <v>163</v>
      </c>
      <c r="Z309" t="n">
        <v>66</v>
      </c>
      <c r="AA309" t="n">
        <v>4</v>
      </c>
      <c r="AB309" t="n">
        <v>6.8</v>
      </c>
      <c r="AC309" t="inlineStr">
        <is>
          <t xml:space="preserve"> Resort Freeride</t>
        </is>
      </c>
      <c r="AD309" t="inlineStr">
        <is>
          <t xml:space="preserve"> Touring</t>
        </is>
      </c>
      <c r="AG309" t="inlineStr">
        <is>
          <t>Elan Ripstick 94 170</t>
        </is>
      </c>
      <c r="AH309" t="inlineStr">
        <is>
          <t>! OutdoorXL.com</t>
        </is>
      </c>
      <c r="AI309" s="333" t="n">
        <v>424.95</v>
      </c>
      <c r="AJ309" t="inlineStr">
        <is>
          <t>https://tinyurl.com/yahgahbt</t>
        </is>
      </c>
      <c r="AK309" t="inlineStr">
        <is>
          <t>Elan Ripstick 94 170</t>
        </is>
      </c>
      <c r="AL309" t="inlineStr">
        <is>
          <t>Absolute-Snow.co.uk</t>
        </is>
      </c>
      <c r="AM309" s="333" t="n">
        <v>555.4400000000001</v>
      </c>
      <c r="AN309" t="inlineStr">
        <is>
          <t>https://tinyurl.com/yaa6r22l</t>
        </is>
      </c>
      <c r="AO309" t="inlineStr">
        <is>
          <t>Elan Ripstick 94 Skis | Womens | 170 | Christy Sports</t>
        </is>
      </c>
      <c r="AP309" t="inlineStr">
        <is>
          <t>Christy Sports</t>
        </is>
      </c>
      <c r="AQ309" s="333" t="n">
        <v>599.99</v>
      </c>
      <c r="AR309" t="inlineStr">
        <is>
          <t>https://tinyurl.com/y8op5wyf</t>
        </is>
      </c>
      <c r="AS309" s="314">
        <f>IF(LEFT(C309,1)=" ",RIGHT(C309,LEN(C309)-1),C309)</f>
        <v/>
      </c>
      <c r="AT309" s="281">
        <f>_xlfn.CONCAT(B309,AS309,D309,E309)</f>
        <v/>
      </c>
    </row>
    <row r="310">
      <c r="A310" t="inlineStr">
        <is>
          <t>21/22</t>
        </is>
      </c>
      <c r="B310" t="inlineStr">
        <is>
          <t xml:space="preserve"> Dynafit</t>
        </is>
      </c>
      <c r="C310" t="inlineStr">
        <is>
          <t>Blacklight 88</t>
        </is>
      </c>
      <c r="D310" t="n">
        <v>178</v>
      </c>
      <c r="E310" t="inlineStr">
        <is>
          <t xml:space="preserve"> Unisex</t>
        </is>
      </c>
      <c r="F310" t="n">
        <v>178</v>
      </c>
      <c r="G310" t="n">
        <v>175.9</v>
      </c>
      <c r="H310" t="n">
        <v>123</v>
      </c>
      <c r="I310" t="n">
        <v>153</v>
      </c>
      <c r="J310" t="n">
        <v>123</v>
      </c>
      <c r="K310" t="n">
        <v>88</v>
      </c>
      <c r="L310" t="n">
        <v>111</v>
      </c>
      <c r="M310" t="n">
        <v>19.8</v>
      </c>
      <c r="N310" t="n">
        <v>1263</v>
      </c>
      <c r="O310" t="n">
        <v>1.37</v>
      </c>
      <c r="P310" t="n">
        <v>1727</v>
      </c>
      <c r="Q310" t="n">
        <v>312</v>
      </c>
      <c r="R310" t="n">
        <v>103</v>
      </c>
      <c r="S310" t="n">
        <v>54</v>
      </c>
      <c r="T310" t="n">
        <v>364</v>
      </c>
      <c r="U310" t="n">
        <v>10</v>
      </c>
      <c r="V310" t="n">
        <v>167</v>
      </c>
      <c r="W310" t="n">
        <v>0.18</v>
      </c>
      <c r="X310" t="n">
        <v>138</v>
      </c>
      <c r="Y310" t="n">
        <v>96</v>
      </c>
      <c r="Z310" t="n">
        <v>226</v>
      </c>
      <c r="AA310" t="n">
        <v>2</v>
      </c>
      <c r="AB310" t="n">
        <v>12.4</v>
      </c>
      <c r="AC310" t="inlineStr">
        <is>
          <t xml:space="preserve"> Touring</t>
        </is>
      </c>
      <c r="AD310" t="inlineStr">
        <is>
          <t xml:space="preserve"> Ultralight Touring</t>
        </is>
      </c>
      <c r="AG310" t="inlineStr">
        <is>
          <t>Dynafit Blacklight 88 BLACK/ BLUE / 178</t>
        </is>
      </c>
      <c r="AH310" t="inlineStr">
        <is>
          <t>Neptune Mountaineering</t>
        </is>
      </c>
      <c r="AI310" s="333" t="n">
        <v>559.96</v>
      </c>
      <c r="AJ310" t="inlineStr">
        <is>
          <t>https://tinyurl.com/ybwfxfy4</t>
        </is>
      </c>
      <c r="AK310" t="inlineStr">
        <is>
          <t>Dynafit Blacklight 95 Combo 178</t>
        </is>
      </c>
      <c r="AL310" t="inlineStr">
        <is>
          <t>Cripple Creek Backcountry</t>
        </is>
      </c>
      <c r="AM310" s="333" t="n">
        <v>1049.95</v>
      </c>
      <c r="AN310" t="inlineStr">
        <is>
          <t>https://tinyurl.com/y7gweq4b</t>
        </is>
      </c>
      <c r="AO310" t="inlineStr">
        <is>
          <t>Dynafit Blacklight 88, Black Blue / 178cm</t>
        </is>
      </c>
      <c r="AP310" t="inlineStr">
        <is>
          <t>Ascent Outdoors</t>
        </is>
      </c>
      <c r="AQ310" s="333" t="n">
        <v>559.96</v>
      </c>
      <c r="AR310" t="inlineStr">
        <is>
          <t>https://tinyurl.com/ydhybrub</t>
        </is>
      </c>
      <c r="AS310" s="314">
        <f>IF(LEFT(C310,1)=" ",RIGHT(C310,LEN(C310)-1),C310)</f>
        <v/>
      </c>
      <c r="AT310" s="281">
        <f>_xlfn.CONCAT(B310,AS310,D310,E310)</f>
        <v/>
      </c>
    </row>
    <row r="311">
      <c r="A311" t="inlineStr">
        <is>
          <t>21/22</t>
        </is>
      </c>
      <c r="B311" t="inlineStr">
        <is>
          <t xml:space="preserve"> Vï¿½lkl</t>
        </is>
      </c>
      <c r="C311" t="inlineStr">
        <is>
          <t>Kenja 88</t>
        </is>
      </c>
      <c r="D311" t="n">
        <v>156</v>
      </c>
      <c r="E311" t="inlineStr">
        <is>
          <t xml:space="preserve"> Women's</t>
        </is>
      </c>
      <c r="F311" t="n">
        <v>156</v>
      </c>
      <c r="G311" t="n">
        <v>156.1</v>
      </c>
      <c r="H311" t="n">
        <v>108</v>
      </c>
      <c r="I311" t="n">
        <v>132</v>
      </c>
      <c r="J311" t="n">
        <v>128</v>
      </c>
      <c r="K311" t="n">
        <v>87</v>
      </c>
      <c r="L311" t="n">
        <v>110</v>
      </c>
      <c r="M311" t="n">
        <v>12.9</v>
      </c>
      <c r="N311" t="n">
        <v>1675</v>
      </c>
      <c r="O311" t="n">
        <v>0.9399999999999999</v>
      </c>
      <c r="P311" t="n">
        <v>1567</v>
      </c>
      <c r="Q311" t="n">
        <v>194</v>
      </c>
      <c r="R311" t="n">
        <v>132</v>
      </c>
      <c r="S311" t="n">
        <v>43</v>
      </c>
      <c r="T311" t="n">
        <v>283</v>
      </c>
      <c r="U311" t="n">
        <v>16</v>
      </c>
      <c r="V311" t="n">
        <v>202</v>
      </c>
      <c r="W311" t="n">
        <v>0.374</v>
      </c>
      <c r="X311" t="n">
        <v>132</v>
      </c>
      <c r="Y311" t="n">
        <v>104</v>
      </c>
      <c r="Z311" t="n">
        <v>151</v>
      </c>
      <c r="AA311" t="n">
        <v>3</v>
      </c>
      <c r="AB311" t="n">
        <v>11.6</v>
      </c>
      <c r="AC311" t="inlineStr">
        <is>
          <t xml:space="preserve"> Resort Freeride</t>
        </is>
      </c>
      <c r="AG311" t="inlineStr">
        <is>
          <t>Volkl Kenja 88 Skis</t>
        </is>
      </c>
      <c r="AH311" t="inlineStr">
        <is>
          <t>Absolute-Snow.co.uk</t>
        </is>
      </c>
      <c r="AI311" s="333" t="n">
        <v>414.09</v>
      </c>
      <c r="AJ311" t="inlineStr">
        <is>
          <t>https://tinyurl.com/ybj5f2n3</t>
        </is>
      </c>
      <c r="AK311" t="inlineStr">
        <is>
          <t>VÃ¶lkl Rise Above 88 Touring Skis 156</t>
        </is>
      </c>
      <c r="AL311" t="inlineStr">
        <is>
          <t>! OutdoorXL.com</t>
        </is>
      </c>
      <c r="AM311" s="333" t="n">
        <v>489.95</v>
      </c>
      <c r="AN311" t="inlineStr">
        <is>
          <t>https://tinyurl.com/ybzrrv4o</t>
        </is>
      </c>
      <c r="AO311" t="inlineStr">
        <is>
          <t>Volkl Ladies' Kenja 88 Flat Ski 2020-2021 | RED / 156</t>
        </is>
      </c>
      <c r="AP311" t="inlineStr">
        <is>
          <t>Ski Pro  - Snow Ski &amp; Snowboard</t>
        </is>
      </c>
      <c r="AQ311" s="333" t="n">
        <v>499.95</v>
      </c>
      <c r="AR311" t="inlineStr">
        <is>
          <t>https://tinyurl.com/ycm28rgn</t>
        </is>
      </c>
      <c r="AS311" s="314">
        <f>IF(LEFT(C311,1)=" ",RIGHT(C311,LEN(C311)-1),C311)</f>
        <v/>
      </c>
      <c r="AT311" s="281">
        <f>_xlfn.CONCAT(B311,AS311,D311,E311)</f>
        <v/>
      </c>
    </row>
    <row r="312">
      <c r="A312" t="inlineStr">
        <is>
          <t>21/22</t>
        </is>
      </c>
      <c r="B312" t="inlineStr">
        <is>
          <t>K2</t>
        </is>
      </c>
      <c r="C312" t="inlineStr">
        <is>
          <t>Mindbender 99 Ti</t>
        </is>
      </c>
      <c r="D312" t="n">
        <v>170</v>
      </c>
      <c r="E312" t="inlineStr">
        <is>
          <t xml:space="preserve"> Unisex</t>
        </is>
      </c>
      <c r="F312" t="n">
        <v>170</v>
      </c>
      <c r="G312" t="n">
        <v>169.9</v>
      </c>
      <c r="H312" t="n">
        <v>117</v>
      </c>
      <c r="I312" t="n">
        <v>143</v>
      </c>
      <c r="J312" t="n">
        <v>137</v>
      </c>
      <c r="K312" t="n">
        <v>98</v>
      </c>
      <c r="L312" t="n">
        <v>122</v>
      </c>
      <c r="M312" t="n">
        <v>16</v>
      </c>
      <c r="N312" t="n">
        <v>1901</v>
      </c>
      <c r="O312" t="n">
        <v>0.99</v>
      </c>
      <c r="P312" t="n">
        <v>1875</v>
      </c>
      <c r="Q312" t="n">
        <v>164</v>
      </c>
      <c r="R312" t="n">
        <v>107</v>
      </c>
      <c r="S312" t="n">
        <v>50</v>
      </c>
      <c r="T312" t="n">
        <v>315</v>
      </c>
      <c r="U312" t="n">
        <v>16</v>
      </c>
      <c r="V312" t="n">
        <v>215</v>
      </c>
      <c r="W312" t="n">
        <v>0.316</v>
      </c>
      <c r="X312" t="n">
        <v>154</v>
      </c>
      <c r="Y312" t="n">
        <v>117</v>
      </c>
      <c r="Z312" t="n">
        <v>161</v>
      </c>
      <c r="AA312" t="n">
        <v>6</v>
      </c>
      <c r="AB312" t="n">
        <v>10.8</v>
      </c>
      <c r="AC312" t="inlineStr">
        <is>
          <t xml:space="preserve"> Resort Freeride</t>
        </is>
      </c>
      <c r="AS312" s="314">
        <f>IF(LEFT(C312,1)=" ",RIGHT(C312,LEN(C312)-1),C312)</f>
        <v/>
      </c>
      <c r="AT312" s="281">
        <f>_xlfn.CONCAT(B312,AS312,D312,E312)</f>
        <v/>
      </c>
    </row>
    <row r="313">
      <c r="A313" t="inlineStr">
        <is>
          <t>21/22</t>
        </is>
      </c>
      <c r="B313" t="inlineStr">
        <is>
          <t xml:space="preserve"> Nordica</t>
        </is>
      </c>
      <c r="C313" t="inlineStr">
        <is>
          <t>Santa Ana 104 Free</t>
        </is>
      </c>
      <c r="D313" t="n">
        <v>179</v>
      </c>
      <c r="E313" t="inlineStr">
        <is>
          <t xml:space="preserve"> Women's</t>
        </is>
      </c>
      <c r="F313" t="n">
        <v>179</v>
      </c>
      <c r="G313" t="n">
        <v>177.6</v>
      </c>
      <c r="H313" t="n">
        <v>122</v>
      </c>
      <c r="I313" t="n">
        <v>147</v>
      </c>
      <c r="J313" t="n">
        <v>135</v>
      </c>
      <c r="K313" t="n">
        <v>103</v>
      </c>
      <c r="L313" t="n">
        <v>126</v>
      </c>
      <c r="M313" t="n">
        <v>17.5</v>
      </c>
      <c r="N313" t="n">
        <v>1898</v>
      </c>
      <c r="O313" t="n">
        <v>1.07</v>
      </c>
      <c r="P313" t="n">
        <v>2026</v>
      </c>
      <c r="Q313" t="n">
        <v>220</v>
      </c>
      <c r="R313" t="n">
        <v>108</v>
      </c>
      <c r="S313" t="n">
        <v>64</v>
      </c>
      <c r="T313" t="n">
        <v>307</v>
      </c>
      <c r="U313" t="n">
        <v>42</v>
      </c>
      <c r="V313" t="n">
        <v>248</v>
      </c>
      <c r="W313" t="n">
        <v>0.645</v>
      </c>
      <c r="X313" t="n">
        <v>155</v>
      </c>
      <c r="Y313" t="n">
        <v>154</v>
      </c>
      <c r="Z313" t="n">
        <v>152</v>
      </c>
      <c r="AA313" t="n">
        <v>6</v>
      </c>
      <c r="AB313" t="n">
        <v>8.699999999999999</v>
      </c>
      <c r="AC313" t="inlineStr">
        <is>
          <t xml:space="preserve"> Resort Freeride</t>
        </is>
      </c>
      <c r="AD313" t="inlineStr">
        <is>
          <t xml:space="preserve"> Powder</t>
        </is>
      </c>
      <c r="AE313" t="inlineStr">
        <is>
          <t xml:space="preserve"> Touring</t>
        </is>
      </c>
      <c r="AG313" t="inlineStr">
        <is>
          <t>Nordica Santa Ana 104 Free with Tyrolia Bindings 179cm (1101165)</t>
        </is>
      </c>
      <c r="AH313" t="inlineStr">
        <is>
          <t>SidelineSwap</t>
        </is>
      </c>
      <c r="AI313" s="333" t="n">
        <v>499</v>
      </c>
      <c r="AJ313" t="inlineStr">
        <is>
          <t>https://tinyurl.com/y7btxbz2</t>
        </is>
      </c>
      <c r="AK313" t="inlineStr">
        <is>
          <t>Nordica Santa Ana 104 Free Skis - Women's 2022</t>
        </is>
      </c>
      <c r="AL313" t="inlineStr">
        <is>
          <t>BlueZone Sports</t>
        </is>
      </c>
      <c r="AM313" s="333" t="n">
        <v>562.49</v>
      </c>
      <c r="AN313" t="inlineStr">
        <is>
          <t>https://tinyurl.com/y9ntp68a</t>
        </is>
      </c>
      <c r="AO313" t="inlineStr">
        <is>
          <t>2021 Nordica Santa Ana 104 Free + Marker Griffon 13 Demo - 179cm -  - Ski Town All-Stars -  Skis</t>
        </is>
      </c>
      <c r="AP313" t="inlineStr">
        <is>
          <t>Ski Town All-Stars</t>
        </is>
      </c>
      <c r="AQ313" s="333" t="n">
        <v>574.99</v>
      </c>
      <c r="AR313" t="inlineStr">
        <is>
          <t>https://tinyurl.com/yc9bnq2r</t>
        </is>
      </c>
      <c r="AS313" s="314">
        <f>IF(LEFT(C313,1)=" ",RIGHT(C313,LEN(C313)-1),C313)</f>
        <v/>
      </c>
      <c r="AT313" s="281">
        <f>_xlfn.CONCAT(B313,AS313,D313,E313)</f>
        <v/>
      </c>
    </row>
    <row r="314">
      <c r="A314" t="inlineStr">
        <is>
          <t>21/22</t>
        </is>
      </c>
      <c r="B314" t="inlineStr">
        <is>
          <t xml:space="preserve"> Line</t>
        </is>
      </c>
      <c r="C314" t="inlineStr">
        <is>
          <t xml:space="preserve"> Pescado</t>
        </is>
      </c>
      <c r="D314" t="n">
        <v>180</v>
      </c>
      <c r="E314" t="inlineStr">
        <is>
          <t xml:space="preserve"> Unisex</t>
        </is>
      </c>
      <c r="F314" t="n">
        <v>180</v>
      </c>
      <c r="G314" t="n">
        <v>178.7</v>
      </c>
      <c r="H314" t="n">
        <v>128</v>
      </c>
      <c r="I314" t="n">
        <v>145</v>
      </c>
      <c r="J314" t="n">
        <v>158</v>
      </c>
      <c r="K314" t="n">
        <v>124</v>
      </c>
      <c r="L314" t="n">
        <v>144</v>
      </c>
      <c r="M314" t="n">
        <v>18.4</v>
      </c>
      <c r="N314" t="n">
        <v>1828</v>
      </c>
      <c r="O314" t="n">
        <v>1.3</v>
      </c>
      <c r="P314" t="n">
        <v>2380</v>
      </c>
      <c r="Q314" t="n">
        <v>156</v>
      </c>
      <c r="R314" t="n">
        <v>87</v>
      </c>
      <c r="S314" t="n">
        <v>61</v>
      </c>
      <c r="T314" t="n">
        <v>374</v>
      </c>
      <c r="U314" t="n">
        <v>16</v>
      </c>
      <c r="V314" t="n">
        <v>131</v>
      </c>
      <c r="W314" t="n">
        <v>0.263</v>
      </c>
      <c r="X314" t="n">
        <v>217</v>
      </c>
      <c r="Y314" t="n">
        <v>119</v>
      </c>
      <c r="Z314" t="n">
        <v>157</v>
      </c>
      <c r="AA314" t="n">
        <v>9</v>
      </c>
      <c r="AB314" t="n">
        <v>10</v>
      </c>
      <c r="AC314" t="inlineStr">
        <is>
          <t xml:space="preserve"> Big Mountain</t>
        </is>
      </c>
      <c r="AD314" t="inlineStr">
        <is>
          <t xml:space="preserve"> Touring</t>
        </is>
      </c>
      <c r="AE314" t="inlineStr">
        <is>
          <t xml:space="preserve"> Ultralight Touring</t>
        </is>
      </c>
      <c r="AG314" t="inlineStr">
        <is>
          <t>2022 Line Pescado Skis w/Tyrolia Attack2 13 GW Bindings (180)</t>
        </is>
      </c>
      <c r="AH314" t="inlineStr">
        <is>
          <t>eBay - david110549</t>
        </is>
      </c>
      <c r="AI314" s="333" t="n">
        <v>1019.95</v>
      </c>
      <c r="AJ314" t="inlineStr">
        <is>
          <t>https://tinyurl.com/ycua54xh</t>
        </is>
      </c>
      <c r="AK314" t="inlineStr">
        <is>
          <t>2022 Line Pescado Skis w/Tyrolia Attack2 13 GW Bindings (180)</t>
        </is>
      </c>
      <c r="AL314" t="inlineStr">
        <is>
          <t>SkiEssentials.com</t>
        </is>
      </c>
      <c r="AM314" s="333" t="n">
        <v>1019.95</v>
      </c>
      <c r="AN314" t="inlineStr">
        <is>
          <t>https://tinyurl.com/y9s4fb83</t>
        </is>
      </c>
      <c r="AO314" t="inlineStr">
        <is>
          <t>Line Pescado Skis 2022</t>
        </is>
      </c>
      <c r="AP314" t="inlineStr">
        <is>
          <t>Snowcountry.eu</t>
        </is>
      </c>
      <c r="AQ314" s="333" t="n">
        <v>552.3099999999999</v>
      </c>
      <c r="AR314" t="inlineStr">
        <is>
          <t>https://tinyurl.com/y88rhzyv</t>
        </is>
      </c>
      <c r="AS314" s="314">
        <f>IF(LEFT(C314,1)=" ",RIGHT(C314,LEN(C314)-1),C314)</f>
        <v/>
      </c>
      <c r="AT314" s="281">
        <f>_xlfn.CONCAT(B314,AS314,D314,E314)</f>
        <v/>
      </c>
    </row>
    <row r="315">
      <c r="A315" t="inlineStr">
        <is>
          <t>21/22</t>
        </is>
      </c>
      <c r="B315" t="inlineStr">
        <is>
          <t xml:space="preserve"> Armada</t>
        </is>
      </c>
      <c r="C315" t="inlineStr">
        <is>
          <t>Reliance 92 Ti</t>
        </is>
      </c>
      <c r="D315" t="n">
        <v>156</v>
      </c>
      <c r="E315" t="inlineStr">
        <is>
          <t xml:space="preserve"> Women's</t>
        </is>
      </c>
      <c r="F315" t="n">
        <v>156</v>
      </c>
      <c r="G315" t="n">
        <v>155.6</v>
      </c>
      <c r="H315" t="n">
        <v>119</v>
      </c>
      <c r="I315" t="n">
        <v>136</v>
      </c>
      <c r="J315" t="n">
        <v>128</v>
      </c>
      <c r="K315" t="n">
        <v>91</v>
      </c>
      <c r="L315" t="n">
        <v>114</v>
      </c>
      <c r="M315" t="n">
        <v>15.5</v>
      </c>
      <c r="N315" t="n">
        <v>1492</v>
      </c>
      <c r="O315" t="n">
        <v>1.07</v>
      </c>
      <c r="P315" t="n">
        <v>1595</v>
      </c>
      <c r="Q315" t="n">
        <v>169</v>
      </c>
      <c r="R315" t="n">
        <v>94</v>
      </c>
      <c r="S315" t="n">
        <v>43</v>
      </c>
      <c r="T315" t="n">
        <v>226</v>
      </c>
      <c r="U315" t="n">
        <v>17</v>
      </c>
      <c r="V315" t="n">
        <v>145</v>
      </c>
      <c r="W315" t="n">
        <v>0.386</v>
      </c>
      <c r="X315" t="n">
        <v>128</v>
      </c>
      <c r="Y315" t="n">
        <v>70</v>
      </c>
      <c r="Z315" t="n">
        <v>98</v>
      </c>
      <c r="AA315" t="n">
        <v>6</v>
      </c>
      <c r="AB315" t="n">
        <v>9.800000000000001</v>
      </c>
      <c r="AC315" t="inlineStr">
        <is>
          <t xml:space="preserve"> Resort Freeride</t>
        </is>
      </c>
      <c r="AD315" t="inlineStr">
        <is>
          <t xml:space="preserve"> Touring</t>
        </is>
      </c>
      <c r="AG315" t="inlineStr">
        <is>
          <t>Armada Reliance 92 Ti Skis 2022</t>
        </is>
      </c>
      <c r="AH315" t="inlineStr">
        <is>
          <t>Snowcountry.eu</t>
        </is>
      </c>
      <c r="AI315" s="333" t="n">
        <v>441.67</v>
      </c>
      <c r="AJ315" t="inlineStr">
        <is>
          <t>https://tinyurl.com/yczklefa</t>
        </is>
      </c>
      <c r="AK315" t="inlineStr">
        <is>
          <t>Armada Reliance 92 Ti Skis 2022</t>
        </is>
      </c>
      <c r="AL315" t="inlineStr">
        <is>
          <t>Curated</t>
        </is>
      </c>
      <c r="AM315" s="333" t="n">
        <v>519</v>
      </c>
      <c r="AN315" t="inlineStr">
        <is>
          <t>https://tinyurl.com/ybz662jg</t>
        </is>
      </c>
      <c r="AO315" t="inlineStr">
        <is>
          <t>Armada Reliance 92 Ti Skis 2022</t>
        </is>
      </c>
      <c r="AP315" t="inlineStr">
        <is>
          <t>Next Adventure</t>
        </is>
      </c>
      <c r="AQ315" s="333" t="n">
        <v>519.96</v>
      </c>
      <c r="AR315" t="inlineStr">
        <is>
          <t>https://tinyurl.com/yd3kr5km</t>
        </is>
      </c>
      <c r="AS315" s="314">
        <f>IF(LEFT(C315,1)=" ",RIGHT(C315,LEN(C315)-1),C315)</f>
        <v/>
      </c>
      <c r="AT315" s="281">
        <f>_xlfn.CONCAT(B315,AS315,D315,E315)</f>
        <v/>
      </c>
    </row>
    <row r="316">
      <c r="A316" t="inlineStr">
        <is>
          <t>21/22</t>
        </is>
      </c>
      <c r="B316" t="inlineStr">
        <is>
          <t xml:space="preserve"> Head</t>
        </is>
      </c>
      <c r="C316" t="inlineStr">
        <is>
          <t>V-Shape V4 XL</t>
        </is>
      </c>
      <c r="D316" t="n">
        <v>170</v>
      </c>
      <c r="E316" t="inlineStr">
        <is>
          <t xml:space="preserve"> Unisex</t>
        </is>
      </c>
      <c r="F316" t="n">
        <v>170</v>
      </c>
      <c r="G316" t="n">
        <v>169.4</v>
      </c>
      <c r="H316" t="n">
        <v>150</v>
      </c>
      <c r="I316" t="n">
        <v>156</v>
      </c>
      <c r="J316" t="n">
        <v>133</v>
      </c>
      <c r="K316" t="n">
        <v>82</v>
      </c>
      <c r="L316" t="n">
        <v>114</v>
      </c>
      <c r="M316" t="n">
        <v>14.5</v>
      </c>
      <c r="N316" t="n">
        <v>2000</v>
      </c>
      <c r="O316" t="n">
        <v>0.82</v>
      </c>
      <c r="P316" t="n">
        <v>1647</v>
      </c>
      <c r="Q316" t="n">
        <v>180</v>
      </c>
      <c r="R316" t="n">
        <v>91</v>
      </c>
      <c r="S316" t="n">
        <v>33</v>
      </c>
      <c r="T316" t="n">
        <v>138</v>
      </c>
      <c r="U316" t="n">
        <v>7</v>
      </c>
      <c r="V316" t="n">
        <v>58</v>
      </c>
      <c r="W316" t="n">
        <v>0.21</v>
      </c>
      <c r="X316" t="n">
        <v>83</v>
      </c>
      <c r="Y316" t="n">
        <v>55</v>
      </c>
      <c r="Z316" t="n">
        <v>55</v>
      </c>
      <c r="AA316" t="n">
        <v>14</v>
      </c>
      <c r="AB316" t="n">
        <v>13.4</v>
      </c>
      <c r="AC316" t="inlineStr">
        <is>
          <t xml:space="preserve"> On-Piste Carving</t>
        </is>
      </c>
      <c r="AD316" t="inlineStr">
        <is>
          <t xml:space="preserve"> Resort Freeride</t>
        </is>
      </c>
      <c r="AG316" t="inlineStr">
        <is>
          <t>Head V-shape V4 Xl Skis With Size Adjustable Pr 10 Gw Bindings 2022</t>
        </is>
      </c>
      <c r="AH316" t="inlineStr">
        <is>
          <t>eBay - wintersportdeals</t>
        </is>
      </c>
      <c r="AI316" s="333" t="n">
        <v>419.99</v>
      </c>
      <c r="AJ316" t="inlineStr">
        <is>
          <t>https://tinyurl.com/ybfvq9zw</t>
        </is>
      </c>
      <c r="AK316" t="inlineStr">
        <is>
          <t>Head V-Shape V4 XL Black-Green 170 Ski Men</t>
        </is>
      </c>
      <c r="AL316" t="inlineStr">
        <is>
          <t>GritrOutdoors</t>
        </is>
      </c>
      <c r="AM316" s="333" t="n">
        <v>489</v>
      </c>
      <c r="AN316" t="inlineStr">
        <is>
          <t>https://tinyurl.com/yb82rtv2</t>
        </is>
      </c>
      <c r="AO316" t="inlineStr">
        <is>
          <t>Head V-Shape V4 XL Black-Green 170 Ski Men</t>
        </is>
      </c>
      <c r="AP316" t="inlineStr">
        <is>
          <t>eBay</t>
        </is>
      </c>
      <c r="AQ316" s="333" t="n">
        <v>499</v>
      </c>
      <c r="AR316" t="inlineStr">
        <is>
          <t>https://tinyurl.com/ycrcpn47</t>
        </is>
      </c>
      <c r="AS316" s="314">
        <f>IF(LEFT(C316,1)=" ",RIGHT(C316,LEN(C316)-1),C316)</f>
        <v/>
      </c>
      <c r="AT316" s="281">
        <f>_xlfn.CONCAT(B316,AS316,D316,E316)</f>
        <v/>
      </c>
    </row>
    <row r="317">
      <c r="A317" t="inlineStr">
        <is>
          <t>21/22</t>
        </is>
      </c>
      <c r="B317" t="inlineStr">
        <is>
          <t xml:space="preserve"> Line</t>
        </is>
      </c>
      <c r="C317" t="inlineStr">
        <is>
          <t>Vision 118</t>
        </is>
      </c>
      <c r="D317" t="n">
        <v>175</v>
      </c>
      <c r="E317" t="inlineStr">
        <is>
          <t xml:space="preserve"> Unisex</t>
        </is>
      </c>
      <c r="F317" t="n">
        <v>175</v>
      </c>
      <c r="G317" t="n">
        <v>175.3</v>
      </c>
      <c r="H317" t="n">
        <v>85</v>
      </c>
      <c r="I317" t="n">
        <v>140</v>
      </c>
      <c r="J317" t="n">
        <v>151</v>
      </c>
      <c r="K317" t="n">
        <v>117</v>
      </c>
      <c r="L317" t="n">
        <v>137</v>
      </c>
      <c r="M317" t="n">
        <v>17.2</v>
      </c>
      <c r="N317" t="n">
        <v>1758</v>
      </c>
      <c r="O317" t="n">
        <v>1.26</v>
      </c>
      <c r="P317" t="n">
        <v>2223</v>
      </c>
      <c r="Q317" t="n">
        <v>175</v>
      </c>
      <c r="R317" t="n">
        <v>92</v>
      </c>
      <c r="S317" t="n">
        <v>52</v>
      </c>
      <c r="T317" t="n">
        <v>495</v>
      </c>
      <c r="U317" t="n">
        <v>34</v>
      </c>
      <c r="V317" t="n">
        <v>411</v>
      </c>
      <c r="W317" t="n">
        <v>0.639</v>
      </c>
      <c r="X317" t="n">
        <v>180</v>
      </c>
      <c r="Y317" t="n">
        <v>177</v>
      </c>
      <c r="Z317" t="n">
        <v>315</v>
      </c>
      <c r="AA317" t="n">
        <v>3</v>
      </c>
      <c r="AB317" t="n">
        <v>6.7</v>
      </c>
      <c r="AC317" t="inlineStr">
        <is>
          <t xml:space="preserve"> Powder</t>
        </is>
      </c>
      <c r="AD317" t="inlineStr">
        <is>
          <t xml:space="preserve"> Touring</t>
        </is>
      </c>
      <c r="AE317" t="inlineStr">
        <is>
          <t xml:space="preserve"> Ultralight Touring</t>
        </is>
      </c>
      <c r="AG317" t="inlineStr">
        <is>
          <t>Line Vision 118 Skis 175cm 2022</t>
        </is>
      </c>
      <c r="AH317" t="inlineStr">
        <is>
          <t>Snowcountry.eu</t>
        </is>
      </c>
      <c r="AI317" s="333" t="n">
        <v>487.77</v>
      </c>
      <c r="AJ317" t="inlineStr">
        <is>
          <t>https://tinyurl.com/yaca7z4h</t>
        </is>
      </c>
      <c r="AK317" t="inlineStr">
        <is>
          <t>Line Vision 118 Skis 175cm 2022</t>
        </is>
      </c>
      <c r="AL317" t="inlineStr">
        <is>
          <t>PRFO Sports</t>
        </is>
      </c>
      <c r="AM317" s="333" t="n">
        <v>545.16</v>
      </c>
      <c r="AN317" t="inlineStr">
        <is>
          <t>https://tinyurl.com/y9ro6myl</t>
        </is>
      </c>
      <c r="AO317" t="inlineStr">
        <is>
          <t>Line Vision 118 Skis 175cm 2022</t>
        </is>
      </c>
      <c r="AP317" t="inlineStr">
        <is>
          <t>Backcountry.com</t>
        </is>
      </c>
      <c r="AQ317" s="333" t="n">
        <v>639.96</v>
      </c>
      <c r="AR317" t="inlineStr">
        <is>
          <t>https://tinyurl.com/ybm5ukmx</t>
        </is>
      </c>
      <c r="AS317" s="314">
        <f>IF(LEFT(C317,1)=" ",RIGHT(C317,LEN(C317)-1),C317)</f>
        <v/>
      </c>
      <c r="AT317" s="281">
        <f>_xlfn.CONCAT(B317,AS317,D317,E317)</f>
        <v/>
      </c>
    </row>
    <row r="318">
      <c r="A318" t="inlineStr">
        <is>
          <t>21/22</t>
        </is>
      </c>
      <c r="B318" t="inlineStr">
        <is>
          <t xml:space="preserve"> Salomon</t>
        </is>
      </c>
      <c r="C318" t="inlineStr">
        <is>
          <t>QST Stella 106</t>
        </is>
      </c>
      <c r="D318" t="n">
        <v>159</v>
      </c>
      <c r="E318" t="inlineStr">
        <is>
          <t xml:space="preserve"> Women's</t>
        </is>
      </c>
      <c r="F318" t="n">
        <v>159</v>
      </c>
      <c r="G318" t="n">
        <v>158.2</v>
      </c>
      <c r="H318" t="n">
        <v>99</v>
      </c>
      <c r="I318" t="n">
        <v>129</v>
      </c>
      <c r="J318" t="n">
        <v>136</v>
      </c>
      <c r="K318" t="n">
        <v>104</v>
      </c>
      <c r="L318" t="n">
        <v>122</v>
      </c>
      <c r="M318" t="n">
        <v>16.4</v>
      </c>
      <c r="N318" t="n">
        <v>1771</v>
      </c>
      <c r="O318" t="n">
        <v>1.02</v>
      </c>
      <c r="P318" t="n">
        <v>1814</v>
      </c>
      <c r="Q318" t="n">
        <v>176</v>
      </c>
      <c r="R318" t="n">
        <v>68</v>
      </c>
      <c r="S318" t="n">
        <v>58</v>
      </c>
      <c r="T318" t="n">
        <v>340</v>
      </c>
      <c r="U318" t="n">
        <v>26</v>
      </c>
      <c r="V318" t="n">
        <v>254</v>
      </c>
      <c r="W318" t="n">
        <v>0.445</v>
      </c>
      <c r="X318" t="n">
        <v>176</v>
      </c>
      <c r="Y318" t="n">
        <v>113</v>
      </c>
      <c r="Z318" t="n">
        <v>164</v>
      </c>
      <c r="AA318" t="n">
        <v>5</v>
      </c>
      <c r="AB318" t="n">
        <v>9.6</v>
      </c>
      <c r="AC318" t="inlineStr">
        <is>
          <t xml:space="preserve"> Resort Freeride</t>
        </is>
      </c>
      <c r="AD318" t="inlineStr">
        <is>
          <t xml:space="preserve"> Powder</t>
        </is>
      </c>
      <c r="AG318" t="inlineStr">
        <is>
          <t>Salomon QST Stella 106 Beige/Pink / 159cm</t>
        </is>
      </c>
      <c r="AH318" t="inlineStr">
        <is>
          <t>Sundance Ski and Board Shop</t>
        </is>
      </c>
      <c r="AI318" s="333" t="n">
        <v>481.02</v>
      </c>
      <c r="AJ318" t="inlineStr">
        <is>
          <t>https://tinyurl.com/y8wavqzh</t>
        </is>
      </c>
      <c r="AK318" t="inlineStr">
        <is>
          <t>Salomon QST Stella 106 Skis</t>
        </is>
      </c>
      <c r="AL318" t="inlineStr">
        <is>
          <t>Ski Pro  - Snow Ski &amp; Snowboard</t>
        </is>
      </c>
      <c r="AM318" s="333" t="n">
        <v>549.95</v>
      </c>
      <c r="AN318" t="inlineStr">
        <is>
          <t>https://tinyurl.com/y8atk8q9</t>
        </is>
      </c>
      <c r="AO318" t="inlineStr">
        <is>
          <t>Salomon QST Stella 106 Women's Skis 159cm 2022</t>
        </is>
      </c>
      <c r="AP318" t="inlineStr">
        <is>
          <t>Powder7 Ski Shop</t>
        </is>
      </c>
      <c r="AQ318" s="333" t="n">
        <v>559.9299999999999</v>
      </c>
      <c r="AR318" t="inlineStr">
        <is>
          <t>https://tinyurl.com/ydy2r8yq</t>
        </is>
      </c>
      <c r="AS318" s="314">
        <f>IF(LEFT(C318,1)=" ",RIGHT(C318,LEN(C318)-1),C318)</f>
        <v/>
      </c>
      <c r="AT318" s="281">
        <f>_xlfn.CONCAT(B318,AS318,D318,E318)</f>
        <v/>
      </c>
    </row>
    <row r="319">
      <c r="A319" t="inlineStr">
        <is>
          <t>21/22</t>
        </is>
      </c>
      <c r="B319" t="inlineStr">
        <is>
          <t xml:space="preserve"> Atomic</t>
        </is>
      </c>
      <c r="C319" t="inlineStr">
        <is>
          <t>Backland 100</t>
        </is>
      </c>
      <c r="D319" t="n">
        <v>180</v>
      </c>
      <c r="E319" t="inlineStr">
        <is>
          <t xml:space="preserve"> Unisex</t>
        </is>
      </c>
      <c r="F319" t="n">
        <v>180</v>
      </c>
      <c r="G319" t="n">
        <v>178.3</v>
      </c>
      <c r="H319" t="n">
        <v>129</v>
      </c>
      <c r="I319" t="n">
        <v>144</v>
      </c>
      <c r="J319" t="n">
        <v>129</v>
      </c>
      <c r="K319" t="n">
        <v>99</v>
      </c>
      <c r="L319" t="n">
        <v>119</v>
      </c>
      <c r="M319" t="n">
        <v>19.3</v>
      </c>
      <c r="N319" t="n">
        <v>1344</v>
      </c>
      <c r="O319" t="n">
        <v>1.44</v>
      </c>
      <c r="P319" t="n">
        <v>1931</v>
      </c>
      <c r="Q319" t="n">
        <v>190</v>
      </c>
      <c r="R319" t="n">
        <v>88</v>
      </c>
      <c r="S319" t="n">
        <v>53</v>
      </c>
      <c r="T319" t="n">
        <v>284</v>
      </c>
      <c r="U319" t="n">
        <v>16</v>
      </c>
      <c r="V319" t="n">
        <v>208</v>
      </c>
      <c r="W319" t="n">
        <v>0.306</v>
      </c>
      <c r="X319" t="n">
        <v>177</v>
      </c>
      <c r="Y319" t="n">
        <v>167</v>
      </c>
      <c r="Z319" t="n">
        <v>107</v>
      </c>
      <c r="AA319" t="n">
        <v>4</v>
      </c>
      <c r="AB319" t="n">
        <v>8.5</v>
      </c>
      <c r="AC319" t="inlineStr">
        <is>
          <t xml:space="preserve"> Touring</t>
        </is>
      </c>
      <c r="AD319" t="inlineStr">
        <is>
          <t xml:space="preserve"> Ultralight Touring</t>
        </is>
      </c>
      <c r="AG319" t="inlineStr">
        <is>
          <t>Atomic Backland 100 Skis 2022</t>
        </is>
      </c>
      <c r="AH319" t="inlineStr">
        <is>
          <t>Gorham Bike and Ski</t>
        </is>
      </c>
      <c r="AI319" s="333" t="n">
        <v>489.99</v>
      </c>
      <c r="AJ319" t="inlineStr">
        <is>
          <t>https://tinyurl.com/ydbjgr5j</t>
        </is>
      </c>
      <c r="AK319" t="inlineStr">
        <is>
          <t>Atomic Backland 100 Skis 2022</t>
        </is>
      </c>
      <c r="AL319" t="inlineStr">
        <is>
          <t>evo.com</t>
        </is>
      </c>
      <c r="AM319" s="333" t="n">
        <v>559.98</v>
      </c>
      <c r="AN319" t="inlineStr">
        <is>
          <t>https://tinyurl.com/y7k3fykc</t>
        </is>
      </c>
      <c r="AO319" t="inlineStr">
        <is>
          <t>Atomic Backland 100 Skis 2022</t>
        </is>
      </c>
      <c r="AP319" t="inlineStr">
        <is>
          <t>Level Nine Sports</t>
        </is>
      </c>
      <c r="AQ319" s="333" t="n">
        <v>559.99</v>
      </c>
      <c r="AR319" t="inlineStr">
        <is>
          <t>https://tinyurl.com/y8h3ojta</t>
        </is>
      </c>
      <c r="AS319" s="314">
        <f>IF(LEFT(C319,1)=" ",RIGHT(C319,LEN(C319)-1),C319)</f>
        <v/>
      </c>
      <c r="AT319" s="281">
        <f>_xlfn.CONCAT(B319,AS319,D319,E319)</f>
        <v/>
      </c>
    </row>
    <row r="320">
      <c r="A320" t="inlineStr">
        <is>
          <t>21/22</t>
        </is>
      </c>
      <c r="B320" t="inlineStr">
        <is>
          <t xml:space="preserve"> Liberty</t>
        </is>
      </c>
      <c r="C320" t="inlineStr">
        <is>
          <t>Evolv 90</t>
        </is>
      </c>
      <c r="D320" t="n">
        <v>179</v>
      </c>
      <c r="E320" t="inlineStr">
        <is>
          <t xml:space="preserve"> Unisex</t>
        </is>
      </c>
      <c r="F320" t="n">
        <v>179</v>
      </c>
      <c r="G320" t="n">
        <v>178.6</v>
      </c>
      <c r="H320" t="n">
        <v>145</v>
      </c>
      <c r="I320" t="n">
        <v>158</v>
      </c>
      <c r="J320" t="n">
        <v>130</v>
      </c>
      <c r="K320" t="n">
        <v>89</v>
      </c>
      <c r="L320" t="n">
        <v>113</v>
      </c>
      <c r="M320" t="n">
        <v>18.3</v>
      </c>
      <c r="N320" t="n">
        <v>1787</v>
      </c>
      <c r="O320" t="n">
        <v>1.02</v>
      </c>
      <c r="P320" t="n">
        <v>1815</v>
      </c>
      <c r="Q320" t="n">
        <v>208</v>
      </c>
      <c r="R320" t="n">
        <v>103</v>
      </c>
      <c r="S320" t="n">
        <v>39</v>
      </c>
      <c r="T320" t="n">
        <v>205</v>
      </c>
      <c r="U320" t="n">
        <v>10</v>
      </c>
      <c r="V320" t="n">
        <v>130</v>
      </c>
      <c r="W320" t="n">
        <v>0.257</v>
      </c>
      <c r="X320" t="n">
        <v>119</v>
      </c>
      <c r="Y320" t="n">
        <v>86</v>
      </c>
      <c r="Z320" t="n">
        <v>86</v>
      </c>
      <c r="AA320" t="n">
        <v>9</v>
      </c>
      <c r="AB320" t="n">
        <v>10.5</v>
      </c>
      <c r="AC320" t="inlineStr">
        <is>
          <t xml:space="preserve"> Resort Freeride</t>
        </is>
      </c>
      <c r="AG320" t="inlineStr">
        <is>
          <t>Liberty Skis Evolv 90 Ski</t>
        </is>
      </c>
      <c r="AH320" t="inlineStr">
        <is>
          <t>REI</t>
        </is>
      </c>
      <c r="AI320" s="333" t="n">
        <v>485.93</v>
      </c>
      <c r="AJ320" t="inlineStr">
        <is>
          <t>https://tinyurl.com/ybn8cg44</t>
        </is>
      </c>
      <c r="AK320" t="inlineStr">
        <is>
          <t>Liberty Skis Evolv 90 Ski</t>
        </is>
      </c>
      <c r="AL320" t="inlineStr">
        <is>
          <t>Moosejaw</t>
        </is>
      </c>
      <c r="AM320" s="333" t="n">
        <v>519.99</v>
      </c>
      <c r="AN320" t="inlineStr">
        <is>
          <t>https://tinyurl.com/y9scgme9</t>
        </is>
      </c>
      <c r="AO320" t="inlineStr">
        <is>
          <t>Evolv 90 - Proto 179</t>
        </is>
      </c>
      <c r="AP320" t="inlineStr">
        <is>
          <t>Liberty Skis</t>
        </is>
      </c>
      <c r="AQ320" s="333" t="n">
        <v>300</v>
      </c>
      <c r="AR320" t="inlineStr">
        <is>
          <t>https://tinyurl.com/ybttlm9l</t>
        </is>
      </c>
      <c r="AS320" s="314">
        <f>IF(LEFT(C320,1)=" ",RIGHT(C320,LEN(C320)-1),C320)</f>
        <v/>
      </c>
      <c r="AT320" s="281">
        <f>_xlfn.CONCAT(B320,AS320,D320,E320)</f>
        <v/>
      </c>
    </row>
    <row r="321">
      <c r="A321" t="inlineStr">
        <is>
          <t>21/22</t>
        </is>
      </c>
      <c r="B321" t="inlineStr">
        <is>
          <t xml:space="preserve"> Faction</t>
        </is>
      </c>
      <c r="C321" t="inlineStr">
        <is>
          <t>Prodigy 2.0</t>
        </is>
      </c>
      <c r="D321" t="n">
        <v>171</v>
      </c>
      <c r="E321" t="inlineStr">
        <is>
          <t xml:space="preserve"> Unisex</t>
        </is>
      </c>
      <c r="F321" t="n">
        <v>171</v>
      </c>
      <c r="G321" t="n">
        <v>169.3</v>
      </c>
      <c r="H321" t="n">
        <v>114</v>
      </c>
      <c r="I321" t="n">
        <v>139</v>
      </c>
      <c r="J321" t="n">
        <v>126</v>
      </c>
      <c r="K321" t="n">
        <v>97</v>
      </c>
      <c r="L321" t="n">
        <v>119</v>
      </c>
      <c r="M321" t="n">
        <v>17.3</v>
      </c>
      <c r="N321" t="n">
        <v>1904</v>
      </c>
      <c r="O321" t="n">
        <v>0.96</v>
      </c>
      <c r="P321" t="n">
        <v>1824</v>
      </c>
      <c r="Q321" t="n">
        <v>200</v>
      </c>
      <c r="R321" t="n">
        <v>90</v>
      </c>
      <c r="S321" t="n">
        <v>52</v>
      </c>
      <c r="T321" t="n">
        <v>304</v>
      </c>
      <c r="U321" t="n">
        <v>43</v>
      </c>
      <c r="V321" t="n">
        <v>250</v>
      </c>
      <c r="W321" t="n">
        <v>0.831</v>
      </c>
      <c r="X321" t="n">
        <v>162</v>
      </c>
      <c r="Y321" t="n">
        <v>144</v>
      </c>
      <c r="Z321" t="n">
        <v>142</v>
      </c>
      <c r="AA321" t="n">
        <v>5</v>
      </c>
      <c r="AB321" t="n">
        <v>8.1</v>
      </c>
      <c r="AC321" t="inlineStr">
        <is>
          <t xml:space="preserve"> Resort Freeride</t>
        </is>
      </c>
      <c r="AD321" t="inlineStr">
        <is>
          <t xml:space="preserve"> Freeski</t>
        </is>
      </c>
      <c r="AG321" t="inlineStr">
        <is>
          <t>19-20 Faction Prodigy 2.0  Men's Demo Skis W/binding Size 171cm</t>
        </is>
      </c>
      <c r="AH321" t="inlineStr">
        <is>
          <t>eBay - demo-skis</t>
        </is>
      </c>
      <c r="AI321" s="333" t="n">
        <v>499</v>
      </c>
      <c r="AJ321" t="inlineStr">
        <is>
          <t>https://tinyurl.com/y7v4r6ap</t>
        </is>
      </c>
      <c r="AK321" t="inlineStr">
        <is>
          <t>Faction Dictator 2.0 Skis</t>
        </is>
      </c>
      <c r="AL321" t="inlineStr">
        <is>
          <t>Gear West Ski &amp; Bike</t>
        </is>
      </c>
      <c r="AM321" s="333" t="n">
        <v>407.99</v>
      </c>
      <c r="AN321" t="inlineStr">
        <is>
          <t>https://tinyurl.com/y8n5ljw2</t>
        </is>
      </c>
      <c r="AO321" t="inlineStr">
        <is>
          <t>Faction Agent 2.0 Skis</t>
        </is>
      </c>
      <c r="AP321" t="inlineStr">
        <is>
          <t>Gorham Bike and Ski</t>
        </is>
      </c>
      <c r="AQ321" s="333" t="n">
        <v>489.99</v>
      </c>
      <c r="AR321" t="inlineStr">
        <is>
          <t>https://tinyurl.com/ycu298c5</t>
        </is>
      </c>
      <c r="AS321" s="314">
        <f>IF(LEFT(C321,1)=" ",RIGHT(C321,LEN(C321)-1),C321)</f>
        <v/>
      </c>
      <c r="AT321" s="281">
        <f>_xlfn.CONCAT(B321,AS321,D321,E321)</f>
        <v/>
      </c>
    </row>
    <row r="322">
      <c r="A322" t="inlineStr">
        <is>
          <t>21/22</t>
        </is>
      </c>
      <c r="B322" t="inlineStr">
        <is>
          <t xml:space="preserve"> Nordica</t>
        </is>
      </c>
      <c r="C322" t="inlineStr">
        <is>
          <t>Santa Ana 93</t>
        </is>
      </c>
      <c r="D322" t="n">
        <v>165</v>
      </c>
      <c r="E322" t="inlineStr">
        <is>
          <t xml:space="preserve"> Women's</t>
        </is>
      </c>
      <c r="F322" t="n">
        <v>165</v>
      </c>
      <c r="G322" t="n">
        <v>164.2</v>
      </c>
      <c r="H322" t="n">
        <v>117</v>
      </c>
      <c r="I322" t="n">
        <v>137</v>
      </c>
      <c r="J322" t="n">
        <v>126</v>
      </c>
      <c r="K322" t="n">
        <v>93</v>
      </c>
      <c r="L322" t="n">
        <v>112</v>
      </c>
      <c r="M322" t="n">
        <v>15.4</v>
      </c>
      <c r="N322" t="n">
        <v>1825</v>
      </c>
      <c r="O322" t="n">
        <v>0.93</v>
      </c>
      <c r="P322" t="n">
        <v>1699</v>
      </c>
      <c r="Q322" t="n">
        <v>205</v>
      </c>
      <c r="R322" t="n">
        <v>91</v>
      </c>
      <c r="S322" t="n">
        <v>60</v>
      </c>
      <c r="T322" t="n">
        <v>283</v>
      </c>
      <c r="U322" t="n">
        <v>14</v>
      </c>
      <c r="V322" t="n">
        <v>186</v>
      </c>
      <c r="W322" t="n">
        <v>0.23</v>
      </c>
      <c r="X322" t="n">
        <v>130</v>
      </c>
      <c r="Y322" t="n">
        <v>137</v>
      </c>
      <c r="Z322" t="n">
        <v>153</v>
      </c>
      <c r="AA322" t="n">
        <v>6</v>
      </c>
      <c r="AB322" t="n">
        <v>8.5</v>
      </c>
      <c r="AC322" t="inlineStr">
        <is>
          <t xml:space="preserve"> Resort Freeride</t>
        </is>
      </c>
      <c r="AG322" t="inlineStr">
        <is>
          <t>Nordica Santa Ana 93 21/22</t>
        </is>
      </c>
      <c r="AH322" t="inlineStr">
        <is>
          <t>Snowcountry.eu</t>
        </is>
      </c>
      <c r="AI322" s="333" t="n">
        <v>386.34</v>
      </c>
      <c r="AJ322" t="inlineStr">
        <is>
          <t>https://tinyurl.com/ybt6myds</t>
        </is>
      </c>
      <c r="AK322" t="inlineStr">
        <is>
          <t>Nordica Santa Ana 93 Skis</t>
        </is>
      </c>
      <c r="AL322" t="inlineStr">
        <is>
          <t>Cole Sport</t>
        </is>
      </c>
      <c r="AM322" s="333" t="n">
        <v>519.99</v>
      </c>
      <c r="AN322" t="inlineStr">
        <is>
          <t>https://tinyurl.com/y9hcwkos</t>
        </is>
      </c>
      <c r="AO322" t="inlineStr">
        <is>
          <t>Nordica Santa Ana 93 Alpine Skis 2022 - - 165 cm</t>
        </is>
      </c>
      <c r="AP322" t="inlineStr">
        <is>
          <t>Skirack</t>
        </is>
      </c>
      <c r="AQ322" s="333" t="n">
        <v>559.99</v>
      </c>
      <c r="AR322" t="inlineStr">
        <is>
          <t>https://tinyurl.com/y9dvqr4w</t>
        </is>
      </c>
      <c r="AS322" s="314">
        <f>IF(LEFT(C322,1)=" ",RIGHT(C322,LEN(C322)-1),C322)</f>
        <v/>
      </c>
      <c r="AT322" s="281">
        <f>_xlfn.CONCAT(B322,AS322,D322,E322)</f>
        <v/>
      </c>
    </row>
    <row r="323">
      <c r="A323" t="inlineStr">
        <is>
          <t>21/22</t>
        </is>
      </c>
      <c r="B323" t="inlineStr">
        <is>
          <t xml:space="preserve"> Line</t>
        </is>
      </c>
      <c r="C323" t="inlineStr">
        <is>
          <t xml:space="preserve"> Tom Wallisch Pro</t>
        </is>
      </c>
      <c r="D323" t="n">
        <v>178</v>
      </c>
      <c r="E323" t="inlineStr">
        <is>
          <t xml:space="preserve"> Unisex</t>
        </is>
      </c>
      <c r="F323" t="n">
        <v>178</v>
      </c>
      <c r="G323" t="n">
        <v>177.7</v>
      </c>
      <c r="H323" t="n">
        <v>131</v>
      </c>
      <c r="I323" t="n">
        <v>151</v>
      </c>
      <c r="J323" t="n">
        <v>117</v>
      </c>
      <c r="K323" t="n">
        <v>89</v>
      </c>
      <c r="L323" t="n">
        <v>116</v>
      </c>
      <c r="M323" t="n">
        <v>19.9</v>
      </c>
      <c r="N323" t="n">
        <v>1752</v>
      </c>
      <c r="O323" t="n">
        <v>1.01</v>
      </c>
      <c r="P323" t="n">
        <v>1763</v>
      </c>
      <c r="Q323" t="n">
        <v>200</v>
      </c>
      <c r="R323" t="n">
        <v>91</v>
      </c>
      <c r="S323" t="n">
        <v>42</v>
      </c>
      <c r="T323" t="n">
        <v>235</v>
      </c>
      <c r="U323" t="n">
        <v>44</v>
      </c>
      <c r="V323" t="n">
        <v>228</v>
      </c>
      <c r="W323" t="n">
        <v>1.031</v>
      </c>
      <c r="X323" t="n">
        <v>125</v>
      </c>
      <c r="Y323" t="n">
        <v>139</v>
      </c>
      <c r="Z323" t="n">
        <v>110</v>
      </c>
      <c r="AA323" t="n">
        <v>8</v>
      </c>
      <c r="AB323" t="n">
        <v>2.4</v>
      </c>
      <c r="AC323" t="inlineStr">
        <is>
          <t xml:space="preserve"> Freeski</t>
        </is>
      </c>
      <c r="AG323" t="inlineStr">
        <is>
          <t>Line 2022 Tom Wallisch Pro Skis</t>
        </is>
      </c>
      <c r="AH323" t="inlineStr">
        <is>
          <t>Suburban Ski and Bike</t>
        </is>
      </c>
      <c r="AI323" s="333" t="n">
        <v>449.95</v>
      </c>
      <c r="AJ323" t="inlineStr">
        <is>
          <t>https://tinyurl.com/y75fpgzo</t>
        </is>
      </c>
      <c r="AK323" t="inlineStr">
        <is>
          <t>Line Skis Tom Wallisch Pro</t>
        </is>
      </c>
      <c r="AL323" t="inlineStr">
        <is>
          <t>LINE Skis</t>
        </is>
      </c>
      <c r="AM323" s="333" t="n">
        <v>449.95</v>
      </c>
      <c r="AN323" t="inlineStr">
        <is>
          <t>https://tinyurl.com/y9wuqvwe</t>
        </is>
      </c>
      <c r="AO323" t="inlineStr">
        <is>
          <t>Line Blend Skis 2022</t>
        </is>
      </c>
      <c r="AP323" t="inlineStr">
        <is>
          <t>The-House.com</t>
        </is>
      </c>
      <c r="AQ323" s="333" t="n">
        <v>479.95</v>
      </c>
      <c r="AR323" t="inlineStr">
        <is>
          <t>https://tinyurl.com/y9a9mdkr</t>
        </is>
      </c>
      <c r="AS323" s="314">
        <f>IF(LEFT(C323,1)=" ",RIGHT(C323,LEN(C323)-1),C323)</f>
        <v/>
      </c>
      <c r="AT323" s="281">
        <f>_xlfn.CONCAT(B323,AS323,D323,E323)</f>
        <v/>
      </c>
    </row>
    <row r="324">
      <c r="A324" t="inlineStr">
        <is>
          <t>21/22</t>
        </is>
      </c>
      <c r="B324" t="inlineStr">
        <is>
          <t xml:space="preserve"> Ferreol</t>
        </is>
      </c>
      <c r="C324" t="inlineStr">
        <is>
          <t>Pionnier 104</t>
        </is>
      </c>
      <c r="D324" t="n">
        <v>188</v>
      </c>
      <c r="E324" t="inlineStr">
        <is>
          <t xml:space="preserve"> Unisex</t>
        </is>
      </c>
      <c r="F324" t="n">
        <v>188</v>
      </c>
      <c r="G324" t="n">
        <v>188.6</v>
      </c>
      <c r="H324" t="n">
        <v>134</v>
      </c>
      <c r="I324" t="n">
        <v>149</v>
      </c>
      <c r="J324" t="n">
        <v>136</v>
      </c>
      <c r="K324" t="n">
        <v>104</v>
      </c>
      <c r="L324" t="n">
        <v>126</v>
      </c>
      <c r="M324" t="n">
        <v>17.4</v>
      </c>
      <c r="N324" t="n">
        <v>1891</v>
      </c>
      <c r="O324" t="n">
        <v>1.15</v>
      </c>
      <c r="P324" t="n">
        <v>2168</v>
      </c>
      <c r="Q324" t="n">
        <v>237</v>
      </c>
      <c r="R324" t="n">
        <v>89</v>
      </c>
      <c r="S324" t="n">
        <v>45</v>
      </c>
      <c r="T324" t="n">
        <v>322</v>
      </c>
      <c r="U324" t="n">
        <v>26</v>
      </c>
      <c r="V324" t="n">
        <v>221</v>
      </c>
      <c r="W324" t="n">
        <v>0.5679999999999999</v>
      </c>
      <c r="X324" t="n">
        <v>271</v>
      </c>
      <c r="Y324" t="n">
        <v>124</v>
      </c>
      <c r="Z324" t="n">
        <v>51</v>
      </c>
      <c r="AA324" t="n">
        <v>11</v>
      </c>
      <c r="AB324" t="n">
        <v>10.6</v>
      </c>
      <c r="AC324" t="inlineStr">
        <is>
          <t xml:space="preserve"> Resort Freeride</t>
        </is>
      </c>
      <c r="AD324" t="inlineStr">
        <is>
          <t xml:space="preserve"> Powder</t>
        </is>
      </c>
      <c r="AE324" t="inlineStr">
        <is>
          <t xml:space="preserve"> Touring</t>
        </is>
      </c>
      <c r="AS324" s="314">
        <f>IF(LEFT(C324,1)=" ",RIGHT(C324,LEN(C324)-1),C324)</f>
        <v/>
      </c>
      <c r="AT324" s="281">
        <f>_xlfn.CONCAT(B324,AS324,D324,E324)</f>
        <v/>
      </c>
    </row>
    <row r="325">
      <c r="A325" t="inlineStr">
        <is>
          <t>21/22</t>
        </is>
      </c>
      <c r="B325" t="inlineStr">
        <is>
          <t xml:space="preserve"> Head</t>
        </is>
      </c>
      <c r="C325" t="inlineStr">
        <is>
          <t>Oblivion 94</t>
        </is>
      </c>
      <c r="D325" t="n">
        <v>184</v>
      </c>
      <c r="E325" t="inlineStr">
        <is>
          <t xml:space="preserve"> Unisex</t>
        </is>
      </c>
      <c r="F325" t="n">
        <v>184</v>
      </c>
      <c r="G325" t="n">
        <v>181.9</v>
      </c>
      <c r="H325" t="n">
        <v>142</v>
      </c>
      <c r="I325" t="n">
        <v>164</v>
      </c>
      <c r="J325" t="n">
        <v>127</v>
      </c>
      <c r="K325" t="n">
        <v>93</v>
      </c>
      <c r="L325" t="n">
        <v>117</v>
      </c>
      <c r="M325" t="n">
        <v>22.6</v>
      </c>
      <c r="N325" t="n">
        <v>1830</v>
      </c>
      <c r="O325" t="n">
        <v>1.03</v>
      </c>
      <c r="P325" t="n">
        <v>1878</v>
      </c>
      <c r="Q325" t="n">
        <v>189</v>
      </c>
      <c r="R325" t="n">
        <v>83</v>
      </c>
      <c r="S325" t="n">
        <v>54</v>
      </c>
      <c r="T325" t="n">
        <v>254</v>
      </c>
      <c r="U325" t="n">
        <v>38</v>
      </c>
      <c r="V325" t="n">
        <v>145</v>
      </c>
      <c r="W325" t="n">
        <v>0.704</v>
      </c>
      <c r="X325" t="n">
        <v>95</v>
      </c>
      <c r="Y325" t="n">
        <v>87</v>
      </c>
      <c r="Z325" t="n">
        <v>159</v>
      </c>
      <c r="AA325" t="n">
        <v>9</v>
      </c>
      <c r="AB325" t="n">
        <v>5.6</v>
      </c>
      <c r="AC325" t="inlineStr">
        <is>
          <t xml:space="preserve"> Resort Freeride</t>
        </is>
      </c>
      <c r="AG325" t="inlineStr">
        <is>
          <t>Head Oblivion 94 Gr/Bl / 184cm</t>
        </is>
      </c>
      <c r="AH325" t="inlineStr">
        <is>
          <t>Sundance Ski and Board Shop</t>
        </is>
      </c>
      <c r="AI325" s="333" t="n">
        <v>440.94</v>
      </c>
      <c r="AJ325" t="inlineStr">
        <is>
          <t>https://tinyurl.com/y82m89wt</t>
        </is>
      </c>
      <c r="AK325" t="inlineStr">
        <is>
          <t>Head Oblivion 94 Skis Â· 2022 Â· 184 cm</t>
        </is>
      </c>
      <c r="AL325" t="inlineStr">
        <is>
          <t>Christy Sports</t>
        </is>
      </c>
      <c r="AM325" s="333" t="n">
        <v>499</v>
      </c>
      <c r="AN325" t="inlineStr">
        <is>
          <t>https://tinyurl.com/y863e3jp</t>
        </is>
      </c>
      <c r="AO325" t="inlineStr">
        <is>
          <t>2022 Head Oblivion 94 Twin Tip Snow Skis 184</t>
        </is>
      </c>
      <c r="AP325" t="inlineStr">
        <is>
          <t>The Pro Shop</t>
        </is>
      </c>
      <c r="AQ325" s="333" t="n">
        <v>499</v>
      </c>
      <c r="AR325" t="inlineStr">
        <is>
          <t>https://tinyurl.com/y8emc43f</t>
        </is>
      </c>
      <c r="AS325" s="314">
        <f>IF(LEFT(C325,1)=" ",RIGHT(C325,LEN(C325)-1),C325)</f>
        <v/>
      </c>
      <c r="AT325" s="281">
        <f>_xlfn.CONCAT(B325,AS325,D325,E325)</f>
        <v/>
      </c>
    </row>
    <row r="326">
      <c r="A326" t="inlineStr">
        <is>
          <t>21/22</t>
        </is>
      </c>
      <c r="B326" t="inlineStr">
        <is>
          <t xml:space="preserve"> Rossignol</t>
        </is>
      </c>
      <c r="C326" t="inlineStr">
        <is>
          <t>Blackops Alpineer 96</t>
        </is>
      </c>
      <c r="D326" t="n">
        <v>177</v>
      </c>
      <c r="E326" t="inlineStr">
        <is>
          <t xml:space="preserve"> Unisex</t>
        </is>
      </c>
      <c r="F326" t="n">
        <v>177</v>
      </c>
      <c r="G326" t="n">
        <v>177.3</v>
      </c>
      <c r="H326" t="n">
        <v>130</v>
      </c>
      <c r="I326" t="n">
        <v>145</v>
      </c>
      <c r="J326" t="n">
        <v>126</v>
      </c>
      <c r="K326" t="n">
        <v>97</v>
      </c>
      <c r="L326" t="n">
        <v>115</v>
      </c>
      <c r="M326" t="n">
        <v>19.8</v>
      </c>
      <c r="N326" t="n">
        <v>1319</v>
      </c>
      <c r="O326" t="n">
        <v>1.43</v>
      </c>
      <c r="P326" t="n">
        <v>1886</v>
      </c>
      <c r="Q326" t="n">
        <v>233</v>
      </c>
      <c r="R326" t="n">
        <v>85</v>
      </c>
      <c r="S326" t="n">
        <v>56</v>
      </c>
      <c r="T326" t="n">
        <v>319</v>
      </c>
      <c r="U326" t="n">
        <v>13</v>
      </c>
      <c r="V326" t="n">
        <v>151</v>
      </c>
      <c r="W326" t="n">
        <v>0.23</v>
      </c>
      <c r="X326" t="n">
        <v>204</v>
      </c>
      <c r="Y326" t="n">
        <v>122</v>
      </c>
      <c r="Z326" t="n">
        <v>115</v>
      </c>
      <c r="AA326" t="n">
        <v>6</v>
      </c>
      <c r="AB326" t="n">
        <v>12.2</v>
      </c>
      <c r="AC326" t="inlineStr">
        <is>
          <t xml:space="preserve"> Touring</t>
        </is>
      </c>
      <c r="AD326" t="inlineStr">
        <is>
          <t xml:space="preserve"> Ultralight Touring</t>
        </is>
      </c>
      <c r="AG326" t="inlineStr">
        <is>
          <t>Rossignol Blackops Alpineer 96 Skis - 2022</t>
        </is>
      </c>
      <c r="AH326" t="inlineStr">
        <is>
          <t>Powder7 Ski Shop</t>
        </is>
      </c>
      <c r="AI326" s="333" t="n">
        <v>559.95</v>
      </c>
      <c r="AJ326" t="inlineStr">
        <is>
          <t>https://tinyurl.com/y76vd9vd</t>
        </is>
      </c>
      <c r="AK326" t="inlineStr">
        <is>
          <t>Rossignol Blackops Alpineer 96 Skis - 2022</t>
        </is>
      </c>
      <c r="AL326" t="inlineStr">
        <is>
          <t>evo.com</t>
        </is>
      </c>
      <c r="AM326" s="333" t="n">
        <v>559.96</v>
      </c>
      <c r="AN326" t="inlineStr">
        <is>
          <t>https://tinyurl.com/y7qm5edn</t>
        </is>
      </c>
      <c r="AO326" t="inlineStr">
        <is>
          <t>Rossignol Blackops Alpineer 96 Skis - 2022</t>
        </is>
      </c>
      <c r="AP326" t="inlineStr">
        <is>
          <t>Level Nine Sports</t>
        </is>
      </c>
      <c r="AQ326" s="333" t="n">
        <v>559.96</v>
      </c>
      <c r="AR326" t="inlineStr">
        <is>
          <t>https://tinyurl.com/y833d52c</t>
        </is>
      </c>
      <c r="AS326" s="314">
        <f>IF(LEFT(C326,1)=" ",RIGHT(C326,LEN(C326)-1),C326)</f>
        <v/>
      </c>
      <c r="AT326" s="281">
        <f>_xlfn.CONCAT(B326,AS326,D326,E326)</f>
        <v/>
      </c>
    </row>
    <row r="327">
      <c r="A327" t="inlineStr">
        <is>
          <t>21/22</t>
        </is>
      </c>
      <c r="B327" t="inlineStr">
        <is>
          <t xml:space="preserve"> Nordica</t>
        </is>
      </c>
      <c r="C327" t="inlineStr">
        <is>
          <t>Soul Rider 84</t>
        </is>
      </c>
      <c r="D327" t="n">
        <v>170</v>
      </c>
      <c r="E327" t="inlineStr">
        <is>
          <t xml:space="preserve"> Unisex</t>
        </is>
      </c>
      <c r="F327" t="n">
        <v>170</v>
      </c>
      <c r="G327" t="n">
        <v>168.6</v>
      </c>
      <c r="H327" t="n">
        <v>138</v>
      </c>
      <c r="I327" t="n">
        <v>151</v>
      </c>
      <c r="J327" t="n">
        <v>120</v>
      </c>
      <c r="K327" t="n">
        <v>83</v>
      </c>
      <c r="L327" t="n">
        <v>109</v>
      </c>
      <c r="M327" t="n">
        <v>18</v>
      </c>
      <c r="N327" t="n">
        <v>1690</v>
      </c>
      <c r="O327" t="n">
        <v>0.9399999999999999</v>
      </c>
      <c r="P327" t="n">
        <v>1593</v>
      </c>
      <c r="Q327" t="n">
        <v>200</v>
      </c>
      <c r="R327" t="n">
        <v>103</v>
      </c>
      <c r="S327" t="n">
        <v>48</v>
      </c>
      <c r="T327" t="n">
        <v>159</v>
      </c>
      <c r="U327" t="n">
        <v>41</v>
      </c>
      <c r="V327" t="n">
        <v>143</v>
      </c>
      <c r="W327" t="n">
        <v>0.853</v>
      </c>
      <c r="X327" t="n">
        <v>94</v>
      </c>
      <c r="Y327" t="n">
        <v>78</v>
      </c>
      <c r="Z327" t="n">
        <v>65</v>
      </c>
      <c r="AA327" t="n">
        <v>11</v>
      </c>
      <c r="AB327" t="n">
        <v>9.699999999999999</v>
      </c>
      <c r="AC327" t="inlineStr">
        <is>
          <t xml:space="preserve"> Resort Freeride</t>
        </is>
      </c>
      <c r="AD327" t="inlineStr">
        <is>
          <t xml:space="preserve"> Freeski</t>
        </is>
      </c>
      <c r="AG327" t="inlineStr">
        <is>
          <t>Nordica Men's Soul Rider 84 Ski 2021</t>
        </is>
      </c>
      <c r="AH327" t="inlineStr">
        <is>
          <t>BobsSportsChalet.com</t>
        </is>
      </c>
      <c r="AI327" s="333" t="n">
        <v>349.99</v>
      </c>
      <c r="AJ327" t="inlineStr">
        <is>
          <t>https://tinyurl.com/ybdtqa3z</t>
        </is>
      </c>
      <c r="AK327" t="inlineStr">
        <is>
          <t>Nordica Men's Soul Rider 84 Ski 2021</t>
        </is>
      </c>
      <c r="AL327" t="inlineStr">
        <is>
          <t>Buyr.com</t>
        </is>
      </c>
      <c r="AM327" s="333" t="n">
        <v>349.99</v>
      </c>
      <c r="AN327" t="inlineStr">
        <is>
          <t>https://tinyurl.com/y88v4wrw</t>
        </is>
      </c>
      <c r="AO327" t="inlineStr">
        <is>
          <t>SOULRIDER 84 '22</t>
        </is>
      </c>
      <c r="AP327" t="inlineStr">
        <is>
          <t>Vertical Drop</t>
        </is>
      </c>
      <c r="AQ327" s="333" t="n">
        <v>349.99</v>
      </c>
      <c r="AR327" t="inlineStr">
        <is>
          <t>https://tinyurl.com/yagmeaqc</t>
        </is>
      </c>
      <c r="AS327" s="314">
        <f>IF(LEFT(C327,1)=" ",RIGHT(C327,LEN(C327)-1),C327)</f>
        <v/>
      </c>
      <c r="AT327" s="281">
        <f>_xlfn.CONCAT(B327,AS327,D327,E327)</f>
        <v/>
      </c>
    </row>
    <row r="328">
      <c r="A328" t="inlineStr">
        <is>
          <t>21/22</t>
        </is>
      </c>
      <c r="B328" t="inlineStr">
        <is>
          <t xml:space="preserve"> Armada</t>
        </is>
      </c>
      <c r="C328" t="inlineStr">
        <is>
          <t>ARV 86</t>
        </is>
      </c>
      <c r="D328" t="n">
        <v>170</v>
      </c>
      <c r="E328" t="inlineStr">
        <is>
          <t xml:space="preserve"> Unisex</t>
        </is>
      </c>
      <c r="F328" t="n">
        <v>170</v>
      </c>
      <c r="G328" t="n">
        <v>167.9</v>
      </c>
      <c r="H328" t="n">
        <v>134</v>
      </c>
      <c r="I328" t="n">
        <v>142</v>
      </c>
      <c r="J328" t="n">
        <v>114</v>
      </c>
      <c r="K328" t="n">
        <v>85</v>
      </c>
      <c r="L328" t="n">
        <v>108</v>
      </c>
      <c r="M328" t="n">
        <v>17.7</v>
      </c>
      <c r="N328" t="n">
        <v>1710</v>
      </c>
      <c r="O328" t="n">
        <v>0.9399999999999999</v>
      </c>
      <c r="P328" t="n">
        <v>1606</v>
      </c>
      <c r="Q328" t="n">
        <v>175</v>
      </c>
      <c r="R328" t="n">
        <v>103</v>
      </c>
      <c r="S328" t="n">
        <v>43</v>
      </c>
      <c r="T328" t="n">
        <v>179</v>
      </c>
      <c r="U328" t="n">
        <v>37</v>
      </c>
      <c r="V328" t="n">
        <v>162</v>
      </c>
      <c r="W328" t="n">
        <v>0.869</v>
      </c>
      <c r="X328" t="n">
        <v>125</v>
      </c>
      <c r="Y328" t="n">
        <v>130</v>
      </c>
      <c r="Z328" t="n">
        <v>54</v>
      </c>
      <c r="AA328" t="n">
        <v>11</v>
      </c>
      <c r="AB328" t="n">
        <v>3.6</v>
      </c>
      <c r="AC328" t="inlineStr">
        <is>
          <t xml:space="preserve"> Freeski</t>
        </is>
      </c>
      <c r="AG328" t="inlineStr">
        <is>
          <t>Armada ARV 86 Skis 2022</t>
        </is>
      </c>
      <c r="AH328" t="inlineStr">
        <is>
          <t>Aspen East</t>
        </is>
      </c>
      <c r="AI328" s="333" t="n">
        <v>399</v>
      </c>
      <c r="AJ328" t="inlineStr">
        <is>
          <t>https://tinyurl.com/y882s9nx</t>
        </is>
      </c>
      <c r="AK328" t="inlineStr">
        <is>
          <t>Armada Women's ARW 86 Skis 170 cm</t>
        </is>
      </c>
      <c r="AL328" t="inlineStr">
        <is>
          <t>! OutdoorXL.com</t>
        </is>
      </c>
      <c r="AM328" s="333" t="n">
        <v>299.95</v>
      </c>
      <c r="AN328" t="inlineStr">
        <is>
          <t>https://tinyurl.com/yc9dzt3q</t>
        </is>
      </c>
      <c r="AO328" t="inlineStr">
        <is>
          <t>Armada Women's ARW 86 Skis 170 cm</t>
        </is>
      </c>
      <c r="AP328" t="inlineStr">
        <is>
          <t>evo.com</t>
        </is>
      </c>
      <c r="AQ328" s="333" t="n">
        <v>319.96</v>
      </c>
      <c r="AR328" t="inlineStr">
        <is>
          <t>https://tinyurl.com/ydb4fq72</t>
        </is>
      </c>
      <c r="AS328" s="314">
        <f>IF(LEFT(C328,1)=" ",RIGHT(C328,LEN(C328)-1),C328)</f>
        <v/>
      </c>
      <c r="AT328" s="281">
        <f>_xlfn.CONCAT(B328,AS328,D328,E328)</f>
        <v/>
      </c>
    </row>
    <row r="329">
      <c r="A329" t="inlineStr">
        <is>
          <t>21/22</t>
        </is>
      </c>
      <c r="B329" t="inlineStr">
        <is>
          <t xml:space="preserve"> Atomic</t>
        </is>
      </c>
      <c r="C329" t="inlineStr">
        <is>
          <t>Redster S7</t>
        </is>
      </c>
      <c r="D329" t="n">
        <v>163</v>
      </c>
      <c r="E329" t="inlineStr">
        <is>
          <t xml:space="preserve"> Unisex</t>
        </is>
      </c>
      <c r="F329" t="n">
        <v>163</v>
      </c>
      <c r="G329" t="n">
        <v>160.4</v>
      </c>
      <c r="H329" t="n">
        <v>139</v>
      </c>
      <c r="I329" t="n">
        <v>146</v>
      </c>
      <c r="J329" t="n">
        <v>111</v>
      </c>
      <c r="K329" t="n">
        <v>69</v>
      </c>
      <c r="L329" t="n">
        <v>99</v>
      </c>
      <c r="M329" t="n">
        <v>14.5</v>
      </c>
      <c r="N329" t="n">
        <v>1682</v>
      </c>
      <c r="O329" t="n">
        <v>0.79</v>
      </c>
      <c r="P329" t="n">
        <v>1331</v>
      </c>
      <c r="Q329" t="n">
        <v>198</v>
      </c>
      <c r="R329" t="n">
        <v>98</v>
      </c>
      <c r="S329" t="n">
        <v>40</v>
      </c>
      <c r="T329" t="n">
        <v>147</v>
      </c>
      <c r="U329" t="n">
        <v>5</v>
      </c>
      <c r="V329" t="n">
        <v>64</v>
      </c>
      <c r="W329" t="n">
        <v>0.138</v>
      </c>
      <c r="X329" t="n">
        <v>83</v>
      </c>
      <c r="Y329" t="n">
        <v>57</v>
      </c>
      <c r="Z329" t="n">
        <v>65</v>
      </c>
      <c r="AA329" t="n">
        <v>6</v>
      </c>
      <c r="AB329" t="n">
        <v>12.5</v>
      </c>
      <c r="AC329" t="inlineStr">
        <is>
          <t xml:space="preserve"> On-Piste Carving</t>
        </is>
      </c>
      <c r="AG329" t="inlineStr">
        <is>
          <t>Atomic Redster S7 + ft 12 GW 18/19</t>
        </is>
      </c>
      <c r="AH329" t="inlineStr">
        <is>
          <t>eBay - asogear</t>
        </is>
      </c>
      <c r="AI329" s="333" t="n">
        <v>400</v>
      </c>
      <c r="AJ329" t="inlineStr">
        <is>
          <t>https://tinyurl.com/yc9xoqbs</t>
        </is>
      </c>
      <c r="AK329" t="inlineStr">
        <is>
          <t>Atomic Mens Redster XT Skis + XT 10 Bindings 2017 - 163</t>
        </is>
      </c>
      <c r="AL329" t="inlineStr">
        <is>
          <t>Sun 'N Fun Specialty Sports</t>
        </is>
      </c>
      <c r="AM329" s="333" t="n">
        <v>499.95</v>
      </c>
      <c r="AN329" t="inlineStr">
        <is>
          <t>https://tinyurl.com/ybxxbdwb</t>
        </is>
      </c>
      <c r="AO329" t="inlineStr">
        <is>
          <t>Atomic Redster RX EZY2 156 cm Ski + Elan ESR10 Bindings Winter Fun Snow Outdoor</t>
        </is>
      </c>
      <c r="AP329" t="inlineStr">
        <is>
          <t>eBay - traventuria</t>
        </is>
      </c>
      <c r="AQ329" s="333" t="n">
        <v>91.98999999999999</v>
      </c>
      <c r="AR329" t="inlineStr">
        <is>
          <t>https://tinyurl.com/yae4swmx</t>
        </is>
      </c>
      <c r="AS329" s="314">
        <f>IF(LEFT(C329,1)=" ",RIGHT(C329,LEN(C329)-1),C329)</f>
        <v/>
      </c>
      <c r="AT329" s="281">
        <f>_xlfn.CONCAT(B329,AS329,D329,E329)</f>
        <v/>
      </c>
    </row>
    <row r="330">
      <c r="A330" t="inlineStr">
        <is>
          <t>21/22</t>
        </is>
      </c>
      <c r="B330" t="inlineStr">
        <is>
          <t xml:space="preserve"> Line</t>
        </is>
      </c>
      <c r="C330" t="inlineStr">
        <is>
          <t>Sick Day 94</t>
        </is>
      </c>
      <c r="D330" t="n">
        <v>186</v>
      </c>
      <c r="E330" t="inlineStr">
        <is>
          <t xml:space="preserve"> Unisex</t>
        </is>
      </c>
      <c r="F330" t="n">
        <v>186</v>
      </c>
      <c r="G330" t="n">
        <v>185.7</v>
      </c>
      <c r="H330" t="n">
        <v>147</v>
      </c>
      <c r="I330" t="n">
        <v>161</v>
      </c>
      <c r="J330" t="n">
        <v>131</v>
      </c>
      <c r="K330" t="n">
        <v>93</v>
      </c>
      <c r="L330" t="n">
        <v>116</v>
      </c>
      <c r="M330" t="n">
        <v>19.6</v>
      </c>
      <c r="N330" t="n">
        <v>1736</v>
      </c>
      <c r="O330" t="n">
        <v>1.12</v>
      </c>
      <c r="P330" t="n">
        <v>1952</v>
      </c>
      <c r="Q330" t="n">
        <v>191</v>
      </c>
      <c r="R330" t="n">
        <v>102</v>
      </c>
      <c r="S330" t="n">
        <v>45</v>
      </c>
      <c r="T330" t="n">
        <v>252</v>
      </c>
      <c r="U330" t="n">
        <v>17</v>
      </c>
      <c r="V330" t="n">
        <v>133</v>
      </c>
      <c r="W330" t="n">
        <v>0.372</v>
      </c>
      <c r="X330" t="n">
        <v>135</v>
      </c>
      <c r="Y330" t="n">
        <v>113</v>
      </c>
      <c r="Z330" t="n">
        <v>117</v>
      </c>
      <c r="AA330" t="n">
        <v>10</v>
      </c>
      <c r="AB330" t="n">
        <v>9.9</v>
      </c>
      <c r="AC330" t="inlineStr">
        <is>
          <t xml:space="preserve"> Resort Freeride</t>
        </is>
      </c>
      <c r="AD330" t="inlineStr">
        <is>
          <t xml:space="preserve"> Touring</t>
        </is>
      </c>
      <c r="AG330" t="inlineStr">
        <is>
          <t>Line Sick Day 94 Skis 2022</t>
        </is>
      </c>
      <c r="AH330" t="inlineStr">
        <is>
          <t>Telemark Pyrenees</t>
        </is>
      </c>
      <c r="AI330" s="333" t="n">
        <v>348.3</v>
      </c>
      <c r="AJ330" t="inlineStr">
        <is>
          <t>https://tinyurl.com/ybf4xu4e</t>
        </is>
      </c>
      <c r="AK330" t="inlineStr">
        <is>
          <t>Line Sick Day 94 Skis 2022</t>
        </is>
      </c>
      <c r="AL330" t="inlineStr">
        <is>
          <t>Surfdome US</t>
        </is>
      </c>
      <c r="AM330" s="333" t="n">
        <v>352.45</v>
      </c>
      <c r="AN330" t="inlineStr">
        <is>
          <t>https://tinyurl.com/y6w7ad55</t>
        </is>
      </c>
      <c r="AO330" t="inlineStr">
        <is>
          <t>Line Sick Day 94 Ski 2022</t>
        </is>
      </c>
      <c r="AP330" t="inlineStr">
        <is>
          <t>PRFO Sports</t>
        </is>
      </c>
      <c r="AQ330" s="333" t="n">
        <v>352.75</v>
      </c>
      <c r="AR330" t="inlineStr">
        <is>
          <t>https://tinyurl.com/yavd9o6h</t>
        </is>
      </c>
      <c r="AS330" s="314">
        <f>IF(LEFT(C330,1)=" ",RIGHT(C330,LEN(C330)-1),C330)</f>
        <v/>
      </c>
      <c r="AT330" s="281">
        <f>_xlfn.CONCAT(B330,AS330,D330,E330)</f>
        <v/>
      </c>
    </row>
    <row r="331">
      <c r="A331" t="inlineStr">
        <is>
          <t>21/22</t>
        </is>
      </c>
      <c r="B331" t="inlineStr">
        <is>
          <t xml:space="preserve"> Stï¿½ckli</t>
        </is>
      </c>
      <c r="C331" t="inlineStr">
        <is>
          <t xml:space="preserve"> Laser SC Orea</t>
        </is>
      </c>
      <c r="D331" t="n">
        <v>170</v>
      </c>
      <c r="E331" t="inlineStr">
        <is>
          <t xml:space="preserve"> Unisex</t>
        </is>
      </c>
      <c r="F331" t="n">
        <v>170</v>
      </c>
      <c r="G331" t="n">
        <v>169.2</v>
      </c>
      <c r="H331" t="n">
        <v>149</v>
      </c>
      <c r="I331" t="n">
        <v>156</v>
      </c>
      <c r="J331" t="n">
        <v>122</v>
      </c>
      <c r="K331" t="n">
        <v>72</v>
      </c>
      <c r="L331" t="n">
        <v>103</v>
      </c>
      <c r="M331" t="n">
        <v>14.8</v>
      </c>
      <c r="N331" t="n">
        <v>1751</v>
      </c>
      <c r="O331" t="n">
        <v>0.84</v>
      </c>
      <c r="P331" t="n">
        <v>1467</v>
      </c>
      <c r="Q331" t="n">
        <v>200</v>
      </c>
      <c r="R331" t="n">
        <v>110</v>
      </c>
      <c r="S331" t="n">
        <v>39</v>
      </c>
      <c r="T331" t="n">
        <v>140</v>
      </c>
      <c r="U331" t="n">
        <v>6</v>
      </c>
      <c r="V331" t="n">
        <v>61</v>
      </c>
      <c r="W331" t="n">
        <v>0.157</v>
      </c>
      <c r="X331" t="n">
        <v>73</v>
      </c>
      <c r="Y331" t="n">
        <v>59</v>
      </c>
      <c r="Z331" t="n">
        <v>68</v>
      </c>
      <c r="AA331" t="n">
        <v>10</v>
      </c>
      <c r="AB331" t="n">
        <v>13.9</v>
      </c>
      <c r="AC331" t="inlineStr">
        <is>
          <t xml:space="preserve"> On-Piste Carving</t>
        </is>
      </c>
      <c r="AG331" t="inlineStr">
        <is>
          <t>Stockli Laser SC Orea Skis 2023 w/12 Bindings 170</t>
        </is>
      </c>
      <c r="AH331" t="inlineStr">
        <is>
          <t>Ski Depot RaceSkis.com</t>
        </is>
      </c>
      <c r="AI331" s="333" t="n">
        <v>2019</v>
      </c>
      <c r="AJ331" t="inlineStr">
        <is>
          <t>https://tinyurl.com/ydaqe276</t>
        </is>
      </c>
      <c r="AK331" t="inlineStr">
        <is>
          <t>2019 Laser SX Spd 1SP12 Ti GRN / 170</t>
        </is>
      </c>
      <c r="AL331" t="inlineStr">
        <is>
          <t>Sporthaus</t>
        </is>
      </c>
      <c r="AM331" s="333" t="n">
        <v>1489.95</v>
      </c>
      <c r="AN331" t="inlineStr">
        <is>
          <t>https://tinyurl.com/y9gb23x5</t>
        </is>
      </c>
      <c r="AO331" t="inlineStr">
        <is>
          <t>Stockli Laser SL Skis W SRT 12 Bindings 170cm 2022</t>
        </is>
      </c>
      <c r="AP331" t="inlineStr">
        <is>
          <t>Powder7 Ski Shop</t>
        </is>
      </c>
      <c r="AQ331" s="333" t="n">
        <v>1549</v>
      </c>
      <c r="AR331" t="inlineStr">
        <is>
          <t>https://tinyurl.com/y7xt4eny</t>
        </is>
      </c>
      <c r="AS331" s="314">
        <f>IF(LEFT(C331,1)=" ",RIGHT(C331,LEN(C331)-1),C331)</f>
        <v/>
      </c>
      <c r="AT331" s="281">
        <f>_xlfn.CONCAT(B331,AS331,D331,E331)</f>
        <v/>
      </c>
    </row>
    <row r="332">
      <c r="A332" t="inlineStr">
        <is>
          <t>21/22</t>
        </is>
      </c>
      <c r="B332" t="inlineStr">
        <is>
          <t xml:space="preserve"> Rossignol</t>
        </is>
      </c>
      <c r="C332" t="inlineStr">
        <is>
          <t xml:space="preserve"> Blackops Sender</t>
        </is>
      </c>
      <c r="D332" t="n">
        <v>178</v>
      </c>
      <c r="E332" t="inlineStr">
        <is>
          <t xml:space="preserve"> Unisex</t>
        </is>
      </c>
      <c r="F332" t="n">
        <v>178</v>
      </c>
      <c r="G332" t="n">
        <v>178.3</v>
      </c>
      <c r="H332" t="n">
        <v>128</v>
      </c>
      <c r="I332" t="n">
        <v>152</v>
      </c>
      <c r="J332" t="n">
        <v>137</v>
      </c>
      <c r="K332" t="n">
        <v>103</v>
      </c>
      <c r="L332" t="n">
        <v>127</v>
      </c>
      <c r="M332" t="n">
        <v>18</v>
      </c>
      <c r="N332" t="n">
        <v>1950</v>
      </c>
      <c r="O332" t="n">
        <v>1.05</v>
      </c>
      <c r="P332" t="n">
        <v>2041</v>
      </c>
      <c r="Q332" t="n">
        <v>246</v>
      </c>
      <c r="R332" t="n">
        <v>109</v>
      </c>
      <c r="S332" t="n">
        <v>51</v>
      </c>
      <c r="T332" t="n">
        <v>304</v>
      </c>
      <c r="U332" t="n">
        <v>12</v>
      </c>
      <c r="V332" t="n">
        <v>203</v>
      </c>
      <c r="W332" t="n">
        <v>0.236</v>
      </c>
      <c r="X332" t="n">
        <v>153</v>
      </c>
      <c r="Y332" t="n">
        <v>112</v>
      </c>
      <c r="Z332" t="n">
        <v>152</v>
      </c>
      <c r="AA332" t="n">
        <v>6</v>
      </c>
      <c r="AB332" t="n">
        <v>7.2</v>
      </c>
      <c r="AC332" t="inlineStr">
        <is>
          <t xml:space="preserve"> Resort Freeride</t>
        </is>
      </c>
      <c r="AD332" t="inlineStr">
        <is>
          <t xml:space="preserve"> Big Mountain</t>
        </is>
      </c>
      <c r="AG332" t="inlineStr">
        <is>
          <t>Skis Rossignol Blackops Sender</t>
        </is>
      </c>
      <c r="AH332" t="inlineStr">
        <is>
          <t>Gorham Bike and Ski</t>
        </is>
      </c>
      <c r="AI332" s="333" t="n">
        <v>489.99</v>
      </c>
      <c r="AJ332" t="inlineStr">
        <is>
          <t>https://tinyurl.com/ybo9drwq</t>
        </is>
      </c>
      <c r="AK332" t="inlineStr">
        <is>
          <t>Skis Rossignol Blackops Sender</t>
        </is>
      </c>
      <c r="AL332" t="inlineStr">
        <is>
          <t>Level Nine Sports</t>
        </is>
      </c>
      <c r="AM332" s="333" t="n">
        <v>559.96</v>
      </c>
      <c r="AN332" t="inlineStr">
        <is>
          <t>https://tinyurl.com/yd755rj2</t>
        </is>
      </c>
      <c r="AO332" t="inlineStr">
        <is>
          <t>Skis Rossignol Blackops Sender</t>
        </is>
      </c>
      <c r="AP332" t="inlineStr">
        <is>
          <t>evo.com</t>
        </is>
      </c>
      <c r="AQ332" s="333" t="n">
        <v>559.96</v>
      </c>
      <c r="AR332" t="inlineStr">
        <is>
          <t>https://tinyurl.com/y7nqwvnw</t>
        </is>
      </c>
      <c r="AS332" s="314">
        <f>IF(LEFT(C332,1)=" ",RIGHT(C332,LEN(C332)-1),C332)</f>
        <v/>
      </c>
      <c r="AT332" s="281">
        <f>_xlfn.CONCAT(B332,AS332,D332,E332)</f>
        <v/>
      </c>
    </row>
    <row r="333">
      <c r="A333" t="inlineStr">
        <is>
          <t>21/22</t>
        </is>
      </c>
      <c r="B333" t="inlineStr">
        <is>
          <t xml:space="preserve"> Rossignol</t>
        </is>
      </c>
      <c r="C333" t="inlineStr">
        <is>
          <t>Experience 80 Carbon</t>
        </is>
      </c>
      <c r="D333" t="n">
        <v>166</v>
      </c>
      <c r="E333" t="inlineStr">
        <is>
          <t xml:space="preserve"> Unisex</t>
        </is>
      </c>
      <c r="F333" t="n">
        <v>166</v>
      </c>
      <c r="G333" t="n">
        <v>166.6</v>
      </c>
      <c r="H333" t="n">
        <v>128</v>
      </c>
      <c r="I333" t="n">
        <v>152</v>
      </c>
      <c r="J333" t="n">
        <v>125</v>
      </c>
      <c r="K333" t="n">
        <v>80</v>
      </c>
      <c r="L333" t="n">
        <v>113</v>
      </c>
      <c r="M333" t="n">
        <v>14.4</v>
      </c>
      <c r="N333" t="n">
        <v>1734</v>
      </c>
      <c r="O333" t="n">
        <v>0.91</v>
      </c>
      <c r="P333" t="n">
        <v>1575</v>
      </c>
      <c r="Q333" t="n">
        <v>215</v>
      </c>
      <c r="R333" t="n">
        <v>91</v>
      </c>
      <c r="S333" t="n">
        <v>47</v>
      </c>
      <c r="T333" t="n">
        <v>261</v>
      </c>
      <c r="U333" t="n">
        <v>12</v>
      </c>
      <c r="V333" t="n">
        <v>127</v>
      </c>
      <c r="W333" t="n">
        <v>0.261</v>
      </c>
      <c r="X333" t="n">
        <v>80</v>
      </c>
      <c r="Y333" t="n">
        <v>66</v>
      </c>
      <c r="Z333" t="n">
        <v>181</v>
      </c>
      <c r="AA333" t="n">
        <v>10</v>
      </c>
      <c r="AB333" t="n">
        <v>7</v>
      </c>
      <c r="AC333" t="inlineStr">
        <is>
          <t xml:space="preserve"> Resort Freeride</t>
        </is>
      </c>
      <c r="AG333" t="inlineStr">
        <is>
          <t>Rossignol Experience 80 Carbon Skis w/ Look Xpress 10 GW Bindings</t>
        </is>
      </c>
      <c r="AH333" t="inlineStr">
        <is>
          <t>The-House.com</t>
        </is>
      </c>
      <c r="AI333" s="333" t="n">
        <v>479.95</v>
      </c>
      <c r="AJ333" t="inlineStr">
        <is>
          <t>https://tinyurl.com/y73s97bd</t>
        </is>
      </c>
      <c r="AK333" t="inlineStr">
        <is>
          <t>Rossignol Men's All Mountain Skis Experience 80 Carbon (xpress)</t>
        </is>
      </c>
      <c r="AL333" t="inlineStr">
        <is>
          <t>Rossignol US</t>
        </is>
      </c>
      <c r="AM333" s="333" t="n">
        <v>599.95</v>
      </c>
      <c r="AN333" t="inlineStr">
        <is>
          <t>https://tinyurl.com/y93xkhq3</t>
        </is>
      </c>
      <c r="AO333" t="inlineStr">
        <is>
          <t>Rossignol Experience 80 Carbon Skis w/ Look Xpress 11 GW Bindings</t>
        </is>
      </c>
      <c r="AP333" t="inlineStr">
        <is>
          <t>Next Adventure</t>
        </is>
      </c>
      <c r="AQ333" s="333" t="n">
        <v>599.95</v>
      </c>
      <c r="AR333" t="inlineStr">
        <is>
          <t>https://tinyurl.com/y8buobus</t>
        </is>
      </c>
      <c r="AS333" s="314">
        <f>IF(LEFT(C333,1)=" ",RIGHT(C333,LEN(C333)-1),C333)</f>
        <v/>
      </c>
      <c r="AT333" s="281">
        <f>_xlfn.CONCAT(B333,AS333,D333,E333)</f>
        <v/>
      </c>
    </row>
    <row r="334">
      <c r="A334" t="inlineStr">
        <is>
          <t>21/22</t>
        </is>
      </c>
      <c r="B334" t="inlineStr">
        <is>
          <t xml:space="preserve"> Vï¿½lkl</t>
        </is>
      </c>
      <c r="C334" t="inlineStr">
        <is>
          <t xml:space="preserve"> Mantra V.Werks</t>
        </is>
      </c>
      <c r="D334" t="n">
        <v>170</v>
      </c>
      <c r="E334" t="inlineStr">
        <is>
          <t xml:space="preserve"> Unisex</t>
        </is>
      </c>
      <c r="F334" t="n">
        <v>170</v>
      </c>
      <c r="G334" t="n">
        <v>169.7</v>
      </c>
      <c r="H334" t="n">
        <v>113</v>
      </c>
      <c r="I334" t="n">
        <v>142</v>
      </c>
      <c r="J334" t="n">
        <v>134</v>
      </c>
      <c r="K334" t="n">
        <v>98</v>
      </c>
      <c r="L334" t="n">
        <v>116</v>
      </c>
      <c r="M334" t="n">
        <v>18.4</v>
      </c>
      <c r="N334" t="n">
        <v>1583</v>
      </c>
      <c r="O334" t="n">
        <v>1.17</v>
      </c>
      <c r="P334" t="n">
        <v>1849</v>
      </c>
      <c r="Q334" t="n">
        <v>174</v>
      </c>
      <c r="R334" t="n">
        <v>147</v>
      </c>
      <c r="S334" t="n">
        <v>47</v>
      </c>
      <c r="T334" t="n">
        <v>321</v>
      </c>
      <c r="U334" t="n">
        <v>17</v>
      </c>
      <c r="V334" t="n">
        <v>242</v>
      </c>
      <c r="W334" t="n">
        <v>0.363</v>
      </c>
      <c r="X334" t="n">
        <v>155</v>
      </c>
      <c r="Y334" t="n">
        <v>121</v>
      </c>
      <c r="Z334" t="n">
        <v>166</v>
      </c>
      <c r="AA334" t="n">
        <v>2</v>
      </c>
      <c r="AB334" t="n">
        <v>10.6</v>
      </c>
      <c r="AC334" t="inlineStr">
        <is>
          <t xml:space="preserve"> Resort Freeride</t>
        </is>
      </c>
      <c r="AD334" t="inlineStr">
        <is>
          <t xml:space="preserve"> Touring</t>
        </is>
      </c>
      <c r="AG334" t="inlineStr">
        <is>
          <t>Volkl - Mantra V Werks Ski - 170</t>
        </is>
      </c>
      <c r="AH334" t="inlineStr">
        <is>
          <t>Christy Sports</t>
        </is>
      </c>
      <c r="AI334" s="333" t="n">
        <v>1149.99</v>
      </c>
      <c r="AJ334" t="inlineStr">
        <is>
          <t>https://tinyurl.com/yam7xkf4</t>
        </is>
      </c>
      <c r="AK334" t="inlineStr">
        <is>
          <t>2022 Volkl Mantra V-Werks Skis w/ Marker Kingpin 13 Bindings - 170| Ski Essentials</t>
        </is>
      </c>
      <c r="AL334" t="inlineStr">
        <is>
          <t>SkiEssentials.com</t>
        </is>
      </c>
      <c r="AM334" s="333" t="n">
        <v>1314.95</v>
      </c>
      <c r="AN334" t="inlineStr">
        <is>
          <t>https://tinyurl.com/yb6btlfh</t>
        </is>
      </c>
      <c r="AO334" t="inlineStr">
        <is>
          <t>Volkl Mantra 2017 Skis - 170 cm</t>
        </is>
      </c>
      <c r="AP334" t="inlineStr">
        <is>
          <t>Powder7 Ski Shop</t>
        </is>
      </c>
      <c r="AQ334" s="333" t="n">
        <v>449.99</v>
      </c>
      <c r="AR334" t="inlineStr">
        <is>
          <t>https://tinyurl.com/ycohmvnd</t>
        </is>
      </c>
      <c r="AS334" s="314">
        <f>IF(LEFT(C334,1)=" ",RIGHT(C334,LEN(C334)-1),C334)</f>
        <v/>
      </c>
      <c r="AT334" s="281">
        <f>_xlfn.CONCAT(B334,AS334,D334,E334)</f>
        <v/>
      </c>
    </row>
    <row r="335">
      <c r="A335" t="inlineStr">
        <is>
          <t>21/22</t>
        </is>
      </c>
      <c r="B335" t="inlineStr">
        <is>
          <t>K2</t>
        </is>
      </c>
      <c r="C335" t="inlineStr">
        <is>
          <t xml:space="preserve"> Poacher</t>
        </is>
      </c>
      <c r="D335" t="n">
        <v>163</v>
      </c>
      <c r="E335" t="inlineStr">
        <is>
          <t xml:space="preserve"> Unisex</t>
        </is>
      </c>
      <c r="F335" t="n">
        <v>163</v>
      </c>
      <c r="G335" t="n">
        <v>160.6</v>
      </c>
      <c r="H335" t="n">
        <v>98</v>
      </c>
      <c r="I335" t="n">
        <v>123</v>
      </c>
      <c r="J335" t="n">
        <v>123</v>
      </c>
      <c r="K335" t="n">
        <v>95</v>
      </c>
      <c r="L335" t="n">
        <v>117</v>
      </c>
      <c r="M335" t="n">
        <v>13.7</v>
      </c>
      <c r="N335" t="n">
        <v>1883</v>
      </c>
      <c r="O335" t="n">
        <v>0.9</v>
      </c>
      <c r="P335" t="n">
        <v>1685</v>
      </c>
      <c r="Q335" t="n">
        <v>207</v>
      </c>
      <c r="R335" t="n">
        <v>110</v>
      </c>
      <c r="S335" t="n">
        <v>40</v>
      </c>
      <c r="T335" t="n">
        <v>306</v>
      </c>
      <c r="U335" t="n">
        <v>40</v>
      </c>
      <c r="V335" t="n">
        <v>317</v>
      </c>
      <c r="W335" t="n">
        <v>1.004</v>
      </c>
      <c r="X335" t="n">
        <v>182</v>
      </c>
      <c r="Y335" t="n">
        <v>192</v>
      </c>
      <c r="Z335" t="n">
        <v>125</v>
      </c>
      <c r="AA335" t="n">
        <v>6</v>
      </c>
      <c r="AB335" t="n">
        <v>5</v>
      </c>
      <c r="AC335" t="inlineStr">
        <is>
          <t xml:space="preserve"> Freeski</t>
        </is>
      </c>
      <c r="AG335" t="inlineStr">
        <is>
          <t>K2 Poacher Skis 2022 - 163</t>
        </is>
      </c>
      <c r="AH335" t="inlineStr">
        <is>
          <t>evo.com</t>
        </is>
      </c>
      <c r="AI335" s="333" t="n">
        <v>499.95</v>
      </c>
      <c r="AJ335" t="inlineStr">
        <is>
          <t>https://tinyurl.com/ybyyrc9h</t>
        </is>
      </c>
      <c r="AK335" t="inlineStr">
        <is>
          <t>K2 Poacher Skis 2022 - 163</t>
        </is>
      </c>
      <c r="AL335" t="inlineStr">
        <is>
          <t>Curated</t>
        </is>
      </c>
      <c r="AM335" s="333" t="n">
        <v>499.95</v>
      </c>
      <c r="AN335" t="inlineStr">
        <is>
          <t>https://tinyurl.com/ybecykpr</t>
        </is>
      </c>
      <c r="AO335" t="inlineStr">
        <is>
          <t>K2 Poacher Skis 2022 - 163</t>
        </is>
      </c>
      <c r="AP335" t="inlineStr">
        <is>
          <t>Suburban Ski and Bike</t>
        </is>
      </c>
      <c r="AQ335" s="333" t="n">
        <v>499.95</v>
      </c>
      <c r="AR335" t="inlineStr">
        <is>
          <t>https://tinyurl.com/y7eouelw</t>
        </is>
      </c>
      <c r="AS335" s="314">
        <f>IF(LEFT(C335,1)=" ",RIGHT(C335,LEN(C335)-1),C335)</f>
        <v/>
      </c>
      <c r="AT335" s="281">
        <f>_xlfn.CONCAT(B335,AS335,D335,E335)</f>
        <v/>
      </c>
    </row>
    <row r="336">
      <c r="A336" t="inlineStr">
        <is>
          <t>21/22</t>
        </is>
      </c>
      <c r="B336" t="inlineStr">
        <is>
          <t xml:space="preserve"> Faction</t>
        </is>
      </c>
      <c r="C336" t="inlineStr">
        <is>
          <t>Prodigy 1.0</t>
        </is>
      </c>
      <c r="D336" t="n">
        <v>178</v>
      </c>
      <c r="E336" t="inlineStr">
        <is>
          <t xml:space="preserve"> Unisex</t>
        </is>
      </c>
      <c r="F336" t="n">
        <v>178</v>
      </c>
      <c r="G336" t="n">
        <v>176.4</v>
      </c>
      <c r="H336" t="n">
        <v>135</v>
      </c>
      <c r="I336" t="n">
        <v>149</v>
      </c>
      <c r="J336" t="n">
        <v>120</v>
      </c>
      <c r="K336" t="n">
        <v>88</v>
      </c>
      <c r="L336" t="n">
        <v>112</v>
      </c>
      <c r="M336" t="n">
        <v>17.9</v>
      </c>
      <c r="N336" t="n">
        <v>1894</v>
      </c>
      <c r="O336" t="n">
        <v>0.92</v>
      </c>
      <c r="P336" t="n">
        <v>1751</v>
      </c>
      <c r="Q336" t="n">
        <v>201</v>
      </c>
      <c r="R336" t="n">
        <v>88</v>
      </c>
      <c r="S336" t="n">
        <v>43</v>
      </c>
      <c r="T336" t="n">
        <v>223</v>
      </c>
      <c r="U336" t="n">
        <v>36</v>
      </c>
      <c r="V336" t="n">
        <v>187</v>
      </c>
      <c r="W336" t="n">
        <v>0.836</v>
      </c>
      <c r="X336" t="n">
        <v>145</v>
      </c>
      <c r="Y336" t="n">
        <v>124</v>
      </c>
      <c r="Z336" t="n">
        <v>78</v>
      </c>
      <c r="AA336" t="n">
        <v>14</v>
      </c>
      <c r="AB336" t="n">
        <v>7.7</v>
      </c>
      <c r="AC336" t="inlineStr">
        <is>
          <t xml:space="preserve"> Resort Freeride</t>
        </is>
      </c>
      <c r="AD336" t="inlineStr">
        <is>
          <t xml:space="preserve"> Freeski</t>
        </is>
      </c>
      <c r="AG336" t="inlineStr">
        <is>
          <t>Faction Prodigy 1.0 Skis 2022 - 178</t>
        </is>
      </c>
      <c r="AH336" t="inlineStr">
        <is>
          <t>Gear West Ski &amp; Bike</t>
        </is>
      </c>
      <c r="AI336" s="333" t="n">
        <v>449</v>
      </c>
      <c r="AJ336" t="inlineStr">
        <is>
          <t>https://tinyurl.com/y8sal3jl</t>
        </is>
      </c>
      <c r="AK336" t="inlineStr">
        <is>
          <t xml:space="preserve"> Faction Candide 1.0 178 cm Mens Downhill Ski Combo</t>
        </is>
      </c>
      <c r="AL336" t="inlineStr">
        <is>
          <t>Play It Again Sports</t>
        </is>
      </c>
      <c r="AM336" s="333" t="n">
        <v>429.99</v>
      </c>
      <c r="AN336" t="inlineStr">
        <is>
          <t>https://tinyurl.com/y9sw5tgn</t>
        </is>
      </c>
      <c r="AO336" t="inlineStr">
        <is>
          <t>Faction Ct 1.0 21/22</t>
        </is>
      </c>
      <c r="AP336" t="inlineStr">
        <is>
          <t>Powder7 Ski Shop</t>
        </is>
      </c>
      <c r="AQ336" s="333" t="n">
        <v>439</v>
      </c>
      <c r="AR336" t="inlineStr">
        <is>
          <t>https://tinyurl.com/yc9genfl</t>
        </is>
      </c>
      <c r="AS336" s="314">
        <f>IF(LEFT(C336,1)=" ",RIGHT(C336,LEN(C336)-1),C336)</f>
        <v/>
      </c>
      <c r="AT336" s="281">
        <f>_xlfn.CONCAT(B336,AS336,D336,E336)</f>
        <v/>
      </c>
    </row>
    <row r="337">
      <c r="A337" t="inlineStr">
        <is>
          <t>21/22</t>
        </is>
      </c>
      <c r="B337" t="inlineStr">
        <is>
          <t xml:space="preserve"> Atomic</t>
        </is>
      </c>
      <c r="C337" t="inlineStr">
        <is>
          <t>Backland 86 SL</t>
        </is>
      </c>
      <c r="D337" t="n">
        <v>179</v>
      </c>
      <c r="E337" t="inlineStr">
        <is>
          <t xml:space="preserve"> Unisex</t>
        </is>
      </c>
      <c r="F337" t="n">
        <v>179</v>
      </c>
      <c r="G337" t="n">
        <v>177.9</v>
      </c>
      <c r="H337" t="n">
        <v>139</v>
      </c>
      <c r="I337" t="n">
        <v>149</v>
      </c>
      <c r="J337" t="n">
        <v>118</v>
      </c>
      <c r="K337" t="n">
        <v>86</v>
      </c>
      <c r="L337" t="n">
        <v>106</v>
      </c>
      <c r="M337" t="n">
        <v>19.2</v>
      </c>
      <c r="N337" t="n">
        <v>1301</v>
      </c>
      <c r="O337" t="n">
        <v>1.31</v>
      </c>
      <c r="P337" t="n">
        <v>1700</v>
      </c>
      <c r="Q337" t="n">
        <v>215</v>
      </c>
      <c r="R337" t="n">
        <v>84</v>
      </c>
      <c r="S337" t="n">
        <v>50</v>
      </c>
      <c r="T337" t="n">
        <v>242</v>
      </c>
      <c r="U337" t="n">
        <v>13</v>
      </c>
      <c r="V337" t="n">
        <v>145</v>
      </c>
      <c r="W337" t="n">
        <v>0.255</v>
      </c>
      <c r="X337" t="n">
        <v>175</v>
      </c>
      <c r="Y337" t="n">
        <v>113</v>
      </c>
      <c r="Z337" t="n">
        <v>67</v>
      </c>
      <c r="AA337" t="n">
        <v>6</v>
      </c>
      <c r="AB337" t="n">
        <v>12.1</v>
      </c>
      <c r="AC337" t="inlineStr">
        <is>
          <t xml:space="preserve"> Touring</t>
        </is>
      </c>
      <c r="AD337" t="inlineStr">
        <is>
          <t xml:space="preserve"> Ultralight Touring</t>
        </is>
      </c>
      <c r="AG337" t="inlineStr">
        <is>
          <t>Atomic Backland 85 Alpine Touring Ski (2022) 179</t>
        </is>
      </c>
      <c r="AH337" t="inlineStr">
        <is>
          <t>Cripple Creek Backcountry</t>
        </is>
      </c>
      <c r="AI337" s="333" t="n">
        <v>499</v>
      </c>
      <c r="AJ337" t="inlineStr">
        <is>
          <t>https://tinyurl.com/yd7tnhg5</t>
        </is>
      </c>
      <c r="AK337" t="inlineStr">
        <is>
          <t>Atomic Backland 85 + HYB Skin 85/86 Alpine Set</t>
        </is>
      </c>
      <c r="AL337" t="inlineStr">
        <is>
          <t>Moosejaw</t>
        </is>
      </c>
      <c r="AM337" s="333" t="n">
        <v>559.99</v>
      </c>
      <c r="AN337" t="inlineStr">
        <is>
          <t>https://tinyurl.com/ybpxvhtt</t>
        </is>
      </c>
      <c r="AO337" t="inlineStr">
        <is>
          <t>Atomic Backland 85 + HYB Skin 85/86 Alpine Set</t>
        </is>
      </c>
      <c r="AP337" t="inlineStr">
        <is>
          <t>Mountain Steals</t>
        </is>
      </c>
      <c r="AQ337" s="333" t="n">
        <v>559.99</v>
      </c>
      <c r="AR337" t="inlineStr">
        <is>
          <t>https://tinyurl.com/y9vsm4gw</t>
        </is>
      </c>
      <c r="AS337" s="314">
        <f>IF(LEFT(C337,1)=" ",RIGHT(C337,LEN(C337)-1),C337)</f>
        <v/>
      </c>
      <c r="AT337" s="281">
        <f>_xlfn.CONCAT(B337,AS337,D337,E337)</f>
        <v/>
      </c>
    </row>
    <row r="338">
      <c r="A338" t="inlineStr">
        <is>
          <t>21/22</t>
        </is>
      </c>
      <c r="B338" t="inlineStr">
        <is>
          <t xml:space="preserve"> Armada</t>
        </is>
      </c>
      <c r="C338" t="inlineStr">
        <is>
          <t xml:space="preserve"> Edollo</t>
        </is>
      </c>
      <c r="D338" t="n">
        <v>180</v>
      </c>
      <c r="E338" t="inlineStr">
        <is>
          <t xml:space="preserve"> Unisex</t>
        </is>
      </c>
      <c r="F338" t="n">
        <v>180</v>
      </c>
      <c r="G338" t="n">
        <v>178</v>
      </c>
      <c r="H338" t="n">
        <v>134</v>
      </c>
      <c r="I338" t="n">
        <v>159</v>
      </c>
      <c r="J338" t="n">
        <v>132</v>
      </c>
      <c r="K338" t="n">
        <v>97</v>
      </c>
      <c r="L338" t="n">
        <v>122</v>
      </c>
      <c r="M338" t="n">
        <v>20.4</v>
      </c>
      <c r="N338" t="n">
        <v>2021</v>
      </c>
      <c r="O338" t="n">
        <v>0.95</v>
      </c>
      <c r="P338" t="n">
        <v>1913</v>
      </c>
      <c r="Q338" t="n">
        <v>198</v>
      </c>
      <c r="R338" t="n">
        <v>87</v>
      </c>
      <c r="S338" t="n">
        <v>50</v>
      </c>
      <c r="T338" t="n">
        <v>266</v>
      </c>
      <c r="U338" t="n">
        <v>48</v>
      </c>
      <c r="V338" t="n">
        <v>172</v>
      </c>
      <c r="W338" t="n">
        <v>0.957</v>
      </c>
      <c r="X338" t="n">
        <v>87</v>
      </c>
      <c r="Y338" t="n">
        <v>98</v>
      </c>
      <c r="Z338" t="n">
        <v>179</v>
      </c>
      <c r="AA338" t="n">
        <v>8</v>
      </c>
      <c r="AB338" t="n">
        <v>3.2</v>
      </c>
      <c r="AC338" t="inlineStr">
        <is>
          <t xml:space="preserve"> Freeski</t>
        </is>
      </c>
      <c r="AG338" t="inlineStr">
        <is>
          <t>Armada Edollo Skis Â· 2022</t>
        </is>
      </c>
      <c r="AH338" t="inlineStr">
        <is>
          <t>Ski Pro  - Snow Ski &amp; Snowboard</t>
        </is>
      </c>
      <c r="AI338" s="333" t="n">
        <v>479.95</v>
      </c>
      <c r="AJ338" t="inlineStr">
        <is>
          <t>https://tinyurl.com/yanh4yrs</t>
        </is>
      </c>
      <c r="AK338" t="inlineStr">
        <is>
          <t>Armada Edollo Skis Â· 2022</t>
        </is>
      </c>
      <c r="AL338" t="inlineStr">
        <is>
          <t>Suburban Ski and Bike</t>
        </is>
      </c>
      <c r="AM338" s="333" t="n">
        <v>479.96</v>
      </c>
      <c r="AN338" t="inlineStr">
        <is>
          <t>https://tinyurl.com/ydxr9g85</t>
        </is>
      </c>
      <c r="AO338" t="inlineStr">
        <is>
          <t>Armada Edollo Skis Â· 2022</t>
        </is>
      </c>
      <c r="AP338" t="inlineStr">
        <is>
          <t>Powder7 Ski Shop</t>
        </is>
      </c>
      <c r="AQ338" s="333" t="n">
        <v>499.95</v>
      </c>
      <c r="AR338" t="inlineStr">
        <is>
          <t>https://tinyurl.com/ycsmh9bb</t>
        </is>
      </c>
      <c r="AS338" s="314">
        <f>IF(LEFT(C338,1)=" ",RIGHT(C338,LEN(C338)-1),C338)</f>
        <v/>
      </c>
      <c r="AT338" s="281">
        <f>_xlfn.CONCAT(B338,AS338,D338,E338)</f>
        <v/>
      </c>
    </row>
    <row r="339">
      <c r="A339" t="inlineStr">
        <is>
          <t>21/22</t>
        </is>
      </c>
      <c r="B339" t="inlineStr">
        <is>
          <t>K2</t>
        </is>
      </c>
      <c r="C339" t="inlineStr">
        <is>
          <t>Mindbender 85</t>
        </is>
      </c>
      <c r="D339" t="n">
        <v>170</v>
      </c>
      <c r="E339" t="inlineStr">
        <is>
          <t xml:space="preserve"> Unisex</t>
        </is>
      </c>
      <c r="F339" t="n">
        <v>170</v>
      </c>
      <c r="G339" t="n">
        <v>170.7</v>
      </c>
      <c r="H339" t="n">
        <v>124</v>
      </c>
      <c r="I339" t="n">
        <v>141</v>
      </c>
      <c r="J339" t="n">
        <v>129</v>
      </c>
      <c r="K339" t="n">
        <v>84</v>
      </c>
      <c r="L339" t="n">
        <v>112</v>
      </c>
      <c r="M339" t="n">
        <v>13.1</v>
      </c>
      <c r="N339" t="n">
        <v>1702</v>
      </c>
      <c r="O339" t="n">
        <v>1</v>
      </c>
      <c r="P339" t="n">
        <v>1694</v>
      </c>
      <c r="Q339" t="n">
        <v>181</v>
      </c>
      <c r="R339" t="n">
        <v>97</v>
      </c>
      <c r="S339" t="n">
        <v>45</v>
      </c>
      <c r="T339" t="n">
        <v>288</v>
      </c>
      <c r="U339" t="n">
        <v>15</v>
      </c>
      <c r="V339" t="n">
        <v>177</v>
      </c>
      <c r="W339" t="n">
        <v>0.337</v>
      </c>
      <c r="X339" t="n">
        <v>182</v>
      </c>
      <c r="Y339" t="n">
        <v>112</v>
      </c>
      <c r="Z339" t="n">
        <v>107</v>
      </c>
      <c r="AA339" t="n">
        <v>7</v>
      </c>
      <c r="AB339" t="n">
        <v>10.8</v>
      </c>
      <c r="AC339" t="inlineStr">
        <is>
          <t xml:space="preserve"> On-Piste All-Mountain</t>
        </is>
      </c>
      <c r="AD339" t="inlineStr">
        <is>
          <t xml:space="preserve"> Resort Freeride</t>
        </is>
      </c>
      <c r="AG339" t="inlineStr">
        <is>
          <t>K2 Mindbender 85 Skis 2020</t>
        </is>
      </c>
      <c r="AH339" t="inlineStr">
        <is>
          <t>Nomads</t>
        </is>
      </c>
      <c r="AI339" s="333" t="n">
        <v>320.68</v>
      </c>
      <c r="AJ339" t="inlineStr">
        <is>
          <t>https://tinyurl.com/y88ya7ln</t>
        </is>
      </c>
      <c r="AK339" t="inlineStr">
        <is>
          <t>K2 Mindbender 85 Alliance Skis</t>
        </is>
      </c>
      <c r="AL339" t="inlineStr">
        <is>
          <t>Curated</t>
        </is>
      </c>
      <c r="AM339" s="333" t="n">
        <v>399.95</v>
      </c>
      <c r="AN339" t="inlineStr">
        <is>
          <t>https://tinyurl.com/y9ykdwap</t>
        </is>
      </c>
      <c r="AO339" t="inlineStr">
        <is>
          <t>K2 Mindbender 85 Alliance Skis</t>
        </is>
      </c>
      <c r="AP339" t="inlineStr">
        <is>
          <t>SkiEssentials.com</t>
        </is>
      </c>
      <c r="AQ339" s="333" t="n">
        <v>399.95</v>
      </c>
      <c r="AR339" t="inlineStr">
        <is>
          <t>https://tinyurl.com/y9wgx7om</t>
        </is>
      </c>
      <c r="AS339" s="314">
        <f>IF(LEFT(C339,1)=" ",RIGHT(C339,LEN(C339)-1),C339)</f>
        <v/>
      </c>
      <c r="AT339" s="281">
        <f>_xlfn.CONCAT(B339,AS339,D339,E339)</f>
        <v/>
      </c>
    </row>
    <row r="340">
      <c r="A340" t="inlineStr">
        <is>
          <t>21/22</t>
        </is>
      </c>
      <c r="B340" t="inlineStr">
        <is>
          <t xml:space="preserve"> Black Crows</t>
        </is>
      </c>
      <c r="C340" t="inlineStr">
        <is>
          <t xml:space="preserve"> Atris</t>
        </is>
      </c>
      <c r="D340" t="n">
        <v>184.2</v>
      </c>
      <c r="E340" t="inlineStr">
        <is>
          <t xml:space="preserve"> Unisex</t>
        </is>
      </c>
      <c r="F340" t="n">
        <v>184.2</v>
      </c>
      <c r="G340" t="n">
        <v>182.7</v>
      </c>
      <c r="H340" t="n">
        <v>121</v>
      </c>
      <c r="I340" t="n">
        <v>148</v>
      </c>
      <c r="J340" t="n">
        <v>138</v>
      </c>
      <c r="K340" t="n">
        <v>107</v>
      </c>
      <c r="L340" t="n">
        <v>125</v>
      </c>
      <c r="M340" t="n">
        <v>20.4</v>
      </c>
      <c r="N340" t="n">
        <v>2066</v>
      </c>
      <c r="O340" t="n">
        <v>1.04</v>
      </c>
      <c r="P340" t="n">
        <v>2146</v>
      </c>
      <c r="Q340" t="n">
        <v>247</v>
      </c>
      <c r="R340" t="n">
        <v>99</v>
      </c>
      <c r="S340" t="n">
        <v>57</v>
      </c>
      <c r="T340" t="n">
        <v>356</v>
      </c>
      <c r="U340" t="n">
        <v>32</v>
      </c>
      <c r="V340" t="n">
        <v>260</v>
      </c>
      <c r="W340" t="n">
        <v>0.5600000000000001</v>
      </c>
      <c r="X340" t="n">
        <v>227</v>
      </c>
      <c r="Y340" t="n">
        <v>121</v>
      </c>
      <c r="Z340" t="n">
        <v>128</v>
      </c>
      <c r="AA340" t="n">
        <v>3</v>
      </c>
      <c r="AB340" t="n">
        <v>7.9</v>
      </c>
      <c r="AC340" t="inlineStr">
        <is>
          <t xml:space="preserve"> Powder</t>
        </is>
      </c>
      <c r="AG340" t="inlineStr">
        <is>
          <t>Black Crows Atris Skis 184cm 2020</t>
        </is>
      </c>
      <c r="AH340" t="inlineStr">
        <is>
          <t>Powder7 Ski Shop</t>
        </is>
      </c>
      <c r="AI340" s="333" t="n">
        <v>619.91</v>
      </c>
      <c r="AJ340" t="inlineStr">
        <is>
          <t>https://tinyurl.com/y9anjvwz</t>
        </is>
      </c>
      <c r="AK340" t="inlineStr">
        <is>
          <t>Black Crows Atris Skis</t>
        </is>
      </c>
      <c r="AL340" t="inlineStr">
        <is>
          <t>Curated</t>
        </is>
      </c>
      <c r="AM340" s="333" t="n">
        <v>671</v>
      </c>
      <c r="AN340" t="inlineStr">
        <is>
          <t>https://tinyurl.com/y984nshl</t>
        </is>
      </c>
      <c r="AO340" t="inlineStr">
        <is>
          <t>Black Crows Atris Skis</t>
        </is>
      </c>
      <c r="AP340" t="inlineStr">
        <is>
          <t>Next Adventure</t>
        </is>
      </c>
      <c r="AQ340" s="333" t="n">
        <v>671.96</v>
      </c>
      <c r="AR340" t="inlineStr">
        <is>
          <t>https://tinyurl.com/ycrf9maf</t>
        </is>
      </c>
      <c r="AS340" s="314">
        <f>IF(LEFT(C340,1)=" ",RIGHT(C340,LEN(C340)-1),C340)</f>
        <v/>
      </c>
      <c r="AT340" s="281">
        <f>_xlfn.CONCAT(B340,AS340,D340,E340)</f>
        <v/>
      </c>
    </row>
    <row r="341">
      <c r="A341" t="inlineStr">
        <is>
          <t>21/22</t>
        </is>
      </c>
      <c r="B341" t="inlineStr">
        <is>
          <t xml:space="preserve"> Rossignol</t>
        </is>
      </c>
      <c r="C341" t="inlineStr">
        <is>
          <t>Nova 10 Ti</t>
        </is>
      </c>
      <c r="D341" t="n">
        <v>160</v>
      </c>
      <c r="E341" t="inlineStr">
        <is>
          <t xml:space="preserve"> Women's</t>
        </is>
      </c>
      <c r="F341" t="n">
        <v>160</v>
      </c>
      <c r="G341" t="n">
        <v>158.7</v>
      </c>
      <c r="H341" t="n">
        <v>135</v>
      </c>
      <c r="I341" t="n">
        <v>145</v>
      </c>
      <c r="J341" t="n">
        <v>122</v>
      </c>
      <c r="K341" t="n">
        <v>73</v>
      </c>
      <c r="L341" t="n">
        <v>108</v>
      </c>
      <c r="M341" t="n">
        <v>12.3</v>
      </c>
      <c r="N341" t="n">
        <v>1660</v>
      </c>
      <c r="O341" t="n">
        <v>0.85</v>
      </c>
      <c r="P341" t="n">
        <v>1414</v>
      </c>
      <c r="Q341" t="n">
        <v>171</v>
      </c>
      <c r="R341" t="n">
        <v>72</v>
      </c>
      <c r="S341" t="n">
        <v>39</v>
      </c>
      <c r="T341" t="n">
        <v>169</v>
      </c>
      <c r="U341" t="n">
        <v>5</v>
      </c>
      <c r="V341" t="n">
        <v>67</v>
      </c>
      <c r="W341" t="n">
        <v>0.119</v>
      </c>
      <c r="X341" t="n">
        <v>80</v>
      </c>
      <c r="Y341" t="n">
        <v>61</v>
      </c>
      <c r="Z341" t="n">
        <v>90</v>
      </c>
      <c r="AA341" t="n">
        <v>9</v>
      </c>
      <c r="AB341" t="n">
        <v>9.4</v>
      </c>
      <c r="AC341" t="inlineStr">
        <is>
          <t xml:space="preserve"> On-Piste Carving</t>
        </is>
      </c>
      <c r="AG341" t="inlineStr">
        <is>
          <t>Rossignol Nova 10 Ti Xpress W 11 GW Women's Skis, 160cm Black Sparkle 2020</t>
        </is>
      </c>
      <c r="AH341" t="inlineStr">
        <is>
          <t>Absolute-Snow.co.uk</t>
        </is>
      </c>
      <c r="AI341" s="333" t="n">
        <v>520.67</v>
      </c>
      <c r="AJ341" t="inlineStr">
        <is>
          <t>https://tinyurl.com/ybydhwem</t>
        </is>
      </c>
      <c r="AK341" t="inlineStr">
        <is>
          <t>Rossignol Experience 76 Skis w/ Look Xpress 10 GW Bindings</t>
        </is>
      </c>
      <c r="AL341" t="inlineStr">
        <is>
          <t>The-House.com</t>
        </is>
      </c>
      <c r="AM341" s="333" t="n">
        <v>319.95</v>
      </c>
      <c r="AN341" t="inlineStr">
        <is>
          <t>https://tinyurl.com/y8yebqqo</t>
        </is>
      </c>
      <c r="AO341" t="inlineStr">
        <is>
          <t>Rossignol Blackops Smasher Skis w/ Look Xpress 10 GW Bindings</t>
        </is>
      </c>
      <c r="AP341" t="inlineStr">
        <is>
          <t>sunandski.com</t>
        </is>
      </c>
      <c r="AQ341" s="333" t="n">
        <v>359.93</v>
      </c>
      <c r="AR341" t="inlineStr">
        <is>
          <t>https://tinyurl.com/ydg9xnd4</t>
        </is>
      </c>
      <c r="AS341" s="314">
        <f>IF(LEFT(C341,1)=" ",RIGHT(C341,LEN(C341)-1),C341)</f>
        <v/>
      </c>
      <c r="AT341" s="281">
        <f>_xlfn.CONCAT(B341,AS341,D341,E341)</f>
        <v/>
      </c>
    </row>
    <row r="342">
      <c r="A342" t="inlineStr">
        <is>
          <t>21/22</t>
        </is>
      </c>
      <c r="B342" t="inlineStr">
        <is>
          <t xml:space="preserve"> Elan</t>
        </is>
      </c>
      <c r="C342" t="inlineStr">
        <is>
          <t>Ripstick 106</t>
        </is>
      </c>
      <c r="D342" t="n">
        <v>180</v>
      </c>
      <c r="E342" t="inlineStr">
        <is>
          <t xml:space="preserve"> Unisex</t>
        </is>
      </c>
      <c r="F342" t="n">
        <v>180</v>
      </c>
      <c r="G342" t="n">
        <v>177.3</v>
      </c>
      <c r="H342" t="n">
        <v>125</v>
      </c>
      <c r="I342" t="n">
        <v>142</v>
      </c>
      <c r="J342" t="n">
        <v>143</v>
      </c>
      <c r="K342" t="n">
        <v>104</v>
      </c>
      <c r="L342" t="n">
        <v>119</v>
      </c>
      <c r="M342" t="n">
        <v>18.3</v>
      </c>
      <c r="N342" t="n">
        <v>1799</v>
      </c>
      <c r="O342" t="n">
        <v>1.14</v>
      </c>
      <c r="P342" t="n">
        <v>2050</v>
      </c>
      <c r="Q342" t="n">
        <v>242</v>
      </c>
      <c r="R342" t="n">
        <v>109</v>
      </c>
      <c r="S342" t="n">
        <v>52</v>
      </c>
      <c r="T342" t="n">
        <v>310</v>
      </c>
      <c r="U342" t="n">
        <v>17</v>
      </c>
      <c r="V342" t="n">
        <v>213</v>
      </c>
      <c r="W342" t="n">
        <v>0.324</v>
      </c>
      <c r="X342" t="n">
        <v>176</v>
      </c>
      <c r="Y342" t="n">
        <v>180</v>
      </c>
      <c r="Z342" t="n">
        <v>134</v>
      </c>
      <c r="AA342" t="n">
        <v>4</v>
      </c>
      <c r="AB342" t="n">
        <v>10</v>
      </c>
      <c r="AC342" t="inlineStr">
        <is>
          <t xml:space="preserve"> Resort Freeride</t>
        </is>
      </c>
      <c r="AD342" t="inlineStr">
        <is>
          <t xml:space="preserve"> Big Mountain</t>
        </is>
      </c>
      <c r="AE342" t="inlineStr">
        <is>
          <t xml:space="preserve"> Touring</t>
        </is>
      </c>
      <c r="AG342" t="inlineStr">
        <is>
          <t>Elan Ripstick 106 Skis</t>
        </is>
      </c>
      <c r="AH342" t="inlineStr">
        <is>
          <t>Gorham Bike and Ski</t>
        </is>
      </c>
      <c r="AI342" s="333" t="n">
        <v>489.99</v>
      </c>
      <c r="AJ342" t="inlineStr">
        <is>
          <t>https://tinyurl.com/y7lehd5y</t>
        </is>
      </c>
      <c r="AK342" t="inlineStr">
        <is>
          <t>Elan Ripstick 106 Flat Ski 2020-2021 | BLUE YEL / 180</t>
        </is>
      </c>
      <c r="AL342" t="inlineStr">
        <is>
          <t>Ski Pro  - Snow Ski &amp; Snowboard</t>
        </is>
      </c>
      <c r="AM342" s="333" t="n">
        <v>499.95</v>
      </c>
      <c r="AN342" t="inlineStr">
        <is>
          <t>https://tinyurl.com/ybr8pubu</t>
        </is>
      </c>
      <c r="AO342" t="inlineStr">
        <is>
          <t>Elan Ripstick 106 - Ski - 2022 180</t>
        </is>
      </c>
      <c r="AP342" t="inlineStr">
        <is>
          <t>AJ Motion Sports</t>
        </is>
      </c>
      <c r="AQ342" s="333" t="n">
        <v>524.99</v>
      </c>
      <c r="AR342" t="inlineStr">
        <is>
          <t>https://tinyurl.com/y7zlzslt</t>
        </is>
      </c>
      <c r="AS342" s="314">
        <f>IF(LEFT(C342,1)=" ",RIGHT(C342,LEN(C342)-1),C342)</f>
        <v/>
      </c>
      <c r="AT342" s="281">
        <f>_xlfn.CONCAT(B342,AS342,D342,E342)</f>
        <v/>
      </c>
    </row>
    <row r="343">
      <c r="A343" t="inlineStr">
        <is>
          <t>21/22</t>
        </is>
      </c>
      <c r="B343" t="inlineStr">
        <is>
          <t xml:space="preserve"> Black Diamond</t>
        </is>
      </c>
      <c r="C343" t="inlineStr">
        <is>
          <t>Impulse 104</t>
        </is>
      </c>
      <c r="D343" t="n">
        <v>172</v>
      </c>
      <c r="E343" t="inlineStr">
        <is>
          <t xml:space="preserve"> Unisex</t>
        </is>
      </c>
      <c r="F343" t="n">
        <v>172</v>
      </c>
      <c r="G343" t="n">
        <v>172.7</v>
      </c>
      <c r="H343" t="n">
        <v>124</v>
      </c>
      <c r="I343" t="n">
        <v>135</v>
      </c>
      <c r="J343" t="n">
        <v>134</v>
      </c>
      <c r="K343" t="n">
        <v>103</v>
      </c>
      <c r="L343" t="n">
        <v>122</v>
      </c>
      <c r="M343" t="n">
        <v>17</v>
      </c>
      <c r="N343" t="n">
        <v>1822</v>
      </c>
      <c r="O343" t="n">
        <v>1.07</v>
      </c>
      <c r="P343" t="n">
        <v>1948</v>
      </c>
      <c r="Q343" t="n">
        <v>186</v>
      </c>
      <c r="R343" t="n">
        <v>82</v>
      </c>
      <c r="S343" t="n">
        <v>40</v>
      </c>
      <c r="T343" t="n">
        <v>282</v>
      </c>
      <c r="U343" t="n">
        <v>22</v>
      </c>
      <c r="V343" t="n">
        <v>205</v>
      </c>
      <c r="W343" t="n">
        <v>0.553999999999999</v>
      </c>
      <c r="X343" t="n">
        <v>232</v>
      </c>
      <c r="Y343" t="n">
        <v>147</v>
      </c>
      <c r="Z343" t="n">
        <v>50</v>
      </c>
      <c r="AA343" t="n">
        <v>7</v>
      </c>
      <c r="AB343" t="n">
        <v>8.9</v>
      </c>
      <c r="AC343" t="inlineStr">
        <is>
          <t xml:space="preserve"> Resort Freeride</t>
        </is>
      </c>
      <c r="AD343" t="inlineStr">
        <is>
          <t xml:space="preserve"> Powder</t>
        </is>
      </c>
      <c r="AE343" t="inlineStr">
        <is>
          <t xml:space="preserve"> Touring</t>
        </is>
      </c>
      <c r="AG343" t="inlineStr">
        <is>
          <t>Black Diamond Impulse 104 Skis</t>
        </is>
      </c>
      <c r="AH343" t="inlineStr">
        <is>
          <t>Telemark Pyrenees</t>
        </is>
      </c>
      <c r="AI343" s="333" t="n">
        <v>439.98</v>
      </c>
      <c r="AJ343" t="inlineStr">
        <is>
          <t>https://tinyurl.com/y8xb3gog</t>
        </is>
      </c>
      <c r="AK343" t="inlineStr">
        <is>
          <t>Black Diamond Impulse 104 Skis</t>
        </is>
      </c>
      <c r="AL343" t="inlineStr">
        <is>
          <t>Snowcountry.eu</t>
        </is>
      </c>
      <c r="AM343" s="333" t="n">
        <v>479.47</v>
      </c>
      <c r="AN343" t="inlineStr">
        <is>
          <t>https://tinyurl.com/y952ycc5</t>
        </is>
      </c>
      <c r="AO343" t="inlineStr">
        <is>
          <t>Black Diamond Impulse 104 Skis</t>
        </is>
      </c>
      <c r="AP343" t="inlineStr">
        <is>
          <t>Bobleisure</t>
        </is>
      </c>
      <c r="AQ343" s="333" t="n">
        <v>574.24</v>
      </c>
      <c r="AR343" t="inlineStr">
        <is>
          <t>https://tinyurl.com/yb3c2wlt</t>
        </is>
      </c>
      <c r="AS343" s="314">
        <f>IF(LEFT(C343,1)=" ",RIGHT(C343,LEN(C343)-1),C343)</f>
        <v/>
      </c>
      <c r="AT343" s="281">
        <f>_xlfn.CONCAT(B343,AS343,D343,E343)</f>
        <v/>
      </c>
    </row>
    <row r="344">
      <c r="A344" t="inlineStr">
        <is>
          <t>21/22</t>
        </is>
      </c>
      <c r="B344" t="inlineStr">
        <is>
          <t xml:space="preserve"> Dynastar</t>
        </is>
      </c>
      <c r="C344" t="inlineStr">
        <is>
          <t>M-Free 99</t>
        </is>
      </c>
      <c r="D344" t="n">
        <v>185</v>
      </c>
      <c r="E344" t="inlineStr">
        <is>
          <t xml:space="preserve"> Unisex</t>
        </is>
      </c>
      <c r="F344" t="n">
        <v>185</v>
      </c>
      <c r="G344" t="n">
        <v>184.2</v>
      </c>
      <c r="H344" t="n">
        <v>112</v>
      </c>
      <c r="I344" t="n">
        <v>149</v>
      </c>
      <c r="J344" t="n">
        <v>127</v>
      </c>
      <c r="K344" t="n">
        <v>96</v>
      </c>
      <c r="L344" t="n">
        <v>119</v>
      </c>
      <c r="M344" t="n">
        <v>17.9</v>
      </c>
      <c r="N344" t="n">
        <v>1999</v>
      </c>
      <c r="O344" t="n">
        <v>0.98</v>
      </c>
      <c r="P344" t="n">
        <v>1968</v>
      </c>
      <c r="Q344" t="n">
        <v>242</v>
      </c>
      <c r="R344" t="n">
        <v>114</v>
      </c>
      <c r="S344" t="n">
        <v>59</v>
      </c>
      <c r="T344" t="n">
        <v>341</v>
      </c>
      <c r="U344" t="n">
        <v>60</v>
      </c>
      <c r="V344" t="n">
        <v>382</v>
      </c>
      <c r="W344" t="n">
        <v>1.028</v>
      </c>
      <c r="X344" t="n">
        <v>184</v>
      </c>
      <c r="Y344" t="n">
        <v>170</v>
      </c>
      <c r="Z344" t="n">
        <v>157</v>
      </c>
      <c r="AA344" t="n">
        <v>7</v>
      </c>
      <c r="AB344" t="n">
        <v>6.5</v>
      </c>
      <c r="AC344" t="inlineStr">
        <is>
          <t xml:space="preserve"> Freeski</t>
        </is>
      </c>
      <c r="AG344" t="inlineStr">
        <is>
          <t>Dynastar M-Free 99 Skis 2022</t>
        </is>
      </c>
      <c r="AH344" t="inlineStr">
        <is>
          <t>Snowcountry.eu</t>
        </is>
      </c>
      <c r="AI344" s="333" t="n">
        <v>367.9</v>
      </c>
      <c r="AJ344" t="inlineStr">
        <is>
          <t>https://tinyurl.com/ybxhc3dm</t>
        </is>
      </c>
      <c r="AK344" t="inlineStr">
        <is>
          <t>Dynastar M-Free 99 Skis 2022</t>
        </is>
      </c>
      <c r="AL344" t="inlineStr">
        <is>
          <t>Next Adventure</t>
        </is>
      </c>
      <c r="AM344" s="333" t="n">
        <v>419.97</v>
      </c>
      <c r="AN344" t="inlineStr">
        <is>
          <t>https://tinyurl.com/yc4dx8tc</t>
        </is>
      </c>
      <c r="AO344" t="inlineStr">
        <is>
          <t>Dynastar M-Free 99 Skis 2022</t>
        </is>
      </c>
      <c r="AP344" t="inlineStr">
        <is>
          <t>Level Nine Sports</t>
        </is>
      </c>
      <c r="AQ344" s="333" t="n">
        <v>479.96</v>
      </c>
      <c r="AR344" t="inlineStr">
        <is>
          <t>https://tinyurl.com/y89ggejs</t>
        </is>
      </c>
      <c r="AS344" s="314">
        <f>IF(LEFT(C344,1)=" ",RIGHT(C344,LEN(C344)-1),C344)</f>
        <v/>
      </c>
      <c r="AT344" s="281">
        <f>_xlfn.CONCAT(B344,AS344,D344,E344)</f>
        <v/>
      </c>
    </row>
    <row r="345">
      <c r="A345" t="inlineStr">
        <is>
          <t>21/22</t>
        </is>
      </c>
      <c r="B345" t="inlineStr">
        <is>
          <t xml:space="preserve"> Rossignol</t>
        </is>
      </c>
      <c r="C345" t="inlineStr">
        <is>
          <t xml:space="preserve"> Blackops Blazer W</t>
        </is>
      </c>
      <c r="D345" t="n">
        <v>170</v>
      </c>
      <c r="E345" t="inlineStr">
        <is>
          <t xml:space="preserve"> Women's</t>
        </is>
      </c>
      <c r="F345" t="n">
        <v>170</v>
      </c>
      <c r="G345" t="n">
        <v>169</v>
      </c>
      <c r="H345" t="n">
        <v>120</v>
      </c>
      <c r="I345" t="n">
        <v>146</v>
      </c>
      <c r="J345" t="n">
        <v>130</v>
      </c>
      <c r="K345" t="n">
        <v>97</v>
      </c>
      <c r="L345" t="n">
        <v>120</v>
      </c>
      <c r="M345" t="n">
        <v>16.7</v>
      </c>
      <c r="N345" t="n">
        <v>1920</v>
      </c>
      <c r="O345" t="n">
        <v>0.95</v>
      </c>
      <c r="P345" t="n">
        <v>1827</v>
      </c>
      <c r="Q345" t="n">
        <v>205</v>
      </c>
      <c r="R345" t="n">
        <v>115</v>
      </c>
      <c r="S345" t="n">
        <v>56</v>
      </c>
      <c r="T345" t="n">
        <v>264</v>
      </c>
      <c r="U345" t="n">
        <v>36</v>
      </c>
      <c r="V345" t="n">
        <v>230</v>
      </c>
      <c r="W345" t="n">
        <v>0.637</v>
      </c>
      <c r="X345" t="n">
        <v>134</v>
      </c>
      <c r="Y345" t="n">
        <v>100</v>
      </c>
      <c r="Z345" t="n">
        <v>130</v>
      </c>
      <c r="AA345" t="n">
        <v>6</v>
      </c>
      <c r="AB345" t="n">
        <v>4.9</v>
      </c>
      <c r="AC345" t="inlineStr">
        <is>
          <t xml:space="preserve"> Resort Freeride</t>
        </is>
      </c>
      <c r="AG345" t="inlineStr">
        <is>
          <t>Rossignol Blackops W Blazer Skis - Women's 2021</t>
        </is>
      </c>
      <c r="AH345" t="inlineStr">
        <is>
          <t>Snowcountry.eu</t>
        </is>
      </c>
      <c r="AI345" s="333" t="n">
        <v>387.23</v>
      </c>
      <c r="AJ345" t="inlineStr">
        <is>
          <t>https://tinyurl.com/ya3v7d77</t>
        </is>
      </c>
      <c r="AK345" t="inlineStr">
        <is>
          <t>Rossignol Blackops W Blazer Skis - Women's 2021</t>
        </is>
      </c>
      <c r="AL345" t="inlineStr">
        <is>
          <t>SkatePro.com</t>
        </is>
      </c>
      <c r="AM345" s="333" t="n">
        <v>549.95</v>
      </c>
      <c r="AN345" t="inlineStr">
        <is>
          <t>https://tinyurl.com/y939mka5</t>
        </is>
      </c>
      <c r="AO345" t="inlineStr">
        <is>
          <t>Rossignol Blackops W Blazer Skis - Women's 2021</t>
        </is>
      </c>
      <c r="AP345" t="inlineStr">
        <is>
          <t>Powder7 Ski Shop</t>
        </is>
      </c>
      <c r="AQ345" s="333" t="n">
        <v>559.95</v>
      </c>
      <c r="AR345" t="inlineStr">
        <is>
          <t>https://tinyurl.com/yc9vuasm</t>
        </is>
      </c>
      <c r="AS345" s="314">
        <f>IF(LEFT(C345,1)=" ",RIGHT(C345,LEN(C345)-1),C345)</f>
        <v/>
      </c>
      <c r="AT345" s="281">
        <f>_xlfn.CONCAT(B345,AS345,D345,E345)</f>
        <v/>
      </c>
    </row>
    <row r="346">
      <c r="A346" t="inlineStr">
        <is>
          <t>21/22</t>
        </is>
      </c>
      <c r="B346" t="inlineStr">
        <is>
          <t xml:space="preserve"> Raccoon</t>
        </is>
      </c>
      <c r="C346" t="inlineStr">
        <is>
          <t xml:space="preserve"> Le Grizzly</t>
        </is>
      </c>
      <c r="D346" t="n">
        <v>172</v>
      </c>
      <c r="E346" t="inlineStr">
        <is>
          <t xml:space="preserve"> Unisex</t>
        </is>
      </c>
      <c r="F346" t="n">
        <v>172</v>
      </c>
      <c r="G346" t="n">
        <v>170.4</v>
      </c>
      <c r="H346" t="n">
        <v>107</v>
      </c>
      <c r="I346" t="n">
        <v>142</v>
      </c>
      <c r="J346" t="n">
        <v>129</v>
      </c>
      <c r="K346" t="n">
        <v>98</v>
      </c>
      <c r="L346" t="n">
        <v>120</v>
      </c>
      <c r="M346" t="n">
        <v>17.3</v>
      </c>
      <c r="N346" t="n">
        <v>1585</v>
      </c>
      <c r="O346" t="n">
        <v>1.18</v>
      </c>
      <c r="P346" t="n">
        <v>1866</v>
      </c>
      <c r="Q346" t="n">
        <v>176</v>
      </c>
      <c r="R346" t="n">
        <v>81</v>
      </c>
      <c r="S346" t="n">
        <v>66</v>
      </c>
      <c r="T346" t="n">
        <v>384</v>
      </c>
      <c r="U346" t="n">
        <v>27</v>
      </c>
      <c r="V346" t="n">
        <v>245</v>
      </c>
      <c r="W346" t="n">
        <v>0.409</v>
      </c>
      <c r="X346" t="n">
        <v>164</v>
      </c>
      <c r="Y346" t="n">
        <v>124</v>
      </c>
      <c r="Z346" t="n">
        <v>220</v>
      </c>
      <c r="AA346" t="n">
        <v>5</v>
      </c>
      <c r="AB346" t="n">
        <v>10.8</v>
      </c>
      <c r="AC346" t="inlineStr">
        <is>
          <t xml:space="preserve"> Resort Freeride</t>
        </is>
      </c>
      <c r="AD346" t="inlineStr">
        <is>
          <t xml:space="preserve"> Touring</t>
        </is>
      </c>
      <c r="AS346" s="314">
        <f>IF(LEFT(C346,1)=" ",RIGHT(C346,LEN(C346)-1),C346)</f>
        <v/>
      </c>
      <c r="AT346" s="281">
        <f>_xlfn.CONCAT(B346,AS346,D346,E346)</f>
        <v/>
      </c>
    </row>
    <row r="347">
      <c r="A347" t="inlineStr">
        <is>
          <t>21/22</t>
        </is>
      </c>
      <c r="B347" t="inlineStr">
        <is>
          <t xml:space="preserve"> Salomon</t>
        </is>
      </c>
      <c r="C347" t="inlineStr">
        <is>
          <t>QST 99</t>
        </is>
      </c>
      <c r="D347" t="n">
        <v>167</v>
      </c>
      <c r="E347" t="inlineStr">
        <is>
          <t xml:space="preserve"> Unisex</t>
        </is>
      </c>
      <c r="F347" t="n">
        <v>167</v>
      </c>
      <c r="G347" t="n">
        <v>166</v>
      </c>
      <c r="H347" t="n">
        <v>130</v>
      </c>
      <c r="I347" t="n">
        <v>130</v>
      </c>
      <c r="J347" t="n">
        <v>133</v>
      </c>
      <c r="K347" t="n">
        <v>98</v>
      </c>
      <c r="L347" t="n">
        <v>116</v>
      </c>
      <c r="M347" t="n">
        <v>14</v>
      </c>
      <c r="N347" t="n">
        <v>1882</v>
      </c>
      <c r="O347" t="n">
        <v>0.97</v>
      </c>
      <c r="P347" t="n">
        <v>1828</v>
      </c>
      <c r="Q347" t="n">
        <v>191</v>
      </c>
      <c r="R347" t="n">
        <v>88</v>
      </c>
      <c r="S347" t="n">
        <v>51</v>
      </c>
      <c r="T347" t="n">
        <v>194</v>
      </c>
      <c r="U347" t="n">
        <v>19</v>
      </c>
      <c r="V347" t="n">
        <v>169</v>
      </c>
      <c r="W347" t="n">
        <v>0.375</v>
      </c>
      <c r="X347" t="n">
        <v>212</v>
      </c>
      <c r="Y347" t="n">
        <v>153</v>
      </c>
      <c r="Z347" t="n">
        <v>-18</v>
      </c>
      <c r="AA347" t="n">
        <v>14</v>
      </c>
      <c r="AB347" t="n">
        <v>8.6</v>
      </c>
      <c r="AC347" t="inlineStr">
        <is>
          <t xml:space="preserve"> Resort Freeride</t>
        </is>
      </c>
      <c r="AG347" t="inlineStr">
        <is>
          <t>2019 Salomon Qst 99 167cm W/ Marker Fdt 10 Binding</t>
        </is>
      </c>
      <c r="AH347" t="inlineStr">
        <is>
          <t>eBay - riverpirate999</t>
        </is>
      </c>
      <c r="AI347" s="333" t="n">
        <v>279</v>
      </c>
      <c r="AJ347" t="inlineStr">
        <is>
          <t>https://tinyurl.com/ybtj5635</t>
        </is>
      </c>
      <c r="AK347" t="inlineStr">
        <is>
          <t xml:space="preserve"> 2017 Salomon QST 99 Demo Ski with Bindings Size 167 (Option 210696)</t>
        </is>
      </c>
      <c r="AL347" t="inlineStr">
        <is>
          <t>SidelineSwap</t>
        </is>
      </c>
      <c r="AM347" s="333" t="n">
        <v>323</v>
      </c>
      <c r="AN347" t="inlineStr">
        <is>
          <t>https://tinyurl.com/ycg9jcfr</t>
        </is>
      </c>
      <c r="AO347" t="inlineStr">
        <is>
          <t>Salomon QST 99 Skis</t>
        </is>
      </c>
      <c r="AP347" t="inlineStr">
        <is>
          <t>Absolute-Snow.co.uk</t>
        </is>
      </c>
      <c r="AQ347" s="333" t="n">
        <v>358.94</v>
      </c>
      <c r="AR347" t="inlineStr">
        <is>
          <t>https://tinyurl.com/yaq4auka</t>
        </is>
      </c>
      <c r="AS347" s="314">
        <f>IF(LEFT(C347,1)=" ",RIGHT(C347,LEN(C347)-1),C347)</f>
        <v/>
      </c>
      <c r="AT347" s="281">
        <f>_xlfn.CONCAT(B347,AS347,D347,E347)</f>
        <v/>
      </c>
    </row>
    <row r="348">
      <c r="A348" t="inlineStr">
        <is>
          <t>21/22</t>
        </is>
      </c>
      <c r="B348" t="inlineStr">
        <is>
          <t xml:space="preserve"> Salomon</t>
        </is>
      </c>
      <c r="C348" t="inlineStr">
        <is>
          <t>MTN Explore 95</t>
        </is>
      </c>
      <c r="D348" t="n">
        <v>169</v>
      </c>
      <c r="E348" t="inlineStr">
        <is>
          <t xml:space="preserve"> Unisex</t>
        </is>
      </c>
      <c r="F348" t="n">
        <v>169</v>
      </c>
      <c r="G348" t="n">
        <v>168.7</v>
      </c>
      <c r="H348" t="n">
        <v>125</v>
      </c>
      <c r="I348" t="n">
        <v>140</v>
      </c>
      <c r="J348" t="n">
        <v>128</v>
      </c>
      <c r="K348" t="n">
        <v>94</v>
      </c>
      <c r="L348" t="n">
        <v>115</v>
      </c>
      <c r="M348" t="n">
        <v>16.6</v>
      </c>
      <c r="N348" t="n">
        <v>1450</v>
      </c>
      <c r="O348" t="n">
        <v>1.23</v>
      </c>
      <c r="P348" t="n">
        <v>1780</v>
      </c>
      <c r="Q348" t="n">
        <v>169</v>
      </c>
      <c r="R348" t="n">
        <v>67</v>
      </c>
      <c r="S348" t="n">
        <v>55</v>
      </c>
      <c r="T348" t="n">
        <v>321</v>
      </c>
      <c r="U348" t="n">
        <v>7</v>
      </c>
      <c r="V348" t="n">
        <v>115</v>
      </c>
      <c r="W348" t="n">
        <v>0.119</v>
      </c>
      <c r="X348" t="n">
        <v>181</v>
      </c>
      <c r="Y348" t="n">
        <v>111</v>
      </c>
      <c r="Z348" t="n">
        <v>140</v>
      </c>
      <c r="AA348" t="n">
        <v>4</v>
      </c>
      <c r="AB348" t="n">
        <v>10.6</v>
      </c>
      <c r="AC348" t="inlineStr">
        <is>
          <t xml:space="preserve"> Resort Freeride</t>
        </is>
      </c>
      <c r="AD348" t="inlineStr">
        <is>
          <t xml:space="preserve"> Touring</t>
        </is>
      </c>
      <c r="AG348" t="inlineStr">
        <is>
          <t>Salomon MTN Explore 95</t>
        </is>
      </c>
      <c r="AH348" t="inlineStr">
        <is>
          <t>Level Nine Sports</t>
        </is>
      </c>
      <c r="AI348" s="333" t="n">
        <v>559.99</v>
      </c>
      <c r="AJ348" t="inlineStr">
        <is>
          <t>https://tinyurl.com/y9w7uwfh</t>
        </is>
      </c>
      <c r="AK348" t="inlineStr">
        <is>
          <t>Salomon MTN Explore 95</t>
        </is>
      </c>
      <c r="AL348" t="inlineStr">
        <is>
          <t>Next Adventure</t>
        </is>
      </c>
      <c r="AM348" s="333" t="n">
        <v>559.99</v>
      </c>
      <c r="AN348" t="inlineStr">
        <is>
          <t>https://tinyurl.com/y9e7p8a5</t>
        </is>
      </c>
      <c r="AO348" t="inlineStr">
        <is>
          <t>Salomon MTN Explore 95</t>
        </is>
      </c>
      <c r="AP348" t="inlineStr">
        <is>
          <t>Alpine Options</t>
        </is>
      </c>
      <c r="AQ348" s="333" t="n">
        <v>559.99</v>
      </c>
      <c r="AR348" t="inlineStr">
        <is>
          <t>https://tinyurl.com/y7sq458w</t>
        </is>
      </c>
      <c r="AS348" s="314">
        <f>IF(LEFT(C348,1)=" ",RIGHT(C348,LEN(C348)-1),C348)</f>
        <v/>
      </c>
      <c r="AT348" s="281">
        <f>_xlfn.CONCAT(B348,AS348,D348,E348)</f>
        <v/>
      </c>
    </row>
    <row r="349">
      <c r="A349" t="inlineStr">
        <is>
          <t>21/22</t>
        </is>
      </c>
      <c r="B349" t="inlineStr">
        <is>
          <t xml:space="preserve"> Nordica</t>
        </is>
      </c>
      <c r="C349" t="inlineStr">
        <is>
          <t>Santa Ana 93</t>
        </is>
      </c>
      <c r="D349" t="n">
        <v>158</v>
      </c>
      <c r="E349" t="inlineStr">
        <is>
          <t xml:space="preserve"> Women's</t>
        </is>
      </c>
      <c r="F349" t="n">
        <v>158</v>
      </c>
      <c r="G349" t="n">
        <v>157.2</v>
      </c>
      <c r="H349" t="n">
        <v>111</v>
      </c>
      <c r="I349" t="n">
        <v>128</v>
      </c>
      <c r="J349" t="n">
        <v>126</v>
      </c>
      <c r="K349" t="n">
        <v>93</v>
      </c>
      <c r="L349" t="n">
        <v>112</v>
      </c>
      <c r="M349" t="n">
        <v>14.3</v>
      </c>
      <c r="N349" t="n">
        <v>1755</v>
      </c>
      <c r="O349" t="n">
        <v>0.93</v>
      </c>
      <c r="P349" t="n">
        <v>1634</v>
      </c>
      <c r="Q349" t="n">
        <v>173</v>
      </c>
      <c r="R349" t="n">
        <v>97</v>
      </c>
      <c r="S349" t="n">
        <v>60</v>
      </c>
      <c r="T349" t="n">
        <v>270</v>
      </c>
      <c r="U349" t="n">
        <v>18</v>
      </c>
      <c r="V349" t="n">
        <v>193</v>
      </c>
      <c r="W349" t="n">
        <v>0.303</v>
      </c>
      <c r="X349" t="n">
        <v>150</v>
      </c>
      <c r="Y349" t="n">
        <v>143</v>
      </c>
      <c r="Z349" t="n">
        <v>120</v>
      </c>
      <c r="AA349" t="n">
        <v>6</v>
      </c>
      <c r="AB349" t="n">
        <v>8.699999999999999</v>
      </c>
      <c r="AC349" t="inlineStr">
        <is>
          <t xml:space="preserve"> Resort Freeride</t>
        </is>
      </c>
      <c r="AG349" t="inlineStr">
        <is>
          <t>Nordica Enforcer 88 / Santa Ana 93 Ski Skins - 2022 158 cm</t>
        </is>
      </c>
      <c r="AH349" t="inlineStr">
        <is>
          <t>Arlberg Ski &amp; Surf Shops</t>
        </is>
      </c>
      <c r="AI349" s="333" t="n">
        <v>209.95</v>
      </c>
      <c r="AJ349" t="inlineStr">
        <is>
          <t>https://tinyurl.com/ya6c4cfj</t>
        </is>
      </c>
      <c r="AK349" t="inlineStr">
        <is>
          <t>Nordica Santa Ana 93 Alpine Skis 2022 - - 158 cm</t>
        </is>
      </c>
      <c r="AL349" t="inlineStr">
        <is>
          <t>Skirack</t>
        </is>
      </c>
      <c r="AM349" s="333" t="n">
        <v>559.99</v>
      </c>
      <c r="AN349" t="inlineStr">
        <is>
          <t>https://tinyurl.com/ya7xblja</t>
        </is>
      </c>
      <c r="AO349" t="inlineStr">
        <is>
          <t>Nordica Santa Ana 93 Skis 2022 - 158cm</t>
        </is>
      </c>
      <c r="AP349" t="inlineStr">
        <is>
          <t>ColoradoSkiShop.com</t>
        </is>
      </c>
      <c r="AQ349" s="333" t="n">
        <v>559.99</v>
      </c>
      <c r="AR349" t="inlineStr">
        <is>
          <t>https://tinyurl.com/y7bxxs4s</t>
        </is>
      </c>
      <c r="AS349" s="314">
        <f>IF(LEFT(C349,1)=" ",RIGHT(C349,LEN(C349)-1),C349)</f>
        <v/>
      </c>
      <c r="AT349" s="281">
        <f>_xlfn.CONCAT(B349,AS349,D349,E349)</f>
        <v/>
      </c>
    </row>
    <row r="350">
      <c r="A350" t="inlineStr">
        <is>
          <t>21/22</t>
        </is>
      </c>
      <c r="B350" t="inlineStr">
        <is>
          <t xml:space="preserve"> Salomon</t>
        </is>
      </c>
      <c r="C350" t="inlineStr">
        <is>
          <t>MTN Explore 95</t>
        </is>
      </c>
      <c r="D350" t="n">
        <v>177</v>
      </c>
      <c r="E350" t="inlineStr">
        <is>
          <t xml:space="preserve"> Unisex</t>
        </is>
      </c>
      <c r="F350" t="n">
        <v>177</v>
      </c>
      <c r="G350" t="n">
        <v>176.3</v>
      </c>
      <c r="H350" t="n">
        <v>143</v>
      </c>
      <c r="I350" t="n">
        <v>146</v>
      </c>
      <c r="J350" t="n">
        <v>130</v>
      </c>
      <c r="K350" t="n">
        <v>95</v>
      </c>
      <c r="L350" t="n">
        <v>116</v>
      </c>
      <c r="M350" t="n">
        <v>17.6</v>
      </c>
      <c r="N350" t="n">
        <v>1550</v>
      </c>
      <c r="O350" t="n">
        <v>1.21</v>
      </c>
      <c r="P350" t="n">
        <v>1874</v>
      </c>
      <c r="Q350" t="n">
        <v>186</v>
      </c>
      <c r="R350" t="n">
        <v>77</v>
      </c>
      <c r="S350" t="n">
        <v>52</v>
      </c>
      <c r="T350" t="n">
        <v>258</v>
      </c>
      <c r="U350" t="n">
        <v>6</v>
      </c>
      <c r="V350" t="n">
        <v>75</v>
      </c>
      <c r="W350" t="n">
        <v>0.107</v>
      </c>
      <c r="X350" t="n">
        <v>200</v>
      </c>
      <c r="Y350" t="n">
        <v>107</v>
      </c>
      <c r="Z350" t="n">
        <v>58</v>
      </c>
      <c r="AA350" t="n">
        <v>8</v>
      </c>
      <c r="AB350" t="n">
        <v>10.9</v>
      </c>
      <c r="AC350" t="inlineStr">
        <is>
          <t xml:space="preserve"> Resort Freeride</t>
        </is>
      </c>
      <c r="AD350" t="inlineStr">
        <is>
          <t xml:space="preserve"> Touring</t>
        </is>
      </c>
      <c r="AG350" t="inlineStr">
        <is>
          <t>Salomon MTN Explore 95 Skis 2022</t>
        </is>
      </c>
      <c r="AH350" t="inlineStr">
        <is>
          <t>The-House.com</t>
        </is>
      </c>
      <c r="AI350" s="333" t="n">
        <v>559.95</v>
      </c>
      <c r="AJ350" t="inlineStr">
        <is>
          <t>https://tinyurl.com/y9k55kns</t>
        </is>
      </c>
      <c r="AK350" t="inlineStr">
        <is>
          <t>Salomon MTN Explore 95 Skis 2022</t>
        </is>
      </c>
      <c r="AL350" t="inlineStr">
        <is>
          <t>Level Nine Sports</t>
        </is>
      </c>
      <c r="AM350" s="333" t="n">
        <v>559.99</v>
      </c>
      <c r="AN350" t="inlineStr">
        <is>
          <t>https://tinyurl.com/yahv3bgm</t>
        </is>
      </c>
      <c r="AO350" t="inlineStr">
        <is>
          <t>Salomon MTN Explore 95 Skis 2022</t>
        </is>
      </c>
      <c r="AP350" t="inlineStr">
        <is>
          <t>Curated</t>
        </is>
      </c>
      <c r="AQ350" s="333" t="n">
        <v>559.99</v>
      </c>
      <c r="AR350" t="inlineStr">
        <is>
          <t>https://tinyurl.com/y7aklbre</t>
        </is>
      </c>
      <c r="AS350" s="314">
        <f>IF(LEFT(C350,1)=" ",RIGHT(C350,LEN(C350)-1),C350)</f>
        <v/>
      </c>
      <c r="AT350" s="281">
        <f>_xlfn.CONCAT(B350,AS350,D350,E350)</f>
        <v/>
      </c>
    </row>
    <row r="351">
      <c r="A351" t="inlineStr">
        <is>
          <t>21/22</t>
        </is>
      </c>
      <c r="B351" t="inlineStr">
        <is>
          <t xml:space="preserve"> Salomon</t>
        </is>
      </c>
      <c r="C351" t="inlineStr">
        <is>
          <t>Stance 88 W</t>
        </is>
      </c>
      <c r="D351" t="n">
        <v>168</v>
      </c>
      <c r="E351" t="inlineStr">
        <is>
          <t xml:space="preserve"> Women's</t>
        </is>
      </c>
      <c r="F351" t="n">
        <v>168</v>
      </c>
      <c r="G351" t="n">
        <v>166.9</v>
      </c>
      <c r="H351" t="n">
        <v>126</v>
      </c>
      <c r="I351" t="n">
        <v>140</v>
      </c>
      <c r="J351" t="n">
        <v>122</v>
      </c>
      <c r="K351" t="n">
        <v>87</v>
      </c>
      <c r="L351" t="n">
        <v>103</v>
      </c>
      <c r="M351" t="n">
        <v>16.9</v>
      </c>
      <c r="N351" t="n">
        <v>1650</v>
      </c>
      <c r="O351" t="n">
        <v>1</v>
      </c>
      <c r="P351" t="n">
        <v>1649</v>
      </c>
      <c r="Q351" t="n">
        <v>155</v>
      </c>
      <c r="R351" t="n">
        <v>96</v>
      </c>
      <c r="S351" t="n">
        <v>52</v>
      </c>
      <c r="T351" t="n">
        <v>234</v>
      </c>
      <c r="U351" t="n">
        <v>9</v>
      </c>
      <c r="V351" t="n">
        <v>175</v>
      </c>
      <c r="W351" t="n">
        <v>0.17</v>
      </c>
      <c r="X351" t="n">
        <v>157</v>
      </c>
      <c r="Y351" t="n">
        <v>112</v>
      </c>
      <c r="Z351" t="n">
        <v>76</v>
      </c>
      <c r="AA351" t="n">
        <v>7</v>
      </c>
      <c r="AB351" t="n">
        <v>9.199999999999999</v>
      </c>
      <c r="AC351" t="inlineStr">
        <is>
          <t xml:space="preserve"> Resort Freeride</t>
        </is>
      </c>
      <c r="AG351" t="inlineStr">
        <is>
          <t>Salomon STANCE W 88 168cm</t>
        </is>
      </c>
      <c r="AH351" t="inlineStr">
        <is>
          <t>Sundance Ski and Board Shop</t>
        </is>
      </c>
      <c r="AI351" s="333" t="n">
        <v>561.2</v>
      </c>
      <c r="AJ351" t="inlineStr">
        <is>
          <t>https://tinyurl.com/y8f75byv</t>
        </is>
      </c>
      <c r="AK351" t="inlineStr">
        <is>
          <t>Salomon Stance W 88 Skis</t>
        </is>
      </c>
      <c r="AL351" t="inlineStr">
        <is>
          <t>Cole Sport</t>
        </is>
      </c>
      <c r="AM351" s="333" t="n">
        <v>599.99</v>
      </c>
      <c r="AN351" t="inlineStr">
        <is>
          <t>https://tinyurl.com/y8wcyc2b</t>
        </is>
      </c>
      <c r="AO351" t="inlineStr">
        <is>
          <t>Salomon Stance 88 Skis 2022 - Women's</t>
        </is>
      </c>
      <c r="AP351" t="inlineStr">
        <is>
          <t>Erik's Bike, Board and Ski</t>
        </is>
      </c>
      <c r="AQ351" s="333" t="n">
        <v>419.99</v>
      </c>
      <c r="AR351" t="inlineStr">
        <is>
          <t>https://tinyurl.com/yawqr7og</t>
        </is>
      </c>
      <c r="AS351" s="314">
        <f>IF(LEFT(C351,1)=" ",RIGHT(C351,LEN(C351)-1),C351)</f>
        <v/>
      </c>
      <c r="AT351" s="281">
        <f>_xlfn.CONCAT(B351,AS351,D351,E351)</f>
        <v/>
      </c>
    </row>
    <row r="352">
      <c r="A352" t="inlineStr">
        <is>
          <t>21/22</t>
        </is>
      </c>
      <c r="B352" t="inlineStr">
        <is>
          <t xml:space="preserve"> Rossignol</t>
        </is>
      </c>
      <c r="C352" t="inlineStr">
        <is>
          <t>Experience 82 Ti W</t>
        </is>
      </c>
      <c r="D352" t="n">
        <v>159</v>
      </c>
      <c r="E352" t="inlineStr">
        <is>
          <t xml:space="preserve"> Women's</t>
        </is>
      </c>
      <c r="F352" t="n">
        <v>159</v>
      </c>
      <c r="G352" t="n">
        <v>158.2</v>
      </c>
      <c r="H352" t="n">
        <v>119</v>
      </c>
      <c r="I352" t="n">
        <v>144</v>
      </c>
      <c r="J352" t="n">
        <v>125</v>
      </c>
      <c r="K352" t="n">
        <v>80</v>
      </c>
      <c r="L352" t="n">
        <v>114</v>
      </c>
      <c r="M352" t="n">
        <v>12.7</v>
      </c>
      <c r="N352" t="n">
        <v>1746</v>
      </c>
      <c r="O352" t="n">
        <v>0.86</v>
      </c>
      <c r="P352" t="n">
        <v>1498</v>
      </c>
      <c r="Q352" t="n">
        <v>180</v>
      </c>
      <c r="R352" t="n">
        <v>94</v>
      </c>
      <c r="S352" t="n">
        <v>49</v>
      </c>
      <c r="T352" t="n">
        <v>261</v>
      </c>
      <c r="U352" t="n">
        <v>15</v>
      </c>
      <c r="V352" t="n">
        <v>135</v>
      </c>
      <c r="W352" t="n">
        <v>0.304</v>
      </c>
      <c r="X352" t="n">
        <v>80</v>
      </c>
      <c r="Y352" t="n">
        <v>62</v>
      </c>
      <c r="Z352" t="n">
        <v>181</v>
      </c>
      <c r="AA352" t="n">
        <v>8</v>
      </c>
      <c r="AB352" t="n">
        <v>6.9</v>
      </c>
      <c r="AC352" t="inlineStr">
        <is>
          <t xml:space="preserve"> Other</t>
        </is>
      </c>
      <c r="AG352" t="inlineStr">
        <is>
          <t>Rossignol Experience W 82 Ti Skis Womens 2022</t>
        </is>
      </c>
      <c r="AH352" t="inlineStr">
        <is>
          <t>BlueZone Sports</t>
        </is>
      </c>
      <c r="AI352" s="333" t="n">
        <v>559.96</v>
      </c>
      <c r="AJ352" t="inlineStr">
        <is>
          <t>https://tinyurl.com/yc7qkrms</t>
        </is>
      </c>
      <c r="AK352" t="inlineStr">
        <is>
          <t>Rossignol Experience W 82 Ti Women's Skis W SPX 12 Konect GW Bindings</t>
        </is>
      </c>
      <c r="AL352" t="inlineStr">
        <is>
          <t>Powder7 Ski Shop</t>
        </is>
      </c>
      <c r="AM352" s="333" t="n">
        <v>649.99</v>
      </c>
      <c r="AN352" t="inlineStr">
        <is>
          <t>https://tinyurl.com/y8qfh5hm</t>
        </is>
      </c>
      <c r="AO352" t="inlineStr">
        <is>
          <t>Rossignol Women's Experience 82 Ti W Skis with Bindings 159 cm</t>
        </is>
      </c>
      <c r="AP352" t="inlineStr">
        <is>
          <t>Basin Sports</t>
        </is>
      </c>
      <c r="AQ352" s="333" t="n">
        <v>899.95</v>
      </c>
      <c r="AR352" t="inlineStr">
        <is>
          <t>https://tinyurl.com/y85y5kpe</t>
        </is>
      </c>
      <c r="AS352" s="314">
        <f>IF(LEFT(C352,1)=" ",RIGHT(C352,LEN(C352)-1),C352)</f>
        <v/>
      </c>
      <c r="AT352" s="281">
        <f>_xlfn.CONCAT(B352,AS352,D352,E352)</f>
        <v/>
      </c>
    </row>
    <row r="353">
      <c r="A353" t="inlineStr">
        <is>
          <t>21/22</t>
        </is>
      </c>
      <c r="B353" t="inlineStr">
        <is>
          <t xml:space="preserve"> Dynafit</t>
        </is>
      </c>
      <c r="C353" t="inlineStr">
        <is>
          <t>Blacklight 95</t>
        </is>
      </c>
      <c r="D353" t="n">
        <v>172</v>
      </c>
      <c r="E353" t="inlineStr">
        <is>
          <t xml:space="preserve"> Unisex</t>
        </is>
      </c>
      <c r="F353" t="n">
        <v>172</v>
      </c>
      <c r="G353" t="n">
        <v>170.2</v>
      </c>
      <c r="H353" t="n">
        <v>127</v>
      </c>
      <c r="I353" t="n">
        <v>146</v>
      </c>
      <c r="J353" t="n">
        <v>126</v>
      </c>
      <c r="K353" t="n">
        <v>94</v>
      </c>
      <c r="L353" t="n">
        <v>113</v>
      </c>
      <c r="M353" t="n">
        <v>20</v>
      </c>
      <c r="N353" t="n">
        <v>1202</v>
      </c>
      <c r="O353" t="n">
        <v>1.45</v>
      </c>
      <c r="P353" t="n">
        <v>1748</v>
      </c>
      <c r="Q353" t="n">
        <v>235</v>
      </c>
      <c r="R353" t="n">
        <v>95</v>
      </c>
      <c r="S353" t="n">
        <v>48</v>
      </c>
      <c r="T353" t="n">
        <v>268</v>
      </c>
      <c r="U353" t="n">
        <v>11</v>
      </c>
      <c r="V353" t="n">
        <v>159</v>
      </c>
      <c r="W353" t="n">
        <v>0.233999999999999</v>
      </c>
      <c r="X353" t="n">
        <v>137</v>
      </c>
      <c r="Y353" t="n">
        <v>100</v>
      </c>
      <c r="Z353" t="n">
        <v>131</v>
      </c>
      <c r="AA353" t="n">
        <v>4</v>
      </c>
      <c r="AB353" t="n">
        <v>12.6</v>
      </c>
      <c r="AC353" t="inlineStr">
        <is>
          <t xml:space="preserve"> Touring</t>
        </is>
      </c>
      <c r="AD353" t="inlineStr">
        <is>
          <t xml:space="preserve"> Ultralight Touring</t>
        </is>
      </c>
      <c r="AG353" t="inlineStr">
        <is>
          <t>Dynafit Blacklight 95 Ski Set - Black Magnet - 172cm</t>
        </is>
      </c>
      <c r="AH353" t="inlineStr">
        <is>
          <t>Backcountry.com</t>
        </is>
      </c>
      <c r="AI353" s="333" t="n">
        <v>1199.95</v>
      </c>
      <c r="AJ353" t="inlineStr">
        <is>
          <t>https://tinyurl.com/y729lv8x</t>
        </is>
      </c>
      <c r="AK353" t="inlineStr">
        <is>
          <t>Dynafit Blacklight 95 Ski Set - Black Magnet - 172cm</t>
        </is>
      </c>
      <c r="AL353" t="inlineStr">
        <is>
          <t>REI</t>
        </is>
      </c>
      <c r="AM353" s="333" t="n">
        <v>1199.95</v>
      </c>
      <c r="AN353" t="inlineStr">
        <is>
          <t>https://tinyurl.com/ybesoc4h</t>
        </is>
      </c>
      <c r="AO353" t="inlineStr">
        <is>
          <t>Dynafit Blacklight 95 Alpine Touring Ski 172</t>
        </is>
      </c>
      <c r="AP353" t="inlineStr">
        <is>
          <t>Cripple Creek Backcountry</t>
        </is>
      </c>
      <c r="AQ353" s="333" t="n">
        <v>649.95</v>
      </c>
      <c r="AR353" t="inlineStr">
        <is>
          <t>https://tinyurl.com/y6vx6eg5</t>
        </is>
      </c>
      <c r="AS353" s="314">
        <f>IF(LEFT(C353,1)=" ",RIGHT(C353,LEN(C353)-1),C353)</f>
        <v/>
      </c>
      <c r="AT353" s="281">
        <f>_xlfn.CONCAT(B353,AS353,D353,E353)</f>
        <v/>
      </c>
    </row>
    <row r="354">
      <c r="A354" t="inlineStr">
        <is>
          <t>22/23</t>
        </is>
      </c>
      <c r="B354" t="inlineStr">
        <is>
          <t xml:space="preserve"> DPS</t>
        </is>
      </c>
      <c r="C354" t="inlineStr">
        <is>
          <t>Pagoda Tour 90</t>
        </is>
      </c>
      <c r="D354" t="n">
        <v>178</v>
      </c>
      <c r="E354" t="inlineStr">
        <is>
          <t xml:space="preserve"> Unisex</t>
        </is>
      </c>
      <c r="F354" t="n">
        <v>178</v>
      </c>
      <c r="G354" t="n">
        <v>177.6</v>
      </c>
      <c r="H354" t="n">
        <v>118</v>
      </c>
      <c r="I354" t="n">
        <v>135</v>
      </c>
      <c r="J354" t="n">
        <v>125</v>
      </c>
      <c r="K354" t="n">
        <v>90</v>
      </c>
      <c r="L354" t="n">
        <v>109</v>
      </c>
      <c r="M354" t="n">
        <v>15</v>
      </c>
      <c r="N354" t="n">
        <v>1319</v>
      </c>
      <c r="O354" t="n">
        <v>1.38</v>
      </c>
      <c r="P354" t="n">
        <v>1819</v>
      </c>
      <c r="Q354" t="n">
        <v>201</v>
      </c>
      <c r="R354" t="n">
        <v>92</v>
      </c>
      <c r="S354" t="n">
        <v>60</v>
      </c>
      <c r="T354" t="n">
        <v>342</v>
      </c>
      <c r="U354" t="n">
        <v>13</v>
      </c>
      <c r="V354" t="n">
        <v>254</v>
      </c>
      <c r="W354" t="n">
        <v>0.215</v>
      </c>
      <c r="X354" t="n">
        <v>197</v>
      </c>
      <c r="Y354" t="n">
        <v>230</v>
      </c>
      <c r="Z354" t="n">
        <v>144</v>
      </c>
      <c r="AA354" t="n">
        <v>8</v>
      </c>
      <c r="AB354" t="n">
        <v>13</v>
      </c>
      <c r="AC354" t="inlineStr">
        <is>
          <t xml:space="preserve"> Touring</t>
        </is>
      </c>
      <c r="AD354" t="inlineStr">
        <is>
          <t xml:space="preserve"> Ultralight Touring</t>
        </is>
      </c>
      <c r="AG354" t="inlineStr">
        <is>
          <t>DPS Pagoda Tour 87 C2 Ski (2022) 178</t>
        </is>
      </c>
      <c r="AH354" t="inlineStr">
        <is>
          <t>Cripple Creek Backcountry</t>
        </is>
      </c>
      <c r="AI354" s="333" t="n">
        <v>1029</v>
      </c>
      <c r="AJ354" t="inlineStr">
        <is>
          <t>https://tinyurl.com/yc8whmd6</t>
        </is>
      </c>
      <c r="AK354" t="inlineStr">
        <is>
          <t>DPS Pagoda Tour 112 RP 178CM</t>
        </is>
      </c>
      <c r="AL354" t="inlineStr">
        <is>
          <t>Neptune Mountaineering</t>
        </is>
      </c>
      <c r="AM354" s="333" t="n">
        <v>1039</v>
      </c>
      <c r="AN354" t="inlineStr">
        <is>
          <t>https://tinyurl.com/yd2zle28</t>
        </is>
      </c>
      <c r="AO354" t="inlineStr">
        <is>
          <t>DPS Pagoda Tour 112 RP Skis Â· 178 cm Â· Orange</t>
        </is>
      </c>
      <c r="AP354" t="inlineStr">
        <is>
          <t>Curated</t>
        </is>
      </c>
      <c r="AQ354" s="333" t="n">
        <v>1039.2</v>
      </c>
      <c r="AR354" t="inlineStr">
        <is>
          <t>https://tinyurl.com/y7qgwxgd</t>
        </is>
      </c>
      <c r="AS354" s="314">
        <f>IF(LEFT(C354,1)=" ",RIGHT(C354,LEN(C354)-1),C354)</f>
        <v/>
      </c>
      <c r="AT354" s="281">
        <f>_xlfn.CONCAT(B354,AS354,D354,E354)</f>
        <v/>
      </c>
    </row>
    <row r="355">
      <c r="A355" t="inlineStr">
        <is>
          <t>21/22</t>
        </is>
      </c>
      <c r="B355" t="inlineStr">
        <is>
          <t xml:space="preserve"> Black Crows</t>
        </is>
      </c>
      <c r="C355" t="inlineStr">
        <is>
          <t xml:space="preserve"> Camox</t>
        </is>
      </c>
      <c r="D355" t="n">
        <v>186.5</v>
      </c>
      <c r="E355" t="inlineStr">
        <is>
          <t xml:space="preserve"> Unisex</t>
        </is>
      </c>
      <c r="F355" t="n">
        <v>186.5</v>
      </c>
      <c r="G355" t="n">
        <v>185.4</v>
      </c>
      <c r="H355" t="n">
        <v>148</v>
      </c>
      <c r="I355" t="n">
        <v>159</v>
      </c>
      <c r="J355" t="n">
        <v>131</v>
      </c>
      <c r="K355" t="n">
        <v>96</v>
      </c>
      <c r="L355" t="n">
        <v>119</v>
      </c>
      <c r="M355" t="n">
        <v>20.3</v>
      </c>
      <c r="N355" t="n">
        <v>1958</v>
      </c>
      <c r="O355" t="n">
        <v>1.02</v>
      </c>
      <c r="P355" t="n">
        <v>1990</v>
      </c>
      <c r="Q355" t="n">
        <v>198</v>
      </c>
      <c r="R355" t="n">
        <v>96</v>
      </c>
      <c r="S355" t="n">
        <v>43</v>
      </c>
      <c r="T355" t="n">
        <v>219</v>
      </c>
      <c r="U355" t="n">
        <v>30</v>
      </c>
      <c r="V355" t="n">
        <v>155</v>
      </c>
      <c r="W355" t="n">
        <v>0.709</v>
      </c>
      <c r="X355" t="n">
        <v>139</v>
      </c>
      <c r="Y355" t="n">
        <v>127</v>
      </c>
      <c r="Z355" t="n">
        <v>80</v>
      </c>
      <c r="AA355" t="n">
        <v>17</v>
      </c>
      <c r="AB355" t="n">
        <v>6</v>
      </c>
      <c r="AC355" t="inlineStr">
        <is>
          <t xml:space="preserve"> Resort Freeride</t>
        </is>
      </c>
      <c r="AG355" t="inlineStr">
        <is>
          <t>Skis Black Crows Camox</t>
        </is>
      </c>
      <c r="AH355" t="inlineStr">
        <is>
          <t>Basin Sports</t>
        </is>
      </c>
      <c r="AI355" s="333" t="n">
        <v>569.95</v>
      </c>
      <c r="AJ355" t="inlineStr">
        <is>
          <t>https://tinyurl.com/ycpvmymt</t>
        </is>
      </c>
      <c r="AK355" t="inlineStr">
        <is>
          <t>Skis Black Crows Camox</t>
        </is>
      </c>
      <c r="AL355" t="inlineStr">
        <is>
          <t>Curated</t>
        </is>
      </c>
      <c r="AM355" s="333" t="n">
        <v>575</v>
      </c>
      <c r="AN355" t="inlineStr">
        <is>
          <t>https://tinyurl.com/ycvvnvom</t>
        </is>
      </c>
      <c r="AO355" t="inlineStr">
        <is>
          <t>Skis Black Crows Camox</t>
        </is>
      </c>
      <c r="AP355" t="inlineStr">
        <is>
          <t>evo.com</t>
        </is>
      </c>
      <c r="AQ355" s="333" t="n">
        <v>575.96</v>
      </c>
      <c r="AR355" t="inlineStr">
        <is>
          <t>https://tinyurl.com/yaoehyrh</t>
        </is>
      </c>
      <c r="AS355" s="314">
        <f>IF(LEFT(C355,1)=" ",RIGHT(C355,LEN(C355)-1),C355)</f>
        <v/>
      </c>
      <c r="AT355" s="281">
        <f>_xlfn.CONCAT(B355,AS355,D355,E355)</f>
        <v/>
      </c>
    </row>
    <row r="356">
      <c r="A356" t="inlineStr">
        <is>
          <t>21/22</t>
        </is>
      </c>
      <c r="B356" t="inlineStr">
        <is>
          <t xml:space="preserve"> Blizzard</t>
        </is>
      </c>
      <c r="C356" t="inlineStr">
        <is>
          <t>Rustler 10</t>
        </is>
      </c>
      <c r="D356" t="n">
        <v>180</v>
      </c>
      <c r="E356" t="inlineStr">
        <is>
          <t xml:space="preserve"> Unisex</t>
        </is>
      </c>
      <c r="F356" t="n">
        <v>180</v>
      </c>
      <c r="G356" t="n">
        <v>178.3</v>
      </c>
      <c r="H356" t="n">
        <v>109</v>
      </c>
      <c r="I356" t="n">
        <v>150</v>
      </c>
      <c r="J356" t="n">
        <v>132</v>
      </c>
      <c r="K356" t="n">
        <v>101</v>
      </c>
      <c r="L356" t="n">
        <v>122</v>
      </c>
      <c r="M356" t="n">
        <v>18.6</v>
      </c>
      <c r="N356" t="n">
        <v>2008</v>
      </c>
      <c r="O356" t="n">
        <v>0.99</v>
      </c>
      <c r="P356" t="n">
        <v>1996</v>
      </c>
      <c r="Q356" t="n">
        <v>209</v>
      </c>
      <c r="R356" t="n">
        <v>99</v>
      </c>
      <c r="S356" t="n">
        <v>63</v>
      </c>
      <c r="T356" t="n">
        <v>386</v>
      </c>
      <c r="U356" t="n">
        <v>36</v>
      </c>
      <c r="V356" t="n">
        <v>312</v>
      </c>
      <c r="W356" t="n">
        <v>0.5659999999999999</v>
      </c>
      <c r="X356" t="n">
        <v>145</v>
      </c>
      <c r="Y356" t="n">
        <v>142</v>
      </c>
      <c r="Z356" t="n">
        <v>241</v>
      </c>
      <c r="AA356" t="n">
        <v>4</v>
      </c>
      <c r="AB356" t="n">
        <v>7.6</v>
      </c>
      <c r="AC356" t="inlineStr">
        <is>
          <t xml:space="preserve"> Resort Freeride</t>
        </is>
      </c>
      <c r="AD356" t="inlineStr">
        <is>
          <t xml:space="preserve"> Powder</t>
        </is>
      </c>
      <c r="AG356" t="inlineStr">
        <is>
          <t>2020 Blizzard Rustler 10 Skis</t>
        </is>
      </c>
      <c r="AH356" t="inlineStr">
        <is>
          <t>SidelineSwap</t>
        </is>
      </c>
      <c r="AI356" s="333" t="n">
        <v>230</v>
      </c>
      <c r="AJ356" t="inlineStr">
        <is>
          <t>https://tinyurl.com/ybbuy5um</t>
        </is>
      </c>
      <c r="AK356" t="inlineStr">
        <is>
          <t>Blizzard Rustler 10 2022</t>
        </is>
      </c>
      <c r="AL356" t="inlineStr">
        <is>
          <t>Stowesports.com</t>
        </is>
      </c>
      <c r="AM356" s="333" t="n">
        <v>559.95</v>
      </c>
      <c r="AN356" t="inlineStr">
        <is>
          <t>https://tinyurl.com/ycy6mdrt</t>
        </is>
      </c>
      <c r="AO356" t="inlineStr">
        <is>
          <t>Blizzard Rustler 10 2022</t>
        </is>
      </c>
      <c r="AP356" t="inlineStr">
        <is>
          <t>AlpineShopVT.com</t>
        </is>
      </c>
      <c r="AQ356" s="333" t="n">
        <v>559.95</v>
      </c>
      <c r="AR356" t="inlineStr">
        <is>
          <t>https://tinyurl.com/yakygrzz</t>
        </is>
      </c>
      <c r="AS356" s="314">
        <f>IF(LEFT(C356,1)=" ",RIGHT(C356,LEN(C356)-1),C356)</f>
        <v/>
      </c>
      <c r="AT356" s="281">
        <f>_xlfn.CONCAT(B356,AS356,D356,E356)</f>
        <v/>
      </c>
    </row>
    <row r="357">
      <c r="A357" t="inlineStr">
        <is>
          <t>21/22</t>
        </is>
      </c>
      <c r="B357" t="inlineStr">
        <is>
          <t xml:space="preserve"> Faction</t>
        </is>
      </c>
      <c r="C357" t="inlineStr">
        <is>
          <t>Agent 4.0</t>
        </is>
      </c>
      <c r="D357" t="n">
        <v>179</v>
      </c>
      <c r="E357" t="inlineStr">
        <is>
          <t xml:space="preserve"> Unisex</t>
        </is>
      </c>
      <c r="F357" t="n">
        <v>179</v>
      </c>
      <c r="G357" t="n">
        <v>177.4</v>
      </c>
      <c r="H357" t="n">
        <v>111</v>
      </c>
      <c r="I357" t="n">
        <v>143</v>
      </c>
      <c r="J357" t="n">
        <v>140</v>
      </c>
      <c r="K357" t="n">
        <v>115</v>
      </c>
      <c r="L357" t="n">
        <v>131</v>
      </c>
      <c r="M357" t="n">
        <v>21.9</v>
      </c>
      <c r="N357" t="n">
        <v>1717</v>
      </c>
      <c r="O357" t="n">
        <v>1.28</v>
      </c>
      <c r="P357" t="n">
        <v>2191</v>
      </c>
      <c r="Q357" t="n">
        <v>207</v>
      </c>
      <c r="R357" t="n">
        <v>89</v>
      </c>
      <c r="S357" t="n">
        <v>64</v>
      </c>
      <c r="T357" t="n">
        <v>368</v>
      </c>
      <c r="U357" t="n">
        <v>20</v>
      </c>
      <c r="V357" t="n">
        <v>292</v>
      </c>
      <c r="W357" t="n">
        <v>0.315</v>
      </c>
      <c r="X357" t="n">
        <v>212</v>
      </c>
      <c r="Y357" t="n">
        <v>135</v>
      </c>
      <c r="Z357" t="n">
        <v>156</v>
      </c>
      <c r="AA357" t="n">
        <v>3</v>
      </c>
      <c r="AB357" t="n">
        <v>12.2</v>
      </c>
      <c r="AC357" t="inlineStr">
        <is>
          <t xml:space="preserve"> Big Mountain</t>
        </is>
      </c>
      <c r="AD357" t="inlineStr">
        <is>
          <t xml:space="preserve"> Touring</t>
        </is>
      </c>
      <c r="AE357" t="inlineStr">
        <is>
          <t xml:space="preserve"> Ultralight Touring</t>
        </is>
      </c>
      <c r="AG357" t="inlineStr">
        <is>
          <t>Faction Agent 4.0 Pow Collab Skis 179cm 2022</t>
        </is>
      </c>
      <c r="AH357" t="inlineStr">
        <is>
          <t>Powder7 Ski Shop</t>
        </is>
      </c>
      <c r="AI357" s="333" t="n">
        <v>679</v>
      </c>
      <c r="AJ357" t="inlineStr">
        <is>
          <t>https://tinyurl.com/ydyzg82k</t>
        </is>
      </c>
      <c r="AK357" t="inlineStr">
        <is>
          <t>Faction Prodigy 4.0 Skis</t>
        </is>
      </c>
      <c r="AL357" t="inlineStr">
        <is>
          <t>The Locals Sale</t>
        </is>
      </c>
      <c r="AM357" s="333" t="n">
        <v>360</v>
      </c>
      <c r="AN357" t="inlineStr">
        <is>
          <t>https://tinyurl.com/y7p2lwe9</t>
        </is>
      </c>
      <c r="AO357" t="inlineStr">
        <is>
          <t>Faction Agent 2.0 21/22</t>
        </is>
      </c>
      <c r="AP357" t="inlineStr">
        <is>
          <t>PRFO Sports</t>
        </is>
      </c>
      <c r="AQ357" s="333" t="n">
        <v>544.36</v>
      </c>
      <c r="AR357" t="inlineStr">
        <is>
          <t>https://tinyurl.com/yb8d6rmn</t>
        </is>
      </c>
      <c r="AS357" s="314">
        <f>IF(LEFT(C357,1)=" ",RIGHT(C357,LEN(C357)-1),C357)</f>
        <v/>
      </c>
      <c r="AT357" s="281">
        <f>_xlfn.CONCAT(B357,AS357,D357,E357)</f>
        <v/>
      </c>
    </row>
    <row r="358">
      <c r="A358" t="inlineStr">
        <is>
          <t>21/22</t>
        </is>
      </c>
      <c r="B358" t="inlineStr">
        <is>
          <t xml:space="preserve"> Blizzard</t>
        </is>
      </c>
      <c r="C358" t="inlineStr">
        <is>
          <t>Black Pearl 88</t>
        </is>
      </c>
      <c r="D358" t="n">
        <v>171</v>
      </c>
      <c r="E358" t="inlineStr">
        <is>
          <t xml:space="preserve"> Women's</t>
        </is>
      </c>
      <c r="F358" t="n">
        <v>171</v>
      </c>
      <c r="G358" t="n">
        <v>172.4</v>
      </c>
      <c r="H358" t="n">
        <v>137</v>
      </c>
      <c r="I358" t="n">
        <v>147</v>
      </c>
      <c r="J358" t="n">
        <v>127</v>
      </c>
      <c r="K358" t="n">
        <v>86</v>
      </c>
      <c r="L358" t="n">
        <v>109</v>
      </c>
      <c r="M358" t="n">
        <v>16</v>
      </c>
      <c r="N358" t="n">
        <v>1893</v>
      </c>
      <c r="O358" t="n">
        <v>0.89</v>
      </c>
      <c r="P358" t="n">
        <v>1689</v>
      </c>
      <c r="Q358" t="n">
        <v>224</v>
      </c>
      <c r="R358" t="n">
        <v>103</v>
      </c>
      <c r="S358" t="n">
        <v>58</v>
      </c>
      <c r="T358" t="n">
        <v>217</v>
      </c>
      <c r="U358" t="n">
        <v>12</v>
      </c>
      <c r="V358" t="n">
        <v>140</v>
      </c>
      <c r="W358" t="n">
        <v>0.215</v>
      </c>
      <c r="X358" t="n">
        <v>118</v>
      </c>
      <c r="Y358" t="n">
        <v>134</v>
      </c>
      <c r="Z358" t="n">
        <v>99</v>
      </c>
      <c r="AA358" t="n">
        <v>6</v>
      </c>
      <c r="AB358" t="n">
        <v>9.699999999999999</v>
      </c>
      <c r="AC358" t="inlineStr">
        <is>
          <t xml:space="preserve"> Resort Freeride</t>
        </is>
      </c>
      <c r="AG358" t="inlineStr">
        <is>
          <t>Blizzard Black Pearl 88 21/22</t>
        </is>
      </c>
      <c r="AH358" t="inlineStr">
        <is>
          <t>Snowcountry.eu</t>
        </is>
      </c>
      <c r="AI358" s="333" t="n">
        <v>354.97</v>
      </c>
      <c r="AJ358" t="inlineStr">
        <is>
          <t>https://tinyurl.com/yatr7slk</t>
        </is>
      </c>
      <c r="AK358" t="inlineStr">
        <is>
          <t>Blizzard Black Pearl 88 - Winter 2021/2022 171</t>
        </is>
      </c>
      <c r="AL358" t="inlineStr">
        <is>
          <t>Equipe Sport</t>
        </is>
      </c>
      <c r="AM358" s="333" t="n">
        <v>519.95</v>
      </c>
      <c r="AN358" t="inlineStr">
        <is>
          <t>https://tinyurl.com/y9ghbwh8</t>
        </is>
      </c>
      <c r="AO358" t="inlineStr">
        <is>
          <t>'22 Blizzard Black Pearl 88 Skis 171cm</t>
        </is>
      </c>
      <c r="AP358" t="inlineStr">
        <is>
          <t>Al's Ski Equipment Barn</t>
        </is>
      </c>
      <c r="AQ358" s="333" t="n">
        <v>649</v>
      </c>
      <c r="AR358" t="inlineStr">
        <is>
          <t>https://tinyurl.com/yd9n9dgr</t>
        </is>
      </c>
      <c r="AS358" s="314">
        <f>IF(LEFT(C358,1)=" ",RIGHT(C358,LEN(C358)-1),C358)</f>
        <v/>
      </c>
      <c r="AT358" s="281">
        <f>_xlfn.CONCAT(B358,AS358,D358,E358)</f>
        <v/>
      </c>
    </row>
    <row r="359">
      <c r="A359" t="inlineStr">
        <is>
          <t>21/22</t>
        </is>
      </c>
      <c r="B359" t="inlineStr">
        <is>
          <t xml:space="preserve"> Icelantic</t>
        </is>
      </c>
      <c r="C359" t="inlineStr">
        <is>
          <t>Nomad 105</t>
        </is>
      </c>
      <c r="D359" t="n">
        <v>171</v>
      </c>
      <c r="E359" t="inlineStr">
        <is>
          <t xml:space="preserve"> Unisex</t>
        </is>
      </c>
      <c r="F359" t="n">
        <v>171</v>
      </c>
      <c r="G359" t="n">
        <v>169</v>
      </c>
      <c r="H359" t="n">
        <v>103</v>
      </c>
      <c r="I359" t="n">
        <v>142</v>
      </c>
      <c r="J359" t="n">
        <v>146</v>
      </c>
      <c r="K359" t="n">
        <v>111</v>
      </c>
      <c r="L359" t="n">
        <v>136</v>
      </c>
      <c r="M359" t="n">
        <v>16.2</v>
      </c>
      <c r="N359" t="n">
        <v>1949</v>
      </c>
      <c r="O359" t="n">
        <v>1.06</v>
      </c>
      <c r="P359" t="n">
        <v>2060</v>
      </c>
      <c r="Q359" t="n">
        <v>213</v>
      </c>
      <c r="R359" t="n">
        <v>101</v>
      </c>
      <c r="S359" t="n">
        <v>57</v>
      </c>
      <c r="T359" t="n">
        <v>353</v>
      </c>
      <c r="U359" t="n">
        <v>55</v>
      </c>
      <c r="V359" t="n">
        <v>305</v>
      </c>
      <c r="W359" t="n">
        <v>0.964</v>
      </c>
      <c r="X359" t="n">
        <v>134</v>
      </c>
      <c r="Y359" t="n">
        <v>141</v>
      </c>
      <c r="Z359" t="n">
        <v>220</v>
      </c>
      <c r="AA359" t="n">
        <v>3</v>
      </c>
      <c r="AB359" t="n">
        <v>8.199999999999999</v>
      </c>
      <c r="AC359" t="inlineStr">
        <is>
          <t xml:space="preserve"> Freeski</t>
        </is>
      </c>
      <c r="AD359" t="inlineStr">
        <is>
          <t xml:space="preserve"> Powder</t>
        </is>
      </c>
      <c r="AE359" t="inlineStr">
        <is>
          <t xml:space="preserve"> Touring</t>
        </is>
      </c>
      <c r="AG359" t="inlineStr">
        <is>
          <t>Icelantic Nomad 105 171cm with Adjustable Tyrolia Bindings</t>
        </is>
      </c>
      <c r="AH359" t="inlineStr">
        <is>
          <t>Requipper</t>
        </is>
      </c>
      <c r="AI359" s="333" t="n">
        <v>450</v>
      </c>
      <c r="AJ359" t="inlineStr">
        <is>
          <t>https://tinyurl.com/y7zas2ol</t>
        </is>
      </c>
      <c r="AK359" t="inlineStr">
        <is>
          <t>Icelantic Nomad 105 Skis 2022 171cm</t>
        </is>
      </c>
      <c r="AL359" t="inlineStr">
        <is>
          <t>Glacier Ski Shop</t>
        </is>
      </c>
      <c r="AM359" s="333" t="n">
        <v>585</v>
      </c>
      <c r="AN359" t="inlineStr">
        <is>
          <t>https://tinyurl.com/y78yalvx</t>
        </is>
      </c>
      <c r="AO359" t="inlineStr">
        <is>
          <t>Icelantic Nomad 105 Lite Skis Â· 2022 Â· 171 cm</t>
        </is>
      </c>
      <c r="AP359" t="inlineStr">
        <is>
          <t>REI</t>
        </is>
      </c>
      <c r="AQ359" s="333" t="n">
        <v>598.9299999999999</v>
      </c>
      <c r="AR359" t="inlineStr">
        <is>
          <t>https://tinyurl.com/y79ap75f</t>
        </is>
      </c>
      <c r="AS359" s="314">
        <f>IF(LEFT(C359,1)=" ",RIGHT(C359,LEN(C359)-1),C359)</f>
        <v/>
      </c>
      <c r="AT359" s="281">
        <f>_xlfn.CONCAT(B359,AS359,D359,E359)</f>
        <v/>
      </c>
    </row>
    <row r="360">
      <c r="A360" t="inlineStr">
        <is>
          <t>21/22</t>
        </is>
      </c>
      <c r="B360" t="inlineStr">
        <is>
          <t xml:space="preserve"> Black Crows</t>
        </is>
      </c>
      <c r="C360" t="inlineStr">
        <is>
          <t xml:space="preserve"> Justis</t>
        </is>
      </c>
      <c r="D360" t="n">
        <v>177.4</v>
      </c>
      <c r="E360" t="inlineStr">
        <is>
          <t xml:space="preserve"> Unisex</t>
        </is>
      </c>
      <c r="F360" t="n">
        <v>177.4</v>
      </c>
      <c r="G360" t="n">
        <v>176.1</v>
      </c>
      <c r="H360" t="n">
        <v>104</v>
      </c>
      <c r="I360" t="n">
        <v>157</v>
      </c>
      <c r="J360" t="n">
        <v>137</v>
      </c>
      <c r="K360" t="n">
        <v>98</v>
      </c>
      <c r="L360" t="n">
        <v>122</v>
      </c>
      <c r="M360" t="n">
        <v>19.4</v>
      </c>
      <c r="N360" t="n">
        <v>1952</v>
      </c>
      <c r="O360" t="n">
        <v>0.99</v>
      </c>
      <c r="P360" t="n">
        <v>1934</v>
      </c>
      <c r="Q360" t="n">
        <v>262</v>
      </c>
      <c r="R360" t="n">
        <v>114</v>
      </c>
      <c r="S360" t="n">
        <v>53</v>
      </c>
      <c r="T360" t="n">
        <v>426</v>
      </c>
      <c r="U360" t="n">
        <v>30</v>
      </c>
      <c r="V360" t="n">
        <v>295</v>
      </c>
      <c r="W360" t="n">
        <v>0.573</v>
      </c>
      <c r="X360" t="n">
        <v>112</v>
      </c>
      <c r="Y360" t="n">
        <v>84</v>
      </c>
      <c r="Z360" t="n">
        <v>314</v>
      </c>
      <c r="AA360" t="n">
        <v>2</v>
      </c>
      <c r="AB360" t="n">
        <v>8.5</v>
      </c>
      <c r="AC360" t="inlineStr">
        <is>
          <t xml:space="preserve"> Resort Freeride</t>
        </is>
      </c>
      <c r="AG360" t="inlineStr">
        <is>
          <t>Black Crows - Justis Skis - 177</t>
        </is>
      </c>
      <c r="AH360" t="inlineStr">
        <is>
          <t>! OutdoorXL.com</t>
        </is>
      </c>
      <c r="AI360" s="333" t="n">
        <v>609.95</v>
      </c>
      <c r="AJ360" t="inlineStr">
        <is>
          <t>https://tinyurl.com/yd6w37po</t>
        </is>
      </c>
      <c r="AK360" t="inlineStr">
        <is>
          <t>2022/2023 Black Crows JUSTIS 177cm - $680</t>
        </is>
      </c>
      <c r="AL360" t="inlineStr">
        <is>
          <t>Requipper</t>
        </is>
      </c>
      <c r="AM360" s="333" t="n">
        <v>680</v>
      </c>
      <c r="AN360" t="inlineStr">
        <is>
          <t>https://tinyurl.com/yahlqw8s</t>
        </is>
      </c>
      <c r="AO360" t="inlineStr">
        <is>
          <t>Black Crows - Justis Skis - 177</t>
        </is>
      </c>
      <c r="AP360" t="inlineStr">
        <is>
          <t>evo.com</t>
        </is>
      </c>
      <c r="AQ360" s="333" t="n">
        <v>767.92</v>
      </c>
      <c r="AR360" t="inlineStr">
        <is>
          <t>https://tinyurl.com/yc9hlrea</t>
        </is>
      </c>
      <c r="AS360" s="314">
        <f>IF(LEFT(C360,1)=" ",RIGHT(C360,LEN(C360)-1),C360)</f>
        <v/>
      </c>
      <c r="AT360" s="281">
        <f>_xlfn.CONCAT(B360,AS360,D360,E360)</f>
        <v/>
      </c>
    </row>
    <row r="361">
      <c r="A361" t="inlineStr">
        <is>
          <t>21/22</t>
        </is>
      </c>
      <c r="B361" t="inlineStr">
        <is>
          <t xml:space="preserve"> Vï¿½lkl</t>
        </is>
      </c>
      <c r="C361" t="inlineStr">
        <is>
          <t>Blaze 94</t>
        </is>
      </c>
      <c r="D361" t="n">
        <v>172</v>
      </c>
      <c r="E361" t="inlineStr">
        <is>
          <t xml:space="preserve"> Unisex</t>
        </is>
      </c>
      <c r="F361" t="n">
        <v>172</v>
      </c>
      <c r="G361" t="n">
        <v>171.7</v>
      </c>
      <c r="H361" t="n">
        <v>74</v>
      </c>
      <c r="I361" t="n">
        <v>147</v>
      </c>
      <c r="J361" t="n">
        <v>133</v>
      </c>
      <c r="K361" t="n">
        <v>93</v>
      </c>
      <c r="L361" t="n">
        <v>115</v>
      </c>
      <c r="M361" t="n">
        <v>16.4</v>
      </c>
      <c r="N361" t="n">
        <v>1513</v>
      </c>
      <c r="O361" t="n">
        <v>1.2</v>
      </c>
      <c r="P361" t="n">
        <v>1820</v>
      </c>
      <c r="Q361" t="n">
        <v>157</v>
      </c>
      <c r="R361" t="n">
        <v>90</v>
      </c>
      <c r="S361" t="n">
        <v>48</v>
      </c>
      <c r="T361" t="n">
        <v>536</v>
      </c>
      <c r="U361" t="n">
        <v>22</v>
      </c>
      <c r="V361" t="n">
        <v>436</v>
      </c>
      <c r="W361" t="n">
        <v>0.45</v>
      </c>
      <c r="X361" t="n">
        <v>138</v>
      </c>
      <c r="Y361" t="n">
        <v>105</v>
      </c>
      <c r="Z361" t="n">
        <v>397</v>
      </c>
      <c r="AA361" t="n">
        <v>1</v>
      </c>
      <c r="AB361" t="n">
        <v>12.2</v>
      </c>
      <c r="AC361" t="inlineStr">
        <is>
          <t xml:space="preserve"> Resort Freeride</t>
        </is>
      </c>
      <c r="AD361" t="inlineStr">
        <is>
          <t xml:space="preserve"> Touring</t>
        </is>
      </c>
      <c r="AG361" t="inlineStr">
        <is>
          <t>Volkl Blaze 94 Skis</t>
        </is>
      </c>
      <c r="AH361" t="inlineStr">
        <is>
          <t>Telemark Pyrenees</t>
        </is>
      </c>
      <c r="AI361" s="333" t="n">
        <v>421.65</v>
      </c>
      <c r="AJ361" t="inlineStr">
        <is>
          <t>https://tinyurl.com/y8qoqhpg</t>
        </is>
      </c>
      <c r="AK361" t="inlineStr">
        <is>
          <t>Volkl Blaze 94 Skis</t>
        </is>
      </c>
      <c r="AL361" t="inlineStr">
        <is>
          <t>Surfdome US</t>
        </is>
      </c>
      <c r="AM361" s="333" t="n">
        <v>428.45</v>
      </c>
      <c r="AN361" t="inlineStr">
        <is>
          <t>https://tinyurl.com/y89jugp3</t>
        </is>
      </c>
      <c r="AO361" t="inlineStr">
        <is>
          <t>Volkl Blaze 94 Skis</t>
        </is>
      </c>
      <c r="AP361" t="inlineStr">
        <is>
          <t>The-House.com</t>
        </is>
      </c>
      <c r="AQ361" s="333" t="n">
        <v>439.95</v>
      </c>
      <c r="AR361" t="inlineStr">
        <is>
          <t>https://tinyurl.com/ybl6sx66</t>
        </is>
      </c>
      <c r="AS361" s="314">
        <f>IF(LEFT(C361,1)=" ",RIGHT(C361,LEN(C361)-1),C361)</f>
        <v/>
      </c>
      <c r="AT361" s="281">
        <f>_xlfn.CONCAT(B361,AS361,D361,E361)</f>
        <v/>
      </c>
    </row>
    <row r="362">
      <c r="A362" t="inlineStr">
        <is>
          <t>21/22</t>
        </is>
      </c>
      <c r="B362" t="inlineStr">
        <is>
          <t xml:space="preserve"> Armada</t>
        </is>
      </c>
      <c r="C362" t="inlineStr">
        <is>
          <t>Declivity 102 Ti</t>
        </is>
      </c>
      <c r="D362" t="n">
        <v>172</v>
      </c>
      <c r="E362" t="inlineStr">
        <is>
          <t xml:space="preserve"> Unisex</t>
        </is>
      </c>
      <c r="F362" t="n">
        <v>172</v>
      </c>
      <c r="G362" t="n">
        <v>171.7</v>
      </c>
      <c r="H362" t="n">
        <v>126</v>
      </c>
      <c r="I362" t="n">
        <v>142</v>
      </c>
      <c r="J362" t="n">
        <v>133</v>
      </c>
      <c r="K362" t="n">
        <v>101</v>
      </c>
      <c r="L362" t="n">
        <v>123</v>
      </c>
      <c r="M362" t="n">
        <v>17.8</v>
      </c>
      <c r="N362" t="n">
        <v>1896</v>
      </c>
      <c r="O362" t="n">
        <v>1.01</v>
      </c>
      <c r="P362" t="n">
        <v>1914</v>
      </c>
      <c r="Q362" t="n">
        <v>209</v>
      </c>
      <c r="R362" t="n">
        <v>123</v>
      </c>
      <c r="S362" t="n">
        <v>54</v>
      </c>
      <c r="T362" t="n">
        <v>291</v>
      </c>
      <c r="U362" t="n">
        <v>18</v>
      </c>
      <c r="V362" t="n">
        <v>164</v>
      </c>
      <c r="W362" t="n">
        <v>0.332</v>
      </c>
      <c r="X362" t="n">
        <v>173</v>
      </c>
      <c r="Y362" t="n">
        <v>120</v>
      </c>
      <c r="Z362" t="n">
        <v>118</v>
      </c>
      <c r="AA362" t="n">
        <v>7</v>
      </c>
      <c r="AB362" t="n">
        <v>7.7</v>
      </c>
      <c r="AC362" t="inlineStr">
        <is>
          <t xml:space="preserve"> Resort Freeride</t>
        </is>
      </c>
      <c r="AD362" t="inlineStr">
        <is>
          <t xml:space="preserve"> Big Mountain</t>
        </is>
      </c>
      <c r="AG362" t="inlineStr">
        <is>
          <t>Armada Declivity 102 Ti Skis</t>
        </is>
      </c>
      <c r="AH362" t="inlineStr">
        <is>
          <t>Snowcountry.eu</t>
        </is>
      </c>
      <c r="AI362" s="333" t="n">
        <v>450.88</v>
      </c>
      <c r="AJ362" t="inlineStr">
        <is>
          <t>https://tinyurl.com/yausgh8y</t>
        </is>
      </c>
      <c r="AK362" t="inlineStr">
        <is>
          <t>Armada Declivity 102 Ti Skis</t>
        </is>
      </c>
      <c r="AL362" t="inlineStr">
        <is>
          <t>! OutdoorXL.com</t>
        </is>
      </c>
      <c r="AM362" s="333" t="n">
        <v>514.95</v>
      </c>
      <c r="AN362" t="inlineStr">
        <is>
          <t>https://tinyurl.com/ycletr6y</t>
        </is>
      </c>
      <c r="AO362" t="inlineStr">
        <is>
          <t>Armada Declivity 102 Ti Skis</t>
        </is>
      </c>
      <c r="AP362" t="inlineStr">
        <is>
          <t>evo.com</t>
        </is>
      </c>
      <c r="AQ362" s="333" t="n">
        <v>599.96</v>
      </c>
      <c r="AR362" t="inlineStr">
        <is>
          <t>https://tinyurl.com/yaezu6ck</t>
        </is>
      </c>
      <c r="AS362" s="314">
        <f>IF(LEFT(C362,1)=" ",RIGHT(C362,LEN(C362)-1),C362)</f>
        <v/>
      </c>
      <c r="AT362" s="281">
        <f>_xlfn.CONCAT(B362,AS362,D362,E362)</f>
        <v/>
      </c>
    </row>
    <row r="363">
      <c r="A363" t="inlineStr">
        <is>
          <t>21/22</t>
        </is>
      </c>
      <c r="B363" t="inlineStr">
        <is>
          <t xml:space="preserve"> Black Crows</t>
        </is>
      </c>
      <c r="C363" t="inlineStr">
        <is>
          <t xml:space="preserve"> Ferox Freebird</t>
        </is>
      </c>
      <c r="D363" t="n">
        <v>170.1</v>
      </c>
      <c r="E363" t="inlineStr">
        <is>
          <t xml:space="preserve"> Unisex</t>
        </is>
      </c>
      <c r="F363" t="n">
        <v>170.1</v>
      </c>
      <c r="G363" t="n">
        <v>168.7</v>
      </c>
      <c r="H363" t="n">
        <v>122</v>
      </c>
      <c r="I363" t="n">
        <v>136</v>
      </c>
      <c r="J363" t="n">
        <v>135</v>
      </c>
      <c r="K363" t="n">
        <v>108</v>
      </c>
      <c r="L363" t="n">
        <v>124</v>
      </c>
      <c r="M363" t="n">
        <v>20.9</v>
      </c>
      <c r="N363" t="n">
        <v>1727</v>
      </c>
      <c r="O363" t="n">
        <v>1.14</v>
      </c>
      <c r="P363" t="n">
        <v>1960</v>
      </c>
      <c r="Q363" t="n">
        <v>180</v>
      </c>
      <c r="R363" t="n">
        <v>73</v>
      </c>
      <c r="S363" t="n">
        <v>39</v>
      </c>
      <c r="T363" t="n">
        <v>200</v>
      </c>
      <c r="U363" t="n">
        <v>36</v>
      </c>
      <c r="V363" t="n">
        <v>271</v>
      </c>
      <c r="W363" t="n">
        <v>0.907999999999999</v>
      </c>
      <c r="X363" t="n">
        <v>190</v>
      </c>
      <c r="Y363" t="n">
        <v>141</v>
      </c>
      <c r="Z363" t="n">
        <v>10</v>
      </c>
      <c r="AA363" t="n">
        <v>3</v>
      </c>
      <c r="AB363" t="n">
        <v>8.5</v>
      </c>
      <c r="AC363" t="inlineStr">
        <is>
          <t xml:space="preserve"> Freeski</t>
        </is>
      </c>
      <c r="AD363" t="inlineStr">
        <is>
          <t xml:space="preserve"> Powder</t>
        </is>
      </c>
      <c r="AE363" t="inlineStr">
        <is>
          <t xml:space="preserve"> Touring</t>
        </is>
      </c>
      <c r="AG363" t="inlineStr">
        <is>
          <t>2022 Black Crows Ferox Freebird Skis w/ Marker Kingpin 13 Bindings - 170| Ski Essentials</t>
        </is>
      </c>
      <c r="AH363" t="inlineStr">
        <is>
          <t>SkiEssentials.com</t>
        </is>
      </c>
      <c r="AI363" s="333" t="n">
        <v>1210.92</v>
      </c>
      <c r="AJ363" t="inlineStr">
        <is>
          <t>https://tinyurl.com/y7gof943</t>
        </is>
      </c>
      <c r="AK363" t="inlineStr">
        <is>
          <t>Black Crows Ferox Freebird Skis (2022) 170</t>
        </is>
      </c>
      <c r="AL363" t="inlineStr">
        <is>
          <t>Cripple Creek Backcountry</t>
        </is>
      </c>
      <c r="AM363" s="333" t="n">
        <v>799.95</v>
      </c>
      <c r="AN363" t="inlineStr">
        <is>
          <t>https://tinyurl.com/ybu29mlf</t>
        </is>
      </c>
      <c r="AO363" t="inlineStr">
        <is>
          <t>Black Crows Ferox Freebird Skis 170 cm</t>
        </is>
      </c>
      <c r="AP363" t="inlineStr">
        <is>
          <t>Powder7 Ski Shop</t>
        </is>
      </c>
      <c r="AQ363" s="333" t="n">
        <v>815.96</v>
      </c>
      <c r="AR363" t="inlineStr">
        <is>
          <t>https://tinyurl.com/ybw7xvxt</t>
        </is>
      </c>
      <c r="AS363" s="314">
        <f>IF(LEFT(C363,1)=" ",RIGHT(C363,LEN(C363)-1),C363)</f>
        <v/>
      </c>
      <c r="AT363" s="281">
        <f>_xlfn.CONCAT(B363,AS363,D363,E363)</f>
        <v/>
      </c>
    </row>
    <row r="364">
      <c r="A364" t="inlineStr">
        <is>
          <t>21/22</t>
        </is>
      </c>
      <c r="B364" t="inlineStr">
        <is>
          <t xml:space="preserve"> Blizzard</t>
        </is>
      </c>
      <c r="C364" t="inlineStr">
        <is>
          <t>Rustler 11</t>
        </is>
      </c>
      <c r="D364" t="n">
        <v>172</v>
      </c>
      <c r="E364" t="inlineStr">
        <is>
          <t xml:space="preserve"> Unisex</t>
        </is>
      </c>
      <c r="F364" t="n">
        <v>172</v>
      </c>
      <c r="G364" t="n">
        <v>170.8</v>
      </c>
      <c r="H364" t="n">
        <v>103</v>
      </c>
      <c r="I364" t="n">
        <v>140</v>
      </c>
      <c r="J364" t="n">
        <v>138</v>
      </c>
      <c r="K364" t="n">
        <v>111</v>
      </c>
      <c r="L364" t="n">
        <v>127</v>
      </c>
      <c r="M364" t="n">
        <v>19.5</v>
      </c>
      <c r="N364" t="n">
        <v>1985</v>
      </c>
      <c r="O364" t="n">
        <v>1.03</v>
      </c>
      <c r="P364" t="n">
        <v>2043</v>
      </c>
      <c r="Q364" t="n">
        <v>194</v>
      </c>
      <c r="R364" t="n">
        <v>100</v>
      </c>
      <c r="S364" t="n">
        <v>63</v>
      </c>
      <c r="T364" t="n">
        <v>391</v>
      </c>
      <c r="U364" t="n">
        <v>24</v>
      </c>
      <c r="V364" t="n">
        <v>284</v>
      </c>
      <c r="W364" t="n">
        <v>0.382</v>
      </c>
      <c r="X364" t="n">
        <v>161</v>
      </c>
      <c r="Y364" t="n">
        <v>144</v>
      </c>
      <c r="Z364" t="n">
        <v>230</v>
      </c>
      <c r="AA364" t="n">
        <v>4</v>
      </c>
      <c r="AB364" t="n">
        <v>7.2</v>
      </c>
      <c r="AC364" t="inlineStr">
        <is>
          <t xml:space="preserve"> Powder</t>
        </is>
      </c>
      <c r="AD364" t="inlineStr">
        <is>
          <t xml:space="preserve"> Big Mountain</t>
        </is>
      </c>
      <c r="AG364" t="inlineStr">
        <is>
          <t>Blizzard Rustler 11 Skis 2022</t>
        </is>
      </c>
      <c r="AH364" t="inlineStr">
        <is>
          <t>Next Adventure</t>
        </is>
      </c>
      <c r="AI364" s="333" t="n">
        <v>599.96</v>
      </c>
      <c r="AJ364" t="inlineStr">
        <is>
          <t>https://tinyurl.com/y8p3lcct</t>
        </is>
      </c>
      <c r="AK364" t="inlineStr">
        <is>
          <t>Blizzard Rustler 11 Skis 2022</t>
        </is>
      </c>
      <c r="AL364" t="inlineStr">
        <is>
          <t>Powder7 Ski Shop</t>
        </is>
      </c>
      <c r="AM364" s="333" t="n">
        <v>649.9299999999999</v>
      </c>
      <c r="AN364" t="inlineStr">
        <is>
          <t>https://tinyurl.com/y8hdx2y5</t>
        </is>
      </c>
      <c r="AO364" t="inlineStr">
        <is>
          <t>Blizzard Rustler 11 Skis - 2022 172cm</t>
        </is>
      </c>
      <c r="AP364" t="inlineStr">
        <is>
          <t>Glacier Ski Shop</t>
        </is>
      </c>
      <c r="AQ364" s="333" t="n">
        <v>674</v>
      </c>
      <c r="AR364" t="inlineStr">
        <is>
          <t>https://tinyurl.com/yc2e4ajh</t>
        </is>
      </c>
      <c r="AS364" s="314">
        <f>IF(LEFT(C364,1)=" ",RIGHT(C364,LEN(C364)-1),C364)</f>
        <v/>
      </c>
      <c r="AT364" s="281">
        <f>_xlfn.CONCAT(B364,AS364,D364,E364)</f>
        <v/>
      </c>
    </row>
    <row r="365">
      <c r="A365" t="inlineStr">
        <is>
          <t>21/22</t>
        </is>
      </c>
      <c r="B365" t="inlineStr">
        <is>
          <t xml:space="preserve"> J Skis</t>
        </is>
      </c>
      <c r="C365" t="inlineStr">
        <is>
          <t xml:space="preserve"> The Whipit</t>
        </is>
      </c>
      <c r="D365" t="n">
        <v>178</v>
      </c>
      <c r="E365" t="inlineStr">
        <is>
          <t xml:space="preserve"> Unisex</t>
        </is>
      </c>
      <c r="F365" t="n">
        <v>178</v>
      </c>
      <c r="G365" t="n">
        <v>175.6</v>
      </c>
      <c r="H365" t="n">
        <v>122</v>
      </c>
      <c r="I365" t="n">
        <v>147</v>
      </c>
      <c r="J365" t="n">
        <v>113</v>
      </c>
      <c r="K365" t="n">
        <v>89</v>
      </c>
      <c r="L365" t="n">
        <v>110</v>
      </c>
      <c r="M365" t="n">
        <v>21.4</v>
      </c>
      <c r="N365" t="n">
        <v>1856</v>
      </c>
      <c r="O365" t="n">
        <v>0.92</v>
      </c>
      <c r="P365" t="n">
        <v>1716</v>
      </c>
      <c r="Q365" t="n">
        <v>194</v>
      </c>
      <c r="R365" t="n">
        <v>79</v>
      </c>
      <c r="S365" t="n">
        <v>50</v>
      </c>
      <c r="T365" t="n">
        <v>266</v>
      </c>
      <c r="U365" t="n">
        <v>49</v>
      </c>
      <c r="V365" t="n">
        <v>271</v>
      </c>
      <c r="W365" t="n">
        <v>0.977</v>
      </c>
      <c r="X365" t="n">
        <v>136</v>
      </c>
      <c r="Y365" t="n">
        <v>148</v>
      </c>
      <c r="Z365" t="n">
        <v>130</v>
      </c>
      <c r="AA365" t="n">
        <v>4</v>
      </c>
      <c r="AB365" t="n">
        <v>0.3</v>
      </c>
      <c r="AC365" t="inlineStr">
        <is>
          <t xml:space="preserve"> Freeski</t>
        </is>
      </c>
      <c r="AG365" t="inlineStr">
        <is>
          <t>Single Skis Allplay - Rat Rod 178cm - Right Single Ski</t>
        </is>
      </c>
      <c r="AH365" t="inlineStr">
        <is>
          <t>J Skis</t>
        </is>
      </c>
      <c r="AI365" s="333" t="n">
        <v>199</v>
      </c>
      <c r="AJ365" t="inlineStr">
        <is>
          <t>https://tinyurl.com/y7uotf6v</t>
        </is>
      </c>
      <c r="AK365" t="inlineStr">
        <is>
          <t>Juventus - Handmade Skis</t>
        </is>
      </c>
      <c r="AL365" t="inlineStr">
        <is>
          <t>Juventus Official Store</t>
        </is>
      </c>
      <c r="AM365" s="333" t="n">
        <v>2118.7</v>
      </c>
      <c r="AN365" t="inlineStr">
        <is>
          <t>https://tinyurl.com/yb2uk6gp</t>
        </is>
      </c>
      <c r="AO365" t="inlineStr">
        <is>
          <t>Scott Superguide 88 Touring Skis (21/22)</t>
        </is>
      </c>
      <c r="AP365" t="inlineStr">
        <is>
          <t>Telemark Pyrenees</t>
        </is>
      </c>
      <c r="AQ365" s="333" t="n">
        <v>352.89</v>
      </c>
      <c r="AR365" t="inlineStr">
        <is>
          <t>https://tinyurl.com/yafgse5m</t>
        </is>
      </c>
      <c r="AS365" s="314">
        <f>IF(LEFT(C365,1)=" ",RIGHT(C365,LEN(C365)-1),C365)</f>
        <v/>
      </c>
      <c r="AT365" s="281">
        <f>_xlfn.CONCAT(B365,AS365,D365,E365)</f>
        <v/>
      </c>
    </row>
    <row r="366">
      <c r="A366" t="inlineStr">
        <is>
          <t>21/22</t>
        </is>
      </c>
      <c r="B366" t="inlineStr">
        <is>
          <t xml:space="preserve"> Fischer</t>
        </is>
      </c>
      <c r="C366" t="inlineStr">
        <is>
          <t>Ranger 115 FR Big Stix</t>
        </is>
      </c>
      <c r="D366" t="n">
        <v>178</v>
      </c>
      <c r="E366" t="inlineStr">
        <is>
          <t xml:space="preserve"> Unisex</t>
        </is>
      </c>
      <c r="F366" t="n">
        <v>178</v>
      </c>
      <c r="G366" t="n">
        <v>179</v>
      </c>
      <c r="H366" t="n">
        <v>130</v>
      </c>
      <c r="I366" t="n">
        <v>148</v>
      </c>
      <c r="J366" t="n">
        <v>140</v>
      </c>
      <c r="K366" t="n">
        <v>111</v>
      </c>
      <c r="L366" t="n">
        <v>130</v>
      </c>
      <c r="M366" t="n">
        <v>19</v>
      </c>
      <c r="N366" t="n">
        <v>1998</v>
      </c>
      <c r="O366" t="n">
        <v>1.08</v>
      </c>
      <c r="P366" t="n">
        <v>2157</v>
      </c>
      <c r="Q366" t="n">
        <v>203</v>
      </c>
      <c r="R366" t="n">
        <v>91</v>
      </c>
      <c r="S366" t="n">
        <v>46</v>
      </c>
      <c r="T366" t="n">
        <v>316</v>
      </c>
      <c r="U366" t="n">
        <v>31</v>
      </c>
      <c r="V366" t="n">
        <v>179</v>
      </c>
      <c r="W366" t="n">
        <v>0.674</v>
      </c>
      <c r="X366" t="n">
        <v>149</v>
      </c>
      <c r="Y366" t="n">
        <v>160</v>
      </c>
      <c r="Z366" t="n">
        <v>167</v>
      </c>
      <c r="AA366" t="n">
        <v>9</v>
      </c>
      <c r="AB366" t="n">
        <v>9.5</v>
      </c>
      <c r="AC366" t="inlineStr">
        <is>
          <t xml:space="preserve"> Powder</t>
        </is>
      </c>
      <c r="AD366" t="inlineStr">
        <is>
          <t xml:space="preserve"> Touring</t>
        </is>
      </c>
      <c r="AG366" t="inlineStr">
        <is>
          <t>Fischer Ranger 115 FR Skis Mens 2021</t>
        </is>
      </c>
      <c r="AH366" t="inlineStr">
        <is>
          <t>BlueZone Sports</t>
        </is>
      </c>
      <c r="AI366" s="333" t="n">
        <v>799.99</v>
      </c>
      <c r="AJ366" t="inlineStr">
        <is>
          <t>https://tinyurl.com/y8pxwroq</t>
        </is>
      </c>
      <c r="AK366" t="inlineStr">
        <is>
          <t>Fischer Ranger 92 Ti Skis 2021</t>
        </is>
      </c>
      <c r="AL366" t="inlineStr">
        <is>
          <t>! OutdoorXL.com</t>
        </is>
      </c>
      <c r="AM366" s="333" t="n">
        <v>414.95</v>
      </c>
      <c r="AN366" t="inlineStr">
        <is>
          <t>https://tinyurl.com/ycoeyjrd</t>
        </is>
      </c>
      <c r="AO366" t="inlineStr">
        <is>
          <t>Fischer Ranger 92 TI Flat Ski 2021-2022 | BLACK/BLUE / 178</t>
        </is>
      </c>
      <c r="AP366" t="inlineStr">
        <is>
          <t>Ski Pro  - Snow Ski &amp; Snowboard</t>
        </is>
      </c>
      <c r="AQ366" s="333" t="n">
        <v>499.95</v>
      </c>
      <c r="AR366" t="inlineStr">
        <is>
          <t>https://tinyurl.com/y9ths9b7</t>
        </is>
      </c>
      <c r="AS366" s="314">
        <f>IF(LEFT(C366,1)=" ",RIGHT(C366,LEN(C366)-1),C366)</f>
        <v/>
      </c>
      <c r="AT366" s="281">
        <f>_xlfn.CONCAT(B366,AS366,D366,E366)</f>
        <v/>
      </c>
    </row>
    <row r="367">
      <c r="A367" t="inlineStr">
        <is>
          <t>21/22</t>
        </is>
      </c>
      <c r="B367" t="inlineStr">
        <is>
          <t xml:space="preserve"> Nordica</t>
        </is>
      </c>
      <c r="C367" t="inlineStr">
        <is>
          <t>Santa Ana 88</t>
        </is>
      </c>
      <c r="D367" t="n">
        <v>172</v>
      </c>
      <c r="E367" t="inlineStr">
        <is>
          <t xml:space="preserve"> Women's</t>
        </is>
      </c>
      <c r="F367" t="n">
        <v>172</v>
      </c>
      <c r="G367" t="n">
        <v>172</v>
      </c>
      <c r="H367" t="n">
        <v>126</v>
      </c>
      <c r="I367" t="n">
        <v>143</v>
      </c>
      <c r="J367" t="n">
        <v>122</v>
      </c>
      <c r="K367" t="n">
        <v>87</v>
      </c>
      <c r="L367" t="n">
        <v>108</v>
      </c>
      <c r="M367" t="n">
        <v>16.1</v>
      </c>
      <c r="N367" t="n">
        <v>1894</v>
      </c>
      <c r="O367" t="n">
        <v>0.9</v>
      </c>
      <c r="P367" t="n">
        <v>1697</v>
      </c>
      <c r="Q367" t="n">
        <v>205</v>
      </c>
      <c r="R367" t="n">
        <v>101</v>
      </c>
      <c r="S367" t="n">
        <v>59</v>
      </c>
      <c r="T367" t="n">
        <v>266</v>
      </c>
      <c r="U367" t="n">
        <v>16</v>
      </c>
      <c r="V367" t="n">
        <v>198</v>
      </c>
      <c r="W367" t="n">
        <v>0.267</v>
      </c>
      <c r="X367" t="n">
        <v>134</v>
      </c>
      <c r="Y367" t="n">
        <v>152</v>
      </c>
      <c r="Z367" t="n">
        <v>132</v>
      </c>
      <c r="AA367" t="n">
        <v>7</v>
      </c>
      <c r="AB367" t="n">
        <v>8.5</v>
      </c>
      <c r="AC367" t="inlineStr">
        <is>
          <t xml:space="preserve"> Resort Freeride</t>
        </is>
      </c>
      <c r="AG367" t="inlineStr">
        <is>
          <t>Nordica Enforcer 88 / Santa Ana 93 Ski Skins - 2022 172 cm</t>
        </is>
      </c>
      <c r="AH367" t="inlineStr">
        <is>
          <t>Arlberg Ski &amp; Surf Shops</t>
        </is>
      </c>
      <c r="AI367" s="333" t="n">
        <v>209.95</v>
      </c>
      <c r="AJ367" t="inlineStr">
        <is>
          <t>https://tinyurl.com/ybjhc2gy</t>
        </is>
      </c>
      <c r="AK367" t="inlineStr">
        <is>
          <t>'22 Nordica Santa Ana 88 Skis 172cm</t>
        </is>
      </c>
      <c r="AL367" t="inlineStr">
        <is>
          <t>Al's Ski Equipment Barn</t>
        </is>
      </c>
      <c r="AM367" s="333" t="n">
        <v>529.95</v>
      </c>
      <c r="AN367" t="inlineStr">
        <is>
          <t>https://tinyurl.com/yb3xnajc</t>
        </is>
      </c>
      <c r="AO367" t="inlineStr">
        <is>
          <t>Nordica Women's Santa Ana 88 Alpine Ski 2022 172</t>
        </is>
      </c>
      <c r="AP367" t="inlineStr">
        <is>
          <t>Boyne Country Sports</t>
        </is>
      </c>
      <c r="AQ367" s="333" t="n">
        <v>599.99</v>
      </c>
      <c r="AR367" t="inlineStr">
        <is>
          <t>https://tinyurl.com/y8eznp7f</t>
        </is>
      </c>
      <c r="AS367" s="314">
        <f>IF(LEFT(C367,1)=" ",RIGHT(C367,LEN(C367)-1),C367)</f>
        <v/>
      </c>
      <c r="AT367" s="281">
        <f>_xlfn.CONCAT(B367,AS367,D367,E367)</f>
        <v/>
      </c>
    </row>
    <row r="368">
      <c r="A368" t="inlineStr">
        <is>
          <t>21/22</t>
        </is>
      </c>
      <c r="B368" t="inlineStr">
        <is>
          <t xml:space="preserve"> Salomon</t>
        </is>
      </c>
      <c r="C368" t="inlineStr">
        <is>
          <t>QST 106</t>
        </is>
      </c>
      <c r="D368" t="n">
        <v>174</v>
      </c>
      <c r="E368" t="inlineStr">
        <is>
          <t xml:space="preserve"> Unisex</t>
        </is>
      </c>
      <c r="F368" t="n">
        <v>174</v>
      </c>
      <c r="G368" t="n">
        <v>173.9</v>
      </c>
      <c r="H368" t="n">
        <v>109</v>
      </c>
      <c r="I368" t="n">
        <v>144</v>
      </c>
      <c r="J368" t="n">
        <v>137</v>
      </c>
      <c r="K368" t="n">
        <v>105</v>
      </c>
      <c r="L368" t="n">
        <v>123</v>
      </c>
      <c r="M368" t="n">
        <v>19.1</v>
      </c>
      <c r="N368" t="n">
        <v>2014</v>
      </c>
      <c r="O368" t="n">
        <v>0.99</v>
      </c>
      <c r="P368" t="n">
        <v>2000</v>
      </c>
      <c r="Q368" t="n">
        <v>211</v>
      </c>
      <c r="R368" t="n">
        <v>97</v>
      </c>
      <c r="S368" t="n">
        <v>59</v>
      </c>
      <c r="T368" t="n">
        <v>365</v>
      </c>
      <c r="U368" t="n">
        <v>22</v>
      </c>
      <c r="V368" t="n">
        <v>282</v>
      </c>
      <c r="W368" t="n">
        <v>0.377999999999999</v>
      </c>
      <c r="X368" t="n">
        <v>181</v>
      </c>
      <c r="Y368" t="n">
        <v>119</v>
      </c>
      <c r="Z368" t="n">
        <v>183</v>
      </c>
      <c r="AA368" t="n">
        <v>6</v>
      </c>
      <c r="AB368" t="n">
        <v>9.4</v>
      </c>
      <c r="AC368" t="inlineStr">
        <is>
          <t xml:space="preserve"> Resort Freeride</t>
        </is>
      </c>
      <c r="AD368" t="inlineStr">
        <is>
          <t xml:space="preserve"> Powder</t>
        </is>
      </c>
      <c r="AE368" t="inlineStr">
        <is>
          <t xml:space="preserve"> Big Mountain</t>
        </is>
      </c>
      <c r="AG368" t="inlineStr">
        <is>
          <t>Salomon QST Stella 106 Beige/Pink / 174cm</t>
        </is>
      </c>
      <c r="AH368" t="inlineStr">
        <is>
          <t>Sundance Ski and Board Shop</t>
        </is>
      </c>
      <c r="AI368" s="333" t="n">
        <v>481.02</v>
      </c>
      <c r="AJ368" t="inlineStr">
        <is>
          <t>https://tinyurl.com/y9u3sk8c</t>
        </is>
      </c>
      <c r="AK368" t="inlineStr">
        <is>
          <t>Salomon QST 106</t>
        </is>
      </c>
      <c r="AL368" t="inlineStr">
        <is>
          <t>The-House.com</t>
        </is>
      </c>
      <c r="AM368" s="333" t="n">
        <v>537.95</v>
      </c>
      <c r="AN368" t="inlineStr">
        <is>
          <t>https://tinyurl.com/yd4hsaeo</t>
        </is>
      </c>
      <c r="AO368" t="inlineStr">
        <is>
          <t>Salomon QST Stella 106 Skis Women's 2022</t>
        </is>
      </c>
      <c r="AP368" t="inlineStr">
        <is>
          <t>Ski Pro  - Snow Ski &amp; Snowboard</t>
        </is>
      </c>
      <c r="AQ368" s="333" t="n">
        <v>549.95</v>
      </c>
      <c r="AR368" t="inlineStr">
        <is>
          <t>https://tinyurl.com/y8xvz8b2</t>
        </is>
      </c>
      <c r="AS368" s="314">
        <f>IF(LEFT(C368,1)=" ",RIGHT(C368,LEN(C368)-1),C368)</f>
        <v/>
      </c>
      <c r="AT368" s="281">
        <f>_xlfn.CONCAT(B368,AS368,D368,E368)</f>
        <v/>
      </c>
    </row>
    <row r="369">
      <c r="A369" t="inlineStr">
        <is>
          <t>21/22</t>
        </is>
      </c>
      <c r="B369" t="inlineStr">
        <is>
          <t xml:space="preserve"> Scott</t>
        </is>
      </c>
      <c r="C369" t="inlineStr">
        <is>
          <t>Superguide 88</t>
        </is>
      </c>
      <c r="D369" t="n">
        <v>170</v>
      </c>
      <c r="E369" t="inlineStr">
        <is>
          <t xml:space="preserve"> Unisex</t>
        </is>
      </c>
      <c r="F369" t="n">
        <v>170</v>
      </c>
      <c r="G369" t="n">
        <v>167.7</v>
      </c>
      <c r="H369" t="n">
        <v>131</v>
      </c>
      <c r="I369" t="n">
        <v>148</v>
      </c>
      <c r="J369" t="n">
        <v>123</v>
      </c>
      <c r="K369" t="n">
        <v>85</v>
      </c>
      <c r="L369" t="n">
        <v>108</v>
      </c>
      <c r="M369" t="n">
        <v>17.7</v>
      </c>
      <c r="N369" t="n">
        <v>1317</v>
      </c>
      <c r="O369" t="n">
        <v>1.23</v>
      </c>
      <c r="P369" t="n">
        <v>1624</v>
      </c>
      <c r="Q369" t="n">
        <v>252</v>
      </c>
      <c r="R369" t="n">
        <v>90</v>
      </c>
      <c r="S369" t="n">
        <v>56</v>
      </c>
      <c r="T369" t="n">
        <v>270</v>
      </c>
      <c r="U369" t="n">
        <v>14</v>
      </c>
      <c r="V369" t="n">
        <v>100</v>
      </c>
      <c r="W369" t="n">
        <v>0.25</v>
      </c>
      <c r="X369" t="n">
        <v>116</v>
      </c>
      <c r="Y369" t="n">
        <v>79</v>
      </c>
      <c r="Z369" t="n">
        <v>154</v>
      </c>
      <c r="AA369" t="n">
        <v>8</v>
      </c>
      <c r="AB369" t="n">
        <v>11.2</v>
      </c>
      <c r="AC369" t="inlineStr">
        <is>
          <t xml:space="preserve"> Resort Freeride</t>
        </is>
      </c>
      <c r="AD369" t="inlineStr">
        <is>
          <t xml:space="preserve"> Touring</t>
        </is>
      </c>
      <c r="AG369" t="inlineStr">
        <is>
          <t>Scott Superguide 88 21/22</t>
        </is>
      </c>
      <c r="AH369" t="inlineStr">
        <is>
          <t>Telemark Pyrenees</t>
        </is>
      </c>
      <c r="AI369" s="333" t="n">
        <v>352.89</v>
      </c>
      <c r="AJ369" t="inlineStr">
        <is>
          <t>https://tinyurl.com/y82kc9sv</t>
        </is>
      </c>
      <c r="AK369" t="inlineStr">
        <is>
          <t>Scott Superguide 88 21/22</t>
        </is>
      </c>
      <c r="AL369" t="inlineStr">
        <is>
          <t>Snowcountry.eu</t>
        </is>
      </c>
      <c r="AM369" s="333" t="n">
        <v>354.99</v>
      </c>
      <c r="AN369" t="inlineStr">
        <is>
          <t>https://tinyurl.com/ychlq3n8</t>
        </is>
      </c>
      <c r="AO369" t="inlineStr">
        <is>
          <t>Scott Superguide 88 21/22</t>
        </is>
      </c>
      <c r="AP369" t="inlineStr">
        <is>
          <t>eBay - grassisport</t>
        </is>
      </c>
      <c r="AQ369" s="333" t="n">
        <v>456.18</v>
      </c>
      <c r="AR369" t="inlineStr">
        <is>
          <t>https://tinyurl.com/y7lfh7cv</t>
        </is>
      </c>
      <c r="AS369" s="314">
        <f>IF(LEFT(C369,1)=" ",RIGHT(C369,LEN(C369)-1),C369)</f>
        <v/>
      </c>
      <c r="AT369" s="281">
        <f>_xlfn.CONCAT(B369,AS369,D369,E369)</f>
        <v/>
      </c>
    </row>
    <row r="370">
      <c r="A370" t="inlineStr">
        <is>
          <t>21/22</t>
        </is>
      </c>
      <c r="B370" t="inlineStr">
        <is>
          <t xml:space="preserve"> Armada</t>
        </is>
      </c>
      <c r="C370" t="inlineStr">
        <is>
          <t>Tracer 108</t>
        </is>
      </c>
      <c r="D370" t="n">
        <v>188</v>
      </c>
      <c r="E370" t="inlineStr">
        <is>
          <t xml:space="preserve"> Unisex</t>
        </is>
      </c>
      <c r="F370" t="n">
        <v>188</v>
      </c>
      <c r="G370" t="n">
        <v>187.3</v>
      </c>
      <c r="H370" t="n">
        <v>128</v>
      </c>
      <c r="I370" t="n">
        <v>149</v>
      </c>
      <c r="J370" t="n">
        <v>134</v>
      </c>
      <c r="K370" t="n">
        <v>107</v>
      </c>
      <c r="L370" t="n">
        <v>125</v>
      </c>
      <c r="M370" t="n">
        <v>20.7</v>
      </c>
      <c r="N370" t="n">
        <v>1799</v>
      </c>
      <c r="O370" t="n">
        <v>1.21</v>
      </c>
      <c r="P370" t="n">
        <v>2185</v>
      </c>
      <c r="Q370" t="n">
        <v>210</v>
      </c>
      <c r="R370" t="n">
        <v>122</v>
      </c>
      <c r="S370" t="n">
        <v>49</v>
      </c>
      <c r="T370" t="n">
        <v>426</v>
      </c>
      <c r="U370" t="n">
        <v>28</v>
      </c>
      <c r="V370" t="n">
        <v>169</v>
      </c>
      <c r="W370" t="n">
        <v>0.58</v>
      </c>
      <c r="X370" t="n">
        <v>211</v>
      </c>
      <c r="Y370" t="n">
        <v>170</v>
      </c>
      <c r="Z370" t="n">
        <v>215</v>
      </c>
      <c r="AA370" t="n">
        <v>4</v>
      </c>
      <c r="AB370" t="n">
        <v>10.8</v>
      </c>
      <c r="AC370" t="inlineStr">
        <is>
          <t xml:space="preserve"> Powder</t>
        </is>
      </c>
      <c r="AD370" t="inlineStr">
        <is>
          <t xml:space="preserve"> Touring</t>
        </is>
      </c>
      <c r="AG370" t="inlineStr">
        <is>
          <t>Armada Tracer 108 Skis 2022 188cm</t>
        </is>
      </c>
      <c r="AH370" t="inlineStr">
        <is>
          <t>Snowcountry.eu</t>
        </is>
      </c>
      <c r="AI370" s="333" t="n">
        <v>423.23</v>
      </c>
      <c r="AJ370" t="inlineStr">
        <is>
          <t>https://tinyurl.com/y7lmjle6</t>
        </is>
      </c>
      <c r="AK370" t="inlineStr">
        <is>
          <t>Armada Tracer 108 Limited Purple-White-Orange 188 Ski Men</t>
        </is>
      </c>
      <c r="AL370" t="inlineStr">
        <is>
          <t>! OutdoorXL.com</t>
        </is>
      </c>
      <c r="AM370" s="333" t="n">
        <v>424.95</v>
      </c>
      <c r="AN370" t="inlineStr">
        <is>
          <t>https://tinyurl.com/y9bdn877</t>
        </is>
      </c>
      <c r="AO370" t="inlineStr">
        <is>
          <t>Armada Tracer 108 Skis w/Armada NR Warden MNC 13 Demo Bindings</t>
        </is>
      </c>
      <c r="AP370" t="inlineStr">
        <is>
          <t>Geartrade.com</t>
        </is>
      </c>
      <c r="AQ370" s="333" t="n">
        <v>489.95</v>
      </c>
      <c r="AR370" t="inlineStr">
        <is>
          <t>https://tinyurl.com/yc5xfxfv</t>
        </is>
      </c>
      <c r="AS370" s="314">
        <f>IF(LEFT(C370,1)=" ",RIGHT(C370,LEN(C370)-1),C370)</f>
        <v/>
      </c>
      <c r="AT370" s="281">
        <f>_xlfn.CONCAT(B370,AS370,D370,E370)</f>
        <v/>
      </c>
    </row>
    <row r="371">
      <c r="A371" t="inlineStr">
        <is>
          <t>21/22</t>
        </is>
      </c>
      <c r="B371" t="inlineStr">
        <is>
          <t xml:space="preserve"> Dynafit</t>
        </is>
      </c>
      <c r="C371" t="inlineStr">
        <is>
          <t>Blacklight 95</t>
        </is>
      </c>
      <c r="D371" t="n">
        <v>184</v>
      </c>
      <c r="E371" t="inlineStr">
        <is>
          <t xml:space="preserve"> Unisex</t>
        </is>
      </c>
      <c r="F371" t="n">
        <v>184</v>
      </c>
      <c r="G371" t="n">
        <v>182</v>
      </c>
      <c r="H371" t="n">
        <v>145</v>
      </c>
      <c r="I371" t="n">
        <v>158</v>
      </c>
      <c r="J371" t="n">
        <v>128</v>
      </c>
      <c r="K371" t="n">
        <v>96</v>
      </c>
      <c r="L371" t="n">
        <v>116</v>
      </c>
      <c r="M371" t="n">
        <v>23.7</v>
      </c>
      <c r="N371" t="n">
        <v>1367</v>
      </c>
      <c r="O371" t="n">
        <v>1.39</v>
      </c>
      <c r="P371" t="n">
        <v>1903</v>
      </c>
      <c r="Q371" t="n">
        <v>292</v>
      </c>
      <c r="R371" t="n">
        <v>103</v>
      </c>
      <c r="S371" t="n">
        <v>51</v>
      </c>
      <c r="T371" t="n">
        <v>277</v>
      </c>
      <c r="U371" t="n">
        <v>8</v>
      </c>
      <c r="V371" t="n">
        <v>97</v>
      </c>
      <c r="W371" t="n">
        <v>0.157</v>
      </c>
      <c r="X371" t="n">
        <v>146</v>
      </c>
      <c r="Y371" t="n">
        <v>99</v>
      </c>
      <c r="Z371" t="n">
        <v>131</v>
      </c>
      <c r="AA371" t="n">
        <v>6</v>
      </c>
      <c r="AB371" t="n">
        <v>12.4</v>
      </c>
      <c r="AC371" t="inlineStr">
        <is>
          <t xml:space="preserve"> Touring</t>
        </is>
      </c>
      <c r="AD371" t="inlineStr">
        <is>
          <t xml:space="preserve"> Ultralight Touring</t>
        </is>
      </c>
      <c r="AG371" t="inlineStr">
        <is>
          <t>Dynafit Blacklight 95 Ski Set - Black Magnet - 184cm</t>
        </is>
      </c>
      <c r="AH371" t="inlineStr">
        <is>
          <t>evo.com</t>
        </is>
      </c>
      <c r="AI371" s="333" t="n">
        <v>1199.95</v>
      </c>
      <c r="AJ371" t="inlineStr">
        <is>
          <t>https://tinyurl.com/y8srwo3k</t>
        </is>
      </c>
      <c r="AK371" t="inlineStr">
        <is>
          <t>Dynafit Blacklight 95 Ski Set - Black Magnet - 184cm</t>
        </is>
      </c>
      <c r="AL371" t="inlineStr">
        <is>
          <t>Backcountry.com</t>
        </is>
      </c>
      <c r="AM371" s="333" t="n">
        <v>1199.95</v>
      </c>
      <c r="AN371" t="inlineStr">
        <is>
          <t>https://tinyurl.com/y8cbaw6v</t>
        </is>
      </c>
      <c r="AO371" t="inlineStr">
        <is>
          <t>Dynafit Blacklight 95 Ski Set - Black Magnet - 184cm</t>
        </is>
      </c>
      <c r="AP371" t="inlineStr">
        <is>
          <t>REI</t>
        </is>
      </c>
      <c r="AQ371" s="333" t="n">
        <v>1199.95</v>
      </c>
      <c r="AR371" t="inlineStr">
        <is>
          <t>https://tinyurl.com/y9goln98</t>
        </is>
      </c>
      <c r="AS371" s="314">
        <f>IF(LEFT(C371,1)=" ",RIGHT(C371,LEN(C371)-1),C371)</f>
        <v/>
      </c>
      <c r="AT371" s="281">
        <f>_xlfn.CONCAT(B371,AS371,D371,E371)</f>
        <v/>
      </c>
    </row>
    <row r="372">
      <c r="A372" t="inlineStr">
        <is>
          <t>21/22</t>
        </is>
      </c>
      <c r="B372" t="inlineStr">
        <is>
          <t xml:space="preserve"> Nordica</t>
        </is>
      </c>
      <c r="C372" t="inlineStr">
        <is>
          <t>Santa Ana 98</t>
        </is>
      </c>
      <c r="D372" t="n">
        <v>172</v>
      </c>
      <c r="E372" t="inlineStr">
        <is>
          <t xml:space="preserve"> Women's</t>
        </is>
      </c>
      <c r="F372" t="n">
        <v>172</v>
      </c>
      <c r="G372" t="n">
        <v>171.1</v>
      </c>
      <c r="H372" t="n">
        <v>120</v>
      </c>
      <c r="I372" t="n">
        <v>142</v>
      </c>
      <c r="J372" t="n">
        <v>132</v>
      </c>
      <c r="K372" t="n">
        <v>99</v>
      </c>
      <c r="L372" t="n">
        <v>119</v>
      </c>
      <c r="M372" t="n">
        <v>16.9</v>
      </c>
      <c r="N372" t="n">
        <v>1927</v>
      </c>
      <c r="O372" t="n">
        <v>0.97</v>
      </c>
      <c r="P372" t="n">
        <v>1877</v>
      </c>
      <c r="Q372" t="n">
        <v>192</v>
      </c>
      <c r="R372" t="n">
        <v>99</v>
      </c>
      <c r="S372" t="n">
        <v>62</v>
      </c>
      <c r="T372" t="n">
        <v>296</v>
      </c>
      <c r="U372" t="n">
        <v>21</v>
      </c>
      <c r="V372" t="n">
        <v>213</v>
      </c>
      <c r="W372" t="n">
        <v>0.344</v>
      </c>
      <c r="X372" t="n">
        <v>142</v>
      </c>
      <c r="Y372" t="n">
        <v>150</v>
      </c>
      <c r="Z372" t="n">
        <v>154</v>
      </c>
      <c r="AA372" t="n">
        <v>5</v>
      </c>
      <c r="AB372" t="n">
        <v>8.199999999999999</v>
      </c>
      <c r="AC372" t="inlineStr">
        <is>
          <t xml:space="preserve"> Resort Freeride</t>
        </is>
      </c>
      <c r="AG372" t="inlineStr">
        <is>
          <t>Nordica Santa Ana 98 BLACK/BLUE / 172cm</t>
        </is>
      </c>
      <c r="AH372" t="inlineStr">
        <is>
          <t>Sundance Ski and Board Shop</t>
        </is>
      </c>
      <c r="AI372" s="333" t="n">
        <v>521.11</v>
      </c>
      <c r="AJ372" t="inlineStr">
        <is>
          <t>https://tinyurl.com/ycpdajvx</t>
        </is>
      </c>
      <c r="AK372" t="inlineStr">
        <is>
          <t>Nordica Santa Ana 98 Skis Women's 2022</t>
        </is>
      </c>
      <c r="AL372" t="inlineStr">
        <is>
          <t>BlueZone Sports</t>
        </is>
      </c>
      <c r="AM372" s="333" t="n">
        <v>524.99</v>
      </c>
      <c r="AN372" t="inlineStr">
        <is>
          <t>https://tinyurl.com/y9klonnm</t>
        </is>
      </c>
      <c r="AO372" t="inlineStr">
        <is>
          <t>Nordica Santa Ana 98 Skis Women's 2022</t>
        </is>
      </c>
      <c r="AP372" t="inlineStr">
        <is>
          <t>AlpineShopVT.com</t>
        </is>
      </c>
      <c r="AQ372" s="333" t="n">
        <v>559.99</v>
      </c>
      <c r="AR372" t="inlineStr">
        <is>
          <t>https://tinyurl.com/yan7vavu</t>
        </is>
      </c>
      <c r="AS372" s="314">
        <f>IF(LEFT(C372,1)=" ",RIGHT(C372,LEN(C372)-1),C372)</f>
        <v/>
      </c>
      <c r="AT372" s="281">
        <f>_xlfn.CONCAT(B372,AS372,D372,E372)</f>
        <v/>
      </c>
    </row>
    <row r="373">
      <c r="A373" t="inlineStr">
        <is>
          <t>21/22</t>
        </is>
      </c>
      <c r="B373" t="inlineStr">
        <is>
          <t xml:space="preserve"> Vï¿½lkl</t>
        </is>
      </c>
      <c r="C373" t="inlineStr">
        <is>
          <t>M6 Mantra</t>
        </is>
      </c>
      <c r="D373" t="n">
        <v>163</v>
      </c>
      <c r="E373" t="inlineStr">
        <is>
          <t xml:space="preserve"> Unisex</t>
        </is>
      </c>
      <c r="F373" t="n">
        <v>163</v>
      </c>
      <c r="G373" t="n">
        <v>163.4</v>
      </c>
      <c r="H373" t="n">
        <v>124</v>
      </c>
      <c r="I373" t="n">
        <v>140</v>
      </c>
      <c r="J373" t="n">
        <v>134</v>
      </c>
      <c r="K373" t="n">
        <v>95</v>
      </c>
      <c r="L373" t="n">
        <v>118</v>
      </c>
      <c r="M373" t="n">
        <v>15.2</v>
      </c>
      <c r="N373" t="n">
        <v>1813</v>
      </c>
      <c r="O373" t="n">
        <v>0.97</v>
      </c>
      <c r="P373" t="n">
        <v>1756</v>
      </c>
      <c r="Q373" t="n">
        <v>181</v>
      </c>
      <c r="R373" t="n">
        <v>119</v>
      </c>
      <c r="S373" t="n">
        <v>46</v>
      </c>
      <c r="T373" t="n">
        <v>234</v>
      </c>
      <c r="U373" t="n">
        <v>15</v>
      </c>
      <c r="V373" t="n">
        <v>163</v>
      </c>
      <c r="W373" t="n">
        <v>0.326</v>
      </c>
      <c r="X373" t="n">
        <v>133</v>
      </c>
      <c r="Y373" t="n">
        <v>100</v>
      </c>
      <c r="Z373" t="n">
        <v>101</v>
      </c>
      <c r="AA373" t="n">
        <v>4</v>
      </c>
      <c r="AB373" t="n">
        <v>11.1</v>
      </c>
      <c r="AC373" t="inlineStr">
        <is>
          <t xml:space="preserve"> Resort Freeride</t>
        </is>
      </c>
      <c r="AG373" t="inlineStr">
        <is>
          <t>Volkl M6 Mantra Flat Ski 2021-2022 | RED/BLACK / 163</t>
        </is>
      </c>
      <c r="AH373" t="inlineStr">
        <is>
          <t>Ski Pro  - Snow Ski &amp; Snowboard</t>
        </is>
      </c>
      <c r="AI373" s="333" t="n">
        <v>559.95</v>
      </c>
      <c r="AJ373" t="inlineStr">
        <is>
          <t>https://tinyurl.com/yafdpa32</t>
        </is>
      </c>
      <c r="AK373" t="inlineStr">
        <is>
          <t>Volkl M6 Mantra Skis 2022</t>
        </is>
      </c>
      <c r="AL373" t="inlineStr">
        <is>
          <t>evo.com</t>
        </is>
      </c>
      <c r="AM373" s="333" t="n">
        <v>559.99</v>
      </c>
      <c r="AN373" t="inlineStr">
        <is>
          <t>https://tinyurl.com/yc5jxovj</t>
        </is>
      </c>
      <c r="AO373" t="inlineStr">
        <is>
          <t>Volkl M6 Mantra Skis 2022</t>
        </is>
      </c>
      <c r="AP373" t="inlineStr">
        <is>
          <t>SkiEssentials.com</t>
        </is>
      </c>
      <c r="AQ373" s="333" t="n">
        <v>559.99</v>
      </c>
      <c r="AR373" t="inlineStr">
        <is>
          <t>https://tinyurl.com/yatpmqka</t>
        </is>
      </c>
      <c r="AS373" s="314">
        <f>IF(LEFT(C373,1)=" ",RIGHT(C373,LEN(C373)-1),C373)</f>
        <v/>
      </c>
      <c r="AT373" s="281">
        <f>_xlfn.CONCAT(B373,AS373,D373,E373)</f>
        <v/>
      </c>
    </row>
    <row r="374">
      <c r="A374" t="inlineStr">
        <is>
          <t>21/22</t>
        </is>
      </c>
      <c r="B374" t="inlineStr">
        <is>
          <t xml:space="preserve"> Armada</t>
        </is>
      </c>
      <c r="C374" t="inlineStr">
        <is>
          <t xml:space="preserve"> Edollo</t>
        </is>
      </c>
      <c r="D374" t="n">
        <v>172</v>
      </c>
      <c r="E374" t="inlineStr">
        <is>
          <t xml:space="preserve"> Unisex</t>
        </is>
      </c>
      <c r="F374" t="n">
        <v>172</v>
      </c>
      <c r="G374" t="n">
        <v>170</v>
      </c>
      <c r="H374" t="n">
        <v>126</v>
      </c>
      <c r="I374" t="n">
        <v>150</v>
      </c>
      <c r="J374" t="n">
        <v>130</v>
      </c>
      <c r="K374" t="n">
        <v>97</v>
      </c>
      <c r="L374" t="n">
        <v>120</v>
      </c>
      <c r="M374" t="n">
        <v>19.6</v>
      </c>
      <c r="N374" t="n">
        <v>1915</v>
      </c>
      <c r="O374" t="n">
        <v>0.95</v>
      </c>
      <c r="P374" t="n">
        <v>1816</v>
      </c>
      <c r="Q374" t="n">
        <v>170</v>
      </c>
      <c r="R374" t="n">
        <v>87</v>
      </c>
      <c r="S374" t="n">
        <v>55</v>
      </c>
      <c r="T374" t="n">
        <v>273</v>
      </c>
      <c r="U374" t="n">
        <v>46</v>
      </c>
      <c r="V374" t="n">
        <v>168</v>
      </c>
      <c r="W374" t="n">
        <v>0.841</v>
      </c>
      <c r="X374" t="n">
        <v>96</v>
      </c>
      <c r="Y374" t="n">
        <v>101</v>
      </c>
      <c r="Z374" t="n">
        <v>176</v>
      </c>
      <c r="AA374" t="n">
        <v>7</v>
      </c>
      <c r="AB374" t="n">
        <v>3.5</v>
      </c>
      <c r="AC374" t="inlineStr">
        <is>
          <t xml:space="preserve"> Resort Freeride</t>
        </is>
      </c>
      <c r="AD374" t="inlineStr">
        <is>
          <t xml:space="preserve"> Freeski</t>
        </is>
      </c>
      <c r="AG374" t="inlineStr">
        <is>
          <t>Armada Edollo Skis Â· 2022</t>
        </is>
      </c>
      <c r="AH374" t="inlineStr">
        <is>
          <t>Ski Pro  - Snow Ski &amp; Snowboard</t>
        </is>
      </c>
      <c r="AI374" s="333" t="n">
        <v>479.95</v>
      </c>
      <c r="AJ374" t="inlineStr">
        <is>
          <t>https://tinyurl.com/ydc7puf8</t>
        </is>
      </c>
      <c r="AK374" t="inlineStr">
        <is>
          <t>Armada Edollo Skis Â· 2022</t>
        </is>
      </c>
      <c r="AL374" t="inlineStr">
        <is>
          <t>Powder7 Ski Shop</t>
        </is>
      </c>
      <c r="AM374" s="333" t="n">
        <v>499.95</v>
      </c>
      <c r="AN374" t="inlineStr">
        <is>
          <t>https://tinyurl.com/yc67dgk4</t>
        </is>
      </c>
      <c r="AO374" t="inlineStr">
        <is>
          <t>Armada Edollo Skis Â· 2022</t>
        </is>
      </c>
      <c r="AP374" t="inlineStr">
        <is>
          <t>Gear West Ski &amp; Bike</t>
        </is>
      </c>
      <c r="AQ374" s="333" t="n">
        <v>519</v>
      </c>
      <c r="AR374" t="inlineStr">
        <is>
          <t>https://tinyurl.com/yc2c2rup</t>
        </is>
      </c>
      <c r="AS374" s="314">
        <f>IF(LEFT(C374,1)=" ",RIGHT(C374,LEN(C374)-1),C374)</f>
        <v/>
      </c>
      <c r="AT374" s="281">
        <f>_xlfn.CONCAT(B374,AS374,D374,E374)</f>
        <v/>
      </c>
    </row>
    <row r="375">
      <c r="A375" t="inlineStr">
        <is>
          <t>21/22</t>
        </is>
      </c>
      <c r="B375" t="inlineStr">
        <is>
          <t xml:space="preserve"> Black Diamond</t>
        </is>
      </c>
      <c r="C375" t="inlineStr">
        <is>
          <t>Impulse 98</t>
        </is>
      </c>
      <c r="D375" t="n">
        <v>161</v>
      </c>
      <c r="E375" t="inlineStr">
        <is>
          <t xml:space="preserve"> Unisex</t>
        </is>
      </c>
      <c r="F375" t="n">
        <v>161</v>
      </c>
      <c r="G375" t="n">
        <v>161.6</v>
      </c>
      <c r="H375" t="n">
        <v>118</v>
      </c>
      <c r="I375" t="n">
        <v>132</v>
      </c>
      <c r="J375" t="n">
        <v>129</v>
      </c>
      <c r="K375" t="n">
        <v>97</v>
      </c>
      <c r="L375" t="n">
        <v>117</v>
      </c>
      <c r="M375" t="n">
        <v>14.9</v>
      </c>
      <c r="N375" t="n">
        <v>1702</v>
      </c>
      <c r="O375" t="n">
        <v>1.02</v>
      </c>
      <c r="P375" t="n">
        <v>1732</v>
      </c>
      <c r="Q375" t="n">
        <v>179</v>
      </c>
      <c r="R375" t="n">
        <v>76</v>
      </c>
      <c r="S375" t="n">
        <v>35</v>
      </c>
      <c r="T375" t="n">
        <v>253</v>
      </c>
      <c r="U375" t="n">
        <v>19</v>
      </c>
      <c r="V375" t="n">
        <v>186</v>
      </c>
      <c r="W375" t="n">
        <v>0.556</v>
      </c>
      <c r="X375" t="n">
        <v>183</v>
      </c>
      <c r="Y375" t="n">
        <v>118</v>
      </c>
      <c r="Z375" t="n">
        <v>71</v>
      </c>
      <c r="AA375" t="n">
        <v>9</v>
      </c>
      <c r="AB375" t="n">
        <v>8.199999999999999</v>
      </c>
      <c r="AC375" t="inlineStr">
        <is>
          <t xml:space="preserve"> Resort Freeride</t>
        </is>
      </c>
      <c r="AG375" t="inlineStr">
        <is>
          <t>Black Diamond Impulse 98 Skis</t>
        </is>
      </c>
      <c r="AH375" t="inlineStr">
        <is>
          <t>Black Diamond Equipment - US</t>
        </is>
      </c>
      <c r="AI375" s="333" t="n">
        <v>559.96</v>
      </c>
      <c r="AJ375" t="inlineStr">
        <is>
          <t>https://tinyurl.com/y9umjr8r</t>
        </is>
      </c>
      <c r="AK375" t="inlineStr">
        <is>
          <t>Black Diamond Helio 76 Ski - 161cm</t>
        </is>
      </c>
      <c r="AL375" t="inlineStr">
        <is>
          <t>Backcountry.com</t>
        </is>
      </c>
      <c r="AM375" s="333" t="n">
        <v>399.98</v>
      </c>
      <c r="AN375" t="inlineStr">
        <is>
          <t>https://tinyurl.com/ycpwuwrg</t>
        </is>
      </c>
      <c r="AO375" t="inlineStr">
        <is>
          <t>Black Diamond Helio 76 Ski - 161cm</t>
        </is>
      </c>
      <c r="AP375" t="inlineStr">
        <is>
          <t>Steep &amp; Cheap</t>
        </is>
      </c>
      <c r="AQ375" s="333" t="n">
        <v>479.97</v>
      </c>
      <c r="AR375" t="inlineStr">
        <is>
          <t>https://tinyurl.com/y9omhu7y</t>
        </is>
      </c>
      <c r="AS375" s="314">
        <f>IF(LEFT(C375,1)=" ",RIGHT(C375,LEN(C375)-1),C375)</f>
        <v/>
      </c>
      <c r="AT375" s="281">
        <f>_xlfn.CONCAT(B375,AS375,D375,E375)</f>
        <v/>
      </c>
    </row>
    <row r="376">
      <c r="A376" t="inlineStr">
        <is>
          <t>21/22</t>
        </is>
      </c>
      <c r="B376" t="inlineStr">
        <is>
          <t xml:space="preserve"> Nordica</t>
        </is>
      </c>
      <c r="C376" t="inlineStr">
        <is>
          <t>Soul Rider 87</t>
        </is>
      </c>
      <c r="D376" t="n">
        <v>177</v>
      </c>
      <c r="E376" t="inlineStr">
        <is>
          <t xml:space="preserve"> Unisex</t>
        </is>
      </c>
      <c r="F376" t="n">
        <v>177</v>
      </c>
      <c r="G376" t="n">
        <v>175</v>
      </c>
      <c r="H376" t="n">
        <v>138</v>
      </c>
      <c r="I376" t="n">
        <v>153</v>
      </c>
      <c r="J376" t="n">
        <v>124</v>
      </c>
      <c r="K376" t="n">
        <v>86</v>
      </c>
      <c r="L376" t="n">
        <v>114</v>
      </c>
      <c r="M376" t="n">
        <v>16.5</v>
      </c>
      <c r="N376" t="n">
        <v>1946</v>
      </c>
      <c r="O376" t="n">
        <v>0.89</v>
      </c>
      <c r="P376" t="n">
        <v>1727</v>
      </c>
      <c r="Q376" t="n">
        <v>218</v>
      </c>
      <c r="R376" t="n">
        <v>96</v>
      </c>
      <c r="S376" t="n">
        <v>47</v>
      </c>
      <c r="T376" t="n">
        <v>180</v>
      </c>
      <c r="U376" t="n">
        <v>48</v>
      </c>
      <c r="V376" t="n">
        <v>185</v>
      </c>
      <c r="W376" t="n">
        <v>1.011</v>
      </c>
      <c r="X376" t="n">
        <v>103</v>
      </c>
      <c r="Y376" t="n">
        <v>115</v>
      </c>
      <c r="Z376" t="n">
        <v>78</v>
      </c>
      <c r="AA376" t="n">
        <v>8</v>
      </c>
      <c r="AB376" t="n">
        <v>6.6</v>
      </c>
      <c r="AC376" t="inlineStr">
        <is>
          <t xml:space="preserve"> Freeski</t>
        </is>
      </c>
      <c r="AG376" t="inlineStr">
        <is>
          <t>Head Kore 87 Skis Â· 2022</t>
        </is>
      </c>
      <c r="AH376" t="inlineStr">
        <is>
          <t>JANS Mountain Outfitters</t>
        </is>
      </c>
      <c r="AI376" s="333" t="n">
        <v>420</v>
      </c>
      <c r="AJ376" t="inlineStr">
        <is>
          <t>https://tinyurl.com/ycljupzh</t>
        </is>
      </c>
      <c r="AK376" t="inlineStr">
        <is>
          <t>Head Kore 87 Skis Â· 2022</t>
        </is>
      </c>
      <c r="AL376" t="inlineStr">
        <is>
          <t>Telemark Pyrenees</t>
        </is>
      </c>
      <c r="AM376" s="333" t="n">
        <v>439.98</v>
      </c>
      <c r="AN376" t="inlineStr">
        <is>
          <t>https://tinyurl.com/y7zza9yf</t>
        </is>
      </c>
      <c r="AO376" t="inlineStr">
        <is>
          <t>Head Kore 87 Skis Â· 2022</t>
        </is>
      </c>
      <c r="AP376" t="inlineStr">
        <is>
          <t>Gorham Bike and Ski</t>
        </is>
      </c>
      <c r="AQ376" s="333" t="n">
        <v>454.99</v>
      </c>
      <c r="AR376" t="inlineStr">
        <is>
          <t>https://tinyurl.com/y9r4ta4r</t>
        </is>
      </c>
      <c r="AS376" s="314">
        <f>IF(LEFT(C376,1)=" ",RIGHT(C376,LEN(C376)-1),C376)</f>
        <v/>
      </c>
      <c r="AT376" s="281">
        <f>_xlfn.CONCAT(B376,AS376,D376,E376)</f>
        <v/>
      </c>
    </row>
    <row r="377">
      <c r="A377" t="inlineStr">
        <is>
          <t>21/22</t>
        </is>
      </c>
      <c r="B377" t="inlineStr">
        <is>
          <t xml:space="preserve"> Armada</t>
        </is>
      </c>
      <c r="C377" t="inlineStr">
        <is>
          <t>Trace 108</t>
        </is>
      </c>
      <c r="D377" t="n">
        <v>164</v>
      </c>
      <c r="E377" t="inlineStr">
        <is>
          <t xml:space="preserve"> Women's</t>
        </is>
      </c>
      <c r="F377" t="n">
        <v>164</v>
      </c>
      <c r="G377" t="n">
        <v>163.5</v>
      </c>
      <c r="H377" t="n">
        <v>114</v>
      </c>
      <c r="I377" t="n">
        <v>132</v>
      </c>
      <c r="J377" t="n">
        <v>131</v>
      </c>
      <c r="K377" t="n">
        <v>107</v>
      </c>
      <c r="L377" t="n">
        <v>124</v>
      </c>
      <c r="M377" t="n">
        <v>17.4</v>
      </c>
      <c r="N377" t="n">
        <v>1466</v>
      </c>
      <c r="O377" t="n">
        <v>1.29</v>
      </c>
      <c r="P377" t="n">
        <v>1884</v>
      </c>
      <c r="Q377" t="n">
        <v>145</v>
      </c>
      <c r="R377" t="n">
        <v>82</v>
      </c>
      <c r="S377" t="n">
        <v>43</v>
      </c>
      <c r="T377" t="n">
        <v>336</v>
      </c>
      <c r="U377" t="n">
        <v>27</v>
      </c>
      <c r="V377" t="n">
        <v>162</v>
      </c>
      <c r="W377" t="n">
        <v>0.632</v>
      </c>
      <c r="X377" t="n">
        <v>180</v>
      </c>
      <c r="Y377" t="n">
        <v>132</v>
      </c>
      <c r="Z377" t="n">
        <v>157</v>
      </c>
      <c r="AA377" t="n">
        <v>6</v>
      </c>
      <c r="AB377" t="n">
        <v>10</v>
      </c>
      <c r="AC377" t="inlineStr">
        <is>
          <t xml:space="preserve"> Powder</t>
        </is>
      </c>
      <c r="AD377" t="inlineStr">
        <is>
          <t xml:space="preserve"> Touring</t>
        </is>
      </c>
      <c r="AE377" t="inlineStr">
        <is>
          <t xml:space="preserve"> Ultralight Touring</t>
        </is>
      </c>
      <c r="AG377" t="inlineStr">
        <is>
          <t>Armada Trace 108 Skis - Women's 2022</t>
        </is>
      </c>
      <c r="AH377" t="inlineStr">
        <is>
          <t>Powder7 Ski Shop</t>
        </is>
      </c>
      <c r="AI377" s="333" t="n">
        <v>599.95</v>
      </c>
      <c r="AJ377" t="inlineStr">
        <is>
          <t>https://tinyurl.com/y7cpaqxu</t>
        </is>
      </c>
      <c r="AK377" t="inlineStr">
        <is>
          <t>Armada Trace 108 Skis - Women's 2022</t>
        </is>
      </c>
      <c r="AL377" t="inlineStr">
        <is>
          <t>Curated</t>
        </is>
      </c>
      <c r="AM377" s="333" t="n">
        <v>599.96</v>
      </c>
      <c r="AN377" t="inlineStr">
        <is>
          <t>https://tinyurl.com/yap7hwjw</t>
        </is>
      </c>
      <c r="AO377" t="inlineStr">
        <is>
          <t>Armada Trace 108 Skis - Women's 2022</t>
        </is>
      </c>
      <c r="AP377" t="inlineStr">
        <is>
          <t>evo.com</t>
        </is>
      </c>
      <c r="AQ377" s="333" t="n">
        <v>599.96</v>
      </c>
      <c r="AR377" t="inlineStr">
        <is>
          <t>https://tinyurl.com/y8k9764o</t>
        </is>
      </c>
      <c r="AS377" s="314">
        <f>IF(LEFT(C377,1)=" ",RIGHT(C377,LEN(C377)-1),C377)</f>
        <v/>
      </c>
      <c r="AT377" s="281">
        <f>_xlfn.CONCAT(B377,AS377,D377,E377)</f>
        <v/>
      </c>
    </row>
    <row r="378">
      <c r="A378" t="inlineStr">
        <is>
          <t>21/22</t>
        </is>
      </c>
      <c r="B378" t="inlineStr">
        <is>
          <t xml:space="preserve"> J Skis</t>
        </is>
      </c>
      <c r="C378" t="inlineStr">
        <is>
          <t xml:space="preserve"> The Slacker</t>
        </is>
      </c>
      <c r="D378" t="n">
        <v>188</v>
      </c>
      <c r="E378" t="inlineStr">
        <is>
          <t xml:space="preserve"> Unisex</t>
        </is>
      </c>
      <c r="F378" t="n">
        <v>188</v>
      </c>
      <c r="G378" t="n">
        <v>185.4</v>
      </c>
      <c r="H378" t="n">
        <v>118</v>
      </c>
      <c r="I378" t="n">
        <v>151</v>
      </c>
      <c r="J378" t="n">
        <v>136</v>
      </c>
      <c r="K378" t="n">
        <v>109</v>
      </c>
      <c r="L378" t="n">
        <v>127</v>
      </c>
      <c r="M378" t="n">
        <v>21.7</v>
      </c>
      <c r="N378" t="n">
        <v>1991</v>
      </c>
      <c r="O378" t="n">
        <v>1.1</v>
      </c>
      <c r="P378" t="n">
        <v>2196</v>
      </c>
      <c r="Q378" t="n">
        <v>227</v>
      </c>
      <c r="R378" t="n">
        <v>102</v>
      </c>
      <c r="S378" t="n">
        <v>57</v>
      </c>
      <c r="T378" t="n">
        <v>467</v>
      </c>
      <c r="U378" t="n">
        <v>29</v>
      </c>
      <c r="V378" t="n">
        <v>207</v>
      </c>
      <c r="W378" t="n">
        <v>0.512</v>
      </c>
      <c r="X378" t="n">
        <v>172</v>
      </c>
      <c r="Y378" t="n">
        <v>169</v>
      </c>
      <c r="Z378" t="n">
        <v>295</v>
      </c>
      <c r="AA378" t="n">
        <v>3</v>
      </c>
      <c r="AB378" t="n">
        <v>8.300000000000001</v>
      </c>
      <c r="AC378" t="inlineStr">
        <is>
          <t xml:space="preserve"> Powder</t>
        </is>
      </c>
      <c r="AD378" t="inlineStr">
        <is>
          <t xml:space="preserve"> Touring</t>
        </is>
      </c>
      <c r="AG378" t="inlineStr">
        <is>
          <t>Dynastar Inspired By J. Nobis Skis 188cm 110 89 117 Look Bindings</t>
        </is>
      </c>
      <c r="AH378" t="inlineStr">
        <is>
          <t>eBay - pbspace</t>
        </is>
      </c>
      <c r="AI378" s="333" t="n">
        <v>150</v>
      </c>
      <c r="AJ378" t="inlineStr">
        <is>
          <t>https://tinyurl.com/y9l5nzw2</t>
        </is>
      </c>
      <c r="AK378" t="inlineStr">
        <is>
          <t>Zag Slap 104 Skis 188cm 2022</t>
        </is>
      </c>
      <c r="AL378" t="inlineStr">
        <is>
          <t>Snowcountry.eu</t>
        </is>
      </c>
      <c r="AM378" s="333" t="n">
        <v>460.11</v>
      </c>
      <c r="AN378" t="inlineStr">
        <is>
          <t>https://tinyurl.com/yctm2dbl</t>
        </is>
      </c>
      <c r="AO378" t="inlineStr">
        <is>
          <t>Rossignol 2020 Super 7 HD Skis</t>
        </is>
      </c>
      <c r="AP378" t="inlineStr">
        <is>
          <t>Level Nine Sports</t>
        </is>
      </c>
      <c r="AQ378" s="333" t="n">
        <v>479.96</v>
      </c>
      <c r="AR378" t="inlineStr">
        <is>
          <t>https://tinyurl.com/y95odv8k</t>
        </is>
      </c>
      <c r="AS378" s="314">
        <f>IF(LEFT(C378,1)=" ",RIGHT(C378,LEN(C378)-1),C378)</f>
        <v/>
      </c>
      <c r="AT378" s="281">
        <f>_xlfn.CONCAT(B378,AS378,D378,E378)</f>
        <v/>
      </c>
    </row>
    <row r="379">
      <c r="A379" t="inlineStr">
        <is>
          <t>21/22</t>
        </is>
      </c>
      <c r="B379" t="inlineStr">
        <is>
          <t>K2</t>
        </is>
      </c>
      <c r="C379" t="inlineStr">
        <is>
          <t xml:space="preserve"> Midnight</t>
        </is>
      </c>
      <c r="D379" t="n">
        <v>159</v>
      </c>
      <c r="E379" t="inlineStr">
        <is>
          <t xml:space="preserve"> Women's</t>
        </is>
      </c>
      <c r="F379" t="n">
        <v>159</v>
      </c>
      <c r="G379" t="n">
        <v>159.7</v>
      </c>
      <c r="H379" t="n">
        <v>111</v>
      </c>
      <c r="I379" t="n">
        <v>129</v>
      </c>
      <c r="J379" t="n">
        <v>117</v>
      </c>
      <c r="K379" t="n">
        <v>88</v>
      </c>
      <c r="L379" t="n">
        <v>111</v>
      </c>
      <c r="M379" t="n">
        <v>14.4</v>
      </c>
      <c r="N379" t="n">
        <v>1705</v>
      </c>
      <c r="O379" t="n">
        <v>0.92</v>
      </c>
      <c r="P379" t="n">
        <v>1573</v>
      </c>
      <c r="Q379" t="n">
        <v>173</v>
      </c>
      <c r="R379" t="n">
        <v>92</v>
      </c>
      <c r="S379" t="n">
        <v>50</v>
      </c>
      <c r="T379" t="n">
        <v>233</v>
      </c>
      <c r="U379" t="n">
        <v>47</v>
      </c>
      <c r="V379" t="n">
        <v>257</v>
      </c>
      <c r="W379" t="n">
        <v>0.9359999999999991</v>
      </c>
      <c r="X379" t="n">
        <v>156</v>
      </c>
      <c r="Y379" t="n">
        <v>154</v>
      </c>
      <c r="Z379" t="n">
        <v>77</v>
      </c>
      <c r="AA379" t="n">
        <v>5</v>
      </c>
      <c r="AB379" t="n">
        <v>3.5</v>
      </c>
      <c r="AC379" t="inlineStr">
        <is>
          <t xml:space="preserve"> Freeski</t>
        </is>
      </c>
      <c r="AG379" t="inlineStr">
        <is>
          <t>K2 Midnight Women's Skis Â· 2022 Â· 159 cm</t>
        </is>
      </c>
      <c r="AH379" t="inlineStr">
        <is>
          <t>Snowinn.com</t>
        </is>
      </c>
      <c r="AI379" s="333" t="n">
        <v>290.49</v>
      </c>
      <c r="AJ379" t="inlineStr">
        <is>
          <t>https://tinyurl.com/yd6f8xt7</t>
        </is>
      </c>
      <c r="AK379" t="inlineStr">
        <is>
          <t>K2 Midnight Women's Skis Â· 2022 Â· 159 cm</t>
        </is>
      </c>
      <c r="AL379" t="inlineStr">
        <is>
          <t>! OutdoorXL.com</t>
        </is>
      </c>
      <c r="AM379" s="333" t="n">
        <v>309.95</v>
      </c>
      <c r="AN379" t="inlineStr">
        <is>
          <t>https://tinyurl.com/y76daw37</t>
        </is>
      </c>
      <c r="AO379" t="inlineStr">
        <is>
          <t>K2 Midnight Women's Skis Â· 2022 Â· 159 cm</t>
        </is>
      </c>
      <c r="AP379" t="inlineStr">
        <is>
          <t>BobWards.com</t>
        </is>
      </c>
      <c r="AQ379" s="333" t="n">
        <v>399.95</v>
      </c>
      <c r="AR379" t="inlineStr">
        <is>
          <t>https://tinyurl.com/ycvaesfx</t>
        </is>
      </c>
      <c r="AS379" s="314">
        <f>IF(LEFT(C379,1)=" ",RIGHT(C379,LEN(C379)-1),C379)</f>
        <v/>
      </c>
      <c r="AT379" s="281">
        <f>_xlfn.CONCAT(B379,AS379,D379,E379)</f>
        <v/>
      </c>
    </row>
    <row r="380">
      <c r="A380" t="inlineStr">
        <is>
          <t>21/22</t>
        </is>
      </c>
      <c r="B380" t="inlineStr">
        <is>
          <t xml:space="preserve"> Rossignol</t>
        </is>
      </c>
      <c r="C380" t="inlineStr">
        <is>
          <t xml:space="preserve"> Blackops Holyshred</t>
        </is>
      </c>
      <c r="D380" t="n">
        <v>162</v>
      </c>
      <c r="E380" t="inlineStr">
        <is>
          <t xml:space="preserve"> Unisex</t>
        </is>
      </c>
      <c r="F380" t="n">
        <v>162</v>
      </c>
      <c r="G380" t="n">
        <v>159.5</v>
      </c>
      <c r="H380" t="n">
        <v>112</v>
      </c>
      <c r="I380" t="n">
        <v>136</v>
      </c>
      <c r="J380" t="n">
        <v>129</v>
      </c>
      <c r="K380" t="n">
        <v>97</v>
      </c>
      <c r="L380" t="n">
        <v>120</v>
      </c>
      <c r="M380" t="n">
        <v>14.4</v>
      </c>
      <c r="N380" t="n">
        <v>1731</v>
      </c>
      <c r="O380" t="n">
        <v>1</v>
      </c>
      <c r="P380" t="n">
        <v>1723</v>
      </c>
      <c r="Q380" t="n">
        <v>192</v>
      </c>
      <c r="R380" t="n">
        <v>101</v>
      </c>
      <c r="S380" t="n">
        <v>53</v>
      </c>
      <c r="T380" t="n">
        <v>255</v>
      </c>
      <c r="U380" t="n">
        <v>35</v>
      </c>
      <c r="V380" t="n">
        <v>221</v>
      </c>
      <c r="W380" t="n">
        <v>0.662999999999999</v>
      </c>
      <c r="X380" t="n">
        <v>137</v>
      </c>
      <c r="Y380" t="n">
        <v>94</v>
      </c>
      <c r="Z380" t="n">
        <v>118</v>
      </c>
      <c r="AA380" t="n">
        <v>7</v>
      </c>
      <c r="AB380" t="n">
        <v>4.1</v>
      </c>
      <c r="AC380" t="inlineStr">
        <is>
          <t xml:space="preserve"> Resort Freeride</t>
        </is>
      </c>
      <c r="AG380" t="inlineStr">
        <is>
          <t>Nordica Santa Ana 104 Free Skis - Women's 2022</t>
        </is>
      </c>
      <c r="AH380" t="inlineStr">
        <is>
          <t>Stowesports.com</t>
        </is>
      </c>
      <c r="AI380" s="333" t="n">
        <v>599</v>
      </c>
      <c r="AJ380" t="inlineStr">
        <is>
          <t>https://tinyurl.com/yaqflpgt</t>
        </is>
      </c>
      <c r="AK380" t="inlineStr">
        <is>
          <t>Nordica Santa Ana 104 Free Skis - Women's 2022</t>
        </is>
      </c>
      <c r="AL380" t="inlineStr">
        <is>
          <t>Powder7 Ski Shop</t>
        </is>
      </c>
      <c r="AM380" s="333" t="n">
        <v>599.9299999999999</v>
      </c>
      <c r="AN380" t="inlineStr">
        <is>
          <t>https://tinyurl.com/y88esxos</t>
        </is>
      </c>
      <c r="AO380" t="inlineStr">
        <is>
          <t>Nordica Santa Ana 104 Free Skis - Women's 2022</t>
        </is>
      </c>
      <c r="AP380" t="inlineStr">
        <is>
          <t>AlpineShopVT.com</t>
        </is>
      </c>
      <c r="AQ380" s="333" t="n">
        <v>599.99</v>
      </c>
      <c r="AR380" t="inlineStr">
        <is>
          <t>https://tinyurl.com/y6vj4v7c</t>
        </is>
      </c>
      <c r="AS380" s="314">
        <f>IF(LEFT(C380,1)=" ",RIGHT(C380,LEN(C380)-1),C380)</f>
        <v/>
      </c>
      <c r="AT380" s="281">
        <f>_xlfn.CONCAT(B380,AS380,D380,E380)</f>
        <v/>
      </c>
    </row>
    <row r="381">
      <c r="A381" t="inlineStr">
        <is>
          <t>21/22</t>
        </is>
      </c>
      <c r="B381" t="inlineStr">
        <is>
          <t>K2</t>
        </is>
      </c>
      <c r="C381" t="inlineStr">
        <is>
          <t>Mindbender 90 Ti</t>
        </is>
      </c>
      <c r="D381" t="n">
        <v>170</v>
      </c>
      <c r="E381" t="inlineStr">
        <is>
          <t xml:space="preserve"> Unisex</t>
        </is>
      </c>
      <c r="F381" t="n">
        <v>170</v>
      </c>
      <c r="G381" t="n">
        <v>169.9</v>
      </c>
      <c r="H381" t="n">
        <v>119</v>
      </c>
      <c r="I381" t="n">
        <v>146</v>
      </c>
      <c r="J381" t="n">
        <v>127</v>
      </c>
      <c r="K381" t="n">
        <v>89</v>
      </c>
      <c r="L381" t="n">
        <v>113</v>
      </c>
      <c r="M381" t="n">
        <v>16.7</v>
      </c>
      <c r="N381" t="n">
        <v>1831</v>
      </c>
      <c r="O381" t="n">
        <v>0.9399999999999999</v>
      </c>
      <c r="P381" t="n">
        <v>1723</v>
      </c>
      <c r="Q381" t="n">
        <v>184</v>
      </c>
      <c r="R381" t="n">
        <v>120</v>
      </c>
      <c r="S381" t="n">
        <v>43</v>
      </c>
      <c r="T381" t="n">
        <v>329</v>
      </c>
      <c r="U381" t="n">
        <v>20</v>
      </c>
      <c r="V381" t="n">
        <v>180</v>
      </c>
      <c r="W381" t="n">
        <v>0.469</v>
      </c>
      <c r="X381" t="n">
        <v>139</v>
      </c>
      <c r="Y381" t="n">
        <v>98</v>
      </c>
      <c r="Z381" t="n">
        <v>190</v>
      </c>
      <c r="AA381" t="n">
        <v>4</v>
      </c>
      <c r="AB381" t="n">
        <v>10.9</v>
      </c>
      <c r="AC381" t="inlineStr">
        <is>
          <t xml:space="preserve"> Resort Freeride</t>
        </is>
      </c>
      <c r="AG381" t="inlineStr">
        <is>
          <t>K2 2020 Mindbender 90 C Skis</t>
        </is>
      </c>
      <c r="AH381" t="inlineStr">
        <is>
          <t>! OutdoorXL.com</t>
        </is>
      </c>
      <c r="AI381" s="333" t="n">
        <v>329.95</v>
      </c>
      <c r="AJ381" t="inlineStr">
        <is>
          <t>https://tinyurl.com/y959rgok</t>
        </is>
      </c>
      <c r="AK381" t="inlineStr">
        <is>
          <t>K2 Mindbender 89 Ti Alliance 22/23</t>
        </is>
      </c>
      <c r="AL381" t="inlineStr">
        <is>
          <t>Snowcountry.eu</t>
        </is>
      </c>
      <c r="AM381" s="333" t="n">
        <v>599.29</v>
      </c>
      <c r="AN381" t="inlineStr">
        <is>
          <t>https://tinyurl.com/ybpthbvz</t>
        </is>
      </c>
      <c r="AO381" t="inlineStr">
        <is>
          <t>K2 Mindbender 85 Skis 2020</t>
        </is>
      </c>
      <c r="AP381" t="inlineStr">
        <is>
          <t>Nomads</t>
        </is>
      </c>
      <c r="AQ381" s="333" t="n">
        <v>320.68</v>
      </c>
      <c r="AR381" t="inlineStr">
        <is>
          <t>https://tinyurl.com/yaftddxu</t>
        </is>
      </c>
      <c r="AS381" s="314">
        <f>IF(LEFT(C381,1)=" ",RIGHT(C381,LEN(C381)-1),C381)</f>
        <v/>
      </c>
      <c r="AT381" s="281">
        <f>_xlfn.CONCAT(B381,AS381,D381,E381)</f>
        <v/>
      </c>
    </row>
    <row r="382">
      <c r="A382" t="inlineStr">
        <is>
          <t>21/22</t>
        </is>
      </c>
      <c r="B382" t="inlineStr">
        <is>
          <t xml:space="preserve"> Nordica</t>
        </is>
      </c>
      <c r="C382" t="inlineStr">
        <is>
          <t>Santa Ana 88</t>
        </is>
      </c>
      <c r="D382" t="n">
        <v>158</v>
      </c>
      <c r="E382" t="inlineStr">
        <is>
          <t xml:space="preserve"> Women's</t>
        </is>
      </c>
      <c r="F382" t="n">
        <v>158</v>
      </c>
      <c r="G382" t="n">
        <v>157.4</v>
      </c>
      <c r="H382" t="n">
        <v>114</v>
      </c>
      <c r="I382" t="n">
        <v>129</v>
      </c>
      <c r="J382" t="n">
        <v>119</v>
      </c>
      <c r="K382" t="n">
        <v>87</v>
      </c>
      <c r="L382" t="n">
        <v>106</v>
      </c>
      <c r="M382" t="n">
        <v>14.5</v>
      </c>
      <c r="N382" t="n">
        <v>1654</v>
      </c>
      <c r="O382" t="n">
        <v>0.93</v>
      </c>
      <c r="P382" t="n">
        <v>1540</v>
      </c>
      <c r="Q382" t="n">
        <v>173</v>
      </c>
      <c r="R382" t="n">
        <v>86</v>
      </c>
      <c r="S382" t="n">
        <v>60</v>
      </c>
      <c r="T382" t="n">
        <v>260</v>
      </c>
      <c r="U382" t="n">
        <v>11</v>
      </c>
      <c r="V382" t="n">
        <v>174</v>
      </c>
      <c r="W382" t="n">
        <v>0.183</v>
      </c>
      <c r="X382" t="n">
        <v>128</v>
      </c>
      <c r="Y382" t="n">
        <v>154</v>
      </c>
      <c r="Z382" t="n">
        <v>132</v>
      </c>
      <c r="AA382" t="n">
        <v>7</v>
      </c>
      <c r="AB382" t="n">
        <v>8.300000000000001</v>
      </c>
      <c r="AC382" t="inlineStr">
        <is>
          <t xml:space="preserve"> Resort Freeride</t>
        </is>
      </c>
      <c r="AG382" t="inlineStr">
        <is>
          <t>Nordica Enforcer 88 / Santa Ana 93 Ski Skins - 2022 158 cm</t>
        </is>
      </c>
      <c r="AH382" t="inlineStr">
        <is>
          <t>Arlberg Ski &amp; Surf Shops</t>
        </is>
      </c>
      <c r="AI382" s="333" t="n">
        <v>209.95</v>
      </c>
      <c r="AJ382" t="inlineStr">
        <is>
          <t>https://tinyurl.com/y86z2c9n</t>
        </is>
      </c>
      <c r="AK382" t="inlineStr">
        <is>
          <t>Nordica 2022 Santa Ana 88 Women's Skis</t>
        </is>
      </c>
      <c r="AL382" t="inlineStr">
        <is>
          <t>AlpineShopVT.com</t>
        </is>
      </c>
      <c r="AM382" s="333" t="n">
        <v>479.99</v>
      </c>
      <c r="AN382" t="inlineStr">
        <is>
          <t>https://tinyurl.com/y7ulh77l</t>
        </is>
      </c>
      <c r="AO382" t="inlineStr">
        <is>
          <t>Nordica Santa Ana 88 Womens Skis 2022 158CM</t>
        </is>
      </c>
      <c r="AP382" t="inlineStr">
        <is>
          <t>Erik's Bike, Board and Ski</t>
        </is>
      </c>
      <c r="AQ382" s="333" t="n">
        <v>559.99</v>
      </c>
      <c r="AR382" t="inlineStr">
        <is>
          <t>https://tinyurl.com/yal88xvw</t>
        </is>
      </c>
      <c r="AS382" s="314">
        <f>IF(LEFT(C382,1)=" ",RIGHT(C382,LEN(C382)-1),C382)</f>
        <v/>
      </c>
      <c r="AT382" s="281">
        <f>_xlfn.CONCAT(B382,AS382,D382,E382)</f>
        <v/>
      </c>
    </row>
    <row r="383">
      <c r="A383" t="inlineStr">
        <is>
          <t>21/22</t>
        </is>
      </c>
      <c r="B383" t="inlineStr">
        <is>
          <t xml:space="preserve"> Dynafit</t>
        </is>
      </c>
      <c r="C383" t="inlineStr">
        <is>
          <t>Blacklight 80</t>
        </is>
      </c>
      <c r="D383" t="n">
        <v>178</v>
      </c>
      <c r="E383" t="inlineStr">
        <is>
          <t xml:space="preserve"> Unisex</t>
        </is>
      </c>
      <c r="F383" t="n">
        <v>178</v>
      </c>
      <c r="G383" t="n">
        <v>175.8</v>
      </c>
      <c r="H383" t="n">
        <v>138</v>
      </c>
      <c r="I383" t="n">
        <v>153</v>
      </c>
      <c r="J383" t="n">
        <v>116</v>
      </c>
      <c r="K383" t="n">
        <v>80</v>
      </c>
      <c r="L383" t="n">
        <v>100</v>
      </c>
      <c r="M383" t="n">
        <v>20.6</v>
      </c>
      <c r="N383" t="n">
        <v>1175</v>
      </c>
      <c r="O383" t="n">
        <v>1.35</v>
      </c>
      <c r="P383" t="n">
        <v>1590</v>
      </c>
      <c r="Q383" t="n">
        <v>285</v>
      </c>
      <c r="R383" t="n">
        <v>102</v>
      </c>
      <c r="S383" t="n">
        <v>56</v>
      </c>
      <c r="T383" t="n">
        <v>280</v>
      </c>
      <c r="U383" t="n">
        <v>9</v>
      </c>
      <c r="V383" t="n">
        <v>95</v>
      </c>
      <c r="W383" t="n">
        <v>0.163</v>
      </c>
      <c r="X383" t="n">
        <v>136</v>
      </c>
      <c r="Y383" t="n">
        <v>90</v>
      </c>
      <c r="Z383" t="n">
        <v>144</v>
      </c>
      <c r="AA383" t="n">
        <v>5</v>
      </c>
      <c r="AB383" t="n">
        <v>12.3</v>
      </c>
      <c r="AC383" t="inlineStr">
        <is>
          <t xml:space="preserve"> Touring</t>
        </is>
      </c>
      <c r="AD383" t="inlineStr">
        <is>
          <t xml:space="preserve"> Ultralight Touring</t>
        </is>
      </c>
      <c r="AG383" t="inlineStr">
        <is>
          <t>Dynafit Blacklight 95 Ski - 178cm</t>
        </is>
      </c>
      <c r="AH383" t="inlineStr">
        <is>
          <t>Snowcountry.eu</t>
        </is>
      </c>
      <c r="AI383" s="333" t="n">
        <v>552.3099999999999</v>
      </c>
      <c r="AJ383" t="inlineStr">
        <is>
          <t>https://tinyurl.com/ybchaewe</t>
        </is>
      </c>
      <c r="AK383" t="inlineStr">
        <is>
          <t>Dynafit Blacklight 88 BLACK/ BLUE / 178</t>
        </is>
      </c>
      <c r="AL383" t="inlineStr">
        <is>
          <t>Neptune Mountaineering</t>
        </is>
      </c>
      <c r="AM383" s="333" t="n">
        <v>559.96</v>
      </c>
      <c r="AN383" t="inlineStr">
        <is>
          <t>https://tinyurl.com/y79u5ab6</t>
        </is>
      </c>
      <c r="AO383" t="inlineStr">
        <is>
          <t>Dynafit Blacklight 95 Ski - 178cm</t>
        </is>
      </c>
      <c r="AP383" t="inlineStr">
        <is>
          <t>Skimo &amp; SkyRun</t>
        </is>
      </c>
      <c r="AQ383" s="333" t="n">
        <v>599.95</v>
      </c>
      <c r="AR383" t="inlineStr">
        <is>
          <t>https://tinyurl.com/yd3qncq7</t>
        </is>
      </c>
      <c r="AS383" s="314">
        <f>IF(LEFT(C383,1)=" ",RIGHT(C383,LEN(C383)-1),C383)</f>
        <v/>
      </c>
      <c r="AT383" s="281">
        <f>_xlfn.CONCAT(B383,AS383,D383,E383)</f>
        <v/>
      </c>
    </row>
    <row r="384">
      <c r="A384" t="inlineStr">
        <is>
          <t>21/22</t>
        </is>
      </c>
      <c r="B384" t="inlineStr">
        <is>
          <t xml:space="preserve"> Blizzard</t>
        </is>
      </c>
      <c r="C384" t="inlineStr">
        <is>
          <t>Sheeva 9</t>
        </is>
      </c>
      <c r="D384" t="n">
        <v>172</v>
      </c>
      <c r="E384" t="inlineStr">
        <is>
          <t xml:space="preserve"> Women's</t>
        </is>
      </c>
      <c r="F384" t="n">
        <v>172</v>
      </c>
      <c r="G384" t="n">
        <v>170.8</v>
      </c>
      <c r="H384" t="n">
        <v>115</v>
      </c>
      <c r="I384" t="n">
        <v>142</v>
      </c>
      <c r="J384" t="n">
        <v>124</v>
      </c>
      <c r="K384" t="n">
        <v>91</v>
      </c>
      <c r="L384" t="n">
        <v>114</v>
      </c>
      <c r="M384" t="n">
        <v>16.4</v>
      </c>
      <c r="N384" t="n">
        <v>1938</v>
      </c>
      <c r="O384" t="n">
        <v>0.91</v>
      </c>
      <c r="P384" t="n">
        <v>1757</v>
      </c>
      <c r="Q384" t="n">
        <v>190</v>
      </c>
      <c r="R384" t="n">
        <v>95</v>
      </c>
      <c r="S384" t="n">
        <v>65</v>
      </c>
      <c r="T384" t="n">
        <v>325</v>
      </c>
      <c r="U384" t="n">
        <v>31</v>
      </c>
      <c r="V384" t="n">
        <v>237</v>
      </c>
      <c r="W384" t="n">
        <v>0.485</v>
      </c>
      <c r="X384" t="n">
        <v>146</v>
      </c>
      <c r="Y384" t="n">
        <v>138</v>
      </c>
      <c r="Z384" t="n">
        <v>179</v>
      </c>
      <c r="AA384" t="n">
        <v>4</v>
      </c>
      <c r="AB384" t="n">
        <v>8</v>
      </c>
      <c r="AC384" t="inlineStr">
        <is>
          <t xml:space="preserve"> Resort Freeride</t>
        </is>
      </c>
      <c r="AG384" t="inlineStr">
        <is>
          <t>Blizzard Sheeva 9 Skis</t>
        </is>
      </c>
      <c r="AH384" t="inlineStr">
        <is>
          <t>Powder7 Ski Shop</t>
        </is>
      </c>
      <c r="AI384" s="333" t="n">
        <v>479.93</v>
      </c>
      <c r="AJ384" t="inlineStr">
        <is>
          <t>https://tinyurl.com/yazo4994</t>
        </is>
      </c>
      <c r="AK384" t="inlineStr">
        <is>
          <t>Blizzard Sheeva 9 Skis</t>
        </is>
      </c>
      <c r="AL384" t="inlineStr">
        <is>
          <t>Peak Performance Ski Shop</t>
        </is>
      </c>
      <c r="AM384" s="333" t="n">
        <v>479.95</v>
      </c>
      <c r="AN384" t="inlineStr">
        <is>
          <t>https://tinyurl.com/y7bdm9jt</t>
        </is>
      </c>
      <c r="AO384" t="inlineStr">
        <is>
          <t>Blizzard Sheeva 9 Skis</t>
        </is>
      </c>
      <c r="AP384" t="inlineStr">
        <is>
          <t>Curated</t>
        </is>
      </c>
      <c r="AQ384" s="333" t="n">
        <v>479.95</v>
      </c>
      <c r="AR384" t="inlineStr">
        <is>
          <t>https://tinyurl.com/ydefk9u9</t>
        </is>
      </c>
      <c r="AS384" s="314">
        <f>IF(LEFT(C384,1)=" ",RIGHT(C384,LEN(C384)-1),C384)</f>
        <v/>
      </c>
      <c r="AT384" s="281">
        <f>_xlfn.CONCAT(B384,AS384,D384,E384)</f>
        <v/>
      </c>
    </row>
    <row r="385">
      <c r="A385" t="inlineStr">
        <is>
          <t>21/22</t>
        </is>
      </c>
      <c r="B385" t="inlineStr">
        <is>
          <t xml:space="preserve"> Vï¿½lkl</t>
        </is>
      </c>
      <c r="C385" t="inlineStr">
        <is>
          <t>M6 Mantra</t>
        </is>
      </c>
      <c r="D385" t="n">
        <v>170</v>
      </c>
      <c r="E385" t="inlineStr">
        <is>
          <t xml:space="preserve"> Unisex</t>
        </is>
      </c>
      <c r="F385" t="n">
        <v>170</v>
      </c>
      <c r="G385" t="n">
        <v>170.8</v>
      </c>
      <c r="H385" t="n">
        <v>125</v>
      </c>
      <c r="I385" t="n">
        <v>148</v>
      </c>
      <c r="J385" t="n">
        <v>134</v>
      </c>
      <c r="K385" t="n">
        <v>95</v>
      </c>
      <c r="L385" t="n">
        <v>118</v>
      </c>
      <c r="M385" t="n">
        <v>17</v>
      </c>
      <c r="N385" t="n">
        <v>1885</v>
      </c>
      <c r="O385" t="n">
        <v>0.97</v>
      </c>
      <c r="P385" t="n">
        <v>1836</v>
      </c>
      <c r="Q385" t="n">
        <v>203</v>
      </c>
      <c r="R385" t="n">
        <v>131</v>
      </c>
      <c r="S385" t="n">
        <v>44</v>
      </c>
      <c r="T385" t="n">
        <v>278</v>
      </c>
      <c r="U385" t="n">
        <v>16</v>
      </c>
      <c r="V385" t="n">
        <v>178</v>
      </c>
      <c r="W385" t="n">
        <v>0.375</v>
      </c>
      <c r="X385" t="n">
        <v>131</v>
      </c>
      <c r="Y385" t="n">
        <v>99</v>
      </c>
      <c r="Z385" t="n">
        <v>147</v>
      </c>
      <c r="AA385" t="n">
        <v>3</v>
      </c>
      <c r="AB385" t="n">
        <v>11.1</v>
      </c>
      <c r="AC385" t="inlineStr">
        <is>
          <t xml:space="preserve"> Resort Freeride</t>
        </is>
      </c>
      <c r="AG385" t="inlineStr">
        <is>
          <t>Volkl M6 Mantra Flat Ski 2021-2022 | RED/BLACK / 170</t>
        </is>
      </c>
      <c r="AH385" t="inlineStr">
        <is>
          <t>Ski Pro  - Snow Ski &amp; Snowboard</t>
        </is>
      </c>
      <c r="AI385" s="333" t="n">
        <v>559.95</v>
      </c>
      <c r="AJ385" t="inlineStr">
        <is>
          <t>https://tinyurl.com/y7ezqxmn</t>
        </is>
      </c>
      <c r="AK385" t="inlineStr">
        <is>
          <t>Volkl M6 Mantra Skis</t>
        </is>
      </c>
      <c r="AL385" t="inlineStr">
        <is>
          <t>Cole Sport</t>
        </is>
      </c>
      <c r="AM385" s="333" t="n">
        <v>559.99</v>
      </c>
      <c r="AN385" t="inlineStr">
        <is>
          <t>https://tinyurl.com/y9do4b4d</t>
        </is>
      </c>
      <c r="AO385" t="inlineStr">
        <is>
          <t>Volkl 2022 Mantra M6 Skis</t>
        </is>
      </c>
      <c r="AP385" t="inlineStr">
        <is>
          <t>evo.com</t>
        </is>
      </c>
      <c r="AQ385" s="333" t="n">
        <v>559.99</v>
      </c>
      <c r="AR385" t="inlineStr">
        <is>
          <t>https://tinyurl.com/ybzjqjvz</t>
        </is>
      </c>
      <c r="AS385" s="314">
        <f>IF(LEFT(C385,1)=" ",RIGHT(C385,LEN(C385)-1),C385)</f>
        <v/>
      </c>
      <c r="AT385" s="281">
        <f>_xlfn.CONCAT(B385,AS385,D385,E385)</f>
        <v/>
      </c>
    </row>
    <row r="386">
      <c r="A386" t="inlineStr">
        <is>
          <t>21/22</t>
        </is>
      </c>
      <c r="B386" t="inlineStr">
        <is>
          <t xml:space="preserve"> Salomon</t>
        </is>
      </c>
      <c r="C386" t="inlineStr">
        <is>
          <t>QST 98</t>
        </is>
      </c>
      <c r="D386" t="n">
        <v>183</v>
      </c>
      <c r="E386" t="inlineStr">
        <is>
          <t xml:space="preserve"> Unisex</t>
        </is>
      </c>
      <c r="F386" t="n">
        <v>183</v>
      </c>
      <c r="G386" t="n">
        <v>182.6</v>
      </c>
      <c r="H386" t="n">
        <v>101</v>
      </c>
      <c r="I386" t="n">
        <v>137</v>
      </c>
      <c r="J386" t="n">
        <v>132</v>
      </c>
      <c r="K386" t="n">
        <v>98</v>
      </c>
      <c r="L386" t="n">
        <v>120</v>
      </c>
      <c r="M386" t="n">
        <v>14.2</v>
      </c>
      <c r="N386" t="n">
        <v>2030</v>
      </c>
      <c r="O386" t="n">
        <v>0.99</v>
      </c>
      <c r="P386" t="n">
        <v>2008</v>
      </c>
      <c r="Q386" t="n">
        <v>210</v>
      </c>
      <c r="R386" t="n">
        <v>105</v>
      </c>
      <c r="S386" t="n">
        <v>52</v>
      </c>
      <c r="T386" t="n">
        <v>414</v>
      </c>
      <c r="U386" t="n">
        <v>33</v>
      </c>
      <c r="V386" t="n">
        <v>406</v>
      </c>
      <c r="W386" t="n">
        <v>0.629</v>
      </c>
      <c r="X386" t="n">
        <v>276</v>
      </c>
      <c r="Y386" t="n">
        <v>182</v>
      </c>
      <c r="Z386" t="n">
        <v>138</v>
      </c>
      <c r="AA386" t="n">
        <v>6</v>
      </c>
      <c r="AB386" t="n">
        <v>8.699999999999999</v>
      </c>
      <c r="AC386" t="inlineStr">
        <is>
          <t xml:space="preserve"> Resort Freeride</t>
        </is>
      </c>
      <c r="AG386" t="inlineStr">
        <is>
          <t>Salomon N QST 98 Skis - 2022 183cm / Blue/Orange</t>
        </is>
      </c>
      <c r="AH386" t="inlineStr">
        <is>
          <t>Glacier Ski Shop</t>
        </is>
      </c>
      <c r="AI386" s="333" t="n">
        <v>539</v>
      </c>
      <c r="AJ386" t="inlineStr">
        <is>
          <t>https://tinyurl.com/yad6p9b4</t>
        </is>
      </c>
      <c r="AK386" t="inlineStr">
        <is>
          <t>Salomon QST 98 Blue/Orange / 183cm</t>
        </is>
      </c>
      <c r="AL386" t="inlineStr">
        <is>
          <t>Sundance Ski and Board Shop</t>
        </is>
      </c>
      <c r="AM386" s="333" t="n">
        <v>561.2</v>
      </c>
      <c r="AN386" t="inlineStr">
        <is>
          <t>https://tinyurl.com/ybo4rgyr</t>
        </is>
      </c>
      <c r="AO386" t="inlineStr">
        <is>
          <t>Salomon QST 98 Skis</t>
        </is>
      </c>
      <c r="AP386" t="inlineStr">
        <is>
          <t>The-House.com</t>
        </is>
      </c>
      <c r="AQ386" s="333" t="n">
        <v>575.95</v>
      </c>
      <c r="AR386" t="inlineStr">
        <is>
          <t>https://tinyurl.com/ycxj26ng</t>
        </is>
      </c>
      <c r="AS386" s="314">
        <f>IF(LEFT(C386,1)=" ",RIGHT(C386,LEN(C386)-1),C386)</f>
        <v/>
      </c>
      <c r="AT386" s="281">
        <f>_xlfn.CONCAT(B386,AS386,D386,E386)</f>
        <v/>
      </c>
    </row>
    <row r="387">
      <c r="A387" t="inlineStr">
        <is>
          <t>21/22</t>
        </is>
      </c>
      <c r="B387" t="inlineStr">
        <is>
          <t xml:space="preserve"> Salomon</t>
        </is>
      </c>
      <c r="C387" t="inlineStr">
        <is>
          <t>QST Stella 106</t>
        </is>
      </c>
      <c r="D387" t="n">
        <v>167</v>
      </c>
      <c r="E387" t="inlineStr">
        <is>
          <t xml:space="preserve"> Women's</t>
        </is>
      </c>
      <c r="F387" t="n">
        <v>167</v>
      </c>
      <c r="G387" t="n">
        <v>166.4</v>
      </c>
      <c r="H387" t="n">
        <v>105</v>
      </c>
      <c r="I387" t="n">
        <v>136</v>
      </c>
      <c r="J387" t="n">
        <v>136</v>
      </c>
      <c r="K387" t="n">
        <v>104</v>
      </c>
      <c r="L387" t="n">
        <v>123</v>
      </c>
      <c r="M387" t="n">
        <v>17.6</v>
      </c>
      <c r="N387" t="n">
        <v>1843</v>
      </c>
      <c r="O387" t="n">
        <v>1.04</v>
      </c>
      <c r="P387" t="n">
        <v>1912</v>
      </c>
      <c r="Q387" t="n">
        <v>207</v>
      </c>
      <c r="R387" t="n">
        <v>85</v>
      </c>
      <c r="S387" t="n">
        <v>56</v>
      </c>
      <c r="T387" t="n">
        <v>343</v>
      </c>
      <c r="U387" t="n">
        <v>24</v>
      </c>
      <c r="V387" t="n">
        <v>266</v>
      </c>
      <c r="W387" t="n">
        <v>0.436</v>
      </c>
      <c r="X387" t="n">
        <v>186</v>
      </c>
      <c r="Y387" t="n">
        <v>115</v>
      </c>
      <c r="Z387" t="n">
        <v>158</v>
      </c>
      <c r="AA387" t="n">
        <v>6</v>
      </c>
      <c r="AB387" t="n">
        <v>9.9</v>
      </c>
      <c r="AC387" t="inlineStr">
        <is>
          <t xml:space="preserve"> Resort Freeride</t>
        </is>
      </c>
      <c r="AD387" t="inlineStr">
        <is>
          <t xml:space="preserve"> Powder</t>
        </is>
      </c>
      <c r="AG387" t="inlineStr">
        <is>
          <t>Salomon QST Stella 106 Skis</t>
        </is>
      </c>
      <c r="AH387" t="inlineStr">
        <is>
          <t>Erik's Bike, Board and Ski</t>
        </is>
      </c>
      <c r="AI387" s="333" t="n">
        <v>399.99</v>
      </c>
      <c r="AJ387" t="inlineStr">
        <is>
          <t>https://tinyurl.com/yd3vq5bl</t>
        </is>
      </c>
      <c r="AK387" t="inlineStr">
        <is>
          <t>Salomon QST Stella 106 Beige/Pink / 167cm</t>
        </is>
      </c>
      <c r="AL387" t="inlineStr">
        <is>
          <t>Sundance Ski and Board Shop</t>
        </is>
      </c>
      <c r="AM387" s="333" t="n">
        <v>481.02</v>
      </c>
      <c r="AN387" t="inlineStr">
        <is>
          <t>https://tinyurl.com/ybelrdl3</t>
        </is>
      </c>
      <c r="AO387" t="inlineStr">
        <is>
          <t>Salomon QST Stella 106 Women's Skis 167cm 2022</t>
        </is>
      </c>
      <c r="AP387" t="inlineStr">
        <is>
          <t>Powder7 Ski Shop</t>
        </is>
      </c>
      <c r="AQ387" s="333" t="n">
        <v>559.9299999999999</v>
      </c>
      <c r="AR387" t="inlineStr">
        <is>
          <t>https://tinyurl.com/y9fgg36d</t>
        </is>
      </c>
      <c r="AS387" s="314">
        <f>IF(LEFT(C387,1)=" ",RIGHT(C387,LEN(C387)-1),C387)</f>
        <v/>
      </c>
      <c r="AT387" s="281">
        <f>_xlfn.CONCAT(B387,AS387,D387,E387)</f>
        <v/>
      </c>
    </row>
    <row r="388">
      <c r="A388" t="inlineStr">
        <is>
          <t>21/22</t>
        </is>
      </c>
      <c r="B388" t="inlineStr">
        <is>
          <t xml:space="preserve"> J Skis</t>
        </is>
      </c>
      <c r="C388" t="inlineStr">
        <is>
          <t xml:space="preserve"> The Slacker</t>
        </is>
      </c>
      <c r="D388" t="n">
        <v>182</v>
      </c>
      <c r="E388" t="inlineStr">
        <is>
          <t xml:space="preserve"> Unisex</t>
        </is>
      </c>
      <c r="F388" t="n">
        <v>182</v>
      </c>
      <c r="G388" t="n">
        <v>179.9</v>
      </c>
      <c r="H388" t="n">
        <v>113</v>
      </c>
      <c r="I388" t="n">
        <v>147</v>
      </c>
      <c r="J388" t="n">
        <v>136</v>
      </c>
      <c r="K388" t="n">
        <v>109</v>
      </c>
      <c r="L388" t="n">
        <v>128</v>
      </c>
      <c r="M388" t="n">
        <v>20.4</v>
      </c>
      <c r="N388" t="n">
        <v>1946</v>
      </c>
      <c r="O388" t="n">
        <v>1.1</v>
      </c>
      <c r="P388" t="n">
        <v>2132</v>
      </c>
      <c r="Q388" t="n">
        <v>212</v>
      </c>
      <c r="R388" t="n">
        <v>99</v>
      </c>
      <c r="S388" t="n">
        <v>60</v>
      </c>
      <c r="T388" t="n">
        <v>447</v>
      </c>
      <c r="U388" t="n">
        <v>30</v>
      </c>
      <c r="V388" t="n">
        <v>218</v>
      </c>
      <c r="W388" t="n">
        <v>0.501</v>
      </c>
      <c r="X388" t="n">
        <v>175</v>
      </c>
      <c r="Y388" t="n">
        <v>151</v>
      </c>
      <c r="Z388" t="n">
        <v>271</v>
      </c>
      <c r="AA388" t="n">
        <v>5</v>
      </c>
      <c r="AB388" t="n">
        <v>8</v>
      </c>
      <c r="AC388" t="inlineStr">
        <is>
          <t xml:space="preserve"> Powder</t>
        </is>
      </c>
      <c r="AD388" t="inlineStr">
        <is>
          <t xml:space="preserve"> Touring</t>
        </is>
      </c>
      <c r="AG388" t="inlineStr">
        <is>
          <t>Rossignol Blackops Holyshred Skis - 2022</t>
        </is>
      </c>
      <c r="AH388" t="inlineStr">
        <is>
          <t>Gorham Bike and Ski</t>
        </is>
      </c>
      <c r="AI388" s="333" t="n">
        <v>489.99</v>
      </c>
      <c r="AJ388" t="inlineStr">
        <is>
          <t>https://tinyurl.com/yacxds69</t>
        </is>
      </c>
      <c r="AK388" t="inlineStr">
        <is>
          <t>The Joyride "PROTOTYPE" Limited Edition Ski, 182cm</t>
        </is>
      </c>
      <c r="AL388" t="inlineStr">
        <is>
          <t>J Skis</t>
        </is>
      </c>
      <c r="AM388" s="333" t="n">
        <v>499</v>
      </c>
      <c r="AN388" t="inlineStr">
        <is>
          <t>https://tinyurl.com/ychctgox</t>
        </is>
      </c>
      <c r="AO388" t="inlineStr">
        <is>
          <t>Liberty Skis Origin 106 Ski</t>
        </is>
      </c>
      <c r="AP388" t="inlineStr">
        <is>
          <t>evo.com</t>
        </is>
      </c>
      <c r="AQ388" s="333" t="n">
        <v>524.99</v>
      </c>
      <c r="AR388" t="inlineStr">
        <is>
          <t>https://tinyurl.com/yd6tk5mf</t>
        </is>
      </c>
      <c r="AS388" s="314">
        <f>IF(LEFT(C388,1)=" ",RIGHT(C388,LEN(C388)-1),C388)</f>
        <v/>
      </c>
      <c r="AT388" s="281">
        <f>_xlfn.CONCAT(B388,AS388,D388,E388)</f>
        <v/>
      </c>
    </row>
    <row r="389">
      <c r="A389" t="inlineStr">
        <is>
          <t>21/22</t>
        </is>
      </c>
      <c r="B389" t="inlineStr">
        <is>
          <t xml:space="preserve"> Vï¿½lkl</t>
        </is>
      </c>
      <c r="C389" t="inlineStr">
        <is>
          <t>Bash 86</t>
        </is>
      </c>
      <c r="D389" t="n">
        <v>180</v>
      </c>
      <c r="E389" t="inlineStr">
        <is>
          <t xml:space="preserve"> Unisex</t>
        </is>
      </c>
      <c r="F389" t="n">
        <v>180</v>
      </c>
      <c r="G389" t="n">
        <v>180.3</v>
      </c>
      <c r="H389" t="n">
        <v>122</v>
      </c>
      <c r="I389" t="n">
        <v>166</v>
      </c>
      <c r="J389" t="n">
        <v>119</v>
      </c>
      <c r="K389" t="n">
        <v>85</v>
      </c>
      <c r="L389" t="n">
        <v>109</v>
      </c>
      <c r="M389" t="n">
        <v>23.5</v>
      </c>
      <c r="N389" t="n">
        <v>1832</v>
      </c>
      <c r="O389" t="n">
        <v>0.9399999999999999</v>
      </c>
      <c r="P389" t="n">
        <v>1724</v>
      </c>
      <c r="Q389" t="n">
        <v>205</v>
      </c>
      <c r="R389" t="n">
        <v>99</v>
      </c>
      <c r="S389" t="n">
        <v>43</v>
      </c>
      <c r="T389" t="n">
        <v>285</v>
      </c>
      <c r="U389" t="n">
        <v>39</v>
      </c>
      <c r="V389" t="n">
        <v>295</v>
      </c>
      <c r="W389" t="n">
        <v>0.902</v>
      </c>
      <c r="X389" t="n">
        <v>79</v>
      </c>
      <c r="Y389" t="n">
        <v>68</v>
      </c>
      <c r="Z389" t="n">
        <v>206</v>
      </c>
      <c r="AA389" t="n">
        <v>4</v>
      </c>
      <c r="AB389" t="n">
        <v>1.6</v>
      </c>
      <c r="AC389" t="inlineStr">
        <is>
          <t xml:space="preserve"> Freeski</t>
        </is>
      </c>
      <c r="AG389" t="inlineStr">
        <is>
          <t>Volkl Bash 86 Skis</t>
        </is>
      </c>
      <c r="AH389" t="inlineStr">
        <is>
          <t>BobsSportsChalet.com</t>
        </is>
      </c>
      <c r="AI389" s="333" t="n">
        <v>399.99</v>
      </c>
      <c r="AJ389" t="inlineStr">
        <is>
          <t>https://tinyurl.com/y8y2y4m8</t>
        </is>
      </c>
      <c r="AK389" t="inlineStr">
        <is>
          <t>Volkl Blaze 86 Skis 2022</t>
        </is>
      </c>
      <c r="AL389" t="inlineStr">
        <is>
          <t>Hillcrest Ski &amp; Sports</t>
        </is>
      </c>
      <c r="AM389" s="333" t="n">
        <v>399.99</v>
      </c>
      <c r="AN389" t="inlineStr">
        <is>
          <t>https://tinyurl.com/yaoz77tf</t>
        </is>
      </c>
      <c r="AO389" t="inlineStr">
        <is>
          <t>Volkl Blaze 86 Skis 2022</t>
        </is>
      </c>
      <c r="AP389" t="inlineStr">
        <is>
          <t>BlueZone Sports</t>
        </is>
      </c>
      <c r="AQ389" s="333" t="n">
        <v>399.99</v>
      </c>
      <c r="AR389" t="inlineStr">
        <is>
          <t>https://tinyurl.com/y7sqo78a</t>
        </is>
      </c>
      <c r="AS389" s="314">
        <f>IF(LEFT(C389,1)=" ",RIGHT(C389,LEN(C389)-1),C389)</f>
        <v/>
      </c>
      <c r="AT389" s="281">
        <f>_xlfn.CONCAT(B389,AS389,D389,E389)</f>
        <v/>
      </c>
    </row>
    <row r="390">
      <c r="A390" t="inlineStr">
        <is>
          <t>21/22</t>
        </is>
      </c>
      <c r="B390" t="inlineStr">
        <is>
          <t xml:space="preserve"> Dynastar</t>
        </is>
      </c>
      <c r="C390" t="inlineStr">
        <is>
          <t>M-Pro 90</t>
        </is>
      </c>
      <c r="D390" t="n">
        <v>186</v>
      </c>
      <c r="E390" t="inlineStr">
        <is>
          <t xml:space="preserve"> Unisex</t>
        </is>
      </c>
      <c r="F390" t="n">
        <v>186</v>
      </c>
      <c r="G390" t="n">
        <v>185.6</v>
      </c>
      <c r="H390" t="n">
        <v>137</v>
      </c>
      <c r="I390" t="n">
        <v>154</v>
      </c>
      <c r="J390" t="n">
        <v>119</v>
      </c>
      <c r="K390" t="n">
        <v>88</v>
      </c>
      <c r="L390" t="n">
        <v>108</v>
      </c>
      <c r="M390" t="n">
        <v>20.5</v>
      </c>
      <c r="N390" t="n">
        <v>1922</v>
      </c>
      <c r="O390" t="n">
        <v>0.95</v>
      </c>
      <c r="P390" t="n">
        <v>1834</v>
      </c>
      <c r="Q390" t="n">
        <v>286</v>
      </c>
      <c r="R390" t="n">
        <v>116</v>
      </c>
      <c r="S390" t="n">
        <v>66</v>
      </c>
      <c r="T390" t="n">
        <v>334</v>
      </c>
      <c r="U390" t="n">
        <v>14</v>
      </c>
      <c r="V390" t="n">
        <v>152</v>
      </c>
      <c r="W390" t="n">
        <v>0.218999999999999</v>
      </c>
      <c r="X390" t="n">
        <v>203</v>
      </c>
      <c r="Y390" t="n">
        <v>116</v>
      </c>
      <c r="Z390" t="n">
        <v>131</v>
      </c>
      <c r="AA390" t="n">
        <v>7</v>
      </c>
      <c r="AB390" t="n">
        <v>11.7</v>
      </c>
      <c r="AC390" t="inlineStr">
        <is>
          <t xml:space="preserve"> Resort Freeride</t>
        </is>
      </c>
      <c r="AG390" t="inlineStr">
        <is>
          <t>Dynastar M-Pro 90 Skis 186cm</t>
        </is>
      </c>
      <c r="AH390" t="inlineStr">
        <is>
          <t>Snowcountry.eu</t>
        </is>
      </c>
      <c r="AI390" s="333" t="n">
        <v>331.01</v>
      </c>
      <c r="AJ390" t="inlineStr">
        <is>
          <t>https://tinyurl.com/y9dervtj</t>
        </is>
      </c>
      <c r="AK390" t="inlineStr">
        <is>
          <t>Dynastar M-PRO 90 186cm</t>
        </is>
      </c>
      <c r="AL390" t="inlineStr">
        <is>
          <t>Sundance Ski and Board Shop</t>
        </is>
      </c>
      <c r="AM390" s="333" t="n">
        <v>448.96</v>
      </c>
      <c r="AN390" t="inlineStr">
        <is>
          <t>https://tinyurl.com/ycmftbsp</t>
        </is>
      </c>
      <c r="AO390" t="inlineStr">
        <is>
          <t>Dynastar M-Pro 90 Skis</t>
        </is>
      </c>
      <c r="AP390" t="inlineStr">
        <is>
          <t>Cole Sport</t>
        </is>
      </c>
      <c r="AQ390" s="333" t="n">
        <v>479.96</v>
      </c>
      <c r="AR390" t="inlineStr">
        <is>
          <t>https://tinyurl.com/y6uzpfgw</t>
        </is>
      </c>
      <c r="AS390" s="314">
        <f>IF(LEFT(C390,1)=" ",RIGHT(C390,LEN(C390)-1),C390)</f>
        <v/>
      </c>
      <c r="AT390" s="281">
        <f>_xlfn.CONCAT(B390,AS390,D390,E390)</f>
        <v/>
      </c>
    </row>
    <row r="391">
      <c r="A391" t="inlineStr">
        <is>
          <t>21/22</t>
        </is>
      </c>
      <c r="B391" t="inlineStr">
        <is>
          <t xml:space="preserve"> Vï¿½lkl</t>
        </is>
      </c>
      <c r="C391" t="inlineStr">
        <is>
          <t>Revolt 87</t>
        </is>
      </c>
      <c r="D391" t="n">
        <v>169</v>
      </c>
      <c r="E391" t="inlineStr">
        <is>
          <t xml:space="preserve"> Unisex</t>
        </is>
      </c>
      <c r="F391" t="n">
        <v>169</v>
      </c>
      <c r="G391" t="n">
        <v>166.1</v>
      </c>
      <c r="H391" t="n">
        <v>133</v>
      </c>
      <c r="I391" t="n">
        <v>145</v>
      </c>
      <c r="J391" t="n">
        <v>115</v>
      </c>
      <c r="K391" t="n">
        <v>86</v>
      </c>
      <c r="L391" t="n">
        <v>115</v>
      </c>
      <c r="M391" t="n">
        <v>18</v>
      </c>
      <c r="N391" t="n">
        <v>1834</v>
      </c>
      <c r="O391" t="n">
        <v>0.87</v>
      </c>
      <c r="P391" t="n">
        <v>1604</v>
      </c>
      <c r="Q391" t="n">
        <v>221</v>
      </c>
      <c r="R391" t="n">
        <v>103</v>
      </c>
      <c r="S391" t="n">
        <v>45</v>
      </c>
      <c r="T391" t="n">
        <v>169</v>
      </c>
      <c r="U391" t="n">
        <v>42</v>
      </c>
      <c r="V391" t="n">
        <v>166</v>
      </c>
      <c r="W391" t="n">
        <v>0.929</v>
      </c>
      <c r="X391" t="n">
        <v>103</v>
      </c>
      <c r="Y391" t="n">
        <v>110</v>
      </c>
      <c r="Z391" t="n">
        <v>67</v>
      </c>
      <c r="AA391" t="n">
        <v>7</v>
      </c>
      <c r="AB391" t="n">
        <v>0.4</v>
      </c>
      <c r="AC391" t="inlineStr">
        <is>
          <t xml:space="preserve"> Freeski</t>
        </is>
      </c>
      <c r="AG391" t="inlineStr">
        <is>
          <t>Volkl Revolt 87 Skis</t>
        </is>
      </c>
      <c r="AH391" t="inlineStr">
        <is>
          <t>Powder7 Ski Shop</t>
        </is>
      </c>
      <c r="AI391" s="333" t="n">
        <v>469.95</v>
      </c>
      <c r="AJ391" t="inlineStr">
        <is>
          <t>https://tinyurl.com/yb89rjnd</t>
        </is>
      </c>
      <c r="AK391" t="inlineStr">
        <is>
          <t>Revolt 87 169cm</t>
        </is>
      </c>
      <c r="AL391" t="inlineStr">
        <is>
          <t>BS The Board Shop</t>
        </is>
      </c>
      <c r="AM391" s="333" t="n">
        <v>549.95</v>
      </c>
      <c r="AN391" t="inlineStr">
        <is>
          <t>https://tinyurl.com/ycvf3yzu</t>
        </is>
      </c>
      <c r="AS391" s="314">
        <f>IF(LEFT(C391,1)=" ",RIGHT(C391,LEN(C391)-1),C391)</f>
        <v/>
      </c>
      <c r="AT391" s="281">
        <f>_xlfn.CONCAT(B391,AS391,D391,E391)</f>
        <v/>
      </c>
    </row>
    <row r="392">
      <c r="A392" t="inlineStr">
        <is>
          <t>21/22</t>
        </is>
      </c>
      <c r="B392" t="inlineStr">
        <is>
          <t xml:space="preserve"> Line</t>
        </is>
      </c>
      <c r="C392" t="inlineStr">
        <is>
          <t>Pandora 110</t>
        </is>
      </c>
      <c r="D392" t="n">
        <v>178</v>
      </c>
      <c r="E392" t="inlineStr">
        <is>
          <t xml:space="preserve"> Women's</t>
        </is>
      </c>
      <c r="F392" t="n">
        <v>178</v>
      </c>
      <c r="G392" t="n">
        <v>178.5</v>
      </c>
      <c r="H392" t="n">
        <v>115</v>
      </c>
      <c r="I392" t="n">
        <v>145</v>
      </c>
      <c r="J392" t="n">
        <v>142</v>
      </c>
      <c r="K392" t="n">
        <v>109</v>
      </c>
      <c r="L392" t="n">
        <v>128</v>
      </c>
      <c r="M392" t="n">
        <v>18.3</v>
      </c>
      <c r="N392" t="n">
        <v>1529</v>
      </c>
      <c r="O392" t="n">
        <v>1.38</v>
      </c>
      <c r="P392" t="n">
        <v>2115</v>
      </c>
      <c r="Q392" t="n">
        <v>167</v>
      </c>
      <c r="R392" t="n">
        <v>81</v>
      </c>
      <c r="S392" t="n">
        <v>54</v>
      </c>
      <c r="T392" t="n">
        <v>353</v>
      </c>
      <c r="U392" t="n">
        <v>32</v>
      </c>
      <c r="V392" t="n">
        <v>285</v>
      </c>
      <c r="W392" t="n">
        <v>0.6</v>
      </c>
      <c r="X392" t="n">
        <v>162</v>
      </c>
      <c r="Y392" t="n">
        <v>177</v>
      </c>
      <c r="Z392" t="n">
        <v>191</v>
      </c>
      <c r="AA392" t="n">
        <v>5</v>
      </c>
      <c r="AB392" t="n">
        <v>5.5</v>
      </c>
      <c r="AC392" t="inlineStr">
        <is>
          <t xml:space="preserve"> Powder</t>
        </is>
      </c>
      <c r="AD392" t="inlineStr">
        <is>
          <t xml:space="preserve"> Touring</t>
        </is>
      </c>
      <c r="AE392" t="inlineStr">
        <is>
          <t xml:space="preserve"> Ultralight Touring</t>
        </is>
      </c>
      <c r="AG392" t="inlineStr">
        <is>
          <t>Line Skis Pandora 110 Skis Women's 2022 - 178</t>
        </is>
      </c>
      <c r="AH392" t="inlineStr">
        <is>
          <t>Backcountry.com</t>
        </is>
      </c>
      <c r="AI392" s="333" t="n">
        <v>559.96</v>
      </c>
      <c r="AJ392" t="inlineStr">
        <is>
          <t>https://tinyurl.com/yddy2w4d</t>
        </is>
      </c>
      <c r="AK392" t="inlineStr">
        <is>
          <t>Line Skis Pandora 110 Skis Women's 2022 - 178</t>
        </is>
      </c>
      <c r="AL392" t="inlineStr">
        <is>
          <t>Steep &amp; Cheap</t>
        </is>
      </c>
      <c r="AM392" s="333" t="n">
        <v>559.96</v>
      </c>
      <c r="AN392" t="inlineStr">
        <is>
          <t>https://tinyurl.com/y7ttwhaz</t>
        </is>
      </c>
      <c r="AO392" t="inlineStr">
        <is>
          <t>Line Skis Pandora 110 Skis Women's 2022 - 178</t>
        </is>
      </c>
      <c r="AP392" t="inlineStr">
        <is>
          <t>LINE Skis</t>
        </is>
      </c>
      <c r="AQ392" s="333" t="n">
        <v>699.95</v>
      </c>
      <c r="AR392" t="inlineStr">
        <is>
          <t>https://tinyurl.com/y9b253jt</t>
        </is>
      </c>
      <c r="AS392" s="314">
        <f>IF(LEFT(C392,1)=" ",RIGHT(C392,LEN(C392)-1),C392)</f>
        <v/>
      </c>
      <c r="AT392" s="281">
        <f>_xlfn.CONCAT(B392,AS392,D392,E392)</f>
        <v/>
      </c>
    </row>
    <row r="393">
      <c r="A393" t="inlineStr">
        <is>
          <t>21/22</t>
        </is>
      </c>
      <c r="B393" t="inlineStr">
        <is>
          <t xml:space="preserve"> Black Crows</t>
        </is>
      </c>
      <c r="C393" t="inlineStr">
        <is>
          <t xml:space="preserve"> Atris</t>
        </is>
      </c>
      <c r="D393" t="n">
        <v>178.3</v>
      </c>
      <c r="E393" t="inlineStr">
        <is>
          <t xml:space="preserve"> Unisex</t>
        </is>
      </c>
      <c r="F393" t="n">
        <v>178.3</v>
      </c>
      <c r="G393" t="n">
        <v>176.9</v>
      </c>
      <c r="H393" t="n">
        <v>122</v>
      </c>
      <c r="I393" t="n">
        <v>145</v>
      </c>
      <c r="J393" t="n">
        <v>138</v>
      </c>
      <c r="K393" t="n">
        <v>108</v>
      </c>
      <c r="L393" t="n">
        <v>125</v>
      </c>
      <c r="M393" t="n">
        <v>20.4</v>
      </c>
      <c r="N393" t="n">
        <v>1900</v>
      </c>
      <c r="O393" t="n">
        <v>1.09</v>
      </c>
      <c r="P393" t="n">
        <v>2078</v>
      </c>
      <c r="Q393" t="n">
        <v>197</v>
      </c>
      <c r="R393" t="n">
        <v>85</v>
      </c>
      <c r="S393" t="n">
        <v>53</v>
      </c>
      <c r="T393" t="n">
        <v>339</v>
      </c>
      <c r="U393" t="n">
        <v>30</v>
      </c>
      <c r="V393" t="n">
        <v>214</v>
      </c>
      <c r="W393" t="n">
        <v>0.578</v>
      </c>
      <c r="X393" t="n">
        <v>198</v>
      </c>
      <c r="Y393" t="n">
        <v>118</v>
      </c>
      <c r="Z393" t="n">
        <v>140</v>
      </c>
      <c r="AA393" t="n">
        <v>5</v>
      </c>
      <c r="AB393" t="n">
        <v>8.1</v>
      </c>
      <c r="AC393" t="inlineStr">
        <is>
          <t xml:space="preserve"> Powder</t>
        </is>
      </c>
      <c r="AD393" t="inlineStr">
        <is>
          <t xml:space="preserve"> Touring</t>
        </is>
      </c>
      <c r="AG393" t="inlineStr">
        <is>
          <t>Black Crows Atris Birdie Skis - Women's - 2022</t>
        </is>
      </c>
      <c r="AH393" t="inlineStr">
        <is>
          <t>Backcountry.com</t>
        </is>
      </c>
      <c r="AI393" s="333" t="n">
        <v>671.92</v>
      </c>
      <c r="AJ393" t="inlineStr">
        <is>
          <t>https://tinyurl.com/yayqhwxo</t>
        </is>
      </c>
      <c r="AK393" t="inlineStr">
        <is>
          <t>Black Crows Atris Birdie Skis - Women's - 2022</t>
        </is>
      </c>
      <c r="AL393" t="inlineStr">
        <is>
          <t>Powder7 Ski Shop</t>
        </is>
      </c>
      <c r="AM393" s="333" t="n">
        <v>671.9299999999999</v>
      </c>
      <c r="AN393" t="inlineStr">
        <is>
          <t>https://tinyurl.com/y8xgfd6k</t>
        </is>
      </c>
      <c r="AO393" t="inlineStr">
        <is>
          <t>Black Crows Atris Skis</t>
        </is>
      </c>
      <c r="AP393" t="inlineStr">
        <is>
          <t>Next Adventure</t>
        </is>
      </c>
      <c r="AQ393" s="333" t="n">
        <v>671.96</v>
      </c>
      <c r="AR393" t="inlineStr">
        <is>
          <t>https://tinyurl.com/ycfht7xu</t>
        </is>
      </c>
      <c r="AS393" s="314">
        <f>IF(LEFT(C393,1)=" ",RIGHT(C393,LEN(C393)-1),C393)</f>
        <v/>
      </c>
      <c r="AT393" s="281">
        <f>_xlfn.CONCAT(B393,AS393,D393,E393)</f>
        <v/>
      </c>
    </row>
    <row r="394">
      <c r="A394" t="inlineStr">
        <is>
          <t>21/22</t>
        </is>
      </c>
      <c r="B394" t="inlineStr">
        <is>
          <t xml:space="preserve"> Black Crows</t>
        </is>
      </c>
      <c r="C394" t="inlineStr">
        <is>
          <t xml:space="preserve"> Divus</t>
        </is>
      </c>
      <c r="D394" t="n">
        <v>167.2</v>
      </c>
      <c r="E394" t="inlineStr">
        <is>
          <t xml:space="preserve"> Unisex</t>
        </is>
      </c>
      <c r="F394" t="n">
        <v>167.2</v>
      </c>
      <c r="G394" t="n">
        <v>166.5</v>
      </c>
      <c r="H394" t="n">
        <v>115</v>
      </c>
      <c r="I394" t="n">
        <v>147</v>
      </c>
      <c r="J394" t="n">
        <v>121</v>
      </c>
      <c r="K394" t="n">
        <v>81</v>
      </c>
      <c r="L394" t="n">
        <v>105</v>
      </c>
      <c r="M394" t="n">
        <v>16.1</v>
      </c>
      <c r="N394" t="n">
        <v>1519</v>
      </c>
      <c r="O394" t="n">
        <v>1.02</v>
      </c>
      <c r="P394" t="n">
        <v>1554</v>
      </c>
      <c r="Q394" t="n">
        <v>165</v>
      </c>
      <c r="R394" t="n">
        <v>98</v>
      </c>
      <c r="S394" t="n">
        <v>35</v>
      </c>
      <c r="T394" t="n">
        <v>319</v>
      </c>
      <c r="U394" t="n">
        <v>19</v>
      </c>
      <c r="V394" t="n">
        <v>192</v>
      </c>
      <c r="W394" t="n">
        <v>0.537</v>
      </c>
      <c r="X394" t="n">
        <v>110</v>
      </c>
      <c r="Y394" t="n">
        <v>88</v>
      </c>
      <c r="Z394" t="n">
        <v>209</v>
      </c>
      <c r="AA394" t="n">
        <v>4</v>
      </c>
      <c r="AB394" t="n">
        <v>10.5</v>
      </c>
      <c r="AC394" t="inlineStr">
        <is>
          <t xml:space="preserve"> Resort Freeride</t>
        </is>
      </c>
      <c r="AG394" t="inlineStr">
        <is>
          <t>Black Crows Divus Birdie Ski</t>
        </is>
      </c>
      <c r="AH394" t="inlineStr">
        <is>
          <t>Powder7 Ski Shop</t>
        </is>
      </c>
      <c r="AI394" s="333" t="n">
        <v>671.96</v>
      </c>
      <c r="AJ394" t="inlineStr">
        <is>
          <t>https://tinyurl.com/y9wz9x46</t>
        </is>
      </c>
      <c r="AK394" t="inlineStr">
        <is>
          <t>2022 Black Crows Divus Skis w/ Tyrolia Attack2 14 GW Bindings - 167| Ski Essentials</t>
        </is>
      </c>
      <c r="AL394" t="inlineStr">
        <is>
          <t>SkiEssentials.com</t>
        </is>
      </c>
      <c r="AM394" s="333" t="n">
        <v>798.96</v>
      </c>
      <c r="AN394" t="inlineStr">
        <is>
          <t>https://tinyurl.com/yd6xe9lf</t>
        </is>
      </c>
      <c r="AO394" t="inlineStr">
        <is>
          <t>Black Crows Pilus Navis Freebird Skins</t>
        </is>
      </c>
      <c r="AP394" t="inlineStr">
        <is>
          <t>Teton Wasatch Ski Co.</t>
        </is>
      </c>
      <c r="AQ394" s="333" t="n">
        <v>175</v>
      </c>
      <c r="AR394" t="inlineStr">
        <is>
          <t>https://tinyurl.com/ybcsfrb6</t>
        </is>
      </c>
      <c r="AS394" s="314">
        <f>IF(LEFT(C394,1)=" ",RIGHT(C394,LEN(C394)-1),C394)</f>
        <v/>
      </c>
      <c r="AT394" s="281">
        <f>_xlfn.CONCAT(B394,AS394,D394,E394)</f>
        <v/>
      </c>
    </row>
    <row r="395">
      <c r="A395" t="inlineStr">
        <is>
          <t>21/22</t>
        </is>
      </c>
      <c r="B395" t="inlineStr">
        <is>
          <t xml:space="preserve"> Atomic</t>
        </is>
      </c>
      <c r="C395" t="inlineStr">
        <is>
          <t>Backland 95</t>
        </is>
      </c>
      <c r="D395" t="n">
        <v>169</v>
      </c>
      <c r="E395" t="inlineStr">
        <is>
          <t xml:space="preserve"> Unisex</t>
        </is>
      </c>
      <c r="F395" t="n">
        <v>169</v>
      </c>
      <c r="G395" t="n">
        <v>167.5</v>
      </c>
      <c r="H395" t="n">
        <v>127</v>
      </c>
      <c r="I395" t="n">
        <v>138</v>
      </c>
      <c r="J395" t="n">
        <v>125</v>
      </c>
      <c r="K395" t="n">
        <v>93</v>
      </c>
      <c r="L395" t="n">
        <v>113</v>
      </c>
      <c r="M395" t="n">
        <v>17.3</v>
      </c>
      <c r="N395" t="n">
        <v>1331</v>
      </c>
      <c r="O395" t="n">
        <v>1.3</v>
      </c>
      <c r="P395" t="n">
        <v>1725</v>
      </c>
      <c r="Q395" t="n">
        <v>187</v>
      </c>
      <c r="R395" t="n">
        <v>85</v>
      </c>
      <c r="S395" t="n">
        <v>49</v>
      </c>
      <c r="T395" t="n">
        <v>243</v>
      </c>
      <c r="U395" t="n">
        <v>10</v>
      </c>
      <c r="V395" t="n">
        <v>159</v>
      </c>
      <c r="W395" t="n">
        <v>0.196</v>
      </c>
      <c r="X395" t="n">
        <v>175</v>
      </c>
      <c r="Y395" t="n">
        <v>117</v>
      </c>
      <c r="Z395" t="n">
        <v>68</v>
      </c>
      <c r="AA395" t="n">
        <v>4</v>
      </c>
      <c r="AB395" t="n">
        <v>11.6</v>
      </c>
      <c r="AC395" t="inlineStr">
        <is>
          <t xml:space="preserve"> Touring</t>
        </is>
      </c>
      <c r="AD395" t="inlineStr">
        <is>
          <t xml:space="preserve"> Ultralight Touring</t>
        </is>
      </c>
      <c r="AG395" t="inlineStr">
        <is>
          <t>Atomic Backland 95 Skis 2022 - 169</t>
        </is>
      </c>
      <c r="AH395" t="inlineStr">
        <is>
          <t>Telemark Pyrenees</t>
        </is>
      </c>
      <c r="AI395" s="333" t="n">
        <v>504.17</v>
      </c>
      <c r="AJ395" t="inlineStr">
        <is>
          <t>https://tinyurl.com/ya8pp7r8</t>
        </is>
      </c>
      <c r="AK395" t="inlineStr">
        <is>
          <t>Atomic Backland 95 Skis 2022 - 169</t>
        </is>
      </c>
      <c r="AL395" t="inlineStr">
        <is>
          <t>Stowesports.com</t>
        </is>
      </c>
      <c r="AM395" s="333" t="n">
        <v>698</v>
      </c>
      <c r="AN395" t="inlineStr">
        <is>
          <t>https://tinyurl.com/ycolro6s</t>
        </is>
      </c>
      <c r="AO395" t="inlineStr">
        <is>
          <t>Atomic Backland 95 Alpine Touring Ski 169</t>
        </is>
      </c>
      <c r="AP395" t="inlineStr">
        <is>
          <t>Cripple Creek Backcountry</t>
        </is>
      </c>
      <c r="AQ395" s="333" t="n">
        <v>699.99</v>
      </c>
      <c r="AR395" t="inlineStr">
        <is>
          <t>https://tinyurl.com/y7l62cka</t>
        </is>
      </c>
      <c r="AS395" s="314">
        <f>IF(LEFT(C395,1)=" ",RIGHT(C395,LEN(C395)-1),C395)</f>
        <v/>
      </c>
      <c r="AT395" s="281">
        <f>_xlfn.CONCAT(B395,AS395,D395,E395)</f>
        <v/>
      </c>
    </row>
    <row r="396">
      <c r="A396" t="inlineStr">
        <is>
          <t>21/22</t>
        </is>
      </c>
      <c r="B396" t="inlineStr">
        <is>
          <t>K2</t>
        </is>
      </c>
      <c r="C396" t="inlineStr">
        <is>
          <t>Reckoner 92</t>
        </is>
      </c>
      <c r="D396" t="n">
        <v>179</v>
      </c>
      <c r="E396" t="inlineStr">
        <is>
          <t xml:space="preserve"> Unisex</t>
        </is>
      </c>
      <c r="F396" t="n">
        <v>179</v>
      </c>
      <c r="G396" t="n">
        <v>178.8</v>
      </c>
      <c r="H396" t="n">
        <v>121</v>
      </c>
      <c r="I396" t="n">
        <v>153</v>
      </c>
      <c r="J396" t="n">
        <v>123</v>
      </c>
      <c r="K396" t="n">
        <v>90</v>
      </c>
      <c r="L396" t="n">
        <v>113</v>
      </c>
      <c r="M396" t="n">
        <v>19.8</v>
      </c>
      <c r="N396" t="n">
        <v>1790</v>
      </c>
      <c r="O396" t="n">
        <v>1.01</v>
      </c>
      <c r="P396" t="n">
        <v>1806</v>
      </c>
      <c r="Q396" t="n">
        <v>185</v>
      </c>
      <c r="R396" t="n">
        <v>84</v>
      </c>
      <c r="S396" t="n">
        <v>47</v>
      </c>
      <c r="T396" t="n">
        <v>303</v>
      </c>
      <c r="U396" t="n">
        <v>44</v>
      </c>
      <c r="V396" t="n">
        <v>280</v>
      </c>
      <c r="W396" t="n">
        <v>0.920999999999999</v>
      </c>
      <c r="X396" t="n">
        <v>115</v>
      </c>
      <c r="Y396" t="n">
        <v>146</v>
      </c>
      <c r="Z396" t="n">
        <v>187</v>
      </c>
      <c r="AA396" t="n">
        <v>8</v>
      </c>
      <c r="AB396" t="n">
        <v>5.5</v>
      </c>
      <c r="AC396" t="inlineStr">
        <is>
          <t xml:space="preserve"> Freeski</t>
        </is>
      </c>
      <c r="AG396" t="inlineStr">
        <is>
          <t>K2 Reckoner 92 Skis</t>
        </is>
      </c>
      <c r="AH396" t="inlineStr">
        <is>
          <t>ColoradoSkiShop.com</t>
        </is>
      </c>
      <c r="AI396" s="333" t="n">
        <v>299.95</v>
      </c>
      <c r="AJ396" t="inlineStr">
        <is>
          <t>https://tinyurl.com/ybhmktml</t>
        </is>
      </c>
      <c r="AK396" t="inlineStr">
        <is>
          <t>K2 Reckoner 92 Skis</t>
        </is>
      </c>
      <c r="AL396" t="inlineStr">
        <is>
          <t>Christy Sports</t>
        </is>
      </c>
      <c r="AM396" s="333" t="n">
        <v>299.95</v>
      </c>
      <c r="AN396" t="inlineStr">
        <is>
          <t>https://tinyurl.com/y77bremm</t>
        </is>
      </c>
      <c r="AO396" t="inlineStr">
        <is>
          <t>K2 Reckoner 92 Skis</t>
        </is>
      </c>
      <c r="AP396" t="inlineStr">
        <is>
          <t>evo.com</t>
        </is>
      </c>
      <c r="AQ396" s="333" t="n">
        <v>299.95</v>
      </c>
      <c r="AR396" t="inlineStr">
        <is>
          <t>https://tinyurl.com/y8ayzpfy</t>
        </is>
      </c>
      <c r="AS396" s="314">
        <f>IF(LEFT(C396,1)=" ",RIGHT(C396,LEN(C396)-1),C396)</f>
        <v/>
      </c>
      <c r="AT396" s="281">
        <f>_xlfn.CONCAT(B396,AS396,D396,E396)</f>
        <v/>
      </c>
    </row>
    <row r="397">
      <c r="A397" t="inlineStr">
        <is>
          <t>21/22</t>
        </is>
      </c>
      <c r="B397" t="inlineStr">
        <is>
          <t xml:space="preserve"> Blizzard</t>
        </is>
      </c>
      <c r="C397" t="inlineStr">
        <is>
          <t>Black Pearl 97</t>
        </is>
      </c>
      <c r="D397" t="n">
        <v>171</v>
      </c>
      <c r="E397" t="inlineStr">
        <is>
          <t xml:space="preserve"> Women's</t>
        </is>
      </c>
      <c r="F397" t="n">
        <v>171</v>
      </c>
      <c r="G397" t="n">
        <v>169.8</v>
      </c>
      <c r="H397" t="n">
        <v>134</v>
      </c>
      <c r="I397" t="n">
        <v>146</v>
      </c>
      <c r="J397" t="n">
        <v>136</v>
      </c>
      <c r="K397" t="n">
        <v>96</v>
      </c>
      <c r="L397" t="n">
        <v>118</v>
      </c>
      <c r="M397" t="n">
        <v>16.8</v>
      </c>
      <c r="N397" t="n">
        <v>1926</v>
      </c>
      <c r="O397" t="n">
        <v>0.95</v>
      </c>
      <c r="P397" t="n">
        <v>1836</v>
      </c>
      <c r="Q397" t="n">
        <v>190</v>
      </c>
      <c r="R397" t="n">
        <v>105</v>
      </c>
      <c r="S397" t="n">
        <v>57</v>
      </c>
      <c r="T397" t="n">
        <v>244</v>
      </c>
      <c r="U397" t="n">
        <v>8</v>
      </c>
      <c r="V397" t="n">
        <v>116</v>
      </c>
      <c r="W397" t="n">
        <v>0.14</v>
      </c>
      <c r="X397" t="n">
        <v>128</v>
      </c>
      <c r="Y397" t="n">
        <v>112</v>
      </c>
      <c r="Z397" t="n">
        <v>116</v>
      </c>
      <c r="AA397" t="n">
        <v>4</v>
      </c>
      <c r="AB397" t="n">
        <v>11.4</v>
      </c>
      <c r="AC397" t="inlineStr">
        <is>
          <t xml:space="preserve"> Resort Freeride</t>
        </is>
      </c>
      <c r="AG397" t="inlineStr">
        <is>
          <t>Blizzard Black Pearl 97 21/22</t>
        </is>
      </c>
      <c r="AH397" t="inlineStr">
        <is>
          <t>Snowcountry.eu</t>
        </is>
      </c>
      <c r="AI397" s="333" t="n">
        <v>387.23</v>
      </c>
      <c r="AJ397" t="inlineStr">
        <is>
          <t>https://tinyurl.com/y968awb2</t>
        </is>
      </c>
      <c r="AK397" t="inlineStr">
        <is>
          <t>Blizzard Black Pearl 97 Skis</t>
        </is>
      </c>
      <c r="AL397" t="inlineStr">
        <is>
          <t>Cole Sport</t>
        </is>
      </c>
      <c r="AM397" s="333" t="n">
        <v>559.95</v>
      </c>
      <c r="AN397" t="inlineStr">
        <is>
          <t>https://tinyurl.com/y7xz867w</t>
        </is>
      </c>
      <c r="AO397" t="inlineStr">
        <is>
          <t>2022 Blizzard Black Pearl 97 ladies snow skis 171</t>
        </is>
      </c>
      <c r="AP397" t="inlineStr">
        <is>
          <t>The Pro Shop</t>
        </is>
      </c>
      <c r="AQ397" s="333" t="n">
        <v>699</v>
      </c>
      <c r="AR397" t="inlineStr">
        <is>
          <t>https://tinyurl.com/y8ysx88p</t>
        </is>
      </c>
      <c r="AS397" s="314">
        <f>IF(LEFT(C397,1)=" ",RIGHT(C397,LEN(C397)-1),C397)</f>
        <v/>
      </c>
      <c r="AT397" s="281">
        <f>_xlfn.CONCAT(B397,AS397,D397,E397)</f>
        <v/>
      </c>
    </row>
    <row r="398">
      <c r="A398" t="inlineStr">
        <is>
          <t>21/22</t>
        </is>
      </c>
      <c r="B398" t="inlineStr">
        <is>
          <t xml:space="preserve"> Blizzard</t>
        </is>
      </c>
      <c r="C398" t="inlineStr">
        <is>
          <t>Rustler 10</t>
        </is>
      </c>
      <c r="D398" t="n">
        <v>172</v>
      </c>
      <c r="E398" t="inlineStr">
        <is>
          <t xml:space="preserve"> Unisex</t>
        </is>
      </c>
      <c r="F398" t="n">
        <v>172</v>
      </c>
      <c r="G398" t="n">
        <v>170.5</v>
      </c>
      <c r="H398" t="n">
        <v>103</v>
      </c>
      <c r="I398" t="n">
        <v>141</v>
      </c>
      <c r="J398" t="n">
        <v>132</v>
      </c>
      <c r="K398" t="n">
        <v>101</v>
      </c>
      <c r="L398" t="n">
        <v>121</v>
      </c>
      <c r="M398" t="n">
        <v>17.1</v>
      </c>
      <c r="N398" t="n">
        <v>1908</v>
      </c>
      <c r="O398" t="n">
        <v>1</v>
      </c>
      <c r="P398" t="n">
        <v>1903</v>
      </c>
      <c r="Q398" t="n">
        <v>181</v>
      </c>
      <c r="R398" t="n">
        <v>99</v>
      </c>
      <c r="S398" t="n">
        <v>65</v>
      </c>
      <c r="T398" t="n">
        <v>375</v>
      </c>
      <c r="U398" t="n">
        <v>36</v>
      </c>
      <c r="V398" t="n">
        <v>300</v>
      </c>
      <c r="W398" t="n">
        <v>0.552</v>
      </c>
      <c r="X398" t="n">
        <v>155</v>
      </c>
      <c r="Y398" t="n">
        <v>139</v>
      </c>
      <c r="Z398" t="n">
        <v>220</v>
      </c>
      <c r="AA398" t="n">
        <v>4</v>
      </c>
      <c r="AB398" t="n">
        <v>7.6</v>
      </c>
      <c r="AC398" t="inlineStr">
        <is>
          <t xml:space="preserve"> Resort Freeride</t>
        </is>
      </c>
      <c r="AD398" t="inlineStr">
        <is>
          <t xml:space="preserve"> Powder</t>
        </is>
      </c>
      <c r="AG398" t="inlineStr">
        <is>
          <t xml:space="preserve"> 2018 Blizzard Rustler 10 Demo Ski with Bindings Size 172 (Option 211702)</t>
        </is>
      </c>
      <c r="AH398" t="inlineStr">
        <is>
          <t>SidelineSwap</t>
        </is>
      </c>
      <c r="AI398" s="333" t="n">
        <v>399.99</v>
      </c>
      <c r="AJ398" t="inlineStr">
        <is>
          <t>https://tinyurl.com/ya8qldn9</t>
        </is>
      </c>
      <c r="AK398" t="inlineStr">
        <is>
          <t>Blizzard Rustler 10 19/20</t>
        </is>
      </c>
      <c r="AL398" t="inlineStr">
        <is>
          <t>Cotswold Outdoor US</t>
        </is>
      </c>
      <c r="AM398" s="333" t="n">
        <v>462</v>
      </c>
      <c r="AN398" t="inlineStr">
        <is>
          <t>https://tinyurl.com/yaoqgptc</t>
        </is>
      </c>
      <c r="AO398" t="inlineStr">
        <is>
          <t>Blizzard Rustler 10 Skis - 2022 - 172cm</t>
        </is>
      </c>
      <c r="AP398" t="inlineStr">
        <is>
          <t>ColoradoSkiShop.com</t>
        </is>
      </c>
      <c r="AQ398" s="333" t="n">
        <v>559.95</v>
      </c>
      <c r="AR398" t="inlineStr">
        <is>
          <t>https://tinyurl.com/y7qwvygt</t>
        </is>
      </c>
      <c r="AS398" s="314">
        <f>IF(LEFT(C398,1)=" ",RIGHT(C398,LEN(C398)-1),C398)</f>
        <v/>
      </c>
      <c r="AT398" s="281">
        <f>_xlfn.CONCAT(B398,AS398,D398,E398)</f>
        <v/>
      </c>
    </row>
    <row r="399">
      <c r="A399" t="inlineStr">
        <is>
          <t>21/22</t>
        </is>
      </c>
      <c r="B399" t="inlineStr">
        <is>
          <t>K2</t>
        </is>
      </c>
      <c r="C399" t="inlineStr">
        <is>
          <t>Wayback 106</t>
        </is>
      </c>
      <c r="D399" t="n">
        <v>172</v>
      </c>
      <c r="E399" t="inlineStr">
        <is>
          <t xml:space="preserve"> Unisex</t>
        </is>
      </c>
      <c r="F399" t="n">
        <v>172</v>
      </c>
      <c r="G399" t="n">
        <v>171.9</v>
      </c>
      <c r="H399" t="n">
        <v>114</v>
      </c>
      <c r="I399" t="n">
        <v>141</v>
      </c>
      <c r="J399" t="n">
        <v>135</v>
      </c>
      <c r="K399" t="n">
        <v>105</v>
      </c>
      <c r="L399" t="n">
        <v>123</v>
      </c>
      <c r="M399" t="n">
        <v>19.9</v>
      </c>
      <c r="N399" t="n">
        <v>1456</v>
      </c>
      <c r="O399" t="n">
        <v>1.34</v>
      </c>
      <c r="P399" t="n">
        <v>1957</v>
      </c>
      <c r="Q399" t="n">
        <v>169</v>
      </c>
      <c r="R399" t="n">
        <v>88</v>
      </c>
      <c r="S399" t="n">
        <v>45</v>
      </c>
      <c r="T399" t="n">
        <v>351</v>
      </c>
      <c r="U399" t="n">
        <v>11</v>
      </c>
      <c r="V399" t="n">
        <v>233</v>
      </c>
      <c r="W399" t="n">
        <v>0.247</v>
      </c>
      <c r="X399" t="n">
        <v>175</v>
      </c>
      <c r="Y399" t="n">
        <v>130</v>
      </c>
      <c r="Z399" t="n">
        <v>176</v>
      </c>
      <c r="AA399" t="n">
        <v>6</v>
      </c>
      <c r="AB399" t="n">
        <v>13.5</v>
      </c>
      <c r="AC399" t="inlineStr">
        <is>
          <t xml:space="preserve"> Big Mountain</t>
        </is>
      </c>
      <c r="AD399" t="inlineStr">
        <is>
          <t xml:space="preserve"> Touring</t>
        </is>
      </c>
      <c r="AE399" t="inlineStr">
        <is>
          <t xml:space="preserve"> Ultralight Touring</t>
        </is>
      </c>
      <c r="AG399" t="inlineStr">
        <is>
          <t>K2 Wayback 106 Ski 2022</t>
        </is>
      </c>
      <c r="AH399" t="inlineStr">
        <is>
          <t>Snowcountry.eu</t>
        </is>
      </c>
      <c r="AI399" s="333" t="n">
        <v>367.9</v>
      </c>
      <c r="AJ399" t="inlineStr">
        <is>
          <t>https://tinyurl.com/yb7ttsjj</t>
        </is>
      </c>
      <c r="AK399" t="inlineStr">
        <is>
          <t>K2 Wayback 106 Ski 2022</t>
        </is>
      </c>
      <c r="AL399" t="inlineStr">
        <is>
          <t>Telemark Pyrenees</t>
        </is>
      </c>
      <c r="AM399" s="333" t="n">
        <v>403.31</v>
      </c>
      <c r="AN399" t="inlineStr">
        <is>
          <t>https://tinyurl.com/y8z5fpx7</t>
        </is>
      </c>
      <c r="AO399" t="inlineStr">
        <is>
          <t>K2 Wayback 106 Ski 2022</t>
        </is>
      </c>
      <c r="AP399" t="inlineStr">
        <is>
          <t>! OutdoorXL.com</t>
        </is>
      </c>
      <c r="AQ399" s="333" t="n">
        <v>469.95</v>
      </c>
      <c r="AR399" t="inlineStr">
        <is>
          <t>https://tinyurl.com/yd8prjb7</t>
        </is>
      </c>
      <c r="AS399" s="314">
        <f>IF(LEFT(C399,1)=" ",RIGHT(C399,LEN(C399)-1),C399)</f>
        <v/>
      </c>
      <c r="AT399" s="281">
        <f>_xlfn.CONCAT(B399,AS399,D399,E399)</f>
        <v/>
      </c>
    </row>
    <row r="400">
      <c r="A400" t="inlineStr">
        <is>
          <t>21/22</t>
        </is>
      </c>
      <c r="B400" t="inlineStr">
        <is>
          <t>K2</t>
        </is>
      </c>
      <c r="C400" t="inlineStr">
        <is>
          <t>Mindbender 85 Alliance</t>
        </is>
      </c>
      <c r="D400" t="n">
        <v>163</v>
      </c>
      <c r="E400" t="inlineStr">
        <is>
          <t xml:space="preserve"> Women's</t>
        </is>
      </c>
      <c r="F400" t="n">
        <v>163</v>
      </c>
      <c r="G400" t="n">
        <v>163.6</v>
      </c>
      <c r="H400" t="n">
        <v>116</v>
      </c>
      <c r="I400" t="n">
        <v>134</v>
      </c>
      <c r="J400" t="n">
        <v>129</v>
      </c>
      <c r="K400" t="n">
        <v>84</v>
      </c>
      <c r="L400" t="n">
        <v>112</v>
      </c>
      <c r="M400" t="n">
        <v>11.8</v>
      </c>
      <c r="N400" t="n">
        <v>1627</v>
      </c>
      <c r="O400" t="n">
        <v>1</v>
      </c>
      <c r="P400" t="n">
        <v>1623</v>
      </c>
      <c r="Q400" t="n">
        <v>165</v>
      </c>
      <c r="R400" t="n">
        <v>89</v>
      </c>
      <c r="S400" t="n">
        <v>49</v>
      </c>
      <c r="T400" t="n">
        <v>274</v>
      </c>
      <c r="U400" t="n">
        <v>13</v>
      </c>
      <c r="V400" t="n">
        <v>198</v>
      </c>
      <c r="W400" t="n">
        <v>0.267</v>
      </c>
      <c r="X400" t="n">
        <v>182</v>
      </c>
      <c r="Y400" t="n">
        <v>113</v>
      </c>
      <c r="Z400" t="n">
        <v>92</v>
      </c>
      <c r="AA400" t="n">
        <v>7</v>
      </c>
      <c r="AB400" t="n">
        <v>10.9</v>
      </c>
      <c r="AC400" t="inlineStr">
        <is>
          <t xml:space="preserve"> On-Piste All-Mountain</t>
        </is>
      </c>
      <c r="AD400" t="inlineStr">
        <is>
          <t xml:space="preserve"> Resort Freeride</t>
        </is>
      </c>
      <c r="AG400" t="inlineStr">
        <is>
          <t>K2 Mindbender 85 Alliance Skis</t>
        </is>
      </c>
      <c r="AH400" t="inlineStr">
        <is>
          <t>AlpinStore</t>
        </is>
      </c>
      <c r="AI400" s="333" t="n">
        <v>257.77</v>
      </c>
      <c r="AJ400" t="inlineStr">
        <is>
          <t>https://tinyurl.com/y9tjxj3v</t>
        </is>
      </c>
      <c r="AK400" t="inlineStr">
        <is>
          <t>2022 K2 Mindbender 85 Alliance Women's Skis w/ Tyrolia Attack 11 GW Bindings - 163| Ski Essentials</t>
        </is>
      </c>
      <c r="AL400" t="inlineStr">
        <is>
          <t>SkiEssentials.com</t>
        </is>
      </c>
      <c r="AM400" s="333" t="n">
        <v>539.95</v>
      </c>
      <c r="AN400" t="inlineStr">
        <is>
          <t>https://tinyurl.com/yc9f23w5</t>
        </is>
      </c>
      <c r="AO400" t="inlineStr">
        <is>
          <t>K2 Mindbender 85 Alpine Skis 163</t>
        </is>
      </c>
      <c r="AP400" t="inlineStr">
        <is>
          <t>PRFO Sports</t>
        </is>
      </c>
      <c r="AQ400" s="333" t="n">
        <v>320.68</v>
      </c>
      <c r="AR400" t="inlineStr">
        <is>
          <t>https://tinyurl.com/y9vnorgc</t>
        </is>
      </c>
      <c r="AS400" s="314">
        <f>IF(LEFT(C400,1)=" ",RIGHT(C400,LEN(C400)-1),C400)</f>
        <v/>
      </c>
      <c r="AT400" s="281">
        <f>_xlfn.CONCAT(B400,AS400,D400,E400)</f>
        <v/>
      </c>
    </row>
    <row r="401">
      <c r="A401" t="inlineStr">
        <is>
          <t>21/22</t>
        </is>
      </c>
      <c r="B401" t="inlineStr">
        <is>
          <t>K2</t>
        </is>
      </c>
      <c r="C401" t="inlineStr">
        <is>
          <t>Disruption 78C</t>
        </is>
      </c>
      <c r="D401" t="n">
        <v>163</v>
      </c>
      <c r="E401" t="inlineStr">
        <is>
          <t xml:space="preserve"> Unisex</t>
        </is>
      </c>
      <c r="F401" t="n">
        <v>163</v>
      </c>
      <c r="G401" t="n">
        <v>163.6</v>
      </c>
      <c r="H401" t="n">
        <v>144</v>
      </c>
      <c r="I401" t="n">
        <v>151</v>
      </c>
      <c r="J401" t="n">
        <v>124</v>
      </c>
      <c r="K401" t="n">
        <v>77</v>
      </c>
      <c r="L401" t="n">
        <v>110</v>
      </c>
      <c r="M401" t="n">
        <v>14.1</v>
      </c>
      <c r="N401" t="n">
        <v>1784</v>
      </c>
      <c r="O401" t="n">
        <v>0.85</v>
      </c>
      <c r="P401" t="n">
        <v>1508</v>
      </c>
      <c r="Q401" t="n">
        <v>183</v>
      </c>
      <c r="R401" t="n">
        <v>90</v>
      </c>
      <c r="S401" t="n">
        <v>33</v>
      </c>
      <c r="T401" t="n">
        <v>129</v>
      </c>
      <c r="U401" t="n">
        <v>7</v>
      </c>
      <c r="V401" t="n">
        <v>63</v>
      </c>
      <c r="W401" t="n">
        <v>0.2</v>
      </c>
      <c r="X401" t="n">
        <v>80</v>
      </c>
      <c r="Y401" t="n">
        <v>41</v>
      </c>
      <c r="Z401" t="n">
        <v>48</v>
      </c>
      <c r="AA401" t="n">
        <v>10</v>
      </c>
      <c r="AB401" t="n">
        <v>10.4</v>
      </c>
      <c r="AC401" t="inlineStr">
        <is>
          <t xml:space="preserve"> On-Piste Carving</t>
        </is>
      </c>
      <c r="AG401" t="inlineStr">
        <is>
          <t>K2 Disruption 78C Skis w Marker M3 11 GW Demo Bindings  Demo Skis</t>
        </is>
      </c>
      <c r="AH401" t="inlineStr">
        <is>
          <t>Powder7 Ski Shop</t>
        </is>
      </c>
      <c r="AI401" s="333" t="n">
        <v>429.99</v>
      </c>
      <c r="AJ401" t="inlineStr">
        <is>
          <t>https://tinyurl.com/yadbh3qu</t>
        </is>
      </c>
      <c r="AK401" t="inlineStr">
        <is>
          <t>K2 Disruption 78C Orange-Black 163 Ski Men</t>
        </is>
      </c>
      <c r="AL401" t="inlineStr">
        <is>
          <t>Absolute-Snow.co.uk</t>
        </is>
      </c>
      <c r="AM401" s="333" t="n">
        <v>612.37</v>
      </c>
      <c r="AN401" t="inlineStr">
        <is>
          <t>https://tinyurl.com/ycvcaszv</t>
        </is>
      </c>
      <c r="AO401" t="inlineStr">
        <is>
          <t>K2 Disruption 76 Skis Mens 2022 Multicolor 163cm Skis</t>
        </is>
      </c>
      <c r="AP401" t="inlineStr">
        <is>
          <t>Aspen Ski and Board</t>
        </is>
      </c>
      <c r="AQ401" s="333" t="n">
        <v>299.95</v>
      </c>
      <c r="AR401" t="inlineStr">
        <is>
          <t>https://tinyurl.com/ybmtkyqy</t>
        </is>
      </c>
      <c r="AS401" s="314">
        <f>IF(LEFT(C401,1)=" ",RIGHT(C401,LEN(C401)-1),C401)</f>
        <v/>
      </c>
      <c r="AT401" s="281">
        <f>_xlfn.CONCAT(B401,AS401,D401,E401)</f>
        <v/>
      </c>
    </row>
    <row r="402">
      <c r="A402" t="inlineStr">
        <is>
          <t>21/22</t>
        </is>
      </c>
      <c r="B402" t="inlineStr">
        <is>
          <t xml:space="preserve"> Black Diamond</t>
        </is>
      </c>
      <c r="C402" t="inlineStr">
        <is>
          <t>Impulse 104</t>
        </is>
      </c>
      <c r="D402" t="n">
        <v>186</v>
      </c>
      <c r="E402" t="inlineStr">
        <is>
          <t xml:space="preserve"> Unisex</t>
        </is>
      </c>
      <c r="F402" t="n">
        <v>186</v>
      </c>
      <c r="G402" t="n">
        <v>186.6</v>
      </c>
      <c r="H402" t="n">
        <v>136</v>
      </c>
      <c r="I402" t="n">
        <v>147</v>
      </c>
      <c r="J402" t="n">
        <v>136</v>
      </c>
      <c r="K402" t="n">
        <v>103</v>
      </c>
      <c r="L402" t="n">
        <v>123</v>
      </c>
      <c r="M402" t="n">
        <v>19</v>
      </c>
      <c r="N402" t="n">
        <v>2084</v>
      </c>
      <c r="O402" t="n">
        <v>1.02</v>
      </c>
      <c r="P402" t="n">
        <v>2118</v>
      </c>
      <c r="Q402" t="n">
        <v>225</v>
      </c>
      <c r="R402" t="n">
        <v>95</v>
      </c>
      <c r="S402" t="n">
        <v>46</v>
      </c>
      <c r="T402" t="n">
        <v>300</v>
      </c>
      <c r="U402" t="n">
        <v>22</v>
      </c>
      <c r="V402" t="n">
        <v>207</v>
      </c>
      <c r="W402" t="n">
        <v>0.491</v>
      </c>
      <c r="X402" t="n">
        <v>240</v>
      </c>
      <c r="Y402" t="n">
        <v>160</v>
      </c>
      <c r="Z402" t="n">
        <v>60</v>
      </c>
      <c r="AA402" t="n">
        <v>9</v>
      </c>
      <c r="AB402" t="n">
        <v>9.199999999999999</v>
      </c>
      <c r="AC402" t="inlineStr">
        <is>
          <t xml:space="preserve"> Resort Freeride</t>
        </is>
      </c>
      <c r="AD402" t="inlineStr">
        <is>
          <t xml:space="preserve"> Powder</t>
        </is>
      </c>
      <c r="AG402" t="inlineStr">
        <is>
          <t>Black Diamond Impulse 104 Skis</t>
        </is>
      </c>
      <c r="AH402" t="inlineStr">
        <is>
          <t>Black Diamond Equipment - US</t>
        </is>
      </c>
      <c r="AI402" s="333" t="n">
        <v>583.96</v>
      </c>
      <c r="AJ402" t="inlineStr">
        <is>
          <t>https://tinyurl.com/y8zwemrl</t>
        </is>
      </c>
      <c r="AK402" t="inlineStr">
        <is>
          <t>Black Diamond Impulse 112 Skis</t>
        </is>
      </c>
      <c r="AL402" t="inlineStr">
        <is>
          <t>Telemark Pyrenees</t>
        </is>
      </c>
      <c r="AM402" s="333" t="n">
        <v>449.16</v>
      </c>
      <c r="AN402" t="inlineStr">
        <is>
          <t>https://tinyurl.com/ycdsvh45</t>
        </is>
      </c>
      <c r="AO402" t="inlineStr">
        <is>
          <t>Black Diamond Impulse 112 Skis</t>
        </is>
      </c>
      <c r="AP402" t="inlineStr">
        <is>
          <t>evo.com</t>
        </is>
      </c>
      <c r="AQ402" s="333" t="n">
        <v>639.96</v>
      </c>
      <c r="AR402" t="inlineStr">
        <is>
          <t>https://tinyurl.com/y9tnefh3</t>
        </is>
      </c>
      <c r="AS402" s="314">
        <f>IF(LEFT(C402,1)=" ",RIGHT(C402,LEN(C402)-1),C402)</f>
        <v/>
      </c>
      <c r="AT402" s="281">
        <f>_xlfn.CONCAT(B402,AS402,D402,E402)</f>
        <v/>
      </c>
    </row>
    <row r="403">
      <c r="A403" t="inlineStr">
        <is>
          <t>21/22</t>
        </is>
      </c>
      <c r="B403" t="inlineStr">
        <is>
          <t xml:space="preserve"> Dynastar</t>
        </is>
      </c>
      <c r="C403" t="inlineStr">
        <is>
          <t>M-Pro 90 W</t>
        </is>
      </c>
      <c r="D403" t="n">
        <v>154</v>
      </c>
      <c r="E403" t="inlineStr">
        <is>
          <t xml:space="preserve"> Women's</t>
        </is>
      </c>
      <c r="F403" t="n">
        <v>154</v>
      </c>
      <c r="G403" t="n">
        <v>153.5</v>
      </c>
      <c r="H403" t="n">
        <v>104</v>
      </c>
      <c r="I403" t="n">
        <v>123</v>
      </c>
      <c r="J403" t="n">
        <v>117</v>
      </c>
      <c r="K403" t="n">
        <v>86</v>
      </c>
      <c r="L403" t="n">
        <v>107</v>
      </c>
      <c r="M403" t="n">
        <v>12.5</v>
      </c>
      <c r="N403" t="n">
        <v>1460</v>
      </c>
      <c r="O403" t="n">
        <v>1.03</v>
      </c>
      <c r="P403" t="n">
        <v>1499</v>
      </c>
      <c r="Q403" t="n">
        <v>229</v>
      </c>
      <c r="R403" t="n">
        <v>85</v>
      </c>
      <c r="S403" t="n">
        <v>64</v>
      </c>
      <c r="T403" t="n">
        <v>334</v>
      </c>
      <c r="U403" t="n">
        <v>15</v>
      </c>
      <c r="V403" t="n">
        <v>160</v>
      </c>
      <c r="W403" t="n">
        <v>0.233</v>
      </c>
      <c r="X403" t="n">
        <v>210</v>
      </c>
      <c r="Y403" t="n">
        <v>99</v>
      </c>
      <c r="Z403" t="n">
        <v>125</v>
      </c>
      <c r="AA403" t="n">
        <v>4</v>
      </c>
      <c r="AB403" t="n">
        <v>11.6</v>
      </c>
      <c r="AC403" t="inlineStr">
        <is>
          <t xml:space="preserve"> Resort Freeride</t>
        </is>
      </c>
      <c r="AG403" t="inlineStr">
        <is>
          <t>Dynastar M-Pro 90 W Skis - Women's 2022</t>
        </is>
      </c>
      <c r="AH403" t="inlineStr">
        <is>
          <t>Snowcountry.eu</t>
        </is>
      </c>
      <c r="AI403" s="333" t="n">
        <v>331.01</v>
      </c>
      <c r="AJ403" t="inlineStr">
        <is>
          <t>https://tinyurl.com/ycccehsf</t>
        </is>
      </c>
      <c r="AK403" t="inlineStr">
        <is>
          <t>Dynastar M-Pro 90 W Skis - Women's 2022</t>
        </is>
      </c>
      <c r="AL403" t="inlineStr">
        <is>
          <t>Next Adventure</t>
        </is>
      </c>
      <c r="AM403" s="333" t="n">
        <v>419.97</v>
      </c>
      <c r="AN403" t="inlineStr">
        <is>
          <t>https://tinyurl.com/y9jkwfon</t>
        </is>
      </c>
      <c r="AO403" t="inlineStr">
        <is>
          <t>Dynastar M-PRO 90 W 154cm</t>
        </is>
      </c>
      <c r="AP403" t="inlineStr">
        <is>
          <t>Sundance Ski and Board Shop</t>
        </is>
      </c>
      <c r="AQ403" s="333" t="n">
        <v>448.96</v>
      </c>
      <c r="AR403" t="inlineStr">
        <is>
          <t>https://tinyurl.com/y77bcs85</t>
        </is>
      </c>
      <c r="AS403" s="314">
        <f>IF(LEFT(C403,1)=" ",RIGHT(C403,LEN(C403)-1),C403)</f>
        <v/>
      </c>
      <c r="AT403" s="281">
        <f>_xlfn.CONCAT(B403,AS403,D403,E403)</f>
        <v/>
      </c>
    </row>
    <row r="404">
      <c r="A404" t="inlineStr">
        <is>
          <t>21/22</t>
        </is>
      </c>
      <c r="B404" t="inlineStr">
        <is>
          <t xml:space="preserve"> Faction</t>
        </is>
      </c>
      <c r="C404" t="inlineStr">
        <is>
          <t>Prodigy 3.0</t>
        </is>
      </c>
      <c r="D404" t="n">
        <v>178</v>
      </c>
      <c r="E404" t="inlineStr">
        <is>
          <t xml:space="preserve"> Unisex</t>
        </is>
      </c>
      <c r="F404" t="n">
        <v>178</v>
      </c>
      <c r="G404" t="n">
        <v>176.5</v>
      </c>
      <c r="H404" t="n">
        <v>122</v>
      </c>
      <c r="I404" t="n">
        <v>142</v>
      </c>
      <c r="J404" t="n">
        <v>132</v>
      </c>
      <c r="K404" t="n">
        <v>105</v>
      </c>
      <c r="L404" t="n">
        <v>125</v>
      </c>
      <c r="M404" t="n">
        <v>19.4</v>
      </c>
      <c r="N404" t="n">
        <v>2049</v>
      </c>
      <c r="O404" t="n">
        <v>0.99</v>
      </c>
      <c r="P404" t="n">
        <v>2028</v>
      </c>
      <c r="Q404" t="n">
        <v>211</v>
      </c>
      <c r="R404" t="n">
        <v>99</v>
      </c>
      <c r="S404" t="n">
        <v>52</v>
      </c>
      <c r="T404" t="n">
        <v>290</v>
      </c>
      <c r="U404" t="n">
        <v>43</v>
      </c>
      <c r="V404" t="n">
        <v>252</v>
      </c>
      <c r="W404" t="n">
        <v>0.833</v>
      </c>
      <c r="X404" t="n">
        <v>180</v>
      </c>
      <c r="Y404" t="n">
        <v>165</v>
      </c>
      <c r="Z404" t="n">
        <v>111</v>
      </c>
      <c r="AA404" t="n">
        <v>9</v>
      </c>
      <c r="AB404" t="n">
        <v>9</v>
      </c>
      <c r="AC404" t="inlineStr">
        <is>
          <t xml:space="preserve"> Freeski</t>
        </is>
      </c>
      <c r="AD404" t="inlineStr">
        <is>
          <t xml:space="preserve"> Powder</t>
        </is>
      </c>
      <c r="AG404" t="inlineStr">
        <is>
          <t>Faction Prodigy 3.0 Skis 2022 - 178</t>
        </is>
      </c>
      <c r="AH404" t="inlineStr">
        <is>
          <t>Powder7 Ski Shop</t>
        </is>
      </c>
      <c r="AI404" s="333" t="n">
        <v>599.9299999999999</v>
      </c>
      <c r="AJ404" t="inlineStr">
        <is>
          <t>https://tinyurl.com/yarvd78e</t>
        </is>
      </c>
      <c r="AK404" t="inlineStr">
        <is>
          <t>Faction Ct Candide 3.0 x Skis</t>
        </is>
      </c>
      <c r="AL404" t="inlineStr">
        <is>
          <t>AlpinStore</t>
        </is>
      </c>
      <c r="AM404" s="333" t="n">
        <v>623.86</v>
      </c>
      <c r="AN404" t="inlineStr">
        <is>
          <t>https://tinyurl.com/y85eyhna</t>
        </is>
      </c>
      <c r="AO404" t="inlineStr">
        <is>
          <t>Faction Women's Candide 3.0 x Skis Black 178 cm</t>
        </is>
      </c>
      <c r="AP404" t="inlineStr">
        <is>
          <t>REI</t>
        </is>
      </c>
      <c r="AQ404" s="333" t="n">
        <v>638.9299999999999</v>
      </c>
      <c r="AR404" t="inlineStr">
        <is>
          <t>https://tinyurl.com/y8rnmpkh</t>
        </is>
      </c>
      <c r="AS404" s="314">
        <f>IF(LEFT(C404,1)=" ",RIGHT(C404,LEN(C404)-1),C404)</f>
        <v/>
      </c>
      <c r="AT404" s="281">
        <f>_xlfn.CONCAT(B404,AS404,D404,E404)</f>
        <v/>
      </c>
    </row>
    <row r="405">
      <c r="A405" t="inlineStr">
        <is>
          <t>21/22</t>
        </is>
      </c>
      <c r="B405" t="inlineStr">
        <is>
          <t>K2</t>
        </is>
      </c>
      <c r="C405" t="inlineStr">
        <is>
          <t>Mindbender 85</t>
        </is>
      </c>
      <c r="D405" t="n">
        <v>163</v>
      </c>
      <c r="E405" t="inlineStr">
        <is>
          <t xml:space="preserve"> Unisex</t>
        </is>
      </c>
      <c r="F405" t="n">
        <v>163</v>
      </c>
      <c r="G405" t="n">
        <v>163.7</v>
      </c>
      <c r="H405" t="n">
        <v>120</v>
      </c>
      <c r="I405" t="n">
        <v>136</v>
      </c>
      <c r="J405" t="n">
        <v>129</v>
      </c>
      <c r="K405" t="n">
        <v>84</v>
      </c>
      <c r="L405" t="n">
        <v>112</v>
      </c>
      <c r="M405" t="n">
        <v>12</v>
      </c>
      <c r="N405" t="n">
        <v>1580</v>
      </c>
      <c r="O405" t="n">
        <v>1.03</v>
      </c>
      <c r="P405" t="n">
        <v>1627</v>
      </c>
      <c r="Q405" t="n">
        <v>151</v>
      </c>
      <c r="R405" t="n">
        <v>84</v>
      </c>
      <c r="S405" t="n">
        <v>46</v>
      </c>
      <c r="T405" t="n">
        <v>270</v>
      </c>
      <c r="U405" t="n">
        <v>12</v>
      </c>
      <c r="V405" t="n">
        <v>171</v>
      </c>
      <c r="W405" t="n">
        <v>0.268</v>
      </c>
      <c r="X405" t="n">
        <v>170</v>
      </c>
      <c r="Y405" t="n">
        <v>110</v>
      </c>
      <c r="Z405" t="n">
        <v>100</v>
      </c>
      <c r="AA405" t="n">
        <v>9</v>
      </c>
      <c r="AB405" t="n">
        <v>10.5</v>
      </c>
      <c r="AC405" t="inlineStr">
        <is>
          <t xml:space="preserve"> On-Piste All-Mountain</t>
        </is>
      </c>
      <c r="AD405" t="inlineStr">
        <is>
          <t xml:space="preserve"> Resort Freeride</t>
        </is>
      </c>
      <c r="AG405" t="inlineStr">
        <is>
          <t>K2 Mindbender 85 Alliance Skis</t>
        </is>
      </c>
      <c r="AH405" t="inlineStr">
        <is>
          <t>AlpinStore</t>
        </is>
      </c>
      <c r="AI405" s="333" t="n">
        <v>257.77</v>
      </c>
      <c r="AJ405" t="inlineStr">
        <is>
          <t>https://tinyurl.com/y6vern63</t>
        </is>
      </c>
      <c r="AK405" t="inlineStr">
        <is>
          <t>K2 Mindbender 85 Alpine Skis 163</t>
        </is>
      </c>
      <c r="AL405" t="inlineStr">
        <is>
          <t>PRFO Sports</t>
        </is>
      </c>
      <c r="AM405" s="333" t="n">
        <v>320.68</v>
      </c>
      <c r="AN405" t="inlineStr">
        <is>
          <t>https://tinyurl.com/y9gflev4</t>
        </is>
      </c>
      <c r="AO405" t="inlineStr">
        <is>
          <t>K2 Mindbender 85 Skis w Tyrolia Attack 11 AT Demo Bindings  Demo</t>
        </is>
      </c>
      <c r="AP405" t="inlineStr">
        <is>
          <t>Powder7 Ski Shop</t>
        </is>
      </c>
      <c r="AQ405" s="333" t="n">
        <v>419.99</v>
      </c>
      <c r="AR405" t="inlineStr">
        <is>
          <t>https://tinyurl.com/y8df9wkd</t>
        </is>
      </c>
      <c r="AS405" s="314">
        <f>IF(LEFT(C405,1)=" ",RIGHT(C405,LEN(C405)-1),C405)</f>
        <v/>
      </c>
      <c r="AT405" s="281">
        <f>_xlfn.CONCAT(B405,AS405,D405,E405)</f>
        <v/>
      </c>
    </row>
    <row r="406">
      <c r="A406" t="inlineStr">
        <is>
          <t>21/22</t>
        </is>
      </c>
      <c r="B406" t="inlineStr">
        <is>
          <t xml:space="preserve"> Armada</t>
        </is>
      </c>
      <c r="C406" t="inlineStr">
        <is>
          <t>ARW 96</t>
        </is>
      </c>
      <c r="D406" t="n">
        <v>163</v>
      </c>
      <c r="E406" t="inlineStr">
        <is>
          <t xml:space="preserve"> Women's</t>
        </is>
      </c>
      <c r="F406" t="n">
        <v>163</v>
      </c>
      <c r="G406" t="n">
        <v>161.2</v>
      </c>
      <c r="H406" t="n">
        <v>116</v>
      </c>
      <c r="I406" t="n">
        <v>135</v>
      </c>
      <c r="J406" t="n">
        <v>123</v>
      </c>
      <c r="K406" t="n">
        <v>95</v>
      </c>
      <c r="L406" t="n">
        <v>115</v>
      </c>
      <c r="M406" t="n">
        <v>17.4</v>
      </c>
      <c r="N406" t="n">
        <v>1678</v>
      </c>
      <c r="O406" t="n">
        <v>1</v>
      </c>
      <c r="P406" t="n">
        <v>1683</v>
      </c>
      <c r="Q406" t="n">
        <v>155</v>
      </c>
      <c r="R406" t="n">
        <v>88</v>
      </c>
      <c r="S406" t="n">
        <v>45</v>
      </c>
      <c r="T406" t="n">
        <v>236</v>
      </c>
      <c r="U406" t="n">
        <v>38</v>
      </c>
      <c r="V406" t="n">
        <v>214</v>
      </c>
      <c r="W406" t="n">
        <v>0.853</v>
      </c>
      <c r="X406" t="n">
        <v>118</v>
      </c>
      <c r="Y406" t="n">
        <v>147</v>
      </c>
      <c r="Z406" t="n">
        <v>118</v>
      </c>
      <c r="AA406" t="n">
        <v>10</v>
      </c>
      <c r="AB406" t="n">
        <v>5.3</v>
      </c>
      <c r="AC406" t="inlineStr">
        <is>
          <t xml:space="preserve"> Resort Freeride</t>
        </is>
      </c>
      <c r="AD406" t="inlineStr">
        <is>
          <t xml:space="preserve"> Freeski</t>
        </is>
      </c>
      <c r="AG406" t="inlineStr">
        <is>
          <t>Armada Women's ARW 96 Skis - 163 cm</t>
        </is>
      </c>
      <c r="AH406" t="inlineStr">
        <is>
          <t>Powder7 Ski Shop</t>
        </is>
      </c>
      <c r="AI406" s="333" t="n">
        <v>369.99</v>
      </c>
      <c r="AJ406" t="inlineStr">
        <is>
          <t>https://tinyurl.com/y7yfhhsp</t>
        </is>
      </c>
      <c r="AK406" t="inlineStr">
        <is>
          <t>Armada ARW 86 Skis 2022 163</t>
        </is>
      </c>
      <c r="AL406" t="inlineStr">
        <is>
          <t>Winteriscalling.com</t>
        </is>
      </c>
      <c r="AM406" s="333" t="n">
        <v>399.99</v>
      </c>
      <c r="AN406" t="inlineStr">
        <is>
          <t>https://tinyurl.com/yca323c4</t>
        </is>
      </c>
      <c r="AO406" t="inlineStr">
        <is>
          <t>Armada ARV 96 Skis 2022</t>
        </is>
      </c>
      <c r="AP406" t="inlineStr">
        <is>
          <t>Blue Tomato</t>
        </is>
      </c>
      <c r="AQ406" s="333" t="n">
        <v>461.83</v>
      </c>
      <c r="AR406" t="inlineStr">
        <is>
          <t>https://tinyurl.com/yb4uwclw</t>
        </is>
      </c>
      <c r="AS406" s="314">
        <f>IF(LEFT(C406,1)=" ",RIGHT(C406,LEN(C406)-1),C406)</f>
        <v/>
      </c>
      <c r="AT406" s="281">
        <f>_xlfn.CONCAT(B406,AS406,D406,E406)</f>
        <v/>
      </c>
    </row>
    <row r="407">
      <c r="A407" t="inlineStr">
        <is>
          <t>21/22</t>
        </is>
      </c>
      <c r="B407" t="inlineStr">
        <is>
          <t xml:space="preserve"> Dynafit</t>
        </is>
      </c>
      <c r="C407" t="inlineStr">
        <is>
          <t>Blacklight 95</t>
        </is>
      </c>
      <c r="D407" t="n">
        <v>178</v>
      </c>
      <c r="E407" t="inlineStr">
        <is>
          <t xml:space="preserve"> Unisex</t>
        </is>
      </c>
      <c r="F407" t="n">
        <v>178</v>
      </c>
      <c r="G407" t="n">
        <v>175.9</v>
      </c>
      <c r="H407" t="n">
        <v>125</v>
      </c>
      <c r="I407" t="n">
        <v>152</v>
      </c>
      <c r="J407" t="n">
        <v>127</v>
      </c>
      <c r="K407" t="n">
        <v>95</v>
      </c>
      <c r="L407" t="n">
        <v>115</v>
      </c>
      <c r="M407" t="n">
        <v>22.1</v>
      </c>
      <c r="N407" t="n">
        <v>1278</v>
      </c>
      <c r="O407" t="n">
        <v>1.43</v>
      </c>
      <c r="P407" t="n">
        <v>1825</v>
      </c>
      <c r="Q407" t="n">
        <v>276</v>
      </c>
      <c r="R407" t="n">
        <v>94</v>
      </c>
      <c r="S407" t="n">
        <v>50</v>
      </c>
      <c r="T407" t="n">
        <v>326</v>
      </c>
      <c r="U407" t="n">
        <v>12</v>
      </c>
      <c r="V407" t="n">
        <v>179</v>
      </c>
      <c r="W407" t="n">
        <v>0.235</v>
      </c>
      <c r="X407" t="n">
        <v>143</v>
      </c>
      <c r="Y407" t="n">
        <v>95</v>
      </c>
      <c r="Z407" t="n">
        <v>183</v>
      </c>
      <c r="AA407" t="n">
        <v>4</v>
      </c>
      <c r="AB407" t="n">
        <v>12.3</v>
      </c>
      <c r="AC407" t="inlineStr">
        <is>
          <t xml:space="preserve"> Touring</t>
        </is>
      </c>
      <c r="AD407" t="inlineStr">
        <is>
          <t xml:space="preserve"> Ultralight Touring</t>
        </is>
      </c>
      <c r="AG407" t="inlineStr">
        <is>
          <t>Dynafit Blacklight 95 Combo 178</t>
        </is>
      </c>
      <c r="AH407" t="inlineStr">
        <is>
          <t>Cripple Creek Backcountry</t>
        </is>
      </c>
      <c r="AI407" s="333" t="n">
        <v>1049.95</v>
      </c>
      <c r="AJ407" t="inlineStr">
        <is>
      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      </is>
      </c>
      <c r="AK407" t="inlineStr">
        <is>
          <t>Dynafit Blacklight 95 Ski Set - Black Magnet - 178cm</t>
        </is>
      </c>
      <c r="AL407" t="inlineStr">
        <is>
          <t>Outdoor Gear Exchange</t>
        </is>
      </c>
      <c r="AM407" s="333" t="n">
        <v>1199.95</v>
      </c>
      <c r="AN407" t="inlineStr">
        <is>
          <t>https://tinyurl.com/ycuzj7f9</t>
        </is>
      </c>
      <c r="AO407" t="inlineStr">
        <is>
          <t>Dynafit Blacklight 95 Ski Set - Black Magnet - 178cm</t>
        </is>
      </c>
      <c r="AP407" t="inlineStr">
        <is>
          <t>REI</t>
        </is>
      </c>
      <c r="AQ407" s="333" t="n">
        <v>1199.95</v>
      </c>
      <c r="AR407" t="inlineStr">
        <is>
          <t>https://tinyurl.com/y7k7f8lw</t>
        </is>
      </c>
      <c r="AS407" s="314">
        <f>IF(LEFT(C407,1)=" ",RIGHT(C407,LEN(C407)-1),C407)</f>
        <v/>
      </c>
      <c r="AT407" s="281">
        <f>_xlfn.CONCAT(B407,AS407,D407,E407)</f>
        <v/>
      </c>
    </row>
    <row r="408">
      <c r="A408" t="inlineStr">
        <is>
          <t>21/22</t>
        </is>
      </c>
      <c r="B408" t="inlineStr">
        <is>
          <t xml:space="preserve"> Atomic</t>
        </is>
      </c>
      <c r="C408" t="inlineStr">
        <is>
          <t>Cloud C9</t>
        </is>
      </c>
      <c r="D408" t="n">
        <v>164</v>
      </c>
      <c r="E408" t="inlineStr">
        <is>
          <t xml:space="preserve"> Women's</t>
        </is>
      </c>
      <c r="F408" t="n">
        <v>164</v>
      </c>
      <c r="G408" t="n">
        <v>163.5</v>
      </c>
      <c r="H408" t="n">
        <v>146</v>
      </c>
      <c r="I408" t="n">
        <v>148</v>
      </c>
      <c r="J408" t="n">
        <v>114</v>
      </c>
      <c r="K408" t="n">
        <v>72</v>
      </c>
      <c r="L408" t="n">
        <v>101</v>
      </c>
      <c r="M408" t="n">
        <v>15.4</v>
      </c>
      <c r="N408" t="n">
        <v>1747</v>
      </c>
      <c r="O408" t="n">
        <v>0.8</v>
      </c>
      <c r="P408" t="n">
        <v>1399</v>
      </c>
      <c r="Q408" t="n">
        <v>163</v>
      </c>
      <c r="R408" t="n">
        <v>79</v>
      </c>
      <c r="S408" t="n">
        <v>30</v>
      </c>
      <c r="T408" t="n">
        <v>132</v>
      </c>
      <c r="U408" t="n">
        <v>3</v>
      </c>
      <c r="V408" t="n">
        <v>47</v>
      </c>
      <c r="W408" t="n">
        <v>0.111</v>
      </c>
      <c r="X408" t="n">
        <v>93</v>
      </c>
      <c r="Y408" t="n">
        <v>57</v>
      </c>
      <c r="Z408" t="n">
        <v>39</v>
      </c>
      <c r="AA408" t="n">
        <v>15</v>
      </c>
      <c r="AB408" t="n">
        <v>12.5</v>
      </c>
      <c r="AC408" t="inlineStr">
        <is>
          <t xml:space="preserve"> On-Piste Carving</t>
        </is>
      </c>
      <c r="AG408" t="inlineStr">
        <is>
          <t>Atomic Cloud 9 Skis + M 10 GW Bindings Â· Women's Â· 2021 Â· 164 cm</t>
        </is>
      </c>
      <c r="AH408" t="inlineStr">
        <is>
          <t>Level Nine Sports</t>
        </is>
      </c>
      <c r="AI408" s="333" t="n">
        <v>599.99</v>
      </c>
      <c r="AJ408" t="inlineStr">
        <is>
          <t>https://tinyurl.com/y9hnwhzq</t>
        </is>
      </c>
      <c r="AK408" t="inlineStr">
        <is>
          <t>Atomic Maven 93 C</t>
        </is>
      </c>
      <c r="AL408" t="inlineStr">
        <is>
          <t>Gorham Bike and Ski</t>
        </is>
      </c>
      <c r="AM408" s="333" t="n">
        <v>454.99</v>
      </c>
      <c r="AN408" t="inlineStr">
        <is>
          <t>https://tinyurl.com/ybvy5ugg</t>
        </is>
      </c>
      <c r="AO408" t="inlineStr">
        <is>
          <t>Atomic Maven 93 C</t>
        </is>
      </c>
      <c r="AP408" t="inlineStr">
        <is>
          <t>SkiEssentials.com</t>
        </is>
      </c>
      <c r="AQ408" s="333" t="n">
        <v>519.99</v>
      </c>
      <c r="AR408" t="inlineStr">
        <is>
          <t>https://tinyurl.com/y98ntlwk</t>
        </is>
      </c>
      <c r="AS408" s="314">
        <f>IF(LEFT(C408,1)=" ",RIGHT(C408,LEN(C408)-1),C408)</f>
        <v/>
      </c>
      <c r="AT408" s="281">
        <f>_xlfn.CONCAT(B408,AS408,D408,E408)</f>
        <v/>
      </c>
    </row>
    <row r="409">
      <c r="A409" t="inlineStr">
        <is>
          <t>21/22</t>
        </is>
      </c>
      <c r="B409" t="inlineStr">
        <is>
          <t xml:space="preserve"> Fischer</t>
        </is>
      </c>
      <c r="C409" t="inlineStr">
        <is>
          <t>Ranger 92 Ti W</t>
        </is>
      </c>
      <c r="D409" t="n">
        <v>171</v>
      </c>
      <c r="E409" t="inlineStr">
        <is>
          <t xml:space="preserve"> Women's</t>
        </is>
      </c>
      <c r="F409" t="n">
        <v>171</v>
      </c>
      <c r="G409" t="n">
        <v>170.6</v>
      </c>
      <c r="H409" t="n">
        <v>119</v>
      </c>
      <c r="I409" t="n">
        <v>145</v>
      </c>
      <c r="J409" t="n">
        <v>124</v>
      </c>
      <c r="K409" t="n">
        <v>89</v>
      </c>
      <c r="L409" t="n">
        <v>115</v>
      </c>
      <c r="M409" t="n">
        <v>14.5</v>
      </c>
      <c r="N409" t="n">
        <v>1752</v>
      </c>
      <c r="O409" t="n">
        <v>1</v>
      </c>
      <c r="P409" t="n">
        <v>1748</v>
      </c>
      <c r="Q409" t="n">
        <v>185</v>
      </c>
      <c r="R409" t="n">
        <v>117</v>
      </c>
      <c r="S409" t="n">
        <v>47</v>
      </c>
      <c r="T409" t="n">
        <v>310</v>
      </c>
      <c r="U409" t="n">
        <v>16</v>
      </c>
      <c r="V409" t="n">
        <v>207</v>
      </c>
      <c r="W409" t="n">
        <v>0.338999999999999</v>
      </c>
      <c r="X409" t="n">
        <v>130</v>
      </c>
      <c r="Y409" t="n">
        <v>129</v>
      </c>
      <c r="Z409" t="n">
        <v>180</v>
      </c>
      <c r="AA409" t="n">
        <v>5</v>
      </c>
      <c r="AB409" t="n">
        <v>9.800000000000001</v>
      </c>
      <c r="AC409" t="inlineStr">
        <is>
          <t xml:space="preserve"> Resort Freeride</t>
        </is>
      </c>
      <c r="AG409" t="inlineStr">
        <is>
          <t>Fischer Ranger 92 Ti Ski 171</t>
        </is>
      </c>
      <c r="AH409" t="inlineStr">
        <is>
          <t>Ski The Whites</t>
        </is>
      </c>
      <c r="AI409" s="333" t="n">
        <v>649.95</v>
      </c>
      <c r="AJ409" t="inlineStr">
        <is>
          <t>https://tinyurl.com/ycgp7fdm</t>
        </is>
      </c>
      <c r="AK409" t="inlineStr">
        <is>
          <t>Fischer 2020 Ranger 92 Ti Skis (171)</t>
        </is>
      </c>
      <c r="AL409" t="inlineStr">
        <is>
          <t>REI</t>
        </is>
      </c>
      <c r="AM409" s="333" t="n">
        <v>649.95</v>
      </c>
      <c r="AN409" t="inlineStr">
        <is>
          <t>https://tinyurl.com/ya7vjx92</t>
        </is>
      </c>
      <c r="AO409" t="inlineStr">
        <is>
          <t>Fischer Ranger 92 Ti Skis 2022 171</t>
        </is>
      </c>
      <c r="AP409" t="inlineStr">
        <is>
          <t>fullsendskiandoutdoor.com</t>
        </is>
      </c>
      <c r="AQ409" s="333" t="n">
        <v>649.99</v>
      </c>
      <c r="AR409" t="inlineStr">
        <is>
          <t>https://tinyurl.com/ybmwy9nc</t>
        </is>
      </c>
      <c r="AS409" s="314">
        <f>IF(LEFT(C409,1)=" ",RIGHT(C409,LEN(C409)-1),C409)</f>
        <v/>
      </c>
      <c r="AT409" s="281">
        <f>_xlfn.CONCAT(B409,AS409,D409,E409)</f>
        <v/>
      </c>
    </row>
    <row r="410">
      <c r="A410" t="inlineStr">
        <is>
          <t>21/22</t>
        </is>
      </c>
      <c r="B410" t="inlineStr">
        <is>
          <t xml:space="preserve"> Vï¿½lkl</t>
        </is>
      </c>
      <c r="C410" t="inlineStr">
        <is>
          <t>Blaze 106</t>
        </is>
      </c>
      <c r="D410" t="n">
        <v>165</v>
      </c>
      <c r="E410" t="inlineStr">
        <is>
          <t xml:space="preserve"> Unisex</t>
        </is>
      </c>
      <c r="F410" t="n">
        <v>165</v>
      </c>
      <c r="G410" t="n">
        <v>164.5</v>
      </c>
      <c r="H410" t="n">
        <v>94</v>
      </c>
      <c r="I410" t="n">
        <v>141</v>
      </c>
      <c r="J410" t="n">
        <v>144</v>
      </c>
      <c r="K410" t="n">
        <v>105</v>
      </c>
      <c r="L410" t="n">
        <v>127</v>
      </c>
      <c r="M410" t="n">
        <v>15.2</v>
      </c>
      <c r="N410" t="n">
        <v>1606</v>
      </c>
      <c r="O410" t="n">
        <v>1.2</v>
      </c>
      <c r="P410" t="n">
        <v>1927</v>
      </c>
      <c r="Q410" t="n">
        <v>176</v>
      </c>
      <c r="R410" t="n">
        <v>90</v>
      </c>
      <c r="S410" t="n">
        <v>54</v>
      </c>
      <c r="T410" t="n">
        <v>444</v>
      </c>
      <c r="U410" t="n">
        <v>23</v>
      </c>
      <c r="V410" t="n">
        <v>263</v>
      </c>
      <c r="W410" t="n">
        <v>0.434</v>
      </c>
      <c r="X410" t="n">
        <v>139</v>
      </c>
      <c r="Y410" t="n">
        <v>99</v>
      </c>
      <c r="Z410" t="n">
        <v>304</v>
      </c>
      <c r="AA410" t="n">
        <v>2</v>
      </c>
      <c r="AB410" t="n">
        <v>11.5</v>
      </c>
      <c r="AC410" t="inlineStr">
        <is>
          <t xml:space="preserve"> Powder</t>
        </is>
      </c>
      <c r="AD410" t="inlineStr">
        <is>
          <t xml:space="preserve"> Touring</t>
        </is>
      </c>
      <c r="AG410" t="inlineStr">
        <is>
          <t>Volkl Blaze 106 Skis 2022</t>
        </is>
      </c>
      <c r="AH410" t="inlineStr">
        <is>
          <t>Gorham Bike and Ski</t>
        </is>
      </c>
      <c r="AI410" s="333" t="n">
        <v>419.99</v>
      </c>
      <c r="AJ410" t="inlineStr">
        <is>
          <t>https://tinyurl.com/y72ps8w8</t>
        </is>
      </c>
      <c r="AK410" t="inlineStr">
        <is>
          <t>Volkl Blaze 106 Skis 2022</t>
        </is>
      </c>
      <c r="AL410" t="inlineStr">
        <is>
          <t>Snowcountry.eu</t>
        </is>
      </c>
      <c r="AM410" s="333" t="n">
        <v>460.11</v>
      </c>
      <c r="AN410" t="inlineStr">
        <is>
          <t>https://tinyurl.com/ya5qrotl</t>
        </is>
      </c>
      <c r="AO410" t="inlineStr">
        <is>
          <t>Volkl Blaze 106 W Alpine Skis 2022 - - 165 cm</t>
        </is>
      </c>
      <c r="AP410" t="inlineStr">
        <is>
          <t>Skirack</t>
        </is>
      </c>
      <c r="AQ410" s="333" t="n">
        <v>479.96</v>
      </c>
      <c r="AR410" t="inlineStr">
        <is>
          <t>https://tinyurl.com/yd53y9lq</t>
        </is>
      </c>
      <c r="AS410" s="314">
        <f>IF(LEFT(C410,1)=" ",RIGHT(C410,LEN(C410)-1),C410)</f>
        <v/>
      </c>
      <c r="AT410" s="281">
        <f>_xlfn.CONCAT(B410,AS410,D410,E410)</f>
        <v/>
      </c>
    </row>
    <row r="411">
      <c r="A411" t="inlineStr">
        <is>
          <t>21/22</t>
        </is>
      </c>
      <c r="B411" t="inlineStr">
        <is>
          <t>K2</t>
        </is>
      </c>
      <c r="C411" t="inlineStr">
        <is>
          <t xml:space="preserve"> Sight</t>
        </is>
      </c>
      <c r="D411" t="n">
        <v>179</v>
      </c>
      <c r="E411" t="inlineStr">
        <is>
          <t xml:space="preserve"> Unisex</t>
        </is>
      </c>
      <c r="F411" t="n">
        <v>179</v>
      </c>
      <c r="G411" t="n">
        <v>180.1</v>
      </c>
      <c r="H411" t="n">
        <v>143</v>
      </c>
      <c r="I411" t="n">
        <v>148</v>
      </c>
      <c r="J411" t="n">
        <v>116</v>
      </c>
      <c r="K411" t="n">
        <v>87</v>
      </c>
      <c r="L411" t="n">
        <v>110</v>
      </c>
      <c r="M411" t="n">
        <v>19.4</v>
      </c>
      <c r="N411" t="n">
        <v>1948</v>
      </c>
      <c r="O411" t="n">
        <v>0.9</v>
      </c>
      <c r="P411" t="n">
        <v>1759</v>
      </c>
      <c r="Q411" t="n">
        <v>190</v>
      </c>
      <c r="R411" t="n">
        <v>90</v>
      </c>
      <c r="S411" t="n">
        <v>46</v>
      </c>
      <c r="T411" t="n">
        <v>176</v>
      </c>
      <c r="U411" t="n">
        <v>43</v>
      </c>
      <c r="V411" t="n">
        <v>198</v>
      </c>
      <c r="W411" t="n">
        <v>0.945</v>
      </c>
      <c r="X411" t="n">
        <v>157</v>
      </c>
      <c r="Y411" t="n">
        <v>160</v>
      </c>
      <c r="Z411" t="n">
        <v>19</v>
      </c>
      <c r="AA411" t="n">
        <v>10</v>
      </c>
      <c r="AB411" t="n">
        <v>4.6</v>
      </c>
      <c r="AC411" t="inlineStr">
        <is>
          <t xml:space="preserve"> Freeski</t>
        </is>
      </c>
      <c r="AG411" t="inlineStr">
        <is>
          <t>K2 Sight Skis</t>
        </is>
      </c>
      <c r="AH411" t="inlineStr">
        <is>
          <t>PRFO Sports</t>
        </is>
      </c>
      <c r="AI411" s="333" t="n">
        <v>320.68</v>
      </c>
      <c r="AJ411" t="inlineStr">
        <is>
          <t>https://tinyurl.com/ybyccmlv</t>
        </is>
      </c>
      <c r="AK411" t="inlineStr">
        <is>
          <t>K2 Sight Skis</t>
        </is>
      </c>
      <c r="AL411" t="inlineStr">
        <is>
          <t>WinterMen.com</t>
        </is>
      </c>
      <c r="AM411" s="333" t="n">
        <v>399.95</v>
      </c>
      <c r="AN411" t="inlineStr">
        <is>
          <t>https://tinyurl.com/ybvqr3xc</t>
        </is>
      </c>
      <c r="AO411" t="inlineStr">
        <is>
          <t>K2 Sight Skis</t>
        </is>
      </c>
      <c r="AP411" t="inlineStr">
        <is>
          <t>evo.com</t>
        </is>
      </c>
      <c r="AQ411" s="333" t="n">
        <v>399.95</v>
      </c>
      <c r="AR411" t="inlineStr">
        <is>
          <t>https://tinyurl.com/y83g5dlc</t>
        </is>
      </c>
      <c r="AS411" s="314">
        <f>IF(LEFT(C411,1)=" ",RIGHT(C411,LEN(C411)-1),C411)</f>
        <v/>
      </c>
      <c r="AT411" s="281">
        <f>_xlfn.CONCAT(B411,AS411,D411,E411)</f>
        <v/>
      </c>
    </row>
    <row r="412">
      <c r="A412" t="inlineStr">
        <is>
          <t>21/22</t>
        </is>
      </c>
      <c r="B412" t="inlineStr">
        <is>
          <t xml:space="preserve"> Atomic</t>
        </is>
      </c>
      <c r="C412" t="inlineStr">
        <is>
          <t>Redster X7 WB</t>
        </is>
      </c>
      <c r="D412" t="n">
        <v>168</v>
      </c>
      <c r="E412" t="inlineStr">
        <is>
          <t xml:space="preserve"> Unisex</t>
        </is>
      </c>
      <c r="F412" t="n">
        <v>168</v>
      </c>
      <c r="G412" t="n">
        <v>167.4</v>
      </c>
      <c r="H412" t="n">
        <v>148</v>
      </c>
      <c r="I412" t="n">
        <v>153</v>
      </c>
      <c r="J412" t="n">
        <v>125</v>
      </c>
      <c r="K412" t="n">
        <v>75</v>
      </c>
      <c r="L412" t="n">
        <v>109</v>
      </c>
      <c r="M412" t="n">
        <v>13.7</v>
      </c>
      <c r="N412" t="n">
        <v>1748</v>
      </c>
      <c r="O412" t="n">
        <v>0.87</v>
      </c>
      <c r="P412" t="n">
        <v>1512</v>
      </c>
      <c r="Q412" t="n">
        <v>192</v>
      </c>
      <c r="R412" t="n">
        <v>83</v>
      </c>
      <c r="S412" t="n">
        <v>38</v>
      </c>
      <c r="T412" t="n">
        <v>146</v>
      </c>
      <c r="U412" t="n">
        <v>5</v>
      </c>
      <c r="V412" t="n">
        <v>51</v>
      </c>
      <c r="W412" t="n">
        <v>0.118</v>
      </c>
      <c r="X412" t="n">
        <v>90</v>
      </c>
      <c r="Y412" t="n">
        <v>53</v>
      </c>
      <c r="Z412" t="n">
        <v>56</v>
      </c>
      <c r="AA412" t="n">
        <v>7</v>
      </c>
      <c r="AB412" t="n">
        <v>12.9</v>
      </c>
      <c r="AC412" t="inlineStr">
        <is>
          <t xml:space="preserve"> On-Piste Carving</t>
        </is>
      </c>
      <c r="AG412" t="inlineStr">
        <is>
          <t>Atomic 2022 Redster X9I WB Revo Ski with x 12 GW Bindings</t>
        </is>
      </c>
      <c r="AH412" t="inlineStr">
        <is>
          <t>Suburban Ski and Bike</t>
        </is>
      </c>
      <c r="AI412" s="333" t="n">
        <v>799.99</v>
      </c>
      <c r="AJ412" t="inlineStr">
        <is>
          <t>https://tinyurl.com/yca98bhb</t>
        </is>
      </c>
      <c r="AK412" t="inlineStr">
        <is>
          <t>Atomic 2022 Redster X9i WB REVO S+ X 12 GW BLACK/SILVER / 168</t>
        </is>
      </c>
      <c r="AL412" t="inlineStr">
        <is>
          <t>Cityhome</t>
        </is>
      </c>
      <c r="AM412" s="333" t="n">
        <v>999.99</v>
      </c>
      <c r="AN412" t="inlineStr">
        <is>
          <t>https://tinyurl.com/ycgalxtm</t>
        </is>
      </c>
      <c r="AO412" t="inlineStr">
        <is>
          <t>Atomic Redster X5 Skis w Atomic FT10 GW Demo Bindings  Demo Skis</t>
        </is>
      </c>
      <c r="AP412" t="inlineStr">
        <is>
          <t>Powder7 Ski Shop</t>
        </is>
      </c>
      <c r="AQ412" s="333" t="n">
        <v>399.99</v>
      </c>
      <c r="AR412" t="inlineStr">
        <is>
          <t>https://tinyurl.com/y9rxbpcq</t>
        </is>
      </c>
      <c r="AS412" s="314">
        <f>IF(LEFT(C412,1)=" ",RIGHT(C412,LEN(C412)-1),C412)</f>
        <v/>
      </c>
      <c r="AT412" s="281">
        <f>_xlfn.CONCAT(B412,AS412,D412,E412)</f>
        <v/>
      </c>
    </row>
    <row r="413">
      <c r="A413" t="inlineStr">
        <is>
          <t>21/22</t>
        </is>
      </c>
      <c r="B413" t="inlineStr">
        <is>
          <t xml:space="preserve"> Liberty</t>
        </is>
      </c>
      <c r="C413" t="inlineStr">
        <is>
          <t>Origin 106</t>
        </is>
      </c>
      <c r="D413" t="n">
        <v>176</v>
      </c>
      <c r="E413" t="inlineStr">
        <is>
          <t xml:space="preserve"> Unisex</t>
        </is>
      </c>
      <c r="F413" t="n">
        <v>176</v>
      </c>
      <c r="G413" t="n">
        <v>175.2</v>
      </c>
      <c r="H413" t="n">
        <v>98</v>
      </c>
      <c r="I413" t="n">
        <v>145</v>
      </c>
      <c r="J413" t="n">
        <v>137</v>
      </c>
      <c r="K413" t="n">
        <v>106</v>
      </c>
      <c r="L413" t="n">
        <v>127</v>
      </c>
      <c r="M413" t="n">
        <v>18.3</v>
      </c>
      <c r="N413" t="n">
        <v>1983</v>
      </c>
      <c r="O413" t="n">
        <v>1.02</v>
      </c>
      <c r="P413" t="n">
        <v>2014</v>
      </c>
      <c r="Q413" t="n">
        <v>211</v>
      </c>
      <c r="R413" t="n">
        <v>102</v>
      </c>
      <c r="S413" t="n">
        <v>54</v>
      </c>
      <c r="T413" t="n">
        <v>459</v>
      </c>
      <c r="U413" t="n">
        <v>39</v>
      </c>
      <c r="V413" t="n">
        <v>311</v>
      </c>
      <c r="W413" t="n">
        <v>0.72</v>
      </c>
      <c r="X413" t="n">
        <v>139</v>
      </c>
      <c r="Y413" t="n">
        <v>165</v>
      </c>
      <c r="Z413" t="n">
        <v>320</v>
      </c>
      <c r="AA413" t="n">
        <v>4</v>
      </c>
      <c r="AB413" t="n">
        <v>8.1</v>
      </c>
      <c r="AC413" t="inlineStr">
        <is>
          <t xml:space="preserve"> Powder</t>
        </is>
      </c>
      <c r="AG413" t="inlineStr">
        <is>
          <t>Liberty Skis Origin 106 Ski</t>
        </is>
      </c>
      <c r="AH413" t="inlineStr">
        <is>
          <t>REI</t>
        </is>
      </c>
      <c r="AI413" s="333" t="n">
        <v>523.9299999999999</v>
      </c>
      <c r="AJ413" t="inlineStr">
        <is>
          <t>https://tinyurl.com/ya6ekezs</t>
        </is>
      </c>
      <c r="AK413" t="inlineStr">
        <is>
          <t>Liberty Skis Origin 106 Ski</t>
        </is>
      </c>
      <c r="AL413" t="inlineStr">
        <is>
          <t>SkiEssentials.com</t>
        </is>
      </c>
      <c r="AM413" s="333" t="n">
        <v>524.99</v>
      </c>
      <c r="AN413" t="inlineStr">
        <is>
          <t>https://tinyurl.com/y8j2ah6g</t>
        </is>
      </c>
      <c r="AO413" t="inlineStr">
        <is>
          <t>Liberty Skis Origin 106 Ski</t>
        </is>
      </c>
      <c r="AP413" t="inlineStr">
        <is>
          <t>Moosejaw</t>
        </is>
      </c>
      <c r="AQ413" s="333" t="n">
        <v>559.99</v>
      </c>
      <c r="AR413" t="inlineStr">
        <is>
          <t>https://tinyurl.com/y7xkme5a</t>
        </is>
      </c>
      <c r="AS413" s="314">
        <f>IF(LEFT(C413,1)=" ",RIGHT(C413,LEN(C413)-1),C413)</f>
        <v/>
      </c>
      <c r="AT413" s="281">
        <f>_xlfn.CONCAT(B413,AS413,D413,E413)</f>
        <v/>
      </c>
    </row>
    <row r="414">
      <c r="A414" t="inlineStr">
        <is>
          <t>21/22</t>
        </is>
      </c>
      <c r="B414" t="inlineStr">
        <is>
          <t xml:space="preserve"> Black Crows</t>
        </is>
      </c>
      <c r="C414" t="inlineStr">
        <is>
          <t xml:space="preserve"> Camox</t>
        </is>
      </c>
      <c r="D414" t="n">
        <v>174.2</v>
      </c>
      <c r="E414" t="inlineStr">
        <is>
          <t xml:space="preserve"> Unisex</t>
        </is>
      </c>
      <c r="F414" t="n">
        <v>174.2</v>
      </c>
      <c r="G414" t="n">
        <v>173.3</v>
      </c>
      <c r="H414" t="n">
        <v>135</v>
      </c>
      <c r="I414" t="n">
        <v>150</v>
      </c>
      <c r="J414" t="n">
        <v>128</v>
      </c>
      <c r="K414" t="n">
        <v>96</v>
      </c>
      <c r="L414" t="n">
        <v>116</v>
      </c>
      <c r="M414" t="n">
        <v>20.6</v>
      </c>
      <c r="N414" t="n">
        <v>1773</v>
      </c>
      <c r="O414" t="n">
        <v>1.03</v>
      </c>
      <c r="P414" t="n">
        <v>1830</v>
      </c>
      <c r="Q414" t="n">
        <v>168</v>
      </c>
      <c r="R414" t="n">
        <v>86</v>
      </c>
      <c r="S414" t="n">
        <v>44</v>
      </c>
      <c r="T414" t="n">
        <v>227</v>
      </c>
      <c r="U414" t="n">
        <v>30</v>
      </c>
      <c r="V414" t="n">
        <v>153</v>
      </c>
      <c r="W414" t="n">
        <v>0.670999999999999</v>
      </c>
      <c r="X414" t="n">
        <v>118</v>
      </c>
      <c r="Y414" t="n">
        <v>111</v>
      </c>
      <c r="Z414" t="n">
        <v>109</v>
      </c>
      <c r="AA414" t="n">
        <v>12</v>
      </c>
      <c r="AB414" t="n">
        <v>6.4</v>
      </c>
      <c r="AC414" t="inlineStr">
        <is>
          <t xml:space="preserve"> Resort Freeride</t>
        </is>
      </c>
      <c r="AG414" t="inlineStr">
        <is>
          <t>Black Crows Camox Skis 2022</t>
        </is>
      </c>
      <c r="AH414" t="inlineStr">
        <is>
          <t>Teton Wasatch Ski Co.</t>
        </is>
      </c>
      <c r="AI414" s="333" t="n">
        <v>575</v>
      </c>
      <c r="AJ414" t="inlineStr">
        <is>
          <t>https://tinyurl.com/y9zw3afn</t>
        </is>
      </c>
      <c r="AK414" t="inlineStr">
        <is>
          <t>Black Crows Camox Birdie Skis</t>
        </is>
      </c>
      <c r="AL414" t="inlineStr">
        <is>
          <t>Cole Sport</t>
        </is>
      </c>
      <c r="AM414" s="333" t="n">
        <v>575.96</v>
      </c>
      <c r="AN414" t="inlineStr">
        <is>
          <t>https://tinyurl.com/y7n7uqkt</t>
        </is>
      </c>
      <c r="AO414" t="inlineStr">
        <is>
          <t>Black Crows Camox Skis 2022</t>
        </is>
      </c>
      <c r="AP414" t="inlineStr">
        <is>
          <t>evo.com</t>
        </is>
      </c>
      <c r="AQ414" s="333" t="n">
        <v>575.96</v>
      </c>
      <c r="AR414" t="inlineStr">
        <is>
          <t>https://tinyurl.com/y79vce9s</t>
        </is>
      </c>
      <c r="AS414" s="314">
        <f>IF(LEFT(C414,1)=" ",RIGHT(C414,LEN(C414)-1),C414)</f>
        <v/>
      </c>
      <c r="AT414" s="281">
        <f>_xlfn.CONCAT(B414,AS414,D414,E414)</f>
        <v/>
      </c>
    </row>
    <row r="415">
      <c r="A415" t="inlineStr">
        <is>
          <t>21/22</t>
        </is>
      </c>
      <c r="B415" t="inlineStr">
        <is>
          <t xml:space="preserve"> Liberty</t>
        </is>
      </c>
      <c r="C415" t="inlineStr">
        <is>
          <t>Origin 101</t>
        </is>
      </c>
      <c r="D415" t="n">
        <v>171</v>
      </c>
      <c r="E415" t="inlineStr">
        <is>
          <t xml:space="preserve"> Unisex</t>
        </is>
      </c>
      <c r="F415" t="n">
        <v>171</v>
      </c>
      <c r="G415" t="n">
        <v>169.9</v>
      </c>
      <c r="H415" t="n">
        <v>110</v>
      </c>
      <c r="I415" t="n">
        <v>141</v>
      </c>
      <c r="J415" t="n">
        <v>134</v>
      </c>
      <c r="K415" t="n">
        <v>101</v>
      </c>
      <c r="L415" t="n">
        <v>121</v>
      </c>
      <c r="M415" t="n">
        <v>16.4</v>
      </c>
      <c r="N415" t="n">
        <v>1707</v>
      </c>
      <c r="O415" t="n">
        <v>1.11</v>
      </c>
      <c r="P415" t="n">
        <v>1889</v>
      </c>
      <c r="Q415" t="n">
        <v>172</v>
      </c>
      <c r="R415" t="n">
        <v>84</v>
      </c>
      <c r="S415" t="n">
        <v>52</v>
      </c>
      <c r="T415" t="n">
        <v>340</v>
      </c>
      <c r="U415" t="n">
        <v>30</v>
      </c>
      <c r="V415" t="n">
        <v>257</v>
      </c>
      <c r="W415" t="n">
        <v>0.5679999999999999</v>
      </c>
      <c r="X415" t="n">
        <v>136</v>
      </c>
      <c r="Y415" t="n">
        <v>158</v>
      </c>
      <c r="Z415" t="n">
        <v>204</v>
      </c>
      <c r="AA415" t="n">
        <v>5</v>
      </c>
      <c r="AB415" t="n">
        <v>8.300000000000001</v>
      </c>
      <c r="AC415" t="inlineStr">
        <is>
          <t xml:space="preserve"> Resort Freeride</t>
        </is>
      </c>
      <c r="AD415" t="inlineStr">
        <is>
          <t xml:space="preserve"> Powder</t>
        </is>
      </c>
      <c r="AE415" t="inlineStr">
        <is>
          <t xml:space="preserve"> Touring</t>
        </is>
      </c>
      <c r="AG415" t="inlineStr">
        <is>
          <t>Liberty Origin 101 Skis - 2022 - 171cm</t>
        </is>
      </c>
      <c r="AH415" t="inlineStr">
        <is>
          <t>ColoradoSkiShop.com</t>
        </is>
      </c>
      <c r="AI415" s="333" t="n">
        <v>529.99</v>
      </c>
      <c r="AJ415" t="inlineStr">
        <is>
          <t>https://tinyurl.com/y9hktdg6</t>
        </is>
      </c>
      <c r="AK415" t="inlineStr">
        <is>
          <t>Liberty 22 Origin 101 171cm Demo</t>
        </is>
      </c>
      <c r="AL415" t="inlineStr">
        <is>
          <t>Play It Again Sports</t>
        </is>
      </c>
      <c r="AM415" s="333" t="n">
        <v>549.91</v>
      </c>
      <c r="AN415" t="inlineStr">
        <is>
          <t>https://tinyurl.com/ybgc2ssd</t>
        </is>
      </c>
      <c r="AO415" t="inlineStr">
        <is>
          <t>Liberty Origin 101 Skis 171cm 2022</t>
        </is>
      </c>
      <c r="AP415" t="inlineStr">
        <is>
          <t>Powder7 Ski Shop</t>
        </is>
      </c>
      <c r="AQ415" s="333" t="n">
        <v>549.99</v>
      </c>
      <c r="AR415" t="inlineStr">
        <is>
          <t>https://tinyurl.com/yc3gwsd6</t>
        </is>
      </c>
      <c r="AS415" s="314">
        <f>IF(LEFT(C415,1)=" ",RIGHT(C415,LEN(C415)-1),C415)</f>
        <v/>
      </c>
      <c r="AT415" s="281">
        <f>_xlfn.CONCAT(B415,AS415,D415,E415)</f>
        <v/>
      </c>
    </row>
    <row r="416">
      <c r="A416" t="inlineStr">
        <is>
          <t>21/22</t>
        </is>
      </c>
      <c r="B416" t="inlineStr">
        <is>
          <t xml:space="preserve"> Black Crows</t>
        </is>
      </c>
      <c r="C416" t="inlineStr">
        <is>
          <t xml:space="preserve"> Ferox Freebird</t>
        </is>
      </c>
      <c r="D416" t="n">
        <v>181.4</v>
      </c>
      <c r="E416" t="inlineStr">
        <is>
          <t xml:space="preserve"> Unisex</t>
        </is>
      </c>
      <c r="F416" t="n">
        <v>181.4</v>
      </c>
      <c r="G416" t="n">
        <v>179.6</v>
      </c>
      <c r="H416" t="n">
        <v>106</v>
      </c>
      <c r="I416" t="n">
        <v>142</v>
      </c>
      <c r="J416" t="n">
        <v>137</v>
      </c>
      <c r="K416" t="n">
        <v>108</v>
      </c>
      <c r="L416" t="n">
        <v>126</v>
      </c>
      <c r="M416" t="n">
        <v>21.2</v>
      </c>
      <c r="N416" t="n">
        <v>1915</v>
      </c>
      <c r="O416" t="n">
        <v>1.1</v>
      </c>
      <c r="P416" t="n">
        <v>2104</v>
      </c>
      <c r="Q416" t="n">
        <v>210</v>
      </c>
      <c r="R416" t="n">
        <v>89</v>
      </c>
      <c r="S416" t="n">
        <v>44</v>
      </c>
      <c r="T416" t="n">
        <v>514</v>
      </c>
      <c r="U416" t="n">
        <v>33</v>
      </c>
      <c r="V416" t="n">
        <v>220</v>
      </c>
      <c r="W416" t="n">
        <v>0.750999999999999</v>
      </c>
      <c r="X416" t="n">
        <v>210</v>
      </c>
      <c r="Y416" t="n">
        <v>163</v>
      </c>
      <c r="Z416" t="n">
        <v>305</v>
      </c>
      <c r="AA416" t="n">
        <v>2</v>
      </c>
      <c r="AB416" t="n">
        <v>8.300000000000001</v>
      </c>
      <c r="AC416" t="inlineStr">
        <is>
          <t xml:space="preserve"> Powder</t>
        </is>
      </c>
      <c r="AD416" t="inlineStr">
        <is>
          <t xml:space="preserve"> Touring</t>
        </is>
      </c>
      <c r="AG416" t="inlineStr">
        <is>
          <t>Black Crows Ferox Freebird 181</t>
        </is>
      </c>
      <c r="AH416" t="inlineStr">
        <is>
          <t>Outbound Mountain Gear</t>
        </is>
      </c>
      <c r="AI416" s="333" t="n">
        <v>1019.99</v>
      </c>
      <c r="AJ416" t="inlineStr">
        <is>
          <t>https://tinyurl.com/ybnrpj9s</t>
        </is>
      </c>
      <c r="AK416" t="inlineStr">
        <is>
          <t>2022 Black Crows Ferox Freebird Skis w/ Marker Kingpin 13 Bindings - 181| Ski Essentials</t>
        </is>
      </c>
      <c r="AL416" t="inlineStr">
        <is>
          <t>SkiEssentials.com</t>
        </is>
      </c>
      <c r="AM416" s="333" t="n">
        <v>1210.92</v>
      </c>
      <c r="AN416" t="inlineStr">
        <is>
          <t>https://tinyurl.com/y9jhmyvb</t>
        </is>
      </c>
      <c r="AO416" t="inlineStr">
        <is>
          <t>Black Crows Ferox Freebird Skis (2022) 181</t>
        </is>
      </c>
      <c r="AP416" t="inlineStr">
        <is>
          <t>Cripple Creek Backcountry</t>
        </is>
      </c>
      <c r="AQ416" s="333" t="n">
        <v>799.95</v>
      </c>
      <c r="AR416" t="inlineStr">
        <is>
          <t>https://tinyurl.com/ydg4p9hq</t>
        </is>
      </c>
      <c r="AS416" s="314">
        <f>IF(LEFT(C416,1)=" ",RIGHT(C416,LEN(C416)-1),C416)</f>
        <v/>
      </c>
      <c r="AT416" s="281">
        <f>_xlfn.CONCAT(B416,AS416,D416,E416)</f>
        <v/>
      </c>
    </row>
    <row r="417">
      <c r="A417" t="inlineStr">
        <is>
          <t>21/22</t>
        </is>
      </c>
      <c r="B417" t="inlineStr">
        <is>
          <t xml:space="preserve"> Vï¿½lkl</t>
        </is>
      </c>
      <c r="C417" t="inlineStr">
        <is>
          <t>Bash 81</t>
        </is>
      </c>
      <c r="D417" t="n">
        <v>158</v>
      </c>
      <c r="E417" t="inlineStr">
        <is>
          <t xml:space="preserve"> Unisex</t>
        </is>
      </c>
      <c r="F417" t="n">
        <v>158</v>
      </c>
      <c r="G417" t="n">
        <v>157.1</v>
      </c>
      <c r="H417" t="n">
        <v>128</v>
      </c>
      <c r="I417" t="n">
        <v>134</v>
      </c>
      <c r="J417" t="n">
        <v>111</v>
      </c>
      <c r="K417" t="n">
        <v>80</v>
      </c>
      <c r="L417" t="n">
        <v>104</v>
      </c>
      <c r="M417" t="n">
        <v>16.3</v>
      </c>
      <c r="N417" t="n">
        <v>1564</v>
      </c>
      <c r="O417" t="n">
        <v>0.91</v>
      </c>
      <c r="P417" t="n">
        <v>1423</v>
      </c>
      <c r="Q417" t="n">
        <v>173</v>
      </c>
      <c r="R417" t="n">
        <v>87</v>
      </c>
      <c r="S417" t="n">
        <v>43</v>
      </c>
      <c r="T417" t="n">
        <v>152</v>
      </c>
      <c r="U417" t="n">
        <v>36</v>
      </c>
      <c r="V417" t="n">
        <v>138</v>
      </c>
      <c r="W417" t="n">
        <v>0.838</v>
      </c>
      <c r="X417" t="n">
        <v>91</v>
      </c>
      <c r="Y417" t="n">
        <v>137</v>
      </c>
      <c r="Z417" t="n">
        <v>61</v>
      </c>
      <c r="AA417" t="n">
        <v>8</v>
      </c>
      <c r="AB417" t="n">
        <v>2.5</v>
      </c>
      <c r="AC417" t="inlineStr">
        <is>
          <t xml:space="preserve"> Resort Freeride</t>
        </is>
      </c>
      <c r="AD417" t="inlineStr">
        <is>
          <t xml:space="preserve"> Freeski</t>
        </is>
      </c>
      <c r="AG417" t="inlineStr">
        <is>
          <t>Volkl Bash 81 Skis 2021 - 158</t>
        </is>
      </c>
      <c r="AH417" t="inlineStr">
        <is>
          <t>SportÃ¨que</t>
        </is>
      </c>
      <c r="AI417" s="333" t="n">
        <v>245.32</v>
      </c>
      <c r="AJ417" t="inlineStr">
        <is>
          <t>https://tinyurl.com/yckoheym</t>
        </is>
      </c>
      <c r="AK417" t="inlineStr">
        <is>
          <t>Volkl Bash 81 Skis 2021 - 158</t>
        </is>
      </c>
      <c r="AL417" t="inlineStr">
        <is>
          <t>Blue Tomato</t>
        </is>
      </c>
      <c r="AM417" s="333" t="n">
        <v>249.37</v>
      </c>
      <c r="AN417" t="inlineStr">
        <is>
          <t>https://tinyurl.com/yc3jldy9</t>
        </is>
      </c>
      <c r="AO417" t="inlineStr">
        <is>
          <t>Volkl Bash 81 Skis 2021 - 158</t>
        </is>
      </c>
      <c r="AP417" t="inlineStr">
        <is>
          <t>Erik's Bike, Board and Ski</t>
        </is>
      </c>
      <c r="AQ417" s="333" t="n">
        <v>279.99</v>
      </c>
      <c r="AR417" t="inlineStr">
        <is>
          <t>https://tinyurl.com/y9jvquxr</t>
        </is>
      </c>
      <c r="AS417" s="314">
        <f>IF(LEFT(C417,1)=" ",RIGHT(C417,LEN(C417)-1),C417)</f>
        <v/>
      </c>
      <c r="AT417" s="281">
        <f>_xlfn.CONCAT(B417,AS417,D417,E417)</f>
        <v/>
      </c>
    </row>
    <row r="418">
      <c r="A418" t="inlineStr">
        <is>
          <t>21/22</t>
        </is>
      </c>
      <c r="B418" t="inlineStr">
        <is>
          <t xml:space="preserve"> Liberty</t>
        </is>
      </c>
      <c r="C418" t="inlineStr">
        <is>
          <t>Origin 96</t>
        </is>
      </c>
      <c r="D418" t="n">
        <v>187</v>
      </c>
      <c r="E418" t="inlineStr">
        <is>
          <t xml:space="preserve"> Unisex</t>
        </is>
      </c>
      <c r="F418" t="n">
        <v>187</v>
      </c>
      <c r="G418" t="n">
        <v>185.8</v>
      </c>
      <c r="H418" t="n">
        <v>126</v>
      </c>
      <c r="I418" t="n">
        <v>156</v>
      </c>
      <c r="J418" t="n">
        <v>129</v>
      </c>
      <c r="K418" t="n">
        <v>96</v>
      </c>
      <c r="L418" t="n">
        <v>117</v>
      </c>
      <c r="M418" t="n">
        <v>19.9</v>
      </c>
      <c r="N418" t="n">
        <v>1972</v>
      </c>
      <c r="O418" t="n">
        <v>1</v>
      </c>
      <c r="P418" t="n">
        <v>1972</v>
      </c>
      <c r="Q418" t="n">
        <v>247</v>
      </c>
      <c r="R418" t="n">
        <v>108</v>
      </c>
      <c r="S418" t="n">
        <v>44</v>
      </c>
      <c r="T418" t="n">
        <v>327</v>
      </c>
      <c r="U418" t="n">
        <v>31</v>
      </c>
      <c r="V418" t="n">
        <v>272</v>
      </c>
      <c r="W418" t="n">
        <v>0.71</v>
      </c>
      <c r="X418" t="n">
        <v>136</v>
      </c>
      <c r="Y418" t="n">
        <v>167</v>
      </c>
      <c r="Z418" t="n">
        <v>191</v>
      </c>
      <c r="AA418" t="n">
        <v>7</v>
      </c>
      <c r="AB418" t="n">
        <v>8.300000000000001</v>
      </c>
      <c r="AC418" t="inlineStr">
        <is>
          <t xml:space="preserve"> Resort Freeride</t>
        </is>
      </c>
      <c r="AG418" t="inlineStr">
        <is>
          <t>'21 Liberty Origin 96 Skis 187cm</t>
        </is>
      </c>
      <c r="AH418" t="inlineStr">
        <is>
          <t>Al's Ski Equipment Barn</t>
        </is>
      </c>
      <c r="AI418" s="333" t="n">
        <v>499.95</v>
      </c>
      <c r="AJ418" t="inlineStr">
        <is>
          <t>https://tinyurl.com/yb9hkehm</t>
        </is>
      </c>
      <c r="AK418" t="inlineStr">
        <is>
          <t>Liberty Origin 96 Skis 2021</t>
        </is>
      </c>
      <c r="AL418" t="inlineStr">
        <is>
          <t>eBay - skibarn</t>
        </is>
      </c>
      <c r="AM418" s="333" t="n">
        <v>569.95</v>
      </c>
      <c r="AN418" t="inlineStr">
        <is>
          <t>https://tinyurl.com/ycu3wpv9</t>
        </is>
      </c>
      <c r="AO418" t="inlineStr">
        <is>
          <t>Liberty Skis Men ' S Origin 96 All - Mountain Skis</t>
        </is>
      </c>
      <c r="AP418" t="inlineStr">
        <is>
          <t>BobWards.com</t>
        </is>
      </c>
      <c r="AQ418" s="333" t="n">
        <v>599.95</v>
      </c>
      <c r="AR418" t="inlineStr">
        <is>
          <t>https://tinyurl.com/y7jpsr4w</t>
        </is>
      </c>
      <c r="AS418" s="314">
        <f>IF(LEFT(C418,1)=" ",RIGHT(C418,LEN(C418)-1),C418)</f>
        <v/>
      </c>
      <c r="AT418" s="281">
        <f>_xlfn.CONCAT(B418,AS418,D418,E418)</f>
        <v/>
      </c>
    </row>
    <row r="419">
      <c r="A419" t="inlineStr">
        <is>
          <t>21/22</t>
        </is>
      </c>
      <c r="B419" t="inlineStr">
        <is>
          <t xml:space="preserve"> Elan</t>
        </is>
      </c>
      <c r="C419" t="inlineStr">
        <is>
          <t>Ripstick 102 W</t>
        </is>
      </c>
      <c r="D419" t="n">
        <v>162</v>
      </c>
      <c r="E419" t="inlineStr">
        <is>
          <t xml:space="preserve"> Women's</t>
        </is>
      </c>
      <c r="F419" t="n">
        <v>162</v>
      </c>
      <c r="G419" t="n">
        <v>161.8</v>
      </c>
      <c r="H419" t="n">
        <v>106</v>
      </c>
      <c r="I419" t="n">
        <v>129</v>
      </c>
      <c r="J419" t="n">
        <v>140</v>
      </c>
      <c r="K419" t="n">
        <v>103</v>
      </c>
      <c r="L419" t="n">
        <v>118</v>
      </c>
      <c r="M419" t="n">
        <v>15.6</v>
      </c>
      <c r="N419" t="n">
        <v>1581</v>
      </c>
      <c r="O419" t="n">
        <v>1.17</v>
      </c>
      <c r="P419" t="n">
        <v>1847</v>
      </c>
      <c r="Q419" t="n">
        <v>181</v>
      </c>
      <c r="R419" t="n">
        <v>78</v>
      </c>
      <c r="S419" t="n">
        <v>54</v>
      </c>
      <c r="T419" t="n">
        <v>320</v>
      </c>
      <c r="U419" t="n">
        <v>22</v>
      </c>
      <c r="V419" t="n">
        <v>241</v>
      </c>
      <c r="W419" t="n">
        <v>0.402</v>
      </c>
      <c r="X419" t="n">
        <v>166</v>
      </c>
      <c r="Y419" t="n">
        <v>164</v>
      </c>
      <c r="Z419" t="n">
        <v>154</v>
      </c>
      <c r="AA419" t="n">
        <v>2</v>
      </c>
      <c r="AB419" t="n">
        <v>6.1</v>
      </c>
      <c r="AC419" t="inlineStr">
        <is>
          <t xml:space="preserve"> Resort Freeride</t>
        </is>
      </c>
      <c r="AD419" t="inlineStr">
        <is>
          <t xml:space="preserve"> Powder</t>
        </is>
      </c>
      <c r="AE419" t="inlineStr">
        <is>
          <t xml:space="preserve"> Touring</t>
        </is>
      </c>
      <c r="AG419" t="inlineStr">
        <is>
          <t>Elan Ripstick 102 W 162cm</t>
        </is>
      </c>
      <c r="AH419" t="inlineStr">
        <is>
          <t>Sundance Ski and Board Shop</t>
        </is>
      </c>
      <c r="AI419" s="333" t="n">
        <v>481.02</v>
      </c>
      <c r="AJ419" t="inlineStr">
        <is>
          <t>https://tinyurl.com/y99oyrw8</t>
        </is>
      </c>
      <c r="AK419" t="inlineStr">
        <is>
          <t>Elan Ripstick 102 W Women's Skis</t>
        </is>
      </c>
      <c r="AL419" t="inlineStr">
        <is>
          <t>Next Adventure</t>
        </is>
      </c>
      <c r="AM419" s="333" t="n">
        <v>487.49</v>
      </c>
      <c r="AN419" t="inlineStr">
        <is>
          <t>https://tinyurl.com/ycub26wh</t>
        </is>
      </c>
      <c r="AO419" t="inlineStr">
        <is>
          <t>Elan Ripstick 102 W Women's Skis</t>
        </is>
      </c>
      <c r="AP419" t="inlineStr">
        <is>
          <t>Ski Pro  - Snow Ski &amp; Snowboard</t>
        </is>
      </c>
      <c r="AQ419" s="333" t="n">
        <v>499.95</v>
      </c>
      <c r="AR419" t="inlineStr">
        <is>
          <t>https://tinyurl.com/y8djyws9</t>
        </is>
      </c>
      <c r="AS419" s="314">
        <f>IF(LEFT(C419,1)=" ",RIGHT(C419,LEN(C419)-1),C419)</f>
        <v/>
      </c>
      <c r="AT419" s="281">
        <f>_xlfn.CONCAT(B419,AS419,D419,E419)</f>
        <v/>
      </c>
    </row>
    <row r="420">
      <c r="A420" t="inlineStr">
        <is>
          <t>21/22</t>
        </is>
      </c>
      <c r="B420" t="inlineStr">
        <is>
          <t xml:space="preserve"> Line</t>
        </is>
      </c>
      <c r="C420" t="inlineStr">
        <is>
          <t xml:space="preserve"> Sir Francis Bacon</t>
        </is>
      </c>
      <c r="D420" t="n">
        <v>184</v>
      </c>
      <c r="E420" t="inlineStr">
        <is>
          <t xml:space="preserve"> Unisex</t>
        </is>
      </c>
      <c r="F420" t="n">
        <v>184</v>
      </c>
      <c r="G420" t="n">
        <v>183.2</v>
      </c>
      <c r="H420" t="n">
        <v>134</v>
      </c>
      <c r="I420" t="n">
        <v>150</v>
      </c>
      <c r="J420" t="n">
        <v>142</v>
      </c>
      <c r="K420" t="n">
        <v>106</v>
      </c>
      <c r="L420" t="n">
        <v>138</v>
      </c>
      <c r="M420" t="n">
        <v>16.6</v>
      </c>
      <c r="N420" t="n">
        <v>1801</v>
      </c>
      <c r="O420" t="n">
        <v>1.17</v>
      </c>
      <c r="P420" t="n">
        <v>2110</v>
      </c>
      <c r="Q420" t="n">
        <v>155</v>
      </c>
      <c r="R420" t="n">
        <v>85</v>
      </c>
      <c r="S420" t="n">
        <v>40</v>
      </c>
      <c r="T420" t="n">
        <v>303</v>
      </c>
      <c r="U420" t="n">
        <v>41</v>
      </c>
      <c r="V420" t="n">
        <v>191</v>
      </c>
      <c r="W420" t="n">
        <v>1.025</v>
      </c>
      <c r="X420" t="n">
        <v>160</v>
      </c>
      <c r="Y420" t="n">
        <v>176</v>
      </c>
      <c r="Z420" t="n">
        <v>143</v>
      </c>
      <c r="AA420" t="n">
        <v>7</v>
      </c>
      <c r="AB420" t="n">
        <v>2.4</v>
      </c>
      <c r="AC420" t="inlineStr">
        <is>
          <t xml:space="preserve"> Freeski</t>
        </is>
      </c>
      <c r="AD420" t="inlineStr">
        <is>
          <t xml:space="preserve"> Powder</t>
        </is>
      </c>
      <c r="AE420" t="inlineStr">
        <is>
          <t xml:space="preserve"> Touring</t>
        </is>
      </c>
      <c r="AG420" t="inlineStr">
        <is>
          <t>Line Accessories | Line Sir Francis Bacon Skis W Marker Jester Bindings 184cm | Color: Blue | Size: Os | Periscopes's Closet</t>
        </is>
      </c>
      <c r="AH420" t="inlineStr">
        <is>
          <t>Poshmark</t>
        </is>
      </c>
      <c r="AI420" s="333" t="n">
        <v>499</v>
      </c>
      <c r="AJ420" t="inlineStr">
        <is>
          <t>https://tinyurl.com/yadn7nw2</t>
        </is>
      </c>
      <c r="AK420" t="inlineStr">
        <is>
          <t xml:space="preserve"> Line 22 Sir Francis Bacon 184Cm Demo Skis</t>
        </is>
      </c>
      <c r="AL420" t="inlineStr">
        <is>
          <t>Play It Again Sports</t>
        </is>
      </c>
      <c r="AM420" s="333" t="n">
        <v>549.91</v>
      </c>
      <c r="AN420" t="inlineStr">
        <is>
          <t>https://tinyurl.com/y76qujca</t>
        </is>
      </c>
      <c r="AO420" t="inlineStr">
        <is>
          <t>Line Sir Francis Bacon Skis 2022</t>
        </is>
      </c>
      <c r="AP420" t="inlineStr">
        <is>
          <t>Teton Wasatch Ski Co.</t>
        </is>
      </c>
      <c r="AQ420" s="333" t="n">
        <v>559</v>
      </c>
      <c r="AR420" t="inlineStr">
        <is>
          <t>https://tinyurl.com/yb3exqvp</t>
        </is>
      </c>
      <c r="AS420" s="314">
        <f>IF(LEFT(C420,1)=" ",RIGHT(C420,LEN(C420)-1),C420)</f>
        <v/>
      </c>
      <c r="AT420" s="281">
        <f>_xlfn.CONCAT(B420,AS420,D420,E420)</f>
        <v/>
      </c>
    </row>
    <row r="421">
      <c r="A421" t="inlineStr">
        <is>
          <t>21/22</t>
        </is>
      </c>
      <c r="B421" t="inlineStr">
        <is>
          <t>K2</t>
        </is>
      </c>
      <c r="C421" t="inlineStr">
        <is>
          <t>Mindbender 116 C</t>
        </is>
      </c>
      <c r="D421" t="n">
        <v>186</v>
      </c>
      <c r="E421" t="inlineStr">
        <is>
          <t xml:space="preserve"> Unisex</t>
        </is>
      </c>
      <c r="F421" t="n">
        <v>186</v>
      </c>
      <c r="G421" t="n">
        <v>186</v>
      </c>
      <c r="H421" t="n">
        <v>113</v>
      </c>
      <c r="I421" t="n">
        <v>146</v>
      </c>
      <c r="J421" t="n">
        <v>143</v>
      </c>
      <c r="K421" t="n">
        <v>115</v>
      </c>
      <c r="L421" t="n">
        <v>132</v>
      </c>
      <c r="M421" t="n">
        <v>23.4</v>
      </c>
      <c r="N421" t="n">
        <v>1995</v>
      </c>
      <c r="O421" t="n">
        <v>1.15</v>
      </c>
      <c r="P421" t="n">
        <v>2298</v>
      </c>
      <c r="Q421" t="n">
        <v>211</v>
      </c>
      <c r="R421" t="n">
        <v>132</v>
      </c>
      <c r="S421" t="n">
        <v>58</v>
      </c>
      <c r="T421" t="n">
        <v>476</v>
      </c>
      <c r="U421" t="n">
        <v>25</v>
      </c>
      <c r="V421" t="n">
        <v>254</v>
      </c>
      <c r="W421" t="n">
        <v>0.431</v>
      </c>
      <c r="X421" t="n">
        <v>213</v>
      </c>
      <c r="Y421" t="n">
        <v>185</v>
      </c>
      <c r="Z421" t="n">
        <v>264</v>
      </c>
      <c r="AA421" t="n">
        <v>4</v>
      </c>
      <c r="AB421" t="n">
        <v>10.1</v>
      </c>
      <c r="AC421" t="inlineStr">
        <is>
          <t xml:space="preserve"> Powder</t>
        </is>
      </c>
      <c r="AD421" t="inlineStr">
        <is>
          <t xml:space="preserve"> Touring</t>
        </is>
      </c>
      <c r="AG421" t="inlineStr">
        <is>
          <t>K2 Mindbender 116 C Skis 2021 186</t>
        </is>
      </c>
      <c r="AH421" t="inlineStr">
        <is>
          <t>Gear Coop</t>
        </is>
      </c>
      <c r="AI421" s="333" t="n">
        <v>850</v>
      </c>
      <c r="AJ421" t="inlineStr">
        <is>
          <t>https://tinyurl.com/yc9eejvb</t>
        </is>
      </c>
      <c r="AK421" t="inlineStr">
        <is>
          <t>K2 Mindbender 116C Skis Â· 2022 Â· 186 cm</t>
        </is>
      </c>
      <c r="AL421" t="inlineStr">
        <is>
          <t>Snowcountry.eu</t>
        </is>
      </c>
      <c r="AM421" s="333" t="n">
        <v>423.23</v>
      </c>
      <c r="AN421" t="inlineStr">
        <is>
          <t>https://tinyurl.com/y86r9fa3</t>
        </is>
      </c>
      <c r="AO421" t="inlineStr">
        <is>
          <t>K2 Mindbender 116C Skis Â· 2022 Â· 186 cm</t>
        </is>
      </c>
      <c r="AP421" t="inlineStr">
        <is>
          <t>! OutdoorXL.com</t>
        </is>
      </c>
      <c r="AQ421" s="333" t="n">
        <v>459.95</v>
      </c>
      <c r="AR421" t="inlineStr">
        <is>
          <t>https://tinyurl.com/ybfs9g4r</t>
        </is>
      </c>
      <c r="AS421" s="314">
        <f>IF(LEFT(C421,1)=" ",RIGHT(C421,LEN(C421)-1),C421)</f>
        <v/>
      </c>
      <c r="AT421" s="281">
        <f>_xlfn.CONCAT(B421,AS421,D421,E421)</f>
        <v/>
      </c>
    </row>
    <row r="422">
      <c r="A422" t="inlineStr">
        <is>
          <t>21/22</t>
        </is>
      </c>
      <c r="B422" t="inlineStr">
        <is>
          <t xml:space="preserve"> Stï¿½ckli</t>
        </is>
      </c>
      <c r="C422" t="inlineStr">
        <is>
          <t>Stormrider 88</t>
        </is>
      </c>
      <c r="D422" t="n">
        <v>175</v>
      </c>
      <c r="E422" t="inlineStr">
        <is>
          <t xml:space="preserve"> Unisex</t>
        </is>
      </c>
      <c r="F422" t="n">
        <v>175</v>
      </c>
      <c r="G422" t="n">
        <v>174.2</v>
      </c>
      <c r="H422" t="n">
        <v>148</v>
      </c>
      <c r="I422" t="n">
        <v>155</v>
      </c>
      <c r="J422" t="n">
        <v>128</v>
      </c>
      <c r="K422" t="n">
        <v>88</v>
      </c>
      <c r="L422" t="n">
        <v>113</v>
      </c>
      <c r="M422" t="n">
        <v>18.1</v>
      </c>
      <c r="N422" t="n">
        <v>1741</v>
      </c>
      <c r="O422" t="n">
        <v>1</v>
      </c>
      <c r="P422" t="n">
        <v>1743</v>
      </c>
      <c r="Q422" t="n">
        <v>188</v>
      </c>
      <c r="R422" t="n">
        <v>104</v>
      </c>
      <c r="S422" t="n">
        <v>42</v>
      </c>
      <c r="T422" t="n">
        <v>183</v>
      </c>
      <c r="U422" t="n">
        <v>9</v>
      </c>
      <c r="V422" t="n">
        <v>76</v>
      </c>
      <c r="W422" t="n">
        <v>0.213</v>
      </c>
      <c r="X422" t="n">
        <v>132</v>
      </c>
      <c r="Y422" t="n">
        <v>56</v>
      </c>
      <c r="Z422" t="n">
        <v>51</v>
      </c>
      <c r="AA422" t="n">
        <v>9</v>
      </c>
      <c r="AB422" t="n">
        <v>13.1</v>
      </c>
      <c r="AC422" t="inlineStr">
        <is>
          <t xml:space="preserve"> Resort Freeride</t>
        </is>
      </c>
      <c r="AG422" t="inlineStr">
        <is>
          <t>Stockli Stormrider 88 Skis 2022 Silver 175</t>
        </is>
      </c>
      <c r="AH422" t="inlineStr">
        <is>
          <t>SkiEssentials.com</t>
        </is>
      </c>
      <c r="AI422" s="333" t="n">
        <v>1049</v>
      </c>
      <c r="AJ422" t="inlineStr">
        <is>
          <t>https://tinyurl.com/y9lv9f8h</t>
        </is>
      </c>
      <c r="AK422" t="inlineStr">
        <is>
          <t>Stockli Stormrider 88 Skis 2022 Silver 175</t>
        </is>
      </c>
      <c r="AL422" t="inlineStr">
        <is>
          <t>Powder7 Ski Shop</t>
        </is>
      </c>
      <c r="AM422" s="333" t="n">
        <v>1049</v>
      </c>
      <c r="AN422" t="inlineStr">
        <is>
          <t>https://tinyurl.com/yd4rmfef</t>
        </is>
      </c>
      <c r="AO422" t="inlineStr">
        <is>
          <t>Stockli Stormrider 88 Skis 2022 175cm</t>
        </is>
      </c>
      <c r="AP422" t="inlineStr">
        <is>
          <t>Glacier Ski Shop</t>
        </is>
      </c>
      <c r="AQ422" s="333" t="n">
        <v>1049</v>
      </c>
      <c r="AR422" t="inlineStr">
        <is>
          <t>https://tinyurl.com/y6wlx6ol</t>
        </is>
      </c>
      <c r="AS422" s="314">
        <f>IF(LEFT(C422,1)=" ",RIGHT(C422,LEN(C422)-1),C422)</f>
        <v/>
      </c>
      <c r="AT422" s="281">
        <f>_xlfn.CONCAT(B422,AS422,D422,E422)</f>
        <v/>
      </c>
    </row>
    <row r="423">
      <c r="A423" t="inlineStr">
        <is>
          <t>21/22</t>
        </is>
      </c>
      <c r="B423" t="inlineStr">
        <is>
          <t xml:space="preserve"> Armada</t>
        </is>
      </c>
      <c r="C423" t="inlineStr">
        <is>
          <t>ARW 96</t>
        </is>
      </c>
      <c r="D423" t="n">
        <v>156</v>
      </c>
      <c r="E423" t="inlineStr">
        <is>
          <t xml:space="preserve"> Women's</t>
        </is>
      </c>
      <c r="F423" t="n">
        <v>156</v>
      </c>
      <c r="G423" t="n">
        <v>154</v>
      </c>
      <c r="H423" t="n">
        <v>106</v>
      </c>
      <c r="I423" t="n">
        <v>129</v>
      </c>
      <c r="J423" t="n">
        <v>120</v>
      </c>
      <c r="K423" t="n">
        <v>95</v>
      </c>
      <c r="L423" t="n">
        <v>113</v>
      </c>
      <c r="M423" t="n">
        <v>16.9</v>
      </c>
      <c r="N423" t="n">
        <v>1615</v>
      </c>
      <c r="O423" t="n">
        <v>0.98</v>
      </c>
      <c r="P423" t="n">
        <v>1588</v>
      </c>
      <c r="Q423" t="n">
        <v>155</v>
      </c>
      <c r="R423" t="n">
        <v>88</v>
      </c>
      <c r="S423" t="n">
        <v>48</v>
      </c>
      <c r="T423" t="n">
        <v>247</v>
      </c>
      <c r="U423" t="n">
        <v>42</v>
      </c>
      <c r="V423" t="n">
        <v>230</v>
      </c>
      <c r="W423" t="n">
        <v>0.873</v>
      </c>
      <c r="X423" t="n">
        <v>118</v>
      </c>
      <c r="Y423" t="n">
        <v>134</v>
      </c>
      <c r="Z423" t="n">
        <v>128</v>
      </c>
      <c r="AA423" t="n">
        <v>6</v>
      </c>
      <c r="AB423" t="n">
        <v>5.3</v>
      </c>
      <c r="AC423" t="inlineStr">
        <is>
          <t xml:space="preserve"> Freeski</t>
        </is>
      </c>
      <c r="AG423" t="inlineStr">
        <is>
          <t>Armada ARW 96 Skis - Women's 2022</t>
        </is>
      </c>
      <c r="AH423" t="inlineStr">
        <is>
          <t>evo.com</t>
        </is>
      </c>
      <c r="AI423" s="333" t="n">
        <v>399.96</v>
      </c>
      <c r="AJ423" t="inlineStr">
        <is>
          <t>https://tinyurl.com/y9qltr2s</t>
        </is>
      </c>
      <c r="AK423" t="inlineStr">
        <is>
          <t>Armada ARW 96 Skis - Women's 2022</t>
        </is>
      </c>
      <c r="AL423" t="inlineStr">
        <is>
          <t>Christy Sports</t>
        </is>
      </c>
      <c r="AM423" s="333" t="n">
        <v>499.95</v>
      </c>
      <c r="AN423" t="inlineStr">
        <is>
          <t>https://tinyurl.com/yddkmtwd</t>
        </is>
      </c>
      <c r="AO423" t="inlineStr">
        <is>
          <t>Armada Trace 98 Skis - Women's 2022</t>
        </is>
      </c>
      <c r="AP423" t="inlineStr">
        <is>
          <t>Curated</t>
        </is>
      </c>
      <c r="AQ423" s="333" t="n">
        <v>559</v>
      </c>
      <c r="AR423" t="inlineStr">
        <is>
          <t>https://tinyurl.com/yazogjg7</t>
        </is>
      </c>
      <c r="AS423" s="314">
        <f>IF(LEFT(C423,1)=" ",RIGHT(C423,LEN(C423)-1),C423)</f>
        <v/>
      </c>
      <c r="AT423" s="281">
        <f>_xlfn.CONCAT(B423,AS423,D423,E423)</f>
        <v/>
      </c>
    </row>
    <row r="424">
      <c r="A424" t="inlineStr">
        <is>
          <t>21/22</t>
        </is>
      </c>
      <c r="B424" t="inlineStr">
        <is>
          <t xml:space="preserve"> Vï¿½lkl</t>
        </is>
      </c>
      <c r="C424" t="inlineStr">
        <is>
          <t>Revolt 95</t>
        </is>
      </c>
      <c r="D424" t="n">
        <v>165</v>
      </c>
      <c r="E424" t="inlineStr">
        <is>
          <t xml:space="preserve"> Unisex</t>
        </is>
      </c>
      <c r="F424" t="n">
        <v>165</v>
      </c>
      <c r="G424" t="n">
        <v>163.6</v>
      </c>
      <c r="H424" t="n">
        <v>132</v>
      </c>
      <c r="I424" t="n">
        <v>149</v>
      </c>
      <c r="J424" t="n">
        <v>128</v>
      </c>
      <c r="K424" t="n">
        <v>94</v>
      </c>
      <c r="L424" t="n">
        <v>118</v>
      </c>
      <c r="M424" t="n">
        <v>19</v>
      </c>
      <c r="N424" t="n">
        <v>1806</v>
      </c>
      <c r="O424" t="n">
        <v>0.9399999999999999</v>
      </c>
      <c r="P424" t="n">
        <v>1702</v>
      </c>
      <c r="Q424" t="n">
        <v>170</v>
      </c>
      <c r="R424" t="n">
        <v>85</v>
      </c>
      <c r="S424" t="n">
        <v>40</v>
      </c>
      <c r="T424" t="n">
        <v>163</v>
      </c>
      <c r="U424" t="n">
        <v>36</v>
      </c>
      <c r="V424" t="n">
        <v>149</v>
      </c>
      <c r="W424" t="n">
        <v>0.894</v>
      </c>
      <c r="X424" t="n">
        <v>80</v>
      </c>
      <c r="Y424" t="n">
        <v>70</v>
      </c>
      <c r="Z424" t="n">
        <v>83</v>
      </c>
      <c r="AA424" t="n">
        <v>5</v>
      </c>
      <c r="AB424" t="n">
        <v>0.6</v>
      </c>
      <c r="AC424" t="inlineStr">
        <is>
          <t xml:space="preserve"> Freeski</t>
        </is>
      </c>
      <c r="AG424" t="inlineStr">
        <is>
          <t>Volkl Revolt 95 Skis</t>
        </is>
      </c>
      <c r="AH424" t="inlineStr">
        <is>
          <t>SportÃ¨que</t>
        </is>
      </c>
      <c r="AI424" s="333" t="n">
        <v>306.65</v>
      </c>
      <c r="AJ424" t="inlineStr">
        <is>
          <t>https://tinyurl.com/y8unwdx4</t>
        </is>
      </c>
      <c r="AK424" t="inlineStr">
        <is>
          <t>Volkl Revolt 95 Skis</t>
        </is>
      </c>
      <c r="AL424" t="inlineStr">
        <is>
          <t>Curated</t>
        </is>
      </c>
      <c r="AM424" s="333" t="n">
        <v>319.99</v>
      </c>
      <c r="AN424" t="inlineStr">
        <is>
          <t>https://tinyurl.com/ycnttqwn</t>
        </is>
      </c>
      <c r="AO424" t="inlineStr">
        <is>
          <t>Volkl Revolt 95 165cm</t>
        </is>
      </c>
      <c r="AP424" t="inlineStr">
        <is>
          <t>Sundance Ski and Board Shop</t>
        </is>
      </c>
      <c r="AQ424" s="333" t="n">
        <v>320.68</v>
      </c>
      <c r="AR424" t="inlineStr">
        <is>
          <t>https://tinyurl.com/ycvps6kk</t>
        </is>
      </c>
      <c r="AS424" s="314">
        <f>IF(LEFT(C424,1)=" ",RIGHT(C424,LEN(C424)-1),C424)</f>
        <v/>
      </c>
      <c r="AT424" s="281">
        <f>_xlfn.CONCAT(B424,AS424,D424,E424)</f>
        <v/>
      </c>
    </row>
    <row r="425">
      <c r="A425" t="inlineStr">
        <is>
          <t>21/22</t>
        </is>
      </c>
      <c r="B425" t="inlineStr">
        <is>
          <t xml:space="preserve"> Scott</t>
        </is>
      </c>
      <c r="C425" t="inlineStr">
        <is>
          <t>Superguide 95 W</t>
        </is>
      </c>
      <c r="D425" t="n">
        <v>160</v>
      </c>
      <c r="E425" t="inlineStr">
        <is>
          <t xml:space="preserve"> Women's</t>
        </is>
      </c>
      <c r="F425" t="n">
        <v>160</v>
      </c>
      <c r="G425" t="n">
        <v>160.8</v>
      </c>
      <c r="H425" t="n">
        <v>120</v>
      </c>
      <c r="I425" t="n">
        <v>142</v>
      </c>
      <c r="J425" t="n">
        <v>128</v>
      </c>
      <c r="K425" t="n">
        <v>92</v>
      </c>
      <c r="L425" t="n">
        <v>112</v>
      </c>
      <c r="M425" t="n">
        <v>17.7</v>
      </c>
      <c r="N425" t="n">
        <v>1301</v>
      </c>
      <c r="O425" t="n">
        <v>1.27</v>
      </c>
      <c r="P425" t="n">
        <v>1656</v>
      </c>
      <c r="Q425" t="n">
        <v>231</v>
      </c>
      <c r="R425" t="n">
        <v>91</v>
      </c>
      <c r="S425" t="n">
        <v>59</v>
      </c>
      <c r="T425" t="n">
        <v>288</v>
      </c>
      <c r="U425" t="n">
        <v>18</v>
      </c>
      <c r="V425" t="n">
        <v>121</v>
      </c>
      <c r="W425" t="n">
        <v>0.312</v>
      </c>
      <c r="X425" t="n">
        <v>109</v>
      </c>
      <c r="Y425" t="n">
        <v>81</v>
      </c>
      <c r="Z425" t="n">
        <v>179</v>
      </c>
      <c r="AA425" t="n">
        <v>4</v>
      </c>
      <c r="AB425" t="n">
        <v>12.7</v>
      </c>
      <c r="AC425" t="inlineStr">
        <is>
          <t xml:space="preserve"> Resort Freeride</t>
        </is>
      </c>
      <c r="AD425" t="inlineStr">
        <is>
          <t xml:space="preserve"> Touring</t>
        </is>
      </c>
      <c r="AE425" t="inlineStr">
        <is>
          <t xml:space="preserve"> Ultralight Touring</t>
        </is>
      </c>
      <c r="AG425" t="inlineStr">
        <is>
          <t>SCOTT Superguide 95 W Alpine Touring Ski 160</t>
        </is>
      </c>
      <c r="AH425" t="inlineStr">
        <is>
          <t>Cripple Creek Backcountry</t>
        </is>
      </c>
      <c r="AI425" s="333" t="n">
        <v>699.95</v>
      </c>
      <c r="AJ425" t="inlineStr">
        <is>
          <t>https://tinyurl.com/y9ndy2p5</t>
        </is>
      </c>
      <c r="AK425" t="inlineStr">
        <is>
          <t>Scott Superguide 95 Ski - Women - 160cm</t>
        </is>
      </c>
      <c r="AL425" t="inlineStr">
        <is>
          <t>Skimo &amp; SkyRun</t>
        </is>
      </c>
      <c r="AM425" s="333" t="n">
        <v>594.9400000000001</v>
      </c>
      <c r="AN425" t="inlineStr">
        <is>
          <t>https://tinyurl.com/y8lm45lt</t>
        </is>
      </c>
      <c r="AO425" t="inlineStr">
        <is>
          <t>Scott Superguide 95 Ski - Women - 160cm</t>
        </is>
      </c>
      <c r="AP425" t="inlineStr">
        <is>
          <t>Backcountry.com</t>
        </is>
      </c>
      <c r="AQ425" s="333" t="n">
        <v>639.96</v>
      </c>
      <c r="AR425" t="inlineStr">
        <is>
          <t>https://tinyurl.com/y8r8y7l6</t>
        </is>
      </c>
      <c r="AS425" s="314">
        <f>IF(LEFT(C425,1)=" ",RIGHT(C425,LEN(C425)-1),C425)</f>
        <v/>
      </c>
      <c r="AT425" s="281">
        <f>_xlfn.CONCAT(B425,AS425,D425,E425)</f>
        <v/>
      </c>
    </row>
    <row r="426">
      <c r="A426" t="inlineStr">
        <is>
          <t>21/22</t>
        </is>
      </c>
      <c r="B426" t="inlineStr">
        <is>
          <t xml:space="preserve"> Liberty</t>
        </is>
      </c>
      <c r="C426" t="inlineStr">
        <is>
          <t>Origin 106</t>
        </is>
      </c>
      <c r="D426" t="n">
        <v>182</v>
      </c>
      <c r="E426" t="inlineStr">
        <is>
          <t xml:space="preserve"> Unisex</t>
        </is>
      </c>
      <c r="F426" t="n">
        <v>182</v>
      </c>
      <c r="G426" t="n">
        <v>180.9</v>
      </c>
      <c r="H426" t="n">
        <v>103</v>
      </c>
      <c r="I426" t="n">
        <v>152</v>
      </c>
      <c r="J426" t="n">
        <v>137</v>
      </c>
      <c r="K426" t="n">
        <v>106</v>
      </c>
      <c r="L426" t="n">
        <v>127</v>
      </c>
      <c r="M426" t="n">
        <v>20.4</v>
      </c>
      <c r="N426" t="n">
        <v>2023</v>
      </c>
      <c r="O426" t="n">
        <v>1.03</v>
      </c>
      <c r="P426" t="n">
        <v>2084</v>
      </c>
      <c r="Q426" t="n">
        <v>226</v>
      </c>
      <c r="R426" t="n">
        <v>107</v>
      </c>
      <c r="S426" t="n">
        <v>57</v>
      </c>
      <c r="T426" t="n">
        <v>462</v>
      </c>
      <c r="U426" t="n">
        <v>42</v>
      </c>
      <c r="V426" t="n">
        <v>321</v>
      </c>
      <c r="W426" t="n">
        <v>0.747</v>
      </c>
      <c r="X426" t="n">
        <v>141</v>
      </c>
      <c r="Y426" t="n">
        <v>153</v>
      </c>
      <c r="Z426" t="n">
        <v>321</v>
      </c>
      <c r="AA426" t="n">
        <v>4</v>
      </c>
      <c r="AB426" t="n">
        <v>7.9</v>
      </c>
      <c r="AC426" t="inlineStr">
        <is>
          <t xml:space="preserve"> Powder</t>
        </is>
      </c>
      <c r="AG426" t="inlineStr">
        <is>
          <t>Liberty Skis Origin 106 BC Skis 2022</t>
        </is>
      </c>
      <c r="AH426" t="inlineStr">
        <is>
          <t>Next Adventure</t>
        </is>
      </c>
      <c r="AI426" s="333" t="n">
        <v>524.99</v>
      </c>
      <c r="AJ426" t="inlineStr">
        <is>
          <t>https://tinyurl.com/y99zq4rh</t>
        </is>
      </c>
      <c r="AK426" t="inlineStr">
        <is>
          <t>Liberty Skis Origin 106 BC Skis 2022</t>
        </is>
      </c>
      <c r="AL426" t="inlineStr">
        <is>
          <t>evo.com</t>
        </is>
      </c>
      <c r="AM426" s="333" t="n">
        <v>524.99</v>
      </c>
      <c r="AN426" t="inlineStr">
        <is>
          <t>https://tinyurl.com/yar54hno</t>
        </is>
      </c>
      <c r="AO426" t="inlineStr">
        <is>
          <t>'21 Liberty Origin 106 Skis 182cm</t>
        </is>
      </c>
      <c r="AP426" t="inlineStr">
        <is>
          <t>Al's Ski Equipment Barn</t>
        </is>
      </c>
      <c r="AQ426" s="333" t="n">
        <v>529.95</v>
      </c>
      <c r="AR426" t="inlineStr">
        <is>
          <t>https://tinyurl.com/yap7fncz</t>
        </is>
      </c>
      <c r="AS426" s="314">
        <f>IF(LEFT(C426,1)=" ",RIGHT(C426,LEN(C426)-1),C426)</f>
        <v/>
      </c>
      <c r="AT426" s="281">
        <f>_xlfn.CONCAT(B426,AS426,D426,E426)</f>
        <v/>
      </c>
    </row>
    <row r="427">
      <c r="A427" t="inlineStr">
        <is>
          <t>21/22</t>
        </is>
      </c>
      <c r="B427" t="inlineStr">
        <is>
          <t xml:space="preserve"> Line</t>
        </is>
      </c>
      <c r="C427" t="inlineStr">
        <is>
          <t xml:space="preserve"> Tom Wallisch Pro</t>
        </is>
      </c>
      <c r="D427" t="n">
        <v>171</v>
      </c>
      <c r="E427" t="inlineStr">
        <is>
          <t xml:space="preserve"> Unisex</t>
        </is>
      </c>
      <c r="F427" t="n">
        <v>171</v>
      </c>
      <c r="G427" t="n">
        <v>171.1</v>
      </c>
      <c r="H427" t="n">
        <v>126</v>
      </c>
      <c r="I427" t="n">
        <v>144</v>
      </c>
      <c r="J427" t="n">
        <v>116</v>
      </c>
      <c r="K427" t="n">
        <v>89</v>
      </c>
      <c r="L427" t="n">
        <v>116</v>
      </c>
      <c r="M427" t="n">
        <v>18.4</v>
      </c>
      <c r="N427" t="n">
        <v>1633</v>
      </c>
      <c r="O427" t="n">
        <v>1.04</v>
      </c>
      <c r="P427" t="n">
        <v>1696</v>
      </c>
      <c r="Q427" t="n">
        <v>153</v>
      </c>
      <c r="R427" t="n">
        <v>81</v>
      </c>
      <c r="S427" t="n">
        <v>46</v>
      </c>
      <c r="T427" t="n">
        <v>225</v>
      </c>
      <c r="U427" t="n">
        <v>41</v>
      </c>
      <c r="V427" t="n">
        <v>222</v>
      </c>
      <c r="W427" t="n">
        <v>0.895</v>
      </c>
      <c r="X427" t="n">
        <v>130</v>
      </c>
      <c r="Y427" t="n">
        <v>145</v>
      </c>
      <c r="Z427" t="n">
        <v>95</v>
      </c>
      <c r="AA427" t="n">
        <v>7</v>
      </c>
      <c r="AB427" t="n">
        <v>1.8</v>
      </c>
      <c r="AC427" t="inlineStr">
        <is>
          <t xml:space="preserve"> Freeski</t>
        </is>
      </c>
      <c r="AG427" t="inlineStr">
        <is>
          <t>Line 2022 Tom Wallisch Pro Skis</t>
        </is>
      </c>
      <c r="AH427" t="inlineStr">
        <is>
          <t>Suburban Ski and Bike</t>
        </is>
      </c>
      <c r="AI427" s="333" t="n">
        <v>449.95</v>
      </c>
      <c r="AJ427" t="inlineStr">
        <is>
          <t>https://tinyurl.com/ydgawtrf</t>
        </is>
      </c>
      <c r="AK427" t="inlineStr">
        <is>
          <t>Line Skis Tom Wallisch Pro</t>
        </is>
      </c>
      <c r="AL427" t="inlineStr">
        <is>
          <t>LINE Skis</t>
        </is>
      </c>
      <c r="AM427" s="333" t="n">
        <v>449.95</v>
      </c>
      <c r="AN427" t="inlineStr">
        <is>
          <t>https://tinyurl.com/ydxydzwy</t>
        </is>
      </c>
      <c r="AO427" t="inlineStr">
        <is>
          <t>Line Chronic 171 + Marker Griffon 13</t>
        </is>
      </c>
      <c r="AP427" t="inlineStr">
        <is>
          <t>Geartrade.com</t>
        </is>
      </c>
      <c r="AQ427" s="333" t="n">
        <v>200</v>
      </c>
      <c r="AR427" t="inlineStr">
        <is>
          <t>https://tinyurl.com/ybvqdsna</t>
        </is>
      </c>
      <c r="AS427" s="314">
        <f>IF(LEFT(C427,1)=" ",RIGHT(C427,LEN(C427)-1),C427)</f>
        <v/>
      </c>
      <c r="AT427" s="281">
        <f>_xlfn.CONCAT(B427,AS427,D427,E427)</f>
        <v/>
      </c>
    </row>
    <row r="428">
      <c r="A428" t="inlineStr">
        <is>
          <t>21/22</t>
        </is>
      </c>
      <c r="B428" t="inlineStr">
        <is>
          <t xml:space="preserve"> DPS</t>
        </is>
      </c>
      <c r="C428" t="inlineStr">
        <is>
          <t>Pagoda 112 RP</t>
        </is>
      </c>
      <c r="D428" t="n">
        <v>168</v>
      </c>
      <c r="E428" t="inlineStr">
        <is>
          <t xml:space="preserve"> Unisex</t>
        </is>
      </c>
      <c r="F428" t="n">
        <v>168</v>
      </c>
      <c r="G428" t="n">
        <v>166.6</v>
      </c>
      <c r="H428" t="n">
        <v>98</v>
      </c>
      <c r="I428" t="n">
        <v>112</v>
      </c>
      <c r="J428" t="n">
        <v>136</v>
      </c>
      <c r="K428" t="n">
        <v>112</v>
      </c>
      <c r="L428" t="n">
        <v>124</v>
      </c>
      <c r="M428" t="n">
        <v>15.2</v>
      </c>
      <c r="N428" t="n">
        <v>1732</v>
      </c>
      <c r="O428" t="n">
        <v>1.15</v>
      </c>
      <c r="P428" t="n">
        <v>1985</v>
      </c>
      <c r="Q428" t="n">
        <v>154</v>
      </c>
      <c r="R428" t="n">
        <v>96</v>
      </c>
      <c r="S428" t="n">
        <v>59</v>
      </c>
      <c r="T428" t="n">
        <v>395</v>
      </c>
      <c r="U428" t="n">
        <v>32</v>
      </c>
      <c r="V428" t="n">
        <v>287</v>
      </c>
      <c r="W428" t="n">
        <v>0.542999999999999</v>
      </c>
      <c r="X428" t="n">
        <v>306</v>
      </c>
      <c r="Y428" t="n">
        <v>243</v>
      </c>
      <c r="Z428" t="n">
        <v>89</v>
      </c>
      <c r="AA428" t="n">
        <v>6</v>
      </c>
      <c r="AB428" t="n">
        <v>14</v>
      </c>
      <c r="AC428" t="inlineStr">
        <is>
          <t xml:space="preserve"> Powder</t>
        </is>
      </c>
      <c r="AD428" t="inlineStr">
        <is>
          <t xml:space="preserve"> Touring</t>
        </is>
      </c>
      <c r="AG428" t="inlineStr">
        <is>
          <t>DPS Pagoda Tour 112 RP SE Ski 168 / Early Riser Orange</t>
        </is>
      </c>
      <c r="AH428" t="inlineStr">
        <is>
          <t>Cripple Creek Backcountry</t>
        </is>
      </c>
      <c r="AI428" s="333" t="n">
        <v>1029</v>
      </c>
      <c r="AJ428" t="inlineStr">
        <is>
          <t>https://tinyurl.com/y898ombs</t>
        </is>
      </c>
      <c r="AK428" t="inlineStr">
        <is>
          <t>DPS Pagoda Tour 112 RP 168CM</t>
        </is>
      </c>
      <c r="AL428" t="inlineStr">
        <is>
          <t>Neptune Mountaineering</t>
        </is>
      </c>
      <c r="AM428" s="333" t="n">
        <v>1039</v>
      </c>
      <c r="AN428" t="inlineStr">
        <is>
          <t>https://tinyurl.com/ybu9ttek</t>
        </is>
      </c>
      <c r="AO428" t="inlineStr">
        <is>
          <t>DPS Pagoda 112 RP Light Green Skis Â· 2022 Â· 168 cm</t>
        </is>
      </c>
      <c r="AP428" t="inlineStr">
        <is>
          <t>Powder7 Ski Shop</t>
        </is>
      </c>
      <c r="AQ428" s="333" t="n">
        <v>1039.2</v>
      </c>
      <c r="AR428" t="inlineStr">
        <is>
          <t>https://tinyurl.com/yclvbqpg</t>
        </is>
      </c>
      <c r="AS428" s="314">
        <f>IF(LEFT(C428,1)=" ",RIGHT(C428,LEN(C428)-1),C428)</f>
        <v/>
      </c>
      <c r="AT428" s="281">
        <f>_xlfn.CONCAT(B428,AS428,D428,E428)</f>
        <v/>
      </c>
    </row>
    <row r="429">
      <c r="A429" t="inlineStr">
        <is>
          <t>21/22</t>
        </is>
      </c>
      <c r="B429" t="inlineStr">
        <is>
          <t>K2</t>
        </is>
      </c>
      <c r="C429" t="inlineStr">
        <is>
          <t>Mindbender 98 Ti Alliance</t>
        </is>
      </c>
      <c r="D429" t="n">
        <v>161</v>
      </c>
      <c r="E429" t="inlineStr">
        <is>
          <t xml:space="preserve"> Women's</t>
        </is>
      </c>
      <c r="F429" t="n">
        <v>161</v>
      </c>
      <c r="G429" t="n">
        <v>161.1</v>
      </c>
      <c r="H429" t="n">
        <v>114</v>
      </c>
      <c r="I429" t="n">
        <v>133</v>
      </c>
      <c r="J429" t="n">
        <v>133</v>
      </c>
      <c r="K429" t="n">
        <v>97</v>
      </c>
      <c r="L429" t="n">
        <v>119</v>
      </c>
      <c r="M429" t="n">
        <v>14.6</v>
      </c>
      <c r="N429" t="n">
        <v>1700</v>
      </c>
      <c r="O429" t="n">
        <v>1.03</v>
      </c>
      <c r="P429" t="n">
        <v>1752</v>
      </c>
      <c r="Q429" t="n">
        <v>144</v>
      </c>
      <c r="R429" t="n">
        <v>91</v>
      </c>
      <c r="S429" t="n">
        <v>48</v>
      </c>
      <c r="T429" t="n">
        <v>287</v>
      </c>
      <c r="U429" t="n">
        <v>15</v>
      </c>
      <c r="V429" t="n">
        <v>180</v>
      </c>
      <c r="W429" t="n">
        <v>0.309</v>
      </c>
      <c r="X429" t="n">
        <v>157</v>
      </c>
      <c r="Y429" t="n">
        <v>120</v>
      </c>
      <c r="Z429" t="n">
        <v>130</v>
      </c>
      <c r="AA429" t="n">
        <v>7</v>
      </c>
      <c r="AB429" t="n">
        <v>10.7</v>
      </c>
      <c r="AC429" t="inlineStr">
        <is>
          <t xml:space="preserve"> Resort Freeride</t>
        </is>
      </c>
      <c r="AG429" t="inlineStr">
        <is>
          <t>K2 Mindbender 98Ti Alliance Skis - Women's - 2022</t>
        </is>
      </c>
      <c r="AH429" t="inlineStr">
        <is>
          <t>! OutdoorXL.com</t>
        </is>
      </c>
      <c r="AI429" s="333" t="n">
        <v>514.95</v>
      </c>
      <c r="AJ429" t="inlineStr">
        <is>
          <t>https://tinyurl.com/yahopwv3</t>
        </is>
      </c>
      <c r="AK429" t="inlineStr">
        <is>
          <t>K2 Mindbender 98Ti Alliance Skis - Women's - 2022</t>
        </is>
      </c>
      <c r="AL429" t="inlineStr">
        <is>
          <t>Powder7 Ski Shop</t>
        </is>
      </c>
      <c r="AM429" s="333" t="n">
        <v>699.95</v>
      </c>
      <c r="AN429" t="inlineStr">
        <is>
          <t>https://tinyurl.com/ybwz5sb5</t>
        </is>
      </c>
      <c r="AO429" t="inlineStr">
        <is>
          <t>K2 Mindbender 98Ti Alliance Skis - Women's - 2022</t>
        </is>
      </c>
      <c r="AP429" t="inlineStr">
        <is>
          <t>Outdoor Gear Exchange</t>
        </is>
      </c>
      <c r="AQ429" s="333" t="n">
        <v>699.95</v>
      </c>
      <c r="AR429" t="inlineStr">
        <is>
          <t>https://tinyurl.com/y8hh2za6</t>
        </is>
      </c>
      <c r="AS429" s="314">
        <f>IF(LEFT(C429,1)=" ",RIGHT(C429,LEN(C429)-1),C429)</f>
        <v/>
      </c>
      <c r="AT429" s="281">
        <f>_xlfn.CONCAT(B429,AS429,D429,E429)</f>
        <v/>
      </c>
    </row>
    <row r="430">
      <c r="A430" t="inlineStr">
        <is>
          <t>21/22</t>
        </is>
      </c>
      <c r="B430" t="inlineStr">
        <is>
          <t xml:space="preserve"> Rossignol</t>
        </is>
      </c>
      <c r="C430" t="inlineStr">
        <is>
          <t xml:space="preserve"> Blackops Escaper</t>
        </is>
      </c>
      <c r="D430" t="n">
        <v>178</v>
      </c>
      <c r="E430" t="inlineStr">
        <is>
          <t xml:space="preserve"> Unisex</t>
        </is>
      </c>
      <c r="F430" t="n">
        <v>178</v>
      </c>
      <c r="G430" t="n">
        <v>178.4</v>
      </c>
      <c r="H430" t="n">
        <v>131</v>
      </c>
      <c r="I430" t="n">
        <v>154</v>
      </c>
      <c r="J430" t="n">
        <v>126</v>
      </c>
      <c r="K430" t="n">
        <v>93</v>
      </c>
      <c r="L430" t="n">
        <v>116</v>
      </c>
      <c r="M430" t="n">
        <v>18.6</v>
      </c>
      <c r="N430" t="n">
        <v>1801</v>
      </c>
      <c r="O430" t="n">
        <v>1.03</v>
      </c>
      <c r="P430" t="n">
        <v>1857</v>
      </c>
      <c r="Q430" t="n">
        <v>251</v>
      </c>
      <c r="R430" t="n">
        <v>125</v>
      </c>
      <c r="S430" t="n">
        <v>49</v>
      </c>
      <c r="T430" t="n">
        <v>307</v>
      </c>
      <c r="U430" t="n">
        <v>11</v>
      </c>
      <c r="V430" t="n">
        <v>171</v>
      </c>
      <c r="W430" t="n">
        <v>0.22</v>
      </c>
      <c r="X430" t="n">
        <v>142</v>
      </c>
      <c r="Y430" t="n">
        <v>104</v>
      </c>
      <c r="Z430" t="n">
        <v>165</v>
      </c>
      <c r="AA430" t="n">
        <v>8</v>
      </c>
      <c r="AB430" t="n">
        <v>7.6</v>
      </c>
      <c r="AC430" t="inlineStr">
        <is>
          <t xml:space="preserve"> Resort Freeride</t>
        </is>
      </c>
      <c r="AG430" t="inlineStr">
        <is>
          <t>Rossignol Blackops Escaper Open 178cm</t>
        </is>
      </c>
      <c r="AH430" t="inlineStr">
        <is>
          <t>Sundance Ski and Board Shop</t>
        </is>
      </c>
      <c r="AI430" s="333" t="n">
        <v>400.85</v>
      </c>
      <c r="AJ430" t="inlineStr">
        <is>
          <t>https://tinyurl.com/yarlgawq</t>
        </is>
      </c>
      <c r="AK430" t="inlineStr">
        <is>
          <t>Rossignol Blackops Escaper Skis 2022</t>
        </is>
      </c>
      <c r="AL430" t="inlineStr">
        <is>
          <t>Saint Bernard</t>
        </is>
      </c>
      <c r="AM430" s="333" t="n">
        <v>473.9</v>
      </c>
      <c r="AN430" t="inlineStr">
        <is>
          <t>https://tinyurl.com/yaoecve5</t>
        </is>
      </c>
      <c r="AO430" t="inlineStr">
        <is>
          <t>Rossignol Blackops Escaper Ski</t>
        </is>
      </c>
      <c r="AP430" t="inlineStr">
        <is>
          <t>sunandski.com</t>
        </is>
      </c>
      <c r="AQ430" s="333" t="n">
        <v>479.93</v>
      </c>
      <c r="AR430" t="inlineStr">
        <is>
          <t>https://tinyurl.com/y8h48fz8</t>
        </is>
      </c>
      <c r="AS430" s="314">
        <f>IF(LEFT(C430,1)=" ",RIGHT(C430,LEN(C430)-1),C430)</f>
        <v/>
      </c>
      <c r="AT430" s="281">
        <f>_xlfn.CONCAT(B430,AS430,D430,E430)</f>
        <v/>
      </c>
    </row>
    <row r="431">
      <c r="A431" t="inlineStr">
        <is>
          <t>21/22</t>
        </is>
      </c>
      <c r="B431" t="inlineStr">
        <is>
          <t xml:space="preserve"> Elan</t>
        </is>
      </c>
      <c r="C431" t="inlineStr">
        <is>
          <t>Ripstick 96</t>
        </is>
      </c>
      <c r="D431" t="n">
        <v>172</v>
      </c>
      <c r="E431" t="inlineStr">
        <is>
          <t xml:space="preserve"> Unisex</t>
        </is>
      </c>
      <c r="F431" t="n">
        <v>172</v>
      </c>
      <c r="G431" t="n">
        <v>170.3</v>
      </c>
      <c r="H431" t="n">
        <v>127</v>
      </c>
      <c r="I431" t="n">
        <v>136</v>
      </c>
      <c r="J431" t="n">
        <v>136</v>
      </c>
      <c r="K431" t="n">
        <v>94</v>
      </c>
      <c r="L431" t="n">
        <v>110</v>
      </c>
      <c r="M431" t="n">
        <v>15.6</v>
      </c>
      <c r="N431" t="n">
        <v>1577</v>
      </c>
      <c r="O431" t="n">
        <v>1.16</v>
      </c>
      <c r="P431" t="n">
        <v>1823</v>
      </c>
      <c r="Q431" t="n">
        <v>190</v>
      </c>
      <c r="R431" t="n">
        <v>74</v>
      </c>
      <c r="S431" t="n">
        <v>51</v>
      </c>
      <c r="T431" t="n">
        <v>274</v>
      </c>
      <c r="U431" t="n">
        <v>15</v>
      </c>
      <c r="V431" t="n">
        <v>159</v>
      </c>
      <c r="W431" t="n">
        <v>0.3</v>
      </c>
      <c r="X431" t="n">
        <v>178</v>
      </c>
      <c r="Y431" t="n">
        <v>166</v>
      </c>
      <c r="Z431" t="n">
        <v>96</v>
      </c>
      <c r="AA431" t="n">
        <v>4</v>
      </c>
      <c r="AB431" t="n">
        <v>7.7</v>
      </c>
      <c r="AC431" t="inlineStr">
        <is>
          <t xml:space="preserve"> Resort Freeride</t>
        </is>
      </c>
      <c r="AD431" t="inlineStr">
        <is>
          <t xml:space="preserve"> Touring</t>
        </is>
      </c>
      <c r="AG431" t="inlineStr">
        <is>
          <t>Elan Ripstick 96 Skis</t>
        </is>
      </c>
      <c r="AH431" t="inlineStr">
        <is>
          <t>eBay - asogear</t>
        </is>
      </c>
      <c r="AI431" s="333" t="n">
        <v>419.99</v>
      </c>
      <c r="AJ431" t="inlineStr">
        <is>
          <t>https://tinyurl.com/y744wnw8</t>
        </is>
      </c>
      <c r="AK431" t="inlineStr">
        <is>
          <t>Elan Ripstick 96 - Ski - 2022 172</t>
        </is>
      </c>
      <c r="AL431" t="inlineStr">
        <is>
          <t>AJ Motion Sports</t>
        </is>
      </c>
      <c r="AM431" s="333" t="n">
        <v>487.49</v>
      </c>
      <c r="AN431" t="inlineStr">
        <is>
          <t>https://tinyurl.com/yazov5uo</t>
        </is>
      </c>
      <c r="AO431" t="inlineStr">
        <is>
          <t>Elan Ripstick 96 Skis</t>
        </is>
      </c>
      <c r="AP431" t="inlineStr">
        <is>
          <t>SkiEssentials.com</t>
        </is>
      </c>
      <c r="AQ431" s="333" t="n">
        <v>487.49</v>
      </c>
      <c r="AR431" t="inlineStr">
        <is>
          <t>https://tinyurl.com/ya2tgn4q</t>
        </is>
      </c>
      <c r="AS431" s="314">
        <f>IF(LEFT(C431,1)=" ",RIGHT(C431,LEN(C431)-1),C431)</f>
        <v/>
      </c>
      <c r="AT431" s="281">
        <f>_xlfn.CONCAT(B431,AS431,D431,E431)</f>
        <v/>
      </c>
    </row>
    <row r="432">
      <c r="A432" t="inlineStr">
        <is>
          <t>21/22</t>
        </is>
      </c>
      <c r="B432" t="inlineStr">
        <is>
          <t xml:space="preserve"> Elan</t>
        </is>
      </c>
      <c r="C432" t="inlineStr">
        <is>
          <t>Wildcat 82 C</t>
        </is>
      </c>
      <c r="D432" t="n">
        <v>152</v>
      </c>
      <c r="E432" t="inlineStr">
        <is>
          <t xml:space="preserve"> Women's</t>
        </is>
      </c>
      <c r="F432" t="n">
        <v>152</v>
      </c>
      <c r="G432" t="n">
        <v>153.1</v>
      </c>
      <c r="H432" t="n">
        <v>122</v>
      </c>
      <c r="I432" t="n">
        <v>133</v>
      </c>
      <c r="J432" t="n">
        <v>129</v>
      </c>
      <c r="K432" t="n">
        <v>81</v>
      </c>
      <c r="L432" t="n">
        <v>112</v>
      </c>
      <c r="M432" t="n">
        <v>10.9</v>
      </c>
      <c r="N432" t="n">
        <v>1695</v>
      </c>
      <c r="O432" t="n">
        <v>0.87</v>
      </c>
      <c r="P432" t="n">
        <v>1483</v>
      </c>
      <c r="Q432" t="n">
        <v>210</v>
      </c>
      <c r="R432" t="n">
        <v>81</v>
      </c>
      <c r="S432" t="n">
        <v>40</v>
      </c>
      <c r="T432" t="n">
        <v>190</v>
      </c>
      <c r="U432" t="n">
        <v>9</v>
      </c>
      <c r="V432" t="n">
        <v>121</v>
      </c>
      <c r="W432" t="n">
        <v>0.235</v>
      </c>
      <c r="X432" t="n">
        <v>110</v>
      </c>
      <c r="Y432" t="n">
        <v>92</v>
      </c>
      <c r="Z432" t="n">
        <v>80</v>
      </c>
      <c r="AA432" t="n">
        <v>6</v>
      </c>
      <c r="AB432" t="n">
        <v>8.5</v>
      </c>
      <c r="AC432" t="inlineStr">
        <is>
          <t xml:space="preserve"> On-Piste All-Mountain</t>
        </is>
      </c>
      <c r="AD432" t="inlineStr">
        <is>
          <t xml:space="preserve"> Resort Freeride</t>
        </is>
      </c>
      <c r="AG432" t="inlineStr">
        <is>
          <t>Elan Skis Wildcat 82 C</t>
        </is>
      </c>
      <c r="AH432" t="inlineStr">
        <is>
          <t>Aspen Ski and Board</t>
        </is>
      </c>
      <c r="AI432" s="333" t="n">
        <v>319.95</v>
      </c>
      <c r="AJ432" t="inlineStr">
        <is>
          <t>https://tinyurl.com/ycx5vzxc</t>
        </is>
      </c>
      <c r="AK432" t="inlineStr">
        <is>
          <t>Elan Wildcat 82 C Ski System with ELW 9.0 GW Bindings Womens</t>
        </is>
      </c>
      <c r="AL432" t="inlineStr">
        <is>
          <t>Peter Glenn Ski &amp; Sports</t>
        </is>
      </c>
      <c r="AM432" s="333" t="n">
        <v>599.99</v>
      </c>
      <c r="AN432" t="inlineStr">
        <is>
          <t>https://tinyurl.com/y9erhlmw</t>
        </is>
      </c>
      <c r="AO432" t="inlineStr">
        <is>
          <t>Elan Wildcat 82 C Ski System with ELW 9.0 GW Bindings Womens</t>
        </is>
      </c>
      <c r="AP432" t="inlineStr">
        <is>
          <t>BobWards.com</t>
        </is>
      </c>
      <c r="AQ432" s="333" t="n">
        <v>599.99</v>
      </c>
      <c r="AR432" t="inlineStr">
        <is>
          <t>https://tinyurl.com/ya7zbn72</t>
        </is>
      </c>
      <c r="AS432" s="314">
        <f>IF(LEFT(C432,1)=" ",RIGHT(C432,LEN(C432)-1),C432)</f>
        <v/>
      </c>
      <c r="AT432" s="281">
        <f>_xlfn.CONCAT(B432,AS432,D432,E432)</f>
        <v/>
      </c>
    </row>
    <row r="433">
      <c r="A433" t="inlineStr">
        <is>
          <t>21/22</t>
        </is>
      </c>
      <c r="B433" t="inlineStr">
        <is>
          <t xml:space="preserve"> Dynastar</t>
        </is>
      </c>
      <c r="C433" t="inlineStr">
        <is>
          <t>M-Pro 99</t>
        </is>
      </c>
      <c r="D433" t="n">
        <v>178</v>
      </c>
      <c r="E433" t="inlineStr">
        <is>
          <t xml:space="preserve"> Unisex</t>
        </is>
      </c>
      <c r="F433" t="n">
        <v>178</v>
      </c>
      <c r="G433" t="n">
        <v>177.3</v>
      </c>
      <c r="H433" t="n">
        <v>129</v>
      </c>
      <c r="I433" t="n">
        <v>146</v>
      </c>
      <c r="J433" t="n">
        <v>126</v>
      </c>
      <c r="K433" t="n">
        <v>97</v>
      </c>
      <c r="L433" t="n">
        <v>116</v>
      </c>
      <c r="M433" t="n">
        <v>19.7</v>
      </c>
      <c r="N433" t="n">
        <v>1920</v>
      </c>
      <c r="O433" t="n">
        <v>0.99</v>
      </c>
      <c r="P433" t="n">
        <v>1893</v>
      </c>
      <c r="Q433" t="n">
        <v>267</v>
      </c>
      <c r="R433" t="n">
        <v>109</v>
      </c>
      <c r="S433" t="n">
        <v>62</v>
      </c>
      <c r="T433" t="n">
        <v>327</v>
      </c>
      <c r="U433" t="n">
        <v>14</v>
      </c>
      <c r="V433" t="n">
        <v>151</v>
      </c>
      <c r="W433" t="n">
        <v>0.228999999999999</v>
      </c>
      <c r="X433" t="n">
        <v>189</v>
      </c>
      <c r="Y433" t="n">
        <v>125</v>
      </c>
      <c r="Z433" t="n">
        <v>138</v>
      </c>
      <c r="AA433" t="n">
        <v>6</v>
      </c>
      <c r="AB433" t="n">
        <v>12.2</v>
      </c>
      <c r="AC433" t="inlineStr">
        <is>
          <t xml:space="preserve"> Resort Freeride</t>
        </is>
      </c>
      <c r="AG433" t="inlineStr">
        <is>
          <t>Dynastar M-PRO 99 178cm</t>
        </is>
      </c>
      <c r="AH433" t="inlineStr">
        <is>
          <t>Sundance Ski and Board Shop</t>
        </is>
      </c>
      <c r="AI433" s="333" t="n">
        <v>481.02</v>
      </c>
      <c r="AJ433" t="inlineStr">
        <is>
          <t>https://tinyurl.com/y7tcxcpp</t>
        </is>
      </c>
      <c r="AK433" t="inlineStr">
        <is>
          <t>Dynastar M-Pro 99</t>
        </is>
      </c>
      <c r="AL433" t="inlineStr">
        <is>
          <t>Powder7 Ski Shop</t>
        </is>
      </c>
      <c r="AM433" s="333" t="n">
        <v>559.95</v>
      </c>
      <c r="AN433" t="inlineStr">
        <is>
          <t>https://tinyurl.com/yc5kenjh</t>
        </is>
      </c>
      <c r="AO433" t="inlineStr">
        <is>
          <t>Dynastar M-Pro 99</t>
        </is>
      </c>
      <c r="AP433" t="inlineStr">
        <is>
          <t>evo.com</t>
        </is>
      </c>
      <c r="AQ433" s="333" t="n">
        <v>559.96</v>
      </c>
      <c r="AR433" t="inlineStr">
        <is>
          <t>https://tinyurl.com/ycyp4yu5</t>
        </is>
      </c>
      <c r="AS433" s="314">
        <f>IF(LEFT(C433,1)=" ",RIGHT(C433,LEN(C433)-1),C433)</f>
        <v/>
      </c>
      <c r="AT433" s="281">
        <f>_xlfn.CONCAT(B433,AS433,D433,E433)</f>
        <v/>
      </c>
    </row>
    <row r="434">
      <c r="A434" t="inlineStr">
        <is>
          <t>21/22</t>
        </is>
      </c>
      <c r="B434" t="inlineStr">
        <is>
          <t xml:space="preserve"> Vï¿½lkl</t>
        </is>
      </c>
      <c r="C434" t="inlineStr">
        <is>
          <t>Revolt 95</t>
        </is>
      </c>
      <c r="D434" t="n">
        <v>157</v>
      </c>
      <c r="E434" t="inlineStr">
        <is>
          <t xml:space="preserve"> Unisex</t>
        </is>
      </c>
      <c r="F434" t="n">
        <v>157</v>
      </c>
      <c r="G434" t="n">
        <v>156.1</v>
      </c>
      <c r="H434" t="n">
        <v>120</v>
      </c>
      <c r="I434" t="n">
        <v>141</v>
      </c>
      <c r="J434" t="n">
        <v>128</v>
      </c>
      <c r="K434" t="n">
        <v>94</v>
      </c>
      <c r="L434" t="n">
        <v>118</v>
      </c>
      <c r="M434" t="n">
        <v>16.9</v>
      </c>
      <c r="N434" t="n">
        <v>1681</v>
      </c>
      <c r="O434" t="n">
        <v>0.97</v>
      </c>
      <c r="P434" t="n">
        <v>1624</v>
      </c>
      <c r="Q434" t="n">
        <v>156</v>
      </c>
      <c r="R434" t="n">
        <v>82</v>
      </c>
      <c r="S434" t="n">
        <v>39</v>
      </c>
      <c r="T434" t="n">
        <v>218</v>
      </c>
      <c r="U434" t="n">
        <v>36</v>
      </c>
      <c r="V434" t="n">
        <v>147</v>
      </c>
      <c r="W434" t="n">
        <v>0.946</v>
      </c>
      <c r="X434" t="n">
        <v>81</v>
      </c>
      <c r="Y434" t="n">
        <v>69</v>
      </c>
      <c r="Z434" t="n">
        <v>137</v>
      </c>
      <c r="AA434" t="n">
        <v>6</v>
      </c>
      <c r="AB434" t="n">
        <v>0.1</v>
      </c>
      <c r="AC434" t="inlineStr">
        <is>
          <t xml:space="preserve"> Freeski</t>
        </is>
      </c>
      <c r="AG434" t="inlineStr">
        <is>
          <t>Volkl Revolt 95 Skis</t>
        </is>
      </c>
      <c r="AH434" t="inlineStr">
        <is>
          <t>Pinewski's Ski and Board Shop</t>
        </is>
      </c>
      <c r="AI434" s="333" t="n">
        <v>319.99</v>
      </c>
      <c r="AJ434" t="inlineStr">
        <is>
          <t>https://tinyurl.com/ybmed387</t>
        </is>
      </c>
      <c r="AS434" s="314">
        <f>IF(LEFT(C434,1)=" ",RIGHT(C434,LEN(C434)-1),C434)</f>
        <v/>
      </c>
      <c r="AT434" s="281">
        <f>_xlfn.CONCAT(B434,AS434,D434,E434)</f>
        <v/>
      </c>
    </row>
    <row r="435">
      <c r="A435" t="inlineStr">
        <is>
          <t>21/22</t>
        </is>
      </c>
      <c r="B435" t="inlineStr">
        <is>
          <t xml:space="preserve"> Dynafit</t>
        </is>
      </c>
      <c r="C435" t="inlineStr">
        <is>
          <t>Blacklight 80</t>
        </is>
      </c>
      <c r="D435" t="n">
        <v>172</v>
      </c>
      <c r="E435" t="inlineStr">
        <is>
          <t xml:space="preserve"> Unisex</t>
        </is>
      </c>
      <c r="F435" t="n">
        <v>172</v>
      </c>
      <c r="G435" t="n">
        <v>169.8</v>
      </c>
      <c r="H435" t="n">
        <v>132</v>
      </c>
      <c r="I435" t="n">
        <v>148</v>
      </c>
      <c r="J435" t="n">
        <v>115</v>
      </c>
      <c r="K435" t="n">
        <v>79</v>
      </c>
      <c r="L435" t="n">
        <v>99</v>
      </c>
      <c r="M435" t="n">
        <v>19.2</v>
      </c>
      <c r="N435" t="n">
        <v>1127</v>
      </c>
      <c r="O435" t="n">
        <v>1.35</v>
      </c>
      <c r="P435" t="n">
        <v>1520</v>
      </c>
      <c r="Q435" t="n">
        <v>261</v>
      </c>
      <c r="R435" t="n">
        <v>91</v>
      </c>
      <c r="S435" t="n">
        <v>53</v>
      </c>
      <c r="T435" t="n">
        <v>278</v>
      </c>
      <c r="U435" t="n">
        <v>9</v>
      </c>
      <c r="V435" t="n">
        <v>103</v>
      </c>
      <c r="W435" t="n">
        <v>0.166</v>
      </c>
      <c r="X435" t="n">
        <v>134</v>
      </c>
      <c r="Y435" t="n">
        <v>86</v>
      </c>
      <c r="Z435" t="n">
        <v>144</v>
      </c>
      <c r="AA435" t="n">
        <v>5</v>
      </c>
      <c r="AB435" t="n">
        <v>12.6</v>
      </c>
      <c r="AC435" t="inlineStr">
        <is>
          <t xml:space="preserve"> Touring</t>
        </is>
      </c>
      <c r="AD435" t="inlineStr">
        <is>
          <t xml:space="preserve"> Ultralight Touring</t>
        </is>
      </c>
      <c r="AG435" t="inlineStr">
        <is>
          <t>Dynafit Blacklight 80 Ski Touring (Black/Orange)</t>
        </is>
      </c>
      <c r="AH435" t="inlineStr">
        <is>
          <t>eBay - grassisport</t>
        </is>
      </c>
      <c r="AI435" s="333" t="n">
        <v>547.41</v>
      </c>
      <c r="AJ435" t="inlineStr">
        <is>
          <t>https://tinyurl.com/y8vkjsfl</t>
        </is>
      </c>
      <c r="AK435" t="inlineStr">
        <is>
          <t>Dynafit Blacklight 80 Ski Touring (Black/Orange)</t>
        </is>
      </c>
      <c r="AL435" t="inlineStr">
        <is>
          <t>Telemark Pyrenees</t>
        </is>
      </c>
      <c r="AM435" s="333" t="n">
        <v>649.95</v>
      </c>
      <c r="AN435" t="inlineStr">
        <is>
          <t>https://tinyurl.com/ybyl8rjn</t>
        </is>
      </c>
      <c r="AO435" t="inlineStr">
        <is>
          <t>Dynafit Blacklight 95 Combo 172</t>
        </is>
      </c>
      <c r="AP435" t="inlineStr">
        <is>
          <t>Cripple Creek Backcountry</t>
        </is>
      </c>
      <c r="AQ435" s="333" t="n">
        <v>1049.95</v>
      </c>
      <c r="AR435" t="inlineStr">
        <is>
          <t>https://tinyurl.com/yckhypnc</t>
        </is>
      </c>
      <c r="AS435" s="314">
        <f>IF(LEFT(C435,1)=" ",RIGHT(C435,LEN(C435)-1),C435)</f>
        <v/>
      </c>
      <c r="AT435" s="281">
        <f>_xlfn.CONCAT(B435,AS435,D435,E435)</f>
        <v/>
      </c>
    </row>
    <row r="436">
      <c r="A436" t="inlineStr">
        <is>
          <t>21/22</t>
        </is>
      </c>
      <c r="B436" t="inlineStr">
        <is>
          <t xml:space="preserve"> Armada</t>
        </is>
      </c>
      <c r="C436" t="inlineStr">
        <is>
          <t>ARV 96</t>
        </is>
      </c>
      <c r="D436" t="n">
        <v>177</v>
      </c>
      <c r="E436" t="inlineStr">
        <is>
          <t xml:space="preserve"> Unisex</t>
        </is>
      </c>
      <c r="F436" t="n">
        <v>177</v>
      </c>
      <c r="G436" t="n">
        <v>175.2</v>
      </c>
      <c r="H436" t="n">
        <v>130</v>
      </c>
      <c r="I436" t="n">
        <v>146</v>
      </c>
      <c r="J436" t="n">
        <v>125</v>
      </c>
      <c r="K436" t="n">
        <v>95</v>
      </c>
      <c r="L436" t="n">
        <v>116</v>
      </c>
      <c r="M436" t="n">
        <v>18.9</v>
      </c>
      <c r="N436" t="n">
        <v>1938</v>
      </c>
      <c r="O436" t="n">
        <v>0.95</v>
      </c>
      <c r="P436" t="n">
        <v>1845</v>
      </c>
      <c r="Q436" t="n">
        <v>215</v>
      </c>
      <c r="R436" t="n">
        <v>115</v>
      </c>
      <c r="S436" t="n">
        <v>45</v>
      </c>
      <c r="T436" t="n">
        <v>233</v>
      </c>
      <c r="U436" t="n">
        <v>38</v>
      </c>
      <c r="V436" t="n">
        <v>217</v>
      </c>
      <c r="W436" t="n">
        <v>0.852</v>
      </c>
      <c r="X436" t="n">
        <v>155</v>
      </c>
      <c r="Y436" t="n">
        <v>138</v>
      </c>
      <c r="Z436" t="n">
        <v>78</v>
      </c>
      <c r="AA436" t="n">
        <v>9</v>
      </c>
      <c r="AB436" t="n">
        <v>5.2</v>
      </c>
      <c r="AC436" t="inlineStr">
        <is>
          <t xml:space="preserve"> Resort Freeride</t>
        </is>
      </c>
      <c r="AD436" t="inlineStr">
        <is>
          <t xml:space="preserve"> Freeski</t>
        </is>
      </c>
      <c r="AG436" t="inlineStr">
        <is>
          <t>Armada ARV 96 Skis 2022</t>
        </is>
      </c>
      <c r="AH436" t="inlineStr">
        <is>
          <t>! OutdoorXL.com</t>
        </is>
      </c>
      <c r="AI436" s="333" t="n">
        <v>374.95</v>
      </c>
      <c r="AJ436" t="inlineStr">
        <is>
          <t>https://tinyurl.com/ybjn6uh4</t>
        </is>
      </c>
      <c r="AK436" t="inlineStr">
        <is>
          <t>Armada ARV 96 Skis 2022</t>
        </is>
      </c>
      <c r="AL436" t="inlineStr">
        <is>
          <t>sunandski.com</t>
        </is>
      </c>
      <c r="AM436" s="333" t="n">
        <v>399.93</v>
      </c>
      <c r="AN436" t="inlineStr">
        <is>
          <t>https://www.google.com/url?q=https://www.sunandski.com/p/34140019500002215/Armada-Mens-ARV-96-Skis-22%3Fvpc%3D34140019500002215-000000177&amp;sa=U&amp;ved=0ahUKEwjwmKePve72AhV2JzQIHXD-CJsQ2ykIHA&amp;usg=AOvVaw2miGIYhvceFi972W6ytFjY</t>
        </is>
      </c>
      <c r="AO436" t="inlineStr">
        <is>
          <t>Armada ARV 96 Skis 2022</t>
        </is>
      </c>
      <c r="AP436" t="inlineStr">
        <is>
          <t>Ski Pro  - Snow Ski &amp; Snowboard</t>
        </is>
      </c>
      <c r="AQ436" s="333" t="n">
        <v>399.95</v>
      </c>
      <c r="AR436" t="inlineStr">
        <is>
          <t>https://tinyurl.com/y9mq4zvw</t>
        </is>
      </c>
      <c r="AS436" s="314">
        <f>IF(LEFT(C436,1)=" ",RIGHT(C436,LEN(C436)-1),C436)</f>
        <v/>
      </c>
      <c r="AT436" s="281">
        <f>_xlfn.CONCAT(B436,AS436,D436,E436)</f>
        <v/>
      </c>
    </row>
    <row r="437">
      <c r="A437" t="inlineStr">
        <is>
          <t>21/22</t>
        </is>
      </c>
      <c r="B437" t="inlineStr">
        <is>
          <t xml:space="preserve"> Faction</t>
        </is>
      </c>
      <c r="C437" t="inlineStr">
        <is>
          <t>Prodigy 1.0</t>
        </is>
      </c>
      <c r="D437" t="n">
        <v>171</v>
      </c>
      <c r="E437" t="inlineStr">
        <is>
          <t xml:space="preserve"> Unisex</t>
        </is>
      </c>
      <c r="F437" t="n">
        <v>171</v>
      </c>
      <c r="G437" t="n">
        <v>169.3</v>
      </c>
      <c r="H437" t="n">
        <v>121</v>
      </c>
      <c r="I437" t="n">
        <v>142</v>
      </c>
      <c r="J437" t="n">
        <v>120</v>
      </c>
      <c r="K437" t="n">
        <v>87</v>
      </c>
      <c r="L437" t="n">
        <v>112</v>
      </c>
      <c r="M437" t="n">
        <v>16.3</v>
      </c>
      <c r="N437" t="n">
        <v>1794</v>
      </c>
      <c r="O437" t="n">
        <v>0.93</v>
      </c>
      <c r="P437" t="n">
        <v>1674</v>
      </c>
      <c r="Q437" t="n">
        <v>185</v>
      </c>
      <c r="R437" t="n">
        <v>87</v>
      </c>
      <c r="S437" t="n">
        <v>53</v>
      </c>
      <c r="T437" t="n">
        <v>277</v>
      </c>
      <c r="U437" t="n">
        <v>38</v>
      </c>
      <c r="V437" t="n">
        <v>203</v>
      </c>
      <c r="W437" t="n">
        <v>0.726</v>
      </c>
      <c r="X437" t="n">
        <v>147</v>
      </c>
      <c r="Y437" t="n">
        <v>122</v>
      </c>
      <c r="Z437" t="n">
        <v>129</v>
      </c>
      <c r="AA437" t="n">
        <v>7</v>
      </c>
      <c r="AB437" t="n">
        <v>7.1</v>
      </c>
      <c r="AC437" t="inlineStr">
        <is>
          <t xml:space="preserve"> Resort Freeride</t>
        </is>
      </c>
      <c r="AG437" t="inlineStr">
        <is>
          <t>Faction - Prodigy 1.0x - 171</t>
        </is>
      </c>
      <c r="AH437" t="inlineStr">
        <is>
          <t>Blue Tomato</t>
        </is>
      </c>
      <c r="AI437" s="333" t="n">
        <v>369.45</v>
      </c>
      <c r="AJ437" t="inlineStr">
        <is>
          <t>https://tinyurl.com/y848klzv</t>
        </is>
      </c>
      <c r="AK437" t="inlineStr">
        <is>
          <t>19-20 Faction Prodigy 2.0  Men's Demo Skis W/binding Size 171cm</t>
        </is>
      </c>
      <c r="AL437" t="inlineStr">
        <is>
          <t>eBay - demo-skis</t>
        </is>
      </c>
      <c r="AM437" s="333" t="n">
        <v>499</v>
      </c>
      <c r="AN437" t="inlineStr">
        <is>
          <t>https://tinyurl.com/y7hwxc64</t>
        </is>
      </c>
      <c r="AO437" t="inlineStr">
        <is>
          <t>Faction Ct 1.0 Skis</t>
        </is>
      </c>
      <c r="AP437" t="inlineStr">
        <is>
          <t>The-House.com</t>
        </is>
      </c>
      <c r="AQ437" s="333" t="n">
        <v>549</v>
      </c>
      <c r="AR437" t="inlineStr">
        <is>
          <t>https://tinyurl.com/ybzx9dcf</t>
        </is>
      </c>
      <c r="AS437" s="314">
        <f>IF(LEFT(C437,1)=" ",RIGHT(C437,LEN(C437)-1),C437)</f>
        <v/>
      </c>
      <c r="AT437" s="281">
        <f>_xlfn.CONCAT(B437,AS437,D437,E437)</f>
        <v/>
      </c>
    </row>
    <row r="438">
      <c r="A438" t="inlineStr">
        <is>
          <t>21/22</t>
        </is>
      </c>
      <c r="B438" t="inlineStr">
        <is>
          <t xml:space="preserve"> Rossignol</t>
        </is>
      </c>
      <c r="C438" t="inlineStr">
        <is>
          <t>React 6 Compact</t>
        </is>
      </c>
      <c r="D438" t="n">
        <v>170</v>
      </c>
      <c r="E438" t="inlineStr">
        <is>
          <t xml:space="preserve"> Unisex</t>
        </is>
      </c>
      <c r="F438" t="n">
        <v>170</v>
      </c>
      <c r="G438" t="n">
        <v>169.6</v>
      </c>
      <c r="H438" t="n">
        <v>150</v>
      </c>
      <c r="I438" t="n">
        <v>157</v>
      </c>
      <c r="J438" t="n">
        <v>122</v>
      </c>
      <c r="K438" t="n">
        <v>73</v>
      </c>
      <c r="L438" t="n">
        <v>108</v>
      </c>
      <c r="M438" t="n">
        <v>14.5</v>
      </c>
      <c r="N438" t="n">
        <v>1710</v>
      </c>
      <c r="O438" t="n">
        <v>0.88</v>
      </c>
      <c r="P438" t="n">
        <v>1499</v>
      </c>
      <c r="Q438" t="n">
        <v>185</v>
      </c>
      <c r="R438" t="n">
        <v>73</v>
      </c>
      <c r="S438" t="n">
        <v>35</v>
      </c>
      <c r="T438" t="n">
        <v>144</v>
      </c>
      <c r="U438" t="n">
        <v>4</v>
      </c>
      <c r="V438" t="n">
        <v>50</v>
      </c>
      <c r="W438" t="n">
        <v>0.123</v>
      </c>
      <c r="X438" t="n">
        <v>71</v>
      </c>
      <c r="Y438" t="n">
        <v>60</v>
      </c>
      <c r="Z438" t="n">
        <v>74</v>
      </c>
      <c r="AA438" t="n">
        <v>13</v>
      </c>
      <c r="AB438" t="n">
        <v>9.9</v>
      </c>
      <c r="AC438" t="inlineStr">
        <is>
          <t xml:space="preserve"> On-Piste Carving</t>
        </is>
      </c>
      <c r="AG438" t="inlineStr">
        <is>
          <t>Rossignol React R2F - 170</t>
        </is>
      </c>
      <c r="AH438" t="inlineStr">
        <is>
          <t>Backpacking United</t>
        </is>
      </c>
      <c r="AI438" s="333" t="n">
        <v>168.09</v>
      </c>
      <c r="AJ438" t="inlineStr">
        <is>
          <t>https://tinyurl.com/y7sfk7yx</t>
        </is>
      </c>
      <c r="AK438" t="inlineStr">
        <is>
          <t>Rossignol React 2/XP 10 GW RTL Black</t>
        </is>
      </c>
      <c r="AL438" t="inlineStr">
        <is>
          <t>Spoke-N-Sport</t>
        </is>
      </c>
      <c r="AM438" s="333" t="n">
        <v>279.99</v>
      </c>
      <c r="AN438" t="inlineStr">
        <is>
          <t>https://tinyurl.com/y9j2xgwx</t>
        </is>
      </c>
      <c r="AO438" t="inlineStr">
        <is>
          <t>Rossignol React GTX incl bindings 170cm</t>
        </is>
      </c>
      <c r="AP438" t="inlineStr">
        <is>
          <t>Sundance Ski and Board Shop</t>
        </is>
      </c>
      <c r="AQ438" s="333" t="n">
        <v>320.68</v>
      </c>
      <c r="AR438" t="inlineStr">
        <is>
          <t>https://tinyurl.com/y7pto3j3</t>
        </is>
      </c>
      <c r="AS438" s="314">
        <f>IF(LEFT(C438,1)=" ",RIGHT(C438,LEN(C438)-1),C438)</f>
        <v/>
      </c>
      <c r="AT438" s="281">
        <f>_xlfn.CONCAT(B438,AS438,D438,E438)</f>
        <v/>
      </c>
    </row>
    <row r="439">
      <c r="A439" t="inlineStr">
        <is>
          <t>21/22</t>
        </is>
      </c>
      <c r="B439" t="inlineStr">
        <is>
          <t xml:space="preserve"> Vï¿½lkl</t>
        </is>
      </c>
      <c r="C439" t="inlineStr">
        <is>
          <t xml:space="preserve"> Deacon XTD</t>
        </is>
      </c>
      <c r="D439" t="n">
        <v>175</v>
      </c>
      <c r="E439" t="inlineStr">
        <is>
          <t xml:space="preserve"> Unisex</t>
        </is>
      </c>
      <c r="F439" t="n">
        <v>175</v>
      </c>
      <c r="G439" t="n">
        <v>175.5</v>
      </c>
      <c r="H439" t="n">
        <v>156</v>
      </c>
      <c r="I439" t="n">
        <v>163</v>
      </c>
      <c r="J439" t="n">
        <v>123</v>
      </c>
      <c r="K439" t="n">
        <v>75</v>
      </c>
      <c r="L439" t="n">
        <v>104</v>
      </c>
      <c r="M439" t="n">
        <v>17</v>
      </c>
      <c r="N439" t="n">
        <v>1931</v>
      </c>
      <c r="O439" t="n">
        <v>0.8100000000000001</v>
      </c>
      <c r="P439" t="n">
        <v>1565</v>
      </c>
      <c r="Q439" t="n">
        <v>204</v>
      </c>
      <c r="R439" t="n">
        <v>87</v>
      </c>
      <c r="S439" t="n">
        <v>35</v>
      </c>
      <c r="T439" t="n">
        <v>141</v>
      </c>
      <c r="U439" t="n">
        <v>5</v>
      </c>
      <c r="V439" t="n">
        <v>52</v>
      </c>
      <c r="W439" t="n">
        <v>0.127</v>
      </c>
      <c r="X439" t="n">
        <v>73</v>
      </c>
      <c r="Y439" t="n">
        <v>49</v>
      </c>
      <c r="Z439" t="n">
        <v>67</v>
      </c>
      <c r="AA439" t="n">
        <v>9</v>
      </c>
      <c r="AB439" t="n">
        <v>12.7</v>
      </c>
      <c r="AC439" t="inlineStr">
        <is>
          <t xml:space="preserve"> On-Piste Carving</t>
        </is>
      </c>
      <c r="AG439" t="inlineStr">
        <is>
          <t>Volkl Men's Deacon XTD Skis with vMotion 10 GW Binding Black</t>
        </is>
      </c>
      <c r="AH439" t="inlineStr">
        <is>
          <t>Cotswold Outdoor US</t>
        </is>
      </c>
      <c r="AI439" s="333" t="n">
        <v>590</v>
      </c>
      <c r="AJ439" t="inlineStr">
        <is>
          <t>https://tinyurl.com/yb2mhg64</t>
        </is>
      </c>
      <c r="AK439" t="inlineStr">
        <is>
          <t>Deacon Xt Vmotion1 21/22 w/o Binding/Brake</t>
        </is>
      </c>
      <c r="AL439" t="inlineStr">
        <is>
          <t>Bobleisure</t>
        </is>
      </c>
      <c r="AM439" s="333" t="n">
        <v>338.92</v>
      </c>
      <c r="AN439" t="inlineStr">
        <is>
          <t>https://tinyurl.com/yccz7znk</t>
        </is>
      </c>
      <c r="AO439" t="inlineStr">
        <is>
          <t>175 Cm Volkl Supersport S5 Ti Skis W/ Marker Ipt Motion Fast Adjust</t>
        </is>
      </c>
      <c r="AP439" t="inlineStr">
        <is>
          <t>eBay - gtab9097</t>
        </is>
      </c>
      <c r="AQ439" s="333" t="n">
        <v>169.97</v>
      </c>
      <c r="AR439" t="inlineStr">
        <is>
          <t>https://tinyurl.com/y9h7td4v</t>
        </is>
      </c>
      <c r="AS439" s="314">
        <f>IF(LEFT(C439,1)=" ",RIGHT(C439,LEN(C439)-1),C439)</f>
        <v/>
      </c>
      <c r="AT439" s="281">
        <f>_xlfn.CONCAT(B439,AS439,D439,E439)</f>
        <v/>
      </c>
    </row>
    <row r="440">
      <c r="A440" t="inlineStr">
        <is>
          <t>21/22</t>
        </is>
      </c>
      <c r="B440" t="inlineStr">
        <is>
          <t xml:space="preserve"> Elan</t>
        </is>
      </c>
      <c r="C440" t="inlineStr">
        <is>
          <t>Wildcat 76</t>
        </is>
      </c>
      <c r="D440" t="n">
        <v>158</v>
      </c>
      <c r="E440" t="inlineStr">
        <is>
          <t xml:space="preserve"> Women's</t>
        </is>
      </c>
      <c r="F440" t="n">
        <v>158</v>
      </c>
      <c r="G440" t="n">
        <v>158.4</v>
      </c>
      <c r="H440" t="n">
        <v>138</v>
      </c>
      <c r="I440" t="n">
        <v>145</v>
      </c>
      <c r="J440" t="n">
        <v>127</v>
      </c>
      <c r="K440" t="n">
        <v>75</v>
      </c>
      <c r="L440" t="n">
        <v>104</v>
      </c>
      <c r="M440" t="n">
        <v>13</v>
      </c>
      <c r="N440" t="n">
        <v>1515</v>
      </c>
      <c r="O440" t="n">
        <v>0.95</v>
      </c>
      <c r="P440" t="n">
        <v>1438</v>
      </c>
      <c r="Q440" t="n">
        <v>163</v>
      </c>
      <c r="R440" t="n">
        <v>69</v>
      </c>
      <c r="S440" t="n">
        <v>37</v>
      </c>
      <c r="T440" t="n">
        <v>141</v>
      </c>
      <c r="U440" t="n">
        <v>7</v>
      </c>
      <c r="V440" t="n">
        <v>68</v>
      </c>
      <c r="W440" t="n">
        <v>0.187</v>
      </c>
      <c r="X440" t="n">
        <v>88</v>
      </c>
      <c r="Y440" t="n">
        <v>49</v>
      </c>
      <c r="Z440" t="n">
        <v>53</v>
      </c>
      <c r="AA440" t="n">
        <v>9</v>
      </c>
      <c r="AB440" t="n">
        <v>9.199999999999999</v>
      </c>
      <c r="AC440" t="inlineStr">
        <is>
          <t xml:space="preserve"> On-Piste Carving</t>
        </is>
      </c>
      <c r="AG440" t="inlineStr">
        <is>
          <t>Elan Wildcat 76 LS ELW 9.0 158cm</t>
        </is>
      </c>
      <c r="AH440" t="inlineStr">
        <is>
          <t>Sundance Ski and Board Shop</t>
        </is>
      </c>
      <c r="AI440" s="333" t="n">
        <v>400.85</v>
      </c>
      <c r="AJ440" t="inlineStr">
        <is>
          <t>https://tinyurl.com/y8jjczp9</t>
        </is>
      </c>
      <c r="AK440" t="inlineStr">
        <is>
          <t>Elan Women's Wildcat 76 C Skis with Bindings 158 cm</t>
        </is>
      </c>
      <c r="AL440" t="inlineStr">
        <is>
          <t>Ski World</t>
        </is>
      </c>
      <c r="AM440" s="333" t="n">
        <v>499.99</v>
      </c>
      <c r="AN440" t="inlineStr">
        <is>
          <t>https://tinyurl.com/y8gjbk7t</t>
        </is>
      </c>
      <c r="AO440" t="inlineStr">
        <is>
          <t>Elan Wildcat 76 Skis + PS ELW 9.0 GW Bindings - Women's 2022 158</t>
        </is>
      </c>
      <c r="AP440" t="inlineStr">
        <is>
          <t>Winteriscalling.com</t>
        </is>
      </c>
      <c r="AQ440" s="333" t="n">
        <v>499.99</v>
      </c>
      <c r="AR440" t="inlineStr">
        <is>
          <t>https://tinyurl.com/ychu26lm</t>
        </is>
      </c>
      <c r="AS440" s="314">
        <f>IF(LEFT(C440,1)=" ",RIGHT(C440,LEN(C440)-1),C440)</f>
        <v/>
      </c>
      <c r="AT440" s="281">
        <f>_xlfn.CONCAT(B440,AS440,D440,E440)</f>
        <v/>
      </c>
    </row>
    <row r="441">
      <c r="A441" t="inlineStr">
        <is>
          <t>21/22</t>
        </is>
      </c>
      <c r="B441" t="inlineStr">
        <is>
          <t xml:space="preserve"> Liberty</t>
        </is>
      </c>
      <c r="C441" t="inlineStr">
        <is>
          <t>Origin 101</t>
        </is>
      </c>
      <c r="D441" t="n">
        <v>176</v>
      </c>
      <c r="E441" t="inlineStr">
        <is>
          <t xml:space="preserve"> Unisex</t>
        </is>
      </c>
      <c r="F441" t="n">
        <v>176</v>
      </c>
      <c r="G441" t="n">
        <v>174.8</v>
      </c>
      <c r="H441" t="n">
        <v>108</v>
      </c>
      <c r="I441" t="n">
        <v>145</v>
      </c>
      <c r="J441" t="n">
        <v>134</v>
      </c>
      <c r="K441" t="n">
        <v>101</v>
      </c>
      <c r="L441" t="n">
        <v>122</v>
      </c>
      <c r="M441" t="n">
        <v>17.4</v>
      </c>
      <c r="N441" t="n">
        <v>1821</v>
      </c>
      <c r="O441" t="n">
        <v>1.07</v>
      </c>
      <c r="P441" t="n">
        <v>1944</v>
      </c>
      <c r="Q441" t="n">
        <v>183</v>
      </c>
      <c r="R441" t="n">
        <v>92</v>
      </c>
      <c r="S441" t="n">
        <v>52</v>
      </c>
      <c r="T441" t="n">
        <v>385</v>
      </c>
      <c r="U441" t="n">
        <v>32</v>
      </c>
      <c r="V441" t="n">
        <v>288</v>
      </c>
      <c r="W441" t="n">
        <v>0.621</v>
      </c>
      <c r="X441" t="n">
        <v>142</v>
      </c>
      <c r="Y441" t="n">
        <v>156</v>
      </c>
      <c r="Z441" t="n">
        <v>243</v>
      </c>
      <c r="AA441" t="n">
        <v>4</v>
      </c>
      <c r="AB441" t="n">
        <v>7.8</v>
      </c>
      <c r="AC441" t="inlineStr">
        <is>
          <t xml:space="preserve"> Resort Freeride</t>
        </is>
      </c>
      <c r="AD441" t="inlineStr">
        <is>
          <t xml:space="preserve"> Powder</t>
        </is>
      </c>
      <c r="AE441" t="inlineStr">
        <is>
          <t xml:space="preserve"> Touring</t>
        </is>
      </c>
      <c r="AG441" t="inlineStr">
        <is>
          <t>Liberty Origin 101 Skis - 2022 - 176cm</t>
        </is>
      </c>
      <c r="AH441" t="inlineStr">
        <is>
          <t>ColoradoSkiShop.com</t>
        </is>
      </c>
      <c r="AI441" s="333" t="n">
        <v>529.99</v>
      </c>
      <c r="AJ441" t="inlineStr">
        <is>
          <t>https://tinyurl.com/yc4pqtjr</t>
        </is>
      </c>
      <c r="AK441" t="inlineStr">
        <is>
          <t>Liberty Skis Origin 101 Ski</t>
        </is>
      </c>
      <c r="AL441" t="inlineStr">
        <is>
          <t>BobWards.com</t>
        </is>
      </c>
      <c r="AM441" s="333" t="n">
        <v>669.99</v>
      </c>
      <c r="AN441" t="inlineStr">
        <is>
          <t>https://tinyurl.com/y98k6xt6</t>
        </is>
      </c>
      <c r="AO441" t="inlineStr">
        <is>
          <t>Liberty 2022 Origin 101 Flat Ski NA / 176</t>
        </is>
      </c>
      <c r="AP441" t="inlineStr">
        <is>
          <t>Cityhome</t>
        </is>
      </c>
      <c r="AQ441" s="333" t="n">
        <v>669.99</v>
      </c>
      <c r="AR441" t="inlineStr">
        <is>
          <t>https://tinyurl.com/y9garb7u</t>
        </is>
      </c>
      <c r="AS441" s="314">
        <f>IF(LEFT(C441,1)=" ",RIGHT(C441,LEN(C441)-1),C441)</f>
        <v/>
      </c>
      <c r="AT441" s="281">
        <f>_xlfn.CONCAT(B441,AS441,D441,E441)</f>
        <v/>
      </c>
    </row>
    <row r="442">
      <c r="A442" t="inlineStr">
        <is>
          <t>21/22</t>
        </is>
      </c>
      <c r="B442" t="inlineStr">
        <is>
          <t xml:space="preserve"> Dynastar</t>
        </is>
      </c>
      <c r="C442" t="inlineStr">
        <is>
          <t>M-Menace 90</t>
        </is>
      </c>
      <c r="D442" t="n">
        <v>170</v>
      </c>
      <c r="E442" t="inlineStr">
        <is>
          <t xml:space="preserve"> Unisex</t>
        </is>
      </c>
      <c r="F442" t="n">
        <v>170</v>
      </c>
      <c r="G442" t="n">
        <v>168.5</v>
      </c>
      <c r="H442" t="n">
        <v>121</v>
      </c>
      <c r="I442" t="n">
        <v>142</v>
      </c>
      <c r="J442" t="n">
        <v>118</v>
      </c>
      <c r="K442" t="n">
        <v>91</v>
      </c>
      <c r="L442" t="n">
        <v>108</v>
      </c>
      <c r="M442" t="n">
        <v>22.3</v>
      </c>
      <c r="N442" t="n">
        <v>1662</v>
      </c>
      <c r="O442" t="n">
        <v>1.01</v>
      </c>
      <c r="P442" t="n">
        <v>1679</v>
      </c>
      <c r="Q442" t="n">
        <v>187</v>
      </c>
      <c r="R442" t="n">
        <v>74</v>
      </c>
      <c r="S442" t="n">
        <v>50</v>
      </c>
      <c r="T442" t="n">
        <v>249</v>
      </c>
      <c r="U442" t="n">
        <v>32</v>
      </c>
      <c r="V442" t="n">
        <v>223</v>
      </c>
      <c r="W442" t="n">
        <v>0.638</v>
      </c>
      <c r="X442" t="n">
        <v>132</v>
      </c>
      <c r="Y442" t="n">
        <v>134</v>
      </c>
      <c r="Z442" t="n">
        <v>118</v>
      </c>
      <c r="AA442" t="n">
        <v>8</v>
      </c>
      <c r="AB442" t="n">
        <v>7.4</v>
      </c>
      <c r="AC442" t="inlineStr">
        <is>
          <t xml:space="preserve"> Resort Freeride</t>
        </is>
      </c>
      <c r="AG442" t="inlineStr">
        <is>
          <t>Dynastar M-Menace 90 Skis with Xpress 11 GW Ski Bindings - Men's 2022</t>
        </is>
      </c>
      <c r="AH442" t="inlineStr">
        <is>
          <t>evo.com</t>
        </is>
      </c>
      <c r="AI442" s="333" t="n">
        <v>449.95</v>
      </c>
      <c r="AJ442" t="inlineStr">
        <is>
          <t>https://tinyurl.com/y72qzh8w</t>
        </is>
      </c>
      <c r="AK442" t="inlineStr">
        <is>
          <t>Dynastar M-Pro 90 Ski</t>
        </is>
      </c>
      <c r="AL442" t="inlineStr">
        <is>
          <t>Next Adventure</t>
        </is>
      </c>
      <c r="AM442" s="333" t="n">
        <v>419.97</v>
      </c>
      <c r="AN442" t="inlineStr">
        <is>
          <t>https://tinyurl.com/y8knhynz</t>
        </is>
      </c>
      <c r="AO442" t="inlineStr">
        <is>
          <t>Dynastar M-Pro 90 W Skis - Women's 2022</t>
        </is>
      </c>
      <c r="AP442" t="inlineStr">
        <is>
          <t>SkiEssentials.com</t>
        </is>
      </c>
      <c r="AQ442" s="333" t="n">
        <v>479.96</v>
      </c>
      <c r="AR442" t="inlineStr">
        <is>
          <t>https://tinyurl.com/y7k9ymro</t>
        </is>
      </c>
      <c r="AS442" s="314">
        <f>IF(LEFT(C442,1)=" ",RIGHT(C442,LEN(C442)-1),C442)</f>
        <v/>
      </c>
      <c r="AT442" s="281">
        <f>_xlfn.CONCAT(B442,AS442,D442,E442)</f>
        <v/>
      </c>
    </row>
    <row r="443">
      <c r="A443" t="inlineStr">
        <is>
          <t>21/22</t>
        </is>
      </c>
      <c r="B443" t="inlineStr">
        <is>
          <t xml:space="preserve"> Elan</t>
        </is>
      </c>
      <c r="C443" t="inlineStr">
        <is>
          <t>Ripstick 96</t>
        </is>
      </c>
      <c r="D443" t="n">
        <v>180</v>
      </c>
      <c r="E443" t="inlineStr">
        <is>
          <t xml:space="preserve"> Unisex</t>
        </is>
      </c>
      <c r="F443" t="n">
        <v>180</v>
      </c>
      <c r="G443" t="n">
        <v>177.1</v>
      </c>
      <c r="H443" t="n">
        <v>139</v>
      </c>
      <c r="I443" t="n">
        <v>144</v>
      </c>
      <c r="J443" t="n">
        <v>136</v>
      </c>
      <c r="K443" t="n">
        <v>94</v>
      </c>
      <c r="L443" t="n">
        <v>110</v>
      </c>
      <c r="M443" t="n">
        <v>17.5</v>
      </c>
      <c r="N443" t="n">
        <v>1720</v>
      </c>
      <c r="O443" t="n">
        <v>1.1</v>
      </c>
      <c r="P443" t="n">
        <v>1895</v>
      </c>
      <c r="Q443" t="n">
        <v>187</v>
      </c>
      <c r="R443" t="n">
        <v>73</v>
      </c>
      <c r="S443" t="n">
        <v>44</v>
      </c>
      <c r="T443" t="n">
        <v>219</v>
      </c>
      <c r="U443" t="n">
        <v>16</v>
      </c>
      <c r="V443" t="n">
        <v>166</v>
      </c>
      <c r="W443" t="n">
        <v>0.352</v>
      </c>
      <c r="X443" t="n">
        <v>172</v>
      </c>
      <c r="Y443" t="n">
        <v>158</v>
      </c>
      <c r="Z443" t="n">
        <v>47</v>
      </c>
      <c r="AA443" t="n">
        <v>9</v>
      </c>
      <c r="AB443" t="n">
        <v>8.300000000000001</v>
      </c>
      <c r="AC443" t="inlineStr">
        <is>
          <t xml:space="preserve"> Resort Freeride</t>
        </is>
      </c>
      <c r="AD443" t="inlineStr">
        <is>
          <t xml:space="preserve"> Touring</t>
        </is>
      </c>
      <c r="AG443" t="inlineStr">
        <is>
          <t>Elan Ripstick 96 180</t>
        </is>
      </c>
      <c r="AH443" t="inlineStr">
        <is>
          <t>Absolute-Snow.co.uk</t>
        </is>
      </c>
      <c r="AI443" s="333" t="n">
        <v>440</v>
      </c>
      <c r="AJ443" t="inlineStr">
        <is>
          <t>https://tinyurl.com/y9oeoaq3</t>
        </is>
      </c>
      <c r="AK443" t="inlineStr">
        <is>
          <t>Elan Ripstick 96 - Ski - 2022 180</t>
        </is>
      </c>
      <c r="AL443" t="inlineStr">
        <is>
          <t>AJ Motion Sports</t>
        </is>
      </c>
      <c r="AM443" s="333" t="n">
        <v>487.49</v>
      </c>
      <c r="AN443" t="inlineStr">
        <is>
          <t>https://tinyurl.com/ycvp6afb</t>
        </is>
      </c>
      <c r="AO443" t="inlineStr">
        <is>
          <t>Elan Ripstick 96 Flat Ski 2020-2021 | GREEN / 180</t>
        </is>
      </c>
      <c r="AP443" t="inlineStr">
        <is>
          <t>Ski Pro  - Snow Ski &amp; Snowboard</t>
        </is>
      </c>
      <c r="AQ443" s="333" t="n">
        <v>499.95</v>
      </c>
      <c r="AR443" t="inlineStr">
        <is>
          <t>https://tinyurl.com/y8uskj4y</t>
        </is>
      </c>
      <c r="AS443" s="314">
        <f>IF(LEFT(C443,1)=" ",RIGHT(C443,LEN(C443)-1),C443)</f>
        <v/>
      </c>
      <c r="AT443" s="281">
        <f>_xlfn.CONCAT(B443,AS443,D443,E443)</f>
        <v/>
      </c>
    </row>
    <row r="444">
      <c r="A444" t="inlineStr">
        <is>
          <t>21/22</t>
        </is>
      </c>
      <c r="B444" t="inlineStr">
        <is>
          <t>K2</t>
        </is>
      </c>
      <c r="C444" t="inlineStr">
        <is>
          <t xml:space="preserve"> Press</t>
        </is>
      </c>
      <c r="D444" t="n">
        <v>169</v>
      </c>
      <c r="E444" t="inlineStr">
        <is>
          <t xml:space="preserve"> Unisex</t>
        </is>
      </c>
      <c r="F444" t="n">
        <v>169</v>
      </c>
      <c r="G444" t="n">
        <v>169.1</v>
      </c>
      <c r="H444" t="n">
        <v>123</v>
      </c>
      <c r="I444" t="n">
        <v>135</v>
      </c>
      <c r="J444" t="n">
        <v>111</v>
      </c>
      <c r="K444" t="n">
        <v>85</v>
      </c>
      <c r="L444" t="n">
        <v>106</v>
      </c>
      <c r="M444" t="n">
        <v>18.4</v>
      </c>
      <c r="N444" t="n">
        <v>1677</v>
      </c>
      <c r="O444" t="n">
        <v>0.95</v>
      </c>
      <c r="P444" t="n">
        <v>1600</v>
      </c>
      <c r="Q444" t="n">
        <v>157</v>
      </c>
      <c r="R444" t="n">
        <v>87</v>
      </c>
      <c r="S444" t="n">
        <v>48</v>
      </c>
      <c r="T444" t="n">
        <v>220</v>
      </c>
      <c r="U444" t="n">
        <v>44</v>
      </c>
      <c r="V444" t="n">
        <v>237</v>
      </c>
      <c r="W444" t="n">
        <v>0.927999999999999</v>
      </c>
      <c r="X444" t="n">
        <v>161</v>
      </c>
      <c r="Y444" t="n">
        <v>183</v>
      </c>
      <c r="Z444" t="n">
        <v>59</v>
      </c>
      <c r="AA444" t="n">
        <v>5</v>
      </c>
      <c r="AB444" t="n">
        <v>4.7</v>
      </c>
      <c r="AC444" t="inlineStr">
        <is>
          <t xml:space="preserve"> Freeski</t>
        </is>
      </c>
      <c r="AG444" t="inlineStr">
        <is>
          <t>K2 Empress Skis</t>
        </is>
      </c>
      <c r="AH444" t="inlineStr">
        <is>
          <t>Snowinn.com</t>
        </is>
      </c>
      <c r="AI444" s="333" t="n">
        <v>233.99</v>
      </c>
      <c r="AJ444" t="inlineStr">
        <is>
          <t>https://tinyurl.com/ycgx9z6h</t>
        </is>
      </c>
      <c r="AK444" t="inlineStr">
        <is>
          <t>K2 Reckoner 92 Alliance Skis Â· 169 cm</t>
        </is>
      </c>
      <c r="AL444" t="inlineStr">
        <is>
          <t>Curated</t>
        </is>
      </c>
      <c r="AM444" s="333" t="n">
        <v>299</v>
      </c>
      <c r="AN444" t="inlineStr">
        <is>
          <t>https://tinyurl.com/ych7volu</t>
        </is>
      </c>
      <c r="AO444" t="inlineStr">
        <is>
          <t>K2 Reckoner 92 Alliance Skis 2022 - Size: 169</t>
        </is>
      </c>
      <c r="AP444" t="inlineStr">
        <is>
          <t>K2 Snow</t>
        </is>
      </c>
      <c r="AQ444" s="333" t="n">
        <v>299.95</v>
      </c>
      <c r="AR444" t="inlineStr">
        <is>
          <t>https://tinyurl.com/y9j6edc5</t>
        </is>
      </c>
      <c r="AS444" s="314">
        <f>IF(LEFT(C444,1)=" ",RIGHT(C444,LEN(C444)-1),C444)</f>
        <v/>
      </c>
      <c r="AT444" s="281">
        <f>_xlfn.CONCAT(B444,AS444,D444,E444)</f>
        <v/>
      </c>
    </row>
    <row r="445">
      <c r="A445" t="inlineStr">
        <is>
          <t>21/22</t>
        </is>
      </c>
      <c r="B445" t="inlineStr">
        <is>
          <t xml:space="preserve"> Black Crows</t>
        </is>
      </c>
      <c r="C445" t="inlineStr">
        <is>
          <t xml:space="preserve"> Captis</t>
        </is>
      </c>
      <c r="D445" t="n">
        <v>178.3</v>
      </c>
      <c r="E445" t="inlineStr">
        <is>
          <t xml:space="preserve"> Unisex</t>
        </is>
      </c>
      <c r="F445" t="n">
        <v>178.3</v>
      </c>
      <c r="G445" t="n">
        <v>176.7</v>
      </c>
      <c r="H445" t="n">
        <v>132</v>
      </c>
      <c r="I445" t="n">
        <v>143</v>
      </c>
      <c r="J445" t="n">
        <v>120</v>
      </c>
      <c r="K445" t="n">
        <v>89</v>
      </c>
      <c r="L445" t="n">
        <v>111</v>
      </c>
      <c r="M445" t="n">
        <v>17.5</v>
      </c>
      <c r="N445" t="n">
        <v>1708</v>
      </c>
      <c r="O445" t="n">
        <v>1.04</v>
      </c>
      <c r="P445" t="n">
        <v>1782</v>
      </c>
      <c r="Q445" t="n">
        <v>175</v>
      </c>
      <c r="R445" t="n">
        <v>80</v>
      </c>
      <c r="S445" t="n">
        <v>39</v>
      </c>
      <c r="T445" t="n">
        <v>242</v>
      </c>
      <c r="U445" t="n">
        <v>34</v>
      </c>
      <c r="V445" t="n">
        <v>201</v>
      </c>
      <c r="W445" t="n">
        <v>0.885</v>
      </c>
      <c r="X445" t="n">
        <v>204</v>
      </c>
      <c r="Y445" t="n">
        <v>136</v>
      </c>
      <c r="Z445" t="n">
        <v>38</v>
      </c>
      <c r="AA445" t="n">
        <v>4</v>
      </c>
      <c r="AB445" t="n">
        <v>6.3</v>
      </c>
      <c r="AC445" t="inlineStr">
        <is>
          <t xml:space="preserve"> Freeski</t>
        </is>
      </c>
      <c r="AG445" t="inlineStr">
        <is>
          <t>Black Crows Captis Skis</t>
        </is>
      </c>
      <c r="AH445" t="inlineStr">
        <is>
          <t>Absolute-Snow.co.uk</t>
        </is>
      </c>
      <c r="AI445" s="333" t="n">
        <v>422.9</v>
      </c>
      <c r="AJ445" t="inlineStr">
        <is>
          <t>https://tinyurl.com/y8j4bhqp</t>
        </is>
      </c>
      <c r="AK445" t="inlineStr">
        <is>
          <t>Black Crows Captis Skis</t>
        </is>
      </c>
      <c r="AL445" t="inlineStr">
        <is>
          <t>! OutdoorXL.com</t>
        </is>
      </c>
      <c r="AM445" s="333" t="n">
        <v>424.95</v>
      </c>
      <c r="AN445" t="inlineStr">
        <is>
          <t>https://tinyurl.com/yck7wn6a</t>
        </is>
      </c>
      <c r="AO445" t="inlineStr">
        <is>
          <t>Black Crows Captis Skis</t>
        </is>
      </c>
      <c r="AP445" t="inlineStr">
        <is>
          <t>Teton Wasatch Ski Co.</t>
        </is>
      </c>
      <c r="AQ445" s="333" t="n">
        <v>455</v>
      </c>
      <c r="AR445" t="inlineStr">
        <is>
          <t>https://tinyurl.com/ycrozjgq</t>
        </is>
      </c>
      <c r="AS445" s="314">
        <f>IF(LEFT(C445,1)=" ",RIGHT(C445,LEN(C445)-1),C445)</f>
        <v/>
      </c>
      <c r="AT445" s="281">
        <f>_xlfn.CONCAT(B445,AS445,D445,E445)</f>
        <v/>
      </c>
    </row>
    <row r="446">
      <c r="A446" t="inlineStr">
        <is>
          <t>21/22</t>
        </is>
      </c>
      <c r="B446" t="inlineStr">
        <is>
          <t>K2</t>
        </is>
      </c>
      <c r="C446" t="inlineStr">
        <is>
          <t xml:space="preserve"> Mindbender Team</t>
        </is>
      </c>
      <c r="D446" t="n">
        <v>165</v>
      </c>
      <c r="E446" t="inlineStr">
        <is>
          <t xml:space="preserve"> Junior</t>
        </is>
      </c>
      <c r="F446" t="n">
        <v>165</v>
      </c>
      <c r="G446" t="n">
        <v>165.4</v>
      </c>
      <c r="H446" t="n">
        <v>109</v>
      </c>
      <c r="I446" t="n">
        <v>129</v>
      </c>
      <c r="J446" t="n">
        <v>126</v>
      </c>
      <c r="K446" t="n">
        <v>97</v>
      </c>
      <c r="L446" t="n">
        <v>115</v>
      </c>
      <c r="M446" t="n">
        <v>16.7</v>
      </c>
      <c r="N446" t="n">
        <v>1603</v>
      </c>
      <c r="O446" t="n">
        <v>1.1</v>
      </c>
      <c r="P446" t="n">
        <v>1765</v>
      </c>
      <c r="Q446" t="n">
        <v>167</v>
      </c>
      <c r="R446" t="n">
        <v>86</v>
      </c>
      <c r="S446" t="n">
        <v>45</v>
      </c>
      <c r="T446" t="n">
        <v>351</v>
      </c>
      <c r="U446" t="n">
        <v>19</v>
      </c>
      <c r="V446" t="n">
        <v>214</v>
      </c>
      <c r="W446" t="n">
        <v>0.434</v>
      </c>
      <c r="X446" t="n">
        <v>197</v>
      </c>
      <c r="Y446" t="n">
        <v>169</v>
      </c>
      <c r="Z446" t="n">
        <v>154</v>
      </c>
      <c r="AA446" t="n">
        <v>5</v>
      </c>
      <c r="AB446" t="n">
        <v>9.6</v>
      </c>
      <c r="AC446" t="inlineStr">
        <is>
          <t xml:space="preserve"> Resort Freeride</t>
        </is>
      </c>
      <c r="AD446" t="inlineStr">
        <is>
          <t xml:space="preserve"> Touring</t>
        </is>
      </c>
      <c r="AG446" t="inlineStr">
        <is>
          <t>'22 K2 Mindbender Team Skis 165cm</t>
        </is>
      </c>
      <c r="AH446" t="inlineStr">
        <is>
          <t>Al's Ski Equipment Barn</t>
        </is>
      </c>
      <c r="AI446" s="333" t="n">
        <v>399</v>
      </c>
      <c r="AJ446" t="inlineStr">
        <is>
          <t>https://tinyurl.com/y8vcsz94</t>
        </is>
      </c>
      <c r="AK446" t="inlineStr">
        <is>
          <t>K2 Mindbender Team Skis 2022 - 165</t>
        </is>
      </c>
      <c r="AL446" t="inlineStr">
        <is>
          <t>Backcountry.com</t>
        </is>
      </c>
      <c r="AM446" s="333" t="n">
        <v>399.95</v>
      </c>
      <c r="AN446" t="inlineStr">
        <is>
          <t>https://tinyurl.com/ycn9bey8</t>
        </is>
      </c>
      <c r="AO446" t="inlineStr">
        <is>
          <t>K2 Mindbender Team Skis 2022 - 165</t>
        </is>
      </c>
      <c r="AP446" t="inlineStr">
        <is>
          <t>BobWards.com</t>
        </is>
      </c>
      <c r="AQ446" s="333" t="n">
        <v>399.95</v>
      </c>
      <c r="AR446" t="inlineStr">
        <is>
          <t>https://tinyurl.com/yc5nahvc</t>
        </is>
      </c>
      <c r="AS446" s="314">
        <f>IF(LEFT(C446,1)=" ",RIGHT(C446,LEN(C446)-1),C446)</f>
        <v/>
      </c>
      <c r="AT446" s="281">
        <f>_xlfn.CONCAT(B446,AS446,D446,E446)</f>
        <v/>
      </c>
    </row>
    <row r="447">
      <c r="A447" t="inlineStr">
        <is>
          <t>21/22</t>
        </is>
      </c>
      <c r="B447" t="inlineStr">
        <is>
          <t xml:space="preserve"> Faction</t>
        </is>
      </c>
      <c r="C447" t="inlineStr">
        <is>
          <t>Agent 2.0 X</t>
        </is>
      </c>
      <c r="D447" t="n">
        <v>155</v>
      </c>
      <c r="E447" t="inlineStr">
        <is>
          <t xml:space="preserve"> Women's</t>
        </is>
      </c>
      <c r="F447" t="n">
        <v>155</v>
      </c>
      <c r="G447" t="n">
        <v>153.3</v>
      </c>
      <c r="H447" t="n">
        <v>115</v>
      </c>
      <c r="I447" t="n">
        <v>127</v>
      </c>
      <c r="J447" t="n">
        <v>126</v>
      </c>
      <c r="K447" t="n">
        <v>95</v>
      </c>
      <c r="L447" t="n">
        <v>116</v>
      </c>
      <c r="M447" t="n">
        <v>13.9</v>
      </c>
      <c r="N447" t="n">
        <v>1418</v>
      </c>
      <c r="O447" t="n">
        <v>1.14</v>
      </c>
      <c r="P447" t="n">
        <v>1623</v>
      </c>
      <c r="Q447" t="n">
        <v>162</v>
      </c>
      <c r="R447" t="n">
        <v>84</v>
      </c>
      <c r="S447" t="n">
        <v>52</v>
      </c>
      <c r="T447" t="n">
        <v>229</v>
      </c>
      <c r="U447" t="n">
        <v>21</v>
      </c>
      <c r="V447" t="n">
        <v>155</v>
      </c>
      <c r="W447" t="n">
        <v>0.392</v>
      </c>
      <c r="X447" t="n">
        <v>172</v>
      </c>
      <c r="Y447" t="n">
        <v>92</v>
      </c>
      <c r="Z447" t="n">
        <v>57</v>
      </c>
      <c r="AA447" t="n">
        <v>7</v>
      </c>
      <c r="AB447" t="n">
        <v>10.6</v>
      </c>
      <c r="AC447" t="inlineStr">
        <is>
          <t xml:space="preserve"> Resort Freeride</t>
        </is>
      </c>
      <c r="AD447" t="inlineStr">
        <is>
          <t xml:space="preserve"> Touring</t>
        </is>
      </c>
      <c r="AG447" t="inlineStr">
        <is>
          <t>Faction Candide 2.0 YTH Skis 155cm 2021</t>
        </is>
      </c>
      <c r="AH447" t="inlineStr">
        <is>
          <t>Backcountry Freeskier</t>
        </is>
      </c>
      <c r="AI447" s="333" t="n">
        <v>299</v>
      </c>
      <c r="AJ447" t="inlineStr">
        <is>
          <t>https://tinyurl.com/yc8g92eh</t>
        </is>
      </c>
      <c r="AK447" t="inlineStr">
        <is>
          <t>Faction Agent 2.0x Women's Skis 2022</t>
        </is>
      </c>
      <c r="AL447" t="inlineStr">
        <is>
          <t>Powder7 Ski Shop</t>
        </is>
      </c>
      <c r="AM447" s="333" t="n">
        <v>619</v>
      </c>
      <c r="AN447" t="inlineStr">
        <is>
          <t>https://tinyurl.com/ycbuetyd</t>
        </is>
      </c>
      <c r="AO447" t="inlineStr">
        <is>
          <t>Faction CT 1.0 Skis JR 2022 155</t>
        </is>
      </c>
      <c r="AP447" t="inlineStr">
        <is>
          <t>fullsendskiandoutdoor.com</t>
        </is>
      </c>
      <c r="AQ447" s="333" t="n">
        <v>359</v>
      </c>
      <c r="AR447" t="inlineStr">
        <is>
          <t>https://tinyurl.com/y7757w7d</t>
        </is>
      </c>
      <c r="AS447" s="314">
        <f>IF(LEFT(C447,1)=" ",RIGHT(C447,LEN(C447)-1),C447)</f>
        <v/>
      </c>
      <c r="AT447" s="281">
        <f>_xlfn.CONCAT(B447,AS447,D447,E447)</f>
        <v/>
      </c>
    </row>
    <row r="448">
      <c r="A448" t="inlineStr">
        <is>
          <t>21/22</t>
        </is>
      </c>
      <c r="B448" t="inlineStr">
        <is>
          <t xml:space="preserve"> Rossignol</t>
        </is>
      </c>
      <c r="C448" t="inlineStr">
        <is>
          <t xml:space="preserve"> Blackops Stargazer W</t>
        </is>
      </c>
      <c r="D448" t="n">
        <v>162</v>
      </c>
      <c r="E448" t="inlineStr">
        <is>
          <t xml:space="preserve"> Women's</t>
        </is>
      </c>
      <c r="F448" t="n">
        <v>162</v>
      </c>
      <c r="G448" t="n">
        <v>162.6</v>
      </c>
      <c r="H448" t="n">
        <v>116</v>
      </c>
      <c r="I448" t="n">
        <v>138</v>
      </c>
      <c r="J448" t="n">
        <v>126</v>
      </c>
      <c r="K448" t="n">
        <v>91</v>
      </c>
      <c r="L448" t="n">
        <v>117</v>
      </c>
      <c r="M448" t="n">
        <v>13.6</v>
      </c>
      <c r="N448" t="n">
        <v>1546</v>
      </c>
      <c r="O448" t="n">
        <v>1.09</v>
      </c>
      <c r="P448" t="n">
        <v>1690</v>
      </c>
      <c r="Q448" t="n">
        <v>170</v>
      </c>
      <c r="R448" t="n">
        <v>85</v>
      </c>
      <c r="S448" t="n">
        <v>51</v>
      </c>
      <c r="T448" t="n">
        <v>301</v>
      </c>
      <c r="U448" t="n">
        <v>11</v>
      </c>
      <c r="V448" t="n">
        <v>167</v>
      </c>
      <c r="W448" t="n">
        <v>0.226</v>
      </c>
      <c r="X448" t="n">
        <v>138</v>
      </c>
      <c r="Y448" t="n">
        <v>107</v>
      </c>
      <c r="Z448" t="n">
        <v>163</v>
      </c>
      <c r="AA448" t="n">
        <v>7</v>
      </c>
      <c r="AB448" t="n">
        <v>8.4</v>
      </c>
      <c r="AC448" t="inlineStr">
        <is>
          <t xml:space="preserve"> Resort Freeride</t>
        </is>
      </c>
      <c r="AD448" t="inlineStr">
        <is>
          <t xml:space="preserve"> Touring</t>
        </is>
      </c>
      <c r="AG448" t="inlineStr">
        <is>
          <t>Rossignol Blackops W Stargazer 162cm</t>
        </is>
      </c>
      <c r="AH448" t="inlineStr">
        <is>
          <t>Sundance Ski and Board Shop</t>
        </is>
      </c>
      <c r="AI448" s="333" t="n">
        <v>400.85</v>
      </c>
      <c r="AJ448" t="inlineStr">
        <is>
          <t>https://tinyurl.com/y725prjp</t>
        </is>
      </c>
      <c r="AK448" t="inlineStr">
        <is>
          <t>Rossignol Women's Freeride Skis Blackops W Stargazer</t>
        </is>
      </c>
      <c r="AL448" t="inlineStr">
        <is>
          <t>Level Nine Sports</t>
        </is>
      </c>
      <c r="AM448" s="333" t="n">
        <v>479.96</v>
      </c>
      <c r="AN448" t="inlineStr">
        <is>
          <t>https://tinyurl.com/ydf33dla</t>
        </is>
      </c>
      <c r="AO448" t="inlineStr">
        <is>
          <t>Rossignol Blackops W Stargazer Skis</t>
        </is>
      </c>
      <c r="AP448" t="inlineStr">
        <is>
          <t>Cole Sport</t>
        </is>
      </c>
      <c r="AQ448" s="333" t="n">
        <v>479.96</v>
      </c>
      <c r="AR448" t="inlineStr">
        <is>
          <t>https://tinyurl.com/ycmc9c47</t>
        </is>
      </c>
      <c r="AS448" s="314">
        <f>IF(LEFT(C448,1)=" ",RIGHT(C448,LEN(C448)-1),C448)</f>
        <v/>
      </c>
      <c r="AT448" s="281">
        <f>_xlfn.CONCAT(B448,AS448,D448,E448)</f>
        <v/>
      </c>
    </row>
    <row r="449">
      <c r="A449" t="inlineStr">
        <is>
          <t>21/22</t>
        </is>
      </c>
      <c r="B449" t="inlineStr">
        <is>
          <t>K2</t>
        </is>
      </c>
      <c r="C449" t="inlineStr">
        <is>
          <t>Mindbender 88 Ti Alliance</t>
        </is>
      </c>
      <c r="D449" t="n">
        <v>163</v>
      </c>
      <c r="E449" t="inlineStr">
        <is>
          <t xml:space="preserve"> Women's</t>
        </is>
      </c>
      <c r="F449" t="n">
        <v>163</v>
      </c>
      <c r="G449" t="n">
        <v>162.7</v>
      </c>
      <c r="H449" t="n">
        <v>124</v>
      </c>
      <c r="I449" t="n">
        <v>139</v>
      </c>
      <c r="J449" t="n">
        <v>124</v>
      </c>
      <c r="K449" t="n">
        <v>87</v>
      </c>
      <c r="L449" t="n">
        <v>111</v>
      </c>
      <c r="M449" t="n">
        <v>15.1</v>
      </c>
      <c r="N449" t="n">
        <v>1585</v>
      </c>
      <c r="O449" t="n">
        <v>1.02</v>
      </c>
      <c r="P449" t="n">
        <v>1620</v>
      </c>
      <c r="Q449" t="n">
        <v>154</v>
      </c>
      <c r="R449" t="n">
        <v>82</v>
      </c>
      <c r="S449" t="n">
        <v>48</v>
      </c>
      <c r="T449" t="n">
        <v>218</v>
      </c>
      <c r="U449" t="n">
        <v>20</v>
      </c>
      <c r="V449" t="n">
        <v>166</v>
      </c>
      <c r="W449" t="n">
        <v>0.425</v>
      </c>
      <c r="X449" t="n">
        <v>134</v>
      </c>
      <c r="Y449" t="n">
        <v>101</v>
      </c>
      <c r="Z449" t="n">
        <v>83</v>
      </c>
      <c r="AA449" t="n">
        <v>9</v>
      </c>
      <c r="AB449" t="n">
        <v>11</v>
      </c>
      <c r="AC449" t="inlineStr">
        <is>
          <t xml:space="preserve"> Resort Freeride</t>
        </is>
      </c>
      <c r="AG449" t="inlineStr">
        <is>
          <t>K2 Mindbender 88 Ti Alliance Skis</t>
        </is>
      </c>
      <c r="AH449" t="inlineStr">
        <is>
          <t>Nomads</t>
        </is>
      </c>
      <c r="AI449" s="333" t="n">
        <v>416.89</v>
      </c>
      <c r="AJ449" t="inlineStr">
        <is>
          <t>https://tinyurl.com/yck4xd7m</t>
        </is>
      </c>
      <c r="AK449" t="inlineStr">
        <is>
          <t>'20 K2 Mindbender Alliance 88 Ti 163cm</t>
        </is>
      </c>
      <c r="AL449" t="inlineStr">
        <is>
          <t>Al's Ski Equipment Barn</t>
        </is>
      </c>
      <c r="AM449" s="333" t="n">
        <v>429.95</v>
      </c>
      <c r="AN449" t="inlineStr">
        <is>
          <t>https://tinyurl.com/y8glzzef</t>
        </is>
      </c>
      <c r="AO449" t="inlineStr">
        <is>
          <t>K2 Mindbender 88 Ti Alliance Skis</t>
        </is>
      </c>
      <c r="AP449" t="inlineStr">
        <is>
          <t>Sun 'N Fun Specialty Sports</t>
        </is>
      </c>
      <c r="AQ449" s="333" t="n">
        <v>519.99</v>
      </c>
      <c r="AR449" t="inlineStr">
        <is>
          <t>https://tinyurl.com/ydfrsd95</t>
        </is>
      </c>
      <c r="AS449" s="314">
        <f>IF(LEFT(C449,1)=" ",RIGHT(C449,LEN(C449)-1),C449)</f>
        <v/>
      </c>
      <c r="AT449" s="281">
        <f>_xlfn.CONCAT(B449,AS449,D449,E449)</f>
        <v/>
      </c>
    </row>
    <row r="450">
      <c r="A450" t="inlineStr">
        <is>
          <t>21/22</t>
        </is>
      </c>
      <c r="B450" t="inlineStr">
        <is>
          <t xml:space="preserve"> Icelantic</t>
        </is>
      </c>
      <c r="C450" t="inlineStr">
        <is>
          <t>Riveter 95</t>
        </is>
      </c>
      <c r="D450" t="n">
        <v>162</v>
      </c>
      <c r="E450" t="inlineStr">
        <is>
          <t xml:space="preserve"> Women's</t>
        </is>
      </c>
      <c r="F450" t="n">
        <v>162</v>
      </c>
      <c r="G450" t="n">
        <v>161.4</v>
      </c>
      <c r="H450" t="n">
        <v>109</v>
      </c>
      <c r="I450" t="n">
        <v>133</v>
      </c>
      <c r="J450" t="n">
        <v>130</v>
      </c>
      <c r="K450" t="n">
        <v>96</v>
      </c>
      <c r="L450" t="n">
        <v>117</v>
      </c>
      <c r="M450" t="n">
        <v>14.7</v>
      </c>
      <c r="N450" t="n">
        <v>1694</v>
      </c>
      <c r="O450" t="n">
        <v>1.01</v>
      </c>
      <c r="P450" t="n">
        <v>1716</v>
      </c>
      <c r="Q450" t="n">
        <v>185</v>
      </c>
      <c r="R450" t="n">
        <v>80</v>
      </c>
      <c r="S450" t="n">
        <v>51</v>
      </c>
      <c r="T450" t="n">
        <v>304</v>
      </c>
      <c r="U450" t="n">
        <v>15</v>
      </c>
      <c r="V450" t="n">
        <v>223</v>
      </c>
      <c r="W450" t="n">
        <v>0.295</v>
      </c>
      <c r="X450" t="n">
        <v>178</v>
      </c>
      <c r="Y450" t="n">
        <v>110</v>
      </c>
      <c r="Z450" t="n">
        <v>126</v>
      </c>
      <c r="AA450" t="n">
        <v>7</v>
      </c>
      <c r="AB450" t="n">
        <v>8.199999999999999</v>
      </c>
      <c r="AC450" t="inlineStr">
        <is>
          <t xml:space="preserve"> Resort Freeride</t>
        </is>
      </c>
      <c r="AG450" t="inlineStr">
        <is>
          <t>Icelantic Riveter 95 Women's Skis Â· 2022 Â· 162 cm</t>
        </is>
      </c>
      <c r="AH450" t="inlineStr">
        <is>
          <t>Teton Wasatch Ski Co.</t>
        </is>
      </c>
      <c r="AI450" s="333" t="n">
        <v>509</v>
      </c>
      <c r="AJ450" t="inlineStr">
        <is>
          <t>https://tinyurl.com/y7m2o779</t>
        </is>
      </c>
      <c r="AK450" t="inlineStr">
        <is>
          <t>Icelantic Riveter 95 Skis - Women's 2022 162cm</t>
        </is>
      </c>
      <c r="AL450" t="inlineStr">
        <is>
          <t>Glacier Ski Shop</t>
        </is>
      </c>
      <c r="AM450" s="333" t="n">
        <v>509</v>
      </c>
      <c r="AN450" t="inlineStr">
        <is>
          <t>https://tinyurl.com/yd2kvzj7</t>
        </is>
      </c>
      <c r="AO450" t="inlineStr">
        <is>
          <t>Icelantic Riveter 95 Women's Skis Â· 2022 Â· 162 cm</t>
        </is>
      </c>
      <c r="AP450" t="inlineStr">
        <is>
          <t>Curated</t>
        </is>
      </c>
      <c r="AQ450" s="333" t="n">
        <v>509</v>
      </c>
      <c r="AR450" t="inlineStr">
        <is>
          <t>https://tinyurl.com/ybffo283</t>
        </is>
      </c>
      <c r="AS450" s="314">
        <f>IF(LEFT(C450,1)=" ",RIGHT(C450,LEN(C450)-1),C450)</f>
        <v/>
      </c>
      <c r="AT450" s="281">
        <f>_xlfn.CONCAT(B450,AS450,D450,E450)</f>
        <v/>
      </c>
    </row>
    <row r="451">
      <c r="A451" t="inlineStr">
        <is>
          <t>21/22</t>
        </is>
      </c>
      <c r="B451" t="inlineStr">
        <is>
          <t xml:space="preserve"> Armada</t>
        </is>
      </c>
      <c r="C451" t="inlineStr">
        <is>
          <t>Reliance 82 Ti</t>
        </is>
      </c>
      <c r="D451" t="n">
        <v>150</v>
      </c>
      <c r="E451" t="inlineStr">
        <is>
          <t xml:space="preserve"> Women's</t>
        </is>
      </c>
      <c r="F451" t="n">
        <v>150</v>
      </c>
      <c r="G451" t="n">
        <v>149.7</v>
      </c>
      <c r="H451" t="n">
        <v>124</v>
      </c>
      <c r="I451" t="n">
        <v>135</v>
      </c>
      <c r="J451" t="n">
        <v>121</v>
      </c>
      <c r="K451" t="n">
        <v>81</v>
      </c>
      <c r="L451" t="n">
        <v>107</v>
      </c>
      <c r="M451" t="n">
        <v>14</v>
      </c>
      <c r="N451" t="n">
        <v>1348</v>
      </c>
      <c r="O451" t="n">
        <v>1.04</v>
      </c>
      <c r="P451" t="n">
        <v>1398</v>
      </c>
      <c r="Q451" t="n">
        <v>161</v>
      </c>
      <c r="R451" t="n">
        <v>97</v>
      </c>
      <c r="S451" t="n">
        <v>35</v>
      </c>
      <c r="T451" t="n">
        <v>164</v>
      </c>
      <c r="U451" t="n">
        <v>10</v>
      </c>
      <c r="V451" t="n">
        <v>96</v>
      </c>
      <c r="W451" t="n">
        <v>0.286</v>
      </c>
      <c r="X451" t="n">
        <v>91</v>
      </c>
      <c r="Y451" t="n">
        <v>53</v>
      </c>
      <c r="Z451" t="n">
        <v>73</v>
      </c>
      <c r="AA451" t="n">
        <v>7</v>
      </c>
      <c r="AB451" t="n">
        <v>8.199999999999999</v>
      </c>
      <c r="AC451" t="inlineStr">
        <is>
          <t xml:space="preserve"> Resort Freeride</t>
        </is>
      </c>
      <c r="AG451" t="inlineStr">
        <is>
          <t>Armada Reliance 82 Ti Women's Skis 150cm 2022</t>
        </is>
      </c>
      <c r="AH451" t="inlineStr">
        <is>
          <t>Powder7 Ski Shop</t>
        </is>
      </c>
      <c r="AI451" s="333" t="n">
        <v>499.95</v>
      </c>
      <c r="AJ451" t="inlineStr">
        <is>
          <t>https://tinyurl.com/y7eq7ovy</t>
        </is>
      </c>
      <c r="AK451" t="inlineStr">
        <is>
          <t>Armada Reliance 82 Ti Skis</t>
        </is>
      </c>
      <c r="AL451" t="inlineStr">
        <is>
          <t>Cole Sport</t>
        </is>
      </c>
      <c r="AM451" s="333" t="n">
        <v>599.95</v>
      </c>
      <c r="AN451" t="inlineStr">
        <is>
          <t>https://tinyurl.com/ybj3w9t7</t>
        </is>
      </c>
      <c r="AO451" t="inlineStr">
        <is>
          <t>Armada Reliance 82 Ti Women's Skis 150cm 2022</t>
        </is>
      </c>
      <c r="AP451" t="inlineStr">
        <is>
          <t>SkiEssentials.com</t>
        </is>
      </c>
      <c r="AQ451" s="333" t="n">
        <v>599.95</v>
      </c>
      <c r="AR451" t="inlineStr">
        <is>
          <t>https://tinyurl.com/y8r7quue</t>
        </is>
      </c>
      <c r="AS451" s="314">
        <f>IF(LEFT(C451,1)=" ",RIGHT(C451,LEN(C451)-1),C451)</f>
        <v/>
      </c>
      <c r="AT451" s="281">
        <f>_xlfn.CONCAT(B451,AS451,D451,E451)</f>
        <v/>
      </c>
    </row>
    <row r="452">
      <c r="A452" t="inlineStr">
        <is>
          <t>21/22</t>
        </is>
      </c>
      <c r="B452" t="inlineStr">
        <is>
          <t xml:space="preserve"> Black Crows</t>
        </is>
      </c>
      <c r="C452" t="inlineStr">
        <is>
          <t xml:space="preserve"> Divus</t>
        </is>
      </c>
      <c r="D452" t="n">
        <v>177.3</v>
      </c>
      <c r="E452" t="inlineStr">
        <is>
          <t xml:space="preserve"> Unisex</t>
        </is>
      </c>
      <c r="F452" t="n">
        <v>177.3</v>
      </c>
      <c r="G452" t="n">
        <v>176.1</v>
      </c>
      <c r="H452" t="n">
        <v>137</v>
      </c>
      <c r="I452" t="n">
        <v>156</v>
      </c>
      <c r="J452" t="n">
        <v>123</v>
      </c>
      <c r="K452" t="n">
        <v>81</v>
      </c>
      <c r="L452" t="n">
        <v>109</v>
      </c>
      <c r="M452" t="n">
        <v>17</v>
      </c>
      <c r="N452" t="n">
        <v>1748</v>
      </c>
      <c r="O452" t="n">
        <v>0.95</v>
      </c>
      <c r="P452" t="n">
        <v>1660</v>
      </c>
      <c r="Q452" t="n">
        <v>203</v>
      </c>
      <c r="R452" t="n">
        <v>106</v>
      </c>
      <c r="S452" t="n">
        <v>42</v>
      </c>
      <c r="T452" t="n">
        <v>237</v>
      </c>
      <c r="U452" t="n">
        <v>17</v>
      </c>
      <c r="V452" t="n">
        <v>152</v>
      </c>
      <c r="W452" t="n">
        <v>0.4</v>
      </c>
      <c r="X452" t="n">
        <v>112</v>
      </c>
      <c r="Y452" t="n">
        <v>87</v>
      </c>
      <c r="Z452" t="n">
        <v>125</v>
      </c>
      <c r="AA452" t="n">
        <v>7</v>
      </c>
      <c r="AB452" t="n">
        <v>10.2</v>
      </c>
      <c r="AC452" t="inlineStr">
        <is>
          <t xml:space="preserve"> On-Piste All-Mountain</t>
        </is>
      </c>
      <c r="AD452" t="inlineStr">
        <is>
          <t xml:space="preserve"> Resort Freeride</t>
        </is>
      </c>
      <c r="AG452" t="inlineStr">
        <is>
          <t>Skis Black Crows Divus</t>
        </is>
      </c>
      <c r="AH452" t="inlineStr">
        <is>
          <t>SkatePro.com</t>
        </is>
      </c>
      <c r="AI452" s="333" t="n">
        <v>519.95</v>
      </c>
      <c r="AJ452" t="inlineStr">
        <is>
          <t>https://tinyurl.com/yb8uwjjn</t>
        </is>
      </c>
      <c r="AK452" t="inlineStr">
        <is>
          <t>Skis Black Crows Divus</t>
        </is>
      </c>
      <c r="AL452" t="inlineStr">
        <is>
          <t>Next Adventure</t>
        </is>
      </c>
      <c r="AM452" s="333" t="n">
        <v>623.96</v>
      </c>
      <c r="AN452" t="inlineStr">
        <is>
          <t>https://tinyurl.com/y7vblsjp</t>
        </is>
      </c>
      <c r="AO452" t="inlineStr">
        <is>
          <t>Skis Black Crows Divus</t>
        </is>
      </c>
      <c r="AP452" t="inlineStr">
        <is>
          <t>Powder7 Ski Shop</t>
        </is>
      </c>
      <c r="AQ452" s="333" t="n">
        <v>623.96</v>
      </c>
      <c r="AR452" t="inlineStr">
        <is>
          <t>https://tinyurl.com/yb82mteo</t>
        </is>
      </c>
      <c r="AS452" s="314">
        <f>IF(LEFT(C452,1)=" ",RIGHT(C452,LEN(C452)-1),C452)</f>
        <v/>
      </c>
      <c r="AT452" s="281">
        <f>_xlfn.CONCAT(B452,AS452,D452,E452)</f>
        <v/>
      </c>
    </row>
    <row r="453">
      <c r="A453" t="inlineStr">
        <is>
          <t>21/22</t>
        </is>
      </c>
      <c r="B453" t="inlineStr">
        <is>
          <t xml:space="preserve"> Atomic</t>
        </is>
      </c>
      <c r="C453" t="inlineStr">
        <is>
          <t>Maverick 95 Ti</t>
        </is>
      </c>
      <c r="D453" t="n">
        <v>164</v>
      </c>
      <c r="E453" t="inlineStr">
        <is>
          <t xml:space="preserve"> Unisex</t>
        </is>
      </c>
      <c r="F453" t="n">
        <v>164</v>
      </c>
      <c r="G453" t="n">
        <v>163.1</v>
      </c>
      <c r="H453" t="n">
        <v>116</v>
      </c>
      <c r="I453" t="n">
        <v>132</v>
      </c>
      <c r="J453" t="n">
        <v>125</v>
      </c>
      <c r="K453" t="n">
        <v>92</v>
      </c>
      <c r="L453" t="n">
        <v>109</v>
      </c>
      <c r="M453" t="n">
        <v>16.4</v>
      </c>
      <c r="N453" t="n">
        <v>1566</v>
      </c>
      <c r="O453" t="n">
        <v>1.06</v>
      </c>
      <c r="P453" t="n">
        <v>1663</v>
      </c>
      <c r="Q453" t="n">
        <v>169</v>
      </c>
      <c r="R453" t="n">
        <v>131</v>
      </c>
      <c r="S453" t="n">
        <v>53</v>
      </c>
      <c r="T453" t="n">
        <v>288</v>
      </c>
      <c r="U453" t="n">
        <v>13</v>
      </c>
      <c r="V453" t="n">
        <v>183</v>
      </c>
      <c r="W453" t="n">
        <v>0.253</v>
      </c>
      <c r="X453" t="n">
        <v>173</v>
      </c>
      <c r="Y453" t="n">
        <v>140</v>
      </c>
      <c r="Z453" t="n">
        <v>115</v>
      </c>
      <c r="AA453" t="n">
        <v>6</v>
      </c>
      <c r="AB453" t="n">
        <v>9.300000000000001</v>
      </c>
      <c r="AC453" t="inlineStr">
        <is>
          <t xml:space="preserve"> Resort Freeride</t>
        </is>
      </c>
      <c r="AD453" t="inlineStr">
        <is>
          <t xml:space="preserve"> Touring</t>
        </is>
      </c>
      <c r="AG453" t="inlineStr">
        <is>
          <t>Atomic Maverick 95 Ti</t>
        </is>
      </c>
      <c r="AH453" t="inlineStr">
        <is>
          <t>Powder7 Ski Shop</t>
        </is>
      </c>
      <c r="AI453" s="333" t="n">
        <v>559.9299999999999</v>
      </c>
      <c r="AJ453" t="inlineStr">
        <is>
          <t>https://tinyurl.com/y92ecf3n</t>
        </is>
      </c>
      <c r="AK453" t="inlineStr">
        <is>
          <t>Atomic Maverick 95 Ti</t>
        </is>
      </c>
      <c r="AL453" t="inlineStr">
        <is>
          <t>evo.com</t>
        </is>
      </c>
      <c r="AM453" s="333" t="n">
        <v>559.98</v>
      </c>
      <c r="AN453" t="inlineStr">
        <is>
          <t>https://tinyurl.com/y7oncme8</t>
        </is>
      </c>
      <c r="AO453" t="inlineStr">
        <is>
          <t>Atomic Maverick 95 Ti</t>
        </is>
      </c>
      <c r="AP453" t="inlineStr">
        <is>
          <t>SkiEssentials.com</t>
        </is>
      </c>
      <c r="AQ453" s="333" t="n">
        <v>559.99</v>
      </c>
      <c r="AR453" t="inlineStr">
        <is>
          <t>https://tinyurl.com/y8v4tvbs</t>
        </is>
      </c>
      <c r="AS453" s="314">
        <f>IF(LEFT(C453,1)=" ",RIGHT(C453,LEN(C453)-1),C453)</f>
        <v/>
      </c>
      <c r="AT453" s="281">
        <f>_xlfn.CONCAT(B453,AS453,D453,E453)</f>
        <v/>
      </c>
    </row>
    <row r="454">
      <c r="A454" t="inlineStr">
        <is>
          <t>21/22</t>
        </is>
      </c>
      <c r="B454" t="inlineStr">
        <is>
          <t xml:space="preserve"> Faction</t>
        </is>
      </c>
      <c r="C454" t="inlineStr">
        <is>
          <t>Agent 2.0 X</t>
        </is>
      </c>
      <c r="D454" t="n">
        <v>171</v>
      </c>
      <c r="E454" t="inlineStr">
        <is>
          <t xml:space="preserve"> Women's</t>
        </is>
      </c>
      <c r="F454" t="n">
        <v>171</v>
      </c>
      <c r="G454" t="n">
        <v>153.3</v>
      </c>
      <c r="H454" t="n">
        <v>115</v>
      </c>
      <c r="I454" t="n">
        <v>127</v>
      </c>
      <c r="J454" t="n">
        <v>126</v>
      </c>
      <c r="K454" t="n">
        <v>95</v>
      </c>
      <c r="L454" t="n">
        <v>116</v>
      </c>
      <c r="M454" t="n">
        <v>13.9</v>
      </c>
      <c r="N454" t="n">
        <v>1641</v>
      </c>
      <c r="O454" t="n">
        <v>0.99</v>
      </c>
      <c r="P454" t="n">
        <v>1623</v>
      </c>
      <c r="Q454" t="n">
        <v>162</v>
      </c>
      <c r="R454" t="n">
        <v>84</v>
      </c>
      <c r="S454" t="n">
        <v>52</v>
      </c>
      <c r="T454" t="n">
        <v>229</v>
      </c>
      <c r="U454" t="n">
        <v>21</v>
      </c>
      <c r="V454" t="n">
        <v>155</v>
      </c>
      <c r="W454" t="n">
        <v>0.392</v>
      </c>
      <c r="X454" t="n">
        <v>172</v>
      </c>
      <c r="Y454" t="n">
        <v>92</v>
      </c>
      <c r="Z454" t="n">
        <v>57</v>
      </c>
      <c r="AA454" t="n">
        <v>7</v>
      </c>
      <c r="AB454" t="n">
        <v>10.6</v>
      </c>
      <c r="AC454" t="inlineStr">
        <is>
          <t xml:space="preserve"> Resort Freeride</t>
        </is>
      </c>
      <c r="AG454" t="inlineStr">
        <is>
          <t>Faction Agent 2.0 Skis</t>
        </is>
      </c>
      <c r="AH454" t="inlineStr">
        <is>
          <t>Gorham Bike and Ski</t>
        </is>
      </c>
      <c r="AI454" s="333" t="n">
        <v>489.99</v>
      </c>
      <c r="AJ454" t="inlineStr">
        <is>
          <t>https://tinyurl.com/y92w2xna</t>
        </is>
      </c>
      <c r="AK454" t="inlineStr">
        <is>
          <t>Faction Agent 2.0 Skis</t>
        </is>
      </c>
      <c r="AL454" t="inlineStr">
        <is>
          <t>Telemark Pyrenees</t>
        </is>
      </c>
      <c r="AM454" s="333" t="n">
        <v>504.17</v>
      </c>
      <c r="AN454" t="inlineStr">
        <is>
          <t>https://tinyurl.com/y88hwgvu</t>
        </is>
      </c>
      <c r="AO454" t="inlineStr">
        <is>
          <t>Faction Dictator 2.0 x Skis</t>
        </is>
      </c>
      <c r="AP454" t="inlineStr">
        <is>
          <t>PRFO Sports</t>
        </is>
      </c>
      <c r="AQ454" s="333" t="n">
        <v>544.36</v>
      </c>
      <c r="AR454" t="inlineStr">
        <is>
          <t>https://tinyurl.com/y8ezyexn</t>
        </is>
      </c>
      <c r="AS454" s="314">
        <f>IF(LEFT(C454,1)=" ",RIGHT(C454,LEN(C454)-1),C454)</f>
        <v/>
      </c>
      <c r="AT454" s="281">
        <f>_xlfn.CONCAT(B454,AS454,D454,E454)</f>
        <v/>
      </c>
    </row>
    <row r="455">
      <c r="A455" t="inlineStr">
        <is>
          <t>21/22</t>
        </is>
      </c>
      <c r="B455" t="inlineStr">
        <is>
          <t xml:space="preserve"> Blizzard</t>
        </is>
      </c>
      <c r="C455" t="inlineStr">
        <is>
          <t>Phoenix 7.2</t>
        </is>
      </c>
      <c r="D455" t="n">
        <v>160</v>
      </c>
      <c r="E455" t="inlineStr">
        <is>
          <t xml:space="preserve"> Women's</t>
        </is>
      </c>
      <c r="F455" t="n">
        <v>160</v>
      </c>
      <c r="G455" t="n">
        <v>158.5</v>
      </c>
      <c r="H455" t="n">
        <v>133</v>
      </c>
      <c r="I455" t="n">
        <v>146</v>
      </c>
      <c r="J455" t="n">
        <v>118</v>
      </c>
      <c r="K455" t="n">
        <v>71</v>
      </c>
      <c r="L455" t="n">
        <v>101</v>
      </c>
      <c r="M455" t="n">
        <v>13.8</v>
      </c>
      <c r="N455" t="n">
        <v>1809</v>
      </c>
      <c r="O455" t="n">
        <v>0.74</v>
      </c>
      <c r="P455" t="n">
        <v>1346</v>
      </c>
      <c r="Q455" t="n">
        <v>227</v>
      </c>
      <c r="R455" t="n">
        <v>89</v>
      </c>
      <c r="S455" t="n">
        <v>34</v>
      </c>
      <c r="T455" t="n">
        <v>186</v>
      </c>
      <c r="U455" t="n">
        <v>8</v>
      </c>
      <c r="V455" t="n">
        <v>74</v>
      </c>
      <c r="W455" t="n">
        <v>0.249</v>
      </c>
      <c r="X455" t="n">
        <v>76</v>
      </c>
      <c r="Y455" t="n">
        <v>54</v>
      </c>
      <c r="Z455" t="n">
        <v>111</v>
      </c>
      <c r="AA455" t="n">
        <v>7</v>
      </c>
      <c r="AB455" t="n">
        <v>10.2</v>
      </c>
      <c r="AC455" t="inlineStr">
        <is>
          <t xml:space="preserve"> On-Piste Carving</t>
        </is>
      </c>
      <c r="AG455" t="inlineStr">
        <is>
          <t>2022 Blizzard Phoenix 7.2 Women's Skis with TLT 10 Bindings</t>
        </is>
      </c>
      <c r="AH455" t="inlineStr">
        <is>
          <t>sunandski.com</t>
        </is>
      </c>
      <c r="AI455" s="333" t="n">
        <v>319.93</v>
      </c>
      <c r="AJ455" t="inlineStr">
        <is>
          <t>https://tinyurl.com/y795t99a</t>
        </is>
      </c>
      <c r="AK455" t="inlineStr">
        <is>
          <t>Blizzard Quattro 7.2 Skis - Mens - 2020</t>
        </is>
      </c>
      <c r="AL455" t="inlineStr">
        <is>
          <t>SportÃ¨que</t>
        </is>
      </c>
      <c r="AM455" s="333" t="n">
        <v>347.55</v>
      </c>
      <c r="AN455" t="inlineStr">
        <is>
          <t>https://tinyurl.com/yamb33o5</t>
        </is>
      </c>
      <c r="AO455" t="inlineStr">
        <is>
          <t>Blizzard Men's Thunderbird SP 7.2 System Alpine Ski 2022 160</t>
        </is>
      </c>
      <c r="AP455" t="inlineStr">
        <is>
          <t>Boyne Country Sports</t>
        </is>
      </c>
      <c r="AQ455" s="333" t="n">
        <v>399.95</v>
      </c>
      <c r="AR455" t="inlineStr">
        <is>
          <t>https://tinyurl.com/y7ga2m9c</t>
        </is>
      </c>
      <c r="AS455" s="314">
        <f>IF(LEFT(C455,1)=" ",RIGHT(C455,LEN(C455)-1),C455)</f>
        <v/>
      </c>
      <c r="AT455" s="281">
        <f>_xlfn.CONCAT(B455,AS455,D455,E455)</f>
        <v/>
      </c>
    </row>
    <row r="456">
      <c r="A456" t="inlineStr">
        <is>
          <t>21/22</t>
        </is>
      </c>
      <c r="B456" t="inlineStr">
        <is>
          <t xml:space="preserve"> Liberty</t>
        </is>
      </c>
      <c r="C456" t="inlineStr">
        <is>
          <t>Origin 96</t>
        </is>
      </c>
      <c r="D456" t="n">
        <v>171</v>
      </c>
      <c r="E456" t="inlineStr">
        <is>
          <t xml:space="preserve"> Unisex</t>
        </is>
      </c>
      <c r="F456" t="n">
        <v>171</v>
      </c>
      <c r="G456" t="n">
        <v>170</v>
      </c>
      <c r="H456" t="n">
        <v>109</v>
      </c>
      <c r="I456" t="n">
        <v>140</v>
      </c>
      <c r="J456" t="n">
        <v>130</v>
      </c>
      <c r="K456" t="n">
        <v>96</v>
      </c>
      <c r="L456" t="n">
        <v>118</v>
      </c>
      <c r="M456" t="n">
        <v>16.5</v>
      </c>
      <c r="N456" t="n">
        <v>1732</v>
      </c>
      <c r="O456" t="n">
        <v>1.05</v>
      </c>
      <c r="P456" t="n">
        <v>1813</v>
      </c>
      <c r="Q456" t="n">
        <v>188</v>
      </c>
      <c r="R456" t="n">
        <v>89</v>
      </c>
      <c r="S456" t="n">
        <v>50</v>
      </c>
      <c r="T456" t="n">
        <v>344</v>
      </c>
      <c r="U456" t="n">
        <v>30</v>
      </c>
      <c r="V456" t="n">
        <v>261</v>
      </c>
      <c r="W456" t="n">
        <v>0.611</v>
      </c>
      <c r="X456" t="n">
        <v>136</v>
      </c>
      <c r="Y456" t="n">
        <v>165</v>
      </c>
      <c r="Z456" t="n">
        <v>209</v>
      </c>
      <c r="AA456" t="n">
        <v>5</v>
      </c>
      <c r="AB456" t="n">
        <v>8.1</v>
      </c>
      <c r="AC456" t="inlineStr">
        <is>
          <t xml:space="preserve"> Resort Freeride</t>
        </is>
      </c>
      <c r="AG456" t="inlineStr">
        <is>
          <t>Liberty Skis Origin 96 Ski</t>
        </is>
      </c>
      <c r="AH456" t="inlineStr">
        <is>
          <t>sunandski.com</t>
        </is>
      </c>
      <c r="AI456" s="333" t="n">
        <v>503.93</v>
      </c>
      <c r="AJ456" t="inlineStr">
        <is>
          <t>https://tinyurl.com/ydgtm9lw</t>
        </is>
      </c>
      <c r="AK456" t="inlineStr">
        <is>
          <t>Liberty Skis Men ' S Origin 96 All - Mountain Skis</t>
        </is>
      </c>
      <c r="AL456" t="inlineStr">
        <is>
          <t>BobWards.com</t>
        </is>
      </c>
      <c r="AM456" s="333" t="n">
        <v>599.95</v>
      </c>
      <c r="AN456" t="inlineStr">
        <is>
          <t>https://tinyurl.com/ycxjpfx7</t>
        </is>
      </c>
      <c r="AO456" t="inlineStr">
        <is>
          <t>Liberty Skis Origin 96 Ski</t>
        </is>
      </c>
      <c r="AP456" t="inlineStr">
        <is>
          <t>Powder7 Ski Shop</t>
        </is>
      </c>
      <c r="AQ456" s="333" t="n">
        <v>599.99</v>
      </c>
      <c r="AR456" t="inlineStr">
        <is>
          <t>https://tinyurl.com/y9je9buz</t>
        </is>
      </c>
      <c r="AS456" s="314">
        <f>IF(LEFT(C456,1)=" ",RIGHT(C456,LEN(C456)-1),C456)</f>
        <v/>
      </c>
      <c r="AT456" s="281">
        <f>_xlfn.CONCAT(B456,AS456,D456,E456)</f>
        <v/>
      </c>
    </row>
    <row r="457">
      <c r="A457" t="inlineStr">
        <is>
          <t>21/22</t>
        </is>
      </c>
      <c r="B457" t="inlineStr">
        <is>
          <t xml:space="preserve"> Line</t>
        </is>
      </c>
      <c r="C457" t="inlineStr">
        <is>
          <t>Vision 108</t>
        </is>
      </c>
      <c r="D457" t="n">
        <v>175</v>
      </c>
      <c r="E457" t="inlineStr">
        <is>
          <t xml:space="preserve"> Unisex</t>
        </is>
      </c>
      <c r="F457" t="n">
        <v>175</v>
      </c>
      <c r="G457" t="n">
        <v>174.6</v>
      </c>
      <c r="H457" t="n">
        <v>91</v>
      </c>
      <c r="I457" t="n">
        <v>141</v>
      </c>
      <c r="J457" t="n">
        <v>141</v>
      </c>
      <c r="K457" t="n">
        <v>107</v>
      </c>
      <c r="L457" t="n">
        <v>127</v>
      </c>
      <c r="M457" t="n">
        <v>17.3</v>
      </c>
      <c r="N457" t="n">
        <v>1517</v>
      </c>
      <c r="O457" t="n">
        <v>1.35</v>
      </c>
      <c r="P457" t="n">
        <v>2043</v>
      </c>
      <c r="Q457" t="n">
        <v>188</v>
      </c>
      <c r="R457" t="n">
        <v>81</v>
      </c>
      <c r="S457" t="n">
        <v>52</v>
      </c>
      <c r="T457" t="n">
        <v>460</v>
      </c>
      <c r="U457" t="n">
        <v>34</v>
      </c>
      <c r="V457" t="n">
        <v>378</v>
      </c>
      <c r="W457" t="n">
        <v>0.654</v>
      </c>
      <c r="X457" t="n">
        <v>173</v>
      </c>
      <c r="Y457" t="n">
        <v>168</v>
      </c>
      <c r="Z457" t="n">
        <v>287</v>
      </c>
      <c r="AA457" t="n">
        <v>2</v>
      </c>
      <c r="AB457" t="n">
        <v>6.4</v>
      </c>
      <c r="AC457" t="inlineStr">
        <is>
          <t xml:space="preserve"> Powder</t>
        </is>
      </c>
      <c r="AD457" t="inlineStr">
        <is>
          <t xml:space="preserve"> Touring</t>
        </is>
      </c>
      <c r="AE457" t="inlineStr">
        <is>
          <t xml:space="preserve"> Ultralight Touring</t>
        </is>
      </c>
      <c r="AG457" t="inlineStr">
        <is>
          <t>Line Vision 108 Skis 2022</t>
        </is>
      </c>
      <c r="AH457" t="inlineStr">
        <is>
          <t>Snowcountry.eu</t>
        </is>
      </c>
      <c r="AI457" s="333" t="n">
        <v>441.67</v>
      </c>
      <c r="AJ457" t="inlineStr">
        <is>
          <t>https://tinyurl.com/y86s99zx</t>
        </is>
      </c>
      <c r="AK457" t="inlineStr">
        <is>
          <t>Line Vision 108 Skis 2022</t>
        </is>
      </c>
      <c r="AL457" t="inlineStr">
        <is>
          <t>! OutdoorXL.com</t>
        </is>
      </c>
      <c r="AM457" s="333" t="n">
        <v>514.95</v>
      </c>
      <c r="AN457" t="inlineStr">
        <is>
          <t>https://tinyurl.com/ydyavpzc</t>
        </is>
      </c>
      <c r="AO457" t="inlineStr">
        <is>
          <t>Line Vision 108 Skis 2022</t>
        </is>
      </c>
      <c r="AP457" t="inlineStr">
        <is>
          <t>REI</t>
        </is>
      </c>
      <c r="AQ457" s="333" t="n">
        <v>599.9299999999999</v>
      </c>
      <c r="AR457" t="inlineStr">
        <is>
          <t>https://tinyurl.com/ycpmc7dj</t>
        </is>
      </c>
      <c r="AS457" s="314">
        <f>IF(LEFT(C457,1)=" ",RIGHT(C457,LEN(C457)-1),C457)</f>
        <v/>
      </c>
      <c r="AT457" s="281">
        <f>_xlfn.CONCAT(B457,AS457,D457,E457)</f>
        <v/>
      </c>
    </row>
    <row r="458">
      <c r="A458" t="inlineStr">
        <is>
          <t>21/22</t>
        </is>
      </c>
      <c r="B458" t="inlineStr">
        <is>
          <t xml:space="preserve"> Armada</t>
        </is>
      </c>
      <c r="C458" t="inlineStr">
        <is>
          <t>ARV 86</t>
        </is>
      </c>
      <c r="D458" t="n">
        <v>163</v>
      </c>
      <c r="E458" t="inlineStr">
        <is>
          <t xml:space="preserve"> Unisex</t>
        </is>
      </c>
      <c r="F458" t="n">
        <v>163</v>
      </c>
      <c r="G458" t="n">
        <v>161.2</v>
      </c>
      <c r="H458" t="n">
        <v>126</v>
      </c>
      <c r="I458" t="n">
        <v>137</v>
      </c>
      <c r="J458" t="n">
        <v>114</v>
      </c>
      <c r="K458" t="n">
        <v>86</v>
      </c>
      <c r="L458" t="n">
        <v>108</v>
      </c>
      <c r="M458" t="n">
        <v>16.9</v>
      </c>
      <c r="N458" t="n">
        <v>1525</v>
      </c>
      <c r="O458" t="n">
        <v>1.01</v>
      </c>
      <c r="P458" t="n">
        <v>1537</v>
      </c>
      <c r="Q458" t="n">
        <v>151</v>
      </c>
      <c r="R458" t="n">
        <v>81</v>
      </c>
      <c r="S458" t="n">
        <v>44</v>
      </c>
      <c r="T458" t="n">
        <v>182</v>
      </c>
      <c r="U458" t="n">
        <v>41</v>
      </c>
      <c r="V458" t="n">
        <v>173</v>
      </c>
      <c r="W458" t="n">
        <v>0.919</v>
      </c>
      <c r="X458" t="n">
        <v>104</v>
      </c>
      <c r="Y458" t="n">
        <v>138</v>
      </c>
      <c r="Z458" t="n">
        <v>78</v>
      </c>
      <c r="AA458" t="n">
        <v>11</v>
      </c>
      <c r="AB458" t="n">
        <v>3.5</v>
      </c>
      <c r="AC458" t="inlineStr">
        <is>
          <t xml:space="preserve"> Freeski</t>
        </is>
      </c>
      <c r="AG458" t="inlineStr">
        <is>
          <t>Armada ARV 86 Skis</t>
        </is>
      </c>
      <c r="AH458" t="inlineStr">
        <is>
          <t>eBay - grassisport</t>
        </is>
      </c>
      <c r="AI458" s="333" t="n">
        <v>319.32</v>
      </c>
      <c r="AJ458" t="inlineStr">
        <is>
          <t>https://tinyurl.com/yc3y7myw</t>
        </is>
      </c>
      <c r="AK458" t="inlineStr">
        <is>
          <t>Armada ARW 86 Women's Skis Â· 2022 Â· 163 cm</t>
        </is>
      </c>
      <c r="AL458" t="inlineStr">
        <is>
          <t>Powder7 Ski Shop</t>
        </is>
      </c>
      <c r="AM458" s="333" t="n">
        <v>379.95</v>
      </c>
      <c r="AN458" t="inlineStr">
        <is>
          <t>https://tinyurl.com/ybu886ye</t>
        </is>
      </c>
      <c r="AO458" t="inlineStr">
        <is>
          <t>Armada ARW 86 Women's Skis Â· 2022 Â· 163 cm</t>
        </is>
      </c>
      <c r="AP458" t="inlineStr">
        <is>
          <t>BlueZone Sports</t>
        </is>
      </c>
      <c r="AQ458" s="333" t="n">
        <v>399.95</v>
      </c>
      <c r="AR458" t="inlineStr">
        <is>
          <t>https://tinyurl.com/ycqrct7t</t>
        </is>
      </c>
      <c r="AS458" s="314">
        <f>IF(LEFT(C458,1)=" ",RIGHT(C458,LEN(C458)-1),C458)</f>
        <v/>
      </c>
      <c r="AT458" s="281">
        <f>_xlfn.CONCAT(B458,AS458,D458,E458)</f>
        <v/>
      </c>
    </row>
    <row r="459">
      <c r="A459" t="inlineStr">
        <is>
          <t>21/22</t>
        </is>
      </c>
      <c r="B459" t="inlineStr">
        <is>
          <t xml:space="preserve"> Black Crows</t>
        </is>
      </c>
      <c r="C459" t="inlineStr">
        <is>
          <t xml:space="preserve"> Ferox Freebird</t>
        </is>
      </c>
      <c r="D459" t="n">
        <v>176.7</v>
      </c>
      <c r="E459" t="inlineStr">
        <is>
          <t xml:space="preserve"> Unisex</t>
        </is>
      </c>
      <c r="F459" t="n">
        <v>176.7</v>
      </c>
      <c r="G459" t="n">
        <v>174.7</v>
      </c>
      <c r="H459" t="n">
        <v>130</v>
      </c>
      <c r="I459" t="n">
        <v>139</v>
      </c>
      <c r="J459" t="n">
        <v>138</v>
      </c>
      <c r="K459" t="n">
        <v>110</v>
      </c>
      <c r="L459" t="n">
        <v>127</v>
      </c>
      <c r="M459" t="n">
        <v>21.1</v>
      </c>
      <c r="N459" t="n">
        <v>1878</v>
      </c>
      <c r="O459" t="n">
        <v>1.1</v>
      </c>
      <c r="P459" t="n">
        <v>2065</v>
      </c>
      <c r="Q459" t="n">
        <v>209</v>
      </c>
      <c r="R459" t="n">
        <v>79</v>
      </c>
      <c r="S459" t="n">
        <v>44</v>
      </c>
      <c r="T459" t="n">
        <v>219</v>
      </c>
      <c r="U459" t="n">
        <v>34</v>
      </c>
      <c r="V459" t="n">
        <v>230</v>
      </c>
      <c r="W459" t="n">
        <v>0.78</v>
      </c>
      <c r="X459" t="n">
        <v>196</v>
      </c>
      <c r="Y459" t="n">
        <v>159</v>
      </c>
      <c r="Z459" t="n">
        <v>23</v>
      </c>
      <c r="AA459" t="n">
        <v>3</v>
      </c>
      <c r="AB459" t="n">
        <v>8.300000000000001</v>
      </c>
      <c r="AC459" t="inlineStr">
        <is>
          <t xml:space="preserve"> Powder</t>
        </is>
      </c>
      <c r="AD459" t="inlineStr">
        <is>
          <t xml:space="preserve"> Touring</t>
        </is>
      </c>
      <c r="AG459" t="inlineStr">
        <is>
          <t>2022 Black Crows Ferox Freebird Skis w/ Marker Kingpin 13 Bindings - 176| Ski Essentials</t>
        </is>
      </c>
      <c r="AH459" t="inlineStr">
        <is>
          <t>SkiEssentials.com</t>
        </is>
      </c>
      <c r="AI459" s="333" t="n">
        <v>1210.92</v>
      </c>
      <c r="AJ459" t="inlineStr">
        <is>
          <t>https://tinyurl.com/y79vheq6</t>
        </is>
      </c>
      <c r="AK459" t="inlineStr">
        <is>
          <t>Skis Black Crows Ferox Freebird</t>
        </is>
      </c>
      <c r="AL459" t="inlineStr">
        <is>
          <t>! OutdoorXL.com</t>
        </is>
      </c>
      <c r="AM459" s="333" t="n">
        <v>659.95</v>
      </c>
      <c r="AN459" t="inlineStr">
        <is>
          <t>https://tinyurl.com/y7ycje9g</t>
        </is>
      </c>
      <c r="AO459" t="inlineStr">
        <is>
          <t>Skis Black Crows Ferox Freebird</t>
        </is>
      </c>
      <c r="AP459" t="inlineStr">
        <is>
          <t>Backcountry.com</t>
        </is>
      </c>
      <c r="AQ459" s="333" t="n">
        <v>815.96</v>
      </c>
      <c r="AR459" t="inlineStr">
        <is>
          <t>https://tinyurl.com/y9rwb6z7</t>
        </is>
      </c>
      <c r="AS459" s="314">
        <f>IF(LEFT(C459,1)=" ",RIGHT(C459,LEN(C459)-1),C459)</f>
        <v/>
      </c>
      <c r="AT459" s="281">
        <f>_xlfn.CONCAT(B459,AS459,D459,E459)</f>
        <v/>
      </c>
    </row>
    <row r="460">
      <c r="A460" t="inlineStr">
        <is>
          <t>21/22</t>
        </is>
      </c>
      <c r="B460" t="inlineStr">
        <is>
          <t xml:space="preserve"> Line</t>
        </is>
      </c>
      <c r="C460" t="inlineStr">
        <is>
          <t>Pandora 104</t>
        </is>
      </c>
      <c r="D460" t="n">
        <v>172</v>
      </c>
      <c r="E460" t="inlineStr">
        <is>
          <t xml:space="preserve"> Women's</t>
        </is>
      </c>
      <c r="F460" t="n">
        <v>172</v>
      </c>
      <c r="G460" t="n">
        <v>171.7</v>
      </c>
      <c r="H460" t="n">
        <v>117</v>
      </c>
      <c r="I460" t="n">
        <v>134</v>
      </c>
      <c r="J460" t="n">
        <v>136</v>
      </c>
      <c r="K460" t="n">
        <v>103</v>
      </c>
      <c r="L460" t="n">
        <v>121</v>
      </c>
      <c r="M460" t="n">
        <v>16.4</v>
      </c>
      <c r="N460" t="n">
        <v>1624</v>
      </c>
      <c r="O460" t="n">
        <v>1.2</v>
      </c>
      <c r="P460" t="n">
        <v>1947</v>
      </c>
      <c r="Q460" t="n">
        <v>150</v>
      </c>
      <c r="R460" t="n">
        <v>78</v>
      </c>
      <c r="S460" t="n">
        <v>53</v>
      </c>
      <c r="T460" t="n">
        <v>342</v>
      </c>
      <c r="U460" t="n">
        <v>21</v>
      </c>
      <c r="V460" t="n">
        <v>208</v>
      </c>
      <c r="W460" t="n">
        <v>0.385</v>
      </c>
      <c r="X460" t="n">
        <v>184</v>
      </c>
      <c r="Y460" t="n">
        <v>195</v>
      </c>
      <c r="Z460" t="n">
        <v>158</v>
      </c>
      <c r="AA460" t="n">
        <v>5</v>
      </c>
      <c r="AB460" t="n">
        <v>9.9</v>
      </c>
      <c r="AC460" t="inlineStr">
        <is>
          <t xml:space="preserve"> Resort Freeride</t>
        </is>
      </c>
      <c r="AD460" t="inlineStr">
        <is>
          <t xml:space="preserve"> Powder</t>
        </is>
      </c>
      <c r="AE460" t="inlineStr">
        <is>
          <t xml:space="preserve"> Big Mountain</t>
        </is>
      </c>
      <c r="AF460" t="inlineStr">
        <is>
          <t xml:space="preserve"> Touring</t>
        </is>
      </c>
      <c r="AG460" t="inlineStr">
        <is>
          <t>Line Women's Pandora 104 Ski</t>
        </is>
      </c>
      <c r="AH460" t="inlineStr">
        <is>
          <t>PRFO Sports</t>
        </is>
      </c>
      <c r="AI460" s="333" t="n">
        <v>416.89</v>
      </c>
      <c r="AJ460" t="inlineStr">
        <is>
          <t>https://tinyurl.com/yb4q8ual</t>
        </is>
      </c>
      <c r="AK460" t="inlineStr">
        <is>
          <t>2022 Line Pandora 104 Women's Skis (172)</t>
        </is>
      </c>
      <c r="AL460" t="inlineStr">
        <is>
          <t>Telemark Pyrenees</t>
        </is>
      </c>
      <c r="AM460" s="333" t="n">
        <v>439.98</v>
      </c>
      <c r="AN460" t="inlineStr">
        <is>
          <t>https://tinyurl.com/y99ud3kq</t>
        </is>
      </c>
      <c r="AO460" t="inlineStr">
        <is>
          <t>2022 Line Pandora 104 Women's Skis (172)</t>
        </is>
      </c>
      <c r="AP460" t="inlineStr">
        <is>
          <t>Next Adventure</t>
        </is>
      </c>
      <c r="AQ460" s="333" t="n">
        <v>479.96</v>
      </c>
      <c r="AR460" t="inlineStr">
        <is>
          <t>https://tinyurl.com/y8qkqppc</t>
        </is>
      </c>
      <c r="AS460" s="314">
        <f>IF(LEFT(C460,1)=" ",RIGHT(C460,LEN(C460)-1),C460)</f>
        <v/>
      </c>
      <c r="AT460" s="281">
        <f>_xlfn.CONCAT(B460,AS460,D460,E460)</f>
        <v/>
      </c>
    </row>
    <row r="461">
      <c r="A461" t="inlineStr">
        <is>
          <t>21/22</t>
        </is>
      </c>
      <c r="B461" t="inlineStr">
        <is>
          <t xml:space="preserve"> Fischer</t>
        </is>
      </c>
      <c r="C461" t="inlineStr">
        <is>
          <t>Hannibal 96</t>
        </is>
      </c>
      <c r="D461" t="n">
        <v>183</v>
      </c>
      <c r="E461" t="inlineStr">
        <is>
          <t xml:space="preserve"> Unisex</t>
        </is>
      </c>
      <c r="F461" t="n">
        <v>183</v>
      </c>
      <c r="G461" t="n">
        <v>181.9</v>
      </c>
      <c r="H461" t="n">
        <v>139</v>
      </c>
      <c r="I461" t="n">
        <v>156</v>
      </c>
      <c r="J461" t="n">
        <v>127</v>
      </c>
      <c r="K461" t="n">
        <v>96</v>
      </c>
      <c r="L461" t="n">
        <v>114</v>
      </c>
      <c r="M461" t="n">
        <v>22.3</v>
      </c>
      <c r="N461" t="n">
        <v>1367</v>
      </c>
      <c r="O461" t="n">
        <v>1.4</v>
      </c>
      <c r="P461" t="n">
        <v>1919</v>
      </c>
      <c r="Q461" t="n">
        <v>179</v>
      </c>
      <c r="R461" t="n">
        <v>78</v>
      </c>
      <c r="S461" t="n">
        <v>60</v>
      </c>
      <c r="T461" t="n">
        <v>308</v>
      </c>
      <c r="U461" t="n">
        <v>3</v>
      </c>
      <c r="V461" t="n">
        <v>125</v>
      </c>
      <c r="W461" t="n">
        <v>0.0579999999999999</v>
      </c>
      <c r="X461" t="n">
        <v>172</v>
      </c>
      <c r="Y461" t="n">
        <v>91</v>
      </c>
      <c r="Z461" t="n">
        <v>136</v>
      </c>
      <c r="AA461" t="n">
        <v>6</v>
      </c>
      <c r="AB461" t="n">
        <v>9.6</v>
      </c>
      <c r="AC461" t="inlineStr">
        <is>
          <t xml:space="preserve"> Touring</t>
        </is>
      </c>
      <c r="AD461" t="inlineStr">
        <is>
          <t xml:space="preserve"> Ultralight Touring</t>
        </is>
      </c>
      <c r="AG461" t="inlineStr">
        <is>
          <t>Fischer Hannibal 96 Kit 183</t>
        </is>
      </c>
      <c r="AH461" t="inlineStr">
        <is>
          <t>Ski The Whites</t>
        </is>
      </c>
      <c r="AI461" s="333" t="n">
        <v>1250</v>
      </c>
      <c r="AJ461" t="inlineStr">
        <is>
          <t>https://tinyurl.com/ya8sbg7u</t>
        </is>
      </c>
      <c r="AK461" t="inlineStr">
        <is>
          <t>Fischer Hannibal 96 Carbon Skis - 2022 - 183cm</t>
        </is>
      </c>
      <c r="AL461" t="inlineStr">
        <is>
          <t>ColoradoSkiShop.com</t>
        </is>
      </c>
      <c r="AM461" s="333" t="n">
        <v>509.99</v>
      </c>
      <c r="AN461" t="inlineStr">
        <is>
          <t>https://tinyurl.com/yap4ur3b</t>
        </is>
      </c>
      <c r="AO461" t="inlineStr">
        <is>
          <t>Fischer Hannibal 96 Carbon Skis Â· 183 cm</t>
        </is>
      </c>
      <c r="AP461" t="inlineStr">
        <is>
          <t>Powder7 Ski Shop</t>
        </is>
      </c>
      <c r="AQ461" s="333" t="n">
        <v>549.99</v>
      </c>
      <c r="AR461" t="inlineStr">
        <is>
          <t>https://tinyurl.com/y7yovuju</t>
        </is>
      </c>
      <c r="AS461" s="314">
        <f>IF(LEFT(C461,1)=" ",RIGHT(C461,LEN(C461)-1),C461)</f>
        <v/>
      </c>
      <c r="AT461" s="281">
        <f>_xlfn.CONCAT(B461,AS461,D461,E461)</f>
        <v/>
      </c>
    </row>
    <row r="462">
      <c r="A462" t="inlineStr">
        <is>
          <t>21/22</t>
        </is>
      </c>
      <c r="B462" t="inlineStr">
        <is>
          <t xml:space="preserve"> Vï¿½lkl</t>
        </is>
      </c>
      <c r="C462" t="inlineStr">
        <is>
          <t xml:space="preserve"> Mantra V.Werks</t>
        </is>
      </c>
      <c r="D462" t="n">
        <v>178</v>
      </c>
      <c r="E462" t="inlineStr">
        <is>
          <t xml:space="preserve"> Unisex</t>
        </is>
      </c>
      <c r="F462" t="n">
        <v>178</v>
      </c>
      <c r="G462" t="n">
        <v>179.8</v>
      </c>
      <c r="H462" t="n">
        <v>130</v>
      </c>
      <c r="I462" t="n">
        <v>151</v>
      </c>
      <c r="J462" t="n">
        <v>134</v>
      </c>
      <c r="K462" t="n">
        <v>98</v>
      </c>
      <c r="L462" t="n">
        <v>116</v>
      </c>
      <c r="M462" t="n">
        <v>21.2</v>
      </c>
      <c r="N462" t="n">
        <v>1653</v>
      </c>
      <c r="O462" t="n">
        <v>1.18</v>
      </c>
      <c r="P462" t="n">
        <v>1955</v>
      </c>
      <c r="Q462" t="n">
        <v>190</v>
      </c>
      <c r="R462" t="n">
        <v>150</v>
      </c>
      <c r="S462" t="n">
        <v>49</v>
      </c>
      <c r="T462" t="n">
        <v>294</v>
      </c>
      <c r="U462" t="n">
        <v>17</v>
      </c>
      <c r="V462" t="n">
        <v>208</v>
      </c>
      <c r="W462" t="n">
        <v>0.354</v>
      </c>
      <c r="X462" t="n">
        <v>155</v>
      </c>
      <c r="Y462" t="n">
        <v>129</v>
      </c>
      <c r="Z462" t="n">
        <v>139</v>
      </c>
      <c r="AA462" t="n">
        <v>2</v>
      </c>
      <c r="AB462" t="n">
        <v>10.5</v>
      </c>
      <c r="AC462" t="inlineStr">
        <is>
          <t xml:space="preserve"> Resort Freeride</t>
        </is>
      </c>
      <c r="AD462" t="inlineStr">
        <is>
          <t xml:space="preserve"> Touring</t>
        </is>
      </c>
      <c r="AG462" t="inlineStr">
        <is>
          <t>Volkl Mantra V.Werks Ski 2022, 178</t>
        </is>
      </c>
      <c r="AH462" t="inlineStr">
        <is>
          <t>Gear West Ski &amp; Bike</t>
        </is>
      </c>
      <c r="AI462" s="333" t="n">
        <v>1149.99</v>
      </c>
      <c r="AJ462" t="inlineStr">
        <is>
          <t>https://tinyurl.com/y8ka4o57</t>
        </is>
      </c>
      <c r="AK462" t="inlineStr">
        <is>
          <t>Skis Volkl Mantra V-Werks</t>
        </is>
      </c>
      <c r="AL462" t="inlineStr">
        <is>
          <t>Telemark Pyrenees</t>
        </is>
      </c>
      <c r="AM462" s="333" t="n">
        <v>715.03</v>
      </c>
      <c r="AN462" t="inlineStr">
        <is>
          <t>https://tinyurl.com/yd2bzhwh</t>
        </is>
      </c>
      <c r="AO462" t="inlineStr">
        <is>
          <t>Skis Volkl Mantra V-Werks</t>
        </is>
      </c>
      <c r="AP462" t="inlineStr">
        <is>
          <t>Outdoor Gear Exchange</t>
        </is>
      </c>
      <c r="AQ462" s="333" t="n">
        <v>919.99</v>
      </c>
      <c r="AR462" t="inlineStr">
        <is>
          <t>https://tinyurl.com/yb9kdwm3</t>
        </is>
      </c>
      <c r="AS462" s="314">
        <f>IF(LEFT(C462,1)=" ",RIGHT(C462,LEN(C462)-1),C462)</f>
        <v/>
      </c>
      <c r="AT462" s="281">
        <f>_xlfn.CONCAT(B462,AS462,D462,E462)</f>
        <v/>
      </c>
    </row>
    <row r="463">
      <c r="A463" t="inlineStr">
        <is>
          <t>21/22</t>
        </is>
      </c>
      <c r="B463" t="inlineStr">
        <is>
          <t xml:space="preserve"> Blizzard</t>
        </is>
      </c>
      <c r="C463" t="inlineStr">
        <is>
          <t>Black Pearl 82</t>
        </is>
      </c>
      <c r="D463" t="n">
        <v>166</v>
      </c>
      <c r="E463" t="inlineStr">
        <is>
          <t xml:space="preserve"> Women's</t>
        </is>
      </c>
      <c r="F463" t="n">
        <v>166</v>
      </c>
      <c r="G463" t="n">
        <v>163.7</v>
      </c>
      <c r="H463" t="n">
        <v>118</v>
      </c>
      <c r="I463" t="n">
        <v>142</v>
      </c>
      <c r="J463" t="n">
        <v>121</v>
      </c>
      <c r="K463" t="n">
        <v>82</v>
      </c>
      <c r="L463" t="n">
        <v>104</v>
      </c>
      <c r="M463" t="n">
        <v>15.4</v>
      </c>
      <c r="N463" t="n">
        <v>1679</v>
      </c>
      <c r="O463" t="n">
        <v>0.92</v>
      </c>
      <c r="P463" t="n">
        <v>1539</v>
      </c>
      <c r="Q463" t="n">
        <v>181</v>
      </c>
      <c r="R463" t="n">
        <v>88</v>
      </c>
      <c r="S463" t="n">
        <v>62</v>
      </c>
      <c r="T463" t="n">
        <v>310</v>
      </c>
      <c r="U463" t="n">
        <v>8</v>
      </c>
      <c r="V463" t="n">
        <v>150</v>
      </c>
      <c r="W463" t="n">
        <v>0.136</v>
      </c>
      <c r="X463" t="n">
        <v>122</v>
      </c>
      <c r="Y463" t="n">
        <v>94</v>
      </c>
      <c r="Z463" t="n">
        <v>189</v>
      </c>
      <c r="AA463" t="n">
        <v>3</v>
      </c>
      <c r="AB463" t="n">
        <v>10.5</v>
      </c>
      <c r="AC463" t="inlineStr">
        <is>
          <t xml:space="preserve"> On-Piste All-Mountain</t>
        </is>
      </c>
      <c r="AD463" t="inlineStr">
        <is>
          <t xml:space="preserve"> Resort Freeride</t>
        </is>
      </c>
      <c r="AG463" t="inlineStr">
        <is>
          <t>Blizzard Black Pearl 82 19/20</t>
        </is>
      </c>
      <c r="AH463" t="inlineStr">
        <is>
          <t>eBay - grassisport</t>
        </is>
      </c>
      <c r="AI463" s="333" t="n">
        <v>399.15</v>
      </c>
      <c r="AJ463" t="inlineStr">
        <is>
          <t>https://tinyurl.com/y9am538l</t>
        </is>
      </c>
      <c r="AK463" t="inlineStr">
        <is>
          <t>Blizzard Women's Black Pearl 82 Ski</t>
        </is>
      </c>
      <c r="AL463" t="inlineStr">
        <is>
          <t>Powder7 Ski Shop</t>
        </is>
      </c>
      <c r="AM463" s="333" t="n">
        <v>429.93</v>
      </c>
      <c r="AN463" t="inlineStr">
        <is>
          <t>https://tinyurl.com/yafr7qvq</t>
        </is>
      </c>
      <c r="AO463" t="inlineStr">
        <is>
          <t>Blizzard Women's Black Pearl 82 Ski</t>
        </is>
      </c>
      <c r="AP463" t="inlineStr">
        <is>
          <t>SkiEssentials.com</t>
        </is>
      </c>
      <c r="AQ463" s="333" t="n">
        <v>439.95</v>
      </c>
      <c r="AR463" t="inlineStr">
        <is>
          <t>https://tinyurl.com/ydfeyg9a</t>
        </is>
      </c>
      <c r="AS463" s="314">
        <f>IF(LEFT(C463,1)=" ",RIGHT(C463,LEN(C463)-1),C463)</f>
        <v/>
      </c>
      <c r="AT463" s="281">
        <f>_xlfn.CONCAT(B463,AS463,D463,E463)</f>
        <v/>
      </c>
    </row>
    <row r="464">
      <c r="A464" t="inlineStr">
        <is>
          <t>21/22</t>
        </is>
      </c>
      <c r="B464" t="inlineStr">
        <is>
          <t xml:space="preserve"> Armada</t>
        </is>
      </c>
      <c r="C464" t="inlineStr">
        <is>
          <t>Trace 98</t>
        </is>
      </c>
      <c r="D464" t="n">
        <v>164</v>
      </c>
      <c r="E464" t="inlineStr">
        <is>
          <t xml:space="preserve"> Women's</t>
        </is>
      </c>
      <c r="F464" t="n">
        <v>164</v>
      </c>
      <c r="G464" t="n">
        <v>163.7</v>
      </c>
      <c r="H464" t="n">
        <v>125</v>
      </c>
      <c r="I464" t="n">
        <v>136</v>
      </c>
      <c r="J464" t="n">
        <v>126</v>
      </c>
      <c r="K464" t="n">
        <v>97</v>
      </c>
      <c r="L464" t="n">
        <v>119</v>
      </c>
      <c r="M464" t="n">
        <v>16.7</v>
      </c>
      <c r="N464" t="n">
        <v>1433</v>
      </c>
      <c r="O464" t="n">
        <v>1.22</v>
      </c>
      <c r="P464" t="n">
        <v>1745</v>
      </c>
      <c r="Q464" t="n">
        <v>143</v>
      </c>
      <c r="R464" t="n">
        <v>88</v>
      </c>
      <c r="S464" t="n">
        <v>37</v>
      </c>
      <c r="T464" t="n">
        <v>233</v>
      </c>
      <c r="U464" t="n">
        <v>17</v>
      </c>
      <c r="V464" t="n">
        <v>155</v>
      </c>
      <c r="W464" t="n">
        <v>0.457</v>
      </c>
      <c r="X464" t="n">
        <v>177</v>
      </c>
      <c r="Y464" t="n">
        <v>102</v>
      </c>
      <c r="Z464" t="n">
        <v>57</v>
      </c>
      <c r="AA464" t="n">
        <v>7</v>
      </c>
      <c r="AB464" t="n">
        <v>9.5</v>
      </c>
      <c r="AC464" t="inlineStr">
        <is>
          <t xml:space="preserve"> Resort Freeride</t>
        </is>
      </c>
      <c r="AD464" t="inlineStr">
        <is>
          <t xml:space="preserve"> Touring</t>
        </is>
      </c>
      <c r="AG464" t="inlineStr">
        <is>
          <t>Armada Trace 98 Women's Skis 164cm, Black, Ski Only, 2022</t>
        </is>
      </c>
      <c r="AH464" t="inlineStr">
        <is>
          <t>Absolute-Snow.co.uk</t>
        </is>
      </c>
      <c r="AI464" s="333" t="n">
        <v>530.42</v>
      </c>
      <c r="AJ464" t="inlineStr">
        <is>
          <t>https://tinyurl.com/ybeqgvtf</t>
        </is>
      </c>
      <c r="AK464" t="inlineStr">
        <is>
          <t>Armada Trace 98 Skis - Women's 2022</t>
        </is>
      </c>
      <c r="AL464" t="inlineStr">
        <is>
          <t>REI</t>
        </is>
      </c>
      <c r="AM464" s="333" t="n">
        <v>559.9299999999999</v>
      </c>
      <c r="AN464" t="inlineStr">
        <is>
          <t>https://tinyurl.com/yd7hlh6t</t>
        </is>
      </c>
      <c r="AO464" t="inlineStr">
        <is>
          <t>Armada Trace 98 Skis - Women's 2022</t>
        </is>
      </c>
      <c r="AP464" t="inlineStr">
        <is>
          <t>evo.com</t>
        </is>
      </c>
      <c r="AQ464" s="333" t="n">
        <v>559.96</v>
      </c>
      <c r="AR464" t="inlineStr">
        <is>
          <t>https://tinyurl.com/y9hbpyon</t>
        </is>
      </c>
      <c r="AS464" s="314">
        <f>IF(LEFT(C464,1)=" ",RIGHT(C464,LEN(C464)-1),C464)</f>
        <v/>
      </c>
      <c r="AT464" s="281">
        <f>_xlfn.CONCAT(B464,AS464,D464,E464)</f>
        <v/>
      </c>
    </row>
    <row r="465">
      <c r="A465" t="inlineStr">
        <is>
          <t>21/22</t>
        </is>
      </c>
      <c r="B465" t="inlineStr">
        <is>
          <t xml:space="preserve"> Atomic</t>
        </is>
      </c>
      <c r="C465" t="inlineStr">
        <is>
          <t>Maverick 86 C</t>
        </is>
      </c>
      <c r="D465" t="n">
        <v>169</v>
      </c>
      <c r="E465" t="inlineStr">
        <is>
          <t xml:space="preserve"> Unisex</t>
        </is>
      </c>
      <c r="F465" t="n">
        <v>169</v>
      </c>
      <c r="G465" t="n">
        <v>168.3</v>
      </c>
      <c r="H465" t="n">
        <v>117</v>
      </c>
      <c r="I465" t="n">
        <v>142</v>
      </c>
      <c r="J465" t="n">
        <v>122</v>
      </c>
      <c r="K465" t="n">
        <v>86</v>
      </c>
      <c r="L465" t="n">
        <v>106</v>
      </c>
      <c r="M465" t="n">
        <v>17</v>
      </c>
      <c r="N465" t="n">
        <v>1462</v>
      </c>
      <c r="O465" t="n">
        <v>1.12</v>
      </c>
      <c r="P465" t="n">
        <v>1634</v>
      </c>
      <c r="Q465" t="n">
        <v>188</v>
      </c>
      <c r="R465" t="n">
        <v>87</v>
      </c>
      <c r="S465" t="n">
        <v>50</v>
      </c>
      <c r="T465" t="n">
        <v>299</v>
      </c>
      <c r="U465" t="n">
        <v>15</v>
      </c>
      <c r="V465" t="n">
        <v>215</v>
      </c>
      <c r="W465" t="n">
        <v>0.295</v>
      </c>
      <c r="X465" t="n">
        <v>166</v>
      </c>
      <c r="Y465" t="n">
        <v>100</v>
      </c>
      <c r="Z465" t="n">
        <v>133</v>
      </c>
      <c r="AA465" t="n">
        <v>2</v>
      </c>
      <c r="AB465" t="n">
        <v>8.9</v>
      </c>
      <c r="AC465" t="inlineStr">
        <is>
          <t xml:space="preserve"> Resort Freeride</t>
        </is>
      </c>
      <c r="AD465" t="inlineStr">
        <is>
          <t xml:space="preserve"> Touring</t>
        </is>
      </c>
      <c r="AG465" t="inlineStr">
        <is>
          <t>Atomic Maverick 86 C Skis</t>
        </is>
      </c>
      <c r="AH465" t="inlineStr">
        <is>
          <t>Ski Pro  - Snow Ski &amp; Snowboard</t>
        </is>
      </c>
      <c r="AI465" s="333" t="n">
        <v>399.95</v>
      </c>
      <c r="AJ465" t="inlineStr">
        <is>
          <t>https://tinyurl.com/ycmyzj6w</t>
        </is>
      </c>
      <c r="AK465" t="inlineStr">
        <is>
          <t>Atomic Maverick 86 C Skis</t>
        </is>
      </c>
      <c r="AL465" t="inlineStr">
        <is>
          <t>Level Nine Sports</t>
        </is>
      </c>
      <c r="AM465" s="333" t="n">
        <v>399.99</v>
      </c>
      <c r="AN465" t="inlineStr">
        <is>
          <t>https://tinyurl.com/yb3jug5q</t>
        </is>
      </c>
      <c r="AO465" t="inlineStr">
        <is>
          <t>Atomic Maverick 86 C Skis 2022 - - 169 cm</t>
        </is>
      </c>
      <c r="AP465" t="inlineStr">
        <is>
          <t>Skirack</t>
        </is>
      </c>
      <c r="AQ465" s="333" t="n">
        <v>399.99</v>
      </c>
      <c r="AR465" t="inlineStr">
        <is>
          <t>https://tinyurl.com/y7tumpk9</t>
        </is>
      </c>
      <c r="AS465" s="314">
        <f>IF(LEFT(C465,1)=" ",RIGHT(C465,LEN(C465)-1),C465)</f>
        <v/>
      </c>
      <c r="AT465" s="281">
        <f>_xlfn.CONCAT(B465,AS465,D465,E465)</f>
        <v/>
      </c>
    </row>
    <row r="466">
      <c r="A466" t="inlineStr">
        <is>
          <t>21/22</t>
        </is>
      </c>
      <c r="B466" t="inlineStr">
        <is>
          <t xml:space="preserve"> Liberty</t>
        </is>
      </c>
      <c r="C466" t="inlineStr">
        <is>
          <t>Genesis 101</t>
        </is>
      </c>
      <c r="D466" t="n">
        <v>171</v>
      </c>
      <c r="E466" t="inlineStr">
        <is>
          <t xml:space="preserve"> Women's</t>
        </is>
      </c>
      <c r="F466" t="n">
        <v>171</v>
      </c>
      <c r="G466" t="n">
        <v>170</v>
      </c>
      <c r="H466" t="n">
        <v>111</v>
      </c>
      <c r="I466" t="n">
        <v>141</v>
      </c>
      <c r="J466" t="n">
        <v>135</v>
      </c>
      <c r="K466" t="n">
        <v>101</v>
      </c>
      <c r="L466" t="n">
        <v>122</v>
      </c>
      <c r="M466" t="n">
        <v>16.6</v>
      </c>
      <c r="N466" t="n">
        <v>1723</v>
      </c>
      <c r="O466" t="n">
        <v>1.1</v>
      </c>
      <c r="P466" t="n">
        <v>1895</v>
      </c>
      <c r="Q466" t="n">
        <v>171</v>
      </c>
      <c r="R466" t="n">
        <v>81</v>
      </c>
      <c r="S466" t="n">
        <v>51</v>
      </c>
      <c r="T466" t="n">
        <v>339</v>
      </c>
      <c r="U466" t="n">
        <v>28</v>
      </c>
      <c r="V466" t="n">
        <v>248</v>
      </c>
      <c r="W466" t="n">
        <v>0.55</v>
      </c>
      <c r="X466" t="n">
        <v>142</v>
      </c>
      <c r="Y466" t="n">
        <v>148</v>
      </c>
      <c r="Z466" t="n">
        <v>197</v>
      </c>
      <c r="AA466" t="n">
        <v>6</v>
      </c>
      <c r="AB466" t="n">
        <v>8.300000000000001</v>
      </c>
      <c r="AC466" t="inlineStr">
        <is>
          <t xml:space="preserve"> Resort Freeride</t>
        </is>
      </c>
      <c r="AD466" t="inlineStr">
        <is>
          <t xml:space="preserve"> Powder</t>
        </is>
      </c>
      <c r="AE466" t="inlineStr">
        <is>
          <t xml:space="preserve"> Touring</t>
        </is>
      </c>
      <c r="AG466" t="inlineStr">
        <is>
          <t>Liberty Skis Genesis 101 Skis - Women's 2022</t>
        </is>
      </c>
      <c r="AH466" t="inlineStr">
        <is>
          <t>Next Adventure</t>
        </is>
      </c>
      <c r="AI466" s="333" t="n">
        <v>449.99</v>
      </c>
      <c r="AJ466" t="inlineStr">
        <is>
          <t>https://tinyurl.com/ydg4fnjk</t>
        </is>
      </c>
      <c r="AK466" t="inlineStr">
        <is>
          <t>Liberty Skis Genesis 101 Skis - Women's 2022</t>
        </is>
      </c>
      <c r="AL466" t="inlineStr">
        <is>
          <t>SkiEssentials.com</t>
        </is>
      </c>
      <c r="AM466" s="333" t="n">
        <v>449.99</v>
      </c>
      <c r="AN466" t="inlineStr">
        <is>
          <t>https://tinyurl.com/y8floahf</t>
        </is>
      </c>
      <c r="AO466" t="inlineStr">
        <is>
          <t>Liberty Skis Genesis 101 Skis - Women's 2022</t>
        </is>
      </c>
      <c r="AP466" t="inlineStr">
        <is>
          <t>Mountain Steals</t>
        </is>
      </c>
      <c r="AQ466" s="333" t="n">
        <v>479.99</v>
      </c>
      <c r="AR466" t="inlineStr">
        <is>
          <t>https://tinyurl.com/ydxn62t5</t>
        </is>
      </c>
      <c r="AS466" s="314">
        <f>IF(LEFT(C466,1)=" ",RIGHT(C466,LEN(C466)-1),C466)</f>
        <v/>
      </c>
      <c r="AT466" s="281">
        <f>_xlfn.CONCAT(B466,AS466,D466,E466)</f>
        <v/>
      </c>
    </row>
    <row r="467">
      <c r="A467" t="inlineStr">
        <is>
          <t>21/22</t>
        </is>
      </c>
      <c r="B467" t="inlineStr">
        <is>
          <t xml:space="preserve"> Rossignol</t>
        </is>
      </c>
      <c r="C467" t="inlineStr">
        <is>
          <t xml:space="preserve"> Blackops Blazer W</t>
        </is>
      </c>
      <c r="D467" t="n">
        <v>160</v>
      </c>
      <c r="E467" t="inlineStr">
        <is>
          <t xml:space="preserve"> Women's</t>
        </is>
      </c>
      <c r="F467" t="n">
        <v>160</v>
      </c>
      <c r="G467" t="n">
        <v>159.3</v>
      </c>
      <c r="H467" t="n">
        <v>113</v>
      </c>
      <c r="I467" t="n">
        <v>136</v>
      </c>
      <c r="J467" t="n">
        <v>130</v>
      </c>
      <c r="K467" t="n">
        <v>97</v>
      </c>
      <c r="L467" t="n">
        <v>120</v>
      </c>
      <c r="M467" t="n">
        <v>14.1</v>
      </c>
      <c r="N467" t="n">
        <v>1775</v>
      </c>
      <c r="O467" t="n">
        <v>0.97</v>
      </c>
      <c r="P467" t="n">
        <v>1726</v>
      </c>
      <c r="Q467" t="n">
        <v>200</v>
      </c>
      <c r="R467" t="n">
        <v>108</v>
      </c>
      <c r="S467" t="n">
        <v>49</v>
      </c>
      <c r="T467" t="n">
        <v>239</v>
      </c>
      <c r="U467" t="n">
        <v>35</v>
      </c>
      <c r="V467" t="n">
        <v>225</v>
      </c>
      <c r="W467" t="n">
        <v>0.706</v>
      </c>
      <c r="X467" t="n">
        <v>131</v>
      </c>
      <c r="Y467" t="n">
        <v>105</v>
      </c>
      <c r="Z467" t="n">
        <v>108</v>
      </c>
      <c r="AA467" t="n">
        <v>8</v>
      </c>
      <c r="AB467" t="n">
        <v>4.2</v>
      </c>
      <c r="AC467" t="inlineStr">
        <is>
          <t xml:space="preserve"> Resort Freeride</t>
        </is>
      </c>
      <c r="AG467" t="inlineStr">
        <is>
          <t>Fischer W Ranger 102 FR 163cm</t>
        </is>
      </c>
      <c r="AH467" t="inlineStr">
        <is>
          <t>Sundance Ski and Board Shop</t>
        </is>
      </c>
      <c r="AI467" s="333" t="n">
        <v>521.11</v>
      </c>
      <c r="AJ467" t="inlineStr">
        <is>
          <t>https://tinyurl.com/ycbh2zg2</t>
        </is>
      </c>
      <c r="AK467" t="inlineStr">
        <is>
          <t>Fischer Ranger 102 FR</t>
        </is>
      </c>
      <c r="AL467" t="inlineStr">
        <is>
          <t>SkiEssentials.com</t>
        </is>
      </c>
      <c r="AM467" s="333" t="n">
        <v>479.99</v>
      </c>
      <c r="AN467" t="inlineStr">
        <is>
          <t>https://tinyurl.com/ycyekznm</t>
        </is>
      </c>
      <c r="AO467" t="inlineStr">
        <is>
          <t>Fischer Ranger 102 FR</t>
        </is>
      </c>
      <c r="AP467" t="inlineStr">
        <is>
          <t>Moosejaw</t>
        </is>
      </c>
      <c r="AQ467" s="333" t="n">
        <v>524.99</v>
      </c>
      <c r="AR467" t="inlineStr">
        <is>
          <t>https://tinyurl.com/ybg7cdh2</t>
        </is>
      </c>
      <c r="AS467" s="314">
        <f>IF(LEFT(C467,1)=" ",RIGHT(C467,LEN(C467)-1),C467)</f>
        <v/>
      </c>
      <c r="AT467" s="281">
        <f>_xlfn.CONCAT(B467,AS467,D467,E467)</f>
        <v/>
      </c>
    </row>
    <row r="468">
      <c r="A468" t="inlineStr">
        <is>
          <t>21/22</t>
        </is>
      </c>
      <c r="B468" t="inlineStr">
        <is>
          <t xml:space="preserve"> Rossignol</t>
        </is>
      </c>
      <c r="C468" t="inlineStr">
        <is>
          <t xml:space="preserve"> Hero Elite Multi Turn Ca</t>
        </is>
      </c>
      <c r="D468" t="n">
        <v>175</v>
      </c>
      <c r="E468" t="inlineStr">
        <is>
          <t xml:space="preserve"> Unisex</t>
        </is>
      </c>
      <c r="F468" t="n">
        <v>175</v>
      </c>
      <c r="G468" t="n">
        <v>174.4</v>
      </c>
      <c r="H468" t="n">
        <v>148</v>
      </c>
      <c r="I468" t="n">
        <v>161</v>
      </c>
      <c r="J468" t="n">
        <v>122</v>
      </c>
      <c r="K468" t="n">
        <v>73</v>
      </c>
      <c r="L468" t="n">
        <v>108</v>
      </c>
      <c r="M468" t="n">
        <v>15.2</v>
      </c>
      <c r="N468" t="n">
        <v>1895</v>
      </c>
      <c r="O468" t="n">
        <v>0.82</v>
      </c>
      <c r="P468" t="n">
        <v>1550</v>
      </c>
      <c r="Q468" t="n">
        <v>233</v>
      </c>
      <c r="R468" t="n">
        <v>87</v>
      </c>
      <c r="S468" t="n">
        <v>40</v>
      </c>
      <c r="T468" t="n">
        <v>196</v>
      </c>
      <c r="U468" t="n">
        <v>4</v>
      </c>
      <c r="V468" t="n">
        <v>66</v>
      </c>
      <c r="W468" t="n">
        <v>0.109</v>
      </c>
      <c r="X468" t="n">
        <v>73</v>
      </c>
      <c r="Y468" t="n">
        <v>60</v>
      </c>
      <c r="Z468" t="n">
        <v>122</v>
      </c>
      <c r="AA468" t="n">
        <v>10</v>
      </c>
      <c r="AB468" t="n">
        <v>10.2</v>
      </c>
      <c r="AC468" t="inlineStr">
        <is>
          <t xml:space="preserve"> On-Piste Carving</t>
        </is>
      </c>
      <c r="AG468" t="inlineStr">
        <is>
          <t>Rossignol Hero Elite MT Ti</t>
        </is>
      </c>
      <c r="AH468" t="inlineStr">
        <is>
          <t>Suburban Ski and Bike</t>
        </is>
      </c>
      <c r="AI468" s="333" t="n">
        <v>639.95</v>
      </c>
      <c r="AJ468" t="inlineStr">
        <is>
          <t>https://tinyurl.com/y8927g4x</t>
        </is>
      </c>
      <c r="AK468" t="inlineStr">
        <is>
          <t>Rossignol HERO ELITE MT TI + SPX12.GW BI Racing Ski 2022 175</t>
        </is>
      </c>
      <c r="AL468" t="inlineStr">
        <is>
          <t>Boyne Country Sports</t>
        </is>
      </c>
      <c r="AM468" s="333" t="n">
        <v>900</v>
      </c>
      <c r="AN468" t="inlineStr">
        <is>
          <t>https://tinyurl.com/yczho7wx</t>
        </is>
      </c>
      <c r="AO468" t="inlineStr">
        <is>
          <t>Rossignol Unisex Racing Skis Hero Athlete GS Â· 175 cm</t>
        </is>
      </c>
      <c r="AP468" t="inlineStr">
        <is>
          <t>Gear West Ski &amp; Bike</t>
        </is>
      </c>
      <c r="AQ468" s="333" t="n">
        <v>1125</v>
      </c>
      <c r="AR468" t="inlineStr">
        <is>
          <t>https://tinyurl.com/y7oubf3k</t>
        </is>
      </c>
      <c r="AS468" s="314">
        <f>IF(LEFT(C468,1)=" ",RIGHT(C468,LEN(C468)-1),C468)</f>
        <v/>
      </c>
      <c r="AT468" s="281">
        <f>_xlfn.CONCAT(B468,AS468,D468,E468)</f>
        <v/>
      </c>
    </row>
    <row r="469">
      <c r="A469" t="inlineStr">
        <is>
          <t>21/22</t>
        </is>
      </c>
      <c r="B469" t="inlineStr">
        <is>
          <t xml:space="preserve"> Salomon</t>
        </is>
      </c>
      <c r="C469" t="inlineStr">
        <is>
          <t>QST Lux 92</t>
        </is>
      </c>
      <c r="D469" t="n">
        <v>169</v>
      </c>
      <c r="E469" t="inlineStr">
        <is>
          <t xml:space="preserve"> Women's</t>
        </is>
      </c>
      <c r="F469" t="n">
        <v>169</v>
      </c>
      <c r="G469" t="n">
        <v>168.6</v>
      </c>
      <c r="H469" t="n">
        <v>125</v>
      </c>
      <c r="I469" t="n">
        <v>140</v>
      </c>
      <c r="J469" t="n">
        <v>129</v>
      </c>
      <c r="K469" t="n">
        <v>92</v>
      </c>
      <c r="L469" t="n">
        <v>112</v>
      </c>
      <c r="M469" t="n">
        <v>15.5</v>
      </c>
      <c r="N469" t="n">
        <v>1722</v>
      </c>
      <c r="O469" t="n">
        <v>1.02</v>
      </c>
      <c r="P469" t="n">
        <v>1752</v>
      </c>
      <c r="Q469" t="n">
        <v>183</v>
      </c>
      <c r="R469" t="n">
        <v>82</v>
      </c>
      <c r="S469" t="n">
        <v>56</v>
      </c>
      <c r="T469" t="n">
        <v>288</v>
      </c>
      <c r="U469" t="n">
        <v>13</v>
      </c>
      <c r="V469" t="n">
        <v>147</v>
      </c>
      <c r="W469" t="n">
        <v>0.238</v>
      </c>
      <c r="X469" t="n">
        <v>156</v>
      </c>
      <c r="Y469" t="n">
        <v>128</v>
      </c>
      <c r="Z469" t="n">
        <v>132</v>
      </c>
      <c r="AA469" t="n">
        <v>8</v>
      </c>
      <c r="AB469" t="n">
        <v>9.1</v>
      </c>
      <c r="AC469" t="inlineStr">
        <is>
          <t xml:space="preserve"> Resort Freeride</t>
        </is>
      </c>
      <c r="AG469" t="inlineStr">
        <is>
          <t>Salomon QST Lux 92 Skis - Women's 2022</t>
        </is>
      </c>
      <c r="AH469" t="inlineStr">
        <is>
          <t>Ski Pro  - Snow Ski &amp; Snowboard</t>
        </is>
      </c>
      <c r="AI469" s="333" t="n">
        <v>399.95</v>
      </c>
      <c r="AJ469" t="inlineStr">
        <is>
          <t>https://tinyurl.com/yabsry6r</t>
        </is>
      </c>
      <c r="AK469" t="inlineStr">
        <is>
          <t>Salomon QST Lux 92 Skis</t>
        </is>
      </c>
      <c r="AL469" t="inlineStr">
        <is>
          <t>Cole Sport</t>
        </is>
      </c>
      <c r="AM469" s="333" t="n">
        <v>399.99</v>
      </c>
      <c r="AN469" t="inlineStr">
        <is>
          <t>https://tinyurl.com/y7o945wt</t>
        </is>
      </c>
      <c r="AO469" t="inlineStr">
        <is>
          <t>Salomon QST Lux 92 Skis - Women's 2022</t>
        </is>
      </c>
      <c r="AP469" t="inlineStr">
        <is>
          <t>Level Nine Sports</t>
        </is>
      </c>
      <c r="AQ469" s="333" t="n">
        <v>399.99</v>
      </c>
      <c r="AR469" t="inlineStr">
        <is>
          <t>https://tinyurl.com/y9qegevw</t>
        </is>
      </c>
      <c r="AS469" s="314">
        <f>IF(LEFT(C469,1)=" ",RIGHT(C469,LEN(C469)-1),C469)</f>
        <v/>
      </c>
      <c r="AT469" s="281">
        <f>_xlfn.CONCAT(B469,AS469,D469,E469)</f>
        <v/>
      </c>
    </row>
    <row r="470">
      <c r="A470" t="inlineStr">
        <is>
          <t>21/22</t>
        </is>
      </c>
      <c r="B470" t="inlineStr">
        <is>
          <t xml:space="preserve"> Vï¿½lkl</t>
        </is>
      </c>
      <c r="C470" t="inlineStr">
        <is>
          <t>Blaze 86</t>
        </is>
      </c>
      <c r="D470" t="n">
        <v>180</v>
      </c>
      <c r="E470" t="inlineStr">
        <is>
          <t xml:space="preserve"> Unisex</t>
        </is>
      </c>
      <c r="F470" t="n">
        <v>180</v>
      </c>
      <c r="G470" t="n">
        <v>179.6</v>
      </c>
      <c r="H470" t="n">
        <v>129</v>
      </c>
      <c r="I470" t="n">
        <v>155</v>
      </c>
      <c r="J470" t="n">
        <v>128</v>
      </c>
      <c r="K470" t="n">
        <v>85</v>
      </c>
      <c r="L470" t="n">
        <v>110</v>
      </c>
      <c r="M470" t="n">
        <v>16.9</v>
      </c>
      <c r="N470" t="n">
        <v>1483</v>
      </c>
      <c r="O470" t="n">
        <v>1.2</v>
      </c>
      <c r="P470" t="n">
        <v>1780</v>
      </c>
      <c r="Q470" t="n">
        <v>189</v>
      </c>
      <c r="R470" t="n">
        <v>84</v>
      </c>
      <c r="S470" t="n">
        <v>46</v>
      </c>
      <c r="T470" t="n">
        <v>302</v>
      </c>
      <c r="U470" t="n">
        <v>18</v>
      </c>
      <c r="V470" t="n">
        <v>206</v>
      </c>
      <c r="W470" t="n">
        <v>0.398999999999999</v>
      </c>
      <c r="X470" t="n">
        <v>149</v>
      </c>
      <c r="Y470" t="n">
        <v>99</v>
      </c>
      <c r="Z470" t="n">
        <v>154</v>
      </c>
      <c r="AA470" t="n">
        <v>2</v>
      </c>
      <c r="AB470" t="n">
        <v>11</v>
      </c>
      <c r="AC470" t="inlineStr">
        <is>
          <t xml:space="preserve"> Resort Freeride</t>
        </is>
      </c>
      <c r="AD470" t="inlineStr">
        <is>
          <t xml:space="preserve"> Touring</t>
        </is>
      </c>
      <c r="AG470" t="inlineStr">
        <is>
          <t>Volkl Blaze 86 Flat Ski Winter 2021/2022 180</t>
        </is>
      </c>
      <c r="AH470" t="inlineStr">
        <is>
          <t>Equipe Sport</t>
        </is>
      </c>
      <c r="AI470" s="333" t="n">
        <v>399</v>
      </c>
      <c r="AJ470" t="inlineStr">
        <is>
          <t>https://tinyurl.com/y8kwffso</t>
        </is>
      </c>
      <c r="AK470" t="inlineStr">
        <is>
          <t>Volkl Blaze 86 Skis 2022</t>
        </is>
      </c>
      <c r="AL470" t="inlineStr">
        <is>
          <t>Hillcrest Ski &amp; Sports</t>
        </is>
      </c>
      <c r="AM470" s="333" t="n">
        <v>399.99</v>
      </c>
      <c r="AN470" t="inlineStr">
        <is>
          <t>https://tinyurl.com/y8rdxbro</t>
        </is>
      </c>
      <c r="AO470" t="inlineStr">
        <is>
          <t>Volkl Blaze 86 Skis 2022</t>
        </is>
      </c>
      <c r="AP470" t="inlineStr">
        <is>
          <t>BlueZone Sports</t>
        </is>
      </c>
      <c r="AQ470" s="333" t="n">
        <v>399.99</v>
      </c>
      <c r="AR470" t="inlineStr">
        <is>
          <t>https://tinyurl.com/y9q3tadk</t>
        </is>
      </c>
      <c r="AS470" s="314">
        <f>IF(LEFT(C470,1)=" ",RIGHT(C470,LEN(C470)-1),C470)</f>
        <v/>
      </c>
      <c r="AT470" s="281">
        <f>_xlfn.CONCAT(B470,AS470,D470,E470)</f>
        <v/>
      </c>
    </row>
    <row r="471">
      <c r="A471" t="inlineStr">
        <is>
          <t>21/22</t>
        </is>
      </c>
      <c r="B471" t="inlineStr">
        <is>
          <t xml:space="preserve"> Atomic</t>
        </is>
      </c>
      <c r="C471" t="inlineStr">
        <is>
          <t>Vantage 75</t>
        </is>
      </c>
      <c r="D471" t="n">
        <v>169</v>
      </c>
      <c r="E471" t="inlineStr">
        <is>
          <t xml:space="preserve"> Unisex</t>
        </is>
      </c>
      <c r="F471" t="n">
        <v>169</v>
      </c>
      <c r="G471" t="n">
        <v>168.5</v>
      </c>
      <c r="H471" t="n">
        <v>142</v>
      </c>
      <c r="I471" t="n">
        <v>152</v>
      </c>
      <c r="J471" t="n">
        <v>115</v>
      </c>
      <c r="K471" t="n">
        <v>74</v>
      </c>
      <c r="L471" t="n">
        <v>100</v>
      </c>
      <c r="M471" t="n">
        <v>16.2</v>
      </c>
      <c r="N471" t="n">
        <v>1889</v>
      </c>
      <c r="O471" t="n">
        <v>0.77</v>
      </c>
      <c r="P471" t="n">
        <v>1464</v>
      </c>
      <c r="Q471" t="n">
        <v>188</v>
      </c>
      <c r="R471" t="n">
        <v>91</v>
      </c>
      <c r="S471" t="n">
        <v>39</v>
      </c>
      <c r="T471" t="n">
        <v>185</v>
      </c>
      <c r="U471" t="n">
        <v>4</v>
      </c>
      <c r="V471" t="n">
        <v>76</v>
      </c>
      <c r="W471" t="n">
        <v>0.115999999999999</v>
      </c>
      <c r="X471" t="n">
        <v>97</v>
      </c>
      <c r="Y471" t="n">
        <v>73</v>
      </c>
      <c r="Z471" t="n">
        <v>87</v>
      </c>
      <c r="AA471" t="n">
        <v>10</v>
      </c>
      <c r="AB471" t="n">
        <v>10.4</v>
      </c>
      <c r="AC471" t="inlineStr">
        <is>
          <t xml:space="preserve"> On-Piste Carving</t>
        </is>
      </c>
      <c r="AD471" t="inlineStr">
        <is>
          <t xml:space="preserve"> On-Piste All-Mountain</t>
        </is>
      </c>
      <c r="AG471" t="inlineStr">
        <is>
          <t>Atomic Vantage 75 C + M 10 GW</t>
        </is>
      </c>
      <c r="AH471" t="inlineStr">
        <is>
          <t>evo.com</t>
        </is>
      </c>
      <c r="AI471" s="333" t="n">
        <v>319.99</v>
      </c>
      <c r="AJ471" t="inlineStr">
        <is>
          <t>https://tinyurl.com/y8vqmf8w</t>
        </is>
      </c>
      <c r="AK471" t="inlineStr">
        <is>
          <t>Atomic Vantage 75 C + M 10 GW</t>
        </is>
      </c>
      <c r="AL471" t="inlineStr">
        <is>
          <t>Curated</t>
        </is>
      </c>
      <c r="AM471" s="333" t="n">
        <v>319.99</v>
      </c>
      <c r="AN471" t="inlineStr">
        <is>
          <t>https://tinyurl.com/ydh992n5</t>
        </is>
      </c>
      <c r="AO471" t="inlineStr">
        <is>
          <t>Atomic Vantage 75 C + M10 GW Skis 2022 - - 169 cm</t>
        </is>
      </c>
      <c r="AP471" t="inlineStr">
        <is>
          <t>Skirack</t>
        </is>
      </c>
      <c r="AQ471" s="333" t="n">
        <v>319.99</v>
      </c>
      <c r="AR471" t="inlineStr">
        <is>
          <t>https://tinyurl.com/yatfgqew</t>
        </is>
      </c>
      <c r="AS471" s="314">
        <f>IF(LEFT(C471,1)=" ",RIGHT(C471,LEN(C471)-1),C471)</f>
        <v/>
      </c>
      <c r="AT471" s="281">
        <f>_xlfn.CONCAT(B471,AS471,D471,E471)</f>
        <v/>
      </c>
    </row>
    <row r="472">
      <c r="A472" t="inlineStr">
        <is>
          <t>21/22</t>
        </is>
      </c>
      <c r="B472" t="inlineStr">
        <is>
          <t xml:space="preserve"> Line</t>
        </is>
      </c>
      <c r="C472" t="inlineStr">
        <is>
          <t xml:space="preserve"> Blade W</t>
        </is>
      </c>
      <c r="D472" t="n">
        <v>160</v>
      </c>
      <c r="E472" t="inlineStr">
        <is>
          <t xml:space="preserve"> Women's</t>
        </is>
      </c>
      <c r="F472" t="n">
        <v>160</v>
      </c>
      <c r="G472" t="n">
        <v>159.5</v>
      </c>
      <c r="H472" t="n">
        <v>126</v>
      </c>
      <c r="I472" t="n">
        <v>144</v>
      </c>
      <c r="J472" t="n">
        <v>139</v>
      </c>
      <c r="K472" t="n">
        <v>90</v>
      </c>
      <c r="L472" t="n">
        <v>113</v>
      </c>
      <c r="M472" t="n">
        <v>14.7</v>
      </c>
      <c r="N472" t="n">
        <v>1624</v>
      </c>
      <c r="O472" t="n">
        <v>1.02</v>
      </c>
      <c r="P472" t="n">
        <v>1664</v>
      </c>
      <c r="Q472" t="n">
        <v>139</v>
      </c>
      <c r="R472" t="n">
        <v>87</v>
      </c>
      <c r="S472" t="n">
        <v>32</v>
      </c>
      <c r="T472" t="n">
        <v>208</v>
      </c>
      <c r="U472" t="n">
        <v>15</v>
      </c>
      <c r="V472" t="n">
        <v>132</v>
      </c>
      <c r="W472" t="n">
        <v>0.465</v>
      </c>
      <c r="X472" t="n">
        <v>129</v>
      </c>
      <c r="Y472" t="n">
        <v>22</v>
      </c>
      <c r="Z472" t="n">
        <v>79</v>
      </c>
      <c r="AA472" t="n">
        <v>8</v>
      </c>
      <c r="AB472" t="n">
        <v>6.4</v>
      </c>
      <c r="AC472" t="inlineStr">
        <is>
          <t xml:space="preserve"> Resort Freeride</t>
        </is>
      </c>
      <c r="AG472" t="inlineStr">
        <is>
          <t>'21 Line Blade W Skis 160cm</t>
        </is>
      </c>
      <c r="AH472" t="inlineStr">
        <is>
          <t>Al's Ski Equipment Barn</t>
        </is>
      </c>
      <c r="AI472" s="333" t="n">
        <v>479.95</v>
      </c>
      <c r="AJ472" t="inlineStr">
        <is>
          <t>https://www.google.com/url?q=https://www.untracked.com/p7116c18b88lr-Froogle-21_line_blade_womens_allmountain_freeride_skis.html%23chsku721504&amp;sa=U&amp;ved=0ahUKEwjnkuuAvu72AhU9JUQIHXvvCHMQ2SkIgQE&amp;usg=AOvVaw3VoLMYGVTKTj_bJ4ensBSE</t>
        </is>
      </c>
      <c r="AK472" t="inlineStr">
        <is>
          <t>Line 2022 Blade W's Skis w Marker Griffon Bindings 160</t>
        </is>
      </c>
      <c r="AL472" t="inlineStr">
        <is>
          <t>The Locals Sale</t>
        </is>
      </c>
      <c r="AM472" s="333" t="n">
        <v>540</v>
      </c>
      <c r="AN472" t="inlineStr">
        <is>
          <t>https://tinyurl.com/y9ao4oof</t>
        </is>
      </c>
      <c r="AO472" t="inlineStr">
        <is>
          <t>Line Blade W Skis 2022</t>
        </is>
      </c>
      <c r="AP472" t="inlineStr">
        <is>
          <t>Level Nine Sports</t>
        </is>
      </c>
      <c r="AQ472" s="333" t="n">
        <v>699.95</v>
      </c>
      <c r="AR472" t="inlineStr">
        <is>
          <t>https://tinyurl.com/y8w6yvjd</t>
        </is>
      </c>
      <c r="AS472" s="314">
        <f>IF(LEFT(C472,1)=" ",RIGHT(C472,LEN(C472)-1),C472)</f>
        <v/>
      </c>
      <c r="AT472" s="281">
        <f>_xlfn.CONCAT(B472,AS472,D472,E472)</f>
        <v/>
      </c>
    </row>
    <row r="473">
      <c r="A473" t="inlineStr">
        <is>
          <t>21/22</t>
        </is>
      </c>
      <c r="B473" t="inlineStr">
        <is>
          <t xml:space="preserve"> Vï¿½lkl</t>
        </is>
      </c>
      <c r="C473" t="inlineStr">
        <is>
          <t>Revolt 95</t>
        </is>
      </c>
      <c r="D473" t="n">
        <v>173</v>
      </c>
      <c r="E473" t="inlineStr">
        <is>
          <t xml:space="preserve"> Unisex</t>
        </is>
      </c>
      <c r="F473" t="n">
        <v>173</v>
      </c>
      <c r="G473" t="n">
        <v>173.4</v>
      </c>
      <c r="H473" t="n">
        <v>130</v>
      </c>
      <c r="I473" t="n">
        <v>159</v>
      </c>
      <c r="J473" t="n">
        <v>128</v>
      </c>
      <c r="K473" t="n">
        <v>94</v>
      </c>
      <c r="L473" t="n">
        <v>118</v>
      </c>
      <c r="M473" t="n">
        <v>21.6</v>
      </c>
      <c r="N473" t="n">
        <v>1979</v>
      </c>
      <c r="O473" t="n">
        <v>0.91</v>
      </c>
      <c r="P473" t="n">
        <v>1806</v>
      </c>
      <c r="Q473" t="n">
        <v>192</v>
      </c>
      <c r="R473" t="n">
        <v>104</v>
      </c>
      <c r="S473" t="n">
        <v>41</v>
      </c>
      <c r="T473" t="n">
        <v>222</v>
      </c>
      <c r="U473" t="n">
        <v>37</v>
      </c>
      <c r="V473" t="n">
        <v>209</v>
      </c>
      <c r="W473" t="n">
        <v>0.912</v>
      </c>
      <c r="X473" t="n">
        <v>81</v>
      </c>
      <c r="Y473" t="n">
        <v>62</v>
      </c>
      <c r="Z473" t="n">
        <v>141</v>
      </c>
      <c r="AA473" t="n">
        <v>5</v>
      </c>
      <c r="AB473" t="n">
        <v>0.1</v>
      </c>
      <c r="AC473" t="inlineStr">
        <is>
          <t xml:space="preserve"> Freeski</t>
        </is>
      </c>
      <c r="AG473" t="inlineStr">
        <is>
          <t>Volkl Revolt 95 Skis</t>
        </is>
      </c>
      <c r="AH473" t="inlineStr">
        <is>
          <t>BlueZone Sports</t>
        </is>
      </c>
      <c r="AI473" s="333" t="n">
        <v>319.99</v>
      </c>
      <c r="AJ473" t="inlineStr">
        <is>
          <t>https://tinyurl.com/ydzyu87y</t>
        </is>
      </c>
      <c r="AK473" t="inlineStr">
        <is>
          <t>Volkl Revolt 95 Skis</t>
        </is>
      </c>
      <c r="AL473" t="inlineStr">
        <is>
          <t>The Ski Bum</t>
        </is>
      </c>
      <c r="AM473" s="333" t="n">
        <v>319.99</v>
      </c>
      <c r="AN473" t="inlineStr">
        <is>
          <t>https://tinyurl.com/yd9fw7nb</t>
        </is>
      </c>
      <c r="AO473" t="inlineStr">
        <is>
          <t>22 Revolt 95 22 / 173</t>
        </is>
      </c>
      <c r="AP473" t="inlineStr">
        <is>
          <t>Sporthaus</t>
        </is>
      </c>
      <c r="AQ473" s="333" t="n">
        <v>399.99</v>
      </c>
      <c r="AR473" t="inlineStr">
        <is>
          <t>https://tinyurl.com/ya2qoh4r</t>
        </is>
      </c>
      <c r="AS473" s="314">
        <f>IF(LEFT(C473,1)=" ",RIGHT(C473,LEN(C473)-1),C473)</f>
        <v/>
      </c>
      <c r="AT473" s="281">
        <f>_xlfn.CONCAT(B473,AS473,D473,E473)</f>
        <v/>
      </c>
    </row>
    <row r="474">
      <c r="A474" t="inlineStr">
        <is>
          <t>21/22</t>
        </is>
      </c>
      <c r="B474" t="inlineStr">
        <is>
          <t xml:space="preserve"> Fischer</t>
        </is>
      </c>
      <c r="C474" t="inlineStr">
        <is>
          <t>Hannibal 106</t>
        </is>
      </c>
      <c r="D474" t="n">
        <v>185</v>
      </c>
      <c r="E474" t="inlineStr">
        <is>
          <t xml:space="preserve"> Unisex</t>
        </is>
      </c>
      <c r="F474" t="n">
        <v>185</v>
      </c>
      <c r="G474" t="n">
        <v>183.6</v>
      </c>
      <c r="H474" t="n">
        <v>118</v>
      </c>
      <c r="I474" t="n">
        <v>152</v>
      </c>
      <c r="J474" t="n">
        <v>139</v>
      </c>
      <c r="K474" t="n">
        <v>107</v>
      </c>
      <c r="L474" t="n">
        <v>123</v>
      </c>
      <c r="M474" t="n">
        <v>22.7</v>
      </c>
      <c r="N474" t="n">
        <v>1692</v>
      </c>
      <c r="O474" t="n">
        <v>1.26</v>
      </c>
      <c r="P474" t="n">
        <v>2133</v>
      </c>
      <c r="Q474" t="n">
        <v>264</v>
      </c>
      <c r="R474" t="n">
        <v>124</v>
      </c>
      <c r="S474" t="n">
        <v>69</v>
      </c>
      <c r="T474" t="n">
        <v>464</v>
      </c>
      <c r="U474" t="n">
        <v>9</v>
      </c>
      <c r="V474" t="n">
        <v>189</v>
      </c>
      <c r="W474" t="n">
        <v>0.131</v>
      </c>
      <c r="X474" t="n">
        <v>185</v>
      </c>
      <c r="Y474" t="n">
        <v>135</v>
      </c>
      <c r="Z474" t="n">
        <v>280</v>
      </c>
      <c r="AA474" t="n">
        <v>4</v>
      </c>
      <c r="AB474" t="n">
        <v>11.8</v>
      </c>
      <c r="AC474" t="inlineStr">
        <is>
          <t xml:space="preserve"> Big Mountain</t>
        </is>
      </c>
      <c r="AD474" t="inlineStr">
        <is>
          <t xml:space="preserve"> Touring</t>
        </is>
      </c>
      <c r="AE474" t="inlineStr">
        <is>
          <t xml:space="preserve"> Ultralight Touring</t>
        </is>
      </c>
      <c r="AG474" t="inlineStr">
        <is>
          <t>Fischer Hannibal 106 Carbon Ski - 2022</t>
        </is>
      </c>
      <c r="AH474" t="inlineStr">
        <is>
          <t>Snowcountry.eu</t>
        </is>
      </c>
      <c r="AI474" s="333" t="n">
        <v>451.78</v>
      </c>
      <c r="AJ474" t="inlineStr">
        <is>
          <t>https://tinyurl.com/ybnd3sze</t>
        </is>
      </c>
      <c r="AK474" t="inlineStr">
        <is>
          <t>Fischer Hannibal 106 Carbon Ski - 2022</t>
        </is>
      </c>
      <c r="AL474" t="inlineStr">
        <is>
          <t>Snowinn.com</t>
        </is>
      </c>
      <c r="AM474" s="333" t="n">
        <v>511.99</v>
      </c>
      <c r="AN474" t="inlineStr">
        <is>
          <t>https://tinyurl.com/yakcpd7n</t>
        </is>
      </c>
      <c r="AO474" t="inlineStr">
        <is>
          <t>Fischer Hannibal 106 Carbon Ski - 2022</t>
        </is>
      </c>
      <c r="AP474" t="inlineStr">
        <is>
          <t>ColoradoSkiShop.com</t>
        </is>
      </c>
      <c r="AQ474" s="333" t="n">
        <v>539.99</v>
      </c>
      <c r="AR474" t="inlineStr">
        <is>
          <t>https://tinyurl.com/yazm5wup</t>
        </is>
      </c>
      <c r="AS474" s="314">
        <f>IF(LEFT(C474,1)=" ",RIGHT(C474,LEN(C474)-1),C474)</f>
        <v/>
      </c>
      <c r="AT474" s="281">
        <f>_xlfn.CONCAT(B474,AS474,D474,E474)</f>
        <v/>
      </c>
    </row>
    <row r="475">
      <c r="A475" t="inlineStr">
        <is>
          <t>21/22</t>
        </is>
      </c>
      <c r="B475" t="inlineStr">
        <is>
          <t xml:space="preserve"> Elan</t>
        </is>
      </c>
      <c r="C475" t="inlineStr">
        <is>
          <t>Wingman 86 Ti</t>
        </is>
      </c>
      <c r="D475" t="n">
        <v>166</v>
      </c>
      <c r="E475" t="inlineStr">
        <is>
          <t xml:space="preserve"> Unisex</t>
        </is>
      </c>
      <c r="F475" t="n">
        <v>166</v>
      </c>
      <c r="G475" t="n">
        <v>165.2</v>
      </c>
      <c r="H475" t="n">
        <v>134</v>
      </c>
      <c r="I475" t="n">
        <v>146</v>
      </c>
      <c r="J475" t="n">
        <v>127</v>
      </c>
      <c r="K475" t="n">
        <v>85</v>
      </c>
      <c r="L475" t="n">
        <v>113</v>
      </c>
      <c r="M475" t="n">
        <v>14.7</v>
      </c>
      <c r="N475" t="n">
        <v>2004</v>
      </c>
      <c r="O475" t="n">
        <v>0.82</v>
      </c>
      <c r="P475" t="n">
        <v>1638</v>
      </c>
      <c r="Q475" t="n">
        <v>191</v>
      </c>
      <c r="R475" t="n">
        <v>93</v>
      </c>
      <c r="S475" t="n">
        <v>41</v>
      </c>
      <c r="T475" t="n">
        <v>206</v>
      </c>
      <c r="U475" t="n">
        <v>7</v>
      </c>
      <c r="V475" t="n">
        <v>106</v>
      </c>
      <c r="W475" t="n">
        <v>0.166</v>
      </c>
      <c r="X475" t="n">
        <v>98</v>
      </c>
      <c r="Y475" t="n">
        <v>95</v>
      </c>
      <c r="Z475" t="n">
        <v>108</v>
      </c>
      <c r="AA475" t="n">
        <v>10</v>
      </c>
      <c r="AB475" t="n">
        <v>8.9</v>
      </c>
      <c r="AC475" t="inlineStr">
        <is>
          <t xml:space="preserve"> Resort Freeride</t>
        </is>
      </c>
      <c r="AG475" t="inlineStr">
        <is>
          <t>Elan Wingman 86 Ti Skis 2022</t>
        </is>
      </c>
      <c r="AH475" t="inlineStr">
        <is>
          <t>Gorham Bike and Ski</t>
        </is>
      </c>
      <c r="AI475" s="333" t="n">
        <v>349.99</v>
      </c>
      <c r="AJ475" t="inlineStr">
        <is>
          <t>https://tinyurl.com/y8lavqa4</t>
        </is>
      </c>
      <c r="AK475" t="inlineStr">
        <is>
          <t>Elan Wingman 86 Ti Skis 2022</t>
        </is>
      </c>
      <c r="AL475" t="inlineStr">
        <is>
          <t>Next Adventure</t>
        </is>
      </c>
      <c r="AM475" s="333" t="n">
        <v>374.99</v>
      </c>
      <c r="AN475" t="inlineStr">
        <is>
          <t>https://tinyurl.com/ycrc9oz8</t>
        </is>
      </c>
      <c r="AO475" t="inlineStr">
        <is>
          <t>Elan Wingman 86 Ti Skis Â· 166 cm</t>
        </is>
      </c>
      <c r="AP475" t="inlineStr">
        <is>
          <t>Suburban Ski and Bike</t>
        </is>
      </c>
      <c r="AQ475" s="333" t="n">
        <v>374.99</v>
      </c>
      <c r="AR475" t="inlineStr">
        <is>
          <t>https://tinyurl.com/y88yddw3</t>
        </is>
      </c>
      <c r="AS475" s="314">
        <f>IF(LEFT(C475,1)=" ",RIGHT(C475,LEN(C475)-1),C475)</f>
        <v/>
      </c>
      <c r="AT475" s="281">
        <f>_xlfn.CONCAT(B475,AS475,D475,E475)</f>
        <v/>
      </c>
    </row>
    <row r="476">
      <c r="A476" t="inlineStr">
        <is>
          <t>21/22</t>
        </is>
      </c>
      <c r="B476" t="inlineStr">
        <is>
          <t xml:space="preserve"> Line</t>
        </is>
      </c>
      <c r="C476" t="inlineStr">
        <is>
          <t xml:space="preserve"> Blend</t>
        </is>
      </c>
      <c r="D476" t="n">
        <v>178</v>
      </c>
      <c r="E476" t="inlineStr">
        <is>
          <t xml:space="preserve"> Unisex</t>
        </is>
      </c>
      <c r="F476" t="n">
        <v>178</v>
      </c>
      <c r="G476" t="n">
        <v>178</v>
      </c>
      <c r="H476" t="n">
        <v>138</v>
      </c>
      <c r="I476" t="n">
        <v>155</v>
      </c>
      <c r="J476" t="n">
        <v>132</v>
      </c>
      <c r="K476" t="n">
        <v>99</v>
      </c>
      <c r="L476" t="n">
        <v>121</v>
      </c>
      <c r="M476" t="n">
        <v>20.6</v>
      </c>
      <c r="N476" t="n">
        <v>1783</v>
      </c>
      <c r="O476" t="n">
        <v>1.09</v>
      </c>
      <c r="P476" t="n">
        <v>1948</v>
      </c>
      <c r="Q476" t="n">
        <v>162</v>
      </c>
      <c r="R476" t="n">
        <v>75</v>
      </c>
      <c r="S476" t="n">
        <v>44</v>
      </c>
      <c r="T476" t="n">
        <v>208</v>
      </c>
      <c r="U476" t="n">
        <v>42</v>
      </c>
      <c r="V476" t="n">
        <v>195</v>
      </c>
      <c r="W476" t="n">
        <v>0.965</v>
      </c>
      <c r="X476" t="n">
        <v>104</v>
      </c>
      <c r="Y476" t="n">
        <v>131</v>
      </c>
      <c r="Z476" t="n">
        <v>104</v>
      </c>
      <c r="AA476" t="n">
        <v>9</v>
      </c>
      <c r="AB476" t="n">
        <v>4.3</v>
      </c>
      <c r="AC476" t="inlineStr">
        <is>
          <t xml:space="preserve"> Freeski</t>
        </is>
      </c>
      <c r="AD476" t="inlineStr">
        <is>
          <t xml:space="preserve"> Touring</t>
        </is>
      </c>
      <c r="AG476" t="inlineStr">
        <is>
          <t>Line Blend Skis 2022</t>
        </is>
      </c>
      <c r="AH476" t="inlineStr">
        <is>
          <t>The-House.com</t>
        </is>
      </c>
      <c r="AI476" s="333" t="n">
        <v>479.95</v>
      </c>
      <c r="AJ476" t="inlineStr">
        <is>
          <t>https://tinyurl.com/ycfvkrqb</t>
        </is>
      </c>
      <c r="AK476" t="inlineStr">
        <is>
          <t>Line Blend Skis 2022</t>
        </is>
      </c>
      <c r="AL476" t="inlineStr">
        <is>
          <t>Next Adventure</t>
        </is>
      </c>
      <c r="AM476" s="333" t="n">
        <v>479.96</v>
      </c>
      <c r="AN476" t="inlineStr">
        <is>
          <t>https://tinyurl.com/ycpcszfx</t>
        </is>
      </c>
      <c r="AO476" t="inlineStr">
        <is>
          <t>Line Blend Skis 2022</t>
        </is>
      </c>
      <c r="AP476" t="inlineStr">
        <is>
          <t>Hillcrest Ski &amp; Sports</t>
        </is>
      </c>
      <c r="AQ476" s="333" t="n">
        <v>479.96</v>
      </c>
      <c r="AR476" t="inlineStr">
        <is>
          <t>https://tinyurl.com/ybo33ge7</t>
        </is>
      </c>
      <c r="AS476" s="314">
        <f>IF(LEFT(C476,1)=" ",RIGHT(C476,LEN(C476)-1),C476)</f>
        <v/>
      </c>
      <c r="AT476" s="281">
        <f>_xlfn.CONCAT(B476,AS476,D476,E476)</f>
        <v/>
      </c>
    </row>
    <row r="477">
      <c r="A477" t="inlineStr">
        <is>
          <t>21/22</t>
        </is>
      </c>
      <c r="B477" t="inlineStr">
        <is>
          <t xml:space="preserve"> Blizzard</t>
        </is>
      </c>
      <c r="C477" t="inlineStr">
        <is>
          <t>Sheeva 9</t>
        </is>
      </c>
      <c r="D477" t="n">
        <v>164</v>
      </c>
      <c r="E477" t="inlineStr">
        <is>
          <t xml:space="preserve"> Women's</t>
        </is>
      </c>
      <c r="F477" t="n">
        <v>164</v>
      </c>
      <c r="G477" t="n">
        <v>162.8</v>
      </c>
      <c r="H477" t="n">
        <v>110</v>
      </c>
      <c r="I477" t="n">
        <v>135</v>
      </c>
      <c r="J477" t="n">
        <v>124</v>
      </c>
      <c r="K477" t="n">
        <v>91</v>
      </c>
      <c r="L477" t="n">
        <v>113</v>
      </c>
      <c r="M477" t="n">
        <v>14.4</v>
      </c>
      <c r="N477" t="n">
        <v>1799</v>
      </c>
      <c r="O477" t="n">
        <v>0.93</v>
      </c>
      <c r="P477" t="n">
        <v>1673</v>
      </c>
      <c r="Q477" t="n">
        <v>185</v>
      </c>
      <c r="R477" t="n">
        <v>88</v>
      </c>
      <c r="S477" t="n">
        <v>61</v>
      </c>
      <c r="T477" t="n">
        <v>303</v>
      </c>
      <c r="U477" t="n">
        <v>28</v>
      </c>
      <c r="V477" t="n">
        <v>223</v>
      </c>
      <c r="W477" t="n">
        <v>0.453999999999999</v>
      </c>
      <c r="X477" t="n">
        <v>147</v>
      </c>
      <c r="Y477" t="n">
        <v>134</v>
      </c>
      <c r="Z477" t="n">
        <v>156</v>
      </c>
      <c r="AA477" t="n">
        <v>4</v>
      </c>
      <c r="AB477" t="n">
        <v>7.2</v>
      </c>
      <c r="AC477" t="inlineStr">
        <is>
          <t xml:space="preserve"> Resort Freeride</t>
        </is>
      </c>
      <c r="AG477" t="inlineStr">
        <is>
          <t>Blizzard Sheeva 9 Skis</t>
        </is>
      </c>
      <c r="AH477" t="inlineStr">
        <is>
          <t>REI</t>
        </is>
      </c>
      <c r="AI477" s="333" t="n">
        <v>479.93</v>
      </c>
      <c r="AJ477" t="inlineStr">
        <is>
          <t>https://tinyurl.com/y9cnzurn</t>
        </is>
      </c>
      <c r="AK477" t="inlineStr">
        <is>
          <t>Blizzard Sheeva 9 Skis</t>
        </is>
      </c>
      <c r="AL477" t="inlineStr">
        <is>
          <t>SkiEssentials.com</t>
        </is>
      </c>
      <c r="AM477" s="333" t="n">
        <v>479.95</v>
      </c>
      <c r="AN477" t="inlineStr">
        <is>
          <t>https://tinyurl.com/yb9o5wtw</t>
        </is>
      </c>
      <c r="AO477" t="inlineStr">
        <is>
          <t>Blizzard Sheeva 9 - Winter 2021/2022 164</t>
        </is>
      </c>
      <c r="AP477" t="inlineStr">
        <is>
          <t>Equipe Sport</t>
        </is>
      </c>
      <c r="AQ477" s="333" t="n">
        <v>479.95</v>
      </c>
      <c r="AR477" t="inlineStr">
        <is>
          <t>https://tinyurl.com/ybktx3sj</t>
        </is>
      </c>
      <c r="AS477" s="314">
        <f>IF(LEFT(C477,1)=" ",RIGHT(C477,LEN(C477)-1),C477)</f>
        <v/>
      </c>
      <c r="AT477" s="281">
        <f>_xlfn.CONCAT(B477,AS477,D477,E477)</f>
        <v/>
      </c>
    </row>
    <row r="478">
      <c r="A478" t="inlineStr">
        <is>
          <t>21/22</t>
        </is>
      </c>
      <c r="B478" t="inlineStr">
        <is>
          <t xml:space="preserve"> Blizzard</t>
        </is>
      </c>
      <c r="C478" t="inlineStr">
        <is>
          <t>Brahma 88</t>
        </is>
      </c>
      <c r="D478" t="n">
        <v>165</v>
      </c>
      <c r="E478" t="inlineStr">
        <is>
          <t xml:space="preserve"> Unisex</t>
        </is>
      </c>
      <c r="F478" t="n">
        <v>165</v>
      </c>
      <c r="G478" t="n">
        <v>163.5</v>
      </c>
      <c r="H478" t="n">
        <v>133</v>
      </c>
      <c r="I478" t="n">
        <v>141</v>
      </c>
      <c r="J478" t="n">
        <v>128</v>
      </c>
      <c r="K478" t="n">
        <v>86</v>
      </c>
      <c r="L478" t="n">
        <v>109</v>
      </c>
      <c r="M478" t="n">
        <v>14.6</v>
      </c>
      <c r="N478" t="n">
        <v>1894</v>
      </c>
      <c r="O478" t="n">
        <v>0.85</v>
      </c>
      <c r="P478" t="n">
        <v>1618</v>
      </c>
      <c r="Q478" t="n">
        <v>178</v>
      </c>
      <c r="R478" t="n">
        <v>89</v>
      </c>
      <c r="S478" t="n">
        <v>59</v>
      </c>
      <c r="T478" t="n">
        <v>202</v>
      </c>
      <c r="U478" t="n">
        <v>7</v>
      </c>
      <c r="V478" t="n">
        <v>101</v>
      </c>
      <c r="W478" t="n">
        <v>0.113</v>
      </c>
      <c r="X478" t="n">
        <v>122</v>
      </c>
      <c r="Y478" t="n">
        <v>103</v>
      </c>
      <c r="Z478" t="n">
        <v>80</v>
      </c>
      <c r="AA478" t="n">
        <v>8</v>
      </c>
      <c r="AB478" t="n">
        <v>11</v>
      </c>
      <c r="AC478" t="inlineStr">
        <is>
          <t xml:space="preserve"> Resort Freeride</t>
        </is>
      </c>
      <c r="AG478" t="inlineStr">
        <is>
          <t>2022 Blizzard Brahma 88 Demo Skis w/ Marker Griffon 13 ID Demo Bindings - 165| Ski Essentials</t>
        </is>
      </c>
      <c r="AH478" t="inlineStr">
        <is>
          <t>SkiEssentials.com</t>
        </is>
      </c>
      <c r="AI478" s="333" t="n">
        <v>649</v>
      </c>
      <c r="AJ478" t="inlineStr">
        <is>
          <t>https://tinyurl.com/ybjoeyfq</t>
        </is>
      </c>
      <c r="AK478" t="inlineStr">
        <is>
          <t>2022 Blizzard Brahma 88 snow skis 165</t>
        </is>
      </c>
      <c r="AL478" t="inlineStr">
        <is>
          <t>The Pro Shop</t>
        </is>
      </c>
      <c r="AM478" s="333" t="n">
        <v>699</v>
      </c>
      <c r="AN478" t="inlineStr">
        <is>
          <t>https://tinyurl.com/yccf82wt</t>
        </is>
      </c>
      <c r="AO478" t="inlineStr">
        <is>
          <t>Blizzard Brahma 88 Men's Skis 2022 165</t>
        </is>
      </c>
      <c r="AP478" t="inlineStr">
        <is>
          <t>Sundown Ski &amp; Patio Greenvale</t>
        </is>
      </c>
      <c r="AQ478" s="333" t="n">
        <v>840</v>
      </c>
      <c r="AR478" t="inlineStr">
        <is>
          <t>https://tinyurl.com/y83syy9s</t>
        </is>
      </c>
      <c r="AS478" s="314">
        <f>IF(LEFT(C478,1)=" ",RIGHT(C478,LEN(C478)-1),C478)</f>
        <v/>
      </c>
      <c r="AT478" s="281">
        <f>_xlfn.CONCAT(B478,AS478,D478,E478)</f>
        <v/>
      </c>
    </row>
    <row r="479">
      <c r="A479" t="inlineStr">
        <is>
          <t>21/22</t>
        </is>
      </c>
      <c r="B479" t="inlineStr">
        <is>
          <t xml:space="preserve"> J Skis</t>
        </is>
      </c>
      <c r="C479" t="inlineStr">
        <is>
          <t xml:space="preserve"> The Allplay</t>
        </is>
      </c>
      <c r="D479" t="n">
        <v>184</v>
      </c>
      <c r="E479" t="inlineStr">
        <is>
          <t xml:space="preserve"> Unisex</t>
        </is>
      </c>
      <c r="F479" t="n">
        <v>184</v>
      </c>
      <c r="G479" t="n">
        <v>181.8</v>
      </c>
      <c r="H479" t="n">
        <v>134</v>
      </c>
      <c r="I479" t="n">
        <v>147</v>
      </c>
      <c r="J479" t="n">
        <v>119</v>
      </c>
      <c r="K479" t="n">
        <v>97</v>
      </c>
      <c r="L479" t="n">
        <v>117</v>
      </c>
      <c r="M479" t="n">
        <v>22.9</v>
      </c>
      <c r="N479" t="n">
        <v>2079</v>
      </c>
      <c r="O479" t="n">
        <v>0.92</v>
      </c>
      <c r="P479" t="n">
        <v>1918</v>
      </c>
      <c r="Q479" t="n">
        <v>232</v>
      </c>
      <c r="R479" t="n">
        <v>80</v>
      </c>
      <c r="S479" t="n">
        <v>46</v>
      </c>
      <c r="T479" t="n">
        <v>240</v>
      </c>
      <c r="U479" t="n">
        <v>44</v>
      </c>
      <c r="V479" t="n">
        <v>240</v>
      </c>
      <c r="W479" t="n">
        <v>0.976</v>
      </c>
      <c r="X479" t="n">
        <v>188</v>
      </c>
      <c r="Y479" t="n">
        <v>165</v>
      </c>
      <c r="Z479" t="n">
        <v>52</v>
      </c>
      <c r="AA479" t="n">
        <v>6</v>
      </c>
      <c r="AB479" t="n">
        <v>3.3</v>
      </c>
      <c r="AC479" t="inlineStr">
        <is>
          <t xml:space="preserve"> Freeski</t>
        </is>
      </c>
      <c r="AG479" t="inlineStr">
        <is>
          <t>The Allplay "RAT ROD" Sam Zahner x J Collab Limited Edition Ski 184cm</t>
        </is>
      </c>
      <c r="AH479" t="inlineStr">
        <is>
          <t>J Skis</t>
        </is>
      </c>
      <c r="AI479" s="333" t="n">
        <v>599</v>
      </c>
      <c r="AJ479" t="inlineStr">
        <is>
          <t>https://tinyurl.com/yacb2bt3</t>
        </is>
      </c>
      <c r="AK479" t="inlineStr">
        <is>
          <t>Armada ARV 86 Skis 2022</t>
        </is>
      </c>
      <c r="AL479" t="inlineStr">
        <is>
          <t>Ski Pro  - Snow Ski &amp; Snowboard</t>
        </is>
      </c>
      <c r="AM479" s="333" t="n">
        <v>319.95</v>
      </c>
      <c r="AN479" t="inlineStr">
        <is>
          <t>https://tinyurl.com/ya4po3qz</t>
        </is>
      </c>
      <c r="AO479" t="inlineStr">
        <is>
          <t>Armada ARV 86 Skis 2022</t>
        </is>
      </c>
      <c r="AP479" t="inlineStr">
        <is>
          <t>Next Adventure</t>
        </is>
      </c>
      <c r="AQ479" s="333" t="n">
        <v>319.96</v>
      </c>
      <c r="AR479" t="inlineStr">
        <is>
          <t>https://tinyurl.com/yc755qqt</t>
        </is>
      </c>
      <c r="AS479" s="314">
        <f>IF(LEFT(C479,1)=" ",RIGHT(C479,LEN(C479)-1),C479)</f>
        <v/>
      </c>
      <c r="AT479" s="281">
        <f>_xlfn.CONCAT(B479,AS479,D479,E479)</f>
        <v/>
      </c>
    </row>
    <row r="480">
      <c r="A480" t="inlineStr">
        <is>
          <t>21/22</t>
        </is>
      </c>
      <c r="B480" t="inlineStr">
        <is>
          <t xml:space="preserve"> Nordica</t>
        </is>
      </c>
      <c r="C480" t="inlineStr">
        <is>
          <t>Santa Ana 93</t>
        </is>
      </c>
      <c r="D480" t="n">
        <v>172</v>
      </c>
      <c r="E480" t="inlineStr">
        <is>
          <t xml:space="preserve"> Women's</t>
        </is>
      </c>
      <c r="F480" t="n">
        <v>172</v>
      </c>
      <c r="G480" t="n">
        <v>171.2</v>
      </c>
      <c r="H480" t="n">
        <v>123</v>
      </c>
      <c r="I480" t="n">
        <v>142</v>
      </c>
      <c r="J480" t="n">
        <v>127</v>
      </c>
      <c r="K480" t="n">
        <v>92</v>
      </c>
      <c r="L480" t="n">
        <v>113</v>
      </c>
      <c r="M480" t="n">
        <v>15.9</v>
      </c>
      <c r="N480" t="n">
        <v>2016</v>
      </c>
      <c r="O480" t="n">
        <v>0.88</v>
      </c>
      <c r="P480" t="n">
        <v>1775</v>
      </c>
      <c r="Q480" t="n">
        <v>250</v>
      </c>
      <c r="R480" t="n">
        <v>118</v>
      </c>
      <c r="S480" t="n">
        <v>61</v>
      </c>
      <c r="T480" t="n">
        <v>287</v>
      </c>
      <c r="U480" t="n">
        <v>16</v>
      </c>
      <c r="V480" t="n">
        <v>197</v>
      </c>
      <c r="W480" t="n">
        <v>0.256</v>
      </c>
      <c r="X480" t="n">
        <v>137</v>
      </c>
      <c r="Y480" t="n">
        <v>155</v>
      </c>
      <c r="Z480" t="n">
        <v>150</v>
      </c>
      <c r="AA480" t="n">
        <v>5</v>
      </c>
      <c r="AB480" t="n">
        <v>8.5</v>
      </c>
      <c r="AC480" t="inlineStr">
        <is>
          <t xml:space="preserve"> Resort Freeride</t>
        </is>
      </c>
      <c r="AG480" t="inlineStr">
        <is>
          <t>Nordica Enforcer 88 / Santa Ana 93 Ski Skins - 2022 172 cm</t>
        </is>
      </c>
      <c r="AH480" t="inlineStr">
        <is>
          <t>Arlberg Ski &amp; Surf Shops</t>
        </is>
      </c>
      <c r="AI480" s="333" t="n">
        <v>209.95</v>
      </c>
      <c r="AJ480" t="inlineStr">
        <is>
          <t>https://tinyurl.com/y9vl8abk</t>
        </is>
      </c>
      <c r="AK480" t="inlineStr">
        <is>
          <t>Nordica Santa Ana 93 Unlimited Ski 2023</t>
        </is>
      </c>
      <c r="AL480" t="inlineStr">
        <is>
          <t>Telemark Pyrenees</t>
        </is>
      </c>
      <c r="AM480" s="333" t="n">
        <v>458.32</v>
      </c>
      <c r="AN480" t="inlineStr">
        <is>
          <t>https://tinyurl.com/y9ba52lk</t>
        </is>
      </c>
      <c r="AO480" t="inlineStr">
        <is>
          <t>Nordica Santa Ana 93 Skis - Women's 2022</t>
        </is>
      </c>
      <c r="AP480" t="inlineStr">
        <is>
          <t>SkiEssentials.com</t>
        </is>
      </c>
      <c r="AQ480" s="333" t="n">
        <v>519.99</v>
      </c>
      <c r="AR480" t="inlineStr">
        <is>
          <t>https://tinyurl.com/y7psgwke</t>
        </is>
      </c>
      <c r="AS480" s="314">
        <f>IF(LEFT(C480,1)=" ",RIGHT(C480,LEN(C480)-1),C480)</f>
        <v/>
      </c>
      <c r="AT480" s="281">
        <f>_xlfn.CONCAT(B480,AS480,D480,E480)</f>
        <v/>
      </c>
    </row>
    <row r="481">
      <c r="A481" t="inlineStr">
        <is>
          <t>21/22</t>
        </is>
      </c>
      <c r="B481" t="inlineStr">
        <is>
          <t xml:space="preserve"> Blizzard</t>
        </is>
      </c>
      <c r="C481" t="inlineStr">
        <is>
          <t>Black Pearl 82</t>
        </is>
      </c>
      <c r="D481" t="n">
        <v>159</v>
      </c>
      <c r="E481" t="inlineStr">
        <is>
          <t xml:space="preserve"> Women's</t>
        </is>
      </c>
      <c r="F481" t="n">
        <v>159</v>
      </c>
      <c r="G481" t="n">
        <v>157</v>
      </c>
      <c r="H481" t="n">
        <v>103</v>
      </c>
      <c r="I481" t="n">
        <v>135</v>
      </c>
      <c r="J481" t="n">
        <v>120</v>
      </c>
      <c r="K481" t="n">
        <v>82</v>
      </c>
      <c r="L481" t="n">
        <v>103</v>
      </c>
      <c r="M481" t="n">
        <v>14.3</v>
      </c>
      <c r="N481" t="n">
        <v>1551</v>
      </c>
      <c r="O481" t="n">
        <v>0.95</v>
      </c>
      <c r="P481" t="n">
        <v>1472</v>
      </c>
      <c r="Q481" t="n">
        <v>189</v>
      </c>
      <c r="R481" t="n">
        <v>91</v>
      </c>
      <c r="S481" t="n">
        <v>59</v>
      </c>
      <c r="T481" t="n">
        <v>301</v>
      </c>
      <c r="U481" t="n">
        <v>9</v>
      </c>
      <c r="V481" t="n">
        <v>240</v>
      </c>
      <c r="W481" t="n">
        <v>0.158</v>
      </c>
      <c r="X481" t="n">
        <v>114</v>
      </c>
      <c r="Y481" t="n">
        <v>102</v>
      </c>
      <c r="Z481" t="n">
        <v>187</v>
      </c>
      <c r="AA481" t="n">
        <v>2</v>
      </c>
      <c r="AB481" t="n">
        <v>10.5</v>
      </c>
      <c r="AC481" t="inlineStr">
        <is>
          <t xml:space="preserve"> On-Piste All-Mountain</t>
        </is>
      </c>
      <c r="AD481" t="inlineStr">
        <is>
          <t xml:space="preserve"> Resort Freeride</t>
        </is>
      </c>
      <c r="AG481" t="inlineStr">
        <is>
          <t>Blizzard Black Pearl 82 2021</t>
        </is>
      </c>
      <c r="AH481" t="inlineStr">
        <is>
          <t>Powder7 Ski Shop</t>
        </is>
      </c>
      <c r="AI481" s="333" t="n">
        <v>489.93</v>
      </c>
      <c r="AJ481" t="inlineStr">
        <is>
          <t>https://tinyurl.com/y9gl3hnl</t>
        </is>
      </c>
      <c r="AK481" t="inlineStr">
        <is>
          <t>2021 Blizzard Black Pearl 82 ladies snow skis 159</t>
        </is>
      </c>
      <c r="AL481" t="inlineStr">
        <is>
          <t>The Pro Shop</t>
        </is>
      </c>
      <c r="AM481" s="333" t="n">
        <v>596</v>
      </c>
      <c r="AN481" t="inlineStr">
        <is>
          <t>https://tinyurl.com/ydcz74ea</t>
        </is>
      </c>
      <c r="AO481" t="inlineStr">
        <is>
          <t>'22 Blizzard Black Pearl 82 Skis 159cm</t>
        </is>
      </c>
      <c r="AP481" t="inlineStr">
        <is>
          <t>Al's Ski Equipment Barn</t>
        </is>
      </c>
      <c r="AQ481" s="333" t="n">
        <v>599</v>
      </c>
      <c r="AR481" t="inlineStr">
        <is>
          <t>https://tinyurl.com/y7tl63ln</t>
        </is>
      </c>
      <c r="AS481" s="314">
        <f>IF(LEFT(C481,1)=" ",RIGHT(C481,LEN(C481)-1),C481)</f>
        <v/>
      </c>
      <c r="AT481" s="281">
        <f>_xlfn.CONCAT(B481,AS481,D481,E481)</f>
        <v/>
      </c>
    </row>
    <row r="482">
      <c r="A482" t="inlineStr">
        <is>
          <t>21/22</t>
        </is>
      </c>
      <c r="B482" t="inlineStr">
        <is>
          <t xml:space="preserve"> Vï¿½lkl</t>
        </is>
      </c>
      <c r="C482" t="inlineStr">
        <is>
          <t>Secret 102</t>
        </is>
      </c>
      <c r="D482" t="n">
        <v>163</v>
      </c>
      <c r="E482" t="inlineStr">
        <is>
          <t xml:space="preserve"> Women's</t>
        </is>
      </c>
      <c r="F482" t="n">
        <v>163</v>
      </c>
      <c r="G482" t="n">
        <v>163.5</v>
      </c>
      <c r="H482" t="n">
        <v>104</v>
      </c>
      <c r="I482" t="n">
        <v>140</v>
      </c>
      <c r="J482" t="n">
        <v>139</v>
      </c>
      <c r="K482" t="n">
        <v>101</v>
      </c>
      <c r="L482" t="n">
        <v>123</v>
      </c>
      <c r="M482" t="n">
        <v>15.8</v>
      </c>
      <c r="N482" t="n">
        <v>1941</v>
      </c>
      <c r="O482" t="n">
        <v>0.95</v>
      </c>
      <c r="P482" t="n">
        <v>1848</v>
      </c>
      <c r="Q482" t="n">
        <v>216</v>
      </c>
      <c r="R482" t="n">
        <v>144</v>
      </c>
      <c r="S482" t="n">
        <v>50</v>
      </c>
      <c r="T482" t="n">
        <v>342</v>
      </c>
      <c r="U482" t="n">
        <v>21</v>
      </c>
      <c r="V482" t="n">
        <v>253</v>
      </c>
      <c r="W482" t="n">
        <v>0.412</v>
      </c>
      <c r="X482" t="n">
        <v>131</v>
      </c>
      <c r="Y482" t="n">
        <v>101</v>
      </c>
      <c r="Z482" t="n">
        <v>211</v>
      </c>
      <c r="AA482" t="n">
        <v>3</v>
      </c>
      <c r="AB482" t="n">
        <v>11.4</v>
      </c>
      <c r="AC482" t="inlineStr">
        <is>
          <t xml:space="preserve"> Resort Freeride</t>
        </is>
      </c>
      <c r="AD482" t="inlineStr">
        <is>
          <t xml:space="preserve"> Powder</t>
        </is>
      </c>
      <c r="AG482" t="inlineStr">
        <is>
          <t>Volkl Secret 102 2022 Skis - New Sports &amp; outdoors | Color: Orange</t>
        </is>
      </c>
      <c r="AH482" t="inlineStr">
        <is>
          <t>Mercari</t>
        </is>
      </c>
      <c r="AI482" s="333" t="n">
        <v>360</v>
      </c>
      <c r="AJ482" t="inlineStr">
        <is>
          <t>https://tinyurl.com/yc2qypdv</t>
        </is>
      </c>
      <c r="AK482" t="inlineStr">
        <is>
          <t>Volkl Secret 102 Women's Skis 2021</t>
        </is>
      </c>
      <c r="AL482" t="inlineStr">
        <is>
          <t>evo.com</t>
        </is>
      </c>
      <c r="AM482" s="333" t="n">
        <v>399.97</v>
      </c>
      <c r="AN482" t="inlineStr">
        <is>
          <t>https://tinyurl.com/ybzazjs6</t>
        </is>
      </c>
      <c r="AO482" t="inlineStr">
        <is>
          <t>Volkl 2020 Secret 102 Women's Skis with Salomon Warden 11 Bindings</t>
        </is>
      </c>
      <c r="AP482" t="inlineStr">
        <is>
          <t>eBay - david110549</t>
        </is>
      </c>
      <c r="AQ482" s="333" t="n">
        <v>564.95</v>
      </c>
      <c r="AR482" t="inlineStr">
        <is>
          <t>https://tinyurl.com/yapg6rqw</t>
        </is>
      </c>
      <c r="AS482" s="314">
        <f>IF(LEFT(C482,1)=" ",RIGHT(C482,LEN(C482)-1),C482)</f>
        <v/>
      </c>
      <c r="AT482" s="281">
        <f>_xlfn.CONCAT(B482,AS482,D482,E482)</f>
        <v/>
      </c>
    </row>
    <row r="483">
      <c r="A483" t="inlineStr">
        <is>
          <t>21/22</t>
        </is>
      </c>
      <c r="B483" t="inlineStr">
        <is>
          <t>4FRNT</t>
        </is>
      </c>
      <c r="C483" t="inlineStr">
        <is>
          <t>MSP 107</t>
        </is>
      </c>
      <c r="D483" t="n">
        <v>181</v>
      </c>
      <c r="E483" t="inlineStr">
        <is>
          <t xml:space="preserve"> Unisex</t>
        </is>
      </c>
      <c r="F483" t="n">
        <v>181</v>
      </c>
      <c r="G483" t="n">
        <v>179.9</v>
      </c>
      <c r="H483" t="n">
        <v>126</v>
      </c>
      <c r="I483" t="n">
        <v>149</v>
      </c>
      <c r="J483" t="n">
        <v>138</v>
      </c>
      <c r="K483" t="n">
        <v>106</v>
      </c>
      <c r="L483" t="n">
        <v>128</v>
      </c>
      <c r="M483" t="n">
        <v>19.9</v>
      </c>
      <c r="N483" t="n">
        <v>2090</v>
      </c>
      <c r="O483" t="n">
        <v>1</v>
      </c>
      <c r="P483" t="n">
        <v>2091</v>
      </c>
      <c r="Q483" t="n">
        <v>221</v>
      </c>
      <c r="R483" t="n">
        <v>113</v>
      </c>
      <c r="S483" t="n">
        <v>58</v>
      </c>
      <c r="T483" t="n">
        <v>316</v>
      </c>
      <c r="U483" t="n">
        <v>19</v>
      </c>
      <c r="V483" t="n">
        <v>221</v>
      </c>
      <c r="W483" t="n">
        <v>0.322</v>
      </c>
      <c r="X483" t="n">
        <v>169</v>
      </c>
      <c r="Y483" t="n">
        <v>141</v>
      </c>
      <c r="Z483" t="n">
        <v>147</v>
      </c>
      <c r="AA483" t="n">
        <v>5</v>
      </c>
      <c r="AB483" t="n">
        <v>8.800000000000001</v>
      </c>
      <c r="AC483" t="inlineStr">
        <is>
          <t xml:space="preserve"> Big Mountain</t>
        </is>
      </c>
      <c r="AG483" t="inlineStr">
        <is>
          <t>4FRNT Skis - MSP 107 - Men's All Mountain Powder Ski 181 cm</t>
        </is>
      </c>
      <c r="AH483" t="inlineStr">
        <is>
          <t>4FRNT Skis</t>
        </is>
      </c>
      <c r="AI483" s="333" t="n">
        <v>699</v>
      </c>
      <c r="AJ483" t="inlineStr">
        <is>
          <t>https://tinyurl.com/y6uquu3h</t>
        </is>
      </c>
      <c r="AK483" t="inlineStr">
        <is>
          <t>The Big Horn | Isaac Freeland Pro Model | All-Mountain Ski 187 cm / 96 mm</t>
        </is>
      </c>
      <c r="AL483" t="inlineStr">
        <is>
          <t>Sego Ski Co.</t>
        </is>
      </c>
      <c r="AM483" s="333" t="n">
        <v>749</v>
      </c>
      <c r="AN483" t="inlineStr">
        <is>
          <t>https://tinyurl.com/yb4nzzgk</t>
        </is>
      </c>
      <c r="AS483" s="314">
        <f>IF(LEFT(C483,1)=" ",RIGHT(C483,LEN(C483)-1),C483)</f>
        <v/>
      </c>
      <c r="AT483" s="281">
        <f>_xlfn.CONCAT(B483,AS483,D483,E483)</f>
        <v/>
      </c>
    </row>
    <row r="484">
      <c r="A484" t="inlineStr">
        <is>
          <t>21/22</t>
        </is>
      </c>
      <c r="B484" t="inlineStr">
        <is>
          <t xml:space="preserve"> Elan</t>
        </is>
      </c>
      <c r="C484" t="inlineStr">
        <is>
          <t>Wingman 86 Ti</t>
        </is>
      </c>
      <c r="D484" t="n">
        <v>172</v>
      </c>
      <c r="E484" t="inlineStr">
        <is>
          <t xml:space="preserve"> Unisex</t>
        </is>
      </c>
      <c r="F484" t="n">
        <v>172</v>
      </c>
      <c r="G484" t="n">
        <v>171.3</v>
      </c>
      <c r="H484" t="n">
        <v>135</v>
      </c>
      <c r="I484" t="n">
        <v>152</v>
      </c>
      <c r="J484" t="n">
        <v>128</v>
      </c>
      <c r="K484" t="n">
        <v>85</v>
      </c>
      <c r="L484" t="n">
        <v>114</v>
      </c>
      <c r="M484" t="n">
        <v>15.5</v>
      </c>
      <c r="N484" t="n">
        <v>2093</v>
      </c>
      <c r="O484" t="n">
        <v>0.8100000000000001</v>
      </c>
      <c r="P484" t="n">
        <v>1700</v>
      </c>
      <c r="Q484" t="n">
        <v>205</v>
      </c>
      <c r="R484" t="n">
        <v>97</v>
      </c>
      <c r="S484" t="n">
        <v>41</v>
      </c>
      <c r="T484" t="n">
        <v>224</v>
      </c>
      <c r="U484" t="n">
        <v>8</v>
      </c>
      <c r="V484" t="n">
        <v>135</v>
      </c>
      <c r="W484" t="n">
        <v>0.204</v>
      </c>
      <c r="X484" t="n">
        <v>97</v>
      </c>
      <c r="Y484" t="n">
        <v>96</v>
      </c>
      <c r="Z484" t="n">
        <v>126</v>
      </c>
      <c r="AA484" t="n">
        <v>6</v>
      </c>
      <c r="AB484" t="n">
        <v>9.199999999999999</v>
      </c>
      <c r="AC484" t="inlineStr">
        <is>
          <t xml:space="preserve"> Resort Freeride</t>
        </is>
      </c>
      <c r="AG484" t="inlineStr">
        <is>
          <t>Elan Wingman 86 Ti Skis 2022</t>
        </is>
      </c>
      <c r="AH484" t="inlineStr">
        <is>
          <t>Suburban Ski and Bike</t>
        </is>
      </c>
      <c r="AI484" s="333" t="n">
        <v>480</v>
      </c>
      <c r="AJ484" t="inlineStr">
        <is>
          <t>https://tinyurl.com/y8rrhw5q</t>
        </is>
      </c>
      <c r="AK484" t="inlineStr">
        <is>
          <t>Elan Wingman 86 Ti Skis 2023 172</t>
        </is>
      </c>
      <c r="AL484" t="inlineStr">
        <is>
          <t>Ski Depot RaceSkis.com</t>
        </is>
      </c>
      <c r="AM484" s="333" t="n">
        <v>499.99</v>
      </c>
      <c r="AN484" t="inlineStr">
        <is>
          <t>https://tinyurl.com/y8y8e7go</t>
        </is>
      </c>
      <c r="AO484" t="inlineStr">
        <is>
          <t>Elan Wingman 86 Ti Fx+emx 11.0 Alpine Skis 172</t>
        </is>
      </c>
      <c r="AP484" t="inlineStr">
        <is>
          <t>Snowinn.com</t>
        </is>
      </c>
      <c r="AQ484" s="333" t="n">
        <v>513.49</v>
      </c>
      <c r="AR484" t="inlineStr">
        <is>
          <t>https://tinyurl.com/ycso3nh3</t>
        </is>
      </c>
      <c r="AS484" s="314">
        <f>IF(LEFT(C484,1)=" ",RIGHT(C484,LEN(C484)-1),C484)</f>
        <v/>
      </c>
      <c r="AT484" s="281">
        <f>_xlfn.CONCAT(B484,AS484,D484,E484)</f>
        <v/>
      </c>
    </row>
    <row r="485">
      <c r="A485" t="inlineStr">
        <is>
          <t>21/22</t>
        </is>
      </c>
      <c r="B485" t="inlineStr">
        <is>
          <t xml:space="preserve"> Atomic</t>
        </is>
      </c>
      <c r="C485" t="inlineStr">
        <is>
          <t>Redster S7</t>
        </is>
      </c>
      <c r="D485" t="n">
        <v>156</v>
      </c>
      <c r="E485" t="inlineStr">
        <is>
          <t xml:space="preserve"> Unisex</t>
        </is>
      </c>
      <c r="F485" t="n">
        <v>156</v>
      </c>
      <c r="G485" t="n">
        <v>153.4</v>
      </c>
      <c r="H485" t="n">
        <v>133</v>
      </c>
      <c r="I485" t="n">
        <v>140</v>
      </c>
      <c r="J485" t="n">
        <v>109</v>
      </c>
      <c r="K485" t="n">
        <v>70</v>
      </c>
      <c r="L485" t="n">
        <v>97</v>
      </c>
      <c r="M485" t="n">
        <v>13.8</v>
      </c>
      <c r="N485" t="n">
        <v>1573</v>
      </c>
      <c r="O485" t="n">
        <v>0.8</v>
      </c>
      <c r="P485" t="n">
        <v>1265</v>
      </c>
      <c r="Q485" t="n">
        <v>175</v>
      </c>
      <c r="R485" t="n">
        <v>83</v>
      </c>
      <c r="S485" t="n">
        <v>39</v>
      </c>
      <c r="T485" t="n">
        <v>146</v>
      </c>
      <c r="U485" t="n">
        <v>5</v>
      </c>
      <c r="V485" t="n">
        <v>62</v>
      </c>
      <c r="W485" t="n">
        <v>0.131</v>
      </c>
      <c r="X485" t="n">
        <v>84</v>
      </c>
      <c r="Y485" t="n">
        <v>53</v>
      </c>
      <c r="Z485" t="n">
        <v>62</v>
      </c>
      <c r="AA485" t="n">
        <v>6</v>
      </c>
      <c r="AB485" t="n">
        <v>12.4</v>
      </c>
      <c r="AC485" t="inlineStr">
        <is>
          <t xml:space="preserve"> On-Piste Carving</t>
        </is>
      </c>
      <c r="AG485" t="inlineStr">
        <is>
          <t>Atomic Redster S7 Skis w Atomic FT 12 GW Bindings  Demo Skis</t>
        </is>
      </c>
      <c r="AH485" t="inlineStr">
        <is>
          <t>Powder7 Ski Shop</t>
        </is>
      </c>
      <c r="AI485" s="333" t="n">
        <v>359.99</v>
      </c>
      <c r="AJ485" t="inlineStr">
        <is>
          <t>https://tinyurl.com/y7dzrmcb</t>
        </is>
      </c>
      <c r="AK485" t="inlineStr">
        <is>
          <t>Atomic Redster RX EZY2 156 cm Ski + Elan ESR 10 Bindings Sport Snow Winter CBS</t>
        </is>
      </c>
      <c r="AL485" t="inlineStr">
        <is>
          <t>Traventuria</t>
        </is>
      </c>
      <c r="AM485" s="333" t="n">
        <v>114.99</v>
      </c>
      <c r="AN485" t="inlineStr">
        <is>
          <t>https://tinyurl.com/yarol98b</t>
        </is>
      </c>
      <c r="AS485" s="314">
        <f>IF(LEFT(C485,1)=" ",RIGHT(C485,LEN(C485)-1),C485)</f>
        <v/>
      </c>
      <c r="AT485" s="281">
        <f>_xlfn.CONCAT(B485,AS485,D485,E485)</f>
        <v/>
      </c>
    </row>
    <row r="486">
      <c r="A486" t="inlineStr">
        <is>
          <t>21/22</t>
        </is>
      </c>
      <c r="B486" t="inlineStr">
        <is>
          <t xml:space="preserve"> Dynastar</t>
        </is>
      </c>
      <c r="C486" t="inlineStr">
        <is>
          <t>M-Tour 99</t>
        </is>
      </c>
      <c r="D486" t="n">
        <v>178</v>
      </c>
      <c r="E486" t="inlineStr">
        <is>
          <t xml:space="preserve"> Unisex</t>
        </is>
      </c>
      <c r="F486" t="n">
        <v>178</v>
      </c>
      <c r="G486" t="n">
        <v>177.2</v>
      </c>
      <c r="H486" t="n">
        <v>131</v>
      </c>
      <c r="I486" t="n">
        <v>145</v>
      </c>
      <c r="J486" t="n">
        <v>126</v>
      </c>
      <c r="K486" t="n">
        <v>97</v>
      </c>
      <c r="L486" t="n">
        <v>116</v>
      </c>
      <c r="M486" t="n">
        <v>19.8</v>
      </c>
      <c r="N486" t="n">
        <v>1334</v>
      </c>
      <c r="O486" t="n">
        <v>1.42</v>
      </c>
      <c r="P486" t="n">
        <v>1897</v>
      </c>
      <c r="Q486" t="n">
        <v>243</v>
      </c>
      <c r="R486" t="n">
        <v>77</v>
      </c>
      <c r="S486" t="n">
        <v>59</v>
      </c>
      <c r="T486" t="n">
        <v>324</v>
      </c>
      <c r="U486" t="n">
        <v>11</v>
      </c>
      <c r="V486" t="n">
        <v>140</v>
      </c>
      <c r="W486" t="n">
        <v>0.181</v>
      </c>
      <c r="X486" t="n">
        <v>196</v>
      </c>
      <c r="Y486" t="n">
        <v>126</v>
      </c>
      <c r="Z486" t="n">
        <v>128</v>
      </c>
      <c r="AA486" t="n">
        <v>7</v>
      </c>
      <c r="AB486" t="n">
        <v>12.2</v>
      </c>
      <c r="AC486" t="inlineStr">
        <is>
          <t xml:space="preserve"> Touring</t>
        </is>
      </c>
      <c r="AD486" t="inlineStr">
        <is>
          <t xml:space="preserve"> Ultralight Touring</t>
        </is>
      </c>
      <c r="AG486" t="inlineStr">
        <is>
          <t>Dynastar M-Tour 99 Ski 2022</t>
        </is>
      </c>
      <c r="AH486" t="inlineStr">
        <is>
          <t>Telemark Pyrenees</t>
        </is>
      </c>
      <c r="AI486" s="333" t="n">
        <v>546.34</v>
      </c>
      <c r="AJ486" t="inlineStr">
        <is>
          <t>https://tinyurl.com/yabxu3ae</t>
        </is>
      </c>
      <c r="AK486" t="inlineStr">
        <is>
          <t>Dynastar M-Tour 99 Ski 2022</t>
        </is>
      </c>
      <c r="AL486" t="inlineStr">
        <is>
          <t>evo.com</t>
        </is>
      </c>
      <c r="AM486" s="333" t="n">
        <v>639.96</v>
      </c>
      <c r="AN486" t="inlineStr">
        <is>
          <t>https://tinyurl.com/y9kxmf39</t>
        </is>
      </c>
      <c r="AO486" t="inlineStr">
        <is>
          <t>Dynastar M-Tour 99 178 cm</t>
        </is>
      </c>
      <c r="AP486" t="inlineStr">
        <is>
          <t>Level Nine Sports</t>
        </is>
      </c>
      <c r="AQ486" s="333" t="n">
        <v>639.96</v>
      </c>
      <c r="AR486" t="inlineStr">
        <is>
          <t>https://tinyurl.com/y7lxl6up</t>
        </is>
      </c>
      <c r="AS486" s="314">
        <f>IF(LEFT(C486,1)=" ",RIGHT(C486,LEN(C486)-1),C486)</f>
        <v/>
      </c>
      <c r="AT486" s="281">
        <f>_xlfn.CONCAT(B486,AS486,D486,E486)</f>
        <v/>
      </c>
    </row>
    <row r="487">
      <c r="A487" t="inlineStr">
        <is>
          <t>21/22</t>
        </is>
      </c>
      <c r="B487" t="inlineStr">
        <is>
          <t xml:space="preserve"> Blizzard</t>
        </is>
      </c>
      <c r="C487" t="inlineStr">
        <is>
          <t>Black Pearl 97</t>
        </is>
      </c>
      <c r="D487" t="n">
        <v>159</v>
      </c>
      <c r="E487" t="inlineStr">
        <is>
          <t xml:space="preserve"> Women's</t>
        </is>
      </c>
      <c r="F487" t="n">
        <v>159</v>
      </c>
      <c r="G487" t="n">
        <v>157.7</v>
      </c>
      <c r="H487" t="n">
        <v>124</v>
      </c>
      <c r="I487" t="n">
        <v>134</v>
      </c>
      <c r="J487" t="n">
        <v>135</v>
      </c>
      <c r="K487" t="n">
        <v>96</v>
      </c>
      <c r="L487" t="n">
        <v>117</v>
      </c>
      <c r="M487" t="n">
        <v>14.4</v>
      </c>
      <c r="N487" t="n">
        <v>1753</v>
      </c>
      <c r="O487" t="n">
        <v>0.97</v>
      </c>
      <c r="P487" t="n">
        <v>1700</v>
      </c>
      <c r="Q487" t="n">
        <v>155</v>
      </c>
      <c r="R487" t="n">
        <v>83</v>
      </c>
      <c r="S487" t="n">
        <v>59</v>
      </c>
      <c r="T487" t="n">
        <v>230</v>
      </c>
      <c r="U487" t="n">
        <v>7</v>
      </c>
      <c r="V487" t="n">
        <v>112</v>
      </c>
      <c r="W487" t="n">
        <v>0.126</v>
      </c>
      <c r="X487" t="n">
        <v>130</v>
      </c>
      <c r="Y487" t="n">
        <v>109</v>
      </c>
      <c r="Z487" t="n">
        <v>99</v>
      </c>
      <c r="AA487" t="n">
        <v>5</v>
      </c>
      <c r="AB487" t="n">
        <v>11.3</v>
      </c>
      <c r="AC487" t="inlineStr">
        <is>
          <t xml:space="preserve"> Resort Freeride</t>
        </is>
      </c>
      <c r="AG487" t="inlineStr">
        <is>
          <t>Blizzard Black Pearl 97 21/22</t>
        </is>
      </c>
      <c r="AH487" t="inlineStr">
        <is>
          <t>Snowcountry.eu</t>
        </is>
      </c>
      <c r="AI487" s="333" t="n">
        <v>387.23</v>
      </c>
      <c r="AJ487" t="inlineStr">
        <is>
          <t>https://tinyurl.com/y88n7p25</t>
        </is>
      </c>
      <c r="AK487" t="inlineStr">
        <is>
          <t>2022 Blizzard Black Pearl 97 + Marker Demo Bindings -  159</t>
        </is>
      </c>
      <c r="AL487" t="inlineStr">
        <is>
          <t>Ski Town All-Stars</t>
        </is>
      </c>
      <c r="AM487" s="333" t="n">
        <v>599.99</v>
      </c>
      <c r="AN487" t="inlineStr">
        <is>
          <t>https://tinyurl.com/y97e3nly</t>
        </is>
      </c>
      <c r="AO487" t="inlineStr">
        <is>
          <t>2022 Blizzard Black Pearl 97 ladies snow skis 159</t>
        </is>
      </c>
      <c r="AP487" t="inlineStr">
        <is>
          <t>The Pro Shop</t>
        </is>
      </c>
      <c r="AQ487" s="333" t="n">
        <v>699.95</v>
      </c>
      <c r="AR487" t="inlineStr">
        <is>
          <t>https://tinyurl.com/y7cz7tv6</t>
        </is>
      </c>
      <c r="AS487" s="314">
        <f>IF(LEFT(C487,1)=" ",RIGHT(C487,LEN(C487)-1),C487)</f>
        <v/>
      </c>
      <c r="AT487" s="281">
        <f>_xlfn.CONCAT(B487,AS487,D487,E487)</f>
        <v/>
      </c>
    </row>
    <row r="488">
      <c r="A488" t="inlineStr">
        <is>
          <t>21/22</t>
        </is>
      </c>
      <c r="B488" t="inlineStr">
        <is>
          <t xml:space="preserve"> Black Crows</t>
        </is>
      </c>
      <c r="C488" t="inlineStr">
        <is>
          <t xml:space="preserve"> Serpo</t>
        </is>
      </c>
      <c r="D488" t="n">
        <v>168.2</v>
      </c>
      <c r="E488" t="inlineStr">
        <is>
          <t xml:space="preserve"> Unisex</t>
        </is>
      </c>
      <c r="F488" t="n">
        <v>168.2</v>
      </c>
      <c r="G488" t="n">
        <v>167.8</v>
      </c>
      <c r="H488" t="n">
        <v>112</v>
      </c>
      <c r="I488" t="n">
        <v>149</v>
      </c>
      <c r="J488" t="n">
        <v>128</v>
      </c>
      <c r="K488" t="n">
        <v>92</v>
      </c>
      <c r="L488" t="n">
        <v>111</v>
      </c>
      <c r="M488" t="n">
        <v>19.7</v>
      </c>
      <c r="N488" t="n">
        <v>1721</v>
      </c>
      <c r="O488" t="n">
        <v>1</v>
      </c>
      <c r="P488" t="n">
        <v>1713</v>
      </c>
      <c r="Q488" t="n">
        <v>167</v>
      </c>
      <c r="R488" t="n">
        <v>89</v>
      </c>
      <c r="S488" t="n">
        <v>46</v>
      </c>
      <c r="T488" t="n">
        <v>309</v>
      </c>
      <c r="U488" t="n">
        <v>13</v>
      </c>
      <c r="V488" t="n">
        <v>246</v>
      </c>
      <c r="W488" t="n">
        <v>0.28</v>
      </c>
      <c r="X488" t="n">
        <v>100</v>
      </c>
      <c r="Y488" t="n">
        <v>89</v>
      </c>
      <c r="Z488" t="n">
        <v>209</v>
      </c>
      <c r="AA488" t="n">
        <v>4</v>
      </c>
      <c r="AB488" t="n">
        <v>7.9</v>
      </c>
      <c r="AC488" t="inlineStr">
        <is>
          <t xml:space="preserve"> Resort Freeride</t>
        </is>
      </c>
      <c r="AG488" t="inlineStr">
        <is>
          <t>Black Crows Serpo Skis 2022</t>
        </is>
      </c>
      <c r="AH488" t="inlineStr">
        <is>
          <t>Varuste.net</t>
        </is>
      </c>
      <c r="AI488" s="333" t="n">
        <v>445.09</v>
      </c>
      <c r="AJ488" t="inlineStr">
        <is>
          <t>https://tinyurl.com/yabgra4w</t>
        </is>
      </c>
      <c r="AK488" t="inlineStr">
        <is>
          <t>Black Crows Serpo Skis 2022</t>
        </is>
      </c>
      <c r="AL488" t="inlineStr">
        <is>
          <t>Powder7 Ski Shop</t>
        </is>
      </c>
      <c r="AM488" s="333" t="n">
        <v>671.9299999999999</v>
      </c>
      <c r="AN488" t="inlineStr">
        <is>
          <t>https://tinyurl.com/y76p8dul</t>
        </is>
      </c>
      <c r="AO488" t="inlineStr">
        <is>
          <t>Black Crows Serpo Skis 2022</t>
        </is>
      </c>
      <c r="AP488" t="inlineStr">
        <is>
          <t>SkiEssentials.com</t>
        </is>
      </c>
      <c r="AQ488" s="333" t="n">
        <v>671.96</v>
      </c>
      <c r="AR488" t="inlineStr">
        <is>
          <t>https://tinyurl.com/y8ublnsl</t>
        </is>
      </c>
      <c r="AS488" s="314">
        <f>IF(LEFT(C488,1)=" ",RIGHT(C488,LEN(C488)-1),C488)</f>
        <v/>
      </c>
      <c r="AT488" s="281">
        <f>_xlfn.CONCAT(B488,AS488,D488,E488)</f>
        <v/>
      </c>
    </row>
    <row r="489">
      <c r="A489" t="inlineStr">
        <is>
          <t>21/22</t>
        </is>
      </c>
      <c r="B489" t="inlineStr">
        <is>
          <t xml:space="preserve"> Rossignol</t>
        </is>
      </c>
      <c r="C489" t="inlineStr">
        <is>
          <t xml:space="preserve"> Hero Elite Multi Turn Ca</t>
        </is>
      </c>
      <c r="D489" t="n">
        <v>167</v>
      </c>
      <c r="E489" t="inlineStr">
        <is>
          <t xml:space="preserve"> Unisex</t>
        </is>
      </c>
      <c r="F489" t="n">
        <v>167</v>
      </c>
      <c r="G489" t="n">
        <v>167.5</v>
      </c>
      <c r="H489" t="n">
        <v>147</v>
      </c>
      <c r="I489" t="n">
        <v>154</v>
      </c>
      <c r="J489" t="n">
        <v>122</v>
      </c>
      <c r="K489" t="n">
        <v>73</v>
      </c>
      <c r="L489" t="n">
        <v>108</v>
      </c>
      <c r="M489" t="n">
        <v>13.9</v>
      </c>
      <c r="N489" t="n">
        <v>1803</v>
      </c>
      <c r="O489" t="n">
        <v>0.83</v>
      </c>
      <c r="P489" t="n">
        <v>1491</v>
      </c>
      <c r="Q489" t="n">
        <v>209</v>
      </c>
      <c r="R489" t="n">
        <v>85</v>
      </c>
      <c r="S489" t="n">
        <v>39</v>
      </c>
      <c r="T489" t="n">
        <v>141</v>
      </c>
      <c r="U489" t="n">
        <v>4</v>
      </c>
      <c r="V489" t="n">
        <v>66</v>
      </c>
      <c r="W489" t="n">
        <v>0.111</v>
      </c>
      <c r="X489" t="n">
        <v>79</v>
      </c>
      <c r="Y489" t="n">
        <v>59</v>
      </c>
      <c r="Z489" t="n">
        <v>63</v>
      </c>
      <c r="AA489" t="n">
        <v>11</v>
      </c>
      <c r="AB489" t="n">
        <v>10.5</v>
      </c>
      <c r="AC489" t="inlineStr">
        <is>
          <t xml:space="preserve"> On-Piste Carving</t>
        </is>
      </c>
      <c r="AG489" t="inlineStr">
        <is>
          <t>Rossignol Hero Elite St Ti + SPX 14 Konect 21/22</t>
        </is>
      </c>
      <c r="AH489" t="inlineStr">
        <is>
          <t>Rossignol US</t>
        </is>
      </c>
      <c r="AI489" s="333" t="n">
        <v>1099.95</v>
      </c>
      <c r="AJ489" t="inlineStr">
        <is>
          <t>https://tinyurl.com/ydekfanf</t>
        </is>
      </c>
      <c r="AK489" t="inlineStr">
        <is>
          <t>Rossignol Hero Elite St Ti 167cm 13m Radius Spx 12 Binding</t>
        </is>
      </c>
      <c r="AL489" t="inlineStr">
        <is>
          <t>eBay</t>
        </is>
      </c>
      <c r="AM489" s="333" t="n">
        <v>575</v>
      </c>
      <c r="AN489" t="inlineStr">
        <is>
          <t>https://tinyurl.com/y9llkap4</t>
        </is>
      </c>
      <c r="AO489" t="inlineStr">
        <is>
          <t>Rossignol Hero Elite MT Ti</t>
        </is>
      </c>
      <c r="AP489" t="inlineStr">
        <is>
          <t>Spoke-N-Sport</t>
        </is>
      </c>
      <c r="AQ489" s="333" t="n">
        <v>629.99</v>
      </c>
      <c r="AR489" t="inlineStr">
        <is>
          <t>https://tinyurl.com/ybb5lggu</t>
        </is>
      </c>
      <c r="AS489" s="314">
        <f>IF(LEFT(C489,1)=" ",RIGHT(C489,LEN(C489)-1),C489)</f>
        <v/>
      </c>
      <c r="AT489" s="281">
        <f>_xlfn.CONCAT(B489,AS489,D489,E489)</f>
        <v/>
      </c>
    </row>
    <row r="490">
      <c r="A490" t="inlineStr">
        <is>
          <t>21/22</t>
        </is>
      </c>
      <c r="B490" t="inlineStr">
        <is>
          <t xml:space="preserve"> Line</t>
        </is>
      </c>
      <c r="C490" t="inlineStr">
        <is>
          <t xml:space="preserve"> Blade</t>
        </is>
      </c>
      <c r="D490" t="n">
        <v>169</v>
      </c>
      <c r="E490" t="inlineStr">
        <is>
          <t xml:space="preserve"> Unisex</t>
        </is>
      </c>
      <c r="F490" t="n">
        <v>169</v>
      </c>
      <c r="G490" t="n">
        <v>168.2</v>
      </c>
      <c r="H490" t="n">
        <v>133</v>
      </c>
      <c r="I490" t="n">
        <v>153</v>
      </c>
      <c r="J490" t="n">
        <v>153</v>
      </c>
      <c r="K490" t="n">
        <v>94</v>
      </c>
      <c r="L490" t="n">
        <v>123</v>
      </c>
      <c r="M490" t="n">
        <v>12.6</v>
      </c>
      <c r="N490" t="n">
        <v>1833</v>
      </c>
      <c r="O490" t="n">
        <v>1.03</v>
      </c>
      <c r="P490" t="n">
        <v>1892</v>
      </c>
      <c r="Q490" t="n">
        <v>155</v>
      </c>
      <c r="R490" t="n">
        <v>104</v>
      </c>
      <c r="S490" t="n">
        <v>43</v>
      </c>
      <c r="T490" t="n">
        <v>207</v>
      </c>
      <c r="U490" t="n">
        <v>26</v>
      </c>
      <c r="V490" t="n">
        <v>150</v>
      </c>
      <c r="W490" t="n">
        <v>0.614</v>
      </c>
      <c r="X490" t="n">
        <v>130</v>
      </c>
      <c r="Y490" t="n">
        <v>23</v>
      </c>
      <c r="Z490" t="n">
        <v>76</v>
      </c>
      <c r="AA490" t="n">
        <v>9</v>
      </c>
      <c r="AB490" t="n">
        <v>5.6</v>
      </c>
      <c r="AC490" t="inlineStr">
        <is>
          <t xml:space="preserve"> Resort Freeride</t>
        </is>
      </c>
      <c r="AG490" t="inlineStr">
        <is>
          <t>Line Skis Blade</t>
        </is>
      </c>
      <c r="AH490" t="inlineStr">
        <is>
          <t>Aistriu</t>
        </is>
      </c>
      <c r="AI490" s="333" t="n">
        <v>749.95</v>
      </c>
      <c r="AJ490" t="inlineStr">
        <is>
          <t>https://tinyurl.com/yb2n86hb</t>
        </is>
      </c>
      <c r="AK490" t="inlineStr">
        <is>
          <t>Line Skis Blade</t>
        </is>
      </c>
      <c r="AL490" t="inlineStr">
        <is>
          <t>LINE Skis</t>
        </is>
      </c>
      <c r="AM490" s="333" t="n">
        <v>749.95</v>
      </c>
      <c r="AN490" t="inlineStr">
        <is>
          <t>https://tinyurl.com/ycys9x5n</t>
        </is>
      </c>
      <c r="AO490" t="inlineStr">
        <is>
          <t>Line Skis Blade</t>
        </is>
      </c>
      <c r="AP490" t="inlineStr">
        <is>
          <t>Geiger's</t>
        </is>
      </c>
      <c r="AQ490" s="333" t="n">
        <v>900</v>
      </c>
      <c r="AR490" t="inlineStr">
        <is>
          <t>https://tinyurl.com/yawn77wv</t>
        </is>
      </c>
      <c r="AS490" s="314">
        <f>IF(LEFT(C490,1)=" ",RIGHT(C490,LEN(C490)-1),C490)</f>
        <v/>
      </c>
      <c r="AT490" s="281">
        <f>_xlfn.CONCAT(B490,AS490,D490,E490)</f>
        <v/>
      </c>
    </row>
    <row r="491">
      <c r="A491" t="inlineStr">
        <is>
          <t>21/22</t>
        </is>
      </c>
      <c r="B491" t="inlineStr">
        <is>
          <t xml:space="preserve"> Elan</t>
        </is>
      </c>
      <c r="C491" t="inlineStr">
        <is>
          <t>Ripstick 88</t>
        </is>
      </c>
      <c r="D491" t="n">
        <v>180</v>
      </c>
      <c r="E491" t="inlineStr">
        <is>
          <t xml:space="preserve"> Unisex</t>
        </is>
      </c>
      <c r="F491" t="n">
        <v>180</v>
      </c>
      <c r="G491" t="n">
        <v>177</v>
      </c>
      <c r="H491" t="n">
        <v>139</v>
      </c>
      <c r="I491" t="n">
        <v>144</v>
      </c>
      <c r="J491" t="n">
        <v>129</v>
      </c>
      <c r="K491" t="n">
        <v>87</v>
      </c>
      <c r="L491" t="n">
        <v>104</v>
      </c>
      <c r="M491" t="n">
        <v>17.1</v>
      </c>
      <c r="N491" t="n">
        <v>1569</v>
      </c>
      <c r="O491" t="n">
        <v>1.13</v>
      </c>
      <c r="P491" t="n">
        <v>1777</v>
      </c>
      <c r="Q491" t="n">
        <v>193</v>
      </c>
      <c r="R491" t="n">
        <v>71</v>
      </c>
      <c r="S491" t="n">
        <v>50</v>
      </c>
      <c r="T491" t="n">
        <v>230</v>
      </c>
      <c r="U491" t="n">
        <v>14</v>
      </c>
      <c r="V491" t="n">
        <v>154</v>
      </c>
      <c r="W491" t="n">
        <v>0.284</v>
      </c>
      <c r="X491" t="n">
        <v>161</v>
      </c>
      <c r="Y491" t="n">
        <v>174</v>
      </c>
      <c r="Z491" t="n">
        <v>69</v>
      </c>
      <c r="AA491" t="n">
        <v>5</v>
      </c>
      <c r="AB491" t="n">
        <v>9.1</v>
      </c>
      <c r="AC491" t="inlineStr">
        <is>
          <t xml:space="preserve"> Resort Freeride</t>
        </is>
      </c>
      <c r="AD491" t="inlineStr">
        <is>
          <t xml:space="preserve"> Touring</t>
        </is>
      </c>
      <c r="AG491" t="inlineStr">
        <is>
          <t>Elan Ripstick 88 20/21</t>
        </is>
      </c>
      <c r="AH491" t="inlineStr">
        <is>
          <t>Absolute-Snow.co.uk</t>
        </is>
      </c>
      <c r="AI491" s="333" t="n">
        <v>512.16</v>
      </c>
      <c r="AJ491" t="inlineStr">
        <is>
          <t>https://tinyurl.com/ybse28ye</t>
        </is>
      </c>
      <c r="AK491" t="inlineStr">
        <is>
          <t>Elan Ripstick 88 Skis 2022 180</t>
        </is>
      </c>
      <c r="AL491" t="inlineStr">
        <is>
          <t>Winteriscalling.com</t>
        </is>
      </c>
      <c r="AM491" s="333" t="n">
        <v>599.99</v>
      </c>
      <c r="AN491" t="inlineStr">
        <is>
          <t>https://tinyurl.com/y8tffrrl</t>
        </is>
      </c>
      <c r="AO491" t="inlineStr">
        <is>
          <t>2021 Elan Ripstick 88 Skis w/Tyrolia Attack2 13 GW Bindings</t>
        </is>
      </c>
      <c r="AP491" t="inlineStr">
        <is>
          <t>SkiEssentials.com</t>
        </is>
      </c>
      <c r="AQ491" s="333" t="n">
        <v>624.99</v>
      </c>
      <c r="AR491" t="inlineStr">
        <is>
          <t>https://tinyurl.com/yafwg22y</t>
        </is>
      </c>
      <c r="AS491" s="314">
        <f>IF(LEFT(C491,1)=" ",RIGHT(C491,LEN(C491)-1),C491)</f>
        <v/>
      </c>
      <c r="AT491" s="281">
        <f>_xlfn.CONCAT(B491,AS491,D491,E491)</f>
        <v/>
      </c>
    </row>
    <row r="492">
      <c r="A492" t="inlineStr">
        <is>
          <t>21/22</t>
        </is>
      </c>
      <c r="B492" t="inlineStr">
        <is>
          <t xml:space="preserve"> Nordica</t>
        </is>
      </c>
      <c r="C492" t="inlineStr">
        <is>
          <t>Santa Ana 88</t>
        </is>
      </c>
      <c r="D492" t="n">
        <v>151</v>
      </c>
      <c r="E492" t="inlineStr">
        <is>
          <t xml:space="preserve"> Women's</t>
        </is>
      </c>
      <c r="F492" t="n">
        <v>151</v>
      </c>
      <c r="G492" t="n">
        <v>150.6</v>
      </c>
      <c r="H492" t="n">
        <v>108</v>
      </c>
      <c r="I492" t="n">
        <v>126</v>
      </c>
      <c r="J492" t="n">
        <v>119</v>
      </c>
      <c r="K492" t="n">
        <v>87</v>
      </c>
      <c r="L492" t="n">
        <v>105</v>
      </c>
      <c r="M492" t="n">
        <v>13.5</v>
      </c>
      <c r="N492" t="n">
        <v>1585</v>
      </c>
      <c r="O492" t="n">
        <v>0.93</v>
      </c>
      <c r="P492" t="n">
        <v>1469</v>
      </c>
      <c r="Q492" t="n">
        <v>158</v>
      </c>
      <c r="R492" t="n">
        <v>85</v>
      </c>
      <c r="S492" t="n">
        <v>51</v>
      </c>
      <c r="T492" t="n">
        <v>245</v>
      </c>
      <c r="U492" t="n">
        <v>13</v>
      </c>
      <c r="V492" t="n">
        <v>178</v>
      </c>
      <c r="W492" t="n">
        <v>0.26</v>
      </c>
      <c r="X492" t="n">
        <v>122</v>
      </c>
      <c r="Y492" t="n">
        <v>125</v>
      </c>
      <c r="Z492" t="n">
        <v>123</v>
      </c>
      <c r="AA492" t="n">
        <v>6</v>
      </c>
      <c r="AB492" t="n">
        <v>7.9</v>
      </c>
      <c r="AC492" t="inlineStr">
        <is>
          <t xml:space="preserve"> Resort Freeride</t>
        </is>
      </c>
      <c r="AG492" t="inlineStr">
        <is>
          <t>Nordica Santa Ana 88 21/22</t>
        </is>
      </c>
      <c r="AH492" t="inlineStr">
        <is>
          <t>Varuste.net</t>
        </is>
      </c>
      <c r="AI492" s="333" t="n">
        <v>363.76</v>
      </c>
      <c r="AJ492" t="inlineStr">
        <is>
          <t>https://tinyurl.com/ybudge4m</t>
        </is>
      </c>
      <c r="AK492" t="inlineStr">
        <is>
          <t>Nordica Santa Ana 88 Skis 2022 151</t>
        </is>
      </c>
      <c r="AL492" t="inlineStr">
        <is>
          <t>Ski Depot RaceSkis.com</t>
        </is>
      </c>
      <c r="AM492" s="333" t="n">
        <v>599.99</v>
      </c>
      <c r="AN492" t="inlineStr">
        <is>
          <t>https://tinyurl.com/ycrdpwdk</t>
        </is>
      </c>
      <c r="AO492" t="inlineStr">
        <is>
          <t>Nordica Santa Ana 88 Women's Skis 151cm 2022</t>
        </is>
      </c>
      <c r="AP492" t="inlineStr">
        <is>
          <t>Powder7 Ski Shop</t>
        </is>
      </c>
      <c r="AQ492" s="333" t="n">
        <v>599.99</v>
      </c>
      <c r="AR492" t="inlineStr">
        <is>
          <t>https://tinyurl.com/ybodeh2t</t>
        </is>
      </c>
      <c r="AS492" s="314">
        <f>IF(LEFT(C492,1)=" ",RIGHT(C492,LEN(C492)-1),C492)</f>
        <v/>
      </c>
      <c r="AT492" s="281">
        <f>_xlfn.CONCAT(B492,AS492,D492,E492)</f>
        <v/>
      </c>
    </row>
    <row r="493">
      <c r="A493" t="inlineStr">
        <is>
          <t>21/22</t>
        </is>
      </c>
      <c r="B493" t="inlineStr">
        <is>
          <t xml:space="preserve"> Vï¿½lkl</t>
        </is>
      </c>
      <c r="C493" t="inlineStr">
        <is>
          <t>Bash 86</t>
        </is>
      </c>
      <c r="D493" t="n">
        <v>148</v>
      </c>
      <c r="E493" t="inlineStr">
        <is>
          <t xml:space="preserve"> Unisex</t>
        </is>
      </c>
      <c r="F493" t="n">
        <v>148</v>
      </c>
      <c r="G493" t="n">
        <v>148.2</v>
      </c>
      <c r="H493" t="n">
        <v>111</v>
      </c>
      <c r="I493" t="n">
        <v>133</v>
      </c>
      <c r="J493" t="n">
        <v>119</v>
      </c>
      <c r="K493" t="n">
        <v>85</v>
      </c>
      <c r="L493" t="n">
        <v>109</v>
      </c>
      <c r="M493" t="n">
        <v>14.9</v>
      </c>
      <c r="N493" t="n">
        <v>1462</v>
      </c>
      <c r="O493" t="n">
        <v>0.97</v>
      </c>
      <c r="P493" t="n">
        <v>1418</v>
      </c>
      <c r="Q493" t="n">
        <v>145</v>
      </c>
      <c r="R493" t="n">
        <v>72</v>
      </c>
      <c r="S493" t="n">
        <v>41</v>
      </c>
      <c r="T493" t="n">
        <v>188</v>
      </c>
      <c r="U493" t="n">
        <v>40</v>
      </c>
      <c r="V493" t="n">
        <v>184</v>
      </c>
      <c r="W493" t="n">
        <v>0.987</v>
      </c>
      <c r="X493" t="n">
        <v>82</v>
      </c>
      <c r="Y493" t="n">
        <v>70</v>
      </c>
      <c r="Z493" t="n">
        <v>106</v>
      </c>
      <c r="AA493" t="n">
        <v>3</v>
      </c>
      <c r="AB493" t="n">
        <v>1.6</v>
      </c>
      <c r="AC493" t="inlineStr">
        <is>
          <t xml:space="preserve"> Freeski</t>
        </is>
      </c>
      <c r="AG493" t="inlineStr">
        <is>
          <t>Volkl Bash 86 W 148cm</t>
        </is>
      </c>
      <c r="AH493" t="inlineStr">
        <is>
          <t>PRFO Sports</t>
        </is>
      </c>
      <c r="AI493" s="333" t="n">
        <v>252.53</v>
      </c>
      <c r="AJ493" t="inlineStr">
        <is>
          <t>https://tinyurl.com/yb6sodaz</t>
        </is>
      </c>
      <c r="AK493" t="inlineStr">
        <is>
          <t>Volkl Bash 86 Women's Skis 2020</t>
        </is>
      </c>
      <c r="AL493" t="inlineStr">
        <is>
          <t>Aspen East</t>
        </is>
      </c>
      <c r="AM493" s="333" t="n">
        <v>299</v>
      </c>
      <c r="AN493" t="inlineStr">
        <is>
          <t>https://tinyurl.com/y7dmqwaw</t>
        </is>
      </c>
      <c r="AO493" t="inlineStr">
        <is>
          <t>Volkl Bash 86 Women's Skis 2020</t>
        </is>
      </c>
      <c r="AP493" t="inlineStr">
        <is>
          <t xml:space="preserve">Aspen East </t>
        </is>
      </c>
      <c r="AQ493" s="333" t="n">
        <v>299</v>
      </c>
      <c r="AR493" t="inlineStr">
        <is>
          <t>https://tinyurl.com/yap2mynr</t>
        </is>
      </c>
      <c r="AS493" s="314">
        <f>IF(LEFT(C493,1)=" ",RIGHT(C493,LEN(C493)-1),C493)</f>
        <v/>
      </c>
      <c r="AT493" s="281">
        <f>_xlfn.CONCAT(B493,AS493,D493,E493)</f>
        <v/>
      </c>
    </row>
    <row r="494">
      <c r="A494" t="inlineStr">
        <is>
          <t>21/22</t>
        </is>
      </c>
      <c r="B494" t="inlineStr">
        <is>
          <t xml:space="preserve"> Line</t>
        </is>
      </c>
      <c r="C494" t="inlineStr">
        <is>
          <t xml:space="preserve"> Chronic</t>
        </is>
      </c>
      <c r="D494" t="n">
        <v>178</v>
      </c>
      <c r="E494" t="inlineStr">
        <is>
          <t xml:space="preserve"> Unisex</t>
        </is>
      </c>
      <c r="F494" t="n">
        <v>178</v>
      </c>
      <c r="G494" t="n">
        <v>178.7</v>
      </c>
      <c r="H494" t="n">
        <v>143</v>
      </c>
      <c r="I494" t="n">
        <v>145</v>
      </c>
      <c r="J494" t="n">
        <v>128</v>
      </c>
      <c r="K494" t="n">
        <v>94</v>
      </c>
      <c r="L494" t="n">
        <v>119</v>
      </c>
      <c r="M494" t="n">
        <v>16.9</v>
      </c>
      <c r="N494" t="n">
        <v>1852</v>
      </c>
      <c r="O494" t="n">
        <v>1.02</v>
      </c>
      <c r="P494" t="n">
        <v>1884</v>
      </c>
      <c r="Q494" t="n">
        <v>156</v>
      </c>
      <c r="R494" t="n">
        <v>85</v>
      </c>
      <c r="S494" t="n">
        <v>38</v>
      </c>
      <c r="T494" t="n">
        <v>179</v>
      </c>
      <c r="U494" t="n">
        <v>37</v>
      </c>
      <c r="V494" t="n">
        <v>179</v>
      </c>
      <c r="W494" t="n">
        <v>0.981</v>
      </c>
      <c r="X494" t="n">
        <v>167</v>
      </c>
      <c r="Y494" t="n">
        <v>170</v>
      </c>
      <c r="Z494" t="n">
        <v>12</v>
      </c>
      <c r="AA494" t="n">
        <v>10</v>
      </c>
      <c r="AB494" t="n">
        <v>4.8</v>
      </c>
      <c r="AC494" t="inlineStr">
        <is>
          <t xml:space="preserve"> Freeski</t>
        </is>
      </c>
      <c r="AG494" t="inlineStr">
        <is>
          <t>Line Skis Chronic Mens Skis 2022 178cm</t>
        </is>
      </c>
      <c r="AH494" t="inlineStr">
        <is>
          <t>eBay</t>
        </is>
      </c>
      <c r="AI494" s="333" t="n">
        <v>449.95</v>
      </c>
      <c r="AJ494" t="inlineStr">
        <is>
          <t>https://tinyurl.com/y9ty6u3w</t>
        </is>
      </c>
      <c r="AK494" t="inlineStr">
        <is>
          <t>Line Chronic Skis</t>
        </is>
      </c>
      <c r="AL494" t="inlineStr">
        <is>
          <t>Powder7 Ski Shop</t>
        </is>
      </c>
      <c r="AM494" s="333" t="n">
        <v>469.99</v>
      </c>
      <c r="AN494" t="inlineStr">
        <is>
          <t>https://tinyurl.com/yaetmbea</t>
        </is>
      </c>
      <c r="AO494" t="inlineStr">
        <is>
          <t>'22 Line Chronic Skis 178cm</t>
        </is>
      </c>
      <c r="AP494" t="inlineStr">
        <is>
          <t>Al's Ski Equipment Barn</t>
        </is>
      </c>
      <c r="AQ494" s="333" t="n">
        <v>499</v>
      </c>
      <c r="AR494" t="inlineStr">
        <is>
          <t>https://tinyurl.com/y82xkqj3</t>
        </is>
      </c>
      <c r="AS494" s="314">
        <f>IF(LEFT(C494,1)=" ",RIGHT(C494,LEN(C494)-1),C494)</f>
        <v/>
      </c>
      <c r="AT494" s="281">
        <f>_xlfn.CONCAT(B494,AS494,D494,E494)</f>
        <v/>
      </c>
    </row>
    <row r="495">
      <c r="A495" t="inlineStr">
        <is>
          <t>21/22</t>
        </is>
      </c>
      <c r="B495" t="inlineStr">
        <is>
          <t xml:space="preserve"> Blizzard</t>
        </is>
      </c>
      <c r="C495" t="inlineStr">
        <is>
          <t xml:space="preserve"> Thunderbird Sport Ti</t>
        </is>
      </c>
      <c r="D495" t="n">
        <v>160</v>
      </c>
      <c r="E495" t="inlineStr">
        <is>
          <t xml:space="preserve"> Unisex</t>
        </is>
      </c>
      <c r="F495" t="n">
        <v>160</v>
      </c>
      <c r="G495" t="n">
        <v>159.6</v>
      </c>
      <c r="H495" t="n">
        <v>141</v>
      </c>
      <c r="I495" t="n">
        <v>147</v>
      </c>
      <c r="J495" t="n">
        <v>125</v>
      </c>
      <c r="K495" t="n">
        <v>76</v>
      </c>
      <c r="L495" t="n">
        <v>105</v>
      </c>
      <c r="M495" t="n">
        <v>13.7</v>
      </c>
      <c r="N495" t="n">
        <v>1818</v>
      </c>
      <c r="O495" t="n">
        <v>0.8</v>
      </c>
      <c r="P495" t="n">
        <v>1448</v>
      </c>
      <c r="Q495" t="n">
        <v>192</v>
      </c>
      <c r="R495" t="n">
        <v>95</v>
      </c>
      <c r="S495" t="n">
        <v>37</v>
      </c>
      <c r="T495" t="n">
        <v>137</v>
      </c>
      <c r="U495" t="n">
        <v>6</v>
      </c>
      <c r="V495" t="n">
        <v>51</v>
      </c>
      <c r="W495" t="n">
        <v>0.168</v>
      </c>
      <c r="X495" t="n">
        <v>76</v>
      </c>
      <c r="Y495" t="n">
        <v>52</v>
      </c>
      <c r="Z495" t="n">
        <v>61</v>
      </c>
      <c r="AA495" t="n">
        <v>7</v>
      </c>
      <c r="AB495" t="n">
        <v>12.1</v>
      </c>
      <c r="AC495" t="inlineStr">
        <is>
          <t xml:space="preserve"> On-Piste Carving</t>
        </is>
      </c>
      <c r="AG495" t="inlineStr">
        <is>
          <t>Blizzard Men's Thunderbird Sport 7.2 Skis with TLT 10 Bindings '22</t>
        </is>
      </c>
      <c r="AH495" t="inlineStr">
        <is>
          <t>sunandski.com</t>
        </is>
      </c>
      <c r="AI495" s="333" t="n">
        <v>319.93</v>
      </c>
      <c r="AJ495" t="inlineStr">
        <is>
          <t>https://tinyurl.com/y9ky4yhq</t>
        </is>
      </c>
      <c r="AK495" t="inlineStr">
        <is>
          <t>Blizzard Thunderbird 72 Ski + TLT10 - Winter 2021/2022 160</t>
        </is>
      </c>
      <c r="AL495" t="inlineStr">
        <is>
          <t>Equipe Sport</t>
        </is>
      </c>
      <c r="AM495" s="333" t="n">
        <v>399</v>
      </c>
      <c r="AN495" t="inlineStr">
        <is>
          <t>https://tinyurl.com/y8zobwhx</t>
        </is>
      </c>
      <c r="AO495" t="inlineStr">
        <is>
          <t>Blizzard Thunderbird SP 7.7 Ski System with TPX 11 Bindings Men's, 160</t>
        </is>
      </c>
      <c r="AP495" t="inlineStr">
        <is>
          <t>Stowesports.com</t>
        </is>
      </c>
      <c r="AQ495" s="333" t="n">
        <v>399.95</v>
      </c>
      <c r="AR495" t="inlineStr">
        <is>
          <t>https://tinyurl.com/yct25egw</t>
        </is>
      </c>
      <c r="AS495" s="314">
        <f>IF(LEFT(C495,1)=" ",RIGHT(C495,LEN(C495)-1),C495)</f>
        <v/>
      </c>
      <c r="AT495" s="281">
        <f>_xlfn.CONCAT(B495,AS495,D495,E495)</f>
        <v/>
      </c>
    </row>
    <row r="496">
      <c r="A496" t="inlineStr">
        <is>
          <t>21/22</t>
        </is>
      </c>
      <c r="B496" t="inlineStr">
        <is>
          <t xml:space="preserve"> Black Diamond</t>
        </is>
      </c>
      <c r="C496" t="inlineStr">
        <is>
          <t>Impulse 104</t>
        </is>
      </c>
      <c r="D496" t="n">
        <v>179</v>
      </c>
      <c r="E496" t="inlineStr">
        <is>
          <t xml:space="preserve"> Unisex</t>
        </is>
      </c>
      <c r="F496" t="n">
        <v>179</v>
      </c>
      <c r="G496" t="n">
        <v>179.6</v>
      </c>
      <c r="H496" t="n">
        <v>129</v>
      </c>
      <c r="I496" t="n">
        <v>141</v>
      </c>
      <c r="J496" t="n">
        <v>135</v>
      </c>
      <c r="K496" t="n">
        <v>103</v>
      </c>
      <c r="L496" t="n">
        <v>122</v>
      </c>
      <c r="M496" t="n">
        <v>18.1</v>
      </c>
      <c r="N496" t="n">
        <v>1929</v>
      </c>
      <c r="O496" t="n">
        <v>1.05</v>
      </c>
      <c r="P496" t="n">
        <v>2028</v>
      </c>
      <c r="Q496" t="n">
        <v>201</v>
      </c>
      <c r="R496" t="n">
        <v>80</v>
      </c>
      <c r="S496" t="n">
        <v>46</v>
      </c>
      <c r="T496" t="n">
        <v>293</v>
      </c>
      <c r="U496" t="n">
        <v>24</v>
      </c>
      <c r="V496" t="n">
        <v>212</v>
      </c>
      <c r="W496" t="n">
        <v>0.519</v>
      </c>
      <c r="X496" t="n">
        <v>233</v>
      </c>
      <c r="Y496" t="n">
        <v>151</v>
      </c>
      <c r="Z496" t="n">
        <v>60</v>
      </c>
      <c r="AA496" t="n">
        <v>8</v>
      </c>
      <c r="AB496" t="n">
        <v>9.199999999999999</v>
      </c>
      <c r="AC496" t="inlineStr">
        <is>
          <t xml:space="preserve"> Resort Freeride</t>
        </is>
      </c>
      <c r="AD496" t="inlineStr">
        <is>
          <t xml:space="preserve"> Powder</t>
        </is>
      </c>
      <c r="AE496" t="inlineStr">
        <is>
          <t xml:space="preserve"> Touring</t>
        </is>
      </c>
      <c r="AG496" t="inlineStr">
        <is>
          <t>Black Diamond Impulse 104 Skis</t>
        </is>
      </c>
      <c r="AH496" t="inlineStr">
        <is>
          <t>Powder7 Ski Shop</t>
        </is>
      </c>
      <c r="AI496" s="333" t="n">
        <v>583.96</v>
      </c>
      <c r="AJ496" t="inlineStr">
        <is>
          <t>https://tinyurl.com/ycfuu4f4</t>
        </is>
      </c>
      <c r="AK496" t="inlineStr">
        <is>
          <t>Black Diamond Impulse 104 Skis</t>
        </is>
      </c>
      <c r="AL496" t="inlineStr">
        <is>
          <t>Black Diamond Equipment - US</t>
        </is>
      </c>
      <c r="AM496" s="333" t="n">
        <v>583.96</v>
      </c>
      <c r="AN496" t="inlineStr">
        <is>
          <t>https://tinyurl.com/yc3uqabz</t>
        </is>
      </c>
      <c r="AO496" t="inlineStr">
        <is>
          <t>Black Diamond Impulse 104 Skis</t>
        </is>
      </c>
      <c r="AP496" t="inlineStr">
        <is>
          <t>SkatePro.com</t>
        </is>
      </c>
      <c r="AQ496" s="333" t="n">
        <v>629.95</v>
      </c>
      <c r="AR496" t="inlineStr">
        <is>
          <t>https://tinyurl.com/y8nk9dkh</t>
        </is>
      </c>
      <c r="AS496" s="314">
        <f>IF(LEFT(C496,1)=" ",RIGHT(C496,LEN(C496)-1),C496)</f>
        <v/>
      </c>
      <c r="AT496" s="281">
        <f>_xlfn.CONCAT(B496,AS496,D496,E496)</f>
        <v/>
      </c>
    </row>
    <row r="497">
      <c r="A497" t="inlineStr">
        <is>
          <t>21/22</t>
        </is>
      </c>
      <c r="B497" t="inlineStr">
        <is>
          <t xml:space="preserve"> Armada</t>
        </is>
      </c>
      <c r="C497" t="inlineStr">
        <is>
          <t>ARW 86</t>
        </is>
      </c>
      <c r="D497" t="n">
        <v>163</v>
      </c>
      <c r="E497" t="inlineStr">
        <is>
          <t xml:space="preserve"> Women's</t>
        </is>
      </c>
      <c r="F497" t="n">
        <v>163</v>
      </c>
      <c r="G497" t="n">
        <v>160.9</v>
      </c>
      <c r="H497" t="n">
        <v>127</v>
      </c>
      <c r="I497" t="n">
        <v>137</v>
      </c>
      <c r="J497" t="n">
        <v>113</v>
      </c>
      <c r="K497" t="n">
        <v>85</v>
      </c>
      <c r="L497" t="n">
        <v>107</v>
      </c>
      <c r="M497" t="n">
        <v>17.3</v>
      </c>
      <c r="N497" t="n">
        <v>1552</v>
      </c>
      <c r="O497" t="n">
        <v>0.98</v>
      </c>
      <c r="P497" t="n">
        <v>1524</v>
      </c>
      <c r="Q497" t="n">
        <v>140</v>
      </c>
      <c r="R497" t="n">
        <v>83</v>
      </c>
      <c r="S497" t="n">
        <v>43</v>
      </c>
      <c r="T497" t="n">
        <v>178</v>
      </c>
      <c r="U497" t="n">
        <v>38</v>
      </c>
      <c r="V497" t="n">
        <v>160</v>
      </c>
      <c r="W497" t="n">
        <v>0.866</v>
      </c>
      <c r="X497" t="n">
        <v>107</v>
      </c>
      <c r="Y497" t="n">
        <v>127</v>
      </c>
      <c r="Z497" t="n">
        <v>71</v>
      </c>
      <c r="AA497" t="n">
        <v>12</v>
      </c>
      <c r="AB497" t="n">
        <v>3.8</v>
      </c>
      <c r="AC497" t="inlineStr">
        <is>
          <t xml:space="preserve"> Freeski</t>
        </is>
      </c>
      <c r="AG497" t="inlineStr">
        <is>
          <t>Armada ARW 86 Women's Skis Â· 2022 Â· 163 cm</t>
        </is>
      </c>
      <c r="AH497" t="inlineStr">
        <is>
          <t>Powder7 Ski Shop</t>
        </is>
      </c>
      <c r="AI497" s="333" t="n">
        <v>379.95</v>
      </c>
      <c r="AJ497" t="inlineStr">
        <is>
          <t>https://tinyurl.com/ybqe6fgm</t>
        </is>
      </c>
      <c r="AK497" t="inlineStr">
        <is>
          <t>Armada ARW 86 Women's Skis Â· 2022 Â· 163 cm</t>
        </is>
      </c>
      <c r="AL497" t="inlineStr">
        <is>
          <t>BlueZone Sports</t>
        </is>
      </c>
      <c r="AM497" s="333" t="n">
        <v>399.95</v>
      </c>
      <c r="AN497" t="inlineStr">
        <is>
          <t>https://tinyurl.com/yatdtu7o</t>
        </is>
      </c>
      <c r="AO497" t="inlineStr">
        <is>
          <t>Armada ARW 86 Skis 2022 163</t>
        </is>
      </c>
      <c r="AP497" t="inlineStr">
        <is>
          <t>Winteriscalling.com</t>
        </is>
      </c>
      <c r="AQ497" s="333" t="n">
        <v>399.99</v>
      </c>
      <c r="AR497" t="inlineStr">
        <is>
          <t>https://tinyurl.com/y8ghscch</t>
        </is>
      </c>
      <c r="AS497" s="314">
        <f>IF(LEFT(C497,1)=" ",RIGHT(C497,LEN(C497)-1),C497)</f>
        <v/>
      </c>
      <c r="AT497" s="281">
        <f>_xlfn.CONCAT(B497,AS497,D497,E497)</f>
        <v/>
      </c>
    </row>
    <row r="498">
      <c r="A498" t="inlineStr">
        <is>
          <t>21/22</t>
        </is>
      </c>
      <c r="B498" t="inlineStr">
        <is>
          <t xml:space="preserve"> Elan</t>
        </is>
      </c>
      <c r="C498" t="inlineStr">
        <is>
          <t xml:space="preserve"> Amphibio STI</t>
        </is>
      </c>
      <c r="D498" t="n">
        <v>176</v>
      </c>
      <c r="E498" t="inlineStr">
        <is>
          <t xml:space="preserve"> Unisex</t>
        </is>
      </c>
      <c r="F498" t="n">
        <v>176</v>
      </c>
      <c r="G498" t="n">
        <v>174.8</v>
      </c>
      <c r="H498" t="n">
        <v>154</v>
      </c>
      <c r="I498" t="n">
        <v>161</v>
      </c>
      <c r="J498" t="n">
        <v>126</v>
      </c>
      <c r="K498" t="n">
        <v>75</v>
      </c>
      <c r="L498" t="n">
        <v>104</v>
      </c>
      <c r="M498" t="n">
        <v>16.2</v>
      </c>
      <c r="N498" t="n">
        <v>1827</v>
      </c>
      <c r="O498" t="n">
        <v>0.86</v>
      </c>
      <c r="P498" t="n">
        <v>1572</v>
      </c>
      <c r="Q498" t="n">
        <v>232</v>
      </c>
      <c r="R498" t="n">
        <v>93</v>
      </c>
      <c r="S498" t="n">
        <v>39</v>
      </c>
      <c r="T498" t="n">
        <v>140</v>
      </c>
      <c r="U498" t="n">
        <v>7</v>
      </c>
      <c r="V498" t="n">
        <v>68</v>
      </c>
      <c r="W498" t="n">
        <v>0.176</v>
      </c>
      <c r="X498" t="n">
        <v>87</v>
      </c>
      <c r="Y498" t="n">
        <v>52</v>
      </c>
      <c r="Z498" t="n">
        <v>53</v>
      </c>
      <c r="AA498" t="n">
        <v>9</v>
      </c>
      <c r="AB498" t="n">
        <v>10.5</v>
      </c>
      <c r="AC498" t="inlineStr">
        <is>
          <t xml:space="preserve"> On-Piste Carving</t>
        </is>
      </c>
      <c r="AG498" t="inlineStr">
        <is>
          <t xml:space="preserve"> 2017 Elan Amphibio 80 Xti Demo Ski with Bindings Size 176 (Option 212149)</t>
        </is>
      </c>
      <c r="AH498" t="inlineStr">
        <is>
          <t>SidelineSwap</t>
        </is>
      </c>
      <c r="AI498" s="333" t="n">
        <v>279.99</v>
      </c>
      <c r="AJ498" t="inlineStr">
        <is>
          <t>https://tinyurl.com/ycq3trol</t>
        </is>
      </c>
      <c r="AK498" t="inlineStr">
        <is>
          <t>Elan Amphibio 12 C 19/20 blue-yellow 176 Ski Men</t>
        </is>
      </c>
      <c r="AL498" t="inlineStr">
        <is>
          <t>! OutdoorXL.com</t>
        </is>
      </c>
      <c r="AM498" s="333" t="n">
        <v>329.95</v>
      </c>
      <c r="AN498" t="inlineStr">
        <is>
          <t>https://tinyurl.com/y8xzt62f</t>
        </is>
      </c>
      <c r="AO498" t="inlineStr">
        <is>
          <t>Elan Amphibio 14 Ti + EMX 11 Fusionx 21/22</t>
        </is>
      </c>
      <c r="AP498" t="inlineStr">
        <is>
          <t>Snowcountry.eu</t>
        </is>
      </c>
      <c r="AQ498" s="333" t="n">
        <v>414</v>
      </c>
      <c r="AR498" t="inlineStr">
        <is>
          <t>https://tinyurl.com/yb4ta77a</t>
        </is>
      </c>
      <c r="AS498" s="314">
        <f>IF(LEFT(C498,1)=" ",RIGHT(C498,LEN(C498)-1),C498)</f>
        <v/>
      </c>
      <c r="AT498" s="281">
        <f>_xlfn.CONCAT(B498,AS498,D498,E498)</f>
        <v/>
      </c>
    </row>
    <row r="499">
      <c r="A499" t="inlineStr">
        <is>
          <t>21/22</t>
        </is>
      </c>
      <c r="B499" t="inlineStr">
        <is>
          <t xml:space="preserve"> Black Crows</t>
        </is>
      </c>
      <c r="C499" t="inlineStr">
        <is>
          <t xml:space="preserve"> Camox Birdie</t>
        </is>
      </c>
      <c r="D499" t="n">
        <v>168.1</v>
      </c>
      <c r="E499" t="inlineStr">
        <is>
          <t xml:space="preserve"> Women's</t>
        </is>
      </c>
      <c r="F499" t="n">
        <v>168.1</v>
      </c>
      <c r="G499" t="n">
        <v>166.9</v>
      </c>
      <c r="H499" t="n">
        <v>121</v>
      </c>
      <c r="I499" t="n">
        <v>144</v>
      </c>
      <c r="J499" t="n">
        <v>130</v>
      </c>
      <c r="K499" t="n">
        <v>97</v>
      </c>
      <c r="L499" t="n">
        <v>119</v>
      </c>
      <c r="M499" t="n">
        <v>18.5</v>
      </c>
      <c r="N499" t="n">
        <v>1719</v>
      </c>
      <c r="O499" t="n">
        <v>1.05</v>
      </c>
      <c r="P499" t="n">
        <v>1798</v>
      </c>
      <c r="Q499" t="n">
        <v>172</v>
      </c>
      <c r="R499" t="n">
        <v>75</v>
      </c>
      <c r="S499" t="n">
        <v>49</v>
      </c>
      <c r="T499" t="n">
        <v>260</v>
      </c>
      <c r="U499" t="n">
        <v>35</v>
      </c>
      <c r="V499" t="n">
        <v>198</v>
      </c>
      <c r="W499" t="n">
        <v>0.709</v>
      </c>
      <c r="X499" t="n">
        <v>122</v>
      </c>
      <c r="Y499" t="n">
        <v>109</v>
      </c>
      <c r="Z499" t="n">
        <v>139</v>
      </c>
      <c r="AA499" t="n">
        <v>6</v>
      </c>
      <c r="AB499" t="n">
        <v>6.6</v>
      </c>
      <c r="AC499" t="inlineStr">
        <is>
          <t xml:space="preserve"> Resort Freeride</t>
        </is>
      </c>
      <c r="AG499" t="inlineStr">
        <is>
          <t>Black Crows Camox Birdie Skis - Women's - 2022</t>
        </is>
      </c>
      <c r="AH499" t="inlineStr">
        <is>
          <t>Basin Sports</t>
        </is>
      </c>
      <c r="AI499" s="333" t="n">
        <v>569.95</v>
      </c>
      <c r="AJ499" t="inlineStr">
        <is>
          <t>https://tinyurl.com/ybgas9s8</t>
        </is>
      </c>
      <c r="AK499" t="inlineStr">
        <is>
          <t>Black Crows Camox Birdie Skis - Women's - 2022</t>
        </is>
      </c>
      <c r="AL499" t="inlineStr">
        <is>
          <t>Powder7 Ski Shop</t>
        </is>
      </c>
      <c r="AM499" s="333" t="n">
        <v>575.9299999999999</v>
      </c>
      <c r="AN499" t="inlineStr">
        <is>
          <t>https://tinyurl.com/y8b54zze</t>
        </is>
      </c>
      <c r="AO499" t="inlineStr">
        <is>
          <t>Black Crows Camox Birdie Skis - Women's - 2022</t>
        </is>
      </c>
      <c r="AP499" t="inlineStr">
        <is>
          <t>evo.com</t>
        </is>
      </c>
      <c r="AQ499" s="333" t="n">
        <v>575.96</v>
      </c>
      <c r="AR499" t="inlineStr">
        <is>
          <t>https://tinyurl.com/ybufncb8</t>
        </is>
      </c>
      <c r="AS499" s="314">
        <f>IF(LEFT(C499,1)=" ",RIGHT(C499,LEN(C499)-1),C499)</f>
        <v/>
      </c>
      <c r="AT499" s="281">
        <f>_xlfn.CONCAT(B499,AS499,D499,E499)</f>
        <v/>
      </c>
    </row>
    <row r="500">
      <c r="A500" t="inlineStr">
        <is>
          <t>21/22</t>
        </is>
      </c>
      <c r="B500" t="inlineStr">
        <is>
          <t xml:space="preserve"> Liberty</t>
        </is>
      </c>
      <c r="C500" t="inlineStr">
        <is>
          <t>Origin 106</t>
        </is>
      </c>
      <c r="D500" t="n">
        <v>187</v>
      </c>
      <c r="E500" t="inlineStr">
        <is>
          <t xml:space="preserve"> Unisex</t>
        </is>
      </c>
      <c r="F500" t="n">
        <v>187</v>
      </c>
      <c r="G500" t="n">
        <v>186.2</v>
      </c>
      <c r="H500" t="n">
        <v>108</v>
      </c>
      <c r="I500" t="n">
        <v>156</v>
      </c>
      <c r="J500" t="n">
        <v>137</v>
      </c>
      <c r="K500" t="n">
        <v>106</v>
      </c>
      <c r="L500" t="n">
        <v>127</v>
      </c>
      <c r="M500" t="n">
        <v>21.8</v>
      </c>
      <c r="N500" t="n">
        <v>2108</v>
      </c>
      <c r="O500" t="n">
        <v>1.02</v>
      </c>
      <c r="P500" t="n">
        <v>2140</v>
      </c>
      <c r="Q500" t="n">
        <v>217</v>
      </c>
      <c r="R500" t="n">
        <v>109</v>
      </c>
      <c r="S500" t="n">
        <v>56</v>
      </c>
      <c r="T500" t="n">
        <v>471</v>
      </c>
      <c r="U500" t="n">
        <v>40</v>
      </c>
      <c r="V500" t="n">
        <v>311</v>
      </c>
      <c r="W500" t="n">
        <v>0.721</v>
      </c>
      <c r="X500" t="n">
        <v>142</v>
      </c>
      <c r="Y500" t="n">
        <v>161</v>
      </c>
      <c r="Z500" t="n">
        <v>328</v>
      </c>
      <c r="AA500" t="n">
        <v>4</v>
      </c>
      <c r="AB500" t="n">
        <v>8.199999999999999</v>
      </c>
      <c r="AC500" t="inlineStr">
        <is>
          <t xml:space="preserve"> Powder</t>
        </is>
      </c>
      <c r="AG500" t="inlineStr">
        <is>
          <t>Liberty Skis Men ' S Origin 106 Ski</t>
        </is>
      </c>
      <c r="AH500" t="inlineStr">
        <is>
          <t>REI</t>
        </is>
      </c>
      <c r="AI500" s="333" t="n">
        <v>523.9299999999999</v>
      </c>
      <c r="AJ500" t="inlineStr">
        <is>
          <t>https://tinyurl.com/y7ar6u6o</t>
        </is>
      </c>
      <c r="AK500" t="inlineStr">
        <is>
          <t>Liberty Skis Men ' S Origin 106 Ski</t>
        </is>
      </c>
      <c r="AL500" t="inlineStr">
        <is>
          <t>evo.com</t>
        </is>
      </c>
      <c r="AM500" s="333" t="n">
        <v>524.99</v>
      </c>
      <c r="AN500" t="inlineStr">
        <is>
          <t>https://tinyurl.com/yd9n749d</t>
        </is>
      </c>
      <c r="AO500" t="inlineStr">
        <is>
          <t>Liberty Skis Men ' S Origin 106 Ski</t>
        </is>
      </c>
      <c r="AP500" t="inlineStr">
        <is>
          <t>BobWards.com</t>
        </is>
      </c>
      <c r="AQ500" s="333" t="n">
        <v>699.99</v>
      </c>
      <c r="AR500" t="inlineStr">
        <is>
          <t>https://tinyurl.com/y88mq5kl</t>
        </is>
      </c>
      <c r="AS500" s="314">
        <f>IF(LEFT(C500,1)=" ",RIGHT(C500,LEN(C500)-1),C500)</f>
        <v/>
      </c>
      <c r="AT500" s="281">
        <f>_xlfn.CONCAT(B500,AS500,D500,E500)</f>
        <v/>
      </c>
    </row>
    <row r="501">
      <c r="A501" t="inlineStr">
        <is>
          <t>21/22</t>
        </is>
      </c>
      <c r="B501" t="inlineStr">
        <is>
          <t xml:space="preserve"> Elan</t>
        </is>
      </c>
      <c r="C501" t="inlineStr">
        <is>
          <t xml:space="preserve"> Ace Speed Magic</t>
        </is>
      </c>
      <c r="D501" t="n">
        <v>155</v>
      </c>
      <c r="E501" t="inlineStr">
        <is>
          <t xml:space="preserve"> Women's</t>
        </is>
      </c>
      <c r="F501" t="n">
        <v>155</v>
      </c>
      <c r="G501" t="n">
        <v>153.6</v>
      </c>
      <c r="H501" t="n">
        <v>137</v>
      </c>
      <c r="I501" t="n">
        <v>143</v>
      </c>
      <c r="J501" t="n">
        <v>110</v>
      </c>
      <c r="K501" t="n">
        <v>66</v>
      </c>
      <c r="L501" t="n">
        <v>96</v>
      </c>
      <c r="M501" t="n">
        <v>13.5</v>
      </c>
      <c r="N501" t="n">
        <v>1676</v>
      </c>
      <c r="O501" t="n">
        <v>0.74</v>
      </c>
      <c r="P501" t="n">
        <v>1233</v>
      </c>
      <c r="Q501" t="n">
        <v>223</v>
      </c>
      <c r="R501" t="n">
        <v>107</v>
      </c>
      <c r="S501" t="n">
        <v>36</v>
      </c>
      <c r="T501" t="n">
        <v>126</v>
      </c>
      <c r="U501" t="n">
        <v>3</v>
      </c>
      <c r="V501" t="n">
        <v>40</v>
      </c>
      <c r="W501" t="n">
        <v>0.074</v>
      </c>
      <c r="X501" t="n">
        <v>64</v>
      </c>
      <c r="Y501" t="n">
        <v>40</v>
      </c>
      <c r="Z501" t="n">
        <v>62</v>
      </c>
      <c r="AA501" t="n">
        <v>8</v>
      </c>
      <c r="AB501" t="n">
        <v>10.4</v>
      </c>
      <c r="AC501" t="inlineStr">
        <is>
          <t xml:space="preserve"> On-Piste Carving</t>
        </is>
      </c>
      <c r="AG501" t="inlineStr">
        <is>
          <t>Elan Speed Magic FX testski's Red 155 Ski Lady's Ladies / Women</t>
        </is>
      </c>
      <c r="AH501" t="inlineStr">
        <is>
          <t>! OutdoorXL.com</t>
        </is>
      </c>
      <c r="AI501" s="333" t="n">
        <v>404.95</v>
      </c>
      <c r="AJ501" t="inlineStr">
        <is>
          <t>https://tinyurl.com/y8rpbxw7</t>
        </is>
      </c>
      <c r="AK501" t="inlineStr">
        <is>
          <t>Elan Prodigy (El 10 GW Shift Bindings) Skis Mens 2021 Black / 155cm / Retail</t>
        </is>
      </c>
      <c r="AL501" t="inlineStr">
        <is>
          <t>Utah SKI Gear</t>
        </is>
      </c>
      <c r="AM501" s="333" t="n">
        <v>299.99</v>
      </c>
      <c r="AN501" t="inlineStr">
        <is>
          <t>https://tinyurl.com/y8gkguxk</t>
        </is>
      </c>
      <c r="AO501" t="inlineStr">
        <is>
          <t>Elan Prodigy (El 10 GW Shift Bindings) Skis Mens 2021 Black / 155cm / Retail</t>
        </is>
      </c>
      <c r="AP501" t="inlineStr">
        <is>
          <t>Level Nine Sports</t>
        </is>
      </c>
      <c r="AQ501" s="333" t="n">
        <v>369.99</v>
      </c>
      <c r="AR501" t="inlineStr">
        <is>
          <t>https://tinyurl.com/ycoqj3l5</t>
        </is>
      </c>
      <c r="AS501" s="314">
        <f>IF(LEFT(C501,1)=" ",RIGHT(C501,LEN(C501)-1),C501)</f>
        <v/>
      </c>
      <c r="AT501" s="281">
        <f>_xlfn.CONCAT(B501,AS501,D501,E501)</f>
        <v/>
      </c>
    </row>
    <row r="502">
      <c r="A502" t="inlineStr">
        <is>
          <t>21/22</t>
        </is>
      </c>
      <c r="B502" t="inlineStr">
        <is>
          <t xml:space="preserve"> Stï¿½ckli</t>
        </is>
      </c>
      <c r="C502" t="inlineStr">
        <is>
          <t>Stormrider 95</t>
        </is>
      </c>
      <c r="D502" t="n">
        <v>175</v>
      </c>
      <c r="E502" t="inlineStr">
        <is>
          <t xml:space="preserve"> Unisex</t>
        </is>
      </c>
      <c r="F502" t="n">
        <v>175</v>
      </c>
      <c r="G502" t="n">
        <v>174</v>
      </c>
      <c r="H502" t="n">
        <v>145</v>
      </c>
      <c r="I502" t="n">
        <v>151</v>
      </c>
      <c r="J502" t="n">
        <v>131</v>
      </c>
      <c r="K502" t="n">
        <v>95</v>
      </c>
      <c r="L502" t="n">
        <v>122</v>
      </c>
      <c r="M502" t="n">
        <v>16.8</v>
      </c>
      <c r="N502" t="n">
        <v>1793</v>
      </c>
      <c r="O502" t="n">
        <v>1.04</v>
      </c>
      <c r="P502" t="n">
        <v>1857</v>
      </c>
      <c r="Q502" t="n">
        <v>188</v>
      </c>
      <c r="R502" t="n">
        <v>110</v>
      </c>
      <c r="S502" t="n">
        <v>44</v>
      </c>
      <c r="T502" t="n">
        <v>204</v>
      </c>
      <c r="U502" t="n">
        <v>9</v>
      </c>
      <c r="V502" t="n">
        <v>87</v>
      </c>
      <c r="W502" t="n">
        <v>0.209</v>
      </c>
      <c r="X502" t="n">
        <v>168</v>
      </c>
      <c r="Y502" t="n">
        <v>60</v>
      </c>
      <c r="Z502" t="n">
        <v>36</v>
      </c>
      <c r="AA502" t="n">
        <v>5</v>
      </c>
      <c r="AB502" t="n">
        <v>13.4</v>
      </c>
      <c r="AC502" t="inlineStr">
        <is>
          <t xml:space="preserve"> Resort Freeride</t>
        </is>
      </c>
      <c r="AG502" t="inlineStr">
        <is>
          <t>Stockli Stormrider 95 Ski 2022, 175</t>
        </is>
      </c>
      <c r="AH502" t="inlineStr">
        <is>
          <t>Utah SKI Gear</t>
        </is>
      </c>
      <c r="AI502" s="333" t="n">
        <v>1149</v>
      </c>
      <c r="AJ502" t="inlineStr">
        <is>
          <t>https://tinyurl.com/y7tktwpx</t>
        </is>
      </c>
      <c r="AK502" t="inlineStr">
        <is>
          <t>Stormrider 95 175</t>
        </is>
      </c>
      <c r="AL502" t="inlineStr">
        <is>
          <t>Sporthaus</t>
        </is>
      </c>
      <c r="AM502" s="333" t="n">
        <v>1149</v>
      </c>
      <c r="AN502" t="inlineStr">
        <is>
          <t>https://tinyurl.com/y8cugake</t>
        </is>
      </c>
      <c r="AO502" t="inlineStr">
        <is>
          <t>Stockli Stormrider 95 Skis 2023 w/bindings 175</t>
        </is>
      </c>
      <c r="AP502" t="inlineStr">
        <is>
          <t>Ski Depot RaceSkis.com</t>
        </is>
      </c>
      <c r="AQ502" s="333" t="n">
        <v>1479</v>
      </c>
      <c r="AR502" t="inlineStr">
        <is>
          <t>https://tinyurl.com/y6uuyy64</t>
        </is>
      </c>
      <c r="AS502" s="314">
        <f>IF(LEFT(C502,1)=" ",RIGHT(C502,LEN(C502)-1),C502)</f>
        <v/>
      </c>
      <c r="AT502" s="281">
        <f>_xlfn.CONCAT(B502,AS502,D502,E502)</f>
        <v/>
      </c>
    </row>
    <row r="503">
      <c r="A503" t="inlineStr">
        <is>
          <t>21/22</t>
        </is>
      </c>
      <c r="B503" t="inlineStr">
        <is>
          <t>K2</t>
        </is>
      </c>
      <c r="C503" t="inlineStr">
        <is>
          <t xml:space="preserve"> Poacher</t>
        </is>
      </c>
      <c r="D503" t="n">
        <v>184</v>
      </c>
      <c r="E503" t="inlineStr">
        <is>
          <t xml:space="preserve"> Unisex</t>
        </is>
      </c>
      <c r="F503" t="n">
        <v>184</v>
      </c>
      <c r="G503" t="n">
        <v>182.9</v>
      </c>
      <c r="H503" t="n">
        <v>110</v>
      </c>
      <c r="I503" t="n">
        <v>145</v>
      </c>
      <c r="J503" t="n">
        <v>124</v>
      </c>
      <c r="K503" t="n">
        <v>95</v>
      </c>
      <c r="L503" t="n">
        <v>117</v>
      </c>
      <c r="M503" t="n">
        <v>18.9</v>
      </c>
      <c r="N503" t="n">
        <v>2094</v>
      </c>
      <c r="O503" t="n">
        <v>0.92</v>
      </c>
      <c r="P503" t="n">
        <v>1922</v>
      </c>
      <c r="Q503" t="n">
        <v>212</v>
      </c>
      <c r="R503" t="n">
        <v>95</v>
      </c>
      <c r="S503" t="n">
        <v>42</v>
      </c>
      <c r="T503" t="n">
        <v>358</v>
      </c>
      <c r="U503" t="n">
        <v>39</v>
      </c>
      <c r="V503" t="n">
        <v>374</v>
      </c>
      <c r="W503" t="n">
        <v>0.925</v>
      </c>
      <c r="X503" t="n">
        <v>186</v>
      </c>
      <c r="Y503" t="n">
        <v>190</v>
      </c>
      <c r="Z503" t="n">
        <v>172</v>
      </c>
      <c r="AA503" t="n">
        <v>6</v>
      </c>
      <c r="AB503" t="n">
        <v>5.9</v>
      </c>
      <c r="AC503" t="inlineStr">
        <is>
          <t xml:space="preserve"> Freeski</t>
        </is>
      </c>
      <c r="AG503" t="inlineStr">
        <is>
          <t>K2 RWB Stash Poacher Skis Â· 184 cm</t>
        </is>
      </c>
      <c r="AH503" t="inlineStr">
        <is>
          <t>Aspen Ski and Board</t>
        </is>
      </c>
      <c r="AI503" s="333" t="n">
        <v>499.95</v>
      </c>
      <c r="AJ503" t="inlineStr">
        <is>
          <t>https://tinyurl.com/yauo7lb7</t>
        </is>
      </c>
      <c r="AK503" t="inlineStr">
        <is>
          <t>K2 Poacher Skis 2022 - 184</t>
        </is>
      </c>
      <c r="AL503" t="inlineStr">
        <is>
          <t>Level Nine Sports</t>
        </is>
      </c>
      <c r="AM503" s="333" t="n">
        <v>499.95</v>
      </c>
      <c r="AN503" t="inlineStr">
        <is>
          <t>https://tinyurl.com/ybbt2nr7</t>
        </is>
      </c>
      <c r="AO503" t="inlineStr">
        <is>
          <t>K2 Poacher Skis 2022 - 184</t>
        </is>
      </c>
      <c r="AP503" t="inlineStr">
        <is>
          <t>evo.com</t>
        </is>
      </c>
      <c r="AQ503" s="333" t="n">
        <v>499.95</v>
      </c>
      <c r="AR503" t="inlineStr">
        <is>
          <t>https://tinyurl.com/ybjjoy5v</t>
        </is>
      </c>
      <c r="AS503" s="314">
        <f>IF(LEFT(C503,1)=" ",RIGHT(C503,LEN(C503)-1),C503)</f>
        <v/>
      </c>
      <c r="AT503" s="281">
        <f>_xlfn.CONCAT(B503,AS503,D503,E503)</f>
        <v/>
      </c>
    </row>
    <row r="504">
      <c r="A504" t="inlineStr">
        <is>
          <t>21/22</t>
        </is>
      </c>
      <c r="B504" t="inlineStr">
        <is>
          <t xml:space="preserve"> Stï¿½ckli</t>
        </is>
      </c>
      <c r="C504" t="inlineStr">
        <is>
          <t>Nela 88</t>
        </is>
      </c>
      <c r="D504" t="n">
        <v>160</v>
      </c>
      <c r="E504" t="inlineStr">
        <is>
          <t xml:space="preserve"> Women's</t>
        </is>
      </c>
      <c r="F504" t="n">
        <v>160</v>
      </c>
      <c r="G504" t="n">
        <v>159.4</v>
      </c>
      <c r="H504" t="n">
        <v>132</v>
      </c>
      <c r="I504" t="n">
        <v>140</v>
      </c>
      <c r="J504" t="n">
        <v>127</v>
      </c>
      <c r="K504" t="n">
        <v>88</v>
      </c>
      <c r="L504" t="n">
        <v>113</v>
      </c>
      <c r="M504" t="n">
        <v>14.9</v>
      </c>
      <c r="N504" t="n">
        <v>1532</v>
      </c>
      <c r="O504" t="n">
        <v>1.04</v>
      </c>
      <c r="P504" t="n">
        <v>1591</v>
      </c>
      <c r="Q504" t="n">
        <v>159</v>
      </c>
      <c r="R504" t="n">
        <v>81</v>
      </c>
      <c r="S504" t="n">
        <v>43</v>
      </c>
      <c r="T504" t="n">
        <v>197</v>
      </c>
      <c r="U504" t="n">
        <v>9</v>
      </c>
      <c r="V504" t="n">
        <v>80</v>
      </c>
      <c r="W504" t="n">
        <v>0.201999999999999</v>
      </c>
      <c r="X504" t="n">
        <v>134</v>
      </c>
      <c r="Y504" t="n">
        <v>56</v>
      </c>
      <c r="Z504" t="n">
        <v>62</v>
      </c>
      <c r="AA504" t="n">
        <v>5</v>
      </c>
      <c r="AB504" t="n">
        <v>13.2</v>
      </c>
      <c r="AC504" t="inlineStr">
        <is>
          <t xml:space="preserve"> Resort Freeride</t>
        </is>
      </c>
      <c r="AG504" t="inlineStr">
        <is>
          <t>Stockli Nela 88 Womens Skis 2023 160</t>
        </is>
      </c>
      <c r="AH504" t="inlineStr">
        <is>
          <t>Ski Depot RaceSkis.com</t>
        </is>
      </c>
      <c r="AI504" s="333" t="n">
        <v>1099</v>
      </c>
      <c r="AJ504" t="inlineStr">
        <is>
          <t>https://tinyurl.com/y785ewcw</t>
        </is>
      </c>
      <c r="AK504" t="inlineStr">
        <is>
          <t>Stockli Nela 88 Women's Skis 160cm 2022</t>
        </is>
      </c>
      <c r="AL504" t="inlineStr">
        <is>
          <t>Utah SKI Gear</t>
        </is>
      </c>
      <c r="AM504" s="333" t="n">
        <v>999</v>
      </c>
      <c r="AN504" t="inlineStr">
        <is>
          <t>https://tinyurl.com/y7moetvf</t>
        </is>
      </c>
      <c r="AO504" t="inlineStr">
        <is>
          <t>Stockli Nela 88 Women's Skis 160cm 2022</t>
        </is>
      </c>
      <c r="AP504" t="inlineStr">
        <is>
          <t>Peak Performance Ski Shop</t>
        </is>
      </c>
      <c r="AQ504" s="333" t="n">
        <v>999</v>
      </c>
      <c r="AR504" t="inlineStr">
        <is>
          <t>https://tinyurl.com/yas6xeyj</t>
        </is>
      </c>
      <c r="AS504" s="314">
        <f>IF(LEFT(C504,1)=" ",RIGHT(C504,LEN(C504)-1),C504)</f>
        <v/>
      </c>
      <c r="AT504" s="281">
        <f>_xlfn.CONCAT(B504,AS504,D504,E504)</f>
        <v/>
      </c>
    </row>
    <row r="505">
      <c r="A505" t="inlineStr">
        <is>
          <t>21/22</t>
        </is>
      </c>
      <c r="B505" t="inlineStr">
        <is>
          <t xml:space="preserve"> Liberty</t>
        </is>
      </c>
      <c r="C505" t="inlineStr">
        <is>
          <t>Genesis 101</t>
        </is>
      </c>
      <c r="D505" t="n">
        <v>165</v>
      </c>
      <c r="E505" t="inlineStr">
        <is>
          <t xml:space="preserve"> Women's</t>
        </is>
      </c>
      <c r="F505" t="n">
        <v>165</v>
      </c>
      <c r="G505" t="n">
        <v>164.4</v>
      </c>
      <c r="H505" t="n">
        <v>104</v>
      </c>
      <c r="I505" t="n">
        <v>135</v>
      </c>
      <c r="J505" t="n">
        <v>134</v>
      </c>
      <c r="K505" t="n">
        <v>100</v>
      </c>
      <c r="L505" t="n">
        <v>121</v>
      </c>
      <c r="M505" t="n">
        <v>15</v>
      </c>
      <c r="N505" t="n">
        <v>1740</v>
      </c>
      <c r="O505" t="n">
        <v>1.05</v>
      </c>
      <c r="P505" t="n">
        <v>1822</v>
      </c>
      <c r="Q505" t="n">
        <v>166</v>
      </c>
      <c r="R505" t="n">
        <v>86</v>
      </c>
      <c r="S505" t="n">
        <v>53</v>
      </c>
      <c r="T505" t="n">
        <v>367</v>
      </c>
      <c r="U505" t="n">
        <v>27</v>
      </c>
      <c r="V505" t="n">
        <v>240</v>
      </c>
      <c r="W505" t="n">
        <v>0.519</v>
      </c>
      <c r="X505" t="n">
        <v>140</v>
      </c>
      <c r="Y505" t="n">
        <v>155</v>
      </c>
      <c r="Z505" t="n">
        <v>228</v>
      </c>
      <c r="AA505" t="n">
        <v>4</v>
      </c>
      <c r="AB505" t="n">
        <v>7.5</v>
      </c>
      <c r="AC505" t="inlineStr">
        <is>
          <t xml:space="preserve"> Resort Freeride</t>
        </is>
      </c>
      <c r="AD505" t="inlineStr">
        <is>
          <t xml:space="preserve"> Powder</t>
        </is>
      </c>
      <c r="AG505" t="inlineStr">
        <is>
          <t>Liberty Genesis 101 Women's Skis - 2022 - 165cm</t>
        </is>
      </c>
      <c r="AH505" t="inlineStr">
        <is>
          <t>Hillcrest Ski &amp; Sports</t>
        </is>
      </c>
      <c r="AI505" s="333" t="n">
        <v>479.99</v>
      </c>
      <c r="AJ505" t="inlineStr">
        <is>
          <t>https://tinyurl.com/ybedsbmb</t>
        </is>
      </c>
      <c r="AK505" t="inlineStr">
        <is>
          <t>Liberty Genesis 101 Women's Skis - 2022 - 165cm</t>
        </is>
      </c>
      <c r="AL505" t="inlineStr">
        <is>
          <t>ColoradoSkiShop.com</t>
        </is>
      </c>
      <c r="AM505" s="333" t="n">
        <v>479.99</v>
      </c>
      <c r="AN505" t="inlineStr">
        <is>
          <t>https://tinyurl.com/y85cqvn5</t>
        </is>
      </c>
      <c r="AO505" t="inlineStr">
        <is>
          <t>'22 Liberty Genesis 101 Skis 165cm</t>
        </is>
      </c>
      <c r="AP505" t="inlineStr">
        <is>
          <t>Al's Ski Equipment Barn</t>
        </is>
      </c>
      <c r="AQ505" s="333" t="n">
        <v>599</v>
      </c>
      <c r="AR505" t="inlineStr">
        <is>
          <t>https://tinyurl.com/y7kcl7hq</t>
        </is>
      </c>
      <c r="AS505" s="314">
        <f>IF(LEFT(C505,1)=" ",RIGHT(C505,LEN(C505)-1),C505)</f>
        <v/>
      </c>
      <c r="AT505" s="281">
        <f>_xlfn.CONCAT(B505,AS505,D505,E505)</f>
        <v/>
      </c>
    </row>
    <row r="506">
      <c r="A506" t="inlineStr">
        <is>
          <t>21/22</t>
        </is>
      </c>
      <c r="B506" t="inlineStr">
        <is>
          <t xml:space="preserve"> Atomic</t>
        </is>
      </c>
      <c r="C506" t="inlineStr">
        <is>
          <t>Vantage 82 Ti</t>
        </is>
      </c>
      <c r="D506" t="n">
        <v>174</v>
      </c>
      <c r="E506" t="inlineStr">
        <is>
          <t xml:space="preserve"> Unisex</t>
        </is>
      </c>
      <c r="F506" t="n">
        <v>174</v>
      </c>
      <c r="G506" t="n">
        <v>173.3</v>
      </c>
      <c r="H506" t="n">
        <v>146</v>
      </c>
      <c r="I506" t="n">
        <v>156</v>
      </c>
      <c r="J506" t="n">
        <v>122</v>
      </c>
      <c r="K506" t="n">
        <v>82</v>
      </c>
      <c r="L506" t="n">
        <v>108</v>
      </c>
      <c r="M506" t="n">
        <v>17.3</v>
      </c>
      <c r="N506" t="n">
        <v>1882</v>
      </c>
      <c r="O506" t="n">
        <v>0.87</v>
      </c>
      <c r="P506" t="n">
        <v>1639</v>
      </c>
      <c r="Q506" t="n">
        <v>244</v>
      </c>
      <c r="R506" t="n">
        <v>104</v>
      </c>
      <c r="S506" t="n">
        <v>41</v>
      </c>
      <c r="T506" t="n">
        <v>183</v>
      </c>
      <c r="U506" t="n">
        <v>5</v>
      </c>
      <c r="V506" t="n">
        <v>86</v>
      </c>
      <c r="W506" t="n">
        <v>0.12</v>
      </c>
      <c r="X506" t="n">
        <v>101</v>
      </c>
      <c r="Y506" t="n">
        <v>72</v>
      </c>
      <c r="Z506" t="n">
        <v>82</v>
      </c>
      <c r="AA506" t="n">
        <v>7</v>
      </c>
      <c r="AB506" t="n">
        <v>11.1</v>
      </c>
      <c r="AC506" t="inlineStr">
        <is>
          <t xml:space="preserve"> On-Piste Carving</t>
        </is>
      </c>
      <c r="AD506" t="inlineStr">
        <is>
          <t xml:space="preserve"> Resort Freeride</t>
        </is>
      </c>
      <c r="AS506" s="314">
        <f>IF(LEFT(C506,1)=" ",RIGHT(C506,LEN(C506)-1),C506)</f>
        <v/>
      </c>
      <c r="AT506" s="281">
        <f>_xlfn.CONCAT(B506,AS506,D506,E506)</f>
        <v/>
      </c>
    </row>
    <row r="507">
      <c r="A507" t="inlineStr">
        <is>
          <t>21/22</t>
        </is>
      </c>
      <c r="B507" t="inlineStr">
        <is>
          <t xml:space="preserve"> Atomic</t>
        </is>
      </c>
      <c r="C507" t="inlineStr">
        <is>
          <t>Maven 86 C</t>
        </is>
      </c>
      <c r="D507" t="n">
        <v>161</v>
      </c>
      <c r="E507" t="inlineStr">
        <is>
          <t xml:space="preserve"> Women's</t>
        </is>
      </c>
      <c r="F507" t="n">
        <v>161</v>
      </c>
      <c r="G507" t="n">
        <v>160.3</v>
      </c>
      <c r="H507" t="n">
        <v>112</v>
      </c>
      <c r="I507" t="n">
        <v>133</v>
      </c>
      <c r="J507" t="n">
        <v>122</v>
      </c>
      <c r="K507" t="n">
        <v>86</v>
      </c>
      <c r="L507" t="n">
        <v>104</v>
      </c>
      <c r="M507" t="n">
        <v>15.6</v>
      </c>
      <c r="N507" t="n">
        <v>1424</v>
      </c>
      <c r="O507" t="n">
        <v>1.09</v>
      </c>
      <c r="P507" t="n">
        <v>1557</v>
      </c>
      <c r="Q507" t="n">
        <v>202</v>
      </c>
      <c r="R507" t="n">
        <v>85</v>
      </c>
      <c r="S507" t="n">
        <v>45</v>
      </c>
      <c r="T507" t="n">
        <v>280</v>
      </c>
      <c r="U507" t="n">
        <v>13</v>
      </c>
      <c r="V507" t="n">
        <v>208</v>
      </c>
      <c r="W507" t="n">
        <v>0.288</v>
      </c>
      <c r="X507" t="n">
        <v>166</v>
      </c>
      <c r="Y507" t="n">
        <v>108</v>
      </c>
      <c r="Z507" t="n">
        <v>114</v>
      </c>
      <c r="AA507" t="n">
        <v>2</v>
      </c>
      <c r="AB507" t="n">
        <v>8.9</v>
      </c>
      <c r="AC507" t="inlineStr">
        <is>
          <t xml:space="preserve"> Resort Freeride</t>
        </is>
      </c>
      <c r="AD507" t="inlineStr">
        <is>
          <t xml:space="preserve"> Touring</t>
        </is>
      </c>
      <c r="AG507" t="inlineStr">
        <is>
          <t>Atomic Maven 86 C</t>
        </is>
      </c>
      <c r="AH507" t="inlineStr">
        <is>
          <t>Ski Pro  - Snow Ski &amp; Snowboard</t>
        </is>
      </c>
      <c r="AI507" s="333" t="n">
        <v>399.95</v>
      </c>
      <c r="AJ507" t="inlineStr">
        <is>
          <t>https://tinyurl.com/y7eg4yx4</t>
        </is>
      </c>
      <c r="AK507" t="inlineStr">
        <is>
          <t>Atomic Maven 86 C</t>
        </is>
      </c>
      <c r="AL507" t="inlineStr">
        <is>
          <t>evo.com</t>
        </is>
      </c>
      <c r="AM507" s="333" t="n">
        <v>399.99</v>
      </c>
      <c r="AN507" t="inlineStr">
        <is>
          <t>https://tinyurl.com/yc6jwrjr</t>
        </is>
      </c>
      <c r="AO507" t="inlineStr">
        <is>
          <t>Atomic Maven 86 C</t>
        </is>
      </c>
      <c r="AP507" t="inlineStr">
        <is>
          <t>Hillcrest Ski &amp; Sports</t>
        </is>
      </c>
      <c r="AQ507" s="333" t="n">
        <v>399.99</v>
      </c>
      <c r="AR507" t="inlineStr">
        <is>
          <t>https://tinyurl.com/y9fcyoop</t>
        </is>
      </c>
      <c r="AS507" s="314">
        <f>IF(LEFT(C507,1)=" ",RIGHT(C507,LEN(C507)-1),C507)</f>
        <v/>
      </c>
      <c r="AT507" s="281">
        <f>_xlfn.CONCAT(B507,AS507,D507,E507)</f>
        <v/>
      </c>
    </row>
    <row r="508">
      <c r="A508" t="inlineStr">
        <is>
          <t>21/22</t>
        </is>
      </c>
      <c r="B508" t="inlineStr">
        <is>
          <t xml:space="preserve"> Rossignol</t>
        </is>
      </c>
      <c r="C508" t="inlineStr">
        <is>
          <t>Experience 86 Basalt</t>
        </is>
      </c>
      <c r="D508" t="n">
        <v>167</v>
      </c>
      <c r="E508" t="inlineStr">
        <is>
          <t xml:space="preserve"> Unisex</t>
        </is>
      </c>
      <c r="F508" t="n">
        <v>167</v>
      </c>
      <c r="G508" t="n">
        <v>166.4</v>
      </c>
      <c r="H508" t="n">
        <v>127</v>
      </c>
      <c r="I508" t="n">
        <v>152</v>
      </c>
      <c r="J508" t="n">
        <v>131</v>
      </c>
      <c r="K508" t="n">
        <v>83</v>
      </c>
      <c r="L508" t="n">
        <v>119</v>
      </c>
      <c r="M508" t="n">
        <v>13.4</v>
      </c>
      <c r="N508" t="n">
        <v>1799</v>
      </c>
      <c r="O508" t="n">
        <v>0.91</v>
      </c>
      <c r="P508" t="n">
        <v>1643</v>
      </c>
      <c r="Q508" t="n">
        <v>198</v>
      </c>
      <c r="R508" t="n">
        <v>80</v>
      </c>
      <c r="S508" t="n">
        <v>46</v>
      </c>
      <c r="T508" t="n">
        <v>261</v>
      </c>
      <c r="U508" t="n">
        <v>13</v>
      </c>
      <c r="V508" t="n">
        <v>129</v>
      </c>
      <c r="W508" t="n">
        <v>0.278</v>
      </c>
      <c r="X508" t="n">
        <v>74</v>
      </c>
      <c r="Y508" t="n">
        <v>67</v>
      </c>
      <c r="Z508" t="n">
        <v>186</v>
      </c>
      <c r="AA508" t="n">
        <v>8</v>
      </c>
      <c r="AB508" t="n">
        <v>6.7</v>
      </c>
      <c r="AC508" t="inlineStr">
        <is>
          <t xml:space="preserve"> Resort Freeride</t>
        </is>
      </c>
      <c r="AG508" t="inlineStr">
        <is>
          <t>Rossignol Experience 86 Basalt Skis w/ Look SPX 12 Konect GW Bindings</t>
        </is>
      </c>
      <c r="AH508" t="inlineStr">
        <is>
          <t>The-House.com</t>
        </is>
      </c>
      <c r="AI508" s="333" t="n">
        <v>639.95</v>
      </c>
      <c r="AJ508" t="inlineStr">
        <is>
          <t>https://tinyurl.com/y8z3qjzz</t>
        </is>
      </c>
      <c r="AK508" t="inlineStr">
        <is>
          <t>Rossignol Men's Experience 86 Basalt Skis with Bindings 167 cm</t>
        </is>
      </c>
      <c r="AL508" t="inlineStr">
        <is>
          <t>eBay - grassisport</t>
        </is>
      </c>
      <c r="AM508" s="333" t="n">
        <v>737.8099999999999</v>
      </c>
      <c r="AN508" t="inlineStr">
        <is>
          <t>https://tinyurl.com/yb89cz7d</t>
        </is>
      </c>
      <c r="AO508" t="inlineStr">
        <is>
          <t>Rossignol Men's Experience 86 Basalt Skis with Bindings 167 cm</t>
        </is>
      </c>
      <c r="AP508" t="inlineStr">
        <is>
          <t>Rossignol US</t>
        </is>
      </c>
      <c r="AQ508" s="333" t="n">
        <v>799.95</v>
      </c>
      <c r="AR508" t="inlineStr">
        <is>
          <t>https://tinyurl.com/ycqoxl8j</t>
        </is>
      </c>
      <c r="AS508" s="314">
        <f>IF(LEFT(C508,1)=" ",RIGHT(C508,LEN(C508)-1),C508)</f>
        <v/>
      </c>
      <c r="AT508" s="281">
        <f>_xlfn.CONCAT(B508,AS508,D508,E508)</f>
        <v/>
      </c>
    </row>
    <row r="509">
      <c r="A509" t="inlineStr">
        <is>
          <t>21/22</t>
        </is>
      </c>
      <c r="B509" t="inlineStr">
        <is>
          <t xml:space="preserve"> Fischer</t>
        </is>
      </c>
      <c r="C509" t="inlineStr">
        <is>
          <t>Ranger 92 Ti</t>
        </is>
      </c>
      <c r="D509" t="n">
        <v>178</v>
      </c>
      <c r="E509" t="inlineStr">
        <is>
          <t xml:space="preserve"> Unisex</t>
        </is>
      </c>
      <c r="F509" t="n">
        <v>178</v>
      </c>
      <c r="G509" t="n">
        <v>177.5</v>
      </c>
      <c r="H509" t="n">
        <v>125</v>
      </c>
      <c r="I509" t="n">
        <v>151</v>
      </c>
      <c r="J509" t="n">
        <v>125</v>
      </c>
      <c r="K509" t="n">
        <v>90</v>
      </c>
      <c r="L509" t="n">
        <v>116</v>
      </c>
      <c r="M509" t="n">
        <v>15.5</v>
      </c>
      <c r="N509" t="n">
        <v>1775</v>
      </c>
      <c r="O509" t="n">
        <v>1.04</v>
      </c>
      <c r="P509" t="n">
        <v>1839</v>
      </c>
      <c r="Q509" t="n">
        <v>228</v>
      </c>
      <c r="R509" t="n">
        <v>127</v>
      </c>
      <c r="S509" t="n">
        <v>48</v>
      </c>
      <c r="T509" t="n">
        <v>304</v>
      </c>
      <c r="U509" t="n">
        <v>15</v>
      </c>
      <c r="V509" t="n">
        <v>220</v>
      </c>
      <c r="W509" t="n">
        <v>0.317</v>
      </c>
      <c r="X509" t="n">
        <v>135</v>
      </c>
      <c r="Y509" t="n">
        <v>133</v>
      </c>
      <c r="Z509" t="n">
        <v>170</v>
      </c>
      <c r="AA509" t="n">
        <v>4</v>
      </c>
      <c r="AB509" t="n">
        <v>8.4</v>
      </c>
      <c r="AC509" t="inlineStr">
        <is>
          <t xml:space="preserve"> Resort Freeride</t>
        </is>
      </c>
      <c r="AG509" t="inlineStr">
        <is>
          <t>Fischer Ranger 92 Ti Skis 2021</t>
        </is>
      </c>
      <c r="AH509" t="inlineStr">
        <is>
          <t>! OutdoorXL.com</t>
        </is>
      </c>
      <c r="AI509" s="333" t="n">
        <v>414.95</v>
      </c>
      <c r="AJ509" t="inlineStr">
        <is>
          <t>https://tinyurl.com/y7y3u4yx</t>
        </is>
      </c>
      <c r="AK509" t="inlineStr">
        <is>
          <t>Fischer Ranger 92 TI Flat Ski 2021-2022 | BLACK/BLUE / 178</t>
        </is>
      </c>
      <c r="AL509" t="inlineStr">
        <is>
          <t>Ski Pro  - Snow Ski &amp; Snowboard</t>
        </is>
      </c>
      <c r="AM509" s="333" t="n">
        <v>499.95</v>
      </c>
      <c r="AN509" t="inlineStr">
        <is>
          <t>https://tinyurl.com/y7veqqsa</t>
        </is>
      </c>
      <c r="AO509" t="inlineStr">
        <is>
          <t>Fischer Ranger 92 Ti WS Ski 178</t>
        </is>
      </c>
      <c r="AP509" t="inlineStr">
        <is>
          <t>Ski The Whites</t>
        </is>
      </c>
      <c r="AQ509" s="333" t="n">
        <v>649.95</v>
      </c>
      <c r="AR509" t="inlineStr">
        <is>
          <t>https://tinyurl.com/y6u5yorh</t>
        </is>
      </c>
      <c r="AS509" s="314">
        <f>IF(LEFT(C509,1)=" ",RIGHT(C509,LEN(C509)-1),C509)</f>
        <v/>
      </c>
      <c r="AT509" s="281">
        <f>_xlfn.CONCAT(B509,AS509,D509,E509)</f>
        <v/>
      </c>
    </row>
    <row r="510">
      <c r="A510" t="inlineStr">
        <is>
          <t>21/22</t>
        </is>
      </c>
      <c r="B510" t="inlineStr">
        <is>
          <t xml:space="preserve"> Icelantic</t>
        </is>
      </c>
      <c r="C510" t="inlineStr">
        <is>
          <t>Natural 101</t>
        </is>
      </c>
      <c r="D510" t="n">
        <v>178</v>
      </c>
      <c r="E510" t="inlineStr">
        <is>
          <t xml:space="preserve"> Unisex</t>
        </is>
      </c>
      <c r="F510" t="n">
        <v>178</v>
      </c>
      <c r="G510" t="n">
        <v>176.2</v>
      </c>
      <c r="H510" t="n">
        <v>128</v>
      </c>
      <c r="I510" t="n">
        <v>142</v>
      </c>
      <c r="J510" t="n">
        <v>132</v>
      </c>
      <c r="K510" t="n">
        <v>100</v>
      </c>
      <c r="L510" t="n">
        <v>117</v>
      </c>
      <c r="M510" t="n">
        <v>20.6</v>
      </c>
      <c r="N510" t="n">
        <v>1873</v>
      </c>
      <c r="O510" t="n">
        <v>1.03</v>
      </c>
      <c r="P510" t="n">
        <v>1937</v>
      </c>
      <c r="Q510" t="n">
        <v>262</v>
      </c>
      <c r="R510" t="n">
        <v>113</v>
      </c>
      <c r="S510" t="n">
        <v>58</v>
      </c>
      <c r="T510" t="n">
        <v>319</v>
      </c>
      <c r="U510" t="n">
        <v>24</v>
      </c>
      <c r="V510" t="n">
        <v>168</v>
      </c>
      <c r="W510" t="n">
        <v>0.414</v>
      </c>
      <c r="X510" t="n">
        <v>240</v>
      </c>
      <c r="Y510" t="n">
        <v>101</v>
      </c>
      <c r="Z510" t="n">
        <v>79</v>
      </c>
      <c r="AA510" t="n">
        <v>6</v>
      </c>
      <c r="AB510" t="n">
        <v>8.800000000000001</v>
      </c>
      <c r="AC510" t="inlineStr">
        <is>
          <t xml:space="preserve"> Resort Freeride</t>
        </is>
      </c>
      <c r="AD510" t="inlineStr">
        <is>
          <t xml:space="preserve"> Powder</t>
        </is>
      </c>
      <c r="AG510" t="inlineStr">
        <is>
          <t>Icelantic Natural 101 Skis Â· 2022 Â· 178 cm</t>
        </is>
      </c>
      <c r="AH510" t="inlineStr">
        <is>
          <t>REI</t>
        </is>
      </c>
      <c r="AI510" s="333" t="n">
        <v>598.9299999999999</v>
      </c>
      <c r="AJ510" t="inlineStr">
        <is>
          <t>https://tinyurl.com/y9yyxe3z</t>
        </is>
      </c>
      <c r="AK510" t="inlineStr">
        <is>
          <t>Icelantic Natural 101 Skis 2022 178cm</t>
        </is>
      </c>
      <c r="AL510" t="inlineStr">
        <is>
          <t>Glacier Ski Shop</t>
        </is>
      </c>
      <c r="AM510" s="333" t="n">
        <v>599</v>
      </c>
      <c r="AN510" t="inlineStr">
        <is>
          <t>https://tinyurl.com/ybqzd262</t>
        </is>
      </c>
      <c r="AO510" t="inlineStr">
        <is>
          <t>Icelantic Natural 101 Skis Â· 2022 Â· 178 cm</t>
        </is>
      </c>
      <c r="AP510" t="inlineStr">
        <is>
          <t>evo.com</t>
        </is>
      </c>
      <c r="AQ510" s="333" t="n">
        <v>599.25</v>
      </c>
      <c r="AR510" t="inlineStr">
        <is>
          <t>https://tinyurl.com/y9qorfkl</t>
        </is>
      </c>
      <c r="AS510" s="314">
        <f>IF(LEFT(C510,1)=" ",RIGHT(C510,LEN(C510)-1),C510)</f>
        <v/>
      </c>
      <c r="AT510" s="281">
        <f>_xlfn.CONCAT(B510,AS510,D510,E510)</f>
        <v/>
      </c>
    </row>
    <row r="511">
      <c r="A511" t="inlineStr">
        <is>
          <t>21/22</t>
        </is>
      </c>
      <c r="B511" t="inlineStr">
        <is>
          <t xml:space="preserve"> Dynastar</t>
        </is>
      </c>
      <c r="C511" t="inlineStr">
        <is>
          <t>M-Free 99</t>
        </is>
      </c>
      <c r="D511" t="n">
        <v>171</v>
      </c>
      <c r="E511" t="inlineStr">
        <is>
          <t xml:space="preserve"> Unisex</t>
        </is>
      </c>
      <c r="F511" t="n">
        <v>171</v>
      </c>
      <c r="G511" t="n">
        <v>170</v>
      </c>
      <c r="H511" t="n">
        <v>102</v>
      </c>
      <c r="I511" t="n">
        <v>136</v>
      </c>
      <c r="J511" t="n">
        <v>127</v>
      </c>
      <c r="K511" t="n">
        <v>96</v>
      </c>
      <c r="L511" t="n">
        <v>119</v>
      </c>
      <c r="M511" t="n">
        <v>14.8</v>
      </c>
      <c r="N511" t="n">
        <v>1768</v>
      </c>
      <c r="O511" t="n">
        <v>1.03</v>
      </c>
      <c r="P511" t="n">
        <v>1829</v>
      </c>
      <c r="Q511" t="n">
        <v>181</v>
      </c>
      <c r="R511" t="n">
        <v>91</v>
      </c>
      <c r="S511" t="n">
        <v>57</v>
      </c>
      <c r="T511" t="n">
        <v>342</v>
      </c>
      <c r="U511" t="n">
        <v>44</v>
      </c>
      <c r="V511" t="n">
        <v>339</v>
      </c>
      <c r="W511" t="n">
        <v>0.764</v>
      </c>
      <c r="X511" t="n">
        <v>199</v>
      </c>
      <c r="Y511" t="n">
        <v>144</v>
      </c>
      <c r="Z511" t="n">
        <v>143</v>
      </c>
      <c r="AA511" t="n">
        <v>6</v>
      </c>
      <c r="AB511" t="n">
        <v>7.3</v>
      </c>
      <c r="AC511" t="inlineStr">
        <is>
          <t xml:space="preserve"> Resort Freeride</t>
        </is>
      </c>
      <c r="AG511" t="inlineStr">
        <is>
          <t>Dynastar M-Free 99 Skis 2022</t>
        </is>
      </c>
      <c r="AH511" t="inlineStr">
        <is>
          <t>Next Adventure</t>
        </is>
      </c>
      <c r="AI511" s="333" t="n">
        <v>419.97</v>
      </c>
      <c r="AJ511" t="inlineStr">
        <is>
          <t>https://tinyurl.com/yccsxbzt</t>
        </is>
      </c>
      <c r="AK511" t="inlineStr">
        <is>
          <t>Dynastar M-Free 99 Skis 2022</t>
        </is>
      </c>
      <c r="AL511" t="inlineStr">
        <is>
          <t>Christy Sports</t>
        </is>
      </c>
      <c r="AM511" s="333" t="n">
        <v>479.96</v>
      </c>
      <c r="AN511" t="inlineStr">
        <is>
          <t>https://tinyurl.com/yctwtcj9</t>
        </is>
      </c>
      <c r="AO511" t="inlineStr">
        <is>
          <t>Dynastar M-Free 99 Skis 2022</t>
        </is>
      </c>
      <c r="AP511" t="inlineStr">
        <is>
          <t>Level Nine Sports</t>
        </is>
      </c>
      <c r="AQ511" s="333" t="n">
        <v>479.96</v>
      </c>
      <c r="AR511" t="inlineStr">
        <is>
          <t>https://tinyurl.com/yazre8yx</t>
        </is>
      </c>
      <c r="AS511" s="314">
        <f>IF(LEFT(C511,1)=" ",RIGHT(C511,LEN(C511)-1),C511)</f>
        <v/>
      </c>
      <c r="AT511" s="281">
        <f>_xlfn.CONCAT(B511,AS511,D511,E511)</f>
        <v/>
      </c>
    </row>
    <row r="512">
      <c r="A512" t="inlineStr">
        <is>
          <t>21/22</t>
        </is>
      </c>
      <c r="B512" t="inlineStr">
        <is>
          <t xml:space="preserve"> Rossignol</t>
        </is>
      </c>
      <c r="C512" t="inlineStr">
        <is>
          <t xml:space="preserve"> Blackops Holyshred</t>
        </is>
      </c>
      <c r="D512" t="n">
        <v>182</v>
      </c>
      <c r="E512" t="inlineStr">
        <is>
          <t xml:space="preserve"> Unisex</t>
        </is>
      </c>
      <c r="F512" t="n">
        <v>182</v>
      </c>
      <c r="G512" t="n">
        <v>179.6</v>
      </c>
      <c r="H512" t="n">
        <v>132</v>
      </c>
      <c r="I512" t="n">
        <v>156</v>
      </c>
      <c r="J512" t="n">
        <v>129</v>
      </c>
      <c r="K512" t="n">
        <v>97</v>
      </c>
      <c r="L512" t="n">
        <v>120</v>
      </c>
      <c r="M512" t="n">
        <v>19.7</v>
      </c>
      <c r="N512" t="n">
        <v>2021</v>
      </c>
      <c r="O512" t="n">
        <v>0.96</v>
      </c>
      <c r="P512" t="n">
        <v>1938</v>
      </c>
      <c r="Q512" t="n">
        <v>238</v>
      </c>
      <c r="R512" t="n">
        <v>123</v>
      </c>
      <c r="S512" t="n">
        <v>52</v>
      </c>
      <c r="T512" t="n">
        <v>255</v>
      </c>
      <c r="U512" t="n">
        <v>35</v>
      </c>
      <c r="V512" t="n">
        <v>222</v>
      </c>
      <c r="W512" t="n">
        <v>0.667</v>
      </c>
      <c r="X512" t="n">
        <v>137</v>
      </c>
      <c r="Y512" t="n">
        <v>99</v>
      </c>
      <c r="Z512" t="n">
        <v>118</v>
      </c>
      <c r="AA512" t="n">
        <v>9</v>
      </c>
      <c r="AB512" t="n">
        <v>4.4</v>
      </c>
      <c r="AC512" t="inlineStr">
        <is>
          <t xml:space="preserve"> Resort Freeride</t>
        </is>
      </c>
      <c r="AG512" t="inlineStr">
        <is>
          <t>Rossignol Blackops Holyshred 182cm</t>
        </is>
      </c>
      <c r="AH512" t="inlineStr">
        <is>
          <t>Sundance Ski and Board Shop</t>
        </is>
      </c>
      <c r="AI512" s="333" t="n">
        <v>481.02</v>
      </c>
      <c r="AJ512" t="inlineStr">
        <is>
          <t>https://tinyurl.com/yb5fwe9o</t>
        </is>
      </c>
      <c r="AK512" t="inlineStr">
        <is>
          <t>Rossignol Blackops Holyshred Skis - 2022</t>
        </is>
      </c>
      <c r="AL512" t="inlineStr">
        <is>
          <t>Gorham Bike and Ski</t>
        </is>
      </c>
      <c r="AM512" s="333" t="n">
        <v>489.99</v>
      </c>
      <c r="AN512" t="inlineStr">
        <is>
          <t>https://tinyurl.com/y8bxuvty</t>
        </is>
      </c>
      <c r="AO512" t="inlineStr">
        <is>
          <t>Rossignol Blackops Holyshred Skis - 2022</t>
        </is>
      </c>
      <c r="AP512" t="inlineStr">
        <is>
          <t>Powder7 Ski Shop</t>
        </is>
      </c>
      <c r="AQ512" s="333" t="n">
        <v>559.9299999999999</v>
      </c>
      <c r="AR512" t="inlineStr">
        <is>
          <t>https://tinyurl.com/ybku92x6</t>
        </is>
      </c>
      <c r="AS512" s="314">
        <f>IF(LEFT(C512,1)=" ",RIGHT(C512,LEN(C512)-1),C512)</f>
        <v/>
      </c>
      <c r="AT512" s="281">
        <f>_xlfn.CONCAT(B512,AS512,D512,E512)</f>
        <v/>
      </c>
    </row>
    <row r="513">
      <c r="A513" t="inlineStr">
        <is>
          <t>21/22</t>
        </is>
      </c>
      <c r="B513" t="inlineStr">
        <is>
          <t xml:space="preserve"> Salomon</t>
        </is>
      </c>
      <c r="C513" t="inlineStr">
        <is>
          <t>Stance 88 W</t>
        </is>
      </c>
      <c r="D513" t="n">
        <v>154</v>
      </c>
      <c r="E513" t="inlineStr">
        <is>
          <t xml:space="preserve"> Women's</t>
        </is>
      </c>
      <c r="F513" t="n">
        <v>154</v>
      </c>
      <c r="G513" t="n">
        <v>153.2</v>
      </c>
      <c r="H513" t="n">
        <v>116</v>
      </c>
      <c r="I513" t="n">
        <v>130</v>
      </c>
      <c r="J513" t="n">
        <v>117</v>
      </c>
      <c r="K513" t="n">
        <v>88</v>
      </c>
      <c r="L513" t="n">
        <v>100</v>
      </c>
      <c r="M513" t="n">
        <v>16.5</v>
      </c>
      <c r="N513" t="n">
        <v>1463</v>
      </c>
      <c r="O513" t="n">
        <v>1.02</v>
      </c>
      <c r="P513" t="n">
        <v>1488</v>
      </c>
      <c r="Q513" t="n">
        <v>134</v>
      </c>
      <c r="R513" t="n">
        <v>73</v>
      </c>
      <c r="S513" t="n">
        <v>55</v>
      </c>
      <c r="T513" t="n">
        <v>216</v>
      </c>
      <c r="U513" t="n">
        <v>11</v>
      </c>
      <c r="V513" t="n">
        <v>154</v>
      </c>
      <c r="W513" t="n">
        <v>0.204</v>
      </c>
      <c r="X513" t="n">
        <v>150</v>
      </c>
      <c r="Y513" t="n">
        <v>83</v>
      </c>
      <c r="Z513" t="n">
        <v>66</v>
      </c>
      <c r="AA513" t="n">
        <v>6</v>
      </c>
      <c r="AB513" t="n">
        <v>7.9</v>
      </c>
      <c r="AC513" t="inlineStr">
        <is>
          <t xml:space="preserve"> Resort Freeride</t>
        </is>
      </c>
      <c r="AG513" t="inlineStr">
        <is>
          <t>Salomon STANCE W 88 154cm</t>
        </is>
      </c>
      <c r="AH513" t="inlineStr">
        <is>
          <t>Sundance Ski and Board Shop</t>
        </is>
      </c>
      <c r="AI513" s="333" t="n">
        <v>561.2</v>
      </c>
      <c r="AJ513" t="inlineStr">
        <is>
          <t>https://tinyurl.com/yaongs45</t>
        </is>
      </c>
      <c r="AK513" t="inlineStr">
        <is>
          <t>Salomon Stance 88 Skis</t>
        </is>
      </c>
      <c r="AL513" t="inlineStr">
        <is>
          <t>The-House.com</t>
        </is>
      </c>
      <c r="AM513" s="333" t="n">
        <v>407.95</v>
      </c>
      <c r="AN513" t="inlineStr">
        <is>
          <t>https://tinyurl.com/y859nrkz</t>
        </is>
      </c>
      <c r="AO513" t="inlineStr">
        <is>
          <t>Salomon Stance 88 Skis</t>
        </is>
      </c>
      <c r="AP513" t="inlineStr">
        <is>
          <t>Gorham Bike and Ski</t>
        </is>
      </c>
      <c r="AQ513" s="333" t="n">
        <v>419.99</v>
      </c>
      <c r="AR513" t="inlineStr">
        <is>
          <t>https://tinyurl.com/y8rjc2hp</t>
        </is>
      </c>
      <c r="AS513" s="314">
        <f>IF(LEFT(C513,1)=" ",RIGHT(C513,LEN(C513)-1),C513)</f>
        <v/>
      </c>
      <c r="AT513" s="281">
        <f>_xlfn.CONCAT(B513,AS513,D513,E513)</f>
        <v/>
      </c>
    </row>
    <row r="514">
      <c r="A514" t="inlineStr">
        <is>
          <t>21/22</t>
        </is>
      </c>
      <c r="B514" t="inlineStr">
        <is>
          <t xml:space="preserve"> Dynastar</t>
        </is>
      </c>
      <c r="C514" t="inlineStr">
        <is>
          <t>M-Pro 84 W</t>
        </is>
      </c>
      <c r="D514" t="n">
        <v>163</v>
      </c>
      <c r="E514" t="inlineStr">
        <is>
          <t xml:space="preserve"> Women's</t>
        </is>
      </c>
      <c r="F514" t="n">
        <v>163</v>
      </c>
      <c r="G514" t="n">
        <v>163.9</v>
      </c>
      <c r="H514" t="n">
        <v>133</v>
      </c>
      <c r="I514" t="n">
        <v>133</v>
      </c>
      <c r="J514" t="n">
        <v>121</v>
      </c>
      <c r="K514" t="n">
        <v>82</v>
      </c>
      <c r="L514" t="n">
        <v>104</v>
      </c>
      <c r="M514" t="n">
        <v>13.8</v>
      </c>
      <c r="N514" t="n">
        <v>1543</v>
      </c>
      <c r="O514" t="n">
        <v>1</v>
      </c>
      <c r="P514" t="n">
        <v>1551</v>
      </c>
      <c r="Q514" t="n">
        <v>184</v>
      </c>
      <c r="R514" t="n">
        <v>74</v>
      </c>
      <c r="S514" t="n">
        <v>38</v>
      </c>
      <c r="T514" t="n">
        <v>248</v>
      </c>
      <c r="U514" t="n">
        <v>5</v>
      </c>
      <c r="V514" t="n">
        <v>64</v>
      </c>
      <c r="W514" t="n">
        <v>0.141</v>
      </c>
      <c r="X514" t="n">
        <v>159</v>
      </c>
      <c r="Y514" t="n">
        <v>147</v>
      </c>
      <c r="Z514" t="n">
        <v>90</v>
      </c>
      <c r="AA514" t="n">
        <v>8</v>
      </c>
      <c r="AB514" t="n">
        <v>6.6</v>
      </c>
      <c r="AC514" t="inlineStr">
        <is>
          <t xml:space="preserve"> On-Piste All-Mountain</t>
        </is>
      </c>
      <c r="AD514" t="inlineStr">
        <is>
          <t xml:space="preserve"> Resort Freeride</t>
        </is>
      </c>
      <c r="AG514" t="inlineStr">
        <is>
          <t>Dynastar M-PRO 84 W 163cm</t>
        </is>
      </c>
      <c r="AH514" t="inlineStr">
        <is>
          <t>Sundance Ski and Board Shop</t>
        </is>
      </c>
      <c r="AI514" s="333" t="n">
        <v>360.77</v>
      </c>
      <c r="AJ514" t="inlineStr">
        <is>
          <t>https://tinyurl.com/yb3yh77w</t>
        </is>
      </c>
      <c r="AK514" t="inlineStr">
        <is>
          <t>Dynastar M-PRO 84 W - 163</t>
        </is>
      </c>
      <c r="AL514" t="inlineStr">
        <is>
          <t>Level Nine Sports</t>
        </is>
      </c>
      <c r="AM514" s="333" t="n">
        <v>399.96</v>
      </c>
      <c r="AN514" t="inlineStr">
        <is>
          <t>https://tinyurl.com/y7hj83k4</t>
        </is>
      </c>
      <c r="AO514" t="inlineStr">
        <is>
          <t>Dynastar M-Pro 84 W Skis</t>
        </is>
      </c>
      <c r="AP514" t="inlineStr">
        <is>
          <t>Cole Sport</t>
        </is>
      </c>
      <c r="AQ514" s="333" t="n">
        <v>399.96</v>
      </c>
      <c r="AR514" t="inlineStr">
        <is>
          <t>https://tinyurl.com/y9e3ypvr</t>
        </is>
      </c>
      <c r="AS514" s="314">
        <f>IF(LEFT(C514,1)=" ",RIGHT(C514,LEN(C514)-1),C514)</f>
        <v/>
      </c>
      <c r="AT514" s="281">
        <f>_xlfn.CONCAT(B514,AS514,D514,E514)</f>
        <v/>
      </c>
    </row>
    <row r="515">
      <c r="A515" t="inlineStr">
        <is>
          <t>21/22</t>
        </is>
      </c>
      <c r="B515" t="inlineStr">
        <is>
          <t xml:space="preserve"> Rossignol</t>
        </is>
      </c>
      <c r="C515" t="inlineStr">
        <is>
          <t xml:space="preserve"> Blackops Escaper</t>
        </is>
      </c>
      <c r="D515" t="n">
        <v>164</v>
      </c>
      <c r="E515" t="inlineStr">
        <is>
          <t xml:space="preserve"> Unisex</t>
        </is>
      </c>
      <c r="F515" t="n">
        <v>164</v>
      </c>
      <c r="G515" t="n">
        <v>162.6</v>
      </c>
      <c r="H515" t="n">
        <v>115</v>
      </c>
      <c r="I515" t="n">
        <v>137</v>
      </c>
      <c r="J515" t="n">
        <v>126</v>
      </c>
      <c r="K515" t="n">
        <v>91</v>
      </c>
      <c r="L515" t="n">
        <v>116</v>
      </c>
      <c r="M515" t="n">
        <v>13.8</v>
      </c>
      <c r="N515" t="n">
        <v>1555</v>
      </c>
      <c r="O515" t="n">
        <v>1.08</v>
      </c>
      <c r="P515" t="n">
        <v>1680</v>
      </c>
      <c r="Q515" t="n">
        <v>183</v>
      </c>
      <c r="R515" t="n">
        <v>80</v>
      </c>
      <c r="S515" t="n">
        <v>52</v>
      </c>
      <c r="T515" t="n">
        <v>307</v>
      </c>
      <c r="U515" t="n">
        <v>12</v>
      </c>
      <c r="V515" t="n">
        <v>170</v>
      </c>
      <c r="W515" t="n">
        <v>0.225</v>
      </c>
      <c r="X515" t="n">
        <v>143</v>
      </c>
      <c r="Y515" t="n">
        <v>109</v>
      </c>
      <c r="Z515" t="n">
        <v>164</v>
      </c>
      <c r="AA515" t="n">
        <v>6</v>
      </c>
      <c r="AB515" t="n">
        <v>6.2</v>
      </c>
      <c r="AC515" t="inlineStr">
        <is>
          <t xml:space="preserve"> Resort Freeride</t>
        </is>
      </c>
      <c r="AD515" t="inlineStr">
        <is>
          <t xml:space="preserve"> Touring</t>
        </is>
      </c>
      <c r="AG515" t="inlineStr">
        <is>
          <t>Rossignol Blackops Escaper Mens Skis</t>
        </is>
      </c>
      <c r="AH515" t="inlineStr">
        <is>
          <t>Snowcountry.eu</t>
        </is>
      </c>
      <c r="AI515" s="333" t="n">
        <v>342.06</v>
      </c>
      <c r="AJ515" t="inlineStr">
        <is>
          <t>https://tinyurl.com/yb4w6yj5</t>
        </is>
      </c>
      <c r="AK515" t="inlineStr">
        <is>
          <t>Rossignol Men's Blackops Escaper Flat Ski 2020-2021 | BLACK / 164</t>
        </is>
      </c>
      <c r="AL515" t="inlineStr">
        <is>
          <t>Ski Pro  - Snow Ski &amp; Snowboard</t>
        </is>
      </c>
      <c r="AM515" s="333" t="n">
        <v>399.95</v>
      </c>
      <c r="AN515" t="inlineStr">
        <is>
          <t>https://tinyurl.com/ycg4amb3</t>
        </is>
      </c>
      <c r="AO515" t="inlineStr">
        <is>
          <t>Rossignol Blackops Escaper Open 164cm</t>
        </is>
      </c>
      <c r="AP515" t="inlineStr">
        <is>
          <t>Sundance Ski and Board Shop</t>
        </is>
      </c>
      <c r="AQ515" s="333" t="n">
        <v>400.85</v>
      </c>
      <c r="AR515" t="inlineStr">
        <is>
          <t>https://tinyurl.com/y767bzk9</t>
        </is>
      </c>
      <c r="AS515" s="314">
        <f>IF(LEFT(C515,1)=" ",RIGHT(C515,LEN(C515)-1),C515)</f>
        <v/>
      </c>
      <c r="AT515" s="281">
        <f>_xlfn.CONCAT(B515,AS515,D515,E515)</f>
        <v/>
      </c>
    </row>
    <row r="516">
      <c r="A516" t="inlineStr">
        <is>
          <t>21/22</t>
        </is>
      </c>
      <c r="B516" t="inlineStr">
        <is>
          <t xml:space="preserve"> Rossignol</t>
        </is>
      </c>
      <c r="C516" t="inlineStr">
        <is>
          <t>Experience 82 Ti W</t>
        </is>
      </c>
      <c r="D516" t="n">
        <v>151</v>
      </c>
      <c r="E516" t="inlineStr">
        <is>
          <t xml:space="preserve"> Women's</t>
        </is>
      </c>
      <c r="F516" t="n">
        <v>151</v>
      </c>
      <c r="G516" t="n">
        <v>150.4</v>
      </c>
      <c r="H516" t="n">
        <v>111</v>
      </c>
      <c r="I516" t="n">
        <v>136</v>
      </c>
      <c r="J516" t="n">
        <v>125</v>
      </c>
      <c r="K516" t="n">
        <v>80</v>
      </c>
      <c r="L516" t="n">
        <v>113</v>
      </c>
      <c r="M516" t="n">
        <v>11.3</v>
      </c>
      <c r="N516" t="n">
        <v>1660</v>
      </c>
      <c r="O516" t="n">
        <v>0.86</v>
      </c>
      <c r="P516" t="n">
        <v>1425</v>
      </c>
      <c r="Q516" t="n">
        <v>162</v>
      </c>
      <c r="R516" t="n">
        <v>88</v>
      </c>
      <c r="S516" t="n">
        <v>47</v>
      </c>
      <c r="T516" t="n">
        <v>261</v>
      </c>
      <c r="U516" t="n">
        <v>14</v>
      </c>
      <c r="V516" t="n">
        <v>134</v>
      </c>
      <c r="W516" t="n">
        <v>0.291</v>
      </c>
      <c r="X516" t="n">
        <v>78</v>
      </c>
      <c r="Y516" t="n">
        <v>63</v>
      </c>
      <c r="Z516" t="n">
        <v>183</v>
      </c>
      <c r="AA516" t="n">
        <v>8</v>
      </c>
      <c r="AB516" t="n">
        <v>6.6</v>
      </c>
      <c r="AC516" t="inlineStr">
        <is>
          <t xml:space="preserve"> Other</t>
        </is>
      </c>
      <c r="AG516" t="inlineStr">
        <is>
          <t>Rossignol Experience W 82 Ti Skis Womens 2022</t>
        </is>
      </c>
      <c r="AH516" t="inlineStr">
        <is>
          <t>BlueZone Sports</t>
        </is>
      </c>
      <c r="AI516" s="333" t="n">
        <v>559.96</v>
      </c>
      <c r="AJ516" t="inlineStr">
        <is>
          <t>https://tinyurl.com/ybgcrvb2</t>
        </is>
      </c>
      <c r="AK516" t="inlineStr">
        <is>
          <t>Rossignol Women's Experience 82 Ti W Skis with Bindings 151 cm</t>
        </is>
      </c>
      <c r="AL516" t="inlineStr">
        <is>
          <t>Aspen Ski and Board</t>
        </is>
      </c>
      <c r="AM516" s="333" t="n">
        <v>719.95</v>
      </c>
      <c r="AN516" t="inlineStr">
        <is>
          <t>https://tinyurl.com/yd9w96qf</t>
        </is>
      </c>
      <c r="AO516" t="inlineStr">
        <is>
          <t>Rossignol Experience W 82 Ti Women's Skis W SPX 12 Konect GW Bindings</t>
        </is>
      </c>
      <c r="AP516" t="inlineStr">
        <is>
          <t>The Mountain Air</t>
        </is>
      </c>
      <c r="AQ516" s="333" t="n">
        <v>719.96</v>
      </c>
      <c r="AR516" t="inlineStr">
        <is>
          <t>https://tinyurl.com/y78tpcja</t>
        </is>
      </c>
      <c r="AS516" s="314">
        <f>IF(LEFT(C516,1)=" ",RIGHT(C516,LEN(C516)-1),C516)</f>
        <v/>
      </c>
      <c r="AT516" s="281">
        <f>_xlfn.CONCAT(B516,AS516,D516,E516)</f>
        <v/>
      </c>
    </row>
    <row r="517">
      <c r="A517" t="inlineStr">
        <is>
          <t>21/22</t>
        </is>
      </c>
      <c r="B517" t="inlineStr">
        <is>
          <t xml:space="preserve"> Salomon</t>
        </is>
      </c>
      <c r="C517" t="inlineStr">
        <is>
          <t>QST 106</t>
        </is>
      </c>
      <c r="D517" t="n">
        <v>181</v>
      </c>
      <c r="E517" t="inlineStr">
        <is>
          <t xml:space="preserve"> Unisex</t>
        </is>
      </c>
      <c r="F517" t="n">
        <v>181</v>
      </c>
      <c r="G517" t="n">
        <v>180.9</v>
      </c>
      <c r="H517" t="n">
        <v>114</v>
      </c>
      <c r="I517" t="n">
        <v>151</v>
      </c>
      <c r="J517" t="n">
        <v>138</v>
      </c>
      <c r="K517" t="n">
        <v>105</v>
      </c>
      <c r="L517" t="n">
        <v>124</v>
      </c>
      <c r="M517" t="n">
        <v>19.9</v>
      </c>
      <c r="N517" t="n">
        <v>2130</v>
      </c>
      <c r="O517" t="n">
        <v>0.98</v>
      </c>
      <c r="P517" t="n">
        <v>2088</v>
      </c>
      <c r="Q517" t="n">
        <v>231</v>
      </c>
      <c r="R517" t="n">
        <v>105</v>
      </c>
      <c r="S517" t="n">
        <v>56</v>
      </c>
      <c r="T517" t="n">
        <v>381</v>
      </c>
      <c r="U517" t="n">
        <v>20</v>
      </c>
      <c r="V517" t="n">
        <v>291</v>
      </c>
      <c r="W517" t="n">
        <v>0.348</v>
      </c>
      <c r="X517" t="n">
        <v>179</v>
      </c>
      <c r="Y517" t="n">
        <v>115</v>
      </c>
      <c r="Z517" t="n">
        <v>201</v>
      </c>
      <c r="AA517" t="n">
        <v>8</v>
      </c>
      <c r="AB517" t="n">
        <v>8</v>
      </c>
      <c r="AC517" t="inlineStr">
        <is>
          <t xml:space="preserve"> Resort Freeride</t>
        </is>
      </c>
      <c r="AD517" t="inlineStr">
        <is>
          <t xml:space="preserve"> Big Mountain</t>
        </is>
      </c>
      <c r="AG517" t="inlineStr">
        <is>
          <t>Salomon QST Stella 106 Skis 2020-2021 | PINK / BLACK / 181</t>
        </is>
      </c>
      <c r="AH517" t="inlineStr">
        <is>
          <t>Ski Pro  - Snow Ski &amp; Snowboard</t>
        </is>
      </c>
      <c r="AI517" s="333" t="n">
        <v>429.95</v>
      </c>
      <c r="AJ517" t="inlineStr">
        <is>
          <t>https://tinyurl.com/ycwfmbvj</t>
        </is>
      </c>
      <c r="AK517" t="inlineStr">
        <is>
          <t>Salomon Qst 106 181cm</t>
        </is>
      </c>
      <c r="AL517" t="inlineStr">
        <is>
          <t>eBay</t>
        </is>
      </c>
      <c r="AM517" s="333" t="n">
        <v>495</v>
      </c>
      <c r="AN517" t="inlineStr">
        <is>
          <t>https://tinyurl.com/y8tx7h5c</t>
        </is>
      </c>
      <c r="AO517" t="inlineStr">
        <is>
          <t>Salomon QST 106</t>
        </is>
      </c>
      <c r="AP517" t="inlineStr">
        <is>
          <t>The-House.com</t>
        </is>
      </c>
      <c r="AQ517" s="333" t="n">
        <v>537.95</v>
      </c>
      <c r="AR517" t="inlineStr">
        <is>
          <t>https://tinyurl.com/y8gzvrwa</t>
        </is>
      </c>
      <c r="AS517" s="314">
        <f>IF(LEFT(C517,1)=" ",RIGHT(C517,LEN(C517)-1),C517)</f>
        <v/>
      </c>
      <c r="AT517" s="281">
        <f>_xlfn.CONCAT(B517,AS517,D517,E517)</f>
        <v/>
      </c>
    </row>
    <row r="518">
      <c r="A518" t="inlineStr">
        <is>
          <t>21/22</t>
        </is>
      </c>
      <c r="B518" t="inlineStr">
        <is>
          <t xml:space="preserve"> Vï¿½lkl</t>
        </is>
      </c>
      <c r="C518" t="inlineStr">
        <is>
          <t xml:space="preserve"> Flair SC Carbon</t>
        </is>
      </c>
      <c r="D518" t="n">
        <v>150</v>
      </c>
      <c r="E518" t="inlineStr">
        <is>
          <t xml:space="preserve"> Women's</t>
        </is>
      </c>
      <c r="F518" t="n">
        <v>150</v>
      </c>
      <c r="G518" t="n">
        <v>149.3</v>
      </c>
      <c r="H518" t="n">
        <v>128</v>
      </c>
      <c r="I518" t="n">
        <v>135</v>
      </c>
      <c r="J518" t="n">
        <v>122</v>
      </c>
      <c r="K518" t="n">
        <v>70</v>
      </c>
      <c r="L518" t="n">
        <v>103</v>
      </c>
      <c r="M518" t="n">
        <v>10.4</v>
      </c>
      <c r="N518" t="n">
        <v>1572</v>
      </c>
      <c r="O518" t="n">
        <v>0.82</v>
      </c>
      <c r="P518" t="n">
        <v>1282</v>
      </c>
      <c r="Q518" t="n">
        <v>199</v>
      </c>
      <c r="R518" t="n">
        <v>69</v>
      </c>
      <c r="S518" t="n">
        <v>41</v>
      </c>
      <c r="T518" t="n">
        <v>163</v>
      </c>
      <c r="U518" t="n">
        <v>6</v>
      </c>
      <c r="V518" t="n">
        <v>55</v>
      </c>
      <c r="W518" t="n">
        <v>0.146</v>
      </c>
      <c r="X518" t="n">
        <v>70</v>
      </c>
      <c r="Y518" t="n">
        <v>75</v>
      </c>
      <c r="Z518" t="n">
        <v>93</v>
      </c>
      <c r="AA518" t="n">
        <v>4</v>
      </c>
      <c r="AB518" t="n">
        <v>12.4</v>
      </c>
      <c r="AC518" t="inlineStr">
        <is>
          <t xml:space="preserve"> On-Piste Carving</t>
        </is>
      </c>
      <c r="AG518" t="inlineStr">
        <is>
          <t>Volkl Flair SC Carbon Women's Skis with vMotion 11 Alu GW Bindings 2022 Size 150cm for Women</t>
        </is>
      </c>
      <c r="AH518" t="inlineStr">
        <is>
          <t>The-House.com</t>
        </is>
      </c>
      <c r="AI518" s="333" t="n">
        <v>759.99</v>
      </c>
      <c r="AJ518" t="inlineStr">
        <is>
          <t>https://tinyurl.com/ya36gpnr</t>
        </is>
      </c>
      <c r="AK518" t="inlineStr">
        <is>
          <t>VÃ¶lkl Racetiger GS R JR 150 cm Ski + Marker 7 Bindings Winter Sport Snow Fun</t>
        </is>
      </c>
      <c r="AL518" t="inlineStr">
        <is>
          <t>Traventuria</t>
        </is>
      </c>
      <c r="AM518" s="333" t="n">
        <v>139.99</v>
      </c>
      <c r="AN518" t="inlineStr">
        <is>
          <t>https://tinyurl.com/y9dmq3pc</t>
        </is>
      </c>
      <c r="AO518" t="inlineStr">
        <is>
          <t>Volkl RaceTiger SL R JR 150cm</t>
        </is>
      </c>
      <c r="AP518" t="inlineStr">
        <is>
          <t>Sundance Ski and Board Shop</t>
        </is>
      </c>
      <c r="AQ518" s="333" t="n">
        <v>240.51</v>
      </c>
      <c r="AR518" t="inlineStr">
        <is>
          <t>https://tinyurl.com/ya2b72zs</t>
        </is>
      </c>
      <c r="AS518" s="314">
        <f>IF(LEFT(C518,1)=" ",RIGHT(C518,LEN(C518)-1),C518)</f>
        <v/>
      </c>
      <c r="AT518" s="281">
        <f>_xlfn.CONCAT(B518,AS518,D518,E518)</f>
        <v/>
      </c>
    </row>
    <row r="519">
      <c r="A519" t="inlineStr">
        <is>
          <t>21/22</t>
        </is>
      </c>
      <c r="B519" t="inlineStr">
        <is>
          <t xml:space="preserve"> Rossignol</t>
        </is>
      </c>
      <c r="C519" t="inlineStr">
        <is>
          <t xml:space="preserve"> Blackops Sender Ti</t>
        </is>
      </c>
      <c r="D519" t="n">
        <v>180</v>
      </c>
      <c r="E519" t="inlineStr">
        <is>
          <t xml:space="preserve"> Unisex</t>
        </is>
      </c>
      <c r="F519" t="n">
        <v>180</v>
      </c>
      <c r="G519" t="n">
        <v>178.2</v>
      </c>
      <c r="H519" t="n">
        <v>136</v>
      </c>
      <c r="I519" t="n">
        <v>153</v>
      </c>
      <c r="J519" t="n">
        <v>137</v>
      </c>
      <c r="K519" t="n">
        <v>103</v>
      </c>
      <c r="L519" t="n">
        <v>127</v>
      </c>
      <c r="M519" t="n">
        <v>18.1</v>
      </c>
      <c r="N519" t="n">
        <v>2054</v>
      </c>
      <c r="O519" t="n">
        <v>0.99</v>
      </c>
      <c r="P519" t="n">
        <v>2039</v>
      </c>
      <c r="Q519" t="n">
        <v>227</v>
      </c>
      <c r="R519" t="n">
        <v>101</v>
      </c>
      <c r="S519" t="n">
        <v>49</v>
      </c>
      <c r="T519" t="n">
        <v>298</v>
      </c>
      <c r="U519" t="n">
        <v>10</v>
      </c>
      <c r="V519" t="n">
        <v>129</v>
      </c>
      <c r="W519" t="n">
        <v>0.207</v>
      </c>
      <c r="X519" t="n">
        <v>144</v>
      </c>
      <c r="Y519" t="n">
        <v>110</v>
      </c>
      <c r="Z519" t="n">
        <v>154</v>
      </c>
      <c r="AA519" t="n">
        <v>7</v>
      </c>
      <c r="AB519" t="n">
        <v>7.1</v>
      </c>
      <c r="AC519" t="inlineStr">
        <is>
          <t xml:space="preserve"> Resort Freeride</t>
        </is>
      </c>
      <c r="AD519" t="inlineStr">
        <is>
          <t xml:space="preserve"> Big Mountain</t>
        </is>
      </c>
      <c r="AG519" t="inlineStr">
        <is>
          <t>Rossignol Blackops Sender Ti Skis 180 cm</t>
        </is>
      </c>
      <c r="AH519" t="inlineStr">
        <is>
          <t>The-House.com</t>
        </is>
      </c>
      <c r="AI519" s="333" t="n">
        <v>436.95</v>
      </c>
      <c r="AJ519" t="inlineStr">
        <is>
          <t>https://tinyurl.com/ydcspeqo</t>
        </is>
      </c>
      <c r="AK519" t="inlineStr">
        <is>
          <t>Rossignol Blackops Sender TI 180cm</t>
        </is>
      </c>
      <c r="AL519" t="inlineStr">
        <is>
          <t>Sundance Ski and Board Shop</t>
        </is>
      </c>
      <c r="AM519" s="333" t="n">
        <v>545.16</v>
      </c>
      <c r="AN519" t="inlineStr">
        <is>
          <t>https://tinyurl.com/y7thjzvl</t>
        </is>
      </c>
      <c r="AO519" t="inlineStr">
        <is>
          <t>Rossignol Blackops Sender TI Skis 2022</t>
        </is>
      </c>
      <c r="AP519" t="inlineStr">
        <is>
          <t>Saint Bernard</t>
        </is>
      </c>
      <c r="AQ519" s="333" t="n">
        <v>631.9</v>
      </c>
      <c r="AR519" t="inlineStr">
        <is>
          <t>https://tinyurl.com/ych4uep8</t>
        </is>
      </c>
      <c r="AS519" s="314">
        <f>IF(LEFT(C519,1)=" ",RIGHT(C519,LEN(C519)-1),C519)</f>
        <v/>
      </c>
      <c r="AT519" s="281">
        <f>_xlfn.CONCAT(B519,AS519,D519,E519)</f>
        <v/>
      </c>
    </row>
    <row r="520">
      <c r="A520" t="inlineStr">
        <is>
          <t>21/22</t>
        </is>
      </c>
      <c r="B520" t="inlineStr">
        <is>
          <t xml:space="preserve"> Rossignol</t>
        </is>
      </c>
      <c r="C520" t="inlineStr">
        <is>
          <t xml:space="preserve"> Hero Elite Plus Ti</t>
        </is>
      </c>
      <c r="D520" t="n">
        <v>160</v>
      </c>
      <c r="E520" t="inlineStr">
        <is>
          <t xml:space="preserve"> Unisex</t>
        </is>
      </c>
      <c r="F520" t="n">
        <v>160</v>
      </c>
      <c r="G520" t="n">
        <v>159.7</v>
      </c>
      <c r="H520" t="n">
        <v>140</v>
      </c>
      <c r="I520" t="n">
        <v>144</v>
      </c>
      <c r="J520" t="n">
        <v>128</v>
      </c>
      <c r="K520" t="n">
        <v>76</v>
      </c>
      <c r="L520" t="n">
        <v>108</v>
      </c>
      <c r="M520" t="n">
        <v>12.1</v>
      </c>
      <c r="N520" t="n">
        <v>1969</v>
      </c>
      <c r="O520" t="n">
        <v>0.75</v>
      </c>
      <c r="P520" t="n">
        <v>1471</v>
      </c>
      <c r="Q520" t="n">
        <v>187</v>
      </c>
      <c r="R520" t="n">
        <v>91</v>
      </c>
      <c r="S520" t="n">
        <v>39</v>
      </c>
      <c r="T520" t="n">
        <v>137</v>
      </c>
      <c r="U520" t="n">
        <v>5</v>
      </c>
      <c r="V520" t="n">
        <v>65</v>
      </c>
      <c r="W520" t="n">
        <v>0.119</v>
      </c>
      <c r="X520" t="n">
        <v>91</v>
      </c>
      <c r="Y520" t="n">
        <v>63</v>
      </c>
      <c r="Z520" t="n">
        <v>46</v>
      </c>
      <c r="AA520" t="n">
        <v>12</v>
      </c>
      <c r="AB520" t="n">
        <v>10</v>
      </c>
      <c r="AC520" t="inlineStr">
        <is>
          <t xml:space="preserve"> On-Piste Carving</t>
        </is>
      </c>
      <c r="AG520" t="inlineStr">
        <is>
          <t>Rossignol Hero Elite Plus Ti Skis</t>
        </is>
      </c>
      <c r="AH520" t="inlineStr">
        <is>
          <t>The-House.com</t>
        </is>
      </c>
      <c r="AI520" s="333" t="n">
        <v>999.95</v>
      </c>
      <c r="AJ520" t="inlineStr">
        <is>
          <t>https://tinyurl.com/yd3nnfyx</t>
        </is>
      </c>
      <c r="AK520" t="inlineStr">
        <is>
          <t>Rossignol Kid's on Piste Skis Hero Jr Multi-Event</t>
        </is>
      </c>
      <c r="AL520" t="inlineStr">
        <is>
          <t>BobsSportsChalet.com</t>
        </is>
      </c>
      <c r="AM520" s="333" t="n">
        <v>275</v>
      </c>
      <c r="AN520" t="inlineStr">
        <is>
          <t>https://tinyurl.com/ybwohjy6</t>
        </is>
      </c>
      <c r="AO520" t="inlineStr">
        <is>
          <t>Rossignol Men's All Mountain Skis Experience 82 Ti (konect)</t>
        </is>
      </c>
      <c r="AP520" t="inlineStr">
        <is>
          <t>Rossignol US</t>
        </is>
      </c>
      <c r="AQ520" s="333" t="n">
        <v>899.95</v>
      </c>
      <c r="AR520" t="inlineStr">
        <is>
          <t>https://tinyurl.com/y8bncbve</t>
        </is>
      </c>
      <c r="AS520" s="314">
        <f>IF(LEFT(C520,1)=" ",RIGHT(C520,LEN(C520)-1),C520)</f>
        <v/>
      </c>
      <c r="AT520" s="281">
        <f>_xlfn.CONCAT(B520,AS520,D520,E520)</f>
        <v/>
      </c>
    </row>
    <row r="521">
      <c r="A521" t="inlineStr">
        <is>
          <t>21/22</t>
        </is>
      </c>
      <c r="B521" t="inlineStr">
        <is>
          <t xml:space="preserve"> Icelantic</t>
        </is>
      </c>
      <c r="C521" t="inlineStr">
        <is>
          <t>Nomad 95</t>
        </is>
      </c>
      <c r="D521" t="n">
        <v>176</v>
      </c>
      <c r="E521" t="inlineStr">
        <is>
          <t xml:space="preserve"> Unisex</t>
        </is>
      </c>
      <c r="F521" t="n">
        <v>176</v>
      </c>
      <c r="G521" t="n">
        <v>173.6</v>
      </c>
      <c r="H521" t="n">
        <v>107</v>
      </c>
      <c r="I521" t="n">
        <v>149</v>
      </c>
      <c r="J521" t="n">
        <v>129</v>
      </c>
      <c r="K521" t="n">
        <v>93</v>
      </c>
      <c r="L521" t="n">
        <v>119</v>
      </c>
      <c r="M521" t="n">
        <v>17.5</v>
      </c>
      <c r="N521" t="n">
        <v>1715</v>
      </c>
      <c r="O521" t="n">
        <v>1.06</v>
      </c>
      <c r="P521" t="n">
        <v>1816</v>
      </c>
      <c r="Q521" t="n">
        <v>175</v>
      </c>
      <c r="R521" t="n">
        <v>73</v>
      </c>
      <c r="S521" t="n">
        <v>58</v>
      </c>
      <c r="T521" t="n">
        <v>353</v>
      </c>
      <c r="U521" t="n">
        <v>56</v>
      </c>
      <c r="V521" t="n">
        <v>315</v>
      </c>
      <c r="W521" t="n">
        <v>0.969</v>
      </c>
      <c r="X521" t="n">
        <v>121</v>
      </c>
      <c r="Y521" t="n">
        <v>122</v>
      </c>
      <c r="Z521" t="n">
        <v>233</v>
      </c>
      <c r="AA521" t="n">
        <v>2</v>
      </c>
      <c r="AB521" t="n">
        <v>8.199999999999999</v>
      </c>
      <c r="AC521" t="inlineStr">
        <is>
          <t xml:space="preserve"> Freeski</t>
        </is>
      </c>
      <c r="AD521" t="inlineStr">
        <is>
          <t xml:space="preserve"> Touring</t>
        </is>
      </c>
      <c r="AG521" t="inlineStr">
        <is>
          <t>Icelantic Nomad 95 Skis 2022 176cm</t>
        </is>
      </c>
      <c r="AH521" t="inlineStr">
        <is>
          <t>Glacier Ski Shop</t>
        </is>
      </c>
      <c r="AI521" s="333" t="n">
        <v>525</v>
      </c>
      <c r="AJ521" t="inlineStr">
        <is>
          <t>https://tinyurl.com/yc2hg3hb</t>
        </is>
      </c>
      <c r="AK521" t="inlineStr">
        <is>
          <t>Icelantic Nomad 95 Skis Â· 2022 Â· 176 cm</t>
        </is>
      </c>
      <c r="AL521" t="inlineStr">
        <is>
          <t>Curated</t>
        </is>
      </c>
      <c r="AM521" s="333" t="n">
        <v>561</v>
      </c>
      <c r="AN521" t="inlineStr">
        <is>
          <t>https://tinyurl.com/yc5hh2yo</t>
        </is>
      </c>
      <c r="AO521" t="inlineStr">
        <is>
          <t>Icelantic Nomad 95 Skis Â· 2022 Â· 176 cm</t>
        </is>
      </c>
      <c r="AP521" t="inlineStr">
        <is>
          <t>GritrOutdoors</t>
        </is>
      </c>
      <c r="AQ521" s="333" t="n">
        <v>599</v>
      </c>
      <c r="AR521" t="inlineStr">
        <is>
          <t>https://tinyurl.com/ya5gtyf2</t>
        </is>
      </c>
      <c r="AS521" s="314">
        <f>IF(LEFT(C521,1)=" ",RIGHT(C521,LEN(C521)-1),C521)</f>
        <v/>
      </c>
      <c r="AT521" s="281">
        <f>_xlfn.CONCAT(B521,AS521,D521,E521)</f>
        <v/>
      </c>
    </row>
    <row r="522">
      <c r="A522" t="inlineStr">
        <is>
          <t>21/22</t>
        </is>
      </c>
      <c r="B522" t="inlineStr">
        <is>
          <t>K2</t>
        </is>
      </c>
      <c r="C522" t="inlineStr">
        <is>
          <t>Reckoner 112</t>
        </is>
      </c>
      <c r="D522" t="n">
        <v>177</v>
      </c>
      <c r="E522" t="inlineStr">
        <is>
          <t xml:space="preserve"> Unisex</t>
        </is>
      </c>
      <c r="F522" t="n">
        <v>177</v>
      </c>
      <c r="G522" t="n">
        <v>177.5</v>
      </c>
      <c r="H522" t="n">
        <v>106</v>
      </c>
      <c r="I522" t="n">
        <v>133</v>
      </c>
      <c r="J522" t="n">
        <v>136</v>
      </c>
      <c r="K522" t="n">
        <v>111</v>
      </c>
      <c r="L522" t="n">
        <v>126</v>
      </c>
      <c r="M522" t="n">
        <v>20.9</v>
      </c>
      <c r="N522" t="n">
        <v>1827</v>
      </c>
      <c r="O522" t="n">
        <v>1.15</v>
      </c>
      <c r="P522" t="n">
        <v>2109</v>
      </c>
      <c r="Q522" t="n">
        <v>189</v>
      </c>
      <c r="R522" t="n">
        <v>81</v>
      </c>
      <c r="S522" t="n">
        <v>50</v>
      </c>
      <c r="T522" t="n">
        <v>380</v>
      </c>
      <c r="U522" t="n">
        <v>36</v>
      </c>
      <c r="V522" t="n">
        <v>340</v>
      </c>
      <c r="W522" t="n">
        <v>0.707</v>
      </c>
      <c r="X522" t="n">
        <v>218</v>
      </c>
      <c r="Y522" t="n">
        <v>226</v>
      </c>
      <c r="Z522" t="n">
        <v>162</v>
      </c>
      <c r="AA522" t="n">
        <v>5</v>
      </c>
      <c r="AB522" t="n">
        <v>5.7</v>
      </c>
      <c r="AC522" t="inlineStr">
        <is>
          <t xml:space="preserve"> Powder</t>
        </is>
      </c>
      <c r="AD522" t="inlineStr">
        <is>
          <t xml:space="preserve"> Touring</t>
        </is>
      </c>
      <c r="AG522" t="inlineStr">
        <is>
          <t>K2 Reckoner 112 Skis - 2022 177 cm</t>
        </is>
      </c>
      <c r="AH522" t="inlineStr">
        <is>
          <t>Absolute-Snow.co.uk</t>
        </is>
      </c>
      <c r="AI522" s="333" t="n">
        <v>505.66</v>
      </c>
      <c r="AJ522" t="inlineStr">
        <is>
          <t>https://tinyurl.com/y7qzpocu</t>
        </is>
      </c>
      <c r="AK522" t="inlineStr">
        <is>
          <t>2022 K2 Reckoner 112 Skis 177cm</t>
        </is>
      </c>
      <c r="AL522" t="inlineStr">
        <is>
          <t>eBay</t>
        </is>
      </c>
      <c r="AM522" s="333" t="n">
        <v>529.99</v>
      </c>
      <c r="AN522" t="inlineStr">
        <is>
          <t>https://tinyurl.com/ya67os6t</t>
        </is>
      </c>
      <c r="AO522" t="inlineStr">
        <is>
          <t>K2 Reckoner 112 Skis - 2022 177 cm</t>
        </is>
      </c>
      <c r="AP522" t="inlineStr">
        <is>
          <t>Ski Town All-Stars</t>
        </is>
      </c>
      <c r="AQ522" s="333" t="n">
        <v>559.99</v>
      </c>
      <c r="AR522" t="inlineStr">
        <is>
          <t>https://tinyurl.com/ybbjtwv9</t>
        </is>
      </c>
      <c r="AS522" s="314">
        <f>IF(LEFT(C522,1)=" ",RIGHT(C522,LEN(C522)-1),C522)</f>
        <v/>
      </c>
      <c r="AT522" s="281">
        <f>_xlfn.CONCAT(B522,AS522,D522,E522)</f>
        <v/>
      </c>
    </row>
    <row r="523">
      <c r="A523" t="inlineStr">
        <is>
          <t>21/22</t>
        </is>
      </c>
      <c r="B523" t="inlineStr">
        <is>
          <t xml:space="preserve"> Salomon</t>
        </is>
      </c>
      <c r="C523" t="inlineStr">
        <is>
          <t>Stance 88 W</t>
        </is>
      </c>
      <c r="D523" t="n">
        <v>161</v>
      </c>
      <c r="E523" t="inlineStr">
        <is>
          <t xml:space="preserve"> Women's</t>
        </is>
      </c>
      <c r="F523" t="n">
        <v>161</v>
      </c>
      <c r="G523" t="n">
        <v>160.1</v>
      </c>
      <c r="H523" t="n">
        <v>123</v>
      </c>
      <c r="I523" t="n">
        <v>136</v>
      </c>
      <c r="J523" t="n">
        <v>119</v>
      </c>
      <c r="K523" t="n">
        <v>88</v>
      </c>
      <c r="L523" t="n">
        <v>101</v>
      </c>
      <c r="M523" t="n">
        <v>17.2</v>
      </c>
      <c r="N523" t="n">
        <v>1530</v>
      </c>
      <c r="O523" t="n">
        <v>1.02</v>
      </c>
      <c r="P523" t="n">
        <v>1563</v>
      </c>
      <c r="Q523" t="n">
        <v>140</v>
      </c>
      <c r="R523" t="n">
        <v>86</v>
      </c>
      <c r="S523" t="n">
        <v>55</v>
      </c>
      <c r="T523" t="n">
        <v>223</v>
      </c>
      <c r="U523" t="n">
        <v>8</v>
      </c>
      <c r="V523" t="n">
        <v>151</v>
      </c>
      <c r="W523" t="n">
        <v>0.147</v>
      </c>
      <c r="X523" t="n">
        <v>153</v>
      </c>
      <c r="Y523" t="n">
        <v>87</v>
      </c>
      <c r="Z523" t="n">
        <v>70</v>
      </c>
      <c r="AA523" t="n">
        <v>9</v>
      </c>
      <c r="AB523" t="n">
        <v>9.300000000000001</v>
      </c>
      <c r="AC523" t="inlineStr">
        <is>
          <t xml:space="preserve"> Resort Freeride</t>
        </is>
      </c>
      <c r="AG523" t="inlineStr">
        <is>
          <t>Salomon STANCE W 88 161cm</t>
        </is>
      </c>
      <c r="AH523" t="inlineStr">
        <is>
          <t>Sundance Ski and Board Shop</t>
        </is>
      </c>
      <c r="AI523" s="333" t="n">
        <v>561.2</v>
      </c>
      <c r="AJ523" t="inlineStr">
        <is>
          <t>https://tinyurl.com/ycblwsgm</t>
        </is>
      </c>
      <c r="AK523" t="inlineStr">
        <is>
          <t>Salomon Stance W 88 Skis</t>
        </is>
      </c>
      <c r="AL523" t="inlineStr">
        <is>
          <t>Cole Sport</t>
        </is>
      </c>
      <c r="AM523" s="333" t="n">
        <v>599.99</v>
      </c>
      <c r="AN523" t="inlineStr">
        <is>
          <t>https://tinyurl.com/y92dtyg8</t>
        </is>
      </c>
      <c r="AO523" t="inlineStr">
        <is>
          <t>Salomon Stance 88 Skis</t>
        </is>
      </c>
      <c r="AP523" t="inlineStr">
        <is>
          <t>The-House.com</t>
        </is>
      </c>
      <c r="AQ523" s="333" t="n">
        <v>407.95</v>
      </c>
      <c r="AR523" t="inlineStr">
        <is>
          <t>https://tinyurl.com/ycbt29hu</t>
        </is>
      </c>
      <c r="AS523" s="314">
        <f>IF(LEFT(C523,1)=" ",RIGHT(C523,LEN(C523)-1),C523)</f>
        <v/>
      </c>
      <c r="AT523" s="281">
        <f>_xlfn.CONCAT(B523,AS523,D523,E523)</f>
        <v/>
      </c>
    </row>
    <row r="524">
      <c r="A524" t="inlineStr">
        <is>
          <t>21/22</t>
        </is>
      </c>
      <c r="B524" t="inlineStr">
        <is>
          <t xml:space="preserve"> Vï¿½lkl</t>
        </is>
      </c>
      <c r="C524" t="inlineStr">
        <is>
          <t>Blaze 86</t>
        </is>
      </c>
      <c r="D524" t="n">
        <v>173</v>
      </c>
      <c r="E524" t="inlineStr">
        <is>
          <t xml:space="preserve"> Unisex</t>
        </is>
      </c>
      <c r="F524" t="n">
        <v>173</v>
      </c>
      <c r="G524" t="n">
        <v>174.7</v>
      </c>
      <c r="H524" t="n">
        <v>129</v>
      </c>
      <c r="I524" t="n">
        <v>150</v>
      </c>
      <c r="J524" t="n">
        <v>128</v>
      </c>
      <c r="K524" t="n">
        <v>85</v>
      </c>
      <c r="L524" t="n">
        <v>110</v>
      </c>
      <c r="M524" t="n">
        <v>15.9</v>
      </c>
      <c r="N524" t="n">
        <v>1451</v>
      </c>
      <c r="O524" t="n">
        <v>1.19</v>
      </c>
      <c r="P524" t="n">
        <v>1732</v>
      </c>
      <c r="Q524" t="n">
        <v>186</v>
      </c>
      <c r="R524" t="n">
        <v>81</v>
      </c>
      <c r="S524" t="n">
        <v>46</v>
      </c>
      <c r="T524" t="n">
        <v>268</v>
      </c>
      <c r="U524" t="n">
        <v>17</v>
      </c>
      <c r="V524" t="n">
        <v>191</v>
      </c>
      <c r="W524" t="n">
        <v>0.38</v>
      </c>
      <c r="X524" t="n">
        <v>144</v>
      </c>
      <c r="Y524" t="n">
        <v>102</v>
      </c>
      <c r="Z524" t="n">
        <v>124</v>
      </c>
      <c r="AA524" t="n">
        <v>3</v>
      </c>
      <c r="AB524" t="n">
        <v>11.9</v>
      </c>
      <c r="AC524" t="inlineStr">
        <is>
          <t xml:space="preserve"> Resort Freeride</t>
        </is>
      </c>
      <c r="AD524" t="inlineStr">
        <is>
          <t xml:space="preserve"> Touring</t>
        </is>
      </c>
      <c r="AG524" t="inlineStr">
        <is>
          <t>Volkl Blaze 86 Skis 2022</t>
        </is>
      </c>
      <c r="AH524" t="inlineStr">
        <is>
          <t>BlueZone Sports</t>
        </is>
      </c>
      <c r="AI524" s="333" t="n">
        <v>399.99</v>
      </c>
      <c r="AJ524" t="inlineStr">
        <is>
          <t>https://tinyurl.com/ycw5rouc</t>
        </is>
      </c>
      <c r="AK524" t="inlineStr">
        <is>
          <t>Volkl Blaze 86 Skis 2022</t>
        </is>
      </c>
      <c r="AL524" t="inlineStr">
        <is>
          <t>Suburban Ski and Bike</t>
        </is>
      </c>
      <c r="AM524" s="333" t="n">
        <v>480</v>
      </c>
      <c r="AN524" t="inlineStr">
        <is>
          <t>https://tinyurl.com/y87yvvam</t>
        </is>
      </c>
      <c r="AO524" t="inlineStr">
        <is>
          <t>'22 Volkl Blaze 86 Skis 173cm</t>
        </is>
      </c>
      <c r="AP524" t="inlineStr">
        <is>
          <t>Al's Ski Equipment Barn</t>
        </is>
      </c>
      <c r="AQ524" s="333" t="n">
        <v>499</v>
      </c>
      <c r="AR524" t="inlineStr">
        <is>
          <t>https://tinyurl.com/y85phd37</t>
        </is>
      </c>
      <c r="AS524" s="314">
        <f>IF(LEFT(C524,1)=" ",RIGHT(C524,LEN(C524)-1),C524)</f>
        <v/>
      </c>
      <c r="AT524" s="281">
        <f>_xlfn.CONCAT(B524,AS524,D524,E524)</f>
        <v/>
      </c>
    </row>
    <row r="525">
      <c r="A525" t="inlineStr">
        <is>
          <t>21/22</t>
        </is>
      </c>
      <c r="B525" t="inlineStr">
        <is>
          <t xml:space="preserve"> Vï¿½lkl</t>
        </is>
      </c>
      <c r="C525" t="inlineStr">
        <is>
          <t>Rise Above 88</t>
        </is>
      </c>
      <c r="D525" t="n">
        <v>184</v>
      </c>
      <c r="E525" t="inlineStr">
        <is>
          <t xml:space="preserve"> Unisex</t>
        </is>
      </c>
      <c r="F525" t="n">
        <v>184</v>
      </c>
      <c r="G525" t="n">
        <v>184</v>
      </c>
      <c r="H525" t="n">
        <v>149</v>
      </c>
      <c r="I525" t="n">
        <v>163</v>
      </c>
      <c r="J525" t="n">
        <v>130</v>
      </c>
      <c r="K525" t="n">
        <v>87</v>
      </c>
      <c r="L525" t="n">
        <v>111</v>
      </c>
      <c r="M525" t="n">
        <v>19.2</v>
      </c>
      <c r="N525" t="n">
        <v>1357</v>
      </c>
      <c r="O525" t="n">
        <v>1.36</v>
      </c>
      <c r="P525" t="n">
        <v>1847</v>
      </c>
      <c r="Q525" t="n">
        <v>195</v>
      </c>
      <c r="R525" t="n">
        <v>76</v>
      </c>
      <c r="S525" t="n">
        <v>47</v>
      </c>
      <c r="T525" t="n">
        <v>285</v>
      </c>
      <c r="U525" t="n">
        <v>4</v>
      </c>
      <c r="V525" t="n">
        <v>64</v>
      </c>
      <c r="W525" t="n">
        <v>0.08699999999999999</v>
      </c>
      <c r="X525" t="n">
        <v>122</v>
      </c>
      <c r="Y525" t="n">
        <v>90</v>
      </c>
      <c r="Z525" t="n">
        <v>164</v>
      </c>
      <c r="AA525" t="n">
        <v>6</v>
      </c>
      <c r="AB525" t="n">
        <v>12.5</v>
      </c>
      <c r="AC525" t="inlineStr">
        <is>
          <t xml:space="preserve"> Touring</t>
        </is>
      </c>
      <c r="AD525" t="inlineStr">
        <is>
          <t xml:space="preserve"> Ultralight Touring</t>
        </is>
      </c>
      <c r="AG525" t="inlineStr">
        <is>
          <t>Volkl Rise Above 88 21/22</t>
        </is>
      </c>
      <c r="AH525" t="inlineStr">
        <is>
          <t>Snowcountry.eu</t>
        </is>
      </c>
      <c r="AI525" s="333" t="n">
        <v>419.51</v>
      </c>
      <c r="AJ525" t="inlineStr">
        <is>
          <t>https://tinyurl.com/ybjrq9f3</t>
        </is>
      </c>
      <c r="AK525" t="inlineStr">
        <is>
          <t>2022 Volkl Rise Above 88 Skis 184cm Brand Sealed</t>
        </is>
      </c>
      <c r="AL525" t="inlineStr">
        <is>
          <t>eBay</t>
        </is>
      </c>
      <c r="AM525" s="333" t="n">
        <v>419.95</v>
      </c>
      <c r="AN525" t="inlineStr">
        <is>
          <t>https://tinyurl.com/y7cv5l2x</t>
        </is>
      </c>
      <c r="AO525" t="inlineStr">
        <is>
          <t>Volkl Rise Above 88 Ski 2023</t>
        </is>
      </c>
      <c r="AP525" t="inlineStr">
        <is>
          <t>Telemark Pyrenees</t>
        </is>
      </c>
      <c r="AQ525" s="333" t="n">
        <v>595.02</v>
      </c>
      <c r="AR525" t="inlineStr">
        <is>
          <t>https://tinyurl.com/y9dr3bql</t>
        </is>
      </c>
      <c r="AS525" s="314">
        <f>IF(LEFT(C525,1)=" ",RIGHT(C525,LEN(C525)-1),C525)</f>
        <v/>
      </c>
      <c r="AT525" s="281">
        <f>_xlfn.CONCAT(B525,AS525,D525,E525)</f>
        <v/>
      </c>
    </row>
    <row r="526">
      <c r="A526" t="inlineStr">
        <is>
          <t>21/22</t>
        </is>
      </c>
      <c r="B526" t="inlineStr">
        <is>
          <t xml:space="preserve"> Vï¿½lkl</t>
        </is>
      </c>
      <c r="C526" t="inlineStr">
        <is>
          <t>Bash 86</t>
        </is>
      </c>
      <c r="D526" t="n">
        <v>164</v>
      </c>
      <c r="E526" t="inlineStr">
        <is>
          <t xml:space="preserve"> Unisex</t>
        </is>
      </c>
      <c r="F526" t="n">
        <v>164</v>
      </c>
      <c r="G526" t="n">
        <v>163</v>
      </c>
      <c r="H526" t="n">
        <v>118</v>
      </c>
      <c r="I526" t="n">
        <v>148</v>
      </c>
      <c r="J526" t="n">
        <v>119</v>
      </c>
      <c r="K526" t="n">
        <v>85</v>
      </c>
      <c r="L526" t="n">
        <v>109</v>
      </c>
      <c r="M526" t="n">
        <v>18</v>
      </c>
      <c r="N526" t="n">
        <v>1603</v>
      </c>
      <c r="O526" t="n">
        <v>0.97</v>
      </c>
      <c r="P526" t="n">
        <v>1560</v>
      </c>
      <c r="Q526" t="n">
        <v>159</v>
      </c>
      <c r="R526" t="n">
        <v>79</v>
      </c>
      <c r="S526" t="n">
        <v>42</v>
      </c>
      <c r="T526" t="n">
        <v>239</v>
      </c>
      <c r="U526" t="n">
        <v>40</v>
      </c>
      <c r="V526" t="n">
        <v>216</v>
      </c>
      <c r="W526" t="n">
        <v>0.96</v>
      </c>
      <c r="X526" t="n">
        <v>82</v>
      </c>
      <c r="Y526" t="n">
        <v>68</v>
      </c>
      <c r="Z526" t="n">
        <v>157</v>
      </c>
      <c r="AA526" t="n">
        <v>3</v>
      </c>
      <c r="AB526" t="n">
        <v>1.6</v>
      </c>
      <c r="AC526" t="inlineStr">
        <is>
          <t xml:space="preserve"> Freeski</t>
        </is>
      </c>
      <c r="AG526" t="inlineStr">
        <is>
          <t>Volkl Bash 86 2020</t>
        </is>
      </c>
      <c r="AH526" t="inlineStr">
        <is>
          <t>eBay - asogear</t>
        </is>
      </c>
      <c r="AI526" s="333" t="n">
        <v>319.99</v>
      </c>
      <c r="AJ526" t="inlineStr">
        <is>
          <t>https://tinyurl.com/yaer4f53</t>
        </is>
      </c>
      <c r="AK526" t="inlineStr">
        <is>
          <t>Volkl Bash 86 164cm</t>
        </is>
      </c>
      <c r="AL526" t="inlineStr">
        <is>
          <t>Sundance Ski and Board Shop</t>
        </is>
      </c>
      <c r="AM526" s="333" t="n">
        <v>320.68</v>
      </c>
      <c r="AN526" t="inlineStr">
        <is>
          <t>https://tinyurl.com/y8rltvqw</t>
        </is>
      </c>
      <c r="AO526" t="inlineStr">
        <is>
          <t>Volkl Bash 86 Skis</t>
        </is>
      </c>
      <c r="AP526" t="inlineStr">
        <is>
          <t>Aspen East</t>
        </is>
      </c>
      <c r="AQ526" s="333" t="n">
        <v>359</v>
      </c>
      <c r="AR526" t="inlineStr">
        <is>
          <t>https://tinyurl.com/y72zwmk9</t>
        </is>
      </c>
      <c r="AS526" s="314">
        <f>IF(LEFT(C526,1)=" ",RIGHT(C526,LEN(C526)-1),C526)</f>
        <v/>
      </c>
      <c r="AT526" s="281">
        <f>_xlfn.CONCAT(B526,AS526,D526,E526)</f>
        <v/>
      </c>
    </row>
    <row r="527">
      <c r="A527" t="inlineStr">
        <is>
          <t>21/22</t>
        </is>
      </c>
      <c r="B527" t="inlineStr">
        <is>
          <t xml:space="preserve"> Line</t>
        </is>
      </c>
      <c r="C527" t="inlineStr">
        <is>
          <t xml:space="preserve"> Outline</t>
        </is>
      </c>
      <c r="D527" t="n">
        <v>186</v>
      </c>
      <c r="E527" t="inlineStr">
        <is>
          <t xml:space="preserve"> Unisex</t>
        </is>
      </c>
      <c r="F527" t="n">
        <v>186</v>
      </c>
      <c r="G527" t="n">
        <v>184.1</v>
      </c>
      <c r="H527" t="n">
        <v>104</v>
      </c>
      <c r="I527" t="n">
        <v>152</v>
      </c>
      <c r="J527" t="n">
        <v>151</v>
      </c>
      <c r="K527" t="n">
        <v>116</v>
      </c>
      <c r="L527" t="n">
        <v>140</v>
      </c>
      <c r="M527" t="n">
        <v>19.4</v>
      </c>
      <c r="N527" t="n">
        <v>2017</v>
      </c>
      <c r="O527" t="n">
        <v>1.14</v>
      </c>
      <c r="P527" t="n">
        <v>2292</v>
      </c>
      <c r="Q527" t="n">
        <v>182</v>
      </c>
      <c r="R527" t="n">
        <v>82</v>
      </c>
      <c r="S527" t="n">
        <v>57</v>
      </c>
      <c r="T527" t="n">
        <v>400</v>
      </c>
      <c r="U527" t="n">
        <v>55</v>
      </c>
      <c r="V527" t="n">
        <v>400</v>
      </c>
      <c r="W527" t="n">
        <v>0.967</v>
      </c>
      <c r="X527" t="n">
        <v>170</v>
      </c>
      <c r="Y527" t="n">
        <v>152</v>
      </c>
      <c r="Z527" t="n">
        <v>229</v>
      </c>
      <c r="AA527" t="n">
        <v>5</v>
      </c>
      <c r="AB527" t="n">
        <v>4.6</v>
      </c>
      <c r="AC527" t="inlineStr">
        <is>
          <t xml:space="preserve"> Freeski</t>
        </is>
      </c>
      <c r="AD527" t="inlineStr">
        <is>
          <t xml:space="preserve"> Powder</t>
        </is>
      </c>
      <c r="AE527" t="inlineStr">
        <is>
          <t xml:space="preserve"> Touring</t>
        </is>
      </c>
      <c r="AG527" t="inlineStr">
        <is>
          <t>Line Outline Skis 186</t>
        </is>
      </c>
      <c r="AH527" t="inlineStr">
        <is>
          <t>The Locals Sale</t>
        </is>
      </c>
      <c r="AI527" s="333" t="n">
        <v>432</v>
      </c>
      <c r="AJ527" t="inlineStr">
        <is>
          <t>https://tinyurl.com/y8hqhd2r</t>
        </is>
      </c>
      <c r="AK527" t="inlineStr">
        <is>
          <t>'21 Line Outline Skis 186cm</t>
        </is>
      </c>
      <c r="AL527" t="inlineStr">
        <is>
          <t>Al's Ski Equipment Barn</t>
        </is>
      </c>
      <c r="AM527" s="333" t="n">
        <v>579.95</v>
      </c>
      <c r="AN527" t="inlineStr">
        <is>
          <t>https://tinyurl.com/y8ecbjfv</t>
        </is>
      </c>
      <c r="AO527" t="inlineStr">
        <is>
          <t>Line Outline White-Grey 186 Ski Men</t>
        </is>
      </c>
      <c r="AP527" t="inlineStr">
        <is>
          <t>! OutdoorXL.com</t>
        </is>
      </c>
      <c r="AQ527" s="333" t="n">
        <v>659.95</v>
      </c>
      <c r="AR527" t="inlineStr">
        <is>
          <t>https://tinyurl.com/y9p3bc5d</t>
        </is>
      </c>
      <c r="AS527" s="314">
        <f>IF(LEFT(C527,1)=" ",RIGHT(C527,LEN(C527)-1),C527)</f>
        <v/>
      </c>
      <c r="AT527" s="281">
        <f>_xlfn.CONCAT(B527,AS527,D527,E527)</f>
        <v/>
      </c>
    </row>
    <row r="528">
      <c r="A528" t="inlineStr">
        <is>
          <t>21/22</t>
        </is>
      </c>
      <c r="B528" t="inlineStr">
        <is>
          <t xml:space="preserve"> Armada</t>
        </is>
      </c>
      <c r="C528" t="inlineStr">
        <is>
          <t>Tracer 108</t>
        </is>
      </c>
      <c r="D528" t="n">
        <v>164</v>
      </c>
      <c r="E528" t="inlineStr">
        <is>
          <t xml:space="preserve"> Unisex</t>
        </is>
      </c>
      <c r="F528" t="n">
        <v>164</v>
      </c>
      <c r="G528" t="n">
        <v>163.2</v>
      </c>
      <c r="H528" t="n">
        <v>112</v>
      </c>
      <c r="I528" t="n">
        <v>132</v>
      </c>
      <c r="J528" t="n">
        <v>130</v>
      </c>
      <c r="K528" t="n">
        <v>107</v>
      </c>
      <c r="L528" t="n">
        <v>124</v>
      </c>
      <c r="M528" t="n">
        <v>17.6</v>
      </c>
      <c r="N528" t="n">
        <v>1465</v>
      </c>
      <c r="O528" t="n">
        <v>1.28</v>
      </c>
      <c r="P528" t="n">
        <v>1880</v>
      </c>
      <c r="Q528" t="n">
        <v>133</v>
      </c>
      <c r="R528" t="n">
        <v>90</v>
      </c>
      <c r="S528" t="n">
        <v>49</v>
      </c>
      <c r="T528" t="n">
        <v>348</v>
      </c>
      <c r="U528" t="n">
        <v>29</v>
      </c>
      <c r="V528" t="n">
        <v>165</v>
      </c>
      <c r="W528" t="n">
        <v>0.581</v>
      </c>
      <c r="X528" t="n">
        <v>167</v>
      </c>
      <c r="Y528" t="n">
        <v>147</v>
      </c>
      <c r="Z528" t="n">
        <v>181</v>
      </c>
      <c r="AA528" t="n">
        <v>5</v>
      </c>
      <c r="AB528" t="n">
        <v>9.6</v>
      </c>
      <c r="AC528" t="inlineStr">
        <is>
          <t xml:space="preserve"> Powder</t>
        </is>
      </c>
      <c r="AD528" t="inlineStr">
        <is>
          <t xml:space="preserve"> Touring</t>
        </is>
      </c>
      <c r="AE528" t="inlineStr">
        <is>
          <t xml:space="preserve"> Ultralight Touring</t>
        </is>
      </c>
      <c r="AG528" t="inlineStr">
        <is>
          <t>Armada Tracer 108 Skis 2022 - 164</t>
        </is>
      </c>
      <c r="AH528" t="inlineStr">
        <is>
          <t>Snowcountry.eu</t>
        </is>
      </c>
      <c r="AI528" s="333" t="n">
        <v>423.23</v>
      </c>
      <c r="AJ528" t="inlineStr">
        <is>
          <t>https://tinyurl.com/ybzj7u3m</t>
        </is>
      </c>
      <c r="AK528" t="inlineStr">
        <is>
          <t>Armada Tracer 108 Skis 2022 - 164</t>
        </is>
      </c>
      <c r="AL528" t="inlineStr">
        <is>
          <t>eBay - david110549</t>
        </is>
      </c>
      <c r="AM528" s="333" t="n">
        <v>599.96</v>
      </c>
      <c r="AN528" t="inlineStr">
        <is>
          <t>https://tinyurl.com/ydyt4ope</t>
        </is>
      </c>
      <c r="AO528" t="inlineStr">
        <is>
          <t>Armada Tracer 108 Skis 2022 - 164</t>
        </is>
      </c>
      <c r="AP528" t="inlineStr">
        <is>
          <t>SkiEssentials.com</t>
        </is>
      </c>
      <c r="AQ528" s="333" t="n">
        <v>599.96</v>
      </c>
      <c r="AR528" t="inlineStr">
        <is>
          <t>https://tinyurl.com/y8cz7flt</t>
        </is>
      </c>
      <c r="AS528" s="314">
        <f>IF(LEFT(C528,1)=" ",RIGHT(C528,LEN(C528)-1),C528)</f>
        <v/>
      </c>
      <c r="AT528" s="281">
        <f>_xlfn.CONCAT(B528,AS528,D528,E528)</f>
        <v/>
      </c>
    </row>
    <row r="529">
      <c r="A529" t="inlineStr">
        <is>
          <t>21/22</t>
        </is>
      </c>
      <c r="B529" t="inlineStr">
        <is>
          <t xml:space="preserve"> Nordica</t>
        </is>
      </c>
      <c r="C529" t="inlineStr">
        <is>
          <t>Santa Ana 88</t>
        </is>
      </c>
      <c r="D529" t="n">
        <v>165</v>
      </c>
      <c r="E529" t="inlineStr">
        <is>
          <t xml:space="preserve"> Women's</t>
        </is>
      </c>
      <c r="F529" t="n">
        <v>165</v>
      </c>
      <c r="G529" t="n">
        <v>164.5</v>
      </c>
      <c r="H529" t="n">
        <v>122</v>
      </c>
      <c r="I529" t="n">
        <v>138</v>
      </c>
      <c r="J529" t="n">
        <v>120</v>
      </c>
      <c r="K529" t="n">
        <v>87</v>
      </c>
      <c r="L529" t="n">
        <v>106</v>
      </c>
      <c r="M529" t="n">
        <v>15.7</v>
      </c>
      <c r="N529" t="n">
        <v>1783</v>
      </c>
      <c r="O529" t="n">
        <v>0.9</v>
      </c>
      <c r="P529" t="n">
        <v>1614</v>
      </c>
      <c r="Q529" t="n">
        <v>177</v>
      </c>
      <c r="R529" t="n">
        <v>89</v>
      </c>
      <c r="S529" t="n">
        <v>52</v>
      </c>
      <c r="T529" t="n">
        <v>253</v>
      </c>
      <c r="U529" t="n">
        <v>12</v>
      </c>
      <c r="V529" t="n">
        <v>168</v>
      </c>
      <c r="W529" t="n">
        <v>0.228999999999999</v>
      </c>
      <c r="X529" t="n">
        <v>128</v>
      </c>
      <c r="Y529" t="n">
        <v>141</v>
      </c>
      <c r="Z529" t="n">
        <v>125</v>
      </c>
      <c r="AA529" t="n">
        <v>9</v>
      </c>
      <c r="AB529" t="n">
        <v>8.300000000000001</v>
      </c>
      <c r="AC529" t="inlineStr">
        <is>
          <t xml:space="preserve"> Resort Freeride</t>
        </is>
      </c>
      <c r="AG529" t="inlineStr">
        <is>
          <t>Nordica 2022 Santa Ana 88 Women's Skis</t>
        </is>
      </c>
      <c r="AH529" t="inlineStr">
        <is>
          <t>AlpineShopVT.com</t>
        </is>
      </c>
      <c r="AI529" s="333" t="n">
        <v>479.99</v>
      </c>
      <c r="AJ529" t="inlineStr">
        <is>
          <t>https://tinyurl.com/y9xk6h3n</t>
        </is>
      </c>
      <c r="AK529" t="inlineStr">
        <is>
          <t>Nordica 2022 Santa Ana 88 Women's Skis</t>
        </is>
      </c>
      <c r="AL529" t="inlineStr">
        <is>
          <t xml:space="preserve">Aspen East </t>
        </is>
      </c>
      <c r="AM529" s="333" t="n">
        <v>519</v>
      </c>
      <c r="AN529" t="inlineStr">
        <is>
          <t>https://tinyurl.com/y9mtrpxu</t>
        </is>
      </c>
      <c r="AO529" t="inlineStr">
        <is>
          <t>'22 Nordica Santa Ana 88 Skis 165cm</t>
        </is>
      </c>
      <c r="AP529" t="inlineStr">
        <is>
          <t>Al's Ski Equipment Barn</t>
        </is>
      </c>
      <c r="AQ529" s="333" t="n">
        <v>529.95</v>
      </c>
      <c r="AR529" t="inlineStr">
        <is>
          <t>https://tinyurl.com/y9tbyh56</t>
        </is>
      </c>
      <c r="AS529" s="314">
        <f>IF(LEFT(C529,1)=" ",RIGHT(C529,LEN(C529)-1),C529)</f>
        <v/>
      </c>
      <c r="AT529" s="281">
        <f>_xlfn.CONCAT(B529,AS529,D529,E529)</f>
        <v/>
      </c>
    </row>
    <row r="530">
      <c r="A530" t="inlineStr">
        <is>
          <t>21/22</t>
        </is>
      </c>
      <c r="B530" t="inlineStr">
        <is>
          <t xml:space="preserve"> Blizzard</t>
        </is>
      </c>
      <c r="C530" t="inlineStr">
        <is>
          <t>Rustler 9</t>
        </is>
      </c>
      <c r="D530" t="n">
        <v>164</v>
      </c>
      <c r="E530" t="inlineStr">
        <is>
          <t xml:space="preserve"> Unisex</t>
        </is>
      </c>
      <c r="F530" t="n">
        <v>164</v>
      </c>
      <c r="G530" t="n">
        <v>162.8</v>
      </c>
      <c r="H530" t="n">
        <v>109</v>
      </c>
      <c r="I530" t="n">
        <v>135</v>
      </c>
      <c r="J530" t="n">
        <v>123</v>
      </c>
      <c r="K530" t="n">
        <v>91</v>
      </c>
      <c r="L530" t="n">
        <v>113</v>
      </c>
      <c r="M530" t="n">
        <v>14.6</v>
      </c>
      <c r="N530" t="n">
        <v>1794</v>
      </c>
      <c r="O530" t="n">
        <v>0.93</v>
      </c>
      <c r="P530" t="n">
        <v>1671</v>
      </c>
      <c r="Q530" t="n">
        <v>185</v>
      </c>
      <c r="R530" t="n">
        <v>89</v>
      </c>
      <c r="S530" t="n">
        <v>62</v>
      </c>
      <c r="T530" t="n">
        <v>307</v>
      </c>
      <c r="U530" t="n">
        <v>31</v>
      </c>
      <c r="V530" t="n">
        <v>229</v>
      </c>
      <c r="W530" t="n">
        <v>0.498</v>
      </c>
      <c r="X530" t="n">
        <v>149</v>
      </c>
      <c r="Y530" t="n">
        <v>134</v>
      </c>
      <c r="Z530" t="n">
        <v>158</v>
      </c>
      <c r="AA530" t="n">
        <v>3</v>
      </c>
      <c r="AB530" t="n">
        <v>7.2</v>
      </c>
      <c r="AC530" t="inlineStr">
        <is>
          <t xml:space="preserve"> Resort Freeride</t>
        </is>
      </c>
      <c r="AG530" t="inlineStr">
        <is>
          <t>Blizzard Rustler 9 Skis</t>
        </is>
      </c>
      <c r="AH530" t="inlineStr">
        <is>
          <t>Snowcountry.eu</t>
        </is>
      </c>
      <c r="AI530" s="333" t="n">
        <v>322.69</v>
      </c>
      <c r="AJ530" t="inlineStr">
        <is>
          <t>https://tinyurl.com/y7ew4t6z</t>
        </is>
      </c>
      <c r="AK530" t="inlineStr">
        <is>
          <t>Blizzard Rustler 9 Skis</t>
        </is>
      </c>
      <c r="AL530" t="inlineStr">
        <is>
          <t>Powder7 Ski Shop</t>
        </is>
      </c>
      <c r="AM530" s="333" t="n">
        <v>529.9299999999999</v>
      </c>
      <c r="AN530" t="inlineStr">
        <is>
          <t>https://tinyurl.com/y6ud4x3m</t>
        </is>
      </c>
      <c r="AO530" t="inlineStr">
        <is>
          <t>Blizzard Rustler 9 Skis</t>
        </is>
      </c>
      <c r="AP530" t="inlineStr">
        <is>
          <t>The-House.com</t>
        </is>
      </c>
      <c r="AQ530" s="333" t="n">
        <v>599.95</v>
      </c>
      <c r="AR530" t="inlineStr">
        <is>
          <t>https://tinyurl.com/y96rwocx</t>
        </is>
      </c>
      <c r="AS530" s="314">
        <f>IF(LEFT(C530,1)=" ",RIGHT(C530,LEN(C530)-1),C530)</f>
        <v/>
      </c>
      <c r="AT530" s="281">
        <f>_xlfn.CONCAT(B530,AS530,D530,E530)</f>
        <v/>
      </c>
    </row>
    <row r="531">
      <c r="A531" t="inlineStr">
        <is>
          <t>21/22</t>
        </is>
      </c>
      <c r="B531" t="inlineStr">
        <is>
          <t xml:space="preserve"> Atomic</t>
        </is>
      </c>
      <c r="C531" t="inlineStr">
        <is>
          <t>Redster X5</t>
        </is>
      </c>
      <c r="D531" t="n">
        <v>154</v>
      </c>
      <c r="E531" t="inlineStr">
        <is>
          <t xml:space="preserve"> Unisex</t>
        </is>
      </c>
      <c r="F531" t="n">
        <v>154</v>
      </c>
      <c r="G531" t="n">
        <v>153.4</v>
      </c>
      <c r="H531" t="n">
        <v>133</v>
      </c>
      <c r="I531" t="n">
        <v>139</v>
      </c>
      <c r="J531" t="n">
        <v>117</v>
      </c>
      <c r="K531" t="n">
        <v>69</v>
      </c>
      <c r="L531" t="n">
        <v>100</v>
      </c>
      <c r="M531" t="n">
        <v>11.8</v>
      </c>
      <c r="N531" t="n">
        <v>1659</v>
      </c>
      <c r="O531" t="n">
        <v>0.78</v>
      </c>
      <c r="P531" t="n">
        <v>1290</v>
      </c>
      <c r="Q531" t="n">
        <v>165</v>
      </c>
      <c r="R531" t="n">
        <v>88</v>
      </c>
      <c r="S531" t="n">
        <v>36</v>
      </c>
      <c r="T531" t="n">
        <v>150</v>
      </c>
      <c r="U531" t="n">
        <v>3</v>
      </c>
      <c r="V531" t="n">
        <v>52</v>
      </c>
      <c r="W531" t="n">
        <v>0.092</v>
      </c>
      <c r="X531" t="n">
        <v>88</v>
      </c>
      <c r="Y531" t="n">
        <v>59</v>
      </c>
      <c r="Z531" t="n">
        <v>62</v>
      </c>
      <c r="AA531" t="n">
        <v>7</v>
      </c>
      <c r="AB531" t="n">
        <v>12.8</v>
      </c>
      <c r="AC531" t="inlineStr">
        <is>
          <t xml:space="preserve"> On-Piste Carving</t>
        </is>
      </c>
      <c r="AS531" s="314">
        <f>IF(LEFT(C531,1)=" ",RIGHT(C531,LEN(C531)-1),C531)</f>
        <v/>
      </c>
      <c r="AT531" s="281">
        <f>_xlfn.CONCAT(B531,AS531,D531,E531)</f>
        <v/>
      </c>
    </row>
    <row r="532">
      <c r="A532" t="inlineStr">
        <is>
          <t>21/22</t>
        </is>
      </c>
      <c r="B532" t="inlineStr">
        <is>
          <t xml:space="preserve"> Elan</t>
        </is>
      </c>
      <c r="C532" t="inlineStr">
        <is>
          <t>Amphibio 14 Ti</t>
        </is>
      </c>
      <c r="D532" t="n">
        <v>168</v>
      </c>
      <c r="E532" t="inlineStr">
        <is>
          <t xml:space="preserve"> Unisex</t>
        </is>
      </c>
      <c r="F532" t="n">
        <v>168</v>
      </c>
      <c r="G532" t="n">
        <v>167.3</v>
      </c>
      <c r="H532" t="n">
        <v>146</v>
      </c>
      <c r="I532" t="n">
        <v>153</v>
      </c>
      <c r="J532" t="n">
        <v>124</v>
      </c>
      <c r="K532" t="n">
        <v>75</v>
      </c>
      <c r="L532" t="n">
        <v>103</v>
      </c>
      <c r="M532" t="n">
        <v>14.8</v>
      </c>
      <c r="N532" t="n">
        <v>2032</v>
      </c>
      <c r="O532" t="n">
        <v>0.74</v>
      </c>
      <c r="P532" t="n">
        <v>1498</v>
      </c>
      <c r="Q532" t="n">
        <v>208</v>
      </c>
      <c r="R532" t="n">
        <v>93</v>
      </c>
      <c r="S532" t="n">
        <v>31</v>
      </c>
      <c r="T532" t="n">
        <v>144</v>
      </c>
      <c r="U532" t="n">
        <v>10</v>
      </c>
      <c r="V532" t="n">
        <v>72</v>
      </c>
      <c r="W532" t="n">
        <v>0.322</v>
      </c>
      <c r="X532" t="n">
        <v>85</v>
      </c>
      <c r="Y532" t="n">
        <v>60</v>
      </c>
      <c r="Z532" t="n">
        <v>59</v>
      </c>
      <c r="AA532" t="n">
        <v>11</v>
      </c>
      <c r="AB532" t="n">
        <v>9.4</v>
      </c>
      <c r="AC532" t="inlineStr">
        <is>
          <t xml:space="preserve"> On-Piste Carving</t>
        </is>
      </c>
      <c r="AG532" t="inlineStr">
        <is>
          <t>Elan Amphibio 14 Ti + EMX 11 Fusionx 21/22</t>
        </is>
      </c>
      <c r="AH532" t="inlineStr">
        <is>
          <t>! OutdoorXL.com</t>
        </is>
      </c>
      <c r="AI532" s="333" t="n">
        <v>424.95</v>
      </c>
      <c r="AJ532" t="inlineStr">
        <is>
          <t>https://tinyurl.com/y8utm7ht</t>
        </is>
      </c>
      <c r="AK532" t="inlineStr">
        <is>
          <t>Elan Waveflex 78 Ti Skis With Elx 12.0 Bindings Green 168cm 2012</t>
        </is>
      </c>
      <c r="AL532" t="inlineStr">
        <is>
          <t>eBay - abuv</t>
        </is>
      </c>
      <c r="AM532" s="333" t="n">
        <v>329.99</v>
      </c>
      <c r="AN532" t="inlineStr">
        <is>
          <t>https://tinyurl.com/y7safk9l</t>
        </is>
      </c>
      <c r="AO532" t="inlineStr">
        <is>
          <t>Elan Wingman 78 TI PS ELS 11.0 168cm</t>
        </is>
      </c>
      <c r="AP532" t="inlineStr">
        <is>
          <t>Sundance Ski and Board Shop</t>
        </is>
      </c>
      <c r="AQ532" s="333" t="n">
        <v>561.2</v>
      </c>
      <c r="AR532" t="inlineStr">
        <is>
          <t>https://tinyurl.com/yawktleg</t>
        </is>
      </c>
      <c r="AS532" s="314">
        <f>IF(LEFT(C532,1)=" ",RIGHT(C532,LEN(C532)-1),C532)</f>
        <v/>
      </c>
      <c r="AT532" s="281">
        <f>_xlfn.CONCAT(B532,AS532,D532,E532)</f>
        <v/>
      </c>
    </row>
    <row r="533">
      <c r="A533" t="inlineStr">
        <is>
          <t>21/22</t>
        </is>
      </c>
      <c r="B533" t="inlineStr">
        <is>
          <t xml:space="preserve"> Icelantic</t>
        </is>
      </c>
      <c r="C533" t="inlineStr">
        <is>
          <t>Nomad 105</t>
        </is>
      </c>
      <c r="D533" t="n">
        <v>181</v>
      </c>
      <c r="E533" t="inlineStr">
        <is>
          <t xml:space="preserve"> Unisex</t>
        </is>
      </c>
      <c r="F533" t="n">
        <v>181</v>
      </c>
      <c r="G533" t="n">
        <v>178.5</v>
      </c>
      <c r="H533" t="n">
        <v>109</v>
      </c>
      <c r="I533" t="n">
        <v>153</v>
      </c>
      <c r="J533" t="n">
        <v>145</v>
      </c>
      <c r="K533" t="n">
        <v>111</v>
      </c>
      <c r="L533" t="n">
        <v>135</v>
      </c>
      <c r="M533" t="n">
        <v>19.1</v>
      </c>
      <c r="N533" t="n">
        <v>2022</v>
      </c>
      <c r="O533" t="n">
        <v>1.08</v>
      </c>
      <c r="P533" t="n">
        <v>2176</v>
      </c>
      <c r="Q533" t="n">
        <v>229</v>
      </c>
      <c r="R533" t="n">
        <v>113</v>
      </c>
      <c r="S533" t="n">
        <v>60</v>
      </c>
      <c r="T533" t="n">
        <v>375</v>
      </c>
      <c r="U533" t="n">
        <v>56</v>
      </c>
      <c r="V533" t="n">
        <v>323</v>
      </c>
      <c r="W533" t="n">
        <v>0.9419999999999999</v>
      </c>
      <c r="X533" t="n">
        <v>128</v>
      </c>
      <c r="Y533" t="n">
        <v>128</v>
      </c>
      <c r="Z533" t="n">
        <v>248</v>
      </c>
      <c r="AA533" t="n">
        <v>1</v>
      </c>
      <c r="AB533" t="n">
        <v>9.699999999999999</v>
      </c>
      <c r="AC533" t="inlineStr">
        <is>
          <t xml:space="preserve"> Freeski</t>
        </is>
      </c>
      <c r="AD533" t="inlineStr">
        <is>
          <t xml:space="preserve"> Powder</t>
        </is>
      </c>
      <c r="AE533" t="inlineStr">
        <is>
          <t xml:space="preserve"> Touring</t>
        </is>
      </c>
      <c r="AG533" t="inlineStr">
        <is>
          <t>Icelantic Nomad 105 181cm</t>
        </is>
      </c>
      <c r="AH533" t="inlineStr">
        <is>
          <t>eBay</t>
        </is>
      </c>
      <c r="AI533" s="333" t="n">
        <v>300</v>
      </c>
      <c r="AJ533" t="inlineStr">
        <is>
          <t>https://tinyurl.com/y84utj3h</t>
        </is>
      </c>
      <c r="AK533" t="inlineStr">
        <is>
          <t>Icelantic Rocky Mountain Nomad 105</t>
        </is>
      </c>
      <c r="AL533" t="inlineStr">
        <is>
          <t>Aspen Ski and Board</t>
        </is>
      </c>
      <c r="AM533" s="333" t="n">
        <v>561.75</v>
      </c>
      <c r="AN533" t="inlineStr">
        <is>
          <t>https://tinyurl.com/ya3m3yfo</t>
        </is>
      </c>
      <c r="AO533" t="inlineStr">
        <is>
          <t>Icelantic Nomad 105 Skis 2022 181cm</t>
        </is>
      </c>
      <c r="AP533" t="inlineStr">
        <is>
          <t>Glacier Ski Shop</t>
        </is>
      </c>
      <c r="AQ533" s="333" t="n">
        <v>585</v>
      </c>
      <c r="AR533" t="inlineStr">
        <is>
          <t>https://tinyurl.com/y7hmetyk</t>
        </is>
      </c>
      <c r="AS533" s="314">
        <f>IF(LEFT(C533,1)=" ",RIGHT(C533,LEN(C533)-1),C533)</f>
        <v/>
      </c>
      <c r="AT533" s="281">
        <f>_xlfn.CONCAT(B533,AS533,D533,E533)</f>
        <v/>
      </c>
    </row>
    <row r="534">
      <c r="A534" t="inlineStr">
        <is>
          <t>21/22</t>
        </is>
      </c>
      <c r="B534" t="inlineStr">
        <is>
          <t xml:space="preserve"> Icelantic</t>
        </is>
      </c>
      <c r="C534" t="inlineStr">
        <is>
          <t>Nomad 95</t>
        </is>
      </c>
      <c r="D534" t="n">
        <v>181</v>
      </c>
      <c r="E534" t="inlineStr">
        <is>
          <t xml:space="preserve"> Unisex</t>
        </is>
      </c>
      <c r="F534" t="n">
        <v>181</v>
      </c>
      <c r="G534" t="n">
        <v>178.6</v>
      </c>
      <c r="H534" t="n">
        <v>116</v>
      </c>
      <c r="I534" t="n">
        <v>155</v>
      </c>
      <c r="J534" t="n">
        <v>130</v>
      </c>
      <c r="K534" t="n">
        <v>95</v>
      </c>
      <c r="L534" t="n">
        <v>120</v>
      </c>
      <c r="M534" t="n">
        <v>19</v>
      </c>
      <c r="N534" t="n">
        <v>1662</v>
      </c>
      <c r="O534" t="n">
        <v>1.14</v>
      </c>
      <c r="P534" t="n">
        <v>1889</v>
      </c>
      <c r="Q534" t="n">
        <v>191</v>
      </c>
      <c r="R534" t="n">
        <v>75</v>
      </c>
      <c r="S534" t="n">
        <v>55</v>
      </c>
      <c r="T534" t="n">
        <v>338</v>
      </c>
      <c r="U534" t="n">
        <v>51</v>
      </c>
      <c r="V534" t="n">
        <v>290</v>
      </c>
      <c r="W534" t="n">
        <v>0.914</v>
      </c>
      <c r="X534" t="n">
        <v>112</v>
      </c>
      <c r="Y534" t="n">
        <v>128</v>
      </c>
      <c r="Z534" t="n">
        <v>226</v>
      </c>
      <c r="AA534" t="n">
        <v>4</v>
      </c>
      <c r="AB534" t="n">
        <v>9</v>
      </c>
      <c r="AC534" t="inlineStr">
        <is>
          <t xml:space="preserve"> Freeski</t>
        </is>
      </c>
      <c r="AD534" t="inlineStr">
        <is>
          <t xml:space="preserve"> Touring</t>
        </is>
      </c>
      <c r="AG534" t="inlineStr">
        <is>
          <t>Icelantic Nomad 95 Skis 2022 181cm</t>
        </is>
      </c>
      <c r="AH534" t="inlineStr">
        <is>
          <t>Glacier Ski Shop</t>
        </is>
      </c>
      <c r="AI534" s="333" t="n">
        <v>525</v>
      </c>
      <c r="AJ534" t="inlineStr">
        <is>
          <t>https://tinyurl.com/ybrj3fw3</t>
        </is>
      </c>
      <c r="AK534" t="inlineStr">
        <is>
          <t>Icelantic Nomad 95 Skis Â· 2022 Â· 181 cm</t>
        </is>
      </c>
      <c r="AL534" t="inlineStr">
        <is>
          <t>Curated</t>
        </is>
      </c>
      <c r="AM534" s="333" t="n">
        <v>561</v>
      </c>
      <c r="AN534" t="inlineStr">
        <is>
          <t>https://tinyurl.com/ydxjftr7</t>
        </is>
      </c>
      <c r="AO534" t="inlineStr">
        <is>
          <t>Icelantic Nomad 95 Skis Â· 2022 Â· 181 cm</t>
        </is>
      </c>
      <c r="AP534" t="inlineStr">
        <is>
          <t>Peter Glenn Ski &amp; Sports</t>
        </is>
      </c>
      <c r="AQ534" s="333" t="n">
        <v>561.75</v>
      </c>
      <c r="AR534" t="inlineStr">
        <is>
          <t>https://tinyurl.com/yce9sked</t>
        </is>
      </c>
      <c r="AS534" s="314">
        <f>IF(LEFT(C534,1)=" ",RIGHT(C534,LEN(C534)-1),C534)</f>
        <v/>
      </c>
      <c r="AT534" s="281">
        <f>_xlfn.CONCAT(B534,AS534,D534,E534)</f>
        <v/>
      </c>
    </row>
    <row r="535">
      <c r="A535" t="inlineStr">
        <is>
          <t>21/22</t>
        </is>
      </c>
      <c r="B535" t="inlineStr">
        <is>
          <t xml:space="preserve"> Atomic</t>
        </is>
      </c>
      <c r="C535" t="inlineStr">
        <is>
          <t>Vantage 82 Ti</t>
        </is>
      </c>
      <c r="D535" t="n">
        <v>159</v>
      </c>
      <c r="E535" t="inlineStr">
        <is>
          <t xml:space="preserve"> Unisex</t>
        </is>
      </c>
      <c r="F535" t="n">
        <v>159</v>
      </c>
      <c r="G535" t="n">
        <v>158.4</v>
      </c>
      <c r="H535" t="n">
        <v>130</v>
      </c>
      <c r="I535" t="n">
        <v>143</v>
      </c>
      <c r="J535" t="n">
        <v>118</v>
      </c>
      <c r="K535" t="n">
        <v>79</v>
      </c>
      <c r="L535" t="n">
        <v>104</v>
      </c>
      <c r="M535" t="n">
        <v>14.8</v>
      </c>
      <c r="N535" t="n">
        <v>1506</v>
      </c>
      <c r="O535" t="n">
        <v>0.97</v>
      </c>
      <c r="P535" t="n">
        <v>1456</v>
      </c>
      <c r="Q535" t="n">
        <v>184</v>
      </c>
      <c r="R535" t="n">
        <v>75</v>
      </c>
      <c r="S535" t="n">
        <v>45</v>
      </c>
      <c r="T535" t="n">
        <v>199</v>
      </c>
      <c r="U535" t="n">
        <v>6</v>
      </c>
      <c r="V535" t="n">
        <v>89</v>
      </c>
      <c r="W535" t="n">
        <v>0.132</v>
      </c>
      <c r="X535" t="n">
        <v>86</v>
      </c>
      <c r="Y535" t="n">
        <v>69</v>
      </c>
      <c r="Z535" t="n">
        <v>113</v>
      </c>
      <c r="AA535" t="n">
        <v>5</v>
      </c>
      <c r="AB535" t="n">
        <v>11</v>
      </c>
      <c r="AC535" t="inlineStr">
        <is>
          <t xml:space="preserve"> On-Piste Carving</t>
        </is>
      </c>
      <c r="AG535" t="inlineStr">
        <is>
          <t>Atomic Vantage 82 Ti Skis w/ M 12 GW Bindings</t>
        </is>
      </c>
      <c r="AH535" t="inlineStr">
        <is>
          <t>The-House.com</t>
        </is>
      </c>
      <c r="AI535" s="333" t="n">
        <v>639.99</v>
      </c>
      <c r="AJ535" t="inlineStr">
        <is>
          <t>https://tinyurl.com/yboq4vfv</t>
        </is>
      </c>
      <c r="AK535" t="inlineStr">
        <is>
          <t>Atomic Vantage x 80 CTI Skis with Warden 11 Bindings - Women's</t>
        </is>
      </c>
      <c r="AL535" t="inlineStr">
        <is>
          <t>Powder7 Ski Shop</t>
        </is>
      </c>
      <c r="AM535" s="333" t="n">
        <v>269.99</v>
      </c>
      <c r="AN535" t="inlineStr">
        <is>
          <t>https://tinyurl.com/yd3ceeac</t>
        </is>
      </c>
      <c r="AO535" t="inlineStr">
        <is>
          <t>'19 Atomic Vantage 107 C 159cm</t>
        </is>
      </c>
      <c r="AP535" t="inlineStr">
        <is>
          <t>Al's Ski Equipment Barn</t>
        </is>
      </c>
      <c r="AQ535" s="333" t="n">
        <v>399.95</v>
      </c>
      <c r="AR535" t="inlineStr">
        <is>
          <t>https://tinyurl.com/y7zorx7r</t>
        </is>
      </c>
      <c r="AS535" s="314">
        <f>IF(LEFT(C535,1)=" ",RIGHT(C535,LEN(C535)-1),C535)</f>
        <v/>
      </c>
      <c r="AT535" s="281">
        <f>_xlfn.CONCAT(B535,AS535,D535,E535)</f>
        <v/>
      </c>
    </row>
    <row r="536">
      <c r="A536" t="inlineStr">
        <is>
          <t>21/22</t>
        </is>
      </c>
      <c r="B536" t="inlineStr">
        <is>
          <t xml:space="preserve"> Dynastar</t>
        </is>
      </c>
      <c r="C536" t="inlineStr">
        <is>
          <t>M-Tour 87 Ca</t>
        </is>
      </c>
      <c r="D536" t="n">
        <v>179</v>
      </c>
      <c r="E536" t="inlineStr">
        <is>
          <t xml:space="preserve"> Unisex</t>
        </is>
      </c>
      <c r="F536" t="n">
        <v>179</v>
      </c>
      <c r="G536" t="n">
        <v>176.4</v>
      </c>
      <c r="H536" t="n">
        <v>138</v>
      </c>
      <c r="I536" t="n">
        <v>132</v>
      </c>
      <c r="J536" t="n">
        <v>127</v>
      </c>
      <c r="K536" t="n">
        <v>86</v>
      </c>
      <c r="L536" t="n">
        <v>102</v>
      </c>
      <c r="M536" t="n">
        <v>15.4</v>
      </c>
      <c r="N536" t="n">
        <v>1272</v>
      </c>
      <c r="O536" t="n">
        <v>1.36</v>
      </c>
      <c r="P536" t="n">
        <v>1734</v>
      </c>
      <c r="Q536" t="n">
        <v>236</v>
      </c>
      <c r="R536" t="n">
        <v>74</v>
      </c>
      <c r="S536" t="n">
        <v>72</v>
      </c>
      <c r="T536" t="n">
        <v>339</v>
      </c>
      <c r="U536" t="n">
        <v>5</v>
      </c>
      <c r="V536" t="n">
        <v>49</v>
      </c>
      <c r="W536" t="n">
        <v>0.068</v>
      </c>
      <c r="X536" t="n">
        <v>208</v>
      </c>
      <c r="Y536" t="n">
        <v>232</v>
      </c>
      <c r="Z536" t="n">
        <v>131</v>
      </c>
      <c r="AA536" t="n">
        <v>6</v>
      </c>
      <c r="AB536" t="n">
        <v>12.9</v>
      </c>
      <c r="AC536" t="inlineStr">
        <is>
          <t xml:space="preserve"> Touring</t>
        </is>
      </c>
      <c r="AD536" t="inlineStr">
        <is>
          <t xml:space="preserve"> Ultralight Touring</t>
        </is>
      </c>
      <c r="AG536" t="inlineStr">
        <is>
          <t>Dynastar M-Free 99 Skis 2022</t>
        </is>
      </c>
      <c r="AH536" t="inlineStr">
        <is>
          <t>Snowcountry.eu</t>
        </is>
      </c>
      <c r="AI536" s="333" t="n">
        <v>367.9</v>
      </c>
      <c r="AJ536" t="inlineStr">
        <is>
          <t>https://tinyurl.com/y9e74o9b</t>
        </is>
      </c>
      <c r="AK536" t="inlineStr">
        <is>
          <t>Dynastar M-Free 99 Skis 2022</t>
        </is>
      </c>
      <c r="AL536" t="inlineStr">
        <is>
          <t>Next Adventure</t>
        </is>
      </c>
      <c r="AM536" s="333" t="n">
        <v>419.97</v>
      </c>
      <c r="AN536" t="inlineStr">
        <is>
          <t>https://tinyurl.com/yapqe73p</t>
        </is>
      </c>
      <c r="AO536" t="inlineStr">
        <is>
          <t>Dynastar Speedzone 4x4 82 Pro + SPX 12 Konect GW 19/20"</t>
        </is>
      </c>
      <c r="AP536" t="inlineStr">
        <is>
          <t>Lone Pine Gear Exchange</t>
        </is>
      </c>
      <c r="AQ536" s="333" t="n">
        <v>459</v>
      </c>
      <c r="AR536" t="inlineStr">
        <is>
          <t>https://tinyurl.com/y8ekw2zg</t>
        </is>
      </c>
      <c r="AS536" s="314">
        <f>IF(LEFT(C536,1)=" ",RIGHT(C536,LEN(C536)-1),C536)</f>
        <v/>
      </c>
      <c r="AT536" s="281">
        <f>_xlfn.CONCAT(B536,AS536,D536,E536)</f>
        <v/>
      </c>
    </row>
    <row r="537">
      <c r="A537" t="inlineStr">
        <is>
          <t>21/22</t>
        </is>
      </c>
      <c r="B537" t="inlineStr">
        <is>
          <t xml:space="preserve"> Nordica</t>
        </is>
      </c>
      <c r="C537" t="inlineStr">
        <is>
          <t>Santa Ana 93</t>
        </is>
      </c>
      <c r="D537" t="n">
        <v>151</v>
      </c>
      <c r="E537" t="inlineStr">
        <is>
          <t xml:space="preserve"> Women's</t>
        </is>
      </c>
      <c r="F537" t="n">
        <v>151</v>
      </c>
      <c r="G537" t="n">
        <v>150.3</v>
      </c>
      <c r="H537" t="n">
        <v>106</v>
      </c>
      <c r="I537" t="n">
        <v>123</v>
      </c>
      <c r="J537" t="n">
        <v>125</v>
      </c>
      <c r="K537" t="n">
        <v>92</v>
      </c>
      <c r="L537" t="n">
        <v>110</v>
      </c>
      <c r="M537" t="n">
        <v>13.1</v>
      </c>
      <c r="N537" t="n">
        <v>1607</v>
      </c>
      <c r="O537" t="n">
        <v>0.96</v>
      </c>
      <c r="P537" t="n">
        <v>1547</v>
      </c>
      <c r="Q537" t="n">
        <v>148</v>
      </c>
      <c r="R537" t="n">
        <v>84</v>
      </c>
      <c r="S537" t="n">
        <v>53</v>
      </c>
      <c r="T537" t="n">
        <v>253</v>
      </c>
      <c r="U537" t="n">
        <v>15</v>
      </c>
      <c r="V537" t="n">
        <v>190</v>
      </c>
      <c r="W537" t="n">
        <v>0.284</v>
      </c>
      <c r="X537" t="n">
        <v>127</v>
      </c>
      <c r="Y537" t="n">
        <v>145</v>
      </c>
      <c r="Z537" t="n">
        <v>127</v>
      </c>
      <c r="AA537" t="n">
        <v>6</v>
      </c>
      <c r="AB537" t="n">
        <v>8.6</v>
      </c>
      <c r="AC537" t="inlineStr">
        <is>
          <t xml:space="preserve"> Resort Freeride</t>
        </is>
      </c>
      <c r="AG537" t="inlineStr">
        <is>
          <t>Nordica Santa Ana 93 Skis - Women's 2022</t>
        </is>
      </c>
      <c r="AH537" t="inlineStr">
        <is>
          <t>Fox Chapel Ski and Board</t>
        </is>
      </c>
      <c r="AI537" s="333" t="n">
        <v>449.97</v>
      </c>
      <c r="AJ537" t="inlineStr">
        <is>
          <t>https://tinyurl.com/y8pwskzb</t>
        </is>
      </c>
      <c r="AK537" t="inlineStr">
        <is>
          <t>Nordica Santa Ana 93 Skis - Women's 2022</t>
        </is>
      </c>
      <c r="AL537" t="inlineStr">
        <is>
          <t>evo.com</t>
        </is>
      </c>
      <c r="AM537" s="333" t="n">
        <v>519.99</v>
      </c>
      <c r="AN537" t="inlineStr">
        <is>
          <t>https://tinyurl.com/yctmctcq</t>
        </is>
      </c>
      <c r="AO537" t="inlineStr">
        <is>
          <t>Nordica Santa Ana 93 Skis - Women's 2022</t>
        </is>
      </c>
      <c r="AP537" t="inlineStr">
        <is>
          <t>AlpineShopVT.com</t>
        </is>
      </c>
      <c r="AQ537" s="333" t="n">
        <v>519.99</v>
      </c>
      <c r="AR537" t="inlineStr">
        <is>
          <t>https://tinyurl.com/ybyqh2mv</t>
        </is>
      </c>
      <c r="AS537" s="314">
        <f>IF(LEFT(C537,1)=" ",RIGHT(C537,LEN(C537)-1),C537)</f>
        <v/>
      </c>
      <c r="AT537" s="281">
        <f>_xlfn.CONCAT(B537,AS537,D537,E537)</f>
        <v/>
      </c>
    </row>
    <row r="538">
      <c r="A538" t="inlineStr">
        <is>
          <t>21/22</t>
        </is>
      </c>
      <c r="B538" t="inlineStr">
        <is>
          <t xml:space="preserve"> Armada</t>
        </is>
      </c>
      <c r="C538" t="inlineStr">
        <is>
          <t>ARV 96</t>
        </is>
      </c>
      <c r="D538" t="n">
        <v>163</v>
      </c>
      <c r="E538" t="inlineStr">
        <is>
          <t xml:space="preserve"> Unisex</t>
        </is>
      </c>
      <c r="F538" t="n">
        <v>163</v>
      </c>
      <c r="G538" t="n">
        <v>161.6</v>
      </c>
      <c r="H538" t="n">
        <v>117</v>
      </c>
      <c r="I538" t="n">
        <v>133</v>
      </c>
      <c r="J538" t="n">
        <v>122</v>
      </c>
      <c r="K538" t="n">
        <v>95</v>
      </c>
      <c r="L538" t="n">
        <v>114</v>
      </c>
      <c r="M538" t="n">
        <v>17.7</v>
      </c>
      <c r="N538" t="n">
        <v>1627</v>
      </c>
      <c r="O538" t="n">
        <v>1.03</v>
      </c>
      <c r="P538" t="n">
        <v>1675</v>
      </c>
      <c r="Q538" t="n">
        <v>141</v>
      </c>
      <c r="R538" t="n">
        <v>86</v>
      </c>
      <c r="S538" t="n">
        <v>48</v>
      </c>
      <c r="T538" t="n">
        <v>237</v>
      </c>
      <c r="U538" t="n">
        <v>39</v>
      </c>
      <c r="V538" t="n">
        <v>213</v>
      </c>
      <c r="W538" t="n">
        <v>0.8129999999999999</v>
      </c>
      <c r="X538" t="n">
        <v>133</v>
      </c>
      <c r="Y538" t="n">
        <v>155</v>
      </c>
      <c r="Z538" t="n">
        <v>104</v>
      </c>
      <c r="AA538" t="n">
        <v>9</v>
      </c>
      <c r="AB538" t="n">
        <v>4.7</v>
      </c>
      <c r="AC538" t="inlineStr">
        <is>
          <t xml:space="preserve"> Resort Freeride</t>
        </is>
      </c>
      <c r="AD538" t="inlineStr">
        <is>
          <t xml:space="preserve"> Freeski</t>
        </is>
      </c>
      <c r="AG538" t="inlineStr">
        <is>
          <t>Armada ARV 96 Ti Zero Skis 163cm 2020</t>
        </is>
      </c>
      <c r="AH538" t="inlineStr">
        <is>
          <t>Powder7 Ski Shop</t>
        </is>
      </c>
      <c r="AI538" s="333" t="n">
        <v>449.95</v>
      </c>
      <c r="AJ538" t="inlineStr">
        <is>
          <t>https://tinyurl.com/yd3xyuwv</t>
        </is>
      </c>
      <c r="AK538" t="inlineStr">
        <is>
          <t>Armada ARV 96 Skis 2022</t>
        </is>
      </c>
      <c r="AL538" t="inlineStr">
        <is>
          <t>Blue Tomato</t>
        </is>
      </c>
      <c r="AM538" s="333" t="n">
        <v>461.83</v>
      </c>
      <c r="AN538" t="inlineStr">
        <is>
          <t>https://tinyurl.com/y7ev8nah</t>
        </is>
      </c>
      <c r="AO538" t="inlineStr">
        <is>
          <t>ARMADA ARV 96 2022</t>
        </is>
      </c>
      <c r="AP538" t="inlineStr">
        <is>
          <t>Eskimo Ski &amp; Board Shop</t>
        </is>
      </c>
      <c r="AQ538" s="333" t="n">
        <v>499.95</v>
      </c>
      <c r="AR538" t="inlineStr">
        <is>
          <t>https://tinyurl.com/y7hzfj2w</t>
        </is>
      </c>
      <c r="AS538" s="314">
        <f>IF(LEFT(C538,1)=" ",RIGHT(C538,LEN(C538)-1),C538)</f>
        <v/>
      </c>
      <c r="AT538" s="281">
        <f>_xlfn.CONCAT(B538,AS538,D538,E538)</f>
        <v/>
      </c>
    </row>
    <row r="539">
      <c r="A539" t="inlineStr">
        <is>
          <t>21/22</t>
        </is>
      </c>
      <c r="B539" t="inlineStr">
        <is>
          <t xml:space="preserve"> Black Crows</t>
        </is>
      </c>
      <c r="C539" t="inlineStr">
        <is>
          <t xml:space="preserve"> Camox Freebird</t>
        </is>
      </c>
      <c r="D539" t="n">
        <v>166.2</v>
      </c>
      <c r="E539" t="inlineStr">
        <is>
          <t xml:space="preserve"> Unisex</t>
        </is>
      </c>
      <c r="F539" t="n">
        <v>166.2</v>
      </c>
      <c r="G539" t="n">
        <v>165.4</v>
      </c>
      <c r="H539" t="n">
        <v>127</v>
      </c>
      <c r="I539" t="n">
        <v>139</v>
      </c>
      <c r="J539" t="n">
        <v>132</v>
      </c>
      <c r="K539" t="n">
        <v>95</v>
      </c>
      <c r="L539" t="n">
        <v>114</v>
      </c>
      <c r="M539" t="n">
        <v>16.7</v>
      </c>
      <c r="N539" t="n">
        <v>1393</v>
      </c>
      <c r="O539" t="n">
        <v>1.26</v>
      </c>
      <c r="P539" t="n">
        <v>1758</v>
      </c>
      <c r="Q539" t="n">
        <v>167</v>
      </c>
      <c r="R539" t="n">
        <v>84</v>
      </c>
      <c r="S539" t="n">
        <v>44</v>
      </c>
      <c r="T539" t="n">
        <v>247</v>
      </c>
      <c r="U539" t="n">
        <v>12</v>
      </c>
      <c r="V539" t="n">
        <v>139</v>
      </c>
      <c r="W539" t="n">
        <v>0.276999999999999</v>
      </c>
      <c r="X539" t="n">
        <v>149</v>
      </c>
      <c r="Y539" t="n">
        <v>119</v>
      </c>
      <c r="Z539" t="n">
        <v>98</v>
      </c>
      <c r="AA539" t="n">
        <v>10</v>
      </c>
      <c r="AB539" t="n">
        <v>9.1</v>
      </c>
      <c r="AC539" t="inlineStr">
        <is>
          <t xml:space="preserve"> Resort Freeride</t>
        </is>
      </c>
      <c r="AD539" t="inlineStr">
        <is>
          <t xml:space="preserve"> Touring</t>
        </is>
      </c>
      <c r="AE539" t="inlineStr">
        <is>
          <t xml:space="preserve"> Ultralight Touring</t>
        </is>
      </c>
      <c r="AG539" t="inlineStr">
        <is>
          <t>Black Crows Camox Freebird Skis - 2022</t>
        </is>
      </c>
      <c r="AH539" t="inlineStr">
        <is>
          <t>Ascent Outdoors</t>
        </is>
      </c>
      <c r="AI539" s="333" t="n">
        <v>514.99</v>
      </c>
      <c r="AJ539" t="inlineStr">
        <is>
          <t>https://tinyurl.com/y8ze2qy9</t>
        </is>
      </c>
      <c r="AK539" t="inlineStr">
        <is>
          <t>Black Crows Camox Freebird Skis - 2022</t>
        </is>
      </c>
      <c r="AL539" t="inlineStr">
        <is>
          <t>Powder7 Ski Shop</t>
        </is>
      </c>
      <c r="AM539" s="333" t="n">
        <v>591.9299999999999</v>
      </c>
      <c r="AN539" t="inlineStr">
        <is>
          <t>https://tinyurl.com/y7pn8oh6</t>
        </is>
      </c>
      <c r="AO539" t="inlineStr">
        <is>
          <t>Black Crows Camox Freebird Skis - 2022</t>
        </is>
      </c>
      <c r="AP539" t="inlineStr">
        <is>
          <t>evo.com</t>
        </is>
      </c>
      <c r="AQ539" s="333" t="n">
        <v>591.96</v>
      </c>
      <c r="AR539" t="inlineStr">
        <is>
          <t>https://tinyurl.com/y8p9ed8y</t>
        </is>
      </c>
      <c r="AS539" s="314">
        <f>IF(LEFT(C539,1)=" ",RIGHT(C539,LEN(C539)-1),C539)</f>
        <v/>
      </c>
      <c r="AT539" s="281">
        <f>_xlfn.CONCAT(B539,AS539,D539,E539)</f>
        <v/>
      </c>
    </row>
    <row r="540">
      <c r="A540" t="inlineStr">
        <is>
          <t>21/22</t>
        </is>
      </c>
      <c r="B540" t="inlineStr">
        <is>
          <t xml:space="preserve"> Rossignol</t>
        </is>
      </c>
      <c r="C540" t="inlineStr">
        <is>
          <t>Experience 86 Basalt</t>
        </is>
      </c>
      <c r="D540" t="n">
        <v>158</v>
      </c>
      <c r="E540" t="inlineStr">
        <is>
          <t xml:space="preserve"> Unisex</t>
        </is>
      </c>
      <c r="F540" t="n">
        <v>158</v>
      </c>
      <c r="G540" t="n">
        <v>157.5</v>
      </c>
      <c r="H540" t="n">
        <v>118</v>
      </c>
      <c r="I540" t="n">
        <v>143</v>
      </c>
      <c r="J540" t="n">
        <v>131</v>
      </c>
      <c r="K540" t="n">
        <v>83</v>
      </c>
      <c r="L540" t="n">
        <v>118</v>
      </c>
      <c r="M540" t="n">
        <v>12</v>
      </c>
      <c r="N540" t="n">
        <v>1662</v>
      </c>
      <c r="O540" t="n">
        <v>0.9399999999999999</v>
      </c>
      <c r="P540" t="n">
        <v>1556</v>
      </c>
      <c r="Q540" t="n">
        <v>179</v>
      </c>
      <c r="R540" t="n">
        <v>71</v>
      </c>
      <c r="S540" t="n">
        <v>48</v>
      </c>
      <c r="T540" t="n">
        <v>264</v>
      </c>
      <c r="U540" t="n">
        <v>13</v>
      </c>
      <c r="V540" t="n">
        <v>132</v>
      </c>
      <c r="W540" t="n">
        <v>0.283</v>
      </c>
      <c r="X540" t="n">
        <v>79</v>
      </c>
      <c r="Y540" t="n">
        <v>67</v>
      </c>
      <c r="Z540" t="n">
        <v>185</v>
      </c>
      <c r="AA540" t="n">
        <v>7</v>
      </c>
      <c r="AB540" t="n">
        <v>6.8</v>
      </c>
      <c r="AC540" t="inlineStr">
        <is>
          <t xml:space="preserve"> Resort Freeride</t>
        </is>
      </c>
      <c r="AG540" t="inlineStr">
        <is>
          <t>Rossignol Experience 86 Basalt Mens Skis 158cm</t>
        </is>
      </c>
      <c r="AH540" t="inlineStr">
        <is>
          <t>Al's Sporting Goods</t>
        </is>
      </c>
      <c r="AI540" s="333" t="n">
        <v>279.99</v>
      </c>
      <c r="AJ540" t="inlineStr">
        <is>
          <t>https://tinyurl.com/y8yg9624</t>
        </is>
      </c>
      <c r="AK540" t="inlineStr">
        <is>
          <t>2022 Rossignol Experience 86 Basalt Snow Skis 158cm Red/gray Free</t>
        </is>
      </c>
      <c r="AL540" t="inlineStr">
        <is>
          <t>eBay - klnbnc</t>
        </is>
      </c>
      <c r="AM540" s="333" t="n">
        <v>399</v>
      </c>
      <c r="AN540" t="inlineStr">
        <is>
          <t>https://tinyurl.com/y7k7td2x</t>
        </is>
      </c>
      <c r="AO540" t="inlineStr">
        <is>
          <t>Rossignol Experience 86 Basalt Mens Skis 158cm</t>
        </is>
      </c>
      <c r="AP540" t="inlineStr">
        <is>
          <t>UtahSkis</t>
        </is>
      </c>
      <c r="AQ540" s="333" t="n">
        <v>479.96</v>
      </c>
      <c r="AR540" t="inlineStr">
        <is>
          <t>https://tinyurl.com/y8fhjzyx</t>
        </is>
      </c>
      <c r="AS540" s="314">
        <f>IF(LEFT(C540,1)=" ",RIGHT(C540,LEN(C540)-1),C540)</f>
        <v/>
      </c>
      <c r="AT540" s="281">
        <f>_xlfn.CONCAT(B540,AS540,D540,E540)</f>
        <v/>
      </c>
    </row>
    <row r="541">
      <c r="A541" t="inlineStr">
        <is>
          <t>21/22</t>
        </is>
      </c>
      <c r="B541" t="inlineStr">
        <is>
          <t xml:space="preserve"> Fischer</t>
        </is>
      </c>
      <c r="C541" t="inlineStr">
        <is>
          <t>Ranger 102 FR W</t>
        </is>
      </c>
      <c r="D541" t="n">
        <v>163</v>
      </c>
      <c r="E541" t="inlineStr">
        <is>
          <t xml:space="preserve"> Women's</t>
        </is>
      </c>
      <c r="F541" t="n">
        <v>163</v>
      </c>
      <c r="G541" t="n">
        <v>162.4</v>
      </c>
      <c r="H541" t="n">
        <v>106</v>
      </c>
      <c r="I541" t="n">
        <v>134</v>
      </c>
      <c r="J541" t="n">
        <v>134</v>
      </c>
      <c r="K541" t="n">
        <v>99</v>
      </c>
      <c r="L541" t="n">
        <v>124</v>
      </c>
      <c r="M541" t="n">
        <v>12.7</v>
      </c>
      <c r="N541" t="n">
        <v>1609</v>
      </c>
      <c r="O541" t="n">
        <v>1.13</v>
      </c>
      <c r="P541" t="n">
        <v>1821</v>
      </c>
      <c r="Q541" t="n">
        <v>170</v>
      </c>
      <c r="R541" t="n">
        <v>82</v>
      </c>
      <c r="S541" t="n">
        <v>51</v>
      </c>
      <c r="T541" t="n">
        <v>345</v>
      </c>
      <c r="U541" t="n">
        <v>32</v>
      </c>
      <c r="V541" t="n">
        <v>218</v>
      </c>
      <c r="W541" t="n">
        <v>0.623</v>
      </c>
      <c r="X541" t="n">
        <v>143</v>
      </c>
      <c r="Y541" t="n">
        <v>145</v>
      </c>
      <c r="Z541" t="n">
        <v>202</v>
      </c>
      <c r="AA541" t="n">
        <v>5</v>
      </c>
      <c r="AB541" t="n">
        <v>9.9</v>
      </c>
      <c r="AC541" t="inlineStr">
        <is>
          <t xml:space="preserve"> Resort Freeride</t>
        </is>
      </c>
      <c r="AD541" t="inlineStr">
        <is>
          <t xml:space="preserve"> Touring</t>
        </is>
      </c>
      <c r="AG541" t="inlineStr">
        <is>
          <t>Fischer Ranger FR 102 Skis 2021 - 156</t>
        </is>
      </c>
      <c r="AH541" t="inlineStr">
        <is>
          <t>SkiEssentials.com</t>
        </is>
      </c>
      <c r="AI541" s="333" t="n">
        <v>479.99</v>
      </c>
      <c r="AJ541" t="inlineStr">
        <is>
          <t>https://tinyurl.com/ybeedjfo</t>
        </is>
      </c>
      <c r="AK541" t="inlineStr">
        <is>
          <t>Fischer 2021 Ranger 102 FR Skis w/Tyrolia Attack2 13 GW Bindings</t>
        </is>
      </c>
      <c r="AL541" t="inlineStr">
        <is>
          <t>eBay - david110549</t>
        </is>
      </c>
      <c r="AM541" s="333" t="n">
        <v>654.99</v>
      </c>
      <c r="AN541" t="inlineStr">
        <is>
          <t>https://tinyurl.com/y873vjqg</t>
        </is>
      </c>
      <c r="AO541" t="inlineStr">
        <is>
          <t>Fischer Ranger FR 102 Skis 2021 - 156</t>
        </is>
      </c>
      <c r="AP541" t="inlineStr">
        <is>
          <t>eBay</t>
        </is>
      </c>
      <c r="AQ541" s="333" t="n">
        <v>685</v>
      </c>
      <c r="AR541" t="inlineStr">
        <is>
          <t>https://tinyurl.com/y7r8z2hv</t>
        </is>
      </c>
      <c r="AS541" s="314">
        <f>IF(LEFT(C541,1)=" ",RIGHT(C541,LEN(C541)-1),C541)</f>
        <v/>
      </c>
      <c r="AT541" s="281">
        <f>_xlfn.CONCAT(B541,AS541,D541,E541)</f>
        <v/>
      </c>
    </row>
    <row r="542">
      <c r="A542" t="inlineStr">
        <is>
          <t>21/22</t>
        </is>
      </c>
      <c r="B542" t="inlineStr">
        <is>
          <t xml:space="preserve"> Atomic</t>
        </is>
      </c>
      <c r="C542" t="inlineStr">
        <is>
          <t>Maverick 86 C</t>
        </is>
      </c>
      <c r="D542" t="n">
        <v>161</v>
      </c>
      <c r="E542" t="inlineStr">
        <is>
          <t xml:space="preserve"> Unisex</t>
        </is>
      </c>
      <c r="F542" t="n">
        <v>161</v>
      </c>
      <c r="G542" t="n">
        <v>160.1</v>
      </c>
      <c r="H542" t="n">
        <v>114</v>
      </c>
      <c r="I542" t="n">
        <v>135</v>
      </c>
      <c r="J542" t="n">
        <v>121</v>
      </c>
      <c r="K542" t="n">
        <v>86</v>
      </c>
      <c r="L542" t="n">
        <v>104</v>
      </c>
      <c r="M542" t="n">
        <v>15.6</v>
      </c>
      <c r="N542" t="n">
        <v>1400</v>
      </c>
      <c r="O542" t="n">
        <v>1.11</v>
      </c>
      <c r="P542" t="n">
        <v>1548</v>
      </c>
      <c r="Q542" t="n">
        <v>180</v>
      </c>
      <c r="R542" t="n">
        <v>86</v>
      </c>
      <c r="S542" t="n">
        <v>48</v>
      </c>
      <c r="T542" t="n">
        <v>282</v>
      </c>
      <c r="U542" t="n">
        <v>11</v>
      </c>
      <c r="V542" t="n">
        <v>183</v>
      </c>
      <c r="W542" t="n">
        <v>0.225</v>
      </c>
      <c r="X542" t="n">
        <v>153</v>
      </c>
      <c r="Y542" t="n">
        <v>103</v>
      </c>
      <c r="Z542" t="n">
        <v>128</v>
      </c>
      <c r="AA542" t="n">
        <v>5</v>
      </c>
      <c r="AB542" t="n">
        <v>8.800000000000001</v>
      </c>
      <c r="AC542" t="inlineStr">
        <is>
          <t xml:space="preserve"> Resort Freeride</t>
        </is>
      </c>
      <c r="AD542" t="inlineStr">
        <is>
          <t xml:space="preserve"> Touring</t>
        </is>
      </c>
      <c r="AG542" t="inlineStr">
        <is>
          <t>Atomic MAVERICK 86 C Skis 2022</t>
        </is>
      </c>
      <c r="AH542" t="inlineStr">
        <is>
          <t>Level Nine Sports</t>
        </is>
      </c>
      <c r="AI542" s="333" t="n">
        <v>399.99</v>
      </c>
      <c r="AJ542" t="inlineStr">
        <is>
          <t>https://tinyurl.com/yb74u46g</t>
        </is>
      </c>
      <c r="AK542" t="inlineStr">
        <is>
          <t>Atomic Maverick 86 C R Skis with M10 Bindings Â· 2022 Â· 161 cm</t>
        </is>
      </c>
      <c r="AL542" t="inlineStr">
        <is>
          <t>evo.com</t>
        </is>
      </c>
      <c r="AM542" s="333" t="n">
        <v>479.99</v>
      </c>
      <c r="AN542" t="inlineStr">
        <is>
          <t>https://tinyurl.com/y8tromq6</t>
        </is>
      </c>
      <c r="AO542" t="inlineStr">
        <is>
          <t>Atomic Maverick 86 C R Skis with M10 Bindings Â· 2022 Â· 161 cm</t>
        </is>
      </c>
      <c r="AP542" t="inlineStr">
        <is>
          <t>Spoke-N-Sport</t>
        </is>
      </c>
      <c r="AQ542" s="333" t="n">
        <v>507.49</v>
      </c>
      <c r="AR542" t="inlineStr">
        <is>
          <t>https://tinyurl.com/ybsj8lvo</t>
        </is>
      </c>
      <c r="AS542" s="314">
        <f>IF(LEFT(C542,1)=" ",RIGHT(C542,LEN(C542)-1),C542)</f>
        <v/>
      </c>
      <c r="AT542" s="281">
        <f>_xlfn.CONCAT(B542,AS542,D542,E542)</f>
        <v/>
      </c>
    </row>
    <row r="543">
      <c r="A543" t="inlineStr">
        <is>
          <t>21/22</t>
        </is>
      </c>
      <c r="B543" t="inlineStr">
        <is>
          <t xml:space="preserve"> Rossignol</t>
        </is>
      </c>
      <c r="C543" t="inlineStr">
        <is>
          <t>Experience 86 Basalt W</t>
        </is>
      </c>
      <c r="D543" t="n">
        <v>166</v>
      </c>
      <c r="E543" t="inlineStr">
        <is>
          <t xml:space="preserve"> Women's</t>
        </is>
      </c>
      <c r="F543" t="n">
        <v>166</v>
      </c>
      <c r="G543" t="n">
        <v>166.5</v>
      </c>
      <c r="H543" t="n">
        <v>128</v>
      </c>
      <c r="I543" t="n">
        <v>153</v>
      </c>
      <c r="J543" t="n">
        <v>131</v>
      </c>
      <c r="K543" t="n">
        <v>84</v>
      </c>
      <c r="L543" t="n">
        <v>120</v>
      </c>
      <c r="M543" t="n">
        <v>13.6</v>
      </c>
      <c r="N543" t="n">
        <v>1821</v>
      </c>
      <c r="O543" t="n">
        <v>0.91</v>
      </c>
      <c r="P543" t="n">
        <v>1657</v>
      </c>
      <c r="Q543" t="n">
        <v>202</v>
      </c>
      <c r="R543" t="n">
        <v>87</v>
      </c>
      <c r="S543" t="n">
        <v>46</v>
      </c>
      <c r="T543" t="n">
        <v>259</v>
      </c>
      <c r="U543" t="n">
        <v>13</v>
      </c>
      <c r="V543" t="n">
        <v>129</v>
      </c>
      <c r="W543" t="n">
        <v>0.273</v>
      </c>
      <c r="X543" t="n">
        <v>73</v>
      </c>
      <c r="Y543" t="n">
        <v>64</v>
      </c>
      <c r="Z543" t="n">
        <v>186</v>
      </c>
      <c r="AA543" t="n">
        <v>9</v>
      </c>
      <c r="AB543" t="n">
        <v>6.8</v>
      </c>
      <c r="AC543" t="inlineStr">
        <is>
          <t xml:space="preserve"> Resort Freeride</t>
        </is>
      </c>
      <c r="AG543" t="inlineStr">
        <is>
          <t>Rossignol Experience W 86 Basalt Ski Women's - 2022 166 cm</t>
        </is>
      </c>
      <c r="AH543" t="inlineStr">
        <is>
          <t>eBay - klnbnc</t>
        </is>
      </c>
      <c r="AI543" s="333" t="n">
        <v>375</v>
      </c>
      <c r="AJ543" t="inlineStr">
        <is>
          <t>https://tinyurl.com/y7tu2nkv</t>
        </is>
      </c>
      <c r="AK543" t="inlineStr">
        <is>
          <t>Rossignol Experience W 86 Basalt Ski Women's - 2022 166 cm</t>
        </is>
      </c>
      <c r="AL543" t="inlineStr">
        <is>
          <t>UtahSkis</t>
        </is>
      </c>
      <c r="AM543" s="333" t="n">
        <v>599.95</v>
      </c>
      <c r="AN543" t="inlineStr">
        <is>
          <t>https://tinyurl.com/ybs7pbhb</t>
        </is>
      </c>
      <c r="AO543" t="inlineStr">
        <is>
          <t>Rossignol Experience W 86 Basalt Ski Women's - 2022 166 cm</t>
        </is>
      </c>
      <c r="AP543" t="inlineStr">
        <is>
          <t>Buyr.com</t>
        </is>
      </c>
      <c r="AQ543" s="333" t="n">
        <v>599.95</v>
      </c>
      <c r="AR543" t="inlineStr">
        <is>
          <t>https://tinyurl.com/ya5glooa</t>
        </is>
      </c>
      <c r="AS543" s="314">
        <f>IF(LEFT(C543,1)=" ",RIGHT(C543,LEN(C543)-1),C543)</f>
        <v/>
      </c>
      <c r="AT543" s="281">
        <f>_xlfn.CONCAT(B543,AS543,D543,E543)</f>
        <v/>
      </c>
    </row>
    <row r="544">
      <c r="A544" t="inlineStr">
        <is>
          <t>21/22</t>
        </is>
      </c>
      <c r="B544" t="inlineStr">
        <is>
          <t xml:space="preserve"> Nordica</t>
        </is>
      </c>
      <c r="C544" t="inlineStr">
        <is>
          <t>Soul Rider 97</t>
        </is>
      </c>
      <c r="D544" t="n">
        <v>169</v>
      </c>
      <c r="E544" t="inlineStr">
        <is>
          <t xml:space="preserve"> Unisex</t>
        </is>
      </c>
      <c r="F544" t="n">
        <v>169</v>
      </c>
      <c r="G544" t="n">
        <v>167.4</v>
      </c>
      <c r="H544" t="n">
        <v>132</v>
      </c>
      <c r="I544" t="n">
        <v>143</v>
      </c>
      <c r="J544" t="n">
        <v>134</v>
      </c>
      <c r="K544" t="n">
        <v>96</v>
      </c>
      <c r="L544" t="n">
        <v>124</v>
      </c>
      <c r="M544" t="n">
        <v>14.8</v>
      </c>
      <c r="N544" t="n">
        <v>1913</v>
      </c>
      <c r="O544" t="n">
        <v>0.95</v>
      </c>
      <c r="P544" t="n">
        <v>1821</v>
      </c>
      <c r="Q544" t="n">
        <v>168</v>
      </c>
      <c r="R544" t="n">
        <v>81</v>
      </c>
      <c r="S544" t="n">
        <v>45</v>
      </c>
      <c r="T544" t="n">
        <v>175</v>
      </c>
      <c r="U544" t="n">
        <v>47</v>
      </c>
      <c r="V544" t="n">
        <v>177</v>
      </c>
      <c r="W544" t="n">
        <v>1.047</v>
      </c>
      <c r="X544" t="n">
        <v>105</v>
      </c>
      <c r="Y544" t="n">
        <v>135</v>
      </c>
      <c r="Z544" t="n">
        <v>70</v>
      </c>
      <c r="AA544" t="n">
        <v>11</v>
      </c>
      <c r="AB544" t="n">
        <v>6</v>
      </c>
      <c r="AC544" t="inlineStr">
        <is>
          <t xml:space="preserve"> Freeski</t>
        </is>
      </c>
      <c r="AG544" t="inlineStr">
        <is>
          <t>2020 Nordica Soul Rider 97 169cm W/ Salomon Warden 11 Binding</t>
        </is>
      </c>
      <c r="AH544" t="inlineStr">
        <is>
          <t>eBay - riverpirate999</t>
        </is>
      </c>
      <c r="AI544" s="333" t="n">
        <v>398</v>
      </c>
      <c r="AJ544" t="inlineStr">
        <is>
          <t>https://tinyurl.com/ycs6agzk</t>
        </is>
      </c>
      <c r="AK544" t="inlineStr">
        <is>
          <t>Nordica Soul Rider 97 Skis Â· 2022 Â· 169 cm</t>
        </is>
      </c>
      <c r="AL544" t="inlineStr">
        <is>
          <t>Ski Pro  - Snow Ski &amp; Snowboard</t>
        </is>
      </c>
      <c r="AM544" s="333" t="n">
        <v>479.95</v>
      </c>
      <c r="AN544" t="inlineStr">
        <is>
          <t>https://tinyurl.com/y7txxlnu</t>
        </is>
      </c>
      <c r="AO544" t="inlineStr">
        <is>
          <t>Nordica Soul Rider 97 Skis Â· 2022 Â· 169 cm</t>
        </is>
      </c>
      <c r="AP544" t="inlineStr">
        <is>
          <t>AlpineShopVT.com</t>
        </is>
      </c>
      <c r="AQ544" s="333" t="n">
        <v>479.99</v>
      </c>
      <c r="AR544" t="inlineStr">
        <is>
          <t>https://tinyurl.com/ya8t26j4</t>
        </is>
      </c>
      <c r="AS544" s="314">
        <f>IF(LEFT(C544,1)=" ",RIGHT(C544,LEN(C544)-1),C544)</f>
        <v/>
      </c>
      <c r="AT544" s="281">
        <f>_xlfn.CONCAT(B544,AS544,D544,E544)</f>
        <v/>
      </c>
    </row>
    <row r="545">
      <c r="A545" t="inlineStr">
        <is>
          <t>21/22</t>
        </is>
      </c>
      <c r="B545" t="inlineStr">
        <is>
          <t xml:space="preserve"> Vï¿½lkl</t>
        </is>
      </c>
      <c r="C545" t="inlineStr">
        <is>
          <t>Kanjo 84</t>
        </is>
      </c>
      <c r="D545" t="n">
        <v>175</v>
      </c>
      <c r="E545" t="inlineStr">
        <is>
          <t xml:space="preserve"> Unisex</t>
        </is>
      </c>
      <c r="F545" t="n">
        <v>175</v>
      </c>
      <c r="G545" t="n">
        <v>176.1</v>
      </c>
      <c r="H545" t="n">
        <v>131</v>
      </c>
      <c r="I545" t="n">
        <v>152</v>
      </c>
      <c r="J545" t="n">
        <v>124</v>
      </c>
      <c r="K545" t="n">
        <v>83</v>
      </c>
      <c r="L545" t="n">
        <v>106</v>
      </c>
      <c r="M545" t="n">
        <v>17.5</v>
      </c>
      <c r="N545" t="n">
        <v>1609</v>
      </c>
      <c r="O545" t="n">
        <v>1.05</v>
      </c>
      <c r="P545" t="n">
        <v>1691</v>
      </c>
      <c r="Q545" t="n">
        <v>194</v>
      </c>
      <c r="R545" t="n">
        <v>75</v>
      </c>
      <c r="S545" t="n">
        <v>38</v>
      </c>
      <c r="T545" t="n">
        <v>290</v>
      </c>
      <c r="U545" t="n">
        <v>12</v>
      </c>
      <c r="V545" t="n">
        <v>161</v>
      </c>
      <c r="W545" t="n">
        <v>0.319</v>
      </c>
      <c r="X545" t="n">
        <v>135</v>
      </c>
      <c r="Y545" t="n">
        <v>106</v>
      </c>
      <c r="Z545" t="n">
        <v>155</v>
      </c>
      <c r="AA545" t="n">
        <v>2</v>
      </c>
      <c r="AB545" t="n">
        <v>11.7</v>
      </c>
      <c r="AC545" t="inlineStr">
        <is>
          <t xml:space="preserve"> On-Piste All-Mountain</t>
        </is>
      </c>
      <c r="AD545" t="inlineStr">
        <is>
          <t xml:space="preserve"> Resort Freeride</t>
        </is>
      </c>
      <c r="AE545" t="inlineStr">
        <is>
          <t xml:space="preserve"> Touring</t>
        </is>
      </c>
      <c r="AG545" t="inlineStr">
        <is>
          <t>Volkl 2022 Kanjo 84 Skis</t>
        </is>
      </c>
      <c r="AH545" t="inlineStr">
        <is>
          <t>Absolute-Snow.co.uk</t>
        </is>
      </c>
      <c r="AI545" s="333" t="n">
        <v>367.9</v>
      </c>
      <c r="AJ545" t="inlineStr">
        <is>
          <t>https://tinyurl.com/y7jf87z4</t>
        </is>
      </c>
      <c r="AK545" t="inlineStr">
        <is>
          <t>VOLKL KANJO 84 21</t>
        </is>
      </c>
      <c r="AL545" t="inlineStr">
        <is>
          <t>Vertical Drop</t>
        </is>
      </c>
      <c r="AM545" s="333" t="n">
        <v>419.99</v>
      </c>
      <c r="AN545" t="inlineStr">
        <is>
          <t>https://tinyurl.com/yav25nw7</t>
        </is>
      </c>
      <c r="AO545" t="inlineStr">
        <is>
          <t>Volkl 2022 Kanjo 84 Skis</t>
        </is>
      </c>
      <c r="AP545" t="inlineStr">
        <is>
          <t>The-House.com</t>
        </is>
      </c>
      <c r="AQ545" s="333" t="n">
        <v>479.95</v>
      </c>
      <c r="AR545" t="inlineStr">
        <is>
          <t>https://tinyurl.com/y7stfv6q</t>
        </is>
      </c>
      <c r="AS545" s="314">
        <f>IF(LEFT(C545,1)=" ",RIGHT(C545,LEN(C545)-1),C545)</f>
        <v/>
      </c>
      <c r="AT545" s="281">
        <f>_xlfn.CONCAT(B545,AS545,D545,E545)</f>
        <v/>
      </c>
    </row>
    <row r="546">
      <c r="A546" t="inlineStr">
        <is>
          <t>21/22</t>
        </is>
      </c>
      <c r="B546" t="inlineStr">
        <is>
          <t xml:space="preserve"> Faction</t>
        </is>
      </c>
      <c r="C546" t="inlineStr">
        <is>
          <t>Dictator 1.0</t>
        </is>
      </c>
      <c r="D546" t="n">
        <v>170</v>
      </c>
      <c r="E546" t="inlineStr">
        <is>
          <t xml:space="preserve"> Unisex</t>
        </is>
      </c>
      <c r="F546" t="n">
        <v>170</v>
      </c>
      <c r="G546" t="n">
        <v>168.5</v>
      </c>
      <c r="H546" t="n">
        <v>130</v>
      </c>
      <c r="I546" t="n">
        <v>144</v>
      </c>
      <c r="J546" t="n">
        <v>119</v>
      </c>
      <c r="K546" t="n">
        <v>85</v>
      </c>
      <c r="L546" t="n">
        <v>109</v>
      </c>
      <c r="M546" t="n">
        <v>16.6</v>
      </c>
      <c r="N546" t="n">
        <v>1686</v>
      </c>
      <c r="O546" t="n">
        <v>0.97</v>
      </c>
      <c r="P546" t="n">
        <v>1628</v>
      </c>
      <c r="Q546" t="n">
        <v>208</v>
      </c>
      <c r="R546" t="n">
        <v>127</v>
      </c>
      <c r="S546" t="n">
        <v>49</v>
      </c>
      <c r="T546" t="n">
        <v>223</v>
      </c>
      <c r="U546" t="n">
        <v>20</v>
      </c>
      <c r="V546" t="n">
        <v>158</v>
      </c>
      <c r="W546" t="n">
        <v>0.412</v>
      </c>
      <c r="X546" t="n">
        <v>154</v>
      </c>
      <c r="Y546" t="n">
        <v>90</v>
      </c>
      <c r="Z546" t="n">
        <v>69</v>
      </c>
      <c r="AA546" t="n">
        <v>7</v>
      </c>
      <c r="AB546" t="n">
        <v>10.1</v>
      </c>
      <c r="AC546" t="inlineStr">
        <is>
          <t xml:space="preserve"> On-Piste All-Mountain</t>
        </is>
      </c>
      <c r="AD546" t="inlineStr">
        <is>
          <t xml:space="preserve"> Resort Freeride</t>
        </is>
      </c>
      <c r="AG546" t="inlineStr">
        <is>
          <t>Faction Dictator 1.0 Skis</t>
        </is>
      </c>
      <c r="AH546" t="inlineStr">
        <is>
          <t>Next Adventure</t>
        </is>
      </c>
      <c r="AI546" s="333" t="n">
        <v>575.2</v>
      </c>
      <c r="AJ546" t="inlineStr">
        <is>
          <t>https://tinyurl.com/yabwkskl</t>
        </is>
      </c>
      <c r="AK546" t="inlineStr">
        <is>
          <t>Faction Agent 1.0 Skis 170 Cm At All Mtn Lightweight</t>
        </is>
      </c>
      <c r="AL546" t="inlineStr">
        <is>
          <t>eBay</t>
        </is>
      </c>
      <c r="AM546" s="333" t="n">
        <v>391</v>
      </c>
      <c r="AN546" t="inlineStr">
        <is>
          <t>https://tinyurl.com/y9wwhyh2</t>
        </is>
      </c>
      <c r="AO546" t="inlineStr">
        <is>
          <t>Faction Agent 1.0 Skis 2022 - 170</t>
        </is>
      </c>
      <c r="AP546" t="inlineStr">
        <is>
          <t>Telemark Pyrenees</t>
        </is>
      </c>
      <c r="AQ546" s="333" t="n">
        <v>439.98</v>
      </c>
      <c r="AR546" t="inlineStr">
        <is>
          <t>https://tinyurl.com/y7j85qgt</t>
        </is>
      </c>
      <c r="AS546" s="314">
        <f>IF(LEFT(C546,1)=" ",RIGHT(C546,LEN(C546)-1),C546)</f>
        <v/>
      </c>
      <c r="AT546" s="281">
        <f>_xlfn.CONCAT(B546,AS546,D546,E546)</f>
        <v/>
      </c>
    </row>
    <row r="547">
      <c r="A547" t="inlineStr">
        <is>
          <t>21/22</t>
        </is>
      </c>
      <c r="B547" t="inlineStr">
        <is>
          <t xml:space="preserve"> Faction</t>
        </is>
      </c>
      <c r="C547" t="inlineStr">
        <is>
          <t>Prodigy 1.0 X</t>
        </is>
      </c>
      <c r="D547" t="n">
        <v>158</v>
      </c>
      <c r="E547" t="inlineStr">
        <is>
          <t xml:space="preserve"> Women's</t>
        </is>
      </c>
      <c r="F547" t="n">
        <v>158</v>
      </c>
      <c r="G547" t="n">
        <v>155.9</v>
      </c>
      <c r="H547" t="n">
        <v>111</v>
      </c>
      <c r="I547" t="n">
        <v>129</v>
      </c>
      <c r="J547" t="n">
        <v>119</v>
      </c>
      <c r="K547" t="n">
        <v>87</v>
      </c>
      <c r="L547" t="n">
        <v>112</v>
      </c>
      <c r="M547" t="n">
        <v>13</v>
      </c>
      <c r="N547" t="n">
        <v>1577</v>
      </c>
      <c r="O547" t="n">
        <v>0.98</v>
      </c>
      <c r="P547" t="n">
        <v>1544</v>
      </c>
      <c r="Q547" t="n">
        <v>159</v>
      </c>
      <c r="R547" t="n">
        <v>79</v>
      </c>
      <c r="S547" t="n">
        <v>53</v>
      </c>
      <c r="T547" t="n">
        <v>259</v>
      </c>
      <c r="U547" t="n">
        <v>39</v>
      </c>
      <c r="V547" t="n">
        <v>195</v>
      </c>
      <c r="W547" t="n">
        <v>0.734</v>
      </c>
      <c r="X547" t="n">
        <v>145</v>
      </c>
      <c r="Y547" t="n">
        <v>121</v>
      </c>
      <c r="Z547" t="n">
        <v>113</v>
      </c>
      <c r="AA547" t="n">
        <v>6</v>
      </c>
      <c r="AB547" t="n">
        <v>6.8</v>
      </c>
      <c r="AC547" t="inlineStr">
        <is>
          <t xml:space="preserve"> Resort Freeride</t>
        </is>
      </c>
      <c r="AG547" t="inlineStr">
        <is>
          <t>Faction Prime 1.0</t>
        </is>
      </c>
      <c r="AH547" t="inlineStr">
        <is>
          <t>eBay</t>
        </is>
      </c>
      <c r="AI547" s="333" t="n">
        <v>399</v>
      </c>
      <c r="AJ547" t="inlineStr">
        <is>
          <t>https://tinyurl.com/yanwrex4</t>
        </is>
      </c>
      <c r="AK547" t="inlineStr">
        <is>
          <t>Faction - Prodigy 1.0x - 158</t>
        </is>
      </c>
      <c r="AL547" t="inlineStr">
        <is>
          <t>Gear West Ski &amp; Bike</t>
        </is>
      </c>
      <c r="AM547" s="333" t="n">
        <v>449</v>
      </c>
      <c r="AN547" t="inlineStr">
        <is>
          <t>https://tinyurl.com/y8crc9es</t>
        </is>
      </c>
      <c r="AS547" s="314">
        <f>IF(LEFT(C547,1)=" ",RIGHT(C547,LEN(C547)-1),C547)</f>
        <v/>
      </c>
      <c r="AT547" s="281">
        <f>_xlfn.CONCAT(B547,AS547,D547,E547)</f>
        <v/>
      </c>
    </row>
    <row r="548">
      <c r="A548" t="inlineStr">
        <is>
          <t>21/22</t>
        </is>
      </c>
      <c r="B548" t="inlineStr">
        <is>
          <t xml:space="preserve"> Blizzard</t>
        </is>
      </c>
      <c r="C548" t="inlineStr">
        <is>
          <t>Black Pearl 82</t>
        </is>
      </c>
      <c r="D548" t="n">
        <v>173</v>
      </c>
      <c r="E548" t="inlineStr">
        <is>
          <t xml:space="preserve"> Women's</t>
        </is>
      </c>
      <c r="F548" t="n">
        <v>173</v>
      </c>
      <c r="G548" t="n">
        <v>171.3</v>
      </c>
      <c r="H548" t="n">
        <v>138</v>
      </c>
      <c r="I548" t="n">
        <v>148</v>
      </c>
      <c r="J548" t="n">
        <v>121</v>
      </c>
      <c r="K548" t="n">
        <v>81</v>
      </c>
      <c r="L548" t="n">
        <v>104</v>
      </c>
      <c r="M548" t="n">
        <v>17</v>
      </c>
      <c r="N548" t="n">
        <v>1783</v>
      </c>
      <c r="O548" t="n">
        <v>0.9</v>
      </c>
      <c r="P548" t="n">
        <v>1600</v>
      </c>
      <c r="Q548" t="n">
        <v>215</v>
      </c>
      <c r="R548" t="n">
        <v>109</v>
      </c>
      <c r="S548" t="n">
        <v>50</v>
      </c>
      <c r="T548" t="n">
        <v>231</v>
      </c>
      <c r="U548" t="n">
        <v>7</v>
      </c>
      <c r="V548" t="n">
        <v>107</v>
      </c>
      <c r="W548" t="n">
        <v>0.135</v>
      </c>
      <c r="X548" t="n">
        <v>120</v>
      </c>
      <c r="Y548" t="n">
        <v>109</v>
      </c>
      <c r="Z548" t="n">
        <v>111</v>
      </c>
      <c r="AA548" t="n">
        <v>6</v>
      </c>
      <c r="AB548" t="n">
        <v>11.4</v>
      </c>
      <c r="AC548" t="inlineStr">
        <is>
          <t xml:space="preserve"> On-Piste All-Mountain</t>
        </is>
      </c>
      <c r="AD548" t="inlineStr">
        <is>
          <t xml:space="preserve"> Resort Freeride</t>
        </is>
      </c>
      <c r="AG548" t="inlineStr">
        <is>
          <t>Blizzard Black Pearl 82 Skis Â· Women's Â· 2022 Â· 173 cm</t>
        </is>
      </c>
      <c r="AH548" t="inlineStr">
        <is>
          <t>Powder7 Ski Shop</t>
        </is>
      </c>
      <c r="AI548" s="333" t="n">
        <v>479.93</v>
      </c>
      <c r="AJ548" t="inlineStr">
        <is>
          <t>https://tinyurl.com/yb8zsa3x</t>
        </is>
      </c>
      <c r="AK548" t="inlineStr">
        <is>
          <t>Blizzard Black Pearl 82 Skis Â· Women's Â· 2022 Â· 173 cm</t>
        </is>
      </c>
      <c r="AL548" t="inlineStr">
        <is>
          <t>eBay - david110549</t>
        </is>
      </c>
      <c r="AM548" s="333" t="n">
        <v>479.95</v>
      </c>
      <c r="AN548" t="inlineStr">
        <is>
          <t>https://tinyurl.com/y9kb8mzm</t>
        </is>
      </c>
      <c r="AO548" t="inlineStr">
        <is>
          <t>Blizzard Black Pearl 82 Skis Â· Women's Â· 2022 Â· 173 cm</t>
        </is>
      </c>
      <c r="AP548" t="inlineStr">
        <is>
          <t>Curated</t>
        </is>
      </c>
      <c r="AQ548" s="333" t="n">
        <v>479.95</v>
      </c>
      <c r="AR548" t="inlineStr">
        <is>
          <t>https://tinyurl.com/yd7o6khn</t>
        </is>
      </c>
      <c r="AS548" s="314">
        <f>IF(LEFT(C548,1)=" ",RIGHT(C548,LEN(C548)-1),C548)</f>
        <v/>
      </c>
      <c r="AT548" s="281">
        <f>_xlfn.CONCAT(B548,AS548,D548,E548)</f>
        <v/>
      </c>
    </row>
    <row r="549">
      <c r="A549" t="inlineStr">
        <is>
          <t>21/22</t>
        </is>
      </c>
      <c r="B549" t="inlineStr">
        <is>
          <t xml:space="preserve"> Atomic</t>
        </is>
      </c>
      <c r="C549" t="inlineStr">
        <is>
          <t>Backland 100</t>
        </is>
      </c>
      <c r="D549" t="n">
        <v>172</v>
      </c>
      <c r="E549" t="inlineStr">
        <is>
          <t xml:space="preserve"> Unisex</t>
        </is>
      </c>
      <c r="F549" t="n">
        <v>172</v>
      </c>
      <c r="G549" t="n">
        <v>171.1</v>
      </c>
      <c r="H549" t="n">
        <v>123</v>
      </c>
      <c r="I549" t="n">
        <v>138</v>
      </c>
      <c r="J549" t="n">
        <v>127</v>
      </c>
      <c r="K549" t="n">
        <v>98</v>
      </c>
      <c r="L549" t="n">
        <v>117</v>
      </c>
      <c r="M549" t="n">
        <v>17.5</v>
      </c>
      <c r="N549" t="n">
        <v>1227</v>
      </c>
      <c r="O549" t="n">
        <v>1.49</v>
      </c>
      <c r="P549" t="n">
        <v>1825</v>
      </c>
      <c r="Q549" t="n">
        <v>161</v>
      </c>
      <c r="R549" t="n">
        <v>88</v>
      </c>
      <c r="S549" t="n">
        <v>53</v>
      </c>
      <c r="T549" t="n">
        <v>291</v>
      </c>
      <c r="U549" t="n">
        <v>14</v>
      </c>
      <c r="V549" t="n">
        <v>191</v>
      </c>
      <c r="W549" t="n">
        <v>0.272</v>
      </c>
      <c r="X549" t="n">
        <v>172</v>
      </c>
      <c r="Y549" t="n">
        <v>163</v>
      </c>
      <c r="Z549" t="n">
        <v>120</v>
      </c>
      <c r="AA549" t="n">
        <v>5</v>
      </c>
      <c r="AB549" t="n">
        <v>7.9</v>
      </c>
      <c r="AC549" t="inlineStr">
        <is>
          <t xml:space="preserve"> Touring</t>
        </is>
      </c>
      <c r="AD549" t="inlineStr">
        <is>
          <t xml:space="preserve"> Ultralight Touring</t>
        </is>
      </c>
      <c r="AG549" t="inlineStr">
        <is>
          <t>Atomic Backland 100</t>
        </is>
      </c>
      <c r="AH549" t="inlineStr">
        <is>
          <t>Telemark Pyrenees</t>
        </is>
      </c>
      <c r="AI549" s="333" t="n">
        <v>439.98</v>
      </c>
      <c r="AJ549" t="inlineStr">
        <is>
          <t>https://tinyurl.com/y76gcoyc</t>
        </is>
      </c>
      <c r="AK549" t="inlineStr">
        <is>
          <t>Atomic Backland 100</t>
        </is>
      </c>
      <c r="AL549" t="inlineStr">
        <is>
          <t>Gorham Bike and Ski</t>
        </is>
      </c>
      <c r="AM549" s="333" t="n">
        <v>489.99</v>
      </c>
      <c r="AN549" t="inlineStr">
        <is>
          <t>https://tinyurl.com/yb8885hl</t>
        </is>
      </c>
      <c r="AO549" t="inlineStr">
        <is>
          <t>Atomic Backland 100</t>
        </is>
      </c>
      <c r="AP549" t="inlineStr">
        <is>
          <t>evo.com</t>
        </is>
      </c>
      <c r="AQ549" s="333" t="n">
        <v>559.98</v>
      </c>
      <c r="AR549" t="inlineStr">
        <is>
          <t>https://tinyurl.com/y7ruo8qk</t>
        </is>
      </c>
      <c r="AS549" s="314">
        <f>IF(LEFT(C549,1)=" ",RIGHT(C549,LEN(C549)-1),C549)</f>
        <v/>
      </c>
      <c r="AT549" s="281">
        <f>_xlfn.CONCAT(B549,AS549,D549,E549)</f>
        <v/>
      </c>
    </row>
    <row r="550">
      <c r="A550" t="inlineStr">
        <is>
          <t>21/22</t>
        </is>
      </c>
      <c r="B550" t="inlineStr">
        <is>
          <t>K2</t>
        </is>
      </c>
      <c r="C550" t="inlineStr">
        <is>
          <t>Disruption 78C</t>
        </is>
      </c>
      <c r="D550" t="n">
        <v>170</v>
      </c>
      <c r="E550" t="inlineStr">
        <is>
          <t xml:space="preserve"> Unisex</t>
        </is>
      </c>
      <c r="F550" t="n">
        <v>170</v>
      </c>
      <c r="G550" t="n">
        <v>170.7</v>
      </c>
      <c r="H550" t="n">
        <v>150</v>
      </c>
      <c r="I550" t="n">
        <v>159</v>
      </c>
      <c r="J550" t="n">
        <v>124</v>
      </c>
      <c r="K550" t="n">
        <v>77</v>
      </c>
      <c r="L550" t="n">
        <v>110</v>
      </c>
      <c r="M550" t="n">
        <v>15.4</v>
      </c>
      <c r="N550" t="n">
        <v>1835</v>
      </c>
      <c r="O550" t="n">
        <v>0.86</v>
      </c>
      <c r="P550" t="n">
        <v>1572</v>
      </c>
      <c r="Q550" t="n">
        <v>205</v>
      </c>
      <c r="R550" t="n">
        <v>93</v>
      </c>
      <c r="S550" t="n">
        <v>33</v>
      </c>
      <c r="T550" t="n">
        <v>144</v>
      </c>
      <c r="U550" t="n">
        <v>7</v>
      </c>
      <c r="V550" t="n">
        <v>65</v>
      </c>
      <c r="W550" t="n">
        <v>0.217</v>
      </c>
      <c r="X550" t="n">
        <v>76</v>
      </c>
      <c r="Y550" t="n">
        <v>44</v>
      </c>
      <c r="Z550" t="n">
        <v>68</v>
      </c>
      <c r="AA550" t="n">
        <v>11</v>
      </c>
      <c r="AB550" t="n">
        <v>10.7</v>
      </c>
      <c r="AC550" t="inlineStr">
        <is>
          <t xml:space="preserve"> On-Piste Carving</t>
        </is>
      </c>
      <c r="AG550" t="inlineStr">
        <is>
          <t>K2 Disruption 78C Skis with M3 10 Bindings 2022 170cm</t>
        </is>
      </c>
      <c r="AH550" t="inlineStr">
        <is>
          <t>Buckman's Ski and Snowboard Shop</t>
        </is>
      </c>
      <c r="AI550" s="333" t="n">
        <v>599.95</v>
      </c>
      <c r="AJ550" t="inlineStr">
        <is>
          <t>https://tinyurl.com/yaqddf5s</t>
        </is>
      </c>
      <c r="AK550" t="inlineStr">
        <is>
          <t>K2 Disruption 78C Skis with M3 10 Bindings 2022 170cm</t>
        </is>
      </c>
      <c r="AL550" t="inlineStr">
        <is>
          <t>Curated</t>
        </is>
      </c>
      <c r="AM550" s="333" t="n">
        <v>599.95</v>
      </c>
      <c r="AN550" t="inlineStr">
        <is>
          <t>https://tinyurl.com/yc3jnm8n</t>
        </is>
      </c>
      <c r="AO550" t="inlineStr">
        <is>
          <t>K2 Disruption 76 Skis Mens 2022 Multicolor 170cm Skis</t>
        </is>
      </c>
      <c r="AP550" t="inlineStr">
        <is>
          <t>Aspen Ski and Board</t>
        </is>
      </c>
      <c r="AQ550" s="333" t="n">
        <v>299.95</v>
      </c>
      <c r="AR550" t="inlineStr">
        <is>
      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      </is>
      </c>
      <c r="AS550" s="314">
        <f>IF(LEFT(C550,1)=" ",RIGHT(C550,LEN(C550)-1),C550)</f>
        <v/>
      </c>
      <c r="AT550" s="281">
        <f>_xlfn.CONCAT(B550,AS550,D550,E550)</f>
        <v/>
      </c>
    </row>
    <row r="551">
      <c r="A551" t="inlineStr">
        <is>
          <t>21/22</t>
        </is>
      </c>
      <c r="B551" t="inlineStr">
        <is>
          <t xml:space="preserve"> Black Crows</t>
        </is>
      </c>
      <c r="C551" t="inlineStr">
        <is>
          <t xml:space="preserve"> Atris Birdie</t>
        </is>
      </c>
      <c r="D551" t="n">
        <v>169.1</v>
      </c>
      <c r="E551" t="inlineStr">
        <is>
          <t xml:space="preserve"> Women's</t>
        </is>
      </c>
      <c r="F551" t="n">
        <v>169.1</v>
      </c>
      <c r="G551" t="n">
        <v>167.9</v>
      </c>
      <c r="H551" t="n">
        <v>120</v>
      </c>
      <c r="I551" t="n">
        <v>139</v>
      </c>
      <c r="J551" t="n">
        <v>136</v>
      </c>
      <c r="K551" t="n">
        <v>107</v>
      </c>
      <c r="L551" t="n">
        <v>122</v>
      </c>
      <c r="M551" t="n">
        <v>20.3</v>
      </c>
      <c r="N551" t="n">
        <v>1780</v>
      </c>
      <c r="O551" t="n">
        <v>1.09</v>
      </c>
      <c r="P551" t="n">
        <v>1946</v>
      </c>
      <c r="Q551" t="n">
        <v>167</v>
      </c>
      <c r="R551" t="n">
        <v>70</v>
      </c>
      <c r="S551" t="n">
        <v>46</v>
      </c>
      <c r="T551" t="n">
        <v>268</v>
      </c>
      <c r="U551" t="n">
        <v>32</v>
      </c>
      <c r="V551" t="n">
        <v>212</v>
      </c>
      <c r="W551" t="n">
        <v>0.6870000000000001</v>
      </c>
      <c r="X551" t="n">
        <v>173</v>
      </c>
      <c r="Y551" t="n">
        <v>117</v>
      </c>
      <c r="Z551" t="n">
        <v>95</v>
      </c>
      <c r="AA551" t="n">
        <v>5</v>
      </c>
      <c r="AB551" t="n">
        <v>8.4</v>
      </c>
      <c r="AC551" t="inlineStr">
        <is>
          <t xml:space="preserve"> Powder</t>
        </is>
      </c>
      <c r="AD551" t="inlineStr">
        <is>
          <t xml:space="preserve"> Touring</t>
        </is>
      </c>
      <c r="AG551" t="inlineStr">
        <is>
          <t>Black Crows Atris Birdie Skis - Women's - 2022</t>
        </is>
      </c>
      <c r="AH551" t="inlineStr">
        <is>
          <t>Telemark Pyrenees</t>
        </is>
      </c>
      <c r="AI551" s="333" t="n">
        <v>632.5599999999999</v>
      </c>
      <c r="AJ551" t="inlineStr">
        <is>
          <t>https://tinyurl.com/yd2fxh7o</t>
        </is>
      </c>
      <c r="AK551" t="inlineStr">
        <is>
          <t>Black Crows Atris Birdie Skis - Women's - 2022</t>
        </is>
      </c>
      <c r="AL551" t="inlineStr">
        <is>
          <t>Teton Wasatch Ski Co.</t>
        </is>
      </c>
      <c r="AM551" s="333" t="n">
        <v>671</v>
      </c>
      <c r="AN551" t="inlineStr">
        <is>
          <t>https://tinyurl.com/ya8e3tth</t>
        </is>
      </c>
      <c r="AO551" t="inlineStr">
        <is>
          <t>Black Crows Atris Birdie Skis - Women's - 2022</t>
        </is>
      </c>
      <c r="AP551" t="inlineStr">
        <is>
          <t>Powder7 Ski Shop</t>
        </is>
      </c>
      <c r="AQ551" s="333" t="n">
        <v>671.9299999999999</v>
      </c>
      <c r="AR551" t="inlineStr">
        <is>
          <t>https://tinyurl.com/ybpjaen8</t>
        </is>
      </c>
      <c r="AS551" s="314">
        <f>IF(LEFT(C551,1)=" ",RIGHT(C551,LEN(C551)-1),C551)</f>
        <v/>
      </c>
      <c r="AT551" s="281">
        <f>_xlfn.CONCAT(B551,AS551,D551,E551)</f>
        <v/>
      </c>
    </row>
    <row r="552">
      <c r="A552" t="inlineStr">
        <is>
          <t>21/22</t>
        </is>
      </c>
      <c r="B552" t="inlineStr">
        <is>
          <t xml:space="preserve"> Blizzard</t>
        </is>
      </c>
      <c r="C552" t="inlineStr">
        <is>
          <t>Phoenix 7.2</t>
        </is>
      </c>
      <c r="D552" t="n">
        <v>153</v>
      </c>
      <c r="E552" t="inlineStr">
        <is>
          <t xml:space="preserve"> Women's</t>
        </is>
      </c>
      <c r="F552" t="n">
        <v>153</v>
      </c>
      <c r="G552" t="n">
        <v>151.4</v>
      </c>
      <c r="H552" t="n">
        <v>132</v>
      </c>
      <c r="I552" t="n">
        <v>139</v>
      </c>
      <c r="J552" t="n">
        <v>119</v>
      </c>
      <c r="K552" t="n">
        <v>71</v>
      </c>
      <c r="L552" t="n">
        <v>101</v>
      </c>
      <c r="M552" t="n">
        <v>12.5</v>
      </c>
      <c r="N552" t="n">
        <v>1608</v>
      </c>
      <c r="O552" t="n">
        <v>0.8</v>
      </c>
      <c r="P552" t="n">
        <v>1292</v>
      </c>
      <c r="Q552" t="n">
        <v>202</v>
      </c>
      <c r="R552" t="n">
        <v>74</v>
      </c>
      <c r="S552" t="n">
        <v>31</v>
      </c>
      <c r="T552" t="n">
        <v>133</v>
      </c>
      <c r="U552" t="n">
        <v>8</v>
      </c>
      <c r="V552" t="n">
        <v>64</v>
      </c>
      <c r="W552" t="n">
        <v>0.259</v>
      </c>
      <c r="X552" t="n">
        <v>73</v>
      </c>
      <c r="Y552" t="n">
        <v>51</v>
      </c>
      <c r="Z552" t="n">
        <v>59</v>
      </c>
      <c r="AA552" t="n">
        <v>7</v>
      </c>
      <c r="AB552" t="n">
        <v>10.2</v>
      </c>
      <c r="AC552" t="inlineStr">
        <is>
          <t xml:space="preserve"> On-Piste Carving</t>
        </is>
      </c>
      <c r="AG552" t="inlineStr">
        <is>
          <t>Blizzard Ski Women's Phoenix 7.2 w/ TLT10 Skis</t>
        </is>
      </c>
      <c r="AH552" t="inlineStr">
        <is>
          <t>The-House.com</t>
        </is>
      </c>
      <c r="AI552" s="333" t="n">
        <v>399.95</v>
      </c>
      <c r="AJ552" t="inlineStr">
        <is>
          <t>https://tinyurl.com/ycmyuecj</t>
        </is>
      </c>
      <c r="AK552" t="inlineStr">
        <is>
          <t>Blizzard Phoenix 7.2 Anthracite</t>
        </is>
      </c>
      <c r="AL552" t="inlineStr">
        <is>
          <t>SportÃ¨que</t>
        </is>
      </c>
      <c r="AM552" s="333" t="n">
        <v>400.85</v>
      </c>
      <c r="AN552" t="inlineStr">
        <is>
          <t>https://tinyurl.com/yavfh4ej</t>
        </is>
      </c>
      <c r="AO552" t="inlineStr">
        <is>
          <t>Blizzard Women's Phoenix 7.7 w/TLT10 Skis 153</t>
        </is>
      </c>
      <c r="AP552" t="inlineStr">
        <is>
          <t>sunandski.com</t>
        </is>
      </c>
      <c r="AQ552" s="333" t="n">
        <v>399.93</v>
      </c>
      <c r="AR552" t="inlineStr">
        <is>
          <t>https://tinyurl.com/y7egpx2e</t>
        </is>
      </c>
      <c r="AS552" s="314">
        <f>IF(LEFT(C552,1)=" ",RIGHT(C552,LEN(C552)-1),C552)</f>
        <v/>
      </c>
      <c r="AT552" s="281">
        <f>_xlfn.CONCAT(B552,AS552,D552,E552)</f>
        <v/>
      </c>
    </row>
    <row r="553">
      <c r="A553" t="inlineStr">
        <is>
          <t>21/22</t>
        </is>
      </c>
      <c r="B553" t="inlineStr">
        <is>
          <t xml:space="preserve"> Vï¿½lkl</t>
        </is>
      </c>
      <c r="C553" t="inlineStr">
        <is>
          <t>Kendo 88</t>
        </is>
      </c>
      <c r="D553" t="n">
        <v>177</v>
      </c>
      <c r="E553" t="inlineStr">
        <is>
          <t xml:space="preserve"> Unisex</t>
        </is>
      </c>
      <c r="F553" t="n">
        <v>177</v>
      </c>
      <c r="G553" t="n">
        <v>178.3</v>
      </c>
      <c r="H553" t="n">
        <v>101</v>
      </c>
      <c r="I553" t="n">
        <v>154</v>
      </c>
      <c r="J553" t="n">
        <v>128</v>
      </c>
      <c r="K553" t="n">
        <v>88</v>
      </c>
      <c r="L553" t="n">
        <v>111</v>
      </c>
      <c r="M553" t="n">
        <v>17.8</v>
      </c>
      <c r="N553" t="n">
        <v>1957</v>
      </c>
      <c r="O553" t="n">
        <v>0.91</v>
      </c>
      <c r="P553" t="n">
        <v>1790</v>
      </c>
      <c r="Q553" t="n">
        <v>227</v>
      </c>
      <c r="R553" t="n">
        <v>145</v>
      </c>
      <c r="S553" t="n">
        <v>44</v>
      </c>
      <c r="T553" t="n">
        <v>418</v>
      </c>
      <c r="U553" t="n">
        <v>16</v>
      </c>
      <c r="V553" t="n">
        <v>355</v>
      </c>
      <c r="W553" t="n">
        <v>0.363</v>
      </c>
      <c r="X553" t="n">
        <v>133</v>
      </c>
      <c r="Y553" t="n">
        <v>106</v>
      </c>
      <c r="Z553" t="n">
        <v>285</v>
      </c>
      <c r="AA553" t="n">
        <v>2</v>
      </c>
      <c r="AB553" t="n">
        <v>11.9</v>
      </c>
      <c r="AC553" t="inlineStr">
        <is>
          <t xml:space="preserve"> Resort Freeride</t>
        </is>
      </c>
      <c r="AG553" t="inlineStr">
        <is>
          <t>VÃ¶lkl Kendo 88 22/23 Skis Â· 177 cm</t>
        </is>
      </c>
      <c r="AH553" t="inlineStr">
        <is>
          <t>Curated</t>
        </is>
      </c>
      <c r="AI553" s="333" t="n">
        <v>699.99</v>
      </c>
      <c r="AJ553" t="inlineStr">
        <is>
          <t>https://tinyurl.com/y6wpxdq8</t>
        </is>
      </c>
      <c r="AK553" t="inlineStr">
        <is>
          <t>Volkl Kendo 88 Skis</t>
        </is>
      </c>
      <c r="AL553" t="inlineStr">
        <is>
          <t>Powder7 Ski Shop</t>
        </is>
      </c>
      <c r="AM553" s="333" t="n">
        <v>519.91</v>
      </c>
      <c r="AN553" t="inlineStr">
        <is>
          <t>https://tinyurl.com/ycah97my</t>
        </is>
      </c>
      <c r="AO553" t="inlineStr">
        <is>
          <t>Volkl Kendo 88 Flat Ski 2021-2022 | BLUE/BLACK / 177</t>
        </is>
      </c>
      <c r="AP553" t="inlineStr">
        <is>
          <t>Ski Pro  - Snow Ski &amp; Snowboard</t>
        </is>
      </c>
      <c r="AQ553" s="333" t="n">
        <v>649.95</v>
      </c>
      <c r="AR553" t="inlineStr">
        <is>
          <t>https://tinyurl.com/y7jykn62</t>
        </is>
      </c>
      <c r="AS553" s="314">
        <f>IF(LEFT(C553,1)=" ",RIGHT(C553,LEN(C553)-1),C553)</f>
        <v/>
      </c>
      <c r="AT553" s="281">
        <f>_xlfn.CONCAT(B553,AS553,D553,E553)</f>
        <v/>
      </c>
    </row>
    <row r="554">
      <c r="A554" t="inlineStr">
        <is>
          <t>21/22</t>
        </is>
      </c>
      <c r="B554" t="inlineStr">
        <is>
          <t>K2</t>
        </is>
      </c>
      <c r="C554" t="inlineStr">
        <is>
          <t>Mindbender 90C</t>
        </is>
      </c>
      <c r="D554" t="n">
        <v>170</v>
      </c>
      <c r="E554" t="inlineStr">
        <is>
          <t xml:space="preserve"> Unisex</t>
        </is>
      </c>
      <c r="F554" t="n">
        <v>170</v>
      </c>
      <c r="G554" t="n">
        <v>170.2</v>
      </c>
      <c r="H554" t="n">
        <v>130</v>
      </c>
      <c r="I554" t="n">
        <v>142</v>
      </c>
      <c r="J554" t="n">
        <v>126</v>
      </c>
      <c r="K554" t="n">
        <v>89</v>
      </c>
      <c r="L554" t="n">
        <v>112</v>
      </c>
      <c r="M554" t="n">
        <v>16</v>
      </c>
      <c r="N554" t="n">
        <v>1562</v>
      </c>
      <c r="O554" t="n">
        <v>1.1</v>
      </c>
      <c r="P554" t="n">
        <v>1724</v>
      </c>
      <c r="Q554" t="n">
        <v>156</v>
      </c>
      <c r="R554" t="n">
        <v>80</v>
      </c>
      <c r="S554" t="n">
        <v>49</v>
      </c>
      <c r="T554" t="n">
        <v>236</v>
      </c>
      <c r="U554" t="n">
        <v>16</v>
      </c>
      <c r="V554" t="n">
        <v>171</v>
      </c>
      <c r="W554" t="n">
        <v>0.325</v>
      </c>
      <c r="X554" t="n">
        <v>155</v>
      </c>
      <c r="Y554" t="n">
        <v>126</v>
      </c>
      <c r="Z554" t="n">
        <v>81</v>
      </c>
      <c r="AA554" t="n">
        <v>7</v>
      </c>
      <c r="AB554" t="n">
        <v>10.6</v>
      </c>
      <c r="AC554" t="inlineStr">
        <is>
          <t xml:space="preserve"> Resort Freeride</t>
        </is>
      </c>
      <c r="AD554" t="inlineStr">
        <is>
          <t xml:space="preserve"> Touring</t>
        </is>
      </c>
      <c r="AG554" t="inlineStr">
        <is>
          <t>K2 Mindbender 90C Skis</t>
        </is>
      </c>
      <c r="AH554" t="inlineStr">
        <is>
          <t>Aspen Ski and Board</t>
        </is>
      </c>
      <c r="AI554" s="333" t="n">
        <v>399.95</v>
      </c>
      <c r="AJ554" t="inlineStr">
        <is>
          <t>https://tinyurl.com/yayb897x</t>
        </is>
      </c>
      <c r="AK554" t="inlineStr">
        <is>
          <t>'22 K2 Mindbender 90C Skis 170cm</t>
        </is>
      </c>
      <c r="AL554" t="inlineStr">
        <is>
          <t>Al's Ski Equipment Barn</t>
        </is>
      </c>
      <c r="AM554" s="333" t="n">
        <v>499</v>
      </c>
      <c r="AN554" t="inlineStr">
        <is>
          <t>https://tinyurl.com/ycl2le8w</t>
        </is>
      </c>
      <c r="AO554" t="inlineStr">
        <is>
          <t>K2 Mindbender 90C Alliance Skis Women's 2021 - 170</t>
        </is>
      </c>
      <c r="AP554" t="inlineStr">
        <is>
          <t>REI</t>
        </is>
      </c>
      <c r="AQ554" s="333" t="n">
        <v>499.95</v>
      </c>
      <c r="AR554" t="inlineStr">
        <is>
          <t>https://tinyurl.com/y8hk6jfp</t>
        </is>
      </c>
      <c r="AS554" s="314">
        <f>IF(LEFT(C554,1)=" ",RIGHT(C554,LEN(C554)-1),C554)</f>
        <v/>
      </c>
      <c r="AT554" s="281">
        <f>_xlfn.CONCAT(B554,AS554,D554,E554)</f>
        <v/>
      </c>
    </row>
    <row r="555">
      <c r="A555" t="inlineStr">
        <is>
          <t>21/22</t>
        </is>
      </c>
      <c r="B555" t="inlineStr">
        <is>
          <t xml:space="preserve"> Rossignol</t>
        </is>
      </c>
      <c r="C555" t="inlineStr">
        <is>
          <t>Experience 80 Carbon W</t>
        </is>
      </c>
      <c r="D555" t="n">
        <v>158</v>
      </c>
      <c r="E555" t="inlineStr">
        <is>
          <t xml:space="preserve"> Women's</t>
        </is>
      </c>
      <c r="F555" t="n">
        <v>158</v>
      </c>
      <c r="G555" t="n">
        <v>158.2</v>
      </c>
      <c r="H555" t="n">
        <v>120</v>
      </c>
      <c r="I555" t="n">
        <v>144</v>
      </c>
      <c r="J555" t="n">
        <v>125</v>
      </c>
      <c r="K555" t="n">
        <v>80</v>
      </c>
      <c r="L555" t="n">
        <v>114</v>
      </c>
      <c r="M555" t="n">
        <v>12.7</v>
      </c>
      <c r="N555" t="n">
        <v>1684</v>
      </c>
      <c r="O555" t="n">
        <v>0.89</v>
      </c>
      <c r="P555" t="n">
        <v>1503</v>
      </c>
      <c r="Q555" t="n">
        <v>198</v>
      </c>
      <c r="R555" t="n">
        <v>76</v>
      </c>
      <c r="S555" t="n">
        <v>48</v>
      </c>
      <c r="T555" t="n">
        <v>261</v>
      </c>
      <c r="U555" t="n">
        <v>13</v>
      </c>
      <c r="V555" t="n">
        <v>126</v>
      </c>
      <c r="W555" t="n">
        <v>0.266</v>
      </c>
      <c r="X555" t="n">
        <v>79</v>
      </c>
      <c r="Y555" t="n">
        <v>63</v>
      </c>
      <c r="Z555" t="n">
        <v>182</v>
      </c>
      <c r="AA555" t="n">
        <v>8</v>
      </c>
      <c r="AB555" t="n">
        <v>7.1</v>
      </c>
      <c r="AC555" t="inlineStr">
        <is>
          <t xml:space="preserve"> Resort Freeride</t>
        </is>
      </c>
      <c r="AG555" t="inlineStr">
        <is>
          <t>Rossignol Experience 80 Carbon Skis w/ Look Xpress 11 GW Bindings</t>
        </is>
      </c>
      <c r="AH555" t="inlineStr">
        <is>
          <t>eBay - top*outdoor*brands</t>
        </is>
      </c>
      <c r="AI555" s="333" t="n">
        <v>449.99</v>
      </c>
      <c r="AJ555" t="inlineStr">
        <is>
          <t>https://tinyurl.com/ybocwxzd</t>
        </is>
      </c>
      <c r="AK555" t="inlineStr">
        <is>
          <t>Rossignol Experience 80 Carbon Skis w/ Look Xpress 11 GW Bindings</t>
        </is>
      </c>
      <c r="AL555" t="inlineStr">
        <is>
          <t>The-House.com</t>
        </is>
      </c>
      <c r="AM555" s="333" t="n">
        <v>479.95</v>
      </c>
      <c r="AN555" t="inlineStr">
        <is>
          <t>https://tinyurl.com/ydfrmxlc</t>
        </is>
      </c>
      <c r="AO555" t="inlineStr">
        <is>
          <t>Rossignol Men's All Mountain Skis Experience 80 Carbon (xpress)</t>
        </is>
      </c>
      <c r="AP555" t="inlineStr">
        <is>
          <t>Rossignol US</t>
        </is>
      </c>
      <c r="AQ555" s="333" t="n">
        <v>599.95</v>
      </c>
      <c r="AR555" t="inlineStr">
        <is>
          <t>https://tinyurl.com/yaxcdshu</t>
        </is>
      </c>
      <c r="AS555" s="314">
        <f>IF(LEFT(C555,1)=" ",RIGHT(C555,LEN(C555)-1),C555)</f>
        <v/>
      </c>
      <c r="AT555" s="281">
        <f>_xlfn.CONCAT(B555,AS555,D555,E555)</f>
        <v/>
      </c>
    </row>
    <row r="556">
      <c r="A556" t="inlineStr">
        <is>
          <t>21/22</t>
        </is>
      </c>
      <c r="B556" t="inlineStr">
        <is>
          <t xml:space="preserve"> Armada</t>
        </is>
      </c>
      <c r="C556" t="inlineStr">
        <is>
          <t>Declivity 82 Ti</t>
        </is>
      </c>
      <c r="D556" t="n">
        <v>166</v>
      </c>
      <c r="E556" t="inlineStr">
        <is>
          <t xml:space="preserve"> Unisex</t>
        </is>
      </c>
      <c r="F556" t="n">
        <v>166</v>
      </c>
      <c r="G556" t="n">
        <v>165.6</v>
      </c>
      <c r="H556" t="n">
        <v>139</v>
      </c>
      <c r="I556" t="n">
        <v>148</v>
      </c>
      <c r="J556" t="n">
        <v>125</v>
      </c>
      <c r="K556" t="n">
        <v>81</v>
      </c>
      <c r="L556" t="n">
        <v>108</v>
      </c>
      <c r="M556" t="n">
        <v>15.4</v>
      </c>
      <c r="N556" t="n">
        <v>1536</v>
      </c>
      <c r="O556" t="n">
        <v>1.02</v>
      </c>
      <c r="P556" t="n">
        <v>1569</v>
      </c>
      <c r="Q556" t="n">
        <v>211</v>
      </c>
      <c r="R556" t="n">
        <v>119</v>
      </c>
      <c r="S556" t="n">
        <v>35</v>
      </c>
      <c r="T556" t="n">
        <v>172</v>
      </c>
      <c r="U556" t="n">
        <v>10</v>
      </c>
      <c r="V556" t="n">
        <v>98</v>
      </c>
      <c r="W556" t="n">
        <v>0.282</v>
      </c>
      <c r="X556" t="n">
        <v>114</v>
      </c>
      <c r="Y556" t="n">
        <v>58</v>
      </c>
      <c r="Z556" t="n">
        <v>58</v>
      </c>
      <c r="AA556" t="n">
        <v>10</v>
      </c>
      <c r="AB556" t="n">
        <v>10.2</v>
      </c>
      <c r="AC556" t="inlineStr">
        <is>
          <t xml:space="preserve"> On-Piste All-Mountain</t>
        </is>
      </c>
      <c r="AD556" t="inlineStr">
        <is>
          <t xml:space="preserve"> Resort Freeride</t>
        </is>
      </c>
      <c r="AG556" t="inlineStr">
        <is>
          <t>Armada Declivity 82 Ti Skis Â· 2022 Â· 166 cm</t>
        </is>
      </c>
      <c r="AH556" t="inlineStr">
        <is>
          <t>The-House.com</t>
        </is>
      </c>
      <c r="AI556" s="333" t="n">
        <v>599.95</v>
      </c>
      <c r="AJ556" t="inlineStr">
        <is>
          <t>https://tinyurl.com/ybxthpyr</t>
        </is>
      </c>
      <c r="AK556" t="inlineStr">
        <is>
          <t>Armada Reliance 82 Ti Skis - Women's 2022</t>
        </is>
      </c>
      <c r="AL556" t="inlineStr">
        <is>
          <t>Teton Wasatch Ski Co.</t>
        </is>
      </c>
      <c r="AM556" s="333" t="n">
        <v>479</v>
      </c>
      <c r="AN556" t="inlineStr">
        <is>
          <t>https://tinyurl.com/yc73wjv6</t>
        </is>
      </c>
      <c r="AO556" t="inlineStr">
        <is>
          <t>Armada Reliance 82 Ti + EM10 21/22</t>
        </is>
      </c>
      <c r="AP556" t="inlineStr">
        <is>
          <t>Snowcountry.eu</t>
        </is>
      </c>
      <c r="AQ556" s="333" t="n">
        <v>552.3099999999999</v>
      </c>
      <c r="AR556" t="inlineStr">
        <is>
          <t>https://tinyurl.com/yc68mtq7</t>
        </is>
      </c>
      <c r="AS556" s="314">
        <f>IF(LEFT(C556,1)=" ",RIGHT(C556,LEN(C556)-1),C556)</f>
        <v/>
      </c>
      <c r="AT556" s="281">
        <f>_xlfn.CONCAT(B556,AS556,D556,E556)</f>
        <v/>
      </c>
    </row>
    <row r="557">
      <c r="A557" t="inlineStr">
        <is>
          <t>21/22</t>
        </is>
      </c>
      <c r="B557" t="inlineStr">
        <is>
          <t xml:space="preserve"> Rossignol</t>
        </is>
      </c>
      <c r="C557" t="inlineStr">
        <is>
          <t>Experience 82 Basalt</t>
        </is>
      </c>
      <c r="D557" t="n">
        <v>160</v>
      </c>
      <c r="E557" t="inlineStr">
        <is>
          <t xml:space="preserve"> Unisex</t>
        </is>
      </c>
      <c r="F557" t="n">
        <v>160</v>
      </c>
      <c r="G557" t="n">
        <v>158.5</v>
      </c>
      <c r="H557" t="n">
        <v>120</v>
      </c>
      <c r="I557" t="n">
        <v>143</v>
      </c>
      <c r="J557" t="n">
        <v>124</v>
      </c>
      <c r="K557" t="n">
        <v>80</v>
      </c>
      <c r="L557" t="n">
        <v>113</v>
      </c>
      <c r="M557" t="n">
        <v>12.8</v>
      </c>
      <c r="N557" t="n">
        <v>1651</v>
      </c>
      <c r="O557" t="n">
        <v>0.9</v>
      </c>
      <c r="P557" t="n">
        <v>1493</v>
      </c>
      <c r="Q557" t="n">
        <v>179</v>
      </c>
      <c r="R557" t="n">
        <v>72</v>
      </c>
      <c r="S557" t="n">
        <v>47</v>
      </c>
      <c r="T557" t="n">
        <v>258</v>
      </c>
      <c r="U557" t="n">
        <v>12</v>
      </c>
      <c r="V557" t="n">
        <v>123</v>
      </c>
      <c r="W557" t="n">
        <v>0.26</v>
      </c>
      <c r="X557" t="n">
        <v>88</v>
      </c>
      <c r="Y557" t="n">
        <v>63</v>
      </c>
      <c r="Z557" t="n">
        <v>170</v>
      </c>
      <c r="AA557" t="n">
        <v>10</v>
      </c>
      <c r="AB557" t="n">
        <v>7.1</v>
      </c>
      <c r="AC557" t="inlineStr">
        <is>
          <t xml:space="preserve"> Other</t>
        </is>
      </c>
      <c r="AG557" t="inlineStr">
        <is>
          <t>Rossignol Experience 82 Basalt Mens Skis w/NX 12 Konect GW Bindings</t>
        </is>
      </c>
      <c r="AH557" t="inlineStr">
        <is>
          <t>Curated</t>
        </is>
      </c>
      <c r="AI557" s="333" t="n">
        <v>669.95</v>
      </c>
      <c r="AJ557" t="inlineStr">
        <is>
          <t>https://tinyurl.com/yabne7lo</t>
        </is>
      </c>
      <c r="AK557" t="inlineStr">
        <is>
          <t>Rossignol Experience 82 Ti Konnect Black 160 Ski Men</t>
        </is>
      </c>
      <c r="AL557" t="inlineStr">
        <is>
          <t>! OutdoorXL.com</t>
        </is>
      </c>
      <c r="AM557" s="333" t="n">
        <v>469.95</v>
      </c>
      <c r="AN557" t="inlineStr">
        <is>
          <t>https://tinyurl.com/y8kylqhh</t>
        </is>
      </c>
      <c r="AO557" t="inlineStr">
        <is>
          <t>Rossignol Experience 82 Ti Skis Mens 2022 Multicolor 160cm Skis</t>
        </is>
      </c>
      <c r="AP557" t="inlineStr">
        <is>
          <t>Aspen Ski and Board</t>
        </is>
      </c>
      <c r="AQ557" s="333" t="n">
        <v>559.95</v>
      </c>
      <c r="AR557" t="inlineStr">
        <is>
          <t>https://tinyurl.com/yaw9g29x</t>
        </is>
      </c>
      <c r="AS557" s="314">
        <f>IF(LEFT(C557,1)=" ",RIGHT(C557,LEN(C557)-1),C557)</f>
        <v/>
      </c>
      <c r="AT557" s="281">
        <f>_xlfn.CONCAT(B557,AS557,D557,E557)</f>
        <v/>
      </c>
    </row>
    <row r="558">
      <c r="A558" t="inlineStr">
        <is>
          <t>21/22</t>
        </is>
      </c>
      <c r="B558" t="inlineStr">
        <is>
          <t xml:space="preserve"> Armada</t>
        </is>
      </c>
      <c r="C558" t="inlineStr">
        <is>
          <t>Trace 88</t>
        </is>
      </c>
      <c r="D558" t="n">
        <v>172</v>
      </c>
      <c r="E558" t="inlineStr">
        <is>
          <t xml:space="preserve"> Women's</t>
        </is>
      </c>
      <c r="F558" t="n">
        <v>172</v>
      </c>
      <c r="G558" t="n">
        <v>171.2</v>
      </c>
      <c r="H558" t="n">
        <v>139</v>
      </c>
      <c r="I558" t="n">
        <v>144</v>
      </c>
      <c r="J558" t="n">
        <v>115</v>
      </c>
      <c r="K558" t="n">
        <v>87</v>
      </c>
      <c r="L558" t="n">
        <v>107</v>
      </c>
      <c r="M558" t="n">
        <v>20.4</v>
      </c>
      <c r="N558" t="n">
        <v>1246</v>
      </c>
      <c r="O558" t="n">
        <v>1.32</v>
      </c>
      <c r="P558" t="n">
        <v>1643</v>
      </c>
      <c r="Q558" t="n">
        <v>190</v>
      </c>
      <c r="R558" t="n">
        <v>84</v>
      </c>
      <c r="S558" t="n">
        <v>42</v>
      </c>
      <c r="T558" t="n">
        <v>205</v>
      </c>
      <c r="U558" t="n">
        <v>11</v>
      </c>
      <c r="V558" t="n">
        <v>121</v>
      </c>
      <c r="W558" t="n">
        <v>0.253</v>
      </c>
      <c r="X558" t="n">
        <v>166</v>
      </c>
      <c r="Y558" t="n">
        <v>106</v>
      </c>
      <c r="Z558" t="n">
        <v>39</v>
      </c>
      <c r="AA558" t="n">
        <v>4</v>
      </c>
      <c r="AB558" t="n">
        <v>7</v>
      </c>
      <c r="AC558" t="inlineStr">
        <is>
          <t xml:space="preserve"> Touring</t>
        </is>
      </c>
      <c r="AD558" t="inlineStr">
        <is>
          <t xml:space="preserve"> Ultralight Touring</t>
        </is>
      </c>
      <c r="AG558" t="inlineStr">
        <is>
          <t>Armada Women's Trace 88 Ski</t>
        </is>
      </c>
      <c r="AH558" t="inlineStr">
        <is>
          <t>Snowcountry.eu</t>
        </is>
      </c>
      <c r="AI558" s="333" t="n">
        <v>367.9</v>
      </c>
      <c r="AJ558" t="inlineStr">
        <is>
          <t>https://www.google.com/url?q=https://www.snowcountry.eu/armada-trace-88-2316.html%3Fartikel_maat%3D65330%26country%3DUS&amp;sa=U&amp;ved=0ahUKEwim8-ahwO72AhXiNX0KHVCKAF8Q2ykIGQ&amp;usg=AOvVaw0NvaoV1vWkomiwSD0_TGy7</t>
        </is>
      </c>
      <c r="AK558" t="inlineStr">
        <is>
          <t>Armada Women's Trace 88 Ski</t>
        </is>
      </c>
      <c r="AL558" t="inlineStr">
        <is>
          <t>PRFO Sports</t>
        </is>
      </c>
      <c r="AM558" s="333" t="n">
        <v>416.08</v>
      </c>
      <c r="AN558" t="inlineStr">
        <is>
          <t>https://tinyurl.com/yc8jd3k3</t>
        </is>
      </c>
      <c r="AO558" t="inlineStr">
        <is>
          <t>Armada Women's Trace 88 Ski</t>
        </is>
      </c>
      <c r="AP558" t="inlineStr">
        <is>
          <t>REI</t>
        </is>
      </c>
      <c r="AQ558" s="333" t="n">
        <v>479.93</v>
      </c>
      <c r="AR558" t="inlineStr">
        <is>
          <t>https://tinyurl.com/ya69r7vk</t>
        </is>
      </c>
      <c r="AS558" s="314">
        <f>IF(LEFT(C558,1)=" ",RIGHT(C558,LEN(C558)-1),C558)</f>
        <v/>
      </c>
      <c r="AT558" s="281">
        <f>_xlfn.CONCAT(B558,AS558,D558,E558)</f>
        <v/>
      </c>
    </row>
    <row r="559">
      <c r="A559" t="inlineStr">
        <is>
          <t>21/22</t>
        </is>
      </c>
      <c r="B559" t="inlineStr">
        <is>
          <t xml:space="preserve"> Armada</t>
        </is>
      </c>
      <c r="C559" t="inlineStr">
        <is>
          <t>Reliance 102 Ti</t>
        </is>
      </c>
      <c r="D559" t="n">
        <v>172</v>
      </c>
      <c r="E559" t="inlineStr">
        <is>
          <t xml:space="preserve"> Women's</t>
        </is>
      </c>
      <c r="F559" t="n">
        <v>172</v>
      </c>
      <c r="G559" t="n">
        <v>171.4</v>
      </c>
      <c r="H559" t="n">
        <v>127</v>
      </c>
      <c r="I559" t="n">
        <v>141</v>
      </c>
      <c r="J559" t="n">
        <v>133</v>
      </c>
      <c r="K559" t="n">
        <v>101</v>
      </c>
      <c r="L559" t="n">
        <v>123</v>
      </c>
      <c r="M559" t="n">
        <v>17.4</v>
      </c>
      <c r="N559" t="n">
        <v>1873</v>
      </c>
      <c r="O559" t="n">
        <v>1.02</v>
      </c>
      <c r="P559" t="n">
        <v>1917</v>
      </c>
      <c r="Q559" t="n">
        <v>213</v>
      </c>
      <c r="R559" t="n">
        <v>131</v>
      </c>
      <c r="S559" t="n">
        <v>52</v>
      </c>
      <c r="T559" t="n">
        <v>285</v>
      </c>
      <c r="U559" t="n">
        <v>17</v>
      </c>
      <c r="V559" t="n">
        <v>161</v>
      </c>
      <c r="W559" t="n">
        <v>0.336</v>
      </c>
      <c r="X559" t="n">
        <v>181</v>
      </c>
      <c r="Y559" t="n">
        <v>127</v>
      </c>
      <c r="Z559" t="n">
        <v>105</v>
      </c>
      <c r="AA559" t="n">
        <v>8</v>
      </c>
      <c r="AB559" t="n">
        <v>8.4</v>
      </c>
      <c r="AC559" t="inlineStr">
        <is>
          <t xml:space="preserve"> Resort Freeride</t>
        </is>
      </c>
      <c r="AD559" t="inlineStr">
        <is>
          <t xml:space="preserve"> Big Mountain</t>
        </is>
      </c>
      <c r="AG559" t="inlineStr">
        <is>
          <t>Armada Reliance 102 Ti Ski - 2022 - Women's Black/Orange, 172cm</t>
        </is>
      </c>
      <c r="AH559" t="inlineStr">
        <is>
          <t>Ski Pro  - Snow Ski &amp; Snowboard</t>
        </is>
      </c>
      <c r="AI559" s="333" t="n">
        <v>639.95</v>
      </c>
      <c r="AJ559" t="inlineStr">
        <is>
          <t>https://tinyurl.com/ya2yxkcy</t>
        </is>
      </c>
      <c r="AK559" t="inlineStr">
        <is>
          <t>Armada Reliance 102 Ti Ski - 2022 - Women's Black/Orange, 172cm</t>
        </is>
      </c>
      <c r="AL559" t="inlineStr">
        <is>
          <t>Backcountry.com</t>
        </is>
      </c>
      <c r="AM559" s="333" t="n">
        <v>799.95</v>
      </c>
      <c r="AN559" t="inlineStr">
        <is>
          <t>https://tinyurl.com/ybnfmluk</t>
        </is>
      </c>
      <c r="AO559" t="inlineStr">
        <is>
          <t>Armada Declivity 102 Ti Skis</t>
        </is>
      </c>
      <c r="AP559" t="inlineStr">
        <is>
          <t>Snowcountry.eu</t>
        </is>
      </c>
      <c r="AQ559" s="333" t="n">
        <v>450.88</v>
      </c>
      <c r="AR559" t="inlineStr">
        <is>
          <t>https://tinyurl.com/y86yxanu</t>
        </is>
      </c>
      <c r="AS559" s="314">
        <f>IF(LEFT(C559,1)=" ",RIGHT(C559,LEN(C559)-1),C559)</f>
        <v/>
      </c>
      <c r="AT559" s="281">
        <f>_xlfn.CONCAT(B559,AS559,D559,E559)</f>
        <v/>
      </c>
    </row>
    <row r="560">
      <c r="A560" t="inlineStr">
        <is>
          <t>21/22</t>
        </is>
      </c>
      <c r="B560" t="inlineStr">
        <is>
          <t>K2</t>
        </is>
      </c>
      <c r="C560" t="inlineStr">
        <is>
          <t>Mindbender 98 Ti Alliance</t>
        </is>
      </c>
      <c r="D560" t="n">
        <v>154</v>
      </c>
      <c r="E560" t="inlineStr">
        <is>
          <t xml:space="preserve"> Women's</t>
        </is>
      </c>
      <c r="F560" t="n">
        <v>154</v>
      </c>
      <c r="G560" t="n">
        <v>154.1</v>
      </c>
      <c r="H560" t="n">
        <v>108</v>
      </c>
      <c r="I560" t="n">
        <v>126</v>
      </c>
      <c r="J560" t="n">
        <v>133</v>
      </c>
      <c r="K560" t="n">
        <v>98</v>
      </c>
      <c r="L560" t="n">
        <v>119</v>
      </c>
      <c r="M560" t="n">
        <v>13.1</v>
      </c>
      <c r="N560" t="n">
        <v>1594</v>
      </c>
      <c r="O560" t="n">
        <v>1.06</v>
      </c>
      <c r="P560" t="n">
        <v>1683</v>
      </c>
      <c r="Q560" t="n">
        <v>117</v>
      </c>
      <c r="R560" t="n">
        <v>84</v>
      </c>
      <c r="S560" t="n">
        <v>44</v>
      </c>
      <c r="T560" t="n">
        <v>296</v>
      </c>
      <c r="U560" t="n">
        <v>14</v>
      </c>
      <c r="V560" t="n">
        <v>168</v>
      </c>
      <c r="W560" t="n">
        <v>0.324</v>
      </c>
      <c r="X560" t="n">
        <v>157</v>
      </c>
      <c r="Y560" t="n">
        <v>122</v>
      </c>
      <c r="Z560" t="n">
        <v>138</v>
      </c>
      <c r="AA560" t="n">
        <v>7</v>
      </c>
      <c r="AB560" t="n">
        <v>9.800000000000001</v>
      </c>
      <c r="AC560" t="inlineStr">
        <is>
          <t xml:space="preserve"> Resort Freeride</t>
        </is>
      </c>
      <c r="AD560" t="inlineStr">
        <is>
          <t xml:space="preserve"> Touring</t>
        </is>
      </c>
      <c r="AG560" t="inlineStr">
        <is>
          <t>K2 Mindbender 98 Ti Womens Demo Ski's W/ Warden 11 Binding - All Sizes</t>
        </is>
      </c>
      <c r="AH560" t="inlineStr">
        <is>
          <t>eBay - livetoride6393</t>
        </is>
      </c>
      <c r="AI560" s="333" t="n">
        <v>419.99</v>
      </c>
      <c r="AJ560" t="inlineStr">
        <is>
          <t>https://tinyurl.com/y9xxcoje</t>
        </is>
      </c>
      <c r="AK560" t="inlineStr">
        <is>
          <t>K2 Mindbender 98Ti Alliance 2022, 154</t>
        </is>
      </c>
      <c r="AL560" t="inlineStr">
        <is>
          <t>PRFO Sports</t>
        </is>
      </c>
      <c r="AM560" s="333" t="n">
        <v>448.96</v>
      </c>
      <c r="AN560" t="inlineStr">
        <is>
          <t>https://tinyurl.com/yah5j9d5</t>
        </is>
      </c>
      <c r="AO560" t="inlineStr">
        <is>
          <t>K2 Mindbender 98Ti Alliance Skis 2021 - 154cm</t>
        </is>
      </c>
      <c r="AP560" t="inlineStr">
        <is>
          <t>ColoradoSkiShop.com</t>
        </is>
      </c>
      <c r="AQ560" s="333" t="n">
        <v>699.95</v>
      </c>
      <c r="AR560" t="inlineStr">
        <is>
          <t>https://tinyurl.com/ydcfuevr</t>
        </is>
      </c>
      <c r="AS560" s="314">
        <f>IF(LEFT(C560,1)=" ",RIGHT(C560,LEN(C560)-1),C560)</f>
        <v/>
      </c>
      <c r="AT560" s="281">
        <f>_xlfn.CONCAT(B560,AS560,D560,E560)</f>
        <v/>
      </c>
    </row>
    <row r="561">
      <c r="A561" t="inlineStr">
        <is>
          <t>21/22</t>
        </is>
      </c>
      <c r="B561" t="inlineStr">
        <is>
          <t xml:space="preserve"> Blizzard</t>
        </is>
      </c>
      <c r="C561" t="inlineStr">
        <is>
          <t>Phoenix S R13 Ti</t>
        </is>
      </c>
      <c r="D561" t="n">
        <v>156</v>
      </c>
      <c r="E561" t="inlineStr">
        <is>
          <t xml:space="preserve"> Women's</t>
        </is>
      </c>
      <c r="F561" t="n">
        <v>156</v>
      </c>
      <c r="G561" t="n">
        <v>154.2</v>
      </c>
      <c r="H561" t="n">
        <v>130</v>
      </c>
      <c r="I561" t="n">
        <v>142</v>
      </c>
      <c r="J561" t="n">
        <v>116</v>
      </c>
      <c r="K561" t="n">
        <v>71</v>
      </c>
      <c r="L561" t="n">
        <v>99</v>
      </c>
      <c r="M561" t="n">
        <v>13.8</v>
      </c>
      <c r="N561" t="n">
        <v>1682</v>
      </c>
      <c r="O561" t="n">
        <v>0.78</v>
      </c>
      <c r="P561" t="n">
        <v>1304</v>
      </c>
      <c r="Q561" t="n">
        <v>180</v>
      </c>
      <c r="R561" t="n">
        <v>78</v>
      </c>
      <c r="S561" t="n">
        <v>42</v>
      </c>
      <c r="T561" t="n">
        <v>168</v>
      </c>
      <c r="U561" t="n">
        <v>8</v>
      </c>
      <c r="V561" t="n">
        <v>70</v>
      </c>
      <c r="W561" t="n">
        <v>0.196999999999999</v>
      </c>
      <c r="X561" t="n">
        <v>67</v>
      </c>
      <c r="Y561" t="n">
        <v>52</v>
      </c>
      <c r="Z561" t="n">
        <v>101</v>
      </c>
      <c r="AA561" t="n">
        <v>5</v>
      </c>
      <c r="AB561" t="n">
        <v>10.1</v>
      </c>
      <c r="AC561" t="inlineStr">
        <is>
          <t xml:space="preserve"> On-Piste Carving</t>
        </is>
      </c>
      <c r="AG561" t="inlineStr">
        <is>
          <t>Blizzard Rustler Team Skis - 2022 156cm</t>
        </is>
      </c>
      <c r="AH561" t="inlineStr">
        <is>
          <t>Glacier Ski Shop</t>
        </is>
      </c>
      <c r="AI561" s="333" t="n">
        <v>269</v>
      </c>
      <c r="AJ561" t="inlineStr">
        <is>
          <t>https://tinyurl.com/y8lszkkr</t>
        </is>
      </c>
      <c r="AK561" t="inlineStr">
        <is>
          <t>Blizzard Alight 8.2 CA Skis with TLX 11 Bindings- Women's 2021</t>
        </is>
      </c>
      <c r="AL561" t="inlineStr">
        <is>
          <t>Next Adventure</t>
        </is>
      </c>
      <c r="AM561" s="333" t="n">
        <v>359.97</v>
      </c>
      <c r="AN561" t="inlineStr">
        <is>
          <t>https://tinyurl.com/ycmp4bw4</t>
        </is>
      </c>
      <c r="AO561" t="inlineStr">
        <is>
          <t>2019 Blizzard Sheeva 11</t>
        </is>
      </c>
      <c r="AP561" t="inlineStr">
        <is>
          <t>eBay - larsonski</t>
        </is>
      </c>
      <c r="AQ561" s="333" t="n">
        <v>450</v>
      </c>
      <c r="AR561" t="inlineStr">
        <is>
          <t>https://tinyurl.com/ycfygykd</t>
        </is>
      </c>
      <c r="AS561" s="314">
        <f>IF(LEFT(C561,1)=" ",RIGHT(C561,LEN(C561)-1),C561)</f>
        <v/>
      </c>
      <c r="AT561" s="281">
        <f>_xlfn.CONCAT(B561,AS561,D561,E561)</f>
        <v/>
      </c>
    </row>
    <row r="562">
      <c r="A562" t="inlineStr">
        <is>
          <t>21/22</t>
        </is>
      </c>
      <c r="B562" t="inlineStr">
        <is>
          <t xml:space="preserve"> Line</t>
        </is>
      </c>
      <c r="C562" t="inlineStr">
        <is>
          <t xml:space="preserve"> Sakana</t>
        </is>
      </c>
      <c r="D562" t="n">
        <v>166</v>
      </c>
      <c r="E562" t="inlineStr">
        <is>
          <t xml:space="preserve"> Unisex</t>
        </is>
      </c>
      <c r="F562" t="n">
        <v>166</v>
      </c>
      <c r="G562" t="n">
        <v>166.2</v>
      </c>
      <c r="H562" t="n">
        <v>114</v>
      </c>
      <c r="I562" t="n">
        <v>136</v>
      </c>
      <c r="J562" t="n">
        <v>149</v>
      </c>
      <c r="K562" t="n">
        <v>104</v>
      </c>
      <c r="L562" t="n">
        <v>128</v>
      </c>
      <c r="M562" t="n">
        <v>12.8</v>
      </c>
      <c r="N562" t="n">
        <v>1650</v>
      </c>
      <c r="O562" t="n">
        <v>1.17</v>
      </c>
      <c r="P562" t="n">
        <v>1928</v>
      </c>
      <c r="Q562" t="n">
        <v>147</v>
      </c>
      <c r="R562" t="n">
        <v>74</v>
      </c>
      <c r="S562" t="n">
        <v>48</v>
      </c>
      <c r="T562" t="n">
        <v>383</v>
      </c>
      <c r="U562" t="n">
        <v>0</v>
      </c>
      <c r="V562" t="n">
        <v>139</v>
      </c>
      <c r="W562" t="n">
        <v>0.008999999999999999</v>
      </c>
      <c r="X562" t="n">
        <v>159</v>
      </c>
      <c r="Y562" t="n">
        <v>146</v>
      </c>
      <c r="Z562" t="n">
        <v>223</v>
      </c>
      <c r="AA562" t="n">
        <v>6</v>
      </c>
      <c r="AB562" t="n">
        <v>10.4</v>
      </c>
      <c r="AC562" t="inlineStr">
        <is>
          <t xml:space="preserve"> Resort Freeride</t>
        </is>
      </c>
      <c r="AD562" t="inlineStr">
        <is>
          <t xml:space="preserve"> Big Mountain</t>
        </is>
      </c>
      <c r="AE562" t="inlineStr">
        <is>
          <t xml:space="preserve"> Touring</t>
        </is>
      </c>
      <c r="AG562" t="inlineStr">
        <is>
          <t>Line Sakana Skis 2022</t>
        </is>
      </c>
      <c r="AH562" t="inlineStr">
        <is>
          <t>Telemark Pyrenees</t>
        </is>
      </c>
      <c r="AI562" s="333" t="n">
        <v>476.66</v>
      </c>
      <c r="AJ562" t="inlineStr">
        <is>
          <t>https://tinyurl.com/yc7w2xcd</t>
        </is>
      </c>
      <c r="AK562" t="inlineStr">
        <is>
          <t>Line SAKANA Skis 2022</t>
        </is>
      </c>
      <c r="AL562" t="inlineStr">
        <is>
          <t>PRFO Sports</t>
        </is>
      </c>
      <c r="AM562" s="333" t="n">
        <v>513.09</v>
      </c>
      <c r="AN562" t="inlineStr">
        <is>
          <t>https://tinyurl.com/y8z7acwn</t>
        </is>
      </c>
      <c r="AO562" t="inlineStr">
        <is>
          <t>Line Sakana Skis 2022</t>
        </is>
      </c>
      <c r="AP562" t="inlineStr">
        <is>
          <t>REI</t>
        </is>
      </c>
      <c r="AQ562" s="333" t="n">
        <v>599.9299999999999</v>
      </c>
      <c r="AR562" t="inlineStr">
        <is>
          <t>https://tinyurl.com/yd4wbzlb</t>
        </is>
      </c>
      <c r="AS562" s="314">
        <f>IF(LEFT(C562,1)=" ",RIGHT(C562,LEN(C562)-1),C562)</f>
        <v/>
      </c>
      <c r="AT562" s="281">
        <f>_xlfn.CONCAT(B562,AS562,D562,E562)</f>
        <v/>
      </c>
    </row>
    <row r="563">
      <c r="A563" t="inlineStr">
        <is>
          <t>21/22</t>
        </is>
      </c>
      <c r="B563" t="inlineStr">
        <is>
          <t xml:space="preserve"> Atomic</t>
        </is>
      </c>
      <c r="C563" t="inlineStr">
        <is>
          <t>Cloud C9</t>
        </is>
      </c>
      <c r="D563" t="n">
        <v>157</v>
      </c>
      <c r="E563" t="inlineStr">
        <is>
          <t xml:space="preserve"> Women's</t>
        </is>
      </c>
      <c r="F563" t="n">
        <v>157</v>
      </c>
      <c r="G563" t="n">
        <v>156.9</v>
      </c>
      <c r="H563" t="n">
        <v>138</v>
      </c>
      <c r="I563" t="n">
        <v>142</v>
      </c>
      <c r="J563" t="n">
        <v>112</v>
      </c>
      <c r="K563" t="n">
        <v>72</v>
      </c>
      <c r="L563" t="n">
        <v>98</v>
      </c>
      <c r="M563" t="n">
        <v>14.8</v>
      </c>
      <c r="N563" t="n">
        <v>1646</v>
      </c>
      <c r="O563" t="n">
        <v>0.8100000000000001</v>
      </c>
      <c r="P563" t="n">
        <v>1328</v>
      </c>
      <c r="Q563" t="n">
        <v>150</v>
      </c>
      <c r="R563" t="n">
        <v>75</v>
      </c>
      <c r="S563" t="n">
        <v>32</v>
      </c>
      <c r="T563" t="n">
        <v>138</v>
      </c>
      <c r="U563" t="n">
        <v>4</v>
      </c>
      <c r="V563" t="n">
        <v>48</v>
      </c>
      <c r="W563" t="n">
        <v>0.127</v>
      </c>
      <c r="X563" t="n">
        <v>94</v>
      </c>
      <c r="Y563" t="n">
        <v>54</v>
      </c>
      <c r="Z563" t="n">
        <v>44</v>
      </c>
      <c r="AA563" t="n">
        <v>11</v>
      </c>
      <c r="AB563" t="n">
        <v>12.4</v>
      </c>
      <c r="AC563" t="inlineStr">
        <is>
          <t xml:space="preserve"> On-Piste Carving</t>
        </is>
      </c>
      <c r="AG563" t="inlineStr">
        <is>
          <t>â€˜20/21 Atomic Cloud 9 157 Cm W/ Demo Bindings</t>
        </is>
      </c>
      <c r="AH563" t="inlineStr">
        <is>
          <t>eBay</t>
        </is>
      </c>
      <c r="AI563" s="333" t="n">
        <v>449.99</v>
      </c>
      <c r="AJ563" t="inlineStr">
        <is>
          <t>https://tinyurl.com/ybozuvws</t>
        </is>
      </c>
      <c r="AK563" t="inlineStr">
        <is>
          <t>Atomic Cloud 9 Skis w/ M 10 GW Bindings</t>
        </is>
      </c>
      <c r="AL563" t="inlineStr">
        <is>
          <t>Paragon Sports</t>
        </is>
      </c>
      <c r="AM563" s="333" t="n">
        <v>479.99</v>
      </c>
      <c r="AN563" t="inlineStr">
        <is>
          <t>https://tinyurl.com/yd9mvufm</t>
        </is>
      </c>
      <c r="AO563" t="inlineStr">
        <is>
          <t>Atomic Cloud 9 Skis 2022 w/bindings 157</t>
        </is>
      </c>
      <c r="AP563" t="inlineStr">
        <is>
          <t>Ski Depot RaceSkis.com</t>
        </is>
      </c>
      <c r="AQ563" s="333" t="n">
        <v>599.99</v>
      </c>
      <c r="AR563" t="inlineStr">
        <is>
          <t>https://tinyurl.com/y8jrc2ph</t>
        </is>
      </c>
      <c r="AS563" s="314">
        <f>IF(LEFT(C563,1)=" ",RIGHT(C563,LEN(C563)-1),C563)</f>
        <v/>
      </c>
      <c r="AT563" s="281">
        <f>_xlfn.CONCAT(B563,AS563,D563,E563)</f>
        <v/>
      </c>
    </row>
    <row r="564">
      <c r="A564" t="inlineStr">
        <is>
          <t>21/22</t>
        </is>
      </c>
      <c r="B564" t="inlineStr">
        <is>
          <t xml:space="preserve"> Elan</t>
        </is>
      </c>
      <c r="C564" t="inlineStr">
        <is>
          <t>Wildcat 82 C</t>
        </is>
      </c>
      <c r="D564" t="n">
        <v>158</v>
      </c>
      <c r="E564" t="inlineStr">
        <is>
          <t xml:space="preserve"> Women's</t>
        </is>
      </c>
      <c r="F564" t="n">
        <v>158</v>
      </c>
      <c r="G564" t="n">
        <v>161.7</v>
      </c>
      <c r="H564" t="n">
        <v>128</v>
      </c>
      <c r="I564" t="n">
        <v>139</v>
      </c>
      <c r="J564" t="n">
        <v>128</v>
      </c>
      <c r="K564" t="n">
        <v>81</v>
      </c>
      <c r="L564" t="n">
        <v>112</v>
      </c>
      <c r="M564" t="n">
        <v>12</v>
      </c>
      <c r="N564" t="n">
        <v>1726</v>
      </c>
      <c r="O564" t="n">
        <v>0.9</v>
      </c>
      <c r="P564" t="n">
        <v>1560</v>
      </c>
      <c r="Q564" t="n">
        <v>207</v>
      </c>
      <c r="R564" t="n">
        <v>81</v>
      </c>
      <c r="S564" t="n">
        <v>42</v>
      </c>
      <c r="T564" t="n">
        <v>188</v>
      </c>
      <c r="U564" t="n">
        <v>12</v>
      </c>
      <c r="V564" t="n">
        <v>145</v>
      </c>
      <c r="W564" t="n">
        <v>0.281</v>
      </c>
      <c r="X564" t="n">
        <v>110</v>
      </c>
      <c r="Y564" t="n">
        <v>115</v>
      </c>
      <c r="Z564" t="n">
        <v>78</v>
      </c>
      <c r="AA564" t="n">
        <v>6</v>
      </c>
      <c r="AB564" t="n">
        <v>7.4</v>
      </c>
      <c r="AC564" t="inlineStr">
        <is>
          <t xml:space="preserve"> On-Piste All-Mountain</t>
        </is>
      </c>
      <c r="AD564" t="inlineStr">
        <is>
          <t xml:space="preserve"> Resort Freeride</t>
        </is>
      </c>
      <c r="AG564" t="inlineStr">
        <is>
          <t>Elan Wildcat 82 C Skis 2022 Womenâ€™s 158cm</t>
        </is>
      </c>
      <c r="AH564" t="inlineStr">
        <is>
          <t>eBay</t>
        </is>
      </c>
      <c r="AI564" s="333" t="n">
        <v>359.99</v>
      </c>
      <c r="AJ564" t="inlineStr">
        <is>
          <t>https://tinyurl.com/ybds8n3o</t>
        </is>
      </c>
      <c r="AK564" t="inlineStr">
        <is>
          <t>Elan Wildcat 82 C Ps+elw 9.0 Alpine Skis 158</t>
        </is>
      </c>
      <c r="AL564" t="inlineStr">
        <is>
          <t>Snowinn.com</t>
        </is>
      </c>
      <c r="AM564" s="333" t="n">
        <v>433.49</v>
      </c>
      <c r="AN564" t="inlineStr">
        <is>
          <t>https://tinyurl.com/y8chskg9</t>
        </is>
      </c>
      <c r="AO564" t="inlineStr">
        <is>
          <t>Elan Wildcat Black Edition 86 C Women's Skis W Elan ELX 11.0 GW Shift</t>
        </is>
      </c>
      <c r="AP564" t="inlineStr">
        <is>
          <t>eBay - asogear</t>
        </is>
      </c>
      <c r="AQ564" s="333" t="n">
        <v>629.99</v>
      </c>
      <c r="AR564" t="inlineStr">
        <is>
          <t>https://tinyurl.com/y8ak6q53</t>
        </is>
      </c>
      <c r="AS564" s="314">
        <f>IF(LEFT(C564,1)=" ",RIGHT(C564,LEN(C564)-1),C564)</f>
        <v/>
      </c>
      <c r="AT564" s="281">
        <f>_xlfn.CONCAT(B564,AS564,D564,E564)</f>
        <v/>
      </c>
    </row>
    <row r="565">
      <c r="A565" t="inlineStr">
        <is>
          <t>21/22</t>
        </is>
      </c>
      <c r="B565" t="inlineStr">
        <is>
          <t>K2</t>
        </is>
      </c>
      <c r="C565" t="inlineStr">
        <is>
          <t>Reckoner 92</t>
        </is>
      </c>
      <c r="D565" t="n">
        <v>149</v>
      </c>
      <c r="E565" t="inlineStr">
        <is>
          <t xml:space="preserve"> Unisex</t>
        </is>
      </c>
      <c r="F565" t="n">
        <v>149</v>
      </c>
      <c r="G565" t="n">
        <v>148.9</v>
      </c>
      <c r="H565" t="n">
        <v>93</v>
      </c>
      <c r="I565" t="n">
        <v>124</v>
      </c>
      <c r="J565" t="n">
        <v>124</v>
      </c>
      <c r="K565" t="n">
        <v>91</v>
      </c>
      <c r="L565" t="n">
        <v>113</v>
      </c>
      <c r="M565" t="n">
        <v>12.6</v>
      </c>
      <c r="N565" t="n">
        <v>1499</v>
      </c>
      <c r="O565" t="n">
        <v>1.01</v>
      </c>
      <c r="P565" t="n">
        <v>1518</v>
      </c>
      <c r="Q565" t="n">
        <v>171</v>
      </c>
      <c r="R565" t="n">
        <v>84</v>
      </c>
      <c r="S565" t="n">
        <v>47</v>
      </c>
      <c r="T565" t="n">
        <v>288</v>
      </c>
      <c r="U565" t="n">
        <v>43</v>
      </c>
      <c r="V565" t="n">
        <v>272</v>
      </c>
      <c r="W565" t="n">
        <v>0.915</v>
      </c>
      <c r="X565" t="n">
        <v>115</v>
      </c>
      <c r="Y565" t="n">
        <v>138</v>
      </c>
      <c r="Z565" t="n">
        <v>173</v>
      </c>
      <c r="AA565" t="n">
        <v>3</v>
      </c>
      <c r="AB565" t="n">
        <v>4.1</v>
      </c>
      <c r="AC565" t="inlineStr">
        <is>
          <t xml:space="preserve"> Freeski</t>
        </is>
      </c>
      <c r="AG565" t="inlineStr">
        <is>
          <t>K2 2022 Reckoner 92 Alliance Women's Skis</t>
        </is>
      </c>
      <c r="AH565" t="inlineStr">
        <is>
          <t>Buckman's Ski and Snowboard Shop</t>
        </is>
      </c>
      <c r="AI565" s="333" t="n">
        <v>299.95</v>
      </c>
      <c r="AJ565" t="inlineStr">
        <is>
          <t>https://tinyurl.com/ycxvdatf</t>
        </is>
      </c>
      <c r="AK565" t="inlineStr">
        <is>
          <t>K2 Reckoner 92 Skis</t>
        </is>
      </c>
      <c r="AL565" t="inlineStr">
        <is>
          <t>SkiEssentials.com</t>
        </is>
      </c>
      <c r="AM565" s="333" t="n">
        <v>299.95</v>
      </c>
      <c r="AN565" t="inlineStr">
        <is>
          <t>https://tinyurl.com/ybml94lm</t>
        </is>
      </c>
      <c r="AO565" t="inlineStr">
        <is>
          <t>K2 Reckoner 92 Skis - 2022 - 149cm</t>
        </is>
      </c>
      <c r="AP565" t="inlineStr">
        <is>
          <t>ColoradoSkiShop.com</t>
        </is>
      </c>
      <c r="AQ565" s="333" t="n">
        <v>299.95</v>
      </c>
      <c r="AR565" t="inlineStr">
        <is>
          <t>https://tinyurl.com/y8jpjoxf</t>
        </is>
      </c>
      <c r="AS565" s="314">
        <f>IF(LEFT(C565,1)=" ",RIGHT(C565,LEN(C565)-1),C565)</f>
        <v/>
      </c>
      <c r="AT565" s="281">
        <f>_xlfn.CONCAT(B565,AS565,D565,E565)</f>
        <v/>
      </c>
    </row>
    <row r="566">
      <c r="A566" t="inlineStr">
        <is>
          <t>21/22</t>
        </is>
      </c>
      <c r="B566" t="inlineStr">
        <is>
          <t>K2</t>
        </is>
      </c>
      <c r="C566" t="inlineStr">
        <is>
          <t>Reckoner 92 Alliance</t>
        </is>
      </c>
      <c r="D566" t="n">
        <v>159</v>
      </c>
      <c r="E566" t="inlineStr">
        <is>
          <t xml:space="preserve"> Women's</t>
        </is>
      </c>
      <c r="F566" t="n">
        <v>159</v>
      </c>
      <c r="G566" t="n">
        <v>158.9</v>
      </c>
      <c r="H566" t="n">
        <v>106</v>
      </c>
      <c r="I566" t="n">
        <v>134</v>
      </c>
      <c r="J566" t="n">
        <v>124</v>
      </c>
      <c r="K566" t="n">
        <v>91</v>
      </c>
      <c r="L566" t="n">
        <v>113</v>
      </c>
      <c r="M566" t="n">
        <v>14.9</v>
      </c>
      <c r="N566" t="n">
        <v>1562</v>
      </c>
      <c r="O566" t="n">
        <v>1.04</v>
      </c>
      <c r="P566" t="n">
        <v>1617</v>
      </c>
      <c r="Q566" t="n">
        <v>163</v>
      </c>
      <c r="R566" t="n">
        <v>75</v>
      </c>
      <c r="S566" t="n">
        <v>48</v>
      </c>
      <c r="T566" t="n">
        <v>270</v>
      </c>
      <c r="U566" t="n">
        <v>43</v>
      </c>
      <c r="V566" t="n">
        <v>262</v>
      </c>
      <c r="W566" t="n">
        <v>0.894</v>
      </c>
      <c r="X566" t="n">
        <v>116</v>
      </c>
      <c r="Y566" t="n">
        <v>131</v>
      </c>
      <c r="Z566" t="n">
        <v>154</v>
      </c>
      <c r="AA566" t="n">
        <v>6</v>
      </c>
      <c r="AB566" t="n">
        <v>4.8</v>
      </c>
      <c r="AC566" t="inlineStr">
        <is>
          <t xml:space="preserve"> Freeski</t>
        </is>
      </c>
      <c r="AG566" t="inlineStr">
        <is>
          <t>K2 2022 Reckoner 92 Alliance Women's Skis</t>
        </is>
      </c>
      <c r="AH566" t="inlineStr">
        <is>
          <t>Buckman's Ski and Snowboard Shop</t>
        </is>
      </c>
      <c r="AI566" s="333" t="n">
        <v>299.95</v>
      </c>
      <c r="AJ566" t="inlineStr">
        <is>
          <t>https://tinyurl.com/yacw6tnu</t>
        </is>
      </c>
      <c r="AK566" t="inlineStr">
        <is>
          <t>K2 2022 Reckoner 92 Alliance Women's Skis</t>
        </is>
      </c>
      <c r="AL566" t="inlineStr">
        <is>
          <t>WinterWomen.com</t>
        </is>
      </c>
      <c r="AM566" s="333" t="n">
        <v>299.95</v>
      </c>
      <c r="AN566" t="inlineStr">
        <is>
          <t>https://tinyurl.com/yccwruaj</t>
        </is>
      </c>
      <c r="AO566" t="inlineStr">
        <is>
          <t>K2 2022 Reckoner 92 Alliance Women's Skis</t>
        </is>
      </c>
      <c r="AP566" t="inlineStr">
        <is>
          <t>Buyr.com</t>
        </is>
      </c>
      <c r="AQ566" s="333" t="n">
        <v>349.95</v>
      </c>
      <c r="AR566" t="inlineStr">
        <is>
          <t>https://tinyurl.com/ydase5og</t>
        </is>
      </c>
      <c r="AS566" s="314">
        <f>IF(LEFT(C566,1)=" ",RIGHT(C566,LEN(C566)-1),C566)</f>
        <v/>
      </c>
      <c r="AT566" s="281">
        <f>_xlfn.CONCAT(B566,AS566,D566,E566)</f>
        <v/>
      </c>
    </row>
    <row r="567">
      <c r="A567" t="inlineStr">
        <is>
          <t>21/22</t>
        </is>
      </c>
      <c r="B567" t="inlineStr">
        <is>
          <t xml:space="preserve"> Salomon</t>
        </is>
      </c>
      <c r="C567" t="inlineStr">
        <is>
          <t>S/Max 8</t>
        </is>
      </c>
      <c r="D567" t="n">
        <v>160</v>
      </c>
      <c r="E567" t="inlineStr">
        <is>
          <t xml:space="preserve"> Unisex</t>
        </is>
      </c>
      <c r="F567" t="n">
        <v>160</v>
      </c>
      <c r="G567" t="n">
        <v>159.5</v>
      </c>
      <c r="H567" t="n">
        <v>139</v>
      </c>
      <c r="I567" t="n">
        <v>148</v>
      </c>
      <c r="J567" t="n">
        <v>119</v>
      </c>
      <c r="K567" t="n">
        <v>73</v>
      </c>
      <c r="L567" t="n">
        <v>102</v>
      </c>
      <c r="M567" t="n">
        <v>13.8</v>
      </c>
      <c r="N567" t="n">
        <v>1901</v>
      </c>
      <c r="O567" t="n">
        <v>0.74</v>
      </c>
      <c r="P567" t="n">
        <v>1404</v>
      </c>
      <c r="Q567" t="n">
        <v>207</v>
      </c>
      <c r="R567" t="n">
        <v>91</v>
      </c>
      <c r="S567" t="n">
        <v>31</v>
      </c>
      <c r="T567" t="n">
        <v>130</v>
      </c>
      <c r="U567" t="n">
        <v>5</v>
      </c>
      <c r="V567" t="n">
        <v>77</v>
      </c>
      <c r="W567" t="n">
        <v>0.146</v>
      </c>
      <c r="X567" t="n">
        <v>84</v>
      </c>
      <c r="Y567" t="n">
        <v>32</v>
      </c>
      <c r="Z567" t="n">
        <v>45</v>
      </c>
      <c r="AA567" t="n">
        <v>9</v>
      </c>
      <c r="AB567" t="n">
        <v>11.1</v>
      </c>
      <c r="AC567" t="inlineStr">
        <is>
          <t xml:space="preserve"> On-Piste Carving</t>
        </is>
      </c>
      <c r="AG567" t="inlineStr">
        <is>
          <t>Salomon E S/RACE MT + Z12 GW F80 Blue/Yellow / 160cm</t>
        </is>
      </c>
      <c r="AH567" t="inlineStr">
        <is>
          <t>Sundance Ski and Board Shop</t>
        </is>
      </c>
      <c r="AI567" s="333" t="n">
        <v>400.85</v>
      </c>
      <c r="AJ567" t="inlineStr">
        <is>
          <t>https://tinyurl.com/ychekgbk</t>
        </is>
      </c>
      <c r="AK567" t="inlineStr">
        <is>
          <t xml:space="preserve"> 2021 Salomon Stance 88 Demo Ski with Bindings Size 154 (Option 212150)</t>
        </is>
      </c>
      <c r="AL567" t="inlineStr">
        <is>
          <t>SidelineSwap</t>
        </is>
      </c>
      <c r="AM567" s="333" t="n">
        <v>499.99</v>
      </c>
      <c r="AN567" t="inlineStr">
        <is>
          <t>https://tinyurl.com/y8ywyrer</t>
        </is>
      </c>
      <c r="AS567" s="314">
        <f>IF(LEFT(C567,1)=" ",RIGHT(C567,LEN(C567)-1),C567)</f>
        <v/>
      </c>
      <c r="AT567" s="281">
        <f>_xlfn.CONCAT(B567,AS567,D567,E567)</f>
        <v/>
      </c>
    </row>
    <row r="568">
      <c r="A568" t="inlineStr">
        <is>
          <t>21/22</t>
        </is>
      </c>
      <c r="B568" t="inlineStr">
        <is>
          <t xml:space="preserve"> Salomon</t>
        </is>
      </c>
      <c r="C568" t="inlineStr">
        <is>
          <t>S/Max 8</t>
        </is>
      </c>
      <c r="D568" t="n">
        <v>165</v>
      </c>
      <c r="E568" t="inlineStr">
        <is>
          <t xml:space="preserve"> Unisex</t>
        </is>
      </c>
      <c r="F568" t="n">
        <v>165</v>
      </c>
      <c r="G568" t="n">
        <v>164.4</v>
      </c>
      <c r="H568" t="n">
        <v>145</v>
      </c>
      <c r="I568" t="n">
        <v>152</v>
      </c>
      <c r="J568" t="n">
        <v>120</v>
      </c>
      <c r="K568" t="n">
        <v>73</v>
      </c>
      <c r="L568" t="n">
        <v>103</v>
      </c>
      <c r="M568" t="n">
        <v>14.5</v>
      </c>
      <c r="N568" t="n">
        <v>1962</v>
      </c>
      <c r="O568" t="n">
        <v>0.74</v>
      </c>
      <c r="P568" t="n">
        <v>1451</v>
      </c>
      <c r="Q568" t="n">
        <v>195</v>
      </c>
      <c r="R568" t="n">
        <v>91</v>
      </c>
      <c r="S568" t="n">
        <v>32</v>
      </c>
      <c r="T568" t="n">
        <v>130</v>
      </c>
      <c r="U568" t="n">
        <v>4</v>
      </c>
      <c r="V568" t="n">
        <v>68</v>
      </c>
      <c r="W568" t="n">
        <v>0.138</v>
      </c>
      <c r="X568" t="n">
        <v>86</v>
      </c>
      <c r="Y568" t="n">
        <v>35</v>
      </c>
      <c r="Z568" t="n">
        <v>43</v>
      </c>
      <c r="AA568" t="n">
        <v>12</v>
      </c>
      <c r="AB568" t="n">
        <v>11.1</v>
      </c>
      <c r="AC568" t="inlineStr">
        <is>
          <t xml:space="preserve"> On-Piste Carving</t>
        </is>
      </c>
      <c r="AG568" t="inlineStr">
        <is>
          <t>2022 Salomon S/MAX 8 Skis + M11 GW Bindings</t>
        </is>
      </c>
      <c r="AH568" t="inlineStr">
        <is>
          <t>Coast Water Sport</t>
        </is>
      </c>
      <c r="AI568" s="333" t="n">
        <v>382.06</v>
      </c>
      <c r="AJ568" t="inlineStr">
        <is>
          <t>https://tinyurl.com/yav4mn5f</t>
        </is>
      </c>
      <c r="AK568" t="inlineStr">
        <is>
          <t>Salomon Ski Set E S/Max 8 + M11 GW L80 Skis - Dark Grey/Yellow/Black</t>
        </is>
      </c>
      <c r="AL568" t="inlineStr">
        <is>
          <t>Surfdome US</t>
        </is>
      </c>
      <c r="AM568" s="333" t="n">
        <v>453.95</v>
      </c>
      <c r="AN568" t="inlineStr">
        <is>
          <t>https://tinyurl.com/ybtx8vjc</t>
        </is>
      </c>
      <c r="AO568" t="inlineStr">
        <is>
          <t>Salomon Xdr8.4 W12 165 '19</t>
        </is>
      </c>
      <c r="AP568" t="inlineStr">
        <is>
          <t>Play It Again Sports</t>
        </is>
      </c>
      <c r="AQ568" s="333" t="n">
        <v>349.99</v>
      </c>
      <c r="AR568" t="inlineStr">
        <is>
          <t>https://tinyurl.com/y8l8m3rl</t>
        </is>
      </c>
      <c r="AS568" s="314">
        <f>IF(LEFT(C568,1)=" ",RIGHT(C568,LEN(C568)-1),C568)</f>
        <v/>
      </c>
      <c r="AT568" s="281">
        <f>_xlfn.CONCAT(B568,AS568,D568,E568)</f>
        <v/>
      </c>
    </row>
    <row r="569">
      <c r="A569" t="inlineStr">
        <is>
          <t>21/22</t>
        </is>
      </c>
      <c r="B569" t="inlineStr">
        <is>
          <t xml:space="preserve"> Faction</t>
        </is>
      </c>
      <c r="C569" t="inlineStr">
        <is>
          <t>Prodigy 0.0</t>
        </is>
      </c>
      <c r="D569" t="n">
        <v>171</v>
      </c>
      <c r="E569" t="inlineStr">
        <is>
          <t xml:space="preserve"> Unisex</t>
        </is>
      </c>
      <c r="F569" t="n">
        <v>171</v>
      </c>
      <c r="G569" t="n">
        <v>169.5</v>
      </c>
      <c r="H569" t="n">
        <v>120</v>
      </c>
      <c r="I569" t="n">
        <v>143</v>
      </c>
      <c r="J569" t="n">
        <v>116</v>
      </c>
      <c r="K569" t="n">
        <v>84</v>
      </c>
      <c r="L569" t="n">
        <v>108</v>
      </c>
      <c r="M569" t="n">
        <v>16.4</v>
      </c>
      <c r="N569" t="n">
        <v>1766</v>
      </c>
      <c r="O569" t="n">
        <v>0.91</v>
      </c>
      <c r="P569" t="n">
        <v>1614</v>
      </c>
      <c r="Q569" t="n">
        <v>176</v>
      </c>
      <c r="R569" t="n">
        <v>81</v>
      </c>
      <c r="S569" t="n">
        <v>47</v>
      </c>
      <c r="T569" t="n">
        <v>281</v>
      </c>
      <c r="U569" t="n">
        <v>35</v>
      </c>
      <c r="V569" t="n">
        <v>209</v>
      </c>
      <c r="W569" t="n">
        <v>0.745</v>
      </c>
      <c r="X569" t="n">
        <v>145</v>
      </c>
      <c r="Y569" t="n">
        <v>118</v>
      </c>
      <c r="Z569" t="n">
        <v>136</v>
      </c>
      <c r="AA569" t="n">
        <v>9</v>
      </c>
      <c r="AB569" t="n">
        <v>6.9</v>
      </c>
      <c r="AC569" t="inlineStr">
        <is>
          <t xml:space="preserve"> Resort Freeride</t>
        </is>
      </c>
      <c r="AG569" t="inlineStr">
        <is>
          <t>19-20 Faction Prodigy 2.0  Men's Demo Skis W/binding Size 171cm</t>
        </is>
      </c>
      <c r="AH569" t="inlineStr">
        <is>
          <t>eBay - demo-skis</t>
        </is>
      </c>
      <c r="AI569" s="333" t="n">
        <v>499</v>
      </c>
      <c r="AJ569" t="inlineStr">
        <is>
          <t>https://tinyurl.com/yd6koxon</t>
        </is>
      </c>
      <c r="AK569" t="inlineStr">
        <is>
          <t>Faction Prodigy 2.0x Women's Skis 171cm 2022</t>
        </is>
      </c>
      <c r="AL569" t="inlineStr">
        <is>
          <t>Powder7 Ski Shop</t>
        </is>
      </c>
      <c r="AM569" s="333" t="n">
        <v>539</v>
      </c>
      <c r="AN569" t="inlineStr">
        <is>
          <t>https://tinyurl.com/y838gcm9</t>
        </is>
      </c>
      <c r="AO569" t="inlineStr">
        <is>
          <t>Faction Prodigy 2.0x Women's Skis 171cm 2022</t>
        </is>
      </c>
      <c r="AP569" t="inlineStr">
        <is>
          <t>Next Adventure</t>
        </is>
      </c>
      <c r="AQ569" s="333" t="n">
        <v>559.2</v>
      </c>
      <c r="AR569" t="inlineStr">
        <is>
          <t>https://tinyurl.com/y77e3m3m</t>
        </is>
      </c>
      <c r="AS569" s="314">
        <f>IF(LEFT(C569,1)=" ",RIGHT(C569,LEN(C569)-1),C569)</f>
        <v/>
      </c>
      <c r="AT569" s="281">
        <f>_xlfn.CONCAT(B569,AS569,D569,E569)</f>
        <v/>
      </c>
    </row>
    <row r="570">
      <c r="A570" t="inlineStr">
        <is>
          <t>21/22</t>
        </is>
      </c>
      <c r="B570" t="inlineStr">
        <is>
          <t xml:space="preserve"> Rossignol</t>
        </is>
      </c>
      <c r="C570" t="inlineStr">
        <is>
          <t>React 2</t>
        </is>
      </c>
      <c r="D570" t="n">
        <v>176</v>
      </c>
      <c r="E570" t="inlineStr">
        <is>
          <t xml:space="preserve"> Unisex</t>
        </is>
      </c>
      <c r="F570" t="n">
        <v>176</v>
      </c>
      <c r="G570" t="n">
        <v>176.3</v>
      </c>
      <c r="H570" t="n">
        <v>156</v>
      </c>
      <c r="I570" t="n">
        <v>160</v>
      </c>
      <c r="J570" t="n">
        <v>121</v>
      </c>
      <c r="K570" t="n">
        <v>74</v>
      </c>
      <c r="L570" t="n">
        <v>107</v>
      </c>
      <c r="M570" t="n">
        <v>16.5</v>
      </c>
      <c r="N570" t="n">
        <v>1646</v>
      </c>
      <c r="O570" t="n">
        <v>0.95</v>
      </c>
      <c r="P570" t="n">
        <v>1563</v>
      </c>
      <c r="Q570" t="n">
        <v>191</v>
      </c>
      <c r="R570" t="n">
        <v>67</v>
      </c>
      <c r="S570" t="n">
        <v>35</v>
      </c>
      <c r="T570" t="n">
        <v>141</v>
      </c>
      <c r="U570" t="n">
        <v>5</v>
      </c>
      <c r="V570" t="n">
        <v>66</v>
      </c>
      <c r="W570" t="n">
        <v>0.142</v>
      </c>
      <c r="X570" t="n">
        <v>81</v>
      </c>
      <c r="Y570" t="n">
        <v>83</v>
      </c>
      <c r="Z570" t="n">
        <v>60</v>
      </c>
      <c r="AA570" t="n">
        <v>13</v>
      </c>
      <c r="AB570" t="n">
        <v>8.699999999999999</v>
      </c>
      <c r="AC570" t="inlineStr">
        <is>
          <t xml:space="preserve"> On-Piste Carving</t>
        </is>
      </c>
      <c r="AG570" t="inlineStr">
        <is>
          <t>Skis Rossignol Blackops alpineer</t>
        </is>
      </c>
      <c r="AH570" t="inlineStr">
        <is>
          <t>Snowcountry.eu</t>
        </is>
      </c>
      <c r="AI570" s="333" t="n">
        <v>321.8</v>
      </c>
      <c r="AJ570" t="inlineStr">
        <is>
          <t>https://tinyurl.com/yb9yz76q</t>
        </is>
      </c>
      <c r="AK570" t="inlineStr">
        <is>
          <t>Skis Rossignol Blackops alpineer</t>
        </is>
      </c>
      <c r="AL570" t="inlineStr">
        <is>
          <t>! OutdoorXL.com</t>
        </is>
      </c>
      <c r="AM570" s="333" t="n">
        <v>329.95</v>
      </c>
      <c r="AN570" t="inlineStr">
        <is>
          <t>https://tinyurl.com/ybcfoxqm</t>
        </is>
      </c>
      <c r="AO570" t="inlineStr">
        <is>
          <t>Rossignol Experience 84 Ai Skis</t>
        </is>
      </c>
      <c r="AP570" t="inlineStr">
        <is>
          <t>Christy Sports</t>
        </is>
      </c>
      <c r="AQ570" s="333" t="n">
        <v>350.93</v>
      </c>
      <c r="AR570" t="inlineStr">
        <is>
          <t>https://tinyurl.com/ybhoxv7k</t>
        </is>
      </c>
      <c r="AS570" s="314">
        <f>IF(LEFT(C570,1)=" ",RIGHT(C570,LEN(C570)-1),C570)</f>
        <v/>
      </c>
      <c r="AT570" s="281">
        <f>_xlfn.CONCAT(B570,AS570,D570,E570)</f>
        <v/>
      </c>
    </row>
    <row r="571">
      <c r="A571" t="inlineStr">
        <is>
          <t>21/22</t>
        </is>
      </c>
      <c r="B571" t="inlineStr">
        <is>
          <t xml:space="preserve"> Stï¿½ckli</t>
        </is>
      </c>
      <c r="C571" t="inlineStr">
        <is>
          <t>Nela 88</t>
        </is>
      </c>
      <c r="D571" t="n">
        <v>152</v>
      </c>
      <c r="E571" t="inlineStr">
        <is>
          <t xml:space="preserve"> Women's</t>
        </is>
      </c>
      <c r="F571" t="n">
        <v>152</v>
      </c>
      <c r="G571" t="n">
        <v>151.3</v>
      </c>
      <c r="H571" t="n">
        <v>124</v>
      </c>
      <c r="I571" t="n">
        <v>132</v>
      </c>
      <c r="J571" t="n">
        <v>127</v>
      </c>
      <c r="K571" t="n">
        <v>88</v>
      </c>
      <c r="L571" t="n">
        <v>113</v>
      </c>
      <c r="M571" t="n">
        <v>13.1</v>
      </c>
      <c r="N571" t="n">
        <v>1419</v>
      </c>
      <c r="O571" t="n">
        <v>1.06</v>
      </c>
      <c r="P571" t="n">
        <v>1510</v>
      </c>
      <c r="Q571" t="n">
        <v>158</v>
      </c>
      <c r="R571" t="n">
        <v>89</v>
      </c>
      <c r="S571" t="n">
        <v>43</v>
      </c>
      <c r="T571" t="n">
        <v>199</v>
      </c>
      <c r="U571" t="n">
        <v>9</v>
      </c>
      <c r="V571" t="n">
        <v>78</v>
      </c>
      <c r="W571" t="n">
        <v>0.206</v>
      </c>
      <c r="X571" t="n">
        <v>135</v>
      </c>
      <c r="Y571" t="n">
        <v>56</v>
      </c>
      <c r="Z571" t="n">
        <v>64</v>
      </c>
      <c r="AA571" t="n">
        <v>5</v>
      </c>
      <c r="AB571" t="n">
        <v>12.6</v>
      </c>
      <c r="AC571" t="inlineStr">
        <is>
          <t xml:space="preserve"> Resort Freeride</t>
        </is>
      </c>
      <c r="AD571" t="inlineStr">
        <is>
          <t xml:space="preserve"> Touring</t>
        </is>
      </c>
      <c r="AG571" t="inlineStr">
        <is>
          <t>Stockli Nela 88 Womens Skis 2023 152</t>
        </is>
      </c>
      <c r="AH571" t="inlineStr">
        <is>
          <t>Ski Depot RaceSkis.com</t>
        </is>
      </c>
      <c r="AI571" s="333" t="n">
        <v>1099</v>
      </c>
      <c r="AJ571" t="inlineStr">
        <is>
          <t>https://tinyurl.com/y73htrz9</t>
        </is>
      </c>
      <c r="AK571" t="inlineStr">
        <is>
          <t>Stockli Nela 88 Ski Women's, 152</t>
        </is>
      </c>
      <c r="AL571" t="inlineStr">
        <is>
          <t>SkiEssentials.com</t>
        </is>
      </c>
      <c r="AM571" s="333" t="n">
        <v>799</v>
      </c>
      <c r="AN571" t="inlineStr">
        <is>
          <t>https://tinyurl.com/ybu59kdm</t>
        </is>
      </c>
      <c r="AO571" t="inlineStr">
        <is>
          <t>Stockli Nela 88 Ski Women's, 152</t>
        </is>
      </c>
      <c r="AP571" t="inlineStr">
        <is>
          <t>Gear West Ski &amp; Bike</t>
        </is>
      </c>
      <c r="AQ571" s="333" t="n">
        <v>999</v>
      </c>
      <c r="AR571" t="inlineStr">
        <is>
          <t>https://tinyurl.com/yb3j5sok</t>
        </is>
      </c>
      <c r="AS571" s="314">
        <f>IF(LEFT(C571,1)=" ",RIGHT(C571,LEN(C571)-1),C571)</f>
        <v/>
      </c>
      <c r="AT571" s="281">
        <f>_xlfn.CONCAT(B571,AS571,D571,E571)</f>
        <v/>
      </c>
    </row>
    <row r="572">
      <c r="A572" t="inlineStr">
        <is>
          <t>21/22</t>
        </is>
      </c>
      <c r="B572" t="inlineStr">
        <is>
          <t xml:space="preserve"> Salomon</t>
        </is>
      </c>
      <c r="C572" t="inlineStr">
        <is>
          <t>QST Lux 92</t>
        </is>
      </c>
      <c r="D572" t="n">
        <v>161</v>
      </c>
      <c r="E572" t="inlineStr">
        <is>
          <t xml:space="preserve"> Women's</t>
        </is>
      </c>
      <c r="F572" t="n">
        <v>161</v>
      </c>
      <c r="G572" t="n">
        <v>160.1</v>
      </c>
      <c r="H572" t="n">
        <v>120</v>
      </c>
      <c r="I572" t="n">
        <v>134</v>
      </c>
      <c r="J572" t="n">
        <v>128</v>
      </c>
      <c r="K572" t="n">
        <v>92</v>
      </c>
      <c r="L572" t="n">
        <v>111</v>
      </c>
      <c r="M572" t="n">
        <v>14.4</v>
      </c>
      <c r="N572" t="n">
        <v>1647</v>
      </c>
      <c r="O572" t="n">
        <v>1.01</v>
      </c>
      <c r="P572" t="n">
        <v>1660</v>
      </c>
      <c r="Q572" t="n">
        <v>170</v>
      </c>
      <c r="R572" t="n">
        <v>77</v>
      </c>
      <c r="S572" t="n">
        <v>56</v>
      </c>
      <c r="T572" t="n">
        <v>278</v>
      </c>
      <c r="U572" t="n">
        <v>13</v>
      </c>
      <c r="V572" t="n">
        <v>128</v>
      </c>
      <c r="W572" t="n">
        <v>0.231</v>
      </c>
      <c r="X572" t="n">
        <v>149</v>
      </c>
      <c r="Y572" t="n">
        <v>115</v>
      </c>
      <c r="Z572" t="n">
        <v>129</v>
      </c>
      <c r="AA572" t="n">
        <v>9</v>
      </c>
      <c r="AB572" t="n">
        <v>8.9</v>
      </c>
      <c r="AC572" t="inlineStr">
        <is>
          <t xml:space="preserve"> Resort Freeride</t>
        </is>
      </c>
      <c r="AG572" t="inlineStr">
        <is>
          <t>Salomon Qst The Lux 92 Skis + Mercury 11 Bindings 161cm Tuned &amp; Waxed</t>
        </is>
      </c>
      <c r="AH572" t="inlineStr">
        <is>
          <t>eBay - suburbansports</t>
        </is>
      </c>
      <c r="AI572" s="333" t="n">
        <v>359.99</v>
      </c>
      <c r="AJ572" t="inlineStr">
        <is>
          <t>https://tinyurl.com/y8hys4nt</t>
        </is>
      </c>
      <c r="AK572" t="inlineStr">
        <is>
          <t>Salomon QST Lux 92 Womens Ski 2018-2019 Season 161</t>
        </is>
      </c>
      <c r="AL572" t="inlineStr">
        <is>
          <t>shop.petersonsskiandcycle.com</t>
        </is>
      </c>
      <c r="AM572" s="333" t="n">
        <v>379.99</v>
      </c>
      <c r="AN572" t="inlineStr">
        <is>
          <t>https://tinyurl.com/y9uv5v6u</t>
        </is>
      </c>
      <c r="AO572" t="inlineStr">
        <is>
          <t>Salomon QST Lux 92 Skis Women's</t>
        </is>
      </c>
      <c r="AP572" t="inlineStr">
        <is>
          <t>evo.com</t>
        </is>
      </c>
      <c r="AQ572" s="333" t="n">
        <v>399.99</v>
      </c>
      <c r="AR572" t="inlineStr">
        <is>
          <t>https://tinyurl.com/y6wtlju5</t>
        </is>
      </c>
      <c r="AS572" s="314">
        <f>IF(LEFT(C572,1)=" ",RIGHT(C572,LEN(C572)-1),C572)</f>
        <v/>
      </c>
      <c r="AT572" s="281">
        <f>_xlfn.CONCAT(B572,AS572,D572,E572)</f>
        <v/>
      </c>
    </row>
    <row r="573">
      <c r="A573" t="inlineStr">
        <is>
          <t>21/22</t>
        </is>
      </c>
      <c r="B573" t="inlineStr">
        <is>
          <t xml:space="preserve"> Vï¿½lkl</t>
        </is>
      </c>
      <c r="C573" t="inlineStr">
        <is>
          <t>Deacon 80</t>
        </is>
      </c>
      <c r="D573" t="n">
        <v>177</v>
      </c>
      <c r="E573" t="inlineStr">
        <is>
          <t xml:space="preserve"> Unisex</t>
        </is>
      </c>
      <c r="F573" t="n">
        <v>177</v>
      </c>
      <c r="G573" t="n">
        <v>176.9</v>
      </c>
      <c r="H573" t="n">
        <v>156</v>
      </c>
      <c r="I573" t="n">
        <v>163</v>
      </c>
      <c r="J573" t="n">
        <v>127</v>
      </c>
      <c r="K573" t="n">
        <v>79</v>
      </c>
      <c r="L573" t="n">
        <v>110</v>
      </c>
      <c r="M573" t="n">
        <v>16.3</v>
      </c>
      <c r="N573" t="n">
        <v>2026</v>
      </c>
      <c r="O573" t="n">
        <v>0.82</v>
      </c>
      <c r="P573" t="n">
        <v>1671</v>
      </c>
      <c r="Q573" t="n">
        <v>252</v>
      </c>
      <c r="R573" t="n">
        <v>76</v>
      </c>
      <c r="S573" t="n">
        <v>40</v>
      </c>
      <c r="T573" t="n">
        <v>139</v>
      </c>
      <c r="U573" t="n">
        <v>7</v>
      </c>
      <c r="V573" t="n">
        <v>69</v>
      </c>
      <c r="W573" t="n">
        <v>0.188999999999999</v>
      </c>
      <c r="X573" t="n">
        <v>70</v>
      </c>
      <c r="Y573" t="n">
        <v>64</v>
      </c>
      <c r="Z573" t="n">
        <v>69</v>
      </c>
      <c r="AA573" t="n">
        <v>5</v>
      </c>
      <c r="AB573" t="n">
        <v>10.5</v>
      </c>
      <c r="AC573" t="inlineStr">
        <is>
          <t xml:space="preserve"> On-Piste Carving</t>
        </is>
      </c>
      <c r="AG573" t="inlineStr">
        <is>
          <t>Volkl Deacon 80 Skis</t>
        </is>
      </c>
      <c r="AH573" t="inlineStr">
        <is>
          <t>Cole Sport</t>
        </is>
      </c>
      <c r="AI573" s="333" t="n">
        <v>719.99</v>
      </c>
      <c r="AJ573" t="inlineStr">
        <is>
          <t>https://tinyurl.com/ybl6w3jz</t>
        </is>
      </c>
      <c r="AK573" t="inlineStr">
        <is>
          <t>Volkl Deacon 80 Skis 2022 w/bindings 177</t>
        </is>
      </c>
      <c r="AL573" t="inlineStr">
        <is>
          <t>Ski Depot RaceSkis.com</t>
        </is>
      </c>
      <c r="AM573" s="333" t="n">
        <v>899.99</v>
      </c>
      <c r="AN573" t="inlineStr">
        <is>
          <t>https://tinyurl.com/y9stwdbk</t>
        </is>
      </c>
      <c r="AO573" t="inlineStr">
        <is>
          <t>VÃ¶lkl Rise Up 82 Touring Skis 177</t>
        </is>
      </c>
      <c r="AP573" t="inlineStr">
        <is>
          <t>Snowcountry.eu</t>
        </is>
      </c>
      <c r="AQ573" s="333" t="n">
        <v>322.69</v>
      </c>
      <c r="AR573" t="inlineStr">
        <is>
          <t>https://tinyurl.com/y9lrzc3k</t>
        </is>
      </c>
      <c r="AS573" s="314">
        <f>IF(LEFT(C573,1)=" ",RIGHT(C573,LEN(C573)-1),C573)</f>
        <v/>
      </c>
      <c r="AT573" s="281">
        <f>_xlfn.CONCAT(B573,AS573,D573,E573)</f>
        <v/>
      </c>
    </row>
    <row r="574">
      <c r="A574" t="inlineStr">
        <is>
          <t>21/22</t>
        </is>
      </c>
      <c r="B574" t="inlineStr">
        <is>
          <t xml:space="preserve"> Blizzard</t>
        </is>
      </c>
      <c r="C574" t="inlineStr">
        <is>
          <t xml:space="preserve"> Thunderbird Sport Ti</t>
        </is>
      </c>
      <c r="D574" t="n">
        <v>165</v>
      </c>
      <c r="E574" t="inlineStr">
        <is>
          <t xml:space="preserve"> Unisex</t>
        </is>
      </c>
      <c r="F574" t="n">
        <v>165</v>
      </c>
      <c r="G574" t="n">
        <v>164.3</v>
      </c>
      <c r="H574" t="n">
        <v>143</v>
      </c>
      <c r="I574" t="n">
        <v>152</v>
      </c>
      <c r="J574" t="n">
        <v>124</v>
      </c>
      <c r="K574" t="n">
        <v>75</v>
      </c>
      <c r="L574" t="n">
        <v>104</v>
      </c>
      <c r="M574" t="n">
        <v>14.5</v>
      </c>
      <c r="N574" t="n">
        <v>1866</v>
      </c>
      <c r="O574" t="n">
        <v>0.79</v>
      </c>
      <c r="P574" t="n">
        <v>1470</v>
      </c>
      <c r="Q574" t="n">
        <v>205</v>
      </c>
      <c r="R574" t="n">
        <v>100</v>
      </c>
      <c r="S574" t="n">
        <v>42</v>
      </c>
      <c r="T574" t="n">
        <v>164</v>
      </c>
      <c r="U574" t="n">
        <v>6</v>
      </c>
      <c r="V574" t="n">
        <v>51</v>
      </c>
      <c r="W574" t="n">
        <v>0.152</v>
      </c>
      <c r="X574" t="n">
        <v>69</v>
      </c>
      <c r="Y574" t="n">
        <v>58</v>
      </c>
      <c r="Z574" t="n">
        <v>95</v>
      </c>
      <c r="AA574" t="n">
        <v>6</v>
      </c>
      <c r="AB574" t="n">
        <v>11.7</v>
      </c>
      <c r="AC574" t="inlineStr">
        <is>
          <t xml:space="preserve"> On-Piste Carving</t>
        </is>
      </c>
      <c r="AG574" t="inlineStr">
        <is>
          <t>Blizzard Thunderbird Sport R14 Ti 165 cm</t>
        </is>
      </c>
      <c r="AH574" t="inlineStr">
        <is>
          <t>SportÃ¨que</t>
        </is>
      </c>
      <c r="AI574" s="333" t="n">
        <v>641.37</v>
      </c>
      <c r="AJ574" t="inlineStr">
        <is>
          <t>https://tinyurl.com/y7pybm57</t>
        </is>
      </c>
      <c r="AK574" t="inlineStr">
        <is>
          <t>Blizzard Thunderbird Sport R14 Ti 165 cm</t>
        </is>
      </c>
      <c r="AL574" t="inlineStr">
        <is>
          <t>BlueZone Sports</t>
        </is>
      </c>
      <c r="AM574" s="333" t="n">
        <v>699.95</v>
      </c>
      <c r="AN574" t="inlineStr">
        <is>
          <t>https://www.google.com/url?q=https://www.bluezonesports.com/blizzard/blizzard-thunderbird-sport-r14-ti-skis-tpx-12-demo-bindings-mens-2022-38264&amp;sa=U&amp;ved=0ahUKEwj0iI7ZwO72AhViDjQIHYg8CtoQ2ykIGA&amp;usg=AOvVaw273j7e0QMQW0-kluvJC4bT</t>
        </is>
      </c>
      <c r="AO574" t="inlineStr">
        <is>
          <t>Blizzard Thunderbird Sport CA Skis w/ TPC 11 Bindings</t>
        </is>
      </c>
      <c r="AP574" t="inlineStr">
        <is>
          <t>The-House.com</t>
        </is>
      </c>
      <c r="AQ574" s="333" t="n">
        <v>599.95</v>
      </c>
      <c r="AR574" t="inlineStr">
        <is>
          <t>https://tinyurl.com/y8aac63t</t>
        </is>
      </c>
      <c r="AS574" s="314">
        <f>IF(LEFT(C574,1)=" ",RIGHT(C574,LEN(C574)-1),C574)</f>
        <v/>
      </c>
      <c r="AT574" s="281">
        <f>_xlfn.CONCAT(B574,AS574,D574,E574)</f>
        <v/>
      </c>
    </row>
    <row r="575">
      <c r="A575" t="inlineStr">
        <is>
          <t>21/22</t>
        </is>
      </c>
      <c r="B575" t="inlineStr">
        <is>
          <t xml:space="preserve"> Rossignol</t>
        </is>
      </c>
      <c r="C575" t="inlineStr">
        <is>
          <t xml:space="preserve"> Hero Elite Multi Turn Ti</t>
        </is>
      </c>
      <c r="D575" t="n">
        <v>175</v>
      </c>
      <c r="E575" t="inlineStr">
        <is>
          <t xml:space="preserve"> Unisex</t>
        </is>
      </c>
      <c r="F575" t="n">
        <v>175</v>
      </c>
      <c r="G575" t="n">
        <v>174.6</v>
      </c>
      <c r="H575" t="n">
        <v>154</v>
      </c>
      <c r="I575" t="n">
        <v>161</v>
      </c>
      <c r="J575" t="n">
        <v>122</v>
      </c>
      <c r="K575" t="n">
        <v>73</v>
      </c>
      <c r="L575" t="n">
        <v>108</v>
      </c>
      <c r="M575" t="n">
        <v>15.3</v>
      </c>
      <c r="N575" t="n">
        <v>1880</v>
      </c>
      <c r="O575" t="n">
        <v>0.82</v>
      </c>
      <c r="P575" t="n">
        <v>1542</v>
      </c>
      <c r="Q575" t="n">
        <v>222</v>
      </c>
      <c r="R575" t="n">
        <v>93</v>
      </c>
      <c r="S575" t="n">
        <v>37</v>
      </c>
      <c r="T575" t="n">
        <v>137</v>
      </c>
      <c r="U575" t="n">
        <v>5</v>
      </c>
      <c r="V575" t="n">
        <v>67</v>
      </c>
      <c r="W575" t="n">
        <v>0.13</v>
      </c>
      <c r="X575" t="n">
        <v>75</v>
      </c>
      <c r="Y575" t="n">
        <v>62</v>
      </c>
      <c r="Z575" t="n">
        <v>62</v>
      </c>
      <c r="AA575" t="n">
        <v>11</v>
      </c>
      <c r="AB575" t="n">
        <v>10.3</v>
      </c>
      <c r="AC575" t="inlineStr">
        <is>
          <t xml:space="preserve"> On-Piste Carving</t>
        </is>
      </c>
      <c r="AG575" t="inlineStr">
        <is>
          <t>Rossignol Hero Elite MT Ti</t>
        </is>
      </c>
      <c r="AH575" t="inlineStr">
        <is>
          <t>Suburban Ski and Bike</t>
        </is>
      </c>
      <c r="AI575" s="333" t="n">
        <v>639.95</v>
      </c>
      <c r="AJ575" t="inlineStr">
        <is>
          <t>https://tinyurl.com/y7nchkkb</t>
        </is>
      </c>
      <c r="AK575" t="inlineStr">
        <is>
          <t>Rossignol HERO ELITE MT TI + SPX12.GW BI Racing Ski 2022 175</t>
        </is>
      </c>
      <c r="AL575" t="inlineStr">
        <is>
          <t>Boyne Country Sports</t>
        </is>
      </c>
      <c r="AM575" s="333" t="n">
        <v>900</v>
      </c>
      <c r="AN575" t="inlineStr">
        <is>
          <t>https://tinyurl.com/yag3wmo3</t>
        </is>
      </c>
      <c r="AO575" t="inlineStr">
        <is>
          <t>Rossignol Unisex Racing Skis Hero Athlete GS Â· 175 cm</t>
        </is>
      </c>
      <c r="AP575" t="inlineStr">
        <is>
          <t>Gear West Ski &amp; Bike</t>
        </is>
      </c>
      <c r="AQ575" s="333" t="n">
        <v>1125</v>
      </c>
      <c r="AR575" t="inlineStr">
        <is>
          <t>https://tinyurl.com/ycf9bx5q</t>
        </is>
      </c>
      <c r="AS575" s="314">
        <f>IF(LEFT(C575,1)=" ",RIGHT(C575,LEN(C575)-1),C575)</f>
        <v/>
      </c>
      <c r="AT575" s="281">
        <f>_xlfn.CONCAT(B575,AS575,D575,E575)</f>
        <v/>
      </c>
    </row>
    <row r="576">
      <c r="A576" t="inlineStr">
        <is>
          <t>21/22</t>
        </is>
      </c>
      <c r="B576" t="inlineStr">
        <is>
          <t xml:space="preserve"> Head</t>
        </is>
      </c>
      <c r="C576" t="inlineStr">
        <is>
          <t>V-Shape V4</t>
        </is>
      </c>
      <c r="D576" t="n">
        <v>170</v>
      </c>
      <c r="E576" t="inlineStr">
        <is>
          <t xml:space="preserve"> Unisex</t>
        </is>
      </c>
      <c r="F576" t="n">
        <v>170</v>
      </c>
      <c r="G576" t="n">
        <v>169.4</v>
      </c>
      <c r="H576" t="n">
        <v>150</v>
      </c>
      <c r="I576" t="n">
        <v>157</v>
      </c>
      <c r="J576" t="n">
        <v>130</v>
      </c>
      <c r="K576" t="n">
        <v>72</v>
      </c>
      <c r="L576" t="n">
        <v>111</v>
      </c>
      <c r="M576" t="n">
        <v>12.5</v>
      </c>
      <c r="N576" t="n">
        <v>1868</v>
      </c>
      <c r="O576" t="n">
        <v>0.8100000000000001</v>
      </c>
      <c r="P576" t="n">
        <v>1522</v>
      </c>
      <c r="Q576" t="n">
        <v>175</v>
      </c>
      <c r="R576" t="n">
        <v>88</v>
      </c>
      <c r="S576" t="n">
        <v>32</v>
      </c>
      <c r="T576" t="n">
        <v>136</v>
      </c>
      <c r="U576" t="n">
        <v>6</v>
      </c>
      <c r="V576" t="n">
        <v>58</v>
      </c>
      <c r="W576" t="n">
        <v>0.186</v>
      </c>
      <c r="X576" t="n">
        <v>76</v>
      </c>
      <c r="Y576" t="n">
        <v>49</v>
      </c>
      <c r="Z576" t="n">
        <v>60</v>
      </c>
      <c r="AA576" t="n">
        <v>13</v>
      </c>
      <c r="AB576" t="n">
        <v>13.4</v>
      </c>
      <c r="AC576" t="inlineStr">
        <is>
          <t xml:space="preserve"> On-Piste Carving</t>
        </is>
      </c>
      <c r="AG576" t="inlineStr">
        <is>
          <t>Head V-Shape V4 Skis w/ PR 10 GW Promo Bindings</t>
        </is>
      </c>
      <c r="AH576" t="inlineStr">
        <is>
          <t>The-House.com</t>
        </is>
      </c>
      <c r="AI576" s="333" t="n">
        <v>370</v>
      </c>
      <c r="AJ576" t="inlineStr">
        <is>
          <t>https://tinyurl.com/y7ddkbc2</t>
        </is>
      </c>
      <c r="AK576" t="inlineStr">
        <is>
          <t>Head V-Shape V4 Skis w/ PR 10 GW Promo Bindings</t>
        </is>
      </c>
      <c r="AL576" t="inlineStr">
        <is>
          <t>Ski Country Sports</t>
        </is>
      </c>
      <c r="AM576" s="333" t="n">
        <v>419.98</v>
      </c>
      <c r="AN576" t="inlineStr">
        <is>
          <t>https://tinyurl.com/y77rn9cp</t>
        </is>
      </c>
      <c r="AO576" t="inlineStr">
        <is>
          <t>Head V-shape V4 Xl Skis With Size Adjustable Pr 10 Gw Bindings 2022</t>
        </is>
      </c>
      <c r="AP576" t="inlineStr">
        <is>
          <t>eBay - wintersportdeals</t>
        </is>
      </c>
      <c r="AQ576" s="333" t="n">
        <v>419.99</v>
      </c>
      <c r="AR576" t="inlineStr">
        <is>
          <t>https://tinyurl.com/y7prtxz4</t>
        </is>
      </c>
      <c r="AS576" s="314">
        <f>IF(LEFT(C576,1)=" ",RIGHT(C576,LEN(C576)-1),C576)</f>
        <v/>
      </c>
      <c r="AT576" s="281">
        <f>_xlfn.CONCAT(B576,AS576,D576,E576)</f>
        <v/>
      </c>
    </row>
    <row r="577">
      <c r="A577" t="inlineStr">
        <is>
          <t>21/22</t>
        </is>
      </c>
      <c r="B577" t="inlineStr">
        <is>
          <t>K2</t>
        </is>
      </c>
      <c r="C577" t="inlineStr">
        <is>
          <t>Mindbender 85</t>
        </is>
      </c>
      <c r="D577" t="n">
        <v>177</v>
      </c>
      <c r="E577" t="inlineStr">
        <is>
          <t xml:space="preserve"> Unisex</t>
        </is>
      </c>
      <c r="F577" t="n">
        <v>177</v>
      </c>
      <c r="G577" t="n">
        <v>177.4</v>
      </c>
      <c r="H577" t="n">
        <v>135</v>
      </c>
      <c r="I577" t="n">
        <v>148</v>
      </c>
      <c r="J577" t="n">
        <v>129</v>
      </c>
      <c r="K577" t="n">
        <v>84</v>
      </c>
      <c r="L577" t="n">
        <v>112</v>
      </c>
      <c r="M577" t="n">
        <v>14.4</v>
      </c>
      <c r="N577" t="n">
        <v>1863</v>
      </c>
      <c r="O577" t="n">
        <v>0.9399999999999999</v>
      </c>
      <c r="P577" t="n">
        <v>1759</v>
      </c>
      <c r="Q577" t="n">
        <v>205</v>
      </c>
      <c r="R577" t="n">
        <v>108</v>
      </c>
      <c r="S577" t="n">
        <v>45</v>
      </c>
      <c r="T577" t="n">
        <v>265</v>
      </c>
      <c r="U577" t="n">
        <v>14</v>
      </c>
      <c r="V577" t="n">
        <v>156</v>
      </c>
      <c r="W577" t="n">
        <v>0.307</v>
      </c>
      <c r="X577" t="n">
        <v>176</v>
      </c>
      <c r="Y577" t="n">
        <v>116</v>
      </c>
      <c r="Z577" t="n">
        <v>89</v>
      </c>
      <c r="AA577" t="n">
        <v>10</v>
      </c>
      <c r="AB577" t="n">
        <v>11.2</v>
      </c>
      <c r="AC577" t="inlineStr">
        <is>
          <t xml:space="preserve"> On-Piste All-Mountain</t>
        </is>
      </c>
      <c r="AD577" t="inlineStr">
        <is>
          <t xml:space="preserve"> Resort Freeride</t>
        </is>
      </c>
      <c r="AG577" t="inlineStr">
        <is>
          <t>K2 Mindbender 85 Skis</t>
        </is>
      </c>
      <c r="AH577" t="inlineStr">
        <is>
          <t>! OutdoorXL.com</t>
        </is>
      </c>
      <c r="AI577" s="333" t="n">
        <v>309.95</v>
      </c>
      <c r="AJ577" t="inlineStr">
        <is>
          <t>https://tinyurl.com/yaqjnbmv</t>
        </is>
      </c>
      <c r="AK577" t="inlineStr">
        <is>
          <t>K2 Mindbender 85 Skis</t>
        </is>
      </c>
      <c r="AL577" t="inlineStr">
        <is>
          <t>REI</t>
        </is>
      </c>
      <c r="AM577" s="333" t="n">
        <v>399.95</v>
      </c>
      <c r="AN577" t="inlineStr">
        <is>
          <t>https://tinyurl.com/yavlrxvm</t>
        </is>
      </c>
      <c r="AO577" t="inlineStr">
        <is>
          <t>K2 Mindbender 85 Skis</t>
        </is>
      </c>
      <c r="AP577" t="inlineStr">
        <is>
          <t>Ski Pro  - Snow Ski &amp; Snowboard</t>
        </is>
      </c>
      <c r="AQ577" s="333" t="n">
        <v>399.95</v>
      </c>
      <c r="AR577" t="inlineStr">
        <is>
          <t>https://tinyurl.com/ycotovwm</t>
        </is>
      </c>
      <c r="AS577" s="314">
        <f>IF(LEFT(C577,1)=" ",RIGHT(C577,LEN(C577)-1),C577)</f>
        <v/>
      </c>
      <c r="AT577" s="281">
        <f>_xlfn.CONCAT(B577,AS577,D577,E577)</f>
        <v/>
      </c>
    </row>
    <row r="578">
      <c r="A578" t="inlineStr">
        <is>
          <t>21/22</t>
        </is>
      </c>
      <c r="B578" t="inlineStr">
        <is>
          <t xml:space="preserve"> Faction</t>
        </is>
      </c>
      <c r="C578" t="inlineStr">
        <is>
          <t>Dictator 2.0</t>
        </is>
      </c>
      <c r="D578" t="n">
        <v>171</v>
      </c>
      <c r="E578" t="inlineStr">
        <is>
          <t xml:space="preserve"> Unisex</t>
        </is>
      </c>
      <c r="F578" t="n">
        <v>171</v>
      </c>
      <c r="G578" t="n">
        <v>169.5</v>
      </c>
      <c r="H578" t="n">
        <v>128</v>
      </c>
      <c r="I578" t="n">
        <v>141</v>
      </c>
      <c r="J578" t="n">
        <v>126</v>
      </c>
      <c r="K578" t="n">
        <v>95</v>
      </c>
      <c r="L578" t="n">
        <v>116</v>
      </c>
      <c r="M578" t="n">
        <v>17.6</v>
      </c>
      <c r="N578" t="n">
        <v>1848</v>
      </c>
      <c r="O578" t="n">
        <v>0.97</v>
      </c>
      <c r="P578" t="n">
        <v>1789</v>
      </c>
      <c r="Q578" t="n">
        <v>226</v>
      </c>
      <c r="R578" t="n">
        <v>130</v>
      </c>
      <c r="S578" t="n">
        <v>52</v>
      </c>
      <c r="T578" t="n">
        <v>240</v>
      </c>
      <c r="U578" t="n">
        <v>22</v>
      </c>
      <c r="V578" t="n">
        <v>177</v>
      </c>
      <c r="W578" t="n">
        <v>0.42</v>
      </c>
      <c r="X578" t="n">
        <v>176</v>
      </c>
      <c r="Y578" t="n">
        <v>105</v>
      </c>
      <c r="Z578" t="n">
        <v>64</v>
      </c>
      <c r="AA578" t="n">
        <v>8</v>
      </c>
      <c r="AB578" t="n">
        <v>10.9</v>
      </c>
      <c r="AC578" t="inlineStr">
        <is>
          <t xml:space="preserve"> Resort Freeride</t>
        </is>
      </c>
      <c r="AG578" t="inlineStr">
        <is>
          <t>Faction Dictator 2.0 x Skis</t>
        </is>
      </c>
      <c r="AH578" t="inlineStr">
        <is>
          <t>PRFO Sports</t>
        </is>
      </c>
      <c r="AI578" s="333" t="n">
        <v>544.36</v>
      </c>
      <c r="AJ578" t="inlineStr">
        <is>
          <t>https://tinyurl.com/ybds5yos</t>
        </is>
      </c>
      <c r="AK578" t="inlineStr">
        <is>
          <t>Faction Dictator 2.0 x Skis</t>
        </is>
      </c>
      <c r="AL578" t="inlineStr">
        <is>
          <t>Next Adventure</t>
        </is>
      </c>
      <c r="AM578" s="333" t="n">
        <v>623.2</v>
      </c>
      <c r="AN578" t="inlineStr">
        <is>
          <t>https://tinyurl.com/y7vjwaml</t>
        </is>
      </c>
      <c r="AO578" t="inlineStr">
        <is>
          <t>Faction Dictator 2.0 Skis</t>
        </is>
      </c>
      <c r="AP578" t="inlineStr">
        <is>
          <t>ColoradoSkiShop.com</t>
        </is>
      </c>
      <c r="AQ578" s="333" t="n">
        <v>699.99</v>
      </c>
      <c r="AR578" t="inlineStr">
        <is>
          <t>https://tinyurl.com/y9tyo7rd</t>
        </is>
      </c>
      <c r="AS578" s="314">
        <f>IF(LEFT(C578,1)=" ",RIGHT(C578,LEN(C578)-1),C578)</f>
        <v/>
      </c>
      <c r="AT578" s="281">
        <f>_xlfn.CONCAT(B578,AS578,D578,E578)</f>
        <v/>
      </c>
    </row>
    <row r="579">
      <c r="A579" t="inlineStr">
        <is>
          <t>21/22</t>
        </is>
      </c>
      <c r="B579" t="inlineStr">
        <is>
          <t>K2</t>
        </is>
      </c>
      <c r="C579" t="inlineStr">
        <is>
          <t>Mindbender 115 C Alliance</t>
        </is>
      </c>
      <c r="D579" t="n">
        <v>165</v>
      </c>
      <c r="E579" t="inlineStr">
        <is>
          <t xml:space="preserve"> Women's</t>
        </is>
      </c>
      <c r="F579" t="n">
        <v>165</v>
      </c>
      <c r="G579" t="n">
        <v>165.3</v>
      </c>
      <c r="H579" t="n">
        <v>97</v>
      </c>
      <c r="I579" t="n">
        <v>125</v>
      </c>
      <c r="J579" t="n">
        <v>138</v>
      </c>
      <c r="K579" t="n">
        <v>114</v>
      </c>
      <c r="L579" t="n">
        <v>128</v>
      </c>
      <c r="M579" t="n">
        <v>19</v>
      </c>
      <c r="N579" t="n">
        <v>1640</v>
      </c>
      <c r="O579" t="n">
        <v>1.22</v>
      </c>
      <c r="P579" t="n">
        <v>1993</v>
      </c>
      <c r="Q579" t="n">
        <v>142</v>
      </c>
      <c r="R579" t="n">
        <v>77</v>
      </c>
      <c r="S579" t="n">
        <v>52</v>
      </c>
      <c r="T579" t="n">
        <v>431</v>
      </c>
      <c r="U579" t="n">
        <v>23</v>
      </c>
      <c r="V579" t="n">
        <v>253</v>
      </c>
      <c r="W579" t="n">
        <v>0.435</v>
      </c>
      <c r="X579" t="n">
        <v>203</v>
      </c>
      <c r="Y579" t="n">
        <v>196</v>
      </c>
      <c r="Z579" t="n">
        <v>228</v>
      </c>
      <c r="AA579" t="n">
        <v>5</v>
      </c>
      <c r="AB579" t="n">
        <v>10.3</v>
      </c>
      <c r="AC579" t="inlineStr">
        <is>
          <t xml:space="preserve"> Powder</t>
        </is>
      </c>
      <c r="AD579" t="inlineStr">
        <is>
          <t xml:space="preserve"> Touring</t>
        </is>
      </c>
      <c r="AG579" t="inlineStr">
        <is>
          <t>K2 Mindbender 115C Alliance Skis Â· Women's Â· 2021 Â· 165 cm</t>
        </is>
      </c>
      <c r="AH579" t="inlineStr">
        <is>
          <t>eBay - asogear</t>
        </is>
      </c>
      <c r="AI579" s="333" t="n">
        <v>524.99</v>
      </c>
      <c r="AJ579" t="inlineStr">
        <is>
          <t>https://tinyurl.com/yak78vao</t>
        </is>
      </c>
      <c r="AK579" t="inlineStr">
        <is>
          <t>'21 K2 Mindbender 115C Alliance Skis 165cm</t>
        </is>
      </c>
      <c r="AL579" t="inlineStr">
        <is>
          <t>Al's Ski Equipment Barn</t>
        </is>
      </c>
      <c r="AM579" s="333" t="n">
        <v>599</v>
      </c>
      <c r="AN579" t="inlineStr">
        <is>
          <t>https://tinyurl.com/ycrvz994</t>
        </is>
      </c>
      <c r="AO579" t="inlineStr">
        <is>
          <t>Skis K2 Mindbender 115c Alliance Womens 140-115-129 165cm 2022 Sealed</t>
        </is>
      </c>
      <c r="AP579" t="inlineStr">
        <is>
          <t>eBay - lkcat</t>
        </is>
      </c>
      <c r="AQ579" s="333" t="n">
        <v>669.99</v>
      </c>
      <c r="AR579" t="inlineStr">
        <is>
          <t>https://tinyurl.com/y7cyh8gh</t>
        </is>
      </c>
      <c r="AS579" s="314">
        <f>IF(LEFT(C579,1)=" ",RIGHT(C579,LEN(C579)-1),C579)</f>
        <v/>
      </c>
      <c r="AT579" s="281">
        <f>_xlfn.CONCAT(B579,AS579,D579,E579)</f>
        <v/>
      </c>
    </row>
    <row r="580">
      <c r="A580" t="inlineStr">
        <is>
          <t>21/22</t>
        </is>
      </c>
      <c r="B580" t="inlineStr">
        <is>
          <t xml:space="preserve"> Atomic</t>
        </is>
      </c>
      <c r="C580" t="inlineStr">
        <is>
          <t>Vantage 75</t>
        </is>
      </c>
      <c r="D580" t="n">
        <v>161</v>
      </c>
      <c r="E580" t="inlineStr">
        <is>
          <t xml:space="preserve"> Unisex</t>
        </is>
      </c>
      <c r="F580" t="n">
        <v>161</v>
      </c>
      <c r="G580" t="n">
        <v>160.5</v>
      </c>
      <c r="H580" t="n">
        <v>135</v>
      </c>
      <c r="I580" t="n">
        <v>143</v>
      </c>
      <c r="J580" t="n">
        <v>114</v>
      </c>
      <c r="K580" t="n">
        <v>74</v>
      </c>
      <c r="L580" t="n">
        <v>99</v>
      </c>
      <c r="M580" t="n">
        <v>15.2</v>
      </c>
      <c r="N580" t="n">
        <v>1774</v>
      </c>
      <c r="O580" t="n">
        <v>0.78</v>
      </c>
      <c r="P580" t="n">
        <v>1388</v>
      </c>
      <c r="Q580" t="n">
        <v>166</v>
      </c>
      <c r="R580" t="n">
        <v>84</v>
      </c>
      <c r="S580" t="n">
        <v>39</v>
      </c>
      <c r="T580" t="n">
        <v>176</v>
      </c>
      <c r="U580" t="n">
        <v>4</v>
      </c>
      <c r="V580" t="n">
        <v>78</v>
      </c>
      <c r="W580" t="n">
        <v>0.111999999999999</v>
      </c>
      <c r="X580" t="n">
        <v>100</v>
      </c>
      <c r="Y580" t="n">
        <v>76</v>
      </c>
      <c r="Z580" t="n">
        <v>76</v>
      </c>
      <c r="AA580" t="n">
        <v>11</v>
      </c>
      <c r="AB580" t="n">
        <v>10.5</v>
      </c>
      <c r="AC580" t="inlineStr">
        <is>
          <t xml:space="preserve"> On-Piste Carving</t>
        </is>
      </c>
      <c r="AD580" t="inlineStr">
        <is>
          <t xml:space="preserve"> On-Piste All-Mountain</t>
        </is>
      </c>
      <c r="AG580" t="inlineStr">
        <is>
          <t>Atomic Skis Vantage 75 + M 10 GW Womens - No Color - 161</t>
        </is>
      </c>
      <c r="AH580" t="inlineStr">
        <is>
          <t>Level Nine Sports</t>
        </is>
      </c>
      <c r="AI580" s="333" t="n">
        <v>319.99</v>
      </c>
      <c r="AJ580" t="inlineStr">
        <is>
          <t>https://tinyurl.com/ycephkf7</t>
        </is>
      </c>
      <c r="AK580" t="inlineStr">
        <is>
          <t>Atomic Vantage 75 C + M 10 GW</t>
        </is>
      </c>
      <c r="AL580" t="inlineStr">
        <is>
          <t>SkiEssentials.com</t>
        </is>
      </c>
      <c r="AM580" s="333" t="n">
        <v>319.99</v>
      </c>
      <c r="AN580" t="inlineStr">
        <is>
          <t>https://tinyurl.com/yb96aymj</t>
        </is>
      </c>
      <c r="AO580" t="inlineStr">
        <is>
          <t>Atomic Vantage 75 C + M 10 GW</t>
        </is>
      </c>
      <c r="AP580" t="inlineStr">
        <is>
          <t>Spoke-N-Sport</t>
        </is>
      </c>
      <c r="AQ580" s="333" t="n">
        <v>335.99</v>
      </c>
      <c r="AR580" t="inlineStr">
        <is>
          <t>https://tinyurl.com/ycdjkpot</t>
        </is>
      </c>
      <c r="AS580" s="314">
        <f>IF(LEFT(C580,1)=" ",RIGHT(C580,LEN(C580)-1),C580)</f>
        <v/>
      </c>
      <c r="AT580" s="281">
        <f>_xlfn.CONCAT(B580,AS580,D580,E580)</f>
        <v/>
      </c>
    </row>
    <row r="581">
      <c r="A581" t="inlineStr">
        <is>
          <t>21/22</t>
        </is>
      </c>
      <c r="B581" t="inlineStr">
        <is>
          <t xml:space="preserve"> Atomic</t>
        </is>
      </c>
      <c r="C581" t="inlineStr">
        <is>
          <t>Backland 107 W</t>
        </is>
      </c>
      <c r="D581" t="n">
        <v>167</v>
      </c>
      <c r="E581" t="inlineStr">
        <is>
          <t xml:space="preserve"> Unisex</t>
        </is>
      </c>
      <c r="F581" t="n">
        <v>167</v>
      </c>
      <c r="G581" t="n">
        <v>166.7</v>
      </c>
      <c r="H581" t="n">
        <v>106</v>
      </c>
      <c r="I581" t="n">
        <v>127</v>
      </c>
      <c r="J581" t="n">
        <v>134</v>
      </c>
      <c r="K581" t="n">
        <v>107</v>
      </c>
      <c r="L581" t="n">
        <v>121</v>
      </c>
      <c r="M581" t="n">
        <v>16.5</v>
      </c>
      <c r="N581" t="n">
        <v>1470</v>
      </c>
      <c r="O581" t="n">
        <v>1.31</v>
      </c>
      <c r="P581" t="n">
        <v>1921</v>
      </c>
      <c r="Q581" t="n">
        <v>156</v>
      </c>
      <c r="R581" t="n">
        <v>76</v>
      </c>
      <c r="S581" t="n">
        <v>46</v>
      </c>
      <c r="T581" t="n">
        <v>380</v>
      </c>
      <c r="U581" t="n">
        <v>14</v>
      </c>
      <c r="V581" t="n">
        <v>225</v>
      </c>
      <c r="W581" t="n">
        <v>0.306</v>
      </c>
      <c r="X581" t="n">
        <v>228</v>
      </c>
      <c r="Y581" t="n">
        <v>166</v>
      </c>
      <c r="Z581" t="n">
        <v>151</v>
      </c>
      <c r="AA581" t="n">
        <v>5</v>
      </c>
      <c r="AB581" t="n">
        <v>9.699999999999999</v>
      </c>
      <c r="AC581" t="inlineStr">
        <is>
          <t xml:space="preserve"> Big Mountain</t>
        </is>
      </c>
      <c r="AD581" t="inlineStr">
        <is>
          <t xml:space="preserve"> Touring</t>
        </is>
      </c>
      <c r="AE581" t="inlineStr">
        <is>
          <t xml:space="preserve"> Ultralight Touring</t>
        </is>
      </c>
      <c r="AG581" t="inlineStr">
        <is>
          <t>Atomic Backland W 107 Anthra/Ber / 167cm</t>
        </is>
      </c>
      <c r="AH581" t="inlineStr">
        <is>
          <t>Sundance Ski and Board Shop</t>
        </is>
      </c>
      <c r="AI581" s="333" t="n">
        <v>521.11</v>
      </c>
      <c r="AJ581" t="inlineStr">
        <is>
          <t>https://tinyurl.com/y7uknajy</t>
        </is>
      </c>
      <c r="AK581" t="inlineStr">
        <is>
          <t>Atomic W Backland 107 Alpine Touring Ski (2022) 167</t>
        </is>
      </c>
      <c r="AL581" t="inlineStr">
        <is>
          <t>Cripple Creek Backcountry</t>
        </is>
      </c>
      <c r="AM581" s="333" t="n">
        <v>599</v>
      </c>
      <c r="AN581" t="inlineStr">
        <is>
          <t>https://tinyurl.com/ycz8y6cl</t>
        </is>
      </c>
      <c r="AO581" t="inlineStr">
        <is>
          <t>'22 Atomic Backland 107 W Skis 167cm</t>
        </is>
      </c>
      <c r="AP581" t="inlineStr">
        <is>
          <t>Al's Ski Equipment Barn</t>
        </is>
      </c>
      <c r="AQ581" s="333" t="n">
        <v>649.95</v>
      </c>
      <c r="AR581" t="inlineStr">
        <is>
          <t>https://tinyurl.com/y72bx5ky</t>
        </is>
      </c>
      <c r="AS581" s="314">
        <f>IF(LEFT(C581,1)=" ",RIGHT(C581,LEN(C581)-1),C581)</f>
        <v/>
      </c>
      <c r="AT581" s="281">
        <f>_xlfn.CONCAT(B581,AS581,D581,E581)</f>
        <v/>
      </c>
    </row>
    <row r="582">
      <c r="A582" t="inlineStr">
        <is>
          <t>21/22</t>
        </is>
      </c>
      <c r="B582" t="inlineStr">
        <is>
          <t xml:space="preserve"> Rossignol</t>
        </is>
      </c>
      <c r="C582" t="inlineStr">
        <is>
          <t>Experience 80 Carbon W</t>
        </is>
      </c>
      <c r="D582" t="n">
        <v>166</v>
      </c>
      <c r="E582" t="inlineStr">
        <is>
          <t xml:space="preserve"> Women's</t>
        </is>
      </c>
      <c r="F582" t="n">
        <v>166</v>
      </c>
      <c r="G582" t="n">
        <v>166.6</v>
      </c>
      <c r="H582" t="n">
        <v>127</v>
      </c>
      <c r="I582" t="n">
        <v>152</v>
      </c>
      <c r="J582" t="n">
        <v>125</v>
      </c>
      <c r="K582" t="n">
        <v>80</v>
      </c>
      <c r="L582" t="n">
        <v>113</v>
      </c>
      <c r="M582" t="n">
        <v>14.3</v>
      </c>
      <c r="N582" t="n">
        <v>1759</v>
      </c>
      <c r="O582" t="n">
        <v>0.9</v>
      </c>
      <c r="P582" t="n">
        <v>1579</v>
      </c>
      <c r="Q582" t="n">
        <v>214</v>
      </c>
      <c r="R582" t="n">
        <v>78</v>
      </c>
      <c r="S582" t="n">
        <v>48</v>
      </c>
      <c r="T582" t="n">
        <v>265</v>
      </c>
      <c r="U582" t="n">
        <v>13</v>
      </c>
      <c r="V582" t="n">
        <v>129</v>
      </c>
      <c r="W582" t="n">
        <v>0.264</v>
      </c>
      <c r="X582" t="n">
        <v>83</v>
      </c>
      <c r="Y582" t="n">
        <v>65</v>
      </c>
      <c r="Z582" t="n">
        <v>182</v>
      </c>
      <c r="AA582" t="n">
        <v>11</v>
      </c>
      <c r="AB582" t="n">
        <v>7.5</v>
      </c>
      <c r="AC582" t="inlineStr">
        <is>
          <t xml:space="preserve"> Resort Freeride</t>
        </is>
      </c>
      <c r="AG582" t="inlineStr">
        <is>
          <t>Rossignol Experience 80 Carbon Skis w/ Look Xpress 11 GW Bindings</t>
        </is>
      </c>
      <c r="AH582" t="inlineStr">
        <is>
          <t>The-House.com</t>
        </is>
      </c>
      <c r="AI582" s="333" t="n">
        <v>479.95</v>
      </c>
      <c r="AJ582" t="inlineStr">
        <is>
          <t>https://tinyurl.com/y9fvqn33</t>
        </is>
      </c>
      <c r="AK582" t="inlineStr">
        <is>
          <t>Rossignol Experience 80 Carbon Skis w/ Look Xpress 11 GW Bindings</t>
        </is>
      </c>
      <c r="AL582" t="inlineStr">
        <is>
          <t>Next Adventure</t>
        </is>
      </c>
      <c r="AM582" s="333" t="n">
        <v>599.95</v>
      </c>
      <c r="AN582" t="inlineStr">
        <is>
          <t>https://tinyurl.com/ydc4p2k2</t>
        </is>
      </c>
      <c r="AS582" s="314">
        <f>IF(LEFT(C582,1)=" ",RIGHT(C582,LEN(C582)-1),C582)</f>
        <v/>
      </c>
      <c r="AT582" s="281">
        <f>_xlfn.CONCAT(B582,AS582,D582,E582)</f>
        <v/>
      </c>
    </row>
    <row r="583">
      <c r="A583" t="inlineStr">
        <is>
          <t>21/22</t>
        </is>
      </c>
      <c r="B583" t="inlineStr">
        <is>
          <t xml:space="preserve"> Armada</t>
        </is>
      </c>
      <c r="C583" t="inlineStr">
        <is>
          <t>Tracer 98</t>
        </is>
      </c>
      <c r="D583" t="n">
        <v>188</v>
      </c>
      <c r="E583" t="inlineStr">
        <is>
          <t xml:space="preserve"> Unisex</t>
        </is>
      </c>
      <c r="F583" t="n">
        <v>188</v>
      </c>
      <c r="G583" t="n">
        <v>187.8</v>
      </c>
      <c r="H583" t="n">
        <v>145</v>
      </c>
      <c r="I583" t="n">
        <v>159</v>
      </c>
      <c r="J583" t="n">
        <v>131</v>
      </c>
      <c r="K583" t="n">
        <v>97</v>
      </c>
      <c r="L583" t="n">
        <v>122</v>
      </c>
      <c r="M583" t="n">
        <v>18.9</v>
      </c>
      <c r="N583" t="n">
        <v>1700</v>
      </c>
      <c r="O583" t="n">
        <v>1.2</v>
      </c>
      <c r="P583" t="n">
        <v>2046</v>
      </c>
      <c r="Q583" t="n">
        <v>193</v>
      </c>
      <c r="R583" t="n">
        <v>127</v>
      </c>
      <c r="S583" t="n">
        <v>50</v>
      </c>
      <c r="T583" t="n">
        <v>272</v>
      </c>
      <c r="U583" t="n">
        <v>18</v>
      </c>
      <c r="V583" t="n">
        <v>161</v>
      </c>
      <c r="W583" t="n">
        <v>0.365</v>
      </c>
      <c r="X583" t="n">
        <v>177</v>
      </c>
      <c r="Y583" t="n">
        <v>112</v>
      </c>
      <c r="Z583" t="n">
        <v>95</v>
      </c>
      <c r="AA583" t="n">
        <v>8</v>
      </c>
      <c r="AB583" t="n">
        <v>9.800000000000001</v>
      </c>
      <c r="AC583" t="inlineStr">
        <is>
          <t xml:space="preserve"> Resort Freeride</t>
        </is>
      </c>
      <c r="AD583" t="inlineStr">
        <is>
          <t xml:space="preserve"> Touring</t>
        </is>
      </c>
      <c r="AG583" t="inlineStr">
        <is>
          <t>Armada Tracer 98 Limited Dark Blue-Black-White 188 Ski Men</t>
        </is>
      </c>
      <c r="AH583" t="inlineStr">
        <is>
          <t>! OutdoorXL.com</t>
        </is>
      </c>
      <c r="AI583" s="333" t="n">
        <v>374.95</v>
      </c>
      <c r="AJ583" t="inlineStr">
        <is>
          <t>https://tinyurl.com/yafpyps6</t>
        </is>
      </c>
      <c r="AK583" t="inlineStr">
        <is>
          <t>2021 Armada Tracer 98 188cm</t>
        </is>
      </c>
      <c r="AL583" t="inlineStr">
        <is>
          <t>eBay</t>
        </is>
      </c>
      <c r="AM583" s="333" t="n">
        <v>449</v>
      </c>
      <c r="AN583" t="inlineStr">
        <is>
          <t>https://tinyurl.com/yclpongl</t>
        </is>
      </c>
      <c r="AO583" t="inlineStr">
        <is>
          <t>Armada Tracer 98 Skis 2022</t>
        </is>
      </c>
      <c r="AP583" t="inlineStr">
        <is>
          <t>Curated</t>
        </is>
      </c>
      <c r="AQ583" s="333" t="n">
        <v>559</v>
      </c>
      <c r="AR583" t="inlineStr">
        <is>
          <t>https://tinyurl.com/y7qephba</t>
        </is>
      </c>
      <c r="AS583" s="314">
        <f>IF(LEFT(C583,1)=" ",RIGHT(C583,LEN(C583)-1),C583)</f>
        <v/>
      </c>
      <c r="AT583" s="281">
        <f>_xlfn.CONCAT(B583,AS583,D583,E583)</f>
        <v/>
      </c>
    </row>
    <row r="584">
      <c r="A584" t="inlineStr">
        <is>
          <t>21/22</t>
        </is>
      </c>
      <c r="B584" t="inlineStr">
        <is>
          <t xml:space="preserve"> Rossignol</t>
        </is>
      </c>
      <c r="C584" t="inlineStr">
        <is>
          <t>React 6 Compact</t>
        </is>
      </c>
      <c r="D584" t="n">
        <v>177</v>
      </c>
      <c r="E584" t="inlineStr">
        <is>
          <t xml:space="preserve"> Unisex</t>
        </is>
      </c>
      <c r="F584" t="n">
        <v>177</v>
      </c>
      <c r="G584" t="n">
        <v>176.5</v>
      </c>
      <c r="H584" t="n">
        <v>157</v>
      </c>
      <c r="I584" t="n">
        <v>163</v>
      </c>
      <c r="J584" t="n">
        <v>122</v>
      </c>
      <c r="K584" t="n">
        <v>73</v>
      </c>
      <c r="L584" t="n">
        <v>108</v>
      </c>
      <c r="M584" t="n">
        <v>15.8</v>
      </c>
      <c r="N584" t="n">
        <v>1737</v>
      </c>
      <c r="O584" t="n">
        <v>0.9</v>
      </c>
      <c r="P584" t="n">
        <v>1558</v>
      </c>
      <c r="Q584" t="n">
        <v>207</v>
      </c>
      <c r="R584" t="n">
        <v>73</v>
      </c>
      <c r="S584" t="n">
        <v>36</v>
      </c>
      <c r="T584" t="n">
        <v>148</v>
      </c>
      <c r="U584" t="n">
        <v>5</v>
      </c>
      <c r="V584" t="n">
        <v>52</v>
      </c>
      <c r="W584" t="n">
        <v>0.14</v>
      </c>
      <c r="X584" t="n">
        <v>72</v>
      </c>
      <c r="Y584" t="n">
        <v>61</v>
      </c>
      <c r="Z584" t="n">
        <v>76</v>
      </c>
      <c r="AA584" t="n">
        <v>13</v>
      </c>
      <c r="AB584" t="n">
        <v>9.800000000000001</v>
      </c>
      <c r="AC584" t="inlineStr">
        <is>
          <t xml:space="preserve"> On-Piste Carving</t>
        </is>
      </c>
      <c r="AG584" t="inlineStr">
        <is>
          <t>Rossignol React 6 Compact Mens Skis 177 W/Xpress 11 GW Bindings Black Hot Red</t>
        </is>
      </c>
      <c r="AH584" t="inlineStr">
        <is>
          <t>Buyr.com</t>
        </is>
      </c>
      <c r="AI584" s="333" t="n">
        <v>599.99</v>
      </c>
      <c r="AJ584" t="inlineStr">
        <is>
          <t>https://tinyurl.com/ya4olz9o</t>
        </is>
      </c>
      <c r="AK584" t="inlineStr">
        <is>
          <t>Rossignol React R6 Compact (xpress)</t>
        </is>
      </c>
      <c r="AL584" t="inlineStr">
        <is>
          <t>Spoke-N-Sport</t>
        </is>
      </c>
      <c r="AM584" s="333" t="n">
        <v>419.99</v>
      </c>
      <c r="AN584" t="inlineStr">
        <is>
          <t>https://tinyurl.com/yayafoms</t>
        </is>
      </c>
      <c r="AO584" t="inlineStr">
        <is>
          <t>Rossignol React 2 Skis W Xpress 10 Gw Bindings 2022 - Na</t>
        </is>
      </c>
      <c r="AP584" t="inlineStr">
        <is>
          <t>Geiger's</t>
        </is>
      </c>
      <c r="AQ584" s="333" t="n">
        <v>299.99</v>
      </c>
      <c r="AR584" t="inlineStr">
        <is>
          <t>https://tinyurl.com/yb38f2rc</t>
        </is>
      </c>
      <c r="AS584" s="314">
        <f>IF(LEFT(C584,1)=" ",RIGHT(C584,LEN(C584)-1),C584)</f>
        <v/>
      </c>
      <c r="AT584" s="281">
        <f>_xlfn.CONCAT(B584,AS584,D584,E584)</f>
        <v/>
      </c>
    </row>
    <row r="585">
      <c r="A585" t="inlineStr">
        <is>
          <t>21/22</t>
        </is>
      </c>
      <c r="B585" t="inlineStr">
        <is>
          <t xml:space="preserve"> Vï¿½lkl</t>
        </is>
      </c>
      <c r="C585" t="inlineStr">
        <is>
          <t>Blaze 94</t>
        </is>
      </c>
      <c r="D585" t="n">
        <v>179</v>
      </c>
      <c r="E585" t="inlineStr">
        <is>
          <t xml:space="preserve"> Unisex</t>
        </is>
      </c>
      <c r="F585" t="n">
        <v>179</v>
      </c>
      <c r="G585" t="n">
        <v>177.1</v>
      </c>
      <c r="H585" t="n">
        <v>89</v>
      </c>
      <c r="I585" t="n">
        <v>155</v>
      </c>
      <c r="J585" t="n">
        <v>133</v>
      </c>
      <c r="K585" t="n">
        <v>93</v>
      </c>
      <c r="L585" t="n">
        <v>115</v>
      </c>
      <c r="M585" t="n">
        <v>18.2</v>
      </c>
      <c r="N585" t="n">
        <v>1546</v>
      </c>
      <c r="O585" t="n">
        <v>1.21</v>
      </c>
      <c r="P585" t="n">
        <v>1878</v>
      </c>
      <c r="Q585" t="n">
        <v>168</v>
      </c>
      <c r="R585" t="n">
        <v>92</v>
      </c>
      <c r="S585" t="n">
        <v>39</v>
      </c>
      <c r="T585" t="n">
        <v>506</v>
      </c>
      <c r="U585" t="n">
        <v>23</v>
      </c>
      <c r="V585" t="n">
        <v>374</v>
      </c>
      <c r="W585" t="n">
        <v>0.581</v>
      </c>
      <c r="X585" t="n">
        <v>118</v>
      </c>
      <c r="Y585" t="n">
        <v>102</v>
      </c>
      <c r="Z585" t="n">
        <v>388</v>
      </c>
      <c r="AA585" t="n">
        <v>1</v>
      </c>
      <c r="AB585" t="n">
        <v>12.5</v>
      </c>
      <c r="AC585" t="inlineStr">
        <is>
          <t xml:space="preserve"> Resort Freeride</t>
        </is>
      </c>
      <c r="AD585" t="inlineStr">
        <is>
          <t xml:space="preserve"> Touring</t>
        </is>
      </c>
      <c r="AG585" t="inlineStr">
        <is>
          <t>Volkl Blaze 94 Alpine Skis 2022 - - 179 cm</t>
        </is>
      </c>
      <c r="AH585" t="inlineStr">
        <is>
          <t>Skirack</t>
        </is>
      </c>
      <c r="AI585" s="333" t="n">
        <v>439.96</v>
      </c>
      <c r="AJ585" t="inlineStr">
        <is>
          <t>https://tinyurl.com/yc5v6djo</t>
        </is>
      </c>
      <c r="AK585" t="inlineStr">
        <is>
          <t>Volkl Blaze 94 Skis</t>
        </is>
      </c>
      <c r="AL585" t="inlineStr">
        <is>
          <t>eBay - david110549</t>
        </is>
      </c>
      <c r="AM585" s="333" t="n">
        <v>439.99</v>
      </c>
      <c r="AN585" t="inlineStr">
        <is>
          <t>https://tinyurl.com/yc959q5c</t>
        </is>
      </c>
      <c r="AO585" t="inlineStr">
        <is>
          <t>Volkl Blaze 94 Skis</t>
        </is>
      </c>
      <c r="AP585" t="inlineStr">
        <is>
          <t>SkiEssentials.com</t>
        </is>
      </c>
      <c r="AQ585" s="333" t="n">
        <v>439.99</v>
      </c>
      <c r="AR585" t="inlineStr">
        <is>
          <t>https://tinyurl.com/ycljzfbe</t>
        </is>
      </c>
      <c r="AS585" s="314">
        <f>IF(LEFT(C585,1)=" ",RIGHT(C585,LEN(C585)-1),C585)</f>
        <v/>
      </c>
      <c r="AT585" s="281">
        <f>_xlfn.CONCAT(B585,AS585,D585,E585)</f>
        <v/>
      </c>
    </row>
    <row r="586">
      <c r="A586" t="inlineStr">
        <is>
          <t>21/22</t>
        </is>
      </c>
      <c r="B586" t="inlineStr">
        <is>
          <t xml:space="preserve"> Black Crows</t>
        </is>
      </c>
      <c r="C586" t="inlineStr">
        <is>
          <t xml:space="preserve"> Camox Freebird</t>
        </is>
      </c>
      <c r="D586" t="n">
        <v>188.3</v>
      </c>
      <c r="E586" t="inlineStr">
        <is>
          <t xml:space="preserve"> Unisex</t>
        </is>
      </c>
      <c r="F586" t="n">
        <v>188.3</v>
      </c>
      <c r="G586" t="n">
        <v>187.7</v>
      </c>
      <c r="H586" t="n">
        <v>142</v>
      </c>
      <c r="I586" t="n">
        <v>154</v>
      </c>
      <c r="J586" t="n">
        <v>135</v>
      </c>
      <c r="K586" t="n">
        <v>95</v>
      </c>
      <c r="L586" t="n">
        <v>117</v>
      </c>
      <c r="M586" t="n">
        <v>17.5</v>
      </c>
      <c r="N586" t="n">
        <v>1704</v>
      </c>
      <c r="O586" t="n">
        <v>1.19</v>
      </c>
      <c r="P586" t="n">
        <v>2028</v>
      </c>
      <c r="Q586" t="n">
        <v>261</v>
      </c>
      <c r="R586" t="n">
        <v>124</v>
      </c>
      <c r="S586" t="n">
        <v>48</v>
      </c>
      <c r="T586" t="n">
        <v>290</v>
      </c>
      <c r="U586" t="n">
        <v>13</v>
      </c>
      <c r="V586" t="n">
        <v>168</v>
      </c>
      <c r="W586" t="n">
        <v>0.264</v>
      </c>
      <c r="X586" t="n">
        <v>205</v>
      </c>
      <c r="Y586" t="n">
        <v>131</v>
      </c>
      <c r="Z586" t="n">
        <v>85</v>
      </c>
      <c r="AA586" t="n">
        <v>6</v>
      </c>
      <c r="AB586" t="n">
        <v>8.9</v>
      </c>
      <c r="AC586" t="inlineStr">
        <is>
          <t xml:space="preserve"> Resort Freeride</t>
        </is>
      </c>
      <c r="AD586" t="inlineStr">
        <is>
          <t xml:space="preserve"> Touring</t>
        </is>
      </c>
      <c r="AG586" t="inlineStr">
        <is>
          <t>Skis Black Crows Camox Freebird</t>
        </is>
      </c>
      <c r="AH586" t="inlineStr">
        <is>
          <t>Ascent Outdoors</t>
        </is>
      </c>
      <c r="AI586" s="333" t="n">
        <v>514.99</v>
      </c>
      <c r="AJ586" t="inlineStr">
        <is>
          <t>https://tinyurl.com/ydcw5jtx</t>
        </is>
      </c>
      <c r="AK586" t="inlineStr">
        <is>
          <t>Skis Black Crows Camox Freebird</t>
        </is>
      </c>
      <c r="AL586" t="inlineStr">
        <is>
          <t>Powder7 Ski Shop</t>
        </is>
      </c>
      <c r="AM586" s="333" t="n">
        <v>591.9299999999999</v>
      </c>
      <c r="AN586" t="inlineStr">
        <is>
          <t>https://tinyurl.com/y84pptf4</t>
        </is>
      </c>
      <c r="AO586" t="inlineStr">
        <is>
          <t>Skis Black Crows Camox Freebird</t>
        </is>
      </c>
      <c r="AP586" t="inlineStr">
        <is>
          <t>SkiEssentials.com</t>
        </is>
      </c>
      <c r="AQ586" s="333" t="n">
        <v>591.96</v>
      </c>
      <c r="AR586" t="inlineStr">
        <is>
          <t>https://tinyurl.com/ybc37t4c</t>
        </is>
      </c>
      <c r="AS586" s="314">
        <f>IF(LEFT(C586,1)=" ",RIGHT(C586,LEN(C586)-1),C586)</f>
        <v/>
      </c>
      <c r="AT586" s="281">
        <f>_xlfn.CONCAT(B586,AS586,D586,E586)</f>
        <v/>
      </c>
    </row>
    <row r="587">
      <c r="A587" t="inlineStr">
        <is>
          <t>21/22</t>
        </is>
      </c>
      <c r="B587" t="inlineStr">
        <is>
          <t xml:space="preserve"> Vï¿½lkl</t>
        </is>
      </c>
      <c r="C587" t="inlineStr">
        <is>
          <t xml:space="preserve"> Deacon XTD</t>
        </is>
      </c>
      <c r="D587" t="n">
        <v>161</v>
      </c>
      <c r="E587" t="inlineStr">
        <is>
          <t xml:space="preserve"> Unisex</t>
        </is>
      </c>
      <c r="F587" t="n">
        <v>161</v>
      </c>
      <c r="G587" t="n">
        <v>160.5</v>
      </c>
      <c r="H587" t="n">
        <v>141</v>
      </c>
      <c r="I587" t="n">
        <v>148</v>
      </c>
      <c r="J587" t="n">
        <v>123</v>
      </c>
      <c r="K587" t="n">
        <v>75</v>
      </c>
      <c r="L587" t="n">
        <v>104</v>
      </c>
      <c r="M587" t="n">
        <v>14.1</v>
      </c>
      <c r="N587" t="n">
        <v>1745</v>
      </c>
      <c r="O587" t="n">
        <v>0.82</v>
      </c>
      <c r="P587" t="n">
        <v>1428</v>
      </c>
      <c r="Q587" t="n">
        <v>159</v>
      </c>
      <c r="R587" t="n">
        <v>76</v>
      </c>
      <c r="S587" t="n">
        <v>35</v>
      </c>
      <c r="T587" t="n">
        <v>144</v>
      </c>
      <c r="U587" t="n">
        <v>5</v>
      </c>
      <c r="V587" t="n">
        <v>54</v>
      </c>
      <c r="W587" t="n">
        <v>0.129</v>
      </c>
      <c r="X587" t="n">
        <v>74</v>
      </c>
      <c r="Y587" t="n">
        <v>51</v>
      </c>
      <c r="Z587" t="n">
        <v>71</v>
      </c>
      <c r="AA587" t="n">
        <v>8</v>
      </c>
      <c r="AB587" t="n">
        <v>12.7</v>
      </c>
      <c r="AC587" t="inlineStr">
        <is>
          <t xml:space="preserve"> On-Piste Carving</t>
        </is>
      </c>
      <c r="AG587" t="inlineStr">
        <is>
          <t>2021 Volkl Deacon XTD Skis w/ vMotion2 10 GW Bindings</t>
        </is>
      </c>
      <c r="AH587" t="inlineStr">
        <is>
          <t>eBay - asogear</t>
        </is>
      </c>
      <c r="AI587" s="333" t="n">
        <v>399.99</v>
      </c>
      <c r="AJ587" t="inlineStr">
        <is>
          <t>https://tinyurl.com/ybyjly9g</t>
        </is>
      </c>
      <c r="AK587" t="inlineStr">
        <is>
          <t>Volkl Deacon XTD Vmotion2 20/21 - Warning Binding/brake Not Included 161</t>
        </is>
      </c>
      <c r="AL587" t="inlineStr">
        <is>
          <t>Absolute-Snow.co.uk</t>
        </is>
      </c>
      <c r="AM587" s="333" t="n">
        <v>556.6799999999999</v>
      </c>
      <c r="AN587" t="inlineStr">
        <is>
          <t>https://tinyurl.com/y7z936y2</t>
        </is>
      </c>
      <c r="AO587" t="inlineStr">
        <is>
          <t>Volkl Supersport Skis With Adjustable Marker Motion Lt Bindings - 161</t>
        </is>
      </c>
      <c r="AP587" t="inlineStr">
        <is>
          <t>eBay</t>
        </is>
      </c>
      <c r="AQ587" s="333" t="n">
        <v>169</v>
      </c>
      <c r="AR587" t="inlineStr">
        <is>
          <t>https://tinyurl.com/ya2ek7l4</t>
        </is>
      </c>
      <c r="AS587" s="314">
        <f>IF(LEFT(C587,1)=" ",RIGHT(C587,LEN(C587)-1),C587)</f>
        <v/>
      </c>
      <c r="AT587" s="281">
        <f>_xlfn.CONCAT(B587,AS587,D587,E587)</f>
        <v/>
      </c>
    </row>
    <row r="588">
      <c r="A588" t="inlineStr">
        <is>
          <t>21/22</t>
        </is>
      </c>
      <c r="B588" t="inlineStr">
        <is>
          <t xml:space="preserve"> Rossignol</t>
        </is>
      </c>
      <c r="C588" t="inlineStr">
        <is>
          <t>Experience 82 Basalt</t>
        </is>
      </c>
      <c r="D588" t="n">
        <v>168</v>
      </c>
      <c r="E588" t="inlineStr">
        <is>
          <t xml:space="preserve"> Unisex</t>
        </is>
      </c>
      <c r="F588" t="n">
        <v>168</v>
      </c>
      <c r="G588" t="n">
        <v>166.7</v>
      </c>
      <c r="H588" t="n">
        <v>128</v>
      </c>
      <c r="I588" t="n">
        <v>152</v>
      </c>
      <c r="J588" t="n">
        <v>125</v>
      </c>
      <c r="K588" t="n">
        <v>80</v>
      </c>
      <c r="L588" t="n">
        <v>113</v>
      </c>
      <c r="M588" t="n">
        <v>14.4</v>
      </c>
      <c r="N588" t="n">
        <v>1742</v>
      </c>
      <c r="O588" t="n">
        <v>0.9</v>
      </c>
      <c r="P588" t="n">
        <v>1572</v>
      </c>
      <c r="Q588" t="n">
        <v>202</v>
      </c>
      <c r="R588" t="n">
        <v>82</v>
      </c>
      <c r="S588" t="n">
        <v>47</v>
      </c>
      <c r="T588" t="n">
        <v>257</v>
      </c>
      <c r="U588" t="n">
        <v>13</v>
      </c>
      <c r="V588" t="n">
        <v>132</v>
      </c>
      <c r="W588" t="n">
        <v>0.268999999999999</v>
      </c>
      <c r="X588" t="n">
        <v>83</v>
      </c>
      <c r="Y588" t="n">
        <v>60</v>
      </c>
      <c r="Z588" t="n">
        <v>175</v>
      </c>
      <c r="AA588" t="n">
        <v>10</v>
      </c>
      <c r="AB588" t="n">
        <v>7.5</v>
      </c>
      <c r="AC588" t="inlineStr">
        <is>
          <t xml:space="preserve"> Other</t>
        </is>
      </c>
      <c r="AG588" t="inlineStr">
        <is>
          <t>Rossignol Men's Experience 82 Basalt Skis with Bindings 168 cm</t>
        </is>
      </c>
      <c r="AH588" t="inlineStr">
        <is>
          <t>eBay - grassisport</t>
        </is>
      </c>
      <c r="AI588" s="333" t="n">
        <v>615.84</v>
      </c>
      <c r="AJ588" t="inlineStr">
        <is>
          <t>https://tinyurl.com/y9mtqruv</t>
        </is>
      </c>
      <c r="AK588" t="inlineStr">
        <is>
          <t>Rossignol Experience 82 Ti Konnect Black 168 Ski Men</t>
        </is>
      </c>
      <c r="AL588" t="inlineStr">
        <is>
          <t>! OutdoorXL.com</t>
        </is>
      </c>
      <c r="AM588" s="333" t="n">
        <v>469.95</v>
      </c>
      <c r="AN588" t="inlineStr">
        <is>
          <t>https://tinyurl.com/ydfegwqq</t>
        </is>
      </c>
      <c r="AO588" t="inlineStr">
        <is>
          <t>Rossignol Men's All Mountain Skis Experience 82 Ti (Open)</t>
        </is>
      </c>
      <c r="AP588" t="inlineStr">
        <is>
          <t>Aspen Ski and Board</t>
        </is>
      </c>
      <c r="AQ588" s="333" t="n">
        <v>559.95</v>
      </c>
      <c r="AR588" t="inlineStr">
        <is>
          <t>https://tinyurl.com/yccl7vha</t>
        </is>
      </c>
      <c r="AS588" s="314">
        <f>IF(LEFT(C588,1)=" ",RIGHT(C588,LEN(C588)-1),C588)</f>
        <v/>
      </c>
      <c r="AT588" s="281">
        <f>_xlfn.CONCAT(B588,AS588,D588,E588)</f>
        <v/>
      </c>
    </row>
    <row r="589">
      <c r="A589" t="inlineStr">
        <is>
          <t>21/22</t>
        </is>
      </c>
      <c r="B589" t="inlineStr">
        <is>
          <t xml:space="preserve"> Fischer</t>
        </is>
      </c>
      <c r="C589" t="inlineStr">
        <is>
          <t>Ranger 115 FR Big Stix</t>
        </is>
      </c>
      <c r="D589" t="n">
        <v>188</v>
      </c>
      <c r="E589" t="inlineStr">
        <is>
          <t xml:space="preserve"> Unisex</t>
        </is>
      </c>
      <c r="F589" t="n">
        <v>188</v>
      </c>
      <c r="G589" t="n">
        <v>186.8</v>
      </c>
      <c r="H589" t="n">
        <v>125</v>
      </c>
      <c r="I589" t="n">
        <v>152</v>
      </c>
      <c r="J589" t="n">
        <v>144</v>
      </c>
      <c r="K589" t="n">
        <v>114</v>
      </c>
      <c r="L589" t="n">
        <v>134</v>
      </c>
      <c r="M589" t="n">
        <v>20.2</v>
      </c>
      <c r="N589" t="n">
        <v>2104</v>
      </c>
      <c r="O589" t="n">
        <v>1.1</v>
      </c>
      <c r="P589" t="n">
        <v>2309</v>
      </c>
      <c r="Q589" t="n">
        <v>245</v>
      </c>
      <c r="R589" t="n">
        <v>101</v>
      </c>
      <c r="S589" t="n">
        <v>51</v>
      </c>
      <c r="T589" t="n">
        <v>401</v>
      </c>
      <c r="U589" t="n">
        <v>38</v>
      </c>
      <c r="V589" t="n">
        <v>214</v>
      </c>
      <c r="W589" t="n">
        <v>0.738</v>
      </c>
      <c r="X589" t="n">
        <v>173</v>
      </c>
      <c r="Y589" t="n">
        <v>175</v>
      </c>
      <c r="Z589" t="n">
        <v>228</v>
      </c>
      <c r="AA589" t="n">
        <v>7</v>
      </c>
      <c r="AB589" t="n">
        <v>9.300000000000001</v>
      </c>
      <c r="AC589" t="inlineStr">
        <is>
          <t xml:space="preserve"> Powder</t>
        </is>
      </c>
      <c r="AD589" t="inlineStr">
        <is>
          <t xml:space="preserve"> Touring</t>
        </is>
      </c>
      <c r="AG589" t="inlineStr">
        <is>
          <t>Fischer Ranger 99 Ti Skis</t>
        </is>
      </c>
      <c r="AH589" t="inlineStr">
        <is>
          <t>Gear West Ski &amp; Bike</t>
        </is>
      </c>
      <c r="AI589" s="333" t="n">
        <v>429</v>
      </c>
      <c r="AJ589" t="inlineStr">
        <is>
          <t>https://tinyurl.com/ybdnvf2f</t>
        </is>
      </c>
      <c r="AK589" t="inlineStr">
        <is>
          <t>Fischer Ranger 99 Ti Skis with Tyrolia Attack 13 Demo Bindings 188cm (1101042)</t>
        </is>
      </c>
      <c r="AL589" t="inlineStr">
        <is>
          <t>SidelineSwap</t>
        </is>
      </c>
      <c r="AM589" s="333" t="n">
        <v>499</v>
      </c>
      <c r="AN589" t="inlineStr">
        <is>
          <t>https://tinyurl.com/ydct9ph5</t>
        </is>
      </c>
      <c r="AO589" t="inlineStr">
        <is>
          <t>Fischer Ranger 99 Ti Ski 2022</t>
        </is>
      </c>
      <c r="AP589" t="inlineStr">
        <is>
          <t>Level Nine Sports</t>
        </is>
      </c>
      <c r="AQ589" s="333" t="n">
        <v>499.99</v>
      </c>
      <c r="AR589" t="inlineStr">
        <is>
          <t>https://tinyurl.com/ydh5p99x</t>
        </is>
      </c>
      <c r="AS589" s="314">
        <f>IF(LEFT(C589,1)=" ",RIGHT(C589,LEN(C589)-1),C589)</f>
        <v/>
      </c>
      <c r="AT589" s="281">
        <f>_xlfn.CONCAT(B589,AS589,D589,E589)</f>
        <v/>
      </c>
    </row>
    <row r="590">
      <c r="A590" t="inlineStr">
        <is>
          <t>21/22</t>
        </is>
      </c>
      <c r="B590" t="inlineStr">
        <is>
          <t xml:space="preserve"> Atomic</t>
        </is>
      </c>
      <c r="C590" t="inlineStr">
        <is>
          <t>Maverick 95 Ti</t>
        </is>
      </c>
      <c r="D590" t="n">
        <v>172</v>
      </c>
      <c r="E590" t="inlineStr">
        <is>
          <t xml:space="preserve"> Unisex</t>
        </is>
      </c>
      <c r="F590" t="n">
        <v>172</v>
      </c>
      <c r="G590" t="n">
        <v>171.3</v>
      </c>
      <c r="H590" t="n">
        <v>122</v>
      </c>
      <c r="I590" t="n">
        <v>141</v>
      </c>
      <c r="J590" t="n">
        <v>126</v>
      </c>
      <c r="K590" t="n">
        <v>93</v>
      </c>
      <c r="L590" t="n">
        <v>111</v>
      </c>
      <c r="M590" t="n">
        <v>17.7</v>
      </c>
      <c r="N590" t="n">
        <v>1699</v>
      </c>
      <c r="O590" t="n">
        <v>1.04</v>
      </c>
      <c r="P590" t="n">
        <v>1768</v>
      </c>
      <c r="Q590" t="n">
        <v>203</v>
      </c>
      <c r="R590" t="n">
        <v>144</v>
      </c>
      <c r="S590" t="n">
        <v>55</v>
      </c>
      <c r="T590" t="n">
        <v>298</v>
      </c>
      <c r="U590" t="n">
        <v>15</v>
      </c>
      <c r="V590" t="n">
        <v>197</v>
      </c>
      <c r="W590" t="n">
        <v>0.267</v>
      </c>
      <c r="X590" t="n">
        <v>171</v>
      </c>
      <c r="Y590" t="n">
        <v>136</v>
      </c>
      <c r="Z590" t="n">
        <v>127</v>
      </c>
      <c r="AA590" t="n">
        <v>7</v>
      </c>
      <c r="AB590" t="n">
        <v>8.9</v>
      </c>
      <c r="AC590" t="inlineStr">
        <is>
          <t xml:space="preserve"> Resort Freeride</t>
        </is>
      </c>
      <c r="AG590" t="inlineStr">
        <is>
          <t>Atomic Maverick 95 TI - 172 (Brand New)</t>
        </is>
      </c>
      <c r="AH590" t="inlineStr">
        <is>
          <t>Geartrade.com</t>
        </is>
      </c>
      <c r="AI590" s="333" t="n">
        <v>485</v>
      </c>
      <c r="AJ590" t="inlineStr">
        <is>
          <t>https://tinyurl.com/y9km6p6m</t>
        </is>
      </c>
      <c r="AK590" t="inlineStr">
        <is>
          <t xml:space="preserve"> Atomic 22 Maverick 95 Ti 172Cm Demo</t>
        </is>
      </c>
      <c r="AL590" t="inlineStr">
        <is>
          <t>Play It Again Sports</t>
        </is>
      </c>
      <c r="AM590" s="333" t="n">
        <v>549.91</v>
      </c>
      <c r="AN590" t="inlineStr">
        <is>
          <t>https://tinyurl.com/ybf3unry</t>
        </is>
      </c>
      <c r="AO590" t="inlineStr">
        <is>
          <t>Atomic Maverick 95 Ti</t>
        </is>
      </c>
      <c r="AP590" t="inlineStr">
        <is>
          <t>evo.com</t>
        </is>
      </c>
      <c r="AQ590" s="333" t="n">
        <v>559.98</v>
      </c>
      <c r="AR590" t="inlineStr">
        <is>
          <t>https://tinyurl.com/ycjvd9vr</t>
        </is>
      </c>
      <c r="AS590" s="314">
        <f>IF(LEFT(C590,1)=" ",RIGHT(C590,LEN(C590)-1),C590)</f>
        <v/>
      </c>
      <c r="AT590" s="281">
        <f>_xlfn.CONCAT(B590,AS590,D590,E590)</f>
        <v/>
      </c>
    </row>
    <row r="591">
      <c r="A591" t="inlineStr">
        <is>
          <t>21/22</t>
        </is>
      </c>
      <c r="B591" t="inlineStr">
        <is>
          <t xml:space="preserve"> Blizzard</t>
        </is>
      </c>
      <c r="C591" t="inlineStr">
        <is>
          <t>Zero G 85</t>
        </is>
      </c>
      <c r="D591" t="n">
        <v>178</v>
      </c>
      <c r="E591" t="inlineStr">
        <is>
          <t xml:space="preserve"> Unisex</t>
        </is>
      </c>
      <c r="F591" t="n">
        <v>178</v>
      </c>
      <c r="G591" t="n">
        <v>176</v>
      </c>
      <c r="H591" t="n">
        <v>132</v>
      </c>
      <c r="I591" t="n">
        <v>149</v>
      </c>
      <c r="J591" t="n">
        <v>117</v>
      </c>
      <c r="K591" t="n">
        <v>83</v>
      </c>
      <c r="L591" t="n">
        <v>100</v>
      </c>
      <c r="M591" t="n">
        <v>22</v>
      </c>
      <c r="N591" t="n">
        <v>1151</v>
      </c>
      <c r="O591" t="n">
        <v>1.42</v>
      </c>
      <c r="P591" t="n">
        <v>1635</v>
      </c>
      <c r="Q591" t="n">
        <v>231</v>
      </c>
      <c r="R591" t="n">
        <v>78</v>
      </c>
      <c r="S591" t="n">
        <v>54</v>
      </c>
      <c r="T591" t="n">
        <v>252</v>
      </c>
      <c r="U591" t="n">
        <v>10</v>
      </c>
      <c r="V591" t="n">
        <v>184</v>
      </c>
      <c r="W591" t="n">
        <v>0.176</v>
      </c>
      <c r="X591" t="n">
        <v>133</v>
      </c>
      <c r="Y591" t="n">
        <v>132</v>
      </c>
      <c r="Z591" t="n">
        <v>118</v>
      </c>
      <c r="AA591" t="n">
        <v>4</v>
      </c>
      <c r="AB591" t="n">
        <v>10.5</v>
      </c>
      <c r="AC591" t="inlineStr">
        <is>
          <t xml:space="preserve"> Touring</t>
        </is>
      </c>
      <c r="AD591" t="inlineStr">
        <is>
          <t xml:space="preserve"> Ultralight Touring</t>
        </is>
      </c>
      <c r="AG591" t="inlineStr">
        <is>
          <t>Blizzard Zero G 85 Ski 2022</t>
        </is>
      </c>
      <c r="AH591" t="inlineStr">
        <is>
          <t>Telemark Pyrenees</t>
        </is>
      </c>
      <c r="AI591" s="333" t="n">
        <v>384.97</v>
      </c>
      <c r="AJ591" t="inlineStr">
        <is>
          <t>https://tinyurl.com/ybc24dhj</t>
        </is>
      </c>
      <c r="AK591" t="inlineStr">
        <is>
          <t>Blizzard Zero G 85 Ski 2022</t>
        </is>
      </c>
      <c r="AL591" t="inlineStr">
        <is>
          <t>Snowcountry.eu</t>
        </is>
      </c>
      <c r="AM591" s="333" t="n">
        <v>387.23</v>
      </c>
      <c r="AN591" t="inlineStr">
        <is>
          <t>https://tinyurl.com/ydyj5j9c</t>
        </is>
      </c>
      <c r="AO591" t="inlineStr">
        <is>
          <t>Blizzard Zero G 85 Backcountry Touring Ski 2022 178 / Grey</t>
        </is>
      </c>
      <c r="AP591" t="inlineStr">
        <is>
          <t>Ski The Whites</t>
        </is>
      </c>
      <c r="AQ591" s="333" t="n">
        <v>479.99</v>
      </c>
      <c r="AR591" t="inlineStr">
        <is>
          <t>https://tinyurl.com/y8ahltst</t>
        </is>
      </c>
      <c r="AS591" s="314">
        <f>IF(LEFT(C591,1)=" ",RIGHT(C591,LEN(C591)-1),C591)</f>
        <v/>
      </c>
      <c r="AT591" s="281">
        <f>_xlfn.CONCAT(B591,AS591,D591,E591)</f>
        <v/>
      </c>
    </row>
    <row r="592">
      <c r="A592" t="inlineStr">
        <is>
          <t>21/22</t>
        </is>
      </c>
      <c r="B592" t="inlineStr">
        <is>
          <t xml:space="preserve"> Raccoon</t>
        </is>
      </c>
      <c r="C592" t="inlineStr">
        <is>
          <t>Chinook 99</t>
        </is>
      </c>
      <c r="D592" t="n">
        <v>188</v>
      </c>
      <c r="E592" t="inlineStr">
        <is>
          <t xml:space="preserve"> Unisex</t>
        </is>
      </c>
      <c r="F592" t="n">
        <v>188</v>
      </c>
      <c r="G592" t="n">
        <v>186.1</v>
      </c>
      <c r="H592" t="n">
        <v>127</v>
      </c>
      <c r="I592" t="n">
        <v>154</v>
      </c>
      <c r="J592" t="n">
        <v>130</v>
      </c>
      <c r="K592" t="n">
        <v>98</v>
      </c>
      <c r="L592" t="n">
        <v>120</v>
      </c>
      <c r="M592" t="n">
        <v>20.8</v>
      </c>
      <c r="N592" t="n">
        <v>1601</v>
      </c>
      <c r="O592" t="n">
        <v>1.27</v>
      </c>
      <c r="P592" t="n">
        <v>2033</v>
      </c>
      <c r="Q592" t="n">
        <v>217</v>
      </c>
      <c r="R592" t="n">
        <v>51</v>
      </c>
      <c r="S592" t="n">
        <v>69</v>
      </c>
      <c r="T592" t="n">
        <v>370</v>
      </c>
      <c r="U592" t="n">
        <v>29</v>
      </c>
      <c r="V592" t="n">
        <v>217</v>
      </c>
      <c r="W592" t="n">
        <v>0.413</v>
      </c>
      <c r="X592" t="n">
        <v>185</v>
      </c>
      <c r="Y592" t="n">
        <v>137</v>
      </c>
      <c r="Z592" t="n">
        <v>185</v>
      </c>
      <c r="AA592" t="n">
        <v>7</v>
      </c>
      <c r="AB592" t="n">
        <v>11.8</v>
      </c>
      <c r="AC592" t="inlineStr">
        <is>
          <t xml:space="preserve"> Resort Freeride</t>
        </is>
      </c>
      <c r="AD592" t="inlineStr">
        <is>
          <t xml:space="preserve"> Touring</t>
        </is>
      </c>
      <c r="AE592" t="inlineStr">
        <is>
          <t xml:space="preserve"> Ultralight Touring</t>
        </is>
      </c>
      <c r="AS592" s="314">
        <f>IF(LEFT(C592,1)=" ",RIGHT(C592,LEN(C592)-1),C592)</f>
        <v/>
      </c>
      <c r="AT592" s="281">
        <f>_xlfn.CONCAT(B592,AS592,D592,E592)</f>
        <v/>
      </c>
    </row>
    <row r="593">
      <c r="A593" t="inlineStr">
        <is>
          <t>21/22</t>
        </is>
      </c>
      <c r="B593" t="inlineStr">
        <is>
          <t xml:space="preserve"> Vï¿½lkl</t>
        </is>
      </c>
      <c r="C593" t="inlineStr">
        <is>
          <t>Secret 96</t>
        </is>
      </c>
      <c r="D593" t="n">
        <v>163</v>
      </c>
      <c r="E593" t="inlineStr">
        <is>
          <t xml:space="preserve"> Women's</t>
        </is>
      </c>
      <c r="F593" t="n">
        <v>163</v>
      </c>
      <c r="G593" t="n">
        <v>163.2</v>
      </c>
      <c r="H593" t="n">
        <v>122</v>
      </c>
      <c r="I593" t="n">
        <v>140</v>
      </c>
      <c r="J593" t="n">
        <v>135</v>
      </c>
      <c r="K593" t="n">
        <v>95</v>
      </c>
      <c r="L593" t="n">
        <v>118</v>
      </c>
      <c r="M593" t="n">
        <v>14.8</v>
      </c>
      <c r="N593" t="n">
        <v>1809</v>
      </c>
      <c r="O593" t="n">
        <v>0.97</v>
      </c>
      <c r="P593" t="n">
        <v>1757</v>
      </c>
      <c r="Q593" t="n">
        <v>180</v>
      </c>
      <c r="R593" t="n">
        <v>125</v>
      </c>
      <c r="S593" t="n">
        <v>43</v>
      </c>
      <c r="T593" t="n">
        <v>245</v>
      </c>
      <c r="U593" t="n">
        <v>16</v>
      </c>
      <c r="V593" t="n">
        <v>171</v>
      </c>
      <c r="W593" t="n">
        <v>0.362</v>
      </c>
      <c r="X593" t="n">
        <v>130</v>
      </c>
      <c r="Y593" t="n">
        <v>103</v>
      </c>
      <c r="Z593" t="n">
        <v>115</v>
      </c>
      <c r="AA593" t="n">
        <v>4</v>
      </c>
      <c r="AB593" t="n">
        <v>11.6</v>
      </c>
      <c r="AC593" t="inlineStr">
        <is>
          <t xml:space="preserve"> Resort Freeride</t>
        </is>
      </c>
      <c r="AG593" t="inlineStr">
        <is>
          <t>Volkl Secret 96 Alpine Skis 2022 - - 163 cm</t>
        </is>
      </c>
      <c r="AH593" t="inlineStr">
        <is>
          <t>Skirack</t>
        </is>
      </c>
      <c r="AI593" s="333" t="n">
        <v>559.96</v>
      </c>
      <c r="AJ593" t="inlineStr">
        <is>
          <t>https://tinyurl.com/y72f6p9e</t>
        </is>
      </c>
      <c r="AK593" t="inlineStr">
        <is>
          <t>Volkl Secret 96 Women's Skis 2022 - 163cm</t>
        </is>
      </c>
      <c r="AL593" t="inlineStr">
        <is>
          <t>ColoradoSkiShop.com</t>
        </is>
      </c>
      <c r="AM593" s="333" t="n">
        <v>559.99</v>
      </c>
      <c r="AN593" t="inlineStr">
        <is>
          <t>https://tinyurl.com/y98mw3w4</t>
        </is>
      </c>
      <c r="AO593" t="inlineStr">
        <is>
          <t>Volkl Secret 96 Skis</t>
        </is>
      </c>
      <c r="AP593" t="inlineStr">
        <is>
          <t>Cole Sport</t>
        </is>
      </c>
      <c r="AQ593" s="333" t="n">
        <v>559.99</v>
      </c>
      <c r="AR593" t="inlineStr">
        <is>
          <t>https://tinyurl.com/y9uphus3</t>
        </is>
      </c>
      <c r="AS593" s="314">
        <f>IF(LEFT(C593,1)=" ",RIGHT(C593,LEN(C593)-1),C593)</f>
        <v/>
      </c>
      <c r="AT593" s="281">
        <f>_xlfn.CONCAT(B593,AS593,D593,E593)</f>
        <v/>
      </c>
    </row>
    <row r="594">
      <c r="A594" t="inlineStr">
        <is>
          <t>21/22</t>
        </is>
      </c>
      <c r="B594" t="inlineStr">
        <is>
          <t xml:space="preserve"> Salomon</t>
        </is>
      </c>
      <c r="C594" t="inlineStr">
        <is>
          <t>QST 92</t>
        </is>
      </c>
      <c r="D594" t="n">
        <v>185</v>
      </c>
      <c r="E594" t="inlineStr">
        <is>
          <t xml:space="preserve"> Unisex</t>
        </is>
      </c>
      <c r="F594" t="n">
        <v>185</v>
      </c>
      <c r="G594" t="n">
        <v>184.3</v>
      </c>
      <c r="H594" t="n">
        <v>141</v>
      </c>
      <c r="I594" t="n">
        <v>156</v>
      </c>
      <c r="J594" t="n">
        <v>132</v>
      </c>
      <c r="K594" t="n">
        <v>91</v>
      </c>
      <c r="L594" t="n">
        <v>115</v>
      </c>
      <c r="M594" t="n">
        <v>17.8</v>
      </c>
      <c r="N594" t="n">
        <v>2002</v>
      </c>
      <c r="O594" t="n">
        <v>0.97</v>
      </c>
      <c r="P594" t="n">
        <v>1932</v>
      </c>
      <c r="Q594" t="n">
        <v>246</v>
      </c>
      <c r="R594" t="n">
        <v>108</v>
      </c>
      <c r="S594" t="n">
        <v>49</v>
      </c>
      <c r="T594" t="n">
        <v>288</v>
      </c>
      <c r="U594" t="n">
        <v>11</v>
      </c>
      <c r="V594" t="n">
        <v>141</v>
      </c>
      <c r="W594" t="n">
        <v>0.231</v>
      </c>
      <c r="X594" t="n">
        <v>149</v>
      </c>
      <c r="Y594" t="n">
        <v>130</v>
      </c>
      <c r="Z594" t="n">
        <v>139</v>
      </c>
      <c r="AA594" t="n">
        <v>10</v>
      </c>
      <c r="AB594" t="n">
        <v>10.3</v>
      </c>
      <c r="AC594" t="inlineStr">
        <is>
          <t xml:space="preserve"> Resort Freeride</t>
        </is>
      </c>
      <c r="AG594" t="inlineStr">
        <is>
          <t>Salomon QST 92 Skis</t>
        </is>
      </c>
      <c r="AH594" t="inlineStr">
        <is>
          <t>REI</t>
        </is>
      </c>
      <c r="AI594" s="333" t="n">
        <v>399.93</v>
      </c>
      <c r="AJ594" t="inlineStr">
        <is>
          <t>https://tinyurl.com/y9l2fed4</t>
        </is>
      </c>
      <c r="AK594" t="inlineStr">
        <is>
          <t>Salomon QST 92 Skis</t>
        </is>
      </c>
      <c r="AL594" t="inlineStr">
        <is>
          <t>Level Nine Sports</t>
        </is>
      </c>
      <c r="AM594" s="333" t="n">
        <v>399.99</v>
      </c>
      <c r="AN594" t="inlineStr">
        <is>
          <t>https://tinyurl.com/y9ogl8xx</t>
        </is>
      </c>
      <c r="AO594" t="inlineStr">
        <is>
          <t>Salomon QST 92 Skis - 2022 - 185cm</t>
        </is>
      </c>
      <c r="AP594" t="inlineStr">
        <is>
          <t>ColoradoSkiShop.com</t>
        </is>
      </c>
      <c r="AQ594" s="333" t="n">
        <v>399.99</v>
      </c>
      <c r="AR594" t="inlineStr">
        <is>
          <t>https://tinyurl.com/yb4cc9yt</t>
        </is>
      </c>
      <c r="AS594" s="314">
        <f>IF(LEFT(C594,1)=" ",RIGHT(C594,LEN(C594)-1),C594)</f>
        <v/>
      </c>
      <c r="AT594" s="281">
        <f>_xlfn.CONCAT(B594,AS594,D594,E594)</f>
        <v/>
      </c>
    </row>
    <row r="595">
      <c r="A595" t="inlineStr">
        <is>
          <t>21/22</t>
        </is>
      </c>
      <c r="B595" t="inlineStr">
        <is>
          <t xml:space="preserve"> Dynafit</t>
        </is>
      </c>
      <c r="C595" t="inlineStr">
        <is>
          <t xml:space="preserve"> Seven Summits</t>
        </is>
      </c>
      <c r="D595" t="n">
        <v>174</v>
      </c>
      <c r="E595" t="inlineStr">
        <is>
          <t xml:space="preserve"> Unisex</t>
        </is>
      </c>
      <c r="F595" t="n">
        <v>174</v>
      </c>
      <c r="G595" t="n">
        <v>173.4</v>
      </c>
      <c r="H595" t="n">
        <v>138</v>
      </c>
      <c r="I595" t="n">
        <v>146</v>
      </c>
      <c r="J595" t="n">
        <v>115</v>
      </c>
      <c r="K595" t="n">
        <v>84</v>
      </c>
      <c r="L595" t="n">
        <v>104</v>
      </c>
      <c r="M595" t="n">
        <v>19.8</v>
      </c>
      <c r="N595" t="n">
        <v>1961</v>
      </c>
      <c r="O595" t="n">
        <v>0.84</v>
      </c>
      <c r="P595" t="n">
        <v>1638</v>
      </c>
      <c r="Q595" t="n">
        <v>211</v>
      </c>
      <c r="R595" t="n">
        <v>82</v>
      </c>
      <c r="S595" t="n">
        <v>50</v>
      </c>
      <c r="T595" t="n">
        <v>261</v>
      </c>
      <c r="U595" t="n">
        <v>8</v>
      </c>
      <c r="V595" t="n">
        <v>93</v>
      </c>
      <c r="W595" t="n">
        <v>0.165</v>
      </c>
      <c r="X595" t="n">
        <v>196</v>
      </c>
      <c r="Y595" t="n">
        <v>83</v>
      </c>
      <c r="Z595" t="n">
        <v>65</v>
      </c>
      <c r="AA595" t="n">
        <v>5</v>
      </c>
      <c r="AB595" t="n">
        <v>11.8</v>
      </c>
      <c r="AC595" t="inlineStr">
        <is>
          <t xml:space="preserve"> On-Piste Carving</t>
        </is>
      </c>
      <c r="AD595" t="inlineStr">
        <is>
          <t xml:space="preserve"> On-Piste All-Mountain</t>
        </is>
      </c>
      <c r="AE595" t="inlineStr">
        <is>
          <t xml:space="preserve"> Resort Freeride</t>
        </is>
      </c>
      <c r="AG595" t="inlineStr">
        <is>
          <t>Dynafit Seven Summits Ski Blue, Mens/Womens Backcountry Skis, Size 174 cm - Color Blue - Red</t>
        </is>
      </c>
      <c r="AH595" t="inlineStr">
        <is>
          <t>eXXpozed.com</t>
        </is>
      </c>
      <c r="AI595" s="333" t="n">
        <v>397.04</v>
      </c>
      <c r="AJ595" t="inlineStr">
        <is>
          <t>https://tinyurl.com/yd3oqxhr</t>
        </is>
      </c>
      <c r="AK595" t="inlineStr">
        <is>
          <t>Dynafit Seven Summits Set Ski Grey/Red, 174cm</t>
        </is>
      </c>
      <c r="AL595" t="inlineStr">
        <is>
          <t>Next Adventure</t>
        </is>
      </c>
      <c r="AM595" s="333" t="n">
        <v>594.97</v>
      </c>
      <c r="AN595" t="inlineStr">
        <is>
          <t>https://tinyurl.com/ybra7q2r</t>
        </is>
      </c>
      <c r="AO595" t="inlineStr">
        <is>
          <t>Dynafit Seven Summits+ Touring Skis 174</t>
        </is>
      </c>
      <c r="AP595" t="inlineStr">
        <is>
          <t>Snowinn.com</t>
        </is>
      </c>
      <c r="AQ595" s="333" t="n">
        <v>353.49</v>
      </c>
      <c r="AR595" t="inlineStr">
        <is>
          <t>https://tinyurl.com/y8esxjgp</t>
        </is>
      </c>
      <c r="AS595" s="314">
        <f>IF(LEFT(C595,1)=" ",RIGHT(C595,LEN(C595)-1),C595)</f>
        <v/>
      </c>
      <c r="AT595" s="281">
        <f>_xlfn.CONCAT(B595,AS595,D595,E595)</f>
        <v/>
      </c>
    </row>
    <row r="596">
      <c r="A596" t="inlineStr">
        <is>
          <t>21/22</t>
        </is>
      </c>
      <c r="B596" t="inlineStr">
        <is>
          <t xml:space="preserve"> Salomon</t>
        </is>
      </c>
      <c r="C596" t="inlineStr">
        <is>
          <t>Stance 96</t>
        </is>
      </c>
      <c r="D596" t="n">
        <v>176</v>
      </c>
      <c r="E596" t="inlineStr">
        <is>
          <t xml:space="preserve"> Unisex</t>
        </is>
      </c>
      <c r="F596" t="n">
        <v>176</v>
      </c>
      <c r="G596" t="n">
        <v>174.3</v>
      </c>
      <c r="H596" t="n">
        <v>134</v>
      </c>
      <c r="I596" t="n">
        <v>145</v>
      </c>
      <c r="J596" t="n">
        <v>130</v>
      </c>
      <c r="K596" t="n">
        <v>95</v>
      </c>
      <c r="L596" t="n">
        <v>112</v>
      </c>
      <c r="M596" t="n">
        <v>18.8</v>
      </c>
      <c r="N596" t="n">
        <v>1862</v>
      </c>
      <c r="O596" t="n">
        <v>1</v>
      </c>
      <c r="P596" t="n">
        <v>1853</v>
      </c>
      <c r="Q596" t="n">
        <v>179</v>
      </c>
      <c r="R596" t="n">
        <v>110</v>
      </c>
      <c r="S596" t="n">
        <v>48</v>
      </c>
      <c r="T596" t="n">
        <v>227</v>
      </c>
      <c r="U596" t="n">
        <v>8</v>
      </c>
      <c r="V596" t="n">
        <v>172</v>
      </c>
      <c r="W596" t="n">
        <v>0.165</v>
      </c>
      <c r="X596" t="n">
        <v>165</v>
      </c>
      <c r="Y596" t="n">
        <v>132</v>
      </c>
      <c r="Z596" t="n">
        <v>63</v>
      </c>
      <c r="AA596" t="n">
        <v>9</v>
      </c>
      <c r="AB596" t="n">
        <v>10</v>
      </c>
      <c r="AC596" t="inlineStr">
        <is>
          <t xml:space="preserve"> Resort Freeride</t>
        </is>
      </c>
      <c r="AG596" t="inlineStr">
        <is>
          <t>Salomon N Stance 96 176cm</t>
        </is>
      </c>
      <c r="AH596" t="inlineStr">
        <is>
          <t>Sundance Ski and Board Shop</t>
        </is>
      </c>
      <c r="AI596" s="333" t="n">
        <v>481.02</v>
      </c>
      <c r="AJ596" t="inlineStr">
        <is>
          <t>https://tinyurl.com/y8ojsenq</t>
        </is>
      </c>
      <c r="AK596" t="inlineStr">
        <is>
          <t>Salomon Stance 96 Skis</t>
        </is>
      </c>
      <c r="AL596" t="inlineStr">
        <is>
          <t>Gorham Bike and Ski</t>
        </is>
      </c>
      <c r="AM596" s="333" t="n">
        <v>489.99</v>
      </c>
      <c r="AN596" t="inlineStr">
        <is>
          <t>https://tinyurl.com/ycol4fu4</t>
        </is>
      </c>
      <c r="AO596" t="inlineStr">
        <is>
          <t>Salomon Stance 96 Skis</t>
        </is>
      </c>
      <c r="AP596" t="inlineStr">
        <is>
          <t>Backcountry.com</t>
        </is>
      </c>
      <c r="AQ596" s="333" t="n">
        <v>559.96</v>
      </c>
      <c r="AR596" t="inlineStr">
        <is>
          <t>https://tinyurl.com/y7f5a78q</t>
        </is>
      </c>
      <c r="AS596" s="314">
        <f>IF(LEFT(C596,1)=" ",RIGHT(C596,LEN(C596)-1),C596)</f>
        <v/>
      </c>
      <c r="AT596" s="281">
        <f>_xlfn.CONCAT(B596,AS596,D596,E596)</f>
        <v/>
      </c>
    </row>
    <row r="597">
      <c r="A597" t="inlineStr">
        <is>
          <t>21/22</t>
        </is>
      </c>
      <c r="B597" t="inlineStr">
        <is>
          <t xml:space="preserve"> Head</t>
        </is>
      </c>
      <c r="C597" t="inlineStr">
        <is>
          <t>Kore 93</t>
        </is>
      </c>
      <c r="D597" t="n">
        <v>156</v>
      </c>
      <c r="E597" t="inlineStr">
        <is>
          <t xml:space="preserve"> Unisex</t>
        </is>
      </c>
      <c r="F597" t="n">
        <v>156</v>
      </c>
      <c r="G597" t="n">
        <v>155.4</v>
      </c>
      <c r="H597" t="n">
        <v>119</v>
      </c>
      <c r="I597" t="n">
        <v>126</v>
      </c>
      <c r="J597" t="n">
        <v>124</v>
      </c>
      <c r="K597" t="n">
        <v>86</v>
      </c>
      <c r="L597" t="n">
        <v>107</v>
      </c>
      <c r="M597" t="n">
        <v>12</v>
      </c>
      <c r="N597" t="n">
        <v>1410</v>
      </c>
      <c r="O597" t="n">
        <v>1.09</v>
      </c>
      <c r="P597" t="n">
        <v>1534</v>
      </c>
      <c r="Q597" t="n">
        <v>192</v>
      </c>
      <c r="R597" t="n">
        <v>82</v>
      </c>
      <c r="S597" t="n">
        <v>50</v>
      </c>
      <c r="T597" t="n">
        <v>230</v>
      </c>
      <c r="U597" t="n">
        <v>11</v>
      </c>
      <c r="V597" t="n">
        <v>134</v>
      </c>
      <c r="W597" t="n">
        <v>0.223999999999999</v>
      </c>
      <c r="X597" t="n">
        <v>143</v>
      </c>
      <c r="Y597" t="n">
        <v>155</v>
      </c>
      <c r="Z597" t="n">
        <v>87</v>
      </c>
      <c r="AA597" t="n">
        <v>5</v>
      </c>
      <c r="AB597" t="n">
        <v>8.6</v>
      </c>
      <c r="AC597" t="inlineStr">
        <is>
          <t xml:space="preserve"> Resort Freeride</t>
        </is>
      </c>
      <c r="AD597" t="inlineStr">
        <is>
          <t xml:space="preserve"> Touring</t>
        </is>
      </c>
      <c r="AG597" t="inlineStr">
        <is>
          <t>Head Kore 93 Anth/Yw / 156cm</t>
        </is>
      </c>
      <c r="AH597" t="inlineStr">
        <is>
          <t>Sundance Ski and Board Shop</t>
        </is>
      </c>
      <c r="AI597" s="333" t="n">
        <v>481.02</v>
      </c>
      <c r="AJ597" t="inlineStr">
        <is>
          <t>https://tinyurl.com/y72z9tcy</t>
        </is>
      </c>
      <c r="AK597" t="inlineStr">
        <is>
          <t>Head Kore 93</t>
        </is>
      </c>
      <c r="AL597" t="inlineStr">
        <is>
          <t>evo.com</t>
        </is>
      </c>
      <c r="AM597" s="333" t="n">
        <v>489</v>
      </c>
      <c r="AN597" t="inlineStr">
        <is>
          <t>https://tinyurl.com/yaoxjvh9</t>
        </is>
      </c>
      <c r="AO597" t="inlineStr">
        <is>
          <t>Head Kore 93 Incl Attack 14 GW binding Anthracite-Yellow 156 Ski Men</t>
        </is>
      </c>
      <c r="AP597" t="inlineStr">
        <is>
          <t>! OutdoorXL.com</t>
        </is>
      </c>
      <c r="AQ597" s="333" t="n">
        <v>554.95</v>
      </c>
      <c r="AR597" t="inlineStr">
        <is>
          <t>https://tinyurl.com/y7xrng23</t>
        </is>
      </c>
      <c r="AS597" s="314">
        <f>IF(LEFT(C597,1)=" ",RIGHT(C597,LEN(C597)-1),C597)</f>
        <v/>
      </c>
      <c r="AT597" s="281">
        <f>_xlfn.CONCAT(B597,AS597,D597,E597)</f>
        <v/>
      </c>
    </row>
    <row r="598">
      <c r="A598" t="inlineStr">
        <is>
          <t>21/22</t>
        </is>
      </c>
      <c r="B598" t="inlineStr">
        <is>
          <t xml:space="preserve"> Blizzard</t>
        </is>
      </c>
      <c r="C598" t="inlineStr">
        <is>
          <t xml:space="preserve"> Spur</t>
        </is>
      </c>
      <c r="D598" t="n">
        <v>159</v>
      </c>
      <c r="E598" t="inlineStr">
        <is>
          <t xml:space="preserve"> Unisex</t>
        </is>
      </c>
      <c r="F598" t="n">
        <v>159</v>
      </c>
      <c r="G598" t="n">
        <v>158.3</v>
      </c>
      <c r="H598" t="n">
        <v>80</v>
      </c>
      <c r="I598" t="n">
        <v>108</v>
      </c>
      <c r="J598" t="n">
        <v>145</v>
      </c>
      <c r="K598" t="n">
        <v>124</v>
      </c>
      <c r="L598" t="n">
        <v>129</v>
      </c>
      <c r="M598" t="n">
        <v>20.7</v>
      </c>
      <c r="N598" t="n">
        <v>1702</v>
      </c>
      <c r="O598" t="n">
        <v>1.2</v>
      </c>
      <c r="P598" t="n">
        <v>2044</v>
      </c>
      <c r="Q598" t="n">
        <v>138</v>
      </c>
      <c r="R598" t="n">
        <v>86</v>
      </c>
      <c r="S598" t="n">
        <v>53</v>
      </c>
      <c r="T598" t="n">
        <v>489</v>
      </c>
      <c r="U598" t="n">
        <v>15</v>
      </c>
      <c r="V598" t="n">
        <v>293</v>
      </c>
      <c r="W598" t="n">
        <v>0.278999999999999</v>
      </c>
      <c r="X598" t="n">
        <v>272</v>
      </c>
      <c r="Y598" t="n">
        <v>231</v>
      </c>
      <c r="Z598" t="n">
        <v>217</v>
      </c>
      <c r="AA598" t="n">
        <v>2</v>
      </c>
      <c r="AB598" t="n">
        <v>10.8</v>
      </c>
      <c r="AC598" t="inlineStr">
        <is>
          <t xml:space="preserve"> Big Mountain</t>
        </is>
      </c>
      <c r="AD598" t="inlineStr">
        <is>
          <t xml:space="preserve"> Touring</t>
        </is>
      </c>
      <c r="AG598" t="inlineStr">
        <is>
          <t>Blizzard Spur Ski - 2022 Green/Blue, 159cm</t>
        </is>
      </c>
      <c r="AH598" t="inlineStr">
        <is>
          <t>Steep &amp; Cheap</t>
        </is>
      </c>
      <c r="AI598" s="333" t="n">
        <v>639.96</v>
      </c>
      <c r="AJ598" t="inlineStr">
        <is>
          <t>https://tinyurl.com/y79vb25d</t>
        </is>
      </c>
      <c r="AK598" t="inlineStr">
        <is>
          <t>Blizzard Spur Ski - 2022 Green/Blue, 159cm</t>
        </is>
      </c>
      <c r="AL598" t="inlineStr">
        <is>
          <t>Backcountry.com</t>
        </is>
      </c>
      <c r="AM598" s="333" t="n">
        <v>639.96</v>
      </c>
      <c r="AN598" t="inlineStr">
        <is>
          <t>https://tinyurl.com/ybl4e7ab</t>
        </is>
      </c>
      <c r="AO598" t="inlineStr">
        <is>
          <t>Blizzard Spur Ski - 2022 Green/Blue, 159cm</t>
        </is>
      </c>
      <c r="AP598" t="inlineStr">
        <is>
          <t>eBay - backcountry</t>
        </is>
      </c>
      <c r="AQ598" s="333" t="n">
        <v>639.96</v>
      </c>
      <c r="AR598" t="inlineStr">
        <is>
          <t>https://tinyurl.com/y8scw56j</t>
        </is>
      </c>
      <c r="AS598" s="314">
        <f>IF(LEFT(C598,1)=" ",RIGHT(C598,LEN(C598)-1),C598)</f>
        <v/>
      </c>
      <c r="AT598" s="281">
        <f>_xlfn.CONCAT(B598,AS598,D598,E598)</f>
        <v/>
      </c>
    </row>
    <row r="599">
      <c r="A599" t="inlineStr">
        <is>
          <t>21/22</t>
        </is>
      </c>
      <c r="B599" t="inlineStr">
        <is>
          <t xml:space="preserve"> Blizzard</t>
        </is>
      </c>
      <c r="C599" t="inlineStr">
        <is>
          <t>Zero G 105</t>
        </is>
      </c>
      <c r="D599" t="n">
        <v>172</v>
      </c>
      <c r="E599" t="inlineStr">
        <is>
          <t xml:space="preserve"> Unisex</t>
        </is>
      </c>
      <c r="F599" t="n">
        <v>172</v>
      </c>
      <c r="G599" t="n">
        <v>169.8</v>
      </c>
      <c r="H599" t="n">
        <v>124</v>
      </c>
      <c r="I599" t="n">
        <v>139</v>
      </c>
      <c r="J599" t="n">
        <v>130</v>
      </c>
      <c r="K599" t="n">
        <v>102</v>
      </c>
      <c r="L599" t="n">
        <v>116</v>
      </c>
      <c r="M599" t="n">
        <v>21.4</v>
      </c>
      <c r="N599" t="n">
        <v>1416</v>
      </c>
      <c r="O599" t="n">
        <v>1.32</v>
      </c>
      <c r="P599" t="n">
        <v>1874</v>
      </c>
      <c r="Q599" t="n">
        <v>189</v>
      </c>
      <c r="R599" t="n">
        <v>64</v>
      </c>
      <c r="S599" t="n">
        <v>54</v>
      </c>
      <c r="T599" t="n">
        <v>297</v>
      </c>
      <c r="U599" t="n">
        <v>18</v>
      </c>
      <c r="V599" t="n">
        <v>165</v>
      </c>
      <c r="W599" t="n">
        <v>0.332</v>
      </c>
      <c r="X599" t="n">
        <v>160</v>
      </c>
      <c r="Y599" t="n">
        <v>148</v>
      </c>
      <c r="Z599" t="n">
        <v>137</v>
      </c>
      <c r="AA599" t="n">
        <v>6</v>
      </c>
      <c r="AB599" t="n">
        <v>9.800000000000001</v>
      </c>
      <c r="AC599" t="inlineStr">
        <is>
          <t xml:space="preserve"> Big Mountain</t>
        </is>
      </c>
      <c r="AD599" t="inlineStr">
        <is>
          <t xml:space="preserve"> Touring</t>
        </is>
      </c>
      <c r="AE599" t="inlineStr">
        <is>
          <t xml:space="preserve"> Ultralight Touring</t>
        </is>
      </c>
      <c r="AG599" t="inlineStr">
        <is>
          <t>2022 Blizzard Zero G 105 Skis with Marker Kingpin 13 Bindings (172)</t>
        </is>
      </c>
      <c r="AH599" t="inlineStr">
        <is>
          <t>SkiEssentials.com</t>
        </is>
      </c>
      <c r="AI599" s="333" t="n">
        <v>1125</v>
      </c>
      <c r="AJ599" t="inlineStr">
        <is>
          <t>https://tinyurl.com/yalgg6re</t>
        </is>
      </c>
      <c r="AK599" t="inlineStr">
        <is>
          <t>Blizzard Zero G 105 21/22</t>
        </is>
      </c>
      <c r="AL599" t="inlineStr">
        <is>
          <t>Snowcountry.eu</t>
        </is>
      </c>
      <c r="AM599" s="333" t="n">
        <v>516.33</v>
      </c>
      <c r="AN599" t="inlineStr">
        <is>
          <t>https://tinyurl.com/y845m2v6</t>
        </is>
      </c>
      <c r="AO599" t="inlineStr">
        <is>
          <t>Blizzard Zero G 105 21/22</t>
        </is>
      </c>
      <c r="AP599" t="inlineStr">
        <is>
          <t>Telemark Pyrenees</t>
        </is>
      </c>
      <c r="AQ599" s="333" t="n">
        <v>531.67</v>
      </c>
      <c r="AR599" t="inlineStr">
        <is>
          <t>https://tinyurl.com/y7za6lks</t>
        </is>
      </c>
      <c r="AS599" s="314">
        <f>IF(LEFT(C599,1)=" ",RIGHT(C599,LEN(C599)-1),C599)</f>
        <v/>
      </c>
      <c r="AT599" s="281">
        <f>_xlfn.CONCAT(B599,AS599,D599,E599)</f>
        <v/>
      </c>
    </row>
    <row r="600">
      <c r="A600" t="inlineStr">
        <is>
          <t>21/22</t>
        </is>
      </c>
      <c r="B600" t="inlineStr">
        <is>
          <t xml:space="preserve"> Icelantic</t>
        </is>
      </c>
      <c r="C600" t="inlineStr">
        <is>
          <t>Nomad Lite 105</t>
        </is>
      </c>
      <c r="D600" t="n">
        <v>181</v>
      </c>
      <c r="E600" t="inlineStr">
        <is>
          <t xml:space="preserve"> Unisex</t>
        </is>
      </c>
      <c r="F600" t="n">
        <v>181</v>
      </c>
      <c r="G600" t="n">
        <v>178.5</v>
      </c>
      <c r="H600" t="n">
        <v>112</v>
      </c>
      <c r="I600" t="n">
        <v>153</v>
      </c>
      <c r="J600" t="n">
        <v>145</v>
      </c>
      <c r="K600" t="n">
        <v>111</v>
      </c>
      <c r="L600" t="n">
        <v>135</v>
      </c>
      <c r="M600" t="n">
        <v>19.2</v>
      </c>
      <c r="N600" t="n">
        <v>1902</v>
      </c>
      <c r="O600" t="n">
        <v>1.14</v>
      </c>
      <c r="P600" t="n">
        <v>2166</v>
      </c>
      <c r="Q600" t="n">
        <v>277</v>
      </c>
      <c r="R600" t="n">
        <v>115</v>
      </c>
      <c r="S600" t="n">
        <v>56</v>
      </c>
      <c r="T600" t="n">
        <v>357</v>
      </c>
      <c r="U600" t="n">
        <v>55</v>
      </c>
      <c r="V600" t="n">
        <v>308</v>
      </c>
      <c r="W600" t="n">
        <v>0.968</v>
      </c>
      <c r="X600" t="n">
        <v>127</v>
      </c>
      <c r="Y600" t="n">
        <v>130</v>
      </c>
      <c r="Z600" t="n">
        <v>230</v>
      </c>
      <c r="AA600" t="n">
        <v>3</v>
      </c>
      <c r="AB600" t="n">
        <v>9.4</v>
      </c>
      <c r="AC600" t="inlineStr">
        <is>
          <t xml:space="preserve"> Freeski</t>
        </is>
      </c>
      <c r="AD600" t="inlineStr">
        <is>
          <t xml:space="preserve"> Powder</t>
        </is>
      </c>
      <c r="AE600" t="inlineStr">
        <is>
          <t xml:space="preserve"> Touring</t>
        </is>
      </c>
      <c r="AG600" t="inlineStr">
        <is>
          <t>Icelantic Nomad 105 Lite Skis Â· 2022 Â· 181 cm</t>
        </is>
      </c>
      <c r="AH600" t="inlineStr">
        <is>
          <t>REI</t>
        </is>
      </c>
      <c r="AI600" s="333" t="n">
        <v>598.9299999999999</v>
      </c>
      <c r="AJ600" t="inlineStr">
        <is>
          <t>https://tinyurl.com/ybokccm9</t>
        </is>
      </c>
      <c r="AK600" t="inlineStr">
        <is>
          <t>Icelantic Nomad 105 Lite Skis Â· 2022 Â· 181 cm</t>
        </is>
      </c>
      <c r="AL600" t="inlineStr">
        <is>
          <t>Bentgate Mountaineering</t>
        </is>
      </c>
      <c r="AM600" s="333" t="n">
        <v>599.25</v>
      </c>
      <c r="AN600" t="inlineStr">
        <is>
          <t>https://tinyurl.com/y995eoc5</t>
        </is>
      </c>
      <c r="AO600" t="inlineStr">
        <is>
          <t>Icelantic Nomad 105 Lite Skis Â· 2022 Â· 181 cm</t>
        </is>
      </c>
      <c r="AP600" t="inlineStr">
        <is>
          <t>DreamRuns.com</t>
        </is>
      </c>
      <c r="AQ600" s="333" t="n">
        <v>599.25</v>
      </c>
      <c r="AR600" t="inlineStr">
        <is>
          <t>https://tinyurl.com/y84egsog</t>
        </is>
      </c>
      <c r="AS600" s="314">
        <f>IF(LEFT(C600,1)=" ",RIGHT(C600,LEN(C600)-1),C600)</f>
        <v/>
      </c>
      <c r="AT600" s="281">
        <f>_xlfn.CONCAT(B600,AS600,D600,E600)</f>
        <v/>
      </c>
    </row>
    <row r="601">
      <c r="A601" t="inlineStr">
        <is>
          <t>21/22</t>
        </is>
      </c>
      <c r="B601" t="inlineStr">
        <is>
          <t xml:space="preserve"> DPS</t>
        </is>
      </c>
      <c r="C601" t="inlineStr">
        <is>
          <t>Foundation 103 Koala</t>
        </is>
      </c>
      <c r="D601" t="n">
        <v>189</v>
      </c>
      <c r="E601" t="inlineStr">
        <is>
          <t xml:space="preserve"> Unisex</t>
        </is>
      </c>
      <c r="F601" t="n">
        <v>189</v>
      </c>
      <c r="G601" t="n">
        <v>187.4</v>
      </c>
      <c r="H601" t="n">
        <v>120</v>
      </c>
      <c r="I601" t="n">
        <v>145</v>
      </c>
      <c r="J601" t="n">
        <v>134</v>
      </c>
      <c r="K601" t="n">
        <v>102</v>
      </c>
      <c r="L601" t="n">
        <v>122</v>
      </c>
      <c r="M601" t="n">
        <v>18.1</v>
      </c>
      <c r="N601" t="n">
        <v>2041</v>
      </c>
      <c r="O601" t="n">
        <v>1.04</v>
      </c>
      <c r="P601" t="n">
        <v>2132</v>
      </c>
      <c r="Q601" t="n">
        <v>250</v>
      </c>
      <c r="R601" t="n">
        <v>115</v>
      </c>
      <c r="S601" t="n">
        <v>61</v>
      </c>
      <c r="T601" t="n">
        <v>350</v>
      </c>
      <c r="U601" t="n">
        <v>45</v>
      </c>
      <c r="V601" t="n">
        <v>327</v>
      </c>
      <c r="W601" t="n">
        <v>0.741</v>
      </c>
      <c r="X601" t="n">
        <v>243</v>
      </c>
      <c r="Y601" t="n">
        <v>180</v>
      </c>
      <c r="Z601" t="n">
        <v>107</v>
      </c>
      <c r="AA601" t="n">
        <v>4</v>
      </c>
      <c r="AB601" t="n">
        <v>7.2</v>
      </c>
      <c r="AC601" t="inlineStr">
        <is>
          <t xml:space="preserve"> Resort Freeride</t>
        </is>
      </c>
      <c r="AD601" t="inlineStr">
        <is>
          <t xml:space="preserve"> Powder</t>
        </is>
      </c>
      <c r="AG601" t="inlineStr">
        <is>
          <t>DPS Koala 103 Foundation Skis 2022</t>
        </is>
      </c>
      <c r="AH601" t="inlineStr">
        <is>
          <t>Level Nine Sports</t>
        </is>
      </c>
      <c r="AI601" s="333" t="n">
        <v>559.2</v>
      </c>
      <c r="AJ601" t="inlineStr">
        <is>
          <t>https://tinyurl.com/y977puxw</t>
        </is>
      </c>
      <c r="AK601" t="inlineStr">
        <is>
          <t>DPS Skis Koala Foundation F119 Ski</t>
        </is>
      </c>
      <c r="AL601" t="inlineStr">
        <is>
          <t>Powder7 Ski Shop</t>
        </is>
      </c>
      <c r="AM601" s="333" t="n">
        <v>469.93</v>
      </c>
      <c r="AN601" t="inlineStr">
        <is>
          <t>https://tinyurl.com/yd249oag</t>
        </is>
      </c>
      <c r="AO601" t="inlineStr">
        <is>
          <t>DPS Skis Koala Foundation F119 Ski</t>
        </is>
      </c>
      <c r="AP601" t="inlineStr">
        <is>
          <t>Next Adventure</t>
        </is>
      </c>
      <c r="AQ601" s="333" t="n">
        <v>479.4</v>
      </c>
      <c r="AR601" t="inlineStr">
        <is>
          <t>https://tinyurl.com/yacrxfqk</t>
        </is>
      </c>
      <c r="AS601" s="314">
        <f>IF(LEFT(C601,1)=" ",RIGHT(C601,LEN(C601)-1),C601)</f>
        <v/>
      </c>
      <c r="AT601" s="281">
        <f>_xlfn.CONCAT(B601,AS601,D601,E601)</f>
        <v/>
      </c>
    </row>
    <row r="602">
      <c r="A602" t="inlineStr">
        <is>
          <t>21/22</t>
        </is>
      </c>
      <c r="B602" t="inlineStr">
        <is>
          <t xml:space="preserve"> Armada</t>
        </is>
      </c>
      <c r="C602" t="inlineStr">
        <is>
          <t xml:space="preserve"> Stranger</t>
        </is>
      </c>
      <c r="D602" t="n">
        <v>180</v>
      </c>
      <c r="E602" t="inlineStr">
        <is>
          <t xml:space="preserve"> Unisex</t>
        </is>
      </c>
      <c r="F602" t="n">
        <v>180</v>
      </c>
      <c r="G602" t="n">
        <v>179.4</v>
      </c>
      <c r="H602" t="n">
        <v>125</v>
      </c>
      <c r="I602" t="n">
        <v>149</v>
      </c>
      <c r="J602" t="n">
        <v>138</v>
      </c>
      <c r="K602" t="n">
        <v>99</v>
      </c>
      <c r="L602" t="n">
        <v>120</v>
      </c>
      <c r="M602" t="n">
        <v>16.1</v>
      </c>
      <c r="N602" t="n">
        <v>2185</v>
      </c>
      <c r="O602" t="n">
        <v>0.92</v>
      </c>
      <c r="P602" t="n">
        <v>2019</v>
      </c>
      <c r="Q602" t="n">
        <v>191</v>
      </c>
      <c r="R602" t="n">
        <v>90</v>
      </c>
      <c r="S602" t="n">
        <v>61</v>
      </c>
      <c r="T602" t="n">
        <v>308</v>
      </c>
      <c r="U602" t="n">
        <v>40</v>
      </c>
      <c r="V602" t="n">
        <v>240</v>
      </c>
      <c r="W602" t="n">
        <v>0.648</v>
      </c>
      <c r="X602" t="n">
        <v>197</v>
      </c>
      <c r="Y602" t="n">
        <v>112</v>
      </c>
      <c r="Z602" t="n">
        <v>112</v>
      </c>
      <c r="AA602" t="n">
        <v>8</v>
      </c>
      <c r="AB602" t="n">
        <v>9.4</v>
      </c>
      <c r="AC602" t="inlineStr">
        <is>
          <t xml:space="preserve"> Resort Freeride</t>
        </is>
      </c>
      <c r="AG602" t="inlineStr">
        <is>
          <t>Armada Stranger Skis - 2022 180 cm</t>
        </is>
      </c>
      <c r="AH602" t="inlineStr">
        <is>
          <t>Hillcrest Ski &amp; Sports</t>
        </is>
      </c>
      <c r="AI602" s="333" t="n">
        <v>559.96</v>
      </c>
      <c r="AJ602" t="inlineStr">
        <is>
          <t>https://tinyurl.com/y9rtg99b</t>
        </is>
      </c>
      <c r="AK602" t="inlineStr">
        <is>
          <t>Armada Stranger Skis - 2022 180cm</t>
        </is>
      </c>
      <c r="AL602" t="inlineStr">
        <is>
          <t>Glacier Ski Shop</t>
        </is>
      </c>
      <c r="AM602" s="333" t="n">
        <v>629</v>
      </c>
      <c r="AN602" t="inlineStr">
        <is>
          <t>https://tinyurl.com/ya4anwvx</t>
        </is>
      </c>
      <c r="AO602" t="inlineStr">
        <is>
          <t>Armada Stranger Ski 180 cm</t>
        </is>
      </c>
      <c r="AP602" t="inlineStr">
        <is>
          <t>Gravity Coalition</t>
        </is>
      </c>
      <c r="AQ602" s="333" t="n">
        <v>649.95</v>
      </c>
      <c r="AR602" t="inlineStr">
        <is>
          <t>https://tinyurl.com/ya2k4jl2</t>
        </is>
      </c>
      <c r="AS602" s="314">
        <f>IF(LEFT(C602,1)=" ",RIGHT(C602,LEN(C602)-1),C602)</f>
        <v/>
      </c>
      <c r="AT602" s="281">
        <f>_xlfn.CONCAT(B602,AS602,D602,E602)</f>
        <v/>
      </c>
    </row>
    <row r="603">
      <c r="A603" t="inlineStr">
        <is>
          <t>21/22</t>
        </is>
      </c>
      <c r="B603" t="inlineStr">
        <is>
          <t xml:space="preserve"> Armada</t>
        </is>
      </c>
      <c r="C603" t="inlineStr">
        <is>
          <t>Reliance 82 Ti</t>
        </is>
      </c>
      <c r="D603" t="n">
        <v>166</v>
      </c>
      <c r="E603" t="inlineStr">
        <is>
          <t xml:space="preserve"> Women's</t>
        </is>
      </c>
      <c r="F603" t="n">
        <v>166</v>
      </c>
      <c r="G603" t="n">
        <v>165.5</v>
      </c>
      <c r="H603" t="n">
        <v>138</v>
      </c>
      <c r="I603" t="n">
        <v>149</v>
      </c>
      <c r="J603" t="n">
        <v>125</v>
      </c>
      <c r="K603" t="n">
        <v>81</v>
      </c>
      <c r="L603" t="n">
        <v>108</v>
      </c>
      <c r="M603" t="n">
        <v>15.4</v>
      </c>
      <c r="N603" t="n">
        <v>1533</v>
      </c>
      <c r="O603" t="n">
        <v>1.02</v>
      </c>
      <c r="P603" t="n">
        <v>1569</v>
      </c>
      <c r="Q603" t="n">
        <v>205</v>
      </c>
      <c r="R603" t="n">
        <v>122</v>
      </c>
      <c r="S603" t="n">
        <v>36</v>
      </c>
      <c r="T603" t="n">
        <v>176</v>
      </c>
      <c r="U603" t="n">
        <v>10</v>
      </c>
      <c r="V603" t="n">
        <v>104</v>
      </c>
      <c r="W603" t="n">
        <v>0.268999999999999</v>
      </c>
      <c r="X603" t="n">
        <v>112</v>
      </c>
      <c r="Y603" t="n">
        <v>55</v>
      </c>
      <c r="Z603" t="n">
        <v>64</v>
      </c>
      <c r="AA603" t="n">
        <v>9</v>
      </c>
      <c r="AB603" t="n">
        <v>10.3</v>
      </c>
      <c r="AC603" t="inlineStr">
        <is>
          <t xml:space="preserve"> On-Piste All-Mountain</t>
        </is>
      </c>
      <c r="AD603" t="inlineStr">
        <is>
          <t xml:space="preserve"> Resort Freeride</t>
        </is>
      </c>
      <c r="AG603" t="inlineStr">
        <is>
          <t>Armada Reliance 82 Ti Skis - Women's 2022</t>
        </is>
      </c>
      <c r="AH603" t="inlineStr">
        <is>
          <t>Teton Wasatch Ski Co.</t>
        </is>
      </c>
      <c r="AI603" s="333" t="n">
        <v>479</v>
      </c>
      <c r="AJ603" t="inlineStr">
        <is>
          <t>https://tinyurl.com/ybmgha5t</t>
        </is>
      </c>
      <c r="AK603" t="inlineStr">
        <is>
          <t>Armada Reliance 82 Ti + EM10 21/22</t>
        </is>
      </c>
      <c r="AL603" t="inlineStr">
        <is>
          <t>Snowcountry.eu</t>
        </is>
      </c>
      <c r="AM603" s="333" t="n">
        <v>552.3099999999999</v>
      </c>
      <c r="AN603" t="inlineStr">
        <is>
          <t>https://tinyurl.com/ydfeo9hz</t>
        </is>
      </c>
      <c r="AO603" t="inlineStr">
        <is>
          <t>Armada Reliance 82 Ti Skis - Women's 2022</t>
        </is>
      </c>
      <c r="AP603" t="inlineStr">
        <is>
          <t>Powder7 Ski Shop</t>
        </is>
      </c>
      <c r="AQ603" s="333" t="n">
        <v>589.99</v>
      </c>
      <c r="AR603" t="inlineStr">
        <is>
          <t>https://tinyurl.com/ycrsmeu9</t>
        </is>
      </c>
      <c r="AS603" s="314">
        <f>IF(LEFT(C603,1)=" ",RIGHT(C603,LEN(C603)-1),C603)</f>
        <v/>
      </c>
      <c r="AT603" s="281">
        <f>_xlfn.CONCAT(B603,AS603,D603,E603)</f>
        <v/>
      </c>
    </row>
    <row r="604">
      <c r="A604" t="inlineStr">
        <is>
          <t>21/22</t>
        </is>
      </c>
      <c r="B604" t="inlineStr">
        <is>
          <t xml:space="preserve"> Blizzard</t>
        </is>
      </c>
      <c r="C604" t="inlineStr">
        <is>
          <t>Black Pearl 88</t>
        </is>
      </c>
      <c r="D604" t="n">
        <v>159</v>
      </c>
      <c r="E604" t="inlineStr">
        <is>
          <t xml:space="preserve"> Women's</t>
        </is>
      </c>
      <c r="F604" t="n">
        <v>159</v>
      </c>
      <c r="G604" t="n">
        <v>157.8</v>
      </c>
      <c r="H604" t="n">
        <v>126</v>
      </c>
      <c r="I604" t="n">
        <v>134</v>
      </c>
      <c r="J604" t="n">
        <v>126</v>
      </c>
      <c r="K604" t="n">
        <v>86</v>
      </c>
      <c r="L604" t="n">
        <v>108</v>
      </c>
      <c r="M604" t="n">
        <v>13.9</v>
      </c>
      <c r="N604" t="n">
        <v>1654</v>
      </c>
      <c r="O604" t="n">
        <v>0.9399999999999999</v>
      </c>
      <c r="P604" t="n">
        <v>1549</v>
      </c>
      <c r="Q604" t="n">
        <v>151</v>
      </c>
      <c r="R604" t="n">
        <v>74</v>
      </c>
      <c r="S604" t="n">
        <v>59</v>
      </c>
      <c r="T604" t="n">
        <v>219</v>
      </c>
      <c r="U604" t="n">
        <v>7</v>
      </c>
      <c r="V604" t="n">
        <v>99</v>
      </c>
      <c r="W604" t="n">
        <v>0.126</v>
      </c>
      <c r="X604" t="n">
        <v>124</v>
      </c>
      <c r="Y604" t="n">
        <v>112</v>
      </c>
      <c r="Z604" t="n">
        <v>95</v>
      </c>
      <c r="AA604" t="n">
        <v>8</v>
      </c>
      <c r="AB604" t="n">
        <v>11.4</v>
      </c>
      <c r="AC604" t="inlineStr">
        <is>
          <t xml:space="preserve"> Resort Freeride</t>
        </is>
      </c>
      <c r="AG604" t="inlineStr">
        <is>
          <t>17-18 Blizzard Black Pearl 88  Women's Demo Skis W/binding</t>
        </is>
      </c>
      <c r="AH604" t="inlineStr">
        <is>
          <t>eBay - demo-skis</t>
        </is>
      </c>
      <c r="AI604" s="333" t="n">
        <v>299</v>
      </c>
      <c r="AJ604" t="inlineStr">
        <is>
          <t>https://tinyurl.com/yaewqcjt</t>
        </is>
      </c>
      <c r="AK604" t="inlineStr">
        <is>
          <t>Blizzard Black Pearl 88 (Flat)</t>
        </is>
      </c>
      <c r="AL604" t="inlineStr">
        <is>
          <t>Telemark Pyrenees</t>
        </is>
      </c>
      <c r="AM604" s="333" t="n">
        <v>347.48</v>
      </c>
      <c r="AN604" t="inlineStr">
        <is>
          <t>https://tinyurl.com/ybxe3vro</t>
        </is>
      </c>
      <c r="AO604" t="inlineStr">
        <is>
          <t>Blizzard Black Pearl 88 (Flat)</t>
        </is>
      </c>
      <c r="AP604" t="inlineStr">
        <is>
          <t>Snowcountry.eu</t>
        </is>
      </c>
      <c r="AQ604" s="333" t="n">
        <v>354.97</v>
      </c>
      <c r="AR604" t="inlineStr">
        <is>
          <t>https://tinyurl.com/ydxeowed</t>
        </is>
      </c>
      <c r="AS604" s="314">
        <f>IF(LEFT(C604,1)=" ",RIGHT(C604,LEN(C604)-1),C604)</f>
        <v/>
      </c>
      <c r="AT604" s="281">
        <f>_xlfn.CONCAT(B604,AS604,D604,E604)</f>
        <v/>
      </c>
    </row>
    <row r="605">
      <c r="A605" t="inlineStr">
        <is>
          <t>21/22</t>
        </is>
      </c>
      <c r="B605" t="inlineStr">
        <is>
          <t xml:space="preserve"> Vï¿½lkl</t>
        </is>
      </c>
      <c r="C605" t="inlineStr">
        <is>
          <t>Revolt 95</t>
        </is>
      </c>
      <c r="D605" t="n">
        <v>181</v>
      </c>
      <c r="E605" t="inlineStr">
        <is>
          <t xml:space="preserve"> Unisex</t>
        </is>
      </c>
      <c r="F605" t="n">
        <v>181</v>
      </c>
      <c r="G605" t="n">
        <v>181.3</v>
      </c>
      <c r="H605" t="n">
        <v>145</v>
      </c>
      <c r="I605" t="n">
        <v>166</v>
      </c>
      <c r="J605" t="n">
        <v>128</v>
      </c>
      <c r="K605" t="n">
        <v>94</v>
      </c>
      <c r="L605" t="n">
        <v>118</v>
      </c>
      <c r="M605" t="n">
        <v>23.8</v>
      </c>
      <c r="N605" t="n">
        <v>2034</v>
      </c>
      <c r="O605" t="n">
        <v>0.93</v>
      </c>
      <c r="P605" t="n">
        <v>1886</v>
      </c>
      <c r="Q605" t="n">
        <v>209</v>
      </c>
      <c r="R605" t="n">
        <v>106</v>
      </c>
      <c r="S605" t="n">
        <v>38</v>
      </c>
      <c r="T605" t="n">
        <v>204</v>
      </c>
      <c r="U605" t="n">
        <v>37</v>
      </c>
      <c r="V605" t="n">
        <v>156</v>
      </c>
      <c r="W605" t="n">
        <v>0.96</v>
      </c>
      <c r="X605" t="n">
        <v>83</v>
      </c>
      <c r="Y605" t="n">
        <v>72</v>
      </c>
      <c r="Z605" t="n">
        <v>120</v>
      </c>
      <c r="AA605" t="n">
        <v>6</v>
      </c>
      <c r="AB605" t="n">
        <v>0.2</v>
      </c>
      <c r="AC605" t="inlineStr">
        <is>
          <t xml:space="preserve"> Freeski</t>
        </is>
      </c>
      <c r="AS605" s="314">
        <f>IF(LEFT(C605,1)=" ",RIGHT(C605,LEN(C605)-1),C605)</f>
        <v/>
      </c>
      <c r="AT605" s="281">
        <f>_xlfn.CONCAT(B605,AS605,D605,E605)</f>
        <v/>
      </c>
    </row>
    <row r="606">
      <c r="A606" t="inlineStr">
        <is>
          <t>21/22</t>
        </is>
      </c>
      <c r="B606" t="inlineStr">
        <is>
          <t xml:space="preserve"> Rossignol</t>
        </is>
      </c>
      <c r="C606" t="inlineStr">
        <is>
          <t>Experience 80 Carbon</t>
        </is>
      </c>
      <c r="D606" t="n">
        <v>174</v>
      </c>
      <c r="E606" t="inlineStr">
        <is>
          <t xml:space="preserve"> Unisex</t>
        </is>
      </c>
      <c r="F606" t="n">
        <v>174</v>
      </c>
      <c r="G606" t="n">
        <v>174.4</v>
      </c>
      <c r="H606" t="n">
        <v>134</v>
      </c>
      <c r="I606" t="n">
        <v>160</v>
      </c>
      <c r="J606" t="n">
        <v>125</v>
      </c>
      <c r="K606" t="n">
        <v>80</v>
      </c>
      <c r="L606" t="n">
        <v>113</v>
      </c>
      <c r="M606" t="n">
        <v>16.1</v>
      </c>
      <c r="N606" t="n">
        <v>1830</v>
      </c>
      <c r="O606" t="n">
        <v>0.9</v>
      </c>
      <c r="P606" t="n">
        <v>1643</v>
      </c>
      <c r="Q606" t="n">
        <v>254</v>
      </c>
      <c r="R606" t="n">
        <v>72</v>
      </c>
      <c r="S606" t="n">
        <v>50</v>
      </c>
      <c r="T606" t="n">
        <v>266</v>
      </c>
      <c r="U606" t="n">
        <v>15</v>
      </c>
      <c r="V606" t="n">
        <v>137</v>
      </c>
      <c r="W606" t="n">
        <v>0.306</v>
      </c>
      <c r="X606" t="n">
        <v>84</v>
      </c>
      <c r="Y606" t="n">
        <v>62</v>
      </c>
      <c r="Z606" t="n">
        <v>182</v>
      </c>
      <c r="AA606" t="n">
        <v>7</v>
      </c>
      <c r="AB606" t="n">
        <v>6.4</v>
      </c>
      <c r="AC606" t="inlineStr">
        <is>
          <t xml:space="preserve"> Other</t>
        </is>
      </c>
      <c r="AG606" t="inlineStr">
        <is>
          <t>Rossignol Experience 80 Carbon Skis w/ Look Xpress 11 GW Bindings</t>
        </is>
      </c>
      <c r="AH606" t="inlineStr">
        <is>
          <t>The-House.com</t>
        </is>
      </c>
      <c r="AI606" s="333" t="n">
        <v>479.95</v>
      </c>
      <c r="AJ606" t="inlineStr">
        <is>
          <t>https://tinyurl.com/ybv2kq7d</t>
        </is>
      </c>
      <c r="AK606" t="inlineStr">
        <is>
          <t>Rossignol Experience 80 Carbon Skis w/ Look Xpress 11 GW Bindings</t>
        </is>
      </c>
      <c r="AL606" t="inlineStr">
        <is>
          <t>WinterMen.com</t>
        </is>
      </c>
      <c r="AM606" s="333" t="n">
        <v>599.95</v>
      </c>
      <c r="AN606" t="inlineStr">
        <is>
          <t>https://tinyurl.com/ybar635g</t>
        </is>
      </c>
      <c r="AO606" t="inlineStr">
        <is>
          <t>Rossignol Experience 80 Carbon Skis w/ Look Xpress 11 GW Bindings</t>
        </is>
      </c>
      <c r="AP606" t="inlineStr">
        <is>
          <t>Buckman's Ski and Snowboard Shop</t>
        </is>
      </c>
      <c r="AQ606" s="333" t="n">
        <v>599.95</v>
      </c>
      <c r="AR606" t="inlineStr">
        <is>
          <t>https://tinyurl.com/yas29atm</t>
        </is>
      </c>
      <c r="AS606" s="314">
        <f>IF(LEFT(C606,1)=" ",RIGHT(C606,LEN(C606)-1),C606)</f>
        <v/>
      </c>
      <c r="AT606" s="281">
        <f>_xlfn.CONCAT(B606,AS606,D606,E606)</f>
        <v/>
      </c>
    </row>
    <row r="607">
      <c r="A607" t="inlineStr">
        <is>
          <t>21/22</t>
        </is>
      </c>
      <c r="B607" t="inlineStr">
        <is>
          <t xml:space="preserve"> Elan</t>
        </is>
      </c>
      <c r="C607" t="inlineStr">
        <is>
          <t>Wingman 86 CTi</t>
        </is>
      </c>
      <c r="D607" t="n">
        <v>172</v>
      </c>
      <c r="E607" t="inlineStr">
        <is>
          <t xml:space="preserve"> Unisex</t>
        </is>
      </c>
      <c r="F607" t="n">
        <v>172</v>
      </c>
      <c r="G607" t="n">
        <v>171.4</v>
      </c>
      <c r="H607" t="n">
        <v>137</v>
      </c>
      <c r="I607" t="n">
        <v>152</v>
      </c>
      <c r="J607" t="n">
        <v>128</v>
      </c>
      <c r="K607" t="n">
        <v>85</v>
      </c>
      <c r="L607" t="n">
        <v>114</v>
      </c>
      <c r="M607" t="n">
        <v>15.4</v>
      </c>
      <c r="N607" t="n">
        <v>2080</v>
      </c>
      <c r="O607" t="n">
        <v>0.82</v>
      </c>
      <c r="P607" t="n">
        <v>1700</v>
      </c>
      <c r="Q607" t="n">
        <v>206</v>
      </c>
      <c r="R607" t="n">
        <v>92</v>
      </c>
      <c r="S607" t="n">
        <v>42</v>
      </c>
      <c r="T607" t="n">
        <v>214</v>
      </c>
      <c r="U607" t="n">
        <v>8</v>
      </c>
      <c r="V607" t="n">
        <v>130</v>
      </c>
      <c r="W607" t="n">
        <v>0.201999999999999</v>
      </c>
      <c r="X607" t="n">
        <v>102</v>
      </c>
      <c r="Y607" t="n">
        <v>93</v>
      </c>
      <c r="Z607" t="n">
        <v>112</v>
      </c>
      <c r="AA607" t="n">
        <v>8</v>
      </c>
      <c r="AB607" t="n">
        <v>8.9</v>
      </c>
      <c r="AC607" t="inlineStr">
        <is>
          <t xml:space="preserve"> Resort Freeride</t>
        </is>
      </c>
      <c r="AG607" t="inlineStr">
        <is>
          <t>Elan 2021 Wingman 86 CTI 172cm Skis w/FX EMX 12.0 Bindings</t>
        </is>
      </c>
      <c r="AH607" t="inlineStr">
        <is>
          <t>Next Adventure</t>
        </is>
      </c>
      <c r="AI607" s="333" t="n">
        <v>349.99</v>
      </c>
      <c r="AJ607" t="inlineStr">
        <is>
          <t>https://tinyurl.com/y88szoea</t>
        </is>
      </c>
      <c r="AK607" t="inlineStr">
        <is>
          <t>Elan Wingman 86 CTI Skis 2022</t>
        </is>
      </c>
      <c r="AL607" t="inlineStr">
        <is>
          <t>Christy Sports</t>
        </is>
      </c>
      <c r="AM607" s="333" t="n">
        <v>649.99</v>
      </c>
      <c r="AN607" t="inlineStr">
        <is>
          <t>https://tinyurl.com/y89nsej9</t>
        </is>
      </c>
      <c r="AO607" t="inlineStr">
        <is>
          <t>Elan Wingman 86 CTi Skis 2023 172</t>
        </is>
      </c>
      <c r="AP607" t="inlineStr">
        <is>
          <t>Ski Depot RaceSkis.com</t>
        </is>
      </c>
      <c r="AQ607" s="333" t="n">
        <v>649.99</v>
      </c>
      <c r="AR607" t="inlineStr">
        <is>
          <t>https://tinyurl.com/y9x9v7nv</t>
        </is>
      </c>
      <c r="AS607" s="314">
        <f>IF(LEFT(C607,1)=" ",RIGHT(C607,LEN(C607)-1),C607)</f>
        <v/>
      </c>
      <c r="AT607" s="281">
        <f>_xlfn.CONCAT(B607,AS607,D607,E607)</f>
        <v/>
      </c>
    </row>
    <row r="608">
      <c r="A608" t="inlineStr">
        <is>
          <t>21/22</t>
        </is>
      </c>
      <c r="B608" t="inlineStr">
        <is>
          <t xml:space="preserve"> Head</t>
        </is>
      </c>
      <c r="C608" t="inlineStr">
        <is>
          <t>Kore 97 W</t>
        </is>
      </c>
      <c r="D608" t="n">
        <v>177</v>
      </c>
      <c r="E608" t="inlineStr">
        <is>
          <t xml:space="preserve"> Women's</t>
        </is>
      </c>
      <c r="F608" t="n">
        <v>177</v>
      </c>
      <c r="G608" t="n">
        <v>176.6</v>
      </c>
      <c r="H608" t="n">
        <v>137</v>
      </c>
      <c r="I608" t="n">
        <v>144</v>
      </c>
      <c r="J608" t="n">
        <v>132</v>
      </c>
      <c r="K608" t="n">
        <v>98</v>
      </c>
      <c r="L608" t="n">
        <v>118</v>
      </c>
      <c r="M608" t="n">
        <v>17.1</v>
      </c>
      <c r="N608" t="n">
        <v>1717</v>
      </c>
      <c r="O608" t="n">
        <v>1.12</v>
      </c>
      <c r="P608" t="n">
        <v>1928</v>
      </c>
      <c r="Q608" t="n">
        <v>266</v>
      </c>
      <c r="R608" t="n">
        <v>128</v>
      </c>
      <c r="S608" t="n">
        <v>53</v>
      </c>
      <c r="T608" t="n">
        <v>239</v>
      </c>
      <c r="U608" t="n">
        <v>14</v>
      </c>
      <c r="V608" t="n">
        <v>158</v>
      </c>
      <c r="W608" t="n">
        <v>0.268</v>
      </c>
      <c r="X608" t="n">
        <v>182</v>
      </c>
      <c r="Y608" t="n">
        <v>149</v>
      </c>
      <c r="Z608" t="n">
        <v>57</v>
      </c>
      <c r="AA608" t="n">
        <v>6</v>
      </c>
      <c r="AB608" t="n">
        <v>8.9</v>
      </c>
      <c r="AC608" t="inlineStr">
        <is>
          <t xml:space="preserve"> Resort Freeride</t>
        </is>
      </c>
      <c r="AD608" t="inlineStr">
        <is>
          <t xml:space="preserve"> Touring</t>
        </is>
      </c>
      <c r="AG608" t="inlineStr">
        <is>
          <t>Head Kore 97 W Skis Womens 2022</t>
        </is>
      </c>
      <c r="AH608" t="inlineStr">
        <is>
          <t>Snowcountry.eu</t>
        </is>
      </c>
      <c r="AI608" s="333" t="n">
        <v>414</v>
      </c>
      <c r="AJ608" t="inlineStr">
        <is>
          <t>https://tinyurl.com/y94s8h93</t>
        </is>
      </c>
      <c r="AK608" t="inlineStr">
        <is>
          <t>Head Kore 97 W Skis Womens 2022</t>
        </is>
      </c>
      <c r="AL608" t="inlineStr">
        <is>
          <t>! OutdoorXL.com</t>
        </is>
      </c>
      <c r="AM608" s="333" t="n">
        <v>424.95</v>
      </c>
      <c r="AN608" t="inlineStr">
        <is>
          <t>https://tinyurl.com/y8lzm6dm</t>
        </is>
      </c>
      <c r="AO608" t="inlineStr">
        <is>
          <t>Head Kore 97 W Skis Womens 2022</t>
        </is>
      </c>
      <c r="AP608" t="inlineStr">
        <is>
          <t>Teton Wasatch Ski Co.</t>
        </is>
      </c>
      <c r="AQ608" s="333" t="n">
        <v>519</v>
      </c>
      <c r="AR608" t="inlineStr">
        <is>
          <t>https://tinyurl.com/yd8os74q</t>
        </is>
      </c>
      <c r="AS608" s="314">
        <f>IF(LEFT(C608,1)=" ",RIGHT(C608,LEN(C608)-1),C608)</f>
        <v/>
      </c>
      <c r="AT608" s="281">
        <f>_xlfn.CONCAT(B608,AS608,D608,E608)</f>
        <v/>
      </c>
    </row>
    <row r="609">
      <c r="A609" t="inlineStr">
        <is>
          <t>21/22</t>
        </is>
      </c>
      <c r="B609" t="inlineStr">
        <is>
          <t xml:space="preserve"> Atomic</t>
        </is>
      </c>
      <c r="C609" t="inlineStr">
        <is>
          <t>Maverick 83</t>
        </is>
      </c>
      <c r="D609" t="n">
        <v>173</v>
      </c>
      <c r="E609" t="inlineStr">
        <is>
          <t xml:space="preserve"> Unisex</t>
        </is>
      </c>
      <c r="F609" t="n">
        <v>173</v>
      </c>
      <c r="G609" t="n">
        <v>171.9</v>
      </c>
      <c r="H609" t="n">
        <v>141</v>
      </c>
      <c r="I609" t="n">
        <v>151</v>
      </c>
      <c r="J609" t="n">
        <v>122</v>
      </c>
      <c r="K609" t="n">
        <v>81</v>
      </c>
      <c r="L609" t="n">
        <v>106</v>
      </c>
      <c r="M609" t="n">
        <v>15.7</v>
      </c>
      <c r="N609" t="n">
        <v>1980</v>
      </c>
      <c r="O609" t="n">
        <v>0.82</v>
      </c>
      <c r="P609" t="n">
        <v>1626</v>
      </c>
      <c r="Q609" t="n">
        <v>199</v>
      </c>
      <c r="R609" t="n">
        <v>87</v>
      </c>
      <c r="S609" t="n">
        <v>41</v>
      </c>
      <c r="T609" t="n">
        <v>191</v>
      </c>
      <c r="U609" t="n">
        <v>22</v>
      </c>
      <c r="V609" t="n">
        <v>117</v>
      </c>
      <c r="W609" t="n">
        <v>0.541</v>
      </c>
      <c r="X609" t="n">
        <v>116</v>
      </c>
      <c r="Y609" t="n">
        <v>92</v>
      </c>
      <c r="Z609" t="n">
        <v>75</v>
      </c>
      <c r="AA609" t="n">
        <v>11</v>
      </c>
      <c r="AB609" t="n">
        <v>8.300000000000001</v>
      </c>
      <c r="AC609" t="inlineStr">
        <is>
          <t xml:space="preserve"> Resort Freeride</t>
        </is>
      </c>
      <c r="AG609" t="inlineStr">
        <is>
          <t>Atomic 2022 Maverick 83 R AW Skis w/ M10 GW Bindings</t>
        </is>
      </c>
      <c r="AH609" t="inlineStr">
        <is>
          <t>evo.com</t>
        </is>
      </c>
      <c r="AI609" s="333" t="n">
        <v>399.99</v>
      </c>
      <c r="AJ609" t="inlineStr">
        <is>
          <t>https://tinyurl.com/yad7ekht</t>
        </is>
      </c>
      <c r="AK609" t="inlineStr">
        <is>
          <t>Atomic 2022 Maverick 83 R AW Skis w/ M10 GW Bindings</t>
        </is>
      </c>
      <c r="AL609" t="inlineStr">
        <is>
          <t>The-House.com</t>
        </is>
      </c>
      <c r="AM609" s="333" t="n">
        <v>499.99</v>
      </c>
      <c r="AN609" t="inlineStr">
        <is>
          <t>https://tinyurl.com/yck3e8ba</t>
        </is>
      </c>
      <c r="AO609" t="inlineStr">
        <is>
          <t>22 Maverick 83 R Aw + M 10 Red | Grey / 173</t>
        </is>
      </c>
      <c r="AP609" t="inlineStr">
        <is>
          <t>Sporthaus</t>
        </is>
      </c>
      <c r="AQ609" s="333" t="n">
        <v>399.95</v>
      </c>
      <c r="AR609" t="inlineStr">
        <is>
          <t>https://tinyurl.com/y8zbzqsy</t>
        </is>
      </c>
      <c r="AS609" s="314">
        <f>IF(LEFT(C609,1)=" ",RIGHT(C609,LEN(C609)-1),C609)</f>
        <v/>
      </c>
      <c r="AT609" s="281">
        <f>_xlfn.CONCAT(B609,AS609,D609,E609)</f>
        <v/>
      </c>
    </row>
    <row r="610">
      <c r="A610" t="inlineStr">
        <is>
          <t>21/22</t>
        </is>
      </c>
      <c r="B610" t="inlineStr">
        <is>
          <t xml:space="preserve"> Faction</t>
        </is>
      </c>
      <c r="C610" t="inlineStr">
        <is>
          <t>Dictator 3.0</t>
        </is>
      </c>
      <c r="D610" t="n">
        <v>172</v>
      </c>
      <c r="E610" t="inlineStr">
        <is>
          <t xml:space="preserve"> Unisex</t>
        </is>
      </c>
      <c r="F610" t="n">
        <v>172</v>
      </c>
      <c r="G610" t="n">
        <v>170.3</v>
      </c>
      <c r="H610" t="n">
        <v>117</v>
      </c>
      <c r="I610" t="n">
        <v>139</v>
      </c>
      <c r="J610" t="n">
        <v>133</v>
      </c>
      <c r="K610" t="n">
        <v>106</v>
      </c>
      <c r="L610" t="n">
        <v>124</v>
      </c>
      <c r="M610" t="n">
        <v>18.9</v>
      </c>
      <c r="N610" t="n">
        <v>1898</v>
      </c>
      <c r="O610" t="n">
        <v>1.03</v>
      </c>
      <c r="P610" t="n">
        <v>1959</v>
      </c>
      <c r="Q610" t="n">
        <v>210</v>
      </c>
      <c r="R610" t="n">
        <v>136</v>
      </c>
      <c r="S610" t="n">
        <v>63</v>
      </c>
      <c r="T610" t="n">
        <v>325</v>
      </c>
      <c r="U610" t="n">
        <v>22</v>
      </c>
      <c r="V610" t="n">
        <v>212</v>
      </c>
      <c r="W610" t="n">
        <v>0.354</v>
      </c>
      <c r="X610" t="n">
        <v>186</v>
      </c>
      <c r="Y610" t="n">
        <v>124</v>
      </c>
      <c r="Z610" t="n">
        <v>138</v>
      </c>
      <c r="AA610" t="n">
        <v>4</v>
      </c>
      <c r="AB610" t="n">
        <v>10.8</v>
      </c>
      <c r="AC610" t="inlineStr">
        <is>
          <t xml:space="preserve"> Powder</t>
        </is>
      </c>
      <c r="AD610" t="inlineStr">
        <is>
          <t xml:space="preserve"> Big Mountain</t>
        </is>
      </c>
      <c r="AG610" t="inlineStr">
        <is>
          <t>Faction Dictator 3.0 Skis</t>
        </is>
      </c>
      <c r="AH610" t="inlineStr">
        <is>
          <t>Snowcountry.eu</t>
        </is>
      </c>
      <c r="AI610" s="333" t="n">
        <v>460.11</v>
      </c>
      <c r="AJ610" t="inlineStr">
        <is>
          <t>https://tinyurl.com/ycrfj88l</t>
        </is>
      </c>
      <c r="AK610" t="inlineStr">
        <is>
          <t>Faction Dictator 3.0 Skis</t>
        </is>
      </c>
      <c r="AL610" t="inlineStr">
        <is>
          <t>Aspen Ski and Board</t>
        </is>
      </c>
      <c r="AM610" s="333" t="n">
        <v>575.2</v>
      </c>
      <c r="AN610" t="inlineStr">
        <is>
          <t>https://tinyurl.com/y8xs6fd8</t>
        </is>
      </c>
      <c r="AO610" t="inlineStr">
        <is>
          <t>Faction Dictator 3.0 Skis</t>
        </is>
      </c>
      <c r="AP610" t="inlineStr">
        <is>
          <t>Saint Bernard</t>
        </is>
      </c>
      <c r="AQ610" s="333" t="n">
        <v>575.9</v>
      </c>
      <c r="AR610" t="inlineStr">
        <is>
          <t>https://tinyurl.com/yapobrcy</t>
        </is>
      </c>
      <c r="AS610" s="314">
        <f>IF(LEFT(C610,1)=" ",RIGHT(C610,LEN(C610)-1),C610)</f>
        <v/>
      </c>
      <c r="AT610" s="281">
        <f>_xlfn.CONCAT(B610,AS610,D610,E610)</f>
        <v/>
      </c>
    </row>
    <row r="611">
      <c r="A611" t="inlineStr">
        <is>
          <t>21/22</t>
        </is>
      </c>
      <c r="B611" t="inlineStr">
        <is>
          <t xml:space="preserve"> Elan</t>
        </is>
      </c>
      <c r="C611" t="inlineStr">
        <is>
          <t>Wingman 78 Ti</t>
        </is>
      </c>
      <c r="D611" t="n">
        <v>168</v>
      </c>
      <c r="E611" t="inlineStr">
        <is>
          <t xml:space="preserve"> Unisex</t>
        </is>
      </c>
      <c r="F611" t="n">
        <v>168</v>
      </c>
      <c r="G611" t="n">
        <v>166.3</v>
      </c>
      <c r="H611" t="n">
        <v>146</v>
      </c>
      <c r="I611" t="n">
        <v>153</v>
      </c>
      <c r="J611" t="n">
        <v>124</v>
      </c>
      <c r="K611" t="n">
        <v>75</v>
      </c>
      <c r="L611" t="n">
        <v>103</v>
      </c>
      <c r="M611" t="n">
        <v>14.8</v>
      </c>
      <c r="N611" t="n">
        <v>1913</v>
      </c>
      <c r="O611" t="n">
        <v>0.78</v>
      </c>
      <c r="P611" t="n">
        <v>1490</v>
      </c>
      <c r="Q611" t="n">
        <v>199</v>
      </c>
      <c r="R611" t="n">
        <v>88</v>
      </c>
      <c r="S611" t="n">
        <v>28</v>
      </c>
      <c r="T611" t="n">
        <v>132</v>
      </c>
      <c r="U611" t="n">
        <v>10</v>
      </c>
      <c r="V611" t="n">
        <v>70</v>
      </c>
      <c r="W611" t="n">
        <v>0.353</v>
      </c>
      <c r="X611" t="n">
        <v>76</v>
      </c>
      <c r="Y611" t="n">
        <v>56</v>
      </c>
      <c r="Z611" t="n">
        <v>56</v>
      </c>
      <c r="AA611" t="n">
        <v>10</v>
      </c>
      <c r="AB611" t="n">
        <v>9</v>
      </c>
      <c r="AC611" t="inlineStr">
        <is>
          <t xml:space="preserve"> On-Piste Carving</t>
        </is>
      </c>
      <c r="AG611" t="inlineStr">
        <is>
          <t>Elan Wingman 78 Ti Skis with Bindings</t>
        </is>
      </c>
      <c r="AH611" t="inlineStr">
        <is>
          <t>! OutdoorXL.com</t>
        </is>
      </c>
      <c r="AI611" s="333" t="n">
        <v>374.95</v>
      </c>
      <c r="AJ611" t="inlineStr">
        <is>
          <t>https://tinyurl.com/y9x79n2s</t>
        </is>
      </c>
      <c r="AK611" t="inlineStr">
        <is>
          <t>Elan Wingman 78 TI PS ELS 11.0 168cm</t>
        </is>
      </c>
      <c r="AL611" t="inlineStr">
        <is>
          <t>Sundance Ski and Board Shop</t>
        </is>
      </c>
      <c r="AM611" s="333" t="n">
        <v>561.2</v>
      </c>
      <c r="AN611" t="inlineStr">
        <is>
      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      </is>
      </c>
      <c r="AO611" t="inlineStr">
        <is>
          <t>Elan Wingman 78 Ti System Skis w/ ELS 11 GW Bindings</t>
        </is>
      </c>
      <c r="AP611" t="inlineStr">
        <is>
          <t>The-House.com</t>
        </is>
      </c>
      <c r="AQ611" s="333" t="n">
        <v>599.99</v>
      </c>
      <c r="AR611" t="inlineStr">
        <is>
          <t>https://tinyurl.com/y8bbqa84</t>
        </is>
      </c>
      <c r="AS611" s="314">
        <f>IF(LEFT(C611,1)=" ",RIGHT(C611,LEN(C611)-1),C611)</f>
        <v/>
      </c>
      <c r="AT611" s="281">
        <f>_xlfn.CONCAT(B611,AS611,D611,E611)</f>
        <v/>
      </c>
    </row>
    <row r="612">
      <c r="A612" t="inlineStr">
        <is>
          <t>21/22</t>
        </is>
      </c>
      <c r="B612" t="inlineStr">
        <is>
          <t xml:space="preserve"> Nordica</t>
        </is>
      </c>
      <c r="C612" t="inlineStr">
        <is>
          <t>Enforcer 104 Free</t>
        </is>
      </c>
      <c r="D612" t="n">
        <v>165</v>
      </c>
      <c r="E612" t="inlineStr">
        <is>
          <t xml:space="preserve"> Unisex</t>
        </is>
      </c>
      <c r="F612" t="n">
        <v>165</v>
      </c>
      <c r="G612" t="n">
        <v>164.2</v>
      </c>
      <c r="H612" t="n">
        <v>114</v>
      </c>
      <c r="I612" t="n">
        <v>135</v>
      </c>
      <c r="J612" t="n">
        <v>133</v>
      </c>
      <c r="K612" t="n">
        <v>103</v>
      </c>
      <c r="L612" t="n">
        <v>123</v>
      </c>
      <c r="M612" t="n">
        <v>16.2</v>
      </c>
      <c r="N612" t="n">
        <v>1945</v>
      </c>
      <c r="O612" t="n">
        <v>0.95</v>
      </c>
      <c r="P612" t="n">
        <v>1851</v>
      </c>
      <c r="Q612" t="n">
        <v>182</v>
      </c>
      <c r="R612" t="n">
        <v>130</v>
      </c>
      <c r="S612" t="n">
        <v>47</v>
      </c>
      <c r="T612" t="n">
        <v>280</v>
      </c>
      <c r="U612" t="n">
        <v>28</v>
      </c>
      <c r="V612" t="n">
        <v>220</v>
      </c>
      <c r="W612" t="n">
        <v>0.596</v>
      </c>
      <c r="X612" t="n">
        <v>146</v>
      </c>
      <c r="Y612" t="n">
        <v>145</v>
      </c>
      <c r="Z612" t="n">
        <v>134</v>
      </c>
      <c r="AA612" t="n">
        <v>9</v>
      </c>
      <c r="AB612" t="n">
        <v>8.4</v>
      </c>
      <c r="AC612" t="inlineStr">
        <is>
          <t xml:space="preserve"> Resort Freeride</t>
        </is>
      </c>
      <c r="AD612" t="inlineStr">
        <is>
          <t xml:space="preserve"> Powder</t>
        </is>
      </c>
      <c r="AG612" t="inlineStr">
        <is>
          <t>Nordica Enforcer 104 free GREY/BLUE/WHITE / 165cm</t>
        </is>
      </c>
      <c r="AH612" t="inlineStr">
        <is>
          <t>Sundance Ski and Board Shop</t>
        </is>
      </c>
      <c r="AI612" s="333" t="n">
        <v>561.2</v>
      </c>
      <c r="AJ612" t="inlineStr">
        <is>
          <t>https://tinyurl.com/yaafc8up</t>
        </is>
      </c>
      <c r="AK612" t="inlineStr">
        <is>
          <t>Nordica Enforcer 104 Free Skis 2022</t>
        </is>
      </c>
      <c r="AL612" t="inlineStr">
        <is>
          <t>Ski Pro  - Snow Ski &amp; Snowboard</t>
        </is>
      </c>
      <c r="AM612" s="333" t="n">
        <v>639.95</v>
      </c>
      <c r="AN612" t="inlineStr">
        <is>
          <t>https://tinyurl.com/ybvftfds</t>
        </is>
      </c>
      <c r="AO612" t="inlineStr">
        <is>
          <t>Nordica Enforcer 104 Free Skis 2022</t>
        </is>
      </c>
      <c r="AP612" t="inlineStr">
        <is>
          <t>Basin Sports</t>
        </is>
      </c>
      <c r="AQ612" s="333" t="n">
        <v>639.99</v>
      </c>
      <c r="AR612" t="inlineStr">
        <is>
          <t>https://tinyurl.com/ycwplhel</t>
        </is>
      </c>
      <c r="AS612" s="314">
        <f>IF(LEFT(C612,1)=" ",RIGHT(C612,LEN(C612)-1),C612)</f>
        <v/>
      </c>
      <c r="AT612" s="281">
        <f>_xlfn.CONCAT(B612,AS612,D612,E612)</f>
        <v/>
      </c>
    </row>
    <row r="613">
      <c r="A613" t="inlineStr">
        <is>
          <t>21/22</t>
        </is>
      </c>
      <c r="B613" t="inlineStr">
        <is>
          <t xml:space="preserve"> Elan</t>
        </is>
      </c>
      <c r="C613" t="inlineStr">
        <is>
          <t>Ripstick 88</t>
        </is>
      </c>
      <c r="D613" t="n">
        <v>188</v>
      </c>
      <c r="E613" t="inlineStr">
        <is>
          <t xml:space="preserve"> Unisex</t>
        </is>
      </c>
      <c r="F613" t="n">
        <v>188</v>
      </c>
      <c r="G613" t="n">
        <v>184.3</v>
      </c>
      <c r="H613" t="n">
        <v>142</v>
      </c>
      <c r="I613" t="n">
        <v>153</v>
      </c>
      <c r="J613" t="n">
        <v>129</v>
      </c>
      <c r="K613" t="n">
        <v>87</v>
      </c>
      <c r="L613" t="n">
        <v>104</v>
      </c>
      <c r="M613" t="n">
        <v>18.8</v>
      </c>
      <c r="N613" t="n">
        <v>1663</v>
      </c>
      <c r="O613" t="n">
        <v>1.11</v>
      </c>
      <c r="P613" t="n">
        <v>1848</v>
      </c>
      <c r="Q613" t="n">
        <v>176</v>
      </c>
      <c r="R613" t="n">
        <v>69</v>
      </c>
      <c r="S613" t="n">
        <v>49</v>
      </c>
      <c r="T613" t="n">
        <v>225</v>
      </c>
      <c r="U613" t="n">
        <v>16</v>
      </c>
      <c r="V613" t="n">
        <v>195</v>
      </c>
      <c r="W613" t="n">
        <v>0.321</v>
      </c>
      <c r="X613" t="n">
        <v>147</v>
      </c>
      <c r="Y613" t="n">
        <v>166</v>
      </c>
      <c r="Z613" t="n">
        <v>77</v>
      </c>
      <c r="AA613" t="n">
        <v>7</v>
      </c>
      <c r="AB613" t="n">
        <v>9.5</v>
      </c>
      <c r="AC613" t="inlineStr">
        <is>
          <t xml:space="preserve"> Resort Freeride</t>
        </is>
      </c>
      <c r="AD613" t="inlineStr">
        <is>
          <t xml:space="preserve"> Touring</t>
        </is>
      </c>
      <c r="AG613" t="inlineStr">
        <is>
          <t>Elan Ripstick 88 188 2021</t>
        </is>
      </c>
      <c r="AH613" t="inlineStr">
        <is>
          <t>Snowcountry.eu</t>
        </is>
      </c>
      <c r="AI613" s="333" t="n">
        <v>345.77</v>
      </c>
      <c r="AJ613" t="inlineStr">
        <is>
          <t>https://tinyurl.com/y8dlrkto</t>
        </is>
      </c>
      <c r="AK613" t="inlineStr">
        <is>
          <t>Elan Ripstick 88 188 2021</t>
        </is>
      </c>
      <c r="AL613" t="inlineStr">
        <is>
          <t>! OutdoorXL.com</t>
        </is>
      </c>
      <c r="AM613" s="333" t="n">
        <v>424.95</v>
      </c>
      <c r="AN613" t="inlineStr">
        <is>
          <t>https://tinyurl.com/y7hgrppp</t>
        </is>
      </c>
      <c r="AO613" t="inlineStr">
        <is>
          <t>Elan Ripstick 88 188 2021</t>
        </is>
      </c>
      <c r="AP613" t="inlineStr">
        <is>
          <t>Absolute-Snow.co.uk</t>
        </is>
      </c>
      <c r="AQ613" s="333" t="n">
        <v>512.16</v>
      </c>
      <c r="AR613" t="inlineStr">
        <is>
          <t>https://tinyurl.com/y8zqjrqz</t>
        </is>
      </c>
      <c r="AS613" s="314">
        <f>IF(LEFT(C613,1)=" ",RIGHT(C613,LEN(C613)-1),C613)</f>
        <v/>
      </c>
      <c r="AT613" s="281">
        <f>_xlfn.CONCAT(B613,AS613,D613,E613)</f>
        <v/>
      </c>
    </row>
    <row r="614">
      <c r="A614" t="inlineStr">
        <is>
          <t>21/22</t>
        </is>
      </c>
      <c r="B614" t="inlineStr">
        <is>
          <t xml:space="preserve"> Armada</t>
        </is>
      </c>
      <c r="C614" t="inlineStr">
        <is>
          <t>Reliance 88 Ca</t>
        </is>
      </c>
      <c r="D614" t="n">
        <v>152</v>
      </c>
      <c r="E614" t="inlineStr">
        <is>
          <t xml:space="preserve"> Women's</t>
        </is>
      </c>
      <c r="F614" t="n">
        <v>152</v>
      </c>
      <c r="G614" t="n">
        <v>152</v>
      </c>
      <c r="H614" t="n">
        <v>124</v>
      </c>
      <c r="I614" t="n">
        <v>134</v>
      </c>
      <c r="J614" t="n">
        <v>124</v>
      </c>
      <c r="K614" t="n">
        <v>87</v>
      </c>
      <c r="L614" t="n">
        <v>106</v>
      </c>
      <c r="M614" t="n">
        <v>15.9</v>
      </c>
      <c r="N614" t="n">
        <v>1345</v>
      </c>
      <c r="O614" t="n">
        <v>1.11</v>
      </c>
      <c r="P614" t="n">
        <v>1488</v>
      </c>
      <c r="Q614" t="n">
        <v>178</v>
      </c>
      <c r="R614" t="n">
        <v>85</v>
      </c>
      <c r="S614" t="n">
        <v>41</v>
      </c>
      <c r="T614" t="n">
        <v>177</v>
      </c>
      <c r="U614" t="n">
        <v>9</v>
      </c>
      <c r="V614" t="n">
        <v>99</v>
      </c>
      <c r="W614" t="n">
        <v>0.218</v>
      </c>
      <c r="X614" t="n">
        <v>110</v>
      </c>
      <c r="Y614" t="n">
        <v>66</v>
      </c>
      <c r="Z614" t="n">
        <v>67</v>
      </c>
      <c r="AA614" t="n">
        <v>5</v>
      </c>
      <c r="AB614" t="n">
        <v>10.6</v>
      </c>
      <c r="AC614" t="inlineStr">
        <is>
          <t xml:space="preserve"> Resort Freeride</t>
        </is>
      </c>
      <c r="AD614" t="inlineStr">
        <is>
          <t xml:space="preserve"> Touring</t>
        </is>
      </c>
      <c r="AG614" t="inlineStr">
        <is>
          <t>Armada Reliance 88 C Skis - Women's 2022</t>
        </is>
      </c>
      <c r="AH614" t="inlineStr">
        <is>
          <t>Snowcountry.eu</t>
        </is>
      </c>
      <c r="AI614" s="333" t="n">
        <v>367.9</v>
      </c>
      <c r="AJ614" t="inlineStr">
        <is>
          <t>https://tinyurl.com/y8c33nef</t>
        </is>
      </c>
      <c r="AK614" t="inlineStr">
        <is>
          <t>Armada Reliance 88 C Skis - Women's 2022</t>
        </is>
      </c>
      <c r="AL614" t="inlineStr">
        <is>
          <t>Next Adventure</t>
        </is>
      </c>
      <c r="AM614" s="333" t="n">
        <v>479.96</v>
      </c>
      <c r="AN614" t="inlineStr">
        <is>
          <t>https://tinyurl.com/y7lv5pc9</t>
        </is>
      </c>
      <c r="AO614" t="inlineStr">
        <is>
          <t>Armada Reliance 88 C Skis - Women's 2022</t>
        </is>
      </c>
      <c r="AP614" t="inlineStr">
        <is>
          <t>Ski Pro  - Snow Ski &amp; Snowboard</t>
        </is>
      </c>
      <c r="AQ614" s="333" t="n">
        <v>499.95</v>
      </c>
      <c r="AR614" t="inlineStr">
        <is>
          <t>https://tinyurl.com/ycz4elmj</t>
        </is>
      </c>
      <c r="AS614" s="314">
        <f>IF(LEFT(C614,1)=" ",RIGHT(C614,LEN(C614)-1),C614)</f>
        <v/>
      </c>
      <c r="AT614" s="281">
        <f>_xlfn.CONCAT(B614,AS614,D614,E614)</f>
        <v/>
      </c>
    </row>
    <row r="615">
      <c r="A615" t="inlineStr">
        <is>
          <t>21/22</t>
        </is>
      </c>
      <c r="B615" t="inlineStr">
        <is>
          <t xml:space="preserve"> Head</t>
        </is>
      </c>
      <c r="C615" t="inlineStr">
        <is>
          <t>Kore 99</t>
        </is>
      </c>
      <c r="D615" t="n">
        <v>177</v>
      </c>
      <c r="E615" t="inlineStr">
        <is>
          <t xml:space="preserve"> Unisex</t>
        </is>
      </c>
      <c r="F615" t="n">
        <v>177</v>
      </c>
      <c r="G615" t="n">
        <v>176.7</v>
      </c>
      <c r="H615" t="n">
        <v>137</v>
      </c>
      <c r="I615" t="n">
        <v>139</v>
      </c>
      <c r="J615" t="n">
        <v>133</v>
      </c>
      <c r="K615" t="n">
        <v>98</v>
      </c>
      <c r="L615" t="n">
        <v>119</v>
      </c>
      <c r="M615" t="n">
        <v>17.5</v>
      </c>
      <c r="N615" t="n">
        <v>1689</v>
      </c>
      <c r="O615" t="n">
        <v>1.14</v>
      </c>
      <c r="P615" t="n">
        <v>1933</v>
      </c>
      <c r="Q615" t="n">
        <v>259</v>
      </c>
      <c r="R615" t="n">
        <v>127</v>
      </c>
      <c r="S615" t="n">
        <v>53</v>
      </c>
      <c r="T615" t="n">
        <v>237</v>
      </c>
      <c r="U615" t="n">
        <v>16</v>
      </c>
      <c r="V615" t="n">
        <v>155</v>
      </c>
      <c r="W615" t="n">
        <v>0.308</v>
      </c>
      <c r="X615" t="n">
        <v>201</v>
      </c>
      <c r="Y615" t="n">
        <v>173</v>
      </c>
      <c r="Z615" t="n">
        <v>35</v>
      </c>
      <c r="AA615" t="n">
        <v>6</v>
      </c>
      <c r="AB615" t="n">
        <v>9.9</v>
      </c>
      <c r="AC615" t="inlineStr">
        <is>
          <t xml:space="preserve"> Resort Freeride</t>
        </is>
      </c>
      <c r="AD615" t="inlineStr">
        <is>
          <t xml:space="preserve"> Touring</t>
        </is>
      </c>
      <c r="AG615" t="inlineStr">
        <is>
          <t>Head Kore 99 Skis</t>
        </is>
      </c>
      <c r="AH615" t="inlineStr">
        <is>
          <t>Telemark Pyrenees</t>
        </is>
      </c>
      <c r="AI615" s="333" t="n">
        <v>412.48</v>
      </c>
      <c r="AJ615" t="inlineStr">
        <is>
          <t>https://tinyurl.com/ych7cjpz</t>
        </is>
      </c>
      <c r="AK615" t="inlineStr">
        <is>
          <t>Head Kore 99 Skis</t>
        </is>
      </c>
      <c r="AL615" t="inlineStr">
        <is>
          <t>UtahSkis</t>
        </is>
      </c>
      <c r="AM615" s="333" t="n">
        <v>419</v>
      </c>
      <c r="AN615" t="inlineStr">
        <is>
          <t>https://tinyurl.com/y8ztmvt5</t>
        </is>
      </c>
      <c r="AO615" t="inlineStr">
        <is>
          <t>Head Kore 99 Ski 2022</t>
        </is>
      </c>
      <c r="AP615" t="inlineStr">
        <is>
          <t>Gorham Bike and Ski</t>
        </is>
      </c>
      <c r="AQ615" s="333" t="n">
        <v>489.99</v>
      </c>
      <c r="AR615" t="inlineStr">
        <is>
          <t>https://tinyurl.com/ybr2elnc</t>
        </is>
      </c>
      <c r="AS615" s="314">
        <f>IF(LEFT(C615,1)=" ",RIGHT(C615,LEN(C615)-1),C615)</f>
        <v/>
      </c>
      <c r="AT615" s="281">
        <f>_xlfn.CONCAT(B615,AS615,D615,E615)</f>
        <v/>
      </c>
    </row>
    <row r="616">
      <c r="A616" t="inlineStr">
        <is>
          <t>21/22</t>
        </is>
      </c>
      <c r="B616" t="inlineStr">
        <is>
          <t xml:space="preserve"> Black Crows</t>
        </is>
      </c>
      <c r="C616" t="inlineStr">
        <is>
          <t xml:space="preserve"> Orb</t>
        </is>
      </c>
      <c r="D616" t="n">
        <v>179.1</v>
      </c>
      <c r="E616" t="inlineStr">
        <is>
          <t xml:space="preserve"> Unisex</t>
        </is>
      </c>
      <c r="F616" t="n">
        <v>179.1</v>
      </c>
      <c r="G616" t="n">
        <v>178.6</v>
      </c>
      <c r="H616" t="n">
        <v>139</v>
      </c>
      <c r="I616" t="n">
        <v>159</v>
      </c>
      <c r="J616" t="n">
        <v>123</v>
      </c>
      <c r="K616" t="n">
        <v>87</v>
      </c>
      <c r="L616" t="n">
        <v>108</v>
      </c>
      <c r="M616" t="n">
        <v>21.7</v>
      </c>
      <c r="N616" t="n">
        <v>1801</v>
      </c>
      <c r="O616" t="n">
        <v>0.97</v>
      </c>
      <c r="P616" t="n">
        <v>1747</v>
      </c>
      <c r="Q616" t="n">
        <v>209</v>
      </c>
      <c r="R616" t="n">
        <v>119</v>
      </c>
      <c r="S616" t="n">
        <v>44</v>
      </c>
      <c r="T616" t="n">
        <v>233</v>
      </c>
      <c r="U616" t="n">
        <v>16</v>
      </c>
      <c r="V616" t="n">
        <v>167</v>
      </c>
      <c r="W616" t="n">
        <v>0.364</v>
      </c>
      <c r="X616" t="n">
        <v>111</v>
      </c>
      <c r="Y616" t="n">
        <v>90</v>
      </c>
      <c r="Z616" t="n">
        <v>122</v>
      </c>
      <c r="AA616" t="n">
        <v>5</v>
      </c>
      <c r="AB616" t="n">
        <v>9.699999999999999</v>
      </c>
      <c r="AC616" t="inlineStr">
        <is>
          <t xml:space="preserve"> Resort Freeride</t>
        </is>
      </c>
      <c r="AG616" t="inlineStr">
        <is>
          <t>Black Crows Orb Freebird Skis</t>
        </is>
      </c>
      <c r="AH616" t="inlineStr">
        <is>
          <t>! OutdoorXL.com</t>
        </is>
      </c>
      <c r="AI616" s="333" t="n">
        <v>514.95</v>
      </c>
      <c r="AJ616" t="inlineStr">
        <is>
          <t>https://tinyurl.com/ybh3hcf3</t>
        </is>
      </c>
      <c r="AK616" t="inlineStr">
        <is>
          <t>Black Crows Orb Freebird Skis</t>
        </is>
      </c>
      <c r="AL616" t="inlineStr">
        <is>
          <t>Backcountry.com</t>
        </is>
      </c>
      <c r="AM616" s="333" t="n">
        <v>583.92</v>
      </c>
      <c r="AN616" t="inlineStr">
        <is>
          <t>https://tinyurl.com/y7egc7qs</t>
        </is>
      </c>
      <c r="AO616" t="inlineStr">
        <is>
          <t>Black Crows Orb Freebird Skis</t>
        </is>
      </c>
      <c r="AP616" t="inlineStr">
        <is>
          <t>Powder7 Ski Shop</t>
        </is>
      </c>
      <c r="AQ616" s="333" t="n">
        <v>583.96</v>
      </c>
      <c r="AR616" t="inlineStr">
        <is>
          <t>https://tinyurl.com/y9vlt9du</t>
        </is>
      </c>
      <c r="AS616" s="314">
        <f>IF(LEFT(C616,1)=" ",RIGHT(C616,LEN(C616)-1),C616)</f>
        <v/>
      </c>
      <c r="AT616" s="281">
        <f>_xlfn.CONCAT(B616,AS616,D616,E616)</f>
        <v/>
      </c>
    </row>
    <row r="617">
      <c r="A617" t="inlineStr">
        <is>
          <t>21/22</t>
        </is>
      </c>
      <c r="B617" t="inlineStr">
        <is>
          <t>K2</t>
        </is>
      </c>
      <c r="C617" t="inlineStr">
        <is>
          <t>Reckoner 92 Alliance</t>
        </is>
      </c>
      <c r="D617" t="n">
        <v>149</v>
      </c>
      <c r="E617" t="inlineStr">
        <is>
          <t xml:space="preserve"> Women's</t>
        </is>
      </c>
      <c r="F617" t="n">
        <v>149</v>
      </c>
      <c r="G617" t="n">
        <v>148.9</v>
      </c>
      <c r="H617" t="n">
        <v>98</v>
      </c>
      <c r="I617" t="n">
        <v>123</v>
      </c>
      <c r="J617" t="n">
        <v>124</v>
      </c>
      <c r="K617" t="n">
        <v>91</v>
      </c>
      <c r="L617" t="n">
        <v>113</v>
      </c>
      <c r="M617" t="n">
        <v>12.6</v>
      </c>
      <c r="N617" t="n">
        <v>1525</v>
      </c>
      <c r="O617" t="n">
        <v>0.99</v>
      </c>
      <c r="P617" t="n">
        <v>1516</v>
      </c>
      <c r="Q617" t="n">
        <v>164</v>
      </c>
      <c r="R617" t="n">
        <v>86</v>
      </c>
      <c r="S617" t="n">
        <v>47</v>
      </c>
      <c r="T617" t="n">
        <v>250</v>
      </c>
      <c r="U617" t="n">
        <v>41</v>
      </c>
      <c r="V617" t="n">
        <v>257</v>
      </c>
      <c r="W617" t="n">
        <v>0.880999999999999</v>
      </c>
      <c r="X617" t="n">
        <v>120</v>
      </c>
      <c r="Y617" t="n">
        <v>142</v>
      </c>
      <c r="Z617" t="n">
        <v>129</v>
      </c>
      <c r="AA617" t="n">
        <v>3</v>
      </c>
      <c r="AB617" t="n">
        <v>4</v>
      </c>
      <c r="AC617" t="inlineStr">
        <is>
          <t xml:space="preserve"> Freeski</t>
        </is>
      </c>
      <c r="AG617" t="inlineStr">
        <is>
          <t>K2 2022 Reckoner 92 Alliance Women's Skis</t>
        </is>
      </c>
      <c r="AH617" t="inlineStr">
        <is>
          <t>Buckman's Ski and Snowboard Shop</t>
        </is>
      </c>
      <c r="AI617" s="333" t="n">
        <v>299.95</v>
      </c>
      <c r="AJ617" t="inlineStr">
        <is>
          <t>https://tinyurl.com/y6ue4oez</t>
        </is>
      </c>
      <c r="AK617" t="inlineStr">
        <is>
          <t>K2 2022 Reckoner 92 Alliance Women's Skis</t>
        </is>
      </c>
      <c r="AL617" t="inlineStr">
        <is>
          <t>WinterWomen.com</t>
        </is>
      </c>
      <c r="AM617" s="333" t="n">
        <v>299.95</v>
      </c>
      <c r="AN617" t="inlineStr">
        <is>
          <t>https://tinyurl.com/y7g9k5ot</t>
        </is>
      </c>
      <c r="AO617" t="inlineStr">
        <is>
          <t>K2 Reckoner 92 Skis</t>
        </is>
      </c>
      <c r="AP617" t="inlineStr">
        <is>
          <t>SkiEssentials.com</t>
        </is>
      </c>
      <c r="AQ617" s="333" t="n">
        <v>299.95</v>
      </c>
      <c r="AR617" t="inlineStr">
        <is>
          <t>https://tinyurl.com/y8k58b7j</t>
        </is>
      </c>
      <c r="AS617" s="314">
        <f>IF(LEFT(C617,1)=" ",RIGHT(C617,LEN(C617)-1),C617)</f>
        <v/>
      </c>
      <c r="AT617" s="281">
        <f>_xlfn.CONCAT(B617,AS617,D617,E617)</f>
        <v/>
      </c>
    </row>
    <row r="618">
      <c r="A618" t="inlineStr">
        <is>
          <t>21/22</t>
        </is>
      </c>
      <c r="B618" t="inlineStr">
        <is>
          <t xml:space="preserve"> Atomic</t>
        </is>
      </c>
      <c r="C618" t="inlineStr">
        <is>
          <t>Bent Chetler 120</t>
        </is>
      </c>
      <c r="D618" t="n">
        <v>176</v>
      </c>
      <c r="E618" t="inlineStr">
        <is>
          <t xml:space="preserve"> Unisex</t>
        </is>
      </c>
      <c r="F618" t="n">
        <v>176</v>
      </c>
      <c r="G618" t="n">
        <v>174.7</v>
      </c>
      <c r="H618" t="n">
        <v>99</v>
      </c>
      <c r="I618" t="n">
        <v>123</v>
      </c>
      <c r="J618" t="n">
        <v>141</v>
      </c>
      <c r="K618" t="n">
        <v>119</v>
      </c>
      <c r="L618" t="n">
        <v>132</v>
      </c>
      <c r="M618" t="n">
        <v>18.8</v>
      </c>
      <c r="N618" t="n">
        <v>1779</v>
      </c>
      <c r="O618" t="n">
        <v>1.21</v>
      </c>
      <c r="P618" t="n">
        <v>2159</v>
      </c>
      <c r="Q618" t="n">
        <v>217</v>
      </c>
      <c r="R618" t="n">
        <v>91</v>
      </c>
      <c r="S618" t="n">
        <v>55</v>
      </c>
      <c r="T618" t="n">
        <v>399</v>
      </c>
      <c r="U618" t="n">
        <v>52</v>
      </c>
      <c r="V618" t="n">
        <v>362</v>
      </c>
      <c r="W618" t="n">
        <v>0.958</v>
      </c>
      <c r="X618" t="n">
        <v>215</v>
      </c>
      <c r="Y618" t="n">
        <v>302</v>
      </c>
      <c r="Z618" t="n">
        <v>184</v>
      </c>
      <c r="AA618" t="n">
        <v>4</v>
      </c>
      <c r="AB618" t="n">
        <v>3.1</v>
      </c>
      <c r="AC618" t="inlineStr">
        <is>
          <t xml:space="preserve"> Freeski</t>
        </is>
      </c>
      <c r="AD618" t="inlineStr">
        <is>
          <t xml:space="preserve"> Powder</t>
        </is>
      </c>
      <c r="AE618" t="inlineStr">
        <is>
          <t xml:space="preserve"> Touring</t>
        </is>
      </c>
      <c r="AG618" t="inlineStr">
        <is>
          <t>Atomic Bent Chetler 120 Skis</t>
        </is>
      </c>
      <c r="AH618" t="inlineStr">
        <is>
          <t>Telemark Pyrenees</t>
        </is>
      </c>
      <c r="AI618" s="333" t="n">
        <v>494.99</v>
      </c>
      <c r="AJ618" t="inlineStr">
        <is>
          <t>https://tinyurl.com/yazkkxqg</t>
        </is>
      </c>
      <c r="AK618" t="inlineStr">
        <is>
          <t>Atomic Bent Chetler 120 Skis</t>
        </is>
      </c>
      <c r="AL618" t="inlineStr">
        <is>
          <t>REI</t>
        </is>
      </c>
      <c r="AM618" s="333" t="n">
        <v>599.9299999999999</v>
      </c>
      <c r="AN618" t="inlineStr">
        <is>
          <t>https://tinyurl.com/ybpg94qj</t>
        </is>
      </c>
      <c r="AO618" t="inlineStr">
        <is>
          <t>Atomic Bent Chetler 120 Skis</t>
        </is>
      </c>
      <c r="AP618" t="inlineStr">
        <is>
          <t>Curated</t>
        </is>
      </c>
      <c r="AQ618" s="333" t="n">
        <v>599.99</v>
      </c>
      <c r="AR618" t="inlineStr">
        <is>
          <t>https://tinyurl.com/ybf6onwv</t>
        </is>
      </c>
      <c r="AS618" s="314">
        <f>IF(LEFT(C618,1)=" ",RIGHT(C618,LEN(C618)-1),C618)</f>
        <v/>
      </c>
      <c r="AT618" s="281">
        <f>_xlfn.CONCAT(B618,AS618,D618,E618)</f>
        <v/>
      </c>
    </row>
    <row r="619">
      <c r="A619" t="inlineStr">
        <is>
          <t>21/22</t>
        </is>
      </c>
      <c r="B619" t="inlineStr">
        <is>
          <t xml:space="preserve"> Vï¿½lkl</t>
        </is>
      </c>
      <c r="C619" t="inlineStr">
        <is>
          <t>Deacon 80</t>
        </is>
      </c>
      <c r="D619" t="n">
        <v>167</v>
      </c>
      <c r="E619" t="inlineStr">
        <is>
          <t xml:space="preserve"> Unisex</t>
        </is>
      </c>
      <c r="F619" t="n">
        <v>167</v>
      </c>
      <c r="G619" t="n">
        <v>166.9</v>
      </c>
      <c r="H619" t="n">
        <v>147</v>
      </c>
      <c r="I619" t="n">
        <v>153</v>
      </c>
      <c r="J619" t="n">
        <v>127</v>
      </c>
      <c r="K619" t="n">
        <v>79</v>
      </c>
      <c r="L619" t="n">
        <v>110</v>
      </c>
      <c r="M619" t="n">
        <v>14.4</v>
      </c>
      <c r="N619" t="n">
        <v>1855</v>
      </c>
      <c r="O619" t="n">
        <v>0.85</v>
      </c>
      <c r="P619" t="n">
        <v>1579</v>
      </c>
      <c r="Q619" t="n">
        <v>214</v>
      </c>
      <c r="R619" t="n">
        <v>66</v>
      </c>
      <c r="S619" t="n">
        <v>40</v>
      </c>
      <c r="T619" t="n">
        <v>134</v>
      </c>
      <c r="U619" t="n">
        <v>7</v>
      </c>
      <c r="V619" t="n">
        <v>61</v>
      </c>
      <c r="W619" t="n">
        <v>0.175</v>
      </c>
      <c r="X619" t="n">
        <v>73</v>
      </c>
      <c r="Y619" t="n">
        <v>63</v>
      </c>
      <c r="Z619" t="n">
        <v>61</v>
      </c>
      <c r="AA619" t="n">
        <v>4</v>
      </c>
      <c r="AB619" t="n">
        <v>10</v>
      </c>
      <c r="AC619" t="inlineStr">
        <is>
          <t xml:space="preserve"> On-Piste Carving</t>
        </is>
      </c>
      <c r="AG619" t="inlineStr">
        <is>
          <t>Volkl Men's Deacon 80 + Lowride XL 13 Skis 167</t>
        </is>
      </c>
      <c r="AH619" t="inlineStr">
        <is>
          <t>Ski Country Sports</t>
        </is>
      </c>
      <c r="AI619" s="333" t="n">
        <v>755.98</v>
      </c>
      <c r="AJ619" t="inlineStr">
        <is>
          <t>https://tinyurl.com/ycrx3ksk</t>
        </is>
      </c>
      <c r="AK619" t="inlineStr">
        <is>
          <t>Volkl Men's Deacon 80 + Lowride XL 13 Skis 167</t>
        </is>
      </c>
      <c r="AL619" t="inlineStr">
        <is>
          <t>eBay - fun-sport-vision-shop</t>
        </is>
      </c>
      <c r="AM619" s="333" t="n">
        <v>808.92</v>
      </c>
      <c r="AN619" t="inlineStr">
        <is>
          <t>https://tinyurl.com/y7y7nybs</t>
        </is>
      </c>
      <c r="AO619" t="inlineStr">
        <is>
          <t>Volkl Men's Deacon 80 + Lowride XL 13 Skis 167</t>
        </is>
      </c>
      <c r="AP619" t="inlineStr">
        <is>
          <t>Cotswold Outdoor US</t>
        </is>
      </c>
      <c r="AQ619" s="333" t="n">
        <v>905</v>
      </c>
      <c r="AR619" t="inlineStr">
        <is>
          <t>https://tinyurl.com/ycqzvpq4</t>
        </is>
      </c>
      <c r="AS619" s="314">
        <f>IF(LEFT(C619,1)=" ",RIGHT(C619,LEN(C619)-1),C619)</f>
        <v/>
      </c>
      <c r="AT619" s="281">
        <f>_xlfn.CONCAT(B619,AS619,D619,E619)</f>
        <v/>
      </c>
    </row>
    <row r="620">
      <c r="A620" t="inlineStr">
        <is>
          <t>21/22</t>
        </is>
      </c>
      <c r="B620" t="inlineStr">
        <is>
          <t xml:space="preserve"> Line</t>
        </is>
      </c>
      <c r="C620" t="inlineStr">
        <is>
          <t>Pandora 94</t>
        </is>
      </c>
      <c r="D620" t="n">
        <v>172</v>
      </c>
      <c r="E620" t="inlineStr">
        <is>
          <t xml:space="preserve"> Women's</t>
        </is>
      </c>
      <c r="F620" t="n">
        <v>172</v>
      </c>
      <c r="G620" t="n">
        <v>172</v>
      </c>
      <c r="H620" t="n">
        <v>132</v>
      </c>
      <c r="I620" t="n">
        <v>144</v>
      </c>
      <c r="J620" t="n">
        <v>131</v>
      </c>
      <c r="K620" t="n">
        <v>93</v>
      </c>
      <c r="L620" t="n">
        <v>116</v>
      </c>
      <c r="M620" t="n">
        <v>16.3</v>
      </c>
      <c r="N620" t="n">
        <v>1539</v>
      </c>
      <c r="O620" t="n">
        <v>1.18</v>
      </c>
      <c r="P620" t="n">
        <v>1809</v>
      </c>
      <c r="Q620" t="n">
        <v>148</v>
      </c>
      <c r="R620" t="n">
        <v>77</v>
      </c>
      <c r="S620" t="n">
        <v>47</v>
      </c>
      <c r="T620" t="n">
        <v>273</v>
      </c>
      <c r="U620" t="n">
        <v>14</v>
      </c>
      <c r="V620" t="n">
        <v>129</v>
      </c>
      <c r="W620" t="n">
        <v>0.298</v>
      </c>
      <c r="X620" t="n">
        <v>144</v>
      </c>
      <c r="Y620" t="n">
        <v>133</v>
      </c>
      <c r="Z620" t="n">
        <v>129</v>
      </c>
      <c r="AA620" t="n">
        <v>8</v>
      </c>
      <c r="AB620" t="n">
        <v>9.6</v>
      </c>
      <c r="AC620" t="inlineStr">
        <is>
          <t xml:space="preserve"> Resort Freeride</t>
        </is>
      </c>
      <c r="AD620" t="inlineStr">
        <is>
          <t xml:space="preserve"> Touring</t>
        </is>
      </c>
      <c r="AG620" t="inlineStr">
        <is>
          <t>Line Pandora 94 Skis 2022</t>
        </is>
      </c>
      <c r="AH620" t="inlineStr">
        <is>
          <t>! OutdoorXL.com</t>
        </is>
      </c>
      <c r="AI620" s="333" t="n">
        <v>374.95</v>
      </c>
      <c r="AJ620" t="inlineStr">
        <is>
          <t>https://tinyurl.com/y8ymr9cv</t>
        </is>
      </c>
      <c r="AK620" t="inlineStr">
        <is>
          <t>Line Pandora 94 Skis 2022</t>
        </is>
      </c>
      <c r="AL620" t="inlineStr">
        <is>
          <t>BlueZone Sports</t>
        </is>
      </c>
      <c r="AM620" s="333" t="n">
        <v>399.96</v>
      </c>
      <c r="AN620" t="inlineStr">
        <is>
          <t>https://tinyurl.com/y7ww7t3x</t>
        </is>
      </c>
      <c r="AO620" t="inlineStr">
        <is>
          <t>'22 Line Pandora 94 Skis 172cm</t>
        </is>
      </c>
      <c r="AP620" t="inlineStr">
        <is>
          <t>Al's Ski Equipment Barn</t>
        </is>
      </c>
      <c r="AQ620" s="333" t="n">
        <v>469.95</v>
      </c>
      <c r="AR620" t="inlineStr">
        <is>
          <t>https://tinyurl.com/ybd9opry</t>
        </is>
      </c>
      <c r="AS620" s="314">
        <f>IF(LEFT(C620,1)=" ",RIGHT(C620,LEN(C620)-1),C620)</f>
        <v/>
      </c>
      <c r="AT620" s="281">
        <f>_xlfn.CONCAT(B620,AS620,D620,E620)</f>
        <v/>
      </c>
    </row>
    <row r="621">
      <c r="A621" t="inlineStr">
        <is>
          <t>21/22</t>
        </is>
      </c>
      <c r="B621" t="inlineStr">
        <is>
          <t xml:space="preserve"> Salomon</t>
        </is>
      </c>
      <c r="C621" t="inlineStr">
        <is>
          <t>QST 99</t>
        </is>
      </c>
      <c r="D621" t="n">
        <v>181</v>
      </c>
      <c r="E621" t="inlineStr">
        <is>
          <t xml:space="preserve"> Unisex</t>
        </is>
      </c>
      <c r="F621" t="n">
        <v>181</v>
      </c>
      <c r="G621" t="n">
        <v>180.4</v>
      </c>
      <c r="H621" t="n">
        <v>125</v>
      </c>
      <c r="I621" t="n">
        <v>144</v>
      </c>
      <c r="J621" t="n">
        <v>136</v>
      </c>
      <c r="K621" t="n">
        <v>98</v>
      </c>
      <c r="L621" t="n">
        <v>119</v>
      </c>
      <c r="M621" t="n">
        <v>15.3</v>
      </c>
      <c r="N621" t="n">
        <v>2085</v>
      </c>
      <c r="O621" t="n">
        <v>0.96</v>
      </c>
      <c r="P621" t="n">
        <v>2011</v>
      </c>
      <c r="Q621" t="n">
        <v>253</v>
      </c>
      <c r="R621" t="n">
        <v>114</v>
      </c>
      <c r="S621" t="n">
        <v>55</v>
      </c>
      <c r="T621" t="n">
        <v>295</v>
      </c>
      <c r="U621" t="n">
        <v>23</v>
      </c>
      <c r="V621" t="n">
        <v>263</v>
      </c>
      <c r="W621" t="n">
        <v>0.419</v>
      </c>
      <c r="X621" t="n">
        <v>208</v>
      </c>
      <c r="Y621" t="n">
        <v>156</v>
      </c>
      <c r="Z621" t="n">
        <v>87</v>
      </c>
      <c r="AA621" t="n">
        <v>9</v>
      </c>
      <c r="AB621" t="n">
        <v>9.800000000000001</v>
      </c>
      <c r="AC621" t="inlineStr">
        <is>
          <t xml:space="preserve"> Resort Freeride</t>
        </is>
      </c>
      <c r="AG621" t="inlineStr">
        <is>
          <t>Salomon QST Lumen 99 - Women's Purple/Light Pink / 181</t>
        </is>
      </c>
      <c r="AH621" t="inlineStr">
        <is>
          <t>Gravity Coalition</t>
        </is>
      </c>
      <c r="AI621" s="333" t="n">
        <v>459.95</v>
      </c>
      <c r="AJ621" t="inlineStr">
        <is>
          <t>https://tinyurl.com/y8dynrcq</t>
        </is>
      </c>
      <c r="AK621" t="inlineStr">
        <is>
          <t>Salomon QST 99 Dark Blue/Beige / 181cm</t>
        </is>
      </c>
      <c r="AL621" t="inlineStr">
        <is>
          <t>Sundance Ski and Board Shop</t>
        </is>
      </c>
      <c r="AM621" s="333" t="n">
        <v>481.02</v>
      </c>
      <c r="AN621" t="inlineStr">
        <is>
          <t>https://tinyurl.com/ybvgwvxl</t>
        </is>
      </c>
      <c r="AO621" t="inlineStr">
        <is>
          <t>Salomon QST 99 Skis</t>
        </is>
      </c>
      <c r="AP621" t="inlineStr">
        <is>
          <t>Powder7 Ski Shop</t>
        </is>
      </c>
      <c r="AQ621" s="333" t="n">
        <v>559.9299999999999</v>
      </c>
      <c r="AR621" t="inlineStr">
        <is>
          <t>https://tinyurl.com/yd2jnhhj</t>
        </is>
      </c>
      <c r="AS621" s="314">
        <f>IF(LEFT(C621,1)=" ",RIGHT(C621,LEN(C621)-1),C621)</f>
        <v/>
      </c>
      <c r="AT621" s="281">
        <f>_xlfn.CONCAT(B621,AS621,D621,E621)</f>
        <v/>
      </c>
    </row>
    <row r="622">
      <c r="A622" t="inlineStr">
        <is>
          <t>21/22</t>
        </is>
      </c>
      <c r="B622" t="inlineStr">
        <is>
          <t>K2</t>
        </is>
      </c>
      <c r="C622" t="inlineStr">
        <is>
          <t>Mindbender 108 Ti</t>
        </is>
      </c>
      <c r="D622" t="n">
        <v>179</v>
      </c>
      <c r="E622" t="inlineStr">
        <is>
          <t xml:space="preserve"> Unisex</t>
        </is>
      </c>
      <c r="F622" t="n">
        <v>179</v>
      </c>
      <c r="G622" t="n">
        <v>179.1</v>
      </c>
      <c r="H622" t="n">
        <v>111</v>
      </c>
      <c r="I622" t="n">
        <v>143</v>
      </c>
      <c r="J622" t="n">
        <v>136</v>
      </c>
      <c r="K622" t="n">
        <v>107</v>
      </c>
      <c r="L622" t="n">
        <v>124</v>
      </c>
      <c r="M622" t="n">
        <v>21</v>
      </c>
      <c r="N622" t="n">
        <v>1958</v>
      </c>
      <c r="O622" t="n">
        <v>1.06</v>
      </c>
      <c r="P622" t="n">
        <v>2083</v>
      </c>
      <c r="Q622" t="n">
        <v>210</v>
      </c>
      <c r="R622" t="n">
        <v>142</v>
      </c>
      <c r="S622" t="n">
        <v>47</v>
      </c>
      <c r="T622" t="n">
        <v>398</v>
      </c>
      <c r="U622" t="n">
        <v>24</v>
      </c>
      <c r="V622" t="n">
        <v>279</v>
      </c>
      <c r="W622" t="n">
        <v>0.523</v>
      </c>
      <c r="X622" t="n">
        <v>183</v>
      </c>
      <c r="Y622" t="n">
        <v>175</v>
      </c>
      <c r="Z622" t="n">
        <v>216</v>
      </c>
      <c r="AA622" t="n">
        <v>5</v>
      </c>
      <c r="AB622" t="n">
        <v>10</v>
      </c>
      <c r="AC622" t="inlineStr">
        <is>
          <t xml:space="preserve"> Powder</t>
        </is>
      </c>
      <c r="AD622" t="inlineStr">
        <is>
          <t xml:space="preserve"> Touring</t>
        </is>
      </c>
      <c r="AG622" t="inlineStr">
        <is>
          <t>K2 Mindbender 108 Ti LTD incl Marker Griffon 13 179 Ski</t>
        </is>
      </c>
      <c r="AH622" t="inlineStr">
        <is>
          <t>Level Nine Sports</t>
        </is>
      </c>
      <c r="AI622" s="333" t="n">
        <v>524.97</v>
      </c>
      <c r="AJ622" t="inlineStr">
        <is>
          <t>https://tinyurl.com/ycoze433</t>
        </is>
      </c>
      <c r="AK622" t="inlineStr">
        <is>
          <t>'22 K2 Mindbender 108 Ti Skis 179cm</t>
        </is>
      </c>
      <c r="AL622" t="inlineStr">
        <is>
          <t>Al's Ski Equipment Barn</t>
        </is>
      </c>
      <c r="AM622" s="333" t="n">
        <v>749</v>
      </c>
      <c r="AN622" t="inlineStr">
        <is>
          <t>https://tinyurl.com/y7xuopvp</t>
        </is>
      </c>
      <c r="AO622" t="inlineStr">
        <is>
          <t>MINDBENDER 108 TI '22</t>
        </is>
      </c>
      <c r="AP622" t="inlineStr">
        <is>
          <t>Vertical Drop</t>
        </is>
      </c>
      <c r="AQ622" s="333" t="n">
        <v>749.99</v>
      </c>
      <c r="AR622" t="inlineStr">
        <is>
          <t>https://tinyurl.com/yd8g7o28</t>
        </is>
      </c>
      <c r="AS622" s="314">
        <f>IF(LEFT(C622,1)=" ",RIGHT(C622,LEN(C622)-1),C622)</f>
        <v/>
      </c>
      <c r="AT622" s="281">
        <f>_xlfn.CONCAT(B622,AS622,D622,E622)</f>
        <v/>
      </c>
    </row>
    <row r="623">
      <c r="A623" t="inlineStr">
        <is>
          <t>21/22</t>
        </is>
      </c>
      <c r="B623" t="inlineStr">
        <is>
          <t>K2</t>
        </is>
      </c>
      <c r="C623" t="inlineStr">
        <is>
          <t xml:space="preserve"> Sight</t>
        </is>
      </c>
      <c r="D623" t="n">
        <v>159</v>
      </c>
      <c r="E623" t="inlineStr">
        <is>
          <t xml:space="preserve"> Unisex</t>
        </is>
      </c>
      <c r="F623" t="n">
        <v>159</v>
      </c>
      <c r="G623" t="n">
        <v>159.9</v>
      </c>
      <c r="H623" t="n">
        <v>123</v>
      </c>
      <c r="I623" t="n">
        <v>128</v>
      </c>
      <c r="J623" t="n">
        <v>116</v>
      </c>
      <c r="K623" t="n">
        <v>87</v>
      </c>
      <c r="L623" t="n">
        <v>110</v>
      </c>
      <c r="M623" t="n">
        <v>14.4</v>
      </c>
      <c r="N623" t="n">
        <v>1658</v>
      </c>
      <c r="O623" t="n">
        <v>0.9399999999999999</v>
      </c>
      <c r="P623" t="n">
        <v>1557</v>
      </c>
      <c r="Q623" t="n">
        <v>154</v>
      </c>
      <c r="R623" t="n">
        <v>78</v>
      </c>
      <c r="S623" t="n">
        <v>46</v>
      </c>
      <c r="T623" t="n">
        <v>181</v>
      </c>
      <c r="U623" t="n">
        <v>44</v>
      </c>
      <c r="V623" t="n">
        <v>189</v>
      </c>
      <c r="W623" t="n">
        <v>0.951</v>
      </c>
      <c r="X623" t="n">
        <v>162</v>
      </c>
      <c r="Y623" t="n">
        <v>159</v>
      </c>
      <c r="Z623" t="n">
        <v>19</v>
      </c>
      <c r="AA623" t="n">
        <v>7</v>
      </c>
      <c r="AB623" t="n">
        <v>3.7</v>
      </c>
      <c r="AC623" t="inlineStr">
        <is>
          <t xml:space="preserve"> Freeski</t>
        </is>
      </c>
      <c r="AG623" t="inlineStr">
        <is>
          <t>K2 Sight Skis</t>
        </is>
      </c>
      <c r="AH623" t="inlineStr">
        <is>
          <t>Snowinn.com</t>
        </is>
      </c>
      <c r="AI623" s="333" t="n">
        <v>317.99</v>
      </c>
      <c r="AJ623" t="inlineStr">
        <is>
          <t>https://tinyurl.com/y9javyy7</t>
        </is>
      </c>
      <c r="AK623" t="inlineStr">
        <is>
          <t>K2 Sight Skis</t>
        </is>
      </c>
      <c r="AL623" t="inlineStr">
        <is>
          <t>The Ski Bum</t>
        </is>
      </c>
      <c r="AM623" s="333" t="n">
        <v>319.96</v>
      </c>
      <c r="AN623" t="inlineStr">
        <is>
          <t>https://tinyurl.com/y8jakh7t</t>
        </is>
      </c>
      <c r="AO623" t="inlineStr">
        <is>
          <t>K2 Sight Skis</t>
        </is>
      </c>
      <c r="AP623" t="inlineStr">
        <is>
          <t>The-House.com</t>
        </is>
      </c>
      <c r="AQ623" s="333" t="n">
        <v>399.95</v>
      </c>
      <c r="AR623" t="inlineStr">
        <is>
          <t>https://tinyurl.com/y9oyzcsz</t>
        </is>
      </c>
      <c r="AS623" s="314">
        <f>IF(LEFT(C623,1)=" ",RIGHT(C623,LEN(C623)-1),C623)</f>
        <v/>
      </c>
      <c r="AT623" s="281">
        <f>_xlfn.CONCAT(B623,AS623,D623,E623)</f>
        <v/>
      </c>
    </row>
    <row r="624">
      <c r="A624" t="inlineStr">
        <is>
          <t>21/22</t>
        </is>
      </c>
      <c r="B624" t="inlineStr">
        <is>
          <t xml:space="preserve"> Elan</t>
        </is>
      </c>
      <c r="C624" t="inlineStr">
        <is>
          <t>Insomnia 14 Ti</t>
        </is>
      </c>
      <c r="D624" t="n">
        <v>158</v>
      </c>
      <c r="E624" t="inlineStr">
        <is>
          <t xml:space="preserve"> Women's</t>
        </is>
      </c>
      <c r="F624" t="n">
        <v>158</v>
      </c>
      <c r="G624" t="n">
        <v>159.1</v>
      </c>
      <c r="H624" t="n">
        <v>138</v>
      </c>
      <c r="I624" t="n">
        <v>144</v>
      </c>
      <c r="J624" t="n">
        <v>125</v>
      </c>
      <c r="K624" t="n">
        <v>76</v>
      </c>
      <c r="L624" t="n">
        <v>105</v>
      </c>
      <c r="M624" t="n">
        <v>13.1</v>
      </c>
      <c r="N624" t="n">
        <v>1773</v>
      </c>
      <c r="O624" t="n">
        <v>0.82</v>
      </c>
      <c r="P624" t="n">
        <v>1451</v>
      </c>
      <c r="Q624" t="n">
        <v>182</v>
      </c>
      <c r="R624" t="n">
        <v>79</v>
      </c>
      <c r="S624" t="n">
        <v>32</v>
      </c>
      <c r="T624" t="n">
        <v>140</v>
      </c>
      <c r="U624" t="n">
        <v>10</v>
      </c>
      <c r="V624" t="n">
        <v>69</v>
      </c>
      <c r="W624" t="n">
        <v>0.302</v>
      </c>
      <c r="X624" t="n">
        <v>92</v>
      </c>
      <c r="Y624" t="n">
        <v>62</v>
      </c>
      <c r="Z624" t="n">
        <v>48</v>
      </c>
      <c r="AA624" t="n">
        <v>10</v>
      </c>
      <c r="AB624" t="n">
        <v>8.699999999999999</v>
      </c>
      <c r="AC624" t="inlineStr">
        <is>
          <t xml:space="preserve"> On-Piste Carving</t>
        </is>
      </c>
      <c r="AG624" t="inlineStr">
        <is>
          <t>Elan Insomnia 14 Ti + ELW 9 Shift 21/22</t>
        </is>
      </c>
      <c r="AH624" t="inlineStr">
        <is>
          <t>Snowcountry.eu</t>
        </is>
      </c>
      <c r="AI624" s="333" t="n">
        <v>386.34</v>
      </c>
      <c r="AJ624" t="inlineStr">
        <is>
          <t>https://tinyurl.com/y7lzzwb3</t>
        </is>
      </c>
      <c r="AK624" t="inlineStr">
        <is>
          <t>Snow skiing with mounts Elan 2020-21 insomnia elite Ti PS + elx11.0 (CM: 158) Kant Kant Kaht</t>
        </is>
      </c>
      <c r="AL624" t="inlineStr">
        <is>
          <t>AliExpress.com</t>
        </is>
      </c>
      <c r="AM624" s="333" t="n">
        <v>816.48</v>
      </c>
      <c r="AN624" t="inlineStr">
        <is>
          <t>https://tinyurl.com/yc6cvalz</t>
        </is>
      </c>
      <c r="AO624" t="inlineStr">
        <is>
          <t>Elan Insomnia Black Edition 158 Ski Lady's Ladies / Women</t>
        </is>
      </c>
      <c r="AP624" t="inlineStr">
        <is>
          <t>! OutdoorXL.com</t>
        </is>
      </c>
      <c r="AQ624" s="333" t="n">
        <v>514.95</v>
      </c>
      <c r="AR624" t="inlineStr">
        <is>
          <t>https://tinyurl.com/y7649bkl</t>
        </is>
      </c>
      <c r="AS624" s="314">
        <f>IF(LEFT(C624,1)=" ",RIGHT(C624,LEN(C624)-1),C624)</f>
        <v/>
      </c>
      <c r="AT624" s="281">
        <f>_xlfn.CONCAT(B624,AS624,D624,E624)</f>
        <v/>
      </c>
    </row>
    <row r="625">
      <c r="A625" t="inlineStr">
        <is>
          <t>21/22</t>
        </is>
      </c>
      <c r="B625" t="inlineStr">
        <is>
          <t xml:space="preserve"> Rossignol</t>
        </is>
      </c>
      <c r="C625" t="inlineStr">
        <is>
          <t xml:space="preserve"> Hero Elite Plus Ti</t>
        </is>
      </c>
      <c r="D625" t="n">
        <v>167</v>
      </c>
      <c r="E625" t="inlineStr">
        <is>
          <t xml:space="preserve"> Unisex</t>
        </is>
      </c>
      <c r="F625" t="n">
        <v>167</v>
      </c>
      <c r="G625" t="n">
        <v>166.3</v>
      </c>
      <c r="H625" t="n">
        <v>145</v>
      </c>
      <c r="I625" t="n">
        <v>151</v>
      </c>
      <c r="J625" t="n">
        <v>128</v>
      </c>
      <c r="K625" t="n">
        <v>76</v>
      </c>
      <c r="L625" t="n">
        <v>108</v>
      </c>
      <c r="M625" t="n">
        <v>13.4</v>
      </c>
      <c r="N625" t="n">
        <v>2051</v>
      </c>
      <c r="O625" t="n">
        <v>0.74</v>
      </c>
      <c r="P625" t="n">
        <v>1528</v>
      </c>
      <c r="Q625" t="n">
        <v>212</v>
      </c>
      <c r="R625" t="n">
        <v>92</v>
      </c>
      <c r="S625" t="n">
        <v>40</v>
      </c>
      <c r="T625" t="n">
        <v>145</v>
      </c>
      <c r="U625" t="n">
        <v>4</v>
      </c>
      <c r="V625" t="n">
        <v>63</v>
      </c>
      <c r="W625" t="n">
        <v>0.103</v>
      </c>
      <c r="X625" t="n">
        <v>90</v>
      </c>
      <c r="Y625" t="n">
        <v>61</v>
      </c>
      <c r="Z625" t="n">
        <v>55</v>
      </c>
      <c r="AA625" t="n">
        <v>13</v>
      </c>
      <c r="AB625" t="n">
        <v>10.1</v>
      </c>
      <c r="AC625" t="inlineStr">
        <is>
          <t xml:space="preserve"> On-Piste Carving</t>
        </is>
      </c>
      <c r="AG625" t="inlineStr">
        <is>
          <t>Rossignol Hero Elite Plus Ti Mens Skis W/SPX 12 Konect GW Bindings</t>
        </is>
      </c>
      <c r="AH625" t="inlineStr">
        <is>
          <t>The-House.com</t>
        </is>
      </c>
      <c r="AI625" s="333" t="n">
        <v>799.95</v>
      </c>
      <c r="AJ625" t="inlineStr">
        <is>
          <t>https://tinyurl.com/yagabde4</t>
        </is>
      </c>
      <c r="AK625" t="inlineStr">
        <is>
          <t>Rossignol Hero Elite Plus Ti Mens Skis W/SPX 12 Konect GW Bindings</t>
        </is>
      </c>
      <c r="AL625" t="inlineStr">
        <is>
          <t>Buyr.com</t>
        </is>
      </c>
      <c r="AM625" s="333" t="n">
        <v>999.95</v>
      </c>
      <c r="AN625" t="inlineStr">
        <is>
          <t>https://tinyurl.com/y93sp7eo</t>
        </is>
      </c>
      <c r="AO625" t="inlineStr">
        <is>
          <t>Rossignol Hero Elite St Ti + SPX 14 Konect 21/22</t>
        </is>
      </c>
      <c r="AP625" t="inlineStr">
        <is>
          <t>Rossignol US</t>
        </is>
      </c>
      <c r="AQ625" s="333" t="n">
        <v>1099.95</v>
      </c>
      <c r="AR625" t="inlineStr">
        <is>
          <t>https://tinyurl.com/yd3uy8l2</t>
        </is>
      </c>
      <c r="AS625" s="314">
        <f>IF(LEFT(C625,1)=" ",RIGHT(C625,LEN(C625)-1),C625)</f>
        <v/>
      </c>
      <c r="AT625" s="281">
        <f>_xlfn.CONCAT(B625,AS625,D625,E625)</f>
        <v/>
      </c>
    </row>
    <row r="626">
      <c r="A626" t="inlineStr">
        <is>
          <t>21/22</t>
        </is>
      </c>
      <c r="B626" t="inlineStr">
        <is>
          <t xml:space="preserve"> Rossignol</t>
        </is>
      </c>
      <c r="C626" t="inlineStr">
        <is>
          <t>Experience 82 Basalt W</t>
        </is>
      </c>
      <c r="D626" t="n">
        <v>159</v>
      </c>
      <c r="E626" t="inlineStr">
        <is>
          <t xml:space="preserve"> Women's</t>
        </is>
      </c>
      <c r="F626" t="n">
        <v>159</v>
      </c>
      <c r="G626" t="n">
        <v>158.4</v>
      </c>
      <c r="H626" t="n">
        <v>119</v>
      </c>
      <c r="I626" t="n">
        <v>144</v>
      </c>
      <c r="J626" t="n">
        <v>125</v>
      </c>
      <c r="K626" t="n">
        <v>80</v>
      </c>
      <c r="L626" t="n">
        <v>113</v>
      </c>
      <c r="M626" t="n">
        <v>12.8</v>
      </c>
      <c r="N626" t="n">
        <v>1645</v>
      </c>
      <c r="O626" t="n">
        <v>0.91</v>
      </c>
      <c r="P626" t="n">
        <v>1501</v>
      </c>
      <c r="Q626" t="n">
        <v>182</v>
      </c>
      <c r="R626" t="n">
        <v>79</v>
      </c>
      <c r="S626" t="n">
        <v>47</v>
      </c>
      <c r="T626" t="n">
        <v>262</v>
      </c>
      <c r="U626" t="n">
        <v>14</v>
      </c>
      <c r="V626" t="n">
        <v>128</v>
      </c>
      <c r="W626" t="n">
        <v>0.291</v>
      </c>
      <c r="X626" t="n">
        <v>84</v>
      </c>
      <c r="Y626" t="n">
        <v>65</v>
      </c>
      <c r="Z626" t="n">
        <v>178</v>
      </c>
      <c r="AA626" t="n">
        <v>8</v>
      </c>
      <c r="AB626" t="n">
        <v>7</v>
      </c>
      <c r="AC626" t="inlineStr">
        <is>
          <t xml:space="preserve"> Resort Freeride</t>
        </is>
      </c>
      <c r="AG626" t="inlineStr">
        <is>
          <t>Rossignol Experience W 82 Basalt Women's Skis w Look Xpress 11 Demo Bindings  Demo</t>
        </is>
      </c>
      <c r="AH626" t="inlineStr">
        <is>
          <t>Powder7 Ski Shop</t>
        </is>
      </c>
      <c r="AI626" s="333" t="n">
        <v>599.99</v>
      </c>
      <c r="AJ626" t="inlineStr">
        <is>
          <t>https://tinyurl.com/ycgw6n4h</t>
        </is>
      </c>
      <c r="AK626" t="inlineStr">
        <is>
          <t>Rossignol Experience W 82 Basalt W XP11 159cm</t>
        </is>
      </c>
      <c r="AL626" t="inlineStr">
        <is>
          <t>Sundance Ski and Board Shop</t>
        </is>
      </c>
      <c r="AM626" s="333" t="n">
        <v>641.37</v>
      </c>
      <c r="AN626" t="inlineStr">
        <is>
          <t>https://tinyurl.com/y9r47tyy</t>
        </is>
      </c>
      <c r="AO626" t="inlineStr">
        <is>
          <t>Rossignol Experience W 82 Ti Skis Womens 2022</t>
        </is>
      </c>
      <c r="AP626" t="inlineStr">
        <is>
          <t>BlueZone Sports</t>
        </is>
      </c>
      <c r="AQ626" s="333" t="n">
        <v>559.96</v>
      </c>
      <c r="AR626" t="inlineStr">
        <is>
          <t>https://tinyurl.com/y7fazfcy</t>
        </is>
      </c>
      <c r="AS626" s="314">
        <f>IF(LEFT(C626,1)=" ",RIGHT(C626,LEN(C626)-1),C626)</f>
        <v/>
      </c>
      <c r="AT626" s="281">
        <f>_xlfn.CONCAT(B626,AS626,D626,E626)</f>
        <v/>
      </c>
    </row>
    <row r="627">
      <c r="A627" t="inlineStr">
        <is>
          <t>21/22</t>
        </is>
      </c>
      <c r="B627" t="inlineStr">
        <is>
          <t>K2</t>
        </is>
      </c>
      <c r="C627" t="inlineStr">
        <is>
          <t>Mindbender 88 Ti Alliance</t>
        </is>
      </c>
      <c r="D627" t="n">
        <v>156</v>
      </c>
      <c r="E627" t="inlineStr">
        <is>
          <t xml:space="preserve"> Women's</t>
        </is>
      </c>
      <c r="F627" t="n">
        <v>156</v>
      </c>
      <c r="G627" t="n">
        <v>155.9</v>
      </c>
      <c r="H627" t="n">
        <v>120</v>
      </c>
      <c r="I627" t="n">
        <v>132</v>
      </c>
      <c r="J627" t="n">
        <v>125</v>
      </c>
      <c r="K627" t="n">
        <v>87</v>
      </c>
      <c r="L627" t="n">
        <v>111</v>
      </c>
      <c r="M627" t="n">
        <v>13.5</v>
      </c>
      <c r="N627" t="n">
        <v>1491</v>
      </c>
      <c r="O627" t="n">
        <v>1.04</v>
      </c>
      <c r="P627" t="n">
        <v>1548</v>
      </c>
      <c r="Q627" t="n">
        <v>132</v>
      </c>
      <c r="R627" t="n">
        <v>84</v>
      </c>
      <c r="S627" t="n">
        <v>46</v>
      </c>
      <c r="T627" t="n">
        <v>207</v>
      </c>
      <c r="U627" t="n">
        <v>18</v>
      </c>
      <c r="V627" t="n">
        <v>156</v>
      </c>
      <c r="W627" t="n">
        <v>0.401</v>
      </c>
      <c r="X627" t="n">
        <v>146</v>
      </c>
      <c r="Y627" t="n">
        <v>98</v>
      </c>
      <c r="Z627" t="n">
        <v>60</v>
      </c>
      <c r="AA627" t="n">
        <v>7</v>
      </c>
      <c r="AB627" t="n">
        <v>11</v>
      </c>
      <c r="AC627" t="inlineStr">
        <is>
          <t xml:space="preserve"> Resort Freeride</t>
        </is>
      </c>
      <c r="AG627" t="inlineStr">
        <is>
          <t>K2 Mindbender 88 Ti Alliance Skis</t>
        </is>
      </c>
      <c r="AH627" t="inlineStr">
        <is>
          <t>Sun 'N Fun Specialty Sports</t>
        </is>
      </c>
      <c r="AI627" s="333" t="n">
        <v>519.99</v>
      </c>
      <c r="AJ627" t="inlineStr">
        <is>
          <t>https://tinyurl.com/ycp99uru</t>
        </is>
      </c>
      <c r="AK627" t="inlineStr">
        <is>
          <t>Mindbender 88 Ti Alliance Squire 11 Id Set Black</t>
        </is>
      </c>
      <c r="AL627" t="inlineStr">
        <is>
          <t>Bobleisure</t>
        </is>
      </c>
      <c r="AM627" s="333" t="n">
        <v>889.95</v>
      </c>
      <c r="AN627" t="inlineStr">
        <is>
          <t>https://tinyurl.com/y76qcqkd</t>
        </is>
      </c>
      <c r="AO627" t="inlineStr">
        <is>
          <t>K2 Mindbender 90C Alliance Skis Women's 2022</t>
        </is>
      </c>
      <c r="AP627" t="inlineStr">
        <is>
          <t>Level Nine Sports</t>
        </is>
      </c>
      <c r="AQ627" s="333" t="n">
        <v>499.95</v>
      </c>
      <c r="AR627" t="inlineStr">
        <is>
          <t>https://tinyurl.com/y9nhpx4w</t>
        </is>
      </c>
      <c r="AS627" s="314">
        <f>IF(LEFT(C627,1)=" ",RIGHT(C627,LEN(C627)-1),C627)</f>
        <v/>
      </c>
      <c r="AT627" s="281">
        <f>_xlfn.CONCAT(B627,AS627,D627,E627)</f>
        <v/>
      </c>
    </row>
    <row r="628">
      <c r="A628" t="inlineStr">
        <is>
          <t>21/22</t>
        </is>
      </c>
      <c r="B628" t="inlineStr">
        <is>
          <t xml:space="preserve"> Stï¿½ckli</t>
        </is>
      </c>
      <c r="C628" t="inlineStr">
        <is>
          <t>Edge 88</t>
        </is>
      </c>
      <c r="D628" t="n">
        <v>165</v>
      </c>
      <c r="E628" t="inlineStr">
        <is>
          <t xml:space="preserve"> Unisex</t>
        </is>
      </c>
      <c r="F628" t="n">
        <v>165</v>
      </c>
      <c r="G628" t="n">
        <v>164.2</v>
      </c>
      <c r="H628" t="n">
        <v>137</v>
      </c>
      <c r="I628" t="n">
        <v>144</v>
      </c>
      <c r="J628" t="n">
        <v>123</v>
      </c>
      <c r="K628" t="n">
        <v>87</v>
      </c>
      <c r="L628" t="n">
        <v>111</v>
      </c>
      <c r="M628" t="n">
        <v>17.1</v>
      </c>
      <c r="N628" t="n">
        <v>1478</v>
      </c>
      <c r="O628" t="n">
        <v>1.09</v>
      </c>
      <c r="P628" t="n">
        <v>1613</v>
      </c>
      <c r="Q628" t="n">
        <v>146</v>
      </c>
      <c r="R628" t="n">
        <v>80</v>
      </c>
      <c r="S628" t="n">
        <v>40</v>
      </c>
      <c r="T628" t="n">
        <v>195</v>
      </c>
      <c r="U628" t="n">
        <v>9</v>
      </c>
      <c r="V628" t="n">
        <v>73</v>
      </c>
      <c r="W628" t="n">
        <v>0.223</v>
      </c>
      <c r="X628" t="n">
        <v>140</v>
      </c>
      <c r="Y628" t="n">
        <v>59</v>
      </c>
      <c r="Z628" t="n">
        <v>56</v>
      </c>
      <c r="AA628" t="n">
        <v>8</v>
      </c>
      <c r="AB628" t="n">
        <v>13.4</v>
      </c>
      <c r="AC628" t="inlineStr">
        <is>
          <t xml:space="preserve"> Resort Freeride</t>
        </is>
      </c>
      <c r="AD628" t="inlineStr">
        <is>
          <t xml:space="preserve"> Touring</t>
        </is>
      </c>
      <c r="AG628" t="inlineStr">
        <is>
          <t>Stockli Edge 88 Skis 165cm 2022</t>
        </is>
      </c>
      <c r="AH628" t="inlineStr">
        <is>
          <t>Powder7 Ski Shop</t>
        </is>
      </c>
      <c r="AI628" s="333" t="n">
        <v>1099</v>
      </c>
      <c r="AJ628" t="inlineStr">
        <is>
          <t>https://tinyurl.com/ybctyh62</t>
        </is>
      </c>
      <c r="AK628" t="inlineStr">
        <is>
          <t>Stockli Edge 88 Skis 2023 165</t>
        </is>
      </c>
      <c r="AL628" t="inlineStr">
        <is>
          <t>Ski Depot RaceSkis.com</t>
        </is>
      </c>
      <c r="AM628" s="333" t="n">
        <v>1149</v>
      </c>
      <c r="AN628" t="inlineStr">
        <is>
          <t>https://tinyurl.com/ybzxqo2t</t>
        </is>
      </c>
      <c r="AO628" t="inlineStr">
        <is>
          <t>Stockli Edge 88 Skis 165cm 2022</t>
        </is>
      </c>
      <c r="AP628" t="inlineStr">
        <is>
          <t>Telemark Pyrenees</t>
        </is>
      </c>
      <c r="AQ628" s="333" t="n">
        <v>897.58</v>
      </c>
      <c r="AR628" t="inlineStr">
        <is>
          <t>https://tinyurl.com/yaustoz3</t>
        </is>
      </c>
      <c r="AS628" s="314">
        <f>IF(LEFT(C628,1)=" ",RIGHT(C628,LEN(C628)-1),C628)</f>
        <v/>
      </c>
      <c r="AT628" s="281">
        <f>_xlfn.CONCAT(B628,AS628,D628,E628)</f>
        <v/>
      </c>
    </row>
    <row r="629">
      <c r="A629" t="inlineStr">
        <is>
          <t>21/22</t>
        </is>
      </c>
      <c r="B629" t="inlineStr">
        <is>
          <t xml:space="preserve"> Salomon</t>
        </is>
      </c>
      <c r="C629" t="inlineStr">
        <is>
          <t>QST 98</t>
        </is>
      </c>
      <c r="D629" t="n">
        <v>176</v>
      </c>
      <c r="E629" t="inlineStr">
        <is>
          <t xml:space="preserve"> Unisex</t>
        </is>
      </c>
      <c r="F629" t="n">
        <v>176</v>
      </c>
      <c r="G629" t="n">
        <v>177.6</v>
      </c>
      <c r="H629" t="n">
        <v>102</v>
      </c>
      <c r="I629" t="n">
        <v>134</v>
      </c>
      <c r="J629" t="n">
        <v>131</v>
      </c>
      <c r="K629" t="n">
        <v>97</v>
      </c>
      <c r="L629" t="n">
        <v>119</v>
      </c>
      <c r="M629" t="n">
        <v>13.4</v>
      </c>
      <c r="N629" t="n">
        <v>1987</v>
      </c>
      <c r="O629" t="n">
        <v>0.98</v>
      </c>
      <c r="P629" t="n">
        <v>1941</v>
      </c>
      <c r="Q629" t="n">
        <v>190</v>
      </c>
      <c r="R629" t="n">
        <v>88</v>
      </c>
      <c r="S629" t="n">
        <v>57</v>
      </c>
      <c r="T629" t="n">
        <v>394</v>
      </c>
      <c r="U629" t="n">
        <v>29</v>
      </c>
      <c r="V629" t="n">
        <v>364</v>
      </c>
      <c r="W629" t="n">
        <v>0.507</v>
      </c>
      <c r="X629" t="n">
        <v>248</v>
      </c>
      <c r="Y629" t="n">
        <v>186</v>
      </c>
      <c r="Z629" t="n">
        <v>146</v>
      </c>
      <c r="AA629" t="n">
        <v>6</v>
      </c>
      <c r="AB629" t="n">
        <v>8.6</v>
      </c>
      <c r="AC629" t="inlineStr">
        <is>
          <t xml:space="preserve"> Resort Freeride</t>
        </is>
      </c>
      <c r="AG629" t="inlineStr">
        <is>
          <t>Salomon QST 98 Skis</t>
        </is>
      </c>
      <c r="AH629" t="inlineStr">
        <is>
          <t>eBay - grassisport</t>
        </is>
      </c>
      <c r="AI629" s="333" t="n">
        <v>501.79</v>
      </c>
      <c r="AJ629" t="inlineStr">
        <is>
          <t>https://tinyurl.com/y84cmmqg</t>
        </is>
      </c>
      <c r="AK629" t="inlineStr">
        <is>
          <t>Salomon Qst 98 Skis 2022 176cm</t>
        </is>
      </c>
      <c r="AL629" t="inlineStr">
        <is>
          <t>eBay</t>
        </is>
      </c>
      <c r="AM629" s="333" t="n">
        <v>539.99</v>
      </c>
      <c r="AN629" t="inlineStr">
        <is>
          <t>https://tinyurl.com/y8q862l7</t>
        </is>
      </c>
      <c r="AO629" t="inlineStr">
        <is>
          <t>Salomon QST 98 Skis</t>
        </is>
      </c>
      <c r="AP629" t="inlineStr">
        <is>
          <t>The-House.com</t>
        </is>
      </c>
      <c r="AQ629" s="333" t="n">
        <v>575.95</v>
      </c>
      <c r="AR629" t="inlineStr">
        <is>
          <t>https://tinyurl.com/ycvsc5qs</t>
        </is>
      </c>
      <c r="AS629" s="314">
        <f>IF(LEFT(C629,1)=" ",RIGHT(C629,LEN(C629)-1),C629)</f>
        <v/>
      </c>
      <c r="AT629" s="281">
        <f>_xlfn.CONCAT(B629,AS629,D629,E629)</f>
        <v/>
      </c>
    </row>
    <row r="630">
      <c r="A630" t="inlineStr">
        <is>
          <t>21/22</t>
        </is>
      </c>
      <c r="B630" t="inlineStr">
        <is>
          <t xml:space="preserve"> Atomic</t>
        </is>
      </c>
      <c r="C630" t="inlineStr">
        <is>
          <t>Redster X7 WB</t>
        </is>
      </c>
      <c r="D630" t="n">
        <v>160</v>
      </c>
      <c r="E630" t="inlineStr">
        <is>
          <t xml:space="preserve"> Unisex</t>
        </is>
      </c>
      <c r="F630" t="n">
        <v>160</v>
      </c>
      <c r="G630" t="n">
        <v>159.3</v>
      </c>
      <c r="H630" t="n">
        <v>140</v>
      </c>
      <c r="I630" t="n">
        <v>145</v>
      </c>
      <c r="J630" t="n">
        <v>123</v>
      </c>
      <c r="K630" t="n">
        <v>75</v>
      </c>
      <c r="L630" t="n">
        <v>106</v>
      </c>
      <c r="M630" t="n">
        <v>13</v>
      </c>
      <c r="N630" t="n">
        <v>1663</v>
      </c>
      <c r="O630" t="n">
        <v>0.86</v>
      </c>
      <c r="P630" t="n">
        <v>1425</v>
      </c>
      <c r="Q630" t="n">
        <v>168</v>
      </c>
      <c r="R630" t="n">
        <v>74</v>
      </c>
      <c r="S630" t="n">
        <v>38</v>
      </c>
      <c r="T630" t="n">
        <v>142</v>
      </c>
      <c r="U630" t="n">
        <v>5</v>
      </c>
      <c r="V630" t="n">
        <v>53</v>
      </c>
      <c r="W630" t="n">
        <v>0.129</v>
      </c>
      <c r="X630" t="n">
        <v>89</v>
      </c>
      <c r="Y630" t="n">
        <v>54</v>
      </c>
      <c r="Z630" t="n">
        <v>54</v>
      </c>
      <c r="AA630" t="n">
        <v>9</v>
      </c>
      <c r="AB630" t="n">
        <v>12.6</v>
      </c>
      <c r="AC630" t="inlineStr">
        <is>
          <t xml:space="preserve"> On-Piste Carving</t>
        </is>
      </c>
      <c r="AG630" t="inlineStr">
        <is>
          <t>Atomic Redster X7 WB + F12 GW 21/22</t>
        </is>
      </c>
      <c r="AH630" t="inlineStr">
        <is>
          <t>SportÃ¨que</t>
        </is>
      </c>
      <c r="AI630" s="333" t="n">
        <v>456.97</v>
      </c>
      <c r="AJ630" t="inlineStr">
        <is>
          <t>https://tinyurl.com/y98y8e7v</t>
        </is>
      </c>
      <c r="AK630" t="inlineStr">
        <is>
          <t>2021 Atomic Redster X7 Wb Green Skis W/ F 12 Gw Bindings</t>
        </is>
      </c>
      <c r="AL630" t="inlineStr">
        <is>
          <t>eBay - asogear</t>
        </is>
      </c>
      <c r="AM630" s="333" t="n">
        <v>499.99</v>
      </c>
      <c r="AN630" t="inlineStr">
        <is>
          <t>https://tinyurl.com/y7neuybo</t>
        </is>
      </c>
      <c r="AO630" t="inlineStr">
        <is>
          <t>Atomic 2022 Redster X9i WB REVO S+ X 12 GW BLACK/SILVER / 160</t>
        </is>
      </c>
      <c r="AP630" t="inlineStr">
        <is>
          <t>Cityhome</t>
        </is>
      </c>
      <c r="AQ630" s="333" t="n">
        <v>999.99</v>
      </c>
      <c r="AR630" t="inlineStr">
        <is>
          <t>https://tinyurl.com/yc4c6c7p</t>
        </is>
      </c>
      <c r="AS630" s="314">
        <f>IF(LEFT(C630,1)=" ",RIGHT(C630,LEN(C630)-1),C630)</f>
        <v/>
      </c>
      <c r="AT630" s="281">
        <f>_xlfn.CONCAT(B630,AS630,D630,E630)</f>
        <v/>
      </c>
    </row>
    <row r="631">
      <c r="A631" t="inlineStr">
        <is>
          <t>21/22</t>
        </is>
      </c>
      <c r="B631" t="inlineStr">
        <is>
          <t>K2</t>
        </is>
      </c>
      <c r="C631" t="inlineStr">
        <is>
          <t>Mindbender 90 Ti</t>
        </is>
      </c>
      <c r="D631" t="n">
        <v>177</v>
      </c>
      <c r="E631" t="inlineStr">
        <is>
          <t xml:space="preserve"> Unisex</t>
        </is>
      </c>
      <c r="F631" t="n">
        <v>177</v>
      </c>
      <c r="G631" t="n">
        <v>176.9</v>
      </c>
      <c r="H631" t="n">
        <v>136</v>
      </c>
      <c r="I631" t="n">
        <v>152</v>
      </c>
      <c r="J631" t="n">
        <v>127</v>
      </c>
      <c r="K631" t="n">
        <v>89</v>
      </c>
      <c r="L631" t="n">
        <v>113</v>
      </c>
      <c r="M631" t="n">
        <v>18.2</v>
      </c>
      <c r="N631" t="n">
        <v>1906</v>
      </c>
      <c r="O631" t="n">
        <v>0.9399999999999999</v>
      </c>
      <c r="P631" t="n">
        <v>1794</v>
      </c>
      <c r="Q631" t="n">
        <v>190</v>
      </c>
      <c r="R631" t="n">
        <v>128</v>
      </c>
      <c r="S631" t="n">
        <v>41</v>
      </c>
      <c r="T631" t="n">
        <v>220</v>
      </c>
      <c r="U631" t="n">
        <v>17</v>
      </c>
      <c r="V631" t="n">
        <v>187</v>
      </c>
      <c r="W631" t="n">
        <v>0.426</v>
      </c>
      <c r="X631" t="n">
        <v>142</v>
      </c>
      <c r="Y631" t="n">
        <v>103</v>
      </c>
      <c r="Z631" t="n">
        <v>78</v>
      </c>
      <c r="AA631" t="n">
        <v>8</v>
      </c>
      <c r="AB631" t="n">
        <v>11.1</v>
      </c>
      <c r="AC631" t="inlineStr">
        <is>
          <t xml:space="preserve"> Resort Freeride</t>
        </is>
      </c>
      <c r="AG631" t="inlineStr">
        <is>
          <t>'22 K2 Mindbender 90 Ti Skis 177cm</t>
        </is>
      </c>
      <c r="AH631" t="inlineStr">
        <is>
          <t>Al's Ski Equipment Barn</t>
        </is>
      </c>
      <c r="AI631" s="333" t="n">
        <v>649</v>
      </c>
      <c r="AJ631" t="inlineStr">
        <is>
          <t>https://tinyurl.com/yagprxr5</t>
        </is>
      </c>
      <c r="AK631" t="inlineStr">
        <is>
          <t>K2 Mindbender 99Ti Skis - 2022</t>
        </is>
      </c>
      <c r="AL631" t="inlineStr">
        <is>
          <t>! OutdoorXL.com</t>
        </is>
      </c>
      <c r="AM631" s="333" t="n">
        <v>424.95</v>
      </c>
      <c r="AN631" t="inlineStr">
        <is>
          <t>https://tinyurl.com/y7zzwk87</t>
        </is>
      </c>
      <c r="AO631" t="inlineStr">
        <is>
          <t>K2 Mindbender 90c Alpine Skis 177</t>
        </is>
      </c>
      <c r="AP631" t="inlineStr">
        <is>
          <t>Level Nine Sports</t>
        </is>
      </c>
      <c r="AQ631" s="333" t="n">
        <v>499.95</v>
      </c>
      <c r="AR631" t="inlineStr">
        <is>
          <t>https://tinyurl.com/ybyzuav9</t>
        </is>
      </c>
      <c r="AS631" s="314">
        <f>IF(LEFT(C631,1)=" ",RIGHT(C631,LEN(C631)-1),C631)</f>
        <v/>
      </c>
      <c r="AT631" s="281">
        <f>_xlfn.CONCAT(B631,AS631,D631,E631)</f>
        <v/>
      </c>
    </row>
    <row r="632">
      <c r="A632" t="inlineStr">
        <is>
          <t>21/22</t>
        </is>
      </c>
      <c r="B632" t="inlineStr">
        <is>
          <t xml:space="preserve"> Head</t>
        </is>
      </c>
      <c r="C632" t="inlineStr">
        <is>
          <t>Kore 80 X</t>
        </is>
      </c>
      <c r="D632" t="n">
        <v>170</v>
      </c>
      <c r="E632" t="inlineStr">
        <is>
          <t xml:space="preserve"> Unisex</t>
        </is>
      </c>
      <c r="F632" t="n">
        <v>170</v>
      </c>
      <c r="G632" t="n">
        <v>169.2</v>
      </c>
      <c r="H632" t="n">
        <v>139</v>
      </c>
      <c r="I632" t="n">
        <v>144</v>
      </c>
      <c r="J632" t="n">
        <v>125</v>
      </c>
      <c r="K632" t="n">
        <v>78</v>
      </c>
      <c r="L632" t="n">
        <v>104</v>
      </c>
      <c r="M632" t="n">
        <v>13.3</v>
      </c>
      <c r="N632" t="n">
        <v>1925</v>
      </c>
      <c r="O632" t="n">
        <v>0.82</v>
      </c>
      <c r="P632" t="n">
        <v>1581</v>
      </c>
      <c r="Q632" t="n">
        <v>173</v>
      </c>
      <c r="R632" t="n">
        <v>79</v>
      </c>
      <c r="S632" t="n">
        <v>41</v>
      </c>
      <c r="T632" t="n">
        <v>199</v>
      </c>
      <c r="U632" t="n">
        <v>8</v>
      </c>
      <c r="V632" t="n">
        <v>101</v>
      </c>
      <c r="W632" t="n">
        <v>0.19</v>
      </c>
      <c r="X632" t="n">
        <v>129</v>
      </c>
      <c r="Y632" t="n">
        <v>121</v>
      </c>
      <c r="Z632" t="n">
        <v>70</v>
      </c>
      <c r="AA632" t="n">
        <v>13</v>
      </c>
      <c r="AB632" t="n">
        <v>11.7</v>
      </c>
      <c r="AC632" t="inlineStr">
        <is>
          <t xml:space="preserve"> On-Piste Carving</t>
        </is>
      </c>
      <c r="AD632" t="inlineStr">
        <is>
          <t xml:space="preserve"> On-Piste All-Mountain</t>
        </is>
      </c>
      <c r="AG632" t="inlineStr">
        <is>
          <t>Head Kore 80 X LYT-PR + PRW 11 GW 170cm</t>
        </is>
      </c>
      <c r="AH632" t="inlineStr">
        <is>
          <t>Sundance Ski and Board Shop</t>
        </is>
      </c>
      <c r="AI632" s="333" t="n">
        <v>416.89</v>
      </c>
      <c r="AJ632" t="inlineStr">
        <is>
          <t>https://tinyurl.com/y9n35zkw</t>
        </is>
      </c>
      <c r="AK632" t="inlineStr">
        <is>
          <t>Head Men's Kore 80 x LYT-PR Alpine Skis with PRW 11 GW Binding</t>
        </is>
      </c>
      <c r="AL632" t="inlineStr">
        <is>
          <t>GritrOutdoors</t>
        </is>
      </c>
      <c r="AM632" s="333" t="n">
        <v>549</v>
      </c>
      <c r="AN632" t="inlineStr">
        <is>
          <t>https://tinyurl.com/yaevmux3</t>
        </is>
      </c>
      <c r="AO632" t="inlineStr">
        <is>
          <t>Head Men's Kore 80 x LYT-PR Alpine Skis with PRW 11 GW Binding</t>
        </is>
      </c>
      <c r="AP632" t="inlineStr">
        <is>
          <t>Buyr.com</t>
        </is>
      </c>
      <c r="AQ632" s="333" t="n">
        <v>599</v>
      </c>
      <c r="AR632" t="inlineStr">
        <is>
          <t>https://tinyurl.com/y83q7per</t>
        </is>
      </c>
      <c r="AS632" s="314">
        <f>IF(LEFT(C632,1)=" ",RIGHT(C632,LEN(C632)-1),C632)</f>
        <v/>
      </c>
      <c r="AT632" s="281">
        <f>_xlfn.CONCAT(B632,AS632,D632,E632)</f>
        <v/>
      </c>
    </row>
    <row r="633">
      <c r="A633" t="inlineStr">
        <is>
          <t>21/22</t>
        </is>
      </c>
      <c r="B633" t="inlineStr">
        <is>
          <t xml:space="preserve"> Rossignol</t>
        </is>
      </c>
      <c r="C633" t="inlineStr">
        <is>
          <t xml:space="preserve"> Hero Elite Multi Turn Ti</t>
        </is>
      </c>
      <c r="D633" t="n">
        <v>159</v>
      </c>
      <c r="E633" t="inlineStr">
        <is>
          <t xml:space="preserve"> Unisex</t>
        </is>
      </c>
      <c r="F633" t="n">
        <v>159</v>
      </c>
      <c r="G633" t="n">
        <v>158.6</v>
      </c>
      <c r="H633" t="n">
        <v>135</v>
      </c>
      <c r="I633" t="n">
        <v>145</v>
      </c>
      <c r="J633" t="n">
        <v>122</v>
      </c>
      <c r="K633" t="n">
        <v>73</v>
      </c>
      <c r="L633" t="n">
        <v>109</v>
      </c>
      <c r="M633" t="n">
        <v>12.2</v>
      </c>
      <c r="N633" t="n">
        <v>1687</v>
      </c>
      <c r="O633" t="n">
        <v>0.84</v>
      </c>
      <c r="P633" t="n">
        <v>1412</v>
      </c>
      <c r="Q633" t="n">
        <v>184</v>
      </c>
      <c r="R633" t="n">
        <v>74</v>
      </c>
      <c r="S633" t="n">
        <v>41</v>
      </c>
      <c r="T633" t="n">
        <v>170</v>
      </c>
      <c r="U633" t="n">
        <v>4</v>
      </c>
      <c r="V633" t="n">
        <v>65</v>
      </c>
      <c r="W633" t="n">
        <v>0.104</v>
      </c>
      <c r="X633" t="n">
        <v>79</v>
      </c>
      <c r="Y633" t="n">
        <v>61</v>
      </c>
      <c r="Z633" t="n">
        <v>91</v>
      </c>
      <c r="AA633" t="n">
        <v>11</v>
      </c>
      <c r="AB633" t="n">
        <v>10.2</v>
      </c>
      <c r="AC633" t="inlineStr">
        <is>
          <t xml:space="preserve"> On-Piste Carving</t>
        </is>
      </c>
      <c r="AG633" t="inlineStr">
        <is>
          <t>Rossignol Hero Elite MT Ti + SPX12.GW Bi Racing Skis Â· 2022 Â· 159 cm</t>
        </is>
      </c>
      <c r="AH633" t="inlineStr">
        <is>
          <t>eBay - asogear</t>
        </is>
      </c>
      <c r="AI633" s="333" t="n">
        <v>699.99</v>
      </c>
      <c r="AJ633" t="inlineStr">
        <is>
          <t>https://tinyurl.com/y7tqf8ru</t>
        </is>
      </c>
      <c r="AK633" t="inlineStr">
        <is>
          <t>Rossignol Hero Elite MT Ti + SPX12.GW Bi Racing Skis Â· 2022 Â· 159 cm</t>
        </is>
      </c>
      <c r="AL633" t="inlineStr">
        <is>
          <t>Suburban Ski and Bike</t>
        </is>
      </c>
      <c r="AM633" s="333" t="n">
        <v>799.95</v>
      </c>
      <c r="AN633" t="inlineStr">
        <is>
          <t>https://tinyurl.com/yashw8xf</t>
        </is>
      </c>
      <c r="AO633" t="inlineStr">
        <is>
          <t>Rossignol HERO ELITE MT TI + SPX12.GW BI Racing Ski 2022 159</t>
        </is>
      </c>
      <c r="AP633" t="inlineStr">
        <is>
          <t>Boyne Country Sports</t>
        </is>
      </c>
      <c r="AQ633" s="333" t="n">
        <v>900</v>
      </c>
      <c r="AR633" t="inlineStr">
        <is>
          <t>https://tinyurl.com/ydcng9kh</t>
        </is>
      </c>
      <c r="AS633" s="314">
        <f>IF(LEFT(C633,1)=" ",RIGHT(C633,LEN(C633)-1),C633)</f>
        <v/>
      </c>
      <c r="AT633" s="281">
        <f>_xlfn.CONCAT(B633,AS633,D633,E633)</f>
        <v/>
      </c>
    </row>
    <row r="634">
      <c r="A634" t="inlineStr">
        <is>
          <t>21/22</t>
        </is>
      </c>
      <c r="B634" t="inlineStr">
        <is>
          <t xml:space="preserve"> Atomic</t>
        </is>
      </c>
      <c r="C634" t="inlineStr">
        <is>
          <t>Maven 86</t>
        </is>
      </c>
      <c r="D634" t="n">
        <v>161</v>
      </c>
      <c r="E634" t="inlineStr">
        <is>
          <t xml:space="preserve"> Women's</t>
        </is>
      </c>
      <c r="F634" t="n">
        <v>161</v>
      </c>
      <c r="G634" t="n">
        <v>160.2</v>
      </c>
      <c r="H634" t="n">
        <v>113</v>
      </c>
      <c r="I634" t="n">
        <v>133</v>
      </c>
      <c r="J634" t="n">
        <v>121</v>
      </c>
      <c r="K634" t="n">
        <v>86</v>
      </c>
      <c r="L634" t="n">
        <v>104</v>
      </c>
      <c r="M634" t="n">
        <v>16</v>
      </c>
      <c r="N634" t="n">
        <v>1403</v>
      </c>
      <c r="O634" t="n">
        <v>1.11</v>
      </c>
      <c r="P634" t="n">
        <v>1551</v>
      </c>
      <c r="Q634" t="n">
        <v>191</v>
      </c>
      <c r="R634" t="n">
        <v>82</v>
      </c>
      <c r="S634" t="n">
        <v>48</v>
      </c>
      <c r="T634" t="n">
        <v>277</v>
      </c>
      <c r="U634" t="n">
        <v>12</v>
      </c>
      <c r="V634" t="n">
        <v>191</v>
      </c>
      <c r="W634" t="n">
        <v>0.255</v>
      </c>
      <c r="X634" t="n">
        <v>166</v>
      </c>
      <c r="Y634" t="n">
        <v>104</v>
      </c>
      <c r="Z634" t="n">
        <v>111</v>
      </c>
      <c r="AA634" t="n">
        <v>4</v>
      </c>
      <c r="AB634" t="n">
        <v>8.699999999999999</v>
      </c>
      <c r="AC634" t="inlineStr">
        <is>
          <t xml:space="preserve"> Resort Freeride</t>
        </is>
      </c>
      <c r="AD634" t="inlineStr">
        <is>
          <t xml:space="preserve"> Touring</t>
        </is>
      </c>
      <c r="AG634" t="inlineStr">
        <is>
          <t>Atomic Maven 86 Berry / 161cm</t>
        </is>
      </c>
      <c r="AH634" t="inlineStr">
        <is>
          <t>Sundance Ski and Board Shop</t>
        </is>
      </c>
      <c r="AI634" s="333" t="n">
        <v>320.68</v>
      </c>
      <c r="AJ634" t="inlineStr">
        <is>
          <t>https://tinyurl.com/yb7sjnvn</t>
        </is>
      </c>
      <c r="AK634" t="inlineStr">
        <is>
          <t>Atomic Maven 86 R Women's Skis with M10 GW Bindings Â· 2022 Â· 161 cm</t>
        </is>
      </c>
      <c r="AL634" t="inlineStr">
        <is>
          <t>evo.com</t>
        </is>
      </c>
      <c r="AM634" s="333" t="n">
        <v>399.99</v>
      </c>
      <c r="AN634" t="inlineStr">
        <is>
          <t>https://tinyurl.com/y7uz3pp2</t>
        </is>
      </c>
      <c r="AO634" t="inlineStr">
        <is>
          <t>2022 Atomic Maven 86 Women's Skis w/ Tyrolia Attack 11 GW Bindings - 161| Ski Essentials</t>
        </is>
      </c>
      <c r="AP634" t="inlineStr">
        <is>
          <t>SkiEssentials.com</t>
        </is>
      </c>
      <c r="AQ634" s="333" t="n">
        <v>469.99</v>
      </c>
      <c r="AR634" t="inlineStr">
        <is>
          <t>https://tinyurl.com/y9lzlupz</t>
        </is>
      </c>
      <c r="AS634" s="314">
        <f>IF(LEFT(C634,1)=" ",RIGHT(C634,LEN(C634)-1),C634)</f>
        <v/>
      </c>
      <c r="AT634" s="281">
        <f>_xlfn.CONCAT(B634,AS634,D634,E634)</f>
        <v/>
      </c>
    </row>
    <row r="635">
      <c r="A635" t="inlineStr">
        <is>
          <t>21/22</t>
        </is>
      </c>
      <c r="B635" t="inlineStr">
        <is>
          <t xml:space="preserve"> Black Crows</t>
        </is>
      </c>
      <c r="C635" t="inlineStr">
        <is>
          <t xml:space="preserve"> Camox</t>
        </is>
      </c>
      <c r="D635" t="n">
        <v>168.1</v>
      </c>
      <c r="E635" t="inlineStr">
        <is>
          <t xml:space="preserve"> Unisex</t>
        </is>
      </c>
      <c r="F635" t="n">
        <v>168.1</v>
      </c>
      <c r="G635" t="n">
        <v>167.5</v>
      </c>
      <c r="H635" t="n">
        <v>130</v>
      </c>
      <c r="I635" t="n">
        <v>144</v>
      </c>
      <c r="J635" t="n">
        <v>127</v>
      </c>
      <c r="K635" t="n">
        <v>96</v>
      </c>
      <c r="L635" t="n">
        <v>116</v>
      </c>
      <c r="M635" t="n">
        <v>18.7</v>
      </c>
      <c r="N635" t="n">
        <v>1696</v>
      </c>
      <c r="O635" t="n">
        <v>1.04</v>
      </c>
      <c r="P635" t="n">
        <v>1772</v>
      </c>
      <c r="Q635" t="n">
        <v>141</v>
      </c>
      <c r="R635" t="n">
        <v>74</v>
      </c>
      <c r="S635" t="n">
        <v>46</v>
      </c>
      <c r="T635" t="n">
        <v>225</v>
      </c>
      <c r="U635" t="n">
        <v>29</v>
      </c>
      <c r="V635" t="n">
        <v>150</v>
      </c>
      <c r="W635" t="n">
        <v>0.632</v>
      </c>
      <c r="X635" t="n">
        <v>128</v>
      </c>
      <c r="Y635" t="n">
        <v>112</v>
      </c>
      <c r="Z635" t="n">
        <v>97</v>
      </c>
      <c r="AA635" t="n">
        <v>14</v>
      </c>
      <c r="AB635" t="n">
        <v>6.2</v>
      </c>
      <c r="AC635" t="inlineStr">
        <is>
          <t xml:space="preserve"> Resort Freeride</t>
        </is>
      </c>
      <c r="AG635" t="inlineStr">
        <is>
          <t>Skis Black Crows Camox</t>
        </is>
      </c>
      <c r="AH635" t="inlineStr">
        <is>
          <t>Teton Wasatch Ski Co.</t>
        </is>
      </c>
      <c r="AI635" s="333" t="n">
        <v>575</v>
      </c>
      <c r="AJ635" t="inlineStr">
        <is>
          <t>https://tinyurl.com/y9oguhht</t>
        </is>
      </c>
      <c r="AK635" t="inlineStr">
        <is>
          <t>Skis Black Crows Camox</t>
        </is>
      </c>
      <c r="AL635" t="inlineStr">
        <is>
          <t>SkiEssentials.com</t>
        </is>
      </c>
      <c r="AM635" s="333" t="n">
        <v>575.96</v>
      </c>
      <c r="AN635" t="inlineStr">
        <is>
          <t>https://tinyurl.com/ycmd4qzf</t>
        </is>
      </c>
      <c r="AO635" t="inlineStr">
        <is>
          <t>Skis Black Crows Camox</t>
        </is>
      </c>
      <c r="AP635" t="inlineStr">
        <is>
          <t>evo.com</t>
        </is>
      </c>
      <c r="AQ635" s="333" t="n">
        <v>575.96</v>
      </c>
      <c r="AR635" t="inlineStr">
        <is>
          <t>https://tinyurl.com/yavqogkf</t>
        </is>
      </c>
      <c r="AS635" s="314">
        <f>IF(LEFT(C635,1)=" ",RIGHT(C635,LEN(C635)-1),C635)</f>
        <v/>
      </c>
      <c r="AT635" s="281">
        <f>_xlfn.CONCAT(B635,AS635,D635,E635)</f>
        <v/>
      </c>
    </row>
    <row r="636">
      <c r="A636" t="inlineStr">
        <is>
          <t>21/22</t>
        </is>
      </c>
      <c r="B636" t="inlineStr">
        <is>
          <t xml:space="preserve"> Head</t>
        </is>
      </c>
      <c r="C636" t="inlineStr">
        <is>
          <t>V-Shape V6</t>
        </is>
      </c>
      <c r="D636" t="n">
        <v>163</v>
      </c>
      <c r="E636" t="inlineStr">
        <is>
          <t xml:space="preserve"> Unisex</t>
        </is>
      </c>
      <c r="F636" t="n">
        <v>163</v>
      </c>
      <c r="G636" t="n">
        <v>162.4</v>
      </c>
      <c r="H636" t="n">
        <v>143</v>
      </c>
      <c r="I636" t="n">
        <v>149</v>
      </c>
      <c r="J636" t="n">
        <v>131</v>
      </c>
      <c r="K636" t="n">
        <v>77</v>
      </c>
      <c r="L636" t="n">
        <v>111</v>
      </c>
      <c r="M636" t="n">
        <v>12.4</v>
      </c>
      <c r="N636" t="n">
        <v>1882</v>
      </c>
      <c r="O636" t="n">
        <v>0.8</v>
      </c>
      <c r="P636" t="n">
        <v>1514</v>
      </c>
      <c r="Q636" t="n">
        <v>169</v>
      </c>
      <c r="R636" t="n">
        <v>80</v>
      </c>
      <c r="S636" t="n">
        <v>34</v>
      </c>
      <c r="T636" t="n">
        <v>138</v>
      </c>
      <c r="U636" t="n">
        <v>7</v>
      </c>
      <c r="V636" t="n">
        <v>59</v>
      </c>
      <c r="W636" t="n">
        <v>0.209</v>
      </c>
      <c r="X636" t="n">
        <v>86</v>
      </c>
      <c r="Y636" t="n">
        <v>51</v>
      </c>
      <c r="Z636" t="n">
        <v>52</v>
      </c>
      <c r="AA636" t="n">
        <v>14</v>
      </c>
      <c r="AB636" t="n">
        <v>12.5</v>
      </c>
      <c r="AC636" t="inlineStr">
        <is>
          <t xml:space="preserve"> On-Piste Carving</t>
        </is>
      </c>
      <c r="AG636" t="inlineStr">
        <is>
          <t>Head V-Shape V6 Skis with PR 11 GW Bindings</t>
        </is>
      </c>
      <c r="AH636" t="inlineStr">
        <is>
          <t>The-House.com</t>
        </is>
      </c>
      <c r="AI636" s="333" t="n">
        <v>450</v>
      </c>
      <c r="AJ636" t="inlineStr">
        <is>
          <t>https://tinyurl.com/yd7rfcqa</t>
        </is>
      </c>
      <c r="AK636" t="inlineStr">
        <is>
          <t xml:space="preserve"> Head V Shape V6 LYT Skis D by GalacticSnowSports</t>
        </is>
      </c>
      <c r="AL636" t="inlineStr">
        <is>
          <t>GalacticSnowSports</t>
        </is>
      </c>
      <c r="AM636" s="333" t="n">
        <v>199.99</v>
      </c>
      <c r="AN636" t="inlineStr">
        <is>
          <t>https://tinyurl.com/yaqbc559</t>
        </is>
      </c>
      <c r="AO636" t="inlineStr">
        <is>
          <t>Head V-shape Lyt V10r Snow Skis 163cm W-bindings (clearance Price)</t>
        </is>
      </c>
      <c r="AP636" t="inlineStr">
        <is>
          <t>eBay - proskiguy</t>
        </is>
      </c>
      <c r="AQ636" s="333" t="n">
        <v>727</v>
      </c>
      <c r="AR636" t="inlineStr">
        <is>
          <t>https://tinyurl.com/y9p8mh5o</t>
        </is>
      </c>
      <c r="AS636" s="314">
        <f>IF(LEFT(C636,1)=" ",RIGHT(C636,LEN(C636)-1),C636)</f>
        <v/>
      </c>
      <c r="AT636" s="281">
        <f>_xlfn.CONCAT(B636,AS636,D636,E636)</f>
        <v/>
      </c>
    </row>
    <row r="637">
      <c r="A637" t="inlineStr">
        <is>
          <t>21/22</t>
        </is>
      </c>
      <c r="B637" t="inlineStr">
        <is>
          <t xml:space="preserve"> Head</t>
        </is>
      </c>
      <c r="C637" t="inlineStr">
        <is>
          <t>Oblivion 84</t>
        </is>
      </c>
      <c r="D637" t="n">
        <v>176</v>
      </c>
      <c r="E637" t="inlineStr">
        <is>
          <t xml:space="preserve"> Unisex</t>
        </is>
      </c>
      <c r="F637" t="n">
        <v>176</v>
      </c>
      <c r="G637" t="n">
        <v>174.1</v>
      </c>
      <c r="H637" t="n">
        <v>145</v>
      </c>
      <c r="I637" t="n">
        <v>155</v>
      </c>
      <c r="J637" t="n">
        <v>120</v>
      </c>
      <c r="K637" t="n">
        <v>83</v>
      </c>
      <c r="L637" t="n">
        <v>109</v>
      </c>
      <c r="M637" t="n">
        <v>19.1</v>
      </c>
      <c r="N637" t="n">
        <v>1800</v>
      </c>
      <c r="O637" t="n">
        <v>0.91</v>
      </c>
      <c r="P637" t="n">
        <v>1639</v>
      </c>
      <c r="Q637" t="n">
        <v>211</v>
      </c>
      <c r="R637" t="n">
        <v>70</v>
      </c>
      <c r="S637" t="n">
        <v>46</v>
      </c>
      <c r="T637" t="n">
        <v>149</v>
      </c>
      <c r="U637" t="n">
        <v>37</v>
      </c>
      <c r="V637" t="n">
        <v>138</v>
      </c>
      <c r="W637" t="n">
        <v>0.8</v>
      </c>
      <c r="X637" t="n">
        <v>93</v>
      </c>
      <c r="Y637" t="n">
        <v>94</v>
      </c>
      <c r="Z637" t="n">
        <v>55</v>
      </c>
      <c r="AA637" t="n">
        <v>11</v>
      </c>
      <c r="AB637" t="n">
        <v>5.5</v>
      </c>
      <c r="AC637" t="inlineStr">
        <is>
          <t xml:space="preserve"> Resort Freeride</t>
        </is>
      </c>
      <c r="AD637" t="inlineStr">
        <is>
          <t xml:space="preserve"> Freeski</t>
        </is>
      </c>
      <c r="AG637" t="inlineStr">
        <is>
          <t>2022 Head Oblivion 84 Twin Tip Park and Pipe Snow Skis 176</t>
        </is>
      </c>
      <c r="AH637" t="inlineStr">
        <is>
          <t>The Pro Shop</t>
        </is>
      </c>
      <c r="AI637" s="333" t="n">
        <v>399</v>
      </c>
      <c r="AJ637" t="inlineStr">
        <is>
          <t>https://tinyurl.com/y8g8k2ss</t>
        </is>
      </c>
      <c r="AK637" t="inlineStr">
        <is>
          <t>Head Oblivion 84 Skis 2022 - 176</t>
        </is>
      </c>
      <c r="AL637" t="inlineStr">
        <is>
          <t>evo.com</t>
        </is>
      </c>
      <c r="AM637" s="333" t="n">
        <v>399</v>
      </c>
      <c r="AN637" t="inlineStr">
        <is>
          <t>https://tinyurl.com/ya9dtg8p</t>
        </is>
      </c>
      <c r="AO637" t="inlineStr">
        <is>
          <t>Head Oblivion 84 Skis 2022 - 176</t>
        </is>
      </c>
      <c r="AP637" t="inlineStr">
        <is>
          <t>BobsSportsChalet.com</t>
        </is>
      </c>
      <c r="AQ637" s="333" t="n">
        <v>399</v>
      </c>
      <c r="AR637" t="inlineStr">
        <is>
          <t>https://tinyurl.com/y8jmptfo</t>
        </is>
      </c>
      <c r="AS637" s="314">
        <f>IF(LEFT(C637,1)=" ",RIGHT(C637,LEN(C637)-1),C637)</f>
        <v/>
      </c>
      <c r="AT637" s="281">
        <f>_xlfn.CONCAT(B637,AS637,D637,E637)</f>
        <v/>
      </c>
    </row>
    <row r="638">
      <c r="A638" t="inlineStr">
        <is>
          <t>21/22</t>
        </is>
      </c>
      <c r="B638" t="inlineStr">
        <is>
          <t xml:space="preserve"> Vï¿½lkl</t>
        </is>
      </c>
      <c r="C638" t="inlineStr">
        <is>
          <t>Blaze 94</t>
        </is>
      </c>
      <c r="D638" t="n">
        <v>165</v>
      </c>
      <c r="E638" t="inlineStr">
        <is>
          <t xml:space="preserve"> Unisex</t>
        </is>
      </c>
      <c r="F638" t="n">
        <v>165</v>
      </c>
      <c r="G638" t="n">
        <v>164.4</v>
      </c>
      <c r="H638" t="n">
        <v>83</v>
      </c>
      <c r="I638" t="n">
        <v>140</v>
      </c>
      <c r="J638" t="n">
        <v>133</v>
      </c>
      <c r="K638" t="n">
        <v>93</v>
      </c>
      <c r="L638" t="n">
        <v>116</v>
      </c>
      <c r="M638" t="n">
        <v>14.8</v>
      </c>
      <c r="N638" t="n">
        <v>1448</v>
      </c>
      <c r="O638" t="n">
        <v>1.2</v>
      </c>
      <c r="P638" t="n">
        <v>1744</v>
      </c>
      <c r="Q638" t="n">
        <v>182</v>
      </c>
      <c r="R638" t="n">
        <v>90</v>
      </c>
      <c r="S638" t="n">
        <v>48</v>
      </c>
      <c r="T638" t="n">
        <v>465</v>
      </c>
      <c r="U638" t="n">
        <v>21</v>
      </c>
      <c r="V638" t="n">
        <v>345</v>
      </c>
      <c r="W638" t="n">
        <v>0.442</v>
      </c>
      <c r="X638" t="n">
        <v>139</v>
      </c>
      <c r="Y638" t="n">
        <v>103</v>
      </c>
      <c r="Z638" t="n">
        <v>326</v>
      </c>
      <c r="AA638" t="n">
        <v>1</v>
      </c>
      <c r="AB638" t="n">
        <v>12</v>
      </c>
      <c r="AC638" t="inlineStr">
        <is>
          <t xml:space="preserve"> Resort Freeride</t>
        </is>
      </c>
      <c r="AD638" t="inlineStr">
        <is>
          <t xml:space="preserve"> Touring</t>
        </is>
      </c>
      <c r="AG638" t="inlineStr">
        <is>
          <t>Volkl 22 Blaze 94 165Cm  Demo Skis W/ Bindings</t>
        </is>
      </c>
      <c r="AH638" t="inlineStr">
        <is>
          <t>Play It Again Sports</t>
        </is>
      </c>
      <c r="AI638" s="333" t="n">
        <v>399.91</v>
      </c>
      <c r="AJ638" t="inlineStr">
        <is>
          <t>https://tinyurl.com/yc852vkw</t>
        </is>
      </c>
      <c r="AK638" t="inlineStr">
        <is>
          <t>Volkl Blaze 94 Skis 2022</t>
        </is>
      </c>
      <c r="AL638" t="inlineStr">
        <is>
          <t>Telemark Pyrenees</t>
        </is>
      </c>
      <c r="AM638" s="333" t="n">
        <v>421.65</v>
      </c>
      <c r="AN638" t="inlineStr">
        <is>
          <t>https://tinyurl.com/y7s8dd63</t>
        </is>
      </c>
      <c r="AO638" t="inlineStr">
        <is>
          <t>Volkl Blaze 94 Skis 2022</t>
        </is>
      </c>
      <c r="AP638" t="inlineStr">
        <is>
          <t>Stowesports.com</t>
        </is>
      </c>
      <c r="AQ638" s="333" t="n">
        <v>439.95</v>
      </c>
      <c r="AR638" t="inlineStr">
        <is>
          <t>https://tinyurl.com/yd8jzagq</t>
        </is>
      </c>
      <c r="AS638" s="314">
        <f>IF(LEFT(C638,1)=" ",RIGHT(C638,LEN(C638)-1),C638)</f>
        <v/>
      </c>
      <c r="AT638" s="281">
        <f>_xlfn.CONCAT(B638,AS638,D638,E638)</f>
        <v/>
      </c>
    </row>
    <row r="639">
      <c r="A639" t="inlineStr">
        <is>
          <t>21/22</t>
        </is>
      </c>
      <c r="B639" t="inlineStr">
        <is>
          <t>K2</t>
        </is>
      </c>
      <c r="C639" t="inlineStr">
        <is>
          <t>Reckoner 122</t>
        </is>
      </c>
      <c r="D639" t="n">
        <v>177</v>
      </c>
      <c r="E639" t="inlineStr">
        <is>
          <t xml:space="preserve"> Unisex</t>
        </is>
      </c>
      <c r="F639" t="n">
        <v>177</v>
      </c>
      <c r="G639" t="n">
        <v>177.3</v>
      </c>
      <c r="H639" t="n">
        <v>93</v>
      </c>
      <c r="I639" t="n">
        <v>132</v>
      </c>
      <c r="J639" t="n">
        <v>144</v>
      </c>
      <c r="K639" t="n">
        <v>122</v>
      </c>
      <c r="L639" t="n">
        <v>135</v>
      </c>
      <c r="M639" t="n">
        <v>22.1</v>
      </c>
      <c r="N639" t="n">
        <v>2031</v>
      </c>
      <c r="O639" t="n">
        <v>1.12</v>
      </c>
      <c r="P639" t="n">
        <v>2267</v>
      </c>
      <c r="Q639" t="n">
        <v>168</v>
      </c>
      <c r="R639" t="n">
        <v>96</v>
      </c>
      <c r="S639" t="n">
        <v>65</v>
      </c>
      <c r="T639" t="n">
        <v>438</v>
      </c>
      <c r="U639" t="n">
        <v>52</v>
      </c>
      <c r="V639" t="n">
        <v>404</v>
      </c>
      <c r="W639" t="n">
        <v>0.792999999999999</v>
      </c>
      <c r="X639" t="n">
        <v>221</v>
      </c>
      <c r="Y639" t="n">
        <v>236</v>
      </c>
      <c r="Z639" t="n">
        <v>217</v>
      </c>
      <c r="AA639" t="n">
        <v>4</v>
      </c>
      <c r="AB639" t="n">
        <v>4.2</v>
      </c>
      <c r="AC639" t="inlineStr">
        <is>
          <t xml:space="preserve"> Powder</t>
        </is>
      </c>
      <c r="AD639" t="inlineStr">
        <is>
          <t xml:space="preserve"> Touring</t>
        </is>
      </c>
      <c r="AG639" t="inlineStr">
        <is>
          <t>K2 2021 Reckoner 122 Skis</t>
        </is>
      </c>
      <c r="AH639" t="inlineStr">
        <is>
          <t>evo.com</t>
        </is>
      </c>
      <c r="AI639" s="333" t="n">
        <v>299.97</v>
      </c>
      <c r="AJ639" t="inlineStr">
        <is>
          <t>https://tinyurl.com/ybv2kvsj</t>
        </is>
      </c>
      <c r="AK639" t="inlineStr">
        <is>
          <t>K2 2021 Reckoner 122 Skis</t>
        </is>
      </c>
      <c r="AL639" t="inlineStr">
        <is>
          <t>Powder7 Ski Shop</t>
        </is>
      </c>
      <c r="AM639" s="333" t="n">
        <v>399.93</v>
      </c>
      <c r="AN639" t="inlineStr">
        <is>
          <t>https://tinyurl.com/ycf7gwsw</t>
        </is>
      </c>
      <c r="AO639" t="inlineStr">
        <is>
          <t>K2 Reckoner 122 Skis 2022 - 177</t>
        </is>
      </c>
      <c r="AP639" t="inlineStr">
        <is>
          <t>Telemark Pyrenees</t>
        </is>
      </c>
      <c r="AQ639" s="333" t="n">
        <v>412.48</v>
      </c>
      <c r="AR639" t="inlineStr">
        <is>
          <t>https://tinyurl.com/yapgdd2v</t>
        </is>
      </c>
      <c r="AS639" s="314">
        <f>IF(LEFT(C639,1)=" ",RIGHT(C639,LEN(C639)-1),C639)</f>
        <v/>
      </c>
      <c r="AT639" s="281">
        <f>_xlfn.CONCAT(B639,AS639,D639,E639)</f>
        <v/>
      </c>
    </row>
    <row r="640">
      <c r="A640" t="inlineStr">
        <is>
          <t>21/22</t>
        </is>
      </c>
      <c r="B640" t="inlineStr">
        <is>
          <t xml:space="preserve"> Black Crows</t>
        </is>
      </c>
      <c r="C640" t="inlineStr">
        <is>
          <t xml:space="preserve"> Corvus Freebird</t>
        </is>
      </c>
      <c r="D640" t="n">
        <v>183.4</v>
      </c>
      <c r="E640" t="inlineStr">
        <is>
          <t xml:space="preserve"> Unisex</t>
        </is>
      </c>
      <c r="F640" t="n">
        <v>183.4</v>
      </c>
      <c r="G640" t="n">
        <v>182.6</v>
      </c>
      <c r="H640" t="n">
        <v>145</v>
      </c>
      <c r="I640" t="n">
        <v>148</v>
      </c>
      <c r="J640" t="n">
        <v>141</v>
      </c>
      <c r="K640" t="n">
        <v>105</v>
      </c>
      <c r="L640" t="n">
        <v>118</v>
      </c>
      <c r="M640" t="n">
        <v>21</v>
      </c>
      <c r="N640" t="n">
        <v>1950</v>
      </c>
      <c r="O640" t="n">
        <v>1.08</v>
      </c>
      <c r="P640" t="n">
        <v>2112</v>
      </c>
      <c r="Q640" t="n">
        <v>230</v>
      </c>
      <c r="R640" t="n">
        <v>107</v>
      </c>
      <c r="S640" t="n">
        <v>46</v>
      </c>
      <c r="T640" t="n">
        <v>282</v>
      </c>
      <c r="U640" t="n">
        <v>6</v>
      </c>
      <c r="V640" t="n">
        <v>91</v>
      </c>
      <c r="W640" t="n">
        <v>0.129</v>
      </c>
      <c r="X640" t="n">
        <v>192</v>
      </c>
      <c r="Y640" t="n">
        <v>155</v>
      </c>
      <c r="Z640" t="n">
        <v>90</v>
      </c>
      <c r="AA640" t="n">
        <v>8</v>
      </c>
      <c r="AB640" t="n">
        <v>10.4</v>
      </c>
      <c r="AC640" t="inlineStr">
        <is>
          <t xml:space="preserve"> Big Mountain</t>
        </is>
      </c>
      <c r="AD640" t="inlineStr">
        <is>
          <t xml:space="preserve"> Touring</t>
        </is>
      </c>
      <c r="AG640" t="inlineStr">
        <is>
          <t>2022 Black Crows Corvus Freebird Skis w/ Marker Kingpin 13 Bindings - 183| Ski Essentials</t>
        </is>
      </c>
      <c r="AH640" t="inlineStr">
        <is>
          <t>SkiEssentials.com</t>
        </is>
      </c>
      <c r="AI640" s="333" t="n">
        <v>1114.96</v>
      </c>
      <c r="AJ640" t="inlineStr">
        <is>
          <t>https://tinyurl.com/ybcgxabz</t>
        </is>
      </c>
      <c r="AK640" t="inlineStr">
        <is>
          <t>Black Crows Corvus Freebird Skis Â· 2021 Â· 183 cm</t>
        </is>
      </c>
      <c r="AL640" t="inlineStr">
        <is>
          <t>Powder7 Ski Shop</t>
        </is>
      </c>
      <c r="AM640" s="333" t="n">
        <v>720.9299999999999</v>
      </c>
      <c r="AN640" t="inlineStr">
        <is>
          <t>https://tinyurl.com/ycx224vr</t>
        </is>
      </c>
      <c r="AO640" t="inlineStr">
        <is>
          <t>Black Crows Corvus Freebird Skis 2022 183</t>
        </is>
      </c>
      <c r="AP640" t="inlineStr">
        <is>
          <t>Winteriscalling.com</t>
        </is>
      </c>
      <c r="AQ640" s="333" t="n">
        <v>799.99</v>
      </c>
      <c r="AR640" t="inlineStr">
        <is>
          <t>https://tinyurl.com/yddbvy36</t>
        </is>
      </c>
      <c r="AS640" s="314">
        <f>IF(LEFT(C640,1)=" ",RIGHT(C640,LEN(C640)-1),C640)</f>
        <v/>
      </c>
      <c r="AT640" s="281">
        <f>_xlfn.CONCAT(B640,AS640,D640,E640)</f>
        <v/>
      </c>
    </row>
    <row r="641">
      <c r="A641" t="inlineStr">
        <is>
          <t>21/22</t>
        </is>
      </c>
      <c r="B641" t="inlineStr">
        <is>
          <t xml:space="preserve"> Dynafit</t>
        </is>
      </c>
      <c r="C641" t="inlineStr">
        <is>
          <t>Blacklight 88</t>
        </is>
      </c>
      <c r="D641" t="n">
        <v>172</v>
      </c>
      <c r="E641" t="inlineStr">
        <is>
          <t xml:space="preserve"> Unisex</t>
        </is>
      </c>
      <c r="F641" t="n">
        <v>172</v>
      </c>
      <c r="G641" t="n">
        <v>169.7</v>
      </c>
      <c r="H641" t="n">
        <v>117</v>
      </c>
      <c r="I641" t="n">
        <v>146</v>
      </c>
      <c r="J641" t="n">
        <v>122</v>
      </c>
      <c r="K641" t="n">
        <v>87</v>
      </c>
      <c r="L641" t="n">
        <v>110</v>
      </c>
      <c r="M641" t="n">
        <v>18.1</v>
      </c>
      <c r="N641" t="n">
        <v>1186</v>
      </c>
      <c r="O641" t="n">
        <v>1.39</v>
      </c>
      <c r="P641" t="n">
        <v>1652</v>
      </c>
      <c r="Q641" t="n">
        <v>256</v>
      </c>
      <c r="R641" t="n">
        <v>87</v>
      </c>
      <c r="S641" t="n">
        <v>60</v>
      </c>
      <c r="T641" t="n">
        <v>348</v>
      </c>
      <c r="U641" t="n">
        <v>10</v>
      </c>
      <c r="V641" t="n">
        <v>179</v>
      </c>
      <c r="W641" t="n">
        <v>0.165</v>
      </c>
      <c r="X641" t="n">
        <v>136</v>
      </c>
      <c r="Y641" t="n">
        <v>104</v>
      </c>
      <c r="Z641" t="n">
        <v>213</v>
      </c>
      <c r="AA641" t="n">
        <v>4</v>
      </c>
      <c r="AB641" t="n">
        <v>12.6</v>
      </c>
      <c r="AC641" t="inlineStr">
        <is>
          <t xml:space="preserve"> Touring</t>
        </is>
      </c>
      <c r="AD641" t="inlineStr">
        <is>
          <t xml:space="preserve"> Ultralight Touring</t>
        </is>
      </c>
      <c r="AG641" t="inlineStr">
        <is>
          <t>Dynafit Blacklight 88</t>
        </is>
      </c>
      <c r="AH641" t="inlineStr">
        <is>
          <t>evo.com</t>
        </is>
      </c>
      <c r="AI641" s="333" t="n">
        <v>559.96</v>
      </c>
      <c r="AJ641" t="inlineStr">
        <is>
          <t>https://tinyurl.com/ydbx4bmh</t>
        </is>
      </c>
      <c r="AK641" t="inlineStr">
        <is>
          <t>Dynafit Blacklight 88</t>
        </is>
      </c>
      <c r="AL641" t="inlineStr">
        <is>
          <t>Ascent Outdoors</t>
        </is>
      </c>
      <c r="AM641" s="333" t="n">
        <v>559.96</v>
      </c>
      <c r="AN641" t="inlineStr">
        <is>
          <t>https://tinyurl.com/y973hlqr</t>
        </is>
      </c>
      <c r="AO641" t="inlineStr">
        <is>
          <t>Dynafit Blacklight 88</t>
        </is>
      </c>
      <c r="AP641" t="inlineStr">
        <is>
          <t>Curated</t>
        </is>
      </c>
      <c r="AQ641" s="333" t="n">
        <v>559.99</v>
      </c>
      <c r="AR641" t="inlineStr">
        <is>
          <t>https://tinyurl.com/yb2rn5ll</t>
        </is>
      </c>
      <c r="AS641" s="314">
        <f>IF(LEFT(C641,1)=" ",RIGHT(C641,LEN(C641)-1),C641)</f>
        <v/>
      </c>
      <c r="AT641" s="281">
        <f>_xlfn.CONCAT(B641,AS641,D641,E641)</f>
        <v/>
      </c>
    </row>
    <row r="642">
      <c r="A642" t="inlineStr">
        <is>
          <t>21/22</t>
        </is>
      </c>
      <c r="B642" t="inlineStr">
        <is>
          <t xml:space="preserve"> Elan</t>
        </is>
      </c>
      <c r="C642" t="inlineStr">
        <is>
          <t>Ripstick 116</t>
        </is>
      </c>
      <c r="D642" t="n">
        <v>185</v>
      </c>
      <c r="E642" t="inlineStr">
        <is>
          <t xml:space="preserve"> Unisex</t>
        </is>
      </c>
      <c r="F642" t="n">
        <v>185</v>
      </c>
      <c r="G642" t="n">
        <v>183.4</v>
      </c>
      <c r="H642" t="n">
        <v>133</v>
      </c>
      <c r="I642" t="n">
        <v>145</v>
      </c>
      <c r="J642" t="n">
        <v>145</v>
      </c>
      <c r="K642" t="n">
        <v>114</v>
      </c>
      <c r="L642" t="n">
        <v>131</v>
      </c>
      <c r="M642" t="n">
        <v>20.5</v>
      </c>
      <c r="N642" t="n">
        <v>2023</v>
      </c>
      <c r="O642" t="n">
        <v>1.12</v>
      </c>
      <c r="P642" t="n">
        <v>2266</v>
      </c>
      <c r="Q642" t="n">
        <v>241</v>
      </c>
      <c r="R642" t="n">
        <v>104</v>
      </c>
      <c r="S642" t="n">
        <v>41</v>
      </c>
      <c r="T642" t="n">
        <v>282</v>
      </c>
      <c r="U642" t="n">
        <v>26</v>
      </c>
      <c r="V642" t="n">
        <v>223</v>
      </c>
      <c r="W642" t="n">
        <v>0.617</v>
      </c>
      <c r="X642" t="n">
        <v>186</v>
      </c>
      <c r="Y642" t="n">
        <v>198</v>
      </c>
      <c r="Z642" t="n">
        <v>95</v>
      </c>
      <c r="AA642" t="n">
        <v>4</v>
      </c>
      <c r="AB642" t="n">
        <v>6</v>
      </c>
      <c r="AC642" t="inlineStr">
        <is>
          <t xml:space="preserve"> Powder</t>
        </is>
      </c>
      <c r="AD642" t="inlineStr">
        <is>
          <t xml:space="preserve"> Touring</t>
        </is>
      </c>
      <c r="AG642" t="inlineStr">
        <is>
          <t>Elan Ripstick 116 Skis Â· 2022 Â· 185 cm</t>
        </is>
      </c>
      <c r="AH642" t="inlineStr">
        <is>
          <t>! OutdoorXL.com</t>
        </is>
      </c>
      <c r="AI642" s="333" t="n">
        <v>514.95</v>
      </c>
      <c r="AJ642" t="inlineStr">
        <is>
          <t>https://tinyurl.com/y9bdx5zm</t>
        </is>
      </c>
      <c r="AK642" t="inlineStr">
        <is>
          <t>Elan Ripstick 116 Flat Ski 2020-2021 | ORANGE / 185</t>
        </is>
      </c>
      <c r="AL642" t="inlineStr">
        <is>
          <t>Ski Pro  - Snow Ski &amp; Snowboard</t>
        </is>
      </c>
      <c r="AM642" s="333" t="n">
        <v>549.95</v>
      </c>
      <c r="AN642" t="inlineStr">
        <is>
          <t>https://tinyurl.com/y9k9zako</t>
        </is>
      </c>
      <c r="AO642" t="inlineStr">
        <is>
          <t>Elan Ripstick 116 Skis Â· 2022 Â· 185 cm</t>
        </is>
      </c>
      <c r="AP642" t="inlineStr">
        <is>
          <t>Snowinn.com</t>
        </is>
      </c>
      <c r="AQ642" s="333" t="n">
        <v>549.99</v>
      </c>
      <c r="AR642" t="inlineStr">
        <is>
          <t>https://tinyurl.com/ybmzfa3v</t>
        </is>
      </c>
      <c r="AS642" s="314">
        <f>IF(LEFT(C642,1)=" ",RIGHT(C642,LEN(C642)-1),C642)</f>
        <v/>
      </c>
      <c r="AT642" s="281">
        <f>_xlfn.CONCAT(B642,AS642,D642,E642)</f>
        <v/>
      </c>
    </row>
    <row r="643">
      <c r="A643" t="inlineStr">
        <is>
          <t>21/22</t>
        </is>
      </c>
      <c r="B643" t="inlineStr">
        <is>
          <t>K2</t>
        </is>
      </c>
      <c r="C643" t="inlineStr">
        <is>
          <t>Mindbender 88 Ti Alliance</t>
        </is>
      </c>
      <c r="D643" t="n">
        <v>149</v>
      </c>
      <c r="E643" t="inlineStr">
        <is>
          <t xml:space="preserve"> Women's</t>
        </is>
      </c>
      <c r="F643" t="n">
        <v>149</v>
      </c>
      <c r="G643" t="n">
        <v>149.1</v>
      </c>
      <c r="H643" t="n">
        <v>114</v>
      </c>
      <c r="I643" t="n">
        <v>125</v>
      </c>
      <c r="J643" t="n">
        <v>125</v>
      </c>
      <c r="K643" t="n">
        <v>88</v>
      </c>
      <c r="L643" t="n">
        <v>111</v>
      </c>
      <c r="M643" t="n">
        <v>12.1</v>
      </c>
      <c r="N643" t="n">
        <v>1401</v>
      </c>
      <c r="O643" t="n">
        <v>1.07</v>
      </c>
      <c r="P643" t="n">
        <v>1493</v>
      </c>
      <c r="Q643" t="n">
        <v>138</v>
      </c>
      <c r="R643" t="n">
        <v>89</v>
      </c>
      <c r="S643" t="n">
        <v>43</v>
      </c>
      <c r="T643" t="n">
        <v>187</v>
      </c>
      <c r="U643" t="n">
        <v>19</v>
      </c>
      <c r="V643" t="n">
        <v>161</v>
      </c>
      <c r="W643" t="n">
        <v>0.431</v>
      </c>
      <c r="X643" t="n">
        <v>144</v>
      </c>
      <c r="Y643" t="n">
        <v>93</v>
      </c>
      <c r="Z643" t="n">
        <v>43</v>
      </c>
      <c r="AA643" t="n">
        <v>7</v>
      </c>
      <c r="AB643" t="n">
        <v>10.1</v>
      </c>
      <c r="AC643" t="inlineStr">
        <is>
          <t xml:space="preserve"> Resort Freeride</t>
        </is>
      </c>
      <c r="AD643" t="inlineStr">
        <is>
          <t xml:space="preserve"> Touring</t>
        </is>
      </c>
      <c r="AG643" t="inlineStr">
        <is>
          <t>K2 Mindbender 88 Ti Alliance Skis 2021 149</t>
        </is>
      </c>
      <c r="AH643" t="inlineStr">
        <is>
          <t>Gear Coop</t>
        </is>
      </c>
      <c r="AI643" s="333" t="n">
        <v>800</v>
      </c>
      <c r="AJ643" t="inlineStr">
        <is>
          <t>https://tinyurl.com/ya29n38n</t>
        </is>
      </c>
      <c r="AK643" t="inlineStr">
        <is>
          <t>K2 Mindbender 85 Alliance Skis Women's 2022</t>
        </is>
      </c>
      <c r="AL643" t="inlineStr">
        <is>
          <t>PRFO Sports</t>
        </is>
      </c>
      <c r="AM643" s="333" t="n">
        <v>320.68</v>
      </c>
      <c r="AN643" t="inlineStr">
        <is>
          <t>https://tinyurl.com/y9n9j954</t>
        </is>
      </c>
      <c r="AO643" t="inlineStr">
        <is>
          <t>K2 Mindbender 88Ti Alliance Skis 2022 - Women's 149</t>
        </is>
      </c>
      <c r="AP643" t="inlineStr">
        <is>
          <t>JANS Mountain Outfitters</t>
        </is>
      </c>
      <c r="AQ643" s="333" t="n">
        <v>390</v>
      </c>
      <c r="AR643" t="inlineStr">
        <is>
          <t>https://tinyurl.com/y9knn5n7</t>
        </is>
      </c>
      <c r="AS643" s="314">
        <f>IF(LEFT(C643,1)=" ",RIGHT(C643,LEN(C643)-1),C643)</f>
        <v/>
      </c>
      <c r="AT643" s="281">
        <f>_xlfn.CONCAT(B643,AS643,D643,E643)</f>
        <v/>
      </c>
    </row>
    <row r="644">
      <c r="A644" t="inlineStr">
        <is>
          <t>21/22</t>
        </is>
      </c>
      <c r="B644" t="inlineStr">
        <is>
          <t xml:space="preserve"> Rossignol</t>
        </is>
      </c>
      <c r="C644" t="inlineStr">
        <is>
          <t>Experience 76</t>
        </is>
      </c>
      <c r="D644" t="n">
        <v>168</v>
      </c>
      <c r="E644" t="inlineStr">
        <is>
          <t xml:space="preserve"> Unisex</t>
        </is>
      </c>
      <c r="F644" t="n">
        <v>168</v>
      </c>
      <c r="G644" t="n">
        <v>168.6</v>
      </c>
      <c r="H644" t="n">
        <v>148</v>
      </c>
      <c r="I644" t="n">
        <v>154</v>
      </c>
      <c r="J644" t="n">
        <v>123</v>
      </c>
      <c r="K644" t="n">
        <v>76</v>
      </c>
      <c r="L644" t="n">
        <v>109</v>
      </c>
      <c r="M644" t="n">
        <v>14.3</v>
      </c>
      <c r="N644" t="n">
        <v>1613</v>
      </c>
      <c r="O644" t="n">
        <v>0.95</v>
      </c>
      <c r="P644" t="n">
        <v>1537</v>
      </c>
      <c r="Q644" t="n">
        <v>153</v>
      </c>
      <c r="R644" t="n">
        <v>57</v>
      </c>
      <c r="S644" t="n">
        <v>35</v>
      </c>
      <c r="T644" t="n">
        <v>143</v>
      </c>
      <c r="U644" t="n">
        <v>5</v>
      </c>
      <c r="V644" t="n">
        <v>68</v>
      </c>
      <c r="W644" t="n">
        <v>0.155</v>
      </c>
      <c r="X644" t="n">
        <v>69</v>
      </c>
      <c r="Y644" t="n">
        <v>82</v>
      </c>
      <c r="Z644" t="n">
        <v>74</v>
      </c>
      <c r="AA644" t="n">
        <v>14</v>
      </c>
      <c r="AB644" t="n">
        <v>8.699999999999999</v>
      </c>
      <c r="AC644" t="inlineStr">
        <is>
          <t xml:space="preserve"> On-Piste Carving</t>
        </is>
      </c>
      <c r="AG644" t="inlineStr">
        <is>
          <t>Rossignol Experience 76 Skis w/ Look Xpress 10 GW Bindings</t>
        </is>
      </c>
      <c r="AH644" t="inlineStr">
        <is>
          <t>The-House.com</t>
        </is>
      </c>
      <c r="AI644" s="333" t="n">
        <v>319.95</v>
      </c>
      <c r="AJ644" t="inlineStr">
        <is>
          <t>https://tinyurl.com/yd7mg8jp</t>
        </is>
      </c>
      <c r="AK644" t="inlineStr">
        <is>
          <t>Rossignol Experience 74 Blue 168 Ski Men</t>
        </is>
      </c>
      <c r="AL644" t="inlineStr">
        <is>
          <t>! OutdoorXL.com</t>
        </is>
      </c>
      <c r="AM644" s="333" t="n">
        <v>234.95</v>
      </c>
      <c r="AN644" t="inlineStr">
        <is>
          <t>https://tinyurl.com/y8p6ujmw</t>
        </is>
      </c>
      <c r="AO644" t="inlineStr">
        <is>
          <t xml:space="preserve"> Rossignol Experience 77 168 cm Mens Downhill Ski Combo</t>
        </is>
      </c>
      <c r="AP644" t="inlineStr">
        <is>
          <t>Play It Again Sports</t>
        </is>
      </c>
      <c r="AQ644" s="333" t="n">
        <v>299.99</v>
      </c>
      <c r="AR644" t="inlineStr">
        <is>
          <t>https://tinyurl.com/yazqbs5c</t>
        </is>
      </c>
      <c r="AS644" s="314">
        <f>IF(LEFT(C644,1)=" ",RIGHT(C644,LEN(C644)-1),C644)</f>
        <v/>
      </c>
      <c r="AT644" s="281">
        <f>_xlfn.CONCAT(B644,AS644,D644,E644)</f>
        <v/>
      </c>
    </row>
    <row r="645">
      <c r="A645" t="inlineStr">
        <is>
          <t>21/22</t>
        </is>
      </c>
      <c r="B645" t="inlineStr">
        <is>
          <t xml:space="preserve"> Rossignol</t>
        </is>
      </c>
      <c r="C645" t="inlineStr">
        <is>
          <t>Experience 82 Ti</t>
        </is>
      </c>
      <c r="D645" t="n">
        <v>160</v>
      </c>
      <c r="E645" t="inlineStr">
        <is>
          <t xml:space="preserve"> Unisex</t>
        </is>
      </c>
      <c r="F645" t="n">
        <v>160</v>
      </c>
      <c r="G645" t="n">
        <v>158.4</v>
      </c>
      <c r="H645" t="n">
        <v>119</v>
      </c>
      <c r="I645" t="n">
        <v>144</v>
      </c>
      <c r="J645" t="n">
        <v>125</v>
      </c>
      <c r="K645" t="n">
        <v>79</v>
      </c>
      <c r="L645" t="n">
        <v>113</v>
      </c>
      <c r="M645" t="n">
        <v>12.7</v>
      </c>
      <c r="N645" t="n">
        <v>1703</v>
      </c>
      <c r="O645" t="n">
        <v>0.88</v>
      </c>
      <c r="P645" t="n">
        <v>1490</v>
      </c>
      <c r="Q645" t="n">
        <v>167</v>
      </c>
      <c r="R645" t="n">
        <v>88</v>
      </c>
      <c r="S645" t="n">
        <v>49</v>
      </c>
      <c r="T645" t="n">
        <v>261</v>
      </c>
      <c r="U645" t="n">
        <v>14</v>
      </c>
      <c r="V645" t="n">
        <v>136</v>
      </c>
      <c r="W645" t="n">
        <v>0.291</v>
      </c>
      <c r="X645" t="n">
        <v>80</v>
      </c>
      <c r="Y645" t="n">
        <v>63</v>
      </c>
      <c r="Z645" t="n">
        <v>182</v>
      </c>
      <c r="AA645" t="n">
        <v>7</v>
      </c>
      <c r="AB645" t="n">
        <v>7</v>
      </c>
      <c r="AC645" t="inlineStr">
        <is>
          <t xml:space="preserve"> Other</t>
        </is>
      </c>
      <c r="AG645" t="inlineStr">
        <is>
          <t>Rossignol Experience 82 Ti Konnect Black 160 Ski Men</t>
        </is>
      </c>
      <c r="AH645" t="inlineStr">
        <is>
          <t>! OutdoorXL.com</t>
        </is>
      </c>
      <c r="AI645" s="333" t="n">
        <v>469.95</v>
      </c>
      <c r="AJ645" t="inlineStr">
        <is>
          <t>https://tinyurl.com/y7jw6bbo</t>
        </is>
      </c>
      <c r="AK645" t="inlineStr">
        <is>
          <t>Rossignol Men's All Mountain Skis Experience 82 Ti (konect)</t>
        </is>
      </c>
      <c r="AL645" t="inlineStr">
        <is>
          <t>Snowcountry.eu</t>
        </is>
      </c>
      <c r="AM645" s="333" t="n">
        <v>506.21</v>
      </c>
      <c r="AN645" t="inlineStr">
        <is>
          <t>https://tinyurl.com/ycajz5mo</t>
        </is>
      </c>
      <c r="AO645" t="inlineStr">
        <is>
          <t>Rossignol Experience 82 Ti Skis Mens 2022 Multicolor 160cm Skis</t>
        </is>
      </c>
      <c r="AP645" t="inlineStr">
        <is>
          <t>Aspen Ski and Board</t>
        </is>
      </c>
      <c r="AQ645" s="333" t="n">
        <v>559.95</v>
      </c>
      <c r="AR645" t="inlineStr">
        <is>
          <t>https://tinyurl.com/y7864v9d</t>
        </is>
      </c>
      <c r="AS645" s="314">
        <f>IF(LEFT(C645,1)=" ",RIGHT(C645,LEN(C645)-1),C645)</f>
        <v/>
      </c>
      <c r="AT645" s="281">
        <f>_xlfn.CONCAT(B645,AS645,D645,E645)</f>
        <v/>
      </c>
    </row>
    <row r="646">
      <c r="A646" t="inlineStr">
        <is>
          <t>21/22</t>
        </is>
      </c>
      <c r="B646" t="inlineStr">
        <is>
          <t xml:space="preserve"> Faction</t>
        </is>
      </c>
      <c r="C646" t="inlineStr">
        <is>
          <t>CT 3.0</t>
        </is>
      </c>
      <c r="D646" t="n">
        <v>184</v>
      </c>
      <c r="E646" t="inlineStr">
        <is>
          <t xml:space="preserve"> Unisex</t>
        </is>
      </c>
      <c r="F646" t="n">
        <v>184</v>
      </c>
      <c r="G646" t="n">
        <v>182.3</v>
      </c>
      <c r="H646" t="n">
        <v>113</v>
      </c>
      <c r="I646" t="n">
        <v>153</v>
      </c>
      <c r="J646" t="n">
        <v>139</v>
      </c>
      <c r="K646" t="n">
        <v>111</v>
      </c>
      <c r="L646" t="n">
        <v>133</v>
      </c>
      <c r="M646" t="n">
        <v>21.9</v>
      </c>
      <c r="N646" t="n">
        <v>2007</v>
      </c>
      <c r="O646" t="n">
        <v>1.09</v>
      </c>
      <c r="P646" t="n">
        <v>2189</v>
      </c>
      <c r="Q646" t="n">
        <v>237</v>
      </c>
      <c r="R646" t="n">
        <v>115</v>
      </c>
      <c r="S646" t="n">
        <v>57</v>
      </c>
      <c r="T646" t="n">
        <v>370</v>
      </c>
      <c r="U646" t="n">
        <v>52</v>
      </c>
      <c r="V646" t="n">
        <v>325</v>
      </c>
      <c r="W646" t="n">
        <v>0.922</v>
      </c>
      <c r="X646" t="n">
        <v>158</v>
      </c>
      <c r="Y646" t="n">
        <v>132</v>
      </c>
      <c r="Z646" t="n">
        <v>212</v>
      </c>
      <c r="AA646" t="n">
        <v>5</v>
      </c>
      <c r="AB646" t="n">
        <v>6.1</v>
      </c>
      <c r="AC646" t="inlineStr">
        <is>
          <t xml:space="preserve"> Freeski</t>
        </is>
      </c>
      <c r="AD646" t="inlineStr">
        <is>
          <t xml:space="preserve"> Powder</t>
        </is>
      </c>
      <c r="AE646" t="inlineStr">
        <is>
          <t xml:space="preserve"> Touring</t>
        </is>
      </c>
      <c r="AG646" t="inlineStr">
        <is>
          <t>Faction Ct 3.0 Skis</t>
        </is>
      </c>
      <c r="AH646" t="inlineStr">
        <is>
          <t>Powder7 Ski Shop</t>
        </is>
      </c>
      <c r="AI646" s="333" t="n">
        <v>639.9299999999999</v>
      </c>
      <c r="AJ646" t="inlineStr">
        <is>
          <t>https://tinyurl.com/y8ptyymo</t>
        </is>
      </c>
      <c r="AK646" t="inlineStr">
        <is>
          <t>Faction Ct 3.0 Skis</t>
        </is>
      </c>
      <c r="AL646" t="inlineStr">
        <is>
          <t>Blue Tomato</t>
        </is>
      </c>
      <c r="AM646" s="333" t="n">
        <v>646.58</v>
      </c>
      <c r="AN646" t="inlineStr">
        <is>
          <t>https://tinyurl.com/y9boggx2</t>
        </is>
      </c>
      <c r="AO646" t="inlineStr">
        <is>
          <t>Faction CT 1.0 21/22</t>
        </is>
      </c>
      <c r="AP646" t="inlineStr">
        <is>
          <t>PRFO Sports</t>
        </is>
      </c>
      <c r="AQ646" s="333" t="n">
        <v>448.15</v>
      </c>
      <c r="AR646" t="inlineStr">
        <is>
          <t>https://tinyurl.com/ybdyjyr6</t>
        </is>
      </c>
      <c r="AS646" s="314">
        <f>IF(LEFT(C646,1)=" ",RIGHT(C646,LEN(C646)-1),C646)</f>
        <v/>
      </c>
      <c r="AT646" s="281">
        <f>_xlfn.CONCAT(B646,AS646,D646,E646)</f>
        <v/>
      </c>
    </row>
    <row r="647">
      <c r="A647" t="inlineStr">
        <is>
          <t>21/22</t>
        </is>
      </c>
      <c r="B647" t="inlineStr">
        <is>
          <t xml:space="preserve"> Vï¿½lkl</t>
        </is>
      </c>
      <c r="C647" t="inlineStr">
        <is>
          <t>Revolt 87</t>
        </is>
      </c>
      <c r="D647" t="n">
        <v>177</v>
      </c>
      <c r="E647" t="inlineStr">
        <is>
          <t xml:space="preserve"> Unisex</t>
        </is>
      </c>
      <c r="F647" t="n">
        <v>177</v>
      </c>
      <c r="G647" t="n">
        <v>173.4</v>
      </c>
      <c r="H647" t="n">
        <v>139</v>
      </c>
      <c r="I647" t="n">
        <v>152</v>
      </c>
      <c r="J647" t="n">
        <v>115</v>
      </c>
      <c r="K647" t="n">
        <v>86</v>
      </c>
      <c r="L647" t="n">
        <v>114</v>
      </c>
      <c r="M647" t="n">
        <v>20</v>
      </c>
      <c r="N647" t="n">
        <v>1911</v>
      </c>
      <c r="O647" t="n">
        <v>0.87</v>
      </c>
      <c r="P647" t="n">
        <v>1670</v>
      </c>
      <c r="Q647" t="n">
        <v>234</v>
      </c>
      <c r="R647" t="n">
        <v>113</v>
      </c>
      <c r="S647" t="n">
        <v>45</v>
      </c>
      <c r="T647" t="n">
        <v>175</v>
      </c>
      <c r="U647" t="n">
        <v>42</v>
      </c>
      <c r="V647" t="n">
        <v>167</v>
      </c>
      <c r="W647" t="n">
        <v>0.9409999999999999</v>
      </c>
      <c r="X647" t="n">
        <v>103</v>
      </c>
      <c r="Y647" t="n">
        <v>108</v>
      </c>
      <c r="Z647" t="n">
        <v>72</v>
      </c>
      <c r="AA647" t="n">
        <v>6</v>
      </c>
      <c r="AB647" t="n">
        <v>0.5</v>
      </c>
      <c r="AC647" t="inlineStr">
        <is>
          <t xml:space="preserve"> Freeski</t>
        </is>
      </c>
      <c r="AG647" t="inlineStr">
        <is>
          <t>Volkl Revolt 87 Skis</t>
        </is>
      </c>
      <c r="AH647" t="inlineStr">
        <is>
          <t>Blue Tomato</t>
        </is>
      </c>
      <c r="AI647" s="333" t="n">
        <v>387.05</v>
      </c>
      <c r="AJ647" t="inlineStr">
        <is>
          <t>https://tinyurl.com/y8ujldh2</t>
        </is>
      </c>
      <c r="AK647" t="inlineStr">
        <is>
          <t>Volkl Revolt 87 177cm</t>
        </is>
      </c>
      <c r="AL647" t="inlineStr">
        <is>
          <t>Sundance Ski and Board Shop</t>
        </is>
      </c>
      <c r="AM647" s="333" t="n">
        <v>440.94</v>
      </c>
      <c r="AN647" t="inlineStr">
        <is>
          <t>https://tinyurl.com/ybc69bm7</t>
        </is>
      </c>
      <c r="AO647" t="inlineStr">
        <is>
          <t>VÃ¶lkl Rise Up 82 Touring Skis 177</t>
        </is>
      </c>
      <c r="AP647" t="inlineStr">
        <is>
          <t>Snowcountry.eu</t>
        </is>
      </c>
      <c r="AQ647" s="333" t="n">
        <v>322.69</v>
      </c>
      <c r="AR647" t="inlineStr">
        <is>
          <t>https://tinyurl.com/ycxet7np</t>
        </is>
      </c>
      <c r="AS647" s="314">
        <f>IF(LEFT(C647,1)=" ",RIGHT(C647,LEN(C647)-1),C647)</f>
        <v/>
      </c>
      <c r="AT647" s="281">
        <f>_xlfn.CONCAT(B647,AS647,D647,E647)</f>
        <v/>
      </c>
    </row>
    <row r="648">
      <c r="A648" t="inlineStr">
        <is>
          <t>21/22</t>
        </is>
      </c>
      <c r="B648" t="inlineStr">
        <is>
          <t xml:space="preserve"> Elan</t>
        </is>
      </c>
      <c r="C648" t="inlineStr">
        <is>
          <t>Insomnia 16 Ti</t>
        </is>
      </c>
      <c r="D648" t="n">
        <v>152</v>
      </c>
      <c r="E648" t="inlineStr">
        <is>
          <t xml:space="preserve"> Women's</t>
        </is>
      </c>
      <c r="F648" t="n">
        <v>152</v>
      </c>
      <c r="G648" t="n">
        <v>152.8</v>
      </c>
      <c r="H648" t="n">
        <v>134</v>
      </c>
      <c r="I648" t="n">
        <v>142</v>
      </c>
      <c r="J648" t="n">
        <v>121</v>
      </c>
      <c r="K648" t="n">
        <v>72</v>
      </c>
      <c r="L648" t="n">
        <v>103</v>
      </c>
      <c r="M648" t="n">
        <v>12.3</v>
      </c>
      <c r="N648" t="n">
        <v>1690</v>
      </c>
      <c r="O648" t="n">
        <v>0.79</v>
      </c>
      <c r="P648" t="n">
        <v>1337</v>
      </c>
      <c r="Q648" t="n">
        <v>183</v>
      </c>
      <c r="R648" t="n">
        <v>72</v>
      </c>
      <c r="S648" t="n">
        <v>41</v>
      </c>
      <c r="T648" t="n">
        <v>136</v>
      </c>
      <c r="U648" t="n">
        <v>4</v>
      </c>
      <c r="V648" t="n">
        <v>49</v>
      </c>
      <c r="W648" t="n">
        <v>0.096</v>
      </c>
      <c r="X648" t="n">
        <v>74</v>
      </c>
      <c r="Y648" t="n">
        <v>39</v>
      </c>
      <c r="Z648" t="n">
        <v>63</v>
      </c>
      <c r="AA648" t="n">
        <v>6</v>
      </c>
      <c r="AB648" t="n">
        <v>10.1</v>
      </c>
      <c r="AC648" t="inlineStr">
        <is>
          <t xml:space="preserve"> On-Piste Carving</t>
        </is>
      </c>
      <c r="AG648" t="inlineStr">
        <is>
          <t>Elan Insomnia Elite Ti 152</t>
        </is>
      </c>
      <c r="AH648" t="inlineStr">
        <is>
          <t>Winteriscalling.com</t>
        </is>
      </c>
      <c r="AI648" s="333" t="n">
        <v>899.99</v>
      </c>
      <c r="AJ648" t="inlineStr">
        <is>
          <t>https://tinyurl.com/y7k7jhnh</t>
        </is>
      </c>
      <c r="AK648" t="inlineStr">
        <is>
          <t>Elan Amphibio 14 Ti + EMX 11 Fusionx 21/22</t>
        </is>
      </c>
      <c r="AL648" t="inlineStr">
        <is>
          <t>Snowcountry.eu</t>
        </is>
      </c>
      <c r="AM648" s="333" t="n">
        <v>414</v>
      </c>
      <c r="AN648" t="inlineStr">
        <is>
          <t>https://tinyurl.com/y77yzstk</t>
        </is>
      </c>
      <c r="AO648" t="inlineStr">
        <is>
          <t>Elan Amphibio 14 Ti + EMX 11 Fusionx 21/22</t>
        </is>
      </c>
      <c r="AP648" t="inlineStr">
        <is>
          <t>! OutdoorXL.com</t>
        </is>
      </c>
      <c r="AQ648" s="333" t="n">
        <v>424.95</v>
      </c>
      <c r="AR648" t="inlineStr">
        <is>
          <t>https://tinyurl.com/y9nmdbu2</t>
        </is>
      </c>
      <c r="AS648" s="314">
        <f>IF(LEFT(C648,1)=" ",RIGHT(C648,LEN(C648)-1),C648)</f>
        <v/>
      </c>
      <c r="AT648" s="281">
        <f>_xlfn.CONCAT(B648,AS648,D648,E648)</f>
        <v/>
      </c>
    </row>
    <row r="649">
      <c r="A649" t="inlineStr">
        <is>
          <t>21/22</t>
        </is>
      </c>
      <c r="B649" t="inlineStr">
        <is>
          <t xml:space="preserve"> Vï¿½lkl</t>
        </is>
      </c>
      <c r="C649" t="inlineStr">
        <is>
          <t>Bash 86 W</t>
        </is>
      </c>
      <c r="D649" t="n">
        <v>164</v>
      </c>
      <c r="E649" t="inlineStr">
        <is>
          <t xml:space="preserve"> Women's</t>
        </is>
      </c>
      <c r="F649" t="n">
        <v>164</v>
      </c>
      <c r="G649" t="n">
        <v>162.5</v>
      </c>
      <c r="H649" t="n">
        <v>110</v>
      </c>
      <c r="I649" t="n">
        <v>147</v>
      </c>
      <c r="J649" t="n">
        <v>120</v>
      </c>
      <c r="K649" t="n">
        <v>86</v>
      </c>
      <c r="L649" t="n">
        <v>110</v>
      </c>
      <c r="M649" t="n">
        <v>18.2</v>
      </c>
      <c r="N649" t="n">
        <v>1600</v>
      </c>
      <c r="O649" t="n">
        <v>0.98</v>
      </c>
      <c r="P649" t="n">
        <v>1562</v>
      </c>
      <c r="Q649" t="n">
        <v>171</v>
      </c>
      <c r="R649" t="n">
        <v>78</v>
      </c>
      <c r="S649" t="n">
        <v>41</v>
      </c>
      <c r="T649" t="n">
        <v>269</v>
      </c>
      <c r="U649" t="n">
        <v>40</v>
      </c>
      <c r="V649" t="n">
        <v>254</v>
      </c>
      <c r="W649" t="n">
        <v>0.973</v>
      </c>
      <c r="X649" t="n">
        <v>78</v>
      </c>
      <c r="Y649" t="n">
        <v>76</v>
      </c>
      <c r="Z649" t="n">
        <v>191</v>
      </c>
      <c r="AA649" t="n">
        <v>2</v>
      </c>
      <c r="AB649" t="n">
        <v>2.2</v>
      </c>
      <c r="AC649" t="inlineStr">
        <is>
          <t xml:space="preserve"> Freeski</t>
        </is>
      </c>
      <c r="AG649" t="inlineStr">
        <is>
          <t>W Bash 86 2022 164cm</t>
        </is>
      </c>
      <c r="AH649" t="inlineStr">
        <is>
          <t>Suburban Ski and Bike</t>
        </is>
      </c>
      <c r="AI649" s="333" t="n">
        <v>399.99</v>
      </c>
      <c r="AJ649" t="inlineStr">
        <is>
          <t>https://tinyurl.com/y7rtfga6</t>
        </is>
      </c>
      <c r="AK649" t="inlineStr">
        <is>
          <t>Volkl Bash 86 2020</t>
        </is>
      </c>
      <c r="AL649" t="inlineStr">
        <is>
          <t>eBay - asogear</t>
        </is>
      </c>
      <c r="AM649" s="333" t="n">
        <v>319.99</v>
      </c>
      <c r="AN649" t="inlineStr">
        <is>
          <t>https://tinyurl.com/yb6b2uf3</t>
        </is>
      </c>
      <c r="AO649" t="inlineStr">
        <is>
          <t>Volkl Bash 86 164cm</t>
        </is>
      </c>
      <c r="AP649" t="inlineStr">
        <is>
          <t>Sundance Ski and Board Shop</t>
        </is>
      </c>
      <c r="AQ649" s="333" t="n">
        <v>320.68</v>
      </c>
      <c r="AR649" t="inlineStr">
        <is>
          <t>https://tinyurl.com/y7o9wke4</t>
        </is>
      </c>
      <c r="AS649" s="314">
        <f>IF(LEFT(C649,1)=" ",RIGHT(C649,LEN(C649)-1),C649)</f>
        <v/>
      </c>
      <c r="AT649" s="281">
        <f>_xlfn.CONCAT(B649,AS649,D649,E649)</f>
        <v/>
      </c>
    </row>
    <row r="650">
      <c r="A650" t="inlineStr">
        <is>
          <t>21/22</t>
        </is>
      </c>
      <c r="B650" t="inlineStr">
        <is>
          <t xml:space="preserve"> Atomic</t>
        </is>
      </c>
      <c r="C650" t="inlineStr">
        <is>
          <t>Cloud C11 WB</t>
        </is>
      </c>
      <c r="D650" t="n">
        <v>160</v>
      </c>
      <c r="E650" t="inlineStr">
        <is>
          <t xml:space="preserve"> Women's</t>
        </is>
      </c>
      <c r="F650" t="n">
        <v>160</v>
      </c>
      <c r="G650" t="n">
        <v>159.3</v>
      </c>
      <c r="H650" t="n">
        <v>138</v>
      </c>
      <c r="I650" t="n">
        <v>145</v>
      </c>
      <c r="J650" t="n">
        <v>122</v>
      </c>
      <c r="K650" t="n">
        <v>74</v>
      </c>
      <c r="L650" t="n">
        <v>106</v>
      </c>
      <c r="M650" t="n">
        <v>13</v>
      </c>
      <c r="N650" t="n">
        <v>1544</v>
      </c>
      <c r="O650" t="n">
        <v>0.92</v>
      </c>
      <c r="P650" t="n">
        <v>1425</v>
      </c>
      <c r="Q650" t="n">
        <v>180</v>
      </c>
      <c r="R650" t="n">
        <v>65</v>
      </c>
      <c r="S650" t="n">
        <v>39</v>
      </c>
      <c r="T650" t="n">
        <v>149</v>
      </c>
      <c r="U650" t="n">
        <v>5</v>
      </c>
      <c r="V650" t="n">
        <v>59</v>
      </c>
      <c r="W650" t="n">
        <v>0.121</v>
      </c>
      <c r="X650" t="n">
        <v>83</v>
      </c>
      <c r="Y650" t="n">
        <v>56</v>
      </c>
      <c r="Z650" t="n">
        <v>66</v>
      </c>
      <c r="AA650" t="n">
        <v>3</v>
      </c>
      <c r="AB650" t="n">
        <v>13.2</v>
      </c>
      <c r="AC650" t="inlineStr">
        <is>
          <t xml:space="preserve"> On-Piste Carving</t>
        </is>
      </c>
      <c r="AG650" t="inlineStr">
        <is>
          <t>Atomic Women's Cloud 11 Skis with M 10 GW Bindings 160</t>
        </is>
      </c>
      <c r="AH650" t="inlineStr">
        <is>
          <t>eBay - asogear</t>
        </is>
      </c>
      <c r="AI650" s="333" t="n">
        <v>509.99</v>
      </c>
      <c r="AJ650" t="inlineStr">
        <is>
          <t>https://tinyurl.com/y7voq4wz</t>
        </is>
      </c>
      <c r="AK650" t="inlineStr">
        <is>
          <t>Atomic Women's Cloud 11 Skis with M 10 GW Bindings 160</t>
        </is>
      </c>
      <c r="AL650" t="inlineStr">
        <is>
          <t>The-House.com</t>
        </is>
      </c>
      <c r="AM650" s="333" t="n">
        <v>559.99</v>
      </c>
      <c r="AN650" t="inlineStr">
        <is>
          <t>https://tinyurl.com/ya8kqoac</t>
        </is>
      </c>
      <c r="AO650" t="inlineStr">
        <is>
          <t>Atomic Women's Cloud 11 Skis with M 10 GW Bindings 160</t>
        </is>
      </c>
      <c r="AP650" t="inlineStr">
        <is>
          <t>WinterWomen.com</t>
        </is>
      </c>
      <c r="AQ650" s="333" t="n">
        <v>699.95</v>
      </c>
      <c r="AR650" t="inlineStr">
        <is>
          <t>https://tinyurl.com/ya9u89hr</t>
        </is>
      </c>
      <c r="AS650" s="314">
        <f>IF(LEFT(C650,1)=" ",RIGHT(C650,LEN(C650)-1),C650)</f>
        <v/>
      </c>
      <c r="AT650" s="281">
        <f>_xlfn.CONCAT(B650,AS650,D650,E650)</f>
        <v/>
      </c>
    </row>
    <row r="651">
      <c r="A651" t="inlineStr">
        <is>
          <t>21/22</t>
        </is>
      </c>
      <c r="B651" t="inlineStr">
        <is>
          <t xml:space="preserve"> Vï¿½lkl</t>
        </is>
      </c>
      <c r="C651" t="inlineStr">
        <is>
          <t>Flair 75</t>
        </is>
      </c>
      <c r="D651" t="n">
        <v>147</v>
      </c>
      <c r="E651" t="inlineStr">
        <is>
          <t xml:space="preserve"> Women's</t>
        </is>
      </c>
      <c r="F651" t="n">
        <v>147</v>
      </c>
      <c r="G651" t="n">
        <v>148</v>
      </c>
      <c r="H651" t="n">
        <v>130</v>
      </c>
      <c r="I651" t="n">
        <v>136</v>
      </c>
      <c r="J651" t="n">
        <v>125</v>
      </c>
      <c r="K651" t="n">
        <v>74</v>
      </c>
      <c r="L651" t="n">
        <v>104</v>
      </c>
      <c r="M651" t="n">
        <v>11.3</v>
      </c>
      <c r="N651" t="n">
        <v>1633</v>
      </c>
      <c r="O651" t="n">
        <v>0.8100000000000001</v>
      </c>
      <c r="P651" t="n">
        <v>1324</v>
      </c>
      <c r="Q651" t="n">
        <v>158</v>
      </c>
      <c r="R651" t="n">
        <v>61</v>
      </c>
      <c r="S651" t="n">
        <v>33</v>
      </c>
      <c r="T651" t="n">
        <v>124</v>
      </c>
      <c r="U651" t="n">
        <v>5</v>
      </c>
      <c r="V651" t="n">
        <v>53</v>
      </c>
      <c r="W651" t="n">
        <v>0.163</v>
      </c>
      <c r="X651" t="n">
        <v>65</v>
      </c>
      <c r="Y651" t="n">
        <v>57</v>
      </c>
      <c r="Z651" t="n">
        <v>59</v>
      </c>
      <c r="AA651" t="n">
        <v>6</v>
      </c>
      <c r="AB651" t="n">
        <v>11.4</v>
      </c>
      <c r="AC651" t="inlineStr">
        <is>
          <t xml:space="preserve"> On-Piste Carving</t>
        </is>
      </c>
      <c r="AG651" t="inlineStr">
        <is>
          <t>Volkl Flair 75 + vMotion 10 GW Lady</t>
        </is>
      </c>
      <c r="AH651" t="inlineStr">
        <is>
          <t>Gorham Bike and Ski</t>
        </is>
      </c>
      <c r="AI651" s="333" t="n">
        <v>489.99</v>
      </c>
      <c r="AJ651" t="inlineStr">
        <is>
          <t>https://tinyurl.com/y8x8a488</t>
        </is>
      </c>
      <c r="AK651" t="inlineStr">
        <is>
          <t>2022 Volkl Flair 75 Womens Skis W/ Vmotion3 11 Alu Gw Bindings</t>
        </is>
      </c>
      <c r="AL651" t="inlineStr">
        <is>
          <t>eBay - asogear</t>
        </is>
      </c>
      <c r="AM651" s="333" t="n">
        <v>559.99</v>
      </c>
      <c r="AN651" t="inlineStr">
        <is>
          <t>https://tinyurl.com/ycrnwk8k</t>
        </is>
      </c>
      <c r="AO651" t="inlineStr">
        <is>
          <t>Volkl Women's Flair 75 Skis + vMotion 3 Bindings 147</t>
        </is>
      </c>
      <c r="AP651" t="inlineStr">
        <is>
          <t>The-House.com</t>
        </is>
      </c>
      <c r="AQ651" s="333" t="n">
        <v>559.99</v>
      </c>
      <c r="AR651" t="inlineStr">
        <is>
          <t>https://tinyurl.com/y7omc3oz</t>
        </is>
      </c>
      <c r="AS651" s="314">
        <f>IF(LEFT(C651,1)=" ",RIGHT(C651,LEN(C651)-1),C651)</f>
        <v/>
      </c>
      <c r="AT651" s="281">
        <f>_xlfn.CONCAT(B651,AS651,D651,E651)</f>
        <v/>
      </c>
    </row>
    <row r="652">
      <c r="A652" t="inlineStr">
        <is>
          <t>21/22</t>
        </is>
      </c>
      <c r="B652" t="inlineStr">
        <is>
          <t xml:space="preserve"> Salomon</t>
        </is>
      </c>
      <c r="C652" t="inlineStr">
        <is>
          <t>QST Lux 92</t>
        </is>
      </c>
      <c r="D652" t="n">
        <v>153</v>
      </c>
      <c r="E652" t="inlineStr">
        <is>
          <t xml:space="preserve"> Women's</t>
        </is>
      </c>
      <c r="F652" t="n">
        <v>153</v>
      </c>
      <c r="G652" t="n">
        <v>152.2</v>
      </c>
      <c r="H652" t="n">
        <v>115</v>
      </c>
      <c r="I652" t="n">
        <v>128</v>
      </c>
      <c r="J652" t="n">
        <v>127</v>
      </c>
      <c r="K652" t="n">
        <v>92</v>
      </c>
      <c r="L652" t="n">
        <v>110</v>
      </c>
      <c r="M652" t="n">
        <v>13.2</v>
      </c>
      <c r="N652" t="n">
        <v>1584</v>
      </c>
      <c r="O652" t="n">
        <v>1</v>
      </c>
      <c r="P652" t="n">
        <v>1576</v>
      </c>
      <c r="Q652" t="n">
        <v>160</v>
      </c>
      <c r="R652" t="n">
        <v>78</v>
      </c>
      <c r="S652" t="n">
        <v>55</v>
      </c>
      <c r="T652" t="n">
        <v>262</v>
      </c>
      <c r="U652" t="n">
        <v>13</v>
      </c>
      <c r="V652" t="n">
        <v>107</v>
      </c>
      <c r="W652" t="n">
        <v>0.24</v>
      </c>
      <c r="X652" t="n">
        <v>136</v>
      </c>
      <c r="Y652" t="n">
        <v>106</v>
      </c>
      <c r="Z652" t="n">
        <v>125</v>
      </c>
      <c r="AA652" t="n">
        <v>10</v>
      </c>
      <c r="AB652" t="n">
        <v>7.7</v>
      </c>
      <c r="AC652" t="inlineStr">
        <is>
          <t xml:space="preserve"> Resort Freeride</t>
        </is>
      </c>
      <c r="AG652" t="inlineStr">
        <is>
          <t>Salomon QST Lux 92 Skis 153 W/ Bindings - Sports &amp; outdoors</t>
        </is>
      </c>
      <c r="AH652" t="inlineStr">
        <is>
          <t>Mercari</t>
        </is>
      </c>
      <c r="AI652" s="333" t="n">
        <v>325</v>
      </c>
      <c r="AJ652" t="inlineStr">
        <is>
          <t>https://tinyurl.com/yats2syc</t>
        </is>
      </c>
      <c r="AK652" t="inlineStr">
        <is>
          <t>Salomon Other | Salomon Qst Lux 92 153 Skis W Bindings | Color: Black | Size: 153 | Kll86's Closet</t>
        </is>
      </c>
      <c r="AL652" t="inlineStr">
        <is>
          <t>Poshmark</t>
        </is>
      </c>
      <c r="AM652" s="333" t="n">
        <v>375</v>
      </c>
      <c r="AN652" t="inlineStr">
        <is>
          <t>https://tinyurl.com/y7o878m2</t>
        </is>
      </c>
      <c r="AO652" t="inlineStr">
        <is>
          <t>Salomon QST Lux 92 Skis</t>
        </is>
      </c>
      <c r="AP652" t="inlineStr">
        <is>
          <t>Ski Pro  - Snow Ski &amp; Snowboard</t>
        </is>
      </c>
      <c r="AQ652" s="333" t="n">
        <v>399.95</v>
      </c>
      <c r="AR652" t="inlineStr">
        <is>
          <t>https://tinyurl.com/y8ommkht</t>
        </is>
      </c>
      <c r="AS652" s="314">
        <f>IF(LEFT(C652,1)=" ",RIGHT(C652,LEN(C652)-1),C652)</f>
        <v/>
      </c>
      <c r="AT652" s="281">
        <f>_xlfn.CONCAT(B652,AS652,D652,E652)</f>
        <v/>
      </c>
    </row>
    <row r="653">
      <c r="A653" t="inlineStr">
        <is>
          <t>21/22</t>
        </is>
      </c>
      <c r="B653" t="inlineStr">
        <is>
          <t xml:space="preserve"> Elan</t>
        </is>
      </c>
      <c r="C653" t="inlineStr">
        <is>
          <t>Ripstick 88</t>
        </is>
      </c>
      <c r="D653" t="n">
        <v>172</v>
      </c>
      <c r="E653" t="inlineStr">
        <is>
          <t xml:space="preserve"> Unisex</t>
        </is>
      </c>
      <c r="F653" t="n">
        <v>172</v>
      </c>
      <c r="G653" t="n">
        <v>170.4</v>
      </c>
      <c r="H653" t="n">
        <v>128</v>
      </c>
      <c r="I653" t="n">
        <v>138</v>
      </c>
      <c r="J653" t="n">
        <v>129</v>
      </c>
      <c r="K653" t="n">
        <v>87</v>
      </c>
      <c r="L653" t="n">
        <v>104</v>
      </c>
      <c r="M653" t="n">
        <v>15.4</v>
      </c>
      <c r="N653" t="n">
        <v>1539</v>
      </c>
      <c r="O653" t="n">
        <v>1.11</v>
      </c>
      <c r="P653" t="n">
        <v>1713</v>
      </c>
      <c r="Q653" t="n">
        <v>182</v>
      </c>
      <c r="R653" t="n">
        <v>67</v>
      </c>
      <c r="S653" t="n">
        <v>49</v>
      </c>
      <c r="T653" t="n">
        <v>233</v>
      </c>
      <c r="U653" t="n">
        <v>16</v>
      </c>
      <c r="V653" t="n">
        <v>191</v>
      </c>
      <c r="W653" t="n">
        <v>0.324</v>
      </c>
      <c r="X653" t="n">
        <v>152</v>
      </c>
      <c r="Y653" t="n">
        <v>167</v>
      </c>
      <c r="Z653" t="n">
        <v>81</v>
      </c>
      <c r="AA653" t="n">
        <v>4</v>
      </c>
      <c r="AB653" t="n">
        <v>9.300000000000001</v>
      </c>
      <c r="AC653" t="inlineStr">
        <is>
          <t xml:space="preserve"> Resort Freeride</t>
        </is>
      </c>
      <c r="AD653" t="inlineStr">
        <is>
          <t xml:space="preserve"> Touring</t>
        </is>
      </c>
      <c r="AG653" t="inlineStr">
        <is>
          <t>Elan Ripstick 88 Skis</t>
        </is>
      </c>
      <c r="AH653" t="inlineStr">
        <is>
          <t>Powder7 Ski Shop</t>
        </is>
      </c>
      <c r="AI653" s="333" t="n">
        <v>499.95</v>
      </c>
      <c r="AJ653" t="inlineStr">
        <is>
          <t>https://tinyurl.com/y7bgbeul</t>
        </is>
      </c>
      <c r="AK653" t="inlineStr">
        <is>
          <t>Elan Ripstick 88 Skis</t>
        </is>
      </c>
      <c r="AL653" t="inlineStr">
        <is>
          <t>Sage to Summit</t>
        </is>
      </c>
      <c r="AM653" s="333" t="n">
        <v>599.99</v>
      </c>
      <c r="AN653" t="inlineStr">
        <is>
          <t>https://tinyurl.com/y9j7kpty</t>
        </is>
      </c>
      <c r="AO653" t="inlineStr">
        <is>
          <t>Elan Ripstick 88 Skis</t>
        </is>
      </c>
      <c r="AP653" t="inlineStr">
        <is>
          <t>Geiger's</t>
        </is>
      </c>
      <c r="AQ653" s="333" t="n">
        <v>750</v>
      </c>
      <c r="AR653" t="inlineStr">
        <is>
          <t>https://tinyurl.com/ycpmq2da</t>
        </is>
      </c>
      <c r="AS653" s="314">
        <f>IF(LEFT(C653,1)=" ",RIGHT(C653,LEN(C653)-1),C653)</f>
        <v/>
      </c>
      <c r="AT653" s="281">
        <f>_xlfn.CONCAT(B653,AS653,D653,E653)</f>
        <v/>
      </c>
    </row>
    <row r="654">
      <c r="A654" t="inlineStr">
        <is>
          <t>21/22</t>
        </is>
      </c>
      <c r="B654" t="inlineStr">
        <is>
          <t xml:space="preserve"> Elan</t>
        </is>
      </c>
      <c r="C654" t="inlineStr">
        <is>
          <t>Wildcat 82 CX</t>
        </is>
      </c>
      <c r="D654" t="n">
        <v>158</v>
      </c>
      <c r="E654" t="inlineStr">
        <is>
          <t xml:space="preserve"> Women's</t>
        </is>
      </c>
      <c r="F654" t="n">
        <v>158</v>
      </c>
      <c r="G654" t="n">
        <v>159.3</v>
      </c>
      <c r="H654" t="n">
        <v>126</v>
      </c>
      <c r="I654" t="n">
        <v>139</v>
      </c>
      <c r="J654" t="n">
        <v>129</v>
      </c>
      <c r="K654" t="n">
        <v>81</v>
      </c>
      <c r="L654" t="n">
        <v>112</v>
      </c>
      <c r="M654" t="n">
        <v>12</v>
      </c>
      <c r="N654" t="n">
        <v>1737</v>
      </c>
      <c r="O654" t="n">
        <v>0.89</v>
      </c>
      <c r="P654" t="n">
        <v>1543</v>
      </c>
      <c r="Q654" t="n">
        <v>192</v>
      </c>
      <c r="R654" t="n">
        <v>75</v>
      </c>
      <c r="S654" t="n">
        <v>45</v>
      </c>
      <c r="T654" t="n">
        <v>196</v>
      </c>
      <c r="U654" t="n">
        <v>11</v>
      </c>
      <c r="V654" t="n">
        <v>133</v>
      </c>
      <c r="W654" t="n">
        <v>0.24</v>
      </c>
      <c r="X654" t="n">
        <v>110</v>
      </c>
      <c r="Y654" t="n">
        <v>94</v>
      </c>
      <c r="Z654" t="n">
        <v>86</v>
      </c>
      <c r="AA654" t="n">
        <v>6</v>
      </c>
      <c r="AB654" t="n">
        <v>8.4</v>
      </c>
      <c r="AC654" t="inlineStr">
        <is>
          <t xml:space="preserve"> On-Piste All-Mountain</t>
        </is>
      </c>
      <c r="AD654" t="inlineStr">
        <is>
          <t xml:space="preserve"> Resort Freeride</t>
        </is>
      </c>
      <c r="AG654" t="inlineStr">
        <is>
          <t>Elan Wildcat 82 CX + ELW 11 Shift 21/22</t>
        </is>
      </c>
      <c r="AH654" t="inlineStr">
        <is>
          <t>Snowcountry.eu</t>
        </is>
      </c>
      <c r="AI654" s="333" t="n">
        <v>414</v>
      </c>
      <c r="AJ654" t="inlineStr">
        <is>
          <t>https://tinyurl.com/y9x9gquk</t>
        </is>
      </c>
      <c r="AK654" t="inlineStr">
        <is>
          <t>Elan Wildcat 82 C Skis 2022 Womenâ€™s 158cm</t>
        </is>
      </c>
      <c r="AL654" t="inlineStr">
        <is>
          <t>eBay</t>
        </is>
      </c>
      <c r="AM654" s="333" t="n">
        <v>359.99</v>
      </c>
      <c r="AN654" t="inlineStr">
        <is>
          <t>https://tinyurl.com/y9r67n5y</t>
        </is>
      </c>
      <c r="AO654" t="inlineStr">
        <is>
          <t>Elan Wildcat 82C Flat Skis (Women's) 158</t>
        </is>
      </c>
      <c r="AP654" t="inlineStr">
        <is>
          <t>shop.petersonsskiandcycle.com</t>
        </is>
      </c>
      <c r="AQ654" s="333" t="n">
        <v>399.99</v>
      </c>
      <c r="AR654" t="inlineStr">
        <is>
          <t>https://tinyurl.com/ycbboop3</t>
        </is>
      </c>
      <c r="AS654" s="314">
        <f>IF(LEFT(C654,1)=" ",RIGHT(C654,LEN(C654)-1),C654)</f>
        <v/>
      </c>
      <c r="AT654" s="281">
        <f>_xlfn.CONCAT(B654,AS654,D654,E654)</f>
        <v/>
      </c>
    </row>
    <row r="655">
      <c r="A655" t="inlineStr">
        <is>
          <t>21/22</t>
        </is>
      </c>
      <c r="B655" t="inlineStr">
        <is>
          <t xml:space="preserve"> Head</t>
        </is>
      </c>
      <c r="C655" t="inlineStr">
        <is>
          <t>V-Shape V4</t>
        </is>
      </c>
      <c r="D655" t="n">
        <v>163</v>
      </c>
      <c r="E655" t="inlineStr">
        <is>
          <t xml:space="preserve"> Unisex</t>
        </is>
      </c>
      <c r="F655" t="n">
        <v>163</v>
      </c>
      <c r="G655" t="n">
        <v>162.6</v>
      </c>
      <c r="H655" t="n">
        <v>143</v>
      </c>
      <c r="I655" t="n">
        <v>150</v>
      </c>
      <c r="J655" t="n">
        <v>130</v>
      </c>
      <c r="K655" t="n">
        <v>72</v>
      </c>
      <c r="L655" t="n">
        <v>111</v>
      </c>
      <c r="M655" t="n">
        <v>11.4</v>
      </c>
      <c r="N655" t="n">
        <v>1796</v>
      </c>
      <c r="O655" t="n">
        <v>0.82</v>
      </c>
      <c r="P655" t="n">
        <v>1468</v>
      </c>
      <c r="Q655" t="n">
        <v>158</v>
      </c>
      <c r="R655" t="n">
        <v>78</v>
      </c>
      <c r="S655" t="n">
        <v>33</v>
      </c>
      <c r="T655" t="n">
        <v>138</v>
      </c>
      <c r="U655" t="n">
        <v>7</v>
      </c>
      <c r="V655" t="n">
        <v>57</v>
      </c>
      <c r="W655" t="n">
        <v>0.214</v>
      </c>
      <c r="X655" t="n">
        <v>83</v>
      </c>
      <c r="Y655" t="n">
        <v>48</v>
      </c>
      <c r="Z655" t="n">
        <v>55</v>
      </c>
      <c r="AA655" t="n">
        <v>12</v>
      </c>
      <c r="AB655" t="n">
        <v>12.8</v>
      </c>
      <c r="AC655" t="inlineStr">
        <is>
          <t xml:space="preserve"> On-Piste Carving</t>
        </is>
      </c>
      <c r="AG655" t="inlineStr">
        <is>
          <t>Head V-Shape V4 Skis with PR 10 GW Bindings</t>
        </is>
      </c>
      <c r="AH655" t="inlineStr">
        <is>
          <t>Gorham Bike and Ski</t>
        </is>
      </c>
      <c r="AI655" s="333" t="n">
        <v>349.99</v>
      </c>
      <c r="AJ655" t="inlineStr">
        <is>
          <t>https://tinyurl.com/yd67aylk</t>
        </is>
      </c>
      <c r="AK655" t="inlineStr">
        <is>
          <t>Head V-Shape V4 Skis with PR 10 GW Bindings</t>
        </is>
      </c>
      <c r="AL655" t="inlineStr">
        <is>
          <t>Ski Country Sports</t>
        </is>
      </c>
      <c r="AM655" s="333" t="n">
        <v>419.98</v>
      </c>
      <c r="AN655" t="inlineStr">
        <is>
          <t>https://tinyurl.com/yaeb4mmr</t>
        </is>
      </c>
      <c r="AO655" t="inlineStr">
        <is>
          <t>Head V-Shape V4 Skis with PR 10 GW Bindings</t>
        </is>
      </c>
      <c r="AP655" t="inlineStr">
        <is>
          <t>eBay</t>
        </is>
      </c>
      <c r="AQ655" s="333" t="n">
        <v>499</v>
      </c>
      <c r="AR655" t="inlineStr">
        <is>
          <t>https://tinyurl.com/yd4gnlbm</t>
        </is>
      </c>
      <c r="AS655" s="314">
        <f>IF(LEFT(C655,1)=" ",RIGHT(C655,LEN(C655)-1),C655)</f>
        <v/>
      </c>
      <c r="AT655" s="281">
        <f>_xlfn.CONCAT(B655,AS655,D655,E655)</f>
        <v/>
      </c>
    </row>
    <row r="656">
      <c r="A656" t="inlineStr">
        <is>
          <t>21/22</t>
        </is>
      </c>
      <c r="B656" t="inlineStr">
        <is>
          <t xml:space="preserve"> Blizzard</t>
        </is>
      </c>
      <c r="C656" t="inlineStr">
        <is>
          <t>Sheeva 9</t>
        </is>
      </c>
      <c r="D656" t="n">
        <v>157</v>
      </c>
      <c r="E656" t="inlineStr">
        <is>
          <t xml:space="preserve"> Women's</t>
        </is>
      </c>
      <c r="F656" t="n">
        <v>157</v>
      </c>
      <c r="G656" t="n">
        <v>155.7</v>
      </c>
      <c r="H656" t="n">
        <v>104</v>
      </c>
      <c r="I656" t="n">
        <v>127</v>
      </c>
      <c r="J656" t="n">
        <v>122</v>
      </c>
      <c r="K656" t="n">
        <v>91</v>
      </c>
      <c r="L656" t="n">
        <v>112</v>
      </c>
      <c r="M656" t="n">
        <v>13.9</v>
      </c>
      <c r="N656" t="n">
        <v>1689</v>
      </c>
      <c r="O656" t="n">
        <v>0.9399999999999999</v>
      </c>
      <c r="P656" t="n">
        <v>1585</v>
      </c>
      <c r="Q656" t="n">
        <v>161</v>
      </c>
      <c r="R656" t="n">
        <v>83</v>
      </c>
      <c r="S656" t="n">
        <v>63</v>
      </c>
      <c r="T656" t="n">
        <v>307</v>
      </c>
      <c r="U656" t="n">
        <v>28</v>
      </c>
      <c r="V656" t="n">
        <v>206</v>
      </c>
      <c r="W656" t="n">
        <v>0.442</v>
      </c>
      <c r="X656" t="n">
        <v>146</v>
      </c>
      <c r="Y656" t="n">
        <v>137</v>
      </c>
      <c r="Z656" t="n">
        <v>160</v>
      </c>
      <c r="AA656" t="n">
        <v>4</v>
      </c>
      <c r="AB656" t="n">
        <v>6.3</v>
      </c>
      <c r="AC656" t="inlineStr">
        <is>
          <t xml:space="preserve"> Resort Freeride</t>
        </is>
      </c>
      <c r="AG656" t="inlineStr">
        <is>
          <t>Blizzard Sheeva 9 Skis</t>
        </is>
      </c>
      <c r="AH656" t="inlineStr">
        <is>
          <t>REI</t>
        </is>
      </c>
      <c r="AI656" s="333" t="n">
        <v>479.93</v>
      </c>
      <c r="AJ656" t="inlineStr">
        <is>
          <t>https://tinyurl.com/yb3sh7qz</t>
        </is>
      </c>
      <c r="AK656" t="inlineStr">
        <is>
          <t>Blizzard Sheeva 9 Skis</t>
        </is>
      </c>
      <c r="AL656" t="inlineStr">
        <is>
          <t>AlpineShopVT.com</t>
        </is>
      </c>
      <c r="AM656" s="333" t="n">
        <v>479.95</v>
      </c>
      <c r="AN656" t="inlineStr">
        <is>
          <t>https://tinyurl.com/y7bhtgvv</t>
        </is>
      </c>
      <c r="AO656" t="inlineStr">
        <is>
          <t>Blizzard Sheeva 9 Skis - 2022 - Women's 157 cm</t>
        </is>
      </c>
      <c r="AP656" t="inlineStr">
        <is>
          <t>Arlberg Ski &amp; Surf Shops</t>
        </is>
      </c>
      <c r="AQ656" s="333" t="n">
        <v>479.95</v>
      </c>
      <c r="AR656" t="inlineStr">
        <is>
          <t>https://tinyurl.com/ybuxg4d4</t>
        </is>
      </c>
      <c r="AS656" s="314">
        <f>IF(LEFT(C656,1)=" ",RIGHT(C656,LEN(C656)-1),C656)</f>
        <v/>
      </c>
      <c r="AT656" s="281">
        <f>_xlfn.CONCAT(B656,AS656,D656,E656)</f>
        <v/>
      </c>
    </row>
    <row r="657">
      <c r="A657" t="inlineStr">
        <is>
          <t>21/22</t>
        </is>
      </c>
      <c r="B657" t="inlineStr">
        <is>
          <t xml:space="preserve"> Vï¿½lkl</t>
        </is>
      </c>
      <c r="C657" t="inlineStr">
        <is>
          <t>Deacon 79</t>
        </is>
      </c>
      <c r="D657" t="n">
        <v>170</v>
      </c>
      <c r="E657" t="inlineStr">
        <is>
          <t xml:space="preserve"> Unisex</t>
        </is>
      </c>
      <c r="F657" t="n">
        <v>170</v>
      </c>
      <c r="G657" t="n">
        <v>169.3</v>
      </c>
      <c r="H657" t="n">
        <v>144</v>
      </c>
      <c r="I657" t="n">
        <v>157</v>
      </c>
      <c r="J657" t="n">
        <v>128</v>
      </c>
      <c r="K657" t="n">
        <v>78</v>
      </c>
      <c r="L657" t="n">
        <v>108</v>
      </c>
      <c r="M657" t="n">
        <v>15.5</v>
      </c>
      <c r="N657" t="n">
        <v>1717</v>
      </c>
      <c r="O657" t="n">
        <v>0.91</v>
      </c>
      <c r="P657" t="n">
        <v>1568</v>
      </c>
      <c r="Q657" t="n">
        <v>189</v>
      </c>
      <c r="R657" t="n">
        <v>73</v>
      </c>
      <c r="S657" t="n">
        <v>35</v>
      </c>
      <c r="T657" t="n">
        <v>174</v>
      </c>
      <c r="U657" t="n">
        <v>5</v>
      </c>
      <c r="V657" t="n">
        <v>83</v>
      </c>
      <c r="W657" t="n">
        <v>0.136</v>
      </c>
      <c r="X657" t="n">
        <v>69</v>
      </c>
      <c r="Y657" t="n">
        <v>51</v>
      </c>
      <c r="Z657" t="n">
        <v>105</v>
      </c>
      <c r="AA657" t="n">
        <v>10</v>
      </c>
      <c r="AB657" t="n">
        <v>11.4</v>
      </c>
      <c r="AC657" t="inlineStr">
        <is>
          <t xml:space="preserve"> On-Piste Carving</t>
        </is>
      </c>
      <c r="AG657" t="inlineStr">
        <is>
          <t>Mens Skis Deacon 79 | 170 | Volkl</t>
        </is>
      </c>
      <c r="AH657" t="inlineStr">
        <is>
          <t>Hansen Surfboards</t>
        </is>
      </c>
      <c r="AI657" s="333" t="n">
        <v>799.95</v>
      </c>
      <c r="AJ657" t="inlineStr">
        <is>
          <t>https://tinyurl.com/ycy2t73o</t>
        </is>
      </c>
      <c r="AK657" t="inlineStr">
        <is>
          <t>Volkl Deacon 79 Skis with IPT XL 12 TCX GW Bindings 170cm</t>
        </is>
      </c>
      <c r="AL657" t="inlineStr">
        <is>
          <t>The-House.com</t>
        </is>
      </c>
      <c r="AM657" s="333" t="n">
        <v>799.99</v>
      </c>
      <c r="AN657" t="inlineStr">
        <is>
          <t>https://tinyurl.com/y74tkaqe</t>
        </is>
      </c>
      <c r="AO657" t="inlineStr">
        <is>
          <t>VÃ¶lkl Racetiger RC Skis + vMotion 12 GW Bindings Red Black - 170</t>
        </is>
      </c>
      <c r="AP657" t="inlineStr">
        <is>
          <t>Bobleisure</t>
        </is>
      </c>
      <c r="AQ657" s="333" t="n">
        <v>593.48</v>
      </c>
      <c r="AR657" t="inlineStr">
        <is>
          <t>https://tinyurl.com/y8aynygj</t>
        </is>
      </c>
      <c r="AS657" s="314">
        <f>IF(LEFT(C657,1)=" ",RIGHT(C657,LEN(C657)-1),C657)</f>
        <v/>
      </c>
      <c r="AT657" s="281">
        <f>_xlfn.CONCAT(B657,AS657,D657,E657)</f>
        <v/>
      </c>
    </row>
    <row r="658">
      <c r="A658" t="inlineStr">
        <is>
          <t>21/22</t>
        </is>
      </c>
      <c r="B658" t="inlineStr">
        <is>
          <t xml:space="preserve"> Elan</t>
        </is>
      </c>
      <c r="C658" t="inlineStr">
        <is>
          <t>Insomnia 16 Ti</t>
        </is>
      </c>
      <c r="D658" t="n">
        <v>164</v>
      </c>
      <c r="E658" t="inlineStr">
        <is>
          <t xml:space="preserve"> Women's</t>
        </is>
      </c>
      <c r="F658" t="n">
        <v>164</v>
      </c>
      <c r="G658" t="n">
        <v>164.9</v>
      </c>
      <c r="H658" t="n">
        <v>147</v>
      </c>
      <c r="I658" t="n">
        <v>153</v>
      </c>
      <c r="J658" t="n">
        <v>121</v>
      </c>
      <c r="K658" t="n">
        <v>73</v>
      </c>
      <c r="L658" t="n">
        <v>104</v>
      </c>
      <c r="M658" t="n">
        <v>14.6</v>
      </c>
      <c r="N658" t="n">
        <v>1813</v>
      </c>
      <c r="O658" t="n">
        <v>0.8</v>
      </c>
      <c r="P658" t="n">
        <v>1444</v>
      </c>
      <c r="Q658" t="n">
        <v>207</v>
      </c>
      <c r="R658" t="n">
        <v>79</v>
      </c>
      <c r="S658" t="n">
        <v>41</v>
      </c>
      <c r="T658" t="n">
        <v>138</v>
      </c>
      <c r="U658" t="n">
        <v>3</v>
      </c>
      <c r="V658" t="n">
        <v>46</v>
      </c>
      <c r="W658" t="n">
        <v>0.06900000000000001</v>
      </c>
      <c r="X658" t="n">
        <v>82</v>
      </c>
      <c r="Y658" t="n">
        <v>38</v>
      </c>
      <c r="Z658" t="n">
        <v>56</v>
      </c>
      <c r="AA658" t="n">
        <v>9</v>
      </c>
      <c r="AB658" t="n">
        <v>9.6</v>
      </c>
      <c r="AC658" t="inlineStr">
        <is>
          <t xml:space="preserve"> On-Piste Carving</t>
        </is>
      </c>
      <c r="AG658" t="inlineStr">
        <is>
          <t>Elan Insomnia 16 Ti Blue 164 Ski Lady's Ladies / Women</t>
        </is>
      </c>
      <c r="AH658" t="inlineStr">
        <is>
          <t>Snowcountry.eu</t>
        </is>
      </c>
      <c r="AI658" s="333" t="n">
        <v>450.88</v>
      </c>
      <c r="AJ658" t="inlineStr">
        <is>
          <t>https://tinyurl.com/y8wbb9dq</t>
        </is>
      </c>
      <c r="AK658" t="inlineStr">
        <is>
          <t>Elan Insomnia Elite Ti 164</t>
        </is>
      </c>
      <c r="AL658" t="inlineStr">
        <is>
          <t>Winteriscalling.com</t>
        </is>
      </c>
      <c r="AM658" s="333" t="n">
        <v>899.99</v>
      </c>
      <c r="AN658" t="inlineStr">
        <is>
          <t>https://tinyurl.com/ya886v96</t>
        </is>
      </c>
      <c r="AO658" t="inlineStr">
        <is>
          <t>Elan Insomnia Black Edition 164 Ski Lady's Ladies / Women</t>
        </is>
      </c>
      <c r="AP658" t="inlineStr">
        <is>
          <t>! OutdoorXL.com</t>
        </is>
      </c>
      <c r="AQ658" s="333" t="n">
        <v>514.95</v>
      </c>
      <c r="AR658" t="inlineStr">
        <is>
          <t>https://tinyurl.com/yc3z7kyh</t>
        </is>
      </c>
      <c r="AS658" s="314">
        <f>IF(LEFT(C658,1)=" ",RIGHT(C658,LEN(C658)-1),C658)</f>
        <v/>
      </c>
      <c r="AT658" s="281">
        <f>_xlfn.CONCAT(B658,AS658,D658,E658)</f>
        <v/>
      </c>
    </row>
    <row r="659">
      <c r="A659" t="inlineStr">
        <is>
          <t>21/22</t>
        </is>
      </c>
      <c r="B659" t="inlineStr">
        <is>
          <t xml:space="preserve"> Atomic</t>
        </is>
      </c>
      <c r="C659" t="inlineStr">
        <is>
          <t>Maven 93 C</t>
        </is>
      </c>
      <c r="D659" t="n">
        <v>156</v>
      </c>
      <c r="E659" t="inlineStr">
        <is>
          <t xml:space="preserve"> Women's</t>
        </is>
      </c>
      <c r="F659" t="n">
        <v>156</v>
      </c>
      <c r="G659" t="n">
        <v>155.2</v>
      </c>
      <c r="H659" t="n">
        <v>105</v>
      </c>
      <c r="I659" t="n">
        <v>126</v>
      </c>
      <c r="J659" t="n">
        <v>124</v>
      </c>
      <c r="K659" t="n">
        <v>92</v>
      </c>
      <c r="L659" t="n">
        <v>108</v>
      </c>
      <c r="M659" t="n">
        <v>15</v>
      </c>
      <c r="N659" t="n">
        <v>1407</v>
      </c>
      <c r="O659" t="n">
        <v>1.13</v>
      </c>
      <c r="P659" t="n">
        <v>1583</v>
      </c>
      <c r="Q659" t="n">
        <v>171</v>
      </c>
      <c r="R659" t="n">
        <v>86</v>
      </c>
      <c r="S659" t="n">
        <v>51</v>
      </c>
      <c r="T659" t="n">
        <v>304</v>
      </c>
      <c r="U659" t="n">
        <v>15</v>
      </c>
      <c r="V659" t="n">
        <v>200</v>
      </c>
      <c r="W659" t="n">
        <v>0.286</v>
      </c>
      <c r="X659" t="n">
        <v>167</v>
      </c>
      <c r="Y659" t="n">
        <v>125</v>
      </c>
      <c r="Z659" t="n">
        <v>137</v>
      </c>
      <c r="AA659" t="n">
        <v>3</v>
      </c>
      <c r="AB659" t="n">
        <v>8.6</v>
      </c>
      <c r="AC659" t="inlineStr">
        <is>
          <t xml:space="preserve"> Resort Freeride</t>
        </is>
      </c>
      <c r="AD659" t="inlineStr">
        <is>
          <t xml:space="preserve"> Touring</t>
        </is>
      </c>
      <c r="AG659" t="inlineStr">
        <is>
          <t>Atomic Maven 93 C Skis</t>
        </is>
      </c>
      <c r="AH659" t="inlineStr">
        <is>
          <t>evo.com</t>
        </is>
      </c>
      <c r="AI659" s="333" t="n">
        <v>519.99</v>
      </c>
      <c r="AJ659" t="inlineStr">
        <is>
          <t>https://tinyurl.com/yctu8umb</t>
        </is>
      </c>
      <c r="AK659" t="inlineStr">
        <is>
          <t>Atomic Maven 93 C Skis</t>
        </is>
      </c>
      <c r="AL659" t="inlineStr">
        <is>
          <t>SkiEssentials.com</t>
        </is>
      </c>
      <c r="AM659" s="333" t="n">
        <v>519.99</v>
      </c>
      <c r="AN659" t="inlineStr">
        <is>
          <t>https://tinyurl.com/y98xrxek</t>
        </is>
      </c>
      <c r="AO659" t="inlineStr">
        <is>
          <t>Atomic Maven 93 C Skis</t>
        </is>
      </c>
      <c r="AP659" t="inlineStr">
        <is>
          <t>Level Nine Sports</t>
        </is>
      </c>
      <c r="AQ659" s="333" t="n">
        <v>519.99</v>
      </c>
      <c r="AR659" t="inlineStr">
        <is>
          <t>https://tinyurl.com/yajk3g9y</t>
        </is>
      </c>
      <c r="AS659" s="314">
        <f>IF(LEFT(C659,1)=" ",RIGHT(C659,LEN(C659)-1),C659)</f>
        <v/>
      </c>
      <c r="AT659" s="281">
        <f>_xlfn.CONCAT(B659,AS659,D659,E659)</f>
        <v/>
      </c>
    </row>
    <row r="660">
      <c r="A660" t="inlineStr">
        <is>
          <t>21/22</t>
        </is>
      </c>
      <c r="B660" t="inlineStr">
        <is>
          <t xml:space="preserve"> Armada</t>
        </is>
      </c>
      <c r="C660" t="inlineStr">
        <is>
          <t>Tracer 98</t>
        </is>
      </c>
      <c r="D660" t="n">
        <v>164</v>
      </c>
      <c r="E660" t="inlineStr">
        <is>
          <t xml:space="preserve"> Unisex</t>
        </is>
      </c>
      <c r="F660" t="n">
        <v>164</v>
      </c>
      <c r="G660" t="n">
        <v>163.7</v>
      </c>
      <c r="H660" t="n">
        <v>125</v>
      </c>
      <c r="I660" t="n">
        <v>137</v>
      </c>
      <c r="J660" t="n">
        <v>126</v>
      </c>
      <c r="K660" t="n">
        <v>97</v>
      </c>
      <c r="L660" t="n">
        <v>119</v>
      </c>
      <c r="M660" t="n">
        <v>16.8</v>
      </c>
      <c r="N660" t="n">
        <v>1419</v>
      </c>
      <c r="O660" t="n">
        <v>1.23</v>
      </c>
      <c r="P660" t="n">
        <v>1749</v>
      </c>
      <c r="Q660" t="n">
        <v>139</v>
      </c>
      <c r="R660" t="n">
        <v>85</v>
      </c>
      <c r="S660" t="n">
        <v>37</v>
      </c>
      <c r="T660" t="n">
        <v>237</v>
      </c>
      <c r="U660" t="n">
        <v>16</v>
      </c>
      <c r="V660" t="n">
        <v>146</v>
      </c>
      <c r="W660" t="n">
        <v>0.422</v>
      </c>
      <c r="X660" t="n">
        <v>172</v>
      </c>
      <c r="Y660" t="n">
        <v>99</v>
      </c>
      <c r="Z660" t="n">
        <v>65</v>
      </c>
      <c r="AA660" t="n">
        <v>8</v>
      </c>
      <c r="AB660" t="n">
        <v>9.300000000000001</v>
      </c>
      <c r="AC660" t="inlineStr">
        <is>
          <t xml:space="preserve"> Resort Freeride</t>
        </is>
      </c>
      <c r="AD660" t="inlineStr">
        <is>
          <t xml:space="preserve"> Touring</t>
        </is>
      </c>
      <c r="AG660" t="inlineStr">
        <is>
          <t>Armada Tracer 98 Limited Dark Blue-Black-White 164 Ski Men</t>
        </is>
      </c>
      <c r="AH660" t="inlineStr">
        <is>
          <t>! OutdoorXL.com</t>
        </is>
      </c>
      <c r="AI660" s="333" t="n">
        <v>374.95</v>
      </c>
      <c r="AJ660" t="inlineStr">
        <is>
          <t>https://tinyurl.com/ybunfp8u</t>
        </is>
      </c>
      <c r="AK660" t="inlineStr">
        <is>
          <t>Armada - Tracer 98 - 164 Blue</t>
        </is>
      </c>
      <c r="AL660" t="inlineStr">
        <is>
          <t>Snowcountry.eu</t>
        </is>
      </c>
      <c r="AM660" s="333" t="n">
        <v>414</v>
      </c>
      <c r="AN660" t="inlineStr">
        <is>
          <t>https://tinyurl.com/y9zmnuzm</t>
        </is>
      </c>
      <c r="AO660" t="inlineStr">
        <is>
          <t>Armada Tracer 98 Skis with Warden MNC 13 Bindings Mens Blue Resin 164cm</t>
        </is>
      </c>
      <c r="AP660" t="inlineStr">
        <is>
          <t>BobsSportsChalet.com</t>
        </is>
      </c>
      <c r="AQ660" s="333" t="n">
        <v>899.95</v>
      </c>
      <c r="AR660" t="inlineStr">
        <is>
          <t>https://tinyurl.com/y7yh6svk</t>
        </is>
      </c>
      <c r="AS660" s="314">
        <f>IF(LEFT(C660,1)=" ",RIGHT(C660,LEN(C660)-1),C660)</f>
        <v/>
      </c>
      <c r="AT660" s="281">
        <f>_xlfn.CONCAT(B660,AS660,D660,E660)</f>
        <v/>
      </c>
    </row>
    <row r="661">
      <c r="A661" t="inlineStr">
        <is>
          <t>21/22</t>
        </is>
      </c>
      <c r="B661" t="inlineStr">
        <is>
          <t xml:space="preserve"> Elan</t>
        </is>
      </c>
      <c r="C661" t="inlineStr">
        <is>
          <t xml:space="preserve"> Element</t>
        </is>
      </c>
      <c r="D661" t="n">
        <v>168</v>
      </c>
      <c r="E661" t="inlineStr">
        <is>
          <t xml:space="preserve"> Unisex</t>
        </is>
      </c>
      <c r="F661" t="n">
        <v>168</v>
      </c>
      <c r="G661" t="n">
        <v>167.4</v>
      </c>
      <c r="H661" t="n">
        <v>144</v>
      </c>
      <c r="I661" t="n">
        <v>153</v>
      </c>
      <c r="J661" t="n">
        <v>126</v>
      </c>
      <c r="K661" t="n">
        <v>75</v>
      </c>
      <c r="L661" t="n">
        <v>101</v>
      </c>
      <c r="M661" t="n">
        <v>15.1</v>
      </c>
      <c r="N661" t="n">
        <v>1822</v>
      </c>
      <c r="O661" t="n">
        <v>0.83</v>
      </c>
      <c r="P661" t="n">
        <v>1504</v>
      </c>
      <c r="Q661" t="n">
        <v>203</v>
      </c>
      <c r="R661" t="n">
        <v>74</v>
      </c>
      <c r="S661" t="n">
        <v>34</v>
      </c>
      <c r="T661" t="n">
        <v>153</v>
      </c>
      <c r="U661" t="n">
        <v>10</v>
      </c>
      <c r="V661" t="n">
        <v>79</v>
      </c>
      <c r="W661" t="n">
        <v>0.296</v>
      </c>
      <c r="X661" t="n">
        <v>86</v>
      </c>
      <c r="Y661" t="n">
        <v>58</v>
      </c>
      <c r="Z661" t="n">
        <v>68</v>
      </c>
      <c r="AA661" t="n">
        <v>6</v>
      </c>
      <c r="AB661" t="n">
        <v>11.1</v>
      </c>
      <c r="AC661" t="inlineStr">
        <is>
          <t xml:space="preserve"> On-Piste Carving</t>
        </is>
      </c>
      <c r="AG661" t="inlineStr">
        <is>
          <t>Elan Element Green Black-Green 168 Ski Men</t>
        </is>
      </c>
      <c r="AH661" t="inlineStr">
        <is>
          <t>eBay - grassisport</t>
        </is>
      </c>
      <c r="AI661" s="333" t="n">
        <v>296.51</v>
      </c>
      <c r="AJ661" t="inlineStr">
        <is>
          <t>https://tinyurl.com/y8ngzg3q</t>
        </is>
      </c>
      <c r="AK661" t="inlineStr">
        <is>
          <t>Elan Element LS EL 10.0 Orange / 168cm</t>
        </is>
      </c>
      <c r="AL661" t="inlineStr">
        <is>
          <t>Sundance Ski and Board Shop</t>
        </is>
      </c>
      <c r="AM661" s="333" t="n">
        <v>424.9</v>
      </c>
      <c r="AN661" t="inlineStr">
        <is>
          <t>https://tinyurl.com/y7m6qe3x</t>
        </is>
      </c>
      <c r="AO661" t="inlineStr">
        <is>
          <t>Elan Element Black Blue Light Shift Ski with Bindings 168</t>
        </is>
      </c>
      <c r="AP661" t="inlineStr">
        <is>
          <t>shop.petersonsskiandcycle.com</t>
        </is>
      </c>
      <c r="AQ661" s="333" t="n">
        <v>449.99</v>
      </c>
      <c r="AR661" t="inlineStr">
        <is>
          <t>https://tinyurl.com/y7nucrcv</t>
        </is>
      </c>
      <c r="AS661" s="314">
        <f>IF(LEFT(C661,1)=" ",RIGHT(C661,LEN(C661)-1),C661)</f>
        <v/>
      </c>
      <c r="AT661" s="281">
        <f>_xlfn.CONCAT(B661,AS661,D661,E661)</f>
        <v/>
      </c>
    </row>
    <row r="662">
      <c r="A662" t="inlineStr">
        <is>
          <t>21/22</t>
        </is>
      </c>
      <c r="B662" t="inlineStr">
        <is>
          <t xml:space="preserve"> DPS</t>
        </is>
      </c>
      <c r="C662" t="inlineStr">
        <is>
          <t>Pagoda Tour 112 RP</t>
        </is>
      </c>
      <c r="D662" t="n">
        <v>168</v>
      </c>
      <c r="E662" t="inlineStr">
        <is>
          <t xml:space="preserve"> Unisex</t>
        </is>
      </c>
      <c r="F662" t="n">
        <v>168</v>
      </c>
      <c r="G662" t="n">
        <v>166.2</v>
      </c>
      <c r="H662" t="n">
        <v>96</v>
      </c>
      <c r="I662" t="n">
        <v>112</v>
      </c>
      <c r="J662" t="n">
        <v>136</v>
      </c>
      <c r="K662" t="n">
        <v>112</v>
      </c>
      <c r="L662" t="n">
        <v>124</v>
      </c>
      <c r="M662" t="n">
        <v>15.1</v>
      </c>
      <c r="N662" t="n">
        <v>1370</v>
      </c>
      <c r="O662" t="n">
        <v>1.45</v>
      </c>
      <c r="P662" t="n">
        <v>1988</v>
      </c>
      <c r="Q662" t="n">
        <v>163</v>
      </c>
      <c r="R662" t="n">
        <v>79</v>
      </c>
      <c r="S662" t="n">
        <v>59</v>
      </c>
      <c r="T662" t="n">
        <v>398</v>
      </c>
      <c r="U662" t="n">
        <v>32</v>
      </c>
      <c r="V662" t="n">
        <v>303</v>
      </c>
      <c r="W662" t="n">
        <v>0.547999999999999</v>
      </c>
      <c r="X662" t="n">
        <v>296</v>
      </c>
      <c r="Y662" t="n">
        <v>242</v>
      </c>
      <c r="Z662" t="n">
        <v>102</v>
      </c>
      <c r="AA662" t="n">
        <v>4</v>
      </c>
      <c r="AB662" t="n">
        <v>13.7</v>
      </c>
      <c r="AC662" t="inlineStr">
        <is>
          <t xml:space="preserve"> Powder</t>
        </is>
      </c>
      <c r="AD662" t="inlineStr">
        <is>
          <t xml:space="preserve"> Touring</t>
        </is>
      </c>
      <c r="AE662" t="inlineStr">
        <is>
          <t xml:space="preserve"> Ultralight Touring</t>
        </is>
      </c>
      <c r="AG662" t="inlineStr">
        <is>
          <t>DPS Pagoda Tour 112 RP Skis 168cm</t>
        </is>
      </c>
      <c r="AH662" t="inlineStr">
        <is>
          <t>Skimo &amp; SkyRun</t>
        </is>
      </c>
      <c r="AI662" s="333" t="n">
        <v>1029</v>
      </c>
      <c r="AJ662" t="inlineStr">
        <is>
          <t>https://tinyurl.com/y7d9c34u</t>
        </is>
      </c>
      <c r="AK662" t="inlineStr">
        <is>
          <t>DPS Pagoda Tour 112 RP SE Ski 168 / Early Riser Orange</t>
        </is>
      </c>
      <c r="AL662" t="inlineStr">
        <is>
          <t>Cripple Creek Backcountry</t>
        </is>
      </c>
      <c r="AM662" s="333" t="n">
        <v>1029</v>
      </c>
      <c r="AN662" t="inlineStr">
        <is>
          <t>https://tinyurl.com/y7sk4xb8</t>
        </is>
      </c>
      <c r="AO662" t="inlineStr">
        <is>
          <t>DPS Pagoda Tour 112 RP Skis 168cm</t>
        </is>
      </c>
      <c r="AP662" t="inlineStr">
        <is>
          <t>REI</t>
        </is>
      </c>
      <c r="AQ662" s="333" t="n">
        <v>1038.93</v>
      </c>
      <c r="AR662" t="inlineStr">
        <is>
          <t>https://tinyurl.com/y95tvuv7</t>
        </is>
      </c>
      <c r="AS662" s="314">
        <f>IF(LEFT(C662,1)=" ",RIGHT(C662,LEN(C662)-1),C662)</f>
        <v/>
      </c>
      <c r="AT662" s="281">
        <f>_xlfn.CONCAT(B662,AS662,D662,E662)</f>
        <v/>
      </c>
    </row>
    <row r="663">
      <c r="A663" t="inlineStr">
        <is>
          <t>21/22</t>
        </is>
      </c>
      <c r="B663" t="inlineStr">
        <is>
          <t>K2</t>
        </is>
      </c>
      <c r="C663" t="inlineStr">
        <is>
          <t>Reckoner 102</t>
        </is>
      </c>
      <c r="D663" t="n">
        <v>170</v>
      </c>
      <c r="E663" t="inlineStr">
        <is>
          <t xml:space="preserve"> Unisex</t>
        </is>
      </c>
      <c r="F663" t="n">
        <v>170</v>
      </c>
      <c r="G663" t="n">
        <v>170.2</v>
      </c>
      <c r="H663" t="n">
        <v>100</v>
      </c>
      <c r="I663" t="n">
        <v>140</v>
      </c>
      <c r="J663" t="n">
        <v>133</v>
      </c>
      <c r="K663" t="n">
        <v>101</v>
      </c>
      <c r="L663" t="n">
        <v>126</v>
      </c>
      <c r="M663" t="n">
        <v>16.3</v>
      </c>
      <c r="N663" t="n">
        <v>1728</v>
      </c>
      <c r="O663" t="n">
        <v>1.11</v>
      </c>
      <c r="P663" t="n">
        <v>1911</v>
      </c>
      <c r="Q663" t="n">
        <v>175</v>
      </c>
      <c r="R663" t="n">
        <v>71</v>
      </c>
      <c r="S663" t="n">
        <v>52</v>
      </c>
      <c r="T663" t="n">
        <v>338</v>
      </c>
      <c r="U663" t="n">
        <v>50</v>
      </c>
      <c r="V663" t="n">
        <v>367</v>
      </c>
      <c r="W663" t="n">
        <v>0.959</v>
      </c>
      <c r="X663" t="n">
        <v>147</v>
      </c>
      <c r="Y663" t="n">
        <v>150</v>
      </c>
      <c r="Z663" t="n">
        <v>191</v>
      </c>
      <c r="AA663" t="n">
        <v>5</v>
      </c>
      <c r="AB663" t="n">
        <v>4.2</v>
      </c>
      <c r="AC663" t="inlineStr">
        <is>
          <t xml:space="preserve"> Freeski</t>
        </is>
      </c>
      <c r="AD663" t="inlineStr">
        <is>
          <t xml:space="preserve"> Powder</t>
        </is>
      </c>
      <c r="AE663" t="inlineStr">
        <is>
          <t xml:space="preserve"> Touring</t>
        </is>
      </c>
      <c r="AG663" t="inlineStr">
        <is>
          <t>K2 Reckoner 102 Skis 2022</t>
        </is>
      </c>
      <c r="AH663" t="inlineStr">
        <is>
          <t>Ski Town All-Stars</t>
        </is>
      </c>
      <c r="AI663" s="333" t="n">
        <v>479.99</v>
      </c>
      <c r="AJ663" t="inlineStr">
        <is>
          <t>https://tinyurl.com/yd7cwjl6</t>
        </is>
      </c>
      <c r="AK663" t="inlineStr">
        <is>
          <t>2022 K2 Reckoner 102 Demo Skis w/ Marker Griffon 13 Demo Bindings - 170| Ski Essentials</t>
        </is>
      </c>
      <c r="AL663" t="inlineStr">
        <is>
          <t>SkiEssentials.com</t>
        </is>
      </c>
      <c r="AM663" s="333" t="n">
        <v>599</v>
      </c>
      <c r="AN663" t="inlineStr">
        <is>
          <t>https://tinyurl.com/y9pqy4mn</t>
        </is>
      </c>
      <c r="AO663" t="inlineStr">
        <is>
          <t>'22 K2 Reckoner 102 Skis 170cm</t>
        </is>
      </c>
      <c r="AP663" t="inlineStr">
        <is>
          <t>Al's Ski Equipment Barn</t>
        </is>
      </c>
      <c r="AQ663" s="333" t="n">
        <v>599</v>
      </c>
      <c r="AR663" t="inlineStr">
        <is>
          <t>https://tinyurl.com/ycq84h56</t>
        </is>
      </c>
      <c r="AS663" s="314">
        <f>IF(LEFT(C663,1)=" ",RIGHT(C663,LEN(C663)-1),C663)</f>
        <v/>
      </c>
      <c r="AT663" s="281">
        <f>_xlfn.CONCAT(B663,AS663,D663,E663)</f>
        <v/>
      </c>
    </row>
    <row r="664">
      <c r="A664" t="inlineStr">
        <is>
          <t>21/22</t>
        </is>
      </c>
      <c r="B664" t="inlineStr">
        <is>
          <t xml:space="preserve"> Atomic</t>
        </is>
      </c>
      <c r="C664" t="inlineStr">
        <is>
          <t>Maverick 100 Ti</t>
        </is>
      </c>
      <c r="D664" t="n">
        <v>172</v>
      </c>
      <c r="E664" t="inlineStr">
        <is>
          <t xml:space="preserve"> Unisex</t>
        </is>
      </c>
      <c r="F664" t="n">
        <v>172</v>
      </c>
      <c r="G664" t="n">
        <v>171.4</v>
      </c>
      <c r="H664" t="n">
        <v>122</v>
      </c>
      <c r="I664" t="n">
        <v>136</v>
      </c>
      <c r="J664" t="n">
        <v>127</v>
      </c>
      <c r="K664" t="n">
        <v>98</v>
      </c>
      <c r="L664" t="n">
        <v>117</v>
      </c>
      <c r="M664" t="n">
        <v>17.8</v>
      </c>
      <c r="N664" t="n">
        <v>1629</v>
      </c>
      <c r="O664" t="n">
        <v>1.12</v>
      </c>
      <c r="P664" t="n">
        <v>1830</v>
      </c>
      <c r="Q664" t="n">
        <v>203</v>
      </c>
      <c r="R664" t="n">
        <v>150</v>
      </c>
      <c r="S664" t="n">
        <v>56</v>
      </c>
      <c r="T664" t="n">
        <v>294</v>
      </c>
      <c r="U664" t="n">
        <v>17</v>
      </c>
      <c r="V664" t="n">
        <v>203</v>
      </c>
      <c r="W664" t="n">
        <v>0.31</v>
      </c>
      <c r="X664" t="n">
        <v>189</v>
      </c>
      <c r="Y664" t="n">
        <v>164</v>
      </c>
      <c r="Z664" t="n">
        <v>105</v>
      </c>
      <c r="AA664" t="n">
        <v>7</v>
      </c>
      <c r="AB664" t="n">
        <v>9.800000000000001</v>
      </c>
      <c r="AC664" t="inlineStr">
        <is>
          <t xml:space="preserve"> Resort Freeride</t>
        </is>
      </c>
      <c r="AD664" t="inlineStr">
        <is>
          <t xml:space="preserve"> Touring</t>
        </is>
      </c>
      <c r="AG664" t="inlineStr">
        <is>
          <t>Atomic Maverick 100 Ti Skis 2022</t>
        </is>
      </c>
      <c r="AH664" t="inlineStr">
        <is>
          <t>Gorham Bike and Ski</t>
        </is>
      </c>
      <c r="AI664" s="333" t="n">
        <v>524.99</v>
      </c>
      <c r="AJ664" t="inlineStr">
        <is>
          <t>https://tinyurl.com/y94m9ofr</t>
        </is>
      </c>
      <c r="AK664" t="inlineStr">
        <is>
          <t>Atomic Maverick 100 Ti Bk/Darkgreen / 172cm</t>
        </is>
      </c>
      <c r="AL664" t="inlineStr">
        <is>
          <t>Sundance Ski and Board Shop</t>
        </is>
      </c>
      <c r="AM664" s="333" t="n">
        <v>561.2</v>
      </c>
      <c r="AN664" t="inlineStr">
        <is>
          <t>https://tinyurl.com/y82zzokk</t>
        </is>
      </c>
      <c r="AO664" t="inlineStr">
        <is>
          <t>Atomic Maverick 100 Ti Skis 2022</t>
        </is>
      </c>
      <c r="AP664" t="inlineStr">
        <is>
          <t>Ski Pro  - Snow Ski &amp; Snowboard</t>
        </is>
      </c>
      <c r="AQ664" s="333" t="n">
        <v>599.95</v>
      </c>
      <c r="AR664" t="inlineStr">
        <is>
          <t>https://tinyurl.com/ycus75fd</t>
        </is>
      </c>
      <c r="AS664" s="314">
        <f>IF(LEFT(C664,1)=" ",RIGHT(C664,LEN(C664)-1),C664)</f>
        <v/>
      </c>
      <c r="AT664" s="281">
        <f>_xlfn.CONCAT(B664,AS664,D664,E664)</f>
        <v/>
      </c>
    </row>
    <row r="665">
      <c r="A665" t="inlineStr">
        <is>
          <t>21/22</t>
        </is>
      </c>
      <c r="B665" t="inlineStr">
        <is>
          <t xml:space="preserve"> Rossignol</t>
        </is>
      </c>
      <c r="C665" t="inlineStr">
        <is>
          <t>Blackops Alpineer 96</t>
        </is>
      </c>
      <c r="D665" t="n">
        <v>169</v>
      </c>
      <c r="E665" t="inlineStr">
        <is>
          <t xml:space="preserve"> Unisex</t>
        </is>
      </c>
      <c r="F665" t="n">
        <v>169</v>
      </c>
      <c r="G665" t="n">
        <v>169.2</v>
      </c>
      <c r="H665" t="n">
        <v>123</v>
      </c>
      <c r="I665" t="n">
        <v>137</v>
      </c>
      <c r="J665" t="n">
        <v>126</v>
      </c>
      <c r="K665" t="n">
        <v>96</v>
      </c>
      <c r="L665" t="n">
        <v>115</v>
      </c>
      <c r="M665" t="n">
        <v>17.5</v>
      </c>
      <c r="N665" t="n">
        <v>1285</v>
      </c>
      <c r="O665" t="n">
        <v>1.4</v>
      </c>
      <c r="P665" t="n">
        <v>1798</v>
      </c>
      <c r="Q665" t="n">
        <v>196</v>
      </c>
      <c r="R665" t="n">
        <v>83</v>
      </c>
      <c r="S665" t="n">
        <v>58</v>
      </c>
      <c r="T665" t="n">
        <v>322</v>
      </c>
      <c r="U665" t="n">
        <v>12</v>
      </c>
      <c r="V665" t="n">
        <v>142</v>
      </c>
      <c r="W665" t="n">
        <v>0.213</v>
      </c>
      <c r="X665" t="n">
        <v>195</v>
      </c>
      <c r="Y665" t="n">
        <v>123</v>
      </c>
      <c r="Z665" t="n">
        <v>126</v>
      </c>
      <c r="AA665" t="n">
        <v>6</v>
      </c>
      <c r="AB665" t="n">
        <v>12.1</v>
      </c>
      <c r="AC665" t="inlineStr">
        <is>
          <t xml:space="preserve"> Touring</t>
        </is>
      </c>
      <c r="AD665" t="inlineStr">
        <is>
          <t xml:space="preserve"> Ultralight Touring</t>
        </is>
      </c>
      <c r="AG665" t="inlineStr">
        <is>
          <t>Rossignol Blackops Alpineer 96 Skis - 2022</t>
        </is>
      </c>
      <c r="AH665" t="inlineStr">
        <is>
          <t>Backcountry.com</t>
        </is>
      </c>
      <c r="AI665" s="333" t="n">
        <v>524.96</v>
      </c>
      <c r="AJ665" t="inlineStr">
        <is>
          <t>https://tinyurl.com/y9uw43u2</t>
        </is>
      </c>
      <c r="AK665" t="inlineStr">
        <is>
          <t>Rossignol Blackops Alpineer 96 Skis - 2022</t>
        </is>
      </c>
      <c r="AL665" t="inlineStr">
        <is>
          <t>Powder7 Ski Shop</t>
        </is>
      </c>
      <c r="AM665" s="333" t="n">
        <v>559.95</v>
      </c>
      <c r="AN665" t="inlineStr">
        <is>
          <t>https://tinyurl.com/yc297l8j</t>
        </is>
      </c>
      <c r="AO665" t="inlineStr">
        <is>
          <t>Rossignol Blackops Alpineer 96 Skis - 2022</t>
        </is>
      </c>
      <c r="AP665" t="inlineStr">
        <is>
          <t>evo.com</t>
        </is>
      </c>
      <c r="AQ665" s="333" t="n">
        <v>559.96</v>
      </c>
      <c r="AR665" t="inlineStr">
        <is>
          <t>https://tinyurl.com/yauweknd</t>
        </is>
      </c>
      <c r="AS665" s="314">
        <f>IF(LEFT(C665,1)=" ",RIGHT(C665,LEN(C665)-1),C665)</f>
        <v/>
      </c>
      <c r="AT665" s="281">
        <f>_xlfn.CONCAT(B665,AS665,D665,E665)</f>
        <v/>
      </c>
    </row>
    <row r="666">
      <c r="A666" t="inlineStr">
        <is>
          <t>21/22</t>
        </is>
      </c>
      <c r="B666" t="inlineStr">
        <is>
          <t xml:space="preserve"> Vï¿½lkl</t>
        </is>
      </c>
      <c r="C666" t="inlineStr">
        <is>
          <t>Rise Beyond 96</t>
        </is>
      </c>
      <c r="D666" t="n">
        <v>177</v>
      </c>
      <c r="E666" t="inlineStr">
        <is>
          <t xml:space="preserve"> Unisex</t>
        </is>
      </c>
      <c r="F666" t="n">
        <v>177</v>
      </c>
      <c r="G666" t="n">
        <v>176.9</v>
      </c>
      <c r="H666" t="n">
        <v>145</v>
      </c>
      <c r="I666" t="n">
        <v>154</v>
      </c>
      <c r="J666" t="n">
        <v>138</v>
      </c>
      <c r="K666" t="n">
        <v>96</v>
      </c>
      <c r="L666" t="n">
        <v>119</v>
      </c>
      <c r="M666" t="n">
        <v>17.7</v>
      </c>
      <c r="N666" t="n">
        <v>1347</v>
      </c>
      <c r="O666" t="n">
        <v>1.43</v>
      </c>
      <c r="P666" t="n">
        <v>1921</v>
      </c>
      <c r="Q666" t="n">
        <v>174</v>
      </c>
      <c r="R666" t="n">
        <v>73</v>
      </c>
      <c r="S666" t="n">
        <v>36</v>
      </c>
      <c r="T666" t="n">
        <v>260</v>
      </c>
      <c r="U666" t="n">
        <v>5</v>
      </c>
      <c r="V666" t="n">
        <v>63</v>
      </c>
      <c r="W666" t="n">
        <v>0.13</v>
      </c>
      <c r="X666" t="n">
        <v>130</v>
      </c>
      <c r="Y666" t="n">
        <v>96</v>
      </c>
      <c r="Z666" t="n">
        <v>130</v>
      </c>
      <c r="AA666" t="n">
        <v>6</v>
      </c>
      <c r="AB666" t="n">
        <v>11.8</v>
      </c>
      <c r="AC666" t="inlineStr">
        <is>
          <t xml:space="preserve"> Touring</t>
        </is>
      </c>
      <c r="AD666" t="inlineStr">
        <is>
          <t xml:space="preserve"> Ultralight Touring</t>
        </is>
      </c>
      <c r="AG666" t="inlineStr">
        <is>
          <t>Volkl Rise Beyond 96 Ski 2022</t>
        </is>
      </c>
      <c r="AH666" t="inlineStr">
        <is>
          <t>Stowesports.com</t>
        </is>
      </c>
      <c r="AI666" s="333" t="n">
        <v>559.99</v>
      </c>
      <c r="AJ666" t="inlineStr">
        <is>
          <t>https://tinyurl.com/yd2upe5l</t>
        </is>
      </c>
      <c r="AK666" t="inlineStr">
        <is>
          <t>Volkl Rise Beyond 96 Ski 2022</t>
        </is>
      </c>
      <c r="AL666" t="inlineStr">
        <is>
          <t>SkiEssentials.com</t>
        </is>
      </c>
      <c r="AM666" s="333" t="n">
        <v>559.99</v>
      </c>
      <c r="AN666" t="inlineStr">
        <is>
          <t>https://tinyurl.com/y7kxoddy</t>
        </is>
      </c>
      <c r="AO666" t="inlineStr">
        <is>
          <t>Volkl Rise Beyond 96 Ski Only Skis, 177cm Black/Orange 2022</t>
        </is>
      </c>
      <c r="AP666" t="inlineStr">
        <is>
          <t>Absolute-Snow.co.uk</t>
        </is>
      </c>
      <c r="AQ666" s="333" t="n">
        <v>599.85</v>
      </c>
      <c r="AR666" t="inlineStr">
        <is>
          <t>https://tinyurl.com/yatypqc7</t>
        </is>
      </c>
      <c r="AS666" s="314">
        <f>IF(LEFT(C666,1)=" ",RIGHT(C666,LEN(C666)-1),C666)</f>
        <v/>
      </c>
      <c r="AT666" s="281">
        <f>_xlfn.CONCAT(B666,AS666,D666,E666)</f>
        <v/>
      </c>
    </row>
    <row r="667">
      <c r="A667" t="inlineStr">
        <is>
          <t>21/22</t>
        </is>
      </c>
      <c r="B667" t="inlineStr">
        <is>
          <t xml:space="preserve"> Blizzard</t>
        </is>
      </c>
      <c r="C667" t="inlineStr">
        <is>
          <t>Rustler 11</t>
        </is>
      </c>
      <c r="D667" t="n">
        <v>180</v>
      </c>
      <c r="E667" t="inlineStr">
        <is>
          <t xml:space="preserve"> Unisex</t>
        </is>
      </c>
      <c r="F667" t="n">
        <v>180</v>
      </c>
      <c r="G667" t="n">
        <v>178.8</v>
      </c>
      <c r="H667" t="n">
        <v>111</v>
      </c>
      <c r="I667" t="n">
        <v>147</v>
      </c>
      <c r="J667" t="n">
        <v>139</v>
      </c>
      <c r="K667" t="n">
        <v>111</v>
      </c>
      <c r="L667" t="n">
        <v>129</v>
      </c>
      <c r="M667" t="n">
        <v>20.5</v>
      </c>
      <c r="N667" t="n">
        <v>2055</v>
      </c>
      <c r="O667" t="n">
        <v>1.05</v>
      </c>
      <c r="P667" t="n">
        <v>2150</v>
      </c>
      <c r="Q667" t="n">
        <v>218</v>
      </c>
      <c r="R667" t="n">
        <v>123</v>
      </c>
      <c r="S667" t="n">
        <v>57</v>
      </c>
      <c r="T667" t="n">
        <v>372</v>
      </c>
      <c r="U667" t="n">
        <v>28</v>
      </c>
      <c r="V667" t="n">
        <v>306</v>
      </c>
      <c r="W667" t="n">
        <v>0.493</v>
      </c>
      <c r="X667" t="n">
        <v>168</v>
      </c>
      <c r="Y667" t="n">
        <v>150</v>
      </c>
      <c r="Z667" t="n">
        <v>204</v>
      </c>
      <c r="AA667" t="n">
        <v>6</v>
      </c>
      <c r="AB667" t="n">
        <v>9.4</v>
      </c>
      <c r="AC667" t="inlineStr">
        <is>
          <t xml:space="preserve"> Powder</t>
        </is>
      </c>
      <c r="AG667" t="inlineStr">
        <is>
          <t>Blizzard Rustler 11 180</t>
        </is>
      </c>
      <c r="AH667" t="inlineStr">
        <is>
          <t>Telemark Pyrenees</t>
        </is>
      </c>
      <c r="AI667" s="333" t="n">
        <v>412.48</v>
      </c>
      <c r="AJ667" t="inlineStr">
        <is>
          <t>https://tinyurl.com/yar9eya7</t>
        </is>
      </c>
      <c r="AK667" t="inlineStr">
        <is>
          <t>Blizzard Rustler 11 Skis - 2022 180cm</t>
        </is>
      </c>
      <c r="AL667" t="inlineStr">
        <is>
          <t>Glacier Ski Shop</t>
        </is>
      </c>
      <c r="AM667" s="333" t="n">
        <v>674</v>
      </c>
      <c r="AN667" t="inlineStr">
        <is>
          <t>https://tinyurl.com/ycqb7l7q</t>
        </is>
      </c>
      <c r="AO667" t="inlineStr">
        <is>
          <t>'23 Blizzard Rustler 11 Skis 180cm</t>
        </is>
      </c>
      <c r="AP667" t="inlineStr">
        <is>
          <t>Al's Ski Equipment Barn</t>
        </is>
      </c>
      <c r="AQ667" s="333" t="n">
        <v>799.95</v>
      </c>
      <c r="AR667" t="inlineStr">
        <is>
          <t>https://tinyurl.com/yd36k6vv</t>
        </is>
      </c>
      <c r="AS667" s="314">
        <f>IF(LEFT(C667,1)=" ",RIGHT(C667,LEN(C667)-1),C667)</f>
        <v/>
      </c>
      <c r="AT667" s="281">
        <f>_xlfn.CONCAT(B667,AS667,D667,E667)</f>
        <v/>
      </c>
    </row>
    <row r="668">
      <c r="A668" t="inlineStr">
        <is>
          <t>21/22</t>
        </is>
      </c>
      <c r="B668" t="inlineStr">
        <is>
          <t xml:space="preserve"> Rossignol</t>
        </is>
      </c>
      <c r="C668" t="inlineStr">
        <is>
          <t xml:space="preserve"> Blackops Smasher</t>
        </is>
      </c>
      <c r="D668" t="n">
        <v>160</v>
      </c>
      <c r="E668" t="inlineStr">
        <is>
          <t xml:space="preserve"> Unisex</t>
        </is>
      </c>
      <c r="F668" t="n">
        <v>160</v>
      </c>
      <c r="G668" t="n">
        <v>158.7</v>
      </c>
      <c r="H668" t="n">
        <v>113</v>
      </c>
      <c r="I668" t="n">
        <v>133</v>
      </c>
      <c r="J668" t="n">
        <v>117</v>
      </c>
      <c r="K668" t="n">
        <v>89</v>
      </c>
      <c r="L668" t="n">
        <v>107</v>
      </c>
      <c r="M668" t="n">
        <v>20.8</v>
      </c>
      <c r="N668" t="n">
        <v>1572</v>
      </c>
      <c r="O668" t="n">
        <v>0.98</v>
      </c>
      <c r="P668" t="n">
        <v>1540</v>
      </c>
      <c r="Q668" t="n">
        <v>155</v>
      </c>
      <c r="R668" t="n">
        <v>64</v>
      </c>
      <c r="S668" t="n">
        <v>46</v>
      </c>
      <c r="T668" t="n">
        <v>252</v>
      </c>
      <c r="U668" t="n">
        <v>28</v>
      </c>
      <c r="V668" t="n">
        <v>208</v>
      </c>
      <c r="W668" t="n">
        <v>0.611</v>
      </c>
      <c r="X668" t="n">
        <v>131</v>
      </c>
      <c r="Y668" t="n">
        <v>127</v>
      </c>
      <c r="Z668" t="n">
        <v>121</v>
      </c>
      <c r="AA668" t="n">
        <v>8</v>
      </c>
      <c r="AB668" t="n">
        <v>5</v>
      </c>
      <c r="AC668" t="inlineStr">
        <is>
          <t xml:space="preserve"> Resort Freeride</t>
        </is>
      </c>
      <c r="AG668" t="inlineStr">
        <is>
          <t>Rossignol Blackops Smasher Skis w/ Xpress 10 GW Bindings 2021 - 160cm</t>
        </is>
      </c>
      <c r="AH668" t="inlineStr">
        <is>
          <t>! OutdoorXL.com</t>
        </is>
      </c>
      <c r="AI668" s="333" t="n">
        <v>359.95</v>
      </c>
      <c r="AJ668" t="inlineStr">
        <is>
          <t>https://tinyurl.com/y79skswz</t>
        </is>
      </c>
      <c r="AK668" t="inlineStr">
        <is>
          <t>Rossignol Blackops Smasher Skis w/ Xpress 10 GW Bindings 2021 - 160cm</t>
        </is>
      </c>
      <c r="AL668" t="inlineStr">
        <is>
          <t>ColoradoSkiShop.com</t>
        </is>
      </c>
      <c r="AM668" s="333" t="n">
        <v>359.95</v>
      </c>
      <c r="AN668" t="inlineStr">
        <is>
          <t>https://tinyurl.com/yayoq7vb</t>
        </is>
      </c>
      <c r="AO668" t="inlineStr">
        <is>
          <t>BLACKOPS SMASHER '22</t>
        </is>
      </c>
      <c r="AP668" t="inlineStr">
        <is>
          <t>Vertical Drop</t>
        </is>
      </c>
      <c r="AQ668" s="333" t="n">
        <v>244.97</v>
      </c>
      <c r="AR668" t="inlineStr">
        <is>
          <t>https://tinyurl.com/y7usrzma</t>
        </is>
      </c>
      <c r="AS668" s="314">
        <f>IF(LEFT(C668,1)=" ",RIGHT(C668,LEN(C668)-1),C668)</f>
        <v/>
      </c>
      <c r="AT668" s="281">
        <f>_xlfn.CONCAT(B668,AS668,D668,E668)</f>
        <v/>
      </c>
    </row>
    <row r="669">
      <c r="A669" t="inlineStr">
        <is>
          <t>21/22</t>
        </is>
      </c>
      <c r="B669" t="inlineStr">
        <is>
          <t xml:space="preserve"> Elan</t>
        </is>
      </c>
      <c r="C669" t="inlineStr">
        <is>
          <t>Wingman 78 Ti</t>
        </is>
      </c>
      <c r="D669" t="n">
        <v>176</v>
      </c>
      <c r="E669" t="inlineStr">
        <is>
          <t xml:space="preserve"> Unisex</t>
        </is>
      </c>
      <c r="F669" t="n">
        <v>176</v>
      </c>
      <c r="G669" t="n">
        <v>174</v>
      </c>
      <c r="H669" t="n">
        <v>155</v>
      </c>
      <c r="I669" t="n">
        <v>160</v>
      </c>
      <c r="J669" t="n">
        <v>125</v>
      </c>
      <c r="K669" t="n">
        <v>76</v>
      </c>
      <c r="L669" t="n">
        <v>105</v>
      </c>
      <c r="M669" t="n">
        <v>16.2</v>
      </c>
      <c r="N669" t="n">
        <v>2041</v>
      </c>
      <c r="O669" t="n">
        <v>0.77</v>
      </c>
      <c r="P669" t="n">
        <v>1576</v>
      </c>
      <c r="Q669" t="n">
        <v>228</v>
      </c>
      <c r="R669" t="n">
        <v>102</v>
      </c>
      <c r="S669" t="n">
        <v>27</v>
      </c>
      <c r="T669" t="n">
        <v>127</v>
      </c>
      <c r="U669" t="n">
        <v>9</v>
      </c>
      <c r="V669" t="n">
        <v>67</v>
      </c>
      <c r="W669" t="n">
        <v>0.333999999999999</v>
      </c>
      <c r="X669" t="n">
        <v>79</v>
      </c>
      <c r="Y669" t="n">
        <v>60</v>
      </c>
      <c r="Z669" t="n">
        <v>49</v>
      </c>
      <c r="AA669" t="n">
        <v>14</v>
      </c>
      <c r="AB669" t="n">
        <v>9.199999999999999</v>
      </c>
      <c r="AC669" t="inlineStr">
        <is>
          <t xml:space="preserve"> On-Piste Carving</t>
        </is>
      </c>
      <c r="AG669" t="inlineStr">
        <is>
          <t>Elan Wingman 78 TI PS ELS 11.0 176cm</t>
        </is>
      </c>
      <c r="AH669" t="inlineStr">
        <is>
          <t>Sundance Ski and Board Shop</t>
        </is>
      </c>
      <c r="AI669" s="333" t="n">
        <v>561.2</v>
      </c>
      <c r="AJ669" t="inlineStr">
        <is>
          <t>https://tinyurl.com/yamg54rq</t>
        </is>
      </c>
      <c r="AK669" t="inlineStr">
        <is>
          <t>Elan Wingman 78 Ti with ELS 11GW Binding Men's, 176</t>
        </is>
      </c>
      <c r="AL669" t="inlineStr">
        <is>
          <t>Peter Glenn Ski &amp; Sports</t>
        </is>
      </c>
      <c r="AM669" s="333" t="n">
        <v>599.99</v>
      </c>
      <c r="AN669" t="inlineStr">
        <is>
          <t>https://tinyurl.com/ycflez7n</t>
        </is>
      </c>
      <c r="AO669" t="inlineStr">
        <is>
          <t>Elan Wingman 78 C Skis 2023 w/bindings 176</t>
        </is>
      </c>
      <c r="AP669" t="inlineStr">
        <is>
          <t>Ski Depot RaceSkis.com</t>
        </is>
      </c>
      <c r="AQ669" s="333" t="n">
        <v>499.99</v>
      </c>
      <c r="AR669" t="inlineStr">
        <is>
          <t>https://tinyurl.com/y94yhyqk</t>
        </is>
      </c>
      <c r="AS669" s="314">
        <f>IF(LEFT(C669,1)=" ",RIGHT(C669,LEN(C669)-1),C669)</f>
        <v/>
      </c>
      <c r="AT669" s="281">
        <f>_xlfn.CONCAT(B669,AS669,D669,E669)</f>
        <v/>
      </c>
    </row>
    <row r="670">
      <c r="A670" t="inlineStr">
        <is>
          <t>21/22</t>
        </is>
      </c>
      <c r="B670" t="inlineStr">
        <is>
          <t xml:space="preserve"> Armada</t>
        </is>
      </c>
      <c r="C670" t="inlineStr">
        <is>
          <t>ARW 84</t>
        </is>
      </c>
      <c r="D670" t="n">
        <v>164</v>
      </c>
      <c r="E670" t="inlineStr">
        <is>
          <t xml:space="preserve"> Women's</t>
        </is>
      </c>
      <c r="F670" t="n">
        <v>164</v>
      </c>
      <c r="G670" t="n">
        <v>162.5</v>
      </c>
      <c r="H670" t="n">
        <v>117</v>
      </c>
      <c r="I670" t="n">
        <v>134</v>
      </c>
      <c r="J670" t="n">
        <v>117</v>
      </c>
      <c r="K670" t="n">
        <v>85</v>
      </c>
      <c r="L670" t="n">
        <v>109</v>
      </c>
      <c r="M670" t="n">
        <v>14.7</v>
      </c>
      <c r="N670" t="n">
        <v>1659</v>
      </c>
      <c r="O670" t="n">
        <v>0.9399999999999999</v>
      </c>
      <c r="P670" t="n">
        <v>1566</v>
      </c>
      <c r="Q670" t="n">
        <v>150</v>
      </c>
      <c r="R670" t="n">
        <v>65</v>
      </c>
      <c r="S670" t="n">
        <v>44</v>
      </c>
      <c r="T670" t="n">
        <v>250</v>
      </c>
      <c r="U670" t="n">
        <v>37</v>
      </c>
      <c r="V670" t="n">
        <v>210</v>
      </c>
      <c r="W670" t="n">
        <v>0.833</v>
      </c>
      <c r="X670" t="n">
        <v>158</v>
      </c>
      <c r="Y670" t="n">
        <v>123</v>
      </c>
      <c r="Z670" t="n">
        <v>92</v>
      </c>
      <c r="AA670" t="n">
        <v>9</v>
      </c>
      <c r="AB670" t="n">
        <v>9.9</v>
      </c>
      <c r="AC670" t="inlineStr">
        <is>
          <t xml:space="preserve"> Resort Freeride</t>
        </is>
      </c>
      <c r="AD670" t="inlineStr">
        <is>
          <t xml:space="preserve"> Freeski</t>
        </is>
      </c>
      <c r="AG670" t="inlineStr">
        <is>
          <t>Armada ARW 84 Skis 2022</t>
        </is>
      </c>
      <c r="AH670" t="inlineStr">
        <is>
          <t>Next Adventure</t>
        </is>
      </c>
      <c r="AI670" s="333" t="n">
        <v>279.96</v>
      </c>
      <c r="AJ670" t="inlineStr">
        <is>
          <t>https://tinyurl.com/yb4ncbhx</t>
        </is>
      </c>
      <c r="AK670" t="inlineStr">
        <is>
          <t>Armada ARV 84 Ski 2022 - 164</t>
        </is>
      </c>
      <c r="AL670" t="inlineStr">
        <is>
          <t>! OutdoorXL.com</t>
        </is>
      </c>
      <c r="AM670" s="333" t="n">
        <v>284.95</v>
      </c>
      <c r="AN670" t="inlineStr">
        <is>
          <t>https://tinyurl.com/y8oraqlq</t>
        </is>
      </c>
      <c r="AO670" t="inlineStr">
        <is>
          <t>Armada ARV 84 Ski 2022 - 164</t>
        </is>
      </c>
      <c r="AP670" t="inlineStr">
        <is>
          <t>Absolute-Snow.co.uk</t>
        </is>
      </c>
      <c r="AQ670" s="333" t="n">
        <v>301.3</v>
      </c>
      <c r="AR670" t="inlineStr">
        <is>
          <t>https://tinyurl.com/ya48twl6</t>
        </is>
      </c>
      <c r="AS670" s="314">
        <f>IF(LEFT(C670,1)=" ",RIGHT(C670,LEN(C670)-1),C670)</f>
        <v/>
      </c>
      <c r="AT670" s="281">
        <f>_xlfn.CONCAT(B670,AS670,D670,E670)</f>
        <v/>
      </c>
    </row>
    <row r="671">
      <c r="A671" t="inlineStr">
        <is>
          <t>21/22</t>
        </is>
      </c>
      <c r="B671" t="inlineStr">
        <is>
          <t xml:space="preserve"> Line</t>
        </is>
      </c>
      <c r="C671" t="inlineStr">
        <is>
          <t xml:space="preserve"> Tom Wallisch Pro</t>
        </is>
      </c>
      <c r="D671" t="n">
        <v>164</v>
      </c>
      <c r="E671" t="inlineStr">
        <is>
          <t xml:space="preserve"> Unisex</t>
        </is>
      </c>
      <c r="F671" t="n">
        <v>164</v>
      </c>
      <c r="G671" t="n">
        <v>164.1</v>
      </c>
      <c r="H671" t="n">
        <v>118</v>
      </c>
      <c r="I671" t="n">
        <v>138</v>
      </c>
      <c r="J671" t="n">
        <v>117</v>
      </c>
      <c r="K671" t="n">
        <v>89</v>
      </c>
      <c r="L671" t="n">
        <v>116</v>
      </c>
      <c r="M671" t="n">
        <v>16.3</v>
      </c>
      <c r="N671" t="n">
        <v>1518</v>
      </c>
      <c r="O671" t="n">
        <v>1.07</v>
      </c>
      <c r="P671" t="n">
        <v>1627</v>
      </c>
      <c r="Q671" t="n">
        <v>163</v>
      </c>
      <c r="R671" t="n">
        <v>72</v>
      </c>
      <c r="S671" t="n">
        <v>38</v>
      </c>
      <c r="T671" t="n">
        <v>229</v>
      </c>
      <c r="U671" t="n">
        <v>37</v>
      </c>
      <c r="V671" t="n">
        <v>234</v>
      </c>
      <c r="W671" t="n">
        <v>0.986</v>
      </c>
      <c r="X671" t="n">
        <v>123</v>
      </c>
      <c r="Y671" t="n">
        <v>134</v>
      </c>
      <c r="Z671" t="n">
        <v>106</v>
      </c>
      <c r="AA671" t="n">
        <v>5</v>
      </c>
      <c r="AB671" t="n">
        <v>2.4</v>
      </c>
      <c r="AC671" t="inlineStr">
        <is>
          <t xml:space="preserve"> Freeski</t>
        </is>
      </c>
      <c r="AD671" t="inlineStr">
        <is>
          <t xml:space="preserve"> Touring</t>
        </is>
      </c>
      <c r="AG671" t="inlineStr">
        <is>
          <t>Line Skis Tom Wallisch Pro</t>
        </is>
      </c>
      <c r="AH671" t="inlineStr">
        <is>
          <t>PRFO Sports</t>
        </is>
      </c>
      <c r="AI671" s="333" t="n">
        <v>320.68</v>
      </c>
      <c r="AJ671" t="inlineStr">
        <is>
          <t>https://tinyurl.com/yawy3yzd</t>
        </is>
      </c>
      <c r="AK671" t="inlineStr">
        <is>
          <t>Line Skis Tom Wallisch Pro</t>
        </is>
      </c>
      <c r="AL671" t="inlineStr">
        <is>
          <t>Pinewski's Ski and Board Shop</t>
        </is>
      </c>
      <c r="AM671" s="333" t="n">
        <v>449.95</v>
      </c>
      <c r="AN671" t="inlineStr">
        <is>
          <t>https://tinyurl.com/ya7cl47h</t>
        </is>
      </c>
      <c r="AO671" t="inlineStr">
        <is>
          <t>Line 2022 Chronic Skis</t>
        </is>
      </c>
      <c r="AP671" t="inlineStr">
        <is>
          <t>eBay - david110549</t>
        </is>
      </c>
      <c r="AQ671" s="333" t="n">
        <v>499.95</v>
      </c>
      <c r="AR671" t="inlineStr">
        <is>
          <t>https://tinyurl.com/yccp3pp8</t>
        </is>
      </c>
      <c r="AS671" s="314">
        <f>IF(LEFT(C671,1)=" ",RIGHT(C671,LEN(C671)-1),C671)</f>
        <v/>
      </c>
      <c r="AT671" s="281">
        <f>_xlfn.CONCAT(B671,AS671,D671,E671)</f>
        <v/>
      </c>
    </row>
    <row r="672">
      <c r="A672" t="inlineStr">
        <is>
          <t>21/22</t>
        </is>
      </c>
      <c r="B672" t="inlineStr">
        <is>
          <t>K2</t>
        </is>
      </c>
      <c r="C672" t="inlineStr">
        <is>
          <t>Reckoner 92</t>
        </is>
      </c>
      <c r="D672" t="n">
        <v>169</v>
      </c>
      <c r="E672" t="inlineStr">
        <is>
          <t xml:space="preserve"> Unisex</t>
        </is>
      </c>
      <c r="F672" t="n">
        <v>169</v>
      </c>
      <c r="G672" t="n">
        <v>169</v>
      </c>
      <c r="H672" t="n">
        <v>113</v>
      </c>
      <c r="I672" t="n">
        <v>142</v>
      </c>
      <c r="J672" t="n">
        <v>124</v>
      </c>
      <c r="K672" t="n">
        <v>91</v>
      </c>
      <c r="L672" t="n">
        <v>113</v>
      </c>
      <c r="M672" t="n">
        <v>17.2</v>
      </c>
      <c r="N672" t="n">
        <v>1669</v>
      </c>
      <c r="O672" t="n">
        <v>1.03</v>
      </c>
      <c r="P672" t="n">
        <v>1717</v>
      </c>
      <c r="Q672" t="n">
        <v>148</v>
      </c>
      <c r="R672" t="n">
        <v>76</v>
      </c>
      <c r="S672" t="n">
        <v>51</v>
      </c>
      <c r="T672" t="n">
        <v>287</v>
      </c>
      <c r="U672" t="n">
        <v>45</v>
      </c>
      <c r="V672" t="n">
        <v>274</v>
      </c>
      <c r="W672" t="n">
        <v>0.885999999999999</v>
      </c>
      <c r="X672" t="n">
        <v>121</v>
      </c>
      <c r="Y672" t="n">
        <v>150</v>
      </c>
      <c r="Z672" t="n">
        <v>167</v>
      </c>
      <c r="AA672" t="n">
        <v>6</v>
      </c>
      <c r="AB672" t="n">
        <v>4.8</v>
      </c>
      <c r="AC672" t="inlineStr">
        <is>
          <t xml:space="preserve"> Freeski</t>
        </is>
      </c>
      <c r="AG672" t="inlineStr">
        <is>
          <t>K2 Reckoner 92 Alliance Skis Â· 169 cm</t>
        </is>
      </c>
      <c r="AH672" t="inlineStr">
        <is>
          <t>Curated</t>
        </is>
      </c>
      <c r="AI672" s="333" t="n">
        <v>299</v>
      </c>
      <c r="AJ672" t="inlineStr">
        <is>
          <t>https://tinyurl.com/y7so8prn</t>
        </is>
      </c>
      <c r="AK672" t="inlineStr">
        <is>
          <t>K2 Reckoner 92 Alliance Skis 2022 - Size: 169</t>
        </is>
      </c>
      <c r="AL672" t="inlineStr">
        <is>
          <t>K2 Snow</t>
        </is>
      </c>
      <c r="AM672" s="333" t="n">
        <v>299.95</v>
      </c>
      <c r="AN672" t="inlineStr">
        <is>
          <t>https://tinyurl.com/ya2k8dl4</t>
        </is>
      </c>
      <c r="AO672" t="inlineStr">
        <is>
          <t>K2 Women's Reckoner 92 Alliance Skis 169 cm</t>
        </is>
      </c>
      <c r="AP672" t="inlineStr">
        <is>
          <t>evo.com</t>
        </is>
      </c>
      <c r="AQ672" s="333" t="n">
        <v>299.95</v>
      </c>
      <c r="AR672" t="inlineStr">
        <is>
          <t>https://tinyurl.com/y96f8zh5</t>
        </is>
      </c>
      <c r="AS672" s="314">
        <f>IF(LEFT(C672,1)=" ",RIGHT(C672,LEN(C672)-1),C672)</f>
        <v/>
      </c>
      <c r="AT672" s="281">
        <f>_xlfn.CONCAT(B672,AS672,D672,E672)</f>
        <v/>
      </c>
    </row>
    <row r="673">
      <c r="A673" t="inlineStr">
        <is>
          <t>21/22</t>
        </is>
      </c>
      <c r="B673" t="inlineStr">
        <is>
          <t xml:space="preserve"> Fischer</t>
        </is>
      </c>
      <c r="C673" t="inlineStr">
        <is>
          <t>Ranger 94 FR W</t>
        </is>
      </c>
      <c r="D673" t="n">
        <v>161</v>
      </c>
      <c r="E673" t="inlineStr">
        <is>
          <t xml:space="preserve"> Women's</t>
        </is>
      </c>
      <c r="F673" t="n">
        <v>161</v>
      </c>
      <c r="G673" t="n">
        <v>160.1</v>
      </c>
      <c r="H673" t="n">
        <v>106</v>
      </c>
      <c r="I673" t="n">
        <v>131</v>
      </c>
      <c r="J673" t="n">
        <v>123</v>
      </c>
      <c r="K673" t="n">
        <v>89</v>
      </c>
      <c r="L673" t="n">
        <v>114</v>
      </c>
      <c r="M673" t="n">
        <v>12.4</v>
      </c>
      <c r="N673" t="n">
        <v>1454</v>
      </c>
      <c r="O673" t="n">
        <v>1.13</v>
      </c>
      <c r="P673" t="n">
        <v>1638</v>
      </c>
      <c r="Q673" t="n">
        <v>167</v>
      </c>
      <c r="R673" t="n">
        <v>83</v>
      </c>
      <c r="S673" t="n">
        <v>50</v>
      </c>
      <c r="T673" t="n">
        <v>334</v>
      </c>
      <c r="U673" t="n">
        <v>37</v>
      </c>
      <c r="V673" t="n">
        <v>204</v>
      </c>
      <c r="W673" t="n">
        <v>0.746</v>
      </c>
      <c r="X673" t="n">
        <v>142</v>
      </c>
      <c r="Y673" t="n">
        <v>145</v>
      </c>
      <c r="Z673" t="n">
        <v>192</v>
      </c>
      <c r="AA673" t="n">
        <v>2</v>
      </c>
      <c r="AB673" t="n">
        <v>8.1</v>
      </c>
      <c r="AC673" t="inlineStr">
        <is>
          <t xml:space="preserve"> Resort Freeride</t>
        </is>
      </c>
      <c r="AD673" t="inlineStr">
        <is>
          <t xml:space="preserve"> Touring</t>
        </is>
      </c>
      <c r="AG673" t="inlineStr">
        <is>
          <t>Fischer Ranger 94 FR 21/22</t>
        </is>
      </c>
      <c r="AH673" t="inlineStr">
        <is>
          <t>! OutdoorXL.com</t>
        </is>
      </c>
      <c r="AI673" s="333" t="n">
        <v>359.95</v>
      </c>
      <c r="AJ673" t="inlineStr">
        <is>
          <t>https://tinyurl.com/y97e2w68</t>
        </is>
      </c>
      <c r="AK673" t="inlineStr">
        <is>
          <t xml:space="preserve"> 2020 Fischer Ranger 94 FR Demo Ski with Bindings Size 161 (Option 211770)</t>
        </is>
      </c>
      <c r="AL673" t="inlineStr">
        <is>
          <t>SidelineSwap</t>
        </is>
      </c>
      <c r="AM673" s="333" t="n">
        <v>389.99</v>
      </c>
      <c r="AN673" t="inlineStr">
        <is>
          <t>https://tinyurl.com/y9veakdd</t>
        </is>
      </c>
      <c r="AO673" t="inlineStr">
        <is>
          <t>Ranger 94 Fr 161</t>
        </is>
      </c>
      <c r="AP673" t="inlineStr">
        <is>
          <t>Pro Ski and Mountain Service</t>
        </is>
      </c>
      <c r="AQ673" s="333" t="n">
        <v>699.99</v>
      </c>
      <c r="AR673" t="inlineStr">
        <is>
          <t>https://tinyurl.com/ycljtj28</t>
        </is>
      </c>
      <c r="AS673" s="314">
        <f>IF(LEFT(C673,1)=" ",RIGHT(C673,LEN(C673)-1),C673)</f>
        <v/>
      </c>
      <c r="AT673" s="281">
        <f>_xlfn.CONCAT(B673,AS673,D673,E673)</f>
        <v/>
      </c>
    </row>
    <row r="674">
      <c r="A674" t="inlineStr">
        <is>
          <t>21/22</t>
        </is>
      </c>
      <c r="B674" t="inlineStr">
        <is>
          <t xml:space="preserve"> Elan</t>
        </is>
      </c>
      <c r="C674" t="inlineStr">
        <is>
          <t>Insomnia 16 Ti</t>
        </is>
      </c>
      <c r="D674" t="n">
        <v>158</v>
      </c>
      <c r="E674" t="inlineStr">
        <is>
          <t xml:space="preserve"> Women's</t>
        </is>
      </c>
      <c r="F674" t="n">
        <v>158</v>
      </c>
      <c r="G674" t="n">
        <v>159</v>
      </c>
      <c r="H674" t="n">
        <v>140</v>
      </c>
      <c r="I674" t="n">
        <v>147</v>
      </c>
      <c r="J674" t="n">
        <v>122</v>
      </c>
      <c r="K674" t="n">
        <v>73</v>
      </c>
      <c r="L674" t="n">
        <v>104</v>
      </c>
      <c r="M674" t="n">
        <v>13.4</v>
      </c>
      <c r="N674" t="n">
        <v>1753</v>
      </c>
      <c r="O674" t="n">
        <v>0.8</v>
      </c>
      <c r="P674" t="n">
        <v>1395</v>
      </c>
      <c r="Q674" t="n">
        <v>186</v>
      </c>
      <c r="R674" t="n">
        <v>75</v>
      </c>
      <c r="S674" t="n">
        <v>41</v>
      </c>
      <c r="T674" t="n">
        <v>138</v>
      </c>
      <c r="U674" t="n">
        <v>3</v>
      </c>
      <c r="V674" t="n">
        <v>48</v>
      </c>
      <c r="W674" t="n">
        <v>0.076</v>
      </c>
      <c r="X674" t="n">
        <v>78</v>
      </c>
      <c r="Y674" t="n">
        <v>38</v>
      </c>
      <c r="Z674" t="n">
        <v>60</v>
      </c>
      <c r="AA674" t="n">
        <v>8</v>
      </c>
      <c r="AB674" t="n">
        <v>9.800000000000001</v>
      </c>
      <c r="AC674" t="inlineStr">
        <is>
          <t xml:space="preserve"> On-Piste Carving</t>
        </is>
      </c>
      <c r="AG674" t="inlineStr">
        <is>
          <t>Elan Insomnia 16 Ti Blue 158 Ski Lady's Ladies / Women</t>
        </is>
      </c>
      <c r="AH674" t="inlineStr">
        <is>
          <t>! OutdoorXL.com</t>
        </is>
      </c>
      <c r="AI674" s="333" t="n">
        <v>564.95</v>
      </c>
      <c r="AJ674" t="inlineStr">
        <is>
          <t>https://tinyurl.com/y6wtt293</t>
        </is>
      </c>
      <c r="AK674" t="inlineStr">
        <is>
          <t>Snow skiing with mounts Elan 2020-21 insomnia elite Ti PS + elx11.0 (CM: 158) Kant Kant Kaht</t>
        </is>
      </c>
      <c r="AL674" t="inlineStr">
        <is>
          <t>AliExpress.com</t>
        </is>
      </c>
      <c r="AM674" s="333" t="n">
        <v>816.48</v>
      </c>
      <c r="AN674" t="inlineStr">
        <is>
          <t>https://tinyurl.com/y9cbppyr</t>
        </is>
      </c>
      <c r="AO674" t="inlineStr">
        <is>
          <t>Elan Insomnia 158</t>
        </is>
      </c>
      <c r="AP674" t="inlineStr">
        <is>
          <t>Winteriscalling.com</t>
        </is>
      </c>
      <c r="AQ674" s="333" t="n">
        <v>649.99</v>
      </c>
      <c r="AR674" t="inlineStr">
        <is>
          <t>https://tinyurl.com/y8eubbnd</t>
        </is>
      </c>
      <c r="AS674" s="314">
        <f>IF(LEFT(C674,1)=" ",RIGHT(C674,LEN(C674)-1),C674)</f>
        <v/>
      </c>
      <c r="AT674" s="281">
        <f>_xlfn.CONCAT(B674,AS674,D674,E674)</f>
        <v/>
      </c>
    </row>
    <row r="675">
      <c r="A675" t="inlineStr">
        <is>
          <t>21/22</t>
        </is>
      </c>
      <c r="B675" t="inlineStr">
        <is>
          <t>K2</t>
        </is>
      </c>
      <c r="C675" t="inlineStr">
        <is>
          <t>Mindbender 106 C Alliance</t>
        </is>
      </c>
      <c r="D675" t="n">
        <v>167</v>
      </c>
      <c r="E675" t="inlineStr">
        <is>
          <t xml:space="preserve"> Women's</t>
        </is>
      </c>
      <c r="F675" t="n">
        <v>167</v>
      </c>
      <c r="G675" t="n">
        <v>167.8</v>
      </c>
      <c r="H675" t="n">
        <v>104</v>
      </c>
      <c r="I675" t="n">
        <v>129</v>
      </c>
      <c r="J675" t="n">
        <v>138</v>
      </c>
      <c r="K675" t="n">
        <v>105</v>
      </c>
      <c r="L675" t="n">
        <v>123</v>
      </c>
      <c r="M675" t="n">
        <v>15.2</v>
      </c>
      <c r="N675" t="n">
        <v>1686</v>
      </c>
      <c r="O675" t="n">
        <v>1.15</v>
      </c>
      <c r="P675" t="n">
        <v>1940</v>
      </c>
      <c r="Q675" t="n">
        <v>160</v>
      </c>
      <c r="R675" t="n">
        <v>75</v>
      </c>
      <c r="S675" t="n">
        <v>46</v>
      </c>
      <c r="T675" t="n">
        <v>379</v>
      </c>
      <c r="U675" t="n">
        <v>22</v>
      </c>
      <c r="V675" t="n">
        <v>255</v>
      </c>
      <c r="W675" t="n">
        <v>0.481</v>
      </c>
      <c r="X675" t="n">
        <v>190</v>
      </c>
      <c r="Y675" t="n">
        <v>195</v>
      </c>
      <c r="Z675" t="n">
        <v>189</v>
      </c>
      <c r="AA675" t="n">
        <v>6</v>
      </c>
      <c r="AB675" t="n">
        <v>9.9</v>
      </c>
      <c r="AC675" t="inlineStr">
        <is>
          <t xml:space="preserve"> Powder</t>
        </is>
      </c>
      <c r="AD675" t="inlineStr">
        <is>
          <t xml:space="preserve"> Touring</t>
        </is>
      </c>
      <c r="AG675" t="inlineStr">
        <is>
          <t>K2 Mindbender 106C Alliance Skis 2021</t>
        </is>
      </c>
      <c r="AH675" t="inlineStr">
        <is>
          <t>SkatePro.com</t>
        </is>
      </c>
      <c r="AI675" s="333" t="n">
        <v>449.95</v>
      </c>
      <c r="AJ675" t="inlineStr">
        <is>
          <t>https://tinyurl.com/y72bb9as</t>
        </is>
      </c>
      <c r="AK675" t="inlineStr">
        <is>
          <t>K2 Mindbender 106C Alliance Skis 2022 - Size: 167</t>
        </is>
      </c>
      <c r="AL675" t="inlineStr">
        <is>
          <t>K2 Snow</t>
        </is>
      </c>
      <c r="AM675" s="333" t="n">
        <v>599.95</v>
      </c>
      <c r="AN675" t="inlineStr">
        <is>
          <t>https://tinyurl.com/yawqo729</t>
        </is>
      </c>
      <c r="AO675" t="inlineStr">
        <is>
          <t>2022 K2 Mindbender 106C Alliance Women's Skis w/ Tyrolia Attack 11 GW Bindings - 167| Ski Essentials</t>
        </is>
      </c>
      <c r="AP675" t="inlineStr">
        <is>
          <t>SkiEssentials.com</t>
        </is>
      </c>
      <c r="AQ675" s="333" t="n">
        <v>739.95</v>
      </c>
      <c r="AR675" t="inlineStr">
        <is>
          <t>https://tinyurl.com/ydxmluqu</t>
        </is>
      </c>
      <c r="AS675" s="314">
        <f>IF(LEFT(C675,1)=" ",RIGHT(C675,LEN(C675)-1),C675)</f>
        <v/>
      </c>
      <c r="AT675" s="281">
        <f>_xlfn.CONCAT(B675,AS675,D675,E675)</f>
        <v/>
      </c>
    </row>
    <row r="676">
      <c r="A676" t="inlineStr">
        <is>
          <t>21/22</t>
        </is>
      </c>
      <c r="B676" t="inlineStr">
        <is>
          <t xml:space="preserve"> Raccoon</t>
        </is>
      </c>
      <c r="C676" t="inlineStr">
        <is>
          <t>Chinook 108</t>
        </is>
      </c>
      <c r="D676" t="n">
        <v>188</v>
      </c>
      <c r="E676" t="inlineStr">
        <is>
          <t xml:space="preserve"> Unisex</t>
        </is>
      </c>
      <c r="F676" t="n">
        <v>188</v>
      </c>
      <c r="G676" t="n">
        <v>186.2</v>
      </c>
      <c r="H676" t="n">
        <v>125</v>
      </c>
      <c r="I676" t="n">
        <v>154</v>
      </c>
      <c r="J676" t="n">
        <v>138</v>
      </c>
      <c r="K676" t="n">
        <v>108</v>
      </c>
      <c r="L676" t="n">
        <v>128</v>
      </c>
      <c r="M676" t="n">
        <v>20.8</v>
      </c>
      <c r="N676" t="n">
        <v>1682</v>
      </c>
      <c r="O676" t="n">
        <v>1.31</v>
      </c>
      <c r="P676" t="n">
        <v>2205</v>
      </c>
      <c r="Q676" t="n">
        <v>218</v>
      </c>
      <c r="R676" t="n">
        <v>57</v>
      </c>
      <c r="S676" t="n">
        <v>71</v>
      </c>
      <c r="T676" t="n">
        <v>381</v>
      </c>
      <c r="U676" t="n">
        <v>30</v>
      </c>
      <c r="V676" t="n">
        <v>228</v>
      </c>
      <c r="W676" t="n">
        <v>0.418</v>
      </c>
      <c r="X676" t="n">
        <v>175</v>
      </c>
      <c r="Y676" t="n">
        <v>142</v>
      </c>
      <c r="Z676" t="n">
        <v>206</v>
      </c>
      <c r="AA676" t="n">
        <v>5</v>
      </c>
      <c r="AB676" t="n">
        <v>11.8</v>
      </c>
      <c r="AC676" t="inlineStr">
        <is>
          <t xml:space="preserve"> Powder</t>
        </is>
      </c>
      <c r="AD676" t="inlineStr">
        <is>
          <t xml:space="preserve"> Touring</t>
        </is>
      </c>
      <c r="AE676" t="inlineStr">
        <is>
          <t xml:space="preserve"> Ultralight Touring</t>
        </is>
      </c>
      <c r="AS676" s="314">
        <f>IF(LEFT(C676,1)=" ",RIGHT(C676,LEN(C676)-1),C676)</f>
        <v/>
      </c>
      <c r="AT676" s="281">
        <f>_xlfn.CONCAT(B676,AS676,D676,E676)</f>
        <v/>
      </c>
    </row>
    <row r="677">
      <c r="A677" t="inlineStr">
        <is>
          <t>21/22</t>
        </is>
      </c>
      <c r="B677" t="inlineStr">
        <is>
          <t xml:space="preserve"> Vï¿½lkl</t>
        </is>
      </c>
      <c r="C677" t="inlineStr">
        <is>
          <t>Flair 79</t>
        </is>
      </c>
      <c r="D677" t="n">
        <v>163</v>
      </c>
      <c r="E677" t="inlineStr">
        <is>
          <t xml:space="preserve"> Women's</t>
        </is>
      </c>
      <c r="F677" t="n">
        <v>163</v>
      </c>
      <c r="G677" t="n">
        <v>162.1</v>
      </c>
      <c r="H677" t="n">
        <v>131</v>
      </c>
      <c r="I677" t="n">
        <v>150</v>
      </c>
      <c r="J677" t="n">
        <v>128</v>
      </c>
      <c r="K677" t="n">
        <v>79</v>
      </c>
      <c r="L677" t="n">
        <v>109</v>
      </c>
      <c r="M677" t="n">
        <v>14.1</v>
      </c>
      <c r="N677" t="n">
        <v>1630</v>
      </c>
      <c r="O677" t="n">
        <v>0.93</v>
      </c>
      <c r="P677" t="n">
        <v>1512</v>
      </c>
      <c r="Q677" t="n">
        <v>172</v>
      </c>
      <c r="R677" t="n">
        <v>70</v>
      </c>
      <c r="S677" t="n">
        <v>37</v>
      </c>
      <c r="T677" t="n">
        <v>188</v>
      </c>
      <c r="U677" t="n">
        <v>6</v>
      </c>
      <c r="V677" t="n">
        <v>118</v>
      </c>
      <c r="W677" t="n">
        <v>0.173</v>
      </c>
      <c r="X677" t="n">
        <v>72</v>
      </c>
      <c r="Y677" t="n">
        <v>49</v>
      </c>
      <c r="Z677" t="n">
        <v>116</v>
      </c>
      <c r="AA677" t="n">
        <v>5</v>
      </c>
      <c r="AB677" t="n">
        <v>10.9</v>
      </c>
      <c r="AC677" t="inlineStr">
        <is>
          <t xml:space="preserve"> Other</t>
        </is>
      </c>
      <c r="AG677" t="inlineStr">
        <is>
          <t>Volkl Flair 79 Skis w/ IPT WR XL 11 TCX Bindings</t>
        </is>
      </c>
      <c r="AH677" t="inlineStr">
        <is>
          <t>Aspen Ski and Board</t>
        </is>
      </c>
      <c r="AI677" s="333" t="n">
        <v>639.95</v>
      </c>
      <c r="AJ677" t="inlineStr">
        <is>
          <t>https://tinyurl.com/yaj4qbdr</t>
        </is>
      </c>
      <c r="AK677" t="inlineStr">
        <is>
          <t>Volkl Flair 79 Skis w/ IPT WR XL 11 TCX Bindings</t>
        </is>
      </c>
      <c r="AL677" t="inlineStr">
        <is>
          <t>The-House.com</t>
        </is>
      </c>
      <c r="AM677" s="333" t="n">
        <v>639.99</v>
      </c>
      <c r="AN677" t="inlineStr">
        <is>
          <t>https://tinyurl.com/yawx6smc</t>
        </is>
      </c>
      <c r="AO677" t="inlineStr">
        <is>
          <t>Volkl Ladies Flair 79 System Ski with XL 11 GripWalk Ski Bindings 2021-2022 | BLACK/ORANGE / 163</t>
        </is>
      </c>
      <c r="AP677" t="inlineStr">
        <is>
          <t>Ski Pro  - Snow Ski &amp; Snowboard</t>
        </is>
      </c>
      <c r="AQ677" s="333" t="n">
        <v>799.95</v>
      </c>
      <c r="AR677" t="inlineStr">
        <is>
          <t>https://tinyurl.com/y9mwqg9s</t>
        </is>
      </c>
      <c r="AS677" s="314">
        <f>IF(LEFT(C677,1)=" ",RIGHT(C677,LEN(C677)-1),C677)</f>
        <v/>
      </c>
      <c r="AT677" s="281">
        <f>_xlfn.CONCAT(B677,AS677,D677,E677)</f>
        <v/>
      </c>
    </row>
    <row r="678">
      <c r="A678" t="inlineStr">
        <is>
          <t>21/22</t>
        </is>
      </c>
      <c r="B678" t="inlineStr">
        <is>
          <t xml:space="preserve"> Vï¿½lkl</t>
        </is>
      </c>
      <c r="C678" t="inlineStr">
        <is>
          <t>Kendo 88</t>
        </is>
      </c>
      <c r="D678" t="n">
        <v>184</v>
      </c>
      <c r="E678" t="inlineStr">
        <is>
          <t xml:space="preserve"> Unisex</t>
        </is>
      </c>
      <c r="F678" t="n">
        <v>184</v>
      </c>
      <c r="G678" t="n">
        <v>183.4</v>
      </c>
      <c r="H678" t="n">
        <v>118</v>
      </c>
      <c r="I678" t="n">
        <v>160</v>
      </c>
      <c r="J678" t="n">
        <v>128</v>
      </c>
      <c r="K678" t="n">
        <v>87</v>
      </c>
      <c r="L678" t="n">
        <v>110</v>
      </c>
      <c r="M678" t="n">
        <v>19.1</v>
      </c>
      <c r="N678" t="n">
        <v>1939</v>
      </c>
      <c r="O678" t="n">
        <v>0.95</v>
      </c>
      <c r="P678" t="n">
        <v>1837</v>
      </c>
      <c r="Q678" t="n">
        <v>209</v>
      </c>
      <c r="R678" t="n">
        <v>128</v>
      </c>
      <c r="S678" t="n">
        <v>44</v>
      </c>
      <c r="T678" t="n">
        <v>333</v>
      </c>
      <c r="U678" t="n">
        <v>18</v>
      </c>
      <c r="V678" t="n">
        <v>318</v>
      </c>
      <c r="W678" t="n">
        <v>0.406</v>
      </c>
      <c r="X678" t="n">
        <v>127</v>
      </c>
      <c r="Y678" t="n">
        <v>103</v>
      </c>
      <c r="Z678" t="n">
        <v>206</v>
      </c>
      <c r="AA678" t="n">
        <v>3</v>
      </c>
      <c r="AB678" t="n">
        <v>11.7</v>
      </c>
      <c r="AC678" t="inlineStr">
        <is>
          <t xml:space="preserve"> Resort Freeride</t>
        </is>
      </c>
      <c r="AG678" t="inlineStr">
        <is>
          <t>Volkl Kendo 88 Flat 184cm</t>
        </is>
      </c>
      <c r="AH678" t="inlineStr">
        <is>
          <t>Sundance Ski and Board Shop</t>
        </is>
      </c>
      <c r="AI678" s="333" t="n">
        <v>440.94</v>
      </c>
      <c r="AJ678" t="inlineStr">
        <is>
          <t>https://tinyurl.com/ya54qopg</t>
        </is>
      </c>
      <c r="AK678" t="inlineStr">
        <is>
          <t>Volkl Kendo 88 Skis</t>
        </is>
      </c>
      <c r="AL678" t="inlineStr">
        <is>
          <t>SkiEssentials.com</t>
        </is>
      </c>
      <c r="AM678" s="333" t="n">
        <v>519.99</v>
      </c>
      <c r="AN678" t="inlineStr">
        <is>
          <t>https://tinyurl.com/ycdn2xza</t>
        </is>
      </c>
      <c r="AO678" t="inlineStr">
        <is>
          <t>Volkl Kendo 88 Skis</t>
        </is>
      </c>
      <c r="AP678" t="inlineStr">
        <is>
          <t>Ski Country Sports</t>
        </is>
      </c>
      <c r="AQ678" s="333" t="n">
        <v>545.98</v>
      </c>
      <c r="AR678" t="inlineStr">
        <is>
          <t>https://tinyurl.com/y94nbctm</t>
        </is>
      </c>
      <c r="AS678" s="314">
        <f>IF(LEFT(C678,1)=" ",RIGHT(C678,LEN(C678)-1),C678)</f>
        <v/>
      </c>
      <c r="AT678" s="281">
        <f>_xlfn.CONCAT(B678,AS678,D678,E678)</f>
        <v/>
      </c>
    </row>
    <row r="679">
      <c r="A679" t="inlineStr">
        <is>
          <t>21/22</t>
        </is>
      </c>
      <c r="B679" t="inlineStr">
        <is>
          <t xml:space="preserve"> Faction</t>
        </is>
      </c>
      <c r="C679" t="inlineStr">
        <is>
          <t>Prodigy 1.0</t>
        </is>
      </c>
      <c r="D679" t="n">
        <v>164</v>
      </c>
      <c r="E679" t="inlineStr">
        <is>
          <t xml:space="preserve"> Unisex</t>
        </is>
      </c>
      <c r="F679" t="n">
        <v>164</v>
      </c>
      <c r="G679" t="n">
        <v>161.9</v>
      </c>
      <c r="H679" t="n">
        <v>117</v>
      </c>
      <c r="I679" t="n">
        <v>136</v>
      </c>
      <c r="J679" t="n">
        <v>119</v>
      </c>
      <c r="K679" t="n">
        <v>87</v>
      </c>
      <c r="L679" t="n">
        <v>112</v>
      </c>
      <c r="M679" t="n">
        <v>14.6</v>
      </c>
      <c r="N679" t="n">
        <v>1587</v>
      </c>
      <c r="O679" t="n">
        <v>1.01</v>
      </c>
      <c r="P679" t="n">
        <v>1604</v>
      </c>
      <c r="Q679" t="n">
        <v>170</v>
      </c>
      <c r="R679" t="n">
        <v>70</v>
      </c>
      <c r="S679" t="n">
        <v>53</v>
      </c>
      <c r="T679" t="n">
        <v>265</v>
      </c>
      <c r="U679" t="n">
        <v>38</v>
      </c>
      <c r="V679" t="n">
        <v>188</v>
      </c>
      <c r="W679" t="n">
        <v>0.705</v>
      </c>
      <c r="X679" t="n">
        <v>134</v>
      </c>
      <c r="Y679" t="n">
        <v>126</v>
      </c>
      <c r="Z679" t="n">
        <v>131</v>
      </c>
      <c r="AA679" t="n">
        <v>9</v>
      </c>
      <c r="AB679" t="n">
        <v>6.5</v>
      </c>
      <c r="AC679" t="inlineStr">
        <is>
          <t xml:space="preserve"> Resort Freeride</t>
        </is>
      </c>
      <c r="AG679" t="inlineStr">
        <is>
          <t>Faction - Prodigy 1.0 - 164</t>
        </is>
      </c>
      <c r="AH679" t="inlineStr">
        <is>
          <t>Gear West Ski &amp; Bike</t>
        </is>
      </c>
      <c r="AI679" s="333" t="n">
        <v>449</v>
      </c>
      <c r="AJ679" t="inlineStr">
        <is>
          <t>https://tinyurl.com/yd6zohu2</t>
        </is>
      </c>
      <c r="AK679" t="inlineStr">
        <is>
          <t>Faction Prodigy 0.0 with M10 GW Binding Skis</t>
        </is>
      </c>
      <c r="AL679" t="inlineStr">
        <is>
          <t>Backcountry.com</t>
        </is>
      </c>
      <c r="AM679" s="333" t="n">
        <v>314.27</v>
      </c>
      <c r="AN679" t="inlineStr">
        <is>
          <t>https://tinyurl.com/y7fv26po</t>
        </is>
      </c>
      <c r="AO679" t="inlineStr">
        <is>
          <t>Faction Ct 1.0 Ski, 164</t>
        </is>
      </c>
      <c r="AP679" t="inlineStr">
        <is>
          <t>Snowcountry.eu</t>
        </is>
      </c>
      <c r="AQ679" s="333" t="n">
        <v>391.87</v>
      </c>
      <c r="AR679" t="inlineStr">
        <is>
          <t>https://tinyurl.com/y9e83r2f</t>
        </is>
      </c>
      <c r="AS679" s="314">
        <f>IF(LEFT(C679,1)=" ",RIGHT(C679,LEN(C679)-1),C679)</f>
        <v/>
      </c>
      <c r="AT679" s="281">
        <f>_xlfn.CONCAT(B679,AS679,D679,E679)</f>
        <v/>
      </c>
    </row>
    <row r="680">
      <c r="A680" t="inlineStr">
        <is>
          <t>21/22</t>
        </is>
      </c>
      <c r="B680" t="inlineStr">
        <is>
          <t xml:space="preserve"> Vï¿½lkl</t>
        </is>
      </c>
      <c r="C680" t="inlineStr">
        <is>
          <t>Kanjo 84</t>
        </is>
      </c>
      <c r="D680" t="n">
        <v>168</v>
      </c>
      <c r="E680" t="inlineStr">
        <is>
          <t xml:space="preserve"> Unisex</t>
        </is>
      </c>
      <c r="F680" t="n">
        <v>168</v>
      </c>
      <c r="G680" t="n">
        <v>168.7</v>
      </c>
      <c r="H680" t="n">
        <v>132</v>
      </c>
      <c r="I680" t="n">
        <v>145</v>
      </c>
      <c r="J680" t="n">
        <v>124</v>
      </c>
      <c r="K680" t="n">
        <v>83</v>
      </c>
      <c r="L680" t="n">
        <v>106</v>
      </c>
      <c r="M680" t="n">
        <v>15.8</v>
      </c>
      <c r="N680" t="n">
        <v>1495</v>
      </c>
      <c r="O680" t="n">
        <v>1.09</v>
      </c>
      <c r="P680" t="n">
        <v>1623</v>
      </c>
      <c r="Q680" t="n">
        <v>185</v>
      </c>
      <c r="R680" t="n">
        <v>70</v>
      </c>
      <c r="S680" t="n">
        <v>36</v>
      </c>
      <c r="T680" t="n">
        <v>229</v>
      </c>
      <c r="U680" t="n">
        <v>13</v>
      </c>
      <c r="V680" t="n">
        <v>141</v>
      </c>
      <c r="W680" t="n">
        <v>0.348</v>
      </c>
      <c r="X680" t="n">
        <v>134</v>
      </c>
      <c r="Y680" t="n">
        <v>107</v>
      </c>
      <c r="Z680" t="n">
        <v>95</v>
      </c>
      <c r="AA680" t="n">
        <v>3</v>
      </c>
      <c r="AB680" t="n">
        <v>11.6</v>
      </c>
      <c r="AC680" t="inlineStr">
        <is>
          <t xml:space="preserve"> On-Piste All-Mountain</t>
        </is>
      </c>
      <c r="AD680" t="inlineStr">
        <is>
          <t xml:space="preserve"> Resort Freeride</t>
        </is>
      </c>
      <c r="AE680" t="inlineStr">
        <is>
          <t xml:space="preserve"> Touring</t>
        </is>
      </c>
      <c r="AG680" t="inlineStr">
        <is>
          <t>VOLKL KANJO 84 21</t>
        </is>
      </c>
      <c r="AH680" t="inlineStr">
        <is>
          <t>Vertical Drop</t>
        </is>
      </c>
      <c r="AI680" s="333" t="n">
        <v>419.99</v>
      </c>
      <c r="AJ680" t="inlineStr">
        <is>
          <t>https://tinyurl.com/y8uhcl4z</t>
        </is>
      </c>
      <c r="AK680" t="inlineStr">
        <is>
          <t>Volkl 2022 Kanjo 84 Skis</t>
        </is>
      </c>
      <c r="AL680" t="inlineStr">
        <is>
          <t>The-House.com</t>
        </is>
      </c>
      <c r="AM680" s="333" t="n">
        <v>479.95</v>
      </c>
      <c r="AN680" t="inlineStr">
        <is>
          <t>https://tinyurl.com/y9scvtzf</t>
        </is>
      </c>
      <c r="AO680" t="inlineStr">
        <is>
          <t>Volkl Yumi 84 Skis 2022 168cm</t>
        </is>
      </c>
      <c r="AP680" t="inlineStr">
        <is>
          <t>SkatePro.com</t>
        </is>
      </c>
      <c r="AQ680" s="333" t="n">
        <v>419.95</v>
      </c>
      <c r="AR680" t="inlineStr">
        <is>
          <t>https://tinyurl.com/yamk9ub8</t>
        </is>
      </c>
      <c r="AS680" s="314">
        <f>IF(LEFT(C680,1)=" ",RIGHT(C680,LEN(C680)-1),C680)</f>
        <v/>
      </c>
      <c r="AT680" s="281">
        <f>_xlfn.CONCAT(B680,AS680,D680,E680)</f>
        <v/>
      </c>
    </row>
    <row r="681">
      <c r="A681" t="inlineStr">
        <is>
          <t>21/22</t>
        </is>
      </c>
      <c r="B681" t="inlineStr">
        <is>
          <t xml:space="preserve"> Vï¿½lkl</t>
        </is>
      </c>
      <c r="C681" t="inlineStr">
        <is>
          <t>Kenja 88</t>
        </is>
      </c>
      <c r="D681" t="n">
        <v>170</v>
      </c>
      <c r="E681" t="inlineStr">
        <is>
          <t xml:space="preserve"> Women's</t>
        </is>
      </c>
      <c r="F681" t="n">
        <v>170</v>
      </c>
      <c r="G681" t="n">
        <v>171.2</v>
      </c>
      <c r="H681" t="n">
        <v>123</v>
      </c>
      <c r="I681" t="n">
        <v>148</v>
      </c>
      <c r="J681" t="n">
        <v>128</v>
      </c>
      <c r="K681" t="n">
        <v>87</v>
      </c>
      <c r="L681" t="n">
        <v>110</v>
      </c>
      <c r="M681" t="n">
        <v>16.4</v>
      </c>
      <c r="N681" t="n">
        <v>1843</v>
      </c>
      <c r="O681" t="n">
        <v>0.93</v>
      </c>
      <c r="P681" t="n">
        <v>1713</v>
      </c>
      <c r="Q681" t="n">
        <v>189</v>
      </c>
      <c r="R681" t="n">
        <v>126</v>
      </c>
      <c r="S681" t="n">
        <v>45</v>
      </c>
      <c r="T681" t="n">
        <v>296</v>
      </c>
      <c r="U681" t="n">
        <v>15</v>
      </c>
      <c r="V681" t="n">
        <v>187</v>
      </c>
      <c r="W681" t="n">
        <v>0.321</v>
      </c>
      <c r="X681" t="n">
        <v>134</v>
      </c>
      <c r="Y681" t="n">
        <v>102</v>
      </c>
      <c r="Z681" t="n">
        <v>163</v>
      </c>
      <c r="AA681" t="n">
        <v>3</v>
      </c>
      <c r="AB681" t="n">
        <v>11.3</v>
      </c>
      <c r="AC681" t="inlineStr">
        <is>
          <t xml:space="preserve"> Resort Freeride</t>
        </is>
      </c>
      <c r="AG681" t="inlineStr">
        <is>
          <t>VÃ¶lkl Kenja 88 22/23 Skis Â· Women's Â· 170 cm</t>
        </is>
      </c>
      <c r="AH681" t="inlineStr">
        <is>
          <t>Curated</t>
        </is>
      </c>
      <c r="AI681" s="333" t="n">
        <v>699.99</v>
      </c>
      <c r="AJ681" t="inlineStr">
        <is>
          <t>https://tinyurl.com/y8ahpnsv</t>
        </is>
      </c>
      <c r="AK681" t="inlineStr">
        <is>
          <t>Volkl Kenja 88 Skis - Women's 2022</t>
        </is>
      </c>
      <c r="AL681" t="inlineStr">
        <is>
          <t>Snowcountry.eu</t>
        </is>
      </c>
      <c r="AM681" s="333" t="n">
        <v>451.78</v>
      </c>
      <c r="AN681" t="inlineStr">
        <is>
          <t>https://tinyurl.com/y825u4dg</t>
        </is>
      </c>
      <c r="AO681" t="inlineStr">
        <is>
          <t>Volkl Kenja 88 Skis - Women's 2022</t>
        </is>
      </c>
      <c r="AP681" t="inlineStr">
        <is>
          <t>BlueZone Sports</t>
        </is>
      </c>
      <c r="AQ681" s="333" t="n">
        <v>519.99</v>
      </c>
      <c r="AR681" t="inlineStr">
        <is>
          <t>https://tinyurl.com/y7ff4wv6</t>
        </is>
      </c>
      <c r="AS681" s="314">
        <f>IF(LEFT(C681,1)=" ",RIGHT(C681,LEN(C681)-1),C681)</f>
        <v/>
      </c>
      <c r="AT681" s="281">
        <f>_xlfn.CONCAT(B681,AS681,D681,E681)</f>
        <v/>
      </c>
    </row>
    <row r="682">
      <c r="A682" t="inlineStr">
        <is>
          <t>21/22</t>
        </is>
      </c>
      <c r="B682" t="inlineStr">
        <is>
          <t xml:space="preserve"> Nordica</t>
        </is>
      </c>
      <c r="C682" t="inlineStr">
        <is>
          <t>Santa Ana 84</t>
        </is>
      </c>
      <c r="D682" t="n">
        <v>165</v>
      </c>
      <c r="E682" t="inlineStr">
        <is>
          <t xml:space="preserve"> Women's</t>
        </is>
      </c>
      <c r="F682" t="n">
        <v>165</v>
      </c>
      <c r="G682" t="n">
        <v>164.1</v>
      </c>
      <c r="H682" t="n">
        <v>123</v>
      </c>
      <c r="I682" t="n">
        <v>139</v>
      </c>
      <c r="J682" t="n">
        <v>121</v>
      </c>
      <c r="K682" t="n">
        <v>83</v>
      </c>
      <c r="L682" t="n">
        <v>105</v>
      </c>
      <c r="M682" t="n">
        <v>15.3</v>
      </c>
      <c r="N682" t="n">
        <v>1560</v>
      </c>
      <c r="O682" t="n">
        <v>1.01</v>
      </c>
      <c r="P682" t="n">
        <v>1572</v>
      </c>
      <c r="Q682" t="n">
        <v>164</v>
      </c>
      <c r="R682" t="n">
        <v>75</v>
      </c>
      <c r="S682" t="n">
        <v>58</v>
      </c>
      <c r="T682" t="n">
        <v>259</v>
      </c>
      <c r="U682" t="n">
        <v>17</v>
      </c>
      <c r="V682" t="n">
        <v>150</v>
      </c>
      <c r="W682" t="n">
        <v>0.286</v>
      </c>
      <c r="X682" t="n">
        <v>142</v>
      </c>
      <c r="Y682" t="n">
        <v>104</v>
      </c>
      <c r="Z682" t="n">
        <v>117</v>
      </c>
      <c r="AA682" t="n">
        <v>3</v>
      </c>
      <c r="AB682" t="n">
        <v>10.4</v>
      </c>
      <c r="AC682" t="inlineStr">
        <is>
          <t xml:space="preserve"> On-Piste All-Mountain</t>
        </is>
      </c>
      <c r="AD682" t="inlineStr">
        <is>
          <t xml:space="preserve"> Resort Freeride</t>
        </is>
      </c>
      <c r="AG682" t="inlineStr">
        <is>
          <t>Nordica Santa Ana 84 WHITE/BLUE / 165cm</t>
        </is>
      </c>
      <c r="AH682" t="inlineStr">
        <is>
          <t>Sundance Ski and Board Shop</t>
        </is>
      </c>
      <c r="AI682" s="333" t="n">
        <v>400.85</v>
      </c>
      <c r="AJ682" t="inlineStr">
        <is>
          <t>https://tinyurl.com/ybqkbw73</t>
        </is>
      </c>
      <c r="AK682" t="inlineStr">
        <is>
          <t>Nordica Santa Ana 84 Skis - Women's 2022</t>
        </is>
      </c>
      <c r="AL682" t="inlineStr">
        <is>
          <t>BlueZone Sports</t>
        </is>
      </c>
      <c r="AM682" s="333" t="n">
        <v>412.49</v>
      </c>
      <c r="AN682" t="inlineStr">
        <is>
          <t>https://tinyurl.com/y8oxhbc6</t>
        </is>
      </c>
      <c r="AO682" t="inlineStr">
        <is>
          <t>Nordica Santa Ana 84 Alpine Skis 2022 - - 165 cm</t>
        </is>
      </c>
      <c r="AP682" t="inlineStr">
        <is>
          <t>Skirack</t>
        </is>
      </c>
      <c r="AQ682" s="333" t="n">
        <v>439.96</v>
      </c>
      <c r="AR682" t="inlineStr">
        <is>
          <t>https://tinyurl.com/y94a2nn7</t>
        </is>
      </c>
      <c r="AS682" s="314">
        <f>IF(LEFT(C682,1)=" ",RIGHT(C682,LEN(C682)-1),C682)</f>
        <v/>
      </c>
      <c r="AT682" s="281">
        <f>_xlfn.CONCAT(B682,AS682,D682,E682)</f>
        <v/>
      </c>
    </row>
    <row r="683">
      <c r="A683" t="inlineStr">
        <is>
          <t>21/22</t>
        </is>
      </c>
      <c r="B683" t="inlineStr">
        <is>
          <t xml:space="preserve"> Vï¿½lkl</t>
        </is>
      </c>
      <c r="C683" t="inlineStr">
        <is>
          <t>Bash 86</t>
        </is>
      </c>
      <c r="D683" t="n">
        <v>156</v>
      </c>
      <c r="E683" t="inlineStr">
        <is>
          <t xml:space="preserve"> Unisex</t>
        </is>
      </c>
      <c r="F683" t="n">
        <v>156</v>
      </c>
      <c r="G683" t="n">
        <v>155.5</v>
      </c>
      <c r="H683" t="n">
        <v>113</v>
      </c>
      <c r="I683" t="n">
        <v>141</v>
      </c>
      <c r="J683" t="n">
        <v>119</v>
      </c>
      <c r="K683" t="n">
        <v>85</v>
      </c>
      <c r="L683" t="n">
        <v>109</v>
      </c>
      <c r="M683" t="n">
        <v>16.6</v>
      </c>
      <c r="N683" t="n">
        <v>1556</v>
      </c>
      <c r="O683" t="n">
        <v>0.96</v>
      </c>
      <c r="P683" t="n">
        <v>1487</v>
      </c>
      <c r="Q683" t="n">
        <v>155</v>
      </c>
      <c r="R683" t="n">
        <v>73</v>
      </c>
      <c r="S683" t="n">
        <v>41</v>
      </c>
      <c r="T683" t="n">
        <v>234</v>
      </c>
      <c r="U683" t="n">
        <v>39</v>
      </c>
      <c r="V683" t="n">
        <v>189</v>
      </c>
      <c r="W683" t="n">
        <v>0.963</v>
      </c>
      <c r="X683" t="n">
        <v>79</v>
      </c>
      <c r="Y683" t="n">
        <v>71</v>
      </c>
      <c r="Z683" t="n">
        <v>155</v>
      </c>
      <c r="AA683" t="n">
        <v>3</v>
      </c>
      <c r="AB683" t="n">
        <v>1.3</v>
      </c>
      <c r="AC683" t="inlineStr">
        <is>
          <t xml:space="preserve"> Freeski</t>
        </is>
      </c>
      <c r="AG683" t="inlineStr">
        <is>
          <t>Volkl Bash 86</t>
        </is>
      </c>
      <c r="AH683" t="inlineStr">
        <is>
          <t>Aspen East</t>
        </is>
      </c>
      <c r="AI683" s="333" t="n">
        <v>359</v>
      </c>
      <c r="AJ683" t="inlineStr">
        <is>
          <t>https://tinyurl.com/y6ul5gvy</t>
        </is>
      </c>
      <c r="AK683" t="inlineStr">
        <is>
          <t>Volkl Bash 86</t>
        </is>
      </c>
      <c r="AL683" t="inlineStr">
        <is>
          <t xml:space="preserve">Aspen East </t>
        </is>
      </c>
      <c r="AM683" s="333" t="n">
        <v>359</v>
      </c>
      <c r="AN683" t="inlineStr">
        <is>
          <t>https://tinyurl.com/yanr2uuk</t>
        </is>
      </c>
      <c r="AO683" t="inlineStr">
        <is>
          <t>Volkl Bash 86 Skis - Womens 2022 156</t>
        </is>
      </c>
      <c r="AP683" t="inlineStr">
        <is>
          <t>Winteriscalling.com</t>
        </is>
      </c>
      <c r="AQ683" s="333" t="n">
        <v>399.99</v>
      </c>
      <c r="AR683" t="inlineStr">
        <is>
          <t>https://tinyurl.com/y8a2omue</t>
        </is>
      </c>
      <c r="AS683" s="314">
        <f>IF(LEFT(C683,1)=" ",RIGHT(C683,LEN(C683)-1),C683)</f>
        <v/>
      </c>
      <c r="AT683" s="281">
        <f>_xlfn.CONCAT(B683,AS683,D683,E683)</f>
        <v/>
      </c>
    </row>
    <row r="684">
      <c r="A684" t="inlineStr">
        <is>
          <t>21/22</t>
        </is>
      </c>
      <c r="B684" t="inlineStr">
        <is>
          <t>K2</t>
        </is>
      </c>
      <c r="C684" t="inlineStr">
        <is>
          <t>Mindbender 99 Ti</t>
        </is>
      </c>
      <c r="D684" t="n">
        <v>177</v>
      </c>
      <c r="E684" t="inlineStr">
        <is>
          <t xml:space="preserve"> Unisex</t>
        </is>
      </c>
      <c r="F684" t="n">
        <v>177</v>
      </c>
      <c r="G684" t="n">
        <v>176.9</v>
      </c>
      <c r="H684" t="n">
        <v>125</v>
      </c>
      <c r="I684" t="n">
        <v>150</v>
      </c>
      <c r="J684" t="n">
        <v>137</v>
      </c>
      <c r="K684" t="n">
        <v>99</v>
      </c>
      <c r="L684" t="n">
        <v>122</v>
      </c>
      <c r="M684" t="n">
        <v>17.5</v>
      </c>
      <c r="N684" t="n">
        <v>2031</v>
      </c>
      <c r="O684" t="n">
        <v>0.96</v>
      </c>
      <c r="P684" t="n">
        <v>1957</v>
      </c>
      <c r="Q684" t="n">
        <v>202</v>
      </c>
      <c r="R684" t="n">
        <v>122</v>
      </c>
      <c r="S684" t="n">
        <v>49</v>
      </c>
      <c r="T684" t="n">
        <v>319</v>
      </c>
      <c r="U684" t="n">
        <v>15</v>
      </c>
      <c r="V684" t="n">
        <v>202</v>
      </c>
      <c r="W684" t="n">
        <v>0.294</v>
      </c>
      <c r="X684" t="n">
        <v>152</v>
      </c>
      <c r="Y684" t="n">
        <v>122</v>
      </c>
      <c r="Z684" t="n">
        <v>167</v>
      </c>
      <c r="AA684" t="n">
        <v>7</v>
      </c>
      <c r="AB684" t="n">
        <v>11</v>
      </c>
      <c r="AC684" t="inlineStr">
        <is>
          <t xml:space="preserve"> Resort Freeride</t>
        </is>
      </c>
      <c r="AG684" t="inlineStr">
        <is>
          <t>'22 K2 Mindbender 99 Ti Skis 177cm</t>
        </is>
      </c>
      <c r="AH684" t="inlineStr">
        <is>
          <t>Al's Ski Equipment Barn</t>
        </is>
      </c>
      <c r="AI684" s="333" t="n">
        <v>669.95</v>
      </c>
      <c r="AJ684" t="inlineStr">
        <is>
          <t>https://tinyurl.com/ydx3ljtp</t>
        </is>
      </c>
      <c r="AK684" t="inlineStr">
        <is>
          <t>K2 Mindbender 90c Alpine Skis 177</t>
        </is>
      </c>
      <c r="AL684" t="inlineStr">
        <is>
          <t>Level Nine Sports</t>
        </is>
      </c>
      <c r="AM684" s="333" t="n">
        <v>499.95</v>
      </c>
      <c r="AN684" t="inlineStr">
        <is>
          <t>https://tinyurl.com/y94u6h75</t>
        </is>
      </c>
      <c r="AO684" t="inlineStr">
        <is>
          <t>2022 K2 Mindbender 99ti Skis 177</t>
        </is>
      </c>
      <c r="AP684" t="inlineStr">
        <is>
          <t>eBay</t>
        </is>
      </c>
      <c r="AQ684" s="333" t="n">
        <v>500</v>
      </c>
      <c r="AR684" t="inlineStr">
        <is>
          <t>https://tinyurl.com/ycmo8bo9</t>
        </is>
      </c>
      <c r="AS684" s="314">
        <f>IF(LEFT(C684,1)=" ",RIGHT(C684,LEN(C684)-1),C684)</f>
        <v/>
      </c>
      <c r="AT684" s="281">
        <f>_xlfn.CONCAT(B684,AS684,D684,E684)</f>
        <v/>
      </c>
    </row>
    <row r="685">
      <c r="A685" t="inlineStr">
        <is>
          <t>21/22</t>
        </is>
      </c>
      <c r="B685" t="inlineStr">
        <is>
          <t xml:space="preserve"> Raccoon</t>
        </is>
      </c>
      <c r="C685" t="inlineStr">
        <is>
          <t>Chinook 99</t>
        </is>
      </c>
      <c r="D685" t="n">
        <v>180</v>
      </c>
      <c r="E685" t="inlineStr">
        <is>
          <t xml:space="preserve"> Unisex</t>
        </is>
      </c>
      <c r="F685" t="n">
        <v>180</v>
      </c>
      <c r="G685" t="n">
        <v>178.2</v>
      </c>
      <c r="H685" t="n">
        <v>119</v>
      </c>
      <c r="I685" t="n">
        <v>149</v>
      </c>
      <c r="J685" t="n">
        <v>130</v>
      </c>
      <c r="K685" t="n">
        <v>99</v>
      </c>
      <c r="L685" t="n">
        <v>120</v>
      </c>
      <c r="M685" t="n">
        <v>19.2</v>
      </c>
      <c r="N685" t="n">
        <v>1481</v>
      </c>
      <c r="O685" t="n">
        <v>1.32</v>
      </c>
      <c r="P685" t="n">
        <v>1952</v>
      </c>
      <c r="Q685" t="n">
        <v>221</v>
      </c>
      <c r="R685" t="n">
        <v>54</v>
      </c>
      <c r="S685" t="n">
        <v>75</v>
      </c>
      <c r="T685" t="n">
        <v>330</v>
      </c>
      <c r="U685" t="n">
        <v>31</v>
      </c>
      <c r="V685" t="n">
        <v>262</v>
      </c>
      <c r="W685" t="n">
        <v>0.417</v>
      </c>
      <c r="X685" t="n">
        <v>157</v>
      </c>
      <c r="Y685" t="n">
        <v>131</v>
      </c>
      <c r="Z685" t="n">
        <v>173</v>
      </c>
      <c r="AA685" t="n">
        <v>5</v>
      </c>
      <c r="AB685" t="n">
        <v>11.5</v>
      </c>
      <c r="AC685" t="inlineStr">
        <is>
          <t xml:space="preserve"> Touring</t>
        </is>
      </c>
      <c r="AD685" t="inlineStr">
        <is>
          <t xml:space="preserve"> Ultralight Touring</t>
        </is>
      </c>
      <c r="AS685" s="314">
        <f>IF(LEFT(C685,1)=" ",RIGHT(C685,LEN(C685)-1),C685)</f>
        <v/>
      </c>
      <c r="AT685" s="281">
        <f>_xlfn.CONCAT(B685,AS685,D685,E685)</f>
        <v/>
      </c>
    </row>
    <row r="686">
      <c r="A686" t="inlineStr">
        <is>
          <t>21/22</t>
        </is>
      </c>
      <c r="B686" t="inlineStr">
        <is>
          <t>K2</t>
        </is>
      </c>
      <c r="C686" t="inlineStr">
        <is>
          <t>Reckoner 92 Alliance</t>
        </is>
      </c>
      <c r="D686" t="n">
        <v>169</v>
      </c>
      <c r="E686" t="inlineStr">
        <is>
          <t xml:space="preserve"> Women's</t>
        </is>
      </c>
      <c r="F686" t="n">
        <v>169</v>
      </c>
      <c r="G686" t="n">
        <v>168.9</v>
      </c>
      <c r="H686" t="n">
        <v>117</v>
      </c>
      <c r="I686" t="n">
        <v>143</v>
      </c>
      <c r="J686" t="n">
        <v>123</v>
      </c>
      <c r="K686" t="n">
        <v>91</v>
      </c>
      <c r="L686" t="n">
        <v>113</v>
      </c>
      <c r="M686" t="n">
        <v>17.4</v>
      </c>
      <c r="N686" t="n">
        <v>1680</v>
      </c>
      <c r="O686" t="n">
        <v>1.02</v>
      </c>
      <c r="P686" t="n">
        <v>1716</v>
      </c>
      <c r="Q686" t="n">
        <v>155</v>
      </c>
      <c r="R686" t="n">
        <v>79</v>
      </c>
      <c r="S686" t="n">
        <v>49</v>
      </c>
      <c r="T686" t="n">
        <v>265</v>
      </c>
      <c r="U686" t="n">
        <v>40</v>
      </c>
      <c r="V686" t="n">
        <v>252</v>
      </c>
      <c r="W686" t="n">
        <v>0.831</v>
      </c>
      <c r="X686" t="n">
        <v>118</v>
      </c>
      <c r="Y686" t="n">
        <v>142</v>
      </c>
      <c r="Z686" t="n">
        <v>147</v>
      </c>
      <c r="AA686" t="n">
        <v>7</v>
      </c>
      <c r="AB686" t="n">
        <v>4.8</v>
      </c>
      <c r="AC686" t="inlineStr">
        <is>
          <t xml:space="preserve"> Resort Freeride</t>
        </is>
      </c>
      <c r="AD686" t="inlineStr">
        <is>
          <t xml:space="preserve"> Freeski</t>
        </is>
      </c>
      <c r="AG686" t="inlineStr">
        <is>
          <t>K2 Reckoner 92 Alliance Skis Â· 169 cm</t>
        </is>
      </c>
      <c r="AH686" t="inlineStr">
        <is>
          <t>Curated</t>
        </is>
      </c>
      <c r="AI686" s="333" t="n">
        <v>299</v>
      </c>
      <c r="AJ686" t="inlineStr">
        <is>
          <t>https://tinyurl.com/y7blcda4</t>
        </is>
      </c>
      <c r="AK686" t="inlineStr">
        <is>
          <t>K2 Reckoner 92 Alliance Skis 2022 - Size: 169</t>
        </is>
      </c>
      <c r="AL686" t="inlineStr">
        <is>
          <t>K2 Snow</t>
        </is>
      </c>
      <c r="AM686" s="333" t="n">
        <v>299.95</v>
      </c>
      <c r="AN686" t="inlineStr">
        <is>
          <t>https://tinyurl.com/y9w828h2</t>
        </is>
      </c>
      <c r="AO686" t="inlineStr">
        <is>
          <t>K2 Women's Reckoner 92 Alliance Skis 169 cm</t>
        </is>
      </c>
      <c r="AP686" t="inlineStr">
        <is>
          <t>evo.com</t>
        </is>
      </c>
      <c r="AQ686" s="333" t="n">
        <v>299.95</v>
      </c>
      <c r="AR686" t="inlineStr">
        <is>
          <t>https://tinyurl.com/y7vyhd72</t>
        </is>
      </c>
      <c r="AS686" s="314">
        <f>IF(LEFT(C686,1)=" ",RIGHT(C686,LEN(C686)-1),C686)</f>
        <v/>
      </c>
      <c r="AT686" s="281">
        <f>_xlfn.CONCAT(B686,AS686,D686,E686)</f>
        <v/>
      </c>
    </row>
    <row r="687">
      <c r="A687" t="inlineStr">
        <is>
          <t>21/22</t>
        </is>
      </c>
      <c r="B687" t="inlineStr">
        <is>
          <t xml:space="preserve"> Rossignol</t>
        </is>
      </c>
      <c r="C687" t="inlineStr">
        <is>
          <t>Experience 86 Basalt W</t>
        </is>
      </c>
      <c r="D687" t="n">
        <v>148</v>
      </c>
      <c r="E687" t="inlineStr">
        <is>
          <t xml:space="preserve"> Women's</t>
        </is>
      </c>
      <c r="F687" t="n">
        <v>148</v>
      </c>
      <c r="G687" t="n">
        <v>148.4</v>
      </c>
      <c r="H687" t="n">
        <v>109</v>
      </c>
      <c r="I687" t="n">
        <v>134</v>
      </c>
      <c r="J687" t="n">
        <v>131</v>
      </c>
      <c r="K687" t="n">
        <v>84</v>
      </c>
      <c r="L687" t="n">
        <v>119</v>
      </c>
      <c r="M687" t="n">
        <v>10.4</v>
      </c>
      <c r="N687" t="n">
        <v>1654</v>
      </c>
      <c r="O687" t="n">
        <v>0.89</v>
      </c>
      <c r="P687" t="n">
        <v>1474</v>
      </c>
      <c r="Q687" t="n">
        <v>178</v>
      </c>
      <c r="R687" t="n">
        <v>74</v>
      </c>
      <c r="S687" t="n">
        <v>51</v>
      </c>
      <c r="T687" t="n">
        <v>263</v>
      </c>
      <c r="U687" t="n">
        <v>13</v>
      </c>
      <c r="V687" t="n">
        <v>129</v>
      </c>
      <c r="W687" t="n">
        <v>0.264</v>
      </c>
      <c r="X687" t="n">
        <v>78</v>
      </c>
      <c r="Y687" t="n">
        <v>66</v>
      </c>
      <c r="Z687" t="n">
        <v>185</v>
      </c>
      <c r="AA687" t="n">
        <v>8</v>
      </c>
      <c r="AB687" t="n">
        <v>6.4</v>
      </c>
      <c r="AC687" t="inlineStr">
        <is>
          <t xml:space="preserve"> Resort Freeride</t>
        </is>
      </c>
      <c r="AG687" t="inlineStr">
        <is>
          <t>Rossignol Experience W 86 Basalt Skis Womens 2022</t>
        </is>
      </c>
      <c r="AH687" t="inlineStr">
        <is>
          <t>BlueZone Sports</t>
        </is>
      </c>
      <c r="AI687" s="333" t="n">
        <v>479.96</v>
      </c>
      <c r="AJ687" t="inlineStr">
        <is>
          <t>https://tinyurl.com/y9pp34ko</t>
        </is>
      </c>
      <c r="AK687" t="inlineStr">
        <is>
          <t>Rossignol Experience W 86 Basalt Skis</t>
        </is>
      </c>
      <c r="AL687" t="inlineStr">
        <is>
          <t>Cole Sport</t>
        </is>
      </c>
      <c r="AM687" s="333" t="n">
        <v>599.95</v>
      </c>
      <c r="AN687" t="inlineStr">
        <is>
          <t>https://tinyurl.com/ybabehgv</t>
        </is>
      </c>
      <c r="AO687" t="inlineStr">
        <is>
          <t>2022 Rossignol Experience 86 Basalt Womenâ€™s Purple Snow Skis 148cm</t>
        </is>
      </c>
      <c r="AP687" t="inlineStr">
        <is>
          <t>eBay - klnbnc</t>
        </is>
      </c>
      <c r="AQ687" s="333" t="n">
        <v>375</v>
      </c>
      <c r="AR687" t="inlineStr">
        <is>
          <t>https://tinyurl.com/yc87xpus</t>
        </is>
      </c>
      <c r="AS687" s="314">
        <f>IF(LEFT(C687,1)=" ",RIGHT(C687,LEN(C687)-1),C687)</f>
        <v/>
      </c>
      <c r="AT687" s="281">
        <f>_xlfn.CONCAT(B687,AS687,D687,E687)</f>
        <v/>
      </c>
    </row>
    <row r="688">
      <c r="A688" t="inlineStr">
        <is>
          <t>21/22</t>
        </is>
      </c>
      <c r="B688" t="inlineStr">
        <is>
          <t xml:space="preserve"> Nordica</t>
        </is>
      </c>
      <c r="C688" t="inlineStr">
        <is>
          <t>Santa Ana 84</t>
        </is>
      </c>
      <c r="D688" t="n">
        <v>158</v>
      </c>
      <c r="E688" t="inlineStr">
        <is>
          <t xml:space="preserve"> Women's</t>
        </is>
      </c>
      <c r="F688" t="n">
        <v>158</v>
      </c>
      <c r="G688" t="n">
        <v>157.2</v>
      </c>
      <c r="H688" t="n">
        <v>118</v>
      </c>
      <c r="I688" t="n">
        <v>133</v>
      </c>
      <c r="J688" t="n">
        <v>120</v>
      </c>
      <c r="K688" t="n">
        <v>83</v>
      </c>
      <c r="L688" t="n">
        <v>105</v>
      </c>
      <c r="M688" t="n">
        <v>14</v>
      </c>
      <c r="N688" t="n">
        <v>1529</v>
      </c>
      <c r="O688" t="n">
        <v>0.98</v>
      </c>
      <c r="P688" t="n">
        <v>1505</v>
      </c>
      <c r="Q688" t="n">
        <v>174</v>
      </c>
      <c r="R688" t="n">
        <v>79</v>
      </c>
      <c r="S688" t="n">
        <v>59</v>
      </c>
      <c r="T688" t="n">
        <v>254</v>
      </c>
      <c r="U688" t="n">
        <v>15</v>
      </c>
      <c r="V688" t="n">
        <v>141</v>
      </c>
      <c r="W688" t="n">
        <v>0.263</v>
      </c>
      <c r="X688" t="n">
        <v>141</v>
      </c>
      <c r="Y688" t="n">
        <v>98</v>
      </c>
      <c r="Z688" t="n">
        <v>113</v>
      </c>
      <c r="AA688" t="n">
        <v>5</v>
      </c>
      <c r="AB688" t="n">
        <v>10.1</v>
      </c>
      <c r="AC688" t="inlineStr">
        <is>
          <t xml:space="preserve"> On-Piste All-Mountain</t>
        </is>
      </c>
      <c r="AD688" t="inlineStr">
        <is>
          <t xml:space="preserve"> Resort Freeride</t>
        </is>
      </c>
      <c r="AG688" t="inlineStr">
        <is>
          <t>Nordica Santa Ana 84 WHITE/BLUE / 158cm</t>
        </is>
      </c>
      <c r="AH688" t="inlineStr">
        <is>
          <t>Sundance Ski and Board Shop</t>
        </is>
      </c>
      <c r="AI688" s="333" t="n">
        <v>400.85</v>
      </c>
      <c r="AJ688" t="inlineStr">
        <is>
          <t>https://tinyurl.com/ycvfgeh5</t>
        </is>
      </c>
      <c r="AK688" t="inlineStr">
        <is>
          <t>Nordica Santa Ana 84 Alpine Skis 2022 - - 158 cm</t>
        </is>
      </c>
      <c r="AL688" t="inlineStr">
        <is>
          <t>Skirack</t>
        </is>
      </c>
      <c r="AM688" s="333" t="n">
        <v>439.96</v>
      </c>
      <c r="AN688" t="inlineStr">
        <is>
          <t>https://tinyurl.com/y83wqvgq</t>
        </is>
      </c>
      <c r="AO688" t="inlineStr">
        <is>
          <t>Nordica Santa Ana 84 Skis - Women's 2022</t>
        </is>
      </c>
      <c r="AP688" t="inlineStr">
        <is>
          <t>Hillcrest Ski &amp; Sports</t>
        </is>
      </c>
      <c r="AQ688" s="333" t="n">
        <v>439.99</v>
      </c>
      <c r="AR688" t="inlineStr">
        <is>
          <t>https://tinyurl.com/ya2oxdtx</t>
        </is>
      </c>
      <c r="AS688" s="314">
        <f>IF(LEFT(C688,1)=" ",RIGHT(C688,LEN(C688)-1),C688)</f>
        <v/>
      </c>
      <c r="AT688" s="281">
        <f>_xlfn.CONCAT(B688,AS688,D688,E688)</f>
        <v/>
      </c>
    </row>
    <row r="689">
      <c r="A689" t="inlineStr">
        <is>
          <t>21/22</t>
        </is>
      </c>
      <c r="B689" t="inlineStr">
        <is>
          <t xml:space="preserve"> Atomic</t>
        </is>
      </c>
      <c r="C689" t="inlineStr">
        <is>
          <t>Bent Chetler 120</t>
        </is>
      </c>
      <c r="D689" t="n">
        <v>184</v>
      </c>
      <c r="E689" t="inlineStr">
        <is>
          <t xml:space="preserve"> Unisex</t>
        </is>
      </c>
      <c r="F689" t="n">
        <v>184</v>
      </c>
      <c r="G689" t="n">
        <v>182.6</v>
      </c>
      <c r="H689" t="n">
        <v>107</v>
      </c>
      <c r="I689" t="n">
        <v>137</v>
      </c>
      <c r="J689" t="n">
        <v>142</v>
      </c>
      <c r="K689" t="n">
        <v>119</v>
      </c>
      <c r="L689" t="n">
        <v>133</v>
      </c>
      <c r="M689" t="n">
        <v>20.2</v>
      </c>
      <c r="N689" t="n">
        <v>1816</v>
      </c>
      <c r="O689" t="n">
        <v>1.25</v>
      </c>
      <c r="P689" t="n">
        <v>2262</v>
      </c>
      <c r="Q689" t="n">
        <v>255</v>
      </c>
      <c r="R689" t="n">
        <v>103</v>
      </c>
      <c r="S689" t="n">
        <v>54</v>
      </c>
      <c r="T689" t="n">
        <v>395</v>
      </c>
      <c r="U689" t="n">
        <v>53</v>
      </c>
      <c r="V689" t="n">
        <v>359</v>
      </c>
      <c r="W689" t="n">
        <v>0.988</v>
      </c>
      <c r="X689" t="n">
        <v>204</v>
      </c>
      <c r="Y689" t="n">
        <v>255</v>
      </c>
      <c r="Z689" t="n">
        <v>191</v>
      </c>
      <c r="AA689" t="n">
        <v>5</v>
      </c>
      <c r="AB689" t="n">
        <v>3.9</v>
      </c>
      <c r="AC689" t="inlineStr">
        <is>
          <t xml:space="preserve"> Freeski</t>
        </is>
      </c>
      <c r="AD689" t="inlineStr">
        <is>
          <t xml:space="preserve"> Powder</t>
        </is>
      </c>
      <c r="AE689" t="inlineStr">
        <is>
          <t xml:space="preserve"> Touring</t>
        </is>
      </c>
      <c r="AG689" t="inlineStr">
        <is>
          <t>Atomic Bent Chetler 120 Skis</t>
        </is>
      </c>
      <c r="AH689" t="inlineStr">
        <is>
          <t>Telemark Pyrenees</t>
        </is>
      </c>
      <c r="AI689" s="333" t="n">
        <v>494.99</v>
      </c>
      <c r="AJ689" t="inlineStr">
        <is>
          <t>https://tinyurl.com/ycrfotel</t>
        </is>
      </c>
      <c r="AK689" t="inlineStr">
        <is>
          <t>Atomic Bent Chetler 120 Skis</t>
        </is>
      </c>
      <c r="AL689" t="inlineStr">
        <is>
          <t>Powder7 Ski Shop</t>
        </is>
      </c>
      <c r="AM689" s="333" t="n">
        <v>599.9299999999999</v>
      </c>
      <c r="AN689" t="inlineStr">
        <is>
          <t>https://tinyurl.com/y8kj48yz</t>
        </is>
      </c>
      <c r="AO689" t="inlineStr">
        <is>
          <t>Atomic Bent Chetler 120 Skis</t>
        </is>
      </c>
      <c r="AP689" t="inlineStr">
        <is>
          <t>evo.com</t>
        </is>
      </c>
      <c r="AQ689" s="333" t="n">
        <v>599.99</v>
      </c>
      <c r="AR689" t="inlineStr">
        <is>
          <t>https://tinyurl.com/y8rbrak7</t>
        </is>
      </c>
      <c r="AS689" s="314">
        <f>IF(LEFT(C689,1)=" ",RIGHT(C689,LEN(C689)-1),C689)</f>
        <v/>
      </c>
      <c r="AT689" s="281">
        <f>_xlfn.CONCAT(B689,AS689,D689,E689)</f>
        <v/>
      </c>
    </row>
    <row r="690">
      <c r="A690" t="inlineStr">
        <is>
          <t>21/22</t>
        </is>
      </c>
      <c r="B690" t="inlineStr">
        <is>
          <t xml:space="preserve"> Liberty</t>
        </is>
      </c>
      <c r="C690" t="inlineStr">
        <is>
          <t>Genesis 90</t>
        </is>
      </c>
      <c r="D690" t="n">
        <v>165</v>
      </c>
      <c r="E690" t="inlineStr">
        <is>
          <t xml:space="preserve"> Women's</t>
        </is>
      </c>
      <c r="F690" t="n">
        <v>165</v>
      </c>
      <c r="G690" t="n">
        <v>164.5</v>
      </c>
      <c r="H690" t="n">
        <v>105</v>
      </c>
      <c r="I690" t="n">
        <v>136</v>
      </c>
      <c r="J690" t="n">
        <v>125</v>
      </c>
      <c r="K690" t="n">
        <v>90</v>
      </c>
      <c r="L690" t="n">
        <v>111</v>
      </c>
      <c r="M690" t="n">
        <v>14.8</v>
      </c>
      <c r="N690" t="n">
        <v>1554</v>
      </c>
      <c r="O690" t="n">
        <v>1.06</v>
      </c>
      <c r="P690" t="n">
        <v>1649</v>
      </c>
      <c r="Q690" t="n">
        <v>173</v>
      </c>
      <c r="R690" t="n">
        <v>78</v>
      </c>
      <c r="S690" t="n">
        <v>43</v>
      </c>
      <c r="T690" t="n">
        <v>345</v>
      </c>
      <c r="U690" t="n">
        <v>21</v>
      </c>
      <c r="V690" t="n">
        <v>246</v>
      </c>
      <c r="W690" t="n">
        <v>0.484</v>
      </c>
      <c r="X690" t="n">
        <v>133</v>
      </c>
      <c r="Y690" t="n">
        <v>152</v>
      </c>
      <c r="Z690" t="n">
        <v>213</v>
      </c>
      <c r="AA690" t="n">
        <v>5</v>
      </c>
      <c r="AB690" t="n">
        <v>7.7</v>
      </c>
      <c r="AC690" t="inlineStr">
        <is>
          <t xml:space="preserve"> Resort Freeride</t>
        </is>
      </c>
      <c r="AD690" t="inlineStr">
        <is>
          <t xml:space="preserve"> Touring</t>
        </is>
      </c>
      <c r="AG690" t="inlineStr">
        <is>
          <t>'21 Liberty Genesis 90 Skis 165cm</t>
        </is>
      </c>
      <c r="AH690" t="inlineStr">
        <is>
          <t>Al's Ski Equipment Barn</t>
        </is>
      </c>
      <c r="AI690" s="333" t="n">
        <v>399.95</v>
      </c>
      <c r="AJ690" t="inlineStr">
        <is>
          <t>https://tinyurl.com/y8977nyn</t>
        </is>
      </c>
      <c r="AK690" t="inlineStr">
        <is>
          <t>Liberty Genesis 90 Women's Skis - 2021 - 165cm</t>
        </is>
      </c>
      <c r="AL690" t="inlineStr">
        <is>
          <t>ColoradoSkiShop.com</t>
        </is>
      </c>
      <c r="AM690" s="333" t="n">
        <v>499.95</v>
      </c>
      <c r="AN690" t="inlineStr">
        <is>
          <t>https://tinyurl.com/ycomqbvg</t>
        </is>
      </c>
      <c r="AO690" t="inlineStr">
        <is>
          <t>2020 Liberty Evolv 90</t>
        </is>
      </c>
      <c r="AP690" t="inlineStr">
        <is>
          <t>eBay - larsonski</t>
        </is>
      </c>
      <c r="AQ690" s="333" t="n">
        <v>425</v>
      </c>
      <c r="AR690" t="inlineStr">
        <is>
          <t>https://tinyurl.com/y8t8jw2c</t>
        </is>
      </c>
      <c r="AS690" s="314">
        <f>IF(LEFT(C690,1)=" ",RIGHT(C690,LEN(C690)-1),C690)</f>
        <v/>
      </c>
      <c r="AT690" s="281">
        <f>_xlfn.CONCAT(B690,AS690,D690,E690)</f>
        <v/>
      </c>
    </row>
    <row r="691">
      <c r="A691" t="inlineStr">
        <is>
          <t>21/22</t>
        </is>
      </c>
      <c r="B691" t="inlineStr">
        <is>
          <t xml:space="preserve"> Raccoon</t>
        </is>
      </c>
      <c r="C691" t="inlineStr">
        <is>
          <t>Le Grizzly 99 W</t>
        </is>
      </c>
      <c r="D691" t="n">
        <v>164</v>
      </c>
      <c r="E691" t="inlineStr">
        <is>
          <t xml:space="preserve"> Women's</t>
        </is>
      </c>
      <c r="F691" t="n">
        <v>164</v>
      </c>
      <c r="G691" t="n">
        <v>162.3</v>
      </c>
      <c r="H691" t="n">
        <v>104</v>
      </c>
      <c r="I691" t="n">
        <v>136</v>
      </c>
      <c r="J691" t="n">
        <v>129</v>
      </c>
      <c r="K691" t="n">
        <v>99</v>
      </c>
      <c r="L691" t="n">
        <v>120</v>
      </c>
      <c r="M691" t="n">
        <v>16</v>
      </c>
      <c r="N691" t="n">
        <v>1505</v>
      </c>
      <c r="O691" t="n">
        <v>1.18</v>
      </c>
      <c r="P691" t="n">
        <v>1776</v>
      </c>
      <c r="Q691" t="n">
        <v>152</v>
      </c>
      <c r="R691" t="n">
        <v>75</v>
      </c>
      <c r="S691" t="n">
        <v>64</v>
      </c>
      <c r="T691" t="n">
        <v>363</v>
      </c>
      <c r="U691" t="n">
        <v>26</v>
      </c>
      <c r="V691" t="n">
        <v>219</v>
      </c>
      <c r="W691" t="n">
        <v>0.411</v>
      </c>
      <c r="X691" t="n">
        <v>151</v>
      </c>
      <c r="Y691" t="n">
        <v>114</v>
      </c>
      <c r="Z691" t="n">
        <v>212</v>
      </c>
      <c r="AA691" t="n">
        <v>6</v>
      </c>
      <c r="AB691" t="n">
        <v>10.6</v>
      </c>
      <c r="AC691" t="inlineStr">
        <is>
          <t xml:space="preserve"> Resort Freeride</t>
        </is>
      </c>
      <c r="AD691" t="inlineStr">
        <is>
          <t xml:space="preserve"> Touring</t>
        </is>
      </c>
      <c r="AS691" s="314">
        <f>IF(LEFT(C691,1)=" ",RIGHT(C691,LEN(C691)-1),C691)</f>
        <v/>
      </c>
      <c r="AT691" s="281">
        <f>_xlfn.CONCAT(B691,AS691,D691,E691)</f>
        <v/>
      </c>
    </row>
    <row r="692">
      <c r="A692" t="inlineStr">
        <is>
          <t>21/22</t>
        </is>
      </c>
      <c r="B692" t="inlineStr">
        <is>
          <t xml:space="preserve"> Elan</t>
        </is>
      </c>
      <c r="C692" t="inlineStr">
        <is>
          <t>Wingman 78 Ti</t>
        </is>
      </c>
      <c r="D692" t="n">
        <v>160</v>
      </c>
      <c r="E692" t="inlineStr">
        <is>
          <t xml:space="preserve"> Unisex</t>
        </is>
      </c>
      <c r="F692" t="n">
        <v>160</v>
      </c>
      <c r="G692" t="n">
        <v>158.5</v>
      </c>
      <c r="H692" t="n">
        <v>138</v>
      </c>
      <c r="I692" t="n">
        <v>144</v>
      </c>
      <c r="J692" t="n">
        <v>125</v>
      </c>
      <c r="K692" t="n">
        <v>76</v>
      </c>
      <c r="L692" t="n">
        <v>105</v>
      </c>
      <c r="M692" t="n">
        <v>13.2</v>
      </c>
      <c r="N692" t="n">
        <v>1808</v>
      </c>
      <c r="O692" t="n">
        <v>0.8</v>
      </c>
      <c r="P692" t="n">
        <v>1443</v>
      </c>
      <c r="Q692" t="n">
        <v>176</v>
      </c>
      <c r="R692" t="n">
        <v>81</v>
      </c>
      <c r="S692" t="n">
        <v>29</v>
      </c>
      <c r="T692" t="n">
        <v>138</v>
      </c>
      <c r="U692" t="n">
        <v>11</v>
      </c>
      <c r="V692" t="n">
        <v>72</v>
      </c>
      <c r="W692" t="n">
        <v>0.369</v>
      </c>
      <c r="X692" t="n">
        <v>86</v>
      </c>
      <c r="Y692" t="n">
        <v>60</v>
      </c>
      <c r="Z692" t="n">
        <v>52</v>
      </c>
      <c r="AA692" t="n">
        <v>9</v>
      </c>
      <c r="AB692" t="n">
        <v>8.9</v>
      </c>
      <c r="AC692" t="inlineStr">
        <is>
          <t xml:space="preserve"> On-Piste Carving</t>
        </is>
      </c>
      <c r="AG692" t="inlineStr">
        <is>
          <t>Elan Wingman 78 TI PS ELS 11.0 160cm</t>
        </is>
      </c>
      <c r="AH692" t="inlineStr">
        <is>
          <t>Sundance Ski and Board Shop</t>
        </is>
      </c>
      <c r="AI692" s="333" t="n">
        <v>561.2</v>
      </c>
      <c r="AJ692" t="inlineStr">
        <is>
          <t>https://tinyurl.com/y72m5njw</t>
        </is>
      </c>
      <c r="AK692" t="inlineStr">
        <is>
          <t>Elan Wingman 78 Ti System Skis w/ ELS 11 GW Bindings</t>
        </is>
      </c>
      <c r="AL692" t="inlineStr">
        <is>
          <t>The-House.com</t>
        </is>
      </c>
      <c r="AM692" s="333" t="n">
        <v>599.99</v>
      </c>
      <c r="AN692" t="inlineStr">
        <is>
          <t>https://tinyurl.com/y87d3j7l</t>
        </is>
      </c>
      <c r="AO692" t="inlineStr">
        <is>
          <t>Elan Wingman 82 Ti Skis 2023 160</t>
        </is>
      </c>
      <c r="AP692" t="inlineStr">
        <is>
          <t>Ski Depot RaceSkis.com</t>
        </is>
      </c>
      <c r="AQ692" s="333" t="n">
        <v>399.99</v>
      </c>
      <c r="AR692" t="inlineStr">
        <is>
          <t>https://tinyurl.com/yahn9xkv</t>
        </is>
      </c>
      <c r="AS692" s="314">
        <f>IF(LEFT(C692,1)=" ",RIGHT(C692,LEN(C692)-1),C692)</f>
        <v/>
      </c>
      <c r="AT692" s="281">
        <f>_xlfn.CONCAT(B692,AS692,D692,E692)</f>
        <v/>
      </c>
    </row>
    <row r="693">
      <c r="A693" t="inlineStr">
        <is>
          <t>21/22</t>
        </is>
      </c>
      <c r="B693" t="inlineStr">
        <is>
          <t xml:space="preserve"> Black Crows</t>
        </is>
      </c>
      <c r="C693" t="inlineStr">
        <is>
          <t xml:space="preserve"> Captis</t>
        </is>
      </c>
      <c r="D693" t="n">
        <v>171.1</v>
      </c>
      <c r="E693" t="inlineStr">
        <is>
          <t xml:space="preserve"> Unisex</t>
        </is>
      </c>
      <c r="F693" t="n">
        <v>171.1</v>
      </c>
      <c r="G693" t="n">
        <v>169.9</v>
      </c>
      <c r="H693" t="n">
        <v>119</v>
      </c>
      <c r="I693" t="n">
        <v>137</v>
      </c>
      <c r="J693" t="n">
        <v>118</v>
      </c>
      <c r="K693" t="n">
        <v>89</v>
      </c>
      <c r="L693" t="n">
        <v>110</v>
      </c>
      <c r="M693" t="n">
        <v>17.3</v>
      </c>
      <c r="N693" t="n">
        <v>1634</v>
      </c>
      <c r="O693" t="n">
        <v>1.04</v>
      </c>
      <c r="P693" t="n">
        <v>1703</v>
      </c>
      <c r="Q693" t="n">
        <v>147</v>
      </c>
      <c r="R693" t="n">
        <v>71</v>
      </c>
      <c r="S693" t="n">
        <v>41</v>
      </c>
      <c r="T693" t="n">
        <v>315</v>
      </c>
      <c r="U693" t="n">
        <v>34</v>
      </c>
      <c r="V693" t="n">
        <v>198</v>
      </c>
      <c r="W693" t="n">
        <v>0.819</v>
      </c>
      <c r="X693" t="n">
        <v>207</v>
      </c>
      <c r="Y693" t="n">
        <v>120</v>
      </c>
      <c r="Z693" t="n">
        <v>108</v>
      </c>
      <c r="AA693" t="n">
        <v>4</v>
      </c>
      <c r="AB693" t="n">
        <v>6.5</v>
      </c>
      <c r="AC693" t="inlineStr">
        <is>
          <t xml:space="preserve"> Resort Freeride</t>
        </is>
      </c>
      <c r="AD693" t="inlineStr">
        <is>
          <t xml:space="preserve"> Freeski</t>
        </is>
      </c>
      <c r="AG693" t="inlineStr">
        <is>
          <t>Black Crows Women's Captis Birdie Skis 2022</t>
        </is>
      </c>
      <c r="AH693" t="inlineStr">
        <is>
          <t>Teton Wasatch Ski Co.</t>
        </is>
      </c>
      <c r="AI693" s="333" t="n">
        <v>455</v>
      </c>
      <c r="AJ693" t="inlineStr">
        <is>
          <t>https://tinyurl.com/y97pqjbd</t>
        </is>
      </c>
      <c r="AK693" t="inlineStr">
        <is>
          <t>Black Crows Captis Skis</t>
        </is>
      </c>
      <c r="AL693" t="inlineStr">
        <is>
          <t>Powder7 Ski Shop</t>
        </is>
      </c>
      <c r="AM693" s="333" t="n">
        <v>455.96</v>
      </c>
      <c r="AN693" t="inlineStr">
        <is>
          <t>https://tinyurl.com/yccvhal7</t>
        </is>
      </c>
      <c r="AO693" t="inlineStr">
        <is>
          <t>Black Crows Women's Captis Birdie Skis 2022</t>
        </is>
      </c>
      <c r="AP693" t="inlineStr">
        <is>
          <t>evo.com</t>
        </is>
      </c>
      <c r="AQ693" s="333" t="n">
        <v>455.96</v>
      </c>
      <c r="AR693" t="inlineStr">
        <is>
          <t>https://tinyurl.com/y77p5zoo</t>
        </is>
      </c>
      <c r="AS693" s="314">
        <f>IF(LEFT(C693,1)=" ",RIGHT(C693,LEN(C693)-1),C693)</f>
        <v/>
      </c>
      <c r="AT693" s="281">
        <f>_xlfn.CONCAT(B693,AS693,D693,E693)</f>
        <v/>
      </c>
    </row>
    <row r="694">
      <c r="A694" t="inlineStr">
        <is>
          <t>21/22</t>
        </is>
      </c>
      <c r="B694" t="inlineStr">
        <is>
          <t xml:space="preserve"> Line</t>
        </is>
      </c>
      <c r="C694" t="inlineStr">
        <is>
          <t xml:space="preserve"> Chronic</t>
        </is>
      </c>
      <c r="D694" t="n">
        <v>185</v>
      </c>
      <c r="E694" t="inlineStr">
        <is>
          <t xml:space="preserve"> Unisex</t>
        </is>
      </c>
      <c r="F694" t="n">
        <v>185</v>
      </c>
      <c r="G694" t="n">
        <v>185.3</v>
      </c>
      <c r="H694" t="n">
        <v>148</v>
      </c>
      <c r="I694" t="n">
        <v>151</v>
      </c>
      <c r="J694" t="n">
        <v>128</v>
      </c>
      <c r="K694" t="n">
        <v>94</v>
      </c>
      <c r="L694" t="n">
        <v>119</v>
      </c>
      <c r="M694" t="n">
        <v>18.6</v>
      </c>
      <c r="N694" t="n">
        <v>1982</v>
      </c>
      <c r="O694" t="n">
        <v>0.99</v>
      </c>
      <c r="P694" t="n">
        <v>1954</v>
      </c>
      <c r="Q694" t="n">
        <v>179</v>
      </c>
      <c r="R694" t="n">
        <v>107</v>
      </c>
      <c r="S694" t="n">
        <v>37</v>
      </c>
      <c r="T694" t="n">
        <v>178</v>
      </c>
      <c r="U694" t="n">
        <v>38</v>
      </c>
      <c r="V694" t="n">
        <v>198</v>
      </c>
      <c r="W694" t="n">
        <v>1.026</v>
      </c>
      <c r="X694" t="n">
        <v>164</v>
      </c>
      <c r="Y694" t="n">
        <v>176</v>
      </c>
      <c r="Z694" t="n">
        <v>14</v>
      </c>
      <c r="AA694" t="n">
        <v>10</v>
      </c>
      <c r="AB694" t="n">
        <v>5.2</v>
      </c>
      <c r="AC694" t="inlineStr">
        <is>
          <t xml:space="preserve"> Freeski</t>
        </is>
      </c>
      <c r="AG694" t="inlineStr">
        <is>
          <t>Line Chronic Skis</t>
        </is>
      </c>
      <c r="AH694" t="inlineStr">
        <is>
          <t>LINE Skis</t>
        </is>
      </c>
      <c r="AI694" s="333" t="n">
        <v>499.95</v>
      </c>
      <c r="AJ694" t="inlineStr">
        <is>
          <t>https://tinyurl.com/ybju34zp</t>
        </is>
      </c>
      <c r="AK694" t="inlineStr">
        <is>
          <t>Line Blend Skis 2022 - - 185 cm</t>
        </is>
      </c>
      <c r="AL694" t="inlineStr">
        <is>
          <t>Skirack</t>
        </is>
      </c>
      <c r="AM694" s="333" t="n">
        <v>599.95</v>
      </c>
      <c r="AN694" t="inlineStr">
        <is>
          <t>https://tinyurl.com/yc4u8so4</t>
        </is>
      </c>
      <c r="AO694" t="inlineStr">
        <is>
          <t>Line Blade Optic 104 Skis 185cm 2023</t>
        </is>
      </c>
      <c r="AP694" t="inlineStr">
        <is>
          <t>Powder7 Ski Shop</t>
        </is>
      </c>
      <c r="AQ694" s="333" t="n">
        <v>749.95</v>
      </c>
      <c r="AR694" t="inlineStr">
        <is>
          <t>https://tinyurl.com/y7653svu</t>
        </is>
      </c>
      <c r="AS694" s="314">
        <f>IF(LEFT(C694,1)=" ",RIGHT(C694,LEN(C694)-1),C694)</f>
        <v/>
      </c>
      <c r="AT694" s="281">
        <f>_xlfn.CONCAT(B694,AS694,D694,E694)</f>
        <v/>
      </c>
    </row>
    <row r="695">
      <c r="A695" t="inlineStr">
        <is>
          <t>21/22</t>
        </is>
      </c>
      <c r="B695" t="inlineStr">
        <is>
          <t>K2</t>
        </is>
      </c>
      <c r="C695" t="inlineStr">
        <is>
          <t xml:space="preserve"> Midnight</t>
        </is>
      </c>
      <c r="D695" t="n">
        <v>169</v>
      </c>
      <c r="E695" t="inlineStr">
        <is>
          <t xml:space="preserve"> Women's</t>
        </is>
      </c>
      <c r="F695" t="n">
        <v>169</v>
      </c>
      <c r="G695" t="n">
        <v>169.8</v>
      </c>
      <c r="H695" t="n">
        <v>128</v>
      </c>
      <c r="I695" t="n">
        <v>139</v>
      </c>
      <c r="J695" t="n">
        <v>116</v>
      </c>
      <c r="K695" t="n">
        <v>87</v>
      </c>
      <c r="L695" t="n">
        <v>110</v>
      </c>
      <c r="M695" t="n">
        <v>17</v>
      </c>
      <c r="N695" t="n">
        <v>1786</v>
      </c>
      <c r="O695" t="n">
        <v>0.93</v>
      </c>
      <c r="P695" t="n">
        <v>1659</v>
      </c>
      <c r="Q695" t="n">
        <v>173</v>
      </c>
      <c r="R695" t="n">
        <v>78</v>
      </c>
      <c r="S695" t="n">
        <v>49</v>
      </c>
      <c r="T695" t="n">
        <v>209</v>
      </c>
      <c r="U695" t="n">
        <v>48</v>
      </c>
      <c r="V695" t="n">
        <v>210</v>
      </c>
      <c r="W695" t="n">
        <v>0.972</v>
      </c>
      <c r="X695" t="n">
        <v>160</v>
      </c>
      <c r="Y695" t="n">
        <v>149</v>
      </c>
      <c r="Z695" t="n">
        <v>49</v>
      </c>
      <c r="AA695" t="n">
        <v>6</v>
      </c>
      <c r="AB695" t="n">
        <v>3.8</v>
      </c>
      <c r="AC695" t="inlineStr">
        <is>
          <t xml:space="preserve"> Freeski</t>
        </is>
      </c>
      <c r="AG695" t="inlineStr">
        <is>
          <t>K2 2022 Midnight Women's Skis (169)</t>
        </is>
      </c>
      <c r="AH695" t="inlineStr">
        <is>
          <t>Snowinn.com</t>
        </is>
      </c>
      <c r="AI695" s="333" t="n">
        <v>296.99</v>
      </c>
      <c r="AJ695" t="inlineStr">
        <is>
          <t>https://tinyurl.com/y9p2z36f</t>
        </is>
      </c>
      <c r="AK695" t="inlineStr">
        <is>
          <t>K2 2022 Midnight Women's Skis (169)</t>
        </is>
      </c>
      <c r="AL695" t="inlineStr">
        <is>
          <t>Bobleisure</t>
        </is>
      </c>
      <c r="AM695" s="333" t="n">
        <v>303.92</v>
      </c>
      <c r="AN695" t="inlineStr">
        <is>
          <t>https://tinyurl.com/y9pd57or</t>
        </is>
      </c>
      <c r="AO695" t="inlineStr">
        <is>
          <t>K2 2022 Midnight Women's Skis (169)</t>
        </is>
      </c>
      <c r="AP695" t="inlineStr">
        <is>
          <t>! OutdoorXL.com</t>
        </is>
      </c>
      <c r="AQ695" s="333" t="n">
        <v>309.95</v>
      </c>
      <c r="AR695" t="inlineStr">
        <is>
          <t>https://tinyurl.com/y9uhuell</t>
        </is>
      </c>
      <c r="AS695" s="314">
        <f>IF(LEFT(C695,1)=" ",RIGHT(C695,LEN(C695)-1),C695)</f>
        <v/>
      </c>
      <c r="AT695" s="281">
        <f>_xlfn.CONCAT(B695,AS695,D695,E695)</f>
        <v/>
      </c>
    </row>
    <row r="696">
      <c r="A696" t="inlineStr">
        <is>
          <t>21/22</t>
        </is>
      </c>
      <c r="B696" t="inlineStr">
        <is>
          <t xml:space="preserve"> Rossignol</t>
        </is>
      </c>
      <c r="C696" t="inlineStr">
        <is>
          <t xml:space="preserve"> Hero Elite Multi Turn Ti</t>
        </is>
      </c>
      <c r="D696" t="n">
        <v>167</v>
      </c>
      <c r="E696" t="inlineStr">
        <is>
          <t xml:space="preserve"> Unisex</t>
        </is>
      </c>
      <c r="F696" t="n">
        <v>167</v>
      </c>
      <c r="G696" t="n">
        <v>167.5</v>
      </c>
      <c r="H696" t="n">
        <v>147</v>
      </c>
      <c r="I696" t="n">
        <v>154</v>
      </c>
      <c r="J696" t="n">
        <v>122</v>
      </c>
      <c r="K696" t="n">
        <v>73</v>
      </c>
      <c r="L696" t="n">
        <v>108</v>
      </c>
      <c r="M696" t="n">
        <v>14</v>
      </c>
      <c r="N696" t="n">
        <v>1813</v>
      </c>
      <c r="O696" t="n">
        <v>0.82</v>
      </c>
      <c r="P696" t="n">
        <v>1492</v>
      </c>
      <c r="Q696" t="n">
        <v>198</v>
      </c>
      <c r="R696" t="n">
        <v>74</v>
      </c>
      <c r="S696" t="n">
        <v>38</v>
      </c>
      <c r="T696" t="n">
        <v>136</v>
      </c>
      <c r="U696" t="n">
        <v>5</v>
      </c>
      <c r="V696" t="n">
        <v>68</v>
      </c>
      <c r="W696" t="n">
        <v>0.131</v>
      </c>
      <c r="X696" t="n">
        <v>79</v>
      </c>
      <c r="Y696" t="n">
        <v>59</v>
      </c>
      <c r="Z696" t="n">
        <v>57</v>
      </c>
      <c r="AA696" t="n">
        <v>10</v>
      </c>
      <c r="AB696" t="n">
        <v>10.2</v>
      </c>
      <c r="AC696" t="inlineStr">
        <is>
          <t xml:space="preserve"> On-Piste Carving</t>
        </is>
      </c>
      <c r="AG696" t="inlineStr">
        <is>
          <t>Rossignol Hero Elite St Ti + SPX 14 Konect 21/22</t>
        </is>
      </c>
      <c r="AH696" t="inlineStr">
        <is>
          <t>Rossignol US</t>
        </is>
      </c>
      <c r="AI696" s="333" t="n">
        <v>1099.95</v>
      </c>
      <c r="AJ696" t="inlineStr">
        <is>
          <t>https://tinyurl.com/y7ryb8ny</t>
        </is>
      </c>
      <c r="AK696" t="inlineStr">
        <is>
          <t>Rossignol Hero Elite St Ti 167cm 13m Radius Spx 12 Binding</t>
        </is>
      </c>
      <c r="AL696" t="inlineStr">
        <is>
          <t>eBay</t>
        </is>
      </c>
      <c r="AM696" s="333" t="n">
        <v>575</v>
      </c>
      <c r="AN696" t="inlineStr">
        <is>
          <t>https://tinyurl.com/yc2xby9b</t>
        </is>
      </c>
      <c r="AO696" t="inlineStr">
        <is>
          <t>Rossignol Hero Elite MT Ti</t>
        </is>
      </c>
      <c r="AP696" t="inlineStr">
        <is>
          <t>Spoke-N-Sport</t>
        </is>
      </c>
      <c r="AQ696" s="333" t="n">
        <v>629.99</v>
      </c>
      <c r="AR696" t="inlineStr">
        <is>
          <t>https://tinyurl.com/yc6vxr4u</t>
        </is>
      </c>
      <c r="AS696" s="314">
        <f>IF(LEFT(C696,1)=" ",RIGHT(C696,LEN(C696)-1),C696)</f>
        <v/>
      </c>
      <c r="AT696" s="281">
        <f>_xlfn.CONCAT(B696,AS696,D696,E696)</f>
        <v/>
      </c>
    </row>
    <row r="697">
      <c r="A697" t="inlineStr">
        <is>
          <t>21/22</t>
        </is>
      </c>
      <c r="B697" t="inlineStr">
        <is>
          <t xml:space="preserve"> Head</t>
        </is>
      </c>
      <c r="C697" t="inlineStr">
        <is>
          <t>Kore 105</t>
        </is>
      </c>
      <c r="D697" t="n">
        <v>177</v>
      </c>
      <c r="E697" t="inlineStr">
        <is>
          <t xml:space="preserve"> Unisex</t>
        </is>
      </c>
      <c r="F697" t="n">
        <v>177</v>
      </c>
      <c r="G697" t="n">
        <v>176.6</v>
      </c>
      <c r="H697" t="n">
        <v>134</v>
      </c>
      <c r="I697" t="n">
        <v>137</v>
      </c>
      <c r="J697" t="n">
        <v>132</v>
      </c>
      <c r="K697" t="n">
        <v>102</v>
      </c>
      <c r="L697" t="n">
        <v>121</v>
      </c>
      <c r="M697" t="n">
        <v>17</v>
      </c>
      <c r="N697" t="n">
        <v>1686</v>
      </c>
      <c r="O697" t="n">
        <v>1.18</v>
      </c>
      <c r="P697" t="n">
        <v>1988</v>
      </c>
      <c r="Q697" t="n">
        <v>253</v>
      </c>
      <c r="R697" t="n">
        <v>129</v>
      </c>
      <c r="S697" t="n">
        <v>52</v>
      </c>
      <c r="T697" t="n">
        <v>246</v>
      </c>
      <c r="U697" t="n">
        <v>21</v>
      </c>
      <c r="V697" t="n">
        <v>175</v>
      </c>
      <c r="W697" t="n">
        <v>0.392999999999999</v>
      </c>
      <c r="X697" t="n">
        <v>231</v>
      </c>
      <c r="Y697" t="n">
        <v>167</v>
      </c>
      <c r="Z697" t="n">
        <v>16</v>
      </c>
      <c r="AA697" t="n">
        <v>8</v>
      </c>
      <c r="AB697" t="n">
        <v>10</v>
      </c>
      <c r="AC697" t="inlineStr">
        <is>
          <t xml:space="preserve"> Resort Freeride</t>
        </is>
      </c>
      <c r="AD697" t="inlineStr">
        <is>
          <t xml:space="preserve"> Powder</t>
        </is>
      </c>
      <c r="AE697" t="inlineStr">
        <is>
          <t xml:space="preserve"> Big Mountain</t>
        </is>
      </c>
      <c r="AF697" t="inlineStr">
        <is>
          <t xml:space="preserve"> Touring</t>
        </is>
      </c>
      <c r="AG697" t="inlineStr">
        <is>
          <t>Head Kore 105 Skis</t>
        </is>
      </c>
      <c r="AH697" t="inlineStr">
        <is>
          <t>Telemark Pyrenees</t>
        </is>
      </c>
      <c r="AI697" s="333" t="n">
        <v>430.82</v>
      </c>
      <c r="AJ697" t="inlineStr">
        <is>
          <t>https://tinyurl.com/y9u92lsb</t>
        </is>
      </c>
      <c r="AK697" t="inlineStr">
        <is>
          <t>Head Kore 105 Skis</t>
        </is>
      </c>
      <c r="AL697" t="inlineStr">
        <is>
          <t>UtahSkis</t>
        </is>
      </c>
      <c r="AM697" s="333" t="n">
        <v>449</v>
      </c>
      <c r="AN697" t="inlineStr">
        <is>
          <t>https://tinyurl.com/y8a3s5h7</t>
        </is>
      </c>
      <c r="AO697" t="inlineStr">
        <is>
          <t>Head Kore 105 Anth/Ge / 177cm</t>
        </is>
      </c>
      <c r="AP697" t="inlineStr">
        <is>
          <t>Sundance Ski and Board Shop</t>
        </is>
      </c>
      <c r="AQ697" s="333" t="n">
        <v>521.11</v>
      </c>
      <c r="AR697" t="inlineStr">
        <is>
          <t>https://tinyurl.com/y8p3wv56</t>
        </is>
      </c>
      <c r="AS697" s="314">
        <f>IF(LEFT(C697,1)=" ",RIGHT(C697,LEN(C697)-1),C697)</f>
        <v/>
      </c>
      <c r="AT697" s="281">
        <f>_xlfn.CONCAT(B697,AS697,D697,E697)</f>
        <v/>
      </c>
    </row>
    <row r="698">
      <c r="A698" t="inlineStr">
        <is>
          <t>21/22</t>
        </is>
      </c>
      <c r="B698" t="inlineStr">
        <is>
          <t xml:space="preserve"> Fischer</t>
        </is>
      </c>
      <c r="C698" t="inlineStr">
        <is>
          <t>Ranger 102 FR W</t>
        </is>
      </c>
      <c r="D698" t="n">
        <v>156</v>
      </c>
      <c r="E698" t="inlineStr">
        <is>
          <t xml:space="preserve"> Women's</t>
        </is>
      </c>
      <c r="F698" t="n">
        <v>156</v>
      </c>
      <c r="G698" t="n">
        <v>154.8</v>
      </c>
      <c r="H698" t="n">
        <v>109</v>
      </c>
      <c r="I698" t="n">
        <v>128</v>
      </c>
      <c r="J698" t="n">
        <v>132</v>
      </c>
      <c r="K698" t="n">
        <v>98</v>
      </c>
      <c r="L698" t="n">
        <v>122</v>
      </c>
      <c r="M698" t="n">
        <v>11.9</v>
      </c>
      <c r="N698" t="n">
        <v>1519</v>
      </c>
      <c r="O698" t="n">
        <v>1.13</v>
      </c>
      <c r="P698" t="n">
        <v>1716</v>
      </c>
      <c r="Q698" t="n">
        <v>159</v>
      </c>
      <c r="R698" t="n">
        <v>80</v>
      </c>
      <c r="S698" t="n">
        <v>48</v>
      </c>
      <c r="T698" t="n">
        <v>257</v>
      </c>
      <c r="U698" t="n">
        <v>34</v>
      </c>
      <c r="V698" t="n">
        <v>198</v>
      </c>
      <c r="W698" t="n">
        <v>0.719</v>
      </c>
      <c r="X698" t="n">
        <v>132</v>
      </c>
      <c r="Y698" t="n">
        <v>137</v>
      </c>
      <c r="Z698" t="n">
        <v>125</v>
      </c>
      <c r="AA698" t="n">
        <v>4</v>
      </c>
      <c r="AB698" t="n">
        <v>9</v>
      </c>
      <c r="AC698" t="inlineStr">
        <is>
          <t xml:space="preserve"> Resort Freeride</t>
        </is>
      </c>
      <c r="AD698" t="inlineStr">
        <is>
          <t xml:space="preserve"> Touring</t>
        </is>
      </c>
      <c r="AG698" t="inlineStr">
        <is>
          <t>Blizzard Sheeva 10 21/22</t>
        </is>
      </c>
      <c r="AH698" t="inlineStr">
        <is>
          <t>Telemark Pyrenees</t>
        </is>
      </c>
      <c r="AI698" s="333" t="n">
        <v>357.47</v>
      </c>
      <c r="AJ698" t="inlineStr">
        <is>
          <t>https://tinyurl.com/y9uqp7ev</t>
        </is>
      </c>
      <c r="AK698" t="inlineStr">
        <is>
          <t>Blizzard Sheeva 10 Women Ski 2020</t>
        </is>
      </c>
      <c r="AL698" t="inlineStr">
        <is>
          <t>eBay - grassisport</t>
        </is>
      </c>
      <c r="AM698" s="333" t="n">
        <v>403.48</v>
      </c>
      <c r="AN698" t="inlineStr">
        <is>
          <t>https://tinyurl.com/yd2zb3m9</t>
        </is>
      </c>
      <c r="AO698" t="inlineStr">
        <is>
          <t>Blizzard Sheeva 10 Skis</t>
        </is>
      </c>
      <c r="AP698" t="inlineStr">
        <is>
          <t>Cole Sport</t>
        </is>
      </c>
      <c r="AQ698" s="333" t="n">
        <v>519.95</v>
      </c>
      <c r="AR698" t="inlineStr">
        <is>
          <t>https://tinyurl.com/ycxre6jx</t>
        </is>
      </c>
      <c r="AS698" s="314">
        <f>IF(LEFT(C698,1)=" ",RIGHT(C698,LEN(C698)-1),C698)</f>
        <v/>
      </c>
      <c r="AT698" s="281">
        <f>_xlfn.CONCAT(B698,AS698,D698,E698)</f>
        <v/>
      </c>
    </row>
    <row r="699">
      <c r="A699" t="inlineStr">
        <is>
          <t>21/22</t>
        </is>
      </c>
      <c r="B699" t="inlineStr">
        <is>
          <t xml:space="preserve"> Faction</t>
        </is>
      </c>
      <c r="C699" t="inlineStr">
        <is>
          <t>Prodigy 3.0</t>
        </is>
      </c>
      <c r="D699" t="n">
        <v>172</v>
      </c>
      <c r="E699" t="inlineStr">
        <is>
          <t xml:space="preserve"> Unisex</t>
        </is>
      </c>
      <c r="F699" t="n">
        <v>172</v>
      </c>
      <c r="G699" t="n">
        <v>170.5</v>
      </c>
      <c r="H699" t="n">
        <v>118</v>
      </c>
      <c r="I699" t="n">
        <v>138</v>
      </c>
      <c r="J699" t="n">
        <v>132</v>
      </c>
      <c r="K699" t="n">
        <v>105</v>
      </c>
      <c r="L699" t="n">
        <v>125</v>
      </c>
      <c r="M699" t="n">
        <v>17.8</v>
      </c>
      <c r="N699" t="n">
        <v>1914</v>
      </c>
      <c r="O699" t="n">
        <v>1.02</v>
      </c>
      <c r="P699" t="n">
        <v>1960</v>
      </c>
      <c r="Q699" t="n">
        <v>152</v>
      </c>
      <c r="R699" t="n">
        <v>80</v>
      </c>
      <c r="S699" t="n">
        <v>51</v>
      </c>
      <c r="T699" t="n">
        <v>289</v>
      </c>
      <c r="U699" t="n">
        <v>43</v>
      </c>
      <c r="V699" t="n">
        <v>237</v>
      </c>
      <c r="W699" t="n">
        <v>0.843</v>
      </c>
      <c r="X699" t="n">
        <v>183</v>
      </c>
      <c r="Y699" t="n">
        <v>145</v>
      </c>
      <c r="Z699" t="n">
        <v>107</v>
      </c>
      <c r="AA699" t="n">
        <v>7</v>
      </c>
      <c r="AB699" t="n">
        <v>8.300000000000001</v>
      </c>
      <c r="AC699" t="inlineStr">
        <is>
          <t xml:space="preserve"> Freeski</t>
        </is>
      </c>
      <c r="AD699" t="inlineStr">
        <is>
          <t xml:space="preserve"> Powder</t>
        </is>
      </c>
      <c r="AG699" t="inlineStr">
        <is>
          <t>Faction Prodigy 3.0 Skis 2021 - 172</t>
        </is>
      </c>
      <c r="AH699" t="inlineStr">
        <is>
          <t>Overstock Snow</t>
        </is>
      </c>
      <c r="AI699" s="333" t="n">
        <v>699</v>
      </c>
      <c r="AJ699" t="inlineStr">
        <is>
          <t>https://tinyurl.com/y9owtzzc</t>
        </is>
      </c>
      <c r="AK699" t="inlineStr">
        <is>
          <t>Faction Dictator 3.0 Skis</t>
        </is>
      </c>
      <c r="AL699" t="inlineStr">
        <is>
          <t>Snowcountry.eu</t>
        </is>
      </c>
      <c r="AM699" s="333" t="n">
        <v>460.11</v>
      </c>
      <c r="AN699" t="inlineStr">
        <is>
          <t>https://tinyurl.com/y8upzhpj</t>
        </is>
      </c>
      <c r="AO699" t="inlineStr">
        <is>
          <t>Faction Prodigy 3.0x Women's Skis 172cm 2021</t>
        </is>
      </c>
      <c r="AP699" t="inlineStr">
        <is>
          <t>REI</t>
        </is>
      </c>
      <c r="AQ699" s="333" t="n">
        <v>488.93</v>
      </c>
      <c r="AR699" t="inlineStr">
        <is>
          <t>https://tinyurl.com/y763q3lc</t>
        </is>
      </c>
      <c r="AS699" s="314">
        <f>IF(LEFT(C699,1)=" ",RIGHT(C699,LEN(C699)-1),C699)</f>
        <v/>
      </c>
      <c r="AT699" s="281">
        <f>_xlfn.CONCAT(B699,AS699,D699,E699)</f>
        <v/>
      </c>
    </row>
    <row r="700">
      <c r="A700" t="inlineStr">
        <is>
          <t>21/22</t>
        </is>
      </c>
      <c r="B700" t="inlineStr">
        <is>
          <t xml:space="preserve"> Dynastar</t>
        </is>
      </c>
      <c r="C700" t="inlineStr">
        <is>
          <t>Speed 563</t>
        </is>
      </c>
      <c r="D700" t="n">
        <v>170</v>
      </c>
      <c r="E700" t="inlineStr">
        <is>
          <t xml:space="preserve"> Unisex</t>
        </is>
      </c>
      <c r="F700" t="n">
        <v>170</v>
      </c>
      <c r="G700" t="n">
        <v>168.6</v>
      </c>
      <c r="H700" t="n">
        <v>148</v>
      </c>
      <c r="I700" t="n">
        <v>155</v>
      </c>
      <c r="J700" t="n">
        <v>123</v>
      </c>
      <c r="K700" t="n">
        <v>74</v>
      </c>
      <c r="L700" t="n">
        <v>110</v>
      </c>
      <c r="M700" t="n">
        <v>14.4</v>
      </c>
      <c r="N700" t="n">
        <v>1638</v>
      </c>
      <c r="O700" t="n">
        <v>0.92</v>
      </c>
      <c r="P700" t="n">
        <v>1502</v>
      </c>
      <c r="Q700" t="n">
        <v>194</v>
      </c>
      <c r="R700" t="n">
        <v>64</v>
      </c>
      <c r="S700" t="n">
        <v>43</v>
      </c>
      <c r="T700" t="n">
        <v>152</v>
      </c>
      <c r="U700" t="n">
        <v>4</v>
      </c>
      <c r="V700" t="n">
        <v>54</v>
      </c>
      <c r="W700" t="n">
        <v>0.098</v>
      </c>
      <c r="X700" t="n">
        <v>80</v>
      </c>
      <c r="Y700" t="n">
        <v>52</v>
      </c>
      <c r="Z700" t="n">
        <v>72</v>
      </c>
      <c r="AA700" t="n">
        <v>9</v>
      </c>
      <c r="AB700" t="n">
        <v>10.5</v>
      </c>
      <c r="AC700" t="inlineStr">
        <is>
          <t xml:space="preserve"> On-Piste Carving</t>
        </is>
      </c>
      <c r="AG700" t="inlineStr">
        <is>
          <t>Dynastar Speed Course WC 170 cm Ski + Look 10 Bindings Winter Sport Snow Outdoor</t>
        </is>
      </c>
      <c r="AH700" t="inlineStr">
        <is>
          <t>Traventuria</t>
        </is>
      </c>
      <c r="AI700" s="333" t="n">
        <v>189.99</v>
      </c>
      <c r="AJ700" t="inlineStr">
        <is>
          <t>https://tinyurl.com/ya36gy9y</t>
        </is>
      </c>
      <c r="AK700" t="inlineStr">
        <is>
          <t>166 Dynastar Speed Zone 12</t>
        </is>
      </c>
      <c r="AL700" t="inlineStr">
        <is>
          <t>SidelineSwap</t>
        </is>
      </c>
      <c r="AM700" s="333" t="n">
        <v>279</v>
      </c>
      <c r="AN700" t="inlineStr">
        <is>
          <t>https://tinyurl.com/yb5t7cyd</t>
        </is>
      </c>
      <c r="AO700" t="inlineStr">
        <is>
          <t>Dynastar Speed WC Fis GS Ski One Color, 170cm</t>
        </is>
      </c>
      <c r="AP700" t="inlineStr">
        <is>
          <t>eBay - asogear</t>
        </is>
      </c>
      <c r="AQ700" s="333" t="n">
        <v>399.99</v>
      </c>
      <c r="AR700" t="inlineStr">
        <is>
          <t>https://tinyurl.com/y97fly7z</t>
        </is>
      </c>
      <c r="AS700" s="314">
        <f>IF(LEFT(C700,1)=" ",RIGHT(C700,LEN(C700)-1),C700)</f>
        <v/>
      </c>
      <c r="AT700" s="281">
        <f>_xlfn.CONCAT(B700,AS700,D700,E700)</f>
        <v/>
      </c>
    </row>
    <row r="701">
      <c r="A701" t="inlineStr">
        <is>
          <t>21/22</t>
        </is>
      </c>
      <c r="B701" t="inlineStr">
        <is>
          <t xml:space="preserve"> Nordica</t>
        </is>
      </c>
      <c r="C701" t="inlineStr">
        <is>
          <t>Enforcer 100</t>
        </is>
      </c>
      <c r="D701" t="n">
        <v>172</v>
      </c>
      <c r="E701" t="inlineStr">
        <is>
          <t xml:space="preserve"> Unisex</t>
        </is>
      </c>
      <c r="F701" t="n">
        <v>172</v>
      </c>
      <c r="G701" t="n">
        <v>171.3</v>
      </c>
      <c r="H701" t="n">
        <v>125</v>
      </c>
      <c r="I701" t="n">
        <v>142</v>
      </c>
      <c r="J701" t="n">
        <v>132</v>
      </c>
      <c r="K701" t="n">
        <v>99</v>
      </c>
      <c r="L701" t="n">
        <v>119</v>
      </c>
      <c r="M701" t="n">
        <v>16.8</v>
      </c>
      <c r="N701" t="n">
        <v>2123</v>
      </c>
      <c r="O701" t="n">
        <v>0.89</v>
      </c>
      <c r="P701" t="n">
        <v>1882</v>
      </c>
      <c r="Q701" t="n">
        <v>212</v>
      </c>
      <c r="R701" t="n">
        <v>137</v>
      </c>
      <c r="S701" t="n">
        <v>50</v>
      </c>
      <c r="T701" t="n">
        <v>273</v>
      </c>
      <c r="U701" t="n">
        <v>12</v>
      </c>
      <c r="V701" t="n">
        <v>193</v>
      </c>
      <c r="W701" t="n">
        <v>0.238</v>
      </c>
      <c r="X701" t="n">
        <v>134</v>
      </c>
      <c r="Y701" t="n">
        <v>158</v>
      </c>
      <c r="Z701" t="n">
        <v>138</v>
      </c>
      <c r="AA701" t="n">
        <v>7</v>
      </c>
      <c r="AB701" t="n">
        <v>8.9</v>
      </c>
      <c r="AC701" t="inlineStr">
        <is>
          <t xml:space="preserve"> Resort Freeride</t>
        </is>
      </c>
      <c r="AG701" t="inlineStr">
        <is>
          <t>Nordica Enforcer 100 Skis 2022</t>
        </is>
      </c>
      <c r="AH701" t="inlineStr">
        <is>
          <t>Ski Pro  - Snow Ski &amp; Snowboard</t>
        </is>
      </c>
      <c r="AI701" s="333" t="n">
        <v>599.95</v>
      </c>
      <c r="AJ701" t="inlineStr">
        <is>
          <t>https://tinyurl.com/y7k3b3s6</t>
        </is>
      </c>
      <c r="AK701" t="inlineStr">
        <is>
          <t>Nordica Enforcer 100 Skis 2022</t>
        </is>
      </c>
      <c r="AL701" t="inlineStr">
        <is>
          <t>Basin Sports</t>
        </is>
      </c>
      <c r="AM701" s="333" t="n">
        <v>599.99</v>
      </c>
      <c r="AN701" t="inlineStr">
        <is>
          <t>https://tinyurl.com/y7j8ydn7</t>
        </is>
      </c>
      <c r="AO701" t="inlineStr">
        <is>
          <t>Nordica Enforcer 100 Skis 2022</t>
        </is>
      </c>
      <c r="AP701" t="inlineStr">
        <is>
          <t>evo.com</t>
        </is>
      </c>
      <c r="AQ701" s="333" t="n">
        <v>599.99</v>
      </c>
      <c r="AR701" t="inlineStr">
        <is>
          <t>https://tinyurl.com/ycrx99yk</t>
        </is>
      </c>
      <c r="AS701" s="314">
        <f>IF(LEFT(C701,1)=" ",RIGHT(C701,LEN(C701)-1),C701)</f>
        <v/>
      </c>
      <c r="AT701" s="281">
        <f>_xlfn.CONCAT(B701,AS701,D701,E701)</f>
        <v/>
      </c>
    </row>
    <row r="702">
      <c r="A702" t="inlineStr">
        <is>
          <t>21/22</t>
        </is>
      </c>
      <c r="B702" t="inlineStr">
        <is>
          <t xml:space="preserve"> Vï¿½lkl</t>
        </is>
      </c>
      <c r="C702" t="inlineStr">
        <is>
          <t>Bash 86 W</t>
        </is>
      </c>
      <c r="D702" t="n">
        <v>156</v>
      </c>
      <c r="E702" t="inlineStr">
        <is>
          <t xml:space="preserve"> Women's</t>
        </is>
      </c>
      <c r="F702" t="n">
        <v>156</v>
      </c>
      <c r="G702" t="n">
        <v>155.1</v>
      </c>
      <c r="H702" t="n">
        <v>116</v>
      </c>
      <c r="I702" t="n">
        <v>141</v>
      </c>
      <c r="J702" t="n">
        <v>120</v>
      </c>
      <c r="K702" t="n">
        <v>86</v>
      </c>
      <c r="L702" t="n">
        <v>109</v>
      </c>
      <c r="M702" t="n">
        <v>16.5</v>
      </c>
      <c r="N702" t="n">
        <v>1578</v>
      </c>
      <c r="O702" t="n">
        <v>0.95</v>
      </c>
      <c r="P702" t="n">
        <v>1493</v>
      </c>
      <c r="Q702" t="n">
        <v>164</v>
      </c>
      <c r="R702" t="n">
        <v>77</v>
      </c>
      <c r="S702" t="n">
        <v>39</v>
      </c>
      <c r="T702" t="n">
        <v>210</v>
      </c>
      <c r="U702" t="n">
        <v>38</v>
      </c>
      <c r="V702" t="n">
        <v>177</v>
      </c>
      <c r="W702" t="n">
        <v>0.983</v>
      </c>
      <c r="X702" t="n">
        <v>72</v>
      </c>
      <c r="Y702" t="n">
        <v>72</v>
      </c>
      <c r="Z702" t="n">
        <v>138</v>
      </c>
      <c r="AA702" t="n">
        <v>3</v>
      </c>
      <c r="AB702" t="n">
        <v>2.1</v>
      </c>
      <c r="AC702" t="inlineStr">
        <is>
          <t xml:space="preserve"> Freeski</t>
        </is>
      </c>
      <c r="AG702" t="inlineStr">
        <is>
          <t>Volkl Bash 86</t>
        </is>
      </c>
      <c r="AH702" t="inlineStr">
        <is>
          <t xml:space="preserve">Aspen East </t>
        </is>
      </c>
      <c r="AI702" s="333" t="n">
        <v>359</v>
      </c>
      <c r="AJ702" t="inlineStr">
        <is>
          <t>https://tinyurl.com/yd576mru</t>
        </is>
      </c>
      <c r="AK702" t="inlineStr">
        <is>
          <t>Volkl Bash 86 Skis - Womens 2022 156</t>
        </is>
      </c>
      <c r="AL702" t="inlineStr">
        <is>
          <t>Winteriscalling.com</t>
        </is>
      </c>
      <c r="AM702" s="333" t="n">
        <v>399.99</v>
      </c>
      <c r="AN702" t="inlineStr">
        <is>
          <t>https://tinyurl.com/ybxu35gd</t>
        </is>
      </c>
      <c r="AO702" t="inlineStr">
        <is>
          <t>Volkl Bash 86</t>
        </is>
      </c>
      <c r="AP702" t="inlineStr">
        <is>
          <t>BobsSportsChalet.com</t>
        </is>
      </c>
      <c r="AQ702" s="333" t="n">
        <v>399.99</v>
      </c>
      <c r="AR702" t="inlineStr">
        <is>
          <t>https://tinyurl.com/ybjpzjqo</t>
        </is>
      </c>
      <c r="AS702" s="314">
        <f>IF(LEFT(C702,1)=" ",RIGHT(C702,LEN(C702)-1),C702)</f>
        <v/>
      </c>
      <c r="AT702" s="281">
        <f>_xlfn.CONCAT(B702,AS702,D702,E702)</f>
        <v/>
      </c>
    </row>
    <row r="703">
      <c r="A703" t="inlineStr">
        <is>
          <t>21/22</t>
        </is>
      </c>
      <c r="B703" t="inlineStr">
        <is>
          <t xml:space="preserve"> Black Crows</t>
        </is>
      </c>
      <c r="C703" t="inlineStr">
        <is>
          <t xml:space="preserve"> Mirus Cor</t>
        </is>
      </c>
      <c r="D703" t="n">
        <v>173.2</v>
      </c>
      <c r="E703" t="inlineStr">
        <is>
          <t xml:space="preserve"> Unisex</t>
        </is>
      </c>
      <c r="F703" t="n">
        <v>173.2</v>
      </c>
      <c r="G703" t="n">
        <v>171.7</v>
      </c>
      <c r="H703" t="n">
        <v>119</v>
      </c>
      <c r="I703" t="n">
        <v>147</v>
      </c>
      <c r="J703" t="n">
        <v>130</v>
      </c>
      <c r="K703" t="n">
        <v>86</v>
      </c>
      <c r="L703" t="n">
        <v>121</v>
      </c>
      <c r="M703" t="n">
        <v>12.7</v>
      </c>
      <c r="N703" t="n">
        <v>1725</v>
      </c>
      <c r="O703" t="n">
        <v>1.02</v>
      </c>
      <c r="P703" t="n">
        <v>1763</v>
      </c>
      <c r="Q703" t="n">
        <v>177</v>
      </c>
      <c r="R703" t="n">
        <v>71</v>
      </c>
      <c r="S703" t="n">
        <v>42</v>
      </c>
      <c r="T703" t="n">
        <v>279</v>
      </c>
      <c r="U703" t="n">
        <v>36</v>
      </c>
      <c r="V703" t="n">
        <v>249</v>
      </c>
      <c r="W703" t="n">
        <v>0.858</v>
      </c>
      <c r="X703" t="n">
        <v>139</v>
      </c>
      <c r="Y703" t="n">
        <v>113</v>
      </c>
      <c r="Z703" t="n">
        <v>140</v>
      </c>
      <c r="AA703" t="n">
        <v>3</v>
      </c>
      <c r="AB703" t="n">
        <v>3.5</v>
      </c>
      <c r="AC703" t="inlineStr">
        <is>
          <t xml:space="preserve"> Resort Freeride</t>
        </is>
      </c>
      <c r="AD703" t="inlineStr">
        <is>
          <t xml:space="preserve"> Freeski</t>
        </is>
      </c>
      <c r="AG703" t="inlineStr">
        <is>
          <t>Black Crows Orb Freebird Skis</t>
        </is>
      </c>
      <c r="AH703" t="inlineStr">
        <is>
          <t>! OutdoorXL.com</t>
        </is>
      </c>
      <c r="AI703" s="333" t="n">
        <v>514.95</v>
      </c>
      <c r="AJ703" t="inlineStr">
        <is>
          <t>https://tinyurl.com/yabv224z</t>
        </is>
      </c>
      <c r="AK703" t="inlineStr">
        <is>
          <t>Black Crows Orb Freebird Skis</t>
        </is>
      </c>
      <c r="AL703" t="inlineStr">
        <is>
          <t>eBay - asogear</t>
        </is>
      </c>
      <c r="AM703" s="333" t="n">
        <v>575.99</v>
      </c>
      <c r="AN703" t="inlineStr">
        <is>
          <t>https://tinyurl.com/y7gkntzt</t>
        </is>
      </c>
      <c r="AO703" t="inlineStr">
        <is>
          <t>Skis Black Crows Navis Freebird</t>
        </is>
      </c>
      <c r="AP703" t="inlineStr">
        <is>
          <t>Ascent Outdoors</t>
        </is>
      </c>
      <c r="AQ703" s="333" t="n">
        <v>576.99</v>
      </c>
      <c r="AR703" t="inlineStr">
        <is>
          <t>https://tinyurl.com/yc3fdjsk</t>
        </is>
      </c>
      <c r="AS703" s="314">
        <f>IF(LEFT(C703,1)=" ",RIGHT(C703,LEN(C703)-1),C703)</f>
        <v/>
      </c>
      <c r="AT703" s="281">
        <f>_xlfn.CONCAT(B703,AS703,D703,E703)</f>
        <v/>
      </c>
    </row>
    <row r="704">
      <c r="A704" t="inlineStr">
        <is>
          <t>21/22</t>
        </is>
      </c>
      <c r="B704" t="inlineStr">
        <is>
          <t xml:space="preserve"> Head</t>
        </is>
      </c>
      <c r="C704" t="inlineStr">
        <is>
          <t xml:space="preserve"> Supershape e-Speed</t>
        </is>
      </c>
      <c r="D704" t="n">
        <v>163</v>
      </c>
      <c r="E704" t="inlineStr">
        <is>
          <t xml:space="preserve"> Unisex</t>
        </is>
      </c>
      <c r="F704" t="n">
        <v>163</v>
      </c>
      <c r="G704" t="n">
        <v>162.4</v>
      </c>
      <c r="H704" t="n">
        <v>144</v>
      </c>
      <c r="I704" t="n">
        <v>151</v>
      </c>
      <c r="J704" t="n">
        <v>121</v>
      </c>
      <c r="K704" t="n">
        <v>67</v>
      </c>
      <c r="L704" t="n">
        <v>103</v>
      </c>
      <c r="M704" t="n">
        <v>12.7</v>
      </c>
      <c r="N704" t="n">
        <v>2043</v>
      </c>
      <c r="O704" t="n">
        <v>0.66</v>
      </c>
      <c r="P704" t="n">
        <v>1351</v>
      </c>
      <c r="Q704" t="n">
        <v>192</v>
      </c>
      <c r="R704" t="n">
        <v>93</v>
      </c>
      <c r="S704" t="n">
        <v>37</v>
      </c>
      <c r="T704" t="n">
        <v>137</v>
      </c>
      <c r="U704" t="n">
        <v>3</v>
      </c>
      <c r="V704" t="n">
        <v>44</v>
      </c>
      <c r="W704" t="n">
        <v>0.081</v>
      </c>
      <c r="X704" t="n">
        <v>62</v>
      </c>
      <c r="Y704" t="n">
        <v>52</v>
      </c>
      <c r="Z704" t="n">
        <v>75</v>
      </c>
      <c r="AA704" t="n">
        <v>11</v>
      </c>
      <c r="AB704" t="n">
        <v>12.4</v>
      </c>
      <c r="AC704" t="inlineStr">
        <is>
          <t xml:space="preserve"> On-Piste Carving</t>
        </is>
      </c>
      <c r="AG704" t="inlineStr">
        <is>
          <t>Head Supershape i.Magnum Skis w Head PRX 12 Demo Bindings  Demo</t>
        </is>
      </c>
      <c r="AH704" t="inlineStr">
        <is>
          <t>Powder7 Ski Shop</t>
        </is>
      </c>
      <c r="AI704" s="333" t="n">
        <v>359.99</v>
      </c>
      <c r="AJ704" t="inlineStr">
        <is>
          <t>https://tinyurl.com/y9nqegyl</t>
        </is>
      </c>
      <c r="AK704" t="inlineStr">
        <is>
          <t>2018 Head Supershape I-titan 163cm W/ Head Prd 12 Binding</t>
        </is>
      </c>
      <c r="AL704" t="inlineStr">
        <is>
          <t>eBay - riverpirate999</t>
        </is>
      </c>
      <c r="AM704" s="333" t="n">
        <v>369</v>
      </c>
      <c r="AN704" t="inlineStr">
        <is>
          <t>https://tinyurl.com/y72beumo</t>
        </is>
      </c>
      <c r="AO704" t="inlineStr">
        <is>
          <t xml:space="preserve"> Head Supershape Titan 163 cm Downhill Ski / Mens Combo</t>
        </is>
      </c>
      <c r="AP704" t="inlineStr">
        <is>
          <t>Play It Again Sports</t>
        </is>
      </c>
      <c r="AQ704" s="333" t="n">
        <v>379.99</v>
      </c>
      <c r="AR704" t="inlineStr">
        <is>
          <t>https://tinyurl.com/ya8cfc4h</t>
        </is>
      </c>
      <c r="AS704" s="314">
        <f>IF(LEFT(C704,1)=" ",RIGHT(C704,LEN(C704)-1),C704)</f>
        <v/>
      </c>
      <c r="AT704" s="281">
        <f>_xlfn.CONCAT(B704,AS704,D704,E704)</f>
        <v/>
      </c>
    </row>
    <row r="705">
      <c r="A705" t="inlineStr">
        <is>
          <t>21/22</t>
        </is>
      </c>
      <c r="B705" t="inlineStr">
        <is>
          <t xml:space="preserve"> Dynastar</t>
        </is>
      </c>
      <c r="C705" t="inlineStr">
        <is>
          <t>M-Pro 84 W</t>
        </is>
      </c>
      <c r="D705" t="n">
        <v>149</v>
      </c>
      <c r="E705" t="inlineStr">
        <is>
          <t xml:space="preserve"> Women's</t>
        </is>
      </c>
      <c r="F705" t="n">
        <v>149</v>
      </c>
      <c r="G705" t="n">
        <v>148.7</v>
      </c>
      <c r="H705" t="n">
        <v>116</v>
      </c>
      <c r="I705" t="n">
        <v>119</v>
      </c>
      <c r="J705" t="n">
        <v>121</v>
      </c>
      <c r="K705" t="n">
        <v>82</v>
      </c>
      <c r="L705" t="n">
        <v>103</v>
      </c>
      <c r="M705" t="n">
        <v>10.8</v>
      </c>
      <c r="N705" t="n">
        <v>1401</v>
      </c>
      <c r="O705" t="n">
        <v>1.01</v>
      </c>
      <c r="P705" t="n">
        <v>1409</v>
      </c>
      <c r="Q705" t="n">
        <v>162</v>
      </c>
      <c r="R705" t="n">
        <v>78</v>
      </c>
      <c r="S705" t="n">
        <v>41</v>
      </c>
      <c r="T705" t="n">
        <v>266</v>
      </c>
      <c r="U705" t="n">
        <v>5</v>
      </c>
      <c r="V705" t="n">
        <v>60</v>
      </c>
      <c r="W705" t="n">
        <v>0.113</v>
      </c>
      <c r="X705" t="n">
        <v>156</v>
      </c>
      <c r="Y705" t="n">
        <v>140</v>
      </c>
      <c r="Z705" t="n">
        <v>110</v>
      </c>
      <c r="AA705" t="n">
        <v>8</v>
      </c>
      <c r="AB705" t="n">
        <v>6</v>
      </c>
      <c r="AC705" t="inlineStr">
        <is>
          <t xml:space="preserve"> On-Piste All-Mountain</t>
        </is>
      </c>
      <c r="AD705" t="inlineStr">
        <is>
          <t xml:space="preserve"> Resort Freeride</t>
        </is>
      </c>
      <c r="AG705" t="inlineStr">
        <is>
          <t>Dynastar M-PRO 84 W 149cm</t>
        </is>
      </c>
      <c r="AH705" t="inlineStr">
        <is>
          <t>Sundance Ski and Board Shop</t>
        </is>
      </c>
      <c r="AI705" s="333" t="n">
        <v>360.77</v>
      </c>
      <c r="AJ705" t="inlineStr">
        <is>
          <t>https://tinyurl.com/y9dposya</t>
        </is>
      </c>
      <c r="AK705" t="inlineStr">
        <is>
          <t>Dynastar M-Pro 84 W Skis</t>
        </is>
      </c>
      <c r="AL705" t="inlineStr">
        <is>
          <t>Cole Sport</t>
        </is>
      </c>
      <c r="AM705" s="333" t="n">
        <v>399.96</v>
      </c>
      <c r="AN705" t="inlineStr">
        <is>
          <t>https://tinyurl.com/y8cfwqxh</t>
        </is>
      </c>
      <c r="AO705" t="inlineStr">
        <is>
          <t>18-19 Dynastar Legend W 84  Women's Demo Skis W/ Bindings Size</t>
        </is>
      </c>
      <c r="AP705" t="inlineStr">
        <is>
          <t>eBay - demo-skis</t>
        </is>
      </c>
      <c r="AQ705" s="333" t="n">
        <v>399</v>
      </c>
      <c r="AR705" t="inlineStr">
        <is>
          <t>https://tinyurl.com/y6var6o6</t>
        </is>
      </c>
      <c r="AS705" s="314">
        <f>IF(LEFT(C705,1)=" ",RIGHT(C705,LEN(C705)-1),C705)</f>
        <v/>
      </c>
      <c r="AT705" s="281">
        <f>_xlfn.CONCAT(B705,AS705,D705,E705)</f>
        <v/>
      </c>
    </row>
    <row r="706">
      <c r="A706" t="inlineStr">
        <is>
          <t>21/22</t>
        </is>
      </c>
      <c r="B706" t="inlineStr">
        <is>
          <t xml:space="preserve"> Head</t>
        </is>
      </c>
      <c r="C706" t="inlineStr">
        <is>
          <t>V-Shape V10</t>
        </is>
      </c>
      <c r="D706" t="n">
        <v>177</v>
      </c>
      <c r="E706" t="inlineStr">
        <is>
          <t xml:space="preserve"> Unisex</t>
        </is>
      </c>
      <c r="F706" t="n">
        <v>177</v>
      </c>
      <c r="G706" t="n">
        <v>176.4</v>
      </c>
      <c r="H706" t="n">
        <v>155</v>
      </c>
      <c r="I706" t="n">
        <v>162</v>
      </c>
      <c r="J706" t="n">
        <v>138</v>
      </c>
      <c r="K706" t="n">
        <v>84</v>
      </c>
      <c r="L706" t="n">
        <v>120</v>
      </c>
      <c r="M706" t="n">
        <v>14.8</v>
      </c>
      <c r="N706" t="n">
        <v>1881</v>
      </c>
      <c r="O706" t="n">
        <v>0.9399999999999999</v>
      </c>
      <c r="P706" t="n">
        <v>1768</v>
      </c>
      <c r="Q706" t="n">
        <v>227</v>
      </c>
      <c r="R706" t="n">
        <v>66</v>
      </c>
      <c r="S706" t="n">
        <v>39</v>
      </c>
      <c r="T706" t="n">
        <v>147</v>
      </c>
      <c r="U706" t="n">
        <v>9</v>
      </c>
      <c r="V706" t="n">
        <v>68</v>
      </c>
      <c r="W706" t="n">
        <v>0.226999999999999</v>
      </c>
      <c r="X706" t="n">
        <v>85</v>
      </c>
      <c r="Y706" t="n">
        <v>58</v>
      </c>
      <c r="Z706" t="n">
        <v>61</v>
      </c>
      <c r="AA706" t="n">
        <v>12</v>
      </c>
      <c r="AB706" t="n">
        <v>13.2</v>
      </c>
      <c r="AC706" t="inlineStr">
        <is>
          <t xml:space="preserve"> On-Piste Carving</t>
        </is>
      </c>
      <c r="AD706" t="inlineStr">
        <is>
          <t xml:space="preserve"> Resort Freeride</t>
        </is>
      </c>
      <c r="AG706" t="inlineStr">
        <is>
          <t>Head V-Shape V10 Skis w/ PRD 12 GW Bindings</t>
        </is>
      </c>
      <c r="AH706" t="inlineStr">
        <is>
          <t>The-House.com</t>
        </is>
      </c>
      <c r="AI706" s="333" t="n">
        <v>600</v>
      </c>
      <c r="AJ706" t="inlineStr">
        <is>
          <t>https://tinyurl.com/yc9vcnov</t>
        </is>
      </c>
      <c r="AK706" t="inlineStr">
        <is>
          <t>Head V-Shape V10 SW LYT-PR + PRD 12 GW 177cm</t>
        </is>
      </c>
      <c r="AL706" t="inlineStr">
        <is>
          <t>Sundance Ski and Board Shop</t>
        </is>
      </c>
      <c r="AM706" s="333" t="n">
        <v>601.28</v>
      </c>
      <c r="AN706" t="inlineStr">
        <is>
          <t>https://tinyurl.com/y8qru9hp</t>
        </is>
      </c>
      <c r="AO706" t="inlineStr">
        <is>
          <t>Head V-Shape V10 Skis w/ PRD 12 GW Bindings</t>
        </is>
      </c>
      <c r="AP706" t="inlineStr">
        <is>
          <t>GritrOutdoors</t>
        </is>
      </c>
      <c r="AQ706" s="333" t="n">
        <v>719</v>
      </c>
      <c r="AR706" t="inlineStr">
        <is>
          <t>https://tinyurl.com/y798ztlz</t>
        </is>
      </c>
      <c r="AS706" s="314">
        <f>IF(LEFT(C706,1)=" ",RIGHT(C706,LEN(C706)-1),C706)</f>
        <v/>
      </c>
      <c r="AT706" s="281">
        <f>_xlfn.CONCAT(B706,AS706,D706,E706)</f>
        <v/>
      </c>
    </row>
    <row r="707">
      <c r="A707" t="inlineStr">
        <is>
          <t>21/22</t>
        </is>
      </c>
      <c r="B707" t="inlineStr">
        <is>
          <t xml:space="preserve"> Atomic</t>
        </is>
      </c>
      <c r="C707" t="inlineStr">
        <is>
          <t>Vantage 79 Ti</t>
        </is>
      </c>
      <c r="D707" t="n">
        <v>163</v>
      </c>
      <c r="E707" t="inlineStr">
        <is>
          <t xml:space="preserve"> Unisex</t>
        </is>
      </c>
      <c r="F707" t="n">
        <v>163</v>
      </c>
      <c r="G707" t="n">
        <v>162.5</v>
      </c>
      <c r="H707" t="n">
        <v>136</v>
      </c>
      <c r="I707" t="n">
        <v>146</v>
      </c>
      <c r="J707" t="n">
        <v>118</v>
      </c>
      <c r="K707" t="n">
        <v>77</v>
      </c>
      <c r="L707" t="n">
        <v>103</v>
      </c>
      <c r="M707" t="n">
        <v>15.3</v>
      </c>
      <c r="N707" t="n">
        <v>1917</v>
      </c>
      <c r="O707" t="n">
        <v>0.77</v>
      </c>
      <c r="P707" t="n">
        <v>1469</v>
      </c>
      <c r="Q707" t="n">
        <v>193</v>
      </c>
      <c r="R707" t="n">
        <v>82</v>
      </c>
      <c r="S707" t="n">
        <v>39</v>
      </c>
      <c r="T707" t="n">
        <v>179</v>
      </c>
      <c r="U707" t="n">
        <v>5</v>
      </c>
      <c r="V707" t="n">
        <v>82</v>
      </c>
      <c r="W707" t="n">
        <v>0.126</v>
      </c>
      <c r="X707" t="n">
        <v>90</v>
      </c>
      <c r="Y707" t="n">
        <v>72</v>
      </c>
      <c r="Z707" t="n">
        <v>89</v>
      </c>
      <c r="AA707" t="n">
        <v>8</v>
      </c>
      <c r="AB707" t="n">
        <v>11.4</v>
      </c>
      <c r="AC707" t="inlineStr">
        <is>
          <t xml:space="preserve"> On-Piste Carving</t>
        </is>
      </c>
      <c r="AG707" t="inlineStr">
        <is>
          <t>Atomic Vantage 79 Ti Skis with M 12 GW Bindings 2022</t>
        </is>
      </c>
      <c r="AH707" t="inlineStr">
        <is>
          <t>Buckman's Ski and Snowboard Shop</t>
        </is>
      </c>
      <c r="AI707" s="333" t="n">
        <v>599.95</v>
      </c>
      <c r="AJ707" t="inlineStr">
        <is>
          <t>https://tinyurl.com/y9h3cv42</t>
        </is>
      </c>
      <c r="AK707" t="inlineStr">
        <is>
          <t>Atomic Vantage 79 Ti Skis with M 12 GW Bindings 2022</t>
        </is>
      </c>
      <c r="AL707" t="inlineStr">
        <is>
          <t>WinterMen.com</t>
        </is>
      </c>
      <c r="AM707" s="333" t="n">
        <v>599.95</v>
      </c>
      <c r="AN707" t="inlineStr">
        <is>
          <t>https://tinyurl.com/y8hh79d7</t>
        </is>
      </c>
      <c r="AO707" t="inlineStr">
        <is>
          <t>Atomic Vantage 79 Ti Skis with M 12 GW Bindings 2022</t>
        </is>
      </c>
      <c r="AP707" t="inlineStr">
        <is>
          <t>Ski World</t>
        </is>
      </c>
      <c r="AQ707" s="333" t="n">
        <v>599.99</v>
      </c>
      <c r="AR707" t="inlineStr">
        <is>
          <t>https://tinyurl.com/yb7mq822</t>
        </is>
      </c>
      <c r="AS707" s="314">
        <f>IF(LEFT(C707,1)=" ",RIGHT(C707,LEN(C707)-1),C707)</f>
        <v/>
      </c>
      <c r="AT707" s="281">
        <f>_xlfn.CONCAT(B707,AS707,D707,E707)</f>
        <v/>
      </c>
    </row>
    <row r="708">
      <c r="A708" t="inlineStr">
        <is>
          <t>21/22</t>
        </is>
      </c>
      <c r="B708" t="inlineStr">
        <is>
          <t xml:space="preserve"> Elan</t>
        </is>
      </c>
      <c r="C708" t="inlineStr">
        <is>
          <t xml:space="preserve"> Amphibio STI</t>
        </is>
      </c>
      <c r="D708" t="n">
        <v>160</v>
      </c>
      <c r="E708" t="inlineStr">
        <is>
          <t xml:space="preserve"> Unisex</t>
        </is>
      </c>
      <c r="F708" t="n">
        <v>160</v>
      </c>
      <c r="G708" t="n">
        <v>159</v>
      </c>
      <c r="H708" t="n">
        <v>138</v>
      </c>
      <c r="I708" t="n">
        <v>145</v>
      </c>
      <c r="J708" t="n">
        <v>126</v>
      </c>
      <c r="K708" t="n">
        <v>75</v>
      </c>
      <c r="L708" t="n">
        <v>104</v>
      </c>
      <c r="M708" t="n">
        <v>12.9</v>
      </c>
      <c r="N708" t="n">
        <v>1562</v>
      </c>
      <c r="O708" t="n">
        <v>0.92</v>
      </c>
      <c r="P708" t="n">
        <v>1434</v>
      </c>
      <c r="Q708" t="n">
        <v>153</v>
      </c>
      <c r="R708" t="n">
        <v>71</v>
      </c>
      <c r="S708" t="n">
        <v>40</v>
      </c>
      <c r="T708" t="n">
        <v>146</v>
      </c>
      <c r="U708" t="n">
        <v>6</v>
      </c>
      <c r="V708" t="n">
        <v>62</v>
      </c>
      <c r="W708" t="n">
        <v>0.154</v>
      </c>
      <c r="X708" t="n">
        <v>95</v>
      </c>
      <c r="Y708" t="n">
        <v>49</v>
      </c>
      <c r="Z708" t="n">
        <v>51</v>
      </c>
      <c r="AA708" t="n">
        <v>11</v>
      </c>
      <c r="AB708" t="n">
        <v>10</v>
      </c>
      <c r="AC708" t="inlineStr">
        <is>
          <t xml:space="preserve"> On-Piste Carving</t>
        </is>
      </c>
      <c r="AG708" t="inlineStr">
        <is>
          <t>Elan Porsche Design Elan Amphibio 22</t>
        </is>
      </c>
      <c r="AH708" t="inlineStr">
        <is>
          <t>Ski World</t>
        </is>
      </c>
      <c r="AI708" s="333" t="n">
        <v>1299.99</v>
      </c>
      <c r="AJ708" t="inlineStr">
        <is>
          <t>https://tinyurl.com/ydgortzf</t>
        </is>
      </c>
      <c r="AK708" t="inlineStr">
        <is>
          <t>Elan Amphibio 9 160 Ski + Fischer RS10 Bindings Winter Sport Adventure Outdoor</t>
        </is>
      </c>
      <c r="AL708" t="inlineStr">
        <is>
          <t>Traventuria</t>
        </is>
      </c>
      <c r="AM708" s="333" t="n">
        <v>132.62</v>
      </c>
      <c r="AN708" t="inlineStr">
        <is>
          <t>https://tinyurl.com/y87apwm6</t>
        </is>
      </c>
      <c r="AO708" t="inlineStr">
        <is>
          <t>Elan Amphibio GTX PS Black-Green 160 Ski Men</t>
        </is>
      </c>
      <c r="AP708" t="inlineStr">
        <is>
          <t>! OutdoorXL.com</t>
        </is>
      </c>
      <c r="AQ708" s="333" t="n">
        <v>284.95</v>
      </c>
      <c r="AR708" t="inlineStr">
        <is>
          <t>https://tinyurl.com/y96cnm7v</t>
        </is>
      </c>
      <c r="AS708" s="314">
        <f>IF(LEFT(C708,1)=" ",RIGHT(C708,LEN(C708)-1),C708)</f>
        <v/>
      </c>
      <c r="AT708" s="281">
        <f>_xlfn.CONCAT(B708,AS708,D708,E708)</f>
        <v/>
      </c>
    </row>
    <row r="709">
      <c r="A709" t="inlineStr">
        <is>
          <t>21/22</t>
        </is>
      </c>
      <c r="B709" t="inlineStr">
        <is>
          <t xml:space="preserve"> Nordica</t>
        </is>
      </c>
      <c r="C709" t="inlineStr">
        <is>
          <t>Soul Rider 87</t>
        </is>
      </c>
      <c r="D709" t="n">
        <v>169</v>
      </c>
      <c r="E709" t="inlineStr">
        <is>
          <t xml:space="preserve"> Unisex</t>
        </is>
      </c>
      <c r="F709" t="n">
        <v>169</v>
      </c>
      <c r="G709" t="n">
        <v>167.6</v>
      </c>
      <c r="H709" t="n">
        <v>133</v>
      </c>
      <c r="I709" t="n">
        <v>145</v>
      </c>
      <c r="J709" t="n">
        <v>123</v>
      </c>
      <c r="K709" t="n">
        <v>86</v>
      </c>
      <c r="L709" t="n">
        <v>113</v>
      </c>
      <c r="M709" t="n">
        <v>15.3</v>
      </c>
      <c r="N709" t="n">
        <v>1841</v>
      </c>
      <c r="O709" t="n">
        <v>0.9</v>
      </c>
      <c r="P709" t="n">
        <v>1654</v>
      </c>
      <c r="Q709" t="n">
        <v>156</v>
      </c>
      <c r="R709" t="n">
        <v>77</v>
      </c>
      <c r="S709" t="n">
        <v>46</v>
      </c>
      <c r="T709" t="n">
        <v>174</v>
      </c>
      <c r="U709" t="n">
        <v>44</v>
      </c>
      <c r="V709" t="n">
        <v>176</v>
      </c>
      <c r="W709" t="n">
        <v>0.957</v>
      </c>
      <c r="X709" t="n">
        <v>106</v>
      </c>
      <c r="Y709" t="n">
        <v>122</v>
      </c>
      <c r="Z709" t="n">
        <v>67</v>
      </c>
      <c r="AA709" t="n">
        <v>12</v>
      </c>
      <c r="AB709" t="n">
        <v>5.2</v>
      </c>
      <c r="AC709" t="inlineStr">
        <is>
          <t xml:space="preserve"> Freeski</t>
        </is>
      </c>
      <c r="AG709" t="inlineStr">
        <is>
          <t>2020 Nordica Soul Rider 97 169cm W/ Salomon Warden 11 Binding</t>
        </is>
      </c>
      <c r="AH709" t="inlineStr">
        <is>
          <t>eBay - riverpirate999</t>
        </is>
      </c>
      <c r="AI709" s="333" t="n">
        <v>398</v>
      </c>
      <c r="AJ709" t="inlineStr">
        <is>
          <t>https://tinyurl.com/yaz95n67</t>
        </is>
      </c>
      <c r="AK709" t="inlineStr">
        <is>
          <t>Nordica Soul Rider 97 Skis Â· 2022 Â· 169 cm</t>
        </is>
      </c>
      <c r="AL709" t="inlineStr">
        <is>
          <t>Ski Pro  - Snow Ski &amp; Snowboard</t>
        </is>
      </c>
      <c r="AM709" s="333" t="n">
        <v>479.95</v>
      </c>
      <c r="AN709" t="inlineStr">
        <is>
          <t>https://tinyurl.com/ycd5ygt2</t>
        </is>
      </c>
      <c r="AO709" t="inlineStr">
        <is>
          <t>Nordica Soul Rider 97 Skis Â· 2022 Â· 169 cm</t>
        </is>
      </c>
      <c r="AP709" t="inlineStr">
        <is>
          <t>AlpineShopVT.com</t>
        </is>
      </c>
      <c r="AQ709" s="333" t="n">
        <v>479.99</v>
      </c>
      <c r="AR709" t="inlineStr">
        <is>
          <t>https://tinyurl.com/y8dw25rn</t>
        </is>
      </c>
      <c r="AS709" s="314">
        <f>IF(LEFT(C709,1)=" ",RIGHT(C709,LEN(C709)-1),C709)</f>
        <v/>
      </c>
      <c r="AT709" s="281">
        <f>_xlfn.CONCAT(B709,AS709,D709,E709)</f>
        <v/>
      </c>
    </row>
    <row r="710">
      <c r="A710" t="inlineStr">
        <is>
          <t>21/22</t>
        </is>
      </c>
      <c r="B710" t="inlineStr">
        <is>
          <t xml:space="preserve"> Armada</t>
        </is>
      </c>
      <c r="C710" t="inlineStr">
        <is>
          <t>ARV 96</t>
        </is>
      </c>
      <c r="D710" t="n">
        <v>184</v>
      </c>
      <c r="E710" t="inlineStr">
        <is>
          <t xml:space="preserve"> Unisex</t>
        </is>
      </c>
      <c r="F710" t="n">
        <v>184</v>
      </c>
      <c r="G710" t="n">
        <v>182</v>
      </c>
      <c r="H710" t="n">
        <v>138</v>
      </c>
      <c r="I710" t="n">
        <v>152</v>
      </c>
      <c r="J710" t="n">
        <v>126</v>
      </c>
      <c r="K710" t="n">
        <v>95</v>
      </c>
      <c r="L710" t="n">
        <v>118</v>
      </c>
      <c r="M710" t="n">
        <v>19.6</v>
      </c>
      <c r="N710" t="n">
        <v>2068</v>
      </c>
      <c r="O710" t="n">
        <v>0.93</v>
      </c>
      <c r="P710" t="n">
        <v>1924</v>
      </c>
      <c r="Q710" t="n">
        <v>233</v>
      </c>
      <c r="R710" t="n">
        <v>123</v>
      </c>
      <c r="S710" t="n">
        <v>45</v>
      </c>
      <c r="T710" t="n">
        <v>233</v>
      </c>
      <c r="U710" t="n">
        <v>38</v>
      </c>
      <c r="V710" t="n">
        <v>211</v>
      </c>
      <c r="W710" t="n">
        <v>0.848</v>
      </c>
      <c r="X710" t="n">
        <v>148</v>
      </c>
      <c r="Y710" t="n">
        <v>156</v>
      </c>
      <c r="Z710" t="n">
        <v>85</v>
      </c>
      <c r="AA710" t="n">
        <v>11</v>
      </c>
      <c r="AB710" t="n">
        <v>5.4</v>
      </c>
      <c r="AC710" t="inlineStr">
        <is>
          <t xml:space="preserve"> Resort Freeride</t>
        </is>
      </c>
      <c r="AD710" t="inlineStr">
        <is>
          <t xml:space="preserve"> Freeski</t>
        </is>
      </c>
      <c r="AG710" t="inlineStr">
        <is>
          <t>Armada ARV 96 Skis 2022</t>
        </is>
      </c>
      <c r="AH710" t="inlineStr">
        <is>
          <t>Teton Wasatch Ski Co.</t>
        </is>
      </c>
      <c r="AI710" s="333" t="n">
        <v>399</v>
      </c>
      <c r="AJ710" t="inlineStr">
        <is>
          <t>https://tinyurl.com/ybwhswwm</t>
        </is>
      </c>
      <c r="AK710" t="inlineStr">
        <is>
          <t>Armada ARV 96 Skis 2022</t>
        </is>
      </c>
      <c r="AL710" t="inlineStr">
        <is>
          <t>SkiEssentials.com</t>
        </is>
      </c>
      <c r="AM710" s="333" t="n">
        <v>399.96</v>
      </c>
      <c r="AN710" t="inlineStr">
        <is>
          <t>https://tinyurl.com/ybur9jmo</t>
        </is>
      </c>
      <c r="AO710" t="inlineStr">
        <is>
          <t>Armada ARV 96 Skis 2022</t>
        </is>
      </c>
      <c r="AP710" t="inlineStr">
        <is>
          <t>eBay - david110549</t>
        </is>
      </c>
      <c r="AQ710" s="333" t="n">
        <v>399.96</v>
      </c>
      <c r="AR710" t="inlineStr">
        <is>
          <t>https://tinyurl.com/yav83uvt</t>
        </is>
      </c>
      <c r="AS710" s="314">
        <f>IF(LEFT(C710,1)=" ",RIGHT(C710,LEN(C710)-1),C710)</f>
        <v/>
      </c>
      <c r="AT710" s="281">
        <f>_xlfn.CONCAT(B710,AS710,D710,E710)</f>
        <v/>
      </c>
    </row>
    <row r="711">
      <c r="A711" t="inlineStr">
        <is>
          <t>21/22</t>
        </is>
      </c>
      <c r="B711" t="inlineStr">
        <is>
          <t xml:space="preserve"> Vï¿½lkl</t>
        </is>
      </c>
      <c r="C711" t="inlineStr">
        <is>
          <t>Kendo 88</t>
        </is>
      </c>
      <c r="D711" t="n">
        <v>170</v>
      </c>
      <c r="E711" t="inlineStr">
        <is>
          <t xml:space="preserve"> Unisex</t>
        </is>
      </c>
      <c r="F711" t="n">
        <v>170</v>
      </c>
      <c r="G711" t="n">
        <v>171.1</v>
      </c>
      <c r="H711" t="n">
        <v>125</v>
      </c>
      <c r="I711" t="n">
        <v>147</v>
      </c>
      <c r="J711" t="n">
        <v>128</v>
      </c>
      <c r="K711" t="n">
        <v>87</v>
      </c>
      <c r="L711" t="n">
        <v>110</v>
      </c>
      <c r="M711" t="n">
        <v>16.2</v>
      </c>
      <c r="N711" t="n">
        <v>1816</v>
      </c>
      <c r="O711" t="n">
        <v>0.9399999999999999</v>
      </c>
      <c r="P711" t="n">
        <v>1714</v>
      </c>
      <c r="Q711" t="n">
        <v>197</v>
      </c>
      <c r="R711" t="n">
        <v>129</v>
      </c>
      <c r="S711" t="n">
        <v>45</v>
      </c>
      <c r="T711" t="n">
        <v>300</v>
      </c>
      <c r="U711" t="n">
        <v>14</v>
      </c>
      <c r="V711" t="n">
        <v>159</v>
      </c>
      <c r="W711" t="n">
        <v>0.322</v>
      </c>
      <c r="X711" t="n">
        <v>133</v>
      </c>
      <c r="Y711" t="n">
        <v>105</v>
      </c>
      <c r="Z711" t="n">
        <v>166</v>
      </c>
      <c r="AA711" t="n">
        <v>3</v>
      </c>
      <c r="AB711" t="n">
        <v>11.9</v>
      </c>
      <c r="AC711" t="inlineStr">
        <is>
          <t xml:space="preserve"> Resort Freeride</t>
        </is>
      </c>
      <c r="AG711" t="inlineStr">
        <is>
          <t>Volkl Kendo 88 Ski 170 177cm Downhill All Mountain ride Ski</t>
        </is>
      </c>
      <c r="AH711" t="inlineStr">
        <is>
          <t>eBay</t>
        </is>
      </c>
      <c r="AI711" s="333" t="n">
        <v>499.99</v>
      </c>
      <c r="AJ711" t="inlineStr">
        <is>
          <t>https://tinyurl.com/y754sykd</t>
        </is>
      </c>
      <c r="AK711" t="inlineStr">
        <is>
          <t>Volkl Kendo 88 Skis</t>
        </is>
      </c>
      <c r="AL711" t="inlineStr">
        <is>
          <t>SkiEssentials.com</t>
        </is>
      </c>
      <c r="AM711" s="333" t="n">
        <v>519.99</v>
      </c>
      <c r="AN711" t="inlineStr">
        <is>
          <t>https://tinyurl.com/yczys3sk</t>
        </is>
      </c>
      <c r="AO711" t="inlineStr">
        <is>
          <t>Volkl Kendo 88 Skis</t>
        </is>
      </c>
      <c r="AP711" t="inlineStr">
        <is>
          <t>Absolute-Snow.co.uk</t>
        </is>
      </c>
      <c r="AQ711" s="333" t="n">
        <v>529.24</v>
      </c>
      <c r="AR711" t="inlineStr">
        <is>
          <t>https://tinyurl.com/y9q5motr</t>
        </is>
      </c>
      <c r="AS711" s="314">
        <f>IF(LEFT(C711,1)=" ",RIGHT(C711,LEN(C711)-1),C711)</f>
        <v/>
      </c>
      <c r="AT711" s="281">
        <f>_xlfn.CONCAT(B711,AS711,D711,E711)</f>
        <v/>
      </c>
    </row>
    <row r="712">
      <c r="A712" t="inlineStr">
        <is>
          <t>21/22</t>
        </is>
      </c>
      <c r="B712" t="inlineStr">
        <is>
          <t xml:space="preserve"> Faction</t>
        </is>
      </c>
      <c r="C712" t="inlineStr">
        <is>
          <t>Agent 1.0 X</t>
        </is>
      </c>
      <c r="D712" t="n">
        <v>162</v>
      </c>
      <c r="E712" t="inlineStr">
        <is>
          <t xml:space="preserve"> Women's</t>
        </is>
      </c>
      <c r="F712" t="n">
        <v>162</v>
      </c>
      <c r="G712" t="n">
        <v>160.3</v>
      </c>
      <c r="H712" t="n">
        <v>125</v>
      </c>
      <c r="I712" t="n">
        <v>137</v>
      </c>
      <c r="J712" t="n">
        <v>119</v>
      </c>
      <c r="K712" t="n">
        <v>85</v>
      </c>
      <c r="L712" t="n">
        <v>109</v>
      </c>
      <c r="M712" t="n">
        <v>14.9</v>
      </c>
      <c r="N712" t="n">
        <v>1390</v>
      </c>
      <c r="O712" t="n">
        <v>1.12</v>
      </c>
      <c r="P712" t="n">
        <v>1552</v>
      </c>
      <c r="Q712" t="n">
        <v>169</v>
      </c>
      <c r="R712" t="n">
        <v>80</v>
      </c>
      <c r="S712" t="n">
        <v>50</v>
      </c>
      <c r="T712" t="n">
        <v>212</v>
      </c>
      <c r="U712" t="n">
        <v>20</v>
      </c>
      <c r="V712" t="n">
        <v>142</v>
      </c>
      <c r="W712" t="n">
        <v>0.406</v>
      </c>
      <c r="X712" t="n">
        <v>150</v>
      </c>
      <c r="Y712" t="n">
        <v>86</v>
      </c>
      <c r="Z712" t="n">
        <v>63</v>
      </c>
      <c r="AA712" t="n">
        <v>7</v>
      </c>
      <c r="AB712" t="n">
        <v>9.5</v>
      </c>
      <c r="AC712" t="inlineStr">
        <is>
          <t xml:space="preserve"> Resort Freeride</t>
        </is>
      </c>
      <c r="AD712" t="inlineStr">
        <is>
          <t xml:space="preserve"> Touring</t>
        </is>
      </c>
      <c r="AG712" t="inlineStr">
        <is>
          <t>Faction Agent 1.0 Skis</t>
        </is>
      </c>
      <c r="AH712" t="inlineStr">
        <is>
          <t>Backcountry Freeskier</t>
        </is>
      </c>
      <c r="AI712" s="333" t="n">
        <v>499</v>
      </c>
      <c r="AJ712" t="inlineStr">
        <is>
          <t>https://tinyurl.com/y8zb677l</t>
        </is>
      </c>
      <c r="AK712" t="inlineStr">
        <is>
          <t>Faction Agent 1.0 - 162</t>
        </is>
      </c>
      <c r="AL712" t="inlineStr">
        <is>
          <t>Overstock Snow</t>
        </is>
      </c>
      <c r="AM712" s="333" t="n">
        <v>649</v>
      </c>
      <c r="AN712" t="inlineStr">
        <is>
          <t>https://tinyurl.com/yayl3ytd</t>
        </is>
      </c>
      <c r="AO712" t="inlineStr">
        <is>
          <t>Faction Agent 1.0x Skis</t>
        </is>
      </c>
      <c r="AP712" t="inlineStr">
        <is>
          <t>Gear.com</t>
        </is>
      </c>
      <c r="AQ712" s="333" t="n">
        <v>389.4</v>
      </c>
      <c r="AR712" t="inlineStr">
        <is>
          <t>https://tinyurl.com/y8d6exar</t>
        </is>
      </c>
      <c r="AS712" s="314">
        <f>IF(LEFT(C712,1)=" ",RIGHT(C712,LEN(C712)-1),C712)</f>
        <v/>
      </c>
      <c r="AT712" s="281">
        <f>_xlfn.CONCAT(B712,AS712,D712,E712)</f>
        <v/>
      </c>
    </row>
    <row r="713">
      <c r="A713" t="inlineStr">
        <is>
          <t>21/22</t>
        </is>
      </c>
      <c r="B713" t="inlineStr">
        <is>
          <t xml:space="preserve"> Line</t>
        </is>
      </c>
      <c r="C713" t="inlineStr">
        <is>
          <t>Sick Day 88</t>
        </is>
      </c>
      <c r="D713" t="n">
        <v>165</v>
      </c>
      <c r="E713" t="inlineStr">
        <is>
          <t xml:space="preserve"> Unisex</t>
        </is>
      </c>
      <c r="F713" t="n">
        <v>165</v>
      </c>
      <c r="G713" t="n">
        <v>165</v>
      </c>
      <c r="H713" t="n">
        <v>119</v>
      </c>
      <c r="I713" t="n">
        <v>140</v>
      </c>
      <c r="J713" t="n">
        <v>125</v>
      </c>
      <c r="K713" t="n">
        <v>87</v>
      </c>
      <c r="L713" t="n">
        <v>112</v>
      </c>
      <c r="M713" t="n">
        <v>15</v>
      </c>
      <c r="N713" t="n">
        <v>1453</v>
      </c>
      <c r="O713" t="n">
        <v>1.13</v>
      </c>
      <c r="P713" t="n">
        <v>1638</v>
      </c>
      <c r="Q713" t="n">
        <v>150</v>
      </c>
      <c r="R713" t="n">
        <v>78</v>
      </c>
      <c r="S713" t="n">
        <v>48</v>
      </c>
      <c r="T713" t="n">
        <v>295</v>
      </c>
      <c r="U713" t="n">
        <v>16</v>
      </c>
      <c r="V713" t="n">
        <v>161</v>
      </c>
      <c r="W713" t="n">
        <v>0.328999999999999</v>
      </c>
      <c r="X713" t="n">
        <v>148</v>
      </c>
      <c r="Y713" t="n">
        <v>100</v>
      </c>
      <c r="Z713" t="n">
        <v>148</v>
      </c>
      <c r="AA713" t="n">
        <v>5</v>
      </c>
      <c r="AB713" t="n">
        <v>8.5</v>
      </c>
      <c r="AC713" t="inlineStr">
        <is>
          <t xml:space="preserve"> Resort Freeride</t>
        </is>
      </c>
      <c r="AD713" t="inlineStr">
        <is>
          <t xml:space="preserve"> Touring</t>
        </is>
      </c>
      <c r="AG713" t="inlineStr">
        <is>
          <t xml:space="preserve"> Line Sick Day 88 165 Cm Mens Downhill Ski Combo</t>
        </is>
      </c>
      <c r="AH713" t="inlineStr">
        <is>
          <t>Play It Again Sports</t>
        </is>
      </c>
      <c r="AI713" s="333" t="n">
        <v>299.99</v>
      </c>
      <c r="AJ713" t="inlineStr">
        <is>
          <t>https://tinyurl.com/yavqmmeh</t>
        </is>
      </c>
      <c r="AK713" t="inlineStr">
        <is>
          <t>Line Sick Day 88 Skis</t>
        </is>
      </c>
      <c r="AL713" t="inlineStr">
        <is>
          <t>LINE Skis</t>
        </is>
      </c>
      <c r="AM713" s="333" t="n">
        <v>399.95</v>
      </c>
      <c r="AN713" t="inlineStr">
        <is>
          <t>https://tinyurl.com/ya7l4vv6</t>
        </is>
      </c>
      <c r="AO713" t="inlineStr">
        <is>
          <t>2022 Line Sick Day 88 Demo Skis w/ Marker Griffon 13 Demo Bindings - 165| Ski Essentials</t>
        </is>
      </c>
      <c r="AP713" t="inlineStr">
        <is>
          <t>SkiEssentials.com</t>
        </is>
      </c>
      <c r="AQ713" s="333" t="n">
        <v>499</v>
      </c>
      <c r="AR713" t="inlineStr">
        <is>
          <t>https://tinyurl.com/ych8apfn</t>
        </is>
      </c>
      <c r="AS713" s="314">
        <f>IF(LEFT(C713,1)=" ",RIGHT(C713,LEN(C713)-1),C713)</f>
        <v/>
      </c>
      <c r="AT713" s="281">
        <f>_xlfn.CONCAT(B713,AS713,D713,E713)</f>
        <v/>
      </c>
    </row>
    <row r="714">
      <c r="A714" t="inlineStr">
        <is>
          <t>21/22</t>
        </is>
      </c>
      <c r="B714" t="inlineStr">
        <is>
          <t xml:space="preserve"> Blizzard</t>
        </is>
      </c>
      <c r="C714" t="inlineStr">
        <is>
          <t>Black Pearl 88</t>
        </is>
      </c>
      <c r="D714" t="n">
        <v>177</v>
      </c>
      <c r="E714" t="inlineStr">
        <is>
          <t xml:space="preserve"> Women's</t>
        </is>
      </c>
      <c r="F714" t="n">
        <v>177</v>
      </c>
      <c r="G714" t="n">
        <v>175.8</v>
      </c>
      <c r="H714" t="n">
        <v>145</v>
      </c>
      <c r="I714" t="n">
        <v>153</v>
      </c>
      <c r="J714" t="n">
        <v>127</v>
      </c>
      <c r="K714" t="n">
        <v>86</v>
      </c>
      <c r="L714" t="n">
        <v>109</v>
      </c>
      <c r="M714" t="n">
        <v>17.7</v>
      </c>
      <c r="N714" t="n">
        <v>1933</v>
      </c>
      <c r="O714" t="n">
        <v>0.89</v>
      </c>
      <c r="P714" t="n">
        <v>1730</v>
      </c>
      <c r="Q714" t="n">
        <v>225</v>
      </c>
      <c r="R714" t="n">
        <v>109</v>
      </c>
      <c r="S714" t="n">
        <v>57</v>
      </c>
      <c r="T714" t="n">
        <v>209</v>
      </c>
      <c r="U714" t="n">
        <v>6</v>
      </c>
      <c r="V714" t="n">
        <v>95</v>
      </c>
      <c r="W714" t="n">
        <v>0.111</v>
      </c>
      <c r="X714" t="n">
        <v>127</v>
      </c>
      <c r="Y714" t="n">
        <v>97</v>
      </c>
      <c r="Z714" t="n">
        <v>83</v>
      </c>
      <c r="AA714" t="n">
        <v>9</v>
      </c>
      <c r="AB714" t="n">
        <v>11</v>
      </c>
      <c r="AC714" t="inlineStr">
        <is>
          <t xml:space="preserve"> Resort Freeride</t>
        </is>
      </c>
      <c r="AG714" t="inlineStr">
        <is>
          <t>Blizzard Black Pearl 88 21/22</t>
        </is>
      </c>
      <c r="AH714" t="inlineStr">
        <is>
          <t>Snowcountry.eu</t>
        </is>
      </c>
      <c r="AI714" s="333" t="n">
        <v>354.97</v>
      </c>
      <c r="AJ714" t="inlineStr">
        <is>
          <t>https://tinyurl.com/y8pbrtnj</t>
        </is>
      </c>
      <c r="AK714" t="inlineStr">
        <is>
          <t>Blizzard Women's Black Pearl 88 Ski 2021, 177</t>
        </is>
      </c>
      <c r="AL714" t="inlineStr">
        <is>
          <t>Gear West Ski &amp; Bike</t>
        </is>
      </c>
      <c r="AM714" s="333" t="n">
        <v>649.95</v>
      </c>
      <c r="AN714" t="inlineStr">
        <is>
          <t>https://tinyurl.com/ya9o3szz</t>
        </is>
      </c>
      <c r="AO714" t="inlineStr">
        <is>
          <t>Blizzard Women's Black Pearl 88 Alpine Ski 2022 177</t>
        </is>
      </c>
      <c r="AP714" t="inlineStr">
        <is>
          <t>Boyne Country Sports</t>
        </is>
      </c>
      <c r="AQ714" s="333" t="n">
        <v>649.95</v>
      </c>
      <c r="AR714" t="inlineStr">
        <is>
          <t>https://tinyurl.com/yaben8sg</t>
        </is>
      </c>
      <c r="AS714" s="314">
        <f>IF(LEFT(C714,1)=" ",RIGHT(C714,LEN(C714)-1),C714)</f>
        <v/>
      </c>
      <c r="AT714" s="281">
        <f>_xlfn.CONCAT(B714,AS714,D714,E714)</f>
        <v/>
      </c>
    </row>
    <row r="715">
      <c r="A715" t="inlineStr">
        <is>
          <t>21/22</t>
        </is>
      </c>
      <c r="B715" t="inlineStr">
        <is>
          <t>K2</t>
        </is>
      </c>
      <c r="C715" t="inlineStr">
        <is>
          <t>Reckoner 122</t>
        </is>
      </c>
      <c r="D715" t="n">
        <v>184</v>
      </c>
      <c r="E715" t="inlineStr">
        <is>
          <t xml:space="preserve"> Unisex</t>
        </is>
      </c>
      <c r="F715" t="n">
        <v>184</v>
      </c>
      <c r="G715" t="n">
        <v>183.1</v>
      </c>
      <c r="H715" t="n">
        <v>96</v>
      </c>
      <c r="I715" t="n">
        <v>139</v>
      </c>
      <c r="J715" t="n">
        <v>144</v>
      </c>
      <c r="K715" t="n">
        <v>122</v>
      </c>
      <c r="L715" t="n">
        <v>135</v>
      </c>
      <c r="M715" t="n">
        <v>24.6</v>
      </c>
      <c r="N715" t="n">
        <v>2076</v>
      </c>
      <c r="O715" t="n">
        <v>1.13</v>
      </c>
      <c r="P715" t="n">
        <v>2349</v>
      </c>
      <c r="Q715" t="n">
        <v>211</v>
      </c>
      <c r="R715" t="n">
        <v>107</v>
      </c>
      <c r="S715" t="n">
        <v>67</v>
      </c>
      <c r="T715" t="n">
        <v>459</v>
      </c>
      <c r="U715" t="n">
        <v>48</v>
      </c>
      <c r="V715" t="n">
        <v>414</v>
      </c>
      <c r="W715" t="n">
        <v>0.714</v>
      </c>
      <c r="X715" t="n">
        <v>221</v>
      </c>
      <c r="Y715" t="n">
        <v>221</v>
      </c>
      <c r="Z715" t="n">
        <v>238</v>
      </c>
      <c r="AA715" t="n">
        <v>3</v>
      </c>
      <c r="AB715" t="n">
        <v>5.1</v>
      </c>
      <c r="AC715" t="inlineStr">
        <is>
          <t xml:space="preserve"> Powder</t>
        </is>
      </c>
      <c r="AD715" t="inlineStr">
        <is>
          <t xml:space="preserve"> Touring</t>
        </is>
      </c>
      <c r="AG715" t="inlineStr">
        <is>
          <t>K2 Reckoner 122 Skis 184 Cm Powder Rocker Backcountry</t>
        </is>
      </c>
      <c r="AH715" t="inlineStr">
        <is>
          <t>eBay</t>
        </is>
      </c>
      <c r="AI715" s="333" t="n">
        <v>250</v>
      </c>
      <c r="AJ715" t="inlineStr">
        <is>
          <t>https://tinyurl.com/yd42kkf4</t>
        </is>
      </c>
      <c r="AK715" t="inlineStr">
        <is>
          <t>K2 Reckoner 122 Skis 2022 - 184</t>
        </is>
      </c>
      <c r="AL715" t="inlineStr">
        <is>
          <t>Telemark Pyrenees</t>
        </is>
      </c>
      <c r="AM715" s="333" t="n">
        <v>412.48</v>
      </c>
      <c r="AN715" t="inlineStr">
        <is>
          <t>https://tinyurl.com/yd4uuak3</t>
        </is>
      </c>
      <c r="AO715" t="inlineStr">
        <is>
          <t>K2 2021 Reckoner 122 Skis</t>
        </is>
      </c>
      <c r="AP715" t="inlineStr">
        <is>
          <t>Powder7 Ski Shop</t>
        </is>
      </c>
      <c r="AQ715" s="333" t="n">
        <v>439.93</v>
      </c>
      <c r="AR715" t="inlineStr">
        <is>
          <t>https://tinyurl.com/y7ws397o</t>
        </is>
      </c>
      <c r="AS715" s="314">
        <f>IF(LEFT(C715,1)=" ",RIGHT(C715,LEN(C715)-1),C715)</f>
        <v/>
      </c>
      <c r="AT715" s="281">
        <f>_xlfn.CONCAT(B715,AS715,D715,E715)</f>
        <v/>
      </c>
    </row>
    <row r="716">
      <c r="A716" t="inlineStr">
        <is>
          <t>21/22</t>
        </is>
      </c>
      <c r="B716" t="inlineStr">
        <is>
          <t xml:space="preserve"> Salomon</t>
        </is>
      </c>
      <c r="C716" t="inlineStr">
        <is>
          <t>S/Force 80FX</t>
        </is>
      </c>
      <c r="D716" t="n">
        <v>156</v>
      </c>
      <c r="E716" t="inlineStr">
        <is>
          <t xml:space="preserve"> Unisex</t>
        </is>
      </c>
      <c r="F716" t="n">
        <v>156</v>
      </c>
      <c r="G716" t="n">
        <v>155.3</v>
      </c>
      <c r="H716" t="n">
        <v>132</v>
      </c>
      <c r="I716" t="n">
        <v>143</v>
      </c>
      <c r="J716" t="n">
        <v>126</v>
      </c>
      <c r="K716" t="n">
        <v>80</v>
      </c>
      <c r="L716" t="n">
        <v>109</v>
      </c>
      <c r="M716" t="n">
        <v>12.9</v>
      </c>
      <c r="N716" t="n">
        <v>1853</v>
      </c>
      <c r="O716" t="n">
        <v>0.79</v>
      </c>
      <c r="P716" t="n">
        <v>1472</v>
      </c>
      <c r="Q716" t="n">
        <v>180</v>
      </c>
      <c r="R716" t="n">
        <v>84</v>
      </c>
      <c r="S716" t="n">
        <v>40</v>
      </c>
      <c r="T716" t="n">
        <v>151</v>
      </c>
      <c r="U716" t="n">
        <v>4</v>
      </c>
      <c r="V716" t="n">
        <v>79</v>
      </c>
      <c r="W716" t="n">
        <v>0.08799999999999999</v>
      </c>
      <c r="X716" t="n">
        <v>86</v>
      </c>
      <c r="Y716" t="n">
        <v>33</v>
      </c>
      <c r="Z716" t="n">
        <v>66</v>
      </c>
      <c r="AA716" t="n">
        <v>8</v>
      </c>
      <c r="AB716" t="n">
        <v>10.5</v>
      </c>
      <c r="AC716" t="inlineStr">
        <is>
          <t xml:space="preserve"> On-Piste Carving</t>
        </is>
      </c>
      <c r="AG716" t="inlineStr">
        <is>
          <t>Salomon S/Force Fever Women's Skis with M11 GW Bindings 2021 156cm</t>
        </is>
      </c>
      <c r="AH716" t="inlineStr">
        <is>
          <t>The-House.com</t>
        </is>
      </c>
      <c r="AI716" s="333" t="n">
        <v>479.95</v>
      </c>
      <c r="AJ716" t="inlineStr">
        <is>
          <t>https://tinyurl.com/ycwn99be</t>
        </is>
      </c>
      <c r="AK716" t="inlineStr">
        <is>
          <t>Salomon Men's S/Force FX 80 Skis with M11 GW 156</t>
        </is>
      </c>
      <c r="AL716" t="inlineStr">
        <is>
          <t>Peter Glenn Ski &amp; Sports</t>
        </is>
      </c>
      <c r="AM716" s="333" t="n">
        <v>479.99</v>
      </c>
      <c r="AN716" t="inlineStr">
        <is>
          <t>https://tinyurl.com/y8vg3dep</t>
        </is>
      </c>
      <c r="AO716" t="inlineStr">
        <is>
          <t>Salomon Men's S/Force FX 80 Skis with M11 GW 156</t>
        </is>
      </c>
      <c r="AP716" t="inlineStr">
        <is>
          <t>The Ski Bum</t>
        </is>
      </c>
      <c r="AQ716" s="333" t="n">
        <v>479.99</v>
      </c>
      <c r="AR716" t="inlineStr">
        <is>
          <t>https://tinyurl.com/yavgoeye</t>
        </is>
      </c>
      <c r="AS716" s="314">
        <f>IF(LEFT(C716,1)=" ",RIGHT(C716,LEN(C716)-1),C716)</f>
        <v/>
      </c>
      <c r="AT716" s="281">
        <f>_xlfn.CONCAT(B716,AS716,D716,E716)</f>
        <v/>
      </c>
    </row>
    <row r="717">
      <c r="A717" t="inlineStr">
        <is>
          <t>21/22</t>
        </is>
      </c>
      <c r="B717" t="inlineStr">
        <is>
          <t>K2</t>
        </is>
      </c>
      <c r="C717" t="inlineStr">
        <is>
          <t>Disruption 78C</t>
        </is>
      </c>
      <c r="D717" t="n">
        <v>156</v>
      </c>
      <c r="E717" t="inlineStr">
        <is>
          <t xml:space="preserve"> Unisex</t>
        </is>
      </c>
      <c r="F717" t="n">
        <v>156</v>
      </c>
      <c r="G717" t="n">
        <v>157</v>
      </c>
      <c r="H717" t="n">
        <v>131</v>
      </c>
      <c r="I717" t="n">
        <v>144</v>
      </c>
      <c r="J717" t="n">
        <v>124</v>
      </c>
      <c r="K717" t="n">
        <v>77</v>
      </c>
      <c r="L717" t="n">
        <v>111</v>
      </c>
      <c r="M717" t="n">
        <v>12.6</v>
      </c>
      <c r="N717" t="n">
        <v>1719</v>
      </c>
      <c r="O717" t="n">
        <v>0.84</v>
      </c>
      <c r="P717" t="n">
        <v>1451</v>
      </c>
      <c r="Q717" t="n">
        <v>151</v>
      </c>
      <c r="R717" t="n">
        <v>73</v>
      </c>
      <c r="S717" t="n">
        <v>29</v>
      </c>
      <c r="T717" t="n">
        <v>166</v>
      </c>
      <c r="U717" t="n">
        <v>9</v>
      </c>
      <c r="V717" t="n">
        <v>93</v>
      </c>
      <c r="W717" t="n">
        <v>0.305</v>
      </c>
      <c r="X717" t="n">
        <v>82</v>
      </c>
      <c r="Y717" t="n">
        <v>44</v>
      </c>
      <c r="Z717" t="n">
        <v>84</v>
      </c>
      <c r="AA717" t="n">
        <v>7</v>
      </c>
      <c r="AB717" t="n">
        <v>10</v>
      </c>
      <c r="AC717" t="inlineStr">
        <is>
          <t xml:space="preserve"> On-Piste Carving</t>
        </is>
      </c>
      <c r="AG717" t="inlineStr">
        <is>
          <t>K2 Skis - Disruption 78C - Skis</t>
        </is>
      </c>
      <c r="AH717" t="inlineStr">
        <is>
          <t>eBay - david110549</t>
        </is>
      </c>
      <c r="AI717" s="333" t="n">
        <v>599.95</v>
      </c>
      <c r="AJ717" t="inlineStr">
        <is>
          <t>https://tinyurl.com/y8z8acsq</t>
        </is>
      </c>
      <c r="AK717" t="inlineStr">
        <is>
          <t>K2 Skis - Disruption 78C - Skis</t>
        </is>
      </c>
      <c r="AL717" t="inlineStr">
        <is>
          <t>SkiEssentials.com</t>
        </is>
      </c>
      <c r="AM717" s="333" t="n">
        <v>599.95</v>
      </c>
      <c r="AN717" t="inlineStr">
        <is>
          <t>https://tinyurl.com/y9pz4bvc</t>
        </is>
      </c>
      <c r="AO717" t="inlineStr">
        <is>
          <t>K2 Skis - Disruption 78C - Skis</t>
        </is>
      </c>
      <c r="AP717" t="inlineStr">
        <is>
          <t>Basin Sports</t>
        </is>
      </c>
      <c r="AQ717" s="333" t="n">
        <v>599.95</v>
      </c>
      <c r="AR717" t="inlineStr">
        <is>
          <t>https://tinyurl.com/yav4buox</t>
        </is>
      </c>
      <c r="AS717" s="314">
        <f>IF(LEFT(C717,1)=" ",RIGHT(C717,LEN(C717)-1),C717)</f>
        <v/>
      </c>
      <c r="AT717" s="281">
        <f>_xlfn.CONCAT(B717,AS717,D717,E717)</f>
        <v/>
      </c>
    </row>
    <row r="718">
      <c r="A718" t="inlineStr">
        <is>
          <t>21/22</t>
        </is>
      </c>
      <c r="B718" t="inlineStr">
        <is>
          <t xml:space="preserve"> Nordica</t>
        </is>
      </c>
      <c r="C718" t="inlineStr">
        <is>
          <t>Soul Rider 97</t>
        </is>
      </c>
      <c r="D718" t="n">
        <v>185</v>
      </c>
      <c r="E718" t="inlineStr">
        <is>
          <t xml:space="preserve"> Unisex</t>
        </is>
      </c>
      <c r="F718" t="n">
        <v>185</v>
      </c>
      <c r="G718" t="n">
        <v>183.1</v>
      </c>
      <c r="H718" t="n">
        <v>148</v>
      </c>
      <c r="I718" t="n">
        <v>160</v>
      </c>
      <c r="J718" t="n">
        <v>133</v>
      </c>
      <c r="K718" t="n">
        <v>96</v>
      </c>
      <c r="L718" t="n">
        <v>123</v>
      </c>
      <c r="M718" t="n">
        <v>19</v>
      </c>
      <c r="N718" t="n">
        <v>2129</v>
      </c>
      <c r="O718" t="n">
        <v>0.93</v>
      </c>
      <c r="P718" t="n">
        <v>1975</v>
      </c>
      <c r="Q718" t="n">
        <v>202</v>
      </c>
      <c r="R718" t="n">
        <v>101</v>
      </c>
      <c r="S718" t="n">
        <v>52</v>
      </c>
      <c r="T718" t="n">
        <v>178</v>
      </c>
      <c r="U718" t="n">
        <v>48</v>
      </c>
      <c r="V718" t="n">
        <v>175</v>
      </c>
      <c r="W718" t="n">
        <v>0.92</v>
      </c>
      <c r="X718" t="n">
        <v>105</v>
      </c>
      <c r="Y718" t="n">
        <v>126</v>
      </c>
      <c r="Z718" t="n">
        <v>74</v>
      </c>
      <c r="AA718" t="n">
        <v>11</v>
      </c>
      <c r="AB718" t="n">
        <v>6.3</v>
      </c>
      <c r="AC718" t="inlineStr">
        <is>
          <t xml:space="preserve"> Freeski</t>
        </is>
      </c>
      <c r="AG718" t="inlineStr">
        <is>
          <t>Nordica Soul Rider 97 Skis Â· 2022 Â· 185 cm</t>
        </is>
      </c>
      <c r="AH718" t="inlineStr">
        <is>
          <t>Ski Pro  - Snow Ski &amp; Snowboard</t>
        </is>
      </c>
      <c r="AI718" s="333" t="n">
        <v>479.95</v>
      </c>
      <c r="AJ718" t="inlineStr">
        <is>
          <t>https://tinyurl.com/yaaogb8v</t>
        </is>
      </c>
      <c r="AK718" t="inlineStr">
        <is>
          <t>Nordica Soul Rider 97 Skis Â· 2022 Â· 185 cm</t>
        </is>
      </c>
      <c r="AL718" t="inlineStr">
        <is>
          <t>Backcountry.com</t>
        </is>
      </c>
      <c r="AM718" s="333" t="n">
        <v>479.96</v>
      </c>
      <c r="AN718" t="inlineStr">
        <is>
          <t>https://tinyurl.com/ydxypjpr</t>
        </is>
      </c>
      <c r="AO718" t="inlineStr">
        <is>
          <t>Nordica Soul Rider 97 Skis Â· 2022 Â· 185 cm</t>
        </is>
      </c>
      <c r="AP718" t="inlineStr">
        <is>
          <t>AlpineShopVT.com</t>
        </is>
      </c>
      <c r="AQ718" s="333" t="n">
        <v>479.99</v>
      </c>
      <c r="AR718" t="inlineStr">
        <is>
          <t>https://tinyurl.com/ycfyjskf</t>
        </is>
      </c>
      <c r="AS718" s="314">
        <f>IF(LEFT(C718,1)=" ",RIGHT(C718,LEN(C718)-1),C718)</f>
        <v/>
      </c>
      <c r="AT718" s="281">
        <f>_xlfn.CONCAT(B718,AS718,D718,E718)</f>
        <v/>
      </c>
    </row>
    <row r="719">
      <c r="A719" t="inlineStr">
        <is>
          <t>21/22</t>
        </is>
      </c>
      <c r="B719" t="inlineStr">
        <is>
          <t xml:space="preserve"> Black Crows</t>
        </is>
      </c>
      <c r="C719" t="inlineStr">
        <is>
          <t>Camox Birdie</t>
        </is>
      </c>
      <c r="D719" t="n">
        <v>162.3</v>
      </c>
      <c r="E719" t="inlineStr">
        <is>
          <t xml:space="preserve"> Women's</t>
        </is>
      </c>
      <c r="F719" t="n">
        <v>162.3</v>
      </c>
      <c r="G719" t="n">
        <v>160.8</v>
      </c>
      <c r="H719" t="n">
        <v>117</v>
      </c>
      <c r="I719" t="n">
        <v>140</v>
      </c>
      <c r="J719" t="n">
        <v>129</v>
      </c>
      <c r="K719" t="n">
        <v>97</v>
      </c>
      <c r="L719" t="n">
        <v>117</v>
      </c>
      <c r="M719" t="n">
        <v>18.3</v>
      </c>
      <c r="N719" t="n">
        <v>1601</v>
      </c>
      <c r="O719" t="n">
        <v>1.07</v>
      </c>
      <c r="P719" t="n">
        <v>1720</v>
      </c>
      <c r="Q719" t="n">
        <v>142</v>
      </c>
      <c r="R719" t="n">
        <v>74</v>
      </c>
      <c r="S719" t="n">
        <v>45</v>
      </c>
      <c r="T719" t="n">
        <v>246</v>
      </c>
      <c r="U719" t="n">
        <v>32</v>
      </c>
      <c r="V719" t="n">
        <v>194</v>
      </c>
      <c r="W719" t="n">
        <v>0.715</v>
      </c>
      <c r="X719" t="n">
        <v>103</v>
      </c>
      <c r="Y719" t="n">
        <v>110</v>
      </c>
      <c r="Z719" t="n">
        <v>143</v>
      </c>
      <c r="AA719" t="n">
        <v>8</v>
      </c>
      <c r="AB719" t="n">
        <v>6.4</v>
      </c>
      <c r="AC719" t="inlineStr">
        <is>
          <t xml:space="preserve"> Resort Freeride</t>
        </is>
      </c>
      <c r="AD719" t="inlineStr">
        <is>
          <t xml:space="preserve"> Touring</t>
        </is>
      </c>
      <c r="AG719" t="inlineStr">
        <is>
          <t>Liberty Genesis 101 Women's Skis Â· 2022 Â· 151 cm</t>
        </is>
      </c>
      <c r="AH719" t="inlineStr">
        <is>
          <t>SkiEssentials.com</t>
        </is>
      </c>
      <c r="AI719" s="333" t="n">
        <v>449.99</v>
      </c>
      <c r="AJ719" t="inlineStr">
        <is>
          <t>https://tinyurl.com/ybwd7qsp</t>
        </is>
      </c>
      <c r="AK719" t="inlineStr">
        <is>
          <t>Liberty Genesis 101 Women's Skis Â· 2022 Â· 151 cm</t>
        </is>
      </c>
      <c r="AL719" t="inlineStr">
        <is>
          <t>eBay - david110549</t>
        </is>
      </c>
      <c r="AM719" s="333" t="n">
        <v>449.99</v>
      </c>
      <c r="AN719" t="inlineStr">
        <is>
          <t>https://tinyurl.com/y8l7f5h5</t>
        </is>
      </c>
      <c r="AO719" t="inlineStr">
        <is>
          <t>Liberty Genesis 101 Women's Skis Â· 2022 Â· 151 cm</t>
        </is>
      </c>
      <c r="AP719" t="inlineStr">
        <is>
          <t>Hillcrest Ski &amp; Sports</t>
        </is>
      </c>
      <c r="AQ719" s="333" t="n">
        <v>479.99</v>
      </c>
      <c r="AR719" t="inlineStr">
        <is>
          <t>https://tinyurl.com/yc43s5n3</t>
        </is>
      </c>
      <c r="AS719" s="314">
        <f>IF(LEFT(C719,1)=" ",RIGHT(C719,LEN(C719)-1),C719)</f>
        <v/>
      </c>
      <c r="AT719" s="281">
        <f>_xlfn.CONCAT(B719,AS719,D719,E719)</f>
        <v/>
      </c>
    </row>
    <row r="720">
      <c r="A720" t="inlineStr">
        <is>
          <t>21/22</t>
        </is>
      </c>
      <c r="B720" t="inlineStr">
        <is>
          <t xml:space="preserve"> Armada</t>
        </is>
      </c>
      <c r="C720" t="inlineStr">
        <is>
          <t>Reliance 92 Ti</t>
        </is>
      </c>
      <c r="D720" t="n">
        <v>172</v>
      </c>
      <c r="E720" t="inlineStr">
        <is>
          <t xml:space="preserve"> Women's</t>
        </is>
      </c>
      <c r="F720" t="n">
        <v>172</v>
      </c>
      <c r="G720" t="n">
        <v>172.1</v>
      </c>
      <c r="H720" t="n">
        <v>134</v>
      </c>
      <c r="I720" t="n">
        <v>149</v>
      </c>
      <c r="J720" t="n">
        <v>130</v>
      </c>
      <c r="K720" t="n">
        <v>91</v>
      </c>
      <c r="L720" t="n">
        <v>116</v>
      </c>
      <c r="M720" t="n">
        <v>16.9</v>
      </c>
      <c r="N720" t="n">
        <v>1690</v>
      </c>
      <c r="O720" t="n">
        <v>1.05</v>
      </c>
      <c r="P720" t="n">
        <v>1780</v>
      </c>
      <c r="Q720" t="n">
        <v>208</v>
      </c>
      <c r="R720" t="n">
        <v>140</v>
      </c>
      <c r="S720" t="n">
        <v>40</v>
      </c>
      <c r="T720" t="n">
        <v>237</v>
      </c>
      <c r="U720" t="n">
        <v>16</v>
      </c>
      <c r="V720" t="n">
        <v>145</v>
      </c>
      <c r="W720" t="n">
        <v>0.409</v>
      </c>
      <c r="X720" t="n">
        <v>147</v>
      </c>
      <c r="Y720" t="n">
        <v>87</v>
      </c>
      <c r="Z720" t="n">
        <v>90</v>
      </c>
      <c r="AA720" t="n">
        <v>9</v>
      </c>
      <c r="AB720" t="n">
        <v>9.6</v>
      </c>
      <c r="AC720" t="inlineStr">
        <is>
          <t xml:space="preserve"> Resort Freeride</t>
        </is>
      </c>
      <c r="AD720" t="inlineStr">
        <is>
          <t xml:space="preserve"> Touring</t>
        </is>
      </c>
      <c r="AG720" t="inlineStr">
        <is>
          <t>Armada Reliance 92 Ti Skis - Women's 2022</t>
        </is>
      </c>
      <c r="AH720" t="inlineStr">
        <is>
          <t>! OutdoorXL.com</t>
        </is>
      </c>
      <c r="AI720" s="333" t="n">
        <v>424.95</v>
      </c>
      <c r="AJ720" t="inlineStr">
        <is>
          <t>https://tinyurl.com/y9lzcqss</t>
        </is>
      </c>
      <c r="AK720" t="inlineStr">
        <is>
          <t>Armada Reliance 92 Ti Skis - Women's 2022</t>
        </is>
      </c>
      <c r="AL720" t="inlineStr">
        <is>
          <t>Snowcountry.eu</t>
        </is>
      </c>
      <c r="AM720" s="333" t="n">
        <v>441.67</v>
      </c>
      <c r="AN720" t="inlineStr">
        <is>
          <t>https://tinyurl.com/yave2tdb</t>
        </is>
      </c>
      <c r="AO720" t="inlineStr">
        <is>
          <t>Armada Reliance 92 Ti Skis - Women's 2022</t>
        </is>
      </c>
      <c r="AP720" t="inlineStr">
        <is>
          <t>Powder7 Ski Shop</t>
        </is>
      </c>
      <c r="AQ720" s="333" t="n">
        <v>519.95</v>
      </c>
      <c r="AR720" t="inlineStr">
        <is>
          <t>https://tinyurl.com/ycmsptga</t>
        </is>
      </c>
      <c r="AS720" s="314">
        <f>IF(LEFT(C720,1)=" ",RIGHT(C720,LEN(C720)-1),C720)</f>
        <v/>
      </c>
      <c r="AT720" s="281">
        <f>_xlfn.CONCAT(B720,AS720,D720,E720)</f>
        <v/>
      </c>
    </row>
    <row r="721">
      <c r="A721" t="inlineStr">
        <is>
          <t>21/22</t>
        </is>
      </c>
      <c r="B721" t="inlineStr">
        <is>
          <t xml:space="preserve"> Line</t>
        </is>
      </c>
      <c r="C721" t="inlineStr">
        <is>
          <t xml:space="preserve"> Chronic</t>
        </is>
      </c>
      <c r="D721" t="n">
        <v>171</v>
      </c>
      <c r="E721" t="inlineStr">
        <is>
          <t xml:space="preserve"> Unisex</t>
        </is>
      </c>
      <c r="F721" t="n">
        <v>171</v>
      </c>
      <c r="G721" t="n">
        <v>171.6</v>
      </c>
      <c r="H721" t="n">
        <v>136</v>
      </c>
      <c r="I721" t="n">
        <v>138</v>
      </c>
      <c r="J721" t="n">
        <v>128</v>
      </c>
      <c r="K721" t="n">
        <v>94</v>
      </c>
      <c r="L721" t="n">
        <v>119</v>
      </c>
      <c r="M721" t="n">
        <v>15.3</v>
      </c>
      <c r="N721" t="n">
        <v>1704</v>
      </c>
      <c r="O721" t="n">
        <v>1.06</v>
      </c>
      <c r="P721" t="n">
        <v>1808</v>
      </c>
      <c r="Q721" t="n">
        <v>136</v>
      </c>
      <c r="R721" t="n">
        <v>74</v>
      </c>
      <c r="S721" t="n">
        <v>41</v>
      </c>
      <c r="T721" t="n">
        <v>174</v>
      </c>
      <c r="U721" t="n">
        <v>40</v>
      </c>
      <c r="V721" t="n">
        <v>178</v>
      </c>
      <c r="W721" t="n">
        <v>0.958</v>
      </c>
      <c r="X721" t="n">
        <v>167</v>
      </c>
      <c r="Y721" t="n">
        <v>167</v>
      </c>
      <c r="Z721" t="n">
        <v>6</v>
      </c>
      <c r="AA721" t="n">
        <v>10</v>
      </c>
      <c r="AB721" t="n">
        <v>3.5</v>
      </c>
      <c r="AC721" t="inlineStr">
        <is>
          <t xml:space="preserve"> Freeski</t>
        </is>
      </c>
      <c r="AD721" t="inlineStr">
        <is>
          <t xml:space="preserve"> Touring</t>
        </is>
      </c>
      <c r="AG721" t="inlineStr">
        <is>
          <t>Line Chronic 171 + Marker Griffon 13</t>
        </is>
      </c>
      <c r="AH721" t="inlineStr">
        <is>
          <t>Geartrade.com</t>
        </is>
      </c>
      <c r="AI721" s="333" t="n">
        <v>200</v>
      </c>
      <c r="AJ721" t="inlineStr">
        <is>
          <t>https://tinyurl.com/y87ewjbj</t>
        </is>
      </c>
      <c r="AK721" t="inlineStr">
        <is>
          <t>Line 2022 Chronic Skis</t>
        </is>
      </c>
      <c r="AL721" t="inlineStr">
        <is>
          <t>Curated</t>
        </is>
      </c>
      <c r="AM721" s="333" t="n">
        <v>499.95</v>
      </c>
      <c r="AN721" t="inlineStr">
        <is>
          <t>https://tinyurl.com/ydebuozx</t>
        </is>
      </c>
      <c r="AO721" t="inlineStr">
        <is>
          <t>Line 2022 Chronic Skis</t>
        </is>
      </c>
      <c r="AP721" t="inlineStr">
        <is>
          <t>Powder7 Ski Shop</t>
        </is>
      </c>
      <c r="AQ721" s="333" t="n">
        <v>499.95</v>
      </c>
      <c r="AR721" t="inlineStr">
        <is>
          <t>https://tinyurl.com/y8mt972y</t>
        </is>
      </c>
      <c r="AS721" s="314">
        <f>IF(LEFT(C721,1)=" ",RIGHT(C721,LEN(C721)-1),C721)</f>
        <v/>
      </c>
      <c r="AT721" s="281">
        <f>_xlfn.CONCAT(B721,AS721,D721,E721)</f>
        <v/>
      </c>
    </row>
    <row r="722">
      <c r="A722" t="inlineStr">
        <is>
          <t>21/22</t>
        </is>
      </c>
      <c r="B722" t="inlineStr">
        <is>
          <t xml:space="preserve"> Head</t>
        </is>
      </c>
      <c r="C722" t="inlineStr">
        <is>
          <t>Oblivion 84</t>
        </is>
      </c>
      <c r="D722" t="n">
        <v>171</v>
      </c>
      <c r="E722" t="inlineStr">
        <is>
          <t xml:space="preserve"> Unisex</t>
        </is>
      </c>
      <c r="F722" t="n">
        <v>171</v>
      </c>
      <c r="G722" t="n">
        <v>169.2</v>
      </c>
      <c r="H722" t="n">
        <v>140</v>
      </c>
      <c r="I722" t="n">
        <v>151</v>
      </c>
      <c r="J722" t="n">
        <v>119</v>
      </c>
      <c r="K722" t="n">
        <v>82</v>
      </c>
      <c r="L722" t="n">
        <v>108</v>
      </c>
      <c r="M722" t="n">
        <v>17.8</v>
      </c>
      <c r="N722" t="n">
        <v>1696</v>
      </c>
      <c r="O722" t="n">
        <v>0.9399999999999999</v>
      </c>
      <c r="P722" t="n">
        <v>1586</v>
      </c>
      <c r="Q722" t="n">
        <v>178</v>
      </c>
      <c r="R722" t="n">
        <v>62</v>
      </c>
      <c r="S722" t="n">
        <v>48</v>
      </c>
      <c r="T722" t="n">
        <v>156</v>
      </c>
      <c r="U722" t="n">
        <v>37</v>
      </c>
      <c r="V722" t="n">
        <v>133</v>
      </c>
      <c r="W722" t="n">
        <v>0.769</v>
      </c>
      <c r="X722" t="n">
        <v>96</v>
      </c>
      <c r="Y722" t="n">
        <v>89</v>
      </c>
      <c r="Z722" t="n">
        <v>60</v>
      </c>
      <c r="AA722" t="n">
        <v>11</v>
      </c>
      <c r="AB722" t="n">
        <v>5.4</v>
      </c>
      <c r="AC722" t="inlineStr">
        <is>
          <t xml:space="preserve"> Resort Freeride</t>
        </is>
      </c>
      <c r="AG722" t="inlineStr">
        <is>
          <t>2022 Head Oblivion 84 Twin Tip Park and Pipe Snow Skis 171</t>
        </is>
      </c>
      <c r="AH722" t="inlineStr">
        <is>
          <t>The Pro Shop</t>
        </is>
      </c>
      <c r="AI722" s="333" t="n">
        <v>399</v>
      </c>
      <c r="AJ722" t="inlineStr">
        <is>
          <t>https://tinyurl.com/yag8lyg6</t>
        </is>
      </c>
      <c r="AK722" t="inlineStr">
        <is>
          <t>Head 2022 Oblivion Men's 84 Skis (171)</t>
        </is>
      </c>
      <c r="AL722" t="inlineStr">
        <is>
          <t>Ridgeline Bike &amp; Ski</t>
        </is>
      </c>
      <c r="AM722" s="333" t="n">
        <v>399</v>
      </c>
      <c r="AN722" t="inlineStr">
        <is>
          <t>https://tinyurl.com/ydfsenqn</t>
        </is>
      </c>
      <c r="AO722" t="inlineStr">
        <is>
          <t>Head 2022 Oblivion Men's 84 Skis (171)</t>
        </is>
      </c>
      <c r="AP722" t="inlineStr">
        <is>
          <t>evo.com</t>
        </is>
      </c>
      <c r="AQ722" s="333" t="n">
        <v>399</v>
      </c>
      <c r="AR722" t="inlineStr">
        <is>
          <t>https://tinyurl.com/y7uqmelm</t>
        </is>
      </c>
      <c r="AS722" s="314">
        <f>IF(LEFT(C722,1)=" ",RIGHT(C722,LEN(C722)-1),C722)</f>
        <v/>
      </c>
      <c r="AT722" s="281">
        <f>_xlfn.CONCAT(B722,AS722,D722,E722)</f>
        <v/>
      </c>
    </row>
    <row r="723">
      <c r="A723" t="inlineStr">
        <is>
          <t>21/22</t>
        </is>
      </c>
      <c r="B723" t="inlineStr">
        <is>
          <t xml:space="preserve"> Salomon</t>
        </is>
      </c>
      <c r="C723" t="inlineStr">
        <is>
          <t>Stance 84</t>
        </is>
      </c>
      <c r="D723" t="n">
        <v>169</v>
      </c>
      <c r="E723" t="inlineStr">
        <is>
          <t xml:space="preserve"> Unisex</t>
        </is>
      </c>
      <c r="F723" t="n">
        <v>169</v>
      </c>
      <c r="G723" t="n">
        <v>168</v>
      </c>
      <c r="H723" t="n">
        <v>122</v>
      </c>
      <c r="I723" t="n">
        <v>140</v>
      </c>
      <c r="J723" t="n">
        <v>121</v>
      </c>
      <c r="K723" t="n">
        <v>83</v>
      </c>
      <c r="L723" t="n">
        <v>104</v>
      </c>
      <c r="M723" t="n">
        <v>15</v>
      </c>
      <c r="N723" t="n">
        <v>1513</v>
      </c>
      <c r="O723" t="n">
        <v>1.07</v>
      </c>
      <c r="P723" t="n">
        <v>1623</v>
      </c>
      <c r="Q723" t="n">
        <v>179</v>
      </c>
      <c r="R723" t="n">
        <v>77</v>
      </c>
      <c r="S723" t="n">
        <v>52</v>
      </c>
      <c r="T723" t="n">
        <v>251</v>
      </c>
      <c r="U723" t="n">
        <v>13</v>
      </c>
      <c r="V723" t="n">
        <v>206</v>
      </c>
      <c r="W723" t="n">
        <v>0.245</v>
      </c>
      <c r="X723" t="n">
        <v>163</v>
      </c>
      <c r="Y723" t="n">
        <v>117</v>
      </c>
      <c r="Z723" t="n">
        <v>88</v>
      </c>
      <c r="AA723" t="n">
        <v>6</v>
      </c>
      <c r="AB723" t="n">
        <v>10.1</v>
      </c>
      <c r="AC723" t="inlineStr">
        <is>
          <t xml:space="preserve"> On-Piste All-Mountain</t>
        </is>
      </c>
      <c r="AD723" t="inlineStr">
        <is>
          <t xml:space="preserve"> Resort Freeride</t>
        </is>
      </c>
      <c r="AE723" t="inlineStr">
        <is>
          <t xml:space="preserve"> Touring</t>
        </is>
      </c>
      <c r="AG723" t="inlineStr">
        <is>
          <t>Salomon Stance 84 Skis + M12 GW Bindings 2022 - 169</t>
        </is>
      </c>
      <c r="AH723" t="inlineStr">
        <is>
          <t>SkatePro.com</t>
        </is>
      </c>
      <c r="AI723" s="333" t="n">
        <v>599.95</v>
      </c>
      <c r="AJ723" t="inlineStr">
        <is>
          <t>https://tinyurl.com/y75zbxhk</t>
        </is>
      </c>
      <c r="AK723" t="inlineStr">
        <is>
          <t>Salomon Stance 84 Skis + M12 GW Bindings 2022 - 169</t>
        </is>
      </c>
      <c r="AL723" t="inlineStr">
        <is>
          <t>evo.com</t>
        </is>
      </c>
      <c r="AM723" s="333" t="n">
        <v>599.99</v>
      </c>
      <c r="AN723" t="inlineStr">
        <is>
          <t>https://tinyurl.com/y7ocfmhd</t>
        </is>
      </c>
      <c r="AO723" t="inlineStr">
        <is>
          <t>Salomon STANCE 80 Skis with M11 GW Bindings 2022</t>
        </is>
      </c>
      <c r="AP723" t="inlineStr">
        <is>
          <t>Level Nine Sports</t>
        </is>
      </c>
      <c r="AQ723" s="333" t="n">
        <v>399.99</v>
      </c>
      <c r="AR723" t="inlineStr">
        <is>
          <t>https://tinyurl.com/y78wgr4g</t>
        </is>
      </c>
      <c r="AS723" s="314">
        <f>IF(LEFT(C723,1)=" ",RIGHT(C723,LEN(C723)-1),C723)</f>
        <v/>
      </c>
      <c r="AT723" s="281">
        <f>_xlfn.CONCAT(B723,AS723,D723,E723)</f>
        <v/>
      </c>
    </row>
    <row r="724">
      <c r="A724" t="inlineStr">
        <is>
          <t>21/22</t>
        </is>
      </c>
      <c r="B724" t="inlineStr">
        <is>
          <t xml:space="preserve"> Nordica</t>
        </is>
      </c>
      <c r="C724" t="inlineStr">
        <is>
          <t>Belle 73</t>
        </is>
      </c>
      <c r="D724" t="n">
        <v>162</v>
      </c>
      <c r="E724" t="inlineStr">
        <is>
          <t xml:space="preserve"> Women's</t>
        </is>
      </c>
      <c r="F724" t="n">
        <v>162</v>
      </c>
      <c r="G724" t="n">
        <v>161.3</v>
      </c>
      <c r="H724" t="n">
        <v>138</v>
      </c>
      <c r="I724" t="n">
        <v>147</v>
      </c>
      <c r="J724" t="n">
        <v>123</v>
      </c>
      <c r="K724" t="n">
        <v>72</v>
      </c>
      <c r="L724" t="n">
        <v>100</v>
      </c>
      <c r="M724" t="n">
        <v>13.4</v>
      </c>
      <c r="N724" t="n">
        <v>1750</v>
      </c>
      <c r="O724" t="n">
        <v>0.8</v>
      </c>
      <c r="P724" t="n">
        <v>1404</v>
      </c>
      <c r="Q724" t="n">
        <v>191</v>
      </c>
      <c r="R724" t="n">
        <v>77</v>
      </c>
      <c r="S724" t="n">
        <v>37</v>
      </c>
      <c r="T724" t="n">
        <v>144</v>
      </c>
      <c r="U724" t="n">
        <v>9</v>
      </c>
      <c r="V724" t="n">
        <v>88</v>
      </c>
      <c r="W724" t="n">
        <v>0.251</v>
      </c>
      <c r="X724" t="n">
        <v>66</v>
      </c>
      <c r="Y724" t="n">
        <v>79</v>
      </c>
      <c r="Z724" t="n">
        <v>78</v>
      </c>
      <c r="AA724" t="n">
        <v>7</v>
      </c>
      <c r="AB724" t="n">
        <v>9</v>
      </c>
      <c r="AC724" t="inlineStr">
        <is>
          <t xml:space="preserve"> On-Piste Carving</t>
        </is>
      </c>
      <c r="AG724" t="inlineStr">
        <is>
          <t>Nordica Women's Wild Belle 74 w/ TP2 10 Skis 162</t>
        </is>
      </c>
      <c r="AH724" t="inlineStr">
        <is>
          <t>Buckman's Ski and Snowboard Shop</t>
        </is>
      </c>
      <c r="AI724" s="333" t="n">
        <v>399.95</v>
      </c>
      <c r="AJ724" t="inlineStr">
        <is>
          <t>https://tinyurl.com/y9mwmruw</t>
        </is>
      </c>
      <c r="AK724" t="inlineStr">
        <is>
          <t>Nordica Women's Wild Belle 74 w/ TP2 10 Skis 162</t>
        </is>
      </c>
      <c r="AL724" t="inlineStr">
        <is>
          <t>WinterWomen.com</t>
        </is>
      </c>
      <c r="AM724" s="333" t="n">
        <v>399.95</v>
      </c>
      <c r="AN724" t="inlineStr">
        <is>
          <t>https://tinyurl.com/y9aze5ou</t>
        </is>
      </c>
      <c r="AO724" t="inlineStr">
        <is>
          <t>Nordica 2022 Wild Belle 78CA Women's Skis with TP2 Compact 10 FDT Bindings (162)</t>
        </is>
      </c>
      <c r="AP724" t="inlineStr">
        <is>
          <t>BobsSportsChalet.com</t>
        </is>
      </c>
      <c r="AQ724" s="333" t="n">
        <v>499.99</v>
      </c>
      <c r="AR724" t="inlineStr">
        <is>
          <t>https://tinyurl.com/y7m3p46b</t>
        </is>
      </c>
      <c r="AS724" s="314">
        <f>IF(LEFT(C724,1)=" ",RIGHT(C724,LEN(C724)-1),C724)</f>
        <v/>
      </c>
      <c r="AT724" s="281">
        <f>_xlfn.CONCAT(B724,AS724,D724,E724)</f>
        <v/>
      </c>
    </row>
    <row r="725">
      <c r="A725" t="inlineStr">
        <is>
          <t>21/22</t>
        </is>
      </c>
      <c r="B725" t="inlineStr">
        <is>
          <t xml:space="preserve"> Scott</t>
        </is>
      </c>
      <c r="C725" t="inlineStr">
        <is>
          <t>Scrapper 105</t>
        </is>
      </c>
      <c r="D725" t="n">
        <v>183</v>
      </c>
      <c r="E725" t="inlineStr">
        <is>
          <t xml:space="preserve"> Unisex</t>
        </is>
      </c>
      <c r="F725" t="n">
        <v>183</v>
      </c>
      <c r="G725" t="n">
        <v>181.3</v>
      </c>
      <c r="H725" t="n">
        <v>132</v>
      </c>
      <c r="I725" t="n">
        <v>163</v>
      </c>
      <c r="J725" t="n">
        <v>137</v>
      </c>
      <c r="K725" t="n">
        <v>102</v>
      </c>
      <c r="L725" t="n">
        <v>126</v>
      </c>
      <c r="M725" t="n">
        <v>24</v>
      </c>
      <c r="N725" t="n">
        <v>1718</v>
      </c>
      <c r="O725" t="n">
        <v>1.16</v>
      </c>
      <c r="P725" t="n">
        <v>1999</v>
      </c>
      <c r="Q725" t="n">
        <v>295</v>
      </c>
      <c r="R725" t="n">
        <v>126</v>
      </c>
      <c r="S725" t="n">
        <v>60</v>
      </c>
      <c r="T725" t="n">
        <v>301</v>
      </c>
      <c r="U725" t="n">
        <v>40</v>
      </c>
      <c r="V725" t="n">
        <v>192</v>
      </c>
      <c r="W725" t="n">
        <v>0.662</v>
      </c>
      <c r="X725" t="n">
        <v>110</v>
      </c>
      <c r="Y725" t="n">
        <v>76</v>
      </c>
      <c r="Z725" t="n">
        <v>191</v>
      </c>
      <c r="AA725" t="n">
        <v>4</v>
      </c>
      <c r="AB725" t="n">
        <v>11.9</v>
      </c>
      <c r="AC725" t="inlineStr">
        <is>
          <t xml:space="preserve"> Resort Freeride</t>
        </is>
      </c>
      <c r="AD725" t="inlineStr">
        <is>
          <t xml:space="preserve"> Powder</t>
        </is>
      </c>
      <c r="AE725" t="inlineStr">
        <is>
          <t xml:space="preserve"> Touring</t>
        </is>
      </c>
      <c r="AG725" t="inlineStr">
        <is>
          <t>Scott Scrapper 105 183</t>
        </is>
      </c>
      <c r="AH725" t="inlineStr">
        <is>
          <t>Bobleisure</t>
        </is>
      </c>
      <c r="AI725" s="333" t="n">
        <v>385.15</v>
      </c>
      <c r="AJ725" t="inlineStr">
        <is>
          <t>https://tinyurl.com/ydeplx5w</t>
        </is>
      </c>
      <c r="AK725" t="inlineStr">
        <is>
          <t>Scott Scrapper 105 183</t>
        </is>
      </c>
      <c r="AL725" t="inlineStr">
        <is>
          <t>Snowcountry.eu</t>
        </is>
      </c>
      <c r="AM725" s="333" t="n">
        <v>386.34</v>
      </c>
      <c r="AN725" t="inlineStr">
        <is>
          <t>https://tinyurl.com/yamtfl76</t>
        </is>
      </c>
      <c r="AO725" t="inlineStr">
        <is>
          <t>Scott Scrapper 105 183cm</t>
        </is>
      </c>
      <c r="AP725" t="inlineStr">
        <is>
          <t>Sundance Ski and Board Shop</t>
        </is>
      </c>
      <c r="AQ725" s="333" t="n">
        <v>521.11</v>
      </c>
      <c r="AR725" t="inlineStr">
        <is>
          <t>https://tinyurl.com/ydz6qqps</t>
        </is>
      </c>
      <c r="AS725" s="314">
        <f>IF(LEFT(C725,1)=" ",RIGHT(C725,LEN(C725)-1),C725)</f>
        <v/>
      </c>
      <c r="AT725" s="281">
        <f>_xlfn.CONCAT(B725,AS725,D725,E725)</f>
        <v/>
      </c>
    </row>
    <row r="726">
      <c r="A726" t="inlineStr">
        <is>
          <t>21/22</t>
        </is>
      </c>
      <c r="B726" t="inlineStr">
        <is>
          <t xml:space="preserve"> Line</t>
        </is>
      </c>
      <c r="C726" t="inlineStr">
        <is>
          <t>Vision 118</t>
        </is>
      </c>
      <c r="D726" t="n">
        <v>189</v>
      </c>
      <c r="E726" t="inlineStr">
        <is>
          <t xml:space="preserve"> Unisex</t>
        </is>
      </c>
      <c r="F726" t="n">
        <v>189</v>
      </c>
      <c r="G726" t="n">
        <v>188.4</v>
      </c>
      <c r="H726" t="n">
        <v>114</v>
      </c>
      <c r="I726" t="n">
        <v>153</v>
      </c>
      <c r="J726" t="n">
        <v>151</v>
      </c>
      <c r="K726" t="n">
        <v>117</v>
      </c>
      <c r="L726" t="n">
        <v>137</v>
      </c>
      <c r="M726" t="n">
        <v>20.5</v>
      </c>
      <c r="N726" t="n">
        <v>1974</v>
      </c>
      <c r="O726" t="n">
        <v>1.21</v>
      </c>
      <c r="P726" t="n">
        <v>2392</v>
      </c>
      <c r="Q726" t="n">
        <v>247</v>
      </c>
      <c r="R726" t="n">
        <v>112</v>
      </c>
      <c r="S726" t="n">
        <v>52</v>
      </c>
      <c r="T726" t="n">
        <v>384</v>
      </c>
      <c r="U726" t="n">
        <v>33</v>
      </c>
      <c r="V726" t="n">
        <v>362</v>
      </c>
      <c r="W726" t="n">
        <v>0.639</v>
      </c>
      <c r="X726" t="n">
        <v>172</v>
      </c>
      <c r="Y726" t="n">
        <v>181</v>
      </c>
      <c r="Z726" t="n">
        <v>212</v>
      </c>
      <c r="AA726" t="n">
        <v>3</v>
      </c>
      <c r="AB726" t="n">
        <v>7.4</v>
      </c>
      <c r="AC726" t="inlineStr">
        <is>
          <t xml:space="preserve"> Powder</t>
        </is>
      </c>
      <c r="AD726" t="inlineStr">
        <is>
          <t xml:space="preserve"> Touring</t>
        </is>
      </c>
      <c r="AG726" t="inlineStr">
        <is>
          <t>'22 Line Vision 118 Skis 189cm</t>
        </is>
      </c>
      <c r="AH726" t="inlineStr">
        <is>
          <t>Al's Ski Equipment Barn</t>
        </is>
      </c>
      <c r="AI726" s="333" t="n">
        <v>699.95</v>
      </c>
      <c r="AJ726" t="inlineStr">
        <is>
          <t>https://tinyurl.com/ya23bczm</t>
        </is>
      </c>
      <c r="AK726" t="inlineStr">
        <is>
          <t>2022 Line Vision 118 Skis w/ Marker Griffon 13 ID Bindings - 189| Ski Essentials</t>
        </is>
      </c>
      <c r="AL726" t="inlineStr">
        <is>
          <t>SkiEssentials.com</t>
        </is>
      </c>
      <c r="AM726" s="333" t="n">
        <v>969.95</v>
      </c>
      <c r="AN726" t="inlineStr">
        <is>
          <t>https://tinyurl.com/yd2zepy5</t>
        </is>
      </c>
      <c r="AO726" t="inlineStr">
        <is>
          <t>Line VISION 108 Skis 2022</t>
        </is>
      </c>
      <c r="AP726" t="inlineStr">
        <is>
          <t>PRFO Sports</t>
        </is>
      </c>
      <c r="AQ726" s="333" t="n">
        <v>513.09</v>
      </c>
      <c r="AR726" t="inlineStr">
        <is>
          <t>https://tinyurl.com/yd84brxf</t>
        </is>
      </c>
      <c r="AS726" s="314">
        <f>IF(LEFT(C726,1)=" ",RIGHT(C726,LEN(C726)-1),C726)</f>
        <v/>
      </c>
      <c r="AT726" s="281">
        <f>_xlfn.CONCAT(B726,AS726,D726,E726)</f>
        <v/>
      </c>
    </row>
    <row r="727">
      <c r="A727" t="inlineStr">
        <is>
          <t>21/22</t>
        </is>
      </c>
      <c r="B727" t="inlineStr">
        <is>
          <t xml:space="preserve"> Fischer</t>
        </is>
      </c>
      <c r="C727" t="inlineStr">
        <is>
          <t>Ranger 99 Ti</t>
        </is>
      </c>
      <c r="D727" t="n">
        <v>181</v>
      </c>
      <c r="E727" t="inlineStr">
        <is>
          <t xml:space="preserve"> Unisex</t>
        </is>
      </c>
      <c r="F727" t="n">
        <v>181</v>
      </c>
      <c r="G727" t="n">
        <v>180.2</v>
      </c>
      <c r="H727" t="n">
        <v>123</v>
      </c>
      <c r="I727" t="n">
        <v>152</v>
      </c>
      <c r="J727" t="n">
        <v>129</v>
      </c>
      <c r="K727" t="n">
        <v>96</v>
      </c>
      <c r="L727" t="n">
        <v>121</v>
      </c>
      <c r="M727" t="n">
        <v>16.9</v>
      </c>
      <c r="N727" t="n">
        <v>1891</v>
      </c>
      <c r="O727" t="n">
        <v>1.04</v>
      </c>
      <c r="P727" t="n">
        <v>1962</v>
      </c>
      <c r="Q727" t="n">
        <v>253</v>
      </c>
      <c r="R727" t="n">
        <v>145</v>
      </c>
      <c r="S727" t="n">
        <v>52</v>
      </c>
      <c r="T727" t="n">
        <v>343</v>
      </c>
      <c r="U727" t="n">
        <v>18</v>
      </c>
      <c r="V727" t="n">
        <v>229</v>
      </c>
      <c r="W727" t="n">
        <v>0.347</v>
      </c>
      <c r="X727" t="n">
        <v>140</v>
      </c>
      <c r="Y727" t="n">
        <v>138</v>
      </c>
      <c r="Z727" t="n">
        <v>203</v>
      </c>
      <c r="AA727" t="n">
        <v>5</v>
      </c>
      <c r="AB727" t="n">
        <v>9.699999999999999</v>
      </c>
      <c r="AC727" t="inlineStr">
        <is>
          <t xml:space="preserve"> Resort Freeride</t>
        </is>
      </c>
      <c r="AG727" t="inlineStr">
        <is>
          <t>Fischer Ranger 99 Ti Dark Green 181 Ski Men</t>
        </is>
      </c>
      <c r="AH727" t="inlineStr">
        <is>
          <t>! OutdoorXL.com</t>
        </is>
      </c>
      <c r="AI727" s="333" t="n">
        <v>469.95</v>
      </c>
      <c r="AJ727" t="inlineStr">
        <is>
          <t>https://tinyurl.com/y8zev7fh</t>
        </is>
      </c>
      <c r="AK727" t="inlineStr">
        <is>
          <t>Fischer Ranger 99 Ti Skis 2022</t>
        </is>
      </c>
      <c r="AL727" t="inlineStr">
        <is>
          <t>Level Nine Sports</t>
        </is>
      </c>
      <c r="AM727" s="333" t="n">
        <v>499.99</v>
      </c>
      <c r="AN727" t="inlineStr">
        <is>
          <t>https://tinyurl.com/ycbkslf3</t>
        </is>
      </c>
      <c r="AO727" t="inlineStr">
        <is>
          <t>Fischer Ranger 99 TI Flat Ski 2021-2022 | BLACK/YELLOW / 181</t>
        </is>
      </c>
      <c r="AP727" t="inlineStr">
        <is>
          <t>Ski Pro  - Snow Ski &amp; Snowboard</t>
        </is>
      </c>
      <c r="AQ727" s="333" t="n">
        <v>559.95</v>
      </c>
      <c r="AR727" t="inlineStr">
        <is>
          <t>https://tinyurl.com/y8dvd9me</t>
        </is>
      </c>
      <c r="AS727" s="314">
        <f>IF(LEFT(C727,1)=" ",RIGHT(C727,LEN(C727)-1),C727)</f>
        <v/>
      </c>
      <c r="AT727" s="281">
        <f>_xlfn.CONCAT(B727,AS727,D727,E727)</f>
        <v/>
      </c>
    </row>
    <row r="728">
      <c r="A728" t="inlineStr">
        <is>
          <t>21/22</t>
        </is>
      </c>
      <c r="B728" t="inlineStr">
        <is>
          <t xml:space="preserve"> Armada</t>
        </is>
      </c>
      <c r="C728" t="inlineStr">
        <is>
          <t xml:space="preserve"> Edollo</t>
        </is>
      </c>
      <c r="D728" t="n">
        <v>164</v>
      </c>
      <c r="E728" t="inlineStr">
        <is>
          <t xml:space="preserve"> Unisex</t>
        </is>
      </c>
      <c r="F728" t="n">
        <v>164</v>
      </c>
      <c r="G728" t="n">
        <v>162.1</v>
      </c>
      <c r="H728" t="n">
        <v>120</v>
      </c>
      <c r="I728" t="n">
        <v>143</v>
      </c>
      <c r="J728" t="n">
        <v>128</v>
      </c>
      <c r="K728" t="n">
        <v>97</v>
      </c>
      <c r="L728" t="n">
        <v>119</v>
      </c>
      <c r="M728" t="n">
        <v>18.6</v>
      </c>
      <c r="N728" t="n">
        <v>1828</v>
      </c>
      <c r="O728" t="n">
        <v>0.9399999999999999</v>
      </c>
      <c r="P728" t="n">
        <v>1720</v>
      </c>
      <c r="Q728" t="n">
        <v>164</v>
      </c>
      <c r="R728" t="n">
        <v>68</v>
      </c>
      <c r="S728" t="n">
        <v>48</v>
      </c>
      <c r="T728" t="n">
        <v>253</v>
      </c>
      <c r="U728" t="n">
        <v>45</v>
      </c>
      <c r="V728" t="n">
        <v>165</v>
      </c>
      <c r="W728" t="n">
        <v>0.947</v>
      </c>
      <c r="X728" t="n">
        <v>93</v>
      </c>
      <c r="Y728" t="n">
        <v>102</v>
      </c>
      <c r="Z728" t="n">
        <v>160</v>
      </c>
      <c r="AA728" t="n">
        <v>8</v>
      </c>
      <c r="AB728" t="n">
        <v>2.3</v>
      </c>
      <c r="AC728" t="inlineStr">
        <is>
          <t xml:space="preserve"> Freeski</t>
        </is>
      </c>
      <c r="AG728" t="inlineStr">
        <is>
          <t>Black Crows Camox Birdie</t>
        </is>
      </c>
      <c r="AH728" t="inlineStr">
        <is>
          <t>Varuste.net</t>
        </is>
      </c>
      <c r="AI728" s="333" t="n">
        <v>413.3</v>
      </c>
      <c r="AJ728" t="inlineStr">
        <is>
          <t>https://tinyurl.com/yb4z43dp</t>
        </is>
      </c>
      <c r="AK728" t="inlineStr">
        <is>
          <t>Black Crows Camox Birdie</t>
        </is>
      </c>
      <c r="AL728" t="inlineStr">
        <is>
          <t>! OutdoorXL.com</t>
        </is>
      </c>
      <c r="AM728" s="333" t="n">
        <v>514.95</v>
      </c>
      <c r="AN728" t="inlineStr">
        <is>
          <t>https://tinyurl.com/ycjzjcs2</t>
        </is>
      </c>
      <c r="AO728" t="inlineStr">
        <is>
          <t>Black Crows Camox Birdie Women's Skis 162cm 2022</t>
        </is>
      </c>
      <c r="AP728" t="inlineStr">
        <is>
          <t>Powder7 Ski Shop</t>
        </is>
      </c>
      <c r="AQ728" s="333" t="n">
        <v>575.9299999999999</v>
      </c>
      <c r="AR728" t="inlineStr">
        <is>
          <t>https://tinyurl.com/y78qazw9</t>
        </is>
      </c>
      <c r="AS728" s="314">
        <f>IF(LEFT(C728,1)=" ",RIGHT(C728,LEN(C728)-1),C728)</f>
        <v/>
      </c>
      <c r="AT728" s="281">
        <f>_xlfn.CONCAT(B728,AS728,D728,E728)</f>
        <v/>
      </c>
    </row>
    <row r="729">
      <c r="A729" t="inlineStr">
        <is>
          <t>21/22</t>
        </is>
      </c>
      <c r="B729" t="inlineStr">
        <is>
          <t xml:space="preserve"> Blizzard</t>
        </is>
      </c>
      <c r="C729" t="inlineStr">
        <is>
          <t>Zero G 105</t>
        </is>
      </c>
      <c r="D729" t="n">
        <v>164</v>
      </c>
      <c r="E729" t="inlineStr">
        <is>
          <t xml:space="preserve"> Unisex</t>
        </is>
      </c>
      <c r="F729" t="n">
        <v>164</v>
      </c>
      <c r="G729" t="n">
        <v>162</v>
      </c>
      <c r="H729" t="n">
        <v>114</v>
      </c>
      <c r="I729" t="n">
        <v>132</v>
      </c>
      <c r="J729" t="n">
        <v>130</v>
      </c>
      <c r="K729" t="n">
        <v>102</v>
      </c>
      <c r="L729" t="n">
        <v>116</v>
      </c>
      <c r="M729" t="n">
        <v>18.6</v>
      </c>
      <c r="N729" t="n">
        <v>1343</v>
      </c>
      <c r="O729" t="n">
        <v>1.33</v>
      </c>
      <c r="P729" t="n">
        <v>1786</v>
      </c>
      <c r="Q729" t="n">
        <v>166</v>
      </c>
      <c r="R729" t="n">
        <v>59</v>
      </c>
      <c r="S729" t="n">
        <v>58</v>
      </c>
      <c r="T729" t="n">
        <v>311</v>
      </c>
      <c r="U729" t="n">
        <v>17</v>
      </c>
      <c r="V729" t="n">
        <v>170</v>
      </c>
      <c r="W729" t="n">
        <v>0.288</v>
      </c>
      <c r="X729" t="n">
        <v>157</v>
      </c>
      <c r="Y729" t="n">
        <v>147</v>
      </c>
      <c r="Z729" t="n">
        <v>155</v>
      </c>
      <c r="AA729" t="n">
        <v>5</v>
      </c>
      <c r="AB729" t="n">
        <v>8.9</v>
      </c>
      <c r="AC729" t="inlineStr">
        <is>
          <t xml:space="preserve"> Big Mountain</t>
        </is>
      </c>
      <c r="AD729" t="inlineStr">
        <is>
          <t xml:space="preserve"> Touring</t>
        </is>
      </c>
      <c r="AE729" t="inlineStr">
        <is>
          <t xml:space="preserve"> Ultralight Touring</t>
        </is>
      </c>
      <c r="AG729" t="inlineStr">
        <is>
          <t>Blizzard Zero G 105 Ski 2021</t>
        </is>
      </c>
      <c r="AH729" t="inlineStr">
        <is>
          <t>Telemark Pyrenees</t>
        </is>
      </c>
      <c r="AI729" s="333" t="n">
        <v>365.82</v>
      </c>
      <c r="AJ729" t="inlineStr">
        <is>
          <t>https://tinyurl.com/yapefzq2</t>
        </is>
      </c>
      <c r="AK729" t="inlineStr">
        <is>
          <t>Blizzard Zero G 105 Backcountry Touring Ski 2022 164 / Deep Navy</t>
        </is>
      </c>
      <c r="AL729" t="inlineStr">
        <is>
          <t>Ski The Whites</t>
        </is>
      </c>
      <c r="AM729" s="333" t="n">
        <v>639.99</v>
      </c>
      <c r="AN729" t="inlineStr">
        <is>
          <t>https://tinyurl.com/ybvswrnm</t>
        </is>
      </c>
      <c r="AO729" t="inlineStr">
        <is>
          <t>Blizzard Zero G Approach 84 21/22</t>
        </is>
      </c>
      <c r="AP729" t="inlineStr">
        <is>
          <t>Snowcountry.eu</t>
        </is>
      </c>
      <c r="AQ729" s="333" t="n">
        <v>322.69</v>
      </c>
      <c r="AR729" t="inlineStr">
        <is>
          <t>https://tinyurl.com/y8zzfuwl</t>
        </is>
      </c>
      <c r="AS729" s="314">
        <f>IF(LEFT(C729,1)=" ",RIGHT(C729,LEN(C729)-1),C729)</f>
        <v/>
      </c>
      <c r="AT729" s="281">
        <f>_xlfn.CONCAT(B729,AS729,D729,E729)</f>
        <v/>
      </c>
    </row>
    <row r="730">
      <c r="A730" t="inlineStr">
        <is>
          <t>21/22</t>
        </is>
      </c>
      <c r="B730" t="inlineStr">
        <is>
          <t xml:space="preserve"> Head</t>
        </is>
      </c>
      <c r="C730" t="inlineStr">
        <is>
          <t xml:space="preserve"> Power Joy</t>
        </is>
      </c>
      <c r="D730" t="n">
        <v>158</v>
      </c>
      <c r="E730" t="inlineStr">
        <is>
          <t xml:space="preserve"> Women's</t>
        </is>
      </c>
      <c r="F730" t="n">
        <v>158</v>
      </c>
      <c r="G730" t="n">
        <v>157.5</v>
      </c>
      <c r="H730" t="n">
        <v>136</v>
      </c>
      <c r="I730" t="n">
        <v>142</v>
      </c>
      <c r="J730" t="n">
        <v>121</v>
      </c>
      <c r="K730" t="n">
        <v>67</v>
      </c>
      <c r="L730" t="n">
        <v>101</v>
      </c>
      <c r="M730" t="n">
        <v>11.8</v>
      </c>
      <c r="N730" t="n">
        <v>1757</v>
      </c>
      <c r="O730" t="n">
        <v>0.75</v>
      </c>
      <c r="P730" t="n">
        <v>1310</v>
      </c>
      <c r="Q730" t="n">
        <v>138</v>
      </c>
      <c r="R730" t="n">
        <v>76</v>
      </c>
      <c r="S730" t="n">
        <v>39</v>
      </c>
      <c r="T730" t="n">
        <v>137</v>
      </c>
      <c r="U730" t="n">
        <v>12</v>
      </c>
      <c r="V730" t="n">
        <v>78</v>
      </c>
      <c r="W730" t="n">
        <v>0.311</v>
      </c>
      <c r="X730" t="n">
        <v>93</v>
      </c>
      <c r="Y730" t="n">
        <v>60</v>
      </c>
      <c r="Z730" t="n">
        <v>45</v>
      </c>
      <c r="AA730" t="n">
        <v>9</v>
      </c>
      <c r="AB730" t="n">
        <v>9.199999999999999</v>
      </c>
      <c r="AC730" t="inlineStr">
        <is>
          <t xml:space="preserve"> On-Piste Carving</t>
        </is>
      </c>
      <c r="AG730" t="inlineStr">
        <is>
          <t>2022 Head Power Joy Women's Demo Skis w/ Joy 12 GW PRD Bindings - 158| Ski Essentials</t>
        </is>
      </c>
      <c r="AH730" t="inlineStr">
        <is>
          <t>SkiEssentials.com</t>
        </is>
      </c>
      <c r="AI730" s="333" t="n">
        <v>599</v>
      </c>
      <c r="AJ730" t="inlineStr">
        <is>
          <t>https://tinyurl.com/y7swwu94</t>
        </is>
      </c>
      <c r="AK730" t="inlineStr">
        <is>
          <t>Head Easy Joy Skis w/Joy 9 GW Bindings Womens</t>
        </is>
      </c>
      <c r="AL730" t="inlineStr">
        <is>
          <t>! OutdoorXL.com</t>
        </is>
      </c>
      <c r="AM730" s="333" t="n">
        <v>189.95</v>
      </c>
      <c r="AN730" t="inlineStr">
        <is>
          <t>https://tinyurl.com/yc2ffnjo</t>
        </is>
      </c>
      <c r="AO730" t="inlineStr">
        <is>
          <t>2018 Head Total Joy 158cm W/ Head Joy 11 Binding</t>
        </is>
      </c>
      <c r="AP730" t="inlineStr">
        <is>
          <t>eBay - riverpirate999</t>
        </is>
      </c>
      <c r="AQ730" s="333" t="n">
        <v>249</v>
      </c>
      <c r="AR730" t="inlineStr">
        <is>
          <t>https://tinyurl.com/y9ckgtg8</t>
        </is>
      </c>
      <c r="AS730" s="314">
        <f>IF(LEFT(C730,1)=" ",RIGHT(C730,LEN(C730)-1),C730)</f>
        <v/>
      </c>
      <c r="AT730" s="281">
        <f>_xlfn.CONCAT(B730,AS730,D730,E730)</f>
        <v/>
      </c>
    </row>
    <row r="731">
      <c r="A731" t="inlineStr">
        <is>
          <t>21/22</t>
        </is>
      </c>
      <c r="B731" t="inlineStr">
        <is>
          <t xml:space="preserve"> Faction</t>
        </is>
      </c>
      <c r="C731" t="inlineStr">
        <is>
          <t>Dictator FG 1.0</t>
        </is>
      </c>
      <c r="D731" t="n">
        <v>162</v>
      </c>
      <c r="E731" t="inlineStr">
        <is>
          <t xml:space="preserve"> Unisex</t>
        </is>
      </c>
      <c r="F731" t="n">
        <v>162</v>
      </c>
      <c r="G731" t="n">
        <v>160.4</v>
      </c>
      <c r="H731" t="n">
        <v>125</v>
      </c>
      <c r="I731" t="n">
        <v>136</v>
      </c>
      <c r="J731" t="n">
        <v>119</v>
      </c>
      <c r="K731" t="n">
        <v>85</v>
      </c>
      <c r="L731" t="n">
        <v>109</v>
      </c>
      <c r="M731" t="n">
        <v>14.9</v>
      </c>
      <c r="N731" t="n">
        <v>1438</v>
      </c>
      <c r="O731" t="n">
        <v>1.08</v>
      </c>
      <c r="P731" t="n">
        <v>1548</v>
      </c>
      <c r="Q731" t="n">
        <v>156</v>
      </c>
      <c r="R731" t="n">
        <v>73</v>
      </c>
      <c r="S731" t="n">
        <v>52</v>
      </c>
      <c r="T731" t="n">
        <v>219</v>
      </c>
      <c r="U731" t="n">
        <v>18</v>
      </c>
      <c r="V731" t="n">
        <v>137</v>
      </c>
      <c r="W731" t="n">
        <v>0.337</v>
      </c>
      <c r="X731" t="n">
        <v>152</v>
      </c>
      <c r="Y731" t="n">
        <v>96</v>
      </c>
      <c r="Z731" t="n">
        <v>67</v>
      </c>
      <c r="AA731" t="n">
        <v>9</v>
      </c>
      <c r="AB731" t="n">
        <v>9.5</v>
      </c>
      <c r="AC731" t="inlineStr">
        <is>
          <t xml:space="preserve"> On-Piste All-Mountain</t>
        </is>
      </c>
      <c r="AD731" t="inlineStr">
        <is>
          <t xml:space="preserve"> Resort Freeride</t>
        </is>
      </c>
      <c r="AE731" t="inlineStr">
        <is>
          <t xml:space="preserve"> Touring</t>
        </is>
      </c>
      <c r="AG731" t="inlineStr">
        <is>
          <t>Faction Dictator 1.0 FG Skis- 2022</t>
        </is>
      </c>
      <c r="AH731" t="inlineStr">
        <is>
          <t>Gear West Ski &amp; Bike</t>
        </is>
      </c>
      <c r="AI731" s="333" t="n">
        <v>619</v>
      </c>
      <c r="AJ731" t="inlineStr">
        <is>
          <t>https://tinyurl.com/yc979k9c</t>
        </is>
      </c>
      <c r="AK731" t="inlineStr">
        <is>
          <t>Faction Agent 1.0 Ski 2022</t>
        </is>
      </c>
      <c r="AL731" t="inlineStr">
        <is>
          <t>Telemark Pyrenees</t>
        </is>
      </c>
      <c r="AM731" s="333" t="n">
        <v>439.98</v>
      </c>
      <c r="AN731" t="inlineStr">
        <is>
          <t>https://tinyurl.com/yatpne9w</t>
        </is>
      </c>
      <c r="AO731" t="inlineStr">
        <is>
          <t>Faction Agent 1.0 Skis</t>
        </is>
      </c>
      <c r="AP731" t="inlineStr">
        <is>
          <t>Backcountry Freeskier</t>
        </is>
      </c>
      <c r="AQ731" s="333" t="n">
        <v>499</v>
      </c>
      <c r="AR731" t="inlineStr">
        <is>
          <t>https://tinyurl.com/y8f62g4r</t>
        </is>
      </c>
      <c r="AS731" s="314">
        <f>IF(LEFT(C731,1)=" ",RIGHT(C731,LEN(C731)-1),C731)</f>
        <v/>
      </c>
      <c r="AT731" s="281">
        <f>_xlfn.CONCAT(B731,AS731,D731,E731)</f>
        <v/>
      </c>
    </row>
    <row r="732">
      <c r="A732" t="inlineStr">
        <is>
          <t>21/22</t>
        </is>
      </c>
      <c r="B732" t="inlineStr">
        <is>
          <t xml:space="preserve"> Scott</t>
        </is>
      </c>
      <c r="C732" t="inlineStr">
        <is>
          <t>Scrapper 95</t>
        </is>
      </c>
      <c r="D732" t="n">
        <v>168</v>
      </c>
      <c r="E732" t="inlineStr">
        <is>
          <t xml:space="preserve"> Unisex</t>
        </is>
      </c>
      <c r="F732" t="n">
        <v>168</v>
      </c>
      <c r="G732" t="n">
        <v>166.4</v>
      </c>
      <c r="H732" t="n">
        <v>125</v>
      </c>
      <c r="I732" t="n">
        <v>149</v>
      </c>
      <c r="J732" t="n">
        <v>129</v>
      </c>
      <c r="K732" t="n">
        <v>93</v>
      </c>
      <c r="L732" t="n">
        <v>117</v>
      </c>
      <c r="M732" t="n">
        <v>19.7</v>
      </c>
      <c r="N732" t="n">
        <v>1380</v>
      </c>
      <c r="O732" t="n">
        <v>1.23</v>
      </c>
      <c r="P732" t="n">
        <v>1698</v>
      </c>
      <c r="Q732" t="n">
        <v>166</v>
      </c>
      <c r="R732" t="n">
        <v>74</v>
      </c>
      <c r="S732" t="n">
        <v>57</v>
      </c>
      <c r="T732" t="n">
        <v>267</v>
      </c>
      <c r="U732" t="n">
        <v>31</v>
      </c>
      <c r="V732" t="n">
        <v>150</v>
      </c>
      <c r="W732" t="n">
        <v>0.546</v>
      </c>
      <c r="X732" t="n">
        <v>102</v>
      </c>
      <c r="Y732" t="n">
        <v>73</v>
      </c>
      <c r="Z732" t="n">
        <v>165</v>
      </c>
      <c r="AA732" t="n">
        <v>6</v>
      </c>
      <c r="AB732" t="n">
        <v>9.1</v>
      </c>
      <c r="AC732" t="inlineStr">
        <is>
          <t xml:space="preserve"> Resort Freeride</t>
        </is>
      </c>
      <c r="AD732" t="inlineStr">
        <is>
          <t xml:space="preserve"> Touring</t>
        </is>
      </c>
      <c r="AG732" t="inlineStr">
        <is>
          <t>Scott Scrapper 95 Skis - Women's 2021 - Sample</t>
        </is>
      </c>
      <c r="AH732" t="inlineStr">
        <is>
          <t>Next Adventure</t>
        </is>
      </c>
      <c r="AI732" s="333" t="n">
        <v>419.97</v>
      </c>
      <c r="AJ732" t="inlineStr">
        <is>
          <t>https://tinyurl.com/ybb4kur7</t>
        </is>
      </c>
      <c r="AK732" t="inlineStr">
        <is>
          <t>Scott Scrapper 95 Skis 2022 - 168</t>
        </is>
      </c>
      <c r="AL732" t="inlineStr">
        <is>
          <t>evo.com</t>
        </is>
      </c>
      <c r="AM732" s="333" t="n">
        <v>560</v>
      </c>
      <c r="AN732" t="inlineStr">
        <is>
          <t>https://tinyurl.com/y9urpyms</t>
        </is>
      </c>
      <c r="AO732" t="inlineStr">
        <is>
          <t>Scott Women's Scrapper 95 168cm 19/20 20%off</t>
        </is>
      </c>
      <c r="AP732" t="inlineStr">
        <is>
          <t>eBay</t>
        </is>
      </c>
      <c r="AQ732" s="333" t="n">
        <v>560</v>
      </c>
      <c r="AR732" t="inlineStr">
        <is>
          <t>https://tinyurl.com/y7bvljps</t>
        </is>
      </c>
      <c r="AS732" s="314">
        <f>IF(LEFT(C732,1)=" ",RIGHT(C732,LEN(C732)-1),C732)</f>
        <v/>
      </c>
      <c r="AT732" s="281">
        <f>_xlfn.CONCAT(B732,AS732,D732,E732)</f>
        <v/>
      </c>
    </row>
    <row r="733">
      <c r="A733" t="inlineStr">
        <is>
          <t>21/22</t>
        </is>
      </c>
      <c r="B733" t="inlineStr">
        <is>
          <t>K2</t>
        </is>
      </c>
      <c r="C733" t="inlineStr">
        <is>
          <t>Reckoner 102</t>
        </is>
      </c>
      <c r="D733" t="n">
        <v>163</v>
      </c>
      <c r="E733" t="inlineStr">
        <is>
          <t xml:space="preserve"> Unisex</t>
        </is>
      </c>
      <c r="F733" t="n">
        <v>163</v>
      </c>
      <c r="G733" t="n">
        <v>163.6</v>
      </c>
      <c r="H733" t="n">
        <v>95</v>
      </c>
      <c r="I733" t="n">
        <v>134</v>
      </c>
      <c r="J733" t="n">
        <v>133</v>
      </c>
      <c r="K733" t="n">
        <v>101</v>
      </c>
      <c r="L733" t="n">
        <v>125</v>
      </c>
      <c r="M733" t="n">
        <v>14.9</v>
      </c>
      <c r="N733" t="n">
        <v>1597</v>
      </c>
      <c r="O733" t="n">
        <v>1.14</v>
      </c>
      <c r="P733" t="n">
        <v>1828</v>
      </c>
      <c r="Q733" t="n">
        <v>143</v>
      </c>
      <c r="R733" t="n">
        <v>72</v>
      </c>
      <c r="S733" t="n">
        <v>53</v>
      </c>
      <c r="T733" t="n">
        <v>343</v>
      </c>
      <c r="U733" t="n">
        <v>50</v>
      </c>
      <c r="V733" t="n">
        <v>348</v>
      </c>
      <c r="W733" t="n">
        <v>0.9409999999999999</v>
      </c>
      <c r="X733" t="n">
        <v>147</v>
      </c>
      <c r="Y733" t="n">
        <v>145</v>
      </c>
      <c r="Z733" t="n">
        <v>196</v>
      </c>
      <c r="AA733" t="n">
        <v>4</v>
      </c>
      <c r="AB733" t="n">
        <v>3.7</v>
      </c>
      <c r="AC733" t="inlineStr">
        <is>
          <t xml:space="preserve"> Freeski</t>
        </is>
      </c>
      <c r="AD733" t="inlineStr">
        <is>
          <t xml:space="preserve"> Powder</t>
        </is>
      </c>
      <c r="AE733" t="inlineStr">
        <is>
          <t xml:space="preserve"> Touring</t>
        </is>
      </c>
      <c r="AG733" t="inlineStr">
        <is>
          <t>K2 Reckoner 102 Skis 2022 - 163</t>
        </is>
      </c>
      <c r="AH733" t="inlineStr">
        <is>
          <t>Hillcrest Ski &amp; Sports</t>
        </is>
      </c>
      <c r="AI733" s="333" t="n">
        <v>479.96</v>
      </c>
      <c r="AJ733" t="inlineStr">
        <is>
          <t>https://tinyurl.com/yddax6qa</t>
        </is>
      </c>
      <c r="AK733" t="inlineStr">
        <is>
          <t>K2 Reckoner 102 Skis 2022 - 163</t>
        </is>
      </c>
      <c r="AL733" t="inlineStr">
        <is>
          <t>Ski Town All-Stars</t>
        </is>
      </c>
      <c r="AM733" s="333" t="n">
        <v>479.99</v>
      </c>
      <c r="AN733" t="inlineStr">
        <is>
          <t>https://tinyurl.com/yavnc8l5</t>
        </is>
      </c>
      <c r="AO733" t="inlineStr">
        <is>
          <t>2022 K2 Reckoner 102 Demo Skis w/ Marker Griffon 13 Demo Bindings - 163| Ski Essentials</t>
        </is>
      </c>
      <c r="AP733" t="inlineStr">
        <is>
          <t>SkiEssentials.com</t>
        </is>
      </c>
      <c r="AQ733" s="333" t="n">
        <v>599</v>
      </c>
      <c r="AR733" t="inlineStr">
        <is>
          <t>https://tinyurl.com/yas996a6</t>
        </is>
      </c>
      <c r="AS733" s="314">
        <f>IF(LEFT(C733,1)=" ",RIGHT(C733,LEN(C733)-1),C733)</f>
        <v/>
      </c>
      <c r="AT733" s="281">
        <f>_xlfn.CONCAT(B733,AS733,D733,E733)</f>
        <v/>
      </c>
    </row>
    <row r="734">
      <c r="A734" t="inlineStr">
        <is>
          <t>21/22</t>
        </is>
      </c>
      <c r="B734" t="inlineStr">
        <is>
          <t xml:space="preserve"> J Skis</t>
        </is>
      </c>
      <c r="C734" t="inlineStr">
        <is>
          <t xml:space="preserve"> The Metal</t>
        </is>
      </c>
      <c r="D734" t="n">
        <v>180</v>
      </c>
      <c r="E734" t="inlineStr">
        <is>
          <t xml:space="preserve"> Unisex</t>
        </is>
      </c>
      <c r="F734" t="n">
        <v>180</v>
      </c>
      <c r="G734" t="n">
        <v>177.4</v>
      </c>
      <c r="H734" t="n">
        <v>108</v>
      </c>
      <c r="I734" t="n">
        <v>141</v>
      </c>
      <c r="J734" t="n">
        <v>136</v>
      </c>
      <c r="K734" t="n">
        <v>105</v>
      </c>
      <c r="L734" t="n">
        <v>125</v>
      </c>
      <c r="M734" t="n">
        <v>17.7</v>
      </c>
      <c r="N734" t="n">
        <v>2242</v>
      </c>
      <c r="O734" t="n">
        <v>0.91</v>
      </c>
      <c r="P734" t="n">
        <v>2040</v>
      </c>
      <c r="Q734" t="n">
        <v>225</v>
      </c>
      <c r="R734" t="n">
        <v>127</v>
      </c>
      <c r="S734" t="n">
        <v>57</v>
      </c>
      <c r="T734" t="n">
        <v>408</v>
      </c>
      <c r="U734" t="n">
        <v>49</v>
      </c>
      <c r="V734" t="n">
        <v>283</v>
      </c>
      <c r="W734" t="n">
        <v>0.854</v>
      </c>
      <c r="X734" t="n">
        <v>164</v>
      </c>
      <c r="Y734" t="n">
        <v>205</v>
      </c>
      <c r="Z734" t="n">
        <v>244</v>
      </c>
      <c r="AA734" t="n">
        <v>3</v>
      </c>
      <c r="AB734" t="n">
        <v>5.7</v>
      </c>
      <c r="AC734" t="inlineStr">
        <is>
          <t xml:space="preserve"> Freeski</t>
        </is>
      </c>
      <c r="AD734" t="inlineStr">
        <is>
          <t xml:space="preserve"> Powder</t>
        </is>
      </c>
      <c r="AG734" t="inlineStr">
        <is>
          <t>J Skis The Metal Ski - 180cm</t>
        </is>
      </c>
      <c r="AH734" t="inlineStr">
        <is>
          <t>eBay</t>
        </is>
      </c>
      <c r="AI734" s="333" t="n">
        <v>399.99</v>
      </c>
      <c r="AJ734" t="inlineStr">
        <is>
          <t>https://tinyurl.com/y8pj7bog</t>
        </is>
      </c>
      <c r="AK734" t="inlineStr">
        <is>
          <t>Armada Magic J Skis 180cm 2022</t>
        </is>
      </c>
      <c r="AL734" t="inlineStr">
        <is>
          <t>Blue Tomato</t>
        </is>
      </c>
      <c r="AM734" s="333" t="n">
        <v>451.71</v>
      </c>
      <c r="AN734" t="inlineStr">
        <is>
          <t>https://tinyurl.com/ycv3ou9y</t>
        </is>
      </c>
      <c r="AO734" t="inlineStr">
        <is>
          <t>Armada Magic J Skis 180cm 2022</t>
        </is>
      </c>
      <c r="AP734" t="inlineStr">
        <is>
          <t>Ski Pro  - Snow Ski &amp; Snowboard</t>
        </is>
      </c>
      <c r="AQ734" s="333" t="n">
        <v>549.95</v>
      </c>
      <c r="AR734" t="inlineStr">
        <is>
          <t>https://tinyurl.com/y8ewvw8h</t>
        </is>
      </c>
      <c r="AS734" s="314">
        <f>IF(LEFT(C734,1)=" ",RIGHT(C734,LEN(C734)-1),C734)</f>
        <v/>
      </c>
      <c r="AT734" s="281">
        <f>_xlfn.CONCAT(B734,AS734,D734,E734)</f>
        <v/>
      </c>
    </row>
    <row r="735">
      <c r="A735" t="inlineStr">
        <is>
          <t>21/22</t>
        </is>
      </c>
      <c r="B735" t="inlineStr">
        <is>
          <t xml:space="preserve"> Nordica</t>
        </is>
      </c>
      <c r="C735" t="inlineStr">
        <is>
          <t xml:space="preserve"> Dobermann SLR Rb</t>
        </is>
      </c>
      <c r="D735" t="n">
        <v>165</v>
      </c>
      <c r="E735" t="inlineStr">
        <is>
          <t xml:space="preserve"> Unisex</t>
        </is>
      </c>
      <c r="F735" t="n">
        <v>165</v>
      </c>
      <c r="G735" t="n">
        <v>165.6</v>
      </c>
      <c r="H735" t="n">
        <v>145</v>
      </c>
      <c r="I735" t="n">
        <v>152</v>
      </c>
      <c r="J735" t="n">
        <v>120</v>
      </c>
      <c r="K735" t="n">
        <v>68</v>
      </c>
      <c r="L735" t="n">
        <v>103</v>
      </c>
      <c r="M735" t="n">
        <v>13</v>
      </c>
      <c r="N735" t="n">
        <v>2021</v>
      </c>
      <c r="O735" t="n">
        <v>0.6899999999999999</v>
      </c>
      <c r="P735" t="n">
        <v>1400</v>
      </c>
      <c r="Q735" t="n">
        <v>207</v>
      </c>
      <c r="R735" t="n">
        <v>101</v>
      </c>
      <c r="S735" t="n">
        <v>43</v>
      </c>
      <c r="T735" t="n">
        <v>144</v>
      </c>
      <c r="U735" t="n">
        <v>14</v>
      </c>
      <c r="V735" t="n">
        <v>67</v>
      </c>
      <c r="W735" t="n">
        <v>0.335</v>
      </c>
      <c r="X735" t="n">
        <v>63</v>
      </c>
      <c r="Y735" t="n">
        <v>70</v>
      </c>
      <c r="Z735" t="n">
        <v>81</v>
      </c>
      <c r="AA735" t="n">
        <v>11</v>
      </c>
      <c r="AB735" t="n">
        <v>11.4</v>
      </c>
      <c r="AC735" t="inlineStr">
        <is>
          <t xml:space="preserve"> On-Piste Carving</t>
        </is>
      </c>
      <c r="AG735" t="inlineStr">
        <is>
          <t>2022 Nordica Dobermann SLR RB FDT Skis X-Cell 14.0 - 165cm - R=13</t>
        </is>
      </c>
      <c r="AH735" t="inlineStr">
        <is>
          <t>Race Place</t>
        </is>
      </c>
      <c r="AI735" s="333" t="n">
        <v>1400</v>
      </c>
      <c r="AJ735" t="inlineStr">
        <is>
          <t>https://tinyurl.com/yaa2u6wk</t>
        </is>
      </c>
      <c r="AK735" t="inlineStr">
        <is>
          <t>Nordica Dobermann World Cup SL Plate Race Skis 2020/21</t>
        </is>
      </c>
      <c r="AL735" t="inlineStr">
        <is>
          <t>Bahnhof Sport</t>
        </is>
      </c>
      <c r="AM735" s="333" t="n">
        <v>1150</v>
      </c>
      <c r="AN735" t="inlineStr">
        <is>
          <t>https://tinyurl.com/yaqn3mdd</t>
        </is>
      </c>
      <c r="AO735" t="inlineStr">
        <is>
          <t>Nordica Dobermann SL WC Department Ski - Size 165 - 0A120800001</t>
        </is>
      </c>
      <c r="AP735" t="inlineStr">
        <is>
          <t>Peak Performance Ski Shop</t>
        </is>
      </c>
      <c r="AQ735" s="333" t="n">
        <v>1260</v>
      </c>
      <c r="AR735" t="inlineStr">
        <is>
          <t>https://tinyurl.com/ycgvtrqy</t>
        </is>
      </c>
      <c r="AS735" s="314">
        <f>IF(LEFT(C735,1)=" ",RIGHT(C735,LEN(C735)-1),C735)</f>
        <v/>
      </c>
      <c r="AT735" s="281">
        <f>_xlfn.CONCAT(B735,AS735,D735,E735)</f>
        <v/>
      </c>
    </row>
    <row r="736">
      <c r="A736" t="inlineStr">
        <is>
          <t>21/22</t>
        </is>
      </c>
      <c r="B736" t="inlineStr">
        <is>
          <t xml:space="preserve"> Nordica</t>
        </is>
      </c>
      <c r="C736" t="inlineStr">
        <is>
          <t>Wild Belle 74</t>
        </is>
      </c>
      <c r="D736" t="n">
        <v>150</v>
      </c>
      <c r="E736" t="inlineStr">
        <is>
          <t xml:space="preserve"> Women's</t>
        </is>
      </c>
      <c r="F736" t="n">
        <v>150</v>
      </c>
      <c r="G736" t="n">
        <v>148.9</v>
      </c>
      <c r="H736" t="n">
        <v>125</v>
      </c>
      <c r="I736" t="n">
        <v>136</v>
      </c>
      <c r="J736" t="n">
        <v>123</v>
      </c>
      <c r="K736" t="n">
        <v>74</v>
      </c>
      <c r="L736" t="n">
        <v>103</v>
      </c>
      <c r="M736" t="n">
        <v>11.9</v>
      </c>
      <c r="N736" t="n">
        <v>1528</v>
      </c>
      <c r="O736" t="n">
        <v>0.87</v>
      </c>
      <c r="P736" t="n">
        <v>1323</v>
      </c>
      <c r="Q736" t="n">
        <v>153</v>
      </c>
      <c r="R736" t="n">
        <v>60</v>
      </c>
      <c r="S736" t="n">
        <v>39</v>
      </c>
      <c r="T736" t="n">
        <v>170</v>
      </c>
      <c r="U736" t="n">
        <v>12</v>
      </c>
      <c r="V736" t="n">
        <v>69</v>
      </c>
      <c r="W736" t="n">
        <v>0.31</v>
      </c>
      <c r="X736" t="n">
        <v>62</v>
      </c>
      <c r="Y736" t="n">
        <v>67</v>
      </c>
      <c r="Z736" t="n">
        <v>108</v>
      </c>
      <c r="AA736" t="n">
        <v>6</v>
      </c>
      <c r="AB736" t="n">
        <v>9.300000000000001</v>
      </c>
      <c r="AC736" t="inlineStr">
        <is>
          <t xml:space="preserve"> On-Piste Carving</t>
        </is>
      </c>
      <c r="AG736" t="inlineStr">
        <is>
          <t>Nordica Wild Belle 74 Ladies Snow Skis with Marker FDT10 Bindings 150</t>
        </is>
      </c>
      <c r="AH736" t="inlineStr">
        <is>
          <t>The Pro Shop</t>
        </is>
      </c>
      <c r="AI736" s="333" t="n">
        <v>399.99</v>
      </c>
      <c r="AJ736" t="inlineStr">
        <is>
          <t>https://tinyurl.com/y8htf78q</t>
        </is>
      </c>
      <c r="AK736" t="inlineStr">
        <is>
          <t>Nordica Wild Belle 78 CA Women's Ski &amp; 10 FDT Binding 2022 - 150</t>
        </is>
      </c>
      <c r="AL736" t="inlineStr">
        <is>
          <t>Gear West Ski &amp; Bike</t>
        </is>
      </c>
      <c r="AM736" s="333" t="n">
        <v>499.99</v>
      </c>
      <c r="AN736" t="inlineStr">
        <is>
          <t>https://tinyurl.com/y88khzta</t>
        </is>
      </c>
      <c r="AO736" t="inlineStr">
        <is>
          <t>Nordica Wild Belle DC 84 w/ TP2 11 Women's</t>
        </is>
      </c>
      <c r="AP736" t="inlineStr">
        <is>
          <t>Buyr.com</t>
        </is>
      </c>
      <c r="AQ736" s="333" t="n">
        <v>599.99</v>
      </c>
      <c r="AR736" t="inlineStr">
        <is>
          <t>https://tinyurl.com/ybaku9cz</t>
        </is>
      </c>
      <c r="AS736" s="314">
        <f>IF(LEFT(C736,1)=" ",RIGHT(C736,LEN(C736)-1),C736)</f>
        <v/>
      </c>
      <c r="AT736" s="281">
        <f>_xlfn.CONCAT(B736,AS736,D736,E736)</f>
        <v/>
      </c>
    </row>
    <row r="737">
      <c r="A737" t="inlineStr">
        <is>
          <t>21/22</t>
        </is>
      </c>
      <c r="B737" t="inlineStr">
        <is>
          <t xml:space="preserve"> Dynastar</t>
        </is>
      </c>
      <c r="C737" t="inlineStr">
        <is>
          <t>M-Pro 84</t>
        </is>
      </c>
      <c r="D737" t="n">
        <v>184</v>
      </c>
      <c r="E737" t="inlineStr">
        <is>
          <t xml:space="preserve"> Unisex</t>
        </is>
      </c>
      <c r="F737" t="n">
        <v>184</v>
      </c>
      <c r="G737" t="n">
        <v>184.4</v>
      </c>
      <c r="H737" t="n">
        <v>153</v>
      </c>
      <c r="I737" t="n">
        <v>152</v>
      </c>
      <c r="J737" t="n">
        <v>121</v>
      </c>
      <c r="K737" t="n">
        <v>82</v>
      </c>
      <c r="L737" t="n">
        <v>104</v>
      </c>
      <c r="M737" t="n">
        <v>18.6</v>
      </c>
      <c r="N737" t="n">
        <v>1884</v>
      </c>
      <c r="O737" t="n">
        <v>0.92</v>
      </c>
      <c r="P737" t="n">
        <v>1740</v>
      </c>
      <c r="Q737" t="n">
        <v>239</v>
      </c>
      <c r="R737" t="n">
        <v>113</v>
      </c>
      <c r="S737" t="n">
        <v>39</v>
      </c>
      <c r="T737" t="n">
        <v>249</v>
      </c>
      <c r="U737" t="n">
        <v>6</v>
      </c>
      <c r="V737" t="n">
        <v>65</v>
      </c>
      <c r="W737" t="n">
        <v>0.145</v>
      </c>
      <c r="X737" t="n">
        <v>164</v>
      </c>
      <c r="Y737" t="n">
        <v>162</v>
      </c>
      <c r="Z737" t="n">
        <v>85</v>
      </c>
      <c r="AA737" t="n">
        <v>10</v>
      </c>
      <c r="AB737" t="n">
        <v>6.9</v>
      </c>
      <c r="AC737" t="inlineStr">
        <is>
          <t xml:space="preserve"> On-Piste Carving</t>
        </is>
      </c>
      <c r="AD737" t="inlineStr">
        <is>
          <t xml:space="preserve"> On-Piste All-Mountain</t>
        </is>
      </c>
      <c r="AE737" t="inlineStr">
        <is>
          <t xml:space="preserve"> Resort Freeride</t>
        </is>
      </c>
      <c r="AG737" t="inlineStr">
        <is>
          <t>Dynastar M-Pro 84 Skis Â· 184 cm</t>
        </is>
      </c>
      <c r="AH737" t="inlineStr">
        <is>
          <t>eBay - david110549</t>
        </is>
      </c>
      <c r="AI737" s="333" t="n">
        <v>399.96</v>
      </c>
      <c r="AJ737" t="inlineStr">
        <is>
          <t>https://tinyurl.com/yahl8f25</t>
        </is>
      </c>
      <c r="AK737" t="inlineStr">
        <is>
          <t>Dynastar M-Pro 84 Skis Â· 184 cm</t>
        </is>
      </c>
      <c r="AL737" t="inlineStr">
        <is>
          <t>SkiEssentials.com</t>
        </is>
      </c>
      <c r="AM737" s="333" t="n">
        <v>399.99</v>
      </c>
      <c r="AN737" t="inlineStr">
        <is>
          <t>https://tinyurl.com/y77oubvx</t>
        </is>
      </c>
      <c r="AO737" t="inlineStr">
        <is>
          <t>Dynastar M-Pro 84 Skis Â· 184 cm</t>
        </is>
      </c>
      <c r="AP737" t="inlineStr">
        <is>
          <t>Backpacking United</t>
        </is>
      </c>
      <c r="AQ737" s="333" t="n">
        <v>415.85</v>
      </c>
      <c r="AR737" t="inlineStr">
        <is>
          <t>https://tinyurl.com/yafumyp7</t>
        </is>
      </c>
      <c r="AS737" s="314">
        <f>IF(LEFT(C737,1)=" ",RIGHT(C737,LEN(C737)-1),C737)</f>
        <v/>
      </c>
      <c r="AT737" s="281">
        <f>_xlfn.CONCAT(B737,AS737,D737,E737)</f>
        <v/>
      </c>
    </row>
    <row r="738">
      <c r="A738" t="inlineStr">
        <is>
          <t>21/22</t>
        </is>
      </c>
      <c r="B738" t="inlineStr">
        <is>
          <t xml:space="preserve"> Head</t>
        </is>
      </c>
      <c r="C738" t="inlineStr">
        <is>
          <t>Oblivion 94</t>
        </is>
      </c>
      <c r="D738" t="n">
        <v>170</v>
      </c>
      <c r="E738" t="inlineStr">
        <is>
          <t xml:space="preserve"> Unisex</t>
        </is>
      </c>
      <c r="F738" t="n">
        <v>170</v>
      </c>
      <c r="G738" t="n">
        <v>168.1</v>
      </c>
      <c r="H738" t="n">
        <v>130</v>
      </c>
      <c r="I738" t="n">
        <v>150</v>
      </c>
      <c r="J738" t="n">
        <v>125</v>
      </c>
      <c r="K738" t="n">
        <v>92</v>
      </c>
      <c r="L738" t="n">
        <v>116</v>
      </c>
      <c r="M738" t="n">
        <v>19.3</v>
      </c>
      <c r="N738" t="n">
        <v>1645</v>
      </c>
      <c r="O738" t="n">
        <v>1.04</v>
      </c>
      <c r="P738" t="n">
        <v>1712</v>
      </c>
      <c r="Q738" t="n">
        <v>149</v>
      </c>
      <c r="R738" t="n">
        <v>68</v>
      </c>
      <c r="S738" t="n">
        <v>53</v>
      </c>
      <c r="T738" t="n">
        <v>233</v>
      </c>
      <c r="U738" t="n">
        <v>37</v>
      </c>
      <c r="V738" t="n">
        <v>145</v>
      </c>
      <c r="W738" t="n">
        <v>0.703</v>
      </c>
      <c r="X738" t="n">
        <v>97</v>
      </c>
      <c r="Y738" t="n">
        <v>88</v>
      </c>
      <c r="Z738" t="n">
        <v>137</v>
      </c>
      <c r="AA738" t="n">
        <v>10</v>
      </c>
      <c r="AB738" t="n">
        <v>5.6</v>
      </c>
      <c r="AC738" t="inlineStr">
        <is>
          <t xml:space="preserve"> Resort Freeride</t>
        </is>
      </c>
      <c r="AG738" t="inlineStr">
        <is>
          <t>Head Oblivion 94 Gr/Bl / 170cm</t>
        </is>
      </c>
      <c r="AH738" t="inlineStr">
        <is>
          <t>Sundance Ski and Board Shop</t>
        </is>
      </c>
      <c r="AI738" s="333" t="n">
        <v>440.79</v>
      </c>
      <c r="AJ738" t="inlineStr">
        <is>
          <t>https://tinyurl.com/y7x8bfkh</t>
        </is>
      </c>
      <c r="AK738" t="inlineStr">
        <is>
          <t>Head Oblivion 94 Skis 2022 - 170</t>
        </is>
      </c>
      <c r="AL738" t="inlineStr">
        <is>
          <t>eBay - skitrader-com</t>
        </is>
      </c>
      <c r="AM738" s="333" t="n">
        <v>494.99</v>
      </c>
      <c r="AN738" t="inlineStr">
        <is>
          <t>https://tinyurl.com/ycbstwl9</t>
        </is>
      </c>
      <c r="AO738" t="inlineStr">
        <is>
          <t>Head Oblivion 94 Skis 2022 - 170</t>
        </is>
      </c>
      <c r="AP738" t="inlineStr">
        <is>
          <t>evo.com</t>
        </is>
      </c>
      <c r="AQ738" s="333" t="n">
        <v>499</v>
      </c>
      <c r="AR738" t="inlineStr">
        <is>
          <t>https://tinyurl.com/y7z8h6pt</t>
        </is>
      </c>
      <c r="AS738" s="314">
        <f>IF(LEFT(C738,1)=" ",RIGHT(C738,LEN(C738)-1),C738)</f>
        <v/>
      </c>
      <c r="AT738" s="281">
        <f>_xlfn.CONCAT(B738,AS738,D738,E738)</f>
        <v/>
      </c>
    </row>
    <row r="739">
      <c r="A739" t="inlineStr">
        <is>
          <t>21/22</t>
        </is>
      </c>
      <c r="B739" t="inlineStr">
        <is>
          <t xml:space="preserve"> Head</t>
        </is>
      </c>
      <c r="C739" t="inlineStr">
        <is>
          <t>Kore 90 X</t>
        </is>
      </c>
      <c r="D739" t="n">
        <v>170</v>
      </c>
      <c r="E739" t="inlineStr">
        <is>
          <t xml:space="preserve"> Unisex</t>
        </is>
      </c>
      <c r="F739" t="n">
        <v>170</v>
      </c>
      <c r="G739" t="n">
        <v>169.6</v>
      </c>
      <c r="H739" t="n">
        <v>135</v>
      </c>
      <c r="I739" t="n">
        <v>140</v>
      </c>
      <c r="J739" t="n">
        <v>129</v>
      </c>
      <c r="K739" t="n">
        <v>90</v>
      </c>
      <c r="L739" t="n">
        <v>112</v>
      </c>
      <c r="M739" t="n">
        <v>14.6</v>
      </c>
      <c r="N739" t="n">
        <v>1873</v>
      </c>
      <c r="O739" t="n">
        <v>0.93</v>
      </c>
      <c r="P739" t="n">
        <v>1742</v>
      </c>
      <c r="Q739" t="n">
        <v>168</v>
      </c>
      <c r="R739" t="n">
        <v>74</v>
      </c>
      <c r="S739" t="n">
        <v>47</v>
      </c>
      <c r="T739" t="n">
        <v>216</v>
      </c>
      <c r="U739" t="n">
        <v>11</v>
      </c>
      <c r="V739" t="n">
        <v>130</v>
      </c>
      <c r="W739" t="n">
        <v>0.231</v>
      </c>
      <c r="X739" t="n">
        <v>148</v>
      </c>
      <c r="Y739" t="n">
        <v>151</v>
      </c>
      <c r="Z739" t="n">
        <v>67</v>
      </c>
      <c r="AA739" t="n">
        <v>10</v>
      </c>
      <c r="AB739" t="n">
        <v>9.9</v>
      </c>
      <c r="AC739" t="inlineStr">
        <is>
          <t xml:space="preserve"> Resort Freeride</t>
        </is>
      </c>
      <c r="AG739" t="inlineStr">
        <is>
          <t>Head Kore 90 x Skis 2022 - 170</t>
        </is>
      </c>
      <c r="AH739" t="inlineStr">
        <is>
          <t>evo.com</t>
        </is>
      </c>
      <c r="AI739" s="333" t="n">
        <v>409</v>
      </c>
      <c r="AJ739" t="inlineStr">
        <is>
          <t>https://tinyurl.com/y8vxnhal</t>
        </is>
      </c>
      <c r="AK739" t="inlineStr">
        <is>
          <t>Head Kore 90 x Skis 2022 - 170</t>
        </is>
      </c>
      <c r="AL739" t="inlineStr">
        <is>
          <t>Ridgeline Bike &amp; Ski</t>
        </is>
      </c>
      <c r="AM739" s="333" t="n">
        <v>549</v>
      </c>
      <c r="AN739" t="inlineStr">
        <is>
          <t>https://tinyurl.com/y9mt7smp</t>
        </is>
      </c>
      <c r="AO739" t="inlineStr">
        <is>
          <t>Head Kore 90 x Skis 2022 - 170</t>
        </is>
      </c>
      <c r="AP739" t="inlineStr">
        <is>
          <t>BobWards.com</t>
        </is>
      </c>
      <c r="AQ739" s="333" t="n">
        <v>549.99</v>
      </c>
      <c r="AR739" t="inlineStr">
        <is>
          <t>https://tinyurl.com/yaaf9nay</t>
        </is>
      </c>
      <c r="AS739" s="314">
        <f>IF(LEFT(C739,1)=" ",RIGHT(C739,LEN(C739)-1),C739)</f>
        <v/>
      </c>
      <c r="AT739" s="281">
        <f>_xlfn.CONCAT(B739,AS739,D739,E739)</f>
        <v/>
      </c>
    </row>
    <row r="740">
      <c r="A740" t="inlineStr">
        <is>
          <t>21/22</t>
        </is>
      </c>
      <c r="B740" t="inlineStr">
        <is>
          <t xml:space="preserve"> Black Crows</t>
        </is>
      </c>
      <c r="C740" t="inlineStr">
        <is>
          <t xml:space="preserve"> Mirus Cor</t>
        </is>
      </c>
      <c r="D740" t="n">
        <v>178</v>
      </c>
      <c r="E740" t="inlineStr">
        <is>
          <t xml:space="preserve"> Unisex</t>
        </is>
      </c>
      <c r="F740" t="n">
        <v>178</v>
      </c>
      <c r="G740" t="n">
        <v>176.7</v>
      </c>
      <c r="H740" t="n">
        <v>118</v>
      </c>
      <c r="I740" t="n">
        <v>152</v>
      </c>
      <c r="J740" t="n">
        <v>133</v>
      </c>
      <c r="K740" t="n">
        <v>86</v>
      </c>
      <c r="L740" t="n">
        <v>123</v>
      </c>
      <c r="M740" t="n">
        <v>12.7</v>
      </c>
      <c r="N740" t="n">
        <v>1860</v>
      </c>
      <c r="O740" t="n">
        <v>0.98</v>
      </c>
      <c r="P740" t="n">
        <v>1827</v>
      </c>
      <c r="Q740" t="n">
        <v>192</v>
      </c>
      <c r="R740" t="n">
        <v>73</v>
      </c>
      <c r="S740" t="n">
        <v>36</v>
      </c>
      <c r="T740" t="n">
        <v>271</v>
      </c>
      <c r="U740" t="n">
        <v>37</v>
      </c>
      <c r="V740" t="n">
        <v>316</v>
      </c>
      <c r="W740" t="n">
        <v>1.025</v>
      </c>
      <c r="X740" t="n">
        <v>138</v>
      </c>
      <c r="Y740" t="n">
        <v>112</v>
      </c>
      <c r="Z740" t="n">
        <v>133</v>
      </c>
      <c r="AA740" t="n">
        <v>3</v>
      </c>
      <c r="AB740" t="n">
        <v>4.6</v>
      </c>
      <c r="AC740" t="inlineStr">
        <is>
          <t xml:space="preserve"> Freeski</t>
        </is>
      </c>
      <c r="AG740" t="inlineStr">
        <is>
          <t>Black Crows Captis Skis</t>
        </is>
      </c>
      <c r="AH740" t="inlineStr">
        <is>
          <t>! OutdoorXL.com</t>
        </is>
      </c>
      <c r="AI740" s="333" t="n">
        <v>424.95</v>
      </c>
      <c r="AJ740" t="inlineStr">
        <is>
          <t>https://tinyurl.com/yd7okfhe</t>
        </is>
      </c>
      <c r="AK740" t="inlineStr">
        <is>
          <t>Black Crows Orb 178cm (Brand New, Still in Wrap)</t>
        </is>
      </c>
      <c r="AL740" t="inlineStr">
        <is>
          <t>Requipper</t>
        </is>
      </c>
      <c r="AM740" s="333" t="n">
        <v>450</v>
      </c>
      <c r="AN740" t="inlineStr">
        <is>
          <t>https://tinyurl.com/y7qp893x</t>
        </is>
      </c>
      <c r="AO740" t="inlineStr">
        <is>
          <t>Black Crows Captis Skis</t>
        </is>
      </c>
      <c r="AP740" t="inlineStr">
        <is>
          <t>Teton Wasatch Ski Co.</t>
        </is>
      </c>
      <c r="AQ740" s="333" t="n">
        <v>455</v>
      </c>
      <c r="AR740" t="inlineStr">
        <is>
          <t>https://tinyurl.com/y8wpkmv4</t>
        </is>
      </c>
      <c r="AS740" s="314">
        <f>IF(LEFT(C740,1)=" ",RIGHT(C740,LEN(C740)-1),C740)</f>
        <v/>
      </c>
      <c r="AT740" s="281">
        <f>_xlfn.CONCAT(B740,AS740,D740,E740)</f>
        <v/>
      </c>
    </row>
    <row r="741">
      <c r="A741" t="inlineStr">
        <is>
          <t>21/22</t>
        </is>
      </c>
      <c r="B741" t="inlineStr">
        <is>
          <t xml:space="preserve"> Armada</t>
        </is>
      </c>
      <c r="C741" t="inlineStr">
        <is>
          <t xml:space="preserve"> Bdog</t>
        </is>
      </c>
      <c r="D741" t="n">
        <v>180</v>
      </c>
      <c r="E741" t="inlineStr">
        <is>
          <t xml:space="preserve"> Unisex</t>
        </is>
      </c>
      <c r="F741" t="n">
        <v>180</v>
      </c>
      <c r="G741" t="n">
        <v>177.7</v>
      </c>
      <c r="H741" t="n">
        <v>121</v>
      </c>
      <c r="I741" t="n">
        <v>142</v>
      </c>
      <c r="J741" t="n">
        <v>121</v>
      </c>
      <c r="K741" t="n">
        <v>93</v>
      </c>
      <c r="L741" t="n">
        <v>116</v>
      </c>
      <c r="M741" t="n">
        <v>15.5</v>
      </c>
      <c r="N741" t="n">
        <v>1998</v>
      </c>
      <c r="O741" t="n">
        <v>0.9399999999999999</v>
      </c>
      <c r="P741" t="n">
        <v>1872</v>
      </c>
      <c r="Q741" t="n">
        <v>178</v>
      </c>
      <c r="R741" t="n">
        <v>76</v>
      </c>
      <c r="S741" t="n">
        <v>49</v>
      </c>
      <c r="T741" t="n">
        <v>291</v>
      </c>
      <c r="U741" t="n">
        <v>39</v>
      </c>
      <c r="V741" t="n">
        <v>276</v>
      </c>
      <c r="W741" t="n">
        <v>0.804</v>
      </c>
      <c r="X741" t="n">
        <v>234</v>
      </c>
      <c r="Y741" t="n">
        <v>124</v>
      </c>
      <c r="Z741" t="n">
        <v>57</v>
      </c>
      <c r="AA741" t="n">
        <v>8</v>
      </c>
      <c r="AB741" t="n">
        <v>1.3</v>
      </c>
      <c r="AC741" t="inlineStr">
        <is>
          <t xml:space="preserve"> Resort Freeride</t>
        </is>
      </c>
      <c r="AD741" t="inlineStr">
        <is>
          <t xml:space="preserve"> Freeski</t>
        </is>
      </c>
      <c r="AG741" t="inlineStr">
        <is>
          <t>Armada Bdog Edgeless Skis - 2021 180 cm</t>
        </is>
      </c>
      <c r="AH741" t="inlineStr">
        <is>
          <t>Absolute-Snow.co.uk</t>
        </is>
      </c>
      <c r="AI741" s="333" t="n">
        <v>362.27</v>
      </c>
      <c r="AJ741" t="inlineStr">
        <is>
          <t>https://tinyurl.com/y88sup83</t>
        </is>
      </c>
      <c r="AK741" t="inlineStr">
        <is>
          <t>Armada Bdog Edgeless 94mm 180 2022 Skis Men, Freestyle ski, Freeski</t>
        </is>
      </c>
      <c r="AL741" t="inlineStr">
        <is>
          <t>Blue Tomato</t>
        </is>
      </c>
      <c r="AM741" s="333" t="n">
        <v>405.53</v>
      </c>
      <c r="AN741" t="inlineStr">
        <is>
          <t>https://tinyurl.com/y9wrnzgh</t>
        </is>
      </c>
      <c r="AO741" t="inlineStr">
        <is>
          <t>Armada Bdog Edgeless Skis - 2021 180 cm</t>
        </is>
      </c>
      <c r="AP741" t="inlineStr">
        <is>
          <t>Spoke-N-Sport</t>
        </is>
      </c>
      <c r="AQ741" s="333" t="n">
        <v>419.99</v>
      </c>
      <c r="AR741" t="inlineStr">
        <is>
          <t>https://tinyurl.com/y8y59etc</t>
        </is>
      </c>
      <c r="AS741" s="314">
        <f>IF(LEFT(C741,1)=" ",RIGHT(C741,LEN(C741)-1),C741)</f>
        <v/>
      </c>
      <c r="AT741" s="281">
        <f>_xlfn.CONCAT(B741,AS741,D741,E741)</f>
        <v/>
      </c>
    </row>
    <row r="742">
      <c r="A742" t="inlineStr">
        <is>
          <t>21/22</t>
        </is>
      </c>
      <c r="B742" t="inlineStr">
        <is>
          <t>4FRNT</t>
        </is>
      </c>
      <c r="C742" t="inlineStr">
        <is>
          <t xml:space="preserve"> MSP CC</t>
        </is>
      </c>
      <c r="D742" t="n">
        <v>171</v>
      </c>
      <c r="E742" t="inlineStr">
        <is>
          <t xml:space="preserve"> Women's</t>
        </is>
      </c>
      <c r="F742" t="n">
        <v>171</v>
      </c>
      <c r="G742" t="n">
        <v>170.4</v>
      </c>
      <c r="H742" t="n">
        <v>128</v>
      </c>
      <c r="I742" t="n">
        <v>143</v>
      </c>
      <c r="J742" t="n">
        <v>133</v>
      </c>
      <c r="K742" t="n">
        <v>98</v>
      </c>
      <c r="L742" t="n">
        <v>121</v>
      </c>
      <c r="M742" t="n">
        <v>16.6</v>
      </c>
      <c r="N742" t="n">
        <v>1988</v>
      </c>
      <c r="O742" t="n">
        <v>0.9399999999999999</v>
      </c>
      <c r="P742" t="n">
        <v>1865</v>
      </c>
      <c r="Q742" t="n">
        <v>205</v>
      </c>
      <c r="R742" t="n">
        <v>125</v>
      </c>
      <c r="S742" t="n">
        <v>43</v>
      </c>
      <c r="T742" t="n">
        <v>257</v>
      </c>
      <c r="U742" t="n">
        <v>8</v>
      </c>
      <c r="V742" t="n">
        <v>162</v>
      </c>
      <c r="W742" t="n">
        <v>0.191</v>
      </c>
      <c r="X742" t="n">
        <v>151</v>
      </c>
      <c r="Y742" t="n">
        <v>125</v>
      </c>
      <c r="Z742" t="n">
        <v>107</v>
      </c>
      <c r="AA742" t="n">
        <v>8</v>
      </c>
      <c r="AB742" t="n">
        <v>7.9</v>
      </c>
      <c r="AC742" t="inlineStr">
        <is>
          <t xml:space="preserve"> Resort Freeride</t>
        </is>
      </c>
      <c r="AG742" t="inlineStr">
        <is>
          <t>4FRNT Skis - MSP CC - Women's All Mountain Frontside Ski 171 cm</t>
        </is>
      </c>
      <c r="AH742" t="inlineStr">
        <is>
          <t>4FRNT Skis</t>
        </is>
      </c>
      <c r="AI742" s="333" t="n">
        <v>475</v>
      </c>
      <c r="AJ742" t="inlineStr">
        <is>
          <t>https://tinyurl.com/y9r7ual6</t>
        </is>
      </c>
      <c r="AS742" s="314">
        <f>IF(LEFT(C742,1)=" ",RIGHT(C742,LEN(C742)-1),C742)</f>
        <v/>
      </c>
      <c r="AT742" s="281">
        <f>_xlfn.CONCAT(B742,AS742,D742,E742)</f>
        <v/>
      </c>
    </row>
    <row r="743">
      <c r="A743" t="inlineStr">
        <is>
          <t>21/22</t>
        </is>
      </c>
      <c r="B743" t="inlineStr">
        <is>
          <t xml:space="preserve"> Faction</t>
        </is>
      </c>
      <c r="C743" t="inlineStr">
        <is>
          <t>Prodigy 2.0</t>
        </is>
      </c>
      <c r="D743" t="n">
        <v>183</v>
      </c>
      <c r="E743" t="inlineStr">
        <is>
          <t xml:space="preserve"> Unisex</t>
        </is>
      </c>
      <c r="F743" t="n">
        <v>183</v>
      </c>
      <c r="G743" t="n">
        <v>181.4</v>
      </c>
      <c r="H743" t="n">
        <v>128</v>
      </c>
      <c r="I743" t="n">
        <v>150</v>
      </c>
      <c r="J743" t="n">
        <v>127</v>
      </c>
      <c r="K743" t="n">
        <v>97</v>
      </c>
      <c r="L743" t="n">
        <v>119</v>
      </c>
      <c r="M743" t="n">
        <v>20.1</v>
      </c>
      <c r="N743" t="n">
        <v>2125</v>
      </c>
      <c r="O743" t="n">
        <v>0.92</v>
      </c>
      <c r="P743" t="n">
        <v>1955</v>
      </c>
      <c r="Q743" t="n">
        <v>253</v>
      </c>
      <c r="R743" t="n">
        <v>118</v>
      </c>
      <c r="S743" t="n">
        <v>51</v>
      </c>
      <c r="T743" t="n">
        <v>282</v>
      </c>
      <c r="U743" t="n">
        <v>45</v>
      </c>
      <c r="V743" t="n">
        <v>254</v>
      </c>
      <c r="W743" t="n">
        <v>0.889</v>
      </c>
      <c r="X743" t="n">
        <v>169</v>
      </c>
      <c r="Y743" t="n">
        <v>146</v>
      </c>
      <c r="Z743" t="n">
        <v>113</v>
      </c>
      <c r="AA743" t="n">
        <v>6</v>
      </c>
      <c r="AB743" t="n">
        <v>8.4</v>
      </c>
      <c r="AC743" t="inlineStr">
        <is>
          <t xml:space="preserve"> Freeski</t>
        </is>
      </c>
      <c r="AG743" t="inlineStr">
        <is>
          <t>Faction Prodigy 2.0 Skis</t>
        </is>
      </c>
      <c r="AH743" t="inlineStr">
        <is>
          <t>The-House.com</t>
        </is>
      </c>
      <c r="AI743" s="333" t="n">
        <v>599</v>
      </c>
      <c r="AJ743" t="inlineStr">
        <is>
          <t>https://tinyurl.com/y8jv3bzk</t>
        </is>
      </c>
      <c r="AK743" t="inlineStr">
        <is>
          <t>Faction Prodigy 2.0 Skis</t>
        </is>
      </c>
      <c r="AL743" t="inlineStr">
        <is>
          <t>Gear West Ski &amp; Bike</t>
        </is>
      </c>
      <c r="AM743" s="333" t="n">
        <v>699</v>
      </c>
      <c r="AN743" t="inlineStr">
        <is>
          <t>https://tinyurl.com/ya3m5y9s</t>
        </is>
      </c>
      <c r="AO743" t="inlineStr">
        <is>
          <t>Faction Ct 2.0 Ski - 2022</t>
        </is>
      </c>
      <c r="AP743" t="inlineStr">
        <is>
          <t>Next Adventure</t>
        </is>
      </c>
      <c r="AQ743" s="333" t="n">
        <v>639.2</v>
      </c>
      <c r="AR743" t="inlineStr">
        <is>
          <t>https://tinyurl.com/y7nbvlc5</t>
        </is>
      </c>
      <c r="AS743" s="314">
        <f>IF(LEFT(C743,1)=" ",RIGHT(C743,LEN(C743)-1),C743)</f>
        <v/>
      </c>
      <c r="AT743" s="281">
        <f>_xlfn.CONCAT(B743,AS743,D743,E743)</f>
        <v/>
      </c>
    </row>
    <row r="744">
      <c r="A744" t="inlineStr">
        <is>
          <t>21/22</t>
        </is>
      </c>
      <c r="B744" t="inlineStr">
        <is>
          <t xml:space="preserve"> Liberty</t>
        </is>
      </c>
      <c r="C744" t="inlineStr">
        <is>
          <t>Evolv 90</t>
        </is>
      </c>
      <c r="D744" t="n">
        <v>186</v>
      </c>
      <c r="E744" t="inlineStr">
        <is>
          <t xml:space="preserve"> Unisex</t>
        </is>
      </c>
      <c r="F744" t="n">
        <v>186</v>
      </c>
      <c r="G744" t="n">
        <v>185.8</v>
      </c>
      <c r="H744" t="n">
        <v>157</v>
      </c>
      <c r="I744" t="n">
        <v>166</v>
      </c>
      <c r="J744" t="n">
        <v>130</v>
      </c>
      <c r="K744" t="n">
        <v>89</v>
      </c>
      <c r="L744" t="n">
        <v>113</v>
      </c>
      <c r="M744" t="n">
        <v>20.4</v>
      </c>
      <c r="N744" t="n">
        <v>1895</v>
      </c>
      <c r="O744" t="n">
        <v>0.99</v>
      </c>
      <c r="P744" t="n">
        <v>1881</v>
      </c>
      <c r="Q744" t="n">
        <v>227</v>
      </c>
      <c r="R744" t="n">
        <v>111</v>
      </c>
      <c r="S744" t="n">
        <v>37</v>
      </c>
      <c r="T744" t="n">
        <v>179</v>
      </c>
      <c r="U744" t="n">
        <v>8</v>
      </c>
      <c r="V744" t="n">
        <v>108</v>
      </c>
      <c r="W744" t="n">
        <v>0.228</v>
      </c>
      <c r="X744" t="n">
        <v>106</v>
      </c>
      <c r="Y744" t="n">
        <v>92</v>
      </c>
      <c r="Z744" t="n">
        <v>73</v>
      </c>
      <c r="AA744" t="n">
        <v>13</v>
      </c>
      <c r="AB744" t="n">
        <v>11.4</v>
      </c>
      <c r="AC744" t="inlineStr">
        <is>
          <t xml:space="preserve"> Resort Freeride</t>
        </is>
      </c>
      <c r="AG744" t="inlineStr">
        <is>
          <t>Liberty Skis Evolv 90 Ski</t>
        </is>
      </c>
      <c r="AH744" t="inlineStr">
        <is>
          <t>Buyr.com</t>
        </is>
      </c>
      <c r="AI744" s="333" t="n">
        <v>486.71</v>
      </c>
      <c r="AJ744" t="inlineStr">
        <is>
          <t>https://tinyurl.com/ydy47f7v</t>
        </is>
      </c>
      <c r="AK744" t="inlineStr">
        <is>
          <t>Evolv 90 - 2021 186</t>
        </is>
      </c>
      <c r="AL744" t="inlineStr">
        <is>
          <t>Liberty Skis</t>
        </is>
      </c>
      <c r="AM744" s="333" t="n">
        <v>369</v>
      </c>
      <c r="AN744" t="inlineStr">
        <is>
          <t>https://tinyurl.com/y9lwkd78</t>
        </is>
      </c>
      <c r="AO744" t="inlineStr">
        <is>
          <t>Liberty 2022 Evolv 100 186 All Mtn Skis W/ Tyrolia Attack Bindings,</t>
        </is>
      </c>
      <c r="AP744" t="inlineStr">
        <is>
          <t>eBay - sir_davahad</t>
        </is>
      </c>
      <c r="AQ744" s="333" t="n">
        <v>499</v>
      </c>
      <c r="AR744" t="inlineStr">
        <is>
          <t>https://tinyurl.com/ydbdotyj</t>
        </is>
      </c>
      <c r="AS744" s="314">
        <f>IF(LEFT(C744,1)=" ",RIGHT(C744,LEN(C744)-1),C744)</f>
        <v/>
      </c>
      <c r="AT744" s="281">
        <f>_xlfn.CONCAT(B744,AS744,D744,E744)</f>
        <v/>
      </c>
    </row>
    <row r="745">
      <c r="A745" t="inlineStr">
        <is>
          <t>21/22</t>
        </is>
      </c>
      <c r="B745" t="inlineStr">
        <is>
          <t xml:space="preserve"> Vï¿½lkl</t>
        </is>
      </c>
      <c r="C745" t="inlineStr">
        <is>
          <t xml:space="preserve"> Flair SC Carbon</t>
        </is>
      </c>
      <c r="D745" t="n">
        <v>160</v>
      </c>
      <c r="E745" t="inlineStr">
        <is>
          <t xml:space="preserve"> Women's</t>
        </is>
      </c>
      <c r="F745" t="n">
        <v>160</v>
      </c>
      <c r="G745" t="n">
        <v>159.6</v>
      </c>
      <c r="H745" t="n">
        <v>137</v>
      </c>
      <c r="I745" t="n">
        <v>144</v>
      </c>
      <c r="J745" t="n">
        <v>122</v>
      </c>
      <c r="K745" t="n">
        <v>70</v>
      </c>
      <c r="L745" t="n">
        <v>102</v>
      </c>
      <c r="M745" t="n">
        <v>12.2</v>
      </c>
      <c r="N745" t="n">
        <v>1647</v>
      </c>
      <c r="O745" t="n">
        <v>0.83</v>
      </c>
      <c r="P745" t="n">
        <v>1370</v>
      </c>
      <c r="Q745" t="n">
        <v>203</v>
      </c>
      <c r="R745" t="n">
        <v>71</v>
      </c>
      <c r="S745" t="n">
        <v>42</v>
      </c>
      <c r="T745" t="n">
        <v>166</v>
      </c>
      <c r="U745" t="n">
        <v>7</v>
      </c>
      <c r="V745" t="n">
        <v>56</v>
      </c>
      <c r="W745" t="n">
        <v>0.157</v>
      </c>
      <c r="X745" t="n">
        <v>72</v>
      </c>
      <c r="Y745" t="n">
        <v>79</v>
      </c>
      <c r="Z745" t="n">
        <v>94</v>
      </c>
      <c r="AA745" t="n">
        <v>4</v>
      </c>
      <c r="AB745" t="n">
        <v>11.5</v>
      </c>
      <c r="AC745" t="inlineStr">
        <is>
          <t xml:space="preserve"> On-Piste Carving</t>
        </is>
      </c>
      <c r="AG745" t="inlineStr">
        <is>
          <t>Volkl Flair SC Carbon Skis w/ vMotion 11 Alu GW Bindings</t>
        </is>
      </c>
      <c r="AH745" t="inlineStr">
        <is>
          <t>The-House.com</t>
        </is>
      </c>
      <c r="AI745" s="333" t="n">
        <v>759.99</v>
      </c>
      <c r="AJ745" t="inlineStr">
        <is>
          <t>https://tinyurl.com/yc4xd6et</t>
        </is>
      </c>
      <c r="AK745" t="inlineStr">
        <is>
          <t>Volkl Racetiger SC Carbon Skis w Marker vMotion 12 GW Demo Bindings  Demo</t>
        </is>
      </c>
      <c r="AL745" t="inlineStr">
        <is>
          <t>Powder7 Ski Shop</t>
        </is>
      </c>
      <c r="AM745" s="333" t="n">
        <v>419.99</v>
      </c>
      <c r="AN745" t="inlineStr">
        <is>
          <t>https://tinyurl.com/y8tmv6pl</t>
        </is>
      </c>
      <c r="AO745" t="inlineStr">
        <is>
          <t>Volkl Racetiger SC Black 160 Ski Men</t>
        </is>
      </c>
      <c r="AP745" t="inlineStr">
        <is>
          <t>! OutdoorXL.com</t>
        </is>
      </c>
      <c r="AQ745" s="333" t="n">
        <v>659.95</v>
      </c>
      <c r="AR745" t="inlineStr">
        <is>
          <t>https://tinyurl.com/yannhaah</t>
        </is>
      </c>
      <c r="AS745" s="314">
        <f>IF(LEFT(C745,1)=" ",RIGHT(C745,LEN(C745)-1),C745)</f>
        <v/>
      </c>
      <c r="AT745" s="281">
        <f>_xlfn.CONCAT(B745,AS745,D745,E745)</f>
        <v/>
      </c>
    </row>
    <row r="746">
      <c r="A746" t="inlineStr">
        <is>
          <t>21/22</t>
        </is>
      </c>
      <c r="B746" t="inlineStr">
        <is>
          <t xml:space="preserve"> Rossignol</t>
        </is>
      </c>
      <c r="C746" t="inlineStr">
        <is>
          <t xml:space="preserve"> Hero Elite Short Turn Ti</t>
        </is>
      </c>
      <c r="D746" t="n">
        <v>172</v>
      </c>
      <c r="E746" t="inlineStr">
        <is>
          <t xml:space="preserve"> Unisex</t>
        </is>
      </c>
      <c r="F746" t="n">
        <v>172</v>
      </c>
      <c r="G746" t="n">
        <v>170.5</v>
      </c>
      <c r="H746" t="n">
        <v>150</v>
      </c>
      <c r="I746" t="n">
        <v>157</v>
      </c>
      <c r="J746" t="n">
        <v>121</v>
      </c>
      <c r="K746" t="n">
        <v>66</v>
      </c>
      <c r="L746" t="n">
        <v>102</v>
      </c>
      <c r="M746" t="n">
        <v>13.3</v>
      </c>
      <c r="N746" t="n">
        <v>2064</v>
      </c>
      <c r="O746" t="n">
        <v>0.6899999999999999</v>
      </c>
      <c r="P746" t="n">
        <v>1425</v>
      </c>
      <c r="Q746" t="n">
        <v>229</v>
      </c>
      <c r="R746" t="n">
        <v>103</v>
      </c>
      <c r="S746" t="n">
        <v>40</v>
      </c>
      <c r="T746" t="n">
        <v>141</v>
      </c>
      <c r="U746" t="n">
        <v>4</v>
      </c>
      <c r="V746" t="n">
        <v>64</v>
      </c>
      <c r="W746" t="n">
        <v>0.11</v>
      </c>
      <c r="X746" t="n">
        <v>76</v>
      </c>
      <c r="Y746" t="n">
        <v>63</v>
      </c>
      <c r="Z746" t="n">
        <v>65</v>
      </c>
      <c r="AA746" t="n">
        <v>13</v>
      </c>
      <c r="AB746" t="n">
        <v>11.1</v>
      </c>
      <c r="AC746" t="inlineStr">
        <is>
          <t xml:space="preserve"> On-Piste Carving</t>
        </is>
      </c>
      <c r="AG746" t="inlineStr">
        <is>
          <t>Rossignol Unisex's Racing Skis Hero Elite St Ti Limited Edition Konect</t>
        </is>
      </c>
      <c r="AH746" t="inlineStr">
        <is>
          <t>Rossignol US</t>
        </is>
      </c>
      <c r="AI746" s="333" t="n">
        <v>1149</v>
      </c>
      <c r="AJ746" t="inlineStr">
        <is>
          <t>https://tinyurl.com/y8op8du2</t>
        </is>
      </c>
      <c r="AK746" t="inlineStr">
        <is>
          <t>Rossignol Hero Elite LT Ti + SPX 14 Konect 21/22</t>
        </is>
      </c>
      <c r="AL746" t="inlineStr">
        <is>
          <t>Snowcountry.eu</t>
        </is>
      </c>
      <c r="AM746" s="333" t="n">
        <v>506.08</v>
      </c>
      <c r="AN746" t="inlineStr">
        <is>
          <t>https://tinyurl.com/y8kfpu57</t>
        </is>
      </c>
      <c r="AO746" t="inlineStr">
        <is>
          <t>Rossignol Blackops Escaper Skis Men's 2022</t>
        </is>
      </c>
      <c r="AP746" t="inlineStr">
        <is>
          <t>Level Nine Sports</t>
        </is>
      </c>
      <c r="AQ746" s="333" t="n">
        <v>479.96</v>
      </c>
      <c r="AR746" t="inlineStr">
        <is>
          <t>https://tinyurl.com/ydy7p5p2</t>
        </is>
      </c>
      <c r="AS746" s="314">
        <f>IF(LEFT(C746,1)=" ",RIGHT(C746,LEN(C746)-1),C746)</f>
        <v/>
      </c>
      <c r="AT746" s="281">
        <f>_xlfn.CONCAT(B746,AS746,D746,E746)</f>
        <v/>
      </c>
    </row>
    <row r="747">
      <c r="A747" t="inlineStr">
        <is>
          <t>21/22</t>
        </is>
      </c>
      <c r="B747" t="inlineStr">
        <is>
          <t xml:space="preserve"> Armada</t>
        </is>
      </c>
      <c r="C747" t="inlineStr">
        <is>
          <t>Reliance 82 Ti</t>
        </is>
      </c>
      <c r="D747" t="n">
        <v>174</v>
      </c>
      <c r="E747" t="inlineStr">
        <is>
          <t xml:space="preserve"> Women's</t>
        </is>
      </c>
      <c r="F747" t="n">
        <v>174</v>
      </c>
      <c r="G747" t="n">
        <v>173.3</v>
      </c>
      <c r="H747" t="n">
        <v>142</v>
      </c>
      <c r="I747" t="n">
        <v>155</v>
      </c>
      <c r="J747" t="n">
        <v>127</v>
      </c>
      <c r="K747" t="n">
        <v>81</v>
      </c>
      <c r="L747" t="n">
        <v>109</v>
      </c>
      <c r="M747" t="n">
        <v>15.9</v>
      </c>
      <c r="N747" t="n">
        <v>1650</v>
      </c>
      <c r="O747" t="n">
        <v>1</v>
      </c>
      <c r="P747" t="n">
        <v>1654</v>
      </c>
      <c r="Q747" t="n">
        <v>245</v>
      </c>
      <c r="R747" t="n">
        <v>133</v>
      </c>
      <c r="S747" t="n">
        <v>45</v>
      </c>
      <c r="T747" t="n">
        <v>197</v>
      </c>
      <c r="U747" t="n">
        <v>11</v>
      </c>
      <c r="V747" t="n">
        <v>115</v>
      </c>
      <c r="W747" t="n">
        <v>0.248</v>
      </c>
      <c r="X747" t="n">
        <v>115</v>
      </c>
      <c r="Y747" t="n">
        <v>70</v>
      </c>
      <c r="Z747" t="n">
        <v>82</v>
      </c>
      <c r="AA747" t="n">
        <v>10</v>
      </c>
      <c r="AB747" t="n">
        <v>9.6</v>
      </c>
      <c r="AC747" t="inlineStr">
        <is>
          <t xml:space="preserve"> On-Piste All-Mountain</t>
        </is>
      </c>
      <c r="AD747" t="inlineStr">
        <is>
          <t xml:space="preserve"> Resort Freeride</t>
        </is>
      </c>
      <c r="AG747" t="inlineStr">
        <is>
          <t>Armada Reliance 82 Ti Skis 2022 - Womens 174cm</t>
        </is>
      </c>
      <c r="AH747" t="inlineStr">
        <is>
          <t>Teton Wasatch Ski Co.</t>
        </is>
      </c>
      <c r="AI747" s="333" t="n">
        <v>479</v>
      </c>
      <c r="AJ747" t="inlineStr">
        <is>
          <t>https://tinyurl.com/yazgwoll</t>
        </is>
      </c>
      <c r="AK747" t="inlineStr">
        <is>
          <t>Armada Reliance 82 Ti + EM10 21/22</t>
        </is>
      </c>
      <c r="AL747" t="inlineStr">
        <is>
          <t>Snowcountry.eu</t>
        </is>
      </c>
      <c r="AM747" s="333" t="n">
        <v>552.17</v>
      </c>
      <c r="AN747" t="inlineStr">
        <is>
          <t>https://tinyurl.com/ya2lz8sn</t>
        </is>
      </c>
      <c r="AO747" t="inlineStr">
        <is>
          <t>Armada Reliance 82 Ti Skis 2022 - Womens 174cm</t>
        </is>
      </c>
      <c r="AP747" t="inlineStr">
        <is>
          <t>Curated</t>
        </is>
      </c>
      <c r="AQ747" s="333" t="n">
        <v>599.95</v>
      </c>
      <c r="AR747" t="inlineStr">
        <is>
          <t>https://tinyurl.com/y9vq7k6b</t>
        </is>
      </c>
      <c r="AS747" s="314">
        <f>IF(LEFT(C747,1)=" ",RIGHT(C747,LEN(C747)-1),C747)</f>
        <v/>
      </c>
      <c r="AT747" s="281">
        <f>_xlfn.CONCAT(B747,AS747,D747,E747)</f>
        <v/>
      </c>
    </row>
    <row r="748">
      <c r="A748" t="inlineStr">
        <is>
          <t>21/22</t>
        </is>
      </c>
      <c r="B748" t="inlineStr">
        <is>
          <t xml:space="preserve"> Blizzard</t>
        </is>
      </c>
      <c r="C748" t="inlineStr">
        <is>
          <t>Zero G 95</t>
        </is>
      </c>
      <c r="D748" t="n">
        <v>171</v>
      </c>
      <c r="E748" t="inlineStr">
        <is>
          <t xml:space="preserve"> Unisex</t>
        </is>
      </c>
      <c r="F748" t="n">
        <v>171</v>
      </c>
      <c r="G748" t="n">
        <v>169</v>
      </c>
      <c r="H748" t="n">
        <v>120</v>
      </c>
      <c r="I748" t="n">
        <v>143</v>
      </c>
      <c r="J748" t="n">
        <v>124</v>
      </c>
      <c r="K748" t="n">
        <v>93</v>
      </c>
      <c r="L748" t="n">
        <v>107</v>
      </c>
      <c r="M748" t="n">
        <v>22</v>
      </c>
      <c r="N748" t="n">
        <v>1201</v>
      </c>
      <c r="O748" t="n">
        <v>1.42</v>
      </c>
      <c r="P748" t="n">
        <v>1709</v>
      </c>
      <c r="Q748" t="n">
        <v>207</v>
      </c>
      <c r="R748" t="n">
        <v>75</v>
      </c>
      <c r="S748" t="n">
        <v>55</v>
      </c>
      <c r="T748" t="n">
        <v>273</v>
      </c>
      <c r="U748" t="n">
        <v>11</v>
      </c>
      <c r="V748" t="n">
        <v>216</v>
      </c>
      <c r="W748" t="n">
        <v>0.191</v>
      </c>
      <c r="X748" t="n">
        <v>130</v>
      </c>
      <c r="Y748" t="n">
        <v>134</v>
      </c>
      <c r="Z748" t="n">
        <v>143</v>
      </c>
      <c r="AA748" t="n">
        <v>3</v>
      </c>
      <c r="AB748" t="n">
        <v>10.5</v>
      </c>
      <c r="AC748" t="inlineStr">
        <is>
          <t xml:space="preserve"> Touring</t>
        </is>
      </c>
      <c r="AD748" t="inlineStr">
        <is>
          <t xml:space="preserve"> Ultralight Touring</t>
        </is>
      </c>
      <c r="AG748" t="inlineStr">
        <is>
          <t>2022 Blizzard Zero G 95 Skis w/ Marker Kingpin 13 Binding - Green - 171| Ski Essentials</t>
        </is>
      </c>
      <c r="AH748" t="inlineStr">
        <is>
          <t>SkiEssentials.com</t>
        </is>
      </c>
      <c r="AI748" s="333" t="n">
        <v>1050</v>
      </c>
      <c r="AJ748" t="inlineStr">
        <is>
          <t>https://tinyurl.com/yc3adzj3</t>
        </is>
      </c>
      <c r="AK748" t="inlineStr">
        <is>
          <t>Blizzard Zero G 95 171cm Alpine Touring Kit</t>
        </is>
      </c>
      <c r="AL748" t="inlineStr">
        <is>
          <t>Ski The Whites</t>
        </is>
      </c>
      <c r="AM748" s="333" t="n">
        <v>1250</v>
      </c>
      <c r="AN748" t="inlineStr">
        <is>
          <t>https://tinyurl.com/y9wxay7j</t>
        </is>
      </c>
      <c r="AO748" t="inlineStr">
        <is>
          <t>Blizzard Zero G 95 Light Blue Skis 171cm 2022</t>
        </is>
      </c>
      <c r="AP748" t="inlineStr">
        <is>
          <t>Curated</t>
        </is>
      </c>
      <c r="AQ748" s="333" t="n">
        <v>559.95</v>
      </c>
      <c r="AR748" t="inlineStr">
        <is>
          <t>https://tinyurl.com/ybhev48p</t>
        </is>
      </c>
      <c r="AS748" s="314">
        <f>IF(LEFT(C748,1)=" ",RIGHT(C748,LEN(C748)-1),C748)</f>
        <v/>
      </c>
      <c r="AT748" s="281">
        <f>_xlfn.CONCAT(B748,AS748,D748,E748)</f>
        <v/>
      </c>
    </row>
    <row r="749">
      <c r="A749" t="inlineStr">
        <is>
          <t>21/22</t>
        </is>
      </c>
      <c r="B749" t="inlineStr">
        <is>
          <t xml:space="preserve"> Icelantic</t>
        </is>
      </c>
      <c r="C749" t="inlineStr">
        <is>
          <t>Nomad 95</t>
        </is>
      </c>
      <c r="D749" t="n">
        <v>171</v>
      </c>
      <c r="E749" t="inlineStr">
        <is>
          <t xml:space="preserve"> Unisex</t>
        </is>
      </c>
      <c r="F749" t="n">
        <v>171</v>
      </c>
      <c r="G749" t="n">
        <v>168.3</v>
      </c>
      <c r="H749" t="n">
        <v>99</v>
      </c>
      <c r="I749" t="n">
        <v>143</v>
      </c>
      <c r="J749" t="n">
        <v>130</v>
      </c>
      <c r="K749" t="n">
        <v>95</v>
      </c>
      <c r="L749" t="n">
        <v>121</v>
      </c>
      <c r="M749" t="n">
        <v>16.3</v>
      </c>
      <c r="N749" t="n">
        <v>1539</v>
      </c>
      <c r="O749" t="n">
        <v>1.16</v>
      </c>
      <c r="P749" t="n">
        <v>1780</v>
      </c>
      <c r="Q749" t="n">
        <v>157</v>
      </c>
      <c r="R749" t="n">
        <v>69</v>
      </c>
      <c r="S749" t="n">
        <v>62</v>
      </c>
      <c r="T749" t="n">
        <v>376</v>
      </c>
      <c r="U749" t="n">
        <v>55</v>
      </c>
      <c r="V749" t="n">
        <v>314</v>
      </c>
      <c r="W749" t="n">
        <v>0.888</v>
      </c>
      <c r="X749" t="n">
        <v>119</v>
      </c>
      <c r="Y749" t="n">
        <v>130</v>
      </c>
      <c r="Z749" t="n">
        <v>257</v>
      </c>
      <c r="AA749" t="n">
        <v>2</v>
      </c>
      <c r="AB749" t="n">
        <v>7.2</v>
      </c>
      <c r="AC749" t="inlineStr">
        <is>
          <t xml:space="preserve"> Freeski</t>
        </is>
      </c>
      <c r="AD749" t="inlineStr">
        <is>
          <t xml:space="preserve"> Touring</t>
        </is>
      </c>
      <c r="AG749" t="inlineStr">
        <is>
          <t>Icelantic Nomad 95 Skis</t>
        </is>
      </c>
      <c r="AH749" t="inlineStr">
        <is>
          <t>Curated</t>
        </is>
      </c>
      <c r="AI749" s="333" t="n">
        <v>561</v>
      </c>
      <c r="AJ749" t="inlineStr">
        <is>
          <t>https://tinyurl.com/y8ez58xp</t>
        </is>
      </c>
      <c r="AK749" t="inlineStr">
        <is>
          <t>Icelantic Nomad 95 Skis</t>
        </is>
      </c>
      <c r="AL749" t="inlineStr">
        <is>
          <t>Peter Glenn Ski &amp; Sports</t>
        </is>
      </c>
      <c r="AM749" s="333" t="n">
        <v>561.75</v>
      </c>
      <c r="AN749" t="inlineStr">
        <is>
          <t>https://tinyurl.com/y8tzaxlo</t>
        </is>
      </c>
      <c r="AO749" t="inlineStr">
        <is>
          <t>Icelantic Nomad 95 Skis</t>
        </is>
      </c>
      <c r="AP749" t="inlineStr">
        <is>
          <t>GritrOutdoors</t>
        </is>
      </c>
      <c r="AQ749" s="333" t="n">
        <v>599</v>
      </c>
      <c r="AR749" t="inlineStr">
        <is>
          <t>https://tinyurl.com/yafs7qrt</t>
        </is>
      </c>
      <c r="AS749" s="314">
        <f>IF(LEFT(C749,1)=" ",RIGHT(C749,LEN(C749)-1),C749)</f>
        <v/>
      </c>
      <c r="AT749" s="281">
        <f>_xlfn.CONCAT(B749,AS749,D749,E749)</f>
        <v/>
      </c>
    </row>
    <row r="750">
      <c r="A750" t="inlineStr">
        <is>
          <t>21/22</t>
        </is>
      </c>
      <c r="B750" t="inlineStr">
        <is>
          <t xml:space="preserve"> Blizzard</t>
        </is>
      </c>
      <c r="C750" t="inlineStr">
        <is>
          <t>Black Pearl 97</t>
        </is>
      </c>
      <c r="D750" t="n">
        <v>153</v>
      </c>
      <c r="E750" t="inlineStr">
        <is>
          <t xml:space="preserve"> Women's</t>
        </is>
      </c>
      <c r="F750" t="n">
        <v>153</v>
      </c>
      <c r="G750" t="n">
        <v>151.4</v>
      </c>
      <c r="H750" t="n">
        <v>119</v>
      </c>
      <c r="I750" t="n">
        <v>128</v>
      </c>
      <c r="J750" t="n">
        <v>134</v>
      </c>
      <c r="K750" t="n">
        <v>96</v>
      </c>
      <c r="L750" t="n">
        <v>116</v>
      </c>
      <c r="M750" t="n">
        <v>13.7</v>
      </c>
      <c r="N750" t="n">
        <v>1655</v>
      </c>
      <c r="O750" t="n">
        <v>0.98</v>
      </c>
      <c r="P750" t="n">
        <v>1626</v>
      </c>
      <c r="Q750" t="n">
        <v>135</v>
      </c>
      <c r="R750" t="n">
        <v>72</v>
      </c>
      <c r="S750" t="n">
        <v>63</v>
      </c>
      <c r="T750" t="n">
        <v>222</v>
      </c>
      <c r="U750" t="n">
        <v>8</v>
      </c>
      <c r="V750" t="n">
        <v>104</v>
      </c>
      <c r="W750" t="n">
        <v>0.124</v>
      </c>
      <c r="X750" t="n">
        <v>122</v>
      </c>
      <c r="Y750" t="n">
        <v>111</v>
      </c>
      <c r="Z750" t="n">
        <v>100</v>
      </c>
      <c r="AA750" t="n">
        <v>5</v>
      </c>
      <c r="AB750" t="n">
        <v>11.2</v>
      </c>
      <c r="AC750" t="inlineStr">
        <is>
          <t xml:space="preserve"> Resort Freeride</t>
        </is>
      </c>
      <c r="AG750" t="inlineStr">
        <is>
          <t>Blizzard Black Pearl 97 21/22</t>
        </is>
      </c>
      <c r="AH750" t="inlineStr">
        <is>
          <t>Snowcountry.eu</t>
        </is>
      </c>
      <c r="AI750" s="333" t="n">
        <v>387.14</v>
      </c>
      <c r="AJ750" t="inlineStr">
        <is>
          <t>https://tinyurl.com/ybv2phae</t>
        </is>
      </c>
      <c r="AK750" t="inlineStr">
        <is>
          <t>2022 Blizzard Women's Black Pearl 97 Red / 153cm / New</t>
        </is>
      </c>
      <c r="AL750" t="inlineStr">
        <is>
          <t>Lone Pine Gear Exchange</t>
        </is>
      </c>
      <c r="AM750" s="333" t="n">
        <v>524.96</v>
      </c>
      <c r="AN750" t="inlineStr">
        <is>
          <t>https://tinyurl.com/y8r6gb82</t>
        </is>
      </c>
      <c r="AO750" t="inlineStr">
        <is>
          <t>Blizzard Black Pearl 97 Skis</t>
        </is>
      </c>
      <c r="AP750" t="inlineStr">
        <is>
          <t>Cole Sport</t>
        </is>
      </c>
      <c r="AQ750" s="333" t="n">
        <v>559.95</v>
      </c>
      <c r="AR750" t="inlineStr">
        <is>
          <t>https://tinyurl.com/yaqbrlmp</t>
        </is>
      </c>
      <c r="AS750" s="314">
        <f>IF(LEFT(C750,1)=" ",RIGHT(C750,LEN(C750)-1),C750)</f>
        <v/>
      </c>
      <c r="AT750" s="281">
        <f>_xlfn.CONCAT(B750,AS750,D750,E750)</f>
        <v/>
      </c>
    </row>
    <row r="751">
      <c r="A751" t="inlineStr">
        <is>
          <t>21/22</t>
        </is>
      </c>
      <c r="B751" t="inlineStr">
        <is>
          <t xml:space="preserve"> DPS</t>
        </is>
      </c>
      <c r="C751" t="inlineStr">
        <is>
          <t>Pagoda Tour 100 RP</t>
        </is>
      </c>
      <c r="D751" t="n">
        <v>163</v>
      </c>
      <c r="E751" t="inlineStr">
        <is>
          <t xml:space="preserve"> Unisex</t>
        </is>
      </c>
      <c r="F751" t="n">
        <v>163</v>
      </c>
      <c r="G751" t="n">
        <v>161.4</v>
      </c>
      <c r="H751" t="n">
        <v>107</v>
      </c>
      <c r="I751" t="n">
        <v>121</v>
      </c>
      <c r="J751" t="n">
        <v>126</v>
      </c>
      <c r="K751" t="n">
        <v>100</v>
      </c>
      <c r="L751" t="n">
        <v>113</v>
      </c>
      <c r="M751" t="n">
        <v>15.1</v>
      </c>
      <c r="N751" t="n">
        <v>1280</v>
      </c>
      <c r="O751" t="n">
        <v>1.37</v>
      </c>
      <c r="P751" t="n">
        <v>1755</v>
      </c>
      <c r="Q751" t="n">
        <v>173</v>
      </c>
      <c r="R751" t="n">
        <v>79</v>
      </c>
      <c r="S751" t="n">
        <v>54</v>
      </c>
      <c r="T751" t="n">
        <v>325</v>
      </c>
      <c r="U751" t="n">
        <v>11</v>
      </c>
      <c r="V751" t="n">
        <v>215</v>
      </c>
      <c r="W751" t="n">
        <v>0.2</v>
      </c>
      <c r="X751" t="n">
        <v>221</v>
      </c>
      <c r="Y751" t="n">
        <v>188</v>
      </c>
      <c r="Z751" t="n">
        <v>104</v>
      </c>
      <c r="AA751" t="n">
        <v>7</v>
      </c>
      <c r="AB751" t="n">
        <v>11.8</v>
      </c>
      <c r="AC751" t="inlineStr">
        <is>
          <t xml:space="preserve"> Touring</t>
        </is>
      </c>
      <c r="AD751" t="inlineStr">
        <is>
          <t xml:space="preserve"> Ultralight Touring</t>
        </is>
      </c>
      <c r="AG751" t="inlineStr">
        <is>
          <t>DPS 100 RP Pagoda Tour Skis Â· 163 cm</t>
        </is>
      </c>
      <c r="AH751" t="inlineStr">
        <is>
          <t>Skimo &amp; SkyRun</t>
        </is>
      </c>
      <c r="AI751" s="333" t="n">
        <v>1029</v>
      </c>
      <c r="AJ751" t="inlineStr">
        <is>
          <t>https://tinyurl.com/y9ovht4s</t>
        </is>
      </c>
      <c r="AK751" t="inlineStr">
        <is>
          <t>DPS 100 RP Pagoda Tour Skis Â· 163 cm</t>
        </is>
      </c>
      <c r="AL751" t="inlineStr">
        <is>
          <t>REI</t>
        </is>
      </c>
      <c r="AM751" s="333" t="n">
        <v>1038.93</v>
      </c>
      <c r="AN751" t="inlineStr">
        <is>
          <t>https://tinyurl.com/y9t8xctn</t>
        </is>
      </c>
      <c r="AO751" t="inlineStr">
        <is>
          <t>DPS 100 RP Pagoda Tour Skis Â· 163 cm</t>
        </is>
      </c>
      <c r="AP751" t="inlineStr">
        <is>
          <t>evo.com</t>
        </is>
      </c>
      <c r="AQ751" s="333" t="n">
        <v>1039.2</v>
      </c>
      <c r="AR751" t="inlineStr">
        <is>
          <t>https://tinyurl.com/yb8mjzt3</t>
        </is>
      </c>
      <c r="AS751" s="314">
        <f>IF(LEFT(C751,1)=" ",RIGHT(C751,LEN(C751)-1),C751)</f>
        <v/>
      </c>
      <c r="AT751" s="281">
        <f>_xlfn.CONCAT(B751,AS751,D751,E751)</f>
        <v/>
      </c>
    </row>
    <row r="752">
      <c r="A752" t="inlineStr">
        <is>
          <t>21/22</t>
        </is>
      </c>
      <c r="B752" t="inlineStr">
        <is>
          <t xml:space="preserve"> Blizzard</t>
        </is>
      </c>
      <c r="C752" t="inlineStr">
        <is>
          <t>Rustler 10</t>
        </is>
      </c>
      <c r="D752" t="n">
        <v>164</v>
      </c>
      <c r="E752" t="inlineStr">
        <is>
          <t xml:space="preserve"> Unisex</t>
        </is>
      </c>
      <c r="F752" t="n">
        <v>164</v>
      </c>
      <c r="G752" t="n">
        <v>162.4</v>
      </c>
      <c r="H752" t="n">
        <v>98</v>
      </c>
      <c r="I752" t="n">
        <v>133</v>
      </c>
      <c r="J752" t="n">
        <v>131</v>
      </c>
      <c r="K752" t="n">
        <v>101</v>
      </c>
      <c r="L752" t="n">
        <v>121</v>
      </c>
      <c r="M752" t="n">
        <v>15.4</v>
      </c>
      <c r="N752" t="n">
        <v>1840</v>
      </c>
      <c r="O752" t="n">
        <v>0.99</v>
      </c>
      <c r="P752" t="n">
        <v>1813</v>
      </c>
      <c r="Q752" t="n">
        <v>157</v>
      </c>
      <c r="R752" t="n">
        <v>84</v>
      </c>
      <c r="S752" t="n">
        <v>66</v>
      </c>
      <c r="T752" t="n">
        <v>361</v>
      </c>
      <c r="U752" t="n">
        <v>33</v>
      </c>
      <c r="V752" t="n">
        <v>279</v>
      </c>
      <c r="W752" t="n">
        <v>0.503</v>
      </c>
      <c r="X752" t="n">
        <v>161</v>
      </c>
      <c r="Y752" t="n">
        <v>136</v>
      </c>
      <c r="Z752" t="n">
        <v>200</v>
      </c>
      <c r="AA752" t="n">
        <v>4</v>
      </c>
      <c r="AB752" t="n">
        <v>7</v>
      </c>
      <c r="AC752" t="inlineStr">
        <is>
          <t xml:space="preserve"> Resort Freeride</t>
        </is>
      </c>
      <c r="AD752" t="inlineStr">
        <is>
          <t xml:space="preserve"> Powder</t>
        </is>
      </c>
      <c r="AG752" t="inlineStr">
        <is>
          <t xml:space="preserve"> 2018 Blizzard Rustler 10 Demo Ski with Bindings Size 164 (Option 211703)</t>
        </is>
      </c>
      <c r="AH752" t="inlineStr">
        <is>
          <t>SidelineSwap</t>
        </is>
      </c>
      <c r="AI752" s="333" t="n">
        <v>399.99</v>
      </c>
      <c r="AJ752" t="inlineStr">
        <is>
          <t>https://tinyurl.com/y9slzfzy</t>
        </is>
      </c>
      <c r="AK752" t="inlineStr">
        <is>
          <t>Blizzard Men's Rustler 10 Ski (Ski Only) Blue</t>
        </is>
      </c>
      <c r="AL752" t="inlineStr">
        <is>
          <t>Cotswold Outdoor US</t>
        </is>
      </c>
      <c r="AM752" s="333" t="n">
        <v>462</v>
      </c>
      <c r="AN752" t="inlineStr">
        <is>
          <t>https://tinyurl.com/yb47qws2</t>
        </is>
      </c>
      <c r="AO752" t="inlineStr">
        <is>
          <t>Blizzard Rustler 10 Skis - 2022 - 164cm</t>
        </is>
      </c>
      <c r="AP752" t="inlineStr">
        <is>
          <t>ColoradoSkiShop.com</t>
        </is>
      </c>
      <c r="AQ752" s="333" t="n">
        <v>559.95</v>
      </c>
      <c r="AR752" t="inlineStr">
        <is>
          <t>https://tinyurl.com/y8cpqfvp</t>
        </is>
      </c>
      <c r="AS752" s="314">
        <f>IF(LEFT(C752,1)=" ",RIGHT(C752,LEN(C752)-1),C752)</f>
        <v/>
      </c>
      <c r="AT752" s="281">
        <f>_xlfn.CONCAT(B752,AS752,D752,E752)</f>
        <v/>
      </c>
    </row>
    <row r="753">
      <c r="A753" t="inlineStr">
        <is>
          <t>21/22</t>
        </is>
      </c>
      <c r="B753" t="inlineStr">
        <is>
          <t xml:space="preserve"> Vï¿½lkl</t>
        </is>
      </c>
      <c r="C753" t="inlineStr">
        <is>
          <t>Revolt 104</t>
        </is>
      </c>
      <c r="D753" t="n">
        <v>188</v>
      </c>
      <c r="E753" t="inlineStr">
        <is>
          <t xml:space="preserve"> Unisex</t>
        </is>
      </c>
      <c r="F753" t="n">
        <v>188</v>
      </c>
      <c r="G753" t="n">
        <v>186.7</v>
      </c>
      <c r="H753" t="n">
        <v>106</v>
      </c>
      <c r="I753" t="n">
        <v>148</v>
      </c>
      <c r="J753" t="n">
        <v>131</v>
      </c>
      <c r="K753" t="n">
        <v>103</v>
      </c>
      <c r="L753" t="n">
        <v>120</v>
      </c>
      <c r="M753" t="n">
        <v>22.6</v>
      </c>
      <c r="N753" t="n">
        <v>2095</v>
      </c>
      <c r="O753" t="n">
        <v>1</v>
      </c>
      <c r="P753" t="n">
        <v>2094</v>
      </c>
      <c r="Q753" t="n">
        <v>182</v>
      </c>
      <c r="R753" t="n">
        <v>88</v>
      </c>
      <c r="S753" t="n">
        <v>57</v>
      </c>
      <c r="T753" t="n">
        <v>399</v>
      </c>
      <c r="U753" t="n">
        <v>41</v>
      </c>
      <c r="V753" t="n">
        <v>406</v>
      </c>
      <c r="W753" t="n">
        <v>0.721</v>
      </c>
      <c r="X753" t="n">
        <v>194</v>
      </c>
      <c r="Y753" t="n">
        <v>193</v>
      </c>
      <c r="Z753" t="n">
        <v>205</v>
      </c>
      <c r="AA753" t="n">
        <v>5</v>
      </c>
      <c r="AB753" t="n">
        <v>2.5</v>
      </c>
      <c r="AC753" t="inlineStr">
        <is>
          <t xml:space="preserve"> Resort Freeride</t>
        </is>
      </c>
      <c r="AD753" t="inlineStr">
        <is>
          <t xml:space="preserve"> Powder</t>
        </is>
      </c>
      <c r="AG753" t="inlineStr">
        <is>
          <t>Skis Volkl Revolt 104</t>
        </is>
      </c>
      <c r="AH753" t="inlineStr">
        <is>
          <t>Blue Tomato</t>
        </is>
      </c>
      <c r="AI753" s="333" t="n">
        <v>387.05</v>
      </c>
      <c r="AJ753" t="inlineStr">
        <is>
          <t>https://tinyurl.com/yagvg3u4</t>
        </is>
      </c>
      <c r="AK753" t="inlineStr">
        <is>
          <t>Volkl Revolt 104 188cm</t>
        </is>
      </c>
      <c r="AL753" t="inlineStr">
        <is>
          <t>Sundance Ski and Board Shop</t>
        </is>
      </c>
      <c r="AM753" s="333" t="n">
        <v>440.79</v>
      </c>
      <c r="AN753" t="inlineStr">
        <is>
          <t>https://tinyurl.com/ybtd29th</t>
        </is>
      </c>
      <c r="AO753" t="inlineStr">
        <is>
          <t>Skis Volkl Revolt 104</t>
        </is>
      </c>
      <c r="AP753" t="inlineStr">
        <is>
          <t>Next Adventure</t>
        </is>
      </c>
      <c r="AQ753" s="333" t="n">
        <v>479.99</v>
      </c>
      <c r="AR753" t="inlineStr">
        <is>
          <t>https://tinyurl.com/y8auq68m</t>
        </is>
      </c>
      <c r="AS753" s="314">
        <f>IF(LEFT(C753,1)=" ",RIGHT(C753,LEN(C753)-1),C753)</f>
        <v/>
      </c>
      <c r="AT753" s="281">
        <f>_xlfn.CONCAT(B753,AS753,D753,E753)</f>
        <v/>
      </c>
    </row>
    <row r="754">
      <c r="A754" t="inlineStr">
        <is>
          <t>21/22</t>
        </is>
      </c>
      <c r="B754" t="inlineStr">
        <is>
          <t xml:space="preserve"> Fischer</t>
        </is>
      </c>
      <c r="C754" t="inlineStr">
        <is>
          <t>Ranger 102 FR</t>
        </is>
      </c>
      <c r="D754" t="n">
        <v>191</v>
      </c>
      <c r="E754" t="inlineStr">
        <is>
          <t xml:space="preserve"> Unisex</t>
        </is>
      </c>
      <c r="F754" t="n">
        <v>191</v>
      </c>
      <c r="G754" t="n">
        <v>190.7</v>
      </c>
      <c r="H754" t="n">
        <v>132</v>
      </c>
      <c r="I754" t="n">
        <v>157</v>
      </c>
      <c r="J754" t="n">
        <v>137</v>
      </c>
      <c r="K754" t="n">
        <v>103</v>
      </c>
      <c r="L754" t="n">
        <v>127</v>
      </c>
      <c r="M754" t="n">
        <v>17.7</v>
      </c>
      <c r="N754" t="n">
        <v>2039</v>
      </c>
      <c r="O754" t="n">
        <v>1.08</v>
      </c>
      <c r="P754" t="n">
        <v>2209</v>
      </c>
      <c r="Q754" t="n">
        <v>251</v>
      </c>
      <c r="R754" t="n">
        <v>121</v>
      </c>
      <c r="S754" t="n">
        <v>50</v>
      </c>
      <c r="T754" t="n">
        <v>379</v>
      </c>
      <c r="U754" t="n">
        <v>28</v>
      </c>
      <c r="V754" t="n">
        <v>212</v>
      </c>
      <c r="W754" t="n">
        <v>0.552</v>
      </c>
      <c r="X754" t="n">
        <v>174</v>
      </c>
      <c r="Y754" t="n">
        <v>163</v>
      </c>
      <c r="Z754" t="n">
        <v>204</v>
      </c>
      <c r="AA754" t="n">
        <v>6</v>
      </c>
      <c r="AB754" t="n">
        <v>10.6</v>
      </c>
      <c r="AC754" t="inlineStr">
        <is>
          <t xml:space="preserve"> Resort Freeride</t>
        </is>
      </c>
      <c r="AD754" t="inlineStr">
        <is>
          <t xml:space="preserve"> Powder</t>
        </is>
      </c>
      <c r="AE754" t="inlineStr">
        <is>
          <t xml:space="preserve"> Touring</t>
        </is>
      </c>
      <c r="AG754" t="inlineStr">
        <is>
          <t>Fischer Ranger 102 FR Ski 2021</t>
        </is>
      </c>
      <c r="AH754" t="inlineStr">
        <is>
          <t>ColoradoSkiShop.com</t>
        </is>
      </c>
      <c r="AI754" s="333" t="n">
        <v>699.99</v>
      </c>
      <c r="AJ754" t="inlineStr">
        <is>
          <t>https://tinyurl.com/ybqnlfug</t>
        </is>
      </c>
      <c r="AK754" t="inlineStr">
        <is>
          <t>191cm 2022 Fischer Ranger 102 Fr Skis Mounted W/ Tyrolia Attack2 13</t>
        </is>
      </c>
      <c r="AL754" t="inlineStr">
        <is>
          <t>eBay - david110549</t>
        </is>
      </c>
      <c r="AM754" s="333" t="n">
        <v>849.99</v>
      </c>
      <c r="AN754" t="inlineStr">
        <is>
          <t>https://tinyurl.com/y7gcsxuh</t>
        </is>
      </c>
      <c r="AO754" t="inlineStr">
        <is>
          <t>RANGER 102 FR 191</t>
        </is>
      </c>
      <c r="AP754" t="inlineStr">
        <is>
          <t>Pro Ski and Mountain Service</t>
        </is>
      </c>
      <c r="AQ754" s="333" t="n">
        <v>699.99</v>
      </c>
      <c r="AR754" t="inlineStr">
        <is>
          <t>https://tinyurl.com/yb3znhsa</t>
        </is>
      </c>
      <c r="AS754" s="314">
        <f>IF(LEFT(C754,1)=" ",RIGHT(C754,LEN(C754)-1),C754)</f>
        <v/>
      </c>
      <c r="AT754" s="281">
        <f>_xlfn.CONCAT(B754,AS754,D754,E754)</f>
        <v/>
      </c>
    </row>
    <row r="755">
      <c r="A755" t="inlineStr">
        <is>
          <t>21/22</t>
        </is>
      </c>
      <c r="B755" t="inlineStr">
        <is>
          <t>K2</t>
        </is>
      </c>
      <c r="C755" t="inlineStr">
        <is>
          <t>Reckoner 122</t>
        </is>
      </c>
      <c r="D755" t="n">
        <v>191</v>
      </c>
      <c r="E755" t="inlineStr">
        <is>
          <t xml:space="preserve"> Unisex</t>
        </is>
      </c>
      <c r="F755" t="n">
        <v>191</v>
      </c>
      <c r="G755" t="n">
        <v>191.1</v>
      </c>
      <c r="H755" t="n">
        <v>106</v>
      </c>
      <c r="I755" t="n">
        <v>145</v>
      </c>
      <c r="J755" t="n">
        <v>144</v>
      </c>
      <c r="K755" t="n">
        <v>122</v>
      </c>
      <c r="L755" t="n">
        <v>135</v>
      </c>
      <c r="M755" t="n">
        <v>26.6</v>
      </c>
      <c r="N755" t="n">
        <v>2123</v>
      </c>
      <c r="O755" t="n">
        <v>1.15</v>
      </c>
      <c r="P755" t="n">
        <v>2445</v>
      </c>
      <c r="Q755" t="n">
        <v>217</v>
      </c>
      <c r="R755" t="n">
        <v>115</v>
      </c>
      <c r="S755" t="n">
        <v>67</v>
      </c>
      <c r="T755" t="n">
        <v>443</v>
      </c>
      <c r="U755" t="n">
        <v>56</v>
      </c>
      <c r="V755" t="n">
        <v>411</v>
      </c>
      <c r="W755" t="n">
        <v>0.841</v>
      </c>
      <c r="X755" t="n">
        <v>226</v>
      </c>
      <c r="Y755" t="n">
        <v>234</v>
      </c>
      <c r="Z755" t="n">
        <v>217</v>
      </c>
      <c r="AA755" t="n">
        <v>4</v>
      </c>
      <c r="AB755" t="n">
        <v>5.5</v>
      </c>
      <c r="AC755" t="inlineStr">
        <is>
          <t xml:space="preserve"> Freeski</t>
        </is>
      </c>
      <c r="AD755" t="inlineStr">
        <is>
          <t xml:space="preserve"> Powder</t>
        </is>
      </c>
      <c r="AE755" t="inlineStr">
        <is>
          <t xml:space="preserve"> Touring</t>
        </is>
      </c>
      <c r="AG755" t="inlineStr">
        <is>
          <t>K2 Reckoner 122 Skis 2022 - 191</t>
        </is>
      </c>
      <c r="AH755" t="inlineStr">
        <is>
          <t>Telemark Pyrenees</t>
        </is>
      </c>
      <c r="AI755" s="333" t="n">
        <v>412.48</v>
      </c>
      <c r="AJ755" t="inlineStr">
        <is>
          <t>https://tinyurl.com/y7o3gb98</t>
        </is>
      </c>
      <c r="AK755" t="inlineStr">
        <is>
          <t>K2 Reckoner 122 Skis 2022 - 191</t>
        </is>
      </c>
      <c r="AL755" t="inlineStr">
        <is>
          <t>Bobleisure</t>
        </is>
      </c>
      <c r="AM755" s="333" t="n">
        <v>450.65</v>
      </c>
      <c r="AN755" t="inlineStr">
        <is>
          <t>https://tinyurl.com/y97kfjw8</t>
        </is>
      </c>
      <c r="AO755" t="inlineStr">
        <is>
          <t>K2 Reckoner 122 Skis 2022 - 191</t>
        </is>
      </c>
      <c r="AP755" t="inlineStr">
        <is>
          <t>Snowinn.com</t>
        </is>
      </c>
      <c r="AQ755" s="333" t="n">
        <v>470.99</v>
      </c>
      <c r="AR755" t="inlineStr">
        <is>
          <t>https://tinyurl.com/ybs75f66</t>
        </is>
      </c>
      <c r="AS755" s="314">
        <f>IF(LEFT(C755,1)=" ",RIGHT(C755,LEN(C755)-1),C755)</f>
        <v/>
      </c>
      <c r="AT755" s="281">
        <f>_xlfn.CONCAT(B755,AS755,D755,E755)</f>
        <v/>
      </c>
    </row>
    <row r="756">
      <c r="A756" t="inlineStr">
        <is>
          <t>21/22</t>
        </is>
      </c>
      <c r="B756" t="inlineStr">
        <is>
          <t xml:space="preserve"> Head</t>
        </is>
      </c>
      <c r="C756" t="inlineStr">
        <is>
          <t xml:space="preserve"> Pure Joy</t>
        </is>
      </c>
      <c r="D756" t="n">
        <v>158</v>
      </c>
      <c r="E756" t="inlineStr">
        <is>
          <t xml:space="preserve"> Women's</t>
        </is>
      </c>
      <c r="F756" t="n">
        <v>158</v>
      </c>
      <c r="G756" t="n">
        <v>157.4</v>
      </c>
      <c r="H756" t="n">
        <v>135</v>
      </c>
      <c r="I756" t="n">
        <v>141</v>
      </c>
      <c r="J756" t="n">
        <v>129</v>
      </c>
      <c r="K756" t="n">
        <v>72</v>
      </c>
      <c r="L756" t="n">
        <v>106</v>
      </c>
      <c r="M756" t="n">
        <v>10.8</v>
      </c>
      <c r="N756" t="n">
        <v>1707</v>
      </c>
      <c r="O756" t="n">
        <v>0.83</v>
      </c>
      <c r="P756" t="n">
        <v>1408</v>
      </c>
      <c r="Q756" t="n">
        <v>145</v>
      </c>
      <c r="R756" t="n">
        <v>72</v>
      </c>
      <c r="S756" t="n">
        <v>35</v>
      </c>
      <c r="T756" t="n">
        <v>147</v>
      </c>
      <c r="U756" t="n">
        <v>12</v>
      </c>
      <c r="V756" t="n">
        <v>78</v>
      </c>
      <c r="W756" t="n">
        <v>0.349</v>
      </c>
      <c r="X756" t="n">
        <v>105</v>
      </c>
      <c r="Y756" t="n">
        <v>58</v>
      </c>
      <c r="Z756" t="n">
        <v>42</v>
      </c>
      <c r="AA756" t="n">
        <v>10</v>
      </c>
      <c r="AB756" t="n">
        <v>10.8</v>
      </c>
      <c r="AC756" t="inlineStr">
        <is>
          <t xml:space="preserve"> On-Piste Carving</t>
        </is>
      </c>
      <c r="AD756" t="inlineStr">
        <is>
          <t xml:space="preserve"> On-Piste All-Mountain</t>
        </is>
      </c>
      <c r="AG756" t="inlineStr">
        <is>
          <t>Head Easy Joy Skis w/Joy 9 GW Bindings Womens</t>
        </is>
      </c>
      <c r="AH756" t="inlineStr">
        <is>
          <t>! OutdoorXL.com</t>
        </is>
      </c>
      <c r="AI756" s="333" t="n">
        <v>189.95</v>
      </c>
      <c r="AJ756" t="inlineStr">
        <is>
          <t>https://tinyurl.com/ycmqsw9d</t>
        </is>
      </c>
      <c r="AK756" t="inlineStr">
        <is>
          <t>16-17 Head Total Joy  Women's Demo Skis W/bindings Size 158cm</t>
        </is>
      </c>
      <c r="AL756" t="inlineStr">
        <is>
          <t>eBay - demo-skis</t>
        </is>
      </c>
      <c r="AM756" s="333" t="n">
        <v>229</v>
      </c>
      <c r="AN756" t="inlineStr">
        <is>
          <t>https://tinyurl.com/yc5t2ca8</t>
        </is>
      </c>
      <c r="AO756" t="inlineStr">
        <is>
          <t>2018 Head Total Joy 158cm W/ Head Joy 11 Binding</t>
        </is>
      </c>
      <c r="AP756" t="inlineStr">
        <is>
          <t>eBay - riverpirate999</t>
        </is>
      </c>
      <c r="AQ756" s="333" t="n">
        <v>249</v>
      </c>
      <c r="AR756" t="inlineStr">
        <is>
          <t>https://tinyurl.com/yc6h9ldw</t>
        </is>
      </c>
      <c r="AS756" s="314">
        <f>IF(LEFT(C756,1)=" ",RIGHT(C756,LEN(C756)-1),C756)</f>
        <v/>
      </c>
      <c r="AT756" s="281">
        <f>_xlfn.CONCAT(B756,AS756,D756,E756)</f>
        <v/>
      </c>
    </row>
    <row r="757">
      <c r="A757" t="inlineStr">
        <is>
          <t>21/22</t>
        </is>
      </c>
      <c r="B757" t="inlineStr">
        <is>
          <t xml:space="preserve"> Black Crows</t>
        </is>
      </c>
      <c r="C757" t="inlineStr">
        <is>
          <t xml:space="preserve"> Orb Freebird</t>
        </is>
      </c>
      <c r="D757" t="n">
        <v>173.1</v>
      </c>
      <c r="E757" t="inlineStr">
        <is>
          <t xml:space="preserve"> Unisex</t>
        </is>
      </c>
      <c r="F757" t="n">
        <v>173.1</v>
      </c>
      <c r="G757" t="n">
        <v>172.3</v>
      </c>
      <c r="H757" t="n">
        <v>132</v>
      </c>
      <c r="I757" t="n">
        <v>149</v>
      </c>
      <c r="J757" t="n">
        <v>126</v>
      </c>
      <c r="K757" t="n">
        <v>88</v>
      </c>
      <c r="L757" t="n">
        <v>110</v>
      </c>
      <c r="M757" t="n">
        <v>17.6</v>
      </c>
      <c r="N757" t="n">
        <v>1417</v>
      </c>
      <c r="O757" t="n">
        <v>1.22</v>
      </c>
      <c r="P757" t="n">
        <v>1722</v>
      </c>
      <c r="Q757" t="n">
        <v>164</v>
      </c>
      <c r="R757" t="n">
        <v>72</v>
      </c>
      <c r="S757" t="n">
        <v>41</v>
      </c>
      <c r="T757" t="n">
        <v>254</v>
      </c>
      <c r="U757" t="n">
        <v>11</v>
      </c>
      <c r="V757" t="n">
        <v>152</v>
      </c>
      <c r="W757" t="n">
        <v>0.278</v>
      </c>
      <c r="X757" t="n">
        <v>113</v>
      </c>
      <c r="Y757" t="n">
        <v>121</v>
      </c>
      <c r="Z757" t="n">
        <v>141</v>
      </c>
      <c r="AA757" t="n">
        <v>6</v>
      </c>
      <c r="AB757" t="n">
        <v>10.8</v>
      </c>
      <c r="AC757" t="inlineStr">
        <is>
          <t xml:space="preserve"> Resort Freeride</t>
        </is>
      </c>
      <c r="AD757" t="inlineStr">
        <is>
          <t xml:space="preserve"> Touring</t>
        </is>
      </c>
      <c r="AG757" t="inlineStr">
        <is>
          <t>Black Crows Orb Freebird Skis</t>
        </is>
      </c>
      <c r="AH757" t="inlineStr">
        <is>
          <t>! OutdoorXL.com</t>
        </is>
      </c>
      <c r="AI757" s="333" t="n">
        <v>514.95</v>
      </c>
      <c r="AJ757" t="inlineStr">
        <is>
          <t>https://tinyurl.com/ybukogbu</t>
        </is>
      </c>
      <c r="AK757" t="inlineStr">
        <is>
          <t>Black Crows Orb Freebird Skis</t>
        </is>
      </c>
      <c r="AL757" t="inlineStr">
        <is>
          <t>eBay - asogear</t>
        </is>
      </c>
      <c r="AM757" s="333" t="n">
        <v>575.99</v>
      </c>
      <c r="AN757" t="inlineStr">
        <is>
          <t>https://tinyurl.com/y84er2cb</t>
        </is>
      </c>
      <c r="AO757" t="inlineStr">
        <is>
          <t>Black Crows Orb Freebird Skis - 2022 - Men's 173 cm</t>
        </is>
      </c>
      <c r="AP757" t="inlineStr">
        <is>
          <t>Arlberg Ski &amp; Surf Shops</t>
        </is>
      </c>
      <c r="AQ757" s="333" t="n">
        <v>583.96</v>
      </c>
      <c r="AR757" t="inlineStr">
        <is>
          <t>https://tinyurl.com/y9yt8fnp</t>
        </is>
      </c>
      <c r="AS757" s="314">
        <f>IF(LEFT(C757,1)=" ",RIGHT(C757,LEN(C757)-1),C757)</f>
        <v/>
      </c>
      <c r="AT757" s="281">
        <f>_xlfn.CONCAT(B757,AS757,D757,E757)</f>
        <v/>
      </c>
    </row>
    <row r="758">
      <c r="A758" t="inlineStr">
        <is>
          <t>21/22</t>
        </is>
      </c>
      <c r="B758" t="inlineStr">
        <is>
          <t xml:space="preserve"> Blizzard</t>
        </is>
      </c>
      <c r="C758" t="inlineStr">
        <is>
          <t>Black Pearl 88</t>
        </is>
      </c>
      <c r="D758" t="n">
        <v>153</v>
      </c>
      <c r="E758" t="inlineStr">
        <is>
          <t xml:space="preserve"> Women's</t>
        </is>
      </c>
      <c r="F758" t="n">
        <v>153</v>
      </c>
      <c r="G758" t="n">
        <v>151.6</v>
      </c>
      <c r="H758" t="n">
        <v>122</v>
      </c>
      <c r="I758" t="n">
        <v>129</v>
      </c>
      <c r="J758" t="n">
        <v>125</v>
      </c>
      <c r="K758" t="n">
        <v>86</v>
      </c>
      <c r="L758" t="n">
        <v>107</v>
      </c>
      <c r="M758" t="n">
        <v>13.2</v>
      </c>
      <c r="N758" t="n">
        <v>1585</v>
      </c>
      <c r="O758" t="n">
        <v>0.9399999999999999</v>
      </c>
      <c r="P758" t="n">
        <v>1484</v>
      </c>
      <c r="Q758" t="n">
        <v>141</v>
      </c>
      <c r="R758" t="n">
        <v>70</v>
      </c>
      <c r="S758" t="n">
        <v>60</v>
      </c>
      <c r="T758" t="n">
        <v>193</v>
      </c>
      <c r="U758" t="n">
        <v>8</v>
      </c>
      <c r="V758" t="n">
        <v>99</v>
      </c>
      <c r="W758" t="n">
        <v>0.135</v>
      </c>
      <c r="X758" t="n">
        <v>116</v>
      </c>
      <c r="Y758" t="n">
        <v>105</v>
      </c>
      <c r="Z758" t="n">
        <v>77</v>
      </c>
      <c r="AA758" t="n">
        <v>7</v>
      </c>
      <c r="AB758" t="n">
        <v>11.3</v>
      </c>
      <c r="AC758" t="inlineStr">
        <is>
          <t xml:space="preserve"> Resort Freeride</t>
        </is>
      </c>
      <c r="AG758" t="inlineStr">
        <is>
          <t>Blizzard Black Pearl 88 21/22</t>
        </is>
      </c>
      <c r="AH758" t="inlineStr">
        <is>
          <t>Snowcountry.eu</t>
        </is>
      </c>
      <c r="AI758" s="333" t="n">
        <v>354.88</v>
      </c>
      <c r="AJ758" t="inlineStr">
        <is>
          <t>https://tinyurl.com/ycfdrqgy</t>
        </is>
      </c>
      <c r="AK758" t="inlineStr">
        <is>
          <t>2022 Blizzard Black Pearl 88 ladies skis (SKI ONLY or with BINDINGS) 153</t>
        </is>
      </c>
      <c r="AL758" t="inlineStr">
        <is>
          <t>The Pro Shop</t>
        </is>
      </c>
      <c r="AM758" s="333" t="n">
        <v>647</v>
      </c>
      <c r="AN758" t="inlineStr">
        <is>
          <t>https://tinyurl.com/ycrf9cu5</t>
        </is>
      </c>
      <c r="AO758" t="inlineStr">
        <is>
          <t>Blizzard Black Pearl 88 Women's Skis 153cm 2023</t>
        </is>
      </c>
      <c r="AP758" t="inlineStr">
        <is>
          <t>Powder7 Ski Shop</t>
        </is>
      </c>
      <c r="AQ758" s="333" t="n">
        <v>649.95</v>
      </c>
      <c r="AR758" t="inlineStr">
        <is>
          <t>https://tinyurl.com/ycrdvkjk</t>
        </is>
      </c>
      <c r="AS758" s="314">
        <f>IF(LEFT(C758,1)=" ",RIGHT(C758,LEN(C758)-1),C758)</f>
        <v/>
      </c>
      <c r="AT758" s="281">
        <f>_xlfn.CONCAT(B758,AS758,D758,E758)</f>
        <v/>
      </c>
    </row>
    <row r="759">
      <c r="A759" t="inlineStr">
        <is>
          <t>21/22</t>
        </is>
      </c>
      <c r="B759" t="inlineStr">
        <is>
          <t>K2</t>
        </is>
      </c>
      <c r="C759" t="inlineStr">
        <is>
          <t>Reckoner 112</t>
        </is>
      </c>
      <c r="D759" t="n">
        <v>191</v>
      </c>
      <c r="E759" t="inlineStr">
        <is>
          <t xml:space="preserve"> Unisex</t>
        </is>
      </c>
      <c r="F759" t="n">
        <v>191</v>
      </c>
      <c r="G759" t="n">
        <v>191.7</v>
      </c>
      <c r="H759" t="n">
        <v>120</v>
      </c>
      <c r="I759" t="n">
        <v>145</v>
      </c>
      <c r="J759" t="n">
        <v>135</v>
      </c>
      <c r="K759" t="n">
        <v>111</v>
      </c>
      <c r="L759" t="n">
        <v>127</v>
      </c>
      <c r="M759" t="n">
        <v>25.1</v>
      </c>
      <c r="N759" t="n">
        <v>2141</v>
      </c>
      <c r="O759" t="n">
        <v>1.06</v>
      </c>
      <c r="P759" t="n">
        <v>2276</v>
      </c>
      <c r="Q759" t="n">
        <v>230</v>
      </c>
      <c r="R759" t="n">
        <v>121</v>
      </c>
      <c r="S759" t="n">
        <v>55</v>
      </c>
      <c r="T759" t="n">
        <v>378</v>
      </c>
      <c r="U759" t="n">
        <v>50</v>
      </c>
      <c r="V759" t="n">
        <v>335</v>
      </c>
      <c r="W759" t="n">
        <v>0.904</v>
      </c>
      <c r="X759" t="n">
        <v>218</v>
      </c>
      <c r="Y759" t="n">
        <v>244</v>
      </c>
      <c r="Z759" t="n">
        <v>159</v>
      </c>
      <c r="AA759" t="n">
        <v>7</v>
      </c>
      <c r="AB759" t="n">
        <v>5.9</v>
      </c>
      <c r="AC759" t="inlineStr">
        <is>
          <t xml:space="preserve"> Freeski</t>
        </is>
      </c>
      <c r="AD759" t="inlineStr">
        <is>
          <t xml:space="preserve"> Powder</t>
        </is>
      </c>
      <c r="AE759" t="inlineStr">
        <is>
          <t xml:space="preserve"> Touring</t>
        </is>
      </c>
      <c r="AG759" t="inlineStr">
        <is>
          <t>K2 Reckoner 112 191cm Freeride Powder Freestyle Skis No Bindings</t>
        </is>
      </c>
      <c r="AH759" t="inlineStr">
        <is>
          <t>eBay - matterhood</t>
        </is>
      </c>
      <c r="AI759" s="333" t="n">
        <v>275</v>
      </c>
      <c r="AJ759" t="inlineStr">
        <is>
          <t>https://tinyurl.com/yc98y7nz</t>
        </is>
      </c>
      <c r="AK759" t="inlineStr">
        <is>
          <t>K2 Reckoner 112 Skis</t>
        </is>
      </c>
      <c r="AL759" t="inlineStr">
        <is>
          <t>Telemark Pyrenees</t>
        </is>
      </c>
      <c r="AM759" s="333" t="n">
        <v>401.47</v>
      </c>
      <c r="AN759" t="inlineStr">
        <is>
          <t>https://tinyurl.com/ybava475</t>
        </is>
      </c>
      <c r="AO759" t="inlineStr">
        <is>
          <t>K2 Reckoner 112 Skis</t>
        </is>
      </c>
      <c r="AP759" t="inlineStr">
        <is>
          <t>Blue Tomato</t>
        </is>
      </c>
      <c r="AQ759" s="333" t="n">
        <v>405.53</v>
      </c>
      <c r="AR759" t="inlineStr">
        <is>
          <t>https://tinyurl.com/ybphaypl</t>
        </is>
      </c>
      <c r="AS759" s="314">
        <f>IF(LEFT(C759,1)=" ",RIGHT(C759,LEN(C759)-1),C759)</f>
        <v/>
      </c>
      <c r="AT759" s="281">
        <f>_xlfn.CONCAT(B759,AS759,D759,E759)</f>
        <v/>
      </c>
    </row>
    <row r="760">
      <c r="A760" t="inlineStr">
        <is>
          <t>21/22</t>
        </is>
      </c>
      <c r="B760" t="inlineStr">
        <is>
          <t xml:space="preserve"> Rossignol</t>
        </is>
      </c>
      <c r="C760" t="inlineStr">
        <is>
          <t>React 2</t>
        </is>
      </c>
      <c r="D760" t="n">
        <v>170</v>
      </c>
      <c r="E760" t="inlineStr">
        <is>
          <t xml:space="preserve"> Unisex</t>
        </is>
      </c>
      <c r="F760" t="n">
        <v>170</v>
      </c>
      <c r="G760" t="n">
        <v>168.4</v>
      </c>
      <c r="H760" t="n">
        <v>148</v>
      </c>
      <c r="I760" t="n">
        <v>153</v>
      </c>
      <c r="J760" t="n">
        <v>121</v>
      </c>
      <c r="K760" t="n">
        <v>74</v>
      </c>
      <c r="L760" t="n">
        <v>107</v>
      </c>
      <c r="M760" t="n">
        <v>14.6</v>
      </c>
      <c r="N760" t="n">
        <v>1594</v>
      </c>
      <c r="O760" t="n">
        <v>0.9399999999999999</v>
      </c>
      <c r="P760" t="n">
        <v>1497</v>
      </c>
      <c r="Q760" t="n">
        <v>179</v>
      </c>
      <c r="R760" t="n">
        <v>61</v>
      </c>
      <c r="S760" t="n">
        <v>35</v>
      </c>
      <c r="T760" t="n">
        <v>141</v>
      </c>
      <c r="U760" t="n">
        <v>5</v>
      </c>
      <c r="V760" t="n">
        <v>64</v>
      </c>
      <c r="W760" t="n">
        <v>0.141</v>
      </c>
      <c r="X760" t="n">
        <v>78</v>
      </c>
      <c r="Y760" t="n">
        <v>80</v>
      </c>
      <c r="Z760" t="n">
        <v>63</v>
      </c>
      <c r="AA760" t="n">
        <v>12</v>
      </c>
      <c r="AB760" t="n">
        <v>8.5</v>
      </c>
      <c r="AC760" t="inlineStr">
        <is>
          <t xml:space="preserve"> On-Piste Carving</t>
        </is>
      </c>
      <c r="AG760" t="inlineStr">
        <is>
          <t>Rossignol React 2 Xpress</t>
        </is>
      </c>
      <c r="AH760" t="inlineStr">
        <is>
          <t>SportÃ¨que</t>
        </is>
      </c>
      <c r="AI760" s="333" t="n">
        <v>340.58</v>
      </c>
      <c r="AJ760" t="inlineStr">
        <is>
          <t>https://tinyurl.com/yb8ny5ak</t>
        </is>
      </c>
      <c r="AK760" t="inlineStr">
        <is>
          <t>Rossignol React R2F - 170</t>
        </is>
      </c>
      <c r="AL760" t="inlineStr">
        <is>
          <t>Backpacking United</t>
        </is>
      </c>
      <c r="AM760" s="333" t="n">
        <v>168.09</v>
      </c>
      <c r="AN760" t="inlineStr">
        <is>
          <t>https://tinyurl.com/ybx434qu</t>
        </is>
      </c>
      <c r="AO760" t="inlineStr">
        <is>
          <t>Rossignol React 2/XP 10 GW RTL Black</t>
        </is>
      </c>
      <c r="AP760" t="inlineStr">
        <is>
          <t>Spoke-N-Sport</t>
        </is>
      </c>
      <c r="AQ760" s="333" t="n">
        <v>279.99</v>
      </c>
      <c r="AR760" t="inlineStr">
        <is>
          <t>https://tinyurl.com/ycyds6rn</t>
        </is>
      </c>
      <c r="AS760" s="314">
        <f>IF(LEFT(C760,1)=" ",RIGHT(C760,LEN(C760)-1),C760)</f>
        <v/>
      </c>
      <c r="AT760" s="281">
        <f>_xlfn.CONCAT(B760,AS760,D760,E760)</f>
        <v/>
      </c>
    </row>
    <row r="761">
      <c r="A761" t="inlineStr">
        <is>
          <t>21/22</t>
        </is>
      </c>
      <c r="B761" t="inlineStr">
        <is>
          <t xml:space="preserve"> Armada</t>
        </is>
      </c>
      <c r="C761" t="inlineStr">
        <is>
          <t>ARV 86</t>
        </is>
      </c>
      <c r="D761" t="n">
        <v>184</v>
      </c>
      <c r="E761" t="inlineStr">
        <is>
          <t xml:space="preserve"> Unisex</t>
        </is>
      </c>
      <c r="F761" t="n">
        <v>184</v>
      </c>
      <c r="G761" t="n">
        <v>181.7</v>
      </c>
      <c r="H761" t="n">
        <v>147</v>
      </c>
      <c r="I761" t="n">
        <v>157</v>
      </c>
      <c r="J761" t="n">
        <v>118</v>
      </c>
      <c r="K761" t="n">
        <v>86</v>
      </c>
      <c r="L761" t="n">
        <v>112</v>
      </c>
      <c r="M761" t="n">
        <v>18.7</v>
      </c>
      <c r="N761" t="n">
        <v>1901</v>
      </c>
      <c r="O761" t="n">
        <v>0.93</v>
      </c>
      <c r="P761" t="n">
        <v>1766</v>
      </c>
      <c r="Q761" t="n">
        <v>222</v>
      </c>
      <c r="R761" t="n">
        <v>114</v>
      </c>
      <c r="S761" t="n">
        <v>45</v>
      </c>
      <c r="T761" t="n">
        <v>187</v>
      </c>
      <c r="U761" t="n">
        <v>37</v>
      </c>
      <c r="V761" t="n">
        <v>158</v>
      </c>
      <c r="W761" t="n">
        <v>0.838</v>
      </c>
      <c r="X761" t="n">
        <v>116</v>
      </c>
      <c r="Y761" t="n">
        <v>129</v>
      </c>
      <c r="Z761" t="n">
        <v>72</v>
      </c>
      <c r="AA761" t="n">
        <v>10</v>
      </c>
      <c r="AB761" t="n">
        <v>4.6</v>
      </c>
      <c r="AC761" t="inlineStr">
        <is>
          <t xml:space="preserve"> Resort Freeride</t>
        </is>
      </c>
      <c r="AD761" t="inlineStr">
        <is>
          <t xml:space="preserve"> Freeski</t>
        </is>
      </c>
      <c r="AG761" t="inlineStr">
        <is>
          <t>Armada ARV 86 Skis 2022</t>
        </is>
      </c>
      <c r="AH761" t="inlineStr">
        <is>
          <t>Ski Pro  - Snow Ski &amp; Snowboard</t>
        </is>
      </c>
      <c r="AI761" s="333" t="n">
        <v>319.95</v>
      </c>
      <c r="AJ761" t="inlineStr">
        <is>
          <t>https://tinyurl.com/y96xsgkv</t>
        </is>
      </c>
      <c r="AK761" t="inlineStr">
        <is>
          <t>Armada ARV 86 Skis 2022</t>
        </is>
      </c>
      <c r="AL761" t="inlineStr">
        <is>
          <t>The Mountain Air</t>
        </is>
      </c>
      <c r="AM761" s="333" t="n">
        <v>319.96</v>
      </c>
      <c r="AN761" t="inlineStr">
        <is>
          <t>https://tinyurl.com/ybmwa46p</t>
        </is>
      </c>
      <c r="AO761" t="inlineStr">
        <is>
          <t>Armada ARV 86 Skis 2022</t>
        </is>
      </c>
      <c r="AP761" t="inlineStr">
        <is>
          <t>Next Adventure</t>
        </is>
      </c>
      <c r="AQ761" s="333" t="n">
        <v>319.96</v>
      </c>
      <c r="AR761" t="inlineStr">
        <is>
          <t>https://tinyurl.com/yb2d89jg</t>
        </is>
      </c>
      <c r="AS761" s="314">
        <f>IF(LEFT(C761,1)=" ",RIGHT(C761,LEN(C761)-1),C761)</f>
        <v/>
      </c>
      <c r="AT761" s="281">
        <f>_xlfn.CONCAT(B761,AS761,D761,E761)</f>
        <v/>
      </c>
    </row>
    <row r="762">
      <c r="A762" t="inlineStr">
        <is>
          <t>21/22</t>
        </is>
      </c>
      <c r="B762" t="inlineStr">
        <is>
          <t xml:space="preserve"> Line</t>
        </is>
      </c>
      <c r="C762" t="inlineStr">
        <is>
          <t xml:space="preserve"> Blend</t>
        </is>
      </c>
      <c r="D762" t="n">
        <v>185</v>
      </c>
      <c r="E762" t="inlineStr">
        <is>
          <t xml:space="preserve"> Unisex</t>
        </is>
      </c>
      <c r="F762" t="n">
        <v>185</v>
      </c>
      <c r="G762" t="n">
        <v>185.5</v>
      </c>
      <c r="H762" t="n">
        <v>140</v>
      </c>
      <c r="I762" t="n">
        <v>161</v>
      </c>
      <c r="J762" t="n">
        <v>132</v>
      </c>
      <c r="K762" t="n">
        <v>99</v>
      </c>
      <c r="L762" t="n">
        <v>121</v>
      </c>
      <c r="M762" t="n">
        <v>23.6</v>
      </c>
      <c r="N762" t="n">
        <v>1873</v>
      </c>
      <c r="O762" t="n">
        <v>1.08</v>
      </c>
      <c r="P762" t="n">
        <v>2021</v>
      </c>
      <c r="Q762" t="n">
        <v>154</v>
      </c>
      <c r="R762" t="n">
        <v>73</v>
      </c>
      <c r="S762" t="n">
        <v>42</v>
      </c>
      <c r="T762" t="n">
        <v>218</v>
      </c>
      <c r="U762" t="n">
        <v>34</v>
      </c>
      <c r="V762" t="n">
        <v>234</v>
      </c>
      <c r="W762" t="n">
        <v>0.8</v>
      </c>
      <c r="X762" t="n">
        <v>113</v>
      </c>
      <c r="Y762" t="n">
        <v>135</v>
      </c>
      <c r="Z762" t="n">
        <v>106</v>
      </c>
      <c r="AA762" t="n">
        <v>8</v>
      </c>
      <c r="AB762" t="n">
        <v>3.9</v>
      </c>
      <c r="AC762" t="inlineStr">
        <is>
          <t xml:space="preserve"> Resort Freeride</t>
        </is>
      </c>
      <c r="AD762" t="inlineStr">
        <is>
          <t xml:space="preserve"> Freeski</t>
        </is>
      </c>
      <c r="AE762" t="inlineStr">
        <is>
          <t xml:space="preserve"> Touring</t>
        </is>
      </c>
      <c r="AG762" t="inlineStr">
        <is>
          <t>Line 2022 Blend Skis</t>
        </is>
      </c>
      <c r="AH762" t="inlineStr">
        <is>
          <t>Teton Wasatch Ski Co.</t>
        </is>
      </c>
      <c r="AI762" s="333" t="n">
        <v>479</v>
      </c>
      <c r="AJ762" t="inlineStr">
        <is>
          <t>https://tinyurl.com/y9fbzgpg</t>
        </is>
      </c>
      <c r="AK762" t="inlineStr">
        <is>
          <t>Line 2022 Blend Skis</t>
        </is>
      </c>
      <c r="AL762" t="inlineStr">
        <is>
          <t>The-House.com</t>
        </is>
      </c>
      <c r="AM762" s="333" t="n">
        <v>479.95</v>
      </c>
      <c r="AN762" t="inlineStr">
        <is>
          <t>https://tinyurl.com/y7463c77</t>
        </is>
      </c>
      <c r="AO762" t="inlineStr">
        <is>
          <t>'22 Line Blend Skis 185cm</t>
        </is>
      </c>
      <c r="AP762" t="inlineStr">
        <is>
          <t>Al's Ski Equipment Barn</t>
        </is>
      </c>
      <c r="AQ762" s="333" t="n">
        <v>549.95</v>
      </c>
      <c r="AR762" t="inlineStr">
        <is>
          <t>https://tinyurl.com/y83p9xv2</t>
        </is>
      </c>
      <c r="AS762" s="314">
        <f>IF(LEFT(C762,1)=" ",RIGHT(C762,LEN(C762)-1),C762)</f>
        <v/>
      </c>
      <c r="AT762" s="281">
        <f>_xlfn.CONCAT(B762,AS762,D762,E762)</f>
        <v/>
      </c>
    </row>
    <row r="763">
      <c r="A763" t="inlineStr">
        <is>
          <t>21/22</t>
        </is>
      </c>
      <c r="B763" t="inlineStr">
        <is>
          <t xml:space="preserve"> Vï¿½lkl</t>
        </is>
      </c>
      <c r="C763" t="inlineStr">
        <is>
          <t>Blaze 94</t>
        </is>
      </c>
      <c r="D763" t="n">
        <v>158</v>
      </c>
      <c r="E763" t="inlineStr">
        <is>
          <t xml:space="preserve"> Unisex</t>
        </is>
      </c>
      <c r="F763" t="n">
        <v>158</v>
      </c>
      <c r="G763" t="n">
        <v>159.4</v>
      </c>
      <c r="H763" t="n">
        <v>80</v>
      </c>
      <c r="I763" t="n">
        <v>135</v>
      </c>
      <c r="J763" t="n">
        <v>133</v>
      </c>
      <c r="K763" t="n">
        <v>93</v>
      </c>
      <c r="L763" t="n">
        <v>115</v>
      </c>
      <c r="M763" t="n">
        <v>13.6</v>
      </c>
      <c r="N763" t="n">
        <v>1430</v>
      </c>
      <c r="O763" t="n">
        <v>1.18</v>
      </c>
      <c r="P763" t="n">
        <v>1692</v>
      </c>
      <c r="Q763" t="n">
        <v>169</v>
      </c>
      <c r="R763" t="n">
        <v>90</v>
      </c>
      <c r="S763" t="n">
        <v>48</v>
      </c>
      <c r="T763" t="n">
        <v>456</v>
      </c>
      <c r="U763" t="n">
        <v>21</v>
      </c>
      <c r="V763" t="n">
        <v>337</v>
      </c>
      <c r="W763" t="n">
        <v>0.435</v>
      </c>
      <c r="X763" t="n">
        <v>141</v>
      </c>
      <c r="Y763" t="n">
        <v>104</v>
      </c>
      <c r="Z763" t="n">
        <v>315</v>
      </c>
      <c r="AA763" t="n">
        <v>1</v>
      </c>
      <c r="AB763" t="n">
        <v>12.3</v>
      </c>
      <c r="AC763" t="inlineStr">
        <is>
          <t xml:space="preserve"> Resort Freeride</t>
        </is>
      </c>
      <c r="AD763" t="inlineStr">
        <is>
          <t xml:space="preserve"> Touring</t>
        </is>
      </c>
      <c r="AG763" t="inlineStr">
        <is>
          <t>Volkl Blaze 94 W Alpine Skis 2022 - - 158 cm</t>
        </is>
      </c>
      <c r="AH763" t="inlineStr">
        <is>
          <t>Skirack</t>
        </is>
      </c>
      <c r="AI763" s="333" t="n">
        <v>439.96</v>
      </c>
      <c r="AJ763" t="inlineStr">
        <is>
          <t>https://tinyurl.com/yagqkl2f</t>
        </is>
      </c>
      <c r="AK763" t="inlineStr">
        <is>
          <t>Volkl Blaze 94 2022 (Size: 158) | By Alpine Shop Vermont</t>
        </is>
      </c>
      <c r="AL763" t="inlineStr">
        <is>
          <t>AlpineShopVT.com</t>
        </is>
      </c>
      <c r="AM763" s="333" t="n">
        <v>439.99</v>
      </c>
      <c r="AN763" t="inlineStr">
        <is>
          <t>https://tinyurl.com/yalvcrw9</t>
        </is>
      </c>
      <c r="AO763" t="inlineStr">
        <is>
          <t>Volkl Blaze 94 Flat Women's Ski Winter 2021/2022 158</t>
        </is>
      </c>
      <c r="AP763" t="inlineStr">
        <is>
          <t>Equipe Sport</t>
        </is>
      </c>
      <c r="AQ763" s="333" t="n">
        <v>439.99</v>
      </c>
      <c r="AR763" t="inlineStr">
        <is>
          <t>https://tinyurl.com/ybn84ux2</t>
        </is>
      </c>
      <c r="AS763" s="314">
        <f>IF(LEFT(C763,1)=" ",RIGHT(C763,LEN(C763)-1),C763)</f>
        <v/>
      </c>
      <c r="AT763" s="281">
        <f>_xlfn.CONCAT(B763,AS763,D763,E763)</f>
        <v/>
      </c>
    </row>
    <row r="764">
      <c r="A764" t="inlineStr">
        <is>
          <t>21/22</t>
        </is>
      </c>
      <c r="B764" t="inlineStr">
        <is>
          <t xml:space="preserve"> Elan</t>
        </is>
      </c>
      <c r="C764" t="inlineStr">
        <is>
          <t>Ripstick 102 W</t>
        </is>
      </c>
      <c r="D764" t="n">
        <v>154</v>
      </c>
      <c r="E764" t="inlineStr">
        <is>
          <t xml:space="preserve"> Women's</t>
        </is>
      </c>
      <c r="F764" t="n">
        <v>154</v>
      </c>
      <c r="G764" t="n">
        <v>154.8</v>
      </c>
      <c r="H764" t="n">
        <v>109</v>
      </c>
      <c r="I764" t="n">
        <v>123</v>
      </c>
      <c r="J764" t="n">
        <v>137</v>
      </c>
      <c r="K764" t="n">
        <v>101</v>
      </c>
      <c r="L764" t="n">
        <v>115</v>
      </c>
      <c r="M764" t="n">
        <v>14.8</v>
      </c>
      <c r="N764" t="n">
        <v>1507</v>
      </c>
      <c r="O764" t="n">
        <v>1.15</v>
      </c>
      <c r="P764" t="n">
        <v>1733</v>
      </c>
      <c r="Q764" t="n">
        <v>140</v>
      </c>
      <c r="R764" t="n">
        <v>68</v>
      </c>
      <c r="S764" t="n">
        <v>49</v>
      </c>
      <c r="T764" t="n">
        <v>296</v>
      </c>
      <c r="U764" t="n">
        <v>15</v>
      </c>
      <c r="V764" t="n">
        <v>159</v>
      </c>
      <c r="W764" t="n">
        <v>0.298</v>
      </c>
      <c r="X764" t="n">
        <v>166</v>
      </c>
      <c r="Y764" t="n">
        <v>156</v>
      </c>
      <c r="Z764" t="n">
        <v>130</v>
      </c>
      <c r="AA764" t="n">
        <v>4</v>
      </c>
      <c r="AB764" t="n">
        <v>9.1</v>
      </c>
      <c r="AC764" t="inlineStr">
        <is>
          <t xml:space="preserve"> Resort Freeride</t>
        </is>
      </c>
      <c r="AD764" t="inlineStr">
        <is>
          <t xml:space="preserve"> Big Mountain</t>
        </is>
      </c>
      <c r="AE764" t="inlineStr">
        <is>
          <t xml:space="preserve"> Touring</t>
        </is>
      </c>
      <c r="AG764" t="inlineStr">
        <is>
          <t>Elan Ripstick 102 W Women's All Mountain Powder Skis 2021/22 154 cm</t>
        </is>
      </c>
      <c r="AH764" t="inlineStr">
        <is>
          <t>Utah SKI Gear</t>
        </is>
      </c>
      <c r="AI764" s="333" t="n">
        <v>519.95</v>
      </c>
      <c r="AJ764" t="inlineStr">
        <is>
          <t>https://tinyurl.com/yc45uzer</t>
        </is>
      </c>
      <c r="AK764" t="inlineStr">
        <is>
          <t>Elan Ripstick 102 Skis - Women's 2021</t>
        </is>
      </c>
      <c r="AL764" t="inlineStr">
        <is>
          <t>! OutdoorXL.com</t>
        </is>
      </c>
      <c r="AM764" s="333" t="n">
        <v>449.95</v>
      </c>
      <c r="AN764" t="inlineStr">
        <is>
          <t>https://tinyurl.com/y9pjazr2</t>
        </is>
      </c>
      <c r="AO764" t="inlineStr">
        <is>
          <t>Elan Ripstick 94 W Women's Skis 2022</t>
        </is>
      </c>
      <c r="AP764" t="inlineStr">
        <is>
          <t>PRFO Sports</t>
        </is>
      </c>
      <c r="AQ764" s="333" t="n">
        <v>561.01</v>
      </c>
      <c r="AR764" t="inlineStr">
        <is>
          <t>https://tinyurl.com/yd8tse2g</t>
        </is>
      </c>
      <c r="AS764" s="314">
        <f>IF(LEFT(C764,1)=" ",RIGHT(C764,LEN(C764)-1),C764)</f>
        <v/>
      </c>
      <c r="AT764" s="281">
        <f>_xlfn.CONCAT(B764,AS764,D764,E764)</f>
        <v/>
      </c>
    </row>
    <row r="765">
      <c r="A765" t="inlineStr">
        <is>
          <t>21/22</t>
        </is>
      </c>
      <c r="B765" t="inlineStr">
        <is>
          <t xml:space="preserve"> Rossignol</t>
        </is>
      </c>
      <c r="C765" t="inlineStr">
        <is>
          <t xml:space="preserve"> Hero Elite Short Turn Ti</t>
        </is>
      </c>
      <c r="D765" t="n">
        <v>162</v>
      </c>
      <c r="E765" t="inlineStr">
        <is>
          <t xml:space="preserve"> Unisex</t>
        </is>
      </c>
      <c r="F765" t="n">
        <v>162</v>
      </c>
      <c r="G765" t="n">
        <v>160.6</v>
      </c>
      <c r="H765" t="n">
        <v>140</v>
      </c>
      <c r="I765" t="n">
        <v>146</v>
      </c>
      <c r="J765" t="n">
        <v>121</v>
      </c>
      <c r="K765" t="n">
        <v>67</v>
      </c>
      <c r="L765" t="n">
        <v>102</v>
      </c>
      <c r="M765" t="n">
        <v>11.6</v>
      </c>
      <c r="N765" t="n">
        <v>1904</v>
      </c>
      <c r="O765" t="n">
        <v>0.71</v>
      </c>
      <c r="P765" t="n">
        <v>1351</v>
      </c>
      <c r="Q765" t="n">
        <v>199</v>
      </c>
      <c r="R765" t="n">
        <v>87</v>
      </c>
      <c r="S765" t="n">
        <v>40</v>
      </c>
      <c r="T765" t="n">
        <v>141</v>
      </c>
      <c r="U765" t="n">
        <v>4</v>
      </c>
      <c r="V765" t="n">
        <v>65</v>
      </c>
      <c r="W765" t="n">
        <v>0.104</v>
      </c>
      <c r="X765" t="n">
        <v>79</v>
      </c>
      <c r="Y765" t="n">
        <v>63</v>
      </c>
      <c r="Z765" t="n">
        <v>62</v>
      </c>
      <c r="AA765" t="n">
        <v>12</v>
      </c>
      <c r="AB765" t="n">
        <v>8.9</v>
      </c>
      <c r="AC765" t="inlineStr">
        <is>
          <t xml:space="preserve"> On-Piste Carving</t>
        </is>
      </c>
      <c r="AG765" t="inlineStr">
        <is>
          <t>Rossignol Hero Elite St Ti + SPX 14 Konect 21/22</t>
        </is>
      </c>
      <c r="AH765" t="inlineStr">
        <is>
          <t>Rossignol US</t>
        </is>
      </c>
      <c r="AI765" s="333" t="n">
        <v>1099.95</v>
      </c>
      <c r="AJ765" t="inlineStr">
        <is>
          <t>https://tinyurl.com/y9qsp4yh</t>
        </is>
      </c>
      <c r="AK765" t="inlineStr">
        <is>
          <t>Rossignol Unisex Racing Skis Hero Elite St Ti (R22)</t>
        </is>
      </c>
      <c r="AL765" t="inlineStr">
        <is>
          <t>eBay - asogear</t>
        </is>
      </c>
      <c r="AM765" s="333" t="n">
        <v>664.99</v>
      </c>
      <c r="AN765" t="inlineStr">
        <is>
          <t>https://tinyurl.com/ybg2657v</t>
        </is>
      </c>
      <c r="AO765" t="inlineStr">
        <is>
          <t>Rossignol Hero Elite ST TI K/SPX14 K.GWB 162cm</t>
        </is>
      </c>
      <c r="AP765" t="inlineStr">
        <is>
          <t>Sundance Ski and Board Shop</t>
        </is>
      </c>
      <c r="AQ765" s="333" t="n">
        <v>721.3</v>
      </c>
      <c r="AR765" t="inlineStr">
        <is>
          <t>https://tinyurl.com/ybol45ol</t>
        </is>
      </c>
      <c r="AS765" s="314">
        <f>IF(LEFT(C765,1)=" ",RIGHT(C765,LEN(C765)-1),C765)</f>
        <v/>
      </c>
      <c r="AT765" s="281">
        <f>_xlfn.CONCAT(B765,AS765,D765,E765)</f>
        <v/>
      </c>
    </row>
    <row r="766">
      <c r="A766" t="inlineStr">
        <is>
          <t>21/22</t>
        </is>
      </c>
      <c r="B766" t="inlineStr">
        <is>
          <t xml:space="preserve"> J Skis</t>
        </is>
      </c>
      <c r="C766" t="inlineStr">
        <is>
          <t xml:space="preserve"> The Masterblaster</t>
        </is>
      </c>
      <c r="D766" t="n">
        <v>181</v>
      </c>
      <c r="E766" t="inlineStr">
        <is>
          <t xml:space="preserve"> Unisex</t>
        </is>
      </c>
      <c r="F766" t="n">
        <v>181</v>
      </c>
      <c r="G766" t="n">
        <v>179</v>
      </c>
      <c r="H766" t="n">
        <v>124</v>
      </c>
      <c r="I766" t="n">
        <v>151</v>
      </c>
      <c r="J766" t="n">
        <v>132</v>
      </c>
      <c r="K766" t="n">
        <v>98</v>
      </c>
      <c r="L766" t="n">
        <v>117</v>
      </c>
      <c r="M766" t="n">
        <v>19.3</v>
      </c>
      <c r="N766" t="n">
        <v>2105</v>
      </c>
      <c r="O766" t="n">
        <v>0.92</v>
      </c>
      <c r="P766" t="n">
        <v>1944</v>
      </c>
      <c r="Q766" t="n">
        <v>232</v>
      </c>
      <c r="R766" t="n">
        <v>126</v>
      </c>
      <c r="S766" t="n">
        <v>56</v>
      </c>
      <c r="T766" t="n">
        <v>319</v>
      </c>
      <c r="U766" t="n">
        <v>29</v>
      </c>
      <c r="V766" t="n">
        <v>232</v>
      </c>
      <c r="W766" t="n">
        <v>0.515</v>
      </c>
      <c r="X766" t="n">
        <v>128</v>
      </c>
      <c r="Y766" t="n">
        <v>154</v>
      </c>
      <c r="Z766" t="n">
        <v>192</v>
      </c>
      <c r="AA766" t="n">
        <v>4</v>
      </c>
      <c r="AB766" t="n">
        <v>8</v>
      </c>
      <c r="AC766" t="inlineStr">
        <is>
          <t xml:space="preserve"> Resort Freeride</t>
        </is>
      </c>
      <c r="AG766" t="inlineStr">
        <is>
          <t xml:space="preserve"> - J-skis â€“ The Masterblaster â€œtailgaterâ€ 181cm 2020 With Look</t>
        </is>
      </c>
      <c r="AH766" t="inlineStr">
        <is>
          <t>eBay</t>
        </is>
      </c>
      <c r="AI766" s="333" t="n">
        <v>750</v>
      </c>
      <c r="AJ766" t="inlineStr">
        <is>
          <t>https://tinyurl.com/y8eoq2kg</t>
        </is>
      </c>
      <c r="AK766" t="inlineStr">
        <is>
          <t>Single Skis, Masterblaster - Piece 181cm - Right Single Ski</t>
        </is>
      </c>
      <c r="AL766" t="inlineStr">
        <is>
          <t>J Skis</t>
        </is>
      </c>
      <c r="AM766" s="333" t="n">
        <v>199</v>
      </c>
      <c r="AN766" t="inlineStr">
        <is>
          <t>https://tinyurl.com/ycncx4ah</t>
        </is>
      </c>
      <c r="AS766" s="314">
        <f>IF(LEFT(C766,1)=" ",RIGHT(C766,LEN(C766)-1),C766)</f>
        <v/>
      </c>
      <c r="AT766" s="281">
        <f>_xlfn.CONCAT(B766,AS766,D766,E766)</f>
        <v/>
      </c>
    </row>
    <row r="767">
      <c r="A767" t="inlineStr">
        <is>
          <t>21/22</t>
        </is>
      </c>
      <c r="B767" t="inlineStr">
        <is>
          <t xml:space="preserve"> Armada</t>
        </is>
      </c>
      <c r="C767" t="inlineStr">
        <is>
          <t>ARV 84</t>
        </is>
      </c>
      <c r="D767" t="n">
        <v>171</v>
      </c>
      <c r="E767" t="inlineStr">
        <is>
          <t xml:space="preserve"> Unisex</t>
        </is>
      </c>
      <c r="F767" t="n">
        <v>171</v>
      </c>
      <c r="G767" t="n">
        <v>169.7</v>
      </c>
      <c r="H767" t="n">
        <v>120</v>
      </c>
      <c r="I767" t="n">
        <v>141</v>
      </c>
      <c r="J767" t="n">
        <v>116</v>
      </c>
      <c r="K767" t="n">
        <v>83</v>
      </c>
      <c r="L767" t="n">
        <v>108</v>
      </c>
      <c r="M767" t="n">
        <v>16.5</v>
      </c>
      <c r="N767" t="n">
        <v>1790</v>
      </c>
      <c r="O767" t="n">
        <v>0.9</v>
      </c>
      <c r="P767" t="n">
        <v>1612</v>
      </c>
      <c r="Q767" t="n">
        <v>176</v>
      </c>
      <c r="R767" t="n">
        <v>69</v>
      </c>
      <c r="S767" t="n">
        <v>49</v>
      </c>
      <c r="T767" t="n">
        <v>283</v>
      </c>
      <c r="U767" t="n">
        <v>37</v>
      </c>
      <c r="V767" t="n">
        <v>214</v>
      </c>
      <c r="W767" t="n">
        <v>0.749</v>
      </c>
      <c r="X767" t="n">
        <v>159</v>
      </c>
      <c r="Y767" t="n">
        <v>128</v>
      </c>
      <c r="Z767" t="n">
        <v>124</v>
      </c>
      <c r="AA767" t="n">
        <v>8</v>
      </c>
      <c r="AB767" t="n">
        <v>7.2</v>
      </c>
      <c r="AC767" t="inlineStr">
        <is>
          <t xml:space="preserve"> Resort Freeride</t>
        </is>
      </c>
      <c r="AG767" t="inlineStr">
        <is>
          <t>Armada ARV 84 Ski Men's, 171</t>
        </is>
      </c>
      <c r="AH767" t="inlineStr">
        <is>
          <t>PRFO Sports</t>
        </is>
      </c>
      <c r="AI767" s="333" t="n">
        <v>274.89</v>
      </c>
      <c r="AJ767" t="inlineStr">
        <is>
          <t>https://tinyurl.com/y7afx22a</t>
        </is>
      </c>
      <c r="AK767" t="inlineStr">
        <is>
          <t>Armada ARV 84 Ski Men's, 171</t>
        </is>
      </c>
      <c r="AL767" t="inlineStr">
        <is>
          <t>UtahSkis</t>
        </is>
      </c>
      <c r="AM767" s="333" t="n">
        <v>279.96</v>
      </c>
      <c r="AN767" t="inlineStr">
        <is>
          <t>https://tinyurl.com/y9pylx7f</t>
        </is>
      </c>
      <c r="AO767" t="inlineStr">
        <is>
          <t>Armada ARV 84 Ski Men's, 171</t>
        </is>
      </c>
      <c r="AP767" t="inlineStr">
        <is>
          <t>BlueZone Sports</t>
        </is>
      </c>
      <c r="AQ767" s="333" t="n">
        <v>349.95</v>
      </c>
      <c r="AR767" t="inlineStr">
        <is>
          <t>https://tinyurl.com/yd6slt76</t>
        </is>
      </c>
      <c r="AS767" s="314">
        <f>IF(LEFT(C767,1)=" ",RIGHT(C767,LEN(C767)-1),C767)</f>
        <v/>
      </c>
      <c r="AT767" s="281">
        <f>_xlfn.CONCAT(B767,AS767,D767,E767)</f>
        <v/>
      </c>
    </row>
    <row r="768">
      <c r="A768" t="inlineStr">
        <is>
          <t>21/22</t>
        </is>
      </c>
      <c r="B768" t="inlineStr">
        <is>
          <t xml:space="preserve"> Vï¿½lkl</t>
        </is>
      </c>
      <c r="C768" t="inlineStr">
        <is>
          <t xml:space="preserve"> Flair SC Carbon</t>
        </is>
      </c>
      <c r="D768" t="n">
        <v>155</v>
      </c>
      <c r="E768" t="inlineStr">
        <is>
          <t xml:space="preserve"> Women's</t>
        </is>
      </c>
      <c r="F768" t="n">
        <v>155</v>
      </c>
      <c r="G768" t="n">
        <v>154.5</v>
      </c>
      <c r="H768" t="n">
        <v>132</v>
      </c>
      <c r="I768" t="n">
        <v>140</v>
      </c>
      <c r="J768" t="n">
        <v>123</v>
      </c>
      <c r="K768" t="n">
        <v>70</v>
      </c>
      <c r="L768" t="n">
        <v>103</v>
      </c>
      <c r="M768" t="n">
        <v>11.4</v>
      </c>
      <c r="N768" t="n">
        <v>1587</v>
      </c>
      <c r="O768" t="n">
        <v>0.84</v>
      </c>
      <c r="P768" t="n">
        <v>1328</v>
      </c>
      <c r="Q768" t="n">
        <v>193</v>
      </c>
      <c r="R768" t="n">
        <v>71</v>
      </c>
      <c r="S768" t="n">
        <v>47</v>
      </c>
      <c r="T768" t="n">
        <v>168</v>
      </c>
      <c r="U768" t="n">
        <v>6</v>
      </c>
      <c r="V768" t="n">
        <v>57</v>
      </c>
      <c r="W768" t="n">
        <v>0.129</v>
      </c>
      <c r="X768" t="n">
        <v>70</v>
      </c>
      <c r="Y768" t="n">
        <v>77</v>
      </c>
      <c r="Z768" t="n">
        <v>98</v>
      </c>
      <c r="AA768" t="n">
        <v>4</v>
      </c>
      <c r="AB768" t="n">
        <v>13.1</v>
      </c>
      <c r="AC768" t="inlineStr">
        <is>
          <t xml:space="preserve"> On-Piste Carving</t>
        </is>
      </c>
      <c r="AG768" t="inlineStr">
        <is>
          <t>Volkl Flair SC Carbon Skis w/ vMotion 11 Alu GW Bindings</t>
        </is>
      </c>
      <c r="AH768" t="inlineStr">
        <is>
          <t>The-House.com</t>
        </is>
      </c>
      <c r="AI768" s="333" t="n">
        <v>759.99</v>
      </c>
      <c r="AJ768" t="inlineStr">
        <is>
          <t>https://tinyurl.com/ybd97koq</t>
        </is>
      </c>
      <c r="AK768" t="inlineStr">
        <is>
          <t>Volkl Racetiger SC Carbon Skis w Marker vMotion 12 GW Demo Bindings  Demo</t>
        </is>
      </c>
      <c r="AL768" t="inlineStr">
        <is>
          <t>Powder7 Ski Shop</t>
        </is>
      </c>
      <c r="AM768" s="333" t="n">
        <v>419.99</v>
      </c>
      <c r="AN768" t="inlineStr">
        <is>
          <t>https://tinyurl.com/yd79qo9m</t>
        </is>
      </c>
      <c r="AO768" t="inlineStr">
        <is>
          <t>Volkl Racetiger SC W/Marker vMotion3 - 2022 - 155cm</t>
        </is>
      </c>
      <c r="AP768" t="inlineStr">
        <is>
          <t>ColoradoSkiShop.com</t>
        </is>
      </c>
      <c r="AQ768" s="333" t="n">
        <v>899.99</v>
      </c>
      <c r="AR768" t="inlineStr">
        <is>
          <t>https://tinyurl.com/y94mljle</t>
        </is>
      </c>
      <c r="AS768" s="314">
        <f>IF(LEFT(C768,1)=" ",RIGHT(C768,LEN(C768)-1),C768)</f>
        <v/>
      </c>
      <c r="AT768" s="281">
        <f>_xlfn.CONCAT(B768,AS768,D768,E768)</f>
        <v/>
      </c>
    </row>
    <row r="769">
      <c r="A769" t="inlineStr">
        <is>
          <t>21/22</t>
        </is>
      </c>
      <c r="B769" t="inlineStr">
        <is>
          <t xml:space="preserve"> Raccoon</t>
        </is>
      </c>
      <c r="C769" t="inlineStr">
        <is>
          <t>Chinook 108</t>
        </is>
      </c>
      <c r="D769" t="n">
        <v>180</v>
      </c>
      <c r="E769" t="inlineStr">
        <is>
          <t xml:space="preserve"> Unisex</t>
        </is>
      </c>
      <c r="F769" t="n">
        <v>180</v>
      </c>
      <c r="G769" t="n">
        <v>178.1</v>
      </c>
      <c r="H769" t="n">
        <v>119</v>
      </c>
      <c r="I769" t="n">
        <v>149</v>
      </c>
      <c r="J769" t="n">
        <v>137</v>
      </c>
      <c r="K769" t="n">
        <v>108</v>
      </c>
      <c r="L769" t="n">
        <v>128</v>
      </c>
      <c r="M769" t="n">
        <v>19.4</v>
      </c>
      <c r="N769" t="n">
        <v>1606</v>
      </c>
      <c r="O769" t="n">
        <v>1.31</v>
      </c>
      <c r="P769" t="n">
        <v>2103</v>
      </c>
      <c r="Q769" t="n">
        <v>226</v>
      </c>
      <c r="R769" t="n">
        <v>55</v>
      </c>
      <c r="S769" t="n">
        <v>70</v>
      </c>
      <c r="T769" t="n">
        <v>324</v>
      </c>
      <c r="U769" t="n">
        <v>33</v>
      </c>
      <c r="V769" t="n">
        <v>268</v>
      </c>
      <c r="W769" t="n">
        <v>0.475</v>
      </c>
      <c r="X769" t="n">
        <v>161</v>
      </c>
      <c r="Y769" t="n">
        <v>129</v>
      </c>
      <c r="Z769" t="n">
        <v>163</v>
      </c>
      <c r="AA769" t="n">
        <v>6</v>
      </c>
      <c r="AB769" t="n">
        <v>11.5</v>
      </c>
      <c r="AC769" t="inlineStr">
        <is>
          <t xml:space="preserve"> Powder</t>
        </is>
      </c>
      <c r="AD769" t="inlineStr">
        <is>
          <t xml:space="preserve"> Touring</t>
        </is>
      </c>
      <c r="AE769" t="inlineStr">
        <is>
          <t xml:space="preserve"> Ultralight Touring</t>
        </is>
      </c>
      <c r="AS769" s="314">
        <f>IF(LEFT(C769,1)=" ",RIGHT(C769,LEN(C769)-1),C769)</f>
        <v/>
      </c>
      <c r="AT769" s="281">
        <f>_xlfn.CONCAT(B769,AS769,D769,E769)</f>
        <v/>
      </c>
    </row>
    <row r="770">
      <c r="A770" t="inlineStr">
        <is>
          <t>21/22</t>
        </is>
      </c>
      <c r="B770" t="inlineStr">
        <is>
          <t xml:space="preserve"> Faction</t>
        </is>
      </c>
      <c r="C770" t="inlineStr">
        <is>
          <t>Prodigy 0.0</t>
        </is>
      </c>
      <c r="D770" t="n">
        <v>164</v>
      </c>
      <c r="E770" t="inlineStr">
        <is>
          <t xml:space="preserve"> Unisex</t>
        </is>
      </c>
      <c r="F770" t="n">
        <v>164</v>
      </c>
      <c r="G770" t="n">
        <v>162.5</v>
      </c>
      <c r="H770" t="n">
        <v>112</v>
      </c>
      <c r="I770" t="n">
        <v>138</v>
      </c>
      <c r="J770" t="n">
        <v>117</v>
      </c>
      <c r="K770" t="n">
        <v>84</v>
      </c>
      <c r="L770" t="n">
        <v>109</v>
      </c>
      <c r="M770" t="n">
        <v>14.7</v>
      </c>
      <c r="N770" t="n">
        <v>1659</v>
      </c>
      <c r="O770" t="n">
        <v>0.9399999999999999</v>
      </c>
      <c r="P770" t="n">
        <v>1559</v>
      </c>
      <c r="Q770" t="n">
        <v>152</v>
      </c>
      <c r="R770" t="n">
        <v>69</v>
      </c>
      <c r="S770" t="n">
        <v>49</v>
      </c>
      <c r="T770" t="n">
        <v>282</v>
      </c>
      <c r="U770" t="n">
        <v>36</v>
      </c>
      <c r="V770" t="n">
        <v>221</v>
      </c>
      <c r="W770" t="n">
        <v>0.728</v>
      </c>
      <c r="X770" t="n">
        <v>136</v>
      </c>
      <c r="Y770" t="n">
        <v>114</v>
      </c>
      <c r="Z770" t="n">
        <v>146</v>
      </c>
      <c r="AA770" t="n">
        <v>5</v>
      </c>
      <c r="AB770" t="n">
        <v>6.9</v>
      </c>
      <c r="AC770" t="inlineStr">
        <is>
          <t xml:space="preserve"> Resort Freeride</t>
        </is>
      </c>
      <c r="AG770" t="inlineStr">
        <is>
          <t>Faction Prodigy 0.0 with M10 GW Binding Skis</t>
        </is>
      </c>
      <c r="AH770" t="inlineStr">
        <is>
          <t>Backcountry.com</t>
        </is>
      </c>
      <c r="AI770" s="333" t="n">
        <v>314.27</v>
      </c>
      <c r="AJ770" t="inlineStr">
        <is>
          <t>https://tinyurl.com/y6uqwtul</t>
        </is>
      </c>
      <c r="AK770" t="inlineStr">
        <is>
          <t>Prodigy 0.0 164</t>
        </is>
      </c>
      <c r="AL770" t="inlineStr">
        <is>
          <t>BS The Board Shop</t>
        </is>
      </c>
      <c r="AM770" s="333" t="n">
        <v>329.95</v>
      </c>
      <c r="AN770" t="inlineStr">
        <is>
          <t>https://tinyurl.com/yd25cffg</t>
        </is>
      </c>
      <c r="AO770" t="inlineStr">
        <is>
          <t>Faction - Prodigy 1.0 - 164</t>
        </is>
      </c>
      <c r="AP770" t="inlineStr">
        <is>
          <t>Gear West Ski &amp; Bike</t>
        </is>
      </c>
      <c r="AQ770" s="333" t="n">
        <v>449</v>
      </c>
      <c r="AR770" t="inlineStr">
        <is>
          <t>https://tinyurl.com/y7y85nhh</t>
        </is>
      </c>
      <c r="AS770" s="314">
        <f>IF(LEFT(C770,1)=" ",RIGHT(C770,LEN(C770)-1),C770)</f>
        <v/>
      </c>
      <c r="AT770" s="281">
        <f>_xlfn.CONCAT(B770,AS770,D770,E770)</f>
        <v/>
      </c>
    </row>
    <row r="771">
      <c r="A771" t="inlineStr">
        <is>
          <t>21/22</t>
        </is>
      </c>
      <c r="B771" t="inlineStr">
        <is>
          <t xml:space="preserve"> Rossignol</t>
        </is>
      </c>
      <c r="C771" t="inlineStr">
        <is>
          <t>Hero Elite ST Ti (R22)</t>
        </is>
      </c>
      <c r="D771" t="n">
        <v>157</v>
      </c>
      <c r="E771" t="inlineStr">
        <is>
          <t xml:space="preserve"> Unisex</t>
        </is>
      </c>
      <c r="F771" t="n">
        <v>157</v>
      </c>
      <c r="G771" t="n">
        <v>155.4</v>
      </c>
      <c r="H771" t="n">
        <v>135</v>
      </c>
      <c r="I771" t="n">
        <v>142</v>
      </c>
      <c r="J771" t="n">
        <v>121</v>
      </c>
      <c r="K771" t="n">
        <v>67</v>
      </c>
      <c r="L771" t="n">
        <v>102</v>
      </c>
      <c r="M771" t="n">
        <v>10.8</v>
      </c>
      <c r="N771" t="n">
        <v>2008</v>
      </c>
      <c r="O771" t="n">
        <v>0.65</v>
      </c>
      <c r="P771" t="n">
        <v>1308</v>
      </c>
      <c r="Q771" t="n">
        <v>187</v>
      </c>
      <c r="R771" t="n">
        <v>93</v>
      </c>
      <c r="S771" t="n">
        <v>39</v>
      </c>
      <c r="T771" t="n">
        <v>137</v>
      </c>
      <c r="U771" t="n">
        <v>4</v>
      </c>
      <c r="V771" t="n">
        <v>66</v>
      </c>
      <c r="W771" t="n">
        <v>0.114</v>
      </c>
      <c r="X771" t="n">
        <v>74</v>
      </c>
      <c r="Y771" t="n">
        <v>62</v>
      </c>
      <c r="Z771" t="n">
        <v>64</v>
      </c>
      <c r="AA771" t="n">
        <v>11</v>
      </c>
      <c r="AB771" t="n">
        <v>8.1</v>
      </c>
      <c r="AC771" t="inlineStr">
        <is>
          <t xml:space="preserve"> On-Piste Carving</t>
        </is>
      </c>
      <c r="AG771" t="inlineStr">
        <is>
          <t>Rossignol Unisex Racing Skis Hero Elite St Ti (R22)</t>
        </is>
      </c>
      <c r="AH771" t="inlineStr">
        <is>
          <t>Bobleisure</t>
        </is>
      </c>
      <c r="AI771" s="333" t="n">
        <v>651.2</v>
      </c>
      <c r="AJ771" t="inlineStr">
        <is>
          <t>https://tinyurl.com/y948rmlj</t>
        </is>
      </c>
      <c r="AK771" t="inlineStr">
        <is>
          <t>Rossignol Hero Elite ST TI K/SPX14 K.GWB 157cm</t>
        </is>
      </c>
      <c r="AL771" t="inlineStr">
        <is>
          <t>Sundance Ski and Board Shop</t>
        </is>
      </c>
      <c r="AM771" s="333" t="n">
        <v>721.3</v>
      </c>
      <c r="AN771" t="inlineStr">
        <is>
          <t>https://tinyurl.com/ycgoyt7l</t>
        </is>
      </c>
      <c r="AO771" t="inlineStr">
        <is>
          <t>Rossignol Unisex Racing Skis Hero Athlete Fis SL (R22) 157</t>
        </is>
      </c>
      <c r="AP771" t="inlineStr">
        <is>
          <t>eBay - skitrader-com</t>
        </is>
      </c>
      <c r="AQ771" s="333" t="n">
        <v>845.96</v>
      </c>
      <c r="AR771" t="inlineStr">
        <is>
          <t>https://tinyurl.com/yb6l9clu</t>
        </is>
      </c>
      <c r="AS771" s="314">
        <f>IF(LEFT(C771,1)=" ",RIGHT(C771,LEN(C771)-1),C771)</f>
        <v/>
      </c>
      <c r="AT771" s="281">
        <f>_xlfn.CONCAT(B771,AS771,D771,E771)</f>
        <v/>
      </c>
    </row>
    <row r="772">
      <c r="A772" t="inlineStr">
        <is>
          <t>21/22</t>
        </is>
      </c>
      <c r="B772" t="inlineStr">
        <is>
          <t xml:space="preserve"> Atomic</t>
        </is>
      </c>
      <c r="C772" t="inlineStr">
        <is>
          <t>Maverick 88 Ti</t>
        </is>
      </c>
      <c r="D772" t="n">
        <v>176</v>
      </c>
      <c r="E772" t="inlineStr">
        <is>
          <t xml:space="preserve"> Unisex</t>
        </is>
      </c>
      <c r="F772" t="n">
        <v>176</v>
      </c>
      <c r="G772" t="n">
        <v>175.1</v>
      </c>
      <c r="H772" t="n">
        <v>132</v>
      </c>
      <c r="I772" t="n">
        <v>149</v>
      </c>
      <c r="J772" t="n">
        <v>124</v>
      </c>
      <c r="K772" t="n">
        <v>87</v>
      </c>
      <c r="L772" t="n">
        <v>107</v>
      </c>
      <c r="M772" t="n">
        <v>18.3</v>
      </c>
      <c r="N772" t="n">
        <v>1694</v>
      </c>
      <c r="O772" t="n">
        <v>1.02</v>
      </c>
      <c r="P772" t="n">
        <v>1721</v>
      </c>
      <c r="Q772" t="n">
        <v>215</v>
      </c>
      <c r="R772" t="n">
        <v>143</v>
      </c>
      <c r="S772" t="n">
        <v>46</v>
      </c>
      <c r="T772" t="n">
        <v>253</v>
      </c>
      <c r="U772" t="n">
        <v>11</v>
      </c>
      <c r="V772" t="n">
        <v>176</v>
      </c>
      <c r="W772" t="n">
        <v>0.238</v>
      </c>
      <c r="X772" t="n">
        <v>155</v>
      </c>
      <c r="Y772" t="n">
        <v>111</v>
      </c>
      <c r="Z772" t="n">
        <v>98</v>
      </c>
      <c r="AA772" t="n">
        <v>9</v>
      </c>
      <c r="AB772" t="n">
        <v>8.6</v>
      </c>
      <c r="AC772" t="inlineStr">
        <is>
          <t xml:space="preserve"> Resort Freeride</t>
        </is>
      </c>
      <c r="AG772" t="inlineStr">
        <is>
          <t>Atomic Maverick 88 Ti Skis</t>
        </is>
      </c>
      <c r="AH772" t="inlineStr">
        <is>
          <t>REI</t>
        </is>
      </c>
      <c r="AI772" s="333" t="n">
        <v>519.9299999999999</v>
      </c>
      <c r="AJ772" t="inlineStr">
        <is>
          <t>https://tinyurl.com/ybd2g4q6</t>
        </is>
      </c>
      <c r="AK772" t="inlineStr">
        <is>
          <t>Atomic Maverick 88 Ti Skis</t>
        </is>
      </c>
      <c r="AL772" t="inlineStr">
        <is>
          <t>Curated</t>
        </is>
      </c>
      <c r="AM772" s="333" t="n">
        <v>519.99</v>
      </c>
      <c r="AN772" t="inlineStr">
        <is>
          <t>https://tinyurl.com/y9z6kb3b</t>
        </is>
      </c>
      <c r="AO772" t="inlineStr">
        <is>
          <t>Atomic Maverick 88 Ti Skis | 176 | Christy Sports</t>
        </is>
      </c>
      <c r="AP772" t="inlineStr">
        <is>
          <t>Christy Sports</t>
        </is>
      </c>
      <c r="AQ772" s="333" t="n">
        <v>519.99</v>
      </c>
      <c r="AR772" t="inlineStr">
        <is>
          <t>https://tinyurl.com/yayqqqh4</t>
        </is>
      </c>
      <c r="AS772" s="314">
        <f>IF(LEFT(C772,1)=" ",RIGHT(C772,LEN(C772)-1),C772)</f>
        <v/>
      </c>
      <c r="AT772" s="281">
        <f>_xlfn.CONCAT(B772,AS772,D772,E772)</f>
        <v/>
      </c>
    </row>
    <row r="773">
      <c r="A773" t="inlineStr">
        <is>
          <t>21/22</t>
        </is>
      </c>
      <c r="B773" t="inlineStr">
        <is>
          <t xml:space="preserve"> Rossignol</t>
        </is>
      </c>
      <c r="C773" t="inlineStr">
        <is>
          <t>React 6 Compact</t>
        </is>
      </c>
      <c r="D773" t="n">
        <v>163</v>
      </c>
      <c r="E773" t="inlineStr">
        <is>
          <t xml:space="preserve"> Unisex</t>
        </is>
      </c>
      <c r="F773" t="n">
        <v>163</v>
      </c>
      <c r="G773" t="n">
        <v>162.5</v>
      </c>
      <c r="H773" t="n">
        <v>142</v>
      </c>
      <c r="I773" t="n">
        <v>149</v>
      </c>
      <c r="J773" t="n">
        <v>122</v>
      </c>
      <c r="K773" t="n">
        <v>73</v>
      </c>
      <c r="L773" t="n">
        <v>108</v>
      </c>
      <c r="M773" t="n">
        <v>13.1</v>
      </c>
      <c r="N773" t="n">
        <v>1596</v>
      </c>
      <c r="O773" t="n">
        <v>0.9</v>
      </c>
      <c r="P773" t="n">
        <v>1441</v>
      </c>
      <c r="Q773" t="n">
        <v>172</v>
      </c>
      <c r="R773" t="n">
        <v>63</v>
      </c>
      <c r="S773" t="n">
        <v>37</v>
      </c>
      <c r="T773" t="n">
        <v>152</v>
      </c>
      <c r="U773" t="n">
        <v>5</v>
      </c>
      <c r="V773" t="n">
        <v>57</v>
      </c>
      <c r="W773" t="n">
        <v>0.144</v>
      </c>
      <c r="X773" t="n">
        <v>69</v>
      </c>
      <c r="Y773" t="n">
        <v>61</v>
      </c>
      <c r="Z773" t="n">
        <v>83</v>
      </c>
      <c r="AA773" t="n">
        <v>9</v>
      </c>
      <c r="AB773" t="n">
        <v>10.2</v>
      </c>
      <c r="AC773" t="inlineStr">
        <is>
          <t xml:space="preserve"> On-Piste Carving</t>
        </is>
      </c>
      <c r="AG773" t="inlineStr">
        <is>
          <t>Rossignol React 6 Compact Mens Skis W/Xpress 11 GW Bindings</t>
        </is>
      </c>
      <c r="AH773" t="inlineStr">
        <is>
          <t>SkatePro.com</t>
        </is>
      </c>
      <c r="AI773" s="333" t="n">
        <v>479.95</v>
      </c>
      <c r="AJ773" t="inlineStr">
        <is>
          <t>https://tinyurl.com/ybrpxpsq</t>
        </is>
      </c>
      <c r="AK773" t="inlineStr">
        <is>
          <t>Rossignol React 6 Compact Mens Skis W/Xpress 11 GW Bindings</t>
        </is>
      </c>
      <c r="AL773" t="inlineStr">
        <is>
          <t>Buyr.com</t>
        </is>
      </c>
      <c r="AM773" s="333" t="n">
        <v>599.99</v>
      </c>
      <c r="AN773" t="inlineStr">
        <is>
          <t>https://tinyurl.com/yaekewxk</t>
        </is>
      </c>
      <c r="AO773" t="inlineStr">
        <is>
          <t>Rossignol React R2F - 163</t>
        </is>
      </c>
      <c r="AP773" t="inlineStr">
        <is>
          <t>Backpacking United</t>
        </is>
      </c>
      <c r="AQ773" s="333" t="n">
        <v>168.09</v>
      </c>
      <c r="AR773" t="inlineStr">
        <is>
          <t>https://tinyurl.com/y93y5g66</t>
        </is>
      </c>
      <c r="AS773" s="314">
        <f>IF(LEFT(C773,1)=" ",RIGHT(C773,LEN(C773)-1),C773)</f>
        <v/>
      </c>
      <c r="AT773" s="281">
        <f>_xlfn.CONCAT(B773,AS773,D773,E773)</f>
        <v/>
      </c>
    </row>
    <row r="774">
      <c r="A774" t="inlineStr">
        <is>
          <t>21/22</t>
        </is>
      </c>
      <c r="B774" t="inlineStr">
        <is>
          <t xml:space="preserve"> Head</t>
        </is>
      </c>
      <c r="C774" t="inlineStr">
        <is>
          <t xml:space="preserve"> Real Joy</t>
        </is>
      </c>
      <c r="D774" t="n">
        <v>158</v>
      </c>
      <c r="E774" t="inlineStr">
        <is>
          <t xml:space="preserve"> Women's</t>
        </is>
      </c>
      <c r="F774" t="n">
        <v>158</v>
      </c>
      <c r="G774" t="n">
        <v>157.4</v>
      </c>
      <c r="H774" t="n">
        <v>137</v>
      </c>
      <c r="I774" t="n">
        <v>141</v>
      </c>
      <c r="J774" t="n">
        <v>129</v>
      </c>
      <c r="K774" t="n">
        <v>72</v>
      </c>
      <c r="L774" t="n">
        <v>106</v>
      </c>
      <c r="M774" t="n">
        <v>10.8</v>
      </c>
      <c r="N774" t="n">
        <v>1680</v>
      </c>
      <c r="O774" t="n">
        <v>0.84</v>
      </c>
      <c r="P774" t="n">
        <v>1409</v>
      </c>
      <c r="Q774" t="n">
        <v>153</v>
      </c>
      <c r="R774" t="n">
        <v>73</v>
      </c>
      <c r="S774" t="n">
        <v>34</v>
      </c>
      <c r="T774" t="n">
        <v>135</v>
      </c>
      <c r="U774" t="n">
        <v>11</v>
      </c>
      <c r="V774" t="n">
        <v>73</v>
      </c>
      <c r="W774" t="n">
        <v>0.328999999999999</v>
      </c>
      <c r="X774" t="n">
        <v>104</v>
      </c>
      <c r="Y774" t="n">
        <v>55</v>
      </c>
      <c r="Z774" t="n">
        <v>30</v>
      </c>
      <c r="AA774" t="n">
        <v>11</v>
      </c>
      <c r="AB774" t="n">
        <v>10.9</v>
      </c>
      <c r="AC774" t="inlineStr">
        <is>
          <t xml:space="preserve"> On-Piste Carving</t>
        </is>
      </c>
      <c r="AD774" t="inlineStr">
        <is>
          <t xml:space="preserve"> On-Piste All-Mountain</t>
        </is>
      </c>
      <c r="AG774" t="inlineStr">
        <is>
          <t>Head Easy Joy Skis w/Joy 9 GW Bindings Womens</t>
        </is>
      </c>
      <c r="AH774" t="inlineStr">
        <is>
          <t>! OutdoorXL.com</t>
        </is>
      </c>
      <c r="AI774" s="333" t="n">
        <v>189.95</v>
      </c>
      <c r="AJ774" t="inlineStr">
        <is>
          <t>https://tinyurl.com/yapocu36</t>
        </is>
      </c>
      <c r="AK774" t="inlineStr">
        <is>
          <t>16-17 Head Total Joy  Women's Demo Skis W/bindings Size 158cm</t>
        </is>
      </c>
      <c r="AL774" t="inlineStr">
        <is>
          <t>eBay - demo-skis</t>
        </is>
      </c>
      <c r="AM774" s="333" t="n">
        <v>229</v>
      </c>
      <c r="AN774" t="inlineStr">
        <is>
          <t>https://tinyurl.com/y6vyvgru</t>
        </is>
      </c>
      <c r="AO774" t="inlineStr">
        <is>
          <t>2018 Head Total Joy 158cm W/ Head Joy 11 Binding</t>
        </is>
      </c>
      <c r="AP774" t="inlineStr">
        <is>
          <t>eBay - riverpirate999</t>
        </is>
      </c>
      <c r="AQ774" s="333" t="n">
        <v>249</v>
      </c>
      <c r="AR774" t="inlineStr">
        <is>
          <t>https://tinyurl.com/y7ebhrnb</t>
        </is>
      </c>
      <c r="AS774" s="314">
        <f>IF(LEFT(C774,1)=" ",RIGHT(C774,LEN(C774)-1),C774)</f>
        <v/>
      </c>
      <c r="AT774" s="281">
        <f>_xlfn.CONCAT(B774,AS774,D774,E774)</f>
        <v/>
      </c>
    </row>
    <row r="775">
      <c r="A775" t="inlineStr">
        <is>
          <t>21/22</t>
        </is>
      </c>
      <c r="B775" t="inlineStr">
        <is>
          <t xml:space="preserve"> Vï¿½lkl</t>
        </is>
      </c>
      <c r="C775" t="inlineStr">
        <is>
          <t>Deacon 84</t>
        </is>
      </c>
      <c r="D775" t="n">
        <v>172</v>
      </c>
      <c r="E775" t="inlineStr">
        <is>
          <t xml:space="preserve"> Unisex</t>
        </is>
      </c>
      <c r="F775" t="n">
        <v>172</v>
      </c>
      <c r="G775" t="n">
        <v>171.7</v>
      </c>
      <c r="H775" t="n">
        <v>137</v>
      </c>
      <c r="I775" t="n">
        <v>158</v>
      </c>
      <c r="J775" t="n">
        <v>131</v>
      </c>
      <c r="K775" t="n">
        <v>83</v>
      </c>
      <c r="L775" t="n">
        <v>114</v>
      </c>
      <c r="M775" t="n">
        <v>15.5</v>
      </c>
      <c r="N775" t="n">
        <v>1982</v>
      </c>
      <c r="O775" t="n">
        <v>0.85</v>
      </c>
      <c r="P775" t="n">
        <v>1691</v>
      </c>
      <c r="Q775" t="n">
        <v>214</v>
      </c>
      <c r="R775" t="n">
        <v>67</v>
      </c>
      <c r="S775" t="n">
        <v>42</v>
      </c>
      <c r="T775" t="n">
        <v>218</v>
      </c>
      <c r="U775" t="n">
        <v>8</v>
      </c>
      <c r="V775" t="n">
        <v>128</v>
      </c>
      <c r="W775" t="n">
        <v>0.201</v>
      </c>
      <c r="X775" t="n">
        <v>73</v>
      </c>
      <c r="Y775" t="n">
        <v>62</v>
      </c>
      <c r="Z775" t="n">
        <v>145</v>
      </c>
      <c r="AA775" t="n">
        <v>4</v>
      </c>
      <c r="AB775" t="n">
        <v>11</v>
      </c>
      <c r="AC775" t="inlineStr">
        <is>
          <t xml:space="preserve"> Resort Freeride</t>
        </is>
      </c>
      <c r="AG775" t="inlineStr">
        <is>
          <t>Volkl Deacon 84 Skis with Lowride XL 13 FR GW Bindings 172cm</t>
        </is>
      </c>
      <c r="AH775" t="inlineStr">
        <is>
          <t>SkiEssentials.com</t>
        </is>
      </c>
      <c r="AI775" s="333" t="n">
        <v>799.99</v>
      </c>
      <c r="AJ775" t="inlineStr">
        <is>
          <t>https://tinyurl.com/y8xl5435</t>
        </is>
      </c>
      <c r="AK775" t="inlineStr">
        <is>
          <t>2022 VOLKL Deacon 84 snow skis with bindings 172</t>
        </is>
      </c>
      <c r="AL775" t="inlineStr">
        <is>
          <t>The Pro Shop</t>
        </is>
      </c>
      <c r="AM775" s="333" t="n">
        <v>999</v>
      </c>
      <c r="AN775" t="inlineStr">
        <is>
          <t>https://tinyurl.com/yckd69oq</t>
        </is>
      </c>
      <c r="AO775" t="inlineStr">
        <is>
          <t>Volkl Deacon 84 Skis with Lowride XL 13 FR GW Bindings 172cm</t>
        </is>
      </c>
      <c r="AP775" t="inlineStr">
        <is>
          <t>DreamRuns.com</t>
        </is>
      </c>
      <c r="AQ775" s="333" t="n">
        <v>999.99</v>
      </c>
      <c r="AR775" t="inlineStr">
        <is>
          <t>https://tinyurl.com/ybkrxlxv</t>
        </is>
      </c>
      <c r="AS775" s="314">
        <f>IF(LEFT(C775,1)=" ",RIGHT(C775,LEN(C775)-1),C775)</f>
        <v/>
      </c>
      <c r="AT775" s="281">
        <f>_xlfn.CONCAT(B775,AS775,D775,E775)</f>
        <v/>
      </c>
    </row>
    <row r="776">
      <c r="A776" t="inlineStr">
        <is>
          <t>21/22</t>
        </is>
      </c>
      <c r="B776" t="inlineStr">
        <is>
          <t xml:space="preserve"> Blizzard</t>
        </is>
      </c>
      <c r="C776" t="inlineStr">
        <is>
          <t>Cochise 106</t>
        </is>
      </c>
      <c r="D776" t="n">
        <v>177</v>
      </c>
      <c r="E776" t="inlineStr">
        <is>
          <t xml:space="preserve"> Unisex</t>
        </is>
      </c>
      <c r="F776" t="n">
        <v>177</v>
      </c>
      <c r="G776" t="n">
        <v>175.1</v>
      </c>
      <c r="H776" t="n">
        <v>114</v>
      </c>
      <c r="I776" t="n">
        <v>149</v>
      </c>
      <c r="J776" t="n">
        <v>135</v>
      </c>
      <c r="K776" t="n">
        <v>106</v>
      </c>
      <c r="L776" t="n">
        <v>123</v>
      </c>
      <c r="M776" t="n">
        <v>23.9</v>
      </c>
      <c r="N776" t="n">
        <v>2214</v>
      </c>
      <c r="O776" t="n">
        <v>0.9</v>
      </c>
      <c r="P776" t="n">
        <v>2003</v>
      </c>
      <c r="Q776" t="n">
        <v>203</v>
      </c>
      <c r="R776" t="n">
        <v>129</v>
      </c>
      <c r="S776" t="n">
        <v>47</v>
      </c>
      <c r="T776" t="n">
        <v>316</v>
      </c>
      <c r="U776" t="n">
        <v>16</v>
      </c>
      <c r="V776" t="n">
        <v>291</v>
      </c>
      <c r="W776" t="n">
        <v>0.348</v>
      </c>
      <c r="X776" t="n">
        <v>151</v>
      </c>
      <c r="Y776" t="n">
        <v>114</v>
      </c>
      <c r="Z776" t="n">
        <v>165</v>
      </c>
      <c r="AA776" t="n">
        <v>4</v>
      </c>
      <c r="AB776" t="n">
        <v>11.4</v>
      </c>
      <c r="AC776" t="inlineStr">
        <is>
          <t xml:space="preserve"> Big Mountain</t>
        </is>
      </c>
      <c r="AG776" t="inlineStr">
        <is>
          <t>Blizzard Cochise 106 (Flat)</t>
        </is>
      </c>
      <c r="AH776" t="inlineStr">
        <is>
          <t>Snowcountry.eu</t>
        </is>
      </c>
      <c r="AI776" s="333" t="n">
        <v>483.93</v>
      </c>
      <c r="AJ776" t="inlineStr">
        <is>
          <t>https://tinyurl.com/ybxgqj6w</t>
        </is>
      </c>
      <c r="AK776" t="inlineStr">
        <is>
          <t>2021 Blizzard Cochise 106 Men's Skis with Tyrolia Attack 13 Bindings (177)</t>
        </is>
      </c>
      <c r="AL776" t="inlineStr">
        <is>
          <t>eBay - david110549</t>
        </is>
      </c>
      <c r="AM776" s="333" t="n">
        <v>814.95</v>
      </c>
      <c r="AN776" t="inlineStr">
        <is>
          <t>https://tinyurl.com/yat7b2f4</t>
        </is>
      </c>
      <c r="AO776" t="inlineStr">
        <is>
          <t>2021 Blizzard Cochise 106 Men's Skis with Tyrolia Attack 13 Bindings (177)</t>
        </is>
      </c>
      <c r="AP776" t="inlineStr">
        <is>
          <t>SkiEssentials.com</t>
        </is>
      </c>
      <c r="AQ776" s="333" t="n">
        <v>814.95</v>
      </c>
      <c r="AR776" t="inlineStr">
        <is>
          <t>https://tinyurl.com/y9jbkwul</t>
        </is>
      </c>
      <c r="AS776" s="314">
        <f>IF(LEFT(C776,1)=" ",RIGHT(C776,LEN(C776)-1),C776)</f>
        <v/>
      </c>
      <c r="AT776" s="281">
        <f>_xlfn.CONCAT(B776,AS776,D776,E776)</f>
        <v/>
      </c>
    </row>
    <row r="777">
      <c r="A777" t="inlineStr">
        <is>
          <t>21/22</t>
        </is>
      </c>
      <c r="B777" t="inlineStr">
        <is>
          <t xml:space="preserve"> Fischer</t>
        </is>
      </c>
      <c r="C777" t="inlineStr">
        <is>
          <t>Ranger 94 FR</t>
        </is>
      </c>
      <c r="D777" t="n">
        <v>153</v>
      </c>
      <c r="E777" t="inlineStr">
        <is>
          <t xml:space="preserve"> Unisex</t>
        </is>
      </c>
      <c r="F777" t="n">
        <v>153</v>
      </c>
      <c r="G777" t="n">
        <v>152.5</v>
      </c>
      <c r="H777" t="n">
        <v>105</v>
      </c>
      <c r="I777" t="n">
        <v>126</v>
      </c>
      <c r="J777" t="n">
        <v>121</v>
      </c>
      <c r="K777" t="n">
        <v>88</v>
      </c>
      <c r="L777" t="n">
        <v>111</v>
      </c>
      <c r="M777" t="n">
        <v>11.9</v>
      </c>
      <c r="N777" t="n">
        <v>1451</v>
      </c>
      <c r="O777" t="n">
        <v>1.05</v>
      </c>
      <c r="P777" t="n">
        <v>1525</v>
      </c>
      <c r="Q777" t="n">
        <v>152</v>
      </c>
      <c r="R777" t="n">
        <v>79</v>
      </c>
      <c r="S777" t="n">
        <v>53</v>
      </c>
      <c r="T777" t="n">
        <v>294</v>
      </c>
      <c r="U777" t="n">
        <v>31</v>
      </c>
      <c r="V777" t="n">
        <v>184</v>
      </c>
      <c r="W777" t="n">
        <v>0.587</v>
      </c>
      <c r="X777" t="n">
        <v>135</v>
      </c>
      <c r="Y777" t="n">
        <v>131</v>
      </c>
      <c r="Z777" t="n">
        <v>159</v>
      </c>
      <c r="AA777" t="n">
        <v>5</v>
      </c>
      <c r="AB777" t="n">
        <v>6.8</v>
      </c>
      <c r="AC777" t="inlineStr">
        <is>
          <t xml:space="preserve"> Resort Freeride</t>
        </is>
      </c>
      <c r="AD777" t="inlineStr">
        <is>
          <t xml:space="preserve"> Touring</t>
        </is>
      </c>
      <c r="AG777" t="inlineStr">
        <is>
          <t>Fischer Ranger 94 FR Skis 2021 153 cm</t>
        </is>
      </c>
      <c r="AH777" t="inlineStr">
        <is>
          <t>Powder7 Ski Shop</t>
        </is>
      </c>
      <c r="AI777" s="333" t="n">
        <v>519.99</v>
      </c>
      <c r="AJ777" t="inlineStr">
        <is>
          <t>https://tinyurl.com/y9dt8lff</t>
        </is>
      </c>
      <c r="AK777" t="inlineStr">
        <is>
          <t>Fischer RC One 74 Allride and RS 10 PR Alpine Set</t>
        </is>
      </c>
      <c r="AL777" t="inlineStr">
        <is>
          <t>GritrOutdoors</t>
        </is>
      </c>
      <c r="AM777" s="333" t="n">
        <v>479.99</v>
      </c>
      <c r="AN777" t="inlineStr">
        <is>
          <t>https://tinyurl.com/y7enubxp</t>
        </is>
      </c>
      <c r="AO777" t="inlineStr">
        <is>
          <t>Fischer RC One 74 Allride and RS 10 PR Alpine Set</t>
        </is>
      </c>
      <c r="AP777" t="inlineStr">
        <is>
          <t>eBay - webyshops</t>
        </is>
      </c>
      <c r="AQ777" s="333" t="n">
        <v>479.99</v>
      </c>
      <c r="AR777" t="inlineStr">
        <is>
          <t>https://tinyurl.com/y77x9xmy</t>
        </is>
      </c>
      <c r="AS777" s="314">
        <f>IF(LEFT(C777,1)=" ",RIGHT(C777,LEN(C777)-1),C777)</f>
        <v/>
      </c>
      <c r="AT777" s="281">
        <f>_xlfn.CONCAT(B777,AS777,D777,E777)</f>
        <v/>
      </c>
    </row>
    <row r="778">
      <c r="A778" t="inlineStr">
        <is>
          <t>21/22</t>
        </is>
      </c>
      <c r="B778" t="inlineStr">
        <is>
          <t xml:space="preserve"> Elan</t>
        </is>
      </c>
      <c r="C778" t="inlineStr">
        <is>
          <t xml:space="preserve"> Element</t>
        </is>
      </c>
      <c r="D778" t="n">
        <v>176</v>
      </c>
      <c r="E778" t="inlineStr">
        <is>
          <t xml:space="preserve"> Unisex</t>
        </is>
      </c>
      <c r="F778" t="n">
        <v>176</v>
      </c>
      <c r="G778" t="n">
        <v>175.4</v>
      </c>
      <c r="H778" t="n">
        <v>149</v>
      </c>
      <c r="I778" t="n">
        <v>161</v>
      </c>
      <c r="J778" t="n">
        <v>128</v>
      </c>
      <c r="K778" t="n">
        <v>77</v>
      </c>
      <c r="L778" t="n">
        <v>104</v>
      </c>
      <c r="M778" t="n">
        <v>16.8</v>
      </c>
      <c r="N778" t="n">
        <v>1957</v>
      </c>
      <c r="O778" t="n">
        <v>0.82</v>
      </c>
      <c r="P778" t="n">
        <v>1604</v>
      </c>
      <c r="Q778" t="n">
        <v>220</v>
      </c>
      <c r="R778" t="n">
        <v>73</v>
      </c>
      <c r="S778" t="n">
        <v>35</v>
      </c>
      <c r="T778" t="n">
        <v>170</v>
      </c>
      <c r="U778" t="n">
        <v>10</v>
      </c>
      <c r="V778" t="n">
        <v>92</v>
      </c>
      <c r="W778" t="n">
        <v>0.297</v>
      </c>
      <c r="X778" t="n">
        <v>85</v>
      </c>
      <c r="Y778" t="n">
        <v>58</v>
      </c>
      <c r="Z778" t="n">
        <v>85</v>
      </c>
      <c r="AA778" t="n">
        <v>5</v>
      </c>
      <c r="AB778" t="n">
        <v>11.2</v>
      </c>
      <c r="AC778" t="inlineStr">
        <is>
          <t xml:space="preserve"> On-Piste Carving</t>
        </is>
      </c>
      <c r="AG778" t="inlineStr">
        <is>
          <t>Elan Element LS EL 10.0 Orange / 176cm</t>
        </is>
      </c>
      <c r="AH778" t="inlineStr">
        <is>
          <t>Sundance Ski and Board Shop</t>
        </is>
      </c>
      <c r="AI778" s="333" t="n">
        <v>424.76</v>
      </c>
      <c r="AJ778" t="inlineStr">
        <is>
          <t>https://tinyurl.com/ya4mdslc</t>
        </is>
      </c>
      <c r="AK778" t="inlineStr">
        <is>
          <t>2016 Elan Explore 80 Women's Skis 176cm With Elan Esp 10 Bindings</t>
        </is>
      </c>
      <c r="AL778" t="inlineStr">
        <is>
          <t>eBay</t>
        </is>
      </c>
      <c r="AM778" s="333" t="n">
        <v>140</v>
      </c>
      <c r="AN778" t="inlineStr">
        <is>
          <t>https://tinyurl.com/y9qvojp8</t>
        </is>
      </c>
      <c r="AO778" t="inlineStr">
        <is>
          <t>Elan Skis - Sports &amp; outdoors | Color: Red | Size: s</t>
        </is>
      </c>
      <c r="AP778" t="inlineStr">
        <is>
          <t>Mercari</t>
        </is>
      </c>
      <c r="AQ778" s="333" t="n">
        <v>170</v>
      </c>
      <c r="AR778" t="inlineStr">
        <is>
          <t>https://tinyurl.com/yae3ljay</t>
        </is>
      </c>
      <c r="AS778" s="314">
        <f>IF(LEFT(C778,1)=" ",RIGHT(C778,LEN(C778)-1),C778)</f>
        <v/>
      </c>
      <c r="AT778" s="281">
        <f>_xlfn.CONCAT(B778,AS778,D778,E778)</f>
        <v/>
      </c>
    </row>
    <row r="779">
      <c r="A779" t="inlineStr">
        <is>
          <t>21/22</t>
        </is>
      </c>
      <c r="B779" t="inlineStr">
        <is>
          <t xml:space="preserve"> Vï¿½lkl</t>
        </is>
      </c>
      <c r="C779" t="inlineStr">
        <is>
          <t>Rise Above 88</t>
        </is>
      </c>
      <c r="D779" t="n">
        <v>177</v>
      </c>
      <c r="E779" t="inlineStr">
        <is>
          <t xml:space="preserve"> Unisex</t>
        </is>
      </c>
      <c r="F779" t="n">
        <v>177</v>
      </c>
      <c r="G779" t="n">
        <v>176.7</v>
      </c>
      <c r="H779" t="n">
        <v>147</v>
      </c>
      <c r="I779" t="n">
        <v>156</v>
      </c>
      <c r="J779" t="n">
        <v>130</v>
      </c>
      <c r="K779" t="n">
        <v>87</v>
      </c>
      <c r="L779" t="n">
        <v>111</v>
      </c>
      <c r="M779" t="n">
        <v>17.5</v>
      </c>
      <c r="N779" t="n">
        <v>1279</v>
      </c>
      <c r="O779" t="n">
        <v>1.39</v>
      </c>
      <c r="P779" t="n">
        <v>1773</v>
      </c>
      <c r="Q779" t="n">
        <v>171</v>
      </c>
      <c r="R779" t="n">
        <v>76</v>
      </c>
      <c r="S779" t="n">
        <v>42</v>
      </c>
      <c r="T779" t="n">
        <v>236</v>
      </c>
      <c r="U779" t="n">
        <v>4</v>
      </c>
      <c r="V779" t="n">
        <v>62</v>
      </c>
      <c r="W779" t="n">
        <v>0.096</v>
      </c>
      <c r="X779" t="n">
        <v>120</v>
      </c>
      <c r="Y779" t="n">
        <v>89</v>
      </c>
      <c r="Z779" t="n">
        <v>116</v>
      </c>
      <c r="AA779" t="n">
        <v>6</v>
      </c>
      <c r="AB779" t="n">
        <v>12.2</v>
      </c>
      <c r="AC779" t="inlineStr">
        <is>
          <t xml:space="preserve"> Touring</t>
        </is>
      </c>
      <c r="AD779" t="inlineStr">
        <is>
          <t xml:space="preserve"> Ultralight Touring</t>
        </is>
      </c>
      <c r="AG779" t="inlineStr">
        <is>
          <t>Volkl Rise Above 88 Ski 2022</t>
        </is>
      </c>
      <c r="AH779" t="inlineStr">
        <is>
          <t>Telemark Pyrenees</t>
        </is>
      </c>
      <c r="AI779" s="333" t="n">
        <v>412.48</v>
      </c>
      <c r="AJ779" t="inlineStr">
        <is>
          <t>https://tinyurl.com/ycft6ph6</t>
        </is>
      </c>
      <c r="AK779" t="inlineStr">
        <is>
          <t>VÃ¶lkl Rise Up 82 Touring Skis 177</t>
        </is>
      </c>
      <c r="AL779" t="inlineStr">
        <is>
          <t>Snowcountry.eu</t>
        </is>
      </c>
      <c r="AM779" s="333" t="n">
        <v>322.61</v>
      </c>
      <c r="AN779" t="inlineStr">
        <is>
          <t>https://tinyurl.com/y9xs3fg7</t>
        </is>
      </c>
      <c r="AO779" t="inlineStr">
        <is>
          <t>Volkl Rise Beyond 98 177cm</t>
        </is>
      </c>
      <c r="AP779" t="inlineStr">
        <is>
          <t>Sundance Ski and Board Shop</t>
        </is>
      </c>
      <c r="AQ779" s="333" t="n">
        <v>520.9299999999999</v>
      </c>
      <c r="AR779" t="inlineStr">
        <is>
          <t>https://tinyurl.com/yahj557f</t>
        </is>
      </c>
      <c r="AS779" s="314">
        <f>IF(LEFT(C779,1)=" ",RIGHT(C779,LEN(C779)-1),C779)</f>
        <v/>
      </c>
      <c r="AT779" s="281">
        <f>_xlfn.CONCAT(B779,AS779,D779,E779)</f>
        <v/>
      </c>
    </row>
    <row r="780">
      <c r="A780" t="inlineStr">
        <is>
          <t>21/22</t>
        </is>
      </c>
      <c r="B780" t="inlineStr">
        <is>
          <t>K2</t>
        </is>
      </c>
      <c r="C780" t="inlineStr">
        <is>
          <t>Talkback 96</t>
        </is>
      </c>
      <c r="D780" t="n">
        <v>170</v>
      </c>
      <c r="E780" t="inlineStr">
        <is>
          <t xml:space="preserve"> Women's</t>
        </is>
      </c>
      <c r="F780" t="n">
        <v>170</v>
      </c>
      <c r="G780" t="n">
        <v>169.7</v>
      </c>
      <c r="H780" t="n">
        <v>124</v>
      </c>
      <c r="I780" t="n">
        <v>143</v>
      </c>
      <c r="J780" t="n">
        <v>127</v>
      </c>
      <c r="K780" t="n">
        <v>95</v>
      </c>
      <c r="L780" t="n">
        <v>114</v>
      </c>
      <c r="M780" t="n">
        <v>19.8</v>
      </c>
      <c r="N780" t="n">
        <v>1305</v>
      </c>
      <c r="O780" t="n">
        <v>1.36</v>
      </c>
      <c r="P780" t="n">
        <v>1773</v>
      </c>
      <c r="Q780" t="n">
        <v>173</v>
      </c>
      <c r="R780" t="n">
        <v>80</v>
      </c>
      <c r="S780" t="n">
        <v>49</v>
      </c>
      <c r="T780" t="n">
        <v>295</v>
      </c>
      <c r="U780" t="n">
        <v>8</v>
      </c>
      <c r="V780" t="n">
        <v>164</v>
      </c>
      <c r="W780" t="n">
        <v>0.162</v>
      </c>
      <c r="X780" t="n">
        <v>161</v>
      </c>
      <c r="Y780" t="n">
        <v>109</v>
      </c>
      <c r="Z780" t="n">
        <v>134</v>
      </c>
      <c r="AA780" t="n">
        <v>5</v>
      </c>
      <c r="AB780" t="n">
        <v>11.7</v>
      </c>
      <c r="AC780" t="inlineStr">
        <is>
          <t xml:space="preserve"> Touring</t>
        </is>
      </c>
      <c r="AD780" t="inlineStr">
        <is>
          <t xml:space="preserve"> Ultralight Touring</t>
        </is>
      </c>
      <c r="AG780" t="inlineStr">
        <is>
          <t>K2 Women's Talkback 96 Ski</t>
        </is>
      </c>
      <c r="AH780" t="inlineStr">
        <is>
          <t>Snowcountry.eu</t>
        </is>
      </c>
      <c r="AI780" s="333" t="n">
        <v>404.68</v>
      </c>
      <c r="AJ780" t="inlineStr">
        <is>
          <t>https://tinyurl.com/ydf2wuuk</t>
        </is>
      </c>
      <c r="AK780" t="inlineStr">
        <is>
          <t>K2 Women's Talkback 96 Ski</t>
        </is>
      </c>
      <c r="AL780" t="inlineStr">
        <is>
          <t>Snowinn.com</t>
        </is>
      </c>
      <c r="AM780" s="333" t="n">
        <v>435.49</v>
      </c>
      <c r="AN780" t="inlineStr">
        <is>
          <t>https://tinyurl.com/y7tk2qn3</t>
        </is>
      </c>
      <c r="AO780" t="inlineStr">
        <is>
          <t>K2 Women's Talkback 96 Ski</t>
        </is>
      </c>
      <c r="AP780" t="inlineStr">
        <is>
          <t>PRFO Sports</t>
        </is>
      </c>
      <c r="AQ780" s="333" t="n">
        <v>480.86</v>
      </c>
      <c r="AR780" t="inlineStr">
        <is>
          <t>https://tinyurl.com/y7rtgdd5</t>
        </is>
      </c>
      <c r="AS780" s="314">
        <f>IF(LEFT(C780,1)=" ",RIGHT(C780,LEN(C780)-1),C780)</f>
        <v/>
      </c>
      <c r="AT780" s="281">
        <f>_xlfn.CONCAT(B780,AS780,D780,E780)</f>
        <v/>
      </c>
    </row>
    <row r="781">
      <c r="A781" t="inlineStr">
        <is>
          <t>21/22</t>
        </is>
      </c>
      <c r="B781" t="inlineStr">
        <is>
          <t xml:space="preserve"> Elan</t>
        </is>
      </c>
      <c r="C781" t="inlineStr">
        <is>
          <t>Amphibio 14 Ti</t>
        </is>
      </c>
      <c r="D781" t="n">
        <v>160</v>
      </c>
      <c r="E781" t="inlineStr">
        <is>
          <t xml:space="preserve"> Unisex</t>
        </is>
      </c>
      <c r="F781" t="n">
        <v>160</v>
      </c>
      <c r="G781" t="n">
        <v>159.1</v>
      </c>
      <c r="H781" t="n">
        <v>138</v>
      </c>
      <c r="I781" t="n">
        <v>143</v>
      </c>
      <c r="J781" t="n">
        <v>125</v>
      </c>
      <c r="K781" t="n">
        <v>76</v>
      </c>
      <c r="L781" t="n">
        <v>104</v>
      </c>
      <c r="M781" t="n">
        <v>13.2</v>
      </c>
      <c r="N781" t="n">
        <v>1926</v>
      </c>
      <c r="O781" t="n">
        <v>0.75</v>
      </c>
      <c r="P781" t="n">
        <v>1448</v>
      </c>
      <c r="Q781" t="n">
        <v>176</v>
      </c>
      <c r="R781" t="n">
        <v>79</v>
      </c>
      <c r="S781" t="n">
        <v>32</v>
      </c>
      <c r="T781" t="n">
        <v>140</v>
      </c>
      <c r="U781" t="n">
        <v>10</v>
      </c>
      <c r="V781" t="n">
        <v>69</v>
      </c>
      <c r="W781" t="n">
        <v>0.307</v>
      </c>
      <c r="X781" t="n">
        <v>98</v>
      </c>
      <c r="Y781" t="n">
        <v>61</v>
      </c>
      <c r="Z781" t="n">
        <v>42</v>
      </c>
      <c r="AA781" t="n">
        <v>11</v>
      </c>
      <c r="AB781" t="n">
        <v>9.5</v>
      </c>
      <c r="AC781" t="inlineStr">
        <is>
          <t xml:space="preserve"> On-Piste Carving</t>
        </is>
      </c>
      <c r="AD781" t="inlineStr">
        <is>
          <t xml:space="preserve"> On-Piste All-Mountain</t>
        </is>
      </c>
      <c r="AG781" t="inlineStr">
        <is>
          <t>Elan Amphibio 14 Ti + EMX 11 FusionX 21/22</t>
        </is>
      </c>
      <c r="AH781" t="inlineStr">
        <is>
          <t>Snowcountry.eu</t>
        </is>
      </c>
      <c r="AI781" s="333" t="n">
        <v>413.9</v>
      </c>
      <c r="AJ781" t="inlineStr">
        <is>
          <t>https://tinyurl.com/y7srel67</t>
        </is>
      </c>
      <c r="AK781" t="inlineStr">
        <is>
          <t>Elan Porsche Design Elan Amphibio 22</t>
        </is>
      </c>
      <c r="AL781" t="inlineStr">
        <is>
          <t>Ski World</t>
        </is>
      </c>
      <c r="AM781" s="333" t="n">
        <v>1299.99</v>
      </c>
      <c r="AN781" t="inlineStr">
        <is>
          <t>https://tinyurl.com/y9gdqwjr</t>
        </is>
      </c>
      <c r="AO781" t="inlineStr">
        <is>
          <t>Elan Explore 10 Ti Ski System with Bindings Mens</t>
        </is>
      </c>
      <c r="AP781" t="inlineStr">
        <is>
          <t>eBay - traventuria</t>
        </is>
      </c>
      <c r="AQ781" s="333" t="n">
        <v>112.37</v>
      </c>
      <c r="AR781" t="inlineStr">
        <is>
          <t>https://tinyurl.com/y7g63hvu</t>
        </is>
      </c>
      <c r="AS781" s="314">
        <f>IF(LEFT(C781,1)=" ",RIGHT(C781,LEN(C781)-1),C781)</f>
        <v/>
      </c>
      <c r="AT781" s="281">
        <f>_xlfn.CONCAT(B781,AS781,D781,E781)</f>
        <v/>
      </c>
    </row>
    <row r="782">
      <c r="A782" t="inlineStr">
        <is>
          <t>21/22</t>
        </is>
      </c>
      <c r="B782" t="inlineStr">
        <is>
          <t xml:space="preserve"> Atomic</t>
        </is>
      </c>
      <c r="C782" t="inlineStr">
        <is>
          <t>Redster X5</t>
        </is>
      </c>
      <c r="D782" t="n">
        <v>168</v>
      </c>
      <c r="E782" t="inlineStr">
        <is>
          <t xml:space="preserve"> Unisex</t>
        </is>
      </c>
      <c r="F782" t="n">
        <v>168</v>
      </c>
      <c r="G782" t="n">
        <v>167.3</v>
      </c>
      <c r="H782" t="n">
        <v>149</v>
      </c>
      <c r="I782" t="n">
        <v>153</v>
      </c>
      <c r="J782" t="n">
        <v>119</v>
      </c>
      <c r="K782" t="n">
        <v>70</v>
      </c>
      <c r="L782" t="n">
        <v>102</v>
      </c>
      <c r="M782" t="n">
        <v>14.1</v>
      </c>
      <c r="N782" t="n">
        <v>1854</v>
      </c>
      <c r="O782" t="n">
        <v>0.77</v>
      </c>
      <c r="P782" t="n">
        <v>1428</v>
      </c>
      <c r="Q782" t="n">
        <v>211</v>
      </c>
      <c r="R782" t="n">
        <v>105</v>
      </c>
      <c r="S782" t="n">
        <v>34</v>
      </c>
      <c r="T782" t="n">
        <v>139</v>
      </c>
      <c r="U782" t="n">
        <v>3</v>
      </c>
      <c r="V782" t="n">
        <v>47</v>
      </c>
      <c r="W782" t="n">
        <v>0.095</v>
      </c>
      <c r="X782" t="n">
        <v>88</v>
      </c>
      <c r="Y782" t="n">
        <v>57</v>
      </c>
      <c r="Z782" t="n">
        <v>51</v>
      </c>
      <c r="AA782" t="n">
        <v>12</v>
      </c>
      <c r="AB782" t="n">
        <v>13.1</v>
      </c>
      <c r="AC782" t="inlineStr">
        <is>
          <t xml:space="preserve"> On-Piste Carving</t>
        </is>
      </c>
      <c r="AG782" t="inlineStr">
        <is>
          <t>Atomic Redster X5 Skis w Atomic FT10 GW Demo Bindings  Demo Skis</t>
        </is>
      </c>
      <c r="AH782" t="inlineStr">
        <is>
          <t>Powder7 Ski Shop</t>
        </is>
      </c>
      <c r="AI782" s="333" t="n">
        <v>399.99</v>
      </c>
      <c r="AJ782" t="inlineStr">
        <is>
          <t>https://tinyurl.com/ybjcnjvr</t>
        </is>
      </c>
      <c r="AK782" t="inlineStr">
        <is>
          <t>Atomic Redster X5 New Ski with Bindings 168.0</t>
        </is>
      </c>
      <c r="AL782" t="inlineStr">
        <is>
          <t>SidelineSwap</t>
        </is>
      </c>
      <c r="AM782" s="333" t="n">
        <v>449</v>
      </c>
      <c r="AN782" t="inlineStr">
        <is>
          <t>https://tinyurl.com/y75kobbw</t>
        </is>
      </c>
      <c r="AO782" t="inlineStr">
        <is>
          <t>2021 Atomic Redster X6 Skis W/ M 11 Gw Bindings</t>
        </is>
      </c>
      <c r="AP782" t="inlineStr">
        <is>
          <t>eBay - asogear</t>
        </is>
      </c>
      <c r="AQ782" s="333" t="n">
        <v>594.99</v>
      </c>
      <c r="AR782" t="inlineStr">
        <is>
          <t>https://tinyurl.com/yc4ctb46</t>
        </is>
      </c>
      <c r="AS782" s="314">
        <f>IF(LEFT(C782,1)=" ",RIGHT(C782,LEN(C782)-1),C782)</f>
        <v/>
      </c>
      <c r="AT782" s="281">
        <f>_xlfn.CONCAT(B782,AS782,D782,E782)</f>
        <v/>
      </c>
    </row>
    <row r="783">
      <c r="A783" t="inlineStr">
        <is>
          <t>21/22</t>
        </is>
      </c>
      <c r="B783" t="inlineStr">
        <is>
          <t xml:space="preserve"> Head</t>
        </is>
      </c>
      <c r="C783" t="inlineStr">
        <is>
          <t>Oblivion 94</t>
        </is>
      </c>
      <c r="D783" t="n">
        <v>163</v>
      </c>
      <c r="E783" t="inlineStr">
        <is>
          <t xml:space="preserve"> Unisex</t>
        </is>
      </c>
      <c r="F783" t="n">
        <v>163</v>
      </c>
      <c r="G783" t="n">
        <v>161.1</v>
      </c>
      <c r="H783" t="n">
        <v>123</v>
      </c>
      <c r="I783" t="n">
        <v>142</v>
      </c>
      <c r="J783" t="n">
        <v>125</v>
      </c>
      <c r="K783" t="n">
        <v>91</v>
      </c>
      <c r="L783" t="n">
        <v>115</v>
      </c>
      <c r="M783" t="n">
        <v>17.7</v>
      </c>
      <c r="N783" t="n">
        <v>1584</v>
      </c>
      <c r="O783" t="n">
        <v>1.03</v>
      </c>
      <c r="P783" t="n">
        <v>1631</v>
      </c>
      <c r="Q783" t="n">
        <v>147</v>
      </c>
      <c r="R783" t="n">
        <v>63</v>
      </c>
      <c r="S783" t="n">
        <v>51</v>
      </c>
      <c r="T783" t="n">
        <v>243</v>
      </c>
      <c r="U783" t="n">
        <v>37</v>
      </c>
      <c r="V783" t="n">
        <v>133</v>
      </c>
      <c r="W783" t="n">
        <v>0.716</v>
      </c>
      <c r="X783" t="n">
        <v>100</v>
      </c>
      <c r="Y783" t="n">
        <v>88</v>
      </c>
      <c r="Z783" t="n">
        <v>143</v>
      </c>
      <c r="AA783" t="n">
        <v>10</v>
      </c>
      <c r="AB783" t="n">
        <v>5.5</v>
      </c>
      <c r="AC783" t="inlineStr">
        <is>
          <t xml:space="preserve"> Resort Freeride</t>
        </is>
      </c>
      <c r="AG783" t="inlineStr">
        <is>
          <t>2022 Head Oblivion 94 Twin Tip Snow Skis 163</t>
        </is>
      </c>
      <c r="AH783" t="inlineStr">
        <is>
          <t>The Pro Shop</t>
        </is>
      </c>
      <c r="AI783" s="333" t="n">
        <v>499</v>
      </c>
      <c r="AJ783" t="inlineStr">
        <is>
          <t>https://tinyurl.com/y8e6wsmx</t>
        </is>
      </c>
      <c r="AK783" t="inlineStr">
        <is>
          <t>Head Oblivion 79 Skis</t>
        </is>
      </c>
      <c r="AL783" t="inlineStr">
        <is>
          <t>evo.com</t>
        </is>
      </c>
      <c r="AM783" s="333" t="n">
        <v>299</v>
      </c>
      <c r="AN783" t="inlineStr">
        <is>
          <t>https://tinyurl.com/y8fuj8vv</t>
        </is>
      </c>
      <c r="AO783" t="inlineStr">
        <is>
          <t>Head Oblivion 79 Flat Skis 2021-2022 | BK/NEONG / 163</t>
        </is>
      </c>
      <c r="AP783" t="inlineStr">
        <is>
          <t>Ski Pro  - Snow Ski &amp; Snowboard</t>
        </is>
      </c>
      <c r="AQ783" s="333" t="n">
        <v>299.95</v>
      </c>
      <c r="AR783" t="inlineStr">
        <is>
          <t>https://tinyurl.com/ycmr6ucy</t>
        </is>
      </c>
      <c r="AS783" s="314">
        <f>IF(LEFT(C783,1)=" ",RIGHT(C783,LEN(C783)-1),C783)</f>
        <v/>
      </c>
      <c r="AT783" s="281">
        <f>_xlfn.CONCAT(B783,AS783,D783,E783)</f>
        <v/>
      </c>
    </row>
    <row r="784">
      <c r="A784" t="inlineStr">
        <is>
          <t>21/22</t>
        </is>
      </c>
      <c r="B784" t="inlineStr">
        <is>
          <t xml:space="preserve"> Rossignol</t>
        </is>
      </c>
      <c r="C784" t="inlineStr">
        <is>
          <t>Nova 14 Ti</t>
        </is>
      </c>
      <c r="D784" t="n">
        <v>160</v>
      </c>
      <c r="E784" t="inlineStr">
        <is>
          <t xml:space="preserve"> Women's</t>
        </is>
      </c>
      <c r="F784" t="n">
        <v>160</v>
      </c>
      <c r="G784" t="n">
        <v>158.8</v>
      </c>
      <c r="H784" t="n">
        <v>138</v>
      </c>
      <c r="I784" t="n">
        <v>145</v>
      </c>
      <c r="J784" t="n">
        <v>122</v>
      </c>
      <c r="K784" t="n">
        <v>73</v>
      </c>
      <c r="L784" t="n">
        <v>108</v>
      </c>
      <c r="M784" t="n">
        <v>12.4</v>
      </c>
      <c r="N784" t="n">
        <v>1739</v>
      </c>
      <c r="O784" t="n">
        <v>0.8100000000000001</v>
      </c>
      <c r="P784" t="n">
        <v>1410</v>
      </c>
      <c r="Q784" t="n">
        <v>184</v>
      </c>
      <c r="R784" t="n">
        <v>77</v>
      </c>
      <c r="S784" t="n">
        <v>37</v>
      </c>
      <c r="T784" t="n">
        <v>141</v>
      </c>
      <c r="U784" t="n">
        <v>5</v>
      </c>
      <c r="V784" t="n">
        <v>65</v>
      </c>
      <c r="W784" t="n">
        <v>0.125</v>
      </c>
      <c r="X784" t="n">
        <v>81</v>
      </c>
      <c r="Y784" t="n">
        <v>59</v>
      </c>
      <c r="Z784" t="n">
        <v>60</v>
      </c>
      <c r="AA784" t="n">
        <v>9</v>
      </c>
      <c r="AB784" t="n">
        <v>9.800000000000001</v>
      </c>
      <c r="AC784" t="inlineStr">
        <is>
          <t xml:space="preserve"> On-Piste Carving</t>
        </is>
      </c>
      <c r="AG784" t="inlineStr">
        <is>
          <t>Rossignol Experience 82 Ti Skis w/ Look SPX 14 Konect GW Bindings</t>
        </is>
      </c>
      <c r="AH784" t="inlineStr">
        <is>
          <t>The-House.com</t>
        </is>
      </c>
      <c r="AI784" s="333" t="n">
        <v>719.95</v>
      </c>
      <c r="AJ784" t="inlineStr">
        <is>
          <t>https://tinyurl.com/ydd679ff</t>
        </is>
      </c>
      <c r="AK784" t="inlineStr">
        <is>
          <t>Rossignol Experience 82 Ti Skis w/ Look SPX 14 Konect GW Bindings</t>
        </is>
      </c>
      <c r="AL784" t="inlineStr">
        <is>
          <t>Buyr.com</t>
        </is>
      </c>
      <c r="AM784" s="333" t="n">
        <v>899.95</v>
      </c>
      <c r="AN784" t="inlineStr">
        <is>
          <t>https://tinyurl.com/y7mzhvb4</t>
        </is>
      </c>
      <c r="AO784" t="inlineStr">
        <is>
          <t>Rossignol Experience 82 Ti Skis w/ Look SPX 14 Konect GW Bindings</t>
        </is>
      </c>
      <c r="AP784" t="inlineStr">
        <is>
          <t>SkiEssentials.com</t>
        </is>
      </c>
      <c r="AQ784" s="333" t="n">
        <v>899.95</v>
      </c>
      <c r="AR784" t="inlineStr">
        <is>
          <t>https://tinyurl.com/ybzabfpk</t>
        </is>
      </c>
      <c r="AS784" s="314">
        <f>IF(LEFT(C784,1)=" ",RIGHT(C784,LEN(C784)-1),C784)</f>
        <v/>
      </c>
      <c r="AT784" s="281">
        <f>_xlfn.CONCAT(B784,AS784,D784,E784)</f>
        <v/>
      </c>
    </row>
    <row r="785">
      <c r="A785" t="inlineStr">
        <is>
          <t>21/22</t>
        </is>
      </c>
      <c r="B785" t="inlineStr">
        <is>
          <t xml:space="preserve"> Icelantic</t>
        </is>
      </c>
      <c r="C785" t="inlineStr">
        <is>
          <t>Maiden 91</t>
        </is>
      </c>
      <c r="D785" t="n">
        <v>162</v>
      </c>
      <c r="E785" t="inlineStr">
        <is>
          <t xml:space="preserve"> Women's</t>
        </is>
      </c>
      <c r="F785" t="n">
        <v>162</v>
      </c>
      <c r="G785" t="n">
        <v>159.8</v>
      </c>
      <c r="H785" t="n">
        <v>91</v>
      </c>
      <c r="I785" t="n">
        <v>137</v>
      </c>
      <c r="J785" t="n">
        <v>126</v>
      </c>
      <c r="K785" t="n">
        <v>90</v>
      </c>
      <c r="L785" t="n">
        <v>116</v>
      </c>
      <c r="M785" t="n">
        <v>14.4</v>
      </c>
      <c r="N785" t="n">
        <v>1490</v>
      </c>
      <c r="O785" t="n">
        <v>1.09</v>
      </c>
      <c r="P785" t="n">
        <v>1627</v>
      </c>
      <c r="Q785" t="n">
        <v>154</v>
      </c>
      <c r="R785" t="n">
        <v>68</v>
      </c>
      <c r="S785" t="n">
        <v>58</v>
      </c>
      <c r="T785" t="n">
        <v>364</v>
      </c>
      <c r="U785" t="n">
        <v>59</v>
      </c>
      <c r="V785" t="n">
        <v>320</v>
      </c>
      <c r="W785" t="n">
        <v>1.02</v>
      </c>
      <c r="X785" t="n">
        <v>105</v>
      </c>
      <c r="Y785" t="n">
        <v>125</v>
      </c>
      <c r="Z785" t="n">
        <v>259</v>
      </c>
      <c r="AA785" t="n">
        <v>2</v>
      </c>
      <c r="AB785" t="n">
        <v>8</v>
      </c>
      <c r="AC785" t="inlineStr">
        <is>
          <t xml:space="preserve"> Freeski</t>
        </is>
      </c>
      <c r="AD785" t="inlineStr">
        <is>
          <t xml:space="preserve"> Touring</t>
        </is>
      </c>
      <c r="AG785" t="inlineStr">
        <is>
          <t>Icelantic Maiden 91 Women's Skis 162cm 2022</t>
        </is>
      </c>
      <c r="AH785" t="inlineStr">
        <is>
          <t>Blue Tomato</t>
        </is>
      </c>
      <c r="AI785" s="333" t="n">
        <v>451.71</v>
      </c>
      <c r="AJ785" t="inlineStr">
        <is>
          <t>https://tinyurl.com/y9qzyb49</t>
        </is>
      </c>
      <c r="AK785" t="inlineStr">
        <is>
          <t>Icelantic Maiden 91 Women's Skis 162cm 2022</t>
        </is>
      </c>
      <c r="AL785" t="inlineStr">
        <is>
          <t>Curated</t>
        </is>
      </c>
      <c r="AM785" s="333" t="n">
        <v>524</v>
      </c>
      <c r="AN785" t="inlineStr">
        <is>
          <t>https://tinyurl.com/yb54aqvn</t>
        </is>
      </c>
      <c r="AO785" t="inlineStr">
        <is>
          <t>Icelantic Maiden 91 Women's Skis 162cm 2022</t>
        </is>
      </c>
      <c r="AP785" t="inlineStr">
        <is>
          <t>Wilderness Exchange Unlimited</t>
        </is>
      </c>
      <c r="AQ785" s="333" t="n">
        <v>524.25</v>
      </c>
      <c r="AR785" t="inlineStr">
        <is>
          <t>https://tinyurl.com/y9kw494w</t>
        </is>
      </c>
      <c r="AS785" s="314">
        <f>IF(LEFT(C785,1)=" ",RIGHT(C785,LEN(C785)-1),C785)</f>
        <v/>
      </c>
      <c r="AT785" s="281">
        <f>_xlfn.CONCAT(B785,AS785,D785,E785)</f>
        <v/>
      </c>
    </row>
    <row r="786">
      <c r="A786" t="inlineStr">
        <is>
          <t>21/22</t>
        </is>
      </c>
      <c r="B786" t="inlineStr">
        <is>
          <t xml:space="preserve"> Armada</t>
        </is>
      </c>
      <c r="C786" t="inlineStr">
        <is>
          <t>Tracer 88</t>
        </is>
      </c>
      <c r="D786" t="n">
        <v>172</v>
      </c>
      <c r="E786" t="inlineStr">
        <is>
          <t xml:space="preserve"> Unisex</t>
        </is>
      </c>
      <c r="F786" t="n">
        <v>172</v>
      </c>
      <c r="G786" t="n">
        <v>171.2</v>
      </c>
      <c r="H786" t="n">
        <v>139</v>
      </c>
      <c r="I786" t="n">
        <v>143</v>
      </c>
      <c r="J786" t="n">
        <v>115</v>
      </c>
      <c r="K786" t="n">
        <v>87</v>
      </c>
      <c r="L786" t="n">
        <v>107</v>
      </c>
      <c r="M786" t="n">
        <v>20.6</v>
      </c>
      <c r="N786" t="n">
        <v>1228</v>
      </c>
      <c r="O786" t="n">
        <v>1.34</v>
      </c>
      <c r="P786" t="n">
        <v>1641</v>
      </c>
      <c r="Q786" t="n">
        <v>192</v>
      </c>
      <c r="R786" t="n">
        <v>76</v>
      </c>
      <c r="S786" t="n">
        <v>41</v>
      </c>
      <c r="T786" t="n">
        <v>199</v>
      </c>
      <c r="U786" t="n">
        <v>11</v>
      </c>
      <c r="V786" t="n">
        <v>121</v>
      </c>
      <c r="W786" t="n">
        <v>0.278999999999999</v>
      </c>
      <c r="X786" t="n">
        <v>169</v>
      </c>
      <c r="Y786" t="n">
        <v>109</v>
      </c>
      <c r="Z786" t="n">
        <v>30</v>
      </c>
      <c r="AA786" t="n">
        <v>6</v>
      </c>
      <c r="AB786" t="n">
        <v>7.3</v>
      </c>
      <c r="AC786" t="inlineStr">
        <is>
          <t xml:space="preserve"> Touring</t>
        </is>
      </c>
      <c r="AD786" t="inlineStr">
        <is>
          <t xml:space="preserve"> Ultralight Touring</t>
        </is>
      </c>
      <c r="AG786" t="inlineStr">
        <is>
          <t>Armada - Tracer 88 - 172 Silver</t>
        </is>
      </c>
      <c r="AH786" t="inlineStr">
        <is>
          <t>Snowcountry.eu</t>
        </is>
      </c>
      <c r="AI786" s="333" t="n">
        <v>367.81</v>
      </c>
      <c r="AJ786" t="inlineStr">
        <is>
          <t>https://tinyurl.com/y9a2yfct</t>
        </is>
      </c>
      <c r="AK786" t="inlineStr">
        <is>
          <t>2020 Armada Tracer 88 Skis 172</t>
        </is>
      </c>
      <c r="AL786" t="inlineStr">
        <is>
          <t>SkiYard</t>
        </is>
      </c>
      <c r="AM786" s="333" t="n">
        <v>379.99</v>
      </c>
      <c r="AN786" t="inlineStr">
        <is>
          <t>https://tinyurl.com/y9x6ltlo</t>
        </is>
      </c>
      <c r="AO786" t="inlineStr">
        <is>
          <t>2020 Armada Tracer 88 Skis</t>
        </is>
      </c>
      <c r="AP786" t="inlineStr">
        <is>
          <t>eBay - skiyard</t>
        </is>
      </c>
      <c r="AQ786" s="333" t="n">
        <v>379.99</v>
      </c>
      <c r="AR786" t="inlineStr">
        <is>
          <t>https://tinyurl.com/y8vu7be9</t>
        </is>
      </c>
      <c r="AS786" s="314">
        <f>IF(LEFT(C786,1)=" ",RIGHT(C786,LEN(C786)-1),C786)</f>
        <v/>
      </c>
      <c r="AT786" s="281">
        <f>_xlfn.CONCAT(B786,AS786,D786,E786)</f>
        <v/>
      </c>
    </row>
    <row r="787">
      <c r="A787" t="inlineStr">
        <is>
          <t>21/22</t>
        </is>
      </c>
      <c r="B787" t="inlineStr">
        <is>
          <t xml:space="preserve"> Armada</t>
        </is>
      </c>
      <c r="C787" t="inlineStr">
        <is>
          <t>Declivity 82 Ti</t>
        </is>
      </c>
      <c r="D787" t="n">
        <v>182</v>
      </c>
      <c r="E787" t="inlineStr">
        <is>
          <t xml:space="preserve"> Unisex</t>
        </is>
      </c>
      <c r="F787" t="n">
        <v>182</v>
      </c>
      <c r="G787" t="n">
        <v>181.5</v>
      </c>
      <c r="H787" t="n">
        <v>150</v>
      </c>
      <c r="I787" t="n">
        <v>161</v>
      </c>
      <c r="J787" t="n">
        <v>129</v>
      </c>
      <c r="K787" t="n">
        <v>81</v>
      </c>
      <c r="L787" t="n">
        <v>110</v>
      </c>
      <c r="M787" t="n">
        <v>16.7</v>
      </c>
      <c r="N787" t="n">
        <v>1734</v>
      </c>
      <c r="O787" t="n">
        <v>1</v>
      </c>
      <c r="P787" t="n">
        <v>1742</v>
      </c>
      <c r="Q787" t="n">
        <v>245</v>
      </c>
      <c r="R787" t="n">
        <v>129</v>
      </c>
      <c r="S787" t="n">
        <v>41</v>
      </c>
      <c r="T787" t="n">
        <v>197</v>
      </c>
      <c r="U787" t="n">
        <v>12</v>
      </c>
      <c r="V787" t="n">
        <v>123</v>
      </c>
      <c r="W787" t="n">
        <v>0.289</v>
      </c>
      <c r="X787" t="n">
        <v>131</v>
      </c>
      <c r="Y787" t="n">
        <v>73</v>
      </c>
      <c r="Z787" t="n">
        <v>66</v>
      </c>
      <c r="AA787" t="n">
        <v>9</v>
      </c>
      <c r="AB787" t="n">
        <v>9.6</v>
      </c>
      <c r="AC787" t="inlineStr">
        <is>
          <t xml:space="preserve"> On-Piste All-Mountain</t>
        </is>
      </c>
      <c r="AD787" t="inlineStr">
        <is>
          <t xml:space="preserve"> Resort Freeride</t>
        </is>
      </c>
      <c r="AG787" t="inlineStr">
        <is>
          <t>Armada Declivity 82 Ti Skis Â· 182 cm</t>
        </is>
      </c>
      <c r="AH787" t="inlineStr">
        <is>
          <t>Powder7 Ski Shop</t>
        </is>
      </c>
      <c r="AI787" s="333" t="n">
        <v>599.95</v>
      </c>
      <c r="AJ787" t="inlineStr">
        <is>
          <t>https://tinyurl.com/y9vb2usv</t>
        </is>
      </c>
      <c r="AK787" t="inlineStr">
        <is>
          <t>Armada Declivity 82 TI 2021 Model 182</t>
        </is>
      </c>
      <c r="AL787" t="inlineStr">
        <is>
          <t>Elevation Skate Snow</t>
        </is>
      </c>
      <c r="AM787" s="333" t="n">
        <v>599.99</v>
      </c>
      <c r="AN787" t="inlineStr">
        <is>
          <t>https://tinyurl.com/y9tkghjx</t>
        </is>
      </c>
      <c r="AO787" t="inlineStr">
        <is>
          <t>Armada Declivity 108 Ti Skis Â· 2022 Â· 182 cm</t>
        </is>
      </c>
      <c r="AP787" t="inlineStr">
        <is>
          <t>Snowcountry.eu</t>
        </is>
      </c>
      <c r="AQ787" s="333" t="n">
        <v>483.95</v>
      </c>
      <c r="AR787" t="inlineStr">
        <is>
          <t>https://tinyurl.com/yblug7qv</t>
        </is>
      </c>
      <c r="AS787" s="314">
        <f>IF(LEFT(C787,1)=" ",RIGHT(C787,LEN(C787)-1),C787)</f>
        <v/>
      </c>
      <c r="AT787" s="281">
        <f>_xlfn.CONCAT(B787,AS787,D787,E787)</f>
        <v/>
      </c>
    </row>
    <row r="788">
      <c r="A788" t="inlineStr">
        <is>
          <t>21/22</t>
        </is>
      </c>
      <c r="B788" t="inlineStr">
        <is>
          <t xml:space="preserve"> Rossignol</t>
        </is>
      </c>
      <c r="C788" t="inlineStr">
        <is>
          <t xml:space="preserve"> Hero Elite Short Turn Ti</t>
        </is>
      </c>
      <c r="D788" t="n">
        <v>167</v>
      </c>
      <c r="E788" t="inlineStr">
        <is>
          <t xml:space="preserve"> Unisex</t>
        </is>
      </c>
      <c r="F788" t="n">
        <v>167</v>
      </c>
      <c r="G788" t="n">
        <v>165.5</v>
      </c>
      <c r="H788" t="n">
        <v>143</v>
      </c>
      <c r="I788" t="n">
        <v>151</v>
      </c>
      <c r="J788" t="n">
        <v>122</v>
      </c>
      <c r="K788" t="n">
        <v>67</v>
      </c>
      <c r="L788" t="n">
        <v>103</v>
      </c>
      <c r="M788" t="n">
        <v>12.4</v>
      </c>
      <c r="N788" t="n">
        <v>1963</v>
      </c>
      <c r="O788" t="n">
        <v>0.71</v>
      </c>
      <c r="P788" t="n">
        <v>1399</v>
      </c>
      <c r="Q788" t="n">
        <v>209</v>
      </c>
      <c r="R788" t="n">
        <v>86</v>
      </c>
      <c r="S788" t="n">
        <v>40</v>
      </c>
      <c r="T788" t="n">
        <v>157</v>
      </c>
      <c r="U788" t="n">
        <v>5</v>
      </c>
      <c r="V788" t="n">
        <v>70</v>
      </c>
      <c r="W788" t="n">
        <v>0.129</v>
      </c>
      <c r="X788" t="n">
        <v>76</v>
      </c>
      <c r="Y788" t="n">
        <v>66</v>
      </c>
      <c r="Z788" t="n">
        <v>81</v>
      </c>
      <c r="AA788" t="n">
        <v>12</v>
      </c>
      <c r="AB788" t="n">
        <v>10.5</v>
      </c>
      <c r="AC788" t="inlineStr">
        <is>
          <t xml:space="preserve"> On-Piste Carving</t>
        </is>
      </c>
      <c r="AG788" t="inlineStr">
        <is>
          <t>Rossignol Hero Elite St Ti + SPX 14 Konect 21/22</t>
        </is>
      </c>
      <c r="AH788" t="inlineStr">
        <is>
          <t>Rossignol US</t>
        </is>
      </c>
      <c r="AI788" s="333" t="n">
        <v>1099.95</v>
      </c>
      <c r="AJ788" t="inlineStr">
        <is>
          <t>https://tinyurl.com/y7rwqr6h</t>
        </is>
      </c>
      <c r="AK788" t="inlineStr">
        <is>
          <t>Rossignol Hero Elite LT Ti + SPX 14 Konect 21/22</t>
        </is>
      </c>
      <c r="AL788" t="inlineStr">
        <is>
          <t>Snowcountry.eu</t>
        </is>
      </c>
      <c r="AM788" s="333" t="n">
        <v>506.08</v>
      </c>
      <c r="AN788" t="inlineStr">
        <is>
          <t>https://tinyurl.com/yaeo6w8g</t>
        </is>
      </c>
      <c r="AO788" t="inlineStr">
        <is>
          <t>Rossignol Hero Elite St Ti 167cm 13m Radius Spx 12 Binding</t>
        </is>
      </c>
      <c r="AP788" t="inlineStr">
        <is>
          <t>eBay</t>
        </is>
      </c>
      <c r="AQ788" s="333" t="n">
        <v>575</v>
      </c>
      <c r="AR788" t="inlineStr">
        <is>
          <t>https://tinyurl.com/ybtahdka</t>
        </is>
      </c>
      <c r="AS788" s="314">
        <f>IF(LEFT(C788,1)=" ",RIGHT(C788,LEN(C788)-1),C788)</f>
        <v/>
      </c>
      <c r="AT788" s="281">
        <f>_xlfn.CONCAT(B788,AS788,D788,E788)</f>
        <v/>
      </c>
    </row>
    <row r="789">
      <c r="A789" t="inlineStr">
        <is>
          <t>21/22</t>
        </is>
      </c>
      <c r="B789" t="inlineStr">
        <is>
          <t xml:space="preserve"> Stï¿½ckli</t>
        </is>
      </c>
      <c r="C789" t="inlineStr">
        <is>
          <t xml:space="preserve"> Laser SL</t>
        </is>
      </c>
      <c r="D789" t="n">
        <v>160</v>
      </c>
      <c r="E789" t="inlineStr">
        <is>
          <t xml:space="preserve"> Unisex</t>
        </is>
      </c>
      <c r="F789" t="n">
        <v>160</v>
      </c>
      <c r="G789" t="n">
        <v>159.1</v>
      </c>
      <c r="H789" t="n">
        <v>137</v>
      </c>
      <c r="I789" t="n">
        <v>147</v>
      </c>
      <c r="J789" t="n">
        <v>119</v>
      </c>
      <c r="K789" t="n">
        <v>66</v>
      </c>
      <c r="L789" t="n">
        <v>97</v>
      </c>
      <c r="M789" t="n">
        <v>12.9</v>
      </c>
      <c r="N789" t="n">
        <v>1666</v>
      </c>
      <c r="O789" t="n">
        <v>0.78</v>
      </c>
      <c r="P789" t="n">
        <v>1292</v>
      </c>
      <c r="Q789" t="n">
        <v>196</v>
      </c>
      <c r="R789" t="n">
        <v>119</v>
      </c>
      <c r="S789" t="n">
        <v>40</v>
      </c>
      <c r="T789" t="n">
        <v>156</v>
      </c>
      <c r="U789" t="n">
        <v>7</v>
      </c>
      <c r="V789" t="n">
        <v>63</v>
      </c>
      <c r="W789" t="n">
        <v>0.162</v>
      </c>
      <c r="X789" t="n">
        <v>67</v>
      </c>
      <c r="Y789" t="n">
        <v>50</v>
      </c>
      <c r="Z789" t="n">
        <v>89</v>
      </c>
      <c r="AA789" t="n">
        <v>8</v>
      </c>
      <c r="AB789" t="n">
        <v>12.6</v>
      </c>
      <c r="AC789" t="inlineStr">
        <is>
          <t xml:space="preserve"> On-Piste Carving</t>
        </is>
      </c>
      <c r="AG789" t="inlineStr">
        <is>
          <t>Stockli Laser WRT SL Fis Race Skis 2023 160</t>
        </is>
      </c>
      <c r="AH789" t="inlineStr">
        <is>
          <t>Ski Depot RaceSkis.com</t>
        </is>
      </c>
      <c r="AI789" s="333" t="n">
        <v>1249</v>
      </c>
      <c r="AJ789" t="inlineStr">
        <is>
          <t>https://tinyurl.com/y7zhmulr</t>
        </is>
      </c>
      <c r="AK789" t="inlineStr">
        <is>
          <t>Laser SL Fis 2014 160</t>
        </is>
      </c>
      <c r="AL789" t="inlineStr">
        <is>
          <t>Shumaker's ski &amp; snowboard</t>
        </is>
      </c>
      <c r="AM789" s="333" t="n">
        <v>705</v>
      </c>
      <c r="AN789" t="inlineStr">
        <is>
          <t>https://tinyurl.com/ycy876ft</t>
        </is>
      </c>
      <c r="AO789" t="inlineStr">
        <is>
          <t>2021 Stockli Laser SC skis w/MC11 bindings 156 cm R 12.3</t>
        </is>
      </c>
      <c r="AP789" t="inlineStr">
        <is>
          <t>SidelineSwap</t>
        </is>
      </c>
      <c r="AQ789" s="333" t="n">
        <v>900</v>
      </c>
      <c r="AR789" t="inlineStr">
        <is>
          <t>https://tinyurl.com/ycbhok9h</t>
        </is>
      </c>
      <c r="AS789" s="314">
        <f>IF(LEFT(C789,1)=" ",RIGHT(C789,LEN(C789)-1),C789)</f>
        <v/>
      </c>
      <c r="AT789" s="281">
        <f>_xlfn.CONCAT(B789,AS789,D789,E789)</f>
        <v/>
      </c>
    </row>
    <row r="790">
      <c r="A790" t="inlineStr">
        <is>
          <t>21/22</t>
        </is>
      </c>
      <c r="B790" t="inlineStr">
        <is>
          <t xml:space="preserve"> J Skis</t>
        </is>
      </c>
      <c r="C790" t="inlineStr">
        <is>
          <t xml:space="preserve"> The Hotshot</t>
        </is>
      </c>
      <c r="D790" t="n">
        <v>183</v>
      </c>
      <c r="E790" t="inlineStr">
        <is>
          <t xml:space="preserve"> Unisex</t>
        </is>
      </c>
      <c r="F790" t="n">
        <v>183</v>
      </c>
      <c r="G790" t="n">
        <v>180.8</v>
      </c>
      <c r="H790" t="n">
        <v>110</v>
      </c>
      <c r="I790" t="n">
        <v>145</v>
      </c>
      <c r="J790" t="n">
        <v>134</v>
      </c>
      <c r="K790" t="n">
        <v>106</v>
      </c>
      <c r="L790" t="n">
        <v>124</v>
      </c>
      <c r="M790" t="n">
        <v>18.8</v>
      </c>
      <c r="N790" t="n">
        <v>2292</v>
      </c>
      <c r="O790" t="n">
        <v>0.91</v>
      </c>
      <c r="P790" t="n">
        <v>2087</v>
      </c>
      <c r="Q790" t="n">
        <v>227</v>
      </c>
      <c r="R790" t="n">
        <v>117</v>
      </c>
      <c r="S790" t="n">
        <v>59</v>
      </c>
      <c r="T790" t="n">
        <v>444</v>
      </c>
      <c r="U790" t="n">
        <v>39</v>
      </c>
      <c r="V790" t="n">
        <v>265</v>
      </c>
      <c r="W790" t="n">
        <v>0.657999999999999</v>
      </c>
      <c r="X790" t="n">
        <v>182</v>
      </c>
      <c r="Y790" t="n">
        <v>176</v>
      </c>
      <c r="Z790" t="n">
        <v>262</v>
      </c>
      <c r="AA790" t="n">
        <v>3</v>
      </c>
      <c r="AB790" t="n">
        <v>7.6</v>
      </c>
      <c r="AC790" t="inlineStr">
        <is>
          <t xml:space="preserve"> Powder</t>
        </is>
      </c>
      <c r="AG790" t="inlineStr">
        <is>
          <t>J Skis â€œthe Friendâ€ 183 Cm Dragon Brand</t>
        </is>
      </c>
      <c r="AH790" t="inlineStr">
        <is>
          <t>eBay</t>
        </is>
      </c>
      <c r="AI790" s="333" t="n">
        <v>925</v>
      </c>
      <c r="AJ790" t="inlineStr">
        <is>
          <t>https://tinyurl.com/yd6cdoax</t>
        </is>
      </c>
      <c r="AK790" t="inlineStr">
        <is>
          <t>Line Skis No Bindings 183 Cm</t>
        </is>
      </c>
      <c r="AL790" t="inlineStr">
        <is>
          <t>eBay - lonewolfstore</t>
        </is>
      </c>
      <c r="AM790" s="333" t="n">
        <v>350</v>
      </c>
      <c r="AN790" t="inlineStr">
        <is>
          <t>https://tinyurl.com/y7mpd2lk</t>
        </is>
      </c>
      <c r="AO790" t="inlineStr">
        <is>
          <t>Line Vision 118 Skis 183cm 2022</t>
        </is>
      </c>
      <c r="AP790" t="inlineStr">
        <is>
          <t>Snowcountry.eu</t>
        </is>
      </c>
      <c r="AQ790" s="333" t="n">
        <v>487.65</v>
      </c>
      <c r="AR790" t="inlineStr">
        <is>
          <t>https://tinyurl.com/yaov2sey</t>
        </is>
      </c>
      <c r="AS790" s="314">
        <f>IF(LEFT(C790,1)=" ",RIGHT(C790,LEN(C790)-1),C790)</f>
        <v/>
      </c>
      <c r="AT790" s="281">
        <f>_xlfn.CONCAT(B790,AS790,D790,E790)</f>
        <v/>
      </c>
    </row>
    <row r="791">
      <c r="A791" t="inlineStr">
        <is>
          <t>21/22</t>
        </is>
      </c>
      <c r="B791" t="inlineStr">
        <is>
          <t xml:space="preserve"> Atomic</t>
        </is>
      </c>
      <c r="C791" t="inlineStr">
        <is>
          <t>Redster S9 Revo</t>
        </is>
      </c>
      <c r="D791" t="n">
        <v>160</v>
      </c>
      <c r="E791" t="inlineStr">
        <is>
          <t xml:space="preserve"> Unisex</t>
        </is>
      </c>
      <c r="F791" t="n">
        <v>160</v>
      </c>
      <c r="G791" t="n">
        <v>159.6</v>
      </c>
      <c r="H791" t="n">
        <v>140</v>
      </c>
      <c r="I791" t="n">
        <v>146</v>
      </c>
      <c r="J791" t="n">
        <v>115</v>
      </c>
      <c r="K791" t="n">
        <v>67</v>
      </c>
      <c r="L791" t="n">
        <v>101</v>
      </c>
      <c r="M791" t="n">
        <v>12.5</v>
      </c>
      <c r="N791" t="n">
        <v>1985</v>
      </c>
      <c r="O791" t="n">
        <v>0.66</v>
      </c>
      <c r="P791" t="n">
        <v>1316</v>
      </c>
      <c r="Q791" t="n">
        <v>196</v>
      </c>
      <c r="R791" t="n">
        <v>97</v>
      </c>
      <c r="S791" t="n">
        <v>32</v>
      </c>
      <c r="T791" t="n">
        <v>141</v>
      </c>
      <c r="U791" t="n">
        <v>4</v>
      </c>
      <c r="V791" t="n">
        <v>51</v>
      </c>
      <c r="W791" t="n">
        <v>0.13</v>
      </c>
      <c r="X791" t="n">
        <v>80</v>
      </c>
      <c r="Y791" t="n">
        <v>51</v>
      </c>
      <c r="Z791" t="n">
        <v>60</v>
      </c>
      <c r="AA791" t="n">
        <v>11</v>
      </c>
      <c r="AB791" t="n">
        <v>13.6</v>
      </c>
      <c r="AC791" t="inlineStr">
        <is>
          <t xml:space="preserve"> On-Piste Carving</t>
        </is>
      </c>
      <c r="AG791" t="inlineStr">
        <is>
          <t>Atomic Redster S9 Revo S Skis Â· 2022 Â· 160 cm</t>
        </is>
      </c>
      <c r="AH791" t="inlineStr">
        <is>
          <t>Suburban Ski and Bike</t>
        </is>
      </c>
      <c r="AI791" s="333" t="n">
        <v>999.99</v>
      </c>
      <c r="AJ791" t="inlineStr">
        <is>
          <t>https://tinyurl.com/y7k6gw6n</t>
        </is>
      </c>
      <c r="AK791" t="inlineStr">
        <is>
          <t>2022 Atomic Redster G9 Rs Revo Race Skis +x12 Gw Bindings 160,167cm</t>
        </is>
      </c>
      <c r="AL791" t="inlineStr">
        <is>
          <t>eBay - suburbansports</t>
        </is>
      </c>
      <c r="AM791" s="333" t="n">
        <v>799.99</v>
      </c>
      <c r="AN791" t="inlineStr">
        <is>
          <t>https://tinyurl.com/y8vpqfy4</t>
        </is>
      </c>
      <c r="AO791" t="inlineStr">
        <is>
          <t>Atomic 2022 Redster X9i WB REVO S+ X 12 GW BLACK/SILVER / 160</t>
        </is>
      </c>
      <c r="AP791" t="inlineStr">
        <is>
          <t>Cityhome</t>
        </is>
      </c>
      <c r="AQ791" s="333" t="n">
        <v>999.99</v>
      </c>
      <c r="AR791" t="inlineStr">
        <is>
          <t>https://tinyurl.com/yd8mfyvk</t>
        </is>
      </c>
      <c r="AS791" s="314">
        <f>IF(LEFT(C791,1)=" ",RIGHT(C791,LEN(C791)-1),C791)</f>
        <v/>
      </c>
      <c r="AT791" s="281">
        <f>_xlfn.CONCAT(B791,AS791,D791,E791)</f>
        <v/>
      </c>
    </row>
    <row r="792">
      <c r="A792" t="inlineStr">
        <is>
          <t>21/22</t>
        </is>
      </c>
      <c r="B792" t="inlineStr">
        <is>
          <t>K2</t>
        </is>
      </c>
      <c r="C792" t="inlineStr">
        <is>
          <t>Mindbender 90C</t>
        </is>
      </c>
      <c r="D792" t="n">
        <v>163</v>
      </c>
      <c r="E792" t="inlineStr">
        <is>
          <t xml:space="preserve"> Unisex</t>
        </is>
      </c>
      <c r="F792" t="n">
        <v>163</v>
      </c>
      <c r="G792" t="n">
        <v>163.6</v>
      </c>
      <c r="H792" t="n">
        <v>129</v>
      </c>
      <c r="I792" t="n">
        <v>137</v>
      </c>
      <c r="J792" t="n">
        <v>126</v>
      </c>
      <c r="K792" t="n">
        <v>89</v>
      </c>
      <c r="L792" t="n">
        <v>112</v>
      </c>
      <c r="M792" t="n">
        <v>14.6</v>
      </c>
      <c r="N792" t="n">
        <v>1462</v>
      </c>
      <c r="O792" t="n">
        <v>1.13</v>
      </c>
      <c r="P792" t="n">
        <v>1659</v>
      </c>
      <c r="Q792" t="n">
        <v>131</v>
      </c>
      <c r="R792" t="n">
        <v>68</v>
      </c>
      <c r="S792" t="n">
        <v>44</v>
      </c>
      <c r="T792" t="n">
        <v>208</v>
      </c>
      <c r="U792" t="n">
        <v>14</v>
      </c>
      <c r="V792" t="n">
        <v>141</v>
      </c>
      <c r="W792" t="n">
        <v>0.315</v>
      </c>
      <c r="X792" t="n">
        <v>156</v>
      </c>
      <c r="Y792" t="n">
        <v>111</v>
      </c>
      <c r="Z792" t="n">
        <v>52</v>
      </c>
      <c r="AA792" t="n">
        <v>8</v>
      </c>
      <c r="AB792" t="n">
        <v>10.3</v>
      </c>
      <c r="AC792" t="inlineStr">
        <is>
          <t xml:space="preserve"> Resort Freeride</t>
        </is>
      </c>
      <c r="AD792" t="inlineStr">
        <is>
          <t xml:space="preserve"> Touring</t>
        </is>
      </c>
      <c r="AG792" t="inlineStr">
        <is>
          <t>K2 Mindbender 90C Men's Skis 2021/22</t>
        </is>
      </c>
      <c r="AH792" t="inlineStr">
        <is>
          <t>PRFO Sports</t>
        </is>
      </c>
      <c r="AI792" s="333" t="n">
        <v>352.63</v>
      </c>
      <c r="AJ792" t="inlineStr">
        <is>
          <t>https://tinyurl.com/y9esabsa</t>
        </is>
      </c>
      <c r="AK792" t="inlineStr">
        <is>
          <t>K2 Mindbender 90C Skis 2022 - Men's 163</t>
        </is>
      </c>
      <c r="AL792" t="inlineStr">
        <is>
          <t>Gear Coop</t>
        </is>
      </c>
      <c r="AM792" s="333" t="n">
        <v>499</v>
      </c>
      <c r="AN792" t="inlineStr">
        <is>
          <t>https://tinyurl.com/yarkgmd2</t>
        </is>
      </c>
      <c r="AO792" t="inlineStr">
        <is>
          <t>K2 Mindbender 90C Men's Skis 2021/22</t>
        </is>
      </c>
      <c r="AP792" t="inlineStr">
        <is>
          <t>Curated</t>
        </is>
      </c>
      <c r="AQ792" s="333" t="n">
        <v>499.95</v>
      </c>
      <c r="AR792" t="inlineStr">
        <is>
          <t>https://tinyurl.com/yd6l8h3a</t>
        </is>
      </c>
      <c r="AS792" s="314">
        <f>IF(LEFT(C792,1)=" ",RIGHT(C792,LEN(C792)-1),C792)</f>
        <v/>
      </c>
      <c r="AT792" s="281">
        <f>_xlfn.CONCAT(B792,AS792,D792,E792)</f>
        <v/>
      </c>
    </row>
    <row r="793">
      <c r="A793" t="inlineStr">
        <is>
          <t>21/22</t>
        </is>
      </c>
      <c r="B793" t="inlineStr">
        <is>
          <t>K2</t>
        </is>
      </c>
      <c r="C793" t="inlineStr">
        <is>
          <t>Reckoner 102</t>
        </is>
      </c>
      <c r="D793" t="n">
        <v>177</v>
      </c>
      <c r="E793" t="inlineStr">
        <is>
          <t xml:space="preserve"> Unisex</t>
        </is>
      </c>
      <c r="F793" t="n">
        <v>177</v>
      </c>
      <c r="G793" t="n">
        <v>177</v>
      </c>
      <c r="H793" t="n">
        <v>114</v>
      </c>
      <c r="I793" t="n">
        <v>148</v>
      </c>
      <c r="J793" t="n">
        <v>133</v>
      </c>
      <c r="K793" t="n">
        <v>101</v>
      </c>
      <c r="L793" t="n">
        <v>126</v>
      </c>
      <c r="M793" t="n">
        <v>18.1</v>
      </c>
      <c r="N793" t="n">
        <v>1773</v>
      </c>
      <c r="O793" t="n">
        <v>1.12</v>
      </c>
      <c r="P793" t="n">
        <v>1989</v>
      </c>
      <c r="Q793" t="n">
        <v>168</v>
      </c>
      <c r="R793" t="n">
        <v>69</v>
      </c>
      <c r="S793" t="n">
        <v>51</v>
      </c>
      <c r="T793" t="n">
        <v>316</v>
      </c>
      <c r="U793" t="n">
        <v>47</v>
      </c>
      <c r="V793" t="n">
        <v>315</v>
      </c>
      <c r="W793" t="n">
        <v>0.924</v>
      </c>
      <c r="X793" t="n">
        <v>147</v>
      </c>
      <c r="Y793" t="n">
        <v>139</v>
      </c>
      <c r="Z793" t="n">
        <v>169</v>
      </c>
      <c r="AA793" t="n">
        <v>6</v>
      </c>
      <c r="AB793" t="n">
        <v>4.4</v>
      </c>
      <c r="AC793" t="inlineStr">
        <is>
          <t xml:space="preserve"> Freeski</t>
        </is>
      </c>
      <c r="AD793" t="inlineStr">
        <is>
          <t xml:space="preserve"> Powder</t>
        </is>
      </c>
      <c r="AE793" t="inlineStr">
        <is>
          <t xml:space="preserve"> Touring</t>
        </is>
      </c>
      <c r="AG793" t="inlineStr">
        <is>
          <t>K2 Reckoner 102 Skis 2022</t>
        </is>
      </c>
      <c r="AH793" t="inlineStr">
        <is>
          <t>Hillcrest Ski &amp; Sports</t>
        </is>
      </c>
      <c r="AI793" s="333" t="n">
        <v>479.96</v>
      </c>
      <c r="AJ793" t="inlineStr">
        <is>
          <t>https://tinyurl.com/y83dtbsz</t>
        </is>
      </c>
      <c r="AK793" t="inlineStr">
        <is>
          <t>K2 Reckoner 102 Skis</t>
        </is>
      </c>
      <c r="AL793" t="inlineStr">
        <is>
          <t>eBay - asogear</t>
        </is>
      </c>
      <c r="AM793" s="333" t="n">
        <v>489.99</v>
      </c>
      <c r="AN793" t="inlineStr">
        <is>
          <t>https://tinyurl.com/ybpab939</t>
        </is>
      </c>
      <c r="AO793" t="inlineStr">
        <is>
          <t>'22 K2 Reckoner 102 Skis 177cm</t>
        </is>
      </c>
      <c r="AP793" t="inlineStr">
        <is>
          <t>Al's Ski Equipment Barn</t>
        </is>
      </c>
      <c r="AQ793" s="333" t="n">
        <v>599</v>
      </c>
      <c r="AR793" t="inlineStr">
        <is>
          <t>https://tinyurl.com/y9dno9fh</t>
        </is>
      </c>
      <c r="AS793" s="314">
        <f>IF(LEFT(C793,1)=" ",RIGHT(C793,LEN(C793)-1),C793)</f>
        <v/>
      </c>
      <c r="AT793" s="281">
        <f>_xlfn.CONCAT(B793,AS793,D793,E793)</f>
        <v/>
      </c>
    </row>
    <row r="794">
      <c r="A794" t="inlineStr">
        <is>
          <t>21/22</t>
        </is>
      </c>
      <c r="B794" t="inlineStr">
        <is>
          <t xml:space="preserve"> Fischer</t>
        </is>
      </c>
      <c r="C794" t="inlineStr">
        <is>
          <t>RC One 78 GT</t>
        </is>
      </c>
      <c r="D794" t="n">
        <v>173</v>
      </c>
      <c r="E794" t="inlineStr">
        <is>
          <t xml:space="preserve"> Unisex</t>
        </is>
      </c>
      <c r="F794" t="n">
        <v>173</v>
      </c>
      <c r="G794" t="n">
        <v>172</v>
      </c>
      <c r="H794" t="n">
        <v>139</v>
      </c>
      <c r="I794" t="n">
        <v>157</v>
      </c>
      <c r="J794" t="n">
        <v>125</v>
      </c>
      <c r="K794" t="n">
        <v>80</v>
      </c>
      <c r="L794" t="n">
        <v>111</v>
      </c>
      <c r="M794" t="n">
        <v>15</v>
      </c>
      <c r="N794" t="n">
        <v>2106</v>
      </c>
      <c r="O794" t="n">
        <v>0.77</v>
      </c>
      <c r="P794" t="n">
        <v>1622</v>
      </c>
      <c r="Q794" t="n">
        <v>233</v>
      </c>
      <c r="R794" t="n">
        <v>79</v>
      </c>
      <c r="S794" t="n">
        <v>49</v>
      </c>
      <c r="T794" t="n">
        <v>241</v>
      </c>
      <c r="U794" t="n">
        <v>14</v>
      </c>
      <c r="V794" t="n">
        <v>86</v>
      </c>
      <c r="W794" t="n">
        <v>0.288</v>
      </c>
      <c r="X794" t="n">
        <v>70</v>
      </c>
      <c r="Y794" t="n">
        <v>78</v>
      </c>
      <c r="Z794" t="n">
        <v>172</v>
      </c>
      <c r="AA794" t="n">
        <v>7</v>
      </c>
      <c r="AB794" t="n">
        <v>8.5</v>
      </c>
      <c r="AC794" t="inlineStr">
        <is>
          <t xml:space="preserve"> On-Piste Carving</t>
        </is>
      </c>
      <c r="AG794" t="inlineStr">
        <is>
          <t>Fischer 2022 RC One 78 GT Men's Skis with RSW 10 GW Powerrail Bindings</t>
        </is>
      </c>
      <c r="AH794" t="inlineStr">
        <is>
          <t>Peter Glenn Ski &amp; Sports</t>
        </is>
      </c>
      <c r="AI794" s="333" t="n">
        <v>749.99</v>
      </c>
      <c r="AJ794" t="inlineStr">
        <is>
          <t>https://tinyurl.com/y8s5swnz</t>
        </is>
      </c>
      <c r="AK794" t="inlineStr">
        <is>
          <t>Fischer, Rc One 78 Gt Twin Powerrail Skis, Lange: 173, P09521</t>
        </is>
      </c>
      <c r="AL794" t="inlineStr">
        <is>
          <t>Bonanza - Bargain Bosses' Booth</t>
        </is>
      </c>
      <c r="AM794" s="333" t="n">
        <v>297</v>
      </c>
      <c r="AN794" t="inlineStr">
        <is>
          <t>https://tinyurl.com/yby6zucx</t>
        </is>
      </c>
      <c r="AO794" t="inlineStr">
        <is>
          <t>Fischer Ranger 85 Skis w/ RSW 11 GW Powerrail Bindings</t>
        </is>
      </c>
      <c r="AP794" t="inlineStr">
        <is>
          <t>The-House.com</t>
        </is>
      </c>
      <c r="AQ794" s="333" t="n">
        <v>449.95</v>
      </c>
      <c r="AR794" t="inlineStr">
        <is>
          <t>https://tinyurl.com/ybakqlxm</t>
        </is>
      </c>
      <c r="AS794" s="314">
        <f>IF(LEFT(C794,1)=" ",RIGHT(C794,LEN(C794)-1),C794)</f>
        <v/>
      </c>
      <c r="AT794" s="281">
        <f>_xlfn.CONCAT(B794,AS794,D794,E794)</f>
        <v/>
      </c>
    </row>
    <row r="795">
      <c r="A795" t="inlineStr">
        <is>
          <t>21/22</t>
        </is>
      </c>
      <c r="B795" t="inlineStr">
        <is>
          <t xml:space="preserve"> Dynastar</t>
        </is>
      </c>
      <c r="C795" t="inlineStr">
        <is>
          <t>M-Pro 84 W</t>
        </is>
      </c>
      <c r="D795" t="n">
        <v>156</v>
      </c>
      <c r="E795" t="inlineStr">
        <is>
          <t xml:space="preserve"> Women's</t>
        </is>
      </c>
      <c r="F795" t="n">
        <v>156</v>
      </c>
      <c r="G795" t="n">
        <v>156.7</v>
      </c>
      <c r="H795" t="n">
        <v>124</v>
      </c>
      <c r="I795" t="n">
        <v>125</v>
      </c>
      <c r="J795" t="n">
        <v>121</v>
      </c>
      <c r="K795" t="n">
        <v>82</v>
      </c>
      <c r="L795" t="n">
        <v>103</v>
      </c>
      <c r="M795" t="n">
        <v>12.3</v>
      </c>
      <c r="N795" t="n">
        <v>1435</v>
      </c>
      <c r="O795" t="n">
        <v>1.03</v>
      </c>
      <c r="P795" t="n">
        <v>1485</v>
      </c>
      <c r="Q795" t="n">
        <v>165</v>
      </c>
      <c r="R795" t="n">
        <v>70</v>
      </c>
      <c r="S795" t="n">
        <v>40</v>
      </c>
      <c r="T795" t="n">
        <v>266</v>
      </c>
      <c r="U795" t="n">
        <v>5</v>
      </c>
      <c r="V795" t="n">
        <v>62</v>
      </c>
      <c r="W795" t="n">
        <v>0.124</v>
      </c>
      <c r="X795" t="n">
        <v>169</v>
      </c>
      <c r="Y795" t="n">
        <v>143</v>
      </c>
      <c r="Z795" t="n">
        <v>96</v>
      </c>
      <c r="AA795" t="n">
        <v>8</v>
      </c>
      <c r="AB795" t="n">
        <v>6</v>
      </c>
      <c r="AC795" t="inlineStr">
        <is>
          <t xml:space="preserve"> On-Piste All-Mountain</t>
        </is>
      </c>
      <c r="AD795" t="inlineStr">
        <is>
          <t xml:space="preserve"> Resort Freeride</t>
        </is>
      </c>
      <c r="AG795" t="inlineStr">
        <is>
          <t>Dynastar M-PRO 84 W 156cm</t>
        </is>
      </c>
      <c r="AH795" t="inlineStr">
        <is>
          <t>Sundance Ski and Board Shop</t>
        </is>
      </c>
      <c r="AI795" s="333" t="n">
        <v>360.64</v>
      </c>
      <c r="AJ795" t="inlineStr">
        <is>
          <t>https://tinyurl.com/yagps3za</t>
        </is>
      </c>
      <c r="AK795" t="inlineStr">
        <is>
          <t>Dynastar M-Pro 84 W Skis</t>
        </is>
      </c>
      <c r="AL795" t="inlineStr">
        <is>
          <t>Cole Sport</t>
        </is>
      </c>
      <c r="AM795" s="333" t="n">
        <v>399.96</v>
      </c>
      <c r="AN795" t="inlineStr">
        <is>
          <t>https://tinyurl.com/y86fmm5x</t>
        </is>
      </c>
      <c r="AO795" t="inlineStr">
        <is>
          <t>Dynastar M-Pro 84 Skis - Women's 2022</t>
        </is>
      </c>
      <c r="AP795" t="inlineStr">
        <is>
          <t>Next Adventure</t>
        </is>
      </c>
      <c r="AQ795" s="333" t="n">
        <v>349.97</v>
      </c>
      <c r="AR795" t="inlineStr">
        <is>
          <t>https://tinyurl.com/ybl2l43g</t>
        </is>
      </c>
      <c r="AS795" s="314">
        <f>IF(LEFT(C795,1)=" ",RIGHT(C795,LEN(C795)-1),C795)</f>
        <v/>
      </c>
      <c r="AT795" s="281">
        <f>_xlfn.CONCAT(B795,AS795,D795,E795)</f>
        <v/>
      </c>
    </row>
    <row r="796">
      <c r="A796" t="inlineStr">
        <is>
          <t>21/22</t>
        </is>
      </c>
      <c r="B796" t="inlineStr">
        <is>
          <t xml:space="preserve"> Rossignol</t>
        </is>
      </c>
      <c r="C796" t="inlineStr">
        <is>
          <t>Experience 76 W</t>
        </is>
      </c>
      <c r="D796" t="n">
        <v>152</v>
      </c>
      <c r="E796" t="inlineStr">
        <is>
          <t xml:space="preserve"> Women's</t>
        </is>
      </c>
      <c r="F796" t="n">
        <v>152</v>
      </c>
      <c r="G796" t="n">
        <v>152.4</v>
      </c>
      <c r="H796" t="n">
        <v>131</v>
      </c>
      <c r="I796" t="n">
        <v>137</v>
      </c>
      <c r="J796" t="n">
        <v>123</v>
      </c>
      <c r="K796" t="n">
        <v>76</v>
      </c>
      <c r="L796" t="n">
        <v>109</v>
      </c>
      <c r="M796" t="n">
        <v>11.4</v>
      </c>
      <c r="N796" t="n">
        <v>1534</v>
      </c>
      <c r="O796" t="n">
        <v>0.91</v>
      </c>
      <c r="P796" t="n">
        <v>1393</v>
      </c>
      <c r="Q796" t="n">
        <v>153</v>
      </c>
      <c r="R796" t="n">
        <v>59</v>
      </c>
      <c r="S796" t="n">
        <v>35</v>
      </c>
      <c r="T796" t="n">
        <v>146</v>
      </c>
      <c r="U796" t="n">
        <v>6</v>
      </c>
      <c r="V796" t="n">
        <v>71</v>
      </c>
      <c r="W796" t="n">
        <v>0.166</v>
      </c>
      <c r="X796" t="n">
        <v>71</v>
      </c>
      <c r="Y796" t="n">
        <v>82</v>
      </c>
      <c r="Z796" t="n">
        <v>75</v>
      </c>
      <c r="AA796" t="n">
        <v>8</v>
      </c>
      <c r="AB796" t="n">
        <v>8.4</v>
      </c>
      <c r="AC796" t="inlineStr">
        <is>
          <t xml:space="preserve"> On-Piste Carving</t>
        </is>
      </c>
      <c r="AD796" t="inlineStr">
        <is>
          <t xml:space="preserve"> On-Piste All-Mountain</t>
        </is>
      </c>
      <c r="AG796" t="inlineStr">
        <is>
          <t>Rossignol ALL MOUNTAIN Women's Skis EXPERIENCE W 76 (XPRESS) 152</t>
        </is>
      </c>
      <c r="AH796" t="inlineStr">
        <is>
          <t>shop.petersonsskiandcycle.com</t>
        </is>
      </c>
      <c r="AI796" s="333" t="n">
        <v>399.99</v>
      </c>
      <c r="AJ796" t="inlineStr">
        <is>
          <t>https://tinyurl.com/y8o588px</t>
        </is>
      </c>
      <c r="AK796" t="inlineStr">
        <is>
          <t>Rossignol Experience 76 Skis w/ Look Xpress 10 GW Bindings</t>
        </is>
      </c>
      <c r="AL796" t="inlineStr">
        <is>
          <t>The-House.com</t>
        </is>
      </c>
      <c r="AM796" s="333" t="n">
        <v>319.95</v>
      </c>
      <c r="AN796" t="inlineStr">
        <is>
          <t>https://tinyurl.com/ycrkn3z7</t>
        </is>
      </c>
      <c r="AO796" t="inlineStr">
        <is>
          <t>Rossignol Experience 76 Skis w/ Xpress 10 Bindings</t>
        </is>
      </c>
      <c r="AP796" t="inlineStr">
        <is>
          <t>Rossignol US</t>
        </is>
      </c>
      <c r="AQ796" s="333" t="n">
        <v>399.95</v>
      </c>
      <c r="AR796" t="inlineStr">
        <is>
          <t>https://tinyurl.com/ya9jtbq6</t>
        </is>
      </c>
      <c r="AS796" s="314">
        <f>IF(LEFT(C796,1)=" ",RIGHT(C796,LEN(C796)-1),C796)</f>
        <v/>
      </c>
      <c r="AT796" s="281">
        <f>_xlfn.CONCAT(B796,AS796,D796,E796)</f>
        <v/>
      </c>
    </row>
    <row r="797">
      <c r="A797" t="inlineStr">
        <is>
          <t>21/22</t>
        </is>
      </c>
      <c r="B797" t="inlineStr">
        <is>
          <t xml:space="preserve"> Black Crows</t>
        </is>
      </c>
      <c r="C797" t="inlineStr">
        <is>
          <t xml:space="preserve"> Camox Birdie</t>
        </is>
      </c>
      <c r="D797" t="n">
        <v>156.1</v>
      </c>
      <c r="E797" t="inlineStr">
        <is>
          <t xml:space="preserve"> Women's</t>
        </is>
      </c>
      <c r="F797" t="n">
        <v>156.1</v>
      </c>
      <c r="G797" t="n">
        <v>154.9</v>
      </c>
      <c r="H797" t="n">
        <v>120</v>
      </c>
      <c r="I797" t="n">
        <v>136</v>
      </c>
      <c r="J797" t="n">
        <v>126</v>
      </c>
      <c r="K797" t="n">
        <v>95</v>
      </c>
      <c r="L797" t="n">
        <v>114</v>
      </c>
      <c r="M797" t="n">
        <v>18.4</v>
      </c>
      <c r="N797" t="n">
        <v>1543</v>
      </c>
      <c r="O797" t="n">
        <v>1.05</v>
      </c>
      <c r="P797" t="n">
        <v>1616</v>
      </c>
      <c r="Q797" t="n">
        <v>148</v>
      </c>
      <c r="R797" t="n">
        <v>61</v>
      </c>
      <c r="S797" t="n">
        <v>38</v>
      </c>
      <c r="T797" t="n">
        <v>198</v>
      </c>
      <c r="U797" t="n">
        <v>30</v>
      </c>
      <c r="V797" t="n">
        <v>156</v>
      </c>
      <c r="W797" t="n">
        <v>0.787</v>
      </c>
      <c r="X797" t="n">
        <v>100</v>
      </c>
      <c r="Y797" t="n">
        <v>94</v>
      </c>
      <c r="Z797" t="n">
        <v>98</v>
      </c>
      <c r="AA797" t="n">
        <v>14</v>
      </c>
      <c r="AB797" t="n">
        <v>6.6</v>
      </c>
      <c r="AC797" t="inlineStr">
        <is>
          <t xml:space="preserve"> Resort Freeride</t>
        </is>
      </c>
      <c r="AG797" t="inlineStr">
        <is>
          <t>Black Crows Camox Birdie Skis</t>
        </is>
      </c>
      <c r="AH797" t="inlineStr">
        <is>
          <t>Powder7 Ski Shop</t>
        </is>
      </c>
      <c r="AI797" s="333" t="n">
        <v>519.91</v>
      </c>
      <c r="AJ797" t="inlineStr">
        <is>
          <t>https://tinyurl.com/y8uqheuh</t>
        </is>
      </c>
      <c r="AK797" t="inlineStr">
        <is>
          <t>Black crows camox birdie skis - women</t>
        </is>
      </c>
      <c r="AL797" t="inlineStr">
        <is>
          <t>PRFO Sports</t>
        </is>
      </c>
      <c r="AM797" s="333" t="n">
        <v>615.51</v>
      </c>
      <c r="AN797" t="inlineStr">
        <is>
          <t>https://tinyurl.com/y9ucn3lc</t>
        </is>
      </c>
      <c r="AO797" t="inlineStr">
        <is>
          <t>Black Crows Camox Birdie Ski 156</t>
        </is>
      </c>
      <c r="AP797" t="inlineStr">
        <is>
          <t>Buzz's Boards</t>
        </is>
      </c>
      <c r="AQ797" s="333" t="n">
        <v>719.99</v>
      </c>
      <c r="AR797" t="inlineStr">
        <is>
          <t>https://tinyurl.com/ycurqg3s</t>
        </is>
      </c>
      <c r="AS797" s="314">
        <f>IF(LEFT(C797,1)=" ",RIGHT(C797,LEN(C797)-1),C797)</f>
        <v/>
      </c>
      <c r="AT797" s="281">
        <f>_xlfn.CONCAT(B797,AS797,D797,E797)</f>
        <v/>
      </c>
    </row>
    <row r="798">
      <c r="A798" t="inlineStr">
        <is>
          <t>21/22</t>
        </is>
      </c>
      <c r="B798" t="inlineStr">
        <is>
          <t xml:space="preserve"> Head</t>
        </is>
      </c>
      <c r="C798" t="inlineStr">
        <is>
          <t>Kore 80 X</t>
        </is>
      </c>
      <c r="D798" t="n">
        <v>163</v>
      </c>
      <c r="E798" t="inlineStr">
        <is>
          <t xml:space="preserve"> Unisex</t>
        </is>
      </c>
      <c r="F798" t="n">
        <v>163</v>
      </c>
      <c r="G798" t="n">
        <v>162.6</v>
      </c>
      <c r="H798" t="n">
        <v>131</v>
      </c>
      <c r="I798" t="n">
        <v>138</v>
      </c>
      <c r="J798" t="n">
        <v>124</v>
      </c>
      <c r="K798" t="n">
        <v>78</v>
      </c>
      <c r="L798" t="n">
        <v>103</v>
      </c>
      <c r="M798" t="n">
        <v>12.1</v>
      </c>
      <c r="N798" t="n">
        <v>1773</v>
      </c>
      <c r="O798" t="n">
        <v>0.85</v>
      </c>
      <c r="P798" t="n">
        <v>1510</v>
      </c>
      <c r="Q798" t="n">
        <v>148</v>
      </c>
      <c r="R798" t="n">
        <v>76</v>
      </c>
      <c r="S798" t="n">
        <v>43</v>
      </c>
      <c r="T798" t="n">
        <v>202</v>
      </c>
      <c r="U798" t="n">
        <v>11</v>
      </c>
      <c r="V798" t="n">
        <v>116</v>
      </c>
      <c r="W798" t="n">
        <v>0.256</v>
      </c>
      <c r="X798" t="n">
        <v>129</v>
      </c>
      <c r="Y798" t="n">
        <v>112</v>
      </c>
      <c r="Z798" t="n">
        <v>73</v>
      </c>
      <c r="AA798" t="n">
        <v>10</v>
      </c>
      <c r="AB798" t="n">
        <v>10.4</v>
      </c>
      <c r="AC798" t="inlineStr">
        <is>
          <t xml:space="preserve"> On-Piste All-Mountain</t>
        </is>
      </c>
      <c r="AG798" t="inlineStr">
        <is>
          <t>Head Kore 80 X LYT-PR + PRW 11 GW 163cm</t>
        </is>
      </c>
      <c r="AH798" t="inlineStr">
        <is>
          <t>Sundance Ski and Board Shop</t>
        </is>
      </c>
      <c r="AI798" s="333" t="n">
        <v>416.75</v>
      </c>
      <c r="AJ798" t="inlineStr">
        <is>
          <t>https://tinyurl.com/y9xt6v3x</t>
        </is>
      </c>
      <c r="AK798" t="inlineStr">
        <is>
          <t>Head Men's Kore 80 x LYT-PR Alpine Skis with PRW 11 GW Binding</t>
        </is>
      </c>
      <c r="AL798" t="inlineStr">
        <is>
          <t>Buyr.com</t>
        </is>
      </c>
      <c r="AM798" s="333" t="n">
        <v>450</v>
      </c>
      <c r="AN798" t="inlineStr">
        <is>
          <t>https://tinyurl.com/y9monauo</t>
        </is>
      </c>
      <c r="AO798" t="inlineStr">
        <is>
          <t>Head Men's Kore 80 x LYT-PR Alpine Skis with PRW 11 GW Binding</t>
        </is>
      </c>
      <c r="AP798" t="inlineStr">
        <is>
          <t>GritrOutdoors</t>
        </is>
      </c>
      <c r="AQ798" s="333" t="n">
        <v>549</v>
      </c>
      <c r="AR798" t="inlineStr">
        <is>
          <t>https://tinyurl.com/ydyppmea</t>
        </is>
      </c>
      <c r="AS798" s="314">
        <f>IF(LEFT(C798,1)=" ",RIGHT(C798,LEN(C798)-1),C798)</f>
        <v/>
      </c>
      <c r="AT798" s="281">
        <f>_xlfn.CONCAT(B798,AS798,D798,E798)</f>
        <v/>
      </c>
    </row>
    <row r="799">
      <c r="A799" t="inlineStr">
        <is>
          <t>21/22</t>
        </is>
      </c>
      <c r="B799" t="inlineStr">
        <is>
          <t xml:space="preserve"> Line</t>
        </is>
      </c>
      <c r="C799" t="inlineStr">
        <is>
          <t xml:space="preserve"> Outline</t>
        </is>
      </c>
      <c r="D799" t="n">
        <v>178</v>
      </c>
      <c r="E799" t="inlineStr">
        <is>
          <t xml:space="preserve"> Unisex</t>
        </is>
      </c>
      <c r="F799" t="n">
        <v>178</v>
      </c>
      <c r="G799" t="n">
        <v>176.2</v>
      </c>
      <c r="H799" t="n">
        <v>94</v>
      </c>
      <c r="I799" t="n">
        <v>142</v>
      </c>
      <c r="J799" t="n">
        <v>151</v>
      </c>
      <c r="K799" t="n">
        <v>116</v>
      </c>
      <c r="L799" t="n">
        <v>139</v>
      </c>
      <c r="M799" t="n">
        <v>17.4</v>
      </c>
      <c r="N799" t="n">
        <v>1842</v>
      </c>
      <c r="O799" t="n">
        <v>1.18</v>
      </c>
      <c r="P799" t="n">
        <v>2179</v>
      </c>
      <c r="Q799" t="n">
        <v>145</v>
      </c>
      <c r="R799" t="n">
        <v>83</v>
      </c>
      <c r="S799" t="n">
        <v>70</v>
      </c>
      <c r="T799" t="n">
        <v>413</v>
      </c>
      <c r="U799" t="n">
        <v>64</v>
      </c>
      <c r="V799" t="n">
        <v>407</v>
      </c>
      <c r="W799" t="n">
        <v>0.920999999999999</v>
      </c>
      <c r="X799" t="n">
        <v>164</v>
      </c>
      <c r="Y799" t="n">
        <v>176</v>
      </c>
      <c r="Z799" t="n">
        <v>249</v>
      </c>
      <c r="AA799" t="n">
        <v>4</v>
      </c>
      <c r="AB799" t="n">
        <v>4.4</v>
      </c>
      <c r="AC799" t="inlineStr">
        <is>
          <t xml:space="preserve"> Freeski</t>
        </is>
      </c>
      <c r="AD799" t="inlineStr">
        <is>
          <t xml:space="preserve"> Powder</t>
        </is>
      </c>
      <c r="AE799" t="inlineStr">
        <is>
          <t xml:space="preserve"> Touring</t>
        </is>
      </c>
      <c r="AG799" t="inlineStr">
        <is>
          <t>Line Outline Skis 178 cm</t>
        </is>
      </c>
      <c r="AH799" t="inlineStr">
        <is>
          <t>eBay - asogear</t>
        </is>
      </c>
      <c r="AI799" s="333" t="n">
        <v>509.99</v>
      </c>
      <c r="AJ799" t="inlineStr">
        <is>
          <t>https://tinyurl.com/yaza88ny</t>
        </is>
      </c>
      <c r="AK799" t="inlineStr">
        <is>
          <t>Line Outline Skis 178 cm</t>
        </is>
      </c>
      <c r="AL799" t="inlineStr">
        <is>
          <t>Powder7 Ski Shop</t>
        </is>
      </c>
      <c r="AM799" s="333" t="n">
        <v>529.95</v>
      </c>
      <c r="AN799" t="inlineStr">
        <is>
          <t>https://tinyurl.com/y7dpoqgv</t>
        </is>
      </c>
      <c r="AO799" t="inlineStr">
        <is>
          <t>Line Outline Skis 178 cm</t>
        </is>
      </c>
      <c r="AP799" t="inlineStr">
        <is>
          <t>Absolute-Snow.co.uk</t>
        </is>
      </c>
      <c r="AQ799" s="333" t="n">
        <v>541.03</v>
      </c>
      <c r="AR799" t="inlineStr">
        <is>
          <t>https://tinyurl.com/y9f9tqca</t>
        </is>
      </c>
      <c r="AS799" s="314">
        <f>IF(LEFT(C799,1)=" ",RIGHT(C799,LEN(C799)-1),C799)</f>
        <v/>
      </c>
      <c r="AT799" s="281">
        <f>_xlfn.CONCAT(B799,AS799,D799,E799)</f>
        <v/>
      </c>
    </row>
    <row r="800">
      <c r="A800" t="inlineStr">
        <is>
          <t>21/22</t>
        </is>
      </c>
      <c r="B800" t="inlineStr">
        <is>
          <t xml:space="preserve"> J Skis</t>
        </is>
      </c>
      <c r="C800" t="inlineStr">
        <is>
          <t xml:space="preserve"> The Vacation</t>
        </is>
      </c>
      <c r="D800" t="n">
        <v>186</v>
      </c>
      <c r="E800" t="inlineStr">
        <is>
          <t xml:space="preserve"> Unisex</t>
        </is>
      </c>
      <c r="F800" t="n">
        <v>186</v>
      </c>
      <c r="G800" t="n">
        <v>183.7</v>
      </c>
      <c r="H800" t="n">
        <v>114</v>
      </c>
      <c r="I800" t="n">
        <v>149</v>
      </c>
      <c r="J800" t="n">
        <v>126</v>
      </c>
      <c r="K800" t="n">
        <v>103</v>
      </c>
      <c r="L800" t="n">
        <v>122</v>
      </c>
      <c r="M800" t="n">
        <v>23</v>
      </c>
      <c r="N800" t="n">
        <v>2069</v>
      </c>
      <c r="O800" t="n">
        <v>0.99</v>
      </c>
      <c r="P800" t="n">
        <v>2047</v>
      </c>
      <c r="Q800" t="n">
        <v>206</v>
      </c>
      <c r="R800" t="n">
        <v>71</v>
      </c>
      <c r="S800" t="n">
        <v>57</v>
      </c>
      <c r="T800" t="n">
        <v>477</v>
      </c>
      <c r="U800" t="n">
        <v>42</v>
      </c>
      <c r="V800" t="n">
        <v>223</v>
      </c>
      <c r="W800" t="n">
        <v>0.73</v>
      </c>
      <c r="X800" t="n">
        <v>177</v>
      </c>
      <c r="Y800" t="n">
        <v>168</v>
      </c>
      <c r="Z800" t="n">
        <v>300</v>
      </c>
      <c r="AA800" t="n">
        <v>3</v>
      </c>
      <c r="AB800" t="n">
        <v>4.8</v>
      </c>
      <c r="AC800" t="inlineStr">
        <is>
          <t xml:space="preserve"> Resort Freeride</t>
        </is>
      </c>
      <c r="AD800" t="inlineStr">
        <is>
          <t xml:space="preserve"> Powder</t>
        </is>
      </c>
      <c r="AG800" t="inlineStr">
        <is>
          <t>'21 Volkl Blaze 106 Skis 186cm</t>
        </is>
      </c>
      <c r="AH800" t="inlineStr">
        <is>
          <t>Al's Ski Equipment Barn</t>
        </is>
      </c>
      <c r="AI800" s="333" t="n">
        <v>499.95</v>
      </c>
      <c r="AJ800" t="inlineStr">
        <is>
          <t>https://tinyurl.com/y7mzp8yt</t>
        </is>
      </c>
      <c r="AK800" t="inlineStr">
        <is>
          <t>Nordica Enforcer 100 Skis 2022</t>
        </is>
      </c>
      <c r="AL800" t="inlineStr">
        <is>
          <t>eBay - bikeboardandski</t>
        </is>
      </c>
      <c r="AM800" s="333" t="n">
        <v>595</v>
      </c>
      <c r="AN800" t="inlineStr">
        <is>
          <t>https://tinyurl.com/y9753kv3</t>
        </is>
      </c>
      <c r="AO800" t="inlineStr">
        <is>
          <t>Nordica Enforcer 100 Skis 2022</t>
        </is>
      </c>
      <c r="AP800" t="inlineStr">
        <is>
          <t>BlueZone Sports</t>
        </is>
      </c>
      <c r="AQ800" s="333" t="n">
        <v>599.99</v>
      </c>
      <c r="AR800" t="inlineStr">
        <is>
          <t>https://tinyurl.com/y9y5ynta</t>
        </is>
      </c>
      <c r="AS800" s="314">
        <f>IF(LEFT(C800,1)=" ",RIGHT(C800,LEN(C800)-1),C800)</f>
        <v/>
      </c>
      <c r="AT800" s="281">
        <f>_xlfn.CONCAT(B800,AS800,D800,E800)</f>
        <v/>
      </c>
    </row>
    <row r="801">
      <c r="A801" t="inlineStr">
        <is>
          <t>21/22</t>
        </is>
      </c>
      <c r="B801" t="inlineStr">
        <is>
          <t xml:space="preserve"> Vï¿½lkl</t>
        </is>
      </c>
      <c r="C801" t="inlineStr">
        <is>
          <t>M6 Mantra</t>
        </is>
      </c>
      <c r="D801" t="n">
        <v>177</v>
      </c>
      <c r="E801" t="inlineStr">
        <is>
          <t xml:space="preserve"> Unisex</t>
        </is>
      </c>
      <c r="F801" t="n">
        <v>177</v>
      </c>
      <c r="G801" t="n">
        <v>178.6</v>
      </c>
      <c r="H801" t="n">
        <v>141</v>
      </c>
      <c r="I801" t="n">
        <v>155</v>
      </c>
      <c r="J801" t="n">
        <v>134</v>
      </c>
      <c r="K801" t="n">
        <v>95</v>
      </c>
      <c r="L801" t="n">
        <v>118</v>
      </c>
      <c r="M801" t="n">
        <v>18.7</v>
      </c>
      <c r="N801" t="n">
        <v>2102</v>
      </c>
      <c r="O801" t="n">
        <v>0.91</v>
      </c>
      <c r="P801" t="n">
        <v>1916</v>
      </c>
      <c r="Q801" t="n">
        <v>217</v>
      </c>
      <c r="R801" t="n">
        <v>138</v>
      </c>
      <c r="S801" t="n">
        <v>42</v>
      </c>
      <c r="T801" t="n">
        <v>227</v>
      </c>
      <c r="U801" t="n">
        <v>14</v>
      </c>
      <c r="V801" t="n">
        <v>146</v>
      </c>
      <c r="W801" t="n">
        <v>0.336</v>
      </c>
      <c r="X801" t="n">
        <v>135</v>
      </c>
      <c r="Y801" t="n">
        <v>103</v>
      </c>
      <c r="Z801" t="n">
        <v>92</v>
      </c>
      <c r="AA801" t="n">
        <v>6</v>
      </c>
      <c r="AB801" t="n">
        <v>11.2</v>
      </c>
      <c r="AC801" t="inlineStr">
        <is>
          <t xml:space="preserve"> Resort Freeride</t>
        </is>
      </c>
      <c r="AG801" t="inlineStr">
        <is>
          <t>Volkl M6 Mantra Flat Ski 2021-2022 | RED/BLACK / 177</t>
        </is>
      </c>
      <c r="AH801" t="inlineStr">
        <is>
          <t>Ski Pro  - Snow Ski &amp; Snowboard</t>
        </is>
      </c>
      <c r="AI801" s="333" t="n">
        <v>559.95</v>
      </c>
      <c r="AJ801" t="inlineStr">
        <is>
          <t>https://tinyurl.com/yb3s3zfx</t>
        </is>
      </c>
      <c r="AK801" t="inlineStr">
        <is>
          <t>Volkl 2022 Mantra M6 Skis</t>
        </is>
      </c>
      <c r="AL801" t="inlineStr">
        <is>
          <t>SkiEssentials.com</t>
        </is>
      </c>
      <c r="AM801" s="333" t="n">
        <v>559.99</v>
      </c>
      <c r="AN801" t="inlineStr">
        <is>
          <t>https://tinyurl.com/y7baddj5</t>
        </is>
      </c>
      <c r="AO801" t="inlineStr">
        <is>
          <t>Volkl 2022 Mantra M6 Skis</t>
        </is>
      </c>
      <c r="AP801" t="inlineStr">
        <is>
          <t>evo.com</t>
        </is>
      </c>
      <c r="AQ801" s="333" t="n">
        <v>559.99</v>
      </c>
      <c r="AR801" t="inlineStr">
        <is>
          <t>https://tinyurl.com/yceq5p5n</t>
        </is>
      </c>
      <c r="AS801" s="314">
        <f>IF(LEFT(C801,1)=" ",RIGHT(C801,LEN(C801)-1),C801)</f>
        <v/>
      </c>
      <c r="AT801" s="281">
        <f>_xlfn.CONCAT(B801,AS801,D801,E801)</f>
        <v/>
      </c>
    </row>
    <row r="802">
      <c r="A802" t="inlineStr">
        <is>
          <t>21/22</t>
        </is>
      </c>
      <c r="B802" t="inlineStr">
        <is>
          <t xml:space="preserve"> Vï¿½lkl</t>
        </is>
      </c>
      <c r="C802" t="inlineStr">
        <is>
          <t>Secret 92</t>
        </is>
      </c>
      <c r="D802" t="n">
        <v>163</v>
      </c>
      <c r="E802" t="inlineStr">
        <is>
          <t xml:space="preserve"> Women's</t>
        </is>
      </c>
      <c r="F802" t="n">
        <v>163</v>
      </c>
      <c r="G802" t="n">
        <v>164.1</v>
      </c>
      <c r="H802" t="n">
        <v>129</v>
      </c>
      <c r="I802" t="n">
        <v>140</v>
      </c>
      <c r="J802" t="n">
        <v>129</v>
      </c>
      <c r="K802" t="n">
        <v>91</v>
      </c>
      <c r="L802" t="n">
        <v>112</v>
      </c>
      <c r="M802" t="n">
        <v>16.1</v>
      </c>
      <c r="N802" t="n">
        <v>1738</v>
      </c>
      <c r="O802" t="n">
        <v>0.97</v>
      </c>
      <c r="P802" t="n">
        <v>1690</v>
      </c>
      <c r="Q802" t="n">
        <v>193</v>
      </c>
      <c r="R802" t="n">
        <v>135</v>
      </c>
      <c r="S802" t="n">
        <v>42</v>
      </c>
      <c r="T802" t="n">
        <v>235</v>
      </c>
      <c r="U802" t="n">
        <v>14</v>
      </c>
      <c r="V802" t="n">
        <v>115</v>
      </c>
      <c r="W802" t="n">
        <v>0.336</v>
      </c>
      <c r="X802" t="n">
        <v>136</v>
      </c>
      <c r="Y802" t="n">
        <v>106</v>
      </c>
      <c r="Z802" t="n">
        <v>99</v>
      </c>
      <c r="AA802" t="n">
        <v>4</v>
      </c>
      <c r="AB802" t="n">
        <v>10.6</v>
      </c>
      <c r="AC802" t="inlineStr">
        <is>
          <t xml:space="preserve"> Resort Freeride</t>
        </is>
      </c>
      <c r="AG802" t="inlineStr">
        <is>
          <t>Volkl Secret 92 Womens 163 Cm Ski's W/marker Squire Tcx Bindings Clean</t>
        </is>
      </c>
      <c r="AH802" t="inlineStr">
        <is>
          <t>eBay - livetoride6393</t>
        </is>
      </c>
      <c r="AI802" s="333" t="n">
        <v>499.99</v>
      </c>
      <c r="AJ802" t="inlineStr">
        <is>
          <t>https://tinyurl.com/yc9ljxqn</t>
        </is>
      </c>
      <c r="AK802" t="inlineStr">
        <is>
          <t>Volkl Secret 92 Skis</t>
        </is>
      </c>
      <c r="AL802" t="inlineStr">
        <is>
          <t>eBay - proskiguy</t>
        </is>
      </c>
      <c r="AM802" s="333" t="n">
        <v>597</v>
      </c>
      <c r="AN802" t="inlineStr">
        <is>
          <t>https://tinyurl.com/y98b5v68</t>
        </is>
      </c>
      <c r="AO802" t="inlineStr">
        <is>
          <t>Volkl Secret 92 Skis</t>
        </is>
      </c>
      <c r="AP802" t="inlineStr">
        <is>
          <t>Ridgeline Bike &amp; Ski</t>
        </is>
      </c>
      <c r="AQ802" s="333" t="n">
        <v>699</v>
      </c>
      <c r="AR802" t="inlineStr">
        <is>
          <t>https://tinyurl.com/yaag7ncx</t>
        </is>
      </c>
      <c r="AS802" s="314">
        <f>IF(LEFT(C802,1)=" ",RIGHT(C802,LEN(C802)-1),C802)</f>
        <v/>
      </c>
      <c r="AT802" s="281">
        <f>_xlfn.CONCAT(B802,AS802,D802,E802)</f>
        <v/>
      </c>
    </row>
    <row r="803">
      <c r="A803" t="inlineStr">
        <is>
          <t>21/22</t>
        </is>
      </c>
      <c r="B803" t="inlineStr">
        <is>
          <t xml:space="preserve"> Head</t>
        </is>
      </c>
      <c r="C803" t="inlineStr">
        <is>
          <t xml:space="preserve"> Worldcup Rebels I.SLR</t>
        </is>
      </c>
      <c r="D803" t="n">
        <v>165</v>
      </c>
      <c r="E803" t="inlineStr">
        <is>
          <t xml:space="preserve"> Unisex</t>
        </is>
      </c>
      <c r="F803" t="n">
        <v>165</v>
      </c>
      <c r="G803" t="n">
        <v>164.1</v>
      </c>
      <c r="H803" t="n">
        <v>145</v>
      </c>
      <c r="I803" t="n">
        <v>150</v>
      </c>
      <c r="J803" t="n">
        <v>121</v>
      </c>
      <c r="K803" t="n">
        <v>65</v>
      </c>
      <c r="L803" t="n">
        <v>106</v>
      </c>
      <c r="M803" t="n">
        <v>11.5</v>
      </c>
      <c r="N803" t="n">
        <v>1940</v>
      </c>
      <c r="O803" t="n">
        <v>0.7</v>
      </c>
      <c r="P803" t="n">
        <v>1363</v>
      </c>
      <c r="Q803" t="n">
        <v>153</v>
      </c>
      <c r="R803" t="n">
        <v>79</v>
      </c>
      <c r="S803" t="n">
        <v>41</v>
      </c>
      <c r="T803" t="n">
        <v>139</v>
      </c>
      <c r="U803" t="n">
        <v>5</v>
      </c>
      <c r="V803" t="n">
        <v>51</v>
      </c>
      <c r="W803" t="n">
        <v>0.115999999999999</v>
      </c>
      <c r="X803" t="n">
        <v>77</v>
      </c>
      <c r="Y803" t="n">
        <v>59</v>
      </c>
      <c r="Z803" t="n">
        <v>62</v>
      </c>
      <c r="AA803" t="n">
        <v>11</v>
      </c>
      <c r="AB803" t="n">
        <v>12.8</v>
      </c>
      <c r="AC803" t="inlineStr">
        <is>
          <t xml:space="preserve"> On-Piste Carving</t>
        </is>
      </c>
      <c r="AG803" t="inlineStr">
        <is>
          <t>Head Worldcup Rebels i.SLR Skis w Head PR 11 GW Bindings  Demo</t>
        </is>
      </c>
      <c r="AH803" t="inlineStr">
        <is>
          <t>Powder7 Ski Shop</t>
        </is>
      </c>
      <c r="AI803" s="333" t="n">
        <v>429.99</v>
      </c>
      <c r="AJ803" t="inlineStr">
        <is>
          <t>https://tinyurl.com/y8lnvh82</t>
        </is>
      </c>
      <c r="AK803" t="inlineStr">
        <is>
          <t>Head Worldcup Rebels E-Race + FF St 14 21/22</t>
        </is>
      </c>
      <c r="AL803" t="inlineStr">
        <is>
          <t>eBay - gloliquidation</t>
        </is>
      </c>
      <c r="AM803" s="333" t="n">
        <v>560</v>
      </c>
      <c r="AN803" t="inlineStr">
        <is>
          <t>https://tinyurl.com/yc9p3oar</t>
        </is>
      </c>
      <c r="AO803" t="inlineStr">
        <is>
          <t>Head Worldcup Rebel GS Without Bindings Skis 165 Giant Slalom</t>
        </is>
      </c>
      <c r="AP803" t="inlineStr">
        <is>
          <t>SidelineSwap</t>
        </is>
      </c>
      <c r="AQ803" s="333" t="n">
        <v>250</v>
      </c>
      <c r="AR803" t="inlineStr">
        <is>
          <t>https://tinyurl.com/y99axbsb</t>
        </is>
      </c>
      <c r="AS803" s="314">
        <f>IF(LEFT(C803,1)=" ",RIGHT(C803,LEN(C803)-1),C803)</f>
        <v/>
      </c>
      <c r="AT803" s="281">
        <f>_xlfn.CONCAT(B803,AS803,D803,E803)</f>
        <v/>
      </c>
    </row>
    <row r="804">
      <c r="A804" t="inlineStr">
        <is>
          <t>21/22</t>
        </is>
      </c>
      <c r="B804" t="inlineStr">
        <is>
          <t xml:space="preserve"> Rossignol</t>
        </is>
      </c>
      <c r="C804" t="inlineStr">
        <is>
          <t>Experience 76</t>
        </is>
      </c>
      <c r="D804" t="n">
        <v>176</v>
      </c>
      <c r="E804" t="inlineStr">
        <is>
          <t xml:space="preserve"> Unisex</t>
        </is>
      </c>
      <c r="F804" t="n">
        <v>176</v>
      </c>
      <c r="G804" t="n">
        <v>176.4</v>
      </c>
      <c r="H804" t="n">
        <v>155</v>
      </c>
      <c r="I804" t="n">
        <v>161</v>
      </c>
      <c r="J804" t="n">
        <v>123</v>
      </c>
      <c r="K804" t="n">
        <v>76</v>
      </c>
      <c r="L804" t="n">
        <v>109</v>
      </c>
      <c r="M804" t="n">
        <v>16</v>
      </c>
      <c r="N804" t="n">
        <v>1737</v>
      </c>
      <c r="O804" t="n">
        <v>0.93</v>
      </c>
      <c r="P804" t="n">
        <v>1610</v>
      </c>
      <c r="Q804" t="n">
        <v>171</v>
      </c>
      <c r="R804" t="n">
        <v>65</v>
      </c>
      <c r="S804" t="n">
        <v>36</v>
      </c>
      <c r="T804" t="n">
        <v>145</v>
      </c>
      <c r="U804" t="n">
        <v>5</v>
      </c>
      <c r="V804" t="n">
        <v>66</v>
      </c>
      <c r="W804" t="n">
        <v>0.144</v>
      </c>
      <c r="X804" t="n">
        <v>75</v>
      </c>
      <c r="Y804" t="n">
        <v>81</v>
      </c>
      <c r="Z804" t="n">
        <v>70</v>
      </c>
      <c r="AA804" t="n">
        <v>13</v>
      </c>
      <c r="AB804" t="n">
        <v>8.6</v>
      </c>
      <c r="AC804" t="inlineStr">
        <is>
          <t xml:space="preserve"> On-Piste Carving</t>
        </is>
      </c>
      <c r="AG804" t="inlineStr">
        <is>
          <t>Rossignol Experience 76 Skis + Xpress 10 GW Bindings 2022 - 176</t>
        </is>
      </c>
      <c r="AH804" t="inlineStr">
        <is>
          <t>SkiEssentials.com</t>
        </is>
      </c>
      <c r="AI804" s="333" t="n">
        <v>399.95</v>
      </c>
      <c r="AJ804" t="inlineStr">
        <is>
          <t>https://tinyurl.com/y9beok7p</t>
        </is>
      </c>
      <c r="AK804" t="inlineStr">
        <is>
          <t>Rossignol Experience 76 Skis + Xpress 10 GW Bindings 2022 - 176</t>
        </is>
      </c>
      <c r="AL804" t="inlineStr">
        <is>
          <t>BobsSportsChalet.com</t>
        </is>
      </c>
      <c r="AM804" s="333" t="n">
        <v>399.95</v>
      </c>
      <c r="AN804" t="inlineStr">
        <is>
          <t>https://tinyurl.com/ych6u8t8</t>
        </is>
      </c>
      <c r="AO804" t="inlineStr">
        <is>
          <t xml:space="preserve"> Rossignol Experience E74 Skis C, 176cm by GalacticSnowSports</t>
        </is>
      </c>
      <c r="AP804" t="inlineStr">
        <is>
          <t>GalacticSnowSports</t>
        </is>
      </c>
      <c r="AQ804" s="333" t="n">
        <v>249.99</v>
      </c>
      <c r="AR804" t="inlineStr">
        <is>
          <t>https://tinyurl.com/ycgwrrsx</t>
        </is>
      </c>
      <c r="AS804" s="314">
        <f>IF(LEFT(C804,1)=" ",RIGHT(C804,LEN(C804)-1),C804)</f>
        <v/>
      </c>
      <c r="AT804" s="281">
        <f>_xlfn.CONCAT(B804,AS804,D804,E804)</f>
        <v/>
      </c>
    </row>
    <row r="805">
      <c r="A805" t="inlineStr">
        <is>
          <t>21/22</t>
        </is>
      </c>
      <c r="B805" t="inlineStr">
        <is>
          <t xml:space="preserve"> Rossignol</t>
        </is>
      </c>
      <c r="C805" t="inlineStr">
        <is>
          <t xml:space="preserve"> Blackops Gamer</t>
        </is>
      </c>
      <c r="D805" t="n">
        <v>176</v>
      </c>
      <c r="E805" t="inlineStr">
        <is>
          <t xml:space="preserve"> Unisex</t>
        </is>
      </c>
      <c r="F805" t="n">
        <v>176</v>
      </c>
      <c r="G805" t="n">
        <v>174.7</v>
      </c>
      <c r="H805" t="n">
        <v>102</v>
      </c>
      <c r="I805" t="n">
        <v>147</v>
      </c>
      <c r="J805" t="n">
        <v>144</v>
      </c>
      <c r="K805" t="n">
        <v>117</v>
      </c>
      <c r="L805" t="n">
        <v>139</v>
      </c>
      <c r="M805" t="n">
        <v>19.2</v>
      </c>
      <c r="N805" t="n">
        <v>2255</v>
      </c>
      <c r="O805" t="n">
        <v>0.98</v>
      </c>
      <c r="P805" t="n">
        <v>2199</v>
      </c>
      <c r="Q805" t="n">
        <v>217</v>
      </c>
      <c r="R805" t="n">
        <v>105</v>
      </c>
      <c r="S805" t="n">
        <v>69</v>
      </c>
      <c r="T805" t="n">
        <v>368</v>
      </c>
      <c r="U805" t="n">
        <v>53</v>
      </c>
      <c r="V805" t="n">
        <v>355</v>
      </c>
      <c r="W805" t="n">
        <v>0.765999999999999</v>
      </c>
      <c r="X805" t="n">
        <v>149</v>
      </c>
      <c r="Y805" t="n">
        <v>130</v>
      </c>
      <c r="Z805" t="n">
        <v>219</v>
      </c>
      <c r="AA805" t="n">
        <v>5</v>
      </c>
      <c r="AB805" t="n">
        <v>2.3</v>
      </c>
      <c r="AC805" t="inlineStr">
        <is>
          <t xml:space="preserve"> Powder</t>
        </is>
      </c>
      <c r="AG805" t="inlineStr">
        <is>
          <t>Rossignol Blackops Gamer Skis</t>
        </is>
      </c>
      <c r="AH805" t="inlineStr">
        <is>
          <t>Snowcountry.eu</t>
        </is>
      </c>
      <c r="AI805" s="333" t="n">
        <v>451.66</v>
      </c>
      <c r="AJ805" t="inlineStr">
        <is>
          <t>https://tinyurl.com/ycvmcfuk</t>
        </is>
      </c>
      <c r="AK805" t="inlineStr">
        <is>
          <t>Rossignol Blackops Gamer 176cm</t>
        </is>
      </c>
      <c r="AL805" t="inlineStr">
        <is>
          <t>Sundance Ski and Board Shop</t>
        </is>
      </c>
      <c r="AM805" s="333" t="n">
        <v>480.86</v>
      </c>
      <c r="AN805" t="inlineStr">
        <is>
          <t>https://tinyurl.com/ybbh4wjg</t>
        </is>
      </c>
      <c r="AO805" t="inlineStr">
        <is>
          <t>Rossignol Blackops Gamer Skis</t>
        </is>
      </c>
      <c r="AP805" t="inlineStr">
        <is>
          <t>Backcountry.com</t>
        </is>
      </c>
      <c r="AQ805" s="333" t="n">
        <v>524.96</v>
      </c>
      <c r="AR805" t="inlineStr">
        <is>
          <t>https://tinyurl.com/ydehqvnz</t>
        </is>
      </c>
      <c r="AS805" s="314">
        <f>IF(LEFT(C805,1)=" ",RIGHT(C805,LEN(C805)-1),C805)</f>
        <v/>
      </c>
      <c r="AT805" s="281">
        <f>_xlfn.CONCAT(B805,AS805,D805,E805)</f>
        <v/>
      </c>
    </row>
    <row r="806">
      <c r="A806" t="inlineStr">
        <is>
          <t>21/22</t>
        </is>
      </c>
      <c r="B806" t="inlineStr">
        <is>
          <t xml:space="preserve"> Nordica</t>
        </is>
      </c>
      <c r="C806" t="inlineStr">
        <is>
          <t>Enforcer 104 Free</t>
        </is>
      </c>
      <c r="D806" t="n">
        <v>172</v>
      </c>
      <c r="E806" t="inlineStr">
        <is>
          <t xml:space="preserve"> Unisex</t>
        </is>
      </c>
      <c r="F806" t="n">
        <v>172</v>
      </c>
      <c r="G806" t="n">
        <v>171.4</v>
      </c>
      <c r="H806" t="n">
        <v>119</v>
      </c>
      <c r="I806" t="n">
        <v>140</v>
      </c>
      <c r="J806" t="n">
        <v>135</v>
      </c>
      <c r="K806" t="n">
        <v>104</v>
      </c>
      <c r="L806" t="n">
        <v>125</v>
      </c>
      <c r="M806" t="n">
        <v>16.4</v>
      </c>
      <c r="N806" t="n">
        <v>2045</v>
      </c>
      <c r="O806" t="n">
        <v>0.96</v>
      </c>
      <c r="P806" t="n">
        <v>1954</v>
      </c>
      <c r="Q806" t="n">
        <v>203</v>
      </c>
      <c r="R806" t="n">
        <v>141</v>
      </c>
      <c r="S806" t="n">
        <v>52</v>
      </c>
      <c r="T806" t="n">
        <v>293</v>
      </c>
      <c r="U806" t="n">
        <v>32</v>
      </c>
      <c r="V806" t="n">
        <v>234</v>
      </c>
      <c r="W806" t="n">
        <v>0.621</v>
      </c>
      <c r="X806" t="n">
        <v>151</v>
      </c>
      <c r="Y806" t="n">
        <v>164</v>
      </c>
      <c r="Z806" t="n">
        <v>142</v>
      </c>
      <c r="AA806" t="n">
        <v>7</v>
      </c>
      <c r="AB806" t="n">
        <v>8.800000000000001</v>
      </c>
      <c r="AC806" t="inlineStr">
        <is>
          <t xml:space="preserve"> Resort Freeride</t>
        </is>
      </c>
      <c r="AD806" t="inlineStr">
        <is>
          <t xml:space="preserve"> Powder</t>
        </is>
      </c>
      <c r="AG806" t="inlineStr">
        <is>
          <t>Nordica Enforcer 104 free GREY/BLUE/WHITE / 172cm</t>
        </is>
      </c>
      <c r="AH806" t="inlineStr">
        <is>
          <t>Sundance Ski and Board Shop</t>
        </is>
      </c>
      <c r="AI806" s="333" t="n">
        <v>561.01</v>
      </c>
      <c r="AJ806" t="inlineStr">
        <is>
          <t>https://tinyurl.com/yarurnyo</t>
        </is>
      </c>
      <c r="AK806" t="inlineStr">
        <is>
          <t>Nordica Enforcer 104 Free Skis 2022</t>
        </is>
      </c>
      <c r="AL806" t="inlineStr">
        <is>
          <t>BlueZone Sports</t>
        </is>
      </c>
      <c r="AM806" s="333" t="n">
        <v>599.99</v>
      </c>
      <c r="AN806" t="inlineStr">
        <is>
          <t>https://tinyurl.com/ya6gg59g</t>
        </is>
      </c>
      <c r="AO806" t="inlineStr">
        <is>
          <t>Nordica Enforcer 104 Free Skis 2022</t>
        </is>
      </c>
      <c r="AP806" t="inlineStr">
        <is>
          <t>Ski Pro  - Snow Ski &amp; Snowboard</t>
        </is>
      </c>
      <c r="AQ806" s="333" t="n">
        <v>639.95</v>
      </c>
      <c r="AR806" t="inlineStr">
        <is>
          <t>https://tinyurl.com/yc27lm4a</t>
        </is>
      </c>
      <c r="AS806" s="314">
        <f>IF(LEFT(C806,1)=" ",RIGHT(C806,LEN(C806)-1),C806)</f>
        <v/>
      </c>
      <c r="AT806" s="281">
        <f>_xlfn.CONCAT(B806,AS806,D806,E806)</f>
        <v/>
      </c>
    </row>
    <row r="807">
      <c r="A807" t="inlineStr">
        <is>
          <t>21/22</t>
        </is>
      </c>
      <c r="B807" t="inlineStr">
        <is>
          <t>K2</t>
        </is>
      </c>
      <c r="C807" t="inlineStr">
        <is>
          <t>Wayback 88</t>
        </is>
      </c>
      <c r="D807" t="n">
        <v>174</v>
      </c>
      <c r="E807" t="inlineStr">
        <is>
          <t xml:space="preserve"> Unisex</t>
        </is>
      </c>
      <c r="F807" t="n">
        <v>174</v>
      </c>
      <c r="G807" t="n">
        <v>173.8</v>
      </c>
      <c r="H807" t="n">
        <v>133</v>
      </c>
      <c r="I807" t="n">
        <v>148</v>
      </c>
      <c r="J807" t="n">
        <v>120</v>
      </c>
      <c r="K807" t="n">
        <v>87</v>
      </c>
      <c r="L807" t="n">
        <v>108</v>
      </c>
      <c r="M807" t="n">
        <v>19.7</v>
      </c>
      <c r="N807" t="n">
        <v>1235</v>
      </c>
      <c r="O807" t="n">
        <v>1.37</v>
      </c>
      <c r="P807" t="n">
        <v>1691</v>
      </c>
      <c r="Q807" t="n">
        <v>179</v>
      </c>
      <c r="R807" t="n">
        <v>75</v>
      </c>
      <c r="S807" t="n">
        <v>45</v>
      </c>
      <c r="T807" t="n">
        <v>273</v>
      </c>
      <c r="U807" t="n">
        <v>7</v>
      </c>
      <c r="V807" t="n">
        <v>133</v>
      </c>
      <c r="W807" t="n">
        <v>0.156</v>
      </c>
      <c r="X807" t="n">
        <v>154</v>
      </c>
      <c r="Y807" t="n">
        <v>102</v>
      </c>
      <c r="Z807" t="n">
        <v>118</v>
      </c>
      <c r="AA807" t="n">
        <v>7</v>
      </c>
      <c r="AB807" t="n">
        <v>11.4</v>
      </c>
      <c r="AC807" t="inlineStr">
        <is>
          <t xml:space="preserve"> Touring</t>
        </is>
      </c>
      <c r="AD807" t="inlineStr">
        <is>
          <t xml:space="preserve"> Ultralight Touring</t>
        </is>
      </c>
      <c r="AG807" t="inlineStr">
        <is>
          <t>K2 Wayback 88 174</t>
        </is>
      </c>
      <c r="AH807" t="inlineStr">
        <is>
          <t>AlpinStore</t>
        </is>
      </c>
      <c r="AI807" s="333" t="n">
        <v>354.46</v>
      </c>
      <c r="AJ807" t="inlineStr">
        <is>
          <t>https://tinyurl.com/y8sty345</t>
        </is>
      </c>
      <c r="AK807" t="inlineStr">
        <is>
          <t>K2 Wayback 88 174</t>
        </is>
      </c>
      <c r="AL807" t="inlineStr">
        <is>
          <t>Telemark Pyrenees</t>
        </is>
      </c>
      <c r="AM807" s="333" t="n">
        <v>362.05</v>
      </c>
      <c r="AN807" t="inlineStr">
        <is>
          <t>https://tinyurl.com/yd2ploh8</t>
        </is>
      </c>
      <c r="AO807" t="inlineStr">
        <is>
          <t>K2 Wayback 88 174</t>
        </is>
      </c>
      <c r="AP807" t="inlineStr">
        <is>
          <t>Snowcountry.eu</t>
        </is>
      </c>
      <c r="AQ807" s="333" t="n">
        <v>367.81</v>
      </c>
      <c r="AR807" t="inlineStr">
        <is>
          <t>https://tinyurl.com/ycayrnx5</t>
        </is>
      </c>
      <c r="AS807" s="314">
        <f>IF(LEFT(C807,1)=" ",RIGHT(C807,LEN(C807)-1),C807)</f>
        <v/>
      </c>
      <c r="AT807" s="281">
        <f>_xlfn.CONCAT(B807,AS807,D807,E807)</f>
        <v/>
      </c>
    </row>
    <row r="808">
      <c r="A808" t="inlineStr">
        <is>
          <t>21/22</t>
        </is>
      </c>
      <c r="B808" t="inlineStr">
        <is>
          <t xml:space="preserve"> Nordica</t>
        </is>
      </c>
      <c r="C808" t="inlineStr">
        <is>
          <t>Enforcer 88</t>
        </is>
      </c>
      <c r="D808" t="n">
        <v>172</v>
      </c>
      <c r="E808" t="inlineStr">
        <is>
          <t xml:space="preserve"> Unisex</t>
        </is>
      </c>
      <c r="F808" t="n">
        <v>172</v>
      </c>
      <c r="G808" t="n">
        <v>171.3</v>
      </c>
      <c r="H808" t="n">
        <v>128</v>
      </c>
      <c r="I808" t="n">
        <v>144</v>
      </c>
      <c r="J808" t="n">
        <v>123</v>
      </c>
      <c r="K808" t="n">
        <v>87</v>
      </c>
      <c r="L808" t="n">
        <v>109</v>
      </c>
      <c r="M808" t="n">
        <v>15.6</v>
      </c>
      <c r="N808" t="n">
        <v>1963</v>
      </c>
      <c r="O808" t="n">
        <v>0.87</v>
      </c>
      <c r="P808" t="n">
        <v>1704</v>
      </c>
      <c r="Q808" t="n">
        <v>200</v>
      </c>
      <c r="R808" t="n">
        <v>125</v>
      </c>
      <c r="S808" t="n">
        <v>54</v>
      </c>
      <c r="T808" t="n">
        <v>264</v>
      </c>
      <c r="U808" t="n">
        <v>9</v>
      </c>
      <c r="V808" t="n">
        <v>168</v>
      </c>
      <c r="W808" t="n">
        <v>0.176</v>
      </c>
      <c r="X808" t="n">
        <v>124</v>
      </c>
      <c r="Y808" t="n">
        <v>152</v>
      </c>
      <c r="Z808" t="n">
        <v>140</v>
      </c>
      <c r="AA808" t="n">
        <v>9</v>
      </c>
      <c r="AB808" t="n">
        <v>7.9</v>
      </c>
      <c r="AC808" t="inlineStr">
        <is>
          <t xml:space="preserve"> Resort Freeride</t>
        </is>
      </c>
      <c r="AG808" t="inlineStr">
        <is>
          <t>Nordica Enforcer 88 / Santa Ana 93 Ski Skins - 2022 172 cm</t>
        </is>
      </c>
      <c r="AH808" t="inlineStr">
        <is>
          <t>Arlberg Ski &amp; Surf Shops</t>
        </is>
      </c>
      <c r="AI808" s="333" t="n">
        <v>209.95</v>
      </c>
      <c r="AJ808" t="inlineStr">
        <is>
          <t>https://tinyurl.com/yad2zd8e</t>
        </is>
      </c>
      <c r="AK808" t="inlineStr">
        <is>
          <t>2020 Nordica Enforcer 88 172cm W/ Salomon Warden 13 Binding</t>
        </is>
      </c>
      <c r="AL808" t="inlineStr">
        <is>
          <t>eBay - riverpirate999</t>
        </is>
      </c>
      <c r="AM808" s="333" t="n">
        <v>539</v>
      </c>
      <c r="AN808" t="inlineStr">
        <is>
          <t>https://tinyurl.com/y9pnzwmd</t>
        </is>
      </c>
      <c r="AO808" t="inlineStr">
        <is>
          <t>Nordica Enforcer 88 Unlimited Skis</t>
        </is>
      </c>
      <c r="AP808" t="inlineStr">
        <is>
          <t>Basin Sports</t>
        </is>
      </c>
      <c r="AQ808" s="333" t="n">
        <v>599.95</v>
      </c>
      <c r="AR808" t="inlineStr">
        <is>
          <t>https://tinyurl.com/y8tzj4ze</t>
        </is>
      </c>
      <c r="AS808" s="314">
        <f>IF(LEFT(C808,1)=" ",RIGHT(C808,LEN(C808)-1),C808)</f>
        <v/>
      </c>
      <c r="AT808" s="281">
        <f>_xlfn.CONCAT(B808,AS808,D808,E808)</f>
        <v/>
      </c>
    </row>
    <row r="809">
      <c r="A809" t="inlineStr">
        <is>
          <t>21/22</t>
        </is>
      </c>
      <c r="B809" t="inlineStr">
        <is>
          <t xml:space="preserve"> Atomic</t>
        </is>
      </c>
      <c r="C809" t="inlineStr">
        <is>
          <t>Cloud C9</t>
        </is>
      </c>
      <c r="D809" t="n">
        <v>150</v>
      </c>
      <c r="E809" t="inlineStr">
        <is>
          <t xml:space="preserve"> Women's</t>
        </is>
      </c>
      <c r="F809" t="n">
        <v>150</v>
      </c>
      <c r="G809" t="n">
        <v>149.7</v>
      </c>
      <c r="H809" t="n">
        <v>132</v>
      </c>
      <c r="I809" t="n">
        <v>135</v>
      </c>
      <c r="J809" t="n">
        <v>110</v>
      </c>
      <c r="K809" t="n">
        <v>71</v>
      </c>
      <c r="L809" t="n">
        <v>96</v>
      </c>
      <c r="M809" t="n">
        <v>14.2</v>
      </c>
      <c r="N809" t="n">
        <v>1528</v>
      </c>
      <c r="O809" t="n">
        <v>0.82</v>
      </c>
      <c r="P809" t="n">
        <v>1247</v>
      </c>
      <c r="Q809" t="n">
        <v>128</v>
      </c>
      <c r="R809" t="n">
        <v>67</v>
      </c>
      <c r="S809" t="n">
        <v>30</v>
      </c>
      <c r="T809" t="n">
        <v>134</v>
      </c>
      <c r="U809" t="n">
        <v>4</v>
      </c>
      <c r="V809" t="n">
        <v>47</v>
      </c>
      <c r="W809" t="n">
        <v>0.119</v>
      </c>
      <c r="X809" t="n">
        <v>95</v>
      </c>
      <c r="Y809" t="n">
        <v>55</v>
      </c>
      <c r="Z809" t="n">
        <v>38</v>
      </c>
      <c r="AA809" t="n">
        <v>11</v>
      </c>
      <c r="AB809" t="n">
        <v>12.1</v>
      </c>
      <c r="AC809" t="inlineStr">
        <is>
          <t xml:space="preserve"> On-Piste Carving</t>
        </is>
      </c>
      <c r="AD809" t="inlineStr">
        <is>
          <t xml:space="preserve"> On-Piste All-Mountain</t>
        </is>
      </c>
      <c r="AG809" t="inlineStr">
        <is>
          <t>Atomic Cloud 9 Skis 2022 w/bindings 150</t>
        </is>
      </c>
      <c r="AH809" t="inlineStr">
        <is>
          <t>Ski Depot RaceSkis.com</t>
        </is>
      </c>
      <c r="AI809" s="333" t="n">
        <v>599.99</v>
      </c>
      <c r="AJ809" t="inlineStr">
        <is>
          <t>https://tinyurl.com/yd299v86</t>
        </is>
      </c>
      <c r="AK809" t="inlineStr">
        <is>
          <t>Atomic Cloud 9 Skis w/ M 10 GW Bindings</t>
        </is>
      </c>
      <c r="AL809" t="inlineStr">
        <is>
          <t>evo.com</t>
        </is>
      </c>
      <c r="AM809" s="333" t="n">
        <v>599.99</v>
      </c>
      <c r="AN809" t="inlineStr">
        <is>
          <t>https://tinyurl.com/ycz4du7q</t>
        </is>
      </c>
      <c r="AS809" s="314">
        <f>IF(LEFT(C809,1)=" ",RIGHT(C809,LEN(C809)-1),C809)</f>
        <v/>
      </c>
      <c r="AT809" s="281">
        <f>_xlfn.CONCAT(B809,AS809,D809,E809)</f>
        <v/>
      </c>
    </row>
    <row r="810">
      <c r="A810" t="inlineStr">
        <is>
          <t>21/22</t>
        </is>
      </c>
      <c r="B810" t="inlineStr">
        <is>
          <t xml:space="preserve"> Nordica</t>
        </is>
      </c>
      <c r="C810" t="inlineStr">
        <is>
          <t>Wild Belle 74</t>
        </is>
      </c>
      <c r="D810" t="n">
        <v>162</v>
      </c>
      <c r="E810" t="inlineStr">
        <is>
          <t xml:space="preserve"> Women's</t>
        </is>
      </c>
      <c r="F810" t="n">
        <v>162</v>
      </c>
      <c r="G810" t="n">
        <v>160.9</v>
      </c>
      <c r="H810" t="n">
        <v>135</v>
      </c>
      <c r="I810" t="n">
        <v>148</v>
      </c>
      <c r="J810" t="n">
        <v>124</v>
      </c>
      <c r="K810" t="n">
        <v>74</v>
      </c>
      <c r="L810" t="n">
        <v>104</v>
      </c>
      <c r="M810" t="n">
        <v>13.8</v>
      </c>
      <c r="N810" t="n">
        <v>1727</v>
      </c>
      <c r="O810" t="n">
        <v>0.83</v>
      </c>
      <c r="P810" t="n">
        <v>1433</v>
      </c>
      <c r="Q810" t="n">
        <v>196</v>
      </c>
      <c r="R810" t="n">
        <v>71</v>
      </c>
      <c r="S810" t="n">
        <v>43</v>
      </c>
      <c r="T810" t="n">
        <v>190</v>
      </c>
      <c r="U810" t="n">
        <v>12</v>
      </c>
      <c r="V810" t="n">
        <v>72</v>
      </c>
      <c r="W810" t="n">
        <v>0.278</v>
      </c>
      <c r="X810" t="n">
        <v>63</v>
      </c>
      <c r="Y810" t="n">
        <v>68</v>
      </c>
      <c r="Z810" t="n">
        <v>128</v>
      </c>
      <c r="AA810" t="n">
        <v>6</v>
      </c>
      <c r="AB810" t="n">
        <v>9.300000000000001</v>
      </c>
      <c r="AC810" t="inlineStr">
        <is>
          <t xml:space="preserve"> On-Piste Carving</t>
        </is>
      </c>
      <c r="AG810" t="inlineStr">
        <is>
          <t>Nordica Women's Wild Belle 74 w/ TP2 10 Skis 162</t>
        </is>
      </c>
      <c r="AH810" t="inlineStr">
        <is>
          <t>WinterWomen.com</t>
        </is>
      </c>
      <c r="AI810" s="333" t="n">
        <v>399.95</v>
      </c>
      <c r="AJ810" t="inlineStr">
        <is>
          <t>https://tinyurl.com/y83v9qzf</t>
        </is>
      </c>
      <c r="AK810" t="inlineStr">
        <is>
          <t>Nordica Women's Wild Belle 74 w/ TP2 10 Skis 162</t>
        </is>
      </c>
      <c r="AL810" t="inlineStr">
        <is>
          <t>Buckman's Ski and Snowboard Shop</t>
        </is>
      </c>
      <c r="AM810" s="333" t="n">
        <v>399.95</v>
      </c>
      <c r="AN810" t="inlineStr">
        <is>
          <t>https://tinyurl.com/ybn8skb9</t>
        </is>
      </c>
      <c r="AO810" t="inlineStr">
        <is>
          <t>Nordica Wild Belle 74 Ladies Snow Skis with Marker FDT10 Bindings 162</t>
        </is>
      </c>
      <c r="AP810" t="inlineStr">
        <is>
          <t>The Pro Shop</t>
        </is>
      </c>
      <c r="AQ810" s="333" t="n">
        <v>399.99</v>
      </c>
      <c r="AR810" t="inlineStr">
        <is>
          <t>https://tinyurl.com/yd64kjuz</t>
        </is>
      </c>
      <c r="AS810" s="314">
        <f>IF(LEFT(C810,1)=" ",RIGHT(C810,LEN(C810)-1),C810)</f>
        <v/>
      </c>
      <c r="AT810" s="281">
        <f>_xlfn.CONCAT(B810,AS810,D810,E810)</f>
        <v/>
      </c>
    </row>
    <row r="811">
      <c r="A811" t="inlineStr">
        <is>
          <t>21/22</t>
        </is>
      </c>
      <c r="B811" t="inlineStr">
        <is>
          <t xml:space="preserve"> Elan</t>
        </is>
      </c>
      <c r="C811" t="inlineStr">
        <is>
          <t>Wingman 86 CTi</t>
        </is>
      </c>
      <c r="D811" t="n">
        <v>178</v>
      </c>
      <c r="E811" t="inlineStr">
        <is>
          <t xml:space="preserve"> Unisex</t>
        </is>
      </c>
      <c r="F811" t="n">
        <v>178</v>
      </c>
      <c r="G811" t="n">
        <v>177.5</v>
      </c>
      <c r="H811" t="n">
        <v>144</v>
      </c>
      <c r="I811" t="n">
        <v>157</v>
      </c>
      <c r="J811" t="n">
        <v>130</v>
      </c>
      <c r="K811" t="n">
        <v>85</v>
      </c>
      <c r="L811" t="n">
        <v>114</v>
      </c>
      <c r="M811" t="n">
        <v>16.4</v>
      </c>
      <c r="N811" t="n">
        <v>2172</v>
      </c>
      <c r="O811" t="n">
        <v>0.8100000000000001</v>
      </c>
      <c r="P811" t="n">
        <v>1765</v>
      </c>
      <c r="Q811" t="n">
        <v>250</v>
      </c>
      <c r="R811" t="n">
        <v>106</v>
      </c>
      <c r="S811" t="n">
        <v>38</v>
      </c>
      <c r="T811" t="n">
        <v>207</v>
      </c>
      <c r="U811" t="n">
        <v>7</v>
      </c>
      <c r="V811" t="n">
        <v>130</v>
      </c>
      <c r="W811" t="n">
        <v>0.196</v>
      </c>
      <c r="X811" t="n">
        <v>106</v>
      </c>
      <c r="Y811" t="n">
        <v>97</v>
      </c>
      <c r="Z811" t="n">
        <v>100</v>
      </c>
      <c r="AA811" t="n">
        <v>9</v>
      </c>
      <c r="AB811" t="n">
        <v>9.199999999999999</v>
      </c>
      <c r="AC811" t="inlineStr">
        <is>
          <t xml:space="preserve"> Resort Freeride</t>
        </is>
      </c>
      <c r="AG811" t="inlineStr">
        <is>
          <t>Elan 2021 Wingman 86 CTI Men's Skis with EMX 12.0 GW Fusion x Bindings</t>
        </is>
      </c>
      <c r="AH811" t="inlineStr">
        <is>
          <t>Next Adventure</t>
        </is>
      </c>
      <c r="AI811" s="333" t="n">
        <v>349.99</v>
      </c>
      <c r="AJ811" t="inlineStr">
        <is>
          <t>https://tinyurl.com/ycbywswq</t>
        </is>
      </c>
      <c r="AK811" t="inlineStr">
        <is>
          <t>Elan Skis Wingman 86 CTI</t>
        </is>
      </c>
      <c r="AL811" t="inlineStr">
        <is>
          <t>Ski Pro  - Snow Ski &amp; Snowboard</t>
        </is>
      </c>
      <c r="AM811" s="333" t="n">
        <v>649.95</v>
      </c>
      <c r="AN811" t="inlineStr">
        <is>
          <t>https://tinyurl.com/y8yjg44q</t>
        </is>
      </c>
      <c r="AO811" t="inlineStr">
        <is>
          <t>Elan Wingman 86 CTI Skis 2022</t>
        </is>
      </c>
      <c r="AP811" t="inlineStr">
        <is>
          <t>Suburban Ski and Bike</t>
        </is>
      </c>
      <c r="AQ811" s="333" t="n">
        <v>649.99</v>
      </c>
      <c r="AR811" t="inlineStr">
        <is>
          <t>https://tinyurl.com/ycwgbdpy</t>
        </is>
      </c>
      <c r="AS811" s="314">
        <f>IF(LEFT(C811,1)=" ",RIGHT(C811,LEN(C811)-1),C811)</f>
        <v/>
      </c>
      <c r="AT811" s="281">
        <f>_xlfn.CONCAT(B811,AS811,D811,E811)</f>
        <v/>
      </c>
    </row>
    <row r="812">
      <c r="A812" t="inlineStr">
        <is>
          <t>21/22</t>
        </is>
      </c>
      <c r="B812" t="inlineStr">
        <is>
          <t xml:space="preserve"> DPS</t>
        </is>
      </c>
      <c r="C812" t="inlineStr">
        <is>
          <t>Foundation 103 Koala</t>
        </is>
      </c>
      <c r="D812" t="n">
        <v>184</v>
      </c>
      <c r="E812" t="inlineStr">
        <is>
          <t xml:space="preserve"> Unisex</t>
        </is>
      </c>
      <c r="F812" t="n">
        <v>184</v>
      </c>
      <c r="G812" t="n">
        <v>182.8</v>
      </c>
      <c r="H812" t="n">
        <v>121</v>
      </c>
      <c r="I812" t="n">
        <v>149</v>
      </c>
      <c r="J812" t="n">
        <v>132</v>
      </c>
      <c r="K812" t="n">
        <v>103</v>
      </c>
      <c r="L812" t="n">
        <v>121</v>
      </c>
      <c r="M812" t="n">
        <v>18.5</v>
      </c>
      <c r="N812" t="n">
        <v>2074</v>
      </c>
      <c r="O812" t="n">
        <v>1</v>
      </c>
      <c r="P812" t="n">
        <v>2076</v>
      </c>
      <c r="Q812" t="n">
        <v>264</v>
      </c>
      <c r="R812" t="n">
        <v>120</v>
      </c>
      <c r="S812" t="n">
        <v>53</v>
      </c>
      <c r="T812" t="n">
        <v>331</v>
      </c>
      <c r="U812" t="n">
        <v>39</v>
      </c>
      <c r="V812" t="n">
        <v>290</v>
      </c>
      <c r="W812" t="n">
        <v>0.738</v>
      </c>
      <c r="X812" t="n">
        <v>204</v>
      </c>
      <c r="Y812" t="n">
        <v>137</v>
      </c>
      <c r="Z812" t="n">
        <v>128</v>
      </c>
      <c r="AA812" t="n">
        <v>7</v>
      </c>
      <c r="AB812" t="n">
        <v>6.9</v>
      </c>
      <c r="AC812" t="inlineStr">
        <is>
          <t xml:space="preserve"> Resort Freeride</t>
        </is>
      </c>
      <c r="AD812" t="inlineStr">
        <is>
          <t xml:space="preserve"> Powder</t>
        </is>
      </c>
      <c r="AG812" t="inlineStr">
        <is>
          <t>DPS Koala 103 Foundation Skis 2022</t>
        </is>
      </c>
      <c r="AH812" t="inlineStr">
        <is>
          <t>Telemark Pyrenees</t>
        </is>
      </c>
      <c r="AI812" s="333" t="n">
        <v>550</v>
      </c>
      <c r="AJ812" t="inlineStr">
        <is>
          <t>https://tinyurl.com/yb5ok3xf</t>
        </is>
      </c>
      <c r="AK812" t="inlineStr">
        <is>
          <t>DPS Koala 103 Foundation Skis 2022</t>
        </is>
      </c>
      <c r="AL812" t="inlineStr">
        <is>
          <t>Gear West Ski &amp; Bike</t>
        </is>
      </c>
      <c r="AM812" s="333" t="n">
        <v>699</v>
      </c>
      <c r="AN812" t="inlineStr">
        <is>
          <t>https://tinyurl.com/y864qdmv</t>
        </is>
      </c>
      <c r="AO812" t="inlineStr">
        <is>
          <t>DPS Koala F119 Foundation Skis Â· 2020 Â· 184 cm</t>
        </is>
      </c>
      <c r="AP812" t="inlineStr">
        <is>
          <t>Powder7 Ski Shop</t>
        </is>
      </c>
      <c r="AQ812" s="333" t="n">
        <v>409.93</v>
      </c>
      <c r="AR812" t="inlineStr">
        <is>
          <t>https://tinyurl.com/yb6jtq5e</t>
        </is>
      </c>
      <c r="AS812" s="314">
        <f>IF(LEFT(C812,1)=" ",RIGHT(C812,LEN(C812)-1),C812)</f>
        <v/>
      </c>
      <c r="AT812" s="281">
        <f>_xlfn.CONCAT(B812,AS812,D812,E812)</f>
        <v/>
      </c>
    </row>
    <row r="813">
      <c r="A813" t="inlineStr">
        <is>
          <t>21/22</t>
        </is>
      </c>
      <c r="B813" t="inlineStr">
        <is>
          <t xml:space="preserve"> Head</t>
        </is>
      </c>
      <c r="C813" t="inlineStr">
        <is>
          <t>Kore 80 X</t>
        </is>
      </c>
      <c r="D813" t="n">
        <v>177</v>
      </c>
      <c r="E813" t="inlineStr">
        <is>
          <t xml:space="preserve"> Unisex</t>
        </is>
      </c>
      <c r="F813" t="n">
        <v>177</v>
      </c>
      <c r="G813" t="n">
        <v>176.3</v>
      </c>
      <c r="H813" t="n">
        <v>147</v>
      </c>
      <c r="I813" t="n">
        <v>150</v>
      </c>
      <c r="J813" t="n">
        <v>126</v>
      </c>
      <c r="K813" t="n">
        <v>79</v>
      </c>
      <c r="L813" t="n">
        <v>105</v>
      </c>
      <c r="M813" t="n">
        <v>14.4</v>
      </c>
      <c r="N813" t="n">
        <v>2084</v>
      </c>
      <c r="O813" t="n">
        <v>0.8</v>
      </c>
      <c r="P813" t="n">
        <v>1669</v>
      </c>
      <c r="Q813" t="n">
        <v>187</v>
      </c>
      <c r="R813" t="n">
        <v>98</v>
      </c>
      <c r="S813" t="n">
        <v>40</v>
      </c>
      <c r="T813" t="n">
        <v>200</v>
      </c>
      <c r="U813" t="n">
        <v>7</v>
      </c>
      <c r="V813" t="n">
        <v>96</v>
      </c>
      <c r="W813" t="n">
        <v>0.178</v>
      </c>
      <c r="X813" t="n">
        <v>135</v>
      </c>
      <c r="Y813" t="n">
        <v>124</v>
      </c>
      <c r="Z813" t="n">
        <v>65</v>
      </c>
      <c r="AA813" t="n">
        <v>13</v>
      </c>
      <c r="AB813" t="n">
        <v>11.4</v>
      </c>
      <c r="AC813" t="inlineStr">
        <is>
          <t xml:space="preserve"> On-Piste Carving</t>
        </is>
      </c>
      <c r="AD813" t="inlineStr">
        <is>
          <t xml:space="preserve"> On-Piste All-Mountain</t>
        </is>
      </c>
      <c r="AG813" t="inlineStr">
        <is>
          <t>Head Kore 80 X LYT-PR + PRW 11 GW 177cm</t>
        </is>
      </c>
      <c r="AH813" t="inlineStr">
        <is>
          <t>Sundance Ski and Board Shop</t>
        </is>
      </c>
      <c r="AI813" s="333" t="n">
        <v>416.75</v>
      </c>
      <c r="AJ813" t="inlineStr">
        <is>
          <t>https://tinyurl.com/yd5wahlc</t>
        </is>
      </c>
      <c r="AK813" t="inlineStr">
        <is>
          <t>Head Men's Kore 80 x LYT-PR Alpine Skis with PRW 11 GW Binding</t>
        </is>
      </c>
      <c r="AL813" t="inlineStr">
        <is>
          <t>Next Adventure</t>
        </is>
      </c>
      <c r="AM813" s="333" t="n">
        <v>479.2</v>
      </c>
      <c r="AN813" t="inlineStr">
        <is>
          <t>https://tinyurl.com/ybmfb8vc</t>
        </is>
      </c>
      <c r="AO813" t="inlineStr">
        <is>
          <t>Head Men's Kore 80 x LYT-PR Alpine Skis with PRW 11 GW Binding</t>
        </is>
      </c>
      <c r="AP813" t="inlineStr">
        <is>
          <t>sunandski.com</t>
        </is>
      </c>
      <c r="AQ813" s="333" t="n">
        <v>479.93</v>
      </c>
      <c r="AR813" t="inlineStr">
        <is>
          <t>https://tinyurl.com/y7t9drvq</t>
        </is>
      </c>
      <c r="AS813" s="314">
        <f>IF(LEFT(C813,1)=" ",RIGHT(C813,LEN(C813)-1),C813)</f>
        <v/>
      </c>
      <c r="AT813" s="281">
        <f>_xlfn.CONCAT(B813,AS813,D813,E813)</f>
        <v/>
      </c>
    </row>
    <row r="814">
      <c r="A814" t="inlineStr">
        <is>
          <t>21/22</t>
        </is>
      </c>
      <c r="B814" t="inlineStr">
        <is>
          <t xml:space="preserve"> Line</t>
        </is>
      </c>
      <c r="C814" t="inlineStr">
        <is>
          <t xml:space="preserve"> Blade</t>
        </is>
      </c>
      <c r="D814" t="n">
        <v>176</v>
      </c>
      <c r="E814" t="inlineStr">
        <is>
          <t xml:space="preserve"> Unisex</t>
        </is>
      </c>
      <c r="F814" t="n">
        <v>176</v>
      </c>
      <c r="G814" t="n">
        <v>175</v>
      </c>
      <c r="H814" t="n">
        <v>141</v>
      </c>
      <c r="I814" t="n">
        <v>160</v>
      </c>
      <c r="J814" t="n">
        <v>154</v>
      </c>
      <c r="K814" t="n">
        <v>94</v>
      </c>
      <c r="L814" t="n">
        <v>124</v>
      </c>
      <c r="M814" t="n">
        <v>13.6</v>
      </c>
      <c r="N814" t="n">
        <v>1970</v>
      </c>
      <c r="O814" t="n">
        <v>1</v>
      </c>
      <c r="P814" t="n">
        <v>1975</v>
      </c>
      <c r="Q814" t="n">
        <v>166</v>
      </c>
      <c r="R814" t="n">
        <v>114</v>
      </c>
      <c r="S814" t="n">
        <v>34</v>
      </c>
      <c r="T814" t="n">
        <v>182</v>
      </c>
      <c r="U814" t="n">
        <v>25</v>
      </c>
      <c r="V814" t="n">
        <v>155</v>
      </c>
      <c r="W814" t="n">
        <v>0.737</v>
      </c>
      <c r="X814" t="n">
        <v>130</v>
      </c>
      <c r="Y814" t="n">
        <v>22</v>
      </c>
      <c r="Z814" t="n">
        <v>52</v>
      </c>
      <c r="AA814" t="n">
        <v>10</v>
      </c>
      <c r="AB814" t="n">
        <v>6.7</v>
      </c>
      <c r="AC814" t="inlineStr">
        <is>
          <t xml:space="preserve"> Resort Freeride</t>
        </is>
      </c>
      <c r="AG814" t="inlineStr">
        <is>
          <t>Line Blade Skis</t>
        </is>
      </c>
      <c r="AH814" t="inlineStr">
        <is>
          <t>BobWards.com</t>
        </is>
      </c>
      <c r="AI814" s="333" t="n">
        <v>540</v>
      </c>
      <c r="AJ814" t="inlineStr">
        <is>
          <t>https://tinyurl.com/y8goyq5u</t>
        </is>
      </c>
      <c r="AK814" t="inlineStr">
        <is>
          <t>Line Blade Skis</t>
        </is>
      </c>
      <c r="AL814" t="inlineStr">
        <is>
          <t>Suburban Ski and Bike</t>
        </is>
      </c>
      <c r="AM814" s="333" t="n">
        <v>562.46</v>
      </c>
      <c r="AN814" t="inlineStr">
        <is>
          <t>https://tinyurl.com/yd6u8pee</t>
        </is>
      </c>
      <c r="AO814" t="inlineStr">
        <is>
          <t>Line Blade Skis</t>
        </is>
      </c>
      <c r="AP814" t="inlineStr">
        <is>
          <t>Aistriu</t>
        </is>
      </c>
      <c r="AQ814" s="333" t="n">
        <v>749</v>
      </c>
      <c r="AR814" t="inlineStr">
        <is>
          <t>https://tinyurl.com/ycnkmejx</t>
        </is>
      </c>
      <c r="AS814" s="314">
        <f>IF(LEFT(C814,1)=" ",RIGHT(C814,LEN(C814)-1),C814)</f>
        <v/>
      </c>
      <c r="AT814" s="281">
        <f>_xlfn.CONCAT(B814,AS814,D814,E814)</f>
        <v/>
      </c>
    </row>
    <row r="815">
      <c r="A815" t="inlineStr">
        <is>
          <t>21/22</t>
        </is>
      </c>
      <c r="B815" t="inlineStr">
        <is>
          <t xml:space="preserve"> Rossignol</t>
        </is>
      </c>
      <c r="C815" t="inlineStr">
        <is>
          <t>Nova 2</t>
        </is>
      </c>
      <c r="D815" t="n">
        <v>160</v>
      </c>
      <c r="E815" t="inlineStr">
        <is>
          <t xml:space="preserve"> Women's</t>
        </is>
      </c>
      <c r="F815" t="n">
        <v>160</v>
      </c>
      <c r="G815" t="n">
        <v>160.5</v>
      </c>
      <c r="H815" t="n">
        <v>139</v>
      </c>
      <c r="I815" t="n">
        <v>145</v>
      </c>
      <c r="J815" t="n">
        <v>121</v>
      </c>
      <c r="K815" t="n">
        <v>74</v>
      </c>
      <c r="L815" t="n">
        <v>107</v>
      </c>
      <c r="M815" t="n">
        <v>13</v>
      </c>
      <c r="N815" t="n">
        <v>1546</v>
      </c>
      <c r="O815" t="n">
        <v>0.92</v>
      </c>
      <c r="P815" t="n">
        <v>1427</v>
      </c>
      <c r="Q815" t="n">
        <v>151</v>
      </c>
      <c r="R815" t="n">
        <v>51</v>
      </c>
      <c r="S815" t="n">
        <v>38</v>
      </c>
      <c r="T815" t="n">
        <v>148</v>
      </c>
      <c r="U815" t="n">
        <v>5</v>
      </c>
      <c r="V815" t="n">
        <v>71</v>
      </c>
      <c r="W815" t="n">
        <v>0.139</v>
      </c>
      <c r="X815" t="n">
        <v>81</v>
      </c>
      <c r="Y815" t="n">
        <v>79</v>
      </c>
      <c r="Z815" t="n">
        <v>67</v>
      </c>
      <c r="AA815" t="n">
        <v>9</v>
      </c>
      <c r="AB815" t="n">
        <v>8.5</v>
      </c>
      <c r="AC815" t="inlineStr">
        <is>
          <t xml:space="preserve"> On-Piste Carving</t>
        </is>
      </c>
      <c r="AG815" t="inlineStr">
        <is>
          <t>Rossignol Nova 10 Ti Xpress W 11 GW Women's Skis, 160cm Black Sparkle 2020</t>
        </is>
      </c>
      <c r="AH815" t="inlineStr">
        <is>
          <t>Absolute-Snow.co.uk</t>
        </is>
      </c>
      <c r="AI815" s="333" t="n">
        <v>520.67</v>
      </c>
      <c r="AJ815" t="inlineStr">
        <is>
          <t>https://tinyurl.com/y9tqs89y</t>
        </is>
      </c>
      <c r="AK815" t="inlineStr">
        <is>
          <t xml:space="preserve"> Rossignol Axium 160 Cm Mens Downhill Skis</t>
        </is>
      </c>
      <c r="AL815" t="inlineStr">
        <is>
          <t>SidelineSwap</t>
        </is>
      </c>
      <c r="AM815" s="333" t="n">
        <v>14.99</v>
      </c>
      <c r="AN815" t="inlineStr">
        <is>
          <t>https://tinyurl.com/y89z3ydq</t>
        </is>
      </c>
      <c r="AO815" t="inlineStr">
        <is>
          <t>Rossignol Experience 76 Skis w/ Look Xpress 10 GW Bindings</t>
        </is>
      </c>
      <c r="AP815" t="inlineStr">
        <is>
          <t>The-House.com</t>
        </is>
      </c>
      <c r="AQ815" s="333" t="n">
        <v>319.95</v>
      </c>
      <c r="AR815" t="inlineStr">
        <is>
          <t>https://tinyurl.com/y86w6uvt</t>
        </is>
      </c>
      <c r="AS815" s="314">
        <f>IF(LEFT(C815,1)=" ",RIGHT(C815,LEN(C815)-1),C815)</f>
        <v/>
      </c>
      <c r="AT815" s="281">
        <f>_xlfn.CONCAT(B815,AS815,D815,E815)</f>
        <v/>
      </c>
    </row>
    <row r="816">
      <c r="A816" t="inlineStr">
        <is>
          <t>21/22</t>
        </is>
      </c>
      <c r="B816" t="inlineStr">
        <is>
          <t xml:space="preserve"> Armada</t>
        </is>
      </c>
      <c r="C816" t="inlineStr">
        <is>
          <t>ARW 86</t>
        </is>
      </c>
      <c r="D816" t="n">
        <v>156</v>
      </c>
      <c r="E816" t="inlineStr">
        <is>
          <t xml:space="preserve"> Women's</t>
        </is>
      </c>
      <c r="F816" t="n">
        <v>156</v>
      </c>
      <c r="G816" t="n">
        <v>154</v>
      </c>
      <c r="H816" t="n">
        <v>118</v>
      </c>
      <c r="I816" t="n">
        <v>132</v>
      </c>
      <c r="J816" t="n">
        <v>111</v>
      </c>
      <c r="K816" t="n">
        <v>85</v>
      </c>
      <c r="L816" t="n">
        <v>106</v>
      </c>
      <c r="M816" t="n">
        <v>16.5</v>
      </c>
      <c r="N816" t="n">
        <v>1469</v>
      </c>
      <c r="O816" t="n">
        <v>0.99</v>
      </c>
      <c r="P816" t="n">
        <v>1455</v>
      </c>
      <c r="Q816" t="n">
        <v>136</v>
      </c>
      <c r="R816" t="n">
        <v>72</v>
      </c>
      <c r="S816" t="n">
        <v>44</v>
      </c>
      <c r="T816" t="n">
        <v>186</v>
      </c>
      <c r="U816" t="n">
        <v>39</v>
      </c>
      <c r="V816" t="n">
        <v>169</v>
      </c>
      <c r="W816" t="n">
        <v>0.87</v>
      </c>
      <c r="X816" t="n">
        <v>110</v>
      </c>
      <c r="Y816" t="n">
        <v>106</v>
      </c>
      <c r="Z816" t="n">
        <v>76</v>
      </c>
      <c r="AA816" t="n">
        <v>9</v>
      </c>
      <c r="AB816" t="n">
        <v>4.2</v>
      </c>
      <c r="AC816" t="inlineStr">
        <is>
          <t xml:space="preserve"> Freeski</t>
        </is>
      </c>
      <c r="AG816" t="inlineStr">
        <is>
          <t>Armada ARW 86 Skis Women's Â· 2022 Â· 156 cm</t>
        </is>
      </c>
      <c r="AH816" t="inlineStr">
        <is>
          <t>evo.com</t>
        </is>
      </c>
      <c r="AI816" s="333" t="n">
        <v>319.96</v>
      </c>
      <c r="AJ816" t="inlineStr">
        <is>
          <t>https://tinyurl.com/ybz6ov2z</t>
        </is>
      </c>
      <c r="AK816" t="inlineStr">
        <is>
          <t>Armada ARW 86 Skis Women's Â· 2022 Â· 156 cm</t>
        </is>
      </c>
      <c r="AL816" t="inlineStr">
        <is>
          <t>Powder7 Ski Shop</t>
        </is>
      </c>
      <c r="AM816" s="333" t="n">
        <v>379.95</v>
      </c>
      <c r="AN816" t="inlineStr">
        <is>
          <t>https://tinyurl.com/ya5p5p35</t>
        </is>
      </c>
      <c r="AO816" t="inlineStr">
        <is>
          <t>Armada Tantrum Skis 156cm 2022</t>
        </is>
      </c>
      <c r="AP816" t="inlineStr">
        <is>
          <t>PRFO Sports</t>
        </is>
      </c>
      <c r="AQ816" s="333" t="n">
        <v>287.71</v>
      </c>
      <c r="AR816" t="inlineStr">
        <is>
          <t>https://tinyurl.com/y853wbzy</t>
        </is>
      </c>
      <c r="AS816" s="314">
        <f>IF(LEFT(C816,1)=" ",RIGHT(C816,LEN(C816)-1),C816)</f>
        <v/>
      </c>
      <c r="AT816" s="281">
        <f>_xlfn.CONCAT(B816,AS816,D816,E816)</f>
        <v/>
      </c>
    </row>
    <row r="817">
      <c r="A817" t="inlineStr">
        <is>
          <t>21/22</t>
        </is>
      </c>
      <c r="B817" t="inlineStr">
        <is>
          <t xml:space="preserve"> Faction</t>
        </is>
      </c>
      <c r="C817" t="inlineStr">
        <is>
          <t>Prodigy 1.0 X</t>
        </is>
      </c>
      <c r="D817" t="n">
        <v>164</v>
      </c>
      <c r="E817" t="inlineStr">
        <is>
          <t xml:space="preserve"> Women's</t>
        </is>
      </c>
      <c r="F817" t="n">
        <v>164</v>
      </c>
      <c r="G817" t="n">
        <v>162.1</v>
      </c>
      <c r="H817" t="n">
        <v>118</v>
      </c>
      <c r="I817" t="n">
        <v>135</v>
      </c>
      <c r="J817" t="n">
        <v>119</v>
      </c>
      <c r="K817" t="n">
        <v>87</v>
      </c>
      <c r="L817" t="n">
        <v>111</v>
      </c>
      <c r="M817" t="n">
        <v>14.7</v>
      </c>
      <c r="N817" t="n">
        <v>1614</v>
      </c>
      <c r="O817" t="n">
        <v>0.99</v>
      </c>
      <c r="P817" t="n">
        <v>1604</v>
      </c>
      <c r="Q817" t="n">
        <v>153</v>
      </c>
      <c r="R817" t="n">
        <v>61</v>
      </c>
      <c r="S817" t="n">
        <v>53</v>
      </c>
      <c r="T817" t="n">
        <v>259</v>
      </c>
      <c r="U817" t="n">
        <v>37</v>
      </c>
      <c r="V817" t="n">
        <v>179</v>
      </c>
      <c r="W817" t="n">
        <v>0.697</v>
      </c>
      <c r="X817" t="n">
        <v>143</v>
      </c>
      <c r="Y817" t="n">
        <v>129</v>
      </c>
      <c r="Z817" t="n">
        <v>117</v>
      </c>
      <c r="AA817" t="n">
        <v>9</v>
      </c>
      <c r="AB817" t="n">
        <v>7.2</v>
      </c>
      <c r="AC817" t="inlineStr">
        <is>
          <t xml:space="preserve"> Resort Freeride</t>
        </is>
      </c>
      <c r="AG817" t="inlineStr">
        <is>
          <t>Faction Prodigy 0.0 with M10 GW Binding Skis</t>
        </is>
      </c>
      <c r="AH817" t="inlineStr">
        <is>
          <t>Backcountry.com</t>
        </is>
      </c>
      <c r="AI817" s="333" t="n">
        <v>314.27</v>
      </c>
      <c r="AJ817" t="inlineStr">
        <is>
          <t>https://tinyurl.com/yace3rdv</t>
        </is>
      </c>
      <c r="AK817" t="inlineStr">
        <is>
          <t>Faction Ct 1.0 Ski, 164</t>
        </is>
      </c>
      <c r="AL817" t="inlineStr">
        <is>
          <t>Snowcountry.eu</t>
        </is>
      </c>
      <c r="AM817" s="333" t="n">
        <v>391.78</v>
      </c>
      <c r="AN817" t="inlineStr">
        <is>
          <t>https://tinyurl.com/ybwjbap2</t>
        </is>
      </c>
      <c r="AO817" t="inlineStr">
        <is>
          <t>Faction - Prodigy 1.0x - 164</t>
        </is>
      </c>
      <c r="AP817" t="inlineStr">
        <is>
          <t>Gear West Ski &amp; Bike</t>
        </is>
      </c>
      <c r="AQ817" s="333" t="n">
        <v>449</v>
      </c>
      <c r="AR817" t="inlineStr">
        <is>
          <t>https://tinyurl.com/y8k4446x</t>
        </is>
      </c>
      <c r="AS817" s="314">
        <f>IF(LEFT(C817,1)=" ",RIGHT(C817,LEN(C817)-1),C817)</f>
        <v/>
      </c>
      <c r="AT817" s="281">
        <f>_xlfn.CONCAT(B817,AS817,D817,E817)</f>
        <v/>
      </c>
    </row>
    <row r="818">
      <c r="A818" t="inlineStr">
        <is>
          <t>21/22</t>
        </is>
      </c>
      <c r="B818" t="inlineStr">
        <is>
          <t xml:space="preserve"> Rossignol</t>
        </is>
      </c>
      <c r="C818" t="inlineStr">
        <is>
          <t xml:space="preserve"> Blackops Escaper</t>
        </is>
      </c>
      <c r="D818" t="n">
        <v>156</v>
      </c>
      <c r="E818" t="inlineStr">
        <is>
          <t xml:space="preserve"> Unisex</t>
        </is>
      </c>
      <c r="F818" t="n">
        <v>156</v>
      </c>
      <c r="G818" t="n">
        <v>155</v>
      </c>
      <c r="H818" t="n">
        <v>107</v>
      </c>
      <c r="I818" t="n">
        <v>129</v>
      </c>
      <c r="J818" t="n">
        <v>125</v>
      </c>
      <c r="K818" t="n">
        <v>89</v>
      </c>
      <c r="L818" t="n">
        <v>116</v>
      </c>
      <c r="M818" t="n">
        <v>11.7</v>
      </c>
      <c r="N818" t="n">
        <v>1471</v>
      </c>
      <c r="O818" t="n">
        <v>1.08</v>
      </c>
      <c r="P818" t="n">
        <v>1590</v>
      </c>
      <c r="Q818" t="n">
        <v>153</v>
      </c>
      <c r="R818" t="n">
        <v>75</v>
      </c>
      <c r="S818" t="n">
        <v>52</v>
      </c>
      <c r="T818" t="n">
        <v>307</v>
      </c>
      <c r="U818" t="n">
        <v>13</v>
      </c>
      <c r="V818" t="n">
        <v>173</v>
      </c>
      <c r="W818" t="n">
        <v>0.243</v>
      </c>
      <c r="X818" t="n">
        <v>158</v>
      </c>
      <c r="Y818" t="n">
        <v>100</v>
      </c>
      <c r="Z818" t="n">
        <v>149</v>
      </c>
      <c r="AA818" t="n">
        <v>6</v>
      </c>
      <c r="AB818" t="n">
        <v>5.5</v>
      </c>
      <c r="AC818" t="inlineStr">
        <is>
          <t xml:space="preserve"> Resort Freeride</t>
        </is>
      </c>
      <c r="AD818" t="inlineStr">
        <is>
          <t xml:space="preserve"> Touring</t>
        </is>
      </c>
      <c r="AG818" t="inlineStr">
        <is>
          <t>Rossignol Blackops Escaper Open 156cm</t>
        </is>
      </c>
      <c r="AH818" t="inlineStr">
        <is>
          <t>Sundance Ski and Board Shop</t>
        </is>
      </c>
      <c r="AI818" s="333" t="n">
        <v>400.72</v>
      </c>
      <c r="AJ818" t="inlineStr">
        <is>
          <t>https://tinyurl.com/ydbcn7ko</t>
        </is>
      </c>
      <c r="AK818" t="inlineStr">
        <is>
          <t>Rossignol Blackops Escaper Skis 2022</t>
        </is>
      </c>
      <c r="AL818" t="inlineStr">
        <is>
          <t>Saint Bernard</t>
        </is>
      </c>
      <c r="AM818" s="333" t="n">
        <v>473.9</v>
      </c>
      <c r="AN818" t="inlineStr">
        <is>
          <t>https://tinyurl.com/y9u6tkoo</t>
        </is>
      </c>
      <c r="AO818" t="inlineStr">
        <is>
          <t>Rossignol Blackops Escaper Skis Men's 2022</t>
        </is>
      </c>
      <c r="AP818" t="inlineStr">
        <is>
          <t>Level Nine Sports</t>
        </is>
      </c>
      <c r="AQ818" s="333" t="n">
        <v>479.96</v>
      </c>
      <c r="AR818" t="inlineStr">
        <is>
          <t>https://tinyurl.com/y736xxdh</t>
        </is>
      </c>
      <c r="AS818" s="314">
        <f>IF(LEFT(C818,1)=" ",RIGHT(C818,LEN(C818)-1),C818)</f>
        <v/>
      </c>
      <c r="AT818" s="281">
        <f>_xlfn.CONCAT(B818,AS818,D818,E818)</f>
        <v/>
      </c>
    </row>
    <row r="819">
      <c r="A819" t="inlineStr">
        <is>
          <t>21/22</t>
        </is>
      </c>
      <c r="B819" t="inlineStr">
        <is>
          <t xml:space="preserve"> Atomic</t>
        </is>
      </c>
      <c r="C819" t="inlineStr">
        <is>
          <t>Maven 86</t>
        </is>
      </c>
      <c r="D819" t="n">
        <v>153</v>
      </c>
      <c r="E819" t="inlineStr">
        <is>
          <t xml:space="preserve"> Women's</t>
        </is>
      </c>
      <c r="F819" t="n">
        <v>153</v>
      </c>
      <c r="G819" t="n">
        <v>152.1</v>
      </c>
      <c r="H819" t="n">
        <v>104</v>
      </c>
      <c r="I819" t="n">
        <v>127</v>
      </c>
      <c r="J819" t="n">
        <v>120</v>
      </c>
      <c r="K819" t="n">
        <v>86</v>
      </c>
      <c r="L819" t="n">
        <v>103</v>
      </c>
      <c r="M819" t="n">
        <v>14.2</v>
      </c>
      <c r="N819" t="n">
        <v>1338</v>
      </c>
      <c r="O819" t="n">
        <v>1.1</v>
      </c>
      <c r="P819" t="n">
        <v>1467</v>
      </c>
      <c r="Q819" t="n">
        <v>184</v>
      </c>
      <c r="R819" t="n">
        <v>76</v>
      </c>
      <c r="S819" t="n">
        <v>47</v>
      </c>
      <c r="T819" t="n">
        <v>284</v>
      </c>
      <c r="U819" t="n">
        <v>13</v>
      </c>
      <c r="V819" t="n">
        <v>200</v>
      </c>
      <c r="W819" t="n">
        <v>0.272</v>
      </c>
      <c r="X819" t="n">
        <v>153</v>
      </c>
      <c r="Y819" t="n">
        <v>102</v>
      </c>
      <c r="Z819" t="n">
        <v>131</v>
      </c>
      <c r="AA819" t="n">
        <v>3</v>
      </c>
      <c r="AB819" t="n">
        <v>8.300000000000001</v>
      </c>
      <c r="AC819" t="inlineStr">
        <is>
          <t xml:space="preserve"> Resort Freeride</t>
        </is>
      </c>
      <c r="AD819" t="inlineStr">
        <is>
          <t xml:space="preserve"> Touring</t>
        </is>
      </c>
      <c r="AG819" t="inlineStr">
        <is>
          <t>Atomic Maven 86 Skis 2022 - - 153 cm</t>
        </is>
      </c>
      <c r="AH819" t="inlineStr">
        <is>
          <t>Skirack</t>
        </is>
      </c>
      <c r="AI819" s="333" t="n">
        <v>319.99</v>
      </c>
      <c r="AJ819" t="inlineStr">
        <is>
          <t>https://tinyurl.com/y9ryzjv5</t>
        </is>
      </c>
      <c r="AK819" t="inlineStr">
        <is>
          <t>Atomic Maven 86 Berry / 153cm</t>
        </is>
      </c>
      <c r="AL819" t="inlineStr">
        <is>
          <t>Sundance Ski and Board Shop</t>
        </is>
      </c>
      <c r="AM819" s="333" t="n">
        <v>320.57</v>
      </c>
      <c r="AN819" t="inlineStr">
        <is>
          <t>https://tinyurl.com/yalalwgx</t>
        </is>
      </c>
      <c r="AO819" t="inlineStr">
        <is>
          <t>Atomic Maven 86 C Skis</t>
        </is>
      </c>
      <c r="AP819" t="inlineStr">
        <is>
          <t>BlueZone Sports</t>
        </is>
      </c>
      <c r="AQ819" s="333" t="n">
        <v>399.99</v>
      </c>
      <c r="AR819" t="inlineStr">
        <is>
          <t>https://tinyurl.com/yayjtsxn</t>
        </is>
      </c>
      <c r="AS819" s="314">
        <f>IF(LEFT(C819,1)=" ",RIGHT(C819,LEN(C819)-1),C819)</f>
        <v/>
      </c>
      <c r="AT819" s="281">
        <f>_xlfn.CONCAT(B819,AS819,D819,E819)</f>
        <v/>
      </c>
    </row>
    <row r="820">
      <c r="A820" t="inlineStr">
        <is>
          <t>21/22</t>
        </is>
      </c>
      <c r="B820" t="inlineStr">
        <is>
          <t xml:space="preserve"> Blizzard</t>
        </is>
      </c>
      <c r="C820" t="inlineStr">
        <is>
          <t>Sheeva 10</t>
        </is>
      </c>
      <c r="D820" t="n">
        <v>164</v>
      </c>
      <c r="E820" t="inlineStr">
        <is>
          <t xml:space="preserve"> Women's</t>
        </is>
      </c>
      <c r="F820" t="n">
        <v>164</v>
      </c>
      <c r="G820" t="n">
        <v>162.4</v>
      </c>
      <c r="H820" t="n">
        <v>98</v>
      </c>
      <c r="I820" t="n">
        <v>133</v>
      </c>
      <c r="J820" t="n">
        <v>131</v>
      </c>
      <c r="K820" t="n">
        <v>101</v>
      </c>
      <c r="L820" t="n">
        <v>121</v>
      </c>
      <c r="M820" t="n">
        <v>15.3</v>
      </c>
      <c r="N820" t="n">
        <v>1807</v>
      </c>
      <c r="O820" t="n">
        <v>1</v>
      </c>
      <c r="P820" t="n">
        <v>1813</v>
      </c>
      <c r="Q820" t="n">
        <v>150</v>
      </c>
      <c r="R820" t="n">
        <v>75</v>
      </c>
      <c r="S820" t="n">
        <v>68</v>
      </c>
      <c r="T820" t="n">
        <v>359</v>
      </c>
      <c r="U820" t="n">
        <v>35</v>
      </c>
      <c r="V820" t="n">
        <v>280</v>
      </c>
      <c r="W820" t="n">
        <v>0.509</v>
      </c>
      <c r="X820" t="n">
        <v>156</v>
      </c>
      <c r="Y820" t="n">
        <v>139</v>
      </c>
      <c r="Z820" t="n">
        <v>204</v>
      </c>
      <c r="AA820" t="n">
        <v>4</v>
      </c>
      <c r="AB820" t="n">
        <v>7</v>
      </c>
      <c r="AC820" t="inlineStr">
        <is>
          <t xml:space="preserve"> Resort Freeride</t>
        </is>
      </c>
      <c r="AD820" t="inlineStr">
        <is>
          <t xml:space="preserve"> Powder</t>
        </is>
      </c>
      <c r="AG820" t="inlineStr">
        <is>
          <t>Armada Edollo Skis Â· 2022</t>
        </is>
      </c>
      <c r="AH820" t="inlineStr">
        <is>
          <t>Snowcountry.eu</t>
        </is>
      </c>
      <c r="AI820" s="333" t="n">
        <v>441.56</v>
      </c>
      <c r="AJ820" t="inlineStr">
        <is>
          <t>https://tinyurl.com/y96ybu8d</t>
        </is>
      </c>
      <c r="AK820" t="inlineStr">
        <is>
          <t>Armada Edollo Skis Â· 2022</t>
        </is>
      </c>
      <c r="AL820" t="inlineStr">
        <is>
          <t>Teton Wasatch Ski Co.</t>
        </is>
      </c>
      <c r="AM820" s="333" t="n">
        <v>479</v>
      </c>
      <c r="AN820" t="inlineStr">
        <is>
          <t>https://tinyurl.com/yay3wl65</t>
        </is>
      </c>
      <c r="AO820" t="inlineStr">
        <is>
          <t>Armada Edollo Skis Â· 2022</t>
        </is>
      </c>
      <c r="AP820" t="inlineStr">
        <is>
          <t>Curated</t>
        </is>
      </c>
      <c r="AQ820" s="333" t="n">
        <v>479.96</v>
      </c>
      <c r="AR820" t="inlineStr">
        <is>
          <t>https://tinyurl.com/y8vanjtm</t>
        </is>
      </c>
      <c r="AS820" s="314">
        <f>IF(LEFT(C820,1)=" ",RIGHT(C820,LEN(C820)-1),C820)</f>
        <v/>
      </c>
      <c r="AT820" s="281">
        <f>_xlfn.CONCAT(B820,AS820,D820,E820)</f>
        <v/>
      </c>
    </row>
    <row r="821">
      <c r="A821" t="inlineStr">
        <is>
          <t>21/22</t>
        </is>
      </c>
      <c r="B821" t="inlineStr">
        <is>
          <t xml:space="preserve"> Fischer</t>
        </is>
      </c>
      <c r="C821" t="inlineStr">
        <is>
          <t>RC One 82 GT</t>
        </is>
      </c>
      <c r="D821" t="n">
        <v>166</v>
      </c>
      <c r="E821" t="inlineStr">
        <is>
          <t xml:space="preserve"> Unisex</t>
        </is>
      </c>
      <c r="F821" t="n">
        <v>166</v>
      </c>
      <c r="G821" t="n">
        <v>165.6</v>
      </c>
      <c r="H821" t="n">
        <v>127</v>
      </c>
      <c r="I821" t="n">
        <v>148</v>
      </c>
      <c r="J821" t="n">
        <v>125</v>
      </c>
      <c r="K821" t="n">
        <v>82</v>
      </c>
      <c r="L821" t="n">
        <v>111</v>
      </c>
      <c r="M821" t="n">
        <v>13.8</v>
      </c>
      <c r="N821" t="n">
        <v>1915</v>
      </c>
      <c r="O821" t="n">
        <v>0.83</v>
      </c>
      <c r="P821" t="n">
        <v>1583</v>
      </c>
      <c r="Q821" t="n">
        <v>215</v>
      </c>
      <c r="R821" t="n">
        <v>123</v>
      </c>
      <c r="S821" t="n">
        <v>49</v>
      </c>
      <c r="T821" t="n">
        <v>280</v>
      </c>
      <c r="U821" t="n">
        <v>6</v>
      </c>
      <c r="V821" t="n">
        <v>106</v>
      </c>
      <c r="W821" t="n">
        <v>0.12</v>
      </c>
      <c r="X821" t="n">
        <v>84</v>
      </c>
      <c r="Y821" t="n">
        <v>95</v>
      </c>
      <c r="Z821" t="n">
        <v>197</v>
      </c>
      <c r="AA821" t="n">
        <v>4</v>
      </c>
      <c r="AB821" t="n">
        <v>9.300000000000001</v>
      </c>
      <c r="AC821" t="inlineStr">
        <is>
          <t xml:space="preserve"> On-Piste All-Mountain</t>
        </is>
      </c>
      <c r="AD821" t="inlineStr">
        <is>
          <t xml:space="preserve"> Resort Freeride</t>
        </is>
      </c>
      <c r="AG821" t="inlineStr">
        <is>
          <t>Fischer XTR RC One 82 Gt Rentaltrack Skis 2021</t>
        </is>
      </c>
      <c r="AH821" t="inlineStr">
        <is>
          <t>Level Nine Sports</t>
        </is>
      </c>
      <c r="AI821" s="333" t="n">
        <v>469.94</v>
      </c>
      <c r="AJ821" t="inlineStr">
        <is>
          <t>https://tinyurl.com/y89sft8d</t>
        </is>
      </c>
      <c r="AK821" t="inlineStr">
        <is>
          <t>Fischer RC One 82 GT + RSW 11 21/22</t>
        </is>
      </c>
      <c r="AL821" t="inlineStr">
        <is>
          <t>GritrOutdoors</t>
        </is>
      </c>
      <c r="AM821" s="333" t="n">
        <v>639.99</v>
      </c>
      <c r="AN821" t="inlineStr">
        <is>
          <t>https://tinyurl.com/ybgal5pm</t>
        </is>
      </c>
      <c r="AO821" t="inlineStr">
        <is>
          <t>Fischer RC One 82 GT + RSW 11 21/22</t>
        </is>
      </c>
      <c r="AP821" t="inlineStr">
        <is>
          <t>Next Adventure</t>
        </is>
      </c>
      <c r="AQ821" s="333" t="n">
        <v>664.99</v>
      </c>
      <c r="AR821" t="inlineStr">
        <is>
          <t>https://tinyurl.com/y72zlu5r</t>
        </is>
      </c>
      <c r="AS821" s="314">
        <f>IF(LEFT(C821,1)=" ",RIGHT(C821,LEN(C821)-1),C821)</f>
        <v/>
      </c>
      <c r="AT821" s="281">
        <f>_xlfn.CONCAT(B821,AS821,D821,E821)</f>
        <v/>
      </c>
    </row>
    <row r="822">
      <c r="A822" t="inlineStr">
        <is>
          <t>21/22</t>
        </is>
      </c>
      <c r="B822" t="inlineStr">
        <is>
          <t xml:space="preserve"> Line</t>
        </is>
      </c>
      <c r="C822" t="inlineStr">
        <is>
          <t xml:space="preserve"> Chronic</t>
        </is>
      </c>
      <c r="D822" t="n">
        <v>164</v>
      </c>
      <c r="E822" t="inlineStr">
        <is>
          <t xml:space="preserve"> Unisex</t>
        </is>
      </c>
      <c r="F822" t="n">
        <v>164</v>
      </c>
      <c r="G822" t="n">
        <v>164.8</v>
      </c>
      <c r="H822" t="n">
        <v>132</v>
      </c>
      <c r="I822" t="n">
        <v>131</v>
      </c>
      <c r="J822" t="n">
        <v>128</v>
      </c>
      <c r="K822" t="n">
        <v>94</v>
      </c>
      <c r="L822" t="n">
        <v>119</v>
      </c>
      <c r="M822" t="n">
        <v>13.8</v>
      </c>
      <c r="N822" t="n">
        <v>1581</v>
      </c>
      <c r="O822" t="n">
        <v>1.1</v>
      </c>
      <c r="P822" t="n">
        <v>1736</v>
      </c>
      <c r="Q822" t="n">
        <v>108</v>
      </c>
      <c r="R822" t="n">
        <v>66</v>
      </c>
      <c r="S822" t="n">
        <v>36</v>
      </c>
      <c r="T822" t="n">
        <v>161</v>
      </c>
      <c r="U822" t="n">
        <v>34</v>
      </c>
      <c r="V822" t="n">
        <v>165</v>
      </c>
      <c r="W822" t="n">
        <v>0.963</v>
      </c>
      <c r="X822" t="n">
        <v>165</v>
      </c>
      <c r="Y822" t="n">
        <v>178</v>
      </c>
      <c r="Z822" t="n">
        <v>-4</v>
      </c>
      <c r="AA822" t="n">
        <v>9</v>
      </c>
      <c r="AB822" t="n">
        <v>3.6</v>
      </c>
      <c r="AC822" t="inlineStr">
        <is>
          <t xml:space="preserve"> Freeski</t>
        </is>
      </c>
      <c r="AD822" t="inlineStr">
        <is>
          <t xml:space="preserve"> Touring</t>
        </is>
      </c>
      <c r="AG822" t="inlineStr">
        <is>
          <t>Line 2022 Chronic Skis</t>
        </is>
      </c>
      <c r="AH822" t="inlineStr">
        <is>
          <t>eBay - david110549</t>
        </is>
      </c>
      <c r="AI822" s="333" t="n">
        <v>499.95</v>
      </c>
      <c r="AJ822" t="inlineStr">
        <is>
          <t>https://tinyurl.com/y8muvrz6</t>
        </is>
      </c>
      <c r="AK822" t="inlineStr">
        <is>
          <t>Line 2022 Chronic Skis</t>
        </is>
      </c>
      <c r="AL822" t="inlineStr">
        <is>
          <t>Curated</t>
        </is>
      </c>
      <c r="AM822" s="333" t="n">
        <v>499.95</v>
      </c>
      <c r="AN822" t="inlineStr">
        <is>
          <t>https://tinyurl.com/yb4vokpr</t>
        </is>
      </c>
      <c r="AO822" t="inlineStr">
        <is>
          <t>Line 2022 Chronic Skis</t>
        </is>
      </c>
      <c r="AP822" t="inlineStr">
        <is>
          <t>SkiEssentials.com</t>
        </is>
      </c>
      <c r="AQ822" s="333" t="n">
        <v>499.95</v>
      </c>
      <c r="AR822" t="inlineStr">
        <is>
          <t>https://tinyurl.com/y9svb8da</t>
        </is>
      </c>
      <c r="AS822" s="314">
        <f>IF(LEFT(C822,1)=" ",RIGHT(C822,LEN(C822)-1),C822)</f>
        <v/>
      </c>
      <c r="AT822" s="281">
        <f>_xlfn.CONCAT(B822,AS822,D822,E822)</f>
        <v/>
      </c>
    </row>
    <row r="823">
      <c r="A823" t="inlineStr">
        <is>
          <t>21/22</t>
        </is>
      </c>
      <c r="B823" t="inlineStr">
        <is>
          <t xml:space="preserve"> Black Crows</t>
        </is>
      </c>
      <c r="C823" t="inlineStr">
        <is>
          <t xml:space="preserve"> Anima</t>
        </is>
      </c>
      <c r="D823" t="n">
        <v>182.1</v>
      </c>
      <c r="E823" t="inlineStr">
        <is>
          <t xml:space="preserve"> Unisex</t>
        </is>
      </c>
      <c r="F823" t="n">
        <v>182.1</v>
      </c>
      <c r="G823" t="n">
        <v>180.9</v>
      </c>
      <c r="H823" t="n">
        <v>115</v>
      </c>
      <c r="I823" t="n">
        <v>148</v>
      </c>
      <c r="J823" t="n">
        <v>145</v>
      </c>
      <c r="K823" t="n">
        <v>114</v>
      </c>
      <c r="L823" t="n">
        <v>134</v>
      </c>
      <c r="M823" t="n">
        <v>19.3</v>
      </c>
      <c r="N823" t="n">
        <v>2227</v>
      </c>
      <c r="O823" t="n">
        <v>1.01</v>
      </c>
      <c r="P823" t="n">
        <v>2241</v>
      </c>
      <c r="Q823" t="n">
        <v>230</v>
      </c>
      <c r="R823" t="n">
        <v>107</v>
      </c>
      <c r="S823" t="n">
        <v>50</v>
      </c>
      <c r="T823" t="n">
        <v>375</v>
      </c>
      <c r="U823" t="n">
        <v>47</v>
      </c>
      <c r="V823" t="n">
        <v>286</v>
      </c>
      <c r="W823" t="n">
        <v>0.927999999999999</v>
      </c>
      <c r="X823" t="n">
        <v>185</v>
      </c>
      <c r="Y823" t="n">
        <v>145</v>
      </c>
      <c r="Z823" t="n">
        <v>191</v>
      </c>
      <c r="AA823" t="n">
        <v>7</v>
      </c>
      <c r="AB823" t="n">
        <v>7.1</v>
      </c>
      <c r="AC823" t="inlineStr">
        <is>
          <t xml:space="preserve"> Freeski</t>
        </is>
      </c>
      <c r="AD823" t="inlineStr">
        <is>
          <t xml:space="preserve"> Powder</t>
        </is>
      </c>
      <c r="AG823" t="inlineStr">
        <is>
          <t>2021 Black Crows Anima Skis 182 Mint</t>
        </is>
      </c>
      <c r="AH823" t="inlineStr">
        <is>
          <t>eBay</t>
        </is>
      </c>
      <c r="AI823" s="333" t="n">
        <v>550</v>
      </c>
      <c r="AJ823" t="inlineStr">
        <is>
          <t>https://tinyurl.com/ycyx6pcm</t>
        </is>
      </c>
      <c r="AK823" t="inlineStr">
        <is>
          <t>Black Crows Anima Birdie Women's Skis 182cm 2022</t>
        </is>
      </c>
      <c r="AL823" t="inlineStr">
        <is>
          <t>Telemark Pyrenees</t>
        </is>
      </c>
      <c r="AM823" s="333" t="n">
        <v>669.24</v>
      </c>
      <c r="AN823" t="inlineStr">
        <is>
          <t>https://tinyurl.com/yaydnjsg</t>
        </is>
      </c>
      <c r="AO823" t="inlineStr">
        <is>
          <t>Black Crows Anima Skis 182 cm</t>
        </is>
      </c>
      <c r="AP823" t="inlineStr">
        <is>
          <t>Absolute-Snow.co.uk</t>
        </is>
      </c>
      <c r="AQ823" s="333" t="n">
        <v>684.58</v>
      </c>
      <c r="AR823" t="inlineStr">
        <is>
          <t>https://tinyurl.com/ybl4q844</t>
        </is>
      </c>
      <c r="AS823" s="314">
        <f>IF(LEFT(C823,1)=" ",RIGHT(C823,LEN(C823)-1),C823)</f>
        <v/>
      </c>
      <c r="AT823" s="281">
        <f>_xlfn.CONCAT(B823,AS823,D823,E823)</f>
        <v/>
      </c>
    </row>
    <row r="824">
      <c r="A824" t="inlineStr">
        <is>
          <t>21/22</t>
        </is>
      </c>
      <c r="B824" t="inlineStr">
        <is>
          <t xml:space="preserve"> Atomic</t>
        </is>
      </c>
      <c r="C824" t="inlineStr">
        <is>
          <t>Vantage 75 C</t>
        </is>
      </c>
      <c r="D824" t="n">
        <v>161</v>
      </c>
      <c r="E824" t="inlineStr">
        <is>
          <t xml:space="preserve"> Unisex</t>
        </is>
      </c>
      <c r="F824" t="n">
        <v>161</v>
      </c>
      <c r="G824" t="n">
        <v>160.4</v>
      </c>
      <c r="H824" t="n">
        <v>135</v>
      </c>
      <c r="I824" t="n">
        <v>143</v>
      </c>
      <c r="J824" t="n">
        <v>115</v>
      </c>
      <c r="K824" t="n">
        <v>74</v>
      </c>
      <c r="L824" t="n">
        <v>99</v>
      </c>
      <c r="M824" t="n">
        <v>15.3</v>
      </c>
      <c r="N824" t="n">
        <v>1731</v>
      </c>
      <c r="O824" t="n">
        <v>0.8100000000000001</v>
      </c>
      <c r="P824" t="n">
        <v>1394</v>
      </c>
      <c r="Q824" t="n">
        <v>156</v>
      </c>
      <c r="R824" t="n">
        <v>67</v>
      </c>
      <c r="S824" t="n">
        <v>39</v>
      </c>
      <c r="T824" t="n">
        <v>178</v>
      </c>
      <c r="U824" t="n">
        <v>4</v>
      </c>
      <c r="V824" t="n">
        <v>76</v>
      </c>
      <c r="W824" t="n">
        <v>0.113</v>
      </c>
      <c r="X824" t="n">
        <v>98</v>
      </c>
      <c r="Y824" t="n">
        <v>71</v>
      </c>
      <c r="Z824" t="n">
        <v>79</v>
      </c>
      <c r="AA824" t="n">
        <v>10</v>
      </c>
      <c r="AB824" t="n">
        <v>10.4</v>
      </c>
      <c r="AC824" t="inlineStr">
        <is>
          <t xml:space="preserve"> On-Piste Carving</t>
        </is>
      </c>
      <c r="AD824" t="inlineStr">
        <is>
          <t xml:space="preserve"> On-Piste All-Mountain</t>
        </is>
      </c>
      <c r="AG824" t="inlineStr">
        <is>
          <t>Atomic Vantage 75 C + M 10 GW</t>
        </is>
      </c>
      <c r="AH824" t="inlineStr">
        <is>
          <t>SkiEssentials.com</t>
        </is>
      </c>
      <c r="AI824" s="333" t="n">
        <v>319.99</v>
      </c>
      <c r="AJ824" t="inlineStr">
        <is>
          <t>https://tinyurl.com/yb9bosyq</t>
        </is>
      </c>
      <c r="AK824" t="inlineStr">
        <is>
          <t>Atomic Vantage 75 C + M 10 GW</t>
        </is>
      </c>
      <c r="AL824" t="inlineStr">
        <is>
          <t>Spoke-N-Sport</t>
        </is>
      </c>
      <c r="AM824" s="333" t="n">
        <v>335.99</v>
      </c>
      <c r="AN824" t="inlineStr">
        <is>
          <t>https://tinyurl.com/y9eftybv</t>
        </is>
      </c>
      <c r="AO824" t="inlineStr">
        <is>
          <t>Atomic Vantage 75 C Skis + M 10 GW Bindings 161</t>
        </is>
      </c>
      <c r="AP824" t="inlineStr">
        <is>
          <t>Sundown Ski &amp; Patio Greenvale</t>
        </is>
      </c>
      <c r="AQ824" s="333" t="n">
        <v>399.99</v>
      </c>
      <c r="AR824" t="inlineStr">
        <is>
          <t>https://tinyurl.com/yagyft6y</t>
        </is>
      </c>
      <c r="AS824" s="314">
        <f>IF(LEFT(C824,1)=" ",RIGHT(C824,LEN(C824)-1),C824)</f>
        <v/>
      </c>
      <c r="AT824" s="281">
        <f>_xlfn.CONCAT(B824,AS824,D824,E824)</f>
        <v/>
      </c>
    </row>
    <row r="825">
      <c r="A825" t="inlineStr">
        <is>
          <t>21/22</t>
        </is>
      </c>
      <c r="B825" t="inlineStr">
        <is>
          <t xml:space="preserve"> Line</t>
        </is>
      </c>
      <c r="C825" t="inlineStr">
        <is>
          <t xml:space="preserve"> Honey Badger</t>
        </is>
      </c>
      <c r="D825" t="n">
        <v>172</v>
      </c>
      <c r="E825" t="inlineStr">
        <is>
          <t xml:space="preserve"> Unisex</t>
        </is>
      </c>
      <c r="F825" t="n">
        <v>172</v>
      </c>
      <c r="G825" t="n">
        <v>171.4</v>
      </c>
      <c r="H825" t="n">
        <v>133</v>
      </c>
      <c r="I825" t="n">
        <v>147</v>
      </c>
      <c r="J825" t="n">
        <v>120</v>
      </c>
      <c r="K825" t="n">
        <v>91</v>
      </c>
      <c r="L825" t="n">
        <v>117</v>
      </c>
      <c r="M825" t="n">
        <v>18.9</v>
      </c>
      <c r="N825" t="n">
        <v>1661</v>
      </c>
      <c r="O825" t="n">
        <v>1.04</v>
      </c>
      <c r="P825" t="n">
        <v>1728</v>
      </c>
      <c r="Q825" t="n">
        <v>141</v>
      </c>
      <c r="R825" t="n">
        <v>63</v>
      </c>
      <c r="S825" t="n">
        <v>46</v>
      </c>
      <c r="T825" t="n">
        <v>199</v>
      </c>
      <c r="U825" t="n">
        <v>40</v>
      </c>
      <c r="V825" t="n">
        <v>190</v>
      </c>
      <c r="W825" t="n">
        <v>0.885</v>
      </c>
      <c r="X825" t="n">
        <v>123</v>
      </c>
      <c r="Y825" t="n">
        <v>126</v>
      </c>
      <c r="Z825" t="n">
        <v>76</v>
      </c>
      <c r="AA825" t="n">
        <v>7</v>
      </c>
      <c r="AB825" t="n">
        <v>3.4</v>
      </c>
      <c r="AC825" t="inlineStr">
        <is>
          <t xml:space="preserve"> Freeski</t>
        </is>
      </c>
      <c r="AG825" t="inlineStr">
        <is>
          <t>Line Honey Badger Skis 2022</t>
        </is>
      </c>
      <c r="AH825" t="inlineStr">
        <is>
          <t>Suburban Ski and Bike</t>
        </is>
      </c>
      <c r="AI825" s="333" t="n">
        <v>349.95</v>
      </c>
      <c r="AJ825" t="inlineStr">
        <is>
          <t>https://tinyurl.com/y7hwgvep</t>
        </is>
      </c>
      <c r="AS825" s="314">
        <f>IF(LEFT(C825,1)=" ",RIGHT(C825,LEN(C825)-1),C825)</f>
        <v/>
      </c>
      <c r="AT825" s="281">
        <f>_xlfn.CONCAT(B825,AS825,D825,E825)</f>
        <v/>
      </c>
    </row>
    <row r="826">
      <c r="A826" t="inlineStr">
        <is>
          <t>21/22</t>
        </is>
      </c>
      <c r="B826" t="inlineStr">
        <is>
          <t xml:space="preserve"> Nordica</t>
        </is>
      </c>
      <c r="C826" t="inlineStr">
        <is>
          <t>Belle 73</t>
        </is>
      </c>
      <c r="D826" t="n">
        <v>156</v>
      </c>
      <c r="E826" t="inlineStr">
        <is>
          <t xml:space="preserve"> Women's</t>
        </is>
      </c>
      <c r="F826" t="n">
        <v>156</v>
      </c>
      <c r="G826" t="n">
        <v>155.2</v>
      </c>
      <c r="H826" t="n">
        <v>130</v>
      </c>
      <c r="I826" t="n">
        <v>141</v>
      </c>
      <c r="J826" t="n">
        <v>122</v>
      </c>
      <c r="K826" t="n">
        <v>73</v>
      </c>
      <c r="L826" t="n">
        <v>99</v>
      </c>
      <c r="M826" t="n">
        <v>12.6</v>
      </c>
      <c r="N826" t="n">
        <v>1691</v>
      </c>
      <c r="O826" t="n">
        <v>0.8</v>
      </c>
      <c r="P826" t="n">
        <v>1346</v>
      </c>
      <c r="Q826" t="n">
        <v>164</v>
      </c>
      <c r="R826" t="n">
        <v>65</v>
      </c>
      <c r="S826" t="n">
        <v>38</v>
      </c>
      <c r="T826" t="n">
        <v>159</v>
      </c>
      <c r="U826" t="n">
        <v>10</v>
      </c>
      <c r="V826" t="n">
        <v>94</v>
      </c>
      <c r="W826" t="n">
        <v>0.263</v>
      </c>
      <c r="X826" t="n">
        <v>64</v>
      </c>
      <c r="Y826" t="n">
        <v>82</v>
      </c>
      <c r="Z826" t="n">
        <v>95</v>
      </c>
      <c r="AA826" t="n">
        <v>5</v>
      </c>
      <c r="AB826" t="n">
        <v>9.1</v>
      </c>
      <c r="AC826" t="inlineStr">
        <is>
          <t xml:space="preserve"> Other</t>
        </is>
      </c>
      <c r="AG826" t="inlineStr">
        <is>
          <t>Nordica Women's Wild Belle 74 w/ TP2 10 Skis 156</t>
        </is>
      </c>
      <c r="AH826" t="inlineStr">
        <is>
          <t>SkiEssentials.com</t>
        </is>
      </c>
      <c r="AI826" s="333" t="n">
        <v>399.99</v>
      </c>
      <c r="AJ826" t="inlineStr">
        <is>
          <t>https://tinyurl.com/y7zrqljo</t>
        </is>
      </c>
      <c r="AK826" t="inlineStr">
        <is>
          <t>Nordica Wild Belle DC 84 Ski &amp; Binding (156CM)</t>
        </is>
      </c>
      <c r="AL826" t="inlineStr">
        <is>
          <t>Ski World</t>
        </is>
      </c>
      <c r="AM826" s="333" t="n">
        <v>599.99</v>
      </c>
      <c r="AN826" t="inlineStr">
        <is>
          <t>https://tinyurl.com/ya6eggqm</t>
        </is>
      </c>
      <c r="AO826" t="inlineStr">
        <is>
          <t>Nordica Navigator 75 CA Skis w/ TP2 Compact 10 Bindings</t>
        </is>
      </c>
      <c r="AP826" t="inlineStr">
        <is>
          <t>Utah SKI Gear</t>
        </is>
      </c>
      <c r="AQ826" s="333" t="n">
        <v>359.99</v>
      </c>
      <c r="AR826" t="inlineStr">
        <is>
          <t>https://tinyurl.com/yc85nun9</t>
        </is>
      </c>
      <c r="AS826" s="314">
        <f>IF(LEFT(C826,1)=" ",RIGHT(C826,LEN(C826)-1),C826)</f>
        <v/>
      </c>
      <c r="AT826" s="281">
        <f>_xlfn.CONCAT(B826,AS826,D826,E826)</f>
        <v/>
      </c>
    </row>
    <row r="827">
      <c r="A827" t="inlineStr">
        <is>
          <t>21/22</t>
        </is>
      </c>
      <c r="B827" t="inlineStr">
        <is>
          <t xml:space="preserve"> Nordica</t>
        </is>
      </c>
      <c r="C827" t="inlineStr">
        <is>
          <t>Santa Ana 84</t>
        </is>
      </c>
      <c r="D827" t="n">
        <v>151</v>
      </c>
      <c r="E827" t="inlineStr">
        <is>
          <t xml:space="preserve"> Women's</t>
        </is>
      </c>
      <c r="F827" t="n">
        <v>151</v>
      </c>
      <c r="G827" t="n">
        <v>149.7</v>
      </c>
      <c r="H827" t="n">
        <v>109</v>
      </c>
      <c r="I827" t="n">
        <v>128</v>
      </c>
      <c r="J827" t="n">
        <v>119</v>
      </c>
      <c r="K827" t="n">
        <v>83</v>
      </c>
      <c r="L827" t="n">
        <v>104</v>
      </c>
      <c r="M827" t="n">
        <v>12.8</v>
      </c>
      <c r="N827" t="n">
        <v>1399</v>
      </c>
      <c r="O827" t="n">
        <v>1.02</v>
      </c>
      <c r="P827" t="n">
        <v>1427</v>
      </c>
      <c r="Q827" t="n">
        <v>163</v>
      </c>
      <c r="R827" t="n">
        <v>75</v>
      </c>
      <c r="S827" t="n">
        <v>60</v>
      </c>
      <c r="T827" t="n">
        <v>257</v>
      </c>
      <c r="U827" t="n">
        <v>17</v>
      </c>
      <c r="V827" t="n">
        <v>150</v>
      </c>
      <c r="W827" t="n">
        <v>0.29</v>
      </c>
      <c r="X827" t="n">
        <v>129</v>
      </c>
      <c r="Y827" t="n">
        <v>91</v>
      </c>
      <c r="Z827" t="n">
        <v>128</v>
      </c>
      <c r="AA827" t="n">
        <v>3</v>
      </c>
      <c r="AB827" t="n">
        <v>10</v>
      </c>
      <c r="AC827" t="inlineStr">
        <is>
          <t xml:space="preserve"> On-Piste All-Mountain</t>
        </is>
      </c>
      <c r="AD827" t="inlineStr">
        <is>
          <t xml:space="preserve"> Resort Freeride</t>
        </is>
      </c>
      <c r="AG827" t="inlineStr">
        <is>
          <t>Nordica Santa Ana 84 WHITE/BLUE / 151cm</t>
        </is>
      </c>
      <c r="AH827" t="inlineStr">
        <is>
          <t>Sundance Ski and Board Shop</t>
        </is>
      </c>
      <c r="AI827" s="333" t="n">
        <v>400.72</v>
      </c>
      <c r="AJ827" t="inlineStr">
        <is>
          <t>https://tinyurl.com/ybsvhmzf</t>
        </is>
      </c>
      <c r="AK827" t="inlineStr">
        <is>
          <t>Nordica Santa Ana 84 Skis - 2022 - Women's 151 cm</t>
        </is>
      </c>
      <c r="AL827" t="inlineStr">
        <is>
          <t>BlueZone Sports</t>
        </is>
      </c>
      <c r="AM827" s="333" t="n">
        <v>412.49</v>
      </c>
      <c r="AN827" t="inlineStr">
        <is>
          <t>https://tinyurl.com/yau7lnwj</t>
        </is>
      </c>
      <c r="AO827" t="inlineStr">
        <is>
          <t>Nordica Santa Ana 84 Alpine Skis 2022 - - 151 cm</t>
        </is>
      </c>
      <c r="AP827" t="inlineStr">
        <is>
          <t>Skirack</t>
        </is>
      </c>
      <c r="AQ827" s="333" t="n">
        <v>439.96</v>
      </c>
      <c r="AR827" t="inlineStr">
        <is>
          <t>https://tinyurl.com/ycqcw2tt</t>
        </is>
      </c>
      <c r="AS827" s="314">
        <f>IF(LEFT(C827,1)=" ",RIGHT(C827,LEN(C827)-1),C827)</f>
        <v/>
      </c>
      <c r="AT827" s="281">
        <f>_xlfn.CONCAT(B827,AS827,D827,E827)</f>
        <v/>
      </c>
    </row>
    <row r="828">
      <c r="A828" t="inlineStr">
        <is>
          <t>21/22</t>
        </is>
      </c>
      <c r="B828" t="inlineStr">
        <is>
          <t xml:space="preserve"> Vï¿½lkl</t>
        </is>
      </c>
      <c r="C828" t="inlineStr">
        <is>
          <t>Yumi 84</t>
        </is>
      </c>
      <c r="D828" t="n">
        <v>161</v>
      </c>
      <c r="E828" t="inlineStr">
        <is>
          <t xml:space="preserve"> Women's</t>
        </is>
      </c>
      <c r="F828" t="n">
        <v>161</v>
      </c>
      <c r="G828" t="n">
        <v>161.3</v>
      </c>
      <c r="H828" t="n">
        <v>122</v>
      </c>
      <c r="I828" t="n">
        <v>138</v>
      </c>
      <c r="J828" t="n">
        <v>124</v>
      </c>
      <c r="K828" t="n">
        <v>83</v>
      </c>
      <c r="L828" t="n">
        <v>106</v>
      </c>
      <c r="M828" t="n">
        <v>14.3</v>
      </c>
      <c r="N828" t="n">
        <v>1411</v>
      </c>
      <c r="O828" t="n">
        <v>1.1</v>
      </c>
      <c r="P828" t="n">
        <v>1552</v>
      </c>
      <c r="Q828" t="n">
        <v>169</v>
      </c>
      <c r="R828" t="n">
        <v>67</v>
      </c>
      <c r="S828" t="n">
        <v>38</v>
      </c>
      <c r="T828" t="n">
        <v>211</v>
      </c>
      <c r="U828" t="n">
        <v>14</v>
      </c>
      <c r="V828" t="n">
        <v>183</v>
      </c>
      <c r="W828" t="n">
        <v>0.365</v>
      </c>
      <c r="X828" t="n">
        <v>130</v>
      </c>
      <c r="Y828" t="n">
        <v>106</v>
      </c>
      <c r="Z828" t="n">
        <v>81</v>
      </c>
      <c r="AA828" t="n">
        <v>2</v>
      </c>
      <c r="AB828" t="n">
        <v>11.8</v>
      </c>
      <c r="AC828" t="inlineStr">
        <is>
          <t xml:space="preserve"> On-Piste All-Mountain</t>
        </is>
      </c>
      <c r="AD828" t="inlineStr">
        <is>
          <t xml:space="preserve"> Resort Freeride</t>
        </is>
      </c>
      <c r="AE828" t="inlineStr">
        <is>
          <t xml:space="preserve"> Touring</t>
        </is>
      </c>
      <c r="AG828" t="inlineStr">
        <is>
          <t>Volkl Yumi 84 Skis - Women's 2021</t>
        </is>
      </c>
      <c r="AH828" t="inlineStr">
        <is>
          <t>SkiEssentials.com</t>
        </is>
      </c>
      <c r="AI828" s="333" t="n">
        <v>459.95</v>
      </c>
      <c r="AJ828" t="inlineStr">
        <is>
          <t>https://tinyurl.com/y7yqfb3f</t>
        </is>
      </c>
      <c r="AK828" t="inlineStr">
        <is>
          <t>Volkl Yumi 84 Skis - Women's 2021</t>
        </is>
      </c>
      <c r="AL828" t="inlineStr">
        <is>
          <t>Buyr.com</t>
        </is>
      </c>
      <c r="AM828" s="333" t="n">
        <v>459.95</v>
      </c>
      <c r="AN828" t="inlineStr">
        <is>
          <t>https://tinyurl.com/ya8yz6jg</t>
        </is>
      </c>
      <c r="AO828" t="inlineStr">
        <is>
          <t>Volkl Ladies' Yumi 84 Flat Ski 2020-2021 | BLACK/RED / 161</t>
        </is>
      </c>
      <c r="AP828" t="inlineStr">
        <is>
          <t>Ski Pro  - Snow Ski &amp; Snowboard</t>
        </is>
      </c>
      <c r="AQ828" s="333" t="n">
        <v>479.95</v>
      </c>
      <c r="AR828" t="inlineStr">
        <is>
          <t>https://tinyurl.com/yagkg736</t>
        </is>
      </c>
      <c r="AS828" s="314">
        <f>IF(LEFT(C828,1)=" ",RIGHT(C828,LEN(C828)-1),C828)</f>
        <v/>
      </c>
      <c r="AT828" s="281">
        <f>_xlfn.CONCAT(B828,AS828,D828,E828)</f>
        <v/>
      </c>
    </row>
    <row r="829">
      <c r="A829" t="inlineStr">
        <is>
          <t>21/22</t>
        </is>
      </c>
      <c r="B829" t="inlineStr">
        <is>
          <t xml:space="preserve"> Elan</t>
        </is>
      </c>
      <c r="C829" t="inlineStr">
        <is>
          <t xml:space="preserve"> Element W</t>
        </is>
      </c>
      <c r="D829" t="n">
        <v>168</v>
      </c>
      <c r="E829" t="inlineStr">
        <is>
          <t xml:space="preserve"> Women's</t>
        </is>
      </c>
      <c r="F829" t="n">
        <v>168</v>
      </c>
      <c r="G829" t="n">
        <v>167.5</v>
      </c>
      <c r="H829" t="n">
        <v>144</v>
      </c>
      <c r="I829" t="n">
        <v>153</v>
      </c>
      <c r="J829" t="n">
        <v>127</v>
      </c>
      <c r="K829" t="n">
        <v>75</v>
      </c>
      <c r="L829" t="n">
        <v>102</v>
      </c>
      <c r="M829" t="n">
        <v>15.1</v>
      </c>
      <c r="N829" t="n">
        <v>1819</v>
      </c>
      <c r="O829" t="n">
        <v>0.83</v>
      </c>
      <c r="P829" t="n">
        <v>1513</v>
      </c>
      <c r="Q829" t="n">
        <v>203</v>
      </c>
      <c r="R829" t="n">
        <v>70</v>
      </c>
      <c r="S829" t="n">
        <v>34</v>
      </c>
      <c r="T829" t="n">
        <v>154</v>
      </c>
      <c r="U829" t="n">
        <v>10</v>
      </c>
      <c r="V829" t="n">
        <v>77</v>
      </c>
      <c r="W829" t="n">
        <v>0.286</v>
      </c>
      <c r="X829" t="n">
        <v>85</v>
      </c>
      <c r="Y829" t="n">
        <v>59</v>
      </c>
      <c r="Z829" t="n">
        <v>69</v>
      </c>
      <c r="AA829" t="n">
        <v>8</v>
      </c>
      <c r="AB829" t="n">
        <v>10.5</v>
      </c>
      <c r="AC829" t="inlineStr">
        <is>
          <t xml:space="preserve"> On-Piste Carving</t>
        </is>
      </c>
      <c r="AG829" t="inlineStr">
        <is>
          <t>Elan Element Green Black-Green 168 Ski Men</t>
        </is>
      </c>
      <c r="AH829" t="inlineStr">
        <is>
          <t>eBay - grassisport</t>
        </is>
      </c>
      <c r="AI829" s="333" t="n">
        <v>296.51</v>
      </c>
      <c r="AJ829" t="inlineStr">
        <is>
          <t>https://tinyurl.com/y87p2d6h</t>
        </is>
      </c>
      <c r="AK829" t="inlineStr">
        <is>
          <t>Elan Element LS EL 10.0 Orange / 168cm</t>
        </is>
      </c>
      <c r="AL829" t="inlineStr">
        <is>
          <t>Sundance Ski and Board Shop</t>
        </is>
      </c>
      <c r="AM829" s="333" t="n">
        <v>424.76</v>
      </c>
      <c r="AN829" t="inlineStr">
        <is>
          <t>https://tinyurl.com/y8h6a3s6</t>
        </is>
      </c>
      <c r="AO829" t="inlineStr">
        <is>
          <t>Elan Element Black Blue Light Shift Ski with Bindings 168</t>
        </is>
      </c>
      <c r="AP829" t="inlineStr">
        <is>
          <t>shop.petersonsskiandcycle.com</t>
        </is>
      </c>
      <c r="AQ829" s="333" t="n">
        <v>449.99</v>
      </c>
      <c r="AR829" t="inlineStr">
        <is>
          <t>https://tinyurl.com/yb9up5vv</t>
        </is>
      </c>
      <c r="AS829" s="314">
        <f>IF(LEFT(C829,1)=" ",RIGHT(C829,LEN(C829)-1),C829)</f>
        <v/>
      </c>
      <c r="AT829" s="281">
        <f>_xlfn.CONCAT(B829,AS829,D829,E829)</f>
        <v/>
      </c>
    </row>
    <row r="830">
      <c r="A830" t="inlineStr">
        <is>
          <t>21/22</t>
        </is>
      </c>
      <c r="B830" t="inlineStr">
        <is>
          <t xml:space="preserve"> Armada</t>
        </is>
      </c>
      <c r="C830" t="inlineStr">
        <is>
          <t xml:space="preserve"> Stranger</t>
        </is>
      </c>
      <c r="D830" t="n">
        <v>172</v>
      </c>
      <c r="E830" t="inlineStr">
        <is>
          <t xml:space="preserve"> Unisex</t>
        </is>
      </c>
      <c r="F830" t="n">
        <v>172</v>
      </c>
      <c r="G830" t="n">
        <v>170.9</v>
      </c>
      <c r="H830" t="n">
        <v>119</v>
      </c>
      <c r="I830" t="n">
        <v>140</v>
      </c>
      <c r="J830" t="n">
        <v>138</v>
      </c>
      <c r="K830" t="n">
        <v>99</v>
      </c>
      <c r="L830" t="n">
        <v>119</v>
      </c>
      <c r="M830" t="n">
        <v>15.2</v>
      </c>
      <c r="N830" t="n">
        <v>2003</v>
      </c>
      <c r="O830" t="n">
        <v>0.96</v>
      </c>
      <c r="P830" t="n">
        <v>1924</v>
      </c>
      <c r="Q830" t="n">
        <v>163</v>
      </c>
      <c r="R830" t="n">
        <v>75</v>
      </c>
      <c r="S830" t="n">
        <v>57</v>
      </c>
      <c r="T830" t="n">
        <v>294</v>
      </c>
      <c r="U830" t="n">
        <v>35</v>
      </c>
      <c r="V830" t="n">
        <v>226</v>
      </c>
      <c r="W830" t="n">
        <v>0.605</v>
      </c>
      <c r="X830" t="n">
        <v>196</v>
      </c>
      <c r="Y830" t="n">
        <v>111</v>
      </c>
      <c r="Z830" t="n">
        <v>97</v>
      </c>
      <c r="AA830" t="n">
        <v>8</v>
      </c>
      <c r="AB830" t="n">
        <v>10.1</v>
      </c>
      <c r="AC830" t="inlineStr">
        <is>
          <t xml:space="preserve"> Resort Freeride</t>
        </is>
      </c>
      <c r="AG830" t="inlineStr">
        <is>
          <t>Armada Stranger Ski 2022</t>
        </is>
      </c>
      <c r="AH830" t="inlineStr">
        <is>
          <t>Snowcountry.eu</t>
        </is>
      </c>
      <c r="AI830" s="333" t="n">
        <v>441.56</v>
      </c>
      <c r="AJ830" t="inlineStr">
        <is>
          <t>https://tinyurl.com/y7c89r69</t>
        </is>
      </c>
      <c r="AK830" t="inlineStr">
        <is>
          <t>Armada Stranger Ski 2022</t>
        </is>
      </c>
      <c r="AL830" t="inlineStr">
        <is>
          <t>Basin Sports</t>
        </is>
      </c>
      <c r="AM830" s="333" t="n">
        <v>559.96</v>
      </c>
      <c r="AN830" t="inlineStr">
        <is>
          <t>https://tinyurl.com/yc39qgjp</t>
        </is>
      </c>
      <c r="AO830" t="inlineStr">
        <is>
          <t>Armada Stranger Ski 2022</t>
        </is>
      </c>
      <c r="AP830" t="inlineStr">
        <is>
          <t>UtahSkis</t>
        </is>
      </c>
      <c r="AQ830" s="333" t="n">
        <v>559.96</v>
      </c>
      <c r="AR830" t="inlineStr">
        <is>
          <t>https://tinyurl.com/y9dermg9</t>
        </is>
      </c>
      <c r="AS830" s="314">
        <f>IF(LEFT(C830,1)=" ",RIGHT(C830,LEN(C830)-1),C830)</f>
        <v/>
      </c>
      <c r="AT830" s="281">
        <f>_xlfn.CONCAT(B830,AS830,D830,E830)</f>
        <v/>
      </c>
    </row>
    <row r="831">
      <c r="A831" t="inlineStr">
        <is>
          <t>21/22</t>
        </is>
      </c>
      <c r="B831" t="inlineStr">
        <is>
          <t xml:space="preserve"> Fischer</t>
        </is>
      </c>
      <c r="C831" t="inlineStr">
        <is>
          <t>Ranger 102 FR W</t>
        </is>
      </c>
      <c r="D831" t="n">
        <v>191</v>
      </c>
      <c r="E831" t="inlineStr">
        <is>
          <t xml:space="preserve"> Women's</t>
        </is>
      </c>
      <c r="F831" t="n">
        <v>191</v>
      </c>
      <c r="G831" t="n">
        <v>190.3</v>
      </c>
      <c r="H831" t="n">
        <v>131</v>
      </c>
      <c r="I831" t="n">
        <v>157</v>
      </c>
      <c r="J831" t="n">
        <v>137</v>
      </c>
      <c r="K831" t="n">
        <v>103</v>
      </c>
      <c r="L831" t="n">
        <v>127</v>
      </c>
      <c r="M831" t="n">
        <v>17.7</v>
      </c>
      <c r="N831" t="n">
        <v>2039</v>
      </c>
      <c r="O831" t="n">
        <v>1.08</v>
      </c>
      <c r="P831" t="n">
        <v>2205</v>
      </c>
      <c r="Q831" t="n">
        <v>247</v>
      </c>
      <c r="R831" t="n">
        <v>126</v>
      </c>
      <c r="S831" t="n">
        <v>49</v>
      </c>
      <c r="T831" t="n">
        <v>379</v>
      </c>
      <c r="U831" t="n">
        <v>27</v>
      </c>
      <c r="V831" t="n">
        <v>212</v>
      </c>
      <c r="W831" t="n">
        <v>0.551</v>
      </c>
      <c r="X831" t="n">
        <v>174</v>
      </c>
      <c r="Y831" t="n">
        <v>155</v>
      </c>
      <c r="Z831" t="n">
        <v>205</v>
      </c>
      <c r="AA831" t="n">
        <v>7</v>
      </c>
      <c r="AB831" t="n">
        <v>10.7</v>
      </c>
      <c r="AC831" t="inlineStr">
        <is>
          <t xml:space="preserve"> Resort Freeride</t>
        </is>
      </c>
      <c r="AD831" t="inlineStr">
        <is>
          <t xml:space="preserve"> Powder</t>
        </is>
      </c>
      <c r="AE831" t="inlineStr">
        <is>
          <t xml:space="preserve"> Touring</t>
        </is>
      </c>
      <c r="AG831" t="inlineStr">
        <is>
          <t>Fischer Ranger 102 FR Ski 2021</t>
        </is>
      </c>
      <c r="AH831" t="inlineStr">
        <is>
          <t>ColoradoSkiShop.com</t>
        </is>
      </c>
      <c r="AI831" s="333" t="n">
        <v>699.99</v>
      </c>
      <c r="AJ831" t="inlineStr">
        <is>
          <t>https://tinyurl.com/y7r7zdv7</t>
        </is>
      </c>
      <c r="AK831" t="inlineStr">
        <is>
          <t>191cm 2022 Fischer Ranger 102 Fr Skis Mounted W/ Tyrolia Attack2 13</t>
        </is>
      </c>
      <c r="AL831" t="inlineStr">
        <is>
          <t>eBay - david110549</t>
        </is>
      </c>
      <c r="AM831" s="333" t="n">
        <v>849.99</v>
      </c>
      <c r="AN831" t="inlineStr">
        <is>
          <t>https://tinyurl.com/yax88bjm</t>
        </is>
      </c>
      <c r="AO831" t="inlineStr">
        <is>
          <t>RANGER 102 FR 191</t>
        </is>
      </c>
      <c r="AP831" t="inlineStr">
        <is>
          <t>Pro Ski and Mountain Service</t>
        </is>
      </c>
      <c r="AQ831" s="333" t="n">
        <v>699.99</v>
      </c>
      <c r="AR831" t="inlineStr">
        <is>
          <t>https://tinyurl.com/y9x7urqb</t>
        </is>
      </c>
      <c r="AS831" s="314">
        <f>IF(LEFT(C831,1)=" ",RIGHT(C831,LEN(C831)-1),C831)</f>
        <v/>
      </c>
      <c r="AT831" s="281">
        <f>_xlfn.CONCAT(B831,AS831,D831,E831)</f>
        <v/>
      </c>
    </row>
    <row r="832">
      <c r="A832" t="inlineStr">
        <is>
          <t>21/22</t>
        </is>
      </c>
      <c r="B832" t="inlineStr">
        <is>
          <t xml:space="preserve"> Vï¿½lkl</t>
        </is>
      </c>
      <c r="C832" t="inlineStr">
        <is>
          <t>Blaze 94 W</t>
        </is>
      </c>
      <c r="D832" t="n">
        <v>165</v>
      </c>
      <c r="E832" t="inlineStr">
        <is>
          <t xml:space="preserve"> Women's</t>
        </is>
      </c>
      <c r="F832" t="n">
        <v>165</v>
      </c>
      <c r="G832" t="n">
        <v>164.5</v>
      </c>
      <c r="H832" t="n">
        <v>75</v>
      </c>
      <c r="I832" t="n">
        <v>140</v>
      </c>
      <c r="J832" t="n">
        <v>133</v>
      </c>
      <c r="K832" t="n">
        <v>93</v>
      </c>
      <c r="L832" t="n">
        <v>115</v>
      </c>
      <c r="M832" t="n">
        <v>15.1</v>
      </c>
      <c r="N832" t="n">
        <v>1458</v>
      </c>
      <c r="O832" t="n">
        <v>1.19</v>
      </c>
      <c r="P832" t="n">
        <v>1740</v>
      </c>
      <c r="Q832" t="n">
        <v>177</v>
      </c>
      <c r="R832" t="n">
        <v>86</v>
      </c>
      <c r="S832" t="n">
        <v>53</v>
      </c>
      <c r="T832" t="n">
        <v>532</v>
      </c>
      <c r="U832" t="n">
        <v>23</v>
      </c>
      <c r="V832" t="n">
        <v>360</v>
      </c>
      <c r="W832" t="n">
        <v>0.429</v>
      </c>
      <c r="X832" t="n">
        <v>140</v>
      </c>
      <c r="Y832" t="n">
        <v>101</v>
      </c>
      <c r="Z832" t="n">
        <v>391</v>
      </c>
      <c r="AA832" t="n">
        <v>1</v>
      </c>
      <c r="AB832" t="n">
        <v>11.9</v>
      </c>
      <c r="AC832" t="inlineStr">
        <is>
          <t xml:space="preserve"> Resort Freeride</t>
        </is>
      </c>
      <c r="AD832" t="inlineStr">
        <is>
          <t xml:space="preserve"> Touring</t>
        </is>
      </c>
      <c r="AG832" t="inlineStr">
        <is>
          <t>Volkl Blaze 94 W Alpine Skis 2022 - - 165 cm</t>
        </is>
      </c>
      <c r="AH832" t="inlineStr">
        <is>
          <t>Skirack</t>
        </is>
      </c>
      <c r="AI832" s="333" t="n">
        <v>439.96</v>
      </c>
      <c r="AJ832" t="inlineStr">
        <is>
          <t>https://tinyurl.com/yb2nu8aq</t>
        </is>
      </c>
      <c r="AK832" t="inlineStr">
        <is>
          <t>Volkl Blaze 94 W 2022 (Size: 165) | By Alpine Shop Vermont</t>
        </is>
      </c>
      <c r="AL832" t="inlineStr">
        <is>
          <t>AlpineShopVT.com</t>
        </is>
      </c>
      <c r="AM832" s="333" t="n">
        <v>439.99</v>
      </c>
      <c r="AN832" t="inlineStr">
        <is>
          <t>https://tinyurl.com/y7x79r6m</t>
        </is>
      </c>
      <c r="AO832" t="inlineStr">
        <is>
          <t>Volkl 22 Blaze 94 W 165Cm  Demo Skis W/ Bindings</t>
        </is>
      </c>
      <c r="AP832" t="inlineStr">
        <is>
          <t>Play It Again Sports</t>
        </is>
      </c>
      <c r="AQ832" s="333" t="n">
        <v>449.91</v>
      </c>
      <c r="AR832" t="inlineStr">
        <is>
          <t>https://tinyurl.com/ya2cwjw3</t>
        </is>
      </c>
      <c r="AS832" s="314">
        <f>IF(LEFT(C832,1)=" ",RIGHT(C832,LEN(C832)-1),C832)</f>
        <v/>
      </c>
      <c r="AT832" s="281">
        <f>_xlfn.CONCAT(B832,AS832,D832,E832)</f>
        <v/>
      </c>
    </row>
    <row r="833">
      <c r="A833" t="inlineStr">
        <is>
          <t>21/22</t>
        </is>
      </c>
      <c r="B833" t="inlineStr">
        <is>
          <t xml:space="preserve"> Stï¿½ckli</t>
        </is>
      </c>
      <c r="C833" t="inlineStr">
        <is>
          <t xml:space="preserve"> Laser SC</t>
        </is>
      </c>
      <c r="D833" t="n">
        <v>170</v>
      </c>
      <c r="E833" t="inlineStr">
        <is>
          <t xml:space="preserve"> Unisex</t>
        </is>
      </c>
      <c r="F833" t="n">
        <v>170</v>
      </c>
      <c r="G833" t="n">
        <v>168.7</v>
      </c>
      <c r="H833" t="n">
        <v>148</v>
      </c>
      <c r="I833" t="n">
        <v>156</v>
      </c>
      <c r="J833" t="n">
        <v>122</v>
      </c>
      <c r="K833" t="n">
        <v>71</v>
      </c>
      <c r="L833" t="n">
        <v>103</v>
      </c>
      <c r="M833" t="n">
        <v>14.7</v>
      </c>
      <c r="N833" t="n">
        <v>1818</v>
      </c>
      <c r="O833" t="n">
        <v>0.8</v>
      </c>
      <c r="P833" t="n">
        <v>1463</v>
      </c>
      <c r="Q833" t="n">
        <v>206</v>
      </c>
      <c r="R833" t="n">
        <v>114</v>
      </c>
      <c r="S833" t="n">
        <v>39</v>
      </c>
      <c r="T833" t="n">
        <v>146</v>
      </c>
      <c r="U833" t="n">
        <v>6</v>
      </c>
      <c r="V833" t="n">
        <v>61</v>
      </c>
      <c r="W833" t="n">
        <v>0.142</v>
      </c>
      <c r="X833" t="n">
        <v>72</v>
      </c>
      <c r="Y833" t="n">
        <v>57</v>
      </c>
      <c r="Z833" t="n">
        <v>74</v>
      </c>
      <c r="AA833" t="n">
        <v>8</v>
      </c>
      <c r="AB833" t="n">
        <v>12.2</v>
      </c>
      <c r="AC833" t="inlineStr">
        <is>
          <t xml:space="preserve"> On-Piste Carving</t>
        </is>
      </c>
      <c r="AG833" t="inlineStr">
        <is>
          <t>Stockli Laser SC Skis 2023 w/MC11 bindings 170</t>
        </is>
      </c>
      <c r="AH833" t="inlineStr">
        <is>
          <t>Ski Depot RaceSkis.com</t>
        </is>
      </c>
      <c r="AI833" s="333" t="n">
        <v>1419</v>
      </c>
      <c r="AJ833" t="inlineStr">
        <is>
          <t>https://tinyurl.com/y7mtazea</t>
        </is>
      </c>
      <c r="AK833" t="inlineStr">
        <is>
          <t>2019 Laser SX Spd 1SP12 Ti GRN / 170</t>
        </is>
      </c>
      <c r="AL833" t="inlineStr">
        <is>
          <t>Sporthaus</t>
        </is>
      </c>
      <c r="AM833" s="333" t="n">
        <v>1489.95</v>
      </c>
      <c r="AN833" t="inlineStr">
        <is>
          <t>https://tinyurl.com/y9jtukgj</t>
        </is>
      </c>
      <c r="AO833" t="inlineStr">
        <is>
          <t>Stockli Laser SL Skis W SRT 12 Bindings 170cm 2022</t>
        </is>
      </c>
      <c r="AP833" t="inlineStr">
        <is>
          <t>Powder7 Ski Shop</t>
        </is>
      </c>
      <c r="AQ833" s="333" t="n">
        <v>1549</v>
      </c>
      <c r="AR833" t="inlineStr">
        <is>
          <t>https://tinyurl.com/ydhcaz8x</t>
        </is>
      </c>
      <c r="AS833" s="314">
        <f>IF(LEFT(C833,1)=" ",RIGHT(C833,LEN(C833)-1),C833)</f>
        <v/>
      </c>
      <c r="AT833" s="281">
        <f>_xlfn.CONCAT(B833,AS833,D833,E833)</f>
        <v/>
      </c>
    </row>
    <row r="834">
      <c r="A834" t="inlineStr">
        <is>
          <t>21/22</t>
        </is>
      </c>
      <c r="B834" t="inlineStr">
        <is>
          <t xml:space="preserve"> Salomon</t>
        </is>
      </c>
      <c r="C834" t="inlineStr">
        <is>
          <t>QST 98</t>
        </is>
      </c>
      <c r="D834" t="n">
        <v>169</v>
      </c>
      <c r="E834" t="inlineStr">
        <is>
          <t xml:space="preserve"> Unisex</t>
        </is>
      </c>
      <c r="F834" t="n">
        <v>169</v>
      </c>
      <c r="G834" t="n">
        <v>168.8</v>
      </c>
      <c r="H834" t="n">
        <v>94</v>
      </c>
      <c r="I834" t="n">
        <v>127</v>
      </c>
      <c r="J834" t="n">
        <v>130</v>
      </c>
      <c r="K834" t="n">
        <v>97</v>
      </c>
      <c r="L834" t="n">
        <v>118</v>
      </c>
      <c r="M834" t="n">
        <v>12.5</v>
      </c>
      <c r="N834" t="n">
        <v>1813</v>
      </c>
      <c r="O834" t="n">
        <v>1.01</v>
      </c>
      <c r="P834" t="n">
        <v>1839</v>
      </c>
      <c r="Q834" t="n">
        <v>159</v>
      </c>
      <c r="R834" t="n">
        <v>73</v>
      </c>
      <c r="S834" t="n">
        <v>58</v>
      </c>
      <c r="T834" t="n">
        <v>389</v>
      </c>
      <c r="U834" t="n">
        <v>32</v>
      </c>
      <c r="V834" t="n">
        <v>363</v>
      </c>
      <c r="W834" t="n">
        <v>0.541</v>
      </c>
      <c r="X834" t="n">
        <v>241</v>
      </c>
      <c r="Y834" t="n">
        <v>180</v>
      </c>
      <c r="Z834" t="n">
        <v>148</v>
      </c>
      <c r="AA834" t="n">
        <v>5</v>
      </c>
      <c r="AB834" t="n">
        <v>7.6</v>
      </c>
      <c r="AC834" t="inlineStr">
        <is>
          <t xml:space="preserve"> Resort Freeride</t>
        </is>
      </c>
      <c r="AG834" t="inlineStr">
        <is>
          <t>Salomon Skins QST 98 | Multi | Size: 169</t>
        </is>
      </c>
      <c r="AH834" t="inlineStr">
        <is>
          <t>Salomon.com</t>
        </is>
      </c>
      <c r="AI834" s="333" t="n">
        <v>189.99</v>
      </c>
      <c r="AJ834" t="inlineStr">
        <is>
          <t>https://tinyurl.com/y6uctty3</t>
        </is>
      </c>
      <c r="AK834" t="inlineStr">
        <is>
          <t>Salomon QST 98 Skis</t>
        </is>
      </c>
      <c r="AL834" t="inlineStr">
        <is>
          <t>sunandski.com</t>
        </is>
      </c>
      <c r="AM834" s="333" t="n">
        <v>479.93</v>
      </c>
      <c r="AN834" t="inlineStr">
        <is>
          <t>https://tinyurl.com/y7rrb9ch</t>
        </is>
      </c>
      <c r="AO834" t="inlineStr">
        <is>
          <t>Salomon QST 98 Skis</t>
        </is>
      </c>
      <c r="AP834" t="inlineStr">
        <is>
          <t>AlpineShopVT.com</t>
        </is>
      </c>
      <c r="AQ834" s="333" t="n">
        <v>479.96</v>
      </c>
      <c r="AR834" t="inlineStr">
        <is>
          <t>https://tinyurl.com/yag8wtlq</t>
        </is>
      </c>
      <c r="AS834" s="314">
        <f>IF(LEFT(C834,1)=" ",RIGHT(C834,LEN(C834)-1),C834)</f>
        <v/>
      </c>
      <c r="AT834" s="281">
        <f>_xlfn.CONCAT(B834,AS834,D834,E834)</f>
        <v/>
      </c>
    </row>
    <row r="835">
      <c r="A835" t="inlineStr">
        <is>
          <t>21/22</t>
        </is>
      </c>
      <c r="B835" t="inlineStr">
        <is>
          <t xml:space="preserve"> Dynastar</t>
        </is>
      </c>
      <c r="C835" t="inlineStr">
        <is>
          <t>M-Pro 99</t>
        </is>
      </c>
      <c r="D835" t="n">
        <v>186</v>
      </c>
      <c r="E835" t="inlineStr">
        <is>
          <t xml:space="preserve"> Unisex</t>
        </is>
      </c>
      <c r="F835" t="n">
        <v>186</v>
      </c>
      <c r="G835" t="n">
        <v>185.2</v>
      </c>
      <c r="H835" t="n">
        <v>136</v>
      </c>
      <c r="I835" t="n">
        <v>153</v>
      </c>
      <c r="J835" t="n">
        <v>126</v>
      </c>
      <c r="K835" t="n">
        <v>97</v>
      </c>
      <c r="L835" t="n">
        <v>116</v>
      </c>
      <c r="M835" t="n">
        <v>21.9</v>
      </c>
      <c r="N835" t="n">
        <v>2038</v>
      </c>
      <c r="O835" t="n">
        <v>0.97</v>
      </c>
      <c r="P835" t="n">
        <v>1973</v>
      </c>
      <c r="Q835" t="n">
        <v>275</v>
      </c>
      <c r="R835" t="n">
        <v>118</v>
      </c>
      <c r="S835" t="n">
        <v>61</v>
      </c>
      <c r="T835" t="n">
        <v>330</v>
      </c>
      <c r="U835" t="n">
        <v>16</v>
      </c>
      <c r="V835" t="n">
        <v>162</v>
      </c>
      <c r="W835" t="n">
        <v>0.271</v>
      </c>
      <c r="X835" t="n">
        <v>202</v>
      </c>
      <c r="Y835" t="n">
        <v>123</v>
      </c>
      <c r="Z835" t="n">
        <v>128</v>
      </c>
      <c r="AA835" t="n">
        <v>5</v>
      </c>
      <c r="AB835" t="n">
        <v>12.4</v>
      </c>
      <c r="AC835" t="inlineStr">
        <is>
          <t xml:space="preserve"> Resort Freeride</t>
        </is>
      </c>
      <c r="AG835" t="inlineStr">
        <is>
          <t>Dynastar M-Pro 99 Skis Â· 186 cm</t>
        </is>
      </c>
      <c r="AH835" t="inlineStr">
        <is>
          <t>evo.com</t>
        </is>
      </c>
      <c r="AI835" s="333" t="n">
        <v>559.96</v>
      </c>
      <c r="AJ835" t="inlineStr">
        <is>
          <t>https://tinyurl.com/yc253ps3</t>
        </is>
      </c>
      <c r="AK835" t="inlineStr">
        <is>
          <t>Dynastar M-Pro 99 Skis Â· 186 cm</t>
        </is>
      </c>
      <c r="AL835" t="inlineStr">
        <is>
          <t>Next Adventure</t>
        </is>
      </c>
      <c r="AM835" s="333" t="n">
        <v>559.96</v>
      </c>
      <c r="AN835" t="inlineStr">
        <is>
          <t>https://tinyurl.com/y8wpbjye</t>
        </is>
      </c>
      <c r="AO835" t="inlineStr">
        <is>
          <t>Dynastar M-Pro 99 Skis Â· 186 cm</t>
        </is>
      </c>
      <c r="AP835" t="inlineStr">
        <is>
          <t>Level Nine Sports</t>
        </is>
      </c>
      <c r="AQ835" s="333" t="n">
        <v>559.96</v>
      </c>
      <c r="AR835" t="inlineStr">
        <is>
          <t>https://tinyurl.com/y7urc7tu</t>
        </is>
      </c>
      <c r="AS835" s="314">
        <f>IF(LEFT(C835,1)=" ",RIGHT(C835,LEN(C835)-1),C835)</f>
        <v/>
      </c>
      <c r="AT835" s="281">
        <f>_xlfn.CONCAT(B835,AS835,D835,E835)</f>
        <v/>
      </c>
    </row>
    <row r="836">
      <c r="A836" t="inlineStr">
        <is>
          <t>21/22</t>
        </is>
      </c>
      <c r="B836" t="inlineStr">
        <is>
          <t xml:space="preserve"> Vï¿½lkl</t>
        </is>
      </c>
      <c r="C836" t="inlineStr">
        <is>
          <t>Revolt 121</t>
        </is>
      </c>
      <c r="D836" t="n">
        <v>177</v>
      </c>
      <c r="E836" t="inlineStr">
        <is>
          <t xml:space="preserve"> Unisex</t>
        </is>
      </c>
      <c r="F836" t="n">
        <v>177</v>
      </c>
      <c r="G836" t="n">
        <v>177.4</v>
      </c>
      <c r="H836" t="n">
        <v>82</v>
      </c>
      <c r="I836" t="n">
        <v>118</v>
      </c>
      <c r="J836" t="n">
        <v>141</v>
      </c>
      <c r="K836" t="n">
        <v>120</v>
      </c>
      <c r="L836" t="n">
        <v>133</v>
      </c>
      <c r="M836" t="n">
        <v>17.7</v>
      </c>
      <c r="N836" t="n">
        <v>2158</v>
      </c>
      <c r="O836" t="n">
        <v>1.04</v>
      </c>
      <c r="P836" t="n">
        <v>2242</v>
      </c>
      <c r="Q836" t="n">
        <v>193</v>
      </c>
      <c r="R836" t="n">
        <v>94</v>
      </c>
      <c r="S836" t="n">
        <v>77</v>
      </c>
      <c r="T836" t="n">
        <v>487</v>
      </c>
      <c r="U836" t="n">
        <v>45</v>
      </c>
      <c r="V836" t="n">
        <v>465</v>
      </c>
      <c r="W836" t="n">
        <v>0.585</v>
      </c>
      <c r="X836" t="n">
        <v>298</v>
      </c>
      <c r="Y836" t="n">
        <v>298</v>
      </c>
      <c r="Z836" t="n">
        <v>189</v>
      </c>
      <c r="AA836" t="n">
        <v>5</v>
      </c>
      <c r="AB836" t="n">
        <v>3.4</v>
      </c>
      <c r="AC836" t="inlineStr">
        <is>
          <t xml:space="preserve"> Powder</t>
        </is>
      </c>
      <c r="AG836" t="inlineStr">
        <is>
          <t>2021 Volkl Revolt 121 Skis</t>
        </is>
      </c>
      <c r="AH836" t="inlineStr">
        <is>
          <t>Powder7 Ski Shop</t>
        </is>
      </c>
      <c r="AI836" s="333" t="n">
        <v>519.9299999999999</v>
      </c>
      <c r="AJ836" t="inlineStr">
        <is>
          <t>https://tinyurl.com/yabf5pcw</t>
        </is>
      </c>
      <c r="AK836" t="inlineStr">
        <is>
          <t>2021 Volkl Revolt 121 Skis</t>
        </is>
      </c>
      <c r="AL836" t="inlineStr">
        <is>
          <t>evo.com</t>
        </is>
      </c>
      <c r="AM836" s="333" t="n">
        <v>519.99</v>
      </c>
      <c r="AN836" t="inlineStr">
        <is>
          <t>https://tinyurl.com/yc2yj2aw</t>
        </is>
      </c>
      <c r="AO836" t="inlineStr">
        <is>
          <t>2021 Volkl Revolt 121 Skis</t>
        </is>
      </c>
      <c r="AP836" t="inlineStr">
        <is>
          <t>Next Adventure</t>
        </is>
      </c>
      <c r="AQ836" s="333" t="n">
        <v>519.99</v>
      </c>
      <c r="AR836" t="inlineStr">
        <is>
          <t>https://tinyurl.com/y7yzrm8r</t>
        </is>
      </c>
      <c r="AS836" s="314">
        <f>IF(LEFT(C836,1)=" ",RIGHT(C836,LEN(C836)-1),C836)</f>
        <v/>
      </c>
      <c r="AT836" s="281">
        <f>_xlfn.CONCAT(B836,AS836,D836,E836)</f>
        <v/>
      </c>
    </row>
    <row r="837">
      <c r="A837" t="inlineStr">
        <is>
          <t>21/22</t>
        </is>
      </c>
      <c r="B837" t="inlineStr">
        <is>
          <t xml:space="preserve"> Black Crows</t>
        </is>
      </c>
      <c r="C837" t="inlineStr">
        <is>
          <t xml:space="preserve"> Justis</t>
        </is>
      </c>
      <c r="D837" t="n">
        <v>183.1</v>
      </c>
      <c r="E837" t="inlineStr">
        <is>
          <t xml:space="preserve"> Unisex</t>
        </is>
      </c>
      <c r="F837" t="n">
        <v>183.1</v>
      </c>
      <c r="G837" t="n">
        <v>182</v>
      </c>
      <c r="H837" t="n">
        <v>109</v>
      </c>
      <c r="I837" t="n">
        <v>163</v>
      </c>
      <c r="J837" t="n">
        <v>137</v>
      </c>
      <c r="K837" t="n">
        <v>98</v>
      </c>
      <c r="L837" t="n">
        <v>122</v>
      </c>
      <c r="M837" t="n">
        <v>20.8</v>
      </c>
      <c r="N837" t="n">
        <v>2045</v>
      </c>
      <c r="O837" t="n">
        <v>0.98</v>
      </c>
      <c r="P837" t="n">
        <v>1997</v>
      </c>
      <c r="Q837" t="n">
        <v>292</v>
      </c>
      <c r="R837" t="n">
        <v>134</v>
      </c>
      <c r="S837" t="n">
        <v>48</v>
      </c>
      <c r="T837" t="n">
        <v>428</v>
      </c>
      <c r="U837" t="n">
        <v>33</v>
      </c>
      <c r="V837" t="n">
        <v>299</v>
      </c>
      <c r="W837" t="n">
        <v>0.677</v>
      </c>
      <c r="X837" t="n">
        <v>107</v>
      </c>
      <c r="Y837" t="n">
        <v>86</v>
      </c>
      <c r="Z837" t="n">
        <v>321</v>
      </c>
      <c r="AA837" t="n">
        <v>3</v>
      </c>
      <c r="AB837" t="n">
        <v>8.300000000000001</v>
      </c>
      <c r="AC837" t="inlineStr">
        <is>
          <t xml:space="preserve"> Resort Freeride</t>
        </is>
      </c>
      <c r="AG837" t="inlineStr">
        <is>
          <t>Black Crows Justis Ski - 2022. 189cm /56226/</t>
        </is>
      </c>
      <c r="AH837" t="inlineStr">
        <is>
          <t>eBay - gearoutlet</t>
        </is>
      </c>
      <c r="AI837" s="333" t="n">
        <v>600</v>
      </c>
      <c r="AJ837" t="inlineStr">
        <is>
          <t>https://tinyurl.com/yctx2aaf</t>
        </is>
      </c>
      <c r="AK837" t="inlineStr">
        <is>
          <t>Black Crows Justis Skis - 2022</t>
        </is>
      </c>
      <c r="AL837" t="inlineStr">
        <is>
          <t>! OutdoorXL.com</t>
        </is>
      </c>
      <c r="AM837" s="333" t="n">
        <v>609.95</v>
      </c>
      <c r="AN837" t="inlineStr">
        <is>
          <t>https://tinyurl.com/yc5s4c89</t>
        </is>
      </c>
      <c r="AO837" t="inlineStr">
        <is>
          <t>Black Crows Justis Skis - 2022</t>
        </is>
      </c>
      <c r="AP837" t="inlineStr">
        <is>
          <t>Curated</t>
        </is>
      </c>
      <c r="AQ837" s="333" t="n">
        <v>767</v>
      </c>
      <c r="AR837" t="inlineStr">
        <is>
          <t>https://tinyurl.com/y79lsfuw</t>
        </is>
      </c>
      <c r="AS837" s="314">
        <f>IF(LEFT(C837,1)=" ",RIGHT(C837,LEN(C837)-1),C837)</f>
        <v/>
      </c>
      <c r="AT837" s="281">
        <f>_xlfn.CONCAT(B837,AS837,D837,E837)</f>
        <v/>
      </c>
    </row>
    <row r="838">
      <c r="A838" t="inlineStr">
        <is>
          <t>21/22</t>
        </is>
      </c>
      <c r="B838" t="inlineStr">
        <is>
          <t xml:space="preserve"> Rossignol</t>
        </is>
      </c>
      <c r="C838" t="inlineStr">
        <is>
          <t>Hero Elite ST Ti (R22)</t>
        </is>
      </c>
      <c r="D838" t="n">
        <v>162</v>
      </c>
      <c r="E838" t="inlineStr">
        <is>
          <t xml:space="preserve"> Unisex</t>
        </is>
      </c>
      <c r="F838" t="n">
        <v>162</v>
      </c>
      <c r="G838" t="n">
        <v>160.6</v>
      </c>
      <c r="H838" t="n">
        <v>140</v>
      </c>
      <c r="I838" t="n">
        <v>146</v>
      </c>
      <c r="J838" t="n">
        <v>121</v>
      </c>
      <c r="K838" t="n">
        <v>67</v>
      </c>
      <c r="L838" t="n">
        <v>102</v>
      </c>
      <c r="M838" t="n">
        <v>11.6</v>
      </c>
      <c r="N838" t="n">
        <v>2056</v>
      </c>
      <c r="O838" t="n">
        <v>0.66</v>
      </c>
      <c r="P838" t="n">
        <v>1348</v>
      </c>
      <c r="Q838" t="n">
        <v>197</v>
      </c>
      <c r="R838" t="n">
        <v>90</v>
      </c>
      <c r="S838" t="n">
        <v>39</v>
      </c>
      <c r="T838" t="n">
        <v>137</v>
      </c>
      <c r="U838" t="n">
        <v>4</v>
      </c>
      <c r="V838" t="n">
        <v>65</v>
      </c>
      <c r="W838" t="n">
        <v>0.111</v>
      </c>
      <c r="X838" t="n">
        <v>78</v>
      </c>
      <c r="Y838" t="n">
        <v>63</v>
      </c>
      <c r="Z838" t="n">
        <v>59</v>
      </c>
      <c r="AA838" t="n">
        <v>13</v>
      </c>
      <c r="AB838" t="n">
        <v>8.9</v>
      </c>
      <c r="AC838" t="inlineStr">
        <is>
          <t xml:space="preserve"> On-Piste Carving</t>
        </is>
      </c>
      <c r="AG838" t="inlineStr">
        <is>
          <t>Rossignol Unisex Racing Skis Hero Elite St Ti (R22)</t>
        </is>
      </c>
      <c r="AH838" t="inlineStr">
        <is>
          <t>eBay - asogear</t>
        </is>
      </c>
      <c r="AI838" s="333" t="n">
        <v>664.99</v>
      </c>
      <c r="AJ838" t="inlineStr">
        <is>
          <t>https://tinyurl.com/yc7m8g2b</t>
        </is>
      </c>
      <c r="AK838" t="inlineStr">
        <is>
          <t>Rossignol Hero Elite St Ti + SPX 14 Konect 21/22</t>
        </is>
      </c>
      <c r="AL838" t="inlineStr">
        <is>
          <t>Rossignol US</t>
        </is>
      </c>
      <c r="AM838" s="333" t="n">
        <v>1099.95</v>
      </c>
      <c r="AN838" t="inlineStr">
        <is>
          <t>https://tinyurl.com/y7wub4h9</t>
        </is>
      </c>
      <c r="AO838" t="inlineStr">
        <is>
          <t>Rossignol Hero Elite ST TI K/SPX14 K.GWB 162cm</t>
        </is>
      </c>
      <c r="AP838" t="inlineStr">
        <is>
          <t>Sundance Ski and Board Shop</t>
        </is>
      </c>
      <c r="AQ838" s="333" t="n">
        <v>721.3</v>
      </c>
      <c r="AR838" t="inlineStr">
        <is>
          <t>https://tinyurl.com/y7ng3dsk</t>
        </is>
      </c>
      <c r="AS838" s="314">
        <f>IF(LEFT(C838,1)=" ",RIGHT(C838,LEN(C838)-1),C838)</f>
        <v/>
      </c>
      <c r="AT838" s="281">
        <f>_xlfn.CONCAT(B838,AS838,D838,E838)</f>
        <v/>
      </c>
    </row>
    <row r="839">
      <c r="A839" t="inlineStr">
        <is>
          <t>21/22</t>
        </is>
      </c>
      <c r="B839" t="inlineStr">
        <is>
          <t xml:space="preserve"> Nordica</t>
        </is>
      </c>
      <c r="C839" t="inlineStr">
        <is>
          <t>Enforcer 104 Free</t>
        </is>
      </c>
      <c r="D839" t="n">
        <v>179</v>
      </c>
      <c r="E839" t="inlineStr">
        <is>
          <t xml:space="preserve"> Unisex</t>
        </is>
      </c>
      <c r="F839" t="n">
        <v>179</v>
      </c>
      <c r="G839" t="n">
        <v>178</v>
      </c>
      <c r="H839" t="n">
        <v>123</v>
      </c>
      <c r="I839" t="n">
        <v>148</v>
      </c>
      <c r="J839" t="n">
        <v>135</v>
      </c>
      <c r="K839" t="n">
        <v>103</v>
      </c>
      <c r="L839" t="n">
        <v>126</v>
      </c>
      <c r="M839" t="n">
        <v>17.3</v>
      </c>
      <c r="N839" t="n">
        <v>2115</v>
      </c>
      <c r="O839" t="n">
        <v>0.96</v>
      </c>
      <c r="P839" t="n">
        <v>2030</v>
      </c>
      <c r="Q839" t="n">
        <v>209</v>
      </c>
      <c r="R839" t="n">
        <v>131</v>
      </c>
      <c r="S839" t="n">
        <v>53</v>
      </c>
      <c r="T839" t="n">
        <v>304</v>
      </c>
      <c r="U839" t="n">
        <v>36</v>
      </c>
      <c r="V839" t="n">
        <v>248</v>
      </c>
      <c r="W839" t="n">
        <v>0.669</v>
      </c>
      <c r="X839" t="n">
        <v>150</v>
      </c>
      <c r="Y839" t="n">
        <v>148</v>
      </c>
      <c r="Z839" t="n">
        <v>155</v>
      </c>
      <c r="AA839" t="n">
        <v>7</v>
      </c>
      <c r="AB839" t="n">
        <v>9</v>
      </c>
      <c r="AC839" t="inlineStr">
        <is>
          <t xml:space="preserve"> Resort Freeride</t>
        </is>
      </c>
      <c r="AD839" t="inlineStr">
        <is>
          <t xml:space="preserve"> Powder</t>
        </is>
      </c>
      <c r="AG839" t="inlineStr">
        <is>
          <t>Nordica Enforcer 104 free GREY/BLUE/WHITE / 179cm</t>
        </is>
      </c>
      <c r="AH839" t="inlineStr">
        <is>
          <t>Sundance Ski and Board Shop</t>
        </is>
      </c>
      <c r="AI839" s="333" t="n">
        <v>561.01</v>
      </c>
      <c r="AJ839" t="inlineStr">
        <is>
          <t>https://tinyurl.com/yaw5lgdd</t>
        </is>
      </c>
      <c r="AK839" t="inlineStr">
        <is>
          <t>Nordica Enforcer 104 Free Skis 2022</t>
        </is>
      </c>
      <c r="AL839" t="inlineStr">
        <is>
          <t>sunandski.com</t>
        </is>
      </c>
      <c r="AM839" s="333" t="n">
        <v>639.9299999999999</v>
      </c>
      <c r="AN839" t="inlineStr">
        <is>
          <t>https://tinyurl.com/y7k4j4tr</t>
        </is>
      </c>
      <c r="AO839" t="inlineStr">
        <is>
          <t>Nordica Enforcer 104 Free Skis 2022</t>
        </is>
      </c>
      <c r="AP839" t="inlineStr">
        <is>
          <t>Powder7 Ski Shop</t>
        </is>
      </c>
      <c r="AQ839" s="333" t="n">
        <v>639.9299999999999</v>
      </c>
      <c r="AR839" t="inlineStr">
        <is>
          <t>https://tinyurl.com/yd3ttsrd</t>
        </is>
      </c>
      <c r="AS839" s="314">
        <f>IF(LEFT(C839,1)=" ",RIGHT(C839,LEN(C839)-1),C839)</f>
        <v/>
      </c>
      <c r="AT839" s="281">
        <f>_xlfn.CONCAT(B839,AS839,D839,E839)</f>
        <v/>
      </c>
    </row>
    <row r="840">
      <c r="A840" t="inlineStr">
        <is>
          <t>21/22</t>
        </is>
      </c>
      <c r="B840" t="inlineStr">
        <is>
          <t xml:space="preserve"> Atomic</t>
        </is>
      </c>
      <c r="C840" t="inlineStr">
        <is>
          <t>Maverick 83</t>
        </is>
      </c>
      <c r="D840" t="n">
        <v>181</v>
      </c>
      <c r="E840" t="inlineStr">
        <is>
          <t xml:space="preserve"> Unisex</t>
        </is>
      </c>
      <c r="F840" t="n">
        <v>181</v>
      </c>
      <c r="G840" t="n">
        <v>179.6</v>
      </c>
      <c r="H840" t="n">
        <v>151</v>
      </c>
      <c r="I840" t="n">
        <v>159</v>
      </c>
      <c r="J840" t="n">
        <v>123</v>
      </c>
      <c r="K840" t="n">
        <v>81</v>
      </c>
      <c r="L840" t="n">
        <v>107</v>
      </c>
      <c r="M840" t="n">
        <v>16.9</v>
      </c>
      <c r="N840" t="n">
        <v>2079</v>
      </c>
      <c r="O840" t="n">
        <v>0.82</v>
      </c>
      <c r="P840" t="n">
        <v>1704</v>
      </c>
      <c r="Q840" t="n">
        <v>213</v>
      </c>
      <c r="R840" t="n">
        <v>102</v>
      </c>
      <c r="S840" t="n">
        <v>42</v>
      </c>
      <c r="T840" t="n">
        <v>178</v>
      </c>
      <c r="U840" t="n">
        <v>21</v>
      </c>
      <c r="V840" t="n">
        <v>111</v>
      </c>
      <c r="W840" t="n">
        <v>0.495</v>
      </c>
      <c r="X840" t="n">
        <v>112</v>
      </c>
      <c r="Y840" t="n">
        <v>91</v>
      </c>
      <c r="Z840" t="n">
        <v>66</v>
      </c>
      <c r="AA840" t="n">
        <v>13</v>
      </c>
      <c r="AB840" t="n">
        <v>8.5</v>
      </c>
      <c r="AC840" t="inlineStr">
        <is>
          <t xml:space="preserve"> Resort Freeride</t>
        </is>
      </c>
      <c r="AG840" t="inlineStr">
        <is>
          <t>Atomic Maverick 83 R AW + M 10 GW Red/Grey / 181cm</t>
        </is>
      </c>
      <c r="AH840" t="inlineStr">
        <is>
          <t>Sundance Ski and Board Shop</t>
        </is>
      </c>
      <c r="AI840" s="333" t="n">
        <v>360.64</v>
      </c>
      <c r="AJ840" t="inlineStr">
        <is>
          <t>https://tinyurl.com/yb2ncxhd</t>
        </is>
      </c>
      <c r="AK840" t="inlineStr">
        <is>
          <t>Atomic Mens Maverick 83 R Skis with M10 Bindings</t>
        </is>
      </c>
      <c r="AL840" t="inlineStr">
        <is>
          <t>eBay - asogear</t>
        </is>
      </c>
      <c r="AM840" s="333" t="n">
        <v>389.99</v>
      </c>
      <c r="AN840" t="inlineStr">
        <is>
          <t>https://tinyurl.com/yarzzs36</t>
        </is>
      </c>
      <c r="AO840" t="inlineStr">
        <is>
          <t>Atomic Mens Maverick 83 R Skis with M10 Bindings</t>
        </is>
      </c>
      <c r="AP840" t="inlineStr">
        <is>
          <t>sunandski.com</t>
        </is>
      </c>
      <c r="AQ840" s="333" t="n">
        <v>399.93</v>
      </c>
      <c r="AR840" t="inlineStr">
        <is>
          <t>https://tinyurl.com/y928j4s8</t>
        </is>
      </c>
      <c r="AS840" s="314">
        <f>IF(LEFT(C840,1)=" ",RIGHT(C840,LEN(C840)-1),C840)</f>
        <v/>
      </c>
      <c r="AT840" s="281">
        <f>_xlfn.CONCAT(B840,AS840,D840,E840)</f>
        <v/>
      </c>
    </row>
    <row r="841">
      <c r="A841" t="inlineStr">
        <is>
          <t>21/22</t>
        </is>
      </c>
      <c r="B841" t="inlineStr">
        <is>
          <t xml:space="preserve"> Head</t>
        </is>
      </c>
      <c r="C841" t="inlineStr">
        <is>
          <t xml:space="preserve"> Pure Joy</t>
        </is>
      </c>
      <c r="D841" t="n">
        <v>153</v>
      </c>
      <c r="E841" t="inlineStr">
        <is>
          <t xml:space="preserve"> Women's</t>
        </is>
      </c>
      <c r="F841" t="n">
        <v>153</v>
      </c>
      <c r="G841" t="n">
        <v>152.1</v>
      </c>
      <c r="H841" t="n">
        <v>131</v>
      </c>
      <c r="I841" t="n">
        <v>136</v>
      </c>
      <c r="J841" t="n">
        <v>129</v>
      </c>
      <c r="K841" t="n">
        <v>72</v>
      </c>
      <c r="L841" t="n">
        <v>106</v>
      </c>
      <c r="M841" t="n">
        <v>10</v>
      </c>
      <c r="N841" t="n">
        <v>1635</v>
      </c>
      <c r="O841" t="n">
        <v>0.83</v>
      </c>
      <c r="P841" t="n">
        <v>1364</v>
      </c>
      <c r="Q841" t="n">
        <v>137</v>
      </c>
      <c r="R841" t="n">
        <v>66</v>
      </c>
      <c r="S841" t="n">
        <v>35</v>
      </c>
      <c r="T841" t="n">
        <v>139</v>
      </c>
      <c r="U841" t="n">
        <v>10</v>
      </c>
      <c r="V841" t="n">
        <v>69</v>
      </c>
      <c r="W841" t="n">
        <v>0.299</v>
      </c>
      <c r="X841" t="n">
        <v>103</v>
      </c>
      <c r="Y841" t="n">
        <v>53</v>
      </c>
      <c r="Z841" t="n">
        <v>36</v>
      </c>
      <c r="AA841" t="n">
        <v>11</v>
      </c>
      <c r="AB841" t="n">
        <v>11.4</v>
      </c>
      <c r="AC841" t="inlineStr">
        <is>
          <t xml:space="preserve"> On-Piste Carving</t>
        </is>
      </c>
      <c r="AD841" t="inlineStr">
        <is>
          <t xml:space="preserve"> On-Piste All-Mountain</t>
        </is>
      </c>
      <c r="AG841" t="inlineStr">
        <is>
          <t>15-16 Head Pure Joy  Women's Demo Skis W/bindings Size 153cm</t>
        </is>
      </c>
      <c r="AH841" t="inlineStr">
        <is>
          <t>eBay - demo-skis</t>
        </is>
      </c>
      <c r="AI841" s="333" t="n">
        <v>179</v>
      </c>
      <c r="AJ841" t="inlineStr">
        <is>
          <t>https://tinyurl.com/ya5ys64o</t>
        </is>
      </c>
      <c r="AK841" t="inlineStr">
        <is>
          <t xml:space="preserve"> 2015 Head Libra Pure Joy Demo Ski with Bindings Size 153 (Option 210958)</t>
        </is>
      </c>
      <c r="AL841" t="inlineStr">
        <is>
          <t>SidelineSwap</t>
        </is>
      </c>
      <c r="AM841" s="333" t="n">
        <v>322</v>
      </c>
      <c r="AN841" t="inlineStr">
        <is>
          <t>https://tinyurl.com/y8sk9vmo</t>
        </is>
      </c>
      <c r="AO841" t="inlineStr">
        <is>
          <t>18/19 Head Pure Joy 153cm,  Demo Ski, Slr 9 System Bindings,</t>
        </is>
      </c>
      <c r="AP841" t="inlineStr">
        <is>
          <t>eBay</t>
        </is>
      </c>
      <c r="AQ841" s="333" t="n">
        <v>329</v>
      </c>
      <c r="AR841" t="inlineStr">
        <is>
          <t>https://tinyurl.com/yawudgy8</t>
        </is>
      </c>
      <c r="AS841" s="314">
        <f>IF(LEFT(C841,1)=" ",RIGHT(C841,LEN(C841)-1),C841)</f>
        <v/>
      </c>
      <c r="AT841" s="281">
        <f>_xlfn.CONCAT(B841,AS841,D841,E841)</f>
        <v/>
      </c>
    </row>
    <row r="842">
      <c r="A842" t="inlineStr">
        <is>
          <t>21/22</t>
        </is>
      </c>
      <c r="B842" t="inlineStr">
        <is>
          <t xml:space="preserve"> Vï¿½lkl</t>
        </is>
      </c>
      <c r="C842" t="inlineStr">
        <is>
          <t xml:space="preserve"> Racetiger SL</t>
        </is>
      </c>
      <c r="D842" t="n">
        <v>155</v>
      </c>
      <c r="E842" t="inlineStr">
        <is>
          <t xml:space="preserve"> Unisex</t>
        </is>
      </c>
      <c r="F842" t="n">
        <v>155</v>
      </c>
      <c r="G842" t="n">
        <v>154.6</v>
      </c>
      <c r="H842" t="n">
        <v>130</v>
      </c>
      <c r="I842" t="n">
        <v>144</v>
      </c>
      <c r="J842" t="n">
        <v>126</v>
      </c>
      <c r="K842" t="n">
        <v>67</v>
      </c>
      <c r="L842" t="n">
        <v>102</v>
      </c>
      <c r="M842" t="n">
        <v>11</v>
      </c>
      <c r="N842" t="n">
        <v>1934</v>
      </c>
      <c r="O842" t="n">
        <v>0.68</v>
      </c>
      <c r="P842" t="n">
        <v>1306</v>
      </c>
      <c r="Q842" t="n">
        <v>190</v>
      </c>
      <c r="R842" t="n">
        <v>124</v>
      </c>
      <c r="S842" t="n">
        <v>43</v>
      </c>
      <c r="T842" t="n">
        <v>186</v>
      </c>
      <c r="U842" t="n">
        <v>6</v>
      </c>
      <c r="V842" t="n">
        <v>58</v>
      </c>
      <c r="W842" t="n">
        <v>0.133</v>
      </c>
      <c r="X842" t="n">
        <v>63</v>
      </c>
      <c r="Y842" t="n">
        <v>48</v>
      </c>
      <c r="Z842" t="n">
        <v>123</v>
      </c>
      <c r="AA842" t="n">
        <v>4</v>
      </c>
      <c r="AB842" t="n">
        <v>13.2</v>
      </c>
      <c r="AC842" t="inlineStr">
        <is>
          <t xml:space="preserve"> On-Piste Carving</t>
        </is>
      </c>
      <c r="AG842" t="inlineStr">
        <is>
          <t>Volkl RaceTiger SL R w/Plate &amp; UVO 155cm</t>
        </is>
      </c>
      <c r="AH842" t="inlineStr">
        <is>
          <t>Sundance Ski and Board Shop</t>
        </is>
      </c>
      <c r="AI842" s="333" t="n">
        <v>561.01</v>
      </c>
      <c r="AJ842" t="inlineStr">
        <is>
          <t>https://tinyurl.com/yarsod7y</t>
        </is>
      </c>
      <c r="AK842" t="inlineStr">
        <is>
          <t>Volkl Racetiger SL Yellow 155 Ski Lady's Men</t>
        </is>
      </c>
      <c r="AL842" t="inlineStr">
        <is>
          <t>! OutdoorXL.com</t>
        </is>
      </c>
      <c r="AM842" s="333" t="n">
        <v>759.95</v>
      </c>
      <c r="AN842" t="inlineStr">
        <is>
          <t>https://tinyurl.com/ycdacg87</t>
        </is>
      </c>
      <c r="AO842" t="inlineStr">
        <is>
          <t>Volkl Racetiger SL Yellow-Black 155 Ski Men</t>
        </is>
      </c>
      <c r="AP842" t="inlineStr">
        <is>
          <t>eBay - fun-sport-vision-shop</t>
        </is>
      </c>
      <c r="AQ842" s="333" t="n">
        <v>834.24</v>
      </c>
      <c r="AR842" t="inlineStr">
        <is>
          <t>https://tinyurl.com/yd4vrdj3</t>
        </is>
      </c>
      <c r="AS842" s="314">
        <f>IF(LEFT(C842,1)=" ",RIGHT(C842,LEN(C842)-1),C842)</f>
        <v/>
      </c>
      <c r="AT842" s="281">
        <f>_xlfn.CONCAT(B842,AS842,D842,E842)</f>
        <v/>
      </c>
    </row>
    <row r="843">
      <c r="A843" t="inlineStr">
        <is>
          <t>21/22</t>
        </is>
      </c>
      <c r="B843" t="inlineStr">
        <is>
          <t xml:space="preserve"> Dynastar</t>
        </is>
      </c>
      <c r="C843" t="inlineStr">
        <is>
          <t>E Lite 7</t>
        </is>
      </c>
      <c r="D843" t="n">
        <v>162</v>
      </c>
      <c r="E843" t="inlineStr">
        <is>
          <t xml:space="preserve"> Women's</t>
        </is>
      </c>
      <c r="F843" t="n">
        <v>162</v>
      </c>
      <c r="G843" t="n">
        <v>162.2</v>
      </c>
      <c r="H843" t="n">
        <v>141</v>
      </c>
      <c r="I843" t="n">
        <v>148</v>
      </c>
      <c r="J843" t="n">
        <v>123</v>
      </c>
      <c r="K843" t="n">
        <v>74</v>
      </c>
      <c r="L843" t="n">
        <v>109</v>
      </c>
      <c r="M843" t="n">
        <v>13</v>
      </c>
      <c r="N843" t="n">
        <v>1591</v>
      </c>
      <c r="O843" t="n">
        <v>0.91</v>
      </c>
      <c r="P843" t="n">
        <v>1445</v>
      </c>
      <c r="Q843" t="n">
        <v>170</v>
      </c>
      <c r="R843" t="n">
        <v>62</v>
      </c>
      <c r="S843" t="n">
        <v>43</v>
      </c>
      <c r="T843" t="n">
        <v>153</v>
      </c>
      <c r="U843" t="n">
        <v>4</v>
      </c>
      <c r="V843" t="n">
        <v>54</v>
      </c>
      <c r="W843" t="n">
        <v>0.102</v>
      </c>
      <c r="X843" t="n">
        <v>80</v>
      </c>
      <c r="Y843" t="n">
        <v>59</v>
      </c>
      <c r="Z843" t="n">
        <v>73</v>
      </c>
      <c r="AA843" t="n">
        <v>12</v>
      </c>
      <c r="AB843" t="n">
        <v>10.1</v>
      </c>
      <c r="AC843" t="inlineStr">
        <is>
          <t xml:space="preserve"> On-Piste Carving</t>
        </is>
      </c>
      <c r="AG843" t="inlineStr">
        <is>
          <t>Dynastar M-Pro 90 Skis 2022</t>
        </is>
      </c>
      <c r="AH843" t="inlineStr">
        <is>
          <t>Level Nine Sports</t>
        </is>
      </c>
      <c r="AI843" s="333" t="n">
        <v>479.96</v>
      </c>
      <c r="AJ843" t="inlineStr">
        <is>
          <t>https://tinyurl.com/y7dynh7a</t>
        </is>
      </c>
      <c r="AK843" t="inlineStr">
        <is>
          <t>Dynastar Speed 963 Konect+spx 12 Konect GW B80 Alpine Skis 162</t>
        </is>
      </c>
      <c r="AL843" t="inlineStr">
        <is>
          <t>eBay - asogear</t>
        </is>
      </c>
      <c r="AM843" s="333" t="n">
        <v>769.99</v>
      </c>
      <c r="AN843" t="inlineStr">
        <is>
          <t>https://tinyurl.com/y9v2h8wb</t>
        </is>
      </c>
      <c r="AO843" t="inlineStr">
        <is>
          <t>Dynastar Speed 963 Konect+spx 12 Konect GW B80 Alpine Skis 162</t>
        </is>
      </c>
      <c r="AP843" t="inlineStr">
        <is>
          <t>SkiEssentials.com</t>
        </is>
      </c>
      <c r="AQ843" s="333" t="n">
        <v>999.95</v>
      </c>
      <c r="AR843" t="inlineStr">
        <is>
          <t>https://tinyurl.com/y9g2cgbc</t>
        </is>
      </c>
      <c r="AS843" s="314">
        <f>IF(LEFT(C843,1)=" ",RIGHT(C843,LEN(C843)-1),C843)</f>
        <v/>
      </c>
      <c r="AT843" s="281">
        <f>_xlfn.CONCAT(B843,AS843,D843,E843)</f>
        <v/>
      </c>
    </row>
    <row r="844">
      <c r="A844" t="inlineStr">
        <is>
          <t>21/22</t>
        </is>
      </c>
      <c r="B844" t="inlineStr">
        <is>
          <t xml:space="preserve"> Vï¿½lkl</t>
        </is>
      </c>
      <c r="C844" t="inlineStr">
        <is>
          <t>Revolt 104</t>
        </is>
      </c>
      <c r="D844" t="n">
        <v>180</v>
      </c>
      <c r="E844" t="inlineStr">
        <is>
          <t xml:space="preserve"> Unisex</t>
        </is>
      </c>
      <c r="F844" t="n">
        <v>180</v>
      </c>
      <c r="G844" t="n">
        <v>179.9</v>
      </c>
      <c r="H844" t="n">
        <v>96</v>
      </c>
      <c r="I844" t="n">
        <v>142</v>
      </c>
      <c r="J844" t="n">
        <v>131</v>
      </c>
      <c r="K844" t="n">
        <v>103</v>
      </c>
      <c r="L844" t="n">
        <v>121</v>
      </c>
      <c r="M844" t="n">
        <v>20.4</v>
      </c>
      <c r="N844" t="n">
        <v>1958</v>
      </c>
      <c r="O844" t="n">
        <v>1.03</v>
      </c>
      <c r="P844" t="n">
        <v>2014</v>
      </c>
      <c r="Q844" t="n">
        <v>168</v>
      </c>
      <c r="R844" t="n">
        <v>82</v>
      </c>
      <c r="S844" t="n">
        <v>56</v>
      </c>
      <c r="T844" t="n">
        <v>462</v>
      </c>
      <c r="U844" t="n">
        <v>39</v>
      </c>
      <c r="V844" t="n">
        <v>374</v>
      </c>
      <c r="W844" t="n">
        <v>0.704</v>
      </c>
      <c r="X844" t="n">
        <v>172</v>
      </c>
      <c r="Y844" t="n">
        <v>209</v>
      </c>
      <c r="Z844" t="n">
        <v>290</v>
      </c>
      <c r="AA844" t="n">
        <v>5</v>
      </c>
      <c r="AB844" t="n">
        <v>1.6</v>
      </c>
      <c r="AC844" t="inlineStr">
        <is>
          <t xml:space="preserve"> Resort Freeride</t>
        </is>
      </c>
      <c r="AD844" t="inlineStr">
        <is>
          <t xml:space="preserve"> Powder</t>
        </is>
      </c>
      <c r="AG844" t="inlineStr">
        <is>
          <t>Volkl Revolt 104 180cm</t>
        </is>
      </c>
      <c r="AH844" t="inlineStr">
        <is>
          <t>Sundance Ski and Board Shop</t>
        </is>
      </c>
      <c r="AI844" s="333" t="n">
        <v>440.79</v>
      </c>
      <c r="AJ844" t="inlineStr">
        <is>
          <t>https://tinyurl.com/y8b7tu6j</t>
        </is>
      </c>
      <c r="AK844" t="inlineStr">
        <is>
          <t>Skis Volkl Revolt 104</t>
        </is>
      </c>
      <c r="AL844" t="inlineStr">
        <is>
          <t>eBay - david110549</t>
        </is>
      </c>
      <c r="AM844" s="333" t="n">
        <v>479.99</v>
      </c>
      <c r="AN844" t="inlineStr">
        <is>
          <t>https://tinyurl.com/ybuzfnwd</t>
        </is>
      </c>
      <c r="AO844" t="inlineStr">
        <is>
          <t>Skis Volkl Revolt 104</t>
        </is>
      </c>
      <c r="AP844" t="inlineStr">
        <is>
          <t>Next Adventure</t>
        </is>
      </c>
      <c r="AQ844" s="333" t="n">
        <v>479.99</v>
      </c>
      <c r="AR844" t="inlineStr">
        <is>
          <t>https://tinyurl.com/ycyrv7o8</t>
        </is>
      </c>
      <c r="AS844" s="314">
        <f>IF(LEFT(C844,1)=" ",RIGHT(C844,LEN(C844)-1),C844)</f>
        <v/>
      </c>
      <c r="AT844" s="281">
        <f>_xlfn.CONCAT(B844,AS844,D844,E844)</f>
        <v/>
      </c>
    </row>
    <row r="845">
      <c r="A845" t="inlineStr">
        <is>
          <t>21/22</t>
        </is>
      </c>
      <c r="B845" t="inlineStr">
        <is>
          <t xml:space="preserve"> Blizzard</t>
        </is>
      </c>
      <c r="C845" t="inlineStr">
        <is>
          <t xml:space="preserve"> Thunderbird Sport Ti</t>
        </is>
      </c>
      <c r="D845" t="n">
        <v>170</v>
      </c>
      <c r="E845" t="inlineStr">
        <is>
          <t xml:space="preserve"> Unisex</t>
        </is>
      </c>
      <c r="F845" t="n">
        <v>170</v>
      </c>
      <c r="G845" t="n">
        <v>169.1</v>
      </c>
      <c r="H845" t="n">
        <v>148</v>
      </c>
      <c r="I845" t="n">
        <v>157</v>
      </c>
      <c r="J845" t="n">
        <v>124</v>
      </c>
      <c r="K845" t="n">
        <v>76</v>
      </c>
      <c r="L845" t="n">
        <v>104</v>
      </c>
      <c r="M845" t="n">
        <v>15.5</v>
      </c>
      <c r="N845" t="n">
        <v>1971</v>
      </c>
      <c r="O845" t="n">
        <v>0.77</v>
      </c>
      <c r="P845" t="n">
        <v>1521</v>
      </c>
      <c r="Q845" t="n">
        <v>234</v>
      </c>
      <c r="R845" t="n">
        <v>110</v>
      </c>
      <c r="S845" t="n">
        <v>41</v>
      </c>
      <c r="T845" t="n">
        <v>163</v>
      </c>
      <c r="U845" t="n">
        <v>5</v>
      </c>
      <c r="V845" t="n">
        <v>51</v>
      </c>
      <c r="W845" t="n">
        <v>0.131</v>
      </c>
      <c r="X845" t="n">
        <v>71</v>
      </c>
      <c r="Y845" t="n">
        <v>55</v>
      </c>
      <c r="Z845" t="n">
        <v>93</v>
      </c>
      <c r="AA845" t="n">
        <v>6</v>
      </c>
      <c r="AB845" t="n">
        <v>12.1</v>
      </c>
      <c r="AC845" t="inlineStr">
        <is>
          <t xml:space="preserve"> On-Piste Carving</t>
        </is>
      </c>
      <c r="AG845" t="inlineStr">
        <is>
          <t>2022 Blizzard Thunderbird Sport R14 Ca Skis +tpc 11 Bindings 170 Cm</t>
        </is>
      </c>
      <c r="AH845" t="inlineStr">
        <is>
          <t>eBay - suburbansports</t>
        </is>
      </c>
      <c r="AI845" s="333" t="n">
        <v>499.99</v>
      </c>
      <c r="AJ845" t="inlineStr">
        <is>
          <t>https://tinyurl.com/yaeygf9d</t>
        </is>
      </c>
      <c r="AK845" t="inlineStr">
        <is>
          <t>Blizzard Thunderbird Sport CA Skis w/ TPC 11 Bindings</t>
        </is>
      </c>
      <c r="AL845" t="inlineStr">
        <is>
          <t>The-House.com</t>
        </is>
      </c>
      <c r="AM845" s="333" t="n">
        <v>599.95</v>
      </c>
      <c r="AN845" t="inlineStr">
        <is>
          <t>https://tinyurl.com/ya2ycl5r</t>
        </is>
      </c>
      <c r="AO845" t="inlineStr">
        <is>
          <t>Blizzard Thunderbird R15 Ski with TPX 12 Binding - Size 170 - 8A1034AH001</t>
        </is>
      </c>
      <c r="AP845" t="inlineStr">
        <is>
          <t>Ski Country Sports</t>
        </is>
      </c>
      <c r="AQ845" s="333" t="n">
        <v>755.98</v>
      </c>
      <c r="AR845" t="inlineStr">
        <is>
          <t>https://tinyurl.com/y9g5u6sg</t>
        </is>
      </c>
      <c r="AS845" s="314">
        <f>IF(LEFT(C845,1)=" ",RIGHT(C845,LEN(C845)-1),C845)</f>
        <v/>
      </c>
      <c r="AT845" s="281">
        <f>_xlfn.CONCAT(B845,AS845,D845,E845)</f>
        <v/>
      </c>
    </row>
    <row r="846">
      <c r="A846" t="inlineStr">
        <is>
          <t>21/22</t>
        </is>
      </c>
      <c r="B846" t="inlineStr">
        <is>
          <t xml:space="preserve"> Dynastar</t>
        </is>
      </c>
      <c r="C846" t="inlineStr">
        <is>
          <t>M-Tour 87 Ca</t>
        </is>
      </c>
      <c r="D846" t="n">
        <v>171</v>
      </c>
      <c r="E846" t="inlineStr">
        <is>
          <t xml:space="preserve"> Unisex</t>
        </is>
      </c>
      <c r="F846" t="n">
        <v>171</v>
      </c>
      <c r="G846" t="n">
        <v>170.5</v>
      </c>
      <c r="H846" t="n">
        <v>130</v>
      </c>
      <c r="I846" t="n">
        <v>127</v>
      </c>
      <c r="J846" t="n">
        <v>127</v>
      </c>
      <c r="K846" t="n">
        <v>86</v>
      </c>
      <c r="L846" t="n">
        <v>103</v>
      </c>
      <c r="M846" t="n">
        <v>13.8</v>
      </c>
      <c r="N846" t="n">
        <v>1250</v>
      </c>
      <c r="O846" t="n">
        <v>1.34</v>
      </c>
      <c r="P846" t="n">
        <v>1673</v>
      </c>
      <c r="Q846" t="n">
        <v>223</v>
      </c>
      <c r="R846" t="n">
        <v>66</v>
      </c>
      <c r="S846" t="n">
        <v>74</v>
      </c>
      <c r="T846" t="n">
        <v>353</v>
      </c>
      <c r="U846" t="n">
        <v>4</v>
      </c>
      <c r="V846" t="n">
        <v>49</v>
      </c>
      <c r="W846" t="n">
        <v>0.048</v>
      </c>
      <c r="X846" t="n">
        <v>198</v>
      </c>
      <c r="Y846" t="n">
        <v>240</v>
      </c>
      <c r="Z846" t="n">
        <v>154</v>
      </c>
      <c r="AA846" t="n">
        <v>5</v>
      </c>
      <c r="AB846" t="n">
        <v>11.8</v>
      </c>
      <c r="AC846" t="inlineStr">
        <is>
          <t xml:space="preserve"> Touring</t>
        </is>
      </c>
      <c r="AD846" t="inlineStr">
        <is>
          <t xml:space="preserve"> Ultralight Touring</t>
        </is>
      </c>
      <c r="AG846" t="inlineStr">
        <is>
          <t>Dynastar M-Tour 87 CA Ski 2022</t>
        </is>
      </c>
      <c r="AH846" t="inlineStr">
        <is>
          <t>Telemark Pyrenees</t>
        </is>
      </c>
      <c r="AI846" s="333" t="n">
        <v>384.97</v>
      </c>
      <c r="AJ846" t="inlineStr">
        <is>
          <t>https://tinyurl.com/y8oohnzs</t>
        </is>
      </c>
      <c r="AK846" t="inlineStr">
        <is>
          <t>Dynastar M-Tour 87 CA Ski Only Skis, 171cm Black/Blue 2022</t>
        </is>
      </c>
      <c r="AL846" t="inlineStr">
        <is>
          <t>Absolute-Snow.co.uk</t>
        </is>
      </c>
      <c r="AM846" s="333" t="n">
        <v>585.96</v>
      </c>
      <c r="AN846" t="inlineStr">
        <is>
          <t>https://tinyurl.com/ybskqtl7</t>
        </is>
      </c>
      <c r="AO846" t="inlineStr">
        <is>
          <t>18-19 Dynastar Legend X 96  Men's Demo Skis W/bindings Size 171cm</t>
        </is>
      </c>
      <c r="AP846" t="inlineStr">
        <is>
          <t>eBay - demo-skis</t>
        </is>
      </c>
      <c r="AQ846" s="333" t="n">
        <v>399</v>
      </c>
      <c r="AR846" t="inlineStr">
        <is>
          <t>https://tinyurl.com/y8cfj3lw</t>
        </is>
      </c>
      <c r="AS846" s="314">
        <f>IF(LEFT(C846,1)=" ",RIGHT(C846,LEN(C846)-1),C846)</f>
        <v/>
      </c>
      <c r="AT846" s="281">
        <f>_xlfn.CONCAT(B846,AS846,D846,E846)</f>
        <v/>
      </c>
    </row>
    <row r="847">
      <c r="A847" t="inlineStr">
        <is>
          <t>21/22</t>
        </is>
      </c>
      <c r="B847" t="inlineStr">
        <is>
          <t xml:space="preserve"> Atomic</t>
        </is>
      </c>
      <c r="C847" t="inlineStr">
        <is>
          <t xml:space="preserve"> Bent Chetler JR</t>
        </is>
      </c>
      <c r="D847" t="n">
        <v>150</v>
      </c>
      <c r="E847" t="inlineStr">
        <is>
          <t xml:space="preserve"> Junior</t>
        </is>
      </c>
      <c r="F847" t="n">
        <v>150</v>
      </c>
      <c r="G847" t="n">
        <v>149.8</v>
      </c>
      <c r="H847" t="n">
        <v>118</v>
      </c>
      <c r="I847" t="n">
        <v>131</v>
      </c>
      <c r="J847" t="n">
        <v>121</v>
      </c>
      <c r="K847" t="n">
        <v>83</v>
      </c>
      <c r="L847" t="n">
        <v>110</v>
      </c>
      <c r="M847" t="n">
        <v>12.9</v>
      </c>
      <c r="N847" t="n">
        <v>1631</v>
      </c>
      <c r="O847" t="n">
        <v>0.87</v>
      </c>
      <c r="P847" t="n">
        <v>1427</v>
      </c>
      <c r="Q847" t="n">
        <v>137</v>
      </c>
      <c r="R847" t="n">
        <v>63</v>
      </c>
      <c r="S847" t="n">
        <v>41</v>
      </c>
      <c r="T847" t="n">
        <v>182</v>
      </c>
      <c r="U847" t="n">
        <v>29</v>
      </c>
      <c r="V847" t="n">
        <v>133</v>
      </c>
      <c r="W847" t="n">
        <v>0.699</v>
      </c>
      <c r="X847" t="n">
        <v>89</v>
      </c>
      <c r="Y847" t="n">
        <v>98</v>
      </c>
      <c r="Z847" t="n">
        <v>93</v>
      </c>
      <c r="AA847" t="n">
        <v>7</v>
      </c>
      <c r="AB847" t="n">
        <v>5</v>
      </c>
      <c r="AC847" t="inlineStr">
        <is>
          <t xml:space="preserve"> Resort Freeride</t>
        </is>
      </c>
      <c r="AG847" t="inlineStr">
        <is>
          <t>Atomic Bent Chetler Jr Skis 2022</t>
        </is>
      </c>
      <c r="AH847" t="inlineStr">
        <is>
          <t>Curated</t>
        </is>
      </c>
      <c r="AI847" s="333" t="n">
        <v>207.99</v>
      </c>
      <c r="AJ847" t="inlineStr">
        <is>
          <t>https://tinyurl.com/ybpq3xdx</t>
        </is>
      </c>
      <c r="AK847" t="inlineStr">
        <is>
          <t>Atomic Bent Chetler Jr Skis 2022</t>
        </is>
      </c>
      <c r="AL847" t="inlineStr">
        <is>
          <t>evo.com</t>
        </is>
      </c>
      <c r="AM847" s="333" t="n">
        <v>233.99</v>
      </c>
      <c r="AN847" t="inlineStr">
        <is>
          <t>https://tinyurl.com/y8hkbazq</t>
        </is>
      </c>
      <c r="AO847" t="inlineStr">
        <is>
          <t>Bent Chetler Jr Ski - 2022 - Kids' Grey, 150cm - Excellent</t>
        </is>
      </c>
      <c r="AP847" t="inlineStr">
        <is>
          <t>Geartrade.com</t>
        </is>
      </c>
      <c r="AQ847" s="333" t="n">
        <v>153.64</v>
      </c>
      <c r="AR847" t="inlineStr">
        <is>
          <t>https://tinyurl.com/ybtsg33k</t>
        </is>
      </c>
      <c r="AS847" s="314">
        <f>IF(LEFT(C847,1)=" ",RIGHT(C847,LEN(C847)-1),C847)</f>
        <v/>
      </c>
      <c r="AT847" s="281">
        <f>_xlfn.CONCAT(B847,AS847,D847,E847)</f>
        <v/>
      </c>
    </row>
    <row r="848">
      <c r="A848" t="inlineStr">
        <is>
          <t>21/22</t>
        </is>
      </c>
      <c r="B848" t="inlineStr">
        <is>
          <t xml:space="preserve"> Vï¿½lkl</t>
        </is>
      </c>
      <c r="C848" t="inlineStr">
        <is>
          <t>Secret 96</t>
        </is>
      </c>
      <c r="D848" t="n">
        <v>170</v>
      </c>
      <c r="E848" t="inlineStr">
        <is>
          <t xml:space="preserve"> Women's</t>
        </is>
      </c>
      <c r="F848" t="n">
        <v>170</v>
      </c>
      <c r="G848" t="n">
        <v>170.8</v>
      </c>
      <c r="H848" t="n">
        <v>123</v>
      </c>
      <c r="I848" t="n">
        <v>147</v>
      </c>
      <c r="J848" t="n">
        <v>134</v>
      </c>
      <c r="K848" t="n">
        <v>95</v>
      </c>
      <c r="L848" t="n">
        <v>118</v>
      </c>
      <c r="M848" t="n">
        <v>16.7</v>
      </c>
      <c r="N848" t="n">
        <v>1931</v>
      </c>
      <c r="O848" t="n">
        <v>0.95</v>
      </c>
      <c r="P848" t="n">
        <v>1838</v>
      </c>
      <c r="Q848" t="n">
        <v>203</v>
      </c>
      <c r="R848" t="n">
        <v>140</v>
      </c>
      <c r="S848" t="n">
        <v>44</v>
      </c>
      <c r="T848" t="n">
        <v>290</v>
      </c>
      <c r="U848" t="n">
        <v>17</v>
      </c>
      <c r="V848" t="n">
        <v>192</v>
      </c>
      <c r="W848" t="n">
        <v>0.386</v>
      </c>
      <c r="X848" t="n">
        <v>129</v>
      </c>
      <c r="Y848" t="n">
        <v>106</v>
      </c>
      <c r="Z848" t="n">
        <v>161</v>
      </c>
      <c r="AA848" t="n">
        <v>2</v>
      </c>
      <c r="AB848" t="n">
        <v>11.7</v>
      </c>
      <c r="AC848" t="inlineStr">
        <is>
          <t xml:space="preserve"> Resort Freeride</t>
        </is>
      </c>
      <c r="AG848" t="inlineStr">
        <is>
          <t>Secret 96 Flat 21/22 w/o Binding/Brake</t>
        </is>
      </c>
      <c r="AH848" t="inlineStr">
        <is>
          <t>Bobleisure</t>
        </is>
      </c>
      <c r="AI848" s="333" t="n">
        <v>555.4400000000001</v>
      </c>
      <c r="AJ848" t="inlineStr">
        <is>
          <t>https://tinyurl.com/ybok65mm</t>
        </is>
      </c>
      <c r="AK848" t="inlineStr">
        <is>
          <t>Volkl Secret 96 Skis - Women's 2022</t>
        </is>
      </c>
      <c r="AL848" t="inlineStr">
        <is>
          <t>ColoradoSkiShop.com</t>
        </is>
      </c>
      <c r="AM848" s="333" t="n">
        <v>559.99</v>
      </c>
      <c r="AN848" t="inlineStr">
        <is>
          <t>https://tinyurl.com/ybhx2zs2</t>
        </is>
      </c>
      <c r="AO848" t="inlineStr">
        <is>
          <t>Volkl Secret 96 Skis - Women's 2022</t>
        </is>
      </c>
      <c r="AP848" t="inlineStr">
        <is>
          <t>BlueZone Sports</t>
        </is>
      </c>
      <c r="AQ848" s="333" t="n">
        <v>599.99</v>
      </c>
      <c r="AR848" t="inlineStr">
        <is>
          <t>https://tinyurl.com/yb8e4zbc</t>
        </is>
      </c>
      <c r="AS848" s="314">
        <f>IF(LEFT(C848,1)=" ",RIGHT(C848,LEN(C848)-1),C848)</f>
        <v/>
      </c>
      <c r="AT848" s="281">
        <f>_xlfn.CONCAT(B848,AS848,D848,E848)</f>
        <v/>
      </c>
    </row>
    <row r="849">
      <c r="A849" t="inlineStr">
        <is>
          <t>21/22</t>
        </is>
      </c>
      <c r="B849" t="inlineStr">
        <is>
          <t xml:space="preserve"> Head</t>
        </is>
      </c>
      <c r="C849" t="inlineStr">
        <is>
          <t>Kore 111</t>
        </is>
      </c>
      <c r="D849" t="n">
        <v>177</v>
      </c>
      <c r="E849" t="inlineStr">
        <is>
          <t xml:space="preserve"> Unisex</t>
        </is>
      </c>
      <c r="F849" t="n">
        <v>177</v>
      </c>
      <c r="G849" t="n">
        <v>176.5</v>
      </c>
      <c r="H849" t="n">
        <v>123</v>
      </c>
      <c r="I849" t="n">
        <v>137</v>
      </c>
      <c r="J849" t="n">
        <v>137</v>
      </c>
      <c r="K849" t="n">
        <v>108</v>
      </c>
      <c r="L849" t="n">
        <v>124</v>
      </c>
      <c r="M849" t="n">
        <v>19.8</v>
      </c>
      <c r="N849" t="n">
        <v>1737</v>
      </c>
      <c r="O849" t="n">
        <v>1.2</v>
      </c>
      <c r="P849" t="n">
        <v>2077</v>
      </c>
      <c r="Q849" t="n">
        <v>288</v>
      </c>
      <c r="R849" t="n">
        <v>124</v>
      </c>
      <c r="S849" t="n">
        <v>56</v>
      </c>
      <c r="T849" t="n">
        <v>281</v>
      </c>
      <c r="U849" t="n">
        <v>20</v>
      </c>
      <c r="V849" t="n">
        <v>259</v>
      </c>
      <c r="W849" t="n">
        <v>0.358</v>
      </c>
      <c r="X849" t="n">
        <v>241</v>
      </c>
      <c r="Y849" t="n">
        <v>156</v>
      </c>
      <c r="Z849" t="n">
        <v>40</v>
      </c>
      <c r="AA849" t="n">
        <v>5</v>
      </c>
      <c r="AB849" t="n">
        <v>8.5</v>
      </c>
      <c r="AC849" t="inlineStr">
        <is>
          <t xml:space="preserve"> Powder</t>
        </is>
      </c>
      <c r="AD849" t="inlineStr">
        <is>
          <t xml:space="preserve"> Big Mountain</t>
        </is>
      </c>
      <c r="AE849" t="inlineStr">
        <is>
          <t xml:space="preserve"> Touring</t>
        </is>
      </c>
      <c r="AG849" t="inlineStr">
        <is>
          <t>Head Kore 111 Skis - 2022</t>
        </is>
      </c>
      <c r="AH849" t="inlineStr">
        <is>
          <t>! OutdoorXL.com</t>
        </is>
      </c>
      <c r="AI849" s="333" t="n">
        <v>424.95</v>
      </c>
      <c r="AJ849" t="inlineStr">
        <is>
          <t>https://tinyurl.com/y8yoxltr</t>
        </is>
      </c>
      <c r="AK849" t="inlineStr">
        <is>
          <t>Head Kore 111 Skis - 2022</t>
        </is>
      </c>
      <c r="AL849" t="inlineStr">
        <is>
          <t>Telemark Pyrenees</t>
        </is>
      </c>
      <c r="AM849" s="333" t="n">
        <v>430.82</v>
      </c>
      <c r="AN849" t="inlineStr">
        <is>
          <t>https://tinyurl.com/yc3ft3d3</t>
        </is>
      </c>
      <c r="AO849" t="inlineStr">
        <is>
          <t>Head Kore 111 Skis - 2022</t>
        </is>
      </c>
      <c r="AP849" t="inlineStr">
        <is>
          <t>Gorham Bike and Ski</t>
        </is>
      </c>
      <c r="AQ849" s="333" t="n">
        <v>524.99</v>
      </c>
      <c r="AR849" t="inlineStr">
        <is>
          <t>https://tinyurl.com/yc56fgny</t>
        </is>
      </c>
      <c r="AS849" s="314">
        <f>IF(LEFT(C849,1)=" ",RIGHT(C849,LEN(C849)-1),C849)</f>
        <v/>
      </c>
      <c r="AT849" s="281">
        <f>_xlfn.CONCAT(B849,AS849,D849,E849)</f>
        <v/>
      </c>
    </row>
    <row r="850">
      <c r="A850" t="inlineStr">
        <is>
          <t>21/22</t>
        </is>
      </c>
      <c r="B850" t="inlineStr">
        <is>
          <t xml:space="preserve"> Nordica</t>
        </is>
      </c>
      <c r="C850" t="inlineStr">
        <is>
          <t>Enforcer 94</t>
        </is>
      </c>
      <c r="D850" t="n">
        <v>165</v>
      </c>
      <c r="E850" t="inlineStr">
        <is>
          <t xml:space="preserve"> Unisex</t>
        </is>
      </c>
      <c r="F850" t="n">
        <v>165</v>
      </c>
      <c r="G850" t="n">
        <v>164.6</v>
      </c>
      <c r="H850" t="n">
        <v>118</v>
      </c>
      <c r="I850" t="n">
        <v>135</v>
      </c>
      <c r="J850" t="n">
        <v>126</v>
      </c>
      <c r="K850" t="n">
        <v>92</v>
      </c>
      <c r="L850" t="n">
        <v>112</v>
      </c>
      <c r="M850" t="n">
        <v>15.3</v>
      </c>
      <c r="N850" t="n">
        <v>1927</v>
      </c>
      <c r="O850" t="n">
        <v>0.88</v>
      </c>
      <c r="P850" t="n">
        <v>1701</v>
      </c>
      <c r="Q850" t="n">
        <v>196</v>
      </c>
      <c r="R850" t="n">
        <v>138</v>
      </c>
      <c r="S850" t="n">
        <v>53</v>
      </c>
      <c r="T850" t="n">
        <v>280</v>
      </c>
      <c r="U850" t="n">
        <v>12</v>
      </c>
      <c r="V850" t="n">
        <v>190</v>
      </c>
      <c r="W850" t="n">
        <v>0.226</v>
      </c>
      <c r="X850" t="n">
        <v>142</v>
      </c>
      <c r="Y850" t="n">
        <v>154</v>
      </c>
      <c r="Z850" t="n">
        <v>138</v>
      </c>
      <c r="AA850" t="n">
        <v>6</v>
      </c>
      <c r="AB850" t="n">
        <v>8.4</v>
      </c>
      <c r="AC850" t="inlineStr">
        <is>
          <t xml:space="preserve"> Resort Freeride</t>
        </is>
      </c>
      <c r="AG850" t="inlineStr">
        <is>
          <t>Nordica Enforcer 94 Skis 2021/22</t>
        </is>
      </c>
      <c r="AH850" t="inlineStr">
        <is>
          <t>Bahnhof Sport</t>
        </is>
      </c>
      <c r="AI850" s="333" t="n">
        <v>699.99</v>
      </c>
      <c r="AJ850" t="inlineStr">
        <is>
          <t>https://tinyurl.com/ya4s7bzx</t>
        </is>
      </c>
      <c r="AK850" t="inlineStr">
        <is>
          <t>Nordica Enforcer 94 Skis 165cm 2023</t>
        </is>
      </c>
      <c r="AL850" t="inlineStr">
        <is>
          <t>Powder7 Ski Shop</t>
        </is>
      </c>
      <c r="AM850" s="333" t="n">
        <v>749.99</v>
      </c>
      <c r="AN850" t="inlineStr">
        <is>
          <t>https://tinyurl.com/y7sdbk9m</t>
        </is>
      </c>
      <c r="AO850" t="inlineStr">
        <is>
          <t>Nordica Enforcer 94 Unlimited Skis</t>
        </is>
      </c>
      <c r="AP850" t="inlineStr">
        <is>
          <t>REI</t>
        </is>
      </c>
      <c r="AQ850" s="333" t="n">
        <v>799.95</v>
      </c>
      <c r="AR850" t="inlineStr">
        <is>
          <t>https://tinyurl.com/y8cwcgcz</t>
        </is>
      </c>
      <c r="AS850" s="314">
        <f>IF(LEFT(C850,1)=" ",RIGHT(C850,LEN(C850)-1),C850)</f>
        <v/>
      </c>
      <c r="AT850" s="281">
        <f>_xlfn.CONCAT(B850,AS850,D850,E850)</f>
        <v/>
      </c>
    </row>
    <row r="851">
      <c r="A851" t="inlineStr">
        <is>
          <t>21/22</t>
        </is>
      </c>
      <c r="B851" t="inlineStr">
        <is>
          <t>K2</t>
        </is>
      </c>
      <c r="C851" t="inlineStr">
        <is>
          <t>Mindbender 106 C Alliance</t>
        </is>
      </c>
      <c r="D851" t="n">
        <v>159</v>
      </c>
      <c r="E851" t="inlineStr">
        <is>
          <t xml:space="preserve"> Women's</t>
        </is>
      </c>
      <c r="F851" t="n">
        <v>159</v>
      </c>
      <c r="G851" t="n">
        <v>159.8</v>
      </c>
      <c r="H851" t="n">
        <v>101</v>
      </c>
      <c r="I851" t="n">
        <v>121</v>
      </c>
      <c r="J851" t="n">
        <v>139</v>
      </c>
      <c r="K851" t="n">
        <v>105</v>
      </c>
      <c r="L851" t="n">
        <v>123</v>
      </c>
      <c r="M851" t="n">
        <v>13.5</v>
      </c>
      <c r="N851" t="n">
        <v>1535</v>
      </c>
      <c r="O851" t="n">
        <v>1.2</v>
      </c>
      <c r="P851" t="n">
        <v>1847</v>
      </c>
      <c r="Q851" t="n">
        <v>142</v>
      </c>
      <c r="R851" t="n">
        <v>67</v>
      </c>
      <c r="S851" t="n">
        <v>47</v>
      </c>
      <c r="T851" t="n">
        <v>329</v>
      </c>
      <c r="U851" t="n">
        <v>25</v>
      </c>
      <c r="V851" t="n">
        <v>263</v>
      </c>
      <c r="W851" t="n">
        <v>0.537</v>
      </c>
      <c r="X851" t="n">
        <v>190</v>
      </c>
      <c r="Y851" t="n">
        <v>196</v>
      </c>
      <c r="Z851" t="n">
        <v>139</v>
      </c>
      <c r="AA851" t="n">
        <v>7</v>
      </c>
      <c r="AB851" t="n">
        <v>9.199999999999999</v>
      </c>
      <c r="AC851" t="inlineStr">
        <is>
          <t xml:space="preserve"> Powder</t>
        </is>
      </c>
      <c r="AD851" t="inlineStr">
        <is>
          <t xml:space="preserve"> Touring</t>
        </is>
      </c>
      <c r="AG851" t="inlineStr">
        <is>
          <t>K2 Mindbender 106C Alliance Skis Women's 2022</t>
        </is>
      </c>
      <c r="AH851" t="inlineStr">
        <is>
          <t>! OutdoorXL.com</t>
        </is>
      </c>
      <c r="AI851" s="333" t="n">
        <v>464.95</v>
      </c>
      <c r="AJ851" t="inlineStr">
        <is>
          <t>https://tinyurl.com/ybsrx4qe</t>
        </is>
      </c>
      <c r="AK851" t="inlineStr">
        <is>
          <t>K2 Mindbender 106C Alliance Skis Women's 2022</t>
        </is>
      </c>
      <c r="AL851" t="inlineStr">
        <is>
          <t>Powder7 Ski Shop</t>
        </is>
      </c>
      <c r="AM851" s="333" t="n">
        <v>599.95</v>
      </c>
      <c r="AN851" t="inlineStr">
        <is>
          <t>https://tinyurl.com/ya6hyd2t</t>
        </is>
      </c>
      <c r="AO851" t="inlineStr">
        <is>
          <t>K2 Mindbender 106C Alliance Skis Women's 2022</t>
        </is>
      </c>
      <c r="AP851" t="inlineStr">
        <is>
          <t>evo.com</t>
        </is>
      </c>
      <c r="AQ851" s="333" t="n">
        <v>599.95</v>
      </c>
      <c r="AR851" t="inlineStr">
        <is>
          <t>https://tinyurl.com/y96usocy</t>
        </is>
      </c>
      <c r="AS851" s="314">
        <f>IF(LEFT(C851,1)=" ",RIGHT(C851,LEN(C851)-1),C851)</f>
        <v/>
      </c>
      <c r="AT851" s="281">
        <f>_xlfn.CONCAT(B851,AS851,D851,E851)</f>
        <v/>
      </c>
    </row>
    <row r="852">
      <c r="A852" t="inlineStr">
        <is>
          <t>21/22</t>
        </is>
      </c>
      <c r="B852" t="inlineStr">
        <is>
          <t xml:space="preserve"> Nordica</t>
        </is>
      </c>
      <c r="C852" t="inlineStr">
        <is>
          <t>Spitfire 70 Pro</t>
        </is>
      </c>
      <c r="D852" t="n">
        <v>160</v>
      </c>
      <c r="E852" t="inlineStr">
        <is>
          <t xml:space="preserve"> Unisex</t>
        </is>
      </c>
      <c r="F852" t="n">
        <v>160</v>
      </c>
      <c r="G852" t="n">
        <v>159.2</v>
      </c>
      <c r="H852" t="n">
        <v>141</v>
      </c>
      <c r="I852" t="n">
        <v>148</v>
      </c>
      <c r="J852" t="n">
        <v>117</v>
      </c>
      <c r="K852" t="n">
        <v>69</v>
      </c>
      <c r="L852" t="n">
        <v>98</v>
      </c>
      <c r="M852" t="n">
        <v>14.2</v>
      </c>
      <c r="N852" t="n">
        <v>1892</v>
      </c>
      <c r="O852" t="n">
        <v>0.7</v>
      </c>
      <c r="P852" t="n">
        <v>1328</v>
      </c>
      <c r="Q852" t="n">
        <v>168</v>
      </c>
      <c r="R852" t="n">
        <v>103</v>
      </c>
      <c r="S852" t="n">
        <v>36</v>
      </c>
      <c r="T852" t="n">
        <v>131</v>
      </c>
      <c r="U852" t="n">
        <v>6</v>
      </c>
      <c r="V852" t="n">
        <v>52</v>
      </c>
      <c r="W852" t="n">
        <v>0.174</v>
      </c>
      <c r="X852" t="n">
        <v>63</v>
      </c>
      <c r="Y852" t="n">
        <v>45</v>
      </c>
      <c r="Z852" t="n">
        <v>68</v>
      </c>
      <c r="AA852" t="n">
        <v>8</v>
      </c>
      <c r="AB852" t="n">
        <v>12.6</v>
      </c>
      <c r="AC852" t="inlineStr">
        <is>
          <t xml:space="preserve"> On-Piste Carving</t>
        </is>
      </c>
      <c r="AS852" s="314">
        <f>IF(LEFT(C852,1)=" ",RIGHT(C852,LEN(C852)-1),C852)</f>
        <v/>
      </c>
      <c r="AT852" s="281">
        <f>_xlfn.CONCAT(B852,AS852,D852,E852)</f>
        <v/>
      </c>
    </row>
    <row r="853">
      <c r="A853" t="inlineStr">
        <is>
          <t>21/22</t>
        </is>
      </c>
      <c r="B853" t="inlineStr">
        <is>
          <t xml:space="preserve"> Nordica</t>
        </is>
      </c>
      <c r="C853" t="inlineStr">
        <is>
          <t>Soul Rider 87</t>
        </is>
      </c>
      <c r="D853" t="n">
        <v>185</v>
      </c>
      <c r="E853" t="inlineStr">
        <is>
          <t xml:space="preserve"> Unisex</t>
        </is>
      </c>
      <c r="F853" t="n">
        <v>185</v>
      </c>
      <c r="G853" t="n">
        <v>185</v>
      </c>
      <c r="H853" t="n">
        <v>147</v>
      </c>
      <c r="I853" t="n">
        <v>160</v>
      </c>
      <c r="J853" t="n">
        <v>124</v>
      </c>
      <c r="K853" t="n">
        <v>86</v>
      </c>
      <c r="L853" t="n">
        <v>114</v>
      </c>
      <c r="M853" t="n">
        <v>18.5</v>
      </c>
      <c r="N853" t="n">
        <v>2107</v>
      </c>
      <c r="O853" t="n">
        <v>0.86</v>
      </c>
      <c r="P853" t="n">
        <v>1819</v>
      </c>
      <c r="Q853" t="n">
        <v>239</v>
      </c>
      <c r="R853" t="n">
        <v>106</v>
      </c>
      <c r="S853" t="n">
        <v>50</v>
      </c>
      <c r="T853" t="n">
        <v>180</v>
      </c>
      <c r="U853" t="n">
        <v>59</v>
      </c>
      <c r="V853" t="n">
        <v>203</v>
      </c>
      <c r="W853" t="n">
        <v>1.19</v>
      </c>
      <c r="X853" t="n">
        <v>98</v>
      </c>
      <c r="Y853" t="n">
        <v>152</v>
      </c>
      <c r="Z853" t="n">
        <v>83</v>
      </c>
      <c r="AA853" t="n">
        <v>11</v>
      </c>
      <c r="AB853" t="n">
        <v>5.9</v>
      </c>
      <c r="AC853" t="inlineStr">
        <is>
          <t xml:space="preserve"> Freeski</t>
        </is>
      </c>
      <c r="AG853" t="inlineStr">
        <is>
          <t>Nordica Soul Rider 87 Skis 2022 185</t>
        </is>
      </c>
      <c r="AH853" t="inlineStr">
        <is>
          <t>Buyr.com</t>
        </is>
      </c>
      <c r="AI853" s="333" t="n">
        <v>499.99</v>
      </c>
      <c r="AJ853" t="inlineStr">
        <is>
          <t>https://tinyurl.com/yabb6feb</t>
        </is>
      </c>
      <c r="AK853" t="inlineStr">
        <is>
          <t>Nordica Soul Rider 97 Skis 2022 185cm</t>
        </is>
      </c>
      <c r="AL853" t="inlineStr">
        <is>
          <t>Glacier Ski Shop</t>
        </is>
      </c>
      <c r="AM853" s="333" t="n">
        <v>539</v>
      </c>
      <c r="AN853" t="inlineStr">
        <is>
          <t>https://tinyurl.com/ybremp74</t>
        </is>
      </c>
      <c r="AO853" t="inlineStr">
        <is>
          <t>2021 Nordica Soul Rider 97 Twin Tip Snow Skis 185</t>
        </is>
      </c>
      <c r="AP853" t="inlineStr">
        <is>
          <t>The Pro Shop</t>
        </is>
      </c>
      <c r="AQ853" s="333" t="n">
        <v>599</v>
      </c>
      <c r="AR853" t="inlineStr">
        <is>
      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      </is>
      </c>
      <c r="AS853" s="314">
        <f>IF(LEFT(C853,1)=" ",RIGHT(C853,LEN(C853)-1),C853)</f>
        <v/>
      </c>
      <c r="AT853" s="281">
        <f>_xlfn.CONCAT(B853,AS853,D853,E853)</f>
        <v/>
      </c>
    </row>
    <row r="854">
      <c r="A854" t="inlineStr">
        <is>
          <t>21/22</t>
        </is>
      </c>
      <c r="B854" t="inlineStr">
        <is>
          <t xml:space="preserve"> Salomon</t>
        </is>
      </c>
      <c r="C854" t="inlineStr">
        <is>
          <t xml:space="preserve"> QST Blank</t>
        </is>
      </c>
      <c r="D854" t="n">
        <v>186</v>
      </c>
      <c r="E854" t="inlineStr">
        <is>
          <t xml:space="preserve"> Unisex</t>
        </is>
      </c>
      <c r="F854" t="n">
        <v>186</v>
      </c>
      <c r="G854" t="n">
        <v>185.2</v>
      </c>
      <c r="H854" t="n">
        <v>86</v>
      </c>
      <c r="I854" t="n">
        <v>139</v>
      </c>
      <c r="J854" t="n">
        <v>137</v>
      </c>
      <c r="K854" t="n">
        <v>111</v>
      </c>
      <c r="L854" t="n">
        <v>126</v>
      </c>
      <c r="M854" t="n">
        <v>17.9</v>
      </c>
      <c r="N854" t="n">
        <v>2172</v>
      </c>
      <c r="O854" t="n">
        <v>1.03</v>
      </c>
      <c r="P854" t="n">
        <v>2237</v>
      </c>
      <c r="Q854" t="n">
        <v>227</v>
      </c>
      <c r="R854" t="n">
        <v>111</v>
      </c>
      <c r="S854" t="n">
        <v>62</v>
      </c>
      <c r="T854" t="n">
        <v>489</v>
      </c>
      <c r="U854" t="n">
        <v>33</v>
      </c>
      <c r="V854" t="n">
        <v>500</v>
      </c>
      <c r="W854" t="n">
        <v>0.544</v>
      </c>
      <c r="X854" t="n">
        <v>209</v>
      </c>
      <c r="Y854" t="n">
        <v>256</v>
      </c>
      <c r="Z854" t="n">
        <v>280</v>
      </c>
      <c r="AA854" t="n">
        <v>3</v>
      </c>
      <c r="AB854" t="n">
        <v>8.5</v>
      </c>
      <c r="AC854" t="inlineStr">
        <is>
          <t xml:space="preserve"> Powder</t>
        </is>
      </c>
      <c r="AG854" t="inlineStr">
        <is>
          <t>Salomon N QST Blank Skis - 2022 186cm / White/Light Grey</t>
        </is>
      </c>
      <c r="AH854" t="inlineStr">
        <is>
          <t>Glacier Ski Shop</t>
        </is>
      </c>
      <c r="AI854" s="333" t="n">
        <v>674</v>
      </c>
      <c r="AJ854" t="inlineStr">
        <is>
          <t>https://tinyurl.com/y7pc765g</t>
        </is>
      </c>
      <c r="AK854" t="inlineStr">
        <is>
          <t>Salomon Qst Blank Skis 2022 186cm</t>
        </is>
      </c>
      <c r="AL854" t="inlineStr">
        <is>
          <t>eBay</t>
        </is>
      </c>
      <c r="AM854" s="333" t="n">
        <v>679.99</v>
      </c>
      <c r="AN854" t="inlineStr">
        <is>
          <t>https://tinyurl.com/y7rv39kd</t>
        </is>
      </c>
      <c r="AO854" t="inlineStr">
        <is>
          <t>Salomon QST Blank White/Light Grey / 186cm</t>
        </is>
      </c>
      <c r="AP854" t="inlineStr">
        <is>
          <t>Sundance Ski and Board Shop</t>
        </is>
      </c>
      <c r="AQ854" s="333" t="n">
        <v>681.22</v>
      </c>
      <c r="AR854" t="inlineStr">
        <is>
          <t>https://tinyurl.com/yavgpb4d</t>
        </is>
      </c>
      <c r="AS854" s="314">
        <f>IF(LEFT(C854,1)=" ",RIGHT(C854,LEN(C854)-1),C854)</f>
        <v/>
      </c>
      <c r="AT854" s="281">
        <f>_xlfn.CONCAT(B854,AS854,D854,E854)</f>
        <v/>
      </c>
    </row>
    <row r="855">
      <c r="A855" t="inlineStr">
        <is>
          <t>21/22</t>
        </is>
      </c>
      <c r="B855" t="inlineStr">
        <is>
          <t xml:space="preserve"> Armada</t>
        </is>
      </c>
      <c r="C855" t="inlineStr">
        <is>
          <t>Trace 98</t>
        </is>
      </c>
      <c r="D855" t="n">
        <v>156</v>
      </c>
      <c r="E855" t="inlineStr">
        <is>
          <t xml:space="preserve"> Women's</t>
        </is>
      </c>
      <c r="F855" t="n">
        <v>156</v>
      </c>
      <c r="G855" t="n">
        <v>155.7</v>
      </c>
      <c r="H855" t="n">
        <v>116</v>
      </c>
      <c r="I855" t="n">
        <v>129</v>
      </c>
      <c r="J855" t="n">
        <v>124</v>
      </c>
      <c r="K855" t="n">
        <v>97</v>
      </c>
      <c r="L855" t="n">
        <v>117</v>
      </c>
      <c r="M855" t="n">
        <v>16.2</v>
      </c>
      <c r="N855" t="n">
        <v>1337</v>
      </c>
      <c r="O855" t="n">
        <v>1.23</v>
      </c>
      <c r="P855" t="n">
        <v>1645</v>
      </c>
      <c r="Q855" t="n">
        <v>133</v>
      </c>
      <c r="R855" t="n">
        <v>78</v>
      </c>
      <c r="S855" t="n">
        <v>37</v>
      </c>
      <c r="T855" t="n">
        <v>240</v>
      </c>
      <c r="U855" t="n">
        <v>16</v>
      </c>
      <c r="V855" t="n">
        <v>153</v>
      </c>
      <c r="W855" t="n">
        <v>0.432</v>
      </c>
      <c r="X855" t="n">
        <v>165</v>
      </c>
      <c r="Y855" t="n">
        <v>103</v>
      </c>
      <c r="Z855" t="n">
        <v>74</v>
      </c>
      <c r="AA855" t="n">
        <v>5</v>
      </c>
      <c r="AB855" t="n">
        <v>9</v>
      </c>
      <c r="AC855" t="inlineStr">
        <is>
          <t xml:space="preserve"> Resort Freeride</t>
        </is>
      </c>
      <c r="AD855" t="inlineStr">
        <is>
          <t xml:space="preserve"> Touring</t>
        </is>
      </c>
      <c r="AG855" t="inlineStr">
        <is>
          <t>Armada Trace 98 Skis - Women's 2022</t>
        </is>
      </c>
      <c r="AH855" t="inlineStr">
        <is>
          <t>Curated</t>
        </is>
      </c>
      <c r="AI855" s="333" t="n">
        <v>559</v>
      </c>
      <c r="AJ855" t="inlineStr">
        <is>
          <t>https://tinyurl.com/y97qram9</t>
        </is>
      </c>
      <c r="AK855" t="inlineStr">
        <is>
          <t>Armada Trace 98 Skis - Women's 2022</t>
        </is>
      </c>
      <c r="AL855" t="inlineStr">
        <is>
          <t>REI</t>
        </is>
      </c>
      <c r="AM855" s="333" t="n">
        <v>559.9299999999999</v>
      </c>
      <c r="AN855" t="inlineStr">
        <is>
          <t>https://tinyurl.com/y8else2n</t>
        </is>
      </c>
      <c r="AO855" t="inlineStr">
        <is>
          <t>Armada Trace 98 Skis - Women's 2022</t>
        </is>
      </c>
      <c r="AP855" t="inlineStr">
        <is>
          <t>SkiEssentials.com</t>
        </is>
      </c>
      <c r="AQ855" s="333" t="n">
        <v>559.96</v>
      </c>
      <c r="AR855" t="inlineStr">
        <is>
          <t>https://tinyurl.com/ybuwd9b4</t>
        </is>
      </c>
      <c r="AS855" s="314">
        <f>IF(LEFT(C855,1)=" ",RIGHT(C855,LEN(C855)-1),C855)</f>
        <v/>
      </c>
      <c r="AT855" s="281">
        <f>_xlfn.CONCAT(B855,AS855,D855,E855)</f>
        <v/>
      </c>
    </row>
    <row r="856">
      <c r="A856" t="inlineStr">
        <is>
          <t>21/22</t>
        </is>
      </c>
      <c r="B856" t="inlineStr">
        <is>
          <t xml:space="preserve"> Elan</t>
        </is>
      </c>
      <c r="C856" t="inlineStr">
        <is>
          <t>Ripstick 106</t>
        </is>
      </c>
      <c r="D856" t="n">
        <v>188</v>
      </c>
      <c r="E856" t="inlineStr">
        <is>
          <t xml:space="preserve"> Unisex</t>
        </is>
      </c>
      <c r="F856" t="n">
        <v>188</v>
      </c>
      <c r="G856" t="n">
        <v>184.7</v>
      </c>
      <c r="H856" t="n">
        <v>134</v>
      </c>
      <c r="I856" t="n">
        <v>150</v>
      </c>
      <c r="J856" t="n">
        <v>143</v>
      </c>
      <c r="K856" t="n">
        <v>104</v>
      </c>
      <c r="L856" t="n">
        <v>119</v>
      </c>
      <c r="M856" t="n">
        <v>20.3</v>
      </c>
      <c r="N856" t="n">
        <v>1959</v>
      </c>
      <c r="O856" t="n">
        <v>1.09</v>
      </c>
      <c r="P856" t="n">
        <v>2136</v>
      </c>
      <c r="Q856" t="n">
        <v>290</v>
      </c>
      <c r="R856" t="n">
        <v>109</v>
      </c>
      <c r="S856" t="n">
        <v>49</v>
      </c>
      <c r="T856" t="n">
        <v>235</v>
      </c>
      <c r="U856" t="n">
        <v>18</v>
      </c>
      <c r="V856" t="n">
        <v>274</v>
      </c>
      <c r="W856" t="n">
        <v>0.361</v>
      </c>
      <c r="X856" t="n">
        <v>179</v>
      </c>
      <c r="Y856" t="n">
        <v>173</v>
      </c>
      <c r="Z856" t="n">
        <v>55</v>
      </c>
      <c r="AA856" t="n">
        <v>4</v>
      </c>
      <c r="AB856" t="n">
        <v>10.3</v>
      </c>
      <c r="AC856" t="inlineStr">
        <is>
          <t xml:space="preserve"> Resort Freeride</t>
        </is>
      </c>
      <c r="AD856" t="inlineStr">
        <is>
          <t xml:space="preserve"> Powder</t>
        </is>
      </c>
      <c r="AE856" t="inlineStr">
        <is>
          <t xml:space="preserve"> Big Mountain</t>
        </is>
      </c>
      <c r="AF856" t="inlineStr">
        <is>
          <t xml:space="preserve"> Touring</t>
        </is>
      </c>
      <c r="AG856" t="inlineStr">
        <is>
          <t>Elan Ripstick 106 Skis</t>
        </is>
      </c>
      <c r="AH856" t="inlineStr">
        <is>
          <t>Gorham Bike and Ski</t>
        </is>
      </c>
      <c r="AI856" s="333" t="n">
        <v>489.99</v>
      </c>
      <c r="AJ856" t="inlineStr">
        <is>
          <t>https://tinyurl.com/ybdbkyg6</t>
        </is>
      </c>
      <c r="AK856" t="inlineStr">
        <is>
          <t>Elan Ripstick 106 Flat Ski 2020-2021 | BLUE YEL / 188</t>
        </is>
      </c>
      <c r="AL856" t="inlineStr">
        <is>
          <t>Ski Pro  - Snow Ski &amp; Snowboard</t>
        </is>
      </c>
      <c r="AM856" s="333" t="n">
        <v>499.95</v>
      </c>
      <c r="AN856" t="inlineStr">
        <is>
          <t>https://tinyurl.com/yb7zkzfl</t>
        </is>
      </c>
      <c r="AO856" t="inlineStr">
        <is>
          <t>Elan Ripstick 106 Skis 2022</t>
        </is>
      </c>
      <c r="AP856" t="inlineStr">
        <is>
          <t>Level Nine Sports</t>
        </is>
      </c>
      <c r="AQ856" s="333" t="n">
        <v>524.99</v>
      </c>
      <c r="AR856" t="inlineStr">
        <is>
          <t>https://tinyurl.com/ybppsnm8</t>
        </is>
      </c>
      <c r="AS856" s="314">
        <f>IF(LEFT(C856,1)=" ",RIGHT(C856,LEN(C856)-1),C856)</f>
        <v/>
      </c>
      <c r="AT856" s="281">
        <f>_xlfn.CONCAT(B856,AS856,D856,E856)</f>
        <v/>
      </c>
    </row>
    <row r="857">
      <c r="A857" t="inlineStr">
        <is>
          <t>21/22</t>
        </is>
      </c>
      <c r="B857" t="inlineStr">
        <is>
          <t xml:space="preserve"> Icelantic</t>
        </is>
      </c>
      <c r="C857" t="inlineStr">
        <is>
          <t>Riveter 95</t>
        </is>
      </c>
      <c r="D857" t="n">
        <v>155</v>
      </c>
      <c r="E857" t="inlineStr">
        <is>
          <t xml:space="preserve"> Women's</t>
        </is>
      </c>
      <c r="F857" t="n">
        <v>155</v>
      </c>
      <c r="G857" t="n">
        <v>154.2</v>
      </c>
      <c r="H857" t="n">
        <v>98</v>
      </c>
      <c r="I857" t="n">
        <v>125</v>
      </c>
      <c r="J857" t="n">
        <v>130</v>
      </c>
      <c r="K857" t="n">
        <v>95</v>
      </c>
      <c r="L857" t="n">
        <v>117</v>
      </c>
      <c r="M857" t="n">
        <v>13.1</v>
      </c>
      <c r="N857" t="n">
        <v>1500</v>
      </c>
      <c r="O857" t="n">
        <v>1.09</v>
      </c>
      <c r="P857" t="n">
        <v>1641</v>
      </c>
      <c r="Q857" t="n">
        <v>165</v>
      </c>
      <c r="R857" t="n">
        <v>70</v>
      </c>
      <c r="S857" t="n">
        <v>56</v>
      </c>
      <c r="T857" t="n">
        <v>322</v>
      </c>
      <c r="U857" t="n">
        <v>18</v>
      </c>
      <c r="V857" t="n">
        <v>239</v>
      </c>
      <c r="W857" t="n">
        <v>0.314</v>
      </c>
      <c r="X857" t="n">
        <v>187</v>
      </c>
      <c r="Y857" t="n">
        <v>109</v>
      </c>
      <c r="Z857" t="n">
        <v>135</v>
      </c>
      <c r="AA857" t="n">
        <v>4</v>
      </c>
      <c r="AB857" t="n">
        <v>8.199999999999999</v>
      </c>
      <c r="AC857" t="inlineStr">
        <is>
          <t xml:space="preserve"> Resort Freeride</t>
        </is>
      </c>
      <c r="AD857" t="inlineStr">
        <is>
          <t xml:space="preserve"> Touring</t>
        </is>
      </c>
      <c r="AG857" t="inlineStr">
        <is>
          <t>Icelantic Riveter 95 Women's Skis Â· 2022 Â· 155 cm</t>
        </is>
      </c>
      <c r="AH857" t="inlineStr">
        <is>
          <t>Curated</t>
        </is>
      </c>
      <c r="AI857" s="333" t="n">
        <v>509</v>
      </c>
      <c r="AJ857" t="inlineStr">
        <is>
          <t>https://tinyurl.com/yawoehjq</t>
        </is>
      </c>
      <c r="AK857" t="inlineStr">
        <is>
          <t>Icelantic Riveter 95 Skis - Women's 2022 155cm</t>
        </is>
      </c>
      <c r="AL857" t="inlineStr">
        <is>
          <t>Glacier Ski Shop</t>
        </is>
      </c>
      <c r="AM857" s="333" t="n">
        <v>509</v>
      </c>
      <c r="AN857" t="inlineStr">
        <is>
          <t>https://tinyurl.com/yar5hfkg</t>
        </is>
      </c>
      <c r="AO857" t="inlineStr">
        <is>
          <t>Icelantic Riveter 95 Women's Skis Â· 2022 Â· 155 cm</t>
        </is>
      </c>
      <c r="AP857" t="inlineStr">
        <is>
          <t>Teton Wasatch Ski Co.</t>
        </is>
      </c>
      <c r="AQ857" s="333" t="n">
        <v>509</v>
      </c>
      <c r="AR857" t="inlineStr">
        <is>
          <t>https://tinyurl.com/y8gx2b27</t>
        </is>
      </c>
      <c r="AS857" s="314">
        <f>IF(LEFT(C857,1)=" ",RIGHT(C857,LEN(C857)-1),C857)</f>
        <v/>
      </c>
      <c r="AT857" s="281">
        <f>_xlfn.CONCAT(B857,AS857,D857,E857)</f>
        <v/>
      </c>
    </row>
    <row r="858">
      <c r="A858" t="inlineStr">
        <is>
          <t>21/22</t>
        </is>
      </c>
      <c r="B858" t="inlineStr">
        <is>
          <t xml:space="preserve"> Faction</t>
        </is>
      </c>
      <c r="C858" t="inlineStr">
        <is>
          <t>Dictator 1.0</t>
        </is>
      </c>
      <c r="D858" t="n">
        <v>178</v>
      </c>
      <c r="E858" t="inlineStr">
        <is>
          <t xml:space="preserve"> Unisex</t>
        </is>
      </c>
      <c r="F858" t="n">
        <v>178</v>
      </c>
      <c r="G858" t="n">
        <v>176.4</v>
      </c>
      <c r="H858" t="n">
        <v>135</v>
      </c>
      <c r="I858" t="n">
        <v>151</v>
      </c>
      <c r="J858" t="n">
        <v>119</v>
      </c>
      <c r="K858" t="n">
        <v>85</v>
      </c>
      <c r="L858" t="n">
        <v>109</v>
      </c>
      <c r="M858" t="n">
        <v>18.7</v>
      </c>
      <c r="N858" t="n">
        <v>1694</v>
      </c>
      <c r="O858" t="n">
        <v>1.01</v>
      </c>
      <c r="P858" t="n">
        <v>1703</v>
      </c>
      <c r="Q858" t="n">
        <v>243</v>
      </c>
      <c r="R858" t="n">
        <v>143</v>
      </c>
      <c r="S858" t="n">
        <v>51</v>
      </c>
      <c r="T858" t="n">
        <v>247</v>
      </c>
      <c r="U858" t="n">
        <v>20</v>
      </c>
      <c r="V858" t="n">
        <v>166</v>
      </c>
      <c r="W858" t="n">
        <v>0.39</v>
      </c>
      <c r="X858" t="n">
        <v>155</v>
      </c>
      <c r="Y858" t="n">
        <v>97</v>
      </c>
      <c r="Z858" t="n">
        <v>91</v>
      </c>
      <c r="AA858" t="n">
        <v>8</v>
      </c>
      <c r="AB858" t="n">
        <v>9.5</v>
      </c>
      <c r="AC858" t="inlineStr">
        <is>
          <t xml:space="preserve"> On-Piste All-Mountain</t>
        </is>
      </c>
      <c r="AD858" t="inlineStr">
        <is>
          <t xml:space="preserve"> Resort Freeride</t>
        </is>
      </c>
      <c r="AG858" t="inlineStr">
        <is>
          <t>Faction Dictator 1.0 Skis</t>
        </is>
      </c>
      <c r="AH858" t="inlineStr">
        <is>
          <t>Next Adventure</t>
        </is>
      </c>
      <c r="AI858" s="333" t="n">
        <v>575.2</v>
      </c>
      <c r="AJ858" t="inlineStr">
        <is>
          <t>https://tinyurl.com/yb5abjj3</t>
        </is>
      </c>
      <c r="AK858" t="inlineStr">
        <is>
          <t>Faction Dictator 1.0 Skis</t>
        </is>
      </c>
      <c r="AL858" t="inlineStr">
        <is>
          <t>Gear West Ski &amp; Bike</t>
        </is>
      </c>
      <c r="AM858" s="333" t="n">
        <v>619</v>
      </c>
      <c r="AN858" t="inlineStr">
        <is>
          <t>https://tinyurl.com/y7s6v2dn</t>
        </is>
      </c>
      <c r="AO858" t="inlineStr">
        <is>
          <t>Faction Chapter 1.0 Skis</t>
        </is>
      </c>
      <c r="AP858" t="inlineStr">
        <is>
          <t>The Locals Sale</t>
        </is>
      </c>
      <c r="AQ858" s="333" t="n">
        <v>222</v>
      </c>
      <c r="AR858" t="inlineStr">
        <is>
          <t>https://tinyurl.com/ycorbqqg</t>
        </is>
      </c>
      <c r="AS858" s="314">
        <f>IF(LEFT(C858,1)=" ",RIGHT(C858,LEN(C858)-1),C858)</f>
        <v/>
      </c>
      <c r="AT858" s="281">
        <f>_xlfn.CONCAT(B858,AS858,D858,E858)</f>
        <v/>
      </c>
    </row>
    <row r="859">
      <c r="A859" t="inlineStr">
        <is>
          <t>21/22</t>
        </is>
      </c>
      <c r="B859" t="inlineStr">
        <is>
          <t xml:space="preserve"> Blizzard</t>
        </is>
      </c>
      <c r="C859" t="inlineStr">
        <is>
          <t>Sheeva 10</t>
        </is>
      </c>
      <c r="D859" t="n">
        <v>156</v>
      </c>
      <c r="E859" t="inlineStr">
        <is>
          <t xml:space="preserve"> Women's</t>
        </is>
      </c>
      <c r="F859" t="n">
        <v>156</v>
      </c>
      <c r="G859" t="n">
        <v>154.5</v>
      </c>
      <c r="H859" t="n">
        <v>90</v>
      </c>
      <c r="I859" t="n">
        <v>126</v>
      </c>
      <c r="J859" t="n">
        <v>131</v>
      </c>
      <c r="K859" t="n">
        <v>101</v>
      </c>
      <c r="L859" t="n">
        <v>120</v>
      </c>
      <c r="M859" t="n">
        <v>14</v>
      </c>
      <c r="N859" t="n">
        <v>1708</v>
      </c>
      <c r="O859" t="n">
        <v>1.01</v>
      </c>
      <c r="P859" t="n">
        <v>1721</v>
      </c>
      <c r="Q859" t="n">
        <v>134</v>
      </c>
      <c r="R859" t="n">
        <v>72</v>
      </c>
      <c r="S859" t="n">
        <v>68</v>
      </c>
      <c r="T859" t="n">
        <v>361</v>
      </c>
      <c r="U859" t="n">
        <v>39</v>
      </c>
      <c r="V859" t="n">
        <v>285</v>
      </c>
      <c r="W859" t="n">
        <v>0.5669999999999999</v>
      </c>
      <c r="X859" t="n">
        <v>157</v>
      </c>
      <c r="Y859" t="n">
        <v>130</v>
      </c>
      <c r="Z859" t="n">
        <v>204</v>
      </c>
      <c r="AA859" t="n">
        <v>3</v>
      </c>
      <c r="AB859" t="n">
        <v>7.2</v>
      </c>
      <c r="AC859" t="inlineStr">
        <is>
          <t xml:space="preserve"> Resort Freeride</t>
        </is>
      </c>
      <c r="AD859" t="inlineStr">
        <is>
          <t xml:space="preserve"> Powder</t>
        </is>
      </c>
      <c r="AG859" t="inlineStr">
        <is>
          <t>Blizzard Sheeva 10 Women's Skis 156cm 2022</t>
        </is>
      </c>
      <c r="AH859" t="inlineStr">
        <is>
          <t>Powder7 Ski Shop</t>
        </is>
      </c>
      <c r="AI859" s="333" t="n">
        <v>519.9299999999999</v>
      </c>
      <c r="AJ859" t="inlineStr">
        <is>
          <t>https://tinyurl.com/y86x8suu</t>
        </is>
      </c>
      <c r="AK859" t="inlineStr">
        <is>
          <t>Blizzard Sheeva 10 Skis Â· Women's Â· 156 cm</t>
        </is>
      </c>
      <c r="AL859" t="inlineStr">
        <is>
          <t>REI</t>
        </is>
      </c>
      <c r="AM859" s="333" t="n">
        <v>519.9299999999999</v>
      </c>
      <c r="AN859" t="inlineStr">
        <is>
          <t>https://tinyurl.com/y7hg8qhj</t>
        </is>
      </c>
      <c r="AO859" t="inlineStr">
        <is>
          <t>Blizzard Sheeva 10 Skis Â· Women's Â· 156 cm</t>
        </is>
      </c>
      <c r="AP859" t="inlineStr">
        <is>
          <t>AlpineShopVT.com</t>
        </is>
      </c>
      <c r="AQ859" s="333" t="n">
        <v>519.95</v>
      </c>
      <c r="AR859" t="inlineStr">
        <is>
          <t>https://tinyurl.com/y985al3m</t>
        </is>
      </c>
      <c r="AS859" s="314">
        <f>IF(LEFT(C859,1)=" ",RIGHT(C859,LEN(C859)-1),C859)</f>
        <v/>
      </c>
      <c r="AT859" s="281">
        <f>_xlfn.CONCAT(B859,AS859,D859,E859)</f>
        <v/>
      </c>
    </row>
    <row r="860">
      <c r="A860" t="inlineStr">
        <is>
          <t>21/22</t>
        </is>
      </c>
      <c r="B860" t="inlineStr">
        <is>
          <t xml:space="preserve"> Atomic</t>
        </is>
      </c>
      <c r="C860" t="inlineStr">
        <is>
          <t>Maverick 83</t>
        </is>
      </c>
      <c r="D860" t="n">
        <v>165</v>
      </c>
      <c r="E860" t="inlineStr">
        <is>
          <t xml:space="preserve"> Unisex</t>
        </is>
      </c>
      <c r="F860" t="n">
        <v>165</v>
      </c>
      <c r="G860" t="n">
        <v>163.8</v>
      </c>
      <c r="H860" t="n">
        <v>132</v>
      </c>
      <c r="I860" t="n">
        <v>142</v>
      </c>
      <c r="J860" t="n">
        <v>121</v>
      </c>
      <c r="K860" t="n">
        <v>81</v>
      </c>
      <c r="L860" t="n">
        <v>105</v>
      </c>
      <c r="M860" t="n">
        <v>14.9</v>
      </c>
      <c r="N860" t="n">
        <v>1825</v>
      </c>
      <c r="O860" t="n">
        <v>0.84</v>
      </c>
      <c r="P860" t="n">
        <v>1542</v>
      </c>
      <c r="Q860" t="n">
        <v>165</v>
      </c>
      <c r="R860" t="n">
        <v>71</v>
      </c>
      <c r="S860" t="n">
        <v>44</v>
      </c>
      <c r="T860" t="n">
        <v>196</v>
      </c>
      <c r="U860" t="n">
        <v>23</v>
      </c>
      <c r="V860" t="n">
        <v>118</v>
      </c>
      <c r="W860" t="n">
        <v>0.517</v>
      </c>
      <c r="X860" t="n">
        <v>124</v>
      </c>
      <c r="Y860" t="n">
        <v>90</v>
      </c>
      <c r="Z860" t="n">
        <v>73</v>
      </c>
      <c r="AA860" t="n">
        <v>8</v>
      </c>
      <c r="AB860" t="n">
        <v>8.1</v>
      </c>
      <c r="AC860" t="inlineStr">
        <is>
          <t xml:space="preserve"> Resort Freeride</t>
        </is>
      </c>
      <c r="AG860" t="inlineStr">
        <is>
          <t>Atomic Maverick 83 R AW Skis</t>
        </is>
      </c>
      <c r="AH860" t="inlineStr">
        <is>
          <t>evo.com</t>
        </is>
      </c>
      <c r="AI860" s="333" t="n">
        <v>399.99</v>
      </c>
      <c r="AJ860" t="inlineStr">
        <is>
          <t>https://tinyurl.com/y8pddsrs</t>
        </is>
      </c>
      <c r="AK860" t="inlineStr">
        <is>
          <t>Atomic Maverick 83 R AW Skis</t>
        </is>
      </c>
      <c r="AL860" t="inlineStr">
        <is>
          <t>The-House.com</t>
        </is>
      </c>
      <c r="AM860" s="333" t="n">
        <v>499.99</v>
      </c>
      <c r="AN860" t="inlineStr">
        <is>
          <t>https://tinyurl.com/yangd23b</t>
        </is>
      </c>
      <c r="AO860" t="inlineStr">
        <is>
          <t>Atomic Vantage 86 C Skis</t>
        </is>
      </c>
      <c r="AP860" t="inlineStr">
        <is>
          <t>eBay - asogear</t>
        </is>
      </c>
      <c r="AQ860" s="333" t="n">
        <v>299.99</v>
      </c>
      <c r="AR860" t="inlineStr">
        <is>
          <t>https://tinyurl.com/y7eklodb</t>
        </is>
      </c>
      <c r="AS860" s="314">
        <f>IF(LEFT(C860,1)=" ",RIGHT(C860,LEN(C860)-1),C860)</f>
        <v/>
      </c>
      <c r="AT860" s="281">
        <f>_xlfn.CONCAT(B860,AS860,D860,E860)</f>
        <v/>
      </c>
    </row>
    <row r="861">
      <c r="A861" t="inlineStr">
        <is>
          <t>21/22</t>
        </is>
      </c>
      <c r="B861" t="inlineStr">
        <is>
          <t xml:space="preserve"> Vï¿½lkl</t>
        </is>
      </c>
      <c r="C861" t="inlineStr">
        <is>
          <t>Deacon 80</t>
        </is>
      </c>
      <c r="D861" t="n">
        <v>172</v>
      </c>
      <c r="E861" t="inlineStr">
        <is>
          <t xml:space="preserve"> Unisex</t>
        </is>
      </c>
      <c r="F861" t="n">
        <v>172</v>
      </c>
      <c r="G861" t="n">
        <v>171.9</v>
      </c>
      <c r="H861" t="n">
        <v>152</v>
      </c>
      <c r="I861" t="n">
        <v>159</v>
      </c>
      <c r="J861" t="n">
        <v>127</v>
      </c>
      <c r="K861" t="n">
        <v>79</v>
      </c>
      <c r="L861" t="n">
        <v>110</v>
      </c>
      <c r="M861" t="n">
        <v>15.5</v>
      </c>
      <c r="N861" t="n">
        <v>1962</v>
      </c>
      <c r="O861" t="n">
        <v>0.83</v>
      </c>
      <c r="P861" t="n">
        <v>1626</v>
      </c>
      <c r="Q861" t="n">
        <v>219</v>
      </c>
      <c r="R861" t="n">
        <v>68</v>
      </c>
      <c r="S861" t="n">
        <v>40</v>
      </c>
      <c r="T861" t="n">
        <v>139</v>
      </c>
      <c r="U861" t="n">
        <v>7</v>
      </c>
      <c r="V861" t="n">
        <v>65</v>
      </c>
      <c r="W861" t="n">
        <v>0.174</v>
      </c>
      <c r="X861" t="n">
        <v>71</v>
      </c>
      <c r="Y861" t="n">
        <v>62</v>
      </c>
      <c r="Z861" t="n">
        <v>67</v>
      </c>
      <c r="AA861" t="n">
        <v>5</v>
      </c>
      <c r="AB861" t="n">
        <v>10.1</v>
      </c>
      <c r="AC861" t="inlineStr">
        <is>
          <t xml:space="preserve"> On-Piste Carving</t>
        </is>
      </c>
      <c r="AG861" t="inlineStr">
        <is>
          <t>2020 Volkl Deacon 80 System Ski - 172 Cm W/ Lowrider Xl 13 Bindings</t>
        </is>
      </c>
      <c r="AH861" t="inlineStr">
        <is>
          <t>eBay - livetoride6393</t>
        </is>
      </c>
      <c r="AI861" s="333" t="n">
        <v>389.99</v>
      </c>
      <c r="AJ861" t="inlineStr">
        <is>
          <t>https://tinyurl.com/ybuoemds</t>
        </is>
      </c>
      <c r="AK861" t="inlineStr">
        <is>
          <t>Volkl Deacon 80 + Lowride XL 13 20/21</t>
        </is>
      </c>
      <c r="AL861" t="inlineStr">
        <is>
          <t>Ski Country Sports</t>
        </is>
      </c>
      <c r="AM861" s="333" t="n">
        <v>755.98</v>
      </c>
      <c r="AN861" t="inlineStr">
        <is>
          <t>https://tinyurl.com/y8ks3j9n</t>
        </is>
      </c>
      <c r="AO861" t="inlineStr">
        <is>
          <t>Volkl Men's Deacon 80 Skis With Lowride XL 13 FR GW Binding .</t>
        </is>
      </c>
      <c r="AP861" t="inlineStr">
        <is>
          <t>Cotswold Outdoor US</t>
        </is>
      </c>
      <c r="AQ861" s="333" t="n">
        <v>905</v>
      </c>
      <c r="AR861" t="inlineStr">
        <is>
          <t>https://tinyurl.com/yc2xu65n</t>
        </is>
      </c>
      <c r="AS861" s="314">
        <f>IF(LEFT(C861,1)=" ",RIGHT(C861,LEN(C861)-1),C861)</f>
        <v/>
      </c>
      <c r="AT861" s="281">
        <f>_xlfn.CONCAT(B861,AS861,D861,E861)</f>
        <v/>
      </c>
    </row>
    <row r="862">
      <c r="A862" t="inlineStr">
        <is>
          <t>21/22</t>
        </is>
      </c>
      <c r="B862" t="inlineStr">
        <is>
          <t xml:space="preserve"> Blizzard</t>
        </is>
      </c>
      <c r="C862" t="inlineStr">
        <is>
          <t>Bonafide 97</t>
        </is>
      </c>
      <c r="D862" t="n">
        <v>171</v>
      </c>
      <c r="E862" t="inlineStr">
        <is>
          <t xml:space="preserve"> Unisex</t>
        </is>
      </c>
      <c r="F862" t="n">
        <v>171</v>
      </c>
      <c r="G862" t="n">
        <v>169.8</v>
      </c>
      <c r="H862" t="n">
        <v>140</v>
      </c>
      <c r="I862" t="n">
        <v>146</v>
      </c>
      <c r="J862" t="n">
        <v>136</v>
      </c>
      <c r="K862" t="n">
        <v>96</v>
      </c>
      <c r="L862" t="n">
        <v>117</v>
      </c>
      <c r="M862" t="n">
        <v>16.7</v>
      </c>
      <c r="N862" t="n">
        <v>2154</v>
      </c>
      <c r="O862" t="n">
        <v>0.85</v>
      </c>
      <c r="P862" t="n">
        <v>1824</v>
      </c>
      <c r="Q862" t="n">
        <v>170</v>
      </c>
      <c r="R862" t="n">
        <v>107</v>
      </c>
      <c r="S862" t="n">
        <v>51</v>
      </c>
      <c r="T862" t="n">
        <v>195</v>
      </c>
      <c r="U862" t="n">
        <v>7</v>
      </c>
      <c r="V862" t="n">
        <v>98</v>
      </c>
      <c r="W862" t="n">
        <v>0.132</v>
      </c>
      <c r="X862" t="n">
        <v>129</v>
      </c>
      <c r="Y862" t="n">
        <v>105</v>
      </c>
      <c r="Z862" t="n">
        <v>66</v>
      </c>
      <c r="AA862" t="n">
        <v>9</v>
      </c>
      <c r="AB862" t="n">
        <v>11.5</v>
      </c>
      <c r="AC862" t="inlineStr">
        <is>
          <t xml:space="preserve"> Resort Freeride</t>
        </is>
      </c>
      <c r="AG862" t="inlineStr">
        <is>
          <t>Blizzard Bonafide 97</t>
        </is>
      </c>
      <c r="AH862" t="inlineStr">
        <is>
          <t>REI</t>
        </is>
      </c>
      <c r="AI862" s="333" t="n">
        <v>599.9299999999999</v>
      </c>
      <c r="AJ862" t="inlineStr">
        <is>
          <t>https://tinyurl.com/y9nmncto</t>
        </is>
      </c>
      <c r="AK862" t="inlineStr">
        <is>
          <t>Blizzard Bonafide 97</t>
        </is>
      </c>
      <c r="AL862" t="inlineStr">
        <is>
          <t>Level Nine Sports</t>
        </is>
      </c>
      <c r="AM862" s="333" t="n">
        <v>599.95</v>
      </c>
      <c r="AN862" t="inlineStr">
        <is>
          <t>https://tinyurl.com/ybgrwq9l</t>
        </is>
      </c>
      <c r="AO862" t="inlineStr">
        <is>
          <t>Blizzard Bonafide 97</t>
        </is>
      </c>
      <c r="AP862" t="inlineStr">
        <is>
          <t>SkiEssentials.com</t>
        </is>
      </c>
      <c r="AQ862" s="333" t="n">
        <v>599.95</v>
      </c>
      <c r="AR862" t="inlineStr">
        <is>
          <t>https://tinyurl.com/ybl4fayg</t>
        </is>
      </c>
      <c r="AS862" s="314">
        <f>IF(LEFT(C862,1)=" ",RIGHT(C862,LEN(C862)-1),C862)</f>
        <v/>
      </c>
      <c r="AT862" s="281">
        <f>_xlfn.CONCAT(B862,AS862,D862,E862)</f>
        <v/>
      </c>
    </row>
    <row r="863">
      <c r="A863" t="inlineStr">
        <is>
          <t>21/22</t>
        </is>
      </c>
      <c r="B863" t="inlineStr">
        <is>
          <t xml:space="preserve"> Head</t>
        </is>
      </c>
      <c r="C863" t="inlineStr">
        <is>
          <t>Kore 90 X</t>
        </is>
      </c>
      <c r="D863" t="n">
        <v>156</v>
      </c>
      <c r="E863" t="inlineStr">
        <is>
          <t xml:space="preserve"> Unisex</t>
        </is>
      </c>
      <c r="F863" t="n">
        <v>156</v>
      </c>
      <c r="G863" t="n">
        <v>157.3</v>
      </c>
      <c r="H863" t="n">
        <v>121</v>
      </c>
      <c r="I863" t="n">
        <v>125</v>
      </c>
      <c r="J863" t="n">
        <v>124</v>
      </c>
      <c r="K863" t="n">
        <v>87</v>
      </c>
      <c r="L863" t="n">
        <v>107</v>
      </c>
      <c r="M863" t="n">
        <v>12.1</v>
      </c>
      <c r="N863" t="n">
        <v>1473</v>
      </c>
      <c r="O863" t="n">
        <v>1.06</v>
      </c>
      <c r="P863" t="n">
        <v>1557</v>
      </c>
      <c r="Q863" t="n">
        <v>156</v>
      </c>
      <c r="R863" t="n">
        <v>71</v>
      </c>
      <c r="S863" t="n">
        <v>48</v>
      </c>
      <c r="T863" t="n">
        <v>209</v>
      </c>
      <c r="U863" t="n">
        <v>15</v>
      </c>
      <c r="V863" t="n">
        <v>152</v>
      </c>
      <c r="W863" t="n">
        <v>0.308</v>
      </c>
      <c r="X863" t="n">
        <v>152</v>
      </c>
      <c r="Y863" t="n">
        <v>169</v>
      </c>
      <c r="Z863" t="n">
        <v>57</v>
      </c>
      <c r="AA863" t="n">
        <v>7</v>
      </c>
      <c r="AB863" t="n">
        <v>9.199999999999999</v>
      </c>
      <c r="AC863" t="inlineStr">
        <is>
          <t xml:space="preserve"> Resort Freeride</t>
        </is>
      </c>
      <c r="AD863" t="inlineStr">
        <is>
          <t xml:space="preserve"> Touring</t>
        </is>
      </c>
      <c r="AG863" t="inlineStr">
        <is>
          <t>Head Kore 90 x Skis Mens 2022 Anthracite/Beige 156</t>
        </is>
      </c>
      <c r="AH863" t="inlineStr">
        <is>
          <t>eBay - asogear</t>
        </is>
      </c>
      <c r="AI863" s="333" t="n">
        <v>359.99</v>
      </c>
      <c r="AJ863" t="inlineStr">
        <is>
          <t>https://tinyurl.com/y79ya2wh</t>
        </is>
      </c>
      <c r="AK863" t="inlineStr">
        <is>
          <t>Head Kore 90 x Skis Mens 2022 Anthracite/Beige 156</t>
        </is>
      </c>
      <c r="AL863" t="inlineStr">
        <is>
          <t>evo.com</t>
        </is>
      </c>
      <c r="AM863" s="333" t="n">
        <v>409</v>
      </c>
      <c r="AN863" t="inlineStr">
        <is>
          <t>https://tinyurl.com/y9bfh4ou</t>
        </is>
      </c>
      <c r="AS863" s="314">
        <f>IF(LEFT(C863,1)=" ",RIGHT(C863,LEN(C863)-1),C863)</f>
        <v/>
      </c>
      <c r="AT863" s="281">
        <f>_xlfn.CONCAT(B863,AS863,D863,E863)</f>
        <v/>
      </c>
    </row>
    <row r="864">
      <c r="A864" t="inlineStr">
        <is>
          <t>21/22</t>
        </is>
      </c>
      <c r="B864" t="inlineStr">
        <is>
          <t xml:space="preserve"> Ferreol</t>
        </is>
      </c>
      <c r="C864" t="inlineStr">
        <is>
          <t>Zigzag 92</t>
        </is>
      </c>
      <c r="D864" t="n">
        <v>177</v>
      </c>
      <c r="E864" t="inlineStr">
        <is>
          <t xml:space="preserve"> Unisex</t>
        </is>
      </c>
      <c r="F864" t="n">
        <v>177</v>
      </c>
      <c r="G864" t="n">
        <v>175.8</v>
      </c>
      <c r="H864" t="n">
        <v>117</v>
      </c>
      <c r="I864" t="n">
        <v>155</v>
      </c>
      <c r="J864" t="n">
        <v>127</v>
      </c>
      <c r="K864" t="n">
        <v>91</v>
      </c>
      <c r="L864" t="n">
        <v>124</v>
      </c>
      <c r="M864" t="n">
        <v>16.4</v>
      </c>
      <c r="N864" t="n">
        <v>1863</v>
      </c>
      <c r="O864" t="n">
        <v>0.98</v>
      </c>
      <c r="P864" t="n">
        <v>1825</v>
      </c>
      <c r="Q864" t="n">
        <v>186</v>
      </c>
      <c r="R864" t="n">
        <v>68</v>
      </c>
      <c r="S864" t="n">
        <v>46</v>
      </c>
      <c r="T864" t="n">
        <v>267</v>
      </c>
      <c r="U864" t="n">
        <v>41</v>
      </c>
      <c r="V864" t="n">
        <v>325</v>
      </c>
      <c r="W864" t="n">
        <v>0.892</v>
      </c>
      <c r="X864" t="n">
        <v>125</v>
      </c>
      <c r="Y864" t="n">
        <v>82</v>
      </c>
      <c r="Z864" t="n">
        <v>142</v>
      </c>
      <c r="AA864" t="n">
        <v>7</v>
      </c>
      <c r="AB864" t="n">
        <v>3.5</v>
      </c>
      <c r="AC864" t="inlineStr">
        <is>
          <t xml:space="preserve"> Freeski</t>
        </is>
      </c>
      <c r="AS864" s="314">
        <f>IF(LEFT(C864,1)=" ",RIGHT(C864,LEN(C864)-1),C864)</f>
        <v/>
      </c>
      <c r="AT864" s="281">
        <f>_xlfn.CONCAT(B864,AS864,D864,E864)</f>
        <v/>
      </c>
    </row>
    <row r="865">
      <c r="A865" t="inlineStr">
        <is>
          <t>21/22</t>
        </is>
      </c>
      <c r="B865" t="inlineStr">
        <is>
          <t xml:space="preserve"> Vï¿½lkl</t>
        </is>
      </c>
      <c r="C865" t="inlineStr">
        <is>
          <t>Blaze 86</t>
        </is>
      </c>
      <c r="D865" t="n">
        <v>166</v>
      </c>
      <c r="E865" t="inlineStr">
        <is>
          <t xml:space="preserve"> Unisex</t>
        </is>
      </c>
      <c r="F865" t="n">
        <v>166</v>
      </c>
      <c r="G865" t="n">
        <v>167.2</v>
      </c>
      <c r="H865" t="n">
        <v>121</v>
      </c>
      <c r="I865" t="n">
        <v>143</v>
      </c>
      <c r="J865" t="n">
        <v>128</v>
      </c>
      <c r="K865" t="n">
        <v>86</v>
      </c>
      <c r="L865" t="n">
        <v>110</v>
      </c>
      <c r="M865" t="n">
        <v>14.2</v>
      </c>
      <c r="N865" t="n">
        <v>1380</v>
      </c>
      <c r="O865" t="n">
        <v>1.2</v>
      </c>
      <c r="P865" t="n">
        <v>1662</v>
      </c>
      <c r="Q865" t="n">
        <v>163</v>
      </c>
      <c r="R865" t="n">
        <v>74</v>
      </c>
      <c r="S865" t="n">
        <v>45</v>
      </c>
      <c r="T865" t="n">
        <v>286</v>
      </c>
      <c r="U865" t="n">
        <v>18</v>
      </c>
      <c r="V865" t="n">
        <v>177</v>
      </c>
      <c r="W865" t="n">
        <v>0.39</v>
      </c>
      <c r="X865" t="n">
        <v>146</v>
      </c>
      <c r="Y865" t="n">
        <v>100</v>
      </c>
      <c r="Z865" t="n">
        <v>140</v>
      </c>
      <c r="AA865" t="n">
        <v>3</v>
      </c>
      <c r="AB865" t="n">
        <v>11.9</v>
      </c>
      <c r="AC865" t="inlineStr">
        <is>
          <t xml:space="preserve"> Resort Freeride</t>
        </is>
      </c>
      <c r="AD865" t="inlineStr">
        <is>
          <t xml:space="preserve"> Touring</t>
        </is>
      </c>
      <c r="AG865" t="inlineStr">
        <is>
          <t>Volkl Blaze 86 Skis 2022</t>
        </is>
      </c>
      <c r="AH865" t="inlineStr">
        <is>
          <t>Saint Bernard</t>
        </is>
      </c>
      <c r="AI865" s="333" t="n">
        <v>399.9</v>
      </c>
      <c r="AJ865" t="inlineStr">
        <is>
          <t>https://tinyurl.com/y8omwlhz</t>
        </is>
      </c>
      <c r="AK865" t="inlineStr">
        <is>
          <t>Volkl Blaze 86 Women's Skis 2022</t>
        </is>
      </c>
      <c r="AL865" t="inlineStr">
        <is>
          <t>REI</t>
        </is>
      </c>
      <c r="AM865" s="333" t="n">
        <v>399.93</v>
      </c>
      <c r="AN865" t="inlineStr">
        <is>
          <t>https://tinyurl.com/yd7qpjz2</t>
        </is>
      </c>
      <c r="AO865" t="inlineStr">
        <is>
          <t>Volkl Blaze 86 W Skis</t>
        </is>
      </c>
      <c r="AP865" t="inlineStr">
        <is>
          <t>Cole Sport</t>
        </is>
      </c>
      <c r="AQ865" s="333" t="n">
        <v>399.99</v>
      </c>
      <c r="AR865" t="inlineStr">
        <is>
          <t>https://tinyurl.com/yczo6pm3</t>
        </is>
      </c>
      <c r="AS865" s="314">
        <f>IF(LEFT(C865,1)=" ",RIGHT(C865,LEN(C865)-1),C865)</f>
        <v/>
      </c>
      <c r="AT865" s="281">
        <f>_xlfn.CONCAT(B865,AS865,D865,E865)</f>
        <v/>
      </c>
    </row>
    <row r="866">
      <c r="A866" t="inlineStr">
        <is>
          <t>21/22</t>
        </is>
      </c>
      <c r="B866" t="inlineStr">
        <is>
          <t xml:space="preserve"> Blizzard</t>
        </is>
      </c>
      <c r="C866" t="inlineStr">
        <is>
          <t>Black Pearl 82</t>
        </is>
      </c>
      <c r="D866" t="n">
        <v>152</v>
      </c>
      <c r="E866" t="inlineStr">
        <is>
          <t xml:space="preserve"> Women's</t>
        </is>
      </c>
      <c r="F866" t="n">
        <v>152</v>
      </c>
      <c r="G866" t="n">
        <v>150.1</v>
      </c>
      <c r="H866" t="n">
        <v>114</v>
      </c>
      <c r="I866" t="n">
        <v>129</v>
      </c>
      <c r="J866" t="n">
        <v>118</v>
      </c>
      <c r="K866" t="n">
        <v>81</v>
      </c>
      <c r="L866" t="n">
        <v>102</v>
      </c>
      <c r="M866" t="n">
        <v>13.4</v>
      </c>
      <c r="N866" t="n">
        <v>1479</v>
      </c>
      <c r="O866" t="n">
        <v>0.9399999999999999</v>
      </c>
      <c r="P866" t="n">
        <v>1391</v>
      </c>
      <c r="Q866" t="n">
        <v>154</v>
      </c>
      <c r="R866" t="n">
        <v>73</v>
      </c>
      <c r="S866" t="n">
        <v>54</v>
      </c>
      <c r="T866" t="n">
        <v>252</v>
      </c>
      <c r="U866" t="n">
        <v>7</v>
      </c>
      <c r="V866" t="n">
        <v>109</v>
      </c>
      <c r="W866" t="n">
        <v>0.132</v>
      </c>
      <c r="X866" t="n">
        <v>114</v>
      </c>
      <c r="Y866" t="n">
        <v>99</v>
      </c>
      <c r="Z866" t="n">
        <v>138</v>
      </c>
      <c r="AA866" t="n">
        <v>3</v>
      </c>
      <c r="AB866" t="n">
        <v>10.9</v>
      </c>
      <c r="AC866" t="inlineStr">
        <is>
          <t xml:space="preserve"> On-Piste All-Mountain</t>
        </is>
      </c>
      <c r="AD866" t="inlineStr">
        <is>
          <t xml:space="preserve"> Resort Freeride</t>
        </is>
      </c>
      <c r="AG866" t="inlineStr">
        <is>
          <t>Blizzard Black Pearl 82 Skis - Women's 2022</t>
        </is>
      </c>
      <c r="AH866" t="inlineStr">
        <is>
          <t>AlpineShopVT.com</t>
        </is>
      </c>
      <c r="AI866" s="333" t="n">
        <v>479.95</v>
      </c>
      <c r="AJ866" t="inlineStr">
        <is>
          <t>https://tinyurl.com/y72nlycc</t>
        </is>
      </c>
      <c r="AK866" t="inlineStr">
        <is>
          <t>Blizzard Black Pearl 82 Skis - Women's 2022</t>
        </is>
      </c>
      <c r="AL866" t="inlineStr">
        <is>
          <t>evo.com</t>
        </is>
      </c>
      <c r="AM866" s="333" t="n">
        <v>479.96</v>
      </c>
      <c r="AN866" t="inlineStr">
        <is>
          <t>https://tinyurl.com/y7f4tnze</t>
        </is>
      </c>
      <c r="AO866" t="inlineStr">
        <is>
          <t>Blizzard Black Pearl 82 Skis - Women's 2022</t>
        </is>
      </c>
      <c r="AP866" t="inlineStr">
        <is>
          <t>The Ski Bum</t>
        </is>
      </c>
      <c r="AQ866" s="333" t="n">
        <v>479.96</v>
      </c>
      <c r="AR866" t="inlineStr">
        <is>
          <t>https://tinyurl.com/y9c5gpkn</t>
        </is>
      </c>
      <c r="AS866" s="314">
        <f>IF(LEFT(C866,1)=" ",RIGHT(C866,LEN(C866)-1),C866)</f>
        <v/>
      </c>
      <c r="AT866" s="281">
        <f>_xlfn.CONCAT(B866,AS866,D866,E866)</f>
        <v/>
      </c>
    </row>
    <row r="867">
      <c r="A867" t="inlineStr">
        <is>
          <t>21/22</t>
        </is>
      </c>
      <c r="B867" t="inlineStr">
        <is>
          <t xml:space="preserve"> Fischer</t>
        </is>
      </c>
      <c r="C867" t="inlineStr">
        <is>
          <t>RC One 78 GT</t>
        </is>
      </c>
      <c r="D867" t="n">
        <v>159</v>
      </c>
      <c r="E867" t="inlineStr">
        <is>
          <t xml:space="preserve"> Unisex</t>
        </is>
      </c>
      <c r="F867" t="n">
        <v>159</v>
      </c>
      <c r="G867" t="n">
        <v>158.2</v>
      </c>
      <c r="H867" t="n">
        <v>129</v>
      </c>
      <c r="I867" t="n">
        <v>143</v>
      </c>
      <c r="J867" t="n">
        <v>124</v>
      </c>
      <c r="K867" t="n">
        <v>78</v>
      </c>
      <c r="L867" t="n">
        <v>109</v>
      </c>
      <c r="M867" t="n">
        <v>12.4</v>
      </c>
      <c r="N867" t="n">
        <v>1912</v>
      </c>
      <c r="O867" t="n">
        <v>0.77</v>
      </c>
      <c r="P867" t="n">
        <v>1475</v>
      </c>
      <c r="Q867" t="n">
        <v>208</v>
      </c>
      <c r="R867" t="n">
        <v>73</v>
      </c>
      <c r="S867" t="n">
        <v>43</v>
      </c>
      <c r="T867" t="n">
        <v>208</v>
      </c>
      <c r="U867" t="n">
        <v>14</v>
      </c>
      <c r="V867" t="n">
        <v>85</v>
      </c>
      <c r="W867" t="n">
        <v>0.33</v>
      </c>
      <c r="X867" t="n">
        <v>71</v>
      </c>
      <c r="Y867" t="n">
        <v>78</v>
      </c>
      <c r="Z867" t="n">
        <v>136</v>
      </c>
      <c r="AA867" t="n">
        <v>8</v>
      </c>
      <c r="AB867" t="n">
        <v>8.6</v>
      </c>
      <c r="AC867" t="inlineStr">
        <is>
          <t xml:space="preserve"> On-Piste Carving</t>
        </is>
      </c>
      <c r="AG867" t="inlineStr">
        <is>
          <t>Fischer 2022 RC One 78 GT Men's Skis with RSW 10 GW Powerrail Bindings</t>
        </is>
      </c>
      <c r="AH867" t="inlineStr">
        <is>
          <t>Walmart - WEBY Corporation</t>
        </is>
      </c>
      <c r="AI867" s="333" t="n">
        <v>594</v>
      </c>
      <c r="AJ867" t="inlineStr">
        <is>
          <t>https://tinyurl.com/yctzdp2b</t>
        </is>
      </c>
      <c r="AK867" t="inlineStr">
        <is>
          <t>Fischer 2022 RC One 78 GT Men's Skis with RSW 10 GW Powerrail Bindings</t>
        </is>
      </c>
      <c r="AL867" t="inlineStr">
        <is>
          <t>GritrOutdoors</t>
        </is>
      </c>
      <c r="AM867" s="333" t="n">
        <v>699.99</v>
      </c>
      <c r="AN867" t="inlineStr">
        <is>
          <t>https://tinyurl.com/yd2zfm44</t>
        </is>
      </c>
      <c r="AO867" t="inlineStr">
        <is>
          <t>Fischer 2022 RC One 78 GT Men's Skis with RSW 10 GW Powerrail Bindings</t>
        </is>
      </c>
      <c r="AP867" t="inlineStr">
        <is>
          <t>Buyr.com</t>
        </is>
      </c>
      <c r="AQ867" s="333" t="n">
        <v>749.99</v>
      </c>
      <c r="AR867" t="inlineStr">
        <is>
          <t>https://tinyurl.com/y8y7ezux</t>
        </is>
      </c>
      <c r="AS867" s="314">
        <f>IF(LEFT(C867,1)=" ",RIGHT(C867,LEN(C867)-1),C867)</f>
        <v/>
      </c>
      <c r="AT867" s="281">
        <f>_xlfn.CONCAT(B867,AS867,D867,E867)</f>
        <v/>
      </c>
    </row>
    <row r="868">
      <c r="A868" t="inlineStr">
        <is>
          <t>21/22</t>
        </is>
      </c>
      <c r="B868" t="inlineStr">
        <is>
          <t xml:space="preserve"> Armada</t>
        </is>
      </c>
      <c r="C868" t="inlineStr">
        <is>
          <t>Declivity 102 Ti</t>
        </is>
      </c>
      <c r="D868" t="n">
        <v>180</v>
      </c>
      <c r="E868" t="inlineStr">
        <is>
          <t xml:space="preserve"> Unisex</t>
        </is>
      </c>
      <c r="F868" t="n">
        <v>180</v>
      </c>
      <c r="G868" t="n">
        <v>179.5</v>
      </c>
      <c r="H868" t="n">
        <v>131</v>
      </c>
      <c r="I868" t="n">
        <v>147</v>
      </c>
      <c r="J868" t="n">
        <v>134</v>
      </c>
      <c r="K868" t="n">
        <v>101</v>
      </c>
      <c r="L868" t="n">
        <v>123</v>
      </c>
      <c r="M868" t="n">
        <v>18.5</v>
      </c>
      <c r="N868" t="n">
        <v>1958</v>
      </c>
      <c r="O868" t="n">
        <v>1.03</v>
      </c>
      <c r="P868" t="n">
        <v>2011</v>
      </c>
      <c r="Q868" t="n">
        <v>219</v>
      </c>
      <c r="R868" t="n">
        <v>136</v>
      </c>
      <c r="S868" t="n">
        <v>57</v>
      </c>
      <c r="T868" t="n">
        <v>308</v>
      </c>
      <c r="U868" t="n">
        <v>19</v>
      </c>
      <c r="V868" t="n">
        <v>180</v>
      </c>
      <c r="W868" t="n">
        <v>0.338999999999999</v>
      </c>
      <c r="X868" t="n">
        <v>188</v>
      </c>
      <c r="Y868" t="n">
        <v>139</v>
      </c>
      <c r="Z868" t="n">
        <v>121</v>
      </c>
      <c r="AA868" t="n">
        <v>8</v>
      </c>
      <c r="AB868" t="n">
        <v>8.800000000000001</v>
      </c>
      <c r="AC868" t="inlineStr">
        <is>
          <t xml:space="preserve"> Resort Freeride</t>
        </is>
      </c>
      <c r="AD868" t="inlineStr">
        <is>
          <t xml:space="preserve"> Big Mountain</t>
        </is>
      </c>
      <c r="AG868" t="inlineStr">
        <is>
          <t>Armada Declivity 102 Ti Skis</t>
        </is>
      </c>
      <c r="AH868" t="inlineStr">
        <is>
          <t>! OutdoorXL.com</t>
        </is>
      </c>
      <c r="AI868" s="333" t="n">
        <v>514.95</v>
      </c>
      <c r="AJ868" t="inlineStr">
        <is>
          <t>https://tinyurl.com/ydbzzhna</t>
        </is>
      </c>
      <c r="AK868" t="inlineStr">
        <is>
          <t>Armada Declivity 102 Ti Skis - Men's</t>
        </is>
      </c>
      <c r="AL868" t="inlineStr">
        <is>
          <t>PRFO Sports</t>
        </is>
      </c>
      <c r="AM868" s="333" t="n">
        <v>544.1799999999999</v>
      </c>
      <c r="AN868" t="inlineStr">
        <is>
          <t>https://tinyurl.com/yaek9gfq</t>
        </is>
      </c>
      <c r="AO868" t="inlineStr">
        <is>
          <t>Armada Declivity 102 Ti Skis</t>
        </is>
      </c>
      <c r="AP868" t="inlineStr">
        <is>
          <t>SkiEssentials.com</t>
        </is>
      </c>
      <c r="AQ868" s="333" t="n">
        <v>599.96</v>
      </c>
      <c r="AR868" t="inlineStr">
        <is>
          <t>https://tinyurl.com/yczrog67</t>
        </is>
      </c>
      <c r="AS868" s="314">
        <f>IF(LEFT(C868,1)=" ",RIGHT(C868,LEN(C868)-1),C868)</f>
        <v/>
      </c>
      <c r="AT868" s="281">
        <f>_xlfn.CONCAT(B868,AS868,D868,E868)</f>
        <v/>
      </c>
    </row>
    <row r="869">
      <c r="A869" t="inlineStr">
        <is>
          <t>21/22</t>
        </is>
      </c>
      <c r="B869" t="inlineStr">
        <is>
          <t xml:space="preserve"> Armada</t>
        </is>
      </c>
      <c r="C869" t="inlineStr">
        <is>
          <t xml:space="preserve"> Bdog</t>
        </is>
      </c>
      <c r="D869" t="n">
        <v>172</v>
      </c>
      <c r="E869" t="inlineStr">
        <is>
          <t xml:space="preserve"> Unisex</t>
        </is>
      </c>
      <c r="F869" t="n">
        <v>172</v>
      </c>
      <c r="G869" t="n">
        <v>170.8</v>
      </c>
      <c r="H869" t="n">
        <v>117</v>
      </c>
      <c r="I869" t="n">
        <v>135</v>
      </c>
      <c r="J869" t="n">
        <v>121</v>
      </c>
      <c r="K869" t="n">
        <v>93</v>
      </c>
      <c r="L869" t="n">
        <v>116</v>
      </c>
      <c r="M869" t="n">
        <v>13.9</v>
      </c>
      <c r="N869" t="n">
        <v>1975</v>
      </c>
      <c r="O869" t="n">
        <v>0.91</v>
      </c>
      <c r="P869" t="n">
        <v>1795</v>
      </c>
      <c r="Q869" t="n">
        <v>175</v>
      </c>
      <c r="R869" t="n">
        <v>69</v>
      </c>
      <c r="S869" t="n">
        <v>44</v>
      </c>
      <c r="T869" t="n">
        <v>271</v>
      </c>
      <c r="U869" t="n">
        <v>42</v>
      </c>
      <c r="V869" t="n">
        <v>267</v>
      </c>
      <c r="W869" t="n">
        <v>0.959</v>
      </c>
      <c r="X869" t="n">
        <v>196</v>
      </c>
      <c r="Y869" t="n">
        <v>162</v>
      </c>
      <c r="Z869" t="n">
        <v>75</v>
      </c>
      <c r="AA869" t="n">
        <v>9</v>
      </c>
      <c r="AB869" t="n">
        <v>0.7</v>
      </c>
      <c r="AC869" t="inlineStr">
        <is>
          <t xml:space="preserve"> Freeski</t>
        </is>
      </c>
      <c r="AG869" t="inlineStr">
        <is>
          <t>Armada Bdog Edgeless Skis 2021</t>
        </is>
      </c>
      <c r="AH869" t="inlineStr">
        <is>
          <t>Powder7 Ski Shop</t>
        </is>
      </c>
      <c r="AI869" s="333" t="n">
        <v>419.95</v>
      </c>
      <c r="AJ869" t="inlineStr">
        <is>
          <t>https://tinyurl.com/y7dkgzdn</t>
        </is>
      </c>
      <c r="AK869" t="inlineStr">
        <is>
          <t>Armada Bdog Skis 2022</t>
        </is>
      </c>
      <c r="AL869" t="inlineStr">
        <is>
          <t>Gear West Ski &amp; Bike</t>
        </is>
      </c>
      <c r="AM869" s="333" t="n">
        <v>549.95</v>
      </c>
      <c r="AN869" t="inlineStr">
        <is>
          <t>https://tinyurl.com/y8p6qy84</t>
        </is>
      </c>
      <c r="AO869" t="inlineStr">
        <is>
          <t>Armada Women's Trace 88 Ski</t>
        </is>
      </c>
      <c r="AP869" t="inlineStr">
        <is>
          <t>Snowcountry.eu</t>
        </is>
      </c>
      <c r="AQ869" s="333" t="n">
        <v>367.81</v>
      </c>
      <c r="AR869" t="inlineStr">
        <is>
          <t>https://tinyurl.com/yavjsf7x</t>
        </is>
      </c>
      <c r="AS869" s="314">
        <f>IF(LEFT(C869,1)=" ",RIGHT(C869,LEN(C869)-1),C869)</f>
        <v/>
      </c>
      <c r="AT869" s="281">
        <f>_xlfn.CONCAT(B869,AS869,D869,E869)</f>
        <v/>
      </c>
    </row>
    <row r="870">
      <c r="A870" t="inlineStr">
        <is>
          <t>21/22</t>
        </is>
      </c>
      <c r="B870" t="inlineStr">
        <is>
          <t xml:space="preserve"> Elan</t>
        </is>
      </c>
      <c r="C870" t="inlineStr">
        <is>
          <t>Insomnia 12 C</t>
        </is>
      </c>
      <c r="D870" t="n">
        <v>158</v>
      </c>
      <c r="E870" t="inlineStr">
        <is>
          <t xml:space="preserve"> Women's</t>
        </is>
      </c>
      <c r="F870" t="n">
        <v>158</v>
      </c>
      <c r="G870" t="n">
        <v>159.1</v>
      </c>
      <c r="H870" t="n">
        <v>138</v>
      </c>
      <c r="I870" t="n">
        <v>144</v>
      </c>
      <c r="J870" t="n">
        <v>125</v>
      </c>
      <c r="K870" t="n">
        <v>76</v>
      </c>
      <c r="L870" t="n">
        <v>105</v>
      </c>
      <c r="M870" t="n">
        <v>13.1</v>
      </c>
      <c r="N870" t="n">
        <v>1731</v>
      </c>
      <c r="O870" t="n">
        <v>0.84</v>
      </c>
      <c r="P870" t="n">
        <v>1451</v>
      </c>
      <c r="Q870" t="n">
        <v>161</v>
      </c>
      <c r="R870" t="n">
        <v>62</v>
      </c>
      <c r="S870" t="n">
        <v>32</v>
      </c>
      <c r="T870" t="n">
        <v>142</v>
      </c>
      <c r="U870" t="n">
        <v>10</v>
      </c>
      <c r="V870" t="n">
        <v>70</v>
      </c>
      <c r="W870" t="n">
        <v>0.302</v>
      </c>
      <c r="X870" t="n">
        <v>93</v>
      </c>
      <c r="Y870" t="n">
        <v>60</v>
      </c>
      <c r="Z870" t="n">
        <v>49</v>
      </c>
      <c r="AA870" t="n">
        <v>8</v>
      </c>
      <c r="AB870" t="n">
        <v>8.699999999999999</v>
      </c>
      <c r="AC870" t="inlineStr">
        <is>
          <t xml:space="preserve"> On-Piste Carving</t>
        </is>
      </c>
      <c r="AG870" t="inlineStr">
        <is>
          <t>Elan Insomnia 12 C Skis</t>
        </is>
      </c>
      <c r="AH870" t="inlineStr">
        <is>
          <t>The-House.com</t>
        </is>
      </c>
      <c r="AI870" s="333" t="n">
        <v>599.99</v>
      </c>
      <c r="AJ870" t="inlineStr">
        <is>
          <t>https://tinyurl.com/y7mpusdh</t>
        </is>
      </c>
      <c r="AK870" t="inlineStr">
        <is>
          <t>Elan Wildcat 82 C Ps+elw 9.0 Alpine Skis 158</t>
        </is>
      </c>
      <c r="AL870" t="inlineStr">
        <is>
          <t>Snowinn.com</t>
        </is>
      </c>
      <c r="AM870" s="333" t="n">
        <v>433.49</v>
      </c>
      <c r="AN870" t="inlineStr">
        <is>
          <t>https://tinyurl.com/ycemo7vw</t>
        </is>
      </c>
      <c r="AO870" t="inlineStr">
        <is>
          <t>Elan Interra Women's Skis 158cm 2020</t>
        </is>
      </c>
      <c r="AP870" t="inlineStr">
        <is>
          <t>BobWards.com</t>
        </is>
      </c>
      <c r="AQ870" s="333" t="n">
        <v>600</v>
      </c>
      <c r="AR870" t="inlineStr">
        <is>
          <t>https://tinyurl.com/yafhcuh9</t>
        </is>
      </c>
      <c r="AS870" s="314">
        <f>IF(LEFT(C870,1)=" ",RIGHT(C870,LEN(C870)-1),C870)</f>
        <v/>
      </c>
      <c r="AT870" s="281">
        <f>_xlfn.CONCAT(B870,AS870,D870,E870)</f>
        <v/>
      </c>
    </row>
    <row r="871">
      <c r="A871" t="inlineStr">
        <is>
          <t>21/22</t>
        </is>
      </c>
      <c r="B871" t="inlineStr">
        <is>
          <t xml:space="preserve"> Nordica</t>
        </is>
      </c>
      <c r="C871" t="inlineStr">
        <is>
          <t>Spitfire 70 Ti</t>
        </is>
      </c>
      <c r="D871" t="n">
        <v>165</v>
      </c>
      <c r="E871" t="inlineStr">
        <is>
          <t xml:space="preserve"> Unisex</t>
        </is>
      </c>
      <c r="F871" t="n">
        <v>165</v>
      </c>
      <c r="G871" t="n">
        <v>164.2</v>
      </c>
      <c r="H871" t="n">
        <v>146</v>
      </c>
      <c r="I871" t="n">
        <v>154</v>
      </c>
      <c r="J871" t="n">
        <v>119</v>
      </c>
      <c r="K871" t="n">
        <v>70</v>
      </c>
      <c r="L871" t="n">
        <v>98</v>
      </c>
      <c r="M871" t="n">
        <v>15</v>
      </c>
      <c r="N871" t="n">
        <v>1954</v>
      </c>
      <c r="O871" t="n">
        <v>0.71</v>
      </c>
      <c r="P871" t="n">
        <v>1380</v>
      </c>
      <c r="Q871" t="n">
        <v>185</v>
      </c>
      <c r="R871" t="n">
        <v>98</v>
      </c>
      <c r="S871" t="n">
        <v>36</v>
      </c>
      <c r="T871" t="n">
        <v>131</v>
      </c>
      <c r="U871" t="n">
        <v>5</v>
      </c>
      <c r="V871" t="n">
        <v>49</v>
      </c>
      <c r="W871" t="n">
        <v>0.145</v>
      </c>
      <c r="X871" t="n">
        <v>62</v>
      </c>
      <c r="Y871" t="n">
        <v>44</v>
      </c>
      <c r="Z871" t="n">
        <v>69</v>
      </c>
      <c r="AA871" t="n">
        <v>9</v>
      </c>
      <c r="AB871" t="n">
        <v>13.1</v>
      </c>
      <c r="AC871" t="inlineStr">
        <is>
          <t xml:space="preserve"> On-Piste Carving</t>
        </is>
      </c>
      <c r="AG871" t="inlineStr">
        <is>
          <t>Nordica Doberman Spitfire Ti FTD 165 + TPX 12 Red/Black One</t>
        </is>
      </c>
      <c r="AH871" t="inlineStr">
        <is>
          <t>fruugo.com</t>
        </is>
      </c>
      <c r="AI871" s="333" t="n">
        <v>574</v>
      </c>
      <c r="AJ871" t="inlineStr">
        <is>
          <t>https://tinyurl.com/yalvjmlz</t>
        </is>
      </c>
      <c r="AK871" t="inlineStr">
        <is>
          <t>Nordica Santa Ana 98 2022 (Size: 165) | By Alpine Shop Vermont</t>
        </is>
      </c>
      <c r="AL871" t="inlineStr">
        <is>
          <t>AlpineShopVT.com</t>
        </is>
      </c>
      <c r="AM871" s="333" t="n">
        <v>559.99</v>
      </c>
      <c r="AN871" t="inlineStr">
        <is>
          <t>https://tinyurl.com/yd2fsgkg</t>
        </is>
      </c>
      <c r="AO871" t="inlineStr">
        <is>
          <t>Nordica Santa Ana 93 Alpine Skis 2022 - - 165 cm</t>
        </is>
      </c>
      <c r="AP871" t="inlineStr">
        <is>
          <t>Skirack</t>
        </is>
      </c>
      <c r="AQ871" s="333" t="n">
        <v>559.99</v>
      </c>
      <c r="AR871" t="inlineStr">
        <is>
          <t>https://tinyurl.com/ydhu54av</t>
        </is>
      </c>
      <c r="AS871" s="314">
        <f>IF(LEFT(C871,1)=" ",RIGHT(C871,LEN(C871)-1),C871)</f>
        <v/>
      </c>
      <c r="AT871" s="281">
        <f>_xlfn.CONCAT(B871,AS871,D871,E871)</f>
        <v/>
      </c>
    </row>
    <row r="872">
      <c r="A872" t="inlineStr">
        <is>
          <t>21/22</t>
        </is>
      </c>
      <c r="B872" t="inlineStr">
        <is>
          <t xml:space="preserve"> Salomon</t>
        </is>
      </c>
      <c r="C872" t="inlineStr">
        <is>
          <t>Stance 84</t>
        </is>
      </c>
      <c r="D872" t="n">
        <v>161</v>
      </c>
      <c r="E872" t="inlineStr">
        <is>
          <t xml:space="preserve"> Unisex</t>
        </is>
      </c>
      <c r="F872" t="n">
        <v>161</v>
      </c>
      <c r="G872" t="n">
        <v>160</v>
      </c>
      <c r="H872" t="n">
        <v>121</v>
      </c>
      <c r="I872" t="n">
        <v>132</v>
      </c>
      <c r="J872" t="n">
        <v>120</v>
      </c>
      <c r="K872" t="n">
        <v>83</v>
      </c>
      <c r="L872" t="n">
        <v>104</v>
      </c>
      <c r="M872" t="n">
        <v>13.7</v>
      </c>
      <c r="N872" t="n">
        <v>1417</v>
      </c>
      <c r="O872" t="n">
        <v>1.09</v>
      </c>
      <c r="P872" t="n">
        <v>1542</v>
      </c>
      <c r="Q872" t="n">
        <v>157</v>
      </c>
      <c r="R872" t="n">
        <v>71</v>
      </c>
      <c r="S872" t="n">
        <v>51</v>
      </c>
      <c r="T872" t="n">
        <v>216</v>
      </c>
      <c r="U872" t="n">
        <v>9</v>
      </c>
      <c r="V872" t="n">
        <v>170</v>
      </c>
      <c r="W872" t="n">
        <v>0.176</v>
      </c>
      <c r="X872" t="n">
        <v>162</v>
      </c>
      <c r="Y872" t="n">
        <v>118</v>
      </c>
      <c r="Z872" t="n">
        <v>54</v>
      </c>
      <c r="AA872" t="n">
        <v>6</v>
      </c>
      <c r="AB872" t="n">
        <v>8.9</v>
      </c>
      <c r="AC872" t="inlineStr">
        <is>
          <t xml:space="preserve"> On-Piste All-Mountain</t>
        </is>
      </c>
      <c r="AD872" t="inlineStr">
        <is>
          <t xml:space="preserve"> Resort Freeride</t>
        </is>
      </c>
      <c r="AE872" t="inlineStr">
        <is>
          <t xml:space="preserve"> Touring</t>
        </is>
      </c>
      <c r="AG872" t="inlineStr">
        <is>
          <t>Salomon Stance 84 Skis 2022</t>
        </is>
      </c>
      <c r="AH872" t="inlineStr">
        <is>
          <t>Aspen Ski and Board</t>
        </is>
      </c>
      <c r="AI872" s="333" t="n">
        <v>399.95</v>
      </c>
      <c r="AJ872" t="inlineStr">
        <is>
          <t>https://tinyurl.com/ycabgcf2</t>
        </is>
      </c>
      <c r="AK872" t="inlineStr">
        <is>
          <t>Salomon Stance 84 Skis 2022</t>
        </is>
      </c>
      <c r="AL872" t="inlineStr">
        <is>
          <t>The-House.com</t>
        </is>
      </c>
      <c r="AM872" s="333" t="n">
        <v>399.95</v>
      </c>
      <c r="AN872" t="inlineStr">
        <is>
          <t>https://tinyurl.com/y7rnkl93</t>
        </is>
      </c>
      <c r="AO872" t="inlineStr">
        <is>
          <t>Salomon Stance 84 Skis 2022</t>
        </is>
      </c>
      <c r="AP872" t="inlineStr">
        <is>
          <t>Next Adventure</t>
        </is>
      </c>
      <c r="AQ872" s="333" t="n">
        <v>399.99</v>
      </c>
      <c r="AR872" t="inlineStr">
        <is>
          <t>https://tinyurl.com/ybfopsbs</t>
        </is>
      </c>
      <c r="AS872" s="314">
        <f>IF(LEFT(C872,1)=" ",RIGHT(C872,LEN(C872)-1),C872)</f>
        <v/>
      </c>
      <c r="AT872" s="281">
        <f>_xlfn.CONCAT(B872,AS872,D872,E872)</f>
        <v/>
      </c>
    </row>
    <row r="873">
      <c r="A873" t="inlineStr">
        <is>
          <t>21/22</t>
        </is>
      </c>
      <c r="B873" t="inlineStr">
        <is>
          <t xml:space="preserve"> Armada</t>
        </is>
      </c>
      <c r="C873" t="inlineStr">
        <is>
          <t>ARV 84</t>
        </is>
      </c>
      <c r="D873" t="n">
        <v>164</v>
      </c>
      <c r="E873" t="inlineStr">
        <is>
          <t xml:space="preserve"> Unisex</t>
        </is>
      </c>
      <c r="F873" t="n">
        <v>164</v>
      </c>
      <c r="G873" t="n">
        <v>162.4</v>
      </c>
      <c r="H873" t="n">
        <v>116</v>
      </c>
      <c r="I873" t="n">
        <v>137</v>
      </c>
      <c r="J873" t="n">
        <v>117</v>
      </c>
      <c r="K873" t="n">
        <v>84</v>
      </c>
      <c r="L873" t="n">
        <v>108</v>
      </c>
      <c r="M873" t="n">
        <v>15.1</v>
      </c>
      <c r="N873" t="n">
        <v>1673</v>
      </c>
      <c r="O873" t="n">
        <v>0.93</v>
      </c>
      <c r="P873" t="n">
        <v>1556</v>
      </c>
      <c r="Q873" t="n">
        <v>151</v>
      </c>
      <c r="R873" t="n">
        <v>59</v>
      </c>
      <c r="S873" t="n">
        <v>46</v>
      </c>
      <c r="T873" t="n">
        <v>267</v>
      </c>
      <c r="U873" t="n">
        <v>35</v>
      </c>
      <c r="V873" t="n">
        <v>200</v>
      </c>
      <c r="W873" t="n">
        <v>0.755999999999999</v>
      </c>
      <c r="X873" t="n">
        <v>137</v>
      </c>
      <c r="Y873" t="n">
        <v>117</v>
      </c>
      <c r="Z873" t="n">
        <v>130</v>
      </c>
      <c r="AA873" t="n">
        <v>7</v>
      </c>
      <c r="AB873" t="n">
        <v>7.1</v>
      </c>
      <c r="AC873" t="inlineStr">
        <is>
          <t xml:space="preserve"> Resort Freeride</t>
        </is>
      </c>
      <c r="AG873" t="inlineStr">
        <is>
          <t>Armada ARV 84 2022 164</t>
        </is>
      </c>
      <c r="AH873" t="inlineStr">
        <is>
          <t>Help Boardshop</t>
        </is>
      </c>
      <c r="AI873" s="333" t="n">
        <v>349.95</v>
      </c>
      <c r="AJ873" t="inlineStr">
        <is>
          <t>https://tinyurl.com/y9qnltek</t>
        </is>
      </c>
      <c r="AK873" t="inlineStr">
        <is>
          <t>Armada Arv 84 2022 164cm</t>
        </is>
      </c>
      <c r="AL873" t="inlineStr">
        <is>
          <t>eBay</t>
        </is>
      </c>
      <c r="AM873" s="333" t="n">
        <v>349.95</v>
      </c>
      <c r="AN873" t="inlineStr">
        <is>
          <t>https://tinyurl.com/yd8hmpeb</t>
        </is>
      </c>
      <c r="AO873" t="inlineStr">
        <is>
          <t>2022 Armada ARV 84 (LONG) Skis 164</t>
        </is>
      </c>
      <c r="AP873" t="inlineStr">
        <is>
          <t>Elevation Skate Snow</t>
        </is>
      </c>
      <c r="AQ873" s="333" t="n">
        <v>349.95</v>
      </c>
      <c r="AR873" t="inlineStr">
        <is>
          <t>https://tinyurl.com/yd53gvrf</t>
        </is>
      </c>
      <c r="AS873" s="314">
        <f>IF(LEFT(C873,1)=" ",RIGHT(C873,LEN(C873)-1),C873)</f>
        <v/>
      </c>
      <c r="AT873" s="281">
        <f>_xlfn.CONCAT(B873,AS873,D873,E873)</f>
        <v/>
      </c>
    </row>
    <row r="874">
      <c r="A874" t="inlineStr">
        <is>
          <t>21/22</t>
        </is>
      </c>
      <c r="B874" t="inlineStr">
        <is>
          <t>K2</t>
        </is>
      </c>
      <c r="C874" t="inlineStr">
        <is>
          <t>Reckoner 92</t>
        </is>
      </c>
      <c r="D874" t="n">
        <v>159</v>
      </c>
      <c r="E874" t="inlineStr">
        <is>
          <t xml:space="preserve"> Unisex</t>
        </is>
      </c>
      <c r="F874" t="n">
        <v>159</v>
      </c>
      <c r="G874" t="n">
        <v>158.8</v>
      </c>
      <c r="H874" t="n">
        <v>104</v>
      </c>
      <c r="I874" t="n">
        <v>133</v>
      </c>
      <c r="J874" t="n">
        <v>123</v>
      </c>
      <c r="K874" t="n">
        <v>91</v>
      </c>
      <c r="L874" t="n">
        <v>113</v>
      </c>
      <c r="M874" t="n">
        <v>14.8</v>
      </c>
      <c r="N874" t="n">
        <v>1522</v>
      </c>
      <c r="O874" t="n">
        <v>1.06</v>
      </c>
      <c r="P874" t="n">
        <v>1615</v>
      </c>
      <c r="Q874" t="n">
        <v>150</v>
      </c>
      <c r="R874" t="n">
        <v>68</v>
      </c>
      <c r="S874" t="n">
        <v>49</v>
      </c>
      <c r="T874" t="n">
        <v>278</v>
      </c>
      <c r="U874" t="n">
        <v>42</v>
      </c>
      <c r="V874" t="n">
        <v>274</v>
      </c>
      <c r="W874" t="n">
        <v>0.865</v>
      </c>
      <c r="X874" t="n">
        <v>113</v>
      </c>
      <c r="Y874" t="n">
        <v>143</v>
      </c>
      <c r="Z874" t="n">
        <v>165</v>
      </c>
      <c r="AA874" t="n">
        <v>5</v>
      </c>
      <c r="AB874" t="n">
        <v>4.3</v>
      </c>
      <c r="AC874" t="inlineStr">
        <is>
          <t xml:space="preserve"> Freeski</t>
        </is>
      </c>
      <c r="AD874" t="inlineStr">
        <is>
          <t xml:space="preserve"> Touring</t>
        </is>
      </c>
      <c r="AG874" t="inlineStr">
        <is>
          <t>K2 Reckoner 92 Skis</t>
        </is>
      </c>
      <c r="AH874" t="inlineStr">
        <is>
          <t>Snowinn.com</t>
        </is>
      </c>
      <c r="AI874" s="333" t="n">
        <v>260.99</v>
      </c>
      <c r="AJ874" t="inlineStr">
        <is>
          <t>https://tinyurl.com/yc4e3xyc</t>
        </is>
      </c>
      <c r="AK874" t="inlineStr">
        <is>
          <t>K2 2022 Reckoner 92 Alliance Women's Skis</t>
        </is>
      </c>
      <c r="AL874" t="inlineStr">
        <is>
          <t>WinterWomen.com</t>
        </is>
      </c>
      <c r="AM874" s="333" t="n">
        <v>299.95</v>
      </c>
      <c r="AN874" t="inlineStr">
        <is>
          <t>https://tinyurl.com/yalwfshj</t>
        </is>
      </c>
      <c r="AO874" t="inlineStr">
        <is>
          <t>K2 Reckoner 92 Skis</t>
        </is>
      </c>
      <c r="AP874" t="inlineStr">
        <is>
          <t>evo.com</t>
        </is>
      </c>
      <c r="AQ874" s="333" t="n">
        <v>299.95</v>
      </c>
      <c r="AR874" t="inlineStr">
        <is>
          <t>https://tinyurl.com/y8yqusd4</t>
        </is>
      </c>
      <c r="AS874" s="314">
        <f>IF(LEFT(C874,1)=" ",RIGHT(C874,LEN(C874)-1),C874)</f>
        <v/>
      </c>
      <c r="AT874" s="281">
        <f>_xlfn.CONCAT(B874,AS874,D874,E874)</f>
        <v/>
      </c>
    </row>
    <row r="875">
      <c r="A875" t="inlineStr">
        <is>
          <t>21/22</t>
        </is>
      </c>
      <c r="B875" t="inlineStr">
        <is>
          <t xml:space="preserve"> Vï¿½lkl</t>
        </is>
      </c>
      <c r="C875" t="inlineStr">
        <is>
          <t>Bash 81</t>
        </is>
      </c>
      <c r="D875" t="n">
        <v>148</v>
      </c>
      <c r="E875" t="inlineStr">
        <is>
          <t xml:space="preserve"> Unisex</t>
        </is>
      </c>
      <c r="F875" t="n">
        <v>148</v>
      </c>
      <c r="G875" t="n">
        <v>146.9</v>
      </c>
      <c r="H875" t="n">
        <v>117</v>
      </c>
      <c r="I875" t="n">
        <v>125</v>
      </c>
      <c r="J875" t="n">
        <v>111</v>
      </c>
      <c r="K875" t="n">
        <v>80</v>
      </c>
      <c r="L875" t="n">
        <v>104</v>
      </c>
      <c r="M875" t="n">
        <v>13.8</v>
      </c>
      <c r="N875" t="n">
        <v>1433</v>
      </c>
      <c r="O875" t="n">
        <v>0.93</v>
      </c>
      <c r="P875" t="n">
        <v>1329</v>
      </c>
      <c r="Q875" t="n">
        <v>154</v>
      </c>
      <c r="R875" t="n">
        <v>77</v>
      </c>
      <c r="S875" t="n">
        <v>46</v>
      </c>
      <c r="T875" t="n">
        <v>160</v>
      </c>
      <c r="U875" t="n">
        <v>38</v>
      </c>
      <c r="V875" t="n">
        <v>140</v>
      </c>
      <c r="W875" t="n">
        <v>0.8179999999999999</v>
      </c>
      <c r="X875" t="n">
        <v>86</v>
      </c>
      <c r="Y875" t="n">
        <v>130</v>
      </c>
      <c r="Z875" t="n">
        <v>74</v>
      </c>
      <c r="AA875" t="n">
        <v>5</v>
      </c>
      <c r="AB875" t="n">
        <v>1.9</v>
      </c>
      <c r="AC875" t="inlineStr">
        <is>
          <t xml:space="preserve"> Resort Freeride</t>
        </is>
      </c>
      <c r="AD875" t="inlineStr">
        <is>
          <t xml:space="preserve"> Freeski</t>
        </is>
      </c>
      <c r="AG875" t="inlineStr">
        <is>
          <t>Volkl Bash 81 Skis 2021 - 148</t>
        </is>
      </c>
      <c r="AH875" t="inlineStr">
        <is>
          <t>Blue Tomato</t>
        </is>
      </c>
      <c r="AI875" s="333" t="n">
        <v>249.37</v>
      </c>
      <c r="AJ875" t="inlineStr">
        <is>
          <t>https://tinyurl.com/yal2dqkz</t>
        </is>
      </c>
      <c r="AK875" t="inlineStr">
        <is>
          <t>Volkl Bash 81 Skis 2021 - 148</t>
        </is>
      </c>
      <c r="AL875" t="inlineStr">
        <is>
          <t>eBay - asogear</t>
        </is>
      </c>
      <c r="AM875" s="333" t="n">
        <v>251.99</v>
      </c>
      <c r="AN875" t="inlineStr">
        <is>
          <t>https://tinyurl.com/y7cmjmp3</t>
        </is>
      </c>
      <c r="AO875" t="inlineStr">
        <is>
          <t>Volkl Bash Jr incl. bindings 148cm</t>
        </is>
      </c>
      <c r="AP875" t="inlineStr">
        <is>
          <t>Sundance Ski and Board Shop</t>
        </is>
      </c>
      <c r="AQ875" s="333" t="n">
        <v>200.35</v>
      </c>
      <c r="AR875" t="inlineStr">
        <is>
          <t>https://tinyurl.com/yceeplyn</t>
        </is>
      </c>
      <c r="AS875" s="314">
        <f>IF(LEFT(C875,1)=" ",RIGHT(C875,LEN(C875)-1),C875)</f>
        <v/>
      </c>
      <c r="AT875" s="281">
        <f>_xlfn.CONCAT(B875,AS875,D875,E875)</f>
        <v/>
      </c>
    </row>
    <row r="876">
      <c r="A876" t="inlineStr">
        <is>
          <t>21/22</t>
        </is>
      </c>
      <c r="B876" t="inlineStr">
        <is>
          <t xml:space="preserve"> Black Crows</t>
        </is>
      </c>
      <c r="C876" t="inlineStr">
        <is>
          <t xml:space="preserve"> Camox Freebird</t>
        </is>
      </c>
      <c r="D876" t="n">
        <v>160.2</v>
      </c>
      <c r="E876" t="inlineStr">
        <is>
          <t xml:space="preserve"> Unisex</t>
        </is>
      </c>
      <c r="F876" t="n">
        <v>160.2</v>
      </c>
      <c r="G876" t="n">
        <v>159.8</v>
      </c>
      <c r="H876" t="n">
        <v>114</v>
      </c>
      <c r="I876" t="n">
        <v>135</v>
      </c>
      <c r="J876" t="n">
        <v>128</v>
      </c>
      <c r="K876" t="n">
        <v>95</v>
      </c>
      <c r="L876" t="n">
        <v>112</v>
      </c>
      <c r="M876" t="n">
        <v>17.3</v>
      </c>
      <c r="N876" t="n">
        <v>1331</v>
      </c>
      <c r="O876" t="n">
        <v>1.26</v>
      </c>
      <c r="P876" t="n">
        <v>1675</v>
      </c>
      <c r="Q876" t="n">
        <v>155</v>
      </c>
      <c r="R876" t="n">
        <v>77</v>
      </c>
      <c r="S876" t="n">
        <v>52</v>
      </c>
      <c r="T876" t="n">
        <v>307</v>
      </c>
      <c r="U876" t="n">
        <v>15</v>
      </c>
      <c r="V876" t="n">
        <v>155</v>
      </c>
      <c r="W876" t="n">
        <v>0.291</v>
      </c>
      <c r="X876" t="n">
        <v>149</v>
      </c>
      <c r="Y876" t="n">
        <v>104</v>
      </c>
      <c r="Z876" t="n">
        <v>158</v>
      </c>
      <c r="AA876" t="n">
        <v>3</v>
      </c>
      <c r="AB876" t="n">
        <v>8.1</v>
      </c>
      <c r="AC876" t="inlineStr">
        <is>
          <t xml:space="preserve"> Resort Freeride</t>
        </is>
      </c>
      <c r="AD876" t="inlineStr">
        <is>
          <t xml:space="preserve"> Touring</t>
        </is>
      </c>
      <c r="AE876" t="inlineStr">
        <is>
          <t xml:space="preserve"> Ultralight Touring</t>
        </is>
      </c>
      <c r="AG876" t="inlineStr">
        <is>
          <t>Black Crows Camox Freebird Skis - 2022</t>
        </is>
      </c>
      <c r="AH876" t="inlineStr">
        <is>
          <t>Powder7 Ski Shop</t>
        </is>
      </c>
      <c r="AI876" s="333" t="n">
        <v>591.9299999999999</v>
      </c>
      <c r="AJ876" t="inlineStr">
        <is>
          <t>https://tinyurl.com/yd794d2u</t>
        </is>
      </c>
      <c r="AK876" t="inlineStr">
        <is>
          <t>Black Crows Camox Freebird Skis - 2022</t>
        </is>
      </c>
      <c r="AL876" t="inlineStr">
        <is>
          <t>SkiEssentials.com</t>
        </is>
      </c>
      <c r="AM876" s="333" t="n">
        <v>591.96</v>
      </c>
      <c r="AN876" t="inlineStr">
        <is>
          <t>https://tinyurl.com/y84llolb</t>
        </is>
      </c>
      <c r="AO876" t="inlineStr">
        <is>
          <t>Black Crows Camox Freebird Skis - 2022</t>
        </is>
      </c>
      <c r="AP876" t="inlineStr">
        <is>
          <t>evo.com</t>
        </is>
      </c>
      <c r="AQ876" s="333" t="n">
        <v>591.96</v>
      </c>
      <c r="AR876" t="inlineStr">
        <is>
          <t>https://tinyurl.com/y7tvxe9k</t>
        </is>
      </c>
      <c r="AS876" s="314">
        <f>IF(LEFT(C876,1)=" ",RIGHT(C876,LEN(C876)-1),C876)</f>
        <v/>
      </c>
      <c r="AT876" s="281">
        <f>_xlfn.CONCAT(B876,AS876,D876,E876)</f>
        <v/>
      </c>
    </row>
    <row r="877">
      <c r="A877" t="inlineStr">
        <is>
          <t>21/22</t>
        </is>
      </c>
      <c r="B877" t="inlineStr">
        <is>
          <t xml:space="preserve"> Vï¿½lkl</t>
        </is>
      </c>
      <c r="C877" t="inlineStr">
        <is>
          <t>Yumi 84</t>
        </is>
      </c>
      <c r="D877" t="n">
        <v>168</v>
      </c>
      <c r="E877" t="inlineStr">
        <is>
          <t xml:space="preserve"> Women's</t>
        </is>
      </c>
      <c r="F877" t="n">
        <v>168</v>
      </c>
      <c r="G877" t="n">
        <v>168.5</v>
      </c>
      <c r="H877" t="n">
        <v>115</v>
      </c>
      <c r="I877" t="n">
        <v>145</v>
      </c>
      <c r="J877" t="n">
        <v>124</v>
      </c>
      <c r="K877" t="n">
        <v>83</v>
      </c>
      <c r="L877" t="n">
        <v>106</v>
      </c>
      <c r="M877" t="n">
        <v>15.8</v>
      </c>
      <c r="N877" t="n">
        <v>1464</v>
      </c>
      <c r="O877" t="n">
        <v>1.11</v>
      </c>
      <c r="P877" t="n">
        <v>1623</v>
      </c>
      <c r="Q877" t="n">
        <v>176</v>
      </c>
      <c r="R877" t="n">
        <v>65</v>
      </c>
      <c r="S877" t="n">
        <v>38</v>
      </c>
      <c r="T877" t="n">
        <v>312</v>
      </c>
      <c r="U877" t="n">
        <v>15</v>
      </c>
      <c r="V877" t="n">
        <v>220</v>
      </c>
      <c r="W877" t="n">
        <v>0.387</v>
      </c>
      <c r="X877" t="n">
        <v>134</v>
      </c>
      <c r="Y877" t="n">
        <v>103</v>
      </c>
      <c r="Z877" t="n">
        <v>178</v>
      </c>
      <c r="AA877" t="n">
        <v>2</v>
      </c>
      <c r="AB877" t="n">
        <v>11.8</v>
      </c>
      <c r="AC877" t="inlineStr">
        <is>
          <t xml:space="preserve"> On-Piste All-Mountain</t>
        </is>
      </c>
      <c r="AD877" t="inlineStr">
        <is>
          <t xml:space="preserve"> Resort Freeride</t>
        </is>
      </c>
      <c r="AE877" t="inlineStr">
        <is>
          <t xml:space="preserve"> Touring</t>
        </is>
      </c>
      <c r="AG877" t="inlineStr">
        <is>
          <t>Volkl Yumi 84 Skis 2022 168cm</t>
        </is>
      </c>
      <c r="AH877" t="inlineStr">
        <is>
          <t>SkatePro.com</t>
        </is>
      </c>
      <c r="AI877" s="333" t="n">
        <v>419.95</v>
      </c>
      <c r="AJ877" t="inlineStr">
        <is>
          <t>https://tinyurl.com/yc9bb6fe</t>
        </is>
      </c>
      <c r="AK877" t="inlineStr">
        <is>
          <t>Volkl Yumi 84 Skis 2022 168cm</t>
        </is>
      </c>
      <c r="AL877" t="inlineStr">
        <is>
          <t>BlueZone Sports</t>
        </is>
      </c>
      <c r="AM877" s="333" t="n">
        <v>479.99</v>
      </c>
      <c r="AN877" t="inlineStr">
        <is>
          <t>https://tinyurl.com/ycbu79ub</t>
        </is>
      </c>
      <c r="AO877" t="inlineStr">
        <is>
          <t>Volkl Yumi 84 Skis 2022 168cm</t>
        </is>
      </c>
      <c r="AP877" t="inlineStr">
        <is>
          <t>The-House.com</t>
        </is>
      </c>
      <c r="AQ877" s="333" t="n">
        <v>479.99</v>
      </c>
      <c r="AR877" t="inlineStr">
        <is>
          <t>https://tinyurl.com/y98t7qwv</t>
        </is>
      </c>
      <c r="AS877" s="314">
        <f>IF(LEFT(C877,1)=" ",RIGHT(C877,LEN(C877)-1),C877)</f>
        <v/>
      </c>
      <c r="AT877" s="281">
        <f>_xlfn.CONCAT(B877,AS877,D877,E877)</f>
        <v/>
      </c>
    </row>
    <row r="878">
      <c r="A878" t="inlineStr">
        <is>
          <t>21/22</t>
        </is>
      </c>
      <c r="B878" t="inlineStr">
        <is>
          <t xml:space="preserve"> Dynastar</t>
        </is>
      </c>
      <c r="C878" t="inlineStr">
        <is>
          <t>Speed 763</t>
        </is>
      </c>
      <c r="D878" t="n">
        <v>158</v>
      </c>
      <c r="E878" t="inlineStr">
        <is>
          <t xml:space="preserve"> Unisex</t>
        </is>
      </c>
      <c r="F878" t="n">
        <v>158</v>
      </c>
      <c r="G878" t="n">
        <v>157.5</v>
      </c>
      <c r="H878" t="n">
        <v>136</v>
      </c>
      <c r="I878" t="n">
        <v>143</v>
      </c>
      <c r="J878" t="n">
        <v>121</v>
      </c>
      <c r="K878" t="n">
        <v>72</v>
      </c>
      <c r="L878" t="n">
        <v>106</v>
      </c>
      <c r="M878" t="n">
        <v>12.1</v>
      </c>
      <c r="N878" t="n">
        <v>1913</v>
      </c>
      <c r="O878" t="n">
        <v>0.72</v>
      </c>
      <c r="P878" t="n">
        <v>1372</v>
      </c>
      <c r="Q878" t="n">
        <v>220</v>
      </c>
      <c r="R878" t="n">
        <v>115</v>
      </c>
      <c r="S878" t="n">
        <v>40</v>
      </c>
      <c r="T878" t="n">
        <v>151</v>
      </c>
      <c r="U878" t="n">
        <v>7</v>
      </c>
      <c r="V878" t="n">
        <v>62</v>
      </c>
      <c r="W878" t="n">
        <v>0.188999999999999</v>
      </c>
      <c r="X878" t="n">
        <v>84</v>
      </c>
      <c r="Y878" t="n">
        <v>64</v>
      </c>
      <c r="Z878" t="n">
        <v>67</v>
      </c>
      <c r="AA878" t="n">
        <v>10</v>
      </c>
      <c r="AB878" t="n">
        <v>11.1</v>
      </c>
      <c r="AC878" t="inlineStr">
        <is>
          <t xml:space="preserve"> On-Piste Carving</t>
        </is>
      </c>
      <c r="AG878" t="inlineStr">
        <is>
          <t>2022 Dynastar Speed 4x4 763 Skis with SPX 12 GW Bindings - 158| Ski Essentials</t>
        </is>
      </c>
      <c r="AH878" t="inlineStr">
        <is>
          <t>eBay - david110549</t>
        </is>
      </c>
      <c r="AI878" s="333" t="n">
        <v>899.95</v>
      </c>
      <c r="AJ878" t="inlineStr">
        <is>
          <t>https://tinyurl.com/y97p3bym</t>
        </is>
      </c>
      <c r="AK878" t="inlineStr">
        <is>
          <t>2022 Dynastar Speed 4x4 763 Skis with SPX 12 GW Bindings - 158| Ski Essentials</t>
        </is>
      </c>
      <c r="AL878" t="inlineStr">
        <is>
          <t>SkiEssentials.com</t>
        </is>
      </c>
      <c r="AM878" s="333" t="n">
        <v>899.95</v>
      </c>
      <c r="AN878" t="inlineStr">
        <is>
          <t>https://tinyurl.com/y77ofafx</t>
        </is>
      </c>
      <c r="AO878" t="inlineStr">
        <is>
          <t>Dynastar Men's Speed 4x4 263 Skis with Xpress 10 Bindings '22</t>
        </is>
      </c>
      <c r="AP878" t="inlineStr">
        <is>
          <t>sunandski.com</t>
        </is>
      </c>
      <c r="AQ878" s="333" t="n">
        <v>319.93</v>
      </c>
      <c r="AR878" t="inlineStr">
        <is>
          <t>https://tinyurl.com/yam4bbc8</t>
        </is>
      </c>
      <c r="AS878" s="314">
        <f>IF(LEFT(C878,1)=" ",RIGHT(C878,LEN(C878)-1),C878)</f>
        <v/>
      </c>
      <c r="AT878" s="281">
        <f>_xlfn.CONCAT(B878,AS878,D878,E878)</f>
        <v/>
      </c>
    </row>
    <row r="879">
      <c r="A879" t="inlineStr">
        <is>
          <t>21/22</t>
        </is>
      </c>
      <c r="B879" t="inlineStr">
        <is>
          <t xml:space="preserve"> Fischer</t>
        </is>
      </c>
      <c r="C879" t="inlineStr">
        <is>
          <t>Ranger 92 Ti</t>
        </is>
      </c>
      <c r="D879" t="n">
        <v>185</v>
      </c>
      <c r="E879" t="inlineStr">
        <is>
          <t xml:space="preserve"> Unisex</t>
        </is>
      </c>
      <c r="F879" t="n">
        <v>185</v>
      </c>
      <c r="G879" t="n">
        <v>184.5</v>
      </c>
      <c r="H879" t="n">
        <v>131</v>
      </c>
      <c r="I879" t="n">
        <v>155</v>
      </c>
      <c r="J879" t="n">
        <v>126</v>
      </c>
      <c r="K879" t="n">
        <v>91</v>
      </c>
      <c r="L879" t="n">
        <v>117</v>
      </c>
      <c r="M879" t="n">
        <v>16.6</v>
      </c>
      <c r="N879" t="n">
        <v>1851</v>
      </c>
      <c r="O879" t="n">
        <v>1.04</v>
      </c>
      <c r="P879" t="n">
        <v>1932</v>
      </c>
      <c r="Q879" t="n">
        <v>266</v>
      </c>
      <c r="R879" t="n">
        <v>141</v>
      </c>
      <c r="S879" t="n">
        <v>49</v>
      </c>
      <c r="T879" t="n">
        <v>312</v>
      </c>
      <c r="U879" t="n">
        <v>19</v>
      </c>
      <c r="V879" t="n">
        <v>227</v>
      </c>
      <c r="W879" t="n">
        <v>0.392999999999999</v>
      </c>
      <c r="X879" t="n">
        <v>140</v>
      </c>
      <c r="Y879" t="n">
        <v>150</v>
      </c>
      <c r="Z879" t="n">
        <v>172</v>
      </c>
      <c r="AA879" t="n">
        <v>5</v>
      </c>
      <c r="AB879" t="n">
        <v>10.5</v>
      </c>
      <c r="AC879" t="inlineStr">
        <is>
          <t xml:space="preserve"> Resort Freeride</t>
        </is>
      </c>
      <c r="AG879" t="inlineStr">
        <is>
          <t>Fischer Ranger 92 Ti Ski 2022</t>
        </is>
      </c>
      <c r="AH879" t="inlineStr">
        <is>
          <t>Telemark Pyrenees</t>
        </is>
      </c>
      <c r="AI879" s="333" t="n">
        <v>348.3</v>
      </c>
      <c r="AJ879" t="inlineStr">
        <is>
          <t>https://tinyurl.com/y959ov3t</t>
        </is>
      </c>
      <c r="AK879" t="inlineStr">
        <is>
          <t>Fischer Ranger 92 TI Flat Ski 2021-2022 | BLACK/BLUE / 185</t>
        </is>
      </c>
      <c r="AL879" t="inlineStr">
        <is>
          <t>Ski Pro  - Snow Ski &amp; Snowboard</t>
        </is>
      </c>
      <c r="AM879" s="333" t="n">
        <v>499.95</v>
      </c>
      <c r="AN879" t="inlineStr">
        <is>
          <t>https://tinyurl.com/ycstq8lz</t>
        </is>
      </c>
      <c r="AO879" t="inlineStr">
        <is>
          <t>Fischer Ranger 92 Ti Ski 185</t>
        </is>
      </c>
      <c r="AP879" t="inlineStr">
        <is>
          <t>Ski The Whites</t>
        </is>
      </c>
      <c r="AQ879" s="333" t="n">
        <v>649.95</v>
      </c>
      <c r="AR879" t="inlineStr">
        <is>
          <t>https://tinyurl.com/yagxonqb</t>
        </is>
      </c>
      <c r="AS879" s="314">
        <f>IF(LEFT(C879,1)=" ",RIGHT(C879,LEN(C879)-1),C879)</f>
        <v/>
      </c>
      <c r="AT879" s="281">
        <f>_xlfn.CONCAT(B879,AS879,D879,E879)</f>
        <v/>
      </c>
    </row>
    <row r="880">
      <c r="A880" t="inlineStr">
        <is>
          <t>21/22</t>
        </is>
      </c>
      <c r="B880" t="inlineStr">
        <is>
          <t xml:space="preserve"> Atomic</t>
        </is>
      </c>
      <c r="C880" t="inlineStr">
        <is>
          <t>Redster S7</t>
        </is>
      </c>
      <c r="D880" t="n">
        <v>149</v>
      </c>
      <c r="E880" t="inlineStr">
        <is>
          <t xml:space="preserve"> Unisex</t>
        </is>
      </c>
      <c r="F880" t="n">
        <v>149</v>
      </c>
      <c r="G880" t="n">
        <v>146</v>
      </c>
      <c r="H880" t="n">
        <v>125</v>
      </c>
      <c r="I880" t="n">
        <v>133</v>
      </c>
      <c r="J880" t="n">
        <v>108</v>
      </c>
      <c r="K880" t="n">
        <v>69</v>
      </c>
      <c r="L880" t="n">
        <v>96</v>
      </c>
      <c r="M880" t="n">
        <v>13</v>
      </c>
      <c r="N880" t="n">
        <v>1474</v>
      </c>
      <c r="O880" t="n">
        <v>0.8100000000000001</v>
      </c>
      <c r="P880" t="n">
        <v>1195</v>
      </c>
      <c r="Q880" t="n">
        <v>153</v>
      </c>
      <c r="R880" t="n">
        <v>69</v>
      </c>
      <c r="S880" t="n">
        <v>40</v>
      </c>
      <c r="T880" t="n">
        <v>151</v>
      </c>
      <c r="U880" t="n">
        <v>5</v>
      </c>
      <c r="V880" t="n">
        <v>58</v>
      </c>
      <c r="W880" t="n">
        <v>0.122</v>
      </c>
      <c r="X880" t="n">
        <v>83</v>
      </c>
      <c r="Y880" t="n">
        <v>52</v>
      </c>
      <c r="Z880" t="n">
        <v>68</v>
      </c>
      <c r="AA880" t="n">
        <v>6</v>
      </c>
      <c r="AB880" t="n">
        <v>12.4</v>
      </c>
      <c r="AC880" t="inlineStr">
        <is>
          <t xml:space="preserve"> On-Piste Carving</t>
        </is>
      </c>
      <c r="AG880" t="inlineStr">
        <is>
          <t>Atomic Redster S7 Ft+ft 12 GW Alpine Skis 149</t>
        </is>
      </c>
      <c r="AH880" t="inlineStr">
        <is>
          <t>eBay - asogear</t>
        </is>
      </c>
      <c r="AI880" s="333" t="n">
        <v>629.99</v>
      </c>
      <c r="AJ880" t="inlineStr">
        <is>
          <t>https://tinyurl.com/y8oq44ok</t>
        </is>
      </c>
      <c r="AK880" t="inlineStr">
        <is>
          <t>Skiing Atomic Redster Sc With Bindings Allround The Tracks Skis</t>
        </is>
      </c>
      <c r="AL880" t="inlineStr">
        <is>
          <t>eBay</t>
        </is>
      </c>
      <c r="AM880" s="333" t="n">
        <v>321.07</v>
      </c>
      <c r="AN880" t="inlineStr">
        <is>
          <t>https://tinyurl.com/y94lhmx5</t>
        </is>
      </c>
      <c r="AS880" s="314">
        <f>IF(LEFT(C880,1)=" ",RIGHT(C880,LEN(C880)-1),C880)</f>
        <v/>
      </c>
      <c r="AT880" s="281">
        <f>_xlfn.CONCAT(B880,AS880,D880,E880)</f>
        <v/>
      </c>
    </row>
    <row r="881">
      <c r="A881" t="inlineStr">
        <is>
          <t>21/22</t>
        </is>
      </c>
      <c r="B881" t="inlineStr">
        <is>
          <t xml:space="preserve"> Head</t>
        </is>
      </c>
      <c r="C881" t="inlineStr">
        <is>
          <t xml:space="preserve"> Absolut Joy</t>
        </is>
      </c>
      <c r="D881" t="n">
        <v>153</v>
      </c>
      <c r="E881" t="inlineStr">
        <is>
          <t xml:space="preserve"> Women's</t>
        </is>
      </c>
      <c r="F881" t="n">
        <v>153</v>
      </c>
      <c r="G881" t="n">
        <v>152.3</v>
      </c>
      <c r="H881" t="n">
        <v>131</v>
      </c>
      <c r="I881" t="n">
        <v>135</v>
      </c>
      <c r="J881" t="n">
        <v>130</v>
      </c>
      <c r="K881" t="n">
        <v>78</v>
      </c>
      <c r="L881" t="n">
        <v>108</v>
      </c>
      <c r="M881" t="n">
        <v>11.2</v>
      </c>
      <c r="N881" t="n">
        <v>1604</v>
      </c>
      <c r="O881" t="n">
        <v>0.89</v>
      </c>
      <c r="P881" t="n">
        <v>1425</v>
      </c>
      <c r="Q881" t="n">
        <v>122</v>
      </c>
      <c r="R881" t="n">
        <v>65</v>
      </c>
      <c r="S881" t="n">
        <v>34</v>
      </c>
      <c r="T881" t="n">
        <v>136</v>
      </c>
      <c r="U881" t="n">
        <v>11</v>
      </c>
      <c r="V881" t="n">
        <v>73</v>
      </c>
      <c r="W881" t="n">
        <v>0.337999999999999</v>
      </c>
      <c r="X881" t="n">
        <v>111</v>
      </c>
      <c r="Y881" t="n">
        <v>62</v>
      </c>
      <c r="Z881" t="n">
        <v>25</v>
      </c>
      <c r="AA881" t="n">
        <v>11</v>
      </c>
      <c r="AB881" t="n">
        <v>10.8</v>
      </c>
      <c r="AC881" t="inlineStr">
        <is>
          <t xml:space="preserve"> On-Piste Carving</t>
        </is>
      </c>
      <c r="AD881" t="inlineStr">
        <is>
          <t xml:space="preserve"> On-Piste All-Mountain</t>
        </is>
      </c>
      <c r="AG881" t="inlineStr">
        <is>
          <t xml:space="preserve"> Head Absolut Joy Womens Skis C by GalacticSnowSports</t>
        </is>
      </c>
      <c r="AH881" t="inlineStr">
        <is>
          <t>GalacticSnowSports</t>
        </is>
      </c>
      <c r="AI881" s="333" t="n">
        <v>239.99</v>
      </c>
      <c r="AJ881" t="inlineStr">
        <is>
          <t>https://tinyurl.com/ybjar4qd</t>
        </is>
      </c>
      <c r="AK881" t="inlineStr">
        <is>
          <t>Head Absolut Joy SLR Joy Pro + JOY 9 GW 153cm</t>
        </is>
      </c>
      <c r="AL881" t="inlineStr">
        <is>
          <t>Sundance Ski and Board Shop</t>
        </is>
      </c>
      <c r="AM881" s="333" t="n">
        <v>416.75</v>
      </c>
      <c r="AN881" t="inlineStr">
        <is>
          <t>https://tinyurl.com/yc569j3o</t>
        </is>
      </c>
      <c r="AO881" t="inlineStr">
        <is>
          <t>Head Absolut Joy Skis w/ Joy 9 GW SLR Bindings</t>
        </is>
      </c>
      <c r="AP881" t="inlineStr">
        <is>
          <t>BobWards.com</t>
        </is>
      </c>
      <c r="AQ881" s="333" t="n">
        <v>450</v>
      </c>
      <c r="AR881" t="inlineStr">
        <is>
          <t>https://tinyurl.com/y9rxrezf</t>
        </is>
      </c>
      <c r="AS881" s="314">
        <f>IF(LEFT(C881,1)=" ",RIGHT(C881,LEN(C881)-1),C881)</f>
        <v/>
      </c>
      <c r="AT881" s="281">
        <f>_xlfn.CONCAT(B881,AS881,D881,E881)</f>
        <v/>
      </c>
    </row>
    <row r="882">
      <c r="A882" t="inlineStr">
        <is>
          <t>21/22</t>
        </is>
      </c>
      <c r="B882" t="inlineStr">
        <is>
          <t xml:space="preserve"> Line</t>
        </is>
      </c>
      <c r="C882" t="inlineStr">
        <is>
          <t xml:space="preserve"> Blend</t>
        </is>
      </c>
      <c r="D882" t="n">
        <v>171</v>
      </c>
      <c r="E882" t="inlineStr">
        <is>
          <t xml:space="preserve"> Unisex</t>
        </is>
      </c>
      <c r="F882" t="n">
        <v>171</v>
      </c>
      <c r="G882" t="n">
        <v>171.7</v>
      </c>
      <c r="H882" t="n">
        <v>119</v>
      </c>
      <c r="I882" t="n">
        <v>147</v>
      </c>
      <c r="J882" t="n">
        <v>132</v>
      </c>
      <c r="K882" t="n">
        <v>99</v>
      </c>
      <c r="L882" t="n">
        <v>122</v>
      </c>
      <c r="M882" t="n">
        <v>18.7</v>
      </c>
      <c r="N882" t="n">
        <v>1651</v>
      </c>
      <c r="O882" t="n">
        <v>1.14</v>
      </c>
      <c r="P882" t="n">
        <v>1881</v>
      </c>
      <c r="Q882" t="n">
        <v>130</v>
      </c>
      <c r="R882" t="n">
        <v>58</v>
      </c>
      <c r="S882" t="n">
        <v>41</v>
      </c>
      <c r="T882" t="n">
        <v>249</v>
      </c>
      <c r="U882" t="n">
        <v>38</v>
      </c>
      <c r="V882" t="n">
        <v>276</v>
      </c>
      <c r="W882" t="n">
        <v>0.9370000000000001</v>
      </c>
      <c r="X882" t="n">
        <v>106</v>
      </c>
      <c r="Y882" t="n">
        <v>137</v>
      </c>
      <c r="Z882" t="n">
        <v>143</v>
      </c>
      <c r="AA882" t="n">
        <v>6</v>
      </c>
      <c r="AB882" t="n">
        <v>4.5</v>
      </c>
      <c r="AC882" t="inlineStr">
        <is>
          <t xml:space="preserve"> Freeski</t>
        </is>
      </c>
      <c r="AD882" t="inlineStr">
        <is>
          <t xml:space="preserve"> Touring</t>
        </is>
      </c>
      <c r="AG882" t="inlineStr">
        <is>
          <t>Line 2022 Blend Skis</t>
        </is>
      </c>
      <c r="AH882" t="inlineStr">
        <is>
          <t>Next Adventure</t>
        </is>
      </c>
      <c r="AI882" s="333" t="n">
        <v>479.96</v>
      </c>
      <c r="AJ882" t="inlineStr">
        <is>
          <t>https://tinyurl.com/ycujgg2f</t>
        </is>
      </c>
      <c r="AK882" t="inlineStr">
        <is>
          <t>Line 2022 Blend Skis</t>
        </is>
      </c>
      <c r="AL882" t="inlineStr">
        <is>
          <t>BlueZone Sports</t>
        </is>
      </c>
      <c r="AM882" s="333" t="n">
        <v>479.96</v>
      </c>
      <c r="AN882" t="inlineStr">
        <is>
          <t>https://tinyurl.com/y7oouf28</t>
        </is>
      </c>
      <c r="AO882" t="inlineStr">
        <is>
          <t>'22 Line Blend Skis 171cm</t>
        </is>
      </c>
      <c r="AP882" t="inlineStr">
        <is>
          <t>Al's Ski Equipment Barn</t>
        </is>
      </c>
      <c r="AQ882" s="333" t="n">
        <v>549.95</v>
      </c>
      <c r="AR882" t="inlineStr">
        <is>
          <t>https://tinyurl.com/y8eyzmwf</t>
        </is>
      </c>
      <c r="AS882" s="314">
        <f>IF(LEFT(C882,1)=" ",RIGHT(C882,LEN(C882)-1),C882)</f>
        <v/>
      </c>
      <c r="AT882" s="281">
        <f>_xlfn.CONCAT(B882,AS882,D882,E882)</f>
        <v/>
      </c>
    </row>
    <row r="883">
      <c r="A883" t="inlineStr">
        <is>
          <t>21/22</t>
        </is>
      </c>
      <c r="B883" t="inlineStr">
        <is>
          <t xml:space="preserve"> Head</t>
        </is>
      </c>
      <c r="C883" t="inlineStr">
        <is>
          <t>V-Shape V4</t>
        </is>
      </c>
      <c r="D883" t="n">
        <v>156</v>
      </c>
      <c r="E883" t="inlineStr">
        <is>
          <t xml:space="preserve"> Unisex</t>
        </is>
      </c>
      <c r="F883" t="n">
        <v>156</v>
      </c>
      <c r="G883" t="n">
        <v>155.2</v>
      </c>
      <c r="H883" t="n">
        <v>136</v>
      </c>
      <c r="I883" t="n">
        <v>142</v>
      </c>
      <c r="J883" t="n">
        <v>131</v>
      </c>
      <c r="K883" t="n">
        <v>72</v>
      </c>
      <c r="L883" t="n">
        <v>111</v>
      </c>
      <c r="M883" t="n">
        <v>10.3</v>
      </c>
      <c r="N883" t="n">
        <v>1682</v>
      </c>
      <c r="O883" t="n">
        <v>0.84</v>
      </c>
      <c r="P883" t="n">
        <v>1410</v>
      </c>
      <c r="Q883" t="n">
        <v>135</v>
      </c>
      <c r="R883" t="n">
        <v>69</v>
      </c>
      <c r="S883" t="n">
        <v>33</v>
      </c>
      <c r="T883" t="n">
        <v>138</v>
      </c>
      <c r="U883" t="n">
        <v>6</v>
      </c>
      <c r="V883" t="n">
        <v>54</v>
      </c>
      <c r="W883" t="n">
        <v>0.173</v>
      </c>
      <c r="X883" t="n">
        <v>83</v>
      </c>
      <c r="Y883" t="n">
        <v>45</v>
      </c>
      <c r="Z883" t="n">
        <v>55</v>
      </c>
      <c r="AA883" t="n">
        <v>13</v>
      </c>
      <c r="AB883" t="n">
        <v>12.2</v>
      </c>
      <c r="AC883" t="inlineStr">
        <is>
          <t xml:space="preserve"> On-Piste Carving</t>
        </is>
      </c>
      <c r="AG883" t="inlineStr">
        <is>
          <t>Head V-shape V4 Skis + Size Adjustable Pr 10 Gw Bindings 156cm Pair</t>
        </is>
      </c>
      <c r="AH883" t="inlineStr">
        <is>
          <t>eBay - wintersportdeals</t>
        </is>
      </c>
      <c r="AI883" s="333" t="n">
        <v>419.99</v>
      </c>
      <c r="AJ883" t="inlineStr">
        <is>
          <t>https://tinyurl.com/y75fa5me</t>
        </is>
      </c>
      <c r="AK883" t="inlineStr">
        <is>
          <t>Head V-Shape V4 XL LYT Skis with PR 10 GW Promo Binding Â· 2022</t>
        </is>
      </c>
      <c r="AL883" t="inlineStr">
        <is>
          <t>Walmart - WEBY Corporation</t>
        </is>
      </c>
      <c r="AM883" s="333" t="n">
        <v>466</v>
      </c>
      <c r="AN883" t="inlineStr">
        <is>
          <t>https://tinyurl.com/y8nylzzl</t>
        </is>
      </c>
      <c r="AO883" t="inlineStr">
        <is>
          <t>Head V-Shape V4 XL LYT Skis with PR 10 GW Promo Binding Â· 2022</t>
        </is>
      </c>
      <c r="AP883" t="inlineStr">
        <is>
          <t>GritrOutdoors</t>
        </is>
      </c>
      <c r="AQ883" s="333" t="n">
        <v>489</v>
      </c>
      <c r="AR883" t="inlineStr">
        <is>
          <t>https://tinyurl.com/y8efnzyv</t>
        </is>
      </c>
      <c r="AS883" s="314">
        <f>IF(LEFT(C883,1)=" ",RIGHT(C883,LEN(C883)-1),C883)</f>
        <v/>
      </c>
      <c r="AT883" s="281">
        <f>_xlfn.CONCAT(B883,AS883,D883,E883)</f>
        <v/>
      </c>
    </row>
    <row r="884">
      <c r="A884" t="inlineStr">
        <is>
          <t>21/22</t>
        </is>
      </c>
      <c r="B884" t="inlineStr">
        <is>
          <t xml:space="preserve"> Atomic</t>
        </is>
      </c>
      <c r="C884" t="inlineStr">
        <is>
          <t>Redster S9 Servo</t>
        </is>
      </c>
      <c r="D884" t="n">
        <v>159</v>
      </c>
      <c r="E884" t="inlineStr">
        <is>
          <t xml:space="preserve"> Unisex</t>
        </is>
      </c>
      <c r="F884" t="n">
        <v>159</v>
      </c>
      <c r="G884" t="n">
        <v>158</v>
      </c>
      <c r="H884" t="n">
        <v>137</v>
      </c>
      <c r="I884" t="n">
        <v>145</v>
      </c>
      <c r="J884" t="n">
        <v>117</v>
      </c>
      <c r="K884" t="n">
        <v>69</v>
      </c>
      <c r="L884" t="n">
        <v>103</v>
      </c>
      <c r="M884" t="n">
        <v>12.1</v>
      </c>
      <c r="N884" t="n">
        <v>2069</v>
      </c>
      <c r="O884" t="n">
        <v>0.64</v>
      </c>
      <c r="P884" t="n">
        <v>1334</v>
      </c>
      <c r="Q884" t="n">
        <v>206</v>
      </c>
      <c r="R884" t="n">
        <v>102</v>
      </c>
      <c r="S884" t="n">
        <v>33</v>
      </c>
      <c r="T884" t="n">
        <v>153</v>
      </c>
      <c r="U884" t="n">
        <v>6</v>
      </c>
      <c r="V884" t="n">
        <v>53</v>
      </c>
      <c r="W884" t="n">
        <v>0.171</v>
      </c>
      <c r="X884" t="n">
        <v>81</v>
      </c>
      <c r="Y884" t="n">
        <v>54</v>
      </c>
      <c r="Z884" t="n">
        <v>72</v>
      </c>
      <c r="AA884" t="n">
        <v>10</v>
      </c>
      <c r="AB884" t="n">
        <v>13.7</v>
      </c>
      <c r="AC884" t="inlineStr">
        <is>
          <t xml:space="preserve"> On-Piste Carving</t>
        </is>
      </c>
      <c r="AG884" t="inlineStr">
        <is>
          <t>2020 Atomic Redster G9 Fis J-rp2 Skis W/ Z 12 Bindings-159</t>
        </is>
      </c>
      <c r="AH884" t="inlineStr">
        <is>
          <t>eBay - asogear</t>
        </is>
      </c>
      <c r="AI884" s="333" t="n">
        <v>299.99</v>
      </c>
      <c r="AJ884" t="inlineStr">
        <is>
          <t>https://tinyurl.com/ydg644jg</t>
        </is>
      </c>
      <c r="AK884" t="inlineStr">
        <is>
          <t>Atomic Redster G9 159 cm Ski + Atomic Neox 12 Bindings Winter Fun Sport FIS</t>
        </is>
      </c>
      <c r="AL884" t="inlineStr">
        <is>
          <t>Traventuria</t>
        </is>
      </c>
      <c r="AM884" s="333" t="n">
        <v>299.99</v>
      </c>
      <c r="AN884" t="inlineStr">
        <is>
          <t>https://tinyurl.com/yb2suolq</t>
        </is>
      </c>
      <c r="AO884" t="inlineStr">
        <is>
          <t>Atomic Redster G9 Fis J-RP Junior Race Skis 159cm</t>
        </is>
      </c>
      <c r="AP884" t="inlineStr">
        <is>
          <t>sidecountrysports.com</t>
        </is>
      </c>
      <c r="AQ884" s="333" t="n">
        <v>399.99</v>
      </c>
      <c r="AR884" t="inlineStr">
        <is>
          <t>https://tinyurl.com/y8mzobo3</t>
        </is>
      </c>
      <c r="AS884" s="314">
        <f>IF(LEFT(C884,1)=" ",RIGHT(C884,LEN(C884)-1),C884)</f>
        <v/>
      </c>
      <c r="AT884" s="281">
        <f>_xlfn.CONCAT(B884,AS884,D884,E884)</f>
        <v/>
      </c>
    </row>
    <row r="885">
      <c r="A885" t="inlineStr">
        <is>
          <t>21/22</t>
        </is>
      </c>
      <c r="B885" t="inlineStr">
        <is>
          <t xml:space="preserve"> Dynafit</t>
        </is>
      </c>
      <c r="C885" t="inlineStr">
        <is>
          <t>Beast 98</t>
        </is>
      </c>
      <c r="D885" t="n">
        <v>170</v>
      </c>
      <c r="E885" t="inlineStr">
        <is>
          <t xml:space="preserve"> Unisex</t>
        </is>
      </c>
      <c r="F885" t="n">
        <v>170</v>
      </c>
      <c r="G885" t="n">
        <v>169</v>
      </c>
      <c r="H885" t="n">
        <v>108</v>
      </c>
      <c r="I885" t="n">
        <v>136</v>
      </c>
      <c r="J885" t="n">
        <v>123</v>
      </c>
      <c r="K885" t="n">
        <v>95</v>
      </c>
      <c r="L885" t="n">
        <v>112</v>
      </c>
      <c r="M885" t="n">
        <v>17.2</v>
      </c>
      <c r="N885" t="n">
        <v>1326</v>
      </c>
      <c r="O885" t="n">
        <v>1.33</v>
      </c>
      <c r="P885" t="n">
        <v>1760</v>
      </c>
      <c r="Q885" t="n">
        <v>154</v>
      </c>
      <c r="R885" t="n">
        <v>74</v>
      </c>
      <c r="S885" t="n">
        <v>62</v>
      </c>
      <c r="T885" t="n">
        <v>382</v>
      </c>
      <c r="U885" t="n">
        <v>14</v>
      </c>
      <c r="V885" t="n">
        <v>229</v>
      </c>
      <c r="W885" t="n">
        <v>0.233</v>
      </c>
      <c r="X885" t="n">
        <v>172</v>
      </c>
      <c r="Y885" t="n">
        <v>155</v>
      </c>
      <c r="Z885" t="n">
        <v>210</v>
      </c>
      <c r="AA885" t="n">
        <v>3</v>
      </c>
      <c r="AB885" t="n">
        <v>8.6</v>
      </c>
      <c r="AC885" t="inlineStr">
        <is>
          <t xml:space="preserve"> Touring</t>
        </is>
      </c>
      <c r="AD885" t="inlineStr">
        <is>
          <t xml:space="preserve"> Ultralight Touring</t>
        </is>
      </c>
      <c r="AG885" t="inlineStr">
        <is>
          <t>Dynafit Beast 98</t>
        </is>
      </c>
      <c r="AH885" t="inlineStr">
        <is>
          <t>Idaho Mountain Touring</t>
        </is>
      </c>
      <c r="AI885" s="333" t="n">
        <v>457.61</v>
      </c>
      <c r="AJ885" t="inlineStr">
        <is>
          <t>https://tinyurl.com/y8vzr7a9</t>
        </is>
      </c>
      <c r="AK885" t="inlineStr">
        <is>
          <t>2018-19 Dynafit Beast 98 Touring And Freeride Ski</t>
        </is>
      </c>
      <c r="AL885" t="inlineStr">
        <is>
          <t>eBay - anything-technical-limited</t>
        </is>
      </c>
      <c r="AM885" s="333" t="n">
        <v>617.1</v>
      </c>
      <c r="AN885" t="inlineStr">
        <is>
          <t>https://tinyurl.com/y75dhquc</t>
        </is>
      </c>
      <c r="AO885" t="inlineStr">
        <is>
          <t>Dynafit Women's Free 97 Ski</t>
        </is>
      </c>
      <c r="AP885" t="inlineStr">
        <is>
          <t>! OutdoorXL.com</t>
        </is>
      </c>
      <c r="AQ885" s="333" t="n">
        <v>449.95</v>
      </c>
      <c r="AR885" t="inlineStr">
        <is>
          <t>https://tinyurl.com/y83942b9</t>
        </is>
      </c>
      <c r="AS885" s="314">
        <f>IF(LEFT(C885,1)=" ",RIGHT(C885,LEN(C885)-1),C885)</f>
        <v/>
      </c>
      <c r="AT885" s="281">
        <f>_xlfn.CONCAT(B885,AS885,D885,E885)</f>
        <v/>
      </c>
    </row>
    <row r="886">
      <c r="A886" t="inlineStr">
        <is>
          <t>21/22</t>
        </is>
      </c>
      <c r="B886" t="inlineStr">
        <is>
          <t xml:space="preserve"> Dynafit</t>
        </is>
      </c>
      <c r="C886" t="inlineStr">
        <is>
          <t xml:space="preserve"> Seven Summits</t>
        </is>
      </c>
      <c r="D886" t="n">
        <v>166</v>
      </c>
      <c r="E886" t="inlineStr">
        <is>
          <t xml:space="preserve"> Unisex</t>
        </is>
      </c>
      <c r="F886" t="n">
        <v>166</v>
      </c>
      <c r="G886" t="n">
        <v>165.4</v>
      </c>
      <c r="H886" t="n">
        <v>132</v>
      </c>
      <c r="I886" t="n">
        <v>139</v>
      </c>
      <c r="J886" t="n">
        <v>113</v>
      </c>
      <c r="K886" t="n">
        <v>83</v>
      </c>
      <c r="L886" t="n">
        <v>103</v>
      </c>
      <c r="M886" t="n">
        <v>18.2</v>
      </c>
      <c r="N886" t="n">
        <v>1911</v>
      </c>
      <c r="O886" t="n">
        <v>0.8100000000000001</v>
      </c>
      <c r="P886" t="n">
        <v>1544</v>
      </c>
      <c r="Q886" t="n">
        <v>176</v>
      </c>
      <c r="R886" t="n">
        <v>72</v>
      </c>
      <c r="S886" t="n">
        <v>47</v>
      </c>
      <c r="T886" t="n">
        <v>247</v>
      </c>
      <c r="U886" t="n">
        <v>7</v>
      </c>
      <c r="V886" t="n">
        <v>84</v>
      </c>
      <c r="W886" t="n">
        <v>0.149</v>
      </c>
      <c r="X886" t="n">
        <v>185</v>
      </c>
      <c r="Y886" t="n">
        <v>79</v>
      </c>
      <c r="Z886" t="n">
        <v>62</v>
      </c>
      <c r="AA886" t="n">
        <v>6</v>
      </c>
      <c r="AB886" t="n">
        <v>11.8</v>
      </c>
      <c r="AC886" t="inlineStr">
        <is>
          <t xml:space="preserve"> On-Piste Carving</t>
        </is>
      </c>
      <c r="AD886" t="inlineStr">
        <is>
          <t xml:space="preserve"> On-Piste All-Mountain</t>
        </is>
      </c>
      <c r="AE886" t="inlineStr">
        <is>
          <t xml:space="preserve"> Resort Freeride</t>
        </is>
      </c>
      <c r="AG886" t="inlineStr">
        <is>
          <t>Dynafit Seven Summits Ski Blue, Mens/Womens Backcountry Skis, Size 166cm - Color Blue - Red</t>
        </is>
      </c>
      <c r="AH886" t="inlineStr">
        <is>
          <t>eXXpozed.com</t>
        </is>
      </c>
      <c r="AI886" s="333" t="n">
        <v>397.04</v>
      </c>
      <c r="AJ886" t="inlineStr">
        <is>
          <t>https://tinyurl.com/y7v8zf3s</t>
        </is>
      </c>
      <c r="AK886" t="inlineStr">
        <is>
          <t>Dynafit Seven Summits + Ski Set Â· 166 cm</t>
        </is>
      </c>
      <c r="AL886" t="inlineStr">
        <is>
          <t>Next Adventure</t>
        </is>
      </c>
      <c r="AM886" s="333" t="n">
        <v>629.97</v>
      </c>
      <c r="AN886" t="inlineStr">
        <is>
          <t>https://tinyurl.com/y7eva835</t>
        </is>
      </c>
      <c r="AO886" t="inlineStr">
        <is>
          <t>Dynafit Seven Summits + Ski Set Â· 166 cm</t>
        </is>
      </c>
      <c r="AP886" t="inlineStr">
        <is>
          <t>Curated</t>
        </is>
      </c>
      <c r="AQ886" s="333" t="n">
        <v>719.99</v>
      </c>
      <c r="AR886" t="inlineStr">
        <is>
          <t>https://tinyurl.com/y92hmjgp</t>
        </is>
      </c>
      <c r="AS886" s="314">
        <f>IF(LEFT(C886,1)=" ",RIGHT(C886,LEN(C886)-1),C886)</f>
        <v/>
      </c>
      <c r="AT886" s="281">
        <f>_xlfn.CONCAT(B886,AS886,D886,E886)</f>
        <v/>
      </c>
    </row>
    <row r="887">
      <c r="A887" t="inlineStr">
        <is>
          <t>21/22</t>
        </is>
      </c>
      <c r="B887" t="inlineStr">
        <is>
          <t>K2</t>
        </is>
      </c>
      <c r="C887" t="inlineStr">
        <is>
          <t>Wayback 96</t>
        </is>
      </c>
      <c r="D887" t="n">
        <v>170</v>
      </c>
      <c r="E887" t="inlineStr">
        <is>
          <t xml:space="preserve"> Unisex</t>
        </is>
      </c>
      <c r="F887" t="n">
        <v>170</v>
      </c>
      <c r="G887" t="n">
        <v>169.8</v>
      </c>
      <c r="H887" t="n">
        <v>124</v>
      </c>
      <c r="I887" t="n">
        <v>143</v>
      </c>
      <c r="J887" t="n">
        <v>127</v>
      </c>
      <c r="K887" t="n">
        <v>95</v>
      </c>
      <c r="L887" t="n">
        <v>114</v>
      </c>
      <c r="M887" t="n">
        <v>19.7</v>
      </c>
      <c r="N887" t="n">
        <v>1266</v>
      </c>
      <c r="O887" t="n">
        <v>1.4</v>
      </c>
      <c r="P887" t="n">
        <v>1773</v>
      </c>
      <c r="Q887" t="n">
        <v>170</v>
      </c>
      <c r="R887" t="n">
        <v>78</v>
      </c>
      <c r="S887" t="n">
        <v>49</v>
      </c>
      <c r="T887" t="n">
        <v>310</v>
      </c>
      <c r="U887" t="n">
        <v>6</v>
      </c>
      <c r="V887" t="n">
        <v>152</v>
      </c>
      <c r="W887" t="n">
        <v>0.119</v>
      </c>
      <c r="X887" t="n">
        <v>157</v>
      </c>
      <c r="Y887" t="n">
        <v>107</v>
      </c>
      <c r="Z887" t="n">
        <v>154</v>
      </c>
      <c r="AA887" t="n">
        <v>4</v>
      </c>
      <c r="AB887" t="n">
        <v>12.4</v>
      </c>
      <c r="AC887" t="inlineStr">
        <is>
          <t xml:space="preserve"> Touring</t>
        </is>
      </c>
      <c r="AD887" t="inlineStr">
        <is>
          <t xml:space="preserve"> Ultralight Touring</t>
        </is>
      </c>
      <c r="AG887" t="inlineStr">
        <is>
          <t>K2 Wayback 96 170</t>
        </is>
      </c>
      <c r="AH887" t="inlineStr">
        <is>
          <t>Snowcountry.eu</t>
        </is>
      </c>
      <c r="AI887" s="333" t="n">
        <v>404.68</v>
      </c>
      <c r="AJ887" t="inlineStr">
        <is>
          <t>https://tinyurl.com/yclsu9es</t>
        </is>
      </c>
      <c r="AK887" t="inlineStr">
        <is>
          <t>K2 Wayback 96 170</t>
        </is>
      </c>
      <c r="AL887" t="inlineStr">
        <is>
          <t>! OutdoorXL.com</t>
        </is>
      </c>
      <c r="AM887" s="333" t="n">
        <v>414.95</v>
      </c>
      <c r="AN887" t="inlineStr">
        <is>
          <t>https://tinyurl.com/ya8wsojl</t>
        </is>
      </c>
      <c r="AO887" t="inlineStr">
        <is>
          <t>K2 Wayback 96 170</t>
        </is>
      </c>
      <c r="AP887" t="inlineStr">
        <is>
          <t>PRFO Sports</t>
        </is>
      </c>
      <c r="AQ887" s="333" t="n">
        <v>480.86</v>
      </c>
      <c r="AR887" t="inlineStr">
        <is>
          <t>https://tinyurl.com/y7ymdoud</t>
        </is>
      </c>
      <c r="AS887" s="314">
        <f>IF(LEFT(C887,1)=" ",RIGHT(C887,LEN(C887)-1),C887)</f>
        <v/>
      </c>
      <c r="AT887" s="281">
        <f>_xlfn.CONCAT(B887,AS887,D887,E887)</f>
        <v/>
      </c>
    </row>
    <row r="888">
      <c r="A888" t="inlineStr">
        <is>
          <t>21/22</t>
        </is>
      </c>
      <c r="B888" t="inlineStr">
        <is>
          <t xml:space="preserve"> Elan</t>
        </is>
      </c>
      <c r="C888" t="inlineStr">
        <is>
          <t>Ripstick 106 Black Edition</t>
        </is>
      </c>
      <c r="D888" t="n">
        <v>180</v>
      </c>
      <c r="E888" t="inlineStr">
        <is>
          <t xml:space="preserve"> Unisex</t>
        </is>
      </c>
      <c r="F888" t="n">
        <v>180</v>
      </c>
      <c r="G888" t="n">
        <v>177.3</v>
      </c>
      <c r="H888" t="n">
        <v>134</v>
      </c>
      <c r="I888" t="n">
        <v>143</v>
      </c>
      <c r="J888" t="n">
        <v>142</v>
      </c>
      <c r="K888" t="n">
        <v>104</v>
      </c>
      <c r="L888" t="n">
        <v>120</v>
      </c>
      <c r="M888" t="n">
        <v>18.5</v>
      </c>
      <c r="N888" t="n">
        <v>1929</v>
      </c>
      <c r="O888" t="n">
        <v>1.06</v>
      </c>
      <c r="P888" t="n">
        <v>2054</v>
      </c>
      <c r="Q888" t="n">
        <v>272</v>
      </c>
      <c r="R888" t="n">
        <v>120</v>
      </c>
      <c r="S888" t="n">
        <v>48</v>
      </c>
      <c r="T888" t="n">
        <v>269</v>
      </c>
      <c r="U888" t="n">
        <v>14</v>
      </c>
      <c r="V888" t="n">
        <v>165</v>
      </c>
      <c r="W888" t="n">
        <v>0.304</v>
      </c>
      <c r="X888" t="n">
        <v>174</v>
      </c>
      <c r="Y888" t="n">
        <v>173</v>
      </c>
      <c r="Z888" t="n">
        <v>95</v>
      </c>
      <c r="AA888" t="n">
        <v>5</v>
      </c>
      <c r="AB888" t="n">
        <v>10.1</v>
      </c>
      <c r="AC888" t="inlineStr">
        <is>
          <t xml:space="preserve"> Resort Freeride</t>
        </is>
      </c>
      <c r="AD888" t="inlineStr">
        <is>
          <t xml:space="preserve"> Big Mountain</t>
        </is>
      </c>
      <c r="AE888" t="inlineStr">
        <is>
          <t xml:space="preserve"> Touring</t>
        </is>
      </c>
      <c r="AG888" t="inlineStr">
        <is>
          <t>Elan 2022 Ripstick 106 Black Edition Skis</t>
        </is>
      </c>
      <c r="AH888" t="inlineStr">
        <is>
          <t>Aspen Ski and Board</t>
        </is>
      </c>
      <c r="AI888" s="333" t="n">
        <v>637.45</v>
      </c>
      <c r="AJ888" t="inlineStr">
        <is>
          <t>https://tinyurl.com/ybuuewwp</t>
        </is>
      </c>
      <c r="AK888" t="inlineStr">
        <is>
          <t>Elan 2022 Ripstick 106 Black Edition Skis</t>
        </is>
      </c>
      <c r="AL888" t="inlineStr">
        <is>
          <t>Berg's Ski &amp; Snowboard Shop</t>
        </is>
      </c>
      <c r="AM888" s="333" t="n">
        <v>637.49</v>
      </c>
      <c r="AN888" t="inlineStr">
        <is>
          <t>https://tinyurl.com/y7uxt8lf</t>
        </is>
      </c>
      <c r="AO888" t="inlineStr">
        <is>
          <t>Elan 2022 Ripstick 106 Black Edition Skis</t>
        </is>
      </c>
      <c r="AP888" t="inlineStr">
        <is>
          <t>Next Adventure</t>
        </is>
      </c>
      <c r="AQ888" s="333" t="n">
        <v>637.49</v>
      </c>
      <c r="AR888" t="inlineStr">
        <is>
          <t>https://tinyurl.com/yc3uguyz</t>
        </is>
      </c>
      <c r="AS888" s="314">
        <f>IF(LEFT(C888,1)=" ",RIGHT(C888,LEN(C888)-1),C888)</f>
        <v/>
      </c>
      <c r="AT888" s="281">
        <f>_xlfn.CONCAT(B888,AS888,D888,E888)</f>
        <v/>
      </c>
    </row>
    <row r="889">
      <c r="A889" t="inlineStr">
        <is>
          <t>21/22</t>
        </is>
      </c>
      <c r="B889" t="inlineStr">
        <is>
          <t xml:space="preserve"> Icelantic</t>
        </is>
      </c>
      <c r="C889" t="inlineStr">
        <is>
          <t>Riveter 85</t>
        </is>
      </c>
      <c r="D889" t="n">
        <v>162</v>
      </c>
      <c r="E889" t="inlineStr">
        <is>
          <t xml:space="preserve"> Women's</t>
        </is>
      </c>
      <c r="F889" t="n">
        <v>162</v>
      </c>
      <c r="G889" t="n">
        <v>161.1</v>
      </c>
      <c r="H889" t="n">
        <v>106</v>
      </c>
      <c r="I889" t="n">
        <v>131</v>
      </c>
      <c r="J889" t="n">
        <v>120</v>
      </c>
      <c r="K889" t="n">
        <v>84</v>
      </c>
      <c r="L889" t="n">
        <v>107</v>
      </c>
      <c r="M889" t="n">
        <v>14.6</v>
      </c>
      <c r="N889" t="n">
        <v>1465</v>
      </c>
      <c r="O889" t="n">
        <v>1.05</v>
      </c>
      <c r="P889" t="n">
        <v>1542</v>
      </c>
      <c r="Q889" t="n">
        <v>162</v>
      </c>
      <c r="R889" t="n">
        <v>73</v>
      </c>
      <c r="S889" t="n">
        <v>57</v>
      </c>
      <c r="T889" t="n">
        <v>321</v>
      </c>
      <c r="U889" t="n">
        <v>18</v>
      </c>
      <c r="V889" t="n">
        <v>234</v>
      </c>
      <c r="W889" t="n">
        <v>0.322</v>
      </c>
      <c r="X889" t="n">
        <v>190</v>
      </c>
      <c r="Y889" t="n">
        <v>108</v>
      </c>
      <c r="Z889" t="n">
        <v>131</v>
      </c>
      <c r="AA889" t="n">
        <v>5</v>
      </c>
      <c r="AB889" t="n">
        <v>8.4</v>
      </c>
      <c r="AC889" t="inlineStr">
        <is>
          <t xml:space="preserve"> On-Piste All-Mountain</t>
        </is>
      </c>
      <c r="AD889" t="inlineStr">
        <is>
          <t xml:space="preserve"> Resort Freeride</t>
        </is>
      </c>
      <c r="AE889" t="inlineStr">
        <is>
          <t xml:space="preserve"> Touring</t>
        </is>
      </c>
      <c r="AG889" t="inlineStr">
        <is>
          <t>Icelantic Riveter 85 Skis - Women's 2022 162cm</t>
        </is>
      </c>
      <c r="AH889" t="inlineStr">
        <is>
          <t>Glacier Ski Shop</t>
        </is>
      </c>
      <c r="AI889" s="333" t="n">
        <v>469</v>
      </c>
      <c r="AJ889" t="inlineStr">
        <is>
          <t>https://tinyurl.com/y9xzu9zq</t>
        </is>
      </c>
      <c r="AK889" t="inlineStr">
        <is>
          <t>Icelantic Riveter 85 Skis Women's Â· 2022 Â· 162 cm</t>
        </is>
      </c>
      <c r="AL889" t="inlineStr">
        <is>
          <t>Teton Wasatch Ski Co.</t>
        </is>
      </c>
      <c r="AM889" s="333" t="n">
        <v>471</v>
      </c>
      <c r="AN889" t="inlineStr">
        <is>
          <t>https://tinyurl.com/yc7y2j32</t>
        </is>
      </c>
      <c r="AO889" t="inlineStr">
        <is>
          <t>Icelantic Riveter 85 Skis Women's Â· 2022 Â· 162 cm</t>
        </is>
      </c>
      <c r="AP889" t="inlineStr">
        <is>
          <t>Curated</t>
        </is>
      </c>
      <c r="AQ889" s="333" t="n">
        <v>471</v>
      </c>
      <c r="AR889" t="inlineStr">
        <is>
          <t>https://tinyurl.com/yc8eyrrl</t>
        </is>
      </c>
      <c r="AS889" s="314">
        <f>IF(LEFT(C889,1)=" ",RIGHT(C889,LEN(C889)-1),C889)</f>
        <v/>
      </c>
      <c r="AT889" s="281">
        <f>_xlfn.CONCAT(B889,AS889,D889,E889)</f>
        <v/>
      </c>
    </row>
    <row r="890">
      <c r="A890" t="inlineStr">
        <is>
          <t>21/22</t>
        </is>
      </c>
      <c r="B890" t="inlineStr">
        <is>
          <t xml:space="preserve"> DPS</t>
        </is>
      </c>
      <c r="C890" t="inlineStr">
        <is>
          <t>Pagoda Tour 112 RP</t>
        </is>
      </c>
      <c r="D890" t="n">
        <v>158</v>
      </c>
      <c r="E890" t="inlineStr">
        <is>
          <t xml:space="preserve"> Unisex</t>
        </is>
      </c>
      <c r="F890" t="n">
        <v>158</v>
      </c>
      <c r="G890" t="n">
        <v>156.5</v>
      </c>
      <c r="H890" t="n">
        <v>91</v>
      </c>
      <c r="I890" t="n">
        <v>104</v>
      </c>
      <c r="J890" t="n">
        <v>133</v>
      </c>
      <c r="K890" t="n">
        <v>111</v>
      </c>
      <c r="L890" t="n">
        <v>121</v>
      </c>
      <c r="M890" t="n">
        <v>15.2</v>
      </c>
      <c r="N890" t="n">
        <v>1294</v>
      </c>
      <c r="O890" t="n">
        <v>1.42</v>
      </c>
      <c r="P890" t="n">
        <v>1841</v>
      </c>
      <c r="Q890" t="n">
        <v>153</v>
      </c>
      <c r="R890" t="n">
        <v>86</v>
      </c>
      <c r="S890" t="n">
        <v>62</v>
      </c>
      <c r="T890" t="n">
        <v>374</v>
      </c>
      <c r="U890" t="n">
        <v>31</v>
      </c>
      <c r="V890" t="n">
        <v>282</v>
      </c>
      <c r="W890" t="n">
        <v>0.491</v>
      </c>
      <c r="X890" t="n">
        <v>312</v>
      </c>
      <c r="Y890" t="n">
        <v>212</v>
      </c>
      <c r="Z890" t="n">
        <v>62</v>
      </c>
      <c r="AA890" t="n">
        <v>4</v>
      </c>
      <c r="AB890" t="n">
        <v>13.5</v>
      </c>
      <c r="AC890" t="inlineStr">
        <is>
          <t xml:space="preserve"> Powder</t>
        </is>
      </c>
      <c r="AD890" t="inlineStr">
        <is>
          <t xml:space="preserve"> Touring</t>
        </is>
      </c>
      <c r="AE890" t="inlineStr">
        <is>
          <t xml:space="preserve"> Ultralight Touring</t>
        </is>
      </c>
      <c r="AG890" t="inlineStr">
        <is>
          <t>DPS Skis Pagoda Tour 112 RP Skis Gray 158 Cm</t>
        </is>
      </c>
      <c r="AH890" t="inlineStr">
        <is>
          <t>REI</t>
        </is>
      </c>
      <c r="AI890" s="333" t="n">
        <v>1038.93</v>
      </c>
      <c r="AJ890" t="inlineStr">
        <is>
          <t>https://tinyurl.com/yb9czond</t>
        </is>
      </c>
      <c r="AK890" t="inlineStr">
        <is>
          <t>DPS Pagoda Tour 112 RP SE Ski 158 / Midnight Rider Blue</t>
        </is>
      </c>
      <c r="AL890" t="inlineStr">
        <is>
          <t>Backcountry.com</t>
        </is>
      </c>
      <c r="AM890" s="333" t="n">
        <v>1039.2</v>
      </c>
      <c r="AN890" t="inlineStr">
        <is>
          <t>https://tinyurl.com/y7en4bf4</t>
        </is>
      </c>
      <c r="AO890" t="inlineStr">
        <is>
          <t>DPS Pagoda Tour 112 RP SE Ski 158 / Midnight Rider Blue</t>
        </is>
      </c>
      <c r="AP890" t="inlineStr">
        <is>
          <t>Steep &amp; Cheap</t>
        </is>
      </c>
      <c r="AQ890" s="333" t="n">
        <v>1039.2</v>
      </c>
      <c r="AR890" t="inlineStr">
        <is>
          <t>https://tinyurl.com/y6ub5tdg</t>
        </is>
      </c>
      <c r="AS890" s="314">
        <f>IF(LEFT(C890,1)=" ",RIGHT(C890,LEN(C890)-1),C890)</f>
        <v/>
      </c>
      <c r="AT890" s="281">
        <f>_xlfn.CONCAT(B890,AS890,D890,E890)</f>
        <v/>
      </c>
    </row>
    <row r="891">
      <c r="A891" t="inlineStr">
        <is>
          <t>21/22</t>
        </is>
      </c>
      <c r="B891" t="inlineStr">
        <is>
          <t xml:space="preserve"> Rossignol</t>
        </is>
      </c>
      <c r="C891" t="inlineStr">
        <is>
          <t xml:space="preserve"> Blackops Dreamer W</t>
        </is>
      </c>
      <c r="D891" t="n">
        <v>160</v>
      </c>
      <c r="E891" t="inlineStr">
        <is>
          <t xml:space="preserve"> Women's</t>
        </is>
      </c>
      <c r="F891" t="n">
        <v>160</v>
      </c>
      <c r="G891" t="n">
        <v>158.5</v>
      </c>
      <c r="H891" t="n">
        <v>111</v>
      </c>
      <c r="I891" t="n">
        <v>133</v>
      </c>
      <c r="J891" t="n">
        <v>117</v>
      </c>
      <c r="K891" t="n">
        <v>89</v>
      </c>
      <c r="L891" t="n">
        <v>107</v>
      </c>
      <c r="M891" t="n">
        <v>20.8</v>
      </c>
      <c r="N891" t="n">
        <v>1764</v>
      </c>
      <c r="O891" t="n">
        <v>0.87</v>
      </c>
      <c r="P891" t="n">
        <v>1541</v>
      </c>
      <c r="Q891" t="n">
        <v>153</v>
      </c>
      <c r="R891" t="n">
        <v>59</v>
      </c>
      <c r="S891" t="n">
        <v>51</v>
      </c>
      <c r="T891" t="n">
        <v>261</v>
      </c>
      <c r="U891" t="n">
        <v>29</v>
      </c>
      <c r="V891" t="n">
        <v>214</v>
      </c>
      <c r="W891" t="n">
        <v>0.5669999999999999</v>
      </c>
      <c r="X891" t="n">
        <v>126</v>
      </c>
      <c r="Y891" t="n">
        <v>133</v>
      </c>
      <c r="Z891" t="n">
        <v>135</v>
      </c>
      <c r="AA891" t="n">
        <v>7</v>
      </c>
      <c r="AB891" t="n">
        <v>5.3</v>
      </c>
      <c r="AC891" t="inlineStr">
        <is>
          <t xml:space="preserve"> Resort Freeride</t>
        </is>
      </c>
      <c r="AG891" t="inlineStr">
        <is>
          <t>Rossignol Teen's Skis Blackops W Dreamer (xpress)</t>
        </is>
      </c>
      <c r="AH891" t="inlineStr">
        <is>
          <t>The-House.com</t>
        </is>
      </c>
      <c r="AI891" s="333" t="n">
        <v>351.95</v>
      </c>
      <c r="AJ891" t="inlineStr">
        <is>
          <t>https://tinyurl.com/yarcdw2e</t>
        </is>
      </c>
      <c r="AK891" t="inlineStr">
        <is>
          <t>Rossignol Teen's Skis Blackops W Dreamer (xpress)</t>
        </is>
      </c>
      <c r="AL891" t="inlineStr">
        <is>
          <t>Powder7 Ski Shop</t>
        </is>
      </c>
      <c r="AM891" s="333" t="n">
        <v>399.95</v>
      </c>
      <c r="AN891" t="inlineStr">
        <is>
          <t>https://tinyurl.com/yalcc2xl</t>
        </is>
      </c>
      <c r="AO891" t="inlineStr">
        <is>
          <t>Rossignol Teen's Skis Blackops W Dreamer (xpress)</t>
        </is>
      </c>
      <c r="AP891" t="inlineStr">
        <is>
          <t>ColoradoSkiShop.com</t>
        </is>
      </c>
      <c r="AQ891" s="333" t="n">
        <v>399.95</v>
      </c>
      <c r="AR891" t="inlineStr">
        <is>
          <t>https://tinyurl.com/y9rxk4rn</t>
        </is>
      </c>
      <c r="AS891" s="314">
        <f>IF(LEFT(C891,1)=" ",RIGHT(C891,LEN(C891)-1),C891)</f>
        <v/>
      </c>
      <c r="AT891" s="281">
        <f>_xlfn.CONCAT(B891,AS891,D891,E891)</f>
        <v/>
      </c>
    </row>
    <row r="892">
      <c r="A892" t="inlineStr">
        <is>
          <t>21/22</t>
        </is>
      </c>
      <c r="B892" t="inlineStr">
        <is>
          <t xml:space="preserve"> Blizzard</t>
        </is>
      </c>
      <c r="C892" t="inlineStr">
        <is>
          <t>Brahma 88</t>
        </is>
      </c>
      <c r="D892" t="n">
        <v>177</v>
      </c>
      <c r="E892" t="inlineStr">
        <is>
          <t xml:space="preserve"> Unisex</t>
        </is>
      </c>
      <c r="F892" t="n">
        <v>177</v>
      </c>
      <c r="G892" t="n">
        <v>175.9</v>
      </c>
      <c r="H892" t="n">
        <v>144</v>
      </c>
      <c r="I892" t="n">
        <v>154</v>
      </c>
      <c r="J892" t="n">
        <v>128</v>
      </c>
      <c r="K892" t="n">
        <v>86</v>
      </c>
      <c r="L892" t="n">
        <v>109</v>
      </c>
      <c r="M892" t="n">
        <v>17.3</v>
      </c>
      <c r="N892" t="n">
        <v>2133</v>
      </c>
      <c r="O892" t="n">
        <v>0.8100000000000001</v>
      </c>
      <c r="P892" t="n">
        <v>1735</v>
      </c>
      <c r="Q892" t="n">
        <v>219</v>
      </c>
      <c r="R892" t="n">
        <v>115</v>
      </c>
      <c r="S892" t="n">
        <v>53</v>
      </c>
      <c r="T892" t="n">
        <v>211</v>
      </c>
      <c r="U892" t="n">
        <v>8</v>
      </c>
      <c r="V892" t="n">
        <v>112</v>
      </c>
      <c r="W892" t="n">
        <v>0.147</v>
      </c>
      <c r="X892" t="n">
        <v>119</v>
      </c>
      <c r="Y892" t="n">
        <v>99</v>
      </c>
      <c r="Z892" t="n">
        <v>92</v>
      </c>
      <c r="AA892" t="n">
        <v>5</v>
      </c>
      <c r="AB892" t="n">
        <v>11.1</v>
      </c>
      <c r="AC892" t="inlineStr">
        <is>
          <t xml:space="preserve"> Resort Freeride</t>
        </is>
      </c>
      <c r="AG892" t="inlineStr">
        <is>
          <t>Blizzard Brahma 88 Skis</t>
        </is>
      </c>
      <c r="AH892" t="inlineStr">
        <is>
          <t>sunandski.com</t>
        </is>
      </c>
      <c r="AI892" s="333" t="n">
        <v>559.9299999999999</v>
      </c>
      <c r="AJ892" t="inlineStr">
        <is>
          <t>https://tinyurl.com/yadrtwr4</t>
        </is>
      </c>
      <c r="AK892" t="inlineStr">
        <is>
          <t>Blizzard Brahma 88 Skis</t>
        </is>
      </c>
      <c r="AL892" t="inlineStr">
        <is>
          <t>Ski Pro  - Snow Ski &amp; Snowboard</t>
        </is>
      </c>
      <c r="AM892" s="333" t="n">
        <v>559.95</v>
      </c>
      <c r="AN892" t="inlineStr">
        <is>
          <t>https://tinyurl.com/y7r3grp5</t>
        </is>
      </c>
      <c r="AO892" t="inlineStr">
        <is>
          <t>Blizzard Brahma 88 Skis</t>
        </is>
      </c>
      <c r="AP892" t="inlineStr">
        <is>
          <t>Peter Glenn Ski &amp; Sports</t>
        </is>
      </c>
      <c r="AQ892" s="333" t="n">
        <v>559.99</v>
      </c>
      <c r="AR892" t="inlineStr">
        <is>
          <t>https://tinyurl.com/y73kvp4k</t>
        </is>
      </c>
      <c r="AS892" s="314">
        <f>IF(LEFT(C892,1)=" ",RIGHT(C892,LEN(C892)-1),C892)</f>
        <v/>
      </c>
      <c r="AT892" s="281">
        <f>_xlfn.CONCAT(B892,AS892,D892,E892)</f>
        <v/>
      </c>
    </row>
    <row r="893">
      <c r="A893" t="inlineStr">
        <is>
          <t>21/22</t>
        </is>
      </c>
      <c r="B893" t="inlineStr">
        <is>
          <t xml:space="preserve"> Vï¿½lkl</t>
        </is>
      </c>
      <c r="C893" t="inlineStr">
        <is>
          <t>Blaze 86 W</t>
        </is>
      </c>
      <c r="D893" t="n">
        <v>166</v>
      </c>
      <c r="E893" t="inlineStr">
        <is>
          <t xml:space="preserve"> Women's</t>
        </is>
      </c>
      <c r="F893" t="n">
        <v>166</v>
      </c>
      <c r="G893" t="n">
        <v>167.3</v>
      </c>
      <c r="H893" t="n">
        <v>97</v>
      </c>
      <c r="I893" t="n">
        <v>143</v>
      </c>
      <c r="J893" t="n">
        <v>128</v>
      </c>
      <c r="K893" t="n">
        <v>85</v>
      </c>
      <c r="L893" t="n">
        <v>110</v>
      </c>
      <c r="M893" t="n">
        <v>14.2</v>
      </c>
      <c r="N893" t="n">
        <v>1411</v>
      </c>
      <c r="O893" t="n">
        <v>1.18</v>
      </c>
      <c r="P893" t="n">
        <v>1660</v>
      </c>
      <c r="Q893" t="n">
        <v>170</v>
      </c>
      <c r="R893" t="n">
        <v>79</v>
      </c>
      <c r="S893" t="n">
        <v>48</v>
      </c>
      <c r="T893" t="n">
        <v>408</v>
      </c>
      <c r="U893" t="n">
        <v>18</v>
      </c>
      <c r="V893" t="n">
        <v>295</v>
      </c>
      <c r="W893" t="n">
        <v>0.375</v>
      </c>
      <c r="X893" t="n">
        <v>144</v>
      </c>
      <c r="Y893" t="n">
        <v>100</v>
      </c>
      <c r="Z893" t="n">
        <v>265</v>
      </c>
      <c r="AA893" t="n">
        <v>1</v>
      </c>
      <c r="AB893" t="n">
        <v>11.7</v>
      </c>
      <c r="AC893" t="inlineStr">
        <is>
          <t xml:space="preserve"> Resort Freeride</t>
        </is>
      </c>
      <c r="AD893" t="inlineStr">
        <is>
          <t xml:space="preserve"> Touring</t>
        </is>
      </c>
      <c r="AG893" t="inlineStr">
        <is>
          <t>Volkl Blaze 86 W Skis</t>
        </is>
      </c>
      <c r="AH893" t="inlineStr">
        <is>
          <t>Cole Sport</t>
        </is>
      </c>
      <c r="AI893" s="333" t="n">
        <v>399.99</v>
      </c>
      <c r="AJ893" t="inlineStr">
        <is>
          <t>https://tinyurl.com/ydd5stbb</t>
        </is>
      </c>
      <c r="AK893" t="inlineStr">
        <is>
          <t>Volkl Women's Blaze 86 W Alpine Ski 2022 166</t>
        </is>
      </c>
      <c r="AL893" t="inlineStr">
        <is>
          <t>Boyne Country Sports</t>
        </is>
      </c>
      <c r="AM893" s="333" t="n">
        <v>499.99</v>
      </c>
      <c r="AN893" t="inlineStr">
        <is>
          <t>https://tinyurl.com/y6v3ryuc</t>
        </is>
      </c>
      <c r="AO893" t="inlineStr">
        <is>
          <t>Volkl Women's Blaze 86 Skis 2022</t>
        </is>
      </c>
      <c r="AP893" t="inlineStr">
        <is>
          <t>Saint Bernard</t>
        </is>
      </c>
      <c r="AQ893" s="333" t="n">
        <v>399.9</v>
      </c>
      <c r="AR893" t="inlineStr">
        <is>
          <t>https://tinyurl.com/ycwtahxa</t>
        </is>
      </c>
      <c r="AS893" s="314">
        <f>IF(LEFT(C893,1)=" ",RIGHT(C893,LEN(C893)-1),C893)</f>
        <v/>
      </c>
      <c r="AT893" s="281">
        <f>_xlfn.CONCAT(B893,AS893,D893,E893)</f>
        <v/>
      </c>
    </row>
    <row r="894">
      <c r="A894" t="inlineStr">
        <is>
          <t>21/22</t>
        </is>
      </c>
      <c r="B894" t="inlineStr">
        <is>
          <t xml:space="preserve"> Liberty</t>
        </is>
      </c>
      <c r="C894" t="inlineStr">
        <is>
          <t>Evolv 100</t>
        </is>
      </c>
      <c r="D894" t="n">
        <v>179</v>
      </c>
      <c r="E894" t="inlineStr">
        <is>
          <t xml:space="preserve"> Unisex</t>
        </is>
      </c>
      <c r="F894" t="n">
        <v>179</v>
      </c>
      <c r="G894" t="n">
        <v>178.9</v>
      </c>
      <c r="H894" t="n">
        <v>145</v>
      </c>
      <c r="I894" t="n">
        <v>158</v>
      </c>
      <c r="J894" t="n">
        <v>138</v>
      </c>
      <c r="K894" t="n">
        <v>99</v>
      </c>
      <c r="L894" t="n">
        <v>121</v>
      </c>
      <c r="M894" t="n">
        <v>19.1</v>
      </c>
      <c r="N894" t="n">
        <v>1983</v>
      </c>
      <c r="O894" t="n">
        <v>1</v>
      </c>
      <c r="P894" t="n">
        <v>1978</v>
      </c>
      <c r="Q894" t="n">
        <v>239</v>
      </c>
      <c r="R894" t="n">
        <v>124</v>
      </c>
      <c r="S894" t="n">
        <v>36</v>
      </c>
      <c r="T894" t="n">
        <v>204</v>
      </c>
      <c r="U894" t="n">
        <v>10</v>
      </c>
      <c r="V894" t="n">
        <v>133</v>
      </c>
      <c r="W894" t="n">
        <v>0.287</v>
      </c>
      <c r="X894" t="n">
        <v>116</v>
      </c>
      <c r="Y894" t="n">
        <v>88</v>
      </c>
      <c r="Z894" t="n">
        <v>88</v>
      </c>
      <c r="AA894" t="n">
        <v>10</v>
      </c>
      <c r="AB894" t="n">
        <v>10.4</v>
      </c>
      <c r="AC894" t="inlineStr">
        <is>
          <t xml:space="preserve"> Resort Freeride</t>
        </is>
      </c>
      <c r="AG894" t="inlineStr">
        <is>
          <t>Liberty 2022 Evolv 100 Skis - 179 cm</t>
        </is>
      </c>
      <c r="AH894" t="inlineStr">
        <is>
          <t>Christy Sports</t>
        </is>
      </c>
      <c r="AI894" s="333" t="n">
        <v>699.99</v>
      </c>
      <c r="AJ894" t="inlineStr">
        <is>
          <t>https://tinyurl.com/ybl6galp</t>
        </is>
      </c>
      <c r="AK894" t="inlineStr">
        <is>
          <t>Liberty Evolv 110 Skis - 179cm</t>
        </is>
      </c>
      <c r="AL894" t="inlineStr">
        <is>
          <t>eBay</t>
        </is>
      </c>
      <c r="AM894" s="333" t="n">
        <v>500</v>
      </c>
      <c r="AN894" t="inlineStr">
        <is>
          <t>https://tinyurl.com/yc4g2lh6</t>
        </is>
      </c>
      <c r="AO894" t="inlineStr">
        <is>
          <t>Liberty 2022 Evolv 110 179 All Mtn Skis W/ Tyrolia Attack Bindings,</t>
        </is>
      </c>
      <c r="AP894" t="inlineStr">
        <is>
          <t>eBay - sir_davahad</t>
        </is>
      </c>
      <c r="AQ894" s="333" t="n">
        <v>549</v>
      </c>
      <c r="AR894" t="inlineStr">
        <is>
          <t>https://tinyurl.com/ycd2xmxt</t>
        </is>
      </c>
      <c r="AS894" s="314">
        <f>IF(LEFT(C894,1)=" ",RIGHT(C894,LEN(C894)-1),C894)</f>
        <v/>
      </c>
      <c r="AT894" s="281">
        <f>_xlfn.CONCAT(B894,AS894,D894,E894)</f>
        <v/>
      </c>
    </row>
    <row r="895">
      <c r="A895" t="inlineStr">
        <is>
          <t>21/22</t>
        </is>
      </c>
      <c r="B895" t="inlineStr">
        <is>
          <t xml:space="preserve"> Rossignol</t>
        </is>
      </c>
      <c r="C895" t="inlineStr">
        <is>
          <t xml:space="preserve"> Blackops Dreamer W</t>
        </is>
      </c>
      <c r="D895" t="n">
        <v>150</v>
      </c>
      <c r="E895" t="inlineStr">
        <is>
          <t xml:space="preserve"> Women's</t>
        </is>
      </c>
      <c r="F895" t="n">
        <v>150</v>
      </c>
      <c r="G895" t="n">
        <v>148.5</v>
      </c>
      <c r="H895" t="n">
        <v>100</v>
      </c>
      <c r="I895" t="n">
        <v>125</v>
      </c>
      <c r="J895" t="n">
        <v>117</v>
      </c>
      <c r="K895" t="n">
        <v>89</v>
      </c>
      <c r="L895" t="n">
        <v>107</v>
      </c>
      <c r="M895" t="n">
        <v>16.8</v>
      </c>
      <c r="N895" t="n">
        <v>1628</v>
      </c>
      <c r="O895" t="n">
        <v>0.89</v>
      </c>
      <c r="P895" t="n">
        <v>1448</v>
      </c>
      <c r="Q895" t="n">
        <v>148</v>
      </c>
      <c r="R895" t="n">
        <v>57</v>
      </c>
      <c r="S895" t="n">
        <v>50</v>
      </c>
      <c r="T895" t="n">
        <v>259</v>
      </c>
      <c r="U895" t="n">
        <v>32</v>
      </c>
      <c r="V895" t="n">
        <v>222</v>
      </c>
      <c r="W895" t="n">
        <v>0.638</v>
      </c>
      <c r="X895" t="n">
        <v>110</v>
      </c>
      <c r="Y895" t="n">
        <v>128</v>
      </c>
      <c r="Z895" t="n">
        <v>149</v>
      </c>
      <c r="AA895" t="n">
        <v>5</v>
      </c>
      <c r="AB895" t="n">
        <v>5</v>
      </c>
      <c r="AC895" t="inlineStr">
        <is>
          <t xml:space="preserve"> Resort Freeride</t>
        </is>
      </c>
      <c r="AG895" t="inlineStr">
        <is>
          <t>Rossignol Blackops W Dreamer XP/XP W10GW 150cm</t>
        </is>
      </c>
      <c r="AH895" t="inlineStr">
        <is>
          <t>Sundance Ski and Board Shop</t>
        </is>
      </c>
      <c r="AI895" s="333" t="n">
        <v>296.53</v>
      </c>
      <c r="AJ895" t="inlineStr">
        <is>
          <t>https://tinyurl.com/yaamzwxz</t>
        </is>
      </c>
      <c r="AK895" t="inlineStr">
        <is>
          <t>Rossignol Women ' S Blackops Dreamer Skis</t>
        </is>
      </c>
      <c r="AL895" t="inlineStr">
        <is>
          <t>The-House.com</t>
        </is>
      </c>
      <c r="AM895" s="333" t="n">
        <v>351.95</v>
      </c>
      <c r="AN895" t="inlineStr">
        <is>
          <t>https://tinyurl.com/ycnpmuux</t>
        </is>
      </c>
      <c r="AO895" t="inlineStr">
        <is>
          <t>Rossignol Women ' S Blackops Dreamer Skis</t>
        </is>
      </c>
      <c r="AP895" t="inlineStr">
        <is>
          <t>Skirack</t>
        </is>
      </c>
      <c r="AQ895" s="333" t="n">
        <v>359.96</v>
      </c>
      <c r="AR895" t="inlineStr">
        <is>
          <t>https://tinyurl.com/y7n2t3qk</t>
        </is>
      </c>
      <c r="AS895" s="314">
        <f>IF(LEFT(C895,1)=" ",RIGHT(C895,LEN(C895)-1),C895)</f>
        <v/>
      </c>
      <c r="AT895" s="281">
        <f>_xlfn.CONCAT(B895,AS895,D895,E895)</f>
        <v/>
      </c>
    </row>
    <row r="896">
      <c r="A896" t="inlineStr">
        <is>
          <t>21/22</t>
        </is>
      </c>
      <c r="B896" t="inlineStr">
        <is>
          <t xml:space="preserve"> Elan</t>
        </is>
      </c>
      <c r="C896" t="inlineStr">
        <is>
          <t xml:space="preserve"> Element W</t>
        </is>
      </c>
      <c r="D896" t="n">
        <v>160</v>
      </c>
      <c r="E896" t="inlineStr">
        <is>
          <t xml:space="preserve"> Women's</t>
        </is>
      </c>
      <c r="F896" t="n">
        <v>160</v>
      </c>
      <c r="G896" t="n">
        <v>159.5</v>
      </c>
      <c r="H896" t="n">
        <v>136</v>
      </c>
      <c r="I896" t="n">
        <v>145</v>
      </c>
      <c r="J896" t="n">
        <v>127</v>
      </c>
      <c r="K896" t="n">
        <v>75</v>
      </c>
      <c r="L896" t="n">
        <v>102</v>
      </c>
      <c r="M896" t="n">
        <v>13.4</v>
      </c>
      <c r="N896" t="n">
        <v>1737</v>
      </c>
      <c r="O896" t="n">
        <v>0.83</v>
      </c>
      <c r="P896" t="n">
        <v>1440</v>
      </c>
      <c r="Q896" t="n">
        <v>176</v>
      </c>
      <c r="R896" t="n">
        <v>61</v>
      </c>
      <c r="S896" t="n">
        <v>37</v>
      </c>
      <c r="T896" t="n">
        <v>164</v>
      </c>
      <c r="U896" t="n">
        <v>10</v>
      </c>
      <c r="V896" t="n">
        <v>73</v>
      </c>
      <c r="W896" t="n">
        <v>0.268</v>
      </c>
      <c r="X896" t="n">
        <v>82</v>
      </c>
      <c r="Y896" t="n">
        <v>59</v>
      </c>
      <c r="Z896" t="n">
        <v>82</v>
      </c>
      <c r="AA896" t="n">
        <v>8</v>
      </c>
      <c r="AB896" t="n">
        <v>10.5</v>
      </c>
      <c r="AC896" t="inlineStr">
        <is>
          <t xml:space="preserve"> On-Piste Carving</t>
        </is>
      </c>
      <c r="AG896" t="inlineStr">
        <is>
          <t>Elan Element W LS ELW 9.0 White / 160cm</t>
        </is>
      </c>
      <c r="AH896" t="inlineStr">
        <is>
          <t>Sundance Ski and Board Shop</t>
        </is>
      </c>
      <c r="AI896" s="333" t="n">
        <v>424.76</v>
      </c>
      <c r="AJ896" t="inlineStr">
        <is>
          <t>https://tinyurl.com/y7rrr7vg</t>
        </is>
      </c>
      <c r="AK896" t="inlineStr">
        <is>
          <t>Elan Element Ls+elw 9.0 Alpine Skis 160</t>
        </is>
      </c>
      <c r="AL896" t="inlineStr">
        <is>
          <t>! OutdoorXL.com</t>
        </is>
      </c>
      <c r="AM896" s="333" t="n">
        <v>284.95</v>
      </c>
      <c r="AN896" t="inlineStr">
        <is>
          <t>https://tinyurl.com/ybtjmmep</t>
        </is>
      </c>
      <c r="AO896" t="inlineStr">
        <is>
          <t>ELAN Men's ELEMENT BLACK SKI + ELW 10.0 Binding 160</t>
        </is>
      </c>
      <c r="AP896" t="inlineStr">
        <is>
          <t>Elevation Skate Snow</t>
        </is>
      </c>
      <c r="AQ896" s="333" t="n">
        <v>449.99</v>
      </c>
      <c r="AR896" t="inlineStr">
        <is>
          <t>https://tinyurl.com/yd9tzzj4</t>
        </is>
      </c>
      <c r="AS896" s="314">
        <f>IF(LEFT(C896,1)=" ",RIGHT(C896,LEN(C896)-1),C896)</f>
        <v/>
      </c>
      <c r="AT896" s="281">
        <f>_xlfn.CONCAT(B896,AS896,D896,E896)</f>
        <v/>
      </c>
    </row>
    <row r="897">
      <c r="A897" t="inlineStr">
        <is>
          <t>21/22</t>
        </is>
      </c>
      <c r="B897" t="inlineStr">
        <is>
          <t xml:space="preserve"> Vï¿½lkl</t>
        </is>
      </c>
      <c r="C897" t="inlineStr">
        <is>
          <t>Yumi 80</t>
        </is>
      </c>
      <c r="D897" t="n">
        <v>161</v>
      </c>
      <c r="E897" t="inlineStr">
        <is>
          <t xml:space="preserve"> Women's</t>
        </is>
      </c>
      <c r="F897" t="n">
        <v>161</v>
      </c>
      <c r="G897" t="n">
        <v>161.3</v>
      </c>
      <c r="H897" t="n">
        <v>124</v>
      </c>
      <c r="I897" t="n">
        <v>137</v>
      </c>
      <c r="J897" t="n">
        <v>120</v>
      </c>
      <c r="K897" t="n">
        <v>79</v>
      </c>
      <c r="L897" t="n">
        <v>102</v>
      </c>
      <c r="M897" t="n">
        <v>14.3</v>
      </c>
      <c r="N897" t="n">
        <v>1359</v>
      </c>
      <c r="O897" t="n">
        <v>1.09</v>
      </c>
      <c r="P897" t="n">
        <v>1488</v>
      </c>
      <c r="Q897" t="n">
        <v>156</v>
      </c>
      <c r="R897" t="n">
        <v>71</v>
      </c>
      <c r="S897" t="n">
        <v>38</v>
      </c>
      <c r="T897" t="n">
        <v>208</v>
      </c>
      <c r="U897" t="n">
        <v>13</v>
      </c>
      <c r="V897" t="n">
        <v>161</v>
      </c>
      <c r="W897" t="n">
        <v>0.348</v>
      </c>
      <c r="X897" t="n">
        <v>136</v>
      </c>
      <c r="Y897" t="n">
        <v>103</v>
      </c>
      <c r="Z897" t="n">
        <v>72</v>
      </c>
      <c r="AA897" t="n">
        <v>3</v>
      </c>
      <c r="AB897" t="n">
        <v>11.7</v>
      </c>
      <c r="AC897" t="inlineStr">
        <is>
          <t xml:space="preserve"> On-Piste All-Mountain</t>
        </is>
      </c>
      <c r="AD897" t="inlineStr">
        <is>
          <t xml:space="preserve"> Touring</t>
        </is>
      </c>
      <c r="AG897" t="inlineStr">
        <is>
          <t>Volkl Yumi 80 Skis 2021 - 161cm</t>
        </is>
      </c>
      <c r="AH897" t="inlineStr">
        <is>
          <t>AlpineShopVT.com</t>
        </is>
      </c>
      <c r="AI897" s="333" t="n">
        <v>379.95</v>
      </c>
      <c r="AJ897" t="inlineStr">
        <is>
          <t>https://tinyurl.com/y7c6f66q</t>
        </is>
      </c>
      <c r="AK897" t="inlineStr">
        <is>
          <t>Volkl Yumi 80 161cm</t>
        </is>
      </c>
      <c r="AL897" t="inlineStr">
        <is>
          <t>Sundance Ski and Board Shop</t>
        </is>
      </c>
      <c r="AM897" s="333" t="n">
        <v>424.76</v>
      </c>
      <c r="AN897" t="inlineStr">
        <is>
          <t>https://tinyurl.com/y8x345ce</t>
        </is>
      </c>
      <c r="AO897" t="inlineStr">
        <is>
          <t>Volkl Ladies' Yumi 80 Flat Ski 2020-2021 | BLACK / 161</t>
        </is>
      </c>
      <c r="AP897" t="inlineStr">
        <is>
          <t>Ski Pro  - Snow Ski &amp; Snowboard</t>
        </is>
      </c>
      <c r="AQ897" s="333" t="n">
        <v>439.95</v>
      </c>
      <c r="AR897" t="inlineStr">
        <is>
          <t>https://tinyurl.com/y7k7nl3t</t>
        </is>
      </c>
      <c r="AS897" s="314">
        <f>IF(LEFT(C897,1)=" ",RIGHT(C897,LEN(C897)-1),C897)</f>
        <v/>
      </c>
      <c r="AT897" s="281">
        <f>_xlfn.CONCAT(B897,AS897,D897,E897)</f>
        <v/>
      </c>
    </row>
    <row r="898">
      <c r="A898" t="inlineStr">
        <is>
          <t>21/22</t>
        </is>
      </c>
      <c r="B898" t="inlineStr">
        <is>
          <t xml:space="preserve"> Nordica</t>
        </is>
      </c>
      <c r="C898" t="inlineStr">
        <is>
          <t>Wild Belle 74</t>
        </is>
      </c>
      <c r="D898" t="n">
        <v>156</v>
      </c>
      <c r="E898" t="inlineStr">
        <is>
          <t xml:space="preserve"> Women's</t>
        </is>
      </c>
      <c r="F898" t="n">
        <v>156</v>
      </c>
      <c r="G898" t="n">
        <v>155</v>
      </c>
      <c r="H898" t="n">
        <v>132</v>
      </c>
      <c r="I898" t="n">
        <v>141</v>
      </c>
      <c r="J898" t="n">
        <v>124</v>
      </c>
      <c r="K898" t="n">
        <v>74</v>
      </c>
      <c r="L898" t="n">
        <v>103</v>
      </c>
      <c r="M898" t="n">
        <v>12.6</v>
      </c>
      <c r="N898" t="n">
        <v>1654</v>
      </c>
      <c r="O898" t="n">
        <v>0.83</v>
      </c>
      <c r="P898" t="n">
        <v>1379</v>
      </c>
      <c r="Q898" t="n">
        <v>165</v>
      </c>
      <c r="R898" t="n">
        <v>65</v>
      </c>
      <c r="S898" t="n">
        <v>39</v>
      </c>
      <c r="T898" t="n">
        <v>164</v>
      </c>
      <c r="U898" t="n">
        <v>12</v>
      </c>
      <c r="V898" t="n">
        <v>68</v>
      </c>
      <c r="W898" t="n">
        <v>0.301</v>
      </c>
      <c r="X898" t="n">
        <v>65</v>
      </c>
      <c r="Y898" t="n">
        <v>70</v>
      </c>
      <c r="Z898" t="n">
        <v>98</v>
      </c>
      <c r="AA898" t="n">
        <v>7</v>
      </c>
      <c r="AB898" t="n">
        <v>9.699999999999999</v>
      </c>
      <c r="AC898" t="inlineStr">
        <is>
          <t xml:space="preserve"> On-Piste Carving</t>
        </is>
      </c>
      <c r="AG898" t="inlineStr">
        <is>
          <t>Nordica Women's Wild Belle 74 w/ TP2 10 Skis 156</t>
        </is>
      </c>
      <c r="AH898" t="inlineStr">
        <is>
          <t>SkiEssentials.com</t>
        </is>
      </c>
      <c r="AI898" s="333" t="n">
        <v>399.99</v>
      </c>
      <c r="AJ898" t="inlineStr">
        <is>
          <t>https://tinyurl.com/y875z6ke</t>
        </is>
      </c>
      <c r="AK898" t="inlineStr">
        <is>
          <t>Nordica Wild Belle 74 Ladies Snow Skis with Marker FDT10 Bindings 156</t>
        </is>
      </c>
      <c r="AL898" t="inlineStr">
        <is>
          <t>The Pro Shop</t>
        </is>
      </c>
      <c r="AM898" s="333" t="n">
        <v>399.99</v>
      </c>
      <c r="AN898" t="inlineStr">
        <is>
          <t>https://tinyurl.com/y8v5prrj</t>
        </is>
      </c>
      <c r="AO898" t="inlineStr">
        <is>
          <t>Nordica Wild Belle 78 CA Women's Ski &amp; 10 FDT Binding 2022 - 156</t>
        </is>
      </c>
      <c r="AP898" t="inlineStr">
        <is>
          <t>Gear West Ski &amp; Bike</t>
        </is>
      </c>
      <c r="AQ898" s="333" t="n">
        <v>499.99</v>
      </c>
      <c r="AR898" t="inlineStr">
        <is>
          <t>https://tinyurl.com/yacave3u</t>
        </is>
      </c>
      <c r="AS898" s="314">
        <f>IF(LEFT(C898,1)=" ",RIGHT(C898,LEN(C898)-1),C898)</f>
        <v/>
      </c>
      <c r="AT898" s="281">
        <f>_xlfn.CONCAT(B898,AS898,D898,E898)</f>
        <v/>
      </c>
    </row>
    <row r="899">
      <c r="A899" t="inlineStr">
        <is>
          <t>21/22</t>
        </is>
      </c>
      <c r="B899" t="inlineStr">
        <is>
          <t>K2</t>
        </is>
      </c>
      <c r="C899" t="inlineStr">
        <is>
          <t>Mindbender 90 C Alliance</t>
        </is>
      </c>
      <c r="D899" t="n">
        <v>163</v>
      </c>
      <c r="E899" t="inlineStr">
        <is>
          <t xml:space="preserve"> Women's</t>
        </is>
      </c>
      <c r="F899" t="n">
        <v>163</v>
      </c>
      <c r="G899" t="n">
        <v>163.4</v>
      </c>
      <c r="H899" t="n">
        <v>124</v>
      </c>
      <c r="I899" t="n">
        <v>138</v>
      </c>
      <c r="J899" t="n">
        <v>126</v>
      </c>
      <c r="K899" t="n">
        <v>89</v>
      </c>
      <c r="L899" t="n">
        <v>112</v>
      </c>
      <c r="M899" t="n">
        <v>14.7</v>
      </c>
      <c r="N899" t="n">
        <v>1490</v>
      </c>
      <c r="O899" t="n">
        <v>1.12</v>
      </c>
      <c r="P899" t="n">
        <v>1662</v>
      </c>
      <c r="Q899" t="n">
        <v>135</v>
      </c>
      <c r="R899" t="n">
        <v>66</v>
      </c>
      <c r="S899" t="n">
        <v>45</v>
      </c>
      <c r="T899" t="n">
        <v>229</v>
      </c>
      <c r="U899" t="n">
        <v>15</v>
      </c>
      <c r="V899" t="n">
        <v>169</v>
      </c>
      <c r="W899" t="n">
        <v>0.332</v>
      </c>
      <c r="X899" t="n">
        <v>142</v>
      </c>
      <c r="Y899" t="n">
        <v>114</v>
      </c>
      <c r="Z899" t="n">
        <v>86</v>
      </c>
      <c r="AA899" t="n">
        <v>6</v>
      </c>
      <c r="AB899" t="n">
        <v>10</v>
      </c>
      <c r="AC899" t="inlineStr">
        <is>
          <t xml:space="preserve"> Resort Freeride</t>
        </is>
      </c>
      <c r="AD899" t="inlineStr">
        <is>
          <t xml:space="preserve"> Touring</t>
        </is>
      </c>
      <c r="AG899" t="inlineStr">
        <is>
          <t>K2 Mindbender 90C Alliance Skis - Women's - 2022</t>
        </is>
      </c>
      <c r="AH899" t="inlineStr">
        <is>
          <t>AlpinStore</t>
        </is>
      </c>
      <c r="AI899" s="333" t="n">
        <v>328.67</v>
      </c>
      <c r="AJ899" t="inlineStr">
        <is>
          <t>https://tinyurl.com/y89fjh9y</t>
        </is>
      </c>
      <c r="AK899" t="inlineStr">
        <is>
          <t>K2 Mindbender 90C Alliance Skis - Women's - 2022</t>
        </is>
      </c>
      <c r="AL899" t="inlineStr">
        <is>
          <t>Aspen Ski and Board</t>
        </is>
      </c>
      <c r="AM899" s="333" t="n">
        <v>399.95</v>
      </c>
      <c r="AN899" t="inlineStr">
        <is>
          <t>https://tinyurl.com/yd57nzgs</t>
        </is>
      </c>
      <c r="AO899" t="inlineStr">
        <is>
          <t>K2 Mindbender 90C Alliance Skis - Women's - 2022</t>
        </is>
      </c>
      <c r="AP899" t="inlineStr">
        <is>
          <t>Hillcrest Ski &amp; Sports</t>
        </is>
      </c>
      <c r="AQ899" s="333" t="n">
        <v>399.96</v>
      </c>
      <c r="AR899" t="inlineStr">
        <is>
          <t>https://tinyurl.com/ycqlojfp</t>
        </is>
      </c>
      <c r="AS899" s="314">
        <f>IF(LEFT(C899,1)=" ",RIGHT(C899,LEN(C899)-1),C899)</f>
        <v/>
      </c>
      <c r="AT899" s="281">
        <f>_xlfn.CONCAT(B899,AS899,D899,E899)</f>
        <v/>
      </c>
    </row>
    <row r="900">
      <c r="A900" t="inlineStr">
        <is>
          <t>21/22</t>
        </is>
      </c>
      <c r="B900" t="inlineStr">
        <is>
          <t>K2</t>
        </is>
      </c>
      <c r="C900" t="inlineStr">
        <is>
          <t>Mindbender 85 Alliance</t>
        </is>
      </c>
      <c r="D900" t="n">
        <v>159</v>
      </c>
      <c r="E900" t="inlineStr">
        <is>
          <t xml:space="preserve"> Women's</t>
        </is>
      </c>
      <c r="F900" t="n">
        <v>159</v>
      </c>
      <c r="G900" t="n">
        <v>156.9</v>
      </c>
      <c r="H900" t="n">
        <v>122</v>
      </c>
      <c r="I900" t="n">
        <v>128</v>
      </c>
      <c r="J900" t="n">
        <v>129</v>
      </c>
      <c r="K900" t="n">
        <v>84</v>
      </c>
      <c r="L900" t="n">
        <v>112</v>
      </c>
      <c r="M900" t="n">
        <v>10.7</v>
      </c>
      <c r="N900" t="n">
        <v>1508</v>
      </c>
      <c r="O900" t="n">
        <v>1.03</v>
      </c>
      <c r="P900" t="n">
        <v>1555</v>
      </c>
      <c r="Q900" t="n">
        <v>125</v>
      </c>
      <c r="R900" t="n">
        <v>72</v>
      </c>
      <c r="S900" t="n">
        <v>40</v>
      </c>
      <c r="T900" t="n">
        <v>243</v>
      </c>
      <c r="U900" t="n">
        <v>10</v>
      </c>
      <c r="V900" t="n">
        <v>102</v>
      </c>
      <c r="W900" t="n">
        <v>0.26</v>
      </c>
      <c r="X900" t="n">
        <v>176</v>
      </c>
      <c r="Y900" t="n">
        <v>111</v>
      </c>
      <c r="Z900" t="n">
        <v>67</v>
      </c>
      <c r="AA900" t="n">
        <v>8</v>
      </c>
      <c r="AB900" t="n">
        <v>10.5</v>
      </c>
      <c r="AC900" t="inlineStr">
        <is>
          <t xml:space="preserve"> On-Piste All-Mountain</t>
        </is>
      </c>
      <c r="AD900" t="inlineStr">
        <is>
          <t xml:space="preserve"> Resort Freeride</t>
        </is>
      </c>
      <c r="AG900" t="inlineStr">
        <is>
          <t>K2 Mindbender 106C Alliance Skis Women's 2022</t>
        </is>
      </c>
      <c r="AH900" t="inlineStr">
        <is>
          <t>! OutdoorXL.com</t>
        </is>
      </c>
      <c r="AI900" s="333" t="n">
        <v>464.95</v>
      </c>
      <c r="AJ900" t="inlineStr">
        <is>
          <t>https://tinyurl.com/yamtakns</t>
        </is>
      </c>
      <c r="AK900" t="inlineStr">
        <is>
          <t>K2 Mindbender 106C Alliance Skis Women's 2022</t>
        </is>
      </c>
      <c r="AL900" t="inlineStr">
        <is>
          <t>Curated</t>
        </is>
      </c>
      <c r="AM900" s="333" t="n">
        <v>599.95</v>
      </c>
      <c r="AN900" t="inlineStr">
        <is>
          <t>https://tinyurl.com/ybcr64oq</t>
        </is>
      </c>
      <c r="AO900" t="inlineStr">
        <is>
          <t>K2 Mindbender 106C Alliance Skis Women's 2022</t>
        </is>
      </c>
      <c r="AP900" t="inlineStr">
        <is>
          <t>Powder7 Ski Shop</t>
        </is>
      </c>
      <c r="AQ900" s="333" t="n">
        <v>599.95</v>
      </c>
      <c r="AR900" t="inlineStr">
        <is>
          <t>https://tinyurl.com/y9t34fxz</t>
        </is>
      </c>
      <c r="AS900" s="314">
        <f>IF(LEFT(C900,1)=" ",RIGHT(C900,LEN(C900)-1),C900)</f>
        <v/>
      </c>
      <c r="AT900" s="281">
        <f>_xlfn.CONCAT(B900,AS900,D900,E900)</f>
        <v/>
      </c>
    </row>
    <row r="901">
      <c r="A901" t="inlineStr">
        <is>
          <t>21/22</t>
        </is>
      </c>
      <c r="B901" t="inlineStr">
        <is>
          <t xml:space="preserve"> Head</t>
        </is>
      </c>
      <c r="C901" t="inlineStr">
        <is>
          <t xml:space="preserve"> Worldcup Rebels I.SLR</t>
        </is>
      </c>
      <c r="D901" t="n">
        <v>160</v>
      </c>
      <c r="E901" t="inlineStr">
        <is>
          <t xml:space="preserve"> Unisex</t>
        </is>
      </c>
      <c r="F901" t="n">
        <v>160</v>
      </c>
      <c r="G901" t="n">
        <v>159.2</v>
      </c>
      <c r="H901" t="n">
        <v>140</v>
      </c>
      <c r="I901" t="n">
        <v>145</v>
      </c>
      <c r="J901" t="n">
        <v>121</v>
      </c>
      <c r="K901" t="n">
        <v>65</v>
      </c>
      <c r="L901" t="n">
        <v>106</v>
      </c>
      <c r="M901" t="n">
        <v>11</v>
      </c>
      <c r="N901" t="n">
        <v>1871</v>
      </c>
      <c r="O901" t="n">
        <v>0.7</v>
      </c>
      <c r="P901" t="n">
        <v>1318</v>
      </c>
      <c r="Q901" t="n">
        <v>159</v>
      </c>
      <c r="R901" t="n">
        <v>79</v>
      </c>
      <c r="S901" t="n">
        <v>40</v>
      </c>
      <c r="T901" t="n">
        <v>143</v>
      </c>
      <c r="U901" t="n">
        <v>5</v>
      </c>
      <c r="V901" t="n">
        <v>52</v>
      </c>
      <c r="W901" t="n">
        <v>0.125</v>
      </c>
      <c r="X901" t="n">
        <v>80</v>
      </c>
      <c r="Y901" t="n">
        <v>60</v>
      </c>
      <c r="Z901" t="n">
        <v>63</v>
      </c>
      <c r="AA901" t="n">
        <v>9</v>
      </c>
      <c r="AB901" t="n">
        <v>12.8</v>
      </c>
      <c r="AC901" t="inlineStr">
        <is>
          <t xml:space="preserve"> On-Piste Carving</t>
        </is>
      </c>
      <c r="AG901" t="inlineStr">
        <is>
          <t>Head Worldcup Rebels e-SL White-Black 160 Ski Lady's Men</t>
        </is>
      </c>
      <c r="AH901" t="inlineStr">
        <is>
          <t>! OutdoorXL.com</t>
        </is>
      </c>
      <c r="AI901" s="333" t="n">
        <v>564.95</v>
      </c>
      <c r="AJ901" t="inlineStr">
        <is>
          <t>https://tinyurl.com/yahr6vf4</t>
        </is>
      </c>
      <c r="AK901" t="inlineStr">
        <is>
          <t>Head 2021 WC Rebels E-SL Skis w/Freeflex 14 Bindings</t>
        </is>
      </c>
      <c r="AL901" t="inlineStr">
        <is>
          <t>Suburban Ski and Bike</t>
        </is>
      </c>
      <c r="AM901" s="333" t="n">
        <v>639.99</v>
      </c>
      <c r="AN901" t="inlineStr">
        <is>
          <t>https://tinyurl.com/ydywox26</t>
        </is>
      </c>
      <c r="AO901" t="inlineStr">
        <is>
          <t>Head 2021 WC Rebels E-SL Skis w/Freeflex 14 Bindings</t>
        </is>
      </c>
      <c r="AP901" t="inlineStr">
        <is>
          <t>Powder7 Ski Shop</t>
        </is>
      </c>
      <c r="AQ901" s="333" t="n">
        <v>819</v>
      </c>
      <c r="AR901" t="inlineStr">
        <is>
          <t>https://tinyurl.com/y8dh3e3k</t>
        </is>
      </c>
      <c r="AS901" s="314">
        <f>IF(LEFT(C901,1)=" ",RIGHT(C901,LEN(C901)-1),C901)</f>
        <v/>
      </c>
      <c r="AT901" s="281">
        <f>_xlfn.CONCAT(B901,AS901,D901,E901)</f>
        <v/>
      </c>
    </row>
    <row r="902">
      <c r="A902" t="inlineStr">
        <is>
          <t>21/22</t>
        </is>
      </c>
      <c r="B902" t="inlineStr">
        <is>
          <t xml:space="preserve"> Atomic</t>
        </is>
      </c>
      <c r="C902" t="inlineStr">
        <is>
          <t>Maven 86 C</t>
        </is>
      </c>
      <c r="D902" t="n">
        <v>153</v>
      </c>
      <c r="E902" t="inlineStr">
        <is>
          <t xml:space="preserve"> Women's</t>
        </is>
      </c>
      <c r="F902" t="n">
        <v>153</v>
      </c>
      <c r="G902" t="n">
        <v>152</v>
      </c>
      <c r="H902" t="n">
        <v>102</v>
      </c>
      <c r="I902" t="n">
        <v>126</v>
      </c>
      <c r="J902" t="n">
        <v>120</v>
      </c>
      <c r="K902" t="n">
        <v>86</v>
      </c>
      <c r="L902" t="n">
        <v>103</v>
      </c>
      <c r="M902" t="n">
        <v>14.1</v>
      </c>
      <c r="N902" t="n">
        <v>1332</v>
      </c>
      <c r="O902" t="n">
        <v>1.1</v>
      </c>
      <c r="P902" t="n">
        <v>1465</v>
      </c>
      <c r="Q902" t="n">
        <v>178</v>
      </c>
      <c r="R902" t="n">
        <v>75</v>
      </c>
      <c r="S902" t="n">
        <v>49</v>
      </c>
      <c r="T902" t="n">
        <v>292</v>
      </c>
      <c r="U902" t="n">
        <v>13</v>
      </c>
      <c r="V902" t="n">
        <v>205</v>
      </c>
      <c r="W902" t="n">
        <v>0.271</v>
      </c>
      <c r="X902" t="n">
        <v>157</v>
      </c>
      <c r="Y902" t="n">
        <v>103</v>
      </c>
      <c r="Z902" t="n">
        <v>135</v>
      </c>
      <c r="AA902" t="n">
        <v>2</v>
      </c>
      <c r="AB902" t="n">
        <v>8.5</v>
      </c>
      <c r="AC902" t="inlineStr">
        <is>
          <t xml:space="preserve"> Resort Freeride</t>
        </is>
      </c>
      <c r="AD902" t="inlineStr">
        <is>
          <t xml:space="preserve"> Touring</t>
        </is>
      </c>
      <c r="AG902" t="inlineStr">
        <is>
          <t>Atomic Maven 86 C Skis</t>
        </is>
      </c>
      <c r="AH902" t="inlineStr">
        <is>
          <t>BlueZone Sports</t>
        </is>
      </c>
      <c r="AI902" s="333" t="n">
        <v>399.99</v>
      </c>
      <c r="AJ902" t="inlineStr">
        <is>
          <t>https://tinyurl.com/yaaxxuj9</t>
        </is>
      </c>
      <c r="AK902" t="inlineStr">
        <is>
          <t>Atomic Maven 86 C Skis</t>
        </is>
      </c>
      <c r="AL902" t="inlineStr">
        <is>
          <t>Hillcrest Ski &amp; Sports</t>
        </is>
      </c>
      <c r="AM902" s="333" t="n">
        <v>399.99</v>
      </c>
      <c r="AN902" t="inlineStr">
        <is>
          <t>https://tinyurl.com/yavx7k9y</t>
        </is>
      </c>
      <c r="AO902" t="inlineStr">
        <is>
          <t>Atomic Maven 86 C Skis</t>
        </is>
      </c>
      <c r="AP902" t="inlineStr">
        <is>
          <t>Peak Performance Ski Shop</t>
        </is>
      </c>
      <c r="AQ902" s="333" t="n">
        <v>399.99</v>
      </c>
      <c r="AR902" t="inlineStr">
        <is>
          <t>https://tinyurl.com/yabnkat7</t>
        </is>
      </c>
      <c r="AS902" s="314">
        <f>IF(LEFT(C902,1)=" ",RIGHT(C902,LEN(C902)-1),C902)</f>
        <v/>
      </c>
      <c r="AT902" s="281">
        <f>_xlfn.CONCAT(B902,AS902,D902,E902)</f>
        <v/>
      </c>
    </row>
    <row r="903">
      <c r="A903" t="inlineStr">
        <is>
          <t>21/22</t>
        </is>
      </c>
      <c r="B903" t="inlineStr">
        <is>
          <t xml:space="preserve"> Faction</t>
        </is>
      </c>
      <c r="C903" t="inlineStr">
        <is>
          <t>Agent 3.0</t>
        </is>
      </c>
      <c r="D903" t="n">
        <v>188</v>
      </c>
      <c r="E903" t="inlineStr">
        <is>
          <t xml:space="preserve"> Unisex</t>
        </is>
      </c>
      <c r="F903" t="n">
        <v>188</v>
      </c>
      <c r="G903" t="n">
        <v>186.5</v>
      </c>
      <c r="H903" t="n">
        <v>130</v>
      </c>
      <c r="I903" t="n">
        <v>156</v>
      </c>
      <c r="J903" t="n">
        <v>133</v>
      </c>
      <c r="K903" t="n">
        <v>105</v>
      </c>
      <c r="L903" t="n">
        <v>123</v>
      </c>
      <c r="M903" t="n">
        <v>23.5</v>
      </c>
      <c r="N903" t="n">
        <v>1873</v>
      </c>
      <c r="O903" t="n">
        <v>1.14</v>
      </c>
      <c r="P903" t="n">
        <v>2138</v>
      </c>
      <c r="Q903" t="n">
        <v>262</v>
      </c>
      <c r="R903" t="n">
        <v>127</v>
      </c>
      <c r="S903" t="n">
        <v>55</v>
      </c>
      <c r="T903" t="n">
        <v>339</v>
      </c>
      <c r="U903" t="n">
        <v>23</v>
      </c>
      <c r="V903" t="n">
        <v>227</v>
      </c>
      <c r="W903" t="n">
        <v>0.42</v>
      </c>
      <c r="X903" t="n">
        <v>191</v>
      </c>
      <c r="Y903" t="n">
        <v>114</v>
      </c>
      <c r="Z903" t="n">
        <v>148</v>
      </c>
      <c r="AA903" t="n">
        <v>4</v>
      </c>
      <c r="AB903" t="n">
        <v>11.7</v>
      </c>
      <c r="AC903" t="inlineStr">
        <is>
          <t xml:space="preserve"> Powder</t>
        </is>
      </c>
      <c r="AD903" t="inlineStr">
        <is>
          <t xml:space="preserve"> Touring</t>
        </is>
      </c>
      <c r="AG903" t="inlineStr">
        <is>
          <t>Faction Agent 3.0 Skis 2022</t>
        </is>
      </c>
      <c r="AH903" t="inlineStr">
        <is>
          <t>Snowcountry.eu</t>
        </is>
      </c>
      <c r="AI903" s="333" t="n">
        <v>515.3</v>
      </c>
      <c r="AJ903" t="inlineStr">
        <is>
          <t>https://tinyurl.com/yaa73bkh</t>
        </is>
      </c>
      <c r="AK903" t="inlineStr">
        <is>
          <t>Faction Agent 3.0 Skis 2022</t>
        </is>
      </c>
      <c r="AL903" t="inlineStr">
        <is>
          <t>Backcountry.com</t>
        </is>
      </c>
      <c r="AM903" s="333" t="n">
        <v>524.26</v>
      </c>
      <c r="AN903" t="inlineStr">
        <is>
          <t>https://tinyurl.com/ybm7hmhe</t>
        </is>
      </c>
      <c r="AO903" t="inlineStr">
        <is>
          <t>Faction Agent 3.0 Skis 2022</t>
        </is>
      </c>
      <c r="AP903" t="inlineStr">
        <is>
          <t>Powder7 Ski Shop</t>
        </is>
      </c>
      <c r="AQ903" s="333" t="n">
        <v>599.99</v>
      </c>
      <c r="AR903" t="inlineStr">
        <is>
          <t>https://tinyurl.com/y72tlbv9</t>
        </is>
      </c>
      <c r="AS903" s="314">
        <f>IF(LEFT(C903,1)=" ",RIGHT(C903,LEN(C903)-1),C903)</f>
        <v/>
      </c>
      <c r="AT903" s="281">
        <f>_xlfn.CONCAT(B903,AS903,D903,E903)</f>
        <v/>
      </c>
    </row>
    <row r="904">
      <c r="A904" t="inlineStr">
        <is>
          <t>21/22</t>
        </is>
      </c>
      <c r="B904" t="inlineStr">
        <is>
          <t xml:space="preserve"> Rossignol</t>
        </is>
      </c>
      <c r="C904" t="inlineStr">
        <is>
          <t>Experience 76 W</t>
        </is>
      </c>
      <c r="D904" t="n">
        <v>144</v>
      </c>
      <c r="E904" t="inlineStr">
        <is>
          <t xml:space="preserve"> Women's</t>
        </is>
      </c>
      <c r="F904" t="n">
        <v>144</v>
      </c>
      <c r="G904" t="n">
        <v>144.3</v>
      </c>
      <c r="H904" t="n">
        <v>118</v>
      </c>
      <c r="I904" t="n">
        <v>129</v>
      </c>
      <c r="J904" t="n">
        <v>123</v>
      </c>
      <c r="K904" t="n">
        <v>76</v>
      </c>
      <c r="L904" t="n">
        <v>109</v>
      </c>
      <c r="M904" t="n">
        <v>9.9</v>
      </c>
      <c r="N904" t="n">
        <v>1483</v>
      </c>
      <c r="O904" t="n">
        <v>0.89</v>
      </c>
      <c r="P904" t="n">
        <v>1325</v>
      </c>
      <c r="Q904" t="n">
        <v>162</v>
      </c>
      <c r="R904" t="n">
        <v>60</v>
      </c>
      <c r="S904" t="n">
        <v>38</v>
      </c>
      <c r="T904" t="n">
        <v>186</v>
      </c>
      <c r="U904" t="n">
        <v>6</v>
      </c>
      <c r="V904" t="n">
        <v>73</v>
      </c>
      <c r="W904" t="n">
        <v>0.157</v>
      </c>
      <c r="X904" t="n">
        <v>72</v>
      </c>
      <c r="Y904" t="n">
        <v>83</v>
      </c>
      <c r="Z904" t="n">
        <v>114</v>
      </c>
      <c r="AA904" t="n">
        <v>6</v>
      </c>
      <c r="AB904" t="n">
        <v>8</v>
      </c>
      <c r="AC904" t="inlineStr">
        <is>
          <t xml:space="preserve"> On-Piste Carving</t>
        </is>
      </c>
      <c r="AD904" t="inlineStr">
        <is>
          <t xml:space="preserve"> On-Piste All-Mountain</t>
        </is>
      </c>
      <c r="AG904" t="inlineStr">
        <is>
          <t>Rossignol Experience 76 Skis w/ Look Xpress 10 GW Bindings</t>
        </is>
      </c>
      <c r="AH904" t="inlineStr">
        <is>
          <t>The-House.com</t>
        </is>
      </c>
      <c r="AI904" s="333" t="n">
        <v>319.95</v>
      </c>
      <c r="AJ904" t="inlineStr">
        <is>
          <t>https://tinyurl.com/y7dbfsy3</t>
        </is>
      </c>
      <c r="AK904" t="inlineStr">
        <is>
          <t>Rossignol Experience 76 Skis with Xpress 10 GW Bindings 2022 Size 144cm for Men</t>
        </is>
      </c>
      <c r="AL904" t="inlineStr">
        <is>
          <t>eBay - asogear</t>
        </is>
      </c>
      <c r="AM904" s="333" t="n">
        <v>349.99</v>
      </c>
      <c r="AN904" t="inlineStr">
        <is>
          <t>https://tinyurl.com/y8z2dnlp</t>
        </is>
      </c>
      <c r="AO904" t="inlineStr">
        <is>
          <t>Rossignol Experience 76 Skis w/ Xpress 10 Bindings</t>
        </is>
      </c>
      <c r="AP904" t="inlineStr">
        <is>
          <t>eBay - grassisport</t>
        </is>
      </c>
      <c r="AQ904" s="333" t="n">
        <v>403.48</v>
      </c>
      <c r="AR904" t="inlineStr">
        <is>
          <t>https://tinyurl.com/y8oupash</t>
        </is>
      </c>
      <c r="AS904" s="314">
        <f>IF(LEFT(C904,1)=" ",RIGHT(C904,LEN(C904)-1),C904)</f>
        <v/>
      </c>
      <c r="AT904" s="281">
        <f>_xlfn.CONCAT(B904,AS904,D904,E904)</f>
        <v/>
      </c>
    </row>
    <row r="905">
      <c r="A905" t="inlineStr">
        <is>
          <t>21/22</t>
        </is>
      </c>
      <c r="B905" t="inlineStr">
        <is>
          <t xml:space="preserve"> Head</t>
        </is>
      </c>
      <c r="C905" t="inlineStr">
        <is>
          <t>V-Shape V10</t>
        </is>
      </c>
      <c r="D905" t="n">
        <v>170</v>
      </c>
      <c r="E905" t="inlineStr">
        <is>
          <t xml:space="preserve"> Unisex</t>
        </is>
      </c>
      <c r="F905" t="n">
        <v>170</v>
      </c>
      <c r="G905" t="n">
        <v>169.1</v>
      </c>
      <c r="H905" t="n">
        <v>147</v>
      </c>
      <c r="I905" t="n">
        <v>155</v>
      </c>
      <c r="J905" t="n">
        <v>138</v>
      </c>
      <c r="K905" t="n">
        <v>84</v>
      </c>
      <c r="L905" t="n">
        <v>120</v>
      </c>
      <c r="M905" t="n">
        <v>13.6</v>
      </c>
      <c r="N905" t="n">
        <v>1782</v>
      </c>
      <c r="O905" t="n">
        <v>0.95</v>
      </c>
      <c r="P905" t="n">
        <v>1695</v>
      </c>
      <c r="Q905" t="n">
        <v>208</v>
      </c>
      <c r="R905" t="n">
        <v>56</v>
      </c>
      <c r="S905" t="n">
        <v>44</v>
      </c>
      <c r="T905" t="n">
        <v>160</v>
      </c>
      <c r="U905" t="n">
        <v>8</v>
      </c>
      <c r="V905" t="n">
        <v>59</v>
      </c>
      <c r="W905" t="n">
        <v>0.188</v>
      </c>
      <c r="X905" t="n">
        <v>85</v>
      </c>
      <c r="Y905" t="n">
        <v>55</v>
      </c>
      <c r="Z905" t="n">
        <v>76</v>
      </c>
      <c r="AA905" t="n">
        <v>11</v>
      </c>
      <c r="AB905" t="n">
        <v>13.1</v>
      </c>
      <c r="AC905" t="inlineStr">
        <is>
          <t xml:space="preserve"> On-Piste Carving</t>
        </is>
      </c>
      <c r="AD905" t="inlineStr">
        <is>
          <t xml:space="preserve"> Resort Freeride</t>
        </is>
      </c>
      <c r="AG905" t="inlineStr">
        <is>
          <t>Head V10 V-shape Lyt Alpine Skis + Prx 14 Bindings 170cm Free Ship</t>
        </is>
      </c>
      <c r="AH905" t="inlineStr">
        <is>
          <t>eBay - suburbansports</t>
        </is>
      </c>
      <c r="AI905" s="333" t="n">
        <v>619.99</v>
      </c>
      <c r="AJ905" t="inlineStr">
        <is>
          <t>https://tinyurl.com/y9sylgnc</t>
        </is>
      </c>
      <c r="AK905" t="inlineStr">
        <is>
          <t>Head V-Shape V2 Black-Grey-White 170 Ski Men</t>
        </is>
      </c>
      <c r="AL905" t="inlineStr">
        <is>
          <t>! OutdoorXL.com</t>
        </is>
      </c>
      <c r="AM905" s="333" t="n">
        <v>234.95</v>
      </c>
      <c r="AN905" t="inlineStr">
        <is>
          <t>https://tinyurl.com/y7ehcmoe</t>
        </is>
      </c>
      <c r="AO905" t="inlineStr">
        <is>
          <t>Head V-Shape V6 Unisex Skiing Ski Black / Red 170 cm</t>
        </is>
      </c>
      <c r="AP905" t="inlineStr">
        <is>
          <t>Mike Sport</t>
        </is>
      </c>
      <c r="AQ905" s="333" t="n">
        <v>353</v>
      </c>
      <c r="AR905" t="inlineStr">
        <is>
          <t>https://tinyurl.com/ybxdqlep</t>
        </is>
      </c>
      <c r="AS905" s="314">
        <f>IF(LEFT(C905,1)=" ",RIGHT(C905,LEN(C905)-1),C905)</f>
        <v/>
      </c>
      <c r="AT905" s="281">
        <f>_xlfn.CONCAT(B905,AS905,D905,E905)</f>
        <v/>
      </c>
    </row>
    <row r="906">
      <c r="A906" t="inlineStr">
        <is>
          <t>21/22</t>
        </is>
      </c>
      <c r="B906" t="inlineStr">
        <is>
          <t xml:space="preserve"> Armada</t>
        </is>
      </c>
      <c r="C906" t="inlineStr">
        <is>
          <t>ARW 106 UL</t>
        </is>
      </c>
      <c r="D906" t="n">
        <v>188</v>
      </c>
      <c r="E906" t="inlineStr">
        <is>
          <t xml:space="preserve"> Women's</t>
        </is>
      </c>
      <c r="F906" t="n">
        <v>188</v>
      </c>
      <c r="G906" t="n">
        <v>183.1</v>
      </c>
      <c r="H906" t="n">
        <v>129</v>
      </c>
      <c r="I906" t="n">
        <v>150</v>
      </c>
      <c r="J906" t="n">
        <v>136</v>
      </c>
      <c r="K906" t="n">
        <v>105</v>
      </c>
      <c r="L906" t="n">
        <v>125</v>
      </c>
      <c r="M906" t="n">
        <v>21.8</v>
      </c>
      <c r="N906" t="n">
        <v>1953</v>
      </c>
      <c r="O906" t="n">
        <v>1.07</v>
      </c>
      <c r="P906" t="n">
        <v>2093</v>
      </c>
      <c r="Q906" t="n">
        <v>266</v>
      </c>
      <c r="R906" t="n">
        <v>129</v>
      </c>
      <c r="S906" t="n">
        <v>58</v>
      </c>
      <c r="T906" t="n">
        <v>308</v>
      </c>
      <c r="U906" t="n">
        <v>34</v>
      </c>
      <c r="V906" t="n">
        <v>236</v>
      </c>
      <c r="W906" t="n">
        <v>0.59</v>
      </c>
      <c r="X906" t="n">
        <v>176</v>
      </c>
      <c r="Y906" t="n">
        <v>151</v>
      </c>
      <c r="Z906" t="n">
        <v>132</v>
      </c>
      <c r="AA906" t="n">
        <v>6</v>
      </c>
      <c r="AB906" t="n">
        <v>4.1</v>
      </c>
      <c r="AC906" t="inlineStr">
        <is>
          <t xml:space="preserve"> Resort Freeride</t>
        </is>
      </c>
      <c r="AD906" t="inlineStr">
        <is>
          <t xml:space="preserve"> Powder</t>
        </is>
      </c>
      <c r="AE906" t="inlineStr">
        <is>
          <t xml:space="preserve"> Touring</t>
        </is>
      </c>
      <c r="AG906" t="inlineStr">
        <is>
          <t>Armada ARW 106 UL Women's Skis 188cm 2022</t>
        </is>
      </c>
      <c r="AH906" t="inlineStr">
        <is>
          <t>Powder7 Ski Shop</t>
        </is>
      </c>
      <c r="AI906" s="333" t="n">
        <v>559.95</v>
      </c>
      <c r="AJ906" t="inlineStr">
        <is>
          <t>https://tinyurl.com/yaewrx9z</t>
        </is>
      </c>
      <c r="AK906" t="inlineStr">
        <is>
          <t>Armada ARW 106 UL Women's Skis 188cm 2022</t>
        </is>
      </c>
      <c r="AL906" t="inlineStr">
        <is>
          <t>evo.com</t>
        </is>
      </c>
      <c r="AM906" s="333" t="n">
        <v>559.96</v>
      </c>
      <c r="AN906" t="inlineStr">
        <is>
          <t>https://tinyurl.com/ydcete7l</t>
        </is>
      </c>
      <c r="AO906" t="inlineStr">
        <is>
          <t>Armada ARW 106 Ul+shift 10 MNC Alpine Skis Woman 188</t>
        </is>
      </c>
      <c r="AP906" t="inlineStr">
        <is>
          <t>Snowinn.com</t>
        </is>
      </c>
      <c r="AQ906" s="333" t="n">
        <v>847.99</v>
      </c>
      <c r="AR906" t="inlineStr">
        <is>
          <t>https://tinyurl.com/y8tz5u8c</t>
        </is>
      </c>
      <c r="AS906" s="314">
        <f>IF(LEFT(C906,1)=" ",RIGHT(C906,LEN(C906)-1),C906)</f>
        <v/>
      </c>
      <c r="AT906" s="281">
        <f>_xlfn.CONCAT(B906,AS906,D906,E906)</f>
        <v/>
      </c>
    </row>
    <row r="907">
      <c r="A907" t="inlineStr">
        <is>
          <t>21/22</t>
        </is>
      </c>
      <c r="B907" t="inlineStr">
        <is>
          <t xml:space="preserve"> Line</t>
        </is>
      </c>
      <c r="C907" t="inlineStr">
        <is>
          <t xml:space="preserve"> Sir Francis Bacon</t>
        </is>
      </c>
      <c r="D907" t="n">
        <v>176</v>
      </c>
      <c r="E907" t="inlineStr">
        <is>
          <t xml:space="preserve"> Unisex</t>
        </is>
      </c>
      <c r="F907" t="n">
        <v>176</v>
      </c>
      <c r="G907" t="n">
        <v>175</v>
      </c>
      <c r="H907" t="n">
        <v>101</v>
      </c>
      <c r="I907" t="n">
        <v>143</v>
      </c>
      <c r="J907" t="n">
        <v>142</v>
      </c>
      <c r="K907" t="n">
        <v>106</v>
      </c>
      <c r="L907" t="n">
        <v>138</v>
      </c>
      <c r="M907" t="n">
        <v>14.9</v>
      </c>
      <c r="N907" t="n">
        <v>1738</v>
      </c>
      <c r="O907" t="n">
        <v>1.16</v>
      </c>
      <c r="P907" t="n">
        <v>2020</v>
      </c>
      <c r="Q907" t="n">
        <v>135</v>
      </c>
      <c r="R907" t="n">
        <v>69</v>
      </c>
      <c r="S907" t="n">
        <v>47</v>
      </c>
      <c r="T907" t="n">
        <v>397</v>
      </c>
      <c r="U907" t="n">
        <v>47</v>
      </c>
      <c r="V907" t="n">
        <v>347</v>
      </c>
      <c r="W907" t="n">
        <v>1.004</v>
      </c>
      <c r="X907" t="n">
        <v>159</v>
      </c>
      <c r="Y907" t="n">
        <v>161</v>
      </c>
      <c r="Z907" t="n">
        <v>238</v>
      </c>
      <c r="AA907" t="n">
        <v>3</v>
      </c>
      <c r="AB907" t="n">
        <v>2.3</v>
      </c>
      <c r="AC907" t="inlineStr">
        <is>
          <t xml:space="preserve"> Freeski</t>
        </is>
      </c>
      <c r="AD907" t="inlineStr">
        <is>
          <t xml:space="preserve"> Powder</t>
        </is>
      </c>
      <c r="AE907" t="inlineStr">
        <is>
          <t xml:space="preserve"> Touring</t>
        </is>
      </c>
      <c r="AG907" t="inlineStr">
        <is>
          <t>Line Sir Francis Bacon Skis 2022</t>
        </is>
      </c>
      <c r="AH907" t="inlineStr">
        <is>
          <t>The-House.com</t>
        </is>
      </c>
      <c r="AI907" s="333" t="n">
        <v>559.95</v>
      </c>
      <c r="AJ907" t="inlineStr">
        <is>
          <t>https://tinyurl.com/ya2xspgt</t>
        </is>
      </c>
      <c r="AK907" t="inlineStr">
        <is>
          <t>Line Sir Francis Bacon Skis 2022</t>
        </is>
      </c>
      <c r="AL907" t="inlineStr">
        <is>
          <t>sunandski.com</t>
        </is>
      </c>
      <c r="AM907" s="333" t="n">
        <v>699.95</v>
      </c>
      <c r="AN907" t="inlineStr">
        <is>
          <t>https://tinyurl.com/ydxpcome</t>
        </is>
      </c>
      <c r="AO907" t="inlineStr">
        <is>
          <t>Line Sir Francis Bacon Skis 2022</t>
        </is>
      </c>
      <c r="AP907" t="inlineStr">
        <is>
          <t>Curated</t>
        </is>
      </c>
      <c r="AQ907" s="333" t="n">
        <v>699.95</v>
      </c>
      <c r="AR907" t="inlineStr">
        <is>
          <t>https://tinyurl.com/yclp8uzs</t>
        </is>
      </c>
      <c r="AS907" s="314">
        <f>IF(LEFT(C907,1)=" ",RIGHT(C907,LEN(C907)-1),C907)</f>
        <v/>
      </c>
      <c r="AT907" s="281">
        <f>_xlfn.CONCAT(B907,AS907,D907,E907)</f>
        <v/>
      </c>
    </row>
    <row r="908">
      <c r="A908" t="inlineStr">
        <is>
          <t>21/22</t>
        </is>
      </c>
      <c r="B908" t="inlineStr">
        <is>
          <t xml:space="preserve"> Nordica</t>
        </is>
      </c>
      <c r="C908" t="inlineStr">
        <is>
          <t>Enforcer 110 Free</t>
        </is>
      </c>
      <c r="D908" t="n">
        <v>177</v>
      </c>
      <c r="E908" t="inlineStr">
        <is>
          <t xml:space="preserve"> Unisex</t>
        </is>
      </c>
      <c r="F908" t="n">
        <v>177</v>
      </c>
      <c r="G908" t="n">
        <v>176.4</v>
      </c>
      <c r="H908" t="n">
        <v>119</v>
      </c>
      <c r="I908" t="n">
        <v>145</v>
      </c>
      <c r="J908" t="n">
        <v>140</v>
      </c>
      <c r="K908" t="n">
        <v>109</v>
      </c>
      <c r="L908" t="n">
        <v>130</v>
      </c>
      <c r="M908" t="n">
        <v>16.9</v>
      </c>
      <c r="N908" t="n">
        <v>2155</v>
      </c>
      <c r="O908" t="n">
        <v>0.97</v>
      </c>
      <c r="P908" t="n">
        <v>2101</v>
      </c>
      <c r="Q908" t="n">
        <v>190</v>
      </c>
      <c r="R908" t="n">
        <v>139</v>
      </c>
      <c r="S908" t="n">
        <v>56</v>
      </c>
      <c r="T908" t="n">
        <v>314</v>
      </c>
      <c r="U908" t="n">
        <v>37</v>
      </c>
      <c r="V908" t="n">
        <v>257</v>
      </c>
      <c r="W908" t="n">
        <v>0.655999999999999</v>
      </c>
      <c r="X908" t="n">
        <v>159</v>
      </c>
      <c r="Y908" t="n">
        <v>152</v>
      </c>
      <c r="Z908" t="n">
        <v>155</v>
      </c>
      <c r="AA908" t="n">
        <v>7</v>
      </c>
      <c r="AB908" t="n">
        <v>8.4</v>
      </c>
      <c r="AC908" t="inlineStr">
        <is>
          <t xml:space="preserve"> Powder</t>
        </is>
      </c>
      <c r="AG908" t="inlineStr">
        <is>
          <t>2022 Nordica Enforcer 110 Free snow skis 177</t>
        </is>
      </c>
      <c r="AH908" t="inlineStr">
        <is>
          <t>The Pro Shop</t>
        </is>
      </c>
      <c r="AI908" s="333" t="n">
        <v>799.99</v>
      </c>
      <c r="AJ908" t="inlineStr">
        <is>
          <t>https://tinyurl.com/yb2y69a7</t>
        </is>
      </c>
      <c r="AK908" t="inlineStr">
        <is>
          <t>2022 Nordica Enforcer 110 Free Skis w/ Tyrolia Attack2 14 GW Bindings - 177| Ski Essentials</t>
        </is>
      </c>
      <c r="AL908" t="inlineStr">
        <is>
          <t>eBay - david110549</t>
        </is>
      </c>
      <c r="AM908" s="333" t="n">
        <v>814.99</v>
      </c>
      <c r="AN908" t="inlineStr">
        <is>
          <t>https://tinyurl.com/ya45kxta</t>
        </is>
      </c>
      <c r="AO908" t="inlineStr">
        <is>
          <t>2022 Nordica Enforcer 110 Free Skis w/ Tyrolia Attack2 14 GW Bindings - 177| Ski Essentials</t>
        </is>
      </c>
      <c r="AP908" t="inlineStr">
        <is>
          <t>SkiEssentials.com</t>
        </is>
      </c>
      <c r="AQ908" s="333" t="n">
        <v>814.99</v>
      </c>
      <c r="AR908" t="inlineStr">
        <is>
          <t>https://tinyurl.com/y7ne8pt4</t>
        </is>
      </c>
      <c r="AS908" s="314">
        <f>IF(LEFT(C908,1)=" ",RIGHT(C908,LEN(C908)-1),C908)</f>
        <v/>
      </c>
      <c r="AT908" s="281">
        <f>_xlfn.CONCAT(B908,AS908,D908,E908)</f>
        <v/>
      </c>
    </row>
    <row r="909">
      <c r="A909" t="inlineStr">
        <is>
          <t>21/22</t>
        </is>
      </c>
      <c r="B909" t="inlineStr">
        <is>
          <t xml:space="preserve"> Atomic</t>
        </is>
      </c>
      <c r="C909" t="inlineStr">
        <is>
          <t>Maverick 83</t>
        </is>
      </c>
      <c r="D909" t="n">
        <v>157</v>
      </c>
      <c r="E909" t="inlineStr">
        <is>
          <t xml:space="preserve"> Unisex</t>
        </is>
      </c>
      <c r="F909" t="n">
        <v>157</v>
      </c>
      <c r="G909" t="n">
        <v>155.8</v>
      </c>
      <c r="H909" t="n">
        <v>127</v>
      </c>
      <c r="I909" t="n">
        <v>136</v>
      </c>
      <c r="J909" t="n">
        <v>119</v>
      </c>
      <c r="K909" t="n">
        <v>82</v>
      </c>
      <c r="L909" t="n">
        <v>103</v>
      </c>
      <c r="M909" t="n">
        <v>14.3</v>
      </c>
      <c r="N909" t="n">
        <v>1696</v>
      </c>
      <c r="O909" t="n">
        <v>0.86</v>
      </c>
      <c r="P909" t="n">
        <v>1459</v>
      </c>
      <c r="Q909" t="n">
        <v>152</v>
      </c>
      <c r="R909" t="n">
        <v>63</v>
      </c>
      <c r="S909" t="n">
        <v>42</v>
      </c>
      <c r="T909" t="n">
        <v>177</v>
      </c>
      <c r="U909" t="n">
        <v>21</v>
      </c>
      <c r="V909" t="n">
        <v>113</v>
      </c>
      <c r="W909" t="n">
        <v>0.504</v>
      </c>
      <c r="X909" t="n">
        <v>113</v>
      </c>
      <c r="Y909" t="n">
        <v>88</v>
      </c>
      <c r="Z909" t="n">
        <v>63</v>
      </c>
      <c r="AA909" t="n">
        <v>11</v>
      </c>
      <c r="AB909" t="n">
        <v>8.199999999999999</v>
      </c>
      <c r="AC909" t="inlineStr">
        <is>
          <t xml:space="preserve"> Resort Freeride</t>
        </is>
      </c>
      <c r="AG909" t="inlineStr">
        <is>
          <t>Atomic Maverick 83 Skis + M10 GW Bindings 2022 - 157</t>
        </is>
      </c>
      <c r="AH909" t="inlineStr">
        <is>
          <t>evo.com</t>
        </is>
      </c>
      <c r="AI909" s="333" t="n">
        <v>399.99</v>
      </c>
      <c r="AJ909" t="inlineStr">
        <is>
          <t>https://tinyurl.com/yc4pmvrl</t>
        </is>
      </c>
      <c r="AK909" t="inlineStr">
        <is>
          <t>2022 Atomic Maverick 83 Aw Skis + Gw Bindings 157 Cm Sealed Red Gray</t>
        </is>
      </c>
      <c r="AL909" t="inlineStr">
        <is>
          <t>eBay - suburbansports</t>
        </is>
      </c>
      <c r="AM909" s="333" t="n">
        <v>439.99</v>
      </c>
      <c r="AN909" t="inlineStr">
        <is>
          <t>https://tinyurl.com/ycf27cl9</t>
        </is>
      </c>
      <c r="AO909" t="inlineStr">
        <is>
          <t>Atomic Maverick 83 Skis + M10 GW Bindings 157</t>
        </is>
      </c>
      <c r="AP909" t="inlineStr">
        <is>
          <t>shop.petersonsskiandcycle.com</t>
        </is>
      </c>
      <c r="AQ909" s="333" t="n">
        <v>499.99</v>
      </c>
      <c r="AR909" t="inlineStr">
        <is>
          <t>https://tinyurl.com/yd7qye5c</t>
        </is>
      </c>
      <c r="AS909" s="314">
        <f>IF(LEFT(C909,1)=" ",RIGHT(C909,LEN(C909)-1),C909)</f>
        <v/>
      </c>
      <c r="AT909" s="281">
        <f>_xlfn.CONCAT(B909,AS909,D909,E909)</f>
        <v/>
      </c>
    </row>
    <row r="910">
      <c r="A910" t="inlineStr">
        <is>
          <t>21/22</t>
        </is>
      </c>
      <c r="B910" t="inlineStr">
        <is>
          <t xml:space="preserve"> Elan</t>
        </is>
      </c>
      <c r="C910" t="inlineStr">
        <is>
          <t>Wingman 82 CTi</t>
        </is>
      </c>
      <c r="D910" t="n">
        <v>172</v>
      </c>
      <c r="E910" t="inlineStr">
        <is>
          <t xml:space="preserve"> Unisex</t>
        </is>
      </c>
      <c r="F910" t="n">
        <v>172</v>
      </c>
      <c r="G910" t="n">
        <v>171.3</v>
      </c>
      <c r="H910" t="n">
        <v>142</v>
      </c>
      <c r="I910" t="n">
        <v>151</v>
      </c>
      <c r="J910" t="n">
        <v>128</v>
      </c>
      <c r="K910" t="n">
        <v>81</v>
      </c>
      <c r="L910" t="n">
        <v>111</v>
      </c>
      <c r="M910" t="n">
        <v>14.2</v>
      </c>
      <c r="N910" t="n">
        <v>2130</v>
      </c>
      <c r="O910" t="n">
        <v>0.78</v>
      </c>
      <c r="P910" t="n">
        <v>1653</v>
      </c>
      <c r="Q910" t="n">
        <v>261</v>
      </c>
      <c r="R910" t="n">
        <v>113</v>
      </c>
      <c r="S910" t="n">
        <v>39</v>
      </c>
      <c r="T910" t="n">
        <v>175</v>
      </c>
      <c r="U910" t="n">
        <v>10</v>
      </c>
      <c r="V910" t="n">
        <v>120</v>
      </c>
      <c r="W910" t="n">
        <v>0.258</v>
      </c>
      <c r="X910" t="n">
        <v>110</v>
      </c>
      <c r="Y910" t="n">
        <v>92</v>
      </c>
      <c r="Z910" t="n">
        <v>66</v>
      </c>
      <c r="AA910" t="n">
        <v>9</v>
      </c>
      <c r="AB910" t="n">
        <v>10</v>
      </c>
      <c r="AC910" t="inlineStr">
        <is>
          <t xml:space="preserve"> On-Piste All-Mountain</t>
        </is>
      </c>
      <c r="AD910" t="inlineStr">
        <is>
          <t xml:space="preserve"> Resort Freeride</t>
        </is>
      </c>
      <c r="AG910" t="inlineStr">
        <is>
          <t>Elan Wingman 82 CTI Skis 2022 172cm</t>
        </is>
      </c>
      <c r="AH910" t="inlineStr">
        <is>
          <t>Berg's Ski &amp; Snowboard Shop</t>
        </is>
      </c>
      <c r="AI910" s="333" t="n">
        <v>449.99</v>
      </c>
      <c r="AJ910" t="inlineStr">
        <is>
          <t>https://tinyurl.com/yc997tko</t>
        </is>
      </c>
      <c r="AK910" t="inlineStr">
        <is>
          <t>Elan Wingman 82 CTi Skis 2023 w/bindings 172</t>
        </is>
      </c>
      <c r="AL910" t="inlineStr">
        <is>
          <t>Ski Depot RaceSkis.com</t>
        </is>
      </c>
      <c r="AM910" s="333" t="n">
        <v>849.99</v>
      </c>
      <c r="AN910" t="inlineStr">
        <is>
          <t>https://tinyurl.com/y8r84jjp</t>
        </is>
      </c>
      <c r="AO910" t="inlineStr">
        <is>
          <t>Elan Wingman 82 Ti PS ELX 11.0 22</t>
        </is>
      </c>
      <c r="AP910" t="inlineStr">
        <is>
          <t>Gorham Bike and Ski</t>
        </is>
      </c>
      <c r="AQ910" s="333" t="n">
        <v>279.99</v>
      </c>
      <c r="AR910" t="inlineStr">
        <is>
          <t>https://tinyurl.com/yahrhthp</t>
        </is>
      </c>
      <c r="AS910" s="314">
        <f>IF(LEFT(C910,1)=" ",RIGHT(C910,LEN(C910)-1),C910)</f>
        <v/>
      </c>
      <c r="AT910" s="281">
        <f>_xlfn.CONCAT(B910,AS910,D910,E910)</f>
        <v/>
      </c>
    </row>
    <row r="911">
      <c r="A911" t="inlineStr">
        <is>
          <t>21/22</t>
        </is>
      </c>
      <c r="B911" t="inlineStr">
        <is>
          <t xml:space="preserve"> Elan</t>
        </is>
      </c>
      <c r="C911" t="inlineStr">
        <is>
          <t xml:space="preserve"> Element</t>
        </is>
      </c>
      <c r="D911" t="n">
        <v>160</v>
      </c>
      <c r="E911" t="inlineStr">
        <is>
          <t xml:space="preserve"> Unisex</t>
        </is>
      </c>
      <c r="F911" t="n">
        <v>160</v>
      </c>
      <c r="G911" t="n">
        <v>159.5</v>
      </c>
      <c r="H911" t="n">
        <v>135</v>
      </c>
      <c r="I911" t="n">
        <v>146</v>
      </c>
      <c r="J911" t="n">
        <v>126</v>
      </c>
      <c r="K911" t="n">
        <v>75</v>
      </c>
      <c r="L911" t="n">
        <v>101</v>
      </c>
      <c r="M911" t="n">
        <v>13.5</v>
      </c>
      <c r="N911" t="n">
        <v>1710</v>
      </c>
      <c r="O911" t="n">
        <v>0.84</v>
      </c>
      <c r="P911" t="n">
        <v>1435</v>
      </c>
      <c r="Q911" t="n">
        <v>172</v>
      </c>
      <c r="R911" t="n">
        <v>63</v>
      </c>
      <c r="S911" t="n">
        <v>38</v>
      </c>
      <c r="T911" t="n">
        <v>167</v>
      </c>
      <c r="U911" t="n">
        <v>10</v>
      </c>
      <c r="V911" t="n">
        <v>74</v>
      </c>
      <c r="W911" t="n">
        <v>0.258</v>
      </c>
      <c r="X911" t="n">
        <v>80</v>
      </c>
      <c r="Y911" t="n">
        <v>56</v>
      </c>
      <c r="Z911" t="n">
        <v>87</v>
      </c>
      <c r="AA911" t="n">
        <v>6</v>
      </c>
      <c r="AB911" t="n">
        <v>11.3</v>
      </c>
      <c r="AC911" t="inlineStr">
        <is>
          <t xml:space="preserve"> On-Piste Carving</t>
        </is>
      </c>
      <c r="AG911" t="inlineStr">
        <is>
          <t>Elan Element Ls+elw 9.0 Alpine Skis 160</t>
        </is>
      </c>
      <c r="AH911" t="inlineStr">
        <is>
          <t>! OutdoorXL.com</t>
        </is>
      </c>
      <c r="AI911" s="333" t="n">
        <v>284.95</v>
      </c>
      <c r="AJ911" t="inlineStr">
        <is>
          <t>https://tinyurl.com/y79rwesp</t>
        </is>
      </c>
      <c r="AK911" t="inlineStr">
        <is>
          <t>Elan Element LS EL 10.0 Orange / 160cm</t>
        </is>
      </c>
      <c r="AL911" t="inlineStr">
        <is>
          <t>Sundance Ski and Board Shop</t>
        </is>
      </c>
      <c r="AM911" s="333" t="n">
        <v>424.76</v>
      </c>
      <c r="AN911" t="inlineStr">
        <is>
          <t>https://tinyurl.com/ybuy5fjt</t>
        </is>
      </c>
      <c r="AO911" t="inlineStr">
        <is>
          <t>ELAN Men's ELEMENT BLACK SKI + ELW 10.0 Binding 160</t>
        </is>
      </c>
      <c r="AP911" t="inlineStr">
        <is>
          <t>Elevation Skate Snow</t>
        </is>
      </c>
      <c r="AQ911" s="333" t="n">
        <v>449.99</v>
      </c>
      <c r="AR911" t="inlineStr">
        <is>
          <t>https://tinyurl.com/y7xrtj9j</t>
        </is>
      </c>
      <c r="AS911" s="314">
        <f>IF(LEFT(C911,1)=" ",RIGHT(C911,LEN(C911)-1),C911)</f>
        <v/>
      </c>
      <c r="AT911" s="281">
        <f>_xlfn.CONCAT(B911,AS911,D911,E911)</f>
        <v/>
      </c>
    </row>
    <row r="912">
      <c r="A912" t="inlineStr">
        <is>
          <t>21/22</t>
        </is>
      </c>
      <c r="B912" t="inlineStr">
        <is>
          <t xml:space="preserve"> Elan</t>
        </is>
      </c>
      <c r="C912" t="inlineStr">
        <is>
          <t>Wingman 86 Ti</t>
        </is>
      </c>
      <c r="D912" t="n">
        <v>178</v>
      </c>
      <c r="E912" t="inlineStr">
        <is>
          <t xml:space="preserve"> Unisex</t>
        </is>
      </c>
      <c r="F912" t="n">
        <v>178</v>
      </c>
      <c r="G912" t="n">
        <v>177.4</v>
      </c>
      <c r="H912" t="n">
        <v>143</v>
      </c>
      <c r="I912" t="n">
        <v>158</v>
      </c>
      <c r="J912" t="n">
        <v>130</v>
      </c>
      <c r="K912" t="n">
        <v>86</v>
      </c>
      <c r="L912" t="n">
        <v>114</v>
      </c>
      <c r="M912" t="n">
        <v>16.4</v>
      </c>
      <c r="N912" t="n">
        <v>2178</v>
      </c>
      <c r="O912" t="n">
        <v>0.8100000000000001</v>
      </c>
      <c r="P912" t="n">
        <v>1770</v>
      </c>
      <c r="Q912" t="n">
        <v>222</v>
      </c>
      <c r="R912" t="n">
        <v>110</v>
      </c>
      <c r="S912" t="n">
        <v>39</v>
      </c>
      <c r="T912" t="n">
        <v>213</v>
      </c>
      <c r="U912" t="n">
        <v>8</v>
      </c>
      <c r="V912" t="n">
        <v>128</v>
      </c>
      <c r="W912" t="n">
        <v>0.205</v>
      </c>
      <c r="X912" t="n">
        <v>100</v>
      </c>
      <c r="Y912" t="n">
        <v>96</v>
      </c>
      <c r="Z912" t="n">
        <v>113</v>
      </c>
      <c r="AA912" t="n">
        <v>8</v>
      </c>
      <c r="AB912" t="n">
        <v>9</v>
      </c>
      <c r="AC912" t="inlineStr">
        <is>
          <t xml:space="preserve"> Resort Freeride</t>
        </is>
      </c>
      <c r="AG912" t="inlineStr">
        <is>
          <t>Elan Wingman 86 Ti Skis 2022</t>
        </is>
      </c>
      <c r="AH912" t="inlineStr">
        <is>
          <t>Next Adventure</t>
        </is>
      </c>
      <c r="AI912" s="333" t="n">
        <v>374.99</v>
      </c>
      <c r="AJ912" t="inlineStr">
        <is>
          <t>https://tinyurl.com/ybq9chel</t>
        </is>
      </c>
      <c r="AK912" t="inlineStr">
        <is>
          <t>Elan Wingman 86 Ti Skis 2022</t>
        </is>
      </c>
      <c r="AL912" t="inlineStr">
        <is>
          <t>Suburban Ski and Bike</t>
        </is>
      </c>
      <c r="AM912" s="333" t="n">
        <v>480</v>
      </c>
      <c r="AN912" t="inlineStr">
        <is>
          <t>https://tinyurl.com/y8qmzs44</t>
        </is>
      </c>
      <c r="AO912" t="inlineStr">
        <is>
          <t>Elan Wingman 86 Ti Skis 2023 178</t>
        </is>
      </c>
      <c r="AP912" t="inlineStr">
        <is>
          <t>Ski Depot RaceSkis.com</t>
        </is>
      </c>
      <c r="AQ912" s="333" t="n">
        <v>499.99</v>
      </c>
      <c r="AR912" t="inlineStr">
        <is>
          <t>https://tinyurl.com/yax434yo</t>
        </is>
      </c>
      <c r="AS912" s="314">
        <f>IF(LEFT(C912,1)=" ",RIGHT(C912,LEN(C912)-1),C912)</f>
        <v/>
      </c>
      <c r="AT912" s="281">
        <f>_xlfn.CONCAT(B912,AS912,D912,E912)</f>
        <v/>
      </c>
    </row>
    <row r="913">
      <c r="A913" t="inlineStr">
        <is>
          <t>21/22</t>
        </is>
      </c>
      <c r="B913" t="inlineStr">
        <is>
          <t xml:space="preserve"> Salomon</t>
        </is>
      </c>
      <c r="C913" t="inlineStr">
        <is>
          <t>S/Max 8</t>
        </is>
      </c>
      <c r="D913" t="n">
        <v>170</v>
      </c>
      <c r="E913" t="inlineStr">
        <is>
          <t xml:space="preserve"> Unisex</t>
        </is>
      </c>
      <c r="F913" t="n">
        <v>170</v>
      </c>
      <c r="G913" t="n">
        <v>169.4</v>
      </c>
      <c r="H913" t="n">
        <v>149</v>
      </c>
      <c r="I913" t="n">
        <v>158</v>
      </c>
      <c r="J913" t="n">
        <v>121</v>
      </c>
      <c r="K913" t="n">
        <v>72</v>
      </c>
      <c r="L913" t="n">
        <v>104</v>
      </c>
      <c r="M913" t="n">
        <v>14.6</v>
      </c>
      <c r="N913" t="n">
        <v>2037</v>
      </c>
      <c r="O913" t="n">
        <v>0.73</v>
      </c>
      <c r="P913" t="n">
        <v>1494</v>
      </c>
      <c r="Q913" t="n">
        <v>234</v>
      </c>
      <c r="R913" t="n">
        <v>102</v>
      </c>
      <c r="S913" t="n">
        <v>30</v>
      </c>
      <c r="T913" t="n">
        <v>130</v>
      </c>
      <c r="U913" t="n">
        <v>4</v>
      </c>
      <c r="V913" t="n">
        <v>71</v>
      </c>
      <c r="W913" t="n">
        <v>0.146</v>
      </c>
      <c r="X913" t="n">
        <v>81</v>
      </c>
      <c r="Y913" t="n">
        <v>38</v>
      </c>
      <c r="Z913" t="n">
        <v>49</v>
      </c>
      <c r="AA913" t="n">
        <v>11</v>
      </c>
      <c r="AB913" t="n">
        <v>11.4</v>
      </c>
      <c r="AC913" t="inlineStr">
        <is>
          <t xml:space="preserve"> On-Piste Carving</t>
        </is>
      </c>
      <c r="AG913" t="inlineStr">
        <is>
          <t>Salomon S/MAX 8 M11 GW Skis, 170cm Black 2021</t>
        </is>
      </c>
      <c r="AH913" t="inlineStr">
        <is>
          <t>Absolute-Snow.co.uk</t>
        </is>
      </c>
      <c r="AI913" s="333" t="n">
        <v>355.98</v>
      </c>
      <c r="AJ913" t="inlineStr">
        <is>
          <t>https://tinyurl.com/y9fg9t6q</t>
        </is>
      </c>
      <c r="AK913" t="inlineStr">
        <is>
          <t>Salomon Ski Set E S/Max 8 + M11 GW L80 Skis - Dark Grey/Yellow/Black</t>
        </is>
      </c>
      <c r="AL913" t="inlineStr">
        <is>
          <t>Surfdome US</t>
        </is>
      </c>
      <c r="AM913" s="333" t="n">
        <v>453.95</v>
      </c>
      <c r="AN913" t="inlineStr">
        <is>
          <t>https://tinyurl.com/y72k8bbj</t>
        </is>
      </c>
      <c r="AO913" t="inlineStr">
        <is>
          <t>Salomon Ski Set E S/Max 8 + M11 GW L80 Skis - Dark Grey/Yellow/Black</t>
        </is>
      </c>
      <c r="AP913" t="inlineStr">
        <is>
          <t>eBay - extremepiestores</t>
        </is>
      </c>
      <c r="AQ913" s="333" t="n">
        <v>500.62</v>
      </c>
      <c r="AR913" t="inlineStr">
        <is>
          <t>https://tinyurl.com/y8gpduku</t>
        </is>
      </c>
      <c r="AS913" s="314">
        <f>IF(LEFT(C913,1)=" ",RIGHT(C913,LEN(C913)-1),C913)</f>
        <v/>
      </c>
      <c r="AT913" s="281">
        <f>_xlfn.CONCAT(B913,AS913,D913,E913)</f>
        <v/>
      </c>
    </row>
    <row r="914">
      <c r="A914" t="inlineStr">
        <is>
          <t>21/22</t>
        </is>
      </c>
      <c r="B914" t="inlineStr">
        <is>
          <t xml:space="preserve"> Fischer</t>
        </is>
      </c>
      <c r="C914" t="inlineStr">
        <is>
          <t>Hannibal 96</t>
        </is>
      </c>
      <c r="D914" t="n">
        <v>176</v>
      </c>
      <c r="E914" t="inlineStr">
        <is>
          <t xml:space="preserve"> Unisex</t>
        </is>
      </c>
      <c r="F914" t="n">
        <v>176</v>
      </c>
      <c r="G914" t="n">
        <v>174.7</v>
      </c>
      <c r="H914" t="n">
        <v>130</v>
      </c>
      <c r="I914" t="n">
        <v>150</v>
      </c>
      <c r="J914" t="n">
        <v>126</v>
      </c>
      <c r="K914" t="n">
        <v>95</v>
      </c>
      <c r="L914" t="n">
        <v>112</v>
      </c>
      <c r="M914" t="n">
        <v>21</v>
      </c>
      <c r="N914" t="n">
        <v>1265</v>
      </c>
      <c r="O914" t="n">
        <v>1.44</v>
      </c>
      <c r="P914" t="n">
        <v>1824</v>
      </c>
      <c r="Q914" t="n">
        <v>155</v>
      </c>
      <c r="R914" t="n">
        <v>66</v>
      </c>
      <c r="S914" t="n">
        <v>65</v>
      </c>
      <c r="T914" t="n">
        <v>301</v>
      </c>
      <c r="U914" t="n">
        <v>5</v>
      </c>
      <c r="V914" t="n">
        <v>149</v>
      </c>
      <c r="W914" t="n">
        <v>0.076</v>
      </c>
      <c r="X914" t="n">
        <v>161</v>
      </c>
      <c r="Y914" t="n">
        <v>90</v>
      </c>
      <c r="Z914" t="n">
        <v>140</v>
      </c>
      <c r="AA914" t="n">
        <v>5</v>
      </c>
      <c r="AB914" t="n">
        <v>9.300000000000001</v>
      </c>
      <c r="AC914" t="inlineStr">
        <is>
          <t xml:space="preserve"> Touring</t>
        </is>
      </c>
      <c r="AD914" t="inlineStr">
        <is>
          <t xml:space="preserve"> Ultralight Touring</t>
        </is>
      </c>
      <c r="AG914" t="inlineStr">
        <is>
          <t>Fischer Hannibal 96 Carbon</t>
        </is>
      </c>
      <c r="AH914" t="inlineStr">
        <is>
          <t>Snowcountry.eu</t>
        </is>
      </c>
      <c r="AI914" s="333" t="n">
        <v>419.41</v>
      </c>
      <c r="AJ914" t="inlineStr">
        <is>
          <t>https://tinyurl.com/y95aa5u9</t>
        </is>
      </c>
      <c r="AK914" t="inlineStr">
        <is>
          <t>Fischer Hannibal 96 Carbon</t>
        </is>
      </c>
      <c r="AL914" t="inlineStr">
        <is>
          <t>Gorham Bike and Ski</t>
        </is>
      </c>
      <c r="AM914" s="333" t="n">
        <v>489.99</v>
      </c>
      <c r="AN914" t="inlineStr">
        <is>
          <t>https://tinyurl.com/ybz6bnpg</t>
        </is>
      </c>
      <c r="AO914" t="inlineStr">
        <is>
          <t>Fischer Hannibal 96 Carbon</t>
        </is>
      </c>
      <c r="AP914" t="inlineStr">
        <is>
          <t>ColoradoSkiShop.com</t>
        </is>
      </c>
      <c r="AQ914" s="333" t="n">
        <v>509.99</v>
      </c>
      <c r="AR914" t="inlineStr">
        <is>
          <t>https://tinyurl.com/y8r5gyvm</t>
        </is>
      </c>
      <c r="AS914" s="314">
        <f>IF(LEFT(C914,1)=" ",RIGHT(C914,LEN(C914)-1),C914)</f>
        <v/>
      </c>
      <c r="AT914" s="281">
        <f>_xlfn.CONCAT(B914,AS914,D914,E914)</f>
        <v/>
      </c>
    </row>
    <row r="915">
      <c r="A915" t="inlineStr">
        <is>
          <t>21/22</t>
        </is>
      </c>
      <c r="B915" t="inlineStr">
        <is>
          <t xml:space="preserve"> Line</t>
        </is>
      </c>
      <c r="C915" t="inlineStr">
        <is>
          <t>Vision 98</t>
        </is>
      </c>
      <c r="D915" t="n">
        <v>172</v>
      </c>
      <c r="E915" t="inlineStr">
        <is>
          <t xml:space="preserve"> Unisex</t>
        </is>
      </c>
      <c r="F915" t="n">
        <v>172</v>
      </c>
      <c r="G915" t="n">
        <v>171.9</v>
      </c>
      <c r="H915" t="n">
        <v>111</v>
      </c>
      <c r="I915" t="n">
        <v>138</v>
      </c>
      <c r="J915" t="n">
        <v>130</v>
      </c>
      <c r="K915" t="n">
        <v>97</v>
      </c>
      <c r="L915" t="n">
        <v>117</v>
      </c>
      <c r="M915" t="n">
        <v>16.5</v>
      </c>
      <c r="N915" t="n">
        <v>1347</v>
      </c>
      <c r="O915" t="n">
        <v>1.37</v>
      </c>
      <c r="P915" t="n">
        <v>1840</v>
      </c>
      <c r="Q915" t="n">
        <v>156</v>
      </c>
      <c r="R915" t="n">
        <v>64</v>
      </c>
      <c r="S915" t="n">
        <v>51</v>
      </c>
      <c r="T915" t="n">
        <v>333</v>
      </c>
      <c r="U915" t="n">
        <v>33</v>
      </c>
      <c r="V915" t="n">
        <v>280</v>
      </c>
      <c r="W915" t="n">
        <v>0.65</v>
      </c>
      <c r="X915" t="n">
        <v>167</v>
      </c>
      <c r="Y915" t="n">
        <v>173</v>
      </c>
      <c r="Z915" t="n">
        <v>166</v>
      </c>
      <c r="AA915" t="n">
        <v>4</v>
      </c>
      <c r="AB915" t="n">
        <v>6.3</v>
      </c>
      <c r="AC915" t="inlineStr">
        <is>
          <t xml:space="preserve"> Touring</t>
        </is>
      </c>
      <c r="AD915" t="inlineStr">
        <is>
          <t xml:space="preserve"> Ultralight Touring</t>
        </is>
      </c>
      <c r="AG915" t="inlineStr">
        <is>
          <t>Line Vision 98 Skis 2022</t>
        </is>
      </c>
      <c r="AH915" t="inlineStr">
        <is>
          <t>Telemark Pyrenees</t>
        </is>
      </c>
      <c r="AI915" s="333" t="n">
        <v>394.15</v>
      </c>
      <c r="AJ915" t="inlineStr">
        <is>
          <t>https://tinyurl.com/y9ezq7s8</t>
        </is>
      </c>
      <c r="AK915" t="inlineStr">
        <is>
          <t>Line Vision 98 Skis 2022</t>
        </is>
      </c>
      <c r="AL915" t="inlineStr">
        <is>
          <t>Snowcountry.eu</t>
        </is>
      </c>
      <c r="AM915" s="333" t="n">
        <v>395.47</v>
      </c>
      <c r="AN915" t="inlineStr">
        <is>
          <t>https://tinyurl.com/y73db39w</t>
        </is>
      </c>
      <c r="AO915" t="inlineStr">
        <is>
          <t>Line Vision 98 Skis 2022</t>
        </is>
      </c>
      <c r="AP915" t="inlineStr">
        <is>
          <t>The-House.com</t>
        </is>
      </c>
      <c r="AQ915" s="333" t="n">
        <v>559.95</v>
      </c>
      <c r="AR915" t="inlineStr">
        <is>
          <t>https://tinyurl.com/y7fdeudz</t>
        </is>
      </c>
      <c r="AS915" s="314">
        <f>IF(LEFT(C915,1)=" ",RIGHT(C915,LEN(C915)-1),C915)</f>
        <v/>
      </c>
      <c r="AT915" s="281">
        <f>_xlfn.CONCAT(B915,AS915,D915,E915)</f>
        <v/>
      </c>
    </row>
    <row r="916">
      <c r="A916" t="inlineStr">
        <is>
          <t>21/22</t>
        </is>
      </c>
      <c r="B916" t="inlineStr">
        <is>
          <t xml:space="preserve"> Head</t>
        </is>
      </c>
      <c r="C916" t="inlineStr">
        <is>
          <t xml:space="preserve"> Power Joy</t>
        </is>
      </c>
      <c r="D916" t="n">
        <v>153</v>
      </c>
      <c r="E916" t="inlineStr">
        <is>
          <t xml:space="preserve"> Women's</t>
        </is>
      </c>
      <c r="F916" t="n">
        <v>153</v>
      </c>
      <c r="G916" t="n">
        <v>152.5</v>
      </c>
      <c r="H916" t="n">
        <v>132</v>
      </c>
      <c r="I916" t="n">
        <v>137</v>
      </c>
      <c r="J916" t="n">
        <v>121</v>
      </c>
      <c r="K916" t="n">
        <v>67</v>
      </c>
      <c r="L916" t="n">
        <v>100</v>
      </c>
      <c r="M916" t="n">
        <v>11</v>
      </c>
      <c r="N916" t="n">
        <v>1721</v>
      </c>
      <c r="O916" t="n">
        <v>0.74</v>
      </c>
      <c r="P916" t="n">
        <v>1269</v>
      </c>
      <c r="Q916" t="n">
        <v>123</v>
      </c>
      <c r="R916" t="n">
        <v>60</v>
      </c>
      <c r="S916" t="n">
        <v>39</v>
      </c>
      <c r="T916" t="n">
        <v>134</v>
      </c>
      <c r="U916" t="n">
        <v>12</v>
      </c>
      <c r="V916" t="n">
        <v>72</v>
      </c>
      <c r="W916" t="n">
        <v>0.308</v>
      </c>
      <c r="X916" t="n">
        <v>89</v>
      </c>
      <c r="Y916" t="n">
        <v>62</v>
      </c>
      <c r="Z916" t="n">
        <v>45</v>
      </c>
      <c r="AA916" t="n">
        <v>10</v>
      </c>
      <c r="AB916" t="n">
        <v>9.4</v>
      </c>
      <c r="AC916" t="inlineStr">
        <is>
          <t xml:space="preserve"> On-Piste Carving</t>
        </is>
      </c>
      <c r="AG916" t="inlineStr">
        <is>
          <t>Head Power Joy Ski w/ Joy 12 GW PRD Binding 2021</t>
        </is>
      </c>
      <c r="AH916" t="inlineStr">
        <is>
          <t>Powder7 Ski Shop</t>
        </is>
      </c>
      <c r="AI916" s="333" t="n">
        <v>649</v>
      </c>
      <c r="AJ916" t="inlineStr">
        <is>
          <t>https://tinyurl.com/yb3lmzhz</t>
        </is>
      </c>
      <c r="AK916" t="inlineStr">
        <is>
          <t>Head Power Joy Ski w/ Joy 12 GW PRD Binding 2021</t>
        </is>
      </c>
      <c r="AL916" t="inlineStr">
        <is>
          <t>SkiEssentials.com</t>
        </is>
      </c>
      <c r="AM916" s="333" t="n">
        <v>699</v>
      </c>
      <c r="AN916" t="inlineStr">
        <is>
          <t>https://tinyurl.com/ybc7kjy8</t>
        </is>
      </c>
      <c r="AO916" t="inlineStr">
        <is>
          <t>Head Power Joy Ski w/ Joy 12 GW PRD Binding 2021</t>
        </is>
      </c>
      <c r="AP916" t="inlineStr">
        <is>
          <t>eBay - david110549</t>
        </is>
      </c>
      <c r="AQ916" s="333" t="n">
        <v>699</v>
      </c>
      <c r="AR916" t="inlineStr">
        <is>
          <t>https://tinyurl.com/yal7cur3</t>
        </is>
      </c>
      <c r="AS916" s="314">
        <f>IF(LEFT(C916,1)=" ",RIGHT(C916,LEN(C916)-1),C916)</f>
        <v/>
      </c>
      <c r="AT916" s="281">
        <f>_xlfn.CONCAT(B916,AS916,D916,E916)</f>
        <v/>
      </c>
    </row>
    <row r="917">
      <c r="A917" t="inlineStr">
        <is>
          <t>21/22</t>
        </is>
      </c>
      <c r="B917" t="inlineStr">
        <is>
          <t>K2</t>
        </is>
      </c>
      <c r="C917" t="inlineStr">
        <is>
          <t>Mindbender 85</t>
        </is>
      </c>
      <c r="D917" t="n">
        <v>156</v>
      </c>
      <c r="E917" t="inlineStr">
        <is>
          <t xml:space="preserve"> Unisex</t>
        </is>
      </c>
      <c r="F917" t="n">
        <v>156</v>
      </c>
      <c r="G917" t="n">
        <v>156.7</v>
      </c>
      <c r="H917" t="n">
        <v>115</v>
      </c>
      <c r="I917" t="n">
        <v>128</v>
      </c>
      <c r="J917" t="n">
        <v>129</v>
      </c>
      <c r="K917" t="n">
        <v>84</v>
      </c>
      <c r="L917" t="n">
        <v>112</v>
      </c>
      <c r="M917" t="n">
        <v>10.8</v>
      </c>
      <c r="N917" t="n">
        <v>1534</v>
      </c>
      <c r="O917" t="n">
        <v>1.02</v>
      </c>
      <c r="P917" t="n">
        <v>1558</v>
      </c>
      <c r="Q917" t="n">
        <v>125</v>
      </c>
      <c r="R917" t="n">
        <v>74</v>
      </c>
      <c r="S917" t="n">
        <v>42</v>
      </c>
      <c r="T917" t="n">
        <v>252</v>
      </c>
      <c r="U917" t="n">
        <v>12</v>
      </c>
      <c r="V917" t="n">
        <v>165</v>
      </c>
      <c r="W917" t="n">
        <v>0.292</v>
      </c>
      <c r="X917" t="n">
        <v>176</v>
      </c>
      <c r="Y917" t="n">
        <v>112</v>
      </c>
      <c r="Z917" t="n">
        <v>76</v>
      </c>
      <c r="AA917" t="n">
        <v>10</v>
      </c>
      <c r="AB917" t="n">
        <v>10.3</v>
      </c>
      <c r="AC917" t="inlineStr">
        <is>
          <t xml:space="preserve"> On-Piste All-Mountain</t>
        </is>
      </c>
      <c r="AD917" t="inlineStr">
        <is>
          <t xml:space="preserve"> Resort Freeride</t>
        </is>
      </c>
      <c r="AG917" t="inlineStr">
        <is>
          <t>2020 K2 Mindbender 85 Rx 156cm W/ Marker 10.0 Binding</t>
        </is>
      </c>
      <c r="AH917" t="inlineStr">
        <is>
          <t>eBay - riverpirate999</t>
        </is>
      </c>
      <c r="AI917" s="333" t="n">
        <v>299</v>
      </c>
      <c r="AJ917" t="inlineStr">
        <is>
          <t>https://tinyurl.com/yd4ca7xx</t>
        </is>
      </c>
      <c r="AK917" t="inlineStr">
        <is>
          <t>K2 Mindbender 85 Alliance Skis - Women's 2022</t>
        </is>
      </c>
      <c r="AL917" t="inlineStr">
        <is>
          <t>Hillcrest Ski &amp; Sports</t>
        </is>
      </c>
      <c r="AM917" s="333" t="n">
        <v>319.96</v>
      </c>
      <c r="AN917" t="inlineStr">
        <is>
          <t>https://tinyurl.com/y79ta76a</t>
        </is>
      </c>
      <c r="AO917" t="inlineStr">
        <is>
          <t>K2 Mindbender 85 Skis Men's 2022</t>
        </is>
      </c>
      <c r="AP917" t="inlineStr">
        <is>
          <t>PRFO Sports</t>
        </is>
      </c>
      <c r="AQ917" s="333" t="n">
        <v>320.57</v>
      </c>
      <c r="AR917" t="inlineStr">
        <is>
          <t>https://tinyurl.com/y8lyerv8</t>
        </is>
      </c>
      <c r="AS917" s="314">
        <f>IF(LEFT(C917,1)=" ",RIGHT(C917,LEN(C917)-1),C917)</f>
        <v/>
      </c>
      <c r="AT917" s="281">
        <f>_xlfn.CONCAT(B917,AS917,D917,E917)</f>
        <v/>
      </c>
    </row>
    <row r="918">
      <c r="A918" t="inlineStr">
        <is>
          <t>21/22</t>
        </is>
      </c>
      <c r="B918" t="inlineStr">
        <is>
          <t xml:space="preserve"> Vï¿½lkl</t>
        </is>
      </c>
      <c r="C918" t="inlineStr">
        <is>
          <t>Rise Beyond 96</t>
        </is>
      </c>
      <c r="D918" t="n">
        <v>170</v>
      </c>
      <c r="E918" t="inlineStr">
        <is>
          <t xml:space="preserve"> Unisex</t>
        </is>
      </c>
      <c r="F918" t="n">
        <v>170</v>
      </c>
      <c r="G918" t="n">
        <v>169.5</v>
      </c>
      <c r="H918" t="n">
        <v>130</v>
      </c>
      <c r="I918" t="n">
        <v>148</v>
      </c>
      <c r="J918" t="n">
        <v>137</v>
      </c>
      <c r="K918" t="n">
        <v>95</v>
      </c>
      <c r="L918" t="n">
        <v>118</v>
      </c>
      <c r="M918" t="n">
        <v>15.9</v>
      </c>
      <c r="N918" t="n">
        <v>1260</v>
      </c>
      <c r="O918" t="n">
        <v>1.45</v>
      </c>
      <c r="P918" t="n">
        <v>1830</v>
      </c>
      <c r="Q918" t="n">
        <v>155</v>
      </c>
      <c r="R918" t="n">
        <v>70</v>
      </c>
      <c r="S918" t="n">
        <v>39</v>
      </c>
      <c r="T918" t="n">
        <v>326</v>
      </c>
      <c r="U918" t="n">
        <v>5</v>
      </c>
      <c r="V918" t="n">
        <v>72</v>
      </c>
      <c r="W918" t="n">
        <v>0.135</v>
      </c>
      <c r="X918" t="n">
        <v>123</v>
      </c>
      <c r="Y918" t="n">
        <v>89</v>
      </c>
      <c r="Z918" t="n">
        <v>204</v>
      </c>
      <c r="AA918" t="n">
        <v>3</v>
      </c>
      <c r="AB918" t="n">
        <v>11.3</v>
      </c>
      <c r="AC918" t="inlineStr">
        <is>
          <t xml:space="preserve"> Touring</t>
        </is>
      </c>
      <c r="AD918" t="inlineStr">
        <is>
          <t xml:space="preserve"> Ultralight Touring</t>
        </is>
      </c>
      <c r="AG918" t="inlineStr">
        <is>
          <t>Volkl Women's Rise Beyond 96 Skis</t>
        </is>
      </c>
      <c r="AH918" t="inlineStr">
        <is>
          <t>PRFO Sports</t>
        </is>
      </c>
      <c r="AI918" s="333" t="n">
        <v>512.92</v>
      </c>
      <c r="AJ918" t="inlineStr">
        <is>
          <t>https://tinyurl.com/y8gshynh</t>
        </is>
      </c>
      <c r="AK918" t="inlineStr">
        <is>
          <t>Volkl Rise Beyond 96 W 170cm</t>
        </is>
      </c>
      <c r="AL918" t="inlineStr">
        <is>
          <t>Sundance Ski and Board Shop</t>
        </is>
      </c>
      <c r="AM918" s="333" t="n">
        <v>520.9299999999999</v>
      </c>
      <c r="AN918" t="inlineStr">
        <is>
          <t>https://tinyurl.com/y8deb83l</t>
        </is>
      </c>
      <c r="AO918" t="inlineStr">
        <is>
          <t>Volkl Rise Beyond 96 Ski 2023</t>
        </is>
      </c>
      <c r="AP918" t="inlineStr">
        <is>
          <t>Telemark Pyrenees</t>
        </is>
      </c>
      <c r="AQ918" s="333" t="n">
        <v>640.87</v>
      </c>
      <c r="AR918" t="inlineStr">
        <is>
          <t>https://tinyurl.com/yddu2l5q</t>
        </is>
      </c>
      <c r="AS918" s="314">
        <f>IF(LEFT(C918,1)=" ",RIGHT(C918,LEN(C918)-1),C918)</f>
        <v/>
      </c>
      <c r="AT918" s="281">
        <f>_xlfn.CONCAT(B918,AS918,D918,E918)</f>
        <v/>
      </c>
    </row>
    <row r="919">
      <c r="A919" t="inlineStr">
        <is>
          <t>21/22</t>
        </is>
      </c>
      <c r="B919" t="inlineStr">
        <is>
          <t xml:space="preserve"> Line</t>
        </is>
      </c>
      <c r="C919" t="inlineStr">
        <is>
          <t>Pandora 104</t>
        </is>
      </c>
      <c r="D919" t="n">
        <v>158</v>
      </c>
      <c r="E919" t="inlineStr">
        <is>
          <t xml:space="preserve"> Women's</t>
        </is>
      </c>
      <c r="F919" t="n">
        <v>158</v>
      </c>
      <c r="G919" t="n">
        <v>158.2</v>
      </c>
      <c r="H919" t="n">
        <v>112</v>
      </c>
      <c r="I919" t="n">
        <v>122</v>
      </c>
      <c r="J919" t="n">
        <v>136</v>
      </c>
      <c r="K919" t="n">
        <v>103</v>
      </c>
      <c r="L919" t="n">
        <v>121</v>
      </c>
      <c r="M919" t="n">
        <v>13.5</v>
      </c>
      <c r="N919" t="n">
        <v>1478</v>
      </c>
      <c r="O919" t="n">
        <v>1.21</v>
      </c>
      <c r="P919" t="n">
        <v>1792</v>
      </c>
      <c r="Q919" t="n">
        <v>122</v>
      </c>
      <c r="R919" t="n">
        <v>69</v>
      </c>
      <c r="S919" t="n">
        <v>46</v>
      </c>
      <c r="T919" t="n">
        <v>295</v>
      </c>
      <c r="U919" t="n">
        <v>14</v>
      </c>
      <c r="V919" t="n">
        <v>164</v>
      </c>
      <c r="W919" t="n">
        <v>0.305</v>
      </c>
      <c r="X919" t="n">
        <v>185</v>
      </c>
      <c r="Y919" t="n">
        <v>181</v>
      </c>
      <c r="Z919" t="n">
        <v>109</v>
      </c>
      <c r="AA919" t="n">
        <v>6</v>
      </c>
      <c r="AB919" t="n">
        <v>9.6</v>
      </c>
      <c r="AC919" t="inlineStr">
        <is>
          <t xml:space="preserve"> Resort Freeride</t>
        </is>
      </c>
      <c r="AD919" t="inlineStr">
        <is>
          <t xml:space="preserve"> Big Mountain</t>
        </is>
      </c>
      <c r="AE919" t="inlineStr">
        <is>
          <t xml:space="preserve"> Touring</t>
        </is>
      </c>
      <c r="AG919" t="inlineStr">
        <is>
          <t>Line Pandora 104 Women's Skis Â· 2022 Â· 158 cm</t>
        </is>
      </c>
      <c r="AH919" t="inlineStr">
        <is>
          <t>BlueZone Sports</t>
        </is>
      </c>
      <c r="AI919" s="333" t="n">
        <v>479.96</v>
      </c>
      <c r="AJ919" t="inlineStr">
        <is>
          <t>https://tinyurl.com/y8tce8hm</t>
        </is>
      </c>
      <c r="AK919" t="inlineStr">
        <is>
          <t>'22 Line Pandora 104 Skis 158cm</t>
        </is>
      </c>
      <c r="AL919" t="inlineStr">
        <is>
          <t>Al's Ski Equipment Barn</t>
        </is>
      </c>
      <c r="AM919" s="333" t="n">
        <v>549.95</v>
      </c>
      <c r="AN919" t="inlineStr">
        <is>
          <t>https://tinyurl.com/yc7wbovp</t>
        </is>
      </c>
      <c r="AO919" t="inlineStr">
        <is>
          <t>Line Skis Pandora 104 Skis , 158 mm + Salomon Warden MNC 11 Demo</t>
        </is>
      </c>
      <c r="AP919" t="inlineStr">
        <is>
          <t>Geartrade.com</t>
        </is>
      </c>
      <c r="AQ919" s="333" t="n">
        <v>550</v>
      </c>
      <c r="AR919" t="inlineStr">
        <is>
          <t>https://tinyurl.com/ybghw8m4</t>
        </is>
      </c>
      <c r="AS919" s="314">
        <f>IF(LEFT(C919,1)=" ",RIGHT(C919,LEN(C919)-1),C919)</f>
        <v/>
      </c>
      <c r="AT919" s="281">
        <f>_xlfn.CONCAT(B919,AS919,D919,E919)</f>
        <v/>
      </c>
    </row>
    <row r="920">
      <c r="A920" t="inlineStr">
        <is>
          <t>21/22</t>
        </is>
      </c>
      <c r="B920" t="inlineStr">
        <is>
          <t xml:space="preserve"> Raccoon</t>
        </is>
      </c>
      <c r="C920" t="inlineStr">
        <is>
          <t>Chinook 99</t>
        </is>
      </c>
      <c r="D920" t="n">
        <v>172</v>
      </c>
      <c r="E920" t="inlineStr">
        <is>
          <t xml:space="preserve"> Unisex</t>
        </is>
      </c>
      <c r="F920" t="n">
        <v>172</v>
      </c>
      <c r="G920" t="n">
        <v>170.3</v>
      </c>
      <c r="H920" t="n">
        <v>105</v>
      </c>
      <c r="I920" t="n">
        <v>142</v>
      </c>
      <c r="J920" t="n">
        <v>129</v>
      </c>
      <c r="K920" t="n">
        <v>98</v>
      </c>
      <c r="L920" t="n">
        <v>120</v>
      </c>
      <c r="M920" t="n">
        <v>17.5</v>
      </c>
      <c r="N920" t="n">
        <v>1483</v>
      </c>
      <c r="O920" t="n">
        <v>1.26</v>
      </c>
      <c r="P920" t="n">
        <v>1862</v>
      </c>
      <c r="Q920" t="n">
        <v>196</v>
      </c>
      <c r="R920" t="n">
        <v>48</v>
      </c>
      <c r="S920" t="n">
        <v>73</v>
      </c>
      <c r="T920" t="n">
        <v>405</v>
      </c>
      <c r="U920" t="n">
        <v>29</v>
      </c>
      <c r="V920" t="n">
        <v>248</v>
      </c>
      <c r="W920" t="n">
        <v>0.398999999999999</v>
      </c>
      <c r="X920" t="n">
        <v>155</v>
      </c>
      <c r="Y920" t="n">
        <v>131</v>
      </c>
      <c r="Z920" t="n">
        <v>249</v>
      </c>
      <c r="AA920" t="n">
        <v>5</v>
      </c>
      <c r="AB920" t="n">
        <v>10.8</v>
      </c>
      <c r="AC920" t="inlineStr">
        <is>
          <t xml:space="preserve"> Resort Freeride</t>
        </is>
      </c>
      <c r="AD920" t="inlineStr">
        <is>
          <t xml:space="preserve"> Touring</t>
        </is>
      </c>
      <c r="AE920" t="inlineStr">
        <is>
          <t xml:space="preserve"> Ultralight Touring</t>
        </is>
      </c>
      <c r="AS920" s="314">
        <f>IF(LEFT(C920,1)=" ",RIGHT(C920,LEN(C920)-1),C920)</f>
        <v/>
      </c>
      <c r="AT920" s="281">
        <f>_xlfn.CONCAT(B920,AS920,D920,E920)</f>
        <v/>
      </c>
    </row>
    <row r="921">
      <c r="A921" t="inlineStr">
        <is>
          <t>21/22</t>
        </is>
      </c>
      <c r="B921" t="inlineStr">
        <is>
          <t xml:space="preserve"> Vï¿½lkl</t>
        </is>
      </c>
      <c r="C921" t="inlineStr">
        <is>
          <t>Blaze 94 W</t>
        </is>
      </c>
      <c r="D921" t="n">
        <v>172</v>
      </c>
      <c r="E921" t="inlineStr">
        <is>
          <t xml:space="preserve"> Women's</t>
        </is>
      </c>
      <c r="F921" t="n">
        <v>172</v>
      </c>
      <c r="G921" t="n">
        <v>171.9</v>
      </c>
      <c r="H921" t="n">
        <v>70</v>
      </c>
      <c r="I921" t="n">
        <v>148</v>
      </c>
      <c r="J921" t="n">
        <v>133</v>
      </c>
      <c r="K921" t="n">
        <v>93</v>
      </c>
      <c r="L921" t="n">
        <v>115</v>
      </c>
      <c r="M921" t="n">
        <v>16.8</v>
      </c>
      <c r="N921" t="n">
        <v>1508</v>
      </c>
      <c r="O921" t="n">
        <v>1.21</v>
      </c>
      <c r="P921" t="n">
        <v>1817</v>
      </c>
      <c r="Q921" t="n">
        <v>164</v>
      </c>
      <c r="R921" t="n">
        <v>81</v>
      </c>
      <c r="S921" t="n">
        <v>53</v>
      </c>
      <c r="T921" t="n">
        <v>589</v>
      </c>
      <c r="U921" t="n">
        <v>23</v>
      </c>
      <c r="V921" t="n">
        <v>432</v>
      </c>
      <c r="W921" t="n">
        <v>0.437</v>
      </c>
      <c r="X921" t="n">
        <v>136</v>
      </c>
      <c r="Y921" t="n">
        <v>104</v>
      </c>
      <c r="Z921" t="n">
        <v>453</v>
      </c>
      <c r="AA921" t="n">
        <v>1</v>
      </c>
      <c r="AB921" t="n">
        <v>11</v>
      </c>
      <c r="AC921" t="inlineStr">
        <is>
          <t xml:space="preserve"> Resort Freeride</t>
        </is>
      </c>
      <c r="AD921" t="inlineStr">
        <is>
          <t xml:space="preserve"> Touring</t>
        </is>
      </c>
      <c r="AG921" t="inlineStr">
        <is>
          <t>Volkl Blaze 94 W Alpine Skis 2022 - - 172 cm</t>
        </is>
      </c>
      <c r="AH921" t="inlineStr">
        <is>
          <t>Skirack</t>
        </is>
      </c>
      <c r="AI921" s="333" t="n">
        <v>439.96</v>
      </c>
      <c r="AJ921" t="inlineStr">
        <is>
          <t>https://tinyurl.com/y7kmlxnh</t>
        </is>
      </c>
      <c r="AK921" t="inlineStr">
        <is>
          <t>Volkl Blaze 94 W 172cm</t>
        </is>
      </c>
      <c r="AL921" t="inlineStr">
        <is>
          <t>Sundance Ski and Board Shop</t>
        </is>
      </c>
      <c r="AM921" s="333" t="n">
        <v>480.86</v>
      </c>
      <c r="AN921" t="inlineStr">
        <is>
          <t>https://tinyurl.com/y7w8jwok</t>
        </is>
      </c>
      <c r="AO921" t="inlineStr">
        <is>
          <t>'22 Volkl Blaze 94 W Skis 172cm</t>
        </is>
      </c>
      <c r="AP921" t="inlineStr">
        <is>
          <t>Al's Ski Equipment Barn</t>
        </is>
      </c>
      <c r="AQ921" s="333" t="n">
        <v>549</v>
      </c>
      <c r="AR921" t="inlineStr">
        <is>
          <t>https://tinyurl.com/y9lzzof5</t>
        </is>
      </c>
      <c r="AS921" s="314">
        <f>IF(LEFT(C921,1)=" ",RIGHT(C921,LEN(C921)-1),C921)</f>
        <v/>
      </c>
      <c r="AT921" s="281">
        <f>_xlfn.CONCAT(B921,AS921,D921,E921)</f>
        <v/>
      </c>
    </row>
    <row r="922">
      <c r="A922" t="inlineStr">
        <is>
          <t>21/22</t>
        </is>
      </c>
      <c r="B922" t="inlineStr">
        <is>
          <t xml:space="preserve"> Dynastar</t>
        </is>
      </c>
      <c r="C922" t="inlineStr">
        <is>
          <t>M-Menace 90</t>
        </is>
      </c>
      <c r="D922" t="n">
        <v>160</v>
      </c>
      <c r="E922" t="inlineStr">
        <is>
          <t xml:space="preserve"> Unisex</t>
        </is>
      </c>
      <c r="F922" t="n">
        <v>160</v>
      </c>
      <c r="G922" t="n">
        <v>158.5</v>
      </c>
      <c r="H922" t="n">
        <v>112</v>
      </c>
      <c r="I922" t="n">
        <v>134</v>
      </c>
      <c r="J922" t="n">
        <v>117</v>
      </c>
      <c r="K922" t="n">
        <v>89</v>
      </c>
      <c r="L922" t="n">
        <v>107</v>
      </c>
      <c r="M922" t="n">
        <v>20.5</v>
      </c>
      <c r="N922" t="n">
        <v>1535</v>
      </c>
      <c r="O922" t="n">
        <v>1.01</v>
      </c>
      <c r="P922" t="n">
        <v>1545</v>
      </c>
      <c r="Q922" t="n">
        <v>157</v>
      </c>
      <c r="R922" t="n">
        <v>59</v>
      </c>
      <c r="S922" t="n">
        <v>48</v>
      </c>
      <c r="T922" t="n">
        <v>257</v>
      </c>
      <c r="U922" t="n">
        <v>29</v>
      </c>
      <c r="V922" t="n">
        <v>212</v>
      </c>
      <c r="W922" t="n">
        <v>0.601</v>
      </c>
      <c r="X922" t="n">
        <v>117</v>
      </c>
      <c r="Y922" t="n">
        <v>126</v>
      </c>
      <c r="Z922" t="n">
        <v>140</v>
      </c>
      <c r="AA922" t="n">
        <v>5</v>
      </c>
      <c r="AB922" t="n">
        <v>7.2</v>
      </c>
      <c r="AC922" t="inlineStr">
        <is>
          <t xml:space="preserve"> Resort Freeride</t>
        </is>
      </c>
      <c r="AG922" t="inlineStr">
        <is>
          <t>Dynastar M-MENACE 90 Skis 2022</t>
        </is>
      </c>
      <c r="AH922" t="inlineStr">
        <is>
          <t>Level Nine Sports</t>
        </is>
      </c>
      <c r="AI922" s="333" t="n">
        <v>349.95</v>
      </c>
      <c r="AJ922" t="inlineStr">
        <is>
          <t>https://tinyurl.com/y7b6kv9q</t>
        </is>
      </c>
      <c r="AK922" t="inlineStr">
        <is>
          <t>Dynastar Menace 90 Skis Youth 2023</t>
        </is>
      </c>
      <c r="AL922" t="inlineStr">
        <is>
          <t>BlueZone Sports</t>
        </is>
      </c>
      <c r="AM922" s="333" t="n">
        <v>349.95</v>
      </c>
      <c r="AN922" t="inlineStr">
        <is>
          <t>https://tinyurl.com/yanls4ss</t>
        </is>
      </c>
      <c r="AO922" t="inlineStr">
        <is>
          <t xml:space="preserve"> Dynastar 157 12R SL</t>
        </is>
      </c>
      <c r="AP922" t="inlineStr">
        <is>
          <t>SidelineSwap</t>
        </is>
      </c>
      <c r="AQ922" s="333" t="n">
        <v>222</v>
      </c>
      <c r="AR922" t="inlineStr">
        <is>
          <t>https://tinyurl.com/y7u23ck4</t>
        </is>
      </c>
      <c r="AS922" s="314">
        <f>IF(LEFT(C922,1)=" ",RIGHT(C922,LEN(C922)-1),C922)</f>
        <v/>
      </c>
      <c r="AT922" s="281">
        <f>_xlfn.CONCAT(B922,AS922,D922,E922)</f>
        <v/>
      </c>
    </row>
    <row r="923">
      <c r="A923" t="inlineStr">
        <is>
          <t>21/22</t>
        </is>
      </c>
      <c r="B923" t="inlineStr">
        <is>
          <t xml:space="preserve"> Armada</t>
        </is>
      </c>
      <c r="C923" t="inlineStr">
        <is>
          <t>Declivity 82 Ti</t>
        </is>
      </c>
      <c r="D923" t="n">
        <v>174</v>
      </c>
      <c r="E923" t="inlineStr">
        <is>
          <t xml:space="preserve"> Unisex</t>
        </is>
      </c>
      <c r="F923" t="n">
        <v>174</v>
      </c>
      <c r="G923" t="n">
        <v>173.5</v>
      </c>
      <c r="H923" t="n">
        <v>142</v>
      </c>
      <c r="I923" t="n">
        <v>154</v>
      </c>
      <c r="J923" t="n">
        <v>127</v>
      </c>
      <c r="K923" t="n">
        <v>81</v>
      </c>
      <c r="L923" t="n">
        <v>109</v>
      </c>
      <c r="M923" t="n">
        <v>15.9</v>
      </c>
      <c r="N923" t="n">
        <v>1648</v>
      </c>
      <c r="O923" t="n">
        <v>1.01</v>
      </c>
      <c r="P923" t="n">
        <v>1659</v>
      </c>
      <c r="Q923" t="n">
        <v>230</v>
      </c>
      <c r="R923" t="n">
        <v>139</v>
      </c>
      <c r="S923" t="n">
        <v>42</v>
      </c>
      <c r="T923" t="n">
        <v>198</v>
      </c>
      <c r="U923" t="n">
        <v>12</v>
      </c>
      <c r="V923" t="n">
        <v>121</v>
      </c>
      <c r="W923" t="n">
        <v>0.291</v>
      </c>
      <c r="X923" t="n">
        <v>120</v>
      </c>
      <c r="Y923" t="n">
        <v>72</v>
      </c>
      <c r="Z923" t="n">
        <v>78</v>
      </c>
      <c r="AA923" t="n">
        <v>7</v>
      </c>
      <c r="AB923" t="n">
        <v>9.4</v>
      </c>
      <c r="AC923" t="inlineStr">
        <is>
          <t xml:space="preserve"> On-Piste All-Mountain</t>
        </is>
      </c>
      <c r="AD923" t="inlineStr">
        <is>
          <t xml:space="preserve"> Resort Freeride</t>
        </is>
      </c>
      <c r="AG923" t="inlineStr">
        <is>
          <t>Demo Armada Declivity 82 Ti Ski w/ Armada Z12 GW Binding 2022</t>
        </is>
      </c>
      <c r="AH923" t="inlineStr">
        <is>
          <t>High Mountain Sports</t>
        </is>
      </c>
      <c r="AI923" s="333" t="n">
        <v>474.99</v>
      </c>
      <c r="AJ923" t="inlineStr">
        <is>
          <t>https://tinyurl.com/y7awzh8z</t>
        </is>
      </c>
      <c r="AK923" t="inlineStr">
        <is>
          <t>Armada Declivity 82 Ti Skis</t>
        </is>
      </c>
      <c r="AL923" t="inlineStr">
        <is>
          <t>The-House.com</t>
        </is>
      </c>
      <c r="AM923" s="333" t="n">
        <v>599.95</v>
      </c>
      <c r="AN923" t="inlineStr">
        <is>
          <t>https://tinyurl.com/y962gowl</t>
        </is>
      </c>
      <c r="AO923" t="inlineStr">
        <is>
          <t>Armada Declivity 82 Ti Skis 2022 w/bindings 174</t>
        </is>
      </c>
      <c r="AP923" t="inlineStr">
        <is>
          <t>Ski Depot RaceSkis.com</t>
        </is>
      </c>
      <c r="AQ923" s="333" t="n">
        <v>799.95</v>
      </c>
      <c r="AR923" t="inlineStr">
        <is>
          <t>https://tinyurl.com/ybnxvczf</t>
        </is>
      </c>
      <c r="AS923" s="314">
        <f>IF(LEFT(C923,1)=" ",RIGHT(C923,LEN(C923)-1),C923)</f>
        <v/>
      </c>
      <c r="AT923" s="281">
        <f>_xlfn.CONCAT(B923,AS923,D923,E923)</f>
        <v/>
      </c>
    </row>
    <row r="924">
      <c r="A924" t="inlineStr">
        <is>
          <t>21/22</t>
        </is>
      </c>
      <c r="B924" t="inlineStr">
        <is>
          <t xml:space="preserve"> Vï¿½lkl</t>
        </is>
      </c>
      <c r="C924" t="inlineStr">
        <is>
          <t>Flair 75</t>
        </is>
      </c>
      <c r="D924" t="n">
        <v>161</v>
      </c>
      <c r="E924" t="inlineStr">
        <is>
          <t xml:space="preserve"> Women's</t>
        </is>
      </c>
      <c r="F924" t="n">
        <v>161</v>
      </c>
      <c r="G924" t="n">
        <v>160.5</v>
      </c>
      <c r="H924" t="n">
        <v>141</v>
      </c>
      <c r="I924" t="n">
        <v>148</v>
      </c>
      <c r="J924" t="n">
        <v>125</v>
      </c>
      <c r="K924" t="n">
        <v>74</v>
      </c>
      <c r="L924" t="n">
        <v>105</v>
      </c>
      <c r="M924" t="n">
        <v>13.6</v>
      </c>
      <c r="N924" t="n">
        <v>1793</v>
      </c>
      <c r="O924" t="n">
        <v>0.8</v>
      </c>
      <c r="P924" t="n">
        <v>1433</v>
      </c>
      <c r="Q924" t="n">
        <v>162</v>
      </c>
      <c r="R924" t="n">
        <v>69</v>
      </c>
      <c r="S924" t="n">
        <v>35</v>
      </c>
      <c r="T924" t="n">
        <v>133</v>
      </c>
      <c r="U924" t="n">
        <v>5</v>
      </c>
      <c r="V924" t="n">
        <v>61</v>
      </c>
      <c r="W924" t="n">
        <v>0.147</v>
      </c>
      <c r="X924" t="n">
        <v>71</v>
      </c>
      <c r="Y924" t="n">
        <v>58</v>
      </c>
      <c r="Z924" t="n">
        <v>62</v>
      </c>
      <c r="AA924" t="n">
        <v>4</v>
      </c>
      <c r="AB924" t="n">
        <v>11.7</v>
      </c>
      <c r="AC924" t="inlineStr">
        <is>
          <t xml:space="preserve"> On-Piste Carving</t>
        </is>
      </c>
      <c r="AG924" t="inlineStr">
        <is>
          <t>Volkl Women's Flair 75 Skis + vMotion 3 Bindings 161</t>
        </is>
      </c>
      <c r="AH924" t="inlineStr">
        <is>
          <t>Surfdome US</t>
        </is>
      </c>
      <c r="AI924" s="333" t="n">
        <v>418.95</v>
      </c>
      <c r="AJ924" t="inlineStr">
        <is>
          <t>https://tinyurl.com/ybca93mb</t>
        </is>
      </c>
      <c r="AK924" t="inlineStr">
        <is>
          <t>Volkl Women's Flair 75 Skis + vMotion 3 Bindings 161</t>
        </is>
      </c>
      <c r="AL924" t="inlineStr">
        <is>
          <t>eBay - extremepiestores</t>
        </is>
      </c>
      <c r="AM924" s="333" t="n">
        <v>463.87</v>
      </c>
      <c r="AN924" t="inlineStr">
        <is>
          <t>https://tinyurl.com/y77esx4z</t>
        </is>
      </c>
      <c r="AO924" t="inlineStr">
        <is>
          <t>Volkl Women's Flair 75 Skis + Vmotion 10 GW Bindings 2022</t>
        </is>
      </c>
      <c r="AP924" t="inlineStr">
        <is>
          <t>Saint Bernard</t>
        </is>
      </c>
      <c r="AQ924" s="333" t="n">
        <v>559.9</v>
      </c>
      <c r="AR924" t="inlineStr">
        <is>
          <t>https://tinyurl.com/y7pfxo9u</t>
        </is>
      </c>
      <c r="AS924" s="314">
        <f>IF(LEFT(C924,1)=" ",RIGHT(C924,LEN(C924)-1),C924)</f>
        <v/>
      </c>
      <c r="AT924" s="281">
        <f>_xlfn.CONCAT(B924,AS924,D924,E924)</f>
        <v/>
      </c>
    </row>
    <row r="925">
      <c r="A925" t="inlineStr">
        <is>
          <t>21/22</t>
        </is>
      </c>
      <c r="B925" t="inlineStr">
        <is>
          <t xml:space="preserve"> Vï¿½lkl</t>
        </is>
      </c>
      <c r="C925" t="inlineStr">
        <is>
          <t>Flair 75</t>
        </is>
      </c>
      <c r="D925" t="n">
        <v>154</v>
      </c>
      <c r="E925" t="inlineStr">
        <is>
          <t xml:space="preserve"> Women's</t>
        </is>
      </c>
      <c r="F925" t="n">
        <v>154</v>
      </c>
      <c r="G925" t="n">
        <v>153</v>
      </c>
      <c r="H925" t="n">
        <v>135</v>
      </c>
      <c r="I925" t="n">
        <v>140</v>
      </c>
      <c r="J925" t="n">
        <v>125</v>
      </c>
      <c r="K925" t="n">
        <v>74</v>
      </c>
      <c r="L925" t="n">
        <v>104</v>
      </c>
      <c r="M925" t="n">
        <v>12.2</v>
      </c>
      <c r="N925" t="n">
        <v>1683</v>
      </c>
      <c r="O925" t="n">
        <v>0.8100000000000001</v>
      </c>
      <c r="P925" t="n">
        <v>1365</v>
      </c>
      <c r="Q925" t="n">
        <v>166</v>
      </c>
      <c r="R925" t="n">
        <v>63</v>
      </c>
      <c r="S925" t="n">
        <v>33</v>
      </c>
      <c r="T925" t="n">
        <v>122</v>
      </c>
      <c r="U925" t="n">
        <v>5</v>
      </c>
      <c r="V925" t="n">
        <v>54</v>
      </c>
      <c r="W925" t="n">
        <v>0.136</v>
      </c>
      <c r="X925" t="n">
        <v>69</v>
      </c>
      <c r="Y925" t="n">
        <v>59</v>
      </c>
      <c r="Z925" t="n">
        <v>53</v>
      </c>
      <c r="AA925" t="n">
        <v>7</v>
      </c>
      <c r="AB925" t="n">
        <v>11.4</v>
      </c>
      <c r="AC925" t="inlineStr">
        <is>
          <t xml:space="preserve"> On-Piste Carving</t>
        </is>
      </c>
      <c r="AG925" t="inlineStr">
        <is>
          <t>Volkl Flair 75 + vMotion 10 GW Lady</t>
        </is>
      </c>
      <c r="AH925" t="inlineStr">
        <is>
          <t>Gorham Bike and Ski</t>
        </is>
      </c>
      <c r="AI925" s="333" t="n">
        <v>489.99</v>
      </c>
      <c r="AJ925" t="inlineStr">
        <is>
          <t>https://tinyurl.com/y75vbxss</t>
        </is>
      </c>
      <c r="AK925" t="inlineStr">
        <is>
          <t>Volkl Women's Flair 75 Skis + vMotion 3 Bindings 154</t>
        </is>
      </c>
      <c r="AL925" t="inlineStr">
        <is>
          <t>! OutdoorXL.com</t>
        </is>
      </c>
      <c r="AM925" s="333" t="n">
        <v>509.95</v>
      </c>
      <c r="AN925" t="inlineStr">
        <is>
          <t>https://tinyurl.com/ydagqxev</t>
        </is>
      </c>
      <c r="AO925" t="inlineStr">
        <is>
          <t>Skis Volkl Flair 75 W/ Vmotion 10 Gw Bindings B105/75/126 R12.2m 154cm</t>
        </is>
      </c>
      <c r="AP925" t="inlineStr">
        <is>
          <t>eBay - lkcat</t>
        </is>
      </c>
      <c r="AQ925" s="333" t="n">
        <v>539.99</v>
      </c>
      <c r="AR925" t="inlineStr">
        <is>
          <t>https://tinyurl.com/y7vm52cv</t>
        </is>
      </c>
      <c r="AS925" s="314">
        <f>IF(LEFT(C925,1)=" ",RIGHT(C925,LEN(C925)-1),C925)</f>
        <v/>
      </c>
      <c r="AT925" s="281">
        <f>_xlfn.CONCAT(B925,AS925,D925,E925)</f>
        <v/>
      </c>
    </row>
    <row r="926">
      <c r="A926" t="inlineStr">
        <is>
          <t>21/22</t>
        </is>
      </c>
      <c r="B926" t="inlineStr">
        <is>
          <t xml:space="preserve"> Vï¿½lkl</t>
        </is>
      </c>
      <c r="C926" t="inlineStr">
        <is>
          <t>BMT109</t>
        </is>
      </c>
      <c r="D926" t="n">
        <v>186</v>
      </c>
      <c r="E926" t="inlineStr">
        <is>
          <t xml:space="preserve"> Unisex</t>
        </is>
      </c>
      <c r="F926" t="n">
        <v>186</v>
      </c>
      <c r="G926" t="n">
        <v>187.2</v>
      </c>
      <c r="H926" t="n">
        <v>0</v>
      </c>
      <c r="I926" t="n">
        <v>146</v>
      </c>
      <c r="J926" t="n">
        <v>133</v>
      </c>
      <c r="K926" t="n">
        <v>108</v>
      </c>
      <c r="L926" t="n">
        <v>118</v>
      </c>
      <c r="M926" t="n">
        <v>27.1</v>
      </c>
      <c r="N926" t="n">
        <v>1741</v>
      </c>
      <c r="O926" t="n">
        <v>1.25</v>
      </c>
      <c r="P926" t="n">
        <v>2170</v>
      </c>
      <c r="Q926" t="n">
        <v>207</v>
      </c>
      <c r="R926" t="n">
        <v>138</v>
      </c>
      <c r="S926" t="n">
        <v>52</v>
      </c>
      <c r="T926" t="n">
        <v>1038</v>
      </c>
      <c r="U926" t="n">
        <v>28</v>
      </c>
      <c r="V926" t="n">
        <v>834</v>
      </c>
      <c r="W926" t="n">
        <v>0.528</v>
      </c>
      <c r="X926" t="n">
        <v>205</v>
      </c>
      <c r="Y926" t="n">
        <v>210</v>
      </c>
      <c r="Z926" t="n">
        <v>833</v>
      </c>
      <c r="AA926" t="n">
        <v>-6</v>
      </c>
      <c r="AB926" t="n">
        <v>10.2</v>
      </c>
      <c r="AC926" t="inlineStr">
        <is>
          <t xml:space="preserve"> Powder</t>
        </is>
      </c>
      <c r="AD926" t="inlineStr">
        <is>
          <t xml:space="preserve"> Touring</t>
        </is>
      </c>
      <c r="AG926" t="inlineStr">
        <is>
          <t>Volkl 2020 V-Werks BMT 109 Skis w/Marker Kingpin 13 Bindings (186)</t>
        </is>
      </c>
      <c r="AH926" t="inlineStr">
        <is>
          <t>SkiEssentials.com</t>
        </is>
      </c>
      <c r="AI926" s="333" t="n">
        <v>1374.95</v>
      </c>
      <c r="AJ926" t="inlineStr">
        <is>
          <t>https://tinyurl.com/ydbjrxqe</t>
        </is>
      </c>
      <c r="AK926" t="inlineStr">
        <is>
          <t>Volkl Blaze 106 Skis</t>
        </is>
      </c>
      <c r="AL926" t="inlineStr">
        <is>
          <t>The-House.com</t>
        </is>
      </c>
      <c r="AM926" s="333" t="n">
        <v>479.95</v>
      </c>
      <c r="AN926" t="inlineStr">
        <is>
          <t>https://tinyurl.com/yafe652q</t>
        </is>
      </c>
      <c r="AO926" t="inlineStr">
        <is>
          <t>Volkl Blaze 106 Skis</t>
        </is>
      </c>
      <c r="AP926" t="inlineStr">
        <is>
          <t>Backcountry.com</t>
        </is>
      </c>
      <c r="AQ926" s="333" t="n">
        <v>479.96</v>
      </c>
      <c r="AR926" t="inlineStr">
        <is>
          <t>https://tinyurl.com/ybq55up8</t>
        </is>
      </c>
      <c r="AS926" s="314">
        <f>IF(LEFT(C926,1)=" ",RIGHT(C926,LEN(C926)-1),C926)</f>
        <v/>
      </c>
      <c r="AT926" s="281">
        <f>_xlfn.CONCAT(B926,AS926,D926,E926)</f>
        <v/>
      </c>
    </row>
    <row r="927">
      <c r="A927" t="inlineStr">
        <is>
          <t>21/22</t>
        </is>
      </c>
      <c r="B927" t="inlineStr">
        <is>
          <t xml:space="preserve"> Line</t>
        </is>
      </c>
      <c r="C927" t="inlineStr">
        <is>
          <t>Pandora 110</t>
        </is>
      </c>
      <c r="D927" t="n">
        <v>170</v>
      </c>
      <c r="E927" t="inlineStr">
        <is>
          <t xml:space="preserve"> Women's</t>
        </is>
      </c>
      <c r="F927" t="n">
        <v>170</v>
      </c>
      <c r="G927" t="n">
        <v>169.7</v>
      </c>
      <c r="H927" t="n">
        <v>108</v>
      </c>
      <c r="I927" t="n">
        <v>137</v>
      </c>
      <c r="J927" t="n">
        <v>143</v>
      </c>
      <c r="K927" t="n">
        <v>109</v>
      </c>
      <c r="L927" t="n">
        <v>129</v>
      </c>
      <c r="M927" t="n">
        <v>16.2</v>
      </c>
      <c r="N927" t="n">
        <v>1410</v>
      </c>
      <c r="O927" t="n">
        <v>1.43</v>
      </c>
      <c r="P927" t="n">
        <v>2019</v>
      </c>
      <c r="Q927" t="n">
        <v>147</v>
      </c>
      <c r="R927" t="n">
        <v>67</v>
      </c>
      <c r="S927" t="n">
        <v>52</v>
      </c>
      <c r="T927" t="n">
        <v>342</v>
      </c>
      <c r="U927" t="n">
        <v>33</v>
      </c>
      <c r="V927" t="n">
        <v>273</v>
      </c>
      <c r="W927" t="n">
        <v>0.63</v>
      </c>
      <c r="X927" t="n">
        <v>160</v>
      </c>
      <c r="Y927" t="n">
        <v>167</v>
      </c>
      <c r="Z927" t="n">
        <v>181</v>
      </c>
      <c r="AA927" t="n">
        <v>6</v>
      </c>
      <c r="AB927" t="n">
        <v>6.4</v>
      </c>
      <c r="AC927" t="inlineStr">
        <is>
          <t xml:space="preserve"> Powder</t>
        </is>
      </c>
      <c r="AD927" t="inlineStr">
        <is>
          <t xml:space="preserve"> Touring</t>
        </is>
      </c>
      <c r="AE927" t="inlineStr">
        <is>
          <t xml:space="preserve"> Ultralight Touring</t>
        </is>
      </c>
      <c r="AG927" t="inlineStr">
        <is>
          <t>Line Pandora 110 Women's Ski 2022, 170</t>
        </is>
      </c>
      <c r="AH927" t="inlineStr">
        <is>
          <t>Telemark Pyrenees</t>
        </is>
      </c>
      <c r="AI927" s="333" t="n">
        <v>365.72</v>
      </c>
      <c r="AJ927" t="inlineStr">
        <is>
          <t>https://tinyurl.com/y9g95bee</t>
        </is>
      </c>
      <c r="AK927" t="inlineStr">
        <is>
          <t>Line 2021 Pandora 110 Skis W Marker Griffon Bindings</t>
        </is>
      </c>
      <c r="AL927" t="inlineStr">
        <is>
          <t>The Locals Sale</t>
        </is>
      </c>
      <c r="AM927" s="333" t="n">
        <v>540</v>
      </c>
      <c r="AN927" t="inlineStr">
        <is>
          <t>https://tinyurl.com/y8hb6vra</t>
        </is>
      </c>
      <c r="AO927" t="inlineStr">
        <is>
          <t>'22 Line Pandora 110 Skis 170cm</t>
        </is>
      </c>
      <c r="AP927" t="inlineStr">
        <is>
          <t>Al's Ski Equipment Barn</t>
        </is>
      </c>
      <c r="AQ927" s="333" t="n">
        <v>629.95</v>
      </c>
      <c r="AR927" t="inlineStr">
        <is>
          <t>https://tinyurl.com/ybollvgz</t>
        </is>
      </c>
      <c r="AS927" s="314">
        <f>IF(LEFT(C927,1)=" ",RIGHT(C927,LEN(C927)-1),C927)</f>
        <v/>
      </c>
      <c r="AT927" s="281">
        <f>_xlfn.CONCAT(B927,AS927,D927,E927)</f>
        <v/>
      </c>
    </row>
    <row r="928">
      <c r="A928" t="inlineStr">
        <is>
          <t>21/22</t>
        </is>
      </c>
      <c r="B928" t="inlineStr">
        <is>
          <t xml:space="preserve"> Rossignol</t>
        </is>
      </c>
      <c r="C928" t="inlineStr">
        <is>
          <t>Experience 76 W</t>
        </is>
      </c>
      <c r="D928" t="n">
        <v>160</v>
      </c>
      <c r="E928" t="inlineStr">
        <is>
          <t xml:space="preserve"> Women's</t>
        </is>
      </c>
      <c r="F928" t="n">
        <v>160</v>
      </c>
      <c r="G928" t="n">
        <v>160.3</v>
      </c>
      <c r="H928" t="n">
        <v>139</v>
      </c>
      <c r="I928" t="n">
        <v>145</v>
      </c>
      <c r="J928" t="n">
        <v>124</v>
      </c>
      <c r="K928" t="n">
        <v>77</v>
      </c>
      <c r="L928" t="n">
        <v>110</v>
      </c>
      <c r="M928" t="n">
        <v>12.7</v>
      </c>
      <c r="N928" t="n">
        <v>1624</v>
      </c>
      <c r="O928" t="n">
        <v>0.91</v>
      </c>
      <c r="P928" t="n">
        <v>1471</v>
      </c>
      <c r="Q928" t="n">
        <v>151</v>
      </c>
      <c r="R928" t="n">
        <v>56</v>
      </c>
      <c r="S928" t="n">
        <v>35</v>
      </c>
      <c r="T928" t="n">
        <v>144</v>
      </c>
      <c r="U928" t="n">
        <v>5</v>
      </c>
      <c r="V928" t="n">
        <v>68</v>
      </c>
      <c r="W928" t="n">
        <v>0.155</v>
      </c>
      <c r="X928" t="n">
        <v>77</v>
      </c>
      <c r="Y928" t="n">
        <v>80</v>
      </c>
      <c r="Z928" t="n">
        <v>66</v>
      </c>
      <c r="AA928" t="n">
        <v>12</v>
      </c>
      <c r="AB928" t="n">
        <v>8.199999999999999</v>
      </c>
      <c r="AC928" t="inlineStr">
        <is>
          <t xml:space="preserve"> On-Piste Carving</t>
        </is>
      </c>
      <c r="AG928" t="inlineStr">
        <is>
          <t>Rossignol Women's All Mountain Skis Experience W 76 (xpress)</t>
        </is>
      </c>
      <c r="AH928" t="inlineStr">
        <is>
          <t>Rossignol US</t>
        </is>
      </c>
      <c r="AI928" s="333" t="n">
        <v>399.95</v>
      </c>
      <c r="AJ928" t="inlineStr">
        <is>
          <t>https://tinyurl.com/ydfm73hy</t>
        </is>
      </c>
      <c r="AK928" t="inlineStr">
        <is>
          <t>Rossignol Experience 76 Women's Skis w Rossignol Xpress 11 Demo Binding Bindings  Demo</t>
        </is>
      </c>
      <c r="AL928" t="inlineStr">
        <is>
          <t>Powder7 Ski Shop</t>
        </is>
      </c>
      <c r="AM928" s="333" t="n">
        <v>419.99</v>
      </c>
      <c r="AN928" t="inlineStr">
        <is>
          <t>https://tinyurl.com/y74ffupe</t>
        </is>
      </c>
      <c r="AO928" t="inlineStr">
        <is>
          <t>Rossignol Experience 76 Skis w/ Look Xpress 10 GW Bindings</t>
        </is>
      </c>
      <c r="AP928" t="inlineStr">
        <is>
          <t>The-House.com</t>
        </is>
      </c>
      <c r="AQ928" s="333" t="n">
        <v>319.95</v>
      </c>
      <c r="AR928" t="inlineStr">
        <is>
          <t>https://tinyurl.com/yapgl4s6</t>
        </is>
      </c>
      <c r="AS928" s="314">
        <f>IF(LEFT(C928,1)=" ",RIGHT(C928,LEN(C928)-1),C928)</f>
        <v/>
      </c>
      <c r="AT928" s="281">
        <f>_xlfn.CONCAT(B928,AS928,D928,E928)</f>
        <v/>
      </c>
    </row>
    <row r="929">
      <c r="A929" t="inlineStr">
        <is>
          <t>21/22</t>
        </is>
      </c>
      <c r="B929" t="inlineStr">
        <is>
          <t xml:space="preserve"> Atomic</t>
        </is>
      </c>
      <c r="C929" t="inlineStr">
        <is>
          <t>Maven 86</t>
        </is>
      </c>
      <c r="D929" t="n">
        <v>147</v>
      </c>
      <c r="E929" t="inlineStr">
        <is>
          <t xml:space="preserve"> Women's</t>
        </is>
      </c>
      <c r="F929" t="n">
        <v>147</v>
      </c>
      <c r="G929" t="n">
        <v>146</v>
      </c>
      <c r="H929" t="n">
        <v>95</v>
      </c>
      <c r="I929" t="n">
        <v>121</v>
      </c>
      <c r="J929" t="n">
        <v>118</v>
      </c>
      <c r="K929" t="n">
        <v>85</v>
      </c>
      <c r="L929" t="n">
        <v>101</v>
      </c>
      <c r="M929" t="n">
        <v>13.6</v>
      </c>
      <c r="N929" t="n">
        <v>1280</v>
      </c>
      <c r="O929" t="n">
        <v>1.09</v>
      </c>
      <c r="P929" t="n">
        <v>1391</v>
      </c>
      <c r="Q929" t="n">
        <v>173</v>
      </c>
      <c r="R929" t="n">
        <v>73</v>
      </c>
      <c r="S929" t="n">
        <v>52</v>
      </c>
      <c r="T929" t="n">
        <v>303</v>
      </c>
      <c r="U929" t="n">
        <v>14</v>
      </c>
      <c r="V929" t="n">
        <v>206</v>
      </c>
      <c r="W929" t="n">
        <v>0.273</v>
      </c>
      <c r="X929" t="n">
        <v>158</v>
      </c>
      <c r="Y929" t="n">
        <v>94</v>
      </c>
      <c r="Z929" t="n">
        <v>144</v>
      </c>
      <c r="AA929" t="n">
        <v>2</v>
      </c>
      <c r="AB929" t="n">
        <v>8.300000000000001</v>
      </c>
      <c r="AC929" t="inlineStr">
        <is>
          <t xml:space="preserve"> On-Piste All-Mountain</t>
        </is>
      </c>
      <c r="AD929" t="inlineStr">
        <is>
          <t xml:space="preserve"> Resort Freeride</t>
        </is>
      </c>
      <c r="AE929" t="inlineStr">
        <is>
          <t xml:space="preserve"> Touring</t>
        </is>
      </c>
      <c r="AG929" t="inlineStr">
        <is>
          <t>Atomic Maven 86 Skis</t>
        </is>
      </c>
      <c r="AH929" t="inlineStr">
        <is>
          <t>Curated</t>
        </is>
      </c>
      <c r="AI929" s="333" t="n">
        <v>319.99</v>
      </c>
      <c r="AJ929" t="inlineStr">
        <is>
          <t>https://tinyurl.com/yctywmzs</t>
        </is>
      </c>
      <c r="AK929" t="inlineStr">
        <is>
          <t>Atomic Maven 86 Skis 2022 - - 147 cm</t>
        </is>
      </c>
      <c r="AL929" t="inlineStr">
        <is>
          <t>Skirack</t>
        </is>
      </c>
      <c r="AM929" s="333" t="n">
        <v>319.99</v>
      </c>
      <c r="AN929" t="inlineStr">
        <is>
          <t>https://tinyurl.com/y7rt8lku</t>
        </is>
      </c>
      <c r="AO929" t="inlineStr">
        <is>
          <t>Atomic Maven 86 Berry / 147cm</t>
        </is>
      </c>
      <c r="AP929" t="inlineStr">
        <is>
          <t>Sundance Ski and Board Shop</t>
        </is>
      </c>
      <c r="AQ929" s="333" t="n">
        <v>320.57</v>
      </c>
      <c r="AR929" t="inlineStr">
        <is>
          <t>https://tinyurl.com/y9datom3</t>
        </is>
      </c>
      <c r="AS929" s="314">
        <f>IF(LEFT(C929,1)=" ",RIGHT(C929,LEN(C929)-1),C929)</f>
        <v/>
      </c>
      <c r="AT929" s="281">
        <f>_xlfn.CONCAT(B929,AS929,D929,E929)</f>
        <v/>
      </c>
    </row>
    <row r="930">
      <c r="A930" t="inlineStr">
        <is>
          <t>21/22</t>
        </is>
      </c>
      <c r="B930" t="inlineStr">
        <is>
          <t xml:space="preserve"> Head</t>
        </is>
      </c>
      <c r="C930" t="inlineStr">
        <is>
          <t>V-Shape V10</t>
        </is>
      </c>
      <c r="D930" t="n">
        <v>163</v>
      </c>
      <c r="E930" t="inlineStr">
        <is>
          <t xml:space="preserve"> Unisex</t>
        </is>
      </c>
      <c r="F930" t="n">
        <v>163</v>
      </c>
      <c r="G930" t="n">
        <v>162.4</v>
      </c>
      <c r="H930" t="n">
        <v>140</v>
      </c>
      <c r="I930" t="n">
        <v>148</v>
      </c>
      <c r="J930" t="n">
        <v>138</v>
      </c>
      <c r="K930" t="n">
        <v>84</v>
      </c>
      <c r="L930" t="n">
        <v>120</v>
      </c>
      <c r="M930" t="n">
        <v>12.3</v>
      </c>
      <c r="N930" t="n">
        <v>1729</v>
      </c>
      <c r="O930" t="n">
        <v>0.9399999999999999</v>
      </c>
      <c r="P930" t="n">
        <v>1630</v>
      </c>
      <c r="Q930" t="n">
        <v>207</v>
      </c>
      <c r="R930" t="n">
        <v>53</v>
      </c>
      <c r="S930" t="n">
        <v>42</v>
      </c>
      <c r="T930" t="n">
        <v>156</v>
      </c>
      <c r="U930" t="n">
        <v>9</v>
      </c>
      <c r="V930" t="n">
        <v>64</v>
      </c>
      <c r="W930" t="n">
        <v>0.22</v>
      </c>
      <c r="X930" t="n">
        <v>87</v>
      </c>
      <c r="Y930" t="n">
        <v>54</v>
      </c>
      <c r="Z930" t="n">
        <v>69</v>
      </c>
      <c r="AA930" t="n">
        <v>10</v>
      </c>
      <c r="AB930" t="n">
        <v>12.1</v>
      </c>
      <c r="AC930" t="inlineStr">
        <is>
          <t xml:space="preserve"> On-Piste Carving</t>
        </is>
      </c>
      <c r="AD930" t="inlineStr">
        <is>
          <t xml:space="preserve"> Resort Freeride</t>
        </is>
      </c>
      <c r="AG930" t="inlineStr">
        <is>
          <t>Head 2020 V-Shape V10 Skis w/PRD 12 GW Bindings</t>
        </is>
      </c>
      <c r="AH930" t="inlineStr">
        <is>
          <t>Ridgeline Bike &amp; Ski</t>
        </is>
      </c>
      <c r="AI930" s="333" t="n">
        <v>799</v>
      </c>
      <c r="AJ930" t="inlineStr">
        <is>
          <t>https://tinyurl.com/ya3ymrlq</t>
        </is>
      </c>
      <c r="AK930" t="inlineStr">
        <is>
          <t>Head V-Shape V10 + PR 11 GW 21/22</t>
        </is>
      </c>
      <c r="AL930" t="inlineStr">
        <is>
          <t>Peter Glenn Ski &amp; Sports</t>
        </is>
      </c>
      <c r="AM930" s="333" t="n">
        <v>799.99</v>
      </c>
      <c r="AN930" t="inlineStr">
        <is>
          <t>https://tinyurl.com/y7qjr3df</t>
        </is>
      </c>
      <c r="AO930" t="inlineStr">
        <is>
          <t>Head V-Shape V6 Unisex Skiing Ski Black / Red 163 cm</t>
        </is>
      </c>
      <c r="AP930" t="inlineStr">
        <is>
          <t>Mike Sport</t>
        </is>
      </c>
      <c r="AQ930" s="333" t="n">
        <v>353</v>
      </c>
      <c r="AR930" t="inlineStr">
        <is>
          <t>https://tinyurl.com/ybc95l2z</t>
        </is>
      </c>
      <c r="AS930" s="314">
        <f>IF(LEFT(C930,1)=" ",RIGHT(C930,LEN(C930)-1),C930)</f>
        <v/>
      </c>
      <c r="AT930" s="281">
        <f>_xlfn.CONCAT(B930,AS930,D930,E930)</f>
        <v/>
      </c>
    </row>
    <row r="931">
      <c r="A931" t="inlineStr">
        <is>
          <t>21/22</t>
        </is>
      </c>
      <c r="B931" t="inlineStr">
        <is>
          <t xml:space="preserve"> Liberty</t>
        </is>
      </c>
      <c r="C931" t="inlineStr">
        <is>
          <t>Evolv 100</t>
        </is>
      </c>
      <c r="D931" t="n">
        <v>186</v>
      </c>
      <c r="E931" t="inlineStr">
        <is>
          <t xml:space="preserve"> Unisex</t>
        </is>
      </c>
      <c r="F931" t="n">
        <v>186</v>
      </c>
      <c r="G931" t="n">
        <v>185.9</v>
      </c>
      <c r="H931" t="n">
        <v>150</v>
      </c>
      <c r="I931" t="n">
        <v>165</v>
      </c>
      <c r="J931" t="n">
        <v>137</v>
      </c>
      <c r="K931" t="n">
        <v>99</v>
      </c>
      <c r="L931" t="n">
        <v>121</v>
      </c>
      <c r="M931" t="n">
        <v>21.5</v>
      </c>
      <c r="N931" t="n">
        <v>1980</v>
      </c>
      <c r="O931" t="n">
        <v>1.04</v>
      </c>
      <c r="P931" t="n">
        <v>2055</v>
      </c>
      <c r="Q931" t="n">
        <v>240</v>
      </c>
      <c r="R931" t="n">
        <v>121</v>
      </c>
      <c r="S931" t="n">
        <v>38</v>
      </c>
      <c r="T931" t="n">
        <v>218</v>
      </c>
      <c r="U931" t="n">
        <v>11</v>
      </c>
      <c r="V931" t="n">
        <v>141</v>
      </c>
      <c r="W931" t="n">
        <v>0.3</v>
      </c>
      <c r="X931" t="n">
        <v>119</v>
      </c>
      <c r="Y931" t="n">
        <v>92</v>
      </c>
      <c r="Z931" t="n">
        <v>99</v>
      </c>
      <c r="AA931" t="n">
        <v>10</v>
      </c>
      <c r="AB931" t="n">
        <v>10.6</v>
      </c>
      <c r="AC931" t="inlineStr">
        <is>
          <t xml:space="preserve"> Resort Freeride</t>
        </is>
      </c>
      <c r="AG931" t="inlineStr">
        <is>
          <t>Liberty 2022 Evolv 100 186 All Mtn Skis W/ Tyrolia Attack Bindings,</t>
        </is>
      </c>
      <c r="AH931" t="inlineStr">
        <is>
          <t>eBay - sir_davahad</t>
        </is>
      </c>
      <c r="AI931" s="333" t="n">
        <v>499</v>
      </c>
      <c r="AJ931" t="inlineStr">
        <is>
          <t>https://tinyurl.com/ycpfgqmq</t>
        </is>
      </c>
      <c r="AK931" t="inlineStr">
        <is>
          <t>Liberty 22 Evolv 100 Demo 186 cm Downhill Ski / Mens Combo</t>
        </is>
      </c>
      <c r="AL931" t="inlineStr">
        <is>
          <t>Play It Again Sports</t>
        </is>
      </c>
      <c r="AM931" s="333" t="n">
        <v>499.91</v>
      </c>
      <c r="AN931" t="inlineStr">
        <is>
          <t>https://tinyurl.com/y79zfpu6</t>
        </is>
      </c>
      <c r="AO931" t="inlineStr">
        <is>
          <t>Liberty 2022 Evolv 100 Skis - 186 cm</t>
        </is>
      </c>
      <c r="AP931" t="inlineStr">
        <is>
          <t>REI</t>
        </is>
      </c>
      <c r="AQ931" s="333" t="n">
        <v>523.9299999999999</v>
      </c>
      <c r="AR931" t="inlineStr">
        <is>
          <t>https://tinyurl.com/ycqovbu8</t>
        </is>
      </c>
      <c r="AS931" s="314">
        <f>IF(LEFT(C931,1)=" ",RIGHT(C931,LEN(C931)-1),C931)</f>
        <v/>
      </c>
      <c r="AT931" s="281">
        <f>_xlfn.CONCAT(B931,AS931,D931,E931)</f>
        <v/>
      </c>
    </row>
    <row r="932">
      <c r="A932" t="inlineStr">
        <is>
          <t>21/22</t>
        </is>
      </c>
      <c r="B932" t="inlineStr">
        <is>
          <t xml:space="preserve"> Stï¿½ckli</t>
        </is>
      </c>
      <c r="C932" t="inlineStr">
        <is>
          <t>Nela 96</t>
        </is>
      </c>
      <c r="D932" t="n">
        <v>164</v>
      </c>
      <c r="E932" t="inlineStr">
        <is>
          <t xml:space="preserve"> Women's</t>
        </is>
      </c>
      <c r="F932" t="n">
        <v>164</v>
      </c>
      <c r="G932" t="n">
        <v>163.4</v>
      </c>
      <c r="H932" t="n">
        <v>135</v>
      </c>
      <c r="I932" t="n">
        <v>141</v>
      </c>
      <c r="J932" t="n">
        <v>133</v>
      </c>
      <c r="K932" t="n">
        <v>96</v>
      </c>
      <c r="L932" t="n">
        <v>121</v>
      </c>
      <c r="M932" t="n">
        <v>15.3</v>
      </c>
      <c r="N932" t="n">
        <v>1665</v>
      </c>
      <c r="O932" t="n">
        <v>1.06</v>
      </c>
      <c r="P932" t="n">
        <v>1760</v>
      </c>
      <c r="Q932" t="n">
        <v>169</v>
      </c>
      <c r="R932" t="n">
        <v>102</v>
      </c>
      <c r="S932" t="n">
        <v>45</v>
      </c>
      <c r="T932" t="n">
        <v>204</v>
      </c>
      <c r="U932" t="n">
        <v>8</v>
      </c>
      <c r="V932" t="n">
        <v>78</v>
      </c>
      <c r="W932" t="n">
        <v>0.188999999999999</v>
      </c>
      <c r="X932" t="n">
        <v>160</v>
      </c>
      <c r="Y932" t="n">
        <v>59</v>
      </c>
      <c r="Z932" t="n">
        <v>44</v>
      </c>
      <c r="AA932" t="n">
        <v>6</v>
      </c>
      <c r="AB932" t="n">
        <v>13</v>
      </c>
      <c r="AC932" t="inlineStr">
        <is>
          <t xml:space="preserve"> Resort Freeride</t>
        </is>
      </c>
      <c r="AD932" t="inlineStr">
        <is>
          <t xml:space="preserve"> Touring</t>
        </is>
      </c>
      <c r="AG932" t="inlineStr">
        <is>
          <t>Stockli Nela 96 Women's All Mountain Wide Skis 20/21 164 cm</t>
        </is>
      </c>
      <c r="AH932" t="inlineStr">
        <is>
          <t>Utah SKI Gear</t>
        </is>
      </c>
      <c r="AI932" s="333" t="n">
        <v>1049</v>
      </c>
      <c r="AJ932" t="inlineStr">
        <is>
          <t>https://tinyurl.com/yd2hvqf6</t>
        </is>
      </c>
      <c r="AK932" t="inlineStr">
        <is>
          <t>Stockli Nela 96 Womens Skis 2023 164</t>
        </is>
      </c>
      <c r="AL932" t="inlineStr">
        <is>
          <t>Ski Depot RaceSkis.com</t>
        </is>
      </c>
      <c r="AM932" s="333" t="n">
        <v>1149</v>
      </c>
      <c r="AN932" t="inlineStr">
        <is>
          <t>https://tinyurl.com/yahh5yn5</t>
        </is>
      </c>
      <c r="AO932" t="inlineStr">
        <is>
          <t>Stockli Laser MX Women's Skis W Salomon MC 11 Bindings 164cm 2021</t>
        </is>
      </c>
      <c r="AP932" t="inlineStr">
        <is>
          <t>Powder7 Ski Shop</t>
        </is>
      </c>
      <c r="AQ932" s="333" t="n">
        <v>1099.99</v>
      </c>
      <c r="AR932" t="inlineStr">
        <is>
          <t>https://tinyurl.com/ycgmgc4s</t>
        </is>
      </c>
      <c r="AS932" s="314">
        <f>IF(LEFT(C932,1)=" ",RIGHT(C932,LEN(C932)-1),C932)</f>
        <v/>
      </c>
      <c r="AT932" s="281">
        <f>_xlfn.CONCAT(B932,AS932,D932,E932)</f>
        <v/>
      </c>
    </row>
    <row r="933">
      <c r="A933" t="inlineStr">
        <is>
          <t>21/22</t>
        </is>
      </c>
      <c r="B933" t="inlineStr">
        <is>
          <t xml:space="preserve"> Dynastar</t>
        </is>
      </c>
      <c r="C933" t="inlineStr">
        <is>
          <t>M-Free 108</t>
        </is>
      </c>
      <c r="D933" t="n">
        <v>182</v>
      </c>
      <c r="E933" t="inlineStr">
        <is>
          <t xml:space="preserve"> Unisex</t>
        </is>
      </c>
      <c r="F933" t="n">
        <v>182</v>
      </c>
      <c r="G933" t="n">
        <v>181.7</v>
      </c>
      <c r="H933" t="n">
        <v>116</v>
      </c>
      <c r="I933" t="n">
        <v>145</v>
      </c>
      <c r="J933" t="n">
        <v>136</v>
      </c>
      <c r="K933" t="n">
        <v>107</v>
      </c>
      <c r="L933" t="n">
        <v>127</v>
      </c>
      <c r="M933" t="n">
        <v>18.3</v>
      </c>
      <c r="N933" t="n">
        <v>2192</v>
      </c>
      <c r="O933" t="n">
        <v>0.97</v>
      </c>
      <c r="P933" t="n">
        <v>2122</v>
      </c>
      <c r="Q933" t="n">
        <v>260</v>
      </c>
      <c r="R933" t="n">
        <v>117</v>
      </c>
      <c r="S933" t="n">
        <v>58</v>
      </c>
      <c r="T933" t="n">
        <v>316</v>
      </c>
      <c r="U933" t="n">
        <v>41</v>
      </c>
      <c r="V933" t="n">
        <v>340</v>
      </c>
      <c r="W933" t="n">
        <v>0.716</v>
      </c>
      <c r="X933" t="n">
        <v>189</v>
      </c>
      <c r="Y933" t="n">
        <v>180</v>
      </c>
      <c r="Z933" t="n">
        <v>127</v>
      </c>
      <c r="AA933" t="n">
        <v>7</v>
      </c>
      <c r="AB933" t="n">
        <v>8.4</v>
      </c>
      <c r="AC933" t="inlineStr">
        <is>
          <t xml:space="preserve"> Powder</t>
        </is>
      </c>
      <c r="AG933" t="inlineStr">
        <is>
          <t>Dynastar M-Free 108 Skis</t>
        </is>
      </c>
      <c r="AH933" t="inlineStr">
        <is>
          <t>Cole Sport</t>
        </is>
      </c>
      <c r="AI933" s="333" t="n">
        <v>559.96</v>
      </c>
      <c r="AJ933" t="inlineStr">
        <is>
          <t>https://tinyurl.com/yavollr8</t>
        </is>
      </c>
      <c r="AK933" t="inlineStr">
        <is>
          <t>2022 Dynastar M-Free 108 Ski w/ Marker Griffon 13 Bindings - 182| Ski Essentials</t>
        </is>
      </c>
      <c r="AL933" t="inlineStr">
        <is>
          <t>SkiEssentials.com</t>
        </is>
      </c>
      <c r="AM933" s="333" t="n">
        <v>734.96</v>
      </c>
      <c r="AN933" t="inlineStr">
        <is>
          <t>https://tinyurl.com/ycutww8v</t>
        </is>
      </c>
      <c r="AO933" t="inlineStr">
        <is>
          <t>Dynastar M Free 108 Skis</t>
        </is>
      </c>
      <c r="AP933" t="inlineStr">
        <is>
          <t>Next Adventure</t>
        </is>
      </c>
      <c r="AQ933" s="333" t="n">
        <v>559.96</v>
      </c>
      <c r="AR933" t="inlineStr">
        <is>
          <t>https://tinyurl.com/yaoqlgwd</t>
        </is>
      </c>
      <c r="AS933" s="314">
        <f>IF(LEFT(C933,1)=" ",RIGHT(C933,LEN(C933)-1),C933)</f>
        <v/>
      </c>
      <c r="AT933" s="281">
        <f>_xlfn.CONCAT(B933,AS933,D933,E933)</f>
        <v/>
      </c>
    </row>
    <row r="934">
      <c r="A934" t="inlineStr">
        <is>
          <t>21/22</t>
        </is>
      </c>
      <c r="B934" t="inlineStr">
        <is>
          <t xml:space="preserve"> Liberty</t>
        </is>
      </c>
      <c r="C934" t="inlineStr">
        <is>
          <t>Genesis 90</t>
        </is>
      </c>
      <c r="D934" t="n">
        <v>158</v>
      </c>
      <c r="E934" t="inlineStr">
        <is>
          <t xml:space="preserve"> Women's</t>
        </is>
      </c>
      <c r="F934" t="n">
        <v>158</v>
      </c>
      <c r="G934" t="n">
        <v>157.1</v>
      </c>
      <c r="H934" t="n">
        <v>97</v>
      </c>
      <c r="I934" t="n">
        <v>127</v>
      </c>
      <c r="J934" t="n">
        <v>125</v>
      </c>
      <c r="K934" t="n">
        <v>89</v>
      </c>
      <c r="L934" t="n">
        <v>111</v>
      </c>
      <c r="M934" t="n">
        <v>13</v>
      </c>
      <c r="N934" t="n">
        <v>1431</v>
      </c>
      <c r="O934" t="n">
        <v>1.1</v>
      </c>
      <c r="P934" t="n">
        <v>1572</v>
      </c>
      <c r="Q934" t="n">
        <v>162</v>
      </c>
      <c r="R934" t="n">
        <v>75</v>
      </c>
      <c r="S934" t="n">
        <v>44</v>
      </c>
      <c r="T934" t="n">
        <v>352</v>
      </c>
      <c r="U934" t="n">
        <v>23</v>
      </c>
      <c r="V934" t="n">
        <v>246</v>
      </c>
      <c r="W934" t="n">
        <v>0.518</v>
      </c>
      <c r="X934" t="n">
        <v>136</v>
      </c>
      <c r="Y934" t="n">
        <v>160</v>
      </c>
      <c r="Z934" t="n">
        <v>216</v>
      </c>
      <c r="AA934" t="n">
        <v>4</v>
      </c>
      <c r="AB934" t="n">
        <v>8.300000000000001</v>
      </c>
      <c r="AC934" t="inlineStr">
        <is>
          <t xml:space="preserve"> Resort Freeride</t>
        </is>
      </c>
      <c r="AD934" t="inlineStr">
        <is>
          <t xml:space="preserve"> Touring</t>
        </is>
      </c>
      <c r="AG934" t="inlineStr">
        <is>
          <t>'21 Liberty Genesis 90 Skis 158cm</t>
        </is>
      </c>
      <c r="AH934" t="inlineStr">
        <is>
          <t>Al's Ski Equipment Barn</t>
        </is>
      </c>
      <c r="AI934" s="333" t="n">
        <v>399.95</v>
      </c>
      <c r="AJ934" t="inlineStr">
        <is>
          <t>https://tinyurl.com/yd4b6od7</t>
        </is>
      </c>
      <c r="AK934" t="inlineStr">
        <is>
          <t>Liberty Skis Women ' S Genesis 90 Ski</t>
        </is>
      </c>
      <c r="AL934" t="inlineStr">
        <is>
          <t>ColoradoSkiShop.com</t>
        </is>
      </c>
      <c r="AM934" s="333" t="n">
        <v>439.99</v>
      </c>
      <c r="AN934" t="inlineStr">
        <is>
          <t>https://tinyurl.com/ydab8lfx</t>
        </is>
      </c>
      <c r="AO934" t="inlineStr">
        <is>
          <t>Liberty Skis Women ' S Genesis 90 Ski</t>
        </is>
      </c>
      <c r="AP934" t="inlineStr">
        <is>
          <t>Christy Sports</t>
        </is>
      </c>
      <c r="AQ934" s="333" t="n">
        <v>529.99</v>
      </c>
      <c r="AR934" t="inlineStr">
        <is>
          <t>https://tinyurl.com/yc3yemce</t>
        </is>
      </c>
      <c r="AS934" s="314">
        <f>IF(LEFT(C934,1)=" ",RIGHT(C934,LEN(C934)-1),C934)</f>
        <v/>
      </c>
      <c r="AT934" s="281">
        <f>_xlfn.CONCAT(B934,AS934,D934,E934)</f>
        <v/>
      </c>
    </row>
    <row r="935">
      <c r="A935" t="inlineStr">
        <is>
          <t>21/22</t>
        </is>
      </c>
      <c r="B935" t="inlineStr">
        <is>
          <t xml:space="preserve"> Armada</t>
        </is>
      </c>
      <c r="C935" t="inlineStr">
        <is>
          <t>Declivity 92 Ti</t>
        </is>
      </c>
      <c r="D935" t="n">
        <v>180</v>
      </c>
      <c r="E935" t="inlineStr">
        <is>
          <t xml:space="preserve"> Unisex</t>
        </is>
      </c>
      <c r="F935" t="n">
        <v>180</v>
      </c>
      <c r="G935" t="n">
        <v>179.8</v>
      </c>
      <c r="H935" t="n">
        <v>141</v>
      </c>
      <c r="I935" t="n">
        <v>154</v>
      </c>
      <c r="J935" t="n">
        <v>130</v>
      </c>
      <c r="K935" t="n">
        <v>91</v>
      </c>
      <c r="L935" t="n">
        <v>116</v>
      </c>
      <c r="M935" t="n">
        <v>17.9</v>
      </c>
      <c r="N935" t="n">
        <v>1858</v>
      </c>
      <c r="O935" t="n">
        <v>1.01</v>
      </c>
      <c r="P935" t="n">
        <v>1871</v>
      </c>
      <c r="Q935" t="n">
        <v>240</v>
      </c>
      <c r="R935" t="n">
        <v>141</v>
      </c>
      <c r="S935" t="n">
        <v>45</v>
      </c>
      <c r="T935" t="n">
        <v>243</v>
      </c>
      <c r="U935" t="n">
        <v>16</v>
      </c>
      <c r="V935" t="n">
        <v>143</v>
      </c>
      <c r="W935" t="n">
        <v>0.356</v>
      </c>
      <c r="X935" t="n">
        <v>159</v>
      </c>
      <c r="Y935" t="n">
        <v>95</v>
      </c>
      <c r="Z935" t="n">
        <v>84</v>
      </c>
      <c r="AA935" t="n">
        <v>10</v>
      </c>
      <c r="AB935" t="n">
        <v>10.5</v>
      </c>
      <c r="AC935" t="inlineStr">
        <is>
          <t xml:space="preserve"> Resort Freeride</t>
        </is>
      </c>
      <c r="AG935" t="inlineStr">
        <is>
          <t>Armada Declivity 92 Ti</t>
        </is>
      </c>
      <c r="AH935" t="inlineStr">
        <is>
          <t>Ski Pro  - Snow Ski &amp; Snowboard</t>
        </is>
      </c>
      <c r="AI935" s="333" t="n">
        <v>519.95</v>
      </c>
      <c r="AJ935" t="inlineStr">
        <is>
          <t>https://tinyurl.com/y93lne35</t>
        </is>
      </c>
      <c r="AK935" t="inlineStr">
        <is>
          <t>Armada Declivity 92 Ti</t>
        </is>
      </c>
      <c r="AL935" t="inlineStr">
        <is>
          <t>Powder7 Ski Shop</t>
        </is>
      </c>
      <c r="AM935" s="333" t="n">
        <v>619.95</v>
      </c>
      <c r="AN935" t="inlineStr">
        <is>
          <t>https://tinyurl.com/ybshsqyv</t>
        </is>
      </c>
      <c r="AO935" t="inlineStr">
        <is>
          <t>Armada Declivity 92 Ti</t>
        </is>
      </c>
      <c r="AP935" t="inlineStr">
        <is>
          <t xml:space="preserve">Aspen East </t>
        </is>
      </c>
      <c r="AQ935" s="333" t="n">
        <v>649</v>
      </c>
      <c r="AR935" t="inlineStr">
        <is>
          <t>https://tinyurl.com/ybj3l2d9</t>
        </is>
      </c>
      <c r="AS935" s="314">
        <f>IF(LEFT(C935,1)=" ",RIGHT(C935,LEN(C935)-1),C935)</f>
        <v/>
      </c>
      <c r="AT935" s="281">
        <f>_xlfn.CONCAT(B935,AS935,D935,E935)</f>
        <v/>
      </c>
    </row>
    <row r="936">
      <c r="A936" t="inlineStr">
        <is>
          <t>21/22</t>
        </is>
      </c>
      <c r="B936" t="inlineStr">
        <is>
          <t xml:space="preserve"> Rossignol</t>
        </is>
      </c>
      <c r="C936" t="inlineStr">
        <is>
          <t>Experience 82 Basalt W</t>
        </is>
      </c>
      <c r="D936" t="n">
        <v>151</v>
      </c>
      <c r="E936" t="inlineStr">
        <is>
          <t xml:space="preserve"> Women's</t>
        </is>
      </c>
      <c r="F936" t="n">
        <v>151</v>
      </c>
      <c r="G936" t="n">
        <v>150.4</v>
      </c>
      <c r="H936" t="n">
        <v>111</v>
      </c>
      <c r="I936" t="n">
        <v>136</v>
      </c>
      <c r="J936" t="n">
        <v>125</v>
      </c>
      <c r="K936" t="n">
        <v>80</v>
      </c>
      <c r="L936" t="n">
        <v>113</v>
      </c>
      <c r="M936" t="n">
        <v>11.4</v>
      </c>
      <c r="N936" t="n">
        <v>1601</v>
      </c>
      <c r="O936" t="n">
        <v>0.89</v>
      </c>
      <c r="P936" t="n">
        <v>1425</v>
      </c>
      <c r="Q936" t="n">
        <v>174</v>
      </c>
      <c r="R936" t="n">
        <v>61</v>
      </c>
      <c r="S936" t="n">
        <v>49</v>
      </c>
      <c r="T936" t="n">
        <v>263</v>
      </c>
      <c r="U936" t="n">
        <v>13</v>
      </c>
      <c r="V936" t="n">
        <v>127</v>
      </c>
      <c r="W936" t="n">
        <v>0.259</v>
      </c>
      <c r="X936" t="n">
        <v>76</v>
      </c>
      <c r="Y936" t="n">
        <v>68</v>
      </c>
      <c r="Z936" t="n">
        <v>187</v>
      </c>
      <c r="AA936" t="n">
        <v>8</v>
      </c>
      <c r="AB936" t="n">
        <v>6.8</v>
      </c>
      <c r="AC936" t="inlineStr">
        <is>
          <t xml:space="preserve"> Other</t>
        </is>
      </c>
      <c r="AG936" t="inlineStr">
        <is>
          <t>Rossignol Experience W 82 Basalt W XP11 151cm</t>
        </is>
      </c>
      <c r="AH936" t="inlineStr">
        <is>
          <t>Sundance Ski and Board Shop</t>
        </is>
      </c>
      <c r="AI936" s="333" t="n">
        <v>641.15</v>
      </c>
      <c r="AJ936" t="inlineStr">
        <is>
          <t>https://tinyurl.com/yawxgekz</t>
        </is>
      </c>
      <c r="AK936" t="inlineStr">
        <is>
          <t>Rossignol Experience W 82 Basalt Skis w/ XPRess W 11 GW Bindings</t>
        </is>
      </c>
      <c r="AL936" t="inlineStr">
        <is>
          <t>Cole Sport</t>
        </is>
      </c>
      <c r="AM936" s="333" t="n">
        <v>699.95</v>
      </c>
      <c r="AN936" t="inlineStr">
        <is>
          <t>https://tinyurl.com/y98e34mz</t>
        </is>
      </c>
      <c r="AO936" t="inlineStr">
        <is>
          <t>Rossignol Experience W 82 Ti Skis Womens 2022</t>
        </is>
      </c>
      <c r="AP936" t="inlineStr">
        <is>
          <t>BlueZone Sports</t>
        </is>
      </c>
      <c r="AQ936" s="333" t="n">
        <v>559.96</v>
      </c>
      <c r="AR936" t="inlineStr">
        <is>
          <t>https://tinyurl.com/yabx9ouq</t>
        </is>
      </c>
      <c r="AS936" s="314">
        <f>IF(LEFT(C936,1)=" ",RIGHT(C936,LEN(C936)-1),C936)</f>
        <v/>
      </c>
      <c r="AT936" s="281">
        <f>_xlfn.CONCAT(B936,AS936,D936,E936)</f>
        <v/>
      </c>
    </row>
    <row r="937">
      <c r="A937" t="inlineStr">
        <is>
          <t>21/22</t>
        </is>
      </c>
      <c r="B937" t="inlineStr">
        <is>
          <t xml:space="preserve"> Faction</t>
        </is>
      </c>
      <c r="C937" t="inlineStr">
        <is>
          <t>Agent 1.0 X</t>
        </is>
      </c>
      <c r="D937" t="n">
        <v>154</v>
      </c>
      <c r="E937" t="inlineStr">
        <is>
          <t xml:space="preserve"> Women's</t>
        </is>
      </c>
      <c r="F937" t="n">
        <v>154</v>
      </c>
      <c r="G937" t="n">
        <v>152.2</v>
      </c>
      <c r="H937" t="n">
        <v>118</v>
      </c>
      <c r="I937" t="n">
        <v>129</v>
      </c>
      <c r="J937" t="n">
        <v>119</v>
      </c>
      <c r="K937" t="n">
        <v>85</v>
      </c>
      <c r="L937" t="n">
        <v>109</v>
      </c>
      <c r="M937" t="n">
        <v>13.2</v>
      </c>
      <c r="N937" t="n">
        <v>1297</v>
      </c>
      <c r="O937" t="n">
        <v>1.14</v>
      </c>
      <c r="P937" t="n">
        <v>1476</v>
      </c>
      <c r="Q937" t="n">
        <v>172</v>
      </c>
      <c r="R937" t="n">
        <v>76</v>
      </c>
      <c r="S937" t="n">
        <v>51</v>
      </c>
      <c r="T937" t="n">
        <v>206</v>
      </c>
      <c r="U937" t="n">
        <v>19</v>
      </c>
      <c r="V937" t="n">
        <v>133</v>
      </c>
      <c r="W937" t="n">
        <v>0.376</v>
      </c>
      <c r="X937" t="n">
        <v>138</v>
      </c>
      <c r="Y937" t="n">
        <v>96</v>
      </c>
      <c r="Z937" t="n">
        <v>68</v>
      </c>
      <c r="AA937" t="n">
        <v>6</v>
      </c>
      <c r="AB937" t="n">
        <v>9.199999999999999</v>
      </c>
      <c r="AC937" t="inlineStr">
        <is>
          <t xml:space="preserve"> Resort Freeride</t>
        </is>
      </c>
      <c r="AD937" t="inlineStr">
        <is>
          <t xml:space="preserve"> Touring</t>
        </is>
      </c>
      <c r="AG937" t="inlineStr">
        <is>
          <t>Faction Dictator 1.0x Skis</t>
        </is>
      </c>
      <c r="AH937" t="inlineStr">
        <is>
          <t>Backcountry Freeskier</t>
        </is>
      </c>
      <c r="AI937" s="333" t="n">
        <v>489</v>
      </c>
      <c r="AJ937" t="inlineStr">
        <is>
          <t>https://tinyurl.com/ybmytm5k</t>
        </is>
      </c>
      <c r="AS937" s="314">
        <f>IF(LEFT(C937,1)=" ",RIGHT(C937,LEN(C937)-1),C937)</f>
        <v/>
      </c>
      <c r="AT937" s="281">
        <f>_xlfn.CONCAT(B937,AS937,D937,E937)</f>
        <v/>
      </c>
    </row>
    <row r="938">
      <c r="A938" t="inlineStr">
        <is>
          <t>21/22</t>
        </is>
      </c>
      <c r="B938" t="inlineStr">
        <is>
          <t xml:space="preserve"> Salomon</t>
        </is>
      </c>
      <c r="C938" t="inlineStr">
        <is>
          <t>MTN Explore 88</t>
        </is>
      </c>
      <c r="D938" t="n">
        <v>169</v>
      </c>
      <c r="E938" t="inlineStr">
        <is>
          <t xml:space="preserve"> Unisex</t>
        </is>
      </c>
      <c r="F938" t="n">
        <v>169</v>
      </c>
      <c r="G938" t="n">
        <v>167.7</v>
      </c>
      <c r="H938" t="n">
        <v>134</v>
      </c>
      <c r="I938" t="n">
        <v>146</v>
      </c>
      <c r="J938" t="n">
        <v>123</v>
      </c>
      <c r="K938" t="n">
        <v>88</v>
      </c>
      <c r="L938" t="n">
        <v>109</v>
      </c>
      <c r="M938" t="n">
        <v>18.4</v>
      </c>
      <c r="N938" t="n">
        <v>1319</v>
      </c>
      <c r="O938" t="n">
        <v>1.27</v>
      </c>
      <c r="P938" t="n">
        <v>1673</v>
      </c>
      <c r="Q938" t="n">
        <v>169</v>
      </c>
      <c r="R938" t="n">
        <v>66</v>
      </c>
      <c r="S938" t="n">
        <v>50</v>
      </c>
      <c r="T938" t="n">
        <v>204</v>
      </c>
      <c r="U938" t="n">
        <v>14</v>
      </c>
      <c r="V938" t="n">
        <v>138</v>
      </c>
      <c r="W938" t="n">
        <v>0.283</v>
      </c>
      <c r="X938" t="n">
        <v>137</v>
      </c>
      <c r="Y938" t="n">
        <v>76</v>
      </c>
      <c r="Z938" t="n">
        <v>66</v>
      </c>
      <c r="AA938" t="n">
        <v>8</v>
      </c>
      <c r="AB938" t="n">
        <v>11.6</v>
      </c>
      <c r="AC938" t="inlineStr">
        <is>
          <t xml:space="preserve"> Resort Freeride</t>
        </is>
      </c>
      <c r="AD938" t="inlineStr">
        <is>
          <t xml:space="preserve"> Touring</t>
        </is>
      </c>
      <c r="AE938" t="inlineStr">
        <is>
          <t xml:space="preserve"> Ultralight Touring</t>
        </is>
      </c>
      <c r="AG938" t="inlineStr">
        <is>
          <t>Salomon N MTN Explore 88 W 169cm</t>
        </is>
      </c>
      <c r="AH938" t="inlineStr">
        <is>
          <t>Sundance Ski and Board Shop</t>
        </is>
      </c>
      <c r="AI938" s="333" t="n">
        <v>320.57</v>
      </c>
      <c r="AJ938" t="inlineStr">
        <is>
          <t>https://tinyurl.com/y9fcwfde</t>
        </is>
      </c>
      <c r="AK938" t="inlineStr">
        <is>
          <t>2021 Salomon Mtn Explore 88 Womens Skis</t>
        </is>
      </c>
      <c r="AL938" t="inlineStr">
        <is>
          <t>eBay - asogear</t>
        </is>
      </c>
      <c r="AM938" s="333" t="n">
        <v>479.99</v>
      </c>
      <c r="AN938" t="inlineStr">
        <is>
          <t>https://tinyurl.com/ya8w372g</t>
        </is>
      </c>
      <c r="AO938" t="inlineStr">
        <is>
          <t>Salomon MTN Explore 88 Skis</t>
        </is>
      </c>
      <c r="AP938" t="inlineStr">
        <is>
          <t>Outdoor Gear Exchange</t>
        </is>
      </c>
      <c r="AQ938" s="333" t="n">
        <v>519.99</v>
      </c>
      <c r="AR938" t="inlineStr">
        <is>
          <t>https://tinyurl.com/y8pf3vcg</t>
        </is>
      </c>
      <c r="AS938" s="314">
        <f>IF(LEFT(C938,1)=" ",RIGHT(C938,LEN(C938)-1),C938)</f>
        <v/>
      </c>
      <c r="AT938" s="281">
        <f>_xlfn.CONCAT(B938,AS938,D938,E938)</f>
        <v/>
      </c>
    </row>
    <row r="939">
      <c r="A939" t="inlineStr">
        <is>
          <t>21/22</t>
        </is>
      </c>
      <c r="B939" t="inlineStr">
        <is>
          <t xml:space="preserve"> Rossignol</t>
        </is>
      </c>
      <c r="C939" t="inlineStr">
        <is>
          <t>Nova 6</t>
        </is>
      </c>
      <c r="D939" t="n">
        <v>163</v>
      </c>
      <c r="E939" t="inlineStr">
        <is>
          <t xml:space="preserve"> Women's</t>
        </is>
      </c>
      <c r="F939" t="n">
        <v>163</v>
      </c>
      <c r="G939" t="n">
        <v>162.5</v>
      </c>
      <c r="H939" t="n">
        <v>142</v>
      </c>
      <c r="I939" t="n">
        <v>150</v>
      </c>
      <c r="J939" t="n">
        <v>123</v>
      </c>
      <c r="K939" t="n">
        <v>73</v>
      </c>
      <c r="L939" t="n">
        <v>109</v>
      </c>
      <c r="M939" t="n">
        <v>13</v>
      </c>
      <c r="N939" t="n">
        <v>1615</v>
      </c>
      <c r="O939" t="n">
        <v>0.89</v>
      </c>
      <c r="P939" t="n">
        <v>1444</v>
      </c>
      <c r="Q939" t="n">
        <v>149</v>
      </c>
      <c r="R939" t="n">
        <v>60</v>
      </c>
      <c r="S939" t="n">
        <v>38</v>
      </c>
      <c r="T939" t="n">
        <v>154</v>
      </c>
      <c r="U939" t="n">
        <v>4</v>
      </c>
      <c r="V939" t="n">
        <v>54</v>
      </c>
      <c r="W939" t="n">
        <v>0.118</v>
      </c>
      <c r="X939" t="n">
        <v>69</v>
      </c>
      <c r="Y939" t="n">
        <v>61</v>
      </c>
      <c r="Z939" t="n">
        <v>85</v>
      </c>
      <c r="AA939" t="n">
        <v>12</v>
      </c>
      <c r="AB939" t="n">
        <v>9.5</v>
      </c>
      <c r="AC939" t="inlineStr">
        <is>
          <t xml:space="preserve"> On-Piste Carving</t>
        </is>
      </c>
      <c r="AG939" t="inlineStr">
        <is>
          <t>Rossignol NOVA 6 F/XP W 11 GW 163cm</t>
        </is>
      </c>
      <c r="AH939" t="inlineStr">
        <is>
          <t>Sundance Ski and Board Shop</t>
        </is>
      </c>
      <c r="AI939" s="333" t="n">
        <v>400.72</v>
      </c>
      <c r="AJ939" t="inlineStr">
        <is>
          <t>https://tinyurl.com/ycvvuhxl</t>
        </is>
      </c>
      <c r="AK939" t="inlineStr">
        <is>
          <t>Women's Rossignol Nova 6 Skis + Xpress 11 GW Bindings 2021 - 163</t>
        </is>
      </c>
      <c r="AL939" t="inlineStr">
        <is>
          <t>Spoke-N-Sport</t>
        </is>
      </c>
      <c r="AM939" s="333" t="n">
        <v>419.99</v>
      </c>
      <c r="AN939" t="inlineStr">
        <is>
          <t>https://tinyurl.com/y8x6ph8e</t>
        </is>
      </c>
      <c r="AO939" t="inlineStr">
        <is>
          <t>Women's Rossignol Nova 6 Skis + Xpress 11 GW Bindings 2021 - 163</t>
        </is>
      </c>
      <c r="AP939" t="inlineStr">
        <is>
          <t>The-House.com</t>
        </is>
      </c>
      <c r="AQ939" s="333" t="n">
        <v>479.95</v>
      </c>
      <c r="AR939" t="inlineStr">
        <is>
          <t>https://tinyurl.com/yash3mr3</t>
        </is>
      </c>
      <c r="AS939" s="314">
        <f>IF(LEFT(C939,1)=" ",RIGHT(C939,LEN(C939)-1),C939)</f>
        <v/>
      </c>
      <c r="AT939" s="281">
        <f>_xlfn.CONCAT(B939,AS939,D939,E939)</f>
        <v/>
      </c>
    </row>
    <row r="940">
      <c r="A940" t="inlineStr">
        <is>
          <t>21/22</t>
        </is>
      </c>
      <c r="B940" t="inlineStr">
        <is>
          <t xml:space="preserve"> Nordica</t>
        </is>
      </c>
      <c r="C940" t="inlineStr">
        <is>
          <t>Soul Rider 84</t>
        </is>
      </c>
      <c r="D940" t="n">
        <v>156</v>
      </c>
      <c r="E940" t="inlineStr">
        <is>
          <t xml:space="preserve"> Unisex</t>
        </is>
      </c>
      <c r="F940" t="n">
        <v>156</v>
      </c>
      <c r="G940" t="n">
        <v>154.4</v>
      </c>
      <c r="H940" t="n">
        <v>124</v>
      </c>
      <c r="I940" t="n">
        <v>138</v>
      </c>
      <c r="J940" t="n">
        <v>115</v>
      </c>
      <c r="K940" t="n">
        <v>81</v>
      </c>
      <c r="L940" t="n">
        <v>106</v>
      </c>
      <c r="M940" t="n">
        <v>15.9</v>
      </c>
      <c r="N940" t="n">
        <v>1426</v>
      </c>
      <c r="O940" t="n">
        <v>0.99</v>
      </c>
      <c r="P940" t="n">
        <v>1417</v>
      </c>
      <c r="Q940" t="n">
        <v>135</v>
      </c>
      <c r="R940" t="n">
        <v>69</v>
      </c>
      <c r="S940" t="n">
        <v>48</v>
      </c>
      <c r="T940" t="n">
        <v>154</v>
      </c>
      <c r="U940" t="n">
        <v>41</v>
      </c>
      <c r="V940" t="n">
        <v>148</v>
      </c>
      <c r="W940" t="n">
        <v>0.855</v>
      </c>
      <c r="X940" t="n">
        <v>92</v>
      </c>
      <c r="Y940" t="n">
        <v>72</v>
      </c>
      <c r="Z940" t="n">
        <v>62</v>
      </c>
      <c r="AA940" t="n">
        <v>10</v>
      </c>
      <c r="AB940" t="n">
        <v>8.699999999999999</v>
      </c>
      <c r="AC940" t="inlineStr">
        <is>
          <t xml:space="preserve"> Resort Freeride</t>
        </is>
      </c>
      <c r="AD940" t="inlineStr">
        <is>
          <t xml:space="preserve"> Freeski</t>
        </is>
      </c>
      <c r="AG940" t="inlineStr">
        <is>
          <t>Nordica Men's Soul Rider 84 Ski 2021</t>
        </is>
      </c>
      <c r="AH940" t="inlineStr">
        <is>
          <t>BobsSportsChalet.com</t>
        </is>
      </c>
      <c r="AI940" s="333" t="n">
        <v>349.99</v>
      </c>
      <c r="AJ940" t="inlineStr">
        <is>
          <t>https://tinyurl.com/y8xof2sy</t>
        </is>
      </c>
      <c r="AK940" t="inlineStr">
        <is>
          <t>Nordica Men's Soul Rider 84 Ski 2021</t>
        </is>
      </c>
      <c r="AL940" t="inlineStr">
        <is>
          <t>Buyr.com</t>
        </is>
      </c>
      <c r="AM940" s="333" t="n">
        <v>356.96</v>
      </c>
      <c r="AN940" t="inlineStr">
        <is>
          <t>https://tinyurl.com/yd9q4gdt</t>
        </is>
      </c>
      <c r="AO940" t="inlineStr">
        <is>
          <t>Nordica Wild Belle DC 84 Ski &amp; Binding (156CM)</t>
        </is>
      </c>
      <c r="AP940" t="inlineStr">
        <is>
          <t>Ski World</t>
        </is>
      </c>
      <c r="AQ940" s="333" t="n">
        <v>599.99</v>
      </c>
      <c r="AR940" t="inlineStr">
        <is>
          <t>https://tinyurl.com/yc3bk7g9</t>
        </is>
      </c>
      <c r="AS940" s="314">
        <f>IF(LEFT(C940,1)=" ",RIGHT(C940,LEN(C940)-1),C940)</f>
        <v/>
      </c>
      <c r="AT940" s="281">
        <f>_xlfn.CONCAT(B940,AS940,D940,E940)</f>
        <v/>
      </c>
    </row>
    <row r="941">
      <c r="A941" t="inlineStr">
        <is>
          <t>21/22</t>
        </is>
      </c>
      <c r="B941" t="inlineStr">
        <is>
          <t xml:space="preserve"> Vï¿½lkl</t>
        </is>
      </c>
      <c r="C941" t="inlineStr">
        <is>
          <t>Mantra 102</t>
        </is>
      </c>
      <c r="D941" t="n">
        <v>170</v>
      </c>
      <c r="E941" t="inlineStr">
        <is>
          <t xml:space="preserve"> Unisex</t>
        </is>
      </c>
      <c r="F941" t="n">
        <v>170</v>
      </c>
      <c r="G941" t="n">
        <v>171</v>
      </c>
      <c r="H941" t="n">
        <v>121</v>
      </c>
      <c r="I941" t="n">
        <v>148</v>
      </c>
      <c r="J941" t="n">
        <v>139</v>
      </c>
      <c r="K941" t="n">
        <v>101</v>
      </c>
      <c r="L941" t="n">
        <v>122</v>
      </c>
      <c r="M941" t="n">
        <v>18.1</v>
      </c>
      <c r="N941" t="n">
        <v>2065</v>
      </c>
      <c r="O941" t="n">
        <v>0.93</v>
      </c>
      <c r="P941" t="n">
        <v>1928</v>
      </c>
      <c r="Q941" t="n">
        <v>235</v>
      </c>
      <c r="R941" t="n">
        <v>161</v>
      </c>
      <c r="S941" t="n">
        <v>46</v>
      </c>
      <c r="T941" t="n">
        <v>283</v>
      </c>
      <c r="U941" t="n">
        <v>19</v>
      </c>
      <c r="V941" t="n">
        <v>220</v>
      </c>
      <c r="W941" t="n">
        <v>0.421</v>
      </c>
      <c r="X941" t="n">
        <v>130</v>
      </c>
      <c r="Y941" t="n">
        <v>100</v>
      </c>
      <c r="Z941" t="n">
        <v>152</v>
      </c>
      <c r="AA941" t="n">
        <v>5</v>
      </c>
      <c r="AB941" t="n">
        <v>11.3</v>
      </c>
      <c r="AC941" t="inlineStr">
        <is>
          <t xml:space="preserve"> Resort Freeride</t>
        </is>
      </c>
      <c r="AD941" t="inlineStr">
        <is>
          <t xml:space="preserve"> Powder</t>
        </is>
      </c>
      <c r="AG941" t="inlineStr">
        <is>
          <t>Volkl 2022 Mantra 102 Skis</t>
        </is>
      </c>
      <c r="AH941" t="inlineStr">
        <is>
          <t>UtahSkis</t>
        </is>
      </c>
      <c r="AI941" s="333" t="n">
        <v>599.99</v>
      </c>
      <c r="AJ941" t="inlineStr">
        <is>
          <t>https://tinyurl.com/yanl68nj</t>
        </is>
      </c>
      <c r="AK941" t="inlineStr">
        <is>
          <t>Volkl 2022 Mantra 102 Skis</t>
        </is>
      </c>
      <c r="AL941" t="inlineStr">
        <is>
          <t>The-House.com</t>
        </is>
      </c>
      <c r="AM941" s="333" t="n">
        <v>599.99</v>
      </c>
      <c r="AN941" t="inlineStr">
        <is>
          <t>https://tinyurl.com/y89yzaze</t>
        </is>
      </c>
      <c r="AO941" t="inlineStr">
        <is>
          <t>Volkl 2022 Mantra 102 Skis</t>
        </is>
      </c>
      <c r="AP941" t="inlineStr">
        <is>
          <t>Ski Town All-Stars</t>
        </is>
      </c>
      <c r="AQ941" s="333" t="n">
        <v>599.99</v>
      </c>
      <c r="AR941" t="inlineStr">
        <is>
          <t>https://tinyurl.com/ycpcdmk6</t>
        </is>
      </c>
      <c r="AS941" s="314">
        <f>IF(LEFT(C941,1)=" ",RIGHT(C941,LEN(C941)-1),C941)</f>
        <v/>
      </c>
      <c r="AT941" s="281">
        <f>_xlfn.CONCAT(B941,AS941,D941,E941)</f>
        <v/>
      </c>
    </row>
    <row r="942">
      <c r="A942" t="inlineStr">
        <is>
          <t>21/22</t>
        </is>
      </c>
      <c r="B942" t="inlineStr">
        <is>
          <t xml:space="preserve"> Head</t>
        </is>
      </c>
      <c r="C942" t="inlineStr">
        <is>
          <t>V-Shape V8</t>
        </is>
      </c>
      <c r="D942" t="n">
        <v>170</v>
      </c>
      <c r="E942" t="inlineStr">
        <is>
          <t xml:space="preserve"> Unisex</t>
        </is>
      </c>
      <c r="F942" t="n">
        <v>170</v>
      </c>
      <c r="G942" t="n">
        <v>169.4</v>
      </c>
      <c r="H942" t="n">
        <v>148</v>
      </c>
      <c r="I942" t="n">
        <v>155</v>
      </c>
      <c r="J942" t="n">
        <v>129</v>
      </c>
      <c r="K942" t="n">
        <v>74</v>
      </c>
      <c r="L942" t="n">
        <v>110</v>
      </c>
      <c r="M942" t="n">
        <v>13.3</v>
      </c>
      <c r="N942" t="n">
        <v>1634</v>
      </c>
      <c r="O942" t="n">
        <v>0.9399999999999999</v>
      </c>
      <c r="P942" t="n">
        <v>1534</v>
      </c>
      <c r="Q942" t="n">
        <v>201</v>
      </c>
      <c r="R942" t="n">
        <v>51</v>
      </c>
      <c r="S942" t="n">
        <v>38</v>
      </c>
      <c r="T942" t="n">
        <v>147</v>
      </c>
      <c r="U942" t="n">
        <v>8</v>
      </c>
      <c r="V942" t="n">
        <v>63</v>
      </c>
      <c r="W942" t="n">
        <v>0.218999999999999</v>
      </c>
      <c r="X942" t="n">
        <v>84</v>
      </c>
      <c r="Y942" t="n">
        <v>55</v>
      </c>
      <c r="Z942" t="n">
        <v>62</v>
      </c>
      <c r="AA942" t="n">
        <v>9</v>
      </c>
      <c r="AB942" t="n">
        <v>13.5</v>
      </c>
      <c r="AC942" t="inlineStr">
        <is>
          <t xml:space="preserve"> On-Piste Carving</t>
        </is>
      </c>
      <c r="AG942" t="inlineStr">
        <is>
          <t>Head V-Shape V2 Black-Grey-White 170 Ski Men</t>
        </is>
      </c>
      <c r="AH942" t="inlineStr">
        <is>
          <t>! OutdoorXL.com</t>
        </is>
      </c>
      <c r="AI942" s="333" t="n">
        <v>234.95</v>
      </c>
      <c r="AJ942" t="inlineStr">
        <is>
          <t>https://tinyurl.com/y8leuqsf</t>
        </is>
      </c>
      <c r="AK942" t="inlineStr">
        <is>
          <t>Head V-Shape V6 Unisex Skiing Ski Black / Red 170 cm</t>
        </is>
      </c>
      <c r="AL942" t="inlineStr">
        <is>
          <t>Mike Sport</t>
        </is>
      </c>
      <c r="AM942" s="333" t="n">
        <v>353</v>
      </c>
      <c r="AN942" t="inlineStr">
        <is>
          <t>https://tinyurl.com/yavavd69</t>
        </is>
      </c>
      <c r="AO942" t="inlineStr">
        <is>
          <t>Head 2021 V Shape V8 Skis W/Pr 11 GW Bindings</t>
        </is>
      </c>
      <c r="AP942" t="inlineStr">
        <is>
          <t>Snowcountry.eu</t>
        </is>
      </c>
      <c r="AQ942" s="333" t="n">
        <v>478.43</v>
      </c>
      <c r="AR942" t="inlineStr">
        <is>
          <t>https://tinyurl.com/yczuaojt</t>
        </is>
      </c>
      <c r="AS942" s="314">
        <f>IF(LEFT(C942,1)=" ",RIGHT(C942,LEN(C942)-1),C942)</f>
        <v/>
      </c>
      <c r="AT942" s="281">
        <f>_xlfn.CONCAT(B942,AS942,D942,E942)</f>
        <v/>
      </c>
    </row>
    <row r="943">
      <c r="A943" t="inlineStr">
        <is>
          <t>21/22</t>
        </is>
      </c>
      <c r="B943" t="inlineStr">
        <is>
          <t xml:space="preserve"> Elan</t>
        </is>
      </c>
      <c r="C943" t="inlineStr">
        <is>
          <t>Ripstick 94 W</t>
        </is>
      </c>
      <c r="D943" t="n">
        <v>162</v>
      </c>
      <c r="E943" t="inlineStr">
        <is>
          <t xml:space="preserve"> Women's</t>
        </is>
      </c>
      <c r="F943" t="n">
        <v>162</v>
      </c>
      <c r="G943" t="n">
        <v>162.1</v>
      </c>
      <c r="H943" t="n">
        <v>116</v>
      </c>
      <c r="I943" t="n">
        <v>129</v>
      </c>
      <c r="J943" t="n">
        <v>133</v>
      </c>
      <c r="K943" t="n">
        <v>94</v>
      </c>
      <c r="L943" t="n">
        <v>108</v>
      </c>
      <c r="M943" t="n">
        <v>14.9</v>
      </c>
      <c r="N943" t="n">
        <v>1451</v>
      </c>
      <c r="O943" t="n">
        <v>1.18</v>
      </c>
      <c r="P943" t="n">
        <v>1717</v>
      </c>
      <c r="Q943" t="n">
        <v>156</v>
      </c>
      <c r="R943" t="n">
        <v>60</v>
      </c>
      <c r="S943" t="n">
        <v>45</v>
      </c>
      <c r="T943" t="n">
        <v>279</v>
      </c>
      <c r="U943" t="n">
        <v>14</v>
      </c>
      <c r="V943" t="n">
        <v>183</v>
      </c>
      <c r="W943" t="n">
        <v>0.31</v>
      </c>
      <c r="X943" t="n">
        <v>166</v>
      </c>
      <c r="Y943" t="n">
        <v>162</v>
      </c>
      <c r="Z943" t="n">
        <v>113</v>
      </c>
      <c r="AA943" t="n">
        <v>5</v>
      </c>
      <c r="AB943" t="n">
        <v>7.2</v>
      </c>
      <c r="AC943" t="inlineStr">
        <is>
          <t xml:space="preserve"> Resort Freeride</t>
        </is>
      </c>
      <c r="AD943" t="inlineStr">
        <is>
          <t xml:space="preserve"> Touring</t>
        </is>
      </c>
      <c r="AG943" t="inlineStr">
        <is>
          <t>Elan Ripstick 94 W Women's Skis</t>
        </is>
      </c>
      <c r="AH943" t="inlineStr">
        <is>
          <t>Ski Pro  - Snow Ski &amp; Snowboard</t>
        </is>
      </c>
      <c r="AI943" s="333" t="n">
        <v>449.95</v>
      </c>
      <c r="AJ943" t="inlineStr">
        <is>
          <t>https://tinyurl.com/y9dvmeba</t>
        </is>
      </c>
      <c r="AK943" t="inlineStr">
        <is>
          <t>Elan Ripstick 94 W Women's Skis</t>
        </is>
      </c>
      <c r="AL943" t="inlineStr">
        <is>
          <t>SkiEssentials.com</t>
        </is>
      </c>
      <c r="AM943" s="333" t="n">
        <v>449.99</v>
      </c>
      <c r="AN943" t="inlineStr">
        <is>
          <t>https://tinyurl.com/y89ltdq4</t>
        </is>
      </c>
      <c r="AO943" t="inlineStr">
        <is>
          <t>Elan Ripstick 94 W Women's Skis</t>
        </is>
      </c>
      <c r="AP943" t="inlineStr">
        <is>
          <t>Geiger's</t>
        </is>
      </c>
      <c r="AQ943" s="333" t="n">
        <v>449.99</v>
      </c>
      <c r="AR943" t="inlineStr">
        <is>
          <t>https://tinyurl.com/yayho8vj</t>
        </is>
      </c>
      <c r="AS943" s="314">
        <f>IF(LEFT(C943,1)=" ",RIGHT(C943,LEN(C943)-1),C943)</f>
        <v/>
      </c>
      <c r="AT943" s="281">
        <f>_xlfn.CONCAT(B943,AS943,D943,E943)</f>
        <v/>
      </c>
    </row>
    <row r="944">
      <c r="A944" t="inlineStr">
        <is>
          <t>21/22</t>
        </is>
      </c>
      <c r="B944" t="inlineStr">
        <is>
          <t xml:space="preserve"> Faction</t>
        </is>
      </c>
      <c r="C944" t="inlineStr">
        <is>
          <t>Dictator FG 1.0</t>
        </is>
      </c>
      <c r="D944" t="n">
        <v>154</v>
      </c>
      <c r="E944" t="inlineStr">
        <is>
          <t xml:space="preserve"> Unisex</t>
        </is>
      </c>
      <c r="F944" t="n">
        <v>154</v>
      </c>
      <c r="G944" t="n">
        <v>152.3</v>
      </c>
      <c r="H944" t="n">
        <v>118</v>
      </c>
      <c r="I944" t="n">
        <v>128</v>
      </c>
      <c r="J944" t="n">
        <v>119</v>
      </c>
      <c r="K944" t="n">
        <v>85</v>
      </c>
      <c r="L944" t="n">
        <v>109</v>
      </c>
      <c r="M944" t="n">
        <v>13.2</v>
      </c>
      <c r="N944" t="n">
        <v>1380</v>
      </c>
      <c r="O944" t="n">
        <v>1.07</v>
      </c>
      <c r="P944" t="n">
        <v>1471</v>
      </c>
      <c r="Q944" t="n">
        <v>144</v>
      </c>
      <c r="R944" t="n">
        <v>66</v>
      </c>
      <c r="S944" t="n">
        <v>48</v>
      </c>
      <c r="T944" t="n">
        <v>211</v>
      </c>
      <c r="U944" t="n">
        <v>18</v>
      </c>
      <c r="V944" t="n">
        <v>132</v>
      </c>
      <c r="W944" t="n">
        <v>0.382</v>
      </c>
      <c r="X944" t="n">
        <v>151</v>
      </c>
      <c r="Y944" t="n">
        <v>95</v>
      </c>
      <c r="Z944" t="n">
        <v>59</v>
      </c>
      <c r="AA944" t="n">
        <v>10</v>
      </c>
      <c r="AB944" t="n">
        <v>9.1</v>
      </c>
      <c r="AC944" t="inlineStr">
        <is>
          <t xml:space="preserve"> On-Piste All-Mountain</t>
        </is>
      </c>
      <c r="AD944" t="inlineStr">
        <is>
          <t xml:space="preserve"> Resort Freeride</t>
        </is>
      </c>
      <c r="AE944" t="inlineStr">
        <is>
          <t xml:space="preserve"> Touring</t>
        </is>
      </c>
      <c r="AG944" t="inlineStr">
        <is>
          <t>Faction Dictator 1.0x Skis</t>
        </is>
      </c>
      <c r="AH944" t="inlineStr">
        <is>
          <t>Backcountry Freeskier</t>
        </is>
      </c>
      <c r="AI944" s="333" t="n">
        <v>489</v>
      </c>
      <c r="AJ944" t="inlineStr">
        <is>
          <t>https://tinyurl.com/ycnaavss</t>
        </is>
      </c>
      <c r="AK944" t="inlineStr">
        <is>
          <t>Faction Women's Dictator 1.0X Ski 2022 - 154</t>
        </is>
      </c>
      <c r="AL944" t="inlineStr">
        <is>
          <t>Gear West Ski &amp; Bike</t>
        </is>
      </c>
      <c r="AM944" s="333" t="n">
        <v>619</v>
      </c>
      <c r="AN944" t="inlineStr">
        <is>
          <t>https://tinyurl.com/ybnaxf2h</t>
        </is>
      </c>
      <c r="AO944" t="inlineStr">
        <is>
          <t>Faction Prodigy 2.0x 154cm (BRAND New, Still in Wrap)</t>
        </is>
      </c>
      <c r="AP944" t="inlineStr">
        <is>
          <t>Requipper</t>
        </is>
      </c>
      <c r="AQ944" s="333" t="n">
        <v>350</v>
      </c>
      <c r="AR944" t="inlineStr">
        <is>
          <t>https://tinyurl.com/yaw9pqsc</t>
        </is>
      </c>
      <c r="AS944" s="314">
        <f>IF(LEFT(C944,1)=" ",RIGHT(C944,LEN(C944)-1),C944)</f>
        <v/>
      </c>
      <c r="AT944" s="281">
        <f>_xlfn.CONCAT(B944,AS944,D944,E944)</f>
        <v/>
      </c>
    </row>
    <row r="945">
      <c r="A945" t="inlineStr">
        <is>
          <t>21/22</t>
        </is>
      </c>
      <c r="B945" t="inlineStr">
        <is>
          <t xml:space="preserve"> Dynastar</t>
        </is>
      </c>
      <c r="C945" t="inlineStr">
        <is>
          <t>M-Free 118</t>
        </is>
      </c>
      <c r="D945" t="n">
        <v>180</v>
      </c>
      <c r="E945" t="inlineStr">
        <is>
          <t xml:space="preserve"> Unisex</t>
        </is>
      </c>
      <c r="F945" t="n">
        <v>180</v>
      </c>
      <c r="G945" t="n">
        <v>179.3</v>
      </c>
      <c r="H945" t="n">
        <v>117</v>
      </c>
      <c r="I945" t="n">
        <v>135</v>
      </c>
      <c r="J945" t="n">
        <v>144</v>
      </c>
      <c r="K945" t="n">
        <v>117</v>
      </c>
      <c r="L945" t="n">
        <v>134</v>
      </c>
      <c r="M945" t="n">
        <v>18.4</v>
      </c>
      <c r="N945" t="n">
        <v>2269</v>
      </c>
      <c r="O945" t="n">
        <v>0.99</v>
      </c>
      <c r="P945" t="n">
        <v>2240</v>
      </c>
      <c r="Q945" t="n">
        <v>226</v>
      </c>
      <c r="R945" t="n">
        <v>101</v>
      </c>
      <c r="S945" t="n">
        <v>56</v>
      </c>
      <c r="T945" t="n">
        <v>338</v>
      </c>
      <c r="U945" t="n">
        <v>32</v>
      </c>
      <c r="V945" t="n">
        <v>287</v>
      </c>
      <c r="W945" t="n">
        <v>0.577</v>
      </c>
      <c r="X945" t="n">
        <v>264</v>
      </c>
      <c r="Y945" t="n">
        <v>182</v>
      </c>
      <c r="Z945" t="n">
        <v>74</v>
      </c>
      <c r="AA945" t="n">
        <v>8</v>
      </c>
      <c r="AB945" t="n">
        <v>9.4</v>
      </c>
      <c r="AC945" t="inlineStr">
        <is>
          <t xml:space="preserve"> Powder</t>
        </is>
      </c>
      <c r="AG945" t="inlineStr">
        <is>
          <t>Dynastar M-FREE 118 180cm</t>
        </is>
      </c>
      <c r="AH945" t="inlineStr">
        <is>
          <t>Sundance Ski and Board Shop</t>
        </is>
      </c>
      <c r="AI945" s="333" t="n">
        <v>681.22</v>
      </c>
      <c r="AJ945" t="inlineStr">
        <is>
          <t>https://tinyurl.com/y9m7xa9l</t>
        </is>
      </c>
      <c r="AK945" t="inlineStr">
        <is>
          <t>Dynastar M-Free 118 Skis - 2022 180cm</t>
        </is>
      </c>
      <c r="AL945" t="inlineStr">
        <is>
          <t>Glacier Ski Shop</t>
        </is>
      </c>
      <c r="AM945" s="333" t="n">
        <v>719</v>
      </c>
      <c r="AN945" t="inlineStr">
        <is>
          <t>https://tinyurl.com/y9buftgx</t>
        </is>
      </c>
      <c r="AO945" t="inlineStr">
        <is>
          <t>Dynastar M Free 118 Skis 180cm 2022</t>
        </is>
      </c>
      <c r="AP945" t="inlineStr">
        <is>
          <t>Snowcountry.eu</t>
        </is>
      </c>
      <c r="AQ945" s="333" t="n">
        <v>413.9</v>
      </c>
      <c r="AR945" t="inlineStr">
        <is>
          <t>https://tinyurl.com/y9se4lcm</t>
        </is>
      </c>
      <c r="AS945" s="314">
        <f>IF(LEFT(C945,1)=" ",RIGHT(C945,LEN(C945)-1),C945)</f>
        <v/>
      </c>
      <c r="AT945" s="281">
        <f>_xlfn.CONCAT(B945,AS945,D945,E945)</f>
        <v/>
      </c>
    </row>
    <row r="946">
      <c r="A946" t="inlineStr">
        <is>
          <t>21/22</t>
        </is>
      </c>
      <c r="B946" t="inlineStr">
        <is>
          <t xml:space="preserve"> Elan</t>
        </is>
      </c>
      <c r="C946" t="inlineStr">
        <is>
          <t xml:space="preserve"> Snow Black</t>
        </is>
      </c>
      <c r="D946" t="n">
        <v>158</v>
      </c>
      <c r="E946" t="inlineStr">
        <is>
          <t xml:space="preserve"> Women's</t>
        </is>
      </c>
      <c r="F946" t="n">
        <v>158</v>
      </c>
      <c r="G946" t="n">
        <v>159.2</v>
      </c>
      <c r="H946" t="n">
        <v>138</v>
      </c>
      <c r="I946" t="n">
        <v>147</v>
      </c>
      <c r="J946" t="n">
        <v>122</v>
      </c>
      <c r="K946" t="n">
        <v>74</v>
      </c>
      <c r="L946" t="n">
        <v>103</v>
      </c>
      <c r="M946" t="n">
        <v>13.9</v>
      </c>
      <c r="N946" t="n">
        <v>1522</v>
      </c>
      <c r="O946" t="n">
        <v>0.92</v>
      </c>
      <c r="P946" t="n">
        <v>1401</v>
      </c>
      <c r="Q946" t="n">
        <v>187</v>
      </c>
      <c r="R946" t="n">
        <v>60</v>
      </c>
      <c r="S946" t="n">
        <v>34</v>
      </c>
      <c r="T946" t="n">
        <v>141</v>
      </c>
      <c r="U946" t="n">
        <v>6</v>
      </c>
      <c r="V946" t="n">
        <v>71</v>
      </c>
      <c r="W946" t="n">
        <v>0.186</v>
      </c>
      <c r="X946" t="n">
        <v>79</v>
      </c>
      <c r="Y946" t="n">
        <v>39</v>
      </c>
      <c r="Z946" t="n">
        <v>62</v>
      </c>
      <c r="AA946" t="n">
        <v>9</v>
      </c>
      <c r="AB946" t="n">
        <v>9.1</v>
      </c>
      <c r="AC946" t="inlineStr">
        <is>
          <t xml:space="preserve"> On-Piste Carving</t>
        </is>
      </c>
      <c r="AG946" t="inlineStr">
        <is>
          <t>Elan Delight Magic 19/20 Black 158 Ski Lady's Ladies / Women</t>
        </is>
      </c>
      <c r="AH946" t="inlineStr">
        <is>
          <t>! OutdoorXL.com</t>
        </is>
      </c>
      <c r="AI946" s="333" t="n">
        <v>319.95</v>
      </c>
      <c r="AJ946" t="inlineStr">
        <is>
          <t>https://tinyurl.com/ydfz7qzd</t>
        </is>
      </c>
      <c r="AK946" t="inlineStr">
        <is>
          <t>Elan Black Magic '22 Model 158 Cm All Mountain Skis With El 9 Bindings</t>
        </is>
      </c>
      <c r="AL946" t="inlineStr">
        <is>
          <t>eBay - skitrucks</t>
        </is>
      </c>
      <c r="AM946" s="333" t="n">
        <v>319.99</v>
      </c>
      <c r="AN946" t="inlineStr">
        <is>
          <t>https://tinyurl.com/y8aqxtod</t>
        </is>
      </c>
      <c r="AO946" t="inlineStr">
        <is>
          <t>Elan Women's Snow LS Skis w/EL 7.5 GW AC Shift BLK/SIL Bindings 2022 White 158</t>
        </is>
      </c>
      <c r="AP946" t="inlineStr">
        <is>
          <t>Scheels</t>
        </is>
      </c>
      <c r="AQ946" s="333" t="n">
        <v>349.99</v>
      </c>
      <c r="AR946" t="inlineStr">
        <is>
          <t>https://tinyurl.com/y962oynd</t>
        </is>
      </c>
      <c r="AS946" s="314">
        <f>IF(LEFT(C946,1)=" ",RIGHT(C946,LEN(C946)-1),C946)</f>
        <v/>
      </c>
      <c r="AT946" s="281">
        <f>_xlfn.CONCAT(B946,AS946,D946,E946)</f>
        <v/>
      </c>
    </row>
    <row r="947">
      <c r="A947" t="inlineStr">
        <is>
          <t>21/22</t>
        </is>
      </c>
      <c r="B947" t="inlineStr">
        <is>
          <t xml:space="preserve"> Faction</t>
        </is>
      </c>
      <c r="C947" t="inlineStr">
        <is>
          <t>Prodigy 0.0</t>
        </is>
      </c>
      <c r="D947" t="n">
        <v>150</v>
      </c>
      <c r="E947" t="inlineStr">
        <is>
          <t xml:space="preserve"> Unisex</t>
        </is>
      </c>
      <c r="F947" t="n">
        <v>150</v>
      </c>
      <c r="G947" t="n">
        <v>148.1</v>
      </c>
      <c r="H947" t="n">
        <v>102</v>
      </c>
      <c r="I947" t="n">
        <v>124</v>
      </c>
      <c r="J947" t="n">
        <v>116</v>
      </c>
      <c r="K947" t="n">
        <v>84</v>
      </c>
      <c r="L947" t="n">
        <v>108</v>
      </c>
      <c r="M947" t="n">
        <v>11.9</v>
      </c>
      <c r="N947" t="n">
        <v>1453</v>
      </c>
      <c r="O947" t="n">
        <v>0.97</v>
      </c>
      <c r="P947" t="n">
        <v>1415</v>
      </c>
      <c r="Q947" t="n">
        <v>123</v>
      </c>
      <c r="R947" t="n">
        <v>54</v>
      </c>
      <c r="S947" t="n">
        <v>50</v>
      </c>
      <c r="T947" t="n">
        <v>262</v>
      </c>
      <c r="U947" t="n">
        <v>37</v>
      </c>
      <c r="V947" t="n">
        <v>203</v>
      </c>
      <c r="W947" t="n">
        <v>0.743</v>
      </c>
      <c r="X947" t="n">
        <v>131</v>
      </c>
      <c r="Y947" t="n">
        <v>112</v>
      </c>
      <c r="Z947" t="n">
        <v>130</v>
      </c>
      <c r="AA947" t="n">
        <v>5</v>
      </c>
      <c r="AB947" t="n">
        <v>5.7</v>
      </c>
      <c r="AC947" t="inlineStr">
        <is>
          <t xml:space="preserve"> Resort Freeride</t>
        </is>
      </c>
      <c r="AG947" t="inlineStr">
        <is>
          <t>Faction Prodigy 0.0 with M10 GW Binding Skis</t>
        </is>
      </c>
      <c r="AH947" t="inlineStr">
        <is>
          <t>Gorham Bike and Ski</t>
        </is>
      </c>
      <c r="AI947" s="333" t="n">
        <v>314.99</v>
      </c>
      <c r="AJ947" t="inlineStr">
        <is>
          <t>https://tinyurl.com/y9jym9g2</t>
        </is>
      </c>
      <c r="AK947" t="inlineStr">
        <is>
          <t>Faction Prodigy 0.0 Ski - 2022</t>
        </is>
      </c>
      <c r="AL947" t="inlineStr">
        <is>
          <t>Aspen Ski and Board</t>
        </is>
      </c>
      <c r="AM947" s="333" t="n">
        <v>319.95</v>
      </c>
      <c r="AN947" t="inlineStr">
        <is>
          <t>https://tinyurl.com/ya8bahd9</t>
        </is>
      </c>
      <c r="AO947" t="inlineStr">
        <is>
          <t>Faction Prodigy 0.0 Ski - 2022</t>
        </is>
      </c>
      <c r="AP947" t="inlineStr">
        <is>
          <t>Gear West Ski &amp; Bike</t>
        </is>
      </c>
      <c r="AQ947" s="333" t="n">
        <v>329</v>
      </c>
      <c r="AR947" t="inlineStr">
        <is>
          <t>https://tinyurl.com/y7dxwbrk</t>
        </is>
      </c>
      <c r="AS947" s="314">
        <f>IF(LEFT(C947,1)=" ",RIGHT(C947,LEN(C947)-1),C947)</f>
        <v/>
      </c>
      <c r="AT947" s="281">
        <f>_xlfn.CONCAT(B947,AS947,D947,E947)</f>
        <v/>
      </c>
    </row>
    <row r="948">
      <c r="A948" t="inlineStr">
        <is>
          <t>21/22</t>
        </is>
      </c>
      <c r="B948" t="inlineStr">
        <is>
          <t xml:space="preserve"> Nordica</t>
        </is>
      </c>
      <c r="C948" t="inlineStr">
        <is>
          <t>Belle 73</t>
        </is>
      </c>
      <c r="D948" t="n">
        <v>150</v>
      </c>
      <c r="E948" t="inlineStr">
        <is>
          <t xml:space="preserve"> Women's</t>
        </is>
      </c>
      <c r="F948" t="n">
        <v>150</v>
      </c>
      <c r="G948" t="n">
        <v>149.2</v>
      </c>
      <c r="H948" t="n">
        <v>127</v>
      </c>
      <c r="I948" t="n">
        <v>135</v>
      </c>
      <c r="J948" t="n">
        <v>121</v>
      </c>
      <c r="K948" t="n">
        <v>72</v>
      </c>
      <c r="L948" t="n">
        <v>98</v>
      </c>
      <c r="M948" t="n">
        <v>12.1</v>
      </c>
      <c r="N948" t="n">
        <v>1601</v>
      </c>
      <c r="O948" t="n">
        <v>0.8</v>
      </c>
      <c r="P948" t="n">
        <v>1287</v>
      </c>
      <c r="Q948" t="n">
        <v>141</v>
      </c>
      <c r="R948" t="n">
        <v>57</v>
      </c>
      <c r="S948" t="n">
        <v>36</v>
      </c>
      <c r="T948" t="n">
        <v>137</v>
      </c>
      <c r="U948" t="n">
        <v>9</v>
      </c>
      <c r="V948" t="n">
        <v>87</v>
      </c>
      <c r="W948" t="n">
        <v>0.255</v>
      </c>
      <c r="X948" t="n">
        <v>65</v>
      </c>
      <c r="Y948" t="n">
        <v>82</v>
      </c>
      <c r="Z948" t="n">
        <v>72</v>
      </c>
      <c r="AA948" t="n">
        <v>7</v>
      </c>
      <c r="AB948" t="n">
        <v>9.199999999999999</v>
      </c>
      <c r="AC948" t="inlineStr">
        <is>
          <t xml:space="preserve"> On-Piste Carving</t>
        </is>
      </c>
      <c r="AG948" t="inlineStr">
        <is>
          <t>Nordica Wild Belle 78 CA Women's Ski &amp; 10 FDT Binding 2022 - 150</t>
        </is>
      </c>
      <c r="AH948" t="inlineStr">
        <is>
          <t>Gear West Ski &amp; Bike</t>
        </is>
      </c>
      <c r="AI948" s="333" t="n">
        <v>499.99</v>
      </c>
      <c r="AJ948" t="inlineStr">
        <is>
          <t>https://tinyurl.com/yc9x5r3m</t>
        </is>
      </c>
      <c r="AK948" t="inlineStr">
        <is>
          <t>Nordica Wild Belle DC 84 w/ TP2 11 Women's</t>
        </is>
      </c>
      <c r="AL948" t="inlineStr">
        <is>
          <t>Buyr.com</t>
        </is>
      </c>
      <c r="AM948" s="333" t="n">
        <v>599.99</v>
      </c>
      <c r="AN948" t="inlineStr">
        <is>
          <t>https://tinyurl.com/y73jol5v</t>
        </is>
      </c>
      <c r="AO948" t="inlineStr">
        <is>
          <t>Nordica Wild Belle DC 84 w/ TP2 11 Women's</t>
        </is>
      </c>
      <c r="AP948" t="inlineStr">
        <is>
          <t>GritrOutdoors</t>
        </is>
      </c>
      <c r="AQ948" s="333" t="n">
        <v>599.99</v>
      </c>
      <c r="AR948" t="inlineStr">
        <is>
          <t>https://tinyurl.com/yclx9l78</t>
        </is>
      </c>
      <c r="AS948" s="314">
        <f>IF(LEFT(C948,1)=" ",RIGHT(C948,LEN(C948)-1),C948)</f>
        <v/>
      </c>
      <c r="AT948" s="281">
        <f>_xlfn.CONCAT(B948,AS948,D948,E948)</f>
        <v/>
      </c>
    </row>
    <row r="949">
      <c r="A949" t="inlineStr">
        <is>
          <t>21/22</t>
        </is>
      </c>
      <c r="B949" t="inlineStr">
        <is>
          <t xml:space="preserve"> Dynastar</t>
        </is>
      </c>
      <c r="C949" t="inlineStr">
        <is>
          <t>Speed 763</t>
        </is>
      </c>
      <c r="D949" t="n">
        <v>166</v>
      </c>
      <c r="E949" t="inlineStr">
        <is>
          <t xml:space="preserve"> Unisex</t>
        </is>
      </c>
      <c r="F949" t="n">
        <v>166</v>
      </c>
      <c r="G949" t="n">
        <v>165.1</v>
      </c>
      <c r="H949" t="n">
        <v>144</v>
      </c>
      <c r="I949" t="n">
        <v>150</v>
      </c>
      <c r="J949" t="n">
        <v>120</v>
      </c>
      <c r="K949" t="n">
        <v>72</v>
      </c>
      <c r="L949" t="n">
        <v>106</v>
      </c>
      <c r="M949" t="n">
        <v>13.5</v>
      </c>
      <c r="N949" t="n">
        <v>1994</v>
      </c>
      <c r="O949" t="n">
        <v>0.72</v>
      </c>
      <c r="P949" t="n">
        <v>1439</v>
      </c>
      <c r="Q949" t="n">
        <v>213</v>
      </c>
      <c r="R949" t="n">
        <v>106</v>
      </c>
      <c r="S949" t="n">
        <v>41</v>
      </c>
      <c r="T949" t="n">
        <v>153</v>
      </c>
      <c r="U949" t="n">
        <v>7</v>
      </c>
      <c r="V949" t="n">
        <v>58</v>
      </c>
      <c r="W949" t="n">
        <v>0.163999999999999</v>
      </c>
      <c r="X949" t="n">
        <v>87</v>
      </c>
      <c r="Y949" t="n">
        <v>62</v>
      </c>
      <c r="Z949" t="n">
        <v>66</v>
      </c>
      <c r="AA949" t="n">
        <v>11</v>
      </c>
      <c r="AB949" t="n">
        <v>11.5</v>
      </c>
      <c r="AC949" t="inlineStr">
        <is>
          <t xml:space="preserve"> On-Piste Carving</t>
        </is>
      </c>
      <c r="AG949" t="inlineStr">
        <is>
          <t>2022 Dynastar Speed 4x4 763 Skis with SPX 12 GW Bindings - 166| Ski Essentials</t>
        </is>
      </c>
      <c r="AH949" t="inlineStr">
        <is>
          <t>eBay - asogear</t>
        </is>
      </c>
      <c r="AI949" s="333" t="n">
        <v>699.99</v>
      </c>
      <c r="AJ949" t="inlineStr">
        <is>
          <t>https://tinyurl.com/y7fqutap</t>
        </is>
      </c>
      <c r="AK949" t="inlineStr">
        <is>
          <t>2022 Dynastar Speed 4x4 763 Skis with SPX 12 GW Bindings - 166| Ski Essentials</t>
        </is>
      </c>
      <c r="AL949" t="inlineStr">
        <is>
          <t>SkiEssentials.com</t>
        </is>
      </c>
      <c r="AM949" s="333" t="n">
        <v>899.95</v>
      </c>
      <c r="AN949" t="inlineStr">
        <is>
          <t>https://tinyurl.com/y7am5mdv</t>
        </is>
      </c>
      <c r="AO949" t="inlineStr">
        <is>
          <t>2019 Dynastar Speed Zone 12 Ti snow skis (CLEARANCE) 166</t>
        </is>
      </c>
      <c r="AP949" t="inlineStr">
        <is>
          <t>The Pro Shop</t>
        </is>
      </c>
      <c r="AQ949" s="333" t="n">
        <v>827</v>
      </c>
      <c r="AR949" t="inlineStr">
        <is>
          <t>https://tinyurl.com/yad95pqm</t>
        </is>
      </c>
      <c r="AS949" s="314">
        <f>IF(LEFT(C949,1)=" ",RIGHT(C949,LEN(C949)-1),C949)</f>
        <v/>
      </c>
      <c r="AT949" s="281">
        <f>_xlfn.CONCAT(B949,AS949,D949,E949)</f>
        <v/>
      </c>
    </row>
    <row r="950">
      <c r="A950" t="inlineStr">
        <is>
          <t>21/22</t>
        </is>
      </c>
      <c r="B950" t="inlineStr">
        <is>
          <t xml:space="preserve"> Rossignol</t>
        </is>
      </c>
      <c r="C950" t="inlineStr">
        <is>
          <t>Experience 76</t>
        </is>
      </c>
      <c r="D950" t="n">
        <v>152</v>
      </c>
      <c r="E950" t="inlineStr">
        <is>
          <t xml:space="preserve"> Unisex</t>
        </is>
      </c>
      <c r="F950" t="n">
        <v>152</v>
      </c>
      <c r="G950" t="n">
        <v>152.3</v>
      </c>
      <c r="H950" t="n">
        <v>131</v>
      </c>
      <c r="I950" t="n">
        <v>137</v>
      </c>
      <c r="J950" t="n">
        <v>123</v>
      </c>
      <c r="K950" t="n">
        <v>76</v>
      </c>
      <c r="L950" t="n">
        <v>110</v>
      </c>
      <c r="M950" t="n">
        <v>11.2</v>
      </c>
      <c r="N950" t="n">
        <v>1525</v>
      </c>
      <c r="O950" t="n">
        <v>0.92</v>
      </c>
      <c r="P950" t="n">
        <v>1397</v>
      </c>
      <c r="Q950" t="n">
        <v>160</v>
      </c>
      <c r="R950" t="n">
        <v>59</v>
      </c>
      <c r="S950" t="n">
        <v>36</v>
      </c>
      <c r="T950" t="n">
        <v>146</v>
      </c>
      <c r="U950" t="n">
        <v>5</v>
      </c>
      <c r="V950" t="n">
        <v>67</v>
      </c>
      <c r="W950" t="n">
        <v>0.143</v>
      </c>
      <c r="X950" t="n">
        <v>73</v>
      </c>
      <c r="Y950" t="n">
        <v>83</v>
      </c>
      <c r="Z950" t="n">
        <v>73</v>
      </c>
      <c r="AA950" t="n">
        <v>10</v>
      </c>
      <c r="AB950" t="n">
        <v>7.6</v>
      </c>
      <c r="AC950" t="inlineStr">
        <is>
          <t xml:space="preserve"> On-Piste Carving</t>
        </is>
      </c>
      <c r="AD950" t="inlineStr">
        <is>
          <t xml:space="preserve"> On-Piste All-Mountain</t>
        </is>
      </c>
      <c r="AG950" t="inlineStr">
        <is>
          <t>Rossignol Experience 76 Skis w/ Look Xpress 10 GW Bindings</t>
        </is>
      </c>
      <c r="AH950" t="inlineStr">
        <is>
          <t>The-House.com</t>
        </is>
      </c>
      <c r="AI950" s="333" t="n">
        <v>319.95</v>
      </c>
      <c r="AJ950" t="inlineStr">
        <is>
          <t>https://tinyurl.com/y7eajcjt</t>
        </is>
      </c>
      <c r="AK950" t="inlineStr">
        <is>
          <t>Rossignol Experience 76 Skis w/ Xpress 10 Bindings</t>
        </is>
      </c>
      <c r="AL950" t="inlineStr">
        <is>
          <t>Rossignol US</t>
        </is>
      </c>
      <c r="AM950" s="333" t="n">
        <v>399.95</v>
      </c>
      <c r="AN950" t="inlineStr">
        <is>
          <t>https://tinyurl.com/yagg95ca</t>
        </is>
      </c>
      <c r="AO950" t="inlineStr">
        <is>
          <t>Rossignol ALL MOUNTAIN Women's Skis EXPERIENCE W 76 (XPRESS) 152</t>
        </is>
      </c>
      <c r="AP950" t="inlineStr">
        <is>
          <t>shop.petersonsskiandcycle.com</t>
        </is>
      </c>
      <c r="AQ950" s="333" t="n">
        <v>399.99</v>
      </c>
      <c r="AR950" t="inlineStr">
        <is>
          <t>https://tinyurl.com/yaqpqj5v</t>
        </is>
      </c>
      <c r="AS950" s="314">
        <f>IF(LEFT(C950,1)=" ",RIGHT(C950,LEN(C950)-1),C950)</f>
        <v/>
      </c>
      <c r="AT950" s="281">
        <f>_xlfn.CONCAT(B950,AS950,D950,E950)</f>
        <v/>
      </c>
    </row>
    <row r="951">
      <c r="A951" t="inlineStr">
        <is>
          <t>21/22</t>
        </is>
      </c>
      <c r="B951" t="inlineStr">
        <is>
          <t xml:space="preserve"> Vï¿½lkl</t>
        </is>
      </c>
      <c r="C951" t="inlineStr">
        <is>
          <t>Mantra M5</t>
        </is>
      </c>
      <c r="D951" t="n">
        <v>170</v>
      </c>
      <c r="E951" t="inlineStr">
        <is>
          <t xml:space="preserve"> Unisex</t>
        </is>
      </c>
      <c r="F951" t="n">
        <v>170</v>
      </c>
      <c r="G951" t="n">
        <v>171.3</v>
      </c>
      <c r="H951" t="n">
        <v>129</v>
      </c>
      <c r="I951" t="n">
        <v>148</v>
      </c>
      <c r="J951" t="n">
        <v>133</v>
      </c>
      <c r="K951" t="n">
        <v>95</v>
      </c>
      <c r="L951" t="n">
        <v>116</v>
      </c>
      <c r="M951" t="n">
        <v>18</v>
      </c>
      <c r="N951" t="n">
        <v>1971</v>
      </c>
      <c r="O951" t="n">
        <v>0.93</v>
      </c>
      <c r="P951" t="n">
        <v>1826</v>
      </c>
      <c r="Q951" t="n">
        <v>223</v>
      </c>
      <c r="R951" t="n">
        <v>150</v>
      </c>
      <c r="S951" t="n">
        <v>45</v>
      </c>
      <c r="T951" t="n">
        <v>245</v>
      </c>
      <c r="U951" t="n">
        <v>16</v>
      </c>
      <c r="V951" t="n">
        <v>176</v>
      </c>
      <c r="W951" t="n">
        <v>0.351</v>
      </c>
      <c r="X951" t="n">
        <v>127</v>
      </c>
      <c r="Y951" t="n">
        <v>103</v>
      </c>
      <c r="Z951" t="n">
        <v>117</v>
      </c>
      <c r="AA951" t="n">
        <v>4</v>
      </c>
      <c r="AB951" t="n">
        <v>11.7</v>
      </c>
      <c r="AC951" t="inlineStr">
        <is>
          <t xml:space="preserve"> Resort Freeride</t>
        </is>
      </c>
      <c r="AG951" t="inlineStr">
        <is>
          <t>Volkl M5 Mantra</t>
        </is>
      </c>
      <c r="AH951" t="inlineStr">
        <is>
          <t>Powder7 Ski Shop</t>
        </is>
      </c>
      <c r="AI951" s="333" t="n">
        <v>479.93</v>
      </c>
      <c r="AJ951" t="inlineStr">
        <is>
          <t>https://tinyurl.com/y9cv84ew</t>
        </is>
      </c>
      <c r="AK951" t="inlineStr">
        <is>
          <t>Volkl M5 Mantra</t>
        </is>
      </c>
      <c r="AL951" t="inlineStr">
        <is>
          <t>Alpine Options</t>
        </is>
      </c>
      <c r="AM951" s="333" t="n">
        <v>487.99</v>
      </c>
      <c r="AN951" t="inlineStr">
        <is>
          <t>https://tinyurl.com/yakxwmga</t>
        </is>
      </c>
      <c r="AO951" t="inlineStr">
        <is>
          <t>Volkl M5 Mantra</t>
        </is>
      </c>
      <c r="AP951" t="inlineStr">
        <is>
          <t>Ski Country Sports</t>
        </is>
      </c>
      <c r="AQ951" s="333" t="n">
        <v>545.98</v>
      </c>
      <c r="AR951" t="inlineStr">
        <is>
          <t>https://tinyurl.com/ycp6ctwq</t>
        </is>
      </c>
      <c r="AS951" s="314">
        <f>IF(LEFT(C951,1)=" ",RIGHT(C951,LEN(C951)-1),C951)</f>
        <v/>
      </c>
      <c r="AT951" s="281">
        <f>_xlfn.CONCAT(B951,AS951,D951,E951)</f>
        <v/>
      </c>
    </row>
    <row r="952">
      <c r="A952" t="inlineStr">
        <is>
          <t>21/22</t>
        </is>
      </c>
      <c r="B952" t="inlineStr">
        <is>
          <t xml:space="preserve"> Blizzard</t>
        </is>
      </c>
      <c r="C952" t="inlineStr">
        <is>
          <t>Brahma 82</t>
        </is>
      </c>
      <c r="D952" t="n">
        <v>173</v>
      </c>
      <c r="E952" t="inlineStr">
        <is>
          <t xml:space="preserve"> Unisex</t>
        </is>
      </c>
      <c r="F952" t="n">
        <v>173</v>
      </c>
      <c r="G952" t="n">
        <v>171.1</v>
      </c>
      <c r="H952" t="n">
        <v>136</v>
      </c>
      <c r="I952" t="n">
        <v>147</v>
      </c>
      <c r="J952" t="n">
        <v>121</v>
      </c>
      <c r="K952" t="n">
        <v>81</v>
      </c>
      <c r="L952" t="n">
        <v>104</v>
      </c>
      <c r="M952" t="n">
        <v>17</v>
      </c>
      <c r="N952" t="n">
        <v>1888</v>
      </c>
      <c r="O952" t="n">
        <v>0.85</v>
      </c>
      <c r="P952" t="n">
        <v>1600</v>
      </c>
      <c r="Q952" t="n">
        <v>190</v>
      </c>
      <c r="R952" t="n">
        <v>122</v>
      </c>
      <c r="S952" t="n">
        <v>53</v>
      </c>
      <c r="T952" t="n">
        <v>251</v>
      </c>
      <c r="U952" t="n">
        <v>5</v>
      </c>
      <c r="V952" t="n">
        <v>97</v>
      </c>
      <c r="W952" t="n">
        <v>0.103</v>
      </c>
      <c r="X952" t="n">
        <v>126</v>
      </c>
      <c r="Y952" t="n">
        <v>112</v>
      </c>
      <c r="Z952" t="n">
        <v>125</v>
      </c>
      <c r="AA952" t="n">
        <v>4</v>
      </c>
      <c r="AB952" t="n">
        <v>10.6</v>
      </c>
      <c r="AC952" t="inlineStr">
        <is>
          <t xml:space="preserve"> On-Piste Carving</t>
        </is>
      </c>
      <c r="AD952" t="inlineStr">
        <is>
          <t xml:space="preserve"> On-Piste All-Mountain</t>
        </is>
      </c>
      <c r="AE952" t="inlineStr">
        <is>
          <t xml:space="preserve"> Resort Freeride</t>
        </is>
      </c>
      <c r="AG952" t="inlineStr">
        <is>
          <t>Blizzard Brahma 82 SP Skis w Marker TCX 11 GW Demo Bindings  Demo</t>
        </is>
      </c>
      <c r="AH952" t="inlineStr">
        <is>
          <t>Powder7 Ski Shop</t>
        </is>
      </c>
      <c r="AI952" s="333" t="n">
        <v>449.99</v>
      </c>
      <c r="AJ952" t="inlineStr">
        <is>
          <t>https://tinyurl.com/y9v3nuth</t>
        </is>
      </c>
      <c r="AK952" t="inlineStr">
        <is>
          <t>Blizzard Brahma 82 Skis</t>
        </is>
      </c>
      <c r="AL952" t="inlineStr">
        <is>
          <t>Paragon Sports</t>
        </is>
      </c>
      <c r="AM952" s="333" t="n">
        <v>479.96</v>
      </c>
      <c r="AN952" t="inlineStr">
        <is>
          <t>https://tinyurl.com/y7kcdldo</t>
        </is>
      </c>
      <c r="AO952" t="inlineStr">
        <is>
          <t>Blizzard Brahma 82 Skis</t>
        </is>
      </c>
      <c r="AP952" t="inlineStr">
        <is>
          <t>The-House.com</t>
        </is>
      </c>
      <c r="AQ952" s="333" t="n">
        <v>480</v>
      </c>
      <c r="AR952" t="inlineStr">
        <is>
          <t>https://tinyurl.com/ya2rb9ns</t>
        </is>
      </c>
      <c r="AS952" s="314">
        <f>IF(LEFT(C952,1)=" ",RIGHT(C952,LEN(C952)-1),C952)</f>
        <v/>
      </c>
      <c r="AT952" s="281">
        <f>_xlfn.CONCAT(B952,AS952,D952,E952)</f>
        <v/>
      </c>
    </row>
    <row r="953">
      <c r="A953" t="inlineStr">
        <is>
          <t>21/22</t>
        </is>
      </c>
      <c r="B953" t="inlineStr">
        <is>
          <t xml:space="preserve"> J Skis</t>
        </is>
      </c>
      <c r="C953" t="inlineStr">
        <is>
          <t xml:space="preserve"> The Allplay</t>
        </is>
      </c>
      <c r="D953" t="n">
        <v>178</v>
      </c>
      <c r="E953" t="inlineStr">
        <is>
          <t xml:space="preserve"> Unisex</t>
        </is>
      </c>
      <c r="F953" t="n">
        <v>178</v>
      </c>
      <c r="G953" t="n">
        <v>176</v>
      </c>
      <c r="H953" t="n">
        <v>130</v>
      </c>
      <c r="I953" t="n">
        <v>143</v>
      </c>
      <c r="J953" t="n">
        <v>118</v>
      </c>
      <c r="K953" t="n">
        <v>97</v>
      </c>
      <c r="L953" t="n">
        <v>117</v>
      </c>
      <c r="M953" t="n">
        <v>20.9</v>
      </c>
      <c r="N953" t="n">
        <v>1901</v>
      </c>
      <c r="O953" t="n">
        <v>0.97</v>
      </c>
      <c r="P953" t="n">
        <v>1852</v>
      </c>
      <c r="Q953" t="n">
        <v>167</v>
      </c>
      <c r="R953" t="n">
        <v>58</v>
      </c>
      <c r="S953" t="n">
        <v>43</v>
      </c>
      <c r="T953" t="n">
        <v>224</v>
      </c>
      <c r="U953" t="n">
        <v>45</v>
      </c>
      <c r="V953" t="n">
        <v>237</v>
      </c>
      <c r="W953" t="n">
        <v>1.042</v>
      </c>
      <c r="X953" t="n">
        <v>188</v>
      </c>
      <c r="Y953" t="n">
        <v>140</v>
      </c>
      <c r="Z953" t="n">
        <v>36</v>
      </c>
      <c r="AA953" t="n">
        <v>8</v>
      </c>
      <c r="AB953" t="n">
        <v>4.5</v>
      </c>
      <c r="AC953" t="inlineStr">
        <is>
          <t xml:space="preserve"> Freeski</t>
        </is>
      </c>
      <c r="AG953" t="inlineStr">
        <is>
          <t>Single Skis, Allplay - Rat Rod 178cm - Right Single Ski</t>
        </is>
      </c>
      <c r="AH953" t="inlineStr">
        <is>
          <t>J Skis</t>
        </is>
      </c>
      <c r="AI953" s="333" t="n">
        <v>199</v>
      </c>
      <c r="AJ953" t="inlineStr">
        <is>
          <t>https://tinyurl.com/y73b2auf</t>
        </is>
      </c>
      <c r="AK953" t="inlineStr">
        <is>
          <t>Juventus - Handmade Skis</t>
        </is>
      </c>
      <c r="AL953" t="inlineStr">
        <is>
          <t>Juventus Official Store</t>
        </is>
      </c>
      <c r="AM953" s="333" t="n">
        <v>2118.17</v>
      </c>
      <c r="AN953" t="inlineStr">
        <is>
          <t>https://tinyurl.com/ycb3a68s</t>
        </is>
      </c>
      <c r="AO953" t="inlineStr">
        <is>
          <t>Rossignol Sprayer Skis w/ Xpress 10 GW Bindings</t>
        </is>
      </c>
      <c r="AP953" t="inlineStr">
        <is>
          <t>Rossignol US</t>
        </is>
      </c>
      <c r="AQ953" s="333" t="n">
        <v>399.95</v>
      </c>
      <c r="AR953" t="inlineStr">
        <is>
          <t>https://tinyurl.com/yajvb4s7</t>
        </is>
      </c>
      <c r="AS953" s="314">
        <f>IF(LEFT(C953,1)=" ",RIGHT(C953,LEN(C953)-1),C953)</f>
        <v/>
      </c>
      <c r="AT953" s="281">
        <f>_xlfn.CONCAT(B953,AS953,D953,E953)</f>
        <v/>
      </c>
    </row>
    <row r="954">
      <c r="A954" t="inlineStr">
        <is>
          <t>21/22</t>
        </is>
      </c>
      <c r="B954" t="inlineStr">
        <is>
          <t xml:space="preserve"> Vï¿½lkl</t>
        </is>
      </c>
      <c r="C954" t="inlineStr">
        <is>
          <t xml:space="preserve"> Racetiger SC</t>
        </is>
      </c>
      <c r="D954" t="n">
        <v>170</v>
      </c>
      <c r="E954" t="inlineStr">
        <is>
          <t xml:space="preserve"> Unisex</t>
        </is>
      </c>
      <c r="F954" t="n">
        <v>170</v>
      </c>
      <c r="G954" t="n">
        <v>169.3</v>
      </c>
      <c r="H954" t="n">
        <v>149</v>
      </c>
      <c r="I954" t="n">
        <v>154</v>
      </c>
      <c r="J954" t="n">
        <v>122</v>
      </c>
      <c r="K954" t="n">
        <v>69</v>
      </c>
      <c r="L954" t="n">
        <v>102</v>
      </c>
      <c r="M954" t="n">
        <v>13.9</v>
      </c>
      <c r="N954" t="n">
        <v>1987</v>
      </c>
      <c r="O954" t="n">
        <v>0.73</v>
      </c>
      <c r="P954" t="n">
        <v>1441</v>
      </c>
      <c r="Q954" t="n">
        <v>244</v>
      </c>
      <c r="R954" t="n">
        <v>102</v>
      </c>
      <c r="S954" t="n">
        <v>41</v>
      </c>
      <c r="T954" t="n">
        <v>149</v>
      </c>
      <c r="U954" t="n">
        <v>6</v>
      </c>
      <c r="V954" t="n">
        <v>53</v>
      </c>
      <c r="W954" t="n">
        <v>0.141</v>
      </c>
      <c r="X954" t="n">
        <v>71</v>
      </c>
      <c r="Y954" t="n">
        <v>79</v>
      </c>
      <c r="Z954" t="n">
        <v>78</v>
      </c>
      <c r="AA954" t="n">
        <v>6</v>
      </c>
      <c r="AB954" t="n">
        <v>11.5</v>
      </c>
      <c r="AC954" t="inlineStr">
        <is>
          <t xml:space="preserve"> On-Piste Carving</t>
        </is>
      </c>
      <c r="AG954" t="inlineStr">
        <is>
          <t>VÃ¶lkl Skiing Volkl Racetiger Sc 118041 Attacchivmotion Marker (170)</t>
        </is>
      </c>
      <c r="AH954" t="inlineStr">
        <is>
          <t>eBay - vendiamoperte_italia</t>
        </is>
      </c>
      <c r="AI954" s="333" t="n">
        <v>818.74</v>
      </c>
      <c r="AJ954" t="inlineStr">
        <is>
          <t>https://tinyurl.com/y9z7e7ov</t>
        </is>
      </c>
      <c r="AK954" t="inlineStr">
        <is>
          <t>Volkl Racetiger SC UVO Skis w Marker vMotion 12 GW Demo Bindings  Demo</t>
        </is>
      </c>
      <c r="AL954" t="inlineStr">
        <is>
          <t>Powder7 Ski Shop</t>
        </is>
      </c>
      <c r="AM954" s="333" t="n">
        <v>399.99</v>
      </c>
      <c r="AN954" t="inlineStr">
        <is>
          <t>https://tinyurl.com/ybz828bk</t>
        </is>
      </c>
      <c r="AO954" t="inlineStr">
        <is>
          <t xml:space="preserve"> Racing Racetiger GS Without Bindings Skis</t>
        </is>
      </c>
      <c r="AP954" t="inlineStr">
        <is>
          <t>SidelineSwap</t>
        </is>
      </c>
      <c r="AQ954" s="333" t="n">
        <v>162</v>
      </c>
      <c r="AR954" t="inlineStr">
        <is>
          <t>https://tinyurl.com/ybpvnznb</t>
        </is>
      </c>
      <c r="AS954" s="314">
        <f>IF(LEFT(C954,1)=" ",RIGHT(C954,LEN(C954)-1),C954)</f>
        <v/>
      </c>
      <c r="AT954" s="281">
        <f>_xlfn.CONCAT(B954,AS954,D954,E954)</f>
        <v/>
      </c>
    </row>
    <row r="955">
      <c r="A955" t="inlineStr">
        <is>
          <t>21/22</t>
        </is>
      </c>
      <c r="B955" t="inlineStr">
        <is>
          <t xml:space="preserve"> Atomic</t>
        </is>
      </c>
      <c r="C955" t="inlineStr">
        <is>
          <t>Backland 107 W</t>
        </is>
      </c>
      <c r="D955" t="n">
        <v>159</v>
      </c>
      <c r="E955" t="inlineStr">
        <is>
          <t xml:space="preserve"> Unisex</t>
        </is>
      </c>
      <c r="F955" t="n">
        <v>159</v>
      </c>
      <c r="G955" t="n">
        <v>158.7</v>
      </c>
      <c r="H955" t="n">
        <v>102</v>
      </c>
      <c r="I955" t="n">
        <v>121</v>
      </c>
      <c r="J955" t="n">
        <v>133</v>
      </c>
      <c r="K955" t="n">
        <v>107</v>
      </c>
      <c r="L955" t="n">
        <v>120</v>
      </c>
      <c r="M955" t="n">
        <v>15.4</v>
      </c>
      <c r="N955" t="n">
        <v>1350</v>
      </c>
      <c r="O955" t="n">
        <v>1.34</v>
      </c>
      <c r="P955" t="n">
        <v>1816</v>
      </c>
      <c r="Q955" t="n">
        <v>139</v>
      </c>
      <c r="R955" t="n">
        <v>74</v>
      </c>
      <c r="S955" t="n">
        <v>46</v>
      </c>
      <c r="T955" t="n">
        <v>354</v>
      </c>
      <c r="U955" t="n">
        <v>13</v>
      </c>
      <c r="V955" t="n">
        <v>213</v>
      </c>
      <c r="W955" t="n">
        <v>0.288</v>
      </c>
      <c r="X955" t="n">
        <v>207</v>
      </c>
      <c r="Y955" t="n">
        <v>171</v>
      </c>
      <c r="Z955" t="n">
        <v>147</v>
      </c>
      <c r="AA955" t="n">
        <v>5</v>
      </c>
      <c r="AB955" t="n">
        <v>9.5</v>
      </c>
      <c r="AC955" t="inlineStr">
        <is>
          <t xml:space="preserve"> Big Mountain</t>
        </is>
      </c>
      <c r="AD955" t="inlineStr">
        <is>
          <t xml:space="preserve"> Touring</t>
        </is>
      </c>
      <c r="AE955" t="inlineStr">
        <is>
          <t xml:space="preserve"> Ultralight Touring</t>
        </is>
      </c>
      <c r="AG955" t="inlineStr">
        <is>
          <t>Atomic Backland W 107 Anthra/Ber / 159cm</t>
        </is>
      </c>
      <c r="AH955" t="inlineStr">
        <is>
          <t>Sundance Ski and Board Shop</t>
        </is>
      </c>
      <c r="AI955" s="333" t="n">
        <v>520.9299999999999</v>
      </c>
      <c r="AJ955" t="inlineStr">
        <is>
          <t>https://tinyurl.com/yb9bh39z</t>
        </is>
      </c>
      <c r="AK955" t="inlineStr">
        <is>
          <t>Atomic W Backland 107 Alpine Touring Ski (2022) 159</t>
        </is>
      </c>
      <c r="AL955" t="inlineStr">
        <is>
          <t>Cripple Creek Backcountry</t>
        </is>
      </c>
      <c r="AM955" s="333" t="n">
        <v>599</v>
      </c>
      <c r="AN955" t="inlineStr">
        <is>
          <t>https://tinyurl.com/ydz55ze5</t>
        </is>
      </c>
      <c r="AO955" t="inlineStr">
        <is>
          <t>'22 Atomic Backland 107 W Skis 159cm</t>
        </is>
      </c>
      <c r="AP955" t="inlineStr">
        <is>
          <t>Al's Ski Equipment Barn</t>
        </is>
      </c>
      <c r="AQ955" s="333" t="n">
        <v>649.95</v>
      </c>
      <c r="AR955" t="inlineStr">
        <is>
          <t>https://tinyurl.com/yaf462gp</t>
        </is>
      </c>
      <c r="AS955" s="314">
        <f>IF(LEFT(C955,1)=" ",RIGHT(C955,LEN(C955)-1),C955)</f>
        <v/>
      </c>
      <c r="AT955" s="281">
        <f>_xlfn.CONCAT(B955,AS955,D955,E955)</f>
        <v/>
      </c>
    </row>
    <row r="956">
      <c r="A956" t="inlineStr">
        <is>
          <t>21/22</t>
        </is>
      </c>
      <c r="B956" t="inlineStr">
        <is>
          <t xml:space="preserve"> Head</t>
        </is>
      </c>
      <c r="C956" t="inlineStr">
        <is>
          <t xml:space="preserve"> Worldcup Rebels I.SLR</t>
        </is>
      </c>
      <c r="D956" t="n">
        <v>155</v>
      </c>
      <c r="E956" t="inlineStr">
        <is>
          <t xml:space="preserve"> Unisex</t>
        </is>
      </c>
      <c r="F956" t="n">
        <v>155</v>
      </c>
      <c r="G956" t="n">
        <v>154.3</v>
      </c>
      <c r="H956" t="n">
        <v>135</v>
      </c>
      <c r="I956" t="n">
        <v>140</v>
      </c>
      <c r="J956" t="n">
        <v>120</v>
      </c>
      <c r="K956" t="n">
        <v>65</v>
      </c>
      <c r="L956" t="n">
        <v>105</v>
      </c>
      <c r="M956" t="n">
        <v>10.1</v>
      </c>
      <c r="N956" t="n">
        <v>1796</v>
      </c>
      <c r="O956" t="n">
        <v>0.71</v>
      </c>
      <c r="P956" t="n">
        <v>1273</v>
      </c>
      <c r="Q956" t="n">
        <v>135</v>
      </c>
      <c r="R956" t="n">
        <v>65</v>
      </c>
      <c r="S956" t="n">
        <v>44</v>
      </c>
      <c r="T956" t="n">
        <v>141</v>
      </c>
      <c r="U956" t="n">
        <v>6</v>
      </c>
      <c r="V956" t="n">
        <v>56</v>
      </c>
      <c r="W956" t="n">
        <v>0.125</v>
      </c>
      <c r="X956" t="n">
        <v>78</v>
      </c>
      <c r="Y956" t="n">
        <v>65</v>
      </c>
      <c r="Z956" t="n">
        <v>63</v>
      </c>
      <c r="AA956" t="n">
        <v>10</v>
      </c>
      <c r="AB956" t="n">
        <v>12.4</v>
      </c>
      <c r="AC956" t="inlineStr">
        <is>
          <t xml:space="preserve"> On-Piste Carving</t>
        </is>
      </c>
      <c r="AG956" t="inlineStr">
        <is>
          <t>Head Worldcup Rebels i.SLR Skis w Head PR 11 GW Bindings  Demo</t>
        </is>
      </c>
      <c r="AH956" t="inlineStr">
        <is>
          <t>Powder7 Ski Shop</t>
        </is>
      </c>
      <c r="AI956" s="333" t="n">
        <v>429.99</v>
      </c>
      <c r="AJ956" t="inlineStr">
        <is>
          <t>https://tinyurl.com/y7zaaumd</t>
        </is>
      </c>
      <c r="AK956" t="inlineStr">
        <is>
          <t>Head WC Rebels E-SL SW Race Ski 2021</t>
        </is>
      </c>
      <c r="AL956" t="inlineStr">
        <is>
          <t>eBay - gloliquidation</t>
        </is>
      </c>
      <c r="AM956" s="333" t="n">
        <v>560</v>
      </c>
      <c r="AN956" t="inlineStr">
        <is>
          <t>https://tinyurl.com/yazpea4t</t>
        </is>
      </c>
      <c r="AO956" t="inlineStr">
        <is>
          <t>Head WC Rebels E-SL SW Race Ski 2021</t>
        </is>
      </c>
      <c r="AP956" t="inlineStr">
        <is>
          <t>! OutdoorXL.com</t>
        </is>
      </c>
      <c r="AQ956" s="333" t="n">
        <v>609.95</v>
      </c>
      <c r="AR956" t="inlineStr">
        <is>
          <t>https://tinyurl.com/y9wtvsrz</t>
        </is>
      </c>
      <c r="AS956" s="314">
        <f>IF(LEFT(C956,1)=" ",RIGHT(C956,LEN(C956)-1),C956)</f>
        <v/>
      </c>
      <c r="AT956" s="281">
        <f>_xlfn.CONCAT(B956,AS956,D956,E956)</f>
        <v/>
      </c>
    </row>
    <row r="957">
      <c r="A957" t="inlineStr">
        <is>
          <t>21/22</t>
        </is>
      </c>
      <c r="B957" t="inlineStr">
        <is>
          <t xml:space="preserve"> Black Crows</t>
        </is>
      </c>
      <c r="C957" t="inlineStr">
        <is>
          <t xml:space="preserve"> Orb Freebird</t>
        </is>
      </c>
      <c r="D957" t="n">
        <v>167.2</v>
      </c>
      <c r="E957" t="inlineStr">
        <is>
          <t xml:space="preserve"> Unisex</t>
        </is>
      </c>
      <c r="F957" t="n">
        <v>167.2</v>
      </c>
      <c r="G957" t="n">
        <v>166.1</v>
      </c>
      <c r="H957" t="n">
        <v>127</v>
      </c>
      <c r="I957" t="n">
        <v>146</v>
      </c>
      <c r="J957" t="n">
        <v>124</v>
      </c>
      <c r="K957" t="n">
        <v>88</v>
      </c>
      <c r="L957" t="n">
        <v>110</v>
      </c>
      <c r="M957" t="n">
        <v>17.5</v>
      </c>
      <c r="N957" t="n">
        <v>1306</v>
      </c>
      <c r="O957" t="n">
        <v>1.27</v>
      </c>
      <c r="P957" t="n">
        <v>1656</v>
      </c>
      <c r="Q957" t="n">
        <v>144</v>
      </c>
      <c r="R957" t="n">
        <v>71</v>
      </c>
      <c r="S957" t="n">
        <v>40</v>
      </c>
      <c r="T957" t="n">
        <v>245</v>
      </c>
      <c r="U957" t="n">
        <v>10</v>
      </c>
      <c r="V957" t="n">
        <v>142</v>
      </c>
      <c r="W957" t="n">
        <v>0.251</v>
      </c>
      <c r="X957" t="n">
        <v>96</v>
      </c>
      <c r="Y957" t="n">
        <v>103</v>
      </c>
      <c r="Z957" t="n">
        <v>148</v>
      </c>
      <c r="AA957" t="n">
        <v>7</v>
      </c>
      <c r="AB957" t="n">
        <v>10.3</v>
      </c>
      <c r="AC957" t="inlineStr">
        <is>
          <t xml:space="preserve"> Resort Freeride</t>
        </is>
      </c>
      <c r="AD957" t="inlineStr">
        <is>
          <t xml:space="preserve"> Touring</t>
        </is>
      </c>
      <c r="AE957" t="inlineStr">
        <is>
          <t xml:space="preserve"> Ultralight Touring</t>
        </is>
      </c>
      <c r="AG957" t="inlineStr">
        <is>
          <t>Black Crows Orb Freebird Skis 167cm 2022</t>
        </is>
      </c>
      <c r="AH957" t="inlineStr">
        <is>
          <t>Powder7 Ski Shop</t>
        </is>
      </c>
      <c r="AI957" s="333" t="n">
        <v>583.96</v>
      </c>
      <c r="AJ957" t="inlineStr">
        <is>
          <t>https://tinyurl.com/y7vbyh74</t>
        </is>
      </c>
      <c r="AK957" t="inlineStr">
        <is>
          <t>Black Crows Orb Freebird 21/22</t>
        </is>
      </c>
      <c r="AL957" t="inlineStr">
        <is>
          <t>PRFO Sports</t>
        </is>
      </c>
      <c r="AM957" s="333" t="n">
        <v>615.51</v>
      </c>
      <c r="AN957" t="inlineStr">
        <is>
          <t>https://tinyurl.com/yd5m4hgy</t>
        </is>
      </c>
      <c r="AO957" t="inlineStr">
        <is>
          <t>2022 Black Crows Navis Freebird Skis w/ Marker Kingpin13 Bindings - 167| Ski Essentials</t>
        </is>
      </c>
      <c r="AP957" t="inlineStr">
        <is>
          <t>SkiEssentials.com</t>
        </is>
      </c>
      <c r="AQ957" s="333" t="n">
        <v>1058.96</v>
      </c>
      <c r="AR957" t="inlineStr">
        <is>
          <t>https://tinyurl.com/y78d6x66</t>
        </is>
      </c>
      <c r="AS957" s="314">
        <f>IF(LEFT(C957,1)=" ",RIGHT(C957,LEN(C957)-1),C957)</f>
        <v/>
      </c>
      <c r="AT957" s="281">
        <f>_xlfn.CONCAT(B957,AS957,D957,E957)</f>
        <v/>
      </c>
    </row>
    <row r="958">
      <c r="A958" t="inlineStr">
        <is>
          <t>21/22</t>
        </is>
      </c>
      <c r="B958" t="inlineStr">
        <is>
          <t xml:space="preserve"> Fischer</t>
        </is>
      </c>
      <c r="C958" t="inlineStr">
        <is>
          <t>RC One 78 GT</t>
        </is>
      </c>
      <c r="D958" t="n">
        <v>166</v>
      </c>
      <c r="E958" t="inlineStr">
        <is>
          <t xml:space="preserve"> Unisex</t>
        </is>
      </c>
      <c r="F958" t="n">
        <v>166</v>
      </c>
      <c r="G958" t="n">
        <v>167.4</v>
      </c>
      <c r="H958" t="n">
        <v>132</v>
      </c>
      <c r="I958" t="n">
        <v>151</v>
      </c>
      <c r="J958" t="n">
        <v>123</v>
      </c>
      <c r="K958" t="n">
        <v>78</v>
      </c>
      <c r="L958" t="n">
        <v>109</v>
      </c>
      <c r="M958" t="n">
        <v>13.7</v>
      </c>
      <c r="N958" t="n">
        <v>1950</v>
      </c>
      <c r="O958" t="n">
        <v>0.8</v>
      </c>
      <c r="P958" t="n">
        <v>1556</v>
      </c>
      <c r="Q958" t="n">
        <v>211</v>
      </c>
      <c r="R958" t="n">
        <v>69</v>
      </c>
      <c r="S958" t="n">
        <v>50</v>
      </c>
      <c r="T958" t="n">
        <v>243</v>
      </c>
      <c r="U958" t="n">
        <v>20</v>
      </c>
      <c r="V958" t="n">
        <v>109</v>
      </c>
      <c r="W958" t="n">
        <v>0.408</v>
      </c>
      <c r="X958" t="n">
        <v>68</v>
      </c>
      <c r="Y958" t="n">
        <v>96</v>
      </c>
      <c r="Z958" t="n">
        <v>175</v>
      </c>
      <c r="AA958" t="n">
        <v>9</v>
      </c>
      <c r="AB958" t="n">
        <v>7</v>
      </c>
      <c r="AC958" t="inlineStr">
        <is>
          <t xml:space="preserve"> Other</t>
        </is>
      </c>
      <c r="AG958" t="inlineStr">
        <is>
          <t>Fischer XTR RC One 82 Gt Rentaltrack Skis 2021</t>
        </is>
      </c>
      <c r="AH958" t="inlineStr">
        <is>
          <t>Level Nine Sports</t>
        </is>
      </c>
      <c r="AI958" s="333" t="n">
        <v>469.94</v>
      </c>
      <c r="AJ958" t="inlineStr">
        <is>
          <t>https://tinyurl.com/y99n8jxa</t>
        </is>
      </c>
      <c r="AK958" t="inlineStr">
        <is>
          <t>Fischer RC One 82 GT + RSW 11 21/22</t>
        </is>
      </c>
      <c r="AL958" t="inlineStr">
        <is>
          <t>GritrOutdoors</t>
        </is>
      </c>
      <c r="AM958" s="333" t="n">
        <v>639.99</v>
      </c>
      <c r="AN958" t="inlineStr">
        <is>
          <t>https://tinyurl.com/yatsg2be</t>
        </is>
      </c>
      <c r="AO958" t="inlineStr">
        <is>
          <t>Fischer RC One 82 GT + RSW 11 21/22</t>
        </is>
      </c>
      <c r="AP958" t="inlineStr">
        <is>
          <t>Next Adventure</t>
        </is>
      </c>
      <c r="AQ958" s="333" t="n">
        <v>664.99</v>
      </c>
      <c r="AR958" t="inlineStr">
        <is>
          <t>https://tinyurl.com/y7sz2wnw</t>
        </is>
      </c>
      <c r="AS958" s="314">
        <f>IF(LEFT(C958,1)=" ",RIGHT(C958,LEN(C958)-1),C958)</f>
        <v/>
      </c>
      <c r="AT958" s="281">
        <f>_xlfn.CONCAT(B958,AS958,D958,E958)</f>
        <v/>
      </c>
    </row>
    <row r="959">
      <c r="A959" t="inlineStr">
        <is>
          <t>21/22</t>
        </is>
      </c>
      <c r="B959" t="inlineStr">
        <is>
          <t xml:space="preserve"> Line</t>
        </is>
      </c>
      <c r="C959" t="inlineStr">
        <is>
          <t>Pandora 94</t>
        </is>
      </c>
      <c r="D959" t="n">
        <v>165</v>
      </c>
      <c r="E959" t="inlineStr">
        <is>
          <t xml:space="preserve"> Women's</t>
        </is>
      </c>
      <c r="F959" t="n">
        <v>165</v>
      </c>
      <c r="G959" t="n">
        <v>165</v>
      </c>
      <c r="H959" t="n">
        <v>122</v>
      </c>
      <c r="I959" t="n">
        <v>138</v>
      </c>
      <c r="J959" t="n">
        <v>130</v>
      </c>
      <c r="K959" t="n">
        <v>93</v>
      </c>
      <c r="L959" t="n">
        <v>116</v>
      </c>
      <c r="M959" t="n">
        <v>14.8</v>
      </c>
      <c r="N959" t="n">
        <v>1441</v>
      </c>
      <c r="O959" t="n">
        <v>1.2</v>
      </c>
      <c r="P959" t="n">
        <v>1736</v>
      </c>
      <c r="Q959" t="n">
        <v>129</v>
      </c>
      <c r="R959" t="n">
        <v>65</v>
      </c>
      <c r="S959" t="n">
        <v>47</v>
      </c>
      <c r="T959" t="n">
        <v>306</v>
      </c>
      <c r="U959" t="n">
        <v>15</v>
      </c>
      <c r="V959" t="n">
        <v>128</v>
      </c>
      <c r="W959" t="n">
        <v>0.318</v>
      </c>
      <c r="X959" t="n">
        <v>146</v>
      </c>
      <c r="Y959" t="n">
        <v>125</v>
      </c>
      <c r="Z959" t="n">
        <v>160</v>
      </c>
      <c r="AA959" t="n">
        <v>6</v>
      </c>
      <c r="AB959" t="n">
        <v>9.1</v>
      </c>
      <c r="AC959" t="inlineStr">
        <is>
          <t xml:space="preserve"> Resort Freeride</t>
        </is>
      </c>
      <c r="AD959" t="inlineStr">
        <is>
          <t xml:space="preserve"> Touring</t>
        </is>
      </c>
      <c r="AG959" t="inlineStr">
        <is>
          <t>'22 Line Pandora 94 Skis 165cm</t>
        </is>
      </c>
      <c r="AH959" t="inlineStr">
        <is>
          <t>Al's Ski Equipment Barn</t>
        </is>
      </c>
      <c r="AI959" s="333" t="n">
        <v>469.95</v>
      </c>
      <c r="AJ959" t="inlineStr">
        <is>
          <t>https://tinyurl.com/ycgu5s5e</t>
        </is>
      </c>
      <c r="AK959" t="inlineStr">
        <is>
          <t>Line Pandora 94 Skis - Women's 2022</t>
        </is>
      </c>
      <c r="AL959" t="inlineStr">
        <is>
          <t>evo.com</t>
        </is>
      </c>
      <c r="AM959" s="333" t="n">
        <v>499.95</v>
      </c>
      <c r="AN959" t="inlineStr">
        <is>
          <t>https://tinyurl.com/y9vy2d8e</t>
        </is>
      </c>
      <c r="AO959" t="inlineStr">
        <is>
          <t>Line Pandora 94 Skis - Women's 2022</t>
        </is>
      </c>
      <c r="AP959" t="inlineStr">
        <is>
          <t>Powder7 Ski Shop</t>
        </is>
      </c>
      <c r="AQ959" s="333" t="n">
        <v>499.95</v>
      </c>
      <c r="AR959" t="inlineStr">
        <is>
          <t>https://tinyurl.com/y9nae2tn</t>
        </is>
      </c>
      <c r="AS959" s="314">
        <f>IF(LEFT(C959,1)=" ",RIGHT(C959,LEN(C959)-1),C959)</f>
        <v/>
      </c>
      <c r="AT959" s="281">
        <f>_xlfn.CONCAT(B959,AS959,D959,E959)</f>
        <v/>
      </c>
    </row>
    <row r="960">
      <c r="A960" t="inlineStr">
        <is>
          <t>21/22</t>
        </is>
      </c>
      <c r="B960" t="inlineStr">
        <is>
          <t xml:space="preserve"> Armada</t>
        </is>
      </c>
      <c r="C960" t="inlineStr">
        <is>
          <t xml:space="preserve"> Bdog</t>
        </is>
      </c>
      <c r="D960" t="n">
        <v>164</v>
      </c>
      <c r="E960" t="inlineStr">
        <is>
          <t xml:space="preserve"> Unisex</t>
        </is>
      </c>
      <c r="F960" t="n">
        <v>164</v>
      </c>
      <c r="G960" t="n">
        <v>162.7</v>
      </c>
      <c r="H960" t="n">
        <v>111</v>
      </c>
      <c r="I960" t="n">
        <v>133</v>
      </c>
      <c r="J960" t="n">
        <v>121</v>
      </c>
      <c r="K960" t="n">
        <v>93</v>
      </c>
      <c r="L960" t="n">
        <v>116</v>
      </c>
      <c r="M960" t="n">
        <v>14.9</v>
      </c>
      <c r="N960" t="n">
        <v>1792</v>
      </c>
      <c r="O960" t="n">
        <v>0.9399999999999999</v>
      </c>
      <c r="P960" t="n">
        <v>1693</v>
      </c>
      <c r="Q960" t="n">
        <v>152</v>
      </c>
      <c r="R960" t="n">
        <v>59</v>
      </c>
      <c r="S960" t="n">
        <v>43</v>
      </c>
      <c r="T960" t="n">
        <v>262</v>
      </c>
      <c r="U960" t="n">
        <v>39</v>
      </c>
      <c r="V960" t="n">
        <v>250</v>
      </c>
      <c r="W960" t="n">
        <v>0.895</v>
      </c>
      <c r="X960" t="n">
        <v>165</v>
      </c>
      <c r="Y960" t="n">
        <v>131</v>
      </c>
      <c r="Z960" t="n">
        <v>98</v>
      </c>
      <c r="AA960" t="n">
        <v>7</v>
      </c>
      <c r="AB960" t="n">
        <v>0.2</v>
      </c>
      <c r="AC960" t="inlineStr">
        <is>
          <t xml:space="preserve"> Freeski</t>
        </is>
      </c>
      <c r="AG960" t="inlineStr">
        <is>
          <t>Armada Bdog Edgeless 94mm 164 2022 Skis Men, Freestyle Ski, Freeski</t>
        </is>
      </c>
      <c r="AH960" t="inlineStr">
        <is>
          <t>Blue Tomato</t>
        </is>
      </c>
      <c r="AI960" s="333" t="n">
        <v>405.53</v>
      </c>
      <c r="AJ960" t="inlineStr">
        <is>
          <t>https://tinyurl.com/y9q3ckcs</t>
        </is>
      </c>
      <c r="AK960" t="inlineStr">
        <is>
          <t>Armada Bdog Skis 2022</t>
        </is>
      </c>
      <c r="AL960" t="inlineStr">
        <is>
          <t>BobsSportsChalet.com</t>
        </is>
      </c>
      <c r="AM960" s="333" t="n">
        <v>549.95</v>
      </c>
      <c r="AN960" t="inlineStr">
        <is>
          <t>https://tinyurl.com/yauragxh</t>
        </is>
      </c>
      <c r="AO960" t="inlineStr">
        <is>
          <t>Armada Bdog Skis 2022</t>
        </is>
      </c>
      <c r="AP960" t="inlineStr">
        <is>
          <t>Gear West Ski &amp; Bike</t>
        </is>
      </c>
      <c r="AQ960" s="333" t="n">
        <v>549.95</v>
      </c>
      <c r="AR960" t="inlineStr">
        <is>
          <t>https://tinyurl.com/ycortjzd</t>
        </is>
      </c>
      <c r="AS960" s="314">
        <f>IF(LEFT(C960,1)=" ",RIGHT(C960,LEN(C960)-1),C960)</f>
        <v/>
      </c>
      <c r="AT960" s="281">
        <f>_xlfn.CONCAT(B960,AS960,D960,E960)</f>
        <v/>
      </c>
    </row>
    <row r="961">
      <c r="A961" t="inlineStr">
        <is>
          <t>21/22</t>
        </is>
      </c>
      <c r="B961" t="inlineStr">
        <is>
          <t xml:space="preserve"> Line</t>
        </is>
      </c>
      <c r="C961" t="inlineStr">
        <is>
          <t>Pandora 84</t>
        </is>
      </c>
      <c r="D961" t="n">
        <v>158</v>
      </c>
      <c r="E961" t="inlineStr">
        <is>
          <t xml:space="preserve"> Women's</t>
        </is>
      </c>
      <c r="F961" t="n">
        <v>158</v>
      </c>
      <c r="G961" t="n">
        <v>157.6</v>
      </c>
      <c r="H961" t="n">
        <v>128</v>
      </c>
      <c r="I961" t="n">
        <v>135</v>
      </c>
      <c r="J961" t="n">
        <v>121</v>
      </c>
      <c r="K961" t="n">
        <v>83</v>
      </c>
      <c r="L961" t="n">
        <v>109</v>
      </c>
      <c r="M961" t="n">
        <v>13.4</v>
      </c>
      <c r="N961" t="n">
        <v>1343</v>
      </c>
      <c r="O961" t="n">
        <v>1.12</v>
      </c>
      <c r="P961" t="n">
        <v>1509</v>
      </c>
      <c r="Q961" t="n">
        <v>116</v>
      </c>
      <c r="R961" t="n">
        <v>69</v>
      </c>
      <c r="S961" t="n">
        <v>44</v>
      </c>
      <c r="T961" t="n">
        <v>187</v>
      </c>
      <c r="U961" t="n">
        <v>16</v>
      </c>
      <c r="V961" t="n">
        <v>112</v>
      </c>
      <c r="W961" t="n">
        <v>0.358</v>
      </c>
      <c r="X961" t="n">
        <v>132</v>
      </c>
      <c r="Y961" t="n">
        <v>96</v>
      </c>
      <c r="Z961" t="n">
        <v>55</v>
      </c>
      <c r="AA961" t="n">
        <v>6</v>
      </c>
      <c r="AB961" t="n">
        <v>9.300000000000001</v>
      </c>
      <c r="AC961" t="inlineStr">
        <is>
          <t xml:space="preserve"> On-Piste All-Mountain</t>
        </is>
      </c>
      <c r="AD961" t="inlineStr">
        <is>
          <t xml:space="preserve"> Resort Freeride</t>
        </is>
      </c>
      <c r="AE961" t="inlineStr">
        <is>
          <t xml:space="preserve"> Touring</t>
        </is>
      </c>
      <c r="AG961" t="inlineStr">
        <is>
          <t>Line Pandora 84 Skis - Women's 2022</t>
        </is>
      </c>
      <c r="AH961" t="inlineStr">
        <is>
          <t>The-House.com</t>
        </is>
      </c>
      <c r="AI961" s="333" t="n">
        <v>319.95</v>
      </c>
      <c r="AJ961" t="inlineStr">
        <is>
          <t>https://tinyurl.com/y7lgwnqh</t>
        </is>
      </c>
      <c r="AK961" t="inlineStr">
        <is>
          <t>Line Pandora 84 Skis - Women's 2022</t>
        </is>
      </c>
      <c r="AL961" t="inlineStr">
        <is>
          <t>Stowesports.com</t>
        </is>
      </c>
      <c r="AM961" s="333" t="n">
        <v>319.95</v>
      </c>
      <c r="AN961" t="inlineStr">
        <is>
          <t>https://tinyurl.com/y8xh3hu3</t>
        </is>
      </c>
      <c r="AO961" t="inlineStr">
        <is>
          <t>'22 Line Pandora 84 Skis 158cm</t>
        </is>
      </c>
      <c r="AP961" t="inlineStr">
        <is>
          <t>Al's Ski Equipment Barn</t>
        </is>
      </c>
      <c r="AQ961" s="333" t="n">
        <v>399.95</v>
      </c>
      <c r="AR961" t="inlineStr">
        <is>
          <t>https://tinyurl.com/y9z3euqa</t>
        </is>
      </c>
      <c r="AS961" s="314">
        <f>IF(LEFT(C961,1)=" ",RIGHT(C961,LEN(C961)-1),C961)</f>
        <v/>
      </c>
      <c r="AT961" s="281">
        <f>_xlfn.CONCAT(B961,AS961,D961,E961)</f>
        <v/>
      </c>
    </row>
    <row r="962">
      <c r="A962" t="inlineStr">
        <is>
          <t>21/22</t>
        </is>
      </c>
      <c r="B962" t="inlineStr">
        <is>
          <t xml:space="preserve"> Atomic</t>
        </is>
      </c>
      <c r="C962" t="inlineStr">
        <is>
          <t>Bent Chetler 100</t>
        </is>
      </c>
      <c r="D962" t="n">
        <v>188</v>
      </c>
      <c r="E962" t="inlineStr">
        <is>
          <t xml:space="preserve"> Unisex</t>
        </is>
      </c>
      <c r="F962" t="n">
        <v>188</v>
      </c>
      <c r="G962" t="n">
        <v>187.2</v>
      </c>
      <c r="H962" t="n">
        <v>144</v>
      </c>
      <c r="I962" t="n">
        <v>155</v>
      </c>
      <c r="J962" t="n">
        <v>130</v>
      </c>
      <c r="K962" t="n">
        <v>99</v>
      </c>
      <c r="L962" t="n">
        <v>120</v>
      </c>
      <c r="M962" t="n">
        <v>21</v>
      </c>
      <c r="N962" t="n">
        <v>1877</v>
      </c>
      <c r="O962" t="n">
        <v>1.07</v>
      </c>
      <c r="P962" t="n">
        <v>2007</v>
      </c>
      <c r="Q962" t="n">
        <v>234</v>
      </c>
      <c r="R962" t="n">
        <v>135</v>
      </c>
      <c r="S962" t="n">
        <v>41</v>
      </c>
      <c r="T962" t="n">
        <v>270</v>
      </c>
      <c r="U962" t="n">
        <v>27</v>
      </c>
      <c r="V962" t="n">
        <v>165</v>
      </c>
      <c r="W962" t="n">
        <v>0.665</v>
      </c>
      <c r="X962" t="n">
        <v>176</v>
      </c>
      <c r="Y962" t="n">
        <v>149</v>
      </c>
      <c r="Z962" t="n">
        <v>94</v>
      </c>
      <c r="AA962" t="n">
        <v>11</v>
      </c>
      <c r="AB962" t="n">
        <v>8.1</v>
      </c>
      <c r="AC962" t="inlineStr">
        <is>
          <t xml:space="preserve"> Resort Freeride</t>
        </is>
      </c>
      <c r="AD962" t="inlineStr">
        <is>
          <t xml:space="preserve"> Touring</t>
        </is>
      </c>
      <c r="AG962" t="inlineStr">
        <is>
          <t>Atomic Bent Chetler 100</t>
        </is>
      </c>
      <c r="AH962" t="inlineStr">
        <is>
          <t>sunandski.com</t>
        </is>
      </c>
      <c r="AI962" s="333" t="n">
        <v>479.93</v>
      </c>
      <c r="AJ962" t="inlineStr">
        <is>
          <t>https://tinyurl.com/y8nxr6sz</t>
        </is>
      </c>
      <c r="AK962" t="inlineStr">
        <is>
          <t>Atomic Bent Chetler 100</t>
        </is>
      </c>
      <c r="AL962" t="inlineStr">
        <is>
          <t>SkiEssentials.com</t>
        </is>
      </c>
      <c r="AM962" s="333" t="n">
        <v>479.99</v>
      </c>
      <c r="AN962" t="inlineStr">
        <is>
          <t>https://tinyurl.com/ybetwzrb</t>
        </is>
      </c>
      <c r="AO962" t="inlineStr">
        <is>
          <t>Atomic Bent Chetler 100</t>
        </is>
      </c>
      <c r="AP962" t="inlineStr">
        <is>
          <t>evo.com</t>
        </is>
      </c>
      <c r="AQ962" s="333" t="n">
        <v>479.99</v>
      </c>
      <c r="AR962" t="inlineStr">
        <is>
          <t>https://tinyurl.com/ydxbklsh</t>
        </is>
      </c>
      <c r="AS962" s="314">
        <f>IF(LEFT(C962,1)=" ",RIGHT(C962,LEN(C962)-1),C962)</f>
        <v/>
      </c>
      <c r="AT962" s="281">
        <f>_xlfn.CONCAT(B962,AS962,D962,E962)</f>
        <v/>
      </c>
    </row>
    <row r="963">
      <c r="A963" t="inlineStr">
        <is>
          <t>21/22</t>
        </is>
      </c>
      <c r="B963" t="inlineStr">
        <is>
          <t xml:space="preserve"> Head</t>
        </is>
      </c>
      <c r="C963" t="inlineStr">
        <is>
          <t>Kore 80 X</t>
        </is>
      </c>
      <c r="D963" t="n">
        <v>156</v>
      </c>
      <c r="E963" t="inlineStr">
        <is>
          <t xml:space="preserve"> Unisex</t>
        </is>
      </c>
      <c r="F963" t="n">
        <v>156</v>
      </c>
      <c r="G963" t="n">
        <v>155.1</v>
      </c>
      <c r="H963" t="n">
        <v>127</v>
      </c>
      <c r="I963" t="n">
        <v>131</v>
      </c>
      <c r="J963" t="n">
        <v>122</v>
      </c>
      <c r="K963" t="n">
        <v>77</v>
      </c>
      <c r="L963" t="n">
        <v>102</v>
      </c>
      <c r="M963" t="n">
        <v>10.9</v>
      </c>
      <c r="N963" t="n">
        <v>1671</v>
      </c>
      <c r="O963" t="n">
        <v>0.86</v>
      </c>
      <c r="P963" t="n">
        <v>1429</v>
      </c>
      <c r="Q963" t="n">
        <v>124</v>
      </c>
      <c r="R963" t="n">
        <v>65</v>
      </c>
      <c r="S963" t="n">
        <v>41</v>
      </c>
      <c r="T963" t="n">
        <v>200</v>
      </c>
      <c r="U963" t="n">
        <v>7</v>
      </c>
      <c r="V963" t="n">
        <v>84</v>
      </c>
      <c r="W963" t="n">
        <v>0.171</v>
      </c>
      <c r="X963" t="n">
        <v>126</v>
      </c>
      <c r="Y963" t="n">
        <v>114</v>
      </c>
      <c r="Z963" t="n">
        <v>73</v>
      </c>
      <c r="AA963" t="n">
        <v>12</v>
      </c>
      <c r="AB963" t="n">
        <v>9.300000000000001</v>
      </c>
      <c r="AC963" t="inlineStr">
        <is>
          <t xml:space="preserve"> On-Piste Carving</t>
        </is>
      </c>
      <c r="AD963" t="inlineStr">
        <is>
          <t xml:space="preserve"> On-Piste All-Mountain</t>
        </is>
      </c>
      <c r="AG963" t="inlineStr">
        <is>
          <t>Head Kore 80 X LYT-PR + PRW 11 GW 156cm</t>
        </is>
      </c>
      <c r="AH963" t="inlineStr">
        <is>
          <t>Sundance Ski and Board Shop</t>
        </is>
      </c>
      <c r="AI963" s="333" t="n">
        <v>416.75</v>
      </c>
      <c r="AJ963" t="inlineStr">
        <is>
          <t>https://tinyurl.com/yaaxokug</t>
        </is>
      </c>
      <c r="AK963" t="inlineStr">
        <is>
          <t>Head Kore 80 x LYT w/ PR 11 GW 2021/2022</t>
        </is>
      </c>
      <c r="AL963" t="inlineStr">
        <is>
          <t>GritrOutdoors</t>
        </is>
      </c>
      <c r="AM963" s="333" t="n">
        <v>549</v>
      </c>
      <c r="AN963" t="inlineStr">
        <is>
          <t>https://tinyurl.com/y7zzo4y6</t>
        </is>
      </c>
      <c r="AO963" t="inlineStr">
        <is>
          <t>Head Kore 80 x LYT w/ PR 11 GW 2021/2022</t>
        </is>
      </c>
      <c r="AP963" t="inlineStr">
        <is>
          <t>eBay - webyshops</t>
        </is>
      </c>
      <c r="AQ963" s="333" t="n">
        <v>549</v>
      </c>
      <c r="AR963" t="inlineStr">
        <is>
          <t>https://tinyurl.com/yc66ywrq</t>
        </is>
      </c>
      <c r="AS963" s="314">
        <f>IF(LEFT(C963,1)=" ",RIGHT(C963,LEN(C963)-1),C963)</f>
        <v/>
      </c>
      <c r="AT963" s="281">
        <f>_xlfn.CONCAT(B963,AS963,D963,E963)</f>
        <v/>
      </c>
    </row>
    <row r="964">
      <c r="A964" t="inlineStr">
        <is>
          <t>21/22</t>
        </is>
      </c>
      <c r="B964" t="inlineStr">
        <is>
          <t xml:space="preserve"> Black Crows</t>
        </is>
      </c>
      <c r="C964" t="inlineStr">
        <is>
          <t xml:space="preserve"> Corvus Freebird</t>
        </is>
      </c>
      <c r="D964" t="n">
        <v>188.2</v>
      </c>
      <c r="E964" t="inlineStr">
        <is>
          <t xml:space="preserve"> Unisex</t>
        </is>
      </c>
      <c r="F964" t="n">
        <v>188.2</v>
      </c>
      <c r="G964" t="n">
        <v>187.1</v>
      </c>
      <c r="H964" t="n">
        <v>153</v>
      </c>
      <c r="I964" t="n">
        <v>151</v>
      </c>
      <c r="J964" t="n">
        <v>142</v>
      </c>
      <c r="K964" t="n">
        <v>105</v>
      </c>
      <c r="L964" t="n">
        <v>119</v>
      </c>
      <c r="M964" t="n">
        <v>21.2</v>
      </c>
      <c r="N964" t="n">
        <v>1929</v>
      </c>
      <c r="O964" t="n">
        <v>1.13</v>
      </c>
      <c r="P964" t="n">
        <v>2173</v>
      </c>
      <c r="Q964" t="n">
        <v>228</v>
      </c>
      <c r="R964" t="n">
        <v>126</v>
      </c>
      <c r="S964" t="n">
        <v>44</v>
      </c>
      <c r="T964" t="n">
        <v>279</v>
      </c>
      <c r="U964" t="n">
        <v>2</v>
      </c>
      <c r="V964" t="n">
        <v>66</v>
      </c>
      <c r="W964" t="n">
        <v>0.055</v>
      </c>
      <c r="X964" t="n">
        <v>205</v>
      </c>
      <c r="Y964" t="n">
        <v>156</v>
      </c>
      <c r="Z964" t="n">
        <v>74</v>
      </c>
      <c r="AA964" t="n">
        <v>9</v>
      </c>
      <c r="AB964" t="n">
        <v>10.6</v>
      </c>
      <c r="AC964" t="inlineStr">
        <is>
          <t xml:space="preserve"> Big Mountain</t>
        </is>
      </c>
      <c r="AD964" t="inlineStr">
        <is>
          <t xml:space="preserve"> Touring</t>
        </is>
      </c>
      <c r="AG964" t="inlineStr">
        <is>
          <t>2022 Black Crows Corvus Freebird Skis w/ Marker Kingpin 13 Bindings - 188| Ski Essentials</t>
        </is>
      </c>
      <c r="AH964" t="inlineStr">
        <is>
          <t>SkiEssentials.com</t>
        </is>
      </c>
      <c r="AI964" s="333" t="n">
        <v>1114.96</v>
      </c>
      <c r="AJ964" t="inlineStr">
        <is>
          <t>https://tinyurl.com/y94o8xr6</t>
        </is>
      </c>
      <c r="AK964" t="inlineStr">
        <is>
          <t>Black Crows Corvus Freebird Skis (2022) 188</t>
        </is>
      </c>
      <c r="AL964" t="inlineStr">
        <is>
          <t>Cripple Creek Backcountry</t>
        </is>
      </c>
      <c r="AM964" s="333" t="n">
        <v>719.95</v>
      </c>
      <c r="AN964" t="inlineStr">
        <is>
          <t>https://tinyurl.com/ybvawq2u</t>
        </is>
      </c>
      <c r="AO964" t="inlineStr">
        <is>
          <t>Black Crows Corvus Freebird Skis 188cm 2021</t>
        </is>
      </c>
      <c r="AP964" t="inlineStr">
        <is>
          <t>Powder7 Ski Shop</t>
        </is>
      </c>
      <c r="AQ964" s="333" t="n">
        <v>720.9299999999999</v>
      </c>
      <c r="AR964" t="inlineStr">
        <is>
          <t>https://tinyurl.com/ycab3k6g</t>
        </is>
      </c>
      <c r="AS964" s="314">
        <f>IF(LEFT(C964,1)=" ",RIGHT(C964,LEN(C964)-1),C964)</f>
        <v/>
      </c>
      <c r="AT964" s="281">
        <f>_xlfn.CONCAT(B964,AS964,D964,E964)</f>
        <v/>
      </c>
    </row>
    <row r="965">
      <c r="A965" t="inlineStr">
        <is>
          <t>21/22</t>
        </is>
      </c>
      <c r="B965" t="inlineStr">
        <is>
          <t xml:space="preserve"> Elan</t>
        </is>
      </c>
      <c r="C965" t="inlineStr">
        <is>
          <t>Ripstick 88 W</t>
        </is>
      </c>
      <c r="D965" t="n">
        <v>170</v>
      </c>
      <c r="E965" t="inlineStr">
        <is>
          <t xml:space="preserve"> Women's</t>
        </is>
      </c>
      <c r="F965" t="n">
        <v>170</v>
      </c>
      <c r="G965" t="n">
        <v>170.5</v>
      </c>
      <c r="H965" t="n">
        <v>128</v>
      </c>
      <c r="I965" t="n">
        <v>138</v>
      </c>
      <c r="J965" t="n">
        <v>129</v>
      </c>
      <c r="K965" t="n">
        <v>88</v>
      </c>
      <c r="L965" t="n">
        <v>105</v>
      </c>
      <c r="M965" t="n">
        <v>15.4</v>
      </c>
      <c r="N965" t="n">
        <v>1501</v>
      </c>
      <c r="O965" t="n">
        <v>1.14</v>
      </c>
      <c r="P965" t="n">
        <v>1718</v>
      </c>
      <c r="Q965" t="n">
        <v>157</v>
      </c>
      <c r="R965" t="n">
        <v>60</v>
      </c>
      <c r="S965" t="n">
        <v>49</v>
      </c>
      <c r="T965" t="n">
        <v>231</v>
      </c>
      <c r="U965" t="n">
        <v>16</v>
      </c>
      <c r="V965" t="n">
        <v>198</v>
      </c>
      <c r="W965" t="n">
        <v>0.337999999999999</v>
      </c>
      <c r="X965" t="n">
        <v>157</v>
      </c>
      <c r="Y965" t="n">
        <v>168</v>
      </c>
      <c r="Z965" t="n">
        <v>74</v>
      </c>
      <c r="AA965" t="n">
        <v>4</v>
      </c>
      <c r="AB965" t="n">
        <v>8.699999999999999</v>
      </c>
      <c r="AC965" t="inlineStr">
        <is>
          <t xml:space="preserve"> Resort Freeride</t>
        </is>
      </c>
      <c r="AD965" t="inlineStr">
        <is>
          <t xml:space="preserve"> Touring</t>
        </is>
      </c>
      <c r="AG965" t="inlineStr">
        <is>
          <t>2023 Elan Ripstick Tour 88 Skis w/ ATK C-Raider 12 Bindings - 170| Ski Essentials</t>
        </is>
      </c>
      <c r="AH965" t="inlineStr">
        <is>
          <t>SkiEssentials.com</t>
        </is>
      </c>
      <c r="AI965" s="333" t="n">
        <v>1394.95</v>
      </c>
      <c r="AJ965" t="inlineStr">
        <is>
          <t>https://tinyurl.com/y6wpu7bv</t>
        </is>
      </c>
      <c r="AK965" t="inlineStr">
        <is>
          <t>2021 Elan All Mountain Ripstick 88 Skis with Bindings Max DIN 11</t>
        </is>
      </c>
      <c r="AL965" t="inlineStr">
        <is>
          <t>SidelineSwap</t>
        </is>
      </c>
      <c r="AM965" s="333" t="n">
        <v>472</v>
      </c>
      <c r="AN965" t="inlineStr">
        <is>
          <t>https://tinyurl.com/y8so558x</t>
        </is>
      </c>
      <c r="AO965" t="inlineStr">
        <is>
          <t>Elan Ripstick 102 W Women's Skis 2022</t>
        </is>
      </c>
      <c r="AP965" t="inlineStr">
        <is>
          <t>PRFO Sports</t>
        </is>
      </c>
      <c r="AQ965" s="333" t="n">
        <v>601.08</v>
      </c>
      <c r="AR965" t="inlineStr">
        <is>
          <t>https://tinyurl.com/y8vv8hql</t>
        </is>
      </c>
      <c r="AS965" s="314">
        <f>IF(LEFT(C965,1)=" ",RIGHT(C965,LEN(C965)-1),C965)</f>
        <v/>
      </c>
      <c r="AT965" s="281">
        <f>_xlfn.CONCAT(B965,AS965,D965,E965)</f>
        <v/>
      </c>
    </row>
    <row r="966">
      <c r="A966" t="inlineStr">
        <is>
          <t>21/22</t>
        </is>
      </c>
      <c r="B966" t="inlineStr">
        <is>
          <t xml:space="preserve"> Line</t>
        </is>
      </c>
      <c r="C966" t="inlineStr">
        <is>
          <t>Pandora 84</t>
        </is>
      </c>
      <c r="D966" t="n">
        <v>165</v>
      </c>
      <c r="E966" t="inlineStr">
        <is>
          <t xml:space="preserve"> Women's</t>
        </is>
      </c>
      <c r="F966" t="n">
        <v>165</v>
      </c>
      <c r="G966" t="n">
        <v>164.6</v>
      </c>
      <c r="H966" t="n">
        <v>130</v>
      </c>
      <c r="I966" t="n">
        <v>139</v>
      </c>
      <c r="J966" t="n">
        <v>121</v>
      </c>
      <c r="K966" t="n">
        <v>83</v>
      </c>
      <c r="L966" t="n">
        <v>109</v>
      </c>
      <c r="M966" t="n">
        <v>14.8</v>
      </c>
      <c r="N966" t="n">
        <v>1404</v>
      </c>
      <c r="O966" t="n">
        <v>1.12</v>
      </c>
      <c r="P966" t="n">
        <v>1574</v>
      </c>
      <c r="Q966" t="n">
        <v>143</v>
      </c>
      <c r="R966" t="n">
        <v>65</v>
      </c>
      <c r="S966" t="n">
        <v>45</v>
      </c>
      <c r="T966" t="n">
        <v>210</v>
      </c>
      <c r="U966" t="n">
        <v>19</v>
      </c>
      <c r="V966" t="n">
        <v>140</v>
      </c>
      <c r="W966" t="n">
        <v>0.423</v>
      </c>
      <c r="X966" t="n">
        <v>146</v>
      </c>
      <c r="Y966" t="n">
        <v>108</v>
      </c>
      <c r="Z966" t="n">
        <v>64</v>
      </c>
      <c r="AA966" t="n">
        <v>7</v>
      </c>
      <c r="AB966" t="n">
        <v>9.1</v>
      </c>
      <c r="AC966" t="inlineStr">
        <is>
          <t xml:space="preserve"> On-Piste All-Mountain</t>
        </is>
      </c>
      <c r="AD966" t="inlineStr">
        <is>
          <t xml:space="preserve"> Resort Freeride</t>
        </is>
      </c>
      <c r="AE966" t="inlineStr">
        <is>
          <t xml:space="preserve"> Touring</t>
        </is>
      </c>
      <c r="AG966" t="inlineStr">
        <is>
          <t>Line Pandora 84 Skis - Women's 2022</t>
        </is>
      </c>
      <c r="AH966" t="inlineStr">
        <is>
          <t>The-House.com</t>
        </is>
      </c>
      <c r="AI966" s="333" t="n">
        <v>319.95</v>
      </c>
      <c r="AJ966" t="inlineStr">
        <is>
          <t>https://tinyurl.com/yb7lc9e4</t>
        </is>
      </c>
      <c r="AK966" t="inlineStr">
        <is>
          <t>Line Pandora 84 Skis - Women's 2022</t>
        </is>
      </c>
      <c r="AL966" t="inlineStr">
        <is>
          <t>BlueZone Sports</t>
        </is>
      </c>
      <c r="AM966" s="333" t="n">
        <v>319.96</v>
      </c>
      <c r="AN966" t="inlineStr">
        <is>
          <t>https://tinyurl.com/y6v5shj4</t>
        </is>
      </c>
      <c r="AO966" t="inlineStr">
        <is>
          <t>Line Pandora 84 Skis - Women's 2022</t>
        </is>
      </c>
      <c r="AP966" t="inlineStr">
        <is>
          <t>AlpineShopVT.com</t>
        </is>
      </c>
      <c r="AQ966" s="333" t="n">
        <v>399.95</v>
      </c>
      <c r="AR966" t="inlineStr">
        <is>
          <t>https://tinyurl.com/y8d6arxe</t>
        </is>
      </c>
      <c r="AS966" s="314">
        <f>IF(LEFT(C966,1)=" ",RIGHT(C966,LEN(C966)-1),C966)</f>
        <v/>
      </c>
      <c r="AT966" s="281">
        <f>_xlfn.CONCAT(B966,AS966,D966,E966)</f>
        <v/>
      </c>
    </row>
    <row r="967">
      <c r="A967" t="inlineStr">
        <is>
          <t>21/22</t>
        </is>
      </c>
      <c r="B967" t="inlineStr">
        <is>
          <t xml:space="preserve"> Vï¿½lkl</t>
        </is>
      </c>
      <c r="C967" t="inlineStr">
        <is>
          <t>Kanjo 84</t>
        </is>
      </c>
      <c r="D967" t="n">
        <v>161</v>
      </c>
      <c r="E967" t="inlineStr">
        <is>
          <t xml:space="preserve"> Unisex</t>
        </is>
      </c>
      <c r="F967" t="n">
        <v>161</v>
      </c>
      <c r="G967" t="n">
        <v>161.2</v>
      </c>
      <c r="H967" t="n">
        <v>115</v>
      </c>
      <c r="I967" t="n">
        <v>137</v>
      </c>
      <c r="J967" t="n">
        <v>124</v>
      </c>
      <c r="K967" t="n">
        <v>83</v>
      </c>
      <c r="L967" t="n">
        <v>106</v>
      </c>
      <c r="M967" t="n">
        <v>14.2</v>
      </c>
      <c r="N967" t="n">
        <v>1402</v>
      </c>
      <c r="O967" t="n">
        <v>1.11</v>
      </c>
      <c r="P967" t="n">
        <v>1549</v>
      </c>
      <c r="Q967" t="n">
        <v>176</v>
      </c>
      <c r="R967" t="n">
        <v>70</v>
      </c>
      <c r="S967" t="n">
        <v>38</v>
      </c>
      <c r="T967" t="n">
        <v>279</v>
      </c>
      <c r="U967" t="n">
        <v>13</v>
      </c>
      <c r="V967" t="n">
        <v>185</v>
      </c>
      <c r="W967" t="n">
        <v>0.349</v>
      </c>
      <c r="X967" t="n">
        <v>132</v>
      </c>
      <c r="Y967" t="n">
        <v>108</v>
      </c>
      <c r="Z967" t="n">
        <v>147</v>
      </c>
      <c r="AA967" t="n">
        <v>3</v>
      </c>
      <c r="AB967" t="n">
        <v>11.8</v>
      </c>
      <c r="AC967" t="inlineStr">
        <is>
          <t xml:space="preserve"> On-Piste All-Mountain</t>
        </is>
      </c>
      <c r="AD967" t="inlineStr">
        <is>
          <t xml:space="preserve"> Resort Freeride</t>
        </is>
      </c>
      <c r="AE967" t="inlineStr">
        <is>
          <t xml:space="preserve"> Touring</t>
        </is>
      </c>
      <c r="AG967" t="inlineStr">
        <is>
          <t>Volkl Kanjo 84 Skis - Men's 2022</t>
        </is>
      </c>
      <c r="AH967" t="inlineStr">
        <is>
          <t>BobsSportsChalet.com</t>
        </is>
      </c>
      <c r="AI967" s="333" t="n">
        <v>599.99</v>
      </c>
      <c r="AJ967" t="inlineStr">
        <is>
          <t>https://tinyurl.com/y775vd5a</t>
        </is>
      </c>
      <c r="AK967" t="inlineStr">
        <is>
          <t>KANJO 84 FLAT '22</t>
        </is>
      </c>
      <c r="AL967" t="inlineStr">
        <is>
          <t>Vertical Drop</t>
        </is>
      </c>
      <c r="AM967" s="333" t="n">
        <v>599.99</v>
      </c>
      <c r="AN967" t="inlineStr">
        <is>
          <t>https://tinyurl.com/yaxpn5ey</t>
        </is>
      </c>
      <c r="AO967" t="inlineStr">
        <is>
          <t xml:space="preserve"> Volkl Kanjo 161 Cm Downhill Ski / Mens Combo</t>
        </is>
      </c>
      <c r="AP967" t="inlineStr">
        <is>
          <t>Play It Again Sports</t>
        </is>
      </c>
      <c r="AQ967" s="333" t="n">
        <v>349.99</v>
      </c>
      <c r="AR967" t="inlineStr">
        <is>
          <t>https://tinyurl.com/ycacsvvz</t>
        </is>
      </c>
      <c r="AS967" s="314">
        <f>IF(LEFT(C967,1)=" ",RIGHT(C967,LEN(C967)-1),C967)</f>
        <v/>
      </c>
      <c r="AT967" s="281">
        <f>_xlfn.CONCAT(B967,AS967,D967,E967)</f>
        <v/>
      </c>
    </row>
    <row r="968">
      <c r="A968" t="inlineStr">
        <is>
          <t>21/22</t>
        </is>
      </c>
      <c r="B968" t="inlineStr">
        <is>
          <t xml:space="preserve"> Atomic</t>
        </is>
      </c>
      <c r="C968" t="inlineStr">
        <is>
          <t>Redster S9 Revo</t>
        </is>
      </c>
      <c r="D968" t="n">
        <v>165</v>
      </c>
      <c r="E968" t="inlineStr">
        <is>
          <t xml:space="preserve"> Unisex</t>
        </is>
      </c>
      <c r="F968" t="n">
        <v>165</v>
      </c>
      <c r="G968" t="n">
        <v>164.7</v>
      </c>
      <c r="H968" t="n">
        <v>145</v>
      </c>
      <c r="I968" t="n">
        <v>151</v>
      </c>
      <c r="J968" t="n">
        <v>116</v>
      </c>
      <c r="K968" t="n">
        <v>67</v>
      </c>
      <c r="L968" t="n">
        <v>102</v>
      </c>
      <c r="M968" t="n">
        <v>13.1</v>
      </c>
      <c r="N968" t="n">
        <v>2072</v>
      </c>
      <c r="O968" t="n">
        <v>0.66</v>
      </c>
      <c r="P968" t="n">
        <v>1364</v>
      </c>
      <c r="Q968" t="n">
        <v>220</v>
      </c>
      <c r="R968" t="n">
        <v>101</v>
      </c>
      <c r="S968" t="n">
        <v>33</v>
      </c>
      <c r="T968" t="n">
        <v>143</v>
      </c>
      <c r="U968" t="n">
        <v>4</v>
      </c>
      <c r="V968" t="n">
        <v>49</v>
      </c>
      <c r="W968" t="n">
        <v>0.131</v>
      </c>
      <c r="X968" t="n">
        <v>82</v>
      </c>
      <c r="Y968" t="n">
        <v>56</v>
      </c>
      <c r="Z968" t="n">
        <v>61</v>
      </c>
      <c r="AA968" t="n">
        <v>13</v>
      </c>
      <c r="AB968" t="n">
        <v>13.8</v>
      </c>
      <c r="AC968" t="inlineStr">
        <is>
          <t xml:space="preserve"> On-Piste Carving</t>
        </is>
      </c>
      <c r="AG968" t="inlineStr">
        <is>
          <t>Atomic Redster S9 + x 14 GW Ski,Unisex Adult, Unisex_Adult</t>
        </is>
      </c>
      <c r="AH968" t="inlineStr">
        <is>
          <t>eBay - asogear</t>
        </is>
      </c>
      <c r="AI968" s="333" t="n">
        <v>549.99</v>
      </c>
      <c r="AJ968" t="inlineStr">
        <is>
          <t>https://tinyurl.com/y7gzdpyu</t>
        </is>
      </c>
      <c r="AK968" t="inlineStr">
        <is>
          <t>Redster S9 Fis 2022 165cm</t>
        </is>
      </c>
      <c r="AL968" t="inlineStr">
        <is>
          <t>Suburban Ski and Bike</t>
        </is>
      </c>
      <c r="AM968" s="333" t="n">
        <v>749.99</v>
      </c>
      <c r="AN968" t="inlineStr">
        <is>
          <t>https://tinyurl.com/ya99sr5m</t>
        </is>
      </c>
      <c r="AS968" s="314">
        <f>IF(LEFT(C968,1)=" ",RIGHT(C968,LEN(C968)-1),C968)</f>
        <v/>
      </c>
      <c r="AT968" s="281">
        <f>_xlfn.CONCAT(B968,AS968,D968,E968)</f>
        <v/>
      </c>
    </row>
    <row r="969">
      <c r="A969" t="inlineStr">
        <is>
          <t>21/22</t>
        </is>
      </c>
      <c r="B969" t="inlineStr">
        <is>
          <t>K2</t>
        </is>
      </c>
      <c r="C969" t="inlineStr">
        <is>
          <t>Mindbender 85 Alliance</t>
        </is>
      </c>
      <c r="D969" t="n">
        <v>149</v>
      </c>
      <c r="E969" t="inlineStr">
        <is>
          <t xml:space="preserve"> Women's</t>
        </is>
      </c>
      <c r="F969" t="n">
        <v>149</v>
      </c>
      <c r="G969" t="n">
        <v>149.9</v>
      </c>
      <c r="H969" t="n">
        <v>116</v>
      </c>
      <c r="I969" t="n">
        <v>122</v>
      </c>
      <c r="J969" t="n">
        <v>129</v>
      </c>
      <c r="K969" t="n">
        <v>84</v>
      </c>
      <c r="L969" t="n">
        <v>112</v>
      </c>
      <c r="M969" t="n">
        <v>9.6</v>
      </c>
      <c r="N969" t="n">
        <v>1426</v>
      </c>
      <c r="O969" t="n">
        <v>1.04</v>
      </c>
      <c r="P969" t="n">
        <v>1489</v>
      </c>
      <c r="Q969" t="n">
        <v>109</v>
      </c>
      <c r="R969" t="n">
        <v>66</v>
      </c>
      <c r="S969" t="n">
        <v>40</v>
      </c>
      <c r="T969" t="n">
        <v>238</v>
      </c>
      <c r="U969" t="n">
        <v>10</v>
      </c>
      <c r="V969" t="n">
        <v>100</v>
      </c>
      <c r="W969" t="n">
        <v>0.248</v>
      </c>
      <c r="X969" t="n">
        <v>169</v>
      </c>
      <c r="Y969" t="n">
        <v>106</v>
      </c>
      <c r="Z969" t="n">
        <v>69</v>
      </c>
      <c r="AA969" t="n">
        <v>10</v>
      </c>
      <c r="AB969" t="n">
        <v>10.2</v>
      </c>
      <c r="AC969" t="inlineStr">
        <is>
          <t xml:space="preserve"> On-Piste All-Mountain</t>
        </is>
      </c>
      <c r="AD969" t="inlineStr">
        <is>
          <t xml:space="preserve"> Resort Freeride</t>
        </is>
      </c>
      <c r="AG969" t="inlineStr">
        <is>
          <t>K2 Mindbender 85 Alliance Skis - Women's 2022</t>
        </is>
      </c>
      <c r="AH969" t="inlineStr">
        <is>
          <t>PRFO Sports</t>
        </is>
      </c>
      <c r="AI969" s="333" t="n">
        <v>320.57</v>
      </c>
      <c r="AJ969" t="inlineStr">
        <is>
          <t>https://tinyurl.com/yb4ytdz2</t>
        </is>
      </c>
      <c r="AK969" t="inlineStr">
        <is>
          <t>K2 Mindbender 85 Alliance Skis - Women's 2022</t>
        </is>
      </c>
      <c r="AL969" t="inlineStr">
        <is>
          <t>SkiEssentials.com</t>
        </is>
      </c>
      <c r="AM969" s="333" t="n">
        <v>399.95</v>
      </c>
      <c r="AN969" t="inlineStr">
        <is>
          <t>https://tinyurl.com/ya2p4bh9</t>
        </is>
      </c>
      <c r="AO969" t="inlineStr">
        <is>
          <t>K2 Mindbender 85 Alliance Skis - Women's 2022</t>
        </is>
      </c>
      <c r="AP969" t="inlineStr">
        <is>
          <t>sunandski.com</t>
        </is>
      </c>
      <c r="AQ969" s="333" t="n">
        <v>399.95</v>
      </c>
      <c r="AR969" t="inlineStr">
        <is>
          <t>https://tinyurl.com/y7mt2qm2</t>
        </is>
      </c>
      <c r="AS969" s="314">
        <f>IF(LEFT(C969,1)=" ",RIGHT(C969,LEN(C969)-1),C969)</f>
        <v/>
      </c>
      <c r="AT969" s="281">
        <f>_xlfn.CONCAT(B969,AS969,D969,E969)</f>
        <v/>
      </c>
    </row>
    <row r="970">
      <c r="A970" t="inlineStr">
        <is>
          <t>21/22</t>
        </is>
      </c>
      <c r="B970" t="inlineStr">
        <is>
          <t xml:space="preserve"> Nordica</t>
        </is>
      </c>
      <c r="C970" t="inlineStr">
        <is>
          <t>Enforcer 94</t>
        </is>
      </c>
      <c r="D970" t="n">
        <v>172</v>
      </c>
      <c r="E970" t="inlineStr">
        <is>
          <t xml:space="preserve"> Unisex</t>
        </is>
      </c>
      <c r="F970" t="n">
        <v>172</v>
      </c>
      <c r="G970" t="n">
        <v>171.3</v>
      </c>
      <c r="H970" t="n">
        <v>124</v>
      </c>
      <c r="I970" t="n">
        <v>143</v>
      </c>
      <c r="J970" t="n">
        <v>127</v>
      </c>
      <c r="K970" t="n">
        <v>92</v>
      </c>
      <c r="L970" t="n">
        <v>113</v>
      </c>
      <c r="M970" t="n">
        <v>15.9</v>
      </c>
      <c r="N970" t="n">
        <v>2044</v>
      </c>
      <c r="O970" t="n">
        <v>0.87</v>
      </c>
      <c r="P970" t="n">
        <v>1774</v>
      </c>
      <c r="Q970" t="n">
        <v>226</v>
      </c>
      <c r="R970" t="n">
        <v>144</v>
      </c>
      <c r="S970" t="n">
        <v>54</v>
      </c>
      <c r="T970" t="n">
        <v>276</v>
      </c>
      <c r="U970" t="n">
        <v>15</v>
      </c>
      <c r="V970" t="n">
        <v>196</v>
      </c>
      <c r="W970" t="n">
        <v>0.278999999999999</v>
      </c>
      <c r="X970" t="n">
        <v>132</v>
      </c>
      <c r="Y970" t="n">
        <v>150</v>
      </c>
      <c r="Z970" t="n">
        <v>144</v>
      </c>
      <c r="AA970" t="n">
        <v>6</v>
      </c>
      <c r="AB970" t="n">
        <v>9.1</v>
      </c>
      <c r="AC970" t="inlineStr">
        <is>
          <t xml:space="preserve"> Resort Freeride</t>
        </is>
      </c>
      <c r="AG970" t="inlineStr">
        <is>
          <t>Nordica Enforcer 94 / Santa Ana 93 Ski Skins - 2022 172 cm</t>
        </is>
      </c>
      <c r="AH970" t="inlineStr">
        <is>
          <t>Arlberg Ski &amp; Surf Shops</t>
        </is>
      </c>
      <c r="AI970" s="333" t="n">
        <v>209.95</v>
      </c>
      <c r="AJ970" t="inlineStr">
        <is>
          <t>https://tinyurl.com/y7f63cfk</t>
        </is>
      </c>
      <c r="AK970" t="inlineStr">
        <is>
          <t>Nordica Enforcer 94 Skis</t>
        </is>
      </c>
      <c r="AL970" t="inlineStr">
        <is>
          <t>AlpineShopVT.com</t>
        </is>
      </c>
      <c r="AM970" s="333" t="n">
        <v>559.99</v>
      </c>
      <c r="AN970" t="inlineStr">
        <is>
          <t>https://tinyurl.com/ycva6r9f</t>
        </is>
      </c>
      <c r="AO970" t="inlineStr">
        <is>
          <t>Nordica Enforcer 94 Skis</t>
        </is>
      </c>
      <c r="AP970" t="inlineStr">
        <is>
          <t>evo.com</t>
        </is>
      </c>
      <c r="AQ970" s="333" t="n">
        <v>559.99</v>
      </c>
      <c r="AR970" t="inlineStr">
        <is>
          <t>https://tinyurl.com/y7mmm8q3</t>
        </is>
      </c>
      <c r="AS970" s="314">
        <f>IF(LEFT(C970,1)=" ",RIGHT(C970,LEN(C970)-1),C970)</f>
        <v/>
      </c>
      <c r="AT970" s="281">
        <f>_xlfn.CONCAT(B970,AS970,D970,E970)</f>
        <v/>
      </c>
    </row>
    <row r="971">
      <c r="A971" t="inlineStr">
        <is>
          <t>21/22</t>
        </is>
      </c>
      <c r="B971" t="inlineStr">
        <is>
          <t xml:space="preserve"> Rossignol</t>
        </is>
      </c>
      <c r="C971" t="inlineStr">
        <is>
          <t xml:space="preserve"> Blackops Escaper</t>
        </is>
      </c>
      <c r="D971" t="n">
        <v>186</v>
      </c>
      <c r="E971" t="inlineStr">
        <is>
          <t xml:space="preserve"> Unisex</t>
        </is>
      </c>
      <c r="F971" t="n">
        <v>186</v>
      </c>
      <c r="G971" t="n">
        <v>186.5</v>
      </c>
      <c r="H971" t="n">
        <v>140</v>
      </c>
      <c r="I971" t="n">
        <v>161</v>
      </c>
      <c r="J971" t="n">
        <v>126</v>
      </c>
      <c r="K971" t="n">
        <v>93</v>
      </c>
      <c r="L971" t="n">
        <v>116</v>
      </c>
      <c r="M971" t="n">
        <v>21.4</v>
      </c>
      <c r="N971" t="n">
        <v>1870</v>
      </c>
      <c r="O971" t="n">
        <v>1.04</v>
      </c>
      <c r="P971" t="n">
        <v>1948</v>
      </c>
      <c r="Q971" t="n">
        <v>295</v>
      </c>
      <c r="R971" t="n">
        <v>138</v>
      </c>
      <c r="S971" t="n">
        <v>46</v>
      </c>
      <c r="T971" t="n">
        <v>286</v>
      </c>
      <c r="U971" t="n">
        <v>14</v>
      </c>
      <c r="V971" t="n">
        <v>178</v>
      </c>
      <c r="W971" t="n">
        <v>0.31</v>
      </c>
      <c r="X971" t="n">
        <v>148</v>
      </c>
      <c r="Y971" t="n">
        <v>103</v>
      </c>
      <c r="Z971" t="n">
        <v>138</v>
      </c>
      <c r="AA971" t="n">
        <v>7</v>
      </c>
      <c r="AB971" t="n">
        <v>8.300000000000001</v>
      </c>
      <c r="AC971" t="inlineStr">
        <is>
          <t xml:space="preserve"> Resort Freeride</t>
        </is>
      </c>
      <c r="AG971" t="inlineStr">
        <is>
          <t>Rossignol Men's Blackops Escaper Flat Ski 2020-2021 | BLACK / 186</t>
        </is>
      </c>
      <c r="AH971" t="inlineStr">
        <is>
          <t>Ski Pro  - Snow Ski &amp; Snowboard</t>
        </is>
      </c>
      <c r="AI971" s="333" t="n">
        <v>399.95</v>
      </c>
      <c r="AJ971" t="inlineStr">
        <is>
          <t>https://tinyurl.com/y9pjqhdy</t>
        </is>
      </c>
      <c r="AK971" t="inlineStr">
        <is>
          <t>Rossignol Blackops Escaper Open 186cm</t>
        </is>
      </c>
      <c r="AL971" t="inlineStr">
        <is>
          <t>Sundance Ski and Board Shop</t>
        </is>
      </c>
      <c r="AM971" s="333" t="n">
        <v>400.72</v>
      </c>
      <c r="AN971" t="inlineStr">
        <is>
          <t>https://tinyurl.com/ycrpga5f</t>
        </is>
      </c>
      <c r="AO971" t="inlineStr">
        <is>
          <t>Rossignol Blackops Escaper Skis 2022</t>
        </is>
      </c>
      <c r="AP971" t="inlineStr">
        <is>
          <t>Saint Bernard</t>
        </is>
      </c>
      <c r="AQ971" s="333" t="n">
        <v>473.9</v>
      </c>
      <c r="AR971" t="inlineStr">
        <is>
          <t>https://tinyurl.com/y8exhyzk</t>
        </is>
      </c>
      <c r="AS971" s="314">
        <f>IF(LEFT(C971,1)=" ",RIGHT(C971,LEN(C971)-1),C971)</f>
        <v/>
      </c>
      <c r="AT971" s="281">
        <f>_xlfn.CONCAT(B971,AS971,D971,E971)</f>
        <v/>
      </c>
    </row>
    <row r="972">
      <c r="A972" t="inlineStr">
        <is>
          <t>21/22</t>
        </is>
      </c>
      <c r="B972" t="inlineStr">
        <is>
          <t>K2</t>
        </is>
      </c>
      <c r="C972" t="inlineStr">
        <is>
          <t>Disruption 78C</t>
        </is>
      </c>
      <c r="D972" t="n">
        <v>177</v>
      </c>
      <c r="E972" t="inlineStr">
        <is>
          <t xml:space="preserve"> Unisex</t>
        </is>
      </c>
      <c r="F972" t="n">
        <v>177</v>
      </c>
      <c r="G972" t="n">
        <v>177.8</v>
      </c>
      <c r="H972" t="n">
        <v>159</v>
      </c>
      <c r="I972" t="n">
        <v>166</v>
      </c>
      <c r="J972" t="n">
        <v>124</v>
      </c>
      <c r="K972" t="n">
        <v>77</v>
      </c>
      <c r="L972" t="n">
        <v>110</v>
      </c>
      <c r="M972" t="n">
        <v>16.9</v>
      </c>
      <c r="N972" t="n">
        <v>2051</v>
      </c>
      <c r="O972" t="n">
        <v>0.79</v>
      </c>
      <c r="P972" t="n">
        <v>1627</v>
      </c>
      <c r="Q972" t="n">
        <v>230</v>
      </c>
      <c r="R972" t="n">
        <v>102</v>
      </c>
      <c r="S972" t="n">
        <v>33</v>
      </c>
      <c r="T972" t="n">
        <v>135</v>
      </c>
      <c r="U972" t="n">
        <v>6</v>
      </c>
      <c r="V972" t="n">
        <v>57</v>
      </c>
      <c r="W972" t="n">
        <v>0.191</v>
      </c>
      <c r="X972" t="n">
        <v>81</v>
      </c>
      <c r="Y972" t="n">
        <v>42</v>
      </c>
      <c r="Z972" t="n">
        <v>54</v>
      </c>
      <c r="AA972" t="n">
        <v>12</v>
      </c>
      <c r="AB972" t="n">
        <v>10.4</v>
      </c>
      <c r="AC972" t="inlineStr">
        <is>
          <t xml:space="preserve"> On-Piste Carving</t>
        </is>
      </c>
      <c r="AG972" t="inlineStr">
        <is>
          <t>K2 Disruption 78C Skis + M3 10 Bindings - Men's - 2022 177 cm</t>
        </is>
      </c>
      <c r="AH972" t="inlineStr">
        <is>
          <t>Park2Peak</t>
        </is>
      </c>
      <c r="AI972" s="333" t="n">
        <v>599.95</v>
      </c>
      <c r="AJ972" t="inlineStr">
        <is>
          <t>https://tinyurl.com/yb8ksj8g</t>
        </is>
      </c>
      <c r="AK972" t="inlineStr">
        <is>
          <t>K2 Disruption 78C Skis with M3 10 Bindings 2022 177cm</t>
        </is>
      </c>
      <c r="AL972" t="inlineStr">
        <is>
          <t>Buckman's Ski and Snowboard Shop</t>
        </is>
      </c>
      <c r="AM972" s="333" t="n">
        <v>599.95</v>
      </c>
      <c r="AN972" t="inlineStr">
        <is>
          <t>https://tinyurl.com/y7uxv2rd</t>
        </is>
      </c>
      <c r="AO972" t="inlineStr">
        <is>
          <t>K2 Disruption 78C Skis with M3 10 Bindings 2022 177cm</t>
        </is>
      </c>
      <c r="AP972" t="inlineStr">
        <is>
          <t>eBay - seatoski</t>
        </is>
      </c>
      <c r="AQ972" s="333" t="n">
        <v>599.95</v>
      </c>
      <c r="AR972" t="inlineStr">
        <is>
          <t>https://tinyurl.com/y7dobovw</t>
        </is>
      </c>
      <c r="AS972" s="314">
        <f>IF(LEFT(C972,1)=" ",RIGHT(C972,LEN(C972)-1),C972)</f>
        <v/>
      </c>
      <c r="AT972" s="281">
        <f>_xlfn.CONCAT(B972,AS972,D972,E972)</f>
        <v/>
      </c>
    </row>
    <row r="973">
      <c r="A973" t="inlineStr">
        <is>
          <t>21/22</t>
        </is>
      </c>
      <c r="B973" t="inlineStr">
        <is>
          <t xml:space="preserve"> Blizzard</t>
        </is>
      </c>
      <c r="C973" t="inlineStr">
        <is>
          <t>Black Pearl 88</t>
        </is>
      </c>
      <c r="D973" t="n">
        <v>147</v>
      </c>
      <c r="E973" t="inlineStr">
        <is>
          <t xml:space="preserve"> Women's</t>
        </is>
      </c>
      <c r="F973" t="n">
        <v>147</v>
      </c>
      <c r="G973" t="n">
        <v>145.4</v>
      </c>
      <c r="H973" t="n">
        <v>114</v>
      </c>
      <c r="I973" t="n">
        <v>124</v>
      </c>
      <c r="J973" t="n">
        <v>125</v>
      </c>
      <c r="K973" t="n">
        <v>86</v>
      </c>
      <c r="L973" t="n">
        <v>107</v>
      </c>
      <c r="M973" t="n">
        <v>11.8</v>
      </c>
      <c r="N973" t="n">
        <v>1483</v>
      </c>
      <c r="O973" t="n">
        <v>0.96</v>
      </c>
      <c r="P973" t="n">
        <v>1422</v>
      </c>
      <c r="Q973" t="n">
        <v>127</v>
      </c>
      <c r="R973" t="n">
        <v>62</v>
      </c>
      <c r="S973" t="n">
        <v>62</v>
      </c>
      <c r="T973" t="n">
        <v>207</v>
      </c>
      <c r="U973" t="n">
        <v>7</v>
      </c>
      <c r="V973" t="n">
        <v>106</v>
      </c>
      <c r="W973" t="n">
        <v>0.111999999999999</v>
      </c>
      <c r="X973" t="n">
        <v>113</v>
      </c>
      <c r="Y973" t="n">
        <v>104</v>
      </c>
      <c r="Z973" t="n">
        <v>95</v>
      </c>
      <c r="AA973" t="n">
        <v>6</v>
      </c>
      <c r="AB973" t="n">
        <v>11.1</v>
      </c>
      <c r="AC973" t="inlineStr">
        <is>
          <t xml:space="preserve"> Resort Freeride</t>
        </is>
      </c>
      <c r="AG973" t="inlineStr">
        <is>
          <t>Blizzard Black Pearl 88</t>
        </is>
      </c>
      <c r="AH973" t="inlineStr">
        <is>
          <t>Fox Chapel Ski and Board</t>
        </is>
      </c>
      <c r="AI973" s="333" t="n">
        <v>449.97</v>
      </c>
      <c r="AJ973" t="inlineStr">
        <is>
          <t>https://tinyurl.com/yce66w53</t>
        </is>
      </c>
      <c r="AK973" t="inlineStr">
        <is>
          <t>Blizzard Black Pearl 88</t>
        </is>
      </c>
      <c r="AL973" t="inlineStr">
        <is>
          <t>Ski Country Sports</t>
        </is>
      </c>
      <c r="AM973" s="333" t="n">
        <v>545.98</v>
      </c>
      <c r="AN973" t="inlineStr">
        <is>
          <t>https://tinyurl.com/y7pnjd6h</t>
        </is>
      </c>
      <c r="AO973" t="inlineStr">
        <is>
          <t>2022 Blizzard Black Pearl 88 ladies skis (SKI ONLY or with BINDINGS) 147</t>
        </is>
      </c>
      <c r="AP973" t="inlineStr">
        <is>
          <t>The Pro Shop</t>
        </is>
      </c>
      <c r="AQ973" s="333" t="n">
        <v>647</v>
      </c>
      <c r="AR973" t="inlineStr">
        <is>
          <t>https://tinyurl.com/ycnkemqp</t>
        </is>
      </c>
      <c r="AS973" s="314">
        <f>IF(LEFT(C973,1)=" ",RIGHT(C973,LEN(C973)-1),C973)</f>
        <v/>
      </c>
      <c r="AT973" s="281">
        <f>_xlfn.CONCAT(B973,AS973,D973,E973)</f>
        <v/>
      </c>
    </row>
    <row r="974">
      <c r="A974" t="inlineStr">
        <is>
          <t>21/22</t>
        </is>
      </c>
      <c r="B974" t="inlineStr">
        <is>
          <t xml:space="preserve"> Raccoon</t>
        </is>
      </c>
      <c r="C974" t="inlineStr">
        <is>
          <t xml:space="preserve"> Le Condor Ti</t>
        </is>
      </c>
      <c r="D974" t="n">
        <v>171</v>
      </c>
      <c r="E974" t="inlineStr">
        <is>
          <t xml:space="preserve"> Unisex</t>
        </is>
      </c>
      <c r="F974" t="n">
        <v>171</v>
      </c>
      <c r="G974" t="n">
        <v>169.6</v>
      </c>
      <c r="H974" t="n">
        <v>142</v>
      </c>
      <c r="I974" t="n">
        <v>160</v>
      </c>
      <c r="J974" t="n">
        <v>131</v>
      </c>
      <c r="K974" t="n">
        <v>75</v>
      </c>
      <c r="L974" t="n">
        <v>115</v>
      </c>
      <c r="M974" t="n">
        <v>13.4</v>
      </c>
      <c r="N974" t="n">
        <v>1759</v>
      </c>
      <c r="O974" t="n">
        <v>0.89</v>
      </c>
      <c r="P974" t="n">
        <v>1567</v>
      </c>
      <c r="Q974" t="n">
        <v>212</v>
      </c>
      <c r="R974" t="n">
        <v>128</v>
      </c>
      <c r="S974" t="n">
        <v>49</v>
      </c>
      <c r="T974" t="n">
        <v>207</v>
      </c>
      <c r="U974" t="n">
        <v>7</v>
      </c>
      <c r="V974" t="n">
        <v>72</v>
      </c>
      <c r="W974" t="n">
        <v>0.138</v>
      </c>
      <c r="X974" t="n">
        <v>51</v>
      </c>
      <c r="Y974" t="n">
        <v>42</v>
      </c>
      <c r="Z974" t="n">
        <v>156</v>
      </c>
      <c r="AA974" t="n">
        <v>8</v>
      </c>
      <c r="AB974" t="n">
        <v>12.2</v>
      </c>
      <c r="AC974" t="inlineStr">
        <is>
          <t xml:space="preserve"> On-Piste Carving</t>
        </is>
      </c>
      <c r="AS974" s="314">
        <f>IF(LEFT(C974,1)=" ",RIGHT(C974,LEN(C974)-1),C974)</f>
        <v/>
      </c>
      <c r="AT974" s="281">
        <f>_xlfn.CONCAT(B974,AS974,D974,E974)</f>
        <v/>
      </c>
    </row>
    <row r="975">
      <c r="A975" t="inlineStr">
        <is>
          <t>21/22</t>
        </is>
      </c>
      <c r="B975" t="inlineStr">
        <is>
          <t xml:space="preserve"> Atomic</t>
        </is>
      </c>
      <c r="C975" t="inlineStr">
        <is>
          <t>Maverick 100 Ti</t>
        </is>
      </c>
      <c r="D975" t="n">
        <v>180</v>
      </c>
      <c r="E975" t="inlineStr">
        <is>
          <t xml:space="preserve"> Unisex</t>
        </is>
      </c>
      <c r="F975" t="n">
        <v>180</v>
      </c>
      <c r="G975" t="n">
        <v>178</v>
      </c>
      <c r="H975" t="n">
        <v>129</v>
      </c>
      <c r="I975" t="n">
        <v>144</v>
      </c>
      <c r="J975" t="n">
        <v>128</v>
      </c>
      <c r="K975" t="n">
        <v>99</v>
      </c>
      <c r="L975" t="n">
        <v>118</v>
      </c>
      <c r="M975" t="n">
        <v>19.8</v>
      </c>
      <c r="N975" t="n">
        <v>1744</v>
      </c>
      <c r="O975" t="n">
        <v>1.1</v>
      </c>
      <c r="P975" t="n">
        <v>1914</v>
      </c>
      <c r="Q975" t="n">
        <v>227</v>
      </c>
      <c r="R975" t="n">
        <v>166</v>
      </c>
      <c r="S975" t="n">
        <v>60</v>
      </c>
      <c r="T975" t="n">
        <v>293</v>
      </c>
      <c r="U975" t="n">
        <v>18</v>
      </c>
      <c r="V975" t="n">
        <v>199</v>
      </c>
      <c r="W975" t="n">
        <v>0.299</v>
      </c>
      <c r="X975" t="n">
        <v>180</v>
      </c>
      <c r="Y975" t="n">
        <v>163</v>
      </c>
      <c r="Z975" t="n">
        <v>114</v>
      </c>
      <c r="AA975" t="n">
        <v>7</v>
      </c>
      <c r="AB975" t="n">
        <v>9.199999999999999</v>
      </c>
      <c r="AC975" t="inlineStr">
        <is>
          <t xml:space="preserve"> Resort Freeride</t>
        </is>
      </c>
      <c r="AD975" t="inlineStr">
        <is>
          <t xml:space="preserve"> Touring</t>
        </is>
      </c>
      <c r="AG975" t="inlineStr">
        <is>
          <t>Atomic Maverick 100 Ti Bk/Darkgreen / 180cm</t>
        </is>
      </c>
      <c r="AH975" t="inlineStr">
        <is>
          <t>Sundance Ski and Board Shop</t>
        </is>
      </c>
      <c r="AI975" s="333" t="n">
        <v>561.01</v>
      </c>
      <c r="AJ975" t="inlineStr">
        <is>
          <t>https://tinyurl.com/y8x3kzwt</t>
        </is>
      </c>
      <c r="AK975" t="inlineStr">
        <is>
          <t>Atomic Maverick 100 Ti Skis 2022</t>
        </is>
      </c>
      <c r="AL975" t="inlineStr">
        <is>
          <t>The-House.com</t>
        </is>
      </c>
      <c r="AM975" s="333" t="n">
        <v>599.95</v>
      </c>
      <c r="AN975" t="inlineStr">
        <is>
          <t>https://tinyurl.com/y7sghumm</t>
        </is>
      </c>
      <c r="AO975" t="inlineStr">
        <is>
          <t>Atomic Maverick 100 Ti Skis 2022</t>
        </is>
      </c>
      <c r="AP975" t="inlineStr">
        <is>
          <t>Ski Pro  - Snow Ski &amp; Snowboard</t>
        </is>
      </c>
      <c r="AQ975" s="333" t="n">
        <v>599.95</v>
      </c>
      <c r="AR975" t="inlineStr">
        <is>
          <t>https://tinyurl.com/ya4vdlvx</t>
        </is>
      </c>
      <c r="AS975" s="314">
        <f>IF(LEFT(C975,1)=" ",RIGHT(C975,LEN(C975)-1),C975)</f>
        <v/>
      </c>
      <c r="AT975" s="281">
        <f>_xlfn.CONCAT(B975,AS975,D975,E975)</f>
        <v/>
      </c>
    </row>
    <row r="976">
      <c r="A976" t="inlineStr">
        <is>
          <t>21/22</t>
        </is>
      </c>
      <c r="B976" t="inlineStr">
        <is>
          <t xml:space="preserve"> Vï¿½lkl</t>
        </is>
      </c>
      <c r="C976" t="inlineStr">
        <is>
          <t>Yumi 80</t>
        </is>
      </c>
      <c r="D976" t="n">
        <v>168</v>
      </c>
      <c r="E976" t="inlineStr">
        <is>
          <t xml:space="preserve"> Women's</t>
        </is>
      </c>
      <c r="F976" t="n">
        <v>168</v>
      </c>
      <c r="G976" t="n">
        <v>168.7</v>
      </c>
      <c r="H976" t="n">
        <v>114</v>
      </c>
      <c r="I976" t="n">
        <v>144</v>
      </c>
      <c r="J976" t="n">
        <v>120</v>
      </c>
      <c r="K976" t="n">
        <v>79</v>
      </c>
      <c r="L976" t="n">
        <v>102</v>
      </c>
      <c r="M976" t="n">
        <v>15.9</v>
      </c>
      <c r="N976" t="n">
        <v>1435</v>
      </c>
      <c r="O976" t="n">
        <v>1.08</v>
      </c>
      <c r="P976" t="n">
        <v>1556</v>
      </c>
      <c r="Q976" t="n">
        <v>172</v>
      </c>
      <c r="R976" t="n">
        <v>65</v>
      </c>
      <c r="S976" t="n">
        <v>40</v>
      </c>
      <c r="T976" t="n">
        <v>336</v>
      </c>
      <c r="U976" t="n">
        <v>14</v>
      </c>
      <c r="V976" t="n">
        <v>209</v>
      </c>
      <c r="W976" t="n">
        <v>0.354</v>
      </c>
      <c r="X976" t="n">
        <v>137</v>
      </c>
      <c r="Y976" t="n">
        <v>108</v>
      </c>
      <c r="Z976" t="n">
        <v>200</v>
      </c>
      <c r="AA976" t="n">
        <v>1</v>
      </c>
      <c r="AB976" t="n">
        <v>12</v>
      </c>
      <c r="AC976" t="inlineStr">
        <is>
          <t xml:space="preserve"> On-Piste All-Mountain</t>
        </is>
      </c>
      <c r="AD976" t="inlineStr">
        <is>
          <t xml:space="preserve"> Touring</t>
        </is>
      </c>
      <c r="AG976" t="inlineStr">
        <is>
          <t>Volkl Yumi 80 20/21</t>
        </is>
      </c>
      <c r="AH976" t="inlineStr">
        <is>
          <t>Snowcountry.eu</t>
        </is>
      </c>
      <c r="AI976" s="333" t="n">
        <v>253.5</v>
      </c>
      <c r="AJ976" t="inlineStr">
        <is>
          <t>https://tinyurl.com/y8ppm8ou</t>
        </is>
      </c>
      <c r="AK976" t="inlineStr">
        <is>
          <t>Volkl Ladies' Yumi 80 Flat Ski 2020-2021 | BLACK / 168</t>
        </is>
      </c>
      <c r="AL976" t="inlineStr">
        <is>
          <t>Ski Pro  - Snow Ski &amp; Snowboard</t>
        </is>
      </c>
      <c r="AM976" s="333" t="n">
        <v>439.95</v>
      </c>
      <c r="AN976" t="inlineStr">
        <is>
          <t>https://tinyurl.com/y9jbqxdw</t>
        </is>
      </c>
      <c r="AO976" t="inlineStr">
        <is>
          <t>Volkl Yumi 80 20/21</t>
        </is>
      </c>
      <c r="AP976" t="inlineStr">
        <is>
          <t>SkiEssentials.com</t>
        </is>
      </c>
      <c r="AQ976" s="333" t="n">
        <v>439.95</v>
      </c>
      <c r="AR976" t="inlineStr">
        <is>
          <t>https://tinyurl.com/y8uueflo</t>
        </is>
      </c>
      <c r="AS976" s="314">
        <f>IF(LEFT(C976,1)=" ",RIGHT(C976,LEN(C976)-1),C976)</f>
        <v/>
      </c>
      <c r="AT976" s="281">
        <f>_xlfn.CONCAT(B976,AS976,D976,E976)</f>
        <v/>
      </c>
    </row>
    <row r="977">
      <c r="A977" t="inlineStr">
        <is>
          <t>21/22</t>
        </is>
      </c>
      <c r="B977" t="inlineStr">
        <is>
          <t xml:space="preserve"> Vï¿½lkl</t>
        </is>
      </c>
      <c r="C977" t="inlineStr">
        <is>
          <t xml:space="preserve"> Mantra V.Werks</t>
        </is>
      </c>
      <c r="D977" t="n">
        <v>186</v>
      </c>
      <c r="E977" t="inlineStr">
        <is>
          <t xml:space="preserve"> Unisex</t>
        </is>
      </c>
      <c r="F977" t="n">
        <v>186</v>
      </c>
      <c r="G977" t="n">
        <v>187.1</v>
      </c>
      <c r="H977" t="n">
        <v>131</v>
      </c>
      <c r="I977" t="n">
        <v>159</v>
      </c>
      <c r="J977" t="n">
        <v>134</v>
      </c>
      <c r="K977" t="n">
        <v>98</v>
      </c>
      <c r="L977" t="n">
        <v>116</v>
      </c>
      <c r="M977" t="n">
        <v>23.4</v>
      </c>
      <c r="N977" t="n">
        <v>1775</v>
      </c>
      <c r="O977" t="n">
        <v>1.15</v>
      </c>
      <c r="P977" t="n">
        <v>2038</v>
      </c>
      <c r="Q977" t="n">
        <v>190</v>
      </c>
      <c r="R977" t="n">
        <v>147</v>
      </c>
      <c r="S977" t="n">
        <v>49</v>
      </c>
      <c r="T977" t="n">
        <v>327</v>
      </c>
      <c r="U977" t="n">
        <v>18</v>
      </c>
      <c r="V977" t="n">
        <v>235</v>
      </c>
      <c r="W977" t="n">
        <v>0.367</v>
      </c>
      <c r="X977" t="n">
        <v>151</v>
      </c>
      <c r="Y977" t="n">
        <v>126</v>
      </c>
      <c r="Z977" t="n">
        <v>177</v>
      </c>
      <c r="AA977" t="n">
        <v>3</v>
      </c>
      <c r="AB977" t="n">
        <v>10.7</v>
      </c>
      <c r="AC977" t="inlineStr">
        <is>
          <t xml:space="preserve"> Resort Freeride</t>
        </is>
      </c>
      <c r="AD977" t="inlineStr">
        <is>
          <t xml:space="preserve"> Touring</t>
        </is>
      </c>
      <c r="AG977" t="inlineStr">
        <is>
          <t>Volkl Mantra V.Werks Ski 2022, 186</t>
        </is>
      </c>
      <c r="AH977" t="inlineStr">
        <is>
          <t>Gear West Ski &amp; Bike</t>
        </is>
      </c>
      <c r="AI977" s="333" t="n">
        <v>1149.99</v>
      </c>
      <c r="AJ977" t="inlineStr">
        <is>
          <t>https://tinyurl.com/ya4jy5kj</t>
        </is>
      </c>
      <c r="AK977" t="inlineStr">
        <is>
          <t>Volkl Mantra V-Werks Flat Ski 2021-2022 | BLACK/RED / 186</t>
        </is>
      </c>
      <c r="AL977" t="inlineStr">
        <is>
          <t>Ski Pro  - Snow Ski &amp; Snowboard</t>
        </is>
      </c>
      <c r="AM977" s="333" t="n">
        <v>959.95</v>
      </c>
      <c r="AN977" t="inlineStr">
        <is>
          <t>https://tinyurl.com/ybbxzez6</t>
        </is>
      </c>
      <c r="AS977" s="314">
        <f>IF(LEFT(C977,1)=" ",RIGHT(C977,LEN(C977)-1),C977)</f>
        <v/>
      </c>
      <c r="AT977" s="281">
        <f>_xlfn.CONCAT(B977,AS977,D977,E977)</f>
        <v/>
      </c>
    </row>
    <row r="978">
      <c r="A978" t="inlineStr">
        <is>
          <t>21/22</t>
        </is>
      </c>
      <c r="B978" t="inlineStr">
        <is>
          <t xml:space="preserve"> Nordica</t>
        </is>
      </c>
      <c r="C978" t="inlineStr">
        <is>
          <t>Belle 72 Ca</t>
        </is>
      </c>
      <c r="D978" t="n">
        <v>162</v>
      </c>
      <c r="E978" t="inlineStr">
        <is>
          <t xml:space="preserve"> Women's</t>
        </is>
      </c>
      <c r="F978" t="n">
        <v>162</v>
      </c>
      <c r="G978" t="n">
        <v>161.3</v>
      </c>
      <c r="H978" t="n">
        <v>137</v>
      </c>
      <c r="I978" t="n">
        <v>146</v>
      </c>
      <c r="J978" t="n">
        <v>120</v>
      </c>
      <c r="K978" t="n">
        <v>71</v>
      </c>
      <c r="L978" t="n">
        <v>99</v>
      </c>
      <c r="M978" t="n">
        <v>13.5</v>
      </c>
      <c r="N978" t="n">
        <v>1813</v>
      </c>
      <c r="O978" t="n">
        <v>0.76</v>
      </c>
      <c r="P978" t="n">
        <v>1384</v>
      </c>
      <c r="Q978" t="n">
        <v>190</v>
      </c>
      <c r="R978" t="n">
        <v>63</v>
      </c>
      <c r="S978" t="n">
        <v>39</v>
      </c>
      <c r="T978" t="n">
        <v>164</v>
      </c>
      <c r="U978" t="n">
        <v>8</v>
      </c>
      <c r="V978" t="n">
        <v>84</v>
      </c>
      <c r="W978" t="n">
        <v>0.214</v>
      </c>
      <c r="X978" t="n">
        <v>64</v>
      </c>
      <c r="Y978" t="n">
        <v>86</v>
      </c>
      <c r="Z978" t="n">
        <v>99</v>
      </c>
      <c r="AA978" t="n">
        <v>8</v>
      </c>
      <c r="AB978" t="n">
        <v>9.1</v>
      </c>
      <c r="AC978" t="inlineStr">
        <is>
          <t xml:space="preserve"> On-Piste Carving</t>
        </is>
      </c>
      <c r="AG978" t="inlineStr">
        <is>
          <t>Nordica Women's Wild Belle 78 CA System Ski 2022 162</t>
        </is>
      </c>
      <c r="AH978" t="inlineStr">
        <is>
          <t>Boyne Country Sports</t>
        </is>
      </c>
      <c r="AI978" s="333" t="n">
        <v>499.99</v>
      </c>
      <c r="AJ978" t="inlineStr">
        <is>
          <t>https://tinyurl.com/y8ona4zn</t>
        </is>
      </c>
      <c r="AK978" t="inlineStr">
        <is>
          <t>Nordica Women's Wild Belle 74 w/ TP2 10 Skis 162</t>
        </is>
      </c>
      <c r="AL978" t="inlineStr">
        <is>
          <t>WinterWomen.com</t>
        </is>
      </c>
      <c r="AM978" s="333" t="n">
        <v>399.95</v>
      </c>
      <c r="AN978" t="inlineStr">
        <is>
          <t>https://tinyurl.com/ya5x6xn2</t>
        </is>
      </c>
      <c r="AO978" t="inlineStr">
        <is>
          <t>Nordica Women's Wild Belle 74 w/ TP2 10 Skis 162</t>
        </is>
      </c>
      <c r="AP978" t="inlineStr">
        <is>
          <t>Buckman's Ski and Snowboard Shop</t>
        </is>
      </c>
      <c r="AQ978" s="333" t="n">
        <v>399.95</v>
      </c>
      <c r="AR978" t="inlineStr">
        <is>
          <t>https://tinyurl.com/y9nxy823</t>
        </is>
      </c>
      <c r="AS978" s="314">
        <f>IF(LEFT(C978,1)=" ",RIGHT(C978,LEN(C978)-1),C978)</f>
        <v/>
      </c>
      <c r="AT978" s="281">
        <f>_xlfn.CONCAT(B978,AS978,D978,E978)</f>
        <v/>
      </c>
    </row>
    <row r="979">
      <c r="A979" t="inlineStr">
        <is>
          <t>21/22</t>
        </is>
      </c>
      <c r="B979" t="inlineStr">
        <is>
          <t xml:space="preserve"> Black Crows</t>
        </is>
      </c>
      <c r="C979" t="inlineStr">
        <is>
          <t xml:space="preserve"> Atris Birdie</t>
        </is>
      </c>
      <c r="D979" t="n">
        <v>160.1</v>
      </c>
      <c r="E979" t="inlineStr">
        <is>
          <t xml:space="preserve"> Women's</t>
        </is>
      </c>
      <c r="F979" t="n">
        <v>160.1</v>
      </c>
      <c r="G979" t="n">
        <v>158.9</v>
      </c>
      <c r="H979" t="n">
        <v>112</v>
      </c>
      <c r="I979" t="n">
        <v>133</v>
      </c>
      <c r="J979" t="n">
        <v>135</v>
      </c>
      <c r="K979" t="n">
        <v>106</v>
      </c>
      <c r="L979" t="n">
        <v>121</v>
      </c>
      <c r="M979" t="n">
        <v>19.2</v>
      </c>
      <c r="N979" t="n">
        <v>1649</v>
      </c>
      <c r="O979" t="n">
        <v>1.11</v>
      </c>
      <c r="P979" t="n">
        <v>1831</v>
      </c>
      <c r="Q979" t="n">
        <v>121</v>
      </c>
      <c r="R979" t="n">
        <v>57</v>
      </c>
      <c r="S979" t="n">
        <v>50</v>
      </c>
      <c r="T979" t="n">
        <v>283</v>
      </c>
      <c r="U979" t="n">
        <v>30</v>
      </c>
      <c r="V979" t="n">
        <v>184</v>
      </c>
      <c r="W979" t="n">
        <v>0.604</v>
      </c>
      <c r="X979" t="n">
        <v>155</v>
      </c>
      <c r="Y979" t="n">
        <v>100</v>
      </c>
      <c r="Z979" t="n">
        <v>128</v>
      </c>
      <c r="AA979" t="n">
        <v>7</v>
      </c>
      <c r="AB979" t="n">
        <v>8.5</v>
      </c>
      <c r="AC979" t="inlineStr">
        <is>
          <t xml:space="preserve"> Powder</t>
        </is>
      </c>
      <c r="AD979" t="inlineStr">
        <is>
          <t xml:space="preserve"> Touring</t>
        </is>
      </c>
      <c r="AG979" t="inlineStr">
        <is>
          <t>Black Crows Atris Birdie Skis - Women's - 2022</t>
        </is>
      </c>
      <c r="AH979" t="inlineStr">
        <is>
          <t>eBay - asogear</t>
        </is>
      </c>
      <c r="AI979" s="333" t="n">
        <v>611.99</v>
      </c>
      <c r="AJ979" t="inlineStr">
        <is>
          <t>https://tinyurl.com/yc24aq9f</t>
        </is>
      </c>
      <c r="AK979" t="inlineStr">
        <is>
          <t>Black Crows Atris Birdie Skis - Women's - 2022</t>
        </is>
      </c>
      <c r="AL979" t="inlineStr">
        <is>
          <t>! OutdoorXL.com</t>
        </is>
      </c>
      <c r="AM979" s="333" t="n">
        <v>649.95</v>
      </c>
      <c r="AN979" t="inlineStr">
        <is>
          <t>https://tinyurl.com/y7cqdh5u</t>
        </is>
      </c>
      <c r="AO979" t="inlineStr">
        <is>
          <t>Black Crows Atris Birdie Skis - Women's - 2022</t>
        </is>
      </c>
      <c r="AP979" t="inlineStr">
        <is>
          <t>Powder7 Ski Shop</t>
        </is>
      </c>
      <c r="AQ979" s="333" t="n">
        <v>671.9299999999999</v>
      </c>
      <c r="AR979" t="inlineStr">
        <is>
          <t>https://tinyurl.com/y88vdc9t</t>
        </is>
      </c>
      <c r="AS979" s="314">
        <f>IF(LEFT(C979,1)=" ",RIGHT(C979,LEN(C979)-1),C979)</f>
        <v/>
      </c>
      <c r="AT979" s="281">
        <f>_xlfn.CONCAT(B979,AS979,D979,E979)</f>
        <v/>
      </c>
    </row>
    <row r="980">
      <c r="A980" t="inlineStr">
        <is>
          <t>21/22</t>
        </is>
      </c>
      <c r="B980" t="inlineStr">
        <is>
          <t xml:space="preserve"> Vï¿½lkl</t>
        </is>
      </c>
      <c r="C980" t="inlineStr">
        <is>
          <t>Blaze 94 W</t>
        </is>
      </c>
      <c r="D980" t="n">
        <v>158</v>
      </c>
      <c r="E980" t="inlineStr">
        <is>
          <t xml:space="preserve"> Women's</t>
        </is>
      </c>
      <c r="F980" t="n">
        <v>158</v>
      </c>
      <c r="G980" t="n">
        <v>159.7</v>
      </c>
      <c r="H980" t="n">
        <v>81</v>
      </c>
      <c r="I980" t="n">
        <v>136</v>
      </c>
      <c r="J980" t="n">
        <v>133</v>
      </c>
      <c r="K980" t="n">
        <v>93</v>
      </c>
      <c r="L980" t="n">
        <v>115</v>
      </c>
      <c r="M980" t="n">
        <v>14</v>
      </c>
      <c r="N980" t="n">
        <v>1399</v>
      </c>
      <c r="O980" t="n">
        <v>1.21</v>
      </c>
      <c r="P980" t="n">
        <v>1689</v>
      </c>
      <c r="Q980" t="n">
        <v>166</v>
      </c>
      <c r="R980" t="n">
        <v>80</v>
      </c>
      <c r="S980" t="n">
        <v>51</v>
      </c>
      <c r="T980" t="n">
        <v>455</v>
      </c>
      <c r="U980" t="n">
        <v>22</v>
      </c>
      <c r="V980" t="n">
        <v>331</v>
      </c>
      <c r="W980" t="n">
        <v>0.431</v>
      </c>
      <c r="X980" t="n">
        <v>137</v>
      </c>
      <c r="Y980" t="n">
        <v>103</v>
      </c>
      <c r="Z980" t="n">
        <v>318</v>
      </c>
      <c r="AA980" t="n">
        <v>2</v>
      </c>
      <c r="AB980" t="n">
        <v>11.5</v>
      </c>
      <c r="AC980" t="inlineStr">
        <is>
          <t xml:space="preserve"> Resort Freeride</t>
        </is>
      </c>
      <c r="AD980" t="inlineStr">
        <is>
          <t xml:space="preserve"> Touring</t>
        </is>
      </c>
      <c r="AG980" t="inlineStr">
        <is>
          <t>Volkl Blaze 94 W Alpine Skis 2022 - - 158 cm</t>
        </is>
      </c>
      <c r="AH980" t="inlineStr">
        <is>
          <t>Skirack</t>
        </is>
      </c>
      <c r="AI980" s="333" t="n">
        <v>439.96</v>
      </c>
      <c r="AJ980" t="inlineStr">
        <is>
          <t>https://tinyurl.com/ydgwyex2</t>
        </is>
      </c>
      <c r="AK980" t="inlineStr">
        <is>
          <t>Volkl 22 Blaze 94 W 158Cm  Demo Skis W/ Bindings</t>
        </is>
      </c>
      <c r="AL980" t="inlineStr">
        <is>
          <t>Play It Again Sports</t>
        </is>
      </c>
      <c r="AM980" s="333" t="n">
        <v>449.91</v>
      </c>
      <c r="AN980" t="inlineStr">
        <is>
          <t>https://tinyurl.com/ydftm9qs</t>
        </is>
      </c>
      <c r="AO980" t="inlineStr">
        <is>
          <t>Volkl Blaze 94 W 158cm</t>
        </is>
      </c>
      <c r="AP980" t="inlineStr">
        <is>
          <t>Sundance Ski and Board Shop</t>
        </is>
      </c>
      <c r="AQ980" s="333" t="n">
        <v>480.86</v>
      </c>
      <c r="AR980" t="inlineStr">
        <is>
          <t>https://tinyurl.com/y8o6vb9l</t>
        </is>
      </c>
      <c r="AS980" s="314">
        <f>IF(LEFT(C980,1)=" ",RIGHT(C980,LEN(C980)-1),C980)</f>
        <v/>
      </c>
      <c r="AT980" s="281">
        <f>_xlfn.CONCAT(B980,AS980,D980,E980)</f>
        <v/>
      </c>
    </row>
    <row r="981">
      <c r="A981" t="inlineStr">
        <is>
          <t>21/22</t>
        </is>
      </c>
      <c r="B981" t="inlineStr">
        <is>
          <t xml:space="preserve"> Atomic</t>
        </is>
      </c>
      <c r="C981" t="inlineStr">
        <is>
          <t>Bent Chetler 120</t>
        </is>
      </c>
      <c r="D981" t="n">
        <v>192</v>
      </c>
      <c r="E981" t="inlineStr">
        <is>
          <t xml:space="preserve"> Unisex</t>
        </is>
      </c>
      <c r="F981" t="n">
        <v>192</v>
      </c>
      <c r="G981" t="n">
        <v>188.1</v>
      </c>
      <c r="H981" t="n">
        <v>115</v>
      </c>
      <c r="I981" t="n">
        <v>143</v>
      </c>
      <c r="J981" t="n">
        <v>143</v>
      </c>
      <c r="K981" t="n">
        <v>119</v>
      </c>
      <c r="L981" t="n">
        <v>134</v>
      </c>
      <c r="M981" t="n">
        <v>21.4</v>
      </c>
      <c r="N981" t="n">
        <v>1970</v>
      </c>
      <c r="O981" t="n">
        <v>1.19</v>
      </c>
      <c r="P981" t="n">
        <v>2341</v>
      </c>
      <c r="Q981" t="n">
        <v>275</v>
      </c>
      <c r="R981" t="n">
        <v>115</v>
      </c>
      <c r="S981" t="n">
        <v>56</v>
      </c>
      <c r="T981" t="n">
        <v>398</v>
      </c>
      <c r="U981" t="n">
        <v>42</v>
      </c>
      <c r="V981" t="n">
        <v>329</v>
      </c>
      <c r="W981" t="n">
        <v>0.762</v>
      </c>
      <c r="X981" t="n">
        <v>204</v>
      </c>
      <c r="Y981" t="n">
        <v>252</v>
      </c>
      <c r="Z981" t="n">
        <v>194</v>
      </c>
      <c r="AA981" t="n">
        <v>5</v>
      </c>
      <c r="AB981" t="n">
        <v>6.5</v>
      </c>
      <c r="AC981" t="inlineStr">
        <is>
          <t xml:space="preserve"> Powder</t>
        </is>
      </c>
      <c r="AD981" t="inlineStr">
        <is>
          <t xml:space="preserve"> Touring</t>
        </is>
      </c>
      <c r="AG981" t="inlineStr">
        <is>
          <t>Atomic Bent Chetler 120 Multicolor / 192cm</t>
        </is>
      </c>
      <c r="AH981" t="inlineStr">
        <is>
          <t>Sundance Ski and Board Shop</t>
        </is>
      </c>
      <c r="AI981" s="333" t="n">
        <v>681.22</v>
      </c>
      <c r="AJ981" t="inlineStr">
        <is>
          <t>https://tinyurl.com/y7elsdah</t>
        </is>
      </c>
      <c r="AK981" t="inlineStr">
        <is>
          <t>Atomic Bent Chetler 120 Skis 2023</t>
        </is>
      </c>
      <c r="AL981" t="inlineStr">
        <is>
          <t>Telemark Pyrenees</t>
        </is>
      </c>
      <c r="AM981" s="333" t="n">
        <v>686.7</v>
      </c>
      <c r="AN981" t="inlineStr">
        <is>
          <t>https://tinyurl.com/y7fv9vhw</t>
        </is>
      </c>
      <c r="AO981" t="inlineStr">
        <is>
          <t>Atomic Bent Chetler 120 Skis 2023</t>
        </is>
      </c>
      <c r="AP981" t="inlineStr">
        <is>
          <t>Blue Tomato</t>
        </is>
      </c>
      <c r="AQ981" s="333" t="n">
        <v>692.77</v>
      </c>
      <c r="AR981" t="inlineStr">
        <is>
          <t>https://tinyurl.com/y732te9e</t>
        </is>
      </c>
      <c r="AS981" s="314">
        <f>IF(LEFT(C981,1)=" ",RIGHT(C981,LEN(C981)-1),C981)</f>
        <v/>
      </c>
      <c r="AT981" s="281">
        <f>_xlfn.CONCAT(B981,AS981,D981,E981)</f>
        <v/>
      </c>
    </row>
    <row r="982">
      <c r="A982" t="inlineStr">
        <is>
          <t>21/22</t>
        </is>
      </c>
      <c r="B982" t="inlineStr">
        <is>
          <t xml:space="preserve"> Atomic</t>
        </is>
      </c>
      <c r="C982" t="inlineStr">
        <is>
          <t>Backland 98 W</t>
        </is>
      </c>
      <c r="D982" t="n">
        <v>164</v>
      </c>
      <c r="E982" t="inlineStr">
        <is>
          <t xml:space="preserve"> Unisex</t>
        </is>
      </c>
      <c r="F982" t="n">
        <v>164</v>
      </c>
      <c r="G982" t="n">
        <v>162.9</v>
      </c>
      <c r="H982" t="n">
        <v>110</v>
      </c>
      <c r="I982" t="n">
        <v>126</v>
      </c>
      <c r="J982" t="n">
        <v>126</v>
      </c>
      <c r="K982" t="n">
        <v>97</v>
      </c>
      <c r="L982" t="n">
        <v>116</v>
      </c>
      <c r="M982" t="n">
        <v>15</v>
      </c>
      <c r="N982" t="n">
        <v>1152</v>
      </c>
      <c r="O982" t="n">
        <v>1.49</v>
      </c>
      <c r="P982" t="n">
        <v>1722</v>
      </c>
      <c r="Q982" t="n">
        <v>155</v>
      </c>
      <c r="R982" t="n">
        <v>71</v>
      </c>
      <c r="S982" t="n">
        <v>56</v>
      </c>
      <c r="T982" t="n">
        <v>316</v>
      </c>
      <c r="U982" t="n">
        <v>18</v>
      </c>
      <c r="V982" t="n">
        <v>215</v>
      </c>
      <c r="W982" t="n">
        <v>0.324</v>
      </c>
      <c r="X982" t="n">
        <v>201</v>
      </c>
      <c r="Y982" t="n">
        <v>168</v>
      </c>
      <c r="Z982" t="n">
        <v>115</v>
      </c>
      <c r="AA982" t="n">
        <v>3</v>
      </c>
      <c r="AB982" t="n">
        <v>8.199999999999999</v>
      </c>
      <c r="AC982" t="inlineStr">
        <is>
          <t xml:space="preserve"> Touring</t>
        </is>
      </c>
      <c r="AD982" t="inlineStr">
        <is>
          <t xml:space="preserve"> Ultralight Touring</t>
        </is>
      </c>
      <c r="AG982" t="inlineStr">
        <is>
          <t>Atomic Backland W 98 Dark Blue/Bl / 164cm</t>
        </is>
      </c>
      <c r="AH982" t="inlineStr">
        <is>
          <t>Sundance Ski and Board Shop</t>
        </is>
      </c>
      <c r="AI982" s="333" t="n">
        <v>480.86</v>
      </c>
      <c r="AJ982" t="inlineStr">
        <is>
          <t>https://tinyurl.com/y7sx64dk</t>
        </is>
      </c>
      <c r="AK982" t="inlineStr">
        <is>
          <t>Atomic W Backland 98 Alpine Touring Ski (2022) 164</t>
        </is>
      </c>
      <c r="AL982" t="inlineStr">
        <is>
          <t>Cripple Creek Backcountry</t>
        </is>
      </c>
      <c r="AM982" s="333" t="n">
        <v>489</v>
      </c>
      <c r="AN982" t="inlineStr">
        <is>
          <t>https://tinyurl.com/y8h9rcar</t>
        </is>
      </c>
      <c r="AO982" t="inlineStr">
        <is>
          <t>Skiing Ladies Ski Mountaineering Atomic Backland 98 W 21/22</t>
        </is>
      </c>
      <c r="AP982" t="inlineStr">
        <is>
          <t>eBay</t>
        </is>
      </c>
      <c r="AQ982" s="333" t="n">
        <v>598.42</v>
      </c>
      <c r="AR982" t="inlineStr">
        <is>
          <t>https://tinyurl.com/ybqaspax</t>
        </is>
      </c>
      <c r="AS982" s="314">
        <f>IF(LEFT(C982,1)=" ",RIGHT(C982,LEN(C982)-1),C982)</f>
        <v/>
      </c>
      <c r="AT982" s="281">
        <f>_xlfn.CONCAT(B982,AS982,D982,E982)</f>
        <v/>
      </c>
    </row>
    <row r="983">
      <c r="A983" t="inlineStr">
        <is>
          <t>21/22</t>
        </is>
      </c>
      <c r="B983" t="inlineStr">
        <is>
          <t xml:space="preserve"> Head</t>
        </is>
      </c>
      <c r="C983" t="inlineStr">
        <is>
          <t xml:space="preserve"> Worldcup Rebels e-SL</t>
        </is>
      </c>
      <c r="D983" t="n">
        <v>160</v>
      </c>
      <c r="E983" t="inlineStr">
        <is>
          <t xml:space="preserve"> Unisex</t>
        </is>
      </c>
      <c r="F983" t="n">
        <v>160</v>
      </c>
      <c r="G983" t="n">
        <v>158.8</v>
      </c>
      <c r="H983" t="n">
        <v>140</v>
      </c>
      <c r="I983" t="n">
        <v>149</v>
      </c>
      <c r="J983" t="n">
        <v>122</v>
      </c>
      <c r="K983" t="n">
        <v>67</v>
      </c>
      <c r="L983" t="n">
        <v>107</v>
      </c>
      <c r="M983" t="n">
        <v>11.5</v>
      </c>
      <c r="N983" t="n">
        <v>2253</v>
      </c>
      <c r="O983" t="n">
        <v>0.59</v>
      </c>
      <c r="P983" t="n">
        <v>1338</v>
      </c>
      <c r="Q983" t="n">
        <v>205</v>
      </c>
      <c r="R983" t="n">
        <v>96</v>
      </c>
      <c r="S983" t="n">
        <v>42</v>
      </c>
      <c r="T983" t="n">
        <v>147</v>
      </c>
      <c r="U983" t="n">
        <v>3</v>
      </c>
      <c r="V983" t="n">
        <v>42</v>
      </c>
      <c r="W983" t="n">
        <v>0.063</v>
      </c>
      <c r="X983" t="n">
        <v>59</v>
      </c>
      <c r="Y983" t="n">
        <v>43</v>
      </c>
      <c r="Z983" t="n">
        <v>88</v>
      </c>
      <c r="AA983" t="n">
        <v>11</v>
      </c>
      <c r="AB983" t="n">
        <v>11.9</v>
      </c>
      <c r="AC983" t="inlineStr">
        <is>
          <t xml:space="preserve"> On-Piste Carving</t>
        </is>
      </c>
      <c r="AG983" t="inlineStr">
        <is>
          <t>Head Worldcup Rebels e-SL White-Black 160 Ski Lady's Men</t>
        </is>
      </c>
      <c r="AH983" t="inlineStr">
        <is>
          <t>! OutdoorXL.com</t>
        </is>
      </c>
      <c r="AI983" s="333" t="n">
        <v>564.95</v>
      </c>
      <c r="AJ983" t="inlineStr">
        <is>
          <t>https://tinyurl.com/yaccpkyu</t>
        </is>
      </c>
      <c r="AK983" t="inlineStr">
        <is>
          <t>Head 2021 WC Rebels E-SL Skis w/Freeflex 14 Bindings</t>
        </is>
      </c>
      <c r="AL983" t="inlineStr">
        <is>
          <t>Suburban Ski and Bike</t>
        </is>
      </c>
      <c r="AM983" s="333" t="n">
        <v>639.99</v>
      </c>
      <c r="AN983" t="inlineStr">
        <is>
          <t>https://tinyurl.com/y8q2rqsp</t>
        </is>
      </c>
      <c r="AO983" t="inlineStr">
        <is>
          <t>Head 2021 WC Rebels E-SL Skis w/Freeflex 14 Bindings</t>
        </is>
      </c>
      <c r="AP983" t="inlineStr">
        <is>
          <t>Powder7 Ski Shop</t>
        </is>
      </c>
      <c r="AQ983" s="333" t="n">
        <v>819</v>
      </c>
      <c r="AR983" t="inlineStr">
        <is>
          <t>https://tinyurl.com/y9whc2qc</t>
        </is>
      </c>
      <c r="AS983" s="314">
        <f>IF(LEFT(C983,1)=" ",RIGHT(C983,LEN(C983)-1),C983)</f>
        <v/>
      </c>
      <c r="AT983" s="281">
        <f>_xlfn.CONCAT(B983,AS983,D983,E983)</f>
        <v/>
      </c>
    </row>
    <row r="984">
      <c r="A984" t="inlineStr">
        <is>
          <t>21/22</t>
        </is>
      </c>
      <c r="B984" t="inlineStr">
        <is>
          <t xml:space="preserve"> Rossignol</t>
        </is>
      </c>
      <c r="C984" t="inlineStr">
        <is>
          <t>Nova 6</t>
        </is>
      </c>
      <c r="D984" t="n">
        <v>156</v>
      </c>
      <c r="E984" t="inlineStr">
        <is>
          <t xml:space="preserve"> Women's</t>
        </is>
      </c>
      <c r="F984" t="n">
        <v>156</v>
      </c>
      <c r="G984" t="n">
        <v>155.7</v>
      </c>
      <c r="H984" t="n">
        <v>136</v>
      </c>
      <c r="I984" t="n">
        <v>142</v>
      </c>
      <c r="J984" t="n">
        <v>122</v>
      </c>
      <c r="K984" t="n">
        <v>73</v>
      </c>
      <c r="L984" t="n">
        <v>109</v>
      </c>
      <c r="M984" t="n">
        <v>11.7</v>
      </c>
      <c r="N984" t="n">
        <v>1516</v>
      </c>
      <c r="O984" t="n">
        <v>0.91</v>
      </c>
      <c r="P984" t="n">
        <v>1383</v>
      </c>
      <c r="Q984" t="n">
        <v>135</v>
      </c>
      <c r="R984" t="n">
        <v>55</v>
      </c>
      <c r="S984" t="n">
        <v>37</v>
      </c>
      <c r="T984" t="n">
        <v>145</v>
      </c>
      <c r="U984" t="n">
        <v>4</v>
      </c>
      <c r="V984" t="n">
        <v>53</v>
      </c>
      <c r="W984" t="n">
        <v>0.121</v>
      </c>
      <c r="X984" t="n">
        <v>72</v>
      </c>
      <c r="Y984" t="n">
        <v>61</v>
      </c>
      <c r="Z984" t="n">
        <v>74</v>
      </c>
      <c r="AA984" t="n">
        <v>11</v>
      </c>
      <c r="AB984" t="n">
        <v>9.5</v>
      </c>
      <c r="AC984" t="inlineStr">
        <is>
          <t xml:space="preserve"> On-Piste Carving</t>
        </is>
      </c>
      <c r="AG984" t="inlineStr">
        <is>
          <t>Rossignol NOVA 6 F/XP W 11 GW 156cm</t>
        </is>
      </c>
      <c r="AH984" t="inlineStr">
        <is>
          <t>Sundance Ski and Board Shop</t>
        </is>
      </c>
      <c r="AI984" s="333" t="n">
        <v>400.72</v>
      </c>
      <c r="AJ984" t="inlineStr">
        <is>
          <t>https://tinyurl.com/y6ux5wjz</t>
        </is>
      </c>
      <c r="AK984" t="inlineStr">
        <is>
          <t>Women's Rossignol Nova 6 Skis + Xpress 11 GW Bindings 2021 - 156</t>
        </is>
      </c>
      <c r="AL984" t="inlineStr">
        <is>
          <t>The-House.com</t>
        </is>
      </c>
      <c r="AM984" s="333" t="n">
        <v>479.95</v>
      </c>
      <c r="AN984" t="inlineStr">
        <is>
          <t>https://tinyurl.com/y9mlwh27</t>
        </is>
      </c>
      <c r="AO984" t="inlineStr">
        <is>
          <t>Women's Rossignol Nova 6 Skis + Xpress 11 GW Bindings 2021 - 156</t>
        </is>
      </c>
      <c r="AP984" t="inlineStr">
        <is>
          <t>WinterWomen.com</t>
        </is>
      </c>
      <c r="AQ984" s="333" t="n">
        <v>599.95</v>
      </c>
      <c r="AR984" t="inlineStr">
        <is>
          <t>https://tinyurl.com/ydy8uxga</t>
        </is>
      </c>
      <c r="AS984" s="314">
        <f>IF(LEFT(C984,1)=" ",RIGHT(C984,LEN(C984)-1),C984)</f>
        <v/>
      </c>
      <c r="AT984" s="281">
        <f>_xlfn.CONCAT(B984,AS984,D984,E984)</f>
        <v/>
      </c>
    </row>
    <row r="985">
      <c r="A985" t="inlineStr">
        <is>
          <t>21/22</t>
        </is>
      </c>
      <c r="B985" t="inlineStr">
        <is>
          <t xml:space="preserve"> Fischer</t>
        </is>
      </c>
      <c r="C985" t="inlineStr">
        <is>
          <t xml:space="preserve"> Nightstick Team</t>
        </is>
      </c>
      <c r="D985" t="n">
        <v>161</v>
      </c>
      <c r="E985" t="inlineStr">
        <is>
          <t xml:space="preserve"> Junior</t>
        </is>
      </c>
      <c r="F985" t="n">
        <v>161</v>
      </c>
      <c r="G985" t="n">
        <v>159.1</v>
      </c>
      <c r="H985" t="n">
        <v>130</v>
      </c>
      <c r="I985" t="n">
        <v>141</v>
      </c>
      <c r="J985" t="n">
        <v>118</v>
      </c>
      <c r="K985" t="n">
        <v>82</v>
      </c>
      <c r="L985" t="n">
        <v>107</v>
      </c>
      <c r="M985" t="n">
        <v>15.7</v>
      </c>
      <c r="N985" t="n">
        <v>1564</v>
      </c>
      <c r="O985" t="n">
        <v>0.95</v>
      </c>
      <c r="P985" t="n">
        <v>1482</v>
      </c>
      <c r="Q985" t="n">
        <v>156</v>
      </c>
      <c r="R985" t="n">
        <v>56</v>
      </c>
      <c r="S985" t="n">
        <v>47</v>
      </c>
      <c r="T985" t="n">
        <v>156</v>
      </c>
      <c r="U985" t="n">
        <v>36</v>
      </c>
      <c r="V985" t="n">
        <v>139</v>
      </c>
      <c r="W985" t="n">
        <v>0.752</v>
      </c>
      <c r="X985" t="n">
        <v>94</v>
      </c>
      <c r="Y985" t="n">
        <v>90</v>
      </c>
      <c r="Z985" t="n">
        <v>62</v>
      </c>
      <c r="AA985" t="n">
        <v>9</v>
      </c>
      <c r="AB985" t="n">
        <v>-1.3</v>
      </c>
      <c r="AC985" t="inlineStr">
        <is>
          <t xml:space="preserve"> Resort Freeride</t>
        </is>
      </c>
      <c r="AG985" t="inlineStr">
        <is>
          <t>Fischer Nightstick Team Jr. 161cm</t>
        </is>
      </c>
      <c r="AH985" t="inlineStr">
        <is>
          <t>Sundance Ski and Board Shop</t>
        </is>
      </c>
      <c r="AI985" s="333" t="n">
        <v>200.35</v>
      </c>
      <c r="AJ985" t="inlineStr">
        <is>
          <t>https://tinyurl.com/yamwxwht</t>
        </is>
      </c>
      <c r="AK985" t="inlineStr">
        <is>
          <t>Fischer RC ONE 86 GT Flat Skis 2021</t>
        </is>
      </c>
      <c r="AL985" t="inlineStr">
        <is>
          <t>Level Nine Sports</t>
        </is>
      </c>
      <c r="AM985" s="333" t="n">
        <v>399.99</v>
      </c>
      <c r="AN985" t="inlineStr">
        <is>
          <t>https://tinyurl.com/yb5dak8b</t>
        </is>
      </c>
      <c r="AO985" t="inlineStr">
        <is>
          <t>Fischer GT 86 Skis with Integrated Fischer Binding 161cm (2100702)</t>
        </is>
      </c>
      <c r="AP985" t="inlineStr">
        <is>
          <t>SidelineSwap</t>
        </is>
      </c>
      <c r="AQ985" s="333" t="n">
        <v>499</v>
      </c>
      <c r="AR985" t="inlineStr">
        <is>
          <t>https://tinyurl.com/ycswnu6b</t>
        </is>
      </c>
      <c r="AS985" s="314">
        <f>IF(LEFT(C985,1)=" ",RIGHT(C985,LEN(C985)-1),C985)</f>
        <v/>
      </c>
      <c r="AT985" s="281">
        <f>_xlfn.CONCAT(B985,AS985,D985,E985)</f>
        <v/>
      </c>
    </row>
    <row r="986">
      <c r="A986" t="inlineStr">
        <is>
          <t>21/22</t>
        </is>
      </c>
      <c r="B986" t="inlineStr">
        <is>
          <t xml:space="preserve"> Dynastar</t>
        </is>
      </c>
      <c r="C986" t="inlineStr">
        <is>
          <t>M-Menace 90</t>
        </is>
      </c>
      <c r="D986" t="n">
        <v>150</v>
      </c>
      <c r="E986" t="inlineStr">
        <is>
          <t xml:space="preserve"> Unisex</t>
        </is>
      </c>
      <c r="F986" t="n">
        <v>150</v>
      </c>
      <c r="G986" t="n">
        <v>148.5</v>
      </c>
      <c r="H986" t="n">
        <v>100</v>
      </c>
      <c r="I986" t="n">
        <v>123</v>
      </c>
      <c r="J986" t="n">
        <v>118</v>
      </c>
      <c r="K986" t="n">
        <v>89</v>
      </c>
      <c r="L986" t="n">
        <v>107</v>
      </c>
      <c r="M986" t="n">
        <v>17</v>
      </c>
      <c r="N986" t="n">
        <v>1464</v>
      </c>
      <c r="O986" t="n">
        <v>0.99</v>
      </c>
      <c r="P986" t="n">
        <v>1453</v>
      </c>
      <c r="Q986" t="n">
        <v>149</v>
      </c>
      <c r="R986" t="n">
        <v>60</v>
      </c>
      <c r="S986" t="n">
        <v>50</v>
      </c>
      <c r="T986" t="n">
        <v>258</v>
      </c>
      <c r="U986" t="n">
        <v>31</v>
      </c>
      <c r="V986" t="n">
        <v>227</v>
      </c>
      <c r="W986" t="n">
        <v>0.63</v>
      </c>
      <c r="X986" t="n">
        <v>126</v>
      </c>
      <c r="Y986" t="n">
        <v>132</v>
      </c>
      <c r="Z986" t="n">
        <v>132</v>
      </c>
      <c r="AA986" t="n">
        <v>5</v>
      </c>
      <c r="AB986" t="n">
        <v>6.8</v>
      </c>
      <c r="AC986" t="inlineStr">
        <is>
          <t xml:space="preserve"> Resort Freeride</t>
        </is>
      </c>
      <c r="AG986" t="inlineStr">
        <is>
          <t>Dynastar M-MENACE 90 Skis 2022</t>
        </is>
      </c>
      <c r="AH986" t="inlineStr">
        <is>
          <t>Level Nine Sports</t>
        </is>
      </c>
      <c r="AI986" s="333" t="n">
        <v>349.95</v>
      </c>
      <c r="AJ986" t="inlineStr">
        <is>
          <t>https://tinyurl.com/ycvf2a44</t>
        </is>
      </c>
      <c r="AK986" t="inlineStr">
        <is>
          <t>Dynastar Menace 90 Xpress Ski w/ Look XP 11 GW Ski Bindings - 2022 150cm w/Look XP 10 GW 93mm Bindings</t>
        </is>
      </c>
      <c r="AL986" t="inlineStr">
        <is>
          <t>Glacier Ski Shop</t>
        </is>
      </c>
      <c r="AM986" s="333" t="n">
        <v>398</v>
      </c>
      <c r="AN986" t="inlineStr">
        <is>
          <t>https://tinyurl.com/y8aroeah</t>
        </is>
      </c>
      <c r="AO986" t="inlineStr">
        <is>
          <t>M Menace 90 150</t>
        </is>
      </c>
      <c r="AP986" t="inlineStr">
        <is>
          <t>Suburban Ski and Bike</t>
        </is>
      </c>
      <c r="AQ986" s="333" t="n">
        <v>349.95</v>
      </c>
      <c r="AR986" t="inlineStr">
        <is>
          <t>https://tinyurl.com/ybz56dwp</t>
        </is>
      </c>
      <c r="AS986" s="314">
        <f>IF(LEFT(C986,1)=" ",RIGHT(C986,LEN(C986)-1),C986)</f>
        <v/>
      </c>
      <c r="AT986" s="281">
        <f>_xlfn.CONCAT(B986,AS986,D986,E986)</f>
        <v/>
      </c>
    </row>
    <row r="987">
      <c r="A987" t="inlineStr">
        <is>
          <t>21/22</t>
        </is>
      </c>
      <c r="B987" t="inlineStr">
        <is>
          <t xml:space="preserve"> Salomon</t>
        </is>
      </c>
      <c r="C987" t="inlineStr">
        <is>
          <t>Stance 96</t>
        </is>
      </c>
      <c r="D987" t="n">
        <v>182</v>
      </c>
      <c r="E987" t="inlineStr">
        <is>
          <t xml:space="preserve"> Unisex</t>
        </is>
      </c>
      <c r="F987" t="n">
        <v>182</v>
      </c>
      <c r="G987" t="n">
        <v>181</v>
      </c>
      <c r="H987" t="n">
        <v>137</v>
      </c>
      <c r="I987" t="n">
        <v>152</v>
      </c>
      <c r="J987" t="n">
        <v>132</v>
      </c>
      <c r="K987" t="n">
        <v>95</v>
      </c>
      <c r="L987" t="n">
        <v>113</v>
      </c>
      <c r="M987" t="n">
        <v>19.2</v>
      </c>
      <c r="N987" t="n">
        <v>2111</v>
      </c>
      <c r="O987" t="n">
        <v>0.92</v>
      </c>
      <c r="P987" t="n">
        <v>1936</v>
      </c>
      <c r="Q987" t="n">
        <v>238</v>
      </c>
      <c r="R987" t="n">
        <v>133</v>
      </c>
      <c r="S987" t="n">
        <v>49</v>
      </c>
      <c r="T987" t="n">
        <v>245</v>
      </c>
      <c r="U987" t="n">
        <v>9</v>
      </c>
      <c r="V987" t="n">
        <v>193</v>
      </c>
      <c r="W987" t="n">
        <v>0.191</v>
      </c>
      <c r="X987" t="n">
        <v>159</v>
      </c>
      <c r="Y987" t="n">
        <v>134</v>
      </c>
      <c r="Z987" t="n">
        <v>86</v>
      </c>
      <c r="AA987" t="n">
        <v>9</v>
      </c>
      <c r="AB987" t="n">
        <v>9.6</v>
      </c>
      <c r="AC987" t="inlineStr">
        <is>
          <t xml:space="preserve"> Resort Freeride</t>
        </is>
      </c>
      <c r="AG987" t="inlineStr">
        <is>
          <t xml:space="preserve"> 2021 Salomon Stance 96 Demo Ski with Bindings Size 182 (Option 210067)</t>
        </is>
      </c>
      <c r="AH987" t="inlineStr">
        <is>
          <t>SidelineSwap</t>
        </is>
      </c>
      <c r="AI987" s="333" t="n">
        <v>449</v>
      </c>
      <c r="AJ987" t="inlineStr">
        <is>
          <t>https://tinyurl.com/yarcy6qs</t>
        </is>
      </c>
      <c r="AK987" t="inlineStr">
        <is>
          <t>Salomon N Stance 96 182cm</t>
        </is>
      </c>
      <c r="AL987" t="inlineStr">
        <is>
          <t>Sundance Ski and Board Shop</t>
        </is>
      </c>
      <c r="AM987" s="333" t="n">
        <v>480.86</v>
      </c>
      <c r="AN987" t="inlineStr">
        <is>
          <t>https://tinyurl.com/y9v7ybmt</t>
        </is>
      </c>
      <c r="AO987" t="inlineStr">
        <is>
          <t>Salomon Stance 96 Skis</t>
        </is>
      </c>
      <c r="AP987" t="inlineStr">
        <is>
          <t>Gorham Bike and Ski</t>
        </is>
      </c>
      <c r="AQ987" s="333" t="n">
        <v>489.99</v>
      </c>
      <c r="AR987" t="inlineStr">
        <is>
          <t>https://tinyurl.com/ya22cxc8</t>
        </is>
      </c>
      <c r="AS987" s="314">
        <f>IF(LEFT(C987,1)=" ",RIGHT(C987,LEN(C987)-1),C987)</f>
        <v/>
      </c>
      <c r="AT987" s="281">
        <f>_xlfn.CONCAT(B987,AS987,D987,E987)</f>
        <v/>
      </c>
    </row>
    <row r="988">
      <c r="A988" t="inlineStr">
        <is>
          <t>21/22</t>
        </is>
      </c>
      <c r="B988" t="inlineStr">
        <is>
          <t xml:space="preserve"> Liberty</t>
        </is>
      </c>
      <c r="C988" t="inlineStr">
        <is>
          <t>Genesis 90</t>
        </is>
      </c>
      <c r="D988" t="n">
        <v>151</v>
      </c>
      <c r="E988" t="inlineStr">
        <is>
          <t xml:space="preserve"> Women's</t>
        </is>
      </c>
      <c r="F988" t="n">
        <v>151</v>
      </c>
      <c r="G988" t="n">
        <v>150.2</v>
      </c>
      <c r="H988" t="n">
        <v>91</v>
      </c>
      <c r="I988" t="n">
        <v>121</v>
      </c>
      <c r="J988" t="n">
        <v>125</v>
      </c>
      <c r="K988" t="n">
        <v>90</v>
      </c>
      <c r="L988" t="n">
        <v>111</v>
      </c>
      <c r="M988" t="n">
        <v>11.8</v>
      </c>
      <c r="N988" t="n">
        <v>1420</v>
      </c>
      <c r="O988" t="n">
        <v>1.07</v>
      </c>
      <c r="P988" t="n">
        <v>1516</v>
      </c>
      <c r="Q988" t="n">
        <v>144</v>
      </c>
      <c r="R988" t="n">
        <v>72</v>
      </c>
      <c r="S988" t="n">
        <v>44</v>
      </c>
      <c r="T988" t="n">
        <v>351</v>
      </c>
      <c r="U988" t="n">
        <v>21</v>
      </c>
      <c r="V988" t="n">
        <v>243</v>
      </c>
      <c r="W988" t="n">
        <v>0.486</v>
      </c>
      <c r="X988" t="n">
        <v>135</v>
      </c>
      <c r="Y988" t="n">
        <v>157</v>
      </c>
      <c r="Z988" t="n">
        <v>216</v>
      </c>
      <c r="AA988" t="n">
        <v>4</v>
      </c>
      <c r="AB988" t="n">
        <v>7.8</v>
      </c>
      <c r="AC988" t="inlineStr">
        <is>
          <t xml:space="preserve"> Resort Freeride</t>
        </is>
      </c>
      <c r="AD988" t="inlineStr">
        <is>
          <t xml:space="preserve"> Touring</t>
        </is>
      </c>
      <c r="AG988" t="inlineStr">
        <is>
          <t>'21 Liberty Genesis 90 151cm (Tail Blem)</t>
        </is>
      </c>
      <c r="AH988" t="inlineStr">
        <is>
          <t>Al's Ski Equipment Barn</t>
        </is>
      </c>
      <c r="AI988" s="333" t="n">
        <v>369.95</v>
      </c>
      <c r="AJ988" t="inlineStr">
        <is>
          <t>https://tinyurl.com/yd7rhmxo</t>
        </is>
      </c>
      <c r="AK988" t="inlineStr">
        <is>
          <t>Liberty Genesis 90 Women's Skis - 2022 - 151cm</t>
        </is>
      </c>
      <c r="AL988" t="inlineStr">
        <is>
          <t>ColoradoSkiShop.com</t>
        </is>
      </c>
      <c r="AM988" s="333" t="n">
        <v>439.99</v>
      </c>
      <c r="AN988" t="inlineStr">
        <is>
          <t>https://tinyurl.com/y8ugo7xp</t>
        </is>
      </c>
      <c r="AO988" t="inlineStr">
        <is>
          <t>2022 Liberty Genesis 101 Women's Skis w/ Tyrolia Attack2 13 GW Bindings - 151| Ski Essentials</t>
        </is>
      </c>
      <c r="AP988" t="inlineStr">
        <is>
          <t>eBay - david110549</t>
        </is>
      </c>
      <c r="AQ988" s="333" t="n">
        <v>624.99</v>
      </c>
      <c r="AR988" t="inlineStr">
        <is>
          <t>https://tinyurl.com/y7ts6e3n</t>
        </is>
      </c>
      <c r="AS988" s="314">
        <f>IF(LEFT(C988,1)=" ",RIGHT(C988,LEN(C988)-1),C988)</f>
        <v/>
      </c>
      <c r="AT988" s="281">
        <f>_xlfn.CONCAT(B988,AS988,D988,E988)</f>
        <v/>
      </c>
    </row>
    <row r="989">
      <c r="A989" t="inlineStr">
        <is>
          <t>21/22</t>
        </is>
      </c>
      <c r="B989" t="inlineStr">
        <is>
          <t xml:space="preserve"> Elan</t>
        </is>
      </c>
      <c r="C989" t="inlineStr">
        <is>
          <t xml:space="preserve"> Element W</t>
        </is>
      </c>
      <c r="D989" t="n">
        <v>152</v>
      </c>
      <c r="E989" t="inlineStr">
        <is>
          <t xml:space="preserve"> Women's</t>
        </is>
      </c>
      <c r="F989" t="n">
        <v>152</v>
      </c>
      <c r="G989" t="n">
        <v>151.3</v>
      </c>
      <c r="H989" t="n">
        <v>124</v>
      </c>
      <c r="I989" t="n">
        <v>138</v>
      </c>
      <c r="J989" t="n">
        <v>126</v>
      </c>
      <c r="K989" t="n">
        <v>74</v>
      </c>
      <c r="L989" t="n">
        <v>101</v>
      </c>
      <c r="M989" t="n">
        <v>12</v>
      </c>
      <c r="N989" t="n">
        <v>1553</v>
      </c>
      <c r="O989" t="n">
        <v>0.87</v>
      </c>
      <c r="P989" t="n">
        <v>1355</v>
      </c>
      <c r="Q989" t="n">
        <v>160</v>
      </c>
      <c r="R989" t="n">
        <v>53</v>
      </c>
      <c r="S989" t="n">
        <v>38</v>
      </c>
      <c r="T989" t="n">
        <v>181</v>
      </c>
      <c r="U989" t="n">
        <v>11</v>
      </c>
      <c r="V989" t="n">
        <v>92</v>
      </c>
      <c r="W989" t="n">
        <v>0.278</v>
      </c>
      <c r="X989" t="n">
        <v>76</v>
      </c>
      <c r="Y989" t="n">
        <v>55</v>
      </c>
      <c r="Z989" t="n">
        <v>105</v>
      </c>
      <c r="AA989" t="n">
        <v>6</v>
      </c>
      <c r="AB989" t="n">
        <v>10.4</v>
      </c>
      <c r="AC989" t="inlineStr">
        <is>
          <t xml:space="preserve"> Other</t>
        </is>
      </c>
      <c r="AG989" t="inlineStr">
        <is>
          <t>Elan Men's Element Skis with El 10.0 Gripwalk Shift Bindings '22</t>
        </is>
      </c>
      <c r="AH989" t="inlineStr">
        <is>
          <t>Peter Glenn Ski &amp; Sports</t>
        </is>
      </c>
      <c r="AI989" s="333" t="n">
        <v>449.99</v>
      </c>
      <c r="AJ989" t="inlineStr">
        <is>
          <t>https://tinyurl.com/yaoocojt</t>
        </is>
      </c>
      <c r="AK989" t="inlineStr">
        <is>
          <t>ELAN Men's ELEMENT BLACK SKI + ELW 10.0 Binding 152</t>
        </is>
      </c>
      <c r="AL989" t="inlineStr">
        <is>
          <t>Elevation Skate Snow</t>
        </is>
      </c>
      <c r="AM989" s="333" t="n">
        <v>449.99</v>
      </c>
      <c r="AN989" t="inlineStr">
        <is>
          <t>https://tinyurl.com/y7at6998</t>
        </is>
      </c>
      <c r="AO989" t="inlineStr">
        <is>
          <t>Elan Element Black Blue Light Shift Ski with Bindings 152</t>
        </is>
      </c>
      <c r="AP989" t="inlineStr">
        <is>
          <t>shop.petersonsskiandcycle.com</t>
        </is>
      </c>
      <c r="AQ989" s="333" t="n">
        <v>449.99</v>
      </c>
      <c r="AR989" t="inlineStr">
        <is>
          <t>https://tinyurl.com/y8pjye56</t>
        </is>
      </c>
      <c r="AS989" s="314">
        <f>IF(LEFT(C989,1)=" ",RIGHT(C989,LEN(C989)-1),C989)</f>
        <v/>
      </c>
      <c r="AT989" s="281">
        <f>_xlfn.CONCAT(B989,AS989,D989,E989)</f>
        <v/>
      </c>
    </row>
    <row r="990">
      <c r="A990" t="inlineStr">
        <is>
          <t>21/22</t>
        </is>
      </c>
      <c r="B990" t="inlineStr">
        <is>
          <t xml:space="preserve"> Head</t>
        </is>
      </c>
      <c r="C990" t="inlineStr">
        <is>
          <t xml:space="preserve"> Total Joy</t>
        </is>
      </c>
      <c r="D990" t="n">
        <v>158</v>
      </c>
      <c r="E990" t="inlineStr">
        <is>
          <t xml:space="preserve"> Women's</t>
        </is>
      </c>
      <c r="F990" t="n">
        <v>158</v>
      </c>
      <c r="G990" t="n">
        <v>157.6</v>
      </c>
      <c r="H990" t="n">
        <v>132</v>
      </c>
      <c r="I990" t="n">
        <v>140</v>
      </c>
      <c r="J990" t="n">
        <v>132</v>
      </c>
      <c r="K990" t="n">
        <v>84</v>
      </c>
      <c r="L990" t="n">
        <v>111</v>
      </c>
      <c r="M990" t="n">
        <v>12.9</v>
      </c>
      <c r="N990" t="n">
        <v>1435</v>
      </c>
      <c r="O990" t="n">
        <v>1.08</v>
      </c>
      <c r="P990" t="n">
        <v>1549</v>
      </c>
      <c r="Q990" t="n">
        <v>168</v>
      </c>
      <c r="R990" t="n">
        <v>59</v>
      </c>
      <c r="S990" t="n">
        <v>44</v>
      </c>
      <c r="T990" t="n">
        <v>185</v>
      </c>
      <c r="U990" t="n">
        <v>12</v>
      </c>
      <c r="V990" t="n">
        <v>72</v>
      </c>
      <c r="W990" t="n">
        <v>0.266</v>
      </c>
      <c r="X990" t="n">
        <v>111</v>
      </c>
      <c r="Y990" t="n">
        <v>66</v>
      </c>
      <c r="Z990" t="n">
        <v>74</v>
      </c>
      <c r="AA990" t="n">
        <v>10</v>
      </c>
      <c r="AB990" t="n">
        <v>10.1</v>
      </c>
      <c r="AC990" t="inlineStr">
        <is>
          <t xml:space="preserve"> On-Piste All-Mountain</t>
        </is>
      </c>
      <c r="AD990" t="inlineStr">
        <is>
          <t xml:space="preserve"> Resort Freeride</t>
        </is>
      </c>
      <c r="AE990" t="inlineStr">
        <is>
          <t xml:space="preserve"> Touring</t>
        </is>
      </c>
      <c r="AG990" t="inlineStr">
        <is>
          <t>16-17 Head Total Joy  Women's Demo Skis W/bindings Size 158cm</t>
        </is>
      </c>
      <c r="AH990" t="inlineStr">
        <is>
          <t>eBay - demo-skis</t>
        </is>
      </c>
      <c r="AI990" s="333" t="n">
        <v>229</v>
      </c>
      <c r="AJ990" t="inlineStr">
        <is>
          <t>https://tinyurl.com/y7dmfosy</t>
        </is>
      </c>
      <c r="AK990" t="inlineStr">
        <is>
          <t>2018 Head Total Joy 158cm W/ Head Joy 11 Binding</t>
        </is>
      </c>
      <c r="AL990" t="inlineStr">
        <is>
          <t>eBay - riverpirate999</t>
        </is>
      </c>
      <c r="AM990" s="333" t="n">
        <v>249</v>
      </c>
      <c r="AN990" t="inlineStr">
        <is>
          <t>https://tinyurl.com/ya24fa6v</t>
        </is>
      </c>
      <c r="AO990" t="inlineStr">
        <is>
          <t>Head Total Joy Skis w/ Joy 11 GW SLR Bindings</t>
        </is>
      </c>
      <c r="AP990" t="inlineStr">
        <is>
          <t>BobWards.com</t>
        </is>
      </c>
      <c r="AQ990" s="333" t="n">
        <v>570</v>
      </c>
      <c r="AR990" t="inlineStr">
        <is>
          <t>https://tinyurl.com/yakzpteq</t>
        </is>
      </c>
      <c r="AS990" s="314">
        <f>IF(LEFT(C990,1)=" ",RIGHT(C990,LEN(C990)-1),C990)</f>
        <v/>
      </c>
      <c r="AT990" s="281">
        <f>_xlfn.CONCAT(B990,AS990,D990,E990)</f>
        <v/>
      </c>
    </row>
    <row r="991">
      <c r="A991" t="inlineStr">
        <is>
          <t>21/22</t>
        </is>
      </c>
      <c r="B991" t="inlineStr">
        <is>
          <t xml:space="preserve"> Head</t>
        </is>
      </c>
      <c r="C991" t="inlineStr">
        <is>
          <t>Kore 117</t>
        </is>
      </c>
      <c r="D991" t="n">
        <v>177</v>
      </c>
      <c r="E991" t="inlineStr">
        <is>
          <t xml:space="preserve"> Unisex</t>
        </is>
      </c>
      <c r="F991" t="n">
        <v>177</v>
      </c>
      <c r="G991" t="n">
        <v>175.7</v>
      </c>
      <c r="H991" t="n">
        <v>111</v>
      </c>
      <c r="I991" t="n">
        <v>137</v>
      </c>
      <c r="J991" t="n">
        <v>142</v>
      </c>
      <c r="K991" t="n">
        <v>114</v>
      </c>
      <c r="L991" t="n">
        <v>126</v>
      </c>
      <c r="M991" t="n">
        <v>23</v>
      </c>
      <c r="N991" t="n">
        <v>1835</v>
      </c>
      <c r="O991" t="n">
        <v>1.17</v>
      </c>
      <c r="P991" t="n">
        <v>2150</v>
      </c>
      <c r="Q991" t="n">
        <v>273</v>
      </c>
      <c r="R991" t="n">
        <v>138</v>
      </c>
      <c r="S991" t="n">
        <v>67</v>
      </c>
      <c r="T991" t="n">
        <v>285</v>
      </c>
      <c r="U991" t="n">
        <v>21</v>
      </c>
      <c r="V991" t="n">
        <v>365</v>
      </c>
      <c r="W991" t="n">
        <v>0.309</v>
      </c>
      <c r="X991" t="n">
        <v>233</v>
      </c>
      <c r="Y991" t="n">
        <v>152</v>
      </c>
      <c r="Z991" t="n">
        <v>52</v>
      </c>
      <c r="AA991" t="n">
        <v>4</v>
      </c>
      <c r="AB991" t="n">
        <v>6.6</v>
      </c>
      <c r="AC991" t="inlineStr">
        <is>
          <t xml:space="preserve"> Big Mountain</t>
        </is>
      </c>
      <c r="AD991" t="inlineStr">
        <is>
          <t xml:space="preserve"> Touring</t>
        </is>
      </c>
      <c r="AG991" t="inlineStr">
        <is>
          <t>Head Kore 117 Skis Â· 2022 Â· 177 cm</t>
        </is>
      </c>
      <c r="AH991" t="inlineStr">
        <is>
          <t>! OutdoorXL.com</t>
        </is>
      </c>
      <c r="AI991" s="333" t="n">
        <v>564.95</v>
      </c>
      <c r="AJ991" t="inlineStr">
        <is>
          <t>https://tinyurl.com/y7fk4j67</t>
        </is>
      </c>
      <c r="AK991" t="inlineStr">
        <is>
          <t>Head Kore 117 Skis Â· 2022 Â· 177 cm</t>
        </is>
      </c>
      <c r="AL991" t="inlineStr">
        <is>
          <t>Powder7 Ski Shop</t>
        </is>
      </c>
      <c r="AM991" s="333" t="n">
        <v>569</v>
      </c>
      <c r="AN991" t="inlineStr">
        <is>
          <t>https://tinyurl.com/yag27vln</t>
        </is>
      </c>
      <c r="AO991" t="inlineStr">
        <is>
          <t>Head Kore 117 Skis Â· 2022 Â· 177 cm</t>
        </is>
      </c>
      <c r="AP991" t="inlineStr">
        <is>
          <t>evo.com</t>
        </is>
      </c>
      <c r="AQ991" s="333" t="n">
        <v>599</v>
      </c>
      <c r="AR991" t="inlineStr">
        <is>
          <t>https://tinyurl.com/yc9lm743</t>
        </is>
      </c>
      <c r="AS991" s="314">
        <f>IF(LEFT(C991,1)=" ",RIGHT(C991,LEN(C991)-1),C991)</f>
        <v/>
      </c>
      <c r="AT991" s="281">
        <f>_xlfn.CONCAT(B991,AS991,D991,E991)</f>
        <v/>
      </c>
    </row>
    <row r="992">
      <c r="A992" t="inlineStr">
        <is>
          <t>21/22</t>
        </is>
      </c>
      <c r="B992" t="inlineStr">
        <is>
          <t xml:space="preserve"> Vï¿½lkl</t>
        </is>
      </c>
      <c r="C992" t="inlineStr">
        <is>
          <t>Bash 86 W</t>
        </is>
      </c>
      <c r="D992" t="n">
        <v>148</v>
      </c>
      <c r="E992" t="inlineStr">
        <is>
          <t xml:space="preserve"> Women's</t>
        </is>
      </c>
      <c r="F992" t="n">
        <v>148</v>
      </c>
      <c r="G992" t="n">
        <v>147.8</v>
      </c>
      <c r="H992" t="n">
        <v>110</v>
      </c>
      <c r="I992" t="n">
        <v>133</v>
      </c>
      <c r="J992" t="n">
        <v>119</v>
      </c>
      <c r="K992" t="n">
        <v>85</v>
      </c>
      <c r="L992" t="n">
        <v>109</v>
      </c>
      <c r="M992" t="n">
        <v>14.7</v>
      </c>
      <c r="N992" t="n">
        <v>1429</v>
      </c>
      <c r="O992" t="n">
        <v>0.99</v>
      </c>
      <c r="P992" t="n">
        <v>1414</v>
      </c>
      <c r="Q992" t="n">
        <v>144</v>
      </c>
      <c r="R992" t="n">
        <v>68</v>
      </c>
      <c r="S992" t="n">
        <v>39</v>
      </c>
      <c r="T992" t="n">
        <v>205</v>
      </c>
      <c r="U992" t="n">
        <v>39</v>
      </c>
      <c r="V992" t="n">
        <v>177</v>
      </c>
      <c r="W992" t="n">
        <v>1.003</v>
      </c>
      <c r="X992" t="n">
        <v>78</v>
      </c>
      <c r="Y992" t="n">
        <v>71</v>
      </c>
      <c r="Z992" t="n">
        <v>127</v>
      </c>
      <c r="AA992" t="n">
        <v>3</v>
      </c>
      <c r="AB992" t="n">
        <v>1.9</v>
      </c>
      <c r="AC992" t="inlineStr">
        <is>
          <t xml:space="preserve"> Freeski</t>
        </is>
      </c>
      <c r="AG992" t="inlineStr">
        <is>
          <t>Volkl Bash 86 W 148cm</t>
        </is>
      </c>
      <c r="AH992" t="inlineStr">
        <is>
          <t>PRFO Sports</t>
        </is>
      </c>
      <c r="AI992" s="333" t="n">
        <v>252.45</v>
      </c>
      <c r="AJ992" t="inlineStr">
        <is>
          <t>https://tinyurl.com/yb2a2t9f</t>
        </is>
      </c>
      <c r="AK992" t="inlineStr">
        <is>
          <t>W Bash 86 2022 148cm</t>
        </is>
      </c>
      <c r="AL992" t="inlineStr">
        <is>
          <t>Suburban Ski and Bike</t>
        </is>
      </c>
      <c r="AM992" s="333" t="n">
        <v>399.99</v>
      </c>
      <c r="AN992" t="inlineStr">
        <is>
          <t>https://tinyurl.com/y93ztdu8</t>
        </is>
      </c>
      <c r="AO992" t="inlineStr">
        <is>
          <t>Volkl Bash 86 Women's Skis 2020</t>
        </is>
      </c>
      <c r="AP992" t="inlineStr">
        <is>
          <t>Aspen East</t>
        </is>
      </c>
      <c r="AQ992" s="333" t="n">
        <v>299</v>
      </c>
      <c r="AR992" t="inlineStr">
        <is>
          <t>https://tinyurl.com/y8meybe8</t>
        </is>
      </c>
      <c r="AS992" s="314">
        <f>IF(LEFT(C992,1)=" ",RIGHT(C992,LEN(C992)-1),C992)</f>
        <v/>
      </c>
      <c r="AT992" s="281">
        <f>_xlfn.CONCAT(B992,AS992,D992,E992)</f>
        <v/>
      </c>
    </row>
    <row r="993">
      <c r="A993" t="inlineStr">
        <is>
          <t>21/22</t>
        </is>
      </c>
      <c r="B993" t="inlineStr">
        <is>
          <t xml:space="preserve"> Armada</t>
        </is>
      </c>
      <c r="C993" t="inlineStr">
        <is>
          <t xml:space="preserve"> Tantrum</t>
        </is>
      </c>
      <c r="D993" t="n">
        <v>147</v>
      </c>
      <c r="E993" t="inlineStr">
        <is>
          <t xml:space="preserve"> Junior</t>
        </is>
      </c>
      <c r="F993" t="n">
        <v>147</v>
      </c>
      <c r="G993" t="n">
        <v>146</v>
      </c>
      <c r="H993" t="n">
        <v>96</v>
      </c>
      <c r="I993" t="n">
        <v>106</v>
      </c>
      <c r="J993" t="n">
        <v>127</v>
      </c>
      <c r="K993" t="n">
        <v>98</v>
      </c>
      <c r="L993" t="n">
        <v>117</v>
      </c>
      <c r="M993" t="n">
        <v>10.1</v>
      </c>
      <c r="N993" t="n">
        <v>1409</v>
      </c>
      <c r="O993" t="n">
        <v>1.13</v>
      </c>
      <c r="P993" t="n">
        <v>1591</v>
      </c>
      <c r="Q993" t="n">
        <v>123</v>
      </c>
      <c r="R993" t="n">
        <v>71</v>
      </c>
      <c r="S993" t="n">
        <v>46</v>
      </c>
      <c r="T993" t="n">
        <v>349</v>
      </c>
      <c r="U993" t="n">
        <v>34</v>
      </c>
      <c r="V993" t="n">
        <v>152</v>
      </c>
      <c r="W993" t="n">
        <v>0.741</v>
      </c>
      <c r="X993" t="n">
        <v>262</v>
      </c>
      <c r="Y993" t="n">
        <v>135</v>
      </c>
      <c r="Z993" t="n">
        <v>87</v>
      </c>
      <c r="AA993" t="n">
        <v>8</v>
      </c>
      <c r="AB993" t="n">
        <v>8</v>
      </c>
      <c r="AC993" t="inlineStr">
        <is>
          <t xml:space="preserve"> Resort Freeride</t>
        </is>
      </c>
      <c r="AD993" t="inlineStr">
        <is>
          <t xml:space="preserve"> Touring</t>
        </is>
      </c>
      <c r="AG993" t="inlineStr">
        <is>
          <t>Armada Tantrum Skis Â· 2022 Â· 147 cm</t>
        </is>
      </c>
      <c r="AH993" t="inlineStr">
        <is>
          <t>Ski Pro  - Snow Ski &amp; Snowboard</t>
        </is>
      </c>
      <c r="AI993" s="333" t="n">
        <v>319.95</v>
      </c>
      <c r="AJ993" t="inlineStr">
        <is>
          <t>https://tinyurl.com/yaqjnwck</t>
        </is>
      </c>
      <c r="AK993" t="inlineStr">
        <is>
          <t>Armada Tantrum Skis Â· 2022 Â· 147 cm</t>
        </is>
      </c>
      <c r="AL993" t="inlineStr">
        <is>
          <t>evo.com</t>
        </is>
      </c>
      <c r="AM993" s="333" t="n">
        <v>319.96</v>
      </c>
      <c r="AN993" t="inlineStr">
        <is>
          <t>https://tinyurl.com/y9y9o94m</t>
        </is>
      </c>
      <c r="AO993" t="inlineStr">
        <is>
          <t>Armada Tantrum Skis Â· 2022 Â· 147 cm</t>
        </is>
      </c>
      <c r="AP993" t="inlineStr">
        <is>
          <t>Next Adventure</t>
        </is>
      </c>
      <c r="AQ993" s="333" t="n">
        <v>319.96</v>
      </c>
      <c r="AR993" t="inlineStr">
        <is>
          <t>https://tinyurl.com/ybnkxhlz</t>
        </is>
      </c>
      <c r="AS993" s="314">
        <f>IF(LEFT(C993,1)=" ",RIGHT(C993,LEN(C993)-1),C993)</f>
        <v/>
      </c>
      <c r="AT993" s="281">
        <f>_xlfn.CONCAT(B993,AS993,D993,E993)</f>
        <v/>
      </c>
    </row>
    <row r="994">
      <c r="A994" t="inlineStr">
        <is>
          <t>21/22</t>
        </is>
      </c>
      <c r="B994" t="inlineStr">
        <is>
          <t xml:space="preserve"> Blizzard</t>
        </is>
      </c>
      <c r="C994" t="inlineStr">
        <is>
          <t>Sheeva 9</t>
        </is>
      </c>
      <c r="D994" t="n">
        <v>148</v>
      </c>
      <c r="E994" t="inlineStr">
        <is>
          <t xml:space="preserve"> Women's</t>
        </is>
      </c>
      <c r="F994" t="n">
        <v>148</v>
      </c>
      <c r="G994" t="n">
        <v>147.3</v>
      </c>
      <c r="H994" t="n">
        <v>103</v>
      </c>
      <c r="I994" t="n">
        <v>115</v>
      </c>
      <c r="J994" t="n">
        <v>117</v>
      </c>
      <c r="K994" t="n">
        <v>89</v>
      </c>
      <c r="L994" t="n">
        <v>107</v>
      </c>
      <c r="M994" t="n">
        <v>12.7</v>
      </c>
      <c r="N994" t="n">
        <v>1323</v>
      </c>
      <c r="O994" t="n">
        <v>1.1</v>
      </c>
      <c r="P994" t="n">
        <v>1457</v>
      </c>
      <c r="Q994" t="n">
        <v>122</v>
      </c>
      <c r="R994" t="n">
        <v>59</v>
      </c>
      <c r="S994" t="n">
        <v>48</v>
      </c>
      <c r="T994" t="n">
        <v>269</v>
      </c>
      <c r="U994" t="n">
        <v>21</v>
      </c>
      <c r="V994" t="n">
        <v>172</v>
      </c>
      <c r="W994" t="n">
        <v>0.435</v>
      </c>
      <c r="X994" t="n">
        <v>149</v>
      </c>
      <c r="Y994" t="n">
        <v>174</v>
      </c>
      <c r="Z994" t="n">
        <v>121</v>
      </c>
      <c r="AA994" t="n">
        <v>5</v>
      </c>
      <c r="AB994" t="n">
        <v>6.5</v>
      </c>
      <c r="AC994" t="inlineStr">
        <is>
          <t xml:space="preserve"> Resort Freeride</t>
        </is>
      </c>
      <c r="AD994" t="inlineStr">
        <is>
          <t xml:space="preserve"> Touring</t>
        </is>
      </c>
      <c r="AG994" t="inlineStr">
        <is>
          <t>Blizzard Sheeva 9 (Flat) Skis - Women's 2021 148cm / Teal</t>
        </is>
      </c>
      <c r="AH994" t="inlineStr">
        <is>
          <t>SportÃ¨que</t>
        </is>
      </c>
      <c r="AI994" s="333" t="n">
        <v>476.85</v>
      </c>
      <c r="AJ994" t="inlineStr">
        <is>
          <t>https://tinyurl.com/yatcmgsp</t>
        </is>
      </c>
      <c r="AK994" t="inlineStr">
        <is>
          <t>Blizzard Sheeva 9 Skis</t>
        </is>
      </c>
      <c r="AL994" t="inlineStr">
        <is>
          <t>Powder7 Ski Shop</t>
        </is>
      </c>
      <c r="AM994" s="333" t="n">
        <v>479.93</v>
      </c>
      <c r="AN994" t="inlineStr">
        <is>
          <t>https://tinyurl.com/y9uxj965</t>
        </is>
      </c>
      <c r="AO994" t="inlineStr">
        <is>
          <t>Blizzard Sheeva 9 Skis</t>
        </is>
      </c>
      <c r="AP994" t="inlineStr">
        <is>
          <t>AlpineShopVT.com</t>
        </is>
      </c>
      <c r="AQ994" s="333" t="n">
        <v>479.95</v>
      </c>
      <c r="AR994" t="inlineStr">
        <is>
          <t>https://tinyurl.com/y78zjnr8</t>
        </is>
      </c>
      <c r="AS994" s="314">
        <f>IF(LEFT(C994,1)=" ",RIGHT(C994,LEN(C994)-1),C994)</f>
        <v/>
      </c>
      <c r="AT994" s="281">
        <f>_xlfn.CONCAT(B994,AS994,D994,E994)</f>
        <v/>
      </c>
    </row>
    <row r="995">
      <c r="A995" t="inlineStr">
        <is>
          <t>21/22</t>
        </is>
      </c>
      <c r="B995" t="inlineStr">
        <is>
          <t xml:space="preserve"> Blizzard</t>
        </is>
      </c>
      <c r="C995" t="inlineStr">
        <is>
          <t>Black Pearl 82</t>
        </is>
      </c>
      <c r="D995" t="n">
        <v>145</v>
      </c>
      <c r="E995" t="inlineStr">
        <is>
          <t xml:space="preserve"> Women's</t>
        </is>
      </c>
      <c r="F995" t="n">
        <v>145</v>
      </c>
      <c r="G995" t="n">
        <v>143.5</v>
      </c>
      <c r="H995" t="n">
        <v>112</v>
      </c>
      <c r="I995" t="n">
        <v>121</v>
      </c>
      <c r="J995" t="n">
        <v>118</v>
      </c>
      <c r="K995" t="n">
        <v>81</v>
      </c>
      <c r="L995" t="n">
        <v>102</v>
      </c>
      <c r="M995" t="n">
        <v>11.7</v>
      </c>
      <c r="N995" t="n">
        <v>1395</v>
      </c>
      <c r="O995" t="n">
        <v>0.96</v>
      </c>
      <c r="P995" t="n">
        <v>1335</v>
      </c>
      <c r="Q995" t="n">
        <v>123</v>
      </c>
      <c r="R995" t="n">
        <v>66</v>
      </c>
      <c r="S995" t="n">
        <v>52</v>
      </c>
      <c r="T995" t="n">
        <v>204</v>
      </c>
      <c r="U995" t="n">
        <v>7</v>
      </c>
      <c r="V995" t="n">
        <v>111</v>
      </c>
      <c r="W995" t="n">
        <v>0.14</v>
      </c>
      <c r="X995" t="n">
        <v>121</v>
      </c>
      <c r="Y995" t="n">
        <v>107</v>
      </c>
      <c r="Z995" t="n">
        <v>83</v>
      </c>
      <c r="AA995" t="n">
        <v>5</v>
      </c>
      <c r="AB995" t="n">
        <v>10.9</v>
      </c>
      <c r="AC995" t="inlineStr">
        <is>
          <t xml:space="preserve"> On-Piste All-Mountain</t>
        </is>
      </c>
      <c r="AD995" t="inlineStr">
        <is>
          <t xml:space="preserve"> Resort Freeride</t>
        </is>
      </c>
      <c r="AG995" t="inlineStr">
        <is>
          <t>Blizzard Black Pearl 82 145cm with Marker Squire Bindings</t>
        </is>
      </c>
      <c r="AH995" t="inlineStr">
        <is>
          <t>Requipper</t>
        </is>
      </c>
      <c r="AI995" s="333" t="n">
        <v>450</v>
      </c>
      <c r="AJ995" t="inlineStr">
        <is>
          <t>https://tinyurl.com/y6v5hjgg</t>
        </is>
      </c>
      <c r="AK995" t="inlineStr">
        <is>
          <t>Blizzard Black Pearl 82 2021</t>
        </is>
      </c>
      <c r="AL995" t="inlineStr">
        <is>
          <t>Powder7 Ski Shop</t>
        </is>
      </c>
      <c r="AM995" s="333" t="n">
        <v>489.93</v>
      </c>
      <c r="AN995" t="inlineStr">
        <is>
          <t>https://tinyurl.com/ycgsh4p8</t>
        </is>
      </c>
      <c r="AO995" t="inlineStr">
        <is>
          <t>Blizzard Black Pearl 82 2021</t>
        </is>
      </c>
      <c r="AP995" t="inlineStr">
        <is>
          <t>Eskimo Ski &amp; Board Shop</t>
        </is>
      </c>
      <c r="AQ995" s="333" t="n">
        <v>539.95</v>
      </c>
      <c r="AR995" t="inlineStr">
        <is>
          <t>https://tinyurl.com/y8oaqwtd</t>
        </is>
      </c>
      <c r="AS995" s="314">
        <f>IF(LEFT(C995,1)=" ",RIGHT(C995,LEN(C995)-1),C995)</f>
        <v/>
      </c>
      <c r="AT995" s="281">
        <f>_xlfn.CONCAT(B995,AS995,D995,E995)</f>
        <v/>
      </c>
    </row>
    <row r="996">
      <c r="A996" t="inlineStr">
        <is>
          <t>21/22</t>
        </is>
      </c>
      <c r="B996" t="inlineStr">
        <is>
          <t xml:space="preserve"> Elan</t>
        </is>
      </c>
      <c r="C996" t="inlineStr">
        <is>
          <t xml:space="preserve"> Element</t>
        </is>
      </c>
      <c r="D996" t="n">
        <v>152</v>
      </c>
      <c r="E996" t="inlineStr">
        <is>
          <t xml:space="preserve"> Unisex</t>
        </is>
      </c>
      <c r="F996" t="n">
        <v>152</v>
      </c>
      <c r="G996" t="n">
        <v>151.3</v>
      </c>
      <c r="H996" t="n">
        <v>128</v>
      </c>
      <c r="I996" t="n">
        <v>137</v>
      </c>
      <c r="J996" t="n">
        <v>125</v>
      </c>
      <c r="K996" t="n">
        <v>74</v>
      </c>
      <c r="L996" t="n">
        <v>100</v>
      </c>
      <c r="M996" t="n">
        <v>12</v>
      </c>
      <c r="N996" t="n">
        <v>1543</v>
      </c>
      <c r="O996" t="n">
        <v>0.87</v>
      </c>
      <c r="P996" t="n">
        <v>1349</v>
      </c>
      <c r="Q996" t="n">
        <v>144</v>
      </c>
      <c r="R996" t="n">
        <v>54</v>
      </c>
      <c r="S996" t="n">
        <v>35</v>
      </c>
      <c r="T996" t="n">
        <v>159</v>
      </c>
      <c r="U996" t="n">
        <v>9</v>
      </c>
      <c r="V996" t="n">
        <v>70</v>
      </c>
      <c r="W996" t="n">
        <v>0.256</v>
      </c>
      <c r="X996" t="n">
        <v>91</v>
      </c>
      <c r="Y996" t="n">
        <v>53</v>
      </c>
      <c r="Z996" t="n">
        <v>69</v>
      </c>
      <c r="AA996" t="n">
        <v>6</v>
      </c>
      <c r="AB996" t="n">
        <v>11.5</v>
      </c>
      <c r="AC996" t="inlineStr">
        <is>
          <t xml:space="preserve"> On-Piste Carving</t>
        </is>
      </c>
      <c r="AG996" t="inlineStr">
        <is>
          <t>Elan Men's Element Skis with El 10.0 Gripwalk Shift Bindings '22</t>
        </is>
      </c>
      <c r="AH996" t="inlineStr">
        <is>
          <t>Peter Glenn Ski &amp; Sports</t>
        </is>
      </c>
      <c r="AI996" s="333" t="n">
        <v>449.99</v>
      </c>
      <c r="AJ996" t="inlineStr">
        <is>
          <t>https://tinyurl.com/y7d5mc4f</t>
        </is>
      </c>
      <c r="AK996" t="inlineStr">
        <is>
          <t>ELAN Men's ELEMENT BLACK SKI + ELW 10.0 Binding 152</t>
        </is>
      </c>
      <c r="AL996" t="inlineStr">
        <is>
          <t>Elevation Skate Snow</t>
        </is>
      </c>
      <c r="AM996" s="333" t="n">
        <v>449.99</v>
      </c>
      <c r="AN996" t="inlineStr">
        <is>
          <t>https://tinyurl.com/yctvx32y</t>
        </is>
      </c>
      <c r="AO996" t="inlineStr">
        <is>
          <t>Elan Element Black Blue Light Shift Ski with Bindings 152</t>
        </is>
      </c>
      <c r="AP996" t="inlineStr">
        <is>
          <t>shop.petersonsskiandcycle.com</t>
        </is>
      </c>
      <c r="AQ996" s="333" t="n">
        <v>449.99</v>
      </c>
      <c r="AR996" t="inlineStr">
        <is>
          <t>https://tinyurl.com/ycplhja6</t>
        </is>
      </c>
      <c r="AS996" s="314">
        <f>IF(LEFT(C996,1)=" ",RIGHT(C996,LEN(C996)-1),C996)</f>
        <v/>
      </c>
      <c r="AT996" s="281">
        <f>_xlfn.CONCAT(B996,AS996,D996,E996)</f>
        <v/>
      </c>
    </row>
    <row r="997">
      <c r="A997" t="inlineStr">
        <is>
          <t>21/22</t>
        </is>
      </c>
      <c r="B997" t="inlineStr">
        <is>
          <t xml:space="preserve"> Armada</t>
        </is>
      </c>
      <c r="C997" t="inlineStr">
        <is>
          <t>Declivity 108 Ti</t>
        </is>
      </c>
      <c r="D997" t="n">
        <v>182</v>
      </c>
      <c r="E997" t="inlineStr">
        <is>
          <t xml:space="preserve"> Unisex</t>
        </is>
      </c>
      <c r="F997" t="n">
        <v>182</v>
      </c>
      <c r="G997" t="n">
        <v>181.5</v>
      </c>
      <c r="H997" t="n">
        <v>126</v>
      </c>
      <c r="I997" t="n">
        <v>147</v>
      </c>
      <c r="J997" t="n">
        <v>135</v>
      </c>
      <c r="K997" t="n">
        <v>107</v>
      </c>
      <c r="L997" t="n">
        <v>124</v>
      </c>
      <c r="M997" t="n">
        <v>22.1</v>
      </c>
      <c r="N997" t="n">
        <v>1962</v>
      </c>
      <c r="O997" t="n">
        <v>1.07</v>
      </c>
      <c r="P997" t="n">
        <v>2102</v>
      </c>
      <c r="Q997" t="n">
        <v>251</v>
      </c>
      <c r="R997" t="n">
        <v>152</v>
      </c>
      <c r="S997" t="n">
        <v>56</v>
      </c>
      <c r="T997" t="n">
        <v>369</v>
      </c>
      <c r="U997" t="n">
        <v>25</v>
      </c>
      <c r="V997" t="n">
        <v>187</v>
      </c>
      <c r="W997" t="n">
        <v>0.452999999999999</v>
      </c>
      <c r="X997" t="n">
        <v>210</v>
      </c>
      <c r="Y997" t="n">
        <v>139</v>
      </c>
      <c r="Z997" t="n">
        <v>159</v>
      </c>
      <c r="AA997" t="n">
        <v>7</v>
      </c>
      <c r="AB997" t="n">
        <v>10.6</v>
      </c>
      <c r="AC997" t="inlineStr">
        <is>
          <t xml:space="preserve"> Powder</t>
        </is>
      </c>
      <c r="AD997" t="inlineStr">
        <is>
          <t xml:space="preserve"> Touring</t>
        </is>
      </c>
      <c r="AG997" t="inlineStr">
        <is>
          <t>Armada Declivity 108 Ti Skis Â· 2022 Â· 182 cm</t>
        </is>
      </c>
      <c r="AH997" t="inlineStr">
        <is>
          <t>Snowcountry.eu</t>
        </is>
      </c>
      <c r="AI997" s="333" t="n">
        <v>483.95</v>
      </c>
      <c r="AJ997" t="inlineStr">
        <is>
          <t>https://tinyurl.com/yajj29tm</t>
        </is>
      </c>
      <c r="AK997" t="inlineStr">
        <is>
          <t>Armada Declivity 108 Ti Skis Â· 2022 Â· 182 cm</t>
        </is>
      </c>
      <c r="AL997" t="inlineStr">
        <is>
          <t>REI</t>
        </is>
      </c>
      <c r="AM997" s="333" t="n">
        <v>639.9299999999999</v>
      </c>
      <c r="AN997" t="inlineStr">
        <is>
          <t>https://tinyurl.com/ychbebjq</t>
        </is>
      </c>
      <c r="AO997" t="inlineStr">
        <is>
          <t>Armada Declivity 108 Ti Skis Â· 2022 Â· 182 cm</t>
        </is>
      </c>
      <c r="AP997" t="inlineStr">
        <is>
          <t>Ski Pro  - Snow Ski &amp; Snowboard</t>
        </is>
      </c>
      <c r="AQ997" s="333" t="n">
        <v>639.95</v>
      </c>
      <c r="AR997" t="inlineStr">
        <is>
          <t>https://tinyurl.com/y8ha5adf</t>
        </is>
      </c>
      <c r="AS997" s="314">
        <f>IF(LEFT(C997,1)=" ",RIGHT(C997,LEN(C997)-1),C997)</f>
        <v/>
      </c>
      <c r="AT997" s="281">
        <f>_xlfn.CONCAT(B997,AS997,D997,E997)</f>
        <v/>
      </c>
    </row>
    <row r="998">
      <c r="A998" t="inlineStr">
        <is>
          <t>21/22</t>
        </is>
      </c>
      <c r="B998" t="inlineStr">
        <is>
          <t xml:space="preserve"> Dynafit</t>
        </is>
      </c>
      <c r="C998" t="inlineStr">
        <is>
          <t>Blacklight 88</t>
        </is>
      </c>
      <c r="D998" t="n">
        <v>165</v>
      </c>
      <c r="E998" t="inlineStr">
        <is>
          <t xml:space="preserve"> Unisex</t>
        </is>
      </c>
      <c r="F998" t="n">
        <v>165</v>
      </c>
      <c r="G998" t="n">
        <v>163.1</v>
      </c>
      <c r="H998" t="n">
        <v>114</v>
      </c>
      <c r="I998" t="n">
        <v>140</v>
      </c>
      <c r="J998" t="n">
        <v>121</v>
      </c>
      <c r="K998" t="n">
        <v>86</v>
      </c>
      <c r="L998" t="n">
        <v>109</v>
      </c>
      <c r="M998" t="n">
        <v>16.6</v>
      </c>
      <c r="N998" t="n">
        <v>1101</v>
      </c>
      <c r="O998" t="n">
        <v>1.43</v>
      </c>
      <c r="P998" t="n">
        <v>1571</v>
      </c>
      <c r="Q998" t="n">
        <v>228</v>
      </c>
      <c r="R998" t="n">
        <v>77</v>
      </c>
      <c r="S998" t="n">
        <v>54</v>
      </c>
      <c r="T998" t="n">
        <v>318</v>
      </c>
      <c r="U998" t="n">
        <v>12</v>
      </c>
      <c r="V998" t="n">
        <v>168</v>
      </c>
      <c r="W998" t="n">
        <v>0.225</v>
      </c>
      <c r="X998" t="n">
        <v>140</v>
      </c>
      <c r="Y998" t="n">
        <v>93</v>
      </c>
      <c r="Z998" t="n">
        <v>179</v>
      </c>
      <c r="AA998" t="n">
        <v>5</v>
      </c>
      <c r="AB998" t="n">
        <v>12.4</v>
      </c>
      <c r="AC998" t="inlineStr">
        <is>
          <t xml:space="preserve"> Touring</t>
        </is>
      </c>
      <c r="AD998" t="inlineStr">
        <is>
          <t xml:space="preserve"> Ultralight Touring</t>
        </is>
      </c>
      <c r="AG998" t="inlineStr">
        <is>
          <t>Dynafit - Blacklight 88 - 165 Black/Blue</t>
        </is>
      </c>
      <c r="AH998" t="inlineStr">
        <is>
          <t>Curated</t>
        </is>
      </c>
      <c r="AI998" s="333" t="n">
        <v>559.99</v>
      </c>
      <c r="AJ998" t="inlineStr">
        <is>
          <t>https://tinyurl.com/y8s7uxar</t>
        </is>
      </c>
      <c r="AK998" t="inlineStr">
        <is>
          <t>Dynafit - Blacklight 88 - 165 Black/Blue</t>
        </is>
      </c>
      <c r="AL998" t="inlineStr">
        <is>
          <t>SportÃ¨que</t>
        </is>
      </c>
      <c r="AM998" s="333" t="n">
        <v>560.97</v>
      </c>
      <c r="AN998" t="inlineStr">
        <is>
          <t>https://tinyurl.com/y9wvrsvg</t>
        </is>
      </c>
      <c r="AO998" t="inlineStr">
        <is>
          <t>Dynafit Blacklight 88 Touring Ski 165</t>
        </is>
      </c>
      <c r="AP998" t="inlineStr">
        <is>
          <t>Cripple Creek Backcountry</t>
        </is>
      </c>
      <c r="AQ998" s="333" t="n">
        <v>599.95</v>
      </c>
      <c r="AR998" t="inlineStr">
        <is>
          <t>https://tinyurl.com/y9gm8z32</t>
        </is>
      </c>
      <c r="AS998" s="314">
        <f>IF(LEFT(C998,1)=" ",RIGHT(C998,LEN(C998)-1),C998)</f>
        <v/>
      </c>
      <c r="AT998" s="281">
        <f>_xlfn.CONCAT(B998,AS998,D998,E998)</f>
        <v/>
      </c>
    </row>
    <row r="999">
      <c r="A999" t="inlineStr">
        <is>
          <t>21/22</t>
        </is>
      </c>
      <c r="B999" t="inlineStr">
        <is>
          <t xml:space="preserve"> Vï¿½lkl</t>
        </is>
      </c>
      <c r="C999" t="inlineStr">
        <is>
          <t>Blaze 86</t>
        </is>
      </c>
      <c r="D999" t="n">
        <v>159</v>
      </c>
      <c r="E999" t="inlineStr">
        <is>
          <t xml:space="preserve"> Unisex</t>
        </is>
      </c>
      <c r="F999" t="n">
        <v>159</v>
      </c>
      <c r="G999" t="n">
        <v>159.7</v>
      </c>
      <c r="H999" t="n">
        <v>115</v>
      </c>
      <c r="I999" t="n">
        <v>135</v>
      </c>
      <c r="J999" t="n">
        <v>128</v>
      </c>
      <c r="K999" t="n">
        <v>85</v>
      </c>
      <c r="L999" t="n">
        <v>110</v>
      </c>
      <c r="M999" t="n">
        <v>12.8</v>
      </c>
      <c r="N999" t="n">
        <v>1264</v>
      </c>
      <c r="O999" t="n">
        <v>1.26</v>
      </c>
      <c r="P999" t="n">
        <v>1587</v>
      </c>
      <c r="Q999" t="n">
        <v>156</v>
      </c>
      <c r="R999" t="n">
        <v>74</v>
      </c>
      <c r="S999" t="n">
        <v>47</v>
      </c>
      <c r="T999" t="n">
        <v>277</v>
      </c>
      <c r="U999" t="n">
        <v>17</v>
      </c>
      <c r="V999" t="n">
        <v>170</v>
      </c>
      <c r="W999" t="n">
        <v>0.368</v>
      </c>
      <c r="X999" t="n">
        <v>145</v>
      </c>
      <c r="Y999" t="n">
        <v>98</v>
      </c>
      <c r="Z999" t="n">
        <v>133</v>
      </c>
      <c r="AA999" t="n">
        <v>3</v>
      </c>
      <c r="AB999" t="n">
        <v>11.6</v>
      </c>
      <c r="AC999" t="inlineStr">
        <is>
          <t xml:space="preserve"> Resort Freeride</t>
        </is>
      </c>
      <c r="AD999" t="inlineStr">
        <is>
          <t xml:space="preserve"> Touring</t>
        </is>
      </c>
      <c r="AE999" t="inlineStr">
        <is>
          <t xml:space="preserve"> Ultralight Touring</t>
        </is>
      </c>
      <c r="AG999" t="inlineStr">
        <is>
          <t>Volkl Blaze 86 Women's Skis 2022</t>
        </is>
      </c>
      <c r="AH999" t="inlineStr">
        <is>
          <t>Gorham Bike and Ski</t>
        </is>
      </c>
      <c r="AI999" s="333" t="n">
        <v>349.99</v>
      </c>
      <c r="AJ999" t="inlineStr">
        <is>
          <t>https://tinyurl.com/y93s5q52</t>
        </is>
      </c>
      <c r="AK999" t="inlineStr">
        <is>
          <t>Volkl Blaze 86 Women's Flat Ski Winter 2021/2022 159</t>
        </is>
      </c>
      <c r="AL999" t="inlineStr">
        <is>
          <t>Equipe Sport</t>
        </is>
      </c>
      <c r="AM999" s="333" t="n">
        <v>399</v>
      </c>
      <c r="AN999" t="inlineStr">
        <is>
          <t>https://tinyurl.com/yasv32bp</t>
        </is>
      </c>
      <c r="AO999" t="inlineStr">
        <is>
          <t>Volkl Blaze 86 Women's Skis 2022</t>
        </is>
      </c>
      <c r="AP999" t="inlineStr">
        <is>
          <t>BlueZone Sports</t>
        </is>
      </c>
      <c r="AQ999" s="333" t="n">
        <v>399.99</v>
      </c>
      <c r="AR999" t="inlineStr">
        <is>
          <t>https://tinyurl.com/y8wws4fn</t>
        </is>
      </c>
      <c r="AS999" s="314">
        <f>IF(LEFT(C999,1)=" ",RIGHT(C999,LEN(C999)-1),C999)</f>
        <v/>
      </c>
      <c r="AT999" s="281">
        <f>_xlfn.CONCAT(B999,AS999,D999,E999)</f>
        <v/>
      </c>
    </row>
    <row r="1000">
      <c r="A1000" t="inlineStr">
        <is>
          <t>21/22</t>
        </is>
      </c>
      <c r="B1000" t="inlineStr">
        <is>
          <t xml:space="preserve"> Atomic</t>
        </is>
      </c>
      <c r="C1000" t="inlineStr">
        <is>
          <t>Backland 86 SL</t>
        </is>
      </c>
      <c r="D1000" t="n">
        <v>158</v>
      </c>
      <c r="E1000" t="inlineStr">
        <is>
          <t xml:space="preserve"> Unisex</t>
        </is>
      </c>
      <c r="F1000" t="n">
        <v>158</v>
      </c>
      <c r="G1000" t="n">
        <v>157.1</v>
      </c>
      <c r="H1000" t="n">
        <v>118</v>
      </c>
      <c r="I1000" t="n">
        <v>130</v>
      </c>
      <c r="J1000" t="n">
        <v>115</v>
      </c>
      <c r="K1000" t="n">
        <v>86</v>
      </c>
      <c r="L1000" t="n">
        <v>103</v>
      </c>
      <c r="M1000" t="n">
        <v>15.4</v>
      </c>
      <c r="N1000" t="n">
        <v>1116</v>
      </c>
      <c r="O1000" t="n">
        <v>1.34</v>
      </c>
      <c r="P1000" t="n">
        <v>1490</v>
      </c>
      <c r="Q1000" t="n">
        <v>150</v>
      </c>
      <c r="R1000" t="n">
        <v>68</v>
      </c>
      <c r="S1000" t="n">
        <v>52</v>
      </c>
      <c r="T1000" t="n">
        <v>247</v>
      </c>
      <c r="U1000" t="n">
        <v>11</v>
      </c>
      <c r="V1000" t="n">
        <v>144</v>
      </c>
      <c r="W1000" t="n">
        <v>0.216</v>
      </c>
      <c r="X1000" t="n">
        <v>156</v>
      </c>
      <c r="Y1000" t="n">
        <v>117</v>
      </c>
      <c r="Z1000" t="n">
        <v>91</v>
      </c>
      <c r="AA1000" t="n">
        <v>4</v>
      </c>
      <c r="AB1000" t="n">
        <v>12.4</v>
      </c>
      <c r="AC1000" t="inlineStr">
        <is>
          <t xml:space="preserve"> Touring</t>
        </is>
      </c>
      <c r="AD1000" t="inlineStr">
        <is>
          <t xml:space="preserve"> Ultralight Touring</t>
        </is>
      </c>
      <c r="AG1000" t="inlineStr">
        <is>
          <t>Ski Mountaineering Speed Touring Women's Atomic Backland Wmn 86 Sl</t>
        </is>
      </c>
      <c r="AH1000" t="inlineStr">
        <is>
          <t>eBay - grassisport</t>
        </is>
      </c>
      <c r="AI1000" s="333" t="n">
        <v>501.79</v>
      </c>
      <c r="AJ1000" t="inlineStr">
        <is>
          <t>https://tinyurl.com/y9dcv7as</t>
        </is>
      </c>
      <c r="AK1000" t="inlineStr">
        <is>
          <t>2022 Atomic Backland 85 W Skis w/ Salomon Shift 10 MNC Bindings &amp; Hybrid Skin 85 - 158| Ski Essentials</t>
        </is>
      </c>
      <c r="AL1000" t="inlineStr">
        <is>
          <t>SkiEssentials.com</t>
        </is>
      </c>
      <c r="AM1000" s="333" t="n">
        <v>1100</v>
      </c>
      <c r="AN1000" t="inlineStr">
        <is>
          <t>https://tinyurl.com/y9a5rrp7</t>
        </is>
      </c>
      <c r="AO1000" t="inlineStr">
        <is>
          <t>Atomic Backland 85 Women Ski 2022</t>
        </is>
      </c>
      <c r="AP1000" t="inlineStr">
        <is>
          <t>Telemark Pyrenees</t>
        </is>
      </c>
      <c r="AQ1000" s="333" t="n">
        <v>302.46</v>
      </c>
      <c r="AR1000" t="inlineStr">
        <is>
          <t>https://tinyurl.com/yc7drrm2</t>
        </is>
      </c>
      <c r="AS1000" s="314">
        <f>IF(LEFT(C1000,1)=" ",RIGHT(C1000,LEN(C1000)-1),C1000)</f>
        <v/>
      </c>
      <c r="AT1000" s="281">
        <f>_xlfn.CONCAT(B1000,AS1000,D1000,E1000)</f>
        <v/>
      </c>
    </row>
    <row r="1001">
      <c r="A1001" t="inlineStr">
        <is>
          <t>21/22</t>
        </is>
      </c>
      <c r="B1001" t="inlineStr">
        <is>
          <t>K2</t>
        </is>
      </c>
      <c r="C1001" t="inlineStr">
        <is>
          <t>Mindbender 99 Ti</t>
        </is>
      </c>
      <c r="D1001" t="n">
        <v>184</v>
      </c>
      <c r="E1001" t="inlineStr">
        <is>
          <t xml:space="preserve"> Unisex</t>
        </is>
      </c>
      <c r="F1001" t="n">
        <v>184</v>
      </c>
      <c r="G1001" t="n">
        <v>183.8</v>
      </c>
      <c r="H1001" t="n">
        <v>134</v>
      </c>
      <c r="I1001" t="n">
        <v>157</v>
      </c>
      <c r="J1001" t="n">
        <v>137</v>
      </c>
      <c r="K1001" t="n">
        <v>98</v>
      </c>
      <c r="L1001" t="n">
        <v>122</v>
      </c>
      <c r="M1001" t="n">
        <v>19.2</v>
      </c>
      <c r="N1001" t="n">
        <v>2191</v>
      </c>
      <c r="O1001" t="n">
        <v>0.93</v>
      </c>
      <c r="P1001" t="n">
        <v>2027</v>
      </c>
      <c r="Q1001" t="n">
        <v>228</v>
      </c>
      <c r="R1001" t="n">
        <v>136</v>
      </c>
      <c r="S1001" t="n">
        <v>50</v>
      </c>
      <c r="T1001" t="n">
        <v>312</v>
      </c>
      <c r="U1001" t="n">
        <v>17</v>
      </c>
      <c r="V1001" t="n">
        <v>190</v>
      </c>
      <c r="W1001" t="n">
        <v>0.328999999999999</v>
      </c>
      <c r="X1001" t="n">
        <v>149</v>
      </c>
      <c r="Y1001" t="n">
        <v>120</v>
      </c>
      <c r="Z1001" t="n">
        <v>163</v>
      </c>
      <c r="AA1001" t="n">
        <v>7</v>
      </c>
      <c r="AB1001" t="n">
        <v>11.3</v>
      </c>
      <c r="AC1001" t="inlineStr">
        <is>
          <t xml:space="preserve"> Resort Freeride</t>
        </is>
      </c>
      <c r="AG1001" t="inlineStr">
        <is>
          <t>'22 K2 Mindbender 99 Ti Skis 184cm</t>
        </is>
      </c>
      <c r="AH1001" t="inlineStr">
        <is>
          <t>Al's Ski Equipment Barn</t>
        </is>
      </c>
      <c r="AI1001" s="333" t="n">
        <v>669.95</v>
      </c>
      <c r="AJ1001" t="inlineStr">
        <is>
          <t>https://tinyurl.com/y8wyxnqk</t>
        </is>
      </c>
      <c r="AK1001" t="inlineStr">
        <is>
          <t>K2 Mindbender 90 Ti Skis 2020 184</t>
        </is>
      </c>
      <c r="AL1001" t="inlineStr">
        <is>
          <t>Gear Coop</t>
        </is>
      </c>
      <c r="AM1001" s="333" t="n">
        <v>800</v>
      </c>
      <c r="AN1001" t="inlineStr">
        <is>
          <t>https://tinyurl.com/y9dhc3ox</t>
        </is>
      </c>
      <c r="AO1001" t="inlineStr">
        <is>
          <t>K2 Mindbender 99Ti 2022, 184</t>
        </is>
      </c>
      <c r="AP1001" t="inlineStr">
        <is>
          <t>! OutdoorXL.com</t>
        </is>
      </c>
      <c r="AQ1001" s="333" t="n">
        <v>424.95</v>
      </c>
      <c r="AR1001" t="inlineStr">
        <is>
          <t>https://tinyurl.com/ycsqexm8</t>
        </is>
      </c>
      <c r="AS1001" s="314">
        <f>IF(LEFT(C1001,1)=" ",RIGHT(C1001,LEN(C1001)-1),C1001)</f>
        <v/>
      </c>
      <c r="AT1001" s="281">
        <f>_xlfn.CONCAT(B1001,AS1001,D1001,E1001)</f>
        <v/>
      </c>
    </row>
    <row r="1002">
      <c r="A1002" t="inlineStr">
        <is>
          <t>21/22</t>
        </is>
      </c>
      <c r="B1002" t="inlineStr">
        <is>
          <t xml:space="preserve"> Vï¿½lkl</t>
        </is>
      </c>
      <c r="C1002" t="inlineStr">
        <is>
          <t>Flair 79</t>
        </is>
      </c>
      <c r="D1002" t="n">
        <v>156</v>
      </c>
      <c r="E1002" t="inlineStr">
        <is>
          <t xml:space="preserve"> Women's</t>
        </is>
      </c>
      <c r="F1002" t="n">
        <v>156</v>
      </c>
      <c r="G1002" t="n">
        <v>154.7</v>
      </c>
      <c r="H1002" t="n">
        <v>136</v>
      </c>
      <c r="I1002" t="n">
        <v>143</v>
      </c>
      <c r="J1002" t="n">
        <v>128</v>
      </c>
      <c r="K1002" t="n">
        <v>79</v>
      </c>
      <c r="L1002" t="n">
        <v>109</v>
      </c>
      <c r="M1002" t="n">
        <v>12.8</v>
      </c>
      <c r="N1002" t="n">
        <v>1452</v>
      </c>
      <c r="O1002" t="n">
        <v>0.99</v>
      </c>
      <c r="P1002" t="n">
        <v>1442</v>
      </c>
      <c r="Q1002" t="n">
        <v>150</v>
      </c>
      <c r="R1002" t="n">
        <v>62</v>
      </c>
      <c r="S1002" t="n">
        <v>36</v>
      </c>
      <c r="T1002" t="n">
        <v>133</v>
      </c>
      <c r="U1002" t="n">
        <v>5</v>
      </c>
      <c r="V1002" t="n">
        <v>56</v>
      </c>
      <c r="W1002" t="n">
        <v>0.146</v>
      </c>
      <c r="X1002" t="n">
        <v>68</v>
      </c>
      <c r="Y1002" t="n">
        <v>49</v>
      </c>
      <c r="Z1002" t="n">
        <v>65</v>
      </c>
      <c r="AA1002" t="n">
        <v>6</v>
      </c>
      <c r="AB1002" t="n">
        <v>10.8</v>
      </c>
      <c r="AC1002" t="inlineStr">
        <is>
          <t xml:space="preserve"> On-Piste Carving</t>
        </is>
      </c>
      <c r="AG1002" t="inlineStr">
        <is>
          <t>Volkl Flair 79 IPT +Ipt WR XL 11 TCX GW L Skis 2021</t>
        </is>
      </c>
      <c r="AH1002" t="inlineStr">
        <is>
          <t>Absolute-Snow.co.uk</t>
        </is>
      </c>
      <c r="AI1002" s="333" t="n">
        <v>523.99</v>
      </c>
      <c r="AJ1002" t="inlineStr">
        <is>
          <t>https://tinyurl.com/yba3ranq</t>
        </is>
      </c>
      <c r="AK1002" t="inlineStr">
        <is>
          <t>Volkl Gamma Ext 724 156cm 105-71-93 R=16.4m Skis W/marker Motion Lt</t>
        </is>
      </c>
      <c r="AL1002" t="inlineStr">
        <is>
          <t>eBay - johnbuckley</t>
        </is>
      </c>
      <c r="AM1002" s="333" t="n">
        <v>109.95</v>
      </c>
      <c r="AN1002" t="inlineStr">
        <is>
          <t>https://tinyurl.com/y9lbz4js</t>
        </is>
      </c>
      <c r="AO1002" t="inlineStr">
        <is>
          <t>Volkl Racetiger World Cup GS 156 cm Ski + Marker 10 Bindings Winter Sport Snow</t>
        </is>
      </c>
      <c r="AP1002" t="inlineStr">
        <is>
          <t>Traventuria</t>
        </is>
      </c>
      <c r="AQ1002" s="333" t="n">
        <v>139.99</v>
      </c>
      <c r="AR1002" t="inlineStr">
        <is>
          <t>https://tinyurl.com/y7htoada</t>
        </is>
      </c>
      <c r="AS1002" s="314">
        <f>IF(LEFT(C1002,1)=" ",RIGHT(C1002,LEN(C1002)-1),C1002)</f>
        <v/>
      </c>
      <c r="AT1002" s="281">
        <f>_xlfn.CONCAT(B1002,AS1002,D1002,E1002)</f>
        <v/>
      </c>
    </row>
    <row r="1003">
      <c r="A1003" t="inlineStr">
        <is>
          <t>21/22</t>
        </is>
      </c>
      <c r="B1003" t="inlineStr">
        <is>
          <t xml:space="preserve"> Head</t>
        </is>
      </c>
      <c r="C1003" t="inlineStr">
        <is>
          <t xml:space="preserve"> Super Joy</t>
        </is>
      </c>
      <c r="D1003" t="n">
        <v>158</v>
      </c>
      <c r="E1003" t="inlineStr">
        <is>
          <t xml:space="preserve"> Women's</t>
        </is>
      </c>
      <c r="F1003" t="n">
        <v>158</v>
      </c>
      <c r="G1003" t="n">
        <v>157.6</v>
      </c>
      <c r="H1003" t="n">
        <v>136</v>
      </c>
      <c r="I1003" t="n">
        <v>141</v>
      </c>
      <c r="J1003" t="n">
        <v>128</v>
      </c>
      <c r="K1003" t="n">
        <v>74</v>
      </c>
      <c r="L1003" t="n">
        <v>107</v>
      </c>
      <c r="M1003" t="n">
        <v>11.3</v>
      </c>
      <c r="N1003" t="n">
        <v>1541</v>
      </c>
      <c r="O1003" t="n">
        <v>0.93</v>
      </c>
      <c r="P1003" t="n">
        <v>1432</v>
      </c>
      <c r="Q1003" t="n">
        <v>163</v>
      </c>
      <c r="R1003" t="n">
        <v>50</v>
      </c>
      <c r="S1003" t="n">
        <v>38</v>
      </c>
      <c r="T1003" t="n">
        <v>144</v>
      </c>
      <c r="U1003" t="n">
        <v>14</v>
      </c>
      <c r="V1003" t="n">
        <v>76</v>
      </c>
      <c r="W1003" t="n">
        <v>0.358</v>
      </c>
      <c r="X1003" t="n">
        <v>102</v>
      </c>
      <c r="Y1003" t="n">
        <v>65</v>
      </c>
      <c r="Z1003" t="n">
        <v>43</v>
      </c>
      <c r="AA1003" t="n">
        <v>12</v>
      </c>
      <c r="AB1003" t="n">
        <v>11.1</v>
      </c>
      <c r="AC1003" t="inlineStr">
        <is>
          <t xml:space="preserve"> On-Piste Carving</t>
        </is>
      </c>
      <c r="AD1003" t="inlineStr">
        <is>
          <t xml:space="preserve"> On-Piste All-Mountain</t>
        </is>
      </c>
      <c r="AG1003" t="inlineStr">
        <is>
          <t>Head Easy Joy Skis w/Joy 9 GW Bindings Womens</t>
        </is>
      </c>
      <c r="AH1003" t="inlineStr">
        <is>
          <t>! OutdoorXL.com</t>
        </is>
      </c>
      <c r="AI1003" s="333" t="n">
        <v>189.95</v>
      </c>
      <c r="AJ1003" t="inlineStr">
        <is>
          <t>https://tinyurl.com/ybzc56m4</t>
        </is>
      </c>
      <c r="AK1003" t="inlineStr">
        <is>
          <t>16-17 Head Total Joy  Women's Demo Skis W/bindings Size 158cm</t>
        </is>
      </c>
      <c r="AL1003" t="inlineStr">
        <is>
          <t>eBay - demo-skis</t>
        </is>
      </c>
      <c r="AM1003" s="333" t="n">
        <v>229</v>
      </c>
      <c r="AN1003" t="inlineStr">
        <is>
          <t>https://tinyurl.com/y72koowy</t>
        </is>
      </c>
      <c r="AO1003" t="inlineStr">
        <is>
          <t>2018 Head Total Joy 158cm W/ Head Joy 11 Binding</t>
        </is>
      </c>
      <c r="AP1003" t="inlineStr">
        <is>
          <t>eBay - riverpirate999</t>
        </is>
      </c>
      <c r="AQ1003" s="333" t="n">
        <v>249</v>
      </c>
      <c r="AR1003" t="inlineStr">
        <is>
          <t>https://tinyurl.com/y9x2gm3q</t>
        </is>
      </c>
      <c r="AS1003" s="314">
        <f>IF(LEFT(C1003,1)=" ",RIGHT(C1003,LEN(C1003)-1),C1003)</f>
        <v/>
      </c>
      <c r="AT1003" s="281">
        <f>_xlfn.CONCAT(B1003,AS1003,D1003,E1003)</f>
        <v/>
      </c>
    </row>
    <row r="1004">
      <c r="A1004" t="inlineStr">
        <is>
          <t>21/22</t>
        </is>
      </c>
      <c r="B1004" t="inlineStr">
        <is>
          <t xml:space="preserve"> Vï¿½lkl</t>
        </is>
      </c>
      <c r="C1004" t="inlineStr">
        <is>
          <t>Blaze 94 W</t>
        </is>
      </c>
      <c r="D1004" t="n">
        <v>151</v>
      </c>
      <c r="E1004" t="inlineStr">
        <is>
          <t xml:space="preserve"> Women's</t>
        </is>
      </c>
      <c r="F1004" t="n">
        <v>151</v>
      </c>
      <c r="G1004" t="n">
        <v>152.7</v>
      </c>
      <c r="H1004" t="n">
        <v>76</v>
      </c>
      <c r="I1004" t="n">
        <v>128</v>
      </c>
      <c r="J1004" t="n">
        <v>133</v>
      </c>
      <c r="K1004" t="n">
        <v>93</v>
      </c>
      <c r="L1004" t="n">
        <v>115</v>
      </c>
      <c r="M1004" t="n">
        <v>12.4</v>
      </c>
      <c r="N1004" t="n">
        <v>1354</v>
      </c>
      <c r="O1004" t="n">
        <v>1.2</v>
      </c>
      <c r="P1004" t="n">
        <v>1618</v>
      </c>
      <c r="Q1004" t="n">
        <v>162</v>
      </c>
      <c r="R1004" t="n">
        <v>79</v>
      </c>
      <c r="S1004" t="n">
        <v>50</v>
      </c>
      <c r="T1004" t="n">
        <v>443</v>
      </c>
      <c r="U1004" t="n">
        <v>22</v>
      </c>
      <c r="V1004" t="n">
        <v>323</v>
      </c>
      <c r="W1004" t="n">
        <v>0.442</v>
      </c>
      <c r="X1004" t="n">
        <v>144</v>
      </c>
      <c r="Y1004" t="n">
        <v>106</v>
      </c>
      <c r="Z1004" t="n">
        <v>299</v>
      </c>
      <c r="AA1004" t="n">
        <v>2</v>
      </c>
      <c r="AB1004" t="n">
        <v>11.4</v>
      </c>
      <c r="AC1004" t="inlineStr">
        <is>
          <t xml:space="preserve"> Resort Freeride</t>
        </is>
      </c>
      <c r="AD1004" t="inlineStr">
        <is>
          <t xml:space="preserve"> Touring</t>
        </is>
      </c>
      <c r="AG1004" t="inlineStr">
        <is>
          <t>2022 Volkl Blaze 94 W Women's Flat Ski NA / 151</t>
        </is>
      </c>
      <c r="AH1004" t="inlineStr">
        <is>
          <t>Cityhome</t>
        </is>
      </c>
      <c r="AI1004" s="333" t="n">
        <v>549.99</v>
      </c>
      <c r="AJ1004" t="inlineStr">
        <is>
          <t>https://tinyurl.com/y9cnrpb3</t>
        </is>
      </c>
      <c r="AK1004" t="inlineStr">
        <is>
          <t>Volkl Blaze 94 Skis - Women's 2022</t>
        </is>
      </c>
      <c r="AL1004" t="inlineStr">
        <is>
          <t>Gorham Bike and Ski</t>
        </is>
      </c>
      <c r="AM1004" s="333" t="n">
        <v>384.99</v>
      </c>
      <c r="AN1004" t="inlineStr">
        <is>
          <t>https://tinyurl.com/ycv63svv</t>
        </is>
      </c>
      <c r="AO1004" t="inlineStr">
        <is>
          <t>Volkl Blaze 94 Skis - Women's 2022</t>
        </is>
      </c>
      <c r="AP1004" t="inlineStr">
        <is>
          <t>The-House.com</t>
        </is>
      </c>
      <c r="AQ1004" s="333" t="n">
        <v>439.99</v>
      </c>
      <c r="AR1004" t="inlineStr">
        <is>
          <t>https://tinyurl.com/yc8y5utp</t>
        </is>
      </c>
      <c r="AS1004" s="314">
        <f>IF(LEFT(C1004,1)=" ",RIGHT(C1004,LEN(C1004)-1),C1004)</f>
        <v/>
      </c>
      <c r="AT1004" s="281">
        <f>_xlfn.CONCAT(B1004,AS1004,D1004,E1004)</f>
        <v/>
      </c>
    </row>
    <row r="1005">
      <c r="A1005" t="inlineStr">
        <is>
          <t>21/22</t>
        </is>
      </c>
      <c r="B1005" t="inlineStr">
        <is>
          <t xml:space="preserve"> Dynastar</t>
        </is>
      </c>
      <c r="C1005" t="inlineStr">
        <is>
          <t>M-Menace 90</t>
        </is>
      </c>
      <c r="D1005" t="n">
        <v>140</v>
      </c>
      <c r="E1005" t="inlineStr">
        <is>
          <t xml:space="preserve"> Unisex</t>
        </is>
      </c>
      <c r="F1005" t="n">
        <v>140</v>
      </c>
      <c r="G1005" t="n">
        <v>138.6</v>
      </c>
      <c r="H1005" t="n">
        <v>90</v>
      </c>
      <c r="I1005" t="n">
        <v>115</v>
      </c>
      <c r="J1005" t="n">
        <v>117</v>
      </c>
      <c r="K1005" t="n">
        <v>89</v>
      </c>
      <c r="L1005" t="n">
        <v>107</v>
      </c>
      <c r="M1005" t="n">
        <v>13.4</v>
      </c>
      <c r="N1005" t="n">
        <v>1412</v>
      </c>
      <c r="O1005" t="n">
        <v>0.96</v>
      </c>
      <c r="P1005" t="n">
        <v>1359</v>
      </c>
      <c r="Q1005" t="n">
        <v>153</v>
      </c>
      <c r="R1005" t="n">
        <v>67</v>
      </c>
      <c r="S1005" t="n">
        <v>49</v>
      </c>
      <c r="T1005" t="n">
        <v>259</v>
      </c>
      <c r="U1005" t="n">
        <v>33</v>
      </c>
      <c r="V1005" t="n">
        <v>223</v>
      </c>
      <c r="W1005" t="n">
        <v>0.67</v>
      </c>
      <c r="X1005" t="n">
        <v>114</v>
      </c>
      <c r="Y1005" t="n">
        <v>124</v>
      </c>
      <c r="Z1005" t="n">
        <v>145</v>
      </c>
      <c r="AA1005" t="n">
        <v>5</v>
      </c>
      <c r="AB1005" t="n">
        <v>6.8</v>
      </c>
      <c r="AC1005" t="inlineStr">
        <is>
          <t xml:space="preserve"> Resort Freeride</t>
        </is>
      </c>
      <c r="AG1005" t="inlineStr">
        <is>
          <t>Dynastar M-Menace 90 Open Skis Â· 140 cm</t>
        </is>
      </c>
      <c r="AH1005" t="inlineStr">
        <is>
          <t>eBay - asogear</t>
        </is>
      </c>
      <c r="AI1005" s="333" t="n">
        <v>230.99</v>
      </c>
      <c r="AJ1005" t="inlineStr">
        <is>
          <t>https://tinyurl.com/y9dfjovv</t>
        </is>
      </c>
      <c r="AK1005" t="inlineStr">
        <is>
          <t>Dynastar M-MENACE 90 Skis 2022</t>
        </is>
      </c>
      <c r="AL1005" t="inlineStr">
        <is>
          <t>Level Nine Sports</t>
        </is>
      </c>
      <c r="AM1005" s="333" t="n">
        <v>349.95</v>
      </c>
      <c r="AN1005" t="inlineStr">
        <is>
          <t>https://tinyurl.com/y7ndtxkz</t>
        </is>
      </c>
      <c r="AO1005" t="inlineStr">
        <is>
          <t>Dynastar M-Menace 90 Skis</t>
        </is>
      </c>
      <c r="AP1005" t="inlineStr">
        <is>
          <t>Cole Sport</t>
        </is>
      </c>
      <c r="AQ1005" s="333" t="n">
        <v>349.95</v>
      </c>
      <c r="AR1005" t="inlineStr">
        <is>
          <t>https://tinyurl.com/y7gxrrr6</t>
        </is>
      </c>
      <c r="AS1005" s="314">
        <f>IF(LEFT(C1005,1)=" ",RIGHT(C1005,LEN(C1005)-1),C1005)</f>
        <v/>
      </c>
      <c r="AT1005" s="281">
        <f>_xlfn.CONCAT(B1005,AS1005,D1005,E1005)</f>
        <v/>
      </c>
    </row>
    <row r="1006">
      <c r="A1006" t="inlineStr">
        <is>
          <t>21/22</t>
        </is>
      </c>
      <c r="B1006" t="inlineStr">
        <is>
          <t xml:space="preserve"> Armada</t>
        </is>
      </c>
      <c r="C1006" t="inlineStr">
        <is>
          <t xml:space="preserve"> Bdog Edgeless</t>
        </is>
      </c>
      <c r="D1006" t="n">
        <v>172</v>
      </c>
      <c r="E1006" t="inlineStr">
        <is>
          <t xml:space="preserve"> Unisex</t>
        </is>
      </c>
      <c r="F1006" t="n">
        <v>172</v>
      </c>
      <c r="G1006" t="n">
        <v>170.2</v>
      </c>
      <c r="H1006" t="n">
        <v>112</v>
      </c>
      <c r="I1006" t="n">
        <v>127</v>
      </c>
      <c r="J1006" t="n">
        <v>120</v>
      </c>
      <c r="K1006" t="n">
        <v>93</v>
      </c>
      <c r="L1006" t="n">
        <v>116</v>
      </c>
      <c r="M1006" t="n">
        <v>14.1</v>
      </c>
      <c r="N1006" t="n">
        <v>1801</v>
      </c>
      <c r="O1006" t="n">
        <v>0.99</v>
      </c>
      <c r="P1006" t="n">
        <v>1789</v>
      </c>
      <c r="Q1006" t="n">
        <v>133</v>
      </c>
      <c r="R1006" t="n">
        <v>66</v>
      </c>
      <c r="S1006" t="n">
        <v>50</v>
      </c>
      <c r="T1006" t="n">
        <v>291</v>
      </c>
      <c r="U1006" t="n">
        <v>47</v>
      </c>
      <c r="V1006" t="n">
        <v>292</v>
      </c>
      <c r="W1006" t="n">
        <v>0.9379999999999999</v>
      </c>
      <c r="X1006" t="n">
        <v>227</v>
      </c>
      <c r="Y1006" t="n">
        <v>207</v>
      </c>
      <c r="Z1006" t="n">
        <v>64</v>
      </c>
      <c r="AA1006" t="n">
        <v>4</v>
      </c>
      <c r="AB1006" t="n">
        <v>0.2</v>
      </c>
      <c r="AC1006" t="inlineStr">
        <is>
          <t xml:space="preserve"> Freeski</t>
        </is>
      </c>
      <c r="AG1006" t="inlineStr">
        <is>
          <t>Armada Bdog Edgeless Skis 2021</t>
        </is>
      </c>
      <c r="AH1006" t="inlineStr">
        <is>
          <t>Powder7 Ski Shop</t>
        </is>
      </c>
      <c r="AI1006" s="333" t="n">
        <v>419.95</v>
      </c>
      <c r="AJ1006" t="inlineStr">
        <is>
          <t>https://tinyurl.com/ya8wcaw6</t>
        </is>
      </c>
      <c r="AK1006" t="inlineStr">
        <is>
          <t>Armada Bdog Skis 2022</t>
        </is>
      </c>
      <c r="AL1006" t="inlineStr">
        <is>
          <t>Gear West Ski &amp; Bike</t>
        </is>
      </c>
      <c r="AM1006" s="333" t="n">
        <v>549.95</v>
      </c>
      <c r="AN1006" t="inlineStr">
        <is>
          <t>https://tinyurl.com/y82vmdao</t>
        </is>
      </c>
      <c r="AO1006" t="inlineStr">
        <is>
          <t>2020 Armada Tracer 88 Skis 172</t>
        </is>
      </c>
      <c r="AP1006" t="inlineStr">
        <is>
          <t>SkiYard</t>
        </is>
      </c>
      <c r="AQ1006" s="333" t="n">
        <v>379.99</v>
      </c>
      <c r="AR1006" t="inlineStr">
        <is>
          <t>https://tinyurl.com/y8mjzne6</t>
        </is>
      </c>
      <c r="AS1006" s="314">
        <f>IF(LEFT(C1006,1)=" ",RIGHT(C1006,LEN(C1006)-1),C1006)</f>
        <v/>
      </c>
      <c r="AT1006" s="281">
        <f>_xlfn.CONCAT(B1006,AS1006,D1006,E1006)</f>
        <v/>
      </c>
    </row>
    <row r="1007">
      <c r="A1007" t="inlineStr">
        <is>
          <t>21/22</t>
        </is>
      </c>
      <c r="B1007" t="inlineStr">
        <is>
          <t xml:space="preserve"> Atomic</t>
        </is>
      </c>
      <c r="C1007" t="inlineStr">
        <is>
          <t>Maverick 95 Ti</t>
        </is>
      </c>
      <c r="D1007" t="n">
        <v>180</v>
      </c>
      <c r="E1007" t="inlineStr">
        <is>
          <t xml:space="preserve"> Unisex</t>
        </is>
      </c>
      <c r="F1007" t="n">
        <v>180</v>
      </c>
      <c r="G1007" t="n">
        <v>179.1</v>
      </c>
      <c r="H1007" t="n">
        <v>128</v>
      </c>
      <c r="I1007" t="n">
        <v>148</v>
      </c>
      <c r="J1007" t="n">
        <v>128</v>
      </c>
      <c r="K1007" t="n">
        <v>93</v>
      </c>
      <c r="L1007" t="n">
        <v>112</v>
      </c>
      <c r="M1007" t="n">
        <v>19.2</v>
      </c>
      <c r="N1007" t="n">
        <v>1781</v>
      </c>
      <c r="O1007" t="n">
        <v>1.05</v>
      </c>
      <c r="P1007" t="n">
        <v>1863</v>
      </c>
      <c r="Q1007" t="n">
        <v>240</v>
      </c>
      <c r="R1007" t="n">
        <v>169</v>
      </c>
      <c r="S1007" t="n">
        <v>55</v>
      </c>
      <c r="T1007" t="n">
        <v>314</v>
      </c>
      <c r="U1007" t="n">
        <v>14</v>
      </c>
      <c r="V1007" t="n">
        <v>197</v>
      </c>
      <c r="W1007" t="n">
        <v>0.254</v>
      </c>
      <c r="X1007" t="n">
        <v>169</v>
      </c>
      <c r="Y1007" t="n">
        <v>142</v>
      </c>
      <c r="Z1007" t="n">
        <v>145</v>
      </c>
      <c r="AA1007" t="n">
        <v>5</v>
      </c>
      <c r="AB1007" t="n">
        <v>9</v>
      </c>
      <c r="AC1007" t="inlineStr">
        <is>
          <t xml:space="preserve"> Resort Freeride</t>
        </is>
      </c>
      <c r="AG1007" t="inlineStr">
        <is>
          <t>Atomic Maverick 95 Ti Skis</t>
        </is>
      </c>
      <c r="AH1007" t="inlineStr">
        <is>
          <t>REI</t>
        </is>
      </c>
      <c r="AI1007" s="333" t="n">
        <v>559.9299999999999</v>
      </c>
      <c r="AJ1007" t="inlineStr">
        <is>
          <t>https://tinyurl.com/y7x9jvnl</t>
        </is>
      </c>
      <c r="AK1007" t="inlineStr">
        <is>
          <t>Atomic Maverick 95 Ti Skis</t>
        </is>
      </c>
      <c r="AL1007" t="inlineStr">
        <is>
          <t>evo.com</t>
        </is>
      </c>
      <c r="AM1007" s="333" t="n">
        <v>559.98</v>
      </c>
      <c r="AN1007" t="inlineStr">
        <is>
          <t>https://tinyurl.com/y72sg25z</t>
        </is>
      </c>
      <c r="AO1007" t="inlineStr">
        <is>
          <t>Atomic Maverick 95 Ti Skis</t>
        </is>
      </c>
      <c r="AP1007" t="inlineStr">
        <is>
          <t>SkiEssentials.com</t>
        </is>
      </c>
      <c r="AQ1007" s="333" t="n">
        <v>559.99</v>
      </c>
      <c r="AR1007" t="inlineStr">
        <is>
          <t>https://tinyurl.com/yca6j2ef</t>
        </is>
      </c>
      <c r="AS1007" s="314">
        <f>IF(LEFT(C1007,1)=" ",RIGHT(C1007,LEN(C1007)-1),C1007)</f>
        <v/>
      </c>
      <c r="AT1007" s="281">
        <f>_xlfn.CONCAT(B1007,AS1007,D1007,E1007)</f>
        <v/>
      </c>
    </row>
    <row r="1008">
      <c r="A1008" t="inlineStr">
        <is>
          <t>21/22</t>
        </is>
      </c>
      <c r="B1008" t="inlineStr">
        <is>
          <t xml:space="preserve"> DPS</t>
        </is>
      </c>
      <c r="C1008" t="inlineStr">
        <is>
          <t>Pagoda 112 RP</t>
        </is>
      </c>
      <c r="D1008" t="n">
        <v>184</v>
      </c>
      <c r="E1008" t="inlineStr">
        <is>
          <t xml:space="preserve"> Unisex</t>
        </is>
      </c>
      <c r="F1008" t="n">
        <v>184</v>
      </c>
      <c r="G1008" t="n">
        <v>182.6</v>
      </c>
      <c r="H1008" t="n">
        <v>109</v>
      </c>
      <c r="I1008" t="n">
        <v>125</v>
      </c>
      <c r="J1008" t="n">
        <v>140</v>
      </c>
      <c r="K1008" t="n">
        <v>112</v>
      </c>
      <c r="L1008" t="n">
        <v>127</v>
      </c>
      <c r="M1008" t="n">
        <v>15.5</v>
      </c>
      <c r="N1008" t="n">
        <v>2062</v>
      </c>
      <c r="O1008" t="n">
        <v>1.07</v>
      </c>
      <c r="P1008" t="n">
        <v>2207</v>
      </c>
      <c r="Q1008" t="n">
        <v>267</v>
      </c>
      <c r="R1008" t="n">
        <v>128</v>
      </c>
      <c r="S1008" t="n">
        <v>77</v>
      </c>
      <c r="T1008" t="n">
        <v>424</v>
      </c>
      <c r="U1008" t="n">
        <v>34</v>
      </c>
      <c r="V1008" t="n">
        <v>316</v>
      </c>
      <c r="W1008" t="n">
        <v>0.444</v>
      </c>
      <c r="X1008" t="n">
        <v>310</v>
      </c>
      <c r="Y1008" t="n">
        <v>270</v>
      </c>
      <c r="Z1008" t="n">
        <v>114</v>
      </c>
      <c r="AA1008" t="n">
        <v>4</v>
      </c>
      <c r="AB1008" t="n">
        <v>13.5</v>
      </c>
      <c r="AC1008" t="inlineStr">
        <is>
          <t xml:space="preserve"> Powder</t>
        </is>
      </c>
      <c r="AD1008" t="inlineStr">
        <is>
          <t xml:space="preserve"> Touring</t>
        </is>
      </c>
      <c r="AG1008" t="inlineStr">
        <is>
          <t>DPS Pagoda 112 RP Light Green Skis 184cm 2022</t>
        </is>
      </c>
      <c r="AH1008" t="inlineStr">
        <is>
          <t>Telemark Pyrenees</t>
        </is>
      </c>
      <c r="AI1008" s="333" t="n">
        <v>1008.42</v>
      </c>
      <c r="AJ1008" t="inlineStr">
        <is>
          <t>https://tinyurl.com/ycnx77uv</t>
        </is>
      </c>
      <c r="AK1008" t="inlineStr">
        <is>
          <t>DPS Pagoda 112 RP Ski 184 / Yellow</t>
        </is>
      </c>
      <c r="AL1008" t="inlineStr">
        <is>
          <t>Cripple Creek Backcountry</t>
        </is>
      </c>
      <c r="AM1008" s="333" t="n">
        <v>1029</v>
      </c>
      <c r="AN1008" t="inlineStr">
        <is>
          <t>https://tinyurl.com/y8anspnp</t>
        </is>
      </c>
      <c r="AO1008" t="inlineStr">
        <is>
          <t>DPS Pagoda 112 RP Light Green Skis 184cm 2022</t>
        </is>
      </c>
      <c r="AP1008" t="inlineStr">
        <is>
          <t>Powder7 Ski Shop</t>
        </is>
      </c>
      <c r="AQ1008" s="333" t="n">
        <v>1039.2</v>
      </c>
      <c r="AR1008" t="inlineStr">
        <is>
          <t>https://tinyurl.com/y9aayeek</t>
        </is>
      </c>
      <c r="AS1008" s="314">
        <f>IF(LEFT(C1008,1)=" ",RIGHT(C1008,LEN(C1008)-1),C1008)</f>
        <v/>
      </c>
      <c r="AT1008" s="281">
        <f>_xlfn.CONCAT(B1008,AS1008,D1008,E1008)</f>
        <v/>
      </c>
    </row>
    <row r="1009">
      <c r="A1009" t="inlineStr">
        <is>
          <t>21/22</t>
        </is>
      </c>
      <c r="B1009" t="inlineStr">
        <is>
          <t xml:space="preserve"> Armada</t>
        </is>
      </c>
      <c r="C1009" t="inlineStr">
        <is>
          <t>Trace 88</t>
        </is>
      </c>
      <c r="D1009" t="n">
        <v>162</v>
      </c>
      <c r="E1009" t="inlineStr">
        <is>
          <t xml:space="preserve"> Women's</t>
        </is>
      </c>
      <c r="F1009" t="n">
        <v>162</v>
      </c>
      <c r="G1009" t="n">
        <v>161.2</v>
      </c>
      <c r="H1009" t="n">
        <v>130</v>
      </c>
      <c r="I1009" t="n">
        <v>135</v>
      </c>
      <c r="J1009" t="n">
        <v>114</v>
      </c>
      <c r="K1009" t="n">
        <v>87</v>
      </c>
      <c r="L1009" t="n">
        <v>106</v>
      </c>
      <c r="M1009" t="n">
        <v>19.6</v>
      </c>
      <c r="N1009" t="n">
        <v>1166</v>
      </c>
      <c r="O1009" t="n">
        <v>1.32</v>
      </c>
      <c r="P1009" t="n">
        <v>1535</v>
      </c>
      <c r="Q1009" t="n">
        <v>173</v>
      </c>
      <c r="R1009" t="n">
        <v>74</v>
      </c>
      <c r="S1009" t="n">
        <v>38</v>
      </c>
      <c r="T1009" t="n">
        <v>194</v>
      </c>
      <c r="U1009" t="n">
        <v>11</v>
      </c>
      <c r="V1009" t="n">
        <v>123</v>
      </c>
      <c r="W1009" t="n">
        <v>0.298</v>
      </c>
      <c r="X1009" t="n">
        <v>153</v>
      </c>
      <c r="Y1009" t="n">
        <v>104</v>
      </c>
      <c r="Z1009" t="n">
        <v>40</v>
      </c>
      <c r="AA1009" t="n">
        <v>5</v>
      </c>
      <c r="AB1009" t="n">
        <v>6.1</v>
      </c>
      <c r="AC1009" t="inlineStr">
        <is>
          <t xml:space="preserve"> Touring</t>
        </is>
      </c>
      <c r="AD1009" t="inlineStr">
        <is>
          <t xml:space="preserve"> Ultralight Touring</t>
        </is>
      </c>
      <c r="AG1009" t="inlineStr">
        <is>
          <t>Armada Women's Trace 88 Ski</t>
        </is>
      </c>
      <c r="AH1009" t="inlineStr">
        <is>
          <t>Snowcountry.eu</t>
        </is>
      </c>
      <c r="AI1009" s="333" t="n">
        <v>367.81</v>
      </c>
      <c r="AJ1009" t="inlineStr">
        <is>
          <t>https://tinyurl.com/ya4rwjpp</t>
        </is>
      </c>
      <c r="AK1009" t="inlineStr">
        <is>
          <t>Armada Women's Trace 88 Ski</t>
        </is>
      </c>
      <c r="AL1009" t="inlineStr">
        <is>
          <t>Ski Pro  - Snow Ski &amp; Snowboard</t>
        </is>
      </c>
      <c r="AM1009" s="333" t="n">
        <v>479.95</v>
      </c>
      <c r="AN1009" t="inlineStr">
        <is>
          <t>https://tinyurl.com/y8yd5pj7</t>
        </is>
      </c>
      <c r="AO1009" t="inlineStr">
        <is>
          <t>Armada Women's Trace 88 Ski</t>
        </is>
      </c>
      <c r="AP1009" t="inlineStr">
        <is>
          <t>SkiEssentials.com</t>
        </is>
      </c>
      <c r="AQ1009" s="333" t="n">
        <v>479.96</v>
      </c>
      <c r="AR1009" t="inlineStr">
        <is>
          <t>https://tinyurl.com/ybae75zd</t>
        </is>
      </c>
      <c r="AS1009" s="314">
        <f>IF(LEFT(C1009,1)=" ",RIGHT(C1009,LEN(C1009)-1),C1009)</f>
        <v/>
      </c>
      <c r="AT1009" s="281">
        <f>_xlfn.CONCAT(B1009,AS1009,D1009,E1009)</f>
        <v/>
      </c>
    </row>
    <row r="1010">
      <c r="A1010" t="inlineStr">
        <is>
          <t>21/22</t>
        </is>
      </c>
      <c r="B1010" t="inlineStr">
        <is>
          <t xml:space="preserve"> Nordica</t>
        </is>
      </c>
      <c r="C1010" t="inlineStr">
        <is>
          <t>Enforcer 88</t>
        </is>
      </c>
      <c r="D1010" t="n">
        <v>179</v>
      </c>
      <c r="E1010" t="inlineStr">
        <is>
          <t xml:space="preserve"> Unisex</t>
        </is>
      </c>
      <c r="F1010" t="n">
        <v>179</v>
      </c>
      <c r="G1010" t="n">
        <v>178.5</v>
      </c>
      <c r="H1010" t="n">
        <v>133</v>
      </c>
      <c r="I1010" t="n">
        <v>150</v>
      </c>
      <c r="J1010" t="n">
        <v>123</v>
      </c>
      <c r="K1010" t="n">
        <v>87</v>
      </c>
      <c r="L1010" t="n">
        <v>109</v>
      </c>
      <c r="M1010" t="n">
        <v>16.7</v>
      </c>
      <c r="N1010" t="n">
        <v>2013</v>
      </c>
      <c r="O1010" t="n">
        <v>0.88</v>
      </c>
      <c r="P1010" t="n">
        <v>1773</v>
      </c>
      <c r="Q1010" t="n">
        <v>201</v>
      </c>
      <c r="R1010" t="n">
        <v>130</v>
      </c>
      <c r="S1010" t="n">
        <v>52</v>
      </c>
      <c r="T1010" t="n">
        <v>271</v>
      </c>
      <c r="U1010" t="n">
        <v>12</v>
      </c>
      <c r="V1010" t="n">
        <v>185</v>
      </c>
      <c r="W1010" t="n">
        <v>0.235</v>
      </c>
      <c r="X1010" t="n">
        <v>132</v>
      </c>
      <c r="Y1010" t="n">
        <v>152</v>
      </c>
      <c r="Z1010" t="n">
        <v>139</v>
      </c>
      <c r="AA1010" t="n">
        <v>8</v>
      </c>
      <c r="AB1010" t="n">
        <v>8.300000000000001</v>
      </c>
      <c r="AC1010" t="inlineStr">
        <is>
          <t xml:space="preserve"> Resort Freeride</t>
        </is>
      </c>
      <c r="AG1010" t="inlineStr">
        <is>
          <t>Nordica Enforcer 88 / Santa Ana 93 Ski Skins - 2022 179 cm</t>
        </is>
      </c>
      <c r="AH1010" t="inlineStr">
        <is>
          <t>Arlberg Ski &amp; Surf Shops</t>
        </is>
      </c>
      <c r="AI1010" s="333" t="n">
        <v>209.95</v>
      </c>
      <c r="AJ1010" t="inlineStr">
        <is>
          <t>https://tinyurl.com/yd4lsn4h</t>
        </is>
      </c>
      <c r="AK1010" t="inlineStr">
        <is>
          <t>Nordica Enforcer 88 Skis Â· 2022 Â· 179 cm</t>
        </is>
      </c>
      <c r="AL1010" t="inlineStr">
        <is>
          <t>AlpineShopVT.com</t>
        </is>
      </c>
      <c r="AM1010" s="333" t="n">
        <v>519.99</v>
      </c>
      <c r="AN1010" t="inlineStr">
        <is>
          <t>https://tinyurl.com/y7ntzuob</t>
        </is>
      </c>
      <c r="AO1010" t="inlineStr">
        <is>
          <t>Nordica Enforcer 88 Skis Â· 2022 Â· 179 cm</t>
        </is>
      </c>
      <c r="AP1010" t="inlineStr">
        <is>
          <t xml:space="preserve">Aspen East </t>
        </is>
      </c>
      <c r="AQ1010" s="333" t="n">
        <v>559</v>
      </c>
      <c r="AR1010" t="inlineStr">
        <is>
          <t>https://tinyurl.com/y9j6jjgm</t>
        </is>
      </c>
      <c r="AS1010" s="314">
        <f>IF(LEFT(C1010,1)=" ",RIGHT(C1010,LEN(C1010)-1),C1010)</f>
        <v/>
      </c>
      <c r="AT1010" s="281">
        <f>_xlfn.CONCAT(B1010,AS1010,D1010,E1010)</f>
        <v/>
      </c>
    </row>
    <row r="1011">
      <c r="A1011" t="inlineStr">
        <is>
          <t>21/22</t>
        </is>
      </c>
      <c r="B1011" t="inlineStr">
        <is>
          <t xml:space="preserve"> Icelantic</t>
        </is>
      </c>
      <c r="C1011" t="inlineStr">
        <is>
          <t>Riveter 85</t>
        </is>
      </c>
      <c r="D1011" t="n">
        <v>155</v>
      </c>
      <c r="E1011" t="inlineStr">
        <is>
          <t xml:space="preserve"> Women's</t>
        </is>
      </c>
      <c r="F1011" t="n">
        <v>155</v>
      </c>
      <c r="G1011" t="n">
        <v>154.1</v>
      </c>
      <c r="H1011" t="n">
        <v>99</v>
      </c>
      <c r="I1011" t="n">
        <v>125</v>
      </c>
      <c r="J1011" t="n">
        <v>120</v>
      </c>
      <c r="K1011" t="n">
        <v>86</v>
      </c>
      <c r="L1011" t="n">
        <v>107</v>
      </c>
      <c r="M1011" t="n">
        <v>12.9</v>
      </c>
      <c r="N1011" t="n">
        <v>1407</v>
      </c>
      <c r="O1011" t="n">
        <v>1.06</v>
      </c>
      <c r="P1011" t="n">
        <v>1492</v>
      </c>
      <c r="Q1011" t="n">
        <v>151</v>
      </c>
      <c r="R1011" t="n">
        <v>65</v>
      </c>
      <c r="S1011" t="n">
        <v>57</v>
      </c>
      <c r="T1011" t="n">
        <v>319</v>
      </c>
      <c r="U1011" t="n">
        <v>16</v>
      </c>
      <c r="V1011" t="n">
        <v>233</v>
      </c>
      <c r="W1011" t="n">
        <v>0.29</v>
      </c>
      <c r="X1011" t="n">
        <v>184</v>
      </c>
      <c r="Y1011" t="n">
        <v>109</v>
      </c>
      <c r="Z1011" t="n">
        <v>135</v>
      </c>
      <c r="AA1011" t="n">
        <v>5</v>
      </c>
      <c r="AB1011" t="n">
        <v>8.199999999999999</v>
      </c>
      <c r="AC1011" t="inlineStr">
        <is>
          <t xml:space="preserve"> Resort Freeride</t>
        </is>
      </c>
      <c r="AD1011" t="inlineStr">
        <is>
          <t xml:space="preserve"> Touring</t>
        </is>
      </c>
      <c r="AG1011" t="inlineStr">
        <is>
          <t>Icelantic Riveter 85 Skis - Women's 2022 155cm</t>
        </is>
      </c>
      <c r="AH1011" t="inlineStr">
        <is>
          <t>Glacier Ski Shop</t>
        </is>
      </c>
      <c r="AI1011" s="333" t="n">
        <v>469</v>
      </c>
      <c r="AJ1011" t="inlineStr">
        <is>
          <t>https://tinyurl.com/y8qex67h</t>
        </is>
      </c>
      <c r="AK1011" t="inlineStr">
        <is>
          <t>Icelantic Riveter 85 Skis Women's Â· 2022 Â· 155 cm</t>
        </is>
      </c>
      <c r="AL1011" t="inlineStr">
        <is>
          <t>Teton Wasatch Ski Co.</t>
        </is>
      </c>
      <c r="AM1011" s="333" t="n">
        <v>471</v>
      </c>
      <c r="AN1011" t="inlineStr">
        <is>
          <t>https://tinyurl.com/ybfa4jlu</t>
        </is>
      </c>
      <c r="AO1011" t="inlineStr">
        <is>
          <t>Icelantic Riveter 85 Skis Women's Â· 2022 Â· 155 cm</t>
        </is>
      </c>
      <c r="AP1011" t="inlineStr">
        <is>
          <t>Curated</t>
        </is>
      </c>
      <c r="AQ1011" s="333" t="n">
        <v>471</v>
      </c>
      <c r="AR1011" t="inlineStr">
        <is>
          <t>https://tinyurl.com/ybqevnkh</t>
        </is>
      </c>
      <c r="AS1011" s="314">
        <f>IF(LEFT(C1011,1)=" ",RIGHT(C1011,LEN(C1011)-1),C1011)</f>
        <v/>
      </c>
      <c r="AT1011" s="281">
        <f>_xlfn.CONCAT(B1011,AS1011,D1011,E1011)</f>
        <v/>
      </c>
    </row>
    <row r="1012">
      <c r="A1012" t="inlineStr">
        <is>
          <t>21/22</t>
        </is>
      </c>
      <c r="B1012" t="inlineStr">
        <is>
          <t xml:space="preserve"> Rossignol</t>
        </is>
      </c>
      <c r="C1012" t="inlineStr">
        <is>
          <t xml:space="preserve"> Blackops Dreamer W</t>
        </is>
      </c>
      <c r="D1012" t="n">
        <v>140</v>
      </c>
      <c r="E1012" t="inlineStr">
        <is>
          <t xml:space="preserve"> Women's</t>
        </is>
      </c>
      <c r="F1012" t="n">
        <v>140</v>
      </c>
      <c r="G1012" t="n">
        <v>138.6</v>
      </c>
      <c r="H1012" t="n">
        <v>89</v>
      </c>
      <c r="I1012" t="n">
        <v>114</v>
      </c>
      <c r="J1012" t="n">
        <v>118</v>
      </c>
      <c r="K1012" t="n">
        <v>89</v>
      </c>
      <c r="L1012" t="n">
        <v>107</v>
      </c>
      <c r="M1012" t="n">
        <v>13.8</v>
      </c>
      <c r="N1012" t="n">
        <v>1559</v>
      </c>
      <c r="O1012" t="n">
        <v>0.87</v>
      </c>
      <c r="P1012" t="n">
        <v>1361</v>
      </c>
      <c r="Q1012" t="n">
        <v>155</v>
      </c>
      <c r="R1012" t="n">
        <v>57</v>
      </c>
      <c r="S1012" t="n">
        <v>52</v>
      </c>
      <c r="T1012" t="n">
        <v>263</v>
      </c>
      <c r="U1012" t="n">
        <v>33</v>
      </c>
      <c r="V1012" t="n">
        <v>232</v>
      </c>
      <c r="W1012" t="n">
        <v>0.623</v>
      </c>
      <c r="X1012" t="n">
        <v>118</v>
      </c>
      <c r="Y1012" t="n">
        <v>124</v>
      </c>
      <c r="Z1012" t="n">
        <v>145</v>
      </c>
      <c r="AA1012" t="n">
        <v>5</v>
      </c>
      <c r="AB1012" t="n">
        <v>5</v>
      </c>
      <c r="AC1012" t="inlineStr">
        <is>
          <t xml:space="preserve"> Resort Freeride</t>
        </is>
      </c>
      <c r="AG1012" t="inlineStr">
        <is>
          <t>Rossignol Blackops W Dreamer XP/XP W10GW 140cm</t>
        </is>
      </c>
      <c r="AH1012" t="inlineStr">
        <is>
          <t>Sundance Ski and Board Shop</t>
        </is>
      </c>
      <c r="AI1012" s="333" t="n">
        <v>296.53</v>
      </c>
      <c r="AJ1012" t="inlineStr">
        <is>
          <t>https://tinyurl.com/y6vxeqv2</t>
        </is>
      </c>
      <c r="AK1012" t="inlineStr">
        <is>
          <t>Rossignol 2022 Blackops W Dreamer Xpress 140cm Teen All Mtn Skis W/</t>
        </is>
      </c>
      <c r="AL1012" t="inlineStr">
        <is>
          <t>eBay - sir_davahad</t>
        </is>
      </c>
      <c r="AM1012" s="333" t="n">
        <v>299</v>
      </c>
      <c r="AN1012" t="inlineStr">
        <is>
          <t>https://tinyurl.com/y8dxu3cc</t>
        </is>
      </c>
      <c r="AO1012" t="inlineStr">
        <is>
          <t>Rossignol Teen's Skis Blackops W Dreamer (xpress)</t>
        </is>
      </c>
      <c r="AP1012" t="inlineStr">
        <is>
          <t>Spoke-N-Sport</t>
        </is>
      </c>
      <c r="AQ1012" s="333" t="n">
        <v>314.99</v>
      </c>
      <c r="AR1012" t="inlineStr">
        <is>
          <t>https://tinyurl.com/y9gtz8s2</t>
        </is>
      </c>
      <c r="AS1012" s="314">
        <f>IF(LEFT(C1012,1)=" ",RIGHT(C1012,LEN(C1012)-1),C1012)</f>
        <v/>
      </c>
      <c r="AT1012" s="281">
        <f>_xlfn.CONCAT(B1012,AS1012,D1012,E1012)</f>
        <v/>
      </c>
    </row>
    <row r="1013">
      <c r="A1013" t="inlineStr">
        <is>
          <t>21/22</t>
        </is>
      </c>
      <c r="B1013" t="inlineStr">
        <is>
          <t xml:space="preserve"> Rossignol</t>
        </is>
      </c>
      <c r="C1013" t="inlineStr">
        <is>
          <t>Experience 76</t>
        </is>
      </c>
      <c r="D1013" t="n">
        <v>160</v>
      </c>
      <c r="E1013" t="inlineStr">
        <is>
          <t xml:space="preserve"> Unisex</t>
        </is>
      </c>
      <c r="F1013" t="n">
        <v>160</v>
      </c>
      <c r="G1013" t="n">
        <v>160.4</v>
      </c>
      <c r="H1013" t="n">
        <v>139</v>
      </c>
      <c r="I1013" t="n">
        <v>145</v>
      </c>
      <c r="J1013" t="n">
        <v>124</v>
      </c>
      <c r="K1013" t="n">
        <v>76</v>
      </c>
      <c r="L1013" t="n">
        <v>110</v>
      </c>
      <c r="M1013" t="n">
        <v>12.7</v>
      </c>
      <c r="N1013" t="n">
        <v>1597</v>
      </c>
      <c r="O1013" t="n">
        <v>0.92</v>
      </c>
      <c r="P1013" t="n">
        <v>1470</v>
      </c>
      <c r="Q1013" t="n">
        <v>158</v>
      </c>
      <c r="R1013" t="n">
        <v>55</v>
      </c>
      <c r="S1013" t="n">
        <v>36</v>
      </c>
      <c r="T1013" t="n">
        <v>148</v>
      </c>
      <c r="U1013" t="n">
        <v>6</v>
      </c>
      <c r="V1013" t="n">
        <v>69</v>
      </c>
      <c r="W1013" t="n">
        <v>0.176</v>
      </c>
      <c r="X1013" t="n">
        <v>74</v>
      </c>
      <c r="Y1013" t="n">
        <v>82</v>
      </c>
      <c r="Z1013" t="n">
        <v>74</v>
      </c>
      <c r="AA1013" t="n">
        <v>11</v>
      </c>
      <c r="AB1013" t="n">
        <v>8.199999999999999</v>
      </c>
      <c r="AC1013" t="inlineStr">
        <is>
          <t xml:space="preserve"> On-Piste Carving</t>
        </is>
      </c>
      <c r="AG1013" t="inlineStr">
        <is>
          <t>Rossignol Experience 76 Skis w/ Look Xpress 10 GW Bindings</t>
        </is>
      </c>
      <c r="AH1013" t="inlineStr">
        <is>
          <t>The-House.com</t>
        </is>
      </c>
      <c r="AI1013" s="333" t="n">
        <v>319.95</v>
      </c>
      <c r="AJ1013" t="inlineStr">
        <is>
          <t>https://tinyurl.com/y8oqvgen</t>
        </is>
      </c>
      <c r="AK1013" t="inlineStr">
        <is>
          <t>Rossignol Women's All Mountain Skis Experience W 76 (xpress)</t>
        </is>
      </c>
      <c r="AL1013" t="inlineStr">
        <is>
          <t>Rossignol US</t>
        </is>
      </c>
      <c r="AM1013" s="333" t="n">
        <v>399.95</v>
      </c>
      <c r="AN1013" t="inlineStr">
        <is>
          <t>https://tinyurl.com/y8mnzxcr</t>
        </is>
      </c>
      <c r="AO1013" t="inlineStr">
        <is>
          <t>Rossignol Experience 76 Women's Skis w Rossignol Xpress 11 Demo Binding Bindings  Demo</t>
        </is>
      </c>
      <c r="AP1013" t="inlineStr">
        <is>
          <t>Powder7 Ski Shop</t>
        </is>
      </c>
      <c r="AQ1013" s="333" t="n">
        <v>419.99</v>
      </c>
      <c r="AR1013" t="inlineStr">
        <is>
          <t>https://tinyurl.com/y7nh6edu</t>
        </is>
      </c>
      <c r="AS1013" s="314">
        <f>IF(LEFT(C1013,1)=" ",RIGHT(C1013,LEN(C1013)-1),C1013)</f>
        <v/>
      </c>
      <c r="AT1013" s="281">
        <f>_xlfn.CONCAT(B1013,AS1013,D1013,E1013)</f>
        <v/>
      </c>
    </row>
    <row r="1014">
      <c r="A1014" t="inlineStr">
        <is>
          <t>21/22</t>
        </is>
      </c>
      <c r="B1014" t="inlineStr">
        <is>
          <t xml:space="preserve"> Line</t>
        </is>
      </c>
      <c r="C1014" t="inlineStr">
        <is>
          <t xml:space="preserve"> Honey Bee</t>
        </is>
      </c>
      <c r="D1014" t="n">
        <v>166</v>
      </c>
      <c r="E1014" t="inlineStr">
        <is>
          <t xml:space="preserve"> Women's</t>
        </is>
      </c>
      <c r="F1014" t="n">
        <v>166</v>
      </c>
      <c r="G1014" t="n">
        <v>165.3</v>
      </c>
      <c r="H1014" t="n">
        <v>129</v>
      </c>
      <c r="I1014" t="n">
        <v>141</v>
      </c>
      <c r="J1014" t="n">
        <v>120</v>
      </c>
      <c r="K1014" t="n">
        <v>91</v>
      </c>
      <c r="L1014" t="n">
        <v>117</v>
      </c>
      <c r="M1014" t="n">
        <v>17.3</v>
      </c>
      <c r="N1014" t="n">
        <v>1542</v>
      </c>
      <c r="O1014" t="n">
        <v>1.08</v>
      </c>
      <c r="P1014" t="n">
        <v>1668</v>
      </c>
      <c r="Q1014" t="n">
        <v>116</v>
      </c>
      <c r="R1014" t="n">
        <v>53</v>
      </c>
      <c r="S1014" t="n">
        <v>42</v>
      </c>
      <c r="T1014" t="n">
        <v>178</v>
      </c>
      <c r="U1014" t="n">
        <v>41</v>
      </c>
      <c r="V1014" t="n">
        <v>183</v>
      </c>
      <c r="W1014" t="n">
        <v>0.986</v>
      </c>
      <c r="X1014" t="n">
        <v>125</v>
      </c>
      <c r="Y1014" t="n">
        <v>115</v>
      </c>
      <c r="Z1014" t="n">
        <v>53</v>
      </c>
      <c r="AA1014" t="n">
        <v>9</v>
      </c>
      <c r="AB1014" t="n">
        <v>3.5</v>
      </c>
      <c r="AC1014" t="inlineStr">
        <is>
          <t xml:space="preserve"> Freeski</t>
        </is>
      </c>
      <c r="AD1014" t="inlineStr">
        <is>
          <t xml:space="preserve"> Touring</t>
        </is>
      </c>
      <c r="AG1014" t="inlineStr">
        <is>
          <t>Line Honey Bee Skis</t>
        </is>
      </c>
      <c r="AH1014" t="inlineStr">
        <is>
          <t>LINE Skis</t>
        </is>
      </c>
      <c r="AI1014" s="333" t="n">
        <v>349.95</v>
      </c>
      <c r="AJ1014" t="inlineStr">
        <is>
          <t>https://tinyurl.com/ybr8yfzu</t>
        </is>
      </c>
      <c r="AS1014" s="314">
        <f>IF(LEFT(C1014,1)=" ",RIGHT(C1014,LEN(C1014)-1),C1014)</f>
        <v/>
      </c>
      <c r="AT1014" s="281">
        <f>_xlfn.CONCAT(B1014,AS1014,D1014,E1014)</f>
        <v/>
      </c>
    </row>
    <row r="1015">
      <c r="A1015" t="inlineStr">
        <is>
          <t>21/22</t>
        </is>
      </c>
      <c r="B1015" t="inlineStr">
        <is>
          <t xml:space="preserve"> Atomic</t>
        </is>
      </c>
      <c r="C1015" t="inlineStr">
        <is>
          <t>Cloud C12 Servo</t>
        </is>
      </c>
      <c r="D1015" t="n">
        <v>161</v>
      </c>
      <c r="E1015" t="inlineStr">
        <is>
          <t xml:space="preserve"> Women's</t>
        </is>
      </c>
      <c r="F1015" t="n">
        <v>161</v>
      </c>
      <c r="G1015" t="n">
        <v>160.3</v>
      </c>
      <c r="H1015" t="n">
        <v>141</v>
      </c>
      <c r="I1015" t="n">
        <v>147</v>
      </c>
      <c r="J1015" t="n">
        <v>110</v>
      </c>
      <c r="K1015" t="n">
        <v>69</v>
      </c>
      <c r="L1015" t="n">
        <v>99</v>
      </c>
      <c r="M1015" t="n">
        <v>14.5</v>
      </c>
      <c r="N1015" t="n">
        <v>1803</v>
      </c>
      <c r="O1015" t="n">
        <v>0.73</v>
      </c>
      <c r="P1015" t="n">
        <v>1319</v>
      </c>
      <c r="Q1015" t="n">
        <v>163</v>
      </c>
      <c r="R1015" t="n">
        <v>56</v>
      </c>
      <c r="S1015" t="n">
        <v>38</v>
      </c>
      <c r="T1015" t="n">
        <v>145</v>
      </c>
      <c r="U1015" t="n">
        <v>4</v>
      </c>
      <c r="V1015" t="n">
        <v>50</v>
      </c>
      <c r="W1015" t="n">
        <v>0.09699999999999991</v>
      </c>
      <c r="X1015" t="n">
        <v>80</v>
      </c>
      <c r="Y1015" t="n">
        <v>53</v>
      </c>
      <c r="Z1015" t="n">
        <v>65</v>
      </c>
      <c r="AA1015" t="n">
        <v>8</v>
      </c>
      <c r="AB1015" t="n">
        <v>12.5</v>
      </c>
      <c r="AC1015" t="inlineStr">
        <is>
          <t xml:space="preserve"> On-Piste Carving</t>
        </is>
      </c>
      <c r="AG1015" t="inlineStr">
        <is>
          <t>Atomic Cloud C12 Servo Skis w/ x 12 GW Bindings</t>
        </is>
      </c>
      <c r="AH1015" t="inlineStr">
        <is>
          <t>The-House.com</t>
        </is>
      </c>
      <c r="AI1015" s="333" t="n">
        <v>639.95</v>
      </c>
      <c r="AJ1015" t="inlineStr">
        <is>
          <t>https://tinyurl.com/y8mukee2</t>
        </is>
      </c>
      <c r="AK1015" t="inlineStr">
        <is>
          <t>2020 Atomic Cloud 12 ladies snow skis with bindings 161</t>
        </is>
      </c>
      <c r="AL1015" t="inlineStr">
        <is>
          <t>The Pro Shop</t>
        </is>
      </c>
      <c r="AM1015" s="333" t="n">
        <v>797</v>
      </c>
      <c r="AN1015" t="inlineStr">
        <is>
          <t>https://tinyurl.com/y9xhowq2</t>
        </is>
      </c>
      <c r="AO1015" t="inlineStr">
        <is>
          <t>Atomic Cloud 12 Ladies Snow Skis 161 Cm W-bind (inc Poles Buyitnow)</t>
        </is>
      </c>
      <c r="AP1015" t="inlineStr">
        <is>
          <t>eBay - proskiguy</t>
        </is>
      </c>
      <c r="AQ1015" s="333" t="n">
        <v>799</v>
      </c>
      <c r="AR1015" t="inlineStr">
        <is>
          <t>https://tinyurl.com/y727ncgb</t>
        </is>
      </c>
      <c r="AS1015" s="314">
        <f>IF(LEFT(C1015,1)=" ",RIGHT(C1015,LEN(C1015)-1),C1015)</f>
        <v/>
      </c>
      <c r="AT1015" s="281">
        <f>_xlfn.CONCAT(B1015,AS1015,D1015,E1015)</f>
        <v/>
      </c>
    </row>
    <row r="1016">
      <c r="A1016" t="inlineStr">
        <is>
          <t>21/22</t>
        </is>
      </c>
      <c r="B1016" t="inlineStr">
        <is>
          <t xml:space="preserve"> Faction</t>
        </is>
      </c>
      <c r="C1016" t="inlineStr">
        <is>
          <t>Dictator 2.0</t>
        </is>
      </c>
      <c r="D1016" t="n">
        <v>179</v>
      </c>
      <c r="E1016" t="inlineStr">
        <is>
          <t xml:space="preserve"> Unisex</t>
        </is>
      </c>
      <c r="F1016" t="n">
        <v>179</v>
      </c>
      <c r="G1016" t="n">
        <v>177.5</v>
      </c>
      <c r="H1016" t="n">
        <v>135</v>
      </c>
      <c r="I1016" t="n">
        <v>151</v>
      </c>
      <c r="J1016" t="n">
        <v>127</v>
      </c>
      <c r="K1016" t="n">
        <v>96</v>
      </c>
      <c r="L1016" t="n">
        <v>117</v>
      </c>
      <c r="M1016" t="n">
        <v>19.6</v>
      </c>
      <c r="N1016" t="n">
        <v>1844</v>
      </c>
      <c r="O1016" t="n">
        <v>1.02</v>
      </c>
      <c r="P1016" t="n">
        <v>1887</v>
      </c>
      <c r="Q1016" t="n">
        <v>241</v>
      </c>
      <c r="R1016" t="n">
        <v>151</v>
      </c>
      <c r="S1016" t="n">
        <v>53</v>
      </c>
      <c r="T1016" t="n">
        <v>259</v>
      </c>
      <c r="U1016" t="n">
        <v>19</v>
      </c>
      <c r="V1016" t="n">
        <v>171</v>
      </c>
      <c r="W1016" t="n">
        <v>0.358</v>
      </c>
      <c r="X1016" t="n">
        <v>165</v>
      </c>
      <c r="Y1016" t="n">
        <v>103</v>
      </c>
      <c r="Z1016" t="n">
        <v>94</v>
      </c>
      <c r="AA1016" t="n">
        <v>9</v>
      </c>
      <c r="AB1016" t="n">
        <v>11.1</v>
      </c>
      <c r="AC1016" t="inlineStr">
        <is>
          <t xml:space="preserve"> Resort Freeride</t>
        </is>
      </c>
      <c r="AG1016" t="inlineStr">
        <is>
          <t>Faction Dictator 2.0 Skis 2022</t>
        </is>
      </c>
      <c r="AH1016" t="inlineStr">
        <is>
          <t>Next Adventure</t>
        </is>
      </c>
      <c r="AI1016" s="333" t="n">
        <v>623.2</v>
      </c>
      <c r="AJ1016" t="inlineStr">
        <is>
          <t>https://tinyurl.com/yben82so</t>
        </is>
      </c>
      <c r="AK1016" t="inlineStr">
        <is>
          <t>Brand Faction Chapter 2.0 Snow Ski, 179cm Retail $629</t>
        </is>
      </c>
      <c r="AL1016" t="inlineStr">
        <is>
          <t>eBay</t>
        </is>
      </c>
      <c r="AM1016" s="333" t="n">
        <v>439</v>
      </c>
      <c r="AN1016" t="inlineStr">
        <is>
          <t>https://tinyurl.com/y976y5vj</t>
        </is>
      </c>
      <c r="AO1016" t="inlineStr">
        <is>
          <t>Faction Agent 2.0 Skis</t>
        </is>
      </c>
      <c r="AP1016" t="inlineStr">
        <is>
          <t>Gorham Bike and Ski</t>
        </is>
      </c>
      <c r="AQ1016" s="333" t="n">
        <v>489.99</v>
      </c>
      <c r="AR1016" t="inlineStr">
        <is>
          <t>https://tinyurl.com/y9yk43w9</t>
        </is>
      </c>
      <c r="AS1016" s="314">
        <f>IF(LEFT(C1016,1)=" ",RIGHT(C1016,LEN(C1016)-1),C1016)</f>
        <v/>
      </c>
      <c r="AT1016" s="281">
        <f>_xlfn.CONCAT(B1016,AS1016,D1016,E1016)</f>
        <v/>
      </c>
    </row>
    <row r="1017">
      <c r="A1017" t="inlineStr">
        <is>
          <t>21/22</t>
        </is>
      </c>
      <c r="B1017" t="inlineStr">
        <is>
          <t xml:space="preserve"> Faction</t>
        </is>
      </c>
      <c r="C1017" t="inlineStr">
        <is>
          <t>Prodigy 0.0</t>
        </is>
      </c>
      <c r="D1017" t="n">
        <v>157</v>
      </c>
      <c r="E1017" t="inlineStr">
        <is>
          <t xml:space="preserve"> Unisex</t>
        </is>
      </c>
      <c r="F1017" t="n">
        <v>157</v>
      </c>
      <c r="G1017" t="n">
        <v>155.2</v>
      </c>
      <c r="H1017" t="n">
        <v>108</v>
      </c>
      <c r="I1017" t="n">
        <v>130</v>
      </c>
      <c r="J1017" t="n">
        <v>116</v>
      </c>
      <c r="K1017" t="n">
        <v>84</v>
      </c>
      <c r="L1017" t="n">
        <v>108</v>
      </c>
      <c r="M1017" t="n">
        <v>13.3</v>
      </c>
      <c r="N1017" t="n">
        <v>1553</v>
      </c>
      <c r="O1017" t="n">
        <v>0.95</v>
      </c>
      <c r="P1017" t="n">
        <v>1480</v>
      </c>
      <c r="Q1017" t="n">
        <v>127</v>
      </c>
      <c r="R1017" t="n">
        <v>59</v>
      </c>
      <c r="S1017" t="n">
        <v>47</v>
      </c>
      <c r="T1017" t="n">
        <v>262</v>
      </c>
      <c r="U1017" t="n">
        <v>36</v>
      </c>
      <c r="V1017" t="n">
        <v>208</v>
      </c>
      <c r="W1017" t="n">
        <v>0.763</v>
      </c>
      <c r="X1017" t="n">
        <v>131</v>
      </c>
      <c r="Y1017" t="n">
        <v>120</v>
      </c>
      <c r="Z1017" t="n">
        <v>131</v>
      </c>
      <c r="AA1017" t="n">
        <v>6</v>
      </c>
      <c r="AB1017" t="n">
        <v>6.4</v>
      </c>
      <c r="AC1017" t="inlineStr">
        <is>
          <t xml:space="preserve"> Resort Freeride</t>
        </is>
      </c>
      <c r="AG1017" t="inlineStr">
        <is>
          <t>Faction Prodigy 0.0 Ski - 2022</t>
        </is>
      </c>
      <c r="AH1017" t="inlineStr">
        <is>
          <t>Absolute-Snow.co.uk</t>
        </is>
      </c>
      <c r="AI1017" s="333" t="n">
        <v>310.61</v>
      </c>
      <c r="AJ1017" t="inlineStr">
        <is>
          <t>https://tinyurl.com/y7lydfyk</t>
        </is>
      </c>
      <c r="AK1017" t="inlineStr">
        <is>
          <t>Faction Prodigy 0.0 with M10 GW Binding Skis</t>
        </is>
      </c>
      <c r="AL1017" t="inlineStr">
        <is>
          <t>Gorham Bike and Ski</t>
        </is>
      </c>
      <c r="AM1017" s="333" t="n">
        <v>314.99</v>
      </c>
      <c r="AN1017" t="inlineStr">
        <is>
          <t>https://tinyurl.com/y8dp7gzn</t>
        </is>
      </c>
      <c r="AS1017" s="314">
        <f>IF(LEFT(C1017,1)=" ",RIGHT(C1017,LEN(C1017)-1),C1017)</f>
        <v/>
      </c>
      <c r="AT1017" s="281">
        <f>_xlfn.CONCAT(B1017,AS1017,D1017,E1017)</f>
        <v/>
      </c>
    </row>
    <row r="1018">
      <c r="A1018" t="inlineStr">
        <is>
          <t>21/22</t>
        </is>
      </c>
      <c r="B1018" t="inlineStr">
        <is>
          <t xml:space="preserve"> Atomic</t>
        </is>
      </c>
      <c r="C1018" t="inlineStr">
        <is>
          <t xml:space="preserve"> Bent Chetler JR</t>
        </is>
      </c>
      <c r="D1018" t="n">
        <v>140</v>
      </c>
      <c r="E1018" t="inlineStr">
        <is>
          <t xml:space="preserve"> Junior</t>
        </is>
      </c>
      <c r="F1018" t="n">
        <v>140</v>
      </c>
      <c r="G1018" t="n">
        <v>139.6</v>
      </c>
      <c r="H1018" t="n">
        <v>101</v>
      </c>
      <c r="I1018" t="n">
        <v>121</v>
      </c>
      <c r="J1018" t="n">
        <v>121</v>
      </c>
      <c r="K1018" t="n">
        <v>83</v>
      </c>
      <c r="L1018" t="n">
        <v>111</v>
      </c>
      <c r="M1018" t="n">
        <v>10.8</v>
      </c>
      <c r="N1018" t="n">
        <v>1483</v>
      </c>
      <c r="O1018" t="n">
        <v>0.9</v>
      </c>
      <c r="P1018" t="n">
        <v>1331</v>
      </c>
      <c r="Q1018" t="n">
        <v>114</v>
      </c>
      <c r="R1018" t="n">
        <v>62</v>
      </c>
      <c r="S1018" t="n">
        <v>40</v>
      </c>
      <c r="T1018" t="n">
        <v>198</v>
      </c>
      <c r="U1018" t="n">
        <v>30</v>
      </c>
      <c r="V1018" t="n">
        <v>186</v>
      </c>
      <c r="W1018" t="n">
        <v>0.759</v>
      </c>
      <c r="X1018" t="n">
        <v>89</v>
      </c>
      <c r="Y1018" t="n">
        <v>93</v>
      </c>
      <c r="Z1018" t="n">
        <v>109</v>
      </c>
      <c r="AA1018" t="n">
        <v>4</v>
      </c>
      <c r="AB1018" t="n">
        <v>3.7</v>
      </c>
      <c r="AC1018" t="inlineStr">
        <is>
          <t xml:space="preserve"> Resort Freeride</t>
        </is>
      </c>
      <c r="AG1018" t="inlineStr">
        <is>
          <t>Atomic Bent Chetler Jr Skis 2022</t>
        </is>
      </c>
      <c r="AH1018" t="inlineStr">
        <is>
          <t>BlueZone Sports</t>
        </is>
      </c>
      <c r="AI1018" s="333" t="n">
        <v>207.99</v>
      </c>
      <c r="AJ1018" t="inlineStr">
        <is>
          <t>https://tinyurl.com/ycvchdru</t>
        </is>
      </c>
      <c r="AK1018" t="inlineStr">
        <is>
          <t>Atomic Bent Chetler Jr Skis 2022</t>
        </is>
      </c>
      <c r="AL1018" t="inlineStr">
        <is>
          <t>evo.com</t>
        </is>
      </c>
      <c r="AM1018" s="333" t="n">
        <v>233.99</v>
      </c>
      <c r="AN1018" t="inlineStr">
        <is>
          <t>https://tinyurl.com/yazuko26</t>
        </is>
      </c>
      <c r="AO1018" t="inlineStr">
        <is>
          <t>Atomic Bent Chetler Jr Skis 2022</t>
        </is>
      </c>
      <c r="AP1018" t="inlineStr">
        <is>
          <t>Erik's Bike, Board and Ski</t>
        </is>
      </c>
      <c r="AQ1018" s="333" t="n">
        <v>251.99</v>
      </c>
      <c r="AR1018" t="inlineStr">
        <is>
          <t>https://tinyurl.com/yaw763d7</t>
        </is>
      </c>
      <c r="AS1018" s="314">
        <f>IF(LEFT(C1018,1)=" ",RIGHT(C1018,LEN(C1018)-1),C1018)</f>
        <v/>
      </c>
      <c r="AT1018" s="281">
        <f>_xlfn.CONCAT(B1018,AS1018,D1018,E1018)</f>
        <v/>
      </c>
    </row>
    <row r="1019">
      <c r="A1019" t="inlineStr">
        <is>
          <t>21/22</t>
        </is>
      </c>
      <c r="B1019" t="inlineStr">
        <is>
          <t>K2</t>
        </is>
      </c>
      <c r="C1019" t="inlineStr">
        <is>
          <t xml:space="preserve"> Mindbender Team</t>
        </is>
      </c>
      <c r="D1019" t="n">
        <v>145</v>
      </c>
      <c r="E1019" t="inlineStr">
        <is>
          <t xml:space="preserve"> Junior</t>
        </is>
      </c>
      <c r="F1019" t="n">
        <v>145</v>
      </c>
      <c r="G1019" t="n">
        <v>145.1</v>
      </c>
      <c r="H1019" t="n">
        <v>95</v>
      </c>
      <c r="I1019" t="n">
        <v>110</v>
      </c>
      <c r="J1019" t="n">
        <v>126</v>
      </c>
      <c r="K1019" t="n">
        <v>98</v>
      </c>
      <c r="L1019" t="n">
        <v>116</v>
      </c>
      <c r="M1019" t="n">
        <v>12.2</v>
      </c>
      <c r="N1019" t="n">
        <v>1310</v>
      </c>
      <c r="O1019" t="n">
        <v>1.19</v>
      </c>
      <c r="P1019" t="n">
        <v>1554</v>
      </c>
      <c r="Q1019" t="n">
        <v>112</v>
      </c>
      <c r="R1019" t="n">
        <v>70</v>
      </c>
      <c r="S1019" t="n">
        <v>43</v>
      </c>
      <c r="T1019" t="n">
        <v>310</v>
      </c>
      <c r="U1019" t="n">
        <v>16</v>
      </c>
      <c r="V1019" t="n">
        <v>192</v>
      </c>
      <c r="W1019" t="n">
        <v>0.384</v>
      </c>
      <c r="X1019" t="n">
        <v>192</v>
      </c>
      <c r="Y1019" t="n">
        <v>156</v>
      </c>
      <c r="Z1019" t="n">
        <v>119</v>
      </c>
      <c r="AA1019" t="n">
        <v>4</v>
      </c>
      <c r="AB1019" t="n">
        <v>8.1</v>
      </c>
      <c r="AC1019" t="inlineStr">
        <is>
          <t xml:space="preserve"> Resort Freeride</t>
        </is>
      </c>
      <c r="AD1019" t="inlineStr">
        <is>
          <t xml:space="preserve"> Touring</t>
        </is>
      </c>
      <c r="AG1019" t="inlineStr">
        <is>
          <t>'22 K2 Mindbender Team Skis 145cm</t>
        </is>
      </c>
      <c r="AH1019" t="inlineStr">
        <is>
          <t>Al's Ski Equipment Barn</t>
        </is>
      </c>
      <c r="AI1019" s="333" t="n">
        <v>399</v>
      </c>
      <c r="AJ1019" t="inlineStr">
        <is>
          <t>https://tinyurl.com/yctesjgo</t>
        </is>
      </c>
      <c r="AK1019" t="inlineStr">
        <is>
          <t>K2 Mindbender Team Skis 2022 - 145</t>
        </is>
      </c>
      <c r="AL1019" t="inlineStr">
        <is>
          <t>The-House.com</t>
        </is>
      </c>
      <c r="AM1019" s="333" t="n">
        <v>399.95</v>
      </c>
      <c r="AN1019" t="inlineStr">
        <is>
          <t>https://tinyurl.com/y8tdjzad</t>
        </is>
      </c>
      <c r="AO1019" t="inlineStr">
        <is>
          <t>K2 Mindbender Team Skis 2022 - 145</t>
        </is>
      </c>
      <c r="AP1019" t="inlineStr">
        <is>
          <t>SkiEssentials.com</t>
        </is>
      </c>
      <c r="AQ1019" s="333" t="n">
        <v>399.95</v>
      </c>
      <c r="AR1019" t="inlineStr">
        <is>
          <t>https://tinyurl.com/y8pwdonh</t>
        </is>
      </c>
      <c r="AS1019" s="314">
        <f>IF(LEFT(C1019,1)=" ",RIGHT(C1019,LEN(C1019)-1),C1019)</f>
        <v/>
      </c>
      <c r="AT1019" s="281">
        <f>_xlfn.CONCAT(B1019,AS1019,D1019,E1019)</f>
        <v/>
      </c>
    </row>
    <row r="1020">
      <c r="A1020" t="inlineStr">
        <is>
          <t>21/22</t>
        </is>
      </c>
      <c r="B1020" t="inlineStr">
        <is>
          <t xml:space="preserve"> Salomon</t>
        </is>
      </c>
      <c r="C1020" t="inlineStr">
        <is>
          <t>QST 99</t>
        </is>
      </c>
      <c r="D1020" t="n">
        <v>188</v>
      </c>
      <c r="E1020" t="inlineStr">
        <is>
          <t xml:space="preserve"> Unisex</t>
        </is>
      </c>
      <c r="F1020" t="n">
        <v>188</v>
      </c>
      <c r="G1020" t="n">
        <v>187.2</v>
      </c>
      <c r="H1020" t="n">
        <v>126</v>
      </c>
      <c r="I1020" t="n">
        <v>148</v>
      </c>
      <c r="J1020" t="n">
        <v>139</v>
      </c>
      <c r="K1020" t="n">
        <v>98</v>
      </c>
      <c r="L1020" t="n">
        <v>121</v>
      </c>
      <c r="M1020" t="n">
        <v>15.4</v>
      </c>
      <c r="N1020" t="n">
        <v>2297</v>
      </c>
      <c r="O1020" t="n">
        <v>0.92</v>
      </c>
      <c r="P1020" t="n">
        <v>2102</v>
      </c>
      <c r="Q1020" t="n">
        <v>277</v>
      </c>
      <c r="R1020" t="n">
        <v>124</v>
      </c>
      <c r="S1020" t="n">
        <v>60</v>
      </c>
      <c r="T1020" t="n">
        <v>342</v>
      </c>
      <c r="U1020" t="n">
        <v>22</v>
      </c>
      <c r="V1020" t="n">
        <v>271</v>
      </c>
      <c r="W1020" t="n">
        <v>0.369</v>
      </c>
      <c r="X1020" t="n">
        <v>236</v>
      </c>
      <c r="Y1020" t="n">
        <v>155</v>
      </c>
      <c r="Z1020" t="n">
        <v>106</v>
      </c>
      <c r="AA1020" t="n">
        <v>7</v>
      </c>
      <c r="AB1020" t="n">
        <v>10.3</v>
      </c>
      <c r="AC1020" t="inlineStr">
        <is>
          <t xml:space="preserve"> Resort Freeride</t>
        </is>
      </c>
      <c r="AG1020" t="inlineStr">
        <is>
          <t>Salomon Men's QST 99 Flat Ski 2019-2020 | DRK/BLUE / 188</t>
        </is>
      </c>
      <c r="AH1020" t="inlineStr">
        <is>
          <t>Ski Pro  - Snow Ski &amp; Snowboard</t>
        </is>
      </c>
      <c r="AI1020" s="333" t="n">
        <v>449.95</v>
      </c>
      <c r="AJ1020" t="inlineStr">
        <is>
          <t>https://tinyurl.com/yctbaswk</t>
        </is>
      </c>
      <c r="AK1020" t="inlineStr">
        <is>
          <t>19-20 Salomon Qst 99  Men's Demo Skis W/bindings Size 188cm 088121</t>
        </is>
      </c>
      <c r="AL1020" t="inlineStr">
        <is>
          <t>eBay - demo-skis</t>
        </is>
      </c>
      <c r="AM1020" s="333" t="n">
        <v>499</v>
      </c>
      <c r="AN1020" t="inlineStr">
        <is>
          <t>https://www.google.com/url?q=https://www.ebay.com/itm/294316668563%3Fchn%3Dps%26mkevt%3D1%26mkcid%3D28&amp;sa=U&amp;ved=0ahUKEwif7erUze72AhUgIEQIHQdECkwQ2SkIaQ&amp;usg=AOvVaw01AOb-ineJn2fC5eTmTpet</t>
        </is>
      </c>
      <c r="AO1020" t="inlineStr">
        <is>
          <t>2021 Salomon QST 99 Skis w/ Tyrolia Attack2 14 GW Bindings - 188| Ski Essentials</t>
        </is>
      </c>
      <c r="AP1020" t="inlineStr">
        <is>
          <t>SkiEssentials.com</t>
        </is>
      </c>
      <c r="AQ1020" s="333" t="n">
        <v>619.95</v>
      </c>
      <c r="AR1020" t="inlineStr">
        <is>
          <t>https://tinyurl.com/y8goc972</t>
        </is>
      </c>
      <c r="AS1020" s="314">
        <f>IF(LEFT(C1020,1)=" ",RIGHT(C1020,LEN(C1020)-1),C1020)</f>
        <v/>
      </c>
      <c r="AT1020" s="281">
        <f>_xlfn.CONCAT(B1020,AS1020,D1020,E1020)</f>
        <v/>
      </c>
    </row>
    <row r="1021">
      <c r="A1021" t="inlineStr">
        <is>
          <t>21/22</t>
        </is>
      </c>
      <c r="B1021" t="inlineStr">
        <is>
          <t>K2</t>
        </is>
      </c>
      <c r="C1021" t="inlineStr">
        <is>
          <t>Talkback 88</t>
        </is>
      </c>
      <c r="D1021" t="n">
        <v>167</v>
      </c>
      <c r="E1021" t="inlineStr">
        <is>
          <t xml:space="preserve"> Women's</t>
        </is>
      </c>
      <c r="F1021" t="n">
        <v>167</v>
      </c>
      <c r="G1021" t="n">
        <v>166.6</v>
      </c>
      <c r="H1021" t="n">
        <v>130</v>
      </c>
      <c r="I1021" t="n">
        <v>141</v>
      </c>
      <c r="J1021" t="n">
        <v>120</v>
      </c>
      <c r="K1021" t="n">
        <v>87</v>
      </c>
      <c r="L1021" t="n">
        <v>108</v>
      </c>
      <c r="M1021" t="n">
        <v>18</v>
      </c>
      <c r="N1021" t="n">
        <v>1185</v>
      </c>
      <c r="O1021" t="n">
        <v>1.37</v>
      </c>
      <c r="P1021" t="n">
        <v>1625</v>
      </c>
      <c r="Q1021" t="n">
        <v>158</v>
      </c>
      <c r="R1021" t="n">
        <v>69</v>
      </c>
      <c r="S1021" t="n">
        <v>46</v>
      </c>
      <c r="T1021" t="n">
        <v>255</v>
      </c>
      <c r="U1021" t="n">
        <v>7</v>
      </c>
      <c r="V1021" t="n">
        <v>114</v>
      </c>
      <c r="W1021" t="n">
        <v>0.159</v>
      </c>
      <c r="X1021" t="n">
        <v>154</v>
      </c>
      <c r="Y1021" t="n">
        <v>101</v>
      </c>
      <c r="Z1021" t="n">
        <v>101</v>
      </c>
      <c r="AA1021" t="n">
        <v>9</v>
      </c>
      <c r="AB1021" t="n">
        <v>11.8</v>
      </c>
      <c r="AC1021" t="inlineStr">
        <is>
          <t xml:space="preserve"> Touring</t>
        </is>
      </c>
      <c r="AD1021" t="inlineStr">
        <is>
          <t xml:space="preserve"> Ultralight Touring</t>
        </is>
      </c>
      <c r="AG1021" t="inlineStr">
        <is>
          <t>K2 Talkback 88</t>
        </is>
      </c>
      <c r="AH1021" t="inlineStr">
        <is>
          <t>Snowcountry.eu</t>
        </is>
      </c>
      <c r="AI1021" s="333" t="n">
        <v>294.07</v>
      </c>
      <c r="AJ1021" t="inlineStr">
        <is>
          <t>https://tinyurl.com/yc4xpglw</t>
        </is>
      </c>
      <c r="AK1021" t="inlineStr">
        <is>
          <t>K2 - Talkback 88 - 167</t>
        </is>
      </c>
      <c r="AL1021" t="inlineStr">
        <is>
          <t>SkiEssentials.com</t>
        </is>
      </c>
      <c r="AM1021" s="333" t="n">
        <v>559.96</v>
      </c>
      <c r="AN1021" t="inlineStr">
        <is>
          <t>https://tinyurl.com/y77rgkbm</t>
        </is>
      </c>
      <c r="AO1021" t="inlineStr">
        <is>
          <t>K2 - Talkback 88 - 167</t>
        </is>
      </c>
      <c r="AP1021" t="inlineStr">
        <is>
          <t>Outdoor Gear Exchange</t>
        </is>
      </c>
      <c r="AQ1021" s="333" t="n">
        <v>649.95</v>
      </c>
      <c r="AR1021" t="inlineStr">
        <is>
          <t>https://tinyurl.com/yaxzvmfe</t>
        </is>
      </c>
      <c r="AS1021" s="314">
        <f>IF(LEFT(C1021,1)=" ",RIGHT(C1021,LEN(C1021)-1),C1021)</f>
        <v/>
      </c>
      <c r="AT1021" s="281">
        <f>_xlfn.CONCAT(B1021,AS1021,D1021,E1021)</f>
        <v/>
      </c>
    </row>
    <row r="1022">
      <c r="A1022" t="inlineStr">
        <is>
          <t>21/22</t>
        </is>
      </c>
      <c r="B1022" t="inlineStr">
        <is>
          <t xml:space="preserve"> Nordica</t>
        </is>
      </c>
      <c r="C1022" t="inlineStr">
        <is>
          <t>Belle 72 Ca</t>
        </is>
      </c>
      <c r="D1022" t="n">
        <v>156</v>
      </c>
      <c r="E1022" t="inlineStr">
        <is>
          <t xml:space="preserve"> Women's</t>
        </is>
      </c>
      <c r="F1022" t="n">
        <v>156</v>
      </c>
      <c r="G1022" t="n">
        <v>155.6</v>
      </c>
      <c r="H1022" t="n">
        <v>133</v>
      </c>
      <c r="I1022" t="n">
        <v>140</v>
      </c>
      <c r="J1022" t="n">
        <v>119</v>
      </c>
      <c r="K1022" t="n">
        <v>71</v>
      </c>
      <c r="L1022" t="n">
        <v>98</v>
      </c>
      <c r="M1022" t="n">
        <v>12.7</v>
      </c>
      <c r="N1022" t="n">
        <v>1661</v>
      </c>
      <c r="O1022" t="n">
        <v>0.8</v>
      </c>
      <c r="P1022" t="n">
        <v>1327</v>
      </c>
      <c r="Q1022" t="n">
        <v>156</v>
      </c>
      <c r="R1022" t="n">
        <v>53</v>
      </c>
      <c r="S1022" t="n">
        <v>36</v>
      </c>
      <c r="T1022" t="n">
        <v>144</v>
      </c>
      <c r="U1022" t="n">
        <v>9</v>
      </c>
      <c r="V1022" t="n">
        <v>86</v>
      </c>
      <c r="W1022" t="n">
        <v>0.246</v>
      </c>
      <c r="X1022" t="n">
        <v>65</v>
      </c>
      <c r="Y1022" t="n">
        <v>86</v>
      </c>
      <c r="Z1022" t="n">
        <v>79</v>
      </c>
      <c r="AA1022" t="n">
        <v>9</v>
      </c>
      <c r="AB1022" t="n">
        <v>9.300000000000001</v>
      </c>
      <c r="AC1022" t="inlineStr">
        <is>
          <t xml:space="preserve"> On-Piste Carving</t>
        </is>
      </c>
      <c r="AG1022" t="inlineStr">
        <is>
          <t>Nordica Wild Belle 78 CA Women's Ski &amp; 10 FDT Binding 2022 - 156</t>
        </is>
      </c>
      <c r="AH1022" t="inlineStr">
        <is>
          <t>Gear West Ski &amp; Bike</t>
        </is>
      </c>
      <c r="AI1022" s="333" t="n">
        <v>499.99</v>
      </c>
      <c r="AJ1022" t="inlineStr">
        <is>
          <t>https://tinyurl.com/ya2xn9w2</t>
        </is>
      </c>
      <c r="AK1022" t="inlineStr">
        <is>
          <t>Nordica Navigator 75 CA Skis w/ TP2 Compact 10 Bindings</t>
        </is>
      </c>
      <c r="AL1022" t="inlineStr">
        <is>
          <t>Moosejaw</t>
        </is>
      </c>
      <c r="AM1022" s="333" t="n">
        <v>319.99</v>
      </c>
      <c r="AN1022" t="inlineStr">
        <is>
          <t>https://tinyurl.com/ya3o9n9x</t>
        </is>
      </c>
      <c r="AO1022" t="inlineStr">
        <is>
          <t>Nordica Navigator 75 CA FDT 156cm</t>
        </is>
      </c>
      <c r="AP1022" t="inlineStr">
        <is>
          <t>Sundance Ski and Board Shop</t>
        </is>
      </c>
      <c r="AQ1022" s="333" t="n">
        <v>320.57</v>
      </c>
      <c r="AR1022" t="inlineStr">
        <is>
          <t>https://tinyurl.com/y95ezjpk</t>
        </is>
      </c>
      <c r="AS1022" s="314">
        <f>IF(LEFT(C1022,1)=" ",RIGHT(C1022,LEN(C1022)-1),C1022)</f>
        <v/>
      </c>
      <c r="AT1022" s="281">
        <f>_xlfn.CONCAT(B1022,AS1022,D1022,E1022)</f>
        <v/>
      </c>
    </row>
    <row r="1023">
      <c r="A1023" t="inlineStr">
        <is>
          <t>21/22</t>
        </is>
      </c>
      <c r="B1023" t="inlineStr">
        <is>
          <t xml:space="preserve"> Black Crows</t>
        </is>
      </c>
      <c r="C1023" t="inlineStr">
        <is>
          <t xml:space="preserve"> Atris</t>
        </is>
      </c>
      <c r="D1023" t="n">
        <v>189.7</v>
      </c>
      <c r="E1023" t="inlineStr">
        <is>
          <t xml:space="preserve"> Unisex</t>
        </is>
      </c>
      <c r="F1023" t="n">
        <v>189.7</v>
      </c>
      <c r="G1023" t="n">
        <v>187.6</v>
      </c>
      <c r="H1023" t="n">
        <v>131</v>
      </c>
      <c r="I1023" t="n">
        <v>151</v>
      </c>
      <c r="J1023" t="n">
        <v>139</v>
      </c>
      <c r="K1023" t="n">
        <v>107</v>
      </c>
      <c r="L1023" t="n">
        <v>126</v>
      </c>
      <c r="M1023" t="n">
        <v>20.4</v>
      </c>
      <c r="N1023" t="n">
        <v>2131</v>
      </c>
      <c r="O1023" t="n">
        <v>1.04</v>
      </c>
      <c r="P1023" t="n">
        <v>2208</v>
      </c>
      <c r="Q1023" t="n">
        <v>251</v>
      </c>
      <c r="R1023" t="n">
        <v>121</v>
      </c>
      <c r="S1023" t="n">
        <v>52</v>
      </c>
      <c r="T1023" t="n">
        <v>334</v>
      </c>
      <c r="U1023" t="n">
        <v>34</v>
      </c>
      <c r="V1023" t="n">
        <v>234</v>
      </c>
      <c r="W1023" t="n">
        <v>0.65</v>
      </c>
      <c r="X1023" t="n">
        <v>227</v>
      </c>
      <c r="Y1023" t="n">
        <v>141</v>
      </c>
      <c r="Z1023" t="n">
        <v>108</v>
      </c>
      <c r="AA1023" t="n">
        <v>5</v>
      </c>
      <c r="AB1023" t="n">
        <v>8.1</v>
      </c>
      <c r="AC1023" t="inlineStr">
        <is>
          <t xml:space="preserve"> Powder</t>
        </is>
      </c>
      <c r="AG1023" t="inlineStr">
        <is>
          <t>Black Crows Atris Skis</t>
        </is>
      </c>
      <c r="AH1023" t="inlineStr">
        <is>
          <t>Basin Sports</t>
        </is>
      </c>
      <c r="AI1023" s="333" t="n">
        <v>669.95</v>
      </c>
      <c r="AJ1023" t="inlineStr">
        <is>
          <t>https://tinyurl.com/y8sygfes</t>
        </is>
      </c>
      <c r="AK1023" t="inlineStr">
        <is>
          <t>Black Crows Atris Skis</t>
        </is>
      </c>
      <c r="AL1023" t="inlineStr">
        <is>
          <t>Powder7 Ski Shop</t>
        </is>
      </c>
      <c r="AM1023" s="333" t="n">
        <v>671.9299999999999</v>
      </c>
      <c r="AN1023" t="inlineStr">
        <is>
          <t>https://tinyurl.com/yd42sc7c</t>
        </is>
      </c>
      <c r="AO1023" t="inlineStr">
        <is>
          <t>Black Crows Atris Skis</t>
        </is>
      </c>
      <c r="AP1023" t="inlineStr">
        <is>
          <t>SkiEssentials.com</t>
        </is>
      </c>
      <c r="AQ1023" s="333" t="n">
        <v>671.96</v>
      </c>
      <c r="AR1023" t="inlineStr">
        <is>
          <t>https://tinyurl.com/y97yk9ze</t>
        </is>
      </c>
      <c r="AS1023" s="314">
        <f>IF(LEFT(C1023,1)=" ",RIGHT(C1023,LEN(C1023)-1),C1023)</f>
        <v/>
      </c>
      <c r="AT1023" s="281">
        <f>_xlfn.CONCAT(B1023,AS1023,D1023,E1023)</f>
        <v/>
      </c>
    </row>
    <row r="1024">
      <c r="A1024" t="inlineStr">
        <is>
          <t>21/22</t>
        </is>
      </c>
      <c r="B1024" t="inlineStr">
        <is>
          <t xml:space="preserve"> Nordica</t>
        </is>
      </c>
      <c r="C1024" t="inlineStr">
        <is>
          <t>Belle 73</t>
        </is>
      </c>
      <c r="D1024" t="n">
        <v>144</v>
      </c>
      <c r="E1024" t="inlineStr">
        <is>
          <t xml:space="preserve"> Women's</t>
        </is>
      </c>
      <c r="F1024" t="n">
        <v>144</v>
      </c>
      <c r="G1024" t="n">
        <v>143.2</v>
      </c>
      <c r="H1024" t="n">
        <v>119</v>
      </c>
      <c r="I1024" t="n">
        <v>129</v>
      </c>
      <c r="J1024" t="n">
        <v>119</v>
      </c>
      <c r="K1024" t="n">
        <v>72</v>
      </c>
      <c r="L1024" t="n">
        <v>96</v>
      </c>
      <c r="M1024" t="n">
        <v>11.7</v>
      </c>
      <c r="N1024" t="n">
        <v>1520</v>
      </c>
      <c r="O1024" t="n">
        <v>0.8</v>
      </c>
      <c r="P1024" t="n">
        <v>1224</v>
      </c>
      <c r="Q1024" t="n">
        <v>131</v>
      </c>
      <c r="R1024" t="n">
        <v>54</v>
      </c>
      <c r="S1024" t="n">
        <v>38</v>
      </c>
      <c r="T1024" t="n">
        <v>147</v>
      </c>
      <c r="U1024" t="n">
        <v>9</v>
      </c>
      <c r="V1024" t="n">
        <v>91</v>
      </c>
      <c r="W1024" t="n">
        <v>0.248</v>
      </c>
      <c r="X1024" t="n">
        <v>66</v>
      </c>
      <c r="Y1024" t="n">
        <v>79</v>
      </c>
      <c r="Z1024" t="n">
        <v>81</v>
      </c>
      <c r="AA1024" t="n">
        <v>7</v>
      </c>
      <c r="AB1024" t="n">
        <v>9.300000000000001</v>
      </c>
      <c r="AC1024" t="inlineStr">
        <is>
          <t xml:space="preserve"> On-Piste All-Mountain</t>
        </is>
      </c>
      <c r="AG1024" t="inlineStr">
        <is>
          <t>Nordica Wild Belle 74 Skis w/ TP2 Compact 10 Bindings</t>
        </is>
      </c>
      <c r="AH1024" t="inlineStr">
        <is>
          <t>Ski Country Sports</t>
        </is>
      </c>
      <c r="AI1024" s="333" t="n">
        <v>399.95</v>
      </c>
      <c r="AJ1024" t="inlineStr">
        <is>
          <t>https://tinyurl.com/y9ewbxvd</t>
        </is>
      </c>
      <c r="AK1024" t="inlineStr">
        <is>
          <t>Nordica Wild Belle 74 Skis w/ TP2 Compact 10 Bindings</t>
        </is>
      </c>
      <c r="AL1024" t="inlineStr">
        <is>
          <t>Hillcrest Ski &amp; Sports</t>
        </is>
      </c>
      <c r="AM1024" s="333" t="n">
        <v>499.99</v>
      </c>
      <c r="AN1024" t="inlineStr">
        <is>
          <t>https://tinyurl.com/yaezgmm8</t>
        </is>
      </c>
      <c r="AO1024" t="inlineStr">
        <is>
          <t>Nordica Wild Belle 78 CA Women's Ski &amp; 10 FDT Binding 2022 - 144</t>
        </is>
      </c>
      <c r="AP1024" t="inlineStr">
        <is>
          <t>Gear West Ski &amp; Bike</t>
        </is>
      </c>
      <c r="AQ1024" s="333" t="n">
        <v>499.99</v>
      </c>
      <c r="AR1024" t="inlineStr">
        <is>
          <t>https://tinyurl.com/yakzzjoy</t>
        </is>
      </c>
      <c r="AS1024" s="314">
        <f>IF(LEFT(C1024,1)=" ",RIGHT(C1024,LEN(C1024)-1),C1024)</f>
        <v/>
      </c>
      <c r="AT1024" s="281">
        <f>_xlfn.CONCAT(B1024,AS1024,D1024,E1024)</f>
        <v/>
      </c>
    </row>
    <row r="1025">
      <c r="A1025" t="inlineStr">
        <is>
          <t>21/22</t>
        </is>
      </c>
      <c r="B1025" t="inlineStr">
        <is>
          <t xml:space="preserve"> Fischer</t>
        </is>
      </c>
      <c r="C1025" t="inlineStr">
        <is>
          <t>Transalp 82</t>
        </is>
      </c>
      <c r="D1025" t="n">
        <v>162</v>
      </c>
      <c r="E1025" t="inlineStr">
        <is>
          <t xml:space="preserve"> Women's</t>
        </is>
      </c>
      <c r="F1025" t="n">
        <v>162</v>
      </c>
      <c r="G1025" t="n">
        <v>160.7</v>
      </c>
      <c r="H1025" t="n">
        <v>126</v>
      </c>
      <c r="I1025" t="n">
        <v>143</v>
      </c>
      <c r="J1025" t="n">
        <v>116</v>
      </c>
      <c r="K1025" t="n">
        <v>80</v>
      </c>
      <c r="L1025" t="n">
        <v>106</v>
      </c>
      <c r="M1025" t="n">
        <v>15.4</v>
      </c>
      <c r="N1025" t="n">
        <v>1092</v>
      </c>
      <c r="O1025" t="n">
        <v>1.35</v>
      </c>
      <c r="P1025" t="n">
        <v>1473</v>
      </c>
      <c r="Q1025" t="n">
        <v>195</v>
      </c>
      <c r="R1025" t="n">
        <v>80</v>
      </c>
      <c r="S1025" t="n">
        <v>47</v>
      </c>
      <c r="T1025" t="n">
        <v>250</v>
      </c>
      <c r="U1025" t="n">
        <v>10</v>
      </c>
      <c r="V1025" t="n">
        <v>95</v>
      </c>
      <c r="W1025" t="n">
        <v>0.203</v>
      </c>
      <c r="X1025" t="n">
        <v>74</v>
      </c>
      <c r="Y1025" t="n">
        <v>103</v>
      </c>
      <c r="Z1025" t="n">
        <v>175</v>
      </c>
      <c r="AA1025" t="n">
        <v>7</v>
      </c>
      <c r="AB1025" t="n">
        <v>9.9</v>
      </c>
      <c r="AC1025" t="inlineStr">
        <is>
          <t xml:space="preserve"> Touring</t>
        </is>
      </c>
      <c r="AD1025" t="inlineStr">
        <is>
          <t xml:space="preserve"> Ultralight Touring</t>
        </is>
      </c>
      <c r="AG1025" t="inlineStr">
        <is>
          <t>Fischer Transalp 82 Skis 2020</t>
        </is>
      </c>
      <c r="AH1025" t="inlineStr">
        <is>
          <t>Level Nine Sports</t>
        </is>
      </c>
      <c r="AI1025" s="333" t="n">
        <v>209</v>
      </c>
      <c r="AJ1025" t="inlineStr">
        <is>
          <t>https://tinyurl.com/y7qam9kg</t>
        </is>
      </c>
      <c r="AK1025" t="inlineStr">
        <is>
          <t>Fischer Transalp 82 Carbon Touring Skis 162</t>
        </is>
      </c>
      <c r="AL1025" t="inlineStr">
        <is>
          <t>Telemark Pyrenees</t>
        </is>
      </c>
      <c r="AM1025" s="333" t="n">
        <v>329.96</v>
      </c>
      <c r="AN1025" t="inlineStr">
        <is>
          <t>https://tinyurl.com/y8c64nur</t>
        </is>
      </c>
      <c r="AO1025" t="inlineStr">
        <is>
          <t>Fischer Transalp 82 Carbon Backcountry Ski (2021) 162</t>
        </is>
      </c>
      <c r="AP1025" t="inlineStr">
        <is>
          <t>Ski The Whites</t>
        </is>
      </c>
      <c r="AQ1025" s="333" t="n">
        <v>599.99</v>
      </c>
      <c r="AR1025" t="inlineStr">
        <is>
          <t>https://tinyurl.com/yazkwglp</t>
        </is>
      </c>
      <c r="AS1025" s="314">
        <f>IF(LEFT(C1025,1)=" ",RIGHT(C1025,LEN(C1025)-1),C1025)</f>
        <v/>
      </c>
      <c r="AT1025" s="281">
        <f>_xlfn.CONCAT(B1025,AS1025,D1025,E1025)</f>
        <v/>
      </c>
    </row>
    <row r="1026">
      <c r="A1026" t="inlineStr">
        <is>
          <t>21/22</t>
        </is>
      </c>
      <c r="B1026" t="inlineStr">
        <is>
          <t xml:space="preserve"> Atomic</t>
        </is>
      </c>
      <c r="C1026" t="inlineStr">
        <is>
          <t>Cloud C9</t>
        </is>
      </c>
      <c r="D1026" t="n">
        <v>143</v>
      </c>
      <c r="E1026" t="inlineStr">
        <is>
          <t xml:space="preserve"> Women's</t>
        </is>
      </c>
      <c r="F1026" t="n">
        <v>143</v>
      </c>
      <c r="G1026" t="n">
        <v>142.9</v>
      </c>
      <c r="H1026" t="n">
        <v>125</v>
      </c>
      <c r="I1026" t="n">
        <v>129</v>
      </c>
      <c r="J1026" t="n">
        <v>108</v>
      </c>
      <c r="K1026" t="n">
        <v>72</v>
      </c>
      <c r="L1026" t="n">
        <v>94</v>
      </c>
      <c r="M1026" t="n">
        <v>13.7</v>
      </c>
      <c r="N1026" t="n">
        <v>1478</v>
      </c>
      <c r="O1026" t="n">
        <v>0.8</v>
      </c>
      <c r="P1026" t="n">
        <v>1189</v>
      </c>
      <c r="Q1026" t="n">
        <v>119</v>
      </c>
      <c r="R1026" t="n">
        <v>57</v>
      </c>
      <c r="S1026" t="n">
        <v>32</v>
      </c>
      <c r="T1026" t="n">
        <v>133</v>
      </c>
      <c r="U1026" t="n">
        <v>4</v>
      </c>
      <c r="V1026" t="n">
        <v>48</v>
      </c>
      <c r="W1026" t="n">
        <v>0.116999999999999</v>
      </c>
      <c r="X1026" t="n">
        <v>89</v>
      </c>
      <c r="Y1026" t="n">
        <v>52</v>
      </c>
      <c r="Z1026" t="n">
        <v>45</v>
      </c>
      <c r="AA1026" t="n">
        <v>11</v>
      </c>
      <c r="AB1026" t="n">
        <v>12.6</v>
      </c>
      <c r="AC1026" t="inlineStr">
        <is>
          <t xml:space="preserve"> On-Piste Carving</t>
        </is>
      </c>
      <c r="AG1026" t="inlineStr">
        <is>
          <t>â€˜20/21 Atomic Cloud 9 143 Cm W/ Demo Bindings</t>
        </is>
      </c>
      <c r="AH1026" t="inlineStr">
        <is>
          <t>eBay</t>
        </is>
      </c>
      <c r="AI1026" s="333" t="n">
        <v>449.99</v>
      </c>
      <c r="AJ1026" t="inlineStr">
        <is>
          <t>https://tinyurl.com/ybacw4gp</t>
        </is>
      </c>
      <c r="AK1026" t="inlineStr">
        <is>
          <t>Atomic Cloud 9 Women's Skis with M 10 GW Bindings Â· 143 cm</t>
        </is>
      </c>
      <c r="AL1026" t="inlineStr">
        <is>
          <t>The-House.com</t>
        </is>
      </c>
      <c r="AM1026" s="333" t="n">
        <v>599.99</v>
      </c>
      <c r="AN1026" t="inlineStr">
        <is>
          <t>https://tinyurl.com/y7627jzj</t>
        </is>
      </c>
      <c r="AO1026" t="inlineStr">
        <is>
          <t>Atomic Cloud 9 Skis 2022 w/bindings 143</t>
        </is>
      </c>
      <c r="AP1026" t="inlineStr">
        <is>
          <t>Ski Depot RaceSkis.com</t>
        </is>
      </c>
      <c r="AQ1026" s="333" t="n">
        <v>599.99</v>
      </c>
      <c r="AR1026" t="inlineStr">
        <is>
          <t>https://tinyurl.com/ybxvods3</t>
        </is>
      </c>
      <c r="AS1026" s="314">
        <f>IF(LEFT(C1026,1)=" ",RIGHT(C1026,LEN(C1026)-1),C1026)</f>
        <v/>
      </c>
      <c r="AT1026" s="281">
        <f>_xlfn.CONCAT(B1026,AS1026,D1026,E1026)</f>
        <v/>
      </c>
    </row>
    <row r="1027">
      <c r="A1027" t="inlineStr">
        <is>
          <t>21/22</t>
        </is>
      </c>
      <c r="B1027" t="inlineStr">
        <is>
          <t xml:space="preserve"> Rossignol</t>
        </is>
      </c>
      <c r="C1027" t="inlineStr">
        <is>
          <t xml:space="preserve"> Blackops Sender Ti</t>
        </is>
      </c>
      <c r="D1027" t="n">
        <v>187</v>
      </c>
      <c r="E1027" t="inlineStr">
        <is>
          <t xml:space="preserve"> Unisex</t>
        </is>
      </c>
      <c r="F1027" t="n">
        <v>187</v>
      </c>
      <c r="G1027" t="n">
        <v>186.4</v>
      </c>
      <c r="H1027" t="n">
        <v>136</v>
      </c>
      <c r="I1027" t="n">
        <v>160</v>
      </c>
      <c r="J1027" t="n">
        <v>137</v>
      </c>
      <c r="K1027" t="n">
        <v>104</v>
      </c>
      <c r="L1027" t="n">
        <v>127</v>
      </c>
      <c r="M1027" t="n">
        <v>20.9</v>
      </c>
      <c r="N1027" t="n">
        <v>2157</v>
      </c>
      <c r="O1027" t="n">
        <v>0.99</v>
      </c>
      <c r="P1027" t="n">
        <v>2140</v>
      </c>
      <c r="Q1027" t="n">
        <v>258</v>
      </c>
      <c r="R1027" t="n">
        <v>112</v>
      </c>
      <c r="S1027" t="n">
        <v>48</v>
      </c>
      <c r="T1027" t="n">
        <v>295</v>
      </c>
      <c r="U1027" t="n">
        <v>13</v>
      </c>
      <c r="V1027" t="n">
        <v>206</v>
      </c>
      <c r="W1027" t="n">
        <v>0.268</v>
      </c>
      <c r="X1027" t="n">
        <v>156</v>
      </c>
      <c r="Y1027" t="n">
        <v>107</v>
      </c>
      <c r="Z1027" t="n">
        <v>139</v>
      </c>
      <c r="AA1027" t="n">
        <v>6</v>
      </c>
      <c r="AB1027" t="n">
        <v>7.5</v>
      </c>
      <c r="AC1027" t="inlineStr">
        <is>
          <t xml:space="preserve"> Resort Freeride</t>
        </is>
      </c>
      <c r="AD1027" t="inlineStr">
        <is>
          <t xml:space="preserve"> Big Mountain</t>
        </is>
      </c>
      <c r="AG1027" t="inlineStr">
        <is>
          <t>Rossignol Blackops Sender Ti Skis 187 cm</t>
        </is>
      </c>
      <c r="AH1027" t="inlineStr">
        <is>
          <t>Snowcountry.eu</t>
        </is>
      </c>
      <c r="AI1027" s="333" t="n">
        <v>460</v>
      </c>
      <c r="AJ1027" t="inlineStr">
        <is>
          <t>https://tinyurl.com/ybkfe495</t>
        </is>
      </c>
      <c r="AK1027" t="inlineStr">
        <is>
          <t>Rossignol Blackops Sender TI 187cm</t>
        </is>
      </c>
      <c r="AL1027" t="inlineStr">
        <is>
          <t>Sundance Ski and Board Shop</t>
        </is>
      </c>
      <c r="AM1027" s="333" t="n">
        <v>544.98</v>
      </c>
      <c r="AN1027" t="inlineStr">
        <is>
          <t>https://tinyurl.com/y92xfhel</t>
        </is>
      </c>
      <c r="AO1027" t="inlineStr">
        <is>
          <t>Rossignol Blackops Sender Ti Skis 187 cm</t>
        </is>
      </c>
      <c r="AP1027" t="inlineStr">
        <is>
          <t>Ski Pro  - Snow Ski &amp; Snowboard</t>
        </is>
      </c>
      <c r="AQ1027" s="333" t="n">
        <v>559.95</v>
      </c>
      <c r="AR1027" t="inlineStr">
        <is>
          <t>https://tinyurl.com/y9s5eey7</t>
        </is>
      </c>
      <c r="AS1027" s="314">
        <f>IF(LEFT(C1027,1)=" ",RIGHT(C1027,LEN(C1027)-1),C1027)</f>
        <v/>
      </c>
      <c r="AT1027" s="281">
        <f>_xlfn.CONCAT(B1027,AS1027,D1027,E1027)</f>
        <v/>
      </c>
    </row>
    <row r="1028">
      <c r="A1028" t="inlineStr">
        <is>
          <t>21/22</t>
        </is>
      </c>
      <c r="B1028" t="inlineStr">
        <is>
          <t xml:space="preserve"> Atomic</t>
        </is>
      </c>
      <c r="C1028" t="inlineStr">
        <is>
          <t>Backland 100</t>
        </is>
      </c>
      <c r="D1028" t="n">
        <v>164</v>
      </c>
      <c r="E1028" t="inlineStr">
        <is>
          <t xml:space="preserve"> Unisex</t>
        </is>
      </c>
      <c r="F1028" t="n">
        <v>164</v>
      </c>
      <c r="G1028" t="n">
        <v>163</v>
      </c>
      <c r="H1028" t="n">
        <v>108</v>
      </c>
      <c r="I1028" t="n">
        <v>129</v>
      </c>
      <c r="J1028" t="n">
        <v>126</v>
      </c>
      <c r="K1028" t="n">
        <v>97</v>
      </c>
      <c r="L1028" t="n">
        <v>117</v>
      </c>
      <c r="M1028" t="n">
        <v>15</v>
      </c>
      <c r="N1028" t="n">
        <v>1182</v>
      </c>
      <c r="O1028" t="n">
        <v>1.46</v>
      </c>
      <c r="P1028" t="n">
        <v>1728</v>
      </c>
      <c r="Q1028" t="n">
        <v>160</v>
      </c>
      <c r="R1028" t="n">
        <v>69</v>
      </c>
      <c r="S1028" t="n">
        <v>56</v>
      </c>
      <c r="T1028" t="n">
        <v>329</v>
      </c>
      <c r="U1028" t="n">
        <v>16</v>
      </c>
      <c r="V1028" t="n">
        <v>223</v>
      </c>
      <c r="W1028" t="n">
        <v>0.28</v>
      </c>
      <c r="X1028" t="n">
        <v>173</v>
      </c>
      <c r="Y1028" t="n">
        <v>165</v>
      </c>
      <c r="Z1028" t="n">
        <v>156</v>
      </c>
      <c r="AA1028" t="n">
        <v>3</v>
      </c>
      <c r="AB1028" t="n">
        <v>8.300000000000001</v>
      </c>
      <c r="AC1028" t="inlineStr">
        <is>
          <t xml:space="preserve"> Touring</t>
        </is>
      </c>
      <c r="AD1028" t="inlineStr">
        <is>
          <t xml:space="preserve"> Ultralight Touring</t>
        </is>
      </c>
      <c r="AG1028" t="inlineStr">
        <is>
          <t>Atomic Backland 100</t>
        </is>
      </c>
      <c r="AH1028" t="inlineStr">
        <is>
          <t>Telemark Pyrenees</t>
        </is>
      </c>
      <c r="AI1028" s="333" t="n">
        <v>365.82</v>
      </c>
      <c r="AJ1028" t="inlineStr">
        <is>
          <t>https://tinyurl.com/y9mvtscb</t>
        </is>
      </c>
      <c r="AK1028" t="inlineStr">
        <is>
          <t>Atomic Bent Chetler 100 Grey/Green / 164cm</t>
        </is>
      </c>
      <c r="AL1028" t="inlineStr">
        <is>
          <t>Sundance Ski and Board Shop</t>
        </is>
      </c>
      <c r="AM1028" s="333" t="n">
        <v>400.72</v>
      </c>
      <c r="AN1028" t="inlineStr">
        <is>
          <t>https://tinyurl.com/y9hc3khx</t>
        </is>
      </c>
      <c r="AO1028" t="inlineStr">
        <is>
          <t>Atomic Bent Chetler 100 Skis</t>
        </is>
      </c>
      <c r="AP1028" t="inlineStr">
        <is>
          <t>Level Nine Sports</t>
        </is>
      </c>
      <c r="AQ1028" s="333" t="n">
        <v>479.99</v>
      </c>
      <c r="AR1028" t="inlineStr">
        <is>
          <t>https://tinyurl.com/yberonhq</t>
        </is>
      </c>
      <c r="AS1028" s="314">
        <f>IF(LEFT(C1028,1)=" ",RIGHT(C1028,LEN(C1028)-1),C1028)</f>
        <v/>
      </c>
      <c r="AT1028" s="281">
        <f>_xlfn.CONCAT(B1028,AS1028,D1028,E1028)</f>
        <v/>
      </c>
    </row>
    <row r="1029">
      <c r="A1029" t="inlineStr">
        <is>
          <t>21/22</t>
        </is>
      </c>
      <c r="B1029" t="inlineStr">
        <is>
          <t xml:space="preserve"> Blizzard</t>
        </is>
      </c>
      <c r="C1029" t="inlineStr">
        <is>
          <t xml:space="preserve"> Spur</t>
        </is>
      </c>
      <c r="D1029" t="n">
        <v>179</v>
      </c>
      <c r="E1029" t="inlineStr">
        <is>
          <t xml:space="preserve"> Unisex</t>
        </is>
      </c>
      <c r="F1029" t="n">
        <v>179</v>
      </c>
      <c r="G1029" t="n">
        <v>177.8</v>
      </c>
      <c r="H1029" t="n">
        <v>108</v>
      </c>
      <c r="I1029" t="n">
        <v>132</v>
      </c>
      <c r="J1029" t="n">
        <v>147</v>
      </c>
      <c r="K1029" t="n">
        <v>126</v>
      </c>
      <c r="L1029" t="n">
        <v>135</v>
      </c>
      <c r="M1029" t="n">
        <v>25</v>
      </c>
      <c r="N1029" t="n">
        <v>2094</v>
      </c>
      <c r="O1029" t="n">
        <v>1.11</v>
      </c>
      <c r="P1029" t="n">
        <v>2332</v>
      </c>
      <c r="Q1029" t="n">
        <v>234</v>
      </c>
      <c r="R1029" t="n">
        <v>128</v>
      </c>
      <c r="S1029" t="n">
        <v>61</v>
      </c>
      <c r="T1029" t="n">
        <v>443</v>
      </c>
      <c r="U1029" t="n">
        <v>17</v>
      </c>
      <c r="V1029" t="n">
        <v>260</v>
      </c>
      <c r="W1029" t="n">
        <v>0.275</v>
      </c>
      <c r="X1029" t="n">
        <v>233</v>
      </c>
      <c r="Y1029" t="n">
        <v>229</v>
      </c>
      <c r="Z1029" t="n">
        <v>209</v>
      </c>
      <c r="AA1029" t="n">
        <v>1</v>
      </c>
      <c r="AB1029" t="n">
        <v>10.6</v>
      </c>
      <c r="AC1029" t="inlineStr">
        <is>
          <t xml:space="preserve"> Big Mountain</t>
        </is>
      </c>
      <c r="AD1029" t="inlineStr">
        <is>
          <t xml:space="preserve"> Touring</t>
        </is>
      </c>
      <c r="AG1029" t="inlineStr">
        <is>
          <t>Blizzard Spur 127 Flat Ski 2021-2022 | GREEN / 179</t>
        </is>
      </c>
      <c r="AH1029" t="inlineStr">
        <is>
          <t>Ski Pro  - Snow Ski &amp; Snowboard</t>
        </is>
      </c>
      <c r="AI1029" s="333" t="n">
        <v>449.95</v>
      </c>
      <c r="AJ1029" t="inlineStr">
        <is>
          <t>https://tinyurl.com/y72luvro</t>
        </is>
      </c>
      <c r="AK1029" t="inlineStr">
        <is>
          <t>Blizzard Spur Skis 179cm 2022</t>
        </is>
      </c>
      <c r="AL1029" t="inlineStr">
        <is>
          <t>Backcountry.com</t>
        </is>
      </c>
      <c r="AM1029" s="333" t="n">
        <v>639.96</v>
      </c>
      <c r="AN1029" t="inlineStr">
        <is>
          <t>https://tinyurl.com/ycjx3rmr</t>
        </is>
      </c>
      <c r="AO1029" t="inlineStr">
        <is>
          <t>Blizzard Spur Skis 179cm 2022</t>
        </is>
      </c>
      <c r="AP1029" t="inlineStr">
        <is>
          <t>Steep &amp; Cheap</t>
        </is>
      </c>
      <c r="AQ1029" s="333" t="n">
        <v>639.96</v>
      </c>
      <c r="AR1029" t="inlineStr">
        <is>
          <t>https://tinyurl.com/y8b86g4p</t>
        </is>
      </c>
      <c r="AS1029" s="314">
        <f>IF(LEFT(C1029,1)=" ",RIGHT(C1029,LEN(C1029)-1),C1029)</f>
        <v/>
      </c>
      <c r="AT1029" s="281">
        <f>_xlfn.CONCAT(B1029,AS1029,D1029,E1029)</f>
        <v/>
      </c>
    </row>
    <row r="1030">
      <c r="A1030" t="inlineStr">
        <is>
          <t>21/22</t>
        </is>
      </c>
      <c r="B1030" t="inlineStr">
        <is>
          <t xml:space="preserve"> Line</t>
        </is>
      </c>
      <c r="C1030" t="inlineStr">
        <is>
          <t xml:space="preserve"> Tom Wallisch Pro</t>
        </is>
      </c>
      <c r="D1030" t="n">
        <v>157</v>
      </c>
      <c r="E1030" t="inlineStr">
        <is>
          <t xml:space="preserve"> Unisex</t>
        </is>
      </c>
      <c r="F1030" t="n">
        <v>157</v>
      </c>
      <c r="G1030" t="n">
        <v>157.4</v>
      </c>
      <c r="H1030" t="n">
        <v>112</v>
      </c>
      <c r="I1030" t="n">
        <v>131</v>
      </c>
      <c r="J1030" t="n">
        <v>117</v>
      </c>
      <c r="K1030" t="n">
        <v>89</v>
      </c>
      <c r="L1030" t="n">
        <v>116</v>
      </c>
      <c r="M1030" t="n">
        <v>14.6</v>
      </c>
      <c r="N1030" t="n">
        <v>1435</v>
      </c>
      <c r="O1030" t="n">
        <v>1.09</v>
      </c>
      <c r="P1030" t="n">
        <v>1562</v>
      </c>
      <c r="Q1030" t="n">
        <v>124</v>
      </c>
      <c r="R1030" t="n">
        <v>66</v>
      </c>
      <c r="S1030" t="n">
        <v>36</v>
      </c>
      <c r="T1030" t="n">
        <v>201</v>
      </c>
      <c r="U1030" t="n">
        <v>39</v>
      </c>
      <c r="V1030" t="n">
        <v>254</v>
      </c>
      <c r="W1030" t="n">
        <v>1.095</v>
      </c>
      <c r="X1030" t="n">
        <v>123</v>
      </c>
      <c r="Y1030" t="n">
        <v>141</v>
      </c>
      <c r="Z1030" t="n">
        <v>78</v>
      </c>
      <c r="AA1030" t="n">
        <v>5</v>
      </c>
      <c r="AB1030" t="n">
        <v>1.9</v>
      </c>
      <c r="AC1030" t="inlineStr">
        <is>
          <t xml:space="preserve"> Freeski</t>
        </is>
      </c>
      <c r="AD1030" t="inlineStr">
        <is>
          <t xml:space="preserve"> Touring</t>
        </is>
      </c>
      <c r="AG1030" t="inlineStr">
        <is>
          <t>Line Skis Tom Wallisch Pro</t>
        </is>
      </c>
      <c r="AH1030" t="inlineStr">
        <is>
          <t>LINE Skis</t>
        </is>
      </c>
      <c r="AI1030" s="333" t="n">
        <v>449.95</v>
      </c>
      <c r="AJ1030" t="inlineStr">
        <is>
          <t>https://tinyurl.com/y9jrfxeq</t>
        </is>
      </c>
      <c r="AK1030" t="inlineStr">
        <is>
          <t>Line Skis Tom Wallisch Pro</t>
        </is>
      </c>
      <c r="AL1030" t="inlineStr">
        <is>
          <t>eBay - fun-sport-vision-shop</t>
        </is>
      </c>
      <c r="AM1030" s="333" t="n">
        <v>492.18</v>
      </c>
      <c r="AN1030" t="inlineStr">
        <is>
          <t>https://tinyurl.com/y9yk6s86</t>
        </is>
      </c>
      <c r="AS1030" s="314">
        <f>IF(LEFT(C1030,1)=" ",RIGHT(C1030,LEN(C1030)-1),C1030)</f>
        <v/>
      </c>
      <c r="AT1030" s="281">
        <f>_xlfn.CONCAT(B1030,AS1030,D1030,E1030)</f>
        <v/>
      </c>
    </row>
    <row r="1031">
      <c r="A1031" t="inlineStr">
        <is>
          <t>21/22</t>
        </is>
      </c>
      <c r="B1031" t="inlineStr">
        <is>
          <t>K2</t>
        </is>
      </c>
      <c r="C1031" t="inlineStr">
        <is>
          <t xml:space="preserve"> Disruption Mti Alliance</t>
        </is>
      </c>
      <c r="D1031" t="n">
        <v>160</v>
      </c>
      <c r="E1031" t="inlineStr">
        <is>
          <t xml:space="preserve"> Women's</t>
        </is>
      </c>
      <c r="F1031" t="n">
        <v>160</v>
      </c>
      <c r="G1031" t="n">
        <v>160.7</v>
      </c>
      <c r="H1031" t="n">
        <v>143</v>
      </c>
      <c r="I1031" t="n">
        <v>150</v>
      </c>
      <c r="J1031" t="n">
        <v>115</v>
      </c>
      <c r="K1031" t="n">
        <v>71</v>
      </c>
      <c r="L1031" t="n">
        <v>103</v>
      </c>
      <c r="M1031" t="n">
        <v>14.7</v>
      </c>
      <c r="N1031" t="n">
        <v>1869</v>
      </c>
      <c r="O1031" t="n">
        <v>0.73</v>
      </c>
      <c r="P1031" t="n">
        <v>1368</v>
      </c>
      <c r="Q1031" t="n">
        <v>188</v>
      </c>
      <c r="R1031" t="n">
        <v>119</v>
      </c>
      <c r="S1031" t="n">
        <v>31</v>
      </c>
      <c r="T1031" t="n">
        <v>138</v>
      </c>
      <c r="U1031" t="n">
        <v>3</v>
      </c>
      <c r="V1031" t="n">
        <v>42</v>
      </c>
      <c r="W1031" t="n">
        <v>0.091</v>
      </c>
      <c r="X1031" t="n">
        <v>81</v>
      </c>
      <c r="Y1031" t="n">
        <v>29</v>
      </c>
      <c r="Z1031" t="n">
        <v>56</v>
      </c>
      <c r="AA1031" t="n">
        <v>12</v>
      </c>
      <c r="AB1031" t="n">
        <v>10.4</v>
      </c>
      <c r="AC1031" t="inlineStr">
        <is>
          <t xml:space="preserve"> On-Piste Carving</t>
        </is>
      </c>
      <c r="AG1031" t="inlineStr">
        <is>
          <t>K2 Disruption MTI Alliance Ski + Binding - 2022 - Size: 160cm</t>
        </is>
      </c>
      <c r="AH1031" t="inlineStr">
        <is>
          <t>eBay - asogear</t>
        </is>
      </c>
      <c r="AI1031" s="333" t="n">
        <v>629.99</v>
      </c>
      <c r="AJ1031" t="inlineStr">
        <is>
          <t>https://tinyurl.com/ybdkvmve</t>
        </is>
      </c>
      <c r="AK1031" t="inlineStr">
        <is>
          <t>K2 Disruption 78C Alliance + ER3 10 21/22</t>
        </is>
      </c>
      <c r="AL1031" t="inlineStr">
        <is>
          <t>Surfdome US</t>
        </is>
      </c>
      <c r="AM1031" s="333" t="n">
        <v>418.95</v>
      </c>
      <c r="AN1031" t="inlineStr">
        <is>
          <t>https://tinyurl.com/ydegtdn2</t>
        </is>
      </c>
      <c r="AO1031" t="inlineStr">
        <is>
          <t>K2 Disruption SC Alliance ER3 10 Compact Quikclik - Teal Set - Black-Teal 160</t>
        </is>
      </c>
      <c r="AP1031" t="inlineStr">
        <is>
          <t>! OutdoorXL.com</t>
        </is>
      </c>
      <c r="AQ1031" s="333" t="n">
        <v>424.95</v>
      </c>
      <c r="AR1031" t="inlineStr">
        <is>
          <t>https://tinyurl.com/ybugwv5h</t>
        </is>
      </c>
      <c r="AS1031" s="314">
        <f>IF(LEFT(C1031,1)=" ",RIGHT(C1031,LEN(C1031)-1),C1031)</f>
        <v/>
      </c>
      <c r="AT1031" s="281">
        <f>_xlfn.CONCAT(B1031,AS1031,D1031,E1031)</f>
        <v/>
      </c>
    </row>
    <row r="1032">
      <c r="A1032" t="inlineStr">
        <is>
          <t>21/22</t>
        </is>
      </c>
      <c r="B1032" t="inlineStr">
        <is>
          <t xml:space="preserve"> Elan</t>
        </is>
      </c>
      <c r="C1032" t="inlineStr">
        <is>
          <t>Ripstick 88 W</t>
        </is>
      </c>
      <c r="D1032" t="n">
        <v>162</v>
      </c>
      <c r="E1032" t="inlineStr">
        <is>
          <t xml:space="preserve"> Women's</t>
        </is>
      </c>
      <c r="F1032" t="n">
        <v>162</v>
      </c>
      <c r="G1032" t="n">
        <v>163.9</v>
      </c>
      <c r="H1032" t="n">
        <v>123</v>
      </c>
      <c r="I1032" t="n">
        <v>133</v>
      </c>
      <c r="J1032" t="n">
        <v>130</v>
      </c>
      <c r="K1032" t="n">
        <v>87</v>
      </c>
      <c r="L1032" t="n">
        <v>105</v>
      </c>
      <c r="M1032" t="n">
        <v>14.1</v>
      </c>
      <c r="N1032" t="n">
        <v>1404</v>
      </c>
      <c r="O1032" t="n">
        <v>1.18</v>
      </c>
      <c r="P1032" t="n">
        <v>1651</v>
      </c>
      <c r="Q1032" t="n">
        <v>130</v>
      </c>
      <c r="R1032" t="n">
        <v>61</v>
      </c>
      <c r="S1032" t="n">
        <v>46</v>
      </c>
      <c r="T1032" t="n">
        <v>260</v>
      </c>
      <c r="U1032" t="n">
        <v>13</v>
      </c>
      <c r="V1032" t="n">
        <v>149</v>
      </c>
      <c r="W1032" t="n">
        <v>0.275</v>
      </c>
      <c r="X1032" t="n">
        <v>157</v>
      </c>
      <c r="Y1032" t="n">
        <v>153</v>
      </c>
      <c r="Z1032" t="n">
        <v>103</v>
      </c>
      <c r="AA1032" t="n">
        <v>4</v>
      </c>
      <c r="AB1032" t="n">
        <v>8.5</v>
      </c>
      <c r="AC1032" t="inlineStr">
        <is>
          <t xml:space="preserve"> Resort Freeride</t>
        </is>
      </c>
      <c r="AD1032" t="inlineStr">
        <is>
          <t xml:space="preserve"> Touring</t>
        </is>
      </c>
      <c r="AG1032" t="inlineStr">
        <is>
          <t>Elan Ripstick 88 W</t>
        </is>
      </c>
      <c r="AH1032" t="inlineStr">
        <is>
          <t>Varuste.net</t>
        </is>
      </c>
      <c r="AI1032" s="333" t="n">
        <v>306.45</v>
      </c>
      <c r="AJ1032" t="inlineStr">
        <is>
          <t>https://tinyurl.com/yaee5hzx</t>
        </is>
      </c>
      <c r="AK1032" t="inlineStr">
        <is>
          <t>Elan Ripstick 88 W</t>
        </is>
      </c>
      <c r="AL1032" t="inlineStr">
        <is>
          <t>U.S. Outdoor</t>
        </is>
      </c>
      <c r="AM1032" s="333" t="n">
        <v>549.99</v>
      </c>
      <c r="AN1032" t="inlineStr">
        <is>
          <t>https://tinyurl.com/y7q9q3of</t>
        </is>
      </c>
      <c r="AO1032" t="inlineStr">
        <is>
          <t>Elan Ripstick 94 W 162cm</t>
        </is>
      </c>
      <c r="AP1032" t="inlineStr">
        <is>
          <t>Sundance Ski and Board Shop</t>
        </is>
      </c>
      <c r="AQ1032" s="333" t="n">
        <v>480.86</v>
      </c>
      <c r="AR1032" t="inlineStr">
        <is>
          <t>https://tinyurl.com/ycsg3u3z</t>
        </is>
      </c>
      <c r="AS1032" s="314">
        <f>IF(LEFT(C1032,1)=" ",RIGHT(C1032,LEN(C1032)-1),C1032)</f>
        <v/>
      </c>
      <c r="AT1032" s="281">
        <f>_xlfn.CONCAT(B1032,AS1032,D1032,E1032)</f>
        <v/>
      </c>
    </row>
    <row r="1033">
      <c r="A1033" t="inlineStr">
        <is>
          <t>21/22</t>
        </is>
      </c>
      <c r="B1033" t="inlineStr">
        <is>
          <t xml:space="preserve"> Elan</t>
        </is>
      </c>
      <c r="C1033" t="inlineStr">
        <is>
          <t>Wildcat 76</t>
        </is>
      </c>
      <c r="D1033" t="n">
        <v>150</v>
      </c>
      <c r="E1033" t="inlineStr">
        <is>
          <t xml:space="preserve"> Women's</t>
        </is>
      </c>
      <c r="F1033" t="n">
        <v>150</v>
      </c>
      <c r="G1033" t="n">
        <v>150.2</v>
      </c>
      <c r="H1033" t="n">
        <v>131</v>
      </c>
      <c r="I1033" t="n">
        <v>136</v>
      </c>
      <c r="J1033" t="n">
        <v>127</v>
      </c>
      <c r="K1033" t="n">
        <v>75</v>
      </c>
      <c r="L1033" t="n">
        <v>105</v>
      </c>
      <c r="M1033" t="n">
        <v>11.5</v>
      </c>
      <c r="N1033" t="n">
        <v>1415</v>
      </c>
      <c r="O1033" t="n">
        <v>0.96</v>
      </c>
      <c r="P1033" t="n">
        <v>1365</v>
      </c>
      <c r="Q1033" t="n">
        <v>135</v>
      </c>
      <c r="R1033" t="n">
        <v>60</v>
      </c>
      <c r="S1033" t="n">
        <v>38</v>
      </c>
      <c r="T1033" t="n">
        <v>132</v>
      </c>
      <c r="U1033" t="n">
        <v>6</v>
      </c>
      <c r="V1033" t="n">
        <v>63</v>
      </c>
      <c r="W1033" t="n">
        <v>0.159</v>
      </c>
      <c r="X1033" t="n">
        <v>89</v>
      </c>
      <c r="Y1033" t="n">
        <v>49</v>
      </c>
      <c r="Z1033" t="n">
        <v>43</v>
      </c>
      <c r="AA1033" t="n">
        <v>8</v>
      </c>
      <c r="AB1033" t="n">
        <v>9.699999999999999</v>
      </c>
      <c r="AC1033" t="inlineStr">
        <is>
          <t xml:space="preserve"> On-Piste Carving</t>
        </is>
      </c>
      <c r="AG1033" t="inlineStr">
        <is>
          <t>Elan Wildcat 76 LS ELW 9.0 150cm</t>
        </is>
      </c>
      <c r="AH1033" t="inlineStr">
        <is>
          <t>Sundance Ski and Board Shop</t>
        </is>
      </c>
      <c r="AI1033" s="333" t="n">
        <v>400.72</v>
      </c>
      <c r="AJ1033" t="inlineStr">
        <is>
          <t>https://tinyurl.com/yalr6nbc</t>
        </is>
      </c>
      <c r="AK1033" t="inlineStr">
        <is>
          <t>Elan Wildcat 76 Skis + PS ELW 9.0 GW Bindings - Women's 2022 150</t>
        </is>
      </c>
      <c r="AL1033" t="inlineStr">
        <is>
          <t>Winteriscalling.com</t>
        </is>
      </c>
      <c r="AM1033" s="333" t="n">
        <v>499.99</v>
      </c>
      <c r="AN1033" t="inlineStr">
        <is>
          <t>https://tinyurl.com/yb5w2obp</t>
        </is>
      </c>
      <c r="AO1033" t="inlineStr">
        <is>
          <t>Elan Wildcat 76 C Black Edition 150 Ski Lady's Ladies / Women</t>
        </is>
      </c>
      <c r="AP1033" t="inlineStr">
        <is>
          <t>! OutdoorXL.com</t>
        </is>
      </c>
      <c r="AQ1033" s="333" t="n">
        <v>509.95</v>
      </c>
      <c r="AR1033" t="inlineStr">
        <is>
          <t>https://tinyurl.com/y965h4qb</t>
        </is>
      </c>
      <c r="AS1033" s="314">
        <f>IF(LEFT(C1033,1)=" ",RIGHT(C1033,LEN(C1033)-1),C1033)</f>
        <v/>
      </c>
      <c r="AT1033" s="281">
        <f>_xlfn.CONCAT(B1033,AS1033,D1033,E1033)</f>
        <v/>
      </c>
    </row>
    <row r="1034">
      <c r="A1034" t="inlineStr">
        <is>
          <t>21/22</t>
        </is>
      </c>
      <c r="B1034" t="inlineStr">
        <is>
          <t xml:space="preserve"> Armada</t>
        </is>
      </c>
      <c r="C1034" t="inlineStr">
        <is>
          <t xml:space="preserve"> Tantrum</t>
        </is>
      </c>
      <c r="D1034" t="n">
        <v>138</v>
      </c>
      <c r="E1034" t="inlineStr">
        <is>
          <t xml:space="preserve"> Junior</t>
        </is>
      </c>
      <c r="F1034" t="n">
        <v>138</v>
      </c>
      <c r="G1034" t="n">
        <v>137</v>
      </c>
      <c r="H1034" t="n">
        <v>91</v>
      </c>
      <c r="I1034" t="n">
        <v>100</v>
      </c>
      <c r="J1034" t="n">
        <v>124</v>
      </c>
      <c r="K1034" t="n">
        <v>97</v>
      </c>
      <c r="L1034" t="n">
        <v>114</v>
      </c>
      <c r="M1034" t="n">
        <v>9.9</v>
      </c>
      <c r="N1034" t="n">
        <v>1318</v>
      </c>
      <c r="O1034" t="n">
        <v>1.11</v>
      </c>
      <c r="P1034" t="n">
        <v>1457</v>
      </c>
      <c r="Q1034" t="n">
        <v>124</v>
      </c>
      <c r="R1034" t="n">
        <v>61</v>
      </c>
      <c r="S1034" t="n">
        <v>47</v>
      </c>
      <c r="T1034" t="n">
        <v>313</v>
      </c>
      <c r="U1034" t="n">
        <v>31</v>
      </c>
      <c r="V1034" t="n">
        <v>144</v>
      </c>
      <c r="W1034" t="n">
        <v>0.667999999999999</v>
      </c>
      <c r="X1034" t="n">
        <v>229</v>
      </c>
      <c r="Y1034" t="n">
        <v>137</v>
      </c>
      <c r="Z1034" t="n">
        <v>84</v>
      </c>
      <c r="AA1034" t="n">
        <v>8</v>
      </c>
      <c r="AB1034" t="n">
        <v>6.9</v>
      </c>
      <c r="AC1034" t="inlineStr">
        <is>
          <t xml:space="preserve"> Resort Freeride</t>
        </is>
      </c>
      <c r="AD1034" t="inlineStr">
        <is>
          <t xml:space="preserve"> Touring</t>
        </is>
      </c>
      <c r="AG1034" t="inlineStr">
        <is>
          <t>Armada TANTRUM Skis 2022 138 cm</t>
        </is>
      </c>
      <c r="AH1034" t="inlineStr">
        <is>
          <t>PRFO Sports</t>
        </is>
      </c>
      <c r="AI1034" s="333" t="n">
        <v>287.71</v>
      </c>
      <c r="AJ1034" t="inlineStr">
        <is>
          <t>https://tinyurl.com/yd2wmqey</t>
        </is>
      </c>
      <c r="AK1034" t="inlineStr">
        <is>
          <t>Armada Tantrum Skis 138cm 2022</t>
        </is>
      </c>
      <c r="AL1034" t="inlineStr">
        <is>
          <t>Ski Pro  - Snow Ski &amp; Snowboard</t>
        </is>
      </c>
      <c r="AM1034" s="333" t="n">
        <v>319.95</v>
      </c>
      <c r="AN1034" t="inlineStr">
        <is>
          <t>https://tinyurl.com/yb4ml64a</t>
        </is>
      </c>
      <c r="AO1034" t="inlineStr">
        <is>
          <t>Armada Tantrum Skis 138cm 2022</t>
        </is>
      </c>
      <c r="AP1034" t="inlineStr">
        <is>
          <t>Next Adventure</t>
        </is>
      </c>
      <c r="AQ1034" s="333" t="n">
        <v>319.96</v>
      </c>
      <c r="AR1034" t="inlineStr">
        <is>
          <t>https://tinyurl.com/yczrqpdl</t>
        </is>
      </c>
      <c r="AS1034" s="314">
        <f>IF(LEFT(C1034,1)=" ",RIGHT(C1034,LEN(C1034)-1),C1034)</f>
        <v/>
      </c>
      <c r="AT1034" s="281">
        <f>_xlfn.CONCAT(B1034,AS1034,D1034,E1034)</f>
        <v/>
      </c>
    </row>
    <row r="1035">
      <c r="A1035" t="inlineStr">
        <is>
          <t>21/22</t>
        </is>
      </c>
      <c r="B1035" t="inlineStr">
        <is>
          <t xml:space="preserve"> Atomic</t>
        </is>
      </c>
      <c r="C1035" t="inlineStr">
        <is>
          <t>Redster S9 Servo</t>
        </is>
      </c>
      <c r="D1035" t="n">
        <v>165</v>
      </c>
      <c r="E1035" t="inlineStr">
        <is>
          <t xml:space="preserve"> Unisex</t>
        </is>
      </c>
      <c r="F1035" t="n">
        <v>165</v>
      </c>
      <c r="G1035" t="n">
        <v>163.8</v>
      </c>
      <c r="H1035" t="n">
        <v>143</v>
      </c>
      <c r="I1035" t="n">
        <v>151</v>
      </c>
      <c r="J1035" t="n">
        <v>117</v>
      </c>
      <c r="K1035" t="n">
        <v>67</v>
      </c>
      <c r="L1035" t="n">
        <v>103</v>
      </c>
      <c r="M1035" t="n">
        <v>12.8</v>
      </c>
      <c r="N1035" t="n">
        <v>2148</v>
      </c>
      <c r="O1035" t="n">
        <v>0.63</v>
      </c>
      <c r="P1035" t="n">
        <v>1362</v>
      </c>
      <c r="Q1035" t="n">
        <v>213</v>
      </c>
      <c r="R1035" t="n">
        <v>108</v>
      </c>
      <c r="S1035" t="n">
        <v>34</v>
      </c>
      <c r="T1035" t="n">
        <v>153</v>
      </c>
      <c r="U1035" t="n">
        <v>5</v>
      </c>
      <c r="V1035" t="n">
        <v>54</v>
      </c>
      <c r="W1035" t="n">
        <v>0.16</v>
      </c>
      <c r="X1035" t="n">
        <v>79</v>
      </c>
      <c r="Y1035" t="n">
        <v>53</v>
      </c>
      <c r="Z1035" t="n">
        <v>74</v>
      </c>
      <c r="AA1035" t="n">
        <v>10</v>
      </c>
      <c r="AB1035" t="n">
        <v>13.6</v>
      </c>
      <c r="AC1035" t="inlineStr">
        <is>
          <t xml:space="preserve"> On-Piste Carving</t>
        </is>
      </c>
      <c r="AG1035" t="inlineStr">
        <is>
          <t>Atomic Redster S9 + x 14 GW Ski,Unisex Adult, Unisex_Adult</t>
        </is>
      </c>
      <c r="AH1035" t="inlineStr">
        <is>
          <t>eBay - asogear</t>
        </is>
      </c>
      <c r="AI1035" s="333" t="n">
        <v>549.99</v>
      </c>
      <c r="AJ1035" t="inlineStr">
        <is>
          <t>https://tinyurl.com/yacsek2o</t>
        </is>
      </c>
      <c r="AK1035" t="inlineStr">
        <is>
          <t>Redster S9 Fis 2022 165cm</t>
        </is>
      </c>
      <c r="AL1035" t="inlineStr">
        <is>
          <t>Suburban Ski and Bike</t>
        </is>
      </c>
      <c r="AM1035" s="333" t="n">
        <v>749.99</v>
      </c>
      <c r="AN1035" t="inlineStr">
        <is>
          <t>https://tinyurl.com/y7p8oosq</t>
        </is>
      </c>
      <c r="AS1035" s="314">
        <f>IF(LEFT(C1035,1)=" ",RIGHT(C1035,LEN(C1035)-1),C1035)</f>
        <v/>
      </c>
      <c r="AT1035" s="281">
        <f>_xlfn.CONCAT(B1035,AS1035,D1035,E1035)</f>
        <v/>
      </c>
    </row>
    <row r="1036">
      <c r="A1036" t="inlineStr">
        <is>
          <t>21/22</t>
        </is>
      </c>
      <c r="B1036" t="inlineStr">
        <is>
          <t xml:space="preserve"> Line</t>
        </is>
      </c>
      <c r="C1036" t="inlineStr">
        <is>
          <t xml:space="preserve"> Honey Bee</t>
        </is>
      </c>
      <c r="D1036" t="n">
        <v>155</v>
      </c>
      <c r="E1036" t="inlineStr">
        <is>
          <t xml:space="preserve"> Women's</t>
        </is>
      </c>
      <c r="F1036" t="n">
        <v>155</v>
      </c>
      <c r="G1036" t="n">
        <v>154.4</v>
      </c>
      <c r="H1036" t="n">
        <v>118</v>
      </c>
      <c r="I1036" t="n">
        <v>130</v>
      </c>
      <c r="J1036" t="n">
        <v>120</v>
      </c>
      <c r="K1036" t="n">
        <v>91</v>
      </c>
      <c r="L1036" t="n">
        <v>117</v>
      </c>
      <c r="M1036" t="n">
        <v>14.6</v>
      </c>
      <c r="N1036" t="n">
        <v>1416</v>
      </c>
      <c r="O1036" t="n">
        <v>1.1</v>
      </c>
      <c r="P1036" t="n">
        <v>1559</v>
      </c>
      <c r="Q1036" t="n">
        <v>126</v>
      </c>
      <c r="R1036" t="n">
        <v>51</v>
      </c>
      <c r="S1036" t="n">
        <v>40</v>
      </c>
      <c r="T1036" t="n">
        <v>183</v>
      </c>
      <c r="U1036" t="n">
        <v>40</v>
      </c>
      <c r="V1036" t="n">
        <v>184</v>
      </c>
      <c r="W1036" t="n">
        <v>0.992</v>
      </c>
      <c r="X1036" t="n">
        <v>119</v>
      </c>
      <c r="Y1036" t="n">
        <v>123</v>
      </c>
      <c r="Z1036" t="n">
        <v>64</v>
      </c>
      <c r="AA1036" t="n">
        <v>6</v>
      </c>
      <c r="AB1036" t="n">
        <v>3.2</v>
      </c>
      <c r="AC1036" t="inlineStr">
        <is>
          <t xml:space="preserve"> Freeski</t>
        </is>
      </c>
      <c r="AD1036" t="inlineStr">
        <is>
          <t xml:space="preserve"> Touring</t>
        </is>
      </c>
      <c r="AG1036" t="inlineStr">
        <is>
          <t>Line Honey Bee Skis</t>
        </is>
      </c>
      <c r="AH1036" t="inlineStr">
        <is>
          <t>LINE Skis</t>
        </is>
      </c>
      <c r="AI1036" s="333" t="n">
        <v>349.95</v>
      </c>
      <c r="AJ1036" t="inlineStr">
        <is>
          <t>https://tinyurl.com/y9cdw86u</t>
        </is>
      </c>
      <c r="AS1036" s="314">
        <f>IF(LEFT(C1036,1)=" ",RIGHT(C1036,LEN(C1036)-1),C1036)</f>
        <v/>
      </c>
      <c r="AT1036" s="281">
        <f>_xlfn.CONCAT(B1036,AS1036,D1036,E1036)</f>
        <v/>
      </c>
    </row>
    <row r="1037">
      <c r="A1037" t="inlineStr">
        <is>
          <t>21/22</t>
        </is>
      </c>
      <c r="B1037" t="inlineStr">
        <is>
          <t xml:space="preserve"> DPS</t>
        </is>
      </c>
      <c r="C1037" t="inlineStr">
        <is>
          <t>Pagoda 106 C2</t>
        </is>
      </c>
      <c r="D1037" t="n">
        <v>179</v>
      </c>
      <c r="E1037" t="inlineStr">
        <is>
          <t xml:space="preserve"> Unisex</t>
        </is>
      </c>
      <c r="F1037" t="n">
        <v>179</v>
      </c>
      <c r="G1037" t="n">
        <v>177.3</v>
      </c>
      <c r="H1037" t="n">
        <v>127</v>
      </c>
      <c r="I1037" t="n">
        <v>138</v>
      </c>
      <c r="J1037" t="n">
        <v>137</v>
      </c>
      <c r="K1037" t="n">
        <v>106</v>
      </c>
      <c r="L1037" t="n">
        <v>121</v>
      </c>
      <c r="M1037" t="n">
        <v>19</v>
      </c>
      <c r="N1037" t="n">
        <v>2005</v>
      </c>
      <c r="O1037" t="n">
        <v>1.02</v>
      </c>
      <c r="P1037" t="n">
        <v>2052</v>
      </c>
      <c r="Q1037" t="n">
        <v>264</v>
      </c>
      <c r="R1037" t="n">
        <v>137</v>
      </c>
      <c r="S1037" t="n">
        <v>47</v>
      </c>
      <c r="T1037" t="n">
        <v>287</v>
      </c>
      <c r="U1037" t="n">
        <v>23</v>
      </c>
      <c r="V1037" t="n">
        <v>220</v>
      </c>
      <c r="W1037" t="n">
        <v>0.499</v>
      </c>
      <c r="X1037" t="n">
        <v>202</v>
      </c>
      <c r="Y1037" t="n">
        <v>188</v>
      </c>
      <c r="Z1037" t="n">
        <v>86</v>
      </c>
      <c r="AA1037" t="n">
        <v>9</v>
      </c>
      <c r="AB1037" t="n">
        <v>11.8</v>
      </c>
      <c r="AC1037" t="inlineStr">
        <is>
          <t xml:space="preserve"> Powder</t>
        </is>
      </c>
      <c r="AG1037" t="inlineStr">
        <is>
          <t>DPS Pagoda Tour 106 C2 Skis Â· 2022 Â· 179 cm</t>
        </is>
      </c>
      <c r="AH1037" t="inlineStr">
        <is>
          <t>Backcountry.com</t>
        </is>
      </c>
      <c r="AI1037" s="333" t="n">
        <v>1039.2</v>
      </c>
      <c r="AJ1037" t="inlineStr">
        <is>
          <t>https://tinyurl.com/yc3lubyw</t>
        </is>
      </c>
      <c r="AK1037" t="inlineStr">
        <is>
          <t>DPS Pagoda Tour 106 C2 Skis Â· 2022 Â· 179 cm</t>
        </is>
      </c>
      <c r="AL1037" t="inlineStr">
        <is>
          <t>Skimo &amp; SkyRun</t>
        </is>
      </c>
      <c r="AM1037" s="333" t="n">
        <v>1098.95</v>
      </c>
      <c r="AN1037" t="inlineStr">
        <is>
          <t>https://tinyurl.com/ybejbh6x</t>
        </is>
      </c>
      <c r="AO1037" t="inlineStr">
        <is>
          <t>2022 DPS Pagoda 106 C2 Skis w/ Tyrolia Attack2 13 GW Bindings - Purple - 179| Ski Essentials</t>
        </is>
      </c>
      <c r="AP1037" t="inlineStr">
        <is>
          <t>SkiEssentials.com</t>
        </is>
      </c>
      <c r="AQ1037" s="333" t="n">
        <v>1214</v>
      </c>
      <c r="AR1037" t="inlineStr">
        <is>
          <t>https://tinyurl.com/y7qb3t2x</t>
        </is>
      </c>
      <c r="AS1037" s="314">
        <f>IF(LEFT(C1037,1)=" ",RIGHT(C1037,LEN(C1037)-1),C1037)</f>
        <v/>
      </c>
      <c r="AT1037" s="281">
        <f>_xlfn.CONCAT(B1037,AS1037,D1037,E1037)</f>
        <v/>
      </c>
    </row>
    <row r="1038">
      <c r="A1038" t="inlineStr">
        <is>
          <t>21/22</t>
        </is>
      </c>
      <c r="B1038" t="inlineStr">
        <is>
          <t xml:space="preserve"> Head</t>
        </is>
      </c>
      <c r="C1038" t="inlineStr">
        <is>
          <t>V-Shape V8</t>
        </is>
      </c>
      <c r="D1038" t="n">
        <v>163</v>
      </c>
      <c r="E1038" t="inlineStr">
        <is>
          <t xml:space="preserve"> Unisex</t>
        </is>
      </c>
      <c r="F1038" t="n">
        <v>163</v>
      </c>
      <c r="G1038" t="n">
        <v>162.5</v>
      </c>
      <c r="H1038" t="n">
        <v>142</v>
      </c>
      <c r="I1038" t="n">
        <v>149</v>
      </c>
      <c r="J1038" t="n">
        <v>129</v>
      </c>
      <c r="K1038" t="n">
        <v>74</v>
      </c>
      <c r="L1038" t="n">
        <v>110</v>
      </c>
      <c r="M1038" t="n">
        <v>12.1</v>
      </c>
      <c r="N1038" t="n">
        <v>1587</v>
      </c>
      <c r="O1038" t="n">
        <v>0.93</v>
      </c>
      <c r="P1038" t="n">
        <v>1476</v>
      </c>
      <c r="Q1038" t="n">
        <v>175</v>
      </c>
      <c r="R1038" t="n">
        <v>44</v>
      </c>
      <c r="S1038" t="n">
        <v>37</v>
      </c>
      <c r="T1038" t="n">
        <v>140</v>
      </c>
      <c r="U1038" t="n">
        <v>9</v>
      </c>
      <c r="V1038" t="n">
        <v>62</v>
      </c>
      <c r="W1038" t="n">
        <v>0.233</v>
      </c>
      <c r="X1038" t="n">
        <v>83</v>
      </c>
      <c r="Y1038" t="n">
        <v>56</v>
      </c>
      <c r="Z1038" t="n">
        <v>57</v>
      </c>
      <c r="AA1038" t="n">
        <v>12</v>
      </c>
      <c r="AB1038" t="n">
        <v>12.4</v>
      </c>
      <c r="AC1038" t="inlineStr">
        <is>
          <t xml:space="preserve"> On-Piste Carving</t>
        </is>
      </c>
      <c r="AG1038" t="inlineStr">
        <is>
          <t>Head V-Shape V8 SW LYT Skis + PR 11 GW Bindings (21/22)</t>
        </is>
      </c>
      <c r="AH1038" t="inlineStr">
        <is>
          <t>Snowcountry.eu</t>
        </is>
      </c>
      <c r="AI1038" s="333" t="n">
        <v>478.43</v>
      </c>
      <c r="AJ1038" t="inlineStr">
        <is>
          <t>https://tinyurl.com/yapd7wpu</t>
        </is>
      </c>
      <c r="AK1038" t="inlineStr">
        <is>
          <t>Head V-Shape V8 SW LYT Skis + PR 11 GW Bindings (21/22)</t>
        </is>
      </c>
      <c r="AL1038" t="inlineStr">
        <is>
          <t>The-House.com</t>
        </is>
      </c>
      <c r="AM1038" s="333" t="n">
        <v>600</v>
      </c>
      <c r="AN1038" t="inlineStr">
        <is>
          <t>https://tinyurl.com/yd64j7q3</t>
        </is>
      </c>
      <c r="AO1038" t="inlineStr">
        <is>
          <t>Head V-Shape V8 SW LYT Skis + PR 11 GW Bindings (21/22)</t>
        </is>
      </c>
      <c r="AP1038" t="inlineStr">
        <is>
          <t>Walmart - WEBY Corporation</t>
        </is>
      </c>
      <c r="AQ1038" s="333" t="n">
        <v>636</v>
      </c>
      <c r="AR1038" t="inlineStr">
        <is>
          <t>https://tinyurl.com/ybdrjhz5</t>
        </is>
      </c>
      <c r="AS1038" s="314">
        <f>IF(LEFT(C1038,1)=" ",RIGHT(C1038,LEN(C1038)-1),C1038)</f>
        <v/>
      </c>
      <c r="AT1038" s="281">
        <f>_xlfn.CONCAT(B1038,AS1038,D1038,E1038)</f>
        <v/>
      </c>
    </row>
    <row r="1039">
      <c r="A1039" t="inlineStr">
        <is>
          <t>21/22</t>
        </is>
      </c>
      <c r="B1039" t="inlineStr">
        <is>
          <t xml:space="preserve"> Scott</t>
        </is>
      </c>
      <c r="C1039" t="inlineStr">
        <is>
          <t>Superguide 88</t>
        </is>
      </c>
      <c r="D1039" t="n">
        <v>162</v>
      </c>
      <c r="E1039" t="inlineStr">
        <is>
          <t xml:space="preserve"> Unisex</t>
        </is>
      </c>
      <c r="F1039" t="n">
        <v>162</v>
      </c>
      <c r="G1039" t="n">
        <v>159.9</v>
      </c>
      <c r="H1039" t="n">
        <v>123</v>
      </c>
      <c r="I1039" t="n">
        <v>141</v>
      </c>
      <c r="J1039" t="n">
        <v>121</v>
      </c>
      <c r="K1039" t="n">
        <v>83</v>
      </c>
      <c r="L1039" t="n">
        <v>105</v>
      </c>
      <c r="M1039" t="n">
        <v>16</v>
      </c>
      <c r="N1039" t="n">
        <v>1234</v>
      </c>
      <c r="O1039" t="n">
        <v>1.23</v>
      </c>
      <c r="P1039" t="n">
        <v>1519</v>
      </c>
      <c r="Q1039" t="n">
        <v>190</v>
      </c>
      <c r="R1039" t="n">
        <v>65</v>
      </c>
      <c r="S1039" t="n">
        <v>57</v>
      </c>
      <c r="T1039" t="n">
        <v>266</v>
      </c>
      <c r="U1039" t="n">
        <v>15</v>
      </c>
      <c r="V1039" t="n">
        <v>106</v>
      </c>
      <c r="W1039" t="n">
        <v>0.272</v>
      </c>
      <c r="X1039" t="n">
        <v>106</v>
      </c>
      <c r="Y1039" t="n">
        <v>88</v>
      </c>
      <c r="Z1039" t="n">
        <v>160</v>
      </c>
      <c r="AA1039" t="n">
        <v>7</v>
      </c>
      <c r="AB1039" t="n">
        <v>11</v>
      </c>
      <c r="AC1039" t="inlineStr">
        <is>
          <t xml:space="preserve"> Resort Freeride</t>
        </is>
      </c>
      <c r="AD1039" t="inlineStr">
        <is>
          <t xml:space="preserve"> Touring</t>
        </is>
      </c>
      <c r="AG1039" t="inlineStr">
        <is>
          <t>Scott Superguide 88 Ski 2022</t>
        </is>
      </c>
      <c r="AH1039" t="inlineStr">
        <is>
          <t>Telemark Pyrenees</t>
        </is>
      </c>
      <c r="AI1039" s="333" t="n">
        <v>352.89</v>
      </c>
      <c r="AJ1039" t="inlineStr">
        <is>
          <t>https://tinyurl.com/y8t6593z</t>
        </is>
      </c>
      <c r="AK1039" t="inlineStr">
        <is>
          <t>Scott Superguide 88 Ski 2022</t>
        </is>
      </c>
      <c r="AL1039" t="inlineStr">
        <is>
          <t>Bobleisure</t>
        </is>
      </c>
      <c r="AM1039" s="333" t="n">
        <v>362.87</v>
      </c>
      <c r="AN1039" t="inlineStr">
        <is>
          <t>https://tinyurl.com/y9lymkfm</t>
        </is>
      </c>
      <c r="AO1039" t="inlineStr">
        <is>
          <t>Scott Superguide 95 A Version 162cm</t>
        </is>
      </c>
      <c r="AP1039" t="inlineStr">
        <is>
          <t>Sundance Ski and Board Shop</t>
        </is>
      </c>
      <c r="AQ1039" s="333" t="n">
        <v>480.86</v>
      </c>
      <c r="AR1039" t="inlineStr">
        <is>
          <t>https://tinyurl.com/yc7q2phl</t>
        </is>
      </c>
      <c r="AS1039" s="314">
        <f>IF(LEFT(C1039,1)=" ",RIGHT(C1039,LEN(C1039)-1),C1039)</f>
        <v/>
      </c>
      <c r="AT1039" s="281">
        <f>_xlfn.CONCAT(B1039,AS1039,D1039,E1039)</f>
        <v/>
      </c>
    </row>
    <row r="1040">
      <c r="A1040" t="inlineStr">
        <is>
          <t>21/22</t>
        </is>
      </c>
      <c r="B1040" t="inlineStr">
        <is>
          <t xml:space="preserve"> Elan</t>
        </is>
      </c>
      <c r="C1040" t="inlineStr">
        <is>
          <t>Ripstick 94 W</t>
        </is>
      </c>
      <c r="D1040" t="n">
        <v>154</v>
      </c>
      <c r="E1040" t="inlineStr">
        <is>
          <t xml:space="preserve"> Women's</t>
        </is>
      </c>
      <c r="F1040" t="n">
        <v>154</v>
      </c>
      <c r="G1040" t="n">
        <v>154.9</v>
      </c>
      <c r="H1040" t="n">
        <v>105</v>
      </c>
      <c r="I1040" t="n">
        <v>121</v>
      </c>
      <c r="J1040" t="n">
        <v>131</v>
      </c>
      <c r="K1040" t="n">
        <v>94</v>
      </c>
      <c r="L1040" t="n">
        <v>107</v>
      </c>
      <c r="M1040" t="n">
        <v>13.9</v>
      </c>
      <c r="N1040" t="n">
        <v>1394</v>
      </c>
      <c r="O1040" t="n">
        <v>1.17</v>
      </c>
      <c r="P1040" t="n">
        <v>1628</v>
      </c>
      <c r="Q1040" t="n">
        <v>146</v>
      </c>
      <c r="R1040" t="n">
        <v>62</v>
      </c>
      <c r="S1040" t="n">
        <v>49</v>
      </c>
      <c r="T1040" t="n">
        <v>298</v>
      </c>
      <c r="U1040" t="n">
        <v>16</v>
      </c>
      <c r="V1040" t="n">
        <v>203</v>
      </c>
      <c r="W1040" t="n">
        <v>0.322</v>
      </c>
      <c r="X1040" t="n">
        <v>176</v>
      </c>
      <c r="Y1040" t="n">
        <v>161</v>
      </c>
      <c r="Z1040" t="n">
        <v>122</v>
      </c>
      <c r="AA1040" t="n">
        <v>3</v>
      </c>
      <c r="AB1040" t="n">
        <v>7</v>
      </c>
      <c r="AC1040" t="inlineStr">
        <is>
          <t xml:space="preserve"> Resort Freeride</t>
        </is>
      </c>
      <c r="AD1040" t="inlineStr">
        <is>
          <t xml:space="preserve"> Touring</t>
        </is>
      </c>
      <c r="AG1040" t="inlineStr">
        <is>
          <t>Elan Ripstick 94 W Women's Skis</t>
        </is>
      </c>
      <c r="AH1040" t="inlineStr">
        <is>
          <t>eBay - asogear</t>
        </is>
      </c>
      <c r="AI1040" s="333" t="n">
        <v>419.99</v>
      </c>
      <c r="AJ1040" t="inlineStr">
        <is>
          <t>https://tinyurl.com/yay45zpf</t>
        </is>
      </c>
      <c r="AK1040" t="inlineStr">
        <is>
          <t>Elan Ripstick 94 W Women's Skis</t>
        </is>
      </c>
      <c r="AL1040" t="inlineStr">
        <is>
          <t>Ski Pro  - Snow Ski &amp; Snowboard</t>
        </is>
      </c>
      <c r="AM1040" s="333" t="n">
        <v>449.95</v>
      </c>
      <c r="AN1040" t="inlineStr">
        <is>
          <t>https://tinyurl.com/ybtsb2k9</t>
        </is>
      </c>
      <c r="AO1040" t="inlineStr">
        <is>
          <t>Elan Ripstick 94 W Women's Skis</t>
        </is>
      </c>
      <c r="AP1040" t="inlineStr">
        <is>
          <t>SkiEssentials.com</t>
        </is>
      </c>
      <c r="AQ1040" s="333" t="n">
        <v>449.99</v>
      </c>
      <c r="AR1040" t="inlineStr">
        <is>
          <t>https://tinyurl.com/yb56t59d</t>
        </is>
      </c>
      <c r="AS1040" s="314">
        <f>IF(LEFT(C1040,1)=" ",RIGHT(C1040,LEN(C1040)-1),C1040)</f>
        <v/>
      </c>
      <c r="AT1040" s="281">
        <f>_xlfn.CONCAT(B1040,AS1040,D1040,E1040)</f>
        <v/>
      </c>
    </row>
    <row r="1041">
      <c r="A1041" t="inlineStr">
        <is>
          <t>21/22</t>
        </is>
      </c>
      <c r="B1041" t="inlineStr">
        <is>
          <t xml:space="preserve"> Blizzard</t>
        </is>
      </c>
      <c r="C1041" t="inlineStr">
        <is>
          <t xml:space="preserve"> SRC</t>
        </is>
      </c>
      <c r="D1041" t="n">
        <v>155</v>
      </c>
      <c r="E1041" t="inlineStr">
        <is>
          <t xml:space="preserve"> Unisex</t>
        </is>
      </c>
      <c r="F1041" t="n">
        <v>155</v>
      </c>
      <c r="G1041" t="n">
        <v>154.1</v>
      </c>
      <c r="H1041" t="n">
        <v>135</v>
      </c>
      <c r="I1041" t="n">
        <v>141</v>
      </c>
      <c r="J1041" t="n">
        <v>120</v>
      </c>
      <c r="K1041" t="n">
        <v>70</v>
      </c>
      <c r="L1041" t="n">
        <v>103</v>
      </c>
      <c r="M1041" t="n">
        <v>11.5</v>
      </c>
      <c r="N1041" t="n">
        <v>1931</v>
      </c>
      <c r="O1041" t="n">
        <v>0.68</v>
      </c>
      <c r="P1041" t="n">
        <v>1318</v>
      </c>
      <c r="Q1041" t="n">
        <v>180</v>
      </c>
      <c r="R1041" t="n">
        <v>121</v>
      </c>
      <c r="S1041" t="n">
        <v>40</v>
      </c>
      <c r="T1041" t="n">
        <v>140</v>
      </c>
      <c r="U1041" t="n">
        <v>5</v>
      </c>
      <c r="V1041" t="n">
        <v>47</v>
      </c>
      <c r="W1041" t="n">
        <v>0.124</v>
      </c>
      <c r="X1041" t="n">
        <v>74</v>
      </c>
      <c r="Y1041" t="n">
        <v>56</v>
      </c>
      <c r="Z1041" t="n">
        <v>66</v>
      </c>
      <c r="AA1041" t="n">
        <v>13</v>
      </c>
      <c r="AB1041" t="n">
        <v>12.3</v>
      </c>
      <c r="AC1041" t="inlineStr">
        <is>
          <t xml:space="preserve"> On-Piste Carving</t>
        </is>
      </c>
      <c r="AG1041" t="inlineStr">
        <is>
          <t>Blizzard Firebird SRC Skis w Marker Race Xcell GW Bindings  Demo</t>
        </is>
      </c>
      <c r="AH1041" t="inlineStr">
        <is>
          <t>Powder7 Ski Shop</t>
        </is>
      </c>
      <c r="AI1041" s="333" t="n">
        <v>479.99</v>
      </c>
      <c r="AJ1041" t="inlineStr">
        <is>
          <t>https://tinyurl.com/ydy5435f</t>
        </is>
      </c>
      <c r="AK1041" t="inlineStr">
        <is>
          <t>2022 Blizzard Phoenix R13 CA Women's Skis with TPC 11 Bindings - 155</t>
        </is>
      </c>
      <c r="AL1041" t="inlineStr">
        <is>
          <t>evo.com</t>
        </is>
      </c>
      <c r="AM1041" s="333" t="n">
        <v>599.95</v>
      </c>
      <c r="AN1041" t="inlineStr">
        <is>
          <t>https://tinyurl.com/y9qrm3g7</t>
        </is>
      </c>
      <c r="AS1041" s="314">
        <f>IF(LEFT(C1041,1)=" ",RIGHT(C1041,LEN(C1041)-1),C1041)</f>
        <v/>
      </c>
      <c r="AT1041" s="281">
        <f>_xlfn.CONCAT(B1041,AS1041,D1041,E1041)</f>
        <v/>
      </c>
    </row>
    <row r="1042">
      <c r="A1042" t="inlineStr">
        <is>
          <t>21/22</t>
        </is>
      </c>
      <c r="B1042" t="inlineStr">
        <is>
          <t xml:space="preserve"> Blizzard</t>
        </is>
      </c>
      <c r="C1042" t="inlineStr">
        <is>
          <t>Zero G 95</t>
        </is>
      </c>
      <c r="D1042" t="n">
        <v>164</v>
      </c>
      <c r="E1042" t="inlineStr">
        <is>
          <t xml:space="preserve"> Unisex</t>
        </is>
      </c>
      <c r="F1042" t="n">
        <v>164</v>
      </c>
      <c r="G1042" t="n">
        <v>161.7</v>
      </c>
      <c r="H1042" t="n">
        <v>115</v>
      </c>
      <c r="I1042" t="n">
        <v>135</v>
      </c>
      <c r="J1042" t="n">
        <v>124</v>
      </c>
      <c r="K1042" t="n">
        <v>93</v>
      </c>
      <c r="L1042" t="n">
        <v>108</v>
      </c>
      <c r="M1042" t="n">
        <v>19.5</v>
      </c>
      <c r="N1042" t="n">
        <v>1113</v>
      </c>
      <c r="O1042" t="n">
        <v>1.47</v>
      </c>
      <c r="P1042" t="n">
        <v>1639</v>
      </c>
      <c r="Q1042" t="n">
        <v>186</v>
      </c>
      <c r="R1042" t="n">
        <v>62</v>
      </c>
      <c r="S1042" t="n">
        <v>58</v>
      </c>
      <c r="T1042" t="n">
        <v>267</v>
      </c>
      <c r="U1042" t="n">
        <v>11</v>
      </c>
      <c r="V1042" t="n">
        <v>201</v>
      </c>
      <c r="W1042" t="n">
        <v>0.196</v>
      </c>
      <c r="X1042" t="n">
        <v>142</v>
      </c>
      <c r="Y1042" t="n">
        <v>120</v>
      </c>
      <c r="Z1042" t="n">
        <v>125</v>
      </c>
      <c r="AA1042" t="n">
        <v>3</v>
      </c>
      <c r="AB1042" t="n">
        <v>10</v>
      </c>
      <c r="AC1042" t="inlineStr">
        <is>
          <t xml:space="preserve"> Touring</t>
        </is>
      </c>
      <c r="AD1042" t="inlineStr">
        <is>
          <t xml:space="preserve"> Ultralight Touring</t>
        </is>
      </c>
      <c r="AG1042" t="inlineStr">
        <is>
          <t>2022 Blizzard Zero G 95 Skis w/ Marker Kingpin 13 Binding - Light Blue - 164| Ski Essentials</t>
        </is>
      </c>
      <c r="AH1042" t="inlineStr">
        <is>
          <t>SkiEssentials.com</t>
        </is>
      </c>
      <c r="AI1042" s="333" t="n">
        <v>1050</v>
      </c>
      <c r="AJ1042" t="inlineStr">
        <is>
          <t>https://tinyurl.com/yatofs9r</t>
        </is>
      </c>
      <c r="AK1042" t="inlineStr">
        <is>
          <t>Blizzard Zero G 95 Ski - 2022 Light Blue, 164cm</t>
        </is>
      </c>
      <c r="AL1042" t="inlineStr">
        <is>
          <t>sunandski.com</t>
        </is>
      </c>
      <c r="AM1042" s="333" t="n">
        <v>559.9299999999999</v>
      </c>
      <c r="AN1042" t="inlineStr">
        <is>
          <t>https://tinyurl.com/ycatlej5</t>
        </is>
      </c>
      <c r="AO1042" t="inlineStr">
        <is>
          <t>Blizzard Zero G 95 Skis Men's 2022</t>
        </is>
      </c>
      <c r="AP1042" t="inlineStr">
        <is>
          <t>Level Nine Sports</t>
        </is>
      </c>
      <c r="AQ1042" s="333" t="n">
        <v>559.95</v>
      </c>
      <c r="AR1042" t="inlineStr">
        <is>
          <t>https://tinyurl.com/ycmtp8mo</t>
        </is>
      </c>
      <c r="AS1042" s="314">
        <f>IF(LEFT(C1042,1)=" ",RIGHT(C1042,LEN(C1042)-1),C1042)</f>
        <v/>
      </c>
      <c r="AT1042" s="281">
        <f>_xlfn.CONCAT(B1042,AS1042,D1042,E1042)</f>
        <v/>
      </c>
    </row>
    <row r="1043">
      <c r="A1043" t="inlineStr">
        <is>
          <t>21/22</t>
        </is>
      </c>
      <c r="B1043" t="inlineStr">
        <is>
          <t xml:space="preserve"> DPS</t>
        </is>
      </c>
      <c r="C1043" t="inlineStr">
        <is>
          <t>Pagoda Piste 100 C2</t>
        </is>
      </c>
      <c r="D1043" t="n">
        <v>179</v>
      </c>
      <c r="E1043" t="inlineStr">
        <is>
          <t xml:space="preserve"> Unisex</t>
        </is>
      </c>
      <c r="F1043" t="n">
        <v>179</v>
      </c>
      <c r="G1043" t="n">
        <v>177.7</v>
      </c>
      <c r="H1043" t="n">
        <v>132</v>
      </c>
      <c r="I1043" t="n">
        <v>142</v>
      </c>
      <c r="J1043" t="n">
        <v>132</v>
      </c>
      <c r="K1043" t="n">
        <v>100</v>
      </c>
      <c r="L1043" t="n">
        <v>115</v>
      </c>
      <c r="M1043" t="n">
        <v>19.6</v>
      </c>
      <c r="N1043" t="n">
        <v>1975</v>
      </c>
      <c r="O1043" t="n">
        <v>0.99</v>
      </c>
      <c r="P1043" t="n">
        <v>1953</v>
      </c>
      <c r="Q1043" t="n">
        <v>251</v>
      </c>
      <c r="R1043" t="n">
        <v>143</v>
      </c>
      <c r="S1043" t="n">
        <v>47</v>
      </c>
      <c r="T1043" t="n">
        <v>267</v>
      </c>
      <c r="U1043" t="n">
        <v>18</v>
      </c>
      <c r="V1043" t="n">
        <v>190</v>
      </c>
      <c r="W1043" t="n">
        <v>0.387</v>
      </c>
      <c r="X1043" t="n">
        <v>189</v>
      </c>
      <c r="Y1043" t="n">
        <v>173</v>
      </c>
      <c r="Z1043" t="n">
        <v>78</v>
      </c>
      <c r="AA1043" t="n">
        <v>7</v>
      </c>
      <c r="AB1043" t="n">
        <v>11.3</v>
      </c>
      <c r="AC1043" t="inlineStr">
        <is>
          <t xml:space="preserve"> Resort Freeride</t>
        </is>
      </c>
      <c r="AG1043" t="inlineStr">
        <is>
          <t>DPS Pagoda Piste 100 C2 Ski 179 / Red</t>
        </is>
      </c>
      <c r="AH1043" t="inlineStr">
        <is>
          <t>Cripple Creek Backcountry</t>
        </is>
      </c>
      <c r="AI1043" s="333" t="n">
        <v>1029</v>
      </c>
      <c r="AJ1043" t="inlineStr">
        <is>
          <t>https://tinyurl.com/yasccpe9</t>
        </is>
      </c>
      <c r="AK1043" t="inlineStr">
        <is>
          <t>DPS Pagoda Piste 100 C2 Pinot Skis 179cm 2022</t>
        </is>
      </c>
      <c r="AL1043" t="inlineStr">
        <is>
          <t>SkiEssentials.com</t>
        </is>
      </c>
      <c r="AM1043" s="333" t="n">
        <v>1039</v>
      </c>
      <c r="AN1043" t="inlineStr">
        <is>
          <t>https://tinyurl.com/ybkutom6</t>
        </is>
      </c>
      <c r="AO1043" t="inlineStr">
        <is>
          <t>DPS Pagoda Piste 100 C2 Pinot Skis 179cm 2022</t>
        </is>
      </c>
      <c r="AP1043" t="inlineStr">
        <is>
          <t>Powder7 Ski Shop</t>
        </is>
      </c>
      <c r="AQ1043" s="333" t="n">
        <v>1039.2</v>
      </c>
      <c r="AR1043" t="inlineStr">
        <is>
          <t>https://tinyurl.com/y7hfetsw</t>
        </is>
      </c>
      <c r="AS1043" s="314">
        <f>IF(LEFT(C1043,1)=" ",RIGHT(C1043,LEN(C1043)-1),C1043)</f>
        <v/>
      </c>
      <c r="AT1043" s="281">
        <f>_xlfn.CONCAT(B1043,AS1043,D1043,E1043)</f>
        <v/>
      </c>
    </row>
    <row r="1044">
      <c r="A1044" t="inlineStr">
        <is>
          <t>21/22</t>
        </is>
      </c>
      <c r="B1044" t="inlineStr">
        <is>
          <t>K2</t>
        </is>
      </c>
      <c r="C1044" t="inlineStr">
        <is>
          <t>Mindbender 90 C Alliance</t>
        </is>
      </c>
      <c r="D1044" t="n">
        <v>156</v>
      </c>
      <c r="E1044" t="inlineStr">
        <is>
          <t xml:space="preserve"> Women's</t>
        </is>
      </c>
      <c r="F1044" t="n">
        <v>156</v>
      </c>
      <c r="G1044" t="n">
        <v>156.5</v>
      </c>
      <c r="H1044" t="n">
        <v>120</v>
      </c>
      <c r="I1044" t="n">
        <v>130</v>
      </c>
      <c r="J1044" t="n">
        <v>126</v>
      </c>
      <c r="K1044" t="n">
        <v>89</v>
      </c>
      <c r="L1044" t="n">
        <v>112</v>
      </c>
      <c r="M1044" t="n">
        <v>13.2</v>
      </c>
      <c r="N1044" t="n">
        <v>1409</v>
      </c>
      <c r="O1044" t="n">
        <v>1.13</v>
      </c>
      <c r="P1044" t="n">
        <v>1593</v>
      </c>
      <c r="Q1044" t="n">
        <v>118</v>
      </c>
      <c r="R1044" t="n">
        <v>60</v>
      </c>
      <c r="S1044" t="n">
        <v>44</v>
      </c>
      <c r="T1044" t="n">
        <v>221</v>
      </c>
      <c r="U1044" t="n">
        <v>14</v>
      </c>
      <c r="V1044" t="n">
        <v>144</v>
      </c>
      <c r="W1044" t="n">
        <v>0.315</v>
      </c>
      <c r="X1044" t="n">
        <v>145</v>
      </c>
      <c r="Y1044" t="n">
        <v>120</v>
      </c>
      <c r="Z1044" t="n">
        <v>76</v>
      </c>
      <c r="AA1044" t="n">
        <v>8</v>
      </c>
      <c r="AB1044" t="n">
        <v>10.1</v>
      </c>
      <c r="AC1044" t="inlineStr">
        <is>
          <t xml:space="preserve"> Resort Freeride</t>
        </is>
      </c>
      <c r="AD1044" t="inlineStr">
        <is>
          <t xml:space="preserve"> Touring</t>
        </is>
      </c>
      <c r="AG1044" t="inlineStr">
        <is>
          <t>K2 Mindbender 90 C</t>
        </is>
      </c>
      <c r="AH1044" t="inlineStr">
        <is>
          <t>K2 Snow</t>
        </is>
      </c>
      <c r="AI1044" s="333" t="n">
        <v>499.95</v>
      </c>
      <c r="AJ1044" t="inlineStr">
        <is>
          <t>https://tinyurl.com/yc66u8ks</t>
        </is>
      </c>
      <c r="AK1044" t="inlineStr">
        <is>
          <t>K2 Mindbender 90C Alliance Skis Women's 2022</t>
        </is>
      </c>
      <c r="AL1044" t="inlineStr">
        <is>
          <t>Level Nine Sports</t>
        </is>
      </c>
      <c r="AM1044" s="333" t="n">
        <v>499.95</v>
      </c>
      <c r="AN1044" t="inlineStr">
        <is>
          <t>https://tinyurl.com/y865l7eh</t>
        </is>
      </c>
      <c r="AO1044" t="inlineStr">
        <is>
          <t>2022 K2 Mindbender 90C Alliance Women's Skis with Tyrolia Attack2 11 GW Bindings</t>
        </is>
      </c>
      <c r="AP1044" t="inlineStr">
        <is>
          <t>SkiEssentials.com</t>
        </is>
      </c>
      <c r="AQ1044" s="333" t="n">
        <v>639.95</v>
      </c>
      <c r="AR1044" t="inlineStr">
        <is>
          <t>https://tinyurl.com/y9vfkumf</t>
        </is>
      </c>
      <c r="AS1044" s="314">
        <f>IF(LEFT(C1044,1)=" ",RIGHT(C1044,LEN(C1044)-1),C1044)</f>
        <v/>
      </c>
      <c r="AT1044" s="281">
        <f>_xlfn.CONCAT(B1044,AS1044,D1044,E1044)</f>
        <v/>
      </c>
    </row>
    <row r="1045">
      <c r="A1045" t="inlineStr">
        <is>
          <t>21/22</t>
        </is>
      </c>
      <c r="B1045" t="inlineStr">
        <is>
          <t xml:space="preserve"> Atomic</t>
        </is>
      </c>
      <c r="C1045" t="inlineStr">
        <is>
          <t>Backland 86 SL</t>
        </is>
      </c>
      <c r="D1045" t="n">
        <v>165</v>
      </c>
      <c r="E1045" t="inlineStr">
        <is>
          <t xml:space="preserve"> Unisex</t>
        </is>
      </c>
      <c r="F1045" t="n">
        <v>165</v>
      </c>
      <c r="G1045" t="n">
        <v>164.1</v>
      </c>
      <c r="H1045" t="n">
        <v>126</v>
      </c>
      <c r="I1045" t="n">
        <v>135</v>
      </c>
      <c r="J1045" t="n">
        <v>115</v>
      </c>
      <c r="K1045" t="n">
        <v>85</v>
      </c>
      <c r="L1045" t="n">
        <v>104</v>
      </c>
      <c r="M1045" t="n">
        <v>16.6</v>
      </c>
      <c r="N1045" t="n">
        <v>1180</v>
      </c>
      <c r="O1045" t="n">
        <v>1.32</v>
      </c>
      <c r="P1045" t="n">
        <v>1557</v>
      </c>
      <c r="Q1045" t="n">
        <v>163</v>
      </c>
      <c r="R1045" t="n">
        <v>68</v>
      </c>
      <c r="S1045" t="n">
        <v>52</v>
      </c>
      <c r="T1045" t="n">
        <v>245</v>
      </c>
      <c r="U1045" t="n">
        <v>10</v>
      </c>
      <c r="V1045" t="n">
        <v>140</v>
      </c>
      <c r="W1045" t="n">
        <v>0.2</v>
      </c>
      <c r="X1045" t="n">
        <v>172</v>
      </c>
      <c r="Y1045" t="n">
        <v>118</v>
      </c>
      <c r="Z1045" t="n">
        <v>74</v>
      </c>
      <c r="AA1045" t="n">
        <v>7</v>
      </c>
      <c r="AB1045" t="n">
        <v>12.5</v>
      </c>
      <c r="AC1045" t="inlineStr">
        <is>
          <t xml:space="preserve"> Touring</t>
        </is>
      </c>
      <c r="AD1045" t="inlineStr">
        <is>
          <t xml:space="preserve"> Ultralight Touring</t>
        </is>
      </c>
      <c r="AG1045" t="inlineStr">
        <is>
          <t>Atomic W Backland 86 SL Alpine Touring Ski 165</t>
        </is>
      </c>
      <c r="AH1045" t="inlineStr">
        <is>
          <t>Cripple Creek Backcountry</t>
        </is>
      </c>
      <c r="AI1045" s="333" t="n">
        <v>850</v>
      </c>
      <c r="AJ1045" t="inlineStr">
        <is>
          <t>https://tinyurl.com/y9qpxzs4</t>
        </is>
      </c>
      <c r="AK1045" t="inlineStr">
        <is>
          <t>2022 Atomic Backland 85 W Skis w/ Salomon Shift 10 MNC Bindings &amp; Hybrid Skin 85 - 165| Ski Essentials</t>
        </is>
      </c>
      <c r="AL1045" t="inlineStr">
        <is>
          <t>SkiEssentials.com</t>
        </is>
      </c>
      <c r="AM1045" s="333" t="n">
        <v>1100</v>
      </c>
      <c r="AN1045" t="inlineStr">
        <is>
          <t>https://tinyurl.com/y7fr9ogc</t>
        </is>
      </c>
      <c r="AO1045" t="inlineStr">
        <is>
          <t>Atomic Backland 85 Women Ski 2023</t>
        </is>
      </c>
      <c r="AP1045" t="inlineStr">
        <is>
          <t>Telemark Pyrenees</t>
        </is>
      </c>
      <c r="AQ1045" s="333" t="n">
        <v>302.46</v>
      </c>
      <c r="AR1045" t="inlineStr">
        <is>
          <t>https://tinyurl.com/yd49zv3x</t>
        </is>
      </c>
      <c r="AS1045" s="314">
        <f>IF(LEFT(C1045,1)=" ",RIGHT(C1045,LEN(C1045)-1),C1045)</f>
        <v/>
      </c>
      <c r="AT1045" s="281">
        <f>_xlfn.CONCAT(B1045,AS1045,D1045,E1045)</f>
        <v/>
      </c>
    </row>
    <row r="1046">
      <c r="A1046" t="inlineStr">
        <is>
          <t>21/22</t>
        </is>
      </c>
      <c r="B1046" t="inlineStr">
        <is>
          <t xml:space="preserve"> Line</t>
        </is>
      </c>
      <c r="C1046" t="inlineStr">
        <is>
          <t xml:space="preserve"> Honey Badger</t>
        </is>
      </c>
      <c r="D1046" t="n">
        <v>155</v>
      </c>
      <c r="E1046" t="inlineStr">
        <is>
          <t xml:space="preserve"> Unisex</t>
        </is>
      </c>
      <c r="F1046" t="n">
        <v>155</v>
      </c>
      <c r="G1046" t="n">
        <v>153.8</v>
      </c>
      <c r="H1046" t="n">
        <v>92</v>
      </c>
      <c r="I1046" t="n">
        <v>129</v>
      </c>
      <c r="J1046" t="n">
        <v>120</v>
      </c>
      <c r="K1046" t="n">
        <v>91</v>
      </c>
      <c r="L1046" t="n">
        <v>117</v>
      </c>
      <c r="M1046" t="n">
        <v>14.5</v>
      </c>
      <c r="N1046" t="n">
        <v>1516</v>
      </c>
      <c r="O1046" t="n">
        <v>1.03</v>
      </c>
      <c r="P1046" t="n">
        <v>1555</v>
      </c>
      <c r="Q1046" t="n">
        <v>143</v>
      </c>
      <c r="R1046" t="n">
        <v>59</v>
      </c>
      <c r="S1046" t="n">
        <v>48</v>
      </c>
      <c r="T1046" t="n">
        <v>281</v>
      </c>
      <c r="U1046" t="n">
        <v>47</v>
      </c>
      <c r="V1046" t="n">
        <v>342</v>
      </c>
      <c r="W1046" t="n">
        <v>0.972</v>
      </c>
      <c r="X1046" t="n">
        <v>128</v>
      </c>
      <c r="Y1046" t="n">
        <v>117</v>
      </c>
      <c r="Z1046" t="n">
        <v>153</v>
      </c>
      <c r="AA1046" t="n">
        <v>3</v>
      </c>
      <c r="AB1046" t="n">
        <v>3.6</v>
      </c>
      <c r="AC1046" t="inlineStr">
        <is>
          <t xml:space="preserve"> Freeski</t>
        </is>
      </c>
      <c r="AG1046" t="inlineStr">
        <is>
          <t>'22 Line Honey Badger Skis 155cm</t>
        </is>
      </c>
      <c r="AH1046" t="inlineStr">
        <is>
          <t>Al's Ski Equipment Barn</t>
        </is>
      </c>
      <c r="AI1046" s="333" t="n">
        <v>329.95</v>
      </c>
      <c r="AJ1046" t="inlineStr">
        <is>
          <t>https://tinyurl.com/y9m94h7a</t>
        </is>
      </c>
      <c r="AK1046" t="inlineStr">
        <is>
          <t>Line 2022 Honey Badger Skis</t>
        </is>
      </c>
      <c r="AL1046" t="inlineStr">
        <is>
          <t>UtahSkis</t>
        </is>
      </c>
      <c r="AM1046" s="333" t="n">
        <v>349.95</v>
      </c>
      <c r="AN1046" t="inlineStr">
        <is>
          <t>https://tinyurl.com/y9nwnuh8</t>
        </is>
      </c>
      <c r="AO1046" t="inlineStr">
        <is>
          <t>Line 2022 Honey Badger Skis</t>
        </is>
      </c>
      <c r="AP1046" t="inlineStr">
        <is>
          <t>Christy Sports</t>
        </is>
      </c>
      <c r="AQ1046" s="333" t="n">
        <v>349.95</v>
      </c>
      <c r="AR1046" t="inlineStr">
        <is>
          <t>https://tinyurl.com/y8s8sufp</t>
        </is>
      </c>
      <c r="AS1046" s="314">
        <f>IF(LEFT(C1046,1)=" ",RIGHT(C1046,LEN(C1046)-1),C1046)</f>
        <v/>
      </c>
      <c r="AT1046" s="281">
        <f>_xlfn.CONCAT(B1046,AS1046,D1046,E1046)</f>
        <v/>
      </c>
    </row>
    <row r="1047">
      <c r="A1047" t="inlineStr">
        <is>
          <t>21/22</t>
        </is>
      </c>
      <c r="B1047" t="inlineStr">
        <is>
          <t xml:space="preserve"> Elan</t>
        </is>
      </c>
      <c r="C1047" t="inlineStr">
        <is>
          <t>Ripstick 106 Black Edition</t>
        </is>
      </c>
      <c r="D1047" t="n">
        <v>188</v>
      </c>
      <c r="E1047" t="inlineStr">
        <is>
          <t xml:space="preserve"> Unisex</t>
        </is>
      </c>
      <c r="F1047" t="n">
        <v>188</v>
      </c>
      <c r="G1047" t="n">
        <v>184.7</v>
      </c>
      <c r="H1047" t="n">
        <v>129</v>
      </c>
      <c r="I1047" t="n">
        <v>149</v>
      </c>
      <c r="J1047" t="n">
        <v>143</v>
      </c>
      <c r="K1047" t="n">
        <v>104</v>
      </c>
      <c r="L1047" t="n">
        <v>120</v>
      </c>
      <c r="M1047" t="n">
        <v>20.3</v>
      </c>
      <c r="N1047" t="n">
        <v>2041</v>
      </c>
      <c r="O1047" t="n">
        <v>1.05</v>
      </c>
      <c r="P1047" t="n">
        <v>2137</v>
      </c>
      <c r="Q1047" t="n">
        <v>290</v>
      </c>
      <c r="R1047" t="n">
        <v>122</v>
      </c>
      <c r="S1047" t="n">
        <v>51</v>
      </c>
      <c r="T1047" t="n">
        <v>301</v>
      </c>
      <c r="U1047" t="n">
        <v>17</v>
      </c>
      <c r="V1047" t="n">
        <v>253</v>
      </c>
      <c r="W1047" t="n">
        <v>0.332</v>
      </c>
      <c r="X1047" t="n">
        <v>185</v>
      </c>
      <c r="Y1047" t="n">
        <v>170</v>
      </c>
      <c r="Z1047" t="n">
        <v>117</v>
      </c>
      <c r="AA1047" t="n">
        <v>3</v>
      </c>
      <c r="AB1047" t="n">
        <v>10</v>
      </c>
      <c r="AC1047" t="inlineStr">
        <is>
          <t xml:space="preserve"> Resort Freeride</t>
        </is>
      </c>
      <c r="AD1047" t="inlineStr">
        <is>
          <t xml:space="preserve"> Big Mountain</t>
        </is>
      </c>
      <c r="AG1047" t="inlineStr">
        <is>
          <t>Elan 2022 Ripstick 106 Black Edition Skis</t>
        </is>
      </c>
      <c r="AH1047" t="inlineStr">
        <is>
          <t>Erik's Bike, Board and Ski</t>
        </is>
      </c>
      <c r="AI1047" s="333" t="n">
        <v>637.49</v>
      </c>
      <c r="AJ1047" t="inlineStr">
        <is>
          <t>https://tinyurl.com/yd6myglv</t>
        </is>
      </c>
      <c r="AK1047" t="inlineStr">
        <is>
          <t>Elan 2022 Ripstick 106 Black Edition Skis</t>
        </is>
      </c>
      <c r="AL1047" t="inlineStr">
        <is>
          <t>Berg's Ski &amp; Snowboard Shop</t>
        </is>
      </c>
      <c r="AM1047" s="333" t="n">
        <v>637.49</v>
      </c>
      <c r="AN1047" t="inlineStr">
        <is>
          <t>https://tinyurl.com/y9okv6kw</t>
        </is>
      </c>
      <c r="AO1047" t="inlineStr">
        <is>
          <t>Elan 2022 Ripstick 106 Black Edition Skis</t>
        </is>
      </c>
      <c r="AP1047" t="inlineStr">
        <is>
          <t>Powder7 Ski Shop</t>
        </is>
      </c>
      <c r="AQ1047" s="333" t="n">
        <v>879.99</v>
      </c>
      <c r="AR1047" t="inlineStr">
        <is>
          <t>https://tinyurl.com/y8sfvbhx</t>
        </is>
      </c>
      <c r="AS1047" s="314">
        <f>IF(LEFT(C1047,1)=" ",RIGHT(C1047,LEN(C1047)-1),C1047)</f>
        <v/>
      </c>
      <c r="AT1047" s="281">
        <f>_xlfn.CONCAT(B1047,AS1047,D1047,E1047)</f>
        <v/>
      </c>
    </row>
    <row r="1048">
      <c r="A1048" t="inlineStr">
        <is>
          <t>21/22</t>
        </is>
      </c>
      <c r="B1048" t="inlineStr">
        <is>
          <t xml:space="preserve"> Rossignol</t>
        </is>
      </c>
      <c r="C1048" t="inlineStr">
        <is>
          <t>React 2</t>
        </is>
      </c>
      <c r="D1048" t="n">
        <v>162</v>
      </c>
      <c r="E1048" t="inlineStr">
        <is>
          <t xml:space="preserve"> Unisex</t>
        </is>
      </c>
      <c r="F1048" t="n">
        <v>162</v>
      </c>
      <c r="G1048" t="n">
        <v>160.3</v>
      </c>
      <c r="H1048" t="n">
        <v>139</v>
      </c>
      <c r="I1048" t="n">
        <v>144</v>
      </c>
      <c r="J1048" t="n">
        <v>121</v>
      </c>
      <c r="K1048" t="n">
        <v>74</v>
      </c>
      <c r="L1048" t="n">
        <v>107</v>
      </c>
      <c r="M1048" t="n">
        <v>13.1</v>
      </c>
      <c r="N1048" t="n">
        <v>1527</v>
      </c>
      <c r="O1048" t="n">
        <v>0.93</v>
      </c>
      <c r="P1048" t="n">
        <v>1426</v>
      </c>
      <c r="Q1048" t="n">
        <v>158</v>
      </c>
      <c r="R1048" t="n">
        <v>55</v>
      </c>
      <c r="S1048" t="n">
        <v>36</v>
      </c>
      <c r="T1048" t="n">
        <v>142</v>
      </c>
      <c r="U1048" t="n">
        <v>5</v>
      </c>
      <c r="V1048" t="n">
        <v>68</v>
      </c>
      <c r="W1048" t="n">
        <v>0.144</v>
      </c>
      <c r="X1048" t="n">
        <v>81</v>
      </c>
      <c r="Y1048" t="n">
        <v>78</v>
      </c>
      <c r="Z1048" t="n">
        <v>61</v>
      </c>
      <c r="AA1048" t="n">
        <v>11</v>
      </c>
      <c r="AB1048" t="n">
        <v>8.199999999999999</v>
      </c>
      <c r="AC1048" t="inlineStr">
        <is>
          <t xml:space="preserve"> On-Piste Carving</t>
        </is>
      </c>
      <c r="AG1048" t="inlineStr">
        <is>
          <t>Rossignol React 2 Skis W Xpress 10 Gw Bindings 2022 - Na</t>
        </is>
      </c>
      <c r="AH1048" t="inlineStr">
        <is>
          <t>Geiger's</t>
        </is>
      </c>
      <c r="AI1048" s="333" t="n">
        <v>299.99</v>
      </c>
      <c r="AJ1048" t="inlineStr">
        <is>
          <t>https://tinyurl.com/yd3pz8lm</t>
        </is>
      </c>
      <c r="AK1048" t="inlineStr">
        <is>
          <t>Rossignol Saphir 2 162 Cm Rossignol Axium 100 Bindings</t>
        </is>
      </c>
      <c r="AL1048" t="inlineStr">
        <is>
          <t>eBay - billstore2012</t>
        </is>
      </c>
      <c r="AM1048" s="333" t="n">
        <v>115</v>
      </c>
      <c r="AN1048" t="inlineStr">
        <is>
          <t>https://tinyurl.com/yb86mr3y</t>
        </is>
      </c>
      <c r="AO1048" t="inlineStr">
        <is>
          <t>Demo React 2 Carbon 162 Alpine Ski 162</t>
        </is>
      </c>
      <c r="AP1048" t="inlineStr">
        <is>
          <t>ExploreVI</t>
        </is>
      </c>
      <c r="AQ1048" s="333" t="n">
        <v>250</v>
      </c>
      <c r="AR1048" t="inlineStr">
        <is>
          <t>https://tinyurl.com/ybj66spf</t>
        </is>
      </c>
      <c r="AS1048" s="314">
        <f>IF(LEFT(C1048,1)=" ",RIGHT(C1048,LEN(C1048)-1),C1048)</f>
        <v/>
      </c>
      <c r="AT1048" s="281">
        <f>_xlfn.CONCAT(B1048,AS1048,D1048,E1048)</f>
        <v/>
      </c>
    </row>
    <row r="1049">
      <c r="A1049" t="inlineStr">
        <is>
          <t>21/22</t>
        </is>
      </c>
      <c r="B1049" t="inlineStr">
        <is>
          <t xml:space="preserve"> Rossignol</t>
        </is>
      </c>
      <c r="C1049" t="inlineStr">
        <is>
          <t xml:space="preserve"> Hero Elite Plus Ti</t>
        </is>
      </c>
      <c r="D1049" t="n">
        <v>174</v>
      </c>
      <c r="E1049" t="inlineStr">
        <is>
          <t xml:space="preserve"> Unisex</t>
        </is>
      </c>
      <c r="F1049" t="n">
        <v>174</v>
      </c>
      <c r="G1049" t="n">
        <v>173.6</v>
      </c>
      <c r="H1049" t="n">
        <v>153</v>
      </c>
      <c r="I1049" t="n">
        <v>159</v>
      </c>
      <c r="J1049" t="n">
        <v>128</v>
      </c>
      <c r="K1049" t="n">
        <v>76</v>
      </c>
      <c r="L1049" t="n">
        <v>108</v>
      </c>
      <c r="M1049" t="n">
        <v>14.6</v>
      </c>
      <c r="N1049" t="n">
        <v>2198</v>
      </c>
      <c r="O1049" t="n">
        <v>0.73</v>
      </c>
      <c r="P1049" t="n">
        <v>1595</v>
      </c>
      <c r="Q1049" t="n">
        <v>239</v>
      </c>
      <c r="R1049" t="n">
        <v>103</v>
      </c>
      <c r="S1049" t="n">
        <v>38</v>
      </c>
      <c r="T1049" t="n">
        <v>141</v>
      </c>
      <c r="U1049" t="n">
        <v>4</v>
      </c>
      <c r="V1049" t="n">
        <v>64</v>
      </c>
      <c r="W1049" t="n">
        <v>0.115</v>
      </c>
      <c r="X1049" t="n">
        <v>85</v>
      </c>
      <c r="Y1049" t="n">
        <v>64</v>
      </c>
      <c r="Z1049" t="n">
        <v>56</v>
      </c>
      <c r="AA1049" t="n">
        <v>14</v>
      </c>
      <c r="AB1049" t="n">
        <v>10.1</v>
      </c>
      <c r="AC1049" t="inlineStr">
        <is>
          <t xml:space="preserve"> On-Piste Carving</t>
        </is>
      </c>
      <c r="AG1049" t="inlineStr">
        <is>
          <t>Rossignol Hero Elite Plus Ti Mens Skis W/SPX 12 Konect GW Bindings</t>
        </is>
      </c>
      <c r="AH1049" t="inlineStr">
        <is>
          <t>Buyr.com</t>
        </is>
      </c>
      <c r="AI1049" s="333" t="n">
        <v>1049.95</v>
      </c>
      <c r="AJ1049" t="inlineStr">
        <is>
          <t>https://tinyurl.com/y8hngnsr</t>
        </is>
      </c>
      <c r="AK1049" t="inlineStr">
        <is>
          <t>Rossignol Hero Elite Plus Ti Mens Skis W/SPX 12 Konect GW Bindings</t>
        </is>
      </c>
      <c r="AL1049" t="inlineStr">
        <is>
          <t>The-House.com</t>
        </is>
      </c>
      <c r="AM1049" s="333" t="n">
        <v>799.95</v>
      </c>
      <c r="AN1049" t="inlineStr">
        <is>
          <t>https://tinyurl.com/y9cj2xpb</t>
        </is>
      </c>
      <c r="AO1049" t="inlineStr">
        <is>
          <t>Rossignol Power Cobra Skis With Bindings | Color: Black</t>
        </is>
      </c>
      <c r="AP1049" t="inlineStr">
        <is>
          <t>Mercari</t>
        </is>
      </c>
      <c r="AQ1049" s="333" t="n">
        <v>122</v>
      </c>
      <c r="AR1049" t="inlineStr">
        <is>
          <t>https://tinyurl.com/y7zwkp9v</t>
        </is>
      </c>
      <c r="AS1049" s="314">
        <f>IF(LEFT(C1049,1)=" ",RIGHT(C1049,LEN(C1049)-1),C1049)</f>
        <v/>
      </c>
      <c r="AT1049" s="281">
        <f>_xlfn.CONCAT(B1049,AS1049,D1049,E1049)</f>
        <v/>
      </c>
    </row>
    <row r="1050">
      <c r="A1050" t="inlineStr">
        <is>
          <t>21/22</t>
        </is>
      </c>
      <c r="B1050" t="inlineStr">
        <is>
          <t xml:space="preserve"> Salomon</t>
        </is>
      </c>
      <c r="C1050" t="inlineStr">
        <is>
          <t>S/Force 80FX</t>
        </is>
      </c>
      <c r="D1050" t="n">
        <v>170</v>
      </c>
      <c r="E1050" t="inlineStr">
        <is>
          <t xml:space="preserve"> Unisex</t>
        </is>
      </c>
      <c r="F1050" t="n">
        <v>170</v>
      </c>
      <c r="G1050" t="n">
        <v>169.4</v>
      </c>
      <c r="H1050" t="n">
        <v>142</v>
      </c>
      <c r="I1050" t="n">
        <v>156</v>
      </c>
      <c r="J1050" t="n">
        <v>127</v>
      </c>
      <c r="K1050" t="n">
        <v>80</v>
      </c>
      <c r="L1050" t="n">
        <v>109</v>
      </c>
      <c r="M1050" t="n">
        <v>15.2</v>
      </c>
      <c r="N1050" t="n">
        <v>2185</v>
      </c>
      <c r="O1050" t="n">
        <v>0.74</v>
      </c>
      <c r="P1050" t="n">
        <v>1608</v>
      </c>
      <c r="Q1050" t="n">
        <v>254</v>
      </c>
      <c r="R1050" t="n">
        <v>116</v>
      </c>
      <c r="S1050" t="n">
        <v>44</v>
      </c>
      <c r="T1050" t="n">
        <v>188</v>
      </c>
      <c r="U1050" t="n">
        <v>4</v>
      </c>
      <c r="V1050" t="n">
        <v>87</v>
      </c>
      <c r="W1050" t="n">
        <v>0.08500000000000001</v>
      </c>
      <c r="X1050" t="n">
        <v>88</v>
      </c>
      <c r="Y1050" t="n">
        <v>45</v>
      </c>
      <c r="Z1050" t="n">
        <v>100</v>
      </c>
      <c r="AA1050" t="n">
        <v>7</v>
      </c>
      <c r="AB1050" t="n">
        <v>11.6</v>
      </c>
      <c r="AC1050" t="inlineStr">
        <is>
          <t xml:space="preserve"> On-Piste Carving</t>
        </is>
      </c>
      <c r="AD1050" t="inlineStr">
        <is>
          <t xml:space="preserve"> Resort Freeride</t>
        </is>
      </c>
      <c r="AG1050" t="inlineStr">
        <is>
          <t>Salomon S/Force Fx.80 Skis w/ M11 GW Bindings</t>
        </is>
      </c>
      <c r="AH1050" t="inlineStr">
        <is>
          <t>Peter Glenn Ski &amp; Sports</t>
        </is>
      </c>
      <c r="AI1050" s="333" t="n">
        <v>479.99</v>
      </c>
      <c r="AJ1050" t="inlineStr">
        <is>
          <t>https://tinyurl.com/yb47retz</t>
        </is>
      </c>
      <c r="AK1050" t="inlineStr">
        <is>
          <t>Salomon S/Force Fx.80 Skis w/ M11 GW Bindings</t>
        </is>
      </c>
      <c r="AL1050" t="inlineStr">
        <is>
          <t>Curated</t>
        </is>
      </c>
      <c r="AM1050" s="333" t="n">
        <v>479.99</v>
      </c>
      <c r="AN1050" t="inlineStr">
        <is>
          <t>https://tinyurl.com/yaxj8nf3</t>
        </is>
      </c>
      <c r="AO1050" t="inlineStr">
        <is>
          <t>Salomon S/Force Fx.80 Skis w/ M11 GW Bindings</t>
        </is>
      </c>
      <c r="AP1050" t="inlineStr">
        <is>
          <t>Buckman's Ski and Snowboard Shop</t>
        </is>
      </c>
      <c r="AQ1050" s="333" t="n">
        <v>599.95</v>
      </c>
      <c r="AR1050" t="inlineStr">
        <is>
          <t>https://tinyurl.com/yboqt9gr</t>
        </is>
      </c>
      <c r="AS1050" s="314">
        <f>IF(LEFT(C1050,1)=" ",RIGHT(C1050,LEN(C1050)-1),C1050)</f>
        <v/>
      </c>
      <c r="AT1050" s="281">
        <f>_xlfn.CONCAT(B1050,AS1050,D1050,E1050)</f>
        <v/>
      </c>
    </row>
    <row r="1051">
      <c r="A1051" t="inlineStr">
        <is>
          <t>21/22</t>
        </is>
      </c>
      <c r="B1051" t="inlineStr">
        <is>
          <t xml:space="preserve"> Armada</t>
        </is>
      </c>
      <c r="C1051" t="inlineStr">
        <is>
          <t>ARW 84</t>
        </is>
      </c>
      <c r="D1051" t="n">
        <v>157</v>
      </c>
      <c r="E1051" t="inlineStr">
        <is>
          <t xml:space="preserve"> Women's</t>
        </is>
      </c>
      <c r="F1051" t="n">
        <v>157</v>
      </c>
      <c r="G1051" t="n">
        <v>155.4</v>
      </c>
      <c r="H1051" t="n">
        <v>110</v>
      </c>
      <c r="I1051" t="n">
        <v>128</v>
      </c>
      <c r="J1051" t="n">
        <v>116</v>
      </c>
      <c r="K1051" t="n">
        <v>84</v>
      </c>
      <c r="L1051" t="n">
        <v>108</v>
      </c>
      <c r="M1051" t="n">
        <v>13.4</v>
      </c>
      <c r="N1051" t="n">
        <v>1546</v>
      </c>
      <c r="O1051" t="n">
        <v>0.96</v>
      </c>
      <c r="P1051" t="n">
        <v>1484</v>
      </c>
      <c r="Q1051" t="n">
        <v>136</v>
      </c>
      <c r="R1051" t="n">
        <v>46</v>
      </c>
      <c r="S1051" t="n">
        <v>46</v>
      </c>
      <c r="T1051" t="n">
        <v>251</v>
      </c>
      <c r="U1051" t="n">
        <v>38</v>
      </c>
      <c r="V1051" t="n">
        <v>201</v>
      </c>
      <c r="W1051" t="n">
        <v>0.819</v>
      </c>
      <c r="X1051" t="n">
        <v>142</v>
      </c>
      <c r="Y1051" t="n">
        <v>128</v>
      </c>
      <c r="Z1051" t="n">
        <v>109</v>
      </c>
      <c r="AA1051" t="n">
        <v>8</v>
      </c>
      <c r="AB1051" t="n">
        <v>6.6</v>
      </c>
      <c r="AC1051" t="inlineStr">
        <is>
          <t xml:space="preserve"> Resort Freeride</t>
        </is>
      </c>
      <c r="AD1051" t="inlineStr">
        <is>
          <t xml:space="preserve"> Freeski</t>
        </is>
      </c>
      <c r="AG1051" t="inlineStr">
        <is>
          <t>Armada ARV 84 Ski 2022 - 157</t>
        </is>
      </c>
      <c r="AH1051" t="inlineStr">
        <is>
          <t>UtahSkis</t>
        </is>
      </c>
      <c r="AI1051" s="333" t="n">
        <v>279.96</v>
      </c>
      <c r="AJ1051" t="inlineStr">
        <is>
          <t>https://tinyurl.com/y8tj6lj8</t>
        </is>
      </c>
      <c r="AK1051" t="inlineStr">
        <is>
          <t>Armada Arv 84 Skis 2022 157cm</t>
        </is>
      </c>
      <c r="AL1051" t="inlineStr">
        <is>
          <t>eBay</t>
        </is>
      </c>
      <c r="AM1051" s="333" t="n">
        <v>315.99</v>
      </c>
      <c r="AN1051" t="inlineStr">
        <is>
          <t>https://tinyurl.com/y8y9ggk8</t>
        </is>
      </c>
      <c r="AO1051" t="inlineStr">
        <is>
          <t>Armada ARV 84 Ski 2022 - 157</t>
        </is>
      </c>
      <c r="AP1051" t="inlineStr">
        <is>
          <t xml:space="preserve">Aspen East </t>
        </is>
      </c>
      <c r="AQ1051" s="333" t="n">
        <v>349</v>
      </c>
      <c r="AR1051" t="inlineStr">
        <is>
          <t>https://tinyurl.com/yboy83wv</t>
        </is>
      </c>
      <c r="AS1051" s="314">
        <f>IF(LEFT(C1051,1)=" ",RIGHT(C1051,LEN(C1051)-1),C1051)</f>
        <v/>
      </c>
      <c r="AT1051" s="281">
        <f>_xlfn.CONCAT(B1051,AS1051,D1051,E1051)</f>
        <v/>
      </c>
    </row>
    <row r="1052">
      <c r="A1052" t="inlineStr">
        <is>
          <t>21/22</t>
        </is>
      </c>
      <c r="B1052" t="inlineStr">
        <is>
          <t xml:space="preserve"> DPS</t>
        </is>
      </c>
      <c r="C1052" t="inlineStr">
        <is>
          <t>Pagoda Tour 100 RP</t>
        </is>
      </c>
      <c r="D1052" t="n">
        <v>153</v>
      </c>
      <c r="E1052" t="inlineStr">
        <is>
          <t xml:space="preserve"> Unisex</t>
        </is>
      </c>
      <c r="F1052" t="n">
        <v>153</v>
      </c>
      <c r="G1052" t="n">
        <v>151.8</v>
      </c>
      <c r="H1052" t="n">
        <v>103</v>
      </c>
      <c r="I1052" t="n">
        <v>111</v>
      </c>
      <c r="J1052" t="n">
        <v>124</v>
      </c>
      <c r="K1052" t="n">
        <v>100</v>
      </c>
      <c r="L1052" t="n">
        <v>112</v>
      </c>
      <c r="M1052" t="n">
        <v>14.9</v>
      </c>
      <c r="N1052" t="n">
        <v>1170</v>
      </c>
      <c r="O1052" t="n">
        <v>1.4</v>
      </c>
      <c r="P1052" t="n">
        <v>1633</v>
      </c>
      <c r="Q1052" t="n">
        <v>143</v>
      </c>
      <c r="R1052" t="n">
        <v>70</v>
      </c>
      <c r="S1052" t="n">
        <v>33</v>
      </c>
      <c r="T1052" t="n">
        <v>255</v>
      </c>
      <c r="U1052" t="n">
        <v>16</v>
      </c>
      <c r="V1052" t="n">
        <v>229</v>
      </c>
      <c r="W1052" t="n">
        <v>0.466</v>
      </c>
      <c r="X1052" t="n">
        <v>215</v>
      </c>
      <c r="Y1052" t="n">
        <v>188</v>
      </c>
      <c r="Z1052" t="n">
        <v>40</v>
      </c>
      <c r="AA1052" t="n">
        <v>6</v>
      </c>
      <c r="AB1052" t="n">
        <v>11.5</v>
      </c>
      <c r="AC1052" t="inlineStr">
        <is>
          <t xml:space="preserve"> Touring</t>
        </is>
      </c>
      <c r="AD1052" t="inlineStr">
        <is>
          <t xml:space="preserve"> Ultralight Touring</t>
        </is>
      </c>
      <c r="AG1052" t="inlineStr">
        <is>
          <t>DPS Pagoda Tour 100 RP 153cm</t>
        </is>
      </c>
      <c r="AH1052" t="inlineStr">
        <is>
          <t>Skimo &amp; SkyRun</t>
        </is>
      </c>
      <c r="AI1052" s="333" t="n">
        <v>1029</v>
      </c>
      <c r="AJ1052" t="inlineStr">
        <is>
          <t>https://tinyurl.com/yaj37rby</t>
        </is>
      </c>
      <c r="AK1052" t="inlineStr">
        <is>
          <t>DPS Pagoda Tour 100 RP 153cm</t>
        </is>
      </c>
      <c r="AL1052" t="inlineStr">
        <is>
          <t>REI</t>
        </is>
      </c>
      <c r="AM1052" s="333" t="n">
        <v>1038.93</v>
      </c>
      <c r="AN1052" t="inlineStr">
        <is>
          <t>https://tinyurl.com/yc5d5kh6</t>
        </is>
      </c>
      <c r="AO1052" t="inlineStr">
        <is>
          <t>DPS Pagoda Tour 100 RP 153cm</t>
        </is>
      </c>
      <c r="AP1052" t="inlineStr">
        <is>
          <t>eBay - david110549</t>
        </is>
      </c>
      <c r="AQ1052" s="333" t="n">
        <v>1039</v>
      </c>
      <c r="AR1052" t="inlineStr">
        <is>
          <t>https://tinyurl.com/y8jgolqs</t>
        </is>
      </c>
      <c r="AS1052" s="314">
        <f>IF(LEFT(C1052,1)=" ",RIGHT(C1052,LEN(C1052)-1),C1052)</f>
        <v/>
      </c>
      <c r="AT1052" s="281">
        <f>_xlfn.CONCAT(B1052,AS1052,D1052,E1052)</f>
        <v/>
      </c>
    </row>
    <row r="1053">
      <c r="A1053" t="inlineStr">
        <is>
          <t>21/22</t>
        </is>
      </c>
      <c r="B1053" t="inlineStr">
        <is>
          <t xml:space="preserve"> Blizzard</t>
        </is>
      </c>
      <c r="C1053" t="inlineStr">
        <is>
          <t>Thunderbird R13</t>
        </is>
      </c>
      <c r="D1053" t="n">
        <v>160</v>
      </c>
      <c r="E1053" t="inlineStr">
        <is>
          <t xml:space="preserve"> Unisex</t>
        </is>
      </c>
      <c r="F1053" t="n">
        <v>160</v>
      </c>
      <c r="G1053" t="n">
        <v>158.9</v>
      </c>
      <c r="H1053" t="n">
        <v>139</v>
      </c>
      <c r="I1053" t="n">
        <v>146</v>
      </c>
      <c r="J1053" t="n">
        <v>122</v>
      </c>
      <c r="K1053" t="n">
        <v>71</v>
      </c>
      <c r="L1053" t="n">
        <v>105</v>
      </c>
      <c r="M1053" t="n">
        <v>12.4</v>
      </c>
      <c r="N1053" t="n">
        <v>2080</v>
      </c>
      <c r="O1053" t="n">
        <v>0.67</v>
      </c>
      <c r="P1053" t="n">
        <v>1384</v>
      </c>
      <c r="Q1053" t="n">
        <v>178</v>
      </c>
      <c r="R1053" t="n">
        <v>113</v>
      </c>
      <c r="S1053" t="n">
        <v>43</v>
      </c>
      <c r="T1053" t="n">
        <v>143</v>
      </c>
      <c r="U1053" t="n">
        <v>7</v>
      </c>
      <c r="V1053" t="n">
        <v>55</v>
      </c>
      <c r="W1053" t="n">
        <v>0.156</v>
      </c>
      <c r="X1053" t="n">
        <v>75</v>
      </c>
      <c r="Y1053" t="n">
        <v>54</v>
      </c>
      <c r="Z1053" t="n">
        <v>68</v>
      </c>
      <c r="AA1053" t="n">
        <v>10</v>
      </c>
      <c r="AB1053" t="n">
        <v>12.1</v>
      </c>
      <c r="AC1053" t="inlineStr">
        <is>
          <t xml:space="preserve"> On-Piste Carving</t>
        </is>
      </c>
      <c r="AG1053" t="inlineStr">
        <is>
          <t>Blizzard Men's Thunderbird Sport 7.2 Skis with TLT 10 Bindings '22</t>
        </is>
      </c>
      <c r="AH1053" t="inlineStr">
        <is>
          <t>sunandski.com</t>
        </is>
      </c>
      <c r="AI1053" s="333" t="n">
        <v>319.93</v>
      </c>
      <c r="AJ1053" t="inlineStr">
        <is>
          <t>https://tinyurl.com/yc3a6ntr</t>
        </is>
      </c>
      <c r="AK1053" t="inlineStr">
        <is>
          <t>Blizzard Thunderbird 72 Ski + TLT10 - Winter 2021/2022 160</t>
        </is>
      </c>
      <c r="AL1053" t="inlineStr">
        <is>
          <t>Equipe Sport</t>
        </is>
      </c>
      <c r="AM1053" s="333" t="n">
        <v>399</v>
      </c>
      <c r="AN1053" t="inlineStr">
        <is>
          <t>https://tinyurl.com/y6u5xzb8</t>
        </is>
      </c>
      <c r="AO1053" t="inlineStr">
        <is>
          <t>Blizzard Thunderbird SP 7.7 Ski System with TPX 11 Bindings Men's, 160</t>
        </is>
      </c>
      <c r="AP1053" t="inlineStr">
        <is>
          <t>Stowesports.com</t>
        </is>
      </c>
      <c r="AQ1053" s="333" t="n">
        <v>399.95</v>
      </c>
      <c r="AR1053" t="inlineStr">
        <is>
          <t>https://tinyurl.com/ybsjzdz3</t>
        </is>
      </c>
      <c r="AS1053" s="314">
        <f>IF(LEFT(C1053,1)=" ",RIGHT(C1053,LEN(C1053)-1),C1053)</f>
        <v/>
      </c>
      <c r="AT1053" s="281">
        <f>_xlfn.CONCAT(B1053,AS1053,D1053,E1053)</f>
        <v/>
      </c>
    </row>
    <row r="1054">
      <c r="A1054" t="inlineStr">
        <is>
          <t>21/22</t>
        </is>
      </c>
      <c r="B1054" t="inlineStr">
        <is>
          <t xml:space="preserve"> Armada</t>
        </is>
      </c>
      <c r="C1054" t="inlineStr">
        <is>
          <t xml:space="preserve"> Whitewalker</t>
        </is>
      </c>
      <c r="D1054" t="n">
        <v>185</v>
      </c>
      <c r="E1054" t="inlineStr">
        <is>
          <t xml:space="preserve"> Unisex</t>
        </is>
      </c>
      <c r="F1054" t="n">
        <v>185</v>
      </c>
      <c r="G1054" t="n">
        <v>183.2</v>
      </c>
      <c r="H1054" t="n">
        <v>113</v>
      </c>
      <c r="I1054" t="n">
        <v>133</v>
      </c>
      <c r="J1054" t="n">
        <v>138</v>
      </c>
      <c r="K1054" t="n">
        <v>115</v>
      </c>
      <c r="L1054" t="n">
        <v>134</v>
      </c>
      <c r="M1054" t="n">
        <v>18.2</v>
      </c>
      <c r="N1054" t="n">
        <v>1891</v>
      </c>
      <c r="O1054" t="n">
        <v>1.19</v>
      </c>
      <c r="P1054" t="n">
        <v>2242</v>
      </c>
      <c r="Q1054" t="n">
        <v>278</v>
      </c>
      <c r="R1054" t="n">
        <v>144</v>
      </c>
      <c r="S1054" t="n">
        <v>64</v>
      </c>
      <c r="T1054" t="n">
        <v>362</v>
      </c>
      <c r="U1054" t="n">
        <v>61</v>
      </c>
      <c r="V1054" t="n">
        <v>338</v>
      </c>
      <c r="W1054" t="n">
        <v>0.957</v>
      </c>
      <c r="X1054" t="n">
        <v>256</v>
      </c>
      <c r="Y1054" t="n">
        <v>248</v>
      </c>
      <c r="Z1054" t="n">
        <v>106</v>
      </c>
      <c r="AA1054" t="n">
        <v>4</v>
      </c>
      <c r="AB1054" t="n">
        <v>5.7</v>
      </c>
      <c r="AC1054" t="inlineStr">
        <is>
          <t xml:space="preserve"> Freeski</t>
        </is>
      </c>
      <c r="AD1054" t="inlineStr">
        <is>
          <t xml:space="preserve"> Powder</t>
        </is>
      </c>
      <c r="AE1054" t="inlineStr">
        <is>
          <t xml:space="preserve"> Touring</t>
        </is>
      </c>
      <c r="AG1054" t="inlineStr">
        <is>
          <t>Armada Whitewalker Skis - 2022 185cm</t>
        </is>
      </c>
      <c r="AH1054" t="inlineStr">
        <is>
          <t>Glacier Ski Shop</t>
        </is>
      </c>
      <c r="AI1054" s="333" t="n">
        <v>719</v>
      </c>
      <c r="AJ1054" t="inlineStr">
        <is>
          <t>https://tinyurl.com/ycjg8b84</t>
        </is>
      </c>
      <c r="AK1054" t="inlineStr">
        <is>
          <t>Armada Whitewalker Powder Skis Whitewalker / 185</t>
        </is>
      </c>
      <c r="AL1054" t="inlineStr">
        <is>
          <t>Gravity Coalition</t>
        </is>
      </c>
      <c r="AM1054" s="333" t="n">
        <v>749.95</v>
      </c>
      <c r="AN1054" t="inlineStr">
        <is>
          <t>https://tinyurl.com/yd3l4c8h</t>
        </is>
      </c>
      <c r="AO1054" t="inlineStr">
        <is>
          <t>Armada Skin ARV 116 JJ Skis Â· 185 cm</t>
        </is>
      </c>
      <c r="AP1054" t="inlineStr">
        <is>
          <t>Curated</t>
        </is>
      </c>
      <c r="AQ1054" s="333" t="n">
        <v>199.95</v>
      </c>
      <c r="AR1054" t="inlineStr">
        <is>
          <t>https://tinyurl.com/yb6rjo7g</t>
        </is>
      </c>
      <c r="AS1054" s="314">
        <f>IF(LEFT(C1054,1)=" ",RIGHT(C1054,LEN(C1054)-1),C1054)</f>
        <v/>
      </c>
      <c r="AT1054" s="281">
        <f>_xlfn.CONCAT(B1054,AS1054,D1054,E1054)</f>
        <v/>
      </c>
    </row>
    <row r="1055">
      <c r="A1055" t="inlineStr">
        <is>
          <t>21/22</t>
        </is>
      </c>
      <c r="B1055" t="inlineStr">
        <is>
          <t xml:space="preserve"> Nordica</t>
        </is>
      </c>
      <c r="C1055" t="inlineStr">
        <is>
          <t>Spitfire 70 Pro</t>
        </is>
      </c>
      <c r="D1055" t="n">
        <v>165</v>
      </c>
      <c r="E1055" t="inlineStr">
        <is>
          <t xml:space="preserve"> Unisex</t>
        </is>
      </c>
      <c r="F1055" t="n">
        <v>165</v>
      </c>
      <c r="G1055" t="n">
        <v>164.6</v>
      </c>
      <c r="H1055" t="n">
        <v>146</v>
      </c>
      <c r="I1055" t="n">
        <v>153</v>
      </c>
      <c r="J1055" t="n">
        <v>118</v>
      </c>
      <c r="K1055" t="n">
        <v>69</v>
      </c>
      <c r="L1055" t="n">
        <v>97</v>
      </c>
      <c r="M1055" t="n">
        <v>15</v>
      </c>
      <c r="N1055" t="n">
        <v>1999</v>
      </c>
      <c r="O1055" t="n">
        <v>0.6899999999999999</v>
      </c>
      <c r="P1055" t="n">
        <v>1377</v>
      </c>
      <c r="Q1055" t="n">
        <v>167</v>
      </c>
      <c r="R1055" t="n">
        <v>109</v>
      </c>
      <c r="S1055" t="n">
        <v>35</v>
      </c>
      <c r="T1055" t="n">
        <v>129</v>
      </c>
      <c r="U1055" t="n">
        <v>7</v>
      </c>
      <c r="V1055" t="n">
        <v>52</v>
      </c>
      <c r="W1055" t="n">
        <v>0.188999999999999</v>
      </c>
      <c r="X1055" t="n">
        <v>61</v>
      </c>
      <c r="Y1055" t="n">
        <v>57</v>
      </c>
      <c r="Z1055" t="n">
        <v>68</v>
      </c>
      <c r="AA1055" t="n">
        <v>9</v>
      </c>
      <c r="AB1055" t="n">
        <v>13</v>
      </c>
      <c r="AC1055" t="inlineStr">
        <is>
          <t xml:space="preserve"> On-Piste Carving</t>
        </is>
      </c>
      <c r="AG1055" t="inlineStr">
        <is>
          <t>Nordica Doberman Spitfire Ti FTD 165 + TPX 12 Red/Black One</t>
        </is>
      </c>
      <c r="AH1055" t="inlineStr">
        <is>
          <t>fruugo.com</t>
        </is>
      </c>
      <c r="AI1055" s="333" t="n">
        <v>574</v>
      </c>
      <c r="AJ1055" t="inlineStr">
        <is>
          <t>https://tinyurl.com/ycrf9rvl</t>
        </is>
      </c>
      <c r="AK1055" t="inlineStr">
        <is>
          <t>Nordica Enforcer 94 Unlimited Skis</t>
        </is>
      </c>
      <c r="AL1055" t="inlineStr">
        <is>
          <t>REI</t>
        </is>
      </c>
      <c r="AM1055" s="333" t="n">
        <v>799.95</v>
      </c>
      <c r="AN1055" t="inlineStr">
        <is>
          <t>https://tinyurl.com/yacxc6lh</t>
        </is>
      </c>
      <c r="AO1055" t="inlineStr">
        <is>
          <t>Nordica Enforcer 94 Unlimited Skis</t>
        </is>
      </c>
      <c r="AP1055" t="inlineStr">
        <is>
          <t>Level Nine Sports</t>
        </is>
      </c>
      <c r="AQ1055" s="333" t="n">
        <v>799.99</v>
      </c>
      <c r="AR1055" t="inlineStr">
        <is>
          <t>https://tinyurl.com/ybbjhscc</t>
        </is>
      </c>
      <c r="AS1055" s="314">
        <f>IF(LEFT(C1055,1)=" ",RIGHT(C1055,LEN(C1055)-1),C1055)</f>
        <v/>
      </c>
      <c r="AT1055" s="281">
        <f>_xlfn.CONCAT(B1055,AS1055,D1055,E1055)</f>
        <v/>
      </c>
    </row>
    <row r="1056">
      <c r="A1056" t="inlineStr">
        <is>
          <t>21/22</t>
        </is>
      </c>
      <c r="B1056" t="inlineStr">
        <is>
          <t xml:space="preserve"> Line</t>
        </is>
      </c>
      <c r="C1056" t="inlineStr">
        <is>
          <t>Pandora 104</t>
        </is>
      </c>
      <c r="D1056" t="n">
        <v>165</v>
      </c>
      <c r="E1056" t="inlineStr">
        <is>
          <t xml:space="preserve"> Women's</t>
        </is>
      </c>
      <c r="F1056" t="n">
        <v>165</v>
      </c>
      <c r="G1056" t="n">
        <v>160</v>
      </c>
      <c r="H1056" t="n">
        <v>98</v>
      </c>
      <c r="I1056" t="n">
        <v>126</v>
      </c>
      <c r="J1056" t="n">
        <v>143</v>
      </c>
      <c r="K1056" t="n">
        <v>109</v>
      </c>
      <c r="L1056" t="n">
        <v>129</v>
      </c>
      <c r="M1056" t="n">
        <v>14</v>
      </c>
      <c r="N1056" t="n">
        <v>1557</v>
      </c>
      <c r="O1056" t="n">
        <v>1.22</v>
      </c>
      <c r="P1056" t="n">
        <v>1902</v>
      </c>
      <c r="Q1056" t="n">
        <v>131</v>
      </c>
      <c r="R1056" t="n">
        <v>52</v>
      </c>
      <c r="S1056" t="n">
        <v>47</v>
      </c>
      <c r="T1056" t="n">
        <v>332</v>
      </c>
      <c r="U1056" t="n">
        <v>27</v>
      </c>
      <c r="V1056" t="n">
        <v>290</v>
      </c>
      <c r="W1056" t="n">
        <v>0.579</v>
      </c>
      <c r="X1056" t="n">
        <v>169</v>
      </c>
      <c r="Y1056" t="n">
        <v>168</v>
      </c>
      <c r="Z1056" t="n">
        <v>163</v>
      </c>
      <c r="AA1056" t="n">
        <v>5</v>
      </c>
      <c r="AB1056" t="n">
        <v>6.3</v>
      </c>
      <c r="AC1056" t="inlineStr">
        <is>
          <t xml:space="preserve"> Powder</t>
        </is>
      </c>
      <c r="AD1056" t="inlineStr">
        <is>
          <t xml:space="preserve"> Touring</t>
        </is>
      </c>
      <c r="AG1056" t="inlineStr">
        <is>
          <t>Line Pandora 104 Skis</t>
        </is>
      </c>
      <c r="AH1056" t="inlineStr">
        <is>
          <t>Backcountry Freeskier</t>
        </is>
      </c>
      <c r="AI1056" s="333" t="n">
        <v>449</v>
      </c>
      <c r="AJ1056" t="inlineStr">
        <is>
          <t>https://tinyurl.com/y98zst8a</t>
        </is>
      </c>
      <c r="AK1056" t="inlineStr">
        <is>
          <t>'22 Line Pandora 104 Skis 165cm</t>
        </is>
      </c>
      <c r="AL1056" t="inlineStr">
        <is>
          <t>Al's Ski Equipment Barn</t>
        </is>
      </c>
      <c r="AM1056" s="333" t="n">
        <v>549.95</v>
      </c>
      <c r="AN1056" t="inlineStr">
        <is>
          <t>https://tinyurl.com/yav9wgyb</t>
        </is>
      </c>
      <c r="AO1056" t="inlineStr">
        <is>
          <t>Line Pandora 104 Skis Women's 2022 - - 165 cm</t>
        </is>
      </c>
      <c r="AP1056" t="inlineStr">
        <is>
          <t>Skirack</t>
        </is>
      </c>
      <c r="AQ1056" s="333" t="n">
        <v>599.95</v>
      </c>
      <c r="AR1056" t="inlineStr">
        <is>
          <t>https://tinyurl.com/ybfeshyo</t>
        </is>
      </c>
      <c r="AS1056" s="314">
        <f>IF(LEFT(C1056,1)=" ",RIGHT(C1056,LEN(C1056)-1),C1056)</f>
        <v/>
      </c>
      <c r="AT1056" s="281">
        <f>_xlfn.CONCAT(B1056,AS1056,D1056,E1056)</f>
        <v/>
      </c>
    </row>
    <row r="1057">
      <c r="A1057" t="inlineStr">
        <is>
          <t>21/22</t>
        </is>
      </c>
      <c r="B1057" t="inlineStr">
        <is>
          <t xml:space="preserve"> Vï¿½lkl</t>
        </is>
      </c>
      <c r="C1057" t="inlineStr">
        <is>
          <t>Rise Beyond 96 W</t>
        </is>
      </c>
      <c r="D1057" t="n">
        <v>170</v>
      </c>
      <c r="E1057" t="inlineStr">
        <is>
          <t xml:space="preserve"> Women's</t>
        </is>
      </c>
      <c r="F1057" t="n">
        <v>170</v>
      </c>
      <c r="G1057" t="n">
        <v>169.7</v>
      </c>
      <c r="H1057" t="n">
        <v>133</v>
      </c>
      <c r="I1057" t="n">
        <v>149</v>
      </c>
      <c r="J1057" t="n">
        <v>137</v>
      </c>
      <c r="K1057" t="n">
        <v>95</v>
      </c>
      <c r="L1057" t="n">
        <v>118</v>
      </c>
      <c r="M1057" t="n">
        <v>16.2</v>
      </c>
      <c r="N1057" t="n">
        <v>1250</v>
      </c>
      <c r="O1057" t="n">
        <v>1.46</v>
      </c>
      <c r="P1057" t="n">
        <v>1828</v>
      </c>
      <c r="Q1057" t="n">
        <v>147</v>
      </c>
      <c r="R1057" t="n">
        <v>66</v>
      </c>
      <c r="S1057" t="n">
        <v>39</v>
      </c>
      <c r="T1057" t="n">
        <v>301</v>
      </c>
      <c r="U1057" t="n">
        <v>4</v>
      </c>
      <c r="V1057" t="n">
        <v>65</v>
      </c>
      <c r="W1057" t="n">
        <v>0.109</v>
      </c>
      <c r="X1057" t="n">
        <v>123</v>
      </c>
      <c r="Y1057" t="n">
        <v>89</v>
      </c>
      <c r="Z1057" t="n">
        <v>179</v>
      </c>
      <c r="AA1057" t="n">
        <v>4</v>
      </c>
      <c r="AB1057" t="n">
        <v>11.1</v>
      </c>
      <c r="AC1057" t="inlineStr">
        <is>
          <t xml:space="preserve"> Touring</t>
        </is>
      </c>
      <c r="AD1057" t="inlineStr">
        <is>
          <t xml:space="preserve"> Ultralight Touring</t>
        </is>
      </c>
      <c r="AG1057" t="inlineStr">
        <is>
          <t>Volkl Rise Beyond 96 W 170cm</t>
        </is>
      </c>
      <c r="AH1057" t="inlineStr">
        <is>
          <t>Sundance Ski and Board Shop</t>
        </is>
      </c>
      <c r="AI1057" s="333" t="n">
        <v>520.9299999999999</v>
      </c>
      <c r="AJ1057" t="inlineStr">
        <is>
          <t>https://tinyurl.com/yccm7gbu</t>
        </is>
      </c>
      <c r="AK1057" t="inlineStr">
        <is>
          <t>Volkl Women's Rise Beyond 96 Skis</t>
        </is>
      </c>
      <c r="AL1057" t="inlineStr">
        <is>
          <t>PRFO Sports</t>
        </is>
      </c>
      <c r="AM1057" s="333" t="n">
        <v>512.92</v>
      </c>
      <c r="AN1057" t="inlineStr">
        <is>
          <t>https://tinyurl.com/y7pu6an9</t>
        </is>
      </c>
      <c r="AO1057" t="inlineStr">
        <is>
          <t>Volkl Rise Beyond 96 Ski 2023</t>
        </is>
      </c>
      <c r="AP1057" t="inlineStr">
        <is>
          <t>Telemark Pyrenees</t>
        </is>
      </c>
      <c r="AQ1057" s="333" t="n">
        <v>640.87</v>
      </c>
      <c r="AR1057" t="inlineStr">
        <is>
          <t>https://tinyurl.com/y9v2jz6p</t>
        </is>
      </c>
      <c r="AS1057" s="314">
        <f>IF(LEFT(C1057,1)=" ",RIGHT(C1057,LEN(C1057)-1),C1057)</f>
        <v/>
      </c>
      <c r="AT1057" s="281">
        <f>_xlfn.CONCAT(B1057,AS1057,D1057,E1057)</f>
        <v/>
      </c>
    </row>
    <row r="1058">
      <c r="A1058" t="inlineStr">
        <is>
          <t>21/22</t>
        </is>
      </c>
      <c r="B1058" t="inlineStr">
        <is>
          <t xml:space="preserve"> Blizzard</t>
        </is>
      </c>
      <c r="C1058" t="inlineStr">
        <is>
          <t>Rustler 9</t>
        </is>
      </c>
      <c r="D1058" t="n">
        <v>188</v>
      </c>
      <c r="E1058" t="inlineStr">
        <is>
          <t xml:space="preserve"> Unisex</t>
        </is>
      </c>
      <c r="F1058" t="n">
        <v>188</v>
      </c>
      <c r="G1058" t="n">
        <v>186.7</v>
      </c>
      <c r="H1058" t="n">
        <v>129</v>
      </c>
      <c r="I1058" t="n">
        <v>158</v>
      </c>
      <c r="J1058" t="n">
        <v>127</v>
      </c>
      <c r="K1058" t="n">
        <v>93</v>
      </c>
      <c r="L1058" t="n">
        <v>116</v>
      </c>
      <c r="M1058" t="n">
        <v>19.4</v>
      </c>
      <c r="N1058" t="n">
        <v>2205</v>
      </c>
      <c r="O1058" t="n">
        <v>0.89</v>
      </c>
      <c r="P1058" t="n">
        <v>1954</v>
      </c>
      <c r="Q1058" t="n">
        <v>262</v>
      </c>
      <c r="R1058" t="n">
        <v>135</v>
      </c>
      <c r="S1058" t="n">
        <v>62</v>
      </c>
      <c r="T1058" t="n">
        <v>343</v>
      </c>
      <c r="U1058" t="n">
        <v>27</v>
      </c>
      <c r="V1058" t="n">
        <v>238</v>
      </c>
      <c r="W1058" t="n">
        <v>0.427</v>
      </c>
      <c r="X1058" t="n">
        <v>158</v>
      </c>
      <c r="Y1058" t="n">
        <v>131</v>
      </c>
      <c r="Z1058" t="n">
        <v>185</v>
      </c>
      <c r="AA1058" t="n">
        <v>5</v>
      </c>
      <c r="AB1058" t="n">
        <v>7.5</v>
      </c>
      <c r="AC1058" t="inlineStr">
        <is>
          <t xml:space="preserve"> Resort Freeride</t>
        </is>
      </c>
      <c r="AG1058" t="inlineStr">
        <is>
          <t>Blizzard Rustler 9 21/22</t>
        </is>
      </c>
      <c r="AH1058" t="inlineStr">
        <is>
          <t>Snowcountry.eu</t>
        </is>
      </c>
      <c r="AI1058" s="333" t="n">
        <v>322.61</v>
      </c>
      <c r="AJ1058" t="inlineStr">
        <is>
          <t>https://tinyurl.com/y9calrdz</t>
        </is>
      </c>
      <c r="AK1058" t="inlineStr">
        <is>
          <t>2022 Blizzard Rustler 9 Mens Skis</t>
        </is>
      </c>
      <c r="AL1058" t="inlineStr">
        <is>
          <t>eBay</t>
        </is>
      </c>
      <c r="AM1058" s="333" t="n">
        <v>440</v>
      </c>
      <c r="AN1058" t="inlineStr">
        <is>
          <t>https://tinyurl.com/ycfblaav</t>
        </is>
      </c>
      <c r="AO1058" t="inlineStr">
        <is>
          <t>Blizzard Rustler 9 Skis</t>
        </is>
      </c>
      <c r="AP1058" t="inlineStr">
        <is>
          <t>REI</t>
        </is>
      </c>
      <c r="AQ1058" s="333" t="n">
        <v>479.93</v>
      </c>
      <c r="AR1058" t="inlineStr">
        <is>
          <t>https://tinyurl.com/yahfoz3n</t>
        </is>
      </c>
      <c r="AS1058" s="314">
        <f>IF(LEFT(C1058,1)=" ",RIGHT(C1058,LEN(C1058)-1),C1058)</f>
        <v/>
      </c>
      <c r="AT1058" s="281">
        <f>_xlfn.CONCAT(B1058,AS1058,D1058,E1058)</f>
        <v/>
      </c>
    </row>
    <row r="1059">
      <c r="A1059" t="inlineStr">
        <is>
          <t>21/22</t>
        </is>
      </c>
      <c r="B1059" t="inlineStr">
        <is>
          <t xml:space="preserve"> Vï¿½lkl</t>
        </is>
      </c>
      <c r="C1059" t="inlineStr">
        <is>
          <t>Rise Above 88 W</t>
        </is>
      </c>
      <c r="D1059" t="n">
        <v>156</v>
      </c>
      <c r="E1059" t="inlineStr">
        <is>
          <t xml:space="preserve"> Women's</t>
        </is>
      </c>
      <c r="F1059" t="n">
        <v>156</v>
      </c>
      <c r="G1059" t="n">
        <v>154.6</v>
      </c>
      <c r="H1059" t="n">
        <v>127</v>
      </c>
      <c r="I1059" t="n">
        <v>132</v>
      </c>
      <c r="J1059" t="n">
        <v>130</v>
      </c>
      <c r="K1059" t="n">
        <v>87</v>
      </c>
      <c r="L1059" t="n">
        <v>111</v>
      </c>
      <c r="M1059" t="n">
        <v>12.7</v>
      </c>
      <c r="N1059" t="n">
        <v>1111</v>
      </c>
      <c r="O1059" t="n">
        <v>1.4</v>
      </c>
      <c r="P1059" t="n">
        <v>1555</v>
      </c>
      <c r="Q1059" t="n">
        <v>135</v>
      </c>
      <c r="R1059" t="n">
        <v>59</v>
      </c>
      <c r="S1059" t="n">
        <v>42</v>
      </c>
      <c r="T1059" t="n">
        <v>212</v>
      </c>
      <c r="U1059" t="n">
        <v>4</v>
      </c>
      <c r="V1059" t="n">
        <v>65</v>
      </c>
      <c r="W1059" t="n">
        <v>0.104</v>
      </c>
      <c r="X1059" t="n">
        <v>131</v>
      </c>
      <c r="Y1059" t="n">
        <v>93</v>
      </c>
      <c r="Z1059" t="n">
        <v>81</v>
      </c>
      <c r="AA1059" t="n">
        <v>5</v>
      </c>
      <c r="AB1059" t="n">
        <v>11.4</v>
      </c>
      <c r="AC1059" t="inlineStr">
        <is>
          <t xml:space="preserve"> Touring</t>
        </is>
      </c>
      <c r="AD1059" t="inlineStr">
        <is>
          <t xml:space="preserve"> Ultralight Touring</t>
        </is>
      </c>
      <c r="AG1059" t="inlineStr">
        <is>
          <t>VÃ¶lkl Rise Above 88 Touring Skis 156</t>
        </is>
      </c>
      <c r="AH1059" t="inlineStr">
        <is>
          <t>! OutdoorXL.com</t>
        </is>
      </c>
      <c r="AI1059" s="333" t="n">
        <v>489.95</v>
      </c>
      <c r="AJ1059" t="inlineStr">
        <is>
          <t>https://tinyurl.com/y8f8jucz</t>
        </is>
      </c>
      <c r="AK1059" t="inlineStr">
        <is>
          <t>VÃ¶lkl Rise Above 88 Touring Skis 156</t>
        </is>
      </c>
      <c r="AL1059" t="inlineStr">
        <is>
          <t>SkiEssentials.com</t>
        </is>
      </c>
      <c r="AM1059" s="333" t="n">
        <v>519.99</v>
      </c>
      <c r="AN1059" t="inlineStr">
        <is>
          <t>https://tinyurl.com/y7hnkqhx</t>
        </is>
      </c>
      <c r="AO1059" t="inlineStr">
        <is>
          <t>Volkl Rise Above 88 Ski - Women - 156cm</t>
        </is>
      </c>
      <c r="AP1059" t="inlineStr">
        <is>
          <t>Snowcountry.eu</t>
        </is>
      </c>
      <c r="AQ1059" s="333" t="n">
        <v>419.41</v>
      </c>
      <c r="AR1059" t="inlineStr">
        <is>
          <t>https://tinyurl.com/y78r2lev</t>
        </is>
      </c>
      <c r="AS1059" s="314">
        <f>IF(LEFT(C1059,1)=" ",RIGHT(C1059,LEN(C1059)-1),C1059)</f>
        <v/>
      </c>
      <c r="AT1059" s="281">
        <f>_xlfn.CONCAT(B1059,AS1059,D1059,E1059)</f>
        <v/>
      </c>
    </row>
    <row r="1060">
      <c r="A1060" t="inlineStr">
        <is>
          <t>21/22</t>
        </is>
      </c>
      <c r="B1060" t="inlineStr">
        <is>
          <t xml:space="preserve"> Stï¿½ckli</t>
        </is>
      </c>
      <c r="C1060" t="inlineStr">
        <is>
          <t xml:space="preserve"> Laser AR</t>
        </is>
      </c>
      <c r="D1060" t="n">
        <v>175</v>
      </c>
      <c r="E1060" t="inlineStr">
        <is>
          <t xml:space="preserve"> Unisex</t>
        </is>
      </c>
      <c r="F1060" t="n">
        <v>175</v>
      </c>
      <c r="G1060" t="n">
        <v>174.2</v>
      </c>
      <c r="H1060" t="n">
        <v>149</v>
      </c>
      <c r="I1060" t="n">
        <v>159</v>
      </c>
      <c r="J1060" t="n">
        <v>130</v>
      </c>
      <c r="K1060" t="n">
        <v>82</v>
      </c>
      <c r="L1060" t="n">
        <v>112</v>
      </c>
      <c r="M1060" t="n">
        <v>16.2</v>
      </c>
      <c r="N1060" t="n">
        <v>1927</v>
      </c>
      <c r="O1060" t="n">
        <v>0.87</v>
      </c>
      <c r="P1060" t="n">
        <v>1679</v>
      </c>
      <c r="Q1060" t="n">
        <v>220</v>
      </c>
      <c r="R1060" t="n">
        <v>128</v>
      </c>
      <c r="S1060" t="n">
        <v>42</v>
      </c>
      <c r="T1060" t="n">
        <v>185</v>
      </c>
      <c r="U1060" t="n">
        <v>5</v>
      </c>
      <c r="V1060" t="n">
        <v>64</v>
      </c>
      <c r="W1060" t="n">
        <v>0.114</v>
      </c>
      <c r="X1060" t="n">
        <v>97</v>
      </c>
      <c r="Y1060" t="n">
        <v>54</v>
      </c>
      <c r="Z1060" t="n">
        <v>88</v>
      </c>
      <c r="AA1060" t="n">
        <v>9</v>
      </c>
      <c r="AB1060" t="n">
        <v>14.4</v>
      </c>
      <c r="AC1060" t="inlineStr">
        <is>
          <t xml:space="preserve"> On-Piste Carving</t>
        </is>
      </c>
      <c r="AD1060" t="inlineStr">
        <is>
          <t xml:space="preserve"> Resort Freeride</t>
        </is>
      </c>
      <c r="AG1060" t="inlineStr">
        <is>
          <t>Stockli Montero AR Skis 2023 175</t>
        </is>
      </c>
      <c r="AH1060" t="inlineStr">
        <is>
          <t>Ski Depot RaceSkis.com</t>
        </is>
      </c>
      <c r="AI1060" s="333" t="n">
        <v>1349</v>
      </c>
      <c r="AJ1060" t="inlineStr">
        <is>
          <t>https://tinyurl.com/y9sah6jl</t>
        </is>
      </c>
      <c r="AS1060" s="314">
        <f>IF(LEFT(C1060,1)=" ",RIGHT(C1060,LEN(C1060)-1),C1060)</f>
        <v/>
      </c>
      <c r="AT1060" s="281">
        <f>_xlfn.CONCAT(B1060,AS1060,D1060,E1060)</f>
        <v/>
      </c>
    </row>
    <row r="1061">
      <c r="A1061" t="inlineStr">
        <is>
          <t>21/22</t>
        </is>
      </c>
      <c r="B1061" t="inlineStr">
        <is>
          <t xml:space="preserve"> Faction</t>
        </is>
      </c>
      <c r="C1061" t="inlineStr">
        <is>
          <t>Prodigy 0.0 X</t>
        </is>
      </c>
      <c r="D1061" t="n">
        <v>150</v>
      </c>
      <c r="E1061" t="inlineStr">
        <is>
          <t xml:space="preserve"> Women's</t>
        </is>
      </c>
      <c r="F1061" t="n">
        <v>150</v>
      </c>
      <c r="G1061" t="n">
        <v>148</v>
      </c>
      <c r="H1061" t="n">
        <v>104</v>
      </c>
      <c r="I1061" t="n">
        <v>122</v>
      </c>
      <c r="J1061" t="n">
        <v>116</v>
      </c>
      <c r="K1061" t="n">
        <v>84</v>
      </c>
      <c r="L1061" t="n">
        <v>108</v>
      </c>
      <c r="M1061" t="n">
        <v>11.9</v>
      </c>
      <c r="N1061" t="n">
        <v>1451</v>
      </c>
      <c r="O1061" t="n">
        <v>0.98</v>
      </c>
      <c r="P1061" t="n">
        <v>1416</v>
      </c>
      <c r="Q1061" t="n">
        <v>124</v>
      </c>
      <c r="R1061" t="n">
        <v>51</v>
      </c>
      <c r="S1061" t="n">
        <v>46</v>
      </c>
      <c r="T1061" t="n">
        <v>243</v>
      </c>
      <c r="U1061" t="n">
        <v>38</v>
      </c>
      <c r="V1061" t="n">
        <v>194</v>
      </c>
      <c r="W1061" t="n">
        <v>0.8139999999999999</v>
      </c>
      <c r="X1061" t="n">
        <v>135</v>
      </c>
      <c r="Y1061" t="n">
        <v>122</v>
      </c>
      <c r="Z1061" t="n">
        <v>108</v>
      </c>
      <c r="AA1061" t="n">
        <v>8</v>
      </c>
      <c r="AB1061" t="n">
        <v>6.4</v>
      </c>
      <c r="AC1061" t="inlineStr">
        <is>
          <t xml:space="preserve"> Resort Freeride</t>
        </is>
      </c>
      <c r="AD1061" t="inlineStr">
        <is>
          <t xml:space="preserve"> Freeski</t>
        </is>
      </c>
      <c r="AG1061" t="inlineStr">
        <is>
          <t>Faction Prodigy 0.0 with M10 GW Binding Skis</t>
        </is>
      </c>
      <c r="AH1061" t="inlineStr">
        <is>
          <t>Gorham Bike and Ski</t>
        </is>
      </c>
      <c r="AI1061" s="333" t="n">
        <v>314.99</v>
      </c>
      <c r="AJ1061" t="inlineStr">
        <is>
          <t>https://tinyurl.com/ya688thx</t>
        </is>
      </c>
      <c r="AK1061" t="inlineStr">
        <is>
          <t>Faction Prodigy 0.0X Women's Ski 2022 - 150</t>
        </is>
      </c>
      <c r="AL1061" t="inlineStr">
        <is>
          <t>Backcountry.com</t>
        </is>
      </c>
      <c r="AM1061" s="333" t="n">
        <v>230.27</v>
      </c>
      <c r="AN1061" t="inlineStr">
        <is>
          <t>https://tinyurl.com/ycnksc5a</t>
        </is>
      </c>
      <c r="AO1061" t="inlineStr">
        <is>
          <t>Faction Prodigy 0.0X Women's Ski 2022 - 150</t>
        </is>
      </c>
      <c r="AP1061" t="inlineStr">
        <is>
          <t>Gear West Ski &amp; Bike</t>
        </is>
      </c>
      <c r="AQ1061" s="333" t="n">
        <v>329</v>
      </c>
      <c r="AR1061" t="inlineStr">
        <is>
          <t>https://tinyurl.com/y72bwnel</t>
        </is>
      </c>
      <c r="AS1061" s="314">
        <f>IF(LEFT(C1061,1)=" ",RIGHT(C1061,LEN(C1061)-1),C1061)</f>
        <v/>
      </c>
      <c r="AT1061" s="281">
        <f>_xlfn.CONCAT(B1061,AS1061,D1061,E1061)</f>
        <v/>
      </c>
    </row>
    <row r="1062">
      <c r="A1062" t="inlineStr">
        <is>
          <t>21/22</t>
        </is>
      </c>
      <c r="B1062" t="inlineStr">
        <is>
          <t xml:space="preserve"> Dynafit</t>
        </is>
      </c>
      <c r="C1062" t="inlineStr">
        <is>
          <t>Blacklight 88</t>
        </is>
      </c>
      <c r="D1062" t="n">
        <v>158</v>
      </c>
      <c r="E1062" t="inlineStr">
        <is>
          <t xml:space="preserve"> Unisex</t>
        </is>
      </c>
      <c r="F1062" t="n">
        <v>158</v>
      </c>
      <c r="G1062" t="n">
        <v>156</v>
      </c>
      <c r="H1062" t="n">
        <v>110</v>
      </c>
      <c r="I1062" t="n">
        <v>133</v>
      </c>
      <c r="J1062" t="n">
        <v>120</v>
      </c>
      <c r="K1062" t="n">
        <v>85</v>
      </c>
      <c r="L1062" t="n">
        <v>108</v>
      </c>
      <c r="M1062" t="n">
        <v>14.9</v>
      </c>
      <c r="N1062" t="n">
        <v>1056</v>
      </c>
      <c r="O1062" t="n">
        <v>1.41</v>
      </c>
      <c r="P1062" t="n">
        <v>1491</v>
      </c>
      <c r="Q1062" t="n">
        <v>204</v>
      </c>
      <c r="R1062" t="n">
        <v>71</v>
      </c>
      <c r="S1062" t="n">
        <v>54</v>
      </c>
      <c r="T1062" t="n">
        <v>304</v>
      </c>
      <c r="U1062" t="n">
        <v>11</v>
      </c>
      <c r="V1062" t="n">
        <v>152</v>
      </c>
      <c r="W1062" t="n">
        <v>0.196999999999999</v>
      </c>
      <c r="X1062" t="n">
        <v>137</v>
      </c>
      <c r="Y1062" t="n">
        <v>90</v>
      </c>
      <c r="Z1062" t="n">
        <v>168</v>
      </c>
      <c r="AA1062" t="n">
        <v>5</v>
      </c>
      <c r="AB1062" t="n">
        <v>12.3</v>
      </c>
      <c r="AC1062" t="inlineStr">
        <is>
          <t xml:space="preserve"> Touring</t>
        </is>
      </c>
      <c r="AD1062" t="inlineStr">
        <is>
          <t xml:space="preserve"> Ultralight Touring</t>
        </is>
      </c>
      <c r="AG1062" t="inlineStr">
        <is>
          <t>Dynafit Blacklight 88 W Alpine Touring Ski 158</t>
        </is>
      </c>
      <c r="AH1062" t="inlineStr">
        <is>
          <t>Cripple Creek Backcountry</t>
        </is>
      </c>
      <c r="AI1062" s="333" t="n">
        <v>549.95</v>
      </c>
      <c r="AJ1062" t="inlineStr">
        <is>
      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      </is>
      </c>
      <c r="AK1062" t="inlineStr">
        <is>
          <t>Dynafit Blacklight 88 Ski Touring (Black/Blue)</t>
        </is>
      </c>
      <c r="AL1062" t="inlineStr">
        <is>
          <t>Curated</t>
        </is>
      </c>
      <c r="AM1062" s="333" t="n">
        <v>559.99</v>
      </c>
      <c r="AN1062" t="inlineStr">
        <is>
          <t>https://tinyurl.com/y9x7tflt</t>
        </is>
      </c>
      <c r="AO1062" t="inlineStr">
        <is>
          <t>Dynafit Blacklight 88 Ski Touring (Black/Blue)</t>
        </is>
      </c>
      <c r="AP1062" t="inlineStr">
        <is>
          <t>Idaho Mountain Touring</t>
        </is>
      </c>
      <c r="AQ1062" s="333" t="n">
        <v>599.95</v>
      </c>
      <c r="AR1062" t="inlineStr">
        <is>
          <t>https://tinyurl.com/y8y2smxh</t>
        </is>
      </c>
      <c r="AS1062" s="314">
        <f>IF(LEFT(C1062,1)=" ",RIGHT(C1062,LEN(C1062)-1),C1062)</f>
        <v/>
      </c>
      <c r="AT1062" s="281">
        <f>_xlfn.CONCAT(B1062,AS1062,D1062,E1062)</f>
        <v/>
      </c>
    </row>
    <row r="1063">
      <c r="A1063" t="inlineStr">
        <is>
          <t>21/22</t>
        </is>
      </c>
      <c r="B1063" t="inlineStr">
        <is>
          <t xml:space="preserve"> Head</t>
        </is>
      </c>
      <c r="C1063" t="inlineStr">
        <is>
          <t xml:space="preserve"> Worldcup Rebels I.SLR</t>
        </is>
      </c>
      <c r="D1063" t="n">
        <v>150</v>
      </c>
      <c r="E1063" t="inlineStr">
        <is>
          <t xml:space="preserve"> Unisex</t>
        </is>
      </c>
      <c r="F1063" t="n">
        <v>150</v>
      </c>
      <c r="G1063" t="n">
        <v>149</v>
      </c>
      <c r="H1063" t="n">
        <v>129</v>
      </c>
      <c r="I1063" t="n">
        <v>135</v>
      </c>
      <c r="J1063" t="n">
        <v>119</v>
      </c>
      <c r="K1063" t="n">
        <v>64</v>
      </c>
      <c r="L1063" t="n">
        <v>104</v>
      </c>
      <c r="M1063" t="n">
        <v>9.4</v>
      </c>
      <c r="N1063" t="n">
        <v>1708</v>
      </c>
      <c r="O1063" t="n">
        <v>0.71</v>
      </c>
      <c r="P1063" t="n">
        <v>1221</v>
      </c>
      <c r="Q1063" t="n">
        <v>123</v>
      </c>
      <c r="R1063" t="n">
        <v>58</v>
      </c>
      <c r="S1063" t="n">
        <v>43</v>
      </c>
      <c r="T1063" t="n">
        <v>141</v>
      </c>
      <c r="U1063" t="n">
        <v>5</v>
      </c>
      <c r="V1063" t="n">
        <v>54</v>
      </c>
      <c r="W1063" t="n">
        <v>0.122</v>
      </c>
      <c r="X1063" t="n">
        <v>78</v>
      </c>
      <c r="Y1063" t="n">
        <v>59</v>
      </c>
      <c r="Z1063" t="n">
        <v>63</v>
      </c>
      <c r="AA1063" t="n">
        <v>9</v>
      </c>
      <c r="AB1063" t="n">
        <v>12.4</v>
      </c>
      <c r="AC1063" t="inlineStr">
        <is>
          <t xml:space="preserve"> On-Piste Carving</t>
        </is>
      </c>
      <c r="AG1063" t="inlineStr">
        <is>
          <t>Head WC Rebels Isl RD Team Ski - Size 150 - 314030</t>
        </is>
      </c>
      <c r="AH1063" t="inlineStr">
        <is>
          <t>Gear West Ski &amp; Bike</t>
        </is>
      </c>
      <c r="AI1063" s="333" t="n">
        <v>549</v>
      </c>
      <c r="AJ1063" t="inlineStr">
        <is>
          <t>https://tinyurl.com/ya9kmbbr</t>
        </is>
      </c>
      <c r="AK1063" t="inlineStr">
        <is>
          <t>Head WC Rebels Isl RD Team Ski - Size 150 - 314030</t>
        </is>
      </c>
      <c r="AL1063" t="inlineStr">
        <is>
          <t>BlueZone Sports</t>
        </is>
      </c>
      <c r="AM1063" s="333" t="n">
        <v>549</v>
      </c>
      <c r="AN1063" t="inlineStr">
        <is>
          <t>https://tinyurl.com/ydcllr97</t>
        </is>
      </c>
      <c r="AO1063" t="inlineStr">
        <is>
          <t>Head 150cm Pretuned Racing Base Laser Controlled Carve 7 Skis</t>
        </is>
      </c>
      <c r="AP1063" t="inlineStr">
        <is>
          <t>eBay</t>
        </is>
      </c>
      <c r="AQ1063" s="333" t="n">
        <v>80</v>
      </c>
      <c r="AR1063" t="inlineStr">
        <is>
          <t>https://tinyurl.com/y8yy3a8f</t>
        </is>
      </c>
      <c r="AS1063" s="314">
        <f>IF(LEFT(C1063,1)=" ",RIGHT(C1063,LEN(C1063)-1),C1063)</f>
        <v/>
      </c>
      <c r="AT1063" s="281">
        <f>_xlfn.CONCAT(B1063,AS1063,D1063,E1063)</f>
        <v/>
      </c>
    </row>
    <row r="1064">
      <c r="A1064" t="inlineStr">
        <is>
          <t>21/22</t>
        </is>
      </c>
      <c r="B1064" t="inlineStr">
        <is>
          <t xml:space="preserve"> Vï¿½lkl</t>
        </is>
      </c>
      <c r="C1064" t="inlineStr">
        <is>
          <t>Yumi 84</t>
        </is>
      </c>
      <c r="D1064" t="n">
        <v>154</v>
      </c>
      <c r="E1064" t="inlineStr">
        <is>
          <t xml:space="preserve"> Women's</t>
        </is>
      </c>
      <c r="F1064" t="n">
        <v>154</v>
      </c>
      <c r="G1064" t="n">
        <v>156.2</v>
      </c>
      <c r="H1064" t="n">
        <v>107</v>
      </c>
      <c r="I1064" t="n">
        <v>132</v>
      </c>
      <c r="J1064" t="n">
        <v>124</v>
      </c>
      <c r="K1064" t="n">
        <v>83</v>
      </c>
      <c r="L1064" t="n">
        <v>106</v>
      </c>
      <c r="M1064" t="n">
        <v>13.1</v>
      </c>
      <c r="N1064" t="n">
        <v>1349</v>
      </c>
      <c r="O1064" t="n">
        <v>1.11</v>
      </c>
      <c r="P1064" t="n">
        <v>1503</v>
      </c>
      <c r="Q1064" t="n">
        <v>163</v>
      </c>
      <c r="R1064" t="n">
        <v>60</v>
      </c>
      <c r="S1064" t="n">
        <v>42</v>
      </c>
      <c r="T1064" t="n">
        <v>287</v>
      </c>
      <c r="U1064" t="n">
        <v>16</v>
      </c>
      <c r="V1064" t="n">
        <v>201</v>
      </c>
      <c r="W1064" t="n">
        <v>0.368</v>
      </c>
      <c r="X1064" t="n">
        <v>135</v>
      </c>
      <c r="Y1064" t="n">
        <v>102</v>
      </c>
      <c r="Z1064" t="n">
        <v>152</v>
      </c>
      <c r="AA1064" t="n">
        <v>2</v>
      </c>
      <c r="AB1064" t="n">
        <v>11.6</v>
      </c>
      <c r="AC1064" t="inlineStr">
        <is>
          <t xml:space="preserve"> On-Piste All-Mountain</t>
        </is>
      </c>
      <c r="AD1064" t="inlineStr">
        <is>
          <t xml:space="preserve"> Resort Freeride</t>
        </is>
      </c>
      <c r="AE1064" t="inlineStr">
        <is>
          <t xml:space="preserve"> Touring</t>
        </is>
      </c>
      <c r="AG1064" t="inlineStr">
        <is>
          <t>Volkl Ladies' Yumi 84 Flat Ski 2020-2021 | BLACK/RED / 154</t>
        </is>
      </c>
      <c r="AH1064" t="inlineStr">
        <is>
          <t>Ski Pro  - Snow Ski &amp; Snowboard</t>
        </is>
      </c>
      <c r="AI1064" s="333" t="n">
        <v>479.95</v>
      </c>
      <c r="AJ1064" t="inlineStr">
        <is>
          <t>https://tinyurl.com/yd6smb8m</t>
        </is>
      </c>
      <c r="AK1064" t="inlineStr">
        <is>
          <t>Volkl Yumi 84</t>
        </is>
      </c>
      <c r="AL1064" t="inlineStr">
        <is>
          <t>Buyr.com</t>
        </is>
      </c>
      <c r="AM1064" s="333" t="n">
        <v>599.99</v>
      </c>
      <c r="AN1064" t="inlineStr">
        <is>
          <t>https://tinyurl.com/yagyt3g3</t>
        </is>
      </c>
      <c r="AO1064" t="inlineStr">
        <is>
          <t>Volkl Yumi 84</t>
        </is>
      </c>
      <c r="AP1064" t="inlineStr">
        <is>
          <t>Gear West Ski &amp; Bike</t>
        </is>
      </c>
      <c r="AQ1064" s="333" t="n">
        <v>599.99</v>
      </c>
      <c r="AR1064" t="inlineStr">
        <is>
          <t>https://tinyurl.com/y8ay65rl</t>
        </is>
      </c>
      <c r="AS1064" s="314">
        <f>IF(LEFT(C1064,1)=" ",RIGHT(C1064,LEN(C1064)-1),C1064)</f>
        <v/>
      </c>
      <c r="AT1064" s="281">
        <f>_xlfn.CONCAT(B1064,AS1064,D1064,E1064)</f>
        <v/>
      </c>
    </row>
    <row r="1065">
      <c r="A1065" t="inlineStr">
        <is>
          <t>21/22</t>
        </is>
      </c>
      <c r="B1065" t="inlineStr">
        <is>
          <t xml:space="preserve"> Elan</t>
        </is>
      </c>
      <c r="C1065" t="inlineStr">
        <is>
          <t>Ripstick 88</t>
        </is>
      </c>
      <c r="D1065" t="n">
        <v>164</v>
      </c>
      <c r="E1065" t="inlineStr">
        <is>
          <t xml:space="preserve"> Unisex</t>
        </is>
      </c>
      <c r="F1065" t="n">
        <v>164</v>
      </c>
      <c r="G1065" t="n">
        <v>163.8</v>
      </c>
      <c r="H1065" t="n">
        <v>125</v>
      </c>
      <c r="I1065" t="n">
        <v>134</v>
      </c>
      <c r="J1065" t="n">
        <v>129</v>
      </c>
      <c r="K1065" t="n">
        <v>87</v>
      </c>
      <c r="L1065" t="n">
        <v>104</v>
      </c>
      <c r="M1065" t="n">
        <v>14.2</v>
      </c>
      <c r="N1065" t="n">
        <v>1383</v>
      </c>
      <c r="O1065" t="n">
        <v>1.19</v>
      </c>
      <c r="P1065" t="n">
        <v>1644</v>
      </c>
      <c r="Q1065" t="n">
        <v>136</v>
      </c>
      <c r="R1065" t="n">
        <v>57</v>
      </c>
      <c r="S1065" t="n">
        <v>48</v>
      </c>
      <c r="T1065" t="n">
        <v>229</v>
      </c>
      <c r="U1065" t="n">
        <v>13</v>
      </c>
      <c r="V1065" t="n">
        <v>160</v>
      </c>
      <c r="W1065" t="n">
        <v>0.263</v>
      </c>
      <c r="X1065" t="n">
        <v>159</v>
      </c>
      <c r="Y1065" t="n">
        <v>141</v>
      </c>
      <c r="Z1065" t="n">
        <v>70</v>
      </c>
      <c r="AA1065" t="n">
        <v>5</v>
      </c>
      <c r="AB1065" t="n">
        <v>9.6</v>
      </c>
      <c r="AC1065" t="inlineStr">
        <is>
          <t xml:space="preserve"> Resort Freeride</t>
        </is>
      </c>
      <c r="AD1065" t="inlineStr">
        <is>
          <t xml:space="preserve"> Touring</t>
        </is>
      </c>
      <c r="AG1065" t="inlineStr">
        <is>
          <t>Elan Ripstick 88 PS Blue-Red 164 Ski Men</t>
        </is>
      </c>
      <c r="AH1065" t="inlineStr">
        <is>
          <t>! OutdoorXL.com</t>
        </is>
      </c>
      <c r="AI1065" s="333" t="n">
        <v>509.95</v>
      </c>
      <c r="AJ1065" t="inlineStr">
        <is>
          <t>https://tinyurl.com/y8p8dcgs</t>
        </is>
      </c>
      <c r="AK1065" t="inlineStr">
        <is>
          <t>2023 Elan Ripstick Tour 94 Skis w/ ATK C-Raider 12 Bindings - 164| Ski Essentials</t>
        </is>
      </c>
      <c r="AL1065" t="inlineStr">
        <is>
          <t>SkiEssentials.com</t>
        </is>
      </c>
      <c r="AM1065" s="333" t="n">
        <v>1444.95</v>
      </c>
      <c r="AN1065" t="inlineStr">
        <is>
          <t>https://tinyurl.com/yb84qqw3</t>
        </is>
      </c>
      <c r="AO1065" t="inlineStr">
        <is>
          <t>Elan Ripstick 96 Skis</t>
        </is>
      </c>
      <c r="AP1065" t="inlineStr">
        <is>
          <t>eBay - cashinwhi</t>
        </is>
      </c>
      <c r="AQ1065" s="333" t="n">
        <v>439.62</v>
      </c>
      <c r="AR1065" t="inlineStr">
        <is>
          <t>https://tinyurl.com/y8or8hec</t>
        </is>
      </c>
      <c r="AS1065" s="314">
        <f>IF(LEFT(C1065,1)=" ",RIGHT(C1065,LEN(C1065)-1),C1065)</f>
        <v/>
      </c>
      <c r="AT1065" s="281">
        <f>_xlfn.CONCAT(B1065,AS1065,D1065,E1065)</f>
        <v/>
      </c>
    </row>
    <row r="1066">
      <c r="A1066" t="inlineStr">
        <is>
          <t>21/22</t>
        </is>
      </c>
      <c r="B1066" t="inlineStr">
        <is>
          <t xml:space="preserve"> Dynafit</t>
        </is>
      </c>
      <c r="C1066" t="inlineStr">
        <is>
          <t>Blacklight 80</t>
        </is>
      </c>
      <c r="D1066" t="n">
        <v>165</v>
      </c>
      <c r="E1066" t="inlineStr">
        <is>
          <t xml:space="preserve"> Unisex</t>
        </is>
      </c>
      <c r="F1066" t="n">
        <v>165</v>
      </c>
      <c r="G1066" t="n">
        <v>162.9</v>
      </c>
      <c r="H1066" t="n">
        <v>122</v>
      </c>
      <c r="I1066" t="n">
        <v>140</v>
      </c>
      <c r="J1066" t="n">
        <v>114</v>
      </c>
      <c r="K1066" t="n">
        <v>78</v>
      </c>
      <c r="L1066" t="n">
        <v>98</v>
      </c>
      <c r="M1066" t="n">
        <v>17.4</v>
      </c>
      <c r="N1066" t="n">
        <v>1053</v>
      </c>
      <c r="O1066" t="n">
        <v>1.37</v>
      </c>
      <c r="P1066" t="n">
        <v>1440</v>
      </c>
      <c r="Q1066" t="n">
        <v>218</v>
      </c>
      <c r="R1066" t="n">
        <v>73</v>
      </c>
      <c r="S1066" t="n">
        <v>58</v>
      </c>
      <c r="T1066" t="n">
        <v>258</v>
      </c>
      <c r="U1066" t="n">
        <v>12</v>
      </c>
      <c r="V1066" t="n">
        <v>152</v>
      </c>
      <c r="W1066" t="n">
        <v>0.198999999999999</v>
      </c>
      <c r="X1066" t="n">
        <v>135</v>
      </c>
      <c r="Y1066" t="n">
        <v>91</v>
      </c>
      <c r="Z1066" t="n">
        <v>122</v>
      </c>
      <c r="AA1066" t="n">
        <v>4</v>
      </c>
      <c r="AB1066" t="n">
        <v>12.1</v>
      </c>
      <c r="AC1066" t="inlineStr">
        <is>
          <t xml:space="preserve"> Touring</t>
        </is>
      </c>
      <c r="AD1066" t="inlineStr">
        <is>
          <t xml:space="preserve"> Ultralight Touring</t>
        </is>
      </c>
      <c r="AG1066" t="inlineStr">
        <is>
          <t>Dynafit Blacklight 80</t>
        </is>
      </c>
      <c r="AH1066" t="inlineStr">
        <is>
          <t>eBay - backcountry</t>
        </is>
      </c>
      <c r="AI1066" s="333" t="n">
        <v>389.97</v>
      </c>
      <c r="AJ1066" t="inlineStr">
        <is>
          <t>https://tinyurl.com/y8o6c6d9</t>
        </is>
      </c>
      <c r="AK1066" t="inlineStr">
        <is>
          <t>Dynafit Blacklight 80</t>
        </is>
      </c>
      <c r="AL1066" t="inlineStr">
        <is>
          <t>Backcountry.com</t>
        </is>
      </c>
      <c r="AM1066" s="333" t="n">
        <v>422.47</v>
      </c>
      <c r="AN1066" t="inlineStr">
        <is>
          <t>https://tinyurl.com/ybynkyrr</t>
        </is>
      </c>
      <c r="AO1066" t="inlineStr">
        <is>
          <t>Dynafit Blacklight 80</t>
        </is>
      </c>
      <c r="AP1066" t="inlineStr">
        <is>
          <t>AlpinStore</t>
        </is>
      </c>
      <c r="AQ1066" s="333" t="n">
        <v>475.92</v>
      </c>
      <c r="AR1066" t="inlineStr">
        <is>
          <t>https://tinyurl.com/ya8pnj9g</t>
        </is>
      </c>
      <c r="AS1066" s="314">
        <f>IF(LEFT(C1066,1)=" ",RIGHT(C1066,LEN(C1066)-1),C1066)</f>
        <v/>
      </c>
      <c r="AT1066" s="281">
        <f>_xlfn.CONCAT(B1066,AS1066,D1066,E1066)</f>
        <v/>
      </c>
    </row>
    <row r="1067">
      <c r="A1067" t="inlineStr">
        <is>
          <t>21/22</t>
        </is>
      </c>
      <c r="B1067" t="inlineStr">
        <is>
          <t xml:space="preserve"> Blizzard</t>
        </is>
      </c>
      <c r="C1067" t="inlineStr">
        <is>
          <t>Brahma 88</t>
        </is>
      </c>
      <c r="D1067" t="n">
        <v>183</v>
      </c>
      <c r="E1067" t="inlineStr">
        <is>
          <t xml:space="preserve"> Unisex</t>
        </is>
      </c>
      <c r="F1067" t="n">
        <v>183</v>
      </c>
      <c r="G1067" t="n">
        <v>181.8</v>
      </c>
      <c r="H1067" t="n">
        <v>152</v>
      </c>
      <c r="I1067" t="n">
        <v>159</v>
      </c>
      <c r="J1067" t="n">
        <v>128</v>
      </c>
      <c r="K1067" t="n">
        <v>86</v>
      </c>
      <c r="L1067" t="n">
        <v>110</v>
      </c>
      <c r="M1067" t="n">
        <v>18.8</v>
      </c>
      <c r="N1067" t="n">
        <v>2198</v>
      </c>
      <c r="O1067" t="n">
        <v>0.82</v>
      </c>
      <c r="P1067" t="n">
        <v>1796</v>
      </c>
      <c r="Q1067" t="n">
        <v>229</v>
      </c>
      <c r="R1067" t="n">
        <v>127</v>
      </c>
      <c r="S1067" t="n">
        <v>51</v>
      </c>
      <c r="T1067" t="n">
        <v>205</v>
      </c>
      <c r="U1067" t="n">
        <v>5</v>
      </c>
      <c r="V1067" t="n">
        <v>89</v>
      </c>
      <c r="W1067" t="n">
        <v>0.095</v>
      </c>
      <c r="X1067" t="n">
        <v>122</v>
      </c>
      <c r="Y1067" t="n">
        <v>106</v>
      </c>
      <c r="Z1067" t="n">
        <v>83</v>
      </c>
      <c r="AA1067" t="n">
        <v>11</v>
      </c>
      <c r="AB1067" t="n">
        <v>11.1</v>
      </c>
      <c r="AC1067" t="inlineStr">
        <is>
          <t xml:space="preserve"> Resort Freeride</t>
        </is>
      </c>
      <c r="AG1067" t="inlineStr">
        <is>
          <t>2021 Blizzard Brahma 88 with Marker Griffon Bindings - 183cm - DEMO SKIS</t>
        </is>
      </c>
      <c r="AH1067" t="inlineStr">
        <is>
          <t>Race Room Skis</t>
        </is>
      </c>
      <c r="AI1067" s="333" t="n">
        <v>499</v>
      </c>
      <c r="AJ1067" t="inlineStr">
        <is>
          <t>https://tinyurl.com/yb6hp469</t>
        </is>
      </c>
      <c r="AK1067" t="inlineStr">
        <is>
          <t>Blizzard Brahma 88 Limited Edition Topsheet Skis w Marker Griffon 13 GW Demo Bindings  Demo</t>
        </is>
      </c>
      <c r="AL1067" t="inlineStr">
        <is>
          <t>Powder7 Ski Shop</t>
        </is>
      </c>
      <c r="AM1067" s="333" t="n">
        <v>549.99</v>
      </c>
      <c r="AN1067" t="inlineStr">
        <is>
          <t>https://tinyurl.com/y8rhx9gy</t>
        </is>
      </c>
      <c r="AO1067" t="inlineStr">
        <is>
          <t>Blizzard Brahma 88 Skis</t>
        </is>
      </c>
      <c r="AP1067" t="inlineStr">
        <is>
          <t>Ski Pro  - Snow Ski &amp; Snowboard</t>
        </is>
      </c>
      <c r="AQ1067" s="333" t="n">
        <v>559.95</v>
      </c>
      <c r="AR1067" t="inlineStr">
        <is>
          <t>https://tinyurl.com/ybchry82</t>
        </is>
      </c>
      <c r="AS1067" s="314">
        <f>IF(LEFT(C1067,1)=" ",RIGHT(C1067,LEN(C1067)-1),C1067)</f>
        <v/>
      </c>
      <c r="AT1067" s="281">
        <f>_xlfn.CONCAT(B1067,AS1067,D1067,E1067)</f>
        <v/>
      </c>
    </row>
    <row r="1068">
      <c r="A1068" t="inlineStr">
        <is>
          <t>21/22</t>
        </is>
      </c>
      <c r="B1068" t="inlineStr">
        <is>
          <t xml:space="preserve"> Head</t>
        </is>
      </c>
      <c r="C1068" t="inlineStr">
        <is>
          <t xml:space="preserve"> Worldcup Rebels e-Race Pro</t>
        </is>
      </c>
      <c r="D1068" t="n">
        <v>165</v>
      </c>
      <c r="E1068" t="inlineStr">
        <is>
          <t xml:space="preserve"> Unisex</t>
        </is>
      </c>
      <c r="F1068" t="n">
        <v>165</v>
      </c>
      <c r="G1068" t="n">
        <v>164</v>
      </c>
      <c r="H1068" t="n">
        <v>147</v>
      </c>
      <c r="I1068" t="n">
        <v>154</v>
      </c>
      <c r="J1068" t="n">
        <v>120</v>
      </c>
      <c r="K1068" t="n">
        <v>67</v>
      </c>
      <c r="L1068" t="n">
        <v>101</v>
      </c>
      <c r="M1068" t="n">
        <v>13.4</v>
      </c>
      <c r="N1068" t="n">
        <v>2233</v>
      </c>
      <c r="O1068" t="n">
        <v>0.61</v>
      </c>
      <c r="P1068" t="n">
        <v>1354</v>
      </c>
      <c r="Q1068" t="n">
        <v>190</v>
      </c>
      <c r="R1068" t="n">
        <v>96</v>
      </c>
      <c r="S1068" t="n">
        <v>36</v>
      </c>
      <c r="T1068" t="n">
        <v>134</v>
      </c>
      <c r="U1068" t="n">
        <v>3</v>
      </c>
      <c r="V1068" t="n">
        <v>41</v>
      </c>
      <c r="W1068" t="n">
        <v>0.073</v>
      </c>
      <c r="X1068" t="n">
        <v>59</v>
      </c>
      <c r="Y1068" t="n">
        <v>39</v>
      </c>
      <c r="Z1068" t="n">
        <v>75</v>
      </c>
      <c r="AA1068" t="n">
        <v>13</v>
      </c>
      <c r="AB1068" t="n">
        <v>11.1</v>
      </c>
      <c r="AC1068" t="inlineStr">
        <is>
          <t xml:space="preserve"> On-Piste Carving</t>
        </is>
      </c>
      <c r="AG1068" t="inlineStr">
        <is>
          <t>Head Worldcup Rebels E-Race + FF St 14 21/22</t>
        </is>
      </c>
      <c r="AH1068" t="inlineStr">
        <is>
          <t>eBay - gloliquidation</t>
        </is>
      </c>
      <c r="AI1068" s="333" t="n">
        <v>560</v>
      </c>
      <c r="AJ1068" t="inlineStr">
        <is>
          <t>https://tinyurl.com/y7weczz9</t>
        </is>
      </c>
      <c r="AK1068" t="inlineStr">
        <is>
          <t>Head Worldcup Rebel GS Without Bindings Skis 165 Giant Slalom</t>
        </is>
      </c>
      <c r="AL1068" t="inlineStr">
        <is>
          <t>SidelineSwap</t>
        </is>
      </c>
      <c r="AM1068" s="333" t="n">
        <v>250</v>
      </c>
      <c r="AN1068" t="inlineStr">
        <is>
          <t>https://tinyurl.com/y89ntwbu</t>
        </is>
      </c>
      <c r="AO1068" t="inlineStr">
        <is>
          <t>HEAD World Cup Skis SL RD Liquidmetal 165 13 - Sports &amp; outdoors | Color: Red</t>
        </is>
      </c>
      <c r="AP1068" t="inlineStr">
        <is>
          <t>Mercari</t>
        </is>
      </c>
      <c r="AQ1068" s="333" t="n">
        <v>181</v>
      </c>
      <c r="AR1068" t="inlineStr">
        <is>
          <t>https://tinyurl.com/ydeg3t5u</t>
        </is>
      </c>
      <c r="AS1068" s="314">
        <f>IF(LEFT(C1068,1)=" ",RIGHT(C1068,LEN(C1068)-1),C1068)</f>
        <v/>
      </c>
      <c r="AT1068" s="281">
        <f>_xlfn.CONCAT(B1068,AS1068,D1068,E1068)</f>
        <v/>
      </c>
    </row>
    <row r="1069">
      <c r="A1069" t="inlineStr">
        <is>
          <t>21/22</t>
        </is>
      </c>
      <c r="B1069" t="inlineStr">
        <is>
          <t xml:space="preserve"> Dynastar</t>
        </is>
      </c>
      <c r="C1069" t="inlineStr">
        <is>
          <t>M-Free 118</t>
        </is>
      </c>
      <c r="D1069" t="n">
        <v>189</v>
      </c>
      <c r="E1069" t="inlineStr">
        <is>
          <t xml:space="preserve"> Unisex</t>
        </is>
      </c>
      <c r="F1069" t="n">
        <v>189</v>
      </c>
      <c r="G1069" t="n">
        <v>186.9</v>
      </c>
      <c r="H1069" t="n">
        <v>125</v>
      </c>
      <c r="I1069" t="n">
        <v>141</v>
      </c>
      <c r="J1069" t="n">
        <v>144</v>
      </c>
      <c r="K1069" t="n">
        <v>117</v>
      </c>
      <c r="L1069" t="n">
        <v>134</v>
      </c>
      <c r="M1069" t="n">
        <v>20.9</v>
      </c>
      <c r="N1069" t="n">
        <v>2472</v>
      </c>
      <c r="O1069" t="n">
        <v>0.9399999999999999</v>
      </c>
      <c r="P1069" t="n">
        <v>2327</v>
      </c>
      <c r="Q1069" t="n">
        <v>237</v>
      </c>
      <c r="R1069" t="n">
        <v>122</v>
      </c>
      <c r="S1069" t="n">
        <v>61</v>
      </c>
      <c r="T1069" t="n">
        <v>352</v>
      </c>
      <c r="U1069" t="n">
        <v>30</v>
      </c>
      <c r="V1069" t="n">
        <v>268</v>
      </c>
      <c r="W1069" t="n">
        <v>0.488</v>
      </c>
      <c r="X1069" t="n">
        <v>271</v>
      </c>
      <c r="Y1069" t="n">
        <v>189</v>
      </c>
      <c r="Z1069" t="n">
        <v>82</v>
      </c>
      <c r="AA1069" t="n">
        <v>10</v>
      </c>
      <c r="AB1069" t="n">
        <v>9.9</v>
      </c>
      <c r="AC1069" t="inlineStr">
        <is>
          <t xml:space="preserve"> Powder</t>
        </is>
      </c>
      <c r="AG1069" t="inlineStr">
        <is>
          <t>Dynastar M-Free 118 Skis 2022 - 189</t>
        </is>
      </c>
      <c r="AH1069" t="inlineStr">
        <is>
          <t>Bobleisure</t>
        </is>
      </c>
      <c r="AI1069" s="333" t="n">
        <v>607.95</v>
      </c>
      <c r="AJ1069" t="inlineStr">
        <is>
          <t>https://tinyurl.com/y8nspyru</t>
        </is>
      </c>
      <c r="AK1069" t="inlineStr">
        <is>
          <t>Dynastar M-Free 118 Skis 2022 - 189</t>
        </is>
      </c>
      <c r="AL1069" t="inlineStr">
        <is>
          <t>Powder7 Ski Shop</t>
        </is>
      </c>
      <c r="AM1069" s="333" t="n">
        <v>639.95</v>
      </c>
      <c r="AN1069" t="inlineStr">
        <is>
          <t>https://tinyurl.com/ycpkkgb6</t>
        </is>
      </c>
      <c r="AO1069" t="inlineStr">
        <is>
          <t>Dynastar M-Free 118 Skis 2022 - 189</t>
        </is>
      </c>
      <c r="AP1069" t="inlineStr">
        <is>
          <t>evo.com</t>
        </is>
      </c>
      <c r="AQ1069" s="333" t="n">
        <v>639.96</v>
      </c>
      <c r="AR1069" t="inlineStr">
        <is>
          <t>https://tinyurl.com/y78xx28l</t>
        </is>
      </c>
      <c r="AS1069" s="314">
        <f>IF(LEFT(C1069,1)=" ",RIGHT(C1069,LEN(C1069)-1),C1069)</f>
        <v/>
      </c>
      <c r="AT1069" s="281">
        <f>_xlfn.CONCAT(B1069,AS1069,D1069,E1069)</f>
        <v/>
      </c>
    </row>
    <row r="1070">
      <c r="A1070" t="inlineStr">
        <is>
          <t>21/22</t>
        </is>
      </c>
      <c r="B1070" t="inlineStr">
        <is>
          <t xml:space="preserve"> Line</t>
        </is>
      </c>
      <c r="C1070" t="inlineStr">
        <is>
          <t xml:space="preserve"> Honey Badger</t>
        </is>
      </c>
      <c r="D1070" t="n">
        <v>166</v>
      </c>
      <c r="E1070" t="inlineStr">
        <is>
          <t xml:space="preserve"> Unisex</t>
        </is>
      </c>
      <c r="F1070" t="n">
        <v>166</v>
      </c>
      <c r="G1070" t="n">
        <v>165.4</v>
      </c>
      <c r="H1070" t="n">
        <v>129</v>
      </c>
      <c r="I1070" t="n">
        <v>140</v>
      </c>
      <c r="J1070" t="n">
        <v>120</v>
      </c>
      <c r="K1070" t="n">
        <v>91</v>
      </c>
      <c r="L1070" t="n">
        <v>117</v>
      </c>
      <c r="M1070" t="n">
        <v>17.3</v>
      </c>
      <c r="N1070" t="n">
        <v>1523</v>
      </c>
      <c r="O1070" t="n">
        <v>1.09</v>
      </c>
      <c r="P1070" t="n">
        <v>1667</v>
      </c>
      <c r="Q1070" t="n">
        <v>134</v>
      </c>
      <c r="R1070" t="n">
        <v>51</v>
      </c>
      <c r="S1070" t="n">
        <v>41</v>
      </c>
      <c r="T1070" t="n">
        <v>185</v>
      </c>
      <c r="U1070" t="n">
        <v>42</v>
      </c>
      <c r="V1070" t="n">
        <v>180</v>
      </c>
      <c r="W1070" t="n">
        <v>1.011</v>
      </c>
      <c r="X1070" t="n">
        <v>129</v>
      </c>
      <c r="Y1070" t="n">
        <v>124</v>
      </c>
      <c r="Z1070" t="n">
        <v>56</v>
      </c>
      <c r="AA1070" t="n">
        <v>4</v>
      </c>
      <c r="AB1070" t="n">
        <v>3.3</v>
      </c>
      <c r="AC1070" t="inlineStr">
        <is>
          <t xml:space="preserve"> Freeski</t>
        </is>
      </c>
      <c r="AD1070" t="inlineStr">
        <is>
          <t xml:space="preserve"> Touring</t>
        </is>
      </c>
      <c r="AG1070" t="inlineStr">
        <is>
          <t>Line 2022 Honey Badger Skis</t>
        </is>
      </c>
      <c r="AH1070" t="inlineStr">
        <is>
          <t>Blue Tomato</t>
        </is>
      </c>
      <c r="AI1070" s="333" t="n">
        <v>314.03</v>
      </c>
      <c r="AJ1070" t="inlineStr">
        <is>
          <t>https://tinyurl.com/yc9gb7ov</t>
        </is>
      </c>
      <c r="AK1070" t="inlineStr">
        <is>
          <t>Line 2022 Honey Badger Skis</t>
        </is>
      </c>
      <c r="AL1070" t="inlineStr">
        <is>
          <t>Suburban Ski and Bike</t>
        </is>
      </c>
      <c r="AM1070" s="333" t="n">
        <v>349.95</v>
      </c>
      <c r="AN1070" t="inlineStr">
        <is>
          <t>https://tinyurl.com/y9yoodx7</t>
        </is>
      </c>
      <c r="AO1070" t="inlineStr">
        <is>
          <t>2022 Line Honey Badger 166 W Tyrolia Attack 13â€™s</t>
        </is>
      </c>
      <c r="AP1070" t="inlineStr">
        <is>
          <t>SidelineSwap</t>
        </is>
      </c>
      <c r="AQ1070" s="333" t="n">
        <v>450</v>
      </c>
      <c r="AR1070" t="inlineStr">
        <is>
          <t>https://tinyurl.com/y8ejrdfe</t>
        </is>
      </c>
      <c r="AS1070" s="314">
        <f>IF(LEFT(C1070,1)=" ",RIGHT(C1070,LEN(C1070)-1),C1070)</f>
        <v/>
      </c>
      <c r="AT1070" s="281">
        <f>_xlfn.CONCAT(B1070,AS1070,D1070,E1070)</f>
        <v/>
      </c>
    </row>
    <row r="1071">
      <c r="A1071" t="inlineStr">
        <is>
          <t>21/22</t>
        </is>
      </c>
      <c r="B1071" t="inlineStr">
        <is>
          <t xml:space="preserve"> Fischer</t>
        </is>
      </c>
      <c r="C1071" t="inlineStr">
        <is>
          <t>Ranger 115 FR Big Stix</t>
        </is>
      </c>
      <c r="D1071" t="n">
        <v>196</v>
      </c>
      <c r="E1071" t="inlineStr">
        <is>
          <t xml:space="preserve"> Unisex</t>
        </is>
      </c>
      <c r="F1071" t="n">
        <v>196</v>
      </c>
      <c r="G1071" t="n">
        <v>195.1</v>
      </c>
      <c r="H1071" t="n">
        <v>136</v>
      </c>
      <c r="I1071" t="n">
        <v>159</v>
      </c>
      <c r="J1071" t="n">
        <v>146</v>
      </c>
      <c r="K1071" t="n">
        <v>116</v>
      </c>
      <c r="L1071" t="n">
        <v>136</v>
      </c>
      <c r="M1071" t="n">
        <v>21.7</v>
      </c>
      <c r="N1071" t="n">
        <v>2307</v>
      </c>
      <c r="O1071" t="n">
        <v>1.07</v>
      </c>
      <c r="P1071" t="n">
        <v>2465</v>
      </c>
      <c r="Q1071" t="n">
        <v>240</v>
      </c>
      <c r="R1071" t="n">
        <v>114</v>
      </c>
      <c r="S1071" t="n">
        <v>51</v>
      </c>
      <c r="T1071" t="n">
        <v>361</v>
      </c>
      <c r="U1071" t="n">
        <v>38</v>
      </c>
      <c r="V1071" t="n">
        <v>227</v>
      </c>
      <c r="W1071" t="n">
        <v>0.757</v>
      </c>
      <c r="X1071" t="n">
        <v>176</v>
      </c>
      <c r="Y1071" t="n">
        <v>184</v>
      </c>
      <c r="Z1071" t="n">
        <v>185</v>
      </c>
      <c r="AA1071" t="n">
        <v>10</v>
      </c>
      <c r="AB1071" t="n">
        <v>8.699999999999999</v>
      </c>
      <c r="AC1071" t="inlineStr">
        <is>
          <t xml:space="preserve"> Powder</t>
        </is>
      </c>
      <c r="AD1071" t="inlineStr">
        <is>
          <t xml:space="preserve"> Touring</t>
        </is>
      </c>
      <c r="AG1071" t="inlineStr">
        <is>
          <t>2022 Fischer Ranger 115 FR Skis w/ Marker Griffon 13 ID Bindings - 196| Ski Essentials</t>
        </is>
      </c>
      <c r="AH1071" t="inlineStr">
        <is>
          <t>SkiEssentials.com</t>
        </is>
      </c>
      <c r="AI1071" s="333" t="n">
        <v>714.99</v>
      </c>
      <c r="AJ1071" t="inlineStr">
        <is>
          <t>https://tinyurl.com/y8fxw8hu</t>
        </is>
      </c>
      <c r="AK1071" t="inlineStr">
        <is>
          <t>Fischer Ranger 115 FR Skis Mens 2021</t>
        </is>
      </c>
      <c r="AL1071" t="inlineStr">
        <is>
          <t>BlueZone Sports</t>
        </is>
      </c>
      <c r="AM1071" s="333" t="n">
        <v>799.99</v>
      </c>
      <c r="AN1071" t="inlineStr">
        <is>
          <t>https://tinyurl.com/yd2la4bh</t>
        </is>
      </c>
      <c r="AS1071" s="314">
        <f>IF(LEFT(C1071,1)=" ",RIGHT(C1071,LEN(C1071)-1),C1071)</f>
        <v/>
      </c>
      <c r="AT1071" s="281">
        <f>_xlfn.CONCAT(B1071,AS1071,D1071,E1071)</f>
        <v/>
      </c>
    </row>
    <row r="1072">
      <c r="A1072" t="inlineStr">
        <is>
          <t>21/22</t>
        </is>
      </c>
      <c r="B1072" t="inlineStr">
        <is>
          <t xml:space="preserve"> Atomic</t>
        </is>
      </c>
      <c r="C1072" t="inlineStr">
        <is>
          <t>Cloud C12 Servo</t>
        </is>
      </c>
      <c r="D1072" t="n">
        <v>154</v>
      </c>
      <c r="E1072" t="inlineStr">
        <is>
          <t xml:space="preserve"> Women's</t>
        </is>
      </c>
      <c r="F1072" t="n">
        <v>154</v>
      </c>
      <c r="G1072" t="n">
        <v>153.6</v>
      </c>
      <c r="H1072" t="n">
        <v>134</v>
      </c>
      <c r="I1072" t="n">
        <v>140</v>
      </c>
      <c r="J1072" t="n">
        <v>109</v>
      </c>
      <c r="K1072" t="n">
        <v>69</v>
      </c>
      <c r="L1072" t="n">
        <v>97</v>
      </c>
      <c r="M1072" t="n">
        <v>13.8</v>
      </c>
      <c r="N1072" t="n">
        <v>1767</v>
      </c>
      <c r="O1072" t="n">
        <v>0.71</v>
      </c>
      <c r="P1072" t="n">
        <v>1256</v>
      </c>
      <c r="Q1072" t="n">
        <v>158</v>
      </c>
      <c r="R1072" t="n">
        <v>52</v>
      </c>
      <c r="S1072" t="n">
        <v>37</v>
      </c>
      <c r="T1072" t="n">
        <v>143</v>
      </c>
      <c r="U1072" t="n">
        <v>5</v>
      </c>
      <c r="V1072" t="n">
        <v>56</v>
      </c>
      <c r="W1072" t="n">
        <v>0.123</v>
      </c>
      <c r="X1072" t="n">
        <v>84</v>
      </c>
      <c r="Y1072" t="n">
        <v>53</v>
      </c>
      <c r="Z1072" t="n">
        <v>59</v>
      </c>
      <c r="AA1072" t="n">
        <v>6</v>
      </c>
      <c r="AB1072" t="n">
        <v>12.4</v>
      </c>
      <c r="AC1072" t="inlineStr">
        <is>
          <t xml:space="preserve"> On-Piste Carving</t>
        </is>
      </c>
      <c r="AG1072" t="inlineStr">
        <is>
          <t>2020 Atomic Cloud 12 Ladies Snow Skis with L10 Bindings 154</t>
        </is>
      </c>
      <c r="AH1072" t="inlineStr">
        <is>
          <t>The Pro Shop</t>
        </is>
      </c>
      <c r="AI1072" s="333" t="n">
        <v>799.95</v>
      </c>
      <c r="AJ1072" t="inlineStr">
        <is>
          <t>https://tinyurl.com/ybvzjhrj</t>
        </is>
      </c>
      <c r="AK1072" t="inlineStr">
        <is>
          <t>Atomic Skis Vantage 75 + M 10 GW Womens - No Color - 154</t>
        </is>
      </c>
      <c r="AL1072" t="inlineStr">
        <is>
          <t>Level Nine Sports</t>
        </is>
      </c>
      <c r="AM1072" s="333" t="n">
        <v>319.99</v>
      </c>
      <c r="AN1072" t="inlineStr">
        <is>
          <t>https://tinyurl.com/ycwsbjsc</t>
        </is>
      </c>
      <c r="AS1072" s="314">
        <f>IF(LEFT(C1072,1)=" ",RIGHT(C1072,LEN(C1072)-1),C1072)</f>
        <v/>
      </c>
      <c r="AT1072" s="281">
        <f>_xlfn.CONCAT(B1072,AS1072,D1072,E1072)</f>
        <v/>
      </c>
    </row>
    <row r="1073">
      <c r="A1073" t="inlineStr">
        <is>
          <t>21/22</t>
        </is>
      </c>
      <c r="B1073" t="inlineStr">
        <is>
          <t xml:space="preserve"> Elan</t>
        </is>
      </c>
      <c r="C1073" t="inlineStr">
        <is>
          <t xml:space="preserve"> Element</t>
        </is>
      </c>
      <c r="D1073" t="n">
        <v>144</v>
      </c>
      <c r="E1073" t="inlineStr">
        <is>
          <t xml:space="preserve"> Unisex</t>
        </is>
      </c>
      <c r="F1073" t="n">
        <v>144</v>
      </c>
      <c r="G1073" t="n">
        <v>143.2</v>
      </c>
      <c r="H1073" t="n">
        <v>111</v>
      </c>
      <c r="I1073" t="n">
        <v>130</v>
      </c>
      <c r="J1073" t="n">
        <v>125</v>
      </c>
      <c r="K1073" t="n">
        <v>74</v>
      </c>
      <c r="L1073" t="n">
        <v>100</v>
      </c>
      <c r="M1073" t="n">
        <v>10.5</v>
      </c>
      <c r="N1073" t="n">
        <v>1485</v>
      </c>
      <c r="O1073" t="n">
        <v>0.86</v>
      </c>
      <c r="P1073" t="n">
        <v>1277</v>
      </c>
      <c r="Q1073" t="n">
        <v>142</v>
      </c>
      <c r="R1073" t="n">
        <v>51</v>
      </c>
      <c r="S1073" t="n">
        <v>38</v>
      </c>
      <c r="T1073" t="n">
        <v>186</v>
      </c>
      <c r="U1073" t="n">
        <v>10</v>
      </c>
      <c r="V1073" t="n">
        <v>132</v>
      </c>
      <c r="W1073" t="n">
        <v>0.273999999999999</v>
      </c>
      <c r="X1073" t="n">
        <v>81</v>
      </c>
      <c r="Y1073" t="n">
        <v>55</v>
      </c>
      <c r="Z1073" t="n">
        <v>105</v>
      </c>
      <c r="AA1073" t="n">
        <v>3</v>
      </c>
      <c r="AB1073" t="n">
        <v>10.1</v>
      </c>
      <c r="AC1073" t="inlineStr">
        <is>
          <t xml:space="preserve"> Other</t>
        </is>
      </c>
      <c r="AG1073" t="inlineStr">
        <is>
          <t>Elan Element LS Skis with El 10 GW Bindings 2022 144cm Black/Red</t>
        </is>
      </c>
      <c r="AH1073" t="inlineStr">
        <is>
          <t>eBay - asogear</t>
        </is>
      </c>
      <c r="AI1073" s="333" t="n">
        <v>317.99</v>
      </c>
      <c r="AJ1073" t="inlineStr">
        <is>
          <t>https://tinyurl.com/yb4wfq5h</t>
        </is>
      </c>
      <c r="AK1073" t="inlineStr">
        <is>
          <t>Mountain skiing with Mount Elan 2021-22 element W White LS + elw 9 shift (CM: 144) kant kaht</t>
        </is>
      </c>
      <c r="AL1073" t="inlineStr">
        <is>
          <t>AliExpress.com</t>
        </is>
      </c>
      <c r="AM1073" s="333" t="n">
        <v>420.96</v>
      </c>
      <c r="AN1073" t="inlineStr">
        <is>
          <t>https://tinyurl.com/ya8db2w2</t>
        </is>
      </c>
      <c r="AO1073" t="inlineStr">
        <is>
          <t>Elan Women's Element W Black Skis with Bindings Black 144 cm</t>
        </is>
      </c>
      <c r="AP1073" t="inlineStr">
        <is>
          <t>REI</t>
        </is>
      </c>
      <c r="AQ1073" s="333" t="n">
        <v>449.95</v>
      </c>
      <c r="AR1073" t="inlineStr">
        <is>
          <t>https://tinyurl.com/ycszt33h</t>
        </is>
      </c>
      <c r="AS1073" s="314">
        <f>IF(LEFT(C1073,1)=" ",RIGHT(C1073,LEN(C1073)-1),C1073)</f>
        <v/>
      </c>
      <c r="AT1073" s="281">
        <f>_xlfn.CONCAT(B1073,AS1073,D1073,E1073)</f>
        <v/>
      </c>
    </row>
    <row r="1074">
      <c r="A1074" t="inlineStr">
        <is>
          <t>21/22</t>
        </is>
      </c>
      <c r="B1074" t="inlineStr">
        <is>
          <t xml:space="preserve"> Line</t>
        </is>
      </c>
      <c r="C1074" t="inlineStr">
        <is>
          <t xml:space="preserve"> Blade</t>
        </is>
      </c>
      <c r="D1074" t="n">
        <v>181</v>
      </c>
      <c r="E1074" t="inlineStr">
        <is>
          <t xml:space="preserve"> Unisex</t>
        </is>
      </c>
      <c r="F1074" t="n">
        <v>181</v>
      </c>
      <c r="G1074" t="n">
        <v>179.7</v>
      </c>
      <c r="H1074" t="n">
        <v>140</v>
      </c>
      <c r="I1074" t="n">
        <v>164</v>
      </c>
      <c r="J1074" t="n">
        <v>154</v>
      </c>
      <c r="K1074" t="n">
        <v>95</v>
      </c>
      <c r="L1074" t="n">
        <v>124</v>
      </c>
      <c r="M1074" t="n">
        <v>14.6</v>
      </c>
      <c r="N1074" t="n">
        <v>2051</v>
      </c>
      <c r="O1074" t="n">
        <v>0.99</v>
      </c>
      <c r="P1074" t="n">
        <v>2027</v>
      </c>
      <c r="Q1074" t="n">
        <v>193</v>
      </c>
      <c r="R1074" t="n">
        <v>137</v>
      </c>
      <c r="S1074" t="n">
        <v>35</v>
      </c>
      <c r="T1074" t="n">
        <v>257</v>
      </c>
      <c r="U1074" t="n">
        <v>22</v>
      </c>
      <c r="V1074" t="n">
        <v>140</v>
      </c>
      <c r="W1074" t="n">
        <v>0.628</v>
      </c>
      <c r="X1074" t="n">
        <v>127</v>
      </c>
      <c r="Y1074" t="n">
        <v>26</v>
      </c>
      <c r="Z1074" t="n">
        <v>130</v>
      </c>
      <c r="AA1074" t="n">
        <v>8</v>
      </c>
      <c r="AB1074" t="n">
        <v>6.8</v>
      </c>
      <c r="AC1074" t="inlineStr">
        <is>
          <t xml:space="preserve"> Resort Freeride</t>
        </is>
      </c>
      <c r="AG1074" t="inlineStr">
        <is>
          <t>Line Blade Skis</t>
        </is>
      </c>
      <c r="AH1074" t="inlineStr">
        <is>
          <t>BobWards.com</t>
        </is>
      </c>
      <c r="AI1074" s="333" t="n">
        <v>540</v>
      </c>
      <c r="AJ1074" t="inlineStr">
        <is>
          <t>https://tinyurl.com/y8fwqm7x</t>
        </is>
      </c>
      <c r="AK1074" t="inlineStr">
        <is>
          <t>Line Blade Skis</t>
        </is>
      </c>
      <c r="AL1074" t="inlineStr">
        <is>
          <t>ColoradoSkiShop.com</t>
        </is>
      </c>
      <c r="AM1074" s="333" t="n">
        <v>549</v>
      </c>
      <c r="AN1074" t="inlineStr">
        <is>
          <t>https://tinyurl.com/ycxjq2mt</t>
        </is>
      </c>
      <c r="AO1074" t="inlineStr">
        <is>
          <t>Line Blade Skis</t>
        </is>
      </c>
      <c r="AP1074" t="inlineStr">
        <is>
          <t>The-House.com</t>
        </is>
      </c>
      <c r="AQ1074" s="333" t="n">
        <v>573.95</v>
      </c>
      <c r="AR1074" t="inlineStr">
        <is>
          <t>https://tinyurl.com/ycokxnuy</t>
        </is>
      </c>
      <c r="AS1074" s="314">
        <f>IF(LEFT(C1074,1)=" ",RIGHT(C1074,LEN(C1074)-1),C1074)</f>
        <v/>
      </c>
      <c r="AT1074" s="281">
        <f>_xlfn.CONCAT(B1074,AS1074,D1074,E1074)</f>
        <v/>
      </c>
    </row>
    <row r="1075">
      <c r="A1075" t="inlineStr">
        <is>
          <t>21/22</t>
        </is>
      </c>
      <c r="B1075" t="inlineStr">
        <is>
          <t xml:space="preserve"> Vï¿½lkl</t>
        </is>
      </c>
      <c r="C1075" t="inlineStr">
        <is>
          <t>Blaze 86 W</t>
        </is>
      </c>
      <c r="D1075" t="n">
        <v>159</v>
      </c>
      <c r="E1075" t="inlineStr">
        <is>
          <t xml:space="preserve"> Women's</t>
        </is>
      </c>
      <c r="F1075" t="n">
        <v>159</v>
      </c>
      <c r="G1075" t="n">
        <v>160.2</v>
      </c>
      <c r="H1075" t="n">
        <v>100</v>
      </c>
      <c r="I1075" t="n">
        <v>136</v>
      </c>
      <c r="J1075" t="n">
        <v>128</v>
      </c>
      <c r="K1075" t="n">
        <v>85</v>
      </c>
      <c r="L1075" t="n">
        <v>110</v>
      </c>
      <c r="M1075" t="n">
        <v>12.7</v>
      </c>
      <c r="N1075" t="n">
        <v>1259</v>
      </c>
      <c r="O1075" t="n">
        <v>1.26</v>
      </c>
      <c r="P1075" t="n">
        <v>1589</v>
      </c>
      <c r="Q1075" t="n">
        <v>157</v>
      </c>
      <c r="R1075" t="n">
        <v>74</v>
      </c>
      <c r="S1075" t="n">
        <v>49</v>
      </c>
      <c r="T1075" t="n">
        <v>374</v>
      </c>
      <c r="U1075" t="n">
        <v>20</v>
      </c>
      <c r="V1075" t="n">
        <v>227</v>
      </c>
      <c r="W1075" t="n">
        <v>0.402999999999999</v>
      </c>
      <c r="X1075" t="n">
        <v>143</v>
      </c>
      <c r="Y1075" t="n">
        <v>101</v>
      </c>
      <c r="Z1075" t="n">
        <v>231</v>
      </c>
      <c r="AA1075" t="n">
        <v>1</v>
      </c>
      <c r="AB1075" t="n">
        <v>11.5</v>
      </c>
      <c r="AC1075" t="inlineStr">
        <is>
          <t xml:space="preserve"> Resort Freeride</t>
        </is>
      </c>
      <c r="AD1075" t="inlineStr">
        <is>
          <t xml:space="preserve"> Touring</t>
        </is>
      </c>
      <c r="AE1075" t="inlineStr">
        <is>
          <t xml:space="preserve"> Ultralight Touring</t>
        </is>
      </c>
      <c r="AG1075" t="inlineStr">
        <is>
          <t>Volkl Blaze 86 W 159cm</t>
        </is>
      </c>
      <c r="AH1075" t="inlineStr">
        <is>
          <t>Sundance Ski and Board Shop</t>
        </is>
      </c>
      <c r="AI1075" s="333" t="n">
        <v>448.8</v>
      </c>
      <c r="AJ1075" t="inlineStr">
        <is>
          <t>https://tinyurl.com/y82g5sro</t>
        </is>
      </c>
      <c r="AK1075" t="inlineStr">
        <is>
          <t>'22 Volkl Blaze 86 W Skis 159cm</t>
        </is>
      </c>
      <c r="AL1075" t="inlineStr">
        <is>
          <t>Al's Ski Equipment Barn</t>
        </is>
      </c>
      <c r="AM1075" s="333" t="n">
        <v>449.95</v>
      </c>
      <c r="AN1075" t="inlineStr">
        <is>
          <t>https://tinyurl.com/y8k26ouk</t>
        </is>
      </c>
      <c r="AO1075" t="inlineStr">
        <is>
          <t>Volkl Blaze 86 W Skis 2023 - Women's 159 cm</t>
        </is>
      </c>
      <c r="AP1075" t="inlineStr">
        <is>
          <t>Arlberg Ski &amp; Surf Shops</t>
        </is>
      </c>
      <c r="AQ1075" s="333" t="n">
        <v>549.99</v>
      </c>
      <c r="AR1075" t="inlineStr">
        <is>
          <t>https://tinyurl.com/yah2qqwt</t>
        </is>
      </c>
      <c r="AS1075" s="314">
        <f>IF(LEFT(C1075,1)=" ",RIGHT(C1075,LEN(C1075)-1),C1075)</f>
        <v/>
      </c>
      <c r="AT1075" s="281">
        <f>_xlfn.CONCAT(B1075,AS1075,D1075,E1075)</f>
        <v/>
      </c>
    </row>
    <row r="1076">
      <c r="A1076" t="inlineStr">
        <is>
          <t>21/22</t>
        </is>
      </c>
      <c r="B1076" t="inlineStr">
        <is>
          <t xml:space="preserve"> Faction</t>
        </is>
      </c>
      <c r="C1076" t="inlineStr">
        <is>
          <t>Prodigy 2.0 Jr</t>
        </is>
      </c>
      <c r="D1076" t="n">
        <v>159</v>
      </c>
      <c r="E1076" t="inlineStr">
        <is>
          <t xml:space="preserve"> Junior</t>
        </is>
      </c>
      <c r="F1076" t="n">
        <v>159</v>
      </c>
      <c r="G1076" t="n">
        <v>157.1</v>
      </c>
      <c r="H1076" t="n">
        <v>113</v>
      </c>
      <c r="I1076" t="n">
        <v>133</v>
      </c>
      <c r="J1076" t="n">
        <v>128</v>
      </c>
      <c r="K1076" t="n">
        <v>97</v>
      </c>
      <c r="L1076" t="n">
        <v>124</v>
      </c>
      <c r="M1076" t="n">
        <v>13.9</v>
      </c>
      <c r="N1076" t="n">
        <v>1460</v>
      </c>
      <c r="O1076" t="n">
        <v>1.16</v>
      </c>
      <c r="P1076" t="n">
        <v>1699</v>
      </c>
      <c r="Q1076" t="n">
        <v>131</v>
      </c>
      <c r="R1076" t="n">
        <v>45</v>
      </c>
      <c r="S1076" t="n">
        <v>52</v>
      </c>
      <c r="T1076" t="n">
        <v>227</v>
      </c>
      <c r="U1076" t="n">
        <v>45</v>
      </c>
      <c r="V1076" t="n">
        <v>211</v>
      </c>
      <c r="W1076" t="n">
        <v>0.874</v>
      </c>
      <c r="X1076" t="n">
        <v>128</v>
      </c>
      <c r="Y1076" t="n">
        <v>113</v>
      </c>
      <c r="Z1076" t="n">
        <v>99</v>
      </c>
      <c r="AA1076" t="n">
        <v>8</v>
      </c>
      <c r="AB1076" t="n">
        <v>3.4</v>
      </c>
      <c r="AC1076" t="inlineStr">
        <is>
          <t xml:space="preserve"> Freeski</t>
        </is>
      </c>
      <c r="AD1076" t="inlineStr">
        <is>
          <t xml:space="preserve"> Touring</t>
        </is>
      </c>
      <c r="AS1076" s="314">
        <f>IF(LEFT(C1076,1)=" ",RIGHT(C1076,LEN(C1076)-1),C1076)</f>
        <v/>
      </c>
      <c r="AT1076" s="281">
        <f>_xlfn.CONCAT(B1076,AS1076,D1076,E1076)</f>
        <v/>
      </c>
    </row>
    <row r="1077">
      <c r="A1077" t="inlineStr">
        <is>
          <t>21/22</t>
        </is>
      </c>
      <c r="B1077" t="inlineStr">
        <is>
          <t xml:space="preserve"> DPS</t>
        </is>
      </c>
      <c r="C1077" t="inlineStr">
        <is>
          <t>Pagoda Piste 100 C2</t>
        </is>
      </c>
      <c r="D1077" t="n">
        <v>184</v>
      </c>
      <c r="E1077" t="inlineStr">
        <is>
          <t xml:space="preserve"> Unisex</t>
        </is>
      </c>
      <c r="F1077" t="n">
        <v>184</v>
      </c>
      <c r="G1077" t="n">
        <v>183.4</v>
      </c>
      <c r="H1077" t="n">
        <v>133</v>
      </c>
      <c r="I1077" t="n">
        <v>146</v>
      </c>
      <c r="J1077" t="n">
        <v>132</v>
      </c>
      <c r="K1077" t="n">
        <v>100</v>
      </c>
      <c r="L1077" t="n">
        <v>116</v>
      </c>
      <c r="M1077" t="n">
        <v>19.2</v>
      </c>
      <c r="N1077" t="n">
        <v>2074</v>
      </c>
      <c r="O1077" t="n">
        <v>0.97</v>
      </c>
      <c r="P1077" t="n">
        <v>2019</v>
      </c>
      <c r="Q1077" t="n">
        <v>249</v>
      </c>
      <c r="R1077" t="n">
        <v>138</v>
      </c>
      <c r="S1077" t="n">
        <v>54</v>
      </c>
      <c r="T1077" t="n">
        <v>278</v>
      </c>
      <c r="U1077" t="n">
        <v>24</v>
      </c>
      <c r="V1077" t="n">
        <v>223</v>
      </c>
      <c r="W1077" t="n">
        <v>0.451</v>
      </c>
      <c r="X1077" t="n">
        <v>181</v>
      </c>
      <c r="Y1077" t="n">
        <v>189</v>
      </c>
      <c r="Z1077" t="n">
        <v>96</v>
      </c>
      <c r="AA1077" t="n">
        <v>7</v>
      </c>
      <c r="AB1077" t="n">
        <v>10.8</v>
      </c>
      <c r="AC1077" t="inlineStr">
        <is>
          <t xml:space="preserve"> Resort Freeride</t>
        </is>
      </c>
      <c r="AG1077" t="inlineStr">
        <is>
          <t>DPS Pagoda Piste 100 C2 Pinot Skis 184cm 2022</t>
        </is>
      </c>
      <c r="AH1077" t="inlineStr">
        <is>
          <t>eBay - david110549</t>
        </is>
      </c>
      <c r="AI1077" s="333" t="n">
        <v>1039</v>
      </c>
      <c r="AJ1077" t="inlineStr">
        <is>
          <t>https://tinyurl.com/ya6eq2os</t>
        </is>
      </c>
      <c r="AK1077" t="inlineStr">
        <is>
          <t>DPS Pagoda Piste 100 C2 Pinot Skis 184cm 2022</t>
        </is>
      </c>
      <c r="AL1077" t="inlineStr">
        <is>
          <t>SkiEssentials.com</t>
        </is>
      </c>
      <c r="AM1077" s="333" t="n">
        <v>1039</v>
      </c>
      <c r="AN1077" t="inlineStr">
        <is>
          <t>https://tinyurl.com/ydhkzo3f</t>
        </is>
      </c>
      <c r="AO1077" t="inlineStr">
        <is>
          <t>DPS Pagoda Piste 100 C2 Pinot Skis 184cm 2022</t>
        </is>
      </c>
      <c r="AP1077" t="inlineStr">
        <is>
          <t>Powder7 Ski Shop</t>
        </is>
      </c>
      <c r="AQ1077" s="333" t="n">
        <v>1039.2</v>
      </c>
      <c r="AR1077" t="inlineStr">
        <is>
          <t>https://tinyurl.com/y7twubgh</t>
        </is>
      </c>
      <c r="AS1077" s="314">
        <f>IF(LEFT(C1077,1)=" ",RIGHT(C1077,LEN(C1077)-1),C1077)</f>
        <v/>
      </c>
      <c r="AT1077" s="281">
        <f>_xlfn.CONCAT(B1077,AS1077,D1077,E1077)</f>
        <v/>
      </c>
    </row>
    <row r="1078">
      <c r="A1078" t="inlineStr">
        <is>
          <t>21/22</t>
        </is>
      </c>
      <c r="B1078" t="inlineStr">
        <is>
          <t xml:space="preserve"> Nordica</t>
        </is>
      </c>
      <c r="C1078" t="inlineStr">
        <is>
          <t xml:space="preserve"> Dobermann SLR Rb</t>
        </is>
      </c>
      <c r="D1078" t="n">
        <v>170</v>
      </c>
      <c r="E1078" t="inlineStr">
        <is>
          <t xml:space="preserve"> Unisex</t>
        </is>
      </c>
      <c r="F1078" t="n">
        <v>170</v>
      </c>
      <c r="G1078" t="n">
        <v>168.9</v>
      </c>
      <c r="H1078" t="n">
        <v>149</v>
      </c>
      <c r="I1078" t="n">
        <v>157</v>
      </c>
      <c r="J1078" t="n">
        <v>120</v>
      </c>
      <c r="K1078" t="n">
        <v>69</v>
      </c>
      <c r="L1078" t="n">
        <v>103</v>
      </c>
      <c r="M1078" t="n">
        <v>14</v>
      </c>
      <c r="N1078" t="n">
        <v>2053</v>
      </c>
      <c r="O1078" t="n">
        <v>0.7</v>
      </c>
      <c r="P1078" t="n">
        <v>1428</v>
      </c>
      <c r="Q1078" t="n">
        <v>242</v>
      </c>
      <c r="R1078" t="n">
        <v>109</v>
      </c>
      <c r="S1078" t="n">
        <v>45</v>
      </c>
      <c r="T1078" t="n">
        <v>150</v>
      </c>
      <c r="U1078" t="n">
        <v>6</v>
      </c>
      <c r="V1078" t="n">
        <v>49</v>
      </c>
      <c r="W1078" t="n">
        <v>0.127</v>
      </c>
      <c r="X1078" t="n">
        <v>62</v>
      </c>
      <c r="Y1078" t="n">
        <v>55</v>
      </c>
      <c r="Z1078" t="n">
        <v>89</v>
      </c>
      <c r="AA1078" t="n">
        <v>7</v>
      </c>
      <c r="AB1078" t="n">
        <v>12.1</v>
      </c>
      <c r="AC1078" t="inlineStr">
        <is>
          <t xml:space="preserve"> On-Piste Carving</t>
        </is>
      </c>
      <c r="AG1078" t="inlineStr">
        <is>
          <t>Nordica Dobermann GS Tweener | Giant Slalom Skis | Race Room Skis 170cm</t>
        </is>
      </c>
      <c r="AH1078" t="inlineStr">
        <is>
          <t>Race Room Skis</t>
        </is>
      </c>
      <c r="AI1078" s="333" t="n">
        <v>575</v>
      </c>
      <c r="AJ1078" t="inlineStr">
        <is>
          <t>https://tinyurl.com/ybqssbt9</t>
        </is>
      </c>
      <c r="AK1078" t="inlineStr">
        <is>
          <t>Nordica Dobermann GS Race Skis Â· 170 cm</t>
        </is>
      </c>
      <c r="AL1078" t="inlineStr">
        <is>
          <t>The-House.com</t>
        </is>
      </c>
      <c r="AM1078" s="333" t="n">
        <v>799.99</v>
      </c>
      <c r="AN1078" t="inlineStr">
        <is>
          <t>https://tinyurl.com/y7swaj2c</t>
        </is>
      </c>
      <c r="AO1078" t="inlineStr">
        <is>
          <t>2018 Nordica Fate 170 cm Ski + Nordica Bindings Winter Snow Sport Outdoor 2018 Nordica Fate 170 cm Ski + Nordica Bindings Winter Snow Sport Outdoor</t>
        </is>
      </c>
      <c r="AP1078" t="inlineStr">
        <is>
          <t>Traventuria</t>
        </is>
      </c>
      <c r="AQ1078" s="333" t="n">
        <v>124.99</v>
      </c>
      <c r="AR1078" t="inlineStr">
        <is>
          <t>https://tinyurl.com/yacnmpjv</t>
        </is>
      </c>
      <c r="AS1078" s="314">
        <f>IF(LEFT(C1078,1)=" ",RIGHT(C1078,LEN(C1078)-1),C1078)</f>
        <v/>
      </c>
      <c r="AT1078" s="281">
        <f>_xlfn.CONCAT(B1078,AS1078,D1078,E1078)</f>
        <v/>
      </c>
    </row>
    <row r="1079">
      <c r="A1079" t="inlineStr">
        <is>
          <t>21/22</t>
        </is>
      </c>
      <c r="B1079" t="inlineStr">
        <is>
          <t xml:space="preserve"> Nordica</t>
        </is>
      </c>
      <c r="C1079" t="inlineStr">
        <is>
          <t>Enforcer 110 Free</t>
        </is>
      </c>
      <c r="D1079" t="n">
        <v>169</v>
      </c>
      <c r="E1079" t="inlineStr">
        <is>
          <t xml:space="preserve"> Unisex</t>
        </is>
      </c>
      <c r="F1079" t="n">
        <v>169</v>
      </c>
      <c r="G1079" t="n">
        <v>168.4</v>
      </c>
      <c r="H1079" t="n">
        <v>113</v>
      </c>
      <c r="I1079" t="n">
        <v>137</v>
      </c>
      <c r="J1079" t="n">
        <v>139</v>
      </c>
      <c r="K1079" t="n">
        <v>109</v>
      </c>
      <c r="L1079" t="n">
        <v>129</v>
      </c>
      <c r="M1079" t="n">
        <v>16.1</v>
      </c>
      <c r="N1079" t="n">
        <v>2165</v>
      </c>
      <c r="O1079" t="n">
        <v>0.92</v>
      </c>
      <c r="P1079" t="n">
        <v>1995</v>
      </c>
      <c r="Q1079" t="n">
        <v>223</v>
      </c>
      <c r="R1079" t="n">
        <v>152</v>
      </c>
      <c r="S1079" t="n">
        <v>55</v>
      </c>
      <c r="T1079" t="n">
        <v>302</v>
      </c>
      <c r="U1079" t="n">
        <v>35</v>
      </c>
      <c r="V1079" t="n">
        <v>250</v>
      </c>
      <c r="W1079" t="n">
        <v>0.640999999999999</v>
      </c>
      <c r="X1079" t="n">
        <v>156</v>
      </c>
      <c r="Y1079" t="n">
        <v>157</v>
      </c>
      <c r="Z1079" t="n">
        <v>146</v>
      </c>
      <c r="AA1079" t="n">
        <v>8</v>
      </c>
      <c r="AB1079" t="n">
        <v>8.9</v>
      </c>
      <c r="AC1079" t="inlineStr">
        <is>
          <t xml:space="preserve"> Powder</t>
        </is>
      </c>
      <c r="AG1079" t="inlineStr">
        <is>
          <t>2021 Nordica Enforcer 110 Free</t>
        </is>
      </c>
      <c r="AH1079" t="inlineStr">
        <is>
          <t>eBay - larsonski</t>
        </is>
      </c>
      <c r="AI1079" s="333" t="n">
        <v>600</v>
      </c>
      <c r="AJ1079" t="inlineStr">
        <is>
          <t>https://tinyurl.com/yasfjhsp</t>
        </is>
      </c>
      <c r="AK1079" t="inlineStr">
        <is>
          <t>Nordica Enforcer 110 Skis W/ Salomon Warden 11 Binding (great</t>
        </is>
      </c>
      <c r="AL1079" t="inlineStr">
        <is>
          <t>eBay - livetoride6393</t>
        </is>
      </c>
      <c r="AM1079" s="333" t="n">
        <v>499.99</v>
      </c>
      <c r="AN1079" t="inlineStr">
        <is>
          <t>https://tinyurl.com/y8ysrpky</t>
        </is>
      </c>
      <c r="AO1079" t="inlineStr">
        <is>
          <t>2022 Nordica Santa Ana 110 Free Women's Skis w/ Tyrolia Attack2 14 GW Bindings - 169| Ski Essentials</t>
        </is>
      </c>
      <c r="AP1079" t="inlineStr">
        <is>
          <t>eBay - david110549</t>
        </is>
      </c>
      <c r="AQ1079" s="333" t="n">
        <v>814.99</v>
      </c>
      <c r="AR1079" t="inlineStr">
        <is>
          <t>https://tinyurl.com/y8yxz2f2</t>
        </is>
      </c>
      <c r="AS1079" s="314">
        <f>IF(LEFT(C1079,1)=" ",RIGHT(C1079,LEN(C1079)-1),C1079)</f>
        <v/>
      </c>
      <c r="AT1079" s="281">
        <f>_xlfn.CONCAT(B1079,AS1079,D1079,E1079)</f>
        <v/>
      </c>
    </row>
    <row r="1080">
      <c r="A1080" t="inlineStr">
        <is>
          <t>21/22</t>
        </is>
      </c>
      <c r="B1080" t="inlineStr">
        <is>
          <t xml:space="preserve"> Vï¿½lkl</t>
        </is>
      </c>
      <c r="C1080" t="inlineStr">
        <is>
          <t>Blaze 86 W</t>
        </is>
      </c>
      <c r="D1080" t="n">
        <v>146</v>
      </c>
      <c r="E1080" t="inlineStr">
        <is>
          <t xml:space="preserve"> Women's</t>
        </is>
      </c>
      <c r="F1080" t="n">
        <v>146</v>
      </c>
      <c r="G1080" t="n">
        <v>147.3</v>
      </c>
      <c r="H1080" t="n">
        <v>92</v>
      </c>
      <c r="I1080" t="n">
        <v>122</v>
      </c>
      <c r="J1080" t="n">
        <v>128</v>
      </c>
      <c r="K1080" t="n">
        <v>85</v>
      </c>
      <c r="L1080" t="n">
        <v>109</v>
      </c>
      <c r="M1080" t="n">
        <v>10.1</v>
      </c>
      <c r="N1080" t="n">
        <v>1211</v>
      </c>
      <c r="O1080" t="n">
        <v>1.21</v>
      </c>
      <c r="P1080" t="n">
        <v>1467</v>
      </c>
      <c r="Q1080" t="n">
        <v>156</v>
      </c>
      <c r="R1080" t="n">
        <v>75</v>
      </c>
      <c r="S1080" t="n">
        <v>48</v>
      </c>
      <c r="T1080" t="n">
        <v>337</v>
      </c>
      <c r="U1080" t="n">
        <v>18</v>
      </c>
      <c r="V1080" t="n">
        <v>218</v>
      </c>
      <c r="W1080" t="n">
        <v>0.373</v>
      </c>
      <c r="X1080" t="n">
        <v>149</v>
      </c>
      <c r="Y1080" t="n">
        <v>105</v>
      </c>
      <c r="Z1080" t="n">
        <v>188</v>
      </c>
      <c r="AA1080" t="n">
        <v>1</v>
      </c>
      <c r="AB1080" t="n">
        <v>11.5</v>
      </c>
      <c r="AC1080" t="inlineStr">
        <is>
          <t xml:space="preserve"> Resort Freeride</t>
        </is>
      </c>
      <c r="AD1080" t="inlineStr">
        <is>
          <t xml:space="preserve"> Touring</t>
        </is>
      </c>
      <c r="AG1080" t="inlineStr">
        <is>
          <t>Volkl Blaze 86 W Skis</t>
        </is>
      </c>
      <c r="AH1080" t="inlineStr">
        <is>
          <t>Cole Sport</t>
        </is>
      </c>
      <c r="AI1080" s="333" t="n">
        <v>399.99</v>
      </c>
      <c r="AJ1080" t="inlineStr">
        <is>
          <t>https://tinyurl.com/y9lcrwre</t>
        </is>
      </c>
      <c r="AK1080" t="inlineStr">
        <is>
          <t>Volkl Blaze 86 W 146cm</t>
        </is>
      </c>
      <c r="AL1080" t="inlineStr">
        <is>
          <t>Sundance Ski and Board Shop</t>
        </is>
      </c>
      <c r="AM1080" s="333" t="n">
        <v>448.8</v>
      </c>
      <c r="AN1080" t="inlineStr">
        <is>
          <t>https://tinyurl.com/y7jlkzur</t>
        </is>
      </c>
      <c r="AO1080" t="inlineStr">
        <is>
          <t>Volkl Women's Blaze 86 W Alpine Ski 2022 146</t>
        </is>
      </c>
      <c r="AP1080" t="inlineStr">
        <is>
          <t>Boyne Country Sports</t>
        </is>
      </c>
      <c r="AQ1080" s="333" t="n">
        <v>499.99</v>
      </c>
      <c r="AR1080" t="inlineStr">
        <is>
          <t>https://tinyurl.com/y9orxqea</t>
        </is>
      </c>
      <c r="AS1080" s="314">
        <f>IF(LEFT(C1080,1)=" ",RIGHT(C1080,LEN(C1080)-1),C1080)</f>
        <v/>
      </c>
      <c r="AT1080" s="281">
        <f>_xlfn.CONCAT(B1080,AS1080,D1080,E1080)</f>
        <v/>
      </c>
    </row>
    <row r="1081">
      <c r="A1081" t="inlineStr">
        <is>
          <t>21/22</t>
        </is>
      </c>
      <c r="B1081" t="inlineStr">
        <is>
          <t xml:space="preserve"> Blizzard</t>
        </is>
      </c>
      <c r="C1081" t="inlineStr">
        <is>
          <t>Zero G 85</t>
        </is>
      </c>
      <c r="D1081" t="n">
        <v>171</v>
      </c>
      <c r="E1081" t="inlineStr">
        <is>
          <t xml:space="preserve"> Unisex</t>
        </is>
      </c>
      <c r="F1081" t="n">
        <v>171</v>
      </c>
      <c r="G1081" t="n">
        <v>168.9</v>
      </c>
      <c r="H1081" t="n">
        <v>127</v>
      </c>
      <c r="I1081" t="n">
        <v>144</v>
      </c>
      <c r="J1081" t="n">
        <v>114</v>
      </c>
      <c r="K1081" t="n">
        <v>83</v>
      </c>
      <c r="L1081" t="n">
        <v>98</v>
      </c>
      <c r="M1081" t="n">
        <v>22</v>
      </c>
      <c r="N1081" t="n">
        <v>1122</v>
      </c>
      <c r="O1081" t="n">
        <v>1.38</v>
      </c>
      <c r="P1081" t="n">
        <v>1546</v>
      </c>
      <c r="Q1081" t="n">
        <v>197</v>
      </c>
      <c r="R1081" t="n">
        <v>69</v>
      </c>
      <c r="S1081" t="n">
        <v>55</v>
      </c>
      <c r="T1081" t="n">
        <v>244</v>
      </c>
      <c r="U1081" t="n">
        <v>10</v>
      </c>
      <c r="V1081" t="n">
        <v>171</v>
      </c>
      <c r="W1081" t="n">
        <v>0.188</v>
      </c>
      <c r="X1081" t="n">
        <v>130</v>
      </c>
      <c r="Y1081" t="n">
        <v>122</v>
      </c>
      <c r="Z1081" t="n">
        <v>114</v>
      </c>
      <c r="AA1081" t="n">
        <v>4</v>
      </c>
      <c r="AB1081" t="n">
        <v>10.5</v>
      </c>
      <c r="AC1081" t="inlineStr">
        <is>
          <t xml:space="preserve"> Touring</t>
        </is>
      </c>
      <c r="AD1081" t="inlineStr">
        <is>
          <t xml:space="preserve"> Ultralight Touring</t>
        </is>
      </c>
      <c r="AG1081" t="inlineStr">
        <is>
          <t>Blizzard Zero G 85 Ski 2022</t>
        </is>
      </c>
      <c r="AH1081" t="inlineStr">
        <is>
          <t>Telemark Pyrenees</t>
        </is>
      </c>
      <c r="AI1081" s="333" t="n">
        <v>384.97</v>
      </c>
      <c r="AJ1081" t="inlineStr">
        <is>
          <t>https://tinyurl.com/yc6rqjlv</t>
        </is>
      </c>
      <c r="AK1081" t="inlineStr">
        <is>
          <t>Blizzard Zero G 85 Skis (2021) LIGHT GREY / 171</t>
        </is>
      </c>
      <c r="AL1081" t="inlineStr">
        <is>
          <t>Neptune Mountaineering</t>
        </is>
      </c>
      <c r="AM1081" s="333" t="n">
        <v>420</v>
      </c>
      <c r="AN1081" t="inlineStr">
        <is>
          <t>https://tinyurl.com/ych4bxfj</t>
        </is>
      </c>
      <c r="AO1081" t="inlineStr">
        <is>
          <t>Blizzard Zero G 85 Ski 171 cm</t>
        </is>
      </c>
      <c r="AP1081" t="inlineStr">
        <is>
          <t>Skimo &amp; SkyRun</t>
        </is>
      </c>
      <c r="AQ1081" s="333" t="n">
        <v>479.96</v>
      </c>
      <c r="AR1081" t="inlineStr">
        <is>
          <t>https://tinyurl.com/ybk4yf6l</t>
        </is>
      </c>
      <c r="AS1081" s="314">
        <f>IF(LEFT(C1081,1)=" ",RIGHT(C1081,LEN(C1081)-1),C1081)</f>
        <v/>
      </c>
      <c r="AT1081" s="281">
        <f>_xlfn.CONCAT(B1081,AS1081,D1081,E1081)</f>
        <v/>
      </c>
    </row>
    <row r="1082">
      <c r="A1082" t="inlineStr">
        <is>
          <t>21/22</t>
        </is>
      </c>
      <c r="B1082" t="inlineStr">
        <is>
          <t xml:space="preserve"> Rossignol</t>
        </is>
      </c>
      <c r="C1082" t="inlineStr">
        <is>
          <t xml:space="preserve"> Blackops Smasher</t>
        </is>
      </c>
      <c r="D1082" t="n">
        <v>150</v>
      </c>
      <c r="E1082" t="inlineStr">
        <is>
          <t xml:space="preserve"> Unisex</t>
        </is>
      </c>
      <c r="F1082" t="n">
        <v>150</v>
      </c>
      <c r="G1082" t="n">
        <v>148.8</v>
      </c>
      <c r="H1082" t="n">
        <v>102</v>
      </c>
      <c r="I1082" t="n">
        <v>122</v>
      </c>
      <c r="J1082" t="n">
        <v>117</v>
      </c>
      <c r="K1082" t="n">
        <v>89</v>
      </c>
      <c r="L1082" t="n">
        <v>107</v>
      </c>
      <c r="M1082" t="n">
        <v>17.2</v>
      </c>
      <c r="N1082" t="n">
        <v>1452</v>
      </c>
      <c r="O1082" t="n">
        <v>1</v>
      </c>
      <c r="P1082" t="n">
        <v>1449</v>
      </c>
      <c r="Q1082" t="n">
        <v>141</v>
      </c>
      <c r="R1082" t="n">
        <v>54</v>
      </c>
      <c r="S1082" t="n">
        <v>48</v>
      </c>
      <c r="T1082" t="n">
        <v>251</v>
      </c>
      <c r="U1082" t="n">
        <v>30</v>
      </c>
      <c r="V1082" t="n">
        <v>216</v>
      </c>
      <c r="W1082" t="n">
        <v>0.626</v>
      </c>
      <c r="X1082" t="n">
        <v>128</v>
      </c>
      <c r="Y1082" t="n">
        <v>137</v>
      </c>
      <c r="Z1082" t="n">
        <v>123</v>
      </c>
      <c r="AA1082" t="n">
        <v>7</v>
      </c>
      <c r="AB1082" t="n">
        <v>5.4</v>
      </c>
      <c r="AC1082" t="inlineStr">
        <is>
          <t xml:space="preserve"> Resort Freeride</t>
        </is>
      </c>
      <c r="AG1082" t="inlineStr">
        <is>
          <t>Rossignol Blackops Smasher Skis w/ Look Xpress 10 GW Bindings</t>
        </is>
      </c>
      <c r="AH1082" t="inlineStr">
        <is>
          <t>Spoke-N-Sport</t>
        </is>
      </c>
      <c r="AI1082" s="333" t="n">
        <v>314.99</v>
      </c>
      <c r="AJ1082" t="inlineStr">
        <is>
          <t>https://tinyurl.com/y9vupjws</t>
        </is>
      </c>
      <c r="AK1082" t="inlineStr">
        <is>
          <t>Rossignol Blackops Smasher Skis w/ Look Xpress 10 GW Bindings</t>
        </is>
      </c>
      <c r="AL1082" t="inlineStr">
        <is>
          <t>The-House.com</t>
        </is>
      </c>
      <c r="AM1082" s="333" t="n">
        <v>359.95</v>
      </c>
      <c r="AN1082" t="inlineStr">
        <is>
          <t>https://tinyurl.com/ybeqhjj4</t>
        </is>
      </c>
      <c r="AO1082" t="inlineStr">
        <is>
          <t>Rossignol Blackops Smasher Skis w/ Look Xpress 10 GW Bindings</t>
        </is>
      </c>
      <c r="AP1082" t="inlineStr">
        <is>
          <t>ColoradoSkiShop.com</t>
        </is>
      </c>
      <c r="AQ1082" s="333" t="n">
        <v>359.95</v>
      </c>
      <c r="AR1082" t="inlineStr">
        <is>
          <t>https://tinyurl.com/ycr83pzh</t>
        </is>
      </c>
      <c r="AS1082" s="314">
        <f>IF(LEFT(C1082,1)=" ",RIGHT(C1082,LEN(C1082)-1),C1082)</f>
        <v/>
      </c>
      <c r="AT1082" s="281">
        <f>_xlfn.CONCAT(B1082,AS1082,D1082,E1082)</f>
        <v/>
      </c>
    </row>
    <row r="1083">
      <c r="A1083" t="inlineStr">
        <is>
          <t>21/22</t>
        </is>
      </c>
      <c r="B1083" t="inlineStr">
        <is>
          <t xml:space="preserve"> DPS</t>
        </is>
      </c>
      <c r="C1083" t="inlineStr">
        <is>
          <t>Pagoda 106 C2</t>
        </is>
      </c>
      <c r="D1083" t="n">
        <v>184</v>
      </c>
      <c r="E1083" t="inlineStr">
        <is>
          <t xml:space="preserve"> Unisex</t>
        </is>
      </c>
      <c r="F1083" t="n">
        <v>184</v>
      </c>
      <c r="G1083" t="n">
        <v>183.7</v>
      </c>
      <c r="H1083" t="n">
        <v>126</v>
      </c>
      <c r="I1083" t="n">
        <v>143</v>
      </c>
      <c r="J1083" t="n">
        <v>138</v>
      </c>
      <c r="K1083" t="n">
        <v>106</v>
      </c>
      <c r="L1083" t="n">
        <v>121</v>
      </c>
      <c r="M1083" t="n">
        <v>19.1</v>
      </c>
      <c r="N1083" t="n">
        <v>2040</v>
      </c>
      <c r="O1083" t="n">
        <v>1.04</v>
      </c>
      <c r="P1083" t="n">
        <v>2125</v>
      </c>
      <c r="Q1083" t="n">
        <v>254</v>
      </c>
      <c r="R1083" t="n">
        <v>139</v>
      </c>
      <c r="S1083" t="n">
        <v>54</v>
      </c>
      <c r="T1083" t="n">
        <v>330</v>
      </c>
      <c r="U1083" t="n">
        <v>27</v>
      </c>
      <c r="V1083" t="n">
        <v>248</v>
      </c>
      <c r="W1083" t="n">
        <v>0.501</v>
      </c>
      <c r="X1083" t="n">
        <v>214</v>
      </c>
      <c r="Y1083" t="n">
        <v>196</v>
      </c>
      <c r="Z1083" t="n">
        <v>116</v>
      </c>
      <c r="AA1083" t="n">
        <v>9</v>
      </c>
      <c r="AB1083" t="n">
        <v>10.8</v>
      </c>
      <c r="AC1083" t="inlineStr">
        <is>
          <t xml:space="preserve"> Powder</t>
        </is>
      </c>
      <c r="AG1083" t="inlineStr">
        <is>
          <t>DPS Pagoda 106 C2 Ski 184 / Blue</t>
        </is>
      </c>
      <c r="AH1083" t="inlineStr">
        <is>
          <t>Cripple Creek Backcountry</t>
        </is>
      </c>
      <c r="AI1083" s="333" t="n">
        <v>1029</v>
      </c>
      <c r="AJ1083" t="inlineStr">
        <is>
          <t>https://tinyurl.com/yambzasb</t>
        </is>
      </c>
      <c r="AK1083" t="inlineStr">
        <is>
          <t>DPS Pagoda 106 C2 Blue Skis 184cm 2022</t>
        </is>
      </c>
      <c r="AL1083" t="inlineStr">
        <is>
          <t>Powder7 Ski Shop</t>
        </is>
      </c>
      <c r="AM1083" s="333" t="n">
        <v>1039.2</v>
      </c>
      <c r="AN1083" t="inlineStr">
        <is>
          <t>https://tinyurl.com/y9uanu7y</t>
        </is>
      </c>
      <c r="AO1083" t="inlineStr">
        <is>
          <t>DPS Pagoda Tour 106 C2 Ski 2022, 184</t>
        </is>
      </c>
      <c r="AP1083" t="inlineStr">
        <is>
          <t>Gear West Ski &amp; Bike</t>
        </is>
      </c>
      <c r="AQ1083" s="333" t="n">
        <v>1299</v>
      </c>
      <c r="AR1083" t="inlineStr">
        <is>
          <t>https://tinyurl.com/y93tu7r5</t>
        </is>
      </c>
      <c r="AS1083" s="314">
        <f>IF(LEFT(C1083,1)=" ",RIGHT(C1083,LEN(C1083)-1),C1083)</f>
        <v/>
      </c>
      <c r="AT1083" s="281">
        <f>_xlfn.CONCAT(B1083,AS1083,D1083,E1083)</f>
        <v/>
      </c>
    </row>
    <row r="1084">
      <c r="A1084" t="inlineStr">
        <is>
          <t>21/22</t>
        </is>
      </c>
      <c r="B1084" t="inlineStr">
        <is>
          <t xml:space="preserve"> Salomon</t>
        </is>
      </c>
      <c r="C1084" t="inlineStr">
        <is>
          <t xml:space="preserve"> QST Blank</t>
        </is>
      </c>
      <c r="D1084" t="n">
        <v>194</v>
      </c>
      <c r="E1084" t="inlineStr">
        <is>
          <t xml:space="preserve"> Unisex</t>
        </is>
      </c>
      <c r="F1084" t="n">
        <v>194</v>
      </c>
      <c r="G1084" t="n">
        <v>193.2</v>
      </c>
      <c r="H1084" t="n">
        <v>91</v>
      </c>
      <c r="I1084" t="n">
        <v>148</v>
      </c>
      <c r="J1084" t="n">
        <v>138</v>
      </c>
      <c r="K1084" t="n">
        <v>111</v>
      </c>
      <c r="L1084" t="n">
        <v>127</v>
      </c>
      <c r="M1084" t="n">
        <v>19.3</v>
      </c>
      <c r="N1084" t="n">
        <v>2330</v>
      </c>
      <c r="O1084" t="n">
        <v>1</v>
      </c>
      <c r="P1084" t="n">
        <v>2337</v>
      </c>
      <c r="Q1084" t="n">
        <v>265</v>
      </c>
      <c r="R1084" t="n">
        <v>134</v>
      </c>
      <c r="S1084" t="n">
        <v>63</v>
      </c>
      <c r="T1084" t="n">
        <v>519</v>
      </c>
      <c r="U1084" t="n">
        <v>34</v>
      </c>
      <c r="V1084" t="n">
        <v>505</v>
      </c>
      <c r="W1084" t="n">
        <v>0.54</v>
      </c>
      <c r="X1084" t="n">
        <v>244</v>
      </c>
      <c r="Y1084" t="n">
        <v>207</v>
      </c>
      <c r="Z1084" t="n">
        <v>275</v>
      </c>
      <c r="AA1084" t="n">
        <v>3</v>
      </c>
      <c r="AB1084" t="n">
        <v>7.1</v>
      </c>
      <c r="AC1084" t="inlineStr">
        <is>
          <t xml:space="preserve"> Powder</t>
        </is>
      </c>
      <c r="AG1084" t="inlineStr">
        <is>
          <t>Salomon QST Blank Skis 2022</t>
        </is>
      </c>
      <c r="AH1084" t="inlineStr">
        <is>
          <t>Gravity Coalition</t>
        </is>
      </c>
      <c r="AI1084" s="333" t="n">
        <v>599.95</v>
      </c>
      <c r="AJ1084" t="inlineStr">
        <is>
          <t>https://tinyurl.com/yc965ml3</t>
        </is>
      </c>
      <c r="AK1084" t="inlineStr">
        <is>
          <t>Salomon QST Blank Skis 2022</t>
        </is>
      </c>
      <c r="AL1084" t="inlineStr">
        <is>
          <t>Powder7 Ski Shop</t>
        </is>
      </c>
      <c r="AM1084" s="333" t="n">
        <v>749.95</v>
      </c>
      <c r="AN1084" t="inlineStr">
        <is>
          <t>https://tinyurl.com/ycckbg7w</t>
        </is>
      </c>
      <c r="AO1084" t="inlineStr">
        <is>
          <t>Salomon QST Blank Skis - 2022 - 194cm</t>
        </is>
      </c>
      <c r="AP1084" t="inlineStr">
        <is>
          <t>ColoradoSkiShop.com</t>
        </is>
      </c>
      <c r="AQ1084" s="333" t="n">
        <v>749.99</v>
      </c>
      <c r="AR1084" t="inlineStr">
        <is>
          <t>https://tinyurl.com/ycukh7db</t>
        </is>
      </c>
      <c r="AS1084" s="314">
        <f>IF(LEFT(C1084,1)=" ",RIGHT(C1084,LEN(C1084)-1),C1084)</f>
        <v/>
      </c>
      <c r="AT1084" s="281">
        <f>_xlfn.CONCAT(B1084,AS1084,D1084,E1084)</f>
        <v/>
      </c>
    </row>
    <row r="1085">
      <c r="A1085" t="inlineStr">
        <is>
          <t>21/22</t>
        </is>
      </c>
      <c r="B1085" t="inlineStr">
        <is>
          <t xml:space="preserve"> Nordica</t>
        </is>
      </c>
      <c r="C1085" t="inlineStr">
        <is>
          <t>Enforcer 94</t>
        </is>
      </c>
      <c r="D1085" t="n">
        <v>179</v>
      </c>
      <c r="E1085" t="inlineStr">
        <is>
          <t xml:space="preserve"> Unisex</t>
        </is>
      </c>
      <c r="F1085" t="n">
        <v>179</v>
      </c>
      <c r="G1085" t="n">
        <v>178.3</v>
      </c>
      <c r="H1085" t="n">
        <v>131</v>
      </c>
      <c r="I1085" t="n">
        <v>147</v>
      </c>
      <c r="J1085" t="n">
        <v>128</v>
      </c>
      <c r="K1085" t="n">
        <v>93</v>
      </c>
      <c r="L1085" t="n">
        <v>114</v>
      </c>
      <c r="M1085" t="n">
        <v>17</v>
      </c>
      <c r="N1085" t="n">
        <v>2178</v>
      </c>
      <c r="O1085" t="n">
        <v>0.86</v>
      </c>
      <c r="P1085" t="n">
        <v>1867</v>
      </c>
      <c r="Q1085" t="n">
        <v>234</v>
      </c>
      <c r="R1085" t="n">
        <v>145</v>
      </c>
      <c r="S1085" t="n">
        <v>55</v>
      </c>
      <c r="T1085" t="n">
        <v>286</v>
      </c>
      <c r="U1085" t="n">
        <v>13</v>
      </c>
      <c r="V1085" t="n">
        <v>186</v>
      </c>
      <c r="W1085" t="n">
        <v>0.235</v>
      </c>
      <c r="X1085" t="n">
        <v>152</v>
      </c>
      <c r="Y1085" t="n">
        <v>159</v>
      </c>
      <c r="Z1085" t="n">
        <v>134</v>
      </c>
      <c r="AA1085" t="n">
        <v>7</v>
      </c>
      <c r="AB1085" t="n">
        <v>8.5</v>
      </c>
      <c r="AC1085" t="inlineStr">
        <is>
          <t xml:space="preserve"> Resort Freeride</t>
        </is>
      </c>
      <c r="AG1085" t="inlineStr">
        <is>
          <t>Nordica Enforcer 94 Skis 2022</t>
        </is>
      </c>
      <c r="AH1085" t="inlineStr">
        <is>
          <t>Ski Pro  - Snow Ski &amp; Snowboard</t>
        </is>
      </c>
      <c r="AI1085" s="333" t="n">
        <v>559.95</v>
      </c>
      <c r="AJ1085" t="inlineStr">
        <is>
          <t>https://tinyurl.com/y7nulg85</t>
        </is>
      </c>
      <c r="AK1085" t="inlineStr">
        <is>
          <t>Nordica Enforcer 94 Skis 2022</t>
        </is>
      </c>
      <c r="AL1085" t="inlineStr">
        <is>
          <t>Hillcrest Ski &amp; Sports</t>
        </is>
      </c>
      <c r="AM1085" s="333" t="n">
        <v>559.99</v>
      </c>
      <c r="AN1085" t="inlineStr">
        <is>
          <t>https://tinyurl.com/yafcmx4f</t>
        </is>
      </c>
      <c r="AO1085" t="inlineStr">
        <is>
          <t>Nordica Enforcer 94 Skis 2022</t>
        </is>
      </c>
      <c r="AP1085" t="inlineStr">
        <is>
          <t>AlpineShopVT.com</t>
        </is>
      </c>
      <c r="AQ1085" s="333" t="n">
        <v>559.99</v>
      </c>
      <c r="AR1085" t="inlineStr">
        <is>
          <t>https://tinyurl.com/y8glfhp8</t>
        </is>
      </c>
      <c r="AS1085" s="314">
        <f>IF(LEFT(C1085,1)=" ",RIGHT(C1085,LEN(C1085)-1),C1085)</f>
        <v/>
      </c>
      <c r="AT1085" s="281">
        <f>_xlfn.CONCAT(B1085,AS1085,D1085,E1085)</f>
        <v/>
      </c>
    </row>
    <row r="1086">
      <c r="A1086" t="inlineStr">
        <is>
          <t>21/22</t>
        </is>
      </c>
      <c r="B1086" t="inlineStr">
        <is>
          <t>K2</t>
        </is>
      </c>
      <c r="C1086" t="inlineStr">
        <is>
          <t>Mindbender 90C</t>
        </is>
      </c>
      <c r="D1086" t="n">
        <v>156</v>
      </c>
      <c r="E1086" t="inlineStr">
        <is>
          <t xml:space="preserve"> Unisex</t>
        </is>
      </c>
      <c r="F1086" t="n">
        <v>156</v>
      </c>
      <c r="G1086" t="n">
        <v>156.7</v>
      </c>
      <c r="H1086" t="n">
        <v>118</v>
      </c>
      <c r="I1086" t="n">
        <v>130</v>
      </c>
      <c r="J1086" t="n">
        <v>126</v>
      </c>
      <c r="K1086" t="n">
        <v>89</v>
      </c>
      <c r="L1086" t="n">
        <v>112</v>
      </c>
      <c r="M1086" t="n">
        <v>13.5</v>
      </c>
      <c r="N1086" t="n">
        <v>1373</v>
      </c>
      <c r="O1086" t="n">
        <v>1.16</v>
      </c>
      <c r="P1086" t="n">
        <v>1588</v>
      </c>
      <c r="Q1086" t="n">
        <v>117</v>
      </c>
      <c r="R1086" t="n">
        <v>60</v>
      </c>
      <c r="S1086" t="n">
        <v>49</v>
      </c>
      <c r="T1086" t="n">
        <v>225</v>
      </c>
      <c r="U1086" t="n">
        <v>16</v>
      </c>
      <c r="V1086" t="n">
        <v>161</v>
      </c>
      <c r="W1086" t="n">
        <v>0.324</v>
      </c>
      <c r="X1086" t="n">
        <v>155</v>
      </c>
      <c r="Y1086" t="n">
        <v>116</v>
      </c>
      <c r="Z1086" t="n">
        <v>71</v>
      </c>
      <c r="AA1086" t="n">
        <v>9</v>
      </c>
      <c r="AB1086" t="n">
        <v>9.699999999999999</v>
      </c>
      <c r="AC1086" t="inlineStr">
        <is>
          <t xml:space="preserve"> Resort Freeride</t>
        </is>
      </c>
      <c r="AD1086" t="inlineStr">
        <is>
          <t xml:space="preserve"> Touring</t>
        </is>
      </c>
      <c r="AG1086" t="inlineStr">
        <is>
          <t>K2 Mindbender 90C Skis 2021</t>
        </is>
      </c>
      <c r="AH1086" t="inlineStr">
        <is>
          <t>Village Sports Shop - Vermont</t>
        </is>
      </c>
      <c r="AI1086" s="333" t="n">
        <v>259.99</v>
      </c>
      <c r="AJ1086" t="inlineStr">
        <is>
          <t>https://tinyurl.com/ycln2tf8</t>
        </is>
      </c>
      <c r="AK1086" t="inlineStr">
        <is>
          <t>2023 K2 Mindbender 90C Womens 156 cm</t>
        </is>
      </c>
      <c r="AL1086" t="inlineStr">
        <is>
          <t>Alpine Options</t>
        </is>
      </c>
      <c r="AM1086" s="333" t="n">
        <v>499.95</v>
      </c>
      <c r="AN1086" t="inlineStr">
        <is>
          <t>https://tinyurl.com/ycs49ljh</t>
        </is>
      </c>
      <c r="AO1086" t="inlineStr">
        <is>
          <t>K2 Mindbender 90c Alpine Skis 156</t>
        </is>
      </c>
      <c r="AP1086" t="inlineStr">
        <is>
          <t>Level Nine Sports</t>
        </is>
      </c>
      <c r="AQ1086" s="333" t="n">
        <v>499.95</v>
      </c>
      <c r="AR1086" t="inlineStr">
        <is>
          <t>https://tinyurl.com/y7kcyq84</t>
        </is>
      </c>
      <c r="AS1086" s="314">
        <f>IF(LEFT(C1086,1)=" ",RIGHT(C1086,LEN(C1086)-1),C1086)</f>
        <v/>
      </c>
      <c r="AT1086" s="281">
        <f>_xlfn.CONCAT(B1086,AS1086,D1086,E1086)</f>
        <v/>
      </c>
    </row>
    <row r="1087">
      <c r="A1087" t="inlineStr">
        <is>
          <t>21/22</t>
        </is>
      </c>
      <c r="B1087" t="inlineStr">
        <is>
          <t xml:space="preserve"> Icelantic</t>
        </is>
      </c>
      <c r="C1087" t="inlineStr">
        <is>
          <t>Maiden 91</t>
        </is>
      </c>
      <c r="D1087" t="n">
        <v>155</v>
      </c>
      <c r="E1087" t="inlineStr">
        <is>
          <t xml:space="preserve"> Women's</t>
        </is>
      </c>
      <c r="F1087" t="n">
        <v>155</v>
      </c>
      <c r="G1087" t="n">
        <v>152.5</v>
      </c>
      <c r="H1087" t="n">
        <v>84</v>
      </c>
      <c r="I1087" t="n">
        <v>127</v>
      </c>
      <c r="J1087" t="n">
        <v>126</v>
      </c>
      <c r="K1087" t="n">
        <v>92</v>
      </c>
      <c r="L1087" t="n">
        <v>117</v>
      </c>
      <c r="M1087" t="n">
        <v>13</v>
      </c>
      <c r="N1087" t="n">
        <v>1357</v>
      </c>
      <c r="O1087" t="n">
        <v>1.16</v>
      </c>
      <c r="P1087" t="n">
        <v>1574</v>
      </c>
      <c r="Q1087" t="n">
        <v>151</v>
      </c>
      <c r="R1087" t="n">
        <v>63</v>
      </c>
      <c r="S1087" t="n">
        <v>61</v>
      </c>
      <c r="T1087" t="n">
        <v>363</v>
      </c>
      <c r="U1087" t="n">
        <v>59</v>
      </c>
      <c r="V1087" t="n">
        <v>318</v>
      </c>
      <c r="W1087" t="n">
        <v>0.961</v>
      </c>
      <c r="X1087" t="n">
        <v>123</v>
      </c>
      <c r="Y1087" t="n">
        <v>130</v>
      </c>
      <c r="Z1087" t="n">
        <v>240</v>
      </c>
      <c r="AA1087" t="n">
        <v>2</v>
      </c>
      <c r="AB1087" t="n">
        <v>8.199999999999999</v>
      </c>
      <c r="AC1087" t="inlineStr">
        <is>
          <t xml:space="preserve"> Freeski</t>
        </is>
      </c>
      <c r="AD1087" t="inlineStr">
        <is>
          <t xml:space="preserve"> Touring</t>
        </is>
      </c>
      <c r="AG1087" t="inlineStr">
        <is>
          <t>Icelantic Maiden 91 Women's Skis 155cm 2022</t>
        </is>
      </c>
      <c r="AH1087" t="inlineStr">
        <is>
          <t>Moosejaw</t>
        </is>
      </c>
      <c r="AI1087" s="333" t="n">
        <v>523.99</v>
      </c>
      <c r="AJ1087" t="inlineStr">
        <is>
          <t>https://tinyurl.com/ycgr5fbo</t>
        </is>
      </c>
      <c r="AK1087" t="inlineStr">
        <is>
          <t>Icelantic Maiden 91 Women's Skis 155cm 2022</t>
        </is>
      </c>
      <c r="AL1087" t="inlineStr">
        <is>
          <t>Curated</t>
        </is>
      </c>
      <c r="AM1087" s="333" t="n">
        <v>524</v>
      </c>
      <c r="AN1087" t="inlineStr">
        <is>
          <t>https://tinyurl.com/y7xyroe5</t>
        </is>
      </c>
      <c r="AO1087" t="inlineStr">
        <is>
          <t>Icelantic Maiden 91 Women's Skis 155cm 2022</t>
        </is>
      </c>
      <c r="AP1087" t="inlineStr">
        <is>
          <t>evo.com</t>
        </is>
      </c>
      <c r="AQ1087" s="333" t="n">
        <v>524.25</v>
      </c>
      <c r="AR1087" t="inlineStr">
        <is>
          <t>https://tinyurl.com/ycfvsp6p</t>
        </is>
      </c>
      <c r="AS1087" s="314">
        <f>IF(LEFT(C1087,1)=" ",RIGHT(C1087,LEN(C1087)-1),C1087)</f>
        <v/>
      </c>
      <c r="AT1087" s="281">
        <f>_xlfn.CONCAT(B1087,AS1087,D1087,E1087)</f>
        <v/>
      </c>
    </row>
    <row r="1088">
      <c r="A1088" t="inlineStr">
        <is>
          <t>21/22</t>
        </is>
      </c>
      <c r="B1088" t="inlineStr">
        <is>
          <t xml:space="preserve"> Blizzard</t>
        </is>
      </c>
      <c r="C1088" t="inlineStr">
        <is>
          <t>Brahma 82</t>
        </is>
      </c>
      <c r="D1088" t="n">
        <v>180</v>
      </c>
      <c r="E1088" t="inlineStr">
        <is>
          <t xml:space="preserve"> Unisex</t>
        </is>
      </c>
      <c r="F1088" t="n">
        <v>180</v>
      </c>
      <c r="G1088" t="n">
        <v>178</v>
      </c>
      <c r="H1088" t="n">
        <v>148</v>
      </c>
      <c r="I1088" t="n">
        <v>156</v>
      </c>
      <c r="J1088" t="n">
        <v>120</v>
      </c>
      <c r="K1088" t="n">
        <v>81</v>
      </c>
      <c r="L1088" t="n">
        <v>104</v>
      </c>
      <c r="M1088" t="n">
        <v>19</v>
      </c>
      <c r="N1088" t="n">
        <v>2010</v>
      </c>
      <c r="O1088" t="n">
        <v>0.83</v>
      </c>
      <c r="P1088" t="n">
        <v>1661</v>
      </c>
      <c r="Q1088" t="n">
        <v>210</v>
      </c>
      <c r="R1088" t="n">
        <v>127</v>
      </c>
      <c r="S1088" t="n">
        <v>53</v>
      </c>
      <c r="T1088" t="n">
        <v>220</v>
      </c>
      <c r="U1088" t="n">
        <v>5</v>
      </c>
      <c r="V1088" t="n">
        <v>81</v>
      </c>
      <c r="W1088" t="n">
        <v>0.096</v>
      </c>
      <c r="X1088" t="n">
        <v>119</v>
      </c>
      <c r="Y1088" t="n">
        <v>106</v>
      </c>
      <c r="Z1088" t="n">
        <v>102</v>
      </c>
      <c r="AA1088" t="n">
        <v>9</v>
      </c>
      <c r="AB1088" t="n">
        <v>11.2</v>
      </c>
      <c r="AC1088" t="inlineStr">
        <is>
          <t xml:space="preserve"> On-Piste Carving</t>
        </is>
      </c>
      <c r="AD1088" t="inlineStr">
        <is>
          <t xml:space="preserve"> On-Piste All-Mountain</t>
        </is>
      </c>
      <c r="AE1088" t="inlineStr">
        <is>
          <t xml:space="preserve"> Resort Freeride</t>
        </is>
      </c>
      <c r="AG1088" t="inlineStr">
        <is>
          <t>Blizzard Brahma 82 173 Cm Skis - Mint Condition</t>
        </is>
      </c>
      <c r="AH1088" t="inlineStr">
        <is>
          <t>eBay</t>
        </is>
      </c>
      <c r="AI1088" s="333" t="n">
        <v>328</v>
      </c>
      <c r="AJ1088" t="inlineStr">
        <is>
          <t>https://tinyurl.com/yabp9vcc</t>
        </is>
      </c>
      <c r="AK1088" t="inlineStr">
        <is>
          <t>Blizzard Brahma 82 Skis</t>
        </is>
      </c>
      <c r="AL1088" t="inlineStr">
        <is>
          <t>sunandski.com</t>
        </is>
      </c>
      <c r="AM1088" s="333" t="n">
        <v>479.93</v>
      </c>
      <c r="AN1088" t="inlineStr">
        <is>
          <t>https://tinyurl.com/yarkoe5a</t>
        </is>
      </c>
      <c r="AO1088" t="inlineStr">
        <is>
          <t>Blizzard Brahma 82 Skis</t>
        </is>
      </c>
      <c r="AP1088" t="inlineStr">
        <is>
          <t>Moosejaw</t>
        </is>
      </c>
      <c r="AQ1088" s="333" t="n">
        <v>479.99</v>
      </c>
      <c r="AR1088" t="inlineStr">
        <is>
          <t>https://tinyurl.com/y8jfa84e</t>
        </is>
      </c>
      <c r="AS1088" s="314">
        <f>IF(LEFT(C1088,1)=" ",RIGHT(C1088,LEN(C1088)-1),C1088)</f>
        <v/>
      </c>
      <c r="AT1088" s="281">
        <f>_xlfn.CONCAT(B1088,AS1088,D1088,E1088)</f>
        <v/>
      </c>
    </row>
    <row r="1089">
      <c r="A1089" t="inlineStr">
        <is>
          <t>21/22</t>
        </is>
      </c>
      <c r="B1089" t="inlineStr">
        <is>
          <t xml:space="preserve"> Blizzard</t>
        </is>
      </c>
      <c r="C1089" t="inlineStr">
        <is>
          <t>Rustler 11</t>
        </is>
      </c>
      <c r="D1089" t="n">
        <v>188</v>
      </c>
      <c r="E1089" t="inlineStr">
        <is>
          <t xml:space="preserve"> Unisex</t>
        </is>
      </c>
      <c r="F1089" t="n">
        <v>188</v>
      </c>
      <c r="G1089" t="n">
        <v>186.4</v>
      </c>
      <c r="H1089" t="n">
        <v>108</v>
      </c>
      <c r="I1089" t="n">
        <v>156</v>
      </c>
      <c r="J1089" t="n">
        <v>141</v>
      </c>
      <c r="K1089" t="n">
        <v>113</v>
      </c>
      <c r="L1089" t="n">
        <v>131</v>
      </c>
      <c r="M1089" t="n">
        <v>23</v>
      </c>
      <c r="N1089" t="n">
        <v>2186</v>
      </c>
      <c r="O1089" t="n">
        <v>1.04</v>
      </c>
      <c r="P1089" t="n">
        <v>2277</v>
      </c>
      <c r="Q1089" t="n">
        <v>268</v>
      </c>
      <c r="R1089" t="n">
        <v>129</v>
      </c>
      <c r="S1089" t="n">
        <v>61</v>
      </c>
      <c r="T1089" t="n">
        <v>440</v>
      </c>
      <c r="U1089" t="n">
        <v>31</v>
      </c>
      <c r="V1089" t="n">
        <v>340</v>
      </c>
      <c r="W1089" t="n">
        <v>0.505</v>
      </c>
      <c r="X1089" t="n">
        <v>159</v>
      </c>
      <c r="Y1089" t="n">
        <v>147</v>
      </c>
      <c r="Z1089" t="n">
        <v>281</v>
      </c>
      <c r="AA1089" t="n">
        <v>4</v>
      </c>
      <c r="AB1089" t="n">
        <v>8.1</v>
      </c>
      <c r="AC1089" t="inlineStr">
        <is>
          <t xml:space="preserve"> Powder</t>
        </is>
      </c>
      <c r="AG1089" t="inlineStr">
        <is>
          <t>Blizzard Rustler 11 Skis 2022</t>
        </is>
      </c>
      <c r="AH1089" t="inlineStr">
        <is>
          <t>Powder7 Ski Shop</t>
        </is>
      </c>
      <c r="AI1089" s="333" t="n">
        <v>699.9299999999999</v>
      </c>
      <c r="AJ1089" t="inlineStr">
        <is>
          <t>https://tinyurl.com/ya24lmro</t>
        </is>
      </c>
      <c r="AK1089" t="inlineStr">
        <is>
          <t>Blizzard Rustler 11 Skis 188cm 2023</t>
        </is>
      </c>
      <c r="AL1089" t="inlineStr">
        <is>
          <t>evo.com</t>
        </is>
      </c>
      <c r="AM1089" s="333" t="n">
        <v>799.95</v>
      </c>
      <c r="AN1089" t="inlineStr">
        <is>
          <t>https://tinyurl.com/y7b3qyxu</t>
        </is>
      </c>
      <c r="AO1089" t="inlineStr">
        <is>
          <t>'23 Blizzard Rustler 11 Skis 188cm</t>
        </is>
      </c>
      <c r="AP1089" t="inlineStr">
        <is>
          <t>Al's Ski Equipment Barn</t>
        </is>
      </c>
      <c r="AQ1089" s="333" t="n">
        <v>799.95</v>
      </c>
      <c r="AR1089" t="inlineStr">
        <is>
          <t>https://tinyurl.com/y92zgy3t</t>
        </is>
      </c>
      <c r="AS1089" s="314">
        <f>IF(LEFT(C1089,1)=" ",RIGHT(C1089,LEN(C1089)-1),C1089)</f>
        <v/>
      </c>
      <c r="AT1089" s="281">
        <f>_xlfn.CONCAT(B1089,AS1089,D1089,E1089)</f>
        <v/>
      </c>
    </row>
    <row r="1090">
      <c r="A1090" t="inlineStr">
        <is>
          <t>21/22</t>
        </is>
      </c>
      <c r="B1090" t="inlineStr">
        <is>
          <t xml:space="preserve"> Dynastar</t>
        </is>
      </c>
      <c r="C1090" t="inlineStr">
        <is>
          <t>Speed 763</t>
        </is>
      </c>
      <c r="D1090" t="n">
        <v>174</v>
      </c>
      <c r="E1090" t="inlineStr">
        <is>
          <t xml:space="preserve"> Unisex</t>
        </is>
      </c>
      <c r="F1090" t="n">
        <v>174</v>
      </c>
      <c r="G1090" t="n">
        <v>173.1</v>
      </c>
      <c r="H1090" t="n">
        <v>153</v>
      </c>
      <c r="I1090" t="n">
        <v>159</v>
      </c>
      <c r="J1090" t="n">
        <v>121</v>
      </c>
      <c r="K1090" t="n">
        <v>72</v>
      </c>
      <c r="L1090" t="n">
        <v>105</v>
      </c>
      <c r="M1090" t="n">
        <v>15.1</v>
      </c>
      <c r="N1090" t="n">
        <v>2102</v>
      </c>
      <c r="O1090" t="n">
        <v>0.72</v>
      </c>
      <c r="P1090" t="n">
        <v>1507</v>
      </c>
      <c r="Q1090" t="n">
        <v>224</v>
      </c>
      <c r="R1090" t="n">
        <v>112</v>
      </c>
      <c r="S1090" t="n">
        <v>39</v>
      </c>
      <c r="T1090" t="n">
        <v>144</v>
      </c>
      <c r="U1090" t="n">
        <v>7</v>
      </c>
      <c r="V1090" t="n">
        <v>58</v>
      </c>
      <c r="W1090" t="n">
        <v>0.177</v>
      </c>
      <c r="X1090" t="n">
        <v>82</v>
      </c>
      <c r="Y1090" t="n">
        <v>62</v>
      </c>
      <c r="Z1090" t="n">
        <v>62</v>
      </c>
      <c r="AA1090" t="n">
        <v>12</v>
      </c>
      <c r="AB1090" t="n">
        <v>11.8</v>
      </c>
      <c r="AC1090" t="inlineStr">
        <is>
          <t xml:space="preserve"> On-Piste Carving</t>
        </is>
      </c>
      <c r="AG1090" t="inlineStr">
        <is>
          <t>2022 Dynastar Speed 4x4 763 Skis with SPX 12 GW Bindings - 174| Ski Essentials</t>
        </is>
      </c>
      <c r="AH1090" t="inlineStr">
        <is>
          <t>SkiEssentials.com</t>
        </is>
      </c>
      <c r="AI1090" s="333" t="n">
        <v>899.95</v>
      </c>
      <c r="AJ1090" t="inlineStr">
        <is>
          <t>https://tinyurl.com/y7ybv5qt</t>
        </is>
      </c>
      <c r="AK1090" t="inlineStr">
        <is>
          <t>Dynastar Speed Zone 12 Ti Skis w Look SPX 12 GW Demo Bindings  Demo</t>
        </is>
      </c>
      <c r="AL1090" t="inlineStr">
        <is>
          <t>Powder7 Ski Shop</t>
        </is>
      </c>
      <c r="AM1090" s="333" t="n">
        <v>439.99</v>
      </c>
      <c r="AN1090" t="inlineStr">
        <is>
          <t>https://tinyurl.com/y7lvxxe5</t>
        </is>
      </c>
      <c r="AO1090" t="inlineStr">
        <is>
          <t>2019 Dynastar Speed Zone 10 Ti Snow Skis with Bindings (Clearance) 174</t>
        </is>
      </c>
      <c r="AP1090" t="inlineStr">
        <is>
          <t>The Pro Shop</t>
        </is>
      </c>
      <c r="AQ1090" s="333" t="n">
        <v>697</v>
      </c>
      <c r="AR1090" t="inlineStr">
        <is>
          <t>https://tinyurl.com/yax3f4we</t>
        </is>
      </c>
      <c r="AS1090" s="314">
        <f>IF(LEFT(C1090,1)=" ",RIGHT(C1090,LEN(C1090)-1),C1090)</f>
        <v/>
      </c>
      <c r="AT1090" s="281">
        <f>_xlfn.CONCAT(B1090,AS1090,D1090,E1090)</f>
        <v/>
      </c>
    </row>
    <row r="1091">
      <c r="A1091" t="inlineStr">
        <is>
          <t>21/22</t>
        </is>
      </c>
      <c r="B1091" t="inlineStr">
        <is>
          <t xml:space="preserve"> Fischer</t>
        </is>
      </c>
      <c r="C1091" t="inlineStr">
        <is>
          <t xml:space="preserve"> Nightstick Team</t>
        </is>
      </c>
      <c r="D1091" t="n">
        <v>151</v>
      </c>
      <c r="E1091" t="inlineStr">
        <is>
          <t xml:space="preserve"> Junior</t>
        </is>
      </c>
      <c r="F1091" t="n">
        <v>151</v>
      </c>
      <c r="G1091" t="n">
        <v>149.2</v>
      </c>
      <c r="H1091" t="n">
        <v>121</v>
      </c>
      <c r="I1091" t="n">
        <v>130</v>
      </c>
      <c r="J1091" t="n">
        <v>117</v>
      </c>
      <c r="K1091" t="n">
        <v>81</v>
      </c>
      <c r="L1091" t="n">
        <v>106</v>
      </c>
      <c r="M1091" t="n">
        <v>14.1</v>
      </c>
      <c r="N1091" t="n">
        <v>1365</v>
      </c>
      <c r="O1091" t="n">
        <v>1</v>
      </c>
      <c r="P1091" t="n">
        <v>1370</v>
      </c>
      <c r="Q1091" t="n">
        <v>114</v>
      </c>
      <c r="R1091" t="n">
        <v>43</v>
      </c>
      <c r="S1091" t="n">
        <v>47</v>
      </c>
      <c r="T1091" t="n">
        <v>151</v>
      </c>
      <c r="U1091" t="n">
        <v>33</v>
      </c>
      <c r="V1091" t="n">
        <v>127</v>
      </c>
      <c r="W1091" t="n">
        <v>0.71</v>
      </c>
      <c r="X1091" t="n">
        <v>100</v>
      </c>
      <c r="Y1091" t="n">
        <v>91</v>
      </c>
      <c r="Z1091" t="n">
        <v>51</v>
      </c>
      <c r="AA1091" t="n">
        <v>12</v>
      </c>
      <c r="AB1091" t="n">
        <v>-0.9</v>
      </c>
      <c r="AC1091" t="inlineStr">
        <is>
          <t xml:space="preserve"> Resort Freeride</t>
        </is>
      </c>
      <c r="AG1091" t="inlineStr">
        <is>
          <t>Fischer Nightstick Team Skis Â· 151 cm</t>
        </is>
      </c>
      <c r="AH1091" t="inlineStr">
        <is>
          <t>Curated</t>
        </is>
      </c>
      <c r="AI1091" s="333" t="n">
        <v>249.99</v>
      </c>
      <c r="AJ1091" t="inlineStr">
        <is>
          <t>https://tinyurl.com/yc946y59</t>
        </is>
      </c>
      <c r="AK1091" t="inlineStr">
        <is>
          <t>Fischer Nightstick Team Skis Â· 151 cm</t>
        </is>
      </c>
      <c r="AL1091" t="inlineStr">
        <is>
          <t>Outdoor Gear Exchange</t>
        </is>
      </c>
      <c r="AM1091" s="333" t="n">
        <v>249.99</v>
      </c>
      <c r="AN1091" t="inlineStr">
        <is>
          <t>https://tinyurl.com/y8yc8mk7</t>
        </is>
      </c>
      <c r="AS1091" s="314">
        <f>IF(LEFT(C1091,1)=" ",RIGHT(C1091,LEN(C1091)-1),C1091)</f>
        <v/>
      </c>
      <c r="AT1091" s="281">
        <f>_xlfn.CONCAT(B1091,AS1091,D1091,E1091)</f>
        <v/>
      </c>
    </row>
    <row r="1092">
      <c r="A1092" t="inlineStr">
        <is>
          <t>21/22</t>
        </is>
      </c>
      <c r="B1092" t="inlineStr">
        <is>
          <t xml:space="preserve"> Dynastar</t>
        </is>
      </c>
      <c r="C1092" t="inlineStr">
        <is>
          <t>Speed 563</t>
        </is>
      </c>
      <c r="D1092" t="n">
        <v>155</v>
      </c>
      <c r="E1092" t="inlineStr">
        <is>
          <t xml:space="preserve"> Unisex</t>
        </is>
      </c>
      <c r="F1092" t="n">
        <v>155</v>
      </c>
      <c r="G1092" t="n">
        <v>155.3</v>
      </c>
      <c r="H1092" t="n">
        <v>135</v>
      </c>
      <c r="I1092" t="n">
        <v>141</v>
      </c>
      <c r="J1092" t="n">
        <v>123</v>
      </c>
      <c r="K1092" t="n">
        <v>74</v>
      </c>
      <c r="L1092" t="n">
        <v>109</v>
      </c>
      <c r="M1092" t="n">
        <v>11.8</v>
      </c>
      <c r="N1092" t="n">
        <v>1474</v>
      </c>
      <c r="O1092" t="n">
        <v>0.9399999999999999</v>
      </c>
      <c r="P1092" t="n">
        <v>1387</v>
      </c>
      <c r="Q1092" t="n">
        <v>147</v>
      </c>
      <c r="R1092" t="n">
        <v>50</v>
      </c>
      <c r="S1092" t="n">
        <v>40</v>
      </c>
      <c r="T1092" t="n">
        <v>147</v>
      </c>
      <c r="U1092" t="n">
        <v>5</v>
      </c>
      <c r="V1092" t="n">
        <v>54</v>
      </c>
      <c r="W1092" t="n">
        <v>0.129</v>
      </c>
      <c r="X1092" t="n">
        <v>84</v>
      </c>
      <c r="Y1092" t="n">
        <v>58</v>
      </c>
      <c r="Z1092" t="n">
        <v>63</v>
      </c>
      <c r="AA1092" t="n">
        <v>7</v>
      </c>
      <c r="AB1092" t="n">
        <v>9.9</v>
      </c>
      <c r="AC1092" t="inlineStr">
        <is>
          <t xml:space="preserve"> On-Piste Carving</t>
        </is>
      </c>
      <c r="AG1092" t="inlineStr">
        <is>
          <t>Dynastar Omeglass Pro 155 cm Ski + Look NX12 Bindings Winter Sport Snow Ourdoor</t>
        </is>
      </c>
      <c r="AH1092" t="inlineStr">
        <is>
          <t>Traventuria</t>
        </is>
      </c>
      <c r="AI1092" s="333" t="n">
        <v>199.99</v>
      </c>
      <c r="AJ1092" t="inlineStr">
        <is>
          <t>https://tinyurl.com/y8mjhqb7</t>
        </is>
      </c>
      <c r="AS1092" s="314">
        <f>IF(LEFT(C1092,1)=" ",RIGHT(C1092,LEN(C1092)-1),C1092)</f>
        <v/>
      </c>
      <c r="AT1092" s="281">
        <f>_xlfn.CONCAT(B1092,AS1092,D1092,E1092)</f>
        <v/>
      </c>
    </row>
    <row r="1093">
      <c r="A1093" t="inlineStr">
        <is>
          <t>21/22</t>
        </is>
      </c>
      <c r="B1093" t="inlineStr">
        <is>
          <t xml:space="preserve"> Vï¿½lkl</t>
        </is>
      </c>
      <c r="C1093" t="inlineStr">
        <is>
          <t>Rise Beyond 96 W</t>
        </is>
      </c>
      <c r="D1093" t="n">
        <v>163</v>
      </c>
      <c r="E1093" t="inlineStr">
        <is>
          <t xml:space="preserve"> Women's</t>
        </is>
      </c>
      <c r="F1093" t="n">
        <v>163</v>
      </c>
      <c r="G1093" t="n">
        <v>162.2</v>
      </c>
      <c r="H1093" t="n">
        <v>129</v>
      </c>
      <c r="I1093" t="n">
        <v>140</v>
      </c>
      <c r="J1093" t="n">
        <v>137</v>
      </c>
      <c r="K1093" t="n">
        <v>95</v>
      </c>
      <c r="L1093" t="n">
        <v>118</v>
      </c>
      <c r="M1093" t="n">
        <v>14.7</v>
      </c>
      <c r="N1093" t="n">
        <v>1205</v>
      </c>
      <c r="O1093" t="n">
        <v>1.45</v>
      </c>
      <c r="P1093" t="n">
        <v>1750</v>
      </c>
      <c r="Q1093" t="n">
        <v>142</v>
      </c>
      <c r="R1093" t="n">
        <v>67</v>
      </c>
      <c r="S1093" t="n">
        <v>37</v>
      </c>
      <c r="T1093" t="n">
        <v>271</v>
      </c>
      <c r="U1093" t="n">
        <v>4</v>
      </c>
      <c r="V1093" t="n">
        <v>64</v>
      </c>
      <c r="W1093" t="n">
        <v>0.116999999999999</v>
      </c>
      <c r="X1093" t="n">
        <v>128</v>
      </c>
      <c r="Y1093" t="n">
        <v>92</v>
      </c>
      <c r="Z1093" t="n">
        <v>144</v>
      </c>
      <c r="AA1093" t="n">
        <v>5</v>
      </c>
      <c r="AB1093" t="n">
        <v>10.6</v>
      </c>
      <c r="AC1093" t="inlineStr">
        <is>
          <t xml:space="preserve"> Touring</t>
        </is>
      </c>
      <c r="AD1093" t="inlineStr">
        <is>
          <t xml:space="preserve"> Ultralight Touring</t>
        </is>
      </c>
      <c r="AG1093" t="inlineStr">
        <is>
          <t>'22 Volkl Rise Beyond 96 W Skis 163cm</t>
        </is>
      </c>
      <c r="AH1093" t="inlineStr">
        <is>
          <t>Al's Ski Equipment Barn</t>
        </is>
      </c>
      <c r="AI1093" s="333" t="n">
        <v>699</v>
      </c>
      <c r="AJ1093" t="inlineStr">
        <is>
          <t>https://tinyurl.com/ybntusvm</t>
        </is>
      </c>
      <c r="AK1093" t="inlineStr">
        <is>
          <t>Volkl Rise Beyond 96 Black-Orange 163 Ski Men</t>
        </is>
      </c>
      <c r="AL1093" t="inlineStr">
        <is>
          <t>! OutdoorXL.com</t>
        </is>
      </c>
      <c r="AM1093" s="333" t="n">
        <v>489.95</v>
      </c>
      <c r="AN1093" t="inlineStr">
        <is>
          <t>https://tinyurl.com/y9nyx57y</t>
        </is>
      </c>
      <c r="AO1093" t="inlineStr">
        <is>
          <t>Volklrise Beyond 96 W Ski - 2022 - Women's. 163cm /56284/</t>
        </is>
      </c>
      <c r="AP1093" t="inlineStr">
        <is>
          <t>eBay - gearoutlet</t>
        </is>
      </c>
      <c r="AQ1093" s="333" t="n">
        <v>495</v>
      </c>
      <c r="AR1093" t="inlineStr">
        <is>
          <t>https://tinyurl.com/y8benmck</t>
        </is>
      </c>
      <c r="AS1093" s="314">
        <f>IF(LEFT(C1093,1)=" ",RIGHT(C1093,LEN(C1093)-1),C1093)</f>
        <v/>
      </c>
      <c r="AT1093" s="281">
        <f>_xlfn.CONCAT(B1093,AS1093,D1093,E1093)</f>
        <v/>
      </c>
    </row>
    <row r="1094">
      <c r="A1094" t="inlineStr">
        <is>
          <t>21/22</t>
        </is>
      </c>
      <c r="B1094" t="inlineStr">
        <is>
          <t xml:space="preserve"> Salomon</t>
        </is>
      </c>
      <c r="C1094" t="inlineStr">
        <is>
          <t>QST 106</t>
        </is>
      </c>
      <c r="D1094" t="n">
        <v>188</v>
      </c>
      <c r="E1094" t="inlineStr">
        <is>
          <t xml:space="preserve"> Unisex</t>
        </is>
      </c>
      <c r="F1094" t="n">
        <v>188</v>
      </c>
      <c r="G1094" t="n">
        <v>187.7</v>
      </c>
      <c r="H1094" t="n">
        <v>113</v>
      </c>
      <c r="I1094" t="n">
        <v>157</v>
      </c>
      <c r="J1094" t="n">
        <v>139</v>
      </c>
      <c r="K1094" t="n">
        <v>104</v>
      </c>
      <c r="L1094" t="n">
        <v>125</v>
      </c>
      <c r="M1094" t="n">
        <v>21.5</v>
      </c>
      <c r="N1094" t="n">
        <v>2224</v>
      </c>
      <c r="O1094" t="n">
        <v>0.97</v>
      </c>
      <c r="P1094" t="n">
        <v>2167</v>
      </c>
      <c r="Q1094" t="n">
        <v>279</v>
      </c>
      <c r="R1094" t="n">
        <v>125</v>
      </c>
      <c r="S1094" t="n">
        <v>61</v>
      </c>
      <c r="T1094" t="n">
        <v>432</v>
      </c>
      <c r="U1094" t="n">
        <v>23</v>
      </c>
      <c r="V1094" t="n">
        <v>315</v>
      </c>
      <c r="W1094" t="n">
        <v>0.377</v>
      </c>
      <c r="X1094" t="n">
        <v>183</v>
      </c>
      <c r="Y1094" t="n">
        <v>125</v>
      </c>
      <c r="Z1094" t="n">
        <v>249</v>
      </c>
      <c r="AA1094" t="n">
        <v>6</v>
      </c>
      <c r="AB1094" t="n">
        <v>7.6</v>
      </c>
      <c r="AC1094" t="inlineStr">
        <is>
          <t xml:space="preserve"> Resort Freeride</t>
        </is>
      </c>
      <c r="AD1094" t="inlineStr">
        <is>
          <t xml:space="preserve"> Powder</t>
        </is>
      </c>
      <c r="AE1094" t="inlineStr">
        <is>
          <t xml:space="preserve"> Big Mountain</t>
        </is>
      </c>
      <c r="AG1094" t="inlineStr">
        <is>
          <t>Salomon QST 106 Skis 188cm 2021</t>
        </is>
      </c>
      <c r="AH1094" t="inlineStr">
        <is>
          <t>Powder7 Ski Shop</t>
        </is>
      </c>
      <c r="AI1094" s="333" t="n">
        <v>479.93</v>
      </c>
      <c r="AJ1094" t="inlineStr">
        <is>
          <t>https://tinyurl.com/y8dvre2f</t>
        </is>
      </c>
      <c r="AK1094" t="inlineStr">
        <is>
          <t>2022 Salomon QST 106 Demo Skis w/ Salomon Warden MNC 13 Demo Bindings - 188| Ski Essentials</t>
        </is>
      </c>
      <c r="AL1094" t="inlineStr">
        <is>
          <t>SkiEssentials.com</t>
        </is>
      </c>
      <c r="AM1094" s="333" t="n">
        <v>599</v>
      </c>
      <c r="AN1094" t="inlineStr">
        <is>
          <t>https://tinyurl.com/y87vphxm</t>
        </is>
      </c>
      <c r="AO1094" t="inlineStr">
        <is>
          <t>'22 Salomon QST 106 Skis 188cm</t>
        </is>
      </c>
      <c r="AP1094" t="inlineStr">
        <is>
          <t>Al's Ski Equipment Barn</t>
        </is>
      </c>
      <c r="AQ1094" s="333" t="n">
        <v>629.95</v>
      </c>
      <c r="AR1094" t="inlineStr">
        <is>
          <t>https://tinyurl.com/ya68r4ad</t>
        </is>
      </c>
      <c r="AS1094" s="314">
        <f>IF(LEFT(C1094,1)=" ",RIGHT(C1094,LEN(C1094)-1),C1094)</f>
        <v/>
      </c>
      <c r="AT1094" s="281">
        <f>_xlfn.CONCAT(B1094,AS1094,D1094,E1094)</f>
        <v/>
      </c>
    </row>
    <row r="1095">
      <c r="A1095" t="inlineStr">
        <is>
          <t>21/22</t>
        </is>
      </c>
      <c r="B1095" t="inlineStr">
        <is>
          <t xml:space="preserve"> Vï¿½lkl</t>
        </is>
      </c>
      <c r="C1095" t="inlineStr">
        <is>
          <t>Yumi 80</t>
        </is>
      </c>
      <c r="D1095" t="n">
        <v>154</v>
      </c>
      <c r="E1095" t="inlineStr">
        <is>
          <t xml:space="preserve"> Women's</t>
        </is>
      </c>
      <c r="F1095" t="n">
        <v>154</v>
      </c>
      <c r="G1095" t="n">
        <v>156.4</v>
      </c>
      <c r="H1095" t="n">
        <v>129</v>
      </c>
      <c r="I1095" t="n">
        <v>131</v>
      </c>
      <c r="J1095" t="n">
        <v>120</v>
      </c>
      <c r="K1095" t="n">
        <v>79</v>
      </c>
      <c r="L1095" t="n">
        <v>102</v>
      </c>
      <c r="M1095" t="n">
        <v>13.2</v>
      </c>
      <c r="N1095" t="n">
        <v>1262</v>
      </c>
      <c r="O1095" t="n">
        <v>1.14</v>
      </c>
      <c r="P1095" t="n">
        <v>1445</v>
      </c>
      <c r="Q1095" t="n">
        <v>149</v>
      </c>
      <c r="R1095" t="n">
        <v>62</v>
      </c>
      <c r="S1095" t="n">
        <v>41</v>
      </c>
      <c r="T1095" t="n">
        <v>176</v>
      </c>
      <c r="U1095" t="n">
        <v>13</v>
      </c>
      <c r="V1095" t="n">
        <v>98</v>
      </c>
      <c r="W1095" t="n">
        <v>0.311</v>
      </c>
      <c r="X1095" t="n">
        <v>142</v>
      </c>
      <c r="Y1095" t="n">
        <v>108</v>
      </c>
      <c r="Z1095" t="n">
        <v>34</v>
      </c>
      <c r="AA1095" t="n">
        <v>4</v>
      </c>
      <c r="AB1095" t="n">
        <v>11.4</v>
      </c>
      <c r="AC1095" t="inlineStr">
        <is>
          <t xml:space="preserve"> On-Piste All-Mountain</t>
        </is>
      </c>
      <c r="AD1095" t="inlineStr">
        <is>
          <t xml:space="preserve"> Touring</t>
        </is>
      </c>
      <c r="AG1095" t="inlineStr">
        <is>
          <t>Volkl Yumi 80</t>
        </is>
      </c>
      <c r="AH1095" t="inlineStr">
        <is>
          <t>AlpineShopVT.com</t>
        </is>
      </c>
      <c r="AI1095" s="333" t="n">
        <v>379.95</v>
      </c>
      <c r="AJ1095" t="inlineStr">
        <is>
          <t>https://tinyurl.com/yb2oe3wo</t>
        </is>
      </c>
      <c r="AK1095" t="inlineStr">
        <is>
          <t>Volkl Yumi 80</t>
        </is>
      </c>
      <c r="AL1095" t="inlineStr">
        <is>
          <t>Buyr.com</t>
        </is>
      </c>
      <c r="AM1095" s="333" t="n">
        <v>549.99</v>
      </c>
      <c r="AN1095" t="inlineStr">
        <is>
          <t>https://tinyurl.com/yctpx7hk</t>
        </is>
      </c>
      <c r="AO1095" t="inlineStr">
        <is>
          <t>Volkl 2022 Yumi 80 Women's Skis w/Tyrolia Attack2 11GW Bindings (154)</t>
        </is>
      </c>
      <c r="AP1095" t="inlineStr">
        <is>
          <t>SkiEssentials.com</t>
        </is>
      </c>
      <c r="AQ1095" s="333" t="n">
        <v>589.99</v>
      </c>
      <c r="AR1095" t="inlineStr">
        <is>
          <t>https://tinyurl.com/y7yrscle</t>
        </is>
      </c>
      <c r="AS1095" s="314">
        <f>IF(LEFT(C1095,1)=" ",RIGHT(C1095,LEN(C1095)-1),C1095)</f>
        <v/>
      </c>
      <c r="AT1095" s="281">
        <f>_xlfn.CONCAT(B1095,AS1095,D1095,E1095)</f>
        <v/>
      </c>
    </row>
    <row r="1096">
      <c r="A1096" t="inlineStr">
        <is>
          <t>21/22</t>
        </is>
      </c>
      <c r="B1096" t="inlineStr">
        <is>
          <t xml:space="preserve"> Vï¿½lkl</t>
        </is>
      </c>
      <c r="C1096" t="inlineStr">
        <is>
          <t>Rise Beyond 96</t>
        </is>
      </c>
      <c r="D1096" t="n">
        <v>163</v>
      </c>
      <c r="E1096" t="inlineStr">
        <is>
          <t xml:space="preserve"> Unisex</t>
        </is>
      </c>
      <c r="F1096" t="n">
        <v>163</v>
      </c>
      <c r="G1096" t="n">
        <v>162</v>
      </c>
      <c r="H1096" t="n">
        <v>126</v>
      </c>
      <c r="I1096" t="n">
        <v>140</v>
      </c>
      <c r="J1096" t="n">
        <v>137</v>
      </c>
      <c r="K1096" t="n">
        <v>95</v>
      </c>
      <c r="L1096" t="n">
        <v>118</v>
      </c>
      <c r="M1096" t="n">
        <v>14.4</v>
      </c>
      <c r="N1096" t="n">
        <v>1158</v>
      </c>
      <c r="O1096" t="n">
        <v>1.51</v>
      </c>
      <c r="P1096" t="n">
        <v>1751</v>
      </c>
      <c r="Q1096" t="n">
        <v>143</v>
      </c>
      <c r="R1096" t="n">
        <v>67</v>
      </c>
      <c r="S1096" t="n">
        <v>38</v>
      </c>
      <c r="T1096" t="n">
        <v>292</v>
      </c>
      <c r="U1096" t="n">
        <v>5</v>
      </c>
      <c r="V1096" t="n">
        <v>67</v>
      </c>
      <c r="W1096" t="n">
        <v>0.129</v>
      </c>
      <c r="X1096" t="n">
        <v>129</v>
      </c>
      <c r="Y1096" t="n">
        <v>93</v>
      </c>
      <c r="Z1096" t="n">
        <v>162</v>
      </c>
      <c r="AA1096" t="n">
        <v>3</v>
      </c>
      <c r="AB1096" t="n">
        <v>11.6</v>
      </c>
      <c r="AC1096" t="inlineStr">
        <is>
          <t xml:space="preserve"> Touring</t>
        </is>
      </c>
      <c r="AD1096" t="inlineStr">
        <is>
          <t xml:space="preserve"> Ultralight Touring</t>
        </is>
      </c>
      <c r="AG1096" t="inlineStr">
        <is>
          <t>Volkl Rise Beyond 96 Black-Orange 163 Ski Men</t>
        </is>
      </c>
      <c r="AH1096" t="inlineStr">
        <is>
          <t>! OutdoorXL.com</t>
        </is>
      </c>
      <c r="AI1096" s="333" t="n">
        <v>489.95</v>
      </c>
      <c r="AJ1096" t="inlineStr">
        <is>
          <t>https://tinyurl.com/yaxc9upo</t>
        </is>
      </c>
      <c r="AK1096" t="inlineStr">
        <is>
          <t>Volkl Rise Beyond 96 Ski 2023</t>
        </is>
      </c>
      <c r="AL1096" t="inlineStr">
        <is>
          <t>Telemark Pyrenees</t>
        </is>
      </c>
      <c r="AM1096" s="333" t="n">
        <v>640.87</v>
      </c>
      <c r="AN1096" t="inlineStr">
        <is>
          <t>https://tinyurl.com/y7rbkx49</t>
        </is>
      </c>
      <c r="AO1096" t="inlineStr">
        <is>
          <t>'22 Volkl Rise Beyond 96 W Skis 163cm</t>
        </is>
      </c>
      <c r="AP1096" t="inlineStr">
        <is>
          <t>Al's Ski Equipment Barn</t>
        </is>
      </c>
      <c r="AQ1096" s="333" t="n">
        <v>699</v>
      </c>
      <c r="AR1096" t="inlineStr">
        <is>
          <t>https://tinyurl.com/ycb3k78h</t>
        </is>
      </c>
      <c r="AS1096" s="314">
        <f>IF(LEFT(C1096,1)=" ",RIGHT(C1096,LEN(C1096)-1),C1096)</f>
        <v/>
      </c>
      <c r="AT1096" s="281">
        <f>_xlfn.CONCAT(B1096,AS1096,D1096,E1096)</f>
        <v/>
      </c>
    </row>
    <row r="1097">
      <c r="A1097" t="inlineStr">
        <is>
          <t>21/22</t>
        </is>
      </c>
      <c r="B1097" t="inlineStr">
        <is>
          <t xml:space="preserve"> Vï¿½lkl</t>
        </is>
      </c>
      <c r="C1097" t="inlineStr">
        <is>
          <t>M6 Mantra</t>
        </is>
      </c>
      <c r="D1097" t="n">
        <v>191</v>
      </c>
      <c r="E1097" t="inlineStr">
        <is>
          <t xml:space="preserve"> Unisex</t>
        </is>
      </c>
      <c r="F1097" t="n">
        <v>191</v>
      </c>
      <c r="G1097" t="n">
        <v>190.4</v>
      </c>
      <c r="H1097" t="n">
        <v>140</v>
      </c>
      <c r="I1097" t="n">
        <v>168</v>
      </c>
      <c r="J1097" t="n">
        <v>134</v>
      </c>
      <c r="K1097" t="n">
        <v>95</v>
      </c>
      <c r="L1097" t="n">
        <v>118</v>
      </c>
      <c r="M1097" t="n">
        <v>22</v>
      </c>
      <c r="N1097" t="n">
        <v>2238</v>
      </c>
      <c r="O1097" t="n">
        <v>0.91</v>
      </c>
      <c r="P1097" t="n">
        <v>2046</v>
      </c>
      <c r="Q1097" t="n">
        <v>230</v>
      </c>
      <c r="R1097" t="n">
        <v>148</v>
      </c>
      <c r="S1097" t="n">
        <v>45</v>
      </c>
      <c r="T1097" t="n">
        <v>283</v>
      </c>
      <c r="U1097" t="n">
        <v>17</v>
      </c>
      <c r="V1097" t="n">
        <v>225</v>
      </c>
      <c r="W1097" t="n">
        <v>0.38</v>
      </c>
      <c r="X1097" t="n">
        <v>126</v>
      </c>
      <c r="Y1097" t="n">
        <v>102</v>
      </c>
      <c r="Z1097" t="n">
        <v>157</v>
      </c>
      <c r="AA1097" t="n">
        <v>5</v>
      </c>
      <c r="AB1097" t="n">
        <v>11.1</v>
      </c>
      <c r="AC1097" t="inlineStr">
        <is>
          <t xml:space="preserve"> Resort Freeride</t>
        </is>
      </c>
      <c r="AG1097" t="inlineStr">
        <is>
          <t>Volkl M6 Mantra Flat Ski 2021-2022 | RED/BLACK / 191</t>
        </is>
      </c>
      <c r="AH1097" t="inlineStr">
        <is>
          <t>Ski Pro  - Snow Ski &amp; Snowboard</t>
        </is>
      </c>
      <c r="AI1097" s="333" t="n">
        <v>559.95</v>
      </c>
      <c r="AJ1097" t="inlineStr">
        <is>
          <t>https://tinyurl.com/y7z8sjux</t>
        </is>
      </c>
      <c r="AK1097" t="inlineStr">
        <is>
          <t>Volkl M6 Mantra Skis 2022</t>
        </is>
      </c>
      <c r="AL1097" t="inlineStr">
        <is>
          <t>Erik's Bike, Board and Ski</t>
        </is>
      </c>
      <c r="AM1097" s="333" t="n">
        <v>559.99</v>
      </c>
      <c r="AN1097" t="inlineStr">
        <is>
          <t>https://tinyurl.com/ydx3hggd</t>
        </is>
      </c>
      <c r="AO1097" t="inlineStr">
        <is>
          <t>Volkl M6 Mantra Skis 2022</t>
        </is>
      </c>
      <c r="AP1097" t="inlineStr">
        <is>
          <t>BlueZone Sports</t>
        </is>
      </c>
      <c r="AQ1097" s="333" t="n">
        <v>559.99</v>
      </c>
      <c r="AR1097" t="inlineStr">
        <is>
          <t>https://tinyurl.com/ybzvbu72</t>
        </is>
      </c>
      <c r="AS1097" s="314">
        <f>IF(LEFT(C1097,1)=" ",RIGHT(C1097,LEN(C1097)-1),C1097)</f>
        <v/>
      </c>
      <c r="AT1097" s="281">
        <f>_xlfn.CONCAT(B1097,AS1097,D1097,E1097)</f>
        <v/>
      </c>
    </row>
    <row r="1098">
      <c r="A1098" t="inlineStr">
        <is>
          <t>21/22</t>
        </is>
      </c>
      <c r="B1098" t="inlineStr">
        <is>
          <t xml:space="preserve"> Salomon</t>
        </is>
      </c>
      <c r="C1098" t="inlineStr">
        <is>
          <t>S/Force 80Ti</t>
        </is>
      </c>
      <c r="D1098" t="n">
        <v>163</v>
      </c>
      <c r="E1098" t="inlineStr">
        <is>
          <t xml:space="preserve"> Unisex</t>
        </is>
      </c>
      <c r="F1098" t="n">
        <v>163</v>
      </c>
      <c r="G1098" t="n">
        <v>162</v>
      </c>
      <c r="H1098" t="n">
        <v>140</v>
      </c>
      <c r="I1098" t="n">
        <v>149</v>
      </c>
      <c r="J1098" t="n">
        <v>127</v>
      </c>
      <c r="K1098" t="n">
        <v>80</v>
      </c>
      <c r="L1098" t="n">
        <v>111</v>
      </c>
      <c r="M1098" t="n">
        <v>14</v>
      </c>
      <c r="N1098" t="n">
        <v>2091</v>
      </c>
      <c r="O1098" t="n">
        <v>0.74</v>
      </c>
      <c r="P1098" t="n">
        <v>1549</v>
      </c>
      <c r="Q1098" t="n">
        <v>186</v>
      </c>
      <c r="R1098" t="n">
        <v>125</v>
      </c>
      <c r="S1098" t="n">
        <v>43</v>
      </c>
      <c r="T1098" t="n">
        <v>169</v>
      </c>
      <c r="U1098" t="n">
        <v>4</v>
      </c>
      <c r="V1098" t="n">
        <v>53</v>
      </c>
      <c r="W1098" t="n">
        <v>0.103</v>
      </c>
      <c r="X1098" t="n">
        <v>87</v>
      </c>
      <c r="Y1098" t="n">
        <v>40</v>
      </c>
      <c r="Z1098" t="n">
        <v>82</v>
      </c>
      <c r="AA1098" t="n">
        <v>11</v>
      </c>
      <c r="AB1098" t="n">
        <v>11.7</v>
      </c>
      <c r="AC1098" t="inlineStr">
        <is>
          <t xml:space="preserve"> On-Piste Carving</t>
        </is>
      </c>
      <c r="AD1098" t="inlineStr">
        <is>
          <t xml:space="preserve"> Resort Freeride</t>
        </is>
      </c>
      <c r="AG1098" t="inlineStr">
        <is>
          <t>Salomon S/Force Fever Skis with M11 GW Bindings Â· Women's Â· 163 cm</t>
        </is>
      </c>
      <c r="AH1098" t="inlineStr">
        <is>
          <t>The-House.com</t>
        </is>
      </c>
      <c r="AI1098" s="333" t="n">
        <v>479.95</v>
      </c>
      <c r="AJ1098" t="inlineStr">
        <is>
          <t>https://tinyurl.com/ycul63zk</t>
        </is>
      </c>
      <c r="AK1098" t="inlineStr">
        <is>
          <t>Salomon S/Force 9 + Z10 GW 19/20"</t>
        </is>
      </c>
      <c r="AL1098" t="inlineStr">
        <is>
          <t>wikdeal</t>
        </is>
      </c>
      <c r="AM1098" s="333" t="n">
        <v>599.95</v>
      </c>
      <c r="AN1098" t="inlineStr">
        <is>
          <t>https://tinyurl.com/ychzn58r</t>
        </is>
      </c>
      <c r="AO1098" t="inlineStr">
        <is>
          <t>Salomon S/Force Fx.76 Skis w/ M11 GW Bindings</t>
        </is>
      </c>
      <c r="AP1098" t="inlineStr">
        <is>
          <t>Curated</t>
        </is>
      </c>
      <c r="AQ1098" s="333" t="n">
        <v>599.99</v>
      </c>
      <c r="AR1098" t="inlineStr">
        <is>
          <t>https://tinyurl.com/y92om993</t>
        </is>
      </c>
      <c r="AS1098" s="314">
        <f>IF(LEFT(C1098,1)=" ",RIGHT(C1098,LEN(C1098)-1),C1098)</f>
        <v/>
      </c>
      <c r="AT1098" s="281">
        <f>_xlfn.CONCAT(B1098,AS1098,D1098,E1098)</f>
        <v/>
      </c>
    </row>
    <row r="1099">
      <c r="A1099" t="inlineStr">
        <is>
          <t>21/22</t>
        </is>
      </c>
      <c r="B1099" t="inlineStr">
        <is>
          <t xml:space="preserve"> Vï¿½lkl</t>
        </is>
      </c>
      <c r="C1099" t="inlineStr">
        <is>
          <t>Katana 108</t>
        </is>
      </c>
      <c r="D1099" t="n">
        <v>170</v>
      </c>
      <c r="E1099" t="inlineStr">
        <is>
          <t xml:space="preserve"> Unisex</t>
        </is>
      </c>
      <c r="F1099" t="n">
        <v>170</v>
      </c>
      <c r="G1099" t="n">
        <v>170.7</v>
      </c>
      <c r="H1099" t="n">
        <v>114</v>
      </c>
      <c r="I1099" t="n">
        <v>147</v>
      </c>
      <c r="J1099" t="n">
        <v>145</v>
      </c>
      <c r="K1099" t="n">
        <v>107</v>
      </c>
      <c r="L1099" t="n">
        <v>128</v>
      </c>
      <c r="M1099" t="n">
        <v>17.5</v>
      </c>
      <c r="N1099" t="n">
        <v>2106</v>
      </c>
      <c r="O1099" t="n">
        <v>0.96</v>
      </c>
      <c r="P1099" t="n">
        <v>2025</v>
      </c>
      <c r="Q1099" t="n">
        <v>232</v>
      </c>
      <c r="R1099" t="n">
        <v>158</v>
      </c>
      <c r="S1099" t="n">
        <v>52</v>
      </c>
      <c r="T1099" t="n">
        <v>337</v>
      </c>
      <c r="U1099" t="n">
        <v>17</v>
      </c>
      <c r="V1099" t="n">
        <v>228</v>
      </c>
      <c r="W1099" t="n">
        <v>0.327</v>
      </c>
      <c r="X1099" t="n">
        <v>136</v>
      </c>
      <c r="Y1099" t="n">
        <v>100</v>
      </c>
      <c r="Z1099" t="n">
        <v>201</v>
      </c>
      <c r="AA1099" t="n">
        <v>3</v>
      </c>
      <c r="AB1099" t="n">
        <v>11.7</v>
      </c>
      <c r="AC1099" t="inlineStr">
        <is>
          <t xml:space="preserve"> Big Mountain</t>
        </is>
      </c>
      <c r="AG1099" t="inlineStr">
        <is>
          <t>Volkl Katana 108 Skis 170cm 2022</t>
        </is>
      </c>
      <c r="AH1099" t="inlineStr">
        <is>
          <t>Snowcountry.eu</t>
        </is>
      </c>
      <c r="AI1099" s="333" t="n">
        <v>548.46</v>
      </c>
      <c r="AJ1099" t="inlineStr">
        <is>
          <t>https://tinyurl.com/yctzqwcd</t>
        </is>
      </c>
      <c r="AK1099" t="inlineStr">
        <is>
          <t>'21 Volkl Katana 108 Skis 170cm</t>
        </is>
      </c>
      <c r="AL1099" t="inlineStr">
        <is>
          <t>Al's Ski Equipment Barn</t>
        </is>
      </c>
      <c r="AM1099" s="333" t="n">
        <v>599.95</v>
      </c>
      <c r="AN1099" t="inlineStr">
        <is>
          <t>https://tinyurl.com/y7a7k4wu</t>
        </is>
      </c>
      <c r="AO1099" t="inlineStr">
        <is>
          <t>Volkl Katana 108 Skis 170cm 2022</t>
        </is>
      </c>
      <c r="AP1099" t="inlineStr">
        <is>
          <t>Next Adventure</t>
        </is>
      </c>
      <c r="AQ1099" s="333" t="n">
        <v>639.99</v>
      </c>
      <c r="AR1099" t="inlineStr">
        <is>
          <t>https://tinyurl.com/y9n3lms4</t>
        </is>
      </c>
      <c r="AS1099" s="314">
        <f>IF(LEFT(C1099,1)=" ",RIGHT(C1099,LEN(C1099)-1),C1099)</f>
        <v/>
      </c>
      <c r="AT1099" s="281">
        <f>_xlfn.CONCAT(B1099,AS1099,D1099,E1099)</f>
        <v/>
      </c>
    </row>
    <row r="1100">
      <c r="A1100" t="inlineStr">
        <is>
          <t>21/22</t>
        </is>
      </c>
      <c r="B1100" t="inlineStr">
        <is>
          <t xml:space="preserve"> Salomon</t>
        </is>
      </c>
      <c r="C1100" t="inlineStr">
        <is>
          <t>QST 85</t>
        </is>
      </c>
      <c r="D1100" t="n">
        <v>185</v>
      </c>
      <c r="E1100" t="inlineStr">
        <is>
          <t xml:space="preserve"> Unisex</t>
        </is>
      </c>
      <c r="F1100" t="n">
        <v>185</v>
      </c>
      <c r="G1100" t="n">
        <v>184.3</v>
      </c>
      <c r="H1100" t="n">
        <v>146</v>
      </c>
      <c r="I1100" t="n">
        <v>152</v>
      </c>
      <c r="J1100" t="n">
        <v>130</v>
      </c>
      <c r="K1100" t="n">
        <v>84</v>
      </c>
      <c r="L1100" t="n">
        <v>114</v>
      </c>
      <c r="M1100" t="n">
        <v>14</v>
      </c>
      <c r="N1100" t="n">
        <v>2285</v>
      </c>
      <c r="O1100" t="n">
        <v>0.8100000000000001</v>
      </c>
      <c r="P1100" t="n">
        <v>1843</v>
      </c>
      <c r="Q1100" t="n">
        <v>279</v>
      </c>
      <c r="R1100" t="n">
        <v>127</v>
      </c>
      <c r="S1100" t="n">
        <v>35</v>
      </c>
      <c r="T1100" t="n">
        <v>257</v>
      </c>
      <c r="U1100" t="n">
        <v>6</v>
      </c>
      <c r="V1100" t="n">
        <v>128</v>
      </c>
      <c r="W1100" t="n">
        <v>0.161</v>
      </c>
      <c r="X1100" t="n">
        <v>196</v>
      </c>
      <c r="Y1100" t="n">
        <v>127</v>
      </c>
      <c r="Z1100" t="n">
        <v>61</v>
      </c>
      <c r="AA1100" t="n">
        <v>12</v>
      </c>
      <c r="AB1100" t="n">
        <v>7.7</v>
      </c>
      <c r="AC1100" t="inlineStr">
        <is>
          <t xml:space="preserve"> On-Piste All-Mountain</t>
        </is>
      </c>
      <c r="AD1100" t="inlineStr">
        <is>
          <t xml:space="preserve"> Resort Freeride</t>
        </is>
      </c>
      <c r="AG1100" t="inlineStr">
        <is>
          <t>16-17 Salomon Qst 85  Men's Demo Skis W/bindings Size 185cm 9561</t>
        </is>
      </c>
      <c r="AH1100" t="inlineStr">
        <is>
          <t>eBay - demo-skis</t>
        </is>
      </c>
      <c r="AI1100" s="333" t="n">
        <v>279</v>
      </c>
      <c r="AJ1100" t="inlineStr">
        <is>
          <t>https://tinyurl.com/y95qyx4y</t>
        </is>
      </c>
      <c r="AK1100" t="inlineStr">
        <is>
          <t>Salomon Qst 85 Flat Mount Men's Snow Skis 185</t>
        </is>
      </c>
      <c r="AL1100" t="inlineStr">
        <is>
          <t>eBay - skiba5827</t>
        </is>
      </c>
      <c r="AM1100" s="333" t="n">
        <v>369</v>
      </c>
      <c r="AN1100" t="inlineStr">
        <is>
          <t>https://tinyurl.com/yaph3lcm</t>
        </is>
      </c>
      <c r="AO1100" t="inlineStr">
        <is>
          <t>Salomon QST 92 Skis</t>
        </is>
      </c>
      <c r="AP1100" t="inlineStr">
        <is>
          <t>The-House.com</t>
        </is>
      </c>
      <c r="AQ1100" s="333" t="n">
        <v>383.95</v>
      </c>
      <c r="AR1100" t="inlineStr">
        <is>
          <t>https://tinyurl.com/y7agxbbn</t>
        </is>
      </c>
      <c r="AS1100" s="314">
        <f>IF(LEFT(C1100,1)=" ",RIGHT(C1100,LEN(C1100)-1),C1100)</f>
        <v/>
      </c>
      <c r="AT1100" s="281">
        <f>_xlfn.CONCAT(B1100,AS1100,D1100,E1100)</f>
        <v/>
      </c>
    </row>
    <row r="1101">
      <c r="A1101" t="inlineStr">
        <is>
          <t>21/22</t>
        </is>
      </c>
      <c r="B1101" t="inlineStr">
        <is>
          <t xml:space="preserve"> Dynafit</t>
        </is>
      </c>
      <c r="C1101" t="inlineStr">
        <is>
          <t>Blacklight 88 W</t>
        </is>
      </c>
      <c r="D1101" t="n">
        <v>158</v>
      </c>
      <c r="E1101" t="inlineStr">
        <is>
          <t xml:space="preserve"> Women's</t>
        </is>
      </c>
      <c r="F1101" t="n">
        <v>158</v>
      </c>
      <c r="G1101" t="n">
        <v>156.2</v>
      </c>
      <c r="H1101" t="n">
        <v>109</v>
      </c>
      <c r="I1101" t="n">
        <v>134</v>
      </c>
      <c r="J1101" t="n">
        <v>121</v>
      </c>
      <c r="K1101" t="n">
        <v>85</v>
      </c>
      <c r="L1101" t="n">
        <v>108</v>
      </c>
      <c r="M1101" t="n">
        <v>14.9</v>
      </c>
      <c r="N1101" t="n">
        <v>1055</v>
      </c>
      <c r="O1101" t="n">
        <v>1.41</v>
      </c>
      <c r="P1101" t="n">
        <v>1491</v>
      </c>
      <c r="Q1101" t="n">
        <v>196</v>
      </c>
      <c r="R1101" t="n">
        <v>68</v>
      </c>
      <c r="S1101" t="n">
        <v>52</v>
      </c>
      <c r="T1101" t="n">
        <v>312</v>
      </c>
      <c r="U1101" t="n">
        <v>12</v>
      </c>
      <c r="V1101" t="n">
        <v>162</v>
      </c>
      <c r="W1101" t="n">
        <v>0.228</v>
      </c>
      <c r="X1101" t="n">
        <v>136</v>
      </c>
      <c r="Y1101" t="n">
        <v>90</v>
      </c>
      <c r="Z1101" t="n">
        <v>176</v>
      </c>
      <c r="AA1101" t="n">
        <v>4</v>
      </c>
      <c r="AB1101" t="n">
        <v>12.6</v>
      </c>
      <c r="AC1101" t="inlineStr">
        <is>
          <t xml:space="preserve"> Touring</t>
        </is>
      </c>
      <c r="AD1101" t="inlineStr">
        <is>
          <t xml:space="preserve"> Ultralight Touring</t>
        </is>
      </c>
      <c r="AG1101" t="inlineStr">
        <is>
          <t>Dynafit Blacklight 88 W Alpine Touring Ski 158</t>
        </is>
      </c>
      <c r="AH1101" t="inlineStr">
        <is>
          <t>Cripple Creek Backcountry</t>
        </is>
      </c>
      <c r="AI1101" s="333" t="n">
        <v>549.95</v>
      </c>
      <c r="AJ1101" t="inlineStr">
        <is>
          <t>https://tinyurl.com/y9dr9fy4</t>
        </is>
      </c>
      <c r="AK1101" t="inlineStr">
        <is>
          <t>Dynafit Blacklight 88 Women Ski 2022</t>
        </is>
      </c>
      <c r="AL1101" t="inlineStr">
        <is>
          <t>Next Adventure</t>
        </is>
      </c>
      <c r="AM1101" s="333" t="n">
        <v>489.97</v>
      </c>
      <c r="AN1101" t="inlineStr">
        <is>
          <t>https://tinyurl.com/yblzzpwh</t>
        </is>
      </c>
      <c r="AO1101" t="inlineStr">
        <is>
          <t>Dynafit Blacklight 88 Women Ski 2022</t>
        </is>
      </c>
      <c r="AP1101" t="inlineStr">
        <is>
          <t>! OutdoorXL.com</t>
        </is>
      </c>
      <c r="AQ1101" s="333" t="n">
        <v>524.95</v>
      </c>
      <c r="AR1101" t="inlineStr">
        <is>
          <t>https://tinyurl.com/ya93wkx4</t>
        </is>
      </c>
      <c r="AS1101" s="314">
        <f>IF(LEFT(C1101,1)=" ",RIGHT(C1101,LEN(C1101)-1),C1101)</f>
        <v/>
      </c>
      <c r="AT1101" s="281">
        <f>_xlfn.CONCAT(B1101,AS1101,D1101,E1101)</f>
        <v/>
      </c>
    </row>
    <row r="1102">
      <c r="A1102" t="inlineStr">
        <is>
          <t>21/22</t>
        </is>
      </c>
      <c r="B1102" t="inlineStr">
        <is>
          <t xml:space="preserve"> Raccoon</t>
        </is>
      </c>
      <c r="C1102" t="inlineStr">
        <is>
          <t>Chinook 99</t>
        </is>
      </c>
      <c r="D1102" t="n">
        <v>164</v>
      </c>
      <c r="E1102" t="inlineStr">
        <is>
          <t xml:space="preserve"> Unisex</t>
        </is>
      </c>
      <c r="F1102" t="n">
        <v>164</v>
      </c>
      <c r="G1102" t="n">
        <v>162.3</v>
      </c>
      <c r="H1102" t="n">
        <v>99</v>
      </c>
      <c r="I1102" t="n">
        <v>135</v>
      </c>
      <c r="J1102" t="n">
        <v>129</v>
      </c>
      <c r="K1102" t="n">
        <v>98</v>
      </c>
      <c r="L1102" t="n">
        <v>120</v>
      </c>
      <c r="M1102" t="n">
        <v>16</v>
      </c>
      <c r="N1102" t="n">
        <v>1345</v>
      </c>
      <c r="O1102" t="n">
        <v>1.31</v>
      </c>
      <c r="P1102" t="n">
        <v>1767</v>
      </c>
      <c r="Q1102" t="n">
        <v>177</v>
      </c>
      <c r="R1102" t="n">
        <v>44</v>
      </c>
      <c r="S1102" t="n">
        <v>72</v>
      </c>
      <c r="T1102" t="n">
        <v>387</v>
      </c>
      <c r="U1102" t="n">
        <v>30</v>
      </c>
      <c r="V1102" t="n">
        <v>249</v>
      </c>
      <c r="W1102" t="n">
        <v>0.411</v>
      </c>
      <c r="X1102" t="n">
        <v>147</v>
      </c>
      <c r="Y1102" t="n">
        <v>122</v>
      </c>
      <c r="Z1102" t="n">
        <v>240</v>
      </c>
      <c r="AA1102" t="n">
        <v>5</v>
      </c>
      <c r="AB1102" t="n">
        <v>10.5</v>
      </c>
      <c r="AC1102" t="inlineStr">
        <is>
          <t xml:space="preserve"> Touring</t>
        </is>
      </c>
      <c r="AD1102" t="inlineStr">
        <is>
          <t xml:space="preserve"> Ultralight Touring</t>
        </is>
      </c>
      <c r="AS1102" s="314">
        <f>IF(LEFT(C1102,1)=" ",RIGHT(C1102,LEN(C1102)-1),C1102)</f>
        <v/>
      </c>
      <c r="AT1102" s="281">
        <f>_xlfn.CONCAT(B1102,AS1102,D1102,E1102)</f>
        <v/>
      </c>
    </row>
    <row r="1103">
      <c r="A1103" t="inlineStr">
        <is>
          <t>21/22</t>
        </is>
      </c>
      <c r="B1103" t="inlineStr">
        <is>
          <t xml:space="preserve"> Fischer</t>
        </is>
      </c>
      <c r="C1103" t="inlineStr">
        <is>
          <t>Ranger 99 Ti</t>
        </is>
      </c>
      <c r="D1103" t="n">
        <v>188</v>
      </c>
      <c r="E1103" t="inlineStr">
        <is>
          <t xml:space="preserve"> Unisex</t>
        </is>
      </c>
      <c r="F1103" t="n">
        <v>188</v>
      </c>
      <c r="G1103" t="n">
        <v>187.6</v>
      </c>
      <c r="H1103" t="n">
        <v>127</v>
      </c>
      <c r="I1103" t="n">
        <v>160</v>
      </c>
      <c r="J1103" t="n">
        <v>130</v>
      </c>
      <c r="K1103" t="n">
        <v>98</v>
      </c>
      <c r="L1103" t="n">
        <v>122</v>
      </c>
      <c r="M1103" t="n">
        <v>19.1</v>
      </c>
      <c r="N1103" t="n">
        <v>2115</v>
      </c>
      <c r="O1103" t="n">
        <v>0.97</v>
      </c>
      <c r="P1103" t="n">
        <v>2062</v>
      </c>
      <c r="Q1103" t="n">
        <v>235</v>
      </c>
      <c r="R1103" t="n">
        <v>152</v>
      </c>
      <c r="S1103" t="n">
        <v>50</v>
      </c>
      <c r="T1103" t="n">
        <v>351</v>
      </c>
      <c r="U1103" t="n">
        <v>22</v>
      </c>
      <c r="V1103" t="n">
        <v>254</v>
      </c>
      <c r="W1103" t="n">
        <v>0.437999999999999</v>
      </c>
      <c r="X1103" t="n">
        <v>147</v>
      </c>
      <c r="Y1103" t="n">
        <v>131</v>
      </c>
      <c r="Z1103" t="n">
        <v>204</v>
      </c>
      <c r="AA1103" t="n">
        <v>6</v>
      </c>
      <c r="AB1103" t="n">
        <v>9.300000000000001</v>
      </c>
      <c r="AC1103" t="inlineStr">
        <is>
          <t xml:space="preserve"> Resort Freeride</t>
        </is>
      </c>
      <c r="AG1103" t="inlineStr">
        <is>
          <t>Fischer Ranger 99 Ti Skis</t>
        </is>
      </c>
      <c r="AH1103" t="inlineStr">
        <is>
          <t>Gear West Ski &amp; Bike</t>
        </is>
      </c>
      <c r="AI1103" s="333" t="n">
        <v>429</v>
      </c>
      <c r="AJ1103" t="inlineStr">
        <is>
          <t>https://tinyurl.com/y7bk4r9w</t>
        </is>
      </c>
      <c r="AK1103" t="inlineStr">
        <is>
          <t>Fischer Ranger 99 Ti Skis with Tyrolia Attack 13 Demo Bindings 188cm (1101042)</t>
        </is>
      </c>
      <c r="AL1103" t="inlineStr">
        <is>
          <t>SidelineSwap</t>
        </is>
      </c>
      <c r="AM1103" s="333" t="n">
        <v>499</v>
      </c>
      <c r="AN1103" t="inlineStr">
        <is>
          <t>https://tinyurl.com/ycxgu8by</t>
        </is>
      </c>
      <c r="AO1103" t="inlineStr">
        <is>
          <t>Fischer Ranger 99 Ti Ski 2022</t>
        </is>
      </c>
      <c r="AP1103" t="inlineStr">
        <is>
          <t>Level Nine Sports</t>
        </is>
      </c>
      <c r="AQ1103" s="333" t="n">
        <v>499.99</v>
      </c>
      <c r="AR1103" t="inlineStr">
        <is>
          <t>https://tinyurl.com/y79y8ns2</t>
        </is>
      </c>
      <c r="AS1103" s="314">
        <f>IF(LEFT(C1103,1)=" ",RIGHT(C1103,LEN(C1103)-1),C1103)</f>
        <v/>
      </c>
      <c r="AT1103" s="281">
        <f>_xlfn.CONCAT(B1103,AS1103,D1103,E1103)</f>
        <v/>
      </c>
    </row>
    <row r="1104">
      <c r="A1104" t="inlineStr">
        <is>
          <t>21/22</t>
        </is>
      </c>
      <c r="B1104" t="inlineStr">
        <is>
          <t>K2</t>
        </is>
      </c>
      <c r="C1104" t="inlineStr">
        <is>
          <t>Talkback 96</t>
        </is>
      </c>
      <c r="D1104" t="n">
        <v>163</v>
      </c>
      <c r="E1104" t="inlineStr">
        <is>
          <t xml:space="preserve"> Women's</t>
        </is>
      </c>
      <c r="F1104" t="n">
        <v>163</v>
      </c>
      <c r="G1104" t="n">
        <v>162.7</v>
      </c>
      <c r="H1104" t="n">
        <v>116</v>
      </c>
      <c r="I1104" t="n">
        <v>136</v>
      </c>
      <c r="J1104" t="n">
        <v>126</v>
      </c>
      <c r="K1104" t="n">
        <v>95</v>
      </c>
      <c r="L1104" t="n">
        <v>114</v>
      </c>
      <c r="M1104" t="n">
        <v>18</v>
      </c>
      <c r="N1104" t="n">
        <v>1206</v>
      </c>
      <c r="O1104" t="n">
        <v>1.41</v>
      </c>
      <c r="P1104" t="n">
        <v>1700</v>
      </c>
      <c r="Q1104" t="n">
        <v>151</v>
      </c>
      <c r="R1104" t="n">
        <v>65</v>
      </c>
      <c r="S1104" t="n">
        <v>51</v>
      </c>
      <c r="T1104" t="n">
        <v>304</v>
      </c>
      <c r="U1104" t="n">
        <v>11</v>
      </c>
      <c r="V1104" t="n">
        <v>165</v>
      </c>
      <c r="W1104" t="n">
        <v>0.226</v>
      </c>
      <c r="X1104" t="n">
        <v>160</v>
      </c>
      <c r="Y1104" t="n">
        <v>108</v>
      </c>
      <c r="Z1104" t="n">
        <v>144</v>
      </c>
      <c r="AA1104" t="n">
        <v>5</v>
      </c>
      <c r="AB1104" t="n">
        <v>11.8</v>
      </c>
      <c r="AC1104" t="inlineStr">
        <is>
          <t xml:space="preserve"> Touring</t>
        </is>
      </c>
      <c r="AD1104" t="inlineStr">
        <is>
          <t xml:space="preserve"> Ultralight Touring</t>
        </is>
      </c>
      <c r="AG1104" t="inlineStr">
        <is>
          <t>K2 Talkback 96</t>
        </is>
      </c>
      <c r="AH1104" t="inlineStr">
        <is>
          <t>Snowcountry.eu</t>
        </is>
      </c>
      <c r="AI1104" s="333" t="n">
        <v>404.68</v>
      </c>
      <c r="AJ1104" t="inlineStr">
        <is>
          <t>https://tinyurl.com/yb3gkn23</t>
        </is>
      </c>
      <c r="AK1104" t="inlineStr">
        <is>
          <t>K2 Talkback 96</t>
        </is>
      </c>
      <c r="AL1104" t="inlineStr">
        <is>
          <t>Snowinn.com</t>
        </is>
      </c>
      <c r="AM1104" s="333" t="n">
        <v>435.49</v>
      </c>
      <c r="AN1104" t="inlineStr">
        <is>
          <t>https://tinyurl.com/y8869hge</t>
        </is>
      </c>
      <c r="AO1104" t="inlineStr">
        <is>
          <t>K2 Talkback 96</t>
        </is>
      </c>
      <c r="AP1104" t="inlineStr">
        <is>
          <t>evo.com</t>
        </is>
      </c>
      <c r="AQ1104" s="333" t="n">
        <v>699.95</v>
      </c>
      <c r="AR1104" t="inlineStr">
        <is>
          <t>https://tinyurl.com/ycgqgj6f</t>
        </is>
      </c>
      <c r="AS1104" s="314">
        <f>IF(LEFT(C1104,1)=" ",RIGHT(C1104,LEN(C1104)-1),C1104)</f>
        <v/>
      </c>
      <c r="AT1104" s="281">
        <f>_xlfn.CONCAT(B1104,AS1104,D1104,E1104)</f>
        <v/>
      </c>
    </row>
    <row r="1105">
      <c r="A1105" t="inlineStr">
        <is>
          <t>21/22</t>
        </is>
      </c>
      <c r="B1105" t="inlineStr">
        <is>
          <t xml:space="preserve"> Vï¿½lkl</t>
        </is>
      </c>
      <c r="C1105" t="inlineStr">
        <is>
          <t>Mantra 102</t>
        </is>
      </c>
      <c r="D1105" t="n">
        <v>177</v>
      </c>
      <c r="E1105" t="inlineStr">
        <is>
          <t xml:space="preserve"> Unisex</t>
        </is>
      </c>
      <c r="F1105" t="n">
        <v>177</v>
      </c>
      <c r="G1105" t="n">
        <v>178.2</v>
      </c>
      <c r="H1105" t="n">
        <v>130</v>
      </c>
      <c r="I1105" t="n">
        <v>155</v>
      </c>
      <c r="J1105" t="n">
        <v>139</v>
      </c>
      <c r="K1105" t="n">
        <v>101</v>
      </c>
      <c r="L1105" t="n">
        <v>122</v>
      </c>
      <c r="M1105" t="n">
        <v>20.1</v>
      </c>
      <c r="N1105" t="n">
        <v>2138</v>
      </c>
      <c r="O1105" t="n">
        <v>0.9399999999999999</v>
      </c>
      <c r="P1105" t="n">
        <v>2008</v>
      </c>
      <c r="Q1105" t="n">
        <v>209</v>
      </c>
      <c r="R1105" t="n">
        <v>150</v>
      </c>
      <c r="S1105" t="n">
        <v>53</v>
      </c>
      <c r="T1105" t="n">
        <v>281</v>
      </c>
      <c r="U1105" t="n">
        <v>17</v>
      </c>
      <c r="V1105" t="n">
        <v>201</v>
      </c>
      <c r="W1105" t="n">
        <v>0.33</v>
      </c>
      <c r="X1105" t="n">
        <v>132</v>
      </c>
      <c r="Y1105" t="n">
        <v>102</v>
      </c>
      <c r="Z1105" t="n">
        <v>149</v>
      </c>
      <c r="AA1105" t="n">
        <v>5</v>
      </c>
      <c r="AB1105" t="n">
        <v>11.1</v>
      </c>
      <c r="AC1105" t="inlineStr">
        <is>
          <t xml:space="preserve"> Resort Freeride</t>
        </is>
      </c>
      <c r="AD1105" t="inlineStr">
        <is>
          <t xml:space="preserve"> Big Mountain</t>
        </is>
      </c>
      <c r="AG1105" t="inlineStr">
        <is>
          <t>Volkl 2022 Mantra 102 Skis</t>
        </is>
      </c>
      <c r="AH1105" t="inlineStr">
        <is>
          <t>Snowcountry.eu</t>
        </is>
      </c>
      <c r="AI1105" s="333" t="n">
        <v>460</v>
      </c>
      <c r="AJ1105" t="inlineStr">
        <is>
          <t>https://tinyurl.com/ycdbejnz</t>
        </is>
      </c>
      <c r="AK1105" t="inlineStr">
        <is>
          <t>Volkl Mantra 102 Ski 177cm</t>
        </is>
      </c>
      <c r="AL1105" t="inlineStr">
        <is>
          <t>Sundance Ski and Board Shop</t>
        </is>
      </c>
      <c r="AM1105" s="333" t="n">
        <v>480.86</v>
      </c>
      <c r="AN1105" t="inlineStr">
        <is>
          <t>https://tinyurl.com/y8hczl7r</t>
        </is>
      </c>
      <c r="AO1105" t="inlineStr">
        <is>
          <t>Volkl 2022 Mantra 102 Skis</t>
        </is>
      </c>
      <c r="AP1105" t="inlineStr">
        <is>
          <t>Telemark Pyrenees</t>
        </is>
      </c>
      <c r="AQ1105" s="333" t="n">
        <v>504.17</v>
      </c>
      <c r="AR1105" t="inlineStr">
        <is>
          <t>https://tinyurl.com/ya25wf59</t>
        </is>
      </c>
      <c r="AS1105" s="314">
        <f>IF(LEFT(C1105,1)=" ",RIGHT(C1105,LEN(C1105)-1),C1105)</f>
        <v/>
      </c>
      <c r="AT1105" s="281">
        <f>_xlfn.CONCAT(B1105,AS1105,D1105,E1105)</f>
        <v/>
      </c>
    </row>
    <row r="1106">
      <c r="A1106" t="inlineStr">
        <is>
          <t>21/22</t>
        </is>
      </c>
      <c r="B1106" t="inlineStr">
        <is>
          <t xml:space="preserve"> Vï¿½lkl</t>
        </is>
      </c>
      <c r="C1106" t="inlineStr">
        <is>
          <t xml:space="preserve"> Racetiger SL</t>
        </is>
      </c>
      <c r="D1106" t="n">
        <v>160</v>
      </c>
      <c r="E1106" t="inlineStr">
        <is>
          <t xml:space="preserve"> Unisex</t>
        </is>
      </c>
      <c r="F1106" t="n">
        <v>160</v>
      </c>
      <c r="G1106" t="n">
        <v>159.7</v>
      </c>
      <c r="H1106" t="n">
        <v>138</v>
      </c>
      <c r="I1106" t="n">
        <v>148</v>
      </c>
      <c r="J1106" t="n">
        <v>125</v>
      </c>
      <c r="K1106" t="n">
        <v>67</v>
      </c>
      <c r="L1106" t="n">
        <v>102</v>
      </c>
      <c r="M1106" t="n">
        <v>11.7</v>
      </c>
      <c r="N1106" t="n">
        <v>1979</v>
      </c>
      <c r="O1106" t="n">
        <v>0.68</v>
      </c>
      <c r="P1106" t="n">
        <v>1351</v>
      </c>
      <c r="Q1106" t="n">
        <v>184</v>
      </c>
      <c r="R1106" t="n">
        <v>124</v>
      </c>
      <c r="S1106" t="n">
        <v>41</v>
      </c>
      <c r="T1106" t="n">
        <v>157</v>
      </c>
      <c r="U1106" t="n">
        <v>7</v>
      </c>
      <c r="V1106" t="n">
        <v>59</v>
      </c>
      <c r="W1106" t="n">
        <v>0.176</v>
      </c>
      <c r="X1106" t="n">
        <v>60</v>
      </c>
      <c r="Y1106" t="n">
        <v>53</v>
      </c>
      <c r="Z1106" t="n">
        <v>97</v>
      </c>
      <c r="AA1106" t="n">
        <v>5</v>
      </c>
      <c r="AB1106" t="n">
        <v>11.9</v>
      </c>
      <c r="AC1106" t="inlineStr">
        <is>
          <t xml:space="preserve"> On-Piste Carving</t>
        </is>
      </c>
      <c r="AG1106" t="inlineStr">
        <is>
          <t xml:space="preserve"> Volkl Racetiger SL 160cm Race Skis with Marker Comp 16 Bindings (388C)</t>
        </is>
      </c>
      <c r="AH1106" t="inlineStr">
        <is>
          <t>SidelineSwap</t>
        </is>
      </c>
      <c r="AI1106" s="333" t="n">
        <v>325</v>
      </c>
      <c r="AJ1106" t="inlineStr">
        <is>
          <t>https://tinyurl.com/y6vxsg9k</t>
        </is>
      </c>
      <c r="AK1106" t="inlineStr">
        <is>
          <t>Volkl Racetiger SL Yellow 160 Ski Lady's Men</t>
        </is>
      </c>
      <c r="AL1106" t="inlineStr">
        <is>
          <t>! OutdoorXL.com</t>
        </is>
      </c>
      <c r="AM1106" s="333" t="n">
        <v>759.95</v>
      </c>
      <c r="AN1106" t="inlineStr">
        <is>
          <t>https://tinyurl.com/ybbprotf</t>
        </is>
      </c>
      <c r="AO1106" t="inlineStr">
        <is>
          <t>Volkl Racetiger SL w/Marker rMotion2 12 GW - 2022 - 160cm</t>
        </is>
      </c>
      <c r="AP1106" t="inlineStr">
        <is>
          <t>Pinewski's Ski and Board Shop</t>
        </is>
      </c>
      <c r="AQ1106" s="333" t="n">
        <v>999.99</v>
      </c>
      <c r="AR1106" t="inlineStr">
        <is>
          <t>https://tinyurl.com/y98p5ppd</t>
        </is>
      </c>
      <c r="AS1106" s="314">
        <f>IF(LEFT(C1106,1)=" ",RIGHT(C1106,LEN(C1106)-1),C1106)</f>
        <v/>
      </c>
      <c r="AT1106" s="281">
        <f>_xlfn.CONCAT(B1106,AS1106,D1106,E1106)</f>
        <v/>
      </c>
    </row>
    <row r="1107">
      <c r="A1107" t="inlineStr">
        <is>
          <t>21/22</t>
        </is>
      </c>
      <c r="B1107" t="inlineStr">
        <is>
          <t xml:space="preserve"> Icelantic</t>
        </is>
      </c>
      <c r="C1107" t="inlineStr">
        <is>
          <t>Riveter 85</t>
        </is>
      </c>
      <c r="D1107" t="n">
        <v>150</v>
      </c>
      <c r="E1107" t="inlineStr">
        <is>
          <t xml:space="preserve"> Women's</t>
        </is>
      </c>
      <c r="F1107" t="n">
        <v>150</v>
      </c>
      <c r="G1107" t="n">
        <v>148.7</v>
      </c>
      <c r="H1107" t="n">
        <v>100</v>
      </c>
      <c r="I1107" t="n">
        <v>120</v>
      </c>
      <c r="J1107" t="n">
        <v>119</v>
      </c>
      <c r="K1107" t="n">
        <v>84</v>
      </c>
      <c r="L1107" t="n">
        <v>107</v>
      </c>
      <c r="M1107" t="n">
        <v>11.8</v>
      </c>
      <c r="N1107" t="n">
        <v>1326</v>
      </c>
      <c r="O1107" t="n">
        <v>1.08</v>
      </c>
      <c r="P1107" t="n">
        <v>1426</v>
      </c>
      <c r="Q1107" t="n">
        <v>134</v>
      </c>
      <c r="R1107" t="n">
        <v>57</v>
      </c>
      <c r="S1107" t="n">
        <v>54</v>
      </c>
      <c r="T1107" t="n">
        <v>308</v>
      </c>
      <c r="U1107" t="n">
        <v>11</v>
      </c>
      <c r="V1107" t="n">
        <v>183</v>
      </c>
      <c r="W1107" t="n">
        <v>0.198999999999999</v>
      </c>
      <c r="X1107" t="n">
        <v>176</v>
      </c>
      <c r="Y1107" t="n">
        <v>111</v>
      </c>
      <c r="Z1107" t="n">
        <v>132</v>
      </c>
      <c r="AA1107" t="n">
        <v>5</v>
      </c>
      <c r="AB1107" t="n">
        <v>8.4</v>
      </c>
      <c r="AC1107" t="inlineStr">
        <is>
          <t xml:space="preserve"> On-Piste All-Mountain</t>
        </is>
      </c>
      <c r="AD1107" t="inlineStr">
        <is>
          <t xml:space="preserve"> Resort Freeride</t>
        </is>
      </c>
      <c r="AE1107" t="inlineStr">
        <is>
          <t xml:space="preserve"> Touring</t>
        </is>
      </c>
      <c r="AG1107" t="inlineStr">
        <is>
          <t>Icelantic Riveter 85 Skis - Women's 2022 150cm</t>
        </is>
      </c>
      <c r="AH1107" t="inlineStr">
        <is>
          <t>Glacier Ski Shop</t>
        </is>
      </c>
      <c r="AI1107" s="333" t="n">
        <v>469</v>
      </c>
      <c r="AJ1107" t="inlineStr">
        <is>
          <t>https://tinyurl.com/yc8jyt45</t>
        </is>
      </c>
      <c r="AK1107" t="inlineStr">
        <is>
          <t>Icelantic Riveter 85 Women's Skis 150cm 2022</t>
        </is>
      </c>
      <c r="AL1107" t="inlineStr">
        <is>
          <t>eBay - webyshops</t>
        </is>
      </c>
      <c r="AM1107" s="333" t="n">
        <v>499</v>
      </c>
      <c r="AN1107" t="inlineStr">
        <is>
          <t>https://tinyurl.com/y7p86h2d</t>
        </is>
      </c>
      <c r="AO1107" t="inlineStr">
        <is>
          <t>Icelantic Riveter 85 Women's Skis 150cm 2022</t>
        </is>
      </c>
      <c r="AP1107" t="inlineStr">
        <is>
          <t>GritrOutdoors</t>
        </is>
      </c>
      <c r="AQ1107" s="333" t="n">
        <v>499</v>
      </c>
      <c r="AR1107" t="inlineStr">
        <is>
          <t>https://tinyurl.com/y82hnuty</t>
        </is>
      </c>
      <c r="AS1107" s="314">
        <f>IF(LEFT(C1107,1)=" ",RIGHT(C1107,LEN(C1107)-1),C1107)</f>
        <v/>
      </c>
      <c r="AT1107" s="281">
        <f>_xlfn.CONCAT(B1107,AS1107,D1107,E1107)</f>
        <v/>
      </c>
    </row>
    <row r="1108">
      <c r="A1108" t="inlineStr">
        <is>
          <t>21/22</t>
        </is>
      </c>
      <c r="B1108" t="inlineStr">
        <is>
          <t xml:space="preserve"> Nordica</t>
        </is>
      </c>
      <c r="C1108" t="inlineStr">
        <is>
          <t>Spitfire 70 Ti</t>
        </is>
      </c>
      <c r="D1108" t="n">
        <v>170</v>
      </c>
      <c r="E1108" t="inlineStr">
        <is>
          <t xml:space="preserve"> Unisex</t>
        </is>
      </c>
      <c r="F1108" t="n">
        <v>170</v>
      </c>
      <c r="G1108" t="n">
        <v>168.9</v>
      </c>
      <c r="H1108" t="n">
        <v>150</v>
      </c>
      <c r="I1108" t="n">
        <v>158</v>
      </c>
      <c r="J1108" t="n">
        <v>121</v>
      </c>
      <c r="K1108" t="n">
        <v>69</v>
      </c>
      <c r="L1108" t="n">
        <v>100</v>
      </c>
      <c r="M1108" t="n">
        <v>15.3</v>
      </c>
      <c r="N1108" t="n">
        <v>2112</v>
      </c>
      <c r="O1108" t="n">
        <v>0.68</v>
      </c>
      <c r="P1108" t="n">
        <v>1428</v>
      </c>
      <c r="Q1108" t="n">
        <v>227</v>
      </c>
      <c r="R1108" t="n">
        <v>111</v>
      </c>
      <c r="S1108" t="n">
        <v>40</v>
      </c>
      <c r="T1108" t="n">
        <v>139</v>
      </c>
      <c r="U1108" t="n">
        <v>6</v>
      </c>
      <c r="V1108" t="n">
        <v>54</v>
      </c>
      <c r="W1108" t="n">
        <v>0.153</v>
      </c>
      <c r="X1108" t="n">
        <v>66</v>
      </c>
      <c r="Y1108" t="n">
        <v>48</v>
      </c>
      <c r="Z1108" t="n">
        <v>73</v>
      </c>
      <c r="AA1108" t="n">
        <v>5</v>
      </c>
      <c r="AB1108" t="n">
        <v>12.9</v>
      </c>
      <c r="AC1108" t="inlineStr">
        <is>
          <t xml:space="preserve"> On-Piste Carving</t>
        </is>
      </c>
      <c r="AS1108" s="314">
        <f>IF(LEFT(C1108,1)=" ",RIGHT(C1108,LEN(C1108)-1),C1108)</f>
        <v/>
      </c>
      <c r="AT1108" s="281">
        <f>_xlfn.CONCAT(B1108,AS1108,D1108,E1108)</f>
        <v/>
      </c>
    </row>
    <row r="1109">
      <c r="A1109" t="inlineStr">
        <is>
          <t>21/22</t>
        </is>
      </c>
      <c r="B1109" t="inlineStr">
        <is>
          <t xml:space="preserve"> Atomic</t>
        </is>
      </c>
      <c r="C1109" t="inlineStr">
        <is>
          <t>Cloud C12 Servo</t>
        </is>
      </c>
      <c r="D1109" t="n">
        <v>147</v>
      </c>
      <c r="E1109" t="inlineStr">
        <is>
          <t xml:space="preserve"> Women's</t>
        </is>
      </c>
      <c r="F1109" t="n">
        <v>147</v>
      </c>
      <c r="G1109" t="n">
        <v>146.6</v>
      </c>
      <c r="H1109" t="n">
        <v>127</v>
      </c>
      <c r="I1109" t="n">
        <v>134</v>
      </c>
      <c r="J1109" t="n">
        <v>107</v>
      </c>
      <c r="K1109" t="n">
        <v>69</v>
      </c>
      <c r="L1109" t="n">
        <v>95</v>
      </c>
      <c r="M1109" t="n">
        <v>13.1</v>
      </c>
      <c r="N1109" t="n">
        <v>1663</v>
      </c>
      <c r="O1109" t="n">
        <v>0.72</v>
      </c>
      <c r="P1109" t="n">
        <v>1193</v>
      </c>
      <c r="Q1109" t="n">
        <v>134</v>
      </c>
      <c r="R1109" t="n">
        <v>45</v>
      </c>
      <c r="S1109" t="n">
        <v>36</v>
      </c>
      <c r="T1109" t="n">
        <v>140</v>
      </c>
      <c r="U1109" t="n">
        <v>4</v>
      </c>
      <c r="V1109" t="n">
        <v>52</v>
      </c>
      <c r="W1109" t="n">
        <v>0.116999999999999</v>
      </c>
      <c r="X1109" t="n">
        <v>80</v>
      </c>
      <c r="Y1109" t="n">
        <v>49</v>
      </c>
      <c r="Z1109" t="n">
        <v>60</v>
      </c>
      <c r="AA1109" t="n">
        <v>7</v>
      </c>
      <c r="AB1109" t="n">
        <v>12.3</v>
      </c>
      <c r="AC1109" t="inlineStr">
        <is>
          <t xml:space="preserve"> On-Piste Carving</t>
        </is>
      </c>
      <c r="AG1109" t="inlineStr">
        <is>
          <t>Atomic Cloud C12 Servo Skis w/ x 12 GW Bindings</t>
        </is>
      </c>
      <c r="AH1109" t="inlineStr">
        <is>
          <t>The-House.com</t>
        </is>
      </c>
      <c r="AI1109" s="333" t="n">
        <v>639.99</v>
      </c>
      <c r="AJ1109" t="inlineStr">
        <is>
          <t>https://tinyurl.com/yat4l5mj</t>
        </is>
      </c>
      <c r="AK1109" t="inlineStr">
        <is>
          <t>Atomic Skis Vantage 75 + M 10 GW Womens - No Color - 147</t>
        </is>
      </c>
      <c r="AL1109" t="inlineStr">
        <is>
          <t>Level Nine Sports</t>
        </is>
      </c>
      <c r="AM1109" s="333" t="n">
        <v>319.99</v>
      </c>
      <c r="AN1109" t="inlineStr">
        <is>
          <t>https://tinyurl.com/ydao93ro</t>
        </is>
      </c>
      <c r="AO1109" t="inlineStr">
        <is>
          <t>Atomic Maven 86 Berry / 147cm</t>
        </is>
      </c>
      <c r="AP1109" t="inlineStr">
        <is>
          <t>Sundance Ski and Board Shop</t>
        </is>
      </c>
      <c r="AQ1109" s="333" t="n">
        <v>320.57</v>
      </c>
      <c r="AR1109" t="inlineStr">
        <is>
          <t>https://tinyurl.com/y8ldbro6</t>
        </is>
      </c>
      <c r="AS1109" s="314">
        <f>IF(LEFT(C1109,1)=" ",RIGHT(C1109,LEN(C1109)-1),C1109)</f>
        <v/>
      </c>
      <c r="AT1109" s="281">
        <f>_xlfn.CONCAT(B1109,AS1109,D1109,E1109)</f>
        <v/>
      </c>
    </row>
    <row r="1110">
      <c r="A1110" t="inlineStr">
        <is>
          <t>21/22</t>
        </is>
      </c>
      <c r="B1110" t="inlineStr">
        <is>
          <t xml:space="preserve"> Rossignol</t>
        </is>
      </c>
      <c r="C1110" t="inlineStr">
        <is>
          <t>Nova 6</t>
        </is>
      </c>
      <c r="D1110" t="n">
        <v>149</v>
      </c>
      <c r="E1110" t="inlineStr">
        <is>
          <t xml:space="preserve"> Women's</t>
        </is>
      </c>
      <c r="F1110" t="n">
        <v>149</v>
      </c>
      <c r="G1110" t="n">
        <v>148.9</v>
      </c>
      <c r="H1110" t="n">
        <v>128</v>
      </c>
      <c r="I1110" t="n">
        <v>135</v>
      </c>
      <c r="J1110" t="n">
        <v>122</v>
      </c>
      <c r="K1110" t="n">
        <v>73</v>
      </c>
      <c r="L1110" t="n">
        <v>109</v>
      </c>
      <c r="M1110" t="n">
        <v>10.5</v>
      </c>
      <c r="N1110" t="n">
        <v>1459</v>
      </c>
      <c r="O1110" t="n">
        <v>0.91</v>
      </c>
      <c r="P1110" t="n">
        <v>1325</v>
      </c>
      <c r="Q1110" t="n">
        <v>133</v>
      </c>
      <c r="R1110" t="n">
        <v>48</v>
      </c>
      <c r="S1110" t="n">
        <v>38</v>
      </c>
      <c r="T1110" t="n">
        <v>150</v>
      </c>
      <c r="U1110" t="n">
        <v>6</v>
      </c>
      <c r="V1110" t="n">
        <v>59</v>
      </c>
      <c r="W1110" t="n">
        <v>0.162</v>
      </c>
      <c r="X1110" t="n">
        <v>73</v>
      </c>
      <c r="Y1110" t="n">
        <v>62</v>
      </c>
      <c r="Z1110" t="n">
        <v>77</v>
      </c>
      <c r="AA1110" t="n">
        <v>9</v>
      </c>
      <c r="AB1110" t="n">
        <v>10</v>
      </c>
      <c r="AC1110" t="inlineStr">
        <is>
          <t xml:space="preserve"> On-Piste Carving</t>
        </is>
      </c>
      <c r="AG1110" t="inlineStr">
        <is>
          <t>Rossignol NOVA 6 F/XP W 11 GW 149cm</t>
        </is>
      </c>
      <c r="AH1110" t="inlineStr">
        <is>
          <t>Sundance Ski and Board Shop</t>
        </is>
      </c>
      <c r="AI1110" s="333" t="n">
        <v>400.72</v>
      </c>
      <c r="AJ1110" t="inlineStr">
        <is>
          <t>https://tinyurl.com/ybusz2ps</t>
        </is>
      </c>
      <c r="AK1110" t="inlineStr">
        <is>
          <t>Rossignol Nova 6 Skis with Xpress Women's 11 GW Bindings Â· 149 cm</t>
        </is>
      </c>
      <c r="AL1110" t="inlineStr">
        <is>
          <t>eBay - asogear</t>
        </is>
      </c>
      <c r="AM1110" s="333" t="n">
        <v>489.99</v>
      </c>
      <c r="AN1110" t="inlineStr">
        <is>
          <t>https://tinyurl.com/y8ammzs2</t>
        </is>
      </c>
      <c r="AO1110" t="inlineStr">
        <is>
          <t>Rossignol React 6 Compact Skis w/ Look Xpress 11 GW Bindings</t>
        </is>
      </c>
      <c r="AP1110" t="inlineStr">
        <is>
          <t>The-House.com</t>
        </is>
      </c>
      <c r="AQ1110" s="333" t="n">
        <v>479.95</v>
      </c>
      <c r="AR1110" t="inlineStr">
        <is>
          <t>https://tinyurl.com/y97mw44x</t>
        </is>
      </c>
      <c r="AS1110" s="314">
        <f>IF(LEFT(C1110,1)=" ",RIGHT(C1110,LEN(C1110)-1),C1110)</f>
        <v/>
      </c>
      <c r="AT1110" s="281">
        <f>_xlfn.CONCAT(B1110,AS1110,D1110,E1110)</f>
        <v/>
      </c>
    </row>
    <row r="1111">
      <c r="A1111" t="inlineStr">
        <is>
          <t>21/22</t>
        </is>
      </c>
      <c r="B1111" t="inlineStr">
        <is>
          <t xml:space="preserve"> Black Crows</t>
        </is>
      </c>
      <c r="C1111" t="inlineStr">
        <is>
          <t xml:space="preserve"> Corvus</t>
        </is>
      </c>
      <c r="D1111" t="n">
        <v>188.2</v>
      </c>
      <c r="E1111" t="inlineStr">
        <is>
          <t xml:space="preserve"> Unisex</t>
        </is>
      </c>
      <c r="F1111" t="n">
        <v>188.2</v>
      </c>
      <c r="G1111" t="n">
        <v>187.7</v>
      </c>
      <c r="H1111" t="n">
        <v>0</v>
      </c>
      <c r="I1111" t="n">
        <v>164</v>
      </c>
      <c r="J1111" t="n">
        <v>137</v>
      </c>
      <c r="K1111" t="n">
        <v>106</v>
      </c>
      <c r="L1111" t="n">
        <v>126</v>
      </c>
      <c r="M1111" t="n">
        <v>25.6</v>
      </c>
      <c r="N1111" t="n">
        <v>1981</v>
      </c>
      <c r="O1111" t="n">
        <v>1.09</v>
      </c>
      <c r="P1111" t="n">
        <v>2162</v>
      </c>
      <c r="Q1111" t="n">
        <v>269</v>
      </c>
      <c r="R1111" t="n">
        <v>173</v>
      </c>
      <c r="S1111" t="n">
        <v>46</v>
      </c>
      <c r="T1111" t="n">
        <v>1016</v>
      </c>
      <c r="U1111" t="n">
        <v>10</v>
      </c>
      <c r="V1111" t="n">
        <v>861</v>
      </c>
      <c r="W1111" t="n">
        <v>0.215</v>
      </c>
      <c r="X1111" t="n">
        <v>146</v>
      </c>
      <c r="Y1111" t="n">
        <v>93</v>
      </c>
      <c r="Z1111" t="n">
        <v>870</v>
      </c>
      <c r="AA1111" t="n">
        <v>-4</v>
      </c>
      <c r="AB1111" t="n">
        <v>7.8</v>
      </c>
      <c r="AC1111" t="inlineStr">
        <is>
          <t xml:space="preserve"> Big Mountain</t>
        </is>
      </c>
      <c r="AD1111" t="inlineStr">
        <is>
          <t xml:space="preserve"> Touring</t>
        </is>
      </c>
      <c r="AG1111" t="inlineStr">
        <is>
          <t>2022 Black Crows Corvus Freebird Skis w/ Marker Kingpin 13 Bindings - 188| Ski Essentials</t>
        </is>
      </c>
      <c r="AH1111" t="inlineStr">
        <is>
          <t>SkiEssentials.com</t>
        </is>
      </c>
      <c r="AI1111" s="333" t="n">
        <v>1114.96</v>
      </c>
      <c r="AJ1111" t="inlineStr">
        <is>
          <t>https://tinyurl.com/y76jvwb4</t>
        </is>
      </c>
      <c r="AK1111" t="inlineStr">
        <is>
          <t>Black Crows Corvus Skis</t>
        </is>
      </c>
      <c r="AL1111" t="inlineStr">
        <is>
          <t>! OutdoorXL.com</t>
        </is>
      </c>
      <c r="AM1111" s="333" t="n">
        <v>564.95</v>
      </c>
      <c r="AN1111" t="inlineStr">
        <is>
          <t>https://tinyurl.com/y7pfedlf</t>
        </is>
      </c>
      <c r="AO1111" t="inlineStr">
        <is>
          <t>Black Crows Corvus Skis</t>
        </is>
      </c>
      <c r="AP1111" t="inlineStr">
        <is>
          <t>Powder7 Ski Shop</t>
        </is>
      </c>
      <c r="AQ1111" s="333" t="n">
        <v>659.99</v>
      </c>
      <c r="AR1111" t="inlineStr">
        <is>
          <t>https://tinyurl.com/yba2dr4b</t>
        </is>
      </c>
      <c r="AS1111" s="314">
        <f>IF(LEFT(C1111,1)=" ",RIGHT(C1111,LEN(C1111)-1),C1111)</f>
        <v/>
      </c>
      <c r="AT1111" s="281">
        <f>_xlfn.CONCAT(B1111,AS1111,D1111,E1111)</f>
        <v/>
      </c>
    </row>
    <row r="1112">
      <c r="A1112" t="inlineStr">
        <is>
          <t>21/22</t>
        </is>
      </c>
      <c r="B1112" t="inlineStr">
        <is>
          <t xml:space="preserve"> Vï¿½lkl</t>
        </is>
      </c>
      <c r="C1112" t="inlineStr">
        <is>
          <t>Blaze 86 W</t>
        </is>
      </c>
      <c r="D1112" t="n">
        <v>152</v>
      </c>
      <c r="E1112" t="inlineStr">
        <is>
          <t xml:space="preserve"> Women's</t>
        </is>
      </c>
      <c r="F1112" t="n">
        <v>152</v>
      </c>
      <c r="G1112" t="n">
        <v>152</v>
      </c>
      <c r="H1112" t="n">
        <v>91</v>
      </c>
      <c r="I1112" t="n">
        <v>127</v>
      </c>
      <c r="J1112" t="n">
        <v>129</v>
      </c>
      <c r="K1112" t="n">
        <v>86</v>
      </c>
      <c r="L1112" t="n">
        <v>110</v>
      </c>
      <c r="M1112" t="n">
        <v>11.1</v>
      </c>
      <c r="N1112" t="n">
        <v>1234</v>
      </c>
      <c r="O1112" t="n">
        <v>1.23</v>
      </c>
      <c r="P1112" t="n">
        <v>1520</v>
      </c>
      <c r="Q1112" t="n">
        <v>156</v>
      </c>
      <c r="R1112" t="n">
        <v>75</v>
      </c>
      <c r="S1112" t="n">
        <v>47</v>
      </c>
      <c r="T1112" t="n">
        <v>370</v>
      </c>
      <c r="U1112" t="n">
        <v>19</v>
      </c>
      <c r="V1112" t="n">
        <v>241</v>
      </c>
      <c r="W1112" t="n">
        <v>0.397</v>
      </c>
      <c r="X1112" t="n">
        <v>141</v>
      </c>
      <c r="Y1112" t="n">
        <v>104</v>
      </c>
      <c r="Z1112" t="n">
        <v>228</v>
      </c>
      <c r="AA1112" t="n">
        <v>1</v>
      </c>
      <c r="AB1112" t="n">
        <v>11.9</v>
      </c>
      <c r="AC1112" t="inlineStr">
        <is>
          <t xml:space="preserve"> Resort Freeride</t>
        </is>
      </c>
      <c r="AD1112" t="inlineStr">
        <is>
          <t xml:space="preserve"> Touring</t>
        </is>
      </c>
      <c r="AG1112" t="inlineStr">
        <is>
          <t>Volkl Blaze 86 W Skis</t>
        </is>
      </c>
      <c r="AH1112" t="inlineStr">
        <is>
          <t>Cole Sport</t>
        </is>
      </c>
      <c r="AI1112" s="333" t="n">
        <v>399.99</v>
      </c>
      <c r="AJ1112" t="inlineStr">
        <is>
          <t>https://tinyurl.com/y9txpvc4</t>
        </is>
      </c>
      <c r="AK1112" t="inlineStr">
        <is>
          <t>Volkl Blaze 86 W 152cm</t>
        </is>
      </c>
      <c r="AL1112" t="inlineStr">
        <is>
          <t>Sundance Ski and Board Shop</t>
        </is>
      </c>
      <c r="AM1112" s="333" t="n">
        <v>448.8</v>
      </c>
      <c r="AN1112" t="inlineStr">
        <is>
          <t>https://tinyurl.com/y9b7ml8x</t>
        </is>
      </c>
      <c r="AO1112" t="inlineStr">
        <is>
          <t>Volkl Women's Blaze 86 W Alpine Ski 2022 152</t>
        </is>
      </c>
      <c r="AP1112" t="inlineStr">
        <is>
          <t>Boyne Country Sports</t>
        </is>
      </c>
      <c r="AQ1112" s="333" t="n">
        <v>499.99</v>
      </c>
      <c r="AR1112" t="inlineStr">
        <is>
          <t>https://tinyurl.com/y8mj8meh</t>
        </is>
      </c>
      <c r="AS1112" s="314">
        <f>IF(LEFT(C1112,1)=" ",RIGHT(C1112,LEN(C1112)-1),C1112)</f>
        <v/>
      </c>
      <c r="AT1112" s="281">
        <f>_xlfn.CONCAT(B1112,AS1112,D1112,E1112)</f>
        <v/>
      </c>
    </row>
    <row r="1113">
      <c r="A1113" t="inlineStr">
        <is>
          <t>21/22</t>
        </is>
      </c>
      <c r="B1113" t="inlineStr">
        <is>
          <t xml:space="preserve"> Vï¿½lkl</t>
        </is>
      </c>
      <c r="C1113" t="inlineStr">
        <is>
          <t>Secret 102</t>
        </is>
      </c>
      <c r="D1113" t="n">
        <v>170</v>
      </c>
      <c r="E1113" t="inlineStr">
        <is>
          <t xml:space="preserve"> Women's</t>
        </is>
      </c>
      <c r="F1113" t="n">
        <v>170</v>
      </c>
      <c r="G1113" t="n">
        <v>171.1</v>
      </c>
      <c r="H1113" t="n">
        <v>111</v>
      </c>
      <c r="I1113" t="n">
        <v>147</v>
      </c>
      <c r="J1113" t="n">
        <v>139</v>
      </c>
      <c r="K1113" t="n">
        <v>101</v>
      </c>
      <c r="L1113" t="n">
        <v>123</v>
      </c>
      <c r="M1113" t="n">
        <v>17.6</v>
      </c>
      <c r="N1113" t="n">
        <v>2084</v>
      </c>
      <c r="O1113" t="n">
        <v>0.93</v>
      </c>
      <c r="P1113" t="n">
        <v>1934</v>
      </c>
      <c r="Q1113" t="n">
        <v>245</v>
      </c>
      <c r="R1113" t="n">
        <v>165</v>
      </c>
      <c r="S1113" t="n">
        <v>46</v>
      </c>
      <c r="T1113" t="n">
        <v>351</v>
      </c>
      <c r="U1113" t="n">
        <v>18</v>
      </c>
      <c r="V1113" t="n">
        <v>249</v>
      </c>
      <c r="W1113" t="n">
        <v>0.387999999999999</v>
      </c>
      <c r="X1113" t="n">
        <v>133</v>
      </c>
      <c r="Y1113" t="n">
        <v>103</v>
      </c>
      <c r="Z1113" t="n">
        <v>217</v>
      </c>
      <c r="AA1113" t="n">
        <v>4</v>
      </c>
      <c r="AB1113" t="n">
        <v>11.8</v>
      </c>
      <c r="AC1113" t="inlineStr">
        <is>
          <t xml:space="preserve"> Resort Freeride</t>
        </is>
      </c>
      <c r="AD1113" t="inlineStr">
        <is>
          <t xml:space="preserve"> Powder</t>
        </is>
      </c>
      <c r="AE1113" t="inlineStr">
        <is>
          <t xml:space="preserve"> Big Mountain</t>
        </is>
      </c>
      <c r="AG1113" t="inlineStr">
        <is>
          <t>Volkl Secret 102 Women's Skis 2022</t>
        </is>
      </c>
      <c r="AH1113" t="inlineStr">
        <is>
          <t>SkatePro.com</t>
        </is>
      </c>
      <c r="AI1113" s="333" t="n">
        <v>399.95</v>
      </c>
      <c r="AJ1113" t="inlineStr">
        <is>
          <t>https://tinyurl.com/y85x7qbl</t>
        </is>
      </c>
      <c r="AK1113" t="inlineStr">
        <is>
          <t>'20 Volkl Secret 102 Womens Skis 170cm</t>
        </is>
      </c>
      <c r="AL1113" t="inlineStr">
        <is>
          <t>Al's Ski Equipment Barn</t>
        </is>
      </c>
      <c r="AM1113" s="333" t="n">
        <v>479.95</v>
      </c>
      <c r="AN1113" t="inlineStr">
        <is>
          <t>https://tinyurl.com/y97ajkqj</t>
        </is>
      </c>
      <c r="AO1113" t="inlineStr">
        <is>
          <t>Volkl Secret 102 Women's Skis 2022</t>
        </is>
      </c>
      <c r="AP1113" t="inlineStr">
        <is>
          <t>Snowcountry.eu</t>
        </is>
      </c>
      <c r="AQ1113" s="333" t="n">
        <v>515.3</v>
      </c>
      <c r="AR1113" t="inlineStr">
        <is>
          <t>https://tinyurl.com/yclb35dd</t>
        </is>
      </c>
      <c r="AS1113" s="314">
        <f>IF(LEFT(C1113,1)=" ",RIGHT(C1113,LEN(C1113)-1),C1113)</f>
        <v/>
      </c>
      <c r="AT1113" s="281">
        <f>_xlfn.CONCAT(B1113,AS1113,D1113,E1113)</f>
        <v/>
      </c>
    </row>
    <row r="1114">
      <c r="A1114" t="inlineStr">
        <is>
          <t>21/22</t>
        </is>
      </c>
      <c r="B1114" t="inlineStr">
        <is>
          <t xml:space="preserve"> J Skis</t>
        </is>
      </c>
      <c r="C1114" t="inlineStr">
        <is>
          <t xml:space="preserve"> The Friend</t>
        </is>
      </c>
      <c r="D1114" t="n">
        <v>183</v>
      </c>
      <c r="E1114" t="inlineStr">
        <is>
          <t xml:space="preserve"> Unisex</t>
        </is>
      </c>
      <c r="F1114" t="n">
        <v>183</v>
      </c>
      <c r="G1114" t="n">
        <v>180.7</v>
      </c>
      <c r="H1114" t="n">
        <v>116</v>
      </c>
      <c r="I1114" t="n">
        <v>140</v>
      </c>
      <c r="J1114" t="n">
        <v>142</v>
      </c>
      <c r="K1114" t="n">
        <v>117</v>
      </c>
      <c r="L1114" t="n">
        <v>132</v>
      </c>
      <c r="M1114" t="n">
        <v>20.1</v>
      </c>
      <c r="N1114" t="n">
        <v>2414</v>
      </c>
      <c r="O1114" t="n">
        <v>0.93</v>
      </c>
      <c r="P1114" t="n">
        <v>2255</v>
      </c>
      <c r="Q1114" t="n">
        <v>225</v>
      </c>
      <c r="R1114" t="n">
        <v>86</v>
      </c>
      <c r="S1114" t="n">
        <v>62</v>
      </c>
      <c r="T1114" t="n">
        <v>438</v>
      </c>
      <c r="U1114" t="n">
        <v>35</v>
      </c>
      <c r="V1114" t="n">
        <v>213</v>
      </c>
      <c r="W1114" t="n">
        <v>0.57</v>
      </c>
      <c r="X1114" t="n">
        <v>205</v>
      </c>
      <c r="Y1114" t="n">
        <v>205</v>
      </c>
      <c r="Z1114" t="n">
        <v>233</v>
      </c>
      <c r="AA1114" t="n">
        <v>5</v>
      </c>
      <c r="AB1114" t="n">
        <v>7.8</v>
      </c>
      <c r="AC1114" t="inlineStr">
        <is>
          <t xml:space="preserve"> Powder</t>
        </is>
      </c>
      <c r="AG1114" t="inlineStr">
        <is>
          <t>J Skis â€œthe Friendâ€ 183 Cm Dragon Brand</t>
        </is>
      </c>
      <c r="AH1114" t="inlineStr">
        <is>
          <t>eBay</t>
        </is>
      </c>
      <c r="AI1114" s="333" t="n">
        <v>925</v>
      </c>
      <c r="AJ1114" t="inlineStr">
        <is>
          <t>https://tinyurl.com/yc3fbal6</t>
        </is>
      </c>
      <c r="AK1114" t="inlineStr">
        <is>
          <t>Black Diamond Helio Recon 95 Skis</t>
        </is>
      </c>
      <c r="AL1114" t="inlineStr">
        <is>
          <t>Snowcountry.eu</t>
        </is>
      </c>
      <c r="AM1114" s="333" t="n">
        <v>423.12</v>
      </c>
      <c r="AN1114" t="inlineStr">
        <is>
          <t>https://tinyurl.com/y75mxoz2</t>
        </is>
      </c>
      <c r="AO1114" t="inlineStr">
        <is>
          <t>Black Diamond Helio Recon 95 Skis</t>
        </is>
      </c>
      <c r="AP1114" t="inlineStr">
        <is>
          <t>! OutdoorXL.com</t>
        </is>
      </c>
      <c r="AQ1114" s="333" t="n">
        <v>429.95</v>
      </c>
      <c r="AR1114" t="inlineStr">
        <is>
          <t>https://tinyurl.com/y77ck4sx</t>
        </is>
      </c>
      <c r="AS1114" s="314">
        <f>IF(LEFT(C1114,1)=" ",RIGHT(C1114,LEN(C1114)-1),C1114)</f>
        <v/>
      </c>
      <c r="AT1114" s="281">
        <f>_xlfn.CONCAT(B1114,AS1114,D1114,E1114)</f>
        <v/>
      </c>
    </row>
    <row r="1115">
      <c r="A1115" t="inlineStr">
        <is>
          <t>21/22</t>
        </is>
      </c>
      <c r="B1115" t="inlineStr">
        <is>
          <t xml:space="preserve"> Line</t>
        </is>
      </c>
      <c r="C1115" t="inlineStr">
        <is>
          <t xml:space="preserve"> Honey Bee</t>
        </is>
      </c>
      <c r="D1115" t="n">
        <v>144</v>
      </c>
      <c r="E1115" t="inlineStr">
        <is>
          <t xml:space="preserve"> Women's</t>
        </is>
      </c>
      <c r="F1115" t="n">
        <v>144</v>
      </c>
      <c r="G1115" t="n">
        <v>143.2</v>
      </c>
      <c r="H1115" t="n">
        <v>100</v>
      </c>
      <c r="I1115" t="n">
        <v>119</v>
      </c>
      <c r="J1115" t="n">
        <v>120</v>
      </c>
      <c r="K1115" t="n">
        <v>91</v>
      </c>
      <c r="L1115" t="n">
        <v>117</v>
      </c>
      <c r="M1115" t="n">
        <v>12</v>
      </c>
      <c r="N1115" t="n">
        <v>1344</v>
      </c>
      <c r="O1115" t="n">
        <v>1.08</v>
      </c>
      <c r="P1115" t="n">
        <v>1448</v>
      </c>
      <c r="Q1115" t="n">
        <v>139</v>
      </c>
      <c r="R1115" t="n">
        <v>56</v>
      </c>
      <c r="S1115" t="n">
        <v>46</v>
      </c>
      <c r="T1115" t="n">
        <v>220</v>
      </c>
      <c r="U1115" t="n">
        <v>41</v>
      </c>
      <c r="V1115" t="n">
        <v>212</v>
      </c>
      <c r="W1115" t="n">
        <v>0.905</v>
      </c>
      <c r="X1115" t="n">
        <v>124</v>
      </c>
      <c r="Y1115" t="n">
        <v>114</v>
      </c>
      <c r="Z1115" t="n">
        <v>96</v>
      </c>
      <c r="AA1115" t="n">
        <v>5</v>
      </c>
      <c r="AB1115" t="n">
        <v>3.5</v>
      </c>
      <c r="AC1115" t="inlineStr">
        <is>
          <t xml:space="preserve"> Freeski</t>
        </is>
      </c>
      <c r="AD1115" t="inlineStr">
        <is>
          <t xml:space="preserve"> Touring</t>
        </is>
      </c>
      <c r="AG1115" t="inlineStr">
        <is>
          <t>Line Honey Bee Skis 2021</t>
        </is>
      </c>
      <c r="AH1115" t="inlineStr">
        <is>
          <t>LINE Skis</t>
        </is>
      </c>
      <c r="AI1115" s="333" t="n">
        <v>349.95</v>
      </c>
      <c r="AJ1115" t="inlineStr">
        <is>
          <t>https://tinyurl.com/y9ad93w2</t>
        </is>
      </c>
      <c r="AS1115" s="314">
        <f>IF(LEFT(C1115,1)=" ",RIGHT(C1115,LEN(C1115)-1),C1115)</f>
        <v/>
      </c>
      <c r="AT1115" s="281">
        <f>_xlfn.CONCAT(B1115,AS1115,D1115,E1115)</f>
        <v/>
      </c>
    </row>
    <row r="1116">
      <c r="A1116" t="inlineStr">
        <is>
          <t>21/22</t>
        </is>
      </c>
      <c r="B1116" t="inlineStr">
        <is>
          <t xml:space="preserve"> Rossignol</t>
        </is>
      </c>
      <c r="C1116" t="inlineStr">
        <is>
          <t>Experience 86 Ti</t>
        </is>
      </c>
      <c r="D1116" t="n">
        <v>176</v>
      </c>
      <c r="E1116" t="inlineStr">
        <is>
          <t xml:space="preserve"> Unisex</t>
        </is>
      </c>
      <c r="F1116" t="n">
        <v>176</v>
      </c>
      <c r="G1116" t="n">
        <v>175.5</v>
      </c>
      <c r="H1116" t="n">
        <v>136</v>
      </c>
      <c r="I1116" t="n">
        <v>161</v>
      </c>
      <c r="J1116" t="n">
        <v>131</v>
      </c>
      <c r="K1116" t="n">
        <v>84</v>
      </c>
      <c r="L1116" t="n">
        <v>119</v>
      </c>
      <c r="M1116" t="n">
        <v>15.4</v>
      </c>
      <c r="N1116" t="n">
        <v>2061</v>
      </c>
      <c r="O1116" t="n">
        <v>0.84</v>
      </c>
      <c r="P1116" t="n">
        <v>1732</v>
      </c>
      <c r="Q1116" t="n">
        <v>234</v>
      </c>
      <c r="R1116" t="n">
        <v>137</v>
      </c>
      <c r="S1116" t="n">
        <v>49</v>
      </c>
      <c r="T1116" t="n">
        <v>259</v>
      </c>
      <c r="U1116" t="n">
        <v>14</v>
      </c>
      <c r="V1116" t="n">
        <v>136</v>
      </c>
      <c r="W1116" t="n">
        <v>0.29</v>
      </c>
      <c r="X1116" t="n">
        <v>76</v>
      </c>
      <c r="Y1116" t="n">
        <v>64</v>
      </c>
      <c r="Z1116" t="n">
        <v>183</v>
      </c>
      <c r="AA1116" t="n">
        <v>10</v>
      </c>
      <c r="AB1116" t="n">
        <v>6.9</v>
      </c>
      <c r="AC1116" t="inlineStr">
        <is>
          <t xml:space="preserve"> Resort Freeride</t>
        </is>
      </c>
      <c r="AG1116" t="inlineStr">
        <is>
          <t>Rossignol Experience 86 Ti Skis 176cm 2022</t>
        </is>
      </c>
      <c r="AH1116" t="inlineStr">
        <is>
          <t>Next Adventure</t>
        </is>
      </c>
      <c r="AI1116" s="333" t="n">
        <v>639.96</v>
      </c>
      <c r="AJ1116" t="inlineStr">
        <is>
          <t>https://tinyurl.com/y9qfqxq8</t>
        </is>
      </c>
      <c r="AK1116" t="inlineStr">
        <is>
          <t>Rossignol Experience 86 Ti Skis Mens 2022</t>
        </is>
      </c>
      <c r="AL1116" t="inlineStr">
        <is>
          <t>BlueZone Sports</t>
        </is>
      </c>
      <c r="AM1116" s="333" t="n">
        <v>639.96</v>
      </c>
      <c r="AN1116" t="inlineStr">
        <is>
          <t>https://tinyurl.com/y7rojzey</t>
        </is>
      </c>
      <c r="AO1116" t="inlineStr">
        <is>
          <t>Rossignol Experience 86 Ti Skis 176cm 2022</t>
        </is>
      </c>
      <c r="AP1116" t="inlineStr">
        <is>
          <t>Powder7 Ski Shop</t>
        </is>
      </c>
      <c r="AQ1116" s="333" t="n">
        <v>689.99</v>
      </c>
      <c r="AR1116" t="inlineStr">
        <is>
          <t>https://tinyurl.com/yc9bsh5s</t>
        </is>
      </c>
      <c r="AS1116" s="314">
        <f>IF(LEFT(C1116,1)=" ",RIGHT(C1116,LEN(C1116)-1),C1116)</f>
        <v/>
      </c>
      <c r="AT1116" s="281">
        <f>_xlfn.CONCAT(B1116,AS1116,D1116,E1116)</f>
        <v/>
      </c>
    </row>
    <row r="1117">
      <c r="A1117" t="inlineStr">
        <is>
          <t>21/22</t>
        </is>
      </c>
      <c r="B1117" t="inlineStr">
        <is>
          <t xml:space="preserve"> Blizzard</t>
        </is>
      </c>
      <c r="C1117" t="inlineStr">
        <is>
          <t>Bonafide 97</t>
        </is>
      </c>
      <c r="D1117" t="n">
        <v>177</v>
      </c>
      <c r="E1117" t="inlineStr">
        <is>
          <t xml:space="preserve"> Unisex</t>
        </is>
      </c>
      <c r="F1117" t="n">
        <v>177</v>
      </c>
      <c r="G1117" t="n">
        <v>176.1</v>
      </c>
      <c r="H1117" t="n">
        <v>148</v>
      </c>
      <c r="I1117" t="n">
        <v>151</v>
      </c>
      <c r="J1117" t="n">
        <v>136</v>
      </c>
      <c r="K1117" t="n">
        <v>96</v>
      </c>
      <c r="L1117" t="n">
        <v>118</v>
      </c>
      <c r="M1117" t="n">
        <v>18.2</v>
      </c>
      <c r="N1117" t="n">
        <v>2255</v>
      </c>
      <c r="O1117" t="n">
        <v>0.84</v>
      </c>
      <c r="P1117" t="n">
        <v>1898</v>
      </c>
      <c r="Q1117" t="n">
        <v>192</v>
      </c>
      <c r="R1117" t="n">
        <v>121</v>
      </c>
      <c r="S1117" t="n">
        <v>44</v>
      </c>
      <c r="T1117" t="n">
        <v>188</v>
      </c>
      <c r="U1117" t="n">
        <v>6</v>
      </c>
      <c r="V1117" t="n">
        <v>98</v>
      </c>
      <c r="W1117" t="n">
        <v>0.133</v>
      </c>
      <c r="X1117" t="n">
        <v>134</v>
      </c>
      <c r="Y1117" t="n">
        <v>113</v>
      </c>
      <c r="Z1117" t="n">
        <v>54</v>
      </c>
      <c r="AA1117" t="n">
        <v>10</v>
      </c>
      <c r="AB1117" t="n">
        <v>11.3</v>
      </c>
      <c r="AC1117" t="inlineStr">
        <is>
          <t xml:space="preserve"> Resort Freeride</t>
        </is>
      </c>
      <c r="AG1117" t="inlineStr">
        <is>
          <t>Blizzard Bonafide 97 21/22</t>
        </is>
      </c>
      <c r="AH1117" t="inlineStr">
        <is>
          <t>Snowcountry.eu</t>
        </is>
      </c>
      <c r="AI1117" s="333" t="n">
        <v>451.66</v>
      </c>
      <c r="AJ1117" t="inlineStr">
        <is>
          <t>https://tinyurl.com/y88pfavd</t>
        </is>
      </c>
      <c r="AK1117" t="inlineStr">
        <is>
          <t>Blizzard Bonafide 97 20/21</t>
        </is>
      </c>
      <c r="AL1117" t="inlineStr">
        <is>
          <t>Telemark Pyrenees</t>
        </is>
      </c>
      <c r="AM1117" s="333" t="n">
        <v>476.66</v>
      </c>
      <c r="AN1117" t="inlineStr">
        <is>
          <t>https://tinyurl.com/yaeq58js</t>
        </is>
      </c>
      <c r="AO1117" t="inlineStr">
        <is>
          <t>2022 Blizzard Bonafide 97 w/ Marker Griffon 13 Demo Bindings Grey/Orange / 177 / New</t>
        </is>
      </c>
      <c r="AP1117" t="inlineStr">
        <is>
          <t>Lone Pine Gear Exchange</t>
        </is>
      </c>
      <c r="AQ1117" s="333" t="n">
        <v>524.99</v>
      </c>
      <c r="AR1117" t="inlineStr">
        <is>
          <t>https://tinyurl.com/ycbckfjl</t>
        </is>
      </c>
      <c r="AS1117" s="314">
        <f>IF(LEFT(C1117,1)=" ",RIGHT(C1117,LEN(C1117)-1),C1117)</f>
        <v/>
      </c>
      <c r="AT1117" s="281">
        <f>_xlfn.CONCAT(B1117,AS1117,D1117,E1117)</f>
        <v/>
      </c>
    </row>
    <row r="1118">
      <c r="A1118" t="inlineStr">
        <is>
          <t>21/22</t>
        </is>
      </c>
      <c r="B1118" t="inlineStr">
        <is>
          <t xml:space="preserve"> Vï¿½lkl</t>
        </is>
      </c>
      <c r="C1118" t="inlineStr">
        <is>
          <t>Yumi 80</t>
        </is>
      </c>
      <c r="D1118" t="n">
        <v>147</v>
      </c>
      <c r="E1118" t="inlineStr">
        <is>
          <t xml:space="preserve"> Women's</t>
        </is>
      </c>
      <c r="F1118" t="n">
        <v>147</v>
      </c>
      <c r="G1118" t="n">
        <v>148.8</v>
      </c>
      <c r="H1118" t="n">
        <v>113</v>
      </c>
      <c r="I1118" t="n">
        <v>124</v>
      </c>
      <c r="J1118" t="n">
        <v>120</v>
      </c>
      <c r="K1118" t="n">
        <v>79</v>
      </c>
      <c r="L1118" t="n">
        <v>102</v>
      </c>
      <c r="M1118" t="n">
        <v>11.7</v>
      </c>
      <c r="N1118" t="n">
        <v>1221</v>
      </c>
      <c r="O1118" t="n">
        <v>1.13</v>
      </c>
      <c r="P1118" t="n">
        <v>1377</v>
      </c>
      <c r="Q1118" t="n">
        <v>142</v>
      </c>
      <c r="R1118" t="n">
        <v>62</v>
      </c>
      <c r="S1118" t="n">
        <v>43</v>
      </c>
      <c r="T1118" t="n">
        <v>210</v>
      </c>
      <c r="U1118" t="n">
        <v>15</v>
      </c>
      <c r="V1118" t="n">
        <v>148</v>
      </c>
      <c r="W1118" t="n">
        <v>0.342999999999999</v>
      </c>
      <c r="X1118" t="n">
        <v>136</v>
      </c>
      <c r="Y1118" t="n">
        <v>108</v>
      </c>
      <c r="Z1118" t="n">
        <v>74</v>
      </c>
      <c r="AA1118" t="n">
        <v>3</v>
      </c>
      <c r="AB1118" t="n">
        <v>11.2</v>
      </c>
      <c r="AC1118" t="inlineStr">
        <is>
          <t xml:space="preserve"> On-Piste All-Mountain</t>
        </is>
      </c>
      <c r="AD1118" t="inlineStr">
        <is>
          <t xml:space="preserve"> Touring</t>
        </is>
      </c>
      <c r="AG1118" t="inlineStr">
        <is>
          <t>Volkl Yumi 80</t>
        </is>
      </c>
      <c r="AH1118" t="inlineStr">
        <is>
          <t>AlpineShopVT.com</t>
        </is>
      </c>
      <c r="AI1118" s="333" t="n">
        <v>379.95</v>
      </c>
      <c r="AJ1118" t="inlineStr">
        <is>
          <t>https://tinyurl.com/yar3t78q</t>
        </is>
      </c>
      <c r="AK1118" t="inlineStr">
        <is>
          <t>2022 Volkl Yumi 80 Women's Demo Skis w/ Marker Squire 11 TCX Demo Bindings - 147| Ski Essentials</t>
        </is>
      </c>
      <c r="AL1118" t="inlineStr">
        <is>
          <t>SkiEssentials.com</t>
        </is>
      </c>
      <c r="AM1118" s="333" t="n">
        <v>499</v>
      </c>
      <c r="AN1118" t="inlineStr">
        <is>
          <t>https://tinyurl.com/yc4rswv8</t>
        </is>
      </c>
      <c r="AO1118" t="inlineStr">
        <is>
          <t>Volkl 2022 Yumi 80 Women's Skis w/Tyrolia Attack2 11GW Bindings (147)</t>
        </is>
      </c>
      <c r="AP1118" t="inlineStr">
        <is>
          <t>Buyr.com</t>
        </is>
      </c>
      <c r="AQ1118" s="333" t="n">
        <v>689.95</v>
      </c>
      <c r="AR1118" t="inlineStr">
        <is>
          <t>https://tinyurl.com/yb58nb7d</t>
        </is>
      </c>
      <c r="AS1118" s="314">
        <f>IF(LEFT(C1118,1)=" ",RIGHT(C1118,LEN(C1118)-1),C1118)</f>
        <v/>
      </c>
      <c r="AT1118" s="281">
        <f>_xlfn.CONCAT(B1118,AS1118,D1118,E1118)</f>
        <v/>
      </c>
    </row>
    <row r="1119">
      <c r="A1119" t="inlineStr">
        <is>
          <t>21/22</t>
        </is>
      </c>
      <c r="B1119" t="inlineStr">
        <is>
          <t xml:space="preserve"> Vï¿½lkl</t>
        </is>
      </c>
      <c r="C1119" t="inlineStr">
        <is>
          <t>Mantra M5</t>
        </is>
      </c>
      <c r="D1119" t="n">
        <v>177</v>
      </c>
      <c r="E1119" t="inlineStr">
        <is>
          <t xml:space="preserve"> Unisex</t>
        </is>
      </c>
      <c r="F1119" t="n">
        <v>177</v>
      </c>
      <c r="G1119" t="n">
        <v>177.9</v>
      </c>
      <c r="H1119" t="n">
        <v>138</v>
      </c>
      <c r="I1119" t="n">
        <v>155</v>
      </c>
      <c r="J1119" t="n">
        <v>133</v>
      </c>
      <c r="K1119" t="n">
        <v>95</v>
      </c>
      <c r="L1119" t="n">
        <v>116</v>
      </c>
      <c r="M1119" t="n">
        <v>20.2</v>
      </c>
      <c r="N1119" t="n">
        <v>2082</v>
      </c>
      <c r="O1119" t="n">
        <v>0.91</v>
      </c>
      <c r="P1119" t="n">
        <v>1895</v>
      </c>
      <c r="Q1119" t="n">
        <v>224</v>
      </c>
      <c r="R1119" t="n">
        <v>145</v>
      </c>
      <c r="S1119" t="n">
        <v>44</v>
      </c>
      <c r="T1119" t="n">
        <v>256</v>
      </c>
      <c r="U1119" t="n">
        <v>13</v>
      </c>
      <c r="V1119" t="n">
        <v>144</v>
      </c>
      <c r="W1119" t="n">
        <v>0.295</v>
      </c>
      <c r="X1119" t="n">
        <v>133</v>
      </c>
      <c r="Y1119" t="n">
        <v>95</v>
      </c>
      <c r="Z1119" t="n">
        <v>123</v>
      </c>
      <c r="AA1119" t="n">
        <v>5</v>
      </c>
      <c r="AB1119" t="n">
        <v>11.6</v>
      </c>
      <c r="AC1119" t="inlineStr">
        <is>
          <t xml:space="preserve"> Resort Freeride</t>
        </is>
      </c>
      <c r="AG1119" t="inlineStr">
        <is>
          <t>Volkl Men's M5 Mantra 96 Flat Ski 2020-2021 | BLACK/RED / 177</t>
        </is>
      </c>
      <c r="AH1119" t="inlineStr">
        <is>
          <t>Ski Pro  - Snow Ski &amp; Snowboard</t>
        </is>
      </c>
      <c r="AI1119" s="333" t="n">
        <v>499.95</v>
      </c>
      <c r="AJ1119" t="inlineStr">
        <is>
          <t>https://tinyurl.com/ychlh5eo</t>
        </is>
      </c>
      <c r="AK1119" t="inlineStr">
        <is>
          <t>Volkl M5 Mantra</t>
        </is>
      </c>
      <c r="AL1119" t="inlineStr">
        <is>
          <t>Powder7 Ski Shop</t>
        </is>
      </c>
      <c r="AM1119" s="333" t="n">
        <v>509.93</v>
      </c>
      <c r="AN1119" t="inlineStr">
        <is>
          <t>https://tinyurl.com/yc5u844f</t>
        </is>
      </c>
      <c r="AO1119" t="inlineStr">
        <is>
          <t>'21 Volkl M5 Mantra Skis 177cm</t>
        </is>
      </c>
      <c r="AP1119" t="inlineStr">
        <is>
          <t>Al's Ski Equipment Barn</t>
        </is>
      </c>
      <c r="AQ1119" s="333" t="n">
        <v>549.95</v>
      </c>
      <c r="AR1119" t="inlineStr">
        <is>
          <t>https://tinyurl.com/y7tkyezl</t>
        </is>
      </c>
      <c r="AS1119" s="314">
        <f>IF(LEFT(C1119,1)=" ",RIGHT(C1119,LEN(C1119)-1),C1119)</f>
        <v/>
      </c>
      <c r="AT1119" s="281">
        <f>_xlfn.CONCAT(B1119,AS1119,D1119,E1119)</f>
        <v/>
      </c>
    </row>
    <row r="1120">
      <c r="A1120" t="inlineStr">
        <is>
          <t>21/22</t>
        </is>
      </c>
      <c r="B1120" t="inlineStr">
        <is>
          <t xml:space="preserve"> Blizzard</t>
        </is>
      </c>
      <c r="C1120" t="inlineStr">
        <is>
          <t xml:space="preserve"> SRC</t>
        </is>
      </c>
      <c r="D1120" t="n">
        <v>160</v>
      </c>
      <c r="E1120" t="inlineStr">
        <is>
          <t xml:space="preserve"> Unisex</t>
        </is>
      </c>
      <c r="F1120" t="n">
        <v>160</v>
      </c>
      <c r="G1120" t="n">
        <v>159.1</v>
      </c>
      <c r="H1120" t="n">
        <v>141</v>
      </c>
      <c r="I1120" t="n">
        <v>146</v>
      </c>
      <c r="J1120" t="n">
        <v>119</v>
      </c>
      <c r="K1120" t="n">
        <v>69</v>
      </c>
      <c r="L1120" t="n">
        <v>103</v>
      </c>
      <c r="M1120" t="n">
        <v>12.2</v>
      </c>
      <c r="N1120" t="n">
        <v>1970</v>
      </c>
      <c r="O1120" t="n">
        <v>0.6899999999999999</v>
      </c>
      <c r="P1120" t="n">
        <v>1350</v>
      </c>
      <c r="Q1120" t="n">
        <v>195</v>
      </c>
      <c r="R1120" t="n">
        <v>125</v>
      </c>
      <c r="S1120" t="n">
        <v>39</v>
      </c>
      <c r="T1120" t="n">
        <v>136</v>
      </c>
      <c r="U1120" t="n">
        <v>5</v>
      </c>
      <c r="V1120" t="n">
        <v>48</v>
      </c>
      <c r="W1120" t="n">
        <v>0.116999999999999</v>
      </c>
      <c r="X1120" t="n">
        <v>70</v>
      </c>
      <c r="Y1120" t="n">
        <v>57</v>
      </c>
      <c r="Z1120" t="n">
        <v>66</v>
      </c>
      <c r="AA1120" t="n">
        <v>15</v>
      </c>
      <c r="AB1120" t="n">
        <v>11.8</v>
      </c>
      <c r="AC1120" t="inlineStr">
        <is>
          <t xml:space="preserve"> On-Piste Carving</t>
        </is>
      </c>
      <c r="AG1120" t="inlineStr">
        <is>
          <t>Blizzard Firebird SRC Skis W Marker X-Cell 14 Bindings 160cm 2022</t>
        </is>
      </c>
      <c r="AH1120" t="inlineStr">
        <is>
          <t>Powder7 Ski Shop</t>
        </is>
      </c>
      <c r="AI1120" s="333" t="n">
        <v>879.95</v>
      </c>
      <c r="AJ1120" t="inlineStr">
        <is>
          <t>https://tinyurl.com/yddmwayj</t>
        </is>
      </c>
      <c r="AK1120" t="inlineStr">
        <is>
          <t>Blizzard Ski Thermogel Tg3 ( 62" ) 160 + Poles 120cm / 48" + Fisher F9</t>
        </is>
      </c>
      <c r="AL1120" t="inlineStr">
        <is>
          <t>eBay - bookfinder09</t>
        </is>
      </c>
      <c r="AM1120" s="333" t="n">
        <v>164.57</v>
      </c>
      <c r="AN1120" t="inlineStr">
        <is>
          <t>https://tinyurl.com/y742dl6p</t>
        </is>
      </c>
      <c r="AO1120" t="inlineStr">
        <is>
          <t>Blizzard Cochise Team (Flat) - Orange 160</t>
        </is>
      </c>
      <c r="AP1120" t="inlineStr">
        <is>
          <t>eBay - grassisport</t>
        </is>
      </c>
      <c r="AQ1120" s="333" t="n">
        <v>205.28</v>
      </c>
      <c r="AR1120" t="inlineStr">
        <is>
          <t>https://tinyurl.com/ybe3g4hd</t>
        </is>
      </c>
      <c r="AS1120" s="314">
        <f>IF(LEFT(C1120,1)=" ",RIGHT(C1120,LEN(C1120)-1),C1120)</f>
        <v/>
      </c>
      <c r="AT1120" s="281">
        <f>_xlfn.CONCAT(B1120,AS1120,D1120,E1120)</f>
        <v/>
      </c>
    </row>
    <row r="1121">
      <c r="A1121" t="inlineStr">
        <is>
          <t>21/22</t>
        </is>
      </c>
      <c r="B1121" t="inlineStr">
        <is>
          <t xml:space="preserve"> Vï¿½lkl</t>
        </is>
      </c>
      <c r="C1121" t="inlineStr">
        <is>
          <t>Rise Above 88 W</t>
        </is>
      </c>
      <c r="D1121" t="n">
        <v>163</v>
      </c>
      <c r="E1121" t="inlineStr">
        <is>
          <t xml:space="preserve"> Women's</t>
        </is>
      </c>
      <c r="F1121" t="n">
        <v>163</v>
      </c>
      <c r="G1121" t="n">
        <v>162.1</v>
      </c>
      <c r="H1121" t="n">
        <v>133</v>
      </c>
      <c r="I1121" t="n">
        <v>140</v>
      </c>
      <c r="J1121" t="n">
        <v>130</v>
      </c>
      <c r="K1121" t="n">
        <v>87</v>
      </c>
      <c r="L1121" t="n">
        <v>111</v>
      </c>
      <c r="M1121" t="n">
        <v>14.2</v>
      </c>
      <c r="N1121" t="n">
        <v>1165</v>
      </c>
      <c r="O1121" t="n">
        <v>1.4</v>
      </c>
      <c r="P1121" t="n">
        <v>1630</v>
      </c>
      <c r="Q1121" t="n">
        <v>149</v>
      </c>
      <c r="R1121" t="n">
        <v>62</v>
      </c>
      <c r="S1121" t="n">
        <v>43</v>
      </c>
      <c r="T1121" t="n">
        <v>221</v>
      </c>
      <c r="U1121" t="n">
        <v>5</v>
      </c>
      <c r="V1121" t="n">
        <v>72</v>
      </c>
      <c r="W1121" t="n">
        <v>0.113</v>
      </c>
      <c r="X1121" t="n">
        <v>130</v>
      </c>
      <c r="Y1121" t="n">
        <v>95</v>
      </c>
      <c r="Z1121" t="n">
        <v>91</v>
      </c>
      <c r="AA1121" t="n">
        <v>4</v>
      </c>
      <c r="AB1121" t="n">
        <v>10.8</v>
      </c>
      <c r="AC1121" t="inlineStr">
        <is>
          <t xml:space="preserve"> Touring</t>
        </is>
      </c>
      <c r="AD1121" t="inlineStr">
        <is>
          <t xml:space="preserve"> Ultralight Touring</t>
        </is>
      </c>
      <c r="AG1121" t="inlineStr">
        <is>
          <t>Volkl Rise Above 88 Ski - Women - 163cm</t>
        </is>
      </c>
      <c r="AH1121" t="inlineStr">
        <is>
          <t>Snowcountry.eu</t>
        </is>
      </c>
      <c r="AI1121" s="333" t="n">
        <v>419.41</v>
      </c>
      <c r="AJ1121" t="inlineStr">
        <is>
          <t>https://tinyurl.com/ycpxm5c2</t>
        </is>
      </c>
      <c r="AK1121" t="inlineStr">
        <is>
          <t>Volkl Rise Above 88 Ski - 163cm</t>
        </is>
      </c>
      <c r="AL1121" t="inlineStr">
        <is>
          <t>! OutdoorXL.com</t>
        </is>
      </c>
      <c r="AM1121" s="333" t="n">
        <v>489.95</v>
      </c>
      <c r="AN1121" t="inlineStr">
        <is>
          <t>https://tinyurl.com/ybgx8pwz</t>
        </is>
      </c>
      <c r="AO1121" t="inlineStr">
        <is>
          <t>Volkl Rise Above 88 Ski - Women - 163cm</t>
        </is>
      </c>
      <c r="AP1121" t="inlineStr">
        <is>
          <t xml:space="preserve">Aspen East </t>
        </is>
      </c>
      <c r="AQ1121" s="333" t="n">
        <v>519</v>
      </c>
      <c r="AR1121" t="inlineStr">
        <is>
          <t>https://tinyurl.com/y928uhwc</t>
        </is>
      </c>
      <c r="AS1121" s="314">
        <f>IF(LEFT(C1121,1)=" ",RIGHT(C1121,LEN(C1121)-1),C1121)</f>
        <v/>
      </c>
      <c r="AT1121" s="281">
        <f>_xlfn.CONCAT(B1121,AS1121,D1121,E1121)</f>
        <v/>
      </c>
    </row>
    <row r="1122">
      <c r="A1122" t="inlineStr">
        <is>
          <t>21/22</t>
        </is>
      </c>
      <c r="B1122" t="inlineStr">
        <is>
          <t xml:space="preserve"> Nordica</t>
        </is>
      </c>
      <c r="C1122" t="inlineStr">
        <is>
          <t>Soul Rider 84</t>
        </is>
      </c>
      <c r="D1122" t="n">
        <v>149</v>
      </c>
      <c r="E1122" t="inlineStr">
        <is>
          <t xml:space="preserve"> Unisex</t>
        </is>
      </c>
      <c r="F1122" t="n">
        <v>149</v>
      </c>
      <c r="G1122" t="n">
        <v>147.3</v>
      </c>
      <c r="H1122" t="n">
        <v>117</v>
      </c>
      <c r="I1122" t="n">
        <v>131</v>
      </c>
      <c r="J1122" t="n">
        <v>115</v>
      </c>
      <c r="K1122" t="n">
        <v>81</v>
      </c>
      <c r="L1122" t="n">
        <v>106</v>
      </c>
      <c r="M1122" t="n">
        <v>14.4</v>
      </c>
      <c r="N1122" t="n">
        <v>1359</v>
      </c>
      <c r="O1122" t="n">
        <v>0.99</v>
      </c>
      <c r="P1122" t="n">
        <v>1352</v>
      </c>
      <c r="Q1122" t="n">
        <v>114</v>
      </c>
      <c r="R1122" t="n">
        <v>59</v>
      </c>
      <c r="S1122" t="n">
        <v>47</v>
      </c>
      <c r="T1122" t="n">
        <v>156</v>
      </c>
      <c r="U1122" t="n">
        <v>41</v>
      </c>
      <c r="V1122" t="n">
        <v>148</v>
      </c>
      <c r="W1122" t="n">
        <v>0.863</v>
      </c>
      <c r="X1122" t="n">
        <v>91</v>
      </c>
      <c r="Y1122" t="n">
        <v>76</v>
      </c>
      <c r="Z1122" t="n">
        <v>65</v>
      </c>
      <c r="AA1122" t="n">
        <v>10</v>
      </c>
      <c r="AB1122" t="n">
        <v>8.199999999999999</v>
      </c>
      <c r="AC1122" t="inlineStr">
        <is>
          <t xml:space="preserve"> Freeski</t>
        </is>
      </c>
      <c r="AG1122" t="inlineStr">
        <is>
          <t>Nordica Soul Rider 84 Blue Green / 149cm</t>
        </is>
      </c>
      <c r="AH1122" t="inlineStr">
        <is>
          <t>Sundance Ski and Board Shop</t>
        </is>
      </c>
      <c r="AI1122" s="333" t="n">
        <v>320.57</v>
      </c>
      <c r="AJ1122" t="inlineStr">
        <is>
          <t>https://tinyurl.com/yarrpyxk</t>
        </is>
      </c>
      <c r="AK1122" t="inlineStr">
        <is>
          <t>Nordica Soul Rider 84 Mens Ski 2021</t>
        </is>
      </c>
      <c r="AL1122" t="inlineStr">
        <is>
          <t>BobsSportsChalet.com</t>
        </is>
      </c>
      <c r="AM1122" s="333" t="n">
        <v>349.99</v>
      </c>
      <c r="AN1122" t="inlineStr">
        <is>
          <t>https://tinyurl.com/yd2jybwx</t>
        </is>
      </c>
      <c r="AS1122" s="314">
        <f>IF(LEFT(C1122,1)=" ",RIGHT(C1122,LEN(C1122)-1),C1122)</f>
        <v/>
      </c>
      <c r="AT1122" s="281">
        <f>_xlfn.CONCAT(B1122,AS1122,D1122,E1122)</f>
        <v/>
      </c>
    </row>
    <row r="1123">
      <c r="A1123" t="inlineStr">
        <is>
          <t>21/22</t>
        </is>
      </c>
      <c r="B1123" t="inlineStr">
        <is>
          <t xml:space="preserve"> Faction</t>
        </is>
      </c>
      <c r="C1123" t="inlineStr">
        <is>
          <t>Dictator 3.0</t>
        </is>
      </c>
      <c r="D1123" t="n">
        <v>180</v>
      </c>
      <c r="E1123" t="inlineStr">
        <is>
          <t xml:space="preserve"> Unisex</t>
        </is>
      </c>
      <c r="F1123" t="n">
        <v>180</v>
      </c>
      <c r="G1123" t="n">
        <v>178.8</v>
      </c>
      <c r="H1123" t="n">
        <v>130</v>
      </c>
      <c r="I1123" t="n">
        <v>150</v>
      </c>
      <c r="J1123" t="n">
        <v>134</v>
      </c>
      <c r="K1123" t="n">
        <v>106</v>
      </c>
      <c r="L1123" t="n">
        <v>123</v>
      </c>
      <c r="M1123" t="n">
        <v>21.1</v>
      </c>
      <c r="N1123" t="n">
        <v>2041</v>
      </c>
      <c r="O1123" t="n">
        <v>1.01</v>
      </c>
      <c r="P1123" t="n">
        <v>2057</v>
      </c>
      <c r="Q1123" t="n">
        <v>234</v>
      </c>
      <c r="R1123" t="n">
        <v>148</v>
      </c>
      <c r="S1123" t="n">
        <v>56</v>
      </c>
      <c r="T1123" t="n">
        <v>290</v>
      </c>
      <c r="U1123" t="n">
        <v>20</v>
      </c>
      <c r="V1123" t="n">
        <v>198</v>
      </c>
      <c r="W1123" t="n">
        <v>0.352</v>
      </c>
      <c r="X1123" t="n">
        <v>182</v>
      </c>
      <c r="Y1123" t="n">
        <v>110</v>
      </c>
      <c r="Z1123" t="n">
        <v>108</v>
      </c>
      <c r="AA1123" t="n">
        <v>7</v>
      </c>
      <c r="AB1123" t="n">
        <v>11.1</v>
      </c>
      <c r="AC1123" t="inlineStr">
        <is>
          <t xml:space="preserve"> Powder</t>
        </is>
      </c>
      <c r="AD1123" t="inlineStr">
        <is>
          <t xml:space="preserve"> Big Mountain</t>
        </is>
      </c>
      <c r="AG1123" t="inlineStr">
        <is>
          <t>Faction Dictator 3.0 Skis</t>
        </is>
      </c>
      <c r="AH1123" t="inlineStr">
        <is>
          <t>Next Adventure</t>
        </is>
      </c>
      <c r="AI1123" s="333" t="n">
        <v>655.2</v>
      </c>
      <c r="AJ1123" t="inlineStr">
        <is>
          <t>https://tinyurl.com/y7ccgsu5</t>
        </is>
      </c>
      <c r="AK1123" t="inlineStr">
        <is>
          <t>Faction Agent 3.0x Womens Skis</t>
        </is>
      </c>
      <c r="AL1123" t="inlineStr">
        <is>
          <t>Snowcountry.eu</t>
        </is>
      </c>
      <c r="AM1123" s="333" t="n">
        <v>515.3</v>
      </c>
      <c r="AN1123" t="inlineStr">
        <is>
          <t>https://tinyurl.com/yc8zpp7f</t>
        </is>
      </c>
      <c r="AS1123" s="314">
        <f>IF(LEFT(C1123,1)=" ",RIGHT(C1123,LEN(C1123)-1),C1123)</f>
        <v/>
      </c>
      <c r="AT1123" s="281">
        <f>_xlfn.CONCAT(B1123,AS1123,D1123,E1123)</f>
        <v/>
      </c>
    </row>
    <row r="1124">
      <c r="A1124" t="inlineStr">
        <is>
          <t>21/22</t>
        </is>
      </c>
      <c r="B1124" t="inlineStr">
        <is>
          <t xml:space="preserve"> Elan</t>
        </is>
      </c>
      <c r="C1124" t="inlineStr">
        <is>
          <t>Ripstick 88 W</t>
        </is>
      </c>
      <c r="D1124" t="n">
        <v>154</v>
      </c>
      <c r="E1124" t="inlineStr">
        <is>
          <t xml:space="preserve"> Women's</t>
        </is>
      </c>
      <c r="F1124" t="n">
        <v>154</v>
      </c>
      <c r="G1124" t="n">
        <v>156.4</v>
      </c>
      <c r="H1124" t="n">
        <v>121</v>
      </c>
      <c r="I1124" t="n">
        <v>132</v>
      </c>
      <c r="J1124" t="n">
        <v>129</v>
      </c>
      <c r="K1124" t="n">
        <v>87</v>
      </c>
      <c r="L1124" t="n">
        <v>105</v>
      </c>
      <c r="M1124" t="n">
        <v>13.6</v>
      </c>
      <c r="N1124" t="n">
        <v>1327</v>
      </c>
      <c r="O1124" t="n">
        <v>1.18</v>
      </c>
      <c r="P1124" t="n">
        <v>1572</v>
      </c>
      <c r="Q1124" t="n">
        <v>121</v>
      </c>
      <c r="R1124" t="n">
        <v>56</v>
      </c>
      <c r="S1124" t="n">
        <v>46</v>
      </c>
      <c r="T1124" t="n">
        <v>221</v>
      </c>
      <c r="U1124" t="n">
        <v>11</v>
      </c>
      <c r="V1124" t="n">
        <v>133</v>
      </c>
      <c r="W1124" t="n">
        <v>0.243</v>
      </c>
      <c r="X1124" t="n">
        <v>136</v>
      </c>
      <c r="Y1124" t="n">
        <v>104</v>
      </c>
      <c r="Z1124" t="n">
        <v>84</v>
      </c>
      <c r="AA1124" t="n">
        <v>4</v>
      </c>
      <c r="AB1124" t="n">
        <v>8.5</v>
      </c>
      <c r="AC1124" t="inlineStr">
        <is>
          <t xml:space="preserve"> Resort Freeride</t>
        </is>
      </c>
      <c r="AD1124" t="inlineStr">
        <is>
          <t xml:space="preserve"> Touring</t>
        </is>
      </c>
      <c r="AG1124" t="inlineStr">
        <is>
          <t>Elan Ripstick 88 W Skis - Women's 2022</t>
        </is>
      </c>
      <c r="AH1124" t="inlineStr">
        <is>
          <t>Absolute-Snow.co.uk</t>
        </is>
      </c>
      <c r="AI1124" s="333" t="n">
        <v>390.96</v>
      </c>
      <c r="AJ1124" t="inlineStr">
        <is>
          <t>https://tinyurl.com/ybhj7x5j</t>
        </is>
      </c>
      <c r="AK1124" t="inlineStr">
        <is>
          <t>Elan Ripstick 102 W Women's All Mountain Powder Skis 2021/22 154 cm</t>
        </is>
      </c>
      <c r="AL1124" t="inlineStr">
        <is>
          <t>Utah SKI Gear</t>
        </is>
      </c>
      <c r="AM1124" s="333" t="n">
        <v>519.95</v>
      </c>
      <c r="AN1124" t="inlineStr">
        <is>
          <t>https://tinyurl.com/yblehlrv</t>
        </is>
      </c>
      <c r="AO1124" t="inlineStr">
        <is>
          <t>Elan Ripstick 94 W Women's Skis 2022</t>
        </is>
      </c>
      <c r="AP1124" t="inlineStr">
        <is>
          <t>PRFO Sports</t>
        </is>
      </c>
      <c r="AQ1124" s="333" t="n">
        <v>561.01</v>
      </c>
      <c r="AR1124" t="inlineStr">
        <is>
          <t>https://tinyurl.com/yczxmcyd</t>
        </is>
      </c>
      <c r="AS1124" s="314">
        <f>IF(LEFT(C1124,1)=" ",RIGHT(C1124,LEN(C1124)-1),C1124)</f>
        <v/>
      </c>
      <c r="AT1124" s="281">
        <f>_xlfn.CONCAT(B1124,AS1124,D1124,E1124)</f>
        <v/>
      </c>
    </row>
    <row r="1125">
      <c r="A1125" t="inlineStr">
        <is>
          <t>21/22</t>
        </is>
      </c>
      <c r="B1125" t="inlineStr">
        <is>
          <t xml:space="preserve"> Head</t>
        </is>
      </c>
      <c r="C1125" t="inlineStr">
        <is>
          <t xml:space="preserve"> Total Joy</t>
        </is>
      </c>
      <c r="D1125" t="n">
        <v>153</v>
      </c>
      <c r="E1125" t="inlineStr">
        <is>
          <t xml:space="preserve"> Women's</t>
        </is>
      </c>
      <c r="F1125" t="n">
        <v>153</v>
      </c>
      <c r="G1125" t="n">
        <v>153.1</v>
      </c>
      <c r="H1125" t="n">
        <v>129</v>
      </c>
      <c r="I1125" t="n">
        <v>135</v>
      </c>
      <c r="J1125" t="n">
        <v>132</v>
      </c>
      <c r="K1125" t="n">
        <v>84</v>
      </c>
      <c r="L1125" t="n">
        <v>111</v>
      </c>
      <c r="M1125" t="n">
        <v>12.1</v>
      </c>
      <c r="N1125" t="n">
        <v>1377</v>
      </c>
      <c r="O1125" t="n">
        <v>1.09</v>
      </c>
      <c r="P1125" t="n">
        <v>1506</v>
      </c>
      <c r="Q1125" t="n">
        <v>137</v>
      </c>
      <c r="R1125" t="n">
        <v>47</v>
      </c>
      <c r="S1125" t="n">
        <v>44</v>
      </c>
      <c r="T1125" t="n">
        <v>161</v>
      </c>
      <c r="U1125" t="n">
        <v>13</v>
      </c>
      <c r="V1125" t="n">
        <v>77</v>
      </c>
      <c r="W1125" t="n">
        <v>0.303</v>
      </c>
      <c r="X1125" t="n">
        <v>109</v>
      </c>
      <c r="Y1125" t="n">
        <v>69</v>
      </c>
      <c r="Z1125" t="n">
        <v>52</v>
      </c>
      <c r="AA1125" t="n">
        <v>14</v>
      </c>
      <c r="AB1125" t="n">
        <v>10.1</v>
      </c>
      <c r="AC1125" t="inlineStr">
        <is>
          <t xml:space="preserve"> On-Piste All-Mountain</t>
        </is>
      </c>
      <c r="AD1125" t="inlineStr">
        <is>
          <t xml:space="preserve"> Resort Freeride</t>
        </is>
      </c>
      <c r="AE1125" t="inlineStr">
        <is>
          <t xml:space="preserve"> Touring</t>
        </is>
      </c>
      <c r="AG1125" t="inlineStr">
        <is>
          <t>19-20 Head Total Joy  Women's Demo Skis W/bindings Size 153cm</t>
        </is>
      </c>
      <c r="AH1125" t="inlineStr">
        <is>
          <t>eBay - demo-skis</t>
        </is>
      </c>
      <c r="AI1125" s="333" t="n">
        <v>499</v>
      </c>
      <c r="AJ1125" t="inlineStr">
        <is>
          <t>https://www.google.com/url?q=https://www.ebay.com/itm/304185209493%3Fchn%3Dps%26mkevt%3D1%26mkcid%3D28&amp;sa=U&amp;ved=0ahUKEwiWv8zxz-72AhV8DEQIHRcqAZkQ2SkIZw&amp;usg=AOvVaw1QZAXP7i7_TDu9avmLeKW5</t>
        </is>
      </c>
      <c r="AK1125" t="inlineStr">
        <is>
          <t>Head Total Joy SW SLR Joy Pro + JOY 11 GW 153cm</t>
        </is>
      </c>
      <c r="AL1125" t="inlineStr">
        <is>
          <t>Sundance Ski and Board Shop</t>
        </is>
      </c>
      <c r="AM1125" s="333" t="n">
        <v>544.98</v>
      </c>
      <c r="AN1125" t="inlineStr">
        <is>
          <t>https://tinyurl.com/y7f649zj</t>
        </is>
      </c>
      <c r="AO1125" t="inlineStr">
        <is>
          <t>2022 Head Total Joy Women's Demo Skis w/ Tyrolia Joy 11 GW SLR Bindings - 153| Ski Essentials</t>
        </is>
      </c>
      <c r="AP1125" t="inlineStr">
        <is>
          <t>SkiEssentials.com</t>
        </is>
      </c>
      <c r="AQ1125" s="333" t="n">
        <v>599</v>
      </c>
      <c r="AR1125" t="inlineStr">
        <is>
          <t>https://tinyurl.com/yd5qqkmu</t>
        </is>
      </c>
      <c r="AS1125" s="314">
        <f>IF(LEFT(C1125,1)=" ",RIGHT(C1125,LEN(C1125)-1),C1125)</f>
        <v/>
      </c>
      <c r="AT1125" s="281">
        <f>_xlfn.CONCAT(B1125,AS1125,D1125,E1125)</f>
        <v/>
      </c>
    </row>
    <row r="1126">
      <c r="A1126" t="inlineStr">
        <is>
          <t>21/22</t>
        </is>
      </c>
      <c r="B1126" t="inlineStr">
        <is>
          <t xml:space="preserve"> Faction</t>
        </is>
      </c>
      <c r="C1126" t="inlineStr">
        <is>
          <t>CT 2.0 Jr</t>
        </is>
      </c>
      <c r="D1126" t="n">
        <v>159</v>
      </c>
      <c r="E1126" t="inlineStr">
        <is>
          <t xml:space="preserve"> Junior</t>
        </is>
      </c>
      <c r="F1126" t="n">
        <v>159</v>
      </c>
      <c r="G1126" t="n">
        <v>157.1</v>
      </c>
      <c r="H1126" t="n">
        <v>110</v>
      </c>
      <c r="I1126" t="n">
        <v>132</v>
      </c>
      <c r="J1126" t="n">
        <v>128</v>
      </c>
      <c r="K1126" t="n">
        <v>97</v>
      </c>
      <c r="L1126" t="n">
        <v>124</v>
      </c>
      <c r="M1126" t="n">
        <v>13.8</v>
      </c>
      <c r="N1126" t="n">
        <v>1435</v>
      </c>
      <c r="O1126" t="n">
        <v>1.18</v>
      </c>
      <c r="P1126" t="n">
        <v>1700</v>
      </c>
      <c r="Q1126" t="n">
        <v>130</v>
      </c>
      <c r="R1126" t="n">
        <v>44</v>
      </c>
      <c r="S1126" t="n">
        <v>55</v>
      </c>
      <c r="T1126" t="n">
        <v>240</v>
      </c>
      <c r="U1126" t="n">
        <v>46</v>
      </c>
      <c r="V1126" t="n">
        <v>232</v>
      </c>
      <c r="W1126" t="n">
        <v>0.837</v>
      </c>
      <c r="X1126" t="n">
        <v>131</v>
      </c>
      <c r="Y1126" t="n">
        <v>123</v>
      </c>
      <c r="Z1126" t="n">
        <v>108</v>
      </c>
      <c r="AA1126" t="n">
        <v>5</v>
      </c>
      <c r="AB1126" t="n">
        <v>3.2</v>
      </c>
      <c r="AC1126" t="inlineStr">
        <is>
          <t xml:space="preserve"> Resort Freeride</t>
        </is>
      </c>
      <c r="AD1126" t="inlineStr">
        <is>
          <t xml:space="preserve"> Freeski</t>
        </is>
      </c>
      <c r="AE1126" t="inlineStr">
        <is>
          <t xml:space="preserve"> Touring</t>
        </is>
      </c>
      <c r="AG1126" t="inlineStr">
        <is>
          <t>Faction Ct 2.0 Skis - Youth 2022</t>
        </is>
      </c>
      <c r="AH1126" t="inlineStr">
        <is>
          <t>Next Adventure</t>
        </is>
      </c>
      <c r="AI1126" s="333" t="n">
        <v>383.2</v>
      </c>
      <c r="AJ1126" t="inlineStr">
        <is>
          <t>https://tinyurl.com/ybwhjeyg</t>
        </is>
      </c>
      <c r="AK1126" t="inlineStr">
        <is>
          <t>Faction Prodigy 2.0 Skis 2022 - 159</t>
        </is>
      </c>
      <c r="AL1126" t="inlineStr">
        <is>
          <t>Powder7 Ski Shop</t>
        </is>
      </c>
      <c r="AM1126" s="333" t="n">
        <v>559</v>
      </c>
      <c r="AN1126" t="inlineStr">
        <is>
          <t>https://tinyurl.com/yb8hbprb</t>
        </is>
      </c>
      <c r="AO1126" t="inlineStr">
        <is>
          <t>Faction Candide 2.0x Women's Skis</t>
        </is>
      </c>
      <c r="AP1126" t="inlineStr">
        <is>
          <t>Backcountry Freeskier</t>
        </is>
      </c>
      <c r="AQ1126" s="333" t="n">
        <v>599</v>
      </c>
      <c r="AR1126" t="inlineStr">
        <is>
          <t>https://tinyurl.com/yafcct7p</t>
        </is>
      </c>
      <c r="AS1126" s="314">
        <f>IF(LEFT(C1126,1)=" ",RIGHT(C1126,LEN(C1126)-1),C1126)</f>
        <v/>
      </c>
      <c r="AT1126" s="281">
        <f>_xlfn.CONCAT(B1126,AS1126,D1126,E1126)</f>
        <v/>
      </c>
    </row>
    <row r="1127">
      <c r="A1127" t="inlineStr">
        <is>
          <t>21/22</t>
        </is>
      </c>
      <c r="B1127" t="inlineStr">
        <is>
          <t xml:space="preserve"> Vï¿½lkl</t>
        </is>
      </c>
      <c r="C1127" t="inlineStr">
        <is>
          <t>Yumi 84</t>
        </is>
      </c>
      <c r="D1127" t="n">
        <v>147</v>
      </c>
      <c r="E1127" t="inlineStr">
        <is>
          <t xml:space="preserve"> Women's</t>
        </is>
      </c>
      <c r="F1127" t="n">
        <v>147</v>
      </c>
      <c r="G1127" t="n">
        <v>148.8</v>
      </c>
      <c r="H1127" t="n">
        <v>88</v>
      </c>
      <c r="I1127" t="n">
        <v>125</v>
      </c>
      <c r="J1127" t="n">
        <v>124</v>
      </c>
      <c r="K1127" t="n">
        <v>83</v>
      </c>
      <c r="L1127" t="n">
        <v>106</v>
      </c>
      <c r="M1127" t="n">
        <v>11.7</v>
      </c>
      <c r="N1127" t="n">
        <v>1295</v>
      </c>
      <c r="O1127" t="n">
        <v>1.11</v>
      </c>
      <c r="P1127" t="n">
        <v>1435</v>
      </c>
      <c r="Q1127" t="n">
        <v>158</v>
      </c>
      <c r="R1127" t="n">
        <v>60</v>
      </c>
      <c r="S1127" t="n">
        <v>42</v>
      </c>
      <c r="T1127" t="n">
        <v>282</v>
      </c>
      <c r="U1127" t="n">
        <v>19</v>
      </c>
      <c r="V1127" t="n">
        <v>326</v>
      </c>
      <c r="W1127" t="n">
        <v>0.447</v>
      </c>
      <c r="X1127" t="n">
        <v>134</v>
      </c>
      <c r="Y1127" t="n">
        <v>103</v>
      </c>
      <c r="Z1127" t="n">
        <v>148</v>
      </c>
      <c r="AA1127" t="n">
        <v>2</v>
      </c>
      <c r="AB1127" t="n">
        <v>11.2</v>
      </c>
      <c r="AC1127" t="inlineStr">
        <is>
          <t xml:space="preserve"> On-Piste All-Mountain</t>
        </is>
      </c>
      <c r="AD1127" t="inlineStr">
        <is>
          <t xml:space="preserve"> Resort Freeride</t>
        </is>
      </c>
      <c r="AE1127" t="inlineStr">
        <is>
          <t xml:space="preserve"> Touring</t>
        </is>
      </c>
      <c r="AG1127" t="inlineStr">
        <is>
          <t>Volkl Yumi 84</t>
        </is>
      </c>
      <c r="AH1127" t="inlineStr">
        <is>
          <t>Gorham Bike and Ski</t>
        </is>
      </c>
      <c r="AI1127" s="333" t="n">
        <v>419.99</v>
      </c>
      <c r="AJ1127" t="inlineStr">
        <is>
          <t>https://tinyurl.com/y8nj6znd</t>
        </is>
      </c>
      <c r="AK1127" t="inlineStr">
        <is>
          <t>Volkl Yumi 84</t>
        </is>
      </c>
      <c r="AL1127" t="inlineStr">
        <is>
          <t>BlueZone Sports</t>
        </is>
      </c>
      <c r="AM1127" s="333" t="n">
        <v>479.99</v>
      </c>
      <c r="AN1127" t="inlineStr">
        <is>
          <t>https://tinyurl.com/ycdav633</t>
        </is>
      </c>
      <c r="AO1127" t="inlineStr">
        <is>
          <t>Volkl Yumi 84</t>
        </is>
      </c>
      <c r="AP1127" t="inlineStr">
        <is>
          <t>eBay - david110549</t>
        </is>
      </c>
      <c r="AQ1127" s="333" t="n">
        <v>479.99</v>
      </c>
      <c r="AR1127" t="inlineStr">
        <is>
          <t>https://tinyurl.com/y9r7pa4s</t>
        </is>
      </c>
      <c r="AS1127" s="314">
        <f>IF(LEFT(C1127,1)=" ",RIGHT(C1127,LEN(C1127)-1),C1127)</f>
        <v/>
      </c>
      <c r="AT1127" s="281">
        <f>_xlfn.CONCAT(B1127,AS1127,D1127,E1127)</f>
        <v/>
      </c>
    </row>
    <row r="1128">
      <c r="A1128" t="inlineStr">
        <is>
          <t>21/22</t>
        </is>
      </c>
      <c r="B1128" t="inlineStr">
        <is>
          <t xml:space="preserve"> Rossignol</t>
        </is>
      </c>
      <c r="C1128" t="inlineStr">
        <is>
          <t>Nova 2</t>
        </is>
      </c>
      <c r="D1128" t="n">
        <v>152</v>
      </c>
      <c r="E1128" t="inlineStr">
        <is>
          <t xml:space="preserve"> Women's</t>
        </is>
      </c>
      <c r="F1128" t="n">
        <v>152</v>
      </c>
      <c r="G1128" t="n">
        <v>152.4</v>
      </c>
      <c r="H1128" t="n">
        <v>131</v>
      </c>
      <c r="I1128" t="n">
        <v>136</v>
      </c>
      <c r="J1128" t="n">
        <v>121</v>
      </c>
      <c r="K1128" t="n">
        <v>74</v>
      </c>
      <c r="L1128" t="n">
        <v>107</v>
      </c>
      <c r="M1128" t="n">
        <v>11.7</v>
      </c>
      <c r="N1128" t="n">
        <v>1433</v>
      </c>
      <c r="O1128" t="n">
        <v>0.95</v>
      </c>
      <c r="P1128" t="n">
        <v>1357</v>
      </c>
      <c r="Q1128" t="n">
        <v>134</v>
      </c>
      <c r="R1128" t="n">
        <v>45</v>
      </c>
      <c r="S1128" t="n">
        <v>35</v>
      </c>
      <c r="T1128" t="n">
        <v>143</v>
      </c>
      <c r="U1128" t="n">
        <v>6</v>
      </c>
      <c r="V1128" t="n">
        <v>69</v>
      </c>
      <c r="W1128" t="n">
        <v>0.157</v>
      </c>
      <c r="X1128" t="n">
        <v>81</v>
      </c>
      <c r="Y1128" t="n">
        <v>79</v>
      </c>
      <c r="Z1128" t="n">
        <v>62</v>
      </c>
      <c r="AA1128" t="n">
        <v>9</v>
      </c>
      <c r="AB1128" t="n">
        <v>8.1</v>
      </c>
      <c r="AC1128" t="inlineStr">
        <is>
          <t xml:space="preserve"> On-Piste Carving</t>
        </is>
      </c>
      <c r="AD1128" t="inlineStr">
        <is>
          <t xml:space="preserve"> On-Piste All-Mountain</t>
        </is>
      </c>
      <c r="AS1128" s="314">
        <f>IF(LEFT(C1128,1)=" ",RIGHT(C1128,LEN(C1128)-1),C1128)</f>
        <v/>
      </c>
      <c r="AT1128" s="281">
        <f>_xlfn.CONCAT(B1128,AS1128,D1128,E1128)</f>
        <v/>
      </c>
    </row>
    <row r="1129">
      <c r="A1129" t="inlineStr">
        <is>
          <t>21/22</t>
        </is>
      </c>
      <c r="B1129" t="inlineStr">
        <is>
          <t xml:space="preserve"> Atomic</t>
        </is>
      </c>
      <c r="C1129" t="inlineStr">
        <is>
          <t>Maverick 88 Ti</t>
        </is>
      </c>
      <c r="D1129" t="n">
        <v>184</v>
      </c>
      <c r="E1129" t="inlineStr">
        <is>
          <t xml:space="preserve"> Unisex</t>
        </is>
      </c>
      <c r="F1129" t="n">
        <v>184</v>
      </c>
      <c r="G1129" t="n">
        <v>182.9</v>
      </c>
      <c r="H1129" t="n">
        <v>135</v>
      </c>
      <c r="I1129" t="n">
        <v>156</v>
      </c>
      <c r="J1129" t="n">
        <v>125</v>
      </c>
      <c r="K1129" t="n">
        <v>87</v>
      </c>
      <c r="L1129" t="n">
        <v>109</v>
      </c>
      <c r="M1129" t="n">
        <v>19.7</v>
      </c>
      <c r="N1129" t="n">
        <v>1853</v>
      </c>
      <c r="O1129" t="n">
        <v>0.98</v>
      </c>
      <c r="P1129" t="n">
        <v>1808</v>
      </c>
      <c r="Q1129" t="n">
        <v>261</v>
      </c>
      <c r="R1129" t="n">
        <v>167</v>
      </c>
      <c r="S1129" t="n">
        <v>52</v>
      </c>
      <c r="T1129" t="n">
        <v>291</v>
      </c>
      <c r="U1129" t="n">
        <v>13</v>
      </c>
      <c r="V1129" t="n">
        <v>189</v>
      </c>
      <c r="W1129" t="n">
        <v>0.257</v>
      </c>
      <c r="X1129" t="n">
        <v>161</v>
      </c>
      <c r="Y1129" t="n">
        <v>107</v>
      </c>
      <c r="Z1129" t="n">
        <v>130</v>
      </c>
      <c r="AA1129" t="n">
        <v>7</v>
      </c>
      <c r="AB1129" t="n">
        <v>8.5</v>
      </c>
      <c r="AC1129" t="inlineStr">
        <is>
          <t xml:space="preserve"> Resort Freeride</t>
        </is>
      </c>
      <c r="AG1129" t="inlineStr">
        <is>
          <t>Atomic Maverick 88 Ti Skis</t>
        </is>
      </c>
      <c r="AH1129" t="inlineStr">
        <is>
          <t>Ski Pro  - Snow Ski &amp; Snowboard</t>
        </is>
      </c>
      <c r="AI1129" s="333" t="n">
        <v>519.95</v>
      </c>
      <c r="AJ1129" t="inlineStr">
        <is>
          <t>https://tinyurl.com/y9cz7m28</t>
        </is>
      </c>
      <c r="AK1129" t="inlineStr">
        <is>
          <t>Atomic Maverick 88 Ti Skis</t>
        </is>
      </c>
      <c r="AL1129" t="inlineStr">
        <is>
          <t>eBay - david110549</t>
        </is>
      </c>
      <c r="AM1129" s="333" t="n">
        <v>519.99</v>
      </c>
      <c r="AN1129" t="inlineStr">
        <is>
          <t>https://tinyurl.com/yc8nshpt</t>
        </is>
      </c>
      <c r="AO1129" t="inlineStr">
        <is>
          <t>Atomic Maverick 88 Ti Skis</t>
        </is>
      </c>
      <c r="AP1129" t="inlineStr">
        <is>
          <t>Curated</t>
        </is>
      </c>
      <c r="AQ1129" s="333" t="n">
        <v>519.99</v>
      </c>
      <c r="AR1129" t="inlineStr">
        <is>
          <t>https://tinyurl.com/y7k87vra</t>
        </is>
      </c>
      <c r="AS1129" s="314">
        <f>IF(LEFT(C1129,1)=" ",RIGHT(C1129,LEN(C1129)-1),C1129)</f>
        <v/>
      </c>
      <c r="AT1129" s="281">
        <f>_xlfn.CONCAT(B1129,AS1129,D1129,E1129)</f>
        <v/>
      </c>
    </row>
    <row r="1130">
      <c r="A1130" t="inlineStr">
        <is>
          <t>21/22</t>
        </is>
      </c>
      <c r="B1130" t="inlineStr">
        <is>
          <t xml:space="preserve"> Head</t>
        </is>
      </c>
      <c r="C1130" t="inlineStr">
        <is>
          <t xml:space="preserve"> Supershape e-Magnum</t>
        </is>
      </c>
      <c r="D1130" t="n">
        <v>170</v>
      </c>
      <c r="E1130" t="inlineStr">
        <is>
          <t xml:space="preserve"> Unisex</t>
        </is>
      </c>
      <c r="F1130" t="n">
        <v>170</v>
      </c>
      <c r="G1130" t="n">
        <v>169.3</v>
      </c>
      <c r="H1130" t="n">
        <v>150</v>
      </c>
      <c r="I1130" t="n">
        <v>158</v>
      </c>
      <c r="J1130" t="n">
        <v>128</v>
      </c>
      <c r="K1130" t="n">
        <v>71</v>
      </c>
      <c r="L1130" t="n">
        <v>109</v>
      </c>
      <c r="M1130" t="n">
        <v>13.1</v>
      </c>
      <c r="N1130" t="n">
        <v>2206</v>
      </c>
      <c r="O1130" t="n">
        <v>0.68</v>
      </c>
      <c r="P1130" t="n">
        <v>1491</v>
      </c>
      <c r="Q1130" t="n">
        <v>213</v>
      </c>
      <c r="R1130" t="n">
        <v>105</v>
      </c>
      <c r="S1130" t="n">
        <v>36</v>
      </c>
      <c r="T1130" t="n">
        <v>149</v>
      </c>
      <c r="U1130" t="n">
        <v>4</v>
      </c>
      <c r="V1130" t="n">
        <v>45</v>
      </c>
      <c r="W1130" t="n">
        <v>0.104</v>
      </c>
      <c r="X1130" t="n">
        <v>65</v>
      </c>
      <c r="Y1130" t="n">
        <v>51</v>
      </c>
      <c r="Z1130" t="n">
        <v>84</v>
      </c>
      <c r="AA1130" t="n">
        <v>9</v>
      </c>
      <c r="AB1130" t="n">
        <v>12.9</v>
      </c>
      <c r="AC1130" t="inlineStr">
        <is>
          <t xml:space="preserve"> On-Piste Carving</t>
        </is>
      </c>
      <c r="AG1130" t="inlineStr">
        <is>
          <t>Head Supershape i.Rally Skis w Head PRX 12 Demo Bindings  Demo</t>
        </is>
      </c>
      <c r="AH1130" t="inlineStr">
        <is>
          <t>Powder7 Ski Shop</t>
        </is>
      </c>
      <c r="AI1130" s="333" t="n">
        <v>349.99</v>
      </c>
      <c r="AJ1130" t="inlineStr">
        <is>
          <t>https://tinyurl.com/ycxvesm3</t>
        </is>
      </c>
      <c r="AK1130" t="inlineStr">
        <is>
          <t>Head Supershape E-Speed/ PRD 12 System</t>
        </is>
      </c>
      <c r="AL1130" t="inlineStr">
        <is>
          <t>eBay - asogear</t>
        </is>
      </c>
      <c r="AM1130" s="333" t="n">
        <v>689.99</v>
      </c>
      <c r="AN1130" t="inlineStr">
        <is>
          <t>https://tinyurl.com/yb228rry</t>
        </is>
      </c>
      <c r="AO1130" t="inlineStr">
        <is>
          <t>Head Supershape e-Titan Skis</t>
        </is>
      </c>
      <c r="AP1130" t="inlineStr">
        <is>
          <t>Cole Sport</t>
        </is>
      </c>
      <c r="AQ1130" s="333" t="n">
        <v>749</v>
      </c>
      <c r="AR1130" t="inlineStr">
        <is>
          <t>https://tinyurl.com/y83gyuum</t>
        </is>
      </c>
      <c r="AS1130" s="314">
        <f>IF(LEFT(C1130,1)=" ",RIGHT(C1130,LEN(C1130)-1),C1130)</f>
        <v/>
      </c>
      <c r="AT1130" s="281">
        <f>_xlfn.CONCAT(B1130,AS1130,D1130,E1130)</f>
        <v/>
      </c>
    </row>
    <row r="1131">
      <c r="A1131" t="inlineStr">
        <is>
          <t>21/22</t>
        </is>
      </c>
      <c r="B1131" t="inlineStr">
        <is>
          <t>4FRNT</t>
        </is>
      </c>
      <c r="C1131" t="inlineStr">
        <is>
          <t xml:space="preserve"> Hoji CC</t>
        </is>
      </c>
      <c r="D1131" t="n">
        <v>170</v>
      </c>
      <c r="E1131" t="inlineStr">
        <is>
          <t xml:space="preserve"> Women's</t>
        </is>
      </c>
      <c r="F1131" t="n">
        <v>170</v>
      </c>
      <c r="G1131" t="n">
        <v>168.6</v>
      </c>
      <c r="H1131" t="n">
        <v>0</v>
      </c>
      <c r="I1131" t="n">
        <v>117</v>
      </c>
      <c r="J1131" t="n">
        <v>125</v>
      </c>
      <c r="K1131" t="n">
        <v>111</v>
      </c>
      <c r="L1131" t="n">
        <v>117</v>
      </c>
      <c r="M1131" t="n">
        <v>29.9</v>
      </c>
      <c r="N1131" t="n">
        <v>1785</v>
      </c>
      <c r="O1131" t="n">
        <v>1.08</v>
      </c>
      <c r="P1131" t="n">
        <v>1933</v>
      </c>
      <c r="Q1131" t="n">
        <v>258</v>
      </c>
      <c r="R1131" t="n">
        <v>120</v>
      </c>
      <c r="S1131" t="n">
        <v>76</v>
      </c>
      <c r="T1131" t="n">
        <v>911</v>
      </c>
      <c r="U1131" t="n">
        <v>31</v>
      </c>
      <c r="V1131" t="n">
        <v>775</v>
      </c>
      <c r="W1131" t="n">
        <v>0.411</v>
      </c>
      <c r="X1131" t="n">
        <v>200</v>
      </c>
      <c r="Y1131" t="n">
        <v>314</v>
      </c>
      <c r="Z1131" t="n">
        <v>711</v>
      </c>
      <c r="AA1131" t="n">
        <v>-11</v>
      </c>
      <c r="AB1131" t="n">
        <v>6.8</v>
      </c>
      <c r="AC1131" t="inlineStr">
        <is>
          <t xml:space="preserve"> Powder</t>
        </is>
      </c>
      <c r="AD1131" t="inlineStr">
        <is>
          <t xml:space="preserve"> Touring</t>
        </is>
      </c>
      <c r="AG1131" t="inlineStr">
        <is>
          <t>Hoji CC 4LOCK Womens Powder Ski | 4FRNT 170 cm</t>
        </is>
      </c>
      <c r="AH1131" t="inlineStr">
        <is>
          <t>4FRNT Skis</t>
        </is>
      </c>
      <c r="AI1131" s="333" t="n">
        <v>879</v>
      </c>
      <c r="AJ1131" t="inlineStr">
        <is>
          <t>https://tinyurl.com/yc6oebml</t>
        </is>
      </c>
      <c r="AS1131" s="314">
        <f>IF(LEFT(C1131,1)=" ",RIGHT(C1131,LEN(C1131)-1),C1131)</f>
        <v/>
      </c>
      <c r="AT1131" s="281">
        <f>_xlfn.CONCAT(B1131,AS1131,D1131,E1131)</f>
        <v/>
      </c>
    </row>
    <row r="1132">
      <c r="A1132" t="inlineStr">
        <is>
          <t>21/22</t>
        </is>
      </c>
      <c r="B1132" t="inlineStr">
        <is>
          <t xml:space="preserve"> Raccoon</t>
        </is>
      </c>
      <c r="C1132" t="inlineStr">
        <is>
          <t xml:space="preserve"> Le Condor Ti</t>
        </is>
      </c>
      <c r="D1132" t="n">
        <v>178</v>
      </c>
      <c r="E1132" t="inlineStr">
        <is>
          <t xml:space="preserve"> Unisex</t>
        </is>
      </c>
      <c r="F1132" t="n">
        <v>178</v>
      </c>
      <c r="G1132" t="n">
        <v>176.6</v>
      </c>
      <c r="H1132" t="n">
        <v>148</v>
      </c>
      <c r="I1132" t="n">
        <v>167</v>
      </c>
      <c r="J1132" t="n">
        <v>131</v>
      </c>
      <c r="K1132" t="n">
        <v>75</v>
      </c>
      <c r="L1132" t="n">
        <v>115</v>
      </c>
      <c r="M1132" t="n">
        <v>14.6</v>
      </c>
      <c r="N1132" t="n">
        <v>1796</v>
      </c>
      <c r="O1132" t="n">
        <v>0.91</v>
      </c>
      <c r="P1132" t="n">
        <v>1632</v>
      </c>
      <c r="Q1132" t="n">
        <v>220</v>
      </c>
      <c r="R1132" t="n">
        <v>146</v>
      </c>
      <c r="S1132" t="n">
        <v>48</v>
      </c>
      <c r="T1132" t="n">
        <v>207</v>
      </c>
      <c r="U1132" t="n">
        <v>9</v>
      </c>
      <c r="V1132" t="n">
        <v>83</v>
      </c>
      <c r="W1132" t="n">
        <v>0.182</v>
      </c>
      <c r="X1132" t="n">
        <v>52</v>
      </c>
      <c r="Y1132" t="n">
        <v>47</v>
      </c>
      <c r="Z1132" t="n">
        <v>155</v>
      </c>
      <c r="AA1132" t="n">
        <v>7</v>
      </c>
      <c r="AB1132" t="n">
        <v>12.8</v>
      </c>
      <c r="AC1132" t="inlineStr">
        <is>
          <t xml:space="preserve"> On-Piste Carving</t>
        </is>
      </c>
      <c r="AS1132" s="314">
        <f>IF(LEFT(C1132,1)=" ",RIGHT(C1132,LEN(C1132)-1),C1132)</f>
        <v/>
      </c>
      <c r="AT1132" s="281">
        <f>_xlfn.CONCAT(B1132,AS1132,D1132,E1132)</f>
        <v/>
      </c>
    </row>
    <row r="1133">
      <c r="A1133" t="inlineStr">
        <is>
          <t>21/22</t>
        </is>
      </c>
      <c r="B1133" t="inlineStr">
        <is>
          <t xml:space="preserve"> Line</t>
        </is>
      </c>
      <c r="C1133" t="inlineStr">
        <is>
          <t>Pandora 94</t>
        </is>
      </c>
      <c r="D1133" t="n">
        <v>158</v>
      </c>
      <c r="E1133" t="inlineStr">
        <is>
          <t xml:space="preserve"> Women's</t>
        </is>
      </c>
      <c r="F1133" t="n">
        <v>158</v>
      </c>
      <c r="G1133" t="n">
        <v>158.2</v>
      </c>
      <c r="H1133" t="n">
        <v>118</v>
      </c>
      <c r="I1133" t="n">
        <v>133</v>
      </c>
      <c r="J1133" t="n">
        <v>130</v>
      </c>
      <c r="K1133" t="n">
        <v>93</v>
      </c>
      <c r="L1133" t="n">
        <v>116</v>
      </c>
      <c r="M1133" t="n">
        <v>13.4</v>
      </c>
      <c r="N1133" t="n">
        <v>1310</v>
      </c>
      <c r="O1133" t="n">
        <v>1.27</v>
      </c>
      <c r="P1133" t="n">
        <v>1663</v>
      </c>
      <c r="Q1133" t="n">
        <v>122</v>
      </c>
      <c r="R1133" t="n">
        <v>57</v>
      </c>
      <c r="S1133" t="n">
        <v>38</v>
      </c>
      <c r="T1133" t="n">
        <v>278</v>
      </c>
      <c r="U1133" t="n">
        <v>13</v>
      </c>
      <c r="V1133" t="n">
        <v>119</v>
      </c>
      <c r="W1133" t="n">
        <v>0.346</v>
      </c>
      <c r="X1133" t="n">
        <v>135</v>
      </c>
      <c r="Y1133" t="n">
        <v>117</v>
      </c>
      <c r="Z1133" t="n">
        <v>143</v>
      </c>
      <c r="AA1133" t="n">
        <v>6</v>
      </c>
      <c r="AB1133" t="n">
        <v>9</v>
      </c>
      <c r="AC1133" t="inlineStr">
        <is>
          <t xml:space="preserve"> Resort Freeride</t>
        </is>
      </c>
      <c r="AD1133" t="inlineStr">
        <is>
          <t xml:space="preserve"> Touring</t>
        </is>
      </c>
      <c r="AE1133" t="inlineStr">
        <is>
          <t xml:space="preserve"> Ultralight Touring</t>
        </is>
      </c>
      <c r="AG1133" t="inlineStr">
        <is>
          <t>'22 Line Pandora 94 Skis 158cm</t>
        </is>
      </c>
      <c r="AH1133" t="inlineStr">
        <is>
          <t>Al's Ski Equipment Barn</t>
        </is>
      </c>
      <c r="AI1133" s="333" t="n">
        <v>469.95</v>
      </c>
      <c r="AJ1133" t="inlineStr">
        <is>
          <t>https://tinyurl.com/y7no6468</t>
        </is>
      </c>
      <c r="AK1133" t="inlineStr">
        <is>
          <t>Line Skis Pandora 94</t>
        </is>
      </c>
      <c r="AL1133" t="inlineStr">
        <is>
          <t>LINE Skis</t>
        </is>
      </c>
      <c r="AM1133" s="333" t="n">
        <v>499.95</v>
      </c>
      <c r="AN1133" t="inlineStr">
        <is>
          <t>https://tinyurl.com/ycs285up</t>
        </is>
      </c>
      <c r="AO1133" t="inlineStr">
        <is>
          <t>Line Pandora 94 Skis Women's 2022 - - 158 cm</t>
        </is>
      </c>
      <c r="AP1133" t="inlineStr">
        <is>
          <t>Skirack</t>
        </is>
      </c>
      <c r="AQ1133" s="333" t="n">
        <v>499.95</v>
      </c>
      <c r="AR1133" t="inlineStr">
        <is>
          <t>https://tinyurl.com/y6veguol</t>
        </is>
      </c>
      <c r="AS1133" s="314">
        <f>IF(LEFT(C1133,1)=" ",RIGHT(C1133,LEN(C1133)-1),C1133)</f>
        <v/>
      </c>
      <c r="AT1133" s="281">
        <f>_xlfn.CONCAT(B1133,AS1133,D1133,E1133)</f>
        <v/>
      </c>
    </row>
    <row r="1134">
      <c r="A1134" t="inlineStr">
        <is>
          <t>21/22</t>
        </is>
      </c>
      <c r="B1134" t="inlineStr">
        <is>
          <t>K2</t>
        </is>
      </c>
      <c r="C1134" t="inlineStr">
        <is>
          <t>Wayback 88</t>
        </is>
      </c>
      <c r="D1134" t="n">
        <v>167</v>
      </c>
      <c r="E1134" t="inlineStr">
        <is>
          <t xml:space="preserve"> Unisex</t>
        </is>
      </c>
      <c r="F1134" t="n">
        <v>167</v>
      </c>
      <c r="G1134" t="n">
        <v>167</v>
      </c>
      <c r="H1134" t="n">
        <v>126</v>
      </c>
      <c r="I1134" t="n">
        <v>141</v>
      </c>
      <c r="J1134" t="n">
        <v>120</v>
      </c>
      <c r="K1134" t="n">
        <v>87</v>
      </c>
      <c r="L1134" t="n">
        <v>108</v>
      </c>
      <c r="M1134" t="n">
        <v>18.2</v>
      </c>
      <c r="N1134" t="n">
        <v>1154</v>
      </c>
      <c r="O1134" t="n">
        <v>1.41</v>
      </c>
      <c r="P1134" t="n">
        <v>1623</v>
      </c>
      <c r="Q1134" t="n">
        <v>154</v>
      </c>
      <c r="R1134" t="n">
        <v>64</v>
      </c>
      <c r="S1134" t="n">
        <v>46</v>
      </c>
      <c r="T1134" t="n">
        <v>290</v>
      </c>
      <c r="U1134" t="n">
        <v>7</v>
      </c>
      <c r="V1134" t="n">
        <v>119</v>
      </c>
      <c r="W1134" t="n">
        <v>0.158</v>
      </c>
      <c r="X1134" t="n">
        <v>159</v>
      </c>
      <c r="Y1134" t="n">
        <v>100</v>
      </c>
      <c r="Z1134" t="n">
        <v>131</v>
      </c>
      <c r="AA1134" t="n">
        <v>8</v>
      </c>
      <c r="AB1134" t="n">
        <v>11.3</v>
      </c>
      <c r="AC1134" t="inlineStr">
        <is>
          <t xml:space="preserve"> Touring</t>
        </is>
      </c>
      <c r="AD1134" t="inlineStr">
        <is>
          <t xml:space="preserve"> Ultralight Touring</t>
        </is>
      </c>
      <c r="AG1134" t="inlineStr">
        <is>
          <t>K2 Wayback 88 167</t>
        </is>
      </c>
      <c r="AH1134" t="inlineStr">
        <is>
          <t>Snowcountry.eu</t>
        </is>
      </c>
      <c r="AI1134" s="333" t="n">
        <v>367.81</v>
      </c>
      <c r="AJ1134" t="inlineStr">
        <is>
          <t>https://tinyurl.com/y8t3b8ul</t>
        </is>
      </c>
      <c r="AK1134" t="inlineStr">
        <is>
          <t>K2 Wayback 88 167</t>
        </is>
      </c>
      <c r="AL1134" t="inlineStr">
        <is>
          <t>Snowinn.com</t>
        </is>
      </c>
      <c r="AM1134" s="333" t="n">
        <v>436.99</v>
      </c>
      <c r="AN1134" t="inlineStr">
        <is>
          <t>https://tinyurl.com/yb25bvtl</t>
        </is>
      </c>
      <c r="AO1134" t="inlineStr">
        <is>
          <t>K2 Wayback 88 167</t>
        </is>
      </c>
      <c r="AP1134" t="inlineStr">
        <is>
          <t>SkiEssentials.com</t>
        </is>
      </c>
      <c r="AQ1134" s="333" t="n">
        <v>519.95</v>
      </c>
      <c r="AR1134" t="inlineStr">
        <is>
          <t>https://tinyurl.com/yapmqfue</t>
        </is>
      </c>
      <c r="AS1134" s="314">
        <f>IF(LEFT(C1134,1)=" ",RIGHT(C1134,LEN(C1134)-1),C1134)</f>
        <v/>
      </c>
      <c r="AT1134" s="281">
        <f>_xlfn.CONCAT(B1134,AS1134,D1134,E1134)</f>
        <v/>
      </c>
    </row>
    <row r="1135">
      <c r="A1135" t="inlineStr">
        <is>
          <t>21/22</t>
        </is>
      </c>
      <c r="B1135" t="inlineStr">
        <is>
          <t xml:space="preserve"> Fischer</t>
        </is>
      </c>
      <c r="C1135" t="inlineStr">
        <is>
          <t>Transalp 82</t>
        </is>
      </c>
      <c r="D1135" t="n">
        <v>155</v>
      </c>
      <c r="E1135" t="inlineStr">
        <is>
          <t xml:space="preserve"> Women's</t>
        </is>
      </c>
      <c r="F1135" t="n">
        <v>155</v>
      </c>
      <c r="G1135" t="n">
        <v>155.1</v>
      </c>
      <c r="H1135" t="n">
        <v>123</v>
      </c>
      <c r="I1135" t="n">
        <v>138</v>
      </c>
      <c r="J1135" t="n">
        <v>116</v>
      </c>
      <c r="K1135" t="n">
        <v>79</v>
      </c>
      <c r="L1135" t="n">
        <v>105</v>
      </c>
      <c r="M1135" t="n">
        <v>14.1</v>
      </c>
      <c r="N1135" t="n">
        <v>1056</v>
      </c>
      <c r="O1135" t="n">
        <v>1.34</v>
      </c>
      <c r="P1135" t="n">
        <v>1415</v>
      </c>
      <c r="Q1135" t="n">
        <v>182</v>
      </c>
      <c r="R1135" t="n">
        <v>66</v>
      </c>
      <c r="S1135" t="n">
        <v>54</v>
      </c>
      <c r="T1135" t="n">
        <v>231</v>
      </c>
      <c r="U1135" t="n">
        <v>10</v>
      </c>
      <c r="V1135" t="n">
        <v>90</v>
      </c>
      <c r="W1135" t="n">
        <v>0.184</v>
      </c>
      <c r="X1135" t="n">
        <v>93</v>
      </c>
      <c r="Y1135" t="n">
        <v>81</v>
      </c>
      <c r="Z1135" t="n">
        <v>138</v>
      </c>
      <c r="AA1135" t="n">
        <v>6</v>
      </c>
      <c r="AB1135" t="n">
        <v>9.5</v>
      </c>
      <c r="AC1135" t="inlineStr">
        <is>
          <t xml:space="preserve"> Touring</t>
        </is>
      </c>
      <c r="AD1135" t="inlineStr">
        <is>
          <t xml:space="preserve"> Ultralight Touring</t>
        </is>
      </c>
      <c r="AG1135" t="inlineStr">
        <is>
          <t>Fischer Transalp 82 Carbon Skis 2021</t>
        </is>
      </c>
      <c r="AH1135" t="inlineStr">
        <is>
          <t>Next Adventure</t>
        </is>
      </c>
      <c r="AI1135" s="333" t="n">
        <v>419.99</v>
      </c>
      <c r="AJ1135" t="inlineStr">
        <is>
          <t>https://tinyurl.com/yaarh644</t>
        </is>
      </c>
      <c r="AK1135" t="inlineStr">
        <is>
          <t>Fischer Transalp 82 Carbon Backcountry Ski (2021) 155</t>
        </is>
      </c>
      <c r="AL1135" t="inlineStr">
        <is>
          <t>Ski The Whites</t>
        </is>
      </c>
      <c r="AM1135" s="333" t="n">
        <v>599.99</v>
      </c>
      <c r="AN1135" t="inlineStr">
        <is>
          <t>https://tinyurl.com/y99hp43b</t>
        </is>
      </c>
      <c r="AO1135" t="inlineStr">
        <is>
          <t>Fischer Transalp 86 Carbon Touring Skis 155</t>
        </is>
      </c>
      <c r="AP1135" t="inlineStr">
        <is>
          <t>Telemark Pyrenees</t>
        </is>
      </c>
      <c r="AQ1135" s="333" t="n">
        <v>357.47</v>
      </c>
      <c r="AR1135" t="inlineStr">
        <is>
          <t>https://tinyurl.com/yc9wsgzr</t>
        </is>
      </c>
      <c r="AS1135" s="314">
        <f>IF(LEFT(C1135,1)=" ",RIGHT(C1135,LEN(C1135)-1),C1135)</f>
        <v/>
      </c>
      <c r="AT1135" s="281">
        <f>_xlfn.CONCAT(B1135,AS1135,D1135,E1135)</f>
        <v/>
      </c>
    </row>
    <row r="1136">
      <c r="A1136" t="inlineStr">
        <is>
          <t>21/22</t>
        </is>
      </c>
      <c r="B1136" t="inlineStr">
        <is>
          <t xml:space="preserve"> Head</t>
        </is>
      </c>
      <c r="C1136" t="inlineStr">
        <is>
          <t xml:space="preserve"> Super Joy</t>
        </is>
      </c>
      <c r="D1136" t="n">
        <v>153</v>
      </c>
      <c r="E1136" t="inlineStr">
        <is>
          <t xml:space="preserve"> Women's</t>
        </is>
      </c>
      <c r="F1136" t="n">
        <v>153</v>
      </c>
      <c r="G1136" t="n">
        <v>152.4</v>
      </c>
      <c r="H1136" t="n">
        <v>131</v>
      </c>
      <c r="I1136" t="n">
        <v>137</v>
      </c>
      <c r="J1136" t="n">
        <v>128</v>
      </c>
      <c r="K1136" t="n">
        <v>74</v>
      </c>
      <c r="L1136" t="n">
        <v>107</v>
      </c>
      <c r="M1136" t="n">
        <v>10.6</v>
      </c>
      <c r="N1136" t="n">
        <v>1454</v>
      </c>
      <c r="O1136" t="n">
        <v>0.95</v>
      </c>
      <c r="P1136" t="n">
        <v>1386</v>
      </c>
      <c r="Q1136" t="n">
        <v>145</v>
      </c>
      <c r="R1136" t="n">
        <v>48</v>
      </c>
      <c r="S1136" t="n">
        <v>38</v>
      </c>
      <c r="T1136" t="n">
        <v>143</v>
      </c>
      <c r="U1136" t="n">
        <v>12</v>
      </c>
      <c r="V1136" t="n">
        <v>75</v>
      </c>
      <c r="W1136" t="n">
        <v>0.322999999999999</v>
      </c>
      <c r="X1136" t="n">
        <v>96</v>
      </c>
      <c r="Y1136" t="n">
        <v>62</v>
      </c>
      <c r="Z1136" t="n">
        <v>47</v>
      </c>
      <c r="AA1136" t="n">
        <v>11</v>
      </c>
      <c r="AB1136" t="n">
        <v>11.1</v>
      </c>
      <c r="AC1136" t="inlineStr">
        <is>
          <t xml:space="preserve"> On-Piste Carving</t>
        </is>
      </c>
      <c r="AD1136" t="inlineStr">
        <is>
          <t xml:space="preserve"> On-Piste All-Mountain</t>
        </is>
      </c>
      <c r="AG1136" t="inlineStr">
        <is>
          <t>Head Super Joy Skis w/ Joy 11 GW SLR Bindings</t>
        </is>
      </c>
      <c r="AH1136" t="inlineStr">
        <is>
          <t>eBay - asogear</t>
        </is>
      </c>
      <c r="AI1136" s="333" t="n">
        <v>527.99</v>
      </c>
      <c r="AJ1136" t="inlineStr">
        <is>
          <t>https://tinyurl.com/y9rpx99v</t>
        </is>
      </c>
      <c r="AK1136" t="inlineStr">
        <is>
          <t>Head Super Joy Skis w/ Joy 11 GW SLR Bindings</t>
        </is>
      </c>
      <c r="AL1136" t="inlineStr">
        <is>
          <t>The-House.com</t>
        </is>
      </c>
      <c r="AM1136" s="333" t="n">
        <v>650</v>
      </c>
      <c r="AN1136" t="inlineStr">
        <is>
          <t>https://tinyurl.com/y8uazsvh</t>
        </is>
      </c>
      <c r="AO1136" t="inlineStr">
        <is>
          <t>Head Super Joy Skis w/ Joy 11 GW SLR Bindings</t>
        </is>
      </c>
      <c r="AP1136" t="inlineStr">
        <is>
          <t>Walmart - WEBY Corporation</t>
        </is>
      </c>
      <c r="AQ1136" s="333" t="n">
        <v>679</v>
      </c>
      <c r="AR1136" t="inlineStr">
        <is>
          <t>https://tinyurl.com/y93opl2q</t>
        </is>
      </c>
      <c r="AS1136" s="314">
        <f>IF(LEFT(C1136,1)=" ",RIGHT(C1136,LEN(C1136)-1),C1136)</f>
        <v/>
      </c>
      <c r="AT1136" s="281">
        <f>_xlfn.CONCAT(B1136,AS1136,D1136,E1136)</f>
        <v/>
      </c>
    </row>
    <row r="1137">
      <c r="A1137" t="inlineStr">
        <is>
          <t>21/22</t>
        </is>
      </c>
      <c r="B1137" t="inlineStr">
        <is>
          <t xml:space="preserve"> Head</t>
        </is>
      </c>
      <c r="C1137" t="inlineStr">
        <is>
          <t>V-Shape V6</t>
        </is>
      </c>
      <c r="D1137" t="n">
        <v>177</v>
      </c>
      <c r="E1137" t="inlineStr">
        <is>
          <t xml:space="preserve"> Unisex</t>
        </is>
      </c>
      <c r="F1137" t="n">
        <v>177</v>
      </c>
      <c r="G1137" t="n">
        <v>176.4</v>
      </c>
      <c r="H1137" t="n">
        <v>157</v>
      </c>
      <c r="I1137" t="n">
        <v>164</v>
      </c>
      <c r="J1137" t="n">
        <v>130</v>
      </c>
      <c r="K1137" t="n">
        <v>76</v>
      </c>
      <c r="L1137" t="n">
        <v>112</v>
      </c>
      <c r="M1137" t="n">
        <v>15</v>
      </c>
      <c r="N1137" t="n">
        <v>2144</v>
      </c>
      <c r="O1137" t="n">
        <v>0.76</v>
      </c>
      <c r="P1137" t="n">
        <v>1628</v>
      </c>
      <c r="Q1137" t="n">
        <v>208</v>
      </c>
      <c r="R1137" t="n">
        <v>114</v>
      </c>
      <c r="S1137" t="n">
        <v>33</v>
      </c>
      <c r="T1137" t="n">
        <v>134</v>
      </c>
      <c r="U1137" t="n">
        <v>6</v>
      </c>
      <c r="V1137" t="n">
        <v>56</v>
      </c>
      <c r="W1137" t="n">
        <v>0.188</v>
      </c>
      <c r="X1137" t="n">
        <v>76</v>
      </c>
      <c r="Y1137" t="n">
        <v>51</v>
      </c>
      <c r="Z1137" t="n">
        <v>58</v>
      </c>
      <c r="AA1137" t="n">
        <v>18</v>
      </c>
      <c r="AB1137" t="n">
        <v>13.2</v>
      </c>
      <c r="AC1137" t="inlineStr">
        <is>
          <t xml:space="preserve"> On-Piste Carving</t>
        </is>
      </c>
      <c r="AG1137" t="inlineStr">
        <is>
          <t>Head V-Shape V6 Skis with PR 11 GW Bindings</t>
        </is>
      </c>
      <c r="AH1137" t="inlineStr">
        <is>
          <t>Ski Pro  - Snow Ski &amp; Snowboard</t>
        </is>
      </c>
      <c r="AI1137" s="333" t="n">
        <v>449.95</v>
      </c>
      <c r="AJ1137" t="inlineStr">
        <is>
          <t>https://tinyurl.com/ybdmzj5m</t>
        </is>
      </c>
      <c r="AK1137" t="inlineStr">
        <is>
          <t>Head V-Shape V6 Skis with PR 11 GW Bindings</t>
        </is>
      </c>
      <c r="AL1137" t="inlineStr">
        <is>
          <t>The-House.com</t>
        </is>
      </c>
      <c r="AM1137" s="333" t="n">
        <v>450</v>
      </c>
      <c r="AN1137" t="inlineStr">
        <is>
          <t>https://tinyurl.com/yazcse6m</t>
        </is>
      </c>
      <c r="AO1137" t="inlineStr">
        <is>
          <t>Head V-Shape V6 Skis with PR 11 GW Bindings</t>
        </is>
      </c>
      <c r="AP1137" t="inlineStr">
        <is>
          <t>Ski Country Sports</t>
        </is>
      </c>
      <c r="AQ1137" s="333" t="n">
        <v>503.98</v>
      </c>
      <c r="AR1137" t="inlineStr">
        <is>
          <t>https://tinyurl.com/ydhwm3h6</t>
        </is>
      </c>
      <c r="AS1137" s="314">
        <f>IF(LEFT(C1137,1)=" ",RIGHT(C1137,LEN(C1137)-1),C1137)</f>
        <v/>
      </c>
      <c r="AT1137" s="281">
        <f>_xlfn.CONCAT(B1137,AS1137,D1137,E1137)</f>
        <v/>
      </c>
    </row>
    <row r="1138">
      <c r="A1138" t="inlineStr">
        <is>
          <t>21/22</t>
        </is>
      </c>
      <c r="B1138" t="inlineStr">
        <is>
          <t xml:space="preserve"> Nordica</t>
        </is>
      </c>
      <c r="C1138" t="inlineStr">
        <is>
          <t>Enforcer 100</t>
        </is>
      </c>
      <c r="D1138" t="n">
        <v>179</v>
      </c>
      <c r="E1138" t="inlineStr">
        <is>
          <t xml:space="preserve"> Unisex</t>
        </is>
      </c>
      <c r="F1138" t="n">
        <v>179</v>
      </c>
      <c r="G1138" t="n">
        <v>178.5</v>
      </c>
      <c r="H1138" t="n">
        <v>131</v>
      </c>
      <c r="I1138" t="n">
        <v>148</v>
      </c>
      <c r="J1138" t="n">
        <v>134</v>
      </c>
      <c r="K1138" t="n">
        <v>100</v>
      </c>
      <c r="L1138" t="n">
        <v>120</v>
      </c>
      <c r="M1138" t="n">
        <v>17.3</v>
      </c>
      <c r="N1138" t="n">
        <v>2178</v>
      </c>
      <c r="O1138" t="n">
        <v>0.91</v>
      </c>
      <c r="P1138" t="n">
        <v>1975</v>
      </c>
      <c r="Q1138" t="n">
        <v>226</v>
      </c>
      <c r="R1138" t="n">
        <v>145</v>
      </c>
      <c r="S1138" t="n">
        <v>54</v>
      </c>
      <c r="T1138" t="n">
        <v>275</v>
      </c>
      <c r="U1138" t="n">
        <v>16</v>
      </c>
      <c r="V1138" t="n">
        <v>198</v>
      </c>
      <c r="W1138" t="n">
        <v>0.297</v>
      </c>
      <c r="X1138" t="n">
        <v>146</v>
      </c>
      <c r="Y1138" t="n">
        <v>162</v>
      </c>
      <c r="Z1138" t="n">
        <v>129</v>
      </c>
      <c r="AA1138" t="n">
        <v>9</v>
      </c>
      <c r="AB1138" t="n">
        <v>8.4</v>
      </c>
      <c r="AC1138" t="inlineStr">
        <is>
          <t xml:space="preserve"> Resort Freeride</t>
        </is>
      </c>
      <c r="AG1138" t="inlineStr">
        <is>
          <t>Nordica Enforcer 100 Skis 2022</t>
        </is>
      </c>
      <c r="AH1138" t="inlineStr">
        <is>
          <t>Ski Pro  - Snow Ski &amp; Snowboard</t>
        </is>
      </c>
      <c r="AI1138" s="333" t="n">
        <v>599.95</v>
      </c>
      <c r="AJ1138" t="inlineStr">
        <is>
          <t>https://tinyurl.com/y7zlksgx</t>
        </is>
      </c>
      <c r="AK1138" t="inlineStr">
        <is>
          <t>Nordica Enforcer 100 Skis 2022</t>
        </is>
      </c>
      <c r="AL1138" t="inlineStr">
        <is>
          <t>evo.com</t>
        </is>
      </c>
      <c r="AM1138" s="333" t="n">
        <v>599.99</v>
      </c>
      <c r="AN1138" t="inlineStr">
        <is>
          <t>https://tinyurl.com/y78j5snk</t>
        </is>
      </c>
      <c r="AO1138" t="inlineStr">
        <is>
          <t>Nordica Enforcer 100 Skis 2022</t>
        </is>
      </c>
      <c r="AP1138" t="inlineStr">
        <is>
          <t>AlpineShopVT.com</t>
        </is>
      </c>
      <c r="AQ1138" s="333" t="n">
        <v>599.99</v>
      </c>
      <c r="AR1138" t="inlineStr">
        <is>
          <t>https://tinyurl.com/yc5dmy4l</t>
        </is>
      </c>
      <c r="AS1138" s="314">
        <f>IF(LEFT(C1138,1)=" ",RIGHT(C1138,LEN(C1138)-1),C1138)</f>
        <v/>
      </c>
      <c r="AT1138" s="281">
        <f>_xlfn.CONCAT(B1138,AS1138,D1138,E1138)</f>
        <v/>
      </c>
    </row>
    <row r="1139">
      <c r="A1139" t="inlineStr">
        <is>
          <t>21/22</t>
        </is>
      </c>
      <c r="B1139" t="inlineStr">
        <is>
          <t xml:space="preserve"> Vï¿½lkl</t>
        </is>
      </c>
      <c r="C1139" t="inlineStr">
        <is>
          <t>Flair 79</t>
        </is>
      </c>
      <c r="D1139" t="n">
        <v>149</v>
      </c>
      <c r="E1139" t="inlineStr">
        <is>
          <t xml:space="preserve"> Women's</t>
        </is>
      </c>
      <c r="F1139" t="n">
        <v>149</v>
      </c>
      <c r="G1139" t="n">
        <v>149.4</v>
      </c>
      <c r="H1139" t="n">
        <v>106</v>
      </c>
      <c r="I1139" t="n">
        <v>138</v>
      </c>
      <c r="J1139" t="n">
        <v>128</v>
      </c>
      <c r="K1139" t="n">
        <v>79</v>
      </c>
      <c r="L1139" t="n">
        <v>109</v>
      </c>
      <c r="M1139" t="n">
        <v>11.9</v>
      </c>
      <c r="N1139" t="n">
        <v>1397</v>
      </c>
      <c r="O1139" t="n">
        <v>1</v>
      </c>
      <c r="P1139" t="n">
        <v>1393</v>
      </c>
      <c r="Q1139" t="n">
        <v>140</v>
      </c>
      <c r="R1139" t="n">
        <v>51</v>
      </c>
      <c r="S1139" t="n">
        <v>37</v>
      </c>
      <c r="T1139" t="n">
        <v>229</v>
      </c>
      <c r="U1139" t="n">
        <v>7</v>
      </c>
      <c r="V1139" t="n">
        <v>204</v>
      </c>
      <c r="W1139" t="n">
        <v>0.181</v>
      </c>
      <c r="X1139" t="n">
        <v>67</v>
      </c>
      <c r="Y1139" t="n">
        <v>47</v>
      </c>
      <c r="Z1139" t="n">
        <v>161</v>
      </c>
      <c r="AA1139" t="n">
        <v>3</v>
      </c>
      <c r="AB1139" t="n">
        <v>11.4</v>
      </c>
      <c r="AC1139" t="inlineStr">
        <is>
          <t xml:space="preserve"> Other</t>
        </is>
      </c>
      <c r="AG1139" t="inlineStr">
        <is>
          <t>Volkl Flair 79 Skis + IPT 11 TCX Bindings 2021 - Women's 149 cm</t>
        </is>
      </c>
      <c r="AH1139" t="inlineStr">
        <is>
          <t>AlpineShopVT.com</t>
        </is>
      </c>
      <c r="AI1139" s="333" t="n">
        <v>499.95</v>
      </c>
      <c r="AJ1139" t="inlineStr">
        <is>
          <t>https://tinyurl.com/yclhv9nt</t>
        </is>
      </c>
      <c r="AK1139" t="inlineStr">
        <is>
          <t>Volkl Flair 79 Womens Ski with IPT WR XL 11 Binding 2021</t>
        </is>
      </c>
      <c r="AL1139" t="inlineStr">
        <is>
          <t>Aspen East</t>
        </is>
      </c>
      <c r="AM1139" s="333" t="n">
        <v>699</v>
      </c>
      <c r="AN1139" t="inlineStr">
        <is>
          <t>https://tinyurl.com/yd6w8svo</t>
        </is>
      </c>
      <c r="AO1139" t="inlineStr">
        <is>
          <t>Volkl Flair 79 Skis + IPT 11 TCX Bindings 2021 - Women's 149 cm</t>
        </is>
      </c>
      <c r="AP1139" t="inlineStr">
        <is>
          <t>Absolute-Snow.co.uk</t>
        </is>
      </c>
      <c r="AQ1139" s="333" t="n">
        <v>753.1799999999999</v>
      </c>
      <c r="AR1139" t="inlineStr">
        <is>
          <t>https://tinyurl.com/y77plhan</t>
        </is>
      </c>
      <c r="AS1139" s="314">
        <f>IF(LEFT(C1139,1)=" ",RIGHT(C1139,LEN(C1139)-1),C1139)</f>
        <v/>
      </c>
      <c r="AT1139" s="281">
        <f>_xlfn.CONCAT(B1139,AS1139,D1139,E1139)</f>
        <v/>
      </c>
    </row>
    <row r="1140">
      <c r="A1140" t="inlineStr">
        <is>
          <t>21/22</t>
        </is>
      </c>
      <c r="B1140" t="inlineStr">
        <is>
          <t xml:space="preserve"> Armada</t>
        </is>
      </c>
      <c r="C1140" t="inlineStr">
        <is>
          <t>ARW 84</t>
        </is>
      </c>
      <c r="D1140" t="n">
        <v>150</v>
      </c>
      <c r="E1140" t="inlineStr">
        <is>
          <t xml:space="preserve"> Women's</t>
        </is>
      </c>
      <c r="F1140" t="n">
        <v>150</v>
      </c>
      <c r="G1140" t="n">
        <v>148.1</v>
      </c>
      <c r="H1140" t="n">
        <v>102</v>
      </c>
      <c r="I1140" t="n">
        <v>122</v>
      </c>
      <c r="J1140" t="n">
        <v>116</v>
      </c>
      <c r="K1140" t="n">
        <v>84</v>
      </c>
      <c r="L1140" t="n">
        <v>108</v>
      </c>
      <c r="M1140" t="n">
        <v>12</v>
      </c>
      <c r="N1140" t="n">
        <v>1453</v>
      </c>
      <c r="O1140" t="n">
        <v>0.97</v>
      </c>
      <c r="P1140" t="n">
        <v>1412</v>
      </c>
      <c r="Q1140" t="n">
        <v>110</v>
      </c>
      <c r="R1140" t="n">
        <v>46</v>
      </c>
      <c r="S1140" t="n">
        <v>49</v>
      </c>
      <c r="T1140" t="n">
        <v>257</v>
      </c>
      <c r="U1140" t="n">
        <v>39</v>
      </c>
      <c r="V1140" t="n">
        <v>207</v>
      </c>
      <c r="W1140" t="n">
        <v>0.802999999999999</v>
      </c>
      <c r="X1140" t="n">
        <v>134</v>
      </c>
      <c r="Y1140" t="n">
        <v>123</v>
      </c>
      <c r="Z1140" t="n">
        <v>123</v>
      </c>
      <c r="AA1140" t="n">
        <v>6</v>
      </c>
      <c r="AB1140" t="n">
        <v>6</v>
      </c>
      <c r="AC1140" t="inlineStr">
        <is>
          <t xml:space="preserve"> Resort Freeride</t>
        </is>
      </c>
      <c r="AD1140" t="inlineStr">
        <is>
          <t xml:space="preserve"> Freeski</t>
        </is>
      </c>
      <c r="AG1140" t="inlineStr">
        <is>
          <t>Armada ARW 84 Skis 2022</t>
        </is>
      </c>
      <c r="AH1140" t="inlineStr">
        <is>
          <t>Aspen East</t>
        </is>
      </c>
      <c r="AI1140" s="333" t="n">
        <v>349</v>
      </c>
      <c r="AJ1140" t="inlineStr">
        <is>
          <t>https://tinyurl.com/y84y62vq</t>
        </is>
      </c>
      <c r="AK1140" t="inlineStr">
        <is>
          <t>2022 Armada ARW 84 Ski w/ GW Bindings - 150 | Ski Essentials</t>
        </is>
      </c>
      <c r="AL1140" t="inlineStr">
        <is>
          <t>Ski World</t>
        </is>
      </c>
      <c r="AM1140" s="333" t="n">
        <v>439.95</v>
      </c>
      <c r="AN1140" t="inlineStr">
        <is>
          <t>https://tinyurl.com/y8dfdqkf</t>
        </is>
      </c>
      <c r="AO1140" t="inlineStr">
        <is>
          <t>Armada ARV 84 Ski 2022 - 150</t>
        </is>
      </c>
      <c r="AP1140" t="inlineStr">
        <is>
          <t>evo.com</t>
        </is>
      </c>
      <c r="AQ1140" s="333" t="n">
        <v>279.96</v>
      </c>
      <c r="AR1140" t="inlineStr">
        <is>
          <t>https://tinyurl.com/y7rjvca4</t>
        </is>
      </c>
      <c r="AS1140" s="314">
        <f>IF(LEFT(C1140,1)=" ",RIGHT(C1140,LEN(C1140)-1),C1140)</f>
        <v/>
      </c>
      <c r="AT1140" s="281">
        <f>_xlfn.CONCAT(B1140,AS1140,D1140,E1140)</f>
        <v/>
      </c>
    </row>
    <row r="1141">
      <c r="A1141" t="inlineStr">
        <is>
          <t>21/22</t>
        </is>
      </c>
      <c r="B1141" t="inlineStr">
        <is>
          <t xml:space="preserve"> Fischer</t>
        </is>
      </c>
      <c r="C1141" t="inlineStr">
        <is>
          <t>Hannibal 96</t>
        </is>
      </c>
      <c r="D1141" t="n">
        <v>169</v>
      </c>
      <c r="E1141" t="inlineStr">
        <is>
          <t xml:space="preserve"> Unisex</t>
        </is>
      </c>
      <c r="F1141" t="n">
        <v>169</v>
      </c>
      <c r="G1141" t="n">
        <v>168.5</v>
      </c>
      <c r="H1141" t="n">
        <v>130</v>
      </c>
      <c r="I1141" t="n">
        <v>144</v>
      </c>
      <c r="J1141" t="n">
        <v>125</v>
      </c>
      <c r="K1141" t="n">
        <v>94</v>
      </c>
      <c r="L1141" t="n">
        <v>111</v>
      </c>
      <c r="M1141" t="n">
        <v>19.9</v>
      </c>
      <c r="N1141" t="n">
        <v>1198</v>
      </c>
      <c r="O1141" t="n">
        <v>1.45</v>
      </c>
      <c r="P1141" t="n">
        <v>1735</v>
      </c>
      <c r="Q1141" t="n">
        <v>136</v>
      </c>
      <c r="R1141" t="n">
        <v>58</v>
      </c>
      <c r="S1141" t="n">
        <v>54</v>
      </c>
      <c r="T1141" t="n">
        <v>280</v>
      </c>
      <c r="U1141" t="n">
        <v>3</v>
      </c>
      <c r="V1141" t="n">
        <v>106</v>
      </c>
      <c r="W1141" t="n">
        <v>0.062</v>
      </c>
      <c r="X1141" t="n">
        <v>161</v>
      </c>
      <c r="Y1141" t="n">
        <v>87</v>
      </c>
      <c r="Z1141" t="n">
        <v>119</v>
      </c>
      <c r="AA1141" t="n">
        <v>6</v>
      </c>
      <c r="AB1141" t="n">
        <v>9.800000000000001</v>
      </c>
      <c r="AC1141" t="inlineStr">
        <is>
          <t xml:space="preserve"> Touring</t>
        </is>
      </c>
      <c r="AD1141" t="inlineStr">
        <is>
          <t xml:space="preserve"> Ultralight Touring</t>
        </is>
      </c>
      <c r="AG1141" t="inlineStr">
        <is>
          <t>Fischer Hannibal 96 Kit 169</t>
        </is>
      </c>
      <c r="AH1141" t="inlineStr">
        <is>
          <t>Ski The Whites</t>
        </is>
      </c>
      <c r="AI1141" s="333" t="n">
        <v>1250</v>
      </c>
      <c r="AJ1141" t="inlineStr">
        <is>
          <t>https://tinyurl.com/yb9lckdo</t>
        </is>
      </c>
      <c r="AK1141" t="inlineStr">
        <is>
          <t>Fischer Hannibal 96 Carbon Ski</t>
        </is>
      </c>
      <c r="AL1141" t="inlineStr">
        <is>
          <t>Snowcountry.eu</t>
        </is>
      </c>
      <c r="AM1141" s="333" t="n">
        <v>419.41</v>
      </c>
      <c r="AN1141" t="inlineStr">
        <is>
          <t>https://tinyurl.com/yajujhey</t>
        </is>
      </c>
      <c r="AO1141" t="inlineStr">
        <is>
          <t>Fischer Hannibal 96 Carbon 169cm</t>
        </is>
      </c>
      <c r="AP1141" t="inlineStr">
        <is>
          <t>Sundance Ski and Board Shop</t>
        </is>
      </c>
      <c r="AQ1141" s="333" t="n">
        <v>561.01</v>
      </c>
      <c r="AR1141" t="inlineStr">
        <is>
          <t>https://tinyurl.com/y7watm73</t>
        </is>
      </c>
      <c r="AS1141" s="314">
        <f>IF(LEFT(C1141,1)=" ",RIGHT(C1141,LEN(C1141)-1),C1141)</f>
        <v/>
      </c>
      <c r="AT1141" s="281">
        <f>_xlfn.CONCAT(B1141,AS1141,D1141,E1141)</f>
        <v/>
      </c>
    </row>
    <row r="1142">
      <c r="A1142" t="inlineStr">
        <is>
          <t>21/22</t>
        </is>
      </c>
      <c r="B1142" t="inlineStr">
        <is>
          <t xml:space="preserve"> Head</t>
        </is>
      </c>
      <c r="C1142" t="inlineStr">
        <is>
          <t>Kore 93</t>
        </is>
      </c>
      <c r="D1142" t="n">
        <v>184</v>
      </c>
      <c r="E1142" t="inlineStr">
        <is>
          <t xml:space="preserve"> Unisex</t>
        </is>
      </c>
      <c r="F1142" t="n">
        <v>184</v>
      </c>
      <c r="G1142" t="n">
        <v>183.3</v>
      </c>
      <c r="H1142" t="n">
        <v>146</v>
      </c>
      <c r="I1142" t="n">
        <v>154</v>
      </c>
      <c r="J1142" t="n">
        <v>135</v>
      </c>
      <c r="K1142" t="n">
        <v>94</v>
      </c>
      <c r="L1142" t="n">
        <v>116</v>
      </c>
      <c r="M1142" t="n">
        <v>17.6</v>
      </c>
      <c r="N1142" t="n">
        <v>1828</v>
      </c>
      <c r="O1142" t="n">
        <v>1.07</v>
      </c>
      <c r="P1142" t="n">
        <v>1952</v>
      </c>
      <c r="Q1142" t="n">
        <v>308</v>
      </c>
      <c r="R1142" t="n">
        <v>140</v>
      </c>
      <c r="S1142" t="n">
        <v>50</v>
      </c>
      <c r="T1142" t="n">
        <v>221</v>
      </c>
      <c r="U1142" t="n">
        <v>11</v>
      </c>
      <c r="V1142" t="n">
        <v>150</v>
      </c>
      <c r="W1142" t="n">
        <v>0.218999999999999</v>
      </c>
      <c r="X1142" t="n">
        <v>146</v>
      </c>
      <c r="Y1142" t="n">
        <v>152</v>
      </c>
      <c r="Z1142" t="n">
        <v>75</v>
      </c>
      <c r="AA1142" t="n">
        <v>7</v>
      </c>
      <c r="AB1142" t="n">
        <v>11.8</v>
      </c>
      <c r="AC1142" t="inlineStr">
        <is>
          <t xml:space="preserve"> Resort Freeride</t>
        </is>
      </c>
      <c r="AD1142" t="inlineStr">
        <is>
          <t xml:space="preserve"> Touring</t>
        </is>
      </c>
      <c r="AG1142" t="inlineStr">
        <is>
          <t>Head Kore 93 Anth/Yw / 184cm</t>
        </is>
      </c>
      <c r="AH1142" t="inlineStr">
        <is>
          <t>Sundance Ski and Board Shop</t>
        </is>
      </c>
      <c r="AI1142" s="333" t="n">
        <v>480.86</v>
      </c>
      <c r="AJ1142" t="inlineStr">
        <is>
          <t>https://tinyurl.com/ydaq53vm</t>
        </is>
      </c>
      <c r="AK1142" t="inlineStr">
        <is>
          <t>Head Kore 93 Skis</t>
        </is>
      </c>
      <c r="AL1142" t="inlineStr">
        <is>
          <t>BlueZone Sports</t>
        </is>
      </c>
      <c r="AM1142" s="333" t="n">
        <v>489</v>
      </c>
      <c r="AN1142" t="inlineStr">
        <is>
          <t>https://tinyurl.com/y7keazkl</t>
        </is>
      </c>
      <c r="AO1142" t="inlineStr">
        <is>
          <t>Head Kore 93 Skis</t>
        </is>
      </c>
      <c r="AP1142" t="inlineStr">
        <is>
          <t>SkiEssentials.com</t>
        </is>
      </c>
      <c r="AQ1142" s="333" t="n">
        <v>489</v>
      </c>
      <c r="AR1142" t="inlineStr">
        <is>
          <t>https://tinyurl.com/ya5xwfa6</t>
        </is>
      </c>
      <c r="AS1142" s="314">
        <f>IF(LEFT(C1142,1)=" ",RIGHT(C1142,LEN(C1142)-1),C1142)</f>
        <v/>
      </c>
      <c r="AT1142" s="281">
        <f>_xlfn.CONCAT(B1142,AS1142,D1142,E1142)</f>
        <v/>
      </c>
    </row>
    <row r="1143">
      <c r="A1143" t="inlineStr">
        <is>
          <t>21/22</t>
        </is>
      </c>
      <c r="B1143" t="inlineStr">
        <is>
          <t xml:space="preserve"> Line</t>
        </is>
      </c>
      <c r="C1143" t="inlineStr">
        <is>
          <t>Pandora 94</t>
        </is>
      </c>
      <c r="D1143" t="n">
        <v>151</v>
      </c>
      <c r="E1143" t="inlineStr">
        <is>
          <t xml:space="preserve"> Women's</t>
        </is>
      </c>
      <c r="F1143" t="n">
        <v>151</v>
      </c>
      <c r="G1143" t="n">
        <v>151.1</v>
      </c>
      <c r="H1143" t="n">
        <v>111</v>
      </c>
      <c r="I1143" t="n">
        <v>125</v>
      </c>
      <c r="J1143" t="n">
        <v>130</v>
      </c>
      <c r="K1143" t="n">
        <v>93</v>
      </c>
      <c r="L1143" t="n">
        <v>116</v>
      </c>
      <c r="M1143" t="n">
        <v>12.4</v>
      </c>
      <c r="N1143" t="n">
        <v>1354</v>
      </c>
      <c r="O1143" t="n">
        <v>1.17</v>
      </c>
      <c r="P1143" t="n">
        <v>1586</v>
      </c>
      <c r="Q1143" t="n">
        <v>117</v>
      </c>
      <c r="R1143" t="n">
        <v>60</v>
      </c>
      <c r="S1143" t="n">
        <v>44</v>
      </c>
      <c r="T1143" t="n">
        <v>265</v>
      </c>
      <c r="U1143" t="n">
        <v>17</v>
      </c>
      <c r="V1143" t="n">
        <v>135</v>
      </c>
      <c r="W1143" t="n">
        <v>0.387999999999999</v>
      </c>
      <c r="X1143" t="n">
        <v>141</v>
      </c>
      <c r="Y1143" t="n">
        <v>117</v>
      </c>
      <c r="Z1143" t="n">
        <v>124</v>
      </c>
      <c r="AA1143" t="n">
        <v>7</v>
      </c>
      <c r="AB1143" t="n">
        <v>8.300000000000001</v>
      </c>
      <c r="AC1143" t="inlineStr">
        <is>
          <t xml:space="preserve"> Resort Freeride</t>
        </is>
      </c>
      <c r="AD1143" t="inlineStr">
        <is>
          <t xml:space="preserve"> Touring</t>
        </is>
      </c>
      <c r="AG1143" t="inlineStr">
        <is>
          <t>'22 Line Pandora 94 Skis 151cm</t>
        </is>
      </c>
      <c r="AH1143" t="inlineStr">
        <is>
          <t>Al's Ski Equipment Barn</t>
        </is>
      </c>
      <c r="AI1143" s="333" t="n">
        <v>469.95</v>
      </c>
      <c r="AJ1143" t="inlineStr">
        <is>
          <t>https://tinyurl.com/yafjblu4</t>
        </is>
      </c>
      <c r="AK1143" t="inlineStr">
        <is>
          <t>Line Pandora 94 Skis Women's 2022 - - 151 cm</t>
        </is>
      </c>
      <c r="AL1143" t="inlineStr">
        <is>
          <t>Skirack</t>
        </is>
      </c>
      <c r="AM1143" s="333" t="n">
        <v>499.95</v>
      </c>
      <c r="AN1143" t="inlineStr">
        <is>
          <t>https://tinyurl.com/yazjckeh</t>
        </is>
      </c>
      <c r="AO1143" t="inlineStr">
        <is>
          <t>Line Pandora 94 Skis 2021</t>
        </is>
      </c>
      <c r="AP1143" t="inlineStr">
        <is>
          <t>LINE Skis</t>
        </is>
      </c>
      <c r="AQ1143" s="333" t="n">
        <v>499.95</v>
      </c>
      <c r="AR1143" t="inlineStr">
        <is>
          <t>https://tinyurl.com/y94sbt7m</t>
        </is>
      </c>
      <c r="AS1143" s="314">
        <f>IF(LEFT(C1143,1)=" ",RIGHT(C1143,LEN(C1143)-1),C1143)</f>
        <v/>
      </c>
      <c r="AT1143" s="281">
        <f>_xlfn.CONCAT(B1143,AS1143,D1143,E1143)</f>
        <v/>
      </c>
    </row>
    <row r="1144">
      <c r="A1144" t="inlineStr">
        <is>
          <t>21/22</t>
        </is>
      </c>
      <c r="B1144" t="inlineStr">
        <is>
          <t xml:space="preserve"> Blizzard</t>
        </is>
      </c>
      <c r="C1144" t="inlineStr">
        <is>
          <t>Zero G 95</t>
        </is>
      </c>
      <c r="D1144" t="n">
        <v>157</v>
      </c>
      <c r="E1144" t="inlineStr">
        <is>
          <t xml:space="preserve"> Unisex</t>
        </is>
      </c>
      <c r="F1144" t="n">
        <v>157</v>
      </c>
      <c r="G1144" t="n">
        <v>154.7</v>
      </c>
      <c r="H1144" t="n">
        <v>118</v>
      </c>
      <c r="I1144" t="n">
        <v>128</v>
      </c>
      <c r="J1144" t="n">
        <v>124</v>
      </c>
      <c r="K1144" t="n">
        <v>93</v>
      </c>
      <c r="L1144" t="n">
        <v>108</v>
      </c>
      <c r="M1144" t="n">
        <v>17.7</v>
      </c>
      <c r="N1144" t="n">
        <v>1072</v>
      </c>
      <c r="O1144" t="n">
        <v>1.46</v>
      </c>
      <c r="P1144" t="n">
        <v>1566</v>
      </c>
      <c r="Q1144" t="n">
        <v>159</v>
      </c>
      <c r="R1144" t="n">
        <v>62</v>
      </c>
      <c r="S1144" t="n">
        <v>57</v>
      </c>
      <c r="T1144" t="n">
        <v>216</v>
      </c>
      <c r="U1144" t="n">
        <v>8</v>
      </c>
      <c r="V1144" t="n">
        <v>155</v>
      </c>
      <c r="W1144" t="n">
        <v>0.146</v>
      </c>
      <c r="X1144" t="n">
        <v>132</v>
      </c>
      <c r="Y1144" t="n">
        <v>132</v>
      </c>
      <c r="Z1144" t="n">
        <v>85</v>
      </c>
      <c r="AA1144" t="n">
        <v>5</v>
      </c>
      <c r="AB1144" t="n">
        <v>10.2</v>
      </c>
      <c r="AC1144" t="inlineStr">
        <is>
          <t xml:space="preserve"> Touring</t>
        </is>
      </c>
      <c r="AD1144" t="inlineStr">
        <is>
          <t xml:space="preserve"> Ultralight Touring</t>
        </is>
      </c>
      <c r="AG1144" t="inlineStr">
        <is>
          <t>2022 Blizzard Zero G 95 Skis w/ Marker Kingpin 13 Binding - Light Blue - 157| Ski Essentials</t>
        </is>
      </c>
      <c r="AH1144" t="inlineStr">
        <is>
          <t>SkiEssentials.com</t>
        </is>
      </c>
      <c r="AI1144" s="333" t="n">
        <v>1050</v>
      </c>
      <c r="AJ1144" t="inlineStr">
        <is>
          <t>https://tinyurl.com/ydamkdez</t>
        </is>
      </c>
      <c r="AK1144" t="inlineStr">
        <is>
          <t>Blizzard Zero G 95 Ski - 2022 Light Blue, 157cm</t>
        </is>
      </c>
      <c r="AL1144" t="inlineStr">
        <is>
          <t>AlpineShopVT.com</t>
        </is>
      </c>
      <c r="AM1144" s="333" t="n">
        <v>559.95</v>
      </c>
      <c r="AN1144" t="inlineStr">
        <is>
          <t>https://tinyurl.com/y8824oww</t>
        </is>
      </c>
      <c r="AO1144" t="inlineStr">
        <is>
          <t>Blizzard Zero G 95 Ski - 2022 Light Blue, 157cm</t>
        </is>
      </c>
      <c r="AP1144" t="inlineStr">
        <is>
          <t>Stowesports.com</t>
        </is>
      </c>
      <c r="AQ1144" s="333" t="n">
        <v>559.95</v>
      </c>
      <c r="AR1144" t="inlineStr">
        <is>
          <t>https://tinyurl.com/ydb3p8hy</t>
        </is>
      </c>
      <c r="AS1144" s="314">
        <f>IF(LEFT(C1144,1)=" ",RIGHT(C1144,LEN(C1144)-1),C1144)</f>
        <v/>
      </c>
      <c r="AT1144" s="281">
        <f>_xlfn.CONCAT(B1144,AS1144,D1144,E1144)</f>
        <v/>
      </c>
    </row>
    <row r="1145">
      <c r="A1145" t="inlineStr">
        <is>
          <t>21/22</t>
        </is>
      </c>
      <c r="B1145" t="inlineStr">
        <is>
          <t xml:space="preserve"> Rossignol</t>
        </is>
      </c>
      <c r="C1145" t="inlineStr">
        <is>
          <t xml:space="preserve"> Hero Elite Long Turn Ti</t>
        </is>
      </c>
      <c r="D1145" t="n">
        <v>167</v>
      </c>
      <c r="E1145" t="inlineStr">
        <is>
          <t xml:space="preserve"> Unisex</t>
        </is>
      </c>
      <c r="F1145" t="n">
        <v>167</v>
      </c>
      <c r="G1145" t="n">
        <v>166.3</v>
      </c>
      <c r="H1145" t="n">
        <v>145</v>
      </c>
      <c r="I1145" t="n">
        <v>155</v>
      </c>
      <c r="J1145" t="n">
        <v>118</v>
      </c>
      <c r="K1145" t="n">
        <v>70</v>
      </c>
      <c r="L1145" t="n">
        <v>100</v>
      </c>
      <c r="M1145" t="n">
        <v>15.3</v>
      </c>
      <c r="N1145" t="n">
        <v>1969</v>
      </c>
      <c r="O1145" t="n">
        <v>0.71</v>
      </c>
      <c r="P1145" t="n">
        <v>1398</v>
      </c>
      <c r="Q1145" t="n">
        <v>240</v>
      </c>
      <c r="R1145" t="n">
        <v>135</v>
      </c>
      <c r="S1145" t="n">
        <v>42</v>
      </c>
      <c r="T1145" t="n">
        <v>161</v>
      </c>
      <c r="U1145" t="n">
        <v>5</v>
      </c>
      <c r="V1145" t="n">
        <v>54</v>
      </c>
      <c r="W1145" t="n">
        <v>0.118</v>
      </c>
      <c r="X1145" t="n">
        <v>69</v>
      </c>
      <c r="Y1145" t="n">
        <v>41</v>
      </c>
      <c r="Z1145" t="n">
        <v>93</v>
      </c>
      <c r="AA1145" t="n">
        <v>10</v>
      </c>
      <c r="AB1145" t="n">
        <v>11.1</v>
      </c>
      <c r="AC1145" t="inlineStr">
        <is>
          <t xml:space="preserve"> On-Piste Carving</t>
        </is>
      </c>
      <c r="AG1145" t="inlineStr">
        <is>
          <t>Rossignol Hero Elite St Ti + SPX 14 Konect 21/22</t>
        </is>
      </c>
      <c r="AH1145" t="inlineStr">
        <is>
          <t>Rossignol US</t>
        </is>
      </c>
      <c r="AI1145" s="333" t="n">
        <v>1099.95</v>
      </c>
      <c r="AJ1145" t="inlineStr">
        <is>
          <t>https://tinyurl.com/yb8jtm3z</t>
        </is>
      </c>
      <c r="AK1145" t="inlineStr">
        <is>
          <t>Rossignol Hero Elite LT Ti + SPX 14 Konect 21/22</t>
        </is>
      </c>
      <c r="AL1145" t="inlineStr">
        <is>
          <t>Snowcountry.eu</t>
        </is>
      </c>
      <c r="AM1145" s="333" t="n">
        <v>506.08</v>
      </c>
      <c r="AN1145" t="inlineStr">
        <is>
          <t>https://tinyurl.com/y9a9syqr</t>
        </is>
      </c>
      <c r="AO1145" t="inlineStr">
        <is>
          <t>Rossignol Hero Elite St Ti 167cm 13m Radius Spx 12 Binding</t>
        </is>
      </c>
      <c r="AP1145" t="inlineStr">
        <is>
          <t>eBay</t>
        </is>
      </c>
      <c r="AQ1145" s="333" t="n">
        <v>575</v>
      </c>
      <c r="AR1145" t="inlineStr">
        <is>
          <t>https://tinyurl.com/ycqdagyx</t>
        </is>
      </c>
      <c r="AS1145" s="314">
        <f>IF(LEFT(C1145,1)=" ",RIGHT(C1145,LEN(C1145)-1),C1145)</f>
        <v/>
      </c>
      <c r="AT1145" s="281">
        <f>_xlfn.CONCAT(B1145,AS1145,D1145,E1145)</f>
        <v/>
      </c>
    </row>
    <row r="1146">
      <c r="A1146" t="inlineStr">
        <is>
          <t>21/22</t>
        </is>
      </c>
      <c r="B1146" t="inlineStr">
        <is>
          <t xml:space="preserve"> Vï¿½lkl</t>
        </is>
      </c>
      <c r="C1146" t="inlineStr">
        <is>
          <t>Mantra M5</t>
        </is>
      </c>
      <c r="D1146" t="n">
        <v>184</v>
      </c>
      <c r="E1146" t="inlineStr">
        <is>
          <t xml:space="preserve"> Unisex</t>
        </is>
      </c>
      <c r="F1146" t="n">
        <v>184</v>
      </c>
      <c r="G1146" t="n">
        <v>183.9</v>
      </c>
      <c r="H1146" t="n">
        <v>144</v>
      </c>
      <c r="I1146" t="n">
        <v>160</v>
      </c>
      <c r="J1146" t="n">
        <v>133</v>
      </c>
      <c r="K1146" t="n">
        <v>95</v>
      </c>
      <c r="L1146" t="n">
        <v>116</v>
      </c>
      <c r="M1146" t="n">
        <v>21.4</v>
      </c>
      <c r="N1146" t="n">
        <v>2122</v>
      </c>
      <c r="O1146" t="n">
        <v>0.92</v>
      </c>
      <c r="P1146" t="n">
        <v>1958</v>
      </c>
      <c r="Q1146" t="n">
        <v>239</v>
      </c>
      <c r="R1146" t="n">
        <v>147</v>
      </c>
      <c r="S1146" t="n">
        <v>44</v>
      </c>
      <c r="T1146" t="n">
        <v>230</v>
      </c>
      <c r="U1146" t="n">
        <v>15</v>
      </c>
      <c r="V1146" t="n">
        <v>166</v>
      </c>
      <c r="W1146" t="n">
        <v>0.347</v>
      </c>
      <c r="X1146" t="n">
        <v>138</v>
      </c>
      <c r="Y1146" t="n">
        <v>106</v>
      </c>
      <c r="Z1146" t="n">
        <v>92</v>
      </c>
      <c r="AA1146" t="n">
        <v>6</v>
      </c>
      <c r="AB1146" t="n">
        <v>11.2</v>
      </c>
      <c r="AC1146" t="inlineStr">
        <is>
          <t xml:space="preserve"> Resort Freeride</t>
        </is>
      </c>
      <c r="AG1146" t="inlineStr">
        <is>
          <t>Volkl M5 Mantra w/ Look Pivot Dual WTR Bindings</t>
        </is>
      </c>
      <c r="AH1146" t="inlineStr">
        <is>
          <t>Lone Pine Gear Exchange</t>
        </is>
      </c>
      <c r="AI1146" s="333" t="n">
        <v>449</v>
      </c>
      <c r="AJ1146" t="inlineStr">
        <is>
          <t>https://tinyurl.com/ya5gxg8n</t>
        </is>
      </c>
      <c r="AK1146" t="inlineStr">
        <is>
          <t>Volkl M5 Mantra Ski 184cm</t>
        </is>
      </c>
      <c r="AL1146" t="inlineStr">
        <is>
          <t>Sundance Ski and Board Shop</t>
        </is>
      </c>
      <c r="AM1146" s="333" t="n">
        <v>480.86</v>
      </c>
      <c r="AN1146" t="inlineStr">
        <is>
          <t>https://tinyurl.com/y82fbh4l</t>
        </is>
      </c>
      <c r="AO1146" t="inlineStr">
        <is>
          <t>Volkl Men's M5 Mantra 96 Flat Ski 2020-2021 | BLACK/RED / 184</t>
        </is>
      </c>
      <c r="AP1146" t="inlineStr">
        <is>
          <t>Ski Pro  - Snow Ski &amp; Snowboard</t>
        </is>
      </c>
      <c r="AQ1146" s="333" t="n">
        <v>499.95</v>
      </c>
      <c r="AR1146" t="inlineStr">
        <is>
          <t>https://tinyurl.com/yd5gwxln</t>
        </is>
      </c>
      <c r="AS1146" s="314">
        <f>IF(LEFT(C1146,1)=" ",RIGHT(C1146,LEN(C1146)-1),C1146)</f>
        <v/>
      </c>
      <c r="AT1146" s="281">
        <f>_xlfn.CONCAT(B1146,AS1146,D1146,E1146)</f>
        <v/>
      </c>
    </row>
    <row r="1147">
      <c r="A1147" t="inlineStr">
        <is>
          <t>21/22</t>
        </is>
      </c>
      <c r="B1147" t="inlineStr">
        <is>
          <t xml:space="preserve"> Rossignol</t>
        </is>
      </c>
      <c r="C1147" t="inlineStr">
        <is>
          <t xml:space="preserve"> Blackops Smasher</t>
        </is>
      </c>
      <c r="D1147" t="n">
        <v>140</v>
      </c>
      <c r="E1147" t="inlineStr">
        <is>
          <t xml:space="preserve"> Unisex</t>
        </is>
      </c>
      <c r="F1147" t="n">
        <v>140</v>
      </c>
      <c r="G1147" t="n">
        <v>138.6</v>
      </c>
      <c r="H1147" t="n">
        <v>91</v>
      </c>
      <c r="I1147" t="n">
        <v>116</v>
      </c>
      <c r="J1147" t="n">
        <v>117</v>
      </c>
      <c r="K1147" t="n">
        <v>89</v>
      </c>
      <c r="L1147" t="n">
        <v>107</v>
      </c>
      <c r="M1147" t="n">
        <v>13.4</v>
      </c>
      <c r="N1147" t="n">
        <v>1345</v>
      </c>
      <c r="O1147" t="n">
        <v>1.01</v>
      </c>
      <c r="P1147" t="n">
        <v>1352</v>
      </c>
      <c r="Q1147" t="n">
        <v>146</v>
      </c>
      <c r="R1147" t="n">
        <v>55</v>
      </c>
      <c r="S1147" t="n">
        <v>49</v>
      </c>
      <c r="T1147" t="n">
        <v>258</v>
      </c>
      <c r="U1147" t="n">
        <v>32</v>
      </c>
      <c r="V1147" t="n">
        <v>220</v>
      </c>
      <c r="W1147" t="n">
        <v>0.647</v>
      </c>
      <c r="X1147" t="n">
        <v>119</v>
      </c>
      <c r="Y1147" t="n">
        <v>111</v>
      </c>
      <c r="Z1147" t="n">
        <v>139</v>
      </c>
      <c r="AA1147" t="n">
        <v>6</v>
      </c>
      <c r="AB1147" t="n">
        <v>4.6</v>
      </c>
      <c r="AC1147" t="inlineStr">
        <is>
          <t xml:space="preserve"> Resort Freeride</t>
        </is>
      </c>
      <c r="AG1147" t="inlineStr">
        <is>
          <t>Rossignol Blackops Smasher 140cm</t>
        </is>
      </c>
      <c r="AH1147" t="inlineStr">
        <is>
          <t>Sundance Ski and Board Shop</t>
        </is>
      </c>
      <c r="AI1147" s="333" t="n">
        <v>200.35</v>
      </c>
      <c r="AJ1147" t="inlineStr">
        <is>
          <t>https://tinyurl.com/y9szszpg</t>
        </is>
      </c>
      <c r="AK1147" t="inlineStr">
        <is>
          <t>Rossignol Blackops Smasher Skis</t>
        </is>
      </c>
      <c r="AL1147" t="inlineStr">
        <is>
          <t>Cole Sport</t>
        </is>
      </c>
      <c r="AM1147" s="333" t="n">
        <v>279.96</v>
      </c>
      <c r="AN1147" t="inlineStr">
        <is>
          <t>https://tinyurl.com/yc3kpy98</t>
        </is>
      </c>
      <c r="AO1147" t="inlineStr">
        <is>
          <t>Rossignol Teen's Skis Blackops Smasher (xpress)</t>
        </is>
      </c>
      <c r="AP1147" t="inlineStr">
        <is>
          <t>REI</t>
        </is>
      </c>
      <c r="AQ1147" s="333" t="n">
        <v>359.93</v>
      </c>
      <c r="AR1147" t="inlineStr">
        <is>
          <t>https://tinyurl.com/y9fnfygv</t>
        </is>
      </c>
      <c r="AS1147" s="314">
        <f>IF(LEFT(C1147,1)=" ",RIGHT(C1147,LEN(C1147)-1),C1147)</f>
        <v/>
      </c>
      <c r="AT1147" s="281">
        <f>_xlfn.CONCAT(B1147,AS1147,D1147,E1147)</f>
        <v/>
      </c>
    </row>
    <row r="1148">
      <c r="A1148" t="inlineStr">
        <is>
          <t>21/22</t>
        </is>
      </c>
      <c r="B1148" t="inlineStr">
        <is>
          <t xml:space="preserve"> Head</t>
        </is>
      </c>
      <c r="C1148" t="inlineStr">
        <is>
          <t>V-Shape V8</t>
        </is>
      </c>
      <c r="D1148" t="n">
        <v>156</v>
      </c>
      <c r="E1148" t="inlineStr">
        <is>
          <t xml:space="preserve"> Unisex</t>
        </is>
      </c>
      <c r="F1148" t="n">
        <v>156</v>
      </c>
      <c r="G1148" t="n">
        <v>155.6</v>
      </c>
      <c r="H1148" t="n">
        <v>132</v>
      </c>
      <c r="I1148" t="n">
        <v>142</v>
      </c>
      <c r="J1148" t="n">
        <v>128</v>
      </c>
      <c r="K1148" t="n">
        <v>74</v>
      </c>
      <c r="L1148" t="n">
        <v>110</v>
      </c>
      <c r="M1148" t="n">
        <v>11.1</v>
      </c>
      <c r="N1148" t="n">
        <v>1527</v>
      </c>
      <c r="O1148" t="n">
        <v>0.93</v>
      </c>
      <c r="P1148" t="n">
        <v>1414</v>
      </c>
      <c r="Q1148" t="n">
        <v>156</v>
      </c>
      <c r="R1148" t="n">
        <v>39</v>
      </c>
      <c r="S1148" t="n">
        <v>41</v>
      </c>
      <c r="T1148" t="n">
        <v>164</v>
      </c>
      <c r="U1148" t="n">
        <v>10</v>
      </c>
      <c r="V1148" t="n">
        <v>68</v>
      </c>
      <c r="W1148" t="n">
        <v>0.233999999999999</v>
      </c>
      <c r="X1148" t="n">
        <v>85</v>
      </c>
      <c r="Y1148" t="n">
        <v>55</v>
      </c>
      <c r="Z1148" t="n">
        <v>79</v>
      </c>
      <c r="AA1148" t="n">
        <v>6</v>
      </c>
      <c r="AB1148" t="n">
        <v>11.6</v>
      </c>
      <c r="AC1148" t="inlineStr">
        <is>
          <t xml:space="preserve"> On-Piste Carving</t>
        </is>
      </c>
      <c r="AG1148" t="inlineStr">
        <is>
          <t>Head V-Shape V2 Black-Grey-White 156 Ski Men</t>
        </is>
      </c>
      <c r="AH1148" t="inlineStr">
        <is>
          <t>! OutdoorXL.com</t>
        </is>
      </c>
      <c r="AI1148" s="333" t="n">
        <v>234.95</v>
      </c>
      <c r="AJ1148" t="inlineStr">
        <is>
          <t>https://tinyurl.com/y8x6kvqj</t>
        </is>
      </c>
      <c r="AK1148" t="inlineStr">
        <is>
          <t>Head V-shape V2 Skis With Size Adjustable Pr 10 Gw Bindings 2022 156cm</t>
        </is>
      </c>
      <c r="AL1148" t="inlineStr">
        <is>
          <t>eBay - wintersportdeals</t>
        </is>
      </c>
      <c r="AM1148" s="333" t="n">
        <v>314.99</v>
      </c>
      <c r="AN1148" t="inlineStr">
        <is>
          <t>https://tinyurl.com/yaclhlja</t>
        </is>
      </c>
      <c r="AO1148" t="inlineStr">
        <is>
          <t>Head V-Shape V6 Ski with PR 10 GW Bindings 2020-2021 | BLACK/RED / 156</t>
        </is>
      </c>
      <c r="AP1148" t="inlineStr">
        <is>
          <t>Ski Pro  - Snow Ski &amp; Snowboard</t>
        </is>
      </c>
      <c r="AQ1148" s="333" t="n">
        <v>449.95</v>
      </c>
      <c r="AR1148" t="inlineStr">
        <is>
          <t>https://tinyurl.com/ybnqm9b8</t>
        </is>
      </c>
      <c r="AS1148" s="314">
        <f>IF(LEFT(C1148,1)=" ",RIGHT(C1148,LEN(C1148)-1),C1148)</f>
        <v/>
      </c>
      <c r="AT1148" s="281">
        <f>_xlfn.CONCAT(B1148,AS1148,D1148,E1148)</f>
        <v/>
      </c>
    </row>
    <row r="1149">
      <c r="A1149" t="inlineStr">
        <is>
          <t>21/22</t>
        </is>
      </c>
      <c r="B1149" t="inlineStr">
        <is>
          <t>4FRNT</t>
        </is>
      </c>
      <c r="C1149" t="inlineStr">
        <is>
          <t xml:space="preserve"> Hoji CC</t>
        </is>
      </c>
      <c r="D1149" t="n">
        <v>177</v>
      </c>
      <c r="E1149" t="inlineStr">
        <is>
          <t xml:space="preserve"> Women's</t>
        </is>
      </c>
      <c r="F1149" t="n">
        <v>177</v>
      </c>
      <c r="G1149" t="n">
        <v>175.5</v>
      </c>
      <c r="H1149" t="n">
        <v>0</v>
      </c>
      <c r="I1149" t="n">
        <v>126</v>
      </c>
      <c r="J1149" t="n">
        <v>126</v>
      </c>
      <c r="K1149" t="n">
        <v>111</v>
      </c>
      <c r="L1149" t="n">
        <v>118</v>
      </c>
      <c r="M1149" t="n">
        <v>30.4</v>
      </c>
      <c r="N1149" t="n">
        <v>1822</v>
      </c>
      <c r="O1149" t="n">
        <v>1.11</v>
      </c>
      <c r="P1149" t="n">
        <v>2023</v>
      </c>
      <c r="Q1149" t="n">
        <v>278</v>
      </c>
      <c r="R1149" t="n">
        <v>123</v>
      </c>
      <c r="S1149" t="n">
        <v>75</v>
      </c>
      <c r="T1149" t="n">
        <v>945</v>
      </c>
      <c r="U1149" t="n">
        <v>31</v>
      </c>
      <c r="V1149" t="n">
        <v>810</v>
      </c>
      <c r="W1149" t="n">
        <v>0.41</v>
      </c>
      <c r="X1149" t="n">
        <v>200</v>
      </c>
      <c r="Y1149" t="n">
        <v>299</v>
      </c>
      <c r="Z1149" t="n">
        <v>745</v>
      </c>
      <c r="AA1149" t="n">
        <v>-11</v>
      </c>
      <c r="AB1149" t="n">
        <v>6.8</v>
      </c>
      <c r="AC1149" t="inlineStr">
        <is>
          <t xml:space="preserve"> Powder</t>
        </is>
      </c>
      <c r="AD1149" t="inlineStr">
        <is>
          <t xml:space="preserve"> Touring</t>
        </is>
      </c>
      <c r="AG1149" t="inlineStr">
        <is>
          <t>Hoji Skis 4-Lock - Men's Powder Skis | 4FRNT 177 cm</t>
        </is>
      </c>
      <c r="AH1149" t="inlineStr">
        <is>
          <t>4FRNT Skis</t>
        </is>
      </c>
      <c r="AI1149" s="333" t="n">
        <v>899</v>
      </c>
      <c r="AJ1149" t="inlineStr">
        <is>
          <t>https://tinyurl.com/ya2mkcby</t>
        </is>
      </c>
      <c r="AS1149" s="314">
        <f>IF(LEFT(C1149,1)=" ",RIGHT(C1149,LEN(C1149)-1),C1149)</f>
        <v/>
      </c>
      <c r="AT1149" s="281">
        <f>_xlfn.CONCAT(B1149,AS1149,D1149,E1149)</f>
        <v/>
      </c>
    </row>
    <row r="1150">
      <c r="A1150" t="inlineStr">
        <is>
          <t>21/22</t>
        </is>
      </c>
      <c r="B1150" t="inlineStr">
        <is>
          <t xml:space="preserve"> Faction</t>
        </is>
      </c>
      <c r="C1150" t="inlineStr">
        <is>
          <t xml:space="preserve"> La Machine</t>
        </is>
      </c>
      <c r="D1150" t="n">
        <v>178</v>
      </c>
      <c r="E1150" t="inlineStr">
        <is>
          <t xml:space="preserve"> Unisex</t>
        </is>
      </c>
      <c r="F1150" t="n">
        <v>178</v>
      </c>
      <c r="G1150" t="n">
        <v>176.6</v>
      </c>
      <c r="H1150" t="n">
        <v>8</v>
      </c>
      <c r="I1150" t="n">
        <v>139</v>
      </c>
      <c r="J1150" t="n">
        <v>147</v>
      </c>
      <c r="K1150" t="n">
        <v>125</v>
      </c>
      <c r="L1150" t="n">
        <v>138</v>
      </c>
      <c r="M1150" t="n">
        <v>24.8</v>
      </c>
      <c r="N1150" t="n">
        <v>1739</v>
      </c>
      <c r="O1150" t="n">
        <v>1.34</v>
      </c>
      <c r="P1150" t="n">
        <v>2328</v>
      </c>
      <c r="Q1150" t="n">
        <v>213</v>
      </c>
      <c r="R1150" t="n">
        <v>88</v>
      </c>
      <c r="S1150" t="n">
        <v>68</v>
      </c>
      <c r="T1150" t="n">
        <v>1012</v>
      </c>
      <c r="U1150" t="n">
        <v>30</v>
      </c>
      <c r="V1150" t="n">
        <v>676</v>
      </c>
      <c r="W1150" t="n">
        <v>0.445</v>
      </c>
      <c r="X1150" t="n">
        <v>224</v>
      </c>
      <c r="Y1150" t="n">
        <v>151</v>
      </c>
      <c r="Z1150" t="n">
        <v>788</v>
      </c>
      <c r="AA1150" t="n">
        <v>1</v>
      </c>
      <c r="AB1150" t="n">
        <v>12.9</v>
      </c>
      <c r="AC1150" t="inlineStr">
        <is>
          <t xml:space="preserve"> Powder</t>
        </is>
      </c>
      <c r="AD1150" t="inlineStr">
        <is>
          <t xml:space="preserve"> Touring</t>
        </is>
      </c>
      <c r="AE1150" t="inlineStr">
        <is>
          <t xml:space="preserve"> Ultralight Touring</t>
        </is>
      </c>
      <c r="AG1150" t="inlineStr">
        <is>
          <t>Faction La Machine Skis 21/22</t>
        </is>
      </c>
      <c r="AH1150" t="inlineStr">
        <is>
          <t>Snowcountry.eu</t>
        </is>
      </c>
      <c r="AI1150" s="333" t="n">
        <v>460</v>
      </c>
      <c r="AJ1150" t="inlineStr">
        <is>
          <t>https://tinyurl.com/yb88rv3m</t>
        </is>
      </c>
      <c r="AK1150" t="inlineStr">
        <is>
          <t>Faction La Machine Skis 21/22</t>
        </is>
      </c>
      <c r="AL1150" t="inlineStr">
        <is>
          <t>Next Adventure</t>
        </is>
      </c>
      <c r="AM1150" s="333" t="n">
        <v>695.2</v>
      </c>
      <c r="AN1150" t="inlineStr">
        <is>
          <t>https://tinyurl.com/ybowj4yj</t>
        </is>
      </c>
      <c r="AO1150" t="inlineStr">
        <is>
          <t>Faction Chapter 1.0 Skis</t>
        </is>
      </c>
      <c r="AP1150" t="inlineStr">
        <is>
          <t>The Locals Sale</t>
        </is>
      </c>
      <c r="AQ1150" s="333" t="n">
        <v>222</v>
      </c>
      <c r="AR1150" t="inlineStr">
        <is>
          <t>https://tinyurl.com/yaup838q</t>
        </is>
      </c>
      <c r="AS1150" s="314">
        <f>IF(LEFT(C1150,1)=" ",RIGHT(C1150,LEN(C1150)-1),C1150)</f>
        <v/>
      </c>
      <c r="AT1150" s="281">
        <f>_xlfn.CONCAT(B1150,AS1150,D1150,E1150)</f>
        <v/>
      </c>
    </row>
    <row r="1151">
      <c r="A1151" t="inlineStr">
        <is>
          <t>21/22</t>
        </is>
      </c>
      <c r="B1151" t="inlineStr">
        <is>
          <t xml:space="preserve"> Atomic</t>
        </is>
      </c>
      <c r="C1151" t="inlineStr">
        <is>
          <t>Backland 98 W</t>
        </is>
      </c>
      <c r="D1151" t="n">
        <v>156</v>
      </c>
      <c r="E1151" t="inlineStr">
        <is>
          <t xml:space="preserve"> Unisex</t>
        </is>
      </c>
      <c r="F1151" t="n">
        <v>156</v>
      </c>
      <c r="G1151" t="n">
        <v>155</v>
      </c>
      <c r="H1151" t="n">
        <v>104</v>
      </c>
      <c r="I1151" t="n">
        <v>121</v>
      </c>
      <c r="J1151" t="n">
        <v>125</v>
      </c>
      <c r="K1151" t="n">
        <v>96</v>
      </c>
      <c r="L1151" t="n">
        <v>115</v>
      </c>
      <c r="M1151" t="n">
        <v>12.9</v>
      </c>
      <c r="N1151" t="n">
        <v>1110</v>
      </c>
      <c r="O1151" t="n">
        <v>1.46</v>
      </c>
      <c r="P1151" t="n">
        <v>1623</v>
      </c>
      <c r="Q1151" t="n">
        <v>142</v>
      </c>
      <c r="R1151" t="n">
        <v>64</v>
      </c>
      <c r="S1151" t="n">
        <v>53</v>
      </c>
      <c r="T1151" t="n">
        <v>296</v>
      </c>
      <c r="U1151" t="n">
        <v>16</v>
      </c>
      <c r="V1151" t="n">
        <v>214</v>
      </c>
      <c r="W1151" t="n">
        <v>0.3</v>
      </c>
      <c r="X1151" t="n">
        <v>179</v>
      </c>
      <c r="Y1151" t="n">
        <v>156</v>
      </c>
      <c r="Z1151" t="n">
        <v>117</v>
      </c>
      <c r="AA1151" t="n">
        <v>3</v>
      </c>
      <c r="AB1151" t="n">
        <v>8.4</v>
      </c>
      <c r="AC1151" t="inlineStr">
        <is>
          <t xml:space="preserve"> Touring</t>
        </is>
      </c>
      <c r="AD1151" t="inlineStr">
        <is>
          <t xml:space="preserve"> Ultralight Touring</t>
        </is>
      </c>
      <c r="AG1151" t="inlineStr">
        <is>
          <t>Atomic W Backland 98 Alpine Touring Ski (2022) 156</t>
        </is>
      </c>
      <c r="AH1151" t="inlineStr">
        <is>
          <t>Cripple Creek Backcountry</t>
        </is>
      </c>
      <c r="AI1151" s="333" t="n">
        <v>489</v>
      </c>
      <c r="AJ1151" t="inlineStr">
        <is>
          <t>https://tinyurl.com/y9zu3rl2</t>
        </is>
      </c>
      <c r="AK1151" t="inlineStr">
        <is>
          <t>'22 Atomic Backland 98 W Skis 156cm</t>
        </is>
      </c>
      <c r="AL1151" t="inlineStr">
        <is>
          <t>Al's Ski Equipment Barn</t>
        </is>
      </c>
      <c r="AM1151" s="333" t="n">
        <v>695</v>
      </c>
      <c r="AN1151" t="inlineStr">
        <is>
          <t>https://tinyurl.com/y9xyldao</t>
        </is>
      </c>
      <c r="AO1151" t="inlineStr">
        <is>
          <t>2022 Atomic Backland 98 W Ladies' Snow Skis 156</t>
        </is>
      </c>
      <c r="AP1151" t="inlineStr">
        <is>
          <t>The Pro Shop</t>
        </is>
      </c>
      <c r="AQ1151" s="333" t="n">
        <v>699.99</v>
      </c>
      <c r="AR1151" t="inlineStr">
        <is>
          <t>https://tinyurl.com/y8mzyzfs</t>
        </is>
      </c>
      <c r="AS1151" s="314">
        <f>IF(LEFT(C1151,1)=" ",RIGHT(C1151,LEN(C1151)-1),C1151)</f>
        <v/>
      </c>
      <c r="AT1151" s="281">
        <f>_xlfn.CONCAT(B1151,AS1151,D1151,E1151)</f>
        <v/>
      </c>
    </row>
    <row r="1152">
      <c r="A1152" t="inlineStr">
        <is>
          <t>21/22</t>
        </is>
      </c>
      <c r="B1152" t="inlineStr">
        <is>
          <t xml:space="preserve"> Blizzard</t>
        </is>
      </c>
      <c r="C1152" t="inlineStr">
        <is>
          <t>Bonafide 97</t>
        </is>
      </c>
      <c r="D1152" t="n">
        <v>183</v>
      </c>
      <c r="E1152" t="inlineStr">
        <is>
          <t xml:space="preserve"> Unisex</t>
        </is>
      </c>
      <c r="F1152" t="n">
        <v>183</v>
      </c>
      <c r="G1152" t="n">
        <v>181.8</v>
      </c>
      <c r="H1152" t="n">
        <v>149</v>
      </c>
      <c r="I1152" t="n">
        <v>157</v>
      </c>
      <c r="J1152" t="n">
        <v>136</v>
      </c>
      <c r="K1152" t="n">
        <v>96</v>
      </c>
      <c r="L1152" t="n">
        <v>117</v>
      </c>
      <c r="M1152" t="n">
        <v>19.7</v>
      </c>
      <c r="N1152" t="n">
        <v>2287</v>
      </c>
      <c r="O1152" t="n">
        <v>0.86</v>
      </c>
      <c r="P1152" t="n">
        <v>1958</v>
      </c>
      <c r="Q1152" t="n">
        <v>230</v>
      </c>
      <c r="R1152" t="n">
        <v>136</v>
      </c>
      <c r="S1152" t="n">
        <v>52</v>
      </c>
      <c r="T1152" t="n">
        <v>226</v>
      </c>
      <c r="U1152" t="n">
        <v>6</v>
      </c>
      <c r="V1152" t="n">
        <v>101</v>
      </c>
      <c r="W1152" t="n">
        <v>0.115999999999999</v>
      </c>
      <c r="X1152" t="n">
        <v>133</v>
      </c>
      <c r="Y1152" t="n">
        <v>119</v>
      </c>
      <c r="Z1152" t="n">
        <v>93</v>
      </c>
      <c r="AA1152" t="n">
        <v>8</v>
      </c>
      <c r="AB1152" t="n">
        <v>11.3</v>
      </c>
      <c r="AC1152" t="inlineStr">
        <is>
          <t xml:space="preserve"> Resort Freeride</t>
        </is>
      </c>
      <c r="AG1152" t="inlineStr">
        <is>
          <t>Blizzard Bonafide 97 21/22</t>
        </is>
      </c>
      <c r="AH1152" t="inlineStr">
        <is>
          <t>Snowcountry.eu</t>
        </is>
      </c>
      <c r="AI1152" s="333" t="n">
        <v>451.66</v>
      </c>
      <c r="AJ1152" t="inlineStr">
        <is>
          <t>https://tinyurl.com/yb2on7te</t>
        </is>
      </c>
      <c r="AK1152" t="inlineStr">
        <is>
          <t>Blizzard Bonafide 97 2021</t>
        </is>
      </c>
      <c r="AL1152" t="inlineStr">
        <is>
          <t>Level Nine Sports</t>
        </is>
      </c>
      <c r="AM1152" s="333" t="n">
        <v>599.95</v>
      </c>
      <c r="AN1152" t="inlineStr">
        <is>
          <t>https://tinyurl.com/y7fzrnvl</t>
        </is>
      </c>
      <c r="AO1152" t="inlineStr">
        <is>
          <t>Blizzard Bonafide 97 Skis</t>
        </is>
      </c>
      <c r="AP1152" t="inlineStr">
        <is>
          <t>Cole Sport</t>
        </is>
      </c>
      <c r="AQ1152" s="333" t="n">
        <v>599.95</v>
      </c>
      <c r="AR1152" t="inlineStr">
        <is>
          <t>https://tinyurl.com/yctz6ud2</t>
        </is>
      </c>
      <c r="AS1152" s="314">
        <f>IF(LEFT(C1152,1)=" ",RIGHT(C1152,LEN(C1152)-1),C1152)</f>
        <v/>
      </c>
      <c r="AT1152" s="281">
        <f>_xlfn.CONCAT(B1152,AS1152,D1152,E1152)</f>
        <v/>
      </c>
    </row>
    <row r="1153">
      <c r="A1153" t="inlineStr">
        <is>
          <t>21/22</t>
        </is>
      </c>
      <c r="B1153" t="inlineStr">
        <is>
          <t xml:space="preserve"> Head</t>
        </is>
      </c>
      <c r="C1153" t="inlineStr">
        <is>
          <t xml:space="preserve"> Supershape e-Speed</t>
        </is>
      </c>
      <c r="D1153" t="n">
        <v>177</v>
      </c>
      <c r="E1153" t="inlineStr">
        <is>
          <t xml:space="preserve"> Unisex</t>
        </is>
      </c>
      <c r="F1153" t="n">
        <v>177</v>
      </c>
      <c r="G1153" t="n">
        <v>176.2</v>
      </c>
      <c r="H1153" t="n">
        <v>158</v>
      </c>
      <c r="I1153" t="n">
        <v>165</v>
      </c>
      <c r="J1153" t="n">
        <v>121</v>
      </c>
      <c r="K1153" t="n">
        <v>67</v>
      </c>
      <c r="L1153" t="n">
        <v>102</v>
      </c>
      <c r="M1153" t="n">
        <v>15.5</v>
      </c>
      <c r="N1153" t="n">
        <v>2207</v>
      </c>
      <c r="O1153" t="n">
        <v>0.66</v>
      </c>
      <c r="P1153" t="n">
        <v>1461</v>
      </c>
      <c r="Q1153" t="n">
        <v>234</v>
      </c>
      <c r="R1153" t="n">
        <v>107</v>
      </c>
      <c r="S1153" t="n">
        <v>37</v>
      </c>
      <c r="T1153" t="n">
        <v>137</v>
      </c>
      <c r="U1153" t="n">
        <v>3</v>
      </c>
      <c r="V1153" t="n">
        <v>45</v>
      </c>
      <c r="W1153" t="n">
        <v>0.092</v>
      </c>
      <c r="X1153" t="n">
        <v>61</v>
      </c>
      <c r="Y1153" t="n">
        <v>52</v>
      </c>
      <c r="Z1153" t="n">
        <v>76</v>
      </c>
      <c r="AA1153" t="n">
        <v>10</v>
      </c>
      <c r="AB1153" t="n">
        <v>12.8</v>
      </c>
      <c r="AC1153" t="inlineStr">
        <is>
          <t xml:space="preserve"> On-Piste Carving</t>
        </is>
      </c>
      <c r="AG1153" t="inlineStr">
        <is>
          <t>Head Supershape I.titan 177 Cm Men's Skis W/ Freeflex Pro Bindings</t>
        </is>
      </c>
      <c r="AH1153" t="inlineStr">
        <is>
          <t>eBay - terrbake_60</t>
        </is>
      </c>
      <c r="AI1153" s="333" t="n">
        <v>150</v>
      </c>
      <c r="AJ1153" t="inlineStr">
        <is>
          <t>https://tinyurl.com/y7w8moxh</t>
        </is>
      </c>
      <c r="AK1153" t="inlineStr">
        <is>
          <t>Head Supershape i.Magnum Skis w Head PRX 12 Demo Bindings  Demo</t>
        </is>
      </c>
      <c r="AL1153" t="inlineStr">
        <is>
          <t>Powder7 Ski Shop</t>
        </is>
      </c>
      <c r="AM1153" s="333" t="n">
        <v>379.99</v>
      </c>
      <c r="AN1153" t="inlineStr">
        <is>
          <t>https://tinyurl.com/y8yoy3va</t>
        </is>
      </c>
      <c r="AO1153" t="inlineStr">
        <is>
          <t xml:space="preserve">2022 Head Supershape Titan w Head PRD 12 Demo Bindings, Black/Blue / 177 / </t>
        </is>
      </c>
      <c r="AP1153" t="inlineStr">
        <is>
          <t>Lone Pine Gear Exchange</t>
        </is>
      </c>
      <c r="AQ1153" s="333" t="n">
        <v>575</v>
      </c>
      <c r="AR1153" t="inlineStr">
        <is>
          <t>https://tinyurl.com/y7g9nhnf</t>
        </is>
      </c>
      <c r="AS1153" s="314">
        <f>IF(LEFT(C1153,1)=" ",RIGHT(C1153,LEN(C1153)-1),C1153)</f>
        <v/>
      </c>
      <c r="AT1153" s="281">
        <f>_xlfn.CONCAT(B1153,AS1153,D1153,E1153)</f>
        <v/>
      </c>
    </row>
    <row r="1154">
      <c r="A1154" t="inlineStr">
        <is>
          <t>21/22</t>
        </is>
      </c>
      <c r="B1154" t="inlineStr">
        <is>
          <t xml:space="preserve"> Rossignol</t>
        </is>
      </c>
      <c r="C1154" t="inlineStr">
        <is>
          <t>React 2</t>
        </is>
      </c>
      <c r="D1154" t="n">
        <v>154</v>
      </c>
      <c r="E1154" t="inlineStr">
        <is>
          <t xml:space="preserve"> Unisex</t>
        </is>
      </c>
      <c r="F1154" t="n">
        <v>154</v>
      </c>
      <c r="G1154" t="n">
        <v>152.3</v>
      </c>
      <c r="H1154" t="n">
        <v>132</v>
      </c>
      <c r="I1154" t="n">
        <v>137</v>
      </c>
      <c r="J1154" t="n">
        <v>121</v>
      </c>
      <c r="K1154" t="n">
        <v>74</v>
      </c>
      <c r="L1154" t="n">
        <v>107</v>
      </c>
      <c r="M1154" t="n">
        <v>11.7</v>
      </c>
      <c r="N1154" t="n">
        <v>1410</v>
      </c>
      <c r="O1154" t="n">
        <v>0.96</v>
      </c>
      <c r="P1154" t="n">
        <v>1356</v>
      </c>
      <c r="Q1154" t="n">
        <v>140</v>
      </c>
      <c r="R1154" t="n">
        <v>51</v>
      </c>
      <c r="S1154" t="n">
        <v>33</v>
      </c>
      <c r="T1154" t="n">
        <v>136</v>
      </c>
      <c r="U1154" t="n">
        <v>5</v>
      </c>
      <c r="V1154" t="n">
        <v>64</v>
      </c>
      <c r="W1154" t="n">
        <v>0.143</v>
      </c>
      <c r="X1154" t="n">
        <v>78</v>
      </c>
      <c r="Y1154" t="n">
        <v>80</v>
      </c>
      <c r="Z1154" t="n">
        <v>58</v>
      </c>
      <c r="AA1154" t="n">
        <v>12</v>
      </c>
      <c r="AB1154" t="n">
        <v>8</v>
      </c>
      <c r="AC1154" t="inlineStr">
        <is>
          <t xml:space="preserve"> On-Piste Carving</t>
        </is>
      </c>
      <c r="AD1154" t="inlineStr">
        <is>
          <t xml:space="preserve"> On-Piste All-Mountain</t>
        </is>
      </c>
      <c r="AG1154" t="inlineStr">
        <is>
          <t>Rossignol React 2 Skis W Xpress 10 Gw Bindings 2022 - Na</t>
        </is>
      </c>
      <c r="AH1154" t="inlineStr">
        <is>
          <t>Geiger's</t>
        </is>
      </c>
      <c r="AI1154" s="333" t="n">
        <v>299.99</v>
      </c>
      <c r="AJ1154" t="inlineStr">
        <is>
          <t>https://tinyurl.com/yc3qgmwv</t>
        </is>
      </c>
      <c r="AK1154" t="inlineStr">
        <is>
          <t>Rossignol React 4 Sport CA Skis with Xpress 11 GW Bindings - 154cm</t>
        </is>
      </c>
      <c r="AL1154" t="inlineStr">
        <is>
          <t>The-House.com</t>
        </is>
      </c>
      <c r="AM1154" s="333" t="n">
        <v>399.95</v>
      </c>
      <c r="AN1154" t="inlineStr">
        <is>
          <t>https://tinyurl.com/y8fpbfu6</t>
        </is>
      </c>
      <c r="AO1154" t="inlineStr">
        <is>
          <t>Rossignol Men's on Piste Skis React R2 (with XP10 Bindings) 154</t>
        </is>
      </c>
      <c r="AP1154" t="inlineStr">
        <is>
          <t>shop.petersonsskiandcycle.com</t>
        </is>
      </c>
      <c r="AQ1154" s="333" t="n">
        <v>399.99</v>
      </c>
      <c r="AR1154" t="inlineStr">
        <is>
          <t>https://tinyurl.com/yarq3ake</t>
        </is>
      </c>
      <c r="AS1154" s="314">
        <f>IF(LEFT(C1154,1)=" ",RIGHT(C1154,LEN(C1154)-1),C1154)</f>
        <v/>
      </c>
      <c r="AT1154" s="281">
        <f>_xlfn.CONCAT(B1154,AS1154,D1154,E1154)</f>
        <v/>
      </c>
    </row>
    <row r="1155">
      <c r="A1155" t="inlineStr">
        <is>
          <t>21/22</t>
        </is>
      </c>
      <c r="B1155" t="inlineStr">
        <is>
          <t xml:space="preserve"> Blizzard</t>
        </is>
      </c>
      <c r="C1155" t="inlineStr">
        <is>
          <t xml:space="preserve"> SRC</t>
        </is>
      </c>
      <c r="D1155" t="n">
        <v>165</v>
      </c>
      <c r="E1155" t="inlineStr">
        <is>
          <t xml:space="preserve"> Unisex</t>
        </is>
      </c>
      <c r="F1155" t="n">
        <v>165</v>
      </c>
      <c r="G1155" t="n">
        <v>163.9</v>
      </c>
      <c r="H1155" t="n">
        <v>145</v>
      </c>
      <c r="I1155" t="n">
        <v>151</v>
      </c>
      <c r="J1155" t="n">
        <v>121</v>
      </c>
      <c r="K1155" t="n">
        <v>70</v>
      </c>
      <c r="L1155" t="n">
        <v>104</v>
      </c>
      <c r="M1155" t="n">
        <v>12.9</v>
      </c>
      <c r="N1155" t="n">
        <v>2006</v>
      </c>
      <c r="O1155" t="n">
        <v>0.7</v>
      </c>
      <c r="P1155" t="n">
        <v>1404</v>
      </c>
      <c r="Q1155" t="n">
        <v>199</v>
      </c>
      <c r="R1155" t="n">
        <v>127</v>
      </c>
      <c r="S1155" t="n">
        <v>38</v>
      </c>
      <c r="T1155" t="n">
        <v>138</v>
      </c>
      <c r="U1155" t="n">
        <v>7</v>
      </c>
      <c r="V1155" t="n">
        <v>52</v>
      </c>
      <c r="W1155" t="n">
        <v>0.183</v>
      </c>
      <c r="X1155" t="n">
        <v>72</v>
      </c>
      <c r="Y1155" t="n">
        <v>55</v>
      </c>
      <c r="Z1155" t="n">
        <v>66</v>
      </c>
      <c r="AA1155" t="n">
        <v>12</v>
      </c>
      <c r="AB1155" t="n">
        <v>11.9</v>
      </c>
      <c r="AC1155" t="inlineStr">
        <is>
          <t xml:space="preserve"> On-Piste Carving</t>
        </is>
      </c>
      <c r="AG1155" t="inlineStr">
        <is>
          <t>Blizzard Firebird SRC Skis w/ Xcell 14 Bindings</t>
        </is>
      </c>
      <c r="AH1155" t="inlineStr">
        <is>
          <t>The-House.com</t>
        </is>
      </c>
      <c r="AI1155" s="333" t="n">
        <v>1099.95</v>
      </c>
      <c r="AJ1155" t="inlineStr">
        <is>
          <t>https://tinyurl.com/yaqpgz69</t>
        </is>
      </c>
      <c r="AK1155" t="inlineStr">
        <is>
          <t>2022 Blizzard Firebird SRC + Marker Xcell 14 Binding - 165</t>
        </is>
      </c>
      <c r="AL1155" t="inlineStr">
        <is>
          <t>Pinewski's Ski and Board Shop</t>
        </is>
      </c>
      <c r="AM1155" s="333" t="n">
        <v>1099.95</v>
      </c>
      <c r="AN1155" t="inlineStr">
        <is>
          <t>https://tinyurl.com/yaafu7as</t>
        </is>
      </c>
      <c r="AO1155" t="inlineStr">
        <is>
          <t>Blizzard Firebird SRC WC-PISTON(FL+PL) - Orange/Blue - Skis 165</t>
        </is>
      </c>
      <c r="AP1155" t="inlineStr">
        <is>
          <t>eBay - grassisport</t>
        </is>
      </c>
      <c r="AQ1155" s="333" t="n">
        <v>627.24</v>
      </c>
      <c r="AR1155" t="inlineStr">
        <is>
          <t>https://tinyurl.com/y74tykvz</t>
        </is>
      </c>
      <c r="AS1155" s="314">
        <f>IF(LEFT(C1155,1)=" ",RIGHT(C1155,LEN(C1155)-1),C1155)</f>
        <v/>
      </c>
      <c r="AT1155" s="281">
        <f>_xlfn.CONCAT(B1155,AS1155,D1155,E1155)</f>
        <v/>
      </c>
    </row>
    <row r="1156">
      <c r="A1156" t="inlineStr">
        <is>
          <t>21/22</t>
        </is>
      </c>
      <c r="B1156" t="inlineStr">
        <is>
          <t>K2</t>
        </is>
      </c>
      <c r="C1156" t="inlineStr">
        <is>
          <t>Mindbender 90 C Alliance</t>
        </is>
      </c>
      <c r="D1156" t="n">
        <v>149</v>
      </c>
      <c r="E1156" t="inlineStr">
        <is>
          <t xml:space="preserve"> Women's</t>
        </is>
      </c>
      <c r="F1156" t="n">
        <v>149</v>
      </c>
      <c r="G1156" t="n">
        <v>150</v>
      </c>
      <c r="H1156" t="n">
        <v>115</v>
      </c>
      <c r="I1156" t="n">
        <v>123</v>
      </c>
      <c r="J1156" t="n">
        <v>126</v>
      </c>
      <c r="K1156" t="n">
        <v>89</v>
      </c>
      <c r="L1156" t="n">
        <v>112</v>
      </c>
      <c r="M1156" t="n">
        <v>11.7</v>
      </c>
      <c r="N1156" t="n">
        <v>1333</v>
      </c>
      <c r="O1156" t="n">
        <v>1.14</v>
      </c>
      <c r="P1156" t="n">
        <v>1522</v>
      </c>
      <c r="Q1156" t="n">
        <v>107</v>
      </c>
      <c r="R1156" t="n">
        <v>58</v>
      </c>
      <c r="S1156" t="n">
        <v>38</v>
      </c>
      <c r="T1156" t="n">
        <v>216</v>
      </c>
      <c r="U1156" t="n">
        <v>10</v>
      </c>
      <c r="V1156" t="n">
        <v>135</v>
      </c>
      <c r="W1156" t="n">
        <v>0.25</v>
      </c>
      <c r="X1156" t="n">
        <v>156</v>
      </c>
      <c r="Y1156" t="n">
        <v>109</v>
      </c>
      <c r="Z1156" t="n">
        <v>59</v>
      </c>
      <c r="AA1156" t="n">
        <v>9</v>
      </c>
      <c r="AB1156" t="n">
        <v>9.699999999999999</v>
      </c>
      <c r="AC1156" t="inlineStr">
        <is>
          <t xml:space="preserve"> Resort Freeride</t>
        </is>
      </c>
      <c r="AD1156" t="inlineStr">
        <is>
          <t xml:space="preserve"> Touring</t>
        </is>
      </c>
      <c r="AG1156" t="inlineStr">
        <is>
          <t>K2 Mindbender 85 Alliance Skis Women's 2022</t>
        </is>
      </c>
      <c r="AH1156" t="inlineStr">
        <is>
          <t>PRFO Sports</t>
        </is>
      </c>
      <c r="AI1156" s="333" t="n">
        <v>320.57</v>
      </c>
      <c r="AJ1156" t="inlineStr">
        <is>
          <t>https://tinyurl.com/ydghjhuu</t>
        </is>
      </c>
      <c r="AK1156" t="inlineStr">
        <is>
          <t>K2 Mindbender 90C Alliance Skis - Women's - 2022</t>
        </is>
      </c>
      <c r="AL1156" t="inlineStr">
        <is>
          <t>The Ski Bum</t>
        </is>
      </c>
      <c r="AM1156" s="333" t="n">
        <v>399.96</v>
      </c>
      <c r="AN1156" t="inlineStr">
        <is>
          <t>https://tinyurl.com/ycbcgr7p</t>
        </is>
      </c>
      <c r="AO1156" t="inlineStr">
        <is>
          <t>k2 Mindbender 85 Alliance Skis 2022 - Size: 149</t>
        </is>
      </c>
      <c r="AP1156" t="inlineStr">
        <is>
          <t>K2 Snow</t>
        </is>
      </c>
      <c r="AQ1156" s="333" t="n">
        <v>399.99</v>
      </c>
      <c r="AR1156" t="inlineStr">
        <is>
          <t>https://tinyurl.com/y99kvthr</t>
        </is>
      </c>
      <c r="AS1156" s="314">
        <f>IF(LEFT(C1156,1)=" ",RIGHT(C1156,LEN(C1156)-1),C1156)</f>
        <v/>
      </c>
      <c r="AT1156" s="281">
        <f>_xlfn.CONCAT(B1156,AS1156,D1156,E1156)</f>
        <v/>
      </c>
    </row>
    <row r="1157">
      <c r="A1157" t="inlineStr">
        <is>
          <t>21/22</t>
        </is>
      </c>
      <c r="B1157" t="inlineStr">
        <is>
          <t xml:space="preserve"> Head</t>
        </is>
      </c>
      <c r="C1157" t="inlineStr">
        <is>
          <t xml:space="preserve"> Worldcup Rebels e-SL</t>
        </is>
      </c>
      <c r="D1157" t="n">
        <v>170</v>
      </c>
      <c r="E1157" t="inlineStr">
        <is>
          <t xml:space="preserve"> Unisex</t>
        </is>
      </c>
      <c r="F1157" t="n">
        <v>170</v>
      </c>
      <c r="G1157" t="n">
        <v>168.9</v>
      </c>
      <c r="H1157" t="n">
        <v>151</v>
      </c>
      <c r="I1157" t="n">
        <v>159</v>
      </c>
      <c r="J1157" t="n">
        <v>122</v>
      </c>
      <c r="K1157" t="n">
        <v>67</v>
      </c>
      <c r="L1157" t="n">
        <v>107</v>
      </c>
      <c r="M1157" t="n">
        <v>13.2</v>
      </c>
      <c r="N1157" t="n">
        <v>2386</v>
      </c>
      <c r="O1157" t="n">
        <v>0.6</v>
      </c>
      <c r="P1157" t="n">
        <v>1420</v>
      </c>
      <c r="Q1157" t="n">
        <v>221</v>
      </c>
      <c r="R1157" t="n">
        <v>97</v>
      </c>
      <c r="S1157" t="n">
        <v>39</v>
      </c>
      <c r="T1157" t="n">
        <v>141</v>
      </c>
      <c r="U1157" t="n">
        <v>3</v>
      </c>
      <c r="V1157" t="n">
        <v>41</v>
      </c>
      <c r="W1157" t="n">
        <v>0.067</v>
      </c>
      <c r="X1157" t="n">
        <v>58</v>
      </c>
      <c r="Y1157" t="n">
        <v>36</v>
      </c>
      <c r="Z1157" t="n">
        <v>83</v>
      </c>
      <c r="AA1157" t="n">
        <v>10</v>
      </c>
      <c r="AB1157" t="n">
        <v>12.5</v>
      </c>
      <c r="AC1157" t="inlineStr">
        <is>
          <t xml:space="preserve"> On-Piste Carving</t>
        </is>
      </c>
      <c r="AG1157" t="inlineStr">
        <is>
          <t>Skiing Head Worldcup Rebels I. Shape Pro (attack Included) (size 170)</t>
        </is>
      </c>
      <c r="AH1157" t="inlineStr">
        <is>
          <t>eBay - vendiamoperte_italia</t>
        </is>
      </c>
      <c r="AI1157" s="333" t="n">
        <v>638.75</v>
      </c>
      <c r="AJ1157" t="inlineStr">
        <is>
          <t>https://tinyurl.com/y7yj2ey2</t>
        </is>
      </c>
      <c r="AK1157" t="inlineStr">
        <is>
          <t>Head Worldcup Rebels E-Speed + FF St 14 21/22</t>
        </is>
      </c>
      <c r="AL1157" t="inlineStr">
        <is>
          <t>eBay - fun-sport-vision-shop</t>
        </is>
      </c>
      <c r="AM1157" s="333" t="n">
        <v>960.84</v>
      </c>
      <c r="AN1157" t="inlineStr">
        <is>
          <t>https://tinyurl.com/ycrpkska</t>
        </is>
      </c>
      <c r="AO1157" t="inlineStr">
        <is>
          <t>HEAD WORLDCUP SKIS SIZE 170 CM WITH NEW TYROLIA BINDINGS</t>
        </is>
      </c>
      <c r="AP1157" t="inlineStr">
        <is>
          <t>SidelineSwap</t>
        </is>
      </c>
      <c r="AQ1157" s="333" t="n">
        <v>242.1</v>
      </c>
      <c r="AR1157" t="inlineStr">
        <is>
          <t>https://tinyurl.com/ycmkslng</t>
        </is>
      </c>
      <c r="AS1157" s="314">
        <f>IF(LEFT(C1157,1)=" ",RIGHT(C1157,LEN(C1157)-1),C1157)</f>
        <v/>
      </c>
      <c r="AT1157" s="281">
        <f>_xlfn.CONCAT(B1157,AS1157,D1157,E1157)</f>
        <v/>
      </c>
    </row>
    <row r="1158">
      <c r="A1158" t="inlineStr">
        <is>
          <t>21/22</t>
        </is>
      </c>
      <c r="B1158" t="inlineStr">
        <is>
          <t xml:space="preserve"> Blizzard</t>
        </is>
      </c>
      <c r="C1158" t="inlineStr">
        <is>
          <t>Rustler 10</t>
        </is>
      </c>
      <c r="D1158" t="n">
        <v>188</v>
      </c>
      <c r="E1158" t="inlineStr">
        <is>
          <t xml:space="preserve"> Unisex</t>
        </is>
      </c>
      <c r="F1158" t="n">
        <v>188</v>
      </c>
      <c r="G1158" t="n">
        <v>186.2</v>
      </c>
      <c r="H1158" t="n">
        <v>112</v>
      </c>
      <c r="I1158" t="n">
        <v>157</v>
      </c>
      <c r="J1158" t="n">
        <v>134</v>
      </c>
      <c r="K1158" t="n">
        <v>103</v>
      </c>
      <c r="L1158" t="n">
        <v>125</v>
      </c>
      <c r="M1158" t="n">
        <v>19.9</v>
      </c>
      <c r="N1158" t="n">
        <v>2276</v>
      </c>
      <c r="O1158" t="n">
        <v>0.93</v>
      </c>
      <c r="P1158" t="n">
        <v>2122</v>
      </c>
      <c r="Q1158" t="n">
        <v>282</v>
      </c>
      <c r="R1158" t="n">
        <v>145</v>
      </c>
      <c r="S1158" t="n">
        <v>68</v>
      </c>
      <c r="T1158" t="n">
        <v>417</v>
      </c>
      <c r="U1158" t="n">
        <v>33</v>
      </c>
      <c r="V1158" t="n">
        <v>326</v>
      </c>
      <c r="W1158" t="n">
        <v>0.491</v>
      </c>
      <c r="X1158" t="n">
        <v>147</v>
      </c>
      <c r="Y1158" t="n">
        <v>146</v>
      </c>
      <c r="Z1158" t="n">
        <v>270</v>
      </c>
      <c r="AA1158" t="n">
        <v>3</v>
      </c>
      <c r="AB1158" t="n">
        <v>7.5</v>
      </c>
      <c r="AC1158" t="inlineStr">
        <is>
          <t xml:space="preserve"> Resort Freeride</t>
        </is>
      </c>
      <c r="AD1158" t="inlineStr">
        <is>
          <t xml:space="preserve"> Powder</t>
        </is>
      </c>
      <c r="AG1158" t="inlineStr">
        <is>
          <t>Blizzard Rustler 10 Skis Â· 188 cm</t>
        </is>
      </c>
      <c r="AH1158" t="inlineStr">
        <is>
          <t>REI</t>
        </is>
      </c>
      <c r="AI1158" s="333" t="n">
        <v>559.9299999999999</v>
      </c>
      <c r="AJ1158" t="inlineStr">
        <is>
          <t>https://tinyurl.com/y9gjs78n</t>
        </is>
      </c>
      <c r="AK1158" t="inlineStr">
        <is>
          <t>Blizzard Rustler 10 Skis Â· 188 cm</t>
        </is>
      </c>
      <c r="AL1158" t="inlineStr">
        <is>
          <t>Sports Basement</t>
        </is>
      </c>
      <c r="AM1158" s="333" t="n">
        <v>559.95</v>
      </c>
      <c r="AN1158" t="inlineStr">
        <is>
          <t>https://tinyurl.com/y96fkso8</t>
        </is>
      </c>
      <c r="AO1158" t="inlineStr">
        <is>
          <t>Blizzard Rustler 10 Skis Â· 188 cm</t>
        </is>
      </c>
      <c r="AP1158" t="inlineStr">
        <is>
          <t>AlpineShopVT.com</t>
        </is>
      </c>
      <c r="AQ1158" s="333" t="n">
        <v>559.95</v>
      </c>
      <c r="AR1158" t="inlineStr">
        <is>
          <t>https://tinyurl.com/ya2kkns7</t>
        </is>
      </c>
      <c r="AS1158" s="314">
        <f>IF(LEFT(C1158,1)=" ",RIGHT(C1158,LEN(C1158)-1),C1158)</f>
        <v/>
      </c>
      <c r="AT1158" s="281">
        <f>_xlfn.CONCAT(B1158,AS1158,D1158,E1158)</f>
        <v/>
      </c>
    </row>
    <row r="1159">
      <c r="A1159" t="inlineStr">
        <is>
          <t>21/22</t>
        </is>
      </c>
      <c r="B1159" t="inlineStr">
        <is>
          <t xml:space="preserve"> Fischer</t>
        </is>
      </c>
      <c r="C1159" t="inlineStr">
        <is>
          <t>RC4 WC SC</t>
        </is>
      </c>
      <c r="D1159" t="n">
        <v>165</v>
      </c>
      <c r="E1159" t="inlineStr">
        <is>
          <t xml:space="preserve"> Unisex</t>
        </is>
      </c>
      <c r="F1159" t="n">
        <v>165</v>
      </c>
      <c r="G1159" t="n">
        <v>164.5</v>
      </c>
      <c r="H1159" t="n">
        <v>146</v>
      </c>
      <c r="I1159" t="n">
        <v>155</v>
      </c>
      <c r="J1159" t="n">
        <v>120</v>
      </c>
      <c r="K1159" t="n">
        <v>66</v>
      </c>
      <c r="L1159" t="n">
        <v>103</v>
      </c>
      <c r="M1159" t="n">
        <v>12.6</v>
      </c>
      <c r="N1159" t="n">
        <v>2012</v>
      </c>
      <c r="O1159" t="n">
        <v>0.68</v>
      </c>
      <c r="P1159" t="n">
        <v>1373</v>
      </c>
      <c r="Q1159" t="n">
        <v>212</v>
      </c>
      <c r="R1159" t="n">
        <v>130</v>
      </c>
      <c r="S1159" t="n">
        <v>37</v>
      </c>
      <c r="T1159" t="n">
        <v>139</v>
      </c>
      <c r="U1159" t="n">
        <v>4</v>
      </c>
      <c r="V1159" t="n">
        <v>48</v>
      </c>
      <c r="W1159" t="n">
        <v>0.09699999999999991</v>
      </c>
      <c r="X1159" t="n">
        <v>47</v>
      </c>
      <c r="Y1159" t="n">
        <v>45</v>
      </c>
      <c r="Z1159" t="n">
        <v>92</v>
      </c>
      <c r="AA1159" t="n">
        <v>9</v>
      </c>
      <c r="AB1159" t="n">
        <v>12.9</v>
      </c>
      <c r="AC1159" t="inlineStr">
        <is>
          <t xml:space="preserve"> On-Piste Carving</t>
        </is>
      </c>
      <c r="AG1159" t="inlineStr">
        <is>
          <t>RC4 WC SC Racetrack 2016 165</t>
        </is>
      </c>
      <c r="AH1159" t="inlineStr">
        <is>
          <t>Shumaker's ski &amp; snowboard</t>
        </is>
      </c>
      <c r="AI1159" s="333" t="n">
        <v>1250</v>
      </c>
      <c r="AJ1159" t="inlineStr">
        <is>
          <t>https://tinyurl.com/y9wh2yqn</t>
        </is>
      </c>
      <c r="AK1159" t="inlineStr">
        <is>
          <t>Fischer RC4 World Cup RC Mt+rc4 Z12 PR Alpine Skis 165</t>
        </is>
      </c>
      <c r="AL1159" t="inlineStr">
        <is>
          <t>Snowinn.com</t>
        </is>
      </c>
      <c r="AM1159" s="333" t="n">
        <v>682.99</v>
      </c>
      <c r="AN1159" t="inlineStr">
        <is>
          <t>https://tinyurl.com/yanh9nxs</t>
        </is>
      </c>
      <c r="AO1159" t="inlineStr">
        <is>
          <t>Fischer RC One Lite 68 Slr+rs9 SLR Alpine Skis Woman 165</t>
        </is>
      </c>
      <c r="AP1159" t="inlineStr">
        <is>
          <t>! OutdoorXL.com</t>
        </is>
      </c>
      <c r="AQ1159" s="333" t="n">
        <v>329.95</v>
      </c>
      <c r="AR1159" t="inlineStr">
        <is>
          <t>https://tinyurl.com/y7dkvjtn</t>
        </is>
      </c>
      <c r="AS1159" s="314">
        <f>IF(LEFT(C1159,1)=" ",RIGHT(C1159,LEN(C1159)-1),C1159)</f>
        <v/>
      </c>
      <c r="AT1159" s="281">
        <f>_xlfn.CONCAT(B1159,AS1159,D1159,E1159)</f>
        <v/>
      </c>
    </row>
    <row r="1160">
      <c r="A1160" t="inlineStr">
        <is>
          <t>21/22</t>
        </is>
      </c>
      <c r="B1160" t="inlineStr">
        <is>
          <t xml:space="preserve"> Vï¿½lkl</t>
        </is>
      </c>
      <c r="C1160" t="inlineStr">
        <is>
          <t>Rise Beyond 96</t>
        </is>
      </c>
      <c r="D1160" t="n">
        <v>156</v>
      </c>
      <c r="E1160" t="inlineStr">
        <is>
          <t xml:space="preserve"> Unisex</t>
        </is>
      </c>
      <c r="F1160" t="n">
        <v>156</v>
      </c>
      <c r="G1160" t="n">
        <v>154.5</v>
      </c>
      <c r="H1160" t="n">
        <v>122</v>
      </c>
      <c r="I1160" t="n">
        <v>133</v>
      </c>
      <c r="J1160" t="n">
        <v>137</v>
      </c>
      <c r="K1160" t="n">
        <v>95</v>
      </c>
      <c r="L1160" t="n">
        <v>118</v>
      </c>
      <c r="M1160" t="n">
        <v>12.6</v>
      </c>
      <c r="N1160" t="n">
        <v>1110</v>
      </c>
      <c r="O1160" t="n">
        <v>1.5</v>
      </c>
      <c r="P1160" t="n">
        <v>1669</v>
      </c>
      <c r="Q1160" t="n">
        <v>134</v>
      </c>
      <c r="R1160" t="n">
        <v>66</v>
      </c>
      <c r="S1160" t="n">
        <v>37</v>
      </c>
      <c r="T1160" t="n">
        <v>261</v>
      </c>
      <c r="U1160" t="n">
        <v>5</v>
      </c>
      <c r="V1160" t="n">
        <v>68</v>
      </c>
      <c r="W1160" t="n">
        <v>0.123</v>
      </c>
      <c r="X1160" t="n">
        <v>125</v>
      </c>
      <c r="Y1160" t="n">
        <v>95</v>
      </c>
      <c r="Z1160" t="n">
        <v>136</v>
      </c>
      <c r="AA1160" t="n">
        <v>4</v>
      </c>
      <c r="AB1160" t="n">
        <v>10.6</v>
      </c>
      <c r="AC1160" t="inlineStr">
        <is>
          <t xml:space="preserve"> Touring</t>
        </is>
      </c>
      <c r="AD1160" t="inlineStr">
        <is>
          <t xml:space="preserve"> Ultralight Touring</t>
        </is>
      </c>
      <c r="AG1160" t="inlineStr">
        <is>
          <t>Volkl Rise Beyond 96 Women Ski 2022</t>
        </is>
      </c>
      <c r="AH1160" t="inlineStr">
        <is>
          <t>Snowcountry.eu</t>
        </is>
      </c>
      <c r="AI1160" s="333" t="n">
        <v>451.66</v>
      </c>
      <c r="AJ1160" t="inlineStr">
        <is>
          <t>https://tinyurl.com/yccr8eod</t>
        </is>
      </c>
      <c r="AK1160" t="inlineStr">
        <is>
          <t>Volkl Rise Beyond 96 Women Ski 2022</t>
        </is>
      </c>
      <c r="AL1160" t="inlineStr">
        <is>
          <t>Stowesports.com</t>
        </is>
      </c>
      <c r="AM1160" s="333" t="n">
        <v>559.96</v>
      </c>
      <c r="AN1160" t="inlineStr">
        <is>
          <t>https://tinyurl.com/y73pjy5z</t>
        </is>
      </c>
      <c r="AO1160" t="inlineStr">
        <is>
          <t>Volkl Rise Beyond 96 Women Ski 2022</t>
        </is>
      </c>
      <c r="AP1160" t="inlineStr">
        <is>
          <t>Alpine Options</t>
        </is>
      </c>
      <c r="AQ1160" s="333" t="n">
        <v>559.99</v>
      </c>
      <c r="AR1160" t="inlineStr">
        <is>
          <t>https://tinyurl.com/y9qv4wrd</t>
        </is>
      </c>
      <c r="AS1160" s="314">
        <f>IF(LEFT(C1160,1)=" ",RIGHT(C1160,LEN(C1160)-1),C1160)</f>
        <v/>
      </c>
      <c r="AT1160" s="281">
        <f>_xlfn.CONCAT(B1160,AS1160,D1160,E1160)</f>
        <v/>
      </c>
    </row>
    <row r="1161">
      <c r="A1161" t="inlineStr">
        <is>
          <t>21/22</t>
        </is>
      </c>
      <c r="B1161" t="inlineStr">
        <is>
          <t xml:space="preserve"> Atomic</t>
        </is>
      </c>
      <c r="C1161" t="inlineStr">
        <is>
          <t>Redster X5</t>
        </is>
      </c>
      <c r="D1161" t="n">
        <v>175</v>
      </c>
      <c r="E1161" t="inlineStr">
        <is>
          <t xml:space="preserve"> Unisex</t>
        </is>
      </c>
      <c r="F1161" t="n">
        <v>175</v>
      </c>
      <c r="G1161" t="n">
        <v>174.3</v>
      </c>
      <c r="H1161" t="n">
        <v>157</v>
      </c>
      <c r="I1161" t="n">
        <v>160</v>
      </c>
      <c r="J1161" t="n">
        <v>120</v>
      </c>
      <c r="K1161" t="n">
        <v>70</v>
      </c>
      <c r="L1161" t="n">
        <v>103</v>
      </c>
      <c r="M1161" t="n">
        <v>15.3</v>
      </c>
      <c r="N1161" t="n">
        <v>2053</v>
      </c>
      <c r="O1161" t="n">
        <v>0.73</v>
      </c>
      <c r="P1161" t="n">
        <v>1496</v>
      </c>
      <c r="Q1161" t="n">
        <v>218</v>
      </c>
      <c r="R1161" t="n">
        <v>119</v>
      </c>
      <c r="S1161" t="n">
        <v>30</v>
      </c>
      <c r="T1161" t="n">
        <v>129</v>
      </c>
      <c r="U1161" t="n">
        <v>3</v>
      </c>
      <c r="V1161" t="n">
        <v>43</v>
      </c>
      <c r="W1161" t="n">
        <v>0.09699999999999991</v>
      </c>
      <c r="X1161" t="n">
        <v>86</v>
      </c>
      <c r="Y1161" t="n">
        <v>55</v>
      </c>
      <c r="Z1161" t="n">
        <v>43</v>
      </c>
      <c r="AA1161" t="n">
        <v>16</v>
      </c>
      <c r="AB1161" t="n">
        <v>12.4</v>
      </c>
      <c r="AC1161" t="inlineStr">
        <is>
          <t xml:space="preserve"> On-Piste Carving</t>
        </is>
      </c>
      <c r="AG1161" t="inlineStr">
        <is>
          <t>Atomic Redster G7 Skis w Atomic XT12 Demo Bindings  Demo Skis</t>
        </is>
      </c>
      <c r="AH1161" t="inlineStr">
        <is>
          <t>Powder7 Ski Shop</t>
        </is>
      </c>
      <c r="AI1161" s="333" t="n">
        <v>429.99</v>
      </c>
      <c r="AJ1161" t="inlineStr">
        <is>
          <t>https://tinyurl.com/y8q8oyya</t>
        </is>
      </c>
      <c r="AK1161" t="inlineStr">
        <is>
          <t>2020 Atomic Redster G7 Skis W/ Ft 12 Gw Bindings</t>
        </is>
      </c>
      <c r="AL1161" t="inlineStr">
        <is>
          <t>eBay - asogear</t>
        </is>
      </c>
      <c r="AM1161" s="333" t="n">
        <v>449.99</v>
      </c>
      <c r="AN1161" t="inlineStr">
        <is>
          <t>https://tinyurl.com/y8tmtrl6</t>
        </is>
      </c>
      <c r="AO1161" t="inlineStr">
        <is>
          <t>Atomic Bent 85 Skis 2023 - 175</t>
        </is>
      </c>
      <c r="AP1161" t="inlineStr">
        <is>
          <t>Aspen Ski and Board</t>
        </is>
      </c>
      <c r="AQ1161" s="333" t="n">
        <v>384.95</v>
      </c>
      <c r="AR1161" t="inlineStr">
        <is>
          <t>https://tinyurl.com/y87665mo</t>
        </is>
      </c>
      <c r="AS1161" s="314">
        <f>IF(LEFT(C1161,1)=" ",RIGHT(C1161,LEN(C1161)-1),C1161)</f>
        <v/>
      </c>
      <c r="AT1161" s="281">
        <f>_xlfn.CONCAT(B1161,AS1161,D1161,E1161)</f>
        <v/>
      </c>
    </row>
    <row r="1162">
      <c r="A1162" t="inlineStr">
        <is>
          <t>21/22</t>
        </is>
      </c>
      <c r="B1162" t="inlineStr">
        <is>
          <t xml:space="preserve"> Rossignol</t>
        </is>
      </c>
      <c r="C1162" t="inlineStr">
        <is>
          <t>Nova 2</t>
        </is>
      </c>
      <c r="D1162" t="n">
        <v>144</v>
      </c>
      <c r="E1162" t="inlineStr">
        <is>
          <t xml:space="preserve"> Women's</t>
        </is>
      </c>
      <c r="F1162" t="n">
        <v>144</v>
      </c>
      <c r="G1162" t="n">
        <v>144.3</v>
      </c>
      <c r="H1162" t="n">
        <v>124</v>
      </c>
      <c r="I1162" t="n">
        <v>129</v>
      </c>
      <c r="J1162" t="n">
        <v>121</v>
      </c>
      <c r="K1162" t="n">
        <v>74</v>
      </c>
      <c r="L1162" t="n">
        <v>107</v>
      </c>
      <c r="M1162" t="n">
        <v>10.2</v>
      </c>
      <c r="N1162" t="n">
        <v>1399</v>
      </c>
      <c r="O1162" t="n">
        <v>0.92</v>
      </c>
      <c r="P1162" t="n">
        <v>1285</v>
      </c>
      <c r="Q1162" t="n">
        <v>138</v>
      </c>
      <c r="R1162" t="n">
        <v>46</v>
      </c>
      <c r="S1162" t="n">
        <v>33</v>
      </c>
      <c r="T1162" t="n">
        <v>139</v>
      </c>
      <c r="U1162" t="n">
        <v>5</v>
      </c>
      <c r="V1162" t="n">
        <v>68</v>
      </c>
      <c r="W1162" t="n">
        <v>0.155</v>
      </c>
      <c r="X1162" t="n">
        <v>78</v>
      </c>
      <c r="Y1162" t="n">
        <v>79</v>
      </c>
      <c r="Z1162" t="n">
        <v>61</v>
      </c>
      <c r="AA1162" t="n">
        <v>8</v>
      </c>
      <c r="AB1162" t="n">
        <v>8</v>
      </c>
      <c r="AC1162" t="inlineStr">
        <is>
          <t xml:space="preserve"> On-Piste Carving</t>
        </is>
      </c>
      <c r="AD1162" t="inlineStr">
        <is>
          <t xml:space="preserve"> On-Piste All-Mountain</t>
        </is>
      </c>
      <c r="AG1162" t="inlineStr">
        <is>
          <t>Rossignol Nova 2 Skis w/ Look Xpress 10 GW Bindings</t>
        </is>
      </c>
      <c r="AH1162" t="inlineStr">
        <is>
          <t>SportÃ¨que</t>
        </is>
      </c>
      <c r="AI1162" s="333" t="n">
        <v>340.58</v>
      </c>
      <c r="AJ1162" t="inlineStr">
        <is>
          <t>https://tinyurl.com/ya8g8ogs</t>
        </is>
      </c>
      <c r="AK1162" t="inlineStr">
        <is>
          <t>2017 Rossignol Temptation 80 144cm W/ Look Xpress 11 Binding</t>
        </is>
      </c>
      <c r="AL1162" t="inlineStr">
        <is>
          <t>eBay - riverpirate999</t>
        </is>
      </c>
      <c r="AM1162" s="333" t="n">
        <v>229</v>
      </c>
      <c r="AN1162" t="inlineStr">
        <is>
          <t>https://tinyurl.com/yblq4kl7</t>
        </is>
      </c>
      <c r="AO1162" t="inlineStr">
        <is>
          <t>Rossignol Experience 77 Basalt w/ Xpress 11 Bindings 144cm</t>
        </is>
      </c>
      <c r="AP1162" t="inlineStr">
        <is>
          <t>eBay - demo-skis</t>
        </is>
      </c>
      <c r="AQ1162" s="333" t="n">
        <v>249</v>
      </c>
      <c r="AR1162" t="inlineStr">
        <is>
          <t>https://tinyurl.com/y8z97ut9</t>
        </is>
      </c>
      <c r="AS1162" s="314">
        <f>IF(LEFT(C1162,1)=" ",RIGHT(C1162,LEN(C1162)-1),C1162)</f>
        <v/>
      </c>
      <c r="AT1162" s="281">
        <f>_xlfn.CONCAT(B1162,AS1162,D1162,E1162)</f>
        <v/>
      </c>
    </row>
    <row r="1163">
      <c r="A1163" t="inlineStr">
        <is>
          <t>21/22</t>
        </is>
      </c>
      <c r="B1163" t="inlineStr">
        <is>
          <t xml:space="preserve"> Head</t>
        </is>
      </c>
      <c r="C1163" t="inlineStr">
        <is>
          <t>Kore 111</t>
        </is>
      </c>
      <c r="D1163" t="n">
        <v>184</v>
      </c>
      <c r="E1163" t="inlineStr">
        <is>
          <t xml:space="preserve"> Unisex</t>
        </is>
      </c>
      <c r="F1163" t="n">
        <v>184</v>
      </c>
      <c r="G1163" t="n">
        <v>183.2</v>
      </c>
      <c r="H1163" t="n">
        <v>129</v>
      </c>
      <c r="I1163" t="n">
        <v>145</v>
      </c>
      <c r="J1163" t="n">
        <v>139</v>
      </c>
      <c r="K1163" t="n">
        <v>110</v>
      </c>
      <c r="L1163" t="n">
        <v>126</v>
      </c>
      <c r="M1163" t="n">
        <v>21.6</v>
      </c>
      <c r="N1163" t="n">
        <v>1845</v>
      </c>
      <c r="O1163" t="n">
        <v>1.19</v>
      </c>
      <c r="P1163" t="n">
        <v>2191</v>
      </c>
      <c r="Q1163" t="n">
        <v>316</v>
      </c>
      <c r="R1163" t="n">
        <v>140</v>
      </c>
      <c r="S1163" t="n">
        <v>58</v>
      </c>
      <c r="T1163" t="n">
        <v>279</v>
      </c>
      <c r="U1163" t="n">
        <v>20</v>
      </c>
      <c r="V1163" t="n">
        <v>268</v>
      </c>
      <c r="W1163" t="n">
        <v>0.342</v>
      </c>
      <c r="X1163" t="n">
        <v>240</v>
      </c>
      <c r="Y1163" t="n">
        <v>147</v>
      </c>
      <c r="Z1163" t="n">
        <v>39</v>
      </c>
      <c r="AA1163" t="n">
        <v>5</v>
      </c>
      <c r="AB1163" t="n">
        <v>9.300000000000001</v>
      </c>
      <c r="AC1163" t="inlineStr">
        <is>
          <t xml:space="preserve"> Big Mountain</t>
        </is>
      </c>
      <c r="AD1163" t="inlineStr">
        <is>
          <t xml:space="preserve"> Touring</t>
        </is>
      </c>
      <c r="AG1163" t="inlineStr">
        <is>
          <t>Head Kore 111 21/22</t>
        </is>
      </c>
      <c r="AH1163" t="inlineStr">
        <is>
          <t>Telemark Pyrenees</t>
        </is>
      </c>
      <c r="AI1163" s="333" t="n">
        <v>430.82</v>
      </c>
      <c r="AJ1163" t="inlineStr">
        <is>
          <t>https://tinyurl.com/yatpa6wu</t>
        </is>
      </c>
      <c r="AK1163" t="inlineStr">
        <is>
          <t>Head Kore 111 21/22</t>
        </is>
      </c>
      <c r="AL1163" t="inlineStr">
        <is>
          <t>Gorham Bike and Ski</t>
        </is>
      </c>
      <c r="AM1163" s="333" t="n">
        <v>524.99</v>
      </c>
      <c r="AN1163" t="inlineStr">
        <is>
          <t>https://tinyurl.com/y84xs4t5</t>
        </is>
      </c>
      <c r="AO1163" t="inlineStr">
        <is>
          <t>Head Kore 111 Anth/Bl / 184cm</t>
        </is>
      </c>
      <c r="AP1163" t="inlineStr">
        <is>
          <t>Sundance Ski and Board Shop</t>
        </is>
      </c>
      <c r="AQ1163" s="333" t="n">
        <v>544.98</v>
      </c>
      <c r="AR1163" t="inlineStr">
        <is>
          <t>https://tinyurl.com/ybdu68xa</t>
        </is>
      </c>
      <c r="AS1163" s="314">
        <f>IF(LEFT(C1163,1)=" ",RIGHT(C1163,LEN(C1163)-1),C1163)</f>
        <v/>
      </c>
      <c r="AT1163" s="281">
        <f>_xlfn.CONCAT(B1163,AS1163,D1163,E1163)</f>
        <v/>
      </c>
    </row>
    <row r="1164">
      <c r="A1164" t="inlineStr">
        <is>
          <t>21/22</t>
        </is>
      </c>
      <c r="B1164" t="inlineStr">
        <is>
          <t xml:space="preserve"> Vï¿½lkl</t>
        </is>
      </c>
      <c r="C1164" t="inlineStr">
        <is>
          <t>M6 Mantra</t>
        </is>
      </c>
      <c r="D1164" t="n">
        <v>184</v>
      </c>
      <c r="E1164" t="inlineStr">
        <is>
          <t xml:space="preserve"> Unisex</t>
        </is>
      </c>
      <c r="F1164" t="n">
        <v>184</v>
      </c>
      <c r="G1164" t="n">
        <v>183.8</v>
      </c>
      <c r="H1164" t="n">
        <v>141</v>
      </c>
      <c r="I1164" t="n">
        <v>160</v>
      </c>
      <c r="J1164" t="n">
        <v>134</v>
      </c>
      <c r="K1164" t="n">
        <v>95</v>
      </c>
      <c r="L1164" t="n">
        <v>118</v>
      </c>
      <c r="M1164" t="n">
        <v>20.1</v>
      </c>
      <c r="N1164" t="n">
        <v>2140</v>
      </c>
      <c r="O1164" t="n">
        <v>0.92</v>
      </c>
      <c r="P1164" t="n">
        <v>1974</v>
      </c>
      <c r="Q1164" t="n">
        <v>230</v>
      </c>
      <c r="R1164" t="n">
        <v>147</v>
      </c>
      <c r="S1164" t="n">
        <v>45</v>
      </c>
      <c r="T1164" t="n">
        <v>254</v>
      </c>
      <c r="U1164" t="n">
        <v>16</v>
      </c>
      <c r="V1164" t="n">
        <v>174</v>
      </c>
      <c r="W1164" t="n">
        <v>0.359</v>
      </c>
      <c r="X1164" t="n">
        <v>135</v>
      </c>
      <c r="Y1164" t="n">
        <v>107</v>
      </c>
      <c r="Z1164" t="n">
        <v>119</v>
      </c>
      <c r="AA1164" t="n">
        <v>5</v>
      </c>
      <c r="AB1164" t="n">
        <v>11.6</v>
      </c>
      <c r="AC1164" t="inlineStr">
        <is>
          <t xml:space="preserve"> Resort Freeride</t>
        </is>
      </c>
      <c r="AG1164" t="inlineStr">
        <is>
          <t>Volkl M6 Mantra Flat Ski 2021-2022 | RED/BLACK / 184</t>
        </is>
      </c>
      <c r="AH1164" t="inlineStr">
        <is>
          <t>Ski Pro  - Snow Ski &amp; Snowboard</t>
        </is>
      </c>
      <c r="AI1164" s="333" t="n">
        <v>559.95</v>
      </c>
      <c r="AJ1164" t="inlineStr">
        <is>
          <t>https://tinyurl.com/yd9mmh5m</t>
        </is>
      </c>
      <c r="AK1164" t="inlineStr">
        <is>
          <t>Volkl M6 Mantra Skis</t>
        </is>
      </c>
      <c r="AL1164" t="inlineStr">
        <is>
          <t>evo.com</t>
        </is>
      </c>
      <c r="AM1164" s="333" t="n">
        <v>559.99</v>
      </c>
      <c r="AN1164" t="inlineStr">
        <is>
          <t>https://tinyurl.com/y8jnhvvd</t>
        </is>
      </c>
      <c r="AO1164" t="inlineStr">
        <is>
          <t>Volkl M6 Mantra Skis</t>
        </is>
      </c>
      <c r="AP1164" t="inlineStr">
        <is>
          <t>The-House.com</t>
        </is>
      </c>
      <c r="AQ1164" s="333" t="n">
        <v>559.99</v>
      </c>
      <c r="AR1164" t="inlineStr">
        <is>
          <t>https://tinyurl.com/ycvapw5r</t>
        </is>
      </c>
      <c r="AS1164" s="314">
        <f>IF(LEFT(C1164,1)=" ",RIGHT(C1164,LEN(C1164)-1),C1164)</f>
        <v/>
      </c>
      <c r="AT1164" s="281">
        <f>_xlfn.CONCAT(B1164,AS1164,D1164,E1164)</f>
        <v/>
      </c>
    </row>
    <row r="1165">
      <c r="A1165" t="inlineStr">
        <is>
          <t>21/22</t>
        </is>
      </c>
      <c r="B1165" t="inlineStr">
        <is>
          <t xml:space="preserve"> Head</t>
        </is>
      </c>
      <c r="C1165" t="inlineStr">
        <is>
          <t xml:space="preserve"> Supershape e-Titan</t>
        </is>
      </c>
      <c r="D1165" t="n">
        <v>177</v>
      </c>
      <c r="E1165" t="inlineStr">
        <is>
          <t xml:space="preserve"> Unisex</t>
        </is>
      </c>
      <c r="F1165" t="n">
        <v>177</v>
      </c>
      <c r="G1165" t="n">
        <v>175.7</v>
      </c>
      <c r="H1165" t="n">
        <v>153</v>
      </c>
      <c r="I1165" t="n">
        <v>164</v>
      </c>
      <c r="J1165" t="n">
        <v>132</v>
      </c>
      <c r="K1165" t="n">
        <v>83</v>
      </c>
      <c r="L1165" t="n">
        <v>114</v>
      </c>
      <c r="M1165" t="n">
        <v>17.1</v>
      </c>
      <c r="N1165" t="n">
        <v>2234</v>
      </c>
      <c r="O1165" t="n">
        <v>0.76</v>
      </c>
      <c r="P1165" t="n">
        <v>1701</v>
      </c>
      <c r="Q1165" t="n">
        <v>256</v>
      </c>
      <c r="R1165" t="n">
        <v>125</v>
      </c>
      <c r="S1165" t="n">
        <v>47</v>
      </c>
      <c r="T1165" t="n">
        <v>165</v>
      </c>
      <c r="U1165" t="n">
        <v>8</v>
      </c>
      <c r="V1165" t="n">
        <v>65</v>
      </c>
      <c r="W1165" t="n">
        <v>0.166</v>
      </c>
      <c r="X1165" t="n">
        <v>69</v>
      </c>
      <c r="Y1165" t="n">
        <v>48</v>
      </c>
      <c r="Z1165" t="n">
        <v>96</v>
      </c>
      <c r="AA1165" t="n">
        <v>10</v>
      </c>
      <c r="AB1165" t="n">
        <v>13</v>
      </c>
      <c r="AC1165" t="inlineStr">
        <is>
          <t xml:space="preserve"> On-Piste Carving</t>
        </is>
      </c>
      <c r="AD1165" t="inlineStr">
        <is>
          <t xml:space="preserve"> Resort Freeride</t>
        </is>
      </c>
      <c r="AG1165" t="inlineStr">
        <is>
          <t>Head Supershape e-Titan Performance Ski 177</t>
        </is>
      </c>
      <c r="AH1165" t="inlineStr">
        <is>
          <t>shop.petersonsskiandcycle.com</t>
        </is>
      </c>
      <c r="AI1165" s="333" t="n">
        <v>799.99</v>
      </c>
      <c r="AJ1165" t="inlineStr">
        <is>
          <t>https://tinyurl.com/y76o97cd</t>
        </is>
      </c>
      <c r="AK1165" t="inlineStr">
        <is>
          <t>Head Supershape e-Titan Skis w/ PRD 12 GW Bindings</t>
        </is>
      </c>
      <c r="AL1165" t="inlineStr">
        <is>
          <t>Ski Country Sports</t>
        </is>
      </c>
      <c r="AM1165" s="333" t="n">
        <v>839.98</v>
      </c>
      <c r="AN1165" t="inlineStr">
        <is>
          <t>https://tinyurl.com/y8qtgnnh</t>
        </is>
      </c>
      <c r="AO1165" t="inlineStr">
        <is>
          <t>Head Supershape e-Titan Skis w/ PRD 12 GW Bindings</t>
        </is>
      </c>
      <c r="AP1165" t="inlineStr">
        <is>
          <t>Al's Ski Equipment Barn</t>
        </is>
      </c>
      <c r="AQ1165" s="333" t="n">
        <v>849.95</v>
      </c>
      <c r="AR1165" t="inlineStr">
        <is>
          <t>https://tinyurl.com/y9a63yzv</t>
        </is>
      </c>
      <c r="AS1165" s="314">
        <f>IF(LEFT(C1165,1)=" ",RIGHT(C1165,LEN(C1165)-1),C1165)</f>
        <v/>
      </c>
      <c r="AT1165" s="281">
        <f>_xlfn.CONCAT(B1165,AS1165,D1165,E1165)</f>
        <v/>
      </c>
    </row>
    <row r="1166">
      <c r="A1166" t="inlineStr">
        <is>
          <t>21/22</t>
        </is>
      </c>
      <c r="B1166" t="inlineStr">
        <is>
          <t xml:space="preserve"> Vï¿½lkl</t>
        </is>
      </c>
      <c r="C1166" t="inlineStr">
        <is>
          <t>Rise Above 88</t>
        </is>
      </c>
      <c r="D1166" t="n">
        <v>170</v>
      </c>
      <c r="E1166" t="inlineStr">
        <is>
          <t xml:space="preserve"> Unisex</t>
        </is>
      </c>
      <c r="F1166" t="n">
        <v>170</v>
      </c>
      <c r="G1166" t="n">
        <v>169.3</v>
      </c>
      <c r="H1166" t="n">
        <v>140</v>
      </c>
      <c r="I1166" t="n">
        <v>147</v>
      </c>
      <c r="J1166" t="n">
        <v>130</v>
      </c>
      <c r="K1166" t="n">
        <v>87</v>
      </c>
      <c r="L1166" t="n">
        <v>111</v>
      </c>
      <c r="M1166" t="n">
        <v>15.7</v>
      </c>
      <c r="N1166" t="n">
        <v>1167</v>
      </c>
      <c r="O1166" t="n">
        <v>1.46</v>
      </c>
      <c r="P1166" t="n">
        <v>1700</v>
      </c>
      <c r="Q1166" t="n">
        <v>150</v>
      </c>
      <c r="R1166" t="n">
        <v>57</v>
      </c>
      <c r="S1166" t="n">
        <v>43</v>
      </c>
      <c r="T1166" t="n">
        <v>230</v>
      </c>
      <c r="U1166" t="n">
        <v>4</v>
      </c>
      <c r="V1166" t="n">
        <v>66</v>
      </c>
      <c r="W1166" t="n">
        <v>0.104</v>
      </c>
      <c r="X1166" t="n">
        <v>124</v>
      </c>
      <c r="Y1166" t="n">
        <v>95</v>
      </c>
      <c r="Z1166" t="n">
        <v>106</v>
      </c>
      <c r="AA1166" t="n">
        <v>6</v>
      </c>
      <c r="AB1166" t="n">
        <v>11.6</v>
      </c>
      <c r="AC1166" t="inlineStr">
        <is>
          <t xml:space="preserve"> Touring</t>
        </is>
      </c>
      <c r="AD1166" t="inlineStr">
        <is>
          <t xml:space="preserve"> Ultralight Touring</t>
        </is>
      </c>
      <c r="AG1166" t="inlineStr">
        <is>
          <t>Volkl Rise Above 88 Women Ski 2022</t>
        </is>
      </c>
      <c r="AH1166" t="inlineStr">
        <is>
          <t>Telemark Pyrenees</t>
        </is>
      </c>
      <c r="AI1166" s="333" t="n">
        <v>412.48</v>
      </c>
      <c r="AJ1166" t="inlineStr">
        <is>
          <t>https://tinyurl.com/yco6jj5p</t>
        </is>
      </c>
      <c r="AK1166" t="inlineStr">
        <is>
          <t>Volkl Rise Above 88 Ski (170cm)</t>
        </is>
      </c>
      <c r="AL1166" t="inlineStr">
        <is>
          <t>! OutdoorXL.com</t>
        </is>
      </c>
      <c r="AM1166" s="333" t="n">
        <v>489.95</v>
      </c>
      <c r="AN1166" t="inlineStr">
        <is>
          <t>https://tinyurl.com/ya5s5msc</t>
        </is>
      </c>
      <c r="AO1166" t="inlineStr">
        <is>
          <t>Volkl Rise Above 88 Ski (170cm)</t>
        </is>
      </c>
      <c r="AP1166" t="inlineStr">
        <is>
          <t xml:space="preserve">Aspen East </t>
        </is>
      </c>
      <c r="AQ1166" s="333" t="n">
        <v>519</v>
      </c>
      <c r="AR1166" t="inlineStr">
        <is>
          <t>https://tinyurl.com/ycuobyr5</t>
        </is>
      </c>
      <c r="AS1166" s="314">
        <f>IF(LEFT(C1166,1)=" ",RIGHT(C1166,LEN(C1166)-1),C1166)</f>
        <v/>
      </c>
      <c r="AT1166" s="281">
        <f>_xlfn.CONCAT(B1166,AS1166,D1166,E1166)</f>
        <v/>
      </c>
    </row>
    <row r="1167">
      <c r="A1167" t="inlineStr">
        <is>
          <t>21/22</t>
        </is>
      </c>
      <c r="B1167" t="inlineStr">
        <is>
          <t xml:space="preserve"> Rossignol</t>
        </is>
      </c>
      <c r="C1167" t="inlineStr">
        <is>
          <t>Hero Master M15 (R22)</t>
        </is>
      </c>
      <c r="D1167" t="n">
        <v>169</v>
      </c>
      <c r="E1167" t="inlineStr">
        <is>
          <t xml:space="preserve"> Unisex</t>
        </is>
      </c>
      <c r="F1167" t="n">
        <v>169</v>
      </c>
      <c r="G1167" t="n">
        <v>168.5</v>
      </c>
      <c r="H1167" t="n">
        <v>151</v>
      </c>
      <c r="I1167" t="n">
        <v>162</v>
      </c>
      <c r="J1167" t="n">
        <v>114</v>
      </c>
      <c r="K1167" t="n">
        <v>69</v>
      </c>
      <c r="L1167" t="n">
        <v>97</v>
      </c>
      <c r="M1167" t="n">
        <v>17.7</v>
      </c>
      <c r="N1167" t="n">
        <v>2109</v>
      </c>
      <c r="O1167" t="n">
        <v>0.65</v>
      </c>
      <c r="P1167" t="n">
        <v>1378</v>
      </c>
      <c r="Q1167" t="n">
        <v>236</v>
      </c>
      <c r="R1167" t="n">
        <v>138</v>
      </c>
      <c r="S1167" t="n">
        <v>32</v>
      </c>
      <c r="T1167" t="n">
        <v>119</v>
      </c>
      <c r="U1167" t="n">
        <v>5</v>
      </c>
      <c r="V1167" t="n">
        <v>60</v>
      </c>
      <c r="W1167" t="n">
        <v>0.166999999999999</v>
      </c>
      <c r="X1167" t="n">
        <v>29</v>
      </c>
      <c r="Y1167" t="n">
        <v>40</v>
      </c>
      <c r="Z1167" t="n">
        <v>90</v>
      </c>
      <c r="AA1167" t="n">
        <v>10</v>
      </c>
      <c r="AB1167" t="n">
        <v>8.199999999999999</v>
      </c>
      <c r="AC1167" t="inlineStr">
        <is>
          <t xml:space="preserve"> On-Piste Carving</t>
        </is>
      </c>
      <c r="AG1167" t="inlineStr">
        <is>
          <t>Rossignol Hero Master Mens Skis 169cm</t>
        </is>
      </c>
      <c r="AH1167" t="inlineStr">
        <is>
          <t>Suburban Ski and Bike</t>
        </is>
      </c>
      <c r="AI1167" s="333" t="n">
        <v>899.95</v>
      </c>
      <c r="AJ1167" t="inlineStr">
        <is>
          <t>https://tinyurl.com/ycokoe88</t>
        </is>
      </c>
      <c r="AS1167" s="314">
        <f>IF(LEFT(C1167,1)=" ",RIGHT(C1167,LEN(C1167)-1),C1167)</f>
        <v/>
      </c>
      <c r="AT1167" s="281">
        <f>_xlfn.CONCAT(B1167,AS1167,D1167,E1167)</f>
        <v/>
      </c>
    </row>
    <row r="1168">
      <c r="A1168" t="inlineStr">
        <is>
          <t>21/22</t>
        </is>
      </c>
      <c r="B1168" t="inlineStr">
        <is>
          <t xml:space="preserve"> Vï¿½lkl</t>
        </is>
      </c>
      <c r="C1168" t="inlineStr">
        <is>
          <t>Mantra 102</t>
        </is>
      </c>
      <c r="D1168" t="n">
        <v>184</v>
      </c>
      <c r="E1168" t="inlineStr">
        <is>
          <t xml:space="preserve"> Unisex</t>
        </is>
      </c>
      <c r="F1168" t="n">
        <v>184</v>
      </c>
      <c r="G1168" t="n">
        <v>183.6</v>
      </c>
      <c r="H1168" t="n">
        <v>119</v>
      </c>
      <c r="I1168" t="n">
        <v>161</v>
      </c>
      <c r="J1168" t="n">
        <v>139</v>
      </c>
      <c r="K1168" t="n">
        <v>101</v>
      </c>
      <c r="L1168" t="n">
        <v>123</v>
      </c>
      <c r="M1168" t="n">
        <v>21.3</v>
      </c>
      <c r="N1168" t="n">
        <v>2217</v>
      </c>
      <c r="O1168" t="n">
        <v>0.93</v>
      </c>
      <c r="P1168" t="n">
        <v>2069</v>
      </c>
      <c r="Q1168" t="n">
        <v>229</v>
      </c>
      <c r="R1168" t="n">
        <v>160</v>
      </c>
      <c r="S1168" t="n">
        <v>48</v>
      </c>
      <c r="T1168" t="n">
        <v>375</v>
      </c>
      <c r="U1168" t="n">
        <v>19</v>
      </c>
      <c r="V1168" t="n">
        <v>267</v>
      </c>
      <c r="W1168" t="n">
        <v>0.382999999999999</v>
      </c>
      <c r="X1168" t="n">
        <v>131</v>
      </c>
      <c r="Y1168" t="n">
        <v>100</v>
      </c>
      <c r="Z1168" t="n">
        <v>244</v>
      </c>
      <c r="AA1168" t="n">
        <v>3</v>
      </c>
      <c r="AB1168" t="n">
        <v>11.6</v>
      </c>
      <c r="AC1168" t="inlineStr">
        <is>
          <t xml:space="preserve"> Resort Freeride</t>
        </is>
      </c>
      <c r="AD1168" t="inlineStr">
        <is>
          <t xml:space="preserve"> Powder</t>
        </is>
      </c>
      <c r="AE1168" t="inlineStr">
        <is>
          <t xml:space="preserve"> Big Mountain</t>
        </is>
      </c>
      <c r="AG1168" t="inlineStr">
        <is>
          <t>Volkl Mantra 102 Ski 184cm</t>
        </is>
      </c>
      <c r="AH1168" t="inlineStr">
        <is>
          <t>Sundance Ski and Board Shop</t>
        </is>
      </c>
      <c r="AI1168" s="333" t="n">
        <v>480.86</v>
      </c>
      <c r="AJ1168" t="inlineStr">
        <is>
          <t>https://tinyurl.com/yb6rakaq</t>
        </is>
      </c>
      <c r="AK1168" t="inlineStr">
        <is>
          <t>Volkl Mantra 102 w/ Marker Jester Pro Bindings</t>
        </is>
      </c>
      <c r="AL1168" t="inlineStr">
        <is>
          <t>The Locals Sale</t>
        </is>
      </c>
      <c r="AM1168" s="333" t="n">
        <v>543</v>
      </c>
      <c r="AN1168" t="inlineStr">
        <is>
          <t>https://tinyurl.com/y83qb4dd</t>
        </is>
      </c>
      <c r="AO1168" t="inlineStr">
        <is>
          <t>Volkl Mantra 102 184cm</t>
        </is>
      </c>
      <c r="AP1168" t="inlineStr">
        <is>
          <t>Level Nine Sports</t>
        </is>
      </c>
      <c r="AQ1168" s="333" t="n">
        <v>599.99</v>
      </c>
      <c r="AR1168" t="inlineStr">
        <is>
          <t>https://tinyurl.com/y86c77sa</t>
        </is>
      </c>
      <c r="AS1168" s="314">
        <f>IF(LEFT(C1168,1)=" ",RIGHT(C1168,LEN(C1168)-1),C1168)</f>
        <v/>
      </c>
      <c r="AT1168" s="281">
        <f>_xlfn.CONCAT(B1168,AS1168,D1168,E1168)</f>
        <v/>
      </c>
    </row>
    <row r="1169">
      <c r="A1169" t="inlineStr">
        <is>
          <t>21/22</t>
        </is>
      </c>
      <c r="B1169" t="inlineStr">
        <is>
          <t xml:space="preserve"> Line</t>
        </is>
      </c>
      <c r="C1169" t="inlineStr">
        <is>
          <t>Pandora 110</t>
        </is>
      </c>
      <c r="D1169" t="n">
        <v>165</v>
      </c>
      <c r="E1169" t="inlineStr">
        <is>
          <t xml:space="preserve"> Women's</t>
        </is>
      </c>
      <c r="F1169" t="n">
        <v>165</v>
      </c>
      <c r="G1169" t="n">
        <v>160</v>
      </c>
      <c r="H1169" t="n">
        <v>98</v>
      </c>
      <c r="I1169" t="n">
        <v>126</v>
      </c>
      <c r="J1169" t="n">
        <v>143</v>
      </c>
      <c r="K1169" t="n">
        <v>109</v>
      </c>
      <c r="L1169" t="n">
        <v>129</v>
      </c>
      <c r="M1169" t="n">
        <v>14</v>
      </c>
      <c r="N1169" t="n">
        <v>1284</v>
      </c>
      <c r="O1169" t="n">
        <v>1.48</v>
      </c>
      <c r="P1169" t="n">
        <v>1902</v>
      </c>
      <c r="Q1169" t="n">
        <v>131</v>
      </c>
      <c r="R1169" t="n">
        <v>52</v>
      </c>
      <c r="S1169" t="n">
        <v>47</v>
      </c>
      <c r="T1169" t="n">
        <v>332</v>
      </c>
      <c r="U1169" t="n">
        <v>27</v>
      </c>
      <c r="V1169" t="n">
        <v>290</v>
      </c>
      <c r="W1169" t="n">
        <v>0.579</v>
      </c>
      <c r="X1169" t="n">
        <v>169</v>
      </c>
      <c r="Y1169" t="n">
        <v>168</v>
      </c>
      <c r="Z1169" t="n">
        <v>163</v>
      </c>
      <c r="AA1169" t="n">
        <v>5</v>
      </c>
      <c r="AB1169" t="n">
        <v>6.3</v>
      </c>
      <c r="AC1169" t="inlineStr">
        <is>
          <t xml:space="preserve"> Powder</t>
        </is>
      </c>
      <c r="AD1169" t="inlineStr">
        <is>
          <t xml:space="preserve"> Touring</t>
        </is>
      </c>
      <c r="AE1169" t="inlineStr">
        <is>
          <t xml:space="preserve"> Ultralight Touring</t>
        </is>
      </c>
      <c r="AG1169" t="inlineStr">
        <is>
          <t>2022 Line Pandora 110 Women's Skis w/ Tyrolia Attack2 13 GW Bindings - 170| Ski Essentials</t>
        </is>
      </c>
      <c r="AH1169" t="inlineStr">
        <is>
          <t>SkiEssentials.com</t>
        </is>
      </c>
      <c r="AI1169" s="333" t="n">
        <v>869.95</v>
      </c>
      <c r="AJ1169" t="inlineStr">
        <is>
          <t>https://tinyurl.com/ybt6kct3</t>
        </is>
      </c>
      <c r="AK1169" t="inlineStr">
        <is>
          <t>'22 Line Pandora 84 Skis 165cm</t>
        </is>
      </c>
      <c r="AL1169" t="inlineStr">
        <is>
          <t>Al's Ski Equipment Barn</t>
        </is>
      </c>
      <c r="AM1169" s="333" t="n">
        <v>399.95</v>
      </c>
      <c r="AN1169" t="inlineStr">
        <is>
          <t>https://tinyurl.com/y8u8xwma</t>
        </is>
      </c>
      <c r="AO1169" t="inlineStr">
        <is>
          <t>Line Pandora 84 Skis 2021</t>
        </is>
      </c>
      <c r="AP1169" t="inlineStr">
        <is>
          <t>LINE Skis</t>
        </is>
      </c>
      <c r="AQ1169" s="333" t="n">
        <v>399.95</v>
      </c>
      <c r="AR1169" t="inlineStr">
        <is>
          <t>https://tinyurl.com/yamzxmu8</t>
        </is>
      </c>
      <c r="AS1169" s="314">
        <f>IF(LEFT(C1169,1)=" ",RIGHT(C1169,LEN(C1169)-1),C1169)</f>
        <v/>
      </c>
      <c r="AT1169" s="281">
        <f>_xlfn.CONCAT(B1169,AS1169,D1169,E1169)</f>
        <v/>
      </c>
    </row>
    <row r="1170">
      <c r="A1170" t="inlineStr">
        <is>
          <t>21/22</t>
        </is>
      </c>
      <c r="B1170" t="inlineStr">
        <is>
          <t xml:space="preserve"> Vï¿½lkl</t>
        </is>
      </c>
      <c r="C1170" t="inlineStr">
        <is>
          <t>Rise Beyond 96 W</t>
        </is>
      </c>
      <c r="D1170" t="n">
        <v>156</v>
      </c>
      <c r="E1170" t="inlineStr">
        <is>
          <t xml:space="preserve"> Women's</t>
        </is>
      </c>
      <c r="F1170" t="n">
        <v>156</v>
      </c>
      <c r="G1170" t="n">
        <v>154.7</v>
      </c>
      <c r="H1170" t="n">
        <v>119</v>
      </c>
      <c r="I1170" t="n">
        <v>133</v>
      </c>
      <c r="J1170" t="n">
        <v>137</v>
      </c>
      <c r="K1170" t="n">
        <v>95</v>
      </c>
      <c r="L1170" t="n">
        <v>118</v>
      </c>
      <c r="M1170" t="n">
        <v>13</v>
      </c>
      <c r="N1170" t="n">
        <v>1129</v>
      </c>
      <c r="O1170" t="n">
        <v>1.48</v>
      </c>
      <c r="P1170" t="n">
        <v>1672</v>
      </c>
      <c r="Q1170" t="n">
        <v>140</v>
      </c>
      <c r="R1170" t="n">
        <v>64</v>
      </c>
      <c r="S1170" t="n">
        <v>40</v>
      </c>
      <c r="T1170" t="n">
        <v>292</v>
      </c>
      <c r="U1170" t="n">
        <v>4</v>
      </c>
      <c r="V1170" t="n">
        <v>68</v>
      </c>
      <c r="W1170" t="n">
        <v>0.104</v>
      </c>
      <c r="X1170" t="n">
        <v>129</v>
      </c>
      <c r="Y1170" t="n">
        <v>88</v>
      </c>
      <c r="Z1170" t="n">
        <v>163</v>
      </c>
      <c r="AA1170" t="n">
        <v>4</v>
      </c>
      <c r="AB1170" t="n">
        <v>10.3</v>
      </c>
      <c r="AC1170" t="inlineStr">
        <is>
          <t xml:space="preserve"> Touring</t>
        </is>
      </c>
      <c r="AD1170" t="inlineStr">
        <is>
          <t xml:space="preserve"> Ultralight Touring</t>
        </is>
      </c>
      <c r="AG1170" t="inlineStr">
        <is>
          <t>Volkl Rise Beyond 96 W Ski 2023</t>
        </is>
      </c>
      <c r="AH1170" t="inlineStr">
        <is>
          <t>Telemark Pyrenees</t>
        </is>
      </c>
      <c r="AI1170" s="333" t="n">
        <v>640.87</v>
      </c>
      <c r="AJ1170" t="inlineStr">
        <is>
          <t>https://tinyurl.com/y99m9lsc</t>
        </is>
      </c>
      <c r="AK1170" t="inlineStr">
        <is>
          <t>2022 Volkl Rise Beyond 96 Ski w/ Marker Kingpin 13 Bindings - 156| Ski Essentials</t>
        </is>
      </c>
      <c r="AL1170" t="inlineStr">
        <is>
          <t>SkiEssentials.com</t>
        </is>
      </c>
      <c r="AM1170" s="333" t="n">
        <v>949.99</v>
      </c>
      <c r="AN1170" t="inlineStr">
        <is>
          <t>https://tinyurl.com/y9d3fff8</t>
        </is>
      </c>
      <c r="AO1170" t="inlineStr">
        <is>
          <t>Volkl Rise Above 88 Ski - Women - 156cm</t>
        </is>
      </c>
      <c r="AP1170" t="inlineStr">
        <is>
          <t>Snowcountry.eu</t>
        </is>
      </c>
      <c r="AQ1170" s="333" t="n">
        <v>419.41</v>
      </c>
      <c r="AR1170" t="inlineStr">
        <is>
          <t>https://tinyurl.com/y73p4eoy</t>
        </is>
      </c>
      <c r="AS1170" s="314">
        <f>IF(LEFT(C1170,1)=" ",RIGHT(C1170,LEN(C1170)-1),C1170)</f>
        <v/>
      </c>
      <c r="AT1170" s="281">
        <f>_xlfn.CONCAT(B1170,AS1170,D1170,E1170)</f>
        <v/>
      </c>
    </row>
    <row r="1171">
      <c r="A1171" t="inlineStr">
        <is>
          <t>21/22</t>
        </is>
      </c>
      <c r="B1171" t="inlineStr">
        <is>
          <t xml:space="preserve"> Blizzard</t>
        </is>
      </c>
      <c r="C1171" t="inlineStr">
        <is>
          <t>Thunderbird R13</t>
        </is>
      </c>
      <c r="D1171" t="n">
        <v>165</v>
      </c>
      <c r="E1171" t="inlineStr">
        <is>
          <t xml:space="preserve"> Unisex</t>
        </is>
      </c>
      <c r="F1171" t="n">
        <v>165</v>
      </c>
      <c r="G1171" t="n">
        <v>163.7</v>
      </c>
      <c r="H1171" t="n">
        <v>144</v>
      </c>
      <c r="I1171" t="n">
        <v>151</v>
      </c>
      <c r="J1171" t="n">
        <v>122</v>
      </c>
      <c r="K1171" t="n">
        <v>70</v>
      </c>
      <c r="L1171" t="n">
        <v>105</v>
      </c>
      <c r="M1171" t="n">
        <v>13</v>
      </c>
      <c r="N1171" t="n">
        <v>2126</v>
      </c>
      <c r="O1171" t="n">
        <v>0.67</v>
      </c>
      <c r="P1171" t="n">
        <v>1415</v>
      </c>
      <c r="Q1171" t="n">
        <v>198</v>
      </c>
      <c r="R1171" t="n">
        <v>120</v>
      </c>
      <c r="S1171" t="n">
        <v>43</v>
      </c>
      <c r="T1171" t="n">
        <v>143</v>
      </c>
      <c r="U1171" t="n">
        <v>7</v>
      </c>
      <c r="V1171" t="n">
        <v>58</v>
      </c>
      <c r="W1171" t="n">
        <v>0.163999999999999</v>
      </c>
      <c r="X1171" t="n">
        <v>68</v>
      </c>
      <c r="Y1171" t="n">
        <v>57</v>
      </c>
      <c r="Z1171" t="n">
        <v>76</v>
      </c>
      <c r="AA1171" t="n">
        <v>9</v>
      </c>
      <c r="AB1171" t="n">
        <v>11.9</v>
      </c>
      <c r="AC1171" t="inlineStr">
        <is>
          <t xml:space="preserve"> On-Piste Carving</t>
        </is>
      </c>
      <c r="AG1171" t="inlineStr">
        <is>
          <t>Blizzard Thunderbird Sport CA Skis w/ TPC 11 Bindings</t>
        </is>
      </c>
      <c r="AH1171" t="inlineStr">
        <is>
          <t>Ski World</t>
        </is>
      </c>
      <c r="AI1171" s="333" t="n">
        <v>599.95</v>
      </c>
      <c r="AJ1171" t="inlineStr">
        <is>
          <t>https://tinyurl.com/y92ezzb6</t>
        </is>
      </c>
      <c r="AK1171" t="inlineStr">
        <is>
          <t>Blizzard Phoenix R13 CA Skis TPC 11 Demo Bindings Womens 2022</t>
        </is>
      </c>
      <c r="AL1171" t="inlineStr">
        <is>
          <t>BlueZone Sports</t>
        </is>
      </c>
      <c r="AM1171" s="333" t="n">
        <v>599.95</v>
      </c>
      <c r="AN1171" t="inlineStr">
        <is>
          <t>https://tinyurl.com/y7ns92gp</t>
        </is>
      </c>
      <c r="AO1171" t="inlineStr">
        <is>
          <t>Blizzard Thunderbird Sport CA Skis w/ TPC 11 Bindings</t>
        </is>
      </c>
      <c r="AP1171" t="inlineStr">
        <is>
          <t>The-House.com</t>
        </is>
      </c>
      <c r="AQ1171" s="333" t="n">
        <v>599.95</v>
      </c>
      <c r="AR1171" t="inlineStr">
        <is>
          <t>https://tinyurl.com/y7tsawzz</t>
        </is>
      </c>
      <c r="AS1171" s="314">
        <f>IF(LEFT(C1171,1)=" ",RIGHT(C1171,LEN(C1171)-1),C1171)</f>
        <v/>
      </c>
      <c r="AT1171" s="281">
        <f>_xlfn.CONCAT(B1171,AS1171,D1171,E1171)</f>
        <v/>
      </c>
    </row>
    <row r="1172">
      <c r="A1172" t="inlineStr">
        <is>
          <t>21/22</t>
        </is>
      </c>
      <c r="B1172" t="inlineStr">
        <is>
          <t xml:space="preserve"> Armada</t>
        </is>
      </c>
      <c r="C1172" t="inlineStr">
        <is>
          <t>ARW 84</t>
        </is>
      </c>
      <c r="D1172" t="n">
        <v>143</v>
      </c>
      <c r="E1172" t="inlineStr">
        <is>
          <t xml:space="preserve"> Women's</t>
        </is>
      </c>
      <c r="F1172" t="n">
        <v>143</v>
      </c>
      <c r="G1172" t="n">
        <v>141.2</v>
      </c>
      <c r="H1172" t="n">
        <v>98</v>
      </c>
      <c r="I1172" t="n">
        <v>116</v>
      </c>
      <c r="J1172" t="n">
        <v>116</v>
      </c>
      <c r="K1172" t="n">
        <v>84</v>
      </c>
      <c r="L1172" t="n">
        <v>108</v>
      </c>
      <c r="M1172" t="n">
        <v>10.6</v>
      </c>
      <c r="N1172" t="n">
        <v>1360</v>
      </c>
      <c r="O1172" t="n">
        <v>0.99</v>
      </c>
      <c r="P1172" t="n">
        <v>1347</v>
      </c>
      <c r="Q1172" t="n">
        <v>101</v>
      </c>
      <c r="R1172" t="n">
        <v>44</v>
      </c>
      <c r="S1172" t="n">
        <v>49</v>
      </c>
      <c r="T1172" t="n">
        <v>246</v>
      </c>
      <c r="U1172" t="n">
        <v>37</v>
      </c>
      <c r="V1172" t="n">
        <v>190</v>
      </c>
      <c r="W1172" t="n">
        <v>0.762</v>
      </c>
      <c r="X1172" t="n">
        <v>133</v>
      </c>
      <c r="Y1172" t="n">
        <v>118</v>
      </c>
      <c r="Z1172" t="n">
        <v>113</v>
      </c>
      <c r="AA1172" t="n">
        <v>6</v>
      </c>
      <c r="AB1172" t="n">
        <v>5.9</v>
      </c>
      <c r="AC1172" t="inlineStr">
        <is>
          <t xml:space="preserve"> Resort Freeride</t>
        </is>
      </c>
      <c r="AG1172" t="inlineStr">
        <is>
          <t>Armada ARW 84 Skis 2022</t>
        </is>
      </c>
      <c r="AH1172" t="inlineStr">
        <is>
          <t>Fox Chapel Ski and Board</t>
        </is>
      </c>
      <c r="AI1172" s="333" t="n">
        <v>269.97</v>
      </c>
      <c r="AJ1172" t="inlineStr">
        <is>
          <t>https://tinyurl.com/y9e427td</t>
        </is>
      </c>
      <c r="AK1172" t="inlineStr">
        <is>
          <t>Armada ARW 84 Skis 2022</t>
        </is>
      </c>
      <c r="AL1172" t="inlineStr">
        <is>
          <t>sunandski.com</t>
        </is>
      </c>
      <c r="AM1172" s="333" t="n">
        <v>279.93</v>
      </c>
      <c r="AN1172" t="inlineStr">
        <is>
          <t>https://tinyurl.com/ycy9k8xs</t>
        </is>
      </c>
      <c r="AO1172" t="inlineStr">
        <is>
          <t>Armada ARW 84 Skis 2022</t>
        </is>
      </c>
      <c r="AP1172" t="inlineStr">
        <is>
          <t>BlueZone Sports</t>
        </is>
      </c>
      <c r="AQ1172" s="333" t="n">
        <v>349.95</v>
      </c>
      <c r="AR1172" t="inlineStr">
        <is>
          <t>https://tinyurl.com/ydceospq</t>
        </is>
      </c>
      <c r="AS1172" s="314">
        <f>IF(LEFT(C1172,1)=" ",RIGHT(C1172,LEN(C1172)-1),C1172)</f>
        <v/>
      </c>
      <c r="AT1172" s="281">
        <f>_xlfn.CONCAT(B1172,AS1172,D1172,E1172)</f>
        <v/>
      </c>
    </row>
    <row r="1173">
      <c r="A1173" t="inlineStr">
        <is>
          <t>21/22</t>
        </is>
      </c>
      <c r="B1173" t="inlineStr">
        <is>
          <t>K2</t>
        </is>
      </c>
      <c r="C1173" t="inlineStr">
        <is>
          <t>Talkback 96</t>
        </is>
      </c>
      <c r="D1173" t="n">
        <v>156</v>
      </c>
      <c r="E1173" t="inlineStr">
        <is>
          <t xml:space="preserve"> Women's</t>
        </is>
      </c>
      <c r="F1173" t="n">
        <v>156</v>
      </c>
      <c r="G1173" t="n">
        <v>155.7</v>
      </c>
      <c r="H1173" t="n">
        <v>116</v>
      </c>
      <c r="I1173" t="n">
        <v>129</v>
      </c>
      <c r="J1173" t="n">
        <v>127</v>
      </c>
      <c r="K1173" t="n">
        <v>95</v>
      </c>
      <c r="L1173" t="n">
        <v>114</v>
      </c>
      <c r="M1173" t="n">
        <v>16.3</v>
      </c>
      <c r="N1173" t="n">
        <v>1129</v>
      </c>
      <c r="O1173" t="n">
        <v>1.44</v>
      </c>
      <c r="P1173" t="n">
        <v>1626</v>
      </c>
      <c r="Q1173" t="n">
        <v>127</v>
      </c>
      <c r="R1173" t="n">
        <v>57</v>
      </c>
      <c r="S1173" t="n">
        <v>51</v>
      </c>
      <c r="T1173" t="n">
        <v>273</v>
      </c>
      <c r="U1173" t="n">
        <v>7</v>
      </c>
      <c r="V1173" t="n">
        <v>129</v>
      </c>
      <c r="W1173" t="n">
        <v>0.135</v>
      </c>
      <c r="X1173" t="n">
        <v>159</v>
      </c>
      <c r="Y1173" t="n">
        <v>109</v>
      </c>
      <c r="Z1173" t="n">
        <v>114</v>
      </c>
      <c r="AA1173" t="n">
        <v>7</v>
      </c>
      <c r="AB1173" t="n">
        <v>12</v>
      </c>
      <c r="AC1173" t="inlineStr">
        <is>
          <t xml:space="preserve"> Touring</t>
        </is>
      </c>
      <c r="AD1173" t="inlineStr">
        <is>
          <t xml:space="preserve"> Ultralight Touring</t>
        </is>
      </c>
      <c r="AG1173" t="inlineStr">
        <is>
          <t>K2 Talkback 96 156</t>
        </is>
      </c>
      <c r="AH1173" t="inlineStr">
        <is>
          <t>Snowcountry.eu</t>
        </is>
      </c>
      <c r="AI1173" s="333" t="n">
        <v>404.68</v>
      </c>
      <c r="AJ1173" t="inlineStr">
        <is>
          <t>https://tinyurl.com/y9g8r5rz</t>
        </is>
      </c>
      <c r="AK1173" t="inlineStr">
        <is>
          <t>K2 Talkback 96 156</t>
        </is>
      </c>
      <c r="AL1173" t="inlineStr">
        <is>
          <t>Snowinn.com</t>
        </is>
      </c>
      <c r="AM1173" s="333" t="n">
        <v>444.99</v>
      </c>
      <c r="AN1173" t="inlineStr">
        <is>
          <t>https://tinyurl.com/y7h3fscs</t>
        </is>
      </c>
      <c r="AO1173" t="inlineStr">
        <is>
          <t>K2 Talkback 96 156</t>
        </is>
      </c>
      <c r="AP1173" t="inlineStr">
        <is>
          <t>REI</t>
        </is>
      </c>
      <c r="AQ1173" s="333" t="n">
        <v>699.95</v>
      </c>
      <c r="AR1173" t="inlineStr">
        <is>
          <t>https://tinyurl.com/yap2545r</t>
        </is>
      </c>
      <c r="AS1173" s="314">
        <f>IF(LEFT(C1173,1)=" ",RIGHT(C1173,LEN(C1173)-1),C1173)</f>
        <v/>
      </c>
      <c r="AT1173" s="281">
        <f>_xlfn.CONCAT(B1173,AS1173,D1173,E1173)</f>
        <v/>
      </c>
    </row>
    <row r="1174">
      <c r="A1174" t="inlineStr">
        <is>
          <t>21/22</t>
        </is>
      </c>
      <c r="B1174" t="inlineStr">
        <is>
          <t xml:space="preserve"> Line</t>
        </is>
      </c>
      <c r="C1174" t="inlineStr">
        <is>
          <t>Pandora 84</t>
        </is>
      </c>
      <c r="D1174" t="n">
        <v>151</v>
      </c>
      <c r="E1174" t="inlineStr">
        <is>
          <t xml:space="preserve"> Women's</t>
        </is>
      </c>
      <c r="F1174" t="n">
        <v>151</v>
      </c>
      <c r="G1174" t="n">
        <v>150.5</v>
      </c>
      <c r="H1174" t="n">
        <v>119</v>
      </c>
      <c r="I1174" t="n">
        <v>127</v>
      </c>
      <c r="J1174" t="n">
        <v>121</v>
      </c>
      <c r="K1174" t="n">
        <v>83</v>
      </c>
      <c r="L1174" t="n">
        <v>109</v>
      </c>
      <c r="M1174" t="n">
        <v>12.1</v>
      </c>
      <c r="N1174" t="n">
        <v>1252</v>
      </c>
      <c r="O1174" t="n">
        <v>1.15</v>
      </c>
      <c r="P1174" t="n">
        <v>1443</v>
      </c>
      <c r="Q1174" t="n">
        <v>110</v>
      </c>
      <c r="R1174" t="n">
        <v>59</v>
      </c>
      <c r="S1174" t="n">
        <v>43</v>
      </c>
      <c r="T1174" t="n">
        <v>170</v>
      </c>
      <c r="U1174" t="n">
        <v>19</v>
      </c>
      <c r="V1174" t="n">
        <v>149</v>
      </c>
      <c r="W1174" t="n">
        <v>0.433</v>
      </c>
      <c r="X1174" t="n">
        <v>133</v>
      </c>
      <c r="Y1174" t="n">
        <v>104</v>
      </c>
      <c r="Z1174" t="n">
        <v>37</v>
      </c>
      <c r="AA1174" t="n">
        <v>8</v>
      </c>
      <c r="AB1174" t="n">
        <v>8.5</v>
      </c>
      <c r="AC1174" t="inlineStr">
        <is>
          <t xml:space="preserve"> On-Piste All-Mountain</t>
        </is>
      </c>
      <c r="AD1174" t="inlineStr">
        <is>
          <t xml:space="preserve"> Resort Freeride</t>
        </is>
      </c>
      <c r="AE1174" t="inlineStr">
        <is>
          <t xml:space="preserve"> Touring</t>
        </is>
      </c>
      <c r="AG1174" t="inlineStr">
        <is>
          <t>Line Pandora 84 Skis - Women's 2022</t>
        </is>
      </c>
      <c r="AH1174" t="inlineStr">
        <is>
          <t>The-House.com</t>
        </is>
      </c>
      <c r="AI1174" s="333" t="n">
        <v>319.95</v>
      </c>
      <c r="AJ1174" t="inlineStr">
        <is>
          <t>https://tinyurl.com/ycc22z7p</t>
        </is>
      </c>
      <c r="AK1174" t="inlineStr">
        <is>
          <t>Line Pandora 84 Skis - Women's 2022</t>
        </is>
      </c>
      <c r="AL1174" t="inlineStr">
        <is>
          <t>BlueZone Sports</t>
        </is>
      </c>
      <c r="AM1174" s="333" t="n">
        <v>319.96</v>
      </c>
      <c r="AN1174" t="inlineStr">
        <is>
          <t>https://tinyurl.com/y9w6yxcz</t>
        </is>
      </c>
      <c r="AO1174" t="inlineStr">
        <is>
          <t>Line Pandora 84 Skis - Women's 2022</t>
        </is>
      </c>
      <c r="AP1174" t="inlineStr">
        <is>
          <t>Absolute-Snow.co.uk</t>
        </is>
      </c>
      <c r="AQ1174" s="333" t="n">
        <v>344.5</v>
      </c>
      <c r="AR1174" t="inlineStr">
        <is>
          <t>https://tinyurl.com/y89eudjh</t>
        </is>
      </c>
      <c r="AS1174" s="314">
        <f>IF(LEFT(C1174,1)=" ",RIGHT(C1174,LEN(C1174)-1),C1174)</f>
        <v/>
      </c>
      <c r="AT1174" s="281">
        <f>_xlfn.CONCAT(B1174,AS1174,D1174,E1174)</f>
        <v/>
      </c>
    </row>
    <row r="1175">
      <c r="A1175" t="inlineStr">
        <is>
          <t>21/22</t>
        </is>
      </c>
      <c r="B1175" t="inlineStr">
        <is>
          <t xml:space="preserve"> Blizzard</t>
        </is>
      </c>
      <c r="C1175" t="inlineStr">
        <is>
          <t>Zero G 85</t>
        </is>
      </c>
      <c r="D1175" t="n">
        <v>157</v>
      </c>
      <c r="E1175" t="inlineStr">
        <is>
          <t xml:space="preserve"> Unisex</t>
        </is>
      </c>
      <c r="F1175" t="n">
        <v>157</v>
      </c>
      <c r="G1175" t="n">
        <v>154.7</v>
      </c>
      <c r="H1175" t="n">
        <v>116</v>
      </c>
      <c r="I1175" t="n">
        <v>129</v>
      </c>
      <c r="J1175" t="n">
        <v>114</v>
      </c>
      <c r="K1175" t="n">
        <v>83</v>
      </c>
      <c r="L1175" t="n">
        <v>98</v>
      </c>
      <c r="M1175" t="n">
        <v>17.9</v>
      </c>
      <c r="N1175" t="n">
        <v>975</v>
      </c>
      <c r="O1175" t="n">
        <v>1.46</v>
      </c>
      <c r="P1175" t="n">
        <v>1422</v>
      </c>
      <c r="Q1175" t="n">
        <v>169</v>
      </c>
      <c r="R1175" t="n">
        <v>54</v>
      </c>
      <c r="S1175" t="n">
        <v>60</v>
      </c>
      <c r="T1175" t="n">
        <v>225</v>
      </c>
      <c r="U1175" t="n">
        <v>9</v>
      </c>
      <c r="V1175" t="n">
        <v>158</v>
      </c>
      <c r="W1175" t="n">
        <v>0.147</v>
      </c>
      <c r="X1175" t="n">
        <v>135</v>
      </c>
      <c r="Y1175" t="n">
        <v>124</v>
      </c>
      <c r="Z1175" t="n">
        <v>90</v>
      </c>
      <c r="AA1175" t="n">
        <v>5</v>
      </c>
      <c r="AB1175" t="n">
        <v>10.8</v>
      </c>
      <c r="AC1175" t="inlineStr">
        <is>
          <t xml:space="preserve"> Touring</t>
        </is>
      </c>
      <c r="AD1175" t="inlineStr">
        <is>
          <t xml:space="preserve"> Ultralight Touring</t>
        </is>
      </c>
      <c r="AG1175" t="inlineStr">
        <is>
          <t>Blizzard Zero G 85 Ski 2021</t>
        </is>
      </c>
      <c r="AH1175" t="inlineStr">
        <is>
          <t>Telemark Pyrenees</t>
        </is>
      </c>
      <c r="AI1175" s="333" t="n">
        <v>274.13</v>
      </c>
      <c r="AJ1175" t="inlineStr">
        <is>
          <t>https://tinyurl.com/y9f87ddd</t>
        </is>
      </c>
      <c r="AK1175" t="inlineStr">
        <is>
          <t>Blizzard Zero G 85 Ski 2022</t>
        </is>
      </c>
      <c r="AL1175" t="inlineStr">
        <is>
          <t>Snowcountry.eu</t>
        </is>
      </c>
      <c r="AM1175" s="333" t="n">
        <v>387.14</v>
      </c>
      <c r="AN1175" t="inlineStr">
        <is>
          <t>https://tinyurl.com/y72c5sz6</t>
        </is>
      </c>
      <c r="AO1175" t="inlineStr">
        <is>
          <t>Blizzard Zero G 85 Ski 2022</t>
        </is>
      </c>
      <c r="AP1175" t="inlineStr">
        <is>
          <t>AlpinStore</t>
        </is>
      </c>
      <c r="AQ1175" s="333" t="n">
        <v>416.43</v>
      </c>
      <c r="AR1175" t="inlineStr">
        <is>
          <t>https://tinyurl.com/y78c7pjw</t>
        </is>
      </c>
      <c r="AS1175" s="314">
        <f>IF(LEFT(C1175,1)=" ",RIGHT(C1175,LEN(C1175)-1),C1175)</f>
        <v/>
      </c>
      <c r="AT1175" s="281">
        <f>_xlfn.CONCAT(B1175,AS1175,D1175,E1175)</f>
        <v/>
      </c>
    </row>
    <row r="1176">
      <c r="A1176" t="inlineStr">
        <is>
          <t>21/22</t>
        </is>
      </c>
      <c r="B1176" t="inlineStr">
        <is>
          <t xml:space="preserve"> Armada</t>
        </is>
      </c>
      <c r="C1176" t="inlineStr">
        <is>
          <t>Declivity 92 Ti</t>
        </is>
      </c>
      <c r="D1176" t="n">
        <v>188</v>
      </c>
      <c r="E1176" t="inlineStr">
        <is>
          <t xml:space="preserve"> Unisex</t>
        </is>
      </c>
      <c r="F1176" t="n">
        <v>188</v>
      </c>
      <c r="G1176" t="n">
        <v>187.6</v>
      </c>
      <c r="H1176" t="n">
        <v>145</v>
      </c>
      <c r="I1176" t="n">
        <v>159</v>
      </c>
      <c r="J1176" t="n">
        <v>131</v>
      </c>
      <c r="K1176" t="n">
        <v>91</v>
      </c>
      <c r="L1176" t="n">
        <v>118</v>
      </c>
      <c r="M1176" t="n">
        <v>18.4</v>
      </c>
      <c r="N1176" t="n">
        <v>1937</v>
      </c>
      <c r="O1176" t="n">
        <v>1.01</v>
      </c>
      <c r="P1176" t="n">
        <v>1964</v>
      </c>
      <c r="Q1176" t="n">
        <v>271</v>
      </c>
      <c r="R1176" t="n">
        <v>161</v>
      </c>
      <c r="S1176" t="n">
        <v>49</v>
      </c>
      <c r="T1176" t="n">
        <v>262</v>
      </c>
      <c r="U1176" t="n">
        <v>20</v>
      </c>
      <c r="V1176" t="n">
        <v>162</v>
      </c>
      <c r="W1176" t="n">
        <v>0.403999999999999</v>
      </c>
      <c r="X1176" t="n">
        <v>182</v>
      </c>
      <c r="Y1176" t="n">
        <v>105</v>
      </c>
      <c r="Z1176" t="n">
        <v>80</v>
      </c>
      <c r="AA1176" t="n">
        <v>8</v>
      </c>
      <c r="AB1176" t="n">
        <v>9.6</v>
      </c>
      <c r="AC1176" t="inlineStr">
        <is>
          <t xml:space="preserve"> Resort Freeride</t>
        </is>
      </c>
      <c r="AG1176" t="inlineStr">
        <is>
          <t>Armada Declivity 92 Ti Limited Incl Warden 13 Binding Black-Green 188 Ski Men</t>
        </is>
      </c>
      <c r="AH1176" t="inlineStr">
        <is>
          <t>! OutdoorXL.com</t>
        </is>
      </c>
      <c r="AI1176" s="333" t="n">
        <v>424.95</v>
      </c>
      <c r="AJ1176" t="inlineStr">
        <is>
          <t>https://tinyurl.com/yc2a7nxo</t>
        </is>
      </c>
      <c r="AK1176" t="inlineStr">
        <is>
          <t>Armada Declivity 92 Ti</t>
        </is>
      </c>
      <c r="AL1176" t="inlineStr">
        <is>
          <t>Curated</t>
        </is>
      </c>
      <c r="AM1176" s="333" t="n">
        <v>519</v>
      </c>
      <c r="AN1176" t="inlineStr">
        <is>
          <t>https://tinyurl.com/yb356tcc</t>
        </is>
      </c>
      <c r="AO1176" t="inlineStr">
        <is>
          <t>Armada Declivity 92 Ti</t>
        </is>
      </c>
      <c r="AP1176" t="inlineStr">
        <is>
          <t>SkiEssentials.com</t>
        </is>
      </c>
      <c r="AQ1176" s="333" t="n">
        <v>519.96</v>
      </c>
      <c r="AR1176" t="inlineStr">
        <is>
          <t>https://tinyurl.com/y8x47dew</t>
        </is>
      </c>
      <c r="AS1176" s="314">
        <f>IF(LEFT(C1176,1)=" ",RIGHT(C1176,LEN(C1176)-1),C1176)</f>
        <v/>
      </c>
      <c r="AT1176" s="281">
        <f>_xlfn.CONCAT(B1176,AS1176,D1176,E1176)</f>
        <v/>
      </c>
    </row>
    <row r="1177">
      <c r="A1177" t="inlineStr">
        <is>
          <t>21/22</t>
        </is>
      </c>
      <c r="B1177" t="inlineStr">
        <is>
          <t xml:space="preserve"> Armada</t>
        </is>
      </c>
      <c r="C1177" t="inlineStr">
        <is>
          <t xml:space="preserve"> Magic J</t>
        </is>
      </c>
      <c r="D1177" t="n">
        <v>180</v>
      </c>
      <c r="E1177" t="inlineStr">
        <is>
          <t xml:space="preserve"> Unisex</t>
        </is>
      </c>
      <c r="F1177" t="n">
        <v>180</v>
      </c>
      <c r="G1177" t="n">
        <v>178.7</v>
      </c>
      <c r="H1177" t="n">
        <v>99</v>
      </c>
      <c r="I1177" t="n">
        <v>115</v>
      </c>
      <c r="J1177" t="n">
        <v>142</v>
      </c>
      <c r="K1177" t="n">
        <v>125</v>
      </c>
      <c r="L1177" t="n">
        <v>139</v>
      </c>
      <c r="M1177" t="n">
        <v>17.9</v>
      </c>
      <c r="N1177" t="n">
        <v>2353</v>
      </c>
      <c r="O1177" t="n">
        <v>1</v>
      </c>
      <c r="P1177" t="n">
        <v>2343</v>
      </c>
      <c r="Q1177" t="n">
        <v>264</v>
      </c>
      <c r="R1177" t="n">
        <v>128</v>
      </c>
      <c r="S1177" t="n">
        <v>60</v>
      </c>
      <c r="T1177" t="n">
        <v>414</v>
      </c>
      <c r="U1177" t="n">
        <v>58</v>
      </c>
      <c r="V1177" t="n">
        <v>383</v>
      </c>
      <c r="W1177" t="n">
        <v>0.969</v>
      </c>
      <c r="X1177" t="n">
        <v>325</v>
      </c>
      <c r="Y1177" t="n">
        <v>311</v>
      </c>
      <c r="Z1177" t="n">
        <v>89</v>
      </c>
      <c r="AA1177" t="n">
        <v>7</v>
      </c>
      <c r="AB1177" t="n">
        <v>4.7</v>
      </c>
      <c r="AC1177" t="inlineStr">
        <is>
          <t xml:space="preserve"> Freeski</t>
        </is>
      </c>
      <c r="AD1177" t="inlineStr">
        <is>
          <t xml:space="preserve"> Powder</t>
        </is>
      </c>
      <c r="AG1177" t="inlineStr">
        <is>
          <t>Armada Magic J Skis 180cm 2022</t>
        </is>
      </c>
      <c r="AH1177" t="inlineStr">
        <is>
          <t>Blue Tomato</t>
        </is>
      </c>
      <c r="AI1177" s="333" t="n">
        <v>451.71</v>
      </c>
      <c r="AJ1177" t="inlineStr">
        <is>
          <t>https://tinyurl.com/yasvbvo7</t>
        </is>
      </c>
      <c r="AK1177" t="inlineStr">
        <is>
          <t>Armada Magic J Skis 180cm 2022</t>
        </is>
      </c>
      <c r="AL1177" t="inlineStr">
        <is>
          <t>Ski Pro  - Snow Ski &amp; Snowboard</t>
        </is>
      </c>
      <c r="AM1177" s="333" t="n">
        <v>549.95</v>
      </c>
      <c r="AN1177" t="inlineStr">
        <is>
          <t>https://tinyurl.com/y9z7c6yp</t>
        </is>
      </c>
      <c r="AO1177" t="inlineStr">
        <is>
          <t>Armada Magic J Skis 180cm 2022</t>
        </is>
      </c>
      <c r="AP1177" t="inlineStr">
        <is>
          <t>Teton Wasatch Ski Co.</t>
        </is>
      </c>
      <c r="AQ1177" s="333" t="n">
        <v>599</v>
      </c>
      <c r="AR1177" t="inlineStr">
        <is>
          <t>https://tinyurl.com/y8wbtooe</t>
        </is>
      </c>
      <c r="AS1177" s="314">
        <f>IF(LEFT(C1177,1)=" ",RIGHT(C1177,LEN(C1177)-1),C1177)</f>
        <v/>
      </c>
      <c r="AT1177" s="281">
        <f>_xlfn.CONCAT(B1177,AS1177,D1177,E1177)</f>
        <v/>
      </c>
    </row>
    <row r="1178">
      <c r="A1178" t="inlineStr">
        <is>
          <t>21/22</t>
        </is>
      </c>
      <c r="B1178" t="inlineStr">
        <is>
          <t xml:space="preserve"> Blizzard</t>
        </is>
      </c>
      <c r="C1178" t="inlineStr">
        <is>
          <t>Thunderbird R15 WB</t>
        </is>
      </c>
      <c r="D1178" t="n">
        <v>166</v>
      </c>
      <c r="E1178" t="inlineStr">
        <is>
          <t xml:space="preserve"> Unisex</t>
        </is>
      </c>
      <c r="F1178" t="n">
        <v>166</v>
      </c>
      <c r="G1178" t="n">
        <v>165.1</v>
      </c>
      <c r="H1178" t="n">
        <v>146</v>
      </c>
      <c r="I1178" t="n">
        <v>153</v>
      </c>
      <c r="J1178" t="n">
        <v>124</v>
      </c>
      <c r="K1178" t="n">
        <v>75</v>
      </c>
      <c r="L1178" t="n">
        <v>105</v>
      </c>
      <c r="M1178" t="n">
        <v>14.7</v>
      </c>
      <c r="N1178" t="n">
        <v>2238</v>
      </c>
      <c r="O1178" t="n">
        <v>0.66</v>
      </c>
      <c r="P1178" t="n">
        <v>1477</v>
      </c>
      <c r="Q1178" t="n">
        <v>196</v>
      </c>
      <c r="R1178" t="n">
        <v>122</v>
      </c>
      <c r="S1178" t="n">
        <v>42</v>
      </c>
      <c r="T1178" t="n">
        <v>135</v>
      </c>
      <c r="U1178" t="n">
        <v>8</v>
      </c>
      <c r="V1178" t="n">
        <v>59</v>
      </c>
      <c r="W1178" t="n">
        <v>0.182</v>
      </c>
      <c r="X1178" t="n">
        <v>73</v>
      </c>
      <c r="Y1178" t="n">
        <v>51</v>
      </c>
      <c r="Z1178" t="n">
        <v>62</v>
      </c>
      <c r="AA1178" t="n">
        <v>9</v>
      </c>
      <c r="AB1178" t="n">
        <v>11.7</v>
      </c>
      <c r="AC1178" t="inlineStr">
        <is>
          <t xml:space="preserve"> On-Piste Carving</t>
        </is>
      </c>
      <c r="AG1178" t="inlineStr">
        <is>
          <t>Blizzard Thunderbird R15 WB Skis</t>
        </is>
      </c>
      <c r="AH1178" t="inlineStr">
        <is>
          <t>Cole Sport</t>
        </is>
      </c>
      <c r="AI1178" s="333" t="n">
        <v>899.95</v>
      </c>
      <c r="AJ1178" t="inlineStr">
        <is>
          <t>https://tinyurl.com/y9tozqaq</t>
        </is>
      </c>
      <c r="AK1178" t="inlineStr">
        <is>
          <t>Blizzard Thunderbird R15 Wide Body Skis TPX 12 Demo Bindings Mens 202</t>
        </is>
      </c>
      <c r="AL1178" t="inlineStr">
        <is>
          <t>BlueZone Sports</t>
        </is>
      </c>
      <c r="AM1178" s="333" t="n">
        <v>899.95</v>
      </c>
      <c r="AN1178" t="inlineStr">
        <is>
          <t>https://tinyurl.com/ybdfkg2y</t>
        </is>
      </c>
      <c r="AO1178" t="inlineStr">
        <is>
          <t>Blizzard Women's Black Pearl 82 + TP 10 Skis 166</t>
        </is>
      </c>
      <c r="AP1178" t="inlineStr">
        <is>
          <t>sunandski.com</t>
        </is>
      </c>
      <c r="AQ1178" s="333" t="n">
        <v>479.93</v>
      </c>
      <c r="AR1178" t="inlineStr">
        <is>
          <t>https://tinyurl.com/ybptt583</t>
        </is>
      </c>
      <c r="AS1178" s="314">
        <f>IF(LEFT(C1178,1)=" ",RIGHT(C1178,LEN(C1178)-1),C1178)</f>
        <v/>
      </c>
      <c r="AT1178" s="281">
        <f>_xlfn.CONCAT(B1178,AS1178,D1178,E1178)</f>
        <v/>
      </c>
    </row>
    <row r="1179">
      <c r="A1179" t="inlineStr">
        <is>
          <t>21/22</t>
        </is>
      </c>
      <c r="B1179" t="inlineStr">
        <is>
          <t xml:space="preserve"> Fischer</t>
        </is>
      </c>
      <c r="C1179" t="inlineStr">
        <is>
          <t>RC One 82 GT</t>
        </is>
      </c>
      <c r="D1179" t="n">
        <v>173</v>
      </c>
      <c r="E1179" t="inlineStr">
        <is>
          <t xml:space="preserve"> Unisex</t>
        </is>
      </c>
      <c r="F1179" t="n">
        <v>173</v>
      </c>
      <c r="G1179" t="n">
        <v>172.3</v>
      </c>
      <c r="H1179" t="n">
        <v>133</v>
      </c>
      <c r="I1179" t="n">
        <v>154</v>
      </c>
      <c r="J1179" t="n">
        <v>125</v>
      </c>
      <c r="K1179" t="n">
        <v>81</v>
      </c>
      <c r="L1179" t="n">
        <v>112</v>
      </c>
      <c r="M1179" t="n">
        <v>14.6</v>
      </c>
      <c r="N1179" t="n">
        <v>2002</v>
      </c>
      <c r="O1179" t="n">
        <v>0.82</v>
      </c>
      <c r="P1179" t="n">
        <v>1650</v>
      </c>
      <c r="Q1179" t="n">
        <v>255</v>
      </c>
      <c r="R1179" t="n">
        <v>155</v>
      </c>
      <c r="S1179" t="n">
        <v>50</v>
      </c>
      <c r="T1179" t="n">
        <v>263</v>
      </c>
      <c r="U1179" t="n">
        <v>9</v>
      </c>
      <c r="V1179" t="n">
        <v>130</v>
      </c>
      <c r="W1179" t="n">
        <v>0.178</v>
      </c>
      <c r="X1179" t="n">
        <v>84</v>
      </c>
      <c r="Y1179" t="n">
        <v>104</v>
      </c>
      <c r="Z1179" t="n">
        <v>179</v>
      </c>
      <c r="AA1179" t="n">
        <v>5</v>
      </c>
      <c r="AB1179" t="n">
        <v>9.9</v>
      </c>
      <c r="AC1179" t="inlineStr">
        <is>
          <t xml:space="preserve"> On-Piste All-Mountain</t>
        </is>
      </c>
      <c r="AD1179" t="inlineStr">
        <is>
          <t xml:space="preserve"> Resort Freeride</t>
        </is>
      </c>
      <c r="AG1179" t="inlineStr">
        <is>
          <t>Fischer XTR RC One 82 GT RT with RSW 10 Binding - 2021</t>
        </is>
      </c>
      <c r="AH1179" t="inlineStr">
        <is>
          <t>Next Adventure</t>
        </is>
      </c>
      <c r="AI1179" s="333" t="n">
        <v>419.99</v>
      </c>
      <c r="AJ1179" t="inlineStr">
        <is>
          <t>https://tinyurl.com/ybs8mrlp</t>
        </is>
      </c>
      <c r="AK1179" t="inlineStr">
        <is>
          <t>Fischer XTR RC One 82 Gt Rentaltrack Skis 2021</t>
        </is>
      </c>
      <c r="AL1179" t="inlineStr">
        <is>
          <t>Level Nine Sports</t>
        </is>
      </c>
      <c r="AM1179" s="333" t="n">
        <v>469.94</v>
      </c>
      <c r="AN1179" t="inlineStr">
        <is>
          <t>https://tinyurl.com/ybpmqo6s</t>
        </is>
      </c>
      <c r="AO1179" t="inlineStr">
        <is>
          <t>Fischer RC One 82 GT Skis 2022 w/bindings 173</t>
        </is>
      </c>
      <c r="AP1179" t="inlineStr">
        <is>
          <t>Ski Depot RaceSkis.com</t>
        </is>
      </c>
      <c r="AQ1179" s="333" t="n">
        <v>799.99</v>
      </c>
      <c r="AR1179" t="inlineStr">
        <is>
          <t>https://tinyurl.com/y8qv9pya</t>
        </is>
      </c>
      <c r="AS1179" s="314">
        <f>IF(LEFT(C1179,1)=" ",RIGHT(C1179,LEN(C1179)-1),C1179)</f>
        <v/>
      </c>
      <c r="AT1179" s="281">
        <f>_xlfn.CONCAT(B1179,AS1179,D1179,E1179)</f>
        <v/>
      </c>
    </row>
    <row r="1180">
      <c r="A1180" t="inlineStr">
        <is>
          <t>21/22</t>
        </is>
      </c>
      <c r="B1180" t="inlineStr">
        <is>
          <t xml:space="preserve"> Dynafit</t>
        </is>
      </c>
      <c r="C1180" t="inlineStr">
        <is>
          <t>Blacklight 88 W</t>
        </is>
      </c>
      <c r="D1180" t="n">
        <v>151</v>
      </c>
      <c r="E1180" t="inlineStr">
        <is>
          <t xml:space="preserve"> Women's</t>
        </is>
      </c>
      <c r="F1180" t="n">
        <v>151</v>
      </c>
      <c r="G1180" t="n">
        <v>149.2</v>
      </c>
      <c r="H1180" t="n">
        <v>114</v>
      </c>
      <c r="I1180" t="n">
        <v>126</v>
      </c>
      <c r="J1180" t="n">
        <v>119</v>
      </c>
      <c r="K1180" t="n">
        <v>84</v>
      </c>
      <c r="L1180" t="n">
        <v>107</v>
      </c>
      <c r="M1180" t="n">
        <v>13.3</v>
      </c>
      <c r="N1180" t="n">
        <v>962</v>
      </c>
      <c r="O1180" t="n">
        <v>1.47</v>
      </c>
      <c r="P1180" t="n">
        <v>1410</v>
      </c>
      <c r="Q1180" t="n">
        <v>153</v>
      </c>
      <c r="R1180" t="n">
        <v>55</v>
      </c>
      <c r="S1180" t="n">
        <v>50</v>
      </c>
      <c r="T1180" t="n">
        <v>213</v>
      </c>
      <c r="U1180" t="n">
        <v>11</v>
      </c>
      <c r="V1180" t="n">
        <v>144</v>
      </c>
      <c r="W1180" t="n">
        <v>0.216</v>
      </c>
      <c r="X1180" t="n">
        <v>140</v>
      </c>
      <c r="Y1180" t="n">
        <v>89</v>
      </c>
      <c r="Z1180" t="n">
        <v>73</v>
      </c>
      <c r="AA1180" t="n">
        <v>4</v>
      </c>
      <c r="AB1180" t="n">
        <v>12.4</v>
      </c>
      <c r="AC1180" t="inlineStr">
        <is>
          <t xml:space="preserve"> Touring</t>
        </is>
      </c>
      <c r="AD1180" t="inlineStr">
        <is>
          <t xml:space="preserve"> Ultralight Touring</t>
        </is>
      </c>
      <c r="AG1180" t="inlineStr">
        <is>
          <t>Dynafit Blacklight 88 W Alpine Touring Ski 151</t>
        </is>
      </c>
      <c r="AH1180" t="inlineStr">
        <is>
          <t>Cripple Creek Backcountry</t>
        </is>
      </c>
      <c r="AI1180" s="333" t="n">
        <v>549.95</v>
      </c>
      <c r="AJ1180" t="inlineStr">
        <is>
          <t>https://tinyurl.com/y7v8phac</t>
        </is>
      </c>
      <c r="AK1180" t="inlineStr">
        <is>
          <t>Dynafit Blacklight 88 Ski - Women - 151cm</t>
        </is>
      </c>
      <c r="AL1180" t="inlineStr">
        <is>
          <t>AlpinStore</t>
        </is>
      </c>
      <c r="AM1180" s="333" t="n">
        <v>451.11</v>
      </c>
      <c r="AN1180" t="inlineStr">
        <is>
          <t>https://tinyurl.com/yavmz4fa</t>
        </is>
      </c>
      <c r="AO1180" t="inlineStr">
        <is>
          <t>Dynafit Blacklight 88 Ski - Women - 151cm</t>
        </is>
      </c>
      <c r="AP1180" t="inlineStr">
        <is>
          <t>evo.com</t>
        </is>
      </c>
      <c r="AQ1180" s="333" t="n">
        <v>559.96</v>
      </c>
      <c r="AR1180" t="inlineStr">
        <is>
          <t>https://tinyurl.com/ybhzxzpl</t>
        </is>
      </c>
      <c r="AS1180" s="314">
        <f>IF(LEFT(C1180,1)=" ",RIGHT(C1180,LEN(C1180)-1),C1180)</f>
        <v/>
      </c>
      <c r="AT1180" s="281">
        <f>_xlfn.CONCAT(B1180,AS1180,D1180,E1180)</f>
        <v/>
      </c>
    </row>
    <row r="1181">
      <c r="A1181" t="inlineStr">
        <is>
          <t>21/22</t>
        </is>
      </c>
      <c r="B1181" t="inlineStr">
        <is>
          <t>K2</t>
        </is>
      </c>
      <c r="C1181" t="inlineStr">
        <is>
          <t>Wayback 88</t>
        </is>
      </c>
      <c r="D1181" t="n">
        <v>160</v>
      </c>
      <c r="E1181" t="inlineStr">
        <is>
          <t xml:space="preserve"> Unisex</t>
        </is>
      </c>
      <c r="F1181" t="n">
        <v>160</v>
      </c>
      <c r="G1181" t="n">
        <v>159.4</v>
      </c>
      <c r="H1181" t="n">
        <v>115</v>
      </c>
      <c r="I1181" t="n">
        <v>134</v>
      </c>
      <c r="J1181" t="n">
        <v>120</v>
      </c>
      <c r="K1181" t="n">
        <v>87</v>
      </c>
      <c r="L1181" t="n">
        <v>108</v>
      </c>
      <c r="M1181" t="n">
        <v>16.5</v>
      </c>
      <c r="N1181" t="n">
        <v>1100</v>
      </c>
      <c r="O1181" t="n">
        <v>1.41</v>
      </c>
      <c r="P1181" t="n">
        <v>1554</v>
      </c>
      <c r="Q1181" t="n">
        <v>149</v>
      </c>
      <c r="R1181" t="n">
        <v>62</v>
      </c>
      <c r="S1181" t="n">
        <v>46</v>
      </c>
      <c r="T1181" t="n">
        <v>295</v>
      </c>
      <c r="U1181" t="n">
        <v>7</v>
      </c>
      <c r="V1181" t="n">
        <v>147</v>
      </c>
      <c r="W1181" t="n">
        <v>0.161</v>
      </c>
      <c r="X1181" t="n">
        <v>153</v>
      </c>
      <c r="Y1181" t="n">
        <v>98</v>
      </c>
      <c r="Z1181" t="n">
        <v>142</v>
      </c>
      <c r="AA1181" t="n">
        <v>8</v>
      </c>
      <c r="AB1181" t="n">
        <v>10.6</v>
      </c>
      <c r="AC1181" t="inlineStr">
        <is>
          <t xml:space="preserve"> Touring</t>
        </is>
      </c>
      <c r="AD1181" t="inlineStr">
        <is>
          <t xml:space="preserve"> Ultralight Touring</t>
        </is>
      </c>
      <c r="AG1181" t="inlineStr">
        <is>
          <t>K2 Wayback 88</t>
        </is>
      </c>
      <c r="AH1181" t="inlineStr">
        <is>
          <t>Snowcountry.eu</t>
        </is>
      </c>
      <c r="AI1181" s="333" t="n">
        <v>294.07</v>
      </c>
      <c r="AJ1181" t="inlineStr">
        <is>
          <t>https://tinyurl.com/ybcsnw8s</t>
        </is>
      </c>
      <c r="AK1181" t="inlineStr">
        <is>
          <t>K2 Wayback 88 Ski 2022</t>
        </is>
      </c>
      <c r="AL1181" t="inlineStr">
        <is>
          <t>Snowinn.com</t>
        </is>
      </c>
      <c r="AM1181" s="333" t="n">
        <v>436.99</v>
      </c>
      <c r="AN1181" t="inlineStr">
        <is>
          <t>https://tinyurl.com/y7yfzd2m</t>
        </is>
      </c>
      <c r="AO1181" t="inlineStr">
        <is>
          <t>K2 Wayback 88</t>
        </is>
      </c>
      <c r="AP1181" t="inlineStr">
        <is>
          <t>AlpinStore</t>
        </is>
      </c>
      <c r="AQ1181" s="333" t="n">
        <v>489.98</v>
      </c>
      <c r="AR1181" t="inlineStr">
        <is>
          <t>https://tinyurl.com/ya9x2qq5</t>
        </is>
      </c>
      <c r="AS1181" s="314">
        <f>IF(LEFT(C1181,1)=" ",RIGHT(C1181,LEN(C1181)-1),C1181)</f>
        <v/>
      </c>
      <c r="AT1181" s="281">
        <f>_xlfn.CONCAT(B1181,AS1181,D1181,E1181)</f>
        <v/>
      </c>
    </row>
    <row r="1182">
      <c r="A1182" t="inlineStr">
        <is>
          <t>21/22</t>
        </is>
      </c>
      <c r="B1182" t="inlineStr">
        <is>
          <t xml:space="preserve"> Head</t>
        </is>
      </c>
      <c r="C1182" t="inlineStr">
        <is>
          <t xml:space="preserve"> Supershape e-Magnum</t>
        </is>
      </c>
      <c r="D1182" t="n">
        <v>177</v>
      </c>
      <c r="E1182" t="inlineStr">
        <is>
          <t xml:space="preserve"> Unisex</t>
        </is>
      </c>
      <c r="F1182" t="n">
        <v>177</v>
      </c>
      <c r="G1182" t="n">
        <v>176.3</v>
      </c>
      <c r="H1182" t="n">
        <v>157</v>
      </c>
      <c r="I1182" t="n">
        <v>164</v>
      </c>
      <c r="J1182" t="n">
        <v>128</v>
      </c>
      <c r="K1182" t="n">
        <v>71</v>
      </c>
      <c r="L1182" t="n">
        <v>109</v>
      </c>
      <c r="M1182" t="n">
        <v>14.4</v>
      </c>
      <c r="N1182" t="n">
        <v>2247</v>
      </c>
      <c r="O1182" t="n">
        <v>0.6899999999999999</v>
      </c>
      <c r="P1182" t="n">
        <v>1551</v>
      </c>
      <c r="Q1182" t="n">
        <v>229</v>
      </c>
      <c r="R1182" t="n">
        <v>113</v>
      </c>
      <c r="S1182" t="n">
        <v>36</v>
      </c>
      <c r="T1182" t="n">
        <v>147</v>
      </c>
      <c r="U1182" t="n">
        <v>3</v>
      </c>
      <c r="V1182" t="n">
        <v>48</v>
      </c>
      <c r="W1182" t="n">
        <v>0.09</v>
      </c>
      <c r="X1182" t="n">
        <v>66</v>
      </c>
      <c r="Y1182" t="n">
        <v>55</v>
      </c>
      <c r="Z1182" t="n">
        <v>81</v>
      </c>
      <c r="AA1182" t="n">
        <v>9</v>
      </c>
      <c r="AB1182" t="n">
        <v>12.7</v>
      </c>
      <c r="AC1182" t="inlineStr">
        <is>
          <t xml:space="preserve"> On-Piste Carving</t>
        </is>
      </c>
      <c r="AG1182" t="inlineStr">
        <is>
          <t>Head Supershape e-Magnum Skis + PRD 12 GW Bindings Â· 177 cm</t>
        </is>
      </c>
      <c r="AH1182" t="inlineStr">
        <is>
          <t>Powder7 Ski Shop</t>
        </is>
      </c>
      <c r="AI1182" s="333" t="n">
        <v>879.95</v>
      </c>
      <c r="AJ1182" t="inlineStr">
        <is>
          <t>https://tinyurl.com/yc3pdtvt</t>
        </is>
      </c>
      <c r="AK1182" t="inlineStr">
        <is>
          <t>Head Supershape I.titan 177 Cm Men's Skis W/ Freeflex Pro Bindings</t>
        </is>
      </c>
      <c r="AL1182" t="inlineStr">
        <is>
          <t>eBay - terrbake_60</t>
        </is>
      </c>
      <c r="AM1182" s="333" t="n">
        <v>150</v>
      </c>
      <c r="AN1182" t="inlineStr">
        <is>
          <t>https://tinyurl.com/y8yjdkd4</t>
        </is>
      </c>
      <c r="AO1182" t="inlineStr">
        <is>
          <t xml:space="preserve">2022 Head Supershape Titan w Head PRD 12 Demo Bindings, Black/Blue / 177 / </t>
        </is>
      </c>
      <c r="AP1182" t="inlineStr">
        <is>
          <t>Lone Pine Gear Exchange</t>
        </is>
      </c>
      <c r="AQ1182" s="333" t="n">
        <v>575</v>
      </c>
      <c r="AR1182" t="inlineStr">
        <is>
          <t>https://tinyurl.com/y83axxn2</t>
        </is>
      </c>
      <c r="AS1182" s="314">
        <f>IF(LEFT(C1182,1)=" ",RIGHT(C1182,LEN(C1182)-1),C1182)</f>
        <v/>
      </c>
      <c r="AT1182" s="281">
        <f>_xlfn.CONCAT(B1182,AS1182,D1182,E1182)</f>
        <v/>
      </c>
    </row>
    <row r="1183">
      <c r="A1183" t="inlineStr">
        <is>
          <t>21/22</t>
        </is>
      </c>
      <c r="B1183" t="inlineStr">
        <is>
          <t>K2</t>
        </is>
      </c>
      <c r="C1183" t="inlineStr">
        <is>
          <t>Talkback 88</t>
        </is>
      </c>
      <c r="D1183" t="n">
        <v>160</v>
      </c>
      <c r="E1183" t="inlineStr">
        <is>
          <t xml:space="preserve"> Women's</t>
        </is>
      </c>
      <c r="F1183" t="n">
        <v>160</v>
      </c>
      <c r="G1183" t="n">
        <v>159.7</v>
      </c>
      <c r="H1183" t="n">
        <v>120</v>
      </c>
      <c r="I1183" t="n">
        <v>134</v>
      </c>
      <c r="J1183" t="n">
        <v>120</v>
      </c>
      <c r="K1183" t="n">
        <v>87</v>
      </c>
      <c r="L1183" t="n">
        <v>108</v>
      </c>
      <c r="M1183" t="n">
        <v>16.3</v>
      </c>
      <c r="N1183" t="n">
        <v>1117</v>
      </c>
      <c r="O1183" t="n">
        <v>1.39</v>
      </c>
      <c r="P1183" t="n">
        <v>1552</v>
      </c>
      <c r="Q1183" t="n">
        <v>136</v>
      </c>
      <c r="R1183" t="n">
        <v>59</v>
      </c>
      <c r="S1183" t="n">
        <v>44</v>
      </c>
      <c r="T1183" t="n">
        <v>297</v>
      </c>
      <c r="U1183" t="n">
        <v>5</v>
      </c>
      <c r="V1183" t="n">
        <v>99</v>
      </c>
      <c r="W1183" t="n">
        <v>0.114</v>
      </c>
      <c r="X1183" t="n">
        <v>158</v>
      </c>
      <c r="Y1183" t="n">
        <v>97</v>
      </c>
      <c r="Z1183" t="n">
        <v>139</v>
      </c>
      <c r="AA1183" t="n">
        <v>8</v>
      </c>
      <c r="AB1183" t="n">
        <v>12</v>
      </c>
      <c r="AC1183" t="inlineStr">
        <is>
          <t xml:space="preserve"> Touring</t>
        </is>
      </c>
      <c r="AD1183" t="inlineStr">
        <is>
          <t xml:space="preserve"> Ultralight Touring</t>
        </is>
      </c>
      <c r="AG1183" t="inlineStr">
        <is>
          <t>K2 Talkback 88</t>
        </is>
      </c>
      <c r="AH1183" t="inlineStr">
        <is>
          <t>Snowcountry.eu</t>
        </is>
      </c>
      <c r="AI1183" s="333" t="n">
        <v>294.07</v>
      </c>
      <c r="AJ1183" t="inlineStr">
        <is>
          <t>https://tinyurl.com/yahkq6yu</t>
        </is>
      </c>
      <c r="AK1183" t="inlineStr">
        <is>
          <t>K2 - Talkback 88 - 160</t>
        </is>
      </c>
      <c r="AL1183" t="inlineStr">
        <is>
          <t>Telemark Pyrenees</t>
        </is>
      </c>
      <c r="AM1183" s="333" t="n">
        <v>362.05</v>
      </c>
      <c r="AN1183" t="inlineStr">
        <is>
          <t>https://tinyurl.com/yah6lawe</t>
        </is>
      </c>
      <c r="AO1183" t="inlineStr">
        <is>
          <t>K2 - Talkback 88 - 160</t>
        </is>
      </c>
      <c r="AP1183" t="inlineStr">
        <is>
          <t>SkiEssentials.com</t>
        </is>
      </c>
      <c r="AQ1183" s="333" t="n">
        <v>559.96</v>
      </c>
      <c r="AR1183" t="inlineStr">
        <is>
          <t>https://tinyurl.com/yayb6s6g</t>
        </is>
      </c>
      <c r="AS1183" s="314">
        <f>IF(LEFT(C1183,1)=" ",RIGHT(C1183,LEN(C1183)-1),C1183)</f>
        <v/>
      </c>
      <c r="AT1183" s="281">
        <f>_xlfn.CONCAT(B1183,AS1183,D1183,E1183)</f>
        <v/>
      </c>
    </row>
    <row r="1184">
      <c r="A1184" t="inlineStr">
        <is>
          <t>21/22</t>
        </is>
      </c>
      <c r="B1184" t="inlineStr">
        <is>
          <t xml:space="preserve"> Elan</t>
        </is>
      </c>
      <c r="C1184" t="inlineStr">
        <is>
          <t>Ripstick 88 W</t>
        </is>
      </c>
      <c r="D1184" t="n">
        <v>146</v>
      </c>
      <c r="E1184" t="inlineStr">
        <is>
          <t xml:space="preserve"> Women's</t>
        </is>
      </c>
      <c r="F1184" t="n">
        <v>146</v>
      </c>
      <c r="G1184" t="n">
        <v>149.8</v>
      </c>
      <c r="H1184" t="n">
        <v>106</v>
      </c>
      <c r="I1184" t="n">
        <v>125</v>
      </c>
      <c r="J1184" t="n">
        <v>130</v>
      </c>
      <c r="K1184" t="n">
        <v>87</v>
      </c>
      <c r="L1184" t="n">
        <v>104</v>
      </c>
      <c r="M1184" t="n">
        <v>12.9</v>
      </c>
      <c r="N1184" t="n">
        <v>1276</v>
      </c>
      <c r="O1184" t="n">
        <v>1.18</v>
      </c>
      <c r="P1184" t="n">
        <v>1503</v>
      </c>
      <c r="Q1184" t="n">
        <v>125</v>
      </c>
      <c r="R1184" t="n">
        <v>53</v>
      </c>
      <c r="S1184" t="n">
        <v>50</v>
      </c>
      <c r="T1184" t="n">
        <v>300</v>
      </c>
      <c r="U1184" t="n">
        <v>12</v>
      </c>
      <c r="V1184" t="n">
        <v>142</v>
      </c>
      <c r="W1184" t="n">
        <v>0.239</v>
      </c>
      <c r="X1184" t="n">
        <v>140</v>
      </c>
      <c r="Y1184" t="n">
        <v>111</v>
      </c>
      <c r="Z1184" t="n">
        <v>159</v>
      </c>
      <c r="AA1184" t="n">
        <v>3</v>
      </c>
      <c r="AB1184" t="n">
        <v>7.6</v>
      </c>
      <c r="AC1184" t="inlineStr">
        <is>
          <t xml:space="preserve"> Resort Freeride</t>
        </is>
      </c>
      <c r="AD1184" t="inlineStr">
        <is>
          <t xml:space="preserve"> Touring</t>
        </is>
      </c>
      <c r="AG1184" t="inlineStr">
        <is>
          <t>Elan Ripstick 88 W Women's Skis</t>
        </is>
      </c>
      <c r="AH1184" t="inlineStr">
        <is>
          <t>SkiEssentials.com</t>
        </is>
      </c>
      <c r="AI1184" s="333" t="n">
        <v>412.49</v>
      </c>
      <c r="AJ1184" t="inlineStr">
        <is>
          <t>https://tinyurl.com/yc6r778b</t>
        </is>
      </c>
      <c r="AK1184" t="inlineStr">
        <is>
          <t>Ripstick 88 W - 146 cm - 88 mm - Tip and Tail</t>
        </is>
      </c>
      <c r="AL1184" t="inlineStr">
        <is>
          <t>Country Ski &amp; Sport</t>
        </is>
      </c>
      <c r="AM1184" s="333" t="n">
        <v>599.95</v>
      </c>
      <c r="AN1184" t="inlineStr">
        <is>
          <t>https://tinyurl.com/y8zq2x5j</t>
        </is>
      </c>
      <c r="AO1184" t="inlineStr">
        <is>
          <t>Elan Black Magic LS ELW9.0 22</t>
        </is>
      </c>
      <c r="AP1184" t="inlineStr">
        <is>
          <t>Aspen Ski and Board</t>
        </is>
      </c>
      <c r="AQ1184" s="333" t="n">
        <v>319.95</v>
      </c>
      <c r="AR1184" t="inlineStr">
        <is>
          <t>https://tinyurl.com/yazyys8c</t>
        </is>
      </c>
      <c r="AS1184" s="314">
        <f>IF(LEFT(C1184,1)=" ",RIGHT(C1184,LEN(C1184)-1),C1184)</f>
        <v/>
      </c>
      <c r="AT1184" s="281">
        <f>_xlfn.CONCAT(B1184,AS1184,D1184,E1184)</f>
        <v/>
      </c>
    </row>
    <row r="1185">
      <c r="A1185" t="inlineStr">
        <is>
          <t>21/22</t>
        </is>
      </c>
      <c r="B1185" t="inlineStr">
        <is>
          <t xml:space="preserve"> Nordica</t>
        </is>
      </c>
      <c r="C1185" t="inlineStr">
        <is>
          <t>Spitfire 70 Pro</t>
        </is>
      </c>
      <c r="D1185" t="n">
        <v>170</v>
      </c>
      <c r="E1185" t="inlineStr">
        <is>
          <t xml:space="preserve"> Unisex</t>
        </is>
      </c>
      <c r="F1185" t="n">
        <v>170</v>
      </c>
      <c r="G1185" t="n">
        <v>169.2</v>
      </c>
      <c r="H1185" t="n">
        <v>151</v>
      </c>
      <c r="I1185" t="n">
        <v>157</v>
      </c>
      <c r="J1185" t="n">
        <v>120</v>
      </c>
      <c r="K1185" t="n">
        <v>69</v>
      </c>
      <c r="L1185" t="n">
        <v>100</v>
      </c>
      <c r="M1185" t="n">
        <v>15.2</v>
      </c>
      <c r="N1185" t="n">
        <v>2064</v>
      </c>
      <c r="O1185" t="n">
        <v>0.6899999999999999</v>
      </c>
      <c r="P1185" t="n">
        <v>1427</v>
      </c>
      <c r="Q1185" t="n">
        <v>198</v>
      </c>
      <c r="R1185" t="n">
        <v>125</v>
      </c>
      <c r="S1185" t="n">
        <v>36</v>
      </c>
      <c r="T1185" t="n">
        <v>133</v>
      </c>
      <c r="U1185" t="n">
        <v>6</v>
      </c>
      <c r="V1185" t="n">
        <v>49</v>
      </c>
      <c r="W1185" t="n">
        <v>0.163999999999999</v>
      </c>
      <c r="X1185" t="n">
        <v>67</v>
      </c>
      <c r="Y1185" t="n">
        <v>52</v>
      </c>
      <c r="Z1185" t="n">
        <v>66</v>
      </c>
      <c r="AA1185" t="n">
        <v>9</v>
      </c>
      <c r="AB1185" t="n">
        <v>13.2</v>
      </c>
      <c r="AC1185" t="inlineStr">
        <is>
          <t xml:space="preserve"> On-Piste Carving</t>
        </is>
      </c>
      <c r="AS1185" s="314">
        <f>IF(LEFT(C1185,1)=" ",RIGHT(C1185,LEN(C1185)-1),C1185)</f>
        <v/>
      </c>
      <c r="AT1185" s="281">
        <f>_xlfn.CONCAT(B1185,AS1185,D1185,E1185)</f>
        <v/>
      </c>
    </row>
    <row r="1186">
      <c r="A1186" t="inlineStr">
        <is>
          <t>21/22</t>
        </is>
      </c>
      <c r="B1186" t="inlineStr">
        <is>
          <t>4FRNT</t>
        </is>
      </c>
      <c r="C1186" t="inlineStr">
        <is>
          <t>MSP 99</t>
        </is>
      </c>
      <c r="D1186" t="n">
        <v>181</v>
      </c>
      <c r="E1186" t="inlineStr">
        <is>
          <t xml:space="preserve"> Unisex</t>
        </is>
      </c>
      <c r="F1186" t="n">
        <v>181</v>
      </c>
      <c r="G1186" t="n">
        <v>180.2</v>
      </c>
      <c r="H1186" t="n">
        <v>131</v>
      </c>
      <c r="I1186" t="n">
        <v>151</v>
      </c>
      <c r="J1186" t="n">
        <v>134</v>
      </c>
      <c r="K1186" t="n">
        <v>98</v>
      </c>
      <c r="L1186" t="n">
        <v>122</v>
      </c>
      <c r="M1186" t="n">
        <v>17.8</v>
      </c>
      <c r="N1186" t="n">
        <v>2261</v>
      </c>
      <c r="O1186" t="n">
        <v>0.88</v>
      </c>
      <c r="P1186" t="n">
        <v>1982</v>
      </c>
      <c r="Q1186" t="n">
        <v>248</v>
      </c>
      <c r="R1186" t="n">
        <v>153</v>
      </c>
      <c r="S1186" t="n">
        <v>51</v>
      </c>
      <c r="T1186" t="n">
        <v>285</v>
      </c>
      <c r="U1186" t="n">
        <v>14</v>
      </c>
      <c r="V1186" t="n">
        <v>206</v>
      </c>
      <c r="W1186" t="n">
        <v>0.283</v>
      </c>
      <c r="X1186" t="n">
        <v>160</v>
      </c>
      <c r="Y1186" t="n">
        <v>132</v>
      </c>
      <c r="Z1186" t="n">
        <v>125</v>
      </c>
      <c r="AA1186" t="n">
        <v>5</v>
      </c>
      <c r="AB1186" t="n">
        <v>8.9</v>
      </c>
      <c r="AC1186" t="inlineStr">
        <is>
          <t xml:space="preserve"> Resort Freeride</t>
        </is>
      </c>
      <c r="AG1186" t="inlineStr">
        <is>
          <t>4FRNT Skis - MSP 99 - All Mountain Frontside Ski 181 cm</t>
        </is>
      </c>
      <c r="AH1186" t="inlineStr">
        <is>
          <t>4FRNT Skis</t>
        </is>
      </c>
      <c r="AI1186" s="333" t="n">
        <v>699</v>
      </c>
      <c r="AJ1186" t="inlineStr">
        <is>
          <t>https://tinyurl.com/ydfg496f</t>
        </is>
      </c>
      <c r="AS1186" s="314">
        <f>IF(LEFT(C1186,1)=" ",RIGHT(C1186,LEN(C1186)-1),C1186)</f>
        <v/>
      </c>
      <c r="AT1186" s="281">
        <f>_xlfn.CONCAT(B1186,AS1186,D1186,E1186)</f>
        <v/>
      </c>
    </row>
    <row r="1187">
      <c r="A1187" t="inlineStr">
        <is>
          <t>21/22</t>
        </is>
      </c>
      <c r="B1187" t="inlineStr">
        <is>
          <t xml:space="preserve"> Elan</t>
        </is>
      </c>
      <c r="C1187" t="inlineStr">
        <is>
          <t xml:space="preserve"> Snow Black</t>
        </is>
      </c>
      <c r="D1187" t="n">
        <v>146</v>
      </c>
      <c r="E1187" t="inlineStr">
        <is>
          <t xml:space="preserve"> Women's</t>
        </is>
      </c>
      <c r="F1187" t="n">
        <v>146</v>
      </c>
      <c r="G1187" t="n">
        <v>145</v>
      </c>
      <c r="H1187" t="n">
        <v>123</v>
      </c>
      <c r="I1187" t="n">
        <v>133</v>
      </c>
      <c r="J1187" t="n">
        <v>122</v>
      </c>
      <c r="K1187" t="n">
        <v>73</v>
      </c>
      <c r="L1187" t="n">
        <v>102</v>
      </c>
      <c r="M1187" t="n">
        <v>11.5</v>
      </c>
      <c r="N1187" t="n">
        <v>1356</v>
      </c>
      <c r="O1187" t="n">
        <v>0.9399999999999999</v>
      </c>
      <c r="P1187" t="n">
        <v>1273</v>
      </c>
      <c r="Q1187" t="n">
        <v>135</v>
      </c>
      <c r="R1187" t="n">
        <v>48</v>
      </c>
      <c r="S1187" t="n">
        <v>33</v>
      </c>
      <c r="T1187" t="n">
        <v>151</v>
      </c>
      <c r="U1187" t="n">
        <v>6</v>
      </c>
      <c r="V1187" t="n">
        <v>70</v>
      </c>
      <c r="W1187" t="n">
        <v>0.175</v>
      </c>
      <c r="X1187" t="n">
        <v>78</v>
      </c>
      <c r="Y1187" t="n">
        <v>37</v>
      </c>
      <c r="Z1187" t="n">
        <v>73</v>
      </c>
      <c r="AA1187" t="n">
        <v>8</v>
      </c>
      <c r="AB1187" t="n">
        <v>8.5</v>
      </c>
      <c r="AC1187" t="inlineStr">
        <is>
          <t xml:space="preserve"> On-Piste Carving</t>
        </is>
      </c>
      <c r="AG1187" t="inlineStr">
        <is>
          <t>Elan Black Magic LS ELW9.0 22</t>
        </is>
      </c>
      <c r="AH1187" t="inlineStr">
        <is>
          <t>Aspen Ski and Board</t>
        </is>
      </c>
      <c r="AI1187" s="333" t="n">
        <v>319.95</v>
      </c>
      <c r="AJ1187" t="inlineStr">
        <is>
          <t>https://tinyurl.com/y97o6uld</t>
        </is>
      </c>
      <c r="AK1187" t="inlineStr">
        <is>
          <t>Elan Delight Magic 19/20 Black 146 Ski Lady's Ladies / Women</t>
        </is>
      </c>
      <c r="AL1187" t="inlineStr">
        <is>
          <t>! OutdoorXL.com</t>
        </is>
      </c>
      <c r="AM1187" s="333" t="n">
        <v>319.95</v>
      </c>
      <c r="AN1187" t="inlineStr">
        <is>
          <t>https://tinyurl.com/yamom72n</t>
        </is>
      </c>
      <c r="AO1187" t="inlineStr">
        <is>
          <t>Elan Truflex Black and Red Skis with Bindings 2022</t>
        </is>
      </c>
      <c r="AP1187" t="inlineStr">
        <is>
          <t>Level Nine Sports</t>
        </is>
      </c>
      <c r="AQ1187" s="333" t="n">
        <v>349.99</v>
      </c>
      <c r="AR1187" t="inlineStr">
        <is>
          <t>https://tinyurl.com/y6u6w26s</t>
        </is>
      </c>
      <c r="AS1187" s="314">
        <f>IF(LEFT(C1187,1)=" ",RIGHT(C1187,LEN(C1187)-1),C1187)</f>
        <v/>
      </c>
      <c r="AT1187" s="281">
        <f>_xlfn.CONCAT(B1187,AS1187,D1187,E1187)</f>
        <v/>
      </c>
    </row>
    <row r="1188">
      <c r="A1188" t="inlineStr">
        <is>
          <t>21/22</t>
        </is>
      </c>
      <c r="B1188" t="inlineStr">
        <is>
          <t xml:space="preserve"> Faction</t>
        </is>
      </c>
      <c r="C1188" t="inlineStr">
        <is>
          <t>Prodigy 1.0 Jr</t>
        </is>
      </c>
      <c r="D1188" t="n">
        <v>155</v>
      </c>
      <c r="E1188" t="inlineStr">
        <is>
          <t xml:space="preserve"> Junior</t>
        </is>
      </c>
      <c r="F1188" t="n">
        <v>155</v>
      </c>
      <c r="G1188" t="n">
        <v>153.4</v>
      </c>
      <c r="H1188" t="n">
        <v>108</v>
      </c>
      <c r="I1188" t="n">
        <v>130</v>
      </c>
      <c r="J1188" t="n">
        <v>114</v>
      </c>
      <c r="K1188" t="n">
        <v>83</v>
      </c>
      <c r="L1188" t="n">
        <v>110</v>
      </c>
      <c r="M1188" t="n">
        <v>14</v>
      </c>
      <c r="N1188" t="n">
        <v>1307</v>
      </c>
      <c r="O1188" t="n">
        <v>1.11</v>
      </c>
      <c r="P1188" t="n">
        <v>1448</v>
      </c>
      <c r="Q1188" t="n">
        <v>132</v>
      </c>
      <c r="R1188" t="n">
        <v>45</v>
      </c>
      <c r="S1188" t="n">
        <v>46</v>
      </c>
      <c r="T1188" t="n">
        <v>229</v>
      </c>
      <c r="U1188" t="n">
        <v>44</v>
      </c>
      <c r="V1188" t="n">
        <v>220</v>
      </c>
      <c r="W1188" t="n">
        <v>0.951</v>
      </c>
      <c r="X1188" t="n">
        <v>118</v>
      </c>
      <c r="Y1188" t="n">
        <v>113</v>
      </c>
      <c r="Z1188" t="n">
        <v>111</v>
      </c>
      <c r="AA1188" t="n">
        <v>6</v>
      </c>
      <c r="AB1188" t="n">
        <v>3.2</v>
      </c>
      <c r="AC1188" t="inlineStr">
        <is>
          <t xml:space="preserve"> Freeski</t>
        </is>
      </c>
      <c r="AD1188" t="inlineStr">
        <is>
          <t xml:space="preserve"> Touring</t>
        </is>
      </c>
      <c r="AG1188" t="inlineStr">
        <is>
          <t>Prodigy 1.0 Jr Ski - 2022 - Kids' One Color, 155cm - Excellent</t>
        </is>
      </c>
      <c r="AH1188" t="inlineStr">
        <is>
          <t>Geartrade.com</t>
        </is>
      </c>
      <c r="AI1188" s="333" t="n">
        <v>224.66</v>
      </c>
      <c r="AJ1188" t="inlineStr">
        <is>
          <t>https://tinyurl.com/y8srkryv</t>
        </is>
      </c>
      <c r="AK1188" t="inlineStr">
        <is>
          <t>Faction CT 1.0 Skis JR 2022 155</t>
        </is>
      </c>
      <c r="AL1188" t="inlineStr">
        <is>
          <t>fullsendskiandoutdoor.com</t>
        </is>
      </c>
      <c r="AM1188" s="333" t="n">
        <v>359</v>
      </c>
      <c r="AN1188" t="inlineStr">
        <is>
          <t>https://tinyurl.com/y9kg2ocr</t>
        </is>
      </c>
      <c r="AO1188" t="inlineStr">
        <is>
          <t>Faction Ct 1.0 Jr Ski - Youth 2022</t>
        </is>
      </c>
      <c r="AP1188" t="inlineStr">
        <is>
          <t>Next Adventure</t>
        </is>
      </c>
      <c r="AQ1188" s="333" t="n">
        <v>367.2</v>
      </c>
      <c r="AR1188" t="inlineStr">
        <is>
          <t>https://tinyurl.com/y7o3mve9</t>
        </is>
      </c>
      <c r="AS1188" s="314">
        <f>IF(LEFT(C1188,1)=" ",RIGHT(C1188,LEN(C1188)-1),C1188)</f>
        <v/>
      </c>
      <c r="AT1188" s="281">
        <f>_xlfn.CONCAT(B1188,AS1188,D1188,E1188)</f>
        <v/>
      </c>
    </row>
    <row r="1189">
      <c r="A1189" t="inlineStr">
        <is>
          <t>21/22</t>
        </is>
      </c>
      <c r="B1189" t="inlineStr">
        <is>
          <t xml:space="preserve"> Head</t>
        </is>
      </c>
      <c r="C1189" t="inlineStr">
        <is>
          <t>Kore 99</t>
        </is>
      </c>
      <c r="D1189" t="n">
        <v>184</v>
      </c>
      <c r="E1189" t="inlineStr">
        <is>
          <t xml:space="preserve"> Unisex</t>
        </is>
      </c>
      <c r="F1189" t="n">
        <v>184</v>
      </c>
      <c r="G1189" t="n">
        <v>183.8</v>
      </c>
      <c r="H1189" t="n">
        <v>144</v>
      </c>
      <c r="I1189" t="n">
        <v>150</v>
      </c>
      <c r="J1189" t="n">
        <v>135</v>
      </c>
      <c r="K1189" t="n">
        <v>100</v>
      </c>
      <c r="L1189" t="n">
        <v>121</v>
      </c>
      <c r="M1189" t="n">
        <v>18.9</v>
      </c>
      <c r="N1189" t="n">
        <v>1841</v>
      </c>
      <c r="O1189" t="n">
        <v>1.11</v>
      </c>
      <c r="P1189" t="n">
        <v>2046</v>
      </c>
      <c r="Q1189" t="n">
        <v>293</v>
      </c>
      <c r="R1189" t="n">
        <v>148</v>
      </c>
      <c r="S1189" t="n">
        <v>51</v>
      </c>
      <c r="T1189" t="n">
        <v>231</v>
      </c>
      <c r="U1189" t="n">
        <v>17</v>
      </c>
      <c r="V1189" t="n">
        <v>164</v>
      </c>
      <c r="W1189" t="n">
        <v>0.337999999999999</v>
      </c>
      <c r="X1189" t="n">
        <v>189</v>
      </c>
      <c r="Y1189" t="n">
        <v>151</v>
      </c>
      <c r="Z1189" t="n">
        <v>42</v>
      </c>
      <c r="AA1189" t="n">
        <v>7</v>
      </c>
      <c r="AB1189" t="n">
        <v>10.9</v>
      </c>
      <c r="AC1189" t="inlineStr">
        <is>
          <t xml:space="preserve"> Resort Freeride</t>
        </is>
      </c>
      <c r="AD1189" t="inlineStr">
        <is>
          <t xml:space="preserve"> Big Mountain</t>
        </is>
      </c>
      <c r="AE1189" t="inlineStr">
        <is>
          <t xml:space="preserve"> Touring</t>
        </is>
      </c>
      <c r="AG1189" t="inlineStr">
        <is>
          <t>Head Kore 99 Skis</t>
        </is>
      </c>
      <c r="AH1189" t="inlineStr">
        <is>
          <t>SkatePro.com</t>
        </is>
      </c>
      <c r="AI1189" s="333" t="n">
        <v>509.95</v>
      </c>
      <c r="AJ1189" t="inlineStr">
        <is>
          <t>https://tinyurl.com/y9obdd26</t>
        </is>
      </c>
      <c r="AK1189" t="inlineStr">
        <is>
          <t>Head Kore 99 Incl Attack 14 GW Binding Anthracite-Red 184 Ski Men</t>
        </is>
      </c>
      <c r="AL1189" t="inlineStr">
        <is>
          <t>! OutdoorXL.com</t>
        </is>
      </c>
      <c r="AM1189" s="333" t="n">
        <v>514.95</v>
      </c>
      <c r="AN1189" t="inlineStr">
        <is>
          <t>https://tinyurl.com/yc6qbyca</t>
        </is>
      </c>
      <c r="AO1189" t="inlineStr">
        <is>
          <t>Head Kore 99 Skis</t>
        </is>
      </c>
      <c r="AP1189" t="inlineStr">
        <is>
          <t>evo.com</t>
        </is>
      </c>
      <c r="AQ1189" s="333" t="n">
        <v>519</v>
      </c>
      <c r="AR1189" t="inlineStr">
        <is>
          <t>https://tinyurl.com/yawuluc7</t>
        </is>
      </c>
      <c r="AS1189" s="314">
        <f>IF(LEFT(C1189,1)=" ",RIGHT(C1189,LEN(C1189)-1),C1189)</f>
        <v/>
      </c>
      <c r="AT1189" s="281">
        <f>_xlfn.CONCAT(B1189,AS1189,D1189,E1189)</f>
        <v/>
      </c>
    </row>
    <row r="1190">
      <c r="A1190" t="inlineStr">
        <is>
          <t>21/22</t>
        </is>
      </c>
      <c r="B1190" t="inlineStr">
        <is>
          <t xml:space="preserve"> Head</t>
        </is>
      </c>
      <c r="C1190" t="inlineStr">
        <is>
          <t xml:space="preserve"> Worldcup Rebels e-Race Pro</t>
        </is>
      </c>
      <c r="D1190" t="n">
        <v>170</v>
      </c>
      <c r="E1190" t="inlineStr">
        <is>
          <t xml:space="preserve"> Unisex</t>
        </is>
      </c>
      <c r="F1190" t="n">
        <v>170</v>
      </c>
      <c r="G1190" t="n">
        <v>169.3</v>
      </c>
      <c r="H1190" t="n">
        <v>151</v>
      </c>
      <c r="I1190" t="n">
        <v>159</v>
      </c>
      <c r="J1190" t="n">
        <v>120</v>
      </c>
      <c r="K1190" t="n">
        <v>67</v>
      </c>
      <c r="L1190" t="n">
        <v>101</v>
      </c>
      <c r="M1190" t="n">
        <v>14.5</v>
      </c>
      <c r="N1190" t="n">
        <v>2312</v>
      </c>
      <c r="O1190" t="n">
        <v>0.61</v>
      </c>
      <c r="P1190" t="n">
        <v>1401</v>
      </c>
      <c r="Q1190" t="n">
        <v>215</v>
      </c>
      <c r="R1190" t="n">
        <v>104</v>
      </c>
      <c r="S1190" t="n">
        <v>37</v>
      </c>
      <c r="T1190" t="n">
        <v>140</v>
      </c>
      <c r="U1190" t="n">
        <v>3</v>
      </c>
      <c r="V1190" t="n">
        <v>44</v>
      </c>
      <c r="W1190" t="n">
        <v>0.08</v>
      </c>
      <c r="X1190" t="n">
        <v>60</v>
      </c>
      <c r="Y1190" t="n">
        <v>46</v>
      </c>
      <c r="Z1190" t="n">
        <v>80</v>
      </c>
      <c r="AA1190" t="n">
        <v>13</v>
      </c>
      <c r="AB1190" t="n">
        <v>12.3</v>
      </c>
      <c r="AC1190" t="inlineStr">
        <is>
          <t xml:space="preserve"> On-Piste Carving</t>
        </is>
      </c>
      <c r="AG1190" t="inlineStr">
        <is>
          <t>Skiing Head Worldcup Rebels I. Shape Pro (attack Included) (size 170)</t>
        </is>
      </c>
      <c r="AH1190" t="inlineStr">
        <is>
          <t>eBay - vendiamoperte_italia</t>
        </is>
      </c>
      <c r="AI1190" s="333" t="n">
        <v>638.75</v>
      </c>
      <c r="AJ1190" t="inlineStr">
        <is>
          <t>https://tinyurl.com/ya92obe8</t>
        </is>
      </c>
      <c r="AK1190" t="inlineStr">
        <is>
          <t>Head Worldcup Rebels eSPEED Pro Skis 2021</t>
        </is>
      </c>
      <c r="AL1190" t="inlineStr">
        <is>
          <t>Suburban Ski and Bike</t>
        </is>
      </c>
      <c r="AM1190" s="333" t="n">
        <v>669.99</v>
      </c>
      <c r="AN1190" t="inlineStr">
        <is>
          <t>https://tinyurl.com/yayc3y2h</t>
        </is>
      </c>
      <c r="AO1190" t="inlineStr">
        <is>
          <t>Head Worldcup Rebels eSPEED Pro Skis 2021</t>
        </is>
      </c>
      <c r="AP1190" t="inlineStr">
        <is>
          <t>Powder7 Ski Shop</t>
        </is>
      </c>
      <c r="AQ1190" s="333" t="n">
        <v>899</v>
      </c>
      <c r="AR1190" t="inlineStr">
        <is>
          <t>https://tinyurl.com/y8vbozoq</t>
        </is>
      </c>
      <c r="AS1190" s="314">
        <f>IF(LEFT(C1190,1)=" ",RIGHT(C1190,LEN(C1190)-1),C1190)</f>
        <v/>
      </c>
      <c r="AT1190" s="281">
        <f>_xlfn.CONCAT(B1190,AS1190,D1190,E1190)</f>
        <v/>
      </c>
    </row>
    <row r="1191">
      <c r="A1191" t="inlineStr">
        <is>
          <t>21/22</t>
        </is>
      </c>
      <c r="B1191" t="inlineStr">
        <is>
          <t xml:space="preserve"> Blizzard</t>
        </is>
      </c>
      <c r="C1191" t="inlineStr">
        <is>
          <t>Zero G 85</t>
        </is>
      </c>
      <c r="D1191" t="n">
        <v>164</v>
      </c>
      <c r="E1191" t="inlineStr">
        <is>
          <t xml:space="preserve"> Unisex</t>
        </is>
      </c>
      <c r="F1191" t="n">
        <v>164</v>
      </c>
      <c r="G1191" t="n">
        <v>161.9</v>
      </c>
      <c r="H1191" t="n">
        <v>120</v>
      </c>
      <c r="I1191" t="n">
        <v>135</v>
      </c>
      <c r="J1191" t="n">
        <v>114</v>
      </c>
      <c r="K1191" t="n">
        <v>83</v>
      </c>
      <c r="L1191" t="n">
        <v>98</v>
      </c>
      <c r="M1191" t="n">
        <v>19.8</v>
      </c>
      <c r="N1191" t="n">
        <v>1014</v>
      </c>
      <c r="O1191" t="n">
        <v>1.46</v>
      </c>
      <c r="P1191" t="n">
        <v>1484</v>
      </c>
      <c r="Q1191" t="n">
        <v>164</v>
      </c>
      <c r="R1191" t="n">
        <v>57</v>
      </c>
      <c r="S1191" t="n">
        <v>57</v>
      </c>
      <c r="T1191" t="n">
        <v>230</v>
      </c>
      <c r="U1191" t="n">
        <v>10</v>
      </c>
      <c r="V1191" t="n">
        <v>191</v>
      </c>
      <c r="W1191" t="n">
        <v>0.17</v>
      </c>
      <c r="X1191" t="n">
        <v>139</v>
      </c>
      <c r="Y1191" t="n">
        <v>127</v>
      </c>
      <c r="Z1191" t="n">
        <v>91</v>
      </c>
      <c r="AA1191" t="n">
        <v>3</v>
      </c>
      <c r="AB1191" t="n">
        <v>10.6</v>
      </c>
      <c r="AC1191" t="inlineStr">
        <is>
          <t xml:space="preserve"> Touring</t>
        </is>
      </c>
      <c r="AD1191" t="inlineStr">
        <is>
          <t xml:space="preserve"> Ultralight Touring</t>
        </is>
      </c>
      <c r="AG1191" t="inlineStr">
        <is>
          <t>Blizzard Zero G 85 Ski - 164cm, Grey</t>
        </is>
      </c>
      <c r="AH1191" t="inlineStr">
        <is>
          <t>Backcountry.com</t>
        </is>
      </c>
      <c r="AI1191" s="333" t="n">
        <v>479.96</v>
      </c>
      <c r="AJ1191" t="inlineStr">
        <is>
          <t>https://tinyurl.com/y9nsg67l</t>
        </is>
      </c>
      <c r="AK1191" t="inlineStr">
        <is>
          <t>Blizzard Zero G 85 Ski - 164cm, Grey</t>
        </is>
      </c>
      <c r="AL1191" t="inlineStr">
        <is>
          <t>Skimo &amp; SkyRun</t>
        </is>
      </c>
      <c r="AM1191" s="333" t="n">
        <v>479.96</v>
      </c>
      <c r="AN1191" t="inlineStr">
        <is>
          <t>https://tinyurl.com/y8pwtuqo</t>
        </is>
      </c>
      <c r="AO1191" t="inlineStr">
        <is>
          <t>Blizzard Zero G 85 Ski - 164cm, Grey</t>
        </is>
      </c>
      <c r="AP1191" t="inlineStr">
        <is>
          <t>Steep &amp; Cheap</t>
        </is>
      </c>
      <c r="AQ1191" s="333" t="n">
        <v>479.96</v>
      </c>
      <c r="AR1191" t="inlineStr">
        <is>
          <t>https://tinyurl.com/yccafojz</t>
        </is>
      </c>
      <c r="AS1191" s="314">
        <f>IF(LEFT(C1191,1)=" ",RIGHT(C1191,LEN(C1191)-1),C1191)</f>
        <v/>
      </c>
      <c r="AT1191" s="281">
        <f>_xlfn.CONCAT(B1191,AS1191,D1191,E1191)</f>
        <v/>
      </c>
    </row>
    <row r="1192">
      <c r="A1192" t="inlineStr">
        <is>
          <t>21/22</t>
        </is>
      </c>
      <c r="B1192" t="inlineStr">
        <is>
          <t xml:space="preserve"> Atomic</t>
        </is>
      </c>
      <c r="C1192" t="inlineStr">
        <is>
          <t>Maverick 100 Ti</t>
        </is>
      </c>
      <c r="D1192" t="n">
        <v>188</v>
      </c>
      <c r="E1192" t="inlineStr">
        <is>
          <t xml:space="preserve"> Unisex</t>
        </is>
      </c>
      <c r="F1192" t="n">
        <v>188</v>
      </c>
      <c r="G1192" t="n">
        <v>187</v>
      </c>
      <c r="H1192" t="n">
        <v>132</v>
      </c>
      <c r="I1192" t="n">
        <v>149</v>
      </c>
      <c r="J1192" t="n">
        <v>129</v>
      </c>
      <c r="K1192" t="n">
        <v>100</v>
      </c>
      <c r="L1192" t="n">
        <v>120</v>
      </c>
      <c r="M1192" t="n">
        <v>21.5</v>
      </c>
      <c r="N1192" t="n">
        <v>1810</v>
      </c>
      <c r="O1192" t="n">
        <v>1.12</v>
      </c>
      <c r="P1192" t="n">
        <v>2023</v>
      </c>
      <c r="Q1192" t="n">
        <v>265</v>
      </c>
      <c r="R1192" t="n">
        <v>173</v>
      </c>
      <c r="S1192" t="n">
        <v>69</v>
      </c>
      <c r="T1192" t="n">
        <v>329</v>
      </c>
      <c r="U1192" t="n">
        <v>19</v>
      </c>
      <c r="V1192" t="n">
        <v>224</v>
      </c>
      <c r="W1192" t="n">
        <v>0.281</v>
      </c>
      <c r="X1192" t="n">
        <v>212</v>
      </c>
      <c r="Y1192" t="n">
        <v>164</v>
      </c>
      <c r="Z1192" t="n">
        <v>117</v>
      </c>
      <c r="AA1192" t="n">
        <v>6</v>
      </c>
      <c r="AB1192" t="n">
        <v>10.8</v>
      </c>
      <c r="AC1192" t="inlineStr">
        <is>
          <t xml:space="preserve"> Resort Freeride</t>
        </is>
      </c>
      <c r="AD1192" t="inlineStr">
        <is>
          <t xml:space="preserve"> Touring</t>
        </is>
      </c>
      <c r="AG1192" t="inlineStr">
        <is>
          <t>Atomic Maverick 100 Ti Bk/Darkgreen / 188cm</t>
        </is>
      </c>
      <c r="AH1192" t="inlineStr">
        <is>
          <t>Sundance Ski and Board Shop</t>
        </is>
      </c>
      <c r="AI1192" s="333" t="n">
        <v>561.01</v>
      </c>
      <c r="AJ1192" t="inlineStr">
        <is>
          <t>https://tinyurl.com/ybd8wlfa</t>
        </is>
      </c>
      <c r="AK1192" t="inlineStr">
        <is>
          <t>Atomic Maverick 100 Ti Skis 2022</t>
        </is>
      </c>
      <c r="AL1192" t="inlineStr">
        <is>
          <t>Backcountry.com</t>
        </is>
      </c>
      <c r="AM1192" s="333" t="n">
        <v>599.96</v>
      </c>
      <c r="AN1192" t="inlineStr">
        <is>
          <t>https://tinyurl.com/y8rryykq</t>
        </is>
      </c>
      <c r="AO1192" t="inlineStr">
        <is>
          <t>Atomic Maverick 100 Ti Skis 2022</t>
        </is>
      </c>
      <c r="AP1192" t="inlineStr">
        <is>
          <t>evo.com</t>
        </is>
      </c>
      <c r="AQ1192" s="333" t="n">
        <v>599.98</v>
      </c>
      <c r="AR1192" t="inlineStr">
        <is>
          <t>https://tinyurl.com/y8zjspxc</t>
        </is>
      </c>
      <c r="AS1192" s="314">
        <f>IF(LEFT(C1192,1)=" ",RIGHT(C1192,LEN(C1192)-1),C1192)</f>
        <v/>
      </c>
      <c r="AT1192" s="281">
        <f>_xlfn.CONCAT(B1192,AS1192,D1192,E1192)</f>
        <v/>
      </c>
    </row>
    <row r="1193">
      <c r="A1193" t="inlineStr">
        <is>
          <t>21/22</t>
        </is>
      </c>
      <c r="B1193" t="inlineStr">
        <is>
          <t xml:space="preserve"> Atomic</t>
        </is>
      </c>
      <c r="C1193" t="inlineStr">
        <is>
          <t>Redster S9 Revo</t>
        </is>
      </c>
      <c r="D1193" t="n">
        <v>170</v>
      </c>
      <c r="E1193" t="inlineStr">
        <is>
          <t xml:space="preserve"> Unisex</t>
        </is>
      </c>
      <c r="F1193" t="n">
        <v>170</v>
      </c>
      <c r="G1193" t="n">
        <v>169.5</v>
      </c>
      <c r="H1193" t="n">
        <v>151</v>
      </c>
      <c r="I1193" t="n">
        <v>156</v>
      </c>
      <c r="J1193" t="n">
        <v>118</v>
      </c>
      <c r="K1193" t="n">
        <v>67</v>
      </c>
      <c r="L1193" t="n">
        <v>104</v>
      </c>
      <c r="M1193" t="n">
        <v>13.4</v>
      </c>
      <c r="N1193" t="n">
        <v>2107</v>
      </c>
      <c r="O1193" t="n">
        <v>0.67</v>
      </c>
      <c r="P1193" t="n">
        <v>1418</v>
      </c>
      <c r="Q1193" t="n">
        <v>244</v>
      </c>
      <c r="R1193" t="n">
        <v>118</v>
      </c>
      <c r="S1193" t="n">
        <v>33</v>
      </c>
      <c r="T1193" t="n">
        <v>139</v>
      </c>
      <c r="U1193" t="n">
        <v>4</v>
      </c>
      <c r="V1193" t="n">
        <v>49</v>
      </c>
      <c r="W1193" t="n">
        <v>0.122</v>
      </c>
      <c r="X1193" t="n">
        <v>83</v>
      </c>
      <c r="Y1193" t="n">
        <v>54</v>
      </c>
      <c r="Z1193" t="n">
        <v>56</v>
      </c>
      <c r="AA1193" t="n">
        <v>12</v>
      </c>
      <c r="AB1193" t="n">
        <v>13.4</v>
      </c>
      <c r="AC1193" t="inlineStr">
        <is>
          <t xml:space="preserve"> On-Piste Carving</t>
        </is>
      </c>
      <c r="AG1193" t="inlineStr">
        <is>
          <t>Atomic Redster S9 Revo S Skis + x 12 GW Bindings Â· 170 cm</t>
        </is>
      </c>
      <c r="AH1193" t="inlineStr">
        <is>
          <t>Suburban Ski and Bike</t>
        </is>
      </c>
      <c r="AI1193" s="333" t="n">
        <v>999.99</v>
      </c>
      <c r="AJ1193" t="inlineStr">
        <is>
          <t>https://tinyurl.com/y9s959lt</t>
        </is>
      </c>
      <c r="AK1193" t="inlineStr">
        <is>
          <t>Atomic Redster S9i Skis w Atomic X12 TL GW Demo Bindings  Demo</t>
        </is>
      </c>
      <c r="AL1193" t="inlineStr">
        <is>
          <t>Powder7 Ski Shop</t>
        </is>
      </c>
      <c r="AM1193" s="333" t="n">
        <v>439.99</v>
      </c>
      <c r="AN1193" t="inlineStr">
        <is>
          <t>https://tinyurl.com/y8nz7ey7</t>
        </is>
      </c>
      <c r="AO1193" t="inlineStr">
        <is>
          <t>Atomic Mens Redster XT Skis + XT 10 Bindings 2017 - 170</t>
        </is>
      </c>
      <c r="AP1193" t="inlineStr">
        <is>
          <t>Sun 'N Fun Specialty Sports</t>
        </is>
      </c>
      <c r="AQ1193" s="333" t="n">
        <v>499.95</v>
      </c>
      <c r="AR1193" t="inlineStr">
        <is>
          <t>https://tinyurl.com/yc856rh3</t>
        </is>
      </c>
      <c r="AS1193" s="314">
        <f>IF(LEFT(C1193,1)=" ",RIGHT(C1193,LEN(C1193)-1),C1193)</f>
        <v/>
      </c>
      <c r="AT1193" s="281">
        <f>_xlfn.CONCAT(B1193,AS1193,D1193,E1193)</f>
        <v/>
      </c>
    </row>
    <row r="1194">
      <c r="A1194" t="inlineStr">
        <is>
          <t>21/22</t>
        </is>
      </c>
      <c r="B1194" t="inlineStr">
        <is>
          <t xml:space="preserve"> Nordica</t>
        </is>
      </c>
      <c r="C1194" t="inlineStr">
        <is>
          <t>Enforcer 110 Free</t>
        </is>
      </c>
      <c r="D1194" t="n">
        <v>185</v>
      </c>
      <c r="E1194" t="inlineStr">
        <is>
          <t xml:space="preserve"> Unisex</t>
        </is>
      </c>
      <c r="F1194" t="n">
        <v>185</v>
      </c>
      <c r="G1194" t="n">
        <v>184.1</v>
      </c>
      <c r="H1194" t="n">
        <v>125</v>
      </c>
      <c r="I1194" t="n">
        <v>151</v>
      </c>
      <c r="J1194" t="n">
        <v>140</v>
      </c>
      <c r="K1194" t="n">
        <v>109</v>
      </c>
      <c r="L1194" t="n">
        <v>131</v>
      </c>
      <c r="M1194" t="n">
        <v>18.8</v>
      </c>
      <c r="N1194" t="n">
        <v>2292</v>
      </c>
      <c r="O1194" t="n">
        <v>0.96</v>
      </c>
      <c r="P1194" t="n">
        <v>2194</v>
      </c>
      <c r="Q1194" t="n">
        <v>209</v>
      </c>
      <c r="R1194" t="n">
        <v>149</v>
      </c>
      <c r="S1194" t="n">
        <v>58</v>
      </c>
      <c r="T1194" t="n">
        <v>326</v>
      </c>
      <c r="U1194" t="n">
        <v>39</v>
      </c>
      <c r="V1194" t="n">
        <v>261</v>
      </c>
      <c r="W1194" t="n">
        <v>0.66</v>
      </c>
      <c r="X1194" t="n">
        <v>170</v>
      </c>
      <c r="Y1194" t="n">
        <v>161</v>
      </c>
      <c r="Z1194" t="n">
        <v>157</v>
      </c>
      <c r="AA1194" t="n">
        <v>10</v>
      </c>
      <c r="AB1194" t="n">
        <v>8.800000000000001</v>
      </c>
      <c r="AC1194" t="inlineStr">
        <is>
          <t xml:space="preserve"> Powder</t>
        </is>
      </c>
      <c r="AG1194" t="inlineStr">
        <is>
          <t>2022 Nordica Enforcer 110 Free snow skis 185</t>
        </is>
      </c>
      <c r="AH1194" t="inlineStr">
        <is>
          <t>The Pro Shop</t>
        </is>
      </c>
      <c r="AI1194" s="333" t="n">
        <v>799.99</v>
      </c>
      <c r="AJ1194" t="inlineStr">
        <is>
          <t>https://tinyurl.com/yd4vdvoq</t>
        </is>
      </c>
      <c r="AK1194" t="inlineStr">
        <is>
          <t>Nordica Enforcer 93 With Marker Griffon Bindings</t>
        </is>
      </c>
      <c r="AL1194" t="inlineStr">
        <is>
          <t>eBay</t>
        </is>
      </c>
      <c r="AM1194" s="333" t="n">
        <v>400</v>
      </c>
      <c r="AN1194" t="inlineStr">
        <is>
          <t>https://tinyurl.com/yay24pme</t>
        </is>
      </c>
      <c r="AO1194" t="inlineStr">
        <is>
          <t xml:space="preserve"> Nordica Enforcer 93 185 Cm Mens Downhill Ski Combo</t>
        </is>
      </c>
      <c r="AP1194" t="inlineStr">
        <is>
          <t>Play It Again Sports</t>
        </is>
      </c>
      <c r="AQ1194" s="333" t="n">
        <v>449.99</v>
      </c>
      <c r="AR1194" t="inlineStr">
        <is>
          <t>https://tinyurl.com/ydyh854u</t>
        </is>
      </c>
      <c r="AS1194" s="314">
        <f>IF(LEFT(C1194,1)=" ",RIGHT(C1194,LEN(C1194)-1),C1194)</f>
        <v/>
      </c>
      <c r="AT1194" s="281">
        <f>_xlfn.CONCAT(B1194,AS1194,D1194,E1194)</f>
        <v/>
      </c>
    </row>
    <row r="1195">
      <c r="A1195" t="inlineStr">
        <is>
          <t>21/22</t>
        </is>
      </c>
      <c r="B1195" t="inlineStr">
        <is>
          <t xml:space="preserve"> Blizzard</t>
        </is>
      </c>
      <c r="C1195" t="inlineStr">
        <is>
          <t xml:space="preserve"> HRC</t>
        </is>
      </c>
      <c r="D1195" t="n">
        <v>166</v>
      </c>
      <c r="E1195" t="inlineStr">
        <is>
          <t xml:space="preserve"> Unisex</t>
        </is>
      </c>
      <c r="F1195" t="n">
        <v>166</v>
      </c>
      <c r="G1195" t="n">
        <v>165.2</v>
      </c>
      <c r="H1195" t="n">
        <v>148</v>
      </c>
      <c r="I1195" t="n">
        <v>153</v>
      </c>
      <c r="J1195" t="n">
        <v>123</v>
      </c>
      <c r="K1195" t="n">
        <v>74</v>
      </c>
      <c r="L1195" t="n">
        <v>104</v>
      </c>
      <c r="M1195" t="n">
        <v>14.4</v>
      </c>
      <c r="N1195" t="n">
        <v>2094</v>
      </c>
      <c r="O1195" t="n">
        <v>0.7</v>
      </c>
      <c r="P1195" t="n">
        <v>1465</v>
      </c>
      <c r="Q1195" t="n">
        <v>198</v>
      </c>
      <c r="R1195" t="n">
        <v>129</v>
      </c>
      <c r="S1195" t="n">
        <v>36</v>
      </c>
      <c r="T1195" t="n">
        <v>123</v>
      </c>
      <c r="U1195" t="n">
        <v>5</v>
      </c>
      <c r="V1195" t="n">
        <v>49</v>
      </c>
      <c r="W1195" t="n">
        <v>0.146</v>
      </c>
      <c r="X1195" t="n">
        <v>73</v>
      </c>
      <c r="Y1195" t="n">
        <v>51</v>
      </c>
      <c r="Z1195" t="n">
        <v>50</v>
      </c>
      <c r="AA1195" t="n">
        <v>10</v>
      </c>
      <c r="AB1195" t="n">
        <v>11.2</v>
      </c>
      <c r="AC1195" t="inlineStr">
        <is>
          <t xml:space="preserve"> On-Piste Carving</t>
        </is>
      </c>
      <c r="AG1195" t="inlineStr">
        <is>
          <t>Blizzard Firebird HRC WC Piston Skis Â· 2022 Â· 166 cm</t>
        </is>
      </c>
      <c r="AH1195" t="inlineStr">
        <is>
          <t>Powder7 Ski Shop</t>
        </is>
      </c>
      <c r="AI1195" s="333" t="n">
        <v>799.95</v>
      </c>
      <c r="AJ1195" t="inlineStr">
        <is>
          <t>https://tinyurl.com/y93kncbx</t>
        </is>
      </c>
      <c r="AK1195" t="inlineStr">
        <is>
          <t>2021 Blizzard Firebird HRC Skis w/Xcell 14 Bindings</t>
        </is>
      </c>
      <c r="AL1195" t="inlineStr">
        <is>
          <t>Suburban Ski and Bike</t>
        </is>
      </c>
      <c r="AM1195" s="333" t="n">
        <v>879</v>
      </c>
      <c r="AN1195" t="inlineStr">
        <is>
          <t>https://tinyurl.com/y9ckq7u6</t>
        </is>
      </c>
      <c r="AO1195" t="inlineStr">
        <is>
          <t>2022 Blizzard Firebird Hrc Skis W/ Xcell 14 Bindings | 8a003000</t>
        </is>
      </c>
      <c r="AP1195" t="inlineStr">
        <is>
          <t>eBay - david110549</t>
        </is>
      </c>
      <c r="AQ1195" s="333" t="n">
        <v>879.95</v>
      </c>
      <c r="AR1195" t="inlineStr">
        <is>
          <t>https://tinyurl.com/y6wajrwg</t>
        </is>
      </c>
      <c r="AS1195" s="314">
        <f>IF(LEFT(C1195,1)=" ",RIGHT(C1195,LEN(C1195)-1),C1195)</f>
        <v/>
      </c>
      <c r="AT1195" s="281">
        <f>_xlfn.CONCAT(B1195,AS1195,D1195,E1195)</f>
        <v/>
      </c>
    </row>
    <row r="1196">
      <c r="A1196" t="inlineStr">
        <is>
          <t>21/22</t>
        </is>
      </c>
      <c r="B1196" t="inlineStr">
        <is>
          <t>4FRNT</t>
        </is>
      </c>
      <c r="C1196" t="inlineStr">
        <is>
          <t>Devastator</t>
        </is>
      </c>
      <c r="D1196" t="n">
        <v>186</v>
      </c>
      <c r="E1196" t="inlineStr">
        <is>
          <t xml:space="preserve"> Unisex</t>
        </is>
      </c>
      <c r="F1196" t="n">
        <v>186</v>
      </c>
      <c r="G1196" t="n">
        <v>183.8</v>
      </c>
      <c r="H1196" t="n">
        <v>0</v>
      </c>
      <c r="I1196" t="n">
        <v>151</v>
      </c>
      <c r="J1196" t="n">
        <v>136</v>
      </c>
      <c r="K1196" t="n">
        <v>107</v>
      </c>
      <c r="L1196" t="n">
        <v>130</v>
      </c>
      <c r="M1196" t="n">
        <v>20.7</v>
      </c>
      <c r="N1196" t="n">
        <v>1970</v>
      </c>
      <c r="O1196" t="n">
        <v>1.09</v>
      </c>
      <c r="P1196" t="n">
        <v>2144</v>
      </c>
      <c r="Q1196" t="n">
        <v>310</v>
      </c>
      <c r="R1196" t="n">
        <v>129</v>
      </c>
      <c r="S1196" t="n">
        <v>59</v>
      </c>
      <c r="T1196" t="n">
        <v>971</v>
      </c>
      <c r="U1196" t="n">
        <v>54</v>
      </c>
      <c r="V1196" t="n">
        <v>867</v>
      </c>
      <c r="W1196" t="n">
        <v>0.902</v>
      </c>
      <c r="X1196" t="n">
        <v>165</v>
      </c>
      <c r="Y1196" t="n">
        <v>159</v>
      </c>
      <c r="Z1196" t="n">
        <v>806</v>
      </c>
      <c r="AA1196" t="n">
        <v>-10</v>
      </c>
      <c r="AB1196" t="n">
        <v>5.2</v>
      </c>
      <c r="AC1196" t="inlineStr">
        <is>
          <t xml:space="preserve"> Freeski</t>
        </is>
      </c>
      <c r="AD1196" t="inlineStr">
        <is>
          <t xml:space="preserve"> Powder</t>
        </is>
      </c>
      <c r="AE1196" t="inlineStr">
        <is>
          <t xml:space="preserve"> Touring</t>
        </is>
      </c>
      <c r="AS1196" s="314">
        <f>IF(LEFT(C1196,1)=" ",RIGHT(C1196,LEN(C1196)-1),C1196)</f>
        <v/>
      </c>
      <c r="AT1196" s="281">
        <f>_xlfn.CONCAT(B1196,AS1196,D1196,E1196)</f>
        <v/>
      </c>
    </row>
    <row r="1197">
      <c r="A1197" t="inlineStr">
        <is>
          <t>21/22</t>
        </is>
      </c>
      <c r="B1197" t="inlineStr">
        <is>
          <t xml:space="preserve"> Elan</t>
        </is>
      </c>
      <c r="C1197" t="inlineStr">
        <is>
          <t xml:space="preserve"> Ace SLX</t>
        </is>
      </c>
      <c r="D1197" t="n">
        <v>159</v>
      </c>
      <c r="E1197" t="inlineStr">
        <is>
          <t xml:space="preserve"> Unisex</t>
        </is>
      </c>
      <c r="F1197" t="n">
        <v>159</v>
      </c>
      <c r="G1197" t="n">
        <v>157.9</v>
      </c>
      <c r="H1197" t="n">
        <v>141</v>
      </c>
      <c r="I1197" t="n">
        <v>148</v>
      </c>
      <c r="J1197" t="n">
        <v>118</v>
      </c>
      <c r="K1197" t="n">
        <v>67</v>
      </c>
      <c r="L1197" t="n">
        <v>102</v>
      </c>
      <c r="M1197" t="n">
        <v>12.6</v>
      </c>
      <c r="N1197" t="n">
        <v>2277</v>
      </c>
      <c r="O1197" t="n">
        <v>0.58</v>
      </c>
      <c r="P1197" t="n">
        <v>1309</v>
      </c>
      <c r="Q1197" t="n">
        <v>217</v>
      </c>
      <c r="R1197" t="n">
        <v>121</v>
      </c>
      <c r="S1197" t="n">
        <v>36</v>
      </c>
      <c r="T1197" t="n">
        <v>131</v>
      </c>
      <c r="U1197" t="n">
        <v>3</v>
      </c>
      <c r="V1197" t="n">
        <v>41</v>
      </c>
      <c r="W1197" t="n">
        <v>0.092</v>
      </c>
      <c r="X1197" t="n">
        <v>58</v>
      </c>
      <c r="Y1197" t="n">
        <v>39</v>
      </c>
      <c r="Z1197" t="n">
        <v>74</v>
      </c>
      <c r="AA1197" t="n">
        <v>10</v>
      </c>
      <c r="AB1197" t="n">
        <v>9</v>
      </c>
      <c r="AC1197" t="inlineStr">
        <is>
          <t xml:space="preserve"> On-Piste Carving</t>
        </is>
      </c>
      <c r="AG1197" t="inlineStr">
        <is>
          <t>Elan SL + EMX 11 21/22</t>
        </is>
      </c>
      <c r="AH1197" t="inlineStr">
        <is>
          <t>Snowcountry.eu</t>
        </is>
      </c>
      <c r="AI1197" s="333" t="n">
        <v>515.3</v>
      </c>
      <c r="AJ1197" t="inlineStr">
        <is>
          <t>https://tinyurl.com/y7dq22xs</t>
        </is>
      </c>
      <c r="AS1197" s="314">
        <f>IF(LEFT(C1197,1)=" ",RIGHT(C1197,LEN(C1197)-1),C1197)</f>
        <v/>
      </c>
      <c r="AT1197" s="281">
        <f>_xlfn.CONCAT(B1197,AS1197,D1197,E1197)</f>
        <v/>
      </c>
    </row>
    <row r="1198">
      <c r="A1198" t="inlineStr">
        <is>
          <t>21/22</t>
        </is>
      </c>
      <c r="B1198" t="inlineStr">
        <is>
          <t xml:space="preserve"> Armada</t>
        </is>
      </c>
      <c r="C1198" t="inlineStr">
        <is>
          <t>Trace 88</t>
        </is>
      </c>
      <c r="D1198" t="n">
        <v>152</v>
      </c>
      <c r="E1198" t="inlineStr">
        <is>
          <t xml:space="preserve"> Women's</t>
        </is>
      </c>
      <c r="F1198" t="n">
        <v>152</v>
      </c>
      <c r="G1198" t="n">
        <v>151.3</v>
      </c>
      <c r="H1198" t="n">
        <v>121</v>
      </c>
      <c r="I1198" t="n">
        <v>128</v>
      </c>
      <c r="J1198" t="n">
        <v>113</v>
      </c>
      <c r="K1198" t="n">
        <v>87</v>
      </c>
      <c r="L1198" t="n">
        <v>105</v>
      </c>
      <c r="M1198" t="n">
        <v>18.9</v>
      </c>
      <c r="N1198" t="n">
        <v>1062</v>
      </c>
      <c r="O1198" t="n">
        <v>1.35</v>
      </c>
      <c r="P1198" t="n">
        <v>1431</v>
      </c>
      <c r="Q1198" t="n">
        <v>146</v>
      </c>
      <c r="R1198" t="n">
        <v>58</v>
      </c>
      <c r="S1198" t="n">
        <v>34</v>
      </c>
      <c r="T1198" t="n">
        <v>184</v>
      </c>
      <c r="U1198" t="n">
        <v>11</v>
      </c>
      <c r="V1198" t="n">
        <v>118</v>
      </c>
      <c r="W1198" t="n">
        <v>0.312</v>
      </c>
      <c r="X1198" t="n">
        <v>147</v>
      </c>
      <c r="Y1198" t="n">
        <v>87</v>
      </c>
      <c r="Z1198" t="n">
        <v>37</v>
      </c>
      <c r="AA1198" t="n">
        <v>3</v>
      </c>
      <c r="AB1198" t="n">
        <v>6.8</v>
      </c>
      <c r="AC1198" t="inlineStr">
        <is>
          <t xml:space="preserve"> Touring</t>
        </is>
      </c>
      <c r="AD1198" t="inlineStr">
        <is>
          <t xml:space="preserve"> Ultralight Touring</t>
        </is>
      </c>
      <c r="AG1198" t="inlineStr">
        <is>
          <t>Armada Trace 88 White Skis Â· Women's Â· 152 cm</t>
        </is>
      </c>
      <c r="AH1198" t="inlineStr">
        <is>
          <t>Ski Pro  - Snow Ski &amp; Snowboard</t>
        </is>
      </c>
      <c r="AI1198" s="333" t="n">
        <v>479.95</v>
      </c>
      <c r="AJ1198" t="inlineStr">
        <is>
          <t>https://tinyurl.com/y8ro578v</t>
        </is>
      </c>
      <c r="AK1198" t="inlineStr">
        <is>
          <t>Armada Trace 88 White Skis Â· Women's Â· 152 cm</t>
        </is>
      </c>
      <c r="AL1198" t="inlineStr">
        <is>
          <t>eBay - david110549</t>
        </is>
      </c>
      <c r="AM1198" s="333" t="n">
        <v>479.96</v>
      </c>
      <c r="AN1198" t="inlineStr">
        <is>
          <t>https://tinyurl.com/y8o9wdm2</t>
        </is>
      </c>
      <c r="AO1198" t="inlineStr">
        <is>
          <t>Armada Trace 88 White Skis Â· Women's Â· 152 cm</t>
        </is>
      </c>
      <c r="AP1198" t="inlineStr">
        <is>
          <t>SkiEssentials.com</t>
        </is>
      </c>
      <c r="AQ1198" s="333" t="n">
        <v>479.96</v>
      </c>
      <c r="AR1198" t="inlineStr">
        <is>
          <t>https://tinyurl.com/y8wsue5p</t>
        </is>
      </c>
      <c r="AS1198" s="314">
        <f>IF(LEFT(C1198,1)=" ",RIGHT(C1198,LEN(C1198)-1),C1198)</f>
        <v/>
      </c>
      <c r="AT1198" s="281">
        <f>_xlfn.CONCAT(B1198,AS1198,D1198,E1198)</f>
        <v/>
      </c>
    </row>
    <row r="1199">
      <c r="A1199" t="inlineStr">
        <is>
          <t>21/22</t>
        </is>
      </c>
      <c r="B1199" t="inlineStr">
        <is>
          <t>4FRNT</t>
        </is>
      </c>
      <c r="C1199" t="inlineStr">
        <is>
          <t xml:space="preserve"> Hoji</t>
        </is>
      </c>
      <c r="D1199" t="n">
        <v>184</v>
      </c>
      <c r="E1199" t="inlineStr">
        <is>
          <t xml:space="preserve"> Unisex</t>
        </is>
      </c>
      <c r="F1199" t="n">
        <v>184</v>
      </c>
      <c r="G1199" t="n">
        <v>182.7</v>
      </c>
      <c r="H1199" t="n">
        <v>0</v>
      </c>
      <c r="I1199" t="n">
        <v>132</v>
      </c>
      <c r="J1199" t="n">
        <v>128</v>
      </c>
      <c r="K1199" t="n">
        <v>112</v>
      </c>
      <c r="L1199" t="n">
        <v>119</v>
      </c>
      <c r="M1199" t="n">
        <v>30.1</v>
      </c>
      <c r="N1199" t="n">
        <v>1920</v>
      </c>
      <c r="O1199" t="n">
        <v>1.1</v>
      </c>
      <c r="P1199" t="n">
        <v>2118</v>
      </c>
      <c r="Q1199" t="n">
        <v>297</v>
      </c>
      <c r="R1199" t="n">
        <v>117</v>
      </c>
      <c r="S1199" t="n">
        <v>76</v>
      </c>
      <c r="T1199" t="n">
        <v>982</v>
      </c>
      <c r="U1199" t="n">
        <v>28</v>
      </c>
      <c r="V1199" t="n">
        <v>845</v>
      </c>
      <c r="W1199" t="n">
        <v>0.366</v>
      </c>
      <c r="X1199" t="n">
        <v>209</v>
      </c>
      <c r="Y1199" t="n">
        <v>301</v>
      </c>
      <c r="Z1199" t="n">
        <v>773</v>
      </c>
      <c r="AA1199" t="n">
        <v>-11</v>
      </c>
      <c r="AB1199" t="n">
        <v>6.9</v>
      </c>
      <c r="AC1199" t="inlineStr">
        <is>
          <t xml:space="preserve"> Powder</t>
        </is>
      </c>
      <c r="AD1199" t="inlineStr">
        <is>
          <t xml:space="preserve"> Big Mountain</t>
        </is>
      </c>
      <c r="AE1199" t="inlineStr">
        <is>
          <t xml:space="preserve"> Touring</t>
        </is>
      </c>
      <c r="AG1199" t="inlineStr">
        <is>
          <t>4frnt Raven 184cm Snow Skis 4-lock All Mountain Touring No Bindings</t>
        </is>
      </c>
      <c r="AH1199" t="inlineStr">
        <is>
          <t>eBay - ecornholebag</t>
        </is>
      </c>
      <c r="AI1199" s="333" t="n">
        <v>649.99</v>
      </c>
      <c r="AJ1199" t="inlineStr">
        <is>
          <t>https://tinyurl.com/yco2dm23</t>
        </is>
      </c>
      <c r="AS1199" s="314">
        <f>IF(LEFT(C1199,1)=" ",RIGHT(C1199,LEN(C1199)-1),C1199)</f>
        <v/>
      </c>
      <c r="AT1199" s="281">
        <f>_xlfn.CONCAT(B1199,AS1199,D1199,E1199)</f>
        <v/>
      </c>
    </row>
    <row r="1200">
      <c r="A1200" t="inlineStr">
        <is>
          <t>21/22</t>
        </is>
      </c>
      <c r="B1200" t="inlineStr">
        <is>
          <t xml:space="preserve"> Blizzard</t>
        </is>
      </c>
      <c r="C1200" t="inlineStr">
        <is>
          <t>Brahma 82</t>
        </is>
      </c>
      <c r="D1200" t="n">
        <v>187</v>
      </c>
      <c r="E1200" t="inlineStr">
        <is>
          <t xml:space="preserve"> Unisex</t>
        </is>
      </c>
      <c r="F1200" t="n">
        <v>187</v>
      </c>
      <c r="G1200" t="n">
        <v>185</v>
      </c>
      <c r="H1200" t="n">
        <v>150</v>
      </c>
      <c r="I1200" t="n">
        <v>162</v>
      </c>
      <c r="J1200" t="n">
        <v>121</v>
      </c>
      <c r="K1200" t="n">
        <v>81</v>
      </c>
      <c r="L1200" t="n">
        <v>104</v>
      </c>
      <c r="M1200" t="n">
        <v>20.5</v>
      </c>
      <c r="N1200" t="n">
        <v>2080</v>
      </c>
      <c r="O1200" t="n">
        <v>0.83</v>
      </c>
      <c r="P1200" t="n">
        <v>1729</v>
      </c>
      <c r="Q1200" t="n">
        <v>275</v>
      </c>
      <c r="R1200" t="n">
        <v>152</v>
      </c>
      <c r="S1200" t="n">
        <v>55</v>
      </c>
      <c r="T1200" t="n">
        <v>251</v>
      </c>
      <c r="U1200" t="n">
        <v>5</v>
      </c>
      <c r="V1200" t="n">
        <v>95</v>
      </c>
      <c r="W1200" t="n">
        <v>0.08500000000000001</v>
      </c>
      <c r="X1200" t="n">
        <v>122</v>
      </c>
      <c r="Y1200" t="n">
        <v>110</v>
      </c>
      <c r="Z1200" t="n">
        <v>129</v>
      </c>
      <c r="AA1200" t="n">
        <v>4</v>
      </c>
      <c r="AB1200" t="n">
        <v>11.1</v>
      </c>
      <c r="AC1200" t="inlineStr">
        <is>
          <t xml:space="preserve"> On-Piste Carving</t>
        </is>
      </c>
      <c r="AD1200" t="inlineStr">
        <is>
          <t xml:space="preserve"> On-Piste All-Mountain</t>
        </is>
      </c>
      <c r="AE1200" t="inlineStr">
        <is>
          <t xml:space="preserve"> Resort Freeride</t>
        </is>
      </c>
      <c r="AG1200" t="inlineStr">
        <is>
          <t>Blizzard Brahma 82 Skis (Blue) Man</t>
        </is>
      </c>
      <c r="AH1200" t="inlineStr">
        <is>
          <t>AlpinStore</t>
        </is>
      </c>
      <c r="AI1200" s="333" t="n">
        <v>416.43</v>
      </c>
      <c r="AJ1200" t="inlineStr">
        <is>
          <t>https://tinyurl.com/yan6fvaf</t>
        </is>
      </c>
      <c r="AK1200" t="inlineStr">
        <is>
          <t>Blizzard Brahma 82 Flat Ski 2020-2021 | BLUE / 187</t>
        </is>
      </c>
      <c r="AL1200" t="inlineStr">
        <is>
          <t>Ski Pro  - Snow Ski &amp; Snowboard</t>
        </is>
      </c>
      <c r="AM1200" s="333" t="n">
        <v>499.95</v>
      </c>
      <c r="AN1200" t="inlineStr">
        <is>
          <t>https://tinyurl.com/yc2l249s</t>
        </is>
      </c>
      <c r="AO1200" t="inlineStr">
        <is>
          <t>2022 Blizzard Brahma 82 Snow Skis 187</t>
        </is>
      </c>
      <c r="AP1200" t="inlineStr">
        <is>
          <t>The Pro Shop</t>
        </is>
      </c>
      <c r="AQ1200" s="333" t="n">
        <v>599.95</v>
      </c>
      <c r="AR1200" t="inlineStr">
        <is>
          <t>https://tinyurl.com/y7rxs2jr</t>
        </is>
      </c>
      <c r="AS1200" s="314">
        <f>IF(LEFT(C1200,1)=" ",RIGHT(C1200,LEN(C1200)-1),C1200)</f>
        <v/>
      </c>
      <c r="AT1200" s="281">
        <f>_xlfn.CONCAT(B1200,AS1200,D1200,E1200)</f>
        <v/>
      </c>
    </row>
    <row r="1201">
      <c r="A1201" t="inlineStr">
        <is>
          <t>21/22</t>
        </is>
      </c>
      <c r="B1201" t="inlineStr">
        <is>
          <t xml:space="preserve"> Nordica</t>
        </is>
      </c>
      <c r="C1201" t="inlineStr">
        <is>
          <t>Enforcer 104 Free</t>
        </is>
      </c>
      <c r="D1201" t="n">
        <v>186</v>
      </c>
      <c r="E1201" t="inlineStr">
        <is>
          <t xml:space="preserve"> Unisex</t>
        </is>
      </c>
      <c r="F1201" t="n">
        <v>186</v>
      </c>
      <c r="G1201" t="n">
        <v>184.9</v>
      </c>
      <c r="H1201" t="n">
        <v>127</v>
      </c>
      <c r="I1201" t="n">
        <v>154</v>
      </c>
      <c r="J1201" t="n">
        <v>136</v>
      </c>
      <c r="K1201" t="n">
        <v>103</v>
      </c>
      <c r="L1201" t="n">
        <v>126</v>
      </c>
      <c r="M1201" t="n">
        <v>18.4</v>
      </c>
      <c r="N1201" t="n">
        <v>2246</v>
      </c>
      <c r="O1201" t="n">
        <v>0.9399999999999999</v>
      </c>
      <c r="P1201" t="n">
        <v>2117</v>
      </c>
      <c r="Q1201" t="n">
        <v>231</v>
      </c>
      <c r="R1201" t="n">
        <v>156</v>
      </c>
      <c r="S1201" t="n">
        <v>56</v>
      </c>
      <c r="T1201" t="n">
        <v>314</v>
      </c>
      <c r="U1201" t="n">
        <v>39</v>
      </c>
      <c r="V1201" t="n">
        <v>262</v>
      </c>
      <c r="W1201" t="n">
        <v>0.6909999999999999</v>
      </c>
      <c r="X1201" t="n">
        <v>162</v>
      </c>
      <c r="Y1201" t="n">
        <v>151</v>
      </c>
      <c r="Z1201" t="n">
        <v>151</v>
      </c>
      <c r="AA1201" t="n">
        <v>7</v>
      </c>
      <c r="AB1201" t="n">
        <v>9.199999999999999</v>
      </c>
      <c r="AC1201" t="inlineStr">
        <is>
          <t xml:space="preserve"> Resort Freeride</t>
        </is>
      </c>
      <c r="AD1201" t="inlineStr">
        <is>
          <t xml:space="preserve"> Powder</t>
        </is>
      </c>
      <c r="AG1201" t="inlineStr">
        <is>
          <t>Nordica Enforcer 104 free GREY/BLUE/WHITE / 186cm</t>
        </is>
      </c>
      <c r="AH1201" t="inlineStr">
        <is>
          <t>Sundance Ski and Board Shop</t>
        </is>
      </c>
      <c r="AI1201" s="333" t="n">
        <v>561.01</v>
      </c>
      <c r="AJ1201" t="inlineStr">
        <is>
          <t>https://tinyurl.com/y8jhjn2m</t>
        </is>
      </c>
      <c r="AK1201" t="inlineStr">
        <is>
          <t>Nordica Enforcer 104 Free Skis 2022</t>
        </is>
      </c>
      <c r="AL1201" t="inlineStr">
        <is>
          <t>Powder7 Ski Shop</t>
        </is>
      </c>
      <c r="AM1201" s="333" t="n">
        <v>639.9299999999999</v>
      </c>
      <c r="AN1201" t="inlineStr">
        <is>
          <t>https://tinyurl.com/ybedqxzs</t>
        </is>
      </c>
      <c r="AO1201" t="inlineStr">
        <is>
          <t>Nordica Enforcer 104 Free Alpine Skis 2022 - - 186 cm</t>
        </is>
      </c>
      <c r="AP1201" t="inlineStr">
        <is>
          <t>Skirack</t>
        </is>
      </c>
      <c r="AQ1201" s="333" t="n">
        <v>639.96</v>
      </c>
      <c r="AR1201" t="inlineStr">
        <is>
          <t>https://tinyurl.com/yadz5qkz</t>
        </is>
      </c>
      <c r="AS1201" s="314">
        <f>IF(LEFT(C1201,1)=" ",RIGHT(C1201,LEN(C1201)-1),C1201)</f>
        <v/>
      </c>
      <c r="AT1201" s="281">
        <f>_xlfn.CONCAT(B1201,AS1201,D1201,E1201)</f>
        <v/>
      </c>
    </row>
    <row r="1202">
      <c r="A1202" t="inlineStr">
        <is>
          <t>21/22</t>
        </is>
      </c>
      <c r="B1202" t="inlineStr">
        <is>
          <t xml:space="preserve"> Atomic</t>
        </is>
      </c>
      <c r="C1202" t="inlineStr">
        <is>
          <t>Redster X9 WB Revo</t>
        </is>
      </c>
      <c r="D1202" t="n">
        <v>168</v>
      </c>
      <c r="E1202" t="inlineStr">
        <is>
          <t xml:space="preserve"> Unisex</t>
        </is>
      </c>
      <c r="F1202" t="n">
        <v>168</v>
      </c>
      <c r="G1202" t="n">
        <v>167.4</v>
      </c>
      <c r="H1202" t="n">
        <v>147</v>
      </c>
      <c r="I1202" t="n">
        <v>153</v>
      </c>
      <c r="J1202" t="n">
        <v>124</v>
      </c>
      <c r="K1202" t="n">
        <v>74</v>
      </c>
      <c r="L1202" t="n">
        <v>108</v>
      </c>
      <c r="M1202" t="n">
        <v>13.7</v>
      </c>
      <c r="N1202" t="n">
        <v>2155</v>
      </c>
      <c r="O1202" t="n">
        <v>0.7</v>
      </c>
      <c r="P1202" t="n">
        <v>1505</v>
      </c>
      <c r="Q1202" t="n">
        <v>232</v>
      </c>
      <c r="R1202" t="n">
        <v>139</v>
      </c>
      <c r="S1202" t="n">
        <v>37</v>
      </c>
      <c r="T1202" t="n">
        <v>142</v>
      </c>
      <c r="U1202" t="n">
        <v>5</v>
      </c>
      <c r="V1202" t="n">
        <v>62</v>
      </c>
      <c r="W1202" t="n">
        <v>0.149</v>
      </c>
      <c r="X1202" t="n">
        <v>84</v>
      </c>
      <c r="Y1202" t="n">
        <v>55</v>
      </c>
      <c r="Z1202" t="n">
        <v>58</v>
      </c>
      <c r="AA1202" t="n">
        <v>5</v>
      </c>
      <c r="AB1202" t="n">
        <v>12.8</v>
      </c>
      <c r="AC1202" t="inlineStr">
        <is>
          <t xml:space="preserve"> On-Piste Carving</t>
        </is>
      </c>
      <c r="AG1202" t="inlineStr">
        <is>
          <t>Atomic 2022 Redster X9I WB Revo Ski with x 12 GW Bindings</t>
        </is>
      </c>
      <c r="AH1202" t="inlineStr">
        <is>
          <t>Suburban Ski and Bike</t>
        </is>
      </c>
      <c r="AI1202" s="333" t="n">
        <v>799.99</v>
      </c>
      <c r="AJ1202" t="inlineStr">
        <is>
          <t>https://tinyurl.com/yag4yu2f</t>
        </is>
      </c>
      <c r="AK1202" t="inlineStr">
        <is>
          <t>Atomic 2022 Redster X9i WB REVO S+ X 12 GW BLACK/SILVER / 168</t>
        </is>
      </c>
      <c r="AL1202" t="inlineStr">
        <is>
          <t>Cityhome</t>
        </is>
      </c>
      <c r="AM1202" s="333" t="n">
        <v>999.99</v>
      </c>
      <c r="AN1202" t="inlineStr">
        <is>
          <t>https://tinyurl.com/ybo95jax</t>
        </is>
      </c>
      <c r="AO1202" t="inlineStr">
        <is>
          <t>Atomic Atomic Cloud C14 WB Revo S + x 12 GW Black 2022 - Women's</t>
        </is>
      </c>
      <c r="AP1202" t="inlineStr">
        <is>
          <t>eBay - asogear</t>
        </is>
      </c>
      <c r="AQ1202" s="333" t="n">
        <v>599.99</v>
      </c>
      <c r="AR1202" t="inlineStr">
        <is>
          <t>https://tinyurl.com/y8bqvcnv</t>
        </is>
      </c>
      <c r="AS1202" s="314">
        <f>IF(LEFT(C1202,1)=" ",RIGHT(C1202,LEN(C1202)-1),C1202)</f>
        <v/>
      </c>
      <c r="AT1202" s="281">
        <f>_xlfn.CONCAT(B1202,AS1202,D1202,E1202)</f>
        <v/>
      </c>
    </row>
    <row r="1203">
      <c r="A1203" t="inlineStr">
        <is>
          <t>21/22</t>
        </is>
      </c>
      <c r="B1203" t="inlineStr">
        <is>
          <t xml:space="preserve"> Scott</t>
        </is>
      </c>
      <c r="C1203" t="inlineStr">
        <is>
          <t>Superguide 88 W</t>
        </is>
      </c>
      <c r="D1203" t="n">
        <v>152</v>
      </c>
      <c r="E1203" t="inlineStr">
        <is>
          <t xml:space="preserve"> Women's</t>
        </is>
      </c>
      <c r="F1203" t="n">
        <v>152</v>
      </c>
      <c r="G1203" t="n">
        <v>150.8</v>
      </c>
      <c r="H1203" t="n">
        <v>111</v>
      </c>
      <c r="I1203" t="n">
        <v>133</v>
      </c>
      <c r="J1203" t="n">
        <v>120</v>
      </c>
      <c r="K1203" t="n">
        <v>82</v>
      </c>
      <c r="L1203" t="n">
        <v>105</v>
      </c>
      <c r="M1203" t="n">
        <v>14.6</v>
      </c>
      <c r="N1203" t="n">
        <v>1093</v>
      </c>
      <c r="O1203" t="n">
        <v>1.29</v>
      </c>
      <c r="P1203" t="n">
        <v>1414</v>
      </c>
      <c r="Q1203" t="n">
        <v>145</v>
      </c>
      <c r="R1203" t="n">
        <v>54</v>
      </c>
      <c r="S1203" t="n">
        <v>58</v>
      </c>
      <c r="T1203" t="n">
        <v>286</v>
      </c>
      <c r="U1203" t="n">
        <v>15</v>
      </c>
      <c r="V1203" t="n">
        <v>107</v>
      </c>
      <c r="W1203" t="n">
        <v>0.257</v>
      </c>
      <c r="X1203" t="n">
        <v>104</v>
      </c>
      <c r="Y1203" t="n">
        <v>76</v>
      </c>
      <c r="Z1203" t="n">
        <v>183</v>
      </c>
      <c r="AA1203" t="n">
        <v>5</v>
      </c>
      <c r="AB1203" t="n">
        <v>11</v>
      </c>
      <c r="AC1203" t="inlineStr">
        <is>
          <t xml:space="preserve"> Touring</t>
        </is>
      </c>
      <c r="AD1203" t="inlineStr">
        <is>
          <t xml:space="preserve"> Ultralight Touring</t>
        </is>
      </c>
      <c r="AG1203" t="inlineStr">
        <is>
          <t>SCOTT Superguide 88 W Alpine Touring Ski 152</t>
        </is>
      </c>
      <c r="AH1203" t="inlineStr">
        <is>
          <t>Cripple Creek Backcountry</t>
        </is>
      </c>
      <c r="AI1203" s="333" t="n">
        <v>649.95</v>
      </c>
      <c r="AJ1203" t="inlineStr">
        <is>
          <t>https://tinyurl.com/ycf5shxy</t>
        </is>
      </c>
      <c r="AK1203" t="inlineStr">
        <is>
          <t>Scott Superguide 88 Women Ski 2022</t>
        </is>
      </c>
      <c r="AL1203" t="inlineStr">
        <is>
          <t>Telemark Pyrenees</t>
        </is>
      </c>
      <c r="AM1203" s="333" t="n">
        <v>352.89</v>
      </c>
      <c r="AN1203" t="inlineStr">
        <is>
          <t>https://tinyurl.com/ybmxtkdf</t>
        </is>
      </c>
      <c r="AO1203" t="inlineStr">
        <is>
          <t>Scott Superguide 88 Women Ski 2022</t>
        </is>
      </c>
      <c r="AP1203" t="inlineStr">
        <is>
          <t>Bobleisure</t>
        </is>
      </c>
      <c r="AQ1203" s="333" t="n">
        <v>362.87</v>
      </c>
      <c r="AR1203" t="inlineStr">
        <is>
          <t>https://tinyurl.com/y7gdnh7r</t>
        </is>
      </c>
      <c r="AS1203" s="314">
        <f>IF(LEFT(C1203,1)=" ",RIGHT(C1203,LEN(C1203)-1),C1203)</f>
        <v/>
      </c>
      <c r="AT1203" s="281">
        <f>_xlfn.CONCAT(B1203,AS1203,D1203,E1203)</f>
        <v/>
      </c>
    </row>
    <row r="1204">
      <c r="A1204" t="inlineStr">
        <is>
          <t>21/22</t>
        </is>
      </c>
      <c r="B1204" t="inlineStr">
        <is>
          <t xml:space="preserve"> Armada</t>
        </is>
      </c>
      <c r="C1204" t="inlineStr">
        <is>
          <t>Declivity 108 Ti</t>
        </is>
      </c>
      <c r="D1204" t="n">
        <v>190</v>
      </c>
      <c r="E1204" t="inlineStr">
        <is>
          <t xml:space="preserve"> Unisex</t>
        </is>
      </c>
      <c r="F1204" t="n">
        <v>190</v>
      </c>
      <c r="G1204" t="n">
        <v>189.5</v>
      </c>
      <c r="H1204" t="n">
        <v>130</v>
      </c>
      <c r="I1204" t="n">
        <v>150</v>
      </c>
      <c r="J1204" t="n">
        <v>135</v>
      </c>
      <c r="K1204" t="n">
        <v>107</v>
      </c>
      <c r="L1204" t="n">
        <v>126</v>
      </c>
      <c r="M1204" t="n">
        <v>22.6</v>
      </c>
      <c r="N1204" t="n">
        <v>1894</v>
      </c>
      <c r="O1204" t="n">
        <v>1.16</v>
      </c>
      <c r="P1204" t="n">
        <v>2205</v>
      </c>
      <c r="Q1204" t="n">
        <v>272</v>
      </c>
      <c r="R1204" t="n">
        <v>164</v>
      </c>
      <c r="S1204" t="n">
        <v>61</v>
      </c>
      <c r="T1204" t="n">
        <v>381</v>
      </c>
      <c r="U1204" t="n">
        <v>29</v>
      </c>
      <c r="V1204" t="n">
        <v>210</v>
      </c>
      <c r="W1204" t="n">
        <v>0.47</v>
      </c>
      <c r="X1204" t="n">
        <v>245</v>
      </c>
      <c r="Y1204" t="n">
        <v>145</v>
      </c>
      <c r="Z1204" t="n">
        <v>136</v>
      </c>
      <c r="AA1204" t="n">
        <v>7</v>
      </c>
      <c r="AB1204" t="n">
        <v>9.300000000000001</v>
      </c>
      <c r="AC1204" t="inlineStr">
        <is>
          <t xml:space="preserve"> Powder</t>
        </is>
      </c>
      <c r="AD1204" t="inlineStr">
        <is>
          <t xml:space="preserve"> Touring</t>
        </is>
      </c>
      <c r="AG1204" t="inlineStr">
        <is>
          <t>Armada Declivity 108 Ti Skis 190cm 2022</t>
        </is>
      </c>
      <c r="AH1204" t="inlineStr">
        <is>
          <t>REI</t>
        </is>
      </c>
      <c r="AI1204" s="333" t="n">
        <v>639.9299999999999</v>
      </c>
      <c r="AJ1204" t="inlineStr">
        <is>
          <t>https://tinyurl.com/y8223hgu</t>
        </is>
      </c>
      <c r="AK1204" t="inlineStr">
        <is>
          <t>Armada Declivity 108 Ti Skis 190cm 2022</t>
        </is>
      </c>
      <c r="AL1204" t="inlineStr">
        <is>
          <t>Backcountry.com</t>
        </is>
      </c>
      <c r="AM1204" s="333" t="n">
        <v>639.96</v>
      </c>
      <c r="AN1204" t="inlineStr">
        <is>
          <t>https://tinyurl.com/ycw3m3w6</t>
        </is>
      </c>
      <c r="AO1204" t="inlineStr">
        <is>
          <t>Armada Declivity 108 Ti Skis 190cm 2022</t>
        </is>
      </c>
      <c r="AP1204" t="inlineStr">
        <is>
          <t>SkiEssentials.com</t>
        </is>
      </c>
      <c r="AQ1204" s="333" t="n">
        <v>639.96</v>
      </c>
      <c r="AR1204" t="inlineStr">
        <is>
          <t>https://tinyurl.com/y6wuypb5</t>
        </is>
      </c>
      <c r="AS1204" s="314">
        <f>IF(LEFT(C1204,1)=" ",RIGHT(C1204,LEN(C1204)-1),C1204)</f>
        <v/>
      </c>
      <c r="AT1204" s="281">
        <f>_xlfn.CONCAT(B1204,AS1204,D1204,E1204)</f>
        <v/>
      </c>
    </row>
    <row r="1205">
      <c r="A1205" t="inlineStr">
        <is>
          <t>21/22</t>
        </is>
      </c>
      <c r="B1205" t="inlineStr">
        <is>
          <t xml:space="preserve"> Vï¿½lkl</t>
        </is>
      </c>
      <c r="C1205" t="inlineStr">
        <is>
          <t>Mantra M5</t>
        </is>
      </c>
      <c r="D1205" t="n">
        <v>191</v>
      </c>
      <c r="E1205" t="inlineStr">
        <is>
          <t xml:space="preserve"> Unisex</t>
        </is>
      </c>
      <c r="F1205" t="n">
        <v>191</v>
      </c>
      <c r="G1205" t="n">
        <v>190.2</v>
      </c>
      <c r="H1205" t="n">
        <v>136</v>
      </c>
      <c r="I1205" t="n">
        <v>168</v>
      </c>
      <c r="J1205" t="n">
        <v>133</v>
      </c>
      <c r="K1205" t="n">
        <v>95</v>
      </c>
      <c r="L1205" t="n">
        <v>116</v>
      </c>
      <c r="M1205" t="n">
        <v>23.7</v>
      </c>
      <c r="N1205" t="n">
        <v>2258</v>
      </c>
      <c r="O1205" t="n">
        <v>0.9</v>
      </c>
      <c r="P1205" t="n">
        <v>2026</v>
      </c>
      <c r="Q1205" t="n">
        <v>247</v>
      </c>
      <c r="R1205" t="n">
        <v>155</v>
      </c>
      <c r="S1205" t="n">
        <v>40</v>
      </c>
      <c r="T1205" t="n">
        <v>330</v>
      </c>
      <c r="U1205" t="n">
        <v>18</v>
      </c>
      <c r="V1205" t="n">
        <v>215</v>
      </c>
      <c r="W1205" t="n">
        <v>0.45</v>
      </c>
      <c r="X1205" t="n">
        <v>123</v>
      </c>
      <c r="Y1205" t="n">
        <v>100</v>
      </c>
      <c r="Z1205" t="n">
        <v>207</v>
      </c>
      <c r="AA1205" t="n">
        <v>5</v>
      </c>
      <c r="AB1205" t="n">
        <v>11.2</v>
      </c>
      <c r="AC1205" t="inlineStr">
        <is>
          <t xml:space="preserve"> Resort Freeride</t>
        </is>
      </c>
      <c r="AG1205" t="inlineStr">
        <is>
          <t>Volkl Men's M5 Mantra 96 Flat Ski 2020-2021 | BLACK/RED / 191</t>
        </is>
      </c>
      <c r="AH1205" t="inlineStr">
        <is>
          <t>Ski Pro  - Snow Ski &amp; Snowboard</t>
        </is>
      </c>
      <c r="AI1205" s="333" t="n">
        <v>499.95</v>
      </c>
      <c r="AJ1205" t="inlineStr">
        <is>
          <t>https://tinyurl.com/yb9y26op</t>
        </is>
      </c>
      <c r="AK1205" t="inlineStr">
        <is>
          <t>2021 VOLKL Mantra M5 snow skis 191</t>
        </is>
      </c>
      <c r="AL1205" t="inlineStr">
        <is>
          <t>The Pro Shop</t>
        </is>
      </c>
      <c r="AM1205" s="333" t="n">
        <v>699</v>
      </c>
      <c r="AN1205" t="inlineStr">
        <is>
          <t>https://tinyurl.com/ydfyp4d7</t>
        </is>
      </c>
      <c r="AO1205" t="inlineStr">
        <is>
          <t>Volkl Mantra 102 Skis 2021</t>
        </is>
      </c>
      <c r="AP1205" t="inlineStr">
        <is>
          <t>Absolute-Snow.co.uk</t>
        </is>
      </c>
      <c r="AQ1205" s="333" t="n">
        <v>510.83</v>
      </c>
      <c r="AR1205" t="inlineStr">
        <is>
          <t>https://tinyurl.com/yact2bkq</t>
        </is>
      </c>
      <c r="AS1205" s="314">
        <f>IF(LEFT(C1205,1)=" ",RIGHT(C1205,LEN(C1205)-1),C1205)</f>
        <v/>
      </c>
      <c r="AT1205" s="281">
        <f>_xlfn.CONCAT(B1205,AS1205,D1205,E1205)</f>
        <v/>
      </c>
    </row>
    <row r="1206">
      <c r="A1206" t="inlineStr">
        <is>
          <t>21/22</t>
        </is>
      </c>
      <c r="B1206" t="inlineStr">
        <is>
          <t xml:space="preserve"> Salomon</t>
        </is>
      </c>
      <c r="C1206" t="inlineStr">
        <is>
          <t>Stance 96</t>
        </is>
      </c>
      <c r="D1206" t="n">
        <v>188</v>
      </c>
      <c r="E1206" t="inlineStr">
        <is>
          <t xml:space="preserve"> Unisex</t>
        </is>
      </c>
      <c r="F1206" t="n">
        <v>188</v>
      </c>
      <c r="G1206" t="n">
        <v>187.1</v>
      </c>
      <c r="H1206" t="n">
        <v>146</v>
      </c>
      <c r="I1206" t="n">
        <v>157</v>
      </c>
      <c r="J1206" t="n">
        <v>134</v>
      </c>
      <c r="K1206" t="n">
        <v>95</v>
      </c>
      <c r="L1206" t="n">
        <v>116</v>
      </c>
      <c r="M1206" t="n">
        <v>19.1</v>
      </c>
      <c r="N1206" t="n">
        <v>2106</v>
      </c>
      <c r="O1206" t="n">
        <v>0.96</v>
      </c>
      <c r="P1206" t="n">
        <v>2016</v>
      </c>
      <c r="Q1206" t="n">
        <v>236</v>
      </c>
      <c r="R1206" t="n">
        <v>159</v>
      </c>
      <c r="S1206" t="n">
        <v>48</v>
      </c>
      <c r="T1206" t="n">
        <v>254</v>
      </c>
      <c r="U1206" t="n">
        <v>6</v>
      </c>
      <c r="V1206" t="n">
        <v>154</v>
      </c>
      <c r="W1206" t="n">
        <v>0.127</v>
      </c>
      <c r="X1206" t="n">
        <v>158</v>
      </c>
      <c r="Y1206" t="n">
        <v>142</v>
      </c>
      <c r="Z1206" t="n">
        <v>95</v>
      </c>
      <c r="AA1206" t="n">
        <v>12</v>
      </c>
      <c r="AB1206" t="n">
        <v>10.5</v>
      </c>
      <c r="AC1206" t="inlineStr">
        <is>
          <t xml:space="preserve"> Resort Freeride</t>
        </is>
      </c>
      <c r="AG1206" t="inlineStr">
        <is>
          <t>Salomon Stance 96 Mens Skis Dark Grey/Black/Brown Sz 188cm</t>
        </is>
      </c>
      <c r="AH1206" t="inlineStr">
        <is>
          <t>Buyr.com</t>
        </is>
      </c>
      <c r="AI1206" s="333" t="n">
        <v>559.95</v>
      </c>
      <c r="AJ1206" t="inlineStr">
        <is>
          <t>https://tinyurl.com/yb3zms9j</t>
        </is>
      </c>
      <c r="AK1206" t="inlineStr">
        <is>
          <t>Salomon Stance 96</t>
        </is>
      </c>
      <c r="AL1206" t="inlineStr">
        <is>
          <t>AlpineShopVT.com</t>
        </is>
      </c>
      <c r="AM1206" s="333" t="n">
        <v>559.96</v>
      </c>
      <c r="AN1206" t="inlineStr">
        <is>
          <t>https://tinyurl.com/yalwmuo3</t>
        </is>
      </c>
      <c r="AO1206" t="inlineStr">
        <is>
          <t>Salomon Stance 96</t>
        </is>
      </c>
      <c r="AP1206" t="inlineStr">
        <is>
          <t>Backcountry.com</t>
        </is>
      </c>
      <c r="AQ1206" s="333" t="n">
        <v>559.96</v>
      </c>
      <c r="AR1206" t="inlineStr">
        <is>
          <t>https://tinyurl.com/yc7sfsrp</t>
        </is>
      </c>
      <c r="AS1206" s="314">
        <f>IF(LEFT(C1206,1)=" ",RIGHT(C1206,LEN(C1206)-1),C1206)</f>
        <v/>
      </c>
      <c r="AT1206" s="281">
        <f>_xlfn.CONCAT(B1206,AS1206,D1206,E1206)</f>
        <v/>
      </c>
    </row>
    <row r="1207">
      <c r="A1207" t="inlineStr">
        <is>
          <t>21/22</t>
        </is>
      </c>
      <c r="B1207" t="inlineStr">
        <is>
          <t xml:space="preserve"> Faction</t>
        </is>
      </c>
      <c r="C1207" t="inlineStr">
        <is>
          <t>Prodigy 2.0 Jr</t>
        </is>
      </c>
      <c r="D1207" t="n">
        <v>149</v>
      </c>
      <c r="E1207" t="inlineStr">
        <is>
          <t xml:space="preserve"> Junior</t>
        </is>
      </c>
      <c r="F1207" t="n">
        <v>149</v>
      </c>
      <c r="G1207" t="n">
        <v>147.3</v>
      </c>
      <c r="H1207" t="n">
        <v>104</v>
      </c>
      <c r="I1207" t="n">
        <v>123</v>
      </c>
      <c r="J1207" t="n">
        <v>126</v>
      </c>
      <c r="K1207" t="n">
        <v>95</v>
      </c>
      <c r="L1207" t="n">
        <v>122</v>
      </c>
      <c r="M1207" t="n">
        <v>11.8</v>
      </c>
      <c r="N1207" t="n">
        <v>1277</v>
      </c>
      <c r="O1207" t="n">
        <v>1.23</v>
      </c>
      <c r="P1207" t="n">
        <v>1567</v>
      </c>
      <c r="Q1207" t="n">
        <v>105</v>
      </c>
      <c r="R1207" t="n">
        <v>37</v>
      </c>
      <c r="S1207" t="n">
        <v>51</v>
      </c>
      <c r="T1207" t="n">
        <v>221</v>
      </c>
      <c r="U1207" t="n">
        <v>44</v>
      </c>
      <c r="V1207" t="n">
        <v>208</v>
      </c>
      <c r="W1207" t="n">
        <v>0.863</v>
      </c>
      <c r="X1207" t="n">
        <v>124</v>
      </c>
      <c r="Y1207" t="n">
        <v>119</v>
      </c>
      <c r="Z1207" t="n">
        <v>97</v>
      </c>
      <c r="AA1207" t="n">
        <v>7</v>
      </c>
      <c r="AB1207" t="n">
        <v>3</v>
      </c>
      <c r="AC1207" t="inlineStr">
        <is>
          <t xml:space="preserve"> Freeski</t>
        </is>
      </c>
      <c r="AD1207" t="inlineStr">
        <is>
          <t xml:space="preserve"> Touring</t>
        </is>
      </c>
      <c r="AG1207" t="inlineStr">
        <is>
          <t>Faction Ct 2.0 Skis - Youth 2022</t>
        </is>
      </c>
      <c r="AH1207" t="inlineStr">
        <is>
          <t>Next Adventure</t>
        </is>
      </c>
      <c r="AI1207" s="333" t="n">
        <v>383.2</v>
      </c>
      <c r="AJ1207" t="inlineStr">
        <is>
          <t>https://tinyurl.com/yaqlhuqc</t>
        </is>
      </c>
      <c r="AS1207" s="314">
        <f>IF(LEFT(C1207,1)=" ",RIGHT(C1207,LEN(C1207)-1),C1207)</f>
        <v/>
      </c>
      <c r="AT1207" s="281">
        <f>_xlfn.CONCAT(B1207,AS1207,D1207,E1207)</f>
        <v/>
      </c>
    </row>
    <row r="1208">
      <c r="A1208" t="inlineStr">
        <is>
          <t>21/22</t>
        </is>
      </c>
      <c r="B1208" t="inlineStr">
        <is>
          <t>K2</t>
        </is>
      </c>
      <c r="C1208" t="inlineStr">
        <is>
          <t>Mindbender 90 Ti</t>
        </is>
      </c>
      <c r="D1208" t="n">
        <v>184</v>
      </c>
      <c r="E1208" t="inlineStr">
        <is>
          <t xml:space="preserve"> Unisex</t>
        </is>
      </c>
      <c r="F1208" t="n">
        <v>184</v>
      </c>
      <c r="G1208" t="n">
        <v>183.5</v>
      </c>
      <c r="H1208" t="n">
        <v>143</v>
      </c>
      <c r="I1208" t="n">
        <v>159</v>
      </c>
      <c r="J1208" t="n">
        <v>126</v>
      </c>
      <c r="K1208" t="n">
        <v>89</v>
      </c>
      <c r="L1208" t="n">
        <v>113</v>
      </c>
      <c r="M1208" t="n">
        <v>19.7</v>
      </c>
      <c r="N1208" t="n">
        <v>2028</v>
      </c>
      <c r="O1208" t="n">
        <v>0.91</v>
      </c>
      <c r="P1208" t="n">
        <v>1854</v>
      </c>
      <c r="Q1208" t="n">
        <v>222</v>
      </c>
      <c r="R1208" t="n">
        <v>155</v>
      </c>
      <c r="S1208" t="n">
        <v>47</v>
      </c>
      <c r="T1208" t="n">
        <v>235</v>
      </c>
      <c r="U1208" t="n">
        <v>19</v>
      </c>
      <c r="V1208" t="n">
        <v>167</v>
      </c>
      <c r="W1208" t="n">
        <v>0.415</v>
      </c>
      <c r="X1208" t="n">
        <v>141</v>
      </c>
      <c r="Y1208" t="n">
        <v>105</v>
      </c>
      <c r="Z1208" t="n">
        <v>94</v>
      </c>
      <c r="AA1208" t="n">
        <v>7</v>
      </c>
      <c r="AB1208" t="n">
        <v>11.6</v>
      </c>
      <c r="AC1208" t="inlineStr">
        <is>
          <t xml:space="preserve"> Resort Freeride</t>
        </is>
      </c>
      <c r="AG1208" t="inlineStr">
        <is>
          <t>K2 Mindbender 90 Ti Skis 2020 184</t>
        </is>
      </c>
      <c r="AH1208" t="inlineStr">
        <is>
          <t>Gear Coop</t>
        </is>
      </c>
      <c r="AI1208" s="333" t="n">
        <v>800</v>
      </c>
      <c r="AJ1208" t="inlineStr">
        <is>
          <t>https://tinyurl.com/ya32f4ln</t>
        </is>
      </c>
      <c r="AK1208" t="inlineStr">
        <is>
          <t>'22 K2 Mindbender 99 Ti Skis 184cm</t>
        </is>
      </c>
      <c r="AL1208" t="inlineStr">
        <is>
          <t>Al's Ski Equipment Barn</t>
        </is>
      </c>
      <c r="AM1208" s="333" t="n">
        <v>669.95</v>
      </c>
      <c r="AN1208" t="inlineStr">
        <is>
          <t>https://tinyurl.com/yboo6k8h</t>
        </is>
      </c>
      <c r="AO1208" t="inlineStr">
        <is>
          <t>K2 Mindbender 99Ti 2022, 184</t>
        </is>
      </c>
      <c r="AP1208" t="inlineStr">
        <is>
          <t>! OutdoorXL.com</t>
        </is>
      </c>
      <c r="AQ1208" s="333" t="n">
        <v>424.95</v>
      </c>
      <c r="AR1208" t="inlineStr">
        <is>
          <t>https://tinyurl.com/y9x963c7</t>
        </is>
      </c>
      <c r="AS1208" s="314">
        <f>IF(LEFT(C1208,1)=" ",RIGHT(C1208,LEN(C1208)-1),C1208)</f>
        <v/>
      </c>
      <c r="AT1208" s="281">
        <f>_xlfn.CONCAT(B1208,AS1208,D1208,E1208)</f>
        <v/>
      </c>
    </row>
    <row r="1209">
      <c r="A1209" t="inlineStr">
        <is>
          <t>21/22</t>
        </is>
      </c>
      <c r="B1209" t="inlineStr">
        <is>
          <t xml:space="preserve"> Salomon</t>
        </is>
      </c>
      <c r="C1209" t="inlineStr">
        <is>
          <t>MTN Explore 88 W</t>
        </is>
      </c>
      <c r="D1209" t="n">
        <v>153</v>
      </c>
      <c r="E1209" t="inlineStr">
        <is>
          <t xml:space="preserve"> Women's</t>
        </is>
      </c>
      <c r="F1209" t="n">
        <v>153</v>
      </c>
      <c r="G1209" t="n">
        <v>151.7</v>
      </c>
      <c r="H1209" t="n">
        <v>124</v>
      </c>
      <c r="I1209" t="n">
        <v>132</v>
      </c>
      <c r="J1209" t="n">
        <v>121</v>
      </c>
      <c r="K1209" t="n">
        <v>88</v>
      </c>
      <c r="L1209" t="n">
        <v>106</v>
      </c>
      <c r="M1209" t="n">
        <v>16.7</v>
      </c>
      <c r="N1209" t="n">
        <v>1155</v>
      </c>
      <c r="O1209" t="n">
        <v>1.29</v>
      </c>
      <c r="P1209" t="n">
        <v>1492</v>
      </c>
      <c r="Q1209" t="n">
        <v>109</v>
      </c>
      <c r="R1209" t="n">
        <v>50</v>
      </c>
      <c r="S1209" t="n">
        <v>47</v>
      </c>
      <c r="T1209" t="n">
        <v>197</v>
      </c>
      <c r="U1209" t="n">
        <v>12</v>
      </c>
      <c r="V1209" t="n">
        <v>83</v>
      </c>
      <c r="W1209" t="n">
        <v>0.253</v>
      </c>
      <c r="X1209" t="n">
        <v>121</v>
      </c>
      <c r="Y1209" t="n">
        <v>74</v>
      </c>
      <c r="Z1209" t="n">
        <v>76</v>
      </c>
      <c r="AA1209" t="n">
        <v>8</v>
      </c>
      <c r="AB1209" t="n">
        <v>10.2</v>
      </c>
      <c r="AC1209" t="inlineStr">
        <is>
          <t xml:space="preserve"> Touring</t>
        </is>
      </c>
      <c r="AD1209" t="inlineStr">
        <is>
          <t xml:space="preserve"> Ultralight Touring</t>
        </is>
      </c>
      <c r="AG1209" t="inlineStr">
        <is>
          <t>Salomon MTN EXPLORE 88 W 153</t>
        </is>
      </c>
      <c r="AH1209" t="inlineStr">
        <is>
          <t>Cripple Creek Backcountry</t>
        </is>
      </c>
      <c r="AI1209" s="333" t="n">
        <v>649.99</v>
      </c>
      <c r="AJ1209" t="inlineStr">
        <is>
          <t>https://tinyurl.com/y9af5qlo</t>
        </is>
      </c>
      <c r="AK1209" t="inlineStr">
        <is>
          <t>Salomon MTN Explore 88 - Women - 153cm</t>
        </is>
      </c>
      <c r="AL1209" t="inlineStr">
        <is>
          <t>eBay - grassisport</t>
        </is>
      </c>
      <c r="AM1209" s="333" t="n">
        <v>461.13</v>
      </c>
      <c r="AN1209" t="inlineStr">
        <is>
          <t>https://tinyurl.com/yazk9ft9</t>
        </is>
      </c>
      <c r="AO1209" t="inlineStr">
        <is>
          <t>Salomon MTN Explore 88 - Women - 153cm</t>
        </is>
      </c>
      <c r="AP1209" t="inlineStr">
        <is>
          <t>Curated</t>
        </is>
      </c>
      <c r="AQ1209" s="333" t="n">
        <v>519.99</v>
      </c>
      <c r="AR1209" t="inlineStr">
        <is>
          <t>https://tinyurl.com/ybyfnvm7</t>
        </is>
      </c>
      <c r="AS1209" s="314">
        <f>IF(LEFT(C1209,1)=" ",RIGHT(C1209,LEN(C1209)-1),C1209)</f>
        <v/>
      </c>
      <c r="AT1209" s="281">
        <f>_xlfn.CONCAT(B1209,AS1209,D1209,E1209)</f>
        <v/>
      </c>
    </row>
    <row r="1210">
      <c r="A1210" t="inlineStr">
        <is>
          <t>21/22</t>
        </is>
      </c>
      <c r="B1210" t="inlineStr">
        <is>
          <t xml:space="preserve"> Rossignol</t>
        </is>
      </c>
      <c r="C1210" t="inlineStr">
        <is>
          <t xml:space="preserve"> Blackops Gamer</t>
        </is>
      </c>
      <c r="D1210" t="n">
        <v>186</v>
      </c>
      <c r="E1210" t="inlineStr">
        <is>
          <t xml:space="preserve"> Unisex</t>
        </is>
      </c>
      <c r="F1210" t="n">
        <v>186</v>
      </c>
      <c r="G1210" t="n">
        <v>184.6</v>
      </c>
      <c r="H1210" t="n">
        <v>112</v>
      </c>
      <c r="I1210" t="n">
        <v>157</v>
      </c>
      <c r="J1210" t="n">
        <v>144</v>
      </c>
      <c r="K1210" t="n">
        <v>116</v>
      </c>
      <c r="L1210" t="n">
        <v>139</v>
      </c>
      <c r="M1210" t="n">
        <v>21.2</v>
      </c>
      <c r="N1210" t="n">
        <v>2470</v>
      </c>
      <c r="O1210" t="n">
        <v>0.9399999999999999</v>
      </c>
      <c r="P1210" t="n">
        <v>2327</v>
      </c>
      <c r="Q1210" t="n">
        <v>255</v>
      </c>
      <c r="R1210" t="n">
        <v>127</v>
      </c>
      <c r="S1210" t="n">
        <v>63</v>
      </c>
      <c r="T1210" t="n">
        <v>367</v>
      </c>
      <c r="U1210" t="n">
        <v>52</v>
      </c>
      <c r="V1210" t="n">
        <v>356</v>
      </c>
      <c r="W1210" t="n">
        <v>0.824</v>
      </c>
      <c r="X1210" t="n">
        <v>147</v>
      </c>
      <c r="Y1210" t="n">
        <v>127</v>
      </c>
      <c r="Z1210" t="n">
        <v>220</v>
      </c>
      <c r="AA1210" t="n">
        <v>5</v>
      </c>
      <c r="AB1210" t="n">
        <v>2.4</v>
      </c>
      <c r="AC1210" t="inlineStr">
        <is>
          <t xml:space="preserve"> Freeski</t>
        </is>
      </c>
      <c r="AD1210" t="inlineStr">
        <is>
          <t xml:space="preserve"> Powder</t>
        </is>
      </c>
      <c r="AG1210" t="inlineStr">
        <is>
          <t>Rossignol Blackops Gamer Skis</t>
        </is>
      </c>
      <c r="AH1210" t="inlineStr">
        <is>
          <t>Snowcountry.eu</t>
        </is>
      </c>
      <c r="AI1210" s="333" t="n">
        <v>451.66</v>
      </c>
      <c r="AJ1210" t="inlineStr">
        <is>
          <t>https://tinyurl.com/y77xbwf6</t>
        </is>
      </c>
      <c r="AK1210" t="inlineStr">
        <is>
          <t>Rossignol Blackops Gamer 186cm</t>
        </is>
      </c>
      <c r="AL1210" t="inlineStr">
        <is>
          <t>Sundance Ski and Board Shop</t>
        </is>
      </c>
      <c r="AM1210" s="333" t="n">
        <v>480.86</v>
      </c>
      <c r="AN1210" t="inlineStr">
        <is>
          <t>https://tinyurl.com/ybg8qa8v</t>
        </is>
      </c>
      <c r="AO1210" t="inlineStr">
        <is>
          <t>'22 Rossignol Blackops Gamer Skis 186cm</t>
        </is>
      </c>
      <c r="AP1210" t="inlineStr">
        <is>
          <t>purestokesports.com</t>
        </is>
      </c>
      <c r="AQ1210" s="333" t="n">
        <v>559.99</v>
      </c>
      <c r="AR1210" t="inlineStr">
        <is>
          <t>https://tinyurl.com/yasmoflm</t>
        </is>
      </c>
      <c r="AS1210" s="314">
        <f>IF(LEFT(C1210,1)=" ",RIGHT(C1210,LEN(C1210)-1),C1210)</f>
        <v/>
      </c>
      <c r="AT1210" s="281">
        <f>_xlfn.CONCAT(B1210,AS1210,D1210,E1210)</f>
        <v/>
      </c>
    </row>
    <row r="1211">
      <c r="A1211" t="inlineStr">
        <is>
          <t>21/22</t>
        </is>
      </c>
      <c r="B1211" t="inlineStr">
        <is>
          <t xml:space="preserve"> Rossignol</t>
        </is>
      </c>
      <c r="C1211" t="inlineStr">
        <is>
          <t xml:space="preserve"> Blackops Sender</t>
        </is>
      </c>
      <c r="D1211" t="n">
        <v>186</v>
      </c>
      <c r="E1211" t="inlineStr">
        <is>
          <t xml:space="preserve"> Unisex</t>
        </is>
      </c>
      <c r="F1211" t="n">
        <v>186</v>
      </c>
      <c r="G1211" t="n">
        <v>186.4</v>
      </c>
      <c r="H1211" t="n">
        <v>138</v>
      </c>
      <c r="I1211" t="n">
        <v>159</v>
      </c>
      <c r="J1211" t="n">
        <v>137</v>
      </c>
      <c r="K1211" t="n">
        <v>104</v>
      </c>
      <c r="L1211" t="n">
        <v>127</v>
      </c>
      <c r="M1211" t="n">
        <v>20.9</v>
      </c>
      <c r="N1211" t="n">
        <v>2060</v>
      </c>
      <c r="O1211" t="n">
        <v>1.04</v>
      </c>
      <c r="P1211" t="n">
        <v>2141</v>
      </c>
      <c r="Q1211" t="n">
        <v>287</v>
      </c>
      <c r="R1211" t="n">
        <v>138</v>
      </c>
      <c r="S1211" t="n">
        <v>50</v>
      </c>
      <c r="T1211" t="n">
        <v>301</v>
      </c>
      <c r="U1211" t="n">
        <v>12</v>
      </c>
      <c r="V1211" t="n">
        <v>182</v>
      </c>
      <c r="W1211" t="n">
        <v>0.228</v>
      </c>
      <c r="X1211" t="n">
        <v>163</v>
      </c>
      <c r="Y1211" t="n">
        <v>107</v>
      </c>
      <c r="Z1211" t="n">
        <v>138</v>
      </c>
      <c r="AA1211" t="n">
        <v>6</v>
      </c>
      <c r="AB1211" t="n">
        <v>7.5</v>
      </c>
      <c r="AC1211" t="inlineStr">
        <is>
          <t xml:space="preserve"> Resort Freeride</t>
        </is>
      </c>
      <c r="AD1211" t="inlineStr">
        <is>
          <t xml:space="preserve"> Big Mountain</t>
        </is>
      </c>
      <c r="AG1211" t="inlineStr">
        <is>
          <t>Rossignol Skis â€“ BlackOps Sender 2020 â€“ 186cm [NEW]</t>
        </is>
      </c>
      <c r="AH1211" t="inlineStr">
        <is>
          <t>Gearo</t>
        </is>
      </c>
      <c r="AI1211" s="333" t="n">
        <v>419.4</v>
      </c>
      <c r="AJ1211" t="inlineStr">
        <is>
          <t>https://tinyurl.com/y7nwgbot</t>
        </is>
      </c>
      <c r="AK1211" t="inlineStr">
        <is>
          <t>Rossignol Blackops Sender Skis 2022</t>
        </is>
      </c>
      <c r="AL1211" t="inlineStr">
        <is>
          <t>Saint Bernard</t>
        </is>
      </c>
      <c r="AM1211" s="333" t="n">
        <v>552.9</v>
      </c>
      <c r="AN1211" t="inlineStr">
        <is>
          <t>https://tinyurl.com/y8hwovge</t>
        </is>
      </c>
      <c r="AO1211" t="inlineStr">
        <is>
          <t>Skis Rossignol Blackops Sender</t>
        </is>
      </c>
      <c r="AP1211" t="inlineStr">
        <is>
          <t>REI</t>
        </is>
      </c>
      <c r="AQ1211" s="333" t="n">
        <v>559.9299999999999</v>
      </c>
      <c r="AR1211" t="inlineStr">
        <is>
          <t>https://tinyurl.com/y9oe97ey</t>
        </is>
      </c>
      <c r="AS1211" s="314">
        <f>IF(LEFT(C1211,1)=" ",RIGHT(C1211,LEN(C1211)-1),C1211)</f>
        <v/>
      </c>
      <c r="AT1211" s="281">
        <f>_xlfn.CONCAT(B1211,AS1211,D1211,E1211)</f>
        <v/>
      </c>
    </row>
    <row r="1212">
      <c r="A1212" t="inlineStr">
        <is>
          <t>21/22</t>
        </is>
      </c>
      <c r="B1212" t="inlineStr">
        <is>
          <t xml:space="preserve"> Head</t>
        </is>
      </c>
      <c r="C1212" t="inlineStr">
        <is>
          <t>Kore 105</t>
        </is>
      </c>
      <c r="D1212" t="n">
        <v>184</v>
      </c>
      <c r="E1212" t="inlineStr">
        <is>
          <t xml:space="preserve"> Unisex</t>
        </is>
      </c>
      <c r="F1212" t="n">
        <v>184</v>
      </c>
      <c r="G1212" t="n">
        <v>183.9</v>
      </c>
      <c r="H1212" t="n">
        <v>141</v>
      </c>
      <c r="I1212" t="n">
        <v>142</v>
      </c>
      <c r="J1212" t="n">
        <v>135</v>
      </c>
      <c r="K1212" t="n">
        <v>104</v>
      </c>
      <c r="L1212" t="n">
        <v>123</v>
      </c>
      <c r="M1212" t="n">
        <v>18.2</v>
      </c>
      <c r="N1212" t="n">
        <v>1851</v>
      </c>
      <c r="O1212" t="n">
        <v>1.14</v>
      </c>
      <c r="P1212" t="n">
        <v>2105</v>
      </c>
      <c r="Q1212" t="n">
        <v>302</v>
      </c>
      <c r="R1212" t="n">
        <v>148</v>
      </c>
      <c r="S1212" t="n">
        <v>52</v>
      </c>
      <c r="T1212" t="n">
        <v>249</v>
      </c>
      <c r="U1212" t="n">
        <v>22</v>
      </c>
      <c r="V1212" t="n">
        <v>184</v>
      </c>
      <c r="W1212" t="n">
        <v>0.417</v>
      </c>
      <c r="X1212" t="n">
        <v>266</v>
      </c>
      <c r="Y1212" t="n">
        <v>157</v>
      </c>
      <c r="Z1212" t="n">
        <v>-17</v>
      </c>
      <c r="AA1212" t="n">
        <v>8</v>
      </c>
      <c r="AB1212" t="n">
        <v>11</v>
      </c>
      <c r="AC1212" t="inlineStr">
        <is>
          <t xml:space="preserve"> Resort Freeride</t>
        </is>
      </c>
      <c r="AD1212" t="inlineStr">
        <is>
          <t xml:space="preserve"> Powder</t>
        </is>
      </c>
      <c r="AE1212" t="inlineStr">
        <is>
          <t xml:space="preserve"> Touring</t>
        </is>
      </c>
      <c r="AG1212" t="inlineStr">
        <is>
          <t>Head Kore 105 Skis</t>
        </is>
      </c>
      <c r="AH1212" t="inlineStr">
        <is>
          <t>Telemark Pyrenees</t>
        </is>
      </c>
      <c r="AI1212" s="333" t="n">
        <v>430.82</v>
      </c>
      <c r="AJ1212" t="inlineStr">
        <is>
          <t>https://tinyurl.com/ya3hupyo</t>
        </is>
      </c>
      <c r="AK1212" t="inlineStr">
        <is>
          <t>Head Kore 105 Skis</t>
        </is>
      </c>
      <c r="AL1212" t="inlineStr">
        <is>
          <t>UtahSkis</t>
        </is>
      </c>
      <c r="AM1212" s="333" t="n">
        <v>449</v>
      </c>
      <c r="AN1212" t="inlineStr">
        <is>
          <t>https://tinyurl.com/ybr4bywo</t>
        </is>
      </c>
      <c r="AO1212" t="inlineStr">
        <is>
          <t>Head Kore 105 Skis</t>
        </is>
      </c>
      <c r="AP1212" t="inlineStr">
        <is>
          <t>Snowcountry.eu</t>
        </is>
      </c>
      <c r="AQ1212" s="333" t="n">
        <v>450.77</v>
      </c>
      <c r="AR1212" t="inlineStr">
        <is>
          <t>https://tinyurl.com/ybn9xdac</t>
        </is>
      </c>
      <c r="AS1212" s="314">
        <f>IF(LEFT(C1212,1)=" ",RIGHT(C1212,LEN(C1212)-1),C1212)</f>
        <v/>
      </c>
      <c r="AT1212" s="281">
        <f>_xlfn.CONCAT(B1212,AS1212,D1212,E1212)</f>
        <v/>
      </c>
    </row>
    <row r="1213">
      <c r="A1213" t="inlineStr">
        <is>
          <t>21/22</t>
        </is>
      </c>
      <c r="B1213" t="inlineStr">
        <is>
          <t xml:space="preserve"> Armada</t>
        </is>
      </c>
      <c r="C1213" t="inlineStr">
        <is>
          <t xml:space="preserve"> Whitewalker</t>
        </is>
      </c>
      <c r="D1213" t="n">
        <v>192</v>
      </c>
      <c r="E1213" t="inlineStr">
        <is>
          <t xml:space="preserve"> Unisex</t>
        </is>
      </c>
      <c r="F1213" t="n">
        <v>192</v>
      </c>
      <c r="G1213" t="n">
        <v>190.1</v>
      </c>
      <c r="H1213" t="n">
        <v>122</v>
      </c>
      <c r="I1213" t="n">
        <v>141</v>
      </c>
      <c r="J1213" t="n">
        <v>139</v>
      </c>
      <c r="K1213" t="n">
        <v>115</v>
      </c>
      <c r="L1213" t="n">
        <v>135</v>
      </c>
      <c r="M1213" t="n">
        <v>19.3</v>
      </c>
      <c r="N1213" t="n">
        <v>1981</v>
      </c>
      <c r="O1213" t="n">
        <v>1.18</v>
      </c>
      <c r="P1213" t="n">
        <v>2337</v>
      </c>
      <c r="Q1213" t="n">
        <v>281</v>
      </c>
      <c r="R1213" t="n">
        <v>152</v>
      </c>
      <c r="S1213" t="n">
        <v>57</v>
      </c>
      <c r="T1213" t="n">
        <v>350</v>
      </c>
      <c r="U1213" t="n">
        <v>55</v>
      </c>
      <c r="V1213" t="n">
        <v>329</v>
      </c>
      <c r="W1213" t="n">
        <v>0.956</v>
      </c>
      <c r="X1213" t="n">
        <v>258</v>
      </c>
      <c r="Y1213" t="n">
        <v>229</v>
      </c>
      <c r="Z1213" t="n">
        <v>92</v>
      </c>
      <c r="AA1213" t="n">
        <v>5</v>
      </c>
      <c r="AB1213" t="n">
        <v>7.6</v>
      </c>
      <c r="AC1213" t="inlineStr">
        <is>
          <t xml:space="preserve"> Freeski</t>
        </is>
      </c>
      <c r="AD1213" t="inlineStr">
        <is>
          <t xml:space="preserve"> Powder</t>
        </is>
      </c>
      <c r="AE1213" t="inlineStr">
        <is>
          <t xml:space="preserve"> Touring</t>
        </is>
      </c>
      <c r="AG1213" t="inlineStr">
        <is>
          <t>Armada Whitewalker Skis 2022</t>
        </is>
      </c>
      <c r="AH1213" t="inlineStr">
        <is>
          <t>Blue Tomato</t>
        </is>
      </c>
      <c r="AI1213" s="333" t="n">
        <v>553.33</v>
      </c>
      <c r="AJ1213" t="inlineStr">
        <is>
          <t>https://tinyurl.com/yakfocxt</t>
        </is>
      </c>
      <c r="AK1213" t="inlineStr">
        <is>
          <t>Armada Whitewalker Skis 2022</t>
        </is>
      </c>
      <c r="AL1213" t="inlineStr">
        <is>
          <t>Snowcountry.eu</t>
        </is>
      </c>
      <c r="AM1213" s="333" t="n">
        <v>587.63</v>
      </c>
      <c r="AN1213" t="inlineStr">
        <is>
          <t>https://tinyurl.com/ya8fkhua</t>
        </is>
      </c>
      <c r="AO1213" t="inlineStr">
        <is>
          <t>Armada Whitewalker Skis 2022</t>
        </is>
      </c>
      <c r="AP1213" t="inlineStr">
        <is>
          <t>Next Adventure</t>
        </is>
      </c>
      <c r="AQ1213" s="333" t="n">
        <v>639.96</v>
      </c>
      <c r="AR1213" t="inlineStr">
        <is>
          <t>https://tinyurl.com/yczppwak</t>
        </is>
      </c>
      <c r="AS1213" s="314">
        <f>IF(LEFT(C1213,1)=" ",RIGHT(C1213,LEN(C1213)-1),C1213)</f>
        <v/>
      </c>
      <c r="AT1213" s="281">
        <f>_xlfn.CONCAT(B1213,AS1213,D1213,E1213)</f>
        <v/>
      </c>
    </row>
    <row r="1214">
      <c r="A1214" t="inlineStr">
        <is>
          <t>21/22</t>
        </is>
      </c>
      <c r="B1214" t="inlineStr">
        <is>
          <t xml:space="preserve"> Vï¿½lkl</t>
        </is>
      </c>
      <c r="C1214" t="inlineStr">
        <is>
          <t>Katana 108</t>
        </is>
      </c>
      <c r="D1214" t="n">
        <v>177</v>
      </c>
      <c r="E1214" t="inlineStr">
        <is>
          <t xml:space="preserve"> Unisex</t>
        </is>
      </c>
      <c r="F1214" t="n">
        <v>177</v>
      </c>
      <c r="G1214" t="n">
        <v>178.1</v>
      </c>
      <c r="H1214" t="n">
        <v>135</v>
      </c>
      <c r="I1214" t="n">
        <v>155</v>
      </c>
      <c r="J1214" t="n">
        <v>145</v>
      </c>
      <c r="K1214" t="n">
        <v>107</v>
      </c>
      <c r="L1214" t="n">
        <v>128</v>
      </c>
      <c r="M1214" t="n">
        <v>19.4</v>
      </c>
      <c r="N1214" t="n">
        <v>2237</v>
      </c>
      <c r="O1214" t="n">
        <v>0.95</v>
      </c>
      <c r="P1214" t="n">
        <v>2115</v>
      </c>
      <c r="Q1214" t="n">
        <v>229</v>
      </c>
      <c r="R1214" t="n">
        <v>162</v>
      </c>
      <c r="S1214" t="n">
        <v>49</v>
      </c>
      <c r="T1214" t="n">
        <v>249</v>
      </c>
      <c r="U1214" t="n">
        <v>17</v>
      </c>
      <c r="V1214" t="n">
        <v>184</v>
      </c>
      <c r="W1214" t="n">
        <v>0.35</v>
      </c>
      <c r="X1214" t="n">
        <v>131</v>
      </c>
      <c r="Y1214" t="n">
        <v>104</v>
      </c>
      <c r="Z1214" t="n">
        <v>118</v>
      </c>
      <c r="AA1214" t="n">
        <v>4</v>
      </c>
      <c r="AB1214" t="n">
        <v>11.5</v>
      </c>
      <c r="AC1214" t="inlineStr">
        <is>
          <t xml:space="preserve"> Powder</t>
        </is>
      </c>
      <c r="AD1214" t="inlineStr">
        <is>
          <t xml:space="preserve"> Big Mountain</t>
        </is>
      </c>
      <c r="AG1214" t="inlineStr">
        <is>
          <t>Volkl Katana 108 Ski 2022</t>
        </is>
      </c>
      <c r="AH1214" t="inlineStr">
        <is>
          <t>Snowcountry.eu</t>
        </is>
      </c>
      <c r="AI1214" s="333" t="n">
        <v>548.46</v>
      </c>
      <c r="AJ1214" t="inlineStr">
        <is>
          <t>https://tinyurl.com/y8cmmmae</t>
        </is>
      </c>
      <c r="AK1214" t="inlineStr">
        <is>
          <t>'21 Volkl Katana 108 Skis 177cm</t>
        </is>
      </c>
      <c r="AL1214" t="inlineStr">
        <is>
          <t>Al's Ski Equipment Barn</t>
        </is>
      </c>
      <c r="AM1214" s="333" t="n">
        <v>599.95</v>
      </c>
      <c r="AN1214" t="inlineStr">
        <is>
          <t>https://tinyurl.com/yb4y5fmk</t>
        </is>
      </c>
      <c r="AO1214" t="inlineStr">
        <is>
          <t>Volkl Katana 108 Ski 2022</t>
        </is>
      </c>
      <c r="AP1214" t="inlineStr">
        <is>
          <t>Bobleisure</t>
        </is>
      </c>
      <c r="AQ1214" s="333" t="n">
        <v>624.87</v>
      </c>
      <c r="AR1214" t="inlineStr">
        <is>
          <t>https://tinyurl.com/ycvyoj7g</t>
        </is>
      </c>
      <c r="AS1214" s="314">
        <f>IF(LEFT(C1214,1)=" ",RIGHT(C1214,LEN(C1214)-1),C1214)</f>
        <v/>
      </c>
      <c r="AT1214" s="281">
        <f>_xlfn.CONCAT(B1214,AS1214,D1214,E1214)</f>
        <v/>
      </c>
    </row>
    <row r="1215">
      <c r="A1215" t="inlineStr">
        <is>
          <t>21/22</t>
        </is>
      </c>
      <c r="B1215" t="inlineStr">
        <is>
          <t>K2</t>
        </is>
      </c>
      <c r="C1215" t="inlineStr">
        <is>
          <t>Mindbender 108 Ti</t>
        </is>
      </c>
      <c r="D1215" t="n">
        <v>186</v>
      </c>
      <c r="E1215" t="inlineStr">
        <is>
          <t xml:space="preserve"> Unisex</t>
        </is>
      </c>
      <c r="F1215" t="n">
        <v>186</v>
      </c>
      <c r="G1215" t="n">
        <v>185.9</v>
      </c>
      <c r="H1215" t="n">
        <v>117</v>
      </c>
      <c r="I1215" t="n">
        <v>150</v>
      </c>
      <c r="J1215" t="n">
        <v>136</v>
      </c>
      <c r="K1215" t="n">
        <v>107</v>
      </c>
      <c r="L1215" t="n">
        <v>124</v>
      </c>
      <c r="M1215" t="n">
        <v>23.1</v>
      </c>
      <c r="N1215" t="n">
        <v>2141</v>
      </c>
      <c r="O1215" t="n">
        <v>1.01</v>
      </c>
      <c r="P1215" t="n">
        <v>2160</v>
      </c>
      <c r="Q1215" t="n">
        <v>236</v>
      </c>
      <c r="R1215" t="n">
        <v>172</v>
      </c>
      <c r="S1215" t="n">
        <v>49</v>
      </c>
      <c r="T1215" t="n">
        <v>408</v>
      </c>
      <c r="U1215" t="n">
        <v>24</v>
      </c>
      <c r="V1215" t="n">
        <v>279</v>
      </c>
      <c r="W1215" t="n">
        <v>0.488</v>
      </c>
      <c r="X1215" t="n">
        <v>182</v>
      </c>
      <c r="Y1215" t="n">
        <v>180</v>
      </c>
      <c r="Z1215" t="n">
        <v>225</v>
      </c>
      <c r="AA1215" t="n">
        <v>5</v>
      </c>
      <c r="AB1215" t="n">
        <v>10.5</v>
      </c>
      <c r="AC1215" t="inlineStr">
        <is>
          <t xml:space="preserve"> Powder</t>
        </is>
      </c>
      <c r="AG1215" t="inlineStr">
        <is>
          <t>'22 K2 Mindbender 108 Ti Skis 186cm</t>
        </is>
      </c>
      <c r="AH1215" t="inlineStr">
        <is>
          <t>Al's Ski Equipment Barn</t>
        </is>
      </c>
      <c r="AI1215" s="333" t="n">
        <v>749</v>
      </c>
      <c r="AJ1215" t="inlineStr">
        <is>
          <t>https://tinyurl.com/y8p325kf</t>
        </is>
      </c>
      <c r="AK1215" t="inlineStr">
        <is>
          <t>K2 mindbender 108 ti skis - men</t>
        </is>
      </c>
      <c r="AL1215" t="inlineStr">
        <is>
          <t>Level Nine Sports</t>
        </is>
      </c>
      <c r="AM1215" s="333" t="n">
        <v>749.95</v>
      </c>
      <c r="AN1215" t="inlineStr">
        <is>
          <t>https://tinyurl.com/yd44fxuc</t>
        </is>
      </c>
      <c r="AO1215" t="inlineStr">
        <is>
          <t>MINDBENDER 108 TI '22</t>
        </is>
      </c>
      <c r="AP1215" t="inlineStr">
        <is>
          <t>Vertical Drop</t>
        </is>
      </c>
      <c r="AQ1215" s="333" t="n">
        <v>749.99</v>
      </c>
      <c r="AR1215" t="inlineStr">
        <is>
          <t>https://tinyurl.com/y6wbukay</t>
        </is>
      </c>
      <c r="AS1215" s="314">
        <f>IF(LEFT(C1215,1)=" ",RIGHT(C1215,LEN(C1215)-1),C1215)</f>
        <v/>
      </c>
      <c r="AT1215" s="281">
        <f>_xlfn.CONCAT(B1215,AS1215,D1215,E1215)</f>
        <v/>
      </c>
    </row>
    <row r="1216">
      <c r="A1216" t="inlineStr">
        <is>
          <t>21/22</t>
        </is>
      </c>
      <c r="B1216" t="inlineStr">
        <is>
          <t xml:space="preserve"> Nordica</t>
        </is>
      </c>
      <c r="C1216" t="inlineStr">
        <is>
          <t>Enforcer 88</t>
        </is>
      </c>
      <c r="D1216" t="n">
        <v>186</v>
      </c>
      <c r="E1216" t="inlineStr">
        <is>
          <t xml:space="preserve"> Unisex</t>
        </is>
      </c>
      <c r="F1216" t="n">
        <v>186</v>
      </c>
      <c r="G1216" t="n">
        <v>185.2</v>
      </c>
      <c r="H1216" t="n">
        <v>139</v>
      </c>
      <c r="I1216" t="n">
        <v>157</v>
      </c>
      <c r="J1216" t="n">
        <v>124</v>
      </c>
      <c r="K1216" t="n">
        <v>87</v>
      </c>
      <c r="L1216" t="n">
        <v>110</v>
      </c>
      <c r="M1216" t="n">
        <v>17.9</v>
      </c>
      <c r="N1216" t="n">
        <v>2137</v>
      </c>
      <c r="O1216" t="n">
        <v>0.87</v>
      </c>
      <c r="P1216" t="n">
        <v>1851</v>
      </c>
      <c r="Q1216" t="n">
        <v>286</v>
      </c>
      <c r="R1216" t="n">
        <v>162</v>
      </c>
      <c r="S1216" t="n">
        <v>54</v>
      </c>
      <c r="T1216" t="n">
        <v>274</v>
      </c>
      <c r="U1216" t="n">
        <v>11</v>
      </c>
      <c r="V1216" t="n">
        <v>191</v>
      </c>
      <c r="W1216" t="n">
        <v>0.208</v>
      </c>
      <c r="X1216" t="n">
        <v>124</v>
      </c>
      <c r="Y1216" t="n">
        <v>155</v>
      </c>
      <c r="Z1216" t="n">
        <v>150</v>
      </c>
      <c r="AA1216" t="n">
        <v>8</v>
      </c>
      <c r="AB1216" t="n">
        <v>8.5</v>
      </c>
      <c r="AC1216" t="inlineStr">
        <is>
          <t xml:space="preserve"> Resort Freeride</t>
        </is>
      </c>
      <c r="AG1216" t="inlineStr">
        <is>
          <t>Nordica Enforcer 88 Skis Â· 2022 Â· 186 cm</t>
        </is>
      </c>
      <c r="AH1216" t="inlineStr">
        <is>
          <t>BlueZone Sports</t>
        </is>
      </c>
      <c r="AI1216" s="333" t="n">
        <v>487.49</v>
      </c>
      <c r="AJ1216" t="inlineStr">
        <is>
          <t>https://tinyurl.com/y92u95xn</t>
        </is>
      </c>
      <c r="AK1216" t="inlineStr">
        <is>
          <t>Nordica Enforcer 88 Skis Â· 2022 Â· 186 cm</t>
        </is>
      </c>
      <c r="AL1216" t="inlineStr">
        <is>
          <t>Skirack</t>
        </is>
      </c>
      <c r="AM1216" s="333" t="n">
        <v>519.96</v>
      </c>
      <c r="AN1216" t="inlineStr">
        <is>
          <t>https://tinyurl.com/ya7qh2uz</t>
        </is>
      </c>
      <c r="AO1216" t="inlineStr">
        <is>
          <t>Nordica Enforcer 88 Skis Â· 2022 Â· 186 cm</t>
        </is>
      </c>
      <c r="AP1216" t="inlineStr">
        <is>
          <t>GritrOutdoors</t>
        </is>
      </c>
      <c r="AQ1216" s="333" t="n">
        <v>519.99</v>
      </c>
      <c r="AR1216" t="inlineStr">
        <is>
          <t>https://tinyurl.com/yd88kfdy</t>
        </is>
      </c>
      <c r="AS1216" s="314">
        <f>IF(LEFT(C1216,1)=" ",RIGHT(C1216,LEN(C1216)-1),C1216)</f>
        <v/>
      </c>
      <c r="AT1216" s="281">
        <f>_xlfn.CONCAT(B1216,AS1216,D1216,E1216)</f>
        <v/>
      </c>
    </row>
    <row r="1217">
      <c r="A1217" t="inlineStr">
        <is>
          <t>21/22</t>
        </is>
      </c>
      <c r="B1217" t="inlineStr">
        <is>
          <t xml:space="preserve"> Blizzard</t>
        </is>
      </c>
      <c r="C1217" t="inlineStr">
        <is>
          <t>Brahma 88</t>
        </is>
      </c>
      <c r="D1217" t="n">
        <v>189</v>
      </c>
      <c r="E1217" t="inlineStr">
        <is>
          <t xml:space="preserve"> Unisex</t>
        </is>
      </c>
      <c r="F1217" t="n">
        <v>189</v>
      </c>
      <c r="G1217" t="n">
        <v>188.1</v>
      </c>
      <c r="H1217" t="n">
        <v>160</v>
      </c>
      <c r="I1217" t="n">
        <v>165</v>
      </c>
      <c r="J1217" t="n">
        <v>127</v>
      </c>
      <c r="K1217" t="n">
        <v>86</v>
      </c>
      <c r="L1217" t="n">
        <v>109</v>
      </c>
      <c r="M1217" t="n">
        <v>20.5</v>
      </c>
      <c r="N1217" t="n">
        <v>2306</v>
      </c>
      <c r="O1217" t="n">
        <v>0.8</v>
      </c>
      <c r="P1217" t="n">
        <v>1848</v>
      </c>
      <c r="Q1217" t="n">
        <v>253</v>
      </c>
      <c r="R1217" t="n">
        <v>139</v>
      </c>
      <c r="S1217" t="n">
        <v>54</v>
      </c>
      <c r="T1217" t="n">
        <v>198</v>
      </c>
      <c r="U1217" t="n">
        <v>4</v>
      </c>
      <c r="V1217" t="n">
        <v>85</v>
      </c>
      <c r="W1217" t="n">
        <v>0.078</v>
      </c>
      <c r="X1217" t="n">
        <v>123</v>
      </c>
      <c r="Y1217" t="n">
        <v>104</v>
      </c>
      <c r="Z1217" t="n">
        <v>75</v>
      </c>
      <c r="AA1217" t="n">
        <v>12</v>
      </c>
      <c r="AB1217" t="n">
        <v>11</v>
      </c>
      <c r="AC1217" t="inlineStr">
        <is>
          <t xml:space="preserve"> Resort Freeride</t>
        </is>
      </c>
      <c r="AG1217" t="inlineStr">
        <is>
          <t>Blizzard Brahma 88 20/21</t>
        </is>
      </c>
      <c r="AH1217" t="inlineStr">
        <is>
          <t>Telemark Pyrenees</t>
        </is>
      </c>
      <c r="AI1217" s="333" t="n">
        <v>394.15</v>
      </c>
      <c r="AJ1217" t="inlineStr">
        <is>
          <t>https://tinyurl.com/y84zpmp8</t>
        </is>
      </c>
      <c r="AK1217" t="inlineStr">
        <is>
          <t>Blizzard Men's Brahma 88 Alpine Ski 2022 189</t>
        </is>
      </c>
      <c r="AL1217" t="inlineStr">
        <is>
          <t>Boyne Country Sports</t>
        </is>
      </c>
      <c r="AM1217" s="333" t="n">
        <v>699.95</v>
      </c>
      <c r="AN1217" t="inlineStr">
        <is>
          <t>https://tinyurl.com/y9hegnr4</t>
        </is>
      </c>
      <c r="AO1217" t="inlineStr">
        <is>
          <t>Blizzard Brahma 88 Skis W/ Warden 13 Bindings 2021 - 189cm - No-Binding Mounting</t>
        </is>
      </c>
      <c r="AP1217" t="inlineStr">
        <is>
          <t>ColoradoSkiShop.com</t>
        </is>
      </c>
      <c r="AQ1217" s="333" t="n">
        <v>799.99</v>
      </c>
      <c r="AR1217" t="inlineStr">
        <is>
          <t>https://tinyurl.com/y7p4hxj6</t>
        </is>
      </c>
      <c r="AS1217" s="314">
        <f>IF(LEFT(C1217,1)=" ",RIGHT(C1217,LEN(C1217)-1),C1217)</f>
        <v/>
      </c>
      <c r="AT1217" s="281">
        <f>_xlfn.CONCAT(B1217,AS1217,D1217,E1217)</f>
        <v/>
      </c>
    </row>
    <row r="1218">
      <c r="A1218" t="inlineStr">
        <is>
          <t>21/22</t>
        </is>
      </c>
      <c r="B1218" t="inlineStr">
        <is>
          <t xml:space="preserve"> Fischer</t>
        </is>
      </c>
      <c r="C1218" t="inlineStr">
        <is>
          <t>Hannibal 96</t>
        </is>
      </c>
      <c r="D1218" t="n">
        <v>162</v>
      </c>
      <c r="E1218" t="inlineStr">
        <is>
          <t xml:space="preserve"> Unisex</t>
        </is>
      </c>
      <c r="F1218" t="n">
        <v>162</v>
      </c>
      <c r="G1218" t="n">
        <v>161</v>
      </c>
      <c r="H1218" t="n">
        <v>116</v>
      </c>
      <c r="I1218" t="n">
        <v>138</v>
      </c>
      <c r="J1218" t="n">
        <v>124</v>
      </c>
      <c r="K1218" t="n">
        <v>93</v>
      </c>
      <c r="L1218" t="n">
        <v>111</v>
      </c>
      <c r="M1218" t="n">
        <v>18.5</v>
      </c>
      <c r="N1218" t="n">
        <v>1133</v>
      </c>
      <c r="O1218" t="n">
        <v>1.45</v>
      </c>
      <c r="P1218" t="n">
        <v>1640</v>
      </c>
      <c r="Q1218" t="n">
        <v>118</v>
      </c>
      <c r="R1218" t="n">
        <v>50</v>
      </c>
      <c r="S1218" t="n">
        <v>58</v>
      </c>
      <c r="T1218" t="n">
        <v>311</v>
      </c>
      <c r="U1218" t="n">
        <v>5</v>
      </c>
      <c r="V1218" t="n">
        <v>138</v>
      </c>
      <c r="W1218" t="n">
        <v>0.08500000000000001</v>
      </c>
      <c r="X1218" t="n">
        <v>150</v>
      </c>
      <c r="Y1218" t="n">
        <v>76</v>
      </c>
      <c r="Z1218" t="n">
        <v>161</v>
      </c>
      <c r="AA1218" t="n">
        <v>2</v>
      </c>
      <c r="AB1218" t="n">
        <v>10</v>
      </c>
      <c r="AC1218" t="inlineStr">
        <is>
          <t xml:space="preserve"> Touring</t>
        </is>
      </c>
      <c r="AD1218" t="inlineStr">
        <is>
          <t xml:space="preserve"> Ultralight Touring</t>
        </is>
      </c>
      <c r="AG1218" t="inlineStr">
        <is>
          <t>2022 Fischer Hannibal 96 Carbon Skis Mounted W/ Kingpin 13 284mm 162cm</t>
        </is>
      </c>
      <c r="AH1218" t="inlineStr">
        <is>
          <t>eBay - david110549</t>
        </is>
      </c>
      <c r="AI1218" s="333" t="n">
        <v>1049.95</v>
      </c>
      <c r="AJ1218" t="inlineStr">
        <is>
          <t>https://tinyurl.com/y7gxteft</t>
        </is>
      </c>
      <c r="AK1218" t="inlineStr">
        <is>
          <t>Fischer Hannibal 96 Kit 162</t>
        </is>
      </c>
      <c r="AL1218" t="inlineStr">
        <is>
          <t>Ski The Whites</t>
        </is>
      </c>
      <c r="AM1218" s="333" t="n">
        <v>1250</v>
      </c>
      <c r="AN1218" t="inlineStr">
        <is>
          <t>https://tinyurl.com/ycv2kp3h</t>
        </is>
      </c>
      <c r="AO1218" t="inlineStr">
        <is>
          <t>Fischer Hannibal 96 Carbon Ski - 162cm</t>
        </is>
      </c>
      <c r="AP1218" t="inlineStr">
        <is>
          <t>JANS Mountain Outfitters</t>
        </is>
      </c>
      <c r="AQ1218" s="333" t="n">
        <v>450</v>
      </c>
      <c r="AR1218" t="inlineStr">
        <is>
          <t>https://tinyurl.com/ybtf8zhc</t>
        </is>
      </c>
      <c r="AS1218" s="314">
        <f>IF(LEFT(C1218,1)=" ",RIGHT(C1218,LEN(C1218)-1),C1218)</f>
        <v/>
      </c>
      <c r="AT1218" s="281">
        <f>_xlfn.CONCAT(B1218,AS1218,D1218,E1218)</f>
        <v/>
      </c>
    </row>
    <row r="1219">
      <c r="A1219" t="inlineStr">
        <is>
          <t>21/22</t>
        </is>
      </c>
      <c r="B1219" t="inlineStr">
        <is>
          <t xml:space="preserve"> Blizzard</t>
        </is>
      </c>
      <c r="C1219" t="inlineStr">
        <is>
          <t>Zero G 85</t>
        </is>
      </c>
      <c r="D1219" t="n">
        <v>150</v>
      </c>
      <c r="E1219" t="inlineStr">
        <is>
          <t xml:space="preserve"> Unisex</t>
        </is>
      </c>
      <c r="F1219" t="n">
        <v>150</v>
      </c>
      <c r="G1219" t="n">
        <v>147.6</v>
      </c>
      <c r="H1219" t="n">
        <v>109</v>
      </c>
      <c r="I1219" t="n">
        <v>123</v>
      </c>
      <c r="J1219" t="n">
        <v>112</v>
      </c>
      <c r="K1219" t="n">
        <v>82</v>
      </c>
      <c r="L1219" t="n">
        <v>95</v>
      </c>
      <c r="M1219" t="n">
        <v>17.3</v>
      </c>
      <c r="N1219" t="n">
        <v>900</v>
      </c>
      <c r="O1219" t="n">
        <v>1.49</v>
      </c>
      <c r="P1219" t="n">
        <v>1337</v>
      </c>
      <c r="Q1219" t="n">
        <v>140</v>
      </c>
      <c r="R1219" t="n">
        <v>44</v>
      </c>
      <c r="S1219" t="n">
        <v>58</v>
      </c>
      <c r="T1219" t="n">
        <v>216</v>
      </c>
      <c r="U1219" t="n">
        <v>11</v>
      </c>
      <c r="V1219" t="n">
        <v>172</v>
      </c>
      <c r="W1219" t="n">
        <v>0.188999999999999</v>
      </c>
      <c r="X1219" t="n">
        <v>126</v>
      </c>
      <c r="Y1219" t="n">
        <v>121</v>
      </c>
      <c r="Z1219" t="n">
        <v>90</v>
      </c>
      <c r="AA1219" t="n">
        <v>4</v>
      </c>
      <c r="AB1219" t="n">
        <v>10.1</v>
      </c>
      <c r="AC1219" t="inlineStr">
        <is>
          <t xml:space="preserve"> Touring</t>
        </is>
      </c>
      <c r="AD1219" t="inlineStr">
        <is>
          <t xml:space="preserve"> Ultralight Touring</t>
        </is>
      </c>
      <c r="AG1219" t="inlineStr">
        <is>
          <t>Blizzard Zero G 85 Light Grey Skis Â· 150 cm</t>
        </is>
      </c>
      <c r="AH1219" t="inlineStr">
        <is>
          <t>Skimo &amp; SkyRun</t>
        </is>
      </c>
      <c r="AI1219" s="333" t="n">
        <v>479.96</v>
      </c>
      <c r="AJ1219" t="inlineStr">
        <is>
          <t>https://tinyurl.com/ybnwt726</t>
        </is>
      </c>
      <c r="AK1219" t="inlineStr">
        <is>
          <t>Blizzard Zero G 85 Light Grey Skis Â· 150 cm</t>
        </is>
      </c>
      <c r="AL1219" t="inlineStr">
        <is>
          <t>Backcountry.com</t>
        </is>
      </c>
      <c r="AM1219" s="333" t="n">
        <v>479.96</v>
      </c>
      <c r="AN1219" t="inlineStr">
        <is>
          <t>https://tinyurl.com/yae464hn</t>
        </is>
      </c>
      <c r="AO1219" t="inlineStr">
        <is>
          <t>Blizzard Zero G 85 Light Grey Skis Â· 150 cm</t>
        </is>
      </c>
      <c r="AP1219" t="inlineStr">
        <is>
          <t>Steep &amp; Cheap</t>
        </is>
      </c>
      <c r="AQ1219" s="333" t="n">
        <v>479.96</v>
      </c>
      <c r="AR1219" t="inlineStr">
        <is>
          <t>https://tinyurl.com/ydb53nda</t>
        </is>
      </c>
      <c r="AS1219" s="314">
        <f>IF(LEFT(C1219,1)=" ",RIGHT(C1219,LEN(C1219)-1),C1219)</f>
        <v/>
      </c>
      <c r="AT1219" s="281">
        <f>_xlfn.CONCAT(B1219,AS1219,D1219,E1219)</f>
        <v/>
      </c>
    </row>
    <row r="1220">
      <c r="A1220" t="inlineStr">
        <is>
          <t>21/22</t>
        </is>
      </c>
      <c r="B1220" t="inlineStr">
        <is>
          <t xml:space="preserve"> DPS</t>
        </is>
      </c>
      <c r="C1220" t="inlineStr">
        <is>
          <t>Pagoda 112 RP</t>
        </is>
      </c>
      <c r="D1220" t="n">
        <v>189</v>
      </c>
      <c r="E1220" t="inlineStr">
        <is>
          <t xml:space="preserve"> Unisex</t>
        </is>
      </c>
      <c r="F1220" t="n">
        <v>189</v>
      </c>
      <c r="G1220" t="n">
        <v>187.8</v>
      </c>
      <c r="H1220" t="n">
        <v>121</v>
      </c>
      <c r="I1220" t="n">
        <v>131</v>
      </c>
      <c r="J1220" t="n">
        <v>141</v>
      </c>
      <c r="K1220" t="n">
        <v>111</v>
      </c>
      <c r="L1220" t="n">
        <v>127</v>
      </c>
      <c r="M1220" t="n">
        <v>15.3</v>
      </c>
      <c r="N1220" t="n">
        <v>2131</v>
      </c>
      <c r="O1220" t="n">
        <v>1.07</v>
      </c>
      <c r="P1220" t="n">
        <v>2278</v>
      </c>
      <c r="Q1220" t="n">
        <v>315</v>
      </c>
      <c r="R1220" t="n">
        <v>138</v>
      </c>
      <c r="S1220" t="n">
        <v>67</v>
      </c>
      <c r="T1220" t="n">
        <v>392</v>
      </c>
      <c r="U1220" t="n">
        <v>28</v>
      </c>
      <c r="V1220" t="n">
        <v>279</v>
      </c>
      <c r="W1220" t="n">
        <v>0.42</v>
      </c>
      <c r="X1220" t="n">
        <v>292</v>
      </c>
      <c r="Y1220" t="n">
        <v>279</v>
      </c>
      <c r="Z1220" t="n">
        <v>100</v>
      </c>
      <c r="AA1220" t="n">
        <v>7</v>
      </c>
      <c r="AB1220" t="n">
        <v>12.6</v>
      </c>
      <c r="AC1220" t="inlineStr">
        <is>
          <t xml:space="preserve"> Powder</t>
        </is>
      </c>
      <c r="AD1220" t="inlineStr">
        <is>
          <t xml:space="preserve"> Touring</t>
        </is>
      </c>
      <c r="AG1220" t="inlineStr">
        <is>
          <t>DPS Pagoda 112 RP Skis Â· 189 cm Â· Yellow</t>
        </is>
      </c>
      <c r="AH1220" t="inlineStr">
        <is>
          <t>Curated</t>
        </is>
      </c>
      <c r="AI1220" s="333" t="n">
        <v>1039</v>
      </c>
      <c r="AJ1220" t="inlineStr">
        <is>
          <t>https://tinyurl.com/ybrs6soz</t>
        </is>
      </c>
      <c r="AK1220" t="inlineStr">
        <is>
          <t>DPS Pagoda 112 RP Skis Â· 189 cm Â· Yellow</t>
        </is>
      </c>
      <c r="AL1220" t="inlineStr">
        <is>
          <t>Teton Wasatch Ski Co.</t>
        </is>
      </c>
      <c r="AM1220" s="333" t="n">
        <v>1039</v>
      </c>
      <c r="AN1220" t="inlineStr">
        <is>
          <t>https://tinyurl.com/ybj9jqag</t>
        </is>
      </c>
      <c r="AO1220" t="inlineStr">
        <is>
          <t>DPS Pagoda 112 RP Skis Â· 189 cm Â· Yellow</t>
        </is>
      </c>
      <c r="AP1220" t="inlineStr">
        <is>
          <t>Powder7 Ski Shop</t>
        </is>
      </c>
      <c r="AQ1220" s="333" t="n">
        <v>1039.2</v>
      </c>
      <c r="AR1220" t="inlineStr">
        <is>
          <t>https://tinyurl.com/y853f8bs</t>
        </is>
      </c>
      <c r="AS1220" s="314">
        <f>IF(LEFT(C1220,1)=" ",RIGHT(C1220,LEN(C1220)-1),C1220)</f>
        <v/>
      </c>
      <c r="AT1220" s="281">
        <f>_xlfn.CONCAT(B1220,AS1220,D1220,E1220)</f>
        <v/>
      </c>
    </row>
    <row r="1221">
      <c r="A1221" t="inlineStr">
        <is>
          <t>21/22</t>
        </is>
      </c>
      <c r="B1221" t="inlineStr">
        <is>
          <t xml:space="preserve"> Vï¿½lkl</t>
        </is>
      </c>
      <c r="C1221" t="inlineStr">
        <is>
          <t xml:space="preserve"> Katana V.Werks</t>
        </is>
      </c>
      <c r="D1221" t="n">
        <v>191</v>
      </c>
      <c r="E1221" t="inlineStr">
        <is>
          <t xml:space="preserve"> Unisex</t>
        </is>
      </c>
      <c r="F1221" t="n">
        <v>191</v>
      </c>
      <c r="G1221" t="n">
        <v>188.9</v>
      </c>
      <c r="H1221" t="n">
        <v>0</v>
      </c>
      <c r="I1221" t="n">
        <v>165</v>
      </c>
      <c r="J1221" t="n">
        <v>142</v>
      </c>
      <c r="K1221" t="n">
        <v>111</v>
      </c>
      <c r="L1221" t="n">
        <v>131</v>
      </c>
      <c r="M1221" t="n">
        <v>26.4</v>
      </c>
      <c r="N1221" t="n">
        <v>2013</v>
      </c>
      <c r="O1221" t="n">
        <v>1.13</v>
      </c>
      <c r="P1221" t="n">
        <v>2278</v>
      </c>
      <c r="Q1221" t="n">
        <v>302</v>
      </c>
      <c r="R1221" t="n">
        <v>195</v>
      </c>
      <c r="S1221" t="n">
        <v>49</v>
      </c>
      <c r="T1221" t="n">
        <v>1077</v>
      </c>
      <c r="U1221" t="n">
        <v>17</v>
      </c>
      <c r="V1221" t="n">
        <v>812</v>
      </c>
      <c r="W1221" t="n">
        <v>0.341</v>
      </c>
      <c r="X1221" t="n">
        <v>142</v>
      </c>
      <c r="Y1221" t="n">
        <v>99</v>
      </c>
      <c r="Z1221" t="n">
        <v>935</v>
      </c>
      <c r="AA1221" t="n">
        <v>-5</v>
      </c>
      <c r="AB1221" t="n">
        <v>13.3</v>
      </c>
      <c r="AC1221" t="inlineStr">
        <is>
          <t xml:space="preserve"> Big Mountain</t>
        </is>
      </c>
      <c r="AD1221" t="inlineStr">
        <is>
          <t xml:space="preserve"> Touring</t>
        </is>
      </c>
      <c r="AG1221" t="inlineStr">
        <is>
          <t>2022 Volkl Katana V-Werks Skis - 191</t>
        </is>
      </c>
      <c r="AH1221" t="inlineStr">
        <is>
          <t>! OutdoorXL.com</t>
        </is>
      </c>
      <c r="AI1221" s="333" t="n">
        <v>749.95</v>
      </c>
      <c r="AJ1221" t="inlineStr">
        <is>
          <t>https://tinyurl.com/ycp9w75k</t>
        </is>
      </c>
      <c r="AK1221" t="inlineStr">
        <is>
          <t>Volkl M6 Mantra Flat Ski 2021-2022 | RED/BLACK / 191</t>
        </is>
      </c>
      <c r="AL1221" t="inlineStr">
        <is>
          <t>Ski Pro  - Snow Ski &amp; Snowboard</t>
        </is>
      </c>
      <c r="AM1221" s="333" t="n">
        <v>559.95</v>
      </c>
      <c r="AN1221" t="inlineStr">
        <is>
          <t>https://tinyurl.com/y7eoprb2</t>
        </is>
      </c>
      <c r="AO1221" t="inlineStr">
        <is>
          <t>Volkl M6 Mantra Skis 2022</t>
        </is>
      </c>
      <c r="AP1221" t="inlineStr">
        <is>
          <t>Erik's Bike, Board and Ski</t>
        </is>
      </c>
      <c r="AQ1221" s="333" t="n">
        <v>559.99</v>
      </c>
      <c r="AR1221" t="inlineStr">
        <is>
          <t>https://tinyurl.com/y9ldny38</t>
        </is>
      </c>
      <c r="AS1221" s="314">
        <f>IF(LEFT(C1221,1)=" ",RIGHT(C1221,LEN(C1221)-1),C1221)</f>
        <v/>
      </c>
      <c r="AT1221" s="281">
        <f>_xlfn.CONCAT(B1221,AS1221,D1221,E1221)</f>
        <v/>
      </c>
    </row>
    <row r="1222">
      <c r="A1222" t="inlineStr">
        <is>
          <t>21/22</t>
        </is>
      </c>
      <c r="B1222" t="inlineStr">
        <is>
          <t>K2</t>
        </is>
      </c>
      <c r="C1222" t="inlineStr">
        <is>
          <t>Talkback 88</t>
        </is>
      </c>
      <c r="D1222" t="n">
        <v>153</v>
      </c>
      <c r="E1222" t="inlineStr">
        <is>
          <t xml:space="preserve"> Women's</t>
        </is>
      </c>
      <c r="F1222" t="n">
        <v>153</v>
      </c>
      <c r="G1222" t="n">
        <v>151.7</v>
      </c>
      <c r="H1222" t="n">
        <v>114</v>
      </c>
      <c r="I1222" t="n">
        <v>127</v>
      </c>
      <c r="J1222" t="n">
        <v>120</v>
      </c>
      <c r="K1222" t="n">
        <v>87</v>
      </c>
      <c r="L1222" t="n">
        <v>108</v>
      </c>
      <c r="M1222" t="n">
        <v>15</v>
      </c>
      <c r="N1222" t="n">
        <v>1048</v>
      </c>
      <c r="O1222" t="n">
        <v>1.41</v>
      </c>
      <c r="P1222" t="n">
        <v>1477</v>
      </c>
      <c r="Q1222" t="n">
        <v>128</v>
      </c>
      <c r="R1222" t="n">
        <v>53</v>
      </c>
      <c r="S1222" t="n">
        <v>43</v>
      </c>
      <c r="T1222" t="n">
        <v>257</v>
      </c>
      <c r="U1222" t="n">
        <v>6</v>
      </c>
      <c r="V1222" t="n">
        <v>120</v>
      </c>
      <c r="W1222" t="n">
        <v>0.141</v>
      </c>
      <c r="X1222" t="n">
        <v>145</v>
      </c>
      <c r="Y1222" t="n">
        <v>97</v>
      </c>
      <c r="Z1222" t="n">
        <v>111</v>
      </c>
      <c r="AA1222" t="n">
        <v>9</v>
      </c>
      <c r="AB1222" t="n">
        <v>11</v>
      </c>
      <c r="AC1222" t="inlineStr">
        <is>
          <t xml:space="preserve"> Touring</t>
        </is>
      </c>
      <c r="AD1222" t="inlineStr">
        <is>
          <t xml:space="preserve"> Ultralight Touring</t>
        </is>
      </c>
      <c r="AG1222" t="inlineStr">
        <is>
          <t>K2 Talkback 88 Touring Skis (women)</t>
        </is>
      </c>
      <c r="AH1222" t="inlineStr">
        <is>
          <t>Snowcountry.eu</t>
        </is>
      </c>
      <c r="AI1222" s="333" t="n">
        <v>294.07</v>
      </c>
      <c r="AJ1222" t="inlineStr">
        <is>
          <t>https://tinyurl.com/y8atpmfy</t>
        </is>
      </c>
      <c r="AK1222" t="inlineStr">
        <is>
          <t>K2 Talkback 88 Skis - Women's - 2022 153 cm</t>
        </is>
      </c>
      <c r="AL1222" t="inlineStr">
        <is>
          <t>Arlberg Ski &amp; Surf Shops</t>
        </is>
      </c>
      <c r="AM1222" s="333" t="n">
        <v>699.95</v>
      </c>
      <c r="AN1222" t="inlineStr">
        <is>
          <t>https://tinyurl.com/ybagjbpz</t>
        </is>
      </c>
      <c r="AO1222" t="inlineStr">
        <is>
          <t>2022 K2 Talkback 88 Women's Skis w/ Marker Kingpin 13 Bindings - 153| Ski Essentials</t>
        </is>
      </c>
      <c r="AP1222" t="inlineStr">
        <is>
          <t>SkiEssentials.com</t>
        </is>
      </c>
      <c r="AQ1222" s="333" t="n">
        <v>954.95</v>
      </c>
      <c r="AR1222" t="inlineStr">
        <is>
          <t>https://tinyurl.com/y8kbxd3n</t>
        </is>
      </c>
      <c r="AS1222" s="314">
        <f>IF(LEFT(C1222,1)=" ",RIGHT(C1222,LEN(C1222)-1),C1222)</f>
        <v/>
      </c>
      <c r="AT1222" s="281">
        <f>_xlfn.CONCAT(B1222,AS1222,D1222,E1222)</f>
        <v/>
      </c>
    </row>
    <row r="1223">
      <c r="A1223" t="inlineStr">
        <is>
          <t>21/22</t>
        </is>
      </c>
      <c r="B1223" t="inlineStr">
        <is>
          <t xml:space="preserve"> Salomon</t>
        </is>
      </c>
      <c r="C1223" t="inlineStr">
        <is>
          <t>S/Max 12</t>
        </is>
      </c>
      <c r="D1223" t="n">
        <v>165</v>
      </c>
      <c r="E1223" t="inlineStr">
        <is>
          <t xml:space="preserve"> Unisex</t>
        </is>
      </c>
      <c r="F1223" t="n">
        <v>165</v>
      </c>
      <c r="G1223" t="n">
        <v>164.4</v>
      </c>
      <c r="H1223" t="n">
        <v>145</v>
      </c>
      <c r="I1223" t="n">
        <v>153</v>
      </c>
      <c r="J1223" t="n">
        <v>121</v>
      </c>
      <c r="K1223" t="n">
        <v>72</v>
      </c>
      <c r="L1223" t="n">
        <v>107</v>
      </c>
      <c r="M1223" t="n">
        <v>14.2</v>
      </c>
      <c r="N1223" t="n">
        <v>1991</v>
      </c>
      <c r="O1223" t="n">
        <v>0.73</v>
      </c>
      <c r="P1223" t="n">
        <v>1450</v>
      </c>
      <c r="Q1223" t="n">
        <v>222</v>
      </c>
      <c r="R1223" t="n">
        <v>146</v>
      </c>
      <c r="S1223" t="n">
        <v>36</v>
      </c>
      <c r="T1223" t="n">
        <v>138</v>
      </c>
      <c r="U1223" t="n">
        <v>4</v>
      </c>
      <c r="V1223" t="n">
        <v>51</v>
      </c>
      <c r="W1223" t="n">
        <v>0.11</v>
      </c>
      <c r="X1223" t="n">
        <v>79</v>
      </c>
      <c r="Y1223" t="n">
        <v>31</v>
      </c>
      <c r="Z1223" t="n">
        <v>60</v>
      </c>
      <c r="AA1223" t="n">
        <v>13</v>
      </c>
      <c r="AB1223" t="n">
        <v>11.3</v>
      </c>
      <c r="AC1223" t="inlineStr">
        <is>
          <t xml:space="preserve"> On-Piste Carving</t>
        </is>
      </c>
      <c r="AG1223" t="inlineStr">
        <is>
          <t>2022 Salomon S/MAX 8 Skis + M11 GW Bindings</t>
        </is>
      </c>
      <c r="AH1223" t="inlineStr">
        <is>
          <t>Coast Water Sport</t>
        </is>
      </c>
      <c r="AI1223" s="333" t="n">
        <v>382.06</v>
      </c>
      <c r="AJ1223" t="inlineStr">
        <is>
          <t>https://tinyurl.com/ycsrmo9k</t>
        </is>
      </c>
      <c r="AK1223" t="inlineStr">
        <is>
          <t>Salomon E S/RACE MT + Z12 GW F80 Blue/Yellow / 165cm</t>
        </is>
      </c>
      <c r="AL1223" t="inlineStr">
        <is>
          <t>Sundance Ski and Board Shop</t>
        </is>
      </c>
      <c r="AM1223" s="333" t="n">
        <v>400.72</v>
      </c>
      <c r="AN1223" t="inlineStr">
        <is>
          <t>https://tinyurl.com/y8gq9swn</t>
        </is>
      </c>
      <c r="AO1223" t="inlineStr">
        <is>
          <t>Salomon S/race Rush SL Skis Â· 165 cm</t>
        </is>
      </c>
      <c r="AP1223" t="inlineStr">
        <is>
          <t>Curated</t>
        </is>
      </c>
      <c r="AQ1223" s="333" t="n">
        <v>899.95</v>
      </c>
      <c r="AR1223" t="inlineStr">
        <is>
          <t>https://tinyurl.com/ybzvwlp4</t>
        </is>
      </c>
      <c r="AS1223" s="314">
        <f>IF(LEFT(C1223,1)=" ",RIGHT(C1223,LEN(C1223)-1),C1223)</f>
        <v/>
      </c>
      <c r="AT1223" s="281">
        <f>_xlfn.CONCAT(B1223,AS1223,D1223,E1223)</f>
        <v/>
      </c>
    </row>
    <row r="1224">
      <c r="A1224" t="inlineStr">
        <is>
          <t>21/22</t>
        </is>
      </c>
      <c r="B1224" t="inlineStr">
        <is>
          <t xml:space="preserve"> Atomic</t>
        </is>
      </c>
      <c r="C1224" t="inlineStr">
        <is>
          <t>Maverick 95 Ti</t>
        </is>
      </c>
      <c r="D1224" t="n">
        <v>188</v>
      </c>
      <c r="E1224" t="inlineStr">
        <is>
          <t xml:space="preserve"> Unisex</t>
        </is>
      </c>
      <c r="F1224" t="n">
        <v>188</v>
      </c>
      <c r="G1224" t="n">
        <v>187.1</v>
      </c>
      <c r="H1224" t="n">
        <v>139</v>
      </c>
      <c r="I1224" t="n">
        <v>154</v>
      </c>
      <c r="J1224" t="n">
        <v>129</v>
      </c>
      <c r="K1224" t="n">
        <v>93</v>
      </c>
      <c r="L1224" t="n">
        <v>114</v>
      </c>
      <c r="M1224" t="n">
        <v>20.3</v>
      </c>
      <c r="N1224" t="n">
        <v>1964</v>
      </c>
      <c r="O1224" t="n">
        <v>0.99</v>
      </c>
      <c r="P1224" t="n">
        <v>1952</v>
      </c>
      <c r="Q1224" t="n">
        <v>279</v>
      </c>
      <c r="R1224" t="n">
        <v>178</v>
      </c>
      <c r="S1224" t="n">
        <v>49</v>
      </c>
      <c r="T1224" t="n">
        <v>284</v>
      </c>
      <c r="U1224" t="n">
        <v>15</v>
      </c>
      <c r="V1224" t="n">
        <v>195</v>
      </c>
      <c r="W1224" t="n">
        <v>0.303</v>
      </c>
      <c r="X1224" t="n">
        <v>176</v>
      </c>
      <c r="Y1224" t="n">
        <v>150</v>
      </c>
      <c r="Z1224" t="n">
        <v>108</v>
      </c>
      <c r="AA1224" t="n">
        <v>10</v>
      </c>
      <c r="AB1224" t="n">
        <v>9</v>
      </c>
      <c r="AC1224" t="inlineStr">
        <is>
          <t xml:space="preserve"> Resort Freeride</t>
        </is>
      </c>
      <c r="AG1224" t="inlineStr">
        <is>
          <t>Atomic Maverick 95 Ti</t>
        </is>
      </c>
      <c r="AH1224" t="inlineStr">
        <is>
          <t>REI</t>
        </is>
      </c>
      <c r="AI1224" s="333" t="n">
        <v>559.9299999999999</v>
      </c>
      <c r="AJ1224" t="inlineStr">
        <is>
          <t>https://tinyurl.com/y7nx3n9d</t>
        </is>
      </c>
      <c r="AK1224" t="inlineStr">
        <is>
          <t>Atomic Maverick 95 Ti</t>
        </is>
      </c>
      <c r="AL1224" t="inlineStr">
        <is>
          <t>Backcountry.com</t>
        </is>
      </c>
      <c r="AM1224" s="333" t="n">
        <v>559.96</v>
      </c>
      <c r="AN1224" t="inlineStr">
        <is>
          <t>https://tinyurl.com/y8y4ur8x</t>
        </is>
      </c>
      <c r="AO1224" t="inlineStr">
        <is>
          <t>Atomic Maverick 95 Ti</t>
        </is>
      </c>
      <c r="AP1224" t="inlineStr">
        <is>
          <t>evo.com</t>
        </is>
      </c>
      <c r="AQ1224" s="333" t="n">
        <v>559.98</v>
      </c>
      <c r="AR1224" t="inlineStr">
        <is>
          <t>https://tinyurl.com/y9la5aj4</t>
        </is>
      </c>
      <c r="AS1224" s="314">
        <f>IF(LEFT(C1224,1)=" ",RIGHT(C1224,LEN(C1224)-1),C1224)</f>
        <v/>
      </c>
      <c r="AT1224" s="281">
        <f>_xlfn.CONCAT(B1224,AS1224,D1224,E1224)</f>
        <v/>
      </c>
    </row>
    <row r="1225">
      <c r="A1225" t="inlineStr">
        <is>
          <t>21/22</t>
        </is>
      </c>
      <c r="B1225" t="inlineStr">
        <is>
          <t xml:space="preserve"> Vï¿½lkl</t>
        </is>
      </c>
      <c r="C1225" t="inlineStr">
        <is>
          <t>Katana 108</t>
        </is>
      </c>
      <c r="D1225" t="n">
        <v>184</v>
      </c>
      <c r="E1225" t="inlineStr">
        <is>
          <t xml:space="preserve"> Unisex</t>
        </is>
      </c>
      <c r="F1225" t="n">
        <v>184</v>
      </c>
      <c r="G1225" t="n">
        <v>183.1</v>
      </c>
      <c r="H1225" t="n">
        <v>129</v>
      </c>
      <c r="I1225" t="n">
        <v>160</v>
      </c>
      <c r="J1225" t="n">
        <v>145</v>
      </c>
      <c r="K1225" t="n">
        <v>107</v>
      </c>
      <c r="L1225" t="n">
        <v>128</v>
      </c>
      <c r="M1225" t="n">
        <v>20.5</v>
      </c>
      <c r="N1225" t="n">
        <v>2321</v>
      </c>
      <c r="O1225" t="n">
        <v>0.9399999999999999</v>
      </c>
      <c r="P1225" t="n">
        <v>2175</v>
      </c>
      <c r="Q1225" t="n">
        <v>234</v>
      </c>
      <c r="R1225" t="n">
        <v>157</v>
      </c>
      <c r="S1225" t="n">
        <v>50</v>
      </c>
      <c r="T1225" t="n">
        <v>304</v>
      </c>
      <c r="U1225" t="n">
        <v>19</v>
      </c>
      <c r="V1225" t="n">
        <v>241</v>
      </c>
      <c r="W1225" t="n">
        <v>0.387999999999999</v>
      </c>
      <c r="X1225" t="n">
        <v>128</v>
      </c>
      <c r="Y1225" t="n">
        <v>104</v>
      </c>
      <c r="Z1225" t="n">
        <v>176</v>
      </c>
      <c r="AA1225" t="n">
        <v>4</v>
      </c>
      <c r="AB1225" t="n">
        <v>11.8</v>
      </c>
      <c r="AC1225" t="inlineStr">
        <is>
          <t xml:space="preserve"> Powder</t>
        </is>
      </c>
      <c r="AD1225" t="inlineStr">
        <is>
          <t xml:space="preserve"> Big Mountain</t>
        </is>
      </c>
      <c r="AG1225" t="inlineStr">
        <is>
          <t>Volkl Katana 108 Ski 2022</t>
        </is>
      </c>
      <c r="AH1225" t="inlineStr">
        <is>
          <t>Snowcountry.eu</t>
        </is>
      </c>
      <c r="AI1225" s="333" t="n">
        <v>548.46</v>
      </c>
      <c r="AJ1225" t="inlineStr">
        <is>
          <t>https://tinyurl.com/y79ssd7z</t>
        </is>
      </c>
      <c r="AK1225" t="inlineStr">
        <is>
          <t>Volkl Katana 108 Ski 2022</t>
        </is>
      </c>
      <c r="AL1225" t="inlineStr">
        <is>
          <t>Telemark Pyrenees</t>
        </is>
      </c>
      <c r="AM1225" s="333" t="n">
        <v>550</v>
      </c>
      <c r="AN1225" t="inlineStr">
        <is>
          <t>https://tinyurl.com/y9aoq3w6</t>
        </is>
      </c>
      <c r="AO1225" t="inlineStr">
        <is>
          <t>'21 Volkl Katana 108 Skis 184cm</t>
        </is>
      </c>
      <c r="AP1225" t="inlineStr">
        <is>
          <t>Al's Ski Equipment Barn</t>
        </is>
      </c>
      <c r="AQ1225" s="333" t="n">
        <v>599.95</v>
      </c>
      <c r="AR1225" t="inlineStr">
        <is>
          <t>https://tinyurl.com/y7sa5wfd</t>
        </is>
      </c>
      <c r="AS1225" s="314">
        <f>IF(LEFT(C1225,1)=" ",RIGHT(C1225,LEN(C1225)-1),C1225)</f>
        <v/>
      </c>
      <c r="AT1225" s="281">
        <f>_xlfn.CONCAT(B1225,AS1225,D1225,E1225)</f>
        <v/>
      </c>
    </row>
    <row r="1226">
      <c r="A1226" t="inlineStr">
        <is>
          <t>21/22</t>
        </is>
      </c>
      <c r="B1226" t="inlineStr">
        <is>
          <t xml:space="preserve"> Rossignol</t>
        </is>
      </c>
      <c r="C1226" t="inlineStr">
        <is>
          <t xml:space="preserve"> Blackops Sender Ti</t>
        </is>
      </c>
      <c r="D1226" t="n">
        <v>194</v>
      </c>
      <c r="E1226" t="inlineStr">
        <is>
          <t xml:space="preserve"> Unisex</t>
        </is>
      </c>
      <c r="F1226" t="n">
        <v>194</v>
      </c>
      <c r="G1226" t="n">
        <v>193.9</v>
      </c>
      <c r="H1226" t="n">
        <v>145</v>
      </c>
      <c r="I1226" t="n">
        <v>167</v>
      </c>
      <c r="J1226" t="n">
        <v>136</v>
      </c>
      <c r="K1226" t="n">
        <v>105</v>
      </c>
      <c r="L1226" t="n">
        <v>127</v>
      </c>
      <c r="M1226" t="n">
        <v>23.9</v>
      </c>
      <c r="N1226" t="n">
        <v>2286</v>
      </c>
      <c r="O1226" t="n">
        <v>0.98</v>
      </c>
      <c r="P1226" t="n">
        <v>2231</v>
      </c>
      <c r="Q1226" t="n">
        <v>293</v>
      </c>
      <c r="R1226" t="n">
        <v>126</v>
      </c>
      <c r="S1226" t="n">
        <v>51</v>
      </c>
      <c r="T1226" t="n">
        <v>304</v>
      </c>
      <c r="U1226" t="n">
        <v>12</v>
      </c>
      <c r="V1226" t="n">
        <v>185</v>
      </c>
      <c r="W1226" t="n">
        <v>0.226</v>
      </c>
      <c r="X1226" t="n">
        <v>161</v>
      </c>
      <c r="Y1226" t="n">
        <v>104</v>
      </c>
      <c r="Z1226" t="n">
        <v>142</v>
      </c>
      <c r="AA1226" t="n">
        <v>7</v>
      </c>
      <c r="AB1226" t="n">
        <v>7.9</v>
      </c>
      <c r="AC1226" t="inlineStr">
        <is>
          <t xml:space="preserve"> Resort Freeride</t>
        </is>
      </c>
      <c r="AD1226" t="inlineStr">
        <is>
          <t xml:space="preserve"> Big Mountain</t>
        </is>
      </c>
      <c r="AG1226" t="inlineStr">
        <is>
          <t>Rossignol Blackops Sender Ti Skis</t>
        </is>
      </c>
      <c r="AH1226" t="inlineStr">
        <is>
          <t>Snowcountry.eu</t>
        </is>
      </c>
      <c r="AI1226" s="333" t="n">
        <v>460</v>
      </c>
      <c r="AJ1226" t="inlineStr">
        <is>
          <t>https://tinyurl.com/y7zzb48c</t>
        </is>
      </c>
      <c r="AK1226" t="inlineStr">
        <is>
          <t>Rossignol Blackops Sender TI 194cm</t>
        </is>
      </c>
      <c r="AL1226" t="inlineStr">
        <is>
          <t>Sundance Ski and Board Shop</t>
        </is>
      </c>
      <c r="AM1226" s="333" t="n">
        <v>544.98</v>
      </c>
      <c r="AN1226" t="inlineStr">
        <is>
          <t>https://tinyurl.com/y87rwc5j</t>
        </is>
      </c>
      <c r="AO1226" t="inlineStr">
        <is>
          <t>Rossignol Blackops Sender TI Skis 2022</t>
        </is>
      </c>
      <c r="AP1226" t="inlineStr">
        <is>
          <t>Saint Bernard</t>
        </is>
      </c>
      <c r="AQ1226" s="333" t="n">
        <v>631.9</v>
      </c>
      <c r="AR1226" t="inlineStr">
        <is>
          <t>https://tinyurl.com/yb4stvy6</t>
        </is>
      </c>
      <c r="AS1226" s="314">
        <f>IF(LEFT(C1226,1)=" ",RIGHT(C1226,LEN(C1226)-1),C1226)</f>
        <v/>
      </c>
      <c r="AT1226" s="281">
        <f>_xlfn.CONCAT(B1226,AS1226,D1226,E1226)</f>
        <v/>
      </c>
    </row>
    <row r="1227">
      <c r="A1227" t="inlineStr">
        <is>
          <t>21/22</t>
        </is>
      </c>
      <c r="B1227" t="inlineStr">
        <is>
          <t xml:space="preserve"> Black Crows</t>
        </is>
      </c>
      <c r="C1227" t="inlineStr">
        <is>
          <t xml:space="preserve"> Nocta</t>
        </is>
      </c>
      <c r="D1227" t="n">
        <v>190.6</v>
      </c>
      <c r="E1227" t="inlineStr">
        <is>
          <t xml:space="preserve"> Unisex</t>
        </is>
      </c>
      <c r="F1227" t="n">
        <v>190.6</v>
      </c>
      <c r="G1227" t="n">
        <v>191</v>
      </c>
      <c r="H1227" t="n">
        <v>0</v>
      </c>
      <c r="I1227" t="n">
        <v>142</v>
      </c>
      <c r="J1227" t="n">
        <v>140</v>
      </c>
      <c r="K1227" t="n">
        <v>121</v>
      </c>
      <c r="L1227" t="n">
        <v>133</v>
      </c>
      <c r="M1227" t="n">
        <v>27.5</v>
      </c>
      <c r="N1227" t="n">
        <v>2228</v>
      </c>
      <c r="O1227" t="n">
        <v>1.09</v>
      </c>
      <c r="P1227" t="n">
        <v>2427</v>
      </c>
      <c r="Q1227" t="n">
        <v>235</v>
      </c>
      <c r="R1227" t="n">
        <v>103</v>
      </c>
      <c r="S1227" t="n">
        <v>54</v>
      </c>
      <c r="T1227" t="n">
        <v>1010</v>
      </c>
      <c r="U1227" t="n">
        <v>51</v>
      </c>
      <c r="V1227" t="n">
        <v>900</v>
      </c>
      <c r="W1227" t="n">
        <v>0.9370000000000001</v>
      </c>
      <c r="X1227" t="n">
        <v>255</v>
      </c>
      <c r="Y1227" t="n">
        <v>232</v>
      </c>
      <c r="Z1227" t="n">
        <v>755</v>
      </c>
      <c r="AA1227" t="n">
        <v>-4</v>
      </c>
      <c r="AB1227" t="n">
        <v>5.5</v>
      </c>
      <c r="AC1227" t="inlineStr">
        <is>
          <t xml:space="preserve"> Freeski</t>
        </is>
      </c>
      <c r="AD1227" t="inlineStr">
        <is>
          <t xml:space="preserve"> Powder</t>
        </is>
      </c>
      <c r="AE1227" t="inlineStr">
        <is>
          <t xml:space="preserve"> Touring</t>
        </is>
      </c>
      <c r="AG1227" t="inlineStr">
        <is>
          <t>Black Crows NOCTA Skis</t>
        </is>
      </c>
      <c r="AH1227" t="inlineStr">
        <is>
          <t>Powder7 Ski Shop</t>
        </is>
      </c>
      <c r="AI1227" s="333" t="n">
        <v>419.91</v>
      </c>
      <c r="AJ1227" t="inlineStr">
        <is>
          <t>https://tinyurl.com/ybkobdr4</t>
        </is>
      </c>
      <c r="AK1227" t="inlineStr">
        <is>
          <t>Black Crows NOCTA Skis</t>
        </is>
      </c>
      <c r="AL1227" t="inlineStr">
        <is>
          <t>Absolute-Snow.co.uk</t>
        </is>
      </c>
      <c r="AM1227" s="333" t="n">
        <v>668.05</v>
      </c>
      <c r="AN1227" t="inlineStr">
        <is>
          <t>https://tinyurl.com/yb2h38kh</t>
        </is>
      </c>
      <c r="AO1227" t="inlineStr">
        <is>
          <t>Black Crows Nocta Skis 190cm</t>
        </is>
      </c>
      <c r="AP1227" t="inlineStr">
        <is>
          <t>eBay</t>
        </is>
      </c>
      <c r="AQ1227" s="333" t="n">
        <v>699</v>
      </c>
      <c r="AR1227" t="inlineStr">
        <is>
          <t>https://tinyurl.com/yazc77k4</t>
        </is>
      </c>
      <c r="AS1227" s="314">
        <f>IF(LEFT(C1227,1)=" ",RIGHT(C1227,LEN(C1227)-1),C1227)</f>
        <v/>
      </c>
      <c r="AT1227" s="281">
        <f>_xlfn.CONCAT(B1227,AS1227,D1227,E1227)</f>
        <v/>
      </c>
    </row>
    <row r="1228">
      <c r="A1228" t="inlineStr">
        <is>
          <t>21/22</t>
        </is>
      </c>
      <c r="B1228" t="inlineStr">
        <is>
          <t xml:space="preserve"> Rossignol</t>
        </is>
      </c>
      <c r="C1228" t="inlineStr">
        <is>
          <t xml:space="preserve"> Blackops Whizbanger</t>
        </is>
      </c>
      <c r="D1228" t="n">
        <v>148</v>
      </c>
      <c r="E1228" t="inlineStr">
        <is>
          <t xml:space="preserve"> Unisex</t>
        </is>
      </c>
      <c r="F1228" t="n">
        <v>148</v>
      </c>
      <c r="G1228" t="n">
        <v>147.3</v>
      </c>
      <c r="H1228" t="n">
        <v>119</v>
      </c>
      <c r="I1228" t="n">
        <v>129</v>
      </c>
      <c r="J1228" t="n">
        <v>105</v>
      </c>
      <c r="K1228" t="n">
        <v>75</v>
      </c>
      <c r="L1228" t="n">
        <v>99</v>
      </c>
      <c r="M1228" t="n">
        <v>14.7</v>
      </c>
      <c r="N1228" t="n">
        <v>1161</v>
      </c>
      <c r="O1228" t="n">
        <v>1.08</v>
      </c>
      <c r="P1228" t="n">
        <v>1252</v>
      </c>
      <c r="Q1228" t="n">
        <v>117</v>
      </c>
      <c r="R1228" t="n">
        <v>45</v>
      </c>
      <c r="S1228" t="n">
        <v>40</v>
      </c>
      <c r="T1228" t="n">
        <v>144</v>
      </c>
      <c r="U1228" t="n">
        <v>36</v>
      </c>
      <c r="V1228" t="n">
        <v>136</v>
      </c>
      <c r="W1228" t="n">
        <v>0.895999999999999</v>
      </c>
      <c r="X1228" t="n">
        <v>95</v>
      </c>
      <c r="Y1228" t="n">
        <v>90</v>
      </c>
      <c r="Z1228" t="n">
        <v>49</v>
      </c>
      <c r="AA1228" t="n">
        <v>11</v>
      </c>
      <c r="AB1228" t="n">
        <v>5.4</v>
      </c>
      <c r="AC1228" t="inlineStr">
        <is>
          <t xml:space="preserve"> Freeski</t>
        </is>
      </c>
      <c r="AD1228" t="inlineStr">
        <is>
          <t xml:space="preserve"> Touring</t>
        </is>
      </c>
      <c r="AG1228" t="inlineStr">
        <is>
          <t>Rossignol Blackops Whizbanger 148cm</t>
        </is>
      </c>
      <c r="AH1228" t="inlineStr">
        <is>
          <t>Sundance Ski and Board Shop</t>
        </is>
      </c>
      <c r="AI1228" s="333" t="n">
        <v>192.34</v>
      </c>
      <c r="AJ1228" t="inlineStr">
        <is>
          <t>https://tinyurl.com/y6wtv3w9</t>
        </is>
      </c>
      <c r="AK1228" t="inlineStr">
        <is>
          <t>Rossignol Blackops Whizbanger Skis</t>
        </is>
      </c>
      <c r="AL1228" t="inlineStr">
        <is>
          <t>eBay - asogear</t>
        </is>
      </c>
      <c r="AM1228" s="333" t="n">
        <v>209.99</v>
      </c>
      <c r="AN1228" t="inlineStr">
        <is>
          <t>https://tinyurl.com/yba7ozw8</t>
        </is>
      </c>
      <c r="AO1228" t="inlineStr">
        <is>
          <t>Rossignol BlackOps Whizbanger Skis - Kid's &amp; Junior 2022 148cm</t>
        </is>
      </c>
      <c r="AP1228" t="inlineStr">
        <is>
          <t>Glacier Ski Shop</t>
        </is>
      </c>
      <c r="AQ1228" s="333" t="n">
        <v>269</v>
      </c>
      <c r="AR1228" t="inlineStr">
        <is>
          <t>https://tinyurl.com/y9n2h2l4</t>
        </is>
      </c>
      <c r="AS1228" s="314">
        <f>IF(LEFT(C1228,1)=" ",RIGHT(C1228,LEN(C1228)-1),C1228)</f>
        <v/>
      </c>
      <c r="AT1228" s="281">
        <f>_xlfn.CONCAT(B1228,AS1228,D1228,E1228)</f>
        <v/>
      </c>
    </row>
    <row r="1229">
      <c r="A1229" t="inlineStr">
        <is>
          <t>21/22</t>
        </is>
      </c>
      <c r="B1229" t="inlineStr">
        <is>
          <t>4FRNT</t>
        </is>
      </c>
      <c r="C1229" t="inlineStr">
        <is>
          <t xml:space="preserve"> Inthayne</t>
        </is>
      </c>
      <c r="D1229" t="n">
        <v>188</v>
      </c>
      <c r="E1229" t="inlineStr">
        <is>
          <t xml:space="preserve"> Unisex</t>
        </is>
      </c>
      <c r="F1229" t="n">
        <v>188</v>
      </c>
      <c r="G1229" t="n">
        <v>185.7</v>
      </c>
      <c r="H1229" t="n">
        <v>0</v>
      </c>
      <c r="I1229" t="n">
        <v>136</v>
      </c>
      <c r="J1229" t="n">
        <v>137</v>
      </c>
      <c r="K1229" t="n">
        <v>117</v>
      </c>
      <c r="L1229" t="n">
        <v>128</v>
      </c>
      <c r="M1229" t="n">
        <v>25.5</v>
      </c>
      <c r="N1229" t="n">
        <v>1998</v>
      </c>
      <c r="O1229" t="n">
        <v>1.14</v>
      </c>
      <c r="P1229" t="n">
        <v>2273</v>
      </c>
      <c r="Q1229" t="n">
        <v>275</v>
      </c>
      <c r="R1229" t="n">
        <v>106</v>
      </c>
      <c r="S1229" t="n">
        <v>61</v>
      </c>
      <c r="T1229" t="n">
        <v>989</v>
      </c>
      <c r="U1229" t="n">
        <v>51</v>
      </c>
      <c r="V1229" t="n">
        <v>868</v>
      </c>
      <c r="W1229" t="n">
        <v>0.837</v>
      </c>
      <c r="X1229" t="n">
        <v>229</v>
      </c>
      <c r="Y1229" t="n">
        <v>272</v>
      </c>
      <c r="Z1229" t="n">
        <v>760</v>
      </c>
      <c r="AA1229" t="n">
        <v>-3</v>
      </c>
      <c r="AB1229" t="n">
        <v>6</v>
      </c>
      <c r="AC1229" t="inlineStr">
        <is>
          <t xml:space="preserve"> Freeski</t>
        </is>
      </c>
      <c r="AD1229" t="inlineStr">
        <is>
          <t xml:space="preserve"> Powder</t>
        </is>
      </c>
      <c r="AE1229" t="inlineStr">
        <is>
          <t xml:space="preserve"> Touring</t>
        </is>
      </c>
      <c r="AS1229" s="314">
        <f>IF(LEFT(C1229,1)=" ",RIGHT(C1229,LEN(C1229)-1),C1229)</f>
        <v/>
      </c>
      <c r="AT1229" s="281">
        <f>_xlfn.CONCAT(B1229,AS1229,D1229,E1229)</f>
        <v/>
      </c>
    </row>
    <row r="1230">
      <c r="A1230" t="inlineStr">
        <is>
          <t>21/22</t>
        </is>
      </c>
      <c r="B1230" t="inlineStr">
        <is>
          <t xml:space="preserve"> Raccoon</t>
        </is>
      </c>
      <c r="C1230" t="inlineStr">
        <is>
          <t xml:space="preserve"> Le Nomade Ti</t>
        </is>
      </c>
      <c r="D1230" t="n">
        <v>171</v>
      </c>
      <c r="E1230" t="inlineStr">
        <is>
          <t xml:space="preserve"> Unisex</t>
        </is>
      </c>
      <c r="F1230" t="n">
        <v>171</v>
      </c>
      <c r="G1230" t="n">
        <v>170.2</v>
      </c>
      <c r="H1230" t="n">
        <v>141</v>
      </c>
      <c r="I1230" t="n">
        <v>158</v>
      </c>
      <c r="J1230" t="n">
        <v>136</v>
      </c>
      <c r="K1230" t="n">
        <v>89</v>
      </c>
      <c r="L1230" t="n">
        <v>125</v>
      </c>
      <c r="M1230" t="n">
        <v>14.6</v>
      </c>
      <c r="N1230" t="n">
        <v>2001</v>
      </c>
      <c r="O1230" t="n">
        <v>0.89</v>
      </c>
      <c r="P1230" t="n">
        <v>1773</v>
      </c>
      <c r="Q1230" t="n">
        <v>251</v>
      </c>
      <c r="R1230" t="n">
        <v>178</v>
      </c>
      <c r="S1230" t="n">
        <v>51</v>
      </c>
      <c r="T1230" t="n">
        <v>213</v>
      </c>
      <c r="U1230" t="n">
        <v>9</v>
      </c>
      <c r="V1230" t="n">
        <v>75</v>
      </c>
      <c r="W1230" t="n">
        <v>0.166</v>
      </c>
      <c r="X1230" t="n">
        <v>65</v>
      </c>
      <c r="Y1230" t="n">
        <v>61</v>
      </c>
      <c r="Z1230" t="n">
        <v>148</v>
      </c>
      <c r="AA1230" t="n">
        <v>7</v>
      </c>
      <c r="AB1230" t="n">
        <v>10.5</v>
      </c>
      <c r="AC1230" t="inlineStr">
        <is>
          <t xml:space="preserve"> Resort Freeride</t>
        </is>
      </c>
      <c r="AS1230" s="314">
        <f>IF(LEFT(C1230,1)=" ",RIGHT(C1230,LEN(C1230)-1),C1230)</f>
        <v/>
      </c>
      <c r="AT1230" s="281">
        <f>_xlfn.CONCAT(B1230,AS1230,D1230,E1230)</f>
        <v/>
      </c>
    </row>
    <row r="1231">
      <c r="A1231" t="inlineStr">
        <is>
          <t>21/22</t>
        </is>
      </c>
      <c r="B1231" t="inlineStr">
        <is>
          <t xml:space="preserve"> Dynastar</t>
        </is>
      </c>
      <c r="C1231" t="inlineStr">
        <is>
          <t>M-Free 108</t>
        </is>
      </c>
      <c r="D1231" t="n">
        <v>192</v>
      </c>
      <c r="E1231" t="inlineStr">
        <is>
          <t xml:space="preserve"> Unisex</t>
        </is>
      </c>
      <c r="F1231" t="n">
        <v>192</v>
      </c>
      <c r="G1231" t="n">
        <v>191.8</v>
      </c>
      <c r="H1231" t="n">
        <v>123</v>
      </c>
      <c r="I1231" t="n">
        <v>152</v>
      </c>
      <c r="J1231" t="n">
        <v>137</v>
      </c>
      <c r="K1231" t="n">
        <v>107</v>
      </c>
      <c r="L1231" t="n">
        <v>127</v>
      </c>
      <c r="M1231" t="n">
        <v>20.5</v>
      </c>
      <c r="N1231" t="n">
        <v>2330</v>
      </c>
      <c r="O1231" t="n">
        <v>0.96</v>
      </c>
      <c r="P1231" t="n">
        <v>2226</v>
      </c>
      <c r="Q1231" t="n">
        <v>282</v>
      </c>
      <c r="R1231" t="n">
        <v>151</v>
      </c>
      <c r="S1231" t="n">
        <v>67</v>
      </c>
      <c r="T1231" t="n">
        <v>362</v>
      </c>
      <c r="U1231" t="n">
        <v>43</v>
      </c>
      <c r="V1231" t="n">
        <v>329</v>
      </c>
      <c r="W1231" t="n">
        <v>0.645</v>
      </c>
      <c r="X1231" t="n">
        <v>216</v>
      </c>
      <c r="Y1231" t="n">
        <v>181</v>
      </c>
      <c r="Z1231" t="n">
        <v>145</v>
      </c>
      <c r="AA1231" t="n">
        <v>10</v>
      </c>
      <c r="AB1231" t="n">
        <v>8.699999999999999</v>
      </c>
      <c r="AC1231" t="inlineStr">
        <is>
          <t xml:space="preserve"> Powder</t>
        </is>
      </c>
      <c r="AG1231" t="inlineStr">
        <is>
          <t>2022 Dynastar M-Free 108 Ski with Salomon Guardian MNC 16 Bindings</t>
        </is>
      </c>
      <c r="AH1231" t="inlineStr">
        <is>
          <t>Geartrade.com</t>
        </is>
      </c>
      <c r="AI1231" s="333" t="n">
        <v>515.98</v>
      </c>
      <c r="AJ1231" t="inlineStr">
        <is>
          <t>https://tinyurl.com/yauwm4vd</t>
        </is>
      </c>
      <c r="AK1231" t="inlineStr">
        <is>
          <t>Dynastar M-Free 108 Skis</t>
        </is>
      </c>
      <c r="AL1231" t="inlineStr">
        <is>
          <t>Cole Sport</t>
        </is>
      </c>
      <c r="AM1231" s="333" t="n">
        <v>559.96</v>
      </c>
      <c r="AN1231" t="inlineStr">
        <is>
          <t>https://tinyurl.com/y77qpmg7</t>
        </is>
      </c>
      <c r="AO1231" t="inlineStr">
        <is>
          <t>Dynastar M-Free 108</t>
        </is>
      </c>
      <c r="AP1231" t="inlineStr">
        <is>
          <t>Next Adventure</t>
        </is>
      </c>
      <c r="AQ1231" s="333" t="n">
        <v>559.96</v>
      </c>
      <c r="AR1231" t="inlineStr">
        <is>
          <t>https://tinyurl.com/y7l3byr8</t>
        </is>
      </c>
      <c r="AS1231" s="314">
        <f>IF(LEFT(C1231,1)=" ",RIGHT(C1231,LEN(C1231)-1),C1231)</f>
        <v/>
      </c>
      <c r="AT1231" s="281">
        <f>_xlfn.CONCAT(B1231,AS1231,D1231,E1231)</f>
        <v/>
      </c>
    </row>
    <row r="1232">
      <c r="A1232" t="inlineStr">
        <is>
          <t>21/22</t>
        </is>
      </c>
      <c r="B1232" t="inlineStr">
        <is>
          <t xml:space="preserve"> Faction</t>
        </is>
      </c>
      <c r="C1232" t="inlineStr">
        <is>
          <t>CT 1.0 Jr</t>
        </is>
      </c>
      <c r="D1232" t="n">
        <v>145</v>
      </c>
      <c r="E1232" t="inlineStr">
        <is>
          <t xml:space="preserve"> Junior</t>
        </is>
      </c>
      <c r="F1232" t="n">
        <v>145</v>
      </c>
      <c r="G1232" t="n">
        <v>143.7</v>
      </c>
      <c r="H1232" t="n">
        <v>103</v>
      </c>
      <c r="I1232" t="n">
        <v>120</v>
      </c>
      <c r="J1232" t="n">
        <v>114</v>
      </c>
      <c r="K1232" t="n">
        <v>83</v>
      </c>
      <c r="L1232" t="n">
        <v>110</v>
      </c>
      <c r="M1232" t="n">
        <v>11.9</v>
      </c>
      <c r="N1232" t="n">
        <v>1202</v>
      </c>
      <c r="O1232" t="n">
        <v>1.13</v>
      </c>
      <c r="P1232" t="n">
        <v>1355</v>
      </c>
      <c r="Q1232" t="n">
        <v>108</v>
      </c>
      <c r="R1232" t="n">
        <v>33</v>
      </c>
      <c r="S1232" t="n">
        <v>44</v>
      </c>
      <c r="T1232" t="n">
        <v>208</v>
      </c>
      <c r="U1232" t="n">
        <v>38</v>
      </c>
      <c r="V1232" t="n">
        <v>199</v>
      </c>
      <c r="W1232" t="n">
        <v>0.856</v>
      </c>
      <c r="X1232" t="n">
        <v>123</v>
      </c>
      <c r="Y1232" t="n">
        <v>110</v>
      </c>
      <c r="Z1232" t="n">
        <v>85</v>
      </c>
      <c r="AA1232" t="n">
        <v>9</v>
      </c>
      <c r="AB1232" t="n">
        <v>3</v>
      </c>
      <c r="AC1232" t="inlineStr">
        <is>
          <t xml:space="preserve"> Resort Freeride</t>
        </is>
      </c>
      <c r="AD1232" t="inlineStr">
        <is>
          <t xml:space="preserve"> Freeski</t>
        </is>
      </c>
      <c r="AE1232" t="inlineStr">
        <is>
          <t xml:space="preserve"> Touring</t>
        </is>
      </c>
      <c r="AG1232" t="inlineStr">
        <is>
          <t>Faction Candide Ct 1.0 Jr (Red) Kids Skis</t>
        </is>
      </c>
      <c r="AH1232" t="inlineStr">
        <is>
          <t>AlpinStore</t>
        </is>
      </c>
      <c r="AI1232" s="333" t="n">
        <v>276.87</v>
      </c>
      <c r="AJ1232" t="inlineStr">
        <is>
          <t>https://tinyurl.com/y6weu3xp</t>
        </is>
      </c>
      <c r="AK1232" t="inlineStr">
        <is>
          <t>Faction CT 1.0 Skis JR 2022 145</t>
        </is>
      </c>
      <c r="AL1232" t="inlineStr">
        <is>
          <t>fullsendskiandoutdoor.com</t>
        </is>
      </c>
      <c r="AM1232" s="333" t="n">
        <v>359</v>
      </c>
      <c r="AN1232" t="inlineStr">
        <is>
          <t>https://tinyurl.com/y78xs3hf</t>
        </is>
      </c>
      <c r="AS1232" s="314">
        <f>IF(LEFT(C1232,1)=" ",RIGHT(C1232,LEN(C1232)-1),C1232)</f>
        <v/>
      </c>
      <c r="AT1232" s="281">
        <f>_xlfn.CONCAT(B1232,AS1232,D1232,E1232)</f>
        <v/>
      </c>
    </row>
    <row r="1233">
      <c r="A1233" t="inlineStr">
        <is>
          <t>21/22</t>
        </is>
      </c>
      <c r="B1233" t="inlineStr">
        <is>
          <t>K2</t>
        </is>
      </c>
      <c r="C1233" t="inlineStr">
        <is>
          <t>Disruption 82 Ti</t>
        </is>
      </c>
      <c r="D1233" t="n">
        <v>170</v>
      </c>
      <c r="E1233" t="inlineStr">
        <is>
          <t xml:space="preserve"> Unisex</t>
        </is>
      </c>
      <c r="F1233" t="n">
        <v>170</v>
      </c>
      <c r="G1233" t="n">
        <v>170.5</v>
      </c>
      <c r="H1233" t="n">
        <v>149</v>
      </c>
      <c r="I1233" t="n">
        <v>159</v>
      </c>
      <c r="J1233" t="n">
        <v>125</v>
      </c>
      <c r="K1233" t="n">
        <v>81</v>
      </c>
      <c r="L1233" t="n">
        <v>111</v>
      </c>
      <c r="M1233" t="n">
        <v>17</v>
      </c>
      <c r="N1233" t="n">
        <v>2122</v>
      </c>
      <c r="O1233" t="n">
        <v>0.76</v>
      </c>
      <c r="P1233" t="n">
        <v>1613</v>
      </c>
      <c r="Q1233" t="n">
        <v>233</v>
      </c>
      <c r="R1233" t="n">
        <v>163</v>
      </c>
      <c r="S1233" t="n">
        <v>32</v>
      </c>
      <c r="T1233" t="n">
        <v>144</v>
      </c>
      <c r="U1233" t="n">
        <v>7</v>
      </c>
      <c r="V1233" t="n">
        <v>68</v>
      </c>
      <c r="W1233" t="n">
        <v>0.217</v>
      </c>
      <c r="X1233" t="n">
        <v>74</v>
      </c>
      <c r="Y1233" t="n">
        <v>40</v>
      </c>
      <c r="Z1233" t="n">
        <v>70</v>
      </c>
      <c r="AA1233" t="n">
        <v>9</v>
      </c>
      <c r="AB1233" t="n">
        <v>10.7</v>
      </c>
      <c r="AC1233" t="inlineStr">
        <is>
          <t xml:space="preserve"> On-Piste Carving</t>
        </is>
      </c>
      <c r="AD1233" t="inlineStr">
        <is>
          <t xml:space="preserve"> Resort Freeride</t>
        </is>
      </c>
      <c r="AG1233" t="inlineStr">
        <is>
          <t>2022 K2 Disruption 82 Ti Demo Ski w/ MXCELL 12 TCX Bindings - 170| Ski Essentials</t>
        </is>
      </c>
      <c r="AH1233" t="inlineStr">
        <is>
          <t>SkiEssentials.com</t>
        </is>
      </c>
      <c r="AI1233" s="333" t="n">
        <v>599</v>
      </c>
      <c r="AJ1233" t="inlineStr">
        <is>
          <t>https://tinyurl.com/ybwulg2u</t>
        </is>
      </c>
      <c r="AK1233" t="inlineStr">
        <is>
          <t>K2 Disruption 82 Ti MXCELL 12 TCX Quikclik Black - Anthracite Set Skis - Multicolour</t>
        </is>
      </c>
      <c r="AL1233" t="inlineStr">
        <is>
          <t>Aspen Ski and Board</t>
        </is>
      </c>
      <c r="AM1233" s="333" t="n">
        <v>799.95</v>
      </c>
      <c r="AN1233" t="inlineStr">
        <is>
          <t>https://tinyurl.com/y8htz6yv</t>
        </is>
      </c>
      <c r="AO1233" t="inlineStr">
        <is>
          <t>K2 Disruption 82 Ti Black-Green 170 Ski Men</t>
        </is>
      </c>
      <c r="AP1233" t="inlineStr">
        <is>
          <t>! OutdoorXL.com</t>
        </is>
      </c>
      <c r="AQ1233" s="333" t="n">
        <v>844.95</v>
      </c>
      <c r="AR1233" t="inlineStr">
        <is>
          <t>https://tinyurl.com/y8pk6gdm</t>
        </is>
      </c>
      <c r="AS1233" s="314">
        <f>IF(LEFT(C1233,1)=" ",RIGHT(C1233,LEN(C1233)-1),C1233)</f>
        <v/>
      </c>
      <c r="AT1233" s="281">
        <f>_xlfn.CONCAT(B1233,AS1233,D1233,E1233)</f>
        <v/>
      </c>
    </row>
    <row r="1234">
      <c r="A1234" t="inlineStr">
        <is>
          <t>21/22</t>
        </is>
      </c>
      <c r="B1234" t="inlineStr">
        <is>
          <t xml:space="preserve"> Faction</t>
        </is>
      </c>
      <c r="C1234" t="inlineStr">
        <is>
          <t>Prodigy 1.0 Jr</t>
        </is>
      </c>
      <c r="D1234" t="n">
        <v>145</v>
      </c>
      <c r="E1234" t="inlineStr">
        <is>
          <t xml:space="preserve"> Junior</t>
        </is>
      </c>
      <c r="F1234" t="n">
        <v>145</v>
      </c>
      <c r="G1234" t="n">
        <v>143.7</v>
      </c>
      <c r="H1234" t="n">
        <v>103</v>
      </c>
      <c r="I1234" t="n">
        <v>120</v>
      </c>
      <c r="J1234" t="n">
        <v>114</v>
      </c>
      <c r="K1234" t="n">
        <v>83</v>
      </c>
      <c r="L1234" t="n">
        <v>110</v>
      </c>
      <c r="M1234" t="n">
        <v>11.8</v>
      </c>
      <c r="N1234" t="n">
        <v>1178</v>
      </c>
      <c r="O1234" t="n">
        <v>1.15</v>
      </c>
      <c r="P1234" t="n">
        <v>1358</v>
      </c>
      <c r="Q1234" t="n">
        <v>104</v>
      </c>
      <c r="R1234" t="n">
        <v>36</v>
      </c>
      <c r="S1234" t="n">
        <v>43</v>
      </c>
      <c r="T1234" t="n">
        <v>208</v>
      </c>
      <c r="U1234" t="n">
        <v>38</v>
      </c>
      <c r="V1234" t="n">
        <v>201</v>
      </c>
      <c r="W1234" t="n">
        <v>0.884</v>
      </c>
      <c r="X1234" t="n">
        <v>122</v>
      </c>
      <c r="Y1234" t="n">
        <v>112</v>
      </c>
      <c r="Z1234" t="n">
        <v>86</v>
      </c>
      <c r="AA1234" t="n">
        <v>8</v>
      </c>
      <c r="AB1234" t="n">
        <v>3</v>
      </c>
      <c r="AC1234" t="inlineStr">
        <is>
          <t xml:space="preserve"> Freeski</t>
        </is>
      </c>
      <c r="AD1234" t="inlineStr">
        <is>
          <t xml:space="preserve"> Touring</t>
        </is>
      </c>
      <c r="AG1234" t="inlineStr">
        <is>
          <t>Faction Candide Ct 1.0 Jr (Red) Kids Skis</t>
        </is>
      </c>
      <c r="AH1234" t="inlineStr">
        <is>
          <t>AlpinStore</t>
        </is>
      </c>
      <c r="AI1234" s="333" t="n">
        <v>276.87</v>
      </c>
      <c r="AJ1234" t="inlineStr">
        <is>
          <t>https://tinyurl.com/y7v4xmrj</t>
        </is>
      </c>
      <c r="AK1234" t="inlineStr">
        <is>
          <t>Faction CT 1.0 Skis JR 2022 145</t>
        </is>
      </c>
      <c r="AL1234" t="inlineStr">
        <is>
          <t>fullsendskiandoutdoor.com</t>
        </is>
      </c>
      <c r="AM1234" s="333" t="n">
        <v>359</v>
      </c>
      <c r="AN1234" t="inlineStr">
        <is>
          <t>https://tinyurl.com/y9u9cx99</t>
        </is>
      </c>
      <c r="AS1234" s="314">
        <f>IF(LEFT(C1234,1)=" ",RIGHT(C1234,LEN(C1234)-1),C1234)</f>
        <v/>
      </c>
      <c r="AT1234" s="281">
        <f>_xlfn.CONCAT(B1234,AS1234,D1234,E1234)</f>
        <v/>
      </c>
    </row>
    <row r="1235">
      <c r="A1235" t="inlineStr">
        <is>
          <t>21/22</t>
        </is>
      </c>
      <c r="B1235" t="inlineStr">
        <is>
          <t xml:space="preserve"> Salomon</t>
        </is>
      </c>
      <c r="C1235" t="inlineStr">
        <is>
          <t>S/Max 12</t>
        </is>
      </c>
      <c r="D1235" t="n">
        <v>170</v>
      </c>
      <c r="E1235" t="inlineStr">
        <is>
          <t xml:space="preserve"> Unisex</t>
        </is>
      </c>
      <c r="F1235" t="n">
        <v>170</v>
      </c>
      <c r="G1235" t="n">
        <v>169.4</v>
      </c>
      <c r="H1235" t="n">
        <v>151</v>
      </c>
      <c r="I1235" t="n">
        <v>159</v>
      </c>
      <c r="J1235" t="n">
        <v>121</v>
      </c>
      <c r="K1235" t="n">
        <v>72</v>
      </c>
      <c r="L1235" t="n">
        <v>106</v>
      </c>
      <c r="M1235" t="n">
        <v>15</v>
      </c>
      <c r="N1235" t="n">
        <v>2055</v>
      </c>
      <c r="O1235" t="n">
        <v>0.73</v>
      </c>
      <c r="P1235" t="n">
        <v>1494</v>
      </c>
      <c r="Q1235" t="n">
        <v>233</v>
      </c>
      <c r="R1235" t="n">
        <v>150</v>
      </c>
      <c r="S1235" t="n">
        <v>32</v>
      </c>
      <c r="T1235" t="n">
        <v>132</v>
      </c>
      <c r="U1235" t="n">
        <v>4</v>
      </c>
      <c r="V1235" t="n">
        <v>53</v>
      </c>
      <c r="W1235" t="n">
        <v>0.134</v>
      </c>
      <c r="X1235" t="n">
        <v>73</v>
      </c>
      <c r="Y1235" t="n">
        <v>32</v>
      </c>
      <c r="Z1235" t="n">
        <v>59</v>
      </c>
      <c r="AA1235" t="n">
        <v>13</v>
      </c>
      <c r="AB1235" t="n">
        <v>11.6</v>
      </c>
      <c r="AC1235" t="inlineStr">
        <is>
          <t xml:space="preserve"> On-Piste Carving</t>
        </is>
      </c>
      <c r="AG1235" t="inlineStr">
        <is>
          <t>Salomon S/Max Blast Women's Skis w/ Z12 GW Bindings 2020</t>
        </is>
      </c>
      <c r="AH1235" t="inlineStr">
        <is>
          <t>Level Nine Sports</t>
        </is>
      </c>
      <c r="AI1235" s="333" t="n">
        <v>399.99</v>
      </c>
      <c r="AJ1235" t="inlineStr">
        <is>
          <t>https://tinyurl.com/y8ysqkwr</t>
        </is>
      </c>
      <c r="AK1235" t="inlineStr">
        <is>
          <t>Salomon Ski Set E S/Max 8 + M11 GW L80 Skis - Dark Grey/Yellow/Black</t>
        </is>
      </c>
      <c r="AL1235" t="inlineStr">
        <is>
          <t>Surfdome US</t>
        </is>
      </c>
      <c r="AM1235" s="333" t="n">
        <v>453.95</v>
      </c>
      <c r="AN1235" t="inlineStr">
        <is>
          <t>https://tinyurl.com/ycju8dbh</t>
        </is>
      </c>
      <c r="AO1235" t="inlineStr">
        <is>
          <t>Salomon Ski Set E S/Max 8 + M11 GW L80 Skis - Dark Grey/Yellow/Black</t>
        </is>
      </c>
      <c r="AP1235" t="inlineStr">
        <is>
          <t>eBay - extremepiestores</t>
        </is>
      </c>
      <c r="AQ1235" s="333" t="n">
        <v>500.62</v>
      </c>
      <c r="AR1235" t="inlineStr">
        <is>
          <t>https://tinyurl.com/yaf6xxuh</t>
        </is>
      </c>
      <c r="AS1235" s="314">
        <f>IF(LEFT(C1235,1)=" ",RIGHT(C1235,LEN(C1235)-1),C1235)</f>
        <v/>
      </c>
      <c r="AT1235" s="281">
        <f>_xlfn.CONCAT(B1235,AS1235,D1235,E1235)</f>
        <v/>
      </c>
    </row>
    <row r="1236">
      <c r="A1236" t="inlineStr">
        <is>
          <t>21/22</t>
        </is>
      </c>
      <c r="B1236" t="inlineStr">
        <is>
          <t xml:space="preserve"> Rossignol</t>
        </is>
      </c>
      <c r="C1236" t="inlineStr">
        <is>
          <t xml:space="preserve"> Hero Elite Long Turn Ti</t>
        </is>
      </c>
      <c r="D1236" t="n">
        <v>172</v>
      </c>
      <c r="E1236" t="inlineStr">
        <is>
          <t xml:space="preserve"> Unisex</t>
        </is>
      </c>
      <c r="F1236" t="n">
        <v>172</v>
      </c>
      <c r="G1236" t="n">
        <v>171.4</v>
      </c>
      <c r="H1236" t="n">
        <v>151</v>
      </c>
      <c r="I1236" t="n">
        <v>160</v>
      </c>
      <c r="J1236" t="n">
        <v>118</v>
      </c>
      <c r="K1236" t="n">
        <v>69</v>
      </c>
      <c r="L1236" t="n">
        <v>100</v>
      </c>
      <c r="M1236" t="n">
        <v>16.4</v>
      </c>
      <c r="N1236" t="n">
        <v>2051</v>
      </c>
      <c r="O1236" t="n">
        <v>0.7</v>
      </c>
      <c r="P1236" t="n">
        <v>1435</v>
      </c>
      <c r="Q1236" t="n">
        <v>263</v>
      </c>
      <c r="R1236" t="n">
        <v>145</v>
      </c>
      <c r="S1236" t="n">
        <v>39</v>
      </c>
      <c r="T1236" t="n">
        <v>147</v>
      </c>
      <c r="U1236" t="n">
        <v>4</v>
      </c>
      <c r="V1236" t="n">
        <v>52</v>
      </c>
      <c r="W1236" t="n">
        <v>0.115</v>
      </c>
      <c r="X1236" t="n">
        <v>71</v>
      </c>
      <c r="Y1236" t="n">
        <v>44</v>
      </c>
      <c r="Z1236" t="n">
        <v>76</v>
      </c>
      <c r="AA1236" t="n">
        <v>11</v>
      </c>
      <c r="AB1236" t="n">
        <v>11.4</v>
      </c>
      <c r="AC1236" t="inlineStr">
        <is>
          <t xml:space="preserve"> On-Piste Carving</t>
        </is>
      </c>
      <c r="AG1236" t="inlineStr">
        <is>
          <t>Rossignol Unisex's Racing Skis Hero Elite St Ti Limited Edition Konect</t>
        </is>
      </c>
      <c r="AH1236" t="inlineStr">
        <is>
          <t>Rossignol US</t>
        </is>
      </c>
      <c r="AI1236" s="333" t="n">
        <v>1149</v>
      </c>
      <c r="AJ1236" t="inlineStr">
        <is>
          <t>https://tinyurl.com/ycckov29</t>
        </is>
      </c>
      <c r="AK1236" t="inlineStr">
        <is>
          <t>Rossignol Hero Elite LT Ti + SPX 14 Konect 21/22</t>
        </is>
      </c>
      <c r="AL1236" t="inlineStr">
        <is>
          <t>Snowcountry.eu</t>
        </is>
      </c>
      <c r="AM1236" s="333" t="n">
        <v>506.05</v>
      </c>
      <c r="AN1236" t="inlineStr">
        <is>
          <t>https://tinyurl.com/ydfl3ddx</t>
        </is>
      </c>
      <c r="AO1236" t="inlineStr">
        <is>
          <t>Rossignol Blackops Escaper Skis Men's 2022</t>
        </is>
      </c>
      <c r="AP1236" t="inlineStr">
        <is>
          <t>Level Nine Sports</t>
        </is>
      </c>
      <c r="AQ1236" s="333" t="n">
        <v>479.96</v>
      </c>
      <c r="AR1236" t="inlineStr">
        <is>
          <t>https://tinyurl.com/y7wo2ckd</t>
        </is>
      </c>
      <c r="AS1236" s="314">
        <f>IF(LEFT(C1236,1)=" ",RIGHT(C1236,LEN(C1236)-1),C1236)</f>
        <v/>
      </c>
      <c r="AT1236" s="281">
        <f>_xlfn.CONCAT(B1236,AS1236,D1236,E1236)</f>
        <v/>
      </c>
    </row>
    <row r="1237">
      <c r="A1237" t="inlineStr">
        <is>
          <t>21/22</t>
        </is>
      </c>
      <c r="B1237" t="inlineStr">
        <is>
          <t xml:space="preserve"> Blizzard</t>
        </is>
      </c>
      <c r="C1237" t="inlineStr">
        <is>
          <t xml:space="preserve"> HRC</t>
        </is>
      </c>
      <c r="D1237" t="n">
        <v>174</v>
      </c>
      <c r="E1237" t="inlineStr">
        <is>
          <t xml:space="preserve"> Unisex</t>
        </is>
      </c>
      <c r="F1237" t="n">
        <v>174</v>
      </c>
      <c r="G1237" t="n">
        <v>173.1</v>
      </c>
      <c r="H1237" t="n">
        <v>156</v>
      </c>
      <c r="I1237" t="n">
        <v>160</v>
      </c>
      <c r="J1237" t="n">
        <v>125</v>
      </c>
      <c r="K1237" t="n">
        <v>75</v>
      </c>
      <c r="L1237" t="n">
        <v>106</v>
      </c>
      <c r="M1237" t="n">
        <v>15.2</v>
      </c>
      <c r="N1237" t="n">
        <v>2192</v>
      </c>
      <c r="O1237" t="n">
        <v>0.71</v>
      </c>
      <c r="P1237" t="n">
        <v>1555</v>
      </c>
      <c r="Q1237" t="n">
        <v>229</v>
      </c>
      <c r="R1237" t="n">
        <v>142</v>
      </c>
      <c r="S1237" t="n">
        <v>37</v>
      </c>
      <c r="T1237" t="n">
        <v>122</v>
      </c>
      <c r="U1237" t="n">
        <v>5</v>
      </c>
      <c r="V1237" t="n">
        <v>51</v>
      </c>
      <c r="W1237" t="n">
        <v>0.148</v>
      </c>
      <c r="X1237" t="n">
        <v>76</v>
      </c>
      <c r="Y1237" t="n">
        <v>52</v>
      </c>
      <c r="Z1237" t="n">
        <v>46</v>
      </c>
      <c r="AA1237" t="n">
        <v>9</v>
      </c>
      <c r="AB1237" t="n">
        <v>11.1</v>
      </c>
      <c r="AC1237" t="inlineStr">
        <is>
          <t xml:space="preserve"> On-Piste Carving</t>
        </is>
      </c>
      <c r="AG1237" t="inlineStr">
        <is>
          <t>Blizzard Firebird HRC Skis</t>
        </is>
      </c>
      <c r="AH1237" t="inlineStr">
        <is>
          <t>Cole Sport</t>
        </is>
      </c>
      <c r="AI1237" s="333" t="n">
        <v>879.95</v>
      </c>
      <c r="AJ1237" t="inlineStr">
        <is>
          <t>https://tinyurl.com/ya7fbnzq</t>
        </is>
      </c>
      <c r="AK1237" t="inlineStr">
        <is>
          <t>Blizzard Firebird HRC WC Piston Skis Â· 2021 Â· 174 cm</t>
        </is>
      </c>
      <c r="AL1237" t="inlineStr">
        <is>
          <t>Powder7 Ski Shop</t>
        </is>
      </c>
      <c r="AM1237" s="333" t="n">
        <v>899.95</v>
      </c>
      <c r="AN1237" t="inlineStr">
        <is>
          <t>https://tinyurl.com/y8bo66nw</t>
        </is>
      </c>
      <c r="AO1237" t="inlineStr">
        <is>
          <t>Blizzard Quattro RS Ski + Marker Race Xcell 14 Ski Binding - 2018 - Size: 174cm</t>
        </is>
      </c>
      <c r="AP1237" t="inlineStr">
        <is>
          <t>SkiEssentials.com</t>
        </is>
      </c>
      <c r="AQ1237" s="333" t="n">
        <v>1099.95</v>
      </c>
      <c r="AR1237" t="inlineStr">
        <is>
          <t>https://tinyurl.com/y85v6nne</t>
        </is>
      </c>
      <c r="AS1237" s="314">
        <f>IF(LEFT(C1237,1)=" ",RIGHT(C1237,LEN(C1237)-1),C1237)</f>
        <v/>
      </c>
      <c r="AT1237" s="281">
        <f>_xlfn.CONCAT(B1237,AS1237,D1237,E1237)</f>
        <v/>
      </c>
    </row>
    <row r="1238">
      <c r="A1238" t="inlineStr">
        <is>
          <t>21/22</t>
        </is>
      </c>
      <c r="B1238" t="inlineStr">
        <is>
          <t xml:space="preserve"> Armada</t>
        </is>
      </c>
      <c r="C1238" t="inlineStr">
        <is>
          <t xml:space="preserve"> Magic J</t>
        </is>
      </c>
      <c r="D1238" t="n">
        <v>190</v>
      </c>
      <c r="E1238" t="inlineStr">
        <is>
          <t xml:space="preserve"> Unisex</t>
        </is>
      </c>
      <c r="F1238" t="n">
        <v>190</v>
      </c>
      <c r="G1238" t="n">
        <v>188.7</v>
      </c>
      <c r="H1238" t="n">
        <v>110</v>
      </c>
      <c r="I1238" t="n">
        <v>126</v>
      </c>
      <c r="J1238" t="n">
        <v>142</v>
      </c>
      <c r="K1238" t="n">
        <v>125</v>
      </c>
      <c r="L1238" t="n">
        <v>139</v>
      </c>
      <c r="M1238" t="n">
        <v>22.7</v>
      </c>
      <c r="N1238" t="n">
        <v>2529</v>
      </c>
      <c r="O1238" t="n">
        <v>0.98</v>
      </c>
      <c r="P1238" t="n">
        <v>2479</v>
      </c>
      <c r="Q1238" t="n">
        <v>266</v>
      </c>
      <c r="R1238" t="n">
        <v>133</v>
      </c>
      <c r="S1238" t="n">
        <v>56</v>
      </c>
      <c r="T1238" t="n">
        <v>410</v>
      </c>
      <c r="U1238" t="n">
        <v>58</v>
      </c>
      <c r="V1238" t="n">
        <v>375</v>
      </c>
      <c r="W1238" t="n">
        <v>1.043</v>
      </c>
      <c r="X1238" t="n">
        <v>333</v>
      </c>
      <c r="Y1238" t="n">
        <v>294</v>
      </c>
      <c r="Z1238" t="n">
        <v>77</v>
      </c>
      <c r="AA1238" t="n">
        <v>8</v>
      </c>
      <c r="AB1238" t="n">
        <v>4.3</v>
      </c>
      <c r="AC1238" t="inlineStr">
        <is>
          <t xml:space="preserve"> Freeski</t>
        </is>
      </c>
      <c r="AD1238" t="inlineStr">
        <is>
          <t xml:space="preserve"> Powder</t>
        </is>
      </c>
      <c r="AG1238" t="inlineStr">
        <is>
          <t>Armada Magic J 127mm 190 2022 Skis Men, Freeride ski, Freeski</t>
        </is>
      </c>
      <c r="AH1238" t="inlineStr">
        <is>
          <t>Blue Tomato</t>
        </is>
      </c>
      <c r="AI1238" s="333" t="n">
        <v>497.9</v>
      </c>
      <c r="AJ1238" t="inlineStr">
        <is>
          <t>https://tinyurl.com/ybrswd8n</t>
        </is>
      </c>
      <c r="AK1238" t="inlineStr">
        <is>
          <t>Armada Magic J Skis 190cm 2022</t>
        </is>
      </c>
      <c r="AL1238" t="inlineStr">
        <is>
          <t>REI</t>
        </is>
      </c>
      <c r="AM1238" s="333" t="n">
        <v>599.9299999999999</v>
      </c>
      <c r="AN1238" t="inlineStr">
        <is>
          <t>https://tinyurl.com/ycffy7sw</t>
        </is>
      </c>
      <c r="AO1238" t="inlineStr">
        <is>
          <t>Armada Magic J Skis - 2022 190cm</t>
        </is>
      </c>
      <c r="AP1238" t="inlineStr">
        <is>
          <t>Glacier Ski Shop</t>
        </is>
      </c>
      <c r="AQ1238" s="333" t="n">
        <v>674</v>
      </c>
      <c r="AR1238" t="inlineStr">
        <is>
          <t>https://tinyurl.com/y7w45sr7</t>
        </is>
      </c>
      <c r="AS1238" s="314">
        <f>IF(LEFT(C1238,1)=" ",RIGHT(C1238,LEN(C1238)-1),C1238)</f>
        <v/>
      </c>
      <c r="AT1238" s="281">
        <f>_xlfn.CONCAT(B1238,AS1238,D1238,E1238)</f>
        <v/>
      </c>
    </row>
    <row r="1239">
      <c r="A1239" t="inlineStr">
        <is>
          <t>21/22</t>
        </is>
      </c>
      <c r="B1239" t="inlineStr">
        <is>
          <t xml:space="preserve"> Vï¿½lkl</t>
        </is>
      </c>
      <c r="C1239" t="inlineStr">
        <is>
          <t xml:space="preserve"> Racetiger SL</t>
        </is>
      </c>
      <c r="D1239" t="n">
        <v>170</v>
      </c>
      <c r="E1239" t="inlineStr">
        <is>
          <t xml:space="preserve"> Unisex</t>
        </is>
      </c>
      <c r="F1239" t="n">
        <v>170</v>
      </c>
      <c r="G1239" t="n">
        <v>169.2</v>
      </c>
      <c r="H1239" t="n">
        <v>146</v>
      </c>
      <c r="I1239" t="n">
        <v>158</v>
      </c>
      <c r="J1239" t="n">
        <v>126</v>
      </c>
      <c r="K1239" t="n">
        <v>67</v>
      </c>
      <c r="L1239" t="n">
        <v>102</v>
      </c>
      <c r="M1239" t="n">
        <v>13.4</v>
      </c>
      <c r="N1239" t="n">
        <v>2068</v>
      </c>
      <c r="O1239" t="n">
        <v>0.6899999999999999</v>
      </c>
      <c r="P1239" t="n">
        <v>1425</v>
      </c>
      <c r="Q1239" t="n">
        <v>229</v>
      </c>
      <c r="R1239" t="n">
        <v>150</v>
      </c>
      <c r="S1239" t="n">
        <v>43</v>
      </c>
      <c r="T1239" t="n">
        <v>174</v>
      </c>
      <c r="U1239" t="n">
        <v>6</v>
      </c>
      <c r="V1239" t="n">
        <v>61</v>
      </c>
      <c r="W1239" t="n">
        <v>0.151</v>
      </c>
      <c r="X1239" t="n">
        <v>57</v>
      </c>
      <c r="Y1239" t="n">
        <v>50</v>
      </c>
      <c r="Z1239" t="n">
        <v>117</v>
      </c>
      <c r="AA1239" t="n">
        <v>5</v>
      </c>
      <c r="AB1239" t="n">
        <v>11.5</v>
      </c>
      <c r="AC1239" t="inlineStr">
        <is>
          <t xml:space="preserve"> On-Piste Carving</t>
        </is>
      </c>
      <c r="AG1239" t="inlineStr">
        <is>
          <t>VÃ¶lkl Skiing Volkl Racetiger Sc 118041 Attacchivmotion Marker (170)</t>
        </is>
      </c>
      <c r="AH1239" t="inlineStr">
        <is>
          <t>eBay - vendiamoperte_italia</t>
        </is>
      </c>
      <c r="AI1239" s="333" t="n">
        <v>818.74</v>
      </c>
      <c r="AJ1239" t="inlineStr">
        <is>
          <t>https://tinyurl.com/y8ewkbk5</t>
        </is>
      </c>
      <c r="AK1239" t="inlineStr">
        <is>
          <t xml:space="preserve"> Racing Racetiger GS Without Bindings Skis</t>
        </is>
      </c>
      <c r="AL1239" t="inlineStr">
        <is>
          <t>SidelineSwap</t>
        </is>
      </c>
      <c r="AM1239" s="333" t="n">
        <v>162</v>
      </c>
      <c r="AN1239" t="inlineStr">
        <is>
          <t>https://tinyurl.com/yaanpsew</t>
        </is>
      </c>
      <c r="AO1239" t="inlineStr">
        <is>
          <t>Volkl Racetiger RC + vMotion 11 GW 19/20</t>
        </is>
      </c>
      <c r="AP1239" t="inlineStr">
        <is>
          <t>Snowcountry.eu</t>
        </is>
      </c>
      <c r="AQ1239" s="333" t="n">
        <v>345.67</v>
      </c>
      <c r="AR1239" t="inlineStr">
        <is>
          <t>https://tinyurl.com/yczf26dc</t>
        </is>
      </c>
      <c r="AS1239" s="314">
        <f>IF(LEFT(C1239,1)=" ",RIGHT(C1239,LEN(C1239)-1),C1239)</f>
        <v/>
      </c>
      <c r="AT1239" s="281">
        <f>_xlfn.CONCAT(B1239,AS1239,D1239,E1239)</f>
        <v/>
      </c>
    </row>
    <row r="1240">
      <c r="A1240" t="inlineStr">
        <is>
          <t>21/22</t>
        </is>
      </c>
      <c r="B1240" t="inlineStr">
        <is>
          <t xml:space="preserve"> Salomon</t>
        </is>
      </c>
      <c r="C1240" t="inlineStr">
        <is>
          <t>S/Max 12</t>
        </is>
      </c>
      <c r="D1240" t="n">
        <v>175</v>
      </c>
      <c r="E1240" t="inlineStr">
        <is>
          <t xml:space="preserve"> Unisex</t>
        </is>
      </c>
      <c r="F1240" t="n">
        <v>175</v>
      </c>
      <c r="G1240" t="n">
        <v>174.2</v>
      </c>
      <c r="H1240" t="n">
        <v>155</v>
      </c>
      <c r="I1240" t="n">
        <v>163</v>
      </c>
      <c r="J1240" t="n">
        <v>121</v>
      </c>
      <c r="K1240" t="n">
        <v>72</v>
      </c>
      <c r="L1240" t="n">
        <v>107</v>
      </c>
      <c r="M1240" t="n">
        <v>15.8</v>
      </c>
      <c r="N1240" t="n">
        <v>2067</v>
      </c>
      <c r="O1240" t="n">
        <v>0.74</v>
      </c>
      <c r="P1240" t="n">
        <v>1533</v>
      </c>
      <c r="Q1240" t="n">
        <v>236</v>
      </c>
      <c r="R1240" t="n">
        <v>149</v>
      </c>
      <c r="S1240" t="n">
        <v>37</v>
      </c>
      <c r="T1240" t="n">
        <v>137</v>
      </c>
      <c r="U1240" t="n">
        <v>5</v>
      </c>
      <c r="V1240" t="n">
        <v>51</v>
      </c>
      <c r="W1240" t="n">
        <v>0.127</v>
      </c>
      <c r="X1240" t="n">
        <v>80</v>
      </c>
      <c r="Y1240" t="n">
        <v>34</v>
      </c>
      <c r="Z1240" t="n">
        <v>58</v>
      </c>
      <c r="AA1240" t="n">
        <v>13</v>
      </c>
      <c r="AB1240" t="n">
        <v>12</v>
      </c>
      <c r="AC1240" t="inlineStr">
        <is>
          <t xml:space="preserve"> On-Piste Carving</t>
        </is>
      </c>
      <c r="AG1240" t="inlineStr">
        <is>
          <t>Salomon X-Race Lab Race Skis with X-12 Lab Bindings</t>
        </is>
      </c>
      <c r="AH1240" t="inlineStr">
        <is>
          <t>The-House.com</t>
        </is>
      </c>
      <c r="AI1240" s="333" t="n">
        <v>1149.99</v>
      </c>
      <c r="AJ1240" t="inlineStr">
        <is>
          <t>https://tinyurl.com/y8vudvja</t>
        </is>
      </c>
      <c r="AS1240" s="314">
        <f>IF(LEFT(C1240,1)=" ",RIGHT(C1240,LEN(C1240)-1),C1240)</f>
        <v/>
      </c>
      <c r="AT1240" s="281">
        <f>_xlfn.CONCAT(B1240,AS1240,D1240,E1240)</f>
        <v/>
      </c>
    </row>
    <row r="1241">
      <c r="A1241" t="inlineStr">
        <is>
          <t>21/22</t>
        </is>
      </c>
      <c r="B1241" t="inlineStr">
        <is>
          <t xml:space="preserve"> Nordica</t>
        </is>
      </c>
      <c r="C1241" t="inlineStr">
        <is>
          <t>Enforcer 115 Free</t>
        </is>
      </c>
      <c r="D1241" t="n">
        <v>191</v>
      </c>
      <c r="E1241" t="inlineStr">
        <is>
          <t xml:space="preserve"> Unisex</t>
        </is>
      </c>
      <c r="F1241" t="n">
        <v>191</v>
      </c>
      <c r="G1241" t="n">
        <v>189.6</v>
      </c>
      <c r="H1241" t="n">
        <v>128</v>
      </c>
      <c r="I1241" t="n">
        <v>154</v>
      </c>
      <c r="J1241" t="n">
        <v>144</v>
      </c>
      <c r="K1241" t="n">
        <v>114</v>
      </c>
      <c r="L1241" t="n">
        <v>134</v>
      </c>
      <c r="M1241" t="n">
        <v>21.5</v>
      </c>
      <c r="N1241" t="n">
        <v>2292</v>
      </c>
      <c r="O1241" t="n">
        <v>1.02</v>
      </c>
      <c r="P1241" t="n">
        <v>2347</v>
      </c>
      <c r="Q1241" t="n">
        <v>283</v>
      </c>
      <c r="R1241" t="n">
        <v>142</v>
      </c>
      <c r="S1241" t="n">
        <v>67</v>
      </c>
      <c r="T1241" t="n">
        <v>338</v>
      </c>
      <c r="U1241" t="n">
        <v>42</v>
      </c>
      <c r="V1241" t="n">
        <v>275</v>
      </c>
      <c r="W1241" t="n">
        <v>0.632</v>
      </c>
      <c r="X1241" t="n">
        <v>182</v>
      </c>
      <c r="Y1241" t="n">
        <v>175</v>
      </c>
      <c r="Z1241" t="n">
        <v>156</v>
      </c>
      <c r="AA1241" t="n">
        <v>7</v>
      </c>
      <c r="AB1241" t="n">
        <v>9.4</v>
      </c>
      <c r="AC1241" t="inlineStr">
        <is>
          <t xml:space="preserve"> Powder</t>
        </is>
      </c>
      <c r="AG1241" t="inlineStr">
        <is>
          <t>Nordica Enforcer 104 Free Skis 2022</t>
        </is>
      </c>
      <c r="AH1241" t="inlineStr">
        <is>
          <t>BlueZone Sports</t>
        </is>
      </c>
      <c r="AI1241" s="333" t="n">
        <v>599.99</v>
      </c>
      <c r="AJ1241" t="inlineStr">
        <is>
          <t>https://tinyurl.com/ycg38gwn</t>
        </is>
      </c>
      <c r="AK1241" t="inlineStr">
        <is>
          <t>Nordica Enforcer 104 Free Skis 2022</t>
        </is>
      </c>
      <c r="AL1241" t="inlineStr">
        <is>
          <t>Ski Town All-Stars</t>
        </is>
      </c>
      <c r="AM1241" s="333" t="n">
        <v>639.99</v>
      </c>
      <c r="AN1241" t="inlineStr">
        <is>
          <t>https://tinyurl.com/y8sudxyu</t>
        </is>
      </c>
      <c r="AO1241" t="inlineStr">
        <is>
          <t>Nordica Enforcer 104 Free Skis</t>
        </is>
      </c>
      <c r="AP1241" t="inlineStr">
        <is>
          <t>Cole Sport</t>
        </is>
      </c>
      <c r="AQ1241" s="333" t="n">
        <v>639.99</v>
      </c>
      <c r="AR1241" t="inlineStr">
        <is>
          <t>https://tinyurl.com/yd4s76aa</t>
        </is>
      </c>
      <c r="AS1241" s="314">
        <f>IF(LEFT(C1241,1)=" ",RIGHT(C1241,LEN(C1241)-1),C1241)</f>
        <v/>
      </c>
      <c r="AT1241" s="281">
        <f>_xlfn.CONCAT(B1241,AS1241,D1241,E1241)</f>
        <v/>
      </c>
    </row>
    <row r="1242">
      <c r="A1242" t="inlineStr">
        <is>
          <t>21/22</t>
        </is>
      </c>
      <c r="B1242" t="inlineStr">
        <is>
          <t xml:space="preserve"> Head</t>
        </is>
      </c>
      <c r="C1242" t="inlineStr">
        <is>
          <t>Kore 117</t>
        </is>
      </c>
      <c r="D1242" t="n">
        <v>184</v>
      </c>
      <c r="E1242" t="inlineStr">
        <is>
          <t xml:space="preserve"> Unisex</t>
        </is>
      </c>
      <c r="F1242" t="n">
        <v>184</v>
      </c>
      <c r="G1242" t="n">
        <v>182.9</v>
      </c>
      <c r="H1242" t="n">
        <v>118</v>
      </c>
      <c r="I1242" t="n">
        <v>145</v>
      </c>
      <c r="J1242" t="n">
        <v>144</v>
      </c>
      <c r="K1242" t="n">
        <v>116</v>
      </c>
      <c r="L1242" t="n">
        <v>128</v>
      </c>
      <c r="M1242" t="n">
        <v>24.9</v>
      </c>
      <c r="N1242" t="n">
        <v>1949</v>
      </c>
      <c r="O1242" t="n">
        <v>1.17</v>
      </c>
      <c r="P1242" t="n">
        <v>2275</v>
      </c>
      <c r="Q1242" t="n">
        <v>335</v>
      </c>
      <c r="R1242" t="n">
        <v>162</v>
      </c>
      <c r="S1242" t="n">
        <v>63</v>
      </c>
      <c r="T1242" t="n">
        <v>288</v>
      </c>
      <c r="U1242" t="n">
        <v>22</v>
      </c>
      <c r="V1242" t="n">
        <v>359</v>
      </c>
      <c r="W1242" t="n">
        <v>0.355</v>
      </c>
      <c r="X1242" t="n">
        <v>231</v>
      </c>
      <c r="Y1242" t="n">
        <v>145</v>
      </c>
      <c r="Z1242" t="n">
        <v>57</v>
      </c>
      <c r="AA1242" t="n">
        <v>5</v>
      </c>
      <c r="AB1242" t="n">
        <v>7.5</v>
      </c>
      <c r="AC1242" t="inlineStr">
        <is>
          <t xml:space="preserve"> Powder</t>
        </is>
      </c>
      <c r="AD1242" t="inlineStr">
        <is>
          <t xml:space="preserve"> Big Mountain</t>
        </is>
      </c>
      <c r="AE1242" t="inlineStr">
        <is>
          <t xml:space="preserve"> Touring</t>
        </is>
      </c>
      <c r="AG1242" t="inlineStr">
        <is>
          <t>Head Kore 117 Skis Â· 2022 Â· 184 cm</t>
        </is>
      </c>
      <c r="AH1242" t="inlineStr">
        <is>
          <t>Snowcountry.eu</t>
        </is>
      </c>
      <c r="AI1242" s="333" t="n">
        <v>450.74</v>
      </c>
      <c r="AJ1242" t="inlineStr">
        <is>
          <t>https://tinyurl.com/ycn978or</t>
        </is>
      </c>
      <c r="AK1242" t="inlineStr">
        <is>
          <t>Head Kore 117 Skis</t>
        </is>
      </c>
      <c r="AL1242" t="inlineStr">
        <is>
          <t>eBay</t>
        </is>
      </c>
      <c r="AM1242" s="333" t="n">
        <v>499</v>
      </c>
      <c r="AN1242" t="inlineStr">
        <is>
          <t>https://tinyurl.com/yc7dppvt</t>
        </is>
      </c>
      <c r="AO1242" t="inlineStr">
        <is>
          <t>Head Kore 117 Anthracite/Black / 184cm</t>
        </is>
      </c>
      <c r="AP1242" t="inlineStr">
        <is>
          <t>Sundance Ski and Board Shop</t>
        </is>
      </c>
      <c r="AQ1242" s="333" t="n">
        <v>544.98</v>
      </c>
      <c r="AR1242" t="inlineStr">
        <is>
          <t>https://tinyurl.com/y8fvep98</t>
        </is>
      </c>
      <c r="AS1242" s="314">
        <f>IF(LEFT(C1242,1)=" ",RIGHT(C1242,LEN(C1242)-1),C1242)</f>
        <v/>
      </c>
      <c r="AT1242" s="281">
        <f>_xlfn.CONCAT(B1242,AS1242,D1242,E1242)</f>
        <v/>
      </c>
    </row>
    <row r="1243">
      <c r="A1243" t="inlineStr">
        <is>
          <t>21/22</t>
        </is>
      </c>
      <c r="B1243" t="inlineStr">
        <is>
          <t xml:space="preserve"> Vï¿½lkl</t>
        </is>
      </c>
      <c r="C1243" t="inlineStr">
        <is>
          <t>Katana 108</t>
        </is>
      </c>
      <c r="D1243" t="n">
        <v>191</v>
      </c>
      <c r="E1243" t="inlineStr">
        <is>
          <t xml:space="preserve"> Unisex</t>
        </is>
      </c>
      <c r="F1243" t="n">
        <v>191</v>
      </c>
      <c r="G1243" t="n">
        <v>191.2</v>
      </c>
      <c r="H1243" t="n">
        <v>112</v>
      </c>
      <c r="I1243" t="n">
        <v>167</v>
      </c>
      <c r="J1243" t="n">
        <v>145</v>
      </c>
      <c r="K1243" t="n">
        <v>108</v>
      </c>
      <c r="L1243" t="n">
        <v>129</v>
      </c>
      <c r="M1243" t="n">
        <v>22.7</v>
      </c>
      <c r="N1243" t="n">
        <v>2405</v>
      </c>
      <c r="O1243" t="n">
        <v>0.9399999999999999</v>
      </c>
      <c r="P1243" t="n">
        <v>2270</v>
      </c>
      <c r="Q1243" t="n">
        <v>265</v>
      </c>
      <c r="R1243" t="n">
        <v>173</v>
      </c>
      <c r="S1243" t="n">
        <v>53</v>
      </c>
      <c r="T1243" t="n">
        <v>457</v>
      </c>
      <c r="U1243" t="n">
        <v>24</v>
      </c>
      <c r="V1243" t="n">
        <v>332</v>
      </c>
      <c r="W1243" t="n">
        <v>0.46</v>
      </c>
      <c r="X1243" t="n">
        <v>130</v>
      </c>
      <c r="Y1243" t="n">
        <v>110</v>
      </c>
      <c r="Z1243" t="n">
        <v>327</v>
      </c>
      <c r="AA1243" t="n">
        <v>1</v>
      </c>
      <c r="AB1243" t="n">
        <v>11.9</v>
      </c>
      <c r="AC1243" t="inlineStr">
        <is>
          <t xml:space="preserve"> Powder</t>
        </is>
      </c>
      <c r="AG1243" t="inlineStr">
        <is>
          <t>2022 Volkl Katana V-Werks Skis - 191</t>
        </is>
      </c>
      <c r="AH1243" t="inlineStr">
        <is>
          <t>! OutdoorXL.com</t>
        </is>
      </c>
      <c r="AI1243" s="333" t="n">
        <v>749.95</v>
      </c>
      <c r="AJ1243" t="inlineStr">
        <is>
          <t>https://tinyurl.com/y7hxgcm4</t>
        </is>
      </c>
      <c r="AK1243" t="inlineStr">
        <is>
          <t>Volkl Carver Plus 191 Cm Carving Skis W/ Salomon 900s Bindings - Sports &amp; outdoors | Color: Red</t>
        </is>
      </c>
      <c r="AL1243" t="inlineStr">
        <is>
          <t>Mercari</t>
        </is>
      </c>
      <c r="AM1243" s="333" t="n">
        <v>120</v>
      </c>
      <c r="AN1243" t="inlineStr">
        <is>
          <t>https://tinyurl.com/yatyzo5n</t>
        </is>
      </c>
      <c r="AO1243" t="inlineStr">
        <is>
          <t>Volkl Other | Volkl Carver Plus 191 Cm Carving Skis W Salomon 900s Bindings | Color: Black/Red | Size: 191 Cm | Chrispy_Kicks's Closet</t>
        </is>
      </c>
      <c r="AP1243" t="inlineStr">
        <is>
          <t>Poshmark</t>
        </is>
      </c>
      <c r="AQ1243" s="333" t="n">
        <v>175</v>
      </c>
      <c r="AR1243" t="inlineStr">
        <is>
          <t>https://tinyurl.com/y9ey3eod</t>
        </is>
      </c>
      <c r="AS1243" s="314">
        <f>IF(LEFT(C1243,1)=" ",RIGHT(C1243,LEN(C1243)-1),C1243)</f>
        <v/>
      </c>
      <c r="AT1243" s="281">
        <f>_xlfn.CONCAT(B1243,AS1243,D1243,E1243)</f>
        <v/>
      </c>
    </row>
    <row r="1244">
      <c r="A1244" t="inlineStr">
        <is>
          <t>21/22</t>
        </is>
      </c>
      <c r="B1244" t="inlineStr">
        <is>
          <t xml:space="preserve"> Nordica</t>
        </is>
      </c>
      <c r="C1244" t="inlineStr">
        <is>
          <t>Enforcer 100</t>
        </is>
      </c>
      <c r="D1244" t="n">
        <v>186</v>
      </c>
      <c r="E1244" t="inlineStr">
        <is>
          <t xml:space="preserve"> Unisex</t>
        </is>
      </c>
      <c r="F1244" t="n">
        <v>186</v>
      </c>
      <c r="G1244" t="n">
        <v>185.3</v>
      </c>
      <c r="H1244" t="n">
        <v>136</v>
      </c>
      <c r="I1244" t="n">
        <v>154</v>
      </c>
      <c r="J1244" t="n">
        <v>134</v>
      </c>
      <c r="K1244" t="n">
        <v>99</v>
      </c>
      <c r="L1244" t="n">
        <v>120</v>
      </c>
      <c r="M1244" t="n">
        <v>18.3</v>
      </c>
      <c r="N1244" t="n">
        <v>2347</v>
      </c>
      <c r="O1244" t="n">
        <v>0.87</v>
      </c>
      <c r="P1244" t="n">
        <v>2048</v>
      </c>
      <c r="Q1244" t="n">
        <v>263</v>
      </c>
      <c r="R1244" t="n">
        <v>167</v>
      </c>
      <c r="S1244" t="n">
        <v>49</v>
      </c>
      <c r="T1244" t="n">
        <v>284</v>
      </c>
      <c r="U1244" t="n">
        <v>14</v>
      </c>
      <c r="V1244" t="n">
        <v>209</v>
      </c>
      <c r="W1244" t="n">
        <v>0.291</v>
      </c>
      <c r="X1244" t="n">
        <v>143</v>
      </c>
      <c r="Y1244" t="n">
        <v>169</v>
      </c>
      <c r="Z1244" t="n">
        <v>141</v>
      </c>
      <c r="AA1244" t="n">
        <v>7</v>
      </c>
      <c r="AB1244" t="n">
        <v>8.800000000000001</v>
      </c>
      <c r="AC1244" t="inlineStr">
        <is>
          <t xml:space="preserve"> Resort Freeride</t>
        </is>
      </c>
      <c r="AG1244" t="inlineStr">
        <is>
          <t>Nordica Enforcer 100 Skis 2022</t>
        </is>
      </c>
      <c r="AH1244" t="inlineStr">
        <is>
          <t>BlueZone Sports</t>
        </is>
      </c>
      <c r="AI1244" s="333" t="n">
        <v>599.99</v>
      </c>
      <c r="AJ1244" t="inlineStr">
        <is>
          <t>https://tinyurl.com/y72udlv6</t>
        </is>
      </c>
      <c r="AK1244" t="inlineStr">
        <is>
          <t>Nordica Enforcer 100 Skis 2022</t>
        </is>
      </c>
      <c r="AL1244" t="inlineStr">
        <is>
          <t>Stowesports.com</t>
        </is>
      </c>
      <c r="AM1244" s="333" t="n">
        <v>599.99</v>
      </c>
      <c r="AN1244" t="inlineStr">
        <is>
          <t>https://tinyurl.com/y8b2hb5o</t>
        </is>
      </c>
      <c r="AO1244" t="inlineStr">
        <is>
          <t>Nordica Enforcer 100 Skis 2022</t>
        </is>
      </c>
      <c r="AP1244" t="inlineStr">
        <is>
          <t>evo.com</t>
        </is>
      </c>
      <c r="AQ1244" s="333" t="n">
        <v>599.99</v>
      </c>
      <c r="AR1244" t="inlineStr">
        <is>
          <t>https://tinyurl.com/y9kv7dn7</t>
        </is>
      </c>
      <c r="AS1244" s="314">
        <f>IF(LEFT(C1244,1)=" ",RIGHT(C1244,LEN(C1244)-1),C1244)</f>
        <v/>
      </c>
      <c r="AT1244" s="281">
        <f>_xlfn.CONCAT(B1244,AS1244,D1244,E1244)</f>
        <v/>
      </c>
    </row>
    <row r="1245">
      <c r="A1245" t="inlineStr">
        <is>
          <t>21/22</t>
        </is>
      </c>
      <c r="B1245" t="inlineStr">
        <is>
          <t xml:space="preserve"> Atomic</t>
        </is>
      </c>
      <c r="C1245" t="inlineStr">
        <is>
          <t>Redster X9 WB Revo</t>
        </is>
      </c>
      <c r="D1245" t="n">
        <v>176</v>
      </c>
      <c r="E1245" t="inlineStr">
        <is>
          <t xml:space="preserve"> Unisex</t>
        </is>
      </c>
      <c r="F1245" t="n">
        <v>176</v>
      </c>
      <c r="G1245" t="n">
        <v>175.3</v>
      </c>
      <c r="H1245" t="n">
        <v>155</v>
      </c>
      <c r="I1245" t="n">
        <v>161</v>
      </c>
      <c r="J1245" t="n">
        <v>127</v>
      </c>
      <c r="K1245" t="n">
        <v>74</v>
      </c>
      <c r="L1245" t="n">
        <v>111</v>
      </c>
      <c r="M1245" t="n">
        <v>14.2</v>
      </c>
      <c r="N1245" t="n">
        <v>2253</v>
      </c>
      <c r="O1245" t="n">
        <v>0.71</v>
      </c>
      <c r="P1245" t="n">
        <v>1590</v>
      </c>
      <c r="Q1245" t="n">
        <v>248</v>
      </c>
      <c r="R1245" t="n">
        <v>146</v>
      </c>
      <c r="S1245" t="n">
        <v>37</v>
      </c>
      <c r="T1245" t="n">
        <v>143</v>
      </c>
      <c r="U1245" t="n">
        <v>5</v>
      </c>
      <c r="V1245" t="n">
        <v>57</v>
      </c>
      <c r="W1245" t="n">
        <v>0.139</v>
      </c>
      <c r="X1245" t="n">
        <v>85</v>
      </c>
      <c r="Y1245" t="n">
        <v>56</v>
      </c>
      <c r="Z1245" t="n">
        <v>59</v>
      </c>
      <c r="AA1245" t="n">
        <v>9</v>
      </c>
      <c r="AB1245" t="n">
        <v>12.5</v>
      </c>
      <c r="AC1245" t="inlineStr">
        <is>
          <t xml:space="preserve"> On-Piste Carving</t>
        </is>
      </c>
      <c r="AG1245" t="inlineStr">
        <is>
          <t>Atomic 2022 Redster X9I WB Revo Ski with x 12 GW Bindings</t>
        </is>
      </c>
      <c r="AH1245" t="inlineStr">
        <is>
          <t>The-House.com</t>
        </is>
      </c>
      <c r="AI1245" s="333" t="n">
        <v>999.99</v>
      </c>
      <c r="AJ1245" t="inlineStr">
        <is>
          <t>https://tinyurl.com/y9lxsvba</t>
        </is>
      </c>
      <c r="AK1245" t="inlineStr">
        <is>
          <t>Atomic Redster X7 WB Skis w Atomic FT 12 GW Bindings  Demo Skis</t>
        </is>
      </c>
      <c r="AL1245" t="inlineStr">
        <is>
          <t>Powder7 Ski Shop</t>
        </is>
      </c>
      <c r="AM1245" s="333" t="n">
        <v>509.99</v>
      </c>
      <c r="AN1245" t="inlineStr">
        <is>
          <t>https://tinyurl.com/ycsbavxz</t>
        </is>
      </c>
      <c r="AO1245" t="inlineStr">
        <is>
          <t>2017 Atomic Rs Doubledeck 3.0 Gs Men's Skis Only</t>
        </is>
      </c>
      <c r="AP1245" t="inlineStr">
        <is>
          <t>eBay - asogear</t>
        </is>
      </c>
      <c r="AQ1245" s="333" t="n">
        <v>299.99</v>
      </c>
      <c r="AR1245" t="inlineStr">
        <is>
          <t>https://tinyurl.com/y955efzc</t>
        </is>
      </c>
      <c r="AS1245" s="314">
        <f>IF(LEFT(C1245,1)=" ",RIGHT(C1245,LEN(C1245)-1),C1245)</f>
        <v/>
      </c>
      <c r="AT1245" s="281">
        <f>_xlfn.CONCAT(B1245,AS1245,D1245,E1245)</f>
        <v/>
      </c>
    </row>
    <row r="1246">
      <c r="A1246" t="inlineStr">
        <is>
          <t>21/22</t>
        </is>
      </c>
      <c r="B1246" t="inlineStr">
        <is>
          <t xml:space="preserve"> Rossignol</t>
        </is>
      </c>
      <c r="C1246" t="inlineStr">
        <is>
          <t>Hero Master M17 (R22)</t>
        </is>
      </c>
      <c r="D1246" t="n">
        <v>173</v>
      </c>
      <c r="E1246" t="inlineStr">
        <is>
          <t xml:space="preserve"> Unisex</t>
        </is>
      </c>
      <c r="F1246" t="n">
        <v>173</v>
      </c>
      <c r="G1246" t="n">
        <v>172.3</v>
      </c>
      <c r="H1246" t="n">
        <v>156</v>
      </c>
      <c r="I1246" t="n">
        <v>164</v>
      </c>
      <c r="J1246" t="n">
        <v>113</v>
      </c>
      <c r="K1246" t="n">
        <v>69</v>
      </c>
      <c r="L1246" t="n">
        <v>97</v>
      </c>
      <c r="M1246" t="n">
        <v>18.3</v>
      </c>
      <c r="N1246" t="n">
        <v>2175</v>
      </c>
      <c r="O1246" t="n">
        <v>0.65</v>
      </c>
      <c r="P1246" t="n">
        <v>1413</v>
      </c>
      <c r="Q1246" t="n">
        <v>249</v>
      </c>
      <c r="R1246" t="n">
        <v>143</v>
      </c>
      <c r="S1246" t="n">
        <v>30</v>
      </c>
      <c r="T1246" t="n">
        <v>111</v>
      </c>
      <c r="U1246" t="n">
        <v>4</v>
      </c>
      <c r="V1246" t="n">
        <v>54</v>
      </c>
      <c r="W1246" t="n">
        <v>0.148</v>
      </c>
      <c r="X1246" t="n">
        <v>41</v>
      </c>
      <c r="Y1246" t="n">
        <v>45</v>
      </c>
      <c r="Z1246" t="n">
        <v>70</v>
      </c>
      <c r="AA1246" t="n">
        <v>14</v>
      </c>
      <c r="AB1246" t="n">
        <v>8.300000000000001</v>
      </c>
      <c r="AC1246" t="inlineStr">
        <is>
          <t xml:space="preserve"> On-Piste Carving</t>
        </is>
      </c>
      <c r="AG1246" t="inlineStr">
        <is>
          <t>Rossignol Hero Master (R22) 173cm</t>
        </is>
      </c>
      <c r="AH1246" t="inlineStr">
        <is>
          <t>Sundance Ski and Board Shop</t>
        </is>
      </c>
      <c r="AI1246" s="333" t="n">
        <v>641.15</v>
      </c>
      <c r="AJ1246" t="inlineStr">
        <is>
          <t>https://tinyurl.com/y9voz77e</t>
        </is>
      </c>
      <c r="AK1246" t="inlineStr">
        <is>
          <t>Rossignol Hero Master LT + SPX15 Rockerace Forza 22/23</t>
        </is>
      </c>
      <c r="AL1246" t="inlineStr">
        <is>
          <t>Snowcountry.eu</t>
        </is>
      </c>
      <c r="AM1246" s="333" t="n">
        <v>1106.08</v>
      </c>
      <c r="AN1246" t="inlineStr">
        <is>
          <t>https://tinyurl.com/y9ga8jgw</t>
        </is>
      </c>
      <c r="AO1246" t="inlineStr">
        <is>
          <t>Rossignol Hero Master Flat Skis 20/21 /m17 Â· 173 cm</t>
        </is>
      </c>
      <c r="AP1246" t="inlineStr">
        <is>
          <t>Suburban Ski and Bike</t>
        </is>
      </c>
      <c r="AQ1246" s="333" t="n">
        <v>899.95</v>
      </c>
      <c r="AR1246" t="inlineStr">
        <is>
          <t>https://tinyurl.com/y97oajx9</t>
        </is>
      </c>
      <c r="AS1246" s="314">
        <f>IF(LEFT(C1246,1)=" ",RIGHT(C1246,LEN(C1246)-1),C1246)</f>
        <v/>
      </c>
      <c r="AT1246" s="281">
        <f>_xlfn.CONCAT(B1246,AS1246,D1246,E1246)</f>
        <v/>
      </c>
    </row>
    <row r="1247">
      <c r="A1247" t="inlineStr">
        <is>
          <t>21/22</t>
        </is>
      </c>
      <c r="B1247" t="inlineStr">
        <is>
          <t xml:space="preserve"> Nordica</t>
        </is>
      </c>
      <c r="C1247" t="inlineStr">
        <is>
          <t>Enforcer 94</t>
        </is>
      </c>
      <c r="D1247" t="n">
        <v>186</v>
      </c>
      <c r="E1247" t="inlineStr">
        <is>
          <t xml:space="preserve"> Unisex</t>
        </is>
      </c>
      <c r="F1247" t="n">
        <v>186</v>
      </c>
      <c r="G1247" t="n">
        <v>185.1</v>
      </c>
      <c r="H1247" t="n">
        <v>137</v>
      </c>
      <c r="I1247" t="n">
        <v>155</v>
      </c>
      <c r="J1247" t="n">
        <v>129</v>
      </c>
      <c r="K1247" t="n">
        <v>93</v>
      </c>
      <c r="L1247" t="n">
        <v>115</v>
      </c>
      <c r="M1247" t="n">
        <v>18.1</v>
      </c>
      <c r="N1247" t="n">
        <v>2299</v>
      </c>
      <c r="O1247" t="n">
        <v>0.85</v>
      </c>
      <c r="P1247" t="n">
        <v>1945</v>
      </c>
      <c r="Q1247" t="n">
        <v>276</v>
      </c>
      <c r="R1247" t="n">
        <v>172</v>
      </c>
      <c r="S1247" t="n">
        <v>53</v>
      </c>
      <c r="T1247" t="n">
        <v>277</v>
      </c>
      <c r="U1247" t="n">
        <v>15</v>
      </c>
      <c r="V1247" t="n">
        <v>207</v>
      </c>
      <c r="W1247" t="n">
        <v>0.283</v>
      </c>
      <c r="X1247" t="n">
        <v>140</v>
      </c>
      <c r="Y1247" t="n">
        <v>162</v>
      </c>
      <c r="Z1247" t="n">
        <v>137</v>
      </c>
      <c r="AA1247" t="n">
        <v>7</v>
      </c>
      <c r="AB1247" t="n">
        <v>8.5</v>
      </c>
      <c r="AC1247" t="inlineStr">
        <is>
          <t xml:space="preserve"> Resort Freeride</t>
        </is>
      </c>
      <c r="AG1247" t="inlineStr">
        <is>
          <t>Nordica Enforcer 94 Skis 2022</t>
        </is>
      </c>
      <c r="AH1247" t="inlineStr">
        <is>
          <t>sunandski.com</t>
        </is>
      </c>
      <c r="AI1247" s="333" t="n">
        <v>559.9299999999999</v>
      </c>
      <c r="AJ1247" t="inlineStr">
        <is>
          <t>https://tinyurl.com/ya2qv9vy</t>
        </is>
      </c>
      <c r="AK1247" t="inlineStr">
        <is>
          <t>Nordica Enforcer 94 Skis 2022</t>
        </is>
      </c>
      <c r="AL1247" t="inlineStr">
        <is>
          <t>SkiEssentials.com</t>
        </is>
      </c>
      <c r="AM1247" s="333" t="n">
        <v>559.99</v>
      </c>
      <c r="AN1247" t="inlineStr">
        <is>
          <t>https://tinyurl.com/ycrn3ltr</t>
        </is>
      </c>
      <c r="AO1247" t="inlineStr">
        <is>
          <t>Nordica Enforcer 94 Skis 2022</t>
        </is>
      </c>
      <c r="AP1247" t="inlineStr">
        <is>
          <t>AlpineShopVT.com</t>
        </is>
      </c>
      <c r="AQ1247" s="333" t="n">
        <v>559.99</v>
      </c>
      <c r="AR1247" t="inlineStr">
        <is>
          <t>https://tinyurl.com/ydyzf93j</t>
        </is>
      </c>
      <c r="AS1247" s="314">
        <f>IF(LEFT(C1247,1)=" ",RIGHT(C1247,LEN(C1247)-1),C1247)</f>
        <v/>
      </c>
      <c r="AT1247" s="281">
        <f>_xlfn.CONCAT(B1247,AS1247,D1247,E1247)</f>
        <v/>
      </c>
    </row>
    <row r="1248">
      <c r="A1248" t="inlineStr">
        <is>
          <t>21/22</t>
        </is>
      </c>
      <c r="B1248" t="inlineStr">
        <is>
          <t xml:space="preserve"> Blizzard</t>
        </is>
      </c>
      <c r="C1248" t="inlineStr">
        <is>
          <t>Cochise 106</t>
        </is>
      </c>
      <c r="D1248" t="n">
        <v>185</v>
      </c>
      <c r="E1248" t="inlineStr">
        <is>
          <t xml:space="preserve"> Unisex</t>
        </is>
      </c>
      <c r="F1248" t="n">
        <v>185</v>
      </c>
      <c r="G1248" t="n">
        <v>182.9</v>
      </c>
      <c r="H1248" t="n">
        <v>138</v>
      </c>
      <c r="I1248" t="n">
        <v>157</v>
      </c>
      <c r="J1248" t="n">
        <v>136</v>
      </c>
      <c r="K1248" t="n">
        <v>106</v>
      </c>
      <c r="L1248" t="n">
        <v>123</v>
      </c>
      <c r="M1248" t="n">
        <v>25.2</v>
      </c>
      <c r="N1248" t="n">
        <v>2372</v>
      </c>
      <c r="O1248" t="n">
        <v>0.88</v>
      </c>
      <c r="P1248" t="n">
        <v>2096</v>
      </c>
      <c r="Q1248" t="n">
        <v>255</v>
      </c>
      <c r="R1248" t="n">
        <v>165</v>
      </c>
      <c r="S1248" t="n">
        <v>49</v>
      </c>
      <c r="T1248" t="n">
        <v>332</v>
      </c>
      <c r="U1248" t="n">
        <v>14</v>
      </c>
      <c r="V1248" t="n">
        <v>122</v>
      </c>
      <c r="W1248" t="n">
        <v>0.283</v>
      </c>
      <c r="X1248" t="n">
        <v>142</v>
      </c>
      <c r="Y1248" t="n">
        <v>117</v>
      </c>
      <c r="Z1248" t="n">
        <v>189</v>
      </c>
      <c r="AA1248" t="n">
        <v>5</v>
      </c>
      <c r="AB1248" t="n">
        <v>11.4</v>
      </c>
      <c r="AC1248" t="inlineStr">
        <is>
          <t xml:space="preserve"> Big Mountain</t>
        </is>
      </c>
      <c r="AG1248" t="inlineStr">
        <is>
          <t>Blizzard Cochise 106 185</t>
        </is>
      </c>
      <c r="AH1248" t="inlineStr">
        <is>
          <t>Snowcountry.eu</t>
        </is>
      </c>
      <c r="AI1248" s="333" t="n">
        <v>483.9</v>
      </c>
      <c r="AJ1248" t="inlineStr">
        <is>
          <t>https://tinyurl.com/y8ph3cb2</t>
        </is>
      </c>
      <c r="AK1248" t="inlineStr">
        <is>
          <t>2022 Blizzard Cochise 106 Demo Skis w/ Marker Griffon 13 ID Bindings - 185| Ski Essentials</t>
        </is>
      </c>
      <c r="AL1248" t="inlineStr">
        <is>
          <t>SkiEssentials.com</t>
        </is>
      </c>
      <c r="AM1248" s="333" t="n">
        <v>599</v>
      </c>
      <c r="AN1248" t="inlineStr">
        <is>
          <t>https://tinyurl.com/y7agl2tp</t>
        </is>
      </c>
      <c r="AO1248" t="inlineStr">
        <is>
          <t>Blizzard Cochise 106 Skis</t>
        </is>
      </c>
      <c r="AP1248" t="inlineStr">
        <is>
          <t>Cole Sport</t>
        </is>
      </c>
      <c r="AQ1248" s="333" t="n">
        <v>799.95</v>
      </c>
      <c r="AR1248" t="inlineStr">
        <is>
          <t>https://tinyurl.com/y9ddpbgn</t>
        </is>
      </c>
      <c r="AS1248" s="314">
        <f>IF(LEFT(C1248,1)=" ",RIGHT(C1248,LEN(C1248)-1),C1248)</f>
        <v/>
      </c>
      <c r="AT1248" s="281">
        <f>_xlfn.CONCAT(B1248,AS1248,D1248,E1248)</f>
        <v/>
      </c>
    </row>
    <row r="1249">
      <c r="A1249" t="inlineStr">
        <is>
          <t>21/22</t>
        </is>
      </c>
      <c r="B1249" t="inlineStr">
        <is>
          <t xml:space="preserve"> Blizzard</t>
        </is>
      </c>
      <c r="C1249" t="inlineStr">
        <is>
          <t>Thunderbird R15 WB</t>
        </is>
      </c>
      <c r="D1249" t="n">
        <v>174</v>
      </c>
      <c r="E1249" t="inlineStr">
        <is>
          <t xml:space="preserve"> Unisex</t>
        </is>
      </c>
      <c r="F1249" t="n">
        <v>174</v>
      </c>
      <c r="G1249" t="n">
        <v>172.9</v>
      </c>
      <c r="H1249" t="n">
        <v>155</v>
      </c>
      <c r="I1249" t="n">
        <v>160</v>
      </c>
      <c r="J1249" t="n">
        <v>125</v>
      </c>
      <c r="K1249" t="n">
        <v>75</v>
      </c>
      <c r="L1249" t="n">
        <v>106</v>
      </c>
      <c r="M1249" t="n">
        <v>15.1</v>
      </c>
      <c r="N1249" t="n">
        <v>2334</v>
      </c>
      <c r="O1249" t="n">
        <v>0.67</v>
      </c>
      <c r="P1249" t="n">
        <v>1555</v>
      </c>
      <c r="Q1249" t="n">
        <v>223</v>
      </c>
      <c r="R1249" t="n">
        <v>143</v>
      </c>
      <c r="S1249" t="n">
        <v>40</v>
      </c>
      <c r="T1249" t="n">
        <v>127</v>
      </c>
      <c r="U1249" t="n">
        <v>6</v>
      </c>
      <c r="V1249" t="n">
        <v>56</v>
      </c>
      <c r="W1249" t="n">
        <v>0.157</v>
      </c>
      <c r="X1249" t="n">
        <v>75</v>
      </c>
      <c r="Y1249" t="n">
        <v>52</v>
      </c>
      <c r="Z1249" t="n">
        <v>52</v>
      </c>
      <c r="AA1249" t="n">
        <v>8</v>
      </c>
      <c r="AB1249" t="n">
        <v>11.4</v>
      </c>
      <c r="AC1249" t="inlineStr">
        <is>
          <t xml:space="preserve"> On-Piste Carving</t>
        </is>
      </c>
      <c r="AG1249" t="inlineStr">
        <is>
          <t>Blizzard Thunderbird R15 WB Ski System with TPX 12 Bindings Men's, 174</t>
        </is>
      </c>
      <c r="AH1249" t="inlineStr">
        <is>
          <t>Ski Country Sports</t>
        </is>
      </c>
      <c r="AI1249" s="333" t="n">
        <v>899.95</v>
      </c>
      <c r="AJ1249" t="inlineStr">
        <is>
          <t>https://tinyurl.com/y75y8oej</t>
        </is>
      </c>
      <c r="AK1249" t="inlineStr">
        <is>
          <t>Blizzard Men's Thunderbird Sport 7.2 Skis with TLT 10 Bindings '22</t>
        </is>
      </c>
      <c r="AL1249" t="inlineStr">
        <is>
          <t>sunandski.com</t>
        </is>
      </c>
      <c r="AM1249" s="333" t="n">
        <v>319.93</v>
      </c>
      <c r="AN1249" t="inlineStr">
        <is>
          <t>https://tinyurl.com/ycy7hkot</t>
        </is>
      </c>
      <c r="AO1249" t="inlineStr">
        <is>
          <t>Blizzard Thunderbird 72 Ski + TLT10 - Winter 2021/2022 174</t>
        </is>
      </c>
      <c r="AP1249" t="inlineStr">
        <is>
          <t>Equipe Sport</t>
        </is>
      </c>
      <c r="AQ1249" s="333" t="n">
        <v>399</v>
      </c>
      <c r="AR1249" t="inlineStr">
        <is>
          <t>https://tinyurl.com/ybfc26ez</t>
        </is>
      </c>
      <c r="AS1249" s="314">
        <f>IF(LEFT(C1249,1)=" ",RIGHT(C1249,LEN(C1249)-1),C1249)</f>
        <v/>
      </c>
      <c r="AT1249" s="281">
        <f>_xlfn.CONCAT(B1249,AS1249,D1249,E1249)</f>
        <v/>
      </c>
    </row>
    <row r="1250">
      <c r="A1250" t="inlineStr">
        <is>
          <t>21/22</t>
        </is>
      </c>
      <c r="B1250" t="inlineStr">
        <is>
          <t xml:space="preserve"> Fischer</t>
        </is>
      </c>
      <c r="C1250" t="inlineStr">
        <is>
          <t>RC4 WC SC</t>
        </is>
      </c>
      <c r="D1250" t="n">
        <v>170</v>
      </c>
      <c r="E1250" t="inlineStr">
        <is>
          <t xml:space="preserve"> Unisex</t>
        </is>
      </c>
      <c r="F1250" t="n">
        <v>170</v>
      </c>
      <c r="G1250" t="n">
        <v>169.2</v>
      </c>
      <c r="H1250" t="n">
        <v>150</v>
      </c>
      <c r="I1250" t="n">
        <v>160</v>
      </c>
      <c r="J1250" t="n">
        <v>121</v>
      </c>
      <c r="K1250" t="n">
        <v>66</v>
      </c>
      <c r="L1250" t="n">
        <v>104</v>
      </c>
      <c r="M1250" t="n">
        <v>13.1</v>
      </c>
      <c r="N1250" t="n">
        <v>2126</v>
      </c>
      <c r="O1250" t="n">
        <v>0.67</v>
      </c>
      <c r="P1250" t="n">
        <v>1419</v>
      </c>
      <c r="Q1250" t="n">
        <v>246</v>
      </c>
      <c r="R1250" t="n">
        <v>166</v>
      </c>
      <c r="S1250" t="n">
        <v>36</v>
      </c>
      <c r="T1250" t="n">
        <v>137</v>
      </c>
      <c r="U1250" t="n">
        <v>4</v>
      </c>
      <c r="V1250" t="n">
        <v>50</v>
      </c>
      <c r="W1250" t="n">
        <v>0.107</v>
      </c>
      <c r="X1250" t="n">
        <v>47</v>
      </c>
      <c r="Y1250" t="n">
        <v>43</v>
      </c>
      <c r="Z1250" t="n">
        <v>91</v>
      </c>
      <c r="AA1250" t="n">
        <v>8</v>
      </c>
      <c r="AB1250" t="n">
        <v>13.1</v>
      </c>
      <c r="AC1250" t="inlineStr">
        <is>
          <t xml:space="preserve"> On-Piste Carving</t>
        </is>
      </c>
      <c r="AG1250" t="inlineStr">
        <is>
          <t>Fischer RC4 WC GS MO-Plate Junior Race Skis 170cm</t>
        </is>
      </c>
      <c r="AH1250" t="inlineStr">
        <is>
          <t>Peak Performance Ski Shop</t>
        </is>
      </c>
      <c r="AI1250" s="333" t="n">
        <v>329.99</v>
      </c>
      <c r="AJ1250" t="inlineStr">
        <is>
          <t>https://tinyurl.com/y85yj87u</t>
        </is>
      </c>
      <c r="AK1250" t="inlineStr">
        <is>
          <t>Fischer RC4 Worldcup SC Pro Black-Yellow 170 Ski Lady's Men</t>
        </is>
      </c>
      <c r="AL1250" t="inlineStr">
        <is>
          <t>! OutdoorXL.com</t>
        </is>
      </c>
      <c r="AM1250" s="333" t="n">
        <v>589.95</v>
      </c>
      <c r="AN1250" t="inlineStr">
        <is>
          <t>https://tinyurl.com/yaopwd9t</t>
        </is>
      </c>
      <c r="AO1250" t="inlineStr">
        <is>
          <t>Fischer RC4 World Cup SC Pro M/o+rc4 Z13 FF Woman 170</t>
        </is>
      </c>
      <c r="AP1250" t="inlineStr">
        <is>
          <t>Snowinn.com</t>
        </is>
      </c>
      <c r="AQ1250" s="333" t="n">
        <v>591.49</v>
      </c>
      <c r="AR1250" t="inlineStr">
        <is>
          <t>https://tinyurl.com/y78tjd3v</t>
        </is>
      </c>
      <c r="AS1250" s="314">
        <f>IF(LEFT(C1250,1)=" ",RIGHT(C1250,LEN(C1250)-1),C1250)</f>
        <v/>
      </c>
      <c r="AT1250" s="281">
        <f>_xlfn.CONCAT(B1250,AS1250,D1250,E1250)</f>
        <v/>
      </c>
    </row>
    <row r="1251">
      <c r="A1251" t="inlineStr">
        <is>
          <t>21/22</t>
        </is>
      </c>
      <c r="B1251" t="inlineStr">
        <is>
          <t xml:space="preserve"> Elan</t>
        </is>
      </c>
      <c r="C1251" t="inlineStr">
        <is>
          <t xml:space="preserve"> Ace SLX</t>
        </is>
      </c>
      <c r="D1251" t="n">
        <v>169</v>
      </c>
      <c r="E1251" t="inlineStr">
        <is>
          <t xml:space="preserve"> Unisex</t>
        </is>
      </c>
      <c r="F1251" t="n">
        <v>169</v>
      </c>
      <c r="G1251" t="n">
        <v>168.1</v>
      </c>
      <c r="H1251" t="n">
        <v>151</v>
      </c>
      <c r="I1251" t="n">
        <v>158</v>
      </c>
      <c r="J1251" t="n">
        <v>121</v>
      </c>
      <c r="K1251" t="n">
        <v>67</v>
      </c>
      <c r="L1251" t="n">
        <v>104</v>
      </c>
      <c r="M1251" t="n">
        <v>13.3</v>
      </c>
      <c r="N1251" t="n">
        <v>2460</v>
      </c>
      <c r="O1251" t="n">
        <v>0.58</v>
      </c>
      <c r="P1251" t="n">
        <v>1418</v>
      </c>
      <c r="Q1251" t="n">
        <v>244</v>
      </c>
      <c r="R1251" t="n">
        <v>136</v>
      </c>
      <c r="S1251" t="n">
        <v>37</v>
      </c>
      <c r="T1251" t="n">
        <v>131</v>
      </c>
      <c r="U1251" t="n">
        <v>3</v>
      </c>
      <c r="V1251" t="n">
        <v>42</v>
      </c>
      <c r="W1251" t="n">
        <v>0.074</v>
      </c>
      <c r="X1251" t="n">
        <v>56</v>
      </c>
      <c r="Y1251" t="n">
        <v>41</v>
      </c>
      <c r="Z1251" t="n">
        <v>75</v>
      </c>
      <c r="AA1251" t="n">
        <v>11</v>
      </c>
      <c r="AB1251" t="n">
        <v>8.6</v>
      </c>
      <c r="AC1251" t="inlineStr">
        <is>
          <t xml:space="preserve"> On-Piste Carving</t>
        </is>
      </c>
      <c r="AG1251" t="inlineStr">
        <is>
          <t>Elan Ace SLX Blue-Green 169 Ski Lady's Men</t>
        </is>
      </c>
      <c r="AH1251" t="inlineStr">
        <is>
          <t>! OutdoorXL.com</t>
        </is>
      </c>
      <c r="AI1251" s="333" t="n">
        <v>659.95</v>
      </c>
      <c r="AJ1251" t="inlineStr">
        <is>
          <t>https://tinyurl.com/y87ppdwx</t>
        </is>
      </c>
      <c r="AS1251" s="314">
        <f>IF(LEFT(C1251,1)=" ",RIGHT(C1251,LEN(C1251)-1),C1251)</f>
        <v/>
      </c>
      <c r="AT1251" s="281">
        <f>_xlfn.CONCAT(B1251,AS1251,D1251,E1251)</f>
        <v/>
      </c>
    </row>
    <row r="1252">
      <c r="A1252" t="inlineStr">
        <is>
          <t>21/22</t>
        </is>
      </c>
      <c r="B1252" t="inlineStr">
        <is>
          <t>K2</t>
        </is>
      </c>
      <c r="C1252" t="inlineStr">
        <is>
          <t>Disruption 78 Ti</t>
        </is>
      </c>
      <c r="D1252" t="n">
        <v>177</v>
      </c>
      <c r="E1252" t="inlineStr">
        <is>
          <t xml:space="preserve"> Unisex</t>
        </is>
      </c>
      <c r="F1252" t="n">
        <v>177</v>
      </c>
      <c r="G1252" t="n">
        <v>177.5</v>
      </c>
      <c r="H1252" t="n">
        <v>154</v>
      </c>
      <c r="I1252" t="n">
        <v>165</v>
      </c>
      <c r="J1252" t="n">
        <v>123</v>
      </c>
      <c r="K1252" t="n">
        <v>78</v>
      </c>
      <c r="L1252" t="n">
        <v>109</v>
      </c>
      <c r="M1252" t="n">
        <v>17.7</v>
      </c>
      <c r="N1252" t="n">
        <v>2146</v>
      </c>
      <c r="O1252" t="n">
        <v>0.76</v>
      </c>
      <c r="P1252" t="n">
        <v>1624</v>
      </c>
      <c r="Q1252" t="n">
        <v>249</v>
      </c>
      <c r="R1252" t="n">
        <v>174</v>
      </c>
      <c r="S1252" t="n">
        <v>35</v>
      </c>
      <c r="T1252" t="n">
        <v>166</v>
      </c>
      <c r="U1252" t="n">
        <v>7</v>
      </c>
      <c r="V1252" t="n">
        <v>73</v>
      </c>
      <c r="W1252" t="n">
        <v>0.204</v>
      </c>
      <c r="X1252" t="n">
        <v>81</v>
      </c>
      <c r="Y1252" t="n">
        <v>43</v>
      </c>
      <c r="Z1252" t="n">
        <v>85</v>
      </c>
      <c r="AA1252" t="n">
        <v>9</v>
      </c>
      <c r="AB1252" t="n">
        <v>10.1</v>
      </c>
      <c r="AC1252" t="inlineStr">
        <is>
          <t xml:space="preserve"> On-Piste Carving</t>
        </is>
      </c>
      <c r="AG1252" t="inlineStr">
        <is>
          <t>K2 Disruption 78 Ti + TCX 12 21/22</t>
        </is>
      </c>
      <c r="AH1252" t="inlineStr">
        <is>
          <t>Snowcountry.eu</t>
        </is>
      </c>
      <c r="AI1252" s="333" t="n">
        <v>453.51</v>
      </c>
      <c r="AJ1252" t="inlineStr">
        <is>
          <t>https://tinyurl.com/y8q73x6s</t>
        </is>
      </c>
      <c r="AK1252" t="inlineStr">
        <is>
          <t>K2 Disruption 78 Ti + TCX 12 21/22</t>
        </is>
      </c>
      <c r="AL1252" t="inlineStr">
        <is>
          <t>Aspen Ski and Board</t>
        </is>
      </c>
      <c r="AM1252" s="333" t="n">
        <v>639.95</v>
      </c>
      <c r="AN1252" t="inlineStr">
        <is>
          <t>https://tinyurl.com/y6w6gtlw</t>
        </is>
      </c>
      <c r="AO1252" t="inlineStr">
        <is>
          <t>K2 Disruption 78 Ti + TCX 12 21/22</t>
        </is>
      </c>
      <c r="AP1252" t="inlineStr">
        <is>
          <t>Surfdome US</t>
        </is>
      </c>
      <c r="AQ1252" s="333" t="n">
        <v>750.95</v>
      </c>
      <c r="AR1252" t="inlineStr">
        <is>
          <t>https://tinyurl.com/y76ysgso</t>
        </is>
      </c>
      <c r="AS1252" s="314">
        <f>IF(LEFT(C1252,1)=" ",RIGHT(C1252,LEN(C1252)-1),C1252)</f>
        <v/>
      </c>
      <c r="AT1252" s="281">
        <f>_xlfn.CONCAT(B1252,AS1252,D1252,E1252)</f>
        <v/>
      </c>
    </row>
    <row r="1253">
      <c r="A1253" t="inlineStr">
        <is>
          <t>21/22</t>
        </is>
      </c>
      <c r="B1253" t="inlineStr">
        <is>
          <t>K2</t>
        </is>
      </c>
      <c r="C1253" t="inlineStr">
        <is>
          <t>Disruption 82 Ti</t>
        </is>
      </c>
      <c r="D1253" t="n">
        <v>177</v>
      </c>
      <c r="E1253" t="inlineStr">
        <is>
          <t xml:space="preserve"> Unisex</t>
        </is>
      </c>
      <c r="F1253" t="n">
        <v>177</v>
      </c>
      <c r="G1253" t="n">
        <v>177.6</v>
      </c>
      <c r="H1253" t="n">
        <v>147</v>
      </c>
      <c r="I1253" t="n">
        <v>165</v>
      </c>
      <c r="J1253" t="n">
        <v>124</v>
      </c>
      <c r="K1253" t="n">
        <v>81</v>
      </c>
      <c r="L1253" t="n">
        <v>111</v>
      </c>
      <c r="M1253" t="n">
        <v>18.4</v>
      </c>
      <c r="N1253" t="n">
        <v>2209</v>
      </c>
      <c r="O1253" t="n">
        <v>0.76</v>
      </c>
      <c r="P1253" t="n">
        <v>1678</v>
      </c>
      <c r="Q1253" t="n">
        <v>258</v>
      </c>
      <c r="R1253" t="n">
        <v>188</v>
      </c>
      <c r="S1253" t="n">
        <v>34</v>
      </c>
      <c r="T1253" t="n">
        <v>176</v>
      </c>
      <c r="U1253" t="n">
        <v>9</v>
      </c>
      <c r="V1253" t="n">
        <v>128</v>
      </c>
      <c r="W1253" t="n">
        <v>0.253</v>
      </c>
      <c r="X1253" t="n">
        <v>81</v>
      </c>
      <c r="Y1253" t="n">
        <v>44</v>
      </c>
      <c r="Z1253" t="n">
        <v>95</v>
      </c>
      <c r="AA1253" t="n">
        <v>8</v>
      </c>
      <c r="AB1253" t="n">
        <v>11.5</v>
      </c>
      <c r="AC1253" t="inlineStr">
        <is>
          <t xml:space="preserve"> Resort Freeride</t>
        </is>
      </c>
      <c r="AG1253" t="inlineStr">
        <is>
          <t>K2 Disruption 82 Ti MXCELL 12 TCX Quikclik Set - Black 177</t>
        </is>
      </c>
      <c r="AH1253" t="inlineStr">
        <is>
          <t>Snowinn.com</t>
        </is>
      </c>
      <c r="AI1253" s="333" t="n">
        <v>652.99</v>
      </c>
      <c r="AJ1253" t="inlineStr">
        <is>
          <t>https://tinyurl.com/yazkkdvu</t>
        </is>
      </c>
      <c r="AK1253" t="inlineStr">
        <is>
          <t>K2 Disruption 78 Ti + TCX 12 21/22</t>
        </is>
      </c>
      <c r="AL1253" t="inlineStr">
        <is>
          <t>Snowcountry.eu</t>
        </is>
      </c>
      <c r="AM1253" s="333" t="n">
        <v>453.51</v>
      </c>
      <c r="AN1253" t="inlineStr">
        <is>
          <t>https://tinyurl.com/y78h6tqh</t>
        </is>
      </c>
      <c r="AO1253" t="inlineStr">
        <is>
          <t>K2 Disruption 78 Ti + TCX 12 21/22</t>
        </is>
      </c>
      <c r="AP1253" t="inlineStr">
        <is>
          <t>Aspen Ski and Board</t>
        </is>
      </c>
      <c r="AQ1253" s="333" t="n">
        <v>639.95</v>
      </c>
      <c r="AR1253" t="inlineStr">
        <is>
          <t>https://tinyurl.com/yacrkuvc</t>
        </is>
      </c>
      <c r="AS1253" s="314">
        <f>IF(LEFT(C1253,1)=" ",RIGHT(C1253,LEN(C1253)-1),C1253)</f>
        <v/>
      </c>
      <c r="AT1253" s="281">
        <f>_xlfn.CONCAT(B1253,AS1253,D1253,E1253)</f>
        <v/>
      </c>
    </row>
    <row r="1254">
      <c r="A1254" t="inlineStr">
        <is>
          <t>21/22</t>
        </is>
      </c>
      <c r="B1254" t="inlineStr">
        <is>
          <t>K2</t>
        </is>
      </c>
      <c r="C1254" t="inlineStr">
        <is>
          <t xml:space="preserve"> Disruption Mti</t>
        </is>
      </c>
      <c r="D1254" t="n">
        <v>175</v>
      </c>
      <c r="E1254" t="inlineStr">
        <is>
          <t xml:space="preserve"> Unisex</t>
        </is>
      </c>
      <c r="F1254" t="n">
        <v>175</v>
      </c>
      <c r="G1254" t="n">
        <v>175.6</v>
      </c>
      <c r="H1254" t="n">
        <v>160</v>
      </c>
      <c r="I1254" t="n">
        <v>165</v>
      </c>
      <c r="J1254" t="n">
        <v>118</v>
      </c>
      <c r="K1254" t="n">
        <v>73</v>
      </c>
      <c r="L1254" t="n">
        <v>103</v>
      </c>
      <c r="M1254" t="n">
        <v>18</v>
      </c>
      <c r="N1254" t="n">
        <v>2280</v>
      </c>
      <c r="O1254" t="n">
        <v>0.67</v>
      </c>
      <c r="P1254" t="n">
        <v>1528</v>
      </c>
      <c r="Q1254" t="n">
        <v>230</v>
      </c>
      <c r="R1254" t="n">
        <v>153</v>
      </c>
      <c r="S1254" t="n">
        <v>24</v>
      </c>
      <c r="T1254" t="n">
        <v>110</v>
      </c>
      <c r="U1254" t="n">
        <v>3</v>
      </c>
      <c r="V1254" t="n">
        <v>43</v>
      </c>
      <c r="W1254" t="n">
        <v>0.125</v>
      </c>
      <c r="X1254" t="n">
        <v>73</v>
      </c>
      <c r="Y1254" t="n">
        <v>30</v>
      </c>
      <c r="Z1254" t="n">
        <v>37</v>
      </c>
      <c r="AA1254" t="n">
        <v>12</v>
      </c>
      <c r="AB1254" t="n">
        <v>12.7</v>
      </c>
      <c r="AC1254" t="inlineStr">
        <is>
          <t xml:space="preserve"> On-Piste Carving</t>
        </is>
      </c>
      <c r="AG1254" t="inlineStr">
        <is>
          <t>K2 Disruption MTI +TCx 12 21/22</t>
        </is>
      </c>
      <c r="AH1254" t="inlineStr">
        <is>
          <t>Snowcountry.eu</t>
        </is>
      </c>
      <c r="AI1254" s="333" t="n">
        <v>453.51</v>
      </c>
      <c r="AJ1254" t="inlineStr">
        <is>
          <t>https://tinyurl.com/y9zoggrw</t>
        </is>
      </c>
      <c r="AK1254" t="inlineStr">
        <is>
          <t>K2 Disruption MTI Black-Beige 175 Ski Men</t>
        </is>
      </c>
      <c r="AL1254" t="inlineStr">
        <is>
          <t>! OutdoorXL.com</t>
        </is>
      </c>
      <c r="AM1254" s="333" t="n">
        <v>824.95</v>
      </c>
      <c r="AN1254" t="inlineStr">
        <is>
          <t>https://tinyurl.com/y8ua4w2o</t>
        </is>
      </c>
      <c r="AO1254" t="inlineStr">
        <is>
          <t>K2 Disruption MTi Skis 2022 - Size: 175</t>
        </is>
      </c>
      <c r="AP1254" t="inlineStr">
        <is>
          <t>K2 Snow</t>
        </is>
      </c>
      <c r="AQ1254" s="333" t="n">
        <v>899.95</v>
      </c>
      <c r="AR1254" t="inlineStr">
        <is>
          <t>https://tinyurl.com/ycskrjw4</t>
        </is>
      </c>
      <c r="AS1254" s="314">
        <f>IF(LEFT(C1254,1)=" ",RIGHT(C1254,LEN(C1254)-1),C1254)</f>
        <v/>
      </c>
      <c r="AT1254" s="281">
        <f>_xlfn.CONCAT(B1254,AS1254,D1254,E1254)</f>
        <v/>
      </c>
    </row>
    <row r="1255">
      <c r="A1255" t="inlineStr">
        <is>
          <t>21/22</t>
        </is>
      </c>
      <c r="B1255" t="inlineStr">
        <is>
          <t xml:space="preserve"> Raccoon</t>
        </is>
      </c>
      <c r="C1255" t="inlineStr">
        <is>
          <t xml:space="preserve"> Le Nomade Ti</t>
        </is>
      </c>
      <c r="D1255" t="n">
        <v>178</v>
      </c>
      <c r="E1255" t="inlineStr">
        <is>
          <t xml:space="preserve"> Unisex</t>
        </is>
      </c>
      <c r="F1255" t="n">
        <v>178</v>
      </c>
      <c r="G1255" t="n">
        <v>177.3</v>
      </c>
      <c r="H1255" t="n">
        <v>147</v>
      </c>
      <c r="I1255" t="n">
        <v>165</v>
      </c>
      <c r="J1255" t="n">
        <v>136</v>
      </c>
      <c r="K1255" t="n">
        <v>89</v>
      </c>
      <c r="L1255" t="n">
        <v>124</v>
      </c>
      <c r="M1255" t="n">
        <v>16</v>
      </c>
      <c r="N1255" t="n">
        <v>2110</v>
      </c>
      <c r="O1255" t="n">
        <v>0.87</v>
      </c>
      <c r="P1255" t="n">
        <v>1838</v>
      </c>
      <c r="Q1255" t="n">
        <v>273</v>
      </c>
      <c r="R1255" t="n">
        <v>201</v>
      </c>
      <c r="S1255" t="n">
        <v>51</v>
      </c>
      <c r="T1255" t="n">
        <v>221</v>
      </c>
      <c r="U1255" t="n">
        <v>9</v>
      </c>
      <c r="V1255" t="n">
        <v>82</v>
      </c>
      <c r="W1255" t="n">
        <v>0.183</v>
      </c>
      <c r="X1255" t="n">
        <v>62</v>
      </c>
      <c r="Y1255" t="n">
        <v>58</v>
      </c>
      <c r="Z1255" t="n">
        <v>159</v>
      </c>
      <c r="AA1255" t="n">
        <v>8</v>
      </c>
      <c r="AB1255" t="n">
        <v>13.2</v>
      </c>
      <c r="AC1255" t="inlineStr">
        <is>
          <t xml:space="preserve"> Resort Freeride</t>
        </is>
      </c>
      <c r="AS1255" s="314">
        <f>IF(LEFT(C1255,1)=" ",RIGHT(C1255,LEN(C1255)-1),C1255)</f>
        <v/>
      </c>
      <c r="AT1255" s="281">
        <f>_xlfn.CONCAT(B1255,AS1255,D1255,E1255)</f>
        <v/>
      </c>
    </row>
    <row r="1256">
      <c r="A1256" t="inlineStr">
        <is>
          <t>21/22</t>
        </is>
      </c>
      <c r="B1256" t="inlineStr">
        <is>
          <t xml:space="preserve"> Nordica</t>
        </is>
      </c>
      <c r="C1256" t="inlineStr">
        <is>
          <t>Enforcer 104 Free</t>
        </is>
      </c>
      <c r="D1256" t="n">
        <v>191</v>
      </c>
      <c r="E1256" t="inlineStr">
        <is>
          <t xml:space="preserve"> Unisex</t>
        </is>
      </c>
      <c r="F1256" t="n">
        <v>191</v>
      </c>
      <c r="G1256" t="n">
        <v>189.9</v>
      </c>
      <c r="H1256" t="n">
        <v>132</v>
      </c>
      <c r="I1256" t="n">
        <v>158</v>
      </c>
      <c r="J1256" t="n">
        <v>135</v>
      </c>
      <c r="K1256" t="n">
        <v>103</v>
      </c>
      <c r="L1256" t="n">
        <v>126</v>
      </c>
      <c r="M1256" t="n">
        <v>19.8</v>
      </c>
      <c r="N1256" t="n">
        <v>2364</v>
      </c>
      <c r="O1256" t="n">
        <v>0.92</v>
      </c>
      <c r="P1256" t="n">
        <v>2165</v>
      </c>
      <c r="Q1256" t="n">
        <v>274</v>
      </c>
      <c r="R1256" t="n">
        <v>182</v>
      </c>
      <c r="S1256" t="n">
        <v>62</v>
      </c>
      <c r="T1256" t="n">
        <v>328</v>
      </c>
      <c r="U1256" t="n">
        <v>35</v>
      </c>
      <c r="V1256" t="n">
        <v>247</v>
      </c>
      <c r="W1256" t="n">
        <v>0.5659999999999999</v>
      </c>
      <c r="X1256" t="n">
        <v>167</v>
      </c>
      <c r="Y1256" t="n">
        <v>155</v>
      </c>
      <c r="Z1256" t="n">
        <v>160</v>
      </c>
      <c r="AA1256" t="n">
        <v>10</v>
      </c>
      <c r="AB1256" t="n">
        <v>9.1</v>
      </c>
      <c r="AC1256" t="inlineStr">
        <is>
          <t xml:space="preserve"> Resort Freeride</t>
        </is>
      </c>
      <c r="AD1256" t="inlineStr">
        <is>
          <t xml:space="preserve"> Powder</t>
        </is>
      </c>
      <c r="AG1256" t="inlineStr">
        <is>
          <t>Nordica Enforcer 104 Free Skis 2022</t>
        </is>
      </c>
      <c r="AH1256" t="inlineStr">
        <is>
          <t>BlueZone Sports</t>
        </is>
      </c>
      <c r="AI1256" s="333" t="n">
        <v>599.99</v>
      </c>
      <c r="AJ1256" t="inlineStr">
        <is>
          <t>https://tinyurl.com/y93obo7x</t>
        </is>
      </c>
      <c r="AK1256" t="inlineStr">
        <is>
          <t>Nordica Enforcer 104 Free Skis 2022</t>
        </is>
      </c>
      <c r="AL1256" t="inlineStr">
        <is>
          <t>Ski Town All-Stars</t>
        </is>
      </c>
      <c r="AM1256" s="333" t="n">
        <v>639.99</v>
      </c>
      <c r="AN1256" t="inlineStr">
        <is>
          <t>https://tinyurl.com/ycqg3bjn</t>
        </is>
      </c>
      <c r="AO1256" t="inlineStr">
        <is>
          <t>Nordica Enforcer 104 Free Skis</t>
        </is>
      </c>
      <c r="AP1256" t="inlineStr">
        <is>
          <t>Cole Sport</t>
        </is>
      </c>
      <c r="AQ1256" s="333" t="n">
        <v>639.99</v>
      </c>
      <c r="AR1256" t="inlineStr">
        <is>
          <t>https://tinyurl.com/ycg6zuq2</t>
        </is>
      </c>
      <c r="AS1256" s="314">
        <f>IF(LEFT(C1256,1)=" ",RIGHT(C1256,LEN(C1256)-1),C1256)</f>
        <v/>
      </c>
      <c r="AT1256" s="281">
        <f>_xlfn.CONCAT(B1256,AS1256,D1256,E1256)</f>
        <v/>
      </c>
    </row>
    <row r="1257">
      <c r="A1257" t="inlineStr">
        <is>
          <t>21/22</t>
        </is>
      </c>
      <c r="B1257" t="inlineStr">
        <is>
          <t>K2</t>
        </is>
      </c>
      <c r="C1257" t="inlineStr">
        <is>
          <t>Mindbender 99 Ti</t>
        </is>
      </c>
      <c r="D1257" t="n">
        <v>191</v>
      </c>
      <c r="E1257" t="inlineStr">
        <is>
          <t xml:space="preserve"> Unisex</t>
        </is>
      </c>
      <c r="F1257" t="n">
        <v>191</v>
      </c>
      <c r="G1257" t="n">
        <v>190.8</v>
      </c>
      <c r="H1257" t="n">
        <v>143</v>
      </c>
      <c r="I1257" t="n">
        <v>163</v>
      </c>
      <c r="J1257" t="n">
        <v>137</v>
      </c>
      <c r="K1257" t="n">
        <v>98</v>
      </c>
      <c r="L1257" t="n">
        <v>122</v>
      </c>
      <c r="M1257" t="n">
        <v>20.8</v>
      </c>
      <c r="N1257" t="n">
        <v>2358</v>
      </c>
      <c r="O1257" t="n">
        <v>0.89</v>
      </c>
      <c r="P1257" t="n">
        <v>2098</v>
      </c>
      <c r="Q1257" t="n">
        <v>314</v>
      </c>
      <c r="R1257" t="n">
        <v>180</v>
      </c>
      <c r="S1257" t="n">
        <v>53</v>
      </c>
      <c r="T1257" t="n">
        <v>301</v>
      </c>
      <c r="U1257" t="n">
        <v>17</v>
      </c>
      <c r="V1257" t="n">
        <v>182</v>
      </c>
      <c r="W1257" t="n">
        <v>0.324</v>
      </c>
      <c r="X1257" t="n">
        <v>151</v>
      </c>
      <c r="Y1257" t="n">
        <v>123</v>
      </c>
      <c r="Z1257" t="n">
        <v>149</v>
      </c>
      <c r="AA1257" t="n">
        <v>8</v>
      </c>
      <c r="AB1257" t="n">
        <v>12</v>
      </c>
      <c r="AC1257" t="inlineStr">
        <is>
          <t xml:space="preserve"> Resort Freeride</t>
        </is>
      </c>
      <c r="AG1257" t="inlineStr">
        <is>
          <t>K2 Mindbender 99Ti Skis</t>
        </is>
      </c>
      <c r="AH1257" t="inlineStr">
        <is>
          <t>PRFO Sports</t>
        </is>
      </c>
      <c r="AI1257" s="333" t="n">
        <v>448.8</v>
      </c>
      <c r="AJ1257" t="inlineStr">
        <is>
          <t>https://tinyurl.com/yd6gqv4e</t>
        </is>
      </c>
      <c r="AK1257" t="inlineStr">
        <is>
          <t>K2 Mindbender 99Ti Skis</t>
        </is>
      </c>
      <c r="AL1257" t="inlineStr">
        <is>
          <t>Snowcountry.eu</t>
        </is>
      </c>
      <c r="AM1257" s="333" t="n">
        <v>450.74</v>
      </c>
      <c r="AN1257" t="inlineStr">
        <is>
          <t>https://tinyurl.com/y8oy897l</t>
        </is>
      </c>
      <c r="AO1257" t="inlineStr">
        <is>
          <t>K2 Mindbender 99Ti Skis</t>
        </is>
      </c>
      <c r="AP1257" t="inlineStr">
        <is>
          <t>Sports Basement</t>
        </is>
      </c>
      <c r="AQ1257" s="333" t="n">
        <v>699.95</v>
      </c>
      <c r="AR1257" t="inlineStr">
        <is>
          <t>https://tinyurl.com/yb2ydbgo</t>
        </is>
      </c>
      <c r="AS1257" s="314">
        <f>IF(LEFT(C1257,1)=" ",RIGHT(C1257,LEN(C1257)-1),C1257)</f>
        <v/>
      </c>
      <c r="AT1257" s="281">
        <f>_xlfn.CONCAT(B1257,AS1257,D1257,E1257)</f>
        <v/>
      </c>
    </row>
    <row r="1258">
      <c r="A1258" t="inlineStr">
        <is>
          <t>21/22</t>
        </is>
      </c>
      <c r="B1258" t="inlineStr">
        <is>
          <t>K2</t>
        </is>
      </c>
      <c r="C1258" t="inlineStr">
        <is>
          <t>Mindbender 108 Ti</t>
        </is>
      </c>
      <c r="D1258" t="n">
        <v>193</v>
      </c>
      <c r="E1258" t="inlineStr">
        <is>
          <t xml:space="preserve"> Unisex</t>
        </is>
      </c>
      <c r="F1258" t="n">
        <v>193</v>
      </c>
      <c r="G1258" t="n">
        <v>193</v>
      </c>
      <c r="H1258" t="n">
        <v>123</v>
      </c>
      <c r="I1258" t="n">
        <v>156</v>
      </c>
      <c r="J1258" t="n">
        <v>136</v>
      </c>
      <c r="K1258" t="n">
        <v>107</v>
      </c>
      <c r="L1258" t="n">
        <v>125</v>
      </c>
      <c r="M1258" t="n">
        <v>24.9</v>
      </c>
      <c r="N1258" t="n">
        <v>2265</v>
      </c>
      <c r="O1258" t="n">
        <v>0.99</v>
      </c>
      <c r="P1258" t="n">
        <v>2238</v>
      </c>
      <c r="Q1258" t="n">
        <v>280</v>
      </c>
      <c r="R1258" t="n">
        <v>196</v>
      </c>
      <c r="S1258" t="n">
        <v>48</v>
      </c>
      <c r="T1258" t="n">
        <v>399</v>
      </c>
      <c r="U1258" t="n">
        <v>24</v>
      </c>
      <c r="V1258" t="n">
        <v>302</v>
      </c>
      <c r="W1258" t="n">
        <v>0.491</v>
      </c>
      <c r="X1258" t="n">
        <v>181</v>
      </c>
      <c r="Y1258" t="n">
        <v>184</v>
      </c>
      <c r="Z1258" t="n">
        <v>217</v>
      </c>
      <c r="AA1258" t="n">
        <v>6</v>
      </c>
      <c r="AB1258" t="n">
        <v>11</v>
      </c>
      <c r="AC1258" t="inlineStr">
        <is>
          <t xml:space="preserve"> Powder</t>
        </is>
      </c>
      <c r="AG1258" t="inlineStr">
        <is>
          <t>Mindbender 108 Ti Griffon 13 Id Set Black</t>
        </is>
      </c>
      <c r="AH1258" t="inlineStr">
        <is>
          <t>Bobleisure</t>
        </is>
      </c>
      <c r="AI1258" s="333" t="n">
        <v>1035.95</v>
      </c>
      <c r="AJ1258" t="inlineStr">
        <is>
          <t>https://tinyurl.com/yampeojs</t>
        </is>
      </c>
      <c r="AK1258" t="inlineStr">
        <is>
          <t>K2 Mindbender 116C Skis - 2022 - 193cm</t>
        </is>
      </c>
      <c r="AL1258" t="inlineStr">
        <is>
          <t>Snowcountry.eu</t>
        </is>
      </c>
      <c r="AM1258" s="333" t="n">
        <v>423.09</v>
      </c>
      <c r="AN1258" t="inlineStr">
        <is>
          <t>https://tinyurl.com/y9lfmmj2</t>
        </is>
      </c>
      <c r="AO1258" t="inlineStr">
        <is>
          <t>K2 Mindbender 108Ti Skis Men's 2022</t>
        </is>
      </c>
      <c r="AP1258" t="inlineStr">
        <is>
          <t>Surfdome US</t>
        </is>
      </c>
      <c r="AQ1258" s="333" t="n">
        <v>461.45</v>
      </c>
      <c r="AR1258" t="inlineStr">
        <is>
          <t>https://tinyurl.com/yc92chqx</t>
        </is>
      </c>
      <c r="AS1258" s="314">
        <f>IF(LEFT(C1258,1)=" ",RIGHT(C1258,LEN(C1258)-1),C1258)</f>
        <v/>
      </c>
      <c r="AT1258" s="281">
        <f>_xlfn.CONCAT(B1258,AS1258,D1258,E1258)</f>
        <v/>
      </c>
    </row>
    <row r="1259">
      <c r="A1259" t="inlineStr">
        <is>
          <t>21/22</t>
        </is>
      </c>
      <c r="B1259" t="inlineStr">
        <is>
          <t xml:space="preserve"> Head</t>
        </is>
      </c>
      <c r="C1259" t="inlineStr">
        <is>
          <t>Kore 111</t>
        </is>
      </c>
      <c r="D1259" t="n">
        <v>191</v>
      </c>
      <c r="E1259" t="inlineStr">
        <is>
          <t xml:space="preserve"> Unisex</t>
        </is>
      </c>
      <c r="F1259" t="n">
        <v>191</v>
      </c>
      <c r="G1259" t="n">
        <v>190.2</v>
      </c>
      <c r="H1259" t="n">
        <v>138</v>
      </c>
      <c r="I1259" t="n">
        <v>153</v>
      </c>
      <c r="J1259" t="n">
        <v>142</v>
      </c>
      <c r="K1259" t="n">
        <v>112</v>
      </c>
      <c r="L1259" t="n">
        <v>128</v>
      </c>
      <c r="M1259" t="n">
        <v>23.7</v>
      </c>
      <c r="N1259" t="n">
        <v>1946</v>
      </c>
      <c r="O1259" t="n">
        <v>1.19</v>
      </c>
      <c r="P1259" t="n">
        <v>2317</v>
      </c>
      <c r="Q1259" t="n">
        <v>324</v>
      </c>
      <c r="R1259" t="n">
        <v>176</v>
      </c>
      <c r="S1259" t="n">
        <v>56</v>
      </c>
      <c r="T1259" t="n">
        <v>269</v>
      </c>
      <c r="U1259" t="n">
        <v>20</v>
      </c>
      <c r="V1259" t="n">
        <v>255</v>
      </c>
      <c r="W1259" t="n">
        <v>0.365</v>
      </c>
      <c r="X1259" t="n">
        <v>230</v>
      </c>
      <c r="Y1259" t="n">
        <v>142</v>
      </c>
      <c r="Z1259" t="n">
        <v>39</v>
      </c>
      <c r="AA1259" t="n">
        <v>8</v>
      </c>
      <c r="AB1259" t="n">
        <v>9.9</v>
      </c>
      <c r="AC1259" t="inlineStr">
        <is>
          <t xml:space="preserve"> Powder</t>
        </is>
      </c>
      <c r="AD1259" t="inlineStr">
        <is>
          <t xml:space="preserve"> Big Mountain</t>
        </is>
      </c>
      <c r="AE1259" t="inlineStr">
        <is>
          <t xml:space="preserve"> Touring</t>
        </is>
      </c>
      <c r="AG1259" t="inlineStr">
        <is>
          <t>Head Kore 111 Skis - 2022</t>
        </is>
      </c>
      <c r="AH1259" t="inlineStr">
        <is>
          <t>! OutdoorXL.com</t>
        </is>
      </c>
      <c r="AI1259" s="333" t="n">
        <v>424.95</v>
      </c>
      <c r="AJ1259" t="inlineStr">
        <is>
          <t>https://tinyurl.com/y9aw2ro6</t>
        </is>
      </c>
      <c r="AK1259" t="inlineStr">
        <is>
          <t>Head Kore 111 Anth/Bl / 191cm</t>
        </is>
      </c>
      <c r="AL1259" t="inlineStr">
        <is>
          <t>Sundance Ski and Board Shop</t>
        </is>
      </c>
      <c r="AM1259" s="333" t="n">
        <v>544.98</v>
      </c>
      <c r="AN1259" t="inlineStr">
        <is>
          <t>https://tinyurl.com/ybf96c2n</t>
        </is>
      </c>
      <c r="AO1259" t="inlineStr">
        <is>
          <t>Head Kore 111 Skis - 2022</t>
        </is>
      </c>
      <c r="AP1259" t="inlineStr">
        <is>
          <t>Powder7 Ski Shop</t>
        </is>
      </c>
      <c r="AQ1259" s="333" t="n">
        <v>549.9299999999999</v>
      </c>
      <c r="AR1259" t="inlineStr">
        <is>
          <t>https://tinyurl.com/y7dhauje</t>
        </is>
      </c>
      <c r="AS1259" s="314">
        <f>IF(LEFT(C1259,1)=" ",RIGHT(C1259,LEN(C1259)-1),C1259)</f>
        <v/>
      </c>
      <c r="AT1259" s="281">
        <f>_xlfn.CONCAT(B1259,AS1259,D1259,E1259)</f>
        <v/>
      </c>
    </row>
    <row r="1260">
      <c r="A1260" t="inlineStr">
        <is>
          <t>21/22</t>
        </is>
      </c>
      <c r="B1260" t="inlineStr">
        <is>
          <t xml:space="preserve"> Rossignol</t>
        </is>
      </c>
      <c r="C1260" t="inlineStr">
        <is>
          <t>Hero Master M19 (R22)</t>
        </is>
      </c>
      <c r="D1260" t="n">
        <v>179</v>
      </c>
      <c r="E1260" t="inlineStr">
        <is>
          <t xml:space="preserve"> Unisex</t>
        </is>
      </c>
      <c r="F1260" t="n">
        <v>179</v>
      </c>
      <c r="G1260" t="n">
        <v>177.8</v>
      </c>
      <c r="H1260" t="n">
        <v>160</v>
      </c>
      <c r="I1260" t="n">
        <v>171</v>
      </c>
      <c r="J1260" t="n">
        <v>114</v>
      </c>
      <c r="K1260" t="n">
        <v>69</v>
      </c>
      <c r="L1260" t="n">
        <v>96</v>
      </c>
      <c r="M1260" t="n">
        <v>20.2</v>
      </c>
      <c r="N1260" t="n">
        <v>2241</v>
      </c>
      <c r="O1260" t="n">
        <v>0.65</v>
      </c>
      <c r="P1260" t="n">
        <v>1447</v>
      </c>
      <c r="Q1260" t="n">
        <v>271</v>
      </c>
      <c r="R1260" t="n">
        <v>164</v>
      </c>
      <c r="S1260" t="n">
        <v>31</v>
      </c>
      <c r="T1260" t="n">
        <v>121</v>
      </c>
      <c r="U1260" t="n">
        <v>5</v>
      </c>
      <c r="V1260" t="n">
        <v>58</v>
      </c>
      <c r="W1260" t="n">
        <v>0.156</v>
      </c>
      <c r="X1260" t="n">
        <v>30</v>
      </c>
      <c r="Y1260" t="n">
        <v>35</v>
      </c>
      <c r="Z1260" t="n">
        <v>91</v>
      </c>
      <c r="AA1260" t="n">
        <v>10</v>
      </c>
      <c r="AB1260" t="n">
        <v>8.800000000000001</v>
      </c>
      <c r="AC1260" t="inlineStr">
        <is>
          <t xml:space="preserve"> On-Piste Carving</t>
        </is>
      </c>
      <c r="AG1260" t="inlineStr">
        <is>
          <t>Rossignol Hero Master (R22) 179cm</t>
        </is>
      </c>
      <c r="AH1260" t="inlineStr">
        <is>
          <t>Sundance Ski and Board Shop</t>
        </is>
      </c>
      <c r="AI1260" s="333" t="n">
        <v>641.15</v>
      </c>
      <c r="AJ1260" t="inlineStr">
        <is>
          <t>https://tinyurl.com/y88ngcya</t>
        </is>
      </c>
      <c r="AK1260" t="inlineStr">
        <is>
          <t>Rossignol Hero Master LT + SPX15 Rockerace Forza 22/23</t>
        </is>
      </c>
      <c r="AL1260" t="inlineStr">
        <is>
          <t>Snowcountry.eu</t>
        </is>
      </c>
      <c r="AM1260" s="333" t="n">
        <v>1106.08</v>
      </c>
      <c r="AN1260" t="inlineStr">
        <is>
          <t>https://tinyurl.com/ya9je2pv</t>
        </is>
      </c>
      <c r="AO1260" t="inlineStr">
        <is>
          <t>Rossignol Unisex Racing Skis Hero Master Â· 179 cm</t>
        </is>
      </c>
      <c r="AP1260" t="inlineStr">
        <is>
          <t>Suburban Ski and Bike</t>
        </is>
      </c>
      <c r="AQ1260" s="333" t="n">
        <v>899.95</v>
      </c>
      <c r="AR1260" t="inlineStr">
        <is>
          <t>https://tinyurl.com/ybat64qo</t>
        </is>
      </c>
      <c r="AS1260" s="314">
        <f>IF(LEFT(C1260,1)=" ",RIGHT(C1260,LEN(C1260)-1),C1260)</f>
        <v/>
      </c>
      <c r="AT1260" s="281">
        <f>_xlfn.CONCAT(B1260,AS1260,D1260,E1260)</f>
        <v/>
      </c>
    </row>
    <row r="1261">
      <c r="A1261" t="inlineStr">
        <is>
          <t>21/22</t>
        </is>
      </c>
      <c r="B1261" t="inlineStr">
        <is>
          <t xml:space="preserve"> Blizzard</t>
        </is>
      </c>
      <c r="C1261" t="inlineStr">
        <is>
          <t xml:space="preserve"> Spur</t>
        </is>
      </c>
      <c r="D1261" t="n">
        <v>189</v>
      </c>
      <c r="E1261" t="inlineStr">
        <is>
          <t xml:space="preserve"> Unisex</t>
        </is>
      </c>
      <c r="F1261" t="n">
        <v>189</v>
      </c>
      <c r="G1261" t="n">
        <v>188.3</v>
      </c>
      <c r="H1261" t="n">
        <v>131</v>
      </c>
      <c r="I1261" t="n">
        <v>137</v>
      </c>
      <c r="J1261" t="n">
        <v>148</v>
      </c>
      <c r="K1261" t="n">
        <v>127</v>
      </c>
      <c r="L1261" t="n">
        <v>135</v>
      </c>
      <c r="M1261" t="n">
        <v>30.2</v>
      </c>
      <c r="N1261" t="n">
        <v>2214</v>
      </c>
      <c r="O1261" t="n">
        <v>1.12</v>
      </c>
      <c r="P1261" t="n">
        <v>2489</v>
      </c>
      <c r="Q1261" t="n">
        <v>298</v>
      </c>
      <c r="R1261" t="n">
        <v>163</v>
      </c>
      <c r="S1261" t="n">
        <v>53</v>
      </c>
      <c r="T1261" t="n">
        <v>445</v>
      </c>
      <c r="U1261" t="n">
        <v>14</v>
      </c>
      <c r="V1261" t="n">
        <v>131</v>
      </c>
      <c r="W1261" t="n">
        <v>0.267</v>
      </c>
      <c r="X1261" t="n">
        <v>273</v>
      </c>
      <c r="Y1261" t="n">
        <v>242</v>
      </c>
      <c r="Z1261" t="n">
        <v>172</v>
      </c>
      <c r="AA1261" t="n">
        <v>3</v>
      </c>
      <c r="AB1261" t="n">
        <v>10.7</v>
      </c>
      <c r="AC1261" t="inlineStr">
        <is>
          <t xml:space="preserve"> Big Mountain</t>
        </is>
      </c>
      <c r="AD1261" t="inlineStr">
        <is>
          <t xml:space="preserve"> Touring</t>
        </is>
      </c>
      <c r="AG1261" t="inlineStr">
        <is>
          <t>Blizzard Spur Skis 189cm 2022</t>
        </is>
      </c>
      <c r="AH1261" t="inlineStr">
        <is>
          <t>Steep &amp; Cheap</t>
        </is>
      </c>
      <c r="AI1261" s="333" t="n">
        <v>639.96</v>
      </c>
      <c r="AJ1261" t="inlineStr">
        <is>
          <t>https://tinyurl.com/yc65t9po</t>
        </is>
      </c>
      <c r="AK1261" t="inlineStr">
        <is>
          <t>Blizzard Spur Skis 189cm 2022</t>
        </is>
      </c>
      <c r="AL1261" t="inlineStr">
        <is>
          <t>Backcountry.com</t>
        </is>
      </c>
      <c r="AM1261" s="333" t="n">
        <v>639.96</v>
      </c>
      <c r="AN1261" t="inlineStr">
        <is>
          <t>https://tinyurl.com/y7w98lcl</t>
        </is>
      </c>
      <c r="AO1261" t="inlineStr">
        <is>
          <t>Blizzard Spur Skis 189cm 2022</t>
        </is>
      </c>
      <c r="AP1261" t="inlineStr">
        <is>
          <t>BlueZone Sports</t>
        </is>
      </c>
      <c r="AQ1261" s="333" t="n">
        <v>799.95</v>
      </c>
      <c r="AR1261" t="inlineStr">
        <is>
          <t>https://tinyurl.com/y79wkdfe</t>
        </is>
      </c>
      <c r="AS1261" s="314">
        <f>IF(LEFT(C1261,1)=" ",RIGHT(C1261,LEN(C1261)-1),C1261)</f>
        <v/>
      </c>
      <c r="AT1261" s="281">
        <f>_xlfn.CONCAT(B1261,AS1261,D1261,E1261)</f>
        <v/>
      </c>
    </row>
    <row r="1262">
      <c r="A1262" t="inlineStr">
        <is>
          <t>21/22</t>
        </is>
      </c>
      <c r="B1262" t="inlineStr">
        <is>
          <t xml:space="preserve"> Vï¿½lkl</t>
        </is>
      </c>
      <c r="C1262" t="inlineStr">
        <is>
          <t>Mantra 102</t>
        </is>
      </c>
      <c r="D1262" t="n">
        <v>191</v>
      </c>
      <c r="E1262" t="inlineStr">
        <is>
          <t xml:space="preserve"> Unisex</t>
        </is>
      </c>
      <c r="F1262" t="n">
        <v>191</v>
      </c>
      <c r="G1262" t="n">
        <v>191.5</v>
      </c>
      <c r="H1262" t="n">
        <v>150</v>
      </c>
      <c r="I1262" t="n">
        <v>169</v>
      </c>
      <c r="J1262" t="n">
        <v>139</v>
      </c>
      <c r="K1262" t="n">
        <v>101</v>
      </c>
      <c r="L1262" t="n">
        <v>122</v>
      </c>
      <c r="M1262" t="n">
        <v>23.4</v>
      </c>
      <c r="N1262" t="n">
        <v>2410</v>
      </c>
      <c r="O1262" t="n">
        <v>0.89</v>
      </c>
      <c r="P1262" t="n">
        <v>2155</v>
      </c>
      <c r="Q1262" t="n">
        <v>263</v>
      </c>
      <c r="R1262" t="n">
        <v>184</v>
      </c>
      <c r="S1262" t="n">
        <v>44</v>
      </c>
      <c r="T1262" t="n">
        <v>251</v>
      </c>
      <c r="U1262" t="n">
        <v>15</v>
      </c>
      <c r="V1262" t="n">
        <v>163</v>
      </c>
      <c r="W1262" t="n">
        <v>0.342999999999999</v>
      </c>
      <c r="X1262" t="n">
        <v>130</v>
      </c>
      <c r="Y1262" t="n">
        <v>98</v>
      </c>
      <c r="Z1262" t="n">
        <v>122</v>
      </c>
      <c r="AA1262" t="n">
        <v>5</v>
      </c>
      <c r="AB1262" t="n">
        <v>11.8</v>
      </c>
      <c r="AC1262" t="inlineStr">
        <is>
          <t xml:space="preserve"> Resort Freeride</t>
        </is>
      </c>
      <c r="AD1262" t="inlineStr">
        <is>
          <t xml:space="preserve"> Big Mountain</t>
        </is>
      </c>
      <c r="AG1262" t="inlineStr">
        <is>
          <t>Volkl Mantra 102 Skis 2021</t>
        </is>
      </c>
      <c r="AH1262" t="inlineStr">
        <is>
          <t>Absolute-Snow.co.uk</t>
        </is>
      </c>
      <c r="AI1262" s="333" t="n">
        <v>510.83</v>
      </c>
      <c r="AJ1262" t="inlineStr">
        <is>
          <t>https://tinyurl.com/yd3kan45</t>
        </is>
      </c>
      <c r="AK1262" t="inlineStr">
        <is>
          <t>2021 Volkl Mantra 102</t>
        </is>
      </c>
      <c r="AL1262" t="inlineStr">
        <is>
          <t>eBay - larsonski</t>
        </is>
      </c>
      <c r="AM1262" s="333" t="n">
        <v>645</v>
      </c>
      <c r="AN1262" t="inlineStr">
        <is>
          <t>https://tinyurl.com/yce3ky5n</t>
        </is>
      </c>
      <c r="AO1262" t="inlineStr">
        <is>
          <t>'22 Volkl Mantra 102 Skis 191cm</t>
        </is>
      </c>
      <c r="AP1262" t="inlineStr">
        <is>
          <t>Al's Ski Equipment Barn</t>
        </is>
      </c>
      <c r="AQ1262" s="333" t="n">
        <v>679.95</v>
      </c>
      <c r="AR1262" t="inlineStr">
        <is>
          <t>https://tinyurl.com/ya9597nf</t>
        </is>
      </c>
      <c r="AS1262" s="314">
        <f>IF(LEFT(C1262,1)=" ",RIGHT(C1262,LEN(C1262)-1),C1262)</f>
        <v/>
      </c>
      <c r="AT1262" s="281">
        <f>_xlfn.CONCAT(B1262,AS1262,D1262,E1262)</f>
        <v/>
      </c>
    </row>
    <row r="1263">
      <c r="A1263" t="inlineStr">
        <is>
          <t>21/22</t>
        </is>
      </c>
      <c r="B1263" t="inlineStr">
        <is>
          <t>K2</t>
        </is>
      </c>
      <c r="C1263" t="inlineStr">
        <is>
          <t>Disruption 82 Ti</t>
        </is>
      </c>
      <c r="D1263" t="n">
        <v>184</v>
      </c>
      <c r="E1263" t="inlineStr">
        <is>
          <t xml:space="preserve"> Unisex</t>
        </is>
      </c>
      <c r="F1263" t="n">
        <v>184</v>
      </c>
      <c r="G1263" t="n">
        <v>184.5</v>
      </c>
      <c r="H1263" t="n">
        <v>152</v>
      </c>
      <c r="I1263" t="n">
        <v>173</v>
      </c>
      <c r="J1263" t="n">
        <v>125</v>
      </c>
      <c r="K1263" t="n">
        <v>81</v>
      </c>
      <c r="L1263" t="n">
        <v>111</v>
      </c>
      <c r="M1263" t="n">
        <v>20.3</v>
      </c>
      <c r="N1263" t="n">
        <v>2322</v>
      </c>
      <c r="O1263" t="n">
        <v>0.75</v>
      </c>
      <c r="P1263" t="n">
        <v>1743</v>
      </c>
      <c r="Q1263" t="n">
        <v>301</v>
      </c>
      <c r="R1263" t="n">
        <v>203</v>
      </c>
      <c r="S1263" t="n">
        <v>35</v>
      </c>
      <c r="T1263" t="n">
        <v>160</v>
      </c>
      <c r="U1263" t="n">
        <v>8</v>
      </c>
      <c r="V1263" t="n">
        <v>162</v>
      </c>
      <c r="W1263" t="n">
        <v>0.233</v>
      </c>
      <c r="X1263" t="n">
        <v>74</v>
      </c>
      <c r="Y1263" t="n">
        <v>40</v>
      </c>
      <c r="Z1263" t="n">
        <v>86</v>
      </c>
      <c r="AA1263" t="n">
        <v>10</v>
      </c>
      <c r="AB1263" t="n">
        <v>11.4</v>
      </c>
      <c r="AC1263" t="inlineStr">
        <is>
          <t xml:space="preserve"> Resort Freeride</t>
        </is>
      </c>
      <c r="AG1263" t="inlineStr">
        <is>
          <t>2022 K2 Disruption 82 Ti Demo Ski w/ MXCELL 12 TCX Bindings - 184| Ski Essentials</t>
        </is>
      </c>
      <c r="AH1263" t="inlineStr">
        <is>
          <t>SkiEssentials.com</t>
        </is>
      </c>
      <c r="AI1263" s="333" t="n">
        <v>599</v>
      </c>
      <c r="AJ1263" t="inlineStr">
        <is>
          <t>https://tinyurl.com/yb77uu5k</t>
        </is>
      </c>
      <c r="AK1263" t="inlineStr">
        <is>
          <t>K2 Disruption 82 Ti Black-Green 184 Ski Men</t>
        </is>
      </c>
      <c r="AL1263" t="inlineStr">
        <is>
          <t>! OutdoorXL.com</t>
        </is>
      </c>
      <c r="AM1263" s="333" t="n">
        <v>844.95</v>
      </c>
      <c r="AN1263" t="inlineStr">
        <is>
          <t>https://tinyurl.com/y8cpteou</t>
        </is>
      </c>
      <c r="AO1263" t="inlineStr">
        <is>
          <t>K2 Disruption 82 Ti Skis + MXCELL 12 TCX Quikclik Bindings Black Grey - 184</t>
        </is>
      </c>
      <c r="AP1263" t="inlineStr">
        <is>
          <t>Ski Pro  - Snow Ski &amp; Snowboard</t>
        </is>
      </c>
      <c r="AQ1263" s="333" t="n">
        <v>899.95</v>
      </c>
      <c r="AR1263" t="inlineStr">
        <is>
          <t>https://tinyurl.com/yag7n8vf</t>
        </is>
      </c>
      <c r="AS1263" s="314">
        <f>IF(LEFT(C1263,1)=" ",RIGHT(C1263,LEN(C1263)-1),C1263)</f>
        <v/>
      </c>
      <c r="AT1263" s="281">
        <f>_xlfn.CONCAT(B1263,AS1263,D1263,E1263)</f>
        <v/>
      </c>
    </row>
    <row r="1264">
      <c r="A1264" t="inlineStr">
        <is>
          <t>21/22</t>
        </is>
      </c>
      <c r="B1264" t="inlineStr">
        <is>
          <t xml:space="preserve"> Rossignol</t>
        </is>
      </c>
      <c r="C1264" t="inlineStr">
        <is>
          <t>Hero Master M21 (R22)</t>
        </is>
      </c>
      <c r="D1264" t="n">
        <v>183</v>
      </c>
      <c r="E1264" t="inlineStr">
        <is>
          <t xml:space="preserve"> Unisex</t>
        </is>
      </c>
      <c r="F1264" t="n">
        <v>183</v>
      </c>
      <c r="G1264" t="n">
        <v>183.1</v>
      </c>
      <c r="H1264" t="n">
        <v>166</v>
      </c>
      <c r="I1264" t="n">
        <v>175</v>
      </c>
      <c r="J1264" t="n">
        <v>114</v>
      </c>
      <c r="K1264" t="n">
        <v>70</v>
      </c>
      <c r="L1264" t="n">
        <v>95</v>
      </c>
      <c r="M1264" t="n">
        <v>22.8</v>
      </c>
      <c r="N1264" t="n">
        <v>2376</v>
      </c>
      <c r="O1264" t="n">
        <v>0.63</v>
      </c>
      <c r="P1264" t="n">
        <v>1500</v>
      </c>
      <c r="Q1264" t="n">
        <v>306</v>
      </c>
      <c r="R1264" t="n">
        <v>173</v>
      </c>
      <c r="S1264" t="n">
        <v>31</v>
      </c>
      <c r="T1264" t="n">
        <v>113</v>
      </c>
      <c r="U1264" t="n">
        <v>5</v>
      </c>
      <c r="V1264" t="n">
        <v>53</v>
      </c>
      <c r="W1264" t="n">
        <v>0.153</v>
      </c>
      <c r="X1264" t="n">
        <v>32</v>
      </c>
      <c r="Y1264" t="n">
        <v>48</v>
      </c>
      <c r="Z1264" t="n">
        <v>82</v>
      </c>
      <c r="AA1264" t="n">
        <v>12</v>
      </c>
      <c r="AB1264" t="n">
        <v>8.9</v>
      </c>
      <c r="AC1264" t="inlineStr">
        <is>
          <t xml:space="preserve"> On-Piste Carving</t>
        </is>
      </c>
      <c r="AG1264" t="inlineStr">
        <is>
          <t>Rossignol Other | Rossignol Race Carver DualTec Course 183 Skis W B | Color: Yellow | Size: Os | Alan_Ildo's Closet</t>
        </is>
      </c>
      <c r="AH1264" t="inlineStr">
        <is>
          <t>Poshmark</t>
        </is>
      </c>
      <c r="AI1264" s="333" t="n">
        <v>100</v>
      </c>
      <c r="AJ1264" t="inlineStr">
        <is>
          <t>https://tinyurl.com/yc7w47np</t>
        </is>
      </c>
      <c r="AK1264" t="inlineStr">
        <is>
          <t>Rossignol Dualtec Viper Skis - 183 Cm</t>
        </is>
      </c>
      <c r="AL1264" t="inlineStr">
        <is>
          <t>eBay</t>
        </is>
      </c>
      <c r="AM1264" s="333" t="n">
        <v>120</v>
      </c>
      <c r="AN1264" t="inlineStr">
        <is>
          <t>https://tinyurl.com/y8ggq7y4</t>
        </is>
      </c>
      <c r="AS1264" s="314">
        <f>IF(LEFT(C1264,1)=" ",RIGHT(C1264,LEN(C1264)-1),C1264)</f>
        <v/>
      </c>
      <c r="AT1264" s="281">
        <f>_xlfn.CONCAT(B1264,AS1264,D1264,E1264)</f>
        <v/>
      </c>
    </row>
    <row r="1265">
      <c r="A1265" t="inlineStr">
        <is>
          <t>21/22</t>
        </is>
      </c>
      <c r="B1265" t="inlineStr">
        <is>
          <t xml:space="preserve"> Blizzard</t>
        </is>
      </c>
      <c r="C1265" t="inlineStr">
        <is>
          <t>Cochise 106</t>
        </is>
      </c>
      <c r="D1265" t="n">
        <v>192</v>
      </c>
      <c r="E1265" t="inlineStr">
        <is>
          <t xml:space="preserve"> Unisex</t>
        </is>
      </c>
      <c r="F1265" t="n">
        <v>192</v>
      </c>
      <c r="G1265" t="n">
        <v>190.3</v>
      </c>
      <c r="H1265" t="n">
        <v>144</v>
      </c>
      <c r="I1265" t="n">
        <v>164</v>
      </c>
      <c r="J1265" t="n">
        <v>136</v>
      </c>
      <c r="K1265" t="n">
        <v>106</v>
      </c>
      <c r="L1265" t="n">
        <v>123</v>
      </c>
      <c r="M1265" t="n">
        <v>26.9</v>
      </c>
      <c r="N1265" t="n">
        <v>2576</v>
      </c>
      <c r="O1265" t="n">
        <v>0.84</v>
      </c>
      <c r="P1265" t="n">
        <v>2176</v>
      </c>
      <c r="Q1265" t="n">
        <v>296</v>
      </c>
      <c r="R1265" t="n">
        <v>195</v>
      </c>
      <c r="S1265" t="n">
        <v>52</v>
      </c>
      <c r="T1265" t="n">
        <v>345</v>
      </c>
      <c r="U1265" t="n">
        <v>13</v>
      </c>
      <c r="V1265" t="n">
        <v>115</v>
      </c>
      <c r="W1265" t="n">
        <v>0.255</v>
      </c>
      <c r="X1265" t="n">
        <v>148</v>
      </c>
      <c r="Y1265" t="n">
        <v>112</v>
      </c>
      <c r="Z1265" t="n">
        <v>197</v>
      </c>
      <c r="AA1265" t="n">
        <v>7</v>
      </c>
      <c r="AB1265" t="n">
        <v>11</v>
      </c>
      <c r="AC1265" t="inlineStr">
        <is>
          <t xml:space="preserve"> Big Mountain</t>
        </is>
      </c>
      <c r="AG1265" t="inlineStr">
        <is>
          <t>Blizzard Cochise 106 21/22</t>
        </is>
      </c>
      <c r="AH1265" t="inlineStr">
        <is>
          <t>Snowcountry.eu</t>
        </is>
      </c>
      <c r="AI1265" s="333" t="n">
        <v>483.9</v>
      </c>
      <c r="AJ1265" t="inlineStr">
        <is>
          <t>https://tinyurl.com/yanqumuy</t>
        </is>
      </c>
      <c r="AK1265" t="inlineStr">
        <is>
          <t>'22 Blizzard Rustler 11 Skis 192cm</t>
        </is>
      </c>
      <c r="AL1265" t="inlineStr">
        <is>
          <t>Al's Ski Equipment Barn</t>
        </is>
      </c>
      <c r="AM1265" s="333" t="n">
        <v>749</v>
      </c>
      <c r="AN1265" t="inlineStr">
        <is>
          <t>https://tinyurl.com/ycsctxys</t>
        </is>
      </c>
      <c r="AO1265" t="inlineStr">
        <is>
          <t>Blizzard Rustler 11 Skis 192cm 2022</t>
        </is>
      </c>
      <c r="AP1265" t="inlineStr">
        <is>
          <t>The-House.com</t>
        </is>
      </c>
      <c r="AQ1265" s="333" t="n">
        <v>749.95</v>
      </c>
      <c r="AR1265" t="inlineStr">
        <is>
          <t>https://tinyurl.com/y6wkefxn</t>
        </is>
      </c>
      <c r="AS1265" s="314">
        <f>IF(LEFT(C1265,1)=" ",RIGHT(C1265,LEN(C1265)-1),C1265)</f>
        <v/>
      </c>
      <c r="AT1265" s="281">
        <f>_xlfn.CONCAT(B1265,AS1265,D1265,E1265)</f>
        <v/>
      </c>
    </row>
    <row r="1266">
      <c r="A1266" t="inlineStr">
        <is>
          <t>21/22</t>
        </is>
      </c>
      <c r="B1266" t="inlineStr">
        <is>
          <t xml:space="preserve"> Dynastar</t>
        </is>
      </c>
      <c r="C1266" t="inlineStr">
        <is>
          <t xml:space="preserve"> M-Pro Pro Rider</t>
        </is>
      </c>
      <c r="D1266" t="n">
        <v>192</v>
      </c>
      <c r="E1266" t="inlineStr">
        <is>
          <t xml:space="preserve"> Unisex</t>
        </is>
      </c>
      <c r="F1266" t="n">
        <v>192</v>
      </c>
      <c r="G1266" t="n">
        <v>191</v>
      </c>
      <c r="H1266" t="n">
        <v>159</v>
      </c>
      <c r="I1266" t="n">
        <v>161</v>
      </c>
      <c r="J1266" t="n">
        <v>132</v>
      </c>
      <c r="K1266" t="n">
        <v>104</v>
      </c>
      <c r="L1266" t="n">
        <v>120</v>
      </c>
      <c r="M1266" t="n">
        <v>27.9</v>
      </c>
      <c r="N1266" t="n">
        <v>2657</v>
      </c>
      <c r="O1266" t="n">
        <v>0.8100000000000001</v>
      </c>
      <c r="P1266" t="n">
        <v>2147</v>
      </c>
      <c r="Q1266" t="n">
        <v>276</v>
      </c>
      <c r="R1266" t="n">
        <v>174</v>
      </c>
      <c r="S1266" t="n">
        <v>33</v>
      </c>
      <c r="T1266" t="n">
        <v>221</v>
      </c>
      <c r="U1266" t="n">
        <v>11</v>
      </c>
      <c r="V1266" t="n">
        <v>98</v>
      </c>
      <c r="W1266" t="n">
        <v>0.32</v>
      </c>
      <c r="X1266" t="n">
        <v>187</v>
      </c>
      <c r="Y1266" t="n">
        <v>114</v>
      </c>
      <c r="Z1266" t="n">
        <v>34</v>
      </c>
      <c r="AA1266" t="n">
        <v>16</v>
      </c>
      <c r="AB1266" t="n">
        <v>12.4</v>
      </c>
      <c r="AC1266" t="inlineStr">
        <is>
          <t xml:space="preserve"> Resort Freeride</t>
        </is>
      </c>
      <c r="AD1266" t="inlineStr">
        <is>
          <t xml:space="preserve"> Big Mountain</t>
        </is>
      </c>
      <c r="AG1266" t="inlineStr">
        <is>
          <t>Dynastar M-Pro Rider 192</t>
        </is>
      </c>
      <c r="AH1266" t="inlineStr">
        <is>
          <t>Bobleisure</t>
        </is>
      </c>
      <c r="AI1266" s="333" t="n">
        <v>719.28</v>
      </c>
      <c r="AJ1266" t="inlineStr">
        <is>
          <t>https://tinyurl.com/yblvbo48</t>
        </is>
      </c>
      <c r="AK1266" t="inlineStr">
        <is>
          <t>Dynastar Skis Max 9 192 Marker M 1000 Made In France Men's Us 6.5 -</t>
        </is>
      </c>
      <c r="AL1266" t="inlineStr">
        <is>
          <t>eBay</t>
        </is>
      </c>
      <c r="AM1266" s="333" t="n">
        <v>179</v>
      </c>
      <c r="AN1266" t="inlineStr">
        <is>
          <t>https://tinyurl.com/y886mwao</t>
        </is>
      </c>
      <c r="AO1266" t="inlineStr">
        <is>
          <t>2022 Dynastar M-Free 108 Ski with Salomon Guardian MNC 16 Bindings</t>
        </is>
      </c>
      <c r="AP1266" t="inlineStr">
        <is>
          <t>Geartrade.com</t>
        </is>
      </c>
      <c r="AQ1266" s="333" t="n">
        <v>515.98</v>
      </c>
      <c r="AR1266" t="inlineStr">
        <is>
          <t>https://tinyurl.com/y7yp5nd4</t>
        </is>
      </c>
      <c r="AS1266" s="314">
        <f>IF(LEFT(C1266,1)=" ",RIGHT(C1266,LEN(C1266)-1),C1266)</f>
        <v/>
      </c>
      <c r="AT1266" s="281">
        <f>_xlfn.CONCAT(B1266,AS1266,D1266,E1266)</f>
        <v/>
      </c>
    </row>
  </sheetData>
  <autoFilter ref="A1:AR1266">
    <sortState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8" defaultColWidth="8.6640625" defaultRowHeight="13.8" outlineLevelCol="0"/>
  <cols>
    <col width="8.6640625" customWidth="1" style="241" min="1" max="16384"/>
  </cols>
  <sheetData>
    <row r="1">
      <c r="A1" s="167" t="inlineStr">
        <is>
          <t>StartDate</t>
        </is>
      </c>
      <c r="B1" s="167" t="inlineStr">
        <is>
          <t>EndDate</t>
        </is>
      </c>
      <c r="C1" s="167" t="inlineStr">
        <is>
          <t>Status</t>
        </is>
      </c>
      <c r="D1" s="167" t="inlineStr">
        <is>
          <t>IPAddress</t>
        </is>
      </c>
      <c r="E1" s="167" t="inlineStr">
        <is>
          <t>Progress</t>
        </is>
      </c>
      <c r="F1" s="167" t="inlineStr">
        <is>
          <t>Duration (in seconds)</t>
        </is>
      </c>
      <c r="G1" s="167" t="inlineStr">
        <is>
          <t>Finished</t>
        </is>
      </c>
      <c r="H1" s="167" t="inlineStr">
        <is>
          <t>RecordedDate</t>
        </is>
      </c>
      <c r="I1" s="167" t="inlineStr">
        <is>
          <t>ResponseId</t>
        </is>
      </c>
      <c r="J1" s="167" t="inlineStr">
        <is>
          <t>RecipientLastName</t>
        </is>
      </c>
      <c r="K1" s="167" t="inlineStr">
        <is>
          <t>RecipientFirstName</t>
        </is>
      </c>
      <c r="L1" s="167" t="inlineStr">
        <is>
          <t>RecipientEmail</t>
        </is>
      </c>
      <c r="M1" s="167" t="inlineStr">
        <is>
          <t>ExternalReference</t>
        </is>
      </c>
      <c r="N1" s="167" t="inlineStr">
        <is>
          <t>LocationLatitude</t>
        </is>
      </c>
      <c r="O1" s="167" t="inlineStr">
        <is>
          <t>LocationLongitude</t>
        </is>
      </c>
      <c r="P1" s="167" t="inlineStr">
        <is>
          <t>DistributionChannel</t>
        </is>
      </c>
      <c r="Q1" s="167" t="inlineStr">
        <is>
          <t>UserLanguage</t>
        </is>
      </c>
      <c r="R1" s="167" t="inlineStr">
        <is>
          <t>Q10_7</t>
        </is>
      </c>
      <c r="S1" s="167" t="inlineStr">
        <is>
          <t>Q10_4</t>
        </is>
      </c>
      <c r="T1" s="167" t="inlineStr">
        <is>
          <t>Q10_5</t>
        </is>
      </c>
      <c r="U1" s="167" t="inlineStr">
        <is>
          <t>Q2</t>
        </is>
      </c>
      <c r="V1" s="167" t="inlineStr">
        <is>
          <t>Q25</t>
        </is>
      </c>
      <c r="W1" s="167" t="inlineStr">
        <is>
          <t>Q19</t>
        </is>
      </c>
      <c r="X1" s="167" t="inlineStr">
        <is>
          <t>Q3_1</t>
        </is>
      </c>
      <c r="Y1" s="167" t="inlineStr">
        <is>
          <t>Q3_2</t>
        </is>
      </c>
      <c r="Z1" s="167" t="inlineStr">
        <is>
          <t>Q3_3</t>
        </is>
      </c>
      <c r="AA1" s="167" t="inlineStr">
        <is>
          <t>Q3_4</t>
        </is>
      </c>
      <c r="AB1" s="167" t="inlineStr">
        <is>
          <t>Q3_5</t>
        </is>
      </c>
      <c r="AC1" s="167" t="inlineStr">
        <is>
          <t>Q4_NPS_GROUP</t>
        </is>
      </c>
      <c r="AD1" s="167" t="inlineStr">
        <is>
          <t>Q4</t>
        </is>
      </c>
      <c r="AE1" s="167" t="inlineStr">
        <is>
          <t>Q14</t>
        </is>
      </c>
      <c r="AF1" s="167" t="inlineStr">
        <is>
          <t>Q13_1</t>
        </is>
      </c>
      <c r="AG1" s="167" t="inlineStr">
        <is>
          <t>Q13_2</t>
        </is>
      </c>
      <c r="AH1" s="167" t="inlineStr">
        <is>
          <t>Q13_3</t>
        </is>
      </c>
      <c r="AI1" s="167" t="inlineStr">
        <is>
          <t>Q13_4</t>
        </is>
      </c>
      <c r="AJ1" s="167" t="inlineStr">
        <is>
          <t>Q13_5</t>
        </is>
      </c>
      <c r="AK1" s="167" t="inlineStr">
        <is>
          <t>Q26</t>
        </is>
      </c>
      <c r="AL1" s="167" t="inlineStr">
        <is>
          <t>Q16</t>
        </is>
      </c>
      <c r="AM1" s="167" t="inlineStr">
        <is>
          <t>Q23</t>
        </is>
      </c>
      <c r="AN1" s="167" t="inlineStr">
        <is>
          <t>Q23_3_TEXT</t>
        </is>
      </c>
    </row>
    <row r="2">
      <c r="A2" s="167" t="inlineStr">
        <is>
          <t>Start Date</t>
        </is>
      </c>
      <c r="B2" s="167" t="inlineStr">
        <is>
          <t>End Date</t>
        </is>
      </c>
      <c r="C2" s="167" t="inlineStr">
        <is>
          <t>Response Type</t>
        </is>
      </c>
      <c r="D2" s="167" t="inlineStr">
        <is>
          <t>IP Address</t>
        </is>
      </c>
      <c r="E2" s="167" t="inlineStr">
        <is>
          <t>Progress</t>
        </is>
      </c>
      <c r="F2" s="167" t="inlineStr">
        <is>
          <t>Duration (in seconds)</t>
        </is>
      </c>
      <c r="G2" s="167" t="inlineStr">
        <is>
          <t>Finished</t>
        </is>
      </c>
      <c r="H2" s="167" t="inlineStr">
        <is>
          <t>Recorded Date</t>
        </is>
      </c>
      <c r="I2" s="167" t="inlineStr">
        <is>
          <t>Response ID</t>
        </is>
      </c>
      <c r="J2" s="167" t="inlineStr">
        <is>
          <t>Recipient Last Name</t>
        </is>
      </c>
      <c r="K2" s="167" t="inlineStr">
        <is>
          <t>Recipient First Name</t>
        </is>
      </c>
      <c r="L2" s="167" t="inlineStr">
        <is>
          <t>Recipient Email</t>
        </is>
      </c>
      <c r="M2" s="167" t="inlineStr">
        <is>
          <t>External Data Reference</t>
        </is>
      </c>
      <c r="N2" s="167" t="inlineStr">
        <is>
          <t>Location Latitude</t>
        </is>
      </c>
      <c r="O2" s="167" t="inlineStr">
        <is>
          <t>Location Longitude</t>
        </is>
      </c>
      <c r="P2" s="167" t="inlineStr">
        <is>
          <t>Distribution Channel</t>
        </is>
      </c>
      <c r="Q2" s="167" t="inlineStr">
        <is>
          <t>User Language</t>
        </is>
      </c>
      <c r="R2" s="167" t="inlineStr">
        <is>
          <t>About yourself - Name (First, Last)</t>
        </is>
      </c>
      <c r="S2" s="167" t="inlineStr">
        <is>
          <t>About yourself - Height (ft'in'')</t>
        </is>
      </c>
      <c r="T2" s="167" t="inlineStr">
        <is>
          <t>About yourself - Weight (lbs)</t>
        </is>
      </c>
      <c r="U2" s="167" t="inlineStr">
        <is>
          <t>What are you looking for?</t>
        </is>
      </c>
      <c r="V2" s="167" t="inlineStr">
        <is>
          <t>Gender</t>
        </is>
      </c>
      <c r="W2" s="167" t="inlineStr">
        <is>
          <t>Ski backcountry?</t>
        </is>
      </c>
      <c r="X2" s="167" t="inlineStr">
        <is>
          <t>Time on each run type (%)
Doesn't need to be perfect :) - Groomers</t>
        </is>
      </c>
      <c r="Y2" s="167" t="inlineStr">
        <is>
          <t>Time on each run type (%)
Doesn't need to be perfect :) - Moguls</t>
        </is>
      </c>
      <c r="Z2" s="167" t="inlineStr">
        <is>
          <t>Time on each run type (%)
Doesn't need to be perfect :) - Trees</t>
        </is>
      </c>
      <c r="AA2" s="167" t="inlineStr">
        <is>
          <t>Time on each run type (%)
Doesn't need to be perfect :) - Powder</t>
        </is>
      </c>
      <c r="AB2" s="167" t="inlineStr">
        <is>
          <t>Time on each run type (%)
Doesn't need to be perfect :) - Park</t>
        </is>
      </c>
      <c r="AC2" s="167" t="inlineStr">
        <is>
          <t>Speed versus maneuverability on groomers - Group</t>
        </is>
      </c>
      <c r="AD2" s="167" t="inlineStr">
        <is>
          <t>Speed versus maneuverability on groomers</t>
        </is>
      </c>
      <c r="AE2" s="167" t="inlineStr">
        <is>
          <t>You will ski most at which mountain</t>
        </is>
      </c>
      <c r="AF2" s="167" t="inlineStr">
        <is>
          <t>On your ideal day at this mountain, you'll spend what portion on each run type (%)? - IM_eWMyQtWz4rCJnj8</t>
        </is>
      </c>
      <c r="AG2" s="167" t="inlineStr">
        <is>
          <t>On your ideal day at this mountain, you'll spend what portion on each run type (%)? - IM_2aZzTj6El7gMR9Q</t>
        </is>
      </c>
      <c r="AH2" s="167" t="inlineStr">
        <is>
          <t>On your ideal day at this mountain, you'll spend what portion on each run type (%)? - IM_efJNaG01ezcxTIW</t>
        </is>
      </c>
      <c r="AI2" s="167" t="inlineStr">
        <is>
          <t>On your ideal day at this mountain, you'll spend what portion on each run type (%)? - IM_a33dip6GA1ZuyZ8</t>
        </is>
      </c>
      <c r="AJ2" s="167" t="inlineStr">
        <is>
          <t>On your ideal day at this mountain, you'll spend what portion on each run type (%)? - IM_1GnlrPaWwPd6NJI</t>
        </is>
      </c>
      <c r="AK2" s="167" t="inlineStr">
        <is>
          <t>Will you ski backwards?</t>
        </is>
      </c>
      <c r="AL2" s="167" t="inlineStr">
        <is>
          <t>How often do you ride switch?</t>
        </is>
      </c>
      <c r="AM2" s="167" t="inlineStr">
        <is>
          <t>Your budget - Selected Choice</t>
        </is>
      </c>
      <c r="AN2" s="167" t="inlineStr">
        <is>
          <t>Your budget - Maximum budget for all equipment, in $: - Text</t>
        </is>
      </c>
    </row>
    <row r="3" ht="82.8" customHeight="1" s="184">
      <c r="A3" s="242" t="n">
        <v>44597.78221064815</v>
      </c>
      <c r="B3" s="242" t="n">
        <v>44597.90883101852</v>
      </c>
      <c r="C3" s="243" t="inlineStr">
        <is>
          <t>IP Address</t>
        </is>
      </c>
      <c r="D3" s="243" t="inlineStr">
        <is>
          <t>171.66.12.231</t>
        </is>
      </c>
      <c r="E3" s="241" t="n">
        <v>100</v>
      </c>
      <c r="F3" s="241" t="n">
        <v>10939</v>
      </c>
      <c r="G3" s="243" t="inlineStr">
        <is>
          <t>True</t>
        </is>
      </c>
      <c r="H3" s="242" t="n">
        <v>44597.90885103009</v>
      </c>
      <c r="I3" s="243" t="inlineStr">
        <is>
          <t>R_3PIe4VdtiAPp5jO</t>
        </is>
      </c>
      <c r="J3" s="243" t="inlineStr">
        <is>
          <t>Guerci</t>
        </is>
      </c>
      <c r="K3" s="243" t="inlineStr">
        <is>
          <t>John</t>
        </is>
      </c>
      <c r="L3" s="243" t="inlineStr">
        <is>
          <t>jguerci@stanford.edu</t>
        </is>
      </c>
      <c r="M3" s="243" t="inlineStr"/>
      <c r="N3" s="241" t="n">
        <v>37.42300415039062</v>
      </c>
      <c r="O3" s="241" t="n">
        <v>-122.1638946533203</v>
      </c>
      <c r="P3" s="243" t="inlineStr">
        <is>
          <t>email</t>
        </is>
      </c>
      <c r="Q3" s="243" t="inlineStr">
        <is>
          <t>EN</t>
        </is>
      </c>
      <c r="R3" s="243" t="inlineStr">
        <is>
          <t>John,Guerci</t>
        </is>
      </c>
      <c r="S3" s="243" t="inlineStr">
        <is>
          <t>5'10"</t>
        </is>
      </c>
      <c r="T3" s="243" t="inlineStr">
        <is>
          <t>195</t>
        </is>
      </c>
      <c r="U3" s="243" t="inlineStr">
        <is>
          <t>Ski</t>
        </is>
      </c>
      <c r="V3" s="243" t="inlineStr">
        <is>
          <t>Unisex (sometimes called Men's skis)</t>
        </is>
      </c>
      <c r="W3" s="243" t="inlineStr">
        <is>
          <t>Resorts only</t>
        </is>
      </c>
      <c r="X3" s="241" t="n">
        <v>70</v>
      </c>
      <c r="Y3" s="241" t="n">
        <v>0</v>
      </c>
      <c r="Z3" s="241" t="n">
        <v>0</v>
      </c>
      <c r="AA3" s="241" t="n">
        <v>30</v>
      </c>
      <c r="AB3" s="241" t="n">
        <v>0</v>
      </c>
      <c r="AC3" s="243" t="inlineStr">
        <is>
          <t>Detractor</t>
        </is>
      </c>
      <c r="AD3" s="241" t="n">
        <v>2</v>
      </c>
      <c r="AE3" s="243" t="inlineStr">
        <is>
          <t>Tahoe</t>
        </is>
      </c>
      <c r="AF3" s="241" t="n">
        <v>30</v>
      </c>
      <c r="AG3" s="241" t="n">
        <v>60</v>
      </c>
      <c r="AH3" s="241" t="n">
        <v>10</v>
      </c>
      <c r="AI3" s="241" t="n">
        <v>0</v>
      </c>
      <c r="AJ3" s="241" t="n">
        <v>0</v>
      </c>
      <c r="AK3" s="243" t="inlineStr">
        <is>
          <t>No</t>
        </is>
      </c>
      <c r="AL3" s="243" t="inlineStr"/>
      <c r="AM3" s="243" t="inlineStr">
        <is>
          <t>I have no budget</t>
        </is>
      </c>
      <c r="AN3" s="243" t="inlineStr"/>
    </row>
    <row r="4" ht="82.8" customHeight="1" s="184">
      <c r="A4" s="242" t="n">
        <v>44603.68006944445</v>
      </c>
      <c r="B4" s="242" t="n">
        <v>44603.72800925926</v>
      </c>
      <c r="C4" s="243" t="inlineStr">
        <is>
          <t>IP Address</t>
        </is>
      </c>
      <c r="D4" s="243" t="inlineStr">
        <is>
          <t>8.45.42.232</t>
        </is>
      </c>
      <c r="E4" s="241" t="n">
        <v>100</v>
      </c>
      <c r="F4" s="241" t="n">
        <v>4142</v>
      </c>
      <c r="G4" s="243" t="inlineStr">
        <is>
          <t>True</t>
        </is>
      </c>
      <c r="H4" s="242" t="n">
        <v>44603.72802696759</v>
      </c>
      <c r="I4" s="243" t="inlineStr">
        <is>
          <t>R_0MMkQCnLXHSEMI9</t>
        </is>
      </c>
      <c r="J4" s="243" t="inlineStr">
        <is>
          <t>Watkins</t>
        </is>
      </c>
      <c r="K4" s="243" t="inlineStr">
        <is>
          <t>Marshall</t>
        </is>
      </c>
      <c r="L4" s="243" t="inlineStr">
        <is>
          <t>marshall.watkins@stanford.edu</t>
        </is>
      </c>
      <c r="M4" s="243" t="inlineStr"/>
      <c r="N4" s="241" t="n">
        <v>37.33880615234375</v>
      </c>
      <c r="O4" s="241" t="n">
        <v>-121.8916015625</v>
      </c>
      <c r="P4" s="243" t="inlineStr">
        <is>
          <t>email</t>
        </is>
      </c>
      <c r="Q4" s="243" t="inlineStr">
        <is>
          <t>EN</t>
        </is>
      </c>
      <c r="R4" s="243" t="inlineStr">
        <is>
          <t>Marshall Watkins</t>
        </is>
      </c>
      <c r="S4" s="243" t="inlineStr">
        <is>
          <t>6'4"</t>
        </is>
      </c>
      <c r="T4" s="243" t="inlineStr">
        <is>
          <t>190</t>
        </is>
      </c>
      <c r="U4" s="243" t="inlineStr">
        <is>
          <t>Ski</t>
        </is>
      </c>
      <c r="V4" s="243" t="inlineStr">
        <is>
          <t>Unisex (sometimes called Men's skis)</t>
        </is>
      </c>
      <c r="W4" s="243" t="inlineStr">
        <is>
          <t>Both (hybrid setup)</t>
        </is>
      </c>
      <c r="X4" s="241" t="n">
        <v>50</v>
      </c>
      <c r="Y4" s="241" t="n">
        <v>20</v>
      </c>
      <c r="Z4" s="241" t="n">
        <v>10</v>
      </c>
      <c r="AA4" s="241" t="n">
        <v>20</v>
      </c>
      <c r="AB4" s="241" t="n">
        <v>0</v>
      </c>
      <c r="AC4" s="243" t="inlineStr">
        <is>
          <t>Detractor</t>
        </is>
      </c>
      <c r="AD4" s="241" t="n">
        <v>3</v>
      </c>
      <c r="AE4" s="243" t="inlineStr">
        <is>
          <t>Palisades</t>
        </is>
      </c>
      <c r="AF4" s="241" t="n">
        <v>0</v>
      </c>
      <c r="AG4" s="241" t="n">
        <v>30</v>
      </c>
      <c r="AH4" s="241" t="n">
        <v>40</v>
      </c>
      <c r="AI4" s="241" t="n">
        <v>30</v>
      </c>
      <c r="AJ4" s="241" t="n">
        <v>0</v>
      </c>
      <c r="AK4" s="243" t="inlineStr">
        <is>
          <t>No</t>
        </is>
      </c>
      <c r="AL4" s="243" t="inlineStr"/>
      <c r="AM4" s="243" t="inlineStr">
        <is>
          <t>Maximum budget for all equipment, in $:</t>
        </is>
      </c>
      <c r="AN4" s="243" t="inlineStr">
        <is>
          <t>$1500</t>
        </is>
      </c>
    </row>
    <row r="5" ht="82.8" customHeight="1" s="184">
      <c r="A5" s="242" t="n">
        <v>44606.88142361111</v>
      </c>
      <c r="B5" s="242" t="n">
        <v>44606.98043981481</v>
      </c>
      <c r="C5" s="243" t="inlineStr">
        <is>
          <t>IP Address</t>
        </is>
      </c>
      <c r="D5" s="243" t="inlineStr">
        <is>
          <t>174.208.98.59</t>
        </is>
      </c>
      <c r="E5" s="241" t="n">
        <v>100</v>
      </c>
      <c r="F5" s="241" t="n">
        <v>8555</v>
      </c>
      <c r="G5" s="243" t="inlineStr">
        <is>
          <t>True</t>
        </is>
      </c>
      <c r="H5" s="242" t="n">
        <v>44606.98045613426</v>
      </c>
      <c r="I5" s="243" t="inlineStr">
        <is>
          <t>R_1rNwh3qfUc9Tm5U</t>
        </is>
      </c>
      <c r="J5" s="243" t="inlineStr"/>
      <c r="K5" s="243" t="inlineStr">
        <is>
          <t>Stuart</t>
        </is>
      </c>
      <c r="L5" s="243" t="inlineStr">
        <is>
          <t>sw@uwventures.com</t>
        </is>
      </c>
      <c r="M5" s="243" t="inlineStr"/>
      <c r="N5" s="241" t="n">
        <v>38.02960205078125</v>
      </c>
      <c r="O5" s="241" t="n">
        <v>-121.3460006713867</v>
      </c>
      <c r="P5" s="243" t="inlineStr">
        <is>
          <t>email</t>
        </is>
      </c>
      <c r="Q5" s="243" t="inlineStr">
        <is>
          <t>EN</t>
        </is>
      </c>
      <c r="R5" s="243" t="inlineStr">
        <is>
          <t>Brian c</t>
        </is>
      </c>
      <c r="S5" s="243" t="inlineStr">
        <is>
          <t>5'11"</t>
        </is>
      </c>
      <c r="T5" s="243" t="inlineStr">
        <is>
          <t>200</t>
        </is>
      </c>
      <c r="U5" s="243" t="inlineStr">
        <is>
          <t>Ski</t>
        </is>
      </c>
      <c r="V5" s="243" t="inlineStr">
        <is>
          <t>Unisex (sometimes called Men's skis)</t>
        </is>
      </c>
      <c r="W5" s="243" t="inlineStr">
        <is>
          <t>Resorts only</t>
        </is>
      </c>
      <c r="X5" s="241" t="n">
        <v>65</v>
      </c>
      <c r="Y5" s="241" t="n">
        <v>0</v>
      </c>
      <c r="Z5" s="241" t="n">
        <v>20</v>
      </c>
      <c r="AA5" s="241" t="n">
        <v>15</v>
      </c>
      <c r="AB5" s="241" t="n">
        <v>0</v>
      </c>
      <c r="AC5" s="243" t="inlineStr">
        <is>
          <t>Detractor</t>
        </is>
      </c>
      <c r="AD5" s="241" t="n">
        <v>5</v>
      </c>
      <c r="AE5" s="243" t="inlineStr">
        <is>
          <t xml:space="preserve">Mammoth </t>
        </is>
      </c>
      <c r="AF5" s="241" t="n">
        <v>0</v>
      </c>
      <c r="AG5" s="241" t="n">
        <v>40</v>
      </c>
      <c r="AH5" s="241" t="n">
        <v>50</v>
      </c>
      <c r="AI5" s="241" t="n">
        <v>10</v>
      </c>
      <c r="AJ5" s="241" t="n">
        <v>0</v>
      </c>
      <c r="AK5" s="243" t="inlineStr">
        <is>
          <t>No</t>
        </is>
      </c>
      <c r="AL5" s="243" t="inlineStr"/>
      <c r="AM5" s="243" t="inlineStr">
        <is>
          <t>I have no budget</t>
        </is>
      </c>
      <c r="AN5" s="243" t="inlineStr"/>
    </row>
    <row r="6" ht="151.8" customHeight="1" s="184">
      <c r="A6" s="242" t="n">
        <v>44607.55144675926</v>
      </c>
      <c r="B6" s="242" t="n">
        <v>44607.55603009259</v>
      </c>
      <c r="C6" s="243" t="inlineStr">
        <is>
          <t>IP Address</t>
        </is>
      </c>
      <c r="D6" s="243" t="inlineStr">
        <is>
          <t>213.173.183.210</t>
        </is>
      </c>
      <c r="E6" s="241" t="n">
        <v>100</v>
      </c>
      <c r="F6" s="241" t="n">
        <v>396</v>
      </c>
      <c r="G6" s="243" t="inlineStr">
        <is>
          <t>True</t>
        </is>
      </c>
      <c r="H6" s="242" t="n">
        <v>44607.55604435186</v>
      </c>
      <c r="I6" s="243" t="inlineStr">
        <is>
          <t>R_2wTZpIhYeeJdo7y</t>
        </is>
      </c>
      <c r="J6" s="243" t="inlineStr">
        <is>
          <t>Bethancourt Jimenez</t>
        </is>
      </c>
      <c r="K6" s="243" t="inlineStr">
        <is>
          <t>Daniel</t>
        </is>
      </c>
      <c r="L6" s="243" t="inlineStr">
        <is>
          <t>danbethanc@gmail.com</t>
        </is>
      </c>
      <c r="M6" s="243" t="inlineStr"/>
      <c r="N6" s="241" t="n">
        <v>47.36819458007812</v>
      </c>
      <c r="O6" s="241" t="n">
        <v>8.567092895507812</v>
      </c>
      <c r="P6" s="243" t="inlineStr">
        <is>
          <t>email</t>
        </is>
      </c>
      <c r="Q6" s="243" t="inlineStr">
        <is>
          <t>EN</t>
        </is>
      </c>
      <c r="R6" s="243" t="inlineStr">
        <is>
          <t>Daniel BJ</t>
        </is>
      </c>
      <c r="S6" s="243" t="inlineStr">
        <is>
          <t>5'7"</t>
        </is>
      </c>
      <c r="T6" s="243" t="inlineStr">
        <is>
          <t>150</t>
        </is>
      </c>
      <c r="U6" s="243" t="inlineStr">
        <is>
          <t>Ski</t>
        </is>
      </c>
      <c r="V6" s="243" t="inlineStr">
        <is>
          <t>Unisex (sometimes called Men's skis)</t>
        </is>
      </c>
      <c r="W6" s="243" t="inlineStr">
        <is>
          <t>Resorts only</t>
        </is>
      </c>
      <c r="X6" s="241" t="n">
        <v>60</v>
      </c>
      <c r="Y6" s="241" t="n">
        <v>5</v>
      </c>
      <c r="Z6" s="241" t="n">
        <v>15</v>
      </c>
      <c r="AA6" s="241" t="n">
        <v>10</v>
      </c>
      <c r="AB6" s="241" t="n">
        <v>10</v>
      </c>
      <c r="AC6" s="243" t="inlineStr">
        <is>
          <t>Detractor</t>
        </is>
      </c>
      <c r="AD6" s="241" t="n">
        <v>3</v>
      </c>
      <c r="AE6" s="243" t="inlineStr">
        <is>
          <t>Palisades</t>
        </is>
      </c>
      <c r="AF6" s="241" t="n">
        <v>0</v>
      </c>
      <c r="AG6" s="241" t="n">
        <v>30</v>
      </c>
      <c r="AH6" s="241" t="n">
        <v>50</v>
      </c>
      <c r="AI6" s="241" t="n">
        <v>10</v>
      </c>
      <c r="AJ6" s="241" t="n">
        <v>10</v>
      </c>
      <c r="AK6" s="243" t="inlineStr">
        <is>
          <t>Yes</t>
        </is>
      </c>
      <c r="AL6" s="243" t="inlineStr"/>
      <c r="AM6" s="243" t="inlineStr">
        <is>
          <t>I want the best equipment for me, but don't want to spend needlessly (default)</t>
        </is>
      </c>
      <c r="AN6" s="243" t="inlineStr"/>
    </row>
    <row r="7" ht="151.8" customHeight="1" s="184">
      <c r="A7" s="242" t="n">
        <v>44607.60744212963</v>
      </c>
      <c r="B7" s="242" t="n">
        <v>44607.60907407408</v>
      </c>
      <c r="C7" s="243" t="inlineStr">
        <is>
          <t>IP Address</t>
        </is>
      </c>
      <c r="D7" s="243" t="inlineStr">
        <is>
          <t>38.140.132.162</t>
        </is>
      </c>
      <c r="E7" s="241" t="n">
        <v>100</v>
      </c>
      <c r="F7" s="241" t="n">
        <v>140</v>
      </c>
      <c r="G7" s="243" t="inlineStr">
        <is>
          <t>True</t>
        </is>
      </c>
      <c r="H7" s="242" t="n">
        <v>44607.6090881713</v>
      </c>
      <c r="I7" s="243" t="inlineStr">
        <is>
          <t>R_1JDSKbR0y2OUcxi</t>
        </is>
      </c>
      <c r="J7" s="243" t="inlineStr">
        <is>
          <t>Menke</t>
        </is>
      </c>
      <c r="K7" s="243" t="inlineStr">
        <is>
          <t>Alex</t>
        </is>
      </c>
      <c r="L7" s="243" t="inlineStr">
        <is>
          <t>Acmenke12@gmail.com</t>
        </is>
      </c>
      <c r="M7" s="243" t="inlineStr"/>
      <c r="N7" s="241" t="n">
        <v>37.97599792480469</v>
      </c>
      <c r="O7" s="241" t="n">
        <v>-122.3358993530273</v>
      </c>
      <c r="P7" s="243" t="inlineStr">
        <is>
          <t>email</t>
        </is>
      </c>
      <c r="Q7" s="243" t="inlineStr">
        <is>
          <t>EN</t>
        </is>
      </c>
      <c r="R7" s="243" t="inlineStr">
        <is>
          <t>Alexander Menke</t>
        </is>
      </c>
      <c r="S7" s="243" t="inlineStr">
        <is>
          <t>6' 2"</t>
        </is>
      </c>
      <c r="T7" s="243" t="inlineStr">
        <is>
          <t>210</t>
        </is>
      </c>
      <c r="U7" s="243" t="inlineStr">
        <is>
          <t>Ski</t>
        </is>
      </c>
      <c r="V7" s="243" t="inlineStr">
        <is>
          <t>Unisex (sometimes called Men's skis)</t>
        </is>
      </c>
      <c r="W7" s="243" t="inlineStr">
        <is>
          <t>Resorts only</t>
        </is>
      </c>
      <c r="X7" s="241" t="n">
        <v>20</v>
      </c>
      <c r="Y7" s="241" t="n">
        <v>40</v>
      </c>
      <c r="Z7" s="241" t="n">
        <v>20</v>
      </c>
      <c r="AA7" s="241" t="n">
        <v>20</v>
      </c>
      <c r="AB7" s="241" t="n">
        <v>0</v>
      </c>
      <c r="AC7" s="243" t="inlineStr"/>
      <c r="AD7" s="243" t="inlineStr"/>
      <c r="AE7" s="243" t="inlineStr">
        <is>
          <t>Palisades Tahoe</t>
        </is>
      </c>
      <c r="AF7" s="241" t="n">
        <v>0</v>
      </c>
      <c r="AG7" s="241" t="n">
        <v>30</v>
      </c>
      <c r="AH7" s="241" t="n">
        <v>40</v>
      </c>
      <c r="AI7" s="241" t="n">
        <v>30</v>
      </c>
      <c r="AJ7" s="241" t="n">
        <v>0</v>
      </c>
      <c r="AK7" s="243" t="inlineStr">
        <is>
          <t>No</t>
        </is>
      </c>
      <c r="AL7" s="243" t="inlineStr"/>
      <c r="AM7" s="243" t="inlineStr">
        <is>
          <t>I want the best equipment for me, but don't want to spend needlessly (default)</t>
        </is>
      </c>
      <c r="AN7" s="243" t="inlineStr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B2:B6"/>
  <sheetViews>
    <sheetView showGridLines="0" workbookViewId="0">
      <selection activeCell="G25" sqref="G25"/>
    </sheetView>
  </sheetViews>
  <sheetFormatPr baseColWidth="8" defaultColWidth="8.77734375" defaultRowHeight="13.2" outlineLevelCol="0"/>
  <cols>
    <col width="2.6640625" customWidth="1" style="184" min="1" max="1"/>
  </cols>
  <sheetData>
    <row r="2">
      <c r="B2" s="158" t="inlineStr">
        <is>
          <t>Output instructions</t>
        </is>
      </c>
    </row>
    <row r="3">
      <c r="B3" s="138" t="inlineStr">
        <is>
          <t>Sanity check length and width bounds</t>
        </is>
      </c>
    </row>
    <row r="4">
      <c r="B4" s="138" t="inlineStr">
        <is>
          <t>Add prices/sellers that aren't yet in database</t>
        </is>
      </c>
    </row>
    <row r="5">
      <c r="B5" s="138" t="inlineStr">
        <is>
          <t>Add pictures for each lineup option</t>
        </is>
      </c>
    </row>
    <row r="6">
      <c r="B6" s="138" t="inlineStr">
        <is>
          <t>Adjust size/formating of lower table -- extend down cost column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A1:A1"/>
  <sheetViews>
    <sheetView showGridLines="0" workbookViewId="0">
      <selection activeCell="G24" sqref="G24"/>
    </sheetView>
  </sheetViews>
  <sheetFormatPr baseColWidth="8"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H84"/>
  <sheetViews>
    <sheetView showGridLines="0" topLeftCell="A62" workbookViewId="0">
      <selection activeCell="G24" sqref="G24"/>
    </sheetView>
  </sheetViews>
  <sheetFormatPr baseColWidth="8" defaultColWidth="8.6640625" defaultRowHeight="13.2" outlineLevelCol="0"/>
  <cols>
    <col width="3.44140625" customWidth="1" style="138" min="1" max="1"/>
    <col width="8.6640625" customWidth="1" style="138" min="2" max="6"/>
    <col width="26.33203125" bestFit="1" customWidth="1" style="138" min="7" max="7"/>
    <col width="11.33203125" bestFit="1" customWidth="1" style="138" min="8" max="8"/>
    <col width="8.6640625" customWidth="1" style="138" min="9" max="16384"/>
  </cols>
  <sheetData>
    <row r="2">
      <c r="B2" s="138" t="inlineStr">
        <is>
          <t>Based on your inputs, your absolute minimum ski length is X and maximum is Y because of XYZ</t>
        </is>
      </c>
    </row>
    <row r="3">
      <c r="B3" s="138" t="inlineStr">
        <is>
          <t>Your minimum underfoot width is P and maximum is Q because of XYZ</t>
        </is>
      </c>
    </row>
    <row r="4">
      <c r="B4" s="138" t="inlineStr">
        <is>
          <t>You requested women's skis, but many unisex options have been included</t>
        </is>
      </c>
    </row>
    <row r="5" ht="19.5" customHeight="1" s="184">
      <c r="B5" s="138" t="inlineStr">
        <is>
          <t>1262 skis were analyzed to find the top 4 for you below</t>
        </is>
      </c>
    </row>
    <row r="7" ht="22.8" customHeight="1" s="184">
      <c r="B7" s="176" t="inlineStr">
        <is>
          <t>Your recommendation lineup</t>
        </is>
      </c>
    </row>
    <row r="8" ht="7.5" customHeight="1" s="184">
      <c r="B8" s="176" t="n"/>
    </row>
    <row r="9" ht="17.4" customHeight="1" s="184">
      <c r="B9" s="135" t="inlineStr">
        <is>
          <t>Top pick</t>
        </is>
      </c>
    </row>
    <row r="10" ht="6" customHeight="1" s="184"/>
    <row r="11" ht="19.5" customHeight="1" s="184">
      <c r="G11" s="134" t="inlineStr">
        <is>
          <t>Rossignol Blackops Blazer W</t>
        </is>
      </c>
    </row>
    <row r="12" ht="19.5" customHeight="1" s="184">
      <c r="G12" s="158" t="inlineStr">
        <is>
          <t>Cost</t>
        </is>
      </c>
      <c r="H12" s="334" t="n">
        <v>670</v>
      </c>
    </row>
    <row r="13" ht="19.5" customHeight="1" s="184">
      <c r="G13" s="121" t="inlineStr">
        <is>
          <t>Overall match</t>
        </is>
      </c>
      <c r="H13" s="125">
        <f>Data!K68</f>
        <v/>
      </c>
    </row>
    <row r="14" ht="19.5" customHeight="1" s="184">
      <c r="G14" s="158" t="inlineStr">
        <is>
          <t>Speed</t>
        </is>
      </c>
      <c r="H14" s="178">
        <f t="array" ref="H14:H18">TRANSPOSE(Data!L68:P68)</f>
        <v/>
      </c>
    </row>
    <row r="15" ht="19.5" customHeight="1" s="184">
      <c r="G15" s="158" t="inlineStr">
        <is>
          <t>Manueverability</t>
        </is>
      </c>
      <c r="H15" s="178" t="n">
        <v>0.9408045895841136</v>
      </c>
    </row>
    <row r="16" ht="19.5" customHeight="1" s="184">
      <c r="G16" s="179" t="inlineStr">
        <is>
          <t>Weight</t>
        </is>
      </c>
      <c r="H16" s="91" t="n">
        <v>0.9799325573522901</v>
      </c>
    </row>
    <row r="17" ht="19.5" customHeight="1" s="184">
      <c r="G17" s="179" t="inlineStr">
        <is>
          <t>Turning</t>
        </is>
      </c>
      <c r="H17" s="91" t="n">
        <v>0.992644610092861</v>
      </c>
    </row>
    <row r="18" ht="19.5" customHeight="1" s="184">
      <c r="G18" s="179" t="inlineStr">
        <is>
          <t>Braking</t>
        </is>
      </c>
      <c r="H18" s="91" t="n">
        <v>0.8498366013071896</v>
      </c>
    </row>
    <row r="19" ht="19.5" customHeight="1" s="184">
      <c r="G19" s="158" t="inlineStr">
        <is>
          <t>Run type</t>
        </is>
      </c>
    </row>
    <row r="20" ht="19.5" customHeight="1" s="184">
      <c r="G20" s="180" t="inlineStr">
        <is>
          <t>Groomers</t>
        </is>
      </c>
      <c r="H20" s="180" t="inlineStr">
        <is>
          <t>Powder</t>
        </is>
      </c>
    </row>
    <row r="21" ht="19.5" customHeight="1" s="184">
      <c r="G21" s="180" t="inlineStr">
        <is>
          <t>Moguls</t>
        </is>
      </c>
      <c r="H21" s="180" t="inlineStr">
        <is>
          <t>Park</t>
        </is>
      </c>
    </row>
    <row r="22" ht="19.5" customHeight="1" s="184">
      <c r="G22" s="180" t="inlineStr">
        <is>
          <t>Trees</t>
        </is>
      </c>
      <c r="H22" s="246" t="n"/>
    </row>
    <row r="23" ht="19.5" customHeight="1" s="184">
      <c r="H23" s="246" t="n"/>
    </row>
    <row r="24" ht="19.5" customHeight="1" s="184">
      <c r="B24" s="176" t="inlineStr">
        <is>
          <t>#2</t>
        </is>
      </c>
      <c r="H24" s="246" t="n"/>
    </row>
    <row r="25" ht="19.5" customHeight="1" s="184">
      <c r="C25" s="303" t="n"/>
    </row>
    <row r="26" ht="19.5" customHeight="1" s="184">
      <c r="G26" s="134" t="inlineStr">
        <is>
          <t>Faction Candide CT 2.0</t>
        </is>
      </c>
    </row>
    <row r="27">
      <c r="G27" s="158" t="inlineStr">
        <is>
          <t>Cost</t>
        </is>
      </c>
      <c r="H27" s="334" t="n">
        <v>698</v>
      </c>
    </row>
    <row r="28" ht="13.8" customHeight="1" s="184">
      <c r="G28" s="121" t="inlineStr">
        <is>
          <t>Overall match</t>
        </is>
      </c>
      <c r="H28" s="125">
        <f>Data!K147</f>
        <v/>
      </c>
    </row>
    <row r="29">
      <c r="G29" s="158" t="inlineStr">
        <is>
          <t>Speed</t>
        </is>
      </c>
      <c r="H29" s="178">
        <f t="array" ref="H29:H33">TRANSPOSE(Data!L147:P147)</f>
        <v/>
      </c>
    </row>
    <row r="30">
      <c r="G30" s="158" t="inlineStr">
        <is>
          <t>Manueverability</t>
        </is>
      </c>
      <c r="H30" s="178" t="n">
        <v>0.8499066769600581</v>
      </c>
    </row>
    <row r="31">
      <c r="G31" s="179" t="inlineStr">
        <is>
          <t>Weight</t>
        </is>
      </c>
      <c r="H31" s="91" t="n">
        <v>0.8663964124826558</v>
      </c>
    </row>
    <row r="32">
      <c r="G32" s="179" t="inlineStr">
        <is>
          <t>Turning</t>
        </is>
      </c>
      <c r="H32" s="91" t="n">
        <v>0.9036667556524204</v>
      </c>
    </row>
    <row r="33">
      <c r="G33" s="179" t="inlineStr">
        <is>
          <t>Braking</t>
        </is>
      </c>
      <c r="H33" s="91" t="n">
        <v>0.7796568627450982</v>
      </c>
    </row>
    <row r="34">
      <c r="G34" s="158" t="inlineStr">
        <is>
          <t>Run type</t>
        </is>
      </c>
    </row>
    <row r="35">
      <c r="G35" s="180" t="inlineStr">
        <is>
          <t>Groomers</t>
        </is>
      </c>
      <c r="H35" s="180" t="inlineStr">
        <is>
          <t>Powder</t>
        </is>
      </c>
    </row>
    <row r="36">
      <c r="G36" s="180" t="inlineStr">
        <is>
          <t>Moguls</t>
        </is>
      </c>
      <c r="H36" s="180" t="inlineStr">
        <is>
          <t>Park</t>
        </is>
      </c>
    </row>
    <row r="37">
      <c r="G37" s="180" t="inlineStr">
        <is>
          <t>Trees</t>
        </is>
      </c>
      <c r="H37" s="246" t="n"/>
    </row>
    <row r="44" ht="22.8" customHeight="1" s="184">
      <c r="B44" s="176" t="inlineStr">
        <is>
          <t>#3</t>
        </is>
      </c>
      <c r="F44" s="303" t="n"/>
      <c r="H44" s="246" t="n"/>
    </row>
    <row r="45">
      <c r="C45" s="303" t="n"/>
    </row>
    <row r="46" ht="15.6" customHeight="1" s="184">
      <c r="G46" s="134" t="inlineStr">
        <is>
          <t>Rossignol Blackops Holyshred</t>
        </is>
      </c>
    </row>
    <row r="47">
      <c r="G47" s="158" t="inlineStr">
        <is>
          <t>Cost</t>
        </is>
      </c>
      <c r="H47" s="334" t="n">
        <v>698</v>
      </c>
    </row>
    <row r="48" ht="13.8" customHeight="1" s="184">
      <c r="G48" s="121" t="inlineStr">
        <is>
          <t>Overall match</t>
        </is>
      </c>
      <c r="H48" s="125">
        <f>Data!K188</f>
        <v/>
      </c>
    </row>
    <row r="49">
      <c r="D49" s="303" t="n"/>
      <c r="G49" s="158" t="inlineStr">
        <is>
          <t>Speed</t>
        </is>
      </c>
      <c r="H49" s="178">
        <f t="array" ref="H49:H53">TRANSPOSE(Data!L188:P188)</f>
        <v/>
      </c>
    </row>
    <row r="50">
      <c r="G50" s="158" t="inlineStr">
        <is>
          <t>Manueverability</t>
        </is>
      </c>
      <c r="H50" s="178" t="n">
        <v>0.9372046522624663</v>
      </c>
    </row>
    <row r="51">
      <c r="G51" s="179" t="inlineStr">
        <is>
          <t>Weight</t>
        </is>
      </c>
      <c r="H51" s="91" t="n">
        <v>0.9881536412705851</v>
      </c>
    </row>
    <row r="52">
      <c r="G52" s="179" t="inlineStr">
        <is>
          <t>Turning</t>
        </is>
      </c>
      <c r="H52" s="91" t="n">
        <v>0.9877168514645261</v>
      </c>
    </row>
    <row r="53">
      <c r="G53" s="179" t="inlineStr">
        <is>
          <t>Braking</t>
        </is>
      </c>
      <c r="H53" s="91" t="n">
        <v>0.8357434640522876</v>
      </c>
    </row>
    <row r="54">
      <c r="G54" s="158" t="inlineStr">
        <is>
          <t>Run type</t>
        </is>
      </c>
    </row>
    <row r="55">
      <c r="G55" s="180" t="inlineStr">
        <is>
          <t>Groomers</t>
        </is>
      </c>
      <c r="H55" s="180" t="inlineStr">
        <is>
          <t>Powder</t>
        </is>
      </c>
    </row>
    <row r="56">
      <c r="G56" s="180" t="inlineStr">
        <is>
          <t>Moguls</t>
        </is>
      </c>
      <c r="H56" s="180" t="inlineStr">
        <is>
          <t>Park</t>
        </is>
      </c>
    </row>
    <row r="57">
      <c r="G57" s="180" t="inlineStr">
        <is>
          <t>Trees</t>
        </is>
      </c>
      <c r="H57" s="246" t="n"/>
    </row>
    <row r="61">
      <c r="G61" s="303" t="n"/>
    </row>
    <row r="71" ht="22.8" customHeight="1" s="184">
      <c r="B71" s="176" t="inlineStr">
        <is>
          <t>#4</t>
        </is>
      </c>
      <c r="F71" s="303" t="n"/>
      <c r="H71" s="246" t="n"/>
    </row>
    <row r="72">
      <c r="C72" s="303" t="n"/>
    </row>
    <row r="73" ht="15.6" customHeight="1" s="184">
      <c r="G73" s="134" t="inlineStr">
        <is>
          <t>Nordica Santa Ana 104 Free</t>
        </is>
      </c>
    </row>
    <row r="74">
      <c r="G74" s="158" t="inlineStr">
        <is>
          <t>Cost</t>
        </is>
      </c>
      <c r="H74" s="334" t="n">
        <v>599</v>
      </c>
    </row>
    <row r="75" ht="13.8" customHeight="1" s="184">
      <c r="G75" s="121" t="inlineStr">
        <is>
          <t>Overall match</t>
        </is>
      </c>
      <c r="H75" s="125">
        <f>Data!K216</f>
        <v/>
      </c>
    </row>
    <row r="76">
      <c r="C76" s="303" t="n"/>
      <c r="D76" s="303" t="n"/>
      <c r="G76" s="158" t="inlineStr">
        <is>
          <t>Speed</t>
        </is>
      </c>
      <c r="H76" s="178">
        <f t="array" ref="H76:H80">TRANSPOSE(Data!L216:P216)</f>
        <v/>
      </c>
    </row>
    <row r="77">
      <c r="G77" s="158" t="inlineStr">
        <is>
          <t>Manueverability</t>
        </is>
      </c>
      <c r="H77" s="178" t="n">
        <v>0.9369241867995327</v>
      </c>
    </row>
    <row r="78">
      <c r="G78" s="179" t="inlineStr">
        <is>
          <t>Weight</t>
        </is>
      </c>
      <c r="H78" s="91" t="n">
        <v>0.9413567020433671</v>
      </c>
    </row>
    <row r="79">
      <c r="G79" s="179" t="inlineStr">
        <is>
          <t>Turning</t>
        </is>
      </c>
      <c r="H79" s="91" t="n">
        <v>0.969415858355231</v>
      </c>
    </row>
    <row r="80">
      <c r="G80" s="179" t="inlineStr">
        <is>
          <t>Braking</t>
        </is>
      </c>
      <c r="H80" s="91" t="n">
        <v>0.9000000000000001</v>
      </c>
    </row>
    <row r="81">
      <c r="G81" s="158" t="inlineStr">
        <is>
          <t>Run type</t>
        </is>
      </c>
    </row>
    <row r="82">
      <c r="G82" s="180" t="inlineStr">
        <is>
          <t>Groomers</t>
        </is>
      </c>
      <c r="H82" s="180" t="inlineStr">
        <is>
          <t>Powder</t>
        </is>
      </c>
    </row>
    <row r="83">
      <c r="G83" s="180" t="inlineStr">
        <is>
          <t>Moguls</t>
        </is>
      </c>
      <c r="H83" s="180" t="inlineStr">
        <is>
          <t>Park</t>
        </is>
      </c>
    </row>
    <row r="84">
      <c r="G84" s="180" t="inlineStr">
        <is>
          <t>Trees</t>
        </is>
      </c>
      <c r="H84" s="246" t="n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B1:AC55"/>
  <sheetViews>
    <sheetView showGridLines="0" workbookViewId="0">
      <selection activeCell="G24" sqref="G24"/>
    </sheetView>
  </sheetViews>
  <sheetFormatPr baseColWidth="8" defaultColWidth="8.33203125" defaultRowHeight="19.95" customHeight="1" outlineLevelCol="0"/>
  <cols>
    <col width="2.44140625" customWidth="1" style="138" min="1" max="6"/>
    <col width="13.44140625" customWidth="1" style="138" min="7" max="30"/>
    <col hidden="1" width="13.44140625" customWidth="1" style="138" min="31" max="31"/>
    <col width="13.44140625" customWidth="1" style="138" min="32" max="42"/>
    <col width="8.33203125" customWidth="1" style="138" min="43" max="43"/>
    <col width="8.33203125" customWidth="1" style="138" min="44" max="16384"/>
  </cols>
  <sheetData>
    <row r="1" ht="13.2" customHeight="1" s="184">
      <c r="B1" s="17" t="n"/>
    </row>
    <row r="2" ht="13.2" customHeight="1" s="184">
      <c r="B2" s="18" t="inlineStr">
        <is>
          <t>Inputs</t>
        </is>
      </c>
    </row>
    <row r="3" ht="13.2" customHeight="1" s="184">
      <c r="B3" s="19" t="inlineStr">
        <is>
          <t>To be modeled</t>
        </is>
      </c>
      <c r="G3" s="138" t="inlineStr">
        <is>
          <t>Park, backcountry (deprioritized)</t>
        </is>
      </c>
    </row>
    <row r="4" ht="13.2" customHeight="1" s="184">
      <c r="B4" s="19" t="n"/>
    </row>
    <row r="5" ht="13.2" customHeight="1" s="184">
      <c r="B5" s="158" t="inlineStr">
        <is>
          <t>Skiier summary</t>
        </is>
      </c>
    </row>
    <row r="6" ht="13.2" customHeight="1" s="184">
      <c r="B6" s="158" t="n"/>
      <c r="C6" s="92" t="inlineStr">
        <is>
          <t>Physical</t>
        </is>
      </c>
      <c r="D6" s="92" t="n"/>
      <c r="E6" s="92" t="n"/>
      <c r="F6" s="92" t="n"/>
    </row>
    <row r="7" ht="13.2" customHeight="1" s="184">
      <c r="D7" s="138" t="inlineStr">
        <is>
          <t>Weight</t>
        </is>
      </c>
      <c r="H7" s="18" t="n">
        <v>118</v>
      </c>
      <c r="I7" s="138" t="inlineStr">
        <is>
          <t>lbs</t>
        </is>
      </c>
    </row>
    <row r="8" ht="13.2" customHeight="1" s="184">
      <c r="D8" s="138" t="inlineStr">
        <is>
          <t>Height, floor (ft)</t>
        </is>
      </c>
      <c r="H8" s="18" t="n">
        <v>5</v>
      </c>
    </row>
    <row r="9" ht="13.2" customHeight="1" s="184">
      <c r="D9" s="138" t="inlineStr">
        <is>
          <t>Height, modulus (in)</t>
        </is>
      </c>
      <c r="H9" s="18" t="n">
        <v>5</v>
      </c>
    </row>
    <row r="10" ht="13.2" customHeight="1" s="184">
      <c r="D10" s="138" t="inlineStr">
        <is>
          <t>Height (in)</t>
        </is>
      </c>
      <c r="H10" s="138">
        <f>H8*12+H9</f>
        <v/>
      </c>
    </row>
    <row r="11" ht="13.2" customHeight="1" s="184">
      <c r="D11" s="138" t="inlineStr">
        <is>
          <t>Height (cm)</t>
        </is>
      </c>
      <c r="H11" s="138">
        <f>H10*2.54</f>
        <v/>
      </c>
    </row>
    <row r="12" ht="13.2" customHeight="1" s="184"/>
    <row r="13" ht="13.2" customHeight="1" s="184">
      <c r="C13" s="92" t="inlineStr">
        <is>
          <t>Skill level</t>
        </is>
      </c>
      <c r="E13" s="92" t="n"/>
      <c r="F13" s="92" t="n"/>
    </row>
    <row r="14" ht="13.2" customHeight="1" s="184">
      <c r="C14" s="92" t="n"/>
      <c r="D14" s="138" t="inlineStr">
        <is>
          <t>Run type</t>
        </is>
      </c>
      <c r="E14" s="92" t="n"/>
      <c r="F14" s="92" t="n"/>
      <c r="H14" s="138" t="inlineStr">
        <is>
          <t>% Desired</t>
        </is>
      </c>
      <c r="I14" s="138" t="inlineStr">
        <is>
          <t>Skill weight</t>
        </is>
      </c>
    </row>
    <row r="15" ht="13.2" customHeight="1" s="184">
      <c r="E15" s="138" t="inlineStr">
        <is>
          <t>Easiest (green)</t>
        </is>
      </c>
      <c r="H15" s="18" t="n">
        <v>0</v>
      </c>
      <c r="I15" s="17" t="n">
        <v>1</v>
      </c>
    </row>
    <row r="16" ht="13.2" customHeight="1" s="184">
      <c r="E16" s="138" t="inlineStr">
        <is>
          <t>Difficult (blue)</t>
        </is>
      </c>
      <c r="H16" s="18" t="n">
        <v>20</v>
      </c>
      <c r="I16" s="17" t="n">
        <v>2</v>
      </c>
    </row>
    <row r="17" ht="13.2" customHeight="1" s="184">
      <c r="E17" s="138" t="inlineStr">
        <is>
          <t>More difficult (black)</t>
        </is>
      </c>
      <c r="H17" s="18" t="n">
        <v>60</v>
      </c>
      <c r="I17" s="17" t="n">
        <v>3</v>
      </c>
    </row>
    <row r="18" ht="13.2" customHeight="1" s="184">
      <c r="E18" s="138" t="inlineStr">
        <is>
          <t>Most difficult (double)</t>
        </is>
      </c>
      <c r="H18" s="18" t="n">
        <v>20</v>
      </c>
      <c r="I18" s="17" t="n">
        <v>5</v>
      </c>
      <c r="J18" s="138" t="inlineStr">
        <is>
          <t>Note more emphasis put on doubles</t>
        </is>
      </c>
    </row>
    <row r="19" ht="13.2" customHeight="1" s="184"/>
    <row r="20" ht="13.2" customHeight="1" s="184">
      <c r="D20" s="138" t="inlineStr">
        <is>
          <t>Skill level</t>
        </is>
      </c>
      <c r="H20" s="16">
        <f>SUMPRODUCT(H15:H18,I15:I18)/100</f>
        <v/>
      </c>
    </row>
    <row r="21" ht="13.2" customHeight="1" s="184">
      <c r="D21" s="138" t="inlineStr">
        <is>
          <t>Ideal ski height</t>
        </is>
      </c>
      <c r="H21" s="20" t="n">
        <v>-8</v>
      </c>
      <c r="I21" s="16" t="inlineStr">
        <is>
          <t xml:space="preserve">8 cm below head </t>
        </is>
      </c>
    </row>
    <row r="22" ht="13.2" customHeight="1" s="184">
      <c r="D22" s="138" t="inlineStr">
        <is>
          <t>Ideal ski height</t>
        </is>
      </c>
      <c r="H22" s="16">
        <f>H11+H21</f>
        <v/>
      </c>
    </row>
    <row r="23" ht="13.2" customHeight="1" s="184">
      <c r="D23" s="138" t="inlineStr">
        <is>
          <t>Acceptable range above</t>
        </is>
      </c>
      <c r="H23" s="138" t="n">
        <v>8</v>
      </c>
    </row>
    <row r="24" ht="13.2" customHeight="1" s="184">
      <c r="D24" s="138" t="inlineStr">
        <is>
          <t>Acceptable range below</t>
        </is>
      </c>
      <c r="H24" s="138" t="n">
        <v>-2</v>
      </c>
    </row>
    <row r="25" ht="13.2" customHeight="1" s="184">
      <c r="D25" s="138" t="inlineStr">
        <is>
          <t>Max actual length</t>
        </is>
      </c>
      <c r="H25" s="16">
        <f>H23+H22</f>
        <v/>
      </c>
    </row>
    <row r="26" ht="13.2" customHeight="1" s="184">
      <c r="D26" s="138" t="inlineStr">
        <is>
          <t>Min actual length</t>
        </is>
      </c>
      <c r="H26" s="16">
        <f>H22+H24</f>
        <v/>
      </c>
    </row>
    <row r="27" ht="13.2" customHeight="1" s="184">
      <c r="H27" s="16" t="n"/>
    </row>
    <row r="28" ht="13.2" customHeight="1" s="184">
      <c r="C28" s="92" t="inlineStr">
        <is>
          <t>Run type</t>
        </is>
      </c>
      <c r="H28" s="16" t="n"/>
    </row>
    <row r="29" ht="13.2" customHeight="1" s="184">
      <c r="D29" s="138" t="inlineStr">
        <is>
          <t>Groomers</t>
        </is>
      </c>
      <c r="H29" s="138" t="n">
        <v>40</v>
      </c>
    </row>
    <row r="30" ht="13.2" customHeight="1" s="184">
      <c r="D30" s="138" t="inlineStr">
        <is>
          <t>Moguls</t>
        </is>
      </c>
      <c r="H30" s="138" t="n">
        <v>35</v>
      </c>
    </row>
    <row r="31" ht="13.2" customHeight="1" s="184">
      <c r="D31" s="138" t="inlineStr">
        <is>
          <t>Trees</t>
        </is>
      </c>
      <c r="H31" s="138" t="n">
        <v>10</v>
      </c>
    </row>
    <row r="32" ht="13.2" customHeight="1" s="184">
      <c r="D32" s="138" t="inlineStr">
        <is>
          <t>Powder</t>
        </is>
      </c>
      <c r="H32" s="138" t="n">
        <v>15</v>
      </c>
    </row>
    <row r="33" ht="13.2" customHeight="1" s="184">
      <c r="D33" s="138" t="inlineStr">
        <is>
          <t>Park</t>
        </is>
      </c>
      <c r="H33" s="138" t="n">
        <v>0</v>
      </c>
    </row>
    <row r="34" ht="13.2" customHeight="1" s="184"/>
    <row r="35" ht="13.2" customHeight="1" s="184">
      <c r="D35" s="138" t="inlineStr">
        <is>
          <t>All mountain ski, mostly groomers but powder capable</t>
        </is>
      </c>
    </row>
    <row r="36" ht="13.2" customHeight="1" s="184">
      <c r="D36" s="138" t="inlineStr">
        <is>
          <t>Ideal width</t>
        </is>
      </c>
      <c r="H36" s="138" t="n">
        <v>96</v>
      </c>
    </row>
    <row r="37" ht="13.2" customHeight="1" s="184">
      <c r="D37" s="138" t="inlineStr">
        <is>
          <t>Acceptable range</t>
        </is>
      </c>
    </row>
    <row r="38" ht="13.2" customHeight="1" s="184">
      <c r="E38" s="138" t="inlineStr">
        <is>
          <t>Above</t>
        </is>
      </c>
      <c r="H38" s="138" t="n">
        <v>7</v>
      </c>
    </row>
    <row r="39" ht="13.2" customHeight="1" s="184">
      <c r="E39" s="138" t="inlineStr">
        <is>
          <t>Below</t>
        </is>
      </c>
      <c r="H39" s="138" t="n">
        <v>-1</v>
      </c>
    </row>
    <row r="40" ht="13.2" customHeight="1" s="184">
      <c r="D40" s="138" t="inlineStr">
        <is>
          <t>Actual underfoot width</t>
        </is>
      </c>
    </row>
    <row r="41" ht="13.2" customHeight="1" s="184">
      <c r="E41" s="138" t="inlineStr">
        <is>
          <t>Min</t>
        </is>
      </c>
      <c r="H41" s="138">
        <f>$H$36+H38</f>
        <v/>
      </c>
    </row>
    <row r="42" ht="13.2" customHeight="1" s="184">
      <c r="E42" s="138" t="inlineStr">
        <is>
          <t>Max</t>
        </is>
      </c>
      <c r="H42" s="138">
        <f>$H$36+H39</f>
        <v/>
      </c>
    </row>
    <row r="43" ht="13.2" customHeight="1" s="184"/>
    <row r="44" ht="13.2" customHeight="1" s="184">
      <c r="E44" s="138" t="inlineStr">
        <is>
          <t>Park</t>
        </is>
      </c>
      <c r="H44" s="138" t="n">
        <v>0</v>
      </c>
      <c r="I44" s="138" t="inlineStr">
        <is>
          <t>&lt;--if park, then other considerations, maybe need a column on if park safe? De-prioritize</t>
        </is>
      </c>
    </row>
    <row r="45" ht="13.2" customHeight="1" s="184"/>
    <row r="46" ht="13.2" customHeight="1" s="184">
      <c r="C46" s="92" t="inlineStr">
        <is>
          <t>Style</t>
        </is>
      </c>
    </row>
    <row r="47" ht="13.2" customHeight="1" s="184"/>
    <row r="48" ht="13.2" customHeight="1" s="184">
      <c r="D48" s="138" t="inlineStr">
        <is>
          <t>Ski backwards</t>
        </is>
      </c>
      <c r="H48" s="138" t="inlineStr">
        <is>
          <t>Yes</t>
        </is>
      </c>
    </row>
    <row r="49" ht="13.2" customHeight="1" s="184"/>
    <row r="50" ht="13.2" customHeight="1" s="184">
      <c r="D50" s="158" t="inlineStr">
        <is>
          <t>Processing summary</t>
        </is>
      </c>
      <c r="G50" s="158" t="n"/>
    </row>
    <row r="51" ht="13.2" customHeight="1" s="184">
      <c r="D51" s="138" t="inlineStr">
        <is>
          <t>Deprioritized</t>
        </is>
      </c>
      <c r="H51" s="138">
        <f>2967-H52</f>
        <v/>
      </c>
    </row>
    <row r="52" ht="13.2" customHeight="1" s="184">
      <c r="D52" s="138" t="inlineStr">
        <is>
          <t>Count</t>
        </is>
      </c>
      <c r="H52" s="138">
        <f>COUNTA(Data!BR9:BR1273)</f>
        <v/>
      </c>
    </row>
    <row r="53" ht="13.2" customHeight="1" s="184"/>
    <row r="54" ht="19.95" customHeight="1" s="184">
      <c r="AC54" s="21" t="n"/>
    </row>
    <row r="55" ht="19.95" customHeight="1" s="184">
      <c r="AC55" s="21" t="n"/>
    </row>
    <row r="56" ht="27.75" customHeight="1" s="184"/>
    <row r="57" ht="30" customFormat="1" customHeight="1" s="303"/>
    <row r="58" ht="20.25" customHeight="1" s="184"/>
    <row r="65" ht="13.2" customHeight="1" s="184"/>
  </sheetData>
  <pageMargins left="1" right="1" top="1" bottom="1" header="0.25" footer="0.25"/>
  <pageSetup orientation="portrait"/>
  <headerFooter>
    <oddHeader/>
    <oddFooter>&amp;C&amp;"Helvetica Neue,Regular"&amp;12 &amp;K000000&amp;P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A16:AG1281"/>
  <sheetViews>
    <sheetView workbookViewId="0">
      <selection activeCell="G24" sqref="G24"/>
    </sheetView>
  </sheetViews>
  <sheetFormatPr baseColWidth="8" defaultColWidth="8.77734375" defaultRowHeight="13.2"/>
  <sheetData>
    <row r="16">
      <c r="A16" s="2" t="inlineStr">
        <is>
          <t>Year</t>
        </is>
      </c>
      <c r="B16" s="2" t="inlineStr">
        <is>
          <t>Brand</t>
        </is>
      </c>
      <c r="C16" s="2" t="inlineStr">
        <is>
          <t>Model</t>
        </is>
      </c>
      <c r="D16" s="2" t="inlineStr">
        <is>
          <t>Nominal Length (cm)</t>
        </is>
      </c>
      <c r="E16" s="2" t="inlineStr">
        <is>
          <t>Gender</t>
        </is>
      </c>
      <c r="F16" s="2" t="inlineStr">
        <is>
          <t>Nominal Length (cm)</t>
        </is>
      </c>
      <c r="G16" s="2" t="inlineStr">
        <is>
          <t>Actual Length (cm)</t>
        </is>
      </c>
      <c r="H16" s="2" t="inlineStr">
        <is>
          <t>Running lenght (cm)</t>
        </is>
      </c>
      <c r="I16" s="2" t="inlineStr">
        <is>
          <t>Sidecut length (cm)</t>
        </is>
      </c>
      <c r="J16" s="2" t="inlineStr">
        <is>
          <t>Tip width (mm)</t>
        </is>
      </c>
      <c r="K16" s="2" t="inlineStr">
        <is>
          <t xml:space="preserve">Waist width (mm) </t>
        </is>
      </c>
      <c r="L16" s="2" t="inlineStr">
        <is>
          <t>Tail width (mm)</t>
        </is>
      </c>
      <c r="M16" s="2" t="inlineStr">
        <is>
          <t>Sidecut radius (m)</t>
        </is>
      </c>
      <c r="N16" s="2" t="inlineStr">
        <is>
          <t>Mass (g)</t>
        </is>
      </c>
      <c r="O16" s="2" t="inlineStr">
        <is>
          <t>Surface-to-weight Ratio (cm^2/g)</t>
        </is>
      </c>
      <c r="P16" s="2" t="inlineStr">
        <is>
          <t>Base area (cm2)</t>
        </is>
      </c>
      <c r="Q16" s="2" t="inlineStr">
        <is>
          <t>Avg Bending Stiffness (El)</t>
        </is>
      </c>
      <c r="R16" s="2" t="inlineStr">
        <is>
          <t>Avg Torsional  Stiffness (GJ)</t>
        </is>
      </c>
      <c r="S16" s="2" t="inlineStr">
        <is>
          <t>Tip Height (mm)</t>
        </is>
      </c>
      <c r="T16" s="2" t="inlineStr">
        <is>
          <t>Tip Rocker Length (mm)</t>
        </is>
      </c>
      <c r="U16" s="2" t="inlineStr">
        <is>
          <t>Tail height (mm)</t>
        </is>
      </c>
      <c r="V16" s="2" t="inlineStr">
        <is>
          <t>Tail Rocker Length (mm)</t>
        </is>
      </c>
      <c r="W16" s="2" t="inlineStr">
        <is>
          <t>Tail/Tip Height Ratio (%)</t>
        </is>
      </c>
      <c r="X16" s="2" t="inlineStr">
        <is>
          <t>Tip  Taper Length (mm)</t>
        </is>
      </c>
      <c r="Y16" s="2" t="inlineStr">
        <is>
          <t>Tail Taper Length (mm)</t>
        </is>
      </c>
      <c r="Z16" s="2" t="inlineStr">
        <is>
          <t>Front  Contact Point Range (mm)</t>
        </is>
      </c>
      <c r="AA16" s="2" t="inlineStr">
        <is>
          <t>Camber (mm)</t>
        </is>
      </c>
      <c r="AB16" s="2" t="inlineStr">
        <is>
          <t>Setback (cm)</t>
        </is>
      </c>
      <c r="AC16" s="2" t="inlineStr">
        <is>
          <t xml:space="preserve"> Powder</t>
        </is>
      </c>
      <c r="AD16" s="2" t="inlineStr">
        <is>
          <t>Category</t>
        </is>
      </c>
      <c r="AE16" s="3" t="n"/>
      <c r="AF16" s="3" t="n"/>
      <c r="AG16" s="3" t="n"/>
    </row>
    <row r="17">
      <c r="A17" s="4" t="inlineStr">
        <is>
          <t>22/23</t>
        </is>
      </c>
      <c r="B17" s="5" t="inlineStr">
        <is>
          <t xml:space="preserve"> DPS</t>
        </is>
      </c>
      <c r="C17" s="6" t="inlineStr">
        <is>
          <t>Pagoda Tour 100 RP</t>
        </is>
      </c>
      <c r="D17" s="8" t="n">
        <v>171</v>
      </c>
      <c r="E17" s="6" t="inlineStr">
        <is>
          <t xml:space="preserve"> Unisex</t>
        </is>
      </c>
      <c r="F17" s="8" t="n">
        <v>171</v>
      </c>
      <c r="G17" s="8" t="n">
        <v>169.4</v>
      </c>
      <c r="H17" s="8" t="n">
        <v>107</v>
      </c>
      <c r="I17" s="8" t="n">
        <v>130</v>
      </c>
      <c r="J17" s="8" t="n">
        <v>129</v>
      </c>
      <c r="K17" s="8" t="n">
        <v>100</v>
      </c>
      <c r="L17" s="8" t="n">
        <v>115</v>
      </c>
      <c r="M17" s="8" t="n">
        <v>15.3</v>
      </c>
      <c r="N17" s="8" t="n">
        <v>1410</v>
      </c>
      <c r="O17" s="8" t="n">
        <v>1.32</v>
      </c>
      <c r="P17" s="8" t="n">
        <v>1864</v>
      </c>
      <c r="Q17" s="8" t="n">
        <v>217</v>
      </c>
      <c r="R17" s="8" t="n">
        <v>104</v>
      </c>
      <c r="S17" s="8" t="n">
        <v>61</v>
      </c>
      <c r="T17" s="8" t="n">
        <v>353</v>
      </c>
      <c r="U17" s="8" t="n">
        <v>14</v>
      </c>
      <c r="V17" s="8" t="n">
        <v>267</v>
      </c>
      <c r="W17" s="8" t="n">
        <v>0.233</v>
      </c>
      <c r="X17" s="8" t="n">
        <v>214</v>
      </c>
      <c r="Y17" s="8" t="n">
        <v>182</v>
      </c>
      <c r="Z17" s="8" t="n">
        <v>139</v>
      </c>
      <c r="AA17" s="8" t="n">
        <v>4</v>
      </c>
      <c r="AB17" s="8" t="n">
        <v>11.9</v>
      </c>
      <c r="AC17" s="6" t="inlineStr">
        <is>
          <t xml:space="preserve"> Touring</t>
        </is>
      </c>
      <c r="AD17" s="6" t="inlineStr">
        <is>
          <t xml:space="preserve"> Ultralight Touring</t>
        </is>
      </c>
      <c r="AE17" s="8" t="n"/>
      <c r="AF17" s="8" t="n"/>
      <c r="AG17" s="8" t="n"/>
    </row>
    <row r="18">
      <c r="A18" s="9" t="inlineStr">
        <is>
          <t>22/23</t>
        </is>
      </c>
      <c r="B18" s="10" t="inlineStr">
        <is>
          <t xml:space="preserve"> DPS</t>
        </is>
      </c>
      <c r="C18" s="11" t="inlineStr">
        <is>
          <t>Pagoda Tour 106 W</t>
        </is>
      </c>
      <c r="D18" s="13" t="n">
        <v>163</v>
      </c>
      <c r="E18" s="11" t="inlineStr">
        <is>
          <t xml:space="preserve"> Women's</t>
        </is>
      </c>
      <c r="F18" s="13" t="n">
        <v>163</v>
      </c>
      <c r="G18" s="13" t="n">
        <v>161.7</v>
      </c>
      <c r="H18" s="13" t="n">
        <v>111</v>
      </c>
      <c r="I18" s="13" t="n">
        <v>124</v>
      </c>
      <c r="J18" s="13" t="n">
        <v>132</v>
      </c>
      <c r="K18" s="13" t="n">
        <v>106</v>
      </c>
      <c r="L18" s="13" t="n">
        <v>118</v>
      </c>
      <c r="M18" s="13" t="n">
        <v>18.9</v>
      </c>
      <c r="N18" s="13" t="n">
        <v>1364</v>
      </c>
      <c r="O18" s="13" t="n">
        <v>1.35</v>
      </c>
      <c r="P18" s="13" t="n">
        <v>1840</v>
      </c>
      <c r="Q18" s="13" t="n">
        <v>210</v>
      </c>
      <c r="R18" s="13" t="n">
        <v>97</v>
      </c>
      <c r="S18" s="13" t="n">
        <v>43</v>
      </c>
      <c r="T18" s="13" t="n">
        <v>273</v>
      </c>
      <c r="U18" s="13" t="n">
        <v>22</v>
      </c>
      <c r="V18" s="13" t="n">
        <v>231</v>
      </c>
      <c r="W18" s="13" t="n">
        <v>0.523</v>
      </c>
      <c r="X18" s="13" t="n">
        <v>194</v>
      </c>
      <c r="Y18" s="13" t="n">
        <v>181</v>
      </c>
      <c r="Z18" s="13" t="n">
        <v>79</v>
      </c>
      <c r="AA18" s="13" t="n">
        <v>5</v>
      </c>
      <c r="AB18" s="13" t="n">
        <v>10.7</v>
      </c>
      <c r="AC18" s="11" t="inlineStr">
        <is>
          <t xml:space="preserve"> Powder</t>
        </is>
      </c>
      <c r="AD18" s="11" t="inlineStr">
        <is>
          <t xml:space="preserve"> Touring</t>
        </is>
      </c>
      <c r="AE18" s="11" t="inlineStr">
        <is>
          <t xml:space="preserve"> Ultralight Touring</t>
        </is>
      </c>
      <c r="AF18" s="13" t="n"/>
      <c r="AG18" s="13" t="n"/>
    </row>
    <row r="19">
      <c r="A19" s="9" t="inlineStr">
        <is>
          <t>22/23</t>
        </is>
      </c>
      <c r="B19" s="10" t="inlineStr">
        <is>
          <t xml:space="preserve"> DPS</t>
        </is>
      </c>
      <c r="C19" s="11" t="inlineStr">
        <is>
          <t>Pagoda Tour 112 W</t>
        </is>
      </c>
      <c r="D19" s="13" t="n">
        <v>168</v>
      </c>
      <c r="E19" s="11" t="inlineStr">
        <is>
          <t xml:space="preserve"> Women's</t>
        </is>
      </c>
      <c r="F19" s="13" t="n">
        <v>168</v>
      </c>
      <c r="G19" s="13" t="n">
        <v>166.3</v>
      </c>
      <c r="H19" s="13" t="n">
        <v>95</v>
      </c>
      <c r="I19" s="13" t="n">
        <v>111</v>
      </c>
      <c r="J19" s="13" t="n">
        <v>136</v>
      </c>
      <c r="K19" s="13" t="n">
        <v>112</v>
      </c>
      <c r="L19" s="13" t="n">
        <v>124</v>
      </c>
      <c r="M19" s="13" t="n">
        <v>15.2</v>
      </c>
      <c r="N19" s="13" t="n">
        <v>1419</v>
      </c>
      <c r="O19" s="13" t="n">
        <v>1.4</v>
      </c>
      <c r="P19" s="13" t="n">
        <v>1992</v>
      </c>
      <c r="Q19" s="13" t="n">
        <v>212</v>
      </c>
      <c r="R19" s="13" t="n">
        <v>112</v>
      </c>
      <c r="S19" s="13" t="n">
        <v>64</v>
      </c>
      <c r="T19" s="13" t="n">
        <v>403</v>
      </c>
      <c r="U19" s="13" t="n">
        <v>36</v>
      </c>
      <c r="V19" s="13" t="n">
        <v>309</v>
      </c>
      <c r="W19" s="13" t="n">
        <v>0.556</v>
      </c>
      <c r="X19" s="13" t="n">
        <v>298</v>
      </c>
      <c r="Y19" s="13" t="n">
        <v>253</v>
      </c>
      <c r="Z19" s="13" t="n">
        <v>104</v>
      </c>
      <c r="AA19" s="13" t="n">
        <v>4</v>
      </c>
      <c r="AB19" s="13" t="n">
        <v>13.3</v>
      </c>
      <c r="AC19" s="11" t="inlineStr">
        <is>
          <t xml:space="preserve"> Powder</t>
        </is>
      </c>
      <c r="AD19" s="11" t="inlineStr">
        <is>
          <t xml:space="preserve"> Touring</t>
        </is>
      </c>
      <c r="AE19" s="11" t="inlineStr">
        <is>
          <t xml:space="preserve"> Ultralight Touring</t>
        </is>
      </c>
      <c r="AF19" s="13" t="n"/>
      <c r="AG19" s="13" t="n"/>
    </row>
    <row r="20">
      <c r="A20" s="9" t="inlineStr">
        <is>
          <t>22/23</t>
        </is>
      </c>
      <c r="B20" s="10" t="inlineStr">
        <is>
          <t xml:space="preserve"> DPS</t>
        </is>
      </c>
      <c r="C20" s="11" t="inlineStr">
        <is>
          <t>Pagoda Tour 90</t>
        </is>
      </c>
      <c r="D20" s="13" t="n">
        <v>178</v>
      </c>
      <c r="E20" s="11" t="inlineStr">
        <is>
          <t xml:space="preserve"> Unisex</t>
        </is>
      </c>
      <c r="F20" s="13" t="n">
        <v>178</v>
      </c>
      <c r="G20" s="13" t="n">
        <v>177.6</v>
      </c>
      <c r="H20" s="13" t="n">
        <v>118</v>
      </c>
      <c r="I20" s="13" t="n">
        <v>135</v>
      </c>
      <c r="J20" s="13" t="n">
        <v>125</v>
      </c>
      <c r="K20" s="13" t="n">
        <v>90</v>
      </c>
      <c r="L20" s="13" t="n">
        <v>109</v>
      </c>
      <c r="M20" s="13" t="n">
        <v>15</v>
      </c>
      <c r="N20" s="13" t="n">
        <v>1319</v>
      </c>
      <c r="O20" s="13" t="n">
        <v>1.38</v>
      </c>
      <c r="P20" s="13" t="n">
        <v>1819</v>
      </c>
      <c r="Q20" s="13" t="n">
        <v>201</v>
      </c>
      <c r="R20" s="13" t="n">
        <v>92</v>
      </c>
      <c r="S20" s="13" t="n">
        <v>60</v>
      </c>
      <c r="T20" s="13" t="n">
        <v>342</v>
      </c>
      <c r="U20" s="13" t="n">
        <v>13</v>
      </c>
      <c r="V20" s="13" t="n">
        <v>254</v>
      </c>
      <c r="W20" s="13" t="n">
        <v>0.215</v>
      </c>
      <c r="X20" s="13" t="n">
        <v>197</v>
      </c>
      <c r="Y20" s="13" t="n">
        <v>230</v>
      </c>
      <c r="Z20" s="13" t="n">
        <v>144</v>
      </c>
      <c r="AA20" s="13" t="n">
        <v>8</v>
      </c>
      <c r="AB20" s="13" t="n">
        <v>13</v>
      </c>
      <c r="AC20" s="11" t="inlineStr">
        <is>
          <t xml:space="preserve"> Touring</t>
        </is>
      </c>
      <c r="AD20" s="11" t="inlineStr">
        <is>
          <t xml:space="preserve"> Ultralight Touring</t>
        </is>
      </c>
      <c r="AE20" s="13" t="n"/>
      <c r="AF20" s="13" t="n"/>
      <c r="AG20" s="13" t="n"/>
    </row>
    <row r="21">
      <c r="A21" s="9" t="inlineStr">
        <is>
          <t>22/23</t>
        </is>
      </c>
      <c r="B21" s="10" t="inlineStr">
        <is>
          <t xml:space="preserve"> DPS</t>
        </is>
      </c>
      <c r="C21" s="11" t="inlineStr">
        <is>
          <t>Pagoda Tour 94</t>
        </is>
      </c>
      <c r="D21" s="13" t="n">
        <v>178</v>
      </c>
      <c r="E21" s="11" t="inlineStr">
        <is>
          <t xml:space="preserve"> Unisex</t>
        </is>
      </c>
      <c r="F21" s="13" t="n">
        <v>178</v>
      </c>
      <c r="G21" s="13" t="n">
        <v>176.2</v>
      </c>
      <c r="H21" s="13" t="n">
        <v>130</v>
      </c>
      <c r="I21" s="13" t="n">
        <v>146</v>
      </c>
      <c r="J21" s="13" t="n">
        <v>131</v>
      </c>
      <c r="K21" s="13" t="n">
        <v>94</v>
      </c>
      <c r="L21" s="13" t="n">
        <v>111</v>
      </c>
      <c r="M21" s="13" t="n">
        <v>18.9</v>
      </c>
      <c r="N21" s="13" t="n">
        <v>1372</v>
      </c>
      <c r="O21" s="13" t="n">
        <v>1.35</v>
      </c>
      <c r="P21" s="13" t="n">
        <v>1846</v>
      </c>
      <c r="Q21" s="13" t="n">
        <v>227</v>
      </c>
      <c r="R21" s="13" t="n">
        <v>101</v>
      </c>
      <c r="S21" s="13" t="n">
        <v>53</v>
      </c>
      <c r="T21" s="13" t="n">
        <v>269</v>
      </c>
      <c r="U21" s="13" t="n">
        <v>23</v>
      </c>
      <c r="V21" s="13" t="n">
        <v>189</v>
      </c>
      <c r="W21" s="13" t="n">
        <v>0.437</v>
      </c>
      <c r="X21" s="13" t="n">
        <v>143</v>
      </c>
      <c r="Y21" s="13" t="n">
        <v>159</v>
      </c>
      <c r="Z21" s="13" t="n">
        <v>125</v>
      </c>
      <c r="AA21" s="13" t="n">
        <v>6</v>
      </c>
      <c r="AB21" s="13" t="n">
        <v>10.8</v>
      </c>
      <c r="AC21" s="11" t="inlineStr">
        <is>
          <t xml:space="preserve"> Touring</t>
        </is>
      </c>
      <c r="AD21" s="11" t="inlineStr">
        <is>
          <t xml:space="preserve"> Ultralight Touring</t>
        </is>
      </c>
      <c r="AE21" s="13" t="n"/>
      <c r="AF21" s="13" t="n"/>
      <c r="AG21" s="13" t="n"/>
    </row>
    <row r="22">
      <c r="A22" s="9" t="inlineStr">
        <is>
          <t>21/22</t>
        </is>
      </c>
      <c r="B22" s="10" t="inlineStr">
        <is>
          <t>4FRNT</t>
        </is>
      </c>
      <c r="C22" s="11" t="inlineStr">
        <is>
          <t xml:space="preserve"> Devastator</t>
        </is>
      </c>
      <c r="D22" s="13" t="n">
        <v>186</v>
      </c>
      <c r="E22" s="11" t="inlineStr">
        <is>
          <t xml:space="preserve"> Unisex</t>
        </is>
      </c>
      <c r="F22" s="13" t="n">
        <v>186</v>
      </c>
      <c r="G22" s="13" t="n">
        <v>183.8</v>
      </c>
      <c r="H22" s="13" t="n">
        <v>0</v>
      </c>
      <c r="I22" s="13" t="n">
        <v>151</v>
      </c>
      <c r="J22" s="13" t="n">
        <v>136</v>
      </c>
      <c r="K22" s="13" t="n">
        <v>107</v>
      </c>
      <c r="L22" s="13" t="n">
        <v>130</v>
      </c>
      <c r="M22" s="13" t="n">
        <v>20.7</v>
      </c>
      <c r="N22" s="13" t="n">
        <v>1970</v>
      </c>
      <c r="O22" s="13" t="n">
        <v>1.09</v>
      </c>
      <c r="P22" s="13" t="n">
        <v>2144</v>
      </c>
      <c r="Q22" s="13" t="n">
        <v>310</v>
      </c>
      <c r="R22" s="13" t="n">
        <v>129</v>
      </c>
      <c r="S22" s="13" t="n">
        <v>59</v>
      </c>
      <c r="T22" s="13" t="n">
        <v>971</v>
      </c>
      <c r="U22" s="13" t="n">
        <v>54</v>
      </c>
      <c r="V22" s="13" t="n">
        <v>867</v>
      </c>
      <c r="W22" s="13" t="n">
        <v>0.902</v>
      </c>
      <c r="X22" s="13" t="n">
        <v>165</v>
      </c>
      <c r="Y22" s="13" t="n">
        <v>159</v>
      </c>
      <c r="Z22" s="13" t="n">
        <v>806</v>
      </c>
      <c r="AA22" s="13" t="n">
        <v>-10</v>
      </c>
      <c r="AB22" s="13" t="n">
        <v>5.2</v>
      </c>
      <c r="AC22" s="11" t="inlineStr">
        <is>
          <t xml:space="preserve"> Freeski</t>
        </is>
      </c>
      <c r="AD22" s="11" t="inlineStr">
        <is>
          <t xml:space="preserve"> Powder</t>
        </is>
      </c>
      <c r="AE22" s="11" t="inlineStr">
        <is>
          <t xml:space="preserve"> Touring</t>
        </is>
      </c>
      <c r="AF22" s="13" t="n"/>
      <c r="AG22" s="13" t="n"/>
    </row>
    <row r="23">
      <c r="A23" s="9" t="inlineStr">
        <is>
          <t>21/22</t>
        </is>
      </c>
      <c r="B23" s="10" t="inlineStr">
        <is>
          <t>4FRNT</t>
        </is>
      </c>
      <c r="C23" s="11" t="inlineStr">
        <is>
          <t xml:space="preserve"> Hoji</t>
        </is>
      </c>
      <c r="D23" s="13" t="n">
        <v>184</v>
      </c>
      <c r="E23" s="11" t="inlineStr">
        <is>
          <t xml:space="preserve"> Unisex</t>
        </is>
      </c>
      <c r="F23" s="13" t="n">
        <v>184</v>
      </c>
      <c r="G23" s="13" t="n">
        <v>182.7</v>
      </c>
      <c r="H23" s="13" t="n">
        <v>0</v>
      </c>
      <c r="I23" s="13" t="n">
        <v>132</v>
      </c>
      <c r="J23" s="13" t="n">
        <v>128</v>
      </c>
      <c r="K23" s="13" t="n">
        <v>112</v>
      </c>
      <c r="L23" s="13" t="n">
        <v>119</v>
      </c>
      <c r="M23" s="13" t="n">
        <v>30.1</v>
      </c>
      <c r="N23" s="13" t="n">
        <v>1920</v>
      </c>
      <c r="O23" s="13" t="n">
        <v>1.1</v>
      </c>
      <c r="P23" s="13" t="n">
        <v>2118</v>
      </c>
      <c r="Q23" s="13" t="n">
        <v>297</v>
      </c>
      <c r="R23" s="13" t="n">
        <v>117</v>
      </c>
      <c r="S23" s="13" t="n">
        <v>76</v>
      </c>
      <c r="T23" s="13" t="n">
        <v>982</v>
      </c>
      <c r="U23" s="13" t="n">
        <v>28</v>
      </c>
      <c r="V23" s="13" t="n">
        <v>845</v>
      </c>
      <c r="W23" s="13" t="n">
        <v>0.366</v>
      </c>
      <c r="X23" s="13" t="n">
        <v>209</v>
      </c>
      <c r="Y23" s="13" t="n">
        <v>301</v>
      </c>
      <c r="Z23" s="13" t="n">
        <v>773</v>
      </c>
      <c r="AA23" s="13" t="n">
        <v>-11</v>
      </c>
      <c r="AB23" s="13" t="n">
        <v>6.9</v>
      </c>
      <c r="AC23" s="11" t="inlineStr">
        <is>
          <t xml:space="preserve"> Powder</t>
        </is>
      </c>
      <c r="AD23" s="11" t="inlineStr">
        <is>
          <t xml:space="preserve"> Big Mountain</t>
        </is>
      </c>
      <c r="AE23" s="11" t="inlineStr">
        <is>
          <t xml:space="preserve"> Touring</t>
        </is>
      </c>
      <c r="AF23" s="13" t="n"/>
      <c r="AG23" s="13" t="n"/>
    </row>
    <row r="24">
      <c r="A24" s="9" t="inlineStr">
        <is>
          <t>21/22</t>
        </is>
      </c>
      <c r="B24" s="10" t="inlineStr">
        <is>
          <t>4FRNT</t>
        </is>
      </c>
      <c r="C24" s="11" t="inlineStr">
        <is>
          <t xml:space="preserve"> Hoji CC</t>
        </is>
      </c>
      <c r="D24" s="13" t="n">
        <v>170</v>
      </c>
      <c r="E24" s="11" t="inlineStr">
        <is>
          <t xml:space="preserve"> Women's</t>
        </is>
      </c>
      <c r="F24" s="13" t="n">
        <v>170</v>
      </c>
      <c r="G24" s="13" t="n">
        <v>168.6</v>
      </c>
      <c r="H24" s="13" t="n">
        <v>0</v>
      </c>
      <c r="I24" s="13" t="n">
        <v>117</v>
      </c>
      <c r="J24" s="13" t="n">
        <v>125</v>
      </c>
      <c r="K24" s="13" t="n">
        <v>111</v>
      </c>
      <c r="L24" s="13" t="n">
        <v>117</v>
      </c>
      <c r="M24" s="13" t="n">
        <v>29.9</v>
      </c>
      <c r="N24" s="13" t="n">
        <v>1785</v>
      </c>
      <c r="O24" s="13" t="n">
        <v>1.08</v>
      </c>
      <c r="P24" s="13" t="n">
        <v>1933</v>
      </c>
      <c r="Q24" s="13" t="n">
        <v>258</v>
      </c>
      <c r="R24" s="13" t="n">
        <v>120</v>
      </c>
      <c r="S24" s="13" t="n">
        <v>76</v>
      </c>
      <c r="T24" s="13" t="n">
        <v>911</v>
      </c>
      <c r="U24" s="13" t="n">
        <v>31</v>
      </c>
      <c r="V24" s="13" t="n">
        <v>775</v>
      </c>
      <c r="W24" s="13" t="n">
        <v>0.411</v>
      </c>
      <c r="X24" s="13" t="n">
        <v>200</v>
      </c>
      <c r="Y24" s="13" t="n">
        <v>314</v>
      </c>
      <c r="Z24" s="13" t="n">
        <v>711</v>
      </c>
      <c r="AA24" s="13" t="n">
        <v>-11</v>
      </c>
      <c r="AB24" s="13" t="n">
        <v>6.8</v>
      </c>
      <c r="AC24" s="11" t="inlineStr">
        <is>
          <t xml:space="preserve"> Powder</t>
        </is>
      </c>
      <c r="AD24" s="11" t="inlineStr">
        <is>
          <t xml:space="preserve"> Touring</t>
        </is>
      </c>
      <c r="AE24" s="13" t="n"/>
      <c r="AF24" s="13" t="n"/>
      <c r="AG24" s="13" t="n"/>
    </row>
    <row r="25">
      <c r="A25" s="9" t="inlineStr">
        <is>
          <t>21/22</t>
        </is>
      </c>
      <c r="B25" s="10" t="inlineStr">
        <is>
          <t>4FRNT</t>
        </is>
      </c>
      <c r="C25" s="11" t="inlineStr">
        <is>
          <t xml:space="preserve"> Hoji CC</t>
        </is>
      </c>
      <c r="D25" s="13" t="n">
        <v>177</v>
      </c>
      <c r="E25" s="11" t="inlineStr">
        <is>
          <t xml:space="preserve"> Women's</t>
        </is>
      </c>
      <c r="F25" s="13" t="n">
        <v>177</v>
      </c>
      <c r="G25" s="13" t="n">
        <v>175.5</v>
      </c>
      <c r="H25" s="13" t="n">
        <v>0</v>
      </c>
      <c r="I25" s="13" t="n">
        <v>126</v>
      </c>
      <c r="J25" s="13" t="n">
        <v>126</v>
      </c>
      <c r="K25" s="13" t="n">
        <v>111</v>
      </c>
      <c r="L25" s="13" t="n">
        <v>118</v>
      </c>
      <c r="M25" s="13" t="n">
        <v>30.4</v>
      </c>
      <c r="N25" s="13" t="n">
        <v>1822</v>
      </c>
      <c r="O25" s="13" t="n">
        <v>1.11</v>
      </c>
      <c r="P25" s="13" t="n">
        <v>2023</v>
      </c>
      <c r="Q25" s="13" t="n">
        <v>278</v>
      </c>
      <c r="R25" s="13" t="n">
        <v>123</v>
      </c>
      <c r="S25" s="13" t="n">
        <v>75</v>
      </c>
      <c r="T25" s="13" t="n">
        <v>945</v>
      </c>
      <c r="U25" s="13" t="n">
        <v>31</v>
      </c>
      <c r="V25" s="13" t="n">
        <v>810</v>
      </c>
      <c r="W25" s="13" t="n">
        <v>0.41</v>
      </c>
      <c r="X25" s="13" t="n">
        <v>200</v>
      </c>
      <c r="Y25" s="13" t="n">
        <v>299</v>
      </c>
      <c r="Z25" s="13" t="n">
        <v>745</v>
      </c>
      <c r="AA25" s="13" t="n">
        <v>-11</v>
      </c>
      <c r="AB25" s="13" t="n">
        <v>6.8</v>
      </c>
      <c r="AC25" s="11" t="inlineStr">
        <is>
          <t xml:space="preserve"> Powder</t>
        </is>
      </c>
      <c r="AD25" s="11" t="inlineStr">
        <is>
          <t xml:space="preserve"> Touring</t>
        </is>
      </c>
      <c r="AE25" s="13" t="n"/>
      <c r="AF25" s="13" t="n"/>
      <c r="AG25" s="13" t="n"/>
    </row>
    <row r="26">
      <c r="A26" s="9" t="inlineStr">
        <is>
          <t>21/22</t>
        </is>
      </c>
      <c r="B26" s="10" t="inlineStr">
        <is>
          <t>4FRNT</t>
        </is>
      </c>
      <c r="C26" s="11" t="inlineStr">
        <is>
          <t xml:space="preserve"> Inthayne</t>
        </is>
      </c>
      <c r="D26" s="13" t="n">
        <v>188</v>
      </c>
      <c r="E26" s="11" t="inlineStr">
        <is>
          <t xml:space="preserve"> Unisex</t>
        </is>
      </c>
      <c r="F26" s="13" t="n">
        <v>188</v>
      </c>
      <c r="G26" s="13" t="n">
        <v>185.7</v>
      </c>
      <c r="H26" s="13" t="n">
        <v>0</v>
      </c>
      <c r="I26" s="13" t="n">
        <v>136</v>
      </c>
      <c r="J26" s="13" t="n">
        <v>137</v>
      </c>
      <c r="K26" s="13" t="n">
        <v>117</v>
      </c>
      <c r="L26" s="13" t="n">
        <v>128</v>
      </c>
      <c r="M26" s="13" t="n">
        <v>25.5</v>
      </c>
      <c r="N26" s="13" t="n">
        <v>1998</v>
      </c>
      <c r="O26" s="13" t="n">
        <v>1.14</v>
      </c>
      <c r="P26" s="13" t="n">
        <v>2273</v>
      </c>
      <c r="Q26" s="13" t="n">
        <v>275</v>
      </c>
      <c r="R26" s="13" t="n">
        <v>106</v>
      </c>
      <c r="S26" s="13" t="n">
        <v>61</v>
      </c>
      <c r="T26" s="13" t="n">
        <v>989</v>
      </c>
      <c r="U26" s="13" t="n">
        <v>51</v>
      </c>
      <c r="V26" s="13" t="n">
        <v>868</v>
      </c>
      <c r="W26" s="13" t="n">
        <v>0.837</v>
      </c>
      <c r="X26" s="13" t="n">
        <v>229</v>
      </c>
      <c r="Y26" s="13" t="n">
        <v>272</v>
      </c>
      <c r="Z26" s="13" t="n">
        <v>760</v>
      </c>
      <c r="AA26" s="13" t="n">
        <v>-3</v>
      </c>
      <c r="AB26" s="13" t="n">
        <v>6</v>
      </c>
      <c r="AC26" s="11" t="inlineStr">
        <is>
          <t xml:space="preserve"> Freeski</t>
        </is>
      </c>
      <c r="AD26" s="11" t="inlineStr">
        <is>
          <t xml:space="preserve"> Powder</t>
        </is>
      </c>
      <c r="AE26" s="11" t="inlineStr">
        <is>
          <t xml:space="preserve"> Touring</t>
        </is>
      </c>
      <c r="AF26" s="13" t="n"/>
      <c r="AG26" s="13" t="n"/>
    </row>
    <row r="27">
      <c r="A27" s="9" t="inlineStr">
        <is>
          <t>21/22</t>
        </is>
      </c>
      <c r="B27" s="10" t="inlineStr">
        <is>
          <t>4FRNT</t>
        </is>
      </c>
      <c r="C27" s="11" t="inlineStr">
        <is>
          <t>MSP 107</t>
        </is>
      </c>
      <c r="D27" s="13" t="n">
        <v>181</v>
      </c>
      <c r="E27" s="11" t="inlineStr">
        <is>
          <t xml:space="preserve"> Unisex</t>
        </is>
      </c>
      <c r="F27" s="13" t="n">
        <v>181</v>
      </c>
      <c r="G27" s="13" t="n">
        <v>179.9</v>
      </c>
      <c r="H27" s="13" t="n">
        <v>126</v>
      </c>
      <c r="I27" s="13" t="n">
        <v>149</v>
      </c>
      <c r="J27" s="13" t="n">
        <v>138</v>
      </c>
      <c r="K27" s="13" t="n">
        <v>106</v>
      </c>
      <c r="L27" s="13" t="n">
        <v>128</v>
      </c>
      <c r="M27" s="13" t="n">
        <v>19.9</v>
      </c>
      <c r="N27" s="13" t="n">
        <v>2090</v>
      </c>
      <c r="O27" s="13" t="n">
        <v>1</v>
      </c>
      <c r="P27" s="13" t="n">
        <v>2091</v>
      </c>
      <c r="Q27" s="13" t="n">
        <v>221</v>
      </c>
      <c r="R27" s="13" t="n">
        <v>113</v>
      </c>
      <c r="S27" s="13" t="n">
        <v>58</v>
      </c>
      <c r="T27" s="13" t="n">
        <v>316</v>
      </c>
      <c r="U27" s="13" t="n">
        <v>19</v>
      </c>
      <c r="V27" s="13" t="n">
        <v>221</v>
      </c>
      <c r="W27" s="13" t="n">
        <v>0.322</v>
      </c>
      <c r="X27" s="13" t="n">
        <v>169</v>
      </c>
      <c r="Y27" s="13" t="n">
        <v>141</v>
      </c>
      <c r="Z27" s="13" t="n">
        <v>147</v>
      </c>
      <c r="AA27" s="13" t="n">
        <v>5</v>
      </c>
      <c r="AB27" s="13" t="n">
        <v>8.800000000000001</v>
      </c>
      <c r="AC27" s="11" t="inlineStr">
        <is>
          <t xml:space="preserve"> Big Mountain</t>
        </is>
      </c>
      <c r="AD27" s="13" t="n"/>
      <c r="AE27" s="13" t="n"/>
      <c r="AF27" s="13" t="n"/>
      <c r="AG27" s="13" t="n"/>
    </row>
    <row r="28">
      <c r="A28" s="9" t="inlineStr">
        <is>
          <t>21/22</t>
        </is>
      </c>
      <c r="B28" s="10" t="inlineStr">
        <is>
          <t>4FRNT</t>
        </is>
      </c>
      <c r="C28" s="11" t="inlineStr">
        <is>
          <t>MSP 99</t>
        </is>
      </c>
      <c r="D28" s="13" t="n">
        <v>181</v>
      </c>
      <c r="E28" s="11" t="inlineStr">
        <is>
          <t xml:space="preserve"> Unisex</t>
        </is>
      </c>
      <c r="F28" s="13" t="n">
        <v>181</v>
      </c>
      <c r="G28" s="13" t="n">
        <v>180.2</v>
      </c>
      <c r="H28" s="13" t="n">
        <v>131</v>
      </c>
      <c r="I28" s="13" t="n">
        <v>151</v>
      </c>
      <c r="J28" s="13" t="n">
        <v>134</v>
      </c>
      <c r="K28" s="13" t="n">
        <v>98</v>
      </c>
      <c r="L28" s="13" t="n">
        <v>122</v>
      </c>
      <c r="M28" s="13" t="n">
        <v>17.8</v>
      </c>
      <c r="N28" s="13" t="n">
        <v>2261</v>
      </c>
      <c r="O28" s="13" t="n">
        <v>0.88</v>
      </c>
      <c r="P28" s="13" t="n">
        <v>1982</v>
      </c>
      <c r="Q28" s="13" t="n">
        <v>248</v>
      </c>
      <c r="R28" s="13" t="n">
        <v>153</v>
      </c>
      <c r="S28" s="13" t="n">
        <v>51</v>
      </c>
      <c r="T28" s="13" t="n">
        <v>285</v>
      </c>
      <c r="U28" s="13" t="n">
        <v>14</v>
      </c>
      <c r="V28" s="13" t="n">
        <v>206</v>
      </c>
      <c r="W28" s="13" t="n">
        <v>0.283</v>
      </c>
      <c r="X28" s="13" t="n">
        <v>160</v>
      </c>
      <c r="Y28" s="13" t="n">
        <v>132</v>
      </c>
      <c r="Z28" s="13" t="n">
        <v>125</v>
      </c>
      <c r="AA28" s="13" t="n">
        <v>5</v>
      </c>
      <c r="AB28" s="13" t="n">
        <v>8.9</v>
      </c>
      <c r="AC28" s="11" t="inlineStr">
        <is>
          <t xml:space="preserve"> Resort Freeride</t>
        </is>
      </c>
      <c r="AD28" s="13" t="n"/>
      <c r="AE28" s="13" t="n"/>
      <c r="AF28" s="13" t="n"/>
      <c r="AG28" s="13" t="n"/>
    </row>
    <row r="29">
      <c r="A29" s="9" t="inlineStr">
        <is>
          <t>21/22</t>
        </is>
      </c>
      <c r="B29" s="10" t="inlineStr">
        <is>
          <t>4FRNT</t>
        </is>
      </c>
      <c r="C29" s="11" t="inlineStr">
        <is>
          <t xml:space="preserve"> MSP CC</t>
        </is>
      </c>
      <c r="D29" s="13" t="n">
        <v>171</v>
      </c>
      <c r="E29" s="11" t="inlineStr">
        <is>
          <t xml:space="preserve"> Women's</t>
        </is>
      </c>
      <c r="F29" s="13" t="n">
        <v>171</v>
      </c>
      <c r="G29" s="13" t="n">
        <v>170.4</v>
      </c>
      <c r="H29" s="13" t="n">
        <v>128</v>
      </c>
      <c r="I29" s="13" t="n">
        <v>143</v>
      </c>
      <c r="J29" s="13" t="n">
        <v>133</v>
      </c>
      <c r="K29" s="13" t="n">
        <v>98</v>
      </c>
      <c r="L29" s="13" t="n">
        <v>121</v>
      </c>
      <c r="M29" s="13" t="n">
        <v>16.6</v>
      </c>
      <c r="N29" s="13" t="n">
        <v>1988</v>
      </c>
      <c r="O29" s="13" t="n">
        <v>0.9399999999999999</v>
      </c>
      <c r="P29" s="13" t="n">
        <v>1865</v>
      </c>
      <c r="Q29" s="13" t="n">
        <v>205</v>
      </c>
      <c r="R29" s="13" t="n">
        <v>125</v>
      </c>
      <c r="S29" s="13" t="n">
        <v>43</v>
      </c>
      <c r="T29" s="13" t="n">
        <v>257</v>
      </c>
      <c r="U29" s="13" t="n">
        <v>8</v>
      </c>
      <c r="V29" s="13" t="n">
        <v>162</v>
      </c>
      <c r="W29" s="13" t="n">
        <v>0.191</v>
      </c>
      <c r="X29" s="13" t="n">
        <v>151</v>
      </c>
      <c r="Y29" s="13" t="n">
        <v>125</v>
      </c>
      <c r="Z29" s="13" t="n">
        <v>107</v>
      </c>
      <c r="AA29" s="13" t="n">
        <v>8</v>
      </c>
      <c r="AB29" s="13" t="n">
        <v>7.9</v>
      </c>
      <c r="AC29" s="11" t="inlineStr">
        <is>
          <t xml:space="preserve"> Resort Freeride</t>
        </is>
      </c>
      <c r="AD29" s="13" t="n"/>
      <c r="AE29" s="13" t="n"/>
      <c r="AF29" s="13" t="n"/>
      <c r="AG29" s="13" t="n"/>
    </row>
    <row r="30">
      <c r="A30" s="9" t="inlineStr">
        <is>
          <t>21/22</t>
        </is>
      </c>
      <c r="B30" s="10" t="inlineStr">
        <is>
          <t>4FRNT</t>
        </is>
      </c>
      <c r="C30" s="11" t="inlineStr">
        <is>
          <t xml:space="preserve"> Raven</t>
        </is>
      </c>
      <c r="D30" s="13" t="n">
        <v>184</v>
      </c>
      <c r="E30" s="11" t="inlineStr">
        <is>
          <t xml:space="preserve"> Unisex</t>
        </is>
      </c>
      <c r="F30" s="13" t="n">
        <v>184</v>
      </c>
      <c r="G30" s="13" t="n">
        <v>182.6</v>
      </c>
      <c r="H30" s="13" t="n">
        <v>0</v>
      </c>
      <c r="I30" s="13" t="n">
        <v>130</v>
      </c>
      <c r="J30" s="13" t="n">
        <v>121</v>
      </c>
      <c r="K30" s="13" t="n">
        <v>103</v>
      </c>
      <c r="L30" s="13" t="n">
        <v>111</v>
      </c>
      <c r="M30" s="13" t="n">
        <v>28.4</v>
      </c>
      <c r="N30" s="13" t="n">
        <v>1810</v>
      </c>
      <c r="O30" s="13" t="n">
        <v>1.09</v>
      </c>
      <c r="P30" s="13" t="n">
        <v>1969</v>
      </c>
      <c r="Q30" s="13" t="n">
        <v>221</v>
      </c>
      <c r="R30" s="13" t="n">
        <v>96</v>
      </c>
      <c r="S30" s="13" t="n">
        <v>67</v>
      </c>
      <c r="T30" s="13" t="n">
        <v>972</v>
      </c>
      <c r="U30" s="13" t="n">
        <v>26</v>
      </c>
      <c r="V30" s="13" t="n">
        <v>854</v>
      </c>
      <c r="W30" s="13" t="n">
        <v>0.394</v>
      </c>
      <c r="X30" s="13" t="n">
        <v>216</v>
      </c>
      <c r="Y30" s="13" t="n">
        <v>309</v>
      </c>
      <c r="Z30" s="13" t="n">
        <v>756</v>
      </c>
      <c r="AA30" s="13" t="n">
        <v>-7</v>
      </c>
      <c r="AB30" s="13" t="n">
        <v>5.9</v>
      </c>
      <c r="AC30" s="11" t="inlineStr">
        <is>
          <t xml:space="preserve"> Resort Freeride</t>
        </is>
      </c>
      <c r="AD30" s="11" t="inlineStr">
        <is>
          <t xml:space="preserve"> Powder</t>
        </is>
      </c>
      <c r="AE30" s="11" t="inlineStr">
        <is>
          <t xml:space="preserve"> Big Mountain</t>
        </is>
      </c>
      <c r="AF30" s="11" t="inlineStr">
        <is>
          <t xml:space="preserve"> Touring</t>
        </is>
      </c>
      <c r="AG30" s="13" t="n"/>
    </row>
    <row r="31">
      <c r="A31" s="9" t="inlineStr">
        <is>
          <t>21/22</t>
        </is>
      </c>
      <c r="B31" s="10" t="inlineStr">
        <is>
          <t>4FRNT</t>
        </is>
      </c>
      <c r="C31" s="11" t="inlineStr">
        <is>
          <t xml:space="preserve"> Renegade</t>
        </is>
      </c>
      <c r="D31" s="13" t="n">
        <v>184</v>
      </c>
      <c r="E31" s="11" t="inlineStr">
        <is>
          <t xml:space="preserve"> Unisex</t>
        </is>
      </c>
      <c r="F31" s="13" t="n">
        <v>184</v>
      </c>
      <c r="G31" s="13" t="n">
        <v>182.2</v>
      </c>
      <c r="H31" s="13" t="n">
        <v>0</v>
      </c>
      <c r="I31" s="13" t="n">
        <v>131</v>
      </c>
      <c r="J31" s="13" t="n">
        <v>136</v>
      </c>
      <c r="K31" s="13" t="n">
        <v>122</v>
      </c>
      <c r="L31" s="13" t="n">
        <v>129</v>
      </c>
      <c r="M31" s="13" t="n">
        <v>31.2</v>
      </c>
      <c r="N31" s="13" t="n">
        <v>2031</v>
      </c>
      <c r="O31" s="13" t="n">
        <v>1.12</v>
      </c>
      <c r="P31" s="13" t="n">
        <v>2279</v>
      </c>
      <c r="Q31" s="13" t="n">
        <v>287</v>
      </c>
      <c r="R31" s="13" t="n">
        <v>124</v>
      </c>
      <c r="S31" s="13" t="n">
        <v>83</v>
      </c>
      <c r="T31" s="13" t="n">
        <v>968</v>
      </c>
      <c r="U31" s="13" t="n">
        <v>34</v>
      </c>
      <c r="V31" s="13" t="n">
        <v>854</v>
      </c>
      <c r="W31" s="13" t="n">
        <v>0.405</v>
      </c>
      <c r="X31" s="13" t="n">
        <v>238</v>
      </c>
      <c r="Y31" s="13" t="n">
        <v>276</v>
      </c>
      <c r="Z31" s="13" t="n">
        <v>730</v>
      </c>
      <c r="AA31" s="13" t="n">
        <v>-10</v>
      </c>
      <c r="AB31" s="13" t="n">
        <v>5.7</v>
      </c>
      <c r="AC31" s="11" t="inlineStr">
        <is>
          <t xml:space="preserve"> Powder</t>
        </is>
      </c>
      <c r="AD31" s="11" t="inlineStr">
        <is>
          <t xml:space="preserve"> Touring</t>
        </is>
      </c>
      <c r="AE31" s="13" t="n"/>
      <c r="AF31" s="13" t="n"/>
      <c r="AG31" s="13" t="n"/>
    </row>
    <row r="32">
      <c r="A32" s="9" t="inlineStr">
        <is>
          <t>21/22</t>
        </is>
      </c>
      <c r="B32" s="10" t="inlineStr">
        <is>
          <t>4FRNT</t>
        </is>
      </c>
      <c r="C32" s="11" t="inlineStr">
        <is>
          <t xml:space="preserve"> Switch</t>
        </is>
      </c>
      <c r="D32" s="13" t="n">
        <v>184</v>
      </c>
      <c r="E32" s="11" t="inlineStr">
        <is>
          <t xml:space="preserve"> Unisex</t>
        </is>
      </c>
      <c r="F32" s="13" t="n">
        <v>184</v>
      </c>
      <c r="G32" s="13" t="n">
        <v>182.1</v>
      </c>
      <c r="H32" s="13" t="n">
        <v>146</v>
      </c>
      <c r="I32" s="13" t="n">
        <v>149</v>
      </c>
      <c r="J32" s="13" t="n">
        <v>126</v>
      </c>
      <c r="K32" s="13" t="n">
        <v>98</v>
      </c>
      <c r="L32" s="13" t="n">
        <v>122</v>
      </c>
      <c r="M32" s="13" t="n">
        <v>18.8</v>
      </c>
      <c r="N32" s="13" t="n">
        <v>1760</v>
      </c>
      <c r="O32" s="13" t="n">
        <v>1.12</v>
      </c>
      <c r="P32" s="13" t="n">
        <v>1978</v>
      </c>
      <c r="Q32" s="13" t="n">
        <v>181</v>
      </c>
      <c r="R32" s="13" t="n">
        <v>87</v>
      </c>
      <c r="S32" s="13" t="n">
        <v>40</v>
      </c>
      <c r="T32" s="13" t="n">
        <v>202</v>
      </c>
      <c r="U32" s="13" t="n">
        <v>30</v>
      </c>
      <c r="V32" s="13" t="n">
        <v>155</v>
      </c>
      <c r="W32" s="13" t="n">
        <v>0.746</v>
      </c>
      <c r="X32" s="13" t="n">
        <v>176</v>
      </c>
      <c r="Y32" s="13" t="n">
        <v>154</v>
      </c>
      <c r="Z32" s="13" t="n">
        <v>27</v>
      </c>
      <c r="AA32" s="13" t="n">
        <v>8</v>
      </c>
      <c r="AB32" s="13" t="n">
        <v>3.6</v>
      </c>
      <c r="AC32" s="11" t="inlineStr">
        <is>
          <t xml:space="preserve"> Resort Freeride</t>
        </is>
      </c>
      <c r="AD32" s="11" t="inlineStr">
        <is>
          <t xml:space="preserve"> Touring</t>
        </is>
      </c>
      <c r="AE32" s="13" t="n"/>
      <c r="AF32" s="13" t="n"/>
      <c r="AG32" s="13" t="n"/>
    </row>
    <row r="33">
      <c r="A33" s="9" t="inlineStr">
        <is>
          <t>21/22</t>
        </is>
      </c>
      <c r="B33" s="10" t="inlineStr">
        <is>
          <t xml:space="preserve"> Armada</t>
        </is>
      </c>
      <c r="C33" s="11" t="inlineStr">
        <is>
          <t>ARV 106</t>
        </is>
      </c>
      <c r="D33" s="13" t="n">
        <v>172</v>
      </c>
      <c r="E33" s="11" t="inlineStr">
        <is>
          <t xml:space="preserve"> Unisex</t>
        </is>
      </c>
      <c r="F33" s="13" t="n">
        <v>172</v>
      </c>
      <c r="G33" s="13" t="n">
        <v>170.4</v>
      </c>
      <c r="H33" s="13" t="n">
        <v>119</v>
      </c>
      <c r="I33" s="13" t="n">
        <v>140</v>
      </c>
      <c r="J33" s="13" t="n">
        <v>132</v>
      </c>
      <c r="K33" s="13" t="n">
        <v>105</v>
      </c>
      <c r="L33" s="13" t="n">
        <v>122</v>
      </c>
      <c r="M33" s="13" t="n">
        <v>20</v>
      </c>
      <c r="N33" s="13" t="n">
        <v>1948</v>
      </c>
      <c r="O33" s="13" t="n">
        <v>0.98</v>
      </c>
      <c r="P33" s="13" t="n">
        <v>1900</v>
      </c>
      <c r="Q33" s="13" t="n">
        <v>187</v>
      </c>
      <c r="R33" s="13" t="n">
        <v>103</v>
      </c>
      <c r="S33" s="13" t="n">
        <v>55</v>
      </c>
      <c r="T33" s="13" t="n">
        <v>280</v>
      </c>
      <c r="U33" s="13" t="n">
        <v>43</v>
      </c>
      <c r="V33" s="13" t="n">
        <v>237</v>
      </c>
      <c r="W33" s="13" t="n">
        <v>0.78</v>
      </c>
      <c r="X33" s="13" t="n">
        <v>150</v>
      </c>
      <c r="Y33" s="13" t="n">
        <v>155</v>
      </c>
      <c r="Z33" s="13" t="n">
        <v>130</v>
      </c>
      <c r="AA33" s="13" t="n">
        <v>7</v>
      </c>
      <c r="AB33" s="13" t="n">
        <v>5.4</v>
      </c>
      <c r="AC33" s="11" t="inlineStr">
        <is>
          <t xml:space="preserve"> Resort Freeride</t>
        </is>
      </c>
      <c r="AD33" s="11" t="inlineStr">
        <is>
          <t xml:space="preserve"> Powder</t>
        </is>
      </c>
      <c r="AE33" s="13" t="n"/>
      <c r="AF33" s="13" t="n"/>
      <c r="AG33" s="13" t="n"/>
    </row>
    <row r="34">
      <c r="A34" s="9" t="inlineStr">
        <is>
          <t>21/22</t>
        </is>
      </c>
      <c r="B34" s="10" t="inlineStr">
        <is>
          <t xml:space="preserve"> Armada</t>
        </is>
      </c>
      <c r="C34" s="11" t="inlineStr">
        <is>
          <t>ARV 106</t>
        </is>
      </c>
      <c r="D34" s="13" t="n">
        <v>180</v>
      </c>
      <c r="E34" s="11" t="inlineStr">
        <is>
          <t xml:space="preserve"> Unisex</t>
        </is>
      </c>
      <c r="F34" s="13" t="n">
        <v>180</v>
      </c>
      <c r="G34" s="13" t="n">
        <v>177.9</v>
      </c>
      <c r="H34" s="13" t="n">
        <v>125</v>
      </c>
      <c r="I34" s="13" t="n">
        <v>140</v>
      </c>
      <c r="J34" s="13" t="n">
        <v>132</v>
      </c>
      <c r="K34" s="13" t="n">
        <v>105</v>
      </c>
      <c r="L34" s="13" t="n">
        <v>121</v>
      </c>
      <c r="M34" s="13" t="n">
        <v>20.7</v>
      </c>
      <c r="N34" s="13" t="n">
        <v>2142</v>
      </c>
      <c r="O34" s="13" t="n">
        <v>0.93</v>
      </c>
      <c r="P34" s="13" t="n">
        <v>1983</v>
      </c>
      <c r="Q34" s="13" t="n">
        <v>242</v>
      </c>
      <c r="R34" s="13" t="n">
        <v>119</v>
      </c>
      <c r="S34" s="13" t="n">
        <v>53</v>
      </c>
      <c r="T34" s="13" t="n">
        <v>285</v>
      </c>
      <c r="U34" s="13" t="n">
        <v>46</v>
      </c>
      <c r="V34" s="13" t="n">
        <v>242</v>
      </c>
      <c r="W34" s="13" t="n">
        <v>0.852</v>
      </c>
      <c r="X34" s="13" t="n">
        <v>177</v>
      </c>
      <c r="Y34" s="13" t="n">
        <v>200</v>
      </c>
      <c r="Z34" s="13" t="n">
        <v>108</v>
      </c>
      <c r="AA34" s="13" t="n">
        <v>8</v>
      </c>
      <c r="AB34" s="13" t="n">
        <v>5.4</v>
      </c>
      <c r="AC34" s="11" t="inlineStr">
        <is>
          <t xml:space="preserve"> Resort Freeride</t>
        </is>
      </c>
      <c r="AD34" s="11" t="inlineStr">
        <is>
          <t xml:space="preserve"> Freeski</t>
        </is>
      </c>
      <c r="AE34" s="11" t="inlineStr">
        <is>
          <t xml:space="preserve"> Powder</t>
        </is>
      </c>
      <c r="AF34" s="13" t="n"/>
      <c r="AG34" s="13" t="n"/>
    </row>
    <row r="35">
      <c r="A35" s="9" t="inlineStr">
        <is>
          <t>21/22</t>
        </is>
      </c>
      <c r="B35" s="10" t="inlineStr">
        <is>
          <t xml:space="preserve"> Armada</t>
        </is>
      </c>
      <c r="C35" s="11" t="inlineStr">
        <is>
          <t>ARV 106</t>
        </is>
      </c>
      <c r="D35" s="13" t="n">
        <v>188</v>
      </c>
      <c r="E35" s="11" t="inlineStr">
        <is>
          <t xml:space="preserve"> Unisex</t>
        </is>
      </c>
      <c r="F35" s="13" t="n">
        <v>188</v>
      </c>
      <c r="G35" s="13" t="n">
        <v>186.1</v>
      </c>
      <c r="H35" s="13" t="n">
        <v>131</v>
      </c>
      <c r="I35" s="13" t="n">
        <v>151</v>
      </c>
      <c r="J35" s="13" t="n">
        <v>136</v>
      </c>
      <c r="K35" s="13" t="n">
        <v>105</v>
      </c>
      <c r="L35" s="13" t="n">
        <v>124</v>
      </c>
      <c r="M35" s="13" t="n">
        <v>21.8</v>
      </c>
      <c r="N35" s="13" t="n">
        <v>2335</v>
      </c>
      <c r="O35" s="13" t="n">
        <v>0.9</v>
      </c>
      <c r="P35" s="13" t="n">
        <v>2091</v>
      </c>
      <c r="Q35" s="13" t="n">
        <v>263</v>
      </c>
      <c r="R35" s="13" t="n">
        <v>135</v>
      </c>
      <c r="S35" s="13" t="n">
        <v>56</v>
      </c>
      <c r="T35" s="13" t="n">
        <v>298</v>
      </c>
      <c r="U35" s="13" t="n">
        <v>46</v>
      </c>
      <c r="V35" s="13" t="n">
        <v>253</v>
      </c>
      <c r="W35" s="13" t="n">
        <v>0.823</v>
      </c>
      <c r="X35" s="13" t="n">
        <v>174</v>
      </c>
      <c r="Y35" s="13" t="n">
        <v>174</v>
      </c>
      <c r="Z35" s="13" t="n">
        <v>125</v>
      </c>
      <c r="AA35" s="13" t="n">
        <v>9</v>
      </c>
      <c r="AB35" s="13" t="n">
        <v>5.2</v>
      </c>
      <c r="AC35" s="11" t="inlineStr">
        <is>
          <t xml:space="preserve"> Resort Freeride</t>
        </is>
      </c>
      <c r="AD35" s="11" t="inlineStr">
        <is>
          <t xml:space="preserve"> Freeski</t>
        </is>
      </c>
      <c r="AE35" s="11" t="inlineStr">
        <is>
          <t xml:space="preserve"> Powder</t>
        </is>
      </c>
      <c r="AF35" s="13" t="n"/>
      <c r="AG35" s="13" t="n"/>
    </row>
    <row r="36">
      <c r="A36" s="9" t="inlineStr">
        <is>
          <t>21/22</t>
        </is>
      </c>
      <c r="B36" s="10" t="inlineStr">
        <is>
          <t xml:space="preserve"> Armada</t>
        </is>
      </c>
      <c r="C36" s="11" t="inlineStr">
        <is>
          <t>ARV 116 JJ UL</t>
        </is>
      </c>
      <c r="D36" s="13" t="n">
        <v>165</v>
      </c>
      <c r="E36" s="11" t="inlineStr">
        <is>
          <t xml:space="preserve"> Unisex</t>
        </is>
      </c>
      <c r="F36" s="13" t="n">
        <v>165</v>
      </c>
      <c r="G36" s="13" t="n">
        <v>163.4</v>
      </c>
      <c r="H36" s="13" t="n">
        <v>101</v>
      </c>
      <c r="I36" s="13" t="n">
        <v>122</v>
      </c>
      <c r="J36" s="13" t="n">
        <v>137</v>
      </c>
      <c r="K36" s="13" t="n">
        <v>115</v>
      </c>
      <c r="L36" s="13" t="n">
        <v>133</v>
      </c>
      <c r="M36" s="13" t="n">
        <v>16.2</v>
      </c>
      <c r="N36" s="13" t="n">
        <v>1617</v>
      </c>
      <c r="O36" s="13" t="n">
        <v>1.24</v>
      </c>
      <c r="P36" s="13" t="n">
        <v>2008</v>
      </c>
      <c r="Q36" s="13" t="n">
        <v>166</v>
      </c>
      <c r="R36" s="13" t="n">
        <v>94</v>
      </c>
      <c r="S36" s="13" t="n">
        <v>57</v>
      </c>
      <c r="T36" s="13" t="n">
        <v>324</v>
      </c>
      <c r="U36" s="13" t="n">
        <v>56</v>
      </c>
      <c r="V36" s="13" t="n">
        <v>304</v>
      </c>
      <c r="W36" s="13" t="n">
        <v>0.987</v>
      </c>
      <c r="X36" s="13" t="n">
        <v>226</v>
      </c>
      <c r="Y36" s="13" t="n">
        <v>188</v>
      </c>
      <c r="Z36" s="13" t="n">
        <v>98</v>
      </c>
      <c r="AA36" s="13" t="n">
        <v>5</v>
      </c>
      <c r="AB36" s="13" t="n">
        <v>5.8</v>
      </c>
      <c r="AC36" s="11" t="inlineStr">
        <is>
          <t xml:space="preserve"> Freeski</t>
        </is>
      </c>
      <c r="AD36" s="11" t="inlineStr">
        <is>
          <t xml:space="preserve"> Powder</t>
        </is>
      </c>
      <c r="AE36" s="11" t="inlineStr">
        <is>
          <t xml:space="preserve"> Touring</t>
        </is>
      </c>
      <c r="AF36" s="13" t="n"/>
      <c r="AG36" s="13" t="n"/>
    </row>
    <row r="37">
      <c r="A37" s="9" t="inlineStr">
        <is>
          <t>21/22</t>
        </is>
      </c>
      <c r="B37" s="10" t="inlineStr">
        <is>
          <t xml:space="preserve"> Armada</t>
        </is>
      </c>
      <c r="C37" s="11" t="inlineStr">
        <is>
          <t>ARV 116 JJ UL</t>
        </is>
      </c>
      <c r="D37" s="13" t="n">
        <v>175</v>
      </c>
      <c r="E37" s="11" t="inlineStr">
        <is>
          <t xml:space="preserve"> Unisex</t>
        </is>
      </c>
      <c r="F37" s="13" t="n">
        <v>175</v>
      </c>
      <c r="G37" s="13" t="n">
        <v>173.2</v>
      </c>
      <c r="H37" s="13" t="n">
        <v>103</v>
      </c>
      <c r="I37" s="13" t="n">
        <v>130</v>
      </c>
      <c r="J37" s="13" t="n">
        <v>138</v>
      </c>
      <c r="K37" s="13" t="n">
        <v>115</v>
      </c>
      <c r="L37" s="13" t="n">
        <v>135</v>
      </c>
      <c r="M37" s="13" t="n">
        <v>17.5</v>
      </c>
      <c r="N37" s="13" t="n">
        <v>1700</v>
      </c>
      <c r="O37" s="13" t="n">
        <v>1.24</v>
      </c>
      <c r="P37" s="13" t="n">
        <v>2109</v>
      </c>
      <c r="Q37" s="13" t="n">
        <v>185</v>
      </c>
      <c r="R37" s="13" t="n">
        <v>96</v>
      </c>
      <c r="S37" s="13" t="n">
        <v>63</v>
      </c>
      <c r="T37" s="13" t="n">
        <v>359</v>
      </c>
      <c r="U37" s="13" t="n">
        <v>63</v>
      </c>
      <c r="V37" s="13" t="n">
        <v>344</v>
      </c>
      <c r="W37" s="13" t="n">
        <v>0.986</v>
      </c>
      <c r="X37" s="13" t="n">
        <v>239</v>
      </c>
      <c r="Y37" s="13" t="n">
        <v>197</v>
      </c>
      <c r="Z37" s="13" t="n">
        <v>120</v>
      </c>
      <c r="AA37" s="13" t="n">
        <v>3</v>
      </c>
      <c r="AB37" s="13" t="n">
        <v>6</v>
      </c>
      <c r="AC37" s="11" t="inlineStr">
        <is>
          <t xml:space="preserve"> Freeski</t>
        </is>
      </c>
      <c r="AD37" s="11" t="inlineStr">
        <is>
          <t xml:space="preserve"> Powder</t>
        </is>
      </c>
      <c r="AE37" s="11" t="inlineStr">
        <is>
          <t xml:space="preserve"> Touring</t>
        </is>
      </c>
      <c r="AF37" s="13" t="n"/>
      <c r="AG37" s="13" t="n"/>
    </row>
    <row r="38">
      <c r="A38" s="9" t="inlineStr">
        <is>
          <t>21/22</t>
        </is>
      </c>
      <c r="B38" s="10" t="inlineStr">
        <is>
          <t xml:space="preserve"> Armada</t>
        </is>
      </c>
      <c r="C38" s="11" t="inlineStr">
        <is>
          <t>ARV 116 JJ UL</t>
        </is>
      </c>
      <c r="D38" s="13" t="n">
        <v>185</v>
      </c>
      <c r="E38" s="11" t="inlineStr">
        <is>
          <t xml:space="preserve"> Unisex</t>
        </is>
      </c>
      <c r="F38" s="13" t="n">
        <v>185</v>
      </c>
      <c r="G38" s="13" t="n">
        <v>183</v>
      </c>
      <c r="H38" s="13" t="n">
        <v>113</v>
      </c>
      <c r="I38" s="13" t="n">
        <v>136</v>
      </c>
      <c r="J38" s="13" t="n">
        <v>138</v>
      </c>
      <c r="K38" s="13" t="n">
        <v>115</v>
      </c>
      <c r="L38" s="13" t="n">
        <v>134</v>
      </c>
      <c r="M38" s="13" t="n">
        <v>18.5</v>
      </c>
      <c r="N38" s="13" t="n">
        <v>1783</v>
      </c>
      <c r="O38" s="13" t="n">
        <v>1.24</v>
      </c>
      <c r="P38" s="13" t="n">
        <v>2218</v>
      </c>
      <c r="Q38" s="13" t="n">
        <v>203</v>
      </c>
      <c r="R38" s="13" t="n">
        <v>103</v>
      </c>
      <c r="S38" s="13" t="n">
        <v>66</v>
      </c>
      <c r="T38" s="13" t="n">
        <v>361</v>
      </c>
      <c r="U38" s="13" t="n">
        <v>63</v>
      </c>
      <c r="V38" s="13" t="n">
        <v>340</v>
      </c>
      <c r="W38" s="13" t="n">
        <v>0.953</v>
      </c>
      <c r="X38" s="13" t="n">
        <v>236</v>
      </c>
      <c r="Y38" s="13" t="n">
        <v>231</v>
      </c>
      <c r="Z38" s="13" t="n">
        <v>124</v>
      </c>
      <c r="AA38" s="13" t="n">
        <v>4</v>
      </c>
      <c r="AB38" s="13" t="n">
        <v>5.4</v>
      </c>
      <c r="AC38" s="11" t="inlineStr">
        <is>
          <t xml:space="preserve"> Freeski</t>
        </is>
      </c>
      <c r="AD38" s="11" t="inlineStr">
        <is>
          <t xml:space="preserve"> Powder</t>
        </is>
      </c>
      <c r="AE38" s="11" t="inlineStr">
        <is>
          <t xml:space="preserve"> Touring</t>
        </is>
      </c>
      <c r="AF38" s="13" t="n"/>
      <c r="AG38" s="13" t="n"/>
    </row>
    <row r="39">
      <c r="A39" s="9" t="inlineStr">
        <is>
          <t>21/22</t>
        </is>
      </c>
      <c r="B39" s="10" t="inlineStr">
        <is>
          <t xml:space="preserve"> Armada</t>
        </is>
      </c>
      <c r="C39" s="11" t="inlineStr">
        <is>
          <t>ARV 116 JJ UL</t>
        </is>
      </c>
      <c r="D39" s="13" t="n">
        <v>192</v>
      </c>
      <c r="E39" s="11" t="inlineStr">
        <is>
          <t xml:space="preserve"> Unisex</t>
        </is>
      </c>
      <c r="F39" s="13" t="n">
        <v>192</v>
      </c>
      <c r="G39" s="13" t="n">
        <v>188.2</v>
      </c>
      <c r="H39" s="13" t="n">
        <v>121</v>
      </c>
      <c r="I39" s="13" t="n">
        <v>138</v>
      </c>
      <c r="J39" s="13" t="n">
        <v>138</v>
      </c>
      <c r="K39" s="13" t="n">
        <v>115</v>
      </c>
      <c r="L39" s="13" t="n">
        <v>134</v>
      </c>
      <c r="M39" s="13" t="n">
        <v>19.3</v>
      </c>
      <c r="N39" s="13" t="n">
        <v>1874</v>
      </c>
      <c r="O39" s="13" t="n">
        <v>1.21</v>
      </c>
      <c r="P39" s="13" t="n">
        <v>2270</v>
      </c>
      <c r="Q39" s="13" t="n">
        <v>239</v>
      </c>
      <c r="R39" s="13" t="n">
        <v>118</v>
      </c>
      <c r="S39" s="13" t="n">
        <v>62</v>
      </c>
      <c r="T39" s="13" t="n">
        <v>359</v>
      </c>
      <c r="U39" s="13" t="n">
        <v>52</v>
      </c>
      <c r="V39" s="13" t="n">
        <v>318</v>
      </c>
      <c r="W39" s="13" t="n">
        <v>0.839</v>
      </c>
      <c r="X39" s="13" t="n">
        <v>270</v>
      </c>
      <c r="Y39" s="13" t="n">
        <v>234</v>
      </c>
      <c r="Z39" s="13" t="n">
        <v>89</v>
      </c>
      <c r="AA39" s="13" t="n">
        <v>5</v>
      </c>
      <c r="AB39" s="13" t="n">
        <v>6.7</v>
      </c>
      <c r="AC39" s="11" t="inlineStr">
        <is>
          <t xml:space="preserve"> Freeski</t>
        </is>
      </c>
      <c r="AD39" s="11" t="inlineStr">
        <is>
          <t xml:space="preserve"> Powder</t>
        </is>
      </c>
      <c r="AE39" s="11" t="inlineStr">
        <is>
          <t xml:space="preserve"> Touring</t>
        </is>
      </c>
      <c r="AF39" s="13" t="n"/>
      <c r="AG39" s="13" t="n"/>
    </row>
    <row r="40">
      <c r="A40" s="9" t="inlineStr">
        <is>
          <t>21/22</t>
        </is>
      </c>
      <c r="B40" s="10" t="inlineStr">
        <is>
          <t xml:space="preserve"> Armada</t>
        </is>
      </c>
      <c r="C40" s="11" t="inlineStr">
        <is>
          <t>ARV 84</t>
        </is>
      </c>
      <c r="D40" s="13" t="n">
        <v>143</v>
      </c>
      <c r="E40" s="11" t="inlineStr">
        <is>
          <t xml:space="preserve"> Unisex</t>
        </is>
      </c>
      <c r="F40" s="13" t="n">
        <v>143</v>
      </c>
      <c r="G40" s="13" t="n">
        <v>140.9</v>
      </c>
      <c r="H40" s="13" t="n">
        <v>98</v>
      </c>
      <c r="I40" s="13" t="n">
        <v>116</v>
      </c>
      <c r="J40" s="13" t="n">
        <v>116</v>
      </c>
      <c r="K40" s="13" t="n">
        <v>84</v>
      </c>
      <c r="L40" s="13" t="n">
        <v>108</v>
      </c>
      <c r="M40" s="13" t="n">
        <v>10.5</v>
      </c>
      <c r="N40" s="13" t="n">
        <v>1373</v>
      </c>
      <c r="O40" s="13" t="n">
        <v>0.99</v>
      </c>
      <c r="P40" s="13" t="n">
        <v>1353</v>
      </c>
      <c r="Q40" s="13" t="n">
        <v>112</v>
      </c>
      <c r="R40" s="13" t="n">
        <v>43</v>
      </c>
      <c r="S40" s="13" t="n">
        <v>47</v>
      </c>
      <c r="T40" s="13" t="n">
        <v>245</v>
      </c>
      <c r="U40" s="13" t="n">
        <v>37</v>
      </c>
      <c r="V40" s="13" t="n">
        <v>189</v>
      </c>
      <c r="W40" s="13" t="n">
        <v>0.769</v>
      </c>
      <c r="X40" s="13" t="n">
        <v>130</v>
      </c>
      <c r="Y40" s="13" t="n">
        <v>114</v>
      </c>
      <c r="Z40" s="13" t="n">
        <v>115</v>
      </c>
      <c r="AA40" s="13" t="n">
        <v>5</v>
      </c>
      <c r="AB40" s="13" t="n">
        <v>9.1</v>
      </c>
      <c r="AC40" s="11" t="inlineStr">
        <is>
          <t xml:space="preserve"> Resort Freeride</t>
        </is>
      </c>
      <c r="AD40" s="13" t="n"/>
      <c r="AE40" s="13" t="n"/>
      <c r="AF40" s="13" t="n"/>
      <c r="AG40" s="13" t="n"/>
    </row>
    <row r="41">
      <c r="A41" s="9" t="inlineStr">
        <is>
          <t>21/22</t>
        </is>
      </c>
      <c r="B41" s="10" t="inlineStr">
        <is>
          <t xml:space="preserve"> Armada</t>
        </is>
      </c>
      <c r="C41" s="11" t="inlineStr">
        <is>
          <t>ARV 84</t>
        </is>
      </c>
      <c r="D41" s="13" t="n">
        <v>150</v>
      </c>
      <c r="E41" s="11" t="inlineStr">
        <is>
          <t xml:space="preserve"> Unisex</t>
        </is>
      </c>
      <c r="F41" s="13" t="n">
        <v>150</v>
      </c>
      <c r="G41" s="13" t="n">
        <v>148</v>
      </c>
      <c r="H41" s="13" t="n">
        <v>103</v>
      </c>
      <c r="I41" s="13" t="n">
        <v>122</v>
      </c>
      <c r="J41" s="13" t="n">
        <v>116</v>
      </c>
      <c r="K41" s="13" t="n">
        <v>84</v>
      </c>
      <c r="L41" s="13" t="n">
        <v>107</v>
      </c>
      <c r="M41" s="13" t="n">
        <v>12</v>
      </c>
      <c r="N41" s="13" t="n">
        <v>1466</v>
      </c>
      <c r="O41" s="13" t="n">
        <v>0.96</v>
      </c>
      <c r="P41" s="13" t="n">
        <v>1412</v>
      </c>
      <c r="Q41" s="13" t="n">
        <v>124</v>
      </c>
      <c r="R41" s="13" t="n">
        <v>45</v>
      </c>
      <c r="S41" s="13" t="n">
        <v>49</v>
      </c>
      <c r="T41" s="13" t="n">
        <v>256</v>
      </c>
      <c r="U41" s="13" t="n">
        <v>38</v>
      </c>
      <c r="V41" s="13" t="n">
        <v>198</v>
      </c>
      <c r="W41" s="13" t="n">
        <v>0.769</v>
      </c>
      <c r="X41" s="13" t="n">
        <v>138</v>
      </c>
      <c r="Y41" s="13" t="n">
        <v>121</v>
      </c>
      <c r="Z41" s="13" t="n">
        <v>118</v>
      </c>
      <c r="AA41" s="13" t="n">
        <v>7</v>
      </c>
      <c r="AB41" s="13" t="n">
        <v>5.8</v>
      </c>
      <c r="AC41" s="11" t="inlineStr">
        <is>
          <t xml:space="preserve"> Resort Freeride</t>
        </is>
      </c>
      <c r="AD41" s="13" t="n"/>
      <c r="AE41" s="13" t="n"/>
      <c r="AF41" s="13" t="n"/>
      <c r="AG41" s="13" t="n"/>
    </row>
    <row r="42">
      <c r="A42" s="9" t="inlineStr">
        <is>
          <t>21/22</t>
        </is>
      </c>
      <c r="B42" s="10" t="inlineStr">
        <is>
          <t xml:space="preserve"> Armada</t>
        </is>
      </c>
      <c r="C42" s="11" t="inlineStr">
        <is>
          <t>ARV 84</t>
        </is>
      </c>
      <c r="D42" s="13" t="n">
        <v>157</v>
      </c>
      <c r="E42" s="11" t="inlineStr">
        <is>
          <t xml:space="preserve"> Unisex</t>
        </is>
      </c>
      <c r="F42" s="13" t="n">
        <v>157</v>
      </c>
      <c r="G42" s="13" t="n">
        <v>155.4</v>
      </c>
      <c r="H42" s="13" t="n">
        <v>111</v>
      </c>
      <c r="I42" s="13" t="n">
        <v>128</v>
      </c>
      <c r="J42" s="13" t="n">
        <v>116</v>
      </c>
      <c r="K42" s="13" t="n">
        <v>84</v>
      </c>
      <c r="L42" s="13" t="n">
        <v>108</v>
      </c>
      <c r="M42" s="13" t="n">
        <v>13.3</v>
      </c>
      <c r="N42" s="13" t="n">
        <v>1533</v>
      </c>
      <c r="O42" s="13" t="n">
        <v>0.96</v>
      </c>
      <c r="P42" s="13" t="n">
        <v>1479</v>
      </c>
      <c r="Q42" s="13" t="n">
        <v>130</v>
      </c>
      <c r="R42" s="13" t="n">
        <v>47</v>
      </c>
      <c r="S42" s="13" t="n">
        <v>46</v>
      </c>
      <c r="T42" s="13" t="n">
        <v>248</v>
      </c>
      <c r="U42" s="13" t="n">
        <v>37</v>
      </c>
      <c r="V42" s="13" t="n">
        <v>192</v>
      </c>
      <c r="W42" s="13" t="n">
        <v>0.798</v>
      </c>
      <c r="X42" s="13" t="n">
        <v>144</v>
      </c>
      <c r="Y42" s="13" t="n">
        <v>126</v>
      </c>
      <c r="Z42" s="13" t="n">
        <v>104</v>
      </c>
      <c r="AA42" s="13" t="n">
        <v>8</v>
      </c>
      <c r="AB42" s="13" t="n">
        <v>6.8</v>
      </c>
      <c r="AC42" s="11" t="inlineStr">
        <is>
          <t xml:space="preserve"> Resort Freeride</t>
        </is>
      </c>
      <c r="AD42" s="13" t="n"/>
      <c r="AE42" s="13" t="n"/>
      <c r="AF42" s="13" t="n"/>
      <c r="AG42" s="13" t="n"/>
    </row>
    <row r="43">
      <c r="A43" s="9" t="inlineStr">
        <is>
          <t>21/22</t>
        </is>
      </c>
      <c r="B43" s="10" t="inlineStr">
        <is>
          <t xml:space="preserve"> Armada</t>
        </is>
      </c>
      <c r="C43" s="11" t="inlineStr">
        <is>
          <t>ARV 84</t>
        </is>
      </c>
      <c r="D43" s="13" t="n">
        <v>164</v>
      </c>
      <c r="E43" s="11" t="inlineStr">
        <is>
          <t xml:space="preserve"> Unisex</t>
        </is>
      </c>
      <c r="F43" s="13" t="n">
        <v>164</v>
      </c>
      <c r="G43" s="13" t="n">
        <v>162.4</v>
      </c>
      <c r="H43" s="13" t="n">
        <v>116</v>
      </c>
      <c r="I43" s="13" t="n">
        <v>137</v>
      </c>
      <c r="J43" s="13" t="n">
        <v>117</v>
      </c>
      <c r="K43" s="13" t="n">
        <v>84</v>
      </c>
      <c r="L43" s="13" t="n">
        <v>108</v>
      </c>
      <c r="M43" s="13" t="n">
        <v>15.1</v>
      </c>
      <c r="N43" s="13" t="n">
        <v>1673</v>
      </c>
      <c r="O43" s="13" t="n">
        <v>0.93</v>
      </c>
      <c r="P43" s="13" t="n">
        <v>1556</v>
      </c>
      <c r="Q43" s="13" t="n">
        <v>151</v>
      </c>
      <c r="R43" s="13" t="n">
        <v>59</v>
      </c>
      <c r="S43" s="13" t="n">
        <v>46</v>
      </c>
      <c r="T43" s="13" t="n">
        <v>267</v>
      </c>
      <c r="U43" s="13" t="n">
        <v>35</v>
      </c>
      <c r="V43" s="13" t="n">
        <v>200</v>
      </c>
      <c r="W43" s="13" t="n">
        <v>0.756</v>
      </c>
      <c r="X43" s="13" t="n">
        <v>137</v>
      </c>
      <c r="Y43" s="13" t="n">
        <v>117</v>
      </c>
      <c r="Z43" s="13" t="n">
        <v>130</v>
      </c>
      <c r="AA43" s="13" t="n">
        <v>7</v>
      </c>
      <c r="AB43" s="13" t="n">
        <v>7.1</v>
      </c>
      <c r="AC43" s="11" t="inlineStr">
        <is>
          <t xml:space="preserve"> Resort Freeride</t>
        </is>
      </c>
      <c r="AD43" s="13" t="n"/>
      <c r="AE43" s="13" t="n"/>
      <c r="AF43" s="13" t="n"/>
      <c r="AG43" s="13" t="n"/>
    </row>
    <row r="44">
      <c r="A44" s="9" t="inlineStr">
        <is>
          <t>21/22</t>
        </is>
      </c>
      <c r="B44" s="10" t="inlineStr">
        <is>
          <t xml:space="preserve"> Armada</t>
        </is>
      </c>
      <c r="C44" s="11" t="inlineStr">
        <is>
          <t>ARV 84</t>
        </is>
      </c>
      <c r="D44" s="13" t="n">
        <v>171</v>
      </c>
      <c r="E44" s="11" t="inlineStr">
        <is>
          <t xml:space="preserve"> Unisex</t>
        </is>
      </c>
      <c r="F44" s="13" t="n">
        <v>171</v>
      </c>
      <c r="G44" s="13" t="n">
        <v>169.7</v>
      </c>
      <c r="H44" s="13" t="n">
        <v>120</v>
      </c>
      <c r="I44" s="13" t="n">
        <v>141</v>
      </c>
      <c r="J44" s="13" t="n">
        <v>116</v>
      </c>
      <c r="K44" s="13" t="n">
        <v>83</v>
      </c>
      <c r="L44" s="13" t="n">
        <v>108</v>
      </c>
      <c r="M44" s="13" t="n">
        <v>16.5</v>
      </c>
      <c r="N44" s="13" t="n">
        <v>1790</v>
      </c>
      <c r="O44" s="13" t="n">
        <v>0.9</v>
      </c>
      <c r="P44" s="13" t="n">
        <v>1612</v>
      </c>
      <c r="Q44" s="13" t="n">
        <v>176</v>
      </c>
      <c r="R44" s="13" t="n">
        <v>69</v>
      </c>
      <c r="S44" s="13" t="n">
        <v>49</v>
      </c>
      <c r="T44" s="13" t="n">
        <v>283</v>
      </c>
      <c r="U44" s="13" t="n">
        <v>37</v>
      </c>
      <c r="V44" s="13" t="n">
        <v>214</v>
      </c>
      <c r="W44" s="13" t="n">
        <v>0.749</v>
      </c>
      <c r="X44" s="13" t="n">
        <v>159</v>
      </c>
      <c r="Y44" s="13" t="n">
        <v>128</v>
      </c>
      <c r="Z44" s="13" t="n">
        <v>124</v>
      </c>
      <c r="AA44" s="13" t="n">
        <v>8</v>
      </c>
      <c r="AB44" s="13" t="n">
        <v>7.2</v>
      </c>
      <c r="AC44" s="11" t="inlineStr">
        <is>
          <t xml:space="preserve"> Resort Freeride</t>
        </is>
      </c>
      <c r="AD44" s="13" t="n"/>
      <c r="AE44" s="13" t="n"/>
      <c r="AF44" s="13" t="n"/>
      <c r="AG44" s="13" t="n"/>
    </row>
    <row r="45">
      <c r="A45" s="9" t="inlineStr">
        <is>
          <t>21/22</t>
        </is>
      </c>
      <c r="B45" s="10" t="inlineStr">
        <is>
          <t xml:space="preserve"> Armada</t>
        </is>
      </c>
      <c r="C45" s="11" t="inlineStr">
        <is>
          <t>ARV 86</t>
        </is>
      </c>
      <c r="D45" s="13" t="n">
        <v>163</v>
      </c>
      <c r="E45" s="11" t="inlineStr">
        <is>
          <t xml:space="preserve"> Unisex</t>
        </is>
      </c>
      <c r="F45" s="13" t="n">
        <v>163</v>
      </c>
      <c r="G45" s="13" t="n">
        <v>161.2</v>
      </c>
      <c r="H45" s="13" t="n">
        <v>126</v>
      </c>
      <c r="I45" s="13" t="n">
        <v>137</v>
      </c>
      <c r="J45" s="13" t="n">
        <v>114</v>
      </c>
      <c r="K45" s="13" t="n">
        <v>86</v>
      </c>
      <c r="L45" s="13" t="n">
        <v>108</v>
      </c>
      <c r="M45" s="13" t="n">
        <v>16.9</v>
      </c>
      <c r="N45" s="13" t="n">
        <v>1525</v>
      </c>
      <c r="O45" s="13" t="n">
        <v>1.01</v>
      </c>
      <c r="P45" s="13" t="n">
        <v>1537</v>
      </c>
      <c r="Q45" s="13" t="n">
        <v>151</v>
      </c>
      <c r="R45" s="13" t="n">
        <v>81</v>
      </c>
      <c r="S45" s="13" t="n">
        <v>44</v>
      </c>
      <c r="T45" s="13" t="n">
        <v>182</v>
      </c>
      <c r="U45" s="13" t="n">
        <v>41</v>
      </c>
      <c r="V45" s="13" t="n">
        <v>173</v>
      </c>
      <c r="W45" s="13" t="n">
        <v>0.919</v>
      </c>
      <c r="X45" s="13" t="n">
        <v>104</v>
      </c>
      <c r="Y45" s="13" t="n">
        <v>138</v>
      </c>
      <c r="Z45" s="13" t="n">
        <v>78</v>
      </c>
      <c r="AA45" s="13" t="n">
        <v>11</v>
      </c>
      <c r="AB45" s="13" t="n">
        <v>3.5</v>
      </c>
      <c r="AC45" s="11" t="inlineStr">
        <is>
          <t xml:space="preserve"> Freeski</t>
        </is>
      </c>
      <c r="AD45" s="13" t="n"/>
      <c r="AE45" s="13" t="n"/>
      <c r="AF45" s="13" t="n"/>
      <c r="AG45" s="13" t="n"/>
    </row>
    <row r="46">
      <c r="A46" s="9" t="inlineStr">
        <is>
          <t>21/22</t>
        </is>
      </c>
      <c r="B46" s="10" t="inlineStr">
        <is>
          <t xml:space="preserve"> Armada</t>
        </is>
      </c>
      <c r="C46" s="11" t="inlineStr">
        <is>
          <t>ARV 86</t>
        </is>
      </c>
      <c r="D46" s="13" t="n">
        <v>170</v>
      </c>
      <c r="E46" s="11" t="inlineStr">
        <is>
          <t xml:space="preserve"> Unisex</t>
        </is>
      </c>
      <c r="F46" s="13" t="n">
        <v>170</v>
      </c>
      <c r="G46" s="13" t="n">
        <v>167.9</v>
      </c>
      <c r="H46" s="13" t="n">
        <v>134</v>
      </c>
      <c r="I46" s="13" t="n">
        <v>142</v>
      </c>
      <c r="J46" s="13" t="n">
        <v>114</v>
      </c>
      <c r="K46" s="13" t="n">
        <v>85</v>
      </c>
      <c r="L46" s="13" t="n">
        <v>108</v>
      </c>
      <c r="M46" s="13" t="n">
        <v>17.7</v>
      </c>
      <c r="N46" s="13" t="n">
        <v>1710</v>
      </c>
      <c r="O46" s="13" t="n">
        <v>0.9399999999999999</v>
      </c>
      <c r="P46" s="13" t="n">
        <v>1606</v>
      </c>
      <c r="Q46" s="13" t="n">
        <v>175</v>
      </c>
      <c r="R46" s="13" t="n">
        <v>103</v>
      </c>
      <c r="S46" s="13" t="n">
        <v>43</v>
      </c>
      <c r="T46" s="13" t="n">
        <v>179</v>
      </c>
      <c r="U46" s="13" t="n">
        <v>37</v>
      </c>
      <c r="V46" s="13" t="n">
        <v>162</v>
      </c>
      <c r="W46" s="13" t="n">
        <v>0.869</v>
      </c>
      <c r="X46" s="13" t="n">
        <v>125</v>
      </c>
      <c r="Y46" s="13" t="n">
        <v>130</v>
      </c>
      <c r="Z46" s="13" t="n">
        <v>54</v>
      </c>
      <c r="AA46" s="13" t="n">
        <v>11</v>
      </c>
      <c r="AB46" s="13" t="n">
        <v>3.6</v>
      </c>
      <c r="AC46" s="11" t="inlineStr">
        <is>
          <t xml:space="preserve"> Freeski</t>
        </is>
      </c>
      <c r="AD46" s="13" t="n"/>
      <c r="AE46" s="13" t="n"/>
      <c r="AF46" s="13" t="n"/>
      <c r="AG46" s="13" t="n"/>
    </row>
    <row r="47">
      <c r="A47" s="9" t="inlineStr">
        <is>
          <t>21/22</t>
        </is>
      </c>
      <c r="B47" s="10" t="inlineStr">
        <is>
          <t xml:space="preserve"> Armada</t>
        </is>
      </c>
      <c r="C47" s="11" t="inlineStr">
        <is>
          <t>ARV 86</t>
        </is>
      </c>
      <c r="D47" s="13" t="n">
        <v>177</v>
      </c>
      <c r="E47" s="11" t="inlineStr">
        <is>
          <t xml:space="preserve"> Unisex</t>
        </is>
      </c>
      <c r="F47" s="13" t="n">
        <v>177</v>
      </c>
      <c r="G47" s="13" t="n">
        <v>174.9</v>
      </c>
      <c r="H47" s="13" t="n">
        <v>140</v>
      </c>
      <c r="I47" s="13" t="n">
        <v>152</v>
      </c>
      <c r="J47" s="13" t="n">
        <v>118</v>
      </c>
      <c r="K47" s="13" t="n">
        <v>85</v>
      </c>
      <c r="L47" s="13" t="n">
        <v>112</v>
      </c>
      <c r="M47" s="13" t="n">
        <v>18</v>
      </c>
      <c r="N47" s="13" t="n">
        <v>1819</v>
      </c>
      <c r="O47" s="13" t="n">
        <v>0.93</v>
      </c>
      <c r="P47" s="13" t="n">
        <v>1694</v>
      </c>
      <c r="Q47" s="13" t="n">
        <v>204</v>
      </c>
      <c r="R47" s="13" t="n">
        <v>97</v>
      </c>
      <c r="S47" s="13" t="n">
        <v>44</v>
      </c>
      <c r="T47" s="13" t="n">
        <v>181</v>
      </c>
      <c r="U47" s="13" t="n">
        <v>38</v>
      </c>
      <c r="V47" s="13" t="n">
        <v>169</v>
      </c>
      <c r="W47" s="13" t="n">
        <v>0.853</v>
      </c>
      <c r="X47" s="13" t="n">
        <v>108</v>
      </c>
      <c r="Y47" s="13" t="n">
        <v>120</v>
      </c>
      <c r="Z47" s="13" t="n">
        <v>73</v>
      </c>
      <c r="AA47" s="13" t="n">
        <v>11</v>
      </c>
      <c r="AB47" s="13" t="n">
        <v>4</v>
      </c>
      <c r="AC47" s="11" t="inlineStr">
        <is>
          <t xml:space="preserve"> Resort Freeride</t>
        </is>
      </c>
      <c r="AD47" s="11" t="inlineStr">
        <is>
          <t xml:space="preserve"> Freeski</t>
        </is>
      </c>
      <c r="AE47" s="13" t="n"/>
      <c r="AF47" s="13" t="n"/>
      <c r="AG47" s="13" t="n"/>
    </row>
    <row r="48">
      <c r="A48" s="9" t="inlineStr">
        <is>
          <t>21/22</t>
        </is>
      </c>
      <c r="B48" s="10" t="inlineStr">
        <is>
          <t xml:space="preserve"> Armada</t>
        </is>
      </c>
      <c r="C48" s="11" t="inlineStr">
        <is>
          <t>ARV 86</t>
        </is>
      </c>
      <c r="D48" s="13" t="n">
        <v>184</v>
      </c>
      <c r="E48" s="11" t="inlineStr">
        <is>
          <t xml:space="preserve"> Unisex</t>
        </is>
      </c>
      <c r="F48" s="13" t="n">
        <v>184</v>
      </c>
      <c r="G48" s="13" t="n">
        <v>181.7</v>
      </c>
      <c r="H48" s="13" t="n">
        <v>147</v>
      </c>
      <c r="I48" s="13" t="n">
        <v>157</v>
      </c>
      <c r="J48" s="13" t="n">
        <v>118</v>
      </c>
      <c r="K48" s="13" t="n">
        <v>86</v>
      </c>
      <c r="L48" s="13" t="n">
        <v>112</v>
      </c>
      <c r="M48" s="13" t="n">
        <v>18.7</v>
      </c>
      <c r="N48" s="13" t="n">
        <v>1901</v>
      </c>
      <c r="O48" s="13" t="n">
        <v>0.93</v>
      </c>
      <c r="P48" s="13" t="n">
        <v>1766</v>
      </c>
      <c r="Q48" s="13" t="n">
        <v>222</v>
      </c>
      <c r="R48" s="13" t="n">
        <v>114</v>
      </c>
      <c r="S48" s="13" t="n">
        <v>45</v>
      </c>
      <c r="T48" s="13" t="n">
        <v>187</v>
      </c>
      <c r="U48" s="13" t="n">
        <v>37</v>
      </c>
      <c r="V48" s="13" t="n">
        <v>158</v>
      </c>
      <c r="W48" s="13" t="n">
        <v>0.838</v>
      </c>
      <c r="X48" s="13" t="n">
        <v>116</v>
      </c>
      <c r="Y48" s="13" t="n">
        <v>129</v>
      </c>
      <c r="Z48" s="13" t="n">
        <v>72</v>
      </c>
      <c r="AA48" s="13" t="n">
        <v>10</v>
      </c>
      <c r="AB48" s="13" t="n">
        <v>4.6</v>
      </c>
      <c r="AC48" s="11" t="inlineStr">
        <is>
          <t xml:space="preserve"> Resort Freeride</t>
        </is>
      </c>
      <c r="AD48" s="11" t="inlineStr">
        <is>
          <t xml:space="preserve"> Freeski</t>
        </is>
      </c>
      <c r="AE48" s="13" t="n"/>
      <c r="AF48" s="13" t="n"/>
      <c r="AG48" s="13" t="n"/>
    </row>
    <row r="49">
      <c r="A49" s="9" t="inlineStr">
        <is>
          <t>21/22</t>
        </is>
      </c>
      <c r="B49" s="10" t="inlineStr">
        <is>
          <t xml:space="preserve"> Armada</t>
        </is>
      </c>
      <c r="C49" s="11" t="inlineStr">
        <is>
          <t>ARV 96</t>
        </is>
      </c>
      <c r="D49" s="13" t="n">
        <v>163</v>
      </c>
      <c r="E49" s="11" t="inlineStr">
        <is>
          <t xml:space="preserve"> Unisex</t>
        </is>
      </c>
      <c r="F49" s="13" t="n">
        <v>163</v>
      </c>
      <c r="G49" s="13" t="n">
        <v>161.6</v>
      </c>
      <c r="H49" s="13" t="n">
        <v>117</v>
      </c>
      <c r="I49" s="13" t="n">
        <v>133</v>
      </c>
      <c r="J49" s="13" t="n">
        <v>122</v>
      </c>
      <c r="K49" s="13" t="n">
        <v>95</v>
      </c>
      <c r="L49" s="13" t="n">
        <v>114</v>
      </c>
      <c r="M49" s="13" t="n">
        <v>17.7</v>
      </c>
      <c r="N49" s="13" t="n">
        <v>1627</v>
      </c>
      <c r="O49" s="13" t="n">
        <v>1.03</v>
      </c>
      <c r="P49" s="13" t="n">
        <v>1675</v>
      </c>
      <c r="Q49" s="13" t="n">
        <v>141</v>
      </c>
      <c r="R49" s="13" t="n">
        <v>86</v>
      </c>
      <c r="S49" s="13" t="n">
        <v>48</v>
      </c>
      <c r="T49" s="13" t="n">
        <v>237</v>
      </c>
      <c r="U49" s="13" t="n">
        <v>39</v>
      </c>
      <c r="V49" s="13" t="n">
        <v>213</v>
      </c>
      <c r="W49" s="13" t="n">
        <v>0.8129999999999999</v>
      </c>
      <c r="X49" s="13" t="n">
        <v>133</v>
      </c>
      <c r="Y49" s="13" t="n">
        <v>155</v>
      </c>
      <c r="Z49" s="13" t="n">
        <v>104</v>
      </c>
      <c r="AA49" s="13" t="n">
        <v>9</v>
      </c>
      <c r="AB49" s="13" t="n">
        <v>4.7</v>
      </c>
      <c r="AC49" s="11" t="inlineStr">
        <is>
          <t xml:space="preserve"> Resort Freeride</t>
        </is>
      </c>
      <c r="AD49" s="11" t="inlineStr">
        <is>
          <t xml:space="preserve"> Freeski</t>
        </is>
      </c>
      <c r="AE49" s="13" t="n"/>
      <c r="AF49" s="13" t="n"/>
      <c r="AG49" s="13" t="n"/>
    </row>
    <row r="50">
      <c r="A50" s="9" t="inlineStr">
        <is>
          <t>21/22</t>
        </is>
      </c>
      <c r="B50" s="10" t="inlineStr">
        <is>
          <t xml:space="preserve"> Armada</t>
        </is>
      </c>
      <c r="C50" s="11" t="inlineStr">
        <is>
          <t>ARV 96</t>
        </is>
      </c>
      <c r="D50" s="13" t="n">
        <v>170</v>
      </c>
      <c r="E50" s="11" t="inlineStr">
        <is>
          <t xml:space="preserve"> Unisex</t>
        </is>
      </c>
      <c r="F50" s="13" t="n">
        <v>170</v>
      </c>
      <c r="G50" s="13" t="n">
        <v>168.9</v>
      </c>
      <c r="H50" s="13" t="n">
        <v>126</v>
      </c>
      <c r="I50" s="13" t="n">
        <v>141</v>
      </c>
      <c r="J50" s="13" t="n">
        <v>123</v>
      </c>
      <c r="K50" s="13" t="n">
        <v>95</v>
      </c>
      <c r="L50" s="13" t="n">
        <v>115</v>
      </c>
      <c r="M50" s="13" t="n">
        <v>18.7</v>
      </c>
      <c r="N50" s="13" t="n">
        <v>1729</v>
      </c>
      <c r="O50" s="13" t="n">
        <v>1.02</v>
      </c>
      <c r="P50" s="13" t="n">
        <v>1755</v>
      </c>
      <c r="Q50" s="13" t="n">
        <v>155</v>
      </c>
      <c r="R50" s="13" t="n">
        <v>92</v>
      </c>
      <c r="S50" s="13" t="n">
        <v>44</v>
      </c>
      <c r="T50" s="13" t="n">
        <v>226</v>
      </c>
      <c r="U50" s="13" t="n">
        <v>37</v>
      </c>
      <c r="V50" s="13" t="n">
        <v>205</v>
      </c>
      <c r="W50" s="13" t="n">
        <v>0.836</v>
      </c>
      <c r="X50" s="13" t="n">
        <v>135</v>
      </c>
      <c r="Y50" s="13" t="n">
        <v>141</v>
      </c>
      <c r="Z50" s="13" t="n">
        <v>91</v>
      </c>
      <c r="AA50" s="13" t="n">
        <v>11</v>
      </c>
      <c r="AB50" s="13" t="n">
        <v>4.8</v>
      </c>
      <c r="AC50" s="11" t="inlineStr">
        <is>
          <t xml:space="preserve"> Resort Freeride</t>
        </is>
      </c>
      <c r="AD50" s="11" t="inlineStr">
        <is>
          <t xml:space="preserve"> Freeski</t>
        </is>
      </c>
      <c r="AE50" s="13" t="n"/>
      <c r="AF50" s="13" t="n"/>
      <c r="AG50" s="13" t="n"/>
    </row>
    <row r="51">
      <c r="A51" s="9" t="inlineStr">
        <is>
          <t>21/22</t>
        </is>
      </c>
      <c r="B51" s="10" t="inlineStr">
        <is>
          <t xml:space="preserve"> Armada</t>
        </is>
      </c>
      <c r="C51" s="11" t="inlineStr">
        <is>
          <t>ARV 96</t>
        </is>
      </c>
      <c r="D51" s="13" t="n">
        <v>177</v>
      </c>
      <c r="E51" s="11" t="inlineStr">
        <is>
          <t xml:space="preserve"> Unisex</t>
        </is>
      </c>
      <c r="F51" s="13" t="n">
        <v>177</v>
      </c>
      <c r="G51" s="13" t="n">
        <v>175.2</v>
      </c>
      <c r="H51" s="13" t="n">
        <v>130</v>
      </c>
      <c r="I51" s="13" t="n">
        <v>146</v>
      </c>
      <c r="J51" s="13" t="n">
        <v>125</v>
      </c>
      <c r="K51" s="13" t="n">
        <v>95</v>
      </c>
      <c r="L51" s="13" t="n">
        <v>116</v>
      </c>
      <c r="M51" s="13" t="n">
        <v>18.9</v>
      </c>
      <c r="N51" s="13" t="n">
        <v>1938</v>
      </c>
      <c r="O51" s="13" t="n">
        <v>0.95</v>
      </c>
      <c r="P51" s="13" t="n">
        <v>1845</v>
      </c>
      <c r="Q51" s="13" t="n">
        <v>215</v>
      </c>
      <c r="R51" s="13" t="n">
        <v>115</v>
      </c>
      <c r="S51" s="13" t="n">
        <v>45</v>
      </c>
      <c r="T51" s="13" t="n">
        <v>233</v>
      </c>
      <c r="U51" s="13" t="n">
        <v>38</v>
      </c>
      <c r="V51" s="13" t="n">
        <v>217</v>
      </c>
      <c r="W51" s="13" t="n">
        <v>0.852</v>
      </c>
      <c r="X51" s="13" t="n">
        <v>155</v>
      </c>
      <c r="Y51" s="13" t="n">
        <v>138</v>
      </c>
      <c r="Z51" s="13" t="n">
        <v>78</v>
      </c>
      <c r="AA51" s="13" t="n">
        <v>9</v>
      </c>
      <c r="AB51" s="13" t="n">
        <v>5.2</v>
      </c>
      <c r="AC51" s="11" t="inlineStr">
        <is>
          <t xml:space="preserve"> Resort Freeride</t>
        </is>
      </c>
      <c r="AD51" s="11" t="inlineStr">
        <is>
          <t xml:space="preserve"> Freeski</t>
        </is>
      </c>
      <c r="AE51" s="13" t="n"/>
      <c r="AF51" s="13" t="n"/>
      <c r="AG51" s="13" t="n"/>
    </row>
    <row r="52">
      <c r="A52" s="9" t="inlineStr">
        <is>
          <t>21/22</t>
        </is>
      </c>
      <c r="B52" s="10" t="inlineStr">
        <is>
          <t xml:space="preserve"> Armada</t>
        </is>
      </c>
      <c r="C52" s="11" t="inlineStr">
        <is>
          <t>ARV 96</t>
        </is>
      </c>
      <c r="D52" s="13" t="n">
        <v>184</v>
      </c>
      <c r="E52" s="11" t="inlineStr">
        <is>
          <t xml:space="preserve"> Unisex</t>
        </is>
      </c>
      <c r="F52" s="13" t="n">
        <v>184</v>
      </c>
      <c r="G52" s="13" t="n">
        <v>182</v>
      </c>
      <c r="H52" s="13" t="n">
        <v>138</v>
      </c>
      <c r="I52" s="13" t="n">
        <v>152</v>
      </c>
      <c r="J52" s="13" t="n">
        <v>126</v>
      </c>
      <c r="K52" s="13" t="n">
        <v>95</v>
      </c>
      <c r="L52" s="13" t="n">
        <v>118</v>
      </c>
      <c r="M52" s="13" t="n">
        <v>19.6</v>
      </c>
      <c r="N52" s="13" t="n">
        <v>2068</v>
      </c>
      <c r="O52" s="13" t="n">
        <v>0.93</v>
      </c>
      <c r="P52" s="13" t="n">
        <v>1924</v>
      </c>
      <c r="Q52" s="13" t="n">
        <v>233</v>
      </c>
      <c r="R52" s="13" t="n">
        <v>123</v>
      </c>
      <c r="S52" s="13" t="n">
        <v>45</v>
      </c>
      <c r="T52" s="13" t="n">
        <v>233</v>
      </c>
      <c r="U52" s="13" t="n">
        <v>38</v>
      </c>
      <c r="V52" s="13" t="n">
        <v>211</v>
      </c>
      <c r="W52" s="13" t="n">
        <v>0.848</v>
      </c>
      <c r="X52" s="13" t="n">
        <v>148</v>
      </c>
      <c r="Y52" s="13" t="n">
        <v>156</v>
      </c>
      <c r="Z52" s="13" t="n">
        <v>85</v>
      </c>
      <c r="AA52" s="13" t="n">
        <v>11</v>
      </c>
      <c r="AB52" s="13" t="n">
        <v>5.4</v>
      </c>
      <c r="AC52" s="11" t="inlineStr">
        <is>
          <t xml:space="preserve"> Resort Freeride</t>
        </is>
      </c>
      <c r="AD52" s="11" t="inlineStr">
        <is>
          <t xml:space="preserve"> Freeski</t>
        </is>
      </c>
      <c r="AE52" s="13" t="n"/>
      <c r="AF52" s="13" t="n"/>
      <c r="AG52" s="13" t="n"/>
    </row>
    <row r="53">
      <c r="A53" s="9" t="inlineStr">
        <is>
          <t>21/22</t>
        </is>
      </c>
      <c r="B53" s="10" t="inlineStr">
        <is>
          <t xml:space="preserve"> Armada</t>
        </is>
      </c>
      <c r="C53" s="11" t="inlineStr">
        <is>
          <t>ARW 106 UL</t>
        </is>
      </c>
      <c r="D53" s="13" t="n">
        <v>164</v>
      </c>
      <c r="E53" s="11" t="inlineStr">
        <is>
          <t xml:space="preserve"> Women's</t>
        </is>
      </c>
      <c r="F53" s="13" t="n">
        <v>164</v>
      </c>
      <c r="G53" s="13" t="n">
        <v>161.8</v>
      </c>
      <c r="H53" s="13" t="n">
        <v>111</v>
      </c>
      <c r="I53" s="13" t="n">
        <v>129</v>
      </c>
      <c r="J53" s="13" t="n">
        <v>131</v>
      </c>
      <c r="K53" s="13" t="n">
        <v>105</v>
      </c>
      <c r="L53" s="13" t="n">
        <v>120</v>
      </c>
      <c r="M53" s="13" t="n">
        <v>18.4</v>
      </c>
      <c r="N53" s="13" t="n">
        <v>1668</v>
      </c>
      <c r="O53" s="13" t="n">
        <v>1.09</v>
      </c>
      <c r="P53" s="13" t="n">
        <v>1816</v>
      </c>
      <c r="Q53" s="13" t="n">
        <v>174</v>
      </c>
      <c r="R53" s="13" t="n">
        <v>85</v>
      </c>
      <c r="S53" s="13" t="n">
        <v>52</v>
      </c>
      <c r="T53" s="13" t="n">
        <v>274</v>
      </c>
      <c r="U53" s="13" t="n">
        <v>44</v>
      </c>
      <c r="V53" s="13" t="n">
        <v>233</v>
      </c>
      <c r="W53" s="13" t="n">
        <v>0.845</v>
      </c>
      <c r="X53" s="13" t="n">
        <v>144</v>
      </c>
      <c r="Y53" s="13" t="n">
        <v>188</v>
      </c>
      <c r="Z53" s="13" t="n">
        <v>129</v>
      </c>
      <c r="AA53" s="13" t="n">
        <v>5</v>
      </c>
      <c r="AB53" s="13" t="n">
        <v>2.6</v>
      </c>
      <c r="AC53" s="11" t="inlineStr">
        <is>
          <t xml:space="preserve"> Resort Freeride</t>
        </is>
      </c>
      <c r="AD53" s="11" t="inlineStr">
        <is>
          <t xml:space="preserve"> Freeski</t>
        </is>
      </c>
      <c r="AE53" s="11" t="inlineStr">
        <is>
          <t xml:space="preserve"> Powder</t>
        </is>
      </c>
      <c r="AF53" s="11" t="inlineStr">
        <is>
          <t xml:space="preserve"> Touring</t>
        </is>
      </c>
      <c r="AG53" s="13" t="n"/>
    </row>
    <row r="54">
      <c r="A54" s="9" t="inlineStr">
        <is>
          <t>21/22</t>
        </is>
      </c>
      <c r="B54" s="10" t="inlineStr">
        <is>
          <t xml:space="preserve"> Armada</t>
        </is>
      </c>
      <c r="C54" s="11" t="inlineStr">
        <is>
          <t>ARW 106 UL</t>
        </is>
      </c>
      <c r="D54" s="13" t="n">
        <v>172</v>
      </c>
      <c r="E54" s="11" t="inlineStr">
        <is>
          <t xml:space="preserve"> Women's</t>
        </is>
      </c>
      <c r="F54" s="13" t="n">
        <v>172</v>
      </c>
      <c r="G54" s="13" t="n">
        <v>170.1</v>
      </c>
      <c r="H54" s="13" t="n">
        <v>119</v>
      </c>
      <c r="I54" s="13" t="n">
        <v>137</v>
      </c>
      <c r="J54" s="13" t="n">
        <v>133</v>
      </c>
      <c r="K54" s="13" t="n">
        <v>105</v>
      </c>
      <c r="L54" s="13" t="n">
        <v>122</v>
      </c>
      <c r="M54" s="13" t="n">
        <v>19.3</v>
      </c>
      <c r="N54" s="13" t="n">
        <v>1762</v>
      </c>
      <c r="O54" s="13" t="n">
        <v>1.09</v>
      </c>
      <c r="P54" s="13" t="n">
        <v>1917</v>
      </c>
      <c r="Q54" s="13" t="n">
        <v>200</v>
      </c>
      <c r="R54" s="13" t="n">
        <v>97</v>
      </c>
      <c r="S54" s="13" t="n">
        <v>54</v>
      </c>
      <c r="T54" s="13" t="n">
        <v>275</v>
      </c>
      <c r="U54" s="13" t="n">
        <v>44</v>
      </c>
      <c r="V54" s="13" t="n">
        <v>241</v>
      </c>
      <c r="W54" s="13" t="n">
        <v>0.823</v>
      </c>
      <c r="X54" s="13" t="n">
        <v>146</v>
      </c>
      <c r="Y54" s="13" t="n">
        <v>180</v>
      </c>
      <c r="Z54" s="13" t="n">
        <v>129</v>
      </c>
      <c r="AA54" s="13" t="n">
        <v>7</v>
      </c>
      <c r="AB54" s="13" t="n">
        <v>6.1</v>
      </c>
      <c r="AC54" s="11" t="inlineStr">
        <is>
          <t xml:space="preserve"> Resort Freeride</t>
        </is>
      </c>
      <c r="AD54" s="11" t="inlineStr">
        <is>
          <t xml:space="preserve"> Freeski</t>
        </is>
      </c>
      <c r="AE54" s="11" t="inlineStr">
        <is>
          <t xml:space="preserve"> Powder</t>
        </is>
      </c>
      <c r="AF54" s="11" t="inlineStr">
        <is>
          <t xml:space="preserve"> Touring</t>
        </is>
      </c>
      <c r="AG54" s="13" t="n"/>
    </row>
    <row r="55">
      <c r="A55" s="9" t="inlineStr">
        <is>
          <t>21/22</t>
        </is>
      </c>
      <c r="B55" s="10" t="inlineStr">
        <is>
          <t xml:space="preserve"> Armada</t>
        </is>
      </c>
      <c r="C55" s="11" t="inlineStr">
        <is>
          <t>ARW 106 UL</t>
        </is>
      </c>
      <c r="D55" s="13" t="n">
        <v>180</v>
      </c>
      <c r="E55" s="11" t="inlineStr">
        <is>
          <t xml:space="preserve"> Women's</t>
        </is>
      </c>
      <c r="F55" s="13" t="n">
        <v>180</v>
      </c>
      <c r="G55" s="13" t="n">
        <v>177.6</v>
      </c>
      <c r="H55" s="13" t="n">
        <v>124</v>
      </c>
      <c r="I55" s="13" t="n">
        <v>142</v>
      </c>
      <c r="J55" s="13" t="n">
        <v>134</v>
      </c>
      <c r="K55" s="13" t="n">
        <v>105</v>
      </c>
      <c r="L55" s="13" t="n">
        <v>124</v>
      </c>
      <c r="M55" s="13" t="n">
        <v>20.2</v>
      </c>
      <c r="N55" s="13" t="n">
        <v>1853</v>
      </c>
      <c r="O55" s="13" t="n">
        <v>1.09</v>
      </c>
      <c r="P55" s="13" t="n">
        <v>2011</v>
      </c>
      <c r="Q55" s="13" t="n">
        <v>229</v>
      </c>
      <c r="R55" s="13" t="n">
        <v>103</v>
      </c>
      <c r="S55" s="13" t="n">
        <v>57</v>
      </c>
      <c r="T55" s="13" t="n">
        <v>291</v>
      </c>
      <c r="U55" s="13" t="n">
        <v>47</v>
      </c>
      <c r="V55" s="13" t="n">
        <v>249</v>
      </c>
      <c r="W55" s="13" t="n">
        <v>0.832</v>
      </c>
      <c r="X55" s="13" t="n">
        <v>172</v>
      </c>
      <c r="Y55" s="13" t="n">
        <v>184</v>
      </c>
      <c r="Z55" s="13" t="n">
        <v>119</v>
      </c>
      <c r="AA55" s="13" t="n">
        <v>7</v>
      </c>
      <c r="AB55" s="13" t="n">
        <v>2.6</v>
      </c>
      <c r="AC55" s="11" t="inlineStr">
        <is>
          <t xml:space="preserve"> Resort Freeride</t>
        </is>
      </c>
      <c r="AD55" s="11" t="inlineStr">
        <is>
          <t xml:space="preserve"> Freeski</t>
        </is>
      </c>
      <c r="AE55" s="11" t="inlineStr">
        <is>
          <t xml:space="preserve"> Powder</t>
        </is>
      </c>
      <c r="AF55" s="11" t="inlineStr">
        <is>
          <t xml:space="preserve"> Touring</t>
        </is>
      </c>
      <c r="AG55" s="13" t="n"/>
    </row>
    <row r="56">
      <c r="A56" s="9" t="inlineStr">
        <is>
          <t>21/22</t>
        </is>
      </c>
      <c r="B56" s="10" t="inlineStr">
        <is>
          <t xml:space="preserve"> Armada</t>
        </is>
      </c>
      <c r="C56" s="11" t="inlineStr">
        <is>
          <t>ARW 106 UL</t>
        </is>
      </c>
      <c r="D56" s="13" t="n">
        <v>188</v>
      </c>
      <c r="E56" s="11" t="inlineStr">
        <is>
          <t xml:space="preserve"> Women's</t>
        </is>
      </c>
      <c r="F56" s="13" t="n">
        <v>188</v>
      </c>
      <c r="G56" s="13" t="n">
        <v>183.1</v>
      </c>
      <c r="H56" s="13" t="n">
        <v>129</v>
      </c>
      <c r="I56" s="13" t="n">
        <v>150</v>
      </c>
      <c r="J56" s="13" t="n">
        <v>136</v>
      </c>
      <c r="K56" s="13" t="n">
        <v>105</v>
      </c>
      <c r="L56" s="13" t="n">
        <v>125</v>
      </c>
      <c r="M56" s="13" t="n">
        <v>21.8</v>
      </c>
      <c r="N56" s="13" t="n">
        <v>1953</v>
      </c>
      <c r="O56" s="13" t="n">
        <v>1.07</v>
      </c>
      <c r="P56" s="13" t="n">
        <v>2093</v>
      </c>
      <c r="Q56" s="13" t="n">
        <v>266</v>
      </c>
      <c r="R56" s="13" t="n">
        <v>129</v>
      </c>
      <c r="S56" s="13" t="n">
        <v>58</v>
      </c>
      <c r="T56" s="13" t="n">
        <v>308</v>
      </c>
      <c r="U56" s="13" t="n">
        <v>34</v>
      </c>
      <c r="V56" s="13" t="n">
        <v>236</v>
      </c>
      <c r="W56" s="13" t="n">
        <v>0.59</v>
      </c>
      <c r="X56" s="13" t="n">
        <v>176</v>
      </c>
      <c r="Y56" s="13" t="n">
        <v>151</v>
      </c>
      <c r="Z56" s="13" t="n">
        <v>132</v>
      </c>
      <c r="AA56" s="13" t="n">
        <v>6</v>
      </c>
      <c r="AB56" s="13" t="n">
        <v>4.1</v>
      </c>
      <c r="AC56" s="11" t="inlineStr">
        <is>
          <t xml:space="preserve"> Resort Freeride</t>
        </is>
      </c>
      <c r="AD56" s="11" t="inlineStr">
        <is>
          <t xml:space="preserve"> Powder</t>
        </is>
      </c>
      <c r="AE56" s="11" t="inlineStr">
        <is>
          <t xml:space="preserve"> Touring</t>
        </is>
      </c>
      <c r="AF56" s="13" t="n"/>
      <c r="AG56" s="13" t="n"/>
    </row>
    <row r="57">
      <c r="A57" s="9" t="inlineStr">
        <is>
          <t>21/22</t>
        </is>
      </c>
      <c r="B57" s="10" t="inlineStr">
        <is>
          <t xml:space="preserve"> Armada</t>
        </is>
      </c>
      <c r="C57" s="11" t="inlineStr">
        <is>
          <t>ARW 84</t>
        </is>
      </c>
      <c r="D57" s="13" t="n">
        <v>143</v>
      </c>
      <c r="E57" s="11" t="inlineStr">
        <is>
          <t xml:space="preserve"> Women's</t>
        </is>
      </c>
      <c r="F57" s="13" t="n">
        <v>143</v>
      </c>
      <c r="G57" s="13" t="n">
        <v>141.2</v>
      </c>
      <c r="H57" s="13" t="n">
        <v>98</v>
      </c>
      <c r="I57" s="13" t="n">
        <v>116</v>
      </c>
      <c r="J57" s="13" t="n">
        <v>116</v>
      </c>
      <c r="K57" s="13" t="n">
        <v>84</v>
      </c>
      <c r="L57" s="13" t="n">
        <v>108</v>
      </c>
      <c r="M57" s="13" t="n">
        <v>10.6</v>
      </c>
      <c r="N57" s="13" t="n">
        <v>1360</v>
      </c>
      <c r="O57" s="13" t="n">
        <v>0.99</v>
      </c>
      <c r="P57" s="13" t="n">
        <v>1347</v>
      </c>
      <c r="Q57" s="13" t="n">
        <v>101</v>
      </c>
      <c r="R57" s="13" t="n">
        <v>44</v>
      </c>
      <c r="S57" s="13" t="n">
        <v>49</v>
      </c>
      <c r="T57" s="13" t="n">
        <v>246</v>
      </c>
      <c r="U57" s="13" t="n">
        <v>37</v>
      </c>
      <c r="V57" s="13" t="n">
        <v>190</v>
      </c>
      <c r="W57" s="13" t="n">
        <v>0.762</v>
      </c>
      <c r="X57" s="13" t="n">
        <v>133</v>
      </c>
      <c r="Y57" s="13" t="n">
        <v>118</v>
      </c>
      <c r="Z57" s="13" t="n">
        <v>113</v>
      </c>
      <c r="AA57" s="13" t="n">
        <v>6</v>
      </c>
      <c r="AB57" s="13" t="n">
        <v>5.9</v>
      </c>
      <c r="AC57" s="11" t="inlineStr">
        <is>
          <t xml:space="preserve"> Resort Freeride</t>
        </is>
      </c>
      <c r="AD57" s="13" t="n"/>
      <c r="AE57" s="13" t="n"/>
      <c r="AF57" s="13" t="n"/>
      <c r="AG57" s="13" t="n"/>
    </row>
    <row r="58">
      <c r="A58" s="9" t="inlineStr">
        <is>
          <t>21/22</t>
        </is>
      </c>
      <c r="B58" s="10" t="inlineStr">
        <is>
          <t xml:space="preserve"> Armada</t>
        </is>
      </c>
      <c r="C58" s="11" t="inlineStr">
        <is>
          <t>ARW 84</t>
        </is>
      </c>
      <c r="D58" s="13" t="n">
        <v>150</v>
      </c>
      <c r="E58" s="11" t="inlineStr">
        <is>
          <t xml:space="preserve"> Women's</t>
        </is>
      </c>
      <c r="F58" s="13" t="n">
        <v>150</v>
      </c>
      <c r="G58" s="13" t="n">
        <v>148.1</v>
      </c>
      <c r="H58" s="13" t="n">
        <v>102</v>
      </c>
      <c r="I58" s="13" t="n">
        <v>122</v>
      </c>
      <c r="J58" s="13" t="n">
        <v>116</v>
      </c>
      <c r="K58" s="13" t="n">
        <v>84</v>
      </c>
      <c r="L58" s="13" t="n">
        <v>108</v>
      </c>
      <c r="M58" s="13" t="n">
        <v>12</v>
      </c>
      <c r="N58" s="13" t="n">
        <v>1453</v>
      </c>
      <c r="O58" s="13" t="n">
        <v>0.97</v>
      </c>
      <c r="P58" s="13" t="n">
        <v>1412</v>
      </c>
      <c r="Q58" s="13" t="n">
        <v>110</v>
      </c>
      <c r="R58" s="13" t="n">
        <v>46</v>
      </c>
      <c r="S58" s="13" t="n">
        <v>49</v>
      </c>
      <c r="T58" s="13" t="n">
        <v>257</v>
      </c>
      <c r="U58" s="13" t="n">
        <v>39</v>
      </c>
      <c r="V58" s="13" t="n">
        <v>207</v>
      </c>
      <c r="W58" s="13" t="n">
        <v>0.803</v>
      </c>
      <c r="X58" s="13" t="n">
        <v>134</v>
      </c>
      <c r="Y58" s="13" t="n">
        <v>123</v>
      </c>
      <c r="Z58" s="13" t="n">
        <v>123</v>
      </c>
      <c r="AA58" s="13" t="n">
        <v>6</v>
      </c>
      <c r="AB58" s="13" t="n">
        <v>6</v>
      </c>
      <c r="AC58" s="11" t="inlineStr">
        <is>
          <t xml:space="preserve"> Resort Freeride</t>
        </is>
      </c>
      <c r="AD58" s="11" t="inlineStr">
        <is>
          <t xml:space="preserve"> Freeski</t>
        </is>
      </c>
      <c r="AE58" s="13" t="n"/>
      <c r="AF58" s="13" t="n"/>
      <c r="AG58" s="13" t="n"/>
    </row>
    <row r="59">
      <c r="A59" s="9" t="inlineStr">
        <is>
          <t>21/22</t>
        </is>
      </c>
      <c r="B59" s="10" t="inlineStr">
        <is>
          <t xml:space="preserve"> Armada</t>
        </is>
      </c>
      <c r="C59" s="11" t="inlineStr">
        <is>
          <t>ARW 84</t>
        </is>
      </c>
      <c r="D59" s="13" t="n">
        <v>157</v>
      </c>
      <c r="E59" s="11" t="inlineStr">
        <is>
          <t xml:space="preserve"> Women's</t>
        </is>
      </c>
      <c r="F59" s="13" t="n">
        <v>157</v>
      </c>
      <c r="G59" s="13" t="n">
        <v>155.4</v>
      </c>
      <c r="H59" s="13" t="n">
        <v>110</v>
      </c>
      <c r="I59" s="13" t="n">
        <v>128</v>
      </c>
      <c r="J59" s="13" t="n">
        <v>116</v>
      </c>
      <c r="K59" s="13" t="n">
        <v>84</v>
      </c>
      <c r="L59" s="13" t="n">
        <v>108</v>
      </c>
      <c r="M59" s="13" t="n">
        <v>13.4</v>
      </c>
      <c r="N59" s="13" t="n">
        <v>1546</v>
      </c>
      <c r="O59" s="13" t="n">
        <v>0.96</v>
      </c>
      <c r="P59" s="13" t="n">
        <v>1484</v>
      </c>
      <c r="Q59" s="13" t="n">
        <v>136</v>
      </c>
      <c r="R59" s="13" t="n">
        <v>46</v>
      </c>
      <c r="S59" s="13" t="n">
        <v>46</v>
      </c>
      <c r="T59" s="13" t="n">
        <v>251</v>
      </c>
      <c r="U59" s="13" t="n">
        <v>38</v>
      </c>
      <c r="V59" s="13" t="n">
        <v>201</v>
      </c>
      <c r="W59" s="13" t="n">
        <v>0.819</v>
      </c>
      <c r="X59" s="13" t="n">
        <v>142</v>
      </c>
      <c r="Y59" s="13" t="n">
        <v>128</v>
      </c>
      <c r="Z59" s="13" t="n">
        <v>109</v>
      </c>
      <c r="AA59" s="13" t="n">
        <v>8</v>
      </c>
      <c r="AB59" s="13" t="n">
        <v>6.6</v>
      </c>
      <c r="AC59" s="11" t="inlineStr">
        <is>
          <t xml:space="preserve"> Resort Freeride</t>
        </is>
      </c>
      <c r="AD59" s="11" t="inlineStr">
        <is>
          <t xml:space="preserve"> Freeski</t>
        </is>
      </c>
      <c r="AE59" s="13" t="n"/>
      <c r="AF59" s="13" t="n"/>
      <c r="AG59" s="13" t="n"/>
    </row>
    <row r="60">
      <c r="A60" s="9" t="inlineStr">
        <is>
          <t>21/22</t>
        </is>
      </c>
      <c r="B60" s="10" t="inlineStr">
        <is>
          <t xml:space="preserve"> Armada</t>
        </is>
      </c>
      <c r="C60" s="11" t="inlineStr">
        <is>
          <t>ARW 84</t>
        </is>
      </c>
      <c r="D60" s="13" t="n">
        <v>164</v>
      </c>
      <c r="E60" s="11" t="inlineStr">
        <is>
          <t xml:space="preserve"> Women's</t>
        </is>
      </c>
      <c r="F60" s="13" t="n">
        <v>164</v>
      </c>
      <c r="G60" s="13" t="n">
        <v>162.5</v>
      </c>
      <c r="H60" s="13" t="n">
        <v>117</v>
      </c>
      <c r="I60" s="13" t="n">
        <v>134</v>
      </c>
      <c r="J60" s="13" t="n">
        <v>117</v>
      </c>
      <c r="K60" s="13" t="n">
        <v>85</v>
      </c>
      <c r="L60" s="13" t="n">
        <v>109</v>
      </c>
      <c r="M60" s="13" t="n">
        <v>14.7</v>
      </c>
      <c r="N60" s="13" t="n">
        <v>1659</v>
      </c>
      <c r="O60" s="13" t="n">
        <v>0.9399999999999999</v>
      </c>
      <c r="P60" s="13" t="n">
        <v>1566</v>
      </c>
      <c r="Q60" s="13" t="n">
        <v>150</v>
      </c>
      <c r="R60" s="13" t="n">
        <v>65</v>
      </c>
      <c r="S60" s="13" t="n">
        <v>44</v>
      </c>
      <c r="T60" s="13" t="n">
        <v>250</v>
      </c>
      <c r="U60" s="13" t="n">
        <v>37</v>
      </c>
      <c r="V60" s="13" t="n">
        <v>210</v>
      </c>
      <c r="W60" s="13" t="n">
        <v>0.833</v>
      </c>
      <c r="X60" s="13" t="n">
        <v>158</v>
      </c>
      <c r="Y60" s="13" t="n">
        <v>123</v>
      </c>
      <c r="Z60" s="13" t="n">
        <v>92</v>
      </c>
      <c r="AA60" s="13" t="n">
        <v>9</v>
      </c>
      <c r="AB60" s="13" t="n">
        <v>9.9</v>
      </c>
      <c r="AC60" s="11" t="inlineStr">
        <is>
          <t xml:space="preserve"> Resort Freeride</t>
        </is>
      </c>
      <c r="AD60" s="11" t="inlineStr">
        <is>
          <t xml:space="preserve"> Freeski</t>
        </is>
      </c>
      <c r="AE60" s="13" t="n"/>
      <c r="AF60" s="13" t="n"/>
      <c r="AG60" s="13" t="n"/>
    </row>
    <row r="61">
      <c r="A61" s="9" t="inlineStr">
        <is>
          <t>21/22</t>
        </is>
      </c>
      <c r="B61" s="10" t="inlineStr">
        <is>
          <t xml:space="preserve"> Armada</t>
        </is>
      </c>
      <c r="C61" s="11" t="inlineStr">
        <is>
          <t>ARW 86</t>
        </is>
      </c>
      <c r="D61" s="13" t="n">
        <v>156</v>
      </c>
      <c r="E61" s="11" t="inlineStr">
        <is>
          <t xml:space="preserve"> Women's</t>
        </is>
      </c>
      <c r="F61" s="13" t="n">
        <v>156</v>
      </c>
      <c r="G61" s="13" t="n">
        <v>154</v>
      </c>
      <c r="H61" s="13" t="n">
        <v>118</v>
      </c>
      <c r="I61" s="13" t="n">
        <v>132</v>
      </c>
      <c r="J61" s="13" t="n">
        <v>111</v>
      </c>
      <c r="K61" s="13" t="n">
        <v>85</v>
      </c>
      <c r="L61" s="13" t="n">
        <v>106</v>
      </c>
      <c r="M61" s="13" t="n">
        <v>16.5</v>
      </c>
      <c r="N61" s="13" t="n">
        <v>1469</v>
      </c>
      <c r="O61" s="13" t="n">
        <v>0.99</v>
      </c>
      <c r="P61" s="13" t="n">
        <v>1455</v>
      </c>
      <c r="Q61" s="13" t="n">
        <v>136</v>
      </c>
      <c r="R61" s="13" t="n">
        <v>72</v>
      </c>
      <c r="S61" s="13" t="n">
        <v>44</v>
      </c>
      <c r="T61" s="13" t="n">
        <v>186</v>
      </c>
      <c r="U61" s="13" t="n">
        <v>39</v>
      </c>
      <c r="V61" s="13" t="n">
        <v>169</v>
      </c>
      <c r="W61" s="13" t="n">
        <v>0.87</v>
      </c>
      <c r="X61" s="13" t="n">
        <v>110</v>
      </c>
      <c r="Y61" s="13" t="n">
        <v>106</v>
      </c>
      <c r="Z61" s="13" t="n">
        <v>76</v>
      </c>
      <c r="AA61" s="13" t="n">
        <v>9</v>
      </c>
      <c r="AB61" s="13" t="n">
        <v>4.2</v>
      </c>
      <c r="AC61" s="11" t="inlineStr">
        <is>
          <t xml:space="preserve"> Freeski</t>
        </is>
      </c>
      <c r="AD61" s="13" t="n"/>
      <c r="AE61" s="13" t="n"/>
      <c r="AF61" s="13" t="n"/>
      <c r="AG61" s="13" t="n"/>
    </row>
    <row r="62">
      <c r="A62" s="9" t="inlineStr">
        <is>
          <t>21/22</t>
        </is>
      </c>
      <c r="B62" s="10" t="inlineStr">
        <is>
          <t xml:space="preserve"> Armada</t>
        </is>
      </c>
      <c r="C62" s="11" t="inlineStr">
        <is>
          <t>ARW 86</t>
        </is>
      </c>
      <c r="D62" s="13" t="n">
        <v>163</v>
      </c>
      <c r="E62" s="11" t="inlineStr">
        <is>
          <t xml:space="preserve"> Women's</t>
        </is>
      </c>
      <c r="F62" s="13" t="n">
        <v>163</v>
      </c>
      <c r="G62" s="13" t="n">
        <v>160.9</v>
      </c>
      <c r="H62" s="13" t="n">
        <v>127</v>
      </c>
      <c r="I62" s="13" t="n">
        <v>137</v>
      </c>
      <c r="J62" s="13" t="n">
        <v>113</v>
      </c>
      <c r="K62" s="13" t="n">
        <v>85</v>
      </c>
      <c r="L62" s="13" t="n">
        <v>107</v>
      </c>
      <c r="M62" s="13" t="n">
        <v>17.3</v>
      </c>
      <c r="N62" s="13" t="n">
        <v>1552</v>
      </c>
      <c r="O62" s="13" t="n">
        <v>0.98</v>
      </c>
      <c r="P62" s="13" t="n">
        <v>1524</v>
      </c>
      <c r="Q62" s="13" t="n">
        <v>140</v>
      </c>
      <c r="R62" s="13" t="n">
        <v>83</v>
      </c>
      <c r="S62" s="13" t="n">
        <v>43</v>
      </c>
      <c r="T62" s="13" t="n">
        <v>178</v>
      </c>
      <c r="U62" s="13" t="n">
        <v>38</v>
      </c>
      <c r="V62" s="13" t="n">
        <v>160</v>
      </c>
      <c r="W62" s="13" t="n">
        <v>0.866</v>
      </c>
      <c r="X62" s="13" t="n">
        <v>107</v>
      </c>
      <c r="Y62" s="13" t="n">
        <v>127</v>
      </c>
      <c r="Z62" s="13" t="n">
        <v>71</v>
      </c>
      <c r="AA62" s="13" t="n">
        <v>12</v>
      </c>
      <c r="AB62" s="13" t="n">
        <v>3.8</v>
      </c>
      <c r="AC62" s="11" t="inlineStr">
        <is>
          <t xml:space="preserve"> Freeski</t>
        </is>
      </c>
      <c r="AD62" s="13" t="n"/>
      <c r="AE62" s="13" t="n"/>
      <c r="AF62" s="13" t="n"/>
      <c r="AG62" s="13" t="n"/>
    </row>
    <row r="63">
      <c r="A63" s="9" t="inlineStr">
        <is>
          <t>21/22</t>
        </is>
      </c>
      <c r="B63" s="10" t="inlineStr">
        <is>
          <t xml:space="preserve"> Armada</t>
        </is>
      </c>
      <c r="C63" s="11" t="inlineStr">
        <is>
          <t>ARW 86</t>
        </is>
      </c>
      <c r="D63" s="13" t="n">
        <v>170</v>
      </c>
      <c r="E63" s="11" t="inlineStr">
        <is>
          <t xml:space="preserve"> Women's</t>
        </is>
      </c>
      <c r="F63" s="13" t="n">
        <v>170</v>
      </c>
      <c r="G63" s="13" t="n">
        <v>168.2</v>
      </c>
      <c r="H63" s="13" t="n">
        <v>135</v>
      </c>
      <c r="I63" s="13" t="n">
        <v>139</v>
      </c>
      <c r="J63" s="13" t="n">
        <v>114</v>
      </c>
      <c r="K63" s="13" t="n">
        <v>85</v>
      </c>
      <c r="L63" s="13" t="n">
        <v>108</v>
      </c>
      <c r="M63" s="13" t="n">
        <v>17.6</v>
      </c>
      <c r="N63" s="13" t="n">
        <v>1704</v>
      </c>
      <c r="O63" s="13" t="n">
        <v>0.9399999999999999</v>
      </c>
      <c r="P63" s="13" t="n">
        <v>1604</v>
      </c>
      <c r="Q63" s="13" t="n">
        <v>166</v>
      </c>
      <c r="R63" s="13" t="n">
        <v>95</v>
      </c>
      <c r="S63" s="13" t="n">
        <v>44</v>
      </c>
      <c r="T63" s="13" t="n">
        <v>168</v>
      </c>
      <c r="U63" s="13" t="n">
        <v>38</v>
      </c>
      <c r="V63" s="13" t="n">
        <v>167</v>
      </c>
      <c r="W63" s="13" t="n">
        <v>0.87</v>
      </c>
      <c r="X63" s="13" t="n">
        <v>139</v>
      </c>
      <c r="Y63" s="13" t="n">
        <v>152</v>
      </c>
      <c r="Z63" s="13" t="n">
        <v>29</v>
      </c>
      <c r="AA63" s="13" t="n">
        <v>12</v>
      </c>
      <c r="AB63" s="13" t="n">
        <v>3.8</v>
      </c>
      <c r="AC63" s="11" t="inlineStr">
        <is>
          <t xml:space="preserve"> Freeski</t>
        </is>
      </c>
      <c r="AD63" s="13" t="n"/>
      <c r="AE63" s="13" t="n"/>
      <c r="AF63" s="13" t="n"/>
      <c r="AG63" s="13" t="n"/>
    </row>
    <row r="64">
      <c r="A64" s="9" t="inlineStr">
        <is>
          <t>21/22</t>
        </is>
      </c>
      <c r="B64" s="10" t="inlineStr">
        <is>
          <t xml:space="preserve"> Armada</t>
        </is>
      </c>
      <c r="C64" s="11" t="inlineStr">
        <is>
          <t>ARW 96</t>
        </is>
      </c>
      <c r="D64" s="13" t="n">
        <v>156</v>
      </c>
      <c r="E64" s="11" t="inlineStr">
        <is>
          <t xml:space="preserve"> Women's</t>
        </is>
      </c>
      <c r="F64" s="13" t="n">
        <v>156</v>
      </c>
      <c r="G64" s="13" t="n">
        <v>154</v>
      </c>
      <c r="H64" s="13" t="n">
        <v>106</v>
      </c>
      <c r="I64" s="13" t="n">
        <v>129</v>
      </c>
      <c r="J64" s="13" t="n">
        <v>120</v>
      </c>
      <c r="K64" s="13" t="n">
        <v>95</v>
      </c>
      <c r="L64" s="13" t="n">
        <v>113</v>
      </c>
      <c r="M64" s="13" t="n">
        <v>16.9</v>
      </c>
      <c r="N64" s="13" t="n">
        <v>1615</v>
      </c>
      <c r="O64" s="13" t="n">
        <v>0.98</v>
      </c>
      <c r="P64" s="13" t="n">
        <v>1588</v>
      </c>
      <c r="Q64" s="13" t="n">
        <v>155</v>
      </c>
      <c r="R64" s="13" t="n">
        <v>88</v>
      </c>
      <c r="S64" s="13" t="n">
        <v>48</v>
      </c>
      <c r="T64" s="13" t="n">
        <v>247</v>
      </c>
      <c r="U64" s="13" t="n">
        <v>42</v>
      </c>
      <c r="V64" s="13" t="n">
        <v>230</v>
      </c>
      <c r="W64" s="13" t="n">
        <v>0.873</v>
      </c>
      <c r="X64" s="13" t="n">
        <v>118</v>
      </c>
      <c r="Y64" s="13" t="n">
        <v>134</v>
      </c>
      <c r="Z64" s="13" t="n">
        <v>128</v>
      </c>
      <c r="AA64" s="13" t="n">
        <v>6</v>
      </c>
      <c r="AB64" s="13" t="n">
        <v>5.3</v>
      </c>
      <c r="AC64" s="11" t="inlineStr">
        <is>
          <t xml:space="preserve"> Freeski</t>
        </is>
      </c>
      <c r="AD64" s="13" t="n"/>
      <c r="AE64" s="13" t="n"/>
      <c r="AF64" s="13" t="n"/>
      <c r="AG64" s="13" t="n"/>
    </row>
    <row r="65">
      <c r="A65" s="9" t="inlineStr">
        <is>
          <t>21/22</t>
        </is>
      </c>
      <c r="B65" s="10" t="inlineStr">
        <is>
          <t xml:space="preserve"> Armada</t>
        </is>
      </c>
      <c r="C65" s="11" t="inlineStr">
        <is>
          <t>ARW 96</t>
        </is>
      </c>
      <c r="D65" s="13" t="n">
        <v>163</v>
      </c>
      <c r="E65" s="11" t="inlineStr">
        <is>
          <t xml:space="preserve"> Women's</t>
        </is>
      </c>
      <c r="F65" s="13" t="n">
        <v>163</v>
      </c>
      <c r="G65" s="13" t="n">
        <v>161.2</v>
      </c>
      <c r="H65" s="13" t="n">
        <v>116</v>
      </c>
      <c r="I65" s="13" t="n">
        <v>135</v>
      </c>
      <c r="J65" s="13" t="n">
        <v>123</v>
      </c>
      <c r="K65" s="13" t="n">
        <v>95</v>
      </c>
      <c r="L65" s="13" t="n">
        <v>115</v>
      </c>
      <c r="M65" s="13" t="n">
        <v>17.4</v>
      </c>
      <c r="N65" s="13" t="n">
        <v>1678</v>
      </c>
      <c r="O65" s="13" t="n">
        <v>1</v>
      </c>
      <c r="P65" s="13" t="n">
        <v>1683</v>
      </c>
      <c r="Q65" s="13" t="n">
        <v>155</v>
      </c>
      <c r="R65" s="13" t="n">
        <v>88</v>
      </c>
      <c r="S65" s="13" t="n">
        <v>45</v>
      </c>
      <c r="T65" s="13" t="n">
        <v>236</v>
      </c>
      <c r="U65" s="13" t="n">
        <v>38</v>
      </c>
      <c r="V65" s="13" t="n">
        <v>214</v>
      </c>
      <c r="W65" s="13" t="n">
        <v>0.853</v>
      </c>
      <c r="X65" s="13" t="n">
        <v>118</v>
      </c>
      <c r="Y65" s="13" t="n">
        <v>147</v>
      </c>
      <c r="Z65" s="13" t="n">
        <v>118</v>
      </c>
      <c r="AA65" s="13" t="n">
        <v>10</v>
      </c>
      <c r="AB65" s="13" t="n">
        <v>5.3</v>
      </c>
      <c r="AC65" s="11" t="inlineStr">
        <is>
          <t xml:space="preserve"> Resort Freeride</t>
        </is>
      </c>
      <c r="AD65" s="11" t="inlineStr">
        <is>
          <t xml:space="preserve"> Freeski</t>
        </is>
      </c>
      <c r="AE65" s="13" t="n"/>
      <c r="AF65" s="13" t="n"/>
      <c r="AG65" s="13" t="n"/>
    </row>
    <row r="66">
      <c r="A66" s="9" t="inlineStr">
        <is>
          <t>21/22</t>
        </is>
      </c>
      <c r="B66" s="10" t="inlineStr">
        <is>
          <t xml:space="preserve"> Armada</t>
        </is>
      </c>
      <c r="C66" s="11" t="inlineStr">
        <is>
          <t>ARW 96</t>
        </is>
      </c>
      <c r="D66" s="13" t="n">
        <v>170</v>
      </c>
      <c r="E66" s="11" t="inlineStr">
        <is>
          <t xml:space="preserve"> Women's</t>
        </is>
      </c>
      <c r="F66" s="13" t="n">
        <v>170</v>
      </c>
      <c r="G66" s="13" t="n">
        <v>168.4</v>
      </c>
      <c r="H66" s="13" t="n">
        <v>123</v>
      </c>
      <c r="I66" s="13" t="n">
        <v>139</v>
      </c>
      <c r="J66" s="13" t="n">
        <v>123</v>
      </c>
      <c r="K66" s="13" t="n">
        <v>95</v>
      </c>
      <c r="L66" s="13" t="n">
        <v>115</v>
      </c>
      <c r="M66" s="13" t="n">
        <v>18.2</v>
      </c>
      <c r="N66" s="13" t="n">
        <v>1769</v>
      </c>
      <c r="O66" s="13" t="n">
        <v>0.99</v>
      </c>
      <c r="P66" s="13" t="n">
        <v>1756</v>
      </c>
      <c r="Q66" s="13" t="n">
        <v>183</v>
      </c>
      <c r="R66" s="13" t="n">
        <v>96</v>
      </c>
      <c r="S66" s="13" t="n">
        <v>47</v>
      </c>
      <c r="T66" s="13" t="n">
        <v>236</v>
      </c>
      <c r="U66" s="13" t="n">
        <v>40</v>
      </c>
      <c r="V66" s="13" t="n">
        <v>221</v>
      </c>
      <c r="W66" s="13" t="n">
        <v>0.86</v>
      </c>
      <c r="X66" s="13" t="n">
        <v>141</v>
      </c>
      <c r="Y66" s="13" t="n">
        <v>152</v>
      </c>
      <c r="Z66" s="13" t="n">
        <v>94</v>
      </c>
      <c r="AA66" s="13" t="n">
        <v>10</v>
      </c>
      <c r="AB66" s="13" t="n">
        <v>5</v>
      </c>
      <c r="AC66" s="11" t="inlineStr">
        <is>
          <t xml:space="preserve"> Resort Freeride</t>
        </is>
      </c>
      <c r="AD66" s="11" t="inlineStr">
        <is>
          <t xml:space="preserve"> Freeski</t>
        </is>
      </c>
      <c r="AE66" s="13" t="n"/>
      <c r="AF66" s="13" t="n"/>
      <c r="AG66" s="13" t="n"/>
    </row>
    <row r="67">
      <c r="A67" s="9" t="inlineStr">
        <is>
          <t>21/22</t>
        </is>
      </c>
      <c r="B67" s="10" t="inlineStr">
        <is>
          <t xml:space="preserve"> Armada</t>
        </is>
      </c>
      <c r="C67" s="11" t="inlineStr">
        <is>
          <t xml:space="preserve"> Bdog</t>
        </is>
      </c>
      <c r="D67" s="13" t="n">
        <v>164</v>
      </c>
      <c r="E67" s="11" t="inlineStr">
        <is>
          <t xml:space="preserve"> Unisex</t>
        </is>
      </c>
      <c r="F67" s="13" t="n">
        <v>164</v>
      </c>
      <c r="G67" s="13" t="n">
        <v>162.7</v>
      </c>
      <c r="H67" s="13" t="n">
        <v>111</v>
      </c>
      <c r="I67" s="13" t="n">
        <v>133</v>
      </c>
      <c r="J67" s="13" t="n">
        <v>121</v>
      </c>
      <c r="K67" s="13" t="n">
        <v>93</v>
      </c>
      <c r="L67" s="13" t="n">
        <v>116</v>
      </c>
      <c r="M67" s="13" t="n">
        <v>14.9</v>
      </c>
      <c r="N67" s="13" t="n">
        <v>1792</v>
      </c>
      <c r="O67" s="13" t="n">
        <v>0.9399999999999999</v>
      </c>
      <c r="P67" s="13" t="n">
        <v>1693</v>
      </c>
      <c r="Q67" s="13" t="n">
        <v>152</v>
      </c>
      <c r="R67" s="13" t="n">
        <v>59</v>
      </c>
      <c r="S67" s="13" t="n">
        <v>43</v>
      </c>
      <c r="T67" s="13" t="n">
        <v>262</v>
      </c>
      <c r="U67" s="13" t="n">
        <v>39</v>
      </c>
      <c r="V67" s="13" t="n">
        <v>250</v>
      </c>
      <c r="W67" s="13" t="n">
        <v>0.895</v>
      </c>
      <c r="X67" s="13" t="n">
        <v>165</v>
      </c>
      <c r="Y67" s="13" t="n">
        <v>131</v>
      </c>
      <c r="Z67" s="13" t="n">
        <v>98</v>
      </c>
      <c r="AA67" s="13" t="n">
        <v>7</v>
      </c>
      <c r="AB67" s="13" t="n">
        <v>0.2</v>
      </c>
      <c r="AC67" s="11" t="inlineStr">
        <is>
          <t xml:space="preserve"> Freeski</t>
        </is>
      </c>
      <c r="AD67" s="13" t="n"/>
      <c r="AE67" s="13" t="n"/>
      <c r="AF67" s="13" t="n"/>
      <c r="AG67" s="13" t="n"/>
    </row>
    <row r="68">
      <c r="A68" s="9" t="inlineStr">
        <is>
          <t>21/22</t>
        </is>
      </c>
      <c r="B68" s="10" t="inlineStr">
        <is>
          <t xml:space="preserve"> Armada</t>
        </is>
      </c>
      <c r="C68" s="11" t="inlineStr">
        <is>
          <t xml:space="preserve"> Bdog</t>
        </is>
      </c>
      <c r="D68" s="13" t="n">
        <v>172</v>
      </c>
      <c r="E68" s="11" t="inlineStr">
        <is>
          <t xml:space="preserve"> Unisex</t>
        </is>
      </c>
      <c r="F68" s="13" t="n">
        <v>172</v>
      </c>
      <c r="G68" s="13" t="n">
        <v>170.8</v>
      </c>
      <c r="H68" s="13" t="n">
        <v>117</v>
      </c>
      <c r="I68" s="13" t="n">
        <v>135</v>
      </c>
      <c r="J68" s="13" t="n">
        <v>121</v>
      </c>
      <c r="K68" s="13" t="n">
        <v>93</v>
      </c>
      <c r="L68" s="13" t="n">
        <v>116</v>
      </c>
      <c r="M68" s="13" t="n">
        <v>13.9</v>
      </c>
      <c r="N68" s="13" t="n">
        <v>1975</v>
      </c>
      <c r="O68" s="13" t="n">
        <v>0.91</v>
      </c>
      <c r="P68" s="13" t="n">
        <v>1795</v>
      </c>
      <c r="Q68" s="13" t="n">
        <v>175</v>
      </c>
      <c r="R68" s="13" t="n">
        <v>69</v>
      </c>
      <c r="S68" s="13" t="n">
        <v>44</v>
      </c>
      <c r="T68" s="13" t="n">
        <v>271</v>
      </c>
      <c r="U68" s="13" t="n">
        <v>42</v>
      </c>
      <c r="V68" s="13" t="n">
        <v>267</v>
      </c>
      <c r="W68" s="13" t="n">
        <v>0.959</v>
      </c>
      <c r="X68" s="13" t="n">
        <v>196</v>
      </c>
      <c r="Y68" s="13" t="n">
        <v>162</v>
      </c>
      <c r="Z68" s="13" t="n">
        <v>75</v>
      </c>
      <c r="AA68" s="13" t="n">
        <v>9</v>
      </c>
      <c r="AB68" s="13" t="n">
        <v>0.7</v>
      </c>
      <c r="AC68" s="11" t="inlineStr">
        <is>
          <t xml:space="preserve"> Freeski</t>
        </is>
      </c>
      <c r="AD68" s="13" t="n"/>
      <c r="AE68" s="13" t="n"/>
      <c r="AF68" s="13" t="n"/>
      <c r="AG68" s="13" t="n"/>
    </row>
    <row r="69">
      <c r="A69" s="9" t="inlineStr">
        <is>
          <t>21/22</t>
        </is>
      </c>
      <c r="B69" s="10" t="inlineStr">
        <is>
          <t xml:space="preserve"> Armada</t>
        </is>
      </c>
      <c r="C69" s="11" t="inlineStr">
        <is>
          <t xml:space="preserve"> Bdog</t>
        </is>
      </c>
      <c r="D69" s="13" t="n">
        <v>180</v>
      </c>
      <c r="E69" s="11" t="inlineStr">
        <is>
          <t xml:space="preserve"> Unisex</t>
        </is>
      </c>
      <c r="F69" s="13" t="n">
        <v>180</v>
      </c>
      <c r="G69" s="13" t="n">
        <v>177.7</v>
      </c>
      <c r="H69" s="13" t="n">
        <v>121</v>
      </c>
      <c r="I69" s="13" t="n">
        <v>142</v>
      </c>
      <c r="J69" s="13" t="n">
        <v>121</v>
      </c>
      <c r="K69" s="13" t="n">
        <v>93</v>
      </c>
      <c r="L69" s="13" t="n">
        <v>116</v>
      </c>
      <c r="M69" s="13" t="n">
        <v>15.5</v>
      </c>
      <c r="N69" s="13" t="n">
        <v>1998</v>
      </c>
      <c r="O69" s="13" t="n">
        <v>0.9399999999999999</v>
      </c>
      <c r="P69" s="13" t="n">
        <v>1872</v>
      </c>
      <c r="Q69" s="13" t="n">
        <v>178</v>
      </c>
      <c r="R69" s="13" t="n">
        <v>76</v>
      </c>
      <c r="S69" s="13" t="n">
        <v>49</v>
      </c>
      <c r="T69" s="13" t="n">
        <v>291</v>
      </c>
      <c r="U69" s="13" t="n">
        <v>39</v>
      </c>
      <c r="V69" s="13" t="n">
        <v>276</v>
      </c>
      <c r="W69" s="13" t="n">
        <v>0.804</v>
      </c>
      <c r="X69" s="13" t="n">
        <v>234</v>
      </c>
      <c r="Y69" s="13" t="n">
        <v>124</v>
      </c>
      <c r="Z69" s="13" t="n">
        <v>57</v>
      </c>
      <c r="AA69" s="13" t="n">
        <v>8</v>
      </c>
      <c r="AB69" s="13" t="n">
        <v>1.3</v>
      </c>
      <c r="AC69" s="11" t="inlineStr">
        <is>
          <t xml:space="preserve"> Resort Freeride</t>
        </is>
      </c>
      <c r="AD69" s="11" t="inlineStr">
        <is>
          <t xml:space="preserve"> Freeski</t>
        </is>
      </c>
      <c r="AE69" s="13" t="n"/>
      <c r="AF69" s="13" t="n"/>
      <c r="AG69" s="13" t="n"/>
    </row>
    <row r="70">
      <c r="A70" s="9" t="inlineStr">
        <is>
          <t>21/22</t>
        </is>
      </c>
      <c r="B70" s="10" t="inlineStr">
        <is>
          <t xml:space="preserve"> Armada</t>
        </is>
      </c>
      <c r="C70" s="11" t="inlineStr">
        <is>
          <t xml:space="preserve"> Bdog Edgeless</t>
        </is>
      </c>
      <c r="D70" s="13" t="n">
        <v>172</v>
      </c>
      <c r="E70" s="11" t="inlineStr">
        <is>
          <t xml:space="preserve"> Unisex</t>
        </is>
      </c>
      <c r="F70" s="13" t="n">
        <v>172</v>
      </c>
      <c r="G70" s="13" t="n">
        <v>170.2</v>
      </c>
      <c r="H70" s="13" t="n">
        <v>112</v>
      </c>
      <c r="I70" s="13" t="n">
        <v>127</v>
      </c>
      <c r="J70" s="13" t="n">
        <v>120</v>
      </c>
      <c r="K70" s="13" t="n">
        <v>93</v>
      </c>
      <c r="L70" s="13" t="n">
        <v>116</v>
      </c>
      <c r="M70" s="13" t="n">
        <v>14.1</v>
      </c>
      <c r="N70" s="13" t="n">
        <v>1801</v>
      </c>
      <c r="O70" s="13" t="n">
        <v>0.99</v>
      </c>
      <c r="P70" s="13" t="n">
        <v>1789</v>
      </c>
      <c r="Q70" s="13" t="n">
        <v>133</v>
      </c>
      <c r="R70" s="13" t="n">
        <v>66</v>
      </c>
      <c r="S70" s="13" t="n">
        <v>50</v>
      </c>
      <c r="T70" s="13" t="n">
        <v>291</v>
      </c>
      <c r="U70" s="13" t="n">
        <v>47</v>
      </c>
      <c r="V70" s="13" t="n">
        <v>292</v>
      </c>
      <c r="W70" s="13" t="n">
        <v>0.9379999999999999</v>
      </c>
      <c r="X70" s="13" t="n">
        <v>227</v>
      </c>
      <c r="Y70" s="13" t="n">
        <v>207</v>
      </c>
      <c r="Z70" s="13" t="n">
        <v>64</v>
      </c>
      <c r="AA70" s="13" t="n">
        <v>4</v>
      </c>
      <c r="AB70" s="13" t="n">
        <v>0.2</v>
      </c>
      <c r="AC70" s="11" t="inlineStr">
        <is>
          <t xml:space="preserve"> Freeski</t>
        </is>
      </c>
      <c r="AD70" s="13" t="n"/>
      <c r="AE70" s="13" t="n"/>
      <c r="AF70" s="13" t="n"/>
      <c r="AG70" s="13" t="n"/>
    </row>
    <row r="71">
      <c r="A71" s="9" t="inlineStr">
        <is>
          <t>21/22</t>
        </is>
      </c>
      <c r="B71" s="10" t="inlineStr">
        <is>
          <t xml:space="preserve"> Armada</t>
        </is>
      </c>
      <c r="C71" s="11" t="inlineStr">
        <is>
          <t>Declivity 102 Ti</t>
        </is>
      </c>
      <c r="D71" s="13" t="n">
        <v>172</v>
      </c>
      <c r="E71" s="11" t="inlineStr">
        <is>
          <t xml:space="preserve"> Unisex</t>
        </is>
      </c>
      <c r="F71" s="13" t="n">
        <v>172</v>
      </c>
      <c r="G71" s="13" t="n">
        <v>171.7</v>
      </c>
      <c r="H71" s="13" t="n">
        <v>126</v>
      </c>
      <c r="I71" s="13" t="n">
        <v>142</v>
      </c>
      <c r="J71" s="13" t="n">
        <v>133</v>
      </c>
      <c r="K71" s="13" t="n">
        <v>101</v>
      </c>
      <c r="L71" s="13" t="n">
        <v>123</v>
      </c>
      <c r="M71" s="13" t="n">
        <v>17.8</v>
      </c>
      <c r="N71" s="13" t="n">
        <v>1896</v>
      </c>
      <c r="O71" s="13" t="n">
        <v>1.01</v>
      </c>
      <c r="P71" s="13" t="n">
        <v>1914</v>
      </c>
      <c r="Q71" s="13" t="n">
        <v>209</v>
      </c>
      <c r="R71" s="13" t="n">
        <v>123</v>
      </c>
      <c r="S71" s="13" t="n">
        <v>54</v>
      </c>
      <c r="T71" s="13" t="n">
        <v>291</v>
      </c>
      <c r="U71" s="13" t="n">
        <v>18</v>
      </c>
      <c r="V71" s="13" t="n">
        <v>164</v>
      </c>
      <c r="W71" s="13" t="n">
        <v>0.332</v>
      </c>
      <c r="X71" s="13" t="n">
        <v>173</v>
      </c>
      <c r="Y71" s="13" t="n">
        <v>120</v>
      </c>
      <c r="Z71" s="13" t="n">
        <v>118</v>
      </c>
      <c r="AA71" s="13" t="n">
        <v>7</v>
      </c>
      <c r="AB71" s="13" t="n">
        <v>7.7</v>
      </c>
      <c r="AC71" s="11" t="inlineStr">
        <is>
          <t xml:space="preserve"> Resort Freeride</t>
        </is>
      </c>
      <c r="AD71" s="11" t="inlineStr">
        <is>
          <t xml:space="preserve"> Big Mountain</t>
        </is>
      </c>
      <c r="AE71" s="13" t="n"/>
      <c r="AF71" s="13" t="n"/>
      <c r="AG71" s="13" t="n"/>
    </row>
    <row r="72">
      <c r="A72" s="9" t="inlineStr">
        <is>
          <t>21/22</t>
        </is>
      </c>
      <c r="B72" s="10" t="inlineStr">
        <is>
          <t xml:space="preserve"> Armada</t>
        </is>
      </c>
      <c r="C72" s="11" t="inlineStr">
        <is>
          <t>Declivity 102 Ti</t>
        </is>
      </c>
      <c r="D72" s="13" t="n">
        <v>180</v>
      </c>
      <c r="E72" s="11" t="inlineStr">
        <is>
          <t xml:space="preserve"> Unisex</t>
        </is>
      </c>
      <c r="F72" s="13" t="n">
        <v>180</v>
      </c>
      <c r="G72" s="13" t="n">
        <v>179.5</v>
      </c>
      <c r="H72" s="13" t="n">
        <v>131</v>
      </c>
      <c r="I72" s="13" t="n">
        <v>147</v>
      </c>
      <c r="J72" s="13" t="n">
        <v>134</v>
      </c>
      <c r="K72" s="13" t="n">
        <v>101</v>
      </c>
      <c r="L72" s="13" t="n">
        <v>123</v>
      </c>
      <c r="M72" s="13" t="n">
        <v>18.5</v>
      </c>
      <c r="N72" s="13" t="n">
        <v>1958</v>
      </c>
      <c r="O72" s="13" t="n">
        <v>1.03</v>
      </c>
      <c r="P72" s="13" t="n">
        <v>2011</v>
      </c>
      <c r="Q72" s="13" t="n">
        <v>219</v>
      </c>
      <c r="R72" s="13" t="n">
        <v>136</v>
      </c>
      <c r="S72" s="13" t="n">
        <v>57</v>
      </c>
      <c r="T72" s="13" t="n">
        <v>308</v>
      </c>
      <c r="U72" s="13" t="n">
        <v>19</v>
      </c>
      <c r="V72" s="13" t="n">
        <v>180</v>
      </c>
      <c r="W72" s="13" t="n">
        <v>0.339</v>
      </c>
      <c r="X72" s="13" t="n">
        <v>188</v>
      </c>
      <c r="Y72" s="13" t="n">
        <v>139</v>
      </c>
      <c r="Z72" s="13" t="n">
        <v>121</v>
      </c>
      <c r="AA72" s="13" t="n">
        <v>8</v>
      </c>
      <c r="AB72" s="13" t="n">
        <v>8.800000000000001</v>
      </c>
      <c r="AC72" s="11" t="inlineStr">
        <is>
          <t xml:space="preserve"> Resort Freeride</t>
        </is>
      </c>
      <c r="AD72" s="11" t="inlineStr">
        <is>
          <t xml:space="preserve"> Big Mountain</t>
        </is>
      </c>
      <c r="AE72" s="13" t="n"/>
      <c r="AF72" s="13" t="n"/>
      <c r="AG72" s="13" t="n"/>
    </row>
    <row r="73">
      <c r="A73" s="9" t="inlineStr">
        <is>
          <t>21/22</t>
        </is>
      </c>
      <c r="B73" s="10" t="inlineStr">
        <is>
          <t xml:space="preserve"> Armada</t>
        </is>
      </c>
      <c r="C73" s="11" t="inlineStr">
        <is>
          <t>Declivity 108 Ti</t>
        </is>
      </c>
      <c r="D73" s="13" t="n">
        <v>182</v>
      </c>
      <c r="E73" s="11" t="inlineStr">
        <is>
          <t xml:space="preserve"> Unisex</t>
        </is>
      </c>
      <c r="F73" s="13" t="n">
        <v>182</v>
      </c>
      <c r="G73" s="13" t="n">
        <v>181.5</v>
      </c>
      <c r="H73" s="13" t="n">
        <v>126</v>
      </c>
      <c r="I73" s="13" t="n">
        <v>147</v>
      </c>
      <c r="J73" s="13" t="n">
        <v>135</v>
      </c>
      <c r="K73" s="13" t="n">
        <v>107</v>
      </c>
      <c r="L73" s="13" t="n">
        <v>124</v>
      </c>
      <c r="M73" s="13" t="n">
        <v>22.1</v>
      </c>
      <c r="N73" s="13" t="n">
        <v>1962</v>
      </c>
      <c r="O73" s="13" t="n">
        <v>1.07</v>
      </c>
      <c r="P73" s="13" t="n">
        <v>2102</v>
      </c>
      <c r="Q73" s="13" t="n">
        <v>251</v>
      </c>
      <c r="R73" s="13" t="n">
        <v>152</v>
      </c>
      <c r="S73" s="13" t="n">
        <v>56</v>
      </c>
      <c r="T73" s="13" t="n">
        <v>369</v>
      </c>
      <c r="U73" s="13" t="n">
        <v>25</v>
      </c>
      <c r="V73" s="13" t="n">
        <v>187</v>
      </c>
      <c r="W73" s="13" t="n">
        <v>0.453</v>
      </c>
      <c r="X73" s="13" t="n">
        <v>210</v>
      </c>
      <c r="Y73" s="13" t="n">
        <v>139</v>
      </c>
      <c r="Z73" s="13" t="n">
        <v>159</v>
      </c>
      <c r="AA73" s="13" t="n">
        <v>7</v>
      </c>
      <c r="AB73" s="13" t="n">
        <v>10.6</v>
      </c>
      <c r="AC73" s="11" t="inlineStr">
        <is>
          <t xml:space="preserve"> Powder</t>
        </is>
      </c>
      <c r="AD73" s="11" t="inlineStr">
        <is>
          <t xml:space="preserve"> Touring</t>
        </is>
      </c>
      <c r="AE73" s="13" t="n"/>
      <c r="AF73" s="13" t="n"/>
      <c r="AG73" s="13" t="n"/>
    </row>
    <row r="74">
      <c r="A74" s="9" t="inlineStr">
        <is>
          <t>21/22</t>
        </is>
      </c>
      <c r="B74" s="10" t="inlineStr">
        <is>
          <t xml:space="preserve"> Armada</t>
        </is>
      </c>
      <c r="C74" s="11" t="inlineStr">
        <is>
          <t>Declivity 108 Ti</t>
        </is>
      </c>
      <c r="D74" s="13" t="n">
        <v>190</v>
      </c>
      <c r="E74" s="11" t="inlineStr">
        <is>
          <t xml:space="preserve"> Unisex</t>
        </is>
      </c>
      <c r="F74" s="13" t="n">
        <v>190</v>
      </c>
      <c r="G74" s="13" t="n">
        <v>189.5</v>
      </c>
      <c r="H74" s="13" t="n">
        <v>130</v>
      </c>
      <c r="I74" s="13" t="n">
        <v>150</v>
      </c>
      <c r="J74" s="13" t="n">
        <v>135</v>
      </c>
      <c r="K74" s="13" t="n">
        <v>107</v>
      </c>
      <c r="L74" s="13" t="n">
        <v>126</v>
      </c>
      <c r="M74" s="13" t="n">
        <v>22.6</v>
      </c>
      <c r="N74" s="13" t="n">
        <v>1894</v>
      </c>
      <c r="O74" s="13" t="n">
        <v>1.16</v>
      </c>
      <c r="P74" s="13" t="n">
        <v>2205</v>
      </c>
      <c r="Q74" s="13" t="n">
        <v>272</v>
      </c>
      <c r="R74" s="13" t="n">
        <v>164</v>
      </c>
      <c r="S74" s="13" t="n">
        <v>61</v>
      </c>
      <c r="T74" s="13" t="n">
        <v>381</v>
      </c>
      <c r="U74" s="13" t="n">
        <v>29</v>
      </c>
      <c r="V74" s="13" t="n">
        <v>210</v>
      </c>
      <c r="W74" s="13" t="n">
        <v>0.47</v>
      </c>
      <c r="X74" s="13" t="n">
        <v>245</v>
      </c>
      <c r="Y74" s="13" t="n">
        <v>145</v>
      </c>
      <c r="Z74" s="13" t="n">
        <v>136</v>
      </c>
      <c r="AA74" s="13" t="n">
        <v>7</v>
      </c>
      <c r="AB74" s="13" t="n">
        <v>9.300000000000001</v>
      </c>
      <c r="AC74" s="11" t="inlineStr">
        <is>
          <t xml:space="preserve"> Powder</t>
        </is>
      </c>
      <c r="AD74" s="11" t="inlineStr">
        <is>
          <t xml:space="preserve"> Touring</t>
        </is>
      </c>
      <c r="AE74" s="13" t="n"/>
      <c r="AF74" s="13" t="n"/>
      <c r="AG74" s="13" t="n"/>
    </row>
    <row r="75">
      <c r="A75" s="9" t="inlineStr">
        <is>
          <t>21/22</t>
        </is>
      </c>
      <c r="B75" s="10" t="inlineStr">
        <is>
          <t xml:space="preserve"> Armada</t>
        </is>
      </c>
      <c r="C75" s="11" t="inlineStr">
        <is>
          <t>Declivity 82 Ti</t>
        </is>
      </c>
      <c r="D75" s="13" t="n">
        <v>166</v>
      </c>
      <c r="E75" s="11" t="inlineStr">
        <is>
          <t xml:space="preserve"> Unisex</t>
        </is>
      </c>
      <c r="F75" s="13" t="n">
        <v>166</v>
      </c>
      <c r="G75" s="13" t="n">
        <v>165.6</v>
      </c>
      <c r="H75" s="13" t="n">
        <v>139</v>
      </c>
      <c r="I75" s="13" t="n">
        <v>148</v>
      </c>
      <c r="J75" s="13" t="n">
        <v>125</v>
      </c>
      <c r="K75" s="13" t="n">
        <v>81</v>
      </c>
      <c r="L75" s="13" t="n">
        <v>108</v>
      </c>
      <c r="M75" s="13" t="n">
        <v>15.4</v>
      </c>
      <c r="N75" s="13" t="n">
        <v>1536</v>
      </c>
      <c r="O75" s="13" t="n">
        <v>1.02</v>
      </c>
      <c r="P75" s="13" t="n">
        <v>1569</v>
      </c>
      <c r="Q75" s="13" t="n">
        <v>211</v>
      </c>
      <c r="R75" s="13" t="n">
        <v>119</v>
      </c>
      <c r="S75" s="13" t="n">
        <v>35</v>
      </c>
      <c r="T75" s="13" t="n">
        <v>172</v>
      </c>
      <c r="U75" s="13" t="n">
        <v>10</v>
      </c>
      <c r="V75" s="13" t="n">
        <v>98</v>
      </c>
      <c r="W75" s="13" t="n">
        <v>0.282</v>
      </c>
      <c r="X75" s="13" t="n">
        <v>114</v>
      </c>
      <c r="Y75" s="13" t="n">
        <v>58</v>
      </c>
      <c r="Z75" s="13" t="n">
        <v>58</v>
      </c>
      <c r="AA75" s="13" t="n">
        <v>10</v>
      </c>
      <c r="AB75" s="13" t="n">
        <v>10.2</v>
      </c>
      <c r="AC75" s="11" t="inlineStr">
        <is>
          <t xml:space="preserve"> On-Piste All-Mountain</t>
        </is>
      </c>
      <c r="AD75" s="11" t="inlineStr">
        <is>
          <t xml:space="preserve"> Resort Freeride</t>
        </is>
      </c>
      <c r="AE75" s="13" t="n"/>
      <c r="AF75" s="13" t="n"/>
      <c r="AG75" s="13" t="n"/>
    </row>
    <row r="76">
      <c r="A76" s="9" t="inlineStr">
        <is>
          <t>21/22</t>
        </is>
      </c>
      <c r="B76" s="10" t="inlineStr">
        <is>
          <t xml:space="preserve"> Armada</t>
        </is>
      </c>
      <c r="C76" s="11" t="inlineStr">
        <is>
          <t>Declivity 82 Ti</t>
        </is>
      </c>
      <c r="D76" s="13" t="n">
        <v>174</v>
      </c>
      <c r="E76" s="11" t="inlineStr">
        <is>
          <t xml:space="preserve"> Unisex</t>
        </is>
      </c>
      <c r="F76" s="13" t="n">
        <v>174</v>
      </c>
      <c r="G76" s="13" t="n">
        <v>173.5</v>
      </c>
      <c r="H76" s="13" t="n">
        <v>142</v>
      </c>
      <c r="I76" s="13" t="n">
        <v>154</v>
      </c>
      <c r="J76" s="13" t="n">
        <v>127</v>
      </c>
      <c r="K76" s="13" t="n">
        <v>81</v>
      </c>
      <c r="L76" s="13" t="n">
        <v>109</v>
      </c>
      <c r="M76" s="13" t="n">
        <v>15.9</v>
      </c>
      <c r="N76" s="13" t="n">
        <v>1648</v>
      </c>
      <c r="O76" s="13" t="n">
        <v>1.01</v>
      </c>
      <c r="P76" s="13" t="n">
        <v>1659</v>
      </c>
      <c r="Q76" s="13" t="n">
        <v>230</v>
      </c>
      <c r="R76" s="13" t="n">
        <v>139</v>
      </c>
      <c r="S76" s="13" t="n">
        <v>42</v>
      </c>
      <c r="T76" s="13" t="n">
        <v>198</v>
      </c>
      <c r="U76" s="13" t="n">
        <v>12</v>
      </c>
      <c r="V76" s="13" t="n">
        <v>121</v>
      </c>
      <c r="W76" s="13" t="n">
        <v>0.291</v>
      </c>
      <c r="X76" s="13" t="n">
        <v>120</v>
      </c>
      <c r="Y76" s="13" t="n">
        <v>72</v>
      </c>
      <c r="Z76" s="13" t="n">
        <v>78</v>
      </c>
      <c r="AA76" s="13" t="n">
        <v>7</v>
      </c>
      <c r="AB76" s="13" t="n">
        <v>9.4</v>
      </c>
      <c r="AC76" s="11" t="inlineStr">
        <is>
          <t xml:space="preserve"> On-Piste All-Mountain</t>
        </is>
      </c>
      <c r="AD76" s="11" t="inlineStr">
        <is>
          <t xml:space="preserve"> Resort Freeride</t>
        </is>
      </c>
      <c r="AE76" s="13" t="n"/>
      <c r="AF76" s="13" t="n"/>
      <c r="AG76" s="13" t="n"/>
    </row>
    <row r="77">
      <c r="A77" s="9" t="inlineStr">
        <is>
          <t>21/22</t>
        </is>
      </c>
      <c r="B77" s="10" t="inlineStr">
        <is>
          <t xml:space="preserve"> Armada</t>
        </is>
      </c>
      <c r="C77" s="11" t="inlineStr">
        <is>
          <t>Declivity 82 Ti</t>
        </is>
      </c>
      <c r="D77" s="13" t="n">
        <v>182</v>
      </c>
      <c r="E77" s="11" t="inlineStr">
        <is>
          <t xml:space="preserve"> Unisex</t>
        </is>
      </c>
      <c r="F77" s="13" t="n">
        <v>182</v>
      </c>
      <c r="G77" s="13" t="n">
        <v>181.5</v>
      </c>
      <c r="H77" s="13" t="n">
        <v>150</v>
      </c>
      <c r="I77" s="13" t="n">
        <v>161</v>
      </c>
      <c r="J77" s="13" t="n">
        <v>129</v>
      </c>
      <c r="K77" s="13" t="n">
        <v>81</v>
      </c>
      <c r="L77" s="13" t="n">
        <v>110</v>
      </c>
      <c r="M77" s="13" t="n">
        <v>16.7</v>
      </c>
      <c r="N77" s="13" t="n">
        <v>1734</v>
      </c>
      <c r="O77" s="13" t="n">
        <v>1</v>
      </c>
      <c r="P77" s="13" t="n">
        <v>1742</v>
      </c>
      <c r="Q77" s="13" t="n">
        <v>245</v>
      </c>
      <c r="R77" s="13" t="n">
        <v>129</v>
      </c>
      <c r="S77" s="13" t="n">
        <v>41</v>
      </c>
      <c r="T77" s="13" t="n">
        <v>197</v>
      </c>
      <c r="U77" s="13" t="n">
        <v>12</v>
      </c>
      <c r="V77" s="13" t="n">
        <v>123</v>
      </c>
      <c r="W77" s="13" t="n">
        <v>0.289</v>
      </c>
      <c r="X77" s="13" t="n">
        <v>131</v>
      </c>
      <c r="Y77" s="13" t="n">
        <v>73</v>
      </c>
      <c r="Z77" s="13" t="n">
        <v>66</v>
      </c>
      <c r="AA77" s="13" t="n">
        <v>9</v>
      </c>
      <c r="AB77" s="13" t="n">
        <v>9.6</v>
      </c>
      <c r="AC77" s="11" t="inlineStr">
        <is>
          <t xml:space="preserve"> On-Piste All-Mountain</t>
        </is>
      </c>
      <c r="AD77" s="11" t="inlineStr">
        <is>
          <t xml:space="preserve"> Resort Freeride</t>
        </is>
      </c>
      <c r="AE77" s="13" t="n"/>
      <c r="AF77" s="13" t="n"/>
      <c r="AG77" s="13" t="n"/>
    </row>
    <row r="78">
      <c r="A78" s="9" t="inlineStr">
        <is>
          <t>21/22</t>
        </is>
      </c>
      <c r="B78" s="10" t="inlineStr">
        <is>
          <t xml:space="preserve"> Armada</t>
        </is>
      </c>
      <c r="C78" s="11" t="inlineStr">
        <is>
          <t>Declivity 88 Ca</t>
        </is>
      </c>
      <c r="D78" s="13" t="n">
        <v>160</v>
      </c>
      <c r="E78" s="11" t="inlineStr">
        <is>
          <t xml:space="preserve"> Unisex</t>
        </is>
      </c>
      <c r="F78" s="13" t="n">
        <v>160</v>
      </c>
      <c r="G78" s="13" t="n">
        <v>159.6</v>
      </c>
      <c r="H78" s="13" t="n">
        <v>133</v>
      </c>
      <c r="I78" s="13" t="n">
        <v>142</v>
      </c>
      <c r="J78" s="13" t="n">
        <v>127</v>
      </c>
      <c r="K78" s="13" t="n">
        <v>87</v>
      </c>
      <c r="L78" s="13" t="n">
        <v>109</v>
      </c>
      <c r="M78" s="13" t="n">
        <v>16.1</v>
      </c>
      <c r="N78" s="13" t="n">
        <v>1440</v>
      </c>
      <c r="O78" s="13" t="n">
        <v>1.09</v>
      </c>
      <c r="P78" s="13" t="n">
        <v>1574</v>
      </c>
      <c r="Q78" s="13" t="n">
        <v>223</v>
      </c>
      <c r="R78" s="13" t="n">
        <v>102</v>
      </c>
      <c r="S78" s="13" t="n">
        <v>37</v>
      </c>
      <c r="T78" s="13" t="n">
        <v>169</v>
      </c>
      <c r="U78" s="13" t="n">
        <v>9</v>
      </c>
      <c r="V78" s="13" t="n">
        <v>94</v>
      </c>
      <c r="W78" s="13" t="n">
        <v>0.239</v>
      </c>
      <c r="X78" s="13" t="n">
        <v>114</v>
      </c>
      <c r="Y78" s="13" t="n">
        <v>65</v>
      </c>
      <c r="Z78" s="13" t="n">
        <v>55</v>
      </c>
      <c r="AA78" s="13" t="n">
        <v>6</v>
      </c>
      <c r="AB78" s="13" t="n">
        <v>11</v>
      </c>
      <c r="AC78" s="11" t="inlineStr">
        <is>
          <t xml:space="preserve"> Resort Freeride</t>
        </is>
      </c>
      <c r="AD78" s="11" t="inlineStr">
        <is>
          <t xml:space="preserve"> Touring</t>
        </is>
      </c>
      <c r="AE78" s="13" t="n"/>
      <c r="AF78" s="13" t="n"/>
      <c r="AG78" s="13" t="n"/>
    </row>
    <row r="79">
      <c r="A79" s="9" t="inlineStr">
        <is>
          <t>21/22</t>
        </is>
      </c>
      <c r="B79" s="10" t="inlineStr">
        <is>
          <t xml:space="preserve"> Armada</t>
        </is>
      </c>
      <c r="C79" s="11" t="inlineStr">
        <is>
          <t>Declivity 88 Ca</t>
        </is>
      </c>
      <c r="D79" s="13" t="n">
        <v>168</v>
      </c>
      <c r="E79" s="11" t="inlineStr">
        <is>
          <t xml:space="preserve"> Unisex</t>
        </is>
      </c>
      <c r="F79" s="13" t="n">
        <v>168</v>
      </c>
      <c r="G79" s="13" t="n">
        <v>167.5</v>
      </c>
      <c r="H79" s="13" t="n">
        <v>139</v>
      </c>
      <c r="I79" s="13" t="n">
        <v>148</v>
      </c>
      <c r="J79" s="13" t="n">
        <v>129</v>
      </c>
      <c r="K79" s="13" t="n">
        <v>87</v>
      </c>
      <c r="L79" s="13" t="n">
        <v>110</v>
      </c>
      <c r="M79" s="13" t="n">
        <v>17</v>
      </c>
      <c r="N79" s="13" t="n">
        <v>1562</v>
      </c>
      <c r="O79" s="13" t="n">
        <v>1.07</v>
      </c>
      <c r="P79" s="13" t="n">
        <v>1666</v>
      </c>
      <c r="Q79" s="13" t="n">
        <v>236</v>
      </c>
      <c r="R79" s="13" t="n">
        <v>109</v>
      </c>
      <c r="S79" s="13" t="n">
        <v>39</v>
      </c>
      <c r="T79" s="13" t="n">
        <v>182</v>
      </c>
      <c r="U79" s="13" t="n">
        <v>9</v>
      </c>
      <c r="V79" s="13" t="n">
        <v>105</v>
      </c>
      <c r="W79" s="13" t="n">
        <v>0.239</v>
      </c>
      <c r="X79" s="13" t="n">
        <v>118</v>
      </c>
      <c r="Y79" s="13" t="n">
        <v>74</v>
      </c>
      <c r="Z79" s="13" t="n">
        <v>65</v>
      </c>
      <c r="AA79" s="13" t="n">
        <v>5</v>
      </c>
      <c r="AB79" s="13" t="n">
        <v>11.3</v>
      </c>
      <c r="AC79" s="11" t="inlineStr">
        <is>
          <t xml:space="preserve"> Resort Freeride</t>
        </is>
      </c>
      <c r="AD79" s="11" t="inlineStr">
        <is>
          <t xml:space="preserve"> Touring</t>
        </is>
      </c>
      <c r="AE79" s="13" t="n"/>
      <c r="AF79" s="13" t="n"/>
      <c r="AG79" s="13" t="n"/>
    </row>
    <row r="80">
      <c r="A80" s="9" t="inlineStr">
        <is>
          <t>21/22</t>
        </is>
      </c>
      <c r="B80" s="10" t="inlineStr">
        <is>
          <t xml:space="preserve"> Armada</t>
        </is>
      </c>
      <c r="C80" s="11" t="inlineStr">
        <is>
          <t>Declivity 88 Ca</t>
        </is>
      </c>
      <c r="D80" s="13" t="n">
        <v>176</v>
      </c>
      <c r="E80" s="11" t="inlineStr">
        <is>
          <t xml:space="preserve"> Unisex</t>
        </is>
      </c>
      <c r="F80" s="13" t="n">
        <v>176</v>
      </c>
      <c r="G80" s="13" t="n">
        <v>175.4</v>
      </c>
      <c r="H80" s="13" t="n">
        <v>145</v>
      </c>
      <c r="I80" s="13" t="n">
        <v>154</v>
      </c>
      <c r="J80" s="13" t="n">
        <v>131</v>
      </c>
      <c r="K80" s="13" t="n">
        <v>87</v>
      </c>
      <c r="L80" s="13" t="n">
        <v>111</v>
      </c>
      <c r="M80" s="13" t="n">
        <v>17.2</v>
      </c>
      <c r="N80" s="13" t="n">
        <v>1632</v>
      </c>
      <c r="O80" s="13" t="n">
        <v>1.08</v>
      </c>
      <c r="P80" s="13" t="n">
        <v>1766</v>
      </c>
      <c r="Q80" s="13" t="n">
        <v>276</v>
      </c>
      <c r="R80" s="13" t="n">
        <v>116</v>
      </c>
      <c r="S80" s="13" t="n">
        <v>40</v>
      </c>
      <c r="T80" s="13" t="n">
        <v>189</v>
      </c>
      <c r="U80" s="13" t="n">
        <v>11</v>
      </c>
      <c r="V80" s="13" t="n">
        <v>117</v>
      </c>
      <c r="W80" s="13" t="n">
        <v>0.272</v>
      </c>
      <c r="X80" s="13" t="n">
        <v>138</v>
      </c>
      <c r="Y80" s="13" t="n">
        <v>80</v>
      </c>
      <c r="Z80" s="13" t="n">
        <v>51</v>
      </c>
      <c r="AA80" s="13" t="n">
        <v>6</v>
      </c>
      <c r="AB80" s="13" t="n">
        <v>11.8</v>
      </c>
      <c r="AC80" s="11" t="inlineStr">
        <is>
          <t xml:space="preserve"> Resort Freeride</t>
        </is>
      </c>
      <c r="AD80" s="11" t="inlineStr">
        <is>
          <t xml:space="preserve"> Touring</t>
        </is>
      </c>
      <c r="AE80" s="13" t="n"/>
      <c r="AF80" s="13" t="n"/>
      <c r="AG80" s="13" t="n"/>
    </row>
    <row r="81">
      <c r="A81" s="9" t="inlineStr">
        <is>
          <t>21/22</t>
        </is>
      </c>
      <c r="B81" s="10" t="inlineStr">
        <is>
          <t xml:space="preserve"> Armada</t>
        </is>
      </c>
      <c r="C81" s="11" t="inlineStr">
        <is>
          <t>Declivity 92 Ti</t>
        </is>
      </c>
      <c r="D81" s="13" t="n">
        <v>164</v>
      </c>
      <c r="E81" s="11" t="inlineStr">
        <is>
          <t xml:space="preserve"> Unisex</t>
        </is>
      </c>
      <c r="F81" s="13" t="n">
        <v>164</v>
      </c>
      <c r="G81" s="13" t="n">
        <v>163.8</v>
      </c>
      <c r="H81" s="13" t="n">
        <v>126</v>
      </c>
      <c r="I81" s="13" t="n">
        <v>143</v>
      </c>
      <c r="J81" s="13" t="n">
        <v>129</v>
      </c>
      <c r="K81" s="13" t="n">
        <v>91</v>
      </c>
      <c r="L81" s="13" t="n">
        <v>114</v>
      </c>
      <c r="M81" s="13" t="n">
        <v>16.4</v>
      </c>
      <c r="N81" s="13" t="n">
        <v>1621</v>
      </c>
      <c r="O81" s="13" t="n">
        <v>1.04</v>
      </c>
      <c r="P81" s="13" t="n">
        <v>1688</v>
      </c>
      <c r="Q81" s="13" t="n">
        <v>188</v>
      </c>
      <c r="R81" s="13" t="n">
        <v>101</v>
      </c>
      <c r="S81" s="13" t="n">
        <v>42</v>
      </c>
      <c r="T81" s="13" t="n">
        <v>231</v>
      </c>
      <c r="U81" s="13" t="n">
        <v>18</v>
      </c>
      <c r="V81" s="13" t="n">
        <v>145</v>
      </c>
      <c r="W81" s="13" t="n">
        <v>0.43</v>
      </c>
      <c r="X81" s="13" t="n">
        <v>131</v>
      </c>
      <c r="Y81" s="13" t="n">
        <v>74</v>
      </c>
      <c r="Z81" s="13" t="n">
        <v>100</v>
      </c>
      <c r="AA81" s="13" t="n">
        <v>7</v>
      </c>
      <c r="AB81" s="13" t="n">
        <v>10.3</v>
      </c>
      <c r="AC81" s="11" t="inlineStr">
        <is>
          <t xml:space="preserve"> Resort Freeride</t>
        </is>
      </c>
      <c r="AD81" s="13" t="n"/>
      <c r="AE81" s="13" t="n"/>
      <c r="AF81" s="13" t="n"/>
      <c r="AG81" s="13" t="n"/>
    </row>
    <row r="82">
      <c r="A82" s="9" t="inlineStr">
        <is>
          <t>21/22</t>
        </is>
      </c>
      <c r="B82" s="10" t="inlineStr">
        <is>
          <t xml:space="preserve"> Armada</t>
        </is>
      </c>
      <c r="C82" s="11" t="inlineStr">
        <is>
          <t>Declivity 92 Ti</t>
        </is>
      </c>
      <c r="D82" s="13" t="n">
        <v>180</v>
      </c>
      <c r="E82" s="11" t="inlineStr">
        <is>
          <t xml:space="preserve"> Unisex</t>
        </is>
      </c>
      <c r="F82" s="13" t="n">
        <v>180</v>
      </c>
      <c r="G82" s="13" t="n">
        <v>179.8</v>
      </c>
      <c r="H82" s="13" t="n">
        <v>141</v>
      </c>
      <c r="I82" s="13" t="n">
        <v>154</v>
      </c>
      <c r="J82" s="13" t="n">
        <v>130</v>
      </c>
      <c r="K82" s="13" t="n">
        <v>91</v>
      </c>
      <c r="L82" s="13" t="n">
        <v>116</v>
      </c>
      <c r="M82" s="13" t="n">
        <v>17.9</v>
      </c>
      <c r="N82" s="13" t="n">
        <v>1858</v>
      </c>
      <c r="O82" s="13" t="n">
        <v>1.01</v>
      </c>
      <c r="P82" s="13" t="n">
        <v>1871</v>
      </c>
      <c r="Q82" s="13" t="n">
        <v>240</v>
      </c>
      <c r="R82" s="13" t="n">
        <v>141</v>
      </c>
      <c r="S82" s="13" t="n">
        <v>45</v>
      </c>
      <c r="T82" s="13" t="n">
        <v>243</v>
      </c>
      <c r="U82" s="13" t="n">
        <v>16</v>
      </c>
      <c r="V82" s="13" t="n">
        <v>143</v>
      </c>
      <c r="W82" s="13" t="n">
        <v>0.356</v>
      </c>
      <c r="X82" s="13" t="n">
        <v>159</v>
      </c>
      <c r="Y82" s="13" t="n">
        <v>95</v>
      </c>
      <c r="Z82" s="13" t="n">
        <v>84</v>
      </c>
      <c r="AA82" s="13" t="n">
        <v>10</v>
      </c>
      <c r="AB82" s="13" t="n">
        <v>10.5</v>
      </c>
      <c r="AC82" s="11" t="inlineStr">
        <is>
          <t xml:space="preserve"> Resort Freeride</t>
        </is>
      </c>
      <c r="AD82" s="13" t="n"/>
      <c r="AE82" s="13" t="n"/>
      <c r="AF82" s="13" t="n"/>
      <c r="AG82" s="13" t="n"/>
    </row>
    <row r="83">
      <c r="A83" s="9" t="inlineStr">
        <is>
          <t>21/22</t>
        </is>
      </c>
      <c r="B83" s="10" t="inlineStr">
        <is>
          <t xml:space="preserve"> Armada</t>
        </is>
      </c>
      <c r="C83" s="11" t="inlineStr">
        <is>
          <t>Declivity 92 Ti</t>
        </is>
      </c>
      <c r="D83" s="13" t="n">
        <v>188</v>
      </c>
      <c r="E83" s="11" t="inlineStr">
        <is>
          <t xml:space="preserve"> Unisex</t>
        </is>
      </c>
      <c r="F83" s="13" t="n">
        <v>188</v>
      </c>
      <c r="G83" s="13" t="n">
        <v>187.6</v>
      </c>
      <c r="H83" s="13" t="n">
        <v>145</v>
      </c>
      <c r="I83" s="13" t="n">
        <v>159</v>
      </c>
      <c r="J83" s="13" t="n">
        <v>131</v>
      </c>
      <c r="K83" s="13" t="n">
        <v>91</v>
      </c>
      <c r="L83" s="13" t="n">
        <v>118</v>
      </c>
      <c r="M83" s="13" t="n">
        <v>18.4</v>
      </c>
      <c r="N83" s="13" t="n">
        <v>1937</v>
      </c>
      <c r="O83" s="13" t="n">
        <v>1.01</v>
      </c>
      <c r="P83" s="13" t="n">
        <v>1964</v>
      </c>
      <c r="Q83" s="13" t="n">
        <v>271</v>
      </c>
      <c r="R83" s="13" t="n">
        <v>161</v>
      </c>
      <c r="S83" s="13" t="n">
        <v>49</v>
      </c>
      <c r="T83" s="13" t="n">
        <v>262</v>
      </c>
      <c r="U83" s="13" t="n">
        <v>20</v>
      </c>
      <c r="V83" s="13" t="n">
        <v>162</v>
      </c>
      <c r="W83" s="13" t="n">
        <v>0.404</v>
      </c>
      <c r="X83" s="13" t="n">
        <v>182</v>
      </c>
      <c r="Y83" s="13" t="n">
        <v>105</v>
      </c>
      <c r="Z83" s="13" t="n">
        <v>80</v>
      </c>
      <c r="AA83" s="13" t="n">
        <v>8</v>
      </c>
      <c r="AB83" s="13" t="n">
        <v>9.6</v>
      </c>
      <c r="AC83" s="11" t="inlineStr">
        <is>
          <t xml:space="preserve"> Resort Freeride</t>
        </is>
      </c>
      <c r="AD83" s="13" t="n"/>
      <c r="AE83" s="13" t="n"/>
      <c r="AF83" s="13" t="n"/>
      <c r="AG83" s="13" t="n"/>
    </row>
    <row r="84">
      <c r="A84" s="9" t="inlineStr">
        <is>
          <t>21/22</t>
        </is>
      </c>
      <c r="B84" s="10" t="inlineStr">
        <is>
          <t xml:space="preserve"> Armada</t>
        </is>
      </c>
      <c r="C84" s="11" t="inlineStr">
        <is>
          <t xml:space="preserve"> Edollo</t>
        </is>
      </c>
      <c r="D84" s="13" t="n">
        <v>164</v>
      </c>
      <c r="E84" s="11" t="inlineStr">
        <is>
          <t xml:space="preserve"> Unisex</t>
        </is>
      </c>
      <c r="F84" s="13" t="n">
        <v>164</v>
      </c>
      <c r="G84" s="13" t="n">
        <v>162.1</v>
      </c>
      <c r="H84" s="13" t="n">
        <v>120</v>
      </c>
      <c r="I84" s="13" t="n">
        <v>143</v>
      </c>
      <c r="J84" s="13" t="n">
        <v>128</v>
      </c>
      <c r="K84" s="13" t="n">
        <v>97</v>
      </c>
      <c r="L84" s="13" t="n">
        <v>119</v>
      </c>
      <c r="M84" s="13" t="n">
        <v>18.6</v>
      </c>
      <c r="N84" s="13" t="n">
        <v>1828</v>
      </c>
      <c r="O84" s="13" t="n">
        <v>0.9399999999999999</v>
      </c>
      <c r="P84" s="13" t="n">
        <v>1720</v>
      </c>
      <c r="Q84" s="13" t="n">
        <v>164</v>
      </c>
      <c r="R84" s="13" t="n">
        <v>68</v>
      </c>
      <c r="S84" s="13" t="n">
        <v>48</v>
      </c>
      <c r="T84" s="13" t="n">
        <v>253</v>
      </c>
      <c r="U84" s="13" t="n">
        <v>45</v>
      </c>
      <c r="V84" s="13" t="n">
        <v>165</v>
      </c>
      <c r="W84" s="13" t="n">
        <v>0.947</v>
      </c>
      <c r="X84" s="13" t="n">
        <v>93</v>
      </c>
      <c r="Y84" s="13" t="n">
        <v>102</v>
      </c>
      <c r="Z84" s="13" t="n">
        <v>160</v>
      </c>
      <c r="AA84" s="13" t="n">
        <v>8</v>
      </c>
      <c r="AB84" s="13" t="n">
        <v>2.3</v>
      </c>
      <c r="AC84" s="11" t="inlineStr">
        <is>
          <t xml:space="preserve"> Freeski</t>
        </is>
      </c>
      <c r="AD84" s="13" t="n"/>
      <c r="AE84" s="13" t="n"/>
      <c r="AF84" s="13" t="n"/>
      <c r="AG84" s="13" t="n"/>
    </row>
    <row r="85">
      <c r="A85" s="9" t="inlineStr">
        <is>
          <t>21/22</t>
        </is>
      </c>
      <c r="B85" s="10" t="inlineStr">
        <is>
          <t xml:space="preserve"> Armada</t>
        </is>
      </c>
      <c r="C85" s="11" t="inlineStr">
        <is>
          <t xml:space="preserve"> Edollo</t>
        </is>
      </c>
      <c r="D85" s="13" t="n">
        <v>172</v>
      </c>
      <c r="E85" s="11" t="inlineStr">
        <is>
          <t xml:space="preserve"> Unisex</t>
        </is>
      </c>
      <c r="F85" s="13" t="n">
        <v>172</v>
      </c>
      <c r="G85" s="13" t="n">
        <v>170</v>
      </c>
      <c r="H85" s="13" t="n">
        <v>126</v>
      </c>
      <c r="I85" s="13" t="n">
        <v>150</v>
      </c>
      <c r="J85" s="13" t="n">
        <v>130</v>
      </c>
      <c r="K85" s="13" t="n">
        <v>97</v>
      </c>
      <c r="L85" s="13" t="n">
        <v>120</v>
      </c>
      <c r="M85" s="13" t="n">
        <v>19.6</v>
      </c>
      <c r="N85" s="13" t="n">
        <v>1915</v>
      </c>
      <c r="O85" s="13" t="n">
        <v>0.95</v>
      </c>
      <c r="P85" s="13" t="n">
        <v>1816</v>
      </c>
      <c r="Q85" s="13" t="n">
        <v>170</v>
      </c>
      <c r="R85" s="13" t="n">
        <v>87</v>
      </c>
      <c r="S85" s="13" t="n">
        <v>55</v>
      </c>
      <c r="T85" s="13" t="n">
        <v>273</v>
      </c>
      <c r="U85" s="13" t="n">
        <v>46</v>
      </c>
      <c r="V85" s="13" t="n">
        <v>168</v>
      </c>
      <c r="W85" s="13" t="n">
        <v>0.841</v>
      </c>
      <c r="X85" s="13" t="n">
        <v>96</v>
      </c>
      <c r="Y85" s="13" t="n">
        <v>101</v>
      </c>
      <c r="Z85" s="13" t="n">
        <v>176</v>
      </c>
      <c r="AA85" s="13" t="n">
        <v>7</v>
      </c>
      <c r="AB85" s="13" t="n">
        <v>3.5</v>
      </c>
      <c r="AC85" s="11" t="inlineStr">
        <is>
          <t xml:space="preserve"> Resort Freeride</t>
        </is>
      </c>
      <c r="AD85" s="11" t="inlineStr">
        <is>
          <t xml:space="preserve"> Freeski</t>
        </is>
      </c>
      <c r="AE85" s="13" t="n"/>
      <c r="AF85" s="13" t="n"/>
      <c r="AG85" s="13" t="n"/>
    </row>
    <row r="86">
      <c r="A86" s="9" t="inlineStr">
        <is>
          <t>21/22</t>
        </is>
      </c>
      <c r="B86" s="10" t="inlineStr">
        <is>
          <t xml:space="preserve"> Armada</t>
        </is>
      </c>
      <c r="C86" s="11" t="inlineStr">
        <is>
          <t xml:space="preserve"> Edollo</t>
        </is>
      </c>
      <c r="D86" s="13" t="n">
        <v>180</v>
      </c>
      <c r="E86" s="11" t="inlineStr">
        <is>
          <t xml:space="preserve"> Unisex</t>
        </is>
      </c>
      <c r="F86" s="13" t="n">
        <v>180</v>
      </c>
      <c r="G86" s="13" t="n">
        <v>178</v>
      </c>
      <c r="H86" s="13" t="n">
        <v>134</v>
      </c>
      <c r="I86" s="13" t="n">
        <v>159</v>
      </c>
      <c r="J86" s="13" t="n">
        <v>132</v>
      </c>
      <c r="K86" s="13" t="n">
        <v>97</v>
      </c>
      <c r="L86" s="13" t="n">
        <v>122</v>
      </c>
      <c r="M86" s="13" t="n">
        <v>20.4</v>
      </c>
      <c r="N86" s="13" t="n">
        <v>2021</v>
      </c>
      <c r="O86" s="13" t="n">
        <v>0.95</v>
      </c>
      <c r="P86" s="13" t="n">
        <v>1913</v>
      </c>
      <c r="Q86" s="13" t="n">
        <v>198</v>
      </c>
      <c r="R86" s="13" t="n">
        <v>87</v>
      </c>
      <c r="S86" s="13" t="n">
        <v>50</v>
      </c>
      <c r="T86" s="13" t="n">
        <v>266</v>
      </c>
      <c r="U86" s="13" t="n">
        <v>48</v>
      </c>
      <c r="V86" s="13" t="n">
        <v>172</v>
      </c>
      <c r="W86" s="13" t="n">
        <v>0.957</v>
      </c>
      <c r="X86" s="13" t="n">
        <v>87</v>
      </c>
      <c r="Y86" s="13" t="n">
        <v>98</v>
      </c>
      <c r="Z86" s="13" t="n">
        <v>179</v>
      </c>
      <c r="AA86" s="13" t="n">
        <v>8</v>
      </c>
      <c r="AB86" s="13" t="n">
        <v>3.2</v>
      </c>
      <c r="AC86" s="11" t="inlineStr">
        <is>
          <t xml:space="preserve"> Freeski</t>
        </is>
      </c>
      <c r="AD86" s="13" t="n"/>
      <c r="AE86" s="13" t="n"/>
      <c r="AF86" s="13" t="n"/>
      <c r="AG86" s="13" t="n"/>
    </row>
    <row r="87">
      <c r="A87" s="9" t="inlineStr">
        <is>
          <t>21/22</t>
        </is>
      </c>
      <c r="B87" s="10" t="inlineStr">
        <is>
          <t xml:space="preserve"> Armada</t>
        </is>
      </c>
      <c r="C87" s="11" t="inlineStr">
        <is>
          <t xml:space="preserve"> Magic J</t>
        </is>
      </c>
      <c r="D87" s="13" t="n">
        <v>180</v>
      </c>
      <c r="E87" s="11" t="inlineStr">
        <is>
          <t xml:space="preserve"> Unisex</t>
        </is>
      </c>
      <c r="F87" s="13" t="n">
        <v>180</v>
      </c>
      <c r="G87" s="13" t="n">
        <v>178.7</v>
      </c>
      <c r="H87" s="13" t="n">
        <v>99</v>
      </c>
      <c r="I87" s="13" t="n">
        <v>115</v>
      </c>
      <c r="J87" s="13" t="n">
        <v>142</v>
      </c>
      <c r="K87" s="13" t="n">
        <v>125</v>
      </c>
      <c r="L87" s="13" t="n">
        <v>139</v>
      </c>
      <c r="M87" s="13" t="n">
        <v>17.9</v>
      </c>
      <c r="N87" s="13" t="n">
        <v>2353</v>
      </c>
      <c r="O87" s="13" t="n">
        <v>1</v>
      </c>
      <c r="P87" s="13" t="n">
        <v>2343</v>
      </c>
      <c r="Q87" s="13" t="n">
        <v>264</v>
      </c>
      <c r="R87" s="13" t="n">
        <v>128</v>
      </c>
      <c r="S87" s="13" t="n">
        <v>60</v>
      </c>
      <c r="T87" s="13" t="n">
        <v>414</v>
      </c>
      <c r="U87" s="13" t="n">
        <v>58</v>
      </c>
      <c r="V87" s="13" t="n">
        <v>383</v>
      </c>
      <c r="W87" s="13" t="n">
        <v>0.969</v>
      </c>
      <c r="X87" s="13" t="n">
        <v>325</v>
      </c>
      <c r="Y87" s="13" t="n">
        <v>311</v>
      </c>
      <c r="Z87" s="13" t="n">
        <v>89</v>
      </c>
      <c r="AA87" s="13" t="n">
        <v>7</v>
      </c>
      <c r="AB87" s="13" t="n">
        <v>4.7</v>
      </c>
      <c r="AC87" s="11" t="inlineStr">
        <is>
          <t xml:space="preserve"> Freeski</t>
        </is>
      </c>
      <c r="AD87" s="11" t="inlineStr">
        <is>
          <t xml:space="preserve"> Powder</t>
        </is>
      </c>
      <c r="AE87" s="13" t="n"/>
      <c r="AF87" s="13" t="n"/>
      <c r="AG87" s="13" t="n"/>
    </row>
    <row r="88">
      <c r="A88" s="9" t="inlineStr">
        <is>
          <t>21/22</t>
        </is>
      </c>
      <c r="B88" s="10" t="inlineStr">
        <is>
          <t xml:space="preserve"> Armada</t>
        </is>
      </c>
      <c r="C88" s="11" t="inlineStr">
        <is>
          <t xml:space="preserve"> Magic J</t>
        </is>
      </c>
      <c r="D88" s="13" t="n">
        <v>190</v>
      </c>
      <c r="E88" s="11" t="inlineStr">
        <is>
          <t xml:space="preserve"> Unisex</t>
        </is>
      </c>
      <c r="F88" s="13" t="n">
        <v>190</v>
      </c>
      <c r="G88" s="13" t="n">
        <v>188.7</v>
      </c>
      <c r="H88" s="13" t="n">
        <v>110</v>
      </c>
      <c r="I88" s="13" t="n">
        <v>126</v>
      </c>
      <c r="J88" s="13" t="n">
        <v>142</v>
      </c>
      <c r="K88" s="13" t="n">
        <v>125</v>
      </c>
      <c r="L88" s="13" t="n">
        <v>139</v>
      </c>
      <c r="M88" s="13" t="n">
        <v>22.7</v>
      </c>
      <c r="N88" s="13" t="n">
        <v>2529</v>
      </c>
      <c r="O88" s="13" t="n">
        <v>0.98</v>
      </c>
      <c r="P88" s="13" t="n">
        <v>2479</v>
      </c>
      <c r="Q88" s="13" t="n">
        <v>266</v>
      </c>
      <c r="R88" s="13" t="n">
        <v>133</v>
      </c>
      <c r="S88" s="13" t="n">
        <v>56</v>
      </c>
      <c r="T88" s="13" t="n">
        <v>410</v>
      </c>
      <c r="U88" s="13" t="n">
        <v>58</v>
      </c>
      <c r="V88" s="13" t="n">
        <v>375</v>
      </c>
      <c r="W88" s="13" t="n">
        <v>1.043</v>
      </c>
      <c r="X88" s="13" t="n">
        <v>333</v>
      </c>
      <c r="Y88" s="13" t="n">
        <v>294</v>
      </c>
      <c r="Z88" s="13" t="n">
        <v>77</v>
      </c>
      <c r="AA88" s="13" t="n">
        <v>8</v>
      </c>
      <c r="AB88" s="13" t="n">
        <v>4.3</v>
      </c>
      <c r="AC88" s="11" t="inlineStr">
        <is>
          <t xml:space="preserve"> Freeski</t>
        </is>
      </c>
      <c r="AD88" s="11" t="inlineStr">
        <is>
          <t xml:space="preserve"> Powder</t>
        </is>
      </c>
      <c r="AE88" s="13" t="n"/>
      <c r="AF88" s="13" t="n"/>
      <c r="AG88" s="13" t="n"/>
    </row>
    <row r="89">
      <c r="A89" s="9" t="inlineStr">
        <is>
          <t>21/22</t>
        </is>
      </c>
      <c r="B89" s="10" t="inlineStr">
        <is>
          <t xml:space="preserve"> Armada</t>
        </is>
      </c>
      <c r="C89" s="11" t="inlineStr">
        <is>
          <t>Reliance 102 Ti</t>
        </is>
      </c>
      <c r="D89" s="13" t="n">
        <v>164</v>
      </c>
      <c r="E89" s="11" t="inlineStr">
        <is>
          <t xml:space="preserve"> Women's</t>
        </is>
      </c>
      <c r="F89" s="13" t="n">
        <v>164</v>
      </c>
      <c r="G89" s="13" t="n">
        <v>163.5</v>
      </c>
      <c r="H89" s="13" t="n">
        <v>117</v>
      </c>
      <c r="I89" s="13" t="n">
        <v>136</v>
      </c>
      <c r="J89" s="13" t="n">
        <v>132</v>
      </c>
      <c r="K89" s="13" t="n">
        <v>101</v>
      </c>
      <c r="L89" s="13" t="n">
        <v>122</v>
      </c>
      <c r="M89" s="13" t="n">
        <v>16.9</v>
      </c>
      <c r="N89" s="13" t="n">
        <v>1707</v>
      </c>
      <c r="O89" s="13" t="n">
        <v>1.07</v>
      </c>
      <c r="P89" s="13" t="n">
        <v>1819</v>
      </c>
      <c r="Q89" s="13" t="n">
        <v>190</v>
      </c>
      <c r="R89" s="13" t="n">
        <v>112</v>
      </c>
      <c r="S89" s="13" t="n">
        <v>53</v>
      </c>
      <c r="T89" s="13" t="n">
        <v>304</v>
      </c>
      <c r="U89" s="13" t="n">
        <v>18</v>
      </c>
      <c r="V89" s="13" t="n">
        <v>157</v>
      </c>
      <c r="W89" s="13" t="n">
        <v>0.33</v>
      </c>
      <c r="X89" s="13" t="n">
        <v>162</v>
      </c>
      <c r="Y89" s="13" t="n">
        <v>116</v>
      </c>
      <c r="Z89" s="13" t="n">
        <v>142</v>
      </c>
      <c r="AA89" s="13" t="n">
        <v>4</v>
      </c>
      <c r="AB89" s="13" t="n">
        <v>7.5</v>
      </c>
      <c r="AC89" s="11" t="inlineStr">
        <is>
          <t xml:space="preserve"> Resort Freeride</t>
        </is>
      </c>
      <c r="AD89" s="11" t="inlineStr">
        <is>
          <t xml:space="preserve"> Big Mountain</t>
        </is>
      </c>
      <c r="AE89" s="11" t="inlineStr">
        <is>
          <t xml:space="preserve"> Touring</t>
        </is>
      </c>
      <c r="AF89" s="13" t="n"/>
      <c r="AG89" s="13" t="n"/>
    </row>
    <row r="90">
      <c r="A90" s="9" t="inlineStr">
        <is>
          <t>21/22</t>
        </is>
      </c>
      <c r="B90" s="10" t="inlineStr">
        <is>
          <t xml:space="preserve"> Armada</t>
        </is>
      </c>
      <c r="C90" s="11" t="inlineStr">
        <is>
          <t>Reliance 102 Ti</t>
        </is>
      </c>
      <c r="D90" s="13" t="n">
        <v>172</v>
      </c>
      <c r="E90" s="11" t="inlineStr">
        <is>
          <t xml:space="preserve"> Women's</t>
        </is>
      </c>
      <c r="F90" s="13" t="n">
        <v>172</v>
      </c>
      <c r="G90" s="13" t="n">
        <v>171.4</v>
      </c>
      <c r="H90" s="13" t="n">
        <v>127</v>
      </c>
      <c r="I90" s="13" t="n">
        <v>141</v>
      </c>
      <c r="J90" s="13" t="n">
        <v>133</v>
      </c>
      <c r="K90" s="13" t="n">
        <v>101</v>
      </c>
      <c r="L90" s="13" t="n">
        <v>123</v>
      </c>
      <c r="M90" s="13" t="n">
        <v>17.4</v>
      </c>
      <c r="N90" s="13" t="n">
        <v>1873</v>
      </c>
      <c r="O90" s="13" t="n">
        <v>1.02</v>
      </c>
      <c r="P90" s="13" t="n">
        <v>1917</v>
      </c>
      <c r="Q90" s="13" t="n">
        <v>213</v>
      </c>
      <c r="R90" s="13" t="n">
        <v>131</v>
      </c>
      <c r="S90" s="13" t="n">
        <v>52</v>
      </c>
      <c r="T90" s="13" t="n">
        <v>285</v>
      </c>
      <c r="U90" s="13" t="n">
        <v>17</v>
      </c>
      <c r="V90" s="13" t="n">
        <v>161</v>
      </c>
      <c r="W90" s="13" t="n">
        <v>0.336</v>
      </c>
      <c r="X90" s="13" t="n">
        <v>181</v>
      </c>
      <c r="Y90" s="13" t="n">
        <v>127</v>
      </c>
      <c r="Z90" s="13" t="n">
        <v>105</v>
      </c>
      <c r="AA90" s="13" t="n">
        <v>8</v>
      </c>
      <c r="AB90" s="13" t="n">
        <v>8.4</v>
      </c>
      <c r="AC90" s="11" t="inlineStr">
        <is>
          <t xml:space="preserve"> Resort Freeride</t>
        </is>
      </c>
      <c r="AD90" s="11" t="inlineStr">
        <is>
          <t xml:space="preserve"> Big Mountain</t>
        </is>
      </c>
      <c r="AE90" s="13" t="n"/>
      <c r="AF90" s="13" t="n"/>
      <c r="AG90" s="13" t="n"/>
    </row>
    <row r="91">
      <c r="A91" s="9" t="inlineStr">
        <is>
          <t>21/22</t>
        </is>
      </c>
      <c r="B91" s="10" t="inlineStr">
        <is>
          <t xml:space="preserve"> Armada</t>
        </is>
      </c>
      <c r="C91" s="11" t="inlineStr">
        <is>
          <t>Reliance 82 Ti</t>
        </is>
      </c>
      <c r="D91" s="13" t="n">
        <v>150</v>
      </c>
      <c r="E91" s="11" t="inlineStr">
        <is>
          <t xml:space="preserve"> Women's</t>
        </is>
      </c>
      <c r="F91" s="13" t="n">
        <v>150</v>
      </c>
      <c r="G91" s="13" t="n">
        <v>149.7</v>
      </c>
      <c r="H91" s="13" t="n">
        <v>124</v>
      </c>
      <c r="I91" s="13" t="n">
        <v>135</v>
      </c>
      <c r="J91" s="13" t="n">
        <v>121</v>
      </c>
      <c r="K91" s="13" t="n">
        <v>81</v>
      </c>
      <c r="L91" s="13" t="n">
        <v>107</v>
      </c>
      <c r="M91" s="13" t="n">
        <v>14</v>
      </c>
      <c r="N91" s="13" t="n">
        <v>1348</v>
      </c>
      <c r="O91" s="13" t="n">
        <v>1.04</v>
      </c>
      <c r="P91" s="13" t="n">
        <v>1398</v>
      </c>
      <c r="Q91" s="13" t="n">
        <v>161</v>
      </c>
      <c r="R91" s="13" t="n">
        <v>97</v>
      </c>
      <c r="S91" s="13" t="n">
        <v>35</v>
      </c>
      <c r="T91" s="13" t="n">
        <v>164</v>
      </c>
      <c r="U91" s="13" t="n">
        <v>10</v>
      </c>
      <c r="V91" s="13" t="n">
        <v>96</v>
      </c>
      <c r="W91" s="13" t="n">
        <v>0.286</v>
      </c>
      <c r="X91" s="13" t="n">
        <v>91</v>
      </c>
      <c r="Y91" s="13" t="n">
        <v>53</v>
      </c>
      <c r="Z91" s="13" t="n">
        <v>73</v>
      </c>
      <c r="AA91" s="13" t="n">
        <v>7</v>
      </c>
      <c r="AB91" s="13" t="n">
        <v>8.199999999999999</v>
      </c>
      <c r="AC91" s="11" t="inlineStr">
        <is>
          <t xml:space="preserve"> Resort Freeride</t>
        </is>
      </c>
      <c r="AD91" s="13" t="n"/>
      <c r="AE91" s="13" t="n"/>
      <c r="AF91" s="13" t="n"/>
      <c r="AG91" s="13" t="n"/>
    </row>
    <row r="92">
      <c r="A92" s="9" t="inlineStr">
        <is>
          <t>21/22</t>
        </is>
      </c>
      <c r="B92" s="10" t="inlineStr">
        <is>
          <t xml:space="preserve"> Armada</t>
        </is>
      </c>
      <c r="C92" s="11" t="inlineStr">
        <is>
          <t>Reliance 82 Ti</t>
        </is>
      </c>
      <c r="D92" s="13" t="n">
        <v>166</v>
      </c>
      <c r="E92" s="11" t="inlineStr">
        <is>
          <t xml:space="preserve"> Women's</t>
        </is>
      </c>
      <c r="F92" s="13" t="n">
        <v>166</v>
      </c>
      <c r="G92" s="13" t="n">
        <v>165.5</v>
      </c>
      <c r="H92" s="13" t="n">
        <v>138</v>
      </c>
      <c r="I92" s="13" t="n">
        <v>149</v>
      </c>
      <c r="J92" s="13" t="n">
        <v>125</v>
      </c>
      <c r="K92" s="13" t="n">
        <v>81</v>
      </c>
      <c r="L92" s="13" t="n">
        <v>108</v>
      </c>
      <c r="M92" s="13" t="n">
        <v>15.4</v>
      </c>
      <c r="N92" s="13" t="n">
        <v>1533</v>
      </c>
      <c r="O92" s="13" t="n">
        <v>1.02</v>
      </c>
      <c r="P92" s="13" t="n">
        <v>1569</v>
      </c>
      <c r="Q92" s="13" t="n">
        <v>205</v>
      </c>
      <c r="R92" s="13" t="n">
        <v>122</v>
      </c>
      <c r="S92" s="13" t="n">
        <v>36</v>
      </c>
      <c r="T92" s="13" t="n">
        <v>176</v>
      </c>
      <c r="U92" s="13" t="n">
        <v>10</v>
      </c>
      <c r="V92" s="13" t="n">
        <v>104</v>
      </c>
      <c r="W92" s="13" t="n">
        <v>0.269</v>
      </c>
      <c r="X92" s="13" t="n">
        <v>112</v>
      </c>
      <c r="Y92" s="13" t="n">
        <v>55</v>
      </c>
      <c r="Z92" s="13" t="n">
        <v>64</v>
      </c>
      <c r="AA92" s="13" t="n">
        <v>9</v>
      </c>
      <c r="AB92" s="13" t="n">
        <v>10.3</v>
      </c>
      <c r="AC92" s="11" t="inlineStr">
        <is>
          <t xml:space="preserve"> On-Piste All-Mountain</t>
        </is>
      </c>
      <c r="AD92" s="11" t="inlineStr">
        <is>
          <t xml:space="preserve"> Resort Freeride</t>
        </is>
      </c>
      <c r="AE92" s="13" t="n"/>
      <c r="AF92" s="13" t="n"/>
      <c r="AG92" s="13" t="n"/>
    </row>
    <row r="93">
      <c r="A93" s="9" t="inlineStr">
        <is>
          <t>21/22</t>
        </is>
      </c>
      <c r="B93" s="10" t="inlineStr">
        <is>
          <t xml:space="preserve"> Armada</t>
        </is>
      </c>
      <c r="C93" s="11" t="inlineStr">
        <is>
          <t>Reliance 82 Ti</t>
        </is>
      </c>
      <c r="D93" s="13" t="n">
        <v>174</v>
      </c>
      <c r="E93" s="11" t="inlineStr">
        <is>
          <t xml:space="preserve"> Women's</t>
        </is>
      </c>
      <c r="F93" s="13" t="n">
        <v>174</v>
      </c>
      <c r="G93" s="13" t="n">
        <v>173.3</v>
      </c>
      <c r="H93" s="13" t="n">
        <v>142</v>
      </c>
      <c r="I93" s="13" t="n">
        <v>155</v>
      </c>
      <c r="J93" s="13" t="n">
        <v>127</v>
      </c>
      <c r="K93" s="13" t="n">
        <v>81</v>
      </c>
      <c r="L93" s="13" t="n">
        <v>109</v>
      </c>
      <c r="M93" s="13" t="n">
        <v>15.9</v>
      </c>
      <c r="N93" s="13" t="n">
        <v>1650</v>
      </c>
      <c r="O93" s="13" t="n">
        <v>1</v>
      </c>
      <c r="P93" s="13" t="n">
        <v>1654</v>
      </c>
      <c r="Q93" s="13" t="n">
        <v>245</v>
      </c>
      <c r="R93" s="13" t="n">
        <v>133</v>
      </c>
      <c r="S93" s="13" t="n">
        <v>45</v>
      </c>
      <c r="T93" s="13" t="n">
        <v>197</v>
      </c>
      <c r="U93" s="13" t="n">
        <v>11</v>
      </c>
      <c r="V93" s="13" t="n">
        <v>115</v>
      </c>
      <c r="W93" s="13" t="n">
        <v>0.248</v>
      </c>
      <c r="X93" s="13" t="n">
        <v>115</v>
      </c>
      <c r="Y93" s="13" t="n">
        <v>70</v>
      </c>
      <c r="Z93" s="13" t="n">
        <v>82</v>
      </c>
      <c r="AA93" s="13" t="n">
        <v>10</v>
      </c>
      <c r="AB93" s="13" t="n">
        <v>9.6</v>
      </c>
      <c r="AC93" s="11" t="inlineStr">
        <is>
          <t xml:space="preserve"> On-Piste All-Mountain</t>
        </is>
      </c>
      <c r="AD93" s="11" t="inlineStr">
        <is>
          <t xml:space="preserve"> Resort Freeride</t>
        </is>
      </c>
      <c r="AE93" s="13" t="n"/>
      <c r="AF93" s="13" t="n"/>
      <c r="AG93" s="13" t="n"/>
    </row>
    <row r="94">
      <c r="A94" s="9" t="inlineStr">
        <is>
          <t>21/22</t>
        </is>
      </c>
      <c r="B94" s="10" t="inlineStr">
        <is>
          <t xml:space="preserve"> Armada</t>
        </is>
      </c>
      <c r="C94" s="11" t="inlineStr">
        <is>
          <t>Reliance 88 Ca</t>
        </is>
      </c>
      <c r="D94" s="13" t="n">
        <v>152</v>
      </c>
      <c r="E94" s="11" t="inlineStr">
        <is>
          <t xml:space="preserve"> Women's</t>
        </is>
      </c>
      <c r="F94" s="13" t="n">
        <v>152</v>
      </c>
      <c r="G94" s="13" t="n">
        <v>152</v>
      </c>
      <c r="H94" s="13" t="n">
        <v>124</v>
      </c>
      <c r="I94" s="13" t="n">
        <v>134</v>
      </c>
      <c r="J94" s="13" t="n">
        <v>124</v>
      </c>
      <c r="K94" s="13" t="n">
        <v>87</v>
      </c>
      <c r="L94" s="13" t="n">
        <v>106</v>
      </c>
      <c r="M94" s="13" t="n">
        <v>15.9</v>
      </c>
      <c r="N94" s="13" t="n">
        <v>1345</v>
      </c>
      <c r="O94" s="13" t="n">
        <v>1.11</v>
      </c>
      <c r="P94" s="13" t="n">
        <v>1488</v>
      </c>
      <c r="Q94" s="13" t="n">
        <v>178</v>
      </c>
      <c r="R94" s="13" t="n">
        <v>85</v>
      </c>
      <c r="S94" s="13" t="n">
        <v>41</v>
      </c>
      <c r="T94" s="13" t="n">
        <v>177</v>
      </c>
      <c r="U94" s="13" t="n">
        <v>9</v>
      </c>
      <c r="V94" s="13" t="n">
        <v>99</v>
      </c>
      <c r="W94" s="13" t="n">
        <v>0.218</v>
      </c>
      <c r="X94" s="13" t="n">
        <v>110</v>
      </c>
      <c r="Y94" s="13" t="n">
        <v>66</v>
      </c>
      <c r="Z94" s="13" t="n">
        <v>67</v>
      </c>
      <c r="AA94" s="13" t="n">
        <v>5</v>
      </c>
      <c r="AB94" s="13" t="n">
        <v>10.6</v>
      </c>
      <c r="AC94" s="11" t="inlineStr">
        <is>
          <t xml:space="preserve"> Resort Freeride</t>
        </is>
      </c>
      <c r="AD94" s="11" t="inlineStr">
        <is>
          <t xml:space="preserve"> Touring</t>
        </is>
      </c>
      <c r="AE94" s="13" t="n"/>
      <c r="AF94" s="13" t="n"/>
      <c r="AG94" s="13" t="n"/>
    </row>
    <row r="95">
      <c r="A95" s="9" t="inlineStr">
        <is>
          <t>21/22</t>
        </is>
      </c>
      <c r="B95" s="10" t="inlineStr">
        <is>
          <t xml:space="preserve"> Armada</t>
        </is>
      </c>
      <c r="C95" s="11" t="inlineStr">
        <is>
          <t>Reliance 88 Ca</t>
        </is>
      </c>
      <c r="D95" s="13" t="n">
        <v>160</v>
      </c>
      <c r="E95" s="11" t="inlineStr">
        <is>
          <t xml:space="preserve"> Women's</t>
        </is>
      </c>
      <c r="F95" s="13" t="n">
        <v>160</v>
      </c>
      <c r="G95" s="13" t="n">
        <v>159.5</v>
      </c>
      <c r="H95" s="13" t="n">
        <v>132</v>
      </c>
      <c r="I95" s="13" t="n">
        <v>142</v>
      </c>
      <c r="J95" s="13" t="n">
        <v>127</v>
      </c>
      <c r="K95" s="13" t="n">
        <v>87</v>
      </c>
      <c r="L95" s="13" t="n">
        <v>109</v>
      </c>
      <c r="M95" s="13" t="n">
        <v>16.3</v>
      </c>
      <c r="N95" s="13" t="n">
        <v>1478</v>
      </c>
      <c r="O95" s="13" t="n">
        <v>1.06</v>
      </c>
      <c r="P95" s="13" t="n">
        <v>1574</v>
      </c>
      <c r="Q95" s="13" t="n">
        <v>222</v>
      </c>
      <c r="R95" s="13" t="n">
        <v>104</v>
      </c>
      <c r="S95" s="13" t="n">
        <v>39</v>
      </c>
      <c r="T95" s="13" t="n">
        <v>172</v>
      </c>
      <c r="U95" s="13" t="n">
        <v>10</v>
      </c>
      <c r="V95" s="13" t="n">
        <v>100</v>
      </c>
      <c r="W95" s="13" t="n">
        <v>0.245</v>
      </c>
      <c r="X95" s="13" t="n">
        <v>112</v>
      </c>
      <c r="Y95" s="13" t="n">
        <v>62</v>
      </c>
      <c r="Z95" s="13" t="n">
        <v>60</v>
      </c>
      <c r="AA95" s="13" t="n">
        <v>5</v>
      </c>
      <c r="AB95" s="13" t="n">
        <v>11.4</v>
      </c>
      <c r="AC95" s="11" t="inlineStr">
        <is>
          <t xml:space="preserve"> Resort Freeride</t>
        </is>
      </c>
      <c r="AD95" s="11" t="inlineStr">
        <is>
          <t xml:space="preserve"> Touring</t>
        </is>
      </c>
      <c r="AE95" s="13" t="n"/>
      <c r="AF95" s="13" t="n"/>
      <c r="AG95" s="13" t="n"/>
    </row>
    <row r="96">
      <c r="A96" s="9" t="inlineStr">
        <is>
          <t>21/22</t>
        </is>
      </c>
      <c r="B96" s="10" t="inlineStr">
        <is>
          <t xml:space="preserve"> Armada</t>
        </is>
      </c>
      <c r="C96" s="11" t="inlineStr">
        <is>
          <t>Reliance 88 Ca</t>
        </is>
      </c>
      <c r="D96" s="13" t="n">
        <v>168</v>
      </c>
      <c r="E96" s="11" t="inlineStr">
        <is>
          <t xml:space="preserve"> Women's</t>
        </is>
      </c>
      <c r="F96" s="13" t="n">
        <v>168</v>
      </c>
      <c r="G96" s="13" t="n">
        <v>167.4</v>
      </c>
      <c r="H96" s="13" t="n">
        <v>138</v>
      </c>
      <c r="I96" s="13" t="n">
        <v>149</v>
      </c>
      <c r="J96" s="13" t="n">
        <v>128</v>
      </c>
      <c r="K96" s="13" t="n">
        <v>87</v>
      </c>
      <c r="L96" s="13" t="n">
        <v>109</v>
      </c>
      <c r="M96" s="13" t="n">
        <v>16.9</v>
      </c>
      <c r="N96" s="13" t="n">
        <v>1550</v>
      </c>
      <c r="O96" s="13" t="n">
        <v>1.07</v>
      </c>
      <c r="P96" s="13" t="n">
        <v>1664</v>
      </c>
      <c r="Q96" s="13" t="n">
        <v>243</v>
      </c>
      <c r="R96" s="13" t="n">
        <v>106</v>
      </c>
      <c r="S96" s="13" t="n">
        <v>41</v>
      </c>
      <c r="T96" s="13" t="n">
        <v>186</v>
      </c>
      <c r="U96" s="13" t="n">
        <v>11</v>
      </c>
      <c r="V96" s="13" t="n">
        <v>112</v>
      </c>
      <c r="W96" s="13" t="n">
        <v>0.258</v>
      </c>
      <c r="X96" s="13" t="n">
        <v>114</v>
      </c>
      <c r="Y96" s="13" t="n">
        <v>74</v>
      </c>
      <c r="Z96" s="13" t="n">
        <v>72</v>
      </c>
      <c r="AA96" s="13" t="n">
        <v>5</v>
      </c>
      <c r="AB96" s="13" t="n">
        <v>11.8</v>
      </c>
      <c r="AC96" s="11" t="inlineStr">
        <is>
          <t xml:space="preserve"> Resort Freeride</t>
        </is>
      </c>
      <c r="AD96" s="11" t="inlineStr">
        <is>
          <t xml:space="preserve"> Touring</t>
        </is>
      </c>
      <c r="AE96" s="13" t="n"/>
      <c r="AF96" s="13" t="n"/>
      <c r="AG96" s="13" t="n"/>
    </row>
    <row r="97">
      <c r="A97" s="9" t="inlineStr">
        <is>
          <t>21/22</t>
        </is>
      </c>
      <c r="B97" s="10" t="inlineStr">
        <is>
          <t xml:space="preserve"> Armada</t>
        </is>
      </c>
      <c r="C97" s="11" t="inlineStr">
        <is>
          <t>Reliance 92 Ti</t>
        </is>
      </c>
      <c r="D97" s="13" t="n">
        <v>156</v>
      </c>
      <c r="E97" s="11" t="inlineStr">
        <is>
          <t xml:space="preserve"> Women's</t>
        </is>
      </c>
      <c r="F97" s="13" t="n">
        <v>156</v>
      </c>
      <c r="G97" s="13" t="n">
        <v>155.6</v>
      </c>
      <c r="H97" s="13" t="n">
        <v>119</v>
      </c>
      <c r="I97" s="13" t="n">
        <v>136</v>
      </c>
      <c r="J97" s="13" t="n">
        <v>128</v>
      </c>
      <c r="K97" s="13" t="n">
        <v>91</v>
      </c>
      <c r="L97" s="13" t="n">
        <v>114</v>
      </c>
      <c r="M97" s="13" t="n">
        <v>15.5</v>
      </c>
      <c r="N97" s="13" t="n">
        <v>1492</v>
      </c>
      <c r="O97" s="13" t="n">
        <v>1.07</v>
      </c>
      <c r="P97" s="13" t="n">
        <v>1595</v>
      </c>
      <c r="Q97" s="13" t="n">
        <v>169</v>
      </c>
      <c r="R97" s="13" t="n">
        <v>94</v>
      </c>
      <c r="S97" s="13" t="n">
        <v>43</v>
      </c>
      <c r="T97" s="13" t="n">
        <v>226</v>
      </c>
      <c r="U97" s="13" t="n">
        <v>17</v>
      </c>
      <c r="V97" s="13" t="n">
        <v>145</v>
      </c>
      <c r="W97" s="13" t="n">
        <v>0.386</v>
      </c>
      <c r="X97" s="13" t="n">
        <v>128</v>
      </c>
      <c r="Y97" s="13" t="n">
        <v>70</v>
      </c>
      <c r="Z97" s="13" t="n">
        <v>98</v>
      </c>
      <c r="AA97" s="13" t="n">
        <v>6</v>
      </c>
      <c r="AB97" s="13" t="n">
        <v>9.800000000000001</v>
      </c>
      <c r="AC97" s="11" t="inlineStr">
        <is>
          <t xml:space="preserve"> Resort Freeride</t>
        </is>
      </c>
      <c r="AD97" s="11" t="inlineStr">
        <is>
          <t xml:space="preserve"> Touring</t>
        </is>
      </c>
      <c r="AE97" s="13" t="n"/>
      <c r="AF97" s="13" t="n"/>
      <c r="AG97" s="13" t="n"/>
    </row>
    <row r="98">
      <c r="A98" s="9" t="inlineStr">
        <is>
          <t>21/22</t>
        </is>
      </c>
      <c r="B98" s="10" t="inlineStr">
        <is>
          <t xml:space="preserve"> Armada</t>
        </is>
      </c>
      <c r="C98" s="11" t="inlineStr">
        <is>
          <t>Reliance 92 Ti</t>
        </is>
      </c>
      <c r="D98" s="13" t="n">
        <v>164</v>
      </c>
      <c r="E98" s="11" t="inlineStr">
        <is>
          <t xml:space="preserve"> Women's</t>
        </is>
      </c>
      <c r="F98" s="13" t="n">
        <v>164</v>
      </c>
      <c r="G98" s="13" t="n">
        <v>163.6</v>
      </c>
      <c r="H98" s="13" t="n">
        <v>126</v>
      </c>
      <c r="I98" s="13" t="n">
        <v>143</v>
      </c>
      <c r="J98" s="13" t="n">
        <v>129</v>
      </c>
      <c r="K98" s="13" t="n">
        <v>91</v>
      </c>
      <c r="L98" s="13" t="n">
        <v>114</v>
      </c>
      <c r="M98" s="13" t="n">
        <v>16.4</v>
      </c>
      <c r="N98" s="13" t="n">
        <v>1610</v>
      </c>
      <c r="O98" s="13" t="n">
        <v>1.05</v>
      </c>
      <c r="P98" s="13" t="n">
        <v>1687</v>
      </c>
      <c r="Q98" s="13" t="n">
        <v>203</v>
      </c>
      <c r="R98" s="13" t="n">
        <v>125</v>
      </c>
      <c r="S98" s="13" t="n">
        <v>40</v>
      </c>
      <c r="T98" s="13" t="n">
        <v>229</v>
      </c>
      <c r="U98" s="13" t="n">
        <v>17</v>
      </c>
      <c r="V98" s="13" t="n">
        <v>146</v>
      </c>
      <c r="W98" s="13" t="n">
        <v>0.417</v>
      </c>
      <c r="X98" s="13" t="n">
        <v>130</v>
      </c>
      <c r="Y98" s="13" t="n">
        <v>78</v>
      </c>
      <c r="Z98" s="13" t="n">
        <v>99</v>
      </c>
      <c r="AA98" s="13" t="n">
        <v>8</v>
      </c>
      <c r="AB98" s="13" t="n">
        <v>9.9</v>
      </c>
      <c r="AC98" s="11" t="inlineStr">
        <is>
          <t xml:space="preserve"> Resort Freeride</t>
        </is>
      </c>
      <c r="AD98" s="13" t="n"/>
      <c r="AE98" s="13" t="n"/>
      <c r="AF98" s="13" t="n"/>
      <c r="AG98" s="13" t="n"/>
    </row>
    <row r="99">
      <c r="A99" s="9" t="inlineStr">
        <is>
          <t>21/22</t>
        </is>
      </c>
      <c r="B99" s="10" t="inlineStr">
        <is>
          <t xml:space="preserve"> Armada</t>
        </is>
      </c>
      <c r="C99" s="11" t="inlineStr">
        <is>
          <t>Reliance 92 Ti</t>
        </is>
      </c>
      <c r="D99" s="13" t="n">
        <v>172</v>
      </c>
      <c r="E99" s="11" t="inlineStr">
        <is>
          <t xml:space="preserve"> Women's</t>
        </is>
      </c>
      <c r="F99" s="13" t="n">
        <v>172</v>
      </c>
      <c r="G99" s="13" t="n">
        <v>172.1</v>
      </c>
      <c r="H99" s="13" t="n">
        <v>134</v>
      </c>
      <c r="I99" s="13" t="n">
        <v>149</v>
      </c>
      <c r="J99" s="13" t="n">
        <v>130</v>
      </c>
      <c r="K99" s="13" t="n">
        <v>91</v>
      </c>
      <c r="L99" s="13" t="n">
        <v>116</v>
      </c>
      <c r="M99" s="13" t="n">
        <v>16.9</v>
      </c>
      <c r="N99" s="13" t="n">
        <v>1690</v>
      </c>
      <c r="O99" s="13" t="n">
        <v>1.05</v>
      </c>
      <c r="P99" s="13" t="n">
        <v>1780</v>
      </c>
      <c r="Q99" s="13" t="n">
        <v>208</v>
      </c>
      <c r="R99" s="13" t="n">
        <v>140</v>
      </c>
      <c r="S99" s="13" t="n">
        <v>40</v>
      </c>
      <c r="T99" s="13" t="n">
        <v>237</v>
      </c>
      <c r="U99" s="13" t="n">
        <v>16</v>
      </c>
      <c r="V99" s="13" t="n">
        <v>145</v>
      </c>
      <c r="W99" s="13" t="n">
        <v>0.409</v>
      </c>
      <c r="X99" s="13" t="n">
        <v>147</v>
      </c>
      <c r="Y99" s="13" t="n">
        <v>87</v>
      </c>
      <c r="Z99" s="13" t="n">
        <v>90</v>
      </c>
      <c r="AA99" s="13" t="n">
        <v>9</v>
      </c>
      <c r="AB99" s="13" t="n">
        <v>9.6</v>
      </c>
      <c r="AC99" s="11" t="inlineStr">
        <is>
          <t xml:space="preserve"> Resort Freeride</t>
        </is>
      </c>
      <c r="AD99" s="11" t="inlineStr">
        <is>
          <t xml:space="preserve"> Touring</t>
        </is>
      </c>
      <c r="AE99" s="13" t="n"/>
      <c r="AF99" s="13" t="n"/>
      <c r="AG99" s="13" t="n"/>
    </row>
    <row r="100">
      <c r="A100" s="9" t="inlineStr">
        <is>
          <t>21/22</t>
        </is>
      </c>
      <c r="B100" s="10" t="inlineStr">
        <is>
          <t xml:space="preserve"> Armada</t>
        </is>
      </c>
      <c r="C100" s="11" t="inlineStr">
        <is>
          <t xml:space="preserve"> Stranger</t>
        </is>
      </c>
      <c r="D100" s="13" t="n">
        <v>172</v>
      </c>
      <c r="E100" s="11" t="inlineStr">
        <is>
          <t xml:space="preserve"> Unisex</t>
        </is>
      </c>
      <c r="F100" s="13" t="n">
        <v>172</v>
      </c>
      <c r="G100" s="13" t="n">
        <v>170.9</v>
      </c>
      <c r="H100" s="13" t="n">
        <v>119</v>
      </c>
      <c r="I100" s="13" t="n">
        <v>140</v>
      </c>
      <c r="J100" s="13" t="n">
        <v>138</v>
      </c>
      <c r="K100" s="13" t="n">
        <v>99</v>
      </c>
      <c r="L100" s="13" t="n">
        <v>119</v>
      </c>
      <c r="M100" s="13" t="n">
        <v>15.2</v>
      </c>
      <c r="N100" s="13" t="n">
        <v>2003</v>
      </c>
      <c r="O100" s="13" t="n">
        <v>0.96</v>
      </c>
      <c r="P100" s="13" t="n">
        <v>1924</v>
      </c>
      <c r="Q100" s="13" t="n">
        <v>163</v>
      </c>
      <c r="R100" s="13" t="n">
        <v>75</v>
      </c>
      <c r="S100" s="13" t="n">
        <v>57</v>
      </c>
      <c r="T100" s="13" t="n">
        <v>294</v>
      </c>
      <c r="U100" s="13" t="n">
        <v>35</v>
      </c>
      <c r="V100" s="13" t="n">
        <v>226</v>
      </c>
      <c r="W100" s="13" t="n">
        <v>0.605</v>
      </c>
      <c r="X100" s="13" t="n">
        <v>196</v>
      </c>
      <c r="Y100" s="13" t="n">
        <v>111</v>
      </c>
      <c r="Z100" s="13" t="n">
        <v>97</v>
      </c>
      <c r="AA100" s="13" t="n">
        <v>8</v>
      </c>
      <c r="AB100" s="13" t="n">
        <v>10.1</v>
      </c>
      <c r="AC100" s="11" t="inlineStr">
        <is>
          <t xml:space="preserve"> Resort Freeride</t>
        </is>
      </c>
      <c r="AD100" s="13" t="n"/>
      <c r="AE100" s="13" t="n"/>
      <c r="AF100" s="13" t="n"/>
      <c r="AG100" s="13" t="n"/>
    </row>
    <row r="101">
      <c r="A101" s="9" t="inlineStr">
        <is>
          <t>21/22</t>
        </is>
      </c>
      <c r="B101" s="10" t="inlineStr">
        <is>
          <t xml:space="preserve"> Armada</t>
        </is>
      </c>
      <c r="C101" s="11" t="inlineStr">
        <is>
          <t xml:space="preserve"> Stranger</t>
        </is>
      </c>
      <c r="D101" s="13" t="n">
        <v>180</v>
      </c>
      <c r="E101" s="11" t="inlineStr">
        <is>
          <t xml:space="preserve"> Unisex</t>
        </is>
      </c>
      <c r="F101" s="13" t="n">
        <v>180</v>
      </c>
      <c r="G101" s="13" t="n">
        <v>179.4</v>
      </c>
      <c r="H101" s="13" t="n">
        <v>125</v>
      </c>
      <c r="I101" s="13" t="n">
        <v>149</v>
      </c>
      <c r="J101" s="13" t="n">
        <v>138</v>
      </c>
      <c r="K101" s="13" t="n">
        <v>99</v>
      </c>
      <c r="L101" s="13" t="n">
        <v>120</v>
      </c>
      <c r="M101" s="13" t="n">
        <v>16.1</v>
      </c>
      <c r="N101" s="13" t="n">
        <v>2185</v>
      </c>
      <c r="O101" s="13" t="n">
        <v>0.92</v>
      </c>
      <c r="P101" s="13" t="n">
        <v>2019</v>
      </c>
      <c r="Q101" s="13" t="n">
        <v>191</v>
      </c>
      <c r="R101" s="13" t="n">
        <v>90</v>
      </c>
      <c r="S101" s="13" t="n">
        <v>61</v>
      </c>
      <c r="T101" s="13" t="n">
        <v>308</v>
      </c>
      <c r="U101" s="13" t="n">
        <v>40</v>
      </c>
      <c r="V101" s="13" t="n">
        <v>240</v>
      </c>
      <c r="W101" s="13" t="n">
        <v>0.648</v>
      </c>
      <c r="X101" s="13" t="n">
        <v>197</v>
      </c>
      <c r="Y101" s="13" t="n">
        <v>112</v>
      </c>
      <c r="Z101" s="13" t="n">
        <v>112</v>
      </c>
      <c r="AA101" s="13" t="n">
        <v>8</v>
      </c>
      <c r="AB101" s="13" t="n">
        <v>9.4</v>
      </c>
      <c r="AC101" s="11" t="inlineStr">
        <is>
          <t xml:space="preserve"> Resort Freeride</t>
        </is>
      </c>
      <c r="AD101" s="13" t="n"/>
      <c r="AE101" s="13" t="n"/>
      <c r="AF101" s="13" t="n"/>
      <c r="AG101" s="13" t="n"/>
    </row>
    <row r="102">
      <c r="A102" s="9" t="inlineStr">
        <is>
          <t>21/22</t>
        </is>
      </c>
      <c r="B102" s="10" t="inlineStr">
        <is>
          <t xml:space="preserve"> Armada</t>
        </is>
      </c>
      <c r="C102" s="11" t="inlineStr">
        <is>
          <t xml:space="preserve"> Tantrum</t>
        </is>
      </c>
      <c r="D102" s="13" t="n">
        <v>138</v>
      </c>
      <c r="E102" s="11" t="inlineStr">
        <is>
          <t xml:space="preserve"> Junior</t>
        </is>
      </c>
      <c r="F102" s="13" t="n">
        <v>138</v>
      </c>
      <c r="G102" s="13" t="n">
        <v>137</v>
      </c>
      <c r="H102" s="13" t="n">
        <v>91</v>
      </c>
      <c r="I102" s="13" t="n">
        <v>100</v>
      </c>
      <c r="J102" s="13" t="n">
        <v>124</v>
      </c>
      <c r="K102" s="13" t="n">
        <v>97</v>
      </c>
      <c r="L102" s="13" t="n">
        <v>114</v>
      </c>
      <c r="M102" s="13" t="n">
        <v>9.9</v>
      </c>
      <c r="N102" s="13" t="n">
        <v>1318</v>
      </c>
      <c r="O102" s="13" t="n">
        <v>1.11</v>
      </c>
      <c r="P102" s="13" t="n">
        <v>1457</v>
      </c>
      <c r="Q102" s="13" t="n">
        <v>124</v>
      </c>
      <c r="R102" s="13" t="n">
        <v>61</v>
      </c>
      <c r="S102" s="13" t="n">
        <v>47</v>
      </c>
      <c r="T102" s="13" t="n">
        <v>313</v>
      </c>
      <c r="U102" s="13" t="n">
        <v>31</v>
      </c>
      <c r="V102" s="13" t="n">
        <v>144</v>
      </c>
      <c r="W102" s="13" t="n">
        <v>0.668</v>
      </c>
      <c r="X102" s="13" t="n">
        <v>229</v>
      </c>
      <c r="Y102" s="13" t="n">
        <v>137</v>
      </c>
      <c r="Z102" s="13" t="n">
        <v>84</v>
      </c>
      <c r="AA102" s="13" t="n">
        <v>8</v>
      </c>
      <c r="AB102" s="13" t="n">
        <v>6.9</v>
      </c>
      <c r="AC102" s="11" t="inlineStr">
        <is>
          <t xml:space="preserve"> Resort Freeride</t>
        </is>
      </c>
      <c r="AD102" s="11" t="inlineStr">
        <is>
          <t xml:space="preserve"> Touring</t>
        </is>
      </c>
      <c r="AE102" s="13" t="n"/>
      <c r="AF102" s="13" t="n"/>
      <c r="AG102" s="13" t="n"/>
    </row>
    <row r="103">
      <c r="A103" s="9" t="inlineStr">
        <is>
          <t>21/22</t>
        </is>
      </c>
      <c r="B103" s="10" t="inlineStr">
        <is>
          <t xml:space="preserve"> Armada</t>
        </is>
      </c>
      <c r="C103" s="11" t="inlineStr">
        <is>
          <t xml:space="preserve"> Tantrum</t>
        </is>
      </c>
      <c r="D103" s="13" t="n">
        <v>147</v>
      </c>
      <c r="E103" s="11" t="inlineStr">
        <is>
          <t xml:space="preserve"> Junior</t>
        </is>
      </c>
      <c r="F103" s="13" t="n">
        <v>147</v>
      </c>
      <c r="G103" s="13" t="n">
        <v>146</v>
      </c>
      <c r="H103" s="13" t="n">
        <v>96</v>
      </c>
      <c r="I103" s="13" t="n">
        <v>106</v>
      </c>
      <c r="J103" s="13" t="n">
        <v>127</v>
      </c>
      <c r="K103" s="13" t="n">
        <v>98</v>
      </c>
      <c r="L103" s="13" t="n">
        <v>117</v>
      </c>
      <c r="M103" s="13" t="n">
        <v>10.1</v>
      </c>
      <c r="N103" s="13" t="n">
        <v>1409</v>
      </c>
      <c r="O103" s="13" t="n">
        <v>1.13</v>
      </c>
      <c r="P103" s="13" t="n">
        <v>1591</v>
      </c>
      <c r="Q103" s="13" t="n">
        <v>123</v>
      </c>
      <c r="R103" s="13" t="n">
        <v>71</v>
      </c>
      <c r="S103" s="13" t="n">
        <v>46</v>
      </c>
      <c r="T103" s="13" t="n">
        <v>349</v>
      </c>
      <c r="U103" s="13" t="n">
        <v>34</v>
      </c>
      <c r="V103" s="13" t="n">
        <v>152</v>
      </c>
      <c r="W103" s="13" t="n">
        <v>0.741</v>
      </c>
      <c r="X103" s="13" t="n">
        <v>262</v>
      </c>
      <c r="Y103" s="13" t="n">
        <v>135</v>
      </c>
      <c r="Z103" s="13" t="n">
        <v>87</v>
      </c>
      <c r="AA103" s="13" t="n">
        <v>8</v>
      </c>
      <c r="AB103" s="13" t="n">
        <v>8</v>
      </c>
      <c r="AC103" s="11" t="inlineStr">
        <is>
          <t xml:space="preserve"> Resort Freeride</t>
        </is>
      </c>
      <c r="AD103" s="11" t="inlineStr">
        <is>
          <t xml:space="preserve"> Touring</t>
        </is>
      </c>
      <c r="AE103" s="13" t="n"/>
      <c r="AF103" s="13" t="n"/>
      <c r="AG103" s="13" t="n"/>
    </row>
    <row r="104">
      <c r="A104" s="9" t="inlineStr">
        <is>
          <t>21/22</t>
        </is>
      </c>
      <c r="B104" s="10" t="inlineStr">
        <is>
          <t xml:space="preserve"> Armada</t>
        </is>
      </c>
      <c r="C104" s="11" t="inlineStr">
        <is>
          <t>Trace 108</t>
        </is>
      </c>
      <c r="D104" s="13" t="n">
        <v>164</v>
      </c>
      <c r="E104" s="11" t="inlineStr">
        <is>
          <t xml:space="preserve"> Women's</t>
        </is>
      </c>
      <c r="F104" s="13" t="n">
        <v>164</v>
      </c>
      <c r="G104" s="13" t="n">
        <v>163.5</v>
      </c>
      <c r="H104" s="13" t="n">
        <v>114</v>
      </c>
      <c r="I104" s="13" t="n">
        <v>132</v>
      </c>
      <c r="J104" s="13" t="n">
        <v>131</v>
      </c>
      <c r="K104" s="13" t="n">
        <v>107</v>
      </c>
      <c r="L104" s="13" t="n">
        <v>124</v>
      </c>
      <c r="M104" s="13" t="n">
        <v>17.4</v>
      </c>
      <c r="N104" s="13" t="n">
        <v>1466</v>
      </c>
      <c r="O104" s="13" t="n">
        <v>1.29</v>
      </c>
      <c r="P104" s="13" t="n">
        <v>1884</v>
      </c>
      <c r="Q104" s="13" t="n">
        <v>145</v>
      </c>
      <c r="R104" s="13" t="n">
        <v>82</v>
      </c>
      <c r="S104" s="13" t="n">
        <v>43</v>
      </c>
      <c r="T104" s="13" t="n">
        <v>336</v>
      </c>
      <c r="U104" s="13" t="n">
        <v>27</v>
      </c>
      <c r="V104" s="13" t="n">
        <v>162</v>
      </c>
      <c r="W104" s="13" t="n">
        <v>0.632</v>
      </c>
      <c r="X104" s="13" t="n">
        <v>180</v>
      </c>
      <c r="Y104" s="13" t="n">
        <v>132</v>
      </c>
      <c r="Z104" s="13" t="n">
        <v>157</v>
      </c>
      <c r="AA104" s="13" t="n">
        <v>6</v>
      </c>
      <c r="AB104" s="13" t="n">
        <v>10</v>
      </c>
      <c r="AC104" s="11" t="inlineStr">
        <is>
          <t xml:space="preserve"> Powder</t>
        </is>
      </c>
      <c r="AD104" s="11" t="inlineStr">
        <is>
          <t xml:space="preserve"> Touring</t>
        </is>
      </c>
      <c r="AE104" s="11" t="inlineStr">
        <is>
          <t xml:space="preserve"> Ultralight Touring</t>
        </is>
      </c>
      <c r="AF104" s="13" t="n"/>
      <c r="AG104" s="13" t="n"/>
    </row>
    <row r="105">
      <c r="A105" s="9" t="inlineStr">
        <is>
          <t>21/22</t>
        </is>
      </c>
      <c r="B105" s="10" t="inlineStr">
        <is>
          <t xml:space="preserve"> Armada</t>
        </is>
      </c>
      <c r="C105" s="11" t="inlineStr">
        <is>
          <t>Trace 108</t>
        </is>
      </c>
      <c r="D105" s="13" t="n">
        <v>172</v>
      </c>
      <c r="E105" s="11" t="inlineStr">
        <is>
          <t xml:space="preserve"> Women's</t>
        </is>
      </c>
      <c r="F105" s="13" t="n">
        <v>172</v>
      </c>
      <c r="G105" s="13" t="n">
        <v>171.3</v>
      </c>
      <c r="H105" s="13" t="n">
        <v>119</v>
      </c>
      <c r="I105" s="13" t="n">
        <v>136</v>
      </c>
      <c r="J105" s="13" t="n">
        <v>133</v>
      </c>
      <c r="K105" s="13" t="n">
        <v>107</v>
      </c>
      <c r="L105" s="13" t="n">
        <v>125</v>
      </c>
      <c r="M105" s="13" t="n">
        <v>18.1</v>
      </c>
      <c r="N105" s="13" t="n">
        <v>1596</v>
      </c>
      <c r="O105" s="13" t="n">
        <v>1.25</v>
      </c>
      <c r="P105" s="13" t="n">
        <v>1989</v>
      </c>
      <c r="Q105" s="13" t="n">
        <v>163</v>
      </c>
      <c r="R105" s="13" t="n">
        <v>93</v>
      </c>
      <c r="S105" s="13" t="n">
        <v>45</v>
      </c>
      <c r="T105" s="13" t="n">
        <v>355</v>
      </c>
      <c r="U105" s="13" t="n">
        <v>28</v>
      </c>
      <c r="V105" s="13" t="n">
        <v>167</v>
      </c>
      <c r="W105" s="13" t="n">
        <v>0.622</v>
      </c>
      <c r="X105" s="13" t="n">
        <v>208</v>
      </c>
      <c r="Y105" s="13" t="n">
        <v>143</v>
      </c>
      <c r="Z105" s="13" t="n">
        <v>147</v>
      </c>
      <c r="AA105" s="13" t="n">
        <v>5</v>
      </c>
      <c r="AB105" s="13" t="n">
        <v>9.800000000000001</v>
      </c>
      <c r="AC105" s="11" t="inlineStr">
        <is>
          <t xml:space="preserve"> Powder</t>
        </is>
      </c>
      <c r="AD105" s="11" t="inlineStr">
        <is>
          <t xml:space="preserve"> Touring</t>
        </is>
      </c>
      <c r="AE105" s="13" t="n"/>
      <c r="AF105" s="13" t="n"/>
      <c r="AG105" s="13" t="n"/>
    </row>
    <row r="106">
      <c r="A106" s="9" t="inlineStr">
        <is>
          <t>21/22</t>
        </is>
      </c>
      <c r="B106" s="10" t="inlineStr">
        <is>
          <t xml:space="preserve"> Armada</t>
        </is>
      </c>
      <c r="C106" s="11" t="inlineStr">
        <is>
          <t>Trace 88</t>
        </is>
      </c>
      <c r="D106" s="13" t="n">
        <v>152</v>
      </c>
      <c r="E106" s="11" t="inlineStr">
        <is>
          <t xml:space="preserve"> Women's</t>
        </is>
      </c>
      <c r="F106" s="13" t="n">
        <v>152</v>
      </c>
      <c r="G106" s="13" t="n">
        <v>151.3</v>
      </c>
      <c r="H106" s="13" t="n">
        <v>121</v>
      </c>
      <c r="I106" s="13" t="n">
        <v>128</v>
      </c>
      <c r="J106" s="13" t="n">
        <v>113</v>
      </c>
      <c r="K106" s="13" t="n">
        <v>87</v>
      </c>
      <c r="L106" s="13" t="n">
        <v>105</v>
      </c>
      <c r="M106" s="13" t="n">
        <v>18.9</v>
      </c>
      <c r="N106" s="13" t="n">
        <v>1062</v>
      </c>
      <c r="O106" s="13" t="n">
        <v>1.35</v>
      </c>
      <c r="P106" s="13" t="n">
        <v>1431</v>
      </c>
      <c r="Q106" s="13" t="n">
        <v>146</v>
      </c>
      <c r="R106" s="13" t="n">
        <v>58</v>
      </c>
      <c r="S106" s="13" t="n">
        <v>34</v>
      </c>
      <c r="T106" s="13" t="n">
        <v>184</v>
      </c>
      <c r="U106" s="13" t="n">
        <v>11</v>
      </c>
      <c r="V106" s="13" t="n">
        <v>118</v>
      </c>
      <c r="W106" s="13" t="n">
        <v>0.312</v>
      </c>
      <c r="X106" s="13" t="n">
        <v>147</v>
      </c>
      <c r="Y106" s="13" t="n">
        <v>87</v>
      </c>
      <c r="Z106" s="13" t="n">
        <v>37</v>
      </c>
      <c r="AA106" s="13" t="n">
        <v>3</v>
      </c>
      <c r="AB106" s="13" t="n">
        <v>6.8</v>
      </c>
      <c r="AC106" s="11" t="inlineStr">
        <is>
          <t xml:space="preserve"> Touring</t>
        </is>
      </c>
      <c r="AD106" s="11" t="inlineStr">
        <is>
          <t xml:space="preserve"> Ultralight Touring</t>
        </is>
      </c>
      <c r="AE106" s="13" t="n"/>
      <c r="AF106" s="13" t="n"/>
      <c r="AG106" s="13" t="n"/>
    </row>
    <row r="107">
      <c r="A107" s="9" t="inlineStr">
        <is>
          <t>21/22</t>
        </is>
      </c>
      <c r="B107" s="10" t="inlineStr">
        <is>
          <t xml:space="preserve"> Armada</t>
        </is>
      </c>
      <c r="C107" s="11" t="inlineStr">
        <is>
          <t>Trace 88</t>
        </is>
      </c>
      <c r="D107" s="13" t="n">
        <v>162</v>
      </c>
      <c r="E107" s="11" t="inlineStr">
        <is>
          <t xml:space="preserve"> Women's</t>
        </is>
      </c>
      <c r="F107" s="13" t="n">
        <v>162</v>
      </c>
      <c r="G107" s="13" t="n">
        <v>161.2</v>
      </c>
      <c r="H107" s="13" t="n">
        <v>130</v>
      </c>
      <c r="I107" s="13" t="n">
        <v>135</v>
      </c>
      <c r="J107" s="13" t="n">
        <v>114</v>
      </c>
      <c r="K107" s="13" t="n">
        <v>87</v>
      </c>
      <c r="L107" s="13" t="n">
        <v>106</v>
      </c>
      <c r="M107" s="13" t="n">
        <v>19.6</v>
      </c>
      <c r="N107" s="13" t="n">
        <v>1166</v>
      </c>
      <c r="O107" s="13" t="n">
        <v>1.32</v>
      </c>
      <c r="P107" s="13" t="n">
        <v>1535</v>
      </c>
      <c r="Q107" s="13" t="n">
        <v>173</v>
      </c>
      <c r="R107" s="13" t="n">
        <v>74</v>
      </c>
      <c r="S107" s="13" t="n">
        <v>38</v>
      </c>
      <c r="T107" s="13" t="n">
        <v>194</v>
      </c>
      <c r="U107" s="13" t="n">
        <v>11</v>
      </c>
      <c r="V107" s="13" t="n">
        <v>123</v>
      </c>
      <c r="W107" s="13" t="n">
        <v>0.298</v>
      </c>
      <c r="X107" s="13" t="n">
        <v>153</v>
      </c>
      <c r="Y107" s="13" t="n">
        <v>104</v>
      </c>
      <c r="Z107" s="13" t="n">
        <v>40</v>
      </c>
      <c r="AA107" s="13" t="n">
        <v>5</v>
      </c>
      <c r="AB107" s="13" t="n">
        <v>6.1</v>
      </c>
      <c r="AC107" s="11" t="inlineStr">
        <is>
          <t xml:space="preserve"> Touring</t>
        </is>
      </c>
      <c r="AD107" s="11" t="inlineStr">
        <is>
          <t xml:space="preserve"> Ultralight Touring</t>
        </is>
      </c>
      <c r="AE107" s="13" t="n"/>
      <c r="AF107" s="13" t="n"/>
      <c r="AG107" s="13" t="n"/>
    </row>
    <row r="108">
      <c r="A108" s="9" t="inlineStr">
        <is>
          <t>21/22</t>
        </is>
      </c>
      <c r="B108" s="10" t="inlineStr">
        <is>
          <t xml:space="preserve"> Armada</t>
        </is>
      </c>
      <c r="C108" s="11" t="inlineStr">
        <is>
          <t>Trace 88</t>
        </is>
      </c>
      <c r="D108" s="13" t="n">
        <v>172</v>
      </c>
      <c r="E108" s="11" t="inlineStr">
        <is>
          <t xml:space="preserve"> Women's</t>
        </is>
      </c>
      <c r="F108" s="13" t="n">
        <v>172</v>
      </c>
      <c r="G108" s="13" t="n">
        <v>171.2</v>
      </c>
      <c r="H108" s="13" t="n">
        <v>139</v>
      </c>
      <c r="I108" s="13" t="n">
        <v>144</v>
      </c>
      <c r="J108" s="13" t="n">
        <v>115</v>
      </c>
      <c r="K108" s="13" t="n">
        <v>87</v>
      </c>
      <c r="L108" s="13" t="n">
        <v>107</v>
      </c>
      <c r="M108" s="13" t="n">
        <v>20.4</v>
      </c>
      <c r="N108" s="13" t="n">
        <v>1246</v>
      </c>
      <c r="O108" s="13" t="n">
        <v>1.32</v>
      </c>
      <c r="P108" s="13" t="n">
        <v>1643</v>
      </c>
      <c r="Q108" s="13" t="n">
        <v>190</v>
      </c>
      <c r="R108" s="13" t="n">
        <v>84</v>
      </c>
      <c r="S108" s="13" t="n">
        <v>42</v>
      </c>
      <c r="T108" s="13" t="n">
        <v>205</v>
      </c>
      <c r="U108" s="13" t="n">
        <v>11</v>
      </c>
      <c r="V108" s="13" t="n">
        <v>121</v>
      </c>
      <c r="W108" s="13" t="n">
        <v>0.253</v>
      </c>
      <c r="X108" s="13" t="n">
        <v>166</v>
      </c>
      <c r="Y108" s="13" t="n">
        <v>106</v>
      </c>
      <c r="Z108" s="13" t="n">
        <v>39</v>
      </c>
      <c r="AA108" s="13" t="n">
        <v>4</v>
      </c>
      <c r="AB108" s="13" t="n">
        <v>7</v>
      </c>
      <c r="AC108" s="11" t="inlineStr">
        <is>
          <t xml:space="preserve"> Touring</t>
        </is>
      </c>
      <c r="AD108" s="11" t="inlineStr">
        <is>
          <t xml:space="preserve"> Ultralight Touring</t>
        </is>
      </c>
      <c r="AE108" s="13" t="n"/>
      <c r="AF108" s="13" t="n"/>
      <c r="AG108" s="13" t="n"/>
    </row>
    <row r="109">
      <c r="A109" s="9" t="inlineStr">
        <is>
          <t>21/22</t>
        </is>
      </c>
      <c r="B109" s="10" t="inlineStr">
        <is>
          <t xml:space="preserve"> Armada</t>
        </is>
      </c>
      <c r="C109" s="11" t="inlineStr">
        <is>
          <t>Trace 98</t>
        </is>
      </c>
      <c r="D109" s="13" t="n">
        <v>156</v>
      </c>
      <c r="E109" s="11" t="inlineStr">
        <is>
          <t xml:space="preserve"> Women's</t>
        </is>
      </c>
      <c r="F109" s="13" t="n">
        <v>156</v>
      </c>
      <c r="G109" s="13" t="n">
        <v>155.7</v>
      </c>
      <c r="H109" s="13" t="n">
        <v>116</v>
      </c>
      <c r="I109" s="13" t="n">
        <v>129</v>
      </c>
      <c r="J109" s="13" t="n">
        <v>124</v>
      </c>
      <c r="K109" s="13" t="n">
        <v>97</v>
      </c>
      <c r="L109" s="13" t="n">
        <v>117</v>
      </c>
      <c r="M109" s="13" t="n">
        <v>16.2</v>
      </c>
      <c r="N109" s="13" t="n">
        <v>1337</v>
      </c>
      <c r="O109" s="13" t="n">
        <v>1.23</v>
      </c>
      <c r="P109" s="13" t="n">
        <v>1645</v>
      </c>
      <c r="Q109" s="13" t="n">
        <v>133</v>
      </c>
      <c r="R109" s="13" t="n">
        <v>78</v>
      </c>
      <c r="S109" s="13" t="n">
        <v>37</v>
      </c>
      <c r="T109" s="13" t="n">
        <v>240</v>
      </c>
      <c r="U109" s="13" t="n">
        <v>16</v>
      </c>
      <c r="V109" s="13" t="n">
        <v>153</v>
      </c>
      <c r="W109" s="13" t="n">
        <v>0.432</v>
      </c>
      <c r="X109" s="13" t="n">
        <v>165</v>
      </c>
      <c r="Y109" s="13" t="n">
        <v>103</v>
      </c>
      <c r="Z109" s="13" t="n">
        <v>74</v>
      </c>
      <c r="AA109" s="13" t="n">
        <v>5</v>
      </c>
      <c r="AB109" s="13" t="n">
        <v>9</v>
      </c>
      <c r="AC109" s="11" t="inlineStr">
        <is>
          <t xml:space="preserve"> Resort Freeride</t>
        </is>
      </c>
      <c r="AD109" s="11" t="inlineStr">
        <is>
          <t xml:space="preserve"> Touring</t>
        </is>
      </c>
      <c r="AE109" s="13" t="n"/>
      <c r="AF109" s="13" t="n"/>
      <c r="AG109" s="13" t="n"/>
    </row>
    <row r="110">
      <c r="A110" s="9" t="inlineStr">
        <is>
          <t>21/22</t>
        </is>
      </c>
      <c r="B110" s="10" t="inlineStr">
        <is>
          <t xml:space="preserve"> Armada</t>
        </is>
      </c>
      <c r="C110" s="11" t="inlineStr">
        <is>
          <t>Trace 98</t>
        </is>
      </c>
      <c r="D110" s="13" t="n">
        <v>164</v>
      </c>
      <c r="E110" s="11" t="inlineStr">
        <is>
          <t xml:space="preserve"> Women's</t>
        </is>
      </c>
      <c r="F110" s="13" t="n">
        <v>164</v>
      </c>
      <c r="G110" s="13" t="n">
        <v>163.7</v>
      </c>
      <c r="H110" s="13" t="n">
        <v>125</v>
      </c>
      <c r="I110" s="13" t="n">
        <v>136</v>
      </c>
      <c r="J110" s="13" t="n">
        <v>126</v>
      </c>
      <c r="K110" s="13" t="n">
        <v>97</v>
      </c>
      <c r="L110" s="13" t="n">
        <v>119</v>
      </c>
      <c r="M110" s="13" t="n">
        <v>16.7</v>
      </c>
      <c r="N110" s="13" t="n">
        <v>1433</v>
      </c>
      <c r="O110" s="13" t="n">
        <v>1.22</v>
      </c>
      <c r="P110" s="13" t="n">
        <v>1745</v>
      </c>
      <c r="Q110" s="13" t="n">
        <v>143</v>
      </c>
      <c r="R110" s="13" t="n">
        <v>88</v>
      </c>
      <c r="S110" s="13" t="n">
        <v>37</v>
      </c>
      <c r="T110" s="13" t="n">
        <v>233</v>
      </c>
      <c r="U110" s="13" t="n">
        <v>17</v>
      </c>
      <c r="V110" s="13" t="n">
        <v>155</v>
      </c>
      <c r="W110" s="13" t="n">
        <v>0.457</v>
      </c>
      <c r="X110" s="13" t="n">
        <v>177</v>
      </c>
      <c r="Y110" s="13" t="n">
        <v>102</v>
      </c>
      <c r="Z110" s="13" t="n">
        <v>57</v>
      </c>
      <c r="AA110" s="13" t="n">
        <v>7</v>
      </c>
      <c r="AB110" s="13" t="n">
        <v>9.5</v>
      </c>
      <c r="AC110" s="11" t="inlineStr">
        <is>
          <t xml:space="preserve"> Resort Freeride</t>
        </is>
      </c>
      <c r="AD110" s="11" t="inlineStr">
        <is>
          <t xml:space="preserve"> Touring</t>
        </is>
      </c>
      <c r="AE110" s="13" t="n"/>
      <c r="AF110" s="13" t="n"/>
      <c r="AG110" s="13" t="n"/>
    </row>
    <row r="111">
      <c r="A111" s="9" t="inlineStr">
        <is>
          <t>21/22</t>
        </is>
      </c>
      <c r="B111" s="10" t="inlineStr">
        <is>
          <t xml:space="preserve"> Armada</t>
        </is>
      </c>
      <c r="C111" s="11" t="inlineStr">
        <is>
          <t>Trace 98</t>
        </is>
      </c>
      <c r="D111" s="13" t="n">
        <v>172</v>
      </c>
      <c r="E111" s="11" t="inlineStr">
        <is>
          <t xml:space="preserve"> Women's</t>
        </is>
      </c>
      <c r="F111" s="13" t="n">
        <v>172</v>
      </c>
      <c r="G111" s="13" t="n">
        <v>171.6</v>
      </c>
      <c r="H111" s="13" t="n">
        <v>130</v>
      </c>
      <c r="I111" s="13" t="n">
        <v>144</v>
      </c>
      <c r="J111" s="13" t="n">
        <v>128</v>
      </c>
      <c r="K111" s="13" t="n">
        <v>97</v>
      </c>
      <c r="L111" s="13" t="n">
        <v>120</v>
      </c>
      <c r="M111" s="13" t="n">
        <v>17.4</v>
      </c>
      <c r="N111" s="13" t="n">
        <v>1520</v>
      </c>
      <c r="O111" s="13" t="n">
        <v>1.21</v>
      </c>
      <c r="P111" s="13" t="n">
        <v>1843</v>
      </c>
      <c r="Q111" s="13" t="n">
        <v>175</v>
      </c>
      <c r="R111" s="13" t="n">
        <v>98</v>
      </c>
      <c r="S111" s="13" t="n">
        <v>43</v>
      </c>
      <c r="T111" s="13" t="n">
        <v>256</v>
      </c>
      <c r="U111" s="13" t="n">
        <v>18</v>
      </c>
      <c r="V111" s="13" t="n">
        <v>158</v>
      </c>
      <c r="W111" s="13" t="n">
        <v>0.407</v>
      </c>
      <c r="X111" s="13" t="n">
        <v>171</v>
      </c>
      <c r="Y111" s="13" t="n">
        <v>104</v>
      </c>
      <c r="Z111" s="13" t="n">
        <v>85</v>
      </c>
      <c r="AA111" s="13" t="n">
        <v>5</v>
      </c>
      <c r="AB111" s="13" t="n">
        <v>9.5</v>
      </c>
      <c r="AC111" s="11" t="inlineStr">
        <is>
          <t xml:space="preserve"> Resort Freeride</t>
        </is>
      </c>
      <c r="AD111" s="11" t="inlineStr">
        <is>
          <t xml:space="preserve"> Touring</t>
        </is>
      </c>
      <c r="AE111" s="13" t="n"/>
      <c r="AF111" s="13" t="n"/>
      <c r="AG111" s="13" t="n"/>
    </row>
    <row r="112">
      <c r="A112" s="9" t="inlineStr">
        <is>
          <t>21/22</t>
        </is>
      </c>
      <c r="B112" s="10" t="inlineStr">
        <is>
          <t xml:space="preserve"> Armada</t>
        </is>
      </c>
      <c r="C112" s="11" t="inlineStr">
        <is>
          <t>Tracer 108</t>
        </is>
      </c>
      <c r="D112" s="13" t="n">
        <v>164</v>
      </c>
      <c r="E112" s="11" t="inlineStr">
        <is>
          <t xml:space="preserve"> Unisex</t>
        </is>
      </c>
      <c r="F112" s="13" t="n">
        <v>164</v>
      </c>
      <c r="G112" s="13" t="n">
        <v>163.2</v>
      </c>
      <c r="H112" s="13" t="n">
        <v>112</v>
      </c>
      <c r="I112" s="13" t="n">
        <v>132</v>
      </c>
      <c r="J112" s="13" t="n">
        <v>130</v>
      </c>
      <c r="K112" s="13" t="n">
        <v>107</v>
      </c>
      <c r="L112" s="13" t="n">
        <v>124</v>
      </c>
      <c r="M112" s="13" t="n">
        <v>17.6</v>
      </c>
      <c r="N112" s="13" t="n">
        <v>1465</v>
      </c>
      <c r="O112" s="13" t="n">
        <v>1.28</v>
      </c>
      <c r="P112" s="13" t="n">
        <v>1880</v>
      </c>
      <c r="Q112" s="13" t="n">
        <v>133</v>
      </c>
      <c r="R112" s="13" t="n">
        <v>90</v>
      </c>
      <c r="S112" s="13" t="n">
        <v>49</v>
      </c>
      <c r="T112" s="13" t="n">
        <v>348</v>
      </c>
      <c r="U112" s="13" t="n">
        <v>29</v>
      </c>
      <c r="V112" s="13" t="n">
        <v>165</v>
      </c>
      <c r="W112" s="13" t="n">
        <v>0.581</v>
      </c>
      <c r="X112" s="13" t="n">
        <v>167</v>
      </c>
      <c r="Y112" s="13" t="n">
        <v>147</v>
      </c>
      <c r="Z112" s="13" t="n">
        <v>181</v>
      </c>
      <c r="AA112" s="13" t="n">
        <v>5</v>
      </c>
      <c r="AB112" s="13" t="n">
        <v>9.6</v>
      </c>
      <c r="AC112" s="11" t="inlineStr">
        <is>
          <t xml:space="preserve"> Powder</t>
        </is>
      </c>
      <c r="AD112" s="11" t="inlineStr">
        <is>
          <t xml:space="preserve"> Touring</t>
        </is>
      </c>
      <c r="AE112" s="11" t="inlineStr">
        <is>
          <t xml:space="preserve"> Ultralight Touring</t>
        </is>
      </c>
      <c r="AF112" s="13" t="n"/>
      <c r="AG112" s="13" t="n"/>
    </row>
    <row r="113">
      <c r="A113" s="9" t="inlineStr">
        <is>
          <t>21/22</t>
        </is>
      </c>
      <c r="B113" s="10" t="inlineStr">
        <is>
          <t xml:space="preserve"> Armada</t>
        </is>
      </c>
      <c r="C113" s="11" t="inlineStr">
        <is>
          <t>Tracer 108</t>
        </is>
      </c>
      <c r="D113" s="13" t="n">
        <v>172</v>
      </c>
      <c r="E113" s="11" t="inlineStr">
        <is>
          <t xml:space="preserve"> Unisex</t>
        </is>
      </c>
      <c r="F113" s="13" t="n">
        <v>172</v>
      </c>
      <c r="G113" s="13" t="n">
        <v>171.3</v>
      </c>
      <c r="H113" s="13" t="n">
        <v>118</v>
      </c>
      <c r="I113" s="13" t="n">
        <v>135</v>
      </c>
      <c r="J113" s="13" t="n">
        <v>133</v>
      </c>
      <c r="K113" s="13" t="n">
        <v>107</v>
      </c>
      <c r="L113" s="13" t="n">
        <v>125</v>
      </c>
      <c r="M113" s="13" t="n">
        <v>17.7</v>
      </c>
      <c r="N113" s="13" t="n">
        <v>1625</v>
      </c>
      <c r="O113" s="13" t="n">
        <v>1.23</v>
      </c>
      <c r="P113" s="13" t="n">
        <v>1991</v>
      </c>
      <c r="Q113" s="13" t="n">
        <v>166</v>
      </c>
      <c r="R113" s="13" t="n">
        <v>92</v>
      </c>
      <c r="S113" s="13" t="n">
        <v>47</v>
      </c>
      <c r="T113" s="13" t="n">
        <v>371</v>
      </c>
      <c r="U113" s="13" t="n">
        <v>28</v>
      </c>
      <c r="V113" s="13" t="n">
        <v>162</v>
      </c>
      <c r="W113" s="13" t="n">
        <v>0.591</v>
      </c>
      <c r="X113" s="13" t="n">
        <v>212</v>
      </c>
      <c r="Y113" s="13" t="n">
        <v>150</v>
      </c>
      <c r="Z113" s="13" t="n">
        <v>159</v>
      </c>
      <c r="AA113" s="13" t="n">
        <v>5</v>
      </c>
      <c r="AB113" s="13" t="n">
        <v>10.2</v>
      </c>
      <c r="AC113" s="11" t="inlineStr">
        <is>
          <t xml:space="preserve"> Powder</t>
        </is>
      </c>
      <c r="AD113" s="11" t="inlineStr">
        <is>
          <t xml:space="preserve"> Touring</t>
        </is>
      </c>
      <c r="AE113" s="13" t="n"/>
      <c r="AF113" s="13" t="n"/>
      <c r="AG113" s="13" t="n"/>
    </row>
    <row r="114">
      <c r="A114" s="9" t="inlineStr">
        <is>
          <t>21/22</t>
        </is>
      </c>
      <c r="B114" s="10" t="inlineStr">
        <is>
          <t xml:space="preserve"> Armada</t>
        </is>
      </c>
      <c r="C114" s="11" t="inlineStr">
        <is>
          <t>Tracer 108</t>
        </is>
      </c>
      <c r="D114" s="13" t="n">
        <v>180</v>
      </c>
      <c r="E114" s="11" t="inlineStr">
        <is>
          <t xml:space="preserve"> Unisex</t>
        </is>
      </c>
      <c r="F114" s="13" t="n">
        <v>180</v>
      </c>
      <c r="G114" s="13" t="n">
        <v>179.4</v>
      </c>
      <c r="H114" s="13" t="n">
        <v>125</v>
      </c>
      <c r="I114" s="13" t="n">
        <v>139</v>
      </c>
      <c r="J114" s="13" t="n">
        <v>133</v>
      </c>
      <c r="K114" s="13" t="n">
        <v>107</v>
      </c>
      <c r="L114" s="13" t="n">
        <v>125</v>
      </c>
      <c r="M114" s="13" t="n">
        <v>19.2</v>
      </c>
      <c r="N114" s="13" t="n">
        <v>1712</v>
      </c>
      <c r="O114" s="13" t="n">
        <v>1.22</v>
      </c>
      <c r="P114" s="13" t="n">
        <v>2087</v>
      </c>
      <c r="Q114" s="13" t="n">
        <v>204</v>
      </c>
      <c r="R114" s="13" t="n">
        <v>111</v>
      </c>
      <c r="S114" s="13" t="n">
        <v>44</v>
      </c>
      <c r="T114" s="13" t="n">
        <v>388</v>
      </c>
      <c r="U114" s="13" t="n">
        <v>27</v>
      </c>
      <c r="V114" s="13" t="n">
        <v>159</v>
      </c>
      <c r="W114" s="13" t="n">
        <v>0.609</v>
      </c>
      <c r="X114" s="13" t="n">
        <v>236</v>
      </c>
      <c r="Y114" s="13" t="n">
        <v>164</v>
      </c>
      <c r="Z114" s="13" t="n">
        <v>152</v>
      </c>
      <c r="AA114" s="13" t="n">
        <v>5</v>
      </c>
      <c r="AB114" s="13" t="n">
        <v>9.5</v>
      </c>
      <c r="AC114" s="11" t="inlineStr">
        <is>
          <t xml:space="preserve"> Powder</t>
        </is>
      </c>
      <c r="AD114" s="11" t="inlineStr">
        <is>
          <t xml:space="preserve"> Touring</t>
        </is>
      </c>
      <c r="AE114" s="13" t="n"/>
      <c r="AF114" s="13" t="n"/>
      <c r="AG114" s="13" t="n"/>
    </row>
    <row r="115">
      <c r="A115" s="9" t="inlineStr">
        <is>
          <t>21/22</t>
        </is>
      </c>
      <c r="B115" s="10" t="inlineStr">
        <is>
          <t xml:space="preserve"> Armada</t>
        </is>
      </c>
      <c r="C115" s="11" t="inlineStr">
        <is>
          <t>Tracer 108</t>
        </is>
      </c>
      <c r="D115" s="13" t="n">
        <v>188</v>
      </c>
      <c r="E115" s="11" t="inlineStr">
        <is>
          <t xml:space="preserve"> Unisex</t>
        </is>
      </c>
      <c r="F115" s="13" t="n">
        <v>188</v>
      </c>
      <c r="G115" s="13" t="n">
        <v>187.3</v>
      </c>
      <c r="H115" s="13" t="n">
        <v>128</v>
      </c>
      <c r="I115" s="13" t="n">
        <v>149</v>
      </c>
      <c r="J115" s="13" t="n">
        <v>134</v>
      </c>
      <c r="K115" s="13" t="n">
        <v>107</v>
      </c>
      <c r="L115" s="13" t="n">
        <v>125</v>
      </c>
      <c r="M115" s="13" t="n">
        <v>20.7</v>
      </c>
      <c r="N115" s="13" t="n">
        <v>1799</v>
      </c>
      <c r="O115" s="13" t="n">
        <v>1.21</v>
      </c>
      <c r="P115" s="13" t="n">
        <v>2185</v>
      </c>
      <c r="Q115" s="13" t="n">
        <v>210</v>
      </c>
      <c r="R115" s="13" t="n">
        <v>122</v>
      </c>
      <c r="S115" s="13" t="n">
        <v>49</v>
      </c>
      <c r="T115" s="13" t="n">
        <v>426</v>
      </c>
      <c r="U115" s="13" t="n">
        <v>28</v>
      </c>
      <c r="V115" s="13" t="n">
        <v>169</v>
      </c>
      <c r="W115" s="13" t="n">
        <v>0.58</v>
      </c>
      <c r="X115" s="13" t="n">
        <v>211</v>
      </c>
      <c r="Y115" s="13" t="n">
        <v>170</v>
      </c>
      <c r="Z115" s="13" t="n">
        <v>215</v>
      </c>
      <c r="AA115" s="13" t="n">
        <v>4</v>
      </c>
      <c r="AB115" s="13" t="n">
        <v>10.8</v>
      </c>
      <c r="AC115" s="11" t="inlineStr">
        <is>
          <t xml:space="preserve"> Powder</t>
        </is>
      </c>
      <c r="AD115" s="11" t="inlineStr">
        <is>
          <t xml:space="preserve"> Touring</t>
        </is>
      </c>
      <c r="AE115" s="13" t="n"/>
      <c r="AF115" s="13" t="n"/>
      <c r="AG115" s="13" t="n"/>
    </row>
    <row r="116">
      <c r="A116" s="9" t="inlineStr">
        <is>
          <t>21/22</t>
        </is>
      </c>
      <c r="B116" s="10" t="inlineStr">
        <is>
          <t xml:space="preserve"> Armada</t>
        </is>
      </c>
      <c r="C116" s="11" t="inlineStr">
        <is>
          <t>Tracer 88</t>
        </is>
      </c>
      <c r="D116" s="13" t="n">
        <v>172</v>
      </c>
      <c r="E116" s="11" t="inlineStr">
        <is>
          <t xml:space="preserve"> Unisex</t>
        </is>
      </c>
      <c r="F116" s="13" t="n">
        <v>172</v>
      </c>
      <c r="G116" s="13" t="n">
        <v>171.2</v>
      </c>
      <c r="H116" s="13" t="n">
        <v>139</v>
      </c>
      <c r="I116" s="13" t="n">
        <v>143</v>
      </c>
      <c r="J116" s="13" t="n">
        <v>115</v>
      </c>
      <c r="K116" s="13" t="n">
        <v>87</v>
      </c>
      <c r="L116" s="13" t="n">
        <v>107</v>
      </c>
      <c r="M116" s="13" t="n">
        <v>20.6</v>
      </c>
      <c r="N116" s="13" t="n">
        <v>1228</v>
      </c>
      <c r="O116" s="13" t="n">
        <v>1.34</v>
      </c>
      <c r="P116" s="13" t="n">
        <v>1641</v>
      </c>
      <c r="Q116" s="13" t="n">
        <v>192</v>
      </c>
      <c r="R116" s="13" t="n">
        <v>76</v>
      </c>
      <c r="S116" s="13" t="n">
        <v>41</v>
      </c>
      <c r="T116" s="13" t="n">
        <v>199</v>
      </c>
      <c r="U116" s="13" t="n">
        <v>11</v>
      </c>
      <c r="V116" s="13" t="n">
        <v>121</v>
      </c>
      <c r="W116" s="13" t="n">
        <v>0.279</v>
      </c>
      <c r="X116" s="13" t="n">
        <v>169</v>
      </c>
      <c r="Y116" s="13" t="n">
        <v>109</v>
      </c>
      <c r="Z116" s="13" t="n">
        <v>30</v>
      </c>
      <c r="AA116" s="13" t="n">
        <v>6</v>
      </c>
      <c r="AB116" s="13" t="n">
        <v>7.3</v>
      </c>
      <c r="AC116" s="11" t="inlineStr">
        <is>
          <t xml:space="preserve"> Touring</t>
        </is>
      </c>
      <c r="AD116" s="11" t="inlineStr">
        <is>
          <t xml:space="preserve"> Ultralight Touring</t>
        </is>
      </c>
      <c r="AE116" s="13" t="n"/>
      <c r="AF116" s="13" t="n"/>
      <c r="AG116" s="13" t="n"/>
    </row>
    <row r="117">
      <c r="A117" s="9" t="inlineStr">
        <is>
          <t>21/22</t>
        </is>
      </c>
      <c r="B117" s="10" t="inlineStr">
        <is>
          <t xml:space="preserve"> Armada</t>
        </is>
      </c>
      <c r="C117" s="11" t="inlineStr">
        <is>
          <t>Tracer 88</t>
        </is>
      </c>
      <c r="D117" s="13" t="n">
        <v>182</v>
      </c>
      <c r="E117" s="11" t="inlineStr">
        <is>
          <t xml:space="preserve"> Unisex</t>
        </is>
      </c>
      <c r="F117" s="13" t="n">
        <v>182</v>
      </c>
      <c r="G117" s="13" t="n">
        <v>181.2</v>
      </c>
      <c r="H117" s="13" t="n">
        <v>146</v>
      </c>
      <c r="I117" s="13" t="n">
        <v>151</v>
      </c>
      <c r="J117" s="13" t="n">
        <v>116</v>
      </c>
      <c r="K117" s="13" t="n">
        <v>87</v>
      </c>
      <c r="L117" s="13" t="n">
        <v>108</v>
      </c>
      <c r="M117" s="13" t="n">
        <v>21.7</v>
      </c>
      <c r="N117" s="13" t="n">
        <v>1329</v>
      </c>
      <c r="O117" s="13" t="n">
        <v>1.31</v>
      </c>
      <c r="P117" s="13" t="n">
        <v>1745</v>
      </c>
      <c r="Q117" s="13" t="n">
        <v>226</v>
      </c>
      <c r="R117" s="13" t="n">
        <v>96</v>
      </c>
      <c r="S117" s="13" t="n">
        <v>41</v>
      </c>
      <c r="T117" s="13" t="n">
        <v>215</v>
      </c>
      <c r="U117" s="13" t="n">
        <v>11</v>
      </c>
      <c r="V117" s="13" t="n">
        <v>134</v>
      </c>
      <c r="W117" s="13" t="n">
        <v>0.267</v>
      </c>
      <c r="X117" s="13" t="n">
        <v>186</v>
      </c>
      <c r="Y117" s="13" t="n">
        <v>115</v>
      </c>
      <c r="Z117" s="13" t="n">
        <v>29</v>
      </c>
      <c r="AA117" s="13" t="n">
        <v>5</v>
      </c>
      <c r="AB117" s="13" t="n">
        <v>8.300000000000001</v>
      </c>
      <c r="AC117" s="11" t="inlineStr">
        <is>
          <t xml:space="preserve"> Touring</t>
        </is>
      </c>
      <c r="AD117" s="11" t="inlineStr">
        <is>
          <t xml:space="preserve"> Ultralight Touring</t>
        </is>
      </c>
      <c r="AE117" s="13" t="n"/>
      <c r="AF117" s="13" t="n"/>
      <c r="AG117" s="13" t="n"/>
    </row>
    <row r="118">
      <c r="A118" s="9" t="inlineStr">
        <is>
          <t>21/22</t>
        </is>
      </c>
      <c r="B118" s="10" t="inlineStr">
        <is>
          <t xml:space="preserve"> Armada</t>
        </is>
      </c>
      <c r="C118" s="11" t="inlineStr">
        <is>
          <t>Tracer 98</t>
        </is>
      </c>
      <c r="D118" s="13" t="n">
        <v>164</v>
      </c>
      <c r="E118" s="11" t="inlineStr">
        <is>
          <t xml:space="preserve"> Unisex</t>
        </is>
      </c>
      <c r="F118" s="13" t="n">
        <v>164</v>
      </c>
      <c r="G118" s="13" t="n">
        <v>163.7</v>
      </c>
      <c r="H118" s="13" t="n">
        <v>125</v>
      </c>
      <c r="I118" s="13" t="n">
        <v>137</v>
      </c>
      <c r="J118" s="13" t="n">
        <v>126</v>
      </c>
      <c r="K118" s="13" t="n">
        <v>97</v>
      </c>
      <c r="L118" s="13" t="n">
        <v>119</v>
      </c>
      <c r="M118" s="13" t="n">
        <v>16.8</v>
      </c>
      <c r="N118" s="13" t="n">
        <v>1419</v>
      </c>
      <c r="O118" s="13" t="n">
        <v>1.23</v>
      </c>
      <c r="P118" s="13" t="n">
        <v>1749</v>
      </c>
      <c r="Q118" s="13" t="n">
        <v>139</v>
      </c>
      <c r="R118" s="13" t="n">
        <v>85</v>
      </c>
      <c r="S118" s="13" t="n">
        <v>37</v>
      </c>
      <c r="T118" s="13" t="n">
        <v>237</v>
      </c>
      <c r="U118" s="13" t="n">
        <v>16</v>
      </c>
      <c r="V118" s="13" t="n">
        <v>146</v>
      </c>
      <c r="W118" s="13" t="n">
        <v>0.422</v>
      </c>
      <c r="X118" s="13" t="n">
        <v>172</v>
      </c>
      <c r="Y118" s="13" t="n">
        <v>99</v>
      </c>
      <c r="Z118" s="13" t="n">
        <v>65</v>
      </c>
      <c r="AA118" s="13" t="n">
        <v>8</v>
      </c>
      <c r="AB118" s="13" t="n">
        <v>9.300000000000001</v>
      </c>
      <c r="AC118" s="11" t="inlineStr">
        <is>
          <t xml:space="preserve"> Resort Freeride</t>
        </is>
      </c>
      <c r="AD118" s="11" t="inlineStr">
        <is>
          <t xml:space="preserve"> Touring</t>
        </is>
      </c>
      <c r="AE118" s="13" t="n"/>
      <c r="AF118" s="13" t="n"/>
      <c r="AG118" s="13" t="n"/>
    </row>
    <row r="119">
      <c r="A119" s="9" t="inlineStr">
        <is>
          <t>21/22</t>
        </is>
      </c>
      <c r="B119" s="10" t="inlineStr">
        <is>
          <t xml:space="preserve"> Armada</t>
        </is>
      </c>
      <c r="C119" s="11" t="inlineStr">
        <is>
          <t>Tracer 98</t>
        </is>
      </c>
      <c r="D119" s="13" t="n">
        <v>172</v>
      </c>
      <c r="E119" s="11" t="inlineStr">
        <is>
          <t xml:space="preserve"> Unisex</t>
        </is>
      </c>
      <c r="F119" s="13" t="n">
        <v>172</v>
      </c>
      <c r="G119" s="13" t="n">
        <v>171.5</v>
      </c>
      <c r="H119" s="13" t="n">
        <v>132</v>
      </c>
      <c r="I119" s="13" t="n">
        <v>143</v>
      </c>
      <c r="J119" s="13" t="n">
        <v>129</v>
      </c>
      <c r="K119" s="13" t="n">
        <v>97</v>
      </c>
      <c r="L119" s="13" t="n">
        <v>120</v>
      </c>
      <c r="M119" s="13" t="n">
        <v>17.3</v>
      </c>
      <c r="N119" s="13" t="n">
        <v>1497</v>
      </c>
      <c r="O119" s="13" t="n">
        <v>1.23</v>
      </c>
      <c r="P119" s="13" t="n">
        <v>1844</v>
      </c>
      <c r="Q119" s="13" t="n">
        <v>163</v>
      </c>
      <c r="R119" s="13" t="n">
        <v>102</v>
      </c>
      <c r="S119" s="13" t="n">
        <v>41</v>
      </c>
      <c r="T119" s="13" t="n">
        <v>250</v>
      </c>
      <c r="U119" s="13" t="n">
        <v>15</v>
      </c>
      <c r="V119" s="13" t="n">
        <v>145</v>
      </c>
      <c r="W119" s="13" t="n">
        <v>0.369</v>
      </c>
      <c r="X119" s="13" t="n">
        <v>171</v>
      </c>
      <c r="Y119" s="13" t="n">
        <v>112</v>
      </c>
      <c r="Z119" s="13" t="n">
        <v>79</v>
      </c>
      <c r="AA119" s="13" t="n">
        <v>6</v>
      </c>
      <c r="AB119" s="13" t="n">
        <v>10</v>
      </c>
      <c r="AC119" s="11" t="inlineStr">
        <is>
          <t xml:space="preserve"> Resort Freeride</t>
        </is>
      </c>
      <c r="AD119" s="11" t="inlineStr">
        <is>
          <t xml:space="preserve"> Touring</t>
        </is>
      </c>
      <c r="AE119" s="13" t="n"/>
      <c r="AF119" s="13" t="n"/>
      <c r="AG119" s="13" t="n"/>
    </row>
    <row r="120">
      <c r="A120" s="9" t="inlineStr">
        <is>
          <t>21/22</t>
        </is>
      </c>
      <c r="B120" s="10" t="inlineStr">
        <is>
          <t xml:space="preserve"> Armada</t>
        </is>
      </c>
      <c r="C120" s="11" t="inlineStr">
        <is>
          <t>Tracer 98</t>
        </is>
      </c>
      <c r="D120" s="13" t="n">
        <v>180</v>
      </c>
      <c r="E120" s="11" t="inlineStr">
        <is>
          <t xml:space="preserve"> Unisex</t>
        </is>
      </c>
      <c r="F120" s="13" t="n">
        <v>180</v>
      </c>
      <c r="G120" s="13" t="n">
        <v>179.4</v>
      </c>
      <c r="H120" s="13" t="n">
        <v>136</v>
      </c>
      <c r="I120" s="13" t="n">
        <v>151</v>
      </c>
      <c r="J120" s="13" t="n">
        <v>131</v>
      </c>
      <c r="K120" s="13" t="n">
        <v>97</v>
      </c>
      <c r="L120" s="13" t="n">
        <v>122</v>
      </c>
      <c r="M120" s="13" t="n">
        <v>17.9</v>
      </c>
      <c r="N120" s="13" t="n">
        <v>1601</v>
      </c>
      <c r="O120" s="13" t="n">
        <v>1.21</v>
      </c>
      <c r="P120" s="13" t="n">
        <v>1945</v>
      </c>
      <c r="Q120" s="13" t="n">
        <v>200</v>
      </c>
      <c r="R120" s="13" t="n">
        <v>108</v>
      </c>
      <c r="S120" s="13" t="n">
        <v>46</v>
      </c>
      <c r="T120" s="13" t="n">
        <v>260</v>
      </c>
      <c r="U120" s="13" t="n">
        <v>19</v>
      </c>
      <c r="V120" s="13" t="n">
        <v>169</v>
      </c>
      <c r="W120" s="13" t="n">
        <v>0.423</v>
      </c>
      <c r="X120" s="13" t="n">
        <v>174</v>
      </c>
      <c r="Y120" s="13" t="n">
        <v>109</v>
      </c>
      <c r="Z120" s="13" t="n">
        <v>86</v>
      </c>
      <c r="AA120" s="13" t="n">
        <v>5</v>
      </c>
      <c r="AB120" s="13" t="n">
        <v>10.3</v>
      </c>
      <c r="AC120" s="11" t="inlineStr">
        <is>
          <t xml:space="preserve"> Resort Freeride</t>
        </is>
      </c>
      <c r="AD120" s="11" t="inlineStr">
        <is>
          <t xml:space="preserve"> Touring</t>
        </is>
      </c>
      <c r="AE120" s="13" t="n"/>
      <c r="AF120" s="13" t="n"/>
      <c r="AG120" s="13" t="n"/>
    </row>
    <row r="121">
      <c r="A121" s="9" t="inlineStr">
        <is>
          <t>21/22</t>
        </is>
      </c>
      <c r="B121" s="10" t="inlineStr">
        <is>
          <t xml:space="preserve"> Armada</t>
        </is>
      </c>
      <c r="C121" s="11" t="inlineStr">
        <is>
          <t>Tracer 98</t>
        </is>
      </c>
      <c r="D121" s="13" t="n">
        <v>188</v>
      </c>
      <c r="E121" s="11" t="inlineStr">
        <is>
          <t xml:space="preserve"> Unisex</t>
        </is>
      </c>
      <c r="F121" s="13" t="n">
        <v>188</v>
      </c>
      <c r="G121" s="13" t="n">
        <v>187.8</v>
      </c>
      <c r="H121" s="13" t="n">
        <v>145</v>
      </c>
      <c r="I121" s="13" t="n">
        <v>159</v>
      </c>
      <c r="J121" s="13" t="n">
        <v>131</v>
      </c>
      <c r="K121" s="13" t="n">
        <v>97</v>
      </c>
      <c r="L121" s="13" t="n">
        <v>122</v>
      </c>
      <c r="M121" s="13" t="n">
        <v>18.9</v>
      </c>
      <c r="N121" s="13" t="n">
        <v>1700</v>
      </c>
      <c r="O121" s="13" t="n">
        <v>1.2</v>
      </c>
      <c r="P121" s="13" t="n">
        <v>2046</v>
      </c>
      <c r="Q121" s="13" t="n">
        <v>193</v>
      </c>
      <c r="R121" s="13" t="n">
        <v>127</v>
      </c>
      <c r="S121" s="13" t="n">
        <v>50</v>
      </c>
      <c r="T121" s="13" t="n">
        <v>272</v>
      </c>
      <c r="U121" s="13" t="n">
        <v>18</v>
      </c>
      <c r="V121" s="13" t="n">
        <v>161</v>
      </c>
      <c r="W121" s="13" t="n">
        <v>0.365</v>
      </c>
      <c r="X121" s="13" t="n">
        <v>177</v>
      </c>
      <c r="Y121" s="13" t="n">
        <v>112</v>
      </c>
      <c r="Z121" s="13" t="n">
        <v>95</v>
      </c>
      <c r="AA121" s="13" t="n">
        <v>8</v>
      </c>
      <c r="AB121" s="13" t="n">
        <v>9.800000000000001</v>
      </c>
      <c r="AC121" s="11" t="inlineStr">
        <is>
          <t xml:space="preserve"> Resort Freeride</t>
        </is>
      </c>
      <c r="AD121" s="11" t="inlineStr">
        <is>
          <t xml:space="preserve"> Touring</t>
        </is>
      </c>
      <c r="AE121" s="13" t="n"/>
      <c r="AF121" s="13" t="n"/>
      <c r="AG121" s="13" t="n"/>
    </row>
    <row r="122">
      <c r="A122" s="9" t="inlineStr">
        <is>
          <t>21/22</t>
        </is>
      </c>
      <c r="B122" s="10" t="inlineStr">
        <is>
          <t xml:space="preserve"> Armada</t>
        </is>
      </c>
      <c r="C122" s="11" t="inlineStr">
        <is>
          <t xml:space="preserve"> Whitewalker</t>
        </is>
      </c>
      <c r="D122" s="13" t="n">
        <v>185</v>
      </c>
      <c r="E122" s="11" t="inlineStr">
        <is>
          <t xml:space="preserve"> Unisex</t>
        </is>
      </c>
      <c r="F122" s="13" t="n">
        <v>185</v>
      </c>
      <c r="G122" s="13" t="n">
        <v>183.2</v>
      </c>
      <c r="H122" s="13" t="n">
        <v>113</v>
      </c>
      <c r="I122" s="13" t="n">
        <v>133</v>
      </c>
      <c r="J122" s="13" t="n">
        <v>138</v>
      </c>
      <c r="K122" s="13" t="n">
        <v>115</v>
      </c>
      <c r="L122" s="13" t="n">
        <v>134</v>
      </c>
      <c r="M122" s="13" t="n">
        <v>18.2</v>
      </c>
      <c r="N122" s="13" t="n">
        <v>1891</v>
      </c>
      <c r="O122" s="13" t="n">
        <v>1.19</v>
      </c>
      <c r="P122" s="13" t="n">
        <v>2242</v>
      </c>
      <c r="Q122" s="13" t="n">
        <v>278</v>
      </c>
      <c r="R122" s="13" t="n">
        <v>144</v>
      </c>
      <c r="S122" s="13" t="n">
        <v>64</v>
      </c>
      <c r="T122" s="13" t="n">
        <v>362</v>
      </c>
      <c r="U122" s="13" t="n">
        <v>61</v>
      </c>
      <c r="V122" s="13" t="n">
        <v>338</v>
      </c>
      <c r="W122" s="13" t="n">
        <v>0.957</v>
      </c>
      <c r="X122" s="13" t="n">
        <v>256</v>
      </c>
      <c r="Y122" s="13" t="n">
        <v>248</v>
      </c>
      <c r="Z122" s="13" t="n">
        <v>106</v>
      </c>
      <c r="AA122" s="13" t="n">
        <v>4</v>
      </c>
      <c r="AB122" s="13" t="n">
        <v>5.7</v>
      </c>
      <c r="AC122" s="11" t="inlineStr">
        <is>
          <t xml:space="preserve"> Freeski</t>
        </is>
      </c>
      <c r="AD122" s="11" t="inlineStr">
        <is>
          <t xml:space="preserve"> Powder</t>
        </is>
      </c>
      <c r="AE122" s="11" t="inlineStr">
        <is>
          <t xml:space="preserve"> Touring</t>
        </is>
      </c>
      <c r="AF122" s="13" t="n"/>
      <c r="AG122" s="13" t="n"/>
    </row>
    <row r="123">
      <c r="A123" s="9" t="inlineStr">
        <is>
          <t>21/22</t>
        </is>
      </c>
      <c r="B123" s="10" t="inlineStr">
        <is>
          <t xml:space="preserve"> Armada</t>
        </is>
      </c>
      <c r="C123" s="11" t="inlineStr">
        <is>
          <t xml:space="preserve"> Whitewalker</t>
        </is>
      </c>
      <c r="D123" s="13" t="n">
        <v>192</v>
      </c>
      <c r="E123" s="11" t="inlineStr">
        <is>
          <t xml:space="preserve"> Unisex</t>
        </is>
      </c>
      <c r="F123" s="13" t="n">
        <v>192</v>
      </c>
      <c r="G123" s="13" t="n">
        <v>190.1</v>
      </c>
      <c r="H123" s="13" t="n">
        <v>122</v>
      </c>
      <c r="I123" s="13" t="n">
        <v>141</v>
      </c>
      <c r="J123" s="13" t="n">
        <v>139</v>
      </c>
      <c r="K123" s="13" t="n">
        <v>115</v>
      </c>
      <c r="L123" s="13" t="n">
        <v>135</v>
      </c>
      <c r="M123" s="13" t="n">
        <v>19.3</v>
      </c>
      <c r="N123" s="13" t="n">
        <v>1981</v>
      </c>
      <c r="O123" s="13" t="n">
        <v>1.18</v>
      </c>
      <c r="P123" s="13" t="n">
        <v>2337</v>
      </c>
      <c r="Q123" s="13" t="n">
        <v>281</v>
      </c>
      <c r="R123" s="13" t="n">
        <v>152</v>
      </c>
      <c r="S123" s="13" t="n">
        <v>57</v>
      </c>
      <c r="T123" s="13" t="n">
        <v>350</v>
      </c>
      <c r="U123" s="13" t="n">
        <v>55</v>
      </c>
      <c r="V123" s="13" t="n">
        <v>329</v>
      </c>
      <c r="W123" s="13" t="n">
        <v>0.956</v>
      </c>
      <c r="X123" s="13" t="n">
        <v>258</v>
      </c>
      <c r="Y123" s="13" t="n">
        <v>229</v>
      </c>
      <c r="Z123" s="13" t="n">
        <v>92</v>
      </c>
      <c r="AA123" s="13" t="n">
        <v>5</v>
      </c>
      <c r="AB123" s="13" t="n">
        <v>7.6</v>
      </c>
      <c r="AC123" s="11" t="inlineStr">
        <is>
          <t xml:space="preserve"> Freeski</t>
        </is>
      </c>
      <c r="AD123" s="11" t="inlineStr">
        <is>
          <t xml:space="preserve"> Powder</t>
        </is>
      </c>
      <c r="AE123" s="11" t="inlineStr">
        <is>
          <t xml:space="preserve"> Touring</t>
        </is>
      </c>
      <c r="AF123" s="13" t="n"/>
      <c r="AG123" s="13" t="n"/>
    </row>
    <row r="124">
      <c r="A124" s="9" t="inlineStr">
        <is>
          <t>21/22</t>
        </is>
      </c>
      <c r="B124" s="10" t="inlineStr">
        <is>
          <t xml:space="preserve"> Atomic</t>
        </is>
      </c>
      <c r="C124" s="11" t="inlineStr">
        <is>
          <t>Backland 100</t>
        </is>
      </c>
      <c r="D124" s="13" t="n">
        <v>164</v>
      </c>
      <c r="E124" s="11" t="inlineStr">
        <is>
          <t xml:space="preserve"> Unisex</t>
        </is>
      </c>
      <c r="F124" s="13" t="n">
        <v>164</v>
      </c>
      <c r="G124" s="13" t="n">
        <v>163</v>
      </c>
      <c r="H124" s="13" t="n">
        <v>108</v>
      </c>
      <c r="I124" s="13" t="n">
        <v>129</v>
      </c>
      <c r="J124" s="13" t="n">
        <v>126</v>
      </c>
      <c r="K124" s="13" t="n">
        <v>97</v>
      </c>
      <c r="L124" s="13" t="n">
        <v>117</v>
      </c>
      <c r="M124" s="13" t="n">
        <v>15</v>
      </c>
      <c r="N124" s="13" t="n">
        <v>1182</v>
      </c>
      <c r="O124" s="13" t="n">
        <v>1.46</v>
      </c>
      <c r="P124" s="13" t="n">
        <v>1728</v>
      </c>
      <c r="Q124" s="13" t="n">
        <v>160</v>
      </c>
      <c r="R124" s="13" t="n">
        <v>69</v>
      </c>
      <c r="S124" s="13" t="n">
        <v>56</v>
      </c>
      <c r="T124" s="13" t="n">
        <v>329</v>
      </c>
      <c r="U124" s="13" t="n">
        <v>16</v>
      </c>
      <c r="V124" s="13" t="n">
        <v>223</v>
      </c>
      <c r="W124" s="13" t="n">
        <v>0.28</v>
      </c>
      <c r="X124" s="13" t="n">
        <v>173</v>
      </c>
      <c r="Y124" s="13" t="n">
        <v>165</v>
      </c>
      <c r="Z124" s="13" t="n">
        <v>156</v>
      </c>
      <c r="AA124" s="13" t="n">
        <v>3</v>
      </c>
      <c r="AB124" s="13" t="n">
        <v>8.300000000000001</v>
      </c>
      <c r="AC124" s="11" t="inlineStr">
        <is>
          <t xml:space="preserve"> Touring</t>
        </is>
      </c>
      <c r="AD124" s="11" t="inlineStr">
        <is>
          <t xml:space="preserve"> Ultralight Touring</t>
        </is>
      </c>
      <c r="AE124" s="13" t="n"/>
      <c r="AF124" s="13" t="n"/>
      <c r="AG124" s="13" t="n"/>
    </row>
    <row r="125">
      <c r="A125" s="9" t="inlineStr">
        <is>
          <t>21/22</t>
        </is>
      </c>
      <c r="B125" s="10" t="inlineStr">
        <is>
          <t xml:space="preserve"> Atomic</t>
        </is>
      </c>
      <c r="C125" s="11" t="inlineStr">
        <is>
          <t>Backland 100</t>
        </is>
      </c>
      <c r="D125" s="13" t="n">
        <v>172</v>
      </c>
      <c r="E125" s="11" t="inlineStr">
        <is>
          <t xml:space="preserve"> Unisex</t>
        </is>
      </c>
      <c r="F125" s="13" t="n">
        <v>172</v>
      </c>
      <c r="G125" s="13" t="n">
        <v>171.1</v>
      </c>
      <c r="H125" s="13" t="n">
        <v>123</v>
      </c>
      <c r="I125" s="13" t="n">
        <v>138</v>
      </c>
      <c r="J125" s="13" t="n">
        <v>127</v>
      </c>
      <c r="K125" s="13" t="n">
        <v>98</v>
      </c>
      <c r="L125" s="13" t="n">
        <v>117</v>
      </c>
      <c r="M125" s="13" t="n">
        <v>17.5</v>
      </c>
      <c r="N125" s="13" t="n">
        <v>1227</v>
      </c>
      <c r="O125" s="13" t="n">
        <v>1.49</v>
      </c>
      <c r="P125" s="13" t="n">
        <v>1825</v>
      </c>
      <c r="Q125" s="13" t="n">
        <v>161</v>
      </c>
      <c r="R125" s="13" t="n">
        <v>88</v>
      </c>
      <c r="S125" s="13" t="n">
        <v>53</v>
      </c>
      <c r="T125" s="13" t="n">
        <v>291</v>
      </c>
      <c r="U125" s="13" t="n">
        <v>14</v>
      </c>
      <c r="V125" s="13" t="n">
        <v>191</v>
      </c>
      <c r="W125" s="13" t="n">
        <v>0.272</v>
      </c>
      <c r="X125" s="13" t="n">
        <v>172</v>
      </c>
      <c r="Y125" s="13" t="n">
        <v>163</v>
      </c>
      <c r="Z125" s="13" t="n">
        <v>120</v>
      </c>
      <c r="AA125" s="13" t="n">
        <v>5</v>
      </c>
      <c r="AB125" s="13" t="n">
        <v>7.9</v>
      </c>
      <c r="AC125" s="11" t="inlineStr">
        <is>
          <t xml:space="preserve"> Touring</t>
        </is>
      </c>
      <c r="AD125" s="11" t="inlineStr">
        <is>
          <t xml:space="preserve"> Ultralight Touring</t>
        </is>
      </c>
      <c r="AE125" s="13" t="n"/>
      <c r="AF125" s="13" t="n"/>
      <c r="AG125" s="13" t="n"/>
    </row>
    <row r="126">
      <c r="A126" s="9" t="inlineStr">
        <is>
          <t>21/22</t>
        </is>
      </c>
      <c r="B126" s="10" t="inlineStr">
        <is>
          <t xml:space="preserve"> Atomic</t>
        </is>
      </c>
      <c r="C126" s="11" t="inlineStr">
        <is>
          <t>Backland 100</t>
        </is>
      </c>
      <c r="D126" s="13" t="n">
        <v>180</v>
      </c>
      <c r="E126" s="11" t="inlineStr">
        <is>
          <t xml:space="preserve"> Unisex</t>
        </is>
      </c>
      <c r="F126" s="13" t="n">
        <v>180</v>
      </c>
      <c r="G126" s="13" t="n">
        <v>178.3</v>
      </c>
      <c r="H126" s="13" t="n">
        <v>129</v>
      </c>
      <c r="I126" s="13" t="n">
        <v>144</v>
      </c>
      <c r="J126" s="13" t="n">
        <v>129</v>
      </c>
      <c r="K126" s="13" t="n">
        <v>99</v>
      </c>
      <c r="L126" s="13" t="n">
        <v>119</v>
      </c>
      <c r="M126" s="13" t="n">
        <v>19.3</v>
      </c>
      <c r="N126" s="13" t="n">
        <v>1344</v>
      </c>
      <c r="O126" s="13" t="n">
        <v>1.44</v>
      </c>
      <c r="P126" s="13" t="n">
        <v>1931</v>
      </c>
      <c r="Q126" s="13" t="n">
        <v>190</v>
      </c>
      <c r="R126" s="13" t="n">
        <v>88</v>
      </c>
      <c r="S126" s="13" t="n">
        <v>53</v>
      </c>
      <c r="T126" s="13" t="n">
        <v>284</v>
      </c>
      <c r="U126" s="13" t="n">
        <v>16</v>
      </c>
      <c r="V126" s="13" t="n">
        <v>208</v>
      </c>
      <c r="W126" s="13" t="n">
        <v>0.306</v>
      </c>
      <c r="X126" s="13" t="n">
        <v>177</v>
      </c>
      <c r="Y126" s="13" t="n">
        <v>167</v>
      </c>
      <c r="Z126" s="13" t="n">
        <v>107</v>
      </c>
      <c r="AA126" s="13" t="n">
        <v>4</v>
      </c>
      <c r="AB126" s="13" t="n">
        <v>8.5</v>
      </c>
      <c r="AC126" s="11" t="inlineStr">
        <is>
          <t xml:space="preserve"> Touring</t>
        </is>
      </c>
      <c r="AD126" s="11" t="inlineStr">
        <is>
          <t xml:space="preserve"> Ultralight Touring</t>
        </is>
      </c>
      <c r="AE126" s="13" t="n"/>
      <c r="AF126" s="13" t="n"/>
      <c r="AG126" s="13" t="n"/>
    </row>
    <row r="127">
      <c r="A127" s="9" t="inlineStr">
        <is>
          <t>21/22</t>
        </is>
      </c>
      <c r="B127" s="10" t="inlineStr">
        <is>
          <t xml:space="preserve"> Atomic</t>
        </is>
      </c>
      <c r="C127" s="11" t="inlineStr">
        <is>
          <t>Backland 100</t>
        </is>
      </c>
      <c r="D127" s="13" t="n">
        <v>188</v>
      </c>
      <c r="E127" s="11" t="inlineStr">
        <is>
          <t xml:space="preserve"> Unisex</t>
        </is>
      </c>
      <c r="F127" s="13" t="n">
        <v>188</v>
      </c>
      <c r="G127" s="13" t="n">
        <v>186.7</v>
      </c>
      <c r="H127" s="13" t="n">
        <v>140</v>
      </c>
      <c r="I127" s="13" t="n">
        <v>150</v>
      </c>
      <c r="J127" s="13" t="n">
        <v>129</v>
      </c>
      <c r="K127" s="13" t="n">
        <v>100</v>
      </c>
      <c r="L127" s="13" t="n">
        <v>120</v>
      </c>
      <c r="M127" s="13" t="n">
        <v>21.5</v>
      </c>
      <c r="N127" s="13" t="n">
        <v>1435</v>
      </c>
      <c r="O127" s="13" t="n">
        <v>1.4</v>
      </c>
      <c r="P127" s="13" t="n">
        <v>2009</v>
      </c>
      <c r="Q127" s="13" t="n">
        <v>217</v>
      </c>
      <c r="R127" s="13" t="n">
        <v>112</v>
      </c>
      <c r="S127" s="13" t="n">
        <v>54</v>
      </c>
      <c r="T127" s="13" t="n">
        <v>286</v>
      </c>
      <c r="U127" s="13" t="n">
        <v>14</v>
      </c>
      <c r="V127" s="13" t="n">
        <v>180</v>
      </c>
      <c r="W127" s="13" t="n">
        <v>0.251</v>
      </c>
      <c r="X127" s="13" t="n">
        <v>195</v>
      </c>
      <c r="Y127" s="13" t="n">
        <v>169</v>
      </c>
      <c r="Z127" s="13" t="n">
        <v>90</v>
      </c>
      <c r="AA127" s="13" t="n">
        <v>7</v>
      </c>
      <c r="AB127" s="13" t="n">
        <v>9</v>
      </c>
      <c r="AC127" s="11" t="inlineStr">
        <is>
          <t xml:space="preserve"> Touring</t>
        </is>
      </c>
      <c r="AD127" s="11" t="inlineStr">
        <is>
          <t xml:space="preserve"> Ultralight Touring</t>
        </is>
      </c>
      <c r="AE127" s="13" t="n"/>
      <c r="AF127" s="13" t="n"/>
      <c r="AG127" s="13" t="n"/>
    </row>
    <row r="128">
      <c r="A128" s="9" t="inlineStr">
        <is>
          <t>21/22</t>
        </is>
      </c>
      <c r="B128" s="10" t="inlineStr">
        <is>
          <t xml:space="preserve"> Atomic</t>
        </is>
      </c>
      <c r="C128" s="11" t="inlineStr">
        <is>
          <t>Backland 107</t>
        </is>
      </c>
      <c r="D128" s="13" t="n">
        <v>175</v>
      </c>
      <c r="E128" s="11" t="inlineStr">
        <is>
          <t xml:space="preserve"> Unisex</t>
        </is>
      </c>
      <c r="F128" s="13" t="n">
        <v>175</v>
      </c>
      <c r="G128" s="13" t="n">
        <v>174.5</v>
      </c>
      <c r="H128" s="13" t="n">
        <v>114</v>
      </c>
      <c r="I128" s="13" t="n">
        <v>134</v>
      </c>
      <c r="J128" s="13" t="n">
        <v>135</v>
      </c>
      <c r="K128" s="13" t="n">
        <v>107</v>
      </c>
      <c r="L128" s="13" t="n">
        <v>122</v>
      </c>
      <c r="M128" s="13" t="n">
        <v>18.1</v>
      </c>
      <c r="N128" s="13" t="n">
        <v>1508</v>
      </c>
      <c r="O128" s="13" t="n">
        <v>1.33</v>
      </c>
      <c r="P128" s="13" t="n">
        <v>2013</v>
      </c>
      <c r="Q128" s="13" t="n">
        <v>178</v>
      </c>
      <c r="R128" s="13" t="n">
        <v>89</v>
      </c>
      <c r="S128" s="13" t="n">
        <v>51</v>
      </c>
      <c r="T128" s="13" t="n">
        <v>367</v>
      </c>
      <c r="U128" s="13" t="n">
        <v>16</v>
      </c>
      <c r="V128" s="13" t="n">
        <v>234</v>
      </c>
      <c r="W128" s="13" t="n">
        <v>0.32</v>
      </c>
      <c r="X128" s="13" t="n">
        <v>225</v>
      </c>
      <c r="Y128" s="13" t="n">
        <v>185</v>
      </c>
      <c r="Z128" s="13" t="n">
        <v>143</v>
      </c>
      <c r="AA128" s="13" t="n">
        <v>4</v>
      </c>
      <c r="AB128" s="13" t="n">
        <v>9.699999999999999</v>
      </c>
      <c r="AC128" s="11" t="inlineStr">
        <is>
          <t xml:space="preserve"> Big Mountain</t>
        </is>
      </c>
      <c r="AD128" s="11" t="inlineStr">
        <is>
          <t xml:space="preserve"> Touring</t>
        </is>
      </c>
      <c r="AE128" s="11" t="inlineStr">
        <is>
          <t xml:space="preserve"> Ultralight Touring</t>
        </is>
      </c>
      <c r="AF128" s="13" t="n"/>
      <c r="AG128" s="13" t="n"/>
    </row>
    <row r="129">
      <c r="A129" s="9" t="inlineStr">
        <is>
          <t>21/22</t>
        </is>
      </c>
      <c r="B129" s="10" t="inlineStr">
        <is>
          <t xml:space="preserve"> Atomic</t>
        </is>
      </c>
      <c r="C129" s="11" t="inlineStr">
        <is>
          <t>Backland 107</t>
        </is>
      </c>
      <c r="D129" s="13" t="n">
        <v>182</v>
      </c>
      <c r="E129" s="11" t="inlineStr">
        <is>
          <t xml:space="preserve"> Unisex</t>
        </is>
      </c>
      <c r="F129" s="13" t="n">
        <v>182</v>
      </c>
      <c r="G129" s="13" t="n">
        <v>181.2</v>
      </c>
      <c r="H129" s="13" t="n">
        <v>121</v>
      </c>
      <c r="I129" s="13" t="n">
        <v>143</v>
      </c>
      <c r="J129" s="13" t="n">
        <v>136</v>
      </c>
      <c r="K129" s="13" t="n">
        <v>107</v>
      </c>
      <c r="L129" s="13" t="n">
        <v>123</v>
      </c>
      <c r="M129" s="13" t="n">
        <v>19.2</v>
      </c>
      <c r="N129" s="13" t="n">
        <v>1649</v>
      </c>
      <c r="O129" s="13" t="n">
        <v>1.27</v>
      </c>
      <c r="P129" s="13" t="n">
        <v>2094</v>
      </c>
      <c r="Q129" s="13" t="n">
        <v>190</v>
      </c>
      <c r="R129" s="13" t="n">
        <v>102</v>
      </c>
      <c r="S129" s="13" t="n">
        <v>47</v>
      </c>
      <c r="T129" s="13" t="n">
        <v>373</v>
      </c>
      <c r="U129" s="13" t="n">
        <v>16</v>
      </c>
      <c r="V129" s="13" t="n">
        <v>230</v>
      </c>
      <c r="W129" s="13" t="n">
        <v>0.347</v>
      </c>
      <c r="X129" s="13" t="n">
        <v>214</v>
      </c>
      <c r="Y129" s="13" t="n">
        <v>170</v>
      </c>
      <c r="Z129" s="13" t="n">
        <v>160</v>
      </c>
      <c r="AA129" s="13" t="n">
        <v>7</v>
      </c>
      <c r="AB129" s="13" t="n">
        <v>9.800000000000001</v>
      </c>
      <c r="AC129" s="11" t="inlineStr">
        <is>
          <t xml:space="preserve"> Big Mountain</t>
        </is>
      </c>
      <c r="AD129" s="11" t="inlineStr">
        <is>
          <t xml:space="preserve"> Touring</t>
        </is>
      </c>
      <c r="AE129" s="11" t="inlineStr">
        <is>
          <t xml:space="preserve"> Ultralight Touring</t>
        </is>
      </c>
      <c r="AF129" s="13" t="n"/>
      <c r="AG129" s="13" t="n"/>
    </row>
    <row r="130">
      <c r="A130" s="9" t="inlineStr">
        <is>
          <t>21/22</t>
        </is>
      </c>
      <c r="B130" s="10" t="inlineStr">
        <is>
          <t xml:space="preserve"> Atomic</t>
        </is>
      </c>
      <c r="C130" s="11" t="inlineStr">
        <is>
          <t>Backland 107 W</t>
        </is>
      </c>
      <c r="D130" s="13" t="n">
        <v>159</v>
      </c>
      <c r="E130" s="11" t="inlineStr">
        <is>
          <t xml:space="preserve"> Unisex</t>
        </is>
      </c>
      <c r="F130" s="13" t="n">
        <v>159</v>
      </c>
      <c r="G130" s="13" t="n">
        <v>158.7</v>
      </c>
      <c r="H130" s="13" t="n">
        <v>102</v>
      </c>
      <c r="I130" s="13" t="n">
        <v>121</v>
      </c>
      <c r="J130" s="13" t="n">
        <v>133</v>
      </c>
      <c r="K130" s="13" t="n">
        <v>107</v>
      </c>
      <c r="L130" s="13" t="n">
        <v>120</v>
      </c>
      <c r="M130" s="13" t="n">
        <v>15.4</v>
      </c>
      <c r="N130" s="13" t="n">
        <v>1350</v>
      </c>
      <c r="O130" s="13" t="n">
        <v>1.34</v>
      </c>
      <c r="P130" s="13" t="n">
        <v>1816</v>
      </c>
      <c r="Q130" s="13" t="n">
        <v>139</v>
      </c>
      <c r="R130" s="13" t="n">
        <v>74</v>
      </c>
      <c r="S130" s="13" t="n">
        <v>46</v>
      </c>
      <c r="T130" s="13" t="n">
        <v>354</v>
      </c>
      <c r="U130" s="13" t="n">
        <v>13</v>
      </c>
      <c r="V130" s="13" t="n">
        <v>213</v>
      </c>
      <c r="W130" s="13" t="n">
        <v>0.288</v>
      </c>
      <c r="X130" s="13" t="n">
        <v>207</v>
      </c>
      <c r="Y130" s="13" t="n">
        <v>171</v>
      </c>
      <c r="Z130" s="13" t="n">
        <v>147</v>
      </c>
      <c r="AA130" s="13" t="n">
        <v>5</v>
      </c>
      <c r="AB130" s="13" t="n">
        <v>9.5</v>
      </c>
      <c r="AC130" s="11" t="inlineStr">
        <is>
          <t xml:space="preserve"> Big Mountain</t>
        </is>
      </c>
      <c r="AD130" s="11" t="inlineStr">
        <is>
          <t xml:space="preserve"> Touring</t>
        </is>
      </c>
      <c r="AE130" s="11" t="inlineStr">
        <is>
          <t xml:space="preserve"> Ultralight Touring</t>
        </is>
      </c>
      <c r="AF130" s="13" t="n"/>
      <c r="AG130" s="13" t="n"/>
    </row>
    <row r="131">
      <c r="A131" s="9" t="inlineStr">
        <is>
          <t>21/22</t>
        </is>
      </c>
      <c r="B131" s="10" t="inlineStr">
        <is>
          <t xml:space="preserve"> Atomic</t>
        </is>
      </c>
      <c r="C131" s="11" t="inlineStr">
        <is>
          <t>Backland 107 W</t>
        </is>
      </c>
      <c r="D131" s="13" t="n">
        <v>167</v>
      </c>
      <c r="E131" s="11" t="inlineStr">
        <is>
          <t xml:space="preserve"> Unisex</t>
        </is>
      </c>
      <c r="F131" s="13" t="n">
        <v>167</v>
      </c>
      <c r="G131" s="13" t="n">
        <v>166.7</v>
      </c>
      <c r="H131" s="13" t="n">
        <v>106</v>
      </c>
      <c r="I131" s="13" t="n">
        <v>127</v>
      </c>
      <c r="J131" s="13" t="n">
        <v>134</v>
      </c>
      <c r="K131" s="13" t="n">
        <v>107</v>
      </c>
      <c r="L131" s="13" t="n">
        <v>121</v>
      </c>
      <c r="M131" s="13" t="n">
        <v>16.5</v>
      </c>
      <c r="N131" s="13" t="n">
        <v>1470</v>
      </c>
      <c r="O131" s="13" t="n">
        <v>1.31</v>
      </c>
      <c r="P131" s="13" t="n">
        <v>1921</v>
      </c>
      <c r="Q131" s="13" t="n">
        <v>156</v>
      </c>
      <c r="R131" s="13" t="n">
        <v>76</v>
      </c>
      <c r="S131" s="13" t="n">
        <v>46</v>
      </c>
      <c r="T131" s="13" t="n">
        <v>380</v>
      </c>
      <c r="U131" s="13" t="n">
        <v>14</v>
      </c>
      <c r="V131" s="13" t="n">
        <v>225</v>
      </c>
      <c r="W131" s="13" t="n">
        <v>0.306</v>
      </c>
      <c r="X131" s="13" t="n">
        <v>228</v>
      </c>
      <c r="Y131" s="13" t="n">
        <v>166</v>
      </c>
      <c r="Z131" s="13" t="n">
        <v>151</v>
      </c>
      <c r="AA131" s="13" t="n">
        <v>5</v>
      </c>
      <c r="AB131" s="13" t="n">
        <v>9.699999999999999</v>
      </c>
      <c r="AC131" s="11" t="inlineStr">
        <is>
          <t xml:space="preserve"> Big Mountain</t>
        </is>
      </c>
      <c r="AD131" s="11" t="inlineStr">
        <is>
          <t xml:space="preserve"> Touring</t>
        </is>
      </c>
      <c r="AE131" s="11" t="inlineStr">
        <is>
          <t xml:space="preserve"> Ultralight Touring</t>
        </is>
      </c>
      <c r="AF131" s="13" t="n"/>
      <c r="AG131" s="13" t="n"/>
    </row>
    <row r="132">
      <c r="A132" s="9" t="inlineStr">
        <is>
          <t>21/22</t>
        </is>
      </c>
      <c r="B132" s="10" t="inlineStr">
        <is>
          <t xml:space="preserve"> Atomic</t>
        </is>
      </c>
      <c r="C132" s="11" t="inlineStr">
        <is>
          <t>Backland 86 SL</t>
        </is>
      </c>
      <c r="D132" s="13" t="n">
        <v>158</v>
      </c>
      <c r="E132" s="11" t="inlineStr">
        <is>
          <t xml:space="preserve"> Unisex</t>
        </is>
      </c>
      <c r="F132" s="13" t="n">
        <v>158</v>
      </c>
      <c r="G132" s="13" t="n">
        <v>157.1</v>
      </c>
      <c r="H132" s="13" t="n">
        <v>118</v>
      </c>
      <c r="I132" s="13" t="n">
        <v>130</v>
      </c>
      <c r="J132" s="13" t="n">
        <v>115</v>
      </c>
      <c r="K132" s="13" t="n">
        <v>86</v>
      </c>
      <c r="L132" s="13" t="n">
        <v>103</v>
      </c>
      <c r="M132" s="13" t="n">
        <v>15.4</v>
      </c>
      <c r="N132" s="13" t="n">
        <v>1116</v>
      </c>
      <c r="O132" s="13" t="n">
        <v>1.34</v>
      </c>
      <c r="P132" s="13" t="n">
        <v>1490</v>
      </c>
      <c r="Q132" s="13" t="n">
        <v>150</v>
      </c>
      <c r="R132" s="13" t="n">
        <v>68</v>
      </c>
      <c r="S132" s="13" t="n">
        <v>52</v>
      </c>
      <c r="T132" s="13" t="n">
        <v>247</v>
      </c>
      <c r="U132" s="13" t="n">
        <v>11</v>
      </c>
      <c r="V132" s="13" t="n">
        <v>144</v>
      </c>
      <c r="W132" s="13" t="n">
        <v>0.216</v>
      </c>
      <c r="X132" s="13" t="n">
        <v>156</v>
      </c>
      <c r="Y132" s="13" t="n">
        <v>117</v>
      </c>
      <c r="Z132" s="13" t="n">
        <v>91</v>
      </c>
      <c r="AA132" s="13" t="n">
        <v>4</v>
      </c>
      <c r="AB132" s="13" t="n">
        <v>12.4</v>
      </c>
      <c r="AC132" s="11" t="inlineStr">
        <is>
          <t xml:space="preserve"> Touring</t>
        </is>
      </c>
      <c r="AD132" s="11" t="inlineStr">
        <is>
          <t xml:space="preserve"> Ultralight Touring</t>
        </is>
      </c>
      <c r="AE132" s="13" t="n"/>
      <c r="AF132" s="13" t="n"/>
      <c r="AG132" s="13" t="n"/>
    </row>
    <row r="133">
      <c r="A133" s="9" t="inlineStr">
        <is>
          <t>21/22</t>
        </is>
      </c>
      <c r="B133" s="10" t="inlineStr">
        <is>
          <t xml:space="preserve"> Atomic</t>
        </is>
      </c>
      <c r="C133" s="11" t="inlineStr">
        <is>
          <t>Backland 86 SL</t>
        </is>
      </c>
      <c r="D133" s="13" t="n">
        <v>165</v>
      </c>
      <c r="E133" s="11" t="inlineStr">
        <is>
          <t xml:space="preserve"> Unisex</t>
        </is>
      </c>
      <c r="F133" s="13" t="n">
        <v>165</v>
      </c>
      <c r="G133" s="13" t="n">
        <v>164.1</v>
      </c>
      <c r="H133" s="13" t="n">
        <v>126</v>
      </c>
      <c r="I133" s="13" t="n">
        <v>135</v>
      </c>
      <c r="J133" s="13" t="n">
        <v>115</v>
      </c>
      <c r="K133" s="13" t="n">
        <v>85</v>
      </c>
      <c r="L133" s="13" t="n">
        <v>104</v>
      </c>
      <c r="M133" s="13" t="n">
        <v>16.6</v>
      </c>
      <c r="N133" s="13" t="n">
        <v>1180</v>
      </c>
      <c r="O133" s="13" t="n">
        <v>1.32</v>
      </c>
      <c r="P133" s="13" t="n">
        <v>1557</v>
      </c>
      <c r="Q133" s="13" t="n">
        <v>163</v>
      </c>
      <c r="R133" s="13" t="n">
        <v>68</v>
      </c>
      <c r="S133" s="13" t="n">
        <v>52</v>
      </c>
      <c r="T133" s="13" t="n">
        <v>245</v>
      </c>
      <c r="U133" s="13" t="n">
        <v>10</v>
      </c>
      <c r="V133" s="13" t="n">
        <v>140</v>
      </c>
      <c r="W133" s="13" t="n">
        <v>0.2</v>
      </c>
      <c r="X133" s="13" t="n">
        <v>172</v>
      </c>
      <c r="Y133" s="13" t="n">
        <v>118</v>
      </c>
      <c r="Z133" s="13" t="n">
        <v>74</v>
      </c>
      <c r="AA133" s="13" t="n">
        <v>7</v>
      </c>
      <c r="AB133" s="13" t="n">
        <v>12.5</v>
      </c>
      <c r="AC133" s="11" t="inlineStr">
        <is>
          <t xml:space="preserve"> Touring</t>
        </is>
      </c>
      <c r="AD133" s="11" t="inlineStr">
        <is>
          <t xml:space="preserve"> Ultralight Touring</t>
        </is>
      </c>
      <c r="AE133" s="13" t="n"/>
      <c r="AF133" s="13" t="n"/>
      <c r="AG133" s="13" t="n"/>
    </row>
    <row r="134">
      <c r="A134" s="9" t="inlineStr">
        <is>
          <t>21/22</t>
        </is>
      </c>
      <c r="B134" s="10" t="inlineStr">
        <is>
          <t xml:space="preserve"> Atomic</t>
        </is>
      </c>
      <c r="C134" s="11" t="inlineStr">
        <is>
          <t>Backland 86 SL</t>
        </is>
      </c>
      <c r="D134" s="13" t="n">
        <v>179</v>
      </c>
      <c r="E134" s="11" t="inlineStr">
        <is>
          <t xml:space="preserve"> Unisex</t>
        </is>
      </c>
      <c r="F134" s="13" t="n">
        <v>179</v>
      </c>
      <c r="G134" s="13" t="n">
        <v>177.9</v>
      </c>
      <c r="H134" s="13" t="n">
        <v>139</v>
      </c>
      <c r="I134" s="13" t="n">
        <v>149</v>
      </c>
      <c r="J134" s="13" t="n">
        <v>118</v>
      </c>
      <c r="K134" s="13" t="n">
        <v>86</v>
      </c>
      <c r="L134" s="13" t="n">
        <v>106</v>
      </c>
      <c r="M134" s="13" t="n">
        <v>19.2</v>
      </c>
      <c r="N134" s="13" t="n">
        <v>1301</v>
      </c>
      <c r="O134" s="13" t="n">
        <v>1.31</v>
      </c>
      <c r="P134" s="13" t="n">
        <v>1700</v>
      </c>
      <c r="Q134" s="13" t="n">
        <v>215</v>
      </c>
      <c r="R134" s="13" t="n">
        <v>84</v>
      </c>
      <c r="S134" s="13" t="n">
        <v>50</v>
      </c>
      <c r="T134" s="13" t="n">
        <v>242</v>
      </c>
      <c r="U134" s="13" t="n">
        <v>13</v>
      </c>
      <c r="V134" s="13" t="n">
        <v>145</v>
      </c>
      <c r="W134" s="13" t="n">
        <v>0.255</v>
      </c>
      <c r="X134" s="13" t="n">
        <v>175</v>
      </c>
      <c r="Y134" s="13" t="n">
        <v>113</v>
      </c>
      <c r="Z134" s="13" t="n">
        <v>67</v>
      </c>
      <c r="AA134" s="13" t="n">
        <v>6</v>
      </c>
      <c r="AB134" s="13" t="n">
        <v>12.1</v>
      </c>
      <c r="AC134" s="11" t="inlineStr">
        <is>
          <t xml:space="preserve"> Touring</t>
        </is>
      </c>
      <c r="AD134" s="11" t="inlineStr">
        <is>
          <t xml:space="preserve"> Ultralight Touring</t>
        </is>
      </c>
      <c r="AE134" s="13" t="n"/>
      <c r="AF134" s="13" t="n"/>
      <c r="AG134" s="13" t="n"/>
    </row>
    <row r="135">
      <c r="A135" s="9" t="inlineStr">
        <is>
          <t>21/22</t>
        </is>
      </c>
      <c r="B135" s="10" t="inlineStr">
        <is>
          <t xml:space="preserve"> Atomic</t>
        </is>
      </c>
      <c r="C135" s="11" t="inlineStr">
        <is>
          <t>Backland 95</t>
        </is>
      </c>
      <c r="D135" s="13" t="n">
        <v>169</v>
      </c>
      <c r="E135" s="11" t="inlineStr">
        <is>
          <t xml:space="preserve"> Unisex</t>
        </is>
      </c>
      <c r="F135" s="13" t="n">
        <v>169</v>
      </c>
      <c r="G135" s="13" t="n">
        <v>167.5</v>
      </c>
      <c r="H135" s="13" t="n">
        <v>127</v>
      </c>
      <c r="I135" s="13" t="n">
        <v>138</v>
      </c>
      <c r="J135" s="13" t="n">
        <v>125</v>
      </c>
      <c r="K135" s="13" t="n">
        <v>93</v>
      </c>
      <c r="L135" s="13" t="n">
        <v>113</v>
      </c>
      <c r="M135" s="13" t="n">
        <v>17.3</v>
      </c>
      <c r="N135" s="13" t="n">
        <v>1331</v>
      </c>
      <c r="O135" s="13" t="n">
        <v>1.3</v>
      </c>
      <c r="P135" s="13" t="n">
        <v>1725</v>
      </c>
      <c r="Q135" s="13" t="n">
        <v>187</v>
      </c>
      <c r="R135" s="13" t="n">
        <v>85</v>
      </c>
      <c r="S135" s="13" t="n">
        <v>49</v>
      </c>
      <c r="T135" s="13" t="n">
        <v>243</v>
      </c>
      <c r="U135" s="13" t="n">
        <v>10</v>
      </c>
      <c r="V135" s="13" t="n">
        <v>159</v>
      </c>
      <c r="W135" s="13" t="n">
        <v>0.196</v>
      </c>
      <c r="X135" s="13" t="n">
        <v>175</v>
      </c>
      <c r="Y135" s="13" t="n">
        <v>117</v>
      </c>
      <c r="Z135" s="13" t="n">
        <v>68</v>
      </c>
      <c r="AA135" s="13" t="n">
        <v>4</v>
      </c>
      <c r="AB135" s="13" t="n">
        <v>11.6</v>
      </c>
      <c r="AC135" s="11" t="inlineStr">
        <is>
          <t xml:space="preserve"> Touring</t>
        </is>
      </c>
      <c r="AD135" s="11" t="inlineStr">
        <is>
          <t xml:space="preserve"> Ultralight Touring</t>
        </is>
      </c>
      <c r="AE135" s="13" t="n"/>
      <c r="AF135" s="13" t="n"/>
      <c r="AG135" s="13" t="n"/>
    </row>
    <row r="136">
      <c r="A136" s="9" t="inlineStr">
        <is>
          <t>21/22</t>
        </is>
      </c>
      <c r="B136" s="10" t="inlineStr">
        <is>
          <t xml:space="preserve"> Atomic</t>
        </is>
      </c>
      <c r="C136" s="11" t="inlineStr">
        <is>
          <t>Backland 95</t>
        </is>
      </c>
      <c r="D136" s="13" t="n">
        <v>177</v>
      </c>
      <c r="E136" s="11" t="inlineStr">
        <is>
          <t xml:space="preserve"> Unisex</t>
        </is>
      </c>
      <c r="F136" s="13" t="n">
        <v>177</v>
      </c>
      <c r="G136" s="13" t="n">
        <v>176</v>
      </c>
      <c r="H136" s="13" t="n">
        <v>136</v>
      </c>
      <c r="I136" s="13" t="n">
        <v>146</v>
      </c>
      <c r="J136" s="13" t="n">
        <v>126</v>
      </c>
      <c r="K136" s="13" t="n">
        <v>93</v>
      </c>
      <c r="L136" s="13" t="n">
        <v>115</v>
      </c>
      <c r="M136" s="13" t="n">
        <v>18.2</v>
      </c>
      <c r="N136" s="13" t="n">
        <v>1416</v>
      </c>
      <c r="O136" s="13" t="n">
        <v>1.29</v>
      </c>
      <c r="P136" s="13" t="n">
        <v>1830</v>
      </c>
      <c r="Q136" s="13" t="n">
        <v>214</v>
      </c>
      <c r="R136" s="13" t="n">
        <v>92</v>
      </c>
      <c r="S136" s="13" t="n">
        <v>50</v>
      </c>
      <c r="T136" s="13" t="n">
        <v>243</v>
      </c>
      <c r="U136" s="13" t="n">
        <v>10</v>
      </c>
      <c r="V136" s="13" t="n">
        <v>160</v>
      </c>
      <c r="W136" s="13" t="n">
        <v>0.209</v>
      </c>
      <c r="X136" s="13" t="n">
        <v>174</v>
      </c>
      <c r="Y136" s="13" t="n">
        <v>123</v>
      </c>
      <c r="Z136" s="13" t="n">
        <v>69</v>
      </c>
      <c r="AA136" s="13" t="n">
        <v>6</v>
      </c>
      <c r="AB136" s="13" t="n">
        <v>11.1</v>
      </c>
      <c r="AC136" s="11" t="inlineStr">
        <is>
          <t xml:space="preserve"> Touring</t>
        </is>
      </c>
      <c r="AD136" s="11" t="inlineStr">
        <is>
          <t xml:space="preserve"> Ultralight Touring</t>
        </is>
      </c>
      <c r="AE136" s="13" t="n"/>
      <c r="AF136" s="13" t="n"/>
      <c r="AG136" s="13" t="n"/>
    </row>
    <row r="137">
      <c r="A137" s="9" t="inlineStr">
        <is>
          <t>21/22</t>
        </is>
      </c>
      <c r="B137" s="10" t="inlineStr">
        <is>
          <t xml:space="preserve"> Atomic</t>
        </is>
      </c>
      <c r="C137" s="11" t="inlineStr">
        <is>
          <t>Backland 98 W</t>
        </is>
      </c>
      <c r="D137" s="13" t="n">
        <v>156</v>
      </c>
      <c r="E137" s="11" t="inlineStr">
        <is>
          <t xml:space="preserve"> Unisex</t>
        </is>
      </c>
      <c r="F137" s="13" t="n">
        <v>156</v>
      </c>
      <c r="G137" s="13" t="n">
        <v>155</v>
      </c>
      <c r="H137" s="13" t="n">
        <v>104</v>
      </c>
      <c r="I137" s="13" t="n">
        <v>121</v>
      </c>
      <c r="J137" s="13" t="n">
        <v>125</v>
      </c>
      <c r="K137" s="13" t="n">
        <v>96</v>
      </c>
      <c r="L137" s="13" t="n">
        <v>115</v>
      </c>
      <c r="M137" s="13" t="n">
        <v>12.9</v>
      </c>
      <c r="N137" s="13" t="n">
        <v>1110</v>
      </c>
      <c r="O137" s="13" t="n">
        <v>1.46</v>
      </c>
      <c r="P137" s="13" t="n">
        <v>1623</v>
      </c>
      <c r="Q137" s="13" t="n">
        <v>142</v>
      </c>
      <c r="R137" s="13" t="n">
        <v>64</v>
      </c>
      <c r="S137" s="13" t="n">
        <v>53</v>
      </c>
      <c r="T137" s="13" t="n">
        <v>296</v>
      </c>
      <c r="U137" s="13" t="n">
        <v>16</v>
      </c>
      <c r="V137" s="13" t="n">
        <v>214</v>
      </c>
      <c r="W137" s="13" t="n">
        <v>0.3</v>
      </c>
      <c r="X137" s="13" t="n">
        <v>179</v>
      </c>
      <c r="Y137" s="13" t="n">
        <v>156</v>
      </c>
      <c r="Z137" s="13" t="n">
        <v>117</v>
      </c>
      <c r="AA137" s="13" t="n">
        <v>3</v>
      </c>
      <c r="AB137" s="13" t="n">
        <v>8.4</v>
      </c>
      <c r="AC137" s="11" t="inlineStr">
        <is>
          <t xml:space="preserve"> Touring</t>
        </is>
      </c>
      <c r="AD137" s="11" t="inlineStr">
        <is>
          <t xml:space="preserve"> Ultralight Touring</t>
        </is>
      </c>
      <c r="AE137" s="13" t="n"/>
      <c r="AF137" s="13" t="n"/>
      <c r="AG137" s="13" t="n"/>
    </row>
    <row r="138">
      <c r="A138" s="9" t="inlineStr">
        <is>
          <t>21/22</t>
        </is>
      </c>
      <c r="B138" s="10" t="inlineStr">
        <is>
          <t xml:space="preserve"> Atomic</t>
        </is>
      </c>
      <c r="C138" s="11" t="inlineStr">
        <is>
          <t>Backland 98 W</t>
        </is>
      </c>
      <c r="D138" s="13" t="n">
        <v>164</v>
      </c>
      <c r="E138" s="11" t="inlineStr">
        <is>
          <t xml:space="preserve"> Unisex</t>
        </is>
      </c>
      <c r="F138" s="13" t="n">
        <v>164</v>
      </c>
      <c r="G138" s="13" t="n">
        <v>162.9</v>
      </c>
      <c r="H138" s="13" t="n">
        <v>110</v>
      </c>
      <c r="I138" s="13" t="n">
        <v>126</v>
      </c>
      <c r="J138" s="13" t="n">
        <v>126</v>
      </c>
      <c r="K138" s="13" t="n">
        <v>97</v>
      </c>
      <c r="L138" s="13" t="n">
        <v>116</v>
      </c>
      <c r="M138" s="13" t="n">
        <v>15</v>
      </c>
      <c r="N138" s="13" t="n">
        <v>1152</v>
      </c>
      <c r="O138" s="13" t="n">
        <v>1.49</v>
      </c>
      <c r="P138" s="13" t="n">
        <v>1722</v>
      </c>
      <c r="Q138" s="13" t="n">
        <v>155</v>
      </c>
      <c r="R138" s="13" t="n">
        <v>71</v>
      </c>
      <c r="S138" s="13" t="n">
        <v>56</v>
      </c>
      <c r="T138" s="13" t="n">
        <v>316</v>
      </c>
      <c r="U138" s="13" t="n">
        <v>18</v>
      </c>
      <c r="V138" s="13" t="n">
        <v>215</v>
      </c>
      <c r="W138" s="13" t="n">
        <v>0.324</v>
      </c>
      <c r="X138" s="13" t="n">
        <v>201</v>
      </c>
      <c r="Y138" s="13" t="n">
        <v>168</v>
      </c>
      <c r="Z138" s="13" t="n">
        <v>115</v>
      </c>
      <c r="AA138" s="13" t="n">
        <v>3</v>
      </c>
      <c r="AB138" s="13" t="n">
        <v>8.199999999999999</v>
      </c>
      <c r="AC138" s="11" t="inlineStr">
        <is>
          <t xml:space="preserve"> Touring</t>
        </is>
      </c>
      <c r="AD138" s="11" t="inlineStr">
        <is>
          <t xml:space="preserve"> Ultralight Touring</t>
        </is>
      </c>
      <c r="AE138" s="13" t="n"/>
      <c r="AF138" s="13" t="n"/>
      <c r="AG138" s="13" t="n"/>
    </row>
    <row r="139">
      <c r="A139" s="9" t="inlineStr">
        <is>
          <t>21/22</t>
        </is>
      </c>
      <c r="B139" s="10" t="inlineStr">
        <is>
          <t xml:space="preserve"> Atomic</t>
        </is>
      </c>
      <c r="C139" s="11" t="inlineStr">
        <is>
          <t>Bent Chetler 100</t>
        </is>
      </c>
      <c r="D139" s="13" t="n">
        <v>164</v>
      </c>
      <c r="E139" s="11" t="inlineStr">
        <is>
          <t xml:space="preserve"> Unisex</t>
        </is>
      </c>
      <c r="F139" s="13" t="n">
        <v>164</v>
      </c>
      <c r="G139" s="13" t="n">
        <v>163.4</v>
      </c>
      <c r="H139" s="13" t="n">
        <v>115</v>
      </c>
      <c r="I139" s="13" t="n">
        <v>129</v>
      </c>
      <c r="J139" s="13" t="n">
        <v>127</v>
      </c>
      <c r="K139" s="13" t="n">
        <v>99</v>
      </c>
      <c r="L139" s="13" t="n">
        <v>117</v>
      </c>
      <c r="M139" s="13" t="n">
        <v>16.3</v>
      </c>
      <c r="N139" s="13" t="n">
        <v>1568</v>
      </c>
      <c r="O139" s="13" t="n">
        <v>1.11</v>
      </c>
      <c r="P139" s="13" t="n">
        <v>1733</v>
      </c>
      <c r="Q139" s="13" t="n">
        <v>165</v>
      </c>
      <c r="R139" s="13" t="n">
        <v>99</v>
      </c>
      <c r="S139" s="13" t="n">
        <v>48</v>
      </c>
      <c r="T139" s="13" t="n">
        <v>297</v>
      </c>
      <c r="U139" s="13" t="n">
        <v>30</v>
      </c>
      <c r="V139" s="13" t="n">
        <v>187</v>
      </c>
      <c r="W139" s="13" t="n">
        <v>0.619</v>
      </c>
      <c r="X139" s="13" t="n">
        <v>187</v>
      </c>
      <c r="Y139" s="13" t="n">
        <v>160</v>
      </c>
      <c r="Z139" s="13" t="n">
        <v>110</v>
      </c>
      <c r="AA139" s="13" t="n">
        <v>8</v>
      </c>
      <c r="AB139" s="13" t="n">
        <v>7.9</v>
      </c>
      <c r="AC139" s="11" t="inlineStr">
        <is>
          <t xml:space="preserve"> Resort Freeride</t>
        </is>
      </c>
      <c r="AD139" s="11" t="inlineStr">
        <is>
          <t xml:space="preserve"> Touring</t>
        </is>
      </c>
      <c r="AE139" s="13" t="n"/>
      <c r="AF139" s="13" t="n"/>
      <c r="AG139" s="13" t="n"/>
    </row>
    <row r="140">
      <c r="A140" s="9" t="inlineStr">
        <is>
          <t>21/22</t>
        </is>
      </c>
      <c r="B140" s="10" t="inlineStr">
        <is>
          <t xml:space="preserve"> Atomic</t>
        </is>
      </c>
      <c r="C140" s="11" t="inlineStr">
        <is>
          <t>Bent Chetler 100</t>
        </is>
      </c>
      <c r="D140" s="13" t="n">
        <v>172</v>
      </c>
      <c r="E140" s="11" t="inlineStr">
        <is>
          <t xml:space="preserve"> Unisex</t>
        </is>
      </c>
      <c r="F140" s="13" t="n">
        <v>172</v>
      </c>
      <c r="G140" s="13" t="n">
        <v>171.4</v>
      </c>
      <c r="H140" s="13" t="n">
        <v>124</v>
      </c>
      <c r="I140" s="13" t="n">
        <v>139</v>
      </c>
      <c r="J140" s="13" t="n">
        <v>128</v>
      </c>
      <c r="K140" s="13" t="n">
        <v>99</v>
      </c>
      <c r="L140" s="13" t="n">
        <v>118</v>
      </c>
      <c r="M140" s="13" t="n">
        <v>17.7</v>
      </c>
      <c r="N140" s="13" t="n">
        <v>1678</v>
      </c>
      <c r="O140" s="13" t="n">
        <v>1.09</v>
      </c>
      <c r="P140" s="13" t="n">
        <v>1829</v>
      </c>
      <c r="Q140" s="13" t="n">
        <v>190</v>
      </c>
      <c r="R140" s="13" t="n">
        <v>108</v>
      </c>
      <c r="S140" s="13" t="n">
        <v>46</v>
      </c>
      <c r="T140" s="13" t="n">
        <v>293</v>
      </c>
      <c r="U140" s="13" t="n">
        <v>29</v>
      </c>
      <c r="V140" s="13" t="n">
        <v>182</v>
      </c>
      <c r="W140" s="13" t="n">
        <v>0.643</v>
      </c>
      <c r="X140" s="13" t="n">
        <v>180</v>
      </c>
      <c r="Y140" s="13" t="n">
        <v>147</v>
      </c>
      <c r="Z140" s="13" t="n">
        <v>113</v>
      </c>
      <c r="AA140" s="13" t="n">
        <v>10</v>
      </c>
      <c r="AB140" s="13" t="n">
        <v>7.9</v>
      </c>
      <c r="AC140" s="11" t="inlineStr">
        <is>
          <t xml:space="preserve"> Resort Freeride</t>
        </is>
      </c>
      <c r="AD140" s="11" t="inlineStr">
        <is>
          <t xml:space="preserve"> Touring</t>
        </is>
      </c>
      <c r="AE140" s="13" t="n"/>
      <c r="AF140" s="13" t="n"/>
      <c r="AG140" s="13" t="n"/>
    </row>
    <row r="141">
      <c r="A141" s="9" t="inlineStr">
        <is>
          <t>21/22</t>
        </is>
      </c>
      <c r="B141" s="10" t="inlineStr">
        <is>
          <t xml:space="preserve"> Atomic</t>
        </is>
      </c>
      <c r="C141" s="11" t="inlineStr">
        <is>
          <t>Bent Chetler 100</t>
        </is>
      </c>
      <c r="D141" s="13" t="n">
        <v>180</v>
      </c>
      <c r="E141" s="11" t="inlineStr">
        <is>
          <t xml:space="preserve"> Unisex</t>
        </is>
      </c>
      <c r="F141" s="13" t="n">
        <v>180</v>
      </c>
      <c r="G141" s="13" t="n">
        <v>179.3</v>
      </c>
      <c r="H141" s="13" t="n">
        <v>135</v>
      </c>
      <c r="I141" s="13" t="n">
        <v>146</v>
      </c>
      <c r="J141" s="13" t="n">
        <v>129</v>
      </c>
      <c r="K141" s="13" t="n">
        <v>99</v>
      </c>
      <c r="L141" s="13" t="n">
        <v>119</v>
      </c>
      <c r="M141" s="13" t="n">
        <v>19.6</v>
      </c>
      <c r="N141" s="13" t="n">
        <v>1763</v>
      </c>
      <c r="O141" s="13" t="n">
        <v>1.09</v>
      </c>
      <c r="P141" s="13" t="n">
        <v>1921</v>
      </c>
      <c r="Q141" s="13" t="n">
        <v>208</v>
      </c>
      <c r="R141" s="13" t="n">
        <v>113</v>
      </c>
      <c r="S141" s="13" t="n">
        <v>45</v>
      </c>
      <c r="T141" s="13" t="n">
        <v>277</v>
      </c>
      <c r="U141" s="13" t="n">
        <v>26</v>
      </c>
      <c r="V141" s="13" t="n">
        <v>168</v>
      </c>
      <c r="W141" s="13" t="n">
        <v>0.583</v>
      </c>
      <c r="X141" s="13" t="n">
        <v>184</v>
      </c>
      <c r="Y141" s="13" t="n">
        <v>147</v>
      </c>
      <c r="Z141" s="13" t="n">
        <v>94</v>
      </c>
      <c r="AA141" s="13" t="n">
        <v>12</v>
      </c>
      <c r="AB141" s="13" t="n">
        <v>8.199999999999999</v>
      </c>
      <c r="AC141" s="11" t="inlineStr">
        <is>
          <t xml:space="preserve"> Resort Freeride</t>
        </is>
      </c>
      <c r="AD141" s="11" t="inlineStr">
        <is>
          <t xml:space="preserve"> Touring</t>
        </is>
      </c>
      <c r="AE141" s="13" t="n"/>
      <c r="AF141" s="13" t="n"/>
      <c r="AG141" s="13" t="n"/>
    </row>
    <row r="142">
      <c r="A142" s="9" t="inlineStr">
        <is>
          <t>21/22</t>
        </is>
      </c>
      <c r="B142" s="10" t="inlineStr">
        <is>
          <t xml:space="preserve"> Atomic</t>
        </is>
      </c>
      <c r="C142" s="11" t="inlineStr">
        <is>
          <t>Bent Chetler 100</t>
        </is>
      </c>
      <c r="D142" s="13" t="n">
        <v>188</v>
      </c>
      <c r="E142" s="11" t="inlineStr">
        <is>
          <t xml:space="preserve"> Unisex</t>
        </is>
      </c>
      <c r="F142" s="13" t="n">
        <v>188</v>
      </c>
      <c r="G142" s="13" t="n">
        <v>187.2</v>
      </c>
      <c r="H142" s="13" t="n">
        <v>144</v>
      </c>
      <c r="I142" s="13" t="n">
        <v>155</v>
      </c>
      <c r="J142" s="13" t="n">
        <v>130</v>
      </c>
      <c r="K142" s="13" t="n">
        <v>99</v>
      </c>
      <c r="L142" s="13" t="n">
        <v>120</v>
      </c>
      <c r="M142" s="13" t="n">
        <v>21</v>
      </c>
      <c r="N142" s="13" t="n">
        <v>1877</v>
      </c>
      <c r="O142" s="13" t="n">
        <v>1.07</v>
      </c>
      <c r="P142" s="13" t="n">
        <v>2007</v>
      </c>
      <c r="Q142" s="13" t="n">
        <v>234</v>
      </c>
      <c r="R142" s="13" t="n">
        <v>135</v>
      </c>
      <c r="S142" s="13" t="n">
        <v>41</v>
      </c>
      <c r="T142" s="13" t="n">
        <v>270</v>
      </c>
      <c r="U142" s="13" t="n">
        <v>27</v>
      </c>
      <c r="V142" s="13" t="n">
        <v>165</v>
      </c>
      <c r="W142" s="13" t="n">
        <v>0.665</v>
      </c>
      <c r="X142" s="13" t="n">
        <v>176</v>
      </c>
      <c r="Y142" s="13" t="n">
        <v>149</v>
      </c>
      <c r="Z142" s="13" t="n">
        <v>94</v>
      </c>
      <c r="AA142" s="13" t="n">
        <v>11</v>
      </c>
      <c r="AB142" s="13" t="n">
        <v>8.1</v>
      </c>
      <c r="AC142" s="11" t="inlineStr">
        <is>
          <t xml:space="preserve"> Resort Freeride</t>
        </is>
      </c>
      <c r="AD142" s="11" t="inlineStr">
        <is>
          <t xml:space="preserve"> Touring</t>
        </is>
      </c>
      <c r="AE142" s="13" t="n"/>
      <c r="AF142" s="13" t="n"/>
      <c r="AG142" s="13" t="n"/>
    </row>
    <row r="143">
      <c r="A143" s="9" t="inlineStr">
        <is>
          <t>21/22</t>
        </is>
      </c>
      <c r="B143" s="10" t="inlineStr">
        <is>
          <t xml:space="preserve"> Atomic</t>
        </is>
      </c>
      <c r="C143" s="11" t="inlineStr">
        <is>
          <t>Bent Chetler 120</t>
        </is>
      </c>
      <c r="D143" s="13" t="n">
        <v>176</v>
      </c>
      <c r="E143" s="11" t="inlineStr">
        <is>
          <t xml:space="preserve"> Unisex</t>
        </is>
      </c>
      <c r="F143" s="13" t="n">
        <v>176</v>
      </c>
      <c r="G143" s="13" t="n">
        <v>174.7</v>
      </c>
      <c r="H143" s="13" t="n">
        <v>99</v>
      </c>
      <c r="I143" s="13" t="n">
        <v>123</v>
      </c>
      <c r="J143" s="13" t="n">
        <v>141</v>
      </c>
      <c r="K143" s="13" t="n">
        <v>119</v>
      </c>
      <c r="L143" s="13" t="n">
        <v>132</v>
      </c>
      <c r="M143" s="13" t="n">
        <v>18.8</v>
      </c>
      <c r="N143" s="13" t="n">
        <v>1779</v>
      </c>
      <c r="O143" s="13" t="n">
        <v>1.21</v>
      </c>
      <c r="P143" s="13" t="n">
        <v>2159</v>
      </c>
      <c r="Q143" s="13" t="n">
        <v>217</v>
      </c>
      <c r="R143" s="13" t="n">
        <v>91</v>
      </c>
      <c r="S143" s="13" t="n">
        <v>55</v>
      </c>
      <c r="T143" s="13" t="n">
        <v>399</v>
      </c>
      <c r="U143" s="13" t="n">
        <v>52</v>
      </c>
      <c r="V143" s="13" t="n">
        <v>362</v>
      </c>
      <c r="W143" s="13" t="n">
        <v>0.958</v>
      </c>
      <c r="X143" s="13" t="n">
        <v>215</v>
      </c>
      <c r="Y143" s="13" t="n">
        <v>302</v>
      </c>
      <c r="Z143" s="13" t="n">
        <v>184</v>
      </c>
      <c r="AA143" s="13" t="n">
        <v>4</v>
      </c>
      <c r="AB143" s="13" t="n">
        <v>3.1</v>
      </c>
      <c r="AC143" s="11" t="inlineStr">
        <is>
          <t xml:space="preserve"> Freeski</t>
        </is>
      </c>
      <c r="AD143" s="11" t="inlineStr">
        <is>
          <t xml:space="preserve"> Powder</t>
        </is>
      </c>
      <c r="AE143" s="11" t="inlineStr">
        <is>
          <t xml:space="preserve"> Touring</t>
        </is>
      </c>
      <c r="AF143" s="13" t="n"/>
      <c r="AG143" s="13" t="n"/>
    </row>
    <row r="144">
      <c r="A144" s="9" t="inlineStr">
        <is>
          <t>21/22</t>
        </is>
      </c>
      <c r="B144" s="10" t="inlineStr">
        <is>
          <t xml:space="preserve"> Atomic</t>
        </is>
      </c>
      <c r="C144" s="11" t="inlineStr">
        <is>
          <t>Bent Chetler 120</t>
        </is>
      </c>
      <c r="D144" s="13" t="n">
        <v>184</v>
      </c>
      <c r="E144" s="11" t="inlineStr">
        <is>
          <t xml:space="preserve"> Unisex</t>
        </is>
      </c>
      <c r="F144" s="13" t="n">
        <v>184</v>
      </c>
      <c r="G144" s="13" t="n">
        <v>182.6</v>
      </c>
      <c r="H144" s="13" t="n">
        <v>107</v>
      </c>
      <c r="I144" s="13" t="n">
        <v>137</v>
      </c>
      <c r="J144" s="13" t="n">
        <v>142</v>
      </c>
      <c r="K144" s="13" t="n">
        <v>119</v>
      </c>
      <c r="L144" s="13" t="n">
        <v>133</v>
      </c>
      <c r="M144" s="13" t="n">
        <v>20.2</v>
      </c>
      <c r="N144" s="13" t="n">
        <v>1816</v>
      </c>
      <c r="O144" s="13" t="n">
        <v>1.25</v>
      </c>
      <c r="P144" s="13" t="n">
        <v>2262</v>
      </c>
      <c r="Q144" s="13" t="n">
        <v>255</v>
      </c>
      <c r="R144" s="13" t="n">
        <v>103</v>
      </c>
      <c r="S144" s="13" t="n">
        <v>54</v>
      </c>
      <c r="T144" s="13" t="n">
        <v>395</v>
      </c>
      <c r="U144" s="13" t="n">
        <v>53</v>
      </c>
      <c r="V144" s="13" t="n">
        <v>359</v>
      </c>
      <c r="W144" s="13" t="n">
        <v>0.988</v>
      </c>
      <c r="X144" s="13" t="n">
        <v>204</v>
      </c>
      <c r="Y144" s="13" t="n">
        <v>255</v>
      </c>
      <c r="Z144" s="13" t="n">
        <v>191</v>
      </c>
      <c r="AA144" s="13" t="n">
        <v>5</v>
      </c>
      <c r="AB144" s="13" t="n">
        <v>3.9</v>
      </c>
      <c r="AC144" s="11" t="inlineStr">
        <is>
          <t xml:space="preserve"> Freeski</t>
        </is>
      </c>
      <c r="AD144" s="11" t="inlineStr">
        <is>
          <t xml:space="preserve"> Powder</t>
        </is>
      </c>
      <c r="AE144" s="11" t="inlineStr">
        <is>
          <t xml:space="preserve"> Touring</t>
        </is>
      </c>
      <c r="AF144" s="13" t="n"/>
      <c r="AG144" s="13" t="n"/>
    </row>
    <row r="145">
      <c r="A145" s="9" t="inlineStr">
        <is>
          <t>21/22</t>
        </is>
      </c>
      <c r="B145" s="10" t="inlineStr">
        <is>
          <t xml:space="preserve"> Atomic</t>
        </is>
      </c>
      <c r="C145" s="11" t="inlineStr">
        <is>
          <t>Bent Chetler 120</t>
        </is>
      </c>
      <c r="D145" s="13" t="n">
        <v>192</v>
      </c>
      <c r="E145" s="11" t="inlineStr">
        <is>
          <t xml:space="preserve"> Unisex</t>
        </is>
      </c>
      <c r="F145" s="13" t="n">
        <v>192</v>
      </c>
      <c r="G145" s="13" t="n">
        <v>188.1</v>
      </c>
      <c r="H145" s="13" t="n">
        <v>115</v>
      </c>
      <c r="I145" s="13" t="n">
        <v>143</v>
      </c>
      <c r="J145" s="13" t="n">
        <v>143</v>
      </c>
      <c r="K145" s="13" t="n">
        <v>119</v>
      </c>
      <c r="L145" s="13" t="n">
        <v>134</v>
      </c>
      <c r="M145" s="13" t="n">
        <v>21.4</v>
      </c>
      <c r="N145" s="13" t="n">
        <v>1970</v>
      </c>
      <c r="O145" s="13" t="n">
        <v>1.19</v>
      </c>
      <c r="P145" s="13" t="n">
        <v>2341</v>
      </c>
      <c r="Q145" s="13" t="n">
        <v>275</v>
      </c>
      <c r="R145" s="13" t="n">
        <v>115</v>
      </c>
      <c r="S145" s="13" t="n">
        <v>56</v>
      </c>
      <c r="T145" s="13" t="n">
        <v>398</v>
      </c>
      <c r="U145" s="13" t="n">
        <v>42</v>
      </c>
      <c r="V145" s="13" t="n">
        <v>329</v>
      </c>
      <c r="W145" s="13" t="n">
        <v>0.762</v>
      </c>
      <c r="X145" s="13" t="n">
        <v>204</v>
      </c>
      <c r="Y145" s="13" t="n">
        <v>252</v>
      </c>
      <c r="Z145" s="13" t="n">
        <v>194</v>
      </c>
      <c r="AA145" s="13" t="n">
        <v>5</v>
      </c>
      <c r="AB145" s="13" t="n">
        <v>6.5</v>
      </c>
      <c r="AC145" s="11" t="inlineStr">
        <is>
          <t xml:space="preserve"> Powder</t>
        </is>
      </c>
      <c r="AD145" s="11" t="inlineStr">
        <is>
          <t xml:space="preserve"> Touring</t>
        </is>
      </c>
      <c r="AE145" s="13" t="n"/>
      <c r="AF145" s="13" t="n"/>
      <c r="AG145" s="13" t="n"/>
    </row>
    <row r="146">
      <c r="A146" s="9" t="inlineStr">
        <is>
          <t>21/22</t>
        </is>
      </c>
      <c r="B146" s="10" t="inlineStr">
        <is>
          <t xml:space="preserve"> Atomic</t>
        </is>
      </c>
      <c r="C146" s="11" t="inlineStr">
        <is>
          <t xml:space="preserve"> Bent Chetler JR</t>
        </is>
      </c>
      <c r="D146" s="13" t="n">
        <v>140</v>
      </c>
      <c r="E146" s="11" t="inlineStr">
        <is>
          <t xml:space="preserve"> Junior</t>
        </is>
      </c>
      <c r="F146" s="13" t="n">
        <v>140</v>
      </c>
      <c r="G146" s="13" t="n">
        <v>139.6</v>
      </c>
      <c r="H146" s="13" t="n">
        <v>101</v>
      </c>
      <c r="I146" s="13" t="n">
        <v>121</v>
      </c>
      <c r="J146" s="13" t="n">
        <v>121</v>
      </c>
      <c r="K146" s="13" t="n">
        <v>83</v>
      </c>
      <c r="L146" s="13" t="n">
        <v>111</v>
      </c>
      <c r="M146" s="13" t="n">
        <v>10.8</v>
      </c>
      <c r="N146" s="13" t="n">
        <v>1483</v>
      </c>
      <c r="O146" s="13" t="n">
        <v>0.9</v>
      </c>
      <c r="P146" s="13" t="n">
        <v>1331</v>
      </c>
      <c r="Q146" s="13" t="n">
        <v>114</v>
      </c>
      <c r="R146" s="13" t="n">
        <v>62</v>
      </c>
      <c r="S146" s="13" t="n">
        <v>40</v>
      </c>
      <c r="T146" s="13" t="n">
        <v>198</v>
      </c>
      <c r="U146" s="13" t="n">
        <v>30</v>
      </c>
      <c r="V146" s="13" t="n">
        <v>186</v>
      </c>
      <c r="W146" s="13" t="n">
        <v>0.759</v>
      </c>
      <c r="X146" s="13" t="n">
        <v>89</v>
      </c>
      <c r="Y146" s="13" t="n">
        <v>93</v>
      </c>
      <c r="Z146" s="13" t="n">
        <v>109</v>
      </c>
      <c r="AA146" s="13" t="n">
        <v>4</v>
      </c>
      <c r="AB146" s="13" t="n">
        <v>3.7</v>
      </c>
      <c r="AC146" s="11" t="inlineStr">
        <is>
          <t xml:space="preserve"> Resort Freeride</t>
        </is>
      </c>
      <c r="AD146" s="13" t="n"/>
      <c r="AE146" s="13" t="n"/>
      <c r="AF146" s="13" t="n"/>
      <c r="AG146" s="13" t="n"/>
    </row>
    <row r="147">
      <c r="A147" s="9" t="inlineStr">
        <is>
          <t>21/22</t>
        </is>
      </c>
      <c r="B147" s="10" t="inlineStr">
        <is>
          <t xml:space="preserve"> Atomic</t>
        </is>
      </c>
      <c r="C147" s="11" t="inlineStr">
        <is>
          <t xml:space="preserve"> Bent Chetler JR</t>
        </is>
      </c>
      <c r="D147" s="13" t="n">
        <v>150</v>
      </c>
      <c r="E147" s="11" t="inlineStr">
        <is>
          <t xml:space="preserve"> Junior</t>
        </is>
      </c>
      <c r="F147" s="13" t="n">
        <v>150</v>
      </c>
      <c r="G147" s="13" t="n">
        <v>149.8</v>
      </c>
      <c r="H147" s="13" t="n">
        <v>118</v>
      </c>
      <c r="I147" s="13" t="n">
        <v>131</v>
      </c>
      <c r="J147" s="13" t="n">
        <v>121</v>
      </c>
      <c r="K147" s="13" t="n">
        <v>83</v>
      </c>
      <c r="L147" s="13" t="n">
        <v>110</v>
      </c>
      <c r="M147" s="13" t="n">
        <v>12.9</v>
      </c>
      <c r="N147" s="13" t="n">
        <v>1631</v>
      </c>
      <c r="O147" s="13" t="n">
        <v>0.87</v>
      </c>
      <c r="P147" s="13" t="n">
        <v>1427</v>
      </c>
      <c r="Q147" s="13" t="n">
        <v>137</v>
      </c>
      <c r="R147" s="13" t="n">
        <v>63</v>
      </c>
      <c r="S147" s="13" t="n">
        <v>41</v>
      </c>
      <c r="T147" s="13" t="n">
        <v>182</v>
      </c>
      <c r="U147" s="13" t="n">
        <v>29</v>
      </c>
      <c r="V147" s="13" t="n">
        <v>133</v>
      </c>
      <c r="W147" s="13" t="n">
        <v>0.699</v>
      </c>
      <c r="X147" s="13" t="n">
        <v>89</v>
      </c>
      <c r="Y147" s="13" t="n">
        <v>98</v>
      </c>
      <c r="Z147" s="13" t="n">
        <v>93</v>
      </c>
      <c r="AA147" s="13" t="n">
        <v>7</v>
      </c>
      <c r="AB147" s="13" t="n">
        <v>5</v>
      </c>
      <c r="AC147" s="11" t="inlineStr">
        <is>
          <t xml:space="preserve"> Resort Freeride</t>
        </is>
      </c>
      <c r="AD147" s="13" t="n"/>
      <c r="AE147" s="13" t="n"/>
      <c r="AF147" s="13" t="n"/>
      <c r="AG147" s="13" t="n"/>
    </row>
    <row r="148">
      <c r="A148" s="9" t="inlineStr">
        <is>
          <t>21/22</t>
        </is>
      </c>
      <c r="B148" s="10" t="inlineStr">
        <is>
          <t xml:space="preserve"> Atomic</t>
        </is>
      </c>
      <c r="C148" s="11" t="inlineStr">
        <is>
          <t>Cloud C11 WB</t>
        </is>
      </c>
      <c r="D148" s="13" t="n">
        <v>160</v>
      </c>
      <c r="E148" s="11" t="inlineStr">
        <is>
          <t xml:space="preserve"> Women's</t>
        </is>
      </c>
      <c r="F148" s="13" t="n">
        <v>160</v>
      </c>
      <c r="G148" s="13" t="n">
        <v>159.3</v>
      </c>
      <c r="H148" s="13" t="n">
        <v>138</v>
      </c>
      <c r="I148" s="13" t="n">
        <v>145</v>
      </c>
      <c r="J148" s="13" t="n">
        <v>122</v>
      </c>
      <c r="K148" s="13" t="n">
        <v>74</v>
      </c>
      <c r="L148" s="13" t="n">
        <v>106</v>
      </c>
      <c r="M148" s="13" t="n">
        <v>13</v>
      </c>
      <c r="N148" s="13" t="n">
        <v>1544</v>
      </c>
      <c r="O148" s="13" t="n">
        <v>0.92</v>
      </c>
      <c r="P148" s="13" t="n">
        <v>1425</v>
      </c>
      <c r="Q148" s="13" t="n">
        <v>180</v>
      </c>
      <c r="R148" s="13" t="n">
        <v>65</v>
      </c>
      <c r="S148" s="13" t="n">
        <v>39</v>
      </c>
      <c r="T148" s="13" t="n">
        <v>149</v>
      </c>
      <c r="U148" s="13" t="n">
        <v>5</v>
      </c>
      <c r="V148" s="13" t="n">
        <v>59</v>
      </c>
      <c r="W148" s="13" t="n">
        <v>0.121</v>
      </c>
      <c r="X148" s="13" t="n">
        <v>83</v>
      </c>
      <c r="Y148" s="13" t="n">
        <v>56</v>
      </c>
      <c r="Z148" s="13" t="n">
        <v>66</v>
      </c>
      <c r="AA148" s="13" t="n">
        <v>3</v>
      </c>
      <c r="AB148" s="13" t="n">
        <v>13.2</v>
      </c>
      <c r="AC148" s="11" t="inlineStr">
        <is>
          <t xml:space="preserve"> On-Piste Carving</t>
        </is>
      </c>
      <c r="AD148" s="13" t="n"/>
      <c r="AE148" s="13" t="n"/>
      <c r="AF148" s="13" t="n"/>
      <c r="AG148" s="13" t="n"/>
    </row>
    <row r="149">
      <c r="A149" s="9" t="inlineStr">
        <is>
          <t>21/22</t>
        </is>
      </c>
      <c r="B149" s="10" t="inlineStr">
        <is>
          <t xml:space="preserve"> Atomic</t>
        </is>
      </c>
      <c r="C149" s="11" t="inlineStr">
        <is>
          <t>Cloud C12 Servo</t>
        </is>
      </c>
      <c r="D149" s="13" t="n">
        <v>147</v>
      </c>
      <c r="E149" s="11" t="inlineStr">
        <is>
          <t xml:space="preserve"> Women's</t>
        </is>
      </c>
      <c r="F149" s="13" t="n">
        <v>147</v>
      </c>
      <c r="G149" s="13" t="n">
        <v>146.6</v>
      </c>
      <c r="H149" s="13" t="n">
        <v>127</v>
      </c>
      <c r="I149" s="13" t="n">
        <v>134</v>
      </c>
      <c r="J149" s="13" t="n">
        <v>107</v>
      </c>
      <c r="K149" s="13" t="n">
        <v>69</v>
      </c>
      <c r="L149" s="13" t="n">
        <v>95</v>
      </c>
      <c r="M149" s="13" t="n">
        <v>13.1</v>
      </c>
      <c r="N149" s="13" t="n">
        <v>1663</v>
      </c>
      <c r="O149" s="13" t="n">
        <v>0.72</v>
      </c>
      <c r="P149" s="13" t="n">
        <v>1193</v>
      </c>
      <c r="Q149" s="13" t="n">
        <v>134</v>
      </c>
      <c r="R149" s="13" t="n">
        <v>45</v>
      </c>
      <c r="S149" s="13" t="n">
        <v>36</v>
      </c>
      <c r="T149" s="13" t="n">
        <v>140</v>
      </c>
      <c r="U149" s="13" t="n">
        <v>4</v>
      </c>
      <c r="V149" s="13" t="n">
        <v>52</v>
      </c>
      <c r="W149" s="13" t="n">
        <v>0.117</v>
      </c>
      <c r="X149" s="13" t="n">
        <v>80</v>
      </c>
      <c r="Y149" s="13" t="n">
        <v>49</v>
      </c>
      <c r="Z149" s="13" t="n">
        <v>60</v>
      </c>
      <c r="AA149" s="13" t="n">
        <v>7</v>
      </c>
      <c r="AB149" s="13" t="n">
        <v>12.3</v>
      </c>
      <c r="AC149" s="11" t="inlineStr">
        <is>
          <t xml:space="preserve"> On-Piste Carving</t>
        </is>
      </c>
      <c r="AD149" s="13" t="n"/>
      <c r="AE149" s="13" t="n"/>
      <c r="AF149" s="13" t="n"/>
      <c r="AG149" s="13" t="n"/>
    </row>
    <row r="150">
      <c r="A150" s="9" t="inlineStr">
        <is>
          <t>21/22</t>
        </is>
      </c>
      <c r="B150" s="10" t="inlineStr">
        <is>
          <t xml:space="preserve"> Atomic</t>
        </is>
      </c>
      <c r="C150" s="11" t="inlineStr">
        <is>
          <t>Cloud C12 Servo</t>
        </is>
      </c>
      <c r="D150" s="13" t="n">
        <v>154</v>
      </c>
      <c r="E150" s="11" t="inlineStr">
        <is>
          <t xml:space="preserve"> Women's</t>
        </is>
      </c>
      <c r="F150" s="13" t="n">
        <v>154</v>
      </c>
      <c r="G150" s="13" t="n">
        <v>153.6</v>
      </c>
      <c r="H150" s="13" t="n">
        <v>134</v>
      </c>
      <c r="I150" s="13" t="n">
        <v>140</v>
      </c>
      <c r="J150" s="13" t="n">
        <v>109</v>
      </c>
      <c r="K150" s="13" t="n">
        <v>69</v>
      </c>
      <c r="L150" s="13" t="n">
        <v>97</v>
      </c>
      <c r="M150" s="13" t="n">
        <v>13.8</v>
      </c>
      <c r="N150" s="13" t="n">
        <v>1767</v>
      </c>
      <c r="O150" s="13" t="n">
        <v>0.71</v>
      </c>
      <c r="P150" s="13" t="n">
        <v>1256</v>
      </c>
      <c r="Q150" s="13" t="n">
        <v>158</v>
      </c>
      <c r="R150" s="13" t="n">
        <v>52</v>
      </c>
      <c r="S150" s="13" t="n">
        <v>37</v>
      </c>
      <c r="T150" s="13" t="n">
        <v>143</v>
      </c>
      <c r="U150" s="13" t="n">
        <v>5</v>
      </c>
      <c r="V150" s="13" t="n">
        <v>56</v>
      </c>
      <c r="W150" s="13" t="n">
        <v>0.123</v>
      </c>
      <c r="X150" s="13" t="n">
        <v>84</v>
      </c>
      <c r="Y150" s="13" t="n">
        <v>53</v>
      </c>
      <c r="Z150" s="13" t="n">
        <v>59</v>
      </c>
      <c r="AA150" s="13" t="n">
        <v>6</v>
      </c>
      <c r="AB150" s="13" t="n">
        <v>12.4</v>
      </c>
      <c r="AC150" s="11" t="inlineStr">
        <is>
          <t xml:space="preserve"> On-Piste Carving</t>
        </is>
      </c>
      <c r="AD150" s="13" t="n"/>
      <c r="AE150" s="13" t="n"/>
      <c r="AF150" s="13" t="n"/>
      <c r="AG150" s="13" t="n"/>
    </row>
    <row r="151">
      <c r="A151" s="9" t="inlineStr">
        <is>
          <t>21/22</t>
        </is>
      </c>
      <c r="B151" s="10" t="inlineStr">
        <is>
          <t xml:space="preserve"> Atomic</t>
        </is>
      </c>
      <c r="C151" s="11" t="inlineStr">
        <is>
          <t>Cloud C12 Servo</t>
        </is>
      </c>
      <c r="D151" s="13" t="n">
        <v>161</v>
      </c>
      <c r="E151" s="11" t="inlineStr">
        <is>
          <t xml:space="preserve"> Women's</t>
        </is>
      </c>
      <c r="F151" s="13" t="n">
        <v>161</v>
      </c>
      <c r="G151" s="13" t="n">
        <v>160.3</v>
      </c>
      <c r="H151" s="13" t="n">
        <v>141</v>
      </c>
      <c r="I151" s="13" t="n">
        <v>147</v>
      </c>
      <c r="J151" s="13" t="n">
        <v>110</v>
      </c>
      <c r="K151" s="13" t="n">
        <v>69</v>
      </c>
      <c r="L151" s="13" t="n">
        <v>99</v>
      </c>
      <c r="M151" s="13" t="n">
        <v>14.5</v>
      </c>
      <c r="N151" s="13" t="n">
        <v>1803</v>
      </c>
      <c r="O151" s="13" t="n">
        <v>0.73</v>
      </c>
      <c r="P151" s="13" t="n">
        <v>1319</v>
      </c>
      <c r="Q151" s="13" t="n">
        <v>163</v>
      </c>
      <c r="R151" s="13" t="n">
        <v>56</v>
      </c>
      <c r="S151" s="13" t="n">
        <v>38</v>
      </c>
      <c r="T151" s="13" t="n">
        <v>145</v>
      </c>
      <c r="U151" s="13" t="n">
        <v>4</v>
      </c>
      <c r="V151" s="13" t="n">
        <v>50</v>
      </c>
      <c r="W151" s="13" t="n">
        <v>0.097</v>
      </c>
      <c r="X151" s="13" t="n">
        <v>80</v>
      </c>
      <c r="Y151" s="13" t="n">
        <v>53</v>
      </c>
      <c r="Z151" s="13" t="n">
        <v>65</v>
      </c>
      <c r="AA151" s="13" t="n">
        <v>8</v>
      </c>
      <c r="AB151" s="13" t="n">
        <v>12.5</v>
      </c>
      <c r="AC151" s="11" t="inlineStr">
        <is>
          <t xml:space="preserve"> On-Piste Carving</t>
        </is>
      </c>
      <c r="AD151" s="13" t="n"/>
      <c r="AE151" s="13" t="n"/>
      <c r="AF151" s="13" t="n"/>
      <c r="AG151" s="13" t="n"/>
    </row>
    <row r="152">
      <c r="A152" s="9" t="inlineStr">
        <is>
          <t>21/22</t>
        </is>
      </c>
      <c r="B152" s="10" t="inlineStr">
        <is>
          <t xml:space="preserve"> Atomic</t>
        </is>
      </c>
      <c r="C152" s="11" t="inlineStr">
        <is>
          <t>Cloud C9</t>
        </is>
      </c>
      <c r="D152" s="13" t="n">
        <v>143</v>
      </c>
      <c r="E152" s="11" t="inlineStr">
        <is>
          <t xml:space="preserve"> Women's</t>
        </is>
      </c>
      <c r="F152" s="13" t="n">
        <v>143</v>
      </c>
      <c r="G152" s="13" t="n">
        <v>142.9</v>
      </c>
      <c r="H152" s="13" t="n">
        <v>125</v>
      </c>
      <c r="I152" s="13" t="n">
        <v>129</v>
      </c>
      <c r="J152" s="13" t="n">
        <v>108</v>
      </c>
      <c r="K152" s="13" t="n">
        <v>72</v>
      </c>
      <c r="L152" s="13" t="n">
        <v>94</v>
      </c>
      <c r="M152" s="13" t="n">
        <v>13.7</v>
      </c>
      <c r="N152" s="13" t="n">
        <v>1478</v>
      </c>
      <c r="O152" s="13" t="n">
        <v>0.8</v>
      </c>
      <c r="P152" s="13" t="n">
        <v>1189</v>
      </c>
      <c r="Q152" s="13" t="n">
        <v>119</v>
      </c>
      <c r="R152" s="13" t="n">
        <v>57</v>
      </c>
      <c r="S152" s="13" t="n">
        <v>32</v>
      </c>
      <c r="T152" s="13" t="n">
        <v>133</v>
      </c>
      <c r="U152" s="13" t="n">
        <v>4</v>
      </c>
      <c r="V152" s="13" t="n">
        <v>48</v>
      </c>
      <c r="W152" s="13" t="n">
        <v>0.117</v>
      </c>
      <c r="X152" s="13" t="n">
        <v>89</v>
      </c>
      <c r="Y152" s="13" t="n">
        <v>52</v>
      </c>
      <c r="Z152" s="13" t="n">
        <v>45</v>
      </c>
      <c r="AA152" s="13" t="n">
        <v>11</v>
      </c>
      <c r="AB152" s="13" t="n">
        <v>12.6</v>
      </c>
      <c r="AC152" s="11" t="inlineStr">
        <is>
          <t xml:space="preserve"> On-Piste Carving</t>
        </is>
      </c>
      <c r="AD152" s="13" t="n"/>
      <c r="AE152" s="13" t="n"/>
      <c r="AF152" s="13" t="n"/>
      <c r="AG152" s="13" t="n"/>
    </row>
    <row r="153">
      <c r="A153" s="9" t="inlineStr">
        <is>
          <t>21/22</t>
        </is>
      </c>
      <c r="B153" s="10" t="inlineStr">
        <is>
          <t xml:space="preserve"> Atomic</t>
        </is>
      </c>
      <c r="C153" s="11" t="inlineStr">
        <is>
          <t>Cloud C9</t>
        </is>
      </c>
      <c r="D153" s="13" t="n">
        <v>150</v>
      </c>
      <c r="E153" s="11" t="inlineStr">
        <is>
          <t xml:space="preserve"> Women's</t>
        </is>
      </c>
      <c r="F153" s="13" t="n">
        <v>150</v>
      </c>
      <c r="G153" s="13" t="n">
        <v>149.7</v>
      </c>
      <c r="H153" s="13" t="n">
        <v>132</v>
      </c>
      <c r="I153" s="13" t="n">
        <v>135</v>
      </c>
      <c r="J153" s="13" t="n">
        <v>110</v>
      </c>
      <c r="K153" s="13" t="n">
        <v>71</v>
      </c>
      <c r="L153" s="13" t="n">
        <v>96</v>
      </c>
      <c r="M153" s="13" t="n">
        <v>14.2</v>
      </c>
      <c r="N153" s="13" t="n">
        <v>1528</v>
      </c>
      <c r="O153" s="13" t="n">
        <v>0.82</v>
      </c>
      <c r="P153" s="13" t="n">
        <v>1247</v>
      </c>
      <c r="Q153" s="13" t="n">
        <v>128</v>
      </c>
      <c r="R153" s="13" t="n">
        <v>67</v>
      </c>
      <c r="S153" s="13" t="n">
        <v>30</v>
      </c>
      <c r="T153" s="13" t="n">
        <v>134</v>
      </c>
      <c r="U153" s="13" t="n">
        <v>4</v>
      </c>
      <c r="V153" s="13" t="n">
        <v>47</v>
      </c>
      <c r="W153" s="13" t="n">
        <v>0.119</v>
      </c>
      <c r="X153" s="13" t="n">
        <v>95</v>
      </c>
      <c r="Y153" s="13" t="n">
        <v>55</v>
      </c>
      <c r="Z153" s="13" t="n">
        <v>38</v>
      </c>
      <c r="AA153" s="13" t="n">
        <v>11</v>
      </c>
      <c r="AB153" s="13" t="n">
        <v>12.1</v>
      </c>
      <c r="AC153" s="11" t="inlineStr">
        <is>
          <t xml:space="preserve"> On-Piste Carving</t>
        </is>
      </c>
      <c r="AD153" s="11" t="inlineStr">
        <is>
          <t xml:space="preserve"> On-Piste All-Mountain</t>
        </is>
      </c>
      <c r="AE153" s="13" t="n"/>
      <c r="AF153" s="13" t="n"/>
      <c r="AG153" s="13" t="n"/>
    </row>
    <row r="154">
      <c r="A154" s="9" t="inlineStr">
        <is>
          <t>21/22</t>
        </is>
      </c>
      <c r="B154" s="10" t="inlineStr">
        <is>
          <t xml:space="preserve"> Atomic</t>
        </is>
      </c>
      <c r="C154" s="11" t="inlineStr">
        <is>
          <t>Cloud C9</t>
        </is>
      </c>
      <c r="D154" s="13" t="n">
        <v>157</v>
      </c>
      <c r="E154" s="11" t="inlineStr">
        <is>
          <t xml:space="preserve"> Women's</t>
        </is>
      </c>
      <c r="F154" s="13" t="n">
        <v>157</v>
      </c>
      <c r="G154" s="13" t="n">
        <v>156.9</v>
      </c>
      <c r="H154" s="13" t="n">
        <v>138</v>
      </c>
      <c r="I154" s="13" t="n">
        <v>142</v>
      </c>
      <c r="J154" s="13" t="n">
        <v>112</v>
      </c>
      <c r="K154" s="13" t="n">
        <v>72</v>
      </c>
      <c r="L154" s="13" t="n">
        <v>98</v>
      </c>
      <c r="M154" s="13" t="n">
        <v>14.8</v>
      </c>
      <c r="N154" s="13" t="n">
        <v>1646</v>
      </c>
      <c r="O154" s="13" t="n">
        <v>0.8100000000000001</v>
      </c>
      <c r="P154" s="13" t="n">
        <v>1328</v>
      </c>
      <c r="Q154" s="13" t="n">
        <v>150</v>
      </c>
      <c r="R154" s="13" t="n">
        <v>75</v>
      </c>
      <c r="S154" s="13" t="n">
        <v>32</v>
      </c>
      <c r="T154" s="13" t="n">
        <v>138</v>
      </c>
      <c r="U154" s="13" t="n">
        <v>4</v>
      </c>
      <c r="V154" s="13" t="n">
        <v>48</v>
      </c>
      <c r="W154" s="13" t="n">
        <v>0.127</v>
      </c>
      <c r="X154" s="13" t="n">
        <v>94</v>
      </c>
      <c r="Y154" s="13" t="n">
        <v>54</v>
      </c>
      <c r="Z154" s="13" t="n">
        <v>44</v>
      </c>
      <c r="AA154" s="13" t="n">
        <v>11</v>
      </c>
      <c r="AB154" s="13" t="n">
        <v>12.4</v>
      </c>
      <c r="AC154" s="11" t="inlineStr">
        <is>
          <t xml:space="preserve"> On-Piste Carving</t>
        </is>
      </c>
      <c r="AD154" s="13" t="n"/>
      <c r="AE154" s="13" t="n"/>
      <c r="AF154" s="13" t="n"/>
      <c r="AG154" s="13" t="n"/>
    </row>
    <row r="155">
      <c r="A155" s="9" t="inlineStr">
        <is>
          <t>21/22</t>
        </is>
      </c>
      <c r="B155" s="10" t="inlineStr">
        <is>
          <t xml:space="preserve"> Atomic</t>
        </is>
      </c>
      <c r="C155" s="11" t="inlineStr">
        <is>
          <t>Cloud C9</t>
        </is>
      </c>
      <c r="D155" s="13" t="n">
        <v>164</v>
      </c>
      <c r="E155" s="11" t="inlineStr">
        <is>
          <t xml:space="preserve"> Women's</t>
        </is>
      </c>
      <c r="F155" s="13" t="n">
        <v>164</v>
      </c>
      <c r="G155" s="13" t="n">
        <v>163.5</v>
      </c>
      <c r="H155" s="13" t="n">
        <v>146</v>
      </c>
      <c r="I155" s="13" t="n">
        <v>148</v>
      </c>
      <c r="J155" s="13" t="n">
        <v>114</v>
      </c>
      <c r="K155" s="13" t="n">
        <v>72</v>
      </c>
      <c r="L155" s="13" t="n">
        <v>101</v>
      </c>
      <c r="M155" s="13" t="n">
        <v>15.4</v>
      </c>
      <c r="N155" s="13" t="n">
        <v>1747</v>
      </c>
      <c r="O155" s="13" t="n">
        <v>0.8</v>
      </c>
      <c r="P155" s="13" t="n">
        <v>1399</v>
      </c>
      <c r="Q155" s="13" t="n">
        <v>163</v>
      </c>
      <c r="R155" s="13" t="n">
        <v>79</v>
      </c>
      <c r="S155" s="13" t="n">
        <v>30</v>
      </c>
      <c r="T155" s="13" t="n">
        <v>132</v>
      </c>
      <c r="U155" s="13" t="n">
        <v>3</v>
      </c>
      <c r="V155" s="13" t="n">
        <v>47</v>
      </c>
      <c r="W155" s="13" t="n">
        <v>0.111</v>
      </c>
      <c r="X155" s="13" t="n">
        <v>93</v>
      </c>
      <c r="Y155" s="13" t="n">
        <v>57</v>
      </c>
      <c r="Z155" s="13" t="n">
        <v>39</v>
      </c>
      <c r="AA155" s="13" t="n">
        <v>15</v>
      </c>
      <c r="AB155" s="13" t="n">
        <v>12.5</v>
      </c>
      <c r="AC155" s="11" t="inlineStr">
        <is>
          <t xml:space="preserve"> On-Piste Carving</t>
        </is>
      </c>
      <c r="AD155" s="13" t="n"/>
      <c r="AE155" s="13" t="n"/>
      <c r="AF155" s="13" t="n"/>
      <c r="AG155" s="13" t="n"/>
    </row>
    <row r="156">
      <c r="A156" s="9" t="inlineStr">
        <is>
          <t>21/22</t>
        </is>
      </c>
      <c r="B156" s="10" t="inlineStr">
        <is>
          <t xml:space="preserve"> Atomic</t>
        </is>
      </c>
      <c r="C156" s="11" t="inlineStr">
        <is>
          <t>Maven 86</t>
        </is>
      </c>
      <c r="D156" s="13" t="n">
        <v>147</v>
      </c>
      <c r="E156" s="11" t="inlineStr">
        <is>
          <t xml:space="preserve"> Women's</t>
        </is>
      </c>
      <c r="F156" s="13" t="n">
        <v>147</v>
      </c>
      <c r="G156" s="13" t="n">
        <v>146</v>
      </c>
      <c r="H156" s="13" t="n">
        <v>95</v>
      </c>
      <c r="I156" s="13" t="n">
        <v>121</v>
      </c>
      <c r="J156" s="13" t="n">
        <v>118</v>
      </c>
      <c r="K156" s="13" t="n">
        <v>85</v>
      </c>
      <c r="L156" s="13" t="n">
        <v>101</v>
      </c>
      <c r="M156" s="13" t="n">
        <v>13.6</v>
      </c>
      <c r="N156" s="13" t="n">
        <v>1280</v>
      </c>
      <c r="O156" s="13" t="n">
        <v>1.09</v>
      </c>
      <c r="P156" s="13" t="n">
        <v>1391</v>
      </c>
      <c r="Q156" s="13" t="n">
        <v>173</v>
      </c>
      <c r="R156" s="13" t="n">
        <v>73</v>
      </c>
      <c r="S156" s="13" t="n">
        <v>52</v>
      </c>
      <c r="T156" s="13" t="n">
        <v>303</v>
      </c>
      <c r="U156" s="13" t="n">
        <v>14</v>
      </c>
      <c r="V156" s="13" t="n">
        <v>206</v>
      </c>
      <c r="W156" s="13" t="n">
        <v>0.273</v>
      </c>
      <c r="X156" s="13" t="n">
        <v>158</v>
      </c>
      <c r="Y156" s="13" t="n">
        <v>94</v>
      </c>
      <c r="Z156" s="13" t="n">
        <v>144</v>
      </c>
      <c r="AA156" s="13" t="n">
        <v>2</v>
      </c>
      <c r="AB156" s="13" t="n">
        <v>8.300000000000001</v>
      </c>
      <c r="AC156" s="11" t="inlineStr">
        <is>
          <t xml:space="preserve"> On-Piste All-Mountain</t>
        </is>
      </c>
      <c r="AD156" s="11" t="inlineStr">
        <is>
          <t xml:space="preserve"> Resort Freeride</t>
        </is>
      </c>
      <c r="AE156" s="11" t="inlineStr">
        <is>
          <t xml:space="preserve"> Touring</t>
        </is>
      </c>
      <c r="AF156" s="13" t="n"/>
      <c r="AG156" s="13" t="n"/>
    </row>
    <row r="157">
      <c r="A157" s="9" t="inlineStr">
        <is>
          <t>21/22</t>
        </is>
      </c>
      <c r="B157" s="10" t="inlineStr">
        <is>
          <t xml:space="preserve"> Atomic</t>
        </is>
      </c>
      <c r="C157" s="11" t="inlineStr">
        <is>
          <t>Maven 86</t>
        </is>
      </c>
      <c r="D157" s="13" t="n">
        <v>153</v>
      </c>
      <c r="E157" s="11" t="inlineStr">
        <is>
          <t xml:space="preserve"> Women's</t>
        </is>
      </c>
      <c r="F157" s="13" t="n">
        <v>153</v>
      </c>
      <c r="G157" s="13" t="n">
        <v>152.1</v>
      </c>
      <c r="H157" s="13" t="n">
        <v>104</v>
      </c>
      <c r="I157" s="13" t="n">
        <v>127</v>
      </c>
      <c r="J157" s="13" t="n">
        <v>120</v>
      </c>
      <c r="K157" s="13" t="n">
        <v>86</v>
      </c>
      <c r="L157" s="13" t="n">
        <v>103</v>
      </c>
      <c r="M157" s="13" t="n">
        <v>14.2</v>
      </c>
      <c r="N157" s="13" t="n">
        <v>1338</v>
      </c>
      <c r="O157" s="13" t="n">
        <v>1.1</v>
      </c>
      <c r="P157" s="13" t="n">
        <v>1467</v>
      </c>
      <c r="Q157" s="13" t="n">
        <v>184</v>
      </c>
      <c r="R157" s="13" t="n">
        <v>76</v>
      </c>
      <c r="S157" s="13" t="n">
        <v>47</v>
      </c>
      <c r="T157" s="13" t="n">
        <v>284</v>
      </c>
      <c r="U157" s="13" t="n">
        <v>13</v>
      </c>
      <c r="V157" s="13" t="n">
        <v>200</v>
      </c>
      <c r="W157" s="13" t="n">
        <v>0.272</v>
      </c>
      <c r="X157" s="13" t="n">
        <v>153</v>
      </c>
      <c r="Y157" s="13" t="n">
        <v>102</v>
      </c>
      <c r="Z157" s="13" t="n">
        <v>131</v>
      </c>
      <c r="AA157" s="13" t="n">
        <v>3</v>
      </c>
      <c r="AB157" s="13" t="n">
        <v>8.300000000000001</v>
      </c>
      <c r="AC157" s="11" t="inlineStr">
        <is>
          <t xml:space="preserve"> Resort Freeride</t>
        </is>
      </c>
      <c r="AD157" s="11" t="inlineStr">
        <is>
          <t xml:space="preserve"> Touring</t>
        </is>
      </c>
      <c r="AE157" s="13" t="n"/>
      <c r="AF157" s="13" t="n"/>
      <c r="AG157" s="13" t="n"/>
    </row>
    <row r="158">
      <c r="A158" s="9" t="inlineStr">
        <is>
          <t>21/22</t>
        </is>
      </c>
      <c r="B158" s="10" t="inlineStr">
        <is>
          <t xml:space="preserve"> Atomic</t>
        </is>
      </c>
      <c r="C158" s="11" t="inlineStr">
        <is>
          <t>Maven 86</t>
        </is>
      </c>
      <c r="D158" s="13" t="n">
        <v>161</v>
      </c>
      <c r="E158" s="11" t="inlineStr">
        <is>
          <t xml:space="preserve"> Women's</t>
        </is>
      </c>
      <c r="F158" s="13" t="n">
        <v>161</v>
      </c>
      <c r="G158" s="13" t="n">
        <v>160.2</v>
      </c>
      <c r="H158" s="13" t="n">
        <v>113</v>
      </c>
      <c r="I158" s="13" t="n">
        <v>133</v>
      </c>
      <c r="J158" s="13" t="n">
        <v>121</v>
      </c>
      <c r="K158" s="13" t="n">
        <v>86</v>
      </c>
      <c r="L158" s="13" t="n">
        <v>104</v>
      </c>
      <c r="M158" s="13" t="n">
        <v>16</v>
      </c>
      <c r="N158" s="13" t="n">
        <v>1403</v>
      </c>
      <c r="O158" s="13" t="n">
        <v>1.11</v>
      </c>
      <c r="P158" s="13" t="n">
        <v>1551</v>
      </c>
      <c r="Q158" s="13" t="n">
        <v>191</v>
      </c>
      <c r="R158" s="13" t="n">
        <v>82</v>
      </c>
      <c r="S158" s="13" t="n">
        <v>48</v>
      </c>
      <c r="T158" s="13" t="n">
        <v>277</v>
      </c>
      <c r="U158" s="13" t="n">
        <v>12</v>
      </c>
      <c r="V158" s="13" t="n">
        <v>191</v>
      </c>
      <c r="W158" s="13" t="n">
        <v>0.255</v>
      </c>
      <c r="X158" s="13" t="n">
        <v>166</v>
      </c>
      <c r="Y158" s="13" t="n">
        <v>104</v>
      </c>
      <c r="Z158" s="13" t="n">
        <v>111</v>
      </c>
      <c r="AA158" s="13" t="n">
        <v>4</v>
      </c>
      <c r="AB158" s="13" t="n">
        <v>8.699999999999999</v>
      </c>
      <c r="AC158" s="11" t="inlineStr">
        <is>
          <t xml:space="preserve"> Resort Freeride</t>
        </is>
      </c>
      <c r="AD158" s="11" t="inlineStr">
        <is>
          <t xml:space="preserve"> Touring</t>
        </is>
      </c>
      <c r="AE158" s="13" t="n"/>
      <c r="AF158" s="13" t="n"/>
      <c r="AG158" s="13" t="n"/>
    </row>
    <row r="159">
      <c r="A159" s="9" t="inlineStr">
        <is>
          <t>21/22</t>
        </is>
      </c>
      <c r="B159" s="10" t="inlineStr">
        <is>
          <t xml:space="preserve"> Atomic</t>
        </is>
      </c>
      <c r="C159" s="11" t="inlineStr">
        <is>
          <t>Maven 86 C</t>
        </is>
      </c>
      <c r="D159" s="13" t="n">
        <v>153</v>
      </c>
      <c r="E159" s="11" t="inlineStr">
        <is>
          <t xml:space="preserve"> Women's</t>
        </is>
      </c>
      <c r="F159" s="13" t="n">
        <v>153</v>
      </c>
      <c r="G159" s="13" t="n">
        <v>152</v>
      </c>
      <c r="H159" s="13" t="n">
        <v>102</v>
      </c>
      <c r="I159" s="13" t="n">
        <v>126</v>
      </c>
      <c r="J159" s="13" t="n">
        <v>120</v>
      </c>
      <c r="K159" s="13" t="n">
        <v>86</v>
      </c>
      <c r="L159" s="13" t="n">
        <v>103</v>
      </c>
      <c r="M159" s="13" t="n">
        <v>14.1</v>
      </c>
      <c r="N159" s="13" t="n">
        <v>1332</v>
      </c>
      <c r="O159" s="13" t="n">
        <v>1.1</v>
      </c>
      <c r="P159" s="13" t="n">
        <v>1465</v>
      </c>
      <c r="Q159" s="13" t="n">
        <v>178</v>
      </c>
      <c r="R159" s="13" t="n">
        <v>75</v>
      </c>
      <c r="S159" s="13" t="n">
        <v>49</v>
      </c>
      <c r="T159" s="13" t="n">
        <v>292</v>
      </c>
      <c r="U159" s="13" t="n">
        <v>13</v>
      </c>
      <c r="V159" s="13" t="n">
        <v>205</v>
      </c>
      <c r="W159" s="13" t="n">
        <v>0.271</v>
      </c>
      <c r="X159" s="13" t="n">
        <v>157</v>
      </c>
      <c r="Y159" s="13" t="n">
        <v>103</v>
      </c>
      <c r="Z159" s="13" t="n">
        <v>135</v>
      </c>
      <c r="AA159" s="13" t="n">
        <v>2</v>
      </c>
      <c r="AB159" s="13" t="n">
        <v>8.5</v>
      </c>
      <c r="AC159" s="11" t="inlineStr">
        <is>
          <t xml:space="preserve"> Resort Freeride</t>
        </is>
      </c>
      <c r="AD159" s="11" t="inlineStr">
        <is>
          <t xml:space="preserve"> Touring</t>
        </is>
      </c>
      <c r="AE159" s="13" t="n"/>
      <c r="AF159" s="13" t="n"/>
      <c r="AG159" s="13" t="n"/>
    </row>
    <row r="160">
      <c r="A160" s="9" t="inlineStr">
        <is>
          <t>21/22</t>
        </is>
      </c>
      <c r="B160" s="10" t="inlineStr">
        <is>
          <t xml:space="preserve"> Atomic</t>
        </is>
      </c>
      <c r="C160" s="11" t="inlineStr">
        <is>
          <t>Maven 86 C</t>
        </is>
      </c>
      <c r="D160" s="13" t="n">
        <v>161</v>
      </c>
      <c r="E160" s="11" t="inlineStr">
        <is>
          <t xml:space="preserve"> Women's</t>
        </is>
      </c>
      <c r="F160" s="13" t="n">
        <v>161</v>
      </c>
      <c r="G160" s="13" t="n">
        <v>160.3</v>
      </c>
      <c r="H160" s="13" t="n">
        <v>112</v>
      </c>
      <c r="I160" s="13" t="n">
        <v>133</v>
      </c>
      <c r="J160" s="13" t="n">
        <v>122</v>
      </c>
      <c r="K160" s="13" t="n">
        <v>86</v>
      </c>
      <c r="L160" s="13" t="n">
        <v>104</v>
      </c>
      <c r="M160" s="13" t="n">
        <v>15.6</v>
      </c>
      <c r="N160" s="13" t="n">
        <v>1424</v>
      </c>
      <c r="O160" s="13" t="n">
        <v>1.09</v>
      </c>
      <c r="P160" s="13" t="n">
        <v>1557</v>
      </c>
      <c r="Q160" s="13" t="n">
        <v>202</v>
      </c>
      <c r="R160" s="13" t="n">
        <v>85</v>
      </c>
      <c r="S160" s="13" t="n">
        <v>45</v>
      </c>
      <c r="T160" s="13" t="n">
        <v>280</v>
      </c>
      <c r="U160" s="13" t="n">
        <v>13</v>
      </c>
      <c r="V160" s="13" t="n">
        <v>208</v>
      </c>
      <c r="W160" s="13" t="n">
        <v>0.288</v>
      </c>
      <c r="X160" s="13" t="n">
        <v>166</v>
      </c>
      <c r="Y160" s="13" t="n">
        <v>108</v>
      </c>
      <c r="Z160" s="13" t="n">
        <v>114</v>
      </c>
      <c r="AA160" s="13" t="n">
        <v>2</v>
      </c>
      <c r="AB160" s="13" t="n">
        <v>8.9</v>
      </c>
      <c r="AC160" s="11" t="inlineStr">
        <is>
          <t xml:space="preserve"> Resort Freeride</t>
        </is>
      </c>
      <c r="AD160" s="11" t="inlineStr">
        <is>
          <t xml:space="preserve"> Touring</t>
        </is>
      </c>
      <c r="AE160" s="13" t="n"/>
      <c r="AF160" s="13" t="n"/>
      <c r="AG160" s="13" t="n"/>
    </row>
    <row r="161">
      <c r="A161" s="9" t="inlineStr">
        <is>
          <t>21/22</t>
        </is>
      </c>
      <c r="B161" s="10" t="inlineStr">
        <is>
          <t xml:space="preserve"> Atomic</t>
        </is>
      </c>
      <c r="C161" s="11" t="inlineStr">
        <is>
          <t>Maven 93 C</t>
        </is>
      </c>
      <c r="D161" s="13" t="n">
        <v>156</v>
      </c>
      <c r="E161" s="11" t="inlineStr">
        <is>
          <t xml:space="preserve"> Women's</t>
        </is>
      </c>
      <c r="F161" s="13" t="n">
        <v>156</v>
      </c>
      <c r="G161" s="13" t="n">
        <v>155.2</v>
      </c>
      <c r="H161" s="13" t="n">
        <v>105</v>
      </c>
      <c r="I161" s="13" t="n">
        <v>126</v>
      </c>
      <c r="J161" s="13" t="n">
        <v>124</v>
      </c>
      <c r="K161" s="13" t="n">
        <v>92</v>
      </c>
      <c r="L161" s="13" t="n">
        <v>108</v>
      </c>
      <c r="M161" s="13" t="n">
        <v>15</v>
      </c>
      <c r="N161" s="13" t="n">
        <v>1407</v>
      </c>
      <c r="O161" s="13" t="n">
        <v>1.13</v>
      </c>
      <c r="P161" s="13" t="n">
        <v>1583</v>
      </c>
      <c r="Q161" s="13" t="n">
        <v>171</v>
      </c>
      <c r="R161" s="13" t="n">
        <v>86</v>
      </c>
      <c r="S161" s="13" t="n">
        <v>51</v>
      </c>
      <c r="T161" s="13" t="n">
        <v>304</v>
      </c>
      <c r="U161" s="13" t="n">
        <v>15</v>
      </c>
      <c r="V161" s="13" t="n">
        <v>200</v>
      </c>
      <c r="W161" s="13" t="n">
        <v>0.286</v>
      </c>
      <c r="X161" s="13" t="n">
        <v>167</v>
      </c>
      <c r="Y161" s="13" t="n">
        <v>125</v>
      </c>
      <c r="Z161" s="13" t="n">
        <v>137</v>
      </c>
      <c r="AA161" s="13" t="n">
        <v>3</v>
      </c>
      <c r="AB161" s="13" t="n">
        <v>8.6</v>
      </c>
      <c r="AC161" s="11" t="inlineStr">
        <is>
          <t xml:space="preserve"> Resort Freeride</t>
        </is>
      </c>
      <c r="AD161" s="11" t="inlineStr">
        <is>
          <t xml:space="preserve"> Touring</t>
        </is>
      </c>
      <c r="AE161" s="13" t="n"/>
      <c r="AF161" s="13" t="n"/>
      <c r="AG161" s="13" t="n"/>
    </row>
    <row r="162">
      <c r="A162" s="9" t="inlineStr">
        <is>
          <t>21/22</t>
        </is>
      </c>
      <c r="B162" s="10" t="inlineStr">
        <is>
          <t xml:space="preserve"> Atomic</t>
        </is>
      </c>
      <c r="C162" s="11" t="inlineStr">
        <is>
          <t>Maven 93 C</t>
        </is>
      </c>
      <c r="D162" s="13" t="n">
        <v>164</v>
      </c>
      <c r="E162" s="11" t="inlineStr">
        <is>
          <t xml:space="preserve"> Women's</t>
        </is>
      </c>
      <c r="F162" s="13" t="n">
        <v>164</v>
      </c>
      <c r="G162" s="13" t="n">
        <v>163.4</v>
      </c>
      <c r="H162" s="13" t="n">
        <v>113</v>
      </c>
      <c r="I162" s="13" t="n">
        <v>134</v>
      </c>
      <c r="J162" s="13" t="n">
        <v>125</v>
      </c>
      <c r="K162" s="13" t="n">
        <v>92</v>
      </c>
      <c r="L162" s="13" t="n">
        <v>109</v>
      </c>
      <c r="M162" s="13" t="n">
        <v>16.6</v>
      </c>
      <c r="N162" s="13" t="n">
        <v>1489</v>
      </c>
      <c r="O162" s="13" t="n">
        <v>1.12</v>
      </c>
      <c r="P162" s="13" t="n">
        <v>1669</v>
      </c>
      <c r="Q162" s="13" t="n">
        <v>218</v>
      </c>
      <c r="R162" s="13" t="n">
        <v>87</v>
      </c>
      <c r="S162" s="13" t="n">
        <v>53</v>
      </c>
      <c r="T162" s="13" t="n">
        <v>303</v>
      </c>
      <c r="U162" s="13" t="n">
        <v>13</v>
      </c>
      <c r="V162" s="13" t="n">
        <v>197</v>
      </c>
      <c r="W162" s="13" t="n">
        <v>0.255</v>
      </c>
      <c r="X162" s="13" t="n">
        <v>163</v>
      </c>
      <c r="Y162" s="13" t="n">
        <v>135</v>
      </c>
      <c r="Z162" s="13" t="n">
        <v>140</v>
      </c>
      <c r="AA162" s="13" t="n">
        <v>4</v>
      </c>
      <c r="AB162" s="13" t="n">
        <v>9.5</v>
      </c>
      <c r="AC162" s="11" t="inlineStr">
        <is>
          <t xml:space="preserve"> Resort Freeride</t>
        </is>
      </c>
      <c r="AD162" s="11" t="inlineStr">
        <is>
          <t xml:space="preserve"> Touring</t>
        </is>
      </c>
      <c r="AE162" s="13" t="n"/>
      <c r="AF162" s="13" t="n"/>
      <c r="AG162" s="13" t="n"/>
    </row>
    <row r="163">
      <c r="A163" s="9" t="inlineStr">
        <is>
          <t>21/22</t>
        </is>
      </c>
      <c r="B163" s="10" t="inlineStr">
        <is>
          <t xml:space="preserve"> Atomic</t>
        </is>
      </c>
      <c r="C163" s="11" t="inlineStr">
        <is>
          <t>Maven 93 C</t>
        </is>
      </c>
      <c r="D163" s="13" t="n">
        <v>172</v>
      </c>
      <c r="E163" s="11" t="inlineStr">
        <is>
          <t xml:space="preserve"> Women's</t>
        </is>
      </c>
      <c r="F163" s="13" t="n">
        <v>172</v>
      </c>
      <c r="G163" s="13" t="n">
        <v>171.4</v>
      </c>
      <c r="H163" s="13" t="n">
        <v>122</v>
      </c>
      <c r="I163" s="13" t="n">
        <v>140</v>
      </c>
      <c r="J163" s="13" t="n">
        <v>127</v>
      </c>
      <c r="K163" s="13" t="n">
        <v>92</v>
      </c>
      <c r="L163" s="13" t="n">
        <v>110</v>
      </c>
      <c r="M163" s="13" t="n">
        <v>17.9</v>
      </c>
      <c r="N163" s="13" t="n">
        <v>1642</v>
      </c>
      <c r="O163" s="13" t="n">
        <v>1.07</v>
      </c>
      <c r="P163" s="13" t="n">
        <v>1761</v>
      </c>
      <c r="Q163" s="13" t="n">
        <v>219</v>
      </c>
      <c r="R163" s="13" t="n">
        <v>107</v>
      </c>
      <c r="S163" s="13" t="n">
        <v>52</v>
      </c>
      <c r="T163" s="13" t="n">
        <v>297</v>
      </c>
      <c r="U163" s="13" t="n">
        <v>14</v>
      </c>
      <c r="V163" s="13" t="n">
        <v>194</v>
      </c>
      <c r="W163" s="13" t="n">
        <v>0.269</v>
      </c>
      <c r="X163" s="13" t="n">
        <v>183</v>
      </c>
      <c r="Y163" s="13" t="n">
        <v>133</v>
      </c>
      <c r="Z163" s="13" t="n">
        <v>114</v>
      </c>
      <c r="AA163" s="13" t="n">
        <v>5</v>
      </c>
      <c r="AB163" s="13" t="n">
        <v>8.800000000000001</v>
      </c>
      <c r="AC163" s="11" t="inlineStr">
        <is>
          <t xml:space="preserve"> Resort Freeride</t>
        </is>
      </c>
      <c r="AD163" s="11" t="inlineStr">
        <is>
          <t xml:space="preserve"> Touring</t>
        </is>
      </c>
      <c r="AE163" s="13" t="n"/>
      <c r="AF163" s="13" t="n"/>
      <c r="AG163" s="13" t="n"/>
    </row>
    <row r="164">
      <c r="A164" s="9" t="inlineStr">
        <is>
          <t>21/22</t>
        </is>
      </c>
      <c r="B164" s="10" t="inlineStr">
        <is>
          <t xml:space="preserve"> Atomic</t>
        </is>
      </c>
      <c r="C164" s="11" t="inlineStr">
        <is>
          <t>Maverick 100 Ti</t>
        </is>
      </c>
      <c r="D164" s="13" t="n">
        <v>172</v>
      </c>
      <c r="E164" s="11" t="inlineStr">
        <is>
          <t xml:space="preserve"> Unisex</t>
        </is>
      </c>
      <c r="F164" s="13" t="n">
        <v>172</v>
      </c>
      <c r="G164" s="13" t="n">
        <v>171.4</v>
      </c>
      <c r="H164" s="13" t="n">
        <v>122</v>
      </c>
      <c r="I164" s="13" t="n">
        <v>136</v>
      </c>
      <c r="J164" s="13" t="n">
        <v>127</v>
      </c>
      <c r="K164" s="13" t="n">
        <v>98</v>
      </c>
      <c r="L164" s="13" t="n">
        <v>117</v>
      </c>
      <c r="M164" s="13" t="n">
        <v>17.8</v>
      </c>
      <c r="N164" s="13" t="n">
        <v>1629</v>
      </c>
      <c r="O164" s="13" t="n">
        <v>1.12</v>
      </c>
      <c r="P164" s="13" t="n">
        <v>1830</v>
      </c>
      <c r="Q164" s="13" t="n">
        <v>203</v>
      </c>
      <c r="R164" s="13" t="n">
        <v>150</v>
      </c>
      <c r="S164" s="13" t="n">
        <v>56</v>
      </c>
      <c r="T164" s="13" t="n">
        <v>294</v>
      </c>
      <c r="U164" s="13" t="n">
        <v>17</v>
      </c>
      <c r="V164" s="13" t="n">
        <v>203</v>
      </c>
      <c r="W164" s="13" t="n">
        <v>0.31</v>
      </c>
      <c r="X164" s="13" t="n">
        <v>189</v>
      </c>
      <c r="Y164" s="13" t="n">
        <v>164</v>
      </c>
      <c r="Z164" s="13" t="n">
        <v>105</v>
      </c>
      <c r="AA164" s="13" t="n">
        <v>7</v>
      </c>
      <c r="AB164" s="13" t="n">
        <v>9.800000000000001</v>
      </c>
      <c r="AC164" s="11" t="inlineStr">
        <is>
          <t xml:space="preserve"> Resort Freeride</t>
        </is>
      </c>
      <c r="AD164" s="11" t="inlineStr">
        <is>
          <t xml:space="preserve"> Touring</t>
        </is>
      </c>
      <c r="AE164" s="13" t="n"/>
      <c r="AF164" s="13" t="n"/>
      <c r="AG164" s="13" t="n"/>
    </row>
    <row r="165">
      <c r="A165" s="9" t="inlineStr">
        <is>
          <t>21/22</t>
        </is>
      </c>
      <c r="B165" s="10" t="inlineStr">
        <is>
          <t xml:space="preserve"> Atomic</t>
        </is>
      </c>
      <c r="C165" s="11" t="inlineStr">
        <is>
          <t>Maverick 100 Ti</t>
        </is>
      </c>
      <c r="D165" s="13" t="n">
        <v>180</v>
      </c>
      <c r="E165" s="11" t="inlineStr">
        <is>
          <t xml:space="preserve"> Unisex</t>
        </is>
      </c>
      <c r="F165" s="13" t="n">
        <v>180</v>
      </c>
      <c r="G165" s="13" t="n">
        <v>178</v>
      </c>
      <c r="H165" s="13" t="n">
        <v>129</v>
      </c>
      <c r="I165" s="13" t="n">
        <v>144</v>
      </c>
      <c r="J165" s="13" t="n">
        <v>128</v>
      </c>
      <c r="K165" s="13" t="n">
        <v>99</v>
      </c>
      <c r="L165" s="13" t="n">
        <v>118</v>
      </c>
      <c r="M165" s="13" t="n">
        <v>19.8</v>
      </c>
      <c r="N165" s="13" t="n">
        <v>1744</v>
      </c>
      <c r="O165" s="13" t="n">
        <v>1.1</v>
      </c>
      <c r="P165" s="13" t="n">
        <v>1914</v>
      </c>
      <c r="Q165" s="13" t="n">
        <v>227</v>
      </c>
      <c r="R165" s="13" t="n">
        <v>166</v>
      </c>
      <c r="S165" s="13" t="n">
        <v>60</v>
      </c>
      <c r="T165" s="13" t="n">
        <v>293</v>
      </c>
      <c r="U165" s="13" t="n">
        <v>18</v>
      </c>
      <c r="V165" s="13" t="n">
        <v>199</v>
      </c>
      <c r="W165" s="13" t="n">
        <v>0.299</v>
      </c>
      <c r="X165" s="13" t="n">
        <v>180</v>
      </c>
      <c r="Y165" s="13" t="n">
        <v>163</v>
      </c>
      <c r="Z165" s="13" t="n">
        <v>114</v>
      </c>
      <c r="AA165" s="13" t="n">
        <v>7</v>
      </c>
      <c r="AB165" s="13" t="n">
        <v>9.199999999999999</v>
      </c>
      <c r="AC165" s="11" t="inlineStr">
        <is>
          <t xml:space="preserve"> Resort Freeride</t>
        </is>
      </c>
      <c r="AD165" s="11" t="inlineStr">
        <is>
          <t xml:space="preserve"> Touring</t>
        </is>
      </c>
      <c r="AE165" s="13" t="n"/>
      <c r="AF165" s="13" t="n"/>
      <c r="AG165" s="13" t="n"/>
    </row>
    <row r="166">
      <c r="A166" s="9" t="inlineStr">
        <is>
          <t>21/22</t>
        </is>
      </c>
      <c r="B166" s="10" t="inlineStr">
        <is>
          <t xml:space="preserve"> Atomic</t>
        </is>
      </c>
      <c r="C166" s="11" t="inlineStr">
        <is>
          <t>Maverick 100 Ti</t>
        </is>
      </c>
      <c r="D166" s="13" t="n">
        <v>188</v>
      </c>
      <c r="E166" s="11" t="inlineStr">
        <is>
          <t xml:space="preserve"> Unisex</t>
        </is>
      </c>
      <c r="F166" s="13" t="n">
        <v>188</v>
      </c>
      <c r="G166" s="13" t="n">
        <v>187</v>
      </c>
      <c r="H166" s="13" t="n">
        <v>132</v>
      </c>
      <c r="I166" s="13" t="n">
        <v>149</v>
      </c>
      <c r="J166" s="13" t="n">
        <v>129</v>
      </c>
      <c r="K166" s="13" t="n">
        <v>100</v>
      </c>
      <c r="L166" s="13" t="n">
        <v>120</v>
      </c>
      <c r="M166" s="13" t="n">
        <v>21.5</v>
      </c>
      <c r="N166" s="13" t="n">
        <v>1810</v>
      </c>
      <c r="O166" s="13" t="n">
        <v>1.12</v>
      </c>
      <c r="P166" s="13" t="n">
        <v>2023</v>
      </c>
      <c r="Q166" s="13" t="n">
        <v>265</v>
      </c>
      <c r="R166" s="13" t="n">
        <v>173</v>
      </c>
      <c r="S166" s="13" t="n">
        <v>69</v>
      </c>
      <c r="T166" s="13" t="n">
        <v>329</v>
      </c>
      <c r="U166" s="13" t="n">
        <v>19</v>
      </c>
      <c r="V166" s="13" t="n">
        <v>224</v>
      </c>
      <c r="W166" s="13" t="n">
        <v>0.281</v>
      </c>
      <c r="X166" s="13" t="n">
        <v>212</v>
      </c>
      <c r="Y166" s="13" t="n">
        <v>164</v>
      </c>
      <c r="Z166" s="13" t="n">
        <v>117</v>
      </c>
      <c r="AA166" s="13" t="n">
        <v>6</v>
      </c>
      <c r="AB166" s="13" t="n">
        <v>10.8</v>
      </c>
      <c r="AC166" s="11" t="inlineStr">
        <is>
          <t xml:space="preserve"> Resort Freeride</t>
        </is>
      </c>
      <c r="AD166" s="11" t="inlineStr">
        <is>
          <t xml:space="preserve"> Touring</t>
        </is>
      </c>
      <c r="AE166" s="13" t="n"/>
      <c r="AF166" s="13" t="n"/>
      <c r="AG166" s="13" t="n"/>
    </row>
    <row r="167">
      <c r="A167" s="9" t="inlineStr">
        <is>
          <t>21/22</t>
        </is>
      </c>
      <c r="B167" s="10" t="inlineStr">
        <is>
          <t xml:space="preserve"> Atomic</t>
        </is>
      </c>
      <c r="C167" s="11" t="inlineStr">
        <is>
          <t>Maverick 83</t>
        </is>
      </c>
      <c r="D167" s="13" t="n">
        <v>157</v>
      </c>
      <c r="E167" s="11" t="inlineStr">
        <is>
          <t xml:space="preserve"> Unisex</t>
        </is>
      </c>
      <c r="F167" s="13" t="n">
        <v>157</v>
      </c>
      <c r="G167" s="13" t="n">
        <v>155.8</v>
      </c>
      <c r="H167" s="13" t="n">
        <v>127</v>
      </c>
      <c r="I167" s="13" t="n">
        <v>136</v>
      </c>
      <c r="J167" s="13" t="n">
        <v>119</v>
      </c>
      <c r="K167" s="13" t="n">
        <v>82</v>
      </c>
      <c r="L167" s="13" t="n">
        <v>103</v>
      </c>
      <c r="M167" s="13" t="n">
        <v>14.3</v>
      </c>
      <c r="N167" s="13" t="n">
        <v>1696</v>
      </c>
      <c r="O167" s="13" t="n">
        <v>0.86</v>
      </c>
      <c r="P167" s="13" t="n">
        <v>1459</v>
      </c>
      <c r="Q167" s="13" t="n">
        <v>152</v>
      </c>
      <c r="R167" s="13" t="n">
        <v>63</v>
      </c>
      <c r="S167" s="13" t="n">
        <v>42</v>
      </c>
      <c r="T167" s="13" t="n">
        <v>177</v>
      </c>
      <c r="U167" s="13" t="n">
        <v>21</v>
      </c>
      <c r="V167" s="13" t="n">
        <v>113</v>
      </c>
      <c r="W167" s="13" t="n">
        <v>0.504</v>
      </c>
      <c r="X167" s="13" t="n">
        <v>113</v>
      </c>
      <c r="Y167" s="13" t="n">
        <v>88</v>
      </c>
      <c r="Z167" s="13" t="n">
        <v>63</v>
      </c>
      <c r="AA167" s="13" t="n">
        <v>11</v>
      </c>
      <c r="AB167" s="13" t="n">
        <v>8.199999999999999</v>
      </c>
      <c r="AC167" s="11" t="inlineStr">
        <is>
          <t xml:space="preserve"> Resort Freeride</t>
        </is>
      </c>
      <c r="AD167" s="13" t="n"/>
      <c r="AE167" s="13" t="n"/>
      <c r="AF167" s="13" t="n"/>
      <c r="AG167" s="13" t="n"/>
    </row>
    <row r="168">
      <c r="A168" s="9" t="inlineStr">
        <is>
          <t>21/22</t>
        </is>
      </c>
      <c r="B168" s="10" t="inlineStr">
        <is>
          <t xml:space="preserve"> Atomic</t>
        </is>
      </c>
      <c r="C168" s="11" t="inlineStr">
        <is>
          <t>Maverick 83</t>
        </is>
      </c>
      <c r="D168" s="13" t="n">
        <v>165</v>
      </c>
      <c r="E168" s="11" t="inlineStr">
        <is>
          <t xml:space="preserve"> Unisex</t>
        </is>
      </c>
      <c r="F168" s="13" t="n">
        <v>165</v>
      </c>
      <c r="G168" s="13" t="n">
        <v>163.8</v>
      </c>
      <c r="H168" s="13" t="n">
        <v>132</v>
      </c>
      <c r="I168" s="13" t="n">
        <v>142</v>
      </c>
      <c r="J168" s="13" t="n">
        <v>121</v>
      </c>
      <c r="K168" s="13" t="n">
        <v>81</v>
      </c>
      <c r="L168" s="13" t="n">
        <v>105</v>
      </c>
      <c r="M168" s="13" t="n">
        <v>14.9</v>
      </c>
      <c r="N168" s="13" t="n">
        <v>1825</v>
      </c>
      <c r="O168" s="13" t="n">
        <v>0.84</v>
      </c>
      <c r="P168" s="13" t="n">
        <v>1542</v>
      </c>
      <c r="Q168" s="13" t="n">
        <v>165</v>
      </c>
      <c r="R168" s="13" t="n">
        <v>71</v>
      </c>
      <c r="S168" s="13" t="n">
        <v>44</v>
      </c>
      <c r="T168" s="13" t="n">
        <v>196</v>
      </c>
      <c r="U168" s="13" t="n">
        <v>23</v>
      </c>
      <c r="V168" s="13" t="n">
        <v>118</v>
      </c>
      <c r="W168" s="13" t="n">
        <v>0.517</v>
      </c>
      <c r="X168" s="13" t="n">
        <v>124</v>
      </c>
      <c r="Y168" s="13" t="n">
        <v>90</v>
      </c>
      <c r="Z168" s="13" t="n">
        <v>73</v>
      </c>
      <c r="AA168" s="13" t="n">
        <v>8</v>
      </c>
      <c r="AB168" s="13" t="n">
        <v>8.1</v>
      </c>
      <c r="AC168" s="11" t="inlineStr">
        <is>
          <t xml:space="preserve"> Resort Freeride</t>
        </is>
      </c>
      <c r="AD168" s="13" t="n"/>
      <c r="AE168" s="13" t="n"/>
      <c r="AF168" s="13" t="n"/>
      <c r="AG168" s="13" t="n"/>
    </row>
    <row r="169">
      <c r="A169" s="9" t="inlineStr">
        <is>
          <t>21/22</t>
        </is>
      </c>
      <c r="B169" s="10" t="inlineStr">
        <is>
          <t xml:space="preserve"> Atomic</t>
        </is>
      </c>
      <c r="C169" s="11" t="inlineStr">
        <is>
          <t>Maverick 83</t>
        </is>
      </c>
      <c r="D169" s="13" t="n">
        <v>173</v>
      </c>
      <c r="E169" s="11" t="inlineStr">
        <is>
          <t xml:space="preserve"> Unisex</t>
        </is>
      </c>
      <c r="F169" s="13" t="n">
        <v>173</v>
      </c>
      <c r="G169" s="13" t="n">
        <v>171.9</v>
      </c>
      <c r="H169" s="13" t="n">
        <v>141</v>
      </c>
      <c r="I169" s="13" t="n">
        <v>151</v>
      </c>
      <c r="J169" s="13" t="n">
        <v>122</v>
      </c>
      <c r="K169" s="13" t="n">
        <v>81</v>
      </c>
      <c r="L169" s="13" t="n">
        <v>106</v>
      </c>
      <c r="M169" s="13" t="n">
        <v>15.7</v>
      </c>
      <c r="N169" s="13" t="n">
        <v>1980</v>
      </c>
      <c r="O169" s="13" t="n">
        <v>0.82</v>
      </c>
      <c r="P169" s="13" t="n">
        <v>1626</v>
      </c>
      <c r="Q169" s="13" t="n">
        <v>199</v>
      </c>
      <c r="R169" s="13" t="n">
        <v>87</v>
      </c>
      <c r="S169" s="13" t="n">
        <v>41</v>
      </c>
      <c r="T169" s="13" t="n">
        <v>191</v>
      </c>
      <c r="U169" s="13" t="n">
        <v>22</v>
      </c>
      <c r="V169" s="13" t="n">
        <v>117</v>
      </c>
      <c r="W169" s="13" t="n">
        <v>0.541</v>
      </c>
      <c r="X169" s="13" t="n">
        <v>116</v>
      </c>
      <c r="Y169" s="13" t="n">
        <v>92</v>
      </c>
      <c r="Z169" s="13" t="n">
        <v>75</v>
      </c>
      <c r="AA169" s="13" t="n">
        <v>11</v>
      </c>
      <c r="AB169" s="13" t="n">
        <v>8.300000000000001</v>
      </c>
      <c r="AC169" s="11" t="inlineStr">
        <is>
          <t xml:space="preserve"> Resort Freeride</t>
        </is>
      </c>
      <c r="AD169" s="13" t="n"/>
      <c r="AE169" s="13" t="n"/>
      <c r="AF169" s="13" t="n"/>
      <c r="AG169" s="13" t="n"/>
    </row>
    <row r="170">
      <c r="A170" s="9" t="inlineStr">
        <is>
          <t>21/22</t>
        </is>
      </c>
      <c r="B170" s="10" t="inlineStr">
        <is>
          <t xml:space="preserve"> Atomic</t>
        </is>
      </c>
      <c r="C170" s="11" t="inlineStr">
        <is>
          <t>Maverick 83</t>
        </is>
      </c>
      <c r="D170" s="13" t="n">
        <v>181</v>
      </c>
      <c r="E170" s="11" t="inlineStr">
        <is>
          <t xml:space="preserve"> Unisex</t>
        </is>
      </c>
      <c r="F170" s="13" t="n">
        <v>181</v>
      </c>
      <c r="G170" s="13" t="n">
        <v>179.6</v>
      </c>
      <c r="H170" s="13" t="n">
        <v>151</v>
      </c>
      <c r="I170" s="13" t="n">
        <v>159</v>
      </c>
      <c r="J170" s="13" t="n">
        <v>123</v>
      </c>
      <c r="K170" s="13" t="n">
        <v>81</v>
      </c>
      <c r="L170" s="13" t="n">
        <v>107</v>
      </c>
      <c r="M170" s="13" t="n">
        <v>16.9</v>
      </c>
      <c r="N170" s="13" t="n">
        <v>2079</v>
      </c>
      <c r="O170" s="13" t="n">
        <v>0.82</v>
      </c>
      <c r="P170" s="13" t="n">
        <v>1704</v>
      </c>
      <c r="Q170" s="13" t="n">
        <v>213</v>
      </c>
      <c r="R170" s="13" t="n">
        <v>102</v>
      </c>
      <c r="S170" s="13" t="n">
        <v>42</v>
      </c>
      <c r="T170" s="13" t="n">
        <v>178</v>
      </c>
      <c r="U170" s="13" t="n">
        <v>21</v>
      </c>
      <c r="V170" s="13" t="n">
        <v>111</v>
      </c>
      <c r="W170" s="13" t="n">
        <v>0.495</v>
      </c>
      <c r="X170" s="13" t="n">
        <v>112</v>
      </c>
      <c r="Y170" s="13" t="n">
        <v>91</v>
      </c>
      <c r="Z170" s="13" t="n">
        <v>66</v>
      </c>
      <c r="AA170" s="13" t="n">
        <v>13</v>
      </c>
      <c r="AB170" s="13" t="n">
        <v>8.5</v>
      </c>
      <c r="AC170" s="11" t="inlineStr">
        <is>
          <t xml:space="preserve"> Resort Freeride</t>
        </is>
      </c>
      <c r="AD170" s="13" t="n"/>
      <c r="AE170" s="13" t="n"/>
      <c r="AF170" s="13" t="n"/>
      <c r="AG170" s="13" t="n"/>
    </row>
    <row r="171">
      <c r="A171" s="9" t="inlineStr">
        <is>
          <t>21/22</t>
        </is>
      </c>
      <c r="B171" s="10" t="inlineStr">
        <is>
          <t xml:space="preserve"> Atomic</t>
        </is>
      </c>
      <c r="C171" s="11" t="inlineStr">
        <is>
          <t>Maverick 86 C</t>
        </is>
      </c>
      <c r="D171" s="13" t="n">
        <v>161</v>
      </c>
      <c r="E171" s="11" t="inlineStr">
        <is>
          <t xml:space="preserve"> Unisex</t>
        </is>
      </c>
      <c r="F171" s="13" t="n">
        <v>161</v>
      </c>
      <c r="G171" s="13" t="n">
        <v>160.1</v>
      </c>
      <c r="H171" s="13" t="n">
        <v>114</v>
      </c>
      <c r="I171" s="13" t="n">
        <v>135</v>
      </c>
      <c r="J171" s="13" t="n">
        <v>121</v>
      </c>
      <c r="K171" s="13" t="n">
        <v>86</v>
      </c>
      <c r="L171" s="13" t="n">
        <v>104</v>
      </c>
      <c r="M171" s="13" t="n">
        <v>15.6</v>
      </c>
      <c r="N171" s="13" t="n">
        <v>1400</v>
      </c>
      <c r="O171" s="13" t="n">
        <v>1.11</v>
      </c>
      <c r="P171" s="13" t="n">
        <v>1548</v>
      </c>
      <c r="Q171" s="13" t="n">
        <v>180</v>
      </c>
      <c r="R171" s="13" t="n">
        <v>86</v>
      </c>
      <c r="S171" s="13" t="n">
        <v>48</v>
      </c>
      <c r="T171" s="13" t="n">
        <v>282</v>
      </c>
      <c r="U171" s="13" t="n">
        <v>11</v>
      </c>
      <c r="V171" s="13" t="n">
        <v>183</v>
      </c>
      <c r="W171" s="13" t="n">
        <v>0.225</v>
      </c>
      <c r="X171" s="13" t="n">
        <v>153</v>
      </c>
      <c r="Y171" s="13" t="n">
        <v>103</v>
      </c>
      <c r="Z171" s="13" t="n">
        <v>128</v>
      </c>
      <c r="AA171" s="13" t="n">
        <v>5</v>
      </c>
      <c r="AB171" s="13" t="n">
        <v>8.800000000000001</v>
      </c>
      <c r="AC171" s="11" t="inlineStr">
        <is>
          <t xml:space="preserve"> Resort Freeride</t>
        </is>
      </c>
      <c r="AD171" s="11" t="inlineStr">
        <is>
          <t xml:space="preserve"> Touring</t>
        </is>
      </c>
      <c r="AE171" s="13" t="n"/>
      <c r="AF171" s="13" t="n"/>
      <c r="AG171" s="13" t="n"/>
    </row>
    <row r="172">
      <c r="A172" s="9" t="inlineStr">
        <is>
          <t>21/22</t>
        </is>
      </c>
      <c r="B172" s="10" t="inlineStr">
        <is>
          <t xml:space="preserve"> Atomic</t>
        </is>
      </c>
      <c r="C172" s="11" t="inlineStr">
        <is>
          <t>Maverick 86 C</t>
        </is>
      </c>
      <c r="D172" s="13" t="n">
        <v>169</v>
      </c>
      <c r="E172" s="11" t="inlineStr">
        <is>
          <t xml:space="preserve"> Unisex</t>
        </is>
      </c>
      <c r="F172" s="13" t="n">
        <v>169</v>
      </c>
      <c r="G172" s="13" t="n">
        <v>168.3</v>
      </c>
      <c r="H172" s="13" t="n">
        <v>117</v>
      </c>
      <c r="I172" s="13" t="n">
        <v>142</v>
      </c>
      <c r="J172" s="13" t="n">
        <v>122</v>
      </c>
      <c r="K172" s="13" t="n">
        <v>86</v>
      </c>
      <c r="L172" s="13" t="n">
        <v>106</v>
      </c>
      <c r="M172" s="13" t="n">
        <v>17</v>
      </c>
      <c r="N172" s="13" t="n">
        <v>1462</v>
      </c>
      <c r="O172" s="13" t="n">
        <v>1.12</v>
      </c>
      <c r="P172" s="13" t="n">
        <v>1634</v>
      </c>
      <c r="Q172" s="13" t="n">
        <v>188</v>
      </c>
      <c r="R172" s="13" t="n">
        <v>87</v>
      </c>
      <c r="S172" s="13" t="n">
        <v>50</v>
      </c>
      <c r="T172" s="13" t="n">
        <v>299</v>
      </c>
      <c r="U172" s="13" t="n">
        <v>15</v>
      </c>
      <c r="V172" s="13" t="n">
        <v>215</v>
      </c>
      <c r="W172" s="13" t="n">
        <v>0.295</v>
      </c>
      <c r="X172" s="13" t="n">
        <v>166</v>
      </c>
      <c r="Y172" s="13" t="n">
        <v>100</v>
      </c>
      <c r="Z172" s="13" t="n">
        <v>133</v>
      </c>
      <c r="AA172" s="13" t="n">
        <v>2</v>
      </c>
      <c r="AB172" s="13" t="n">
        <v>8.9</v>
      </c>
      <c r="AC172" s="11" t="inlineStr">
        <is>
          <t xml:space="preserve"> Resort Freeride</t>
        </is>
      </c>
      <c r="AD172" s="11" t="inlineStr">
        <is>
          <t xml:space="preserve"> Touring</t>
        </is>
      </c>
      <c r="AE172" s="13" t="n"/>
      <c r="AF172" s="13" t="n"/>
      <c r="AG172" s="13" t="n"/>
    </row>
    <row r="173">
      <c r="A173" s="9" t="inlineStr">
        <is>
          <t>21/22</t>
        </is>
      </c>
      <c r="B173" s="10" t="inlineStr">
        <is>
          <t xml:space="preserve"> Atomic</t>
        </is>
      </c>
      <c r="C173" s="11" t="inlineStr">
        <is>
          <t>Maverick 86 C</t>
        </is>
      </c>
      <c r="D173" s="13" t="n">
        <v>176</v>
      </c>
      <c r="E173" s="11" t="inlineStr">
        <is>
          <t xml:space="preserve"> Unisex</t>
        </is>
      </c>
      <c r="F173" s="13" t="n">
        <v>176</v>
      </c>
      <c r="G173" s="13" t="n">
        <v>175.3</v>
      </c>
      <c r="H173" s="13" t="n">
        <v>131</v>
      </c>
      <c r="I173" s="13" t="n">
        <v>147</v>
      </c>
      <c r="J173" s="13" t="n">
        <v>124</v>
      </c>
      <c r="K173" s="13" t="n">
        <v>87</v>
      </c>
      <c r="L173" s="13" t="n">
        <v>107</v>
      </c>
      <c r="M173" s="13" t="n">
        <v>18.3</v>
      </c>
      <c r="N173" s="13" t="n">
        <v>1547</v>
      </c>
      <c r="O173" s="13" t="n">
        <v>1.11</v>
      </c>
      <c r="P173" s="13" t="n">
        <v>1719</v>
      </c>
      <c r="Q173" s="13" t="n">
        <v>217</v>
      </c>
      <c r="R173" s="13" t="n">
        <v>99</v>
      </c>
      <c r="S173" s="13" t="n">
        <v>45</v>
      </c>
      <c r="T173" s="13" t="n">
        <v>268</v>
      </c>
      <c r="U173" s="13" t="n">
        <v>11</v>
      </c>
      <c r="V173" s="13" t="n">
        <v>173</v>
      </c>
      <c r="W173" s="13" t="n">
        <v>0.24</v>
      </c>
      <c r="X173" s="13" t="n">
        <v>170</v>
      </c>
      <c r="Y173" s="13" t="n">
        <v>109</v>
      </c>
      <c r="Z173" s="13" t="n">
        <v>98</v>
      </c>
      <c r="AA173" s="13" t="n">
        <v>6</v>
      </c>
      <c r="AB173" s="13" t="n">
        <v>8.800000000000001</v>
      </c>
      <c r="AC173" s="11" t="inlineStr">
        <is>
          <t xml:space="preserve"> Resort Freeride</t>
        </is>
      </c>
      <c r="AD173" s="11" t="inlineStr">
        <is>
          <t xml:space="preserve"> Touring</t>
        </is>
      </c>
      <c r="AE173" s="13" t="n"/>
      <c r="AF173" s="13" t="n"/>
      <c r="AG173" s="13" t="n"/>
    </row>
    <row r="174">
      <c r="A174" s="9" t="inlineStr">
        <is>
          <t>21/22</t>
        </is>
      </c>
      <c r="B174" s="10" t="inlineStr">
        <is>
          <t xml:space="preserve"> Atomic</t>
        </is>
      </c>
      <c r="C174" s="11" t="inlineStr">
        <is>
          <t>Maverick 88 Ti</t>
        </is>
      </c>
      <c r="D174" s="13" t="n">
        <v>169</v>
      </c>
      <c r="E174" s="11" t="inlineStr">
        <is>
          <t xml:space="preserve"> Unisex</t>
        </is>
      </c>
      <c r="F174" s="13" t="n">
        <v>169</v>
      </c>
      <c r="G174" s="13" t="n">
        <v>168</v>
      </c>
      <c r="H174" s="13" t="n">
        <v>120</v>
      </c>
      <c r="I174" s="13" t="n">
        <v>144</v>
      </c>
      <c r="J174" s="13" t="n">
        <v>122</v>
      </c>
      <c r="K174" s="13" t="n">
        <v>86</v>
      </c>
      <c r="L174" s="13" t="n">
        <v>106</v>
      </c>
      <c r="M174" s="13" t="n">
        <v>17.1</v>
      </c>
      <c r="N174" s="13" t="n">
        <v>1591</v>
      </c>
      <c r="O174" s="13" t="n">
        <v>1.03</v>
      </c>
      <c r="P174" s="13" t="n">
        <v>1637</v>
      </c>
      <c r="Q174" s="13" t="n">
        <v>189</v>
      </c>
      <c r="R174" s="13" t="n">
        <v>122</v>
      </c>
      <c r="S174" s="13" t="n">
        <v>53</v>
      </c>
      <c r="T174" s="13" t="n">
        <v>288</v>
      </c>
      <c r="U174" s="13" t="n">
        <v>13</v>
      </c>
      <c r="V174" s="13" t="n">
        <v>192</v>
      </c>
      <c r="W174" s="13" t="n">
        <v>0.251</v>
      </c>
      <c r="X174" s="13" t="n">
        <v>148</v>
      </c>
      <c r="Y174" s="13" t="n">
        <v>94</v>
      </c>
      <c r="Z174" s="13" t="n">
        <v>139</v>
      </c>
      <c r="AA174" s="13" t="n">
        <v>6</v>
      </c>
      <c r="AB174" s="13" t="n">
        <v>8.800000000000001</v>
      </c>
      <c r="AC174" s="11" t="inlineStr">
        <is>
          <t xml:space="preserve"> Resort Freeride</t>
        </is>
      </c>
      <c r="AD174" s="13" t="n"/>
      <c r="AE174" s="13" t="n"/>
      <c r="AF174" s="13" t="n"/>
      <c r="AG174" s="13" t="n"/>
    </row>
    <row r="175">
      <c r="A175" s="9" t="inlineStr">
        <is>
          <t>21/22</t>
        </is>
      </c>
      <c r="B175" s="10" t="inlineStr">
        <is>
          <t xml:space="preserve"> Atomic</t>
        </is>
      </c>
      <c r="C175" s="11" t="inlineStr">
        <is>
          <t>Maverick 88 Ti</t>
        </is>
      </c>
      <c r="D175" s="13" t="n">
        <v>176</v>
      </c>
      <c r="E175" s="11" t="inlineStr">
        <is>
          <t xml:space="preserve"> Unisex</t>
        </is>
      </c>
      <c r="F175" s="13" t="n">
        <v>176</v>
      </c>
      <c r="G175" s="13" t="n">
        <v>175.1</v>
      </c>
      <c r="H175" s="13" t="n">
        <v>132</v>
      </c>
      <c r="I175" s="13" t="n">
        <v>149</v>
      </c>
      <c r="J175" s="13" t="n">
        <v>124</v>
      </c>
      <c r="K175" s="13" t="n">
        <v>87</v>
      </c>
      <c r="L175" s="13" t="n">
        <v>107</v>
      </c>
      <c r="M175" s="13" t="n">
        <v>18.3</v>
      </c>
      <c r="N175" s="13" t="n">
        <v>1694</v>
      </c>
      <c r="O175" s="13" t="n">
        <v>1.02</v>
      </c>
      <c r="P175" s="13" t="n">
        <v>1721</v>
      </c>
      <c r="Q175" s="13" t="n">
        <v>215</v>
      </c>
      <c r="R175" s="13" t="n">
        <v>143</v>
      </c>
      <c r="S175" s="13" t="n">
        <v>46</v>
      </c>
      <c r="T175" s="13" t="n">
        <v>253</v>
      </c>
      <c r="U175" s="13" t="n">
        <v>11</v>
      </c>
      <c r="V175" s="13" t="n">
        <v>176</v>
      </c>
      <c r="W175" s="13" t="n">
        <v>0.238</v>
      </c>
      <c r="X175" s="13" t="n">
        <v>155</v>
      </c>
      <c r="Y175" s="13" t="n">
        <v>111</v>
      </c>
      <c r="Z175" s="13" t="n">
        <v>98</v>
      </c>
      <c r="AA175" s="13" t="n">
        <v>9</v>
      </c>
      <c r="AB175" s="13" t="n">
        <v>8.6</v>
      </c>
      <c r="AC175" s="11" t="inlineStr">
        <is>
          <t xml:space="preserve"> Resort Freeride</t>
        </is>
      </c>
      <c r="AD175" s="13" t="n"/>
      <c r="AE175" s="13" t="n"/>
      <c r="AF175" s="13" t="n"/>
      <c r="AG175" s="13" t="n"/>
    </row>
    <row r="176">
      <c r="A176" s="9" t="inlineStr">
        <is>
          <t>21/22</t>
        </is>
      </c>
      <c r="B176" s="10" t="inlineStr">
        <is>
          <t xml:space="preserve"> Atomic</t>
        </is>
      </c>
      <c r="C176" s="11" t="inlineStr">
        <is>
          <t>Maverick 88 Ti</t>
        </is>
      </c>
      <c r="D176" s="13" t="n">
        <v>184</v>
      </c>
      <c r="E176" s="11" t="inlineStr">
        <is>
          <t xml:space="preserve"> Unisex</t>
        </is>
      </c>
      <c r="F176" s="13" t="n">
        <v>184</v>
      </c>
      <c r="G176" s="13" t="n">
        <v>182.9</v>
      </c>
      <c r="H176" s="13" t="n">
        <v>135</v>
      </c>
      <c r="I176" s="13" t="n">
        <v>156</v>
      </c>
      <c r="J176" s="13" t="n">
        <v>125</v>
      </c>
      <c r="K176" s="13" t="n">
        <v>87</v>
      </c>
      <c r="L176" s="13" t="n">
        <v>109</v>
      </c>
      <c r="M176" s="13" t="n">
        <v>19.7</v>
      </c>
      <c r="N176" s="13" t="n">
        <v>1853</v>
      </c>
      <c r="O176" s="13" t="n">
        <v>0.98</v>
      </c>
      <c r="P176" s="13" t="n">
        <v>1808</v>
      </c>
      <c r="Q176" s="13" t="n">
        <v>261</v>
      </c>
      <c r="R176" s="13" t="n">
        <v>167</v>
      </c>
      <c r="S176" s="13" t="n">
        <v>52</v>
      </c>
      <c r="T176" s="13" t="n">
        <v>291</v>
      </c>
      <c r="U176" s="13" t="n">
        <v>13</v>
      </c>
      <c r="V176" s="13" t="n">
        <v>189</v>
      </c>
      <c r="W176" s="13" t="n">
        <v>0.257</v>
      </c>
      <c r="X176" s="13" t="n">
        <v>161</v>
      </c>
      <c r="Y176" s="13" t="n">
        <v>107</v>
      </c>
      <c r="Z176" s="13" t="n">
        <v>130</v>
      </c>
      <c r="AA176" s="13" t="n">
        <v>7</v>
      </c>
      <c r="AB176" s="13" t="n">
        <v>8.5</v>
      </c>
      <c r="AC176" s="11" t="inlineStr">
        <is>
          <t xml:space="preserve"> Resort Freeride</t>
        </is>
      </c>
      <c r="AD176" s="13" t="n"/>
      <c r="AE176" s="13" t="n"/>
      <c r="AF176" s="13" t="n"/>
      <c r="AG176" s="13" t="n"/>
    </row>
    <row r="177">
      <c r="A177" s="9" t="inlineStr">
        <is>
          <t>21/22</t>
        </is>
      </c>
      <c r="B177" s="10" t="inlineStr">
        <is>
          <t xml:space="preserve"> Atomic</t>
        </is>
      </c>
      <c r="C177" s="11" t="inlineStr">
        <is>
          <t>Maverick 95 Ti</t>
        </is>
      </c>
      <c r="D177" s="13" t="n">
        <v>164</v>
      </c>
      <c r="E177" s="11" t="inlineStr">
        <is>
          <t xml:space="preserve"> Unisex</t>
        </is>
      </c>
      <c r="F177" s="13" t="n">
        <v>164</v>
      </c>
      <c r="G177" s="13" t="n">
        <v>163.1</v>
      </c>
      <c r="H177" s="13" t="n">
        <v>116</v>
      </c>
      <c r="I177" s="13" t="n">
        <v>132</v>
      </c>
      <c r="J177" s="13" t="n">
        <v>125</v>
      </c>
      <c r="K177" s="13" t="n">
        <v>92</v>
      </c>
      <c r="L177" s="13" t="n">
        <v>109</v>
      </c>
      <c r="M177" s="13" t="n">
        <v>16.4</v>
      </c>
      <c r="N177" s="13" t="n">
        <v>1566</v>
      </c>
      <c r="O177" s="13" t="n">
        <v>1.06</v>
      </c>
      <c r="P177" s="13" t="n">
        <v>1663</v>
      </c>
      <c r="Q177" s="13" t="n">
        <v>169</v>
      </c>
      <c r="R177" s="13" t="n">
        <v>131</v>
      </c>
      <c r="S177" s="13" t="n">
        <v>53</v>
      </c>
      <c r="T177" s="13" t="n">
        <v>288</v>
      </c>
      <c r="U177" s="13" t="n">
        <v>13</v>
      </c>
      <c r="V177" s="13" t="n">
        <v>183</v>
      </c>
      <c r="W177" s="13" t="n">
        <v>0.253</v>
      </c>
      <c r="X177" s="13" t="n">
        <v>173</v>
      </c>
      <c r="Y177" s="13" t="n">
        <v>140</v>
      </c>
      <c r="Z177" s="13" t="n">
        <v>115</v>
      </c>
      <c r="AA177" s="13" t="n">
        <v>6</v>
      </c>
      <c r="AB177" s="13" t="n">
        <v>9.300000000000001</v>
      </c>
      <c r="AC177" s="11" t="inlineStr">
        <is>
          <t xml:space="preserve"> Resort Freeride</t>
        </is>
      </c>
      <c r="AD177" s="11" t="inlineStr">
        <is>
          <t xml:space="preserve"> Touring</t>
        </is>
      </c>
      <c r="AE177" s="13" t="n"/>
      <c r="AF177" s="13" t="n"/>
      <c r="AG177" s="13" t="n"/>
    </row>
    <row r="178">
      <c r="A178" s="9" t="inlineStr">
        <is>
          <t>21/22</t>
        </is>
      </c>
      <c r="B178" s="10" t="inlineStr">
        <is>
          <t xml:space="preserve"> Atomic</t>
        </is>
      </c>
      <c r="C178" s="11" t="inlineStr">
        <is>
          <t>Maverick 95 Ti</t>
        </is>
      </c>
      <c r="D178" s="13" t="n">
        <v>172</v>
      </c>
      <c r="E178" s="11" t="inlineStr">
        <is>
          <t xml:space="preserve"> Unisex</t>
        </is>
      </c>
      <c r="F178" s="13" t="n">
        <v>172</v>
      </c>
      <c r="G178" s="13" t="n">
        <v>171.3</v>
      </c>
      <c r="H178" s="13" t="n">
        <v>122</v>
      </c>
      <c r="I178" s="13" t="n">
        <v>141</v>
      </c>
      <c r="J178" s="13" t="n">
        <v>126</v>
      </c>
      <c r="K178" s="13" t="n">
        <v>93</v>
      </c>
      <c r="L178" s="13" t="n">
        <v>111</v>
      </c>
      <c r="M178" s="13" t="n">
        <v>17.7</v>
      </c>
      <c r="N178" s="13" t="n">
        <v>1699</v>
      </c>
      <c r="O178" s="13" t="n">
        <v>1.04</v>
      </c>
      <c r="P178" s="13" t="n">
        <v>1768</v>
      </c>
      <c r="Q178" s="13" t="n">
        <v>203</v>
      </c>
      <c r="R178" s="13" t="n">
        <v>144</v>
      </c>
      <c r="S178" s="13" t="n">
        <v>55</v>
      </c>
      <c r="T178" s="13" t="n">
        <v>298</v>
      </c>
      <c r="U178" s="13" t="n">
        <v>15</v>
      </c>
      <c r="V178" s="13" t="n">
        <v>197</v>
      </c>
      <c r="W178" s="13" t="n">
        <v>0.267</v>
      </c>
      <c r="X178" s="13" t="n">
        <v>171</v>
      </c>
      <c r="Y178" s="13" t="n">
        <v>136</v>
      </c>
      <c r="Z178" s="13" t="n">
        <v>127</v>
      </c>
      <c r="AA178" s="13" t="n">
        <v>7</v>
      </c>
      <c r="AB178" s="13" t="n">
        <v>8.9</v>
      </c>
      <c r="AC178" s="11" t="inlineStr">
        <is>
          <t xml:space="preserve"> Resort Freeride</t>
        </is>
      </c>
      <c r="AD178" s="13" t="n"/>
      <c r="AE178" s="13" t="n"/>
      <c r="AF178" s="13" t="n"/>
      <c r="AG178" s="13" t="n"/>
    </row>
    <row r="179">
      <c r="A179" s="9" t="inlineStr">
        <is>
          <t>21/22</t>
        </is>
      </c>
      <c r="B179" s="10" t="inlineStr">
        <is>
          <t xml:space="preserve"> Atomic</t>
        </is>
      </c>
      <c r="C179" s="11" t="inlineStr">
        <is>
          <t>Maverick 95 Ti</t>
        </is>
      </c>
      <c r="D179" s="13" t="n">
        <v>180</v>
      </c>
      <c r="E179" s="11" t="inlineStr">
        <is>
          <t xml:space="preserve"> Unisex</t>
        </is>
      </c>
      <c r="F179" s="13" t="n">
        <v>180</v>
      </c>
      <c r="G179" s="13" t="n">
        <v>179.1</v>
      </c>
      <c r="H179" s="13" t="n">
        <v>128</v>
      </c>
      <c r="I179" s="13" t="n">
        <v>148</v>
      </c>
      <c r="J179" s="13" t="n">
        <v>128</v>
      </c>
      <c r="K179" s="13" t="n">
        <v>93</v>
      </c>
      <c r="L179" s="13" t="n">
        <v>112</v>
      </c>
      <c r="M179" s="13" t="n">
        <v>19.2</v>
      </c>
      <c r="N179" s="13" t="n">
        <v>1781</v>
      </c>
      <c r="O179" s="13" t="n">
        <v>1.05</v>
      </c>
      <c r="P179" s="13" t="n">
        <v>1863</v>
      </c>
      <c r="Q179" s="13" t="n">
        <v>240</v>
      </c>
      <c r="R179" s="13" t="n">
        <v>169</v>
      </c>
      <c r="S179" s="13" t="n">
        <v>55</v>
      </c>
      <c r="T179" s="13" t="n">
        <v>314</v>
      </c>
      <c r="U179" s="13" t="n">
        <v>14</v>
      </c>
      <c r="V179" s="13" t="n">
        <v>197</v>
      </c>
      <c r="W179" s="13" t="n">
        <v>0.254</v>
      </c>
      <c r="X179" s="13" t="n">
        <v>169</v>
      </c>
      <c r="Y179" s="13" t="n">
        <v>142</v>
      </c>
      <c r="Z179" s="13" t="n">
        <v>145</v>
      </c>
      <c r="AA179" s="13" t="n">
        <v>5</v>
      </c>
      <c r="AB179" s="13" t="n">
        <v>9</v>
      </c>
      <c r="AC179" s="11" t="inlineStr">
        <is>
          <t xml:space="preserve"> Resort Freeride</t>
        </is>
      </c>
      <c r="AD179" s="13" t="n"/>
      <c r="AE179" s="13" t="n"/>
      <c r="AF179" s="13" t="n"/>
      <c r="AG179" s="13" t="n"/>
    </row>
    <row r="180">
      <c r="A180" s="9" t="inlineStr">
        <is>
          <t>21/22</t>
        </is>
      </c>
      <c r="B180" s="10" t="inlineStr">
        <is>
          <t xml:space="preserve"> Atomic</t>
        </is>
      </c>
      <c r="C180" s="11" t="inlineStr">
        <is>
          <t>Maverick 95 Ti</t>
        </is>
      </c>
      <c r="D180" s="13" t="n">
        <v>188</v>
      </c>
      <c r="E180" s="11" t="inlineStr">
        <is>
          <t xml:space="preserve"> Unisex</t>
        </is>
      </c>
      <c r="F180" s="13" t="n">
        <v>188</v>
      </c>
      <c r="G180" s="13" t="n">
        <v>187.1</v>
      </c>
      <c r="H180" s="13" t="n">
        <v>139</v>
      </c>
      <c r="I180" s="13" t="n">
        <v>154</v>
      </c>
      <c r="J180" s="13" t="n">
        <v>129</v>
      </c>
      <c r="K180" s="13" t="n">
        <v>93</v>
      </c>
      <c r="L180" s="13" t="n">
        <v>114</v>
      </c>
      <c r="M180" s="13" t="n">
        <v>20.3</v>
      </c>
      <c r="N180" s="13" t="n">
        <v>1964</v>
      </c>
      <c r="O180" s="13" t="n">
        <v>0.99</v>
      </c>
      <c r="P180" s="13" t="n">
        <v>1952</v>
      </c>
      <c r="Q180" s="13" t="n">
        <v>279</v>
      </c>
      <c r="R180" s="13" t="n">
        <v>178</v>
      </c>
      <c r="S180" s="13" t="n">
        <v>49</v>
      </c>
      <c r="T180" s="13" t="n">
        <v>284</v>
      </c>
      <c r="U180" s="13" t="n">
        <v>15</v>
      </c>
      <c r="V180" s="13" t="n">
        <v>195</v>
      </c>
      <c r="W180" s="13" t="n">
        <v>0.303</v>
      </c>
      <c r="X180" s="13" t="n">
        <v>176</v>
      </c>
      <c r="Y180" s="13" t="n">
        <v>150</v>
      </c>
      <c r="Z180" s="13" t="n">
        <v>108</v>
      </c>
      <c r="AA180" s="13" t="n">
        <v>10</v>
      </c>
      <c r="AB180" s="13" t="n">
        <v>9</v>
      </c>
      <c r="AC180" s="11" t="inlineStr">
        <is>
          <t xml:space="preserve"> Resort Freeride</t>
        </is>
      </c>
      <c r="AD180" s="13" t="n"/>
      <c r="AE180" s="13" t="n"/>
      <c r="AF180" s="13" t="n"/>
      <c r="AG180" s="13" t="n"/>
    </row>
    <row r="181">
      <c r="A181" s="9" t="inlineStr">
        <is>
          <t>21/22</t>
        </is>
      </c>
      <c r="B181" s="10" t="inlineStr">
        <is>
          <t xml:space="preserve"> Atomic</t>
        </is>
      </c>
      <c r="C181" s="11" t="inlineStr">
        <is>
          <t>Redster S7</t>
        </is>
      </c>
      <c r="D181" s="13" t="n">
        <v>149</v>
      </c>
      <c r="E181" s="11" t="inlineStr">
        <is>
          <t xml:space="preserve"> Unisex</t>
        </is>
      </c>
      <c r="F181" s="13" t="n">
        <v>149</v>
      </c>
      <c r="G181" s="13" t="n">
        <v>146</v>
      </c>
      <c r="H181" s="13" t="n">
        <v>125</v>
      </c>
      <c r="I181" s="13" t="n">
        <v>133</v>
      </c>
      <c r="J181" s="13" t="n">
        <v>108</v>
      </c>
      <c r="K181" s="13" t="n">
        <v>69</v>
      </c>
      <c r="L181" s="13" t="n">
        <v>96</v>
      </c>
      <c r="M181" s="13" t="n">
        <v>13</v>
      </c>
      <c r="N181" s="13" t="n">
        <v>1474</v>
      </c>
      <c r="O181" s="13" t="n">
        <v>0.8100000000000001</v>
      </c>
      <c r="P181" s="13" t="n">
        <v>1195</v>
      </c>
      <c r="Q181" s="13" t="n">
        <v>153</v>
      </c>
      <c r="R181" s="13" t="n">
        <v>69</v>
      </c>
      <c r="S181" s="13" t="n">
        <v>40</v>
      </c>
      <c r="T181" s="13" t="n">
        <v>151</v>
      </c>
      <c r="U181" s="13" t="n">
        <v>5</v>
      </c>
      <c r="V181" s="13" t="n">
        <v>58</v>
      </c>
      <c r="W181" s="13" t="n">
        <v>0.122</v>
      </c>
      <c r="X181" s="13" t="n">
        <v>83</v>
      </c>
      <c r="Y181" s="13" t="n">
        <v>52</v>
      </c>
      <c r="Z181" s="13" t="n">
        <v>68</v>
      </c>
      <c r="AA181" s="13" t="n">
        <v>6</v>
      </c>
      <c r="AB181" s="13" t="n">
        <v>12.4</v>
      </c>
      <c r="AC181" s="11" t="inlineStr">
        <is>
          <t xml:space="preserve"> On-Piste Carving</t>
        </is>
      </c>
      <c r="AD181" s="13" t="n"/>
      <c r="AE181" s="13" t="n"/>
      <c r="AF181" s="13" t="n"/>
      <c r="AG181" s="13" t="n"/>
    </row>
    <row r="182">
      <c r="A182" s="9" t="inlineStr">
        <is>
          <t>21/22</t>
        </is>
      </c>
      <c r="B182" s="10" t="inlineStr">
        <is>
          <t xml:space="preserve"> Atomic</t>
        </is>
      </c>
      <c r="C182" s="11" t="inlineStr">
        <is>
          <t>Redster S7</t>
        </is>
      </c>
      <c r="D182" s="13" t="n">
        <v>156</v>
      </c>
      <c r="E182" s="11" t="inlineStr">
        <is>
          <t xml:space="preserve"> Unisex</t>
        </is>
      </c>
      <c r="F182" s="13" t="n">
        <v>156</v>
      </c>
      <c r="G182" s="13" t="n">
        <v>153.4</v>
      </c>
      <c r="H182" s="13" t="n">
        <v>133</v>
      </c>
      <c r="I182" s="13" t="n">
        <v>140</v>
      </c>
      <c r="J182" s="13" t="n">
        <v>109</v>
      </c>
      <c r="K182" s="13" t="n">
        <v>70</v>
      </c>
      <c r="L182" s="13" t="n">
        <v>97</v>
      </c>
      <c r="M182" s="13" t="n">
        <v>13.8</v>
      </c>
      <c r="N182" s="13" t="n">
        <v>1573</v>
      </c>
      <c r="O182" s="13" t="n">
        <v>0.8</v>
      </c>
      <c r="P182" s="13" t="n">
        <v>1265</v>
      </c>
      <c r="Q182" s="13" t="n">
        <v>175</v>
      </c>
      <c r="R182" s="13" t="n">
        <v>83</v>
      </c>
      <c r="S182" s="13" t="n">
        <v>39</v>
      </c>
      <c r="T182" s="13" t="n">
        <v>146</v>
      </c>
      <c r="U182" s="13" t="n">
        <v>5</v>
      </c>
      <c r="V182" s="13" t="n">
        <v>62</v>
      </c>
      <c r="W182" s="13" t="n">
        <v>0.131</v>
      </c>
      <c r="X182" s="13" t="n">
        <v>84</v>
      </c>
      <c r="Y182" s="13" t="n">
        <v>53</v>
      </c>
      <c r="Z182" s="13" t="n">
        <v>62</v>
      </c>
      <c r="AA182" s="13" t="n">
        <v>6</v>
      </c>
      <c r="AB182" s="13" t="n">
        <v>12.4</v>
      </c>
      <c r="AC182" s="11" t="inlineStr">
        <is>
          <t xml:space="preserve"> On-Piste Carving</t>
        </is>
      </c>
      <c r="AD182" s="13" t="n"/>
      <c r="AE182" s="13" t="n"/>
      <c r="AF182" s="13" t="n"/>
      <c r="AG182" s="13" t="n"/>
    </row>
    <row r="183">
      <c r="A183" s="9" t="inlineStr">
        <is>
          <t>21/22</t>
        </is>
      </c>
      <c r="B183" s="10" t="inlineStr">
        <is>
          <t xml:space="preserve"> Atomic</t>
        </is>
      </c>
      <c r="C183" s="11" t="inlineStr">
        <is>
          <t>Redster S7</t>
        </is>
      </c>
      <c r="D183" s="13" t="n">
        <v>163</v>
      </c>
      <c r="E183" s="11" t="inlineStr">
        <is>
          <t xml:space="preserve"> Unisex</t>
        </is>
      </c>
      <c r="F183" s="13" t="n">
        <v>163</v>
      </c>
      <c r="G183" s="13" t="n">
        <v>160.4</v>
      </c>
      <c r="H183" s="13" t="n">
        <v>139</v>
      </c>
      <c r="I183" s="13" t="n">
        <v>146</v>
      </c>
      <c r="J183" s="13" t="n">
        <v>111</v>
      </c>
      <c r="K183" s="13" t="n">
        <v>69</v>
      </c>
      <c r="L183" s="13" t="n">
        <v>99</v>
      </c>
      <c r="M183" s="13" t="n">
        <v>14.5</v>
      </c>
      <c r="N183" s="13" t="n">
        <v>1682</v>
      </c>
      <c r="O183" s="13" t="n">
        <v>0.79</v>
      </c>
      <c r="P183" s="13" t="n">
        <v>1331</v>
      </c>
      <c r="Q183" s="13" t="n">
        <v>198</v>
      </c>
      <c r="R183" s="13" t="n">
        <v>98</v>
      </c>
      <c r="S183" s="13" t="n">
        <v>40</v>
      </c>
      <c r="T183" s="13" t="n">
        <v>147</v>
      </c>
      <c r="U183" s="13" t="n">
        <v>5</v>
      </c>
      <c r="V183" s="13" t="n">
        <v>64</v>
      </c>
      <c r="W183" s="13" t="n">
        <v>0.138</v>
      </c>
      <c r="X183" s="13" t="n">
        <v>83</v>
      </c>
      <c r="Y183" s="13" t="n">
        <v>57</v>
      </c>
      <c r="Z183" s="13" t="n">
        <v>65</v>
      </c>
      <c r="AA183" s="13" t="n">
        <v>6</v>
      </c>
      <c r="AB183" s="13" t="n">
        <v>12.5</v>
      </c>
      <c r="AC183" s="11" t="inlineStr">
        <is>
          <t xml:space="preserve"> On-Piste Carving</t>
        </is>
      </c>
      <c r="AD183" s="13" t="n"/>
      <c r="AE183" s="13" t="n"/>
      <c r="AF183" s="13" t="n"/>
      <c r="AG183" s="13" t="n"/>
    </row>
    <row r="184">
      <c r="A184" s="9" t="inlineStr">
        <is>
          <t>21/22</t>
        </is>
      </c>
      <c r="B184" s="10" t="inlineStr">
        <is>
          <t xml:space="preserve"> Atomic</t>
        </is>
      </c>
      <c r="C184" s="11" t="inlineStr">
        <is>
          <t>Redster S9 Revo</t>
        </is>
      </c>
      <c r="D184" s="13" t="n">
        <v>160</v>
      </c>
      <c r="E184" s="11" t="inlineStr">
        <is>
          <t xml:space="preserve"> Unisex</t>
        </is>
      </c>
      <c r="F184" s="13" t="n">
        <v>160</v>
      </c>
      <c r="G184" s="13" t="n">
        <v>159.6</v>
      </c>
      <c r="H184" s="13" t="n">
        <v>140</v>
      </c>
      <c r="I184" s="13" t="n">
        <v>146</v>
      </c>
      <c r="J184" s="13" t="n">
        <v>115</v>
      </c>
      <c r="K184" s="13" t="n">
        <v>67</v>
      </c>
      <c r="L184" s="13" t="n">
        <v>101</v>
      </c>
      <c r="M184" s="13" t="n">
        <v>12.5</v>
      </c>
      <c r="N184" s="13" t="n">
        <v>1985</v>
      </c>
      <c r="O184" s="13" t="n">
        <v>0.66</v>
      </c>
      <c r="P184" s="13" t="n">
        <v>1316</v>
      </c>
      <c r="Q184" s="13" t="n">
        <v>196</v>
      </c>
      <c r="R184" s="13" t="n">
        <v>97</v>
      </c>
      <c r="S184" s="13" t="n">
        <v>32</v>
      </c>
      <c r="T184" s="13" t="n">
        <v>141</v>
      </c>
      <c r="U184" s="13" t="n">
        <v>4</v>
      </c>
      <c r="V184" s="13" t="n">
        <v>51</v>
      </c>
      <c r="W184" s="13" t="n">
        <v>0.13</v>
      </c>
      <c r="X184" s="13" t="n">
        <v>80</v>
      </c>
      <c r="Y184" s="13" t="n">
        <v>51</v>
      </c>
      <c r="Z184" s="13" t="n">
        <v>60</v>
      </c>
      <c r="AA184" s="13" t="n">
        <v>11</v>
      </c>
      <c r="AB184" s="13" t="n">
        <v>13.6</v>
      </c>
      <c r="AC184" s="11" t="inlineStr">
        <is>
          <t xml:space="preserve"> On-Piste Carving</t>
        </is>
      </c>
      <c r="AD184" s="13" t="n"/>
      <c r="AE184" s="13" t="n"/>
      <c r="AF184" s="13" t="n"/>
      <c r="AG184" s="13" t="n"/>
    </row>
    <row r="185">
      <c r="A185" s="9" t="inlineStr">
        <is>
          <t>21/22</t>
        </is>
      </c>
      <c r="B185" s="10" t="inlineStr">
        <is>
          <t xml:space="preserve"> Atomic</t>
        </is>
      </c>
      <c r="C185" s="11" t="inlineStr">
        <is>
          <t>Redster S9 Revo</t>
        </is>
      </c>
      <c r="D185" s="13" t="n">
        <v>165</v>
      </c>
      <c r="E185" s="11" t="inlineStr">
        <is>
          <t xml:space="preserve"> Unisex</t>
        </is>
      </c>
      <c r="F185" s="13" t="n">
        <v>165</v>
      </c>
      <c r="G185" s="13" t="n">
        <v>164.7</v>
      </c>
      <c r="H185" s="13" t="n">
        <v>145</v>
      </c>
      <c r="I185" s="13" t="n">
        <v>151</v>
      </c>
      <c r="J185" s="13" t="n">
        <v>116</v>
      </c>
      <c r="K185" s="13" t="n">
        <v>67</v>
      </c>
      <c r="L185" s="13" t="n">
        <v>102</v>
      </c>
      <c r="M185" s="13" t="n">
        <v>13.1</v>
      </c>
      <c r="N185" s="13" t="n">
        <v>2072</v>
      </c>
      <c r="O185" s="13" t="n">
        <v>0.66</v>
      </c>
      <c r="P185" s="13" t="n">
        <v>1364</v>
      </c>
      <c r="Q185" s="13" t="n">
        <v>220</v>
      </c>
      <c r="R185" s="13" t="n">
        <v>101</v>
      </c>
      <c r="S185" s="13" t="n">
        <v>33</v>
      </c>
      <c r="T185" s="13" t="n">
        <v>143</v>
      </c>
      <c r="U185" s="13" t="n">
        <v>4</v>
      </c>
      <c r="V185" s="13" t="n">
        <v>49</v>
      </c>
      <c r="W185" s="13" t="n">
        <v>0.131</v>
      </c>
      <c r="X185" s="13" t="n">
        <v>82</v>
      </c>
      <c r="Y185" s="13" t="n">
        <v>56</v>
      </c>
      <c r="Z185" s="13" t="n">
        <v>61</v>
      </c>
      <c r="AA185" s="13" t="n">
        <v>13</v>
      </c>
      <c r="AB185" s="13" t="n">
        <v>13.8</v>
      </c>
      <c r="AC185" s="11" t="inlineStr">
        <is>
          <t xml:space="preserve"> On-Piste Carving</t>
        </is>
      </c>
      <c r="AD185" s="13" t="n"/>
      <c r="AE185" s="13" t="n"/>
      <c r="AF185" s="13" t="n"/>
      <c r="AG185" s="13" t="n"/>
    </row>
    <row r="186">
      <c r="A186" s="9" t="inlineStr">
        <is>
          <t>21/22</t>
        </is>
      </c>
      <c r="B186" s="10" t="inlineStr">
        <is>
          <t xml:space="preserve"> Atomic</t>
        </is>
      </c>
      <c r="C186" s="11" t="inlineStr">
        <is>
          <t>Redster S9 Revo</t>
        </is>
      </c>
      <c r="D186" s="13" t="n">
        <v>170</v>
      </c>
      <c r="E186" s="11" t="inlineStr">
        <is>
          <t xml:space="preserve"> Unisex</t>
        </is>
      </c>
      <c r="F186" s="13" t="n">
        <v>170</v>
      </c>
      <c r="G186" s="13" t="n">
        <v>169.5</v>
      </c>
      <c r="H186" s="13" t="n">
        <v>151</v>
      </c>
      <c r="I186" s="13" t="n">
        <v>156</v>
      </c>
      <c r="J186" s="13" t="n">
        <v>118</v>
      </c>
      <c r="K186" s="13" t="n">
        <v>67</v>
      </c>
      <c r="L186" s="13" t="n">
        <v>104</v>
      </c>
      <c r="M186" s="13" t="n">
        <v>13.4</v>
      </c>
      <c r="N186" s="13" t="n">
        <v>2107</v>
      </c>
      <c r="O186" s="13" t="n">
        <v>0.67</v>
      </c>
      <c r="P186" s="13" t="n">
        <v>1418</v>
      </c>
      <c r="Q186" s="13" t="n">
        <v>244</v>
      </c>
      <c r="R186" s="13" t="n">
        <v>118</v>
      </c>
      <c r="S186" s="13" t="n">
        <v>33</v>
      </c>
      <c r="T186" s="13" t="n">
        <v>139</v>
      </c>
      <c r="U186" s="13" t="n">
        <v>4</v>
      </c>
      <c r="V186" s="13" t="n">
        <v>49</v>
      </c>
      <c r="W186" s="13" t="n">
        <v>0.122</v>
      </c>
      <c r="X186" s="13" t="n">
        <v>83</v>
      </c>
      <c r="Y186" s="13" t="n">
        <v>54</v>
      </c>
      <c r="Z186" s="13" t="n">
        <v>56</v>
      </c>
      <c r="AA186" s="13" t="n">
        <v>12</v>
      </c>
      <c r="AB186" s="13" t="n">
        <v>13.4</v>
      </c>
      <c r="AC186" s="11" t="inlineStr">
        <is>
          <t xml:space="preserve"> On-Piste Carving</t>
        </is>
      </c>
      <c r="AD186" s="13" t="n"/>
      <c r="AE186" s="13" t="n"/>
      <c r="AF186" s="13" t="n"/>
      <c r="AG186" s="13" t="n"/>
    </row>
    <row r="187">
      <c r="A187" s="9" t="inlineStr">
        <is>
          <t>21/22</t>
        </is>
      </c>
      <c r="B187" s="10" t="inlineStr">
        <is>
          <t xml:space="preserve"> Atomic</t>
        </is>
      </c>
      <c r="C187" s="11" t="inlineStr">
        <is>
          <t>Redster S9 Servo</t>
        </is>
      </c>
      <c r="D187" s="13" t="n">
        <v>159</v>
      </c>
      <c r="E187" s="11" t="inlineStr">
        <is>
          <t xml:space="preserve"> Unisex</t>
        </is>
      </c>
      <c r="F187" s="13" t="n">
        <v>159</v>
      </c>
      <c r="G187" s="13" t="n">
        <v>158</v>
      </c>
      <c r="H187" s="13" t="n">
        <v>137</v>
      </c>
      <c r="I187" s="13" t="n">
        <v>145</v>
      </c>
      <c r="J187" s="13" t="n">
        <v>117</v>
      </c>
      <c r="K187" s="13" t="n">
        <v>69</v>
      </c>
      <c r="L187" s="13" t="n">
        <v>103</v>
      </c>
      <c r="M187" s="13" t="n">
        <v>12.1</v>
      </c>
      <c r="N187" s="13" t="n">
        <v>2069</v>
      </c>
      <c r="O187" s="13" t="n">
        <v>0.64</v>
      </c>
      <c r="P187" s="13" t="n">
        <v>1334</v>
      </c>
      <c r="Q187" s="13" t="n">
        <v>206</v>
      </c>
      <c r="R187" s="13" t="n">
        <v>102</v>
      </c>
      <c r="S187" s="13" t="n">
        <v>33</v>
      </c>
      <c r="T187" s="13" t="n">
        <v>153</v>
      </c>
      <c r="U187" s="13" t="n">
        <v>6</v>
      </c>
      <c r="V187" s="13" t="n">
        <v>53</v>
      </c>
      <c r="W187" s="13" t="n">
        <v>0.171</v>
      </c>
      <c r="X187" s="13" t="n">
        <v>81</v>
      </c>
      <c r="Y187" s="13" t="n">
        <v>54</v>
      </c>
      <c r="Z187" s="13" t="n">
        <v>72</v>
      </c>
      <c r="AA187" s="13" t="n">
        <v>10</v>
      </c>
      <c r="AB187" s="13" t="n">
        <v>13.7</v>
      </c>
      <c r="AC187" s="11" t="inlineStr">
        <is>
          <t xml:space="preserve"> On-Piste Carving</t>
        </is>
      </c>
      <c r="AD187" s="13" t="n"/>
      <c r="AE187" s="13" t="n"/>
      <c r="AF187" s="13" t="n"/>
      <c r="AG187" s="13" t="n"/>
    </row>
    <row r="188">
      <c r="A188" s="9" t="inlineStr">
        <is>
          <t>21/22</t>
        </is>
      </c>
      <c r="B188" s="10" t="inlineStr">
        <is>
          <t xml:space="preserve"> Atomic</t>
        </is>
      </c>
      <c r="C188" s="11" t="inlineStr">
        <is>
          <t>Redster S9 Servo</t>
        </is>
      </c>
      <c r="D188" s="13" t="n">
        <v>165</v>
      </c>
      <c r="E188" s="11" t="inlineStr">
        <is>
          <t xml:space="preserve"> Unisex</t>
        </is>
      </c>
      <c r="F188" s="13" t="n">
        <v>165</v>
      </c>
      <c r="G188" s="13" t="n">
        <v>163.8</v>
      </c>
      <c r="H188" s="13" t="n">
        <v>143</v>
      </c>
      <c r="I188" s="13" t="n">
        <v>151</v>
      </c>
      <c r="J188" s="13" t="n">
        <v>117</v>
      </c>
      <c r="K188" s="13" t="n">
        <v>67</v>
      </c>
      <c r="L188" s="13" t="n">
        <v>103</v>
      </c>
      <c r="M188" s="13" t="n">
        <v>12.8</v>
      </c>
      <c r="N188" s="13" t="n">
        <v>2148</v>
      </c>
      <c r="O188" s="13" t="n">
        <v>0.63</v>
      </c>
      <c r="P188" s="13" t="n">
        <v>1362</v>
      </c>
      <c r="Q188" s="13" t="n">
        <v>213</v>
      </c>
      <c r="R188" s="13" t="n">
        <v>108</v>
      </c>
      <c r="S188" s="13" t="n">
        <v>34</v>
      </c>
      <c r="T188" s="13" t="n">
        <v>153</v>
      </c>
      <c r="U188" s="13" t="n">
        <v>5</v>
      </c>
      <c r="V188" s="13" t="n">
        <v>54</v>
      </c>
      <c r="W188" s="13" t="n">
        <v>0.16</v>
      </c>
      <c r="X188" s="13" t="n">
        <v>79</v>
      </c>
      <c r="Y188" s="13" t="n">
        <v>53</v>
      </c>
      <c r="Z188" s="13" t="n">
        <v>74</v>
      </c>
      <c r="AA188" s="13" t="n">
        <v>10</v>
      </c>
      <c r="AB188" s="13" t="n">
        <v>13.6</v>
      </c>
      <c r="AC188" s="11" t="inlineStr">
        <is>
          <t xml:space="preserve"> On-Piste Carving</t>
        </is>
      </c>
      <c r="AD188" s="13" t="n"/>
      <c r="AE188" s="13" t="n"/>
      <c r="AF188" s="13" t="n"/>
      <c r="AG188" s="13" t="n"/>
    </row>
    <row r="189">
      <c r="A189" s="9" t="inlineStr">
        <is>
          <t>21/22</t>
        </is>
      </c>
      <c r="B189" s="10" t="inlineStr">
        <is>
          <t xml:space="preserve"> Atomic</t>
        </is>
      </c>
      <c r="C189" s="11" t="inlineStr">
        <is>
          <t>Redster X5</t>
        </is>
      </c>
      <c r="D189" s="13" t="n">
        <v>154</v>
      </c>
      <c r="E189" s="11" t="inlineStr">
        <is>
          <t xml:space="preserve"> Unisex</t>
        </is>
      </c>
      <c r="F189" s="13" t="n">
        <v>154</v>
      </c>
      <c r="G189" s="13" t="n">
        <v>153.4</v>
      </c>
      <c r="H189" s="13" t="n">
        <v>133</v>
      </c>
      <c r="I189" s="13" t="n">
        <v>139</v>
      </c>
      <c r="J189" s="13" t="n">
        <v>117</v>
      </c>
      <c r="K189" s="13" t="n">
        <v>69</v>
      </c>
      <c r="L189" s="13" t="n">
        <v>100</v>
      </c>
      <c r="M189" s="13" t="n">
        <v>11.8</v>
      </c>
      <c r="N189" s="13" t="n">
        <v>1659</v>
      </c>
      <c r="O189" s="13" t="n">
        <v>0.78</v>
      </c>
      <c r="P189" s="13" t="n">
        <v>1290</v>
      </c>
      <c r="Q189" s="13" t="n">
        <v>165</v>
      </c>
      <c r="R189" s="13" t="n">
        <v>88</v>
      </c>
      <c r="S189" s="13" t="n">
        <v>36</v>
      </c>
      <c r="T189" s="13" t="n">
        <v>150</v>
      </c>
      <c r="U189" s="13" t="n">
        <v>3</v>
      </c>
      <c r="V189" s="13" t="n">
        <v>52</v>
      </c>
      <c r="W189" s="13" t="n">
        <v>0.092</v>
      </c>
      <c r="X189" s="13" t="n">
        <v>88</v>
      </c>
      <c r="Y189" s="13" t="n">
        <v>59</v>
      </c>
      <c r="Z189" s="13" t="n">
        <v>62</v>
      </c>
      <c r="AA189" s="13" t="n">
        <v>7</v>
      </c>
      <c r="AB189" s="13" t="n">
        <v>12.8</v>
      </c>
      <c r="AC189" s="11" t="inlineStr">
        <is>
          <t xml:space="preserve"> On-Piste Carving</t>
        </is>
      </c>
      <c r="AD189" s="13" t="n"/>
      <c r="AE189" s="13" t="n"/>
      <c r="AF189" s="13" t="n"/>
      <c r="AG189" s="13" t="n"/>
    </row>
    <row r="190">
      <c r="A190" s="9" t="inlineStr">
        <is>
          <t>21/22</t>
        </is>
      </c>
      <c r="B190" s="10" t="inlineStr">
        <is>
          <t xml:space="preserve"> Atomic</t>
        </is>
      </c>
      <c r="C190" s="11" t="inlineStr">
        <is>
          <t>Redster X5</t>
        </is>
      </c>
      <c r="D190" s="13" t="n">
        <v>168</v>
      </c>
      <c r="E190" s="11" t="inlineStr">
        <is>
          <t xml:space="preserve"> Unisex</t>
        </is>
      </c>
      <c r="F190" s="13" t="n">
        <v>168</v>
      </c>
      <c r="G190" s="13" t="n">
        <v>167.3</v>
      </c>
      <c r="H190" s="13" t="n">
        <v>149</v>
      </c>
      <c r="I190" s="13" t="n">
        <v>153</v>
      </c>
      <c r="J190" s="13" t="n">
        <v>119</v>
      </c>
      <c r="K190" s="13" t="n">
        <v>70</v>
      </c>
      <c r="L190" s="13" t="n">
        <v>102</v>
      </c>
      <c r="M190" s="13" t="n">
        <v>14.1</v>
      </c>
      <c r="N190" s="13" t="n">
        <v>1854</v>
      </c>
      <c r="O190" s="13" t="n">
        <v>0.77</v>
      </c>
      <c r="P190" s="13" t="n">
        <v>1428</v>
      </c>
      <c r="Q190" s="13" t="n">
        <v>211</v>
      </c>
      <c r="R190" s="13" t="n">
        <v>105</v>
      </c>
      <c r="S190" s="13" t="n">
        <v>34</v>
      </c>
      <c r="T190" s="13" t="n">
        <v>139</v>
      </c>
      <c r="U190" s="13" t="n">
        <v>3</v>
      </c>
      <c r="V190" s="13" t="n">
        <v>47</v>
      </c>
      <c r="W190" s="13" t="n">
        <v>0.095</v>
      </c>
      <c r="X190" s="13" t="n">
        <v>88</v>
      </c>
      <c r="Y190" s="13" t="n">
        <v>57</v>
      </c>
      <c r="Z190" s="13" t="n">
        <v>51</v>
      </c>
      <c r="AA190" s="13" t="n">
        <v>12</v>
      </c>
      <c r="AB190" s="13" t="n">
        <v>13.1</v>
      </c>
      <c r="AC190" s="11" t="inlineStr">
        <is>
          <t xml:space="preserve"> On-Piste Carving</t>
        </is>
      </c>
      <c r="AD190" s="13" t="n"/>
      <c r="AE190" s="13" t="n"/>
      <c r="AF190" s="13" t="n"/>
      <c r="AG190" s="13" t="n"/>
    </row>
    <row r="191">
      <c r="A191" s="9" t="inlineStr">
        <is>
          <t>21/22</t>
        </is>
      </c>
      <c r="B191" s="10" t="inlineStr">
        <is>
          <t xml:space="preserve"> Atomic</t>
        </is>
      </c>
      <c r="C191" s="11" t="inlineStr">
        <is>
          <t>Redster X5</t>
        </is>
      </c>
      <c r="D191" s="13" t="n">
        <v>175</v>
      </c>
      <c r="E191" s="11" t="inlineStr">
        <is>
          <t xml:space="preserve"> Unisex</t>
        </is>
      </c>
      <c r="F191" s="13" t="n">
        <v>175</v>
      </c>
      <c r="G191" s="13" t="n">
        <v>174.3</v>
      </c>
      <c r="H191" s="13" t="n">
        <v>157</v>
      </c>
      <c r="I191" s="13" t="n">
        <v>160</v>
      </c>
      <c r="J191" s="13" t="n">
        <v>120</v>
      </c>
      <c r="K191" s="13" t="n">
        <v>70</v>
      </c>
      <c r="L191" s="13" t="n">
        <v>103</v>
      </c>
      <c r="M191" s="13" t="n">
        <v>15.3</v>
      </c>
      <c r="N191" s="13" t="n">
        <v>2053</v>
      </c>
      <c r="O191" s="13" t="n">
        <v>0.73</v>
      </c>
      <c r="P191" s="13" t="n">
        <v>1496</v>
      </c>
      <c r="Q191" s="13" t="n">
        <v>218</v>
      </c>
      <c r="R191" s="13" t="n">
        <v>119</v>
      </c>
      <c r="S191" s="13" t="n">
        <v>30</v>
      </c>
      <c r="T191" s="13" t="n">
        <v>129</v>
      </c>
      <c r="U191" s="13" t="n">
        <v>3</v>
      </c>
      <c r="V191" s="13" t="n">
        <v>43</v>
      </c>
      <c r="W191" s="13" t="n">
        <v>0.097</v>
      </c>
      <c r="X191" s="13" t="n">
        <v>86</v>
      </c>
      <c r="Y191" s="13" t="n">
        <v>55</v>
      </c>
      <c r="Z191" s="13" t="n">
        <v>43</v>
      </c>
      <c r="AA191" s="13" t="n">
        <v>16</v>
      </c>
      <c r="AB191" s="13" t="n">
        <v>12.4</v>
      </c>
      <c r="AC191" s="11" t="inlineStr">
        <is>
          <t xml:space="preserve"> On-Piste Carving</t>
        </is>
      </c>
      <c r="AD191" s="13" t="n"/>
      <c r="AE191" s="13" t="n"/>
      <c r="AF191" s="13" t="n"/>
      <c r="AG191" s="13" t="n"/>
    </row>
    <row r="192">
      <c r="A192" s="9" t="inlineStr">
        <is>
          <t>21/22</t>
        </is>
      </c>
      <c r="B192" s="10" t="inlineStr">
        <is>
          <t xml:space="preserve"> Atomic</t>
        </is>
      </c>
      <c r="C192" s="11" t="inlineStr">
        <is>
          <t>Redster X7 WB</t>
        </is>
      </c>
      <c r="D192" s="13" t="n">
        <v>160</v>
      </c>
      <c r="E192" s="11" t="inlineStr">
        <is>
          <t xml:space="preserve"> Unisex</t>
        </is>
      </c>
      <c r="F192" s="13" t="n">
        <v>160</v>
      </c>
      <c r="G192" s="13" t="n">
        <v>159.3</v>
      </c>
      <c r="H192" s="13" t="n">
        <v>140</v>
      </c>
      <c r="I192" s="13" t="n">
        <v>145</v>
      </c>
      <c r="J192" s="13" t="n">
        <v>123</v>
      </c>
      <c r="K192" s="13" t="n">
        <v>75</v>
      </c>
      <c r="L192" s="13" t="n">
        <v>106</v>
      </c>
      <c r="M192" s="13" t="n">
        <v>13</v>
      </c>
      <c r="N192" s="13" t="n">
        <v>1663</v>
      </c>
      <c r="O192" s="13" t="n">
        <v>0.86</v>
      </c>
      <c r="P192" s="13" t="n">
        <v>1425</v>
      </c>
      <c r="Q192" s="13" t="n">
        <v>168</v>
      </c>
      <c r="R192" s="13" t="n">
        <v>74</v>
      </c>
      <c r="S192" s="13" t="n">
        <v>38</v>
      </c>
      <c r="T192" s="13" t="n">
        <v>142</v>
      </c>
      <c r="U192" s="13" t="n">
        <v>5</v>
      </c>
      <c r="V192" s="13" t="n">
        <v>53</v>
      </c>
      <c r="W192" s="13" t="n">
        <v>0.129</v>
      </c>
      <c r="X192" s="13" t="n">
        <v>89</v>
      </c>
      <c r="Y192" s="13" t="n">
        <v>54</v>
      </c>
      <c r="Z192" s="13" t="n">
        <v>54</v>
      </c>
      <c r="AA192" s="13" t="n">
        <v>9</v>
      </c>
      <c r="AB192" s="13" t="n">
        <v>12.6</v>
      </c>
      <c r="AC192" s="11" t="inlineStr">
        <is>
          <t xml:space="preserve"> On-Piste Carving</t>
        </is>
      </c>
      <c r="AD192" s="13" t="n"/>
      <c r="AE192" s="13" t="n"/>
      <c r="AF192" s="13" t="n"/>
      <c r="AG192" s="13" t="n"/>
    </row>
    <row r="193">
      <c r="A193" s="9" t="inlineStr">
        <is>
          <t>21/22</t>
        </is>
      </c>
      <c r="B193" s="10" t="inlineStr">
        <is>
          <t xml:space="preserve"> Atomic</t>
        </is>
      </c>
      <c r="C193" s="11" t="inlineStr">
        <is>
          <t>Redster X7 WB</t>
        </is>
      </c>
      <c r="D193" s="13" t="n">
        <v>168</v>
      </c>
      <c r="E193" s="11" t="inlineStr">
        <is>
          <t xml:space="preserve"> Unisex</t>
        </is>
      </c>
      <c r="F193" s="13" t="n">
        <v>168</v>
      </c>
      <c r="G193" s="13" t="n">
        <v>167.4</v>
      </c>
      <c r="H193" s="13" t="n">
        <v>148</v>
      </c>
      <c r="I193" s="13" t="n">
        <v>153</v>
      </c>
      <c r="J193" s="13" t="n">
        <v>125</v>
      </c>
      <c r="K193" s="13" t="n">
        <v>75</v>
      </c>
      <c r="L193" s="13" t="n">
        <v>109</v>
      </c>
      <c r="M193" s="13" t="n">
        <v>13.7</v>
      </c>
      <c r="N193" s="13" t="n">
        <v>1748</v>
      </c>
      <c r="O193" s="13" t="n">
        <v>0.87</v>
      </c>
      <c r="P193" s="13" t="n">
        <v>1512</v>
      </c>
      <c r="Q193" s="13" t="n">
        <v>192</v>
      </c>
      <c r="R193" s="13" t="n">
        <v>83</v>
      </c>
      <c r="S193" s="13" t="n">
        <v>38</v>
      </c>
      <c r="T193" s="13" t="n">
        <v>146</v>
      </c>
      <c r="U193" s="13" t="n">
        <v>5</v>
      </c>
      <c r="V193" s="13" t="n">
        <v>51</v>
      </c>
      <c r="W193" s="13" t="n">
        <v>0.118</v>
      </c>
      <c r="X193" s="13" t="n">
        <v>90</v>
      </c>
      <c r="Y193" s="13" t="n">
        <v>53</v>
      </c>
      <c r="Z193" s="13" t="n">
        <v>56</v>
      </c>
      <c r="AA193" s="13" t="n">
        <v>7</v>
      </c>
      <c r="AB193" s="13" t="n">
        <v>12.9</v>
      </c>
      <c r="AC193" s="11" t="inlineStr">
        <is>
          <t xml:space="preserve"> On-Piste Carving</t>
        </is>
      </c>
      <c r="AD193" s="13" t="n"/>
      <c r="AE193" s="13" t="n"/>
      <c r="AF193" s="13" t="n"/>
      <c r="AG193" s="13" t="n"/>
    </row>
    <row r="194">
      <c r="A194" s="9" t="inlineStr">
        <is>
          <t>21/22</t>
        </is>
      </c>
      <c r="B194" s="10" t="inlineStr">
        <is>
          <t xml:space="preserve"> Atomic</t>
        </is>
      </c>
      <c r="C194" s="11" t="inlineStr">
        <is>
          <t>Redster X9 WB Revo</t>
        </is>
      </c>
      <c r="D194" s="13" t="n">
        <v>168</v>
      </c>
      <c r="E194" s="11" t="inlineStr">
        <is>
          <t xml:space="preserve"> Unisex</t>
        </is>
      </c>
      <c r="F194" s="13" t="n">
        <v>168</v>
      </c>
      <c r="G194" s="13" t="n">
        <v>167.4</v>
      </c>
      <c r="H194" s="13" t="n">
        <v>147</v>
      </c>
      <c r="I194" s="13" t="n">
        <v>153</v>
      </c>
      <c r="J194" s="13" t="n">
        <v>124</v>
      </c>
      <c r="K194" s="13" t="n">
        <v>74</v>
      </c>
      <c r="L194" s="13" t="n">
        <v>108</v>
      </c>
      <c r="M194" s="13" t="n">
        <v>13.7</v>
      </c>
      <c r="N194" s="13" t="n">
        <v>2155</v>
      </c>
      <c r="O194" s="13" t="n">
        <v>0.7</v>
      </c>
      <c r="P194" s="13" t="n">
        <v>1505</v>
      </c>
      <c r="Q194" s="13" t="n">
        <v>232</v>
      </c>
      <c r="R194" s="13" t="n">
        <v>139</v>
      </c>
      <c r="S194" s="13" t="n">
        <v>37</v>
      </c>
      <c r="T194" s="13" t="n">
        <v>142</v>
      </c>
      <c r="U194" s="13" t="n">
        <v>5</v>
      </c>
      <c r="V194" s="13" t="n">
        <v>62</v>
      </c>
      <c r="W194" s="13" t="n">
        <v>0.149</v>
      </c>
      <c r="X194" s="13" t="n">
        <v>84</v>
      </c>
      <c r="Y194" s="13" t="n">
        <v>55</v>
      </c>
      <c r="Z194" s="13" t="n">
        <v>58</v>
      </c>
      <c r="AA194" s="13" t="n">
        <v>5</v>
      </c>
      <c r="AB194" s="13" t="n">
        <v>12.8</v>
      </c>
      <c r="AC194" s="11" t="inlineStr">
        <is>
          <t xml:space="preserve"> On-Piste Carving</t>
        </is>
      </c>
      <c r="AD194" s="13" t="n"/>
      <c r="AE194" s="13" t="n"/>
      <c r="AF194" s="13" t="n"/>
      <c r="AG194" s="13" t="n"/>
    </row>
    <row r="195">
      <c r="A195" s="9" t="inlineStr">
        <is>
          <t>21/22</t>
        </is>
      </c>
      <c r="B195" s="10" t="inlineStr">
        <is>
          <t xml:space="preserve"> Atomic</t>
        </is>
      </c>
      <c r="C195" s="11" t="inlineStr">
        <is>
          <t>Redster X9 WB Revo</t>
        </is>
      </c>
      <c r="D195" s="13" t="n">
        <v>176</v>
      </c>
      <c r="E195" s="11" t="inlineStr">
        <is>
          <t xml:space="preserve"> Unisex</t>
        </is>
      </c>
      <c r="F195" s="13" t="n">
        <v>176</v>
      </c>
      <c r="G195" s="13" t="n">
        <v>175.3</v>
      </c>
      <c r="H195" s="13" t="n">
        <v>155</v>
      </c>
      <c r="I195" s="13" t="n">
        <v>161</v>
      </c>
      <c r="J195" s="13" t="n">
        <v>127</v>
      </c>
      <c r="K195" s="13" t="n">
        <v>74</v>
      </c>
      <c r="L195" s="13" t="n">
        <v>111</v>
      </c>
      <c r="M195" s="13" t="n">
        <v>14.2</v>
      </c>
      <c r="N195" s="13" t="n">
        <v>2253</v>
      </c>
      <c r="O195" s="13" t="n">
        <v>0.71</v>
      </c>
      <c r="P195" s="13" t="n">
        <v>1590</v>
      </c>
      <c r="Q195" s="13" t="n">
        <v>248</v>
      </c>
      <c r="R195" s="13" t="n">
        <v>146</v>
      </c>
      <c r="S195" s="13" t="n">
        <v>37</v>
      </c>
      <c r="T195" s="13" t="n">
        <v>143</v>
      </c>
      <c r="U195" s="13" t="n">
        <v>5</v>
      </c>
      <c r="V195" s="13" t="n">
        <v>57</v>
      </c>
      <c r="W195" s="13" t="n">
        <v>0.139</v>
      </c>
      <c r="X195" s="13" t="n">
        <v>85</v>
      </c>
      <c r="Y195" s="13" t="n">
        <v>56</v>
      </c>
      <c r="Z195" s="13" t="n">
        <v>59</v>
      </c>
      <c r="AA195" s="13" t="n">
        <v>9</v>
      </c>
      <c r="AB195" s="13" t="n">
        <v>12.5</v>
      </c>
      <c r="AC195" s="11" t="inlineStr">
        <is>
          <t xml:space="preserve"> On-Piste Carving</t>
        </is>
      </c>
      <c r="AD195" s="13" t="n"/>
      <c r="AE195" s="13" t="n"/>
      <c r="AF195" s="13" t="n"/>
      <c r="AG195" s="13" t="n"/>
    </row>
    <row r="196">
      <c r="A196" s="9" t="inlineStr">
        <is>
          <t>21/22</t>
        </is>
      </c>
      <c r="B196" s="10" t="inlineStr">
        <is>
          <t xml:space="preserve"> Atomic</t>
        </is>
      </c>
      <c r="C196" s="11" t="inlineStr">
        <is>
          <t>Vantage 75</t>
        </is>
      </c>
      <c r="D196" s="13" t="n">
        <v>161</v>
      </c>
      <c r="E196" s="11" t="inlineStr">
        <is>
          <t xml:space="preserve"> Unisex</t>
        </is>
      </c>
      <c r="F196" s="13" t="n">
        <v>161</v>
      </c>
      <c r="G196" s="13" t="n">
        <v>160.5</v>
      </c>
      <c r="H196" s="13" t="n">
        <v>135</v>
      </c>
      <c r="I196" s="13" t="n">
        <v>143</v>
      </c>
      <c r="J196" s="13" t="n">
        <v>114</v>
      </c>
      <c r="K196" s="13" t="n">
        <v>74</v>
      </c>
      <c r="L196" s="13" t="n">
        <v>99</v>
      </c>
      <c r="M196" s="13" t="n">
        <v>15.2</v>
      </c>
      <c r="N196" s="13" t="n">
        <v>1774</v>
      </c>
      <c r="O196" s="13" t="n">
        <v>0.78</v>
      </c>
      <c r="P196" s="13" t="n">
        <v>1388</v>
      </c>
      <c r="Q196" s="13" t="n">
        <v>166</v>
      </c>
      <c r="R196" s="13" t="n">
        <v>84</v>
      </c>
      <c r="S196" s="13" t="n">
        <v>39</v>
      </c>
      <c r="T196" s="13" t="n">
        <v>176</v>
      </c>
      <c r="U196" s="13" t="n">
        <v>4</v>
      </c>
      <c r="V196" s="13" t="n">
        <v>78</v>
      </c>
      <c r="W196" s="13" t="n">
        <v>0.112</v>
      </c>
      <c r="X196" s="13" t="n">
        <v>100</v>
      </c>
      <c r="Y196" s="13" t="n">
        <v>76</v>
      </c>
      <c r="Z196" s="13" t="n">
        <v>76</v>
      </c>
      <c r="AA196" s="13" t="n">
        <v>11</v>
      </c>
      <c r="AB196" s="13" t="n">
        <v>10.5</v>
      </c>
      <c r="AC196" s="11" t="inlineStr">
        <is>
          <t xml:space="preserve"> On-Piste Carving</t>
        </is>
      </c>
      <c r="AD196" s="11" t="inlineStr">
        <is>
          <t xml:space="preserve"> On-Piste All-Mountain</t>
        </is>
      </c>
      <c r="AE196" s="13" t="n"/>
      <c r="AF196" s="13" t="n"/>
      <c r="AG196" s="13" t="n"/>
    </row>
    <row r="197">
      <c r="A197" s="9" t="inlineStr">
        <is>
          <t>21/22</t>
        </is>
      </c>
      <c r="B197" s="10" t="inlineStr">
        <is>
          <t xml:space="preserve"> Atomic</t>
        </is>
      </c>
      <c r="C197" s="11" t="inlineStr">
        <is>
          <t>Vantage 75</t>
        </is>
      </c>
      <c r="D197" s="13" t="n">
        <v>169</v>
      </c>
      <c r="E197" s="11" t="inlineStr">
        <is>
          <t xml:space="preserve"> Unisex</t>
        </is>
      </c>
      <c r="F197" s="13" t="n">
        <v>169</v>
      </c>
      <c r="G197" s="13" t="n">
        <v>168.5</v>
      </c>
      <c r="H197" s="13" t="n">
        <v>142</v>
      </c>
      <c r="I197" s="13" t="n">
        <v>152</v>
      </c>
      <c r="J197" s="13" t="n">
        <v>115</v>
      </c>
      <c r="K197" s="13" t="n">
        <v>74</v>
      </c>
      <c r="L197" s="13" t="n">
        <v>100</v>
      </c>
      <c r="M197" s="13" t="n">
        <v>16.2</v>
      </c>
      <c r="N197" s="13" t="n">
        <v>1889</v>
      </c>
      <c r="O197" s="13" t="n">
        <v>0.77</v>
      </c>
      <c r="P197" s="13" t="n">
        <v>1464</v>
      </c>
      <c r="Q197" s="13" t="n">
        <v>188</v>
      </c>
      <c r="R197" s="13" t="n">
        <v>91</v>
      </c>
      <c r="S197" s="13" t="n">
        <v>39</v>
      </c>
      <c r="T197" s="13" t="n">
        <v>185</v>
      </c>
      <c r="U197" s="13" t="n">
        <v>4</v>
      </c>
      <c r="V197" s="13" t="n">
        <v>76</v>
      </c>
      <c r="W197" s="13" t="n">
        <v>0.116</v>
      </c>
      <c r="X197" s="13" t="n">
        <v>97</v>
      </c>
      <c r="Y197" s="13" t="n">
        <v>73</v>
      </c>
      <c r="Z197" s="13" t="n">
        <v>87</v>
      </c>
      <c r="AA197" s="13" t="n">
        <v>10</v>
      </c>
      <c r="AB197" s="13" t="n">
        <v>10.4</v>
      </c>
      <c r="AC197" s="11" t="inlineStr">
        <is>
          <t xml:space="preserve"> On-Piste Carving</t>
        </is>
      </c>
      <c r="AD197" s="11" t="inlineStr">
        <is>
          <t xml:space="preserve"> On-Piste All-Mountain</t>
        </is>
      </c>
      <c r="AE197" s="13" t="n"/>
      <c r="AF197" s="13" t="n"/>
      <c r="AG197" s="13" t="n"/>
    </row>
    <row r="198">
      <c r="A198" s="9" t="inlineStr">
        <is>
          <t>21/22</t>
        </is>
      </c>
      <c r="B198" s="10" t="inlineStr">
        <is>
          <t xml:space="preserve"> Atomic</t>
        </is>
      </c>
      <c r="C198" s="11" t="inlineStr">
        <is>
          <t>Vantage 75 C</t>
        </is>
      </c>
      <c r="D198" s="13" t="n">
        <v>154</v>
      </c>
      <c r="E198" s="11" t="inlineStr">
        <is>
          <t xml:space="preserve"> Unisex</t>
        </is>
      </c>
      <c r="F198" s="13" t="n">
        <v>154</v>
      </c>
      <c r="G198" s="13" t="n">
        <v>153.5</v>
      </c>
      <c r="H198" s="13" t="n">
        <v>129</v>
      </c>
      <c r="I198" s="13" t="n">
        <v>137</v>
      </c>
      <c r="J198" s="13" t="n">
        <v>113</v>
      </c>
      <c r="K198" s="13" t="n">
        <v>74</v>
      </c>
      <c r="L198" s="13" t="n">
        <v>98</v>
      </c>
      <c r="M198" s="13" t="n">
        <v>14.2</v>
      </c>
      <c r="N198" s="11" t="inlineStr">
        <is>
          <t xml:space="preserve"> None</t>
        </is>
      </c>
      <c r="O198" s="11" t="inlineStr">
        <is>
          <t xml:space="preserve"> None</t>
        </is>
      </c>
      <c r="P198" s="13" t="n">
        <v>1328</v>
      </c>
      <c r="Q198" s="13" t="n">
        <v>154</v>
      </c>
      <c r="R198" s="13" t="n">
        <v>67</v>
      </c>
      <c r="S198" s="13" t="n">
        <v>35</v>
      </c>
      <c r="T198" s="13" t="n">
        <v>169</v>
      </c>
      <c r="U198" s="13" t="n">
        <v>6</v>
      </c>
      <c r="V198" s="13" t="n">
        <v>73</v>
      </c>
      <c r="W198" s="13" t="n">
        <v>0.16</v>
      </c>
      <c r="X198" s="13" t="n">
        <v>98</v>
      </c>
      <c r="Y198" s="13" t="n">
        <v>70</v>
      </c>
      <c r="Z198" s="13" t="n">
        <v>71</v>
      </c>
      <c r="AA198" s="13" t="n">
        <v>10</v>
      </c>
      <c r="AB198" s="13" t="n">
        <v>10.7</v>
      </c>
      <c r="AC198" s="11" t="inlineStr">
        <is>
          <t xml:space="preserve"> Other</t>
        </is>
      </c>
      <c r="AD198" s="13" t="n"/>
      <c r="AE198" s="13" t="n"/>
      <c r="AF198" s="13" t="n"/>
      <c r="AG198" s="13" t="n"/>
    </row>
    <row r="199">
      <c r="A199" s="9" t="inlineStr">
        <is>
          <t>21/22</t>
        </is>
      </c>
      <c r="B199" s="10" t="inlineStr">
        <is>
          <t xml:space="preserve"> Atomic</t>
        </is>
      </c>
      <c r="C199" s="11" t="inlineStr">
        <is>
          <t>Vantage 75 C</t>
        </is>
      </c>
      <c r="D199" s="13" t="n">
        <v>161</v>
      </c>
      <c r="E199" s="11" t="inlineStr">
        <is>
          <t xml:space="preserve"> Unisex</t>
        </is>
      </c>
      <c r="F199" s="13" t="n">
        <v>161</v>
      </c>
      <c r="G199" s="13" t="n">
        <v>160.4</v>
      </c>
      <c r="H199" s="13" t="n">
        <v>135</v>
      </c>
      <c r="I199" s="13" t="n">
        <v>143</v>
      </c>
      <c r="J199" s="13" t="n">
        <v>115</v>
      </c>
      <c r="K199" s="13" t="n">
        <v>74</v>
      </c>
      <c r="L199" s="13" t="n">
        <v>99</v>
      </c>
      <c r="M199" s="13" t="n">
        <v>15.3</v>
      </c>
      <c r="N199" s="13" t="n">
        <v>1731</v>
      </c>
      <c r="O199" s="13" t="n">
        <v>0.8100000000000001</v>
      </c>
      <c r="P199" s="13" t="n">
        <v>1394</v>
      </c>
      <c r="Q199" s="13" t="n">
        <v>156</v>
      </c>
      <c r="R199" s="13" t="n">
        <v>67</v>
      </c>
      <c r="S199" s="13" t="n">
        <v>39</v>
      </c>
      <c r="T199" s="13" t="n">
        <v>178</v>
      </c>
      <c r="U199" s="13" t="n">
        <v>4</v>
      </c>
      <c r="V199" s="13" t="n">
        <v>76</v>
      </c>
      <c r="W199" s="13" t="n">
        <v>0.113</v>
      </c>
      <c r="X199" s="13" t="n">
        <v>98</v>
      </c>
      <c r="Y199" s="13" t="n">
        <v>71</v>
      </c>
      <c r="Z199" s="13" t="n">
        <v>79</v>
      </c>
      <c r="AA199" s="13" t="n">
        <v>10</v>
      </c>
      <c r="AB199" s="13" t="n">
        <v>10.4</v>
      </c>
      <c r="AC199" s="11" t="inlineStr">
        <is>
          <t xml:space="preserve"> On-Piste Carving</t>
        </is>
      </c>
      <c r="AD199" s="11" t="inlineStr">
        <is>
          <t xml:space="preserve"> On-Piste All-Mountain</t>
        </is>
      </c>
      <c r="AE199" s="13" t="n"/>
      <c r="AF199" s="13" t="n"/>
      <c r="AG199" s="13" t="n"/>
    </row>
    <row r="200">
      <c r="A200" s="9" t="inlineStr">
        <is>
          <t>21/22</t>
        </is>
      </c>
      <c r="B200" s="10" t="inlineStr">
        <is>
          <t xml:space="preserve"> Atomic</t>
        </is>
      </c>
      <c r="C200" s="11" t="inlineStr">
        <is>
          <t>Vantage 75 C W</t>
        </is>
      </c>
      <c r="D200" s="13" t="n">
        <v>161</v>
      </c>
      <c r="E200" s="11" t="inlineStr">
        <is>
          <t xml:space="preserve"> Women's</t>
        </is>
      </c>
      <c r="F200" s="13" t="n">
        <v>161</v>
      </c>
      <c r="G200" s="13" t="n">
        <v>160.5</v>
      </c>
      <c r="H200" s="13" t="n">
        <v>135</v>
      </c>
      <c r="I200" s="13" t="n">
        <v>144</v>
      </c>
      <c r="J200" s="13" t="n">
        <v>115</v>
      </c>
      <c r="K200" s="13" t="n">
        <v>74</v>
      </c>
      <c r="L200" s="13" t="n">
        <v>99</v>
      </c>
      <c r="M200" s="13" t="n">
        <v>15.2</v>
      </c>
      <c r="N200" s="11" t="inlineStr">
        <is>
          <t xml:space="preserve"> None</t>
        </is>
      </c>
      <c r="O200" s="11" t="inlineStr">
        <is>
          <t xml:space="preserve"> None</t>
        </is>
      </c>
      <c r="P200" s="13" t="n">
        <v>1397</v>
      </c>
      <c r="Q200" s="13" t="n">
        <v>161</v>
      </c>
      <c r="R200" s="13" t="n">
        <v>69</v>
      </c>
      <c r="S200" s="13" t="n">
        <v>38</v>
      </c>
      <c r="T200" s="13" t="n">
        <v>177</v>
      </c>
      <c r="U200" s="13" t="n">
        <v>5</v>
      </c>
      <c r="V200" s="13" t="n">
        <v>82</v>
      </c>
      <c r="W200" s="13" t="n">
        <v>0.119</v>
      </c>
      <c r="X200" s="13" t="n">
        <v>97</v>
      </c>
      <c r="Y200" s="13" t="n">
        <v>71</v>
      </c>
      <c r="Z200" s="13" t="n">
        <v>80</v>
      </c>
      <c r="AA200" s="13" t="n">
        <v>10</v>
      </c>
      <c r="AB200" s="13" t="n">
        <v>10.6</v>
      </c>
      <c r="AC200" s="11" t="inlineStr">
        <is>
          <t xml:space="preserve"> Other</t>
        </is>
      </c>
      <c r="AD200" s="13" t="n"/>
      <c r="AE200" s="13" t="n"/>
      <c r="AF200" s="13" t="n"/>
      <c r="AG200" s="13" t="n"/>
    </row>
    <row r="201">
      <c r="A201" s="9" t="inlineStr">
        <is>
          <t>21/22</t>
        </is>
      </c>
      <c r="B201" s="10" t="inlineStr">
        <is>
          <t xml:space="preserve"> Atomic</t>
        </is>
      </c>
      <c r="C201" s="11" t="inlineStr">
        <is>
          <t>Vantage 79 Ti</t>
        </is>
      </c>
      <c r="D201" s="13" t="n">
        <v>163</v>
      </c>
      <c r="E201" s="11" t="inlineStr">
        <is>
          <t xml:space="preserve"> Unisex</t>
        </is>
      </c>
      <c r="F201" s="13" t="n">
        <v>163</v>
      </c>
      <c r="G201" s="13" t="n">
        <v>162.5</v>
      </c>
      <c r="H201" s="13" t="n">
        <v>136</v>
      </c>
      <c r="I201" s="13" t="n">
        <v>146</v>
      </c>
      <c r="J201" s="13" t="n">
        <v>118</v>
      </c>
      <c r="K201" s="13" t="n">
        <v>77</v>
      </c>
      <c r="L201" s="13" t="n">
        <v>103</v>
      </c>
      <c r="M201" s="13" t="n">
        <v>15.3</v>
      </c>
      <c r="N201" s="13" t="n">
        <v>1917</v>
      </c>
      <c r="O201" s="13" t="n">
        <v>0.77</v>
      </c>
      <c r="P201" s="13" t="n">
        <v>1469</v>
      </c>
      <c r="Q201" s="13" t="n">
        <v>193</v>
      </c>
      <c r="R201" s="13" t="n">
        <v>82</v>
      </c>
      <c r="S201" s="13" t="n">
        <v>39</v>
      </c>
      <c r="T201" s="13" t="n">
        <v>179</v>
      </c>
      <c r="U201" s="13" t="n">
        <v>5</v>
      </c>
      <c r="V201" s="13" t="n">
        <v>82</v>
      </c>
      <c r="W201" s="13" t="n">
        <v>0.126</v>
      </c>
      <c r="X201" s="13" t="n">
        <v>90</v>
      </c>
      <c r="Y201" s="13" t="n">
        <v>72</v>
      </c>
      <c r="Z201" s="13" t="n">
        <v>89</v>
      </c>
      <c r="AA201" s="13" t="n">
        <v>8</v>
      </c>
      <c r="AB201" s="13" t="n">
        <v>11.4</v>
      </c>
      <c r="AC201" s="11" t="inlineStr">
        <is>
          <t xml:space="preserve"> On-Piste Carving</t>
        </is>
      </c>
      <c r="AD201" s="13" t="n"/>
      <c r="AE201" s="13" t="n"/>
      <c r="AF201" s="13" t="n"/>
      <c r="AG201" s="13" t="n"/>
    </row>
    <row r="202">
      <c r="A202" s="9" t="inlineStr">
        <is>
          <t>21/22</t>
        </is>
      </c>
      <c r="B202" s="10" t="inlineStr">
        <is>
          <t xml:space="preserve"> Atomic</t>
        </is>
      </c>
      <c r="C202" s="11" t="inlineStr">
        <is>
          <t>Vantage 82 Ti</t>
        </is>
      </c>
      <c r="D202" s="13" t="n">
        <v>159</v>
      </c>
      <c r="E202" s="11" t="inlineStr">
        <is>
          <t xml:space="preserve"> Unisex</t>
        </is>
      </c>
      <c r="F202" s="13" t="n">
        <v>159</v>
      </c>
      <c r="G202" s="13" t="n">
        <v>158.4</v>
      </c>
      <c r="H202" s="13" t="n">
        <v>130</v>
      </c>
      <c r="I202" s="13" t="n">
        <v>143</v>
      </c>
      <c r="J202" s="13" t="n">
        <v>118</v>
      </c>
      <c r="K202" s="13" t="n">
        <v>79</v>
      </c>
      <c r="L202" s="13" t="n">
        <v>104</v>
      </c>
      <c r="M202" s="13" t="n">
        <v>14.8</v>
      </c>
      <c r="N202" s="13" t="n">
        <v>1506</v>
      </c>
      <c r="O202" s="13" t="n">
        <v>0.97</v>
      </c>
      <c r="P202" s="13" t="n">
        <v>1456</v>
      </c>
      <c r="Q202" s="13" t="n">
        <v>184</v>
      </c>
      <c r="R202" s="13" t="n">
        <v>75</v>
      </c>
      <c r="S202" s="13" t="n">
        <v>45</v>
      </c>
      <c r="T202" s="13" t="n">
        <v>199</v>
      </c>
      <c r="U202" s="13" t="n">
        <v>6</v>
      </c>
      <c r="V202" s="13" t="n">
        <v>89</v>
      </c>
      <c r="W202" s="13" t="n">
        <v>0.132</v>
      </c>
      <c r="X202" s="13" t="n">
        <v>86</v>
      </c>
      <c r="Y202" s="13" t="n">
        <v>69</v>
      </c>
      <c r="Z202" s="13" t="n">
        <v>113</v>
      </c>
      <c r="AA202" s="13" t="n">
        <v>5</v>
      </c>
      <c r="AB202" s="13" t="n">
        <v>11</v>
      </c>
      <c r="AC202" s="11" t="inlineStr">
        <is>
          <t xml:space="preserve"> On-Piste Carving</t>
        </is>
      </c>
      <c r="AD202" s="13" t="n"/>
      <c r="AE202" s="13" t="n"/>
      <c r="AF202" s="13" t="n"/>
      <c r="AG202" s="13" t="n"/>
    </row>
    <row r="203">
      <c r="A203" s="9" t="inlineStr">
        <is>
          <t>21/22</t>
        </is>
      </c>
      <c r="B203" s="10" t="inlineStr">
        <is>
          <t xml:space="preserve"> Atomic</t>
        </is>
      </c>
      <c r="C203" s="11" t="inlineStr">
        <is>
          <t>Vantage 82 Ti</t>
        </is>
      </c>
      <c r="D203" s="13" t="n">
        <v>174</v>
      </c>
      <c r="E203" s="11" t="inlineStr">
        <is>
          <t xml:space="preserve"> Unisex</t>
        </is>
      </c>
      <c r="F203" s="13" t="n">
        <v>174</v>
      </c>
      <c r="G203" s="13" t="n">
        <v>173.3</v>
      </c>
      <c r="H203" s="13" t="n">
        <v>146</v>
      </c>
      <c r="I203" s="13" t="n">
        <v>156</v>
      </c>
      <c r="J203" s="13" t="n">
        <v>122</v>
      </c>
      <c r="K203" s="13" t="n">
        <v>82</v>
      </c>
      <c r="L203" s="13" t="n">
        <v>108</v>
      </c>
      <c r="M203" s="13" t="n">
        <v>17.3</v>
      </c>
      <c r="N203" s="13" t="n">
        <v>1882</v>
      </c>
      <c r="O203" s="13" t="n">
        <v>0.87</v>
      </c>
      <c r="P203" s="13" t="n">
        <v>1639</v>
      </c>
      <c r="Q203" s="13" t="n">
        <v>244</v>
      </c>
      <c r="R203" s="13" t="n">
        <v>104</v>
      </c>
      <c r="S203" s="13" t="n">
        <v>41</v>
      </c>
      <c r="T203" s="13" t="n">
        <v>183</v>
      </c>
      <c r="U203" s="13" t="n">
        <v>5</v>
      </c>
      <c r="V203" s="13" t="n">
        <v>86</v>
      </c>
      <c r="W203" s="13" t="n">
        <v>0.12</v>
      </c>
      <c r="X203" s="13" t="n">
        <v>101</v>
      </c>
      <c r="Y203" s="13" t="n">
        <v>72</v>
      </c>
      <c r="Z203" s="13" t="n">
        <v>82</v>
      </c>
      <c r="AA203" s="13" t="n">
        <v>7</v>
      </c>
      <c r="AB203" s="13" t="n">
        <v>11.1</v>
      </c>
      <c r="AC203" s="11" t="inlineStr">
        <is>
          <t xml:space="preserve"> On-Piste Carving</t>
        </is>
      </c>
      <c r="AD203" s="11" t="inlineStr">
        <is>
          <t xml:space="preserve"> Resort Freeride</t>
        </is>
      </c>
      <c r="AE203" s="13" t="n"/>
      <c r="AF203" s="13" t="n"/>
      <c r="AG203" s="13" t="n"/>
    </row>
    <row r="204">
      <c r="A204" s="9" t="inlineStr">
        <is>
          <t>21/22</t>
        </is>
      </c>
      <c r="B204" s="10" t="inlineStr">
        <is>
          <t xml:space="preserve"> Black Crows</t>
        </is>
      </c>
      <c r="C204" s="11" t="inlineStr">
        <is>
          <t xml:space="preserve"> Anima</t>
        </is>
      </c>
      <c r="D204" s="13" t="n">
        <v>182.1</v>
      </c>
      <c r="E204" s="11" t="inlineStr">
        <is>
          <t xml:space="preserve"> Unisex</t>
        </is>
      </c>
      <c r="F204" s="13" t="n">
        <v>182.1</v>
      </c>
      <c r="G204" s="13" t="n">
        <v>180.9</v>
      </c>
      <c r="H204" s="13" t="n">
        <v>115</v>
      </c>
      <c r="I204" s="13" t="n">
        <v>148</v>
      </c>
      <c r="J204" s="13" t="n">
        <v>145</v>
      </c>
      <c r="K204" s="13" t="n">
        <v>114</v>
      </c>
      <c r="L204" s="13" t="n">
        <v>134</v>
      </c>
      <c r="M204" s="13" t="n">
        <v>19.3</v>
      </c>
      <c r="N204" s="13" t="n">
        <v>2227</v>
      </c>
      <c r="O204" s="13" t="n">
        <v>1.01</v>
      </c>
      <c r="P204" s="13" t="n">
        <v>2241</v>
      </c>
      <c r="Q204" s="13" t="n">
        <v>230</v>
      </c>
      <c r="R204" s="13" t="n">
        <v>107</v>
      </c>
      <c r="S204" s="13" t="n">
        <v>50</v>
      </c>
      <c r="T204" s="13" t="n">
        <v>375</v>
      </c>
      <c r="U204" s="13" t="n">
        <v>47</v>
      </c>
      <c r="V204" s="13" t="n">
        <v>286</v>
      </c>
      <c r="W204" s="13" t="n">
        <v>0.928</v>
      </c>
      <c r="X204" s="13" t="n">
        <v>185</v>
      </c>
      <c r="Y204" s="13" t="n">
        <v>145</v>
      </c>
      <c r="Z204" s="13" t="n">
        <v>191</v>
      </c>
      <c r="AA204" s="13" t="n">
        <v>7</v>
      </c>
      <c r="AB204" s="13" t="n">
        <v>7.1</v>
      </c>
      <c r="AC204" s="11" t="inlineStr">
        <is>
          <t xml:space="preserve"> Freeski</t>
        </is>
      </c>
      <c r="AD204" s="11" t="inlineStr">
        <is>
          <t xml:space="preserve"> Powder</t>
        </is>
      </c>
      <c r="AE204" s="13" t="n"/>
      <c r="AF204" s="13" t="n"/>
      <c r="AG204" s="13" t="n"/>
    </row>
    <row r="205">
      <c r="A205" s="9" t="inlineStr">
        <is>
          <t>21/22</t>
        </is>
      </c>
      <c r="B205" s="10" t="inlineStr">
        <is>
          <t xml:space="preserve"> Black Crows</t>
        </is>
      </c>
      <c r="C205" s="11" t="inlineStr">
        <is>
          <t xml:space="preserve"> Atris</t>
        </is>
      </c>
      <c r="D205" s="13" t="n">
        <v>178.3</v>
      </c>
      <c r="E205" s="11" t="inlineStr">
        <is>
          <t xml:space="preserve"> Unisex</t>
        </is>
      </c>
      <c r="F205" s="13" t="n">
        <v>178.3</v>
      </c>
      <c r="G205" s="13" t="n">
        <v>176.9</v>
      </c>
      <c r="H205" s="13" t="n">
        <v>122</v>
      </c>
      <c r="I205" s="13" t="n">
        <v>145</v>
      </c>
      <c r="J205" s="13" t="n">
        <v>138</v>
      </c>
      <c r="K205" s="13" t="n">
        <v>108</v>
      </c>
      <c r="L205" s="13" t="n">
        <v>125</v>
      </c>
      <c r="M205" s="13" t="n">
        <v>20.4</v>
      </c>
      <c r="N205" s="13" t="n">
        <v>1900</v>
      </c>
      <c r="O205" s="13" t="n">
        <v>1.09</v>
      </c>
      <c r="P205" s="13" t="n">
        <v>2078</v>
      </c>
      <c r="Q205" s="13" t="n">
        <v>197</v>
      </c>
      <c r="R205" s="13" t="n">
        <v>85</v>
      </c>
      <c r="S205" s="13" t="n">
        <v>53</v>
      </c>
      <c r="T205" s="13" t="n">
        <v>339</v>
      </c>
      <c r="U205" s="13" t="n">
        <v>30</v>
      </c>
      <c r="V205" s="13" t="n">
        <v>214</v>
      </c>
      <c r="W205" s="13" t="n">
        <v>0.578</v>
      </c>
      <c r="X205" s="13" t="n">
        <v>198</v>
      </c>
      <c r="Y205" s="13" t="n">
        <v>118</v>
      </c>
      <c r="Z205" s="13" t="n">
        <v>140</v>
      </c>
      <c r="AA205" s="13" t="n">
        <v>5</v>
      </c>
      <c r="AB205" s="13" t="n">
        <v>8.1</v>
      </c>
      <c r="AC205" s="11" t="inlineStr">
        <is>
          <t xml:space="preserve"> Powder</t>
        </is>
      </c>
      <c r="AD205" s="11" t="inlineStr">
        <is>
          <t xml:space="preserve"> Touring</t>
        </is>
      </c>
      <c r="AE205" s="13" t="n"/>
      <c r="AF205" s="13" t="n"/>
      <c r="AG205" s="13" t="n"/>
    </row>
    <row r="206">
      <c r="A206" s="9" t="inlineStr">
        <is>
          <t>21/22</t>
        </is>
      </c>
      <c r="B206" s="10" t="inlineStr">
        <is>
          <t xml:space="preserve"> Black Crows</t>
        </is>
      </c>
      <c r="C206" s="11" t="inlineStr">
        <is>
          <t xml:space="preserve"> Atris</t>
        </is>
      </c>
      <c r="D206" s="13" t="n">
        <v>184.2</v>
      </c>
      <c r="E206" s="11" t="inlineStr">
        <is>
          <t xml:space="preserve"> Unisex</t>
        </is>
      </c>
      <c r="F206" s="13" t="n">
        <v>184.2</v>
      </c>
      <c r="G206" s="13" t="n">
        <v>182.7</v>
      </c>
      <c r="H206" s="13" t="n">
        <v>121</v>
      </c>
      <c r="I206" s="13" t="n">
        <v>148</v>
      </c>
      <c r="J206" s="13" t="n">
        <v>138</v>
      </c>
      <c r="K206" s="13" t="n">
        <v>107</v>
      </c>
      <c r="L206" s="13" t="n">
        <v>125</v>
      </c>
      <c r="M206" s="13" t="n">
        <v>20.4</v>
      </c>
      <c r="N206" s="13" t="n">
        <v>2066</v>
      </c>
      <c r="O206" s="13" t="n">
        <v>1.04</v>
      </c>
      <c r="P206" s="13" t="n">
        <v>2146</v>
      </c>
      <c r="Q206" s="13" t="n">
        <v>247</v>
      </c>
      <c r="R206" s="13" t="n">
        <v>99</v>
      </c>
      <c r="S206" s="13" t="n">
        <v>57</v>
      </c>
      <c r="T206" s="13" t="n">
        <v>356</v>
      </c>
      <c r="U206" s="13" t="n">
        <v>32</v>
      </c>
      <c r="V206" s="13" t="n">
        <v>260</v>
      </c>
      <c r="W206" s="13" t="n">
        <v>0.5600000000000001</v>
      </c>
      <c r="X206" s="13" t="n">
        <v>227</v>
      </c>
      <c r="Y206" s="13" t="n">
        <v>121</v>
      </c>
      <c r="Z206" s="13" t="n">
        <v>128</v>
      </c>
      <c r="AA206" s="13" t="n">
        <v>3</v>
      </c>
      <c r="AB206" s="13" t="n">
        <v>7.9</v>
      </c>
      <c r="AC206" s="11" t="inlineStr">
        <is>
          <t xml:space="preserve"> Powder</t>
        </is>
      </c>
      <c r="AD206" s="13" t="n"/>
      <c r="AE206" s="13" t="n"/>
      <c r="AF206" s="13" t="n"/>
      <c r="AG206" s="13" t="n"/>
    </row>
    <row r="207">
      <c r="A207" s="9" t="inlineStr">
        <is>
          <t>21/22</t>
        </is>
      </c>
      <c r="B207" s="10" t="inlineStr">
        <is>
          <t xml:space="preserve"> Black Crows</t>
        </is>
      </c>
      <c r="C207" s="11" t="inlineStr">
        <is>
          <t xml:space="preserve"> Atris</t>
        </is>
      </c>
      <c r="D207" s="13" t="n">
        <v>189.7</v>
      </c>
      <c r="E207" s="11" t="inlineStr">
        <is>
          <t xml:space="preserve"> Unisex</t>
        </is>
      </c>
      <c r="F207" s="13" t="n">
        <v>189.7</v>
      </c>
      <c r="G207" s="13" t="n">
        <v>187.6</v>
      </c>
      <c r="H207" s="13" t="n">
        <v>131</v>
      </c>
      <c r="I207" s="13" t="n">
        <v>151</v>
      </c>
      <c r="J207" s="13" t="n">
        <v>139</v>
      </c>
      <c r="K207" s="13" t="n">
        <v>107</v>
      </c>
      <c r="L207" s="13" t="n">
        <v>126</v>
      </c>
      <c r="M207" s="13" t="n">
        <v>20.4</v>
      </c>
      <c r="N207" s="13" t="n">
        <v>2131</v>
      </c>
      <c r="O207" s="13" t="n">
        <v>1.04</v>
      </c>
      <c r="P207" s="13" t="n">
        <v>2208</v>
      </c>
      <c r="Q207" s="13" t="n">
        <v>251</v>
      </c>
      <c r="R207" s="13" t="n">
        <v>121</v>
      </c>
      <c r="S207" s="13" t="n">
        <v>52</v>
      </c>
      <c r="T207" s="13" t="n">
        <v>334</v>
      </c>
      <c r="U207" s="13" t="n">
        <v>34</v>
      </c>
      <c r="V207" s="13" t="n">
        <v>234</v>
      </c>
      <c r="W207" s="13" t="n">
        <v>0.65</v>
      </c>
      <c r="X207" s="13" t="n">
        <v>227</v>
      </c>
      <c r="Y207" s="13" t="n">
        <v>141</v>
      </c>
      <c r="Z207" s="13" t="n">
        <v>108</v>
      </c>
      <c r="AA207" s="13" t="n">
        <v>5</v>
      </c>
      <c r="AB207" s="13" t="n">
        <v>8.1</v>
      </c>
      <c r="AC207" s="11" t="inlineStr">
        <is>
          <t xml:space="preserve"> Powder</t>
        </is>
      </c>
      <c r="AD207" s="13" t="n"/>
      <c r="AE207" s="13" t="n"/>
      <c r="AF207" s="13" t="n"/>
      <c r="AG207" s="13" t="n"/>
    </row>
    <row r="208">
      <c r="A208" s="9" t="inlineStr">
        <is>
          <t>21/22</t>
        </is>
      </c>
      <c r="B208" s="10" t="inlineStr">
        <is>
          <t xml:space="preserve"> Black Crows</t>
        </is>
      </c>
      <c r="C208" s="11" t="inlineStr">
        <is>
          <t xml:space="preserve"> Atris Birdie</t>
        </is>
      </c>
      <c r="D208" s="13" t="n">
        <v>160.1</v>
      </c>
      <c r="E208" s="11" t="inlineStr">
        <is>
          <t xml:space="preserve"> Women's</t>
        </is>
      </c>
      <c r="F208" s="13" t="n">
        <v>160.1</v>
      </c>
      <c r="G208" s="13" t="n">
        <v>158.9</v>
      </c>
      <c r="H208" s="13" t="n">
        <v>112</v>
      </c>
      <c r="I208" s="13" t="n">
        <v>133</v>
      </c>
      <c r="J208" s="13" t="n">
        <v>135</v>
      </c>
      <c r="K208" s="13" t="n">
        <v>106</v>
      </c>
      <c r="L208" s="13" t="n">
        <v>121</v>
      </c>
      <c r="M208" s="13" t="n">
        <v>19.2</v>
      </c>
      <c r="N208" s="13" t="n">
        <v>1649</v>
      </c>
      <c r="O208" s="13" t="n">
        <v>1.11</v>
      </c>
      <c r="P208" s="13" t="n">
        <v>1831</v>
      </c>
      <c r="Q208" s="13" t="n">
        <v>121</v>
      </c>
      <c r="R208" s="13" t="n">
        <v>57</v>
      </c>
      <c r="S208" s="13" t="n">
        <v>50</v>
      </c>
      <c r="T208" s="13" t="n">
        <v>283</v>
      </c>
      <c r="U208" s="13" t="n">
        <v>30</v>
      </c>
      <c r="V208" s="13" t="n">
        <v>184</v>
      </c>
      <c r="W208" s="13" t="n">
        <v>0.604</v>
      </c>
      <c r="X208" s="13" t="n">
        <v>155</v>
      </c>
      <c r="Y208" s="13" t="n">
        <v>100</v>
      </c>
      <c r="Z208" s="13" t="n">
        <v>128</v>
      </c>
      <c r="AA208" s="13" t="n">
        <v>7</v>
      </c>
      <c r="AB208" s="13" t="n">
        <v>8.5</v>
      </c>
      <c r="AC208" s="11" t="inlineStr">
        <is>
          <t xml:space="preserve"> Powder</t>
        </is>
      </c>
      <c r="AD208" s="11" t="inlineStr">
        <is>
          <t xml:space="preserve"> Touring</t>
        </is>
      </c>
      <c r="AE208" s="13" t="n"/>
      <c r="AF208" s="13" t="n"/>
      <c r="AG208" s="13" t="n"/>
    </row>
    <row r="209">
      <c r="A209" s="9" t="inlineStr">
        <is>
          <t>21/22</t>
        </is>
      </c>
      <c r="B209" s="10" t="inlineStr">
        <is>
          <t xml:space="preserve"> Black Crows</t>
        </is>
      </c>
      <c r="C209" s="11" t="inlineStr">
        <is>
          <t xml:space="preserve"> Atris Birdie</t>
        </is>
      </c>
      <c r="D209" s="13" t="n">
        <v>169.1</v>
      </c>
      <c r="E209" s="11" t="inlineStr">
        <is>
          <t xml:space="preserve"> Women's</t>
        </is>
      </c>
      <c r="F209" s="13" t="n">
        <v>169.1</v>
      </c>
      <c r="G209" s="13" t="n">
        <v>167.9</v>
      </c>
      <c r="H209" s="13" t="n">
        <v>120</v>
      </c>
      <c r="I209" s="13" t="n">
        <v>139</v>
      </c>
      <c r="J209" s="13" t="n">
        <v>136</v>
      </c>
      <c r="K209" s="13" t="n">
        <v>107</v>
      </c>
      <c r="L209" s="13" t="n">
        <v>122</v>
      </c>
      <c r="M209" s="13" t="n">
        <v>20.3</v>
      </c>
      <c r="N209" s="13" t="n">
        <v>1780</v>
      </c>
      <c r="O209" s="13" t="n">
        <v>1.09</v>
      </c>
      <c r="P209" s="13" t="n">
        <v>1946</v>
      </c>
      <c r="Q209" s="13" t="n">
        <v>167</v>
      </c>
      <c r="R209" s="13" t="n">
        <v>70</v>
      </c>
      <c r="S209" s="13" t="n">
        <v>46</v>
      </c>
      <c r="T209" s="13" t="n">
        <v>268</v>
      </c>
      <c r="U209" s="13" t="n">
        <v>32</v>
      </c>
      <c r="V209" s="13" t="n">
        <v>212</v>
      </c>
      <c r="W209" s="13" t="n">
        <v>0.6870000000000001</v>
      </c>
      <c r="X209" s="13" t="n">
        <v>173</v>
      </c>
      <c r="Y209" s="13" t="n">
        <v>117</v>
      </c>
      <c r="Z209" s="13" t="n">
        <v>95</v>
      </c>
      <c r="AA209" s="13" t="n">
        <v>5</v>
      </c>
      <c r="AB209" s="13" t="n">
        <v>8.4</v>
      </c>
      <c r="AC209" s="11" t="inlineStr">
        <is>
          <t xml:space="preserve"> Powder</t>
        </is>
      </c>
      <c r="AD209" s="11" t="inlineStr">
        <is>
          <t xml:space="preserve"> Touring</t>
        </is>
      </c>
      <c r="AE209" s="13" t="n"/>
      <c r="AF209" s="13" t="n"/>
      <c r="AG209" s="13" t="n"/>
    </row>
    <row r="210">
      <c r="A210" s="9" t="inlineStr">
        <is>
          <t>21/22</t>
        </is>
      </c>
      <c r="B210" s="10" t="inlineStr">
        <is>
          <t xml:space="preserve"> Black Crows</t>
        </is>
      </c>
      <c r="C210" s="11" t="inlineStr">
        <is>
          <t xml:space="preserve"> Camox</t>
        </is>
      </c>
      <c r="D210" s="13" t="n">
        <v>168.1</v>
      </c>
      <c r="E210" s="11" t="inlineStr">
        <is>
          <t xml:space="preserve"> Unisex</t>
        </is>
      </c>
      <c r="F210" s="13" t="n">
        <v>168.1</v>
      </c>
      <c r="G210" s="13" t="n">
        <v>167.5</v>
      </c>
      <c r="H210" s="13" t="n">
        <v>130</v>
      </c>
      <c r="I210" s="13" t="n">
        <v>144</v>
      </c>
      <c r="J210" s="13" t="n">
        <v>127</v>
      </c>
      <c r="K210" s="13" t="n">
        <v>96</v>
      </c>
      <c r="L210" s="13" t="n">
        <v>116</v>
      </c>
      <c r="M210" s="13" t="n">
        <v>18.7</v>
      </c>
      <c r="N210" s="13" t="n">
        <v>1696</v>
      </c>
      <c r="O210" s="13" t="n">
        <v>1.04</v>
      </c>
      <c r="P210" s="13" t="n">
        <v>1772</v>
      </c>
      <c r="Q210" s="13" t="n">
        <v>141</v>
      </c>
      <c r="R210" s="13" t="n">
        <v>74</v>
      </c>
      <c r="S210" s="13" t="n">
        <v>46</v>
      </c>
      <c r="T210" s="13" t="n">
        <v>225</v>
      </c>
      <c r="U210" s="13" t="n">
        <v>29</v>
      </c>
      <c r="V210" s="13" t="n">
        <v>150</v>
      </c>
      <c r="W210" s="13" t="n">
        <v>0.632</v>
      </c>
      <c r="X210" s="13" t="n">
        <v>128</v>
      </c>
      <c r="Y210" s="13" t="n">
        <v>112</v>
      </c>
      <c r="Z210" s="13" t="n">
        <v>97</v>
      </c>
      <c r="AA210" s="13" t="n">
        <v>14</v>
      </c>
      <c r="AB210" s="13" t="n">
        <v>6.2</v>
      </c>
      <c r="AC210" s="11" t="inlineStr">
        <is>
          <t xml:space="preserve"> Resort Freeride</t>
        </is>
      </c>
      <c r="AD210" s="13" t="n"/>
      <c r="AE210" s="13" t="n"/>
      <c r="AF210" s="13" t="n"/>
      <c r="AG210" s="13" t="n"/>
    </row>
    <row r="211">
      <c r="A211" s="9" t="inlineStr">
        <is>
          <t>21/22</t>
        </is>
      </c>
      <c r="B211" s="10" t="inlineStr">
        <is>
          <t xml:space="preserve"> Black Crows</t>
        </is>
      </c>
      <c r="C211" s="11" t="inlineStr">
        <is>
          <t xml:space="preserve"> Camox</t>
        </is>
      </c>
      <c r="D211" s="13" t="n">
        <v>174.2</v>
      </c>
      <c r="E211" s="11" t="inlineStr">
        <is>
          <t xml:space="preserve"> Unisex</t>
        </is>
      </c>
      <c r="F211" s="13" t="n">
        <v>174.2</v>
      </c>
      <c r="G211" s="13" t="n">
        <v>173.3</v>
      </c>
      <c r="H211" s="13" t="n">
        <v>135</v>
      </c>
      <c r="I211" s="13" t="n">
        <v>150</v>
      </c>
      <c r="J211" s="13" t="n">
        <v>128</v>
      </c>
      <c r="K211" s="13" t="n">
        <v>96</v>
      </c>
      <c r="L211" s="13" t="n">
        <v>116</v>
      </c>
      <c r="M211" s="13" t="n">
        <v>20.6</v>
      </c>
      <c r="N211" s="13" t="n">
        <v>1773</v>
      </c>
      <c r="O211" s="13" t="n">
        <v>1.03</v>
      </c>
      <c r="P211" s="13" t="n">
        <v>1830</v>
      </c>
      <c r="Q211" s="13" t="n">
        <v>168</v>
      </c>
      <c r="R211" s="13" t="n">
        <v>86</v>
      </c>
      <c r="S211" s="13" t="n">
        <v>44</v>
      </c>
      <c r="T211" s="13" t="n">
        <v>227</v>
      </c>
      <c r="U211" s="13" t="n">
        <v>30</v>
      </c>
      <c r="V211" s="13" t="n">
        <v>153</v>
      </c>
      <c r="W211" s="13" t="n">
        <v>0.671</v>
      </c>
      <c r="X211" s="13" t="n">
        <v>118</v>
      </c>
      <c r="Y211" s="13" t="n">
        <v>111</v>
      </c>
      <c r="Z211" s="13" t="n">
        <v>109</v>
      </c>
      <c r="AA211" s="13" t="n">
        <v>12</v>
      </c>
      <c r="AB211" s="13" t="n">
        <v>6.4</v>
      </c>
      <c r="AC211" s="11" t="inlineStr">
        <is>
          <t xml:space="preserve"> Resort Freeride</t>
        </is>
      </c>
      <c r="AD211" s="13" t="n"/>
      <c r="AE211" s="13" t="n"/>
      <c r="AF211" s="13" t="n"/>
      <c r="AG211" s="13" t="n"/>
    </row>
    <row r="212">
      <c r="A212" s="9" t="inlineStr">
        <is>
          <t>21/22</t>
        </is>
      </c>
      <c r="B212" s="10" t="inlineStr">
        <is>
          <t xml:space="preserve"> Black Crows</t>
        </is>
      </c>
      <c r="C212" s="11" t="inlineStr">
        <is>
          <t xml:space="preserve"> Camox</t>
        </is>
      </c>
      <c r="D212" s="13" t="n">
        <v>180.4</v>
      </c>
      <c r="E212" s="11" t="inlineStr">
        <is>
          <t xml:space="preserve"> Unisex</t>
        </is>
      </c>
      <c r="F212" s="13" t="n">
        <v>180.4</v>
      </c>
      <c r="G212" s="13" t="n">
        <v>179.2</v>
      </c>
      <c r="H212" s="13" t="n">
        <v>143</v>
      </c>
      <c r="I212" s="13" t="n">
        <v>157</v>
      </c>
      <c r="J212" s="13" t="n">
        <v>129</v>
      </c>
      <c r="K212" s="13" t="n">
        <v>96</v>
      </c>
      <c r="L212" s="13" t="n">
        <v>118</v>
      </c>
      <c r="M212" s="13" t="n">
        <v>20.2</v>
      </c>
      <c r="N212" s="13" t="n">
        <v>1790</v>
      </c>
      <c r="O212" s="13" t="n">
        <v>1.07</v>
      </c>
      <c r="P212" s="13" t="n">
        <v>1910</v>
      </c>
      <c r="Q212" s="13" t="n">
        <v>177</v>
      </c>
      <c r="R212" s="13" t="n">
        <v>83</v>
      </c>
      <c r="S212" s="13" t="n">
        <v>44</v>
      </c>
      <c r="T212" s="13" t="n">
        <v>214</v>
      </c>
      <c r="U212" s="13" t="n">
        <v>29</v>
      </c>
      <c r="V212" s="13" t="n">
        <v>145</v>
      </c>
      <c r="W212" s="13" t="n">
        <v>0.667</v>
      </c>
      <c r="X212" s="13" t="n">
        <v>137</v>
      </c>
      <c r="Y212" s="13" t="n">
        <v>86</v>
      </c>
      <c r="Z212" s="13" t="n">
        <v>77</v>
      </c>
      <c r="AA212" s="13" t="n">
        <v>15</v>
      </c>
      <c r="AB212" s="13" t="n">
        <v>6.7</v>
      </c>
      <c r="AC212" s="11" t="inlineStr">
        <is>
          <t xml:space="preserve"> Resort Freeride</t>
        </is>
      </c>
      <c r="AD212" s="11" t="inlineStr">
        <is>
          <t xml:space="preserve"> Touring</t>
        </is>
      </c>
      <c r="AE212" s="13" t="n"/>
      <c r="AF212" s="13" t="n"/>
      <c r="AG212" s="13" t="n"/>
    </row>
    <row r="213">
      <c r="A213" s="9" t="inlineStr">
        <is>
          <t>21/22</t>
        </is>
      </c>
      <c r="B213" s="10" t="inlineStr">
        <is>
          <t xml:space="preserve"> Black Crows</t>
        </is>
      </c>
      <c r="C213" s="11" t="inlineStr">
        <is>
          <t xml:space="preserve"> Camox</t>
        </is>
      </c>
      <c r="D213" s="13" t="n">
        <v>186.5</v>
      </c>
      <c r="E213" s="11" t="inlineStr">
        <is>
          <t xml:space="preserve"> Unisex</t>
        </is>
      </c>
      <c r="F213" s="13" t="n">
        <v>186.5</v>
      </c>
      <c r="G213" s="13" t="n">
        <v>185.4</v>
      </c>
      <c r="H213" s="13" t="n">
        <v>148</v>
      </c>
      <c r="I213" s="13" t="n">
        <v>159</v>
      </c>
      <c r="J213" s="13" t="n">
        <v>131</v>
      </c>
      <c r="K213" s="13" t="n">
        <v>96</v>
      </c>
      <c r="L213" s="13" t="n">
        <v>119</v>
      </c>
      <c r="M213" s="13" t="n">
        <v>20.3</v>
      </c>
      <c r="N213" s="13" t="n">
        <v>1958</v>
      </c>
      <c r="O213" s="13" t="n">
        <v>1.02</v>
      </c>
      <c r="P213" s="13" t="n">
        <v>1990</v>
      </c>
      <c r="Q213" s="13" t="n">
        <v>198</v>
      </c>
      <c r="R213" s="13" t="n">
        <v>96</v>
      </c>
      <c r="S213" s="13" t="n">
        <v>43</v>
      </c>
      <c r="T213" s="13" t="n">
        <v>219</v>
      </c>
      <c r="U213" s="13" t="n">
        <v>30</v>
      </c>
      <c r="V213" s="13" t="n">
        <v>155</v>
      </c>
      <c r="W213" s="13" t="n">
        <v>0.709</v>
      </c>
      <c r="X213" s="13" t="n">
        <v>139</v>
      </c>
      <c r="Y213" s="13" t="n">
        <v>127</v>
      </c>
      <c r="Z213" s="13" t="n">
        <v>80</v>
      </c>
      <c r="AA213" s="13" t="n">
        <v>17</v>
      </c>
      <c r="AB213" s="13" t="n">
        <v>6</v>
      </c>
      <c r="AC213" s="11" t="inlineStr">
        <is>
          <t xml:space="preserve"> Resort Freeride</t>
        </is>
      </c>
      <c r="AD213" s="13" t="n"/>
      <c r="AE213" s="13" t="n"/>
      <c r="AF213" s="13" t="n"/>
      <c r="AG213" s="13" t="n"/>
    </row>
    <row r="214">
      <c r="A214" s="9" t="inlineStr">
        <is>
          <t>21/22</t>
        </is>
      </c>
      <c r="B214" s="10" t="inlineStr">
        <is>
          <t xml:space="preserve"> Black Crows</t>
        </is>
      </c>
      <c r="C214" s="11" t="inlineStr">
        <is>
          <t xml:space="preserve"> Camox Birdie</t>
        </is>
      </c>
      <c r="D214" s="13" t="n">
        <v>156.1</v>
      </c>
      <c r="E214" s="11" t="inlineStr">
        <is>
          <t xml:space="preserve"> Women's</t>
        </is>
      </c>
      <c r="F214" s="13" t="n">
        <v>156.1</v>
      </c>
      <c r="G214" s="13" t="n">
        <v>154.9</v>
      </c>
      <c r="H214" s="13" t="n">
        <v>120</v>
      </c>
      <c r="I214" s="13" t="n">
        <v>136</v>
      </c>
      <c r="J214" s="13" t="n">
        <v>126</v>
      </c>
      <c r="K214" s="13" t="n">
        <v>95</v>
      </c>
      <c r="L214" s="13" t="n">
        <v>114</v>
      </c>
      <c r="M214" s="13" t="n">
        <v>18.4</v>
      </c>
      <c r="N214" s="13" t="n">
        <v>1543</v>
      </c>
      <c r="O214" s="13" t="n">
        <v>1.05</v>
      </c>
      <c r="P214" s="13" t="n">
        <v>1616</v>
      </c>
      <c r="Q214" s="13" t="n">
        <v>148</v>
      </c>
      <c r="R214" s="13" t="n">
        <v>61</v>
      </c>
      <c r="S214" s="13" t="n">
        <v>38</v>
      </c>
      <c r="T214" s="13" t="n">
        <v>198</v>
      </c>
      <c r="U214" s="13" t="n">
        <v>30</v>
      </c>
      <c r="V214" s="13" t="n">
        <v>156</v>
      </c>
      <c r="W214" s="13" t="n">
        <v>0.787</v>
      </c>
      <c r="X214" s="13" t="n">
        <v>100</v>
      </c>
      <c r="Y214" s="13" t="n">
        <v>94</v>
      </c>
      <c r="Z214" s="13" t="n">
        <v>98</v>
      </c>
      <c r="AA214" s="13" t="n">
        <v>14</v>
      </c>
      <c r="AB214" s="13" t="n">
        <v>6.6</v>
      </c>
      <c r="AC214" s="11" t="inlineStr">
        <is>
          <t xml:space="preserve"> Resort Freeride</t>
        </is>
      </c>
      <c r="AD214" s="13" t="n"/>
      <c r="AE214" s="13" t="n"/>
      <c r="AF214" s="13" t="n"/>
      <c r="AG214" s="13" t="n"/>
    </row>
    <row r="215">
      <c r="A215" s="9" t="inlineStr">
        <is>
          <t>21/22</t>
        </is>
      </c>
      <c r="B215" s="10" t="inlineStr">
        <is>
          <t xml:space="preserve"> Black Crows</t>
        </is>
      </c>
      <c r="C215" s="11" t="inlineStr">
        <is>
          <t xml:space="preserve"> Camox Birdie</t>
        </is>
      </c>
      <c r="D215" s="13" t="n">
        <v>162.3</v>
      </c>
      <c r="E215" s="11" t="inlineStr">
        <is>
          <t xml:space="preserve"> Women's</t>
        </is>
      </c>
      <c r="F215" s="13" t="n">
        <v>162.3</v>
      </c>
      <c r="G215" s="13" t="n">
        <v>160.8</v>
      </c>
      <c r="H215" s="13" t="n">
        <v>117</v>
      </c>
      <c r="I215" s="13" t="n">
        <v>140</v>
      </c>
      <c r="J215" s="13" t="n">
        <v>129</v>
      </c>
      <c r="K215" s="13" t="n">
        <v>97</v>
      </c>
      <c r="L215" s="13" t="n">
        <v>117</v>
      </c>
      <c r="M215" s="13" t="n">
        <v>18.3</v>
      </c>
      <c r="N215" s="13" t="n">
        <v>1601</v>
      </c>
      <c r="O215" s="13" t="n">
        <v>1.07</v>
      </c>
      <c r="P215" s="13" t="n">
        <v>1720</v>
      </c>
      <c r="Q215" s="13" t="n">
        <v>142</v>
      </c>
      <c r="R215" s="13" t="n">
        <v>74</v>
      </c>
      <c r="S215" s="13" t="n">
        <v>45</v>
      </c>
      <c r="T215" s="13" t="n">
        <v>246</v>
      </c>
      <c r="U215" s="13" t="n">
        <v>32</v>
      </c>
      <c r="V215" s="13" t="n">
        <v>194</v>
      </c>
      <c r="W215" s="13" t="n">
        <v>0.715</v>
      </c>
      <c r="X215" s="13" t="n">
        <v>103</v>
      </c>
      <c r="Y215" s="13" t="n">
        <v>110</v>
      </c>
      <c r="Z215" s="13" t="n">
        <v>143</v>
      </c>
      <c r="AA215" s="13" t="n">
        <v>8</v>
      </c>
      <c r="AB215" s="13" t="n">
        <v>6.4</v>
      </c>
      <c r="AC215" s="11" t="inlineStr">
        <is>
          <t xml:space="preserve"> Resort Freeride</t>
        </is>
      </c>
      <c r="AD215" s="11" t="inlineStr">
        <is>
          <t xml:space="preserve"> Touring</t>
        </is>
      </c>
      <c r="AE215" s="13" t="n"/>
      <c r="AF215" s="13" t="n"/>
      <c r="AG215" s="13" t="n"/>
    </row>
    <row r="216">
      <c r="A216" s="9" t="inlineStr">
        <is>
          <t>21/22</t>
        </is>
      </c>
      <c r="B216" s="10" t="inlineStr">
        <is>
          <t xml:space="preserve"> Black Crows</t>
        </is>
      </c>
      <c r="C216" s="11" t="inlineStr">
        <is>
          <t xml:space="preserve"> Camox Birdie</t>
        </is>
      </c>
      <c r="D216" s="13" t="n">
        <v>168.1</v>
      </c>
      <c r="E216" s="11" t="inlineStr">
        <is>
          <t xml:space="preserve"> Women's</t>
        </is>
      </c>
      <c r="F216" s="13" t="n">
        <v>168.1</v>
      </c>
      <c r="G216" s="13" t="n">
        <v>166.9</v>
      </c>
      <c r="H216" s="13" t="n">
        <v>121</v>
      </c>
      <c r="I216" s="13" t="n">
        <v>144</v>
      </c>
      <c r="J216" s="13" t="n">
        <v>130</v>
      </c>
      <c r="K216" s="13" t="n">
        <v>97</v>
      </c>
      <c r="L216" s="13" t="n">
        <v>119</v>
      </c>
      <c r="M216" s="13" t="n">
        <v>18.5</v>
      </c>
      <c r="N216" s="13" t="n">
        <v>1719</v>
      </c>
      <c r="O216" s="13" t="n">
        <v>1.05</v>
      </c>
      <c r="P216" s="13" t="n">
        <v>1798</v>
      </c>
      <c r="Q216" s="13" t="n">
        <v>172</v>
      </c>
      <c r="R216" s="13" t="n">
        <v>75</v>
      </c>
      <c r="S216" s="13" t="n">
        <v>49</v>
      </c>
      <c r="T216" s="13" t="n">
        <v>260</v>
      </c>
      <c r="U216" s="13" t="n">
        <v>35</v>
      </c>
      <c r="V216" s="13" t="n">
        <v>198</v>
      </c>
      <c r="W216" s="13" t="n">
        <v>0.709</v>
      </c>
      <c r="X216" s="13" t="n">
        <v>122</v>
      </c>
      <c r="Y216" s="13" t="n">
        <v>109</v>
      </c>
      <c r="Z216" s="13" t="n">
        <v>139</v>
      </c>
      <c r="AA216" s="13" t="n">
        <v>6</v>
      </c>
      <c r="AB216" s="13" t="n">
        <v>6.6</v>
      </c>
      <c r="AC216" s="11" t="inlineStr">
        <is>
          <t xml:space="preserve"> Resort Freeride</t>
        </is>
      </c>
      <c r="AD216" s="13" t="n"/>
      <c r="AE216" s="13" t="n"/>
      <c r="AF216" s="13" t="n"/>
      <c r="AG216" s="13" t="n"/>
    </row>
    <row r="217">
      <c r="A217" s="9" t="inlineStr">
        <is>
          <t>21/22</t>
        </is>
      </c>
      <c r="B217" s="10" t="inlineStr">
        <is>
          <t xml:space="preserve"> Black Crows</t>
        </is>
      </c>
      <c r="C217" s="11" t="inlineStr">
        <is>
          <t xml:space="preserve"> Camox Freebird</t>
        </is>
      </c>
      <c r="D217" s="13" t="n">
        <v>160.2</v>
      </c>
      <c r="E217" s="11" t="inlineStr">
        <is>
          <t xml:space="preserve"> Unisex</t>
        </is>
      </c>
      <c r="F217" s="13" t="n">
        <v>160.2</v>
      </c>
      <c r="G217" s="13" t="n">
        <v>159.8</v>
      </c>
      <c r="H217" s="13" t="n">
        <v>114</v>
      </c>
      <c r="I217" s="13" t="n">
        <v>135</v>
      </c>
      <c r="J217" s="13" t="n">
        <v>128</v>
      </c>
      <c r="K217" s="13" t="n">
        <v>95</v>
      </c>
      <c r="L217" s="13" t="n">
        <v>112</v>
      </c>
      <c r="M217" s="13" t="n">
        <v>17.3</v>
      </c>
      <c r="N217" s="13" t="n">
        <v>1331</v>
      </c>
      <c r="O217" s="13" t="n">
        <v>1.26</v>
      </c>
      <c r="P217" s="13" t="n">
        <v>1675</v>
      </c>
      <c r="Q217" s="13" t="n">
        <v>155</v>
      </c>
      <c r="R217" s="13" t="n">
        <v>77</v>
      </c>
      <c r="S217" s="13" t="n">
        <v>52</v>
      </c>
      <c r="T217" s="13" t="n">
        <v>307</v>
      </c>
      <c r="U217" s="13" t="n">
        <v>15</v>
      </c>
      <c r="V217" s="13" t="n">
        <v>155</v>
      </c>
      <c r="W217" s="13" t="n">
        <v>0.291</v>
      </c>
      <c r="X217" s="13" t="n">
        <v>149</v>
      </c>
      <c r="Y217" s="13" t="n">
        <v>104</v>
      </c>
      <c r="Z217" s="13" t="n">
        <v>158</v>
      </c>
      <c r="AA217" s="13" t="n">
        <v>3</v>
      </c>
      <c r="AB217" s="13" t="n">
        <v>8.1</v>
      </c>
      <c r="AC217" s="11" t="inlineStr">
        <is>
          <t xml:space="preserve"> Resort Freeride</t>
        </is>
      </c>
      <c r="AD217" s="11" t="inlineStr">
        <is>
          <t xml:space="preserve"> Touring</t>
        </is>
      </c>
      <c r="AE217" s="11" t="inlineStr">
        <is>
          <t xml:space="preserve"> Ultralight Touring</t>
        </is>
      </c>
      <c r="AF217" s="13" t="n"/>
      <c r="AG217" s="13" t="n"/>
    </row>
    <row r="218">
      <c r="A218" s="9" t="inlineStr">
        <is>
          <t>21/22</t>
        </is>
      </c>
      <c r="B218" s="10" t="inlineStr">
        <is>
          <t xml:space="preserve"> Black Crows</t>
        </is>
      </c>
      <c r="C218" s="11" t="inlineStr">
        <is>
          <t xml:space="preserve"> Camox Freebird</t>
        </is>
      </c>
      <c r="D218" s="13" t="n">
        <v>166.2</v>
      </c>
      <c r="E218" s="11" t="inlineStr">
        <is>
          <t xml:space="preserve"> Unisex</t>
        </is>
      </c>
      <c r="F218" s="13" t="n">
        <v>166.2</v>
      </c>
      <c r="G218" s="13" t="n">
        <v>165.4</v>
      </c>
      <c r="H218" s="13" t="n">
        <v>127</v>
      </c>
      <c r="I218" s="13" t="n">
        <v>139</v>
      </c>
      <c r="J218" s="13" t="n">
        <v>132</v>
      </c>
      <c r="K218" s="13" t="n">
        <v>95</v>
      </c>
      <c r="L218" s="13" t="n">
        <v>114</v>
      </c>
      <c r="M218" s="13" t="n">
        <v>16.7</v>
      </c>
      <c r="N218" s="13" t="n">
        <v>1393</v>
      </c>
      <c r="O218" s="13" t="n">
        <v>1.26</v>
      </c>
      <c r="P218" s="13" t="n">
        <v>1758</v>
      </c>
      <c r="Q218" s="13" t="n">
        <v>167</v>
      </c>
      <c r="R218" s="13" t="n">
        <v>84</v>
      </c>
      <c r="S218" s="13" t="n">
        <v>44</v>
      </c>
      <c r="T218" s="13" t="n">
        <v>247</v>
      </c>
      <c r="U218" s="13" t="n">
        <v>12</v>
      </c>
      <c r="V218" s="13" t="n">
        <v>139</v>
      </c>
      <c r="W218" s="13" t="n">
        <v>0.277</v>
      </c>
      <c r="X218" s="13" t="n">
        <v>149</v>
      </c>
      <c r="Y218" s="13" t="n">
        <v>119</v>
      </c>
      <c r="Z218" s="13" t="n">
        <v>98</v>
      </c>
      <c r="AA218" s="13" t="n">
        <v>10</v>
      </c>
      <c r="AB218" s="13" t="n">
        <v>9.1</v>
      </c>
      <c r="AC218" s="11" t="inlineStr">
        <is>
          <t xml:space="preserve"> Resort Freeride</t>
        </is>
      </c>
      <c r="AD218" s="11" t="inlineStr">
        <is>
          <t xml:space="preserve"> Touring</t>
        </is>
      </c>
      <c r="AE218" s="11" t="inlineStr">
        <is>
          <t xml:space="preserve"> Ultralight Touring</t>
        </is>
      </c>
      <c r="AF218" s="13" t="n"/>
      <c r="AG218" s="13" t="n"/>
    </row>
    <row r="219">
      <c r="A219" s="9" t="inlineStr">
        <is>
          <t>21/22</t>
        </is>
      </c>
      <c r="B219" s="10" t="inlineStr">
        <is>
          <t xml:space="preserve"> Black Crows</t>
        </is>
      </c>
      <c r="C219" s="11" t="inlineStr">
        <is>
          <t xml:space="preserve"> Camox Freebird</t>
        </is>
      </c>
      <c r="D219" s="13" t="n">
        <v>172.2</v>
      </c>
      <c r="E219" s="11" t="inlineStr">
        <is>
          <t xml:space="preserve"> Unisex</t>
        </is>
      </c>
      <c r="F219" s="13" t="n">
        <v>172.2</v>
      </c>
      <c r="G219" s="13" t="n">
        <v>171.3</v>
      </c>
      <c r="H219" s="13" t="n">
        <v>132</v>
      </c>
      <c r="I219" s="13" t="n">
        <v>144</v>
      </c>
      <c r="J219" s="13" t="n">
        <v>132</v>
      </c>
      <c r="K219" s="13" t="n">
        <v>95</v>
      </c>
      <c r="L219" s="13" t="n">
        <v>114</v>
      </c>
      <c r="M219" s="13" t="n">
        <v>17.1</v>
      </c>
      <c r="N219" s="13" t="n">
        <v>1468</v>
      </c>
      <c r="O219" s="13" t="n">
        <v>1.24</v>
      </c>
      <c r="P219" s="13" t="n">
        <v>1822</v>
      </c>
      <c r="Q219" s="13" t="n">
        <v>192</v>
      </c>
      <c r="R219" s="13" t="n">
        <v>99</v>
      </c>
      <c r="S219" s="13" t="n">
        <v>43</v>
      </c>
      <c r="T219" s="13" t="n">
        <v>252</v>
      </c>
      <c r="U219" s="13" t="n">
        <v>11</v>
      </c>
      <c r="V219" s="13" t="n">
        <v>137</v>
      </c>
      <c r="W219" s="13" t="n">
        <v>0.259</v>
      </c>
      <c r="X219" s="13" t="n">
        <v>164</v>
      </c>
      <c r="Y219" s="13" t="n">
        <v>110</v>
      </c>
      <c r="Z219" s="13" t="n">
        <v>88</v>
      </c>
      <c r="AA219" s="13" t="n">
        <v>9</v>
      </c>
      <c r="AB219" s="13" t="n">
        <v>9.4</v>
      </c>
      <c r="AC219" s="11" t="inlineStr">
        <is>
          <t xml:space="preserve"> Resort Freeride</t>
        </is>
      </c>
      <c r="AD219" s="11" t="inlineStr">
        <is>
          <t xml:space="preserve"> Touring</t>
        </is>
      </c>
      <c r="AE219" s="13" t="n"/>
      <c r="AF219" s="13" t="n"/>
      <c r="AG219" s="13" t="n"/>
    </row>
    <row r="220">
      <c r="A220" s="9" t="inlineStr">
        <is>
          <t>21/22</t>
        </is>
      </c>
      <c r="B220" s="10" t="inlineStr">
        <is>
          <t xml:space="preserve"> Black Crows</t>
        </is>
      </c>
      <c r="C220" s="11" t="inlineStr">
        <is>
          <t xml:space="preserve"> Camox Freebird</t>
        </is>
      </c>
      <c r="D220" s="13" t="n">
        <v>178.2</v>
      </c>
      <c r="E220" s="11" t="inlineStr">
        <is>
          <t xml:space="preserve"> Unisex</t>
        </is>
      </c>
      <c r="F220" s="13" t="n">
        <v>178.2</v>
      </c>
      <c r="G220" s="13" t="n">
        <v>177.2</v>
      </c>
      <c r="H220" s="13" t="n">
        <v>137</v>
      </c>
      <c r="I220" s="13" t="n">
        <v>147</v>
      </c>
      <c r="J220" s="13" t="n">
        <v>134</v>
      </c>
      <c r="K220" s="13" t="n">
        <v>95</v>
      </c>
      <c r="L220" s="13" t="n">
        <v>114</v>
      </c>
      <c r="M220" s="13" t="n">
        <v>17.1</v>
      </c>
      <c r="N220" s="13" t="n">
        <v>1505</v>
      </c>
      <c r="O220" s="13" t="n">
        <v>1.26</v>
      </c>
      <c r="P220" s="13" t="n">
        <v>1902</v>
      </c>
      <c r="Q220" s="13" t="n">
        <v>208</v>
      </c>
      <c r="R220" s="13" t="n">
        <v>111</v>
      </c>
      <c r="S220" s="13" t="n">
        <v>44</v>
      </c>
      <c r="T220" s="13" t="n">
        <v>254</v>
      </c>
      <c r="U220" s="13" t="n">
        <v>12</v>
      </c>
      <c r="V220" s="13" t="n">
        <v>144</v>
      </c>
      <c r="W220" s="13" t="n">
        <v>0.273</v>
      </c>
      <c r="X220" s="13" t="n">
        <v>169</v>
      </c>
      <c r="Y220" s="13" t="n">
        <v>133</v>
      </c>
      <c r="Z220" s="13" t="n">
        <v>85</v>
      </c>
      <c r="AA220" s="13" t="n">
        <v>8</v>
      </c>
      <c r="AB220" s="13" t="n">
        <v>9.199999999999999</v>
      </c>
      <c r="AC220" s="11" t="inlineStr">
        <is>
          <t xml:space="preserve"> Resort Freeride</t>
        </is>
      </c>
      <c r="AD220" s="11" t="inlineStr">
        <is>
          <t xml:space="preserve"> Touring</t>
        </is>
      </c>
      <c r="AE220" s="11" t="inlineStr">
        <is>
          <t xml:space="preserve"> Ultralight Touring</t>
        </is>
      </c>
      <c r="AF220" s="13" t="n"/>
      <c r="AG220" s="13" t="n"/>
    </row>
    <row r="221">
      <c r="A221" s="9" t="inlineStr">
        <is>
          <t>21/22</t>
        </is>
      </c>
      <c r="B221" s="10" t="inlineStr">
        <is>
          <t xml:space="preserve"> Black Crows</t>
        </is>
      </c>
      <c r="C221" s="11" t="inlineStr">
        <is>
          <t xml:space="preserve"> Camox Freebird</t>
        </is>
      </c>
      <c r="D221" s="13" t="n">
        <v>183.3</v>
      </c>
      <c r="E221" s="11" t="inlineStr">
        <is>
          <t xml:space="preserve"> Unisex</t>
        </is>
      </c>
      <c r="F221" s="13" t="n">
        <v>183.3</v>
      </c>
      <c r="G221" s="13" t="n">
        <v>182.3</v>
      </c>
      <c r="H221" s="13" t="n">
        <v>141</v>
      </c>
      <c r="I221" s="13" t="n">
        <v>150</v>
      </c>
      <c r="J221" s="13" t="n">
        <v>136</v>
      </c>
      <c r="K221" s="13" t="n">
        <v>95</v>
      </c>
      <c r="L221" s="13" t="n">
        <v>116</v>
      </c>
      <c r="M221" s="13" t="n">
        <v>17.3</v>
      </c>
      <c r="N221" s="13" t="n">
        <v>1615</v>
      </c>
      <c r="O221" s="13" t="n">
        <v>1.22</v>
      </c>
      <c r="P221" s="13" t="n">
        <v>1966</v>
      </c>
      <c r="Q221" s="13" t="n">
        <v>229</v>
      </c>
      <c r="R221" s="13" t="n">
        <v>113</v>
      </c>
      <c r="S221" s="13" t="n">
        <v>43</v>
      </c>
      <c r="T221" s="13" t="n">
        <v>248</v>
      </c>
      <c r="U221" s="13" t="n">
        <v>13</v>
      </c>
      <c r="V221" s="13" t="n">
        <v>167</v>
      </c>
      <c r="W221" s="13" t="n">
        <v>0.312</v>
      </c>
      <c r="X221" s="13" t="n">
        <v>179</v>
      </c>
      <c r="Y221" s="13" t="n">
        <v>142</v>
      </c>
      <c r="Z221" s="13" t="n">
        <v>69</v>
      </c>
      <c r="AA221" s="13" t="n">
        <v>8</v>
      </c>
      <c r="AB221" s="13" t="n">
        <v>9</v>
      </c>
      <c r="AC221" s="11" t="inlineStr">
        <is>
          <t xml:space="preserve"> Resort Freeride</t>
        </is>
      </c>
      <c r="AD221" s="11" t="inlineStr">
        <is>
          <t xml:space="preserve"> Touring</t>
        </is>
      </c>
      <c r="AE221" s="13" t="n"/>
      <c r="AF221" s="13" t="n"/>
      <c r="AG221" s="13" t="n"/>
    </row>
    <row r="222">
      <c r="A222" s="9" t="inlineStr">
        <is>
          <t>21/22</t>
        </is>
      </c>
      <c r="B222" s="10" t="inlineStr">
        <is>
          <t xml:space="preserve"> Black Crows</t>
        </is>
      </c>
      <c r="C222" s="11" t="inlineStr">
        <is>
          <t xml:space="preserve"> Camox Freebird</t>
        </is>
      </c>
      <c r="D222" s="13" t="n">
        <v>188.3</v>
      </c>
      <c r="E222" s="11" t="inlineStr">
        <is>
          <t xml:space="preserve"> Unisex</t>
        </is>
      </c>
      <c r="F222" s="13" t="n">
        <v>188.3</v>
      </c>
      <c r="G222" s="13" t="n">
        <v>187.7</v>
      </c>
      <c r="H222" s="13" t="n">
        <v>142</v>
      </c>
      <c r="I222" s="13" t="n">
        <v>154</v>
      </c>
      <c r="J222" s="13" t="n">
        <v>135</v>
      </c>
      <c r="K222" s="13" t="n">
        <v>95</v>
      </c>
      <c r="L222" s="13" t="n">
        <v>117</v>
      </c>
      <c r="M222" s="13" t="n">
        <v>17.5</v>
      </c>
      <c r="N222" s="13" t="n">
        <v>1704</v>
      </c>
      <c r="O222" s="13" t="n">
        <v>1.19</v>
      </c>
      <c r="P222" s="13" t="n">
        <v>2028</v>
      </c>
      <c r="Q222" s="13" t="n">
        <v>261</v>
      </c>
      <c r="R222" s="13" t="n">
        <v>124</v>
      </c>
      <c r="S222" s="13" t="n">
        <v>48</v>
      </c>
      <c r="T222" s="13" t="n">
        <v>290</v>
      </c>
      <c r="U222" s="13" t="n">
        <v>13</v>
      </c>
      <c r="V222" s="13" t="n">
        <v>168</v>
      </c>
      <c r="W222" s="13" t="n">
        <v>0.264</v>
      </c>
      <c r="X222" s="13" t="n">
        <v>205</v>
      </c>
      <c r="Y222" s="13" t="n">
        <v>131</v>
      </c>
      <c r="Z222" s="13" t="n">
        <v>85</v>
      </c>
      <c r="AA222" s="13" t="n">
        <v>6</v>
      </c>
      <c r="AB222" s="13" t="n">
        <v>8.9</v>
      </c>
      <c r="AC222" s="11" t="inlineStr">
        <is>
          <t xml:space="preserve"> Resort Freeride</t>
        </is>
      </c>
      <c r="AD222" s="11" t="inlineStr">
        <is>
          <t xml:space="preserve"> Touring</t>
        </is>
      </c>
      <c r="AE222" s="13" t="n"/>
      <c r="AF222" s="13" t="n"/>
      <c r="AG222" s="13" t="n"/>
    </row>
    <row r="223">
      <c r="A223" s="9" t="inlineStr">
        <is>
          <t>21/22</t>
        </is>
      </c>
      <c r="B223" s="10" t="inlineStr">
        <is>
          <t xml:space="preserve"> Black Crows</t>
        </is>
      </c>
      <c r="C223" s="11" t="inlineStr">
        <is>
          <t xml:space="preserve"> Captis</t>
        </is>
      </c>
      <c r="D223" s="13" t="n">
        <v>171.1</v>
      </c>
      <c r="E223" s="11" t="inlineStr">
        <is>
          <t xml:space="preserve"> Unisex</t>
        </is>
      </c>
      <c r="F223" s="13" t="n">
        <v>171.1</v>
      </c>
      <c r="G223" s="13" t="n">
        <v>169.9</v>
      </c>
      <c r="H223" s="13" t="n">
        <v>119</v>
      </c>
      <c r="I223" s="13" t="n">
        <v>137</v>
      </c>
      <c r="J223" s="13" t="n">
        <v>118</v>
      </c>
      <c r="K223" s="13" t="n">
        <v>89</v>
      </c>
      <c r="L223" s="13" t="n">
        <v>110</v>
      </c>
      <c r="M223" s="13" t="n">
        <v>17.3</v>
      </c>
      <c r="N223" s="13" t="n">
        <v>1634</v>
      </c>
      <c r="O223" s="13" t="n">
        <v>1.04</v>
      </c>
      <c r="P223" s="13" t="n">
        <v>1703</v>
      </c>
      <c r="Q223" s="13" t="n">
        <v>147</v>
      </c>
      <c r="R223" s="13" t="n">
        <v>71</v>
      </c>
      <c r="S223" s="13" t="n">
        <v>41</v>
      </c>
      <c r="T223" s="13" t="n">
        <v>315</v>
      </c>
      <c r="U223" s="13" t="n">
        <v>34</v>
      </c>
      <c r="V223" s="13" t="n">
        <v>198</v>
      </c>
      <c r="W223" s="13" t="n">
        <v>0.819</v>
      </c>
      <c r="X223" s="13" t="n">
        <v>207</v>
      </c>
      <c r="Y223" s="13" t="n">
        <v>120</v>
      </c>
      <c r="Z223" s="13" t="n">
        <v>108</v>
      </c>
      <c r="AA223" s="13" t="n">
        <v>4</v>
      </c>
      <c r="AB223" s="13" t="n">
        <v>6.5</v>
      </c>
      <c r="AC223" s="11" t="inlineStr">
        <is>
          <t xml:space="preserve"> Resort Freeride</t>
        </is>
      </c>
      <c r="AD223" s="11" t="inlineStr">
        <is>
          <t xml:space="preserve"> Freeski</t>
        </is>
      </c>
      <c r="AE223" s="13" t="n"/>
      <c r="AF223" s="13" t="n"/>
      <c r="AG223" s="13" t="n"/>
    </row>
    <row r="224">
      <c r="A224" s="9" t="inlineStr">
        <is>
          <t>21/22</t>
        </is>
      </c>
      <c r="B224" s="10" t="inlineStr">
        <is>
          <t xml:space="preserve"> Black Crows</t>
        </is>
      </c>
      <c r="C224" s="11" t="inlineStr">
        <is>
          <t xml:space="preserve"> Captis</t>
        </is>
      </c>
      <c r="D224" s="13" t="n">
        <v>178.3</v>
      </c>
      <c r="E224" s="11" t="inlineStr">
        <is>
          <t xml:space="preserve"> Unisex</t>
        </is>
      </c>
      <c r="F224" s="13" t="n">
        <v>178.3</v>
      </c>
      <c r="G224" s="13" t="n">
        <v>176.7</v>
      </c>
      <c r="H224" s="13" t="n">
        <v>132</v>
      </c>
      <c r="I224" s="13" t="n">
        <v>143</v>
      </c>
      <c r="J224" s="13" t="n">
        <v>120</v>
      </c>
      <c r="K224" s="13" t="n">
        <v>89</v>
      </c>
      <c r="L224" s="13" t="n">
        <v>111</v>
      </c>
      <c r="M224" s="13" t="n">
        <v>17.5</v>
      </c>
      <c r="N224" s="13" t="n">
        <v>1708</v>
      </c>
      <c r="O224" s="13" t="n">
        <v>1.04</v>
      </c>
      <c r="P224" s="13" t="n">
        <v>1782</v>
      </c>
      <c r="Q224" s="13" t="n">
        <v>175</v>
      </c>
      <c r="R224" s="13" t="n">
        <v>80</v>
      </c>
      <c r="S224" s="13" t="n">
        <v>39</v>
      </c>
      <c r="T224" s="13" t="n">
        <v>242</v>
      </c>
      <c r="U224" s="13" t="n">
        <v>34</v>
      </c>
      <c r="V224" s="13" t="n">
        <v>201</v>
      </c>
      <c r="W224" s="13" t="n">
        <v>0.885</v>
      </c>
      <c r="X224" s="13" t="n">
        <v>204</v>
      </c>
      <c r="Y224" s="13" t="n">
        <v>136</v>
      </c>
      <c r="Z224" s="13" t="n">
        <v>38</v>
      </c>
      <c r="AA224" s="13" t="n">
        <v>4</v>
      </c>
      <c r="AB224" s="13" t="n">
        <v>6.3</v>
      </c>
      <c r="AC224" s="11" t="inlineStr">
        <is>
          <t xml:space="preserve"> Freeski</t>
        </is>
      </c>
      <c r="AD224" s="13" t="n"/>
      <c r="AE224" s="13" t="n"/>
      <c r="AF224" s="13" t="n"/>
      <c r="AG224" s="13" t="n"/>
    </row>
    <row r="225">
      <c r="A225" s="9" t="inlineStr">
        <is>
          <t>21/22</t>
        </is>
      </c>
      <c r="B225" s="10" t="inlineStr">
        <is>
          <t xml:space="preserve"> Black Crows</t>
        </is>
      </c>
      <c r="C225" s="11" t="inlineStr">
        <is>
          <t xml:space="preserve"> Corvus</t>
        </is>
      </c>
      <c r="D225" s="13" t="n">
        <v>188.2</v>
      </c>
      <c r="E225" s="11" t="inlineStr">
        <is>
          <t xml:space="preserve"> Unisex</t>
        </is>
      </c>
      <c r="F225" s="13" t="n">
        <v>188.2</v>
      </c>
      <c r="G225" s="13" t="n">
        <v>187.7</v>
      </c>
      <c r="H225" s="13" t="n">
        <v>0</v>
      </c>
      <c r="I225" s="13" t="n">
        <v>164</v>
      </c>
      <c r="J225" s="13" t="n">
        <v>137</v>
      </c>
      <c r="K225" s="13" t="n">
        <v>106</v>
      </c>
      <c r="L225" s="13" t="n">
        <v>126</v>
      </c>
      <c r="M225" s="13" t="n">
        <v>25.6</v>
      </c>
      <c r="N225" s="13" t="n">
        <v>1981</v>
      </c>
      <c r="O225" s="13" t="n">
        <v>1.09</v>
      </c>
      <c r="P225" s="13" t="n">
        <v>2162</v>
      </c>
      <c r="Q225" s="13" t="n">
        <v>269</v>
      </c>
      <c r="R225" s="13" t="n">
        <v>173</v>
      </c>
      <c r="S225" s="13" t="n">
        <v>46</v>
      </c>
      <c r="T225" s="13" t="n">
        <v>1016</v>
      </c>
      <c r="U225" s="13" t="n">
        <v>10</v>
      </c>
      <c r="V225" s="13" t="n">
        <v>861</v>
      </c>
      <c r="W225" s="13" t="n">
        <v>0.215</v>
      </c>
      <c r="X225" s="13" t="n">
        <v>146</v>
      </c>
      <c r="Y225" s="13" t="n">
        <v>93</v>
      </c>
      <c r="Z225" s="13" t="n">
        <v>870</v>
      </c>
      <c r="AA225" s="13" t="n">
        <v>-4</v>
      </c>
      <c r="AB225" s="13" t="n">
        <v>7.8</v>
      </c>
      <c r="AC225" s="11" t="inlineStr">
        <is>
          <t xml:space="preserve"> Big Mountain</t>
        </is>
      </c>
      <c r="AD225" s="11" t="inlineStr">
        <is>
          <t xml:space="preserve"> Touring</t>
        </is>
      </c>
      <c r="AE225" s="13" t="n"/>
      <c r="AF225" s="13" t="n"/>
      <c r="AG225" s="13" t="n"/>
    </row>
    <row r="226">
      <c r="A226" s="9" t="inlineStr">
        <is>
          <t>21/22</t>
        </is>
      </c>
      <c r="B226" s="10" t="inlineStr">
        <is>
          <t xml:space="preserve"> Black Crows</t>
        </is>
      </c>
      <c r="C226" s="11" t="inlineStr">
        <is>
          <t xml:space="preserve"> Corvus Freebird</t>
        </is>
      </c>
      <c r="D226" s="13" t="n">
        <v>176</v>
      </c>
      <c r="E226" s="11" t="inlineStr">
        <is>
          <t xml:space="preserve"> Unisex</t>
        </is>
      </c>
      <c r="F226" s="13" t="n">
        <v>176</v>
      </c>
      <c r="G226" s="13" t="n">
        <v>175.6</v>
      </c>
      <c r="H226" s="13" t="n">
        <v>140</v>
      </c>
      <c r="I226" s="13" t="n">
        <v>143</v>
      </c>
      <c r="J226" s="13" t="n">
        <v>141</v>
      </c>
      <c r="K226" s="13" t="n">
        <v>106</v>
      </c>
      <c r="L226" s="13" t="n">
        <v>118</v>
      </c>
      <c r="M226" s="13" t="n">
        <v>20.8</v>
      </c>
      <c r="N226" s="13" t="n">
        <v>1817</v>
      </c>
      <c r="O226" s="13" t="n">
        <v>1.12</v>
      </c>
      <c r="P226" s="13" t="n">
        <v>2035</v>
      </c>
      <c r="Q226" s="13" t="n">
        <v>189</v>
      </c>
      <c r="R226" s="13" t="n">
        <v>103</v>
      </c>
      <c r="S226" s="13" t="n">
        <v>45</v>
      </c>
      <c r="T226" s="13" t="n">
        <v>274</v>
      </c>
      <c r="U226" s="13" t="n">
        <v>4</v>
      </c>
      <c r="V226" s="13" t="n">
        <v>83</v>
      </c>
      <c r="W226" s="13" t="n">
        <v>0.08</v>
      </c>
      <c r="X226" s="13" t="n">
        <v>193</v>
      </c>
      <c r="Y226" s="13" t="n">
        <v>138</v>
      </c>
      <c r="Z226" s="13" t="n">
        <v>81</v>
      </c>
      <c r="AA226" s="13" t="n">
        <v>9</v>
      </c>
      <c r="AB226" s="13" t="n">
        <v>10.3</v>
      </c>
      <c r="AC226" s="11" t="inlineStr">
        <is>
          <t xml:space="preserve"> Big Mountain</t>
        </is>
      </c>
      <c r="AD226" s="11" t="inlineStr">
        <is>
          <t xml:space="preserve"> Touring</t>
        </is>
      </c>
      <c r="AE226" s="13" t="n"/>
      <c r="AF226" s="13" t="n"/>
      <c r="AG226" s="13" t="n"/>
    </row>
    <row r="227">
      <c r="A227" s="9" t="inlineStr">
        <is>
          <t>21/22</t>
        </is>
      </c>
      <c r="B227" s="10" t="inlineStr">
        <is>
          <t xml:space="preserve"> Black Crows</t>
        </is>
      </c>
      <c r="C227" s="11" t="inlineStr">
        <is>
          <t xml:space="preserve"> Corvus Freebird</t>
        </is>
      </c>
      <c r="D227" s="13" t="n">
        <v>183.4</v>
      </c>
      <c r="E227" s="11" t="inlineStr">
        <is>
          <t xml:space="preserve"> Unisex</t>
        </is>
      </c>
      <c r="F227" s="13" t="n">
        <v>183.4</v>
      </c>
      <c r="G227" s="13" t="n">
        <v>182.6</v>
      </c>
      <c r="H227" s="13" t="n">
        <v>145</v>
      </c>
      <c r="I227" s="13" t="n">
        <v>148</v>
      </c>
      <c r="J227" s="13" t="n">
        <v>141</v>
      </c>
      <c r="K227" s="13" t="n">
        <v>105</v>
      </c>
      <c r="L227" s="13" t="n">
        <v>118</v>
      </c>
      <c r="M227" s="13" t="n">
        <v>21</v>
      </c>
      <c r="N227" s="13" t="n">
        <v>1950</v>
      </c>
      <c r="O227" s="13" t="n">
        <v>1.08</v>
      </c>
      <c r="P227" s="13" t="n">
        <v>2112</v>
      </c>
      <c r="Q227" s="13" t="n">
        <v>230</v>
      </c>
      <c r="R227" s="13" t="n">
        <v>107</v>
      </c>
      <c r="S227" s="13" t="n">
        <v>46</v>
      </c>
      <c r="T227" s="13" t="n">
        <v>282</v>
      </c>
      <c r="U227" s="13" t="n">
        <v>6</v>
      </c>
      <c r="V227" s="13" t="n">
        <v>91</v>
      </c>
      <c r="W227" s="13" t="n">
        <v>0.129</v>
      </c>
      <c r="X227" s="13" t="n">
        <v>192</v>
      </c>
      <c r="Y227" s="13" t="n">
        <v>155</v>
      </c>
      <c r="Z227" s="13" t="n">
        <v>90</v>
      </c>
      <c r="AA227" s="13" t="n">
        <v>8</v>
      </c>
      <c r="AB227" s="13" t="n">
        <v>10.4</v>
      </c>
      <c r="AC227" s="11" t="inlineStr">
        <is>
          <t xml:space="preserve"> Big Mountain</t>
        </is>
      </c>
      <c r="AD227" s="11" t="inlineStr">
        <is>
          <t xml:space="preserve"> Touring</t>
        </is>
      </c>
      <c r="AE227" s="13" t="n"/>
      <c r="AF227" s="13" t="n"/>
      <c r="AG227" s="13" t="n"/>
    </row>
    <row r="228">
      <c r="A228" s="9" t="inlineStr">
        <is>
          <t>21/22</t>
        </is>
      </c>
      <c r="B228" s="10" t="inlineStr">
        <is>
          <t xml:space="preserve"> Black Crows</t>
        </is>
      </c>
      <c r="C228" s="11" t="inlineStr">
        <is>
          <t xml:space="preserve"> Corvus Freebird</t>
        </is>
      </c>
      <c r="D228" s="13" t="n">
        <v>188.2</v>
      </c>
      <c r="E228" s="11" t="inlineStr">
        <is>
          <t xml:space="preserve"> Unisex</t>
        </is>
      </c>
      <c r="F228" s="13" t="n">
        <v>188.2</v>
      </c>
      <c r="G228" s="13" t="n">
        <v>187.1</v>
      </c>
      <c r="H228" s="13" t="n">
        <v>153</v>
      </c>
      <c r="I228" s="13" t="n">
        <v>151</v>
      </c>
      <c r="J228" s="13" t="n">
        <v>142</v>
      </c>
      <c r="K228" s="13" t="n">
        <v>105</v>
      </c>
      <c r="L228" s="13" t="n">
        <v>119</v>
      </c>
      <c r="M228" s="13" t="n">
        <v>21.2</v>
      </c>
      <c r="N228" s="13" t="n">
        <v>1929</v>
      </c>
      <c r="O228" s="13" t="n">
        <v>1.13</v>
      </c>
      <c r="P228" s="13" t="n">
        <v>2173</v>
      </c>
      <c r="Q228" s="13" t="n">
        <v>228</v>
      </c>
      <c r="R228" s="13" t="n">
        <v>126</v>
      </c>
      <c r="S228" s="13" t="n">
        <v>44</v>
      </c>
      <c r="T228" s="13" t="n">
        <v>279</v>
      </c>
      <c r="U228" s="13" t="n">
        <v>2</v>
      </c>
      <c r="V228" s="13" t="n">
        <v>66</v>
      </c>
      <c r="W228" s="13" t="n">
        <v>0.055</v>
      </c>
      <c r="X228" s="13" t="n">
        <v>205</v>
      </c>
      <c r="Y228" s="13" t="n">
        <v>156</v>
      </c>
      <c r="Z228" s="13" t="n">
        <v>74</v>
      </c>
      <c r="AA228" s="13" t="n">
        <v>9</v>
      </c>
      <c r="AB228" s="13" t="n">
        <v>10.6</v>
      </c>
      <c r="AC228" s="11" t="inlineStr">
        <is>
          <t xml:space="preserve"> Big Mountain</t>
        </is>
      </c>
      <c r="AD228" s="11" t="inlineStr">
        <is>
          <t xml:space="preserve"> Touring</t>
        </is>
      </c>
      <c r="AE228" s="13" t="n"/>
      <c r="AF228" s="13" t="n"/>
      <c r="AG228" s="13" t="n"/>
    </row>
    <row r="229">
      <c r="A229" s="9" t="inlineStr">
        <is>
          <t>21/22</t>
        </is>
      </c>
      <c r="B229" s="10" t="inlineStr">
        <is>
          <t xml:space="preserve"> Black Crows</t>
        </is>
      </c>
      <c r="C229" s="11" t="inlineStr">
        <is>
          <t xml:space="preserve"> Divus</t>
        </is>
      </c>
      <c r="D229" s="13" t="n">
        <v>167.2</v>
      </c>
      <c r="E229" s="11" t="inlineStr">
        <is>
          <t xml:space="preserve"> Unisex</t>
        </is>
      </c>
      <c r="F229" s="13" t="n">
        <v>167.2</v>
      </c>
      <c r="G229" s="13" t="n">
        <v>166.5</v>
      </c>
      <c r="H229" s="13" t="n">
        <v>115</v>
      </c>
      <c r="I229" s="13" t="n">
        <v>147</v>
      </c>
      <c r="J229" s="13" t="n">
        <v>121</v>
      </c>
      <c r="K229" s="13" t="n">
        <v>81</v>
      </c>
      <c r="L229" s="13" t="n">
        <v>105</v>
      </c>
      <c r="M229" s="13" t="n">
        <v>16.1</v>
      </c>
      <c r="N229" s="13" t="n">
        <v>1519</v>
      </c>
      <c r="O229" s="13" t="n">
        <v>1.02</v>
      </c>
      <c r="P229" s="13" t="n">
        <v>1554</v>
      </c>
      <c r="Q229" s="13" t="n">
        <v>165</v>
      </c>
      <c r="R229" s="13" t="n">
        <v>98</v>
      </c>
      <c r="S229" s="13" t="n">
        <v>35</v>
      </c>
      <c r="T229" s="13" t="n">
        <v>319</v>
      </c>
      <c r="U229" s="13" t="n">
        <v>19</v>
      </c>
      <c r="V229" s="13" t="n">
        <v>192</v>
      </c>
      <c r="W229" s="13" t="n">
        <v>0.537</v>
      </c>
      <c r="X229" s="13" t="n">
        <v>110</v>
      </c>
      <c r="Y229" s="13" t="n">
        <v>88</v>
      </c>
      <c r="Z229" s="13" t="n">
        <v>209</v>
      </c>
      <c r="AA229" s="13" t="n">
        <v>4</v>
      </c>
      <c r="AB229" s="13" t="n">
        <v>10.5</v>
      </c>
      <c r="AC229" s="11" t="inlineStr">
        <is>
          <t xml:space="preserve"> Resort Freeride</t>
        </is>
      </c>
      <c r="AD229" s="13" t="n"/>
      <c r="AE229" s="13" t="n"/>
      <c r="AF229" s="13" t="n"/>
      <c r="AG229" s="13" t="n"/>
    </row>
    <row r="230">
      <c r="A230" s="9" t="inlineStr">
        <is>
          <t>21/22</t>
        </is>
      </c>
      <c r="B230" s="10" t="inlineStr">
        <is>
          <t xml:space="preserve"> Black Crows</t>
        </is>
      </c>
      <c r="C230" s="11" t="inlineStr">
        <is>
          <t xml:space="preserve"> Divus</t>
        </is>
      </c>
      <c r="D230" s="13" t="n">
        <v>172.1</v>
      </c>
      <c r="E230" s="11" t="inlineStr">
        <is>
          <t xml:space="preserve"> Unisex</t>
        </is>
      </c>
      <c r="F230" s="13" t="n">
        <v>172.1</v>
      </c>
      <c r="G230" s="13" t="n">
        <v>171.1</v>
      </c>
      <c r="H230" s="13" t="n">
        <v>136</v>
      </c>
      <c r="I230" s="13" t="n">
        <v>151</v>
      </c>
      <c r="J230" s="13" t="n">
        <v>123</v>
      </c>
      <c r="K230" s="13" t="n">
        <v>81</v>
      </c>
      <c r="L230" s="13" t="n">
        <v>109</v>
      </c>
      <c r="M230" s="13" t="n">
        <v>15.9</v>
      </c>
      <c r="N230" s="13" t="n">
        <v>1580</v>
      </c>
      <c r="O230" s="13" t="n">
        <v>1.02</v>
      </c>
      <c r="P230" s="13" t="n">
        <v>1614</v>
      </c>
      <c r="Q230" s="13" t="n">
        <v>183</v>
      </c>
      <c r="R230" s="13" t="n">
        <v>97</v>
      </c>
      <c r="S230" s="13" t="n">
        <v>36</v>
      </c>
      <c r="T230" s="13" t="n">
        <v>199</v>
      </c>
      <c r="U230" s="13" t="n">
        <v>17</v>
      </c>
      <c r="V230" s="13" t="n">
        <v>157</v>
      </c>
      <c r="W230" s="13" t="n">
        <v>0.476</v>
      </c>
      <c r="X230" s="13" t="n">
        <v>113</v>
      </c>
      <c r="Y230" s="13" t="n">
        <v>84</v>
      </c>
      <c r="Z230" s="13" t="n">
        <v>86</v>
      </c>
      <c r="AA230" s="13" t="n">
        <v>7</v>
      </c>
      <c r="AB230" s="13" t="n">
        <v>10.4</v>
      </c>
      <c r="AC230" s="11" t="inlineStr">
        <is>
          <t xml:space="preserve"> Resort Freeride</t>
        </is>
      </c>
      <c r="AD230" s="13" t="n"/>
      <c r="AE230" s="13" t="n"/>
      <c r="AF230" s="13" t="n"/>
      <c r="AG230" s="13" t="n"/>
    </row>
    <row r="231">
      <c r="A231" s="9" t="inlineStr">
        <is>
          <t>21/22</t>
        </is>
      </c>
      <c r="B231" s="10" t="inlineStr">
        <is>
          <t xml:space="preserve"> Black Crows</t>
        </is>
      </c>
      <c r="C231" s="11" t="inlineStr">
        <is>
          <t xml:space="preserve"> Divus</t>
        </is>
      </c>
      <c r="D231" s="13" t="n">
        <v>177.3</v>
      </c>
      <c r="E231" s="11" t="inlineStr">
        <is>
          <t xml:space="preserve"> Unisex</t>
        </is>
      </c>
      <c r="F231" s="13" t="n">
        <v>177.3</v>
      </c>
      <c r="G231" s="13" t="n">
        <v>176.1</v>
      </c>
      <c r="H231" s="13" t="n">
        <v>137</v>
      </c>
      <c r="I231" s="13" t="n">
        <v>156</v>
      </c>
      <c r="J231" s="13" t="n">
        <v>123</v>
      </c>
      <c r="K231" s="13" t="n">
        <v>81</v>
      </c>
      <c r="L231" s="13" t="n">
        <v>109</v>
      </c>
      <c r="M231" s="13" t="n">
        <v>17</v>
      </c>
      <c r="N231" s="13" t="n">
        <v>1748</v>
      </c>
      <c r="O231" s="13" t="n">
        <v>0.95</v>
      </c>
      <c r="P231" s="13" t="n">
        <v>1660</v>
      </c>
      <c r="Q231" s="13" t="n">
        <v>203</v>
      </c>
      <c r="R231" s="13" t="n">
        <v>106</v>
      </c>
      <c r="S231" s="13" t="n">
        <v>42</v>
      </c>
      <c r="T231" s="13" t="n">
        <v>237</v>
      </c>
      <c r="U231" s="13" t="n">
        <v>17</v>
      </c>
      <c r="V231" s="13" t="n">
        <v>152</v>
      </c>
      <c r="W231" s="13" t="n">
        <v>0.4</v>
      </c>
      <c r="X231" s="13" t="n">
        <v>112</v>
      </c>
      <c r="Y231" s="13" t="n">
        <v>87</v>
      </c>
      <c r="Z231" s="13" t="n">
        <v>125</v>
      </c>
      <c r="AA231" s="13" t="n">
        <v>7</v>
      </c>
      <c r="AB231" s="13" t="n">
        <v>10.2</v>
      </c>
      <c r="AC231" s="11" t="inlineStr">
        <is>
          <t xml:space="preserve"> On-Piste All-Mountain</t>
        </is>
      </c>
      <c r="AD231" s="11" t="inlineStr">
        <is>
          <t xml:space="preserve"> Resort Freeride</t>
        </is>
      </c>
      <c r="AE231" s="13" t="n"/>
      <c r="AF231" s="13" t="n"/>
      <c r="AG231" s="13" t="n"/>
    </row>
    <row r="232">
      <c r="A232" s="9" t="inlineStr">
        <is>
          <t>21/22</t>
        </is>
      </c>
      <c r="B232" s="10" t="inlineStr">
        <is>
          <t xml:space="preserve"> Black Crows</t>
        </is>
      </c>
      <c r="C232" s="11" t="inlineStr">
        <is>
          <t xml:space="preserve"> Ferox Freebird</t>
        </is>
      </c>
      <c r="D232" s="13" t="n">
        <v>170.1</v>
      </c>
      <c r="E232" s="11" t="inlineStr">
        <is>
          <t xml:space="preserve"> Unisex</t>
        </is>
      </c>
      <c r="F232" s="13" t="n">
        <v>170.1</v>
      </c>
      <c r="G232" s="13" t="n">
        <v>168.7</v>
      </c>
      <c r="H232" s="13" t="n">
        <v>122</v>
      </c>
      <c r="I232" s="13" t="n">
        <v>136</v>
      </c>
      <c r="J232" s="13" t="n">
        <v>135</v>
      </c>
      <c r="K232" s="13" t="n">
        <v>108</v>
      </c>
      <c r="L232" s="13" t="n">
        <v>124</v>
      </c>
      <c r="M232" s="13" t="n">
        <v>20.9</v>
      </c>
      <c r="N232" s="13" t="n">
        <v>1727</v>
      </c>
      <c r="O232" s="13" t="n">
        <v>1.14</v>
      </c>
      <c r="P232" s="13" t="n">
        <v>1960</v>
      </c>
      <c r="Q232" s="13" t="n">
        <v>180</v>
      </c>
      <c r="R232" s="13" t="n">
        <v>73</v>
      </c>
      <c r="S232" s="13" t="n">
        <v>39</v>
      </c>
      <c r="T232" s="13" t="n">
        <v>200</v>
      </c>
      <c r="U232" s="13" t="n">
        <v>36</v>
      </c>
      <c r="V232" s="13" t="n">
        <v>271</v>
      </c>
      <c r="W232" s="13" t="n">
        <v>0.908</v>
      </c>
      <c r="X232" s="13" t="n">
        <v>190</v>
      </c>
      <c r="Y232" s="13" t="n">
        <v>141</v>
      </c>
      <c r="Z232" s="13" t="n">
        <v>10</v>
      </c>
      <c r="AA232" s="13" t="n">
        <v>3</v>
      </c>
      <c r="AB232" s="13" t="n">
        <v>8.5</v>
      </c>
      <c r="AC232" s="11" t="inlineStr">
        <is>
          <t xml:space="preserve"> Freeski</t>
        </is>
      </c>
      <c r="AD232" s="11" t="inlineStr">
        <is>
          <t xml:space="preserve"> Powder</t>
        </is>
      </c>
      <c r="AE232" s="11" t="inlineStr">
        <is>
          <t xml:space="preserve"> Touring</t>
        </is>
      </c>
      <c r="AF232" s="13" t="n"/>
      <c r="AG232" s="13" t="n"/>
    </row>
    <row r="233">
      <c r="A233" s="9" t="inlineStr">
        <is>
          <t>21/22</t>
        </is>
      </c>
      <c r="B233" s="10" t="inlineStr">
        <is>
          <t xml:space="preserve"> Black Crows</t>
        </is>
      </c>
      <c r="C233" s="11" t="inlineStr">
        <is>
          <t xml:space="preserve"> Ferox Freebird</t>
        </is>
      </c>
      <c r="D233" s="13" t="n">
        <v>176.7</v>
      </c>
      <c r="E233" s="11" t="inlineStr">
        <is>
          <t xml:space="preserve"> Unisex</t>
        </is>
      </c>
      <c r="F233" s="13" t="n">
        <v>176.7</v>
      </c>
      <c r="G233" s="13" t="n">
        <v>174.7</v>
      </c>
      <c r="H233" s="13" t="n">
        <v>130</v>
      </c>
      <c r="I233" s="13" t="n">
        <v>139</v>
      </c>
      <c r="J233" s="13" t="n">
        <v>138</v>
      </c>
      <c r="K233" s="13" t="n">
        <v>110</v>
      </c>
      <c r="L233" s="13" t="n">
        <v>127</v>
      </c>
      <c r="M233" s="13" t="n">
        <v>21.1</v>
      </c>
      <c r="N233" s="13" t="n">
        <v>1878</v>
      </c>
      <c r="O233" s="13" t="n">
        <v>1.1</v>
      </c>
      <c r="P233" s="13" t="n">
        <v>2065</v>
      </c>
      <c r="Q233" s="13" t="n">
        <v>209</v>
      </c>
      <c r="R233" s="13" t="n">
        <v>79</v>
      </c>
      <c r="S233" s="13" t="n">
        <v>44</v>
      </c>
      <c r="T233" s="13" t="n">
        <v>219</v>
      </c>
      <c r="U233" s="13" t="n">
        <v>34</v>
      </c>
      <c r="V233" s="13" t="n">
        <v>230</v>
      </c>
      <c r="W233" s="13" t="n">
        <v>0.78</v>
      </c>
      <c r="X233" s="13" t="n">
        <v>196</v>
      </c>
      <c r="Y233" s="13" t="n">
        <v>159</v>
      </c>
      <c r="Z233" s="13" t="n">
        <v>23</v>
      </c>
      <c r="AA233" s="13" t="n">
        <v>3</v>
      </c>
      <c r="AB233" s="13" t="n">
        <v>8.300000000000001</v>
      </c>
      <c r="AC233" s="11" t="inlineStr">
        <is>
          <t xml:space="preserve"> Powder</t>
        </is>
      </c>
      <c r="AD233" s="11" t="inlineStr">
        <is>
          <t xml:space="preserve"> Touring</t>
        </is>
      </c>
      <c r="AE233" s="13" t="n"/>
      <c r="AF233" s="13" t="n"/>
      <c r="AG233" s="13" t="n"/>
    </row>
    <row r="234">
      <c r="A234" s="9" t="inlineStr">
        <is>
          <t>21/22</t>
        </is>
      </c>
      <c r="B234" s="10" t="inlineStr">
        <is>
          <t xml:space="preserve"> Black Crows</t>
        </is>
      </c>
      <c r="C234" s="11" t="inlineStr">
        <is>
          <t xml:space="preserve"> Ferox Freebird</t>
        </is>
      </c>
      <c r="D234" s="13" t="n">
        <v>181.4</v>
      </c>
      <c r="E234" s="11" t="inlineStr">
        <is>
          <t xml:space="preserve"> Unisex</t>
        </is>
      </c>
      <c r="F234" s="13" t="n">
        <v>181.4</v>
      </c>
      <c r="G234" s="13" t="n">
        <v>179.6</v>
      </c>
      <c r="H234" s="13" t="n">
        <v>106</v>
      </c>
      <c r="I234" s="13" t="n">
        <v>142</v>
      </c>
      <c r="J234" s="13" t="n">
        <v>137</v>
      </c>
      <c r="K234" s="13" t="n">
        <v>108</v>
      </c>
      <c r="L234" s="13" t="n">
        <v>126</v>
      </c>
      <c r="M234" s="13" t="n">
        <v>21.2</v>
      </c>
      <c r="N234" s="13" t="n">
        <v>1915</v>
      </c>
      <c r="O234" s="13" t="n">
        <v>1.1</v>
      </c>
      <c r="P234" s="13" t="n">
        <v>2104</v>
      </c>
      <c r="Q234" s="13" t="n">
        <v>210</v>
      </c>
      <c r="R234" s="13" t="n">
        <v>89</v>
      </c>
      <c r="S234" s="13" t="n">
        <v>44</v>
      </c>
      <c r="T234" s="13" t="n">
        <v>514</v>
      </c>
      <c r="U234" s="13" t="n">
        <v>33</v>
      </c>
      <c r="V234" s="13" t="n">
        <v>220</v>
      </c>
      <c r="W234" s="13" t="n">
        <v>0.751</v>
      </c>
      <c r="X234" s="13" t="n">
        <v>210</v>
      </c>
      <c r="Y234" s="13" t="n">
        <v>163</v>
      </c>
      <c r="Z234" s="13" t="n">
        <v>305</v>
      </c>
      <c r="AA234" s="13" t="n">
        <v>2</v>
      </c>
      <c r="AB234" s="13" t="n">
        <v>8.300000000000001</v>
      </c>
      <c r="AC234" s="11" t="inlineStr">
        <is>
          <t xml:space="preserve"> Powder</t>
        </is>
      </c>
      <c r="AD234" s="11" t="inlineStr">
        <is>
          <t xml:space="preserve"> Touring</t>
        </is>
      </c>
      <c r="AE234" s="13" t="n"/>
      <c r="AF234" s="13" t="n"/>
      <c r="AG234" s="13" t="n"/>
    </row>
    <row r="235">
      <c r="A235" s="9" t="inlineStr">
        <is>
          <t>21/22</t>
        </is>
      </c>
      <c r="B235" s="10" t="inlineStr">
        <is>
          <t xml:space="preserve"> Black Crows</t>
        </is>
      </c>
      <c r="C235" s="11" t="inlineStr">
        <is>
          <t xml:space="preserve"> Ferox Freebird</t>
        </is>
      </c>
      <c r="D235" s="13" t="n">
        <v>186.2</v>
      </c>
      <c r="E235" s="11" t="inlineStr">
        <is>
          <t xml:space="preserve"> Unisex</t>
        </is>
      </c>
      <c r="F235" s="13" t="n">
        <v>186.2</v>
      </c>
      <c r="G235" s="13" t="n">
        <v>184.6</v>
      </c>
      <c r="H235" s="13" t="n">
        <v>136</v>
      </c>
      <c r="I235" s="13" t="n">
        <v>145</v>
      </c>
      <c r="J235" s="13" t="n">
        <v>138</v>
      </c>
      <c r="K235" s="13" t="n">
        <v>109</v>
      </c>
      <c r="L235" s="13" t="n">
        <v>127</v>
      </c>
      <c r="M235" s="13" t="n">
        <v>21.2</v>
      </c>
      <c r="N235" s="13" t="n">
        <v>1964</v>
      </c>
      <c r="O235" s="13" t="n">
        <v>1.11</v>
      </c>
      <c r="P235" s="13" t="n">
        <v>2179</v>
      </c>
      <c r="Q235" s="13" t="n">
        <v>210</v>
      </c>
      <c r="R235" s="13" t="n">
        <v>94</v>
      </c>
      <c r="S235" s="13" t="n">
        <v>42</v>
      </c>
      <c r="T235" s="13" t="n">
        <v>195</v>
      </c>
      <c r="U235" s="13" t="n">
        <v>39</v>
      </c>
      <c r="V235" s="13" t="n">
        <v>293</v>
      </c>
      <c r="W235" s="13" t="n">
        <v>0.928</v>
      </c>
      <c r="X235" s="13" t="n">
        <v>220</v>
      </c>
      <c r="Y235" s="13" t="n">
        <v>174</v>
      </c>
      <c r="Z235" s="13" t="n">
        <v>-25</v>
      </c>
      <c r="AA235" s="13" t="n">
        <v>3</v>
      </c>
      <c r="AB235" s="13" t="n">
        <v>8.199999999999999</v>
      </c>
      <c r="AC235" s="11" t="inlineStr">
        <is>
          <t xml:space="preserve"> Freeski</t>
        </is>
      </c>
      <c r="AD235" s="11" t="inlineStr">
        <is>
          <t xml:space="preserve"> Powder</t>
        </is>
      </c>
      <c r="AE235" s="11" t="inlineStr">
        <is>
          <t xml:space="preserve"> Touring</t>
        </is>
      </c>
      <c r="AF235" s="13" t="n"/>
      <c r="AG235" s="13" t="n"/>
    </row>
    <row r="236">
      <c r="A236" s="9" t="inlineStr">
        <is>
          <t>21/22</t>
        </is>
      </c>
      <c r="B236" s="10" t="inlineStr">
        <is>
          <t xml:space="preserve"> Black Crows</t>
        </is>
      </c>
      <c r="C236" s="11" t="inlineStr">
        <is>
          <t xml:space="preserve"> Justis</t>
        </is>
      </c>
      <c r="D236" s="13" t="n">
        <v>177.4</v>
      </c>
      <c r="E236" s="11" t="inlineStr">
        <is>
          <t xml:space="preserve"> Unisex</t>
        </is>
      </c>
      <c r="F236" s="13" t="n">
        <v>177.4</v>
      </c>
      <c r="G236" s="13" t="n">
        <v>176.1</v>
      </c>
      <c r="H236" s="13" t="n">
        <v>104</v>
      </c>
      <c r="I236" s="13" t="n">
        <v>157</v>
      </c>
      <c r="J236" s="13" t="n">
        <v>137</v>
      </c>
      <c r="K236" s="13" t="n">
        <v>98</v>
      </c>
      <c r="L236" s="13" t="n">
        <v>122</v>
      </c>
      <c r="M236" s="13" t="n">
        <v>19.4</v>
      </c>
      <c r="N236" s="13" t="n">
        <v>1952</v>
      </c>
      <c r="O236" s="13" t="n">
        <v>0.99</v>
      </c>
      <c r="P236" s="13" t="n">
        <v>1934</v>
      </c>
      <c r="Q236" s="13" t="n">
        <v>262</v>
      </c>
      <c r="R236" s="13" t="n">
        <v>114</v>
      </c>
      <c r="S236" s="13" t="n">
        <v>53</v>
      </c>
      <c r="T236" s="13" t="n">
        <v>426</v>
      </c>
      <c r="U236" s="13" t="n">
        <v>30</v>
      </c>
      <c r="V236" s="13" t="n">
        <v>295</v>
      </c>
      <c r="W236" s="13" t="n">
        <v>0.573</v>
      </c>
      <c r="X236" s="13" t="n">
        <v>112</v>
      </c>
      <c r="Y236" s="13" t="n">
        <v>84</v>
      </c>
      <c r="Z236" s="13" t="n">
        <v>314</v>
      </c>
      <c r="AA236" s="13" t="n">
        <v>2</v>
      </c>
      <c r="AB236" s="13" t="n">
        <v>8.5</v>
      </c>
      <c r="AC236" s="11" t="inlineStr">
        <is>
          <t xml:space="preserve"> Resort Freeride</t>
        </is>
      </c>
      <c r="AD236" s="13" t="n"/>
      <c r="AE236" s="13" t="n"/>
      <c r="AF236" s="13" t="n"/>
      <c r="AG236" s="13" t="n"/>
    </row>
    <row r="237">
      <c r="A237" s="9" t="inlineStr">
        <is>
          <t>21/22</t>
        </is>
      </c>
      <c r="B237" s="10" t="inlineStr">
        <is>
          <t xml:space="preserve"> Black Crows</t>
        </is>
      </c>
      <c r="C237" s="11" t="inlineStr">
        <is>
          <t xml:space="preserve"> Justis</t>
        </is>
      </c>
      <c r="D237" s="13" t="n">
        <v>183.1</v>
      </c>
      <c r="E237" s="11" t="inlineStr">
        <is>
          <t xml:space="preserve"> Unisex</t>
        </is>
      </c>
      <c r="F237" s="13" t="n">
        <v>183.1</v>
      </c>
      <c r="G237" s="13" t="n">
        <v>182</v>
      </c>
      <c r="H237" s="13" t="n">
        <v>109</v>
      </c>
      <c r="I237" s="13" t="n">
        <v>163</v>
      </c>
      <c r="J237" s="13" t="n">
        <v>137</v>
      </c>
      <c r="K237" s="13" t="n">
        <v>98</v>
      </c>
      <c r="L237" s="13" t="n">
        <v>122</v>
      </c>
      <c r="M237" s="13" t="n">
        <v>20.8</v>
      </c>
      <c r="N237" s="13" t="n">
        <v>2045</v>
      </c>
      <c r="O237" s="13" t="n">
        <v>0.98</v>
      </c>
      <c r="P237" s="13" t="n">
        <v>1997</v>
      </c>
      <c r="Q237" s="13" t="n">
        <v>292</v>
      </c>
      <c r="R237" s="13" t="n">
        <v>134</v>
      </c>
      <c r="S237" s="13" t="n">
        <v>48</v>
      </c>
      <c r="T237" s="13" t="n">
        <v>428</v>
      </c>
      <c r="U237" s="13" t="n">
        <v>33</v>
      </c>
      <c r="V237" s="13" t="n">
        <v>299</v>
      </c>
      <c r="W237" s="13" t="n">
        <v>0.677</v>
      </c>
      <c r="X237" s="13" t="n">
        <v>107</v>
      </c>
      <c r="Y237" s="13" t="n">
        <v>86</v>
      </c>
      <c r="Z237" s="13" t="n">
        <v>321</v>
      </c>
      <c r="AA237" s="13" t="n">
        <v>3</v>
      </c>
      <c r="AB237" s="13" t="n">
        <v>8.300000000000001</v>
      </c>
      <c r="AC237" s="11" t="inlineStr">
        <is>
          <t xml:space="preserve"> Resort Freeride</t>
        </is>
      </c>
      <c r="AD237" s="13" t="n"/>
      <c r="AE237" s="13" t="n"/>
      <c r="AF237" s="13" t="n"/>
      <c r="AG237" s="13" t="n"/>
    </row>
    <row r="238">
      <c r="A238" s="9" t="inlineStr">
        <is>
          <t>21/22</t>
        </is>
      </c>
      <c r="B238" s="10" t="inlineStr">
        <is>
          <t xml:space="preserve"> Black Crows</t>
        </is>
      </c>
      <c r="C238" s="11" t="inlineStr">
        <is>
          <t xml:space="preserve"> Mirus Cor</t>
        </is>
      </c>
      <c r="D238" s="13" t="n">
        <v>173.2</v>
      </c>
      <c r="E238" s="11" t="inlineStr">
        <is>
          <t xml:space="preserve"> Unisex</t>
        </is>
      </c>
      <c r="F238" s="13" t="n">
        <v>173.2</v>
      </c>
      <c r="G238" s="13" t="n">
        <v>171.7</v>
      </c>
      <c r="H238" s="13" t="n">
        <v>119</v>
      </c>
      <c r="I238" s="13" t="n">
        <v>147</v>
      </c>
      <c r="J238" s="13" t="n">
        <v>130</v>
      </c>
      <c r="K238" s="13" t="n">
        <v>86</v>
      </c>
      <c r="L238" s="13" t="n">
        <v>121</v>
      </c>
      <c r="M238" s="13" t="n">
        <v>12.7</v>
      </c>
      <c r="N238" s="13" t="n">
        <v>1725</v>
      </c>
      <c r="O238" s="13" t="n">
        <v>1.02</v>
      </c>
      <c r="P238" s="13" t="n">
        <v>1763</v>
      </c>
      <c r="Q238" s="13" t="n">
        <v>177</v>
      </c>
      <c r="R238" s="13" t="n">
        <v>71</v>
      </c>
      <c r="S238" s="13" t="n">
        <v>42</v>
      </c>
      <c r="T238" s="13" t="n">
        <v>279</v>
      </c>
      <c r="U238" s="13" t="n">
        <v>36</v>
      </c>
      <c r="V238" s="13" t="n">
        <v>249</v>
      </c>
      <c r="W238" s="13" t="n">
        <v>0.858</v>
      </c>
      <c r="X238" s="13" t="n">
        <v>139</v>
      </c>
      <c r="Y238" s="13" t="n">
        <v>113</v>
      </c>
      <c r="Z238" s="13" t="n">
        <v>140</v>
      </c>
      <c r="AA238" s="13" t="n">
        <v>3</v>
      </c>
      <c r="AB238" s="13" t="n">
        <v>3.5</v>
      </c>
      <c r="AC238" s="11" t="inlineStr">
        <is>
          <t xml:space="preserve"> Resort Freeride</t>
        </is>
      </c>
      <c r="AD238" s="11" t="inlineStr">
        <is>
          <t xml:space="preserve"> Freeski</t>
        </is>
      </c>
      <c r="AE238" s="13" t="n"/>
      <c r="AF238" s="13" t="n"/>
      <c r="AG238" s="13" t="n"/>
    </row>
    <row r="239">
      <c r="A239" s="9" t="inlineStr">
        <is>
          <t>21/22</t>
        </is>
      </c>
      <c r="B239" s="10" t="inlineStr">
        <is>
          <t xml:space="preserve"> Black Crows</t>
        </is>
      </c>
      <c r="C239" s="11" t="inlineStr">
        <is>
          <t xml:space="preserve"> Mirus Cor</t>
        </is>
      </c>
      <c r="D239" s="13" t="n">
        <v>178</v>
      </c>
      <c r="E239" s="11" t="inlineStr">
        <is>
          <t xml:space="preserve"> Unisex</t>
        </is>
      </c>
      <c r="F239" s="13" t="n">
        <v>178</v>
      </c>
      <c r="G239" s="13" t="n">
        <v>176.7</v>
      </c>
      <c r="H239" s="13" t="n">
        <v>118</v>
      </c>
      <c r="I239" s="13" t="n">
        <v>152</v>
      </c>
      <c r="J239" s="13" t="n">
        <v>133</v>
      </c>
      <c r="K239" s="13" t="n">
        <v>86</v>
      </c>
      <c r="L239" s="13" t="n">
        <v>123</v>
      </c>
      <c r="M239" s="13" t="n">
        <v>12.7</v>
      </c>
      <c r="N239" s="13" t="n">
        <v>1860</v>
      </c>
      <c r="O239" s="13" t="n">
        <v>0.98</v>
      </c>
      <c r="P239" s="13" t="n">
        <v>1827</v>
      </c>
      <c r="Q239" s="13" t="n">
        <v>192</v>
      </c>
      <c r="R239" s="13" t="n">
        <v>73</v>
      </c>
      <c r="S239" s="13" t="n">
        <v>36</v>
      </c>
      <c r="T239" s="13" t="n">
        <v>271</v>
      </c>
      <c r="U239" s="13" t="n">
        <v>37</v>
      </c>
      <c r="V239" s="13" t="n">
        <v>316</v>
      </c>
      <c r="W239" s="13" t="n">
        <v>1.025</v>
      </c>
      <c r="X239" s="13" t="n">
        <v>138</v>
      </c>
      <c r="Y239" s="13" t="n">
        <v>112</v>
      </c>
      <c r="Z239" s="13" t="n">
        <v>133</v>
      </c>
      <c r="AA239" s="13" t="n">
        <v>3</v>
      </c>
      <c r="AB239" s="13" t="n">
        <v>4.6</v>
      </c>
      <c r="AC239" s="11" t="inlineStr">
        <is>
          <t xml:space="preserve"> Freeski</t>
        </is>
      </c>
      <c r="AD239" s="13" t="n"/>
      <c r="AE239" s="13" t="n"/>
      <c r="AF239" s="13" t="n"/>
      <c r="AG239" s="13" t="n"/>
    </row>
    <row r="240">
      <c r="A240" s="9" t="inlineStr">
        <is>
          <t>21/22</t>
        </is>
      </c>
      <c r="B240" s="10" t="inlineStr">
        <is>
          <t xml:space="preserve"> Black Crows</t>
        </is>
      </c>
      <c r="C240" s="11" t="inlineStr">
        <is>
          <t xml:space="preserve"> Navis Freebird</t>
        </is>
      </c>
      <c r="D240" s="13" t="n">
        <v>167.1</v>
      </c>
      <c r="E240" s="11" t="inlineStr">
        <is>
          <t xml:space="preserve"> Unisex</t>
        </is>
      </c>
      <c r="F240" s="13" t="n">
        <v>167.1</v>
      </c>
      <c r="G240" s="13" t="n">
        <v>166.5</v>
      </c>
      <c r="H240" s="13" t="n">
        <v>114</v>
      </c>
      <c r="I240" s="13" t="n">
        <v>140</v>
      </c>
      <c r="J240" s="13" t="n">
        <v>137</v>
      </c>
      <c r="K240" s="13" t="n">
        <v>100</v>
      </c>
      <c r="L240" s="13" t="n">
        <v>117</v>
      </c>
      <c r="M240" s="13" t="n">
        <v>18.2</v>
      </c>
      <c r="N240" s="13" t="n">
        <v>1576</v>
      </c>
      <c r="O240" s="13" t="n">
        <v>1.17</v>
      </c>
      <c r="P240" s="13" t="n">
        <v>1847</v>
      </c>
      <c r="Q240" s="13" t="n">
        <v>185</v>
      </c>
      <c r="R240" s="13" t="n">
        <v>82</v>
      </c>
      <c r="S240" s="13" t="n">
        <v>46</v>
      </c>
      <c r="T240" s="13" t="n">
        <v>309</v>
      </c>
      <c r="U240" s="13" t="n">
        <v>17</v>
      </c>
      <c r="V240" s="13" t="n">
        <v>215</v>
      </c>
      <c r="W240" s="13" t="n">
        <v>0.361</v>
      </c>
      <c r="X240" s="13" t="n">
        <v>138</v>
      </c>
      <c r="Y240" s="13" t="n">
        <v>122</v>
      </c>
      <c r="Z240" s="13" t="n">
        <v>171</v>
      </c>
      <c r="AA240" s="13" t="n">
        <v>4</v>
      </c>
      <c r="AB240" s="13" t="n">
        <v>9.300000000000001</v>
      </c>
      <c r="AC240" s="11" t="inlineStr">
        <is>
          <t xml:space="preserve"> Resort Freeride</t>
        </is>
      </c>
      <c r="AD240" s="11" t="inlineStr">
        <is>
          <t xml:space="preserve"> Powder</t>
        </is>
      </c>
      <c r="AE240" s="11" t="inlineStr">
        <is>
          <t xml:space="preserve"> Big Mountain</t>
        </is>
      </c>
      <c r="AF240" s="11" t="inlineStr">
        <is>
          <t xml:space="preserve"> Touring</t>
        </is>
      </c>
      <c r="AG240" s="13" t="n"/>
    </row>
    <row r="241">
      <c r="A241" s="9" t="inlineStr">
        <is>
          <t>21/22</t>
        </is>
      </c>
      <c r="B241" s="10" t="inlineStr">
        <is>
          <t xml:space="preserve"> Black Crows</t>
        </is>
      </c>
      <c r="C241" s="11" t="inlineStr">
        <is>
          <t xml:space="preserve"> Navis Freebird</t>
        </is>
      </c>
      <c r="D241" s="13" t="n">
        <v>173.4</v>
      </c>
      <c r="E241" s="11" t="inlineStr">
        <is>
          <t xml:space="preserve"> Unisex</t>
        </is>
      </c>
      <c r="F241" s="13" t="n">
        <v>173.4</v>
      </c>
      <c r="G241" s="13" t="n">
        <v>171.8</v>
      </c>
      <c r="H241" s="13" t="n">
        <v>122</v>
      </c>
      <c r="I241" s="13" t="n">
        <v>145</v>
      </c>
      <c r="J241" s="13" t="n">
        <v>138</v>
      </c>
      <c r="K241" s="13" t="n">
        <v>100</v>
      </c>
      <c r="L241" s="13" t="n">
        <v>118</v>
      </c>
      <c r="M241" s="13" t="n">
        <v>18.7</v>
      </c>
      <c r="N241" s="13" t="n">
        <v>1671</v>
      </c>
      <c r="O241" s="13" t="n">
        <v>1.14</v>
      </c>
      <c r="P241" s="13" t="n">
        <v>1913</v>
      </c>
      <c r="Q241" s="13" t="n">
        <v>209</v>
      </c>
      <c r="R241" s="13" t="n">
        <v>95</v>
      </c>
      <c r="S241" s="13" t="n">
        <v>44</v>
      </c>
      <c r="T241" s="13" t="n">
        <v>292</v>
      </c>
      <c r="U241" s="13" t="n">
        <v>16</v>
      </c>
      <c r="V241" s="13" t="n">
        <v>202</v>
      </c>
      <c r="W241" s="13" t="n">
        <v>0.352</v>
      </c>
      <c r="X241" s="13" t="n">
        <v>157</v>
      </c>
      <c r="Y241" s="13" t="n">
        <v>116</v>
      </c>
      <c r="Z241" s="13" t="n">
        <v>135</v>
      </c>
      <c r="AA241" s="13" t="n">
        <v>4</v>
      </c>
      <c r="AB241" s="13" t="n">
        <v>9.699999999999999</v>
      </c>
      <c r="AC241" s="11" t="inlineStr">
        <is>
          <t xml:space="preserve"> Resort Freeride</t>
        </is>
      </c>
      <c r="AD241" s="11" t="inlineStr">
        <is>
          <t xml:space="preserve"> Powder</t>
        </is>
      </c>
      <c r="AE241" s="11" t="inlineStr">
        <is>
          <t xml:space="preserve"> Big Mountain</t>
        </is>
      </c>
      <c r="AF241" s="11" t="inlineStr">
        <is>
          <t xml:space="preserve"> Touring</t>
        </is>
      </c>
      <c r="AG241" s="13" t="n"/>
    </row>
    <row r="242">
      <c r="A242" s="9" t="inlineStr">
        <is>
          <t>21/22</t>
        </is>
      </c>
      <c r="B242" s="10" t="inlineStr">
        <is>
          <t xml:space="preserve"> Black Crows</t>
        </is>
      </c>
      <c r="C242" s="11" t="inlineStr">
        <is>
          <t xml:space="preserve"> Navis Freebird</t>
        </is>
      </c>
      <c r="D242" s="13" t="n">
        <v>179.1</v>
      </c>
      <c r="E242" s="11" t="inlineStr">
        <is>
          <t xml:space="preserve"> Unisex</t>
        </is>
      </c>
      <c r="F242" s="13" t="n">
        <v>179.1</v>
      </c>
      <c r="G242" s="13" t="n">
        <v>178.4</v>
      </c>
      <c r="H242" s="13" t="n">
        <v>125</v>
      </c>
      <c r="I242" s="13" t="n">
        <v>149</v>
      </c>
      <c r="J242" s="13" t="n">
        <v>138</v>
      </c>
      <c r="K242" s="13" t="n">
        <v>100</v>
      </c>
      <c r="L242" s="13" t="n">
        <v>119</v>
      </c>
      <c r="M242" s="13" t="n">
        <v>19</v>
      </c>
      <c r="N242" s="13" t="n">
        <v>1748</v>
      </c>
      <c r="O242" s="13" t="n">
        <v>1.14</v>
      </c>
      <c r="P242" s="13" t="n">
        <v>1996</v>
      </c>
      <c r="Q242" s="13" t="n">
        <v>231</v>
      </c>
      <c r="R242" s="13" t="n">
        <v>108</v>
      </c>
      <c r="S242" s="13" t="n">
        <v>45</v>
      </c>
      <c r="T242" s="13" t="n">
        <v>338</v>
      </c>
      <c r="U242" s="13" t="n">
        <v>15</v>
      </c>
      <c r="V242" s="13" t="n">
        <v>196</v>
      </c>
      <c r="W242" s="13" t="n">
        <v>0.333</v>
      </c>
      <c r="X242" s="13" t="n">
        <v>166</v>
      </c>
      <c r="Y242" s="13" t="n">
        <v>130</v>
      </c>
      <c r="Z242" s="13" t="n">
        <v>171</v>
      </c>
      <c r="AA242" s="13" t="n">
        <v>5</v>
      </c>
      <c r="AB242" s="13" t="n">
        <v>9.4</v>
      </c>
      <c r="AC242" s="11" t="inlineStr">
        <is>
          <t xml:space="preserve"> Resort Freeride</t>
        </is>
      </c>
      <c r="AD242" s="11" t="inlineStr">
        <is>
          <t xml:space="preserve"> Big Mountain</t>
        </is>
      </c>
      <c r="AE242" s="11" t="inlineStr">
        <is>
          <t xml:space="preserve"> Touring</t>
        </is>
      </c>
      <c r="AF242" s="13" t="n"/>
      <c r="AG242" s="13" t="n"/>
    </row>
    <row r="243">
      <c r="A243" s="9" t="inlineStr">
        <is>
          <t>21/22</t>
        </is>
      </c>
      <c r="B243" s="10" t="inlineStr">
        <is>
          <t xml:space="preserve"> Black Crows</t>
        </is>
      </c>
      <c r="C243" s="11" t="inlineStr">
        <is>
          <t xml:space="preserve"> Navis Freebird</t>
        </is>
      </c>
      <c r="D243" s="13" t="n">
        <v>185.8</v>
      </c>
      <c r="E243" s="11" t="inlineStr">
        <is>
          <t xml:space="preserve"> Unisex</t>
        </is>
      </c>
      <c r="F243" s="13" t="n">
        <v>185.8</v>
      </c>
      <c r="G243" s="13" t="n">
        <v>184.5</v>
      </c>
      <c r="H243" s="13" t="n">
        <v>143</v>
      </c>
      <c r="I243" s="13" t="n">
        <v>152</v>
      </c>
      <c r="J243" s="13" t="n">
        <v>139</v>
      </c>
      <c r="K243" s="13" t="n">
        <v>100</v>
      </c>
      <c r="L243" s="13" t="n">
        <v>120</v>
      </c>
      <c r="M243" s="13" t="n">
        <v>19.1</v>
      </c>
      <c r="N243" s="13" t="n">
        <v>1800</v>
      </c>
      <c r="O243" s="13" t="n">
        <v>1.15</v>
      </c>
      <c r="P243" s="13" t="n">
        <v>2071</v>
      </c>
      <c r="Q243" s="13" t="n">
        <v>239</v>
      </c>
      <c r="R243" s="13" t="n">
        <v>116</v>
      </c>
      <c r="S243" s="13" t="n">
        <v>41</v>
      </c>
      <c r="T243" s="13" t="n">
        <v>213</v>
      </c>
      <c r="U243" s="13" t="n">
        <v>15</v>
      </c>
      <c r="V243" s="13" t="n">
        <v>202</v>
      </c>
      <c r="W243" s="13" t="n">
        <v>0.371</v>
      </c>
      <c r="X243" s="13" t="n">
        <v>182</v>
      </c>
      <c r="Y243" s="13" t="n">
        <v>142</v>
      </c>
      <c r="Z243" s="13" t="n">
        <v>31</v>
      </c>
      <c r="AA243" s="13" t="n">
        <v>7</v>
      </c>
      <c r="AB243" s="13" t="n">
        <v>9.5</v>
      </c>
      <c r="AC243" s="11" t="inlineStr">
        <is>
          <t xml:space="preserve"> Resort Freeride</t>
        </is>
      </c>
      <c r="AD243" s="11" t="inlineStr">
        <is>
          <t xml:space="preserve"> Powder</t>
        </is>
      </c>
      <c r="AE243" s="11" t="inlineStr">
        <is>
          <t xml:space="preserve"> Big Mountain</t>
        </is>
      </c>
      <c r="AF243" s="11" t="inlineStr">
        <is>
          <t xml:space="preserve"> Touring</t>
        </is>
      </c>
      <c r="AG243" s="13" t="n"/>
    </row>
    <row r="244">
      <c r="A244" s="9" t="inlineStr">
        <is>
          <t>21/22</t>
        </is>
      </c>
      <c r="B244" s="10" t="inlineStr">
        <is>
          <t xml:space="preserve"> Black Crows</t>
        </is>
      </c>
      <c r="C244" s="11" t="inlineStr">
        <is>
          <t xml:space="preserve"> Nocta</t>
        </is>
      </c>
      <c r="D244" s="13" t="n">
        <v>190.6</v>
      </c>
      <c r="E244" s="11" t="inlineStr">
        <is>
          <t xml:space="preserve"> Unisex</t>
        </is>
      </c>
      <c r="F244" s="13" t="n">
        <v>190.6</v>
      </c>
      <c r="G244" s="13" t="n">
        <v>191</v>
      </c>
      <c r="H244" s="13" t="n">
        <v>0</v>
      </c>
      <c r="I244" s="13" t="n">
        <v>142</v>
      </c>
      <c r="J244" s="13" t="n">
        <v>140</v>
      </c>
      <c r="K244" s="13" t="n">
        <v>121</v>
      </c>
      <c r="L244" s="13" t="n">
        <v>133</v>
      </c>
      <c r="M244" s="13" t="n">
        <v>27.5</v>
      </c>
      <c r="N244" s="13" t="n">
        <v>2228</v>
      </c>
      <c r="O244" s="13" t="n">
        <v>1.09</v>
      </c>
      <c r="P244" s="13" t="n">
        <v>2427</v>
      </c>
      <c r="Q244" s="13" t="n">
        <v>235</v>
      </c>
      <c r="R244" s="13" t="n">
        <v>103</v>
      </c>
      <c r="S244" s="13" t="n">
        <v>54</v>
      </c>
      <c r="T244" s="13" t="n">
        <v>1010</v>
      </c>
      <c r="U244" s="13" t="n">
        <v>51</v>
      </c>
      <c r="V244" s="13" t="n">
        <v>900</v>
      </c>
      <c r="W244" s="13" t="n">
        <v>0.9370000000000001</v>
      </c>
      <c r="X244" s="13" t="n">
        <v>255</v>
      </c>
      <c r="Y244" s="13" t="n">
        <v>232</v>
      </c>
      <c r="Z244" s="13" t="n">
        <v>755</v>
      </c>
      <c r="AA244" s="13" t="n">
        <v>-4</v>
      </c>
      <c r="AB244" s="13" t="n">
        <v>5.5</v>
      </c>
      <c r="AC244" s="11" t="inlineStr">
        <is>
          <t xml:space="preserve"> Freeski</t>
        </is>
      </c>
      <c r="AD244" s="11" t="inlineStr">
        <is>
          <t xml:space="preserve"> Powder</t>
        </is>
      </c>
      <c r="AE244" s="11" t="inlineStr">
        <is>
          <t xml:space="preserve"> Touring</t>
        </is>
      </c>
      <c r="AF244" s="13" t="n"/>
      <c r="AG244" s="13" t="n"/>
    </row>
    <row r="245">
      <c r="A245" s="9" t="inlineStr">
        <is>
          <t>21/22</t>
        </is>
      </c>
      <c r="B245" s="10" t="inlineStr">
        <is>
          <t xml:space="preserve"> Black Crows</t>
        </is>
      </c>
      <c r="C245" s="11" t="inlineStr">
        <is>
          <t xml:space="preserve"> Orb</t>
        </is>
      </c>
      <c r="D245" s="13" t="n">
        <v>169.2</v>
      </c>
      <c r="E245" s="11" t="inlineStr">
        <is>
          <t xml:space="preserve"> Unisex</t>
        </is>
      </c>
      <c r="F245" s="13" t="n">
        <v>169.2</v>
      </c>
      <c r="G245" s="13" t="n">
        <v>168.8</v>
      </c>
      <c r="H245" s="13" t="n">
        <v>104</v>
      </c>
      <c r="I245" s="13" t="n">
        <v>151</v>
      </c>
      <c r="J245" s="13" t="n">
        <v>122</v>
      </c>
      <c r="K245" s="13" t="n">
        <v>87</v>
      </c>
      <c r="L245" s="13" t="n">
        <v>106</v>
      </c>
      <c r="M245" s="13" t="n">
        <v>21.1</v>
      </c>
      <c r="N245" s="13" t="n">
        <v>1615</v>
      </c>
      <c r="O245" s="13" t="n">
        <v>1.02</v>
      </c>
      <c r="P245" s="13" t="n">
        <v>1640</v>
      </c>
      <c r="Q245" s="13" t="n">
        <v>190</v>
      </c>
      <c r="R245" s="13" t="n">
        <v>109</v>
      </c>
      <c r="S245" s="13" t="n">
        <v>43</v>
      </c>
      <c r="T245" s="13" t="n">
        <v>396</v>
      </c>
      <c r="U245" s="13" t="n">
        <v>19</v>
      </c>
      <c r="V245" s="13" t="n">
        <v>251</v>
      </c>
      <c r="W245" s="13" t="n">
        <v>0.45</v>
      </c>
      <c r="X245" s="13" t="n">
        <v>97</v>
      </c>
      <c r="Y245" s="13" t="n">
        <v>78</v>
      </c>
      <c r="Z245" s="13" t="n">
        <v>299</v>
      </c>
      <c r="AA245" s="13" t="n">
        <v>4</v>
      </c>
      <c r="AB245" s="13" t="n">
        <v>9.9</v>
      </c>
      <c r="AC245" s="11" t="inlineStr">
        <is>
          <t xml:space="preserve"> Resort Freeride</t>
        </is>
      </c>
      <c r="AD245" s="13" t="n"/>
      <c r="AE245" s="13" t="n"/>
      <c r="AF245" s="13" t="n"/>
      <c r="AG245" s="13" t="n"/>
    </row>
    <row r="246">
      <c r="A246" s="9" t="inlineStr">
        <is>
          <t>21/22</t>
        </is>
      </c>
      <c r="B246" s="10" t="inlineStr">
        <is>
          <t xml:space="preserve"> Black Crows</t>
        </is>
      </c>
      <c r="C246" s="11" t="inlineStr">
        <is>
          <t xml:space="preserve"> Orb</t>
        </is>
      </c>
      <c r="D246" s="13" t="n">
        <v>179.1</v>
      </c>
      <c r="E246" s="11" t="inlineStr">
        <is>
          <t xml:space="preserve"> Unisex</t>
        </is>
      </c>
      <c r="F246" s="13" t="n">
        <v>179.1</v>
      </c>
      <c r="G246" s="13" t="n">
        <v>178.6</v>
      </c>
      <c r="H246" s="13" t="n">
        <v>139</v>
      </c>
      <c r="I246" s="13" t="n">
        <v>159</v>
      </c>
      <c r="J246" s="13" t="n">
        <v>123</v>
      </c>
      <c r="K246" s="13" t="n">
        <v>87</v>
      </c>
      <c r="L246" s="13" t="n">
        <v>108</v>
      </c>
      <c r="M246" s="13" t="n">
        <v>21.7</v>
      </c>
      <c r="N246" s="13" t="n">
        <v>1801</v>
      </c>
      <c r="O246" s="13" t="n">
        <v>0.97</v>
      </c>
      <c r="P246" s="13" t="n">
        <v>1747</v>
      </c>
      <c r="Q246" s="13" t="n">
        <v>209</v>
      </c>
      <c r="R246" s="13" t="n">
        <v>119</v>
      </c>
      <c r="S246" s="13" t="n">
        <v>44</v>
      </c>
      <c r="T246" s="13" t="n">
        <v>233</v>
      </c>
      <c r="U246" s="13" t="n">
        <v>16</v>
      </c>
      <c r="V246" s="13" t="n">
        <v>167</v>
      </c>
      <c r="W246" s="13" t="n">
        <v>0.364</v>
      </c>
      <c r="X246" s="13" t="n">
        <v>111</v>
      </c>
      <c r="Y246" s="13" t="n">
        <v>90</v>
      </c>
      <c r="Z246" s="13" t="n">
        <v>122</v>
      </c>
      <c r="AA246" s="13" t="n">
        <v>5</v>
      </c>
      <c r="AB246" s="13" t="n">
        <v>9.699999999999999</v>
      </c>
      <c r="AC246" s="11" t="inlineStr">
        <is>
          <t xml:space="preserve"> Resort Freeride</t>
        </is>
      </c>
      <c r="AD246" s="13" t="n"/>
      <c r="AE246" s="13" t="n"/>
      <c r="AF246" s="13" t="n"/>
      <c r="AG246" s="13" t="n"/>
    </row>
    <row r="247">
      <c r="A247" s="9" t="inlineStr">
        <is>
          <t>21/22</t>
        </is>
      </c>
      <c r="B247" s="10" t="inlineStr">
        <is>
          <t xml:space="preserve"> Black Crows</t>
        </is>
      </c>
      <c r="C247" s="11" t="inlineStr">
        <is>
          <t xml:space="preserve"> Orb Freebird</t>
        </is>
      </c>
      <c r="D247" s="13" t="n">
        <v>167.2</v>
      </c>
      <c r="E247" s="11" t="inlineStr">
        <is>
          <t xml:space="preserve"> Unisex</t>
        </is>
      </c>
      <c r="F247" s="13" t="n">
        <v>167.2</v>
      </c>
      <c r="G247" s="13" t="n">
        <v>166.1</v>
      </c>
      <c r="H247" s="13" t="n">
        <v>127</v>
      </c>
      <c r="I247" s="13" t="n">
        <v>146</v>
      </c>
      <c r="J247" s="13" t="n">
        <v>124</v>
      </c>
      <c r="K247" s="13" t="n">
        <v>88</v>
      </c>
      <c r="L247" s="13" t="n">
        <v>110</v>
      </c>
      <c r="M247" s="13" t="n">
        <v>17.5</v>
      </c>
      <c r="N247" s="13" t="n">
        <v>1306</v>
      </c>
      <c r="O247" s="13" t="n">
        <v>1.27</v>
      </c>
      <c r="P247" s="13" t="n">
        <v>1656</v>
      </c>
      <c r="Q247" s="13" t="n">
        <v>144</v>
      </c>
      <c r="R247" s="13" t="n">
        <v>71</v>
      </c>
      <c r="S247" s="13" t="n">
        <v>40</v>
      </c>
      <c r="T247" s="13" t="n">
        <v>245</v>
      </c>
      <c r="U247" s="13" t="n">
        <v>10</v>
      </c>
      <c r="V247" s="13" t="n">
        <v>142</v>
      </c>
      <c r="W247" s="13" t="n">
        <v>0.251</v>
      </c>
      <c r="X247" s="13" t="n">
        <v>96</v>
      </c>
      <c r="Y247" s="13" t="n">
        <v>103</v>
      </c>
      <c r="Z247" s="13" t="n">
        <v>148</v>
      </c>
      <c r="AA247" s="13" t="n">
        <v>7</v>
      </c>
      <c r="AB247" s="13" t="n">
        <v>10.3</v>
      </c>
      <c r="AC247" s="11" t="inlineStr">
        <is>
          <t xml:space="preserve"> Resort Freeride</t>
        </is>
      </c>
      <c r="AD247" s="11" t="inlineStr">
        <is>
          <t xml:space="preserve"> Touring</t>
        </is>
      </c>
      <c r="AE247" s="11" t="inlineStr">
        <is>
          <t xml:space="preserve"> Ultralight Touring</t>
        </is>
      </c>
      <c r="AF247" s="13" t="n"/>
      <c r="AG247" s="13" t="n"/>
    </row>
    <row r="248">
      <c r="A248" s="9" t="inlineStr">
        <is>
          <t>21/22</t>
        </is>
      </c>
      <c r="B248" s="10" t="inlineStr">
        <is>
          <t xml:space="preserve"> Black Crows</t>
        </is>
      </c>
      <c r="C248" s="11" t="inlineStr">
        <is>
          <t xml:space="preserve"> Orb Freebird</t>
        </is>
      </c>
      <c r="D248" s="13" t="n">
        <v>173.1</v>
      </c>
      <c r="E248" s="11" t="inlineStr">
        <is>
          <t xml:space="preserve"> Unisex</t>
        </is>
      </c>
      <c r="F248" s="13" t="n">
        <v>173.1</v>
      </c>
      <c r="G248" s="13" t="n">
        <v>172.3</v>
      </c>
      <c r="H248" s="13" t="n">
        <v>132</v>
      </c>
      <c r="I248" s="13" t="n">
        <v>149</v>
      </c>
      <c r="J248" s="13" t="n">
        <v>126</v>
      </c>
      <c r="K248" s="13" t="n">
        <v>88</v>
      </c>
      <c r="L248" s="13" t="n">
        <v>110</v>
      </c>
      <c r="M248" s="13" t="n">
        <v>17.6</v>
      </c>
      <c r="N248" s="13" t="n">
        <v>1417</v>
      </c>
      <c r="O248" s="13" t="n">
        <v>1.22</v>
      </c>
      <c r="P248" s="13" t="n">
        <v>1722</v>
      </c>
      <c r="Q248" s="13" t="n">
        <v>164</v>
      </c>
      <c r="R248" s="13" t="n">
        <v>72</v>
      </c>
      <c r="S248" s="13" t="n">
        <v>41</v>
      </c>
      <c r="T248" s="13" t="n">
        <v>254</v>
      </c>
      <c r="U248" s="13" t="n">
        <v>11</v>
      </c>
      <c r="V248" s="13" t="n">
        <v>152</v>
      </c>
      <c r="W248" s="13" t="n">
        <v>0.278</v>
      </c>
      <c r="X248" s="13" t="n">
        <v>113</v>
      </c>
      <c r="Y248" s="13" t="n">
        <v>121</v>
      </c>
      <c r="Z248" s="13" t="n">
        <v>141</v>
      </c>
      <c r="AA248" s="13" t="n">
        <v>6</v>
      </c>
      <c r="AB248" s="13" t="n">
        <v>10.8</v>
      </c>
      <c r="AC248" s="11" t="inlineStr">
        <is>
          <t xml:space="preserve"> Resort Freeride</t>
        </is>
      </c>
      <c r="AD248" s="11" t="inlineStr">
        <is>
          <t xml:space="preserve"> Touring</t>
        </is>
      </c>
      <c r="AE248" s="13" t="n"/>
      <c r="AF248" s="13" t="n"/>
      <c r="AG248" s="13" t="n"/>
    </row>
    <row r="249">
      <c r="A249" s="9" t="inlineStr">
        <is>
          <t>21/22</t>
        </is>
      </c>
      <c r="B249" s="10" t="inlineStr">
        <is>
          <t xml:space="preserve"> Black Crows</t>
        </is>
      </c>
      <c r="C249" s="11" t="inlineStr">
        <is>
          <t xml:space="preserve"> Orb Freebird</t>
        </is>
      </c>
      <c r="D249" s="13" t="n">
        <v>179.3</v>
      </c>
      <c r="E249" s="11" t="inlineStr">
        <is>
          <t xml:space="preserve"> Unisex</t>
        </is>
      </c>
      <c r="F249" s="13" t="n">
        <v>179.3</v>
      </c>
      <c r="G249" s="13" t="n">
        <v>178.4</v>
      </c>
      <c r="H249" s="13" t="n">
        <v>139</v>
      </c>
      <c r="I249" s="13" t="n">
        <v>150</v>
      </c>
      <c r="J249" s="13" t="n">
        <v>127</v>
      </c>
      <c r="K249" s="13" t="n">
        <v>88</v>
      </c>
      <c r="L249" s="13" t="n">
        <v>111</v>
      </c>
      <c r="M249" s="13" t="n">
        <v>17.6</v>
      </c>
      <c r="N249" s="13" t="n">
        <v>1450</v>
      </c>
      <c r="O249" s="13" t="n">
        <v>1.24</v>
      </c>
      <c r="P249" s="13" t="n">
        <v>1793</v>
      </c>
      <c r="Q249" s="13" t="n">
        <v>189</v>
      </c>
      <c r="R249" s="13" t="n">
        <v>89</v>
      </c>
      <c r="S249" s="13" t="n">
        <v>39</v>
      </c>
      <c r="T249" s="13" t="n">
        <v>254</v>
      </c>
      <c r="U249" s="13" t="n">
        <v>11</v>
      </c>
      <c r="V249" s="13" t="n">
        <v>143</v>
      </c>
      <c r="W249" s="13" t="n">
        <v>0.27</v>
      </c>
      <c r="X249" s="13" t="n">
        <v>139</v>
      </c>
      <c r="Y249" s="13" t="n">
        <v>142</v>
      </c>
      <c r="Z249" s="13" t="n">
        <v>115</v>
      </c>
      <c r="AA249" s="13" t="n">
        <v>7</v>
      </c>
      <c r="AB249" s="13" t="n">
        <v>10.4</v>
      </c>
      <c r="AC249" s="11" t="inlineStr">
        <is>
          <t xml:space="preserve"> Resort Freeride</t>
        </is>
      </c>
      <c r="AD249" s="11" t="inlineStr">
        <is>
          <t xml:space="preserve"> Touring</t>
        </is>
      </c>
      <c r="AE249" s="13" t="n"/>
      <c r="AF249" s="13" t="n"/>
      <c r="AG249" s="13" t="n"/>
    </row>
    <row r="250">
      <c r="A250" s="9" t="inlineStr">
        <is>
          <t>21/22</t>
        </is>
      </c>
      <c r="B250" s="10" t="inlineStr">
        <is>
          <t xml:space="preserve"> Black Crows</t>
        </is>
      </c>
      <c r="C250" s="11" t="inlineStr">
        <is>
          <t xml:space="preserve"> Serpo</t>
        </is>
      </c>
      <c r="D250" s="13" t="n">
        <v>168.2</v>
      </c>
      <c r="E250" s="11" t="inlineStr">
        <is>
          <t xml:space="preserve"> Unisex</t>
        </is>
      </c>
      <c r="F250" s="13" t="n">
        <v>168.2</v>
      </c>
      <c r="G250" s="13" t="n">
        <v>167.8</v>
      </c>
      <c r="H250" s="13" t="n">
        <v>112</v>
      </c>
      <c r="I250" s="13" t="n">
        <v>149</v>
      </c>
      <c r="J250" s="13" t="n">
        <v>128</v>
      </c>
      <c r="K250" s="13" t="n">
        <v>92</v>
      </c>
      <c r="L250" s="13" t="n">
        <v>111</v>
      </c>
      <c r="M250" s="13" t="n">
        <v>19.7</v>
      </c>
      <c r="N250" s="13" t="n">
        <v>1721</v>
      </c>
      <c r="O250" s="13" t="n">
        <v>1</v>
      </c>
      <c r="P250" s="13" t="n">
        <v>1713</v>
      </c>
      <c r="Q250" s="13" t="n">
        <v>167</v>
      </c>
      <c r="R250" s="13" t="n">
        <v>89</v>
      </c>
      <c r="S250" s="13" t="n">
        <v>46</v>
      </c>
      <c r="T250" s="13" t="n">
        <v>309</v>
      </c>
      <c r="U250" s="13" t="n">
        <v>13</v>
      </c>
      <c r="V250" s="13" t="n">
        <v>246</v>
      </c>
      <c r="W250" s="13" t="n">
        <v>0.28</v>
      </c>
      <c r="X250" s="13" t="n">
        <v>100</v>
      </c>
      <c r="Y250" s="13" t="n">
        <v>89</v>
      </c>
      <c r="Z250" s="13" t="n">
        <v>209</v>
      </c>
      <c r="AA250" s="13" t="n">
        <v>4</v>
      </c>
      <c r="AB250" s="13" t="n">
        <v>7.9</v>
      </c>
      <c r="AC250" s="11" t="inlineStr">
        <is>
          <t xml:space="preserve"> Resort Freeride</t>
        </is>
      </c>
      <c r="AD250" s="13" t="n"/>
      <c r="AE250" s="13" t="n"/>
      <c r="AF250" s="13" t="n"/>
      <c r="AG250" s="13" t="n"/>
    </row>
    <row r="251">
      <c r="A251" s="9" t="inlineStr">
        <is>
          <t>21/22</t>
        </is>
      </c>
      <c r="B251" s="10" t="inlineStr">
        <is>
          <t xml:space="preserve"> Black Crows</t>
        </is>
      </c>
      <c r="C251" s="11" t="inlineStr">
        <is>
          <t xml:space="preserve"> Serpo</t>
        </is>
      </c>
      <c r="D251" s="13" t="n">
        <v>174.1</v>
      </c>
      <c r="E251" s="11" t="inlineStr">
        <is>
          <t xml:space="preserve"> Unisex</t>
        </is>
      </c>
      <c r="F251" s="13" t="n">
        <v>174.1</v>
      </c>
      <c r="G251" s="13" t="n">
        <v>173.5</v>
      </c>
      <c r="H251" s="13" t="n">
        <v>117</v>
      </c>
      <c r="I251" s="13" t="n">
        <v>153</v>
      </c>
      <c r="J251" s="13" t="n">
        <v>129</v>
      </c>
      <c r="K251" s="13" t="n">
        <v>92</v>
      </c>
      <c r="L251" s="13" t="n">
        <v>112</v>
      </c>
      <c r="M251" s="13" t="n">
        <v>19.8</v>
      </c>
      <c r="N251" s="13" t="n">
        <v>1752</v>
      </c>
      <c r="O251" s="13" t="n">
        <v>1.02</v>
      </c>
      <c r="P251" s="13" t="n">
        <v>1784</v>
      </c>
      <c r="Q251" s="13" t="n">
        <v>185</v>
      </c>
      <c r="R251" s="13" t="n">
        <v>80</v>
      </c>
      <c r="S251" s="13" t="n">
        <v>42</v>
      </c>
      <c r="T251" s="13" t="n">
        <v>292</v>
      </c>
      <c r="U251" s="13" t="n">
        <v>14</v>
      </c>
      <c r="V251" s="13" t="n">
        <v>276</v>
      </c>
      <c r="W251" s="13" t="n">
        <v>0.324</v>
      </c>
      <c r="X251" s="13" t="n">
        <v>107</v>
      </c>
      <c r="Y251" s="13" t="n">
        <v>95</v>
      </c>
      <c r="Z251" s="13" t="n">
        <v>185</v>
      </c>
      <c r="AA251" s="13" t="n">
        <v>3</v>
      </c>
      <c r="AB251" s="13" t="n">
        <v>8.5</v>
      </c>
      <c r="AC251" s="11" t="inlineStr">
        <is>
          <t xml:space="preserve"> Resort Freeride</t>
        </is>
      </c>
      <c r="AD251" s="13" t="n"/>
      <c r="AE251" s="13" t="n"/>
      <c r="AF251" s="13" t="n"/>
      <c r="AG251" s="13" t="n"/>
    </row>
    <row r="252">
      <c r="A252" s="9" t="inlineStr">
        <is>
          <t>21/22</t>
        </is>
      </c>
      <c r="B252" s="10" t="inlineStr">
        <is>
          <t xml:space="preserve"> Black Crows</t>
        </is>
      </c>
      <c r="C252" s="11" t="inlineStr">
        <is>
          <t xml:space="preserve"> Serpo</t>
        </is>
      </c>
      <c r="D252" s="13" t="n">
        <v>180.1</v>
      </c>
      <c r="E252" s="11" t="inlineStr">
        <is>
          <t xml:space="preserve"> Unisex</t>
        </is>
      </c>
      <c r="F252" s="13" t="n">
        <v>180.1</v>
      </c>
      <c r="G252" s="13" t="n">
        <v>179.2</v>
      </c>
      <c r="H252" s="13" t="n">
        <v>123</v>
      </c>
      <c r="I252" s="13" t="n">
        <v>157</v>
      </c>
      <c r="J252" s="13" t="n">
        <v>131</v>
      </c>
      <c r="K252" s="13" t="n">
        <v>92</v>
      </c>
      <c r="L252" s="13" t="n">
        <v>114</v>
      </c>
      <c r="M252" s="13" t="n">
        <v>19.4</v>
      </c>
      <c r="N252" s="13" t="n">
        <v>1828</v>
      </c>
      <c r="O252" s="13" t="n">
        <v>1.01</v>
      </c>
      <c r="P252" s="13" t="n">
        <v>1855</v>
      </c>
      <c r="Q252" s="13" t="n">
        <v>221</v>
      </c>
      <c r="R252" s="13" t="n">
        <v>97</v>
      </c>
      <c r="S252" s="13" t="n">
        <v>54</v>
      </c>
      <c r="T252" s="13" t="n">
        <v>333</v>
      </c>
      <c r="U252" s="13" t="n">
        <v>11</v>
      </c>
      <c r="V252" s="13" t="n">
        <v>230</v>
      </c>
      <c r="W252" s="13" t="n">
        <v>0.198</v>
      </c>
      <c r="X252" s="13" t="n">
        <v>111</v>
      </c>
      <c r="Y252" s="13" t="n">
        <v>109</v>
      </c>
      <c r="Z252" s="13" t="n">
        <v>222</v>
      </c>
      <c r="AA252" s="13" t="n">
        <v>4</v>
      </c>
      <c r="AB252" s="13" t="n">
        <v>8.199999999999999</v>
      </c>
      <c r="AC252" s="11" t="inlineStr">
        <is>
          <t xml:space="preserve"> Resort Freeride</t>
        </is>
      </c>
      <c r="AD252" s="13" t="n"/>
      <c r="AE252" s="13" t="n"/>
      <c r="AF252" s="13" t="n"/>
      <c r="AG252" s="13" t="n"/>
    </row>
    <row r="253">
      <c r="A253" s="9" t="inlineStr">
        <is>
          <t>21/22</t>
        </is>
      </c>
      <c r="B253" s="10" t="inlineStr">
        <is>
          <t xml:space="preserve"> Black Crows</t>
        </is>
      </c>
      <c r="C253" s="11" t="inlineStr">
        <is>
          <t xml:space="preserve"> Serpo</t>
        </is>
      </c>
      <c r="D253" s="13" t="n">
        <v>186.3</v>
      </c>
      <c r="E253" s="11" t="inlineStr">
        <is>
          <t xml:space="preserve"> Unisex</t>
        </is>
      </c>
      <c r="F253" s="13" t="n">
        <v>186.3</v>
      </c>
      <c r="G253" s="13" t="n">
        <v>185.8</v>
      </c>
      <c r="H253" s="13" t="n">
        <v>119</v>
      </c>
      <c r="I253" s="13" t="n">
        <v>162</v>
      </c>
      <c r="J253" s="13" t="n">
        <v>131</v>
      </c>
      <c r="K253" s="13" t="n">
        <v>91</v>
      </c>
      <c r="L253" s="13" t="n">
        <v>114</v>
      </c>
      <c r="M253" s="13" t="n">
        <v>19.8</v>
      </c>
      <c r="N253" s="13" t="n">
        <v>1964</v>
      </c>
      <c r="O253" s="13" t="n">
        <v>0.98</v>
      </c>
      <c r="P253" s="13" t="n">
        <v>1927</v>
      </c>
      <c r="Q253" s="13" t="n">
        <v>220</v>
      </c>
      <c r="R253" s="13" t="n">
        <v>113</v>
      </c>
      <c r="S253" s="13" t="n">
        <v>51</v>
      </c>
      <c r="T253" s="13" t="n">
        <v>362</v>
      </c>
      <c r="U253" s="13" t="n">
        <v>15</v>
      </c>
      <c r="V253" s="13" t="n">
        <v>310</v>
      </c>
      <c r="W253" s="13" t="n">
        <v>0.296</v>
      </c>
      <c r="X253" s="13" t="n">
        <v>121</v>
      </c>
      <c r="Y253" s="13" t="n">
        <v>115</v>
      </c>
      <c r="Z253" s="13" t="n">
        <v>241</v>
      </c>
      <c r="AA253" s="13" t="n">
        <v>2</v>
      </c>
      <c r="AB253" s="13" t="n">
        <v>8.1</v>
      </c>
      <c r="AC253" s="11" t="inlineStr">
        <is>
          <t xml:space="preserve"> Resort Freeride</t>
        </is>
      </c>
      <c r="AD253" s="13" t="n"/>
      <c r="AE253" s="13" t="n"/>
      <c r="AF253" s="13" t="n"/>
      <c r="AG253" s="13" t="n"/>
    </row>
    <row r="254">
      <c r="A254" s="9" t="inlineStr">
        <is>
          <t>21/22</t>
        </is>
      </c>
      <c r="B254" s="10" t="inlineStr">
        <is>
          <t xml:space="preserve"> Black Diamond</t>
        </is>
      </c>
      <c r="C254" s="11" t="inlineStr">
        <is>
          <t>Impulse 104</t>
        </is>
      </c>
      <c r="D254" s="13" t="n">
        <v>165</v>
      </c>
      <c r="E254" s="11" t="inlineStr">
        <is>
          <t xml:space="preserve"> Unisex</t>
        </is>
      </c>
      <c r="F254" s="13" t="n">
        <v>165</v>
      </c>
      <c r="G254" s="13" t="n">
        <v>165.7</v>
      </c>
      <c r="H254" s="13" t="n">
        <v>120</v>
      </c>
      <c r="I254" s="13" t="n">
        <v>131</v>
      </c>
      <c r="J254" s="13" t="n">
        <v>134</v>
      </c>
      <c r="K254" s="13" t="n">
        <v>103</v>
      </c>
      <c r="L254" s="13" t="n">
        <v>122</v>
      </c>
      <c r="M254" s="13" t="n">
        <v>15.9</v>
      </c>
      <c r="N254" s="13" t="n">
        <v>1780</v>
      </c>
      <c r="O254" s="13" t="n">
        <v>1.05</v>
      </c>
      <c r="P254" s="13" t="n">
        <v>1864</v>
      </c>
      <c r="Q254" s="13" t="n">
        <v>185</v>
      </c>
      <c r="R254" s="13" t="n">
        <v>75</v>
      </c>
      <c r="S254" s="13" t="n">
        <v>39</v>
      </c>
      <c r="T254" s="13" t="n">
        <v>272</v>
      </c>
      <c r="U254" s="13" t="n">
        <v>19</v>
      </c>
      <c r="V254" s="13" t="n">
        <v>185</v>
      </c>
      <c r="W254" s="13" t="n">
        <v>0.493</v>
      </c>
      <c r="X254" s="13" t="n">
        <v>214</v>
      </c>
      <c r="Y254" s="13" t="n">
        <v>137</v>
      </c>
      <c r="Z254" s="13" t="n">
        <v>58</v>
      </c>
      <c r="AA254" s="13" t="n">
        <v>8</v>
      </c>
      <c r="AB254" s="13" t="n">
        <v>8.4</v>
      </c>
      <c r="AC254" s="11" t="inlineStr">
        <is>
          <t xml:space="preserve"> Resort Freeride</t>
        </is>
      </c>
      <c r="AD254" s="11" t="inlineStr">
        <is>
          <t xml:space="preserve"> Powder</t>
        </is>
      </c>
      <c r="AE254" s="13" t="n"/>
      <c r="AF254" s="13" t="n"/>
      <c r="AG254" s="13" t="n"/>
    </row>
    <row r="255">
      <c r="A255" s="9" t="inlineStr">
        <is>
          <t>21/22</t>
        </is>
      </c>
      <c r="B255" s="10" t="inlineStr">
        <is>
          <t xml:space="preserve"> Black Diamond</t>
        </is>
      </c>
      <c r="C255" s="11" t="inlineStr">
        <is>
          <t>Impulse 104</t>
        </is>
      </c>
      <c r="D255" s="13" t="n">
        <v>172</v>
      </c>
      <c r="E255" s="11" t="inlineStr">
        <is>
          <t xml:space="preserve"> Unisex</t>
        </is>
      </c>
      <c r="F255" s="13" t="n">
        <v>172</v>
      </c>
      <c r="G255" s="13" t="n">
        <v>172.7</v>
      </c>
      <c r="H255" s="13" t="n">
        <v>124</v>
      </c>
      <c r="I255" s="13" t="n">
        <v>135</v>
      </c>
      <c r="J255" s="13" t="n">
        <v>134</v>
      </c>
      <c r="K255" s="13" t="n">
        <v>103</v>
      </c>
      <c r="L255" s="13" t="n">
        <v>122</v>
      </c>
      <c r="M255" s="13" t="n">
        <v>17</v>
      </c>
      <c r="N255" s="13" t="n">
        <v>1822</v>
      </c>
      <c r="O255" s="13" t="n">
        <v>1.07</v>
      </c>
      <c r="P255" s="13" t="n">
        <v>1948</v>
      </c>
      <c r="Q255" s="13" t="n">
        <v>186</v>
      </c>
      <c r="R255" s="13" t="n">
        <v>82</v>
      </c>
      <c r="S255" s="13" t="n">
        <v>40</v>
      </c>
      <c r="T255" s="13" t="n">
        <v>282</v>
      </c>
      <c r="U255" s="13" t="n">
        <v>22</v>
      </c>
      <c r="V255" s="13" t="n">
        <v>205</v>
      </c>
      <c r="W255" s="13" t="n">
        <v>0.554</v>
      </c>
      <c r="X255" s="13" t="n">
        <v>232</v>
      </c>
      <c r="Y255" s="13" t="n">
        <v>147</v>
      </c>
      <c r="Z255" s="13" t="n">
        <v>50</v>
      </c>
      <c r="AA255" s="13" t="n">
        <v>7</v>
      </c>
      <c r="AB255" s="13" t="n">
        <v>8.9</v>
      </c>
      <c r="AC255" s="11" t="inlineStr">
        <is>
          <t xml:space="preserve"> Resort Freeride</t>
        </is>
      </c>
      <c r="AD255" s="11" t="inlineStr">
        <is>
          <t xml:space="preserve"> Powder</t>
        </is>
      </c>
      <c r="AE255" s="11" t="inlineStr">
        <is>
          <t xml:space="preserve"> Touring</t>
        </is>
      </c>
      <c r="AF255" s="13" t="n"/>
      <c r="AG255" s="13" t="n"/>
    </row>
    <row r="256">
      <c r="A256" s="9" t="inlineStr">
        <is>
          <t>21/22</t>
        </is>
      </c>
      <c r="B256" s="10" t="inlineStr">
        <is>
          <t xml:space="preserve"> Black Diamond</t>
        </is>
      </c>
      <c r="C256" s="11" t="inlineStr">
        <is>
          <t>Impulse 104</t>
        </is>
      </c>
      <c r="D256" s="13" t="n">
        <v>179</v>
      </c>
      <c r="E256" s="11" t="inlineStr">
        <is>
          <t xml:space="preserve"> Unisex</t>
        </is>
      </c>
      <c r="F256" s="13" t="n">
        <v>179</v>
      </c>
      <c r="G256" s="13" t="n">
        <v>179.6</v>
      </c>
      <c r="H256" s="13" t="n">
        <v>129</v>
      </c>
      <c r="I256" s="13" t="n">
        <v>141</v>
      </c>
      <c r="J256" s="13" t="n">
        <v>135</v>
      </c>
      <c r="K256" s="13" t="n">
        <v>103</v>
      </c>
      <c r="L256" s="13" t="n">
        <v>122</v>
      </c>
      <c r="M256" s="13" t="n">
        <v>18.1</v>
      </c>
      <c r="N256" s="13" t="n">
        <v>1929</v>
      </c>
      <c r="O256" s="13" t="n">
        <v>1.05</v>
      </c>
      <c r="P256" s="13" t="n">
        <v>2028</v>
      </c>
      <c r="Q256" s="13" t="n">
        <v>201</v>
      </c>
      <c r="R256" s="13" t="n">
        <v>80</v>
      </c>
      <c r="S256" s="13" t="n">
        <v>46</v>
      </c>
      <c r="T256" s="13" t="n">
        <v>293</v>
      </c>
      <c r="U256" s="13" t="n">
        <v>24</v>
      </c>
      <c r="V256" s="13" t="n">
        <v>212</v>
      </c>
      <c r="W256" s="13" t="n">
        <v>0.519</v>
      </c>
      <c r="X256" s="13" t="n">
        <v>233</v>
      </c>
      <c r="Y256" s="13" t="n">
        <v>151</v>
      </c>
      <c r="Z256" s="13" t="n">
        <v>60</v>
      </c>
      <c r="AA256" s="13" t="n">
        <v>8</v>
      </c>
      <c r="AB256" s="13" t="n">
        <v>9.199999999999999</v>
      </c>
      <c r="AC256" s="11" t="inlineStr">
        <is>
          <t xml:space="preserve"> Resort Freeride</t>
        </is>
      </c>
      <c r="AD256" s="11" t="inlineStr">
        <is>
          <t xml:space="preserve"> Powder</t>
        </is>
      </c>
      <c r="AE256" s="11" t="inlineStr">
        <is>
          <t xml:space="preserve"> Touring</t>
        </is>
      </c>
      <c r="AF256" s="13" t="n"/>
      <c r="AG256" s="13" t="n"/>
    </row>
    <row r="257">
      <c r="A257" s="9" t="inlineStr">
        <is>
          <t>21/22</t>
        </is>
      </c>
      <c r="B257" s="10" t="inlineStr">
        <is>
          <t xml:space="preserve"> Black Diamond</t>
        </is>
      </c>
      <c r="C257" s="11" t="inlineStr">
        <is>
          <t>Impulse 104</t>
        </is>
      </c>
      <c r="D257" s="13" t="n">
        <v>186</v>
      </c>
      <c r="E257" s="11" t="inlineStr">
        <is>
          <t xml:space="preserve"> Unisex</t>
        </is>
      </c>
      <c r="F257" s="13" t="n">
        <v>186</v>
      </c>
      <c r="G257" s="13" t="n">
        <v>186.6</v>
      </c>
      <c r="H257" s="13" t="n">
        <v>136</v>
      </c>
      <c r="I257" s="13" t="n">
        <v>147</v>
      </c>
      <c r="J257" s="13" t="n">
        <v>136</v>
      </c>
      <c r="K257" s="13" t="n">
        <v>103</v>
      </c>
      <c r="L257" s="13" t="n">
        <v>123</v>
      </c>
      <c r="M257" s="13" t="n">
        <v>19</v>
      </c>
      <c r="N257" s="13" t="n">
        <v>2084</v>
      </c>
      <c r="O257" s="13" t="n">
        <v>1.02</v>
      </c>
      <c r="P257" s="13" t="n">
        <v>2118</v>
      </c>
      <c r="Q257" s="13" t="n">
        <v>225</v>
      </c>
      <c r="R257" s="13" t="n">
        <v>95</v>
      </c>
      <c r="S257" s="13" t="n">
        <v>46</v>
      </c>
      <c r="T257" s="13" t="n">
        <v>300</v>
      </c>
      <c r="U257" s="13" t="n">
        <v>22</v>
      </c>
      <c r="V257" s="13" t="n">
        <v>207</v>
      </c>
      <c r="W257" s="13" t="n">
        <v>0.491</v>
      </c>
      <c r="X257" s="13" t="n">
        <v>240</v>
      </c>
      <c r="Y257" s="13" t="n">
        <v>160</v>
      </c>
      <c r="Z257" s="13" t="n">
        <v>60</v>
      </c>
      <c r="AA257" s="13" t="n">
        <v>9</v>
      </c>
      <c r="AB257" s="13" t="n">
        <v>9.199999999999999</v>
      </c>
      <c r="AC257" s="11" t="inlineStr">
        <is>
          <t xml:space="preserve"> Resort Freeride</t>
        </is>
      </c>
      <c r="AD257" s="11" t="inlineStr">
        <is>
          <t xml:space="preserve"> Powder</t>
        </is>
      </c>
      <c r="AE257" s="13" t="n"/>
      <c r="AF257" s="13" t="n"/>
      <c r="AG257" s="13" t="n"/>
    </row>
    <row r="258">
      <c r="A258" s="9" t="inlineStr">
        <is>
          <t>21/22</t>
        </is>
      </c>
      <c r="B258" s="10" t="inlineStr">
        <is>
          <t xml:space="preserve"> Black Diamond</t>
        </is>
      </c>
      <c r="C258" s="11" t="inlineStr">
        <is>
          <t>Impulse 98</t>
        </is>
      </c>
      <c r="D258" s="13" t="n">
        <v>161</v>
      </c>
      <c r="E258" s="11" t="inlineStr">
        <is>
          <t xml:space="preserve"> Unisex</t>
        </is>
      </c>
      <c r="F258" s="13" t="n">
        <v>161</v>
      </c>
      <c r="G258" s="13" t="n">
        <v>161.6</v>
      </c>
      <c r="H258" s="13" t="n">
        <v>118</v>
      </c>
      <c r="I258" s="13" t="n">
        <v>132</v>
      </c>
      <c r="J258" s="13" t="n">
        <v>129</v>
      </c>
      <c r="K258" s="13" t="n">
        <v>97</v>
      </c>
      <c r="L258" s="13" t="n">
        <v>117</v>
      </c>
      <c r="M258" s="13" t="n">
        <v>14.9</v>
      </c>
      <c r="N258" s="13" t="n">
        <v>1702</v>
      </c>
      <c r="O258" s="13" t="n">
        <v>1.02</v>
      </c>
      <c r="P258" s="13" t="n">
        <v>1732</v>
      </c>
      <c r="Q258" s="13" t="n">
        <v>179</v>
      </c>
      <c r="R258" s="13" t="n">
        <v>76</v>
      </c>
      <c r="S258" s="13" t="n">
        <v>35</v>
      </c>
      <c r="T258" s="13" t="n">
        <v>253</v>
      </c>
      <c r="U258" s="13" t="n">
        <v>19</v>
      </c>
      <c r="V258" s="13" t="n">
        <v>186</v>
      </c>
      <c r="W258" s="13" t="n">
        <v>0.556</v>
      </c>
      <c r="X258" s="13" t="n">
        <v>183</v>
      </c>
      <c r="Y258" s="13" t="n">
        <v>118</v>
      </c>
      <c r="Z258" s="13" t="n">
        <v>71</v>
      </c>
      <c r="AA258" s="13" t="n">
        <v>9</v>
      </c>
      <c r="AB258" s="13" t="n">
        <v>8.199999999999999</v>
      </c>
      <c r="AC258" s="11" t="inlineStr">
        <is>
          <t xml:space="preserve"> Resort Freeride</t>
        </is>
      </c>
      <c r="AD258" s="13" t="n"/>
      <c r="AE258" s="13" t="n"/>
      <c r="AF258" s="13" t="n"/>
      <c r="AG258" s="13" t="n"/>
    </row>
    <row r="259">
      <c r="A259" s="9" t="inlineStr">
        <is>
          <t>21/22</t>
        </is>
      </c>
      <c r="B259" s="10" t="inlineStr">
        <is>
          <t xml:space="preserve"> Black Diamond</t>
        </is>
      </c>
      <c r="C259" s="11" t="inlineStr">
        <is>
          <t>Impulse 98</t>
        </is>
      </c>
      <c r="D259" s="13" t="n">
        <v>175</v>
      </c>
      <c r="E259" s="11" t="inlineStr">
        <is>
          <t xml:space="preserve"> Unisex</t>
        </is>
      </c>
      <c r="F259" s="13" t="n">
        <v>175</v>
      </c>
      <c r="G259" s="13" t="n">
        <v>175.7</v>
      </c>
      <c r="H259" s="13" t="n">
        <v>128</v>
      </c>
      <c r="I259" s="13" t="n">
        <v>141</v>
      </c>
      <c r="J259" s="13" t="n">
        <v>130</v>
      </c>
      <c r="K259" s="13" t="n">
        <v>97</v>
      </c>
      <c r="L259" s="13" t="n">
        <v>118</v>
      </c>
      <c r="M259" s="13" t="n">
        <v>16.8</v>
      </c>
      <c r="N259" s="13" t="n">
        <v>1856</v>
      </c>
      <c r="O259" s="13" t="n">
        <v>1.02</v>
      </c>
      <c r="P259" s="13" t="n">
        <v>1896</v>
      </c>
      <c r="Q259" s="13" t="n">
        <v>212</v>
      </c>
      <c r="R259" s="13" t="n">
        <v>85</v>
      </c>
      <c r="S259" s="13" t="n">
        <v>40</v>
      </c>
      <c r="T259" s="13" t="n">
        <v>273</v>
      </c>
      <c r="U259" s="13" t="n">
        <v>22</v>
      </c>
      <c r="V259" s="13" t="n">
        <v>202</v>
      </c>
      <c r="W259" s="13" t="n">
        <v>0.5610000000000001</v>
      </c>
      <c r="X259" s="13" t="n">
        <v>217</v>
      </c>
      <c r="Y259" s="13" t="n">
        <v>131</v>
      </c>
      <c r="Z259" s="13" t="n">
        <v>57</v>
      </c>
      <c r="AA259" s="13" t="n">
        <v>10</v>
      </c>
      <c r="AB259" s="13" t="n">
        <v>8.5</v>
      </c>
      <c r="AC259" s="11" t="inlineStr">
        <is>
          <t xml:space="preserve"> Resort Freeride</t>
        </is>
      </c>
      <c r="AD259" s="13" t="n"/>
      <c r="AE259" s="13" t="n"/>
      <c r="AF259" s="13" t="n"/>
      <c r="AG259" s="13" t="n"/>
    </row>
    <row r="260">
      <c r="A260" s="9" t="inlineStr">
        <is>
          <t>21/22</t>
        </is>
      </c>
      <c r="B260" s="10" t="inlineStr">
        <is>
          <t xml:space="preserve"> Black Diamond</t>
        </is>
      </c>
      <c r="C260" s="11" t="inlineStr">
        <is>
          <t>Impulse 98</t>
        </is>
      </c>
      <c r="D260" s="13" t="n">
        <v>182</v>
      </c>
      <c r="E260" s="11" t="inlineStr">
        <is>
          <t xml:space="preserve"> Unisex</t>
        </is>
      </c>
      <c r="F260" s="13" t="n">
        <v>182</v>
      </c>
      <c r="G260" s="13" t="n">
        <v>182.6</v>
      </c>
      <c r="H260" s="13" t="n">
        <v>130</v>
      </c>
      <c r="I260" s="13" t="n">
        <v>148</v>
      </c>
      <c r="J260" s="13" t="n">
        <v>131</v>
      </c>
      <c r="K260" s="13" t="n">
        <v>97</v>
      </c>
      <c r="L260" s="13" t="n">
        <v>118</v>
      </c>
      <c r="M260" s="13" t="n">
        <v>17.9</v>
      </c>
      <c r="N260" s="13" t="n">
        <v>1920</v>
      </c>
      <c r="O260" s="13" t="n">
        <v>1.03</v>
      </c>
      <c r="P260" s="13" t="n">
        <v>1975</v>
      </c>
      <c r="Q260" s="13" t="n">
        <v>224</v>
      </c>
      <c r="R260" s="13" t="n">
        <v>96</v>
      </c>
      <c r="S260" s="13" t="n">
        <v>46</v>
      </c>
      <c r="T260" s="13" t="n">
        <v>300</v>
      </c>
      <c r="U260" s="13" t="n">
        <v>25</v>
      </c>
      <c r="V260" s="13" t="n">
        <v>223</v>
      </c>
      <c r="W260" s="13" t="n">
        <v>0.552</v>
      </c>
      <c r="X260" s="13" t="n">
        <v>215</v>
      </c>
      <c r="Y260" s="13" t="n">
        <v>135</v>
      </c>
      <c r="Z260" s="13" t="n">
        <v>85</v>
      </c>
      <c r="AA260" s="13" t="n">
        <v>6</v>
      </c>
      <c r="AB260" s="13" t="n">
        <v>8.9</v>
      </c>
      <c r="AC260" s="11" t="inlineStr">
        <is>
          <t xml:space="preserve"> Resort Freeride</t>
        </is>
      </c>
      <c r="AD260" s="13" t="n"/>
      <c r="AE260" s="13" t="n"/>
      <c r="AF260" s="13" t="n"/>
      <c r="AG260" s="13" t="n"/>
    </row>
    <row r="261">
      <c r="A261" s="9" t="inlineStr">
        <is>
          <t>21/22</t>
        </is>
      </c>
      <c r="B261" s="10" t="inlineStr">
        <is>
          <t xml:space="preserve"> Blizzard</t>
        </is>
      </c>
      <c r="C261" s="11" t="inlineStr">
        <is>
          <t>Black Pearl 82</t>
        </is>
      </c>
      <c r="D261" s="13" t="n">
        <v>145</v>
      </c>
      <c r="E261" s="11" t="inlineStr">
        <is>
          <t xml:space="preserve"> Women's</t>
        </is>
      </c>
      <c r="F261" s="13" t="n">
        <v>145</v>
      </c>
      <c r="G261" s="13" t="n">
        <v>143.5</v>
      </c>
      <c r="H261" s="13" t="n">
        <v>112</v>
      </c>
      <c r="I261" s="13" t="n">
        <v>121</v>
      </c>
      <c r="J261" s="13" t="n">
        <v>118</v>
      </c>
      <c r="K261" s="13" t="n">
        <v>81</v>
      </c>
      <c r="L261" s="13" t="n">
        <v>102</v>
      </c>
      <c r="M261" s="13" t="n">
        <v>11.7</v>
      </c>
      <c r="N261" s="13" t="n">
        <v>1395</v>
      </c>
      <c r="O261" s="13" t="n">
        <v>0.96</v>
      </c>
      <c r="P261" s="13" t="n">
        <v>1335</v>
      </c>
      <c r="Q261" s="13" t="n">
        <v>123</v>
      </c>
      <c r="R261" s="13" t="n">
        <v>66</v>
      </c>
      <c r="S261" s="13" t="n">
        <v>52</v>
      </c>
      <c r="T261" s="13" t="n">
        <v>204</v>
      </c>
      <c r="U261" s="13" t="n">
        <v>7</v>
      </c>
      <c r="V261" s="13" t="n">
        <v>111</v>
      </c>
      <c r="W261" s="13" t="n">
        <v>0.14</v>
      </c>
      <c r="X261" s="13" t="n">
        <v>121</v>
      </c>
      <c r="Y261" s="13" t="n">
        <v>107</v>
      </c>
      <c r="Z261" s="13" t="n">
        <v>83</v>
      </c>
      <c r="AA261" s="13" t="n">
        <v>5</v>
      </c>
      <c r="AB261" s="13" t="n">
        <v>10.9</v>
      </c>
      <c r="AC261" s="11" t="inlineStr">
        <is>
          <t xml:space="preserve"> On-Piste All-Mountain</t>
        </is>
      </c>
      <c r="AD261" s="11" t="inlineStr">
        <is>
          <t xml:space="preserve"> Resort Freeride</t>
        </is>
      </c>
      <c r="AE261" s="13" t="n"/>
      <c r="AF261" s="13" t="n"/>
      <c r="AG261" s="13" t="n"/>
    </row>
    <row r="262">
      <c r="A262" s="9" t="inlineStr">
        <is>
          <t>21/22</t>
        </is>
      </c>
      <c r="B262" s="10" t="inlineStr">
        <is>
          <t xml:space="preserve"> Blizzard</t>
        </is>
      </c>
      <c r="C262" s="11" t="inlineStr">
        <is>
          <t>Black Pearl 82</t>
        </is>
      </c>
      <c r="D262" s="13" t="n">
        <v>152</v>
      </c>
      <c r="E262" s="11" t="inlineStr">
        <is>
          <t xml:space="preserve"> Women's</t>
        </is>
      </c>
      <c r="F262" s="13" t="n">
        <v>152</v>
      </c>
      <c r="G262" s="13" t="n">
        <v>150.1</v>
      </c>
      <c r="H262" s="13" t="n">
        <v>114</v>
      </c>
      <c r="I262" s="13" t="n">
        <v>129</v>
      </c>
      <c r="J262" s="13" t="n">
        <v>118</v>
      </c>
      <c r="K262" s="13" t="n">
        <v>81</v>
      </c>
      <c r="L262" s="13" t="n">
        <v>102</v>
      </c>
      <c r="M262" s="13" t="n">
        <v>13.4</v>
      </c>
      <c r="N262" s="13" t="n">
        <v>1479</v>
      </c>
      <c r="O262" s="13" t="n">
        <v>0.9399999999999999</v>
      </c>
      <c r="P262" s="13" t="n">
        <v>1391</v>
      </c>
      <c r="Q262" s="13" t="n">
        <v>154</v>
      </c>
      <c r="R262" s="13" t="n">
        <v>73</v>
      </c>
      <c r="S262" s="13" t="n">
        <v>54</v>
      </c>
      <c r="T262" s="13" t="n">
        <v>252</v>
      </c>
      <c r="U262" s="13" t="n">
        <v>7</v>
      </c>
      <c r="V262" s="13" t="n">
        <v>109</v>
      </c>
      <c r="W262" s="13" t="n">
        <v>0.132</v>
      </c>
      <c r="X262" s="13" t="n">
        <v>114</v>
      </c>
      <c r="Y262" s="13" t="n">
        <v>99</v>
      </c>
      <c r="Z262" s="13" t="n">
        <v>138</v>
      </c>
      <c r="AA262" s="13" t="n">
        <v>3</v>
      </c>
      <c r="AB262" s="13" t="n">
        <v>10.9</v>
      </c>
      <c r="AC262" s="11" t="inlineStr">
        <is>
          <t xml:space="preserve"> On-Piste All-Mountain</t>
        </is>
      </c>
      <c r="AD262" s="11" t="inlineStr">
        <is>
          <t xml:space="preserve"> Resort Freeride</t>
        </is>
      </c>
      <c r="AE262" s="13" t="n"/>
      <c r="AF262" s="13" t="n"/>
      <c r="AG262" s="13" t="n"/>
    </row>
    <row r="263">
      <c r="A263" s="9" t="inlineStr">
        <is>
          <t>21/22</t>
        </is>
      </c>
      <c r="B263" s="10" t="inlineStr">
        <is>
          <t xml:space="preserve"> Blizzard</t>
        </is>
      </c>
      <c r="C263" s="11" t="inlineStr">
        <is>
          <t>Black Pearl 82</t>
        </is>
      </c>
      <c r="D263" s="13" t="n">
        <v>159</v>
      </c>
      <c r="E263" s="11" t="inlineStr">
        <is>
          <t xml:space="preserve"> Women's</t>
        </is>
      </c>
      <c r="F263" s="13" t="n">
        <v>159</v>
      </c>
      <c r="G263" s="13" t="n">
        <v>157</v>
      </c>
      <c r="H263" s="13" t="n">
        <v>103</v>
      </c>
      <c r="I263" s="13" t="n">
        <v>135</v>
      </c>
      <c r="J263" s="13" t="n">
        <v>120</v>
      </c>
      <c r="K263" s="13" t="n">
        <v>82</v>
      </c>
      <c r="L263" s="13" t="n">
        <v>103</v>
      </c>
      <c r="M263" s="13" t="n">
        <v>14.3</v>
      </c>
      <c r="N263" s="13" t="n">
        <v>1551</v>
      </c>
      <c r="O263" s="13" t="n">
        <v>0.95</v>
      </c>
      <c r="P263" s="13" t="n">
        <v>1472</v>
      </c>
      <c r="Q263" s="13" t="n">
        <v>189</v>
      </c>
      <c r="R263" s="13" t="n">
        <v>91</v>
      </c>
      <c r="S263" s="13" t="n">
        <v>59</v>
      </c>
      <c r="T263" s="13" t="n">
        <v>301</v>
      </c>
      <c r="U263" s="13" t="n">
        <v>9</v>
      </c>
      <c r="V263" s="13" t="n">
        <v>240</v>
      </c>
      <c r="W263" s="13" t="n">
        <v>0.158</v>
      </c>
      <c r="X263" s="13" t="n">
        <v>114</v>
      </c>
      <c r="Y263" s="13" t="n">
        <v>102</v>
      </c>
      <c r="Z263" s="13" t="n">
        <v>187</v>
      </c>
      <c r="AA263" s="13" t="n">
        <v>2</v>
      </c>
      <c r="AB263" s="13" t="n">
        <v>10.5</v>
      </c>
      <c r="AC263" s="11" t="inlineStr">
        <is>
          <t xml:space="preserve"> On-Piste All-Mountain</t>
        </is>
      </c>
      <c r="AD263" s="11" t="inlineStr">
        <is>
          <t xml:space="preserve"> Resort Freeride</t>
        </is>
      </c>
      <c r="AE263" s="13" t="n"/>
      <c r="AF263" s="13" t="n"/>
      <c r="AG263" s="13" t="n"/>
    </row>
    <row r="264">
      <c r="A264" s="9" t="inlineStr">
        <is>
          <t>21/22</t>
        </is>
      </c>
      <c r="B264" s="10" t="inlineStr">
        <is>
          <t xml:space="preserve"> Blizzard</t>
        </is>
      </c>
      <c r="C264" s="11" t="inlineStr">
        <is>
          <t>Black Pearl 82</t>
        </is>
      </c>
      <c r="D264" s="13" t="n">
        <v>166</v>
      </c>
      <c r="E264" s="11" t="inlineStr">
        <is>
          <t xml:space="preserve"> Women's</t>
        </is>
      </c>
      <c r="F264" s="13" t="n">
        <v>166</v>
      </c>
      <c r="G264" s="13" t="n">
        <v>163.7</v>
      </c>
      <c r="H264" s="13" t="n">
        <v>118</v>
      </c>
      <c r="I264" s="13" t="n">
        <v>142</v>
      </c>
      <c r="J264" s="13" t="n">
        <v>121</v>
      </c>
      <c r="K264" s="13" t="n">
        <v>82</v>
      </c>
      <c r="L264" s="13" t="n">
        <v>104</v>
      </c>
      <c r="M264" s="13" t="n">
        <v>15.4</v>
      </c>
      <c r="N264" s="13" t="n">
        <v>1679</v>
      </c>
      <c r="O264" s="13" t="n">
        <v>0.92</v>
      </c>
      <c r="P264" s="13" t="n">
        <v>1539</v>
      </c>
      <c r="Q264" s="13" t="n">
        <v>181</v>
      </c>
      <c r="R264" s="13" t="n">
        <v>88</v>
      </c>
      <c r="S264" s="13" t="n">
        <v>62</v>
      </c>
      <c r="T264" s="13" t="n">
        <v>310</v>
      </c>
      <c r="U264" s="13" t="n">
        <v>8</v>
      </c>
      <c r="V264" s="13" t="n">
        <v>150</v>
      </c>
      <c r="W264" s="13" t="n">
        <v>0.136</v>
      </c>
      <c r="X264" s="13" t="n">
        <v>122</v>
      </c>
      <c r="Y264" s="13" t="n">
        <v>94</v>
      </c>
      <c r="Z264" s="13" t="n">
        <v>189</v>
      </c>
      <c r="AA264" s="13" t="n">
        <v>3</v>
      </c>
      <c r="AB264" s="13" t="n">
        <v>10.5</v>
      </c>
      <c r="AC264" s="11" t="inlineStr">
        <is>
          <t xml:space="preserve"> On-Piste All-Mountain</t>
        </is>
      </c>
      <c r="AD264" s="11" t="inlineStr">
        <is>
          <t xml:space="preserve"> Resort Freeride</t>
        </is>
      </c>
      <c r="AE264" s="13" t="n"/>
      <c r="AF264" s="13" t="n"/>
      <c r="AG264" s="13" t="n"/>
    </row>
    <row r="265">
      <c r="A265" s="9" t="inlineStr">
        <is>
          <t>21/22</t>
        </is>
      </c>
      <c r="B265" s="10" t="inlineStr">
        <is>
          <t xml:space="preserve"> Blizzard</t>
        </is>
      </c>
      <c r="C265" s="11" t="inlineStr">
        <is>
          <t>Black Pearl 82</t>
        </is>
      </c>
      <c r="D265" s="13" t="n">
        <v>173</v>
      </c>
      <c r="E265" s="11" t="inlineStr">
        <is>
          <t xml:space="preserve"> Women's</t>
        </is>
      </c>
      <c r="F265" s="13" t="n">
        <v>173</v>
      </c>
      <c r="G265" s="13" t="n">
        <v>171.3</v>
      </c>
      <c r="H265" s="13" t="n">
        <v>138</v>
      </c>
      <c r="I265" s="13" t="n">
        <v>148</v>
      </c>
      <c r="J265" s="13" t="n">
        <v>121</v>
      </c>
      <c r="K265" s="13" t="n">
        <v>81</v>
      </c>
      <c r="L265" s="13" t="n">
        <v>104</v>
      </c>
      <c r="M265" s="13" t="n">
        <v>17</v>
      </c>
      <c r="N265" s="13" t="n">
        <v>1783</v>
      </c>
      <c r="O265" s="13" t="n">
        <v>0.9</v>
      </c>
      <c r="P265" s="13" t="n">
        <v>1600</v>
      </c>
      <c r="Q265" s="13" t="n">
        <v>215</v>
      </c>
      <c r="R265" s="13" t="n">
        <v>109</v>
      </c>
      <c r="S265" s="13" t="n">
        <v>50</v>
      </c>
      <c r="T265" s="13" t="n">
        <v>231</v>
      </c>
      <c r="U265" s="13" t="n">
        <v>7</v>
      </c>
      <c r="V265" s="13" t="n">
        <v>107</v>
      </c>
      <c r="W265" s="13" t="n">
        <v>0.135</v>
      </c>
      <c r="X265" s="13" t="n">
        <v>120</v>
      </c>
      <c r="Y265" s="13" t="n">
        <v>109</v>
      </c>
      <c r="Z265" s="13" t="n">
        <v>111</v>
      </c>
      <c r="AA265" s="13" t="n">
        <v>6</v>
      </c>
      <c r="AB265" s="13" t="n">
        <v>11.4</v>
      </c>
      <c r="AC265" s="11" t="inlineStr">
        <is>
          <t xml:space="preserve"> On-Piste All-Mountain</t>
        </is>
      </c>
      <c r="AD265" s="11" t="inlineStr">
        <is>
          <t xml:space="preserve"> Resort Freeride</t>
        </is>
      </c>
      <c r="AE265" s="13" t="n"/>
      <c r="AF265" s="13" t="n"/>
      <c r="AG265" s="13" t="n"/>
    </row>
    <row r="266">
      <c r="A266" s="9" t="inlineStr">
        <is>
          <t>21/22</t>
        </is>
      </c>
      <c r="B266" s="10" t="inlineStr">
        <is>
          <t xml:space="preserve"> Blizzard</t>
        </is>
      </c>
      <c r="C266" s="11" t="inlineStr">
        <is>
          <t>Black Pearl 88</t>
        </is>
      </c>
      <c r="D266" s="13" t="n">
        <v>147</v>
      </c>
      <c r="E266" s="11" t="inlineStr">
        <is>
          <t xml:space="preserve"> Women's</t>
        </is>
      </c>
      <c r="F266" s="13" t="n">
        <v>147</v>
      </c>
      <c r="G266" s="13" t="n">
        <v>145.4</v>
      </c>
      <c r="H266" s="13" t="n">
        <v>114</v>
      </c>
      <c r="I266" s="13" t="n">
        <v>124</v>
      </c>
      <c r="J266" s="13" t="n">
        <v>125</v>
      </c>
      <c r="K266" s="13" t="n">
        <v>86</v>
      </c>
      <c r="L266" s="13" t="n">
        <v>107</v>
      </c>
      <c r="M266" s="13" t="n">
        <v>11.8</v>
      </c>
      <c r="N266" s="13" t="n">
        <v>1483</v>
      </c>
      <c r="O266" s="13" t="n">
        <v>0.96</v>
      </c>
      <c r="P266" s="13" t="n">
        <v>1422</v>
      </c>
      <c r="Q266" s="13" t="n">
        <v>127</v>
      </c>
      <c r="R266" s="13" t="n">
        <v>62</v>
      </c>
      <c r="S266" s="13" t="n">
        <v>62</v>
      </c>
      <c r="T266" s="13" t="n">
        <v>207</v>
      </c>
      <c r="U266" s="13" t="n">
        <v>7</v>
      </c>
      <c r="V266" s="13" t="n">
        <v>106</v>
      </c>
      <c r="W266" s="13" t="n">
        <v>0.112</v>
      </c>
      <c r="X266" s="13" t="n">
        <v>113</v>
      </c>
      <c r="Y266" s="13" t="n">
        <v>104</v>
      </c>
      <c r="Z266" s="13" t="n">
        <v>95</v>
      </c>
      <c r="AA266" s="13" t="n">
        <v>6</v>
      </c>
      <c r="AB266" s="13" t="n">
        <v>11.1</v>
      </c>
      <c r="AC266" s="11" t="inlineStr">
        <is>
          <t xml:space="preserve"> Resort Freeride</t>
        </is>
      </c>
      <c r="AD266" s="13" t="n"/>
      <c r="AE266" s="13" t="n"/>
      <c r="AF266" s="13" t="n"/>
      <c r="AG266" s="13" t="n"/>
    </row>
    <row r="267">
      <c r="A267" s="9" t="inlineStr">
        <is>
          <t>21/22</t>
        </is>
      </c>
      <c r="B267" s="10" t="inlineStr">
        <is>
          <t xml:space="preserve"> Blizzard</t>
        </is>
      </c>
      <c r="C267" s="11" t="inlineStr">
        <is>
          <t>Black Pearl 88</t>
        </is>
      </c>
      <c r="D267" s="13" t="n">
        <v>153</v>
      </c>
      <c r="E267" s="11" t="inlineStr">
        <is>
          <t xml:space="preserve"> Women's</t>
        </is>
      </c>
      <c r="F267" s="13" t="n">
        <v>153</v>
      </c>
      <c r="G267" s="13" t="n">
        <v>151.6</v>
      </c>
      <c r="H267" s="13" t="n">
        <v>122</v>
      </c>
      <c r="I267" s="13" t="n">
        <v>129</v>
      </c>
      <c r="J267" s="13" t="n">
        <v>125</v>
      </c>
      <c r="K267" s="13" t="n">
        <v>86</v>
      </c>
      <c r="L267" s="13" t="n">
        <v>107</v>
      </c>
      <c r="M267" s="13" t="n">
        <v>13.2</v>
      </c>
      <c r="N267" s="13" t="n">
        <v>1585</v>
      </c>
      <c r="O267" s="13" t="n">
        <v>0.9399999999999999</v>
      </c>
      <c r="P267" s="13" t="n">
        <v>1484</v>
      </c>
      <c r="Q267" s="13" t="n">
        <v>141</v>
      </c>
      <c r="R267" s="13" t="n">
        <v>70</v>
      </c>
      <c r="S267" s="13" t="n">
        <v>60</v>
      </c>
      <c r="T267" s="13" t="n">
        <v>193</v>
      </c>
      <c r="U267" s="13" t="n">
        <v>8</v>
      </c>
      <c r="V267" s="13" t="n">
        <v>99</v>
      </c>
      <c r="W267" s="13" t="n">
        <v>0.135</v>
      </c>
      <c r="X267" s="13" t="n">
        <v>116</v>
      </c>
      <c r="Y267" s="13" t="n">
        <v>105</v>
      </c>
      <c r="Z267" s="13" t="n">
        <v>77</v>
      </c>
      <c r="AA267" s="13" t="n">
        <v>7</v>
      </c>
      <c r="AB267" s="13" t="n">
        <v>11.3</v>
      </c>
      <c r="AC267" s="11" t="inlineStr">
        <is>
          <t xml:space="preserve"> Resort Freeride</t>
        </is>
      </c>
      <c r="AD267" s="13" t="n"/>
      <c r="AE267" s="13" t="n"/>
      <c r="AF267" s="13" t="n"/>
      <c r="AG267" s="13" t="n"/>
    </row>
    <row r="268">
      <c r="A268" s="9" t="inlineStr">
        <is>
          <t>21/22</t>
        </is>
      </c>
      <c r="B268" s="10" t="inlineStr">
        <is>
          <t xml:space="preserve"> Blizzard</t>
        </is>
      </c>
      <c r="C268" s="11" t="inlineStr">
        <is>
          <t>Black Pearl 88</t>
        </is>
      </c>
      <c r="D268" s="13" t="n">
        <v>159</v>
      </c>
      <c r="E268" s="11" t="inlineStr">
        <is>
          <t xml:space="preserve"> Women's</t>
        </is>
      </c>
      <c r="F268" s="13" t="n">
        <v>159</v>
      </c>
      <c r="G268" s="13" t="n">
        <v>157.8</v>
      </c>
      <c r="H268" s="13" t="n">
        <v>126</v>
      </c>
      <c r="I268" s="13" t="n">
        <v>134</v>
      </c>
      <c r="J268" s="13" t="n">
        <v>126</v>
      </c>
      <c r="K268" s="13" t="n">
        <v>86</v>
      </c>
      <c r="L268" s="13" t="n">
        <v>108</v>
      </c>
      <c r="M268" s="13" t="n">
        <v>13.9</v>
      </c>
      <c r="N268" s="13" t="n">
        <v>1654</v>
      </c>
      <c r="O268" s="13" t="n">
        <v>0.9399999999999999</v>
      </c>
      <c r="P268" s="13" t="n">
        <v>1549</v>
      </c>
      <c r="Q268" s="13" t="n">
        <v>151</v>
      </c>
      <c r="R268" s="13" t="n">
        <v>74</v>
      </c>
      <c r="S268" s="13" t="n">
        <v>59</v>
      </c>
      <c r="T268" s="13" t="n">
        <v>219</v>
      </c>
      <c r="U268" s="13" t="n">
        <v>7</v>
      </c>
      <c r="V268" s="13" t="n">
        <v>99</v>
      </c>
      <c r="W268" s="13" t="n">
        <v>0.126</v>
      </c>
      <c r="X268" s="13" t="n">
        <v>124</v>
      </c>
      <c r="Y268" s="13" t="n">
        <v>112</v>
      </c>
      <c r="Z268" s="13" t="n">
        <v>95</v>
      </c>
      <c r="AA268" s="13" t="n">
        <v>8</v>
      </c>
      <c r="AB268" s="13" t="n">
        <v>11.4</v>
      </c>
      <c r="AC268" s="11" t="inlineStr">
        <is>
          <t xml:space="preserve"> Resort Freeride</t>
        </is>
      </c>
      <c r="AD268" s="13" t="n"/>
      <c r="AE268" s="13" t="n"/>
      <c r="AF268" s="13" t="n"/>
      <c r="AG268" s="13" t="n"/>
    </row>
    <row r="269">
      <c r="A269" s="9" t="inlineStr">
        <is>
          <t>21/22</t>
        </is>
      </c>
      <c r="B269" s="10" t="inlineStr">
        <is>
          <t xml:space="preserve"> Blizzard</t>
        </is>
      </c>
      <c r="C269" s="11" t="inlineStr">
        <is>
          <t>Black Pearl 88</t>
        </is>
      </c>
      <c r="D269" s="13" t="n">
        <v>165</v>
      </c>
      <c r="E269" s="11" t="inlineStr">
        <is>
          <t xml:space="preserve"> Women's</t>
        </is>
      </c>
      <c r="F269" s="13" t="n">
        <v>165</v>
      </c>
      <c r="G269" s="13" t="n">
        <v>163.7</v>
      </c>
      <c r="H269" s="13" t="n">
        <v>133</v>
      </c>
      <c r="I269" s="13" t="n">
        <v>141</v>
      </c>
      <c r="J269" s="13" t="n">
        <v>128</v>
      </c>
      <c r="K269" s="13" t="n">
        <v>86</v>
      </c>
      <c r="L269" s="13" t="n">
        <v>109</v>
      </c>
      <c r="M269" s="13" t="n">
        <v>14.9</v>
      </c>
      <c r="N269" s="13" t="n">
        <v>1757</v>
      </c>
      <c r="O269" s="13" t="n">
        <v>0.92</v>
      </c>
      <c r="P269" s="13" t="n">
        <v>1613</v>
      </c>
      <c r="Q269" s="13" t="n">
        <v>177</v>
      </c>
      <c r="R269" s="13" t="n">
        <v>91</v>
      </c>
      <c r="S269" s="13" t="n">
        <v>63</v>
      </c>
      <c r="T269" s="13" t="n">
        <v>209</v>
      </c>
      <c r="U269" s="13" t="n">
        <v>7</v>
      </c>
      <c r="V269" s="13" t="n">
        <v>96</v>
      </c>
      <c r="W269" s="13" t="n">
        <v>0.118</v>
      </c>
      <c r="X269" s="13" t="n">
        <v>123</v>
      </c>
      <c r="Y269" s="13" t="n">
        <v>106</v>
      </c>
      <c r="Z269" s="13" t="n">
        <v>86</v>
      </c>
      <c r="AA269" s="13" t="n">
        <v>8</v>
      </c>
      <c r="AB269" s="13" t="n">
        <v>11.1</v>
      </c>
      <c r="AC269" s="11" t="inlineStr">
        <is>
          <t xml:space="preserve"> Resort Freeride</t>
        </is>
      </c>
      <c r="AD269" s="13" t="n"/>
      <c r="AE269" s="13" t="n"/>
      <c r="AF269" s="13" t="n"/>
      <c r="AG269" s="13" t="n"/>
    </row>
    <row r="270">
      <c r="A270" s="9" t="inlineStr">
        <is>
          <t>21/22</t>
        </is>
      </c>
      <c r="B270" s="10" t="inlineStr">
        <is>
          <t xml:space="preserve"> Blizzard</t>
        </is>
      </c>
      <c r="C270" s="11" t="inlineStr">
        <is>
          <t>Black Pearl 88</t>
        </is>
      </c>
      <c r="D270" s="13" t="n">
        <v>171</v>
      </c>
      <c r="E270" s="11" t="inlineStr">
        <is>
          <t xml:space="preserve"> Women's</t>
        </is>
      </c>
      <c r="F270" s="13" t="n">
        <v>171</v>
      </c>
      <c r="G270" s="13" t="n">
        <v>172.4</v>
      </c>
      <c r="H270" s="13" t="n">
        <v>137</v>
      </c>
      <c r="I270" s="13" t="n">
        <v>147</v>
      </c>
      <c r="J270" s="13" t="n">
        <v>127</v>
      </c>
      <c r="K270" s="13" t="n">
        <v>86</v>
      </c>
      <c r="L270" s="13" t="n">
        <v>109</v>
      </c>
      <c r="M270" s="13" t="n">
        <v>16</v>
      </c>
      <c r="N270" s="13" t="n">
        <v>1893</v>
      </c>
      <c r="O270" s="13" t="n">
        <v>0.89</v>
      </c>
      <c r="P270" s="13" t="n">
        <v>1689</v>
      </c>
      <c r="Q270" s="13" t="n">
        <v>224</v>
      </c>
      <c r="R270" s="13" t="n">
        <v>103</v>
      </c>
      <c r="S270" s="13" t="n">
        <v>58</v>
      </c>
      <c r="T270" s="13" t="n">
        <v>217</v>
      </c>
      <c r="U270" s="13" t="n">
        <v>12</v>
      </c>
      <c r="V270" s="13" t="n">
        <v>140</v>
      </c>
      <c r="W270" s="13" t="n">
        <v>0.215</v>
      </c>
      <c r="X270" s="13" t="n">
        <v>118</v>
      </c>
      <c r="Y270" s="13" t="n">
        <v>134</v>
      </c>
      <c r="Z270" s="13" t="n">
        <v>99</v>
      </c>
      <c r="AA270" s="13" t="n">
        <v>6</v>
      </c>
      <c r="AB270" s="13" t="n">
        <v>9.699999999999999</v>
      </c>
      <c r="AC270" s="11" t="inlineStr">
        <is>
          <t xml:space="preserve"> Resort Freeride</t>
        </is>
      </c>
      <c r="AD270" s="13" t="n"/>
      <c r="AE270" s="13" t="n"/>
      <c r="AF270" s="13" t="n"/>
      <c r="AG270" s="13" t="n"/>
    </row>
    <row r="271">
      <c r="A271" s="9" t="inlineStr">
        <is>
          <t>21/22</t>
        </is>
      </c>
      <c r="B271" s="10" t="inlineStr">
        <is>
          <t xml:space="preserve"> Blizzard</t>
        </is>
      </c>
      <c r="C271" s="11" t="inlineStr">
        <is>
          <t>Black Pearl 88</t>
        </is>
      </c>
      <c r="D271" s="13" t="n">
        <v>177</v>
      </c>
      <c r="E271" s="11" t="inlineStr">
        <is>
          <t xml:space="preserve"> Women's</t>
        </is>
      </c>
      <c r="F271" s="13" t="n">
        <v>177</v>
      </c>
      <c r="G271" s="13" t="n">
        <v>175.8</v>
      </c>
      <c r="H271" s="13" t="n">
        <v>145</v>
      </c>
      <c r="I271" s="13" t="n">
        <v>153</v>
      </c>
      <c r="J271" s="13" t="n">
        <v>127</v>
      </c>
      <c r="K271" s="13" t="n">
        <v>86</v>
      </c>
      <c r="L271" s="13" t="n">
        <v>109</v>
      </c>
      <c r="M271" s="13" t="n">
        <v>17.7</v>
      </c>
      <c r="N271" s="13" t="n">
        <v>1933</v>
      </c>
      <c r="O271" s="13" t="n">
        <v>0.89</v>
      </c>
      <c r="P271" s="13" t="n">
        <v>1730</v>
      </c>
      <c r="Q271" s="13" t="n">
        <v>225</v>
      </c>
      <c r="R271" s="13" t="n">
        <v>109</v>
      </c>
      <c r="S271" s="13" t="n">
        <v>57</v>
      </c>
      <c r="T271" s="13" t="n">
        <v>209</v>
      </c>
      <c r="U271" s="13" t="n">
        <v>6</v>
      </c>
      <c r="V271" s="13" t="n">
        <v>95</v>
      </c>
      <c r="W271" s="13" t="n">
        <v>0.111</v>
      </c>
      <c r="X271" s="13" t="n">
        <v>127</v>
      </c>
      <c r="Y271" s="13" t="n">
        <v>97</v>
      </c>
      <c r="Z271" s="13" t="n">
        <v>83</v>
      </c>
      <c r="AA271" s="13" t="n">
        <v>9</v>
      </c>
      <c r="AB271" s="13" t="n">
        <v>11</v>
      </c>
      <c r="AC271" s="11" t="inlineStr">
        <is>
          <t xml:space="preserve"> Resort Freeride</t>
        </is>
      </c>
      <c r="AD271" s="13" t="n"/>
      <c r="AE271" s="13" t="n"/>
      <c r="AF271" s="13" t="n"/>
      <c r="AG271" s="13" t="n"/>
    </row>
    <row r="272">
      <c r="A272" s="9" t="inlineStr">
        <is>
          <t>21/22</t>
        </is>
      </c>
      <c r="B272" s="10" t="inlineStr">
        <is>
          <t xml:space="preserve"> Blizzard</t>
        </is>
      </c>
      <c r="C272" s="11" t="inlineStr">
        <is>
          <t>Black Pearl 97</t>
        </is>
      </c>
      <c r="D272" s="13" t="n">
        <v>153</v>
      </c>
      <c r="E272" s="11" t="inlineStr">
        <is>
          <t xml:space="preserve"> Women's</t>
        </is>
      </c>
      <c r="F272" s="13" t="n">
        <v>153</v>
      </c>
      <c r="G272" s="13" t="n">
        <v>151.4</v>
      </c>
      <c r="H272" s="13" t="n">
        <v>119</v>
      </c>
      <c r="I272" s="13" t="n">
        <v>128</v>
      </c>
      <c r="J272" s="13" t="n">
        <v>134</v>
      </c>
      <c r="K272" s="13" t="n">
        <v>96</v>
      </c>
      <c r="L272" s="13" t="n">
        <v>116</v>
      </c>
      <c r="M272" s="13" t="n">
        <v>13.7</v>
      </c>
      <c r="N272" s="13" t="n">
        <v>1655</v>
      </c>
      <c r="O272" s="13" t="n">
        <v>0.98</v>
      </c>
      <c r="P272" s="13" t="n">
        <v>1626</v>
      </c>
      <c r="Q272" s="13" t="n">
        <v>135</v>
      </c>
      <c r="R272" s="13" t="n">
        <v>72</v>
      </c>
      <c r="S272" s="13" t="n">
        <v>63</v>
      </c>
      <c r="T272" s="13" t="n">
        <v>222</v>
      </c>
      <c r="U272" s="13" t="n">
        <v>8</v>
      </c>
      <c r="V272" s="13" t="n">
        <v>104</v>
      </c>
      <c r="W272" s="13" t="n">
        <v>0.124</v>
      </c>
      <c r="X272" s="13" t="n">
        <v>122</v>
      </c>
      <c r="Y272" s="13" t="n">
        <v>111</v>
      </c>
      <c r="Z272" s="13" t="n">
        <v>100</v>
      </c>
      <c r="AA272" s="13" t="n">
        <v>5</v>
      </c>
      <c r="AB272" s="13" t="n">
        <v>11.2</v>
      </c>
      <c r="AC272" s="11" t="inlineStr">
        <is>
          <t xml:space="preserve"> Resort Freeride</t>
        </is>
      </c>
      <c r="AD272" s="13" t="n"/>
      <c r="AE272" s="13" t="n"/>
      <c r="AF272" s="13" t="n"/>
      <c r="AG272" s="13" t="n"/>
    </row>
    <row r="273">
      <c r="A273" s="9" t="inlineStr">
        <is>
          <t>21/22</t>
        </is>
      </c>
      <c r="B273" s="10" t="inlineStr">
        <is>
          <t xml:space="preserve"> Blizzard</t>
        </is>
      </c>
      <c r="C273" s="11" t="inlineStr">
        <is>
          <t>Black Pearl 97</t>
        </is>
      </c>
      <c r="D273" s="13" t="n">
        <v>159</v>
      </c>
      <c r="E273" s="11" t="inlineStr">
        <is>
          <t xml:space="preserve"> Women's</t>
        </is>
      </c>
      <c r="F273" s="13" t="n">
        <v>159</v>
      </c>
      <c r="G273" s="13" t="n">
        <v>157.7</v>
      </c>
      <c r="H273" s="13" t="n">
        <v>124</v>
      </c>
      <c r="I273" s="13" t="n">
        <v>134</v>
      </c>
      <c r="J273" s="13" t="n">
        <v>135</v>
      </c>
      <c r="K273" s="13" t="n">
        <v>96</v>
      </c>
      <c r="L273" s="13" t="n">
        <v>117</v>
      </c>
      <c r="M273" s="13" t="n">
        <v>14.4</v>
      </c>
      <c r="N273" s="13" t="n">
        <v>1753</v>
      </c>
      <c r="O273" s="13" t="n">
        <v>0.97</v>
      </c>
      <c r="P273" s="13" t="n">
        <v>1700</v>
      </c>
      <c r="Q273" s="13" t="n">
        <v>155</v>
      </c>
      <c r="R273" s="13" t="n">
        <v>83</v>
      </c>
      <c r="S273" s="13" t="n">
        <v>59</v>
      </c>
      <c r="T273" s="13" t="n">
        <v>230</v>
      </c>
      <c r="U273" s="13" t="n">
        <v>7</v>
      </c>
      <c r="V273" s="13" t="n">
        <v>112</v>
      </c>
      <c r="W273" s="13" t="n">
        <v>0.126</v>
      </c>
      <c r="X273" s="13" t="n">
        <v>130</v>
      </c>
      <c r="Y273" s="13" t="n">
        <v>109</v>
      </c>
      <c r="Z273" s="13" t="n">
        <v>99</v>
      </c>
      <c r="AA273" s="13" t="n">
        <v>5</v>
      </c>
      <c r="AB273" s="13" t="n">
        <v>11.3</v>
      </c>
      <c r="AC273" s="11" t="inlineStr">
        <is>
          <t xml:space="preserve"> Resort Freeride</t>
        </is>
      </c>
      <c r="AD273" s="13" t="n"/>
      <c r="AE273" s="13" t="n"/>
      <c r="AF273" s="13" t="n"/>
      <c r="AG273" s="13" t="n"/>
    </row>
    <row r="274">
      <c r="A274" s="9" t="inlineStr">
        <is>
          <t>21/22</t>
        </is>
      </c>
      <c r="B274" s="10" t="inlineStr">
        <is>
          <t xml:space="preserve"> Blizzard</t>
        </is>
      </c>
      <c r="C274" s="11" t="inlineStr">
        <is>
          <t>Black Pearl 97</t>
        </is>
      </c>
      <c r="D274" s="13" t="n">
        <v>165</v>
      </c>
      <c r="E274" s="11" t="inlineStr">
        <is>
          <t xml:space="preserve"> Women's</t>
        </is>
      </c>
      <c r="F274" s="13" t="n">
        <v>165</v>
      </c>
      <c r="G274" s="13" t="n">
        <v>163.8</v>
      </c>
      <c r="H274" s="13" t="n">
        <v>130</v>
      </c>
      <c r="I274" s="13" t="n">
        <v>140</v>
      </c>
      <c r="J274" s="13" t="n">
        <v>136</v>
      </c>
      <c r="K274" s="13" t="n">
        <v>96</v>
      </c>
      <c r="L274" s="13" t="n">
        <v>118</v>
      </c>
      <c r="M274" s="13" t="n">
        <v>15.3</v>
      </c>
      <c r="N274" s="13" t="n">
        <v>1911</v>
      </c>
      <c r="O274" s="13" t="n">
        <v>0.92</v>
      </c>
      <c r="P274" s="13" t="n">
        <v>1766</v>
      </c>
      <c r="Q274" s="13" t="n">
        <v>191</v>
      </c>
      <c r="R274" s="13" t="n">
        <v>95</v>
      </c>
      <c r="S274" s="13" t="n">
        <v>59</v>
      </c>
      <c r="T274" s="13" t="n">
        <v>228</v>
      </c>
      <c r="U274" s="13" t="n">
        <v>9</v>
      </c>
      <c r="V274" s="13" t="n">
        <v>112</v>
      </c>
      <c r="W274" s="13" t="n">
        <v>0.16</v>
      </c>
      <c r="X274" s="13" t="n">
        <v>126</v>
      </c>
      <c r="Y274" s="13" t="n">
        <v>108</v>
      </c>
      <c r="Z274" s="13" t="n">
        <v>102</v>
      </c>
      <c r="AA274" s="13" t="n">
        <v>6</v>
      </c>
      <c r="AB274" s="13" t="n">
        <v>11.4</v>
      </c>
      <c r="AC274" s="11" t="inlineStr">
        <is>
          <t xml:space="preserve"> Resort Freeride</t>
        </is>
      </c>
      <c r="AD274" s="13" t="n"/>
      <c r="AE274" s="13" t="n"/>
      <c r="AF274" s="13" t="n"/>
      <c r="AG274" s="13" t="n"/>
    </row>
    <row r="275">
      <c r="A275" s="9" t="inlineStr">
        <is>
          <t>21/22</t>
        </is>
      </c>
      <c r="B275" s="10" t="inlineStr">
        <is>
          <t xml:space="preserve"> Blizzard</t>
        </is>
      </c>
      <c r="C275" s="11" t="inlineStr">
        <is>
          <t>Black Pearl 97</t>
        </is>
      </c>
      <c r="D275" s="13" t="n">
        <v>171</v>
      </c>
      <c r="E275" s="11" t="inlineStr">
        <is>
          <t xml:space="preserve"> Women's</t>
        </is>
      </c>
      <c r="F275" s="13" t="n">
        <v>171</v>
      </c>
      <c r="G275" s="13" t="n">
        <v>169.8</v>
      </c>
      <c r="H275" s="13" t="n">
        <v>134</v>
      </c>
      <c r="I275" s="13" t="n">
        <v>146</v>
      </c>
      <c r="J275" s="13" t="n">
        <v>136</v>
      </c>
      <c r="K275" s="13" t="n">
        <v>96</v>
      </c>
      <c r="L275" s="13" t="n">
        <v>118</v>
      </c>
      <c r="M275" s="13" t="n">
        <v>16.8</v>
      </c>
      <c r="N275" s="13" t="n">
        <v>1926</v>
      </c>
      <c r="O275" s="13" t="n">
        <v>0.95</v>
      </c>
      <c r="P275" s="13" t="n">
        <v>1836</v>
      </c>
      <c r="Q275" s="13" t="n">
        <v>190</v>
      </c>
      <c r="R275" s="13" t="n">
        <v>105</v>
      </c>
      <c r="S275" s="13" t="n">
        <v>57</v>
      </c>
      <c r="T275" s="13" t="n">
        <v>244</v>
      </c>
      <c r="U275" s="13" t="n">
        <v>8</v>
      </c>
      <c r="V275" s="13" t="n">
        <v>116</v>
      </c>
      <c r="W275" s="13" t="n">
        <v>0.14</v>
      </c>
      <c r="X275" s="13" t="n">
        <v>128</v>
      </c>
      <c r="Y275" s="13" t="n">
        <v>112</v>
      </c>
      <c r="Z275" s="13" t="n">
        <v>116</v>
      </c>
      <c r="AA275" s="13" t="n">
        <v>4</v>
      </c>
      <c r="AB275" s="13" t="n">
        <v>11.4</v>
      </c>
      <c r="AC275" s="11" t="inlineStr">
        <is>
          <t xml:space="preserve"> Resort Freeride</t>
        </is>
      </c>
      <c r="AD275" s="13" t="n"/>
      <c r="AE275" s="13" t="n"/>
      <c r="AF275" s="13" t="n"/>
      <c r="AG275" s="13" t="n"/>
    </row>
    <row r="276">
      <c r="A276" s="9" t="inlineStr">
        <is>
          <t>21/22</t>
        </is>
      </c>
      <c r="B276" s="10" t="inlineStr">
        <is>
          <t xml:space="preserve"> Blizzard</t>
        </is>
      </c>
      <c r="C276" s="11" t="inlineStr">
        <is>
          <t>Bonafide 97</t>
        </is>
      </c>
      <c r="D276" s="13" t="n">
        <v>171</v>
      </c>
      <c r="E276" s="11" t="inlineStr">
        <is>
          <t xml:space="preserve"> Unisex</t>
        </is>
      </c>
      <c r="F276" s="13" t="n">
        <v>171</v>
      </c>
      <c r="G276" s="13" t="n">
        <v>169.8</v>
      </c>
      <c r="H276" s="13" t="n">
        <v>140</v>
      </c>
      <c r="I276" s="13" t="n">
        <v>146</v>
      </c>
      <c r="J276" s="13" t="n">
        <v>136</v>
      </c>
      <c r="K276" s="13" t="n">
        <v>96</v>
      </c>
      <c r="L276" s="13" t="n">
        <v>117</v>
      </c>
      <c r="M276" s="13" t="n">
        <v>16.7</v>
      </c>
      <c r="N276" s="13" t="n">
        <v>2154</v>
      </c>
      <c r="O276" s="13" t="n">
        <v>0.85</v>
      </c>
      <c r="P276" s="13" t="n">
        <v>1824</v>
      </c>
      <c r="Q276" s="13" t="n">
        <v>170</v>
      </c>
      <c r="R276" s="13" t="n">
        <v>107</v>
      </c>
      <c r="S276" s="13" t="n">
        <v>51</v>
      </c>
      <c r="T276" s="13" t="n">
        <v>195</v>
      </c>
      <c r="U276" s="13" t="n">
        <v>7</v>
      </c>
      <c r="V276" s="13" t="n">
        <v>98</v>
      </c>
      <c r="W276" s="13" t="n">
        <v>0.132</v>
      </c>
      <c r="X276" s="13" t="n">
        <v>129</v>
      </c>
      <c r="Y276" s="13" t="n">
        <v>105</v>
      </c>
      <c r="Z276" s="13" t="n">
        <v>66</v>
      </c>
      <c r="AA276" s="13" t="n">
        <v>9</v>
      </c>
      <c r="AB276" s="13" t="n">
        <v>11.5</v>
      </c>
      <c r="AC276" s="11" t="inlineStr">
        <is>
          <t xml:space="preserve"> Resort Freeride</t>
        </is>
      </c>
      <c r="AD276" s="13" t="n"/>
      <c r="AE276" s="13" t="n"/>
      <c r="AF276" s="13" t="n"/>
      <c r="AG276" s="13" t="n"/>
    </row>
    <row r="277">
      <c r="A277" s="9" t="inlineStr">
        <is>
          <t>21/22</t>
        </is>
      </c>
      <c r="B277" s="10" t="inlineStr">
        <is>
          <t xml:space="preserve"> Blizzard</t>
        </is>
      </c>
      <c r="C277" s="11" t="inlineStr">
        <is>
          <t>Bonafide 97</t>
        </is>
      </c>
      <c r="D277" s="13" t="n">
        <v>177</v>
      </c>
      <c r="E277" s="11" t="inlineStr">
        <is>
          <t xml:space="preserve"> Unisex</t>
        </is>
      </c>
      <c r="F277" s="13" t="n">
        <v>177</v>
      </c>
      <c r="G277" s="13" t="n">
        <v>176.1</v>
      </c>
      <c r="H277" s="13" t="n">
        <v>148</v>
      </c>
      <c r="I277" s="13" t="n">
        <v>151</v>
      </c>
      <c r="J277" s="13" t="n">
        <v>136</v>
      </c>
      <c r="K277" s="13" t="n">
        <v>96</v>
      </c>
      <c r="L277" s="13" t="n">
        <v>118</v>
      </c>
      <c r="M277" s="13" t="n">
        <v>18.2</v>
      </c>
      <c r="N277" s="13" t="n">
        <v>2255</v>
      </c>
      <c r="O277" s="13" t="n">
        <v>0.84</v>
      </c>
      <c r="P277" s="13" t="n">
        <v>1898</v>
      </c>
      <c r="Q277" s="13" t="n">
        <v>192</v>
      </c>
      <c r="R277" s="13" t="n">
        <v>121</v>
      </c>
      <c r="S277" s="13" t="n">
        <v>44</v>
      </c>
      <c r="T277" s="13" t="n">
        <v>188</v>
      </c>
      <c r="U277" s="13" t="n">
        <v>6</v>
      </c>
      <c r="V277" s="13" t="n">
        <v>98</v>
      </c>
      <c r="W277" s="13" t="n">
        <v>0.133</v>
      </c>
      <c r="X277" s="13" t="n">
        <v>134</v>
      </c>
      <c r="Y277" s="13" t="n">
        <v>113</v>
      </c>
      <c r="Z277" s="13" t="n">
        <v>54</v>
      </c>
      <c r="AA277" s="13" t="n">
        <v>10</v>
      </c>
      <c r="AB277" s="13" t="n">
        <v>11.3</v>
      </c>
      <c r="AC277" s="11" t="inlineStr">
        <is>
          <t xml:space="preserve"> Resort Freeride</t>
        </is>
      </c>
      <c r="AD277" s="13" t="n"/>
      <c r="AE277" s="13" t="n"/>
      <c r="AF277" s="13" t="n"/>
      <c r="AG277" s="13" t="n"/>
    </row>
    <row r="278">
      <c r="A278" s="9" t="inlineStr">
        <is>
          <t>21/22</t>
        </is>
      </c>
      <c r="B278" s="10" t="inlineStr">
        <is>
          <t xml:space="preserve"> Blizzard</t>
        </is>
      </c>
      <c r="C278" s="11" t="inlineStr">
        <is>
          <t>Bonafide 97</t>
        </is>
      </c>
      <c r="D278" s="13" t="n">
        <v>183</v>
      </c>
      <c r="E278" s="11" t="inlineStr">
        <is>
          <t xml:space="preserve"> Unisex</t>
        </is>
      </c>
      <c r="F278" s="13" t="n">
        <v>183</v>
      </c>
      <c r="G278" s="13" t="n">
        <v>181.8</v>
      </c>
      <c r="H278" s="13" t="n">
        <v>149</v>
      </c>
      <c r="I278" s="13" t="n">
        <v>157</v>
      </c>
      <c r="J278" s="13" t="n">
        <v>136</v>
      </c>
      <c r="K278" s="13" t="n">
        <v>96</v>
      </c>
      <c r="L278" s="13" t="n">
        <v>117</v>
      </c>
      <c r="M278" s="13" t="n">
        <v>19.7</v>
      </c>
      <c r="N278" s="13" t="n">
        <v>2287</v>
      </c>
      <c r="O278" s="13" t="n">
        <v>0.86</v>
      </c>
      <c r="P278" s="13" t="n">
        <v>1958</v>
      </c>
      <c r="Q278" s="13" t="n">
        <v>230</v>
      </c>
      <c r="R278" s="13" t="n">
        <v>136</v>
      </c>
      <c r="S278" s="13" t="n">
        <v>52</v>
      </c>
      <c r="T278" s="13" t="n">
        <v>226</v>
      </c>
      <c r="U278" s="13" t="n">
        <v>6</v>
      </c>
      <c r="V278" s="13" t="n">
        <v>101</v>
      </c>
      <c r="W278" s="13" t="n">
        <v>0.116</v>
      </c>
      <c r="X278" s="13" t="n">
        <v>133</v>
      </c>
      <c r="Y278" s="13" t="n">
        <v>119</v>
      </c>
      <c r="Z278" s="13" t="n">
        <v>93</v>
      </c>
      <c r="AA278" s="13" t="n">
        <v>8</v>
      </c>
      <c r="AB278" s="13" t="n">
        <v>11.3</v>
      </c>
      <c r="AC278" s="11" t="inlineStr">
        <is>
          <t xml:space="preserve"> Resort Freeride</t>
        </is>
      </c>
      <c r="AD278" s="13" t="n"/>
      <c r="AE278" s="13" t="n"/>
      <c r="AF278" s="13" t="n"/>
      <c r="AG278" s="13" t="n"/>
    </row>
    <row r="279">
      <c r="A279" s="9" t="inlineStr">
        <is>
          <t>21/22</t>
        </is>
      </c>
      <c r="B279" s="10" t="inlineStr">
        <is>
          <t xml:space="preserve"> Blizzard</t>
        </is>
      </c>
      <c r="C279" s="11" t="inlineStr">
        <is>
          <t>Brahma 82</t>
        </is>
      </c>
      <c r="D279" s="13" t="n">
        <v>173</v>
      </c>
      <c r="E279" s="11" t="inlineStr">
        <is>
          <t xml:space="preserve"> Unisex</t>
        </is>
      </c>
      <c r="F279" s="13" t="n">
        <v>173</v>
      </c>
      <c r="G279" s="13" t="n">
        <v>171.1</v>
      </c>
      <c r="H279" s="13" t="n">
        <v>136</v>
      </c>
      <c r="I279" s="13" t="n">
        <v>147</v>
      </c>
      <c r="J279" s="13" t="n">
        <v>121</v>
      </c>
      <c r="K279" s="13" t="n">
        <v>81</v>
      </c>
      <c r="L279" s="13" t="n">
        <v>104</v>
      </c>
      <c r="M279" s="13" t="n">
        <v>17</v>
      </c>
      <c r="N279" s="13" t="n">
        <v>1888</v>
      </c>
      <c r="O279" s="13" t="n">
        <v>0.85</v>
      </c>
      <c r="P279" s="13" t="n">
        <v>1600</v>
      </c>
      <c r="Q279" s="13" t="n">
        <v>190</v>
      </c>
      <c r="R279" s="13" t="n">
        <v>122</v>
      </c>
      <c r="S279" s="13" t="n">
        <v>53</v>
      </c>
      <c r="T279" s="13" t="n">
        <v>251</v>
      </c>
      <c r="U279" s="13" t="n">
        <v>5</v>
      </c>
      <c r="V279" s="13" t="n">
        <v>97</v>
      </c>
      <c r="W279" s="13" t="n">
        <v>0.103</v>
      </c>
      <c r="X279" s="13" t="n">
        <v>126</v>
      </c>
      <c r="Y279" s="13" t="n">
        <v>112</v>
      </c>
      <c r="Z279" s="13" t="n">
        <v>125</v>
      </c>
      <c r="AA279" s="13" t="n">
        <v>4</v>
      </c>
      <c r="AB279" s="13" t="n">
        <v>10.6</v>
      </c>
      <c r="AC279" s="11" t="inlineStr">
        <is>
          <t xml:space="preserve"> On-Piste Carving</t>
        </is>
      </c>
      <c r="AD279" s="11" t="inlineStr">
        <is>
          <t xml:space="preserve"> On-Piste All-Mountain</t>
        </is>
      </c>
      <c r="AE279" s="11" t="inlineStr">
        <is>
          <t xml:space="preserve"> Resort Freeride</t>
        </is>
      </c>
      <c r="AF279" s="13" t="n"/>
      <c r="AG279" s="13" t="n"/>
    </row>
    <row r="280">
      <c r="A280" s="9" t="inlineStr">
        <is>
          <t>21/22</t>
        </is>
      </c>
      <c r="B280" s="10" t="inlineStr">
        <is>
          <t xml:space="preserve"> Blizzard</t>
        </is>
      </c>
      <c r="C280" s="11" t="inlineStr">
        <is>
          <t>Brahma 82</t>
        </is>
      </c>
      <c r="D280" s="13" t="n">
        <v>180</v>
      </c>
      <c r="E280" s="11" t="inlineStr">
        <is>
          <t xml:space="preserve"> Unisex</t>
        </is>
      </c>
      <c r="F280" s="13" t="n">
        <v>180</v>
      </c>
      <c r="G280" s="13" t="n">
        <v>178</v>
      </c>
      <c r="H280" s="13" t="n">
        <v>148</v>
      </c>
      <c r="I280" s="13" t="n">
        <v>156</v>
      </c>
      <c r="J280" s="13" t="n">
        <v>120</v>
      </c>
      <c r="K280" s="13" t="n">
        <v>81</v>
      </c>
      <c r="L280" s="13" t="n">
        <v>104</v>
      </c>
      <c r="M280" s="13" t="n">
        <v>19</v>
      </c>
      <c r="N280" s="13" t="n">
        <v>2010</v>
      </c>
      <c r="O280" s="13" t="n">
        <v>0.83</v>
      </c>
      <c r="P280" s="13" t="n">
        <v>1661</v>
      </c>
      <c r="Q280" s="13" t="n">
        <v>210</v>
      </c>
      <c r="R280" s="13" t="n">
        <v>127</v>
      </c>
      <c r="S280" s="13" t="n">
        <v>53</v>
      </c>
      <c r="T280" s="13" t="n">
        <v>220</v>
      </c>
      <c r="U280" s="13" t="n">
        <v>5</v>
      </c>
      <c r="V280" s="13" t="n">
        <v>81</v>
      </c>
      <c r="W280" s="13" t="n">
        <v>0.096</v>
      </c>
      <c r="X280" s="13" t="n">
        <v>119</v>
      </c>
      <c r="Y280" s="13" t="n">
        <v>106</v>
      </c>
      <c r="Z280" s="13" t="n">
        <v>102</v>
      </c>
      <c r="AA280" s="13" t="n">
        <v>9</v>
      </c>
      <c r="AB280" s="13" t="n">
        <v>11.2</v>
      </c>
      <c r="AC280" s="11" t="inlineStr">
        <is>
          <t xml:space="preserve"> On-Piste Carving</t>
        </is>
      </c>
      <c r="AD280" s="11" t="inlineStr">
        <is>
          <t xml:space="preserve"> On-Piste All-Mountain</t>
        </is>
      </c>
      <c r="AE280" s="11" t="inlineStr">
        <is>
          <t xml:space="preserve"> Resort Freeride</t>
        </is>
      </c>
      <c r="AF280" s="13" t="n"/>
      <c r="AG280" s="13" t="n"/>
    </row>
    <row r="281">
      <c r="A281" s="9" t="inlineStr">
        <is>
          <t>21/22</t>
        </is>
      </c>
      <c r="B281" s="10" t="inlineStr">
        <is>
          <t xml:space="preserve"> Blizzard</t>
        </is>
      </c>
      <c r="C281" s="11" t="inlineStr">
        <is>
          <t>Brahma 82</t>
        </is>
      </c>
      <c r="D281" s="13" t="n">
        <v>187</v>
      </c>
      <c r="E281" s="11" t="inlineStr">
        <is>
          <t xml:space="preserve"> Unisex</t>
        </is>
      </c>
      <c r="F281" s="13" t="n">
        <v>187</v>
      </c>
      <c r="G281" s="13" t="n">
        <v>185</v>
      </c>
      <c r="H281" s="13" t="n">
        <v>150</v>
      </c>
      <c r="I281" s="13" t="n">
        <v>162</v>
      </c>
      <c r="J281" s="13" t="n">
        <v>121</v>
      </c>
      <c r="K281" s="13" t="n">
        <v>81</v>
      </c>
      <c r="L281" s="13" t="n">
        <v>104</v>
      </c>
      <c r="M281" s="13" t="n">
        <v>20.5</v>
      </c>
      <c r="N281" s="13" t="n">
        <v>2080</v>
      </c>
      <c r="O281" s="13" t="n">
        <v>0.83</v>
      </c>
      <c r="P281" s="13" t="n">
        <v>1729</v>
      </c>
      <c r="Q281" s="13" t="n">
        <v>275</v>
      </c>
      <c r="R281" s="13" t="n">
        <v>152</v>
      </c>
      <c r="S281" s="13" t="n">
        <v>55</v>
      </c>
      <c r="T281" s="13" t="n">
        <v>251</v>
      </c>
      <c r="U281" s="13" t="n">
        <v>5</v>
      </c>
      <c r="V281" s="13" t="n">
        <v>95</v>
      </c>
      <c r="W281" s="13" t="n">
        <v>0.08500000000000001</v>
      </c>
      <c r="X281" s="13" t="n">
        <v>122</v>
      </c>
      <c r="Y281" s="13" t="n">
        <v>110</v>
      </c>
      <c r="Z281" s="13" t="n">
        <v>129</v>
      </c>
      <c r="AA281" s="13" t="n">
        <v>4</v>
      </c>
      <c r="AB281" s="13" t="n">
        <v>11.1</v>
      </c>
      <c r="AC281" s="11" t="inlineStr">
        <is>
          <t xml:space="preserve"> On-Piste Carving</t>
        </is>
      </c>
      <c r="AD281" s="11" t="inlineStr">
        <is>
          <t xml:space="preserve"> On-Piste All-Mountain</t>
        </is>
      </c>
      <c r="AE281" s="11" t="inlineStr">
        <is>
          <t xml:space="preserve"> Resort Freeride</t>
        </is>
      </c>
      <c r="AF281" s="13" t="n"/>
      <c r="AG281" s="13" t="n"/>
    </row>
    <row r="282">
      <c r="A282" s="9" t="inlineStr">
        <is>
          <t>21/22</t>
        </is>
      </c>
      <c r="B282" s="10" t="inlineStr">
        <is>
          <t xml:space="preserve"> Blizzard</t>
        </is>
      </c>
      <c r="C282" s="11" t="inlineStr">
        <is>
          <t>Brahma 88</t>
        </is>
      </c>
      <c r="D282" s="13" t="n">
        <v>165</v>
      </c>
      <c r="E282" s="11" t="inlineStr">
        <is>
          <t xml:space="preserve"> Unisex</t>
        </is>
      </c>
      <c r="F282" s="13" t="n">
        <v>165</v>
      </c>
      <c r="G282" s="13" t="n">
        <v>163.5</v>
      </c>
      <c r="H282" s="13" t="n">
        <v>133</v>
      </c>
      <c r="I282" s="13" t="n">
        <v>141</v>
      </c>
      <c r="J282" s="13" t="n">
        <v>128</v>
      </c>
      <c r="K282" s="13" t="n">
        <v>86</v>
      </c>
      <c r="L282" s="13" t="n">
        <v>109</v>
      </c>
      <c r="M282" s="13" t="n">
        <v>14.6</v>
      </c>
      <c r="N282" s="13" t="n">
        <v>1894</v>
      </c>
      <c r="O282" s="13" t="n">
        <v>0.85</v>
      </c>
      <c r="P282" s="13" t="n">
        <v>1618</v>
      </c>
      <c r="Q282" s="13" t="n">
        <v>178</v>
      </c>
      <c r="R282" s="13" t="n">
        <v>89</v>
      </c>
      <c r="S282" s="13" t="n">
        <v>59</v>
      </c>
      <c r="T282" s="13" t="n">
        <v>202</v>
      </c>
      <c r="U282" s="13" t="n">
        <v>7</v>
      </c>
      <c r="V282" s="13" t="n">
        <v>101</v>
      </c>
      <c r="W282" s="13" t="n">
        <v>0.113</v>
      </c>
      <c r="X282" s="13" t="n">
        <v>122</v>
      </c>
      <c r="Y282" s="13" t="n">
        <v>103</v>
      </c>
      <c r="Z282" s="13" t="n">
        <v>80</v>
      </c>
      <c r="AA282" s="13" t="n">
        <v>8</v>
      </c>
      <c r="AB282" s="13" t="n">
        <v>11</v>
      </c>
      <c r="AC282" s="11" t="inlineStr">
        <is>
          <t xml:space="preserve"> Resort Freeride</t>
        </is>
      </c>
      <c r="AD282" s="13" t="n"/>
      <c r="AE282" s="13" t="n"/>
      <c r="AF282" s="13" t="n"/>
      <c r="AG282" s="13" t="n"/>
    </row>
    <row r="283">
      <c r="A283" s="9" t="inlineStr">
        <is>
          <t>21/22</t>
        </is>
      </c>
      <c r="B283" s="10" t="inlineStr">
        <is>
          <t xml:space="preserve"> Blizzard</t>
        </is>
      </c>
      <c r="C283" s="11" t="inlineStr">
        <is>
          <t>Brahma 88</t>
        </is>
      </c>
      <c r="D283" s="13" t="n">
        <v>177</v>
      </c>
      <c r="E283" s="11" t="inlineStr">
        <is>
          <t xml:space="preserve"> Unisex</t>
        </is>
      </c>
      <c r="F283" s="13" t="n">
        <v>177</v>
      </c>
      <c r="G283" s="13" t="n">
        <v>175.9</v>
      </c>
      <c r="H283" s="13" t="n">
        <v>144</v>
      </c>
      <c r="I283" s="13" t="n">
        <v>154</v>
      </c>
      <c r="J283" s="13" t="n">
        <v>128</v>
      </c>
      <c r="K283" s="13" t="n">
        <v>86</v>
      </c>
      <c r="L283" s="13" t="n">
        <v>109</v>
      </c>
      <c r="M283" s="13" t="n">
        <v>17.3</v>
      </c>
      <c r="N283" s="13" t="n">
        <v>2133</v>
      </c>
      <c r="O283" s="13" t="n">
        <v>0.8100000000000001</v>
      </c>
      <c r="P283" s="13" t="n">
        <v>1735</v>
      </c>
      <c r="Q283" s="13" t="n">
        <v>219</v>
      </c>
      <c r="R283" s="13" t="n">
        <v>115</v>
      </c>
      <c r="S283" s="13" t="n">
        <v>53</v>
      </c>
      <c r="T283" s="13" t="n">
        <v>211</v>
      </c>
      <c r="U283" s="13" t="n">
        <v>8</v>
      </c>
      <c r="V283" s="13" t="n">
        <v>112</v>
      </c>
      <c r="W283" s="13" t="n">
        <v>0.147</v>
      </c>
      <c r="X283" s="13" t="n">
        <v>119</v>
      </c>
      <c r="Y283" s="13" t="n">
        <v>99</v>
      </c>
      <c r="Z283" s="13" t="n">
        <v>92</v>
      </c>
      <c r="AA283" s="13" t="n">
        <v>5</v>
      </c>
      <c r="AB283" s="13" t="n">
        <v>11.1</v>
      </c>
      <c r="AC283" s="11" t="inlineStr">
        <is>
          <t xml:space="preserve"> Resort Freeride</t>
        </is>
      </c>
      <c r="AD283" s="13" t="n"/>
      <c r="AE283" s="13" t="n"/>
      <c r="AF283" s="13" t="n"/>
      <c r="AG283" s="13" t="n"/>
    </row>
    <row r="284">
      <c r="A284" s="9" t="inlineStr">
        <is>
          <t>21/22</t>
        </is>
      </c>
      <c r="B284" s="10" t="inlineStr">
        <is>
          <t xml:space="preserve"> Blizzard</t>
        </is>
      </c>
      <c r="C284" s="11" t="inlineStr">
        <is>
          <t>Brahma 88</t>
        </is>
      </c>
      <c r="D284" s="13" t="n">
        <v>183</v>
      </c>
      <c r="E284" s="11" t="inlineStr">
        <is>
          <t xml:space="preserve"> Unisex</t>
        </is>
      </c>
      <c r="F284" s="13" t="n">
        <v>183</v>
      </c>
      <c r="G284" s="13" t="n">
        <v>181.8</v>
      </c>
      <c r="H284" s="13" t="n">
        <v>152</v>
      </c>
      <c r="I284" s="13" t="n">
        <v>159</v>
      </c>
      <c r="J284" s="13" t="n">
        <v>128</v>
      </c>
      <c r="K284" s="13" t="n">
        <v>86</v>
      </c>
      <c r="L284" s="13" t="n">
        <v>110</v>
      </c>
      <c r="M284" s="13" t="n">
        <v>18.8</v>
      </c>
      <c r="N284" s="13" t="n">
        <v>2198</v>
      </c>
      <c r="O284" s="13" t="n">
        <v>0.82</v>
      </c>
      <c r="P284" s="13" t="n">
        <v>1796</v>
      </c>
      <c r="Q284" s="13" t="n">
        <v>229</v>
      </c>
      <c r="R284" s="13" t="n">
        <v>127</v>
      </c>
      <c r="S284" s="13" t="n">
        <v>51</v>
      </c>
      <c r="T284" s="13" t="n">
        <v>205</v>
      </c>
      <c r="U284" s="13" t="n">
        <v>5</v>
      </c>
      <c r="V284" s="13" t="n">
        <v>89</v>
      </c>
      <c r="W284" s="13" t="n">
        <v>0.095</v>
      </c>
      <c r="X284" s="13" t="n">
        <v>122</v>
      </c>
      <c r="Y284" s="13" t="n">
        <v>106</v>
      </c>
      <c r="Z284" s="13" t="n">
        <v>83</v>
      </c>
      <c r="AA284" s="13" t="n">
        <v>11</v>
      </c>
      <c r="AB284" s="13" t="n">
        <v>11.1</v>
      </c>
      <c r="AC284" s="11" t="inlineStr">
        <is>
          <t xml:space="preserve"> Resort Freeride</t>
        </is>
      </c>
      <c r="AD284" s="13" t="n"/>
      <c r="AE284" s="13" t="n"/>
      <c r="AF284" s="13" t="n"/>
      <c r="AG284" s="13" t="n"/>
    </row>
    <row r="285">
      <c r="A285" s="9" t="inlineStr">
        <is>
          <t>21/22</t>
        </is>
      </c>
      <c r="B285" s="10" t="inlineStr">
        <is>
          <t xml:space="preserve"> Blizzard</t>
        </is>
      </c>
      <c r="C285" s="11" t="inlineStr">
        <is>
          <t>Brahma 88</t>
        </is>
      </c>
      <c r="D285" s="13" t="n">
        <v>189</v>
      </c>
      <c r="E285" s="11" t="inlineStr">
        <is>
          <t xml:space="preserve"> Unisex</t>
        </is>
      </c>
      <c r="F285" s="13" t="n">
        <v>189</v>
      </c>
      <c r="G285" s="13" t="n">
        <v>188.1</v>
      </c>
      <c r="H285" s="13" t="n">
        <v>160</v>
      </c>
      <c r="I285" s="13" t="n">
        <v>165</v>
      </c>
      <c r="J285" s="13" t="n">
        <v>127</v>
      </c>
      <c r="K285" s="13" t="n">
        <v>86</v>
      </c>
      <c r="L285" s="13" t="n">
        <v>109</v>
      </c>
      <c r="M285" s="13" t="n">
        <v>20.5</v>
      </c>
      <c r="N285" s="13" t="n">
        <v>2306</v>
      </c>
      <c r="O285" s="13" t="n">
        <v>0.8</v>
      </c>
      <c r="P285" s="13" t="n">
        <v>1848</v>
      </c>
      <c r="Q285" s="13" t="n">
        <v>253</v>
      </c>
      <c r="R285" s="13" t="n">
        <v>139</v>
      </c>
      <c r="S285" s="13" t="n">
        <v>54</v>
      </c>
      <c r="T285" s="13" t="n">
        <v>198</v>
      </c>
      <c r="U285" s="13" t="n">
        <v>4</v>
      </c>
      <c r="V285" s="13" t="n">
        <v>85</v>
      </c>
      <c r="W285" s="13" t="n">
        <v>0.078</v>
      </c>
      <c r="X285" s="13" t="n">
        <v>123</v>
      </c>
      <c r="Y285" s="13" t="n">
        <v>104</v>
      </c>
      <c r="Z285" s="13" t="n">
        <v>75</v>
      </c>
      <c r="AA285" s="13" t="n">
        <v>12</v>
      </c>
      <c r="AB285" s="13" t="n">
        <v>11</v>
      </c>
      <c r="AC285" s="11" t="inlineStr">
        <is>
          <t xml:space="preserve"> Resort Freeride</t>
        </is>
      </c>
      <c r="AD285" s="13" t="n"/>
      <c r="AE285" s="13" t="n"/>
      <c r="AF285" s="13" t="n"/>
      <c r="AG285" s="13" t="n"/>
    </row>
    <row r="286">
      <c r="A286" s="9" t="inlineStr">
        <is>
          <t>21/22</t>
        </is>
      </c>
      <c r="B286" s="10" t="inlineStr">
        <is>
          <t xml:space="preserve"> Blizzard</t>
        </is>
      </c>
      <c r="C286" s="11" t="inlineStr">
        <is>
          <t>Cochise 106</t>
        </is>
      </c>
      <c r="D286" s="13" t="n">
        <v>177</v>
      </c>
      <c r="E286" s="11" t="inlineStr">
        <is>
          <t xml:space="preserve"> Unisex</t>
        </is>
      </c>
      <c r="F286" s="13" t="n">
        <v>177</v>
      </c>
      <c r="G286" s="13" t="n">
        <v>175.1</v>
      </c>
      <c r="H286" s="13" t="n">
        <v>114</v>
      </c>
      <c r="I286" s="13" t="n">
        <v>149</v>
      </c>
      <c r="J286" s="13" t="n">
        <v>135</v>
      </c>
      <c r="K286" s="13" t="n">
        <v>106</v>
      </c>
      <c r="L286" s="13" t="n">
        <v>123</v>
      </c>
      <c r="M286" s="13" t="n">
        <v>23.9</v>
      </c>
      <c r="N286" s="13" t="n">
        <v>2214</v>
      </c>
      <c r="O286" s="13" t="n">
        <v>0.9</v>
      </c>
      <c r="P286" s="13" t="n">
        <v>2003</v>
      </c>
      <c r="Q286" s="13" t="n">
        <v>203</v>
      </c>
      <c r="R286" s="13" t="n">
        <v>129</v>
      </c>
      <c r="S286" s="13" t="n">
        <v>47</v>
      </c>
      <c r="T286" s="13" t="n">
        <v>316</v>
      </c>
      <c r="U286" s="13" t="n">
        <v>16</v>
      </c>
      <c r="V286" s="13" t="n">
        <v>291</v>
      </c>
      <c r="W286" s="13" t="n">
        <v>0.348</v>
      </c>
      <c r="X286" s="13" t="n">
        <v>151</v>
      </c>
      <c r="Y286" s="13" t="n">
        <v>114</v>
      </c>
      <c r="Z286" s="13" t="n">
        <v>165</v>
      </c>
      <c r="AA286" s="13" t="n">
        <v>4</v>
      </c>
      <c r="AB286" s="13" t="n">
        <v>11.4</v>
      </c>
      <c r="AC286" s="11" t="inlineStr">
        <is>
          <t xml:space="preserve"> Big Mountain</t>
        </is>
      </c>
      <c r="AD286" s="13" t="n"/>
      <c r="AE286" s="13" t="n"/>
      <c r="AF286" s="13" t="n"/>
      <c r="AG286" s="13" t="n"/>
    </row>
    <row r="287">
      <c r="A287" s="9" t="inlineStr">
        <is>
          <t>21/22</t>
        </is>
      </c>
      <c r="B287" s="10" t="inlineStr">
        <is>
          <t xml:space="preserve"> Blizzard</t>
        </is>
      </c>
      <c r="C287" s="11" t="inlineStr">
        <is>
          <t>Cochise 106</t>
        </is>
      </c>
      <c r="D287" s="13" t="n">
        <v>185</v>
      </c>
      <c r="E287" s="11" t="inlineStr">
        <is>
          <t xml:space="preserve"> Unisex</t>
        </is>
      </c>
      <c r="F287" s="13" t="n">
        <v>185</v>
      </c>
      <c r="G287" s="13" t="n">
        <v>182.9</v>
      </c>
      <c r="H287" s="13" t="n">
        <v>138</v>
      </c>
      <c r="I287" s="13" t="n">
        <v>157</v>
      </c>
      <c r="J287" s="13" t="n">
        <v>136</v>
      </c>
      <c r="K287" s="13" t="n">
        <v>106</v>
      </c>
      <c r="L287" s="13" t="n">
        <v>123</v>
      </c>
      <c r="M287" s="13" t="n">
        <v>25.2</v>
      </c>
      <c r="N287" s="13" t="n">
        <v>2372</v>
      </c>
      <c r="O287" s="13" t="n">
        <v>0.88</v>
      </c>
      <c r="P287" s="13" t="n">
        <v>2096</v>
      </c>
      <c r="Q287" s="13" t="n">
        <v>255</v>
      </c>
      <c r="R287" s="13" t="n">
        <v>165</v>
      </c>
      <c r="S287" s="13" t="n">
        <v>49</v>
      </c>
      <c r="T287" s="13" t="n">
        <v>332</v>
      </c>
      <c r="U287" s="13" t="n">
        <v>14</v>
      </c>
      <c r="V287" s="13" t="n">
        <v>122</v>
      </c>
      <c r="W287" s="13" t="n">
        <v>0.283</v>
      </c>
      <c r="X287" s="13" t="n">
        <v>142</v>
      </c>
      <c r="Y287" s="13" t="n">
        <v>117</v>
      </c>
      <c r="Z287" s="13" t="n">
        <v>189</v>
      </c>
      <c r="AA287" s="13" t="n">
        <v>5</v>
      </c>
      <c r="AB287" s="13" t="n">
        <v>11.4</v>
      </c>
      <c r="AC287" s="11" t="inlineStr">
        <is>
          <t xml:space="preserve"> Big Mountain</t>
        </is>
      </c>
      <c r="AD287" s="13" t="n"/>
      <c r="AE287" s="13" t="n"/>
      <c r="AF287" s="13" t="n"/>
      <c r="AG287" s="13" t="n"/>
    </row>
    <row r="288">
      <c r="A288" s="9" t="inlineStr">
        <is>
          <t>21/22</t>
        </is>
      </c>
      <c r="B288" s="10" t="inlineStr">
        <is>
          <t xml:space="preserve"> Blizzard</t>
        </is>
      </c>
      <c r="C288" s="11" t="inlineStr">
        <is>
          <t>Cochise 106</t>
        </is>
      </c>
      <c r="D288" s="13" t="n">
        <v>192</v>
      </c>
      <c r="E288" s="11" t="inlineStr">
        <is>
          <t xml:space="preserve"> Unisex</t>
        </is>
      </c>
      <c r="F288" s="13" t="n">
        <v>192</v>
      </c>
      <c r="G288" s="13" t="n">
        <v>190.3</v>
      </c>
      <c r="H288" s="13" t="n">
        <v>144</v>
      </c>
      <c r="I288" s="13" t="n">
        <v>164</v>
      </c>
      <c r="J288" s="13" t="n">
        <v>136</v>
      </c>
      <c r="K288" s="13" t="n">
        <v>106</v>
      </c>
      <c r="L288" s="13" t="n">
        <v>123</v>
      </c>
      <c r="M288" s="13" t="n">
        <v>26.9</v>
      </c>
      <c r="N288" s="13" t="n">
        <v>2576</v>
      </c>
      <c r="O288" s="13" t="n">
        <v>0.84</v>
      </c>
      <c r="P288" s="13" t="n">
        <v>2176</v>
      </c>
      <c r="Q288" s="13" t="n">
        <v>296</v>
      </c>
      <c r="R288" s="13" t="n">
        <v>195</v>
      </c>
      <c r="S288" s="13" t="n">
        <v>52</v>
      </c>
      <c r="T288" s="13" t="n">
        <v>345</v>
      </c>
      <c r="U288" s="13" t="n">
        <v>13</v>
      </c>
      <c r="V288" s="13" t="n">
        <v>115</v>
      </c>
      <c r="W288" s="13" t="n">
        <v>0.255</v>
      </c>
      <c r="X288" s="13" t="n">
        <v>148</v>
      </c>
      <c r="Y288" s="13" t="n">
        <v>112</v>
      </c>
      <c r="Z288" s="13" t="n">
        <v>197</v>
      </c>
      <c r="AA288" s="13" t="n">
        <v>7</v>
      </c>
      <c r="AB288" s="13" t="n">
        <v>11</v>
      </c>
      <c r="AC288" s="11" t="inlineStr">
        <is>
          <t xml:space="preserve"> Big Mountain</t>
        </is>
      </c>
      <c r="AD288" s="13" t="n"/>
      <c r="AE288" s="13" t="n"/>
      <c r="AF288" s="13" t="n"/>
      <c r="AG288" s="13" t="n"/>
    </row>
    <row r="289">
      <c r="A289" s="9" t="inlineStr">
        <is>
          <t>21/22</t>
        </is>
      </c>
      <c r="B289" s="10" t="inlineStr">
        <is>
          <t xml:space="preserve"> Blizzard</t>
        </is>
      </c>
      <c r="C289" s="11" t="inlineStr">
        <is>
          <t xml:space="preserve"> HRC</t>
        </is>
      </c>
      <c r="D289" s="13" t="n">
        <v>166</v>
      </c>
      <c r="E289" s="11" t="inlineStr">
        <is>
          <t xml:space="preserve"> Unisex</t>
        </is>
      </c>
      <c r="F289" s="13" t="n">
        <v>166</v>
      </c>
      <c r="G289" s="13" t="n">
        <v>165.2</v>
      </c>
      <c r="H289" s="13" t="n">
        <v>148</v>
      </c>
      <c r="I289" s="13" t="n">
        <v>153</v>
      </c>
      <c r="J289" s="13" t="n">
        <v>123</v>
      </c>
      <c r="K289" s="13" t="n">
        <v>74</v>
      </c>
      <c r="L289" s="13" t="n">
        <v>104</v>
      </c>
      <c r="M289" s="13" t="n">
        <v>14.4</v>
      </c>
      <c r="N289" s="13" t="n">
        <v>2094</v>
      </c>
      <c r="O289" s="13" t="n">
        <v>0.7</v>
      </c>
      <c r="P289" s="13" t="n">
        <v>1465</v>
      </c>
      <c r="Q289" s="13" t="n">
        <v>198</v>
      </c>
      <c r="R289" s="13" t="n">
        <v>129</v>
      </c>
      <c r="S289" s="13" t="n">
        <v>36</v>
      </c>
      <c r="T289" s="13" t="n">
        <v>123</v>
      </c>
      <c r="U289" s="13" t="n">
        <v>5</v>
      </c>
      <c r="V289" s="13" t="n">
        <v>49</v>
      </c>
      <c r="W289" s="13" t="n">
        <v>0.146</v>
      </c>
      <c r="X289" s="13" t="n">
        <v>73</v>
      </c>
      <c r="Y289" s="13" t="n">
        <v>51</v>
      </c>
      <c r="Z289" s="13" t="n">
        <v>50</v>
      </c>
      <c r="AA289" s="13" t="n">
        <v>10</v>
      </c>
      <c r="AB289" s="13" t="n">
        <v>11.2</v>
      </c>
      <c r="AC289" s="11" t="inlineStr">
        <is>
          <t xml:space="preserve"> On-Piste Carving</t>
        </is>
      </c>
      <c r="AD289" s="13" t="n"/>
      <c r="AE289" s="13" t="n"/>
      <c r="AF289" s="13" t="n"/>
      <c r="AG289" s="13" t="n"/>
    </row>
    <row r="290">
      <c r="A290" s="9" t="inlineStr">
        <is>
          <t>21/22</t>
        </is>
      </c>
      <c r="B290" s="10" t="inlineStr">
        <is>
          <t xml:space="preserve"> Blizzard</t>
        </is>
      </c>
      <c r="C290" s="11" t="inlineStr">
        <is>
          <t xml:space="preserve"> HRC</t>
        </is>
      </c>
      <c r="D290" s="13" t="n">
        <v>174</v>
      </c>
      <c r="E290" s="11" t="inlineStr">
        <is>
          <t xml:space="preserve"> Unisex</t>
        </is>
      </c>
      <c r="F290" s="13" t="n">
        <v>174</v>
      </c>
      <c r="G290" s="13" t="n">
        <v>173.1</v>
      </c>
      <c r="H290" s="13" t="n">
        <v>156</v>
      </c>
      <c r="I290" s="13" t="n">
        <v>160</v>
      </c>
      <c r="J290" s="13" t="n">
        <v>125</v>
      </c>
      <c r="K290" s="13" t="n">
        <v>75</v>
      </c>
      <c r="L290" s="13" t="n">
        <v>106</v>
      </c>
      <c r="M290" s="13" t="n">
        <v>15.2</v>
      </c>
      <c r="N290" s="13" t="n">
        <v>2192</v>
      </c>
      <c r="O290" s="13" t="n">
        <v>0.71</v>
      </c>
      <c r="P290" s="13" t="n">
        <v>1555</v>
      </c>
      <c r="Q290" s="13" t="n">
        <v>229</v>
      </c>
      <c r="R290" s="13" t="n">
        <v>142</v>
      </c>
      <c r="S290" s="13" t="n">
        <v>37</v>
      </c>
      <c r="T290" s="13" t="n">
        <v>122</v>
      </c>
      <c r="U290" s="13" t="n">
        <v>5</v>
      </c>
      <c r="V290" s="13" t="n">
        <v>51</v>
      </c>
      <c r="W290" s="13" t="n">
        <v>0.148</v>
      </c>
      <c r="X290" s="13" t="n">
        <v>76</v>
      </c>
      <c r="Y290" s="13" t="n">
        <v>52</v>
      </c>
      <c r="Z290" s="13" t="n">
        <v>46</v>
      </c>
      <c r="AA290" s="13" t="n">
        <v>9</v>
      </c>
      <c r="AB290" s="13" t="n">
        <v>11.1</v>
      </c>
      <c r="AC290" s="11" t="inlineStr">
        <is>
          <t xml:space="preserve"> On-Piste Carving</t>
        </is>
      </c>
      <c r="AD290" s="13" t="n"/>
      <c r="AE290" s="13" t="n"/>
      <c r="AF290" s="13" t="n"/>
      <c r="AG290" s="13" t="n"/>
    </row>
    <row r="291">
      <c r="A291" s="9" t="inlineStr">
        <is>
          <t>21/22</t>
        </is>
      </c>
      <c r="B291" s="10" t="inlineStr">
        <is>
          <t xml:space="preserve"> Blizzard</t>
        </is>
      </c>
      <c r="C291" s="11" t="inlineStr">
        <is>
          <t>Phoenix 7.2</t>
        </is>
      </c>
      <c r="D291" s="13" t="n">
        <v>153</v>
      </c>
      <c r="E291" s="11" t="inlineStr">
        <is>
          <t xml:space="preserve"> Women's</t>
        </is>
      </c>
      <c r="F291" s="13" t="n">
        <v>153</v>
      </c>
      <c r="G291" s="13" t="n">
        <v>151.4</v>
      </c>
      <c r="H291" s="13" t="n">
        <v>132</v>
      </c>
      <c r="I291" s="13" t="n">
        <v>139</v>
      </c>
      <c r="J291" s="13" t="n">
        <v>119</v>
      </c>
      <c r="K291" s="13" t="n">
        <v>71</v>
      </c>
      <c r="L291" s="13" t="n">
        <v>101</v>
      </c>
      <c r="M291" s="13" t="n">
        <v>12.5</v>
      </c>
      <c r="N291" s="13" t="n">
        <v>1608</v>
      </c>
      <c r="O291" s="13" t="n">
        <v>0.8</v>
      </c>
      <c r="P291" s="13" t="n">
        <v>1292</v>
      </c>
      <c r="Q291" s="13" t="n">
        <v>202</v>
      </c>
      <c r="R291" s="13" t="n">
        <v>74</v>
      </c>
      <c r="S291" s="13" t="n">
        <v>31</v>
      </c>
      <c r="T291" s="13" t="n">
        <v>133</v>
      </c>
      <c r="U291" s="13" t="n">
        <v>8</v>
      </c>
      <c r="V291" s="13" t="n">
        <v>64</v>
      </c>
      <c r="W291" s="13" t="n">
        <v>0.259</v>
      </c>
      <c r="X291" s="13" t="n">
        <v>73</v>
      </c>
      <c r="Y291" s="13" t="n">
        <v>51</v>
      </c>
      <c r="Z291" s="13" t="n">
        <v>59</v>
      </c>
      <c r="AA291" s="13" t="n">
        <v>7</v>
      </c>
      <c r="AB291" s="13" t="n">
        <v>10.2</v>
      </c>
      <c r="AC291" s="11" t="inlineStr">
        <is>
          <t xml:space="preserve"> On-Piste Carving</t>
        </is>
      </c>
      <c r="AD291" s="13" t="n"/>
      <c r="AE291" s="13" t="n"/>
      <c r="AF291" s="13" t="n"/>
      <c r="AG291" s="13" t="n"/>
    </row>
    <row r="292">
      <c r="A292" s="9" t="inlineStr">
        <is>
          <t>21/22</t>
        </is>
      </c>
      <c r="B292" s="10" t="inlineStr">
        <is>
          <t xml:space="preserve"> Blizzard</t>
        </is>
      </c>
      <c r="C292" s="11" t="inlineStr">
        <is>
          <t>Phoenix 7.2</t>
        </is>
      </c>
      <c r="D292" s="13" t="n">
        <v>160</v>
      </c>
      <c r="E292" s="11" t="inlineStr">
        <is>
          <t xml:space="preserve"> Women's</t>
        </is>
      </c>
      <c r="F292" s="13" t="n">
        <v>160</v>
      </c>
      <c r="G292" s="13" t="n">
        <v>158.5</v>
      </c>
      <c r="H292" s="13" t="n">
        <v>133</v>
      </c>
      <c r="I292" s="13" t="n">
        <v>146</v>
      </c>
      <c r="J292" s="13" t="n">
        <v>118</v>
      </c>
      <c r="K292" s="13" t="n">
        <v>71</v>
      </c>
      <c r="L292" s="13" t="n">
        <v>101</v>
      </c>
      <c r="M292" s="13" t="n">
        <v>13.8</v>
      </c>
      <c r="N292" s="13" t="n">
        <v>1809</v>
      </c>
      <c r="O292" s="13" t="n">
        <v>0.74</v>
      </c>
      <c r="P292" s="13" t="n">
        <v>1346</v>
      </c>
      <c r="Q292" s="13" t="n">
        <v>227</v>
      </c>
      <c r="R292" s="13" t="n">
        <v>89</v>
      </c>
      <c r="S292" s="13" t="n">
        <v>34</v>
      </c>
      <c r="T292" s="13" t="n">
        <v>186</v>
      </c>
      <c r="U292" s="13" t="n">
        <v>8</v>
      </c>
      <c r="V292" s="13" t="n">
        <v>74</v>
      </c>
      <c r="W292" s="13" t="n">
        <v>0.249</v>
      </c>
      <c r="X292" s="13" t="n">
        <v>76</v>
      </c>
      <c r="Y292" s="13" t="n">
        <v>54</v>
      </c>
      <c r="Z292" s="13" t="n">
        <v>111</v>
      </c>
      <c r="AA292" s="13" t="n">
        <v>7</v>
      </c>
      <c r="AB292" s="13" t="n">
        <v>10.2</v>
      </c>
      <c r="AC292" s="11" t="inlineStr">
        <is>
          <t xml:space="preserve"> On-Piste Carving</t>
        </is>
      </c>
      <c r="AD292" s="13" t="n"/>
      <c r="AE292" s="13" t="n"/>
      <c r="AF292" s="13" t="n"/>
      <c r="AG292" s="13" t="n"/>
    </row>
    <row r="293">
      <c r="A293" s="9" t="inlineStr">
        <is>
          <t>21/22</t>
        </is>
      </c>
      <c r="B293" s="10" t="inlineStr">
        <is>
          <t xml:space="preserve"> Blizzard</t>
        </is>
      </c>
      <c r="C293" s="11" t="inlineStr">
        <is>
          <t>Phoenix S R13 Ti</t>
        </is>
      </c>
      <c r="D293" s="13" t="n">
        <v>156</v>
      </c>
      <c r="E293" s="11" t="inlineStr">
        <is>
          <t xml:space="preserve"> Women's</t>
        </is>
      </c>
      <c r="F293" s="13" t="n">
        <v>156</v>
      </c>
      <c r="G293" s="13" t="n">
        <v>154.2</v>
      </c>
      <c r="H293" s="13" t="n">
        <v>130</v>
      </c>
      <c r="I293" s="13" t="n">
        <v>142</v>
      </c>
      <c r="J293" s="13" t="n">
        <v>116</v>
      </c>
      <c r="K293" s="13" t="n">
        <v>71</v>
      </c>
      <c r="L293" s="13" t="n">
        <v>99</v>
      </c>
      <c r="M293" s="13" t="n">
        <v>13.8</v>
      </c>
      <c r="N293" s="13" t="n">
        <v>1682</v>
      </c>
      <c r="O293" s="13" t="n">
        <v>0.78</v>
      </c>
      <c r="P293" s="13" t="n">
        <v>1304</v>
      </c>
      <c r="Q293" s="13" t="n">
        <v>180</v>
      </c>
      <c r="R293" s="13" t="n">
        <v>78</v>
      </c>
      <c r="S293" s="13" t="n">
        <v>42</v>
      </c>
      <c r="T293" s="13" t="n">
        <v>168</v>
      </c>
      <c r="U293" s="13" t="n">
        <v>8</v>
      </c>
      <c r="V293" s="13" t="n">
        <v>70</v>
      </c>
      <c r="W293" s="13" t="n">
        <v>0.197</v>
      </c>
      <c r="X293" s="13" t="n">
        <v>67</v>
      </c>
      <c r="Y293" s="13" t="n">
        <v>52</v>
      </c>
      <c r="Z293" s="13" t="n">
        <v>101</v>
      </c>
      <c r="AA293" s="13" t="n">
        <v>5</v>
      </c>
      <c r="AB293" s="13" t="n">
        <v>10.1</v>
      </c>
      <c r="AC293" s="11" t="inlineStr">
        <is>
          <t xml:space="preserve"> On-Piste Carving</t>
        </is>
      </c>
      <c r="AD293" s="13" t="n"/>
      <c r="AE293" s="13" t="n"/>
      <c r="AF293" s="13" t="n"/>
      <c r="AG293" s="13" t="n"/>
    </row>
    <row r="294">
      <c r="A294" s="9" t="inlineStr">
        <is>
          <t>21/22</t>
        </is>
      </c>
      <c r="B294" s="10" t="inlineStr">
        <is>
          <t xml:space="preserve"> Blizzard</t>
        </is>
      </c>
      <c r="C294" s="11" t="inlineStr">
        <is>
          <t>Rustler 10</t>
        </is>
      </c>
      <c r="D294" s="13" t="n">
        <v>164</v>
      </c>
      <c r="E294" s="11" t="inlineStr">
        <is>
          <t xml:space="preserve"> Unisex</t>
        </is>
      </c>
      <c r="F294" s="13" t="n">
        <v>164</v>
      </c>
      <c r="G294" s="13" t="n">
        <v>162.4</v>
      </c>
      <c r="H294" s="13" t="n">
        <v>98</v>
      </c>
      <c r="I294" s="13" t="n">
        <v>133</v>
      </c>
      <c r="J294" s="13" t="n">
        <v>131</v>
      </c>
      <c r="K294" s="13" t="n">
        <v>101</v>
      </c>
      <c r="L294" s="13" t="n">
        <v>121</v>
      </c>
      <c r="M294" s="13" t="n">
        <v>15.4</v>
      </c>
      <c r="N294" s="13" t="n">
        <v>1840</v>
      </c>
      <c r="O294" s="13" t="n">
        <v>0.99</v>
      </c>
      <c r="P294" s="13" t="n">
        <v>1813</v>
      </c>
      <c r="Q294" s="13" t="n">
        <v>157</v>
      </c>
      <c r="R294" s="13" t="n">
        <v>84</v>
      </c>
      <c r="S294" s="13" t="n">
        <v>66</v>
      </c>
      <c r="T294" s="13" t="n">
        <v>361</v>
      </c>
      <c r="U294" s="13" t="n">
        <v>33</v>
      </c>
      <c r="V294" s="13" t="n">
        <v>279</v>
      </c>
      <c r="W294" s="13" t="n">
        <v>0.503</v>
      </c>
      <c r="X294" s="13" t="n">
        <v>161</v>
      </c>
      <c r="Y294" s="13" t="n">
        <v>136</v>
      </c>
      <c r="Z294" s="13" t="n">
        <v>200</v>
      </c>
      <c r="AA294" s="13" t="n">
        <v>4</v>
      </c>
      <c r="AB294" s="13" t="n">
        <v>7</v>
      </c>
      <c r="AC294" s="11" t="inlineStr">
        <is>
          <t xml:space="preserve"> Resort Freeride</t>
        </is>
      </c>
      <c r="AD294" s="11" t="inlineStr">
        <is>
          <t xml:space="preserve"> Powder</t>
        </is>
      </c>
      <c r="AE294" s="13" t="n"/>
      <c r="AF294" s="13" t="n"/>
      <c r="AG294" s="13" t="n"/>
    </row>
    <row r="295">
      <c r="A295" s="9" t="inlineStr">
        <is>
          <t>21/22</t>
        </is>
      </c>
      <c r="B295" s="10" t="inlineStr">
        <is>
          <t xml:space="preserve"> Blizzard</t>
        </is>
      </c>
      <c r="C295" s="11" t="inlineStr">
        <is>
          <t>Rustler 10</t>
        </is>
      </c>
      <c r="D295" s="13" t="n">
        <v>172</v>
      </c>
      <c r="E295" s="11" t="inlineStr">
        <is>
          <t xml:space="preserve"> Unisex</t>
        </is>
      </c>
      <c r="F295" s="13" t="n">
        <v>172</v>
      </c>
      <c r="G295" s="13" t="n">
        <v>170.5</v>
      </c>
      <c r="H295" s="13" t="n">
        <v>103</v>
      </c>
      <c r="I295" s="13" t="n">
        <v>141</v>
      </c>
      <c r="J295" s="13" t="n">
        <v>132</v>
      </c>
      <c r="K295" s="13" t="n">
        <v>101</v>
      </c>
      <c r="L295" s="13" t="n">
        <v>121</v>
      </c>
      <c r="M295" s="13" t="n">
        <v>17.1</v>
      </c>
      <c r="N295" s="13" t="n">
        <v>1908</v>
      </c>
      <c r="O295" s="13" t="n">
        <v>1</v>
      </c>
      <c r="P295" s="13" t="n">
        <v>1903</v>
      </c>
      <c r="Q295" s="13" t="n">
        <v>181</v>
      </c>
      <c r="R295" s="13" t="n">
        <v>99</v>
      </c>
      <c r="S295" s="13" t="n">
        <v>65</v>
      </c>
      <c r="T295" s="13" t="n">
        <v>375</v>
      </c>
      <c r="U295" s="13" t="n">
        <v>36</v>
      </c>
      <c r="V295" s="13" t="n">
        <v>300</v>
      </c>
      <c r="W295" s="13" t="n">
        <v>0.552</v>
      </c>
      <c r="X295" s="13" t="n">
        <v>155</v>
      </c>
      <c r="Y295" s="13" t="n">
        <v>139</v>
      </c>
      <c r="Z295" s="13" t="n">
        <v>220</v>
      </c>
      <c r="AA295" s="13" t="n">
        <v>4</v>
      </c>
      <c r="AB295" s="13" t="n">
        <v>7.6</v>
      </c>
      <c r="AC295" s="11" t="inlineStr">
        <is>
          <t xml:space="preserve"> Resort Freeride</t>
        </is>
      </c>
      <c r="AD295" s="11" t="inlineStr">
        <is>
          <t xml:space="preserve"> Powder</t>
        </is>
      </c>
      <c r="AE295" s="13" t="n"/>
      <c r="AF295" s="13" t="n"/>
      <c r="AG295" s="13" t="n"/>
    </row>
    <row r="296">
      <c r="A296" s="9" t="inlineStr">
        <is>
          <t>21/22</t>
        </is>
      </c>
      <c r="B296" s="10" t="inlineStr">
        <is>
          <t xml:space="preserve"> Blizzard</t>
        </is>
      </c>
      <c r="C296" s="11" t="inlineStr">
        <is>
          <t>Rustler 10</t>
        </is>
      </c>
      <c r="D296" s="13" t="n">
        <v>180</v>
      </c>
      <c r="E296" s="11" t="inlineStr">
        <is>
          <t xml:space="preserve"> Unisex</t>
        </is>
      </c>
      <c r="F296" s="13" t="n">
        <v>180</v>
      </c>
      <c r="G296" s="13" t="n">
        <v>178.3</v>
      </c>
      <c r="H296" s="13" t="n">
        <v>109</v>
      </c>
      <c r="I296" s="13" t="n">
        <v>150</v>
      </c>
      <c r="J296" s="13" t="n">
        <v>132</v>
      </c>
      <c r="K296" s="13" t="n">
        <v>101</v>
      </c>
      <c r="L296" s="13" t="n">
        <v>122</v>
      </c>
      <c r="M296" s="13" t="n">
        <v>18.6</v>
      </c>
      <c r="N296" s="13" t="n">
        <v>2008</v>
      </c>
      <c r="O296" s="13" t="n">
        <v>0.99</v>
      </c>
      <c r="P296" s="13" t="n">
        <v>1996</v>
      </c>
      <c r="Q296" s="13" t="n">
        <v>209</v>
      </c>
      <c r="R296" s="13" t="n">
        <v>99</v>
      </c>
      <c r="S296" s="13" t="n">
        <v>63</v>
      </c>
      <c r="T296" s="13" t="n">
        <v>386</v>
      </c>
      <c r="U296" s="13" t="n">
        <v>36</v>
      </c>
      <c r="V296" s="13" t="n">
        <v>312</v>
      </c>
      <c r="W296" s="13" t="n">
        <v>0.5659999999999999</v>
      </c>
      <c r="X296" s="13" t="n">
        <v>145</v>
      </c>
      <c r="Y296" s="13" t="n">
        <v>142</v>
      </c>
      <c r="Z296" s="13" t="n">
        <v>241</v>
      </c>
      <c r="AA296" s="13" t="n">
        <v>4</v>
      </c>
      <c r="AB296" s="13" t="n">
        <v>7.6</v>
      </c>
      <c r="AC296" s="11" t="inlineStr">
        <is>
          <t xml:space="preserve"> Resort Freeride</t>
        </is>
      </c>
      <c r="AD296" s="11" t="inlineStr">
        <is>
          <t xml:space="preserve"> Powder</t>
        </is>
      </c>
      <c r="AE296" s="13" t="n"/>
      <c r="AF296" s="13" t="n"/>
      <c r="AG296" s="13" t="n"/>
    </row>
    <row r="297">
      <c r="A297" s="9" t="inlineStr">
        <is>
          <t>21/22</t>
        </is>
      </c>
      <c r="B297" s="10" t="inlineStr">
        <is>
          <t xml:space="preserve"> Blizzard</t>
        </is>
      </c>
      <c r="C297" s="11" t="inlineStr">
        <is>
          <t>Rustler 10</t>
        </is>
      </c>
      <c r="D297" s="13" t="n">
        <v>188</v>
      </c>
      <c r="E297" s="11" t="inlineStr">
        <is>
          <t xml:space="preserve"> Unisex</t>
        </is>
      </c>
      <c r="F297" s="13" t="n">
        <v>188</v>
      </c>
      <c r="G297" s="13" t="n">
        <v>186.2</v>
      </c>
      <c r="H297" s="13" t="n">
        <v>112</v>
      </c>
      <c r="I297" s="13" t="n">
        <v>157</v>
      </c>
      <c r="J297" s="13" t="n">
        <v>134</v>
      </c>
      <c r="K297" s="13" t="n">
        <v>103</v>
      </c>
      <c r="L297" s="13" t="n">
        <v>125</v>
      </c>
      <c r="M297" s="13" t="n">
        <v>19.9</v>
      </c>
      <c r="N297" s="13" t="n">
        <v>2276</v>
      </c>
      <c r="O297" s="13" t="n">
        <v>0.93</v>
      </c>
      <c r="P297" s="13" t="n">
        <v>2122</v>
      </c>
      <c r="Q297" s="13" t="n">
        <v>282</v>
      </c>
      <c r="R297" s="13" t="n">
        <v>145</v>
      </c>
      <c r="S297" s="13" t="n">
        <v>68</v>
      </c>
      <c r="T297" s="13" t="n">
        <v>417</v>
      </c>
      <c r="U297" s="13" t="n">
        <v>33</v>
      </c>
      <c r="V297" s="13" t="n">
        <v>326</v>
      </c>
      <c r="W297" s="13" t="n">
        <v>0.491</v>
      </c>
      <c r="X297" s="13" t="n">
        <v>147</v>
      </c>
      <c r="Y297" s="13" t="n">
        <v>146</v>
      </c>
      <c r="Z297" s="13" t="n">
        <v>270</v>
      </c>
      <c r="AA297" s="13" t="n">
        <v>3</v>
      </c>
      <c r="AB297" s="13" t="n">
        <v>7.5</v>
      </c>
      <c r="AC297" s="11" t="inlineStr">
        <is>
          <t xml:space="preserve"> Resort Freeride</t>
        </is>
      </c>
      <c r="AD297" s="11" t="inlineStr">
        <is>
          <t xml:space="preserve"> Powder</t>
        </is>
      </c>
      <c r="AE297" s="13" t="n"/>
      <c r="AF297" s="13" t="n"/>
      <c r="AG297" s="13" t="n"/>
    </row>
    <row r="298">
      <c r="A298" s="9" t="inlineStr">
        <is>
          <t>21/22</t>
        </is>
      </c>
      <c r="B298" s="10" t="inlineStr">
        <is>
          <t xml:space="preserve"> Blizzard</t>
        </is>
      </c>
      <c r="C298" s="11" t="inlineStr">
        <is>
          <t>Rustler 11</t>
        </is>
      </c>
      <c r="D298" s="13" t="n">
        <v>172</v>
      </c>
      <c r="E298" s="11" t="inlineStr">
        <is>
          <t xml:space="preserve"> Unisex</t>
        </is>
      </c>
      <c r="F298" s="13" t="n">
        <v>172</v>
      </c>
      <c r="G298" s="13" t="n">
        <v>170.8</v>
      </c>
      <c r="H298" s="13" t="n">
        <v>103</v>
      </c>
      <c r="I298" s="13" t="n">
        <v>140</v>
      </c>
      <c r="J298" s="13" t="n">
        <v>138</v>
      </c>
      <c r="K298" s="13" t="n">
        <v>111</v>
      </c>
      <c r="L298" s="13" t="n">
        <v>127</v>
      </c>
      <c r="M298" s="13" t="n">
        <v>19.5</v>
      </c>
      <c r="N298" s="13" t="n">
        <v>1985</v>
      </c>
      <c r="O298" s="13" t="n">
        <v>1.03</v>
      </c>
      <c r="P298" s="13" t="n">
        <v>2043</v>
      </c>
      <c r="Q298" s="13" t="n">
        <v>194</v>
      </c>
      <c r="R298" s="13" t="n">
        <v>100</v>
      </c>
      <c r="S298" s="13" t="n">
        <v>63</v>
      </c>
      <c r="T298" s="13" t="n">
        <v>391</v>
      </c>
      <c r="U298" s="13" t="n">
        <v>24</v>
      </c>
      <c r="V298" s="13" t="n">
        <v>284</v>
      </c>
      <c r="W298" s="13" t="n">
        <v>0.382</v>
      </c>
      <c r="X298" s="13" t="n">
        <v>161</v>
      </c>
      <c r="Y298" s="13" t="n">
        <v>144</v>
      </c>
      <c r="Z298" s="13" t="n">
        <v>230</v>
      </c>
      <c r="AA298" s="13" t="n">
        <v>4</v>
      </c>
      <c r="AB298" s="13" t="n">
        <v>7.2</v>
      </c>
      <c r="AC298" s="11" t="inlineStr">
        <is>
          <t xml:space="preserve"> Powder</t>
        </is>
      </c>
      <c r="AD298" s="11" t="inlineStr">
        <is>
          <t xml:space="preserve"> Big Mountain</t>
        </is>
      </c>
      <c r="AE298" s="13" t="n"/>
      <c r="AF298" s="13" t="n"/>
      <c r="AG298" s="13" t="n"/>
    </row>
    <row r="299">
      <c r="A299" s="9" t="inlineStr">
        <is>
          <t>21/22</t>
        </is>
      </c>
      <c r="B299" s="10" t="inlineStr">
        <is>
          <t xml:space="preserve"> Blizzard</t>
        </is>
      </c>
      <c r="C299" s="11" t="inlineStr">
        <is>
          <t>Rustler 11</t>
        </is>
      </c>
      <c r="D299" s="13" t="n">
        <v>180</v>
      </c>
      <c r="E299" s="11" t="inlineStr">
        <is>
          <t xml:space="preserve"> Unisex</t>
        </is>
      </c>
      <c r="F299" s="13" t="n">
        <v>180</v>
      </c>
      <c r="G299" s="13" t="n">
        <v>178.8</v>
      </c>
      <c r="H299" s="13" t="n">
        <v>111</v>
      </c>
      <c r="I299" s="13" t="n">
        <v>147</v>
      </c>
      <c r="J299" s="13" t="n">
        <v>139</v>
      </c>
      <c r="K299" s="13" t="n">
        <v>111</v>
      </c>
      <c r="L299" s="13" t="n">
        <v>129</v>
      </c>
      <c r="M299" s="13" t="n">
        <v>20.5</v>
      </c>
      <c r="N299" s="13" t="n">
        <v>2055</v>
      </c>
      <c r="O299" s="13" t="n">
        <v>1.05</v>
      </c>
      <c r="P299" s="13" t="n">
        <v>2150</v>
      </c>
      <c r="Q299" s="13" t="n">
        <v>218</v>
      </c>
      <c r="R299" s="13" t="n">
        <v>123</v>
      </c>
      <c r="S299" s="13" t="n">
        <v>57</v>
      </c>
      <c r="T299" s="13" t="n">
        <v>372</v>
      </c>
      <c r="U299" s="13" t="n">
        <v>28</v>
      </c>
      <c r="V299" s="13" t="n">
        <v>306</v>
      </c>
      <c r="W299" s="13" t="n">
        <v>0.493</v>
      </c>
      <c r="X299" s="13" t="n">
        <v>168</v>
      </c>
      <c r="Y299" s="13" t="n">
        <v>150</v>
      </c>
      <c r="Z299" s="13" t="n">
        <v>204</v>
      </c>
      <c r="AA299" s="13" t="n">
        <v>6</v>
      </c>
      <c r="AB299" s="13" t="n">
        <v>9.4</v>
      </c>
      <c r="AC299" s="11" t="inlineStr">
        <is>
          <t xml:space="preserve"> Powder</t>
        </is>
      </c>
      <c r="AD299" s="13" t="n"/>
      <c r="AE299" s="13" t="n"/>
      <c r="AF299" s="13" t="n"/>
      <c r="AG299" s="13" t="n"/>
    </row>
    <row r="300">
      <c r="A300" s="9" t="inlineStr">
        <is>
          <t>21/22</t>
        </is>
      </c>
      <c r="B300" s="10" t="inlineStr">
        <is>
          <t xml:space="preserve"> Blizzard</t>
        </is>
      </c>
      <c r="C300" s="11" t="inlineStr">
        <is>
          <t>Rustler 11</t>
        </is>
      </c>
      <c r="D300" s="13" t="n">
        <v>188</v>
      </c>
      <c r="E300" s="11" t="inlineStr">
        <is>
          <t xml:space="preserve"> Unisex</t>
        </is>
      </c>
      <c r="F300" s="13" t="n">
        <v>188</v>
      </c>
      <c r="G300" s="13" t="n">
        <v>186.4</v>
      </c>
      <c r="H300" s="13" t="n">
        <v>108</v>
      </c>
      <c r="I300" s="13" t="n">
        <v>156</v>
      </c>
      <c r="J300" s="13" t="n">
        <v>141</v>
      </c>
      <c r="K300" s="13" t="n">
        <v>113</v>
      </c>
      <c r="L300" s="13" t="n">
        <v>131</v>
      </c>
      <c r="M300" s="13" t="n">
        <v>23</v>
      </c>
      <c r="N300" s="13" t="n">
        <v>2186</v>
      </c>
      <c r="O300" s="13" t="n">
        <v>1.04</v>
      </c>
      <c r="P300" s="13" t="n">
        <v>2277</v>
      </c>
      <c r="Q300" s="13" t="n">
        <v>268</v>
      </c>
      <c r="R300" s="13" t="n">
        <v>129</v>
      </c>
      <c r="S300" s="13" t="n">
        <v>61</v>
      </c>
      <c r="T300" s="13" t="n">
        <v>440</v>
      </c>
      <c r="U300" s="13" t="n">
        <v>31</v>
      </c>
      <c r="V300" s="13" t="n">
        <v>340</v>
      </c>
      <c r="W300" s="13" t="n">
        <v>0.505</v>
      </c>
      <c r="X300" s="13" t="n">
        <v>159</v>
      </c>
      <c r="Y300" s="13" t="n">
        <v>147</v>
      </c>
      <c r="Z300" s="13" t="n">
        <v>281</v>
      </c>
      <c r="AA300" s="13" t="n">
        <v>4</v>
      </c>
      <c r="AB300" s="13" t="n">
        <v>8.1</v>
      </c>
      <c r="AC300" s="11" t="inlineStr">
        <is>
          <t xml:space="preserve"> Powder</t>
        </is>
      </c>
      <c r="AD300" s="13" t="n"/>
      <c r="AE300" s="13" t="n"/>
      <c r="AF300" s="13" t="n"/>
      <c r="AG300" s="13" t="n"/>
    </row>
    <row r="301">
      <c r="A301" s="9" t="inlineStr">
        <is>
          <t>21/22</t>
        </is>
      </c>
      <c r="B301" s="10" t="inlineStr">
        <is>
          <t xml:space="preserve"> Blizzard</t>
        </is>
      </c>
      <c r="C301" s="11" t="inlineStr">
        <is>
          <t>Rustler 9</t>
        </is>
      </c>
      <c r="D301" s="13" t="n">
        <v>164</v>
      </c>
      <c r="E301" s="11" t="inlineStr">
        <is>
          <t xml:space="preserve"> Unisex</t>
        </is>
      </c>
      <c r="F301" s="13" t="n">
        <v>164</v>
      </c>
      <c r="G301" s="13" t="n">
        <v>162.8</v>
      </c>
      <c r="H301" s="13" t="n">
        <v>109</v>
      </c>
      <c r="I301" s="13" t="n">
        <v>135</v>
      </c>
      <c r="J301" s="13" t="n">
        <v>123</v>
      </c>
      <c r="K301" s="13" t="n">
        <v>91</v>
      </c>
      <c r="L301" s="13" t="n">
        <v>113</v>
      </c>
      <c r="M301" s="13" t="n">
        <v>14.6</v>
      </c>
      <c r="N301" s="13" t="n">
        <v>1794</v>
      </c>
      <c r="O301" s="13" t="n">
        <v>0.93</v>
      </c>
      <c r="P301" s="13" t="n">
        <v>1671</v>
      </c>
      <c r="Q301" s="13" t="n">
        <v>185</v>
      </c>
      <c r="R301" s="13" t="n">
        <v>89</v>
      </c>
      <c r="S301" s="13" t="n">
        <v>62</v>
      </c>
      <c r="T301" s="13" t="n">
        <v>307</v>
      </c>
      <c r="U301" s="13" t="n">
        <v>31</v>
      </c>
      <c r="V301" s="13" t="n">
        <v>229</v>
      </c>
      <c r="W301" s="13" t="n">
        <v>0.498</v>
      </c>
      <c r="X301" s="13" t="n">
        <v>149</v>
      </c>
      <c r="Y301" s="13" t="n">
        <v>134</v>
      </c>
      <c r="Z301" s="13" t="n">
        <v>158</v>
      </c>
      <c r="AA301" s="13" t="n">
        <v>3</v>
      </c>
      <c r="AB301" s="13" t="n">
        <v>7.2</v>
      </c>
      <c r="AC301" s="11" t="inlineStr">
        <is>
          <t xml:space="preserve"> Resort Freeride</t>
        </is>
      </c>
      <c r="AD301" s="13" t="n"/>
      <c r="AE301" s="13" t="n"/>
      <c r="AF301" s="13" t="n"/>
      <c r="AG301" s="13" t="n"/>
    </row>
    <row r="302">
      <c r="A302" s="9" t="inlineStr">
        <is>
          <t>21/22</t>
        </is>
      </c>
      <c r="B302" s="10" t="inlineStr">
        <is>
          <t xml:space="preserve"> Blizzard</t>
        </is>
      </c>
      <c r="C302" s="11" t="inlineStr">
        <is>
          <t>Rustler 9</t>
        </is>
      </c>
      <c r="D302" s="13" t="n">
        <v>172</v>
      </c>
      <c r="E302" s="11" t="inlineStr">
        <is>
          <t xml:space="preserve"> Unisex</t>
        </is>
      </c>
      <c r="F302" s="13" t="n">
        <v>172</v>
      </c>
      <c r="G302" s="13" t="n">
        <v>170.8</v>
      </c>
      <c r="H302" s="13" t="n">
        <v>118</v>
      </c>
      <c r="I302" s="13" t="n">
        <v>142</v>
      </c>
      <c r="J302" s="13" t="n">
        <v>124</v>
      </c>
      <c r="K302" s="13" t="n">
        <v>91</v>
      </c>
      <c r="L302" s="13" t="n">
        <v>113</v>
      </c>
      <c r="M302" s="13" t="n">
        <v>15.9</v>
      </c>
      <c r="N302" s="13" t="n">
        <v>1914</v>
      </c>
      <c r="O302" s="13" t="n">
        <v>0.92</v>
      </c>
      <c r="P302" s="13" t="n">
        <v>1751</v>
      </c>
      <c r="Q302" s="13" t="n">
        <v>200</v>
      </c>
      <c r="R302" s="13" t="n">
        <v>109</v>
      </c>
      <c r="S302" s="13" t="n">
        <v>62</v>
      </c>
      <c r="T302" s="13" t="n">
        <v>320</v>
      </c>
      <c r="U302" s="13" t="n">
        <v>27</v>
      </c>
      <c r="V302" s="13" t="n">
        <v>208</v>
      </c>
      <c r="W302" s="13" t="n">
        <v>0.436</v>
      </c>
      <c r="X302" s="13" t="n">
        <v>153</v>
      </c>
      <c r="Y302" s="13" t="n">
        <v>133</v>
      </c>
      <c r="Z302" s="13" t="n">
        <v>167</v>
      </c>
      <c r="AA302" s="13" t="n">
        <v>5</v>
      </c>
      <c r="AB302" s="13" t="n">
        <v>7.2</v>
      </c>
      <c r="AC302" s="11" t="inlineStr">
        <is>
          <t xml:space="preserve"> Resort Freeride</t>
        </is>
      </c>
      <c r="AD302" s="13" t="n"/>
      <c r="AE302" s="13" t="n"/>
      <c r="AF302" s="13" t="n"/>
      <c r="AG302" s="13" t="n"/>
    </row>
    <row r="303">
      <c r="A303" s="9" t="inlineStr">
        <is>
          <t>21/22</t>
        </is>
      </c>
      <c r="B303" s="10" t="inlineStr">
        <is>
          <t xml:space="preserve"> Blizzard</t>
        </is>
      </c>
      <c r="C303" s="11" t="inlineStr">
        <is>
          <t>Rustler 9</t>
        </is>
      </c>
      <c r="D303" s="13" t="n">
        <v>180</v>
      </c>
      <c r="E303" s="11" t="inlineStr">
        <is>
          <t xml:space="preserve"> Unisex</t>
        </is>
      </c>
      <c r="F303" s="13" t="n">
        <v>180</v>
      </c>
      <c r="G303" s="13" t="n">
        <v>178.6</v>
      </c>
      <c r="H303" s="13" t="n">
        <v>121</v>
      </c>
      <c r="I303" s="13" t="n">
        <v>150</v>
      </c>
      <c r="J303" s="13" t="n">
        <v>127</v>
      </c>
      <c r="K303" s="13" t="n">
        <v>93</v>
      </c>
      <c r="L303" s="13" t="n">
        <v>117</v>
      </c>
      <c r="M303" s="13" t="n">
        <v>17.3</v>
      </c>
      <c r="N303" s="13" t="n">
        <v>2073</v>
      </c>
      <c r="O303" s="13" t="n">
        <v>0.91</v>
      </c>
      <c r="P303" s="13" t="n">
        <v>1880</v>
      </c>
      <c r="Q303" s="13" t="n">
        <v>230</v>
      </c>
      <c r="R303" s="13" t="n">
        <v>114</v>
      </c>
      <c r="S303" s="13" t="n">
        <v>63</v>
      </c>
      <c r="T303" s="13" t="n">
        <v>335</v>
      </c>
      <c r="U303" s="13" t="n">
        <v>27</v>
      </c>
      <c r="V303" s="13" t="n">
        <v>242</v>
      </c>
      <c r="W303" s="13" t="n">
        <v>0.427</v>
      </c>
      <c r="X303" s="13" t="n">
        <v>148</v>
      </c>
      <c r="Y303" s="13" t="n">
        <v>140</v>
      </c>
      <c r="Z303" s="13" t="n">
        <v>187</v>
      </c>
      <c r="AA303" s="13" t="n">
        <v>3</v>
      </c>
      <c r="AB303" s="13" t="n">
        <v>7.9</v>
      </c>
      <c r="AC303" s="11" t="inlineStr">
        <is>
          <t xml:space="preserve"> Resort Freeride</t>
        </is>
      </c>
      <c r="AD303" s="13" t="n"/>
      <c r="AE303" s="13" t="n"/>
      <c r="AF303" s="13" t="n"/>
      <c r="AG303" s="13" t="n"/>
    </row>
    <row r="304">
      <c r="A304" s="9" t="inlineStr">
        <is>
          <t>21/22</t>
        </is>
      </c>
      <c r="B304" s="10" t="inlineStr">
        <is>
          <t xml:space="preserve"> Blizzard</t>
        </is>
      </c>
      <c r="C304" s="11" t="inlineStr">
        <is>
          <t>Rustler 9</t>
        </is>
      </c>
      <c r="D304" s="13" t="n">
        <v>188</v>
      </c>
      <c r="E304" s="11" t="inlineStr">
        <is>
          <t xml:space="preserve"> Unisex</t>
        </is>
      </c>
      <c r="F304" s="13" t="n">
        <v>188</v>
      </c>
      <c r="G304" s="13" t="n">
        <v>186.7</v>
      </c>
      <c r="H304" s="13" t="n">
        <v>129</v>
      </c>
      <c r="I304" s="13" t="n">
        <v>158</v>
      </c>
      <c r="J304" s="13" t="n">
        <v>127</v>
      </c>
      <c r="K304" s="13" t="n">
        <v>93</v>
      </c>
      <c r="L304" s="13" t="n">
        <v>116</v>
      </c>
      <c r="M304" s="13" t="n">
        <v>19.4</v>
      </c>
      <c r="N304" s="13" t="n">
        <v>2205</v>
      </c>
      <c r="O304" s="13" t="n">
        <v>0.89</v>
      </c>
      <c r="P304" s="13" t="n">
        <v>1954</v>
      </c>
      <c r="Q304" s="13" t="n">
        <v>262</v>
      </c>
      <c r="R304" s="13" t="n">
        <v>135</v>
      </c>
      <c r="S304" s="13" t="n">
        <v>62</v>
      </c>
      <c r="T304" s="13" t="n">
        <v>343</v>
      </c>
      <c r="U304" s="13" t="n">
        <v>27</v>
      </c>
      <c r="V304" s="13" t="n">
        <v>238</v>
      </c>
      <c r="W304" s="13" t="n">
        <v>0.427</v>
      </c>
      <c r="X304" s="13" t="n">
        <v>158</v>
      </c>
      <c r="Y304" s="13" t="n">
        <v>131</v>
      </c>
      <c r="Z304" s="13" t="n">
        <v>185</v>
      </c>
      <c r="AA304" s="13" t="n">
        <v>5</v>
      </c>
      <c r="AB304" s="13" t="n">
        <v>7.5</v>
      </c>
      <c r="AC304" s="11" t="inlineStr">
        <is>
          <t xml:space="preserve"> Resort Freeride</t>
        </is>
      </c>
      <c r="AD304" s="13" t="n"/>
      <c r="AE304" s="13" t="n"/>
      <c r="AF304" s="13" t="n"/>
      <c r="AG304" s="13" t="n"/>
    </row>
    <row r="305">
      <c r="A305" s="9" t="inlineStr">
        <is>
          <t>21/22</t>
        </is>
      </c>
      <c r="B305" s="10" t="inlineStr">
        <is>
          <t xml:space="preserve"> Blizzard</t>
        </is>
      </c>
      <c r="C305" s="11" t="inlineStr">
        <is>
          <t>Sheeva 10</t>
        </is>
      </c>
      <c r="D305" s="13" t="n">
        <v>156</v>
      </c>
      <c r="E305" s="11" t="inlineStr">
        <is>
          <t xml:space="preserve"> Women's</t>
        </is>
      </c>
      <c r="F305" s="13" t="n">
        <v>156</v>
      </c>
      <c r="G305" s="13" t="n">
        <v>154.5</v>
      </c>
      <c r="H305" s="13" t="n">
        <v>90</v>
      </c>
      <c r="I305" s="13" t="n">
        <v>126</v>
      </c>
      <c r="J305" s="13" t="n">
        <v>131</v>
      </c>
      <c r="K305" s="13" t="n">
        <v>101</v>
      </c>
      <c r="L305" s="13" t="n">
        <v>120</v>
      </c>
      <c r="M305" s="13" t="n">
        <v>14</v>
      </c>
      <c r="N305" s="13" t="n">
        <v>1708</v>
      </c>
      <c r="O305" s="13" t="n">
        <v>1.01</v>
      </c>
      <c r="P305" s="13" t="n">
        <v>1721</v>
      </c>
      <c r="Q305" s="13" t="n">
        <v>134</v>
      </c>
      <c r="R305" s="13" t="n">
        <v>72</v>
      </c>
      <c r="S305" s="13" t="n">
        <v>68</v>
      </c>
      <c r="T305" s="13" t="n">
        <v>361</v>
      </c>
      <c r="U305" s="13" t="n">
        <v>39</v>
      </c>
      <c r="V305" s="13" t="n">
        <v>285</v>
      </c>
      <c r="W305" s="13" t="n">
        <v>0.5669999999999999</v>
      </c>
      <c r="X305" s="13" t="n">
        <v>157</v>
      </c>
      <c r="Y305" s="13" t="n">
        <v>130</v>
      </c>
      <c r="Z305" s="13" t="n">
        <v>204</v>
      </c>
      <c r="AA305" s="13" t="n">
        <v>3</v>
      </c>
      <c r="AB305" s="13" t="n">
        <v>7.2</v>
      </c>
      <c r="AC305" s="11" t="inlineStr">
        <is>
          <t xml:space="preserve"> Resort Freeride</t>
        </is>
      </c>
      <c r="AD305" s="11" t="inlineStr">
        <is>
          <t xml:space="preserve"> Powder</t>
        </is>
      </c>
      <c r="AE305" s="13" t="n"/>
      <c r="AF305" s="13" t="n"/>
      <c r="AG305" s="13" t="n"/>
    </row>
    <row r="306">
      <c r="A306" s="9" t="inlineStr">
        <is>
          <t>21/22</t>
        </is>
      </c>
      <c r="B306" s="10" t="inlineStr">
        <is>
          <t xml:space="preserve"> Blizzard</t>
        </is>
      </c>
      <c r="C306" s="11" t="inlineStr">
        <is>
          <t>Sheeva 10</t>
        </is>
      </c>
      <c r="D306" s="13" t="n">
        <v>164</v>
      </c>
      <c r="E306" s="11" t="inlineStr">
        <is>
          <t xml:space="preserve"> Women's</t>
        </is>
      </c>
      <c r="F306" s="13" t="n">
        <v>164</v>
      </c>
      <c r="G306" s="13" t="n">
        <v>162.4</v>
      </c>
      <c r="H306" s="13" t="n">
        <v>98</v>
      </c>
      <c r="I306" s="13" t="n">
        <v>133</v>
      </c>
      <c r="J306" s="13" t="n">
        <v>131</v>
      </c>
      <c r="K306" s="13" t="n">
        <v>101</v>
      </c>
      <c r="L306" s="13" t="n">
        <v>121</v>
      </c>
      <c r="M306" s="13" t="n">
        <v>15.3</v>
      </c>
      <c r="N306" s="13" t="n">
        <v>1807</v>
      </c>
      <c r="O306" s="13" t="n">
        <v>1</v>
      </c>
      <c r="P306" s="13" t="n">
        <v>1813</v>
      </c>
      <c r="Q306" s="13" t="n">
        <v>150</v>
      </c>
      <c r="R306" s="13" t="n">
        <v>75</v>
      </c>
      <c r="S306" s="13" t="n">
        <v>68</v>
      </c>
      <c r="T306" s="13" t="n">
        <v>359</v>
      </c>
      <c r="U306" s="13" t="n">
        <v>35</v>
      </c>
      <c r="V306" s="13" t="n">
        <v>280</v>
      </c>
      <c r="W306" s="13" t="n">
        <v>0.509</v>
      </c>
      <c r="X306" s="13" t="n">
        <v>156</v>
      </c>
      <c r="Y306" s="13" t="n">
        <v>139</v>
      </c>
      <c r="Z306" s="13" t="n">
        <v>204</v>
      </c>
      <c r="AA306" s="13" t="n">
        <v>4</v>
      </c>
      <c r="AB306" s="13" t="n">
        <v>7</v>
      </c>
      <c r="AC306" s="11" t="inlineStr">
        <is>
          <t xml:space="preserve"> Resort Freeride</t>
        </is>
      </c>
      <c r="AD306" s="11" t="inlineStr">
        <is>
          <t xml:space="preserve"> Powder</t>
        </is>
      </c>
      <c r="AE306" s="13" t="n"/>
      <c r="AF306" s="13" t="n"/>
      <c r="AG306" s="13" t="n"/>
    </row>
    <row r="307">
      <c r="A307" s="9" t="inlineStr">
        <is>
          <t>21/22</t>
        </is>
      </c>
      <c r="B307" s="10" t="inlineStr">
        <is>
          <t xml:space="preserve"> Blizzard</t>
        </is>
      </c>
      <c r="C307" s="11" t="inlineStr">
        <is>
          <t>Sheeva 10</t>
        </is>
      </c>
      <c r="D307" s="13" t="n">
        <v>172</v>
      </c>
      <c r="E307" s="11" t="inlineStr">
        <is>
          <t xml:space="preserve"> Women's</t>
        </is>
      </c>
      <c r="F307" s="13" t="n">
        <v>172</v>
      </c>
      <c r="G307" s="13" t="n">
        <v>170.1</v>
      </c>
      <c r="H307" s="13" t="n">
        <v>100</v>
      </c>
      <c r="I307" s="13" t="n">
        <v>141</v>
      </c>
      <c r="J307" s="13" t="n">
        <v>132</v>
      </c>
      <c r="K307" s="13" t="n">
        <v>101</v>
      </c>
      <c r="L307" s="13" t="n">
        <v>122</v>
      </c>
      <c r="M307" s="13" t="n">
        <v>17.1</v>
      </c>
      <c r="N307" s="13" t="n">
        <v>1919</v>
      </c>
      <c r="O307" s="13" t="n">
        <v>0.99</v>
      </c>
      <c r="P307" s="13" t="n">
        <v>1903</v>
      </c>
      <c r="Q307" s="13" t="n">
        <v>190</v>
      </c>
      <c r="R307" s="13" t="n">
        <v>106</v>
      </c>
      <c r="S307" s="13" t="n">
        <v>72</v>
      </c>
      <c r="T307" s="13" t="n">
        <v>387</v>
      </c>
      <c r="U307" s="13" t="n">
        <v>37</v>
      </c>
      <c r="V307" s="13" t="n">
        <v>313</v>
      </c>
      <c r="W307" s="13" t="n">
        <v>0.517</v>
      </c>
      <c r="X307" s="13" t="n">
        <v>147</v>
      </c>
      <c r="Y307" s="13" t="n">
        <v>145</v>
      </c>
      <c r="Z307" s="13" t="n">
        <v>240</v>
      </c>
      <c r="AA307" s="13" t="n">
        <v>3</v>
      </c>
      <c r="AB307" s="13" t="n">
        <v>7.5</v>
      </c>
      <c r="AC307" s="11" t="inlineStr">
        <is>
          <t xml:space="preserve"> Resort Freeride</t>
        </is>
      </c>
      <c r="AD307" s="11" t="inlineStr">
        <is>
          <t xml:space="preserve"> Powder</t>
        </is>
      </c>
      <c r="AE307" s="13" t="n"/>
      <c r="AF307" s="13" t="n"/>
      <c r="AG307" s="13" t="n"/>
    </row>
    <row r="308">
      <c r="A308" s="9" t="inlineStr">
        <is>
          <t>21/22</t>
        </is>
      </c>
      <c r="B308" s="10" t="inlineStr">
        <is>
          <t xml:space="preserve"> Blizzard</t>
        </is>
      </c>
      <c r="C308" s="11" t="inlineStr">
        <is>
          <t>Sheeva 11</t>
        </is>
      </c>
      <c r="D308" s="13" t="n">
        <v>164</v>
      </c>
      <c r="E308" s="11" t="inlineStr">
        <is>
          <t xml:space="preserve"> Women's</t>
        </is>
      </c>
      <c r="F308" s="13" t="n">
        <v>164</v>
      </c>
      <c r="G308" s="13" t="n">
        <v>162.8</v>
      </c>
      <c r="H308" s="13" t="n">
        <v>92</v>
      </c>
      <c r="I308" s="13" t="n">
        <v>131</v>
      </c>
      <c r="J308" s="13" t="n">
        <v>138</v>
      </c>
      <c r="K308" s="13" t="n">
        <v>112</v>
      </c>
      <c r="L308" s="13" t="n">
        <v>128</v>
      </c>
      <c r="M308" s="13" t="n">
        <v>17.4</v>
      </c>
      <c r="N308" s="13" t="n">
        <v>1810</v>
      </c>
      <c r="O308" s="13" t="n">
        <v>1.08</v>
      </c>
      <c r="P308" s="13" t="n">
        <v>1955</v>
      </c>
      <c r="Q308" s="13" t="n">
        <v>161</v>
      </c>
      <c r="R308" s="13" t="n">
        <v>97</v>
      </c>
      <c r="S308" s="13" t="n">
        <v>67</v>
      </c>
      <c r="T308" s="13" t="n">
        <v>403</v>
      </c>
      <c r="U308" s="13" t="n">
        <v>27</v>
      </c>
      <c r="V308" s="13" t="n">
        <v>309</v>
      </c>
      <c r="W308" s="13" t="n">
        <v>0.403</v>
      </c>
      <c r="X308" s="13" t="n">
        <v>167</v>
      </c>
      <c r="Y308" s="13" t="n">
        <v>150</v>
      </c>
      <c r="Z308" s="13" t="n">
        <v>235</v>
      </c>
      <c r="AA308" s="13" t="n">
        <v>3</v>
      </c>
      <c r="AB308" s="13" t="n">
        <v>7.6</v>
      </c>
      <c r="AC308" s="11" t="inlineStr">
        <is>
          <t xml:space="preserve"> Powder</t>
        </is>
      </c>
      <c r="AD308" s="11" t="inlineStr">
        <is>
          <t xml:space="preserve"> Touring</t>
        </is>
      </c>
      <c r="AE308" s="13" t="n"/>
      <c r="AF308" s="13" t="n"/>
      <c r="AG308" s="13" t="n"/>
    </row>
    <row r="309">
      <c r="A309" s="9" t="inlineStr">
        <is>
          <t>21/22</t>
        </is>
      </c>
      <c r="B309" s="10" t="inlineStr">
        <is>
          <t xml:space="preserve"> Blizzard</t>
        </is>
      </c>
      <c r="C309" s="11" t="inlineStr">
        <is>
          <t>Sheeva 9</t>
        </is>
      </c>
      <c r="D309" s="13" t="n">
        <v>148</v>
      </c>
      <c r="E309" s="11" t="inlineStr">
        <is>
          <t xml:space="preserve"> Women's</t>
        </is>
      </c>
      <c r="F309" s="13" t="n">
        <v>148</v>
      </c>
      <c r="G309" s="13" t="n">
        <v>147.3</v>
      </c>
      <c r="H309" s="13" t="n">
        <v>103</v>
      </c>
      <c r="I309" s="13" t="n">
        <v>115</v>
      </c>
      <c r="J309" s="13" t="n">
        <v>117</v>
      </c>
      <c r="K309" s="13" t="n">
        <v>89</v>
      </c>
      <c r="L309" s="13" t="n">
        <v>107</v>
      </c>
      <c r="M309" s="13" t="n">
        <v>12.7</v>
      </c>
      <c r="N309" s="13" t="n">
        <v>1323</v>
      </c>
      <c r="O309" s="13" t="n">
        <v>1.1</v>
      </c>
      <c r="P309" s="13" t="n">
        <v>1457</v>
      </c>
      <c r="Q309" s="13" t="n">
        <v>122</v>
      </c>
      <c r="R309" s="13" t="n">
        <v>59</v>
      </c>
      <c r="S309" s="13" t="n">
        <v>48</v>
      </c>
      <c r="T309" s="13" t="n">
        <v>269</v>
      </c>
      <c r="U309" s="13" t="n">
        <v>21</v>
      </c>
      <c r="V309" s="13" t="n">
        <v>172</v>
      </c>
      <c r="W309" s="13" t="n">
        <v>0.435</v>
      </c>
      <c r="X309" s="13" t="n">
        <v>149</v>
      </c>
      <c r="Y309" s="13" t="n">
        <v>174</v>
      </c>
      <c r="Z309" s="13" t="n">
        <v>121</v>
      </c>
      <c r="AA309" s="13" t="n">
        <v>5</v>
      </c>
      <c r="AB309" s="13" t="n">
        <v>6.5</v>
      </c>
      <c r="AC309" s="11" t="inlineStr">
        <is>
          <t xml:space="preserve"> Resort Freeride</t>
        </is>
      </c>
      <c r="AD309" s="11" t="inlineStr">
        <is>
          <t xml:space="preserve"> Touring</t>
        </is>
      </c>
      <c r="AE309" s="13" t="n"/>
      <c r="AF309" s="13" t="n"/>
      <c r="AG309" s="13" t="n"/>
    </row>
    <row r="310">
      <c r="A310" s="9" t="inlineStr">
        <is>
          <t>21/22</t>
        </is>
      </c>
      <c r="B310" s="10" t="inlineStr">
        <is>
          <t xml:space="preserve"> Blizzard</t>
        </is>
      </c>
      <c r="C310" s="11" t="inlineStr">
        <is>
          <t>Sheeva 9</t>
        </is>
      </c>
      <c r="D310" s="13" t="n">
        <v>157</v>
      </c>
      <c r="E310" s="11" t="inlineStr">
        <is>
          <t xml:space="preserve"> Women's</t>
        </is>
      </c>
      <c r="F310" s="13" t="n">
        <v>157</v>
      </c>
      <c r="G310" s="13" t="n">
        <v>155.7</v>
      </c>
      <c r="H310" s="13" t="n">
        <v>104</v>
      </c>
      <c r="I310" s="13" t="n">
        <v>127</v>
      </c>
      <c r="J310" s="13" t="n">
        <v>122</v>
      </c>
      <c r="K310" s="13" t="n">
        <v>91</v>
      </c>
      <c r="L310" s="13" t="n">
        <v>112</v>
      </c>
      <c r="M310" s="13" t="n">
        <v>13.9</v>
      </c>
      <c r="N310" s="13" t="n">
        <v>1689</v>
      </c>
      <c r="O310" s="13" t="n">
        <v>0.9399999999999999</v>
      </c>
      <c r="P310" s="13" t="n">
        <v>1585</v>
      </c>
      <c r="Q310" s="13" t="n">
        <v>161</v>
      </c>
      <c r="R310" s="13" t="n">
        <v>83</v>
      </c>
      <c r="S310" s="13" t="n">
        <v>63</v>
      </c>
      <c r="T310" s="13" t="n">
        <v>307</v>
      </c>
      <c r="U310" s="13" t="n">
        <v>28</v>
      </c>
      <c r="V310" s="13" t="n">
        <v>206</v>
      </c>
      <c r="W310" s="13" t="n">
        <v>0.442</v>
      </c>
      <c r="X310" s="13" t="n">
        <v>146</v>
      </c>
      <c r="Y310" s="13" t="n">
        <v>137</v>
      </c>
      <c r="Z310" s="13" t="n">
        <v>160</v>
      </c>
      <c r="AA310" s="13" t="n">
        <v>4</v>
      </c>
      <c r="AB310" s="13" t="n">
        <v>6.3</v>
      </c>
      <c r="AC310" s="11" t="inlineStr">
        <is>
          <t xml:space="preserve"> Resort Freeride</t>
        </is>
      </c>
      <c r="AD310" s="13" t="n"/>
      <c r="AE310" s="13" t="n"/>
      <c r="AF310" s="13" t="n"/>
      <c r="AG310" s="13" t="n"/>
    </row>
    <row r="311">
      <c r="A311" s="9" t="inlineStr">
        <is>
          <t>21/22</t>
        </is>
      </c>
      <c r="B311" s="10" t="inlineStr">
        <is>
          <t xml:space="preserve"> Blizzard</t>
        </is>
      </c>
      <c r="C311" s="11" t="inlineStr">
        <is>
          <t>Sheeva 9</t>
        </is>
      </c>
      <c r="D311" s="13" t="n">
        <v>164</v>
      </c>
      <c r="E311" s="11" t="inlineStr">
        <is>
          <t xml:space="preserve"> Women's</t>
        </is>
      </c>
      <c r="F311" s="13" t="n">
        <v>164</v>
      </c>
      <c r="G311" s="13" t="n">
        <v>162.8</v>
      </c>
      <c r="H311" s="13" t="n">
        <v>110</v>
      </c>
      <c r="I311" s="13" t="n">
        <v>135</v>
      </c>
      <c r="J311" s="13" t="n">
        <v>124</v>
      </c>
      <c r="K311" s="13" t="n">
        <v>91</v>
      </c>
      <c r="L311" s="13" t="n">
        <v>113</v>
      </c>
      <c r="M311" s="13" t="n">
        <v>14.4</v>
      </c>
      <c r="N311" s="13" t="n">
        <v>1799</v>
      </c>
      <c r="O311" s="13" t="n">
        <v>0.93</v>
      </c>
      <c r="P311" s="13" t="n">
        <v>1673</v>
      </c>
      <c r="Q311" s="13" t="n">
        <v>185</v>
      </c>
      <c r="R311" s="13" t="n">
        <v>88</v>
      </c>
      <c r="S311" s="13" t="n">
        <v>61</v>
      </c>
      <c r="T311" s="13" t="n">
        <v>303</v>
      </c>
      <c r="U311" s="13" t="n">
        <v>28</v>
      </c>
      <c r="V311" s="13" t="n">
        <v>223</v>
      </c>
      <c r="W311" s="13" t="n">
        <v>0.454</v>
      </c>
      <c r="X311" s="13" t="n">
        <v>147</v>
      </c>
      <c r="Y311" s="13" t="n">
        <v>134</v>
      </c>
      <c r="Z311" s="13" t="n">
        <v>156</v>
      </c>
      <c r="AA311" s="13" t="n">
        <v>4</v>
      </c>
      <c r="AB311" s="13" t="n">
        <v>7.2</v>
      </c>
      <c r="AC311" s="11" t="inlineStr">
        <is>
          <t xml:space="preserve"> Resort Freeride</t>
        </is>
      </c>
      <c r="AD311" s="13" t="n"/>
      <c r="AE311" s="13" t="n"/>
      <c r="AF311" s="13" t="n"/>
      <c r="AG311" s="13" t="n"/>
    </row>
    <row r="312">
      <c r="A312" s="9" t="inlineStr">
        <is>
          <t>21/22</t>
        </is>
      </c>
      <c r="B312" s="10" t="inlineStr">
        <is>
          <t xml:space="preserve"> Blizzard</t>
        </is>
      </c>
      <c r="C312" s="11" t="inlineStr">
        <is>
          <t>Sheeva 9</t>
        </is>
      </c>
      <c r="D312" s="13" t="n">
        <v>172</v>
      </c>
      <c r="E312" s="11" t="inlineStr">
        <is>
          <t xml:space="preserve"> Women's</t>
        </is>
      </c>
      <c r="F312" s="13" t="n">
        <v>172</v>
      </c>
      <c r="G312" s="13" t="n">
        <v>170.8</v>
      </c>
      <c r="H312" s="13" t="n">
        <v>115</v>
      </c>
      <c r="I312" s="13" t="n">
        <v>142</v>
      </c>
      <c r="J312" s="13" t="n">
        <v>124</v>
      </c>
      <c r="K312" s="13" t="n">
        <v>91</v>
      </c>
      <c r="L312" s="13" t="n">
        <v>114</v>
      </c>
      <c r="M312" s="13" t="n">
        <v>16.4</v>
      </c>
      <c r="N312" s="13" t="n">
        <v>1938</v>
      </c>
      <c r="O312" s="13" t="n">
        <v>0.91</v>
      </c>
      <c r="P312" s="13" t="n">
        <v>1757</v>
      </c>
      <c r="Q312" s="13" t="n">
        <v>190</v>
      </c>
      <c r="R312" s="13" t="n">
        <v>95</v>
      </c>
      <c r="S312" s="13" t="n">
        <v>65</v>
      </c>
      <c r="T312" s="13" t="n">
        <v>325</v>
      </c>
      <c r="U312" s="13" t="n">
        <v>31</v>
      </c>
      <c r="V312" s="13" t="n">
        <v>237</v>
      </c>
      <c r="W312" s="13" t="n">
        <v>0.485</v>
      </c>
      <c r="X312" s="13" t="n">
        <v>146</v>
      </c>
      <c r="Y312" s="13" t="n">
        <v>138</v>
      </c>
      <c r="Z312" s="13" t="n">
        <v>179</v>
      </c>
      <c r="AA312" s="13" t="n">
        <v>4</v>
      </c>
      <c r="AB312" s="13" t="n">
        <v>8</v>
      </c>
      <c r="AC312" s="11" t="inlineStr">
        <is>
          <t xml:space="preserve"> Resort Freeride</t>
        </is>
      </c>
      <c r="AD312" s="13" t="n"/>
      <c r="AE312" s="13" t="n"/>
      <c r="AF312" s="13" t="n"/>
      <c r="AG312" s="13" t="n"/>
    </row>
    <row r="313">
      <c r="A313" s="9" t="inlineStr">
        <is>
          <t>21/22</t>
        </is>
      </c>
      <c r="B313" s="10" t="inlineStr">
        <is>
          <t xml:space="preserve"> Blizzard</t>
        </is>
      </c>
      <c r="C313" s="11" t="inlineStr">
        <is>
          <t xml:space="preserve"> Spur</t>
        </is>
      </c>
      <c r="D313" s="13" t="n">
        <v>159</v>
      </c>
      <c r="E313" s="11" t="inlineStr">
        <is>
          <t xml:space="preserve"> Unisex</t>
        </is>
      </c>
      <c r="F313" s="13" t="n">
        <v>159</v>
      </c>
      <c r="G313" s="13" t="n">
        <v>158.3</v>
      </c>
      <c r="H313" s="13" t="n">
        <v>80</v>
      </c>
      <c r="I313" s="13" t="n">
        <v>108</v>
      </c>
      <c r="J313" s="13" t="n">
        <v>145</v>
      </c>
      <c r="K313" s="13" t="n">
        <v>124</v>
      </c>
      <c r="L313" s="13" t="n">
        <v>129</v>
      </c>
      <c r="M313" s="13" t="n">
        <v>20.7</v>
      </c>
      <c r="N313" s="13" t="n">
        <v>1702</v>
      </c>
      <c r="O313" s="13" t="n">
        <v>1.2</v>
      </c>
      <c r="P313" s="13" t="n">
        <v>2044</v>
      </c>
      <c r="Q313" s="13" t="n">
        <v>138</v>
      </c>
      <c r="R313" s="13" t="n">
        <v>86</v>
      </c>
      <c r="S313" s="13" t="n">
        <v>53</v>
      </c>
      <c r="T313" s="13" t="n">
        <v>489</v>
      </c>
      <c r="U313" s="13" t="n">
        <v>15</v>
      </c>
      <c r="V313" s="13" t="n">
        <v>293</v>
      </c>
      <c r="W313" s="13" t="n">
        <v>0.279</v>
      </c>
      <c r="X313" s="13" t="n">
        <v>272</v>
      </c>
      <c r="Y313" s="13" t="n">
        <v>231</v>
      </c>
      <c r="Z313" s="13" t="n">
        <v>217</v>
      </c>
      <c r="AA313" s="13" t="n">
        <v>2</v>
      </c>
      <c r="AB313" s="13" t="n">
        <v>10.8</v>
      </c>
      <c r="AC313" s="11" t="inlineStr">
        <is>
          <t xml:space="preserve"> Big Mountain</t>
        </is>
      </c>
      <c r="AD313" s="11" t="inlineStr">
        <is>
          <t xml:space="preserve"> Touring</t>
        </is>
      </c>
      <c r="AE313" s="13" t="n"/>
      <c r="AF313" s="13" t="n"/>
      <c r="AG313" s="13" t="n"/>
    </row>
    <row r="314">
      <c r="A314" s="9" t="inlineStr">
        <is>
          <t>21/22</t>
        </is>
      </c>
      <c r="B314" s="10" t="inlineStr">
        <is>
          <t xml:space="preserve"> Blizzard</t>
        </is>
      </c>
      <c r="C314" s="11" t="inlineStr">
        <is>
          <t xml:space="preserve"> Spur</t>
        </is>
      </c>
      <c r="D314" s="13" t="n">
        <v>179</v>
      </c>
      <c r="E314" s="11" t="inlineStr">
        <is>
          <t xml:space="preserve"> Unisex</t>
        </is>
      </c>
      <c r="F314" s="13" t="n">
        <v>179</v>
      </c>
      <c r="G314" s="13" t="n">
        <v>177.8</v>
      </c>
      <c r="H314" s="13" t="n">
        <v>108</v>
      </c>
      <c r="I314" s="13" t="n">
        <v>132</v>
      </c>
      <c r="J314" s="13" t="n">
        <v>147</v>
      </c>
      <c r="K314" s="13" t="n">
        <v>126</v>
      </c>
      <c r="L314" s="13" t="n">
        <v>135</v>
      </c>
      <c r="M314" s="13" t="n">
        <v>25</v>
      </c>
      <c r="N314" s="13" t="n">
        <v>2094</v>
      </c>
      <c r="O314" s="13" t="n">
        <v>1.11</v>
      </c>
      <c r="P314" s="13" t="n">
        <v>2332</v>
      </c>
      <c r="Q314" s="13" t="n">
        <v>234</v>
      </c>
      <c r="R314" s="13" t="n">
        <v>128</v>
      </c>
      <c r="S314" s="13" t="n">
        <v>61</v>
      </c>
      <c r="T314" s="13" t="n">
        <v>443</v>
      </c>
      <c r="U314" s="13" t="n">
        <v>17</v>
      </c>
      <c r="V314" s="13" t="n">
        <v>260</v>
      </c>
      <c r="W314" s="13" t="n">
        <v>0.275</v>
      </c>
      <c r="X314" s="13" t="n">
        <v>233</v>
      </c>
      <c r="Y314" s="13" t="n">
        <v>229</v>
      </c>
      <c r="Z314" s="13" t="n">
        <v>209</v>
      </c>
      <c r="AA314" s="13" t="n">
        <v>1</v>
      </c>
      <c r="AB314" s="13" t="n">
        <v>10.6</v>
      </c>
      <c r="AC314" s="11" t="inlineStr">
        <is>
          <t xml:space="preserve"> Big Mountain</t>
        </is>
      </c>
      <c r="AD314" s="11" t="inlineStr">
        <is>
          <t xml:space="preserve"> Touring</t>
        </is>
      </c>
      <c r="AE314" s="13" t="n"/>
      <c r="AF314" s="13" t="n"/>
      <c r="AG314" s="13" t="n"/>
    </row>
    <row r="315">
      <c r="A315" s="9" t="inlineStr">
        <is>
          <t>21/22</t>
        </is>
      </c>
      <c r="B315" s="10" t="inlineStr">
        <is>
          <t xml:space="preserve"> Blizzard</t>
        </is>
      </c>
      <c r="C315" s="11" t="inlineStr">
        <is>
          <t xml:space="preserve"> Spur</t>
        </is>
      </c>
      <c r="D315" s="13" t="n">
        <v>189</v>
      </c>
      <c r="E315" s="11" t="inlineStr">
        <is>
          <t xml:space="preserve"> Unisex</t>
        </is>
      </c>
      <c r="F315" s="13" t="n">
        <v>189</v>
      </c>
      <c r="G315" s="13" t="n">
        <v>188.3</v>
      </c>
      <c r="H315" s="13" t="n">
        <v>131</v>
      </c>
      <c r="I315" s="13" t="n">
        <v>137</v>
      </c>
      <c r="J315" s="13" t="n">
        <v>148</v>
      </c>
      <c r="K315" s="13" t="n">
        <v>127</v>
      </c>
      <c r="L315" s="13" t="n">
        <v>135</v>
      </c>
      <c r="M315" s="13" t="n">
        <v>30.2</v>
      </c>
      <c r="N315" s="13" t="n">
        <v>2214</v>
      </c>
      <c r="O315" s="13" t="n">
        <v>1.12</v>
      </c>
      <c r="P315" s="13" t="n">
        <v>2489</v>
      </c>
      <c r="Q315" s="13" t="n">
        <v>298</v>
      </c>
      <c r="R315" s="13" t="n">
        <v>163</v>
      </c>
      <c r="S315" s="13" t="n">
        <v>53</v>
      </c>
      <c r="T315" s="13" t="n">
        <v>445</v>
      </c>
      <c r="U315" s="13" t="n">
        <v>14</v>
      </c>
      <c r="V315" s="13" t="n">
        <v>131</v>
      </c>
      <c r="W315" s="13" t="n">
        <v>0.267</v>
      </c>
      <c r="X315" s="13" t="n">
        <v>273</v>
      </c>
      <c r="Y315" s="13" t="n">
        <v>242</v>
      </c>
      <c r="Z315" s="13" t="n">
        <v>172</v>
      </c>
      <c r="AA315" s="13" t="n">
        <v>3</v>
      </c>
      <c r="AB315" s="13" t="n">
        <v>10.7</v>
      </c>
      <c r="AC315" s="11" t="inlineStr">
        <is>
          <t xml:space="preserve"> Big Mountain</t>
        </is>
      </c>
      <c r="AD315" s="11" t="inlineStr">
        <is>
          <t xml:space="preserve"> Touring</t>
        </is>
      </c>
      <c r="AE315" s="13" t="n"/>
      <c r="AF315" s="13" t="n"/>
      <c r="AG315" s="13" t="n"/>
    </row>
    <row r="316">
      <c r="A316" s="9" t="inlineStr">
        <is>
          <t>21/22</t>
        </is>
      </c>
      <c r="B316" s="10" t="inlineStr">
        <is>
          <t xml:space="preserve"> Blizzard</t>
        </is>
      </c>
      <c r="C316" s="11" t="inlineStr">
        <is>
          <t xml:space="preserve"> SRC</t>
        </is>
      </c>
      <c r="D316" s="13" t="n">
        <v>155</v>
      </c>
      <c r="E316" s="11" t="inlineStr">
        <is>
          <t xml:space="preserve"> Unisex</t>
        </is>
      </c>
      <c r="F316" s="13" t="n">
        <v>155</v>
      </c>
      <c r="G316" s="13" t="n">
        <v>154.1</v>
      </c>
      <c r="H316" s="13" t="n">
        <v>135</v>
      </c>
      <c r="I316" s="13" t="n">
        <v>141</v>
      </c>
      <c r="J316" s="13" t="n">
        <v>120</v>
      </c>
      <c r="K316" s="13" t="n">
        <v>70</v>
      </c>
      <c r="L316" s="13" t="n">
        <v>103</v>
      </c>
      <c r="M316" s="13" t="n">
        <v>11.5</v>
      </c>
      <c r="N316" s="13" t="n">
        <v>1931</v>
      </c>
      <c r="O316" s="13" t="n">
        <v>0.68</v>
      </c>
      <c r="P316" s="13" t="n">
        <v>1318</v>
      </c>
      <c r="Q316" s="13" t="n">
        <v>180</v>
      </c>
      <c r="R316" s="13" t="n">
        <v>121</v>
      </c>
      <c r="S316" s="13" t="n">
        <v>40</v>
      </c>
      <c r="T316" s="13" t="n">
        <v>140</v>
      </c>
      <c r="U316" s="13" t="n">
        <v>5</v>
      </c>
      <c r="V316" s="13" t="n">
        <v>47</v>
      </c>
      <c r="W316" s="13" t="n">
        <v>0.124</v>
      </c>
      <c r="X316" s="13" t="n">
        <v>74</v>
      </c>
      <c r="Y316" s="13" t="n">
        <v>56</v>
      </c>
      <c r="Z316" s="13" t="n">
        <v>66</v>
      </c>
      <c r="AA316" s="13" t="n">
        <v>13</v>
      </c>
      <c r="AB316" s="13" t="n">
        <v>12.3</v>
      </c>
      <c r="AC316" s="11" t="inlineStr">
        <is>
          <t xml:space="preserve"> On-Piste Carving</t>
        </is>
      </c>
      <c r="AD316" s="13" t="n"/>
      <c r="AE316" s="13" t="n"/>
      <c r="AF316" s="13" t="n"/>
      <c r="AG316" s="13" t="n"/>
    </row>
    <row r="317">
      <c r="A317" s="9" t="inlineStr">
        <is>
          <t>21/22</t>
        </is>
      </c>
      <c r="B317" s="10" t="inlineStr">
        <is>
          <t xml:space="preserve"> Blizzard</t>
        </is>
      </c>
      <c r="C317" s="11" t="inlineStr">
        <is>
          <t xml:space="preserve"> SRC</t>
        </is>
      </c>
      <c r="D317" s="13" t="n">
        <v>160</v>
      </c>
      <c r="E317" s="11" t="inlineStr">
        <is>
          <t xml:space="preserve"> Unisex</t>
        </is>
      </c>
      <c r="F317" s="13" t="n">
        <v>160</v>
      </c>
      <c r="G317" s="13" t="n">
        <v>159.1</v>
      </c>
      <c r="H317" s="13" t="n">
        <v>141</v>
      </c>
      <c r="I317" s="13" t="n">
        <v>146</v>
      </c>
      <c r="J317" s="13" t="n">
        <v>119</v>
      </c>
      <c r="K317" s="13" t="n">
        <v>69</v>
      </c>
      <c r="L317" s="13" t="n">
        <v>103</v>
      </c>
      <c r="M317" s="13" t="n">
        <v>12.2</v>
      </c>
      <c r="N317" s="13" t="n">
        <v>1970</v>
      </c>
      <c r="O317" s="13" t="n">
        <v>0.6899999999999999</v>
      </c>
      <c r="P317" s="13" t="n">
        <v>1350</v>
      </c>
      <c r="Q317" s="13" t="n">
        <v>195</v>
      </c>
      <c r="R317" s="13" t="n">
        <v>125</v>
      </c>
      <c r="S317" s="13" t="n">
        <v>39</v>
      </c>
      <c r="T317" s="13" t="n">
        <v>136</v>
      </c>
      <c r="U317" s="13" t="n">
        <v>5</v>
      </c>
      <c r="V317" s="13" t="n">
        <v>48</v>
      </c>
      <c r="W317" s="13" t="n">
        <v>0.117</v>
      </c>
      <c r="X317" s="13" t="n">
        <v>70</v>
      </c>
      <c r="Y317" s="13" t="n">
        <v>57</v>
      </c>
      <c r="Z317" s="13" t="n">
        <v>66</v>
      </c>
      <c r="AA317" s="13" t="n">
        <v>15</v>
      </c>
      <c r="AB317" s="13" t="n">
        <v>11.8</v>
      </c>
      <c r="AC317" s="11" t="inlineStr">
        <is>
          <t xml:space="preserve"> On-Piste Carving</t>
        </is>
      </c>
      <c r="AD317" s="13" t="n"/>
      <c r="AE317" s="13" t="n"/>
      <c r="AF317" s="13" t="n"/>
      <c r="AG317" s="13" t="n"/>
    </row>
    <row r="318">
      <c r="A318" s="9" t="inlineStr">
        <is>
          <t>21/22</t>
        </is>
      </c>
      <c r="B318" s="10" t="inlineStr">
        <is>
          <t xml:space="preserve"> Blizzard</t>
        </is>
      </c>
      <c r="C318" s="11" t="inlineStr">
        <is>
          <t xml:space="preserve"> SRC</t>
        </is>
      </c>
      <c r="D318" s="13" t="n">
        <v>165</v>
      </c>
      <c r="E318" s="11" t="inlineStr">
        <is>
          <t xml:space="preserve"> Unisex</t>
        </is>
      </c>
      <c r="F318" s="13" t="n">
        <v>165</v>
      </c>
      <c r="G318" s="13" t="n">
        <v>163.9</v>
      </c>
      <c r="H318" s="13" t="n">
        <v>145</v>
      </c>
      <c r="I318" s="13" t="n">
        <v>151</v>
      </c>
      <c r="J318" s="13" t="n">
        <v>121</v>
      </c>
      <c r="K318" s="13" t="n">
        <v>70</v>
      </c>
      <c r="L318" s="13" t="n">
        <v>104</v>
      </c>
      <c r="M318" s="13" t="n">
        <v>12.9</v>
      </c>
      <c r="N318" s="13" t="n">
        <v>2006</v>
      </c>
      <c r="O318" s="13" t="n">
        <v>0.7</v>
      </c>
      <c r="P318" s="13" t="n">
        <v>1404</v>
      </c>
      <c r="Q318" s="13" t="n">
        <v>199</v>
      </c>
      <c r="R318" s="13" t="n">
        <v>127</v>
      </c>
      <c r="S318" s="13" t="n">
        <v>38</v>
      </c>
      <c r="T318" s="13" t="n">
        <v>138</v>
      </c>
      <c r="U318" s="13" t="n">
        <v>7</v>
      </c>
      <c r="V318" s="13" t="n">
        <v>52</v>
      </c>
      <c r="W318" s="13" t="n">
        <v>0.183</v>
      </c>
      <c r="X318" s="13" t="n">
        <v>72</v>
      </c>
      <c r="Y318" s="13" t="n">
        <v>55</v>
      </c>
      <c r="Z318" s="13" t="n">
        <v>66</v>
      </c>
      <c r="AA318" s="13" t="n">
        <v>12</v>
      </c>
      <c r="AB318" s="13" t="n">
        <v>11.9</v>
      </c>
      <c r="AC318" s="11" t="inlineStr">
        <is>
          <t xml:space="preserve"> On-Piste Carving</t>
        </is>
      </c>
      <c r="AD318" s="13" t="n"/>
      <c r="AE318" s="13" t="n"/>
      <c r="AF318" s="13" t="n"/>
      <c r="AG318" s="13" t="n"/>
    </row>
    <row r="319">
      <c r="A319" s="9" t="inlineStr">
        <is>
          <t>21/22</t>
        </is>
      </c>
      <c r="B319" s="10" t="inlineStr">
        <is>
          <t xml:space="preserve"> Blizzard</t>
        </is>
      </c>
      <c r="C319" s="11" t="inlineStr">
        <is>
          <t>Thunderbird R13</t>
        </is>
      </c>
      <c r="D319" s="13" t="n">
        <v>160</v>
      </c>
      <c r="E319" s="11" t="inlineStr">
        <is>
          <t xml:space="preserve"> Unisex</t>
        </is>
      </c>
      <c r="F319" s="13" t="n">
        <v>160</v>
      </c>
      <c r="G319" s="13" t="n">
        <v>158.9</v>
      </c>
      <c r="H319" s="13" t="n">
        <v>139</v>
      </c>
      <c r="I319" s="13" t="n">
        <v>146</v>
      </c>
      <c r="J319" s="13" t="n">
        <v>122</v>
      </c>
      <c r="K319" s="13" t="n">
        <v>71</v>
      </c>
      <c r="L319" s="13" t="n">
        <v>105</v>
      </c>
      <c r="M319" s="13" t="n">
        <v>12.4</v>
      </c>
      <c r="N319" s="13" t="n">
        <v>2080</v>
      </c>
      <c r="O319" s="13" t="n">
        <v>0.67</v>
      </c>
      <c r="P319" s="13" t="n">
        <v>1384</v>
      </c>
      <c r="Q319" s="13" t="n">
        <v>178</v>
      </c>
      <c r="R319" s="13" t="n">
        <v>113</v>
      </c>
      <c r="S319" s="13" t="n">
        <v>43</v>
      </c>
      <c r="T319" s="13" t="n">
        <v>143</v>
      </c>
      <c r="U319" s="13" t="n">
        <v>7</v>
      </c>
      <c r="V319" s="13" t="n">
        <v>55</v>
      </c>
      <c r="W319" s="13" t="n">
        <v>0.156</v>
      </c>
      <c r="X319" s="13" t="n">
        <v>75</v>
      </c>
      <c r="Y319" s="13" t="n">
        <v>54</v>
      </c>
      <c r="Z319" s="13" t="n">
        <v>68</v>
      </c>
      <c r="AA319" s="13" t="n">
        <v>10</v>
      </c>
      <c r="AB319" s="13" t="n">
        <v>12.1</v>
      </c>
      <c r="AC319" s="11" t="inlineStr">
        <is>
          <t xml:space="preserve"> On-Piste Carving</t>
        </is>
      </c>
      <c r="AD319" s="13" t="n"/>
      <c r="AE319" s="13" t="n"/>
      <c r="AF319" s="13" t="n"/>
      <c r="AG319" s="13" t="n"/>
    </row>
    <row r="320">
      <c r="A320" s="9" t="inlineStr">
        <is>
          <t>21/22</t>
        </is>
      </c>
      <c r="B320" s="10" t="inlineStr">
        <is>
          <t xml:space="preserve"> Blizzard</t>
        </is>
      </c>
      <c r="C320" s="11" t="inlineStr">
        <is>
          <t>Thunderbird R13</t>
        </is>
      </c>
      <c r="D320" s="13" t="n">
        <v>165</v>
      </c>
      <c r="E320" s="11" t="inlineStr">
        <is>
          <t xml:space="preserve"> Unisex</t>
        </is>
      </c>
      <c r="F320" s="13" t="n">
        <v>165</v>
      </c>
      <c r="G320" s="13" t="n">
        <v>163.7</v>
      </c>
      <c r="H320" s="13" t="n">
        <v>144</v>
      </c>
      <c r="I320" s="13" t="n">
        <v>151</v>
      </c>
      <c r="J320" s="13" t="n">
        <v>122</v>
      </c>
      <c r="K320" s="13" t="n">
        <v>70</v>
      </c>
      <c r="L320" s="13" t="n">
        <v>105</v>
      </c>
      <c r="M320" s="13" t="n">
        <v>13</v>
      </c>
      <c r="N320" s="13" t="n">
        <v>2126</v>
      </c>
      <c r="O320" s="13" t="n">
        <v>0.67</v>
      </c>
      <c r="P320" s="13" t="n">
        <v>1415</v>
      </c>
      <c r="Q320" s="13" t="n">
        <v>198</v>
      </c>
      <c r="R320" s="13" t="n">
        <v>120</v>
      </c>
      <c r="S320" s="13" t="n">
        <v>43</v>
      </c>
      <c r="T320" s="13" t="n">
        <v>143</v>
      </c>
      <c r="U320" s="13" t="n">
        <v>7</v>
      </c>
      <c r="V320" s="13" t="n">
        <v>58</v>
      </c>
      <c r="W320" s="13" t="n">
        <v>0.164</v>
      </c>
      <c r="X320" s="13" t="n">
        <v>68</v>
      </c>
      <c r="Y320" s="13" t="n">
        <v>57</v>
      </c>
      <c r="Z320" s="13" t="n">
        <v>76</v>
      </c>
      <c r="AA320" s="13" t="n">
        <v>9</v>
      </c>
      <c r="AB320" s="13" t="n">
        <v>11.9</v>
      </c>
      <c r="AC320" s="11" t="inlineStr">
        <is>
          <t xml:space="preserve"> On-Piste Carving</t>
        </is>
      </c>
      <c r="AD320" s="13" t="n"/>
      <c r="AE320" s="13" t="n"/>
      <c r="AF320" s="13" t="n"/>
      <c r="AG320" s="13" t="n"/>
    </row>
    <row r="321">
      <c r="A321" s="9" t="inlineStr">
        <is>
          <t>21/22</t>
        </is>
      </c>
      <c r="B321" s="10" t="inlineStr">
        <is>
          <t xml:space="preserve"> Blizzard</t>
        </is>
      </c>
      <c r="C321" s="11" t="inlineStr">
        <is>
          <t>Thunderbird R15 WB</t>
        </is>
      </c>
      <c r="D321" s="13" t="n">
        <v>166</v>
      </c>
      <c r="E321" s="11" t="inlineStr">
        <is>
          <t xml:space="preserve"> Unisex</t>
        </is>
      </c>
      <c r="F321" s="13" t="n">
        <v>166</v>
      </c>
      <c r="G321" s="13" t="n">
        <v>165.1</v>
      </c>
      <c r="H321" s="13" t="n">
        <v>146</v>
      </c>
      <c r="I321" s="13" t="n">
        <v>153</v>
      </c>
      <c r="J321" s="13" t="n">
        <v>124</v>
      </c>
      <c r="K321" s="13" t="n">
        <v>75</v>
      </c>
      <c r="L321" s="13" t="n">
        <v>105</v>
      </c>
      <c r="M321" s="13" t="n">
        <v>14.7</v>
      </c>
      <c r="N321" s="13" t="n">
        <v>2238</v>
      </c>
      <c r="O321" s="13" t="n">
        <v>0.66</v>
      </c>
      <c r="P321" s="13" t="n">
        <v>1477</v>
      </c>
      <c r="Q321" s="13" t="n">
        <v>196</v>
      </c>
      <c r="R321" s="13" t="n">
        <v>122</v>
      </c>
      <c r="S321" s="13" t="n">
        <v>42</v>
      </c>
      <c r="T321" s="13" t="n">
        <v>135</v>
      </c>
      <c r="U321" s="13" t="n">
        <v>8</v>
      </c>
      <c r="V321" s="13" t="n">
        <v>59</v>
      </c>
      <c r="W321" s="13" t="n">
        <v>0.182</v>
      </c>
      <c r="X321" s="13" t="n">
        <v>73</v>
      </c>
      <c r="Y321" s="13" t="n">
        <v>51</v>
      </c>
      <c r="Z321" s="13" t="n">
        <v>62</v>
      </c>
      <c r="AA321" s="13" t="n">
        <v>9</v>
      </c>
      <c r="AB321" s="13" t="n">
        <v>11.7</v>
      </c>
      <c r="AC321" s="11" t="inlineStr">
        <is>
          <t xml:space="preserve"> On-Piste Carving</t>
        </is>
      </c>
      <c r="AD321" s="13" t="n"/>
      <c r="AE321" s="13" t="n"/>
      <c r="AF321" s="13" t="n"/>
      <c r="AG321" s="13" t="n"/>
    </row>
    <row r="322">
      <c r="A322" s="9" t="inlineStr">
        <is>
          <t>21/22</t>
        </is>
      </c>
      <c r="B322" s="10" t="inlineStr">
        <is>
          <t xml:space="preserve"> Blizzard</t>
        </is>
      </c>
      <c r="C322" s="11" t="inlineStr">
        <is>
          <t>Thunderbird R15 WB</t>
        </is>
      </c>
      <c r="D322" s="13" t="n">
        <v>174</v>
      </c>
      <c r="E322" s="11" t="inlineStr">
        <is>
          <t xml:space="preserve"> Unisex</t>
        </is>
      </c>
      <c r="F322" s="13" t="n">
        <v>174</v>
      </c>
      <c r="G322" s="13" t="n">
        <v>172.9</v>
      </c>
      <c r="H322" s="13" t="n">
        <v>155</v>
      </c>
      <c r="I322" s="13" t="n">
        <v>160</v>
      </c>
      <c r="J322" s="13" t="n">
        <v>125</v>
      </c>
      <c r="K322" s="13" t="n">
        <v>75</v>
      </c>
      <c r="L322" s="13" t="n">
        <v>106</v>
      </c>
      <c r="M322" s="13" t="n">
        <v>15.1</v>
      </c>
      <c r="N322" s="13" t="n">
        <v>2334</v>
      </c>
      <c r="O322" s="13" t="n">
        <v>0.67</v>
      </c>
      <c r="P322" s="13" t="n">
        <v>1555</v>
      </c>
      <c r="Q322" s="13" t="n">
        <v>223</v>
      </c>
      <c r="R322" s="13" t="n">
        <v>143</v>
      </c>
      <c r="S322" s="13" t="n">
        <v>40</v>
      </c>
      <c r="T322" s="13" t="n">
        <v>127</v>
      </c>
      <c r="U322" s="13" t="n">
        <v>6</v>
      </c>
      <c r="V322" s="13" t="n">
        <v>56</v>
      </c>
      <c r="W322" s="13" t="n">
        <v>0.157</v>
      </c>
      <c r="X322" s="13" t="n">
        <v>75</v>
      </c>
      <c r="Y322" s="13" t="n">
        <v>52</v>
      </c>
      <c r="Z322" s="13" t="n">
        <v>52</v>
      </c>
      <c r="AA322" s="13" t="n">
        <v>8</v>
      </c>
      <c r="AB322" s="13" t="n">
        <v>11.4</v>
      </c>
      <c r="AC322" s="11" t="inlineStr">
        <is>
          <t xml:space="preserve"> On-Piste Carving</t>
        </is>
      </c>
      <c r="AD322" s="13" t="n"/>
      <c r="AE322" s="13" t="n"/>
      <c r="AF322" s="13" t="n"/>
      <c r="AG322" s="13" t="n"/>
    </row>
    <row r="323">
      <c r="A323" s="9" t="inlineStr">
        <is>
          <t>21/22</t>
        </is>
      </c>
      <c r="B323" s="10" t="inlineStr">
        <is>
          <t xml:space="preserve"> Blizzard</t>
        </is>
      </c>
      <c r="C323" s="11" t="inlineStr">
        <is>
          <t xml:space="preserve"> Thunderbird Sport Ti</t>
        </is>
      </c>
      <c r="D323" s="13" t="n">
        <v>160</v>
      </c>
      <c r="E323" s="11" t="inlineStr">
        <is>
          <t xml:space="preserve"> Unisex</t>
        </is>
      </c>
      <c r="F323" s="13" t="n">
        <v>160</v>
      </c>
      <c r="G323" s="13" t="n">
        <v>159.6</v>
      </c>
      <c r="H323" s="13" t="n">
        <v>141</v>
      </c>
      <c r="I323" s="13" t="n">
        <v>147</v>
      </c>
      <c r="J323" s="13" t="n">
        <v>125</v>
      </c>
      <c r="K323" s="13" t="n">
        <v>76</v>
      </c>
      <c r="L323" s="13" t="n">
        <v>105</v>
      </c>
      <c r="M323" s="13" t="n">
        <v>13.7</v>
      </c>
      <c r="N323" s="13" t="n">
        <v>1818</v>
      </c>
      <c r="O323" s="13" t="n">
        <v>0.8</v>
      </c>
      <c r="P323" s="13" t="n">
        <v>1448</v>
      </c>
      <c r="Q323" s="13" t="n">
        <v>192</v>
      </c>
      <c r="R323" s="13" t="n">
        <v>95</v>
      </c>
      <c r="S323" s="13" t="n">
        <v>37</v>
      </c>
      <c r="T323" s="13" t="n">
        <v>137</v>
      </c>
      <c r="U323" s="13" t="n">
        <v>6</v>
      </c>
      <c r="V323" s="13" t="n">
        <v>51</v>
      </c>
      <c r="W323" s="13" t="n">
        <v>0.168</v>
      </c>
      <c r="X323" s="13" t="n">
        <v>76</v>
      </c>
      <c r="Y323" s="13" t="n">
        <v>52</v>
      </c>
      <c r="Z323" s="13" t="n">
        <v>61</v>
      </c>
      <c r="AA323" s="13" t="n">
        <v>7</v>
      </c>
      <c r="AB323" s="13" t="n">
        <v>12.1</v>
      </c>
      <c r="AC323" s="11" t="inlineStr">
        <is>
          <t xml:space="preserve"> On-Piste Carving</t>
        </is>
      </c>
      <c r="AD323" s="13" t="n"/>
      <c r="AE323" s="13" t="n"/>
      <c r="AF323" s="13" t="n"/>
      <c r="AG323" s="13" t="n"/>
    </row>
    <row r="324">
      <c r="A324" s="9" t="inlineStr">
        <is>
          <t>21/22</t>
        </is>
      </c>
      <c r="B324" s="10" t="inlineStr">
        <is>
          <t xml:space="preserve"> Blizzard</t>
        </is>
      </c>
      <c r="C324" s="11" t="inlineStr">
        <is>
          <t xml:space="preserve"> Thunderbird Sport Ti</t>
        </is>
      </c>
      <c r="D324" s="13" t="n">
        <v>165</v>
      </c>
      <c r="E324" s="11" t="inlineStr">
        <is>
          <t xml:space="preserve"> Unisex</t>
        </is>
      </c>
      <c r="F324" s="13" t="n">
        <v>165</v>
      </c>
      <c r="G324" s="13" t="n">
        <v>164.3</v>
      </c>
      <c r="H324" s="13" t="n">
        <v>143</v>
      </c>
      <c r="I324" s="13" t="n">
        <v>152</v>
      </c>
      <c r="J324" s="13" t="n">
        <v>124</v>
      </c>
      <c r="K324" s="13" t="n">
        <v>75</v>
      </c>
      <c r="L324" s="13" t="n">
        <v>104</v>
      </c>
      <c r="M324" s="13" t="n">
        <v>14.5</v>
      </c>
      <c r="N324" s="13" t="n">
        <v>1866</v>
      </c>
      <c r="O324" s="13" t="n">
        <v>0.79</v>
      </c>
      <c r="P324" s="13" t="n">
        <v>1470</v>
      </c>
      <c r="Q324" s="13" t="n">
        <v>205</v>
      </c>
      <c r="R324" s="13" t="n">
        <v>100</v>
      </c>
      <c r="S324" s="13" t="n">
        <v>42</v>
      </c>
      <c r="T324" s="13" t="n">
        <v>164</v>
      </c>
      <c r="U324" s="13" t="n">
        <v>6</v>
      </c>
      <c r="V324" s="13" t="n">
        <v>51</v>
      </c>
      <c r="W324" s="13" t="n">
        <v>0.152</v>
      </c>
      <c r="X324" s="13" t="n">
        <v>69</v>
      </c>
      <c r="Y324" s="13" t="n">
        <v>58</v>
      </c>
      <c r="Z324" s="13" t="n">
        <v>95</v>
      </c>
      <c r="AA324" s="13" t="n">
        <v>6</v>
      </c>
      <c r="AB324" s="13" t="n">
        <v>11.7</v>
      </c>
      <c r="AC324" s="11" t="inlineStr">
        <is>
          <t xml:space="preserve"> On-Piste Carving</t>
        </is>
      </c>
      <c r="AD324" s="13" t="n"/>
      <c r="AE324" s="13" t="n"/>
      <c r="AF324" s="13" t="n"/>
      <c r="AG324" s="13" t="n"/>
    </row>
    <row r="325">
      <c r="A325" s="9" t="inlineStr">
        <is>
          <t>21/22</t>
        </is>
      </c>
      <c r="B325" s="10" t="inlineStr">
        <is>
          <t xml:space="preserve"> Blizzard</t>
        </is>
      </c>
      <c r="C325" s="11" t="inlineStr">
        <is>
          <t xml:space="preserve"> Thunderbird Sport Ti</t>
        </is>
      </c>
      <c r="D325" s="13" t="n">
        <v>170</v>
      </c>
      <c r="E325" s="11" t="inlineStr">
        <is>
          <t xml:space="preserve"> Unisex</t>
        </is>
      </c>
      <c r="F325" s="13" t="n">
        <v>170</v>
      </c>
      <c r="G325" s="13" t="n">
        <v>169.1</v>
      </c>
      <c r="H325" s="13" t="n">
        <v>148</v>
      </c>
      <c r="I325" s="13" t="n">
        <v>157</v>
      </c>
      <c r="J325" s="13" t="n">
        <v>124</v>
      </c>
      <c r="K325" s="13" t="n">
        <v>76</v>
      </c>
      <c r="L325" s="13" t="n">
        <v>104</v>
      </c>
      <c r="M325" s="13" t="n">
        <v>15.5</v>
      </c>
      <c r="N325" s="13" t="n">
        <v>1971</v>
      </c>
      <c r="O325" s="13" t="n">
        <v>0.77</v>
      </c>
      <c r="P325" s="13" t="n">
        <v>1521</v>
      </c>
      <c r="Q325" s="13" t="n">
        <v>234</v>
      </c>
      <c r="R325" s="13" t="n">
        <v>110</v>
      </c>
      <c r="S325" s="13" t="n">
        <v>41</v>
      </c>
      <c r="T325" s="13" t="n">
        <v>163</v>
      </c>
      <c r="U325" s="13" t="n">
        <v>5</v>
      </c>
      <c r="V325" s="13" t="n">
        <v>51</v>
      </c>
      <c r="W325" s="13" t="n">
        <v>0.131</v>
      </c>
      <c r="X325" s="13" t="n">
        <v>71</v>
      </c>
      <c r="Y325" s="13" t="n">
        <v>55</v>
      </c>
      <c r="Z325" s="13" t="n">
        <v>93</v>
      </c>
      <c r="AA325" s="13" t="n">
        <v>6</v>
      </c>
      <c r="AB325" s="13" t="n">
        <v>12.1</v>
      </c>
      <c r="AC325" s="11" t="inlineStr">
        <is>
          <t xml:space="preserve"> On-Piste Carving</t>
        </is>
      </c>
      <c r="AD325" s="13" t="n"/>
      <c r="AE325" s="13" t="n"/>
      <c r="AF325" s="13" t="n"/>
      <c r="AG325" s="13" t="n"/>
    </row>
    <row r="326">
      <c r="A326" s="9" t="inlineStr">
        <is>
          <t>21/22</t>
        </is>
      </c>
      <c r="B326" s="10" t="inlineStr">
        <is>
          <t xml:space="preserve"> Blizzard</t>
        </is>
      </c>
      <c r="C326" s="11" t="inlineStr">
        <is>
          <t>Zero G 105</t>
        </is>
      </c>
      <c r="D326" s="13" t="n">
        <v>164</v>
      </c>
      <c r="E326" s="11" t="inlineStr">
        <is>
          <t xml:space="preserve"> Unisex</t>
        </is>
      </c>
      <c r="F326" s="13" t="n">
        <v>164</v>
      </c>
      <c r="G326" s="13" t="n">
        <v>162</v>
      </c>
      <c r="H326" s="13" t="n">
        <v>114</v>
      </c>
      <c r="I326" s="13" t="n">
        <v>132</v>
      </c>
      <c r="J326" s="13" t="n">
        <v>130</v>
      </c>
      <c r="K326" s="13" t="n">
        <v>102</v>
      </c>
      <c r="L326" s="13" t="n">
        <v>116</v>
      </c>
      <c r="M326" s="13" t="n">
        <v>18.6</v>
      </c>
      <c r="N326" s="13" t="n">
        <v>1343</v>
      </c>
      <c r="O326" s="13" t="n">
        <v>1.33</v>
      </c>
      <c r="P326" s="13" t="n">
        <v>1786</v>
      </c>
      <c r="Q326" s="13" t="n">
        <v>166</v>
      </c>
      <c r="R326" s="13" t="n">
        <v>59</v>
      </c>
      <c r="S326" s="13" t="n">
        <v>58</v>
      </c>
      <c r="T326" s="13" t="n">
        <v>311</v>
      </c>
      <c r="U326" s="13" t="n">
        <v>17</v>
      </c>
      <c r="V326" s="13" t="n">
        <v>170</v>
      </c>
      <c r="W326" s="13" t="n">
        <v>0.288</v>
      </c>
      <c r="X326" s="13" t="n">
        <v>157</v>
      </c>
      <c r="Y326" s="13" t="n">
        <v>147</v>
      </c>
      <c r="Z326" s="13" t="n">
        <v>155</v>
      </c>
      <c r="AA326" s="13" t="n">
        <v>5</v>
      </c>
      <c r="AB326" s="13" t="n">
        <v>8.9</v>
      </c>
      <c r="AC326" s="11" t="inlineStr">
        <is>
          <t xml:space="preserve"> Big Mountain</t>
        </is>
      </c>
      <c r="AD326" s="11" t="inlineStr">
        <is>
          <t xml:space="preserve"> Touring</t>
        </is>
      </c>
      <c r="AE326" s="11" t="inlineStr">
        <is>
          <t xml:space="preserve"> Ultralight Touring</t>
        </is>
      </c>
      <c r="AF326" s="13" t="n"/>
      <c r="AG326" s="13" t="n"/>
    </row>
    <row r="327">
      <c r="A327" s="9" t="inlineStr">
        <is>
          <t>21/22</t>
        </is>
      </c>
      <c r="B327" s="10" t="inlineStr">
        <is>
          <t xml:space="preserve"> Blizzard</t>
        </is>
      </c>
      <c r="C327" s="11" t="inlineStr">
        <is>
          <t>Zero G 105</t>
        </is>
      </c>
      <c r="D327" s="13" t="n">
        <v>172</v>
      </c>
      <c r="E327" s="11" t="inlineStr">
        <is>
          <t xml:space="preserve"> Unisex</t>
        </is>
      </c>
      <c r="F327" s="13" t="n">
        <v>172</v>
      </c>
      <c r="G327" s="13" t="n">
        <v>169.8</v>
      </c>
      <c r="H327" s="13" t="n">
        <v>124</v>
      </c>
      <c r="I327" s="13" t="n">
        <v>139</v>
      </c>
      <c r="J327" s="13" t="n">
        <v>130</v>
      </c>
      <c r="K327" s="13" t="n">
        <v>102</v>
      </c>
      <c r="L327" s="13" t="n">
        <v>116</v>
      </c>
      <c r="M327" s="13" t="n">
        <v>21.4</v>
      </c>
      <c r="N327" s="13" t="n">
        <v>1416</v>
      </c>
      <c r="O327" s="13" t="n">
        <v>1.32</v>
      </c>
      <c r="P327" s="13" t="n">
        <v>1874</v>
      </c>
      <c r="Q327" s="13" t="n">
        <v>189</v>
      </c>
      <c r="R327" s="13" t="n">
        <v>64</v>
      </c>
      <c r="S327" s="13" t="n">
        <v>54</v>
      </c>
      <c r="T327" s="13" t="n">
        <v>297</v>
      </c>
      <c r="U327" s="13" t="n">
        <v>18</v>
      </c>
      <c r="V327" s="13" t="n">
        <v>165</v>
      </c>
      <c r="W327" s="13" t="n">
        <v>0.332</v>
      </c>
      <c r="X327" s="13" t="n">
        <v>160</v>
      </c>
      <c r="Y327" s="13" t="n">
        <v>148</v>
      </c>
      <c r="Z327" s="13" t="n">
        <v>137</v>
      </c>
      <c r="AA327" s="13" t="n">
        <v>6</v>
      </c>
      <c r="AB327" s="13" t="n">
        <v>9.800000000000001</v>
      </c>
      <c r="AC327" s="11" t="inlineStr">
        <is>
          <t xml:space="preserve"> Big Mountain</t>
        </is>
      </c>
      <c r="AD327" s="11" t="inlineStr">
        <is>
          <t xml:space="preserve"> Touring</t>
        </is>
      </c>
      <c r="AE327" s="11" t="inlineStr">
        <is>
          <t xml:space="preserve"> Ultralight Touring</t>
        </is>
      </c>
      <c r="AF327" s="13" t="n"/>
      <c r="AG327" s="13" t="n"/>
    </row>
    <row r="328">
      <c r="A328" s="9" t="inlineStr">
        <is>
          <t>21/22</t>
        </is>
      </c>
      <c r="B328" s="10" t="inlineStr">
        <is>
          <t xml:space="preserve"> Blizzard</t>
        </is>
      </c>
      <c r="C328" s="11" t="inlineStr">
        <is>
          <t>Zero G 105</t>
        </is>
      </c>
      <c r="D328" s="13" t="n">
        <v>180</v>
      </c>
      <c r="E328" s="11" t="inlineStr">
        <is>
          <t xml:space="preserve"> Unisex</t>
        </is>
      </c>
      <c r="F328" s="13" t="n">
        <v>180</v>
      </c>
      <c r="G328" s="13" t="n">
        <v>177.9</v>
      </c>
      <c r="H328" s="13" t="n">
        <v>120</v>
      </c>
      <c r="I328" s="13" t="n">
        <v>148</v>
      </c>
      <c r="J328" s="13" t="n">
        <v>132</v>
      </c>
      <c r="K328" s="13" t="n">
        <v>104</v>
      </c>
      <c r="L328" s="13" t="n">
        <v>118</v>
      </c>
      <c r="M328" s="13" t="n">
        <v>23.8</v>
      </c>
      <c r="N328" s="13" t="n">
        <v>1487</v>
      </c>
      <c r="O328" s="13" t="n">
        <v>1.34</v>
      </c>
      <c r="P328" s="13" t="n">
        <v>1999</v>
      </c>
      <c r="Q328" s="13" t="n">
        <v>208</v>
      </c>
      <c r="R328" s="13" t="n">
        <v>78</v>
      </c>
      <c r="S328" s="13" t="n">
        <v>58</v>
      </c>
      <c r="T328" s="13" t="n">
        <v>336</v>
      </c>
      <c r="U328" s="13" t="n">
        <v>24</v>
      </c>
      <c r="V328" s="13" t="n">
        <v>243</v>
      </c>
      <c r="W328" s="13" t="n">
        <v>0.414</v>
      </c>
      <c r="X328" s="13" t="n">
        <v>152</v>
      </c>
      <c r="Y328" s="13" t="n">
        <v>145</v>
      </c>
      <c r="Z328" s="13" t="n">
        <v>184</v>
      </c>
      <c r="AA328" s="13" t="n">
        <v>3</v>
      </c>
      <c r="AB328" s="13" t="n">
        <v>9.199999999999999</v>
      </c>
      <c r="AC328" s="11" t="inlineStr">
        <is>
          <t xml:space="preserve"> Powder</t>
        </is>
      </c>
      <c r="AD328" s="11" t="inlineStr">
        <is>
          <t xml:space="preserve"> Touring</t>
        </is>
      </c>
      <c r="AE328" s="11" t="inlineStr">
        <is>
          <t xml:space="preserve"> Ultralight Touring</t>
        </is>
      </c>
      <c r="AF328" s="13" t="n"/>
      <c r="AG328" s="13" t="n"/>
    </row>
    <row r="329">
      <c r="A329" s="9" t="inlineStr">
        <is>
          <t>21/22</t>
        </is>
      </c>
      <c r="B329" s="10" t="inlineStr">
        <is>
          <t xml:space="preserve"> Blizzard</t>
        </is>
      </c>
      <c r="C329" s="11" t="inlineStr">
        <is>
          <t>Zero G 105</t>
        </is>
      </c>
      <c r="D329" s="13" t="n">
        <v>188</v>
      </c>
      <c r="E329" s="11" t="inlineStr">
        <is>
          <t xml:space="preserve"> Unisex</t>
        </is>
      </c>
      <c r="F329" s="13" t="n">
        <v>188</v>
      </c>
      <c r="G329" s="13" t="n">
        <v>185.8</v>
      </c>
      <c r="H329" s="13" t="n">
        <v>126</v>
      </c>
      <c r="I329" s="13" t="n">
        <v>155</v>
      </c>
      <c r="J329" s="13" t="n">
        <v>133</v>
      </c>
      <c r="K329" s="13" t="n">
        <v>104</v>
      </c>
      <c r="L329" s="13" t="n">
        <v>119</v>
      </c>
      <c r="M329" s="13" t="n">
        <v>25.3</v>
      </c>
      <c r="N329" s="13" t="n">
        <v>1645</v>
      </c>
      <c r="O329" s="13" t="n">
        <v>1.27</v>
      </c>
      <c r="P329" s="13" t="n">
        <v>2096</v>
      </c>
      <c r="Q329" s="13" t="n">
        <v>265</v>
      </c>
      <c r="R329" s="13" t="n">
        <v>95</v>
      </c>
      <c r="S329" s="13" t="n">
        <v>52</v>
      </c>
      <c r="T329" s="13" t="n">
        <v>333</v>
      </c>
      <c r="U329" s="13" t="n">
        <v>22</v>
      </c>
      <c r="V329" s="13" t="n">
        <v>265</v>
      </c>
      <c r="W329" s="13" t="n">
        <v>0.425</v>
      </c>
      <c r="X329" s="13" t="n">
        <v>160</v>
      </c>
      <c r="Y329" s="13" t="n">
        <v>145</v>
      </c>
      <c r="Z329" s="13" t="n">
        <v>173</v>
      </c>
      <c r="AA329" s="13" t="n">
        <v>4</v>
      </c>
      <c r="AB329" s="13" t="n">
        <v>9.6</v>
      </c>
      <c r="AC329" s="11" t="inlineStr">
        <is>
          <t xml:space="preserve"> Resort Freeride</t>
        </is>
      </c>
      <c r="AD329" s="11" t="inlineStr">
        <is>
          <t xml:space="preserve"> Powder</t>
        </is>
      </c>
      <c r="AE329" s="11" t="inlineStr">
        <is>
          <t xml:space="preserve"> Touring</t>
        </is>
      </c>
      <c r="AF329" s="11" t="inlineStr">
        <is>
          <t xml:space="preserve"> Ultralight Touring</t>
        </is>
      </c>
      <c r="AG329" s="13" t="n"/>
    </row>
    <row r="330">
      <c r="A330" s="9" t="inlineStr">
        <is>
          <t>21/22</t>
        </is>
      </c>
      <c r="B330" s="10" t="inlineStr">
        <is>
          <t xml:space="preserve"> Blizzard</t>
        </is>
      </c>
      <c r="C330" s="11" t="inlineStr">
        <is>
          <t>Zero G 85</t>
        </is>
      </c>
      <c r="D330" s="13" t="n">
        <v>150</v>
      </c>
      <c r="E330" s="11" t="inlineStr">
        <is>
          <t xml:space="preserve"> Unisex</t>
        </is>
      </c>
      <c r="F330" s="13" t="n">
        <v>150</v>
      </c>
      <c r="G330" s="13" t="n">
        <v>147.6</v>
      </c>
      <c r="H330" s="13" t="n">
        <v>109</v>
      </c>
      <c r="I330" s="13" t="n">
        <v>123</v>
      </c>
      <c r="J330" s="13" t="n">
        <v>112</v>
      </c>
      <c r="K330" s="13" t="n">
        <v>82</v>
      </c>
      <c r="L330" s="13" t="n">
        <v>95</v>
      </c>
      <c r="M330" s="13" t="n">
        <v>17.3</v>
      </c>
      <c r="N330" s="13" t="n">
        <v>900</v>
      </c>
      <c r="O330" s="13" t="n">
        <v>1.49</v>
      </c>
      <c r="P330" s="13" t="n">
        <v>1337</v>
      </c>
      <c r="Q330" s="13" t="n">
        <v>140</v>
      </c>
      <c r="R330" s="13" t="n">
        <v>44</v>
      </c>
      <c r="S330" s="13" t="n">
        <v>58</v>
      </c>
      <c r="T330" s="13" t="n">
        <v>216</v>
      </c>
      <c r="U330" s="13" t="n">
        <v>11</v>
      </c>
      <c r="V330" s="13" t="n">
        <v>172</v>
      </c>
      <c r="W330" s="13" t="n">
        <v>0.189</v>
      </c>
      <c r="X330" s="13" t="n">
        <v>126</v>
      </c>
      <c r="Y330" s="13" t="n">
        <v>121</v>
      </c>
      <c r="Z330" s="13" t="n">
        <v>90</v>
      </c>
      <c r="AA330" s="13" t="n">
        <v>4</v>
      </c>
      <c r="AB330" s="13" t="n">
        <v>10.1</v>
      </c>
      <c r="AC330" s="11" t="inlineStr">
        <is>
          <t xml:space="preserve"> Touring</t>
        </is>
      </c>
      <c r="AD330" s="11" t="inlineStr">
        <is>
          <t xml:space="preserve"> Ultralight Touring</t>
        </is>
      </c>
      <c r="AE330" s="13" t="n"/>
      <c r="AF330" s="13" t="n"/>
      <c r="AG330" s="13" t="n"/>
    </row>
    <row r="331">
      <c r="A331" s="9" t="inlineStr">
        <is>
          <t>21/22</t>
        </is>
      </c>
      <c r="B331" s="10" t="inlineStr">
        <is>
          <t xml:space="preserve"> Blizzard</t>
        </is>
      </c>
      <c r="C331" s="11" t="inlineStr">
        <is>
          <t>Zero G 85</t>
        </is>
      </c>
      <c r="D331" s="13" t="n">
        <v>157</v>
      </c>
      <c r="E331" s="11" t="inlineStr">
        <is>
          <t xml:space="preserve"> Unisex</t>
        </is>
      </c>
      <c r="F331" s="13" t="n">
        <v>157</v>
      </c>
      <c r="G331" s="13" t="n">
        <v>154.7</v>
      </c>
      <c r="H331" s="13" t="n">
        <v>116</v>
      </c>
      <c r="I331" s="13" t="n">
        <v>129</v>
      </c>
      <c r="J331" s="13" t="n">
        <v>114</v>
      </c>
      <c r="K331" s="13" t="n">
        <v>83</v>
      </c>
      <c r="L331" s="13" t="n">
        <v>98</v>
      </c>
      <c r="M331" s="13" t="n">
        <v>17.9</v>
      </c>
      <c r="N331" s="13" t="n">
        <v>975</v>
      </c>
      <c r="O331" s="13" t="n">
        <v>1.46</v>
      </c>
      <c r="P331" s="13" t="n">
        <v>1422</v>
      </c>
      <c r="Q331" s="13" t="n">
        <v>169</v>
      </c>
      <c r="R331" s="13" t="n">
        <v>54</v>
      </c>
      <c r="S331" s="13" t="n">
        <v>60</v>
      </c>
      <c r="T331" s="13" t="n">
        <v>225</v>
      </c>
      <c r="U331" s="13" t="n">
        <v>9</v>
      </c>
      <c r="V331" s="13" t="n">
        <v>158</v>
      </c>
      <c r="W331" s="13" t="n">
        <v>0.147</v>
      </c>
      <c r="X331" s="13" t="n">
        <v>135</v>
      </c>
      <c r="Y331" s="13" t="n">
        <v>124</v>
      </c>
      <c r="Z331" s="13" t="n">
        <v>90</v>
      </c>
      <c r="AA331" s="13" t="n">
        <v>5</v>
      </c>
      <c r="AB331" s="13" t="n">
        <v>10.8</v>
      </c>
      <c r="AC331" s="11" t="inlineStr">
        <is>
          <t xml:space="preserve"> Touring</t>
        </is>
      </c>
      <c r="AD331" s="11" t="inlineStr">
        <is>
          <t xml:space="preserve"> Ultralight Touring</t>
        </is>
      </c>
      <c r="AE331" s="13" t="n"/>
      <c r="AF331" s="13" t="n"/>
      <c r="AG331" s="13" t="n"/>
    </row>
    <row r="332">
      <c r="A332" s="9" t="inlineStr">
        <is>
          <t>21/22</t>
        </is>
      </c>
      <c r="B332" s="10" t="inlineStr">
        <is>
          <t xml:space="preserve"> Blizzard</t>
        </is>
      </c>
      <c r="C332" s="11" t="inlineStr">
        <is>
          <t>Zero G 85</t>
        </is>
      </c>
      <c r="D332" s="13" t="n">
        <v>164</v>
      </c>
      <c r="E332" s="11" t="inlineStr">
        <is>
          <t xml:space="preserve"> Unisex</t>
        </is>
      </c>
      <c r="F332" s="13" t="n">
        <v>164</v>
      </c>
      <c r="G332" s="13" t="n">
        <v>161.9</v>
      </c>
      <c r="H332" s="13" t="n">
        <v>120</v>
      </c>
      <c r="I332" s="13" t="n">
        <v>135</v>
      </c>
      <c r="J332" s="13" t="n">
        <v>114</v>
      </c>
      <c r="K332" s="13" t="n">
        <v>83</v>
      </c>
      <c r="L332" s="13" t="n">
        <v>98</v>
      </c>
      <c r="M332" s="13" t="n">
        <v>19.8</v>
      </c>
      <c r="N332" s="13" t="n">
        <v>1014</v>
      </c>
      <c r="O332" s="13" t="n">
        <v>1.46</v>
      </c>
      <c r="P332" s="13" t="n">
        <v>1484</v>
      </c>
      <c r="Q332" s="13" t="n">
        <v>164</v>
      </c>
      <c r="R332" s="13" t="n">
        <v>57</v>
      </c>
      <c r="S332" s="13" t="n">
        <v>57</v>
      </c>
      <c r="T332" s="13" t="n">
        <v>230</v>
      </c>
      <c r="U332" s="13" t="n">
        <v>10</v>
      </c>
      <c r="V332" s="13" t="n">
        <v>191</v>
      </c>
      <c r="W332" s="13" t="n">
        <v>0.17</v>
      </c>
      <c r="X332" s="13" t="n">
        <v>139</v>
      </c>
      <c r="Y332" s="13" t="n">
        <v>127</v>
      </c>
      <c r="Z332" s="13" t="n">
        <v>91</v>
      </c>
      <c r="AA332" s="13" t="n">
        <v>3</v>
      </c>
      <c r="AB332" s="13" t="n">
        <v>10.6</v>
      </c>
      <c r="AC332" s="11" t="inlineStr">
        <is>
          <t xml:space="preserve"> Touring</t>
        </is>
      </c>
      <c r="AD332" s="11" t="inlineStr">
        <is>
          <t xml:space="preserve"> Ultralight Touring</t>
        </is>
      </c>
      <c r="AE332" s="13" t="n"/>
      <c r="AF332" s="13" t="n"/>
      <c r="AG332" s="13" t="n"/>
    </row>
    <row r="333">
      <c r="A333" s="9" t="inlineStr">
        <is>
          <t>21/22</t>
        </is>
      </c>
      <c r="B333" s="10" t="inlineStr">
        <is>
          <t xml:space="preserve"> Blizzard</t>
        </is>
      </c>
      <c r="C333" s="11" t="inlineStr">
        <is>
          <t>Zero G 85</t>
        </is>
      </c>
      <c r="D333" s="13" t="n">
        <v>171</v>
      </c>
      <c r="E333" s="11" t="inlineStr">
        <is>
          <t xml:space="preserve"> Unisex</t>
        </is>
      </c>
      <c r="F333" s="13" t="n">
        <v>171</v>
      </c>
      <c r="G333" s="13" t="n">
        <v>168.9</v>
      </c>
      <c r="H333" s="13" t="n">
        <v>127</v>
      </c>
      <c r="I333" s="13" t="n">
        <v>144</v>
      </c>
      <c r="J333" s="13" t="n">
        <v>114</v>
      </c>
      <c r="K333" s="13" t="n">
        <v>83</v>
      </c>
      <c r="L333" s="13" t="n">
        <v>98</v>
      </c>
      <c r="M333" s="13" t="n">
        <v>22</v>
      </c>
      <c r="N333" s="13" t="n">
        <v>1122</v>
      </c>
      <c r="O333" s="13" t="n">
        <v>1.38</v>
      </c>
      <c r="P333" s="13" t="n">
        <v>1546</v>
      </c>
      <c r="Q333" s="13" t="n">
        <v>197</v>
      </c>
      <c r="R333" s="13" t="n">
        <v>69</v>
      </c>
      <c r="S333" s="13" t="n">
        <v>55</v>
      </c>
      <c r="T333" s="13" t="n">
        <v>244</v>
      </c>
      <c r="U333" s="13" t="n">
        <v>10</v>
      </c>
      <c r="V333" s="13" t="n">
        <v>171</v>
      </c>
      <c r="W333" s="13" t="n">
        <v>0.188</v>
      </c>
      <c r="X333" s="13" t="n">
        <v>130</v>
      </c>
      <c r="Y333" s="13" t="n">
        <v>122</v>
      </c>
      <c r="Z333" s="13" t="n">
        <v>114</v>
      </c>
      <c r="AA333" s="13" t="n">
        <v>4</v>
      </c>
      <c r="AB333" s="13" t="n">
        <v>10.5</v>
      </c>
      <c r="AC333" s="11" t="inlineStr">
        <is>
          <t xml:space="preserve"> Touring</t>
        </is>
      </c>
      <c r="AD333" s="11" t="inlineStr">
        <is>
          <t xml:space="preserve"> Ultralight Touring</t>
        </is>
      </c>
      <c r="AE333" s="13" t="n"/>
      <c r="AF333" s="13" t="n"/>
      <c r="AG333" s="13" t="n"/>
    </row>
    <row r="334">
      <c r="A334" s="9" t="inlineStr">
        <is>
          <t>21/22</t>
        </is>
      </c>
      <c r="B334" s="10" t="inlineStr">
        <is>
          <t xml:space="preserve"> Blizzard</t>
        </is>
      </c>
      <c r="C334" s="11" t="inlineStr">
        <is>
          <t>Zero G 85</t>
        </is>
      </c>
      <c r="D334" s="13" t="n">
        <v>178</v>
      </c>
      <c r="E334" s="11" t="inlineStr">
        <is>
          <t xml:space="preserve"> Unisex</t>
        </is>
      </c>
      <c r="F334" s="13" t="n">
        <v>178</v>
      </c>
      <c r="G334" s="13" t="n">
        <v>176</v>
      </c>
      <c r="H334" s="13" t="n">
        <v>132</v>
      </c>
      <c r="I334" s="13" t="n">
        <v>149</v>
      </c>
      <c r="J334" s="13" t="n">
        <v>117</v>
      </c>
      <c r="K334" s="13" t="n">
        <v>83</v>
      </c>
      <c r="L334" s="13" t="n">
        <v>100</v>
      </c>
      <c r="M334" s="13" t="n">
        <v>22</v>
      </c>
      <c r="N334" s="13" t="n">
        <v>1151</v>
      </c>
      <c r="O334" s="13" t="n">
        <v>1.42</v>
      </c>
      <c r="P334" s="13" t="n">
        <v>1635</v>
      </c>
      <c r="Q334" s="13" t="n">
        <v>231</v>
      </c>
      <c r="R334" s="13" t="n">
        <v>78</v>
      </c>
      <c r="S334" s="13" t="n">
        <v>54</v>
      </c>
      <c r="T334" s="13" t="n">
        <v>252</v>
      </c>
      <c r="U334" s="13" t="n">
        <v>10</v>
      </c>
      <c r="V334" s="13" t="n">
        <v>184</v>
      </c>
      <c r="W334" s="13" t="n">
        <v>0.176</v>
      </c>
      <c r="X334" s="13" t="n">
        <v>133</v>
      </c>
      <c r="Y334" s="13" t="n">
        <v>132</v>
      </c>
      <c r="Z334" s="13" t="n">
        <v>118</v>
      </c>
      <c r="AA334" s="13" t="n">
        <v>4</v>
      </c>
      <c r="AB334" s="13" t="n">
        <v>10.5</v>
      </c>
      <c r="AC334" s="11" t="inlineStr">
        <is>
          <t xml:space="preserve"> Touring</t>
        </is>
      </c>
      <c r="AD334" s="11" t="inlineStr">
        <is>
          <t xml:space="preserve"> Ultralight Touring</t>
        </is>
      </c>
      <c r="AE334" s="13" t="n"/>
      <c r="AF334" s="13" t="n"/>
      <c r="AG334" s="13" t="n"/>
    </row>
    <row r="335">
      <c r="A335" s="9" t="inlineStr">
        <is>
          <t>21/22</t>
        </is>
      </c>
      <c r="B335" s="10" t="inlineStr">
        <is>
          <t xml:space="preserve"> Blizzard</t>
        </is>
      </c>
      <c r="C335" s="11" t="inlineStr">
        <is>
          <t>Zero G 95</t>
        </is>
      </c>
      <c r="D335" s="13" t="n">
        <v>157</v>
      </c>
      <c r="E335" s="11" t="inlineStr">
        <is>
          <t xml:space="preserve"> Unisex</t>
        </is>
      </c>
      <c r="F335" s="13" t="n">
        <v>157</v>
      </c>
      <c r="G335" s="13" t="n">
        <v>154.7</v>
      </c>
      <c r="H335" s="13" t="n">
        <v>118</v>
      </c>
      <c r="I335" s="13" t="n">
        <v>128</v>
      </c>
      <c r="J335" s="13" t="n">
        <v>124</v>
      </c>
      <c r="K335" s="13" t="n">
        <v>93</v>
      </c>
      <c r="L335" s="13" t="n">
        <v>108</v>
      </c>
      <c r="M335" s="13" t="n">
        <v>17.7</v>
      </c>
      <c r="N335" s="13" t="n">
        <v>1072</v>
      </c>
      <c r="O335" s="13" t="n">
        <v>1.46</v>
      </c>
      <c r="P335" s="13" t="n">
        <v>1566</v>
      </c>
      <c r="Q335" s="13" t="n">
        <v>159</v>
      </c>
      <c r="R335" s="13" t="n">
        <v>62</v>
      </c>
      <c r="S335" s="13" t="n">
        <v>57</v>
      </c>
      <c r="T335" s="13" t="n">
        <v>216</v>
      </c>
      <c r="U335" s="13" t="n">
        <v>8</v>
      </c>
      <c r="V335" s="13" t="n">
        <v>155</v>
      </c>
      <c r="W335" s="13" t="n">
        <v>0.146</v>
      </c>
      <c r="X335" s="13" t="n">
        <v>132</v>
      </c>
      <c r="Y335" s="13" t="n">
        <v>132</v>
      </c>
      <c r="Z335" s="13" t="n">
        <v>85</v>
      </c>
      <c r="AA335" s="13" t="n">
        <v>5</v>
      </c>
      <c r="AB335" s="13" t="n">
        <v>10.2</v>
      </c>
      <c r="AC335" s="11" t="inlineStr">
        <is>
          <t xml:space="preserve"> Touring</t>
        </is>
      </c>
      <c r="AD335" s="11" t="inlineStr">
        <is>
          <t xml:space="preserve"> Ultralight Touring</t>
        </is>
      </c>
      <c r="AE335" s="13" t="n"/>
      <c r="AF335" s="13" t="n"/>
      <c r="AG335" s="13" t="n"/>
    </row>
    <row r="336">
      <c r="A336" s="9" t="inlineStr">
        <is>
          <t>21/22</t>
        </is>
      </c>
      <c r="B336" s="10" t="inlineStr">
        <is>
          <t xml:space="preserve"> Blizzard</t>
        </is>
      </c>
      <c r="C336" s="11" t="inlineStr">
        <is>
          <t>Zero G 95</t>
        </is>
      </c>
      <c r="D336" s="13" t="n">
        <v>164</v>
      </c>
      <c r="E336" s="11" t="inlineStr">
        <is>
          <t xml:space="preserve"> Unisex</t>
        </is>
      </c>
      <c r="F336" s="13" t="n">
        <v>164</v>
      </c>
      <c r="G336" s="13" t="n">
        <v>161.7</v>
      </c>
      <c r="H336" s="13" t="n">
        <v>115</v>
      </c>
      <c r="I336" s="13" t="n">
        <v>135</v>
      </c>
      <c r="J336" s="13" t="n">
        <v>124</v>
      </c>
      <c r="K336" s="13" t="n">
        <v>93</v>
      </c>
      <c r="L336" s="13" t="n">
        <v>108</v>
      </c>
      <c r="M336" s="13" t="n">
        <v>19.5</v>
      </c>
      <c r="N336" s="13" t="n">
        <v>1113</v>
      </c>
      <c r="O336" s="13" t="n">
        <v>1.47</v>
      </c>
      <c r="P336" s="13" t="n">
        <v>1639</v>
      </c>
      <c r="Q336" s="13" t="n">
        <v>186</v>
      </c>
      <c r="R336" s="13" t="n">
        <v>62</v>
      </c>
      <c r="S336" s="13" t="n">
        <v>58</v>
      </c>
      <c r="T336" s="13" t="n">
        <v>267</v>
      </c>
      <c r="U336" s="13" t="n">
        <v>11</v>
      </c>
      <c r="V336" s="13" t="n">
        <v>201</v>
      </c>
      <c r="W336" s="13" t="n">
        <v>0.196</v>
      </c>
      <c r="X336" s="13" t="n">
        <v>142</v>
      </c>
      <c r="Y336" s="13" t="n">
        <v>120</v>
      </c>
      <c r="Z336" s="13" t="n">
        <v>125</v>
      </c>
      <c r="AA336" s="13" t="n">
        <v>3</v>
      </c>
      <c r="AB336" s="13" t="n">
        <v>10</v>
      </c>
      <c r="AC336" s="11" t="inlineStr">
        <is>
          <t xml:space="preserve"> Touring</t>
        </is>
      </c>
      <c r="AD336" s="11" t="inlineStr">
        <is>
          <t xml:space="preserve"> Ultralight Touring</t>
        </is>
      </c>
      <c r="AE336" s="13" t="n"/>
      <c r="AF336" s="13" t="n"/>
      <c r="AG336" s="13" t="n"/>
    </row>
    <row r="337">
      <c r="A337" s="9" t="inlineStr">
        <is>
          <t>21/22</t>
        </is>
      </c>
      <c r="B337" s="10" t="inlineStr">
        <is>
          <t xml:space="preserve"> Blizzard</t>
        </is>
      </c>
      <c r="C337" s="11" t="inlineStr">
        <is>
          <t>Zero G 95</t>
        </is>
      </c>
      <c r="D337" s="13" t="n">
        <v>171</v>
      </c>
      <c r="E337" s="11" t="inlineStr">
        <is>
          <t xml:space="preserve"> Unisex</t>
        </is>
      </c>
      <c r="F337" s="13" t="n">
        <v>171</v>
      </c>
      <c r="G337" s="13" t="n">
        <v>169</v>
      </c>
      <c r="H337" s="13" t="n">
        <v>120</v>
      </c>
      <c r="I337" s="13" t="n">
        <v>143</v>
      </c>
      <c r="J337" s="13" t="n">
        <v>124</v>
      </c>
      <c r="K337" s="13" t="n">
        <v>93</v>
      </c>
      <c r="L337" s="13" t="n">
        <v>107</v>
      </c>
      <c r="M337" s="13" t="n">
        <v>22</v>
      </c>
      <c r="N337" s="13" t="n">
        <v>1201</v>
      </c>
      <c r="O337" s="13" t="n">
        <v>1.42</v>
      </c>
      <c r="P337" s="13" t="n">
        <v>1709</v>
      </c>
      <c r="Q337" s="13" t="n">
        <v>207</v>
      </c>
      <c r="R337" s="13" t="n">
        <v>75</v>
      </c>
      <c r="S337" s="13" t="n">
        <v>55</v>
      </c>
      <c r="T337" s="13" t="n">
        <v>273</v>
      </c>
      <c r="U337" s="13" t="n">
        <v>11</v>
      </c>
      <c r="V337" s="13" t="n">
        <v>216</v>
      </c>
      <c r="W337" s="13" t="n">
        <v>0.191</v>
      </c>
      <c r="X337" s="13" t="n">
        <v>130</v>
      </c>
      <c r="Y337" s="13" t="n">
        <v>134</v>
      </c>
      <c r="Z337" s="13" t="n">
        <v>143</v>
      </c>
      <c r="AA337" s="13" t="n">
        <v>3</v>
      </c>
      <c r="AB337" s="13" t="n">
        <v>10.5</v>
      </c>
      <c r="AC337" s="11" t="inlineStr">
        <is>
          <t xml:space="preserve"> Touring</t>
        </is>
      </c>
      <c r="AD337" s="11" t="inlineStr">
        <is>
          <t xml:space="preserve"> Ultralight Touring</t>
        </is>
      </c>
      <c r="AE337" s="13" t="n"/>
      <c r="AF337" s="13" t="n"/>
      <c r="AG337" s="13" t="n"/>
    </row>
    <row r="338">
      <c r="A338" s="9" t="inlineStr">
        <is>
          <t>21/22</t>
        </is>
      </c>
      <c r="B338" s="10" t="inlineStr">
        <is>
          <t xml:space="preserve"> Blizzard</t>
        </is>
      </c>
      <c r="C338" s="11" t="inlineStr">
        <is>
          <t>Zero G 95</t>
        </is>
      </c>
      <c r="D338" s="13" t="n">
        <v>178</v>
      </c>
      <c r="E338" s="11" t="inlineStr">
        <is>
          <t xml:space="preserve"> Unisex</t>
        </is>
      </c>
      <c r="F338" s="13" t="n">
        <v>178</v>
      </c>
      <c r="G338" s="13" t="n">
        <v>176</v>
      </c>
      <c r="H338" s="13" t="n">
        <v>125</v>
      </c>
      <c r="I338" s="13" t="n">
        <v>149</v>
      </c>
      <c r="J338" s="13" t="n">
        <v>126</v>
      </c>
      <c r="K338" s="13" t="n">
        <v>93</v>
      </c>
      <c r="L338" s="13" t="n">
        <v>110</v>
      </c>
      <c r="M338" s="13" t="n">
        <v>22.1</v>
      </c>
      <c r="N338" s="13" t="n">
        <v>1284</v>
      </c>
      <c r="O338" s="13" t="n">
        <v>1.4</v>
      </c>
      <c r="P338" s="13" t="n">
        <v>1794</v>
      </c>
      <c r="Q338" s="13" t="n">
        <v>242</v>
      </c>
      <c r="R338" s="13" t="n">
        <v>84</v>
      </c>
      <c r="S338" s="13" t="n">
        <v>54</v>
      </c>
      <c r="T338" s="13" t="n">
        <v>304</v>
      </c>
      <c r="U338" s="13" t="n">
        <v>12</v>
      </c>
      <c r="V338" s="13" t="n">
        <v>210</v>
      </c>
      <c r="W338" s="13" t="n">
        <v>0.219</v>
      </c>
      <c r="X338" s="13" t="n">
        <v>138</v>
      </c>
      <c r="Y338" s="13" t="n">
        <v>129</v>
      </c>
      <c r="Z338" s="13" t="n">
        <v>166</v>
      </c>
      <c r="AA338" s="13" t="n">
        <v>3</v>
      </c>
      <c r="AB338" s="13" t="n">
        <v>10.5</v>
      </c>
      <c r="AC338" s="11" t="inlineStr">
        <is>
          <t xml:space="preserve"> Touring</t>
        </is>
      </c>
      <c r="AD338" s="11" t="inlineStr">
        <is>
          <t xml:space="preserve"> Ultralight Touring</t>
        </is>
      </c>
      <c r="AE338" s="13" t="n"/>
      <c r="AF338" s="13" t="n"/>
      <c r="AG338" s="13" t="n"/>
    </row>
    <row r="339">
      <c r="A339" s="9" t="inlineStr">
        <is>
          <t>21/22</t>
        </is>
      </c>
      <c r="B339" s="10" t="inlineStr">
        <is>
          <t xml:space="preserve"> Blizzard</t>
        </is>
      </c>
      <c r="C339" s="11" t="inlineStr">
        <is>
          <t>Zero G 95</t>
        </is>
      </c>
      <c r="D339" s="13" t="n">
        <v>185</v>
      </c>
      <c r="E339" s="11" t="inlineStr">
        <is>
          <t xml:space="preserve"> Unisex</t>
        </is>
      </c>
      <c r="F339" s="13" t="n">
        <v>185</v>
      </c>
      <c r="G339" s="13" t="n">
        <v>182.7</v>
      </c>
      <c r="H339" s="13" t="n">
        <v>141</v>
      </c>
      <c r="I339" s="13" t="n">
        <v>156</v>
      </c>
      <c r="J339" s="13" t="n">
        <v>127</v>
      </c>
      <c r="K339" s="13" t="n">
        <v>93</v>
      </c>
      <c r="L339" s="13" t="n">
        <v>110</v>
      </c>
      <c r="M339" s="13" t="n">
        <v>24</v>
      </c>
      <c r="N339" s="13" t="n">
        <v>1374</v>
      </c>
      <c r="O339" s="13" t="n">
        <v>1.36</v>
      </c>
      <c r="P339" s="13" t="n">
        <v>1865</v>
      </c>
      <c r="Q339" s="13" t="n">
        <v>275</v>
      </c>
      <c r="R339" s="13" t="n">
        <v>104</v>
      </c>
      <c r="S339" s="13" t="n">
        <v>56</v>
      </c>
      <c r="T339" s="13" t="n">
        <v>276</v>
      </c>
      <c r="U339" s="13" t="n">
        <v>9</v>
      </c>
      <c r="V339" s="13" t="n">
        <v>143</v>
      </c>
      <c r="W339" s="13" t="n">
        <v>0.167</v>
      </c>
      <c r="X339" s="13" t="n">
        <v>134</v>
      </c>
      <c r="Y339" s="13" t="n">
        <v>137</v>
      </c>
      <c r="Z339" s="13" t="n">
        <v>142</v>
      </c>
      <c r="AA339" s="13" t="n">
        <v>4</v>
      </c>
      <c r="AB339" s="13" t="n">
        <v>10.8</v>
      </c>
      <c r="AC339" s="11" t="inlineStr">
        <is>
          <t xml:space="preserve"> Touring</t>
        </is>
      </c>
      <c r="AD339" s="11" t="inlineStr">
        <is>
          <t xml:space="preserve"> Ultralight Touring</t>
        </is>
      </c>
      <c r="AE339" s="13" t="n"/>
      <c r="AF339" s="13" t="n"/>
      <c r="AG339" s="13" t="n"/>
    </row>
    <row r="340">
      <c r="A340" s="9" t="inlineStr">
        <is>
          <t>21/22</t>
        </is>
      </c>
      <c r="B340" s="10" t="inlineStr">
        <is>
          <t xml:space="preserve"> DPS</t>
        </is>
      </c>
      <c r="C340" s="11" t="inlineStr">
        <is>
          <t>Foundation 103 Koala</t>
        </is>
      </c>
      <c r="D340" s="13" t="n">
        <v>168</v>
      </c>
      <c r="E340" s="11" t="inlineStr">
        <is>
          <t xml:space="preserve"> Unisex</t>
        </is>
      </c>
      <c r="F340" s="13" t="n">
        <v>168</v>
      </c>
      <c r="G340" s="13" t="n">
        <v>167.4</v>
      </c>
      <c r="H340" s="13" t="n">
        <v>108</v>
      </c>
      <c r="I340" s="13" t="n">
        <v>133</v>
      </c>
      <c r="J340" s="13" t="n">
        <v>128</v>
      </c>
      <c r="K340" s="13" t="n">
        <v>103</v>
      </c>
      <c r="L340" s="13" t="n">
        <v>117</v>
      </c>
      <c r="M340" s="13" t="n">
        <v>18.2</v>
      </c>
      <c r="N340" s="13" t="n">
        <v>1615</v>
      </c>
      <c r="O340" s="13" t="n">
        <v>1.15</v>
      </c>
      <c r="P340" s="13" t="n">
        <v>1863</v>
      </c>
      <c r="Q340" s="13" t="n">
        <v>173</v>
      </c>
      <c r="R340" s="13" t="n">
        <v>79</v>
      </c>
      <c r="S340" s="13" t="n">
        <v>50</v>
      </c>
      <c r="T340" s="13" t="n">
        <v>313</v>
      </c>
      <c r="U340" s="13" t="n">
        <v>33</v>
      </c>
      <c r="V340" s="13" t="n">
        <v>278</v>
      </c>
      <c r="W340" s="13" t="n">
        <v>0.661</v>
      </c>
      <c r="X340" s="13" t="n">
        <v>198</v>
      </c>
      <c r="Y340" s="13" t="n">
        <v>147</v>
      </c>
      <c r="Z340" s="13" t="n">
        <v>115</v>
      </c>
      <c r="AA340" s="13" t="n">
        <v>5</v>
      </c>
      <c r="AB340" s="13" t="n">
        <v>6.5</v>
      </c>
      <c r="AC340" s="11" t="inlineStr">
        <is>
          <t xml:space="preserve"> Resort Freeride</t>
        </is>
      </c>
      <c r="AD340" s="11" t="inlineStr">
        <is>
          <t xml:space="preserve"> Powder</t>
        </is>
      </c>
      <c r="AE340" s="11" t="inlineStr">
        <is>
          <t xml:space="preserve"> Touring</t>
        </is>
      </c>
      <c r="AF340" s="13" t="n"/>
      <c r="AG340" s="13" t="n"/>
    </row>
    <row r="341">
      <c r="A341" s="9" t="inlineStr">
        <is>
          <t>21/22</t>
        </is>
      </c>
      <c r="B341" s="10" t="inlineStr">
        <is>
          <t xml:space="preserve"> DPS</t>
        </is>
      </c>
      <c r="C341" s="11" t="inlineStr">
        <is>
          <t>Foundation 103 Koala</t>
        </is>
      </c>
      <c r="D341" s="13" t="n">
        <v>176</v>
      </c>
      <c r="E341" s="11" t="inlineStr">
        <is>
          <t xml:space="preserve"> Unisex</t>
        </is>
      </c>
      <c r="F341" s="13" t="n">
        <v>176</v>
      </c>
      <c r="G341" s="13" t="n">
        <v>175.1</v>
      </c>
      <c r="H341" s="13" t="n">
        <v>117</v>
      </c>
      <c r="I341" s="13" t="n">
        <v>140</v>
      </c>
      <c r="J341" s="13" t="n">
        <v>131</v>
      </c>
      <c r="K341" s="13" t="n">
        <v>103</v>
      </c>
      <c r="L341" s="13" t="n">
        <v>120</v>
      </c>
      <c r="M341" s="13" t="n">
        <v>18.3</v>
      </c>
      <c r="N341" s="13" t="n">
        <v>1804</v>
      </c>
      <c r="O341" s="13" t="n">
        <v>1.09</v>
      </c>
      <c r="P341" s="13" t="n">
        <v>1972</v>
      </c>
      <c r="Q341" s="13" t="n">
        <v>210</v>
      </c>
      <c r="R341" s="13" t="n">
        <v>95</v>
      </c>
      <c r="S341" s="13" t="n">
        <v>48</v>
      </c>
      <c r="T341" s="13" t="n">
        <v>298</v>
      </c>
      <c r="U341" s="13" t="n">
        <v>37</v>
      </c>
      <c r="V341" s="13" t="n">
        <v>280</v>
      </c>
      <c r="W341" s="13" t="n">
        <v>0.777</v>
      </c>
      <c r="X341" s="13" t="n">
        <v>184</v>
      </c>
      <c r="Y341" s="13" t="n">
        <v>167</v>
      </c>
      <c r="Z341" s="13" t="n">
        <v>114</v>
      </c>
      <c r="AA341" s="13" t="n">
        <v>7</v>
      </c>
      <c r="AB341" s="13" t="n">
        <v>6.3</v>
      </c>
      <c r="AC341" s="11" t="inlineStr">
        <is>
          <t xml:space="preserve"> Resort Freeride</t>
        </is>
      </c>
      <c r="AD341" s="11" t="inlineStr">
        <is>
          <t xml:space="preserve"> Powder</t>
        </is>
      </c>
      <c r="AE341" s="11" t="inlineStr">
        <is>
          <t xml:space="preserve"> Touring</t>
        </is>
      </c>
      <c r="AF341" s="13" t="n"/>
      <c r="AG341" s="13" t="n"/>
    </row>
    <row r="342">
      <c r="A342" s="9" t="inlineStr">
        <is>
          <t>21/22</t>
        </is>
      </c>
      <c r="B342" s="10" t="inlineStr">
        <is>
          <t xml:space="preserve"> DPS</t>
        </is>
      </c>
      <c r="C342" s="11" t="inlineStr">
        <is>
          <t>Foundation 103 Koala</t>
        </is>
      </c>
      <c r="D342" s="13" t="n">
        <v>184</v>
      </c>
      <c r="E342" s="11" t="inlineStr">
        <is>
          <t xml:space="preserve"> Unisex</t>
        </is>
      </c>
      <c r="F342" s="13" t="n">
        <v>184</v>
      </c>
      <c r="G342" s="13" t="n">
        <v>182.8</v>
      </c>
      <c r="H342" s="13" t="n">
        <v>121</v>
      </c>
      <c r="I342" s="13" t="n">
        <v>149</v>
      </c>
      <c r="J342" s="13" t="n">
        <v>132</v>
      </c>
      <c r="K342" s="13" t="n">
        <v>103</v>
      </c>
      <c r="L342" s="13" t="n">
        <v>121</v>
      </c>
      <c r="M342" s="13" t="n">
        <v>18.5</v>
      </c>
      <c r="N342" s="13" t="n">
        <v>2074</v>
      </c>
      <c r="O342" s="13" t="n">
        <v>1</v>
      </c>
      <c r="P342" s="13" t="n">
        <v>2076</v>
      </c>
      <c r="Q342" s="13" t="n">
        <v>264</v>
      </c>
      <c r="R342" s="13" t="n">
        <v>120</v>
      </c>
      <c r="S342" s="13" t="n">
        <v>53</v>
      </c>
      <c r="T342" s="13" t="n">
        <v>331</v>
      </c>
      <c r="U342" s="13" t="n">
        <v>39</v>
      </c>
      <c r="V342" s="13" t="n">
        <v>290</v>
      </c>
      <c r="W342" s="13" t="n">
        <v>0.738</v>
      </c>
      <c r="X342" s="13" t="n">
        <v>204</v>
      </c>
      <c r="Y342" s="13" t="n">
        <v>137</v>
      </c>
      <c r="Z342" s="13" t="n">
        <v>128</v>
      </c>
      <c r="AA342" s="13" t="n">
        <v>7</v>
      </c>
      <c r="AB342" s="13" t="n">
        <v>6.9</v>
      </c>
      <c r="AC342" s="11" t="inlineStr">
        <is>
          <t xml:space="preserve"> Resort Freeride</t>
        </is>
      </c>
      <c r="AD342" s="11" t="inlineStr">
        <is>
          <t xml:space="preserve"> Powder</t>
        </is>
      </c>
      <c r="AE342" s="13" t="n"/>
      <c r="AF342" s="13" t="n"/>
      <c r="AG342" s="13" t="n"/>
    </row>
    <row r="343">
      <c r="A343" s="9" t="inlineStr">
        <is>
          <t>21/22</t>
        </is>
      </c>
      <c r="B343" s="10" t="inlineStr">
        <is>
          <t xml:space="preserve"> DPS</t>
        </is>
      </c>
      <c r="C343" s="11" t="inlineStr">
        <is>
          <t>Foundation 103 Koala</t>
        </is>
      </c>
      <c r="D343" s="13" t="n">
        <v>189</v>
      </c>
      <c r="E343" s="11" t="inlineStr">
        <is>
          <t xml:space="preserve"> Unisex</t>
        </is>
      </c>
      <c r="F343" s="13" t="n">
        <v>189</v>
      </c>
      <c r="G343" s="13" t="n">
        <v>187.4</v>
      </c>
      <c r="H343" s="13" t="n">
        <v>120</v>
      </c>
      <c r="I343" s="13" t="n">
        <v>145</v>
      </c>
      <c r="J343" s="13" t="n">
        <v>134</v>
      </c>
      <c r="K343" s="13" t="n">
        <v>102</v>
      </c>
      <c r="L343" s="13" t="n">
        <v>122</v>
      </c>
      <c r="M343" s="13" t="n">
        <v>18.1</v>
      </c>
      <c r="N343" s="13" t="n">
        <v>2041</v>
      </c>
      <c r="O343" s="13" t="n">
        <v>1.04</v>
      </c>
      <c r="P343" s="13" t="n">
        <v>2132</v>
      </c>
      <c r="Q343" s="13" t="n">
        <v>250</v>
      </c>
      <c r="R343" s="13" t="n">
        <v>115</v>
      </c>
      <c r="S343" s="13" t="n">
        <v>61</v>
      </c>
      <c r="T343" s="13" t="n">
        <v>350</v>
      </c>
      <c r="U343" s="13" t="n">
        <v>45</v>
      </c>
      <c r="V343" s="13" t="n">
        <v>327</v>
      </c>
      <c r="W343" s="13" t="n">
        <v>0.741</v>
      </c>
      <c r="X343" s="13" t="n">
        <v>243</v>
      </c>
      <c r="Y343" s="13" t="n">
        <v>180</v>
      </c>
      <c r="Z343" s="13" t="n">
        <v>107</v>
      </c>
      <c r="AA343" s="13" t="n">
        <v>4</v>
      </c>
      <c r="AB343" s="13" t="n">
        <v>7.2</v>
      </c>
      <c r="AC343" s="11" t="inlineStr">
        <is>
          <t xml:space="preserve"> Resort Freeride</t>
        </is>
      </c>
      <c r="AD343" s="11" t="inlineStr">
        <is>
          <t xml:space="preserve"> Powder</t>
        </is>
      </c>
      <c r="AE343" s="13" t="n"/>
      <c r="AF343" s="13" t="n"/>
      <c r="AG343" s="13" t="n"/>
    </row>
    <row r="344">
      <c r="A344" s="9" t="inlineStr">
        <is>
          <t>21/22</t>
        </is>
      </c>
      <c r="B344" s="10" t="inlineStr">
        <is>
          <t xml:space="preserve"> DPS</t>
        </is>
      </c>
      <c r="C344" s="11" t="inlineStr">
        <is>
          <t>Pagoda 100 RP</t>
        </is>
      </c>
      <c r="D344" s="13" t="n">
        <v>171</v>
      </c>
      <c r="E344" s="11" t="inlineStr">
        <is>
          <t xml:space="preserve"> Unisex</t>
        </is>
      </c>
      <c r="F344" s="13" t="n">
        <v>171</v>
      </c>
      <c r="G344" s="13" t="n">
        <v>169.1</v>
      </c>
      <c r="H344" s="13" t="n">
        <v>112</v>
      </c>
      <c r="I344" s="13" t="n">
        <v>124</v>
      </c>
      <c r="J344" s="13" t="n">
        <v>129</v>
      </c>
      <c r="K344" s="13" t="n">
        <v>100</v>
      </c>
      <c r="L344" s="13" t="n">
        <v>115</v>
      </c>
      <c r="M344" s="13" t="n">
        <v>15</v>
      </c>
      <c r="N344" s="13" t="n">
        <v>1718</v>
      </c>
      <c r="O344" s="13" t="n">
        <v>1.08</v>
      </c>
      <c r="P344" s="13" t="n">
        <v>1858</v>
      </c>
      <c r="Q344" s="13" t="n">
        <v>192</v>
      </c>
      <c r="R344" s="13" t="n">
        <v>99</v>
      </c>
      <c r="S344" s="13" t="n">
        <v>56</v>
      </c>
      <c r="T344" s="13" t="n">
        <v>335</v>
      </c>
      <c r="U344" s="13" t="n">
        <v>26</v>
      </c>
      <c r="V344" s="13" t="n">
        <v>233</v>
      </c>
      <c r="W344" s="13" t="n">
        <v>0.456</v>
      </c>
      <c r="X344" s="13" t="n">
        <v>237</v>
      </c>
      <c r="Y344" s="13" t="n">
        <v>211</v>
      </c>
      <c r="Z344" s="13" t="n">
        <v>98</v>
      </c>
      <c r="AA344" s="13" t="n">
        <v>8</v>
      </c>
      <c r="AB344" s="13" t="n">
        <v>12.4</v>
      </c>
      <c r="AC344" s="11" t="inlineStr">
        <is>
          <t xml:space="preserve"> Resort Freeride</t>
        </is>
      </c>
      <c r="AD344" s="11" t="inlineStr">
        <is>
          <t xml:space="preserve"> Touring</t>
        </is>
      </c>
      <c r="AE344" s="13" t="n"/>
      <c r="AF344" s="13" t="n"/>
      <c r="AG344" s="13" t="n"/>
    </row>
    <row r="345">
      <c r="A345" s="9" t="inlineStr">
        <is>
          <t>21/22</t>
        </is>
      </c>
      <c r="B345" s="10" t="inlineStr">
        <is>
          <t xml:space="preserve"> DPS</t>
        </is>
      </c>
      <c r="C345" s="11" t="inlineStr">
        <is>
          <t>Pagoda 106 C2</t>
        </is>
      </c>
      <c r="D345" s="13" t="n">
        <v>155</v>
      </c>
      <c r="E345" s="11" t="inlineStr">
        <is>
          <t xml:space="preserve"> Unisex</t>
        </is>
      </c>
      <c r="F345" s="13" t="n">
        <v>155</v>
      </c>
      <c r="G345" s="13" t="n">
        <v>154</v>
      </c>
      <c r="H345" s="13" t="n">
        <v>107</v>
      </c>
      <c r="I345" s="13" t="n">
        <v>119</v>
      </c>
      <c r="J345" s="13" t="n">
        <v>129</v>
      </c>
      <c r="K345" s="13" t="n">
        <v>106</v>
      </c>
      <c r="L345" s="13" t="n">
        <v>116</v>
      </c>
      <c r="M345" s="13" t="n">
        <v>19.3</v>
      </c>
      <c r="N345" s="13" t="n">
        <v>1590</v>
      </c>
      <c r="O345" s="13" t="n">
        <v>1.09</v>
      </c>
      <c r="P345" s="13" t="n">
        <v>1730</v>
      </c>
      <c r="Q345" s="13" t="n">
        <v>187</v>
      </c>
      <c r="R345" s="13" t="n">
        <v>95</v>
      </c>
      <c r="S345" s="13" t="n">
        <v>39</v>
      </c>
      <c r="T345" s="13" t="n">
        <v>261</v>
      </c>
      <c r="U345" s="13" t="n">
        <v>19</v>
      </c>
      <c r="V345" s="13" t="n">
        <v>204</v>
      </c>
      <c r="W345" s="13" t="n">
        <v>0.49</v>
      </c>
      <c r="X345" s="13" t="n">
        <v>188</v>
      </c>
      <c r="Y345" s="13" t="n">
        <v>165</v>
      </c>
      <c r="Z345" s="13" t="n">
        <v>73</v>
      </c>
      <c r="AA345" s="13" t="n">
        <v>5</v>
      </c>
      <c r="AB345" s="13" t="n">
        <v>11.5</v>
      </c>
      <c r="AC345" s="11" t="inlineStr">
        <is>
          <t xml:space="preserve"> Powder</t>
        </is>
      </c>
      <c r="AD345" s="11" t="inlineStr">
        <is>
          <t xml:space="preserve"> Touring</t>
        </is>
      </c>
      <c r="AE345" s="13" t="n"/>
      <c r="AF345" s="13" t="n"/>
      <c r="AG345" s="13" t="n"/>
    </row>
    <row r="346">
      <c r="A346" s="9" t="inlineStr">
        <is>
          <t>21/22</t>
        </is>
      </c>
      <c r="B346" s="10" t="inlineStr">
        <is>
          <t xml:space="preserve"> DPS</t>
        </is>
      </c>
      <c r="C346" s="11" t="inlineStr">
        <is>
          <t>Pagoda 106 C2</t>
        </is>
      </c>
      <c r="D346" s="13" t="n">
        <v>163</v>
      </c>
      <c r="E346" s="11" t="inlineStr">
        <is>
          <t xml:space="preserve"> Unisex</t>
        </is>
      </c>
      <c r="F346" s="13" t="n">
        <v>163</v>
      </c>
      <c r="G346" s="13" t="n">
        <v>162</v>
      </c>
      <c r="H346" s="13" t="n">
        <v>113</v>
      </c>
      <c r="I346" s="13" t="n">
        <v>126</v>
      </c>
      <c r="J346" s="13" t="n">
        <v>131</v>
      </c>
      <c r="K346" s="13" t="n">
        <v>105</v>
      </c>
      <c r="L346" s="13" t="n">
        <v>117</v>
      </c>
      <c r="M346" s="13" t="n">
        <v>19.2</v>
      </c>
      <c r="N346" s="13" t="n">
        <v>1720</v>
      </c>
      <c r="O346" s="13" t="n">
        <v>1.06</v>
      </c>
      <c r="P346" s="13" t="n">
        <v>1832</v>
      </c>
      <c r="Q346" s="13" t="n">
        <v>212</v>
      </c>
      <c r="R346" s="13" t="n">
        <v>109</v>
      </c>
      <c r="S346" s="13" t="n">
        <v>43</v>
      </c>
      <c r="T346" s="13" t="n">
        <v>278</v>
      </c>
      <c r="U346" s="13" t="n">
        <v>20</v>
      </c>
      <c r="V346" s="13" t="n">
        <v>214</v>
      </c>
      <c r="W346" s="13" t="n">
        <v>0.463</v>
      </c>
      <c r="X346" s="13" t="n">
        <v>192</v>
      </c>
      <c r="Y346" s="13" t="n">
        <v>173</v>
      </c>
      <c r="Z346" s="13" t="n">
        <v>86</v>
      </c>
      <c r="AA346" s="13" t="n">
        <v>6</v>
      </c>
      <c r="AB346" s="13" t="n">
        <v>9.5</v>
      </c>
      <c r="AC346" s="11" t="inlineStr">
        <is>
          <t xml:space="preserve"> Powder</t>
        </is>
      </c>
      <c r="AD346" s="11" t="inlineStr">
        <is>
          <t xml:space="preserve"> Touring</t>
        </is>
      </c>
      <c r="AE346" s="13" t="n"/>
      <c r="AF346" s="13" t="n"/>
      <c r="AG346" s="13" t="n"/>
    </row>
    <row r="347">
      <c r="A347" s="9" t="inlineStr">
        <is>
          <t>21/22</t>
        </is>
      </c>
      <c r="B347" s="10" t="inlineStr">
        <is>
          <t xml:space="preserve"> DPS</t>
        </is>
      </c>
      <c r="C347" s="11" t="inlineStr">
        <is>
          <t>Pagoda 106 C2</t>
        </is>
      </c>
      <c r="D347" s="13" t="n">
        <v>171</v>
      </c>
      <c r="E347" s="11" t="inlineStr">
        <is>
          <t xml:space="preserve"> Unisex</t>
        </is>
      </c>
      <c r="F347" s="13" t="n">
        <v>171</v>
      </c>
      <c r="G347" s="13" t="n">
        <v>169.4</v>
      </c>
      <c r="H347" s="13" t="n">
        <v>123</v>
      </c>
      <c r="I347" s="13" t="n">
        <v>131</v>
      </c>
      <c r="J347" s="13" t="n">
        <v>134</v>
      </c>
      <c r="K347" s="13" t="n">
        <v>106</v>
      </c>
      <c r="L347" s="13" t="n">
        <v>119</v>
      </c>
      <c r="M347" s="13" t="n">
        <v>19</v>
      </c>
      <c r="N347" s="13" t="n">
        <v>1843</v>
      </c>
      <c r="O347" s="13" t="n">
        <v>1.05</v>
      </c>
      <c r="P347" s="13" t="n">
        <v>1938</v>
      </c>
      <c r="Q347" s="13" t="n">
        <v>209</v>
      </c>
      <c r="R347" s="13" t="n">
        <v>116</v>
      </c>
      <c r="S347" s="13" t="n">
        <v>34</v>
      </c>
      <c r="T347" s="13" t="n">
        <v>261</v>
      </c>
      <c r="U347" s="13" t="n">
        <v>21</v>
      </c>
      <c r="V347" s="13" t="n">
        <v>203</v>
      </c>
      <c r="W347" s="13" t="n">
        <v>0.607</v>
      </c>
      <c r="X347" s="13" t="n">
        <v>199</v>
      </c>
      <c r="Y347" s="13" t="n">
        <v>188</v>
      </c>
      <c r="Z347" s="13" t="n">
        <v>62</v>
      </c>
      <c r="AA347" s="13" t="n">
        <v>9</v>
      </c>
      <c r="AB347" s="13" t="n">
        <v>10.6</v>
      </c>
      <c r="AC347" s="11" t="inlineStr">
        <is>
          <t xml:space="preserve"> Powder</t>
        </is>
      </c>
      <c r="AD347" s="11" t="inlineStr">
        <is>
          <t xml:space="preserve"> Touring</t>
        </is>
      </c>
      <c r="AE347" s="13" t="n"/>
      <c r="AF347" s="13" t="n"/>
      <c r="AG347" s="13" t="n"/>
    </row>
    <row r="348">
      <c r="A348" s="9" t="inlineStr">
        <is>
          <t>21/22</t>
        </is>
      </c>
      <c r="B348" s="10" t="inlineStr">
        <is>
          <t xml:space="preserve"> DPS</t>
        </is>
      </c>
      <c r="C348" s="11" t="inlineStr">
        <is>
          <t>Pagoda 106 C2</t>
        </is>
      </c>
      <c r="D348" s="13" t="n">
        <v>179</v>
      </c>
      <c r="E348" s="11" t="inlineStr">
        <is>
          <t xml:space="preserve"> Unisex</t>
        </is>
      </c>
      <c r="F348" s="13" t="n">
        <v>179</v>
      </c>
      <c r="G348" s="13" t="n">
        <v>177.3</v>
      </c>
      <c r="H348" s="13" t="n">
        <v>127</v>
      </c>
      <c r="I348" s="13" t="n">
        <v>138</v>
      </c>
      <c r="J348" s="13" t="n">
        <v>137</v>
      </c>
      <c r="K348" s="13" t="n">
        <v>106</v>
      </c>
      <c r="L348" s="13" t="n">
        <v>121</v>
      </c>
      <c r="M348" s="13" t="n">
        <v>19</v>
      </c>
      <c r="N348" s="13" t="n">
        <v>2005</v>
      </c>
      <c r="O348" s="13" t="n">
        <v>1.02</v>
      </c>
      <c r="P348" s="13" t="n">
        <v>2052</v>
      </c>
      <c r="Q348" s="13" t="n">
        <v>264</v>
      </c>
      <c r="R348" s="13" t="n">
        <v>137</v>
      </c>
      <c r="S348" s="13" t="n">
        <v>47</v>
      </c>
      <c r="T348" s="13" t="n">
        <v>287</v>
      </c>
      <c r="U348" s="13" t="n">
        <v>23</v>
      </c>
      <c r="V348" s="13" t="n">
        <v>220</v>
      </c>
      <c r="W348" s="13" t="n">
        <v>0.499</v>
      </c>
      <c r="X348" s="13" t="n">
        <v>202</v>
      </c>
      <c r="Y348" s="13" t="n">
        <v>188</v>
      </c>
      <c r="Z348" s="13" t="n">
        <v>86</v>
      </c>
      <c r="AA348" s="13" t="n">
        <v>9</v>
      </c>
      <c r="AB348" s="13" t="n">
        <v>11.8</v>
      </c>
      <c r="AC348" s="11" t="inlineStr">
        <is>
          <t xml:space="preserve"> Powder</t>
        </is>
      </c>
      <c r="AD348" s="13" t="n"/>
      <c r="AE348" s="13" t="n"/>
      <c r="AF348" s="13" t="n"/>
      <c r="AG348" s="13" t="n"/>
    </row>
    <row r="349">
      <c r="A349" s="9" t="inlineStr">
        <is>
          <t>21/22</t>
        </is>
      </c>
      <c r="B349" s="10" t="inlineStr">
        <is>
          <t xml:space="preserve"> DPS</t>
        </is>
      </c>
      <c r="C349" s="11" t="inlineStr">
        <is>
          <t>Pagoda 106 C2</t>
        </is>
      </c>
      <c r="D349" s="13" t="n">
        <v>184</v>
      </c>
      <c r="E349" s="11" t="inlineStr">
        <is>
          <t xml:space="preserve"> Unisex</t>
        </is>
      </c>
      <c r="F349" s="13" t="n">
        <v>184</v>
      </c>
      <c r="G349" s="13" t="n">
        <v>183.7</v>
      </c>
      <c r="H349" s="13" t="n">
        <v>126</v>
      </c>
      <c r="I349" s="13" t="n">
        <v>143</v>
      </c>
      <c r="J349" s="13" t="n">
        <v>138</v>
      </c>
      <c r="K349" s="13" t="n">
        <v>106</v>
      </c>
      <c r="L349" s="13" t="n">
        <v>121</v>
      </c>
      <c r="M349" s="13" t="n">
        <v>19.1</v>
      </c>
      <c r="N349" s="13" t="n">
        <v>2040</v>
      </c>
      <c r="O349" s="13" t="n">
        <v>1.04</v>
      </c>
      <c r="P349" s="13" t="n">
        <v>2125</v>
      </c>
      <c r="Q349" s="13" t="n">
        <v>254</v>
      </c>
      <c r="R349" s="13" t="n">
        <v>139</v>
      </c>
      <c r="S349" s="13" t="n">
        <v>54</v>
      </c>
      <c r="T349" s="13" t="n">
        <v>330</v>
      </c>
      <c r="U349" s="13" t="n">
        <v>27</v>
      </c>
      <c r="V349" s="13" t="n">
        <v>248</v>
      </c>
      <c r="W349" s="13" t="n">
        <v>0.501</v>
      </c>
      <c r="X349" s="13" t="n">
        <v>214</v>
      </c>
      <c r="Y349" s="13" t="n">
        <v>196</v>
      </c>
      <c r="Z349" s="13" t="n">
        <v>116</v>
      </c>
      <c r="AA349" s="13" t="n">
        <v>9</v>
      </c>
      <c r="AB349" s="13" t="n">
        <v>10.8</v>
      </c>
      <c r="AC349" s="11" t="inlineStr">
        <is>
          <t xml:space="preserve"> Powder</t>
        </is>
      </c>
      <c r="AD349" s="13" t="n"/>
      <c r="AE349" s="13" t="n"/>
      <c r="AF349" s="13" t="n"/>
      <c r="AG349" s="13" t="n"/>
    </row>
    <row r="350">
      <c r="A350" s="9" t="inlineStr">
        <is>
          <t>21/22</t>
        </is>
      </c>
      <c r="B350" s="10" t="inlineStr">
        <is>
          <t xml:space="preserve"> DPS</t>
        </is>
      </c>
      <c r="C350" s="11" t="inlineStr">
        <is>
          <t>Pagoda 112 RP</t>
        </is>
      </c>
      <c r="D350" s="13" t="n">
        <v>168</v>
      </c>
      <c r="E350" s="11" t="inlineStr">
        <is>
          <t xml:space="preserve"> Unisex</t>
        </is>
      </c>
      <c r="F350" s="13" t="n">
        <v>168</v>
      </c>
      <c r="G350" s="13" t="n">
        <v>166.6</v>
      </c>
      <c r="H350" s="13" t="n">
        <v>98</v>
      </c>
      <c r="I350" s="13" t="n">
        <v>112</v>
      </c>
      <c r="J350" s="13" t="n">
        <v>136</v>
      </c>
      <c r="K350" s="13" t="n">
        <v>112</v>
      </c>
      <c r="L350" s="13" t="n">
        <v>124</v>
      </c>
      <c r="M350" s="13" t="n">
        <v>15.2</v>
      </c>
      <c r="N350" s="13" t="n">
        <v>1732</v>
      </c>
      <c r="O350" s="13" t="n">
        <v>1.15</v>
      </c>
      <c r="P350" s="13" t="n">
        <v>1985</v>
      </c>
      <c r="Q350" s="13" t="n">
        <v>154</v>
      </c>
      <c r="R350" s="13" t="n">
        <v>96</v>
      </c>
      <c r="S350" s="13" t="n">
        <v>59</v>
      </c>
      <c r="T350" s="13" t="n">
        <v>395</v>
      </c>
      <c r="U350" s="13" t="n">
        <v>32</v>
      </c>
      <c r="V350" s="13" t="n">
        <v>287</v>
      </c>
      <c r="W350" s="13" t="n">
        <v>0.543</v>
      </c>
      <c r="X350" s="13" t="n">
        <v>306</v>
      </c>
      <c r="Y350" s="13" t="n">
        <v>243</v>
      </c>
      <c r="Z350" s="13" t="n">
        <v>89</v>
      </c>
      <c r="AA350" s="13" t="n">
        <v>6</v>
      </c>
      <c r="AB350" s="13" t="n">
        <v>14</v>
      </c>
      <c r="AC350" s="11" t="inlineStr">
        <is>
          <t xml:space="preserve"> Powder</t>
        </is>
      </c>
      <c r="AD350" s="11" t="inlineStr">
        <is>
          <t xml:space="preserve"> Touring</t>
        </is>
      </c>
      <c r="AE350" s="13" t="n"/>
      <c r="AF350" s="13" t="n"/>
      <c r="AG350" s="13" t="n"/>
    </row>
    <row r="351">
      <c r="A351" s="9" t="inlineStr">
        <is>
          <t>21/22</t>
        </is>
      </c>
      <c r="B351" s="10" t="inlineStr">
        <is>
          <t xml:space="preserve"> DPS</t>
        </is>
      </c>
      <c r="C351" s="11" t="inlineStr">
        <is>
          <t>Pagoda 112 RP</t>
        </is>
      </c>
      <c r="D351" s="13" t="n">
        <v>178</v>
      </c>
      <c r="E351" s="11" t="inlineStr">
        <is>
          <t xml:space="preserve"> Unisex</t>
        </is>
      </c>
      <c r="F351" s="13" t="n">
        <v>178</v>
      </c>
      <c r="G351" s="13" t="n">
        <v>176.7</v>
      </c>
      <c r="H351" s="13" t="n">
        <v>105</v>
      </c>
      <c r="I351" s="13" t="n">
        <v>124</v>
      </c>
      <c r="J351" s="13" t="n">
        <v>138</v>
      </c>
      <c r="K351" s="13" t="n">
        <v>112</v>
      </c>
      <c r="L351" s="13" t="n">
        <v>126</v>
      </c>
      <c r="M351" s="13" t="n">
        <v>15.7</v>
      </c>
      <c r="N351" s="13" t="n">
        <v>1887</v>
      </c>
      <c r="O351" s="13" t="n">
        <v>1.13</v>
      </c>
      <c r="P351" s="13" t="n">
        <v>2127</v>
      </c>
      <c r="Q351" s="13" t="n">
        <v>187</v>
      </c>
      <c r="R351" s="13" t="n">
        <v>110</v>
      </c>
      <c r="S351" s="13" t="n">
        <v>63</v>
      </c>
      <c r="T351" s="13" t="n">
        <v>411</v>
      </c>
      <c r="U351" s="13" t="n">
        <v>34</v>
      </c>
      <c r="V351" s="13" t="n">
        <v>303</v>
      </c>
      <c r="W351" s="13" t="n">
        <v>0.542</v>
      </c>
      <c r="X351" s="13" t="n">
        <v>322</v>
      </c>
      <c r="Y351" s="13" t="n">
        <v>201</v>
      </c>
      <c r="Z351" s="13" t="n">
        <v>89</v>
      </c>
      <c r="AA351" s="13" t="n">
        <v>6</v>
      </c>
      <c r="AB351" s="13" t="n">
        <v>14.8</v>
      </c>
      <c r="AC351" s="11" t="inlineStr">
        <is>
          <t xml:space="preserve"> Powder</t>
        </is>
      </c>
      <c r="AD351" s="11" t="inlineStr">
        <is>
          <t xml:space="preserve"> Touring</t>
        </is>
      </c>
      <c r="AE351" s="13" t="n"/>
      <c r="AF351" s="13" t="n"/>
      <c r="AG351" s="13" t="n"/>
    </row>
    <row r="352">
      <c r="A352" s="9" t="inlineStr">
        <is>
          <t>21/22</t>
        </is>
      </c>
      <c r="B352" s="10" t="inlineStr">
        <is>
          <t xml:space="preserve"> DPS</t>
        </is>
      </c>
      <c r="C352" s="11" t="inlineStr">
        <is>
          <t>Pagoda 112 RP</t>
        </is>
      </c>
      <c r="D352" s="13" t="n">
        <v>184</v>
      </c>
      <c r="E352" s="11" t="inlineStr">
        <is>
          <t xml:space="preserve"> Unisex</t>
        </is>
      </c>
      <c r="F352" s="13" t="n">
        <v>184</v>
      </c>
      <c r="G352" s="13" t="n">
        <v>182.6</v>
      </c>
      <c r="H352" s="13" t="n">
        <v>109</v>
      </c>
      <c r="I352" s="13" t="n">
        <v>125</v>
      </c>
      <c r="J352" s="13" t="n">
        <v>140</v>
      </c>
      <c r="K352" s="13" t="n">
        <v>112</v>
      </c>
      <c r="L352" s="13" t="n">
        <v>127</v>
      </c>
      <c r="M352" s="13" t="n">
        <v>15.5</v>
      </c>
      <c r="N352" s="13" t="n">
        <v>2062</v>
      </c>
      <c r="O352" s="13" t="n">
        <v>1.07</v>
      </c>
      <c r="P352" s="13" t="n">
        <v>2207</v>
      </c>
      <c r="Q352" s="13" t="n">
        <v>267</v>
      </c>
      <c r="R352" s="13" t="n">
        <v>128</v>
      </c>
      <c r="S352" s="13" t="n">
        <v>77</v>
      </c>
      <c r="T352" s="13" t="n">
        <v>424</v>
      </c>
      <c r="U352" s="13" t="n">
        <v>34</v>
      </c>
      <c r="V352" s="13" t="n">
        <v>316</v>
      </c>
      <c r="W352" s="13" t="n">
        <v>0.444</v>
      </c>
      <c r="X352" s="13" t="n">
        <v>310</v>
      </c>
      <c r="Y352" s="13" t="n">
        <v>270</v>
      </c>
      <c r="Z352" s="13" t="n">
        <v>114</v>
      </c>
      <c r="AA352" s="13" t="n">
        <v>4</v>
      </c>
      <c r="AB352" s="13" t="n">
        <v>13.5</v>
      </c>
      <c r="AC352" s="11" t="inlineStr">
        <is>
          <t xml:space="preserve"> Powder</t>
        </is>
      </c>
      <c r="AD352" s="11" t="inlineStr">
        <is>
          <t xml:space="preserve"> Touring</t>
        </is>
      </c>
      <c r="AE352" s="13" t="n"/>
      <c r="AF352" s="13" t="n"/>
      <c r="AG352" s="13" t="n"/>
    </row>
    <row r="353">
      <c r="A353" s="9" t="inlineStr">
        <is>
          <t>21/22</t>
        </is>
      </c>
      <c r="B353" s="10" t="inlineStr">
        <is>
          <t xml:space="preserve"> DPS</t>
        </is>
      </c>
      <c r="C353" s="11" t="inlineStr">
        <is>
          <t>Pagoda 112 RP</t>
        </is>
      </c>
      <c r="D353" s="13" t="n">
        <v>189</v>
      </c>
      <c r="E353" s="11" t="inlineStr">
        <is>
          <t xml:space="preserve"> Unisex</t>
        </is>
      </c>
      <c r="F353" s="13" t="n">
        <v>189</v>
      </c>
      <c r="G353" s="13" t="n">
        <v>187.8</v>
      </c>
      <c r="H353" s="13" t="n">
        <v>121</v>
      </c>
      <c r="I353" s="13" t="n">
        <v>131</v>
      </c>
      <c r="J353" s="13" t="n">
        <v>141</v>
      </c>
      <c r="K353" s="13" t="n">
        <v>111</v>
      </c>
      <c r="L353" s="13" t="n">
        <v>127</v>
      </c>
      <c r="M353" s="13" t="n">
        <v>15.3</v>
      </c>
      <c r="N353" s="13" t="n">
        <v>2131</v>
      </c>
      <c r="O353" s="13" t="n">
        <v>1.07</v>
      </c>
      <c r="P353" s="13" t="n">
        <v>2278</v>
      </c>
      <c r="Q353" s="13" t="n">
        <v>315</v>
      </c>
      <c r="R353" s="13" t="n">
        <v>138</v>
      </c>
      <c r="S353" s="13" t="n">
        <v>67</v>
      </c>
      <c r="T353" s="13" t="n">
        <v>392</v>
      </c>
      <c r="U353" s="13" t="n">
        <v>28</v>
      </c>
      <c r="V353" s="13" t="n">
        <v>279</v>
      </c>
      <c r="W353" s="13" t="n">
        <v>0.42</v>
      </c>
      <c r="X353" s="13" t="n">
        <v>292</v>
      </c>
      <c r="Y353" s="13" t="n">
        <v>279</v>
      </c>
      <c r="Z353" s="13" t="n">
        <v>100</v>
      </c>
      <c r="AA353" s="13" t="n">
        <v>7</v>
      </c>
      <c r="AB353" s="13" t="n">
        <v>12.6</v>
      </c>
      <c r="AC353" s="11" t="inlineStr">
        <is>
          <t xml:space="preserve"> Powder</t>
        </is>
      </c>
      <c r="AD353" s="11" t="inlineStr">
        <is>
          <t xml:space="preserve"> Touring</t>
        </is>
      </c>
      <c r="AE353" s="13" t="n"/>
      <c r="AF353" s="13" t="n"/>
      <c r="AG353" s="13" t="n"/>
    </row>
    <row r="354">
      <c r="A354" s="9" t="inlineStr">
        <is>
          <t>21/22</t>
        </is>
      </c>
      <c r="B354" s="10" t="inlineStr">
        <is>
          <t xml:space="preserve"> DPS</t>
        </is>
      </c>
      <c r="C354" s="11" t="inlineStr">
        <is>
          <t>Pagoda Piste 100 C2</t>
        </is>
      </c>
      <c r="D354" s="13" t="n">
        <v>157</v>
      </c>
      <c r="E354" s="11" t="inlineStr">
        <is>
          <t xml:space="preserve"> Unisex</t>
        </is>
      </c>
      <c r="F354" s="13" t="n">
        <v>157</v>
      </c>
      <c r="G354" s="13" t="n">
        <v>156.8</v>
      </c>
      <c r="H354" s="13" t="n">
        <v>118</v>
      </c>
      <c r="I354" s="13" t="n">
        <v>121</v>
      </c>
      <c r="J354" s="13" t="n">
        <v>125</v>
      </c>
      <c r="K354" s="13" t="n">
        <v>100</v>
      </c>
      <c r="L354" s="13" t="n">
        <v>111</v>
      </c>
      <c r="M354" s="13" t="n">
        <v>18.8</v>
      </c>
      <c r="N354" s="13" t="n">
        <v>1559</v>
      </c>
      <c r="O354" s="13" t="n">
        <v>1.08</v>
      </c>
      <c r="P354" s="13" t="n">
        <v>1683</v>
      </c>
      <c r="Q354" s="13" t="n">
        <v>175</v>
      </c>
      <c r="R354" s="13" t="n">
        <v>104</v>
      </c>
      <c r="S354" s="13" t="n">
        <v>35</v>
      </c>
      <c r="T354" s="13" t="n">
        <v>223</v>
      </c>
      <c r="U354" s="13" t="n">
        <v>18</v>
      </c>
      <c r="V354" s="13" t="n">
        <v>169</v>
      </c>
      <c r="W354" s="13" t="n">
        <v>0.508</v>
      </c>
      <c r="X354" s="13" t="n">
        <v>170</v>
      </c>
      <c r="Y354" s="13" t="n">
        <v>184</v>
      </c>
      <c r="Z354" s="13" t="n">
        <v>53</v>
      </c>
      <c r="AA354" s="13" t="n">
        <v>7</v>
      </c>
      <c r="AB354" s="13" t="n">
        <v>10.2</v>
      </c>
      <c r="AC354" s="11" t="inlineStr">
        <is>
          <t xml:space="preserve"> Resort Freeride</t>
        </is>
      </c>
      <c r="AD354" s="11" t="inlineStr">
        <is>
          <t xml:space="preserve"> Touring</t>
        </is>
      </c>
      <c r="AE354" s="13" t="n"/>
      <c r="AF354" s="13" t="n"/>
      <c r="AG354" s="13" t="n"/>
    </row>
    <row r="355">
      <c r="A355" s="9" t="inlineStr">
        <is>
          <t>21/22</t>
        </is>
      </c>
      <c r="B355" s="10" t="inlineStr">
        <is>
          <t xml:space="preserve"> DPS</t>
        </is>
      </c>
      <c r="C355" s="11" t="inlineStr">
        <is>
          <t>Pagoda Piste 100 C2</t>
        </is>
      </c>
      <c r="D355" s="13" t="n">
        <v>165</v>
      </c>
      <c r="E355" s="11" t="inlineStr">
        <is>
          <t xml:space="preserve"> Unisex</t>
        </is>
      </c>
      <c r="F355" s="13" t="n">
        <v>165</v>
      </c>
      <c r="G355" s="13" t="n">
        <v>164.5</v>
      </c>
      <c r="H355" s="13" t="n">
        <v>123</v>
      </c>
      <c r="I355" s="13" t="n">
        <v>128</v>
      </c>
      <c r="J355" s="13" t="n">
        <v>127</v>
      </c>
      <c r="K355" s="13" t="n">
        <v>100</v>
      </c>
      <c r="L355" s="13" t="n">
        <v>112</v>
      </c>
      <c r="M355" s="13" t="n">
        <v>18.9</v>
      </c>
      <c r="N355" s="13" t="n">
        <v>1732</v>
      </c>
      <c r="O355" s="13" t="n">
        <v>1.03</v>
      </c>
      <c r="P355" s="13" t="n">
        <v>1777</v>
      </c>
      <c r="Q355" s="13" t="n">
        <v>183</v>
      </c>
      <c r="R355" s="13" t="n">
        <v>117</v>
      </c>
      <c r="S355" s="13" t="n">
        <v>39</v>
      </c>
      <c r="T355" s="13" t="n">
        <v>238</v>
      </c>
      <c r="U355" s="13" t="n">
        <v>19</v>
      </c>
      <c r="V355" s="13" t="n">
        <v>180</v>
      </c>
      <c r="W355" s="13" t="n">
        <v>0.48</v>
      </c>
      <c r="X355" s="13" t="n">
        <v>186</v>
      </c>
      <c r="Y355" s="13" t="n">
        <v>183</v>
      </c>
      <c r="Z355" s="13" t="n">
        <v>52</v>
      </c>
      <c r="AA355" s="13" t="n">
        <v>6</v>
      </c>
      <c r="AB355" s="13" t="n">
        <v>10.4</v>
      </c>
      <c r="AC355" s="11" t="inlineStr">
        <is>
          <t xml:space="preserve"> Resort Freeride</t>
        </is>
      </c>
      <c r="AD355" s="13" t="n"/>
      <c r="AE355" s="13" t="n"/>
      <c r="AF355" s="13" t="n"/>
      <c r="AG355" s="13" t="n"/>
    </row>
    <row r="356">
      <c r="A356" s="9" t="inlineStr">
        <is>
          <t>21/22</t>
        </is>
      </c>
      <c r="B356" s="10" t="inlineStr">
        <is>
          <t xml:space="preserve"> DPS</t>
        </is>
      </c>
      <c r="C356" s="11" t="inlineStr">
        <is>
          <t>Pagoda Piste 100 C2</t>
        </is>
      </c>
      <c r="D356" s="13" t="n">
        <v>171</v>
      </c>
      <c r="E356" s="11" t="inlineStr">
        <is>
          <t xml:space="preserve"> Unisex</t>
        </is>
      </c>
      <c r="F356" s="13" t="n">
        <v>171</v>
      </c>
      <c r="G356" s="13" t="n">
        <v>170.9</v>
      </c>
      <c r="H356" s="13" t="n">
        <v>127</v>
      </c>
      <c r="I356" s="13" t="n">
        <v>135</v>
      </c>
      <c r="J356" s="13" t="n">
        <v>128</v>
      </c>
      <c r="K356" s="13" t="n">
        <v>99</v>
      </c>
      <c r="L356" s="13" t="n">
        <v>115</v>
      </c>
      <c r="M356" s="13" t="n">
        <v>19.4</v>
      </c>
      <c r="N356" s="13" t="n">
        <v>1793</v>
      </c>
      <c r="O356" s="13" t="n">
        <v>1.03</v>
      </c>
      <c r="P356" s="13" t="n">
        <v>1849</v>
      </c>
      <c r="Q356" s="13" t="n">
        <v>192</v>
      </c>
      <c r="R356" s="13" t="n">
        <v>106</v>
      </c>
      <c r="S356" s="13" t="n">
        <v>43</v>
      </c>
      <c r="T356" s="13" t="n">
        <v>252</v>
      </c>
      <c r="U356" s="13" t="n">
        <v>21</v>
      </c>
      <c r="V356" s="13" t="n">
        <v>184</v>
      </c>
      <c r="W356" s="13" t="n">
        <v>0.488</v>
      </c>
      <c r="X356" s="13" t="n">
        <v>185</v>
      </c>
      <c r="Y356" s="13" t="n">
        <v>176</v>
      </c>
      <c r="Z356" s="13" t="n">
        <v>67</v>
      </c>
      <c r="AA356" s="13" t="n">
        <v>8</v>
      </c>
      <c r="AB356" s="13" t="n">
        <v>10.4</v>
      </c>
      <c r="AC356" s="11" t="inlineStr">
        <is>
          <t xml:space="preserve"> Resort Freeride</t>
        </is>
      </c>
      <c r="AD356" s="13" t="n"/>
      <c r="AE356" s="13" t="n"/>
      <c r="AF356" s="13" t="n"/>
      <c r="AG356" s="13" t="n"/>
    </row>
    <row r="357">
      <c r="A357" s="9" t="inlineStr">
        <is>
          <t>21/22</t>
        </is>
      </c>
      <c r="B357" s="10" t="inlineStr">
        <is>
          <t xml:space="preserve"> DPS</t>
        </is>
      </c>
      <c r="C357" s="11" t="inlineStr">
        <is>
          <t>Pagoda Piste 100 C2</t>
        </is>
      </c>
      <c r="D357" s="13" t="n">
        <v>179</v>
      </c>
      <c r="E357" s="11" t="inlineStr">
        <is>
          <t xml:space="preserve"> Unisex</t>
        </is>
      </c>
      <c r="F357" s="13" t="n">
        <v>179</v>
      </c>
      <c r="G357" s="13" t="n">
        <v>177.7</v>
      </c>
      <c r="H357" s="13" t="n">
        <v>132</v>
      </c>
      <c r="I357" s="13" t="n">
        <v>142</v>
      </c>
      <c r="J357" s="13" t="n">
        <v>132</v>
      </c>
      <c r="K357" s="13" t="n">
        <v>100</v>
      </c>
      <c r="L357" s="13" t="n">
        <v>115</v>
      </c>
      <c r="M357" s="13" t="n">
        <v>19.6</v>
      </c>
      <c r="N357" s="13" t="n">
        <v>1975</v>
      </c>
      <c r="O357" s="13" t="n">
        <v>0.99</v>
      </c>
      <c r="P357" s="13" t="n">
        <v>1953</v>
      </c>
      <c r="Q357" s="13" t="n">
        <v>251</v>
      </c>
      <c r="R357" s="13" t="n">
        <v>143</v>
      </c>
      <c r="S357" s="13" t="n">
        <v>47</v>
      </c>
      <c r="T357" s="13" t="n">
        <v>267</v>
      </c>
      <c r="U357" s="13" t="n">
        <v>18</v>
      </c>
      <c r="V357" s="13" t="n">
        <v>190</v>
      </c>
      <c r="W357" s="13" t="n">
        <v>0.387</v>
      </c>
      <c r="X357" s="13" t="n">
        <v>189</v>
      </c>
      <c r="Y357" s="13" t="n">
        <v>173</v>
      </c>
      <c r="Z357" s="13" t="n">
        <v>78</v>
      </c>
      <c r="AA357" s="13" t="n">
        <v>7</v>
      </c>
      <c r="AB357" s="13" t="n">
        <v>11.3</v>
      </c>
      <c r="AC357" s="11" t="inlineStr">
        <is>
          <t xml:space="preserve"> Resort Freeride</t>
        </is>
      </c>
      <c r="AD357" s="13" t="n"/>
      <c r="AE357" s="13" t="n"/>
      <c r="AF357" s="13" t="n"/>
      <c r="AG357" s="13" t="n"/>
    </row>
    <row r="358">
      <c r="A358" s="9" t="inlineStr">
        <is>
          <t>21/22</t>
        </is>
      </c>
      <c r="B358" s="10" t="inlineStr">
        <is>
          <t xml:space="preserve"> DPS</t>
        </is>
      </c>
      <c r="C358" s="11" t="inlineStr">
        <is>
          <t>Pagoda Piste 100 C2</t>
        </is>
      </c>
      <c r="D358" s="13" t="n">
        <v>184</v>
      </c>
      <c r="E358" s="11" t="inlineStr">
        <is>
          <t xml:space="preserve"> Unisex</t>
        </is>
      </c>
      <c r="F358" s="13" t="n">
        <v>184</v>
      </c>
      <c r="G358" s="13" t="n">
        <v>183.4</v>
      </c>
      <c r="H358" s="13" t="n">
        <v>133</v>
      </c>
      <c r="I358" s="13" t="n">
        <v>146</v>
      </c>
      <c r="J358" s="13" t="n">
        <v>132</v>
      </c>
      <c r="K358" s="13" t="n">
        <v>100</v>
      </c>
      <c r="L358" s="13" t="n">
        <v>116</v>
      </c>
      <c r="M358" s="13" t="n">
        <v>19.2</v>
      </c>
      <c r="N358" s="13" t="n">
        <v>2074</v>
      </c>
      <c r="O358" s="13" t="n">
        <v>0.97</v>
      </c>
      <c r="P358" s="13" t="n">
        <v>2019</v>
      </c>
      <c r="Q358" s="13" t="n">
        <v>249</v>
      </c>
      <c r="R358" s="13" t="n">
        <v>138</v>
      </c>
      <c r="S358" s="13" t="n">
        <v>54</v>
      </c>
      <c r="T358" s="13" t="n">
        <v>278</v>
      </c>
      <c r="U358" s="13" t="n">
        <v>24</v>
      </c>
      <c r="V358" s="13" t="n">
        <v>223</v>
      </c>
      <c r="W358" s="13" t="n">
        <v>0.451</v>
      </c>
      <c r="X358" s="13" t="n">
        <v>181</v>
      </c>
      <c r="Y358" s="13" t="n">
        <v>189</v>
      </c>
      <c r="Z358" s="13" t="n">
        <v>96</v>
      </c>
      <c r="AA358" s="13" t="n">
        <v>7</v>
      </c>
      <c r="AB358" s="13" t="n">
        <v>10.8</v>
      </c>
      <c r="AC358" s="11" t="inlineStr">
        <is>
          <t xml:space="preserve"> Resort Freeride</t>
        </is>
      </c>
      <c r="AD358" s="13" t="n"/>
      <c r="AE358" s="13" t="n"/>
      <c r="AF358" s="13" t="n"/>
      <c r="AG358" s="13" t="n"/>
    </row>
    <row r="359">
      <c r="A359" s="9" t="inlineStr">
        <is>
          <t>21/22</t>
        </is>
      </c>
      <c r="B359" s="10" t="inlineStr">
        <is>
          <t xml:space="preserve"> DPS</t>
        </is>
      </c>
      <c r="C359" s="11" t="inlineStr">
        <is>
          <t>Pagoda Piste 90 RP</t>
        </is>
      </c>
      <c r="D359" s="13" t="n">
        <v>171</v>
      </c>
      <c r="E359" s="11" t="inlineStr">
        <is>
          <t xml:space="preserve"> Unisex</t>
        </is>
      </c>
      <c r="F359" s="13" t="n">
        <v>171</v>
      </c>
      <c r="G359" s="13" t="n">
        <v>169.2</v>
      </c>
      <c r="H359" s="13" t="n">
        <v>124</v>
      </c>
      <c r="I359" s="13" t="n">
        <v>130</v>
      </c>
      <c r="J359" s="13" t="n">
        <v>122</v>
      </c>
      <c r="K359" s="13" t="n">
        <v>90</v>
      </c>
      <c r="L359" s="13" t="n">
        <v>107</v>
      </c>
      <c r="M359" s="13" t="n">
        <v>15</v>
      </c>
      <c r="N359" s="13" t="n">
        <v>1643</v>
      </c>
      <c r="O359" s="13" t="n">
        <v>1.04</v>
      </c>
      <c r="P359" s="13" t="n">
        <v>1714</v>
      </c>
      <c r="Q359" s="13" t="n">
        <v>217</v>
      </c>
      <c r="R359" s="13" t="n">
        <v>112</v>
      </c>
      <c r="S359" s="13" t="n">
        <v>49</v>
      </c>
      <c r="T359" s="13" t="n">
        <v>310</v>
      </c>
      <c r="U359" s="13" t="n">
        <v>7</v>
      </c>
      <c r="V359" s="13" t="n">
        <v>140</v>
      </c>
      <c r="W359" s="13" t="n">
        <v>0.148</v>
      </c>
      <c r="X359" s="13" t="n">
        <v>199</v>
      </c>
      <c r="Y359" s="13" t="n">
        <v>197</v>
      </c>
      <c r="Z359" s="13" t="n">
        <v>111</v>
      </c>
      <c r="AA359" s="13" t="n">
        <v>9</v>
      </c>
      <c r="AB359" s="13" t="n">
        <v>11.8</v>
      </c>
      <c r="AC359" s="11" t="inlineStr">
        <is>
          <t xml:space="preserve"> Resort Freeride</t>
        </is>
      </c>
      <c r="AD359" s="13" t="n"/>
      <c r="AE359" s="13" t="n"/>
      <c r="AF359" s="13" t="n"/>
      <c r="AG359" s="13" t="n"/>
    </row>
    <row r="360">
      <c r="A360" s="9" t="inlineStr">
        <is>
          <t>21/22</t>
        </is>
      </c>
      <c r="B360" s="10" t="inlineStr">
        <is>
          <t xml:space="preserve"> DPS</t>
        </is>
      </c>
      <c r="C360" s="11" t="inlineStr">
        <is>
          <t>Pagoda Piste 90 RP</t>
        </is>
      </c>
      <c r="D360" s="13" t="n">
        <v>179</v>
      </c>
      <c r="E360" s="11" t="inlineStr">
        <is>
          <t xml:space="preserve"> Unisex</t>
        </is>
      </c>
      <c r="F360" s="13" t="n">
        <v>179</v>
      </c>
      <c r="G360" s="13" t="n">
        <v>178.4</v>
      </c>
      <c r="H360" s="13" t="n">
        <v>125</v>
      </c>
      <c r="I360" s="13" t="n">
        <v>137</v>
      </c>
      <c r="J360" s="13" t="n">
        <v>125</v>
      </c>
      <c r="K360" s="13" t="n">
        <v>90</v>
      </c>
      <c r="L360" s="13" t="n">
        <v>109</v>
      </c>
      <c r="M360" s="13" t="n">
        <v>14.9</v>
      </c>
      <c r="N360" s="13" t="n">
        <v>1826</v>
      </c>
      <c r="O360" s="13" t="n">
        <v>1</v>
      </c>
      <c r="P360" s="13" t="n">
        <v>1819</v>
      </c>
      <c r="Q360" s="13" t="n">
        <v>234</v>
      </c>
      <c r="R360" s="13" t="n">
        <v>110</v>
      </c>
      <c r="S360" s="13" t="n">
        <v>56</v>
      </c>
      <c r="T360" s="13" t="n">
        <v>336</v>
      </c>
      <c r="U360" s="13" t="n">
        <v>11</v>
      </c>
      <c r="V360" s="13" t="n">
        <v>194</v>
      </c>
      <c r="W360" s="13" t="n">
        <v>0.199</v>
      </c>
      <c r="X360" s="13" t="n">
        <v>203</v>
      </c>
      <c r="Y360" s="13" t="n">
        <v>212</v>
      </c>
      <c r="Z360" s="13" t="n">
        <v>133</v>
      </c>
      <c r="AA360" s="13" t="n">
        <v>10</v>
      </c>
      <c r="AB360" s="13" t="n">
        <v>11.7</v>
      </c>
      <c r="AC360" s="11" t="inlineStr">
        <is>
          <t xml:space="preserve"> Resort Freeride</t>
        </is>
      </c>
      <c r="AD360" s="13" t="n"/>
      <c r="AE360" s="13" t="n"/>
      <c r="AF360" s="13" t="n"/>
      <c r="AG360" s="13" t="n"/>
    </row>
    <row r="361">
      <c r="A361" s="9" t="inlineStr">
        <is>
          <t>21/22</t>
        </is>
      </c>
      <c r="B361" s="10" t="inlineStr">
        <is>
          <t xml:space="preserve"> DPS</t>
        </is>
      </c>
      <c r="C361" s="11" t="inlineStr">
        <is>
          <t>Pagoda Piste 90 RP</t>
        </is>
      </c>
      <c r="D361" s="13" t="n">
        <v>184</v>
      </c>
      <c r="E361" s="11" t="inlineStr">
        <is>
          <t xml:space="preserve"> Unisex</t>
        </is>
      </c>
      <c r="F361" s="13" t="n">
        <v>184</v>
      </c>
      <c r="G361" s="13" t="n">
        <v>183.3</v>
      </c>
      <c r="H361" s="13" t="n">
        <v>131</v>
      </c>
      <c r="I361" s="13" t="n">
        <v>140</v>
      </c>
      <c r="J361" s="13" t="n">
        <v>127</v>
      </c>
      <c r="K361" s="13" t="n">
        <v>90</v>
      </c>
      <c r="L361" s="13" t="n">
        <v>110</v>
      </c>
      <c r="M361" s="13" t="n">
        <v>14.9</v>
      </c>
      <c r="N361" s="13" t="n">
        <v>1885</v>
      </c>
      <c r="O361" s="13" t="n">
        <v>1</v>
      </c>
      <c r="P361" s="13" t="n">
        <v>1885</v>
      </c>
      <c r="Q361" s="13" t="n">
        <v>245</v>
      </c>
      <c r="R361" s="13" t="n">
        <v>117</v>
      </c>
      <c r="S361" s="13" t="n">
        <v>58</v>
      </c>
      <c r="T361" s="13" t="n">
        <v>339</v>
      </c>
      <c r="U361" s="13" t="n">
        <v>11</v>
      </c>
      <c r="V361" s="13" t="n">
        <v>184</v>
      </c>
      <c r="W361" s="13" t="n">
        <v>0.184</v>
      </c>
      <c r="X361" s="13" t="n">
        <v>203</v>
      </c>
      <c r="Y361" s="13" t="n">
        <v>227</v>
      </c>
      <c r="Z361" s="13" t="n">
        <v>136</v>
      </c>
      <c r="AA361" s="13" t="n">
        <v>9</v>
      </c>
      <c r="AB361" s="13" t="n">
        <v>12</v>
      </c>
      <c r="AC361" s="11" t="inlineStr">
        <is>
          <t xml:space="preserve"> Resort Freeride</t>
        </is>
      </c>
      <c r="AD361" s="13" t="n"/>
      <c r="AE361" s="13" t="n"/>
      <c r="AF361" s="13" t="n"/>
      <c r="AG361" s="13" t="n"/>
    </row>
    <row r="362">
      <c r="A362" s="9" t="inlineStr">
        <is>
          <t>21/22</t>
        </is>
      </c>
      <c r="B362" s="10" t="inlineStr">
        <is>
          <t xml:space="preserve"> DPS</t>
        </is>
      </c>
      <c r="C362" s="11" t="inlineStr">
        <is>
          <t>Pagoda Tour 100 RP</t>
        </is>
      </c>
      <c r="D362" s="13" t="n">
        <v>153</v>
      </c>
      <c r="E362" s="11" t="inlineStr">
        <is>
          <t xml:space="preserve"> Unisex</t>
        </is>
      </c>
      <c r="F362" s="13" t="n">
        <v>153</v>
      </c>
      <c r="G362" s="13" t="n">
        <v>151.8</v>
      </c>
      <c r="H362" s="13" t="n">
        <v>103</v>
      </c>
      <c r="I362" s="13" t="n">
        <v>111</v>
      </c>
      <c r="J362" s="13" t="n">
        <v>124</v>
      </c>
      <c r="K362" s="13" t="n">
        <v>100</v>
      </c>
      <c r="L362" s="13" t="n">
        <v>112</v>
      </c>
      <c r="M362" s="13" t="n">
        <v>14.9</v>
      </c>
      <c r="N362" s="13" t="n">
        <v>1170</v>
      </c>
      <c r="O362" s="13" t="n">
        <v>1.4</v>
      </c>
      <c r="P362" s="13" t="n">
        <v>1633</v>
      </c>
      <c r="Q362" s="13" t="n">
        <v>143</v>
      </c>
      <c r="R362" s="13" t="n">
        <v>70</v>
      </c>
      <c r="S362" s="13" t="n">
        <v>33</v>
      </c>
      <c r="T362" s="13" t="n">
        <v>255</v>
      </c>
      <c r="U362" s="13" t="n">
        <v>16</v>
      </c>
      <c r="V362" s="13" t="n">
        <v>229</v>
      </c>
      <c r="W362" s="13" t="n">
        <v>0.466</v>
      </c>
      <c r="X362" s="13" t="n">
        <v>215</v>
      </c>
      <c r="Y362" s="13" t="n">
        <v>188</v>
      </c>
      <c r="Z362" s="13" t="n">
        <v>40</v>
      </c>
      <c r="AA362" s="13" t="n">
        <v>6</v>
      </c>
      <c r="AB362" s="13" t="n">
        <v>11.5</v>
      </c>
      <c r="AC362" s="11" t="inlineStr">
        <is>
          <t xml:space="preserve"> Touring</t>
        </is>
      </c>
      <c r="AD362" s="11" t="inlineStr">
        <is>
          <t xml:space="preserve"> Ultralight Touring</t>
        </is>
      </c>
      <c r="AE362" s="13" t="n"/>
      <c r="AF362" s="13" t="n"/>
      <c r="AG362" s="13" t="n"/>
    </row>
    <row r="363">
      <c r="A363" s="9" t="inlineStr">
        <is>
          <t>21/22</t>
        </is>
      </c>
      <c r="B363" s="10" t="inlineStr">
        <is>
          <t xml:space="preserve"> DPS</t>
        </is>
      </c>
      <c r="C363" s="11" t="inlineStr">
        <is>
          <t>Pagoda Tour 100 RP</t>
        </is>
      </c>
      <c r="D363" s="13" t="n">
        <v>163</v>
      </c>
      <c r="E363" s="11" t="inlineStr">
        <is>
          <t xml:space="preserve"> Unisex</t>
        </is>
      </c>
      <c r="F363" s="13" t="n">
        <v>163</v>
      </c>
      <c r="G363" s="13" t="n">
        <v>161.4</v>
      </c>
      <c r="H363" s="13" t="n">
        <v>107</v>
      </c>
      <c r="I363" s="13" t="n">
        <v>121</v>
      </c>
      <c r="J363" s="13" t="n">
        <v>126</v>
      </c>
      <c r="K363" s="13" t="n">
        <v>100</v>
      </c>
      <c r="L363" s="13" t="n">
        <v>113</v>
      </c>
      <c r="M363" s="13" t="n">
        <v>15.1</v>
      </c>
      <c r="N363" s="13" t="n">
        <v>1280</v>
      </c>
      <c r="O363" s="13" t="n">
        <v>1.37</v>
      </c>
      <c r="P363" s="13" t="n">
        <v>1755</v>
      </c>
      <c r="Q363" s="13" t="n">
        <v>173</v>
      </c>
      <c r="R363" s="13" t="n">
        <v>79</v>
      </c>
      <c r="S363" s="13" t="n">
        <v>54</v>
      </c>
      <c r="T363" s="13" t="n">
        <v>325</v>
      </c>
      <c r="U363" s="13" t="n">
        <v>11</v>
      </c>
      <c r="V363" s="13" t="n">
        <v>215</v>
      </c>
      <c r="W363" s="13" t="n">
        <v>0.2</v>
      </c>
      <c r="X363" s="13" t="n">
        <v>221</v>
      </c>
      <c r="Y363" s="13" t="n">
        <v>188</v>
      </c>
      <c r="Z363" s="13" t="n">
        <v>104</v>
      </c>
      <c r="AA363" s="13" t="n">
        <v>7</v>
      </c>
      <c r="AB363" s="13" t="n">
        <v>11.8</v>
      </c>
      <c r="AC363" s="11" t="inlineStr">
        <is>
          <t xml:space="preserve"> Touring</t>
        </is>
      </c>
      <c r="AD363" s="11" t="inlineStr">
        <is>
          <t xml:space="preserve"> Ultralight Touring</t>
        </is>
      </c>
      <c r="AE363" s="13" t="n"/>
      <c r="AF363" s="13" t="n"/>
      <c r="AG363" s="13" t="n"/>
    </row>
    <row r="364">
      <c r="A364" s="9" t="inlineStr">
        <is>
          <t>21/22</t>
        </is>
      </c>
      <c r="B364" s="10" t="inlineStr">
        <is>
          <t xml:space="preserve"> DPS</t>
        </is>
      </c>
      <c r="C364" s="11" t="inlineStr">
        <is>
          <t>Pagoda Tour 100 RP</t>
        </is>
      </c>
      <c r="D364" s="13" t="n">
        <v>171</v>
      </c>
      <c r="E364" s="11" t="inlineStr">
        <is>
          <t xml:space="preserve"> Unisex</t>
        </is>
      </c>
      <c r="F364" s="13" t="n">
        <v>171</v>
      </c>
      <c r="G364" s="13" t="n">
        <v>169.5</v>
      </c>
      <c r="H364" s="13" t="n">
        <v>115</v>
      </c>
      <c r="I364" s="13" t="n">
        <v>125</v>
      </c>
      <c r="J364" s="13" t="n">
        <v>129</v>
      </c>
      <c r="K364" s="13" t="n">
        <v>100</v>
      </c>
      <c r="L364" s="13" t="n">
        <v>115</v>
      </c>
      <c r="M364" s="13" t="n">
        <v>15</v>
      </c>
      <c r="N364" s="13" t="n">
        <v>1431</v>
      </c>
      <c r="O364" s="13" t="n">
        <v>1.3</v>
      </c>
      <c r="P364" s="13" t="n">
        <v>1861</v>
      </c>
      <c r="Q364" s="13" t="n">
        <v>203</v>
      </c>
      <c r="R364" s="13" t="n">
        <v>94</v>
      </c>
      <c r="S364" s="13" t="n">
        <v>57</v>
      </c>
      <c r="T364" s="13" t="n">
        <v>332</v>
      </c>
      <c r="U364" s="13" t="n">
        <v>12</v>
      </c>
      <c r="V364" s="13" t="n">
        <v>210</v>
      </c>
      <c r="W364" s="13" t="n">
        <v>0.209</v>
      </c>
      <c r="X364" s="13" t="n">
        <v>230</v>
      </c>
      <c r="Y364" s="13" t="n">
        <v>213</v>
      </c>
      <c r="Z364" s="13" t="n">
        <v>102</v>
      </c>
      <c r="AA364" s="13" t="n">
        <v>6</v>
      </c>
      <c r="AB364" s="13" t="n">
        <v>11.9</v>
      </c>
      <c r="AC364" s="11" t="inlineStr">
        <is>
          <t xml:space="preserve"> Touring</t>
        </is>
      </c>
      <c r="AD364" s="11" t="inlineStr">
        <is>
          <t xml:space="preserve"> Ultralight Touring</t>
        </is>
      </c>
      <c r="AE364" s="13" t="n"/>
      <c r="AF364" s="13" t="n"/>
      <c r="AG364" s="13" t="n"/>
    </row>
    <row r="365">
      <c r="A365" s="9" t="inlineStr">
        <is>
          <t>21/22</t>
        </is>
      </c>
      <c r="B365" s="10" t="inlineStr">
        <is>
          <t xml:space="preserve"> DPS</t>
        </is>
      </c>
      <c r="C365" s="11" t="inlineStr">
        <is>
          <t>Pagoda Tour 100 RP</t>
        </is>
      </c>
      <c r="D365" s="13" t="n">
        <v>179</v>
      </c>
      <c r="E365" s="11" t="inlineStr">
        <is>
          <t xml:space="preserve"> Unisex</t>
        </is>
      </c>
      <c r="F365" s="13" t="n">
        <v>179</v>
      </c>
      <c r="G365" s="13" t="n">
        <v>177.4</v>
      </c>
      <c r="H365" s="13" t="n">
        <v>115</v>
      </c>
      <c r="I365" s="13" t="n">
        <v>132</v>
      </c>
      <c r="J365" s="13" t="n">
        <v>132</v>
      </c>
      <c r="K365" s="13" t="n">
        <v>99</v>
      </c>
      <c r="L365" s="13" t="n">
        <v>117</v>
      </c>
      <c r="M365" s="13" t="n">
        <v>15</v>
      </c>
      <c r="N365" s="13" t="n">
        <v>1545</v>
      </c>
      <c r="O365" s="13" t="n">
        <v>1.27</v>
      </c>
      <c r="P365" s="13" t="n">
        <v>1968</v>
      </c>
      <c r="Q365" s="13" t="n">
        <v>235</v>
      </c>
      <c r="R365" s="13" t="n">
        <v>111</v>
      </c>
      <c r="S365" s="13" t="n">
        <v>62</v>
      </c>
      <c r="T365" s="13" t="n">
        <v>354</v>
      </c>
      <c r="U365" s="13" t="n">
        <v>16</v>
      </c>
      <c r="V365" s="13" t="n">
        <v>270</v>
      </c>
      <c r="W365" s="13" t="n">
        <v>0.256</v>
      </c>
      <c r="X365" s="13" t="n">
        <v>231</v>
      </c>
      <c r="Y365" s="13" t="n">
        <v>222</v>
      </c>
      <c r="Z365" s="13" t="n">
        <v>123</v>
      </c>
      <c r="AA365" s="13" t="n">
        <v>6</v>
      </c>
      <c r="AB365" s="13" t="n">
        <v>12.2</v>
      </c>
      <c r="AC365" s="11" t="inlineStr">
        <is>
          <t xml:space="preserve"> Resort Freeride</t>
        </is>
      </c>
      <c r="AD365" s="11" t="inlineStr">
        <is>
          <t xml:space="preserve"> Touring</t>
        </is>
      </c>
      <c r="AE365" s="11" t="inlineStr">
        <is>
          <t xml:space="preserve"> Ultralight Touring</t>
        </is>
      </c>
      <c r="AF365" s="13" t="n"/>
      <c r="AG365" s="13" t="n"/>
    </row>
    <row r="366">
      <c r="A366" s="9" t="inlineStr">
        <is>
          <t>21/22</t>
        </is>
      </c>
      <c r="B366" s="10" t="inlineStr">
        <is>
          <t xml:space="preserve"> DPS</t>
        </is>
      </c>
      <c r="C366" s="11" t="inlineStr">
        <is>
          <t>Pagoda Tour 100 RP</t>
        </is>
      </c>
      <c r="D366" s="13" t="n">
        <v>184</v>
      </c>
      <c r="E366" s="11" t="inlineStr">
        <is>
          <t xml:space="preserve"> Unisex</t>
        </is>
      </c>
      <c r="F366" s="13" t="n">
        <v>184</v>
      </c>
      <c r="G366" s="13" t="n">
        <v>182.4</v>
      </c>
      <c r="H366" s="13" t="n">
        <v>120</v>
      </c>
      <c r="I366" s="13" t="n">
        <v>134</v>
      </c>
      <c r="J366" s="13" t="n">
        <v>133</v>
      </c>
      <c r="K366" s="13" t="n">
        <v>99</v>
      </c>
      <c r="L366" s="13" t="n">
        <v>118</v>
      </c>
      <c r="M366" s="13" t="n">
        <v>15</v>
      </c>
      <c r="N366" s="13" t="n">
        <v>1575</v>
      </c>
      <c r="O366" s="13" t="n">
        <v>1.29</v>
      </c>
      <c r="P366" s="13" t="n">
        <v>2033</v>
      </c>
      <c r="Q366" s="13" t="n">
        <v>254</v>
      </c>
      <c r="R366" s="13" t="n">
        <v>123</v>
      </c>
      <c r="S366" s="13" t="n">
        <v>68</v>
      </c>
      <c r="T366" s="13" t="n">
        <v>372</v>
      </c>
      <c r="U366" s="13" t="n">
        <v>16</v>
      </c>
      <c r="V366" s="13" t="n">
        <v>256</v>
      </c>
      <c r="W366" s="13" t="n">
        <v>0.232</v>
      </c>
      <c r="X366" s="13" t="n">
        <v>250</v>
      </c>
      <c r="Y366" s="13" t="n">
        <v>231</v>
      </c>
      <c r="Z366" s="13" t="n">
        <v>122</v>
      </c>
      <c r="AA366" s="13" t="n">
        <v>6</v>
      </c>
      <c r="AB366" s="13" t="n">
        <v>12.8</v>
      </c>
      <c r="AC366" s="11" t="inlineStr">
        <is>
          <t xml:space="preserve"> Touring</t>
        </is>
      </c>
      <c r="AD366" s="11" t="inlineStr">
        <is>
          <t xml:space="preserve"> Ultralight Touring</t>
        </is>
      </c>
      <c r="AE366" s="13" t="n"/>
      <c r="AF366" s="13" t="n"/>
      <c r="AG366" s="13" t="n"/>
    </row>
    <row r="367">
      <c r="A367" s="9" t="inlineStr">
        <is>
          <t>21/22</t>
        </is>
      </c>
      <c r="B367" s="10" t="inlineStr">
        <is>
          <t xml:space="preserve"> DPS</t>
        </is>
      </c>
      <c r="C367" s="11" t="inlineStr">
        <is>
          <t>Pagoda Tour 112 RP</t>
        </is>
      </c>
      <c r="D367" s="13" t="n">
        <v>158</v>
      </c>
      <c r="E367" s="11" t="inlineStr">
        <is>
          <t xml:space="preserve"> Unisex</t>
        </is>
      </c>
      <c r="F367" s="13" t="n">
        <v>158</v>
      </c>
      <c r="G367" s="13" t="n">
        <v>156.5</v>
      </c>
      <c r="H367" s="13" t="n">
        <v>91</v>
      </c>
      <c r="I367" s="13" t="n">
        <v>104</v>
      </c>
      <c r="J367" s="13" t="n">
        <v>133</v>
      </c>
      <c r="K367" s="13" t="n">
        <v>111</v>
      </c>
      <c r="L367" s="13" t="n">
        <v>121</v>
      </c>
      <c r="M367" s="13" t="n">
        <v>15.2</v>
      </c>
      <c r="N367" s="13" t="n">
        <v>1294</v>
      </c>
      <c r="O367" s="13" t="n">
        <v>1.42</v>
      </c>
      <c r="P367" s="13" t="n">
        <v>1841</v>
      </c>
      <c r="Q367" s="13" t="n">
        <v>153</v>
      </c>
      <c r="R367" s="13" t="n">
        <v>86</v>
      </c>
      <c r="S367" s="13" t="n">
        <v>62</v>
      </c>
      <c r="T367" s="13" t="n">
        <v>374</v>
      </c>
      <c r="U367" s="13" t="n">
        <v>31</v>
      </c>
      <c r="V367" s="13" t="n">
        <v>282</v>
      </c>
      <c r="W367" s="13" t="n">
        <v>0.491</v>
      </c>
      <c r="X367" s="13" t="n">
        <v>312</v>
      </c>
      <c r="Y367" s="13" t="n">
        <v>212</v>
      </c>
      <c r="Z367" s="13" t="n">
        <v>62</v>
      </c>
      <c r="AA367" s="13" t="n">
        <v>4</v>
      </c>
      <c r="AB367" s="13" t="n">
        <v>13.5</v>
      </c>
      <c r="AC367" s="11" t="inlineStr">
        <is>
          <t xml:space="preserve"> Powder</t>
        </is>
      </c>
      <c r="AD367" s="11" t="inlineStr">
        <is>
          <t xml:space="preserve"> Touring</t>
        </is>
      </c>
      <c r="AE367" s="11" t="inlineStr">
        <is>
          <t xml:space="preserve"> Ultralight Touring</t>
        </is>
      </c>
      <c r="AF367" s="13" t="n"/>
      <c r="AG367" s="13" t="n"/>
    </row>
    <row r="368">
      <c r="A368" s="9" t="inlineStr">
        <is>
          <t>21/22</t>
        </is>
      </c>
      <c r="B368" s="10" t="inlineStr">
        <is>
          <t xml:space="preserve"> DPS</t>
        </is>
      </c>
      <c r="C368" s="11" t="inlineStr">
        <is>
          <t>Pagoda Tour 112 RP</t>
        </is>
      </c>
      <c r="D368" s="13" t="n">
        <v>168</v>
      </c>
      <c r="E368" s="11" t="inlineStr">
        <is>
          <t xml:space="preserve"> Unisex</t>
        </is>
      </c>
      <c r="F368" s="13" t="n">
        <v>168</v>
      </c>
      <c r="G368" s="13" t="n">
        <v>166.2</v>
      </c>
      <c r="H368" s="13" t="n">
        <v>96</v>
      </c>
      <c r="I368" s="13" t="n">
        <v>112</v>
      </c>
      <c r="J368" s="13" t="n">
        <v>136</v>
      </c>
      <c r="K368" s="13" t="n">
        <v>112</v>
      </c>
      <c r="L368" s="13" t="n">
        <v>124</v>
      </c>
      <c r="M368" s="13" t="n">
        <v>15.1</v>
      </c>
      <c r="N368" s="13" t="n">
        <v>1370</v>
      </c>
      <c r="O368" s="13" t="n">
        <v>1.45</v>
      </c>
      <c r="P368" s="13" t="n">
        <v>1988</v>
      </c>
      <c r="Q368" s="13" t="n">
        <v>163</v>
      </c>
      <c r="R368" s="13" t="n">
        <v>79</v>
      </c>
      <c r="S368" s="13" t="n">
        <v>59</v>
      </c>
      <c r="T368" s="13" t="n">
        <v>398</v>
      </c>
      <c r="U368" s="13" t="n">
        <v>32</v>
      </c>
      <c r="V368" s="13" t="n">
        <v>303</v>
      </c>
      <c r="W368" s="13" t="n">
        <v>0.548</v>
      </c>
      <c r="X368" s="13" t="n">
        <v>296</v>
      </c>
      <c r="Y368" s="13" t="n">
        <v>242</v>
      </c>
      <c r="Z368" s="13" t="n">
        <v>102</v>
      </c>
      <c r="AA368" s="13" t="n">
        <v>4</v>
      </c>
      <c r="AB368" s="13" t="n">
        <v>13.7</v>
      </c>
      <c r="AC368" s="11" t="inlineStr">
        <is>
          <t xml:space="preserve"> Powder</t>
        </is>
      </c>
      <c r="AD368" s="11" t="inlineStr">
        <is>
          <t xml:space="preserve"> Touring</t>
        </is>
      </c>
      <c r="AE368" s="11" t="inlineStr">
        <is>
          <t xml:space="preserve"> Ultralight Touring</t>
        </is>
      </c>
      <c r="AF368" s="13" t="n"/>
      <c r="AG368" s="13" t="n"/>
    </row>
    <row r="369">
      <c r="A369" s="9" t="inlineStr">
        <is>
          <t>21/22</t>
        </is>
      </c>
      <c r="B369" s="10" t="inlineStr">
        <is>
          <t xml:space="preserve"> DPS</t>
        </is>
      </c>
      <c r="C369" s="11" t="inlineStr">
        <is>
          <t>Pagoda Tour 112 RP</t>
        </is>
      </c>
      <c r="D369" s="13" t="n">
        <v>178</v>
      </c>
      <c r="E369" s="11" t="inlineStr">
        <is>
          <t xml:space="preserve"> Unisex</t>
        </is>
      </c>
      <c r="F369" s="13" t="n">
        <v>178</v>
      </c>
      <c r="G369" s="13" t="n">
        <v>176.4</v>
      </c>
      <c r="H369" s="13" t="n">
        <v>94</v>
      </c>
      <c r="I369" s="13" t="n">
        <v>123</v>
      </c>
      <c r="J369" s="13" t="n">
        <v>139</v>
      </c>
      <c r="K369" s="13" t="n">
        <v>112</v>
      </c>
      <c r="L369" s="13" t="n">
        <v>126</v>
      </c>
      <c r="M369" s="13" t="n">
        <v>15.3</v>
      </c>
      <c r="N369" s="13" t="n">
        <v>1572</v>
      </c>
      <c r="O369" s="13" t="n">
        <v>1.35</v>
      </c>
      <c r="P369" s="13" t="n">
        <v>2127</v>
      </c>
      <c r="Q369" s="13" t="n">
        <v>211</v>
      </c>
      <c r="R369" s="13" t="n">
        <v>110</v>
      </c>
      <c r="S369" s="13" t="n">
        <v>62</v>
      </c>
      <c r="T369" s="13" t="n">
        <v>439</v>
      </c>
      <c r="U369" s="13" t="n">
        <v>39</v>
      </c>
      <c r="V369" s="13" t="n">
        <v>389</v>
      </c>
      <c r="W369" s="13" t="n">
        <v>0.631</v>
      </c>
      <c r="X369" s="13" t="n">
        <v>290</v>
      </c>
      <c r="Y369" s="13" t="n">
        <v>248</v>
      </c>
      <c r="Z369" s="13" t="n">
        <v>149</v>
      </c>
      <c r="AA369" s="13" t="n">
        <v>3</v>
      </c>
      <c r="AB369" s="13" t="n">
        <v>14.6</v>
      </c>
      <c r="AC369" s="11" t="inlineStr">
        <is>
          <t xml:space="preserve"> Powder</t>
        </is>
      </c>
      <c r="AD369" s="11" t="inlineStr">
        <is>
          <t xml:space="preserve"> Touring</t>
        </is>
      </c>
      <c r="AE369" s="11" t="inlineStr">
        <is>
          <t xml:space="preserve"> Ultralight Touring</t>
        </is>
      </c>
      <c r="AF369" s="13" t="n"/>
      <c r="AG369" s="13" t="n"/>
    </row>
    <row r="370">
      <c r="A370" s="9" t="inlineStr">
        <is>
          <t>21/22</t>
        </is>
      </c>
      <c r="B370" s="10" t="inlineStr">
        <is>
          <t xml:space="preserve"> DPS</t>
        </is>
      </c>
      <c r="C370" s="11" t="inlineStr">
        <is>
          <t>Pagoda Tour 112 RP</t>
        </is>
      </c>
      <c r="D370" s="13" t="n">
        <v>184</v>
      </c>
      <c r="E370" s="11" t="inlineStr">
        <is>
          <t xml:space="preserve"> Unisex</t>
        </is>
      </c>
      <c r="F370" s="13" t="n">
        <v>184</v>
      </c>
      <c r="G370" s="13" t="n">
        <v>182.2</v>
      </c>
      <c r="H370" s="13" t="n">
        <v>107</v>
      </c>
      <c r="I370" s="13" t="n">
        <v>125</v>
      </c>
      <c r="J370" s="13" t="n">
        <v>140</v>
      </c>
      <c r="K370" s="13" t="n">
        <v>112</v>
      </c>
      <c r="L370" s="13" t="n">
        <v>127</v>
      </c>
      <c r="M370" s="13" t="n">
        <v>15.2</v>
      </c>
      <c r="N370" s="13" t="n">
        <v>1661</v>
      </c>
      <c r="O370" s="13" t="n">
        <v>1.33</v>
      </c>
      <c r="P370" s="13" t="n">
        <v>2209</v>
      </c>
      <c r="Q370" s="13" t="n">
        <v>229</v>
      </c>
      <c r="R370" s="13" t="n">
        <v>112</v>
      </c>
      <c r="S370" s="13" t="n">
        <v>73</v>
      </c>
      <c r="T370" s="13" t="n">
        <v>422</v>
      </c>
      <c r="U370" s="13" t="n">
        <v>34</v>
      </c>
      <c r="V370" s="13" t="n">
        <v>330</v>
      </c>
      <c r="W370" s="13" t="n">
        <v>0.464</v>
      </c>
      <c r="X370" s="13" t="n">
        <v>304</v>
      </c>
      <c r="Y370" s="13" t="n">
        <v>270</v>
      </c>
      <c r="Z370" s="13" t="n">
        <v>118</v>
      </c>
      <c r="AA370" s="13" t="n">
        <v>4</v>
      </c>
      <c r="AB370" s="13" t="n">
        <v>13.2</v>
      </c>
      <c r="AC370" s="11" t="inlineStr">
        <is>
          <t xml:space="preserve"> Powder</t>
        </is>
      </c>
      <c r="AD370" s="11" t="inlineStr">
        <is>
          <t xml:space="preserve"> Touring</t>
        </is>
      </c>
      <c r="AE370" s="11" t="inlineStr">
        <is>
          <t xml:space="preserve"> Ultralight Touring</t>
        </is>
      </c>
      <c r="AF370" s="13" t="n"/>
      <c r="AG370" s="13" t="n"/>
    </row>
    <row r="371">
      <c r="A371" s="9" t="inlineStr">
        <is>
          <t>21/22</t>
        </is>
      </c>
      <c r="B371" s="10" t="inlineStr">
        <is>
          <t xml:space="preserve"> Dynafit</t>
        </is>
      </c>
      <c r="C371" s="11" t="inlineStr">
        <is>
          <t>Beast 108</t>
        </is>
      </c>
      <c r="D371" s="13" t="n">
        <v>173</v>
      </c>
      <c r="E371" s="11" t="inlineStr">
        <is>
          <t xml:space="preserve"> Unisex</t>
        </is>
      </c>
      <c r="F371" s="13" t="n">
        <v>173</v>
      </c>
      <c r="G371" s="13" t="n">
        <v>171.8</v>
      </c>
      <c r="H371" s="13" t="n">
        <v>109</v>
      </c>
      <c r="I371" s="13" t="n">
        <v>137</v>
      </c>
      <c r="J371" s="13" t="n">
        <v>133</v>
      </c>
      <c r="K371" s="13" t="n">
        <v>105</v>
      </c>
      <c r="L371" s="13" t="n">
        <v>123</v>
      </c>
      <c r="M371" s="13" t="n">
        <v>18.7</v>
      </c>
      <c r="N371" s="13" t="n">
        <v>1538</v>
      </c>
      <c r="O371" s="13" t="n">
        <v>1.28</v>
      </c>
      <c r="P371" s="13" t="n">
        <v>1962</v>
      </c>
      <c r="Q371" s="13" t="n">
        <v>211</v>
      </c>
      <c r="R371" s="13" t="n">
        <v>101</v>
      </c>
      <c r="S371" s="13" t="n">
        <v>70</v>
      </c>
      <c r="T371" s="13" t="n">
        <v>443</v>
      </c>
      <c r="U371" s="13" t="n">
        <v>15</v>
      </c>
      <c r="V371" s="13" t="n">
        <v>189</v>
      </c>
      <c r="W371" s="13" t="n">
        <v>0.214</v>
      </c>
      <c r="X371" s="13" t="n">
        <v>198</v>
      </c>
      <c r="Y371" s="13" t="n">
        <v>150</v>
      </c>
      <c r="Z371" s="13" t="n">
        <v>244</v>
      </c>
      <c r="AA371" s="13" t="n">
        <v>4</v>
      </c>
      <c r="AB371" s="13" t="n">
        <v>8</v>
      </c>
      <c r="AC371" s="11" t="inlineStr">
        <is>
          <t xml:space="preserve"> Resort Freeride</t>
        </is>
      </c>
      <c r="AD371" s="11" t="inlineStr">
        <is>
          <t xml:space="preserve"> Big Mountain</t>
        </is>
      </c>
      <c r="AE371" s="11" t="inlineStr">
        <is>
          <t xml:space="preserve"> Touring</t>
        </is>
      </c>
      <c r="AF371" s="11" t="inlineStr">
        <is>
          <t xml:space="preserve"> Ultralight Touring</t>
        </is>
      </c>
      <c r="AG371" s="13" t="n"/>
    </row>
    <row r="372">
      <c r="A372" s="9" t="inlineStr">
        <is>
          <t>21/22</t>
        </is>
      </c>
      <c r="B372" s="10" t="inlineStr">
        <is>
          <t xml:space="preserve"> Dynafit</t>
        </is>
      </c>
      <c r="C372" s="11" t="inlineStr">
        <is>
          <t>Beast 98</t>
        </is>
      </c>
      <c r="D372" s="13" t="n">
        <v>170</v>
      </c>
      <c r="E372" s="11" t="inlineStr">
        <is>
          <t xml:space="preserve"> Unisex</t>
        </is>
      </c>
      <c r="F372" s="13" t="n">
        <v>170</v>
      </c>
      <c r="G372" s="13" t="n">
        <v>169</v>
      </c>
      <c r="H372" s="13" t="n">
        <v>108</v>
      </c>
      <c r="I372" s="13" t="n">
        <v>136</v>
      </c>
      <c r="J372" s="13" t="n">
        <v>123</v>
      </c>
      <c r="K372" s="13" t="n">
        <v>95</v>
      </c>
      <c r="L372" s="13" t="n">
        <v>112</v>
      </c>
      <c r="M372" s="13" t="n">
        <v>17.2</v>
      </c>
      <c r="N372" s="13" t="n">
        <v>1326</v>
      </c>
      <c r="O372" s="13" t="n">
        <v>1.33</v>
      </c>
      <c r="P372" s="13" t="n">
        <v>1760</v>
      </c>
      <c r="Q372" s="13" t="n">
        <v>154</v>
      </c>
      <c r="R372" s="13" t="n">
        <v>74</v>
      </c>
      <c r="S372" s="13" t="n">
        <v>62</v>
      </c>
      <c r="T372" s="13" t="n">
        <v>382</v>
      </c>
      <c r="U372" s="13" t="n">
        <v>14</v>
      </c>
      <c r="V372" s="13" t="n">
        <v>229</v>
      </c>
      <c r="W372" s="13" t="n">
        <v>0.233</v>
      </c>
      <c r="X372" s="13" t="n">
        <v>172</v>
      </c>
      <c r="Y372" s="13" t="n">
        <v>155</v>
      </c>
      <c r="Z372" s="13" t="n">
        <v>210</v>
      </c>
      <c r="AA372" s="13" t="n">
        <v>3</v>
      </c>
      <c r="AB372" s="13" t="n">
        <v>8.6</v>
      </c>
      <c r="AC372" s="11" t="inlineStr">
        <is>
          <t xml:space="preserve"> Touring</t>
        </is>
      </c>
      <c r="AD372" s="11" t="inlineStr">
        <is>
          <t xml:space="preserve"> Ultralight Touring</t>
        </is>
      </c>
      <c r="AE372" s="13" t="n"/>
      <c r="AF372" s="13" t="n"/>
      <c r="AG372" s="13" t="n"/>
    </row>
    <row r="373">
      <c r="A373" s="9" t="inlineStr">
        <is>
          <t>21/22</t>
        </is>
      </c>
      <c r="B373" s="10" t="inlineStr">
        <is>
          <t xml:space="preserve"> Dynafit</t>
        </is>
      </c>
      <c r="C373" s="11" t="inlineStr">
        <is>
          <t>Beast 98</t>
        </is>
      </c>
      <c r="D373" s="13" t="n">
        <v>177</v>
      </c>
      <c r="E373" s="11" t="inlineStr">
        <is>
          <t xml:space="preserve"> Unisex</t>
        </is>
      </c>
      <c r="F373" s="13" t="n">
        <v>177</v>
      </c>
      <c r="G373" s="13" t="n">
        <v>175.8</v>
      </c>
      <c r="H373" s="13" t="n">
        <v>115</v>
      </c>
      <c r="I373" s="13" t="n">
        <v>142</v>
      </c>
      <c r="J373" s="13" t="n">
        <v>125</v>
      </c>
      <c r="K373" s="13" t="n">
        <v>96</v>
      </c>
      <c r="L373" s="13" t="n">
        <v>115</v>
      </c>
      <c r="M373" s="13" t="n">
        <v>18.4</v>
      </c>
      <c r="N373" s="13" t="n">
        <v>1525</v>
      </c>
      <c r="O373" s="13" t="n">
        <v>1.22</v>
      </c>
      <c r="P373" s="13" t="n">
        <v>1867</v>
      </c>
      <c r="Q373" s="13" t="n">
        <v>187</v>
      </c>
      <c r="R373" s="13" t="n">
        <v>92</v>
      </c>
      <c r="S373" s="13" t="n">
        <v>59</v>
      </c>
      <c r="T373" s="13" t="n">
        <v>442</v>
      </c>
      <c r="U373" s="13" t="n">
        <v>13</v>
      </c>
      <c r="V373" s="13" t="n">
        <v>167</v>
      </c>
      <c r="W373" s="13" t="n">
        <v>0.224</v>
      </c>
      <c r="X373" s="13" t="n">
        <v>183</v>
      </c>
      <c r="Y373" s="13" t="n">
        <v>151</v>
      </c>
      <c r="Z373" s="13" t="n">
        <v>259</v>
      </c>
      <c r="AA373" s="13" t="n">
        <v>3</v>
      </c>
      <c r="AB373" s="13" t="n">
        <v>8.5</v>
      </c>
      <c r="AC373" s="11" t="inlineStr">
        <is>
          <t xml:space="preserve"> Resort Freeride</t>
        </is>
      </c>
      <c r="AD373" s="11" t="inlineStr">
        <is>
          <t xml:space="preserve"> Touring</t>
        </is>
      </c>
      <c r="AE373" s="13" t="n"/>
      <c r="AF373" s="13" t="n"/>
      <c r="AG373" s="13" t="n"/>
    </row>
    <row r="374">
      <c r="A374" s="9" t="inlineStr">
        <is>
          <t>21/22</t>
        </is>
      </c>
      <c r="B374" s="10" t="inlineStr">
        <is>
          <t xml:space="preserve"> Dynafit</t>
        </is>
      </c>
      <c r="C374" s="11" t="inlineStr">
        <is>
          <t>Blacklight 80</t>
        </is>
      </c>
      <c r="D374" s="13" t="n">
        <v>165</v>
      </c>
      <c r="E374" s="11" t="inlineStr">
        <is>
          <t xml:space="preserve"> Unisex</t>
        </is>
      </c>
      <c r="F374" s="13" t="n">
        <v>165</v>
      </c>
      <c r="G374" s="13" t="n">
        <v>162.9</v>
      </c>
      <c r="H374" s="13" t="n">
        <v>122</v>
      </c>
      <c r="I374" s="13" t="n">
        <v>140</v>
      </c>
      <c r="J374" s="13" t="n">
        <v>114</v>
      </c>
      <c r="K374" s="13" t="n">
        <v>78</v>
      </c>
      <c r="L374" s="13" t="n">
        <v>98</v>
      </c>
      <c r="M374" s="13" t="n">
        <v>17.4</v>
      </c>
      <c r="N374" s="13" t="n">
        <v>1053</v>
      </c>
      <c r="O374" s="13" t="n">
        <v>1.37</v>
      </c>
      <c r="P374" s="13" t="n">
        <v>1440</v>
      </c>
      <c r="Q374" s="13" t="n">
        <v>218</v>
      </c>
      <c r="R374" s="13" t="n">
        <v>73</v>
      </c>
      <c r="S374" s="13" t="n">
        <v>58</v>
      </c>
      <c r="T374" s="13" t="n">
        <v>258</v>
      </c>
      <c r="U374" s="13" t="n">
        <v>12</v>
      </c>
      <c r="V374" s="13" t="n">
        <v>152</v>
      </c>
      <c r="W374" s="13" t="n">
        <v>0.199</v>
      </c>
      <c r="X374" s="13" t="n">
        <v>135</v>
      </c>
      <c r="Y374" s="13" t="n">
        <v>91</v>
      </c>
      <c r="Z374" s="13" t="n">
        <v>122</v>
      </c>
      <c r="AA374" s="13" t="n">
        <v>4</v>
      </c>
      <c r="AB374" s="13" t="n">
        <v>12.1</v>
      </c>
      <c r="AC374" s="11" t="inlineStr">
        <is>
          <t xml:space="preserve"> Touring</t>
        </is>
      </c>
      <c r="AD374" s="11" t="inlineStr">
        <is>
          <t xml:space="preserve"> Ultralight Touring</t>
        </is>
      </c>
      <c r="AE374" s="13" t="n"/>
      <c r="AF374" s="13" t="n"/>
      <c r="AG374" s="13" t="n"/>
    </row>
    <row r="375">
      <c r="A375" s="9" t="inlineStr">
        <is>
          <t>21/22</t>
        </is>
      </c>
      <c r="B375" s="10" t="inlineStr">
        <is>
          <t xml:space="preserve"> Dynafit</t>
        </is>
      </c>
      <c r="C375" s="11" t="inlineStr">
        <is>
          <t>Blacklight 80</t>
        </is>
      </c>
      <c r="D375" s="13" t="n">
        <v>172</v>
      </c>
      <c r="E375" s="11" t="inlineStr">
        <is>
          <t xml:space="preserve"> Unisex</t>
        </is>
      </c>
      <c r="F375" s="13" t="n">
        <v>172</v>
      </c>
      <c r="G375" s="13" t="n">
        <v>169.8</v>
      </c>
      <c r="H375" s="13" t="n">
        <v>132</v>
      </c>
      <c r="I375" s="13" t="n">
        <v>148</v>
      </c>
      <c r="J375" s="13" t="n">
        <v>115</v>
      </c>
      <c r="K375" s="13" t="n">
        <v>79</v>
      </c>
      <c r="L375" s="13" t="n">
        <v>99</v>
      </c>
      <c r="M375" s="13" t="n">
        <v>19.2</v>
      </c>
      <c r="N375" s="13" t="n">
        <v>1127</v>
      </c>
      <c r="O375" s="13" t="n">
        <v>1.35</v>
      </c>
      <c r="P375" s="13" t="n">
        <v>1520</v>
      </c>
      <c r="Q375" s="13" t="n">
        <v>261</v>
      </c>
      <c r="R375" s="13" t="n">
        <v>91</v>
      </c>
      <c r="S375" s="13" t="n">
        <v>53</v>
      </c>
      <c r="T375" s="13" t="n">
        <v>278</v>
      </c>
      <c r="U375" s="13" t="n">
        <v>9</v>
      </c>
      <c r="V375" s="13" t="n">
        <v>103</v>
      </c>
      <c r="W375" s="13" t="n">
        <v>0.166</v>
      </c>
      <c r="X375" s="13" t="n">
        <v>134</v>
      </c>
      <c r="Y375" s="13" t="n">
        <v>86</v>
      </c>
      <c r="Z375" s="13" t="n">
        <v>144</v>
      </c>
      <c r="AA375" s="13" t="n">
        <v>5</v>
      </c>
      <c r="AB375" s="13" t="n">
        <v>12.6</v>
      </c>
      <c r="AC375" s="11" t="inlineStr">
        <is>
          <t xml:space="preserve"> Touring</t>
        </is>
      </c>
      <c r="AD375" s="11" t="inlineStr">
        <is>
          <t xml:space="preserve"> Ultralight Touring</t>
        </is>
      </c>
      <c r="AE375" s="13" t="n"/>
      <c r="AF375" s="13" t="n"/>
      <c r="AG375" s="13" t="n"/>
    </row>
    <row r="376">
      <c r="A376" s="9" t="inlineStr">
        <is>
          <t>21/22</t>
        </is>
      </c>
      <c r="B376" s="10" t="inlineStr">
        <is>
          <t xml:space="preserve"> Dynafit</t>
        </is>
      </c>
      <c r="C376" s="11" t="inlineStr">
        <is>
          <t>Blacklight 80</t>
        </is>
      </c>
      <c r="D376" s="13" t="n">
        <v>178</v>
      </c>
      <c r="E376" s="11" t="inlineStr">
        <is>
          <t xml:space="preserve"> Unisex</t>
        </is>
      </c>
      <c r="F376" s="13" t="n">
        <v>178</v>
      </c>
      <c r="G376" s="13" t="n">
        <v>175.8</v>
      </c>
      <c r="H376" s="13" t="n">
        <v>138</v>
      </c>
      <c r="I376" s="13" t="n">
        <v>153</v>
      </c>
      <c r="J376" s="13" t="n">
        <v>116</v>
      </c>
      <c r="K376" s="13" t="n">
        <v>80</v>
      </c>
      <c r="L376" s="13" t="n">
        <v>100</v>
      </c>
      <c r="M376" s="13" t="n">
        <v>20.6</v>
      </c>
      <c r="N376" s="13" t="n">
        <v>1175</v>
      </c>
      <c r="O376" s="13" t="n">
        <v>1.35</v>
      </c>
      <c r="P376" s="13" t="n">
        <v>1590</v>
      </c>
      <c r="Q376" s="13" t="n">
        <v>285</v>
      </c>
      <c r="R376" s="13" t="n">
        <v>102</v>
      </c>
      <c r="S376" s="13" t="n">
        <v>56</v>
      </c>
      <c r="T376" s="13" t="n">
        <v>280</v>
      </c>
      <c r="U376" s="13" t="n">
        <v>9</v>
      </c>
      <c r="V376" s="13" t="n">
        <v>95</v>
      </c>
      <c r="W376" s="13" t="n">
        <v>0.163</v>
      </c>
      <c r="X376" s="13" t="n">
        <v>136</v>
      </c>
      <c r="Y376" s="13" t="n">
        <v>90</v>
      </c>
      <c r="Z376" s="13" t="n">
        <v>144</v>
      </c>
      <c r="AA376" s="13" t="n">
        <v>5</v>
      </c>
      <c r="AB376" s="13" t="n">
        <v>12.3</v>
      </c>
      <c r="AC376" s="11" t="inlineStr">
        <is>
          <t xml:space="preserve"> Touring</t>
        </is>
      </c>
      <c r="AD376" s="11" t="inlineStr">
        <is>
          <t xml:space="preserve"> Ultralight Touring</t>
        </is>
      </c>
      <c r="AE376" s="13" t="n"/>
      <c r="AF376" s="13" t="n"/>
      <c r="AG376" s="13" t="n"/>
    </row>
    <row r="377">
      <c r="A377" s="9" t="inlineStr">
        <is>
          <t>21/22</t>
        </is>
      </c>
      <c r="B377" s="10" t="inlineStr">
        <is>
          <t xml:space="preserve"> Dynafit</t>
        </is>
      </c>
      <c r="C377" s="11" t="inlineStr">
        <is>
          <t>Blacklight 88</t>
        </is>
      </c>
      <c r="D377" s="13" t="n">
        <v>158</v>
      </c>
      <c r="E377" s="11" t="inlineStr">
        <is>
          <t xml:space="preserve"> Unisex</t>
        </is>
      </c>
      <c r="F377" s="13" t="n">
        <v>158</v>
      </c>
      <c r="G377" s="13" t="n">
        <v>156</v>
      </c>
      <c r="H377" s="13" t="n">
        <v>110</v>
      </c>
      <c r="I377" s="13" t="n">
        <v>133</v>
      </c>
      <c r="J377" s="13" t="n">
        <v>120</v>
      </c>
      <c r="K377" s="13" t="n">
        <v>85</v>
      </c>
      <c r="L377" s="13" t="n">
        <v>108</v>
      </c>
      <c r="M377" s="13" t="n">
        <v>14.9</v>
      </c>
      <c r="N377" s="13" t="n">
        <v>1056</v>
      </c>
      <c r="O377" s="13" t="n">
        <v>1.41</v>
      </c>
      <c r="P377" s="13" t="n">
        <v>1491</v>
      </c>
      <c r="Q377" s="13" t="n">
        <v>204</v>
      </c>
      <c r="R377" s="13" t="n">
        <v>71</v>
      </c>
      <c r="S377" s="13" t="n">
        <v>54</v>
      </c>
      <c r="T377" s="13" t="n">
        <v>304</v>
      </c>
      <c r="U377" s="13" t="n">
        <v>11</v>
      </c>
      <c r="V377" s="13" t="n">
        <v>152</v>
      </c>
      <c r="W377" s="13" t="n">
        <v>0.197</v>
      </c>
      <c r="X377" s="13" t="n">
        <v>137</v>
      </c>
      <c r="Y377" s="13" t="n">
        <v>90</v>
      </c>
      <c r="Z377" s="13" t="n">
        <v>168</v>
      </c>
      <c r="AA377" s="13" t="n">
        <v>5</v>
      </c>
      <c r="AB377" s="13" t="n">
        <v>12.3</v>
      </c>
      <c r="AC377" s="11" t="inlineStr">
        <is>
          <t xml:space="preserve"> Touring</t>
        </is>
      </c>
      <c r="AD377" s="11" t="inlineStr">
        <is>
          <t xml:space="preserve"> Ultralight Touring</t>
        </is>
      </c>
      <c r="AE377" s="13" t="n"/>
      <c r="AF377" s="13" t="n"/>
      <c r="AG377" s="13" t="n"/>
    </row>
    <row r="378">
      <c r="A378" s="9" t="inlineStr">
        <is>
          <t>21/22</t>
        </is>
      </c>
      <c r="B378" s="10" t="inlineStr">
        <is>
          <t xml:space="preserve"> Dynafit</t>
        </is>
      </c>
      <c r="C378" s="11" t="inlineStr">
        <is>
          <t>Blacklight 88</t>
        </is>
      </c>
      <c r="D378" s="13" t="n">
        <v>165</v>
      </c>
      <c r="E378" s="11" t="inlineStr">
        <is>
          <t xml:space="preserve"> Unisex</t>
        </is>
      </c>
      <c r="F378" s="13" t="n">
        <v>165</v>
      </c>
      <c r="G378" s="13" t="n">
        <v>163.1</v>
      </c>
      <c r="H378" s="13" t="n">
        <v>114</v>
      </c>
      <c r="I378" s="13" t="n">
        <v>140</v>
      </c>
      <c r="J378" s="13" t="n">
        <v>121</v>
      </c>
      <c r="K378" s="13" t="n">
        <v>86</v>
      </c>
      <c r="L378" s="13" t="n">
        <v>109</v>
      </c>
      <c r="M378" s="13" t="n">
        <v>16.6</v>
      </c>
      <c r="N378" s="13" t="n">
        <v>1101</v>
      </c>
      <c r="O378" s="13" t="n">
        <v>1.43</v>
      </c>
      <c r="P378" s="13" t="n">
        <v>1571</v>
      </c>
      <c r="Q378" s="13" t="n">
        <v>228</v>
      </c>
      <c r="R378" s="13" t="n">
        <v>77</v>
      </c>
      <c r="S378" s="13" t="n">
        <v>54</v>
      </c>
      <c r="T378" s="13" t="n">
        <v>318</v>
      </c>
      <c r="U378" s="13" t="n">
        <v>12</v>
      </c>
      <c r="V378" s="13" t="n">
        <v>168</v>
      </c>
      <c r="W378" s="13" t="n">
        <v>0.225</v>
      </c>
      <c r="X378" s="13" t="n">
        <v>140</v>
      </c>
      <c r="Y378" s="13" t="n">
        <v>93</v>
      </c>
      <c r="Z378" s="13" t="n">
        <v>179</v>
      </c>
      <c r="AA378" s="13" t="n">
        <v>5</v>
      </c>
      <c r="AB378" s="13" t="n">
        <v>12.4</v>
      </c>
      <c r="AC378" s="11" t="inlineStr">
        <is>
          <t xml:space="preserve"> Touring</t>
        </is>
      </c>
      <c r="AD378" s="11" t="inlineStr">
        <is>
          <t xml:space="preserve"> Ultralight Touring</t>
        </is>
      </c>
      <c r="AE378" s="13" t="n"/>
      <c r="AF378" s="13" t="n"/>
      <c r="AG378" s="13" t="n"/>
    </row>
    <row r="379">
      <c r="A379" s="9" t="inlineStr">
        <is>
          <t>21/22</t>
        </is>
      </c>
      <c r="B379" s="10" t="inlineStr">
        <is>
          <t xml:space="preserve"> Dynafit</t>
        </is>
      </c>
      <c r="C379" s="11" t="inlineStr">
        <is>
          <t>Blacklight 88</t>
        </is>
      </c>
      <c r="D379" s="13" t="n">
        <v>172</v>
      </c>
      <c r="E379" s="11" t="inlineStr">
        <is>
          <t xml:space="preserve"> Unisex</t>
        </is>
      </c>
      <c r="F379" s="13" t="n">
        <v>172</v>
      </c>
      <c r="G379" s="13" t="n">
        <v>169.7</v>
      </c>
      <c r="H379" s="13" t="n">
        <v>117</v>
      </c>
      <c r="I379" s="13" t="n">
        <v>146</v>
      </c>
      <c r="J379" s="13" t="n">
        <v>122</v>
      </c>
      <c r="K379" s="13" t="n">
        <v>87</v>
      </c>
      <c r="L379" s="13" t="n">
        <v>110</v>
      </c>
      <c r="M379" s="13" t="n">
        <v>18.1</v>
      </c>
      <c r="N379" s="13" t="n">
        <v>1186</v>
      </c>
      <c r="O379" s="13" t="n">
        <v>1.39</v>
      </c>
      <c r="P379" s="13" t="n">
        <v>1652</v>
      </c>
      <c r="Q379" s="13" t="n">
        <v>256</v>
      </c>
      <c r="R379" s="13" t="n">
        <v>87</v>
      </c>
      <c r="S379" s="13" t="n">
        <v>60</v>
      </c>
      <c r="T379" s="13" t="n">
        <v>348</v>
      </c>
      <c r="U379" s="13" t="n">
        <v>10</v>
      </c>
      <c r="V379" s="13" t="n">
        <v>179</v>
      </c>
      <c r="W379" s="13" t="n">
        <v>0.165</v>
      </c>
      <c r="X379" s="13" t="n">
        <v>136</v>
      </c>
      <c r="Y379" s="13" t="n">
        <v>104</v>
      </c>
      <c r="Z379" s="13" t="n">
        <v>213</v>
      </c>
      <c r="AA379" s="13" t="n">
        <v>4</v>
      </c>
      <c r="AB379" s="13" t="n">
        <v>12.6</v>
      </c>
      <c r="AC379" s="11" t="inlineStr">
        <is>
          <t xml:space="preserve"> Touring</t>
        </is>
      </c>
      <c r="AD379" s="11" t="inlineStr">
        <is>
          <t xml:space="preserve"> Ultralight Touring</t>
        </is>
      </c>
      <c r="AE379" s="13" t="n"/>
      <c r="AF379" s="13" t="n"/>
      <c r="AG379" s="13" t="n"/>
    </row>
    <row r="380">
      <c r="A380" s="9" t="inlineStr">
        <is>
          <t>21/22</t>
        </is>
      </c>
      <c r="B380" s="10" t="inlineStr">
        <is>
          <t xml:space="preserve"> Dynafit</t>
        </is>
      </c>
      <c r="C380" s="11" t="inlineStr">
        <is>
          <t>Blacklight 88</t>
        </is>
      </c>
      <c r="D380" s="13" t="n">
        <v>178</v>
      </c>
      <c r="E380" s="11" t="inlineStr">
        <is>
          <t xml:space="preserve"> Unisex</t>
        </is>
      </c>
      <c r="F380" s="13" t="n">
        <v>178</v>
      </c>
      <c r="G380" s="13" t="n">
        <v>175.9</v>
      </c>
      <c r="H380" s="13" t="n">
        <v>123</v>
      </c>
      <c r="I380" s="13" t="n">
        <v>153</v>
      </c>
      <c r="J380" s="13" t="n">
        <v>123</v>
      </c>
      <c r="K380" s="13" t="n">
        <v>88</v>
      </c>
      <c r="L380" s="13" t="n">
        <v>111</v>
      </c>
      <c r="M380" s="13" t="n">
        <v>19.8</v>
      </c>
      <c r="N380" s="13" t="n">
        <v>1263</v>
      </c>
      <c r="O380" s="13" t="n">
        <v>1.37</v>
      </c>
      <c r="P380" s="13" t="n">
        <v>1727</v>
      </c>
      <c r="Q380" s="13" t="n">
        <v>312</v>
      </c>
      <c r="R380" s="13" t="n">
        <v>103</v>
      </c>
      <c r="S380" s="13" t="n">
        <v>54</v>
      </c>
      <c r="T380" s="13" t="n">
        <v>364</v>
      </c>
      <c r="U380" s="13" t="n">
        <v>10</v>
      </c>
      <c r="V380" s="13" t="n">
        <v>167</v>
      </c>
      <c r="W380" s="13" t="n">
        <v>0.18</v>
      </c>
      <c r="X380" s="13" t="n">
        <v>138</v>
      </c>
      <c r="Y380" s="13" t="n">
        <v>96</v>
      </c>
      <c r="Z380" s="13" t="n">
        <v>226</v>
      </c>
      <c r="AA380" s="13" t="n">
        <v>2</v>
      </c>
      <c r="AB380" s="13" t="n">
        <v>12.4</v>
      </c>
      <c r="AC380" s="11" t="inlineStr">
        <is>
          <t xml:space="preserve"> Touring</t>
        </is>
      </c>
      <c r="AD380" s="11" t="inlineStr">
        <is>
          <t xml:space="preserve"> Ultralight Touring</t>
        </is>
      </c>
      <c r="AE380" s="13" t="n"/>
      <c r="AF380" s="13" t="n"/>
      <c r="AG380" s="13" t="n"/>
    </row>
    <row r="381">
      <c r="A381" s="9" t="inlineStr">
        <is>
          <t>21/22</t>
        </is>
      </c>
      <c r="B381" s="10" t="inlineStr">
        <is>
          <t xml:space="preserve"> Dynafit</t>
        </is>
      </c>
      <c r="C381" s="11" t="inlineStr">
        <is>
          <t>Blacklight 88 W</t>
        </is>
      </c>
      <c r="D381" s="13" t="n">
        <v>151</v>
      </c>
      <c r="E381" s="11" t="inlineStr">
        <is>
          <t xml:space="preserve"> Women's</t>
        </is>
      </c>
      <c r="F381" s="13" t="n">
        <v>151</v>
      </c>
      <c r="G381" s="13" t="n">
        <v>149.2</v>
      </c>
      <c r="H381" s="13" t="n">
        <v>114</v>
      </c>
      <c r="I381" s="13" t="n">
        <v>126</v>
      </c>
      <c r="J381" s="13" t="n">
        <v>119</v>
      </c>
      <c r="K381" s="13" t="n">
        <v>84</v>
      </c>
      <c r="L381" s="13" t="n">
        <v>107</v>
      </c>
      <c r="M381" s="13" t="n">
        <v>13.3</v>
      </c>
      <c r="N381" s="13" t="n">
        <v>962</v>
      </c>
      <c r="O381" s="13" t="n">
        <v>1.47</v>
      </c>
      <c r="P381" s="13" t="n">
        <v>1410</v>
      </c>
      <c r="Q381" s="13" t="n">
        <v>153</v>
      </c>
      <c r="R381" s="13" t="n">
        <v>55</v>
      </c>
      <c r="S381" s="13" t="n">
        <v>50</v>
      </c>
      <c r="T381" s="13" t="n">
        <v>213</v>
      </c>
      <c r="U381" s="13" t="n">
        <v>11</v>
      </c>
      <c r="V381" s="13" t="n">
        <v>144</v>
      </c>
      <c r="W381" s="13" t="n">
        <v>0.216</v>
      </c>
      <c r="X381" s="13" t="n">
        <v>140</v>
      </c>
      <c r="Y381" s="13" t="n">
        <v>89</v>
      </c>
      <c r="Z381" s="13" t="n">
        <v>73</v>
      </c>
      <c r="AA381" s="13" t="n">
        <v>4</v>
      </c>
      <c r="AB381" s="13" t="n">
        <v>12.4</v>
      </c>
      <c r="AC381" s="11" t="inlineStr">
        <is>
          <t xml:space="preserve"> Touring</t>
        </is>
      </c>
      <c r="AD381" s="11" t="inlineStr">
        <is>
          <t xml:space="preserve"> Ultralight Touring</t>
        </is>
      </c>
      <c r="AE381" s="13" t="n"/>
      <c r="AF381" s="13" t="n"/>
      <c r="AG381" s="13" t="n"/>
    </row>
    <row r="382">
      <c r="A382" s="9" t="inlineStr">
        <is>
          <t>21/22</t>
        </is>
      </c>
      <c r="B382" s="10" t="inlineStr">
        <is>
          <t xml:space="preserve"> Dynafit</t>
        </is>
      </c>
      <c r="C382" s="11" t="inlineStr">
        <is>
          <t>Blacklight 88 W</t>
        </is>
      </c>
      <c r="D382" s="13" t="n">
        <v>158</v>
      </c>
      <c r="E382" s="11" t="inlineStr">
        <is>
          <t xml:space="preserve"> Women's</t>
        </is>
      </c>
      <c r="F382" s="13" t="n">
        <v>158</v>
      </c>
      <c r="G382" s="13" t="n">
        <v>156.2</v>
      </c>
      <c r="H382" s="13" t="n">
        <v>109</v>
      </c>
      <c r="I382" s="13" t="n">
        <v>134</v>
      </c>
      <c r="J382" s="13" t="n">
        <v>121</v>
      </c>
      <c r="K382" s="13" t="n">
        <v>85</v>
      </c>
      <c r="L382" s="13" t="n">
        <v>108</v>
      </c>
      <c r="M382" s="13" t="n">
        <v>14.9</v>
      </c>
      <c r="N382" s="13" t="n">
        <v>1055</v>
      </c>
      <c r="O382" s="13" t="n">
        <v>1.41</v>
      </c>
      <c r="P382" s="13" t="n">
        <v>1491</v>
      </c>
      <c r="Q382" s="13" t="n">
        <v>196</v>
      </c>
      <c r="R382" s="13" t="n">
        <v>68</v>
      </c>
      <c r="S382" s="13" t="n">
        <v>52</v>
      </c>
      <c r="T382" s="13" t="n">
        <v>312</v>
      </c>
      <c r="U382" s="13" t="n">
        <v>12</v>
      </c>
      <c r="V382" s="13" t="n">
        <v>162</v>
      </c>
      <c r="W382" s="13" t="n">
        <v>0.228</v>
      </c>
      <c r="X382" s="13" t="n">
        <v>136</v>
      </c>
      <c r="Y382" s="13" t="n">
        <v>90</v>
      </c>
      <c r="Z382" s="13" t="n">
        <v>176</v>
      </c>
      <c r="AA382" s="13" t="n">
        <v>4</v>
      </c>
      <c r="AB382" s="13" t="n">
        <v>12.6</v>
      </c>
      <c r="AC382" s="11" t="inlineStr">
        <is>
          <t xml:space="preserve"> Touring</t>
        </is>
      </c>
      <c r="AD382" s="11" t="inlineStr">
        <is>
          <t xml:space="preserve"> Ultralight Touring</t>
        </is>
      </c>
      <c r="AE382" s="13" t="n"/>
      <c r="AF382" s="13" t="n"/>
      <c r="AG382" s="13" t="n"/>
    </row>
    <row r="383">
      <c r="A383" s="9" t="inlineStr">
        <is>
          <t>21/22</t>
        </is>
      </c>
      <c r="B383" s="10" t="inlineStr">
        <is>
          <t xml:space="preserve"> Dynafit</t>
        </is>
      </c>
      <c r="C383" s="11" t="inlineStr">
        <is>
          <t>Blacklight 95</t>
        </is>
      </c>
      <c r="D383" s="13" t="n">
        <v>172</v>
      </c>
      <c r="E383" s="11" t="inlineStr">
        <is>
          <t xml:space="preserve"> Unisex</t>
        </is>
      </c>
      <c r="F383" s="13" t="n">
        <v>172</v>
      </c>
      <c r="G383" s="13" t="n">
        <v>170.2</v>
      </c>
      <c r="H383" s="13" t="n">
        <v>127</v>
      </c>
      <c r="I383" s="13" t="n">
        <v>146</v>
      </c>
      <c r="J383" s="13" t="n">
        <v>126</v>
      </c>
      <c r="K383" s="13" t="n">
        <v>94</v>
      </c>
      <c r="L383" s="13" t="n">
        <v>113</v>
      </c>
      <c r="M383" s="13" t="n">
        <v>20</v>
      </c>
      <c r="N383" s="13" t="n">
        <v>1202</v>
      </c>
      <c r="O383" s="13" t="n">
        <v>1.45</v>
      </c>
      <c r="P383" s="13" t="n">
        <v>1748</v>
      </c>
      <c r="Q383" s="13" t="n">
        <v>235</v>
      </c>
      <c r="R383" s="13" t="n">
        <v>95</v>
      </c>
      <c r="S383" s="13" t="n">
        <v>48</v>
      </c>
      <c r="T383" s="13" t="n">
        <v>268</v>
      </c>
      <c r="U383" s="13" t="n">
        <v>11</v>
      </c>
      <c r="V383" s="13" t="n">
        <v>159</v>
      </c>
      <c r="W383" s="13" t="n">
        <v>0.234</v>
      </c>
      <c r="X383" s="13" t="n">
        <v>137</v>
      </c>
      <c r="Y383" s="13" t="n">
        <v>100</v>
      </c>
      <c r="Z383" s="13" t="n">
        <v>131</v>
      </c>
      <c r="AA383" s="13" t="n">
        <v>4</v>
      </c>
      <c r="AB383" s="13" t="n">
        <v>12.6</v>
      </c>
      <c r="AC383" s="11" t="inlineStr">
        <is>
          <t xml:space="preserve"> Touring</t>
        </is>
      </c>
      <c r="AD383" s="11" t="inlineStr">
        <is>
          <t xml:space="preserve"> Ultralight Touring</t>
        </is>
      </c>
      <c r="AE383" s="13" t="n"/>
      <c r="AF383" s="13" t="n"/>
      <c r="AG383" s="13" t="n"/>
    </row>
    <row r="384">
      <c r="A384" s="9" t="inlineStr">
        <is>
          <t>21/22</t>
        </is>
      </c>
      <c r="B384" s="10" t="inlineStr">
        <is>
          <t xml:space="preserve"> Dynafit</t>
        </is>
      </c>
      <c r="C384" s="11" t="inlineStr">
        <is>
          <t>Blacklight 95</t>
        </is>
      </c>
      <c r="D384" s="13" t="n">
        <v>178</v>
      </c>
      <c r="E384" s="11" t="inlineStr">
        <is>
          <t xml:space="preserve"> Unisex</t>
        </is>
      </c>
      <c r="F384" s="13" t="n">
        <v>178</v>
      </c>
      <c r="G384" s="13" t="n">
        <v>175.9</v>
      </c>
      <c r="H384" s="13" t="n">
        <v>125</v>
      </c>
      <c r="I384" s="13" t="n">
        <v>152</v>
      </c>
      <c r="J384" s="13" t="n">
        <v>127</v>
      </c>
      <c r="K384" s="13" t="n">
        <v>95</v>
      </c>
      <c r="L384" s="13" t="n">
        <v>115</v>
      </c>
      <c r="M384" s="13" t="n">
        <v>22.1</v>
      </c>
      <c r="N384" s="13" t="n">
        <v>1278</v>
      </c>
      <c r="O384" s="13" t="n">
        <v>1.43</v>
      </c>
      <c r="P384" s="13" t="n">
        <v>1825</v>
      </c>
      <c r="Q384" s="13" t="n">
        <v>276</v>
      </c>
      <c r="R384" s="13" t="n">
        <v>94</v>
      </c>
      <c r="S384" s="13" t="n">
        <v>50</v>
      </c>
      <c r="T384" s="13" t="n">
        <v>326</v>
      </c>
      <c r="U384" s="13" t="n">
        <v>12</v>
      </c>
      <c r="V384" s="13" t="n">
        <v>179</v>
      </c>
      <c r="W384" s="13" t="n">
        <v>0.235</v>
      </c>
      <c r="X384" s="13" t="n">
        <v>143</v>
      </c>
      <c r="Y384" s="13" t="n">
        <v>95</v>
      </c>
      <c r="Z384" s="13" t="n">
        <v>183</v>
      </c>
      <c r="AA384" s="13" t="n">
        <v>4</v>
      </c>
      <c r="AB384" s="13" t="n">
        <v>12.3</v>
      </c>
      <c r="AC384" s="11" t="inlineStr">
        <is>
          <t xml:space="preserve"> Touring</t>
        </is>
      </c>
      <c r="AD384" s="11" t="inlineStr">
        <is>
          <t xml:space="preserve"> Ultralight Touring</t>
        </is>
      </c>
      <c r="AE384" s="13" t="n"/>
      <c r="AF384" s="13" t="n"/>
      <c r="AG384" s="13" t="n"/>
    </row>
    <row r="385">
      <c r="A385" s="9" t="inlineStr">
        <is>
          <t>21/22</t>
        </is>
      </c>
      <c r="B385" s="10" t="inlineStr">
        <is>
          <t xml:space="preserve"> Dynafit</t>
        </is>
      </c>
      <c r="C385" s="11" t="inlineStr">
        <is>
          <t>Blacklight 95</t>
        </is>
      </c>
      <c r="D385" s="13" t="n">
        <v>184</v>
      </c>
      <c r="E385" s="11" t="inlineStr">
        <is>
          <t xml:space="preserve"> Unisex</t>
        </is>
      </c>
      <c r="F385" s="13" t="n">
        <v>184</v>
      </c>
      <c r="G385" s="13" t="n">
        <v>182</v>
      </c>
      <c r="H385" s="13" t="n">
        <v>145</v>
      </c>
      <c r="I385" s="13" t="n">
        <v>158</v>
      </c>
      <c r="J385" s="13" t="n">
        <v>128</v>
      </c>
      <c r="K385" s="13" t="n">
        <v>96</v>
      </c>
      <c r="L385" s="13" t="n">
        <v>116</v>
      </c>
      <c r="M385" s="13" t="n">
        <v>23.7</v>
      </c>
      <c r="N385" s="13" t="n">
        <v>1367</v>
      </c>
      <c r="O385" s="13" t="n">
        <v>1.39</v>
      </c>
      <c r="P385" s="13" t="n">
        <v>1903</v>
      </c>
      <c r="Q385" s="13" t="n">
        <v>292</v>
      </c>
      <c r="R385" s="13" t="n">
        <v>103</v>
      </c>
      <c r="S385" s="13" t="n">
        <v>51</v>
      </c>
      <c r="T385" s="13" t="n">
        <v>277</v>
      </c>
      <c r="U385" s="13" t="n">
        <v>8</v>
      </c>
      <c r="V385" s="13" t="n">
        <v>97</v>
      </c>
      <c r="W385" s="13" t="n">
        <v>0.157</v>
      </c>
      <c r="X385" s="13" t="n">
        <v>146</v>
      </c>
      <c r="Y385" s="13" t="n">
        <v>99</v>
      </c>
      <c r="Z385" s="13" t="n">
        <v>131</v>
      </c>
      <c r="AA385" s="13" t="n">
        <v>6</v>
      </c>
      <c r="AB385" s="13" t="n">
        <v>12.4</v>
      </c>
      <c r="AC385" s="11" t="inlineStr">
        <is>
          <t xml:space="preserve"> Touring</t>
        </is>
      </c>
      <c r="AD385" s="11" t="inlineStr">
        <is>
          <t xml:space="preserve"> Ultralight Touring</t>
        </is>
      </c>
      <c r="AE385" s="13" t="n"/>
      <c r="AF385" s="13" t="n"/>
      <c r="AG385" s="13" t="n"/>
    </row>
    <row r="386">
      <c r="A386" s="9" t="inlineStr">
        <is>
          <t>21/22</t>
        </is>
      </c>
      <c r="B386" s="10" t="inlineStr">
        <is>
          <t xml:space="preserve"> Dynafit</t>
        </is>
      </c>
      <c r="C386" s="11" t="inlineStr">
        <is>
          <t xml:space="preserve"> Seven Summits</t>
        </is>
      </c>
      <c r="D386" s="13" t="n">
        <v>166</v>
      </c>
      <c r="E386" s="11" t="inlineStr">
        <is>
          <t xml:space="preserve"> Unisex</t>
        </is>
      </c>
      <c r="F386" s="13" t="n">
        <v>166</v>
      </c>
      <c r="G386" s="13" t="n">
        <v>165.4</v>
      </c>
      <c r="H386" s="13" t="n">
        <v>132</v>
      </c>
      <c r="I386" s="13" t="n">
        <v>139</v>
      </c>
      <c r="J386" s="13" t="n">
        <v>113</v>
      </c>
      <c r="K386" s="13" t="n">
        <v>83</v>
      </c>
      <c r="L386" s="13" t="n">
        <v>103</v>
      </c>
      <c r="M386" s="13" t="n">
        <v>18.2</v>
      </c>
      <c r="N386" s="13" t="n">
        <v>1911</v>
      </c>
      <c r="O386" s="13" t="n">
        <v>0.8100000000000001</v>
      </c>
      <c r="P386" s="13" t="n">
        <v>1544</v>
      </c>
      <c r="Q386" s="13" t="n">
        <v>176</v>
      </c>
      <c r="R386" s="13" t="n">
        <v>72</v>
      </c>
      <c r="S386" s="13" t="n">
        <v>47</v>
      </c>
      <c r="T386" s="13" t="n">
        <v>247</v>
      </c>
      <c r="U386" s="13" t="n">
        <v>7</v>
      </c>
      <c r="V386" s="13" t="n">
        <v>84</v>
      </c>
      <c r="W386" s="13" t="n">
        <v>0.149</v>
      </c>
      <c r="X386" s="13" t="n">
        <v>185</v>
      </c>
      <c r="Y386" s="13" t="n">
        <v>79</v>
      </c>
      <c r="Z386" s="13" t="n">
        <v>62</v>
      </c>
      <c r="AA386" s="13" t="n">
        <v>6</v>
      </c>
      <c r="AB386" s="13" t="n">
        <v>11.8</v>
      </c>
      <c r="AC386" s="11" t="inlineStr">
        <is>
          <t xml:space="preserve"> On-Piste Carving</t>
        </is>
      </c>
      <c r="AD386" s="11" t="inlineStr">
        <is>
          <t xml:space="preserve"> On-Piste All-Mountain</t>
        </is>
      </c>
      <c r="AE386" s="11" t="inlineStr">
        <is>
          <t xml:space="preserve"> Resort Freeride</t>
        </is>
      </c>
      <c r="AF386" s="13" t="n"/>
      <c r="AG386" s="13" t="n"/>
    </row>
    <row r="387">
      <c r="A387" s="9" t="inlineStr">
        <is>
          <t>21/22</t>
        </is>
      </c>
      <c r="B387" s="10" t="inlineStr">
        <is>
          <t xml:space="preserve"> Dynafit</t>
        </is>
      </c>
      <c r="C387" s="11" t="inlineStr">
        <is>
          <t xml:space="preserve"> Seven Summits</t>
        </is>
      </c>
      <c r="D387" s="13" t="n">
        <v>174</v>
      </c>
      <c r="E387" s="11" t="inlineStr">
        <is>
          <t xml:space="preserve"> Unisex</t>
        </is>
      </c>
      <c r="F387" s="13" t="n">
        <v>174</v>
      </c>
      <c r="G387" s="13" t="n">
        <v>173.4</v>
      </c>
      <c r="H387" s="13" t="n">
        <v>138</v>
      </c>
      <c r="I387" s="13" t="n">
        <v>146</v>
      </c>
      <c r="J387" s="13" t="n">
        <v>115</v>
      </c>
      <c r="K387" s="13" t="n">
        <v>84</v>
      </c>
      <c r="L387" s="13" t="n">
        <v>104</v>
      </c>
      <c r="M387" s="13" t="n">
        <v>19.8</v>
      </c>
      <c r="N387" s="13" t="n">
        <v>1961</v>
      </c>
      <c r="O387" s="13" t="n">
        <v>0.84</v>
      </c>
      <c r="P387" s="13" t="n">
        <v>1638</v>
      </c>
      <c r="Q387" s="13" t="n">
        <v>211</v>
      </c>
      <c r="R387" s="13" t="n">
        <v>82</v>
      </c>
      <c r="S387" s="13" t="n">
        <v>50</v>
      </c>
      <c r="T387" s="13" t="n">
        <v>261</v>
      </c>
      <c r="U387" s="13" t="n">
        <v>8</v>
      </c>
      <c r="V387" s="13" t="n">
        <v>93</v>
      </c>
      <c r="W387" s="13" t="n">
        <v>0.165</v>
      </c>
      <c r="X387" s="13" t="n">
        <v>196</v>
      </c>
      <c r="Y387" s="13" t="n">
        <v>83</v>
      </c>
      <c r="Z387" s="13" t="n">
        <v>65</v>
      </c>
      <c r="AA387" s="13" t="n">
        <v>5</v>
      </c>
      <c r="AB387" s="13" t="n">
        <v>11.8</v>
      </c>
      <c r="AC387" s="11" t="inlineStr">
        <is>
          <t xml:space="preserve"> On-Piste Carving</t>
        </is>
      </c>
      <c r="AD387" s="11" t="inlineStr">
        <is>
          <t xml:space="preserve"> On-Piste All-Mountain</t>
        </is>
      </c>
      <c r="AE387" s="11" t="inlineStr">
        <is>
          <t xml:space="preserve"> Resort Freeride</t>
        </is>
      </c>
      <c r="AF387" s="13" t="n"/>
      <c r="AG387" s="13" t="n"/>
    </row>
    <row r="388">
      <c r="A388" s="9" t="inlineStr">
        <is>
          <t>21/22</t>
        </is>
      </c>
      <c r="B388" s="10" t="inlineStr">
        <is>
          <t xml:space="preserve"> Dynastar</t>
        </is>
      </c>
      <c r="C388" s="11" t="inlineStr">
        <is>
          <t>E Lite 7</t>
        </is>
      </c>
      <c r="D388" s="13" t="n">
        <v>162</v>
      </c>
      <c r="E388" s="11" t="inlineStr">
        <is>
          <t xml:space="preserve"> Women's</t>
        </is>
      </c>
      <c r="F388" s="13" t="n">
        <v>162</v>
      </c>
      <c r="G388" s="13" t="n">
        <v>162.2</v>
      </c>
      <c r="H388" s="13" t="n">
        <v>141</v>
      </c>
      <c r="I388" s="13" t="n">
        <v>148</v>
      </c>
      <c r="J388" s="13" t="n">
        <v>123</v>
      </c>
      <c r="K388" s="13" t="n">
        <v>74</v>
      </c>
      <c r="L388" s="13" t="n">
        <v>109</v>
      </c>
      <c r="M388" s="13" t="n">
        <v>13</v>
      </c>
      <c r="N388" s="13" t="n">
        <v>1591</v>
      </c>
      <c r="O388" s="13" t="n">
        <v>0.91</v>
      </c>
      <c r="P388" s="13" t="n">
        <v>1445</v>
      </c>
      <c r="Q388" s="13" t="n">
        <v>170</v>
      </c>
      <c r="R388" s="13" t="n">
        <v>62</v>
      </c>
      <c r="S388" s="13" t="n">
        <v>43</v>
      </c>
      <c r="T388" s="13" t="n">
        <v>153</v>
      </c>
      <c r="U388" s="13" t="n">
        <v>4</v>
      </c>
      <c r="V388" s="13" t="n">
        <v>54</v>
      </c>
      <c r="W388" s="13" t="n">
        <v>0.102</v>
      </c>
      <c r="X388" s="13" t="n">
        <v>80</v>
      </c>
      <c r="Y388" s="13" t="n">
        <v>59</v>
      </c>
      <c r="Z388" s="13" t="n">
        <v>73</v>
      </c>
      <c r="AA388" s="13" t="n">
        <v>12</v>
      </c>
      <c r="AB388" s="13" t="n">
        <v>10.1</v>
      </c>
      <c r="AC388" s="11" t="inlineStr">
        <is>
          <t xml:space="preserve"> On-Piste Carving</t>
        </is>
      </c>
      <c r="AD388" s="13" t="n"/>
      <c r="AE388" s="13" t="n"/>
      <c r="AF388" s="13" t="n"/>
      <c r="AG388" s="13" t="n"/>
    </row>
    <row r="389">
      <c r="A389" s="9" t="inlineStr">
        <is>
          <t>21/22</t>
        </is>
      </c>
      <c r="B389" s="10" t="inlineStr">
        <is>
          <t xml:space="preserve"> Dynastar</t>
        </is>
      </c>
      <c r="C389" s="11" t="inlineStr">
        <is>
          <t>M-Free 108</t>
        </is>
      </c>
      <c r="D389" s="13" t="n">
        <v>172</v>
      </c>
      <c r="E389" s="11" t="inlineStr">
        <is>
          <t xml:space="preserve"> Unisex</t>
        </is>
      </c>
      <c r="F389" s="13" t="n">
        <v>172</v>
      </c>
      <c r="G389" s="13" t="n">
        <v>170</v>
      </c>
      <c r="H389" s="13" t="n">
        <v>107</v>
      </c>
      <c r="I389" s="13" t="n">
        <v>133</v>
      </c>
      <c r="J389" s="13" t="n">
        <v>137</v>
      </c>
      <c r="K389" s="13" t="n">
        <v>107</v>
      </c>
      <c r="L389" s="13" t="n">
        <v>127</v>
      </c>
      <c r="M389" s="13" t="n">
        <v>15.1</v>
      </c>
      <c r="N389" s="13" t="n">
        <v>1972</v>
      </c>
      <c r="O389" s="13" t="n">
        <v>1.01</v>
      </c>
      <c r="P389" s="13" t="n">
        <v>1986</v>
      </c>
      <c r="Q389" s="13" t="n">
        <v>197</v>
      </c>
      <c r="R389" s="13" t="n">
        <v>95</v>
      </c>
      <c r="S389" s="13" t="n">
        <v>57</v>
      </c>
      <c r="T389" s="13" t="n">
        <v>334</v>
      </c>
      <c r="U389" s="13" t="n">
        <v>40</v>
      </c>
      <c r="V389" s="13" t="n">
        <v>300</v>
      </c>
      <c r="W389" s="13" t="n">
        <v>0.699</v>
      </c>
      <c r="X389" s="13" t="n">
        <v>198</v>
      </c>
      <c r="Y389" s="13" t="n">
        <v>172</v>
      </c>
      <c r="Z389" s="13" t="n">
        <v>135</v>
      </c>
      <c r="AA389" s="13" t="n">
        <v>7</v>
      </c>
      <c r="AB389" s="13" t="n">
        <v>7.4</v>
      </c>
      <c r="AC389" s="11" t="inlineStr">
        <is>
          <t xml:space="preserve"> Powder</t>
        </is>
      </c>
      <c r="AD389" s="13" t="n"/>
      <c r="AE389" s="13" t="n"/>
      <c r="AF389" s="13" t="n"/>
      <c r="AG389" s="13" t="n"/>
    </row>
    <row r="390">
      <c r="A390" s="9" t="inlineStr">
        <is>
          <t>21/22</t>
        </is>
      </c>
      <c r="B390" s="10" t="inlineStr">
        <is>
          <t xml:space="preserve"> Dynastar</t>
        </is>
      </c>
      <c r="C390" s="11" t="inlineStr">
        <is>
          <t>M-Free 108</t>
        </is>
      </c>
      <c r="D390" s="13" t="n">
        <v>182</v>
      </c>
      <c r="E390" s="11" t="inlineStr">
        <is>
          <t xml:space="preserve"> Unisex</t>
        </is>
      </c>
      <c r="F390" s="13" t="n">
        <v>182</v>
      </c>
      <c r="G390" s="13" t="n">
        <v>181.7</v>
      </c>
      <c r="H390" s="13" t="n">
        <v>116</v>
      </c>
      <c r="I390" s="13" t="n">
        <v>145</v>
      </c>
      <c r="J390" s="13" t="n">
        <v>136</v>
      </c>
      <c r="K390" s="13" t="n">
        <v>107</v>
      </c>
      <c r="L390" s="13" t="n">
        <v>127</v>
      </c>
      <c r="M390" s="13" t="n">
        <v>18.3</v>
      </c>
      <c r="N390" s="13" t="n">
        <v>2192</v>
      </c>
      <c r="O390" s="13" t="n">
        <v>0.97</v>
      </c>
      <c r="P390" s="13" t="n">
        <v>2122</v>
      </c>
      <c r="Q390" s="13" t="n">
        <v>260</v>
      </c>
      <c r="R390" s="13" t="n">
        <v>117</v>
      </c>
      <c r="S390" s="13" t="n">
        <v>58</v>
      </c>
      <c r="T390" s="13" t="n">
        <v>316</v>
      </c>
      <c r="U390" s="13" t="n">
        <v>41</v>
      </c>
      <c r="V390" s="13" t="n">
        <v>340</v>
      </c>
      <c r="W390" s="13" t="n">
        <v>0.716</v>
      </c>
      <c r="X390" s="13" t="n">
        <v>189</v>
      </c>
      <c r="Y390" s="13" t="n">
        <v>180</v>
      </c>
      <c r="Z390" s="13" t="n">
        <v>127</v>
      </c>
      <c r="AA390" s="13" t="n">
        <v>7</v>
      </c>
      <c r="AB390" s="13" t="n">
        <v>8.4</v>
      </c>
      <c r="AC390" s="11" t="inlineStr">
        <is>
          <t xml:space="preserve"> Powder</t>
        </is>
      </c>
      <c r="AD390" s="13" t="n"/>
      <c r="AE390" s="13" t="n"/>
      <c r="AF390" s="13" t="n"/>
      <c r="AG390" s="13" t="n"/>
    </row>
    <row r="391">
      <c r="A391" s="9" t="inlineStr">
        <is>
          <t>21/22</t>
        </is>
      </c>
      <c r="B391" s="10" t="inlineStr">
        <is>
          <t xml:space="preserve"> Dynastar</t>
        </is>
      </c>
      <c r="C391" s="11" t="inlineStr">
        <is>
          <t>M-Free 108</t>
        </is>
      </c>
      <c r="D391" s="13" t="n">
        <v>192</v>
      </c>
      <c r="E391" s="11" t="inlineStr">
        <is>
          <t xml:space="preserve"> Unisex</t>
        </is>
      </c>
      <c r="F391" s="13" t="n">
        <v>192</v>
      </c>
      <c r="G391" s="13" t="n">
        <v>191.8</v>
      </c>
      <c r="H391" s="13" t="n">
        <v>123</v>
      </c>
      <c r="I391" s="13" t="n">
        <v>152</v>
      </c>
      <c r="J391" s="13" t="n">
        <v>137</v>
      </c>
      <c r="K391" s="13" t="n">
        <v>107</v>
      </c>
      <c r="L391" s="13" t="n">
        <v>127</v>
      </c>
      <c r="M391" s="13" t="n">
        <v>20.5</v>
      </c>
      <c r="N391" s="13" t="n">
        <v>2330</v>
      </c>
      <c r="O391" s="13" t="n">
        <v>0.96</v>
      </c>
      <c r="P391" s="13" t="n">
        <v>2226</v>
      </c>
      <c r="Q391" s="13" t="n">
        <v>282</v>
      </c>
      <c r="R391" s="13" t="n">
        <v>151</v>
      </c>
      <c r="S391" s="13" t="n">
        <v>67</v>
      </c>
      <c r="T391" s="13" t="n">
        <v>362</v>
      </c>
      <c r="U391" s="13" t="n">
        <v>43</v>
      </c>
      <c r="V391" s="13" t="n">
        <v>329</v>
      </c>
      <c r="W391" s="13" t="n">
        <v>0.645</v>
      </c>
      <c r="X391" s="13" t="n">
        <v>216</v>
      </c>
      <c r="Y391" s="13" t="n">
        <v>181</v>
      </c>
      <c r="Z391" s="13" t="n">
        <v>145</v>
      </c>
      <c r="AA391" s="13" t="n">
        <v>10</v>
      </c>
      <c r="AB391" s="13" t="n">
        <v>8.699999999999999</v>
      </c>
      <c r="AC391" s="11" t="inlineStr">
        <is>
          <t xml:space="preserve"> Powder</t>
        </is>
      </c>
      <c r="AD391" s="13" t="n"/>
      <c r="AE391" s="13" t="n"/>
      <c r="AF391" s="13" t="n"/>
      <c r="AG391" s="13" t="n"/>
    </row>
    <row r="392">
      <c r="A392" s="9" t="inlineStr">
        <is>
          <t>21/22</t>
        </is>
      </c>
      <c r="B392" s="10" t="inlineStr">
        <is>
          <t xml:space="preserve"> Dynastar</t>
        </is>
      </c>
      <c r="C392" s="11" t="inlineStr">
        <is>
          <t>M-Free 118</t>
        </is>
      </c>
      <c r="D392" s="13" t="n">
        <v>180</v>
      </c>
      <c r="E392" s="11" t="inlineStr">
        <is>
          <t xml:space="preserve"> Unisex</t>
        </is>
      </c>
      <c r="F392" s="13" t="n">
        <v>180</v>
      </c>
      <c r="G392" s="13" t="n">
        <v>179.3</v>
      </c>
      <c r="H392" s="13" t="n">
        <v>117</v>
      </c>
      <c r="I392" s="13" t="n">
        <v>135</v>
      </c>
      <c r="J392" s="13" t="n">
        <v>144</v>
      </c>
      <c r="K392" s="13" t="n">
        <v>117</v>
      </c>
      <c r="L392" s="13" t="n">
        <v>134</v>
      </c>
      <c r="M392" s="13" t="n">
        <v>18.4</v>
      </c>
      <c r="N392" s="13" t="n">
        <v>2269</v>
      </c>
      <c r="O392" s="13" t="n">
        <v>0.99</v>
      </c>
      <c r="P392" s="13" t="n">
        <v>2240</v>
      </c>
      <c r="Q392" s="13" t="n">
        <v>226</v>
      </c>
      <c r="R392" s="13" t="n">
        <v>101</v>
      </c>
      <c r="S392" s="13" t="n">
        <v>56</v>
      </c>
      <c r="T392" s="13" t="n">
        <v>338</v>
      </c>
      <c r="U392" s="13" t="n">
        <v>32</v>
      </c>
      <c r="V392" s="13" t="n">
        <v>287</v>
      </c>
      <c r="W392" s="13" t="n">
        <v>0.577</v>
      </c>
      <c r="X392" s="13" t="n">
        <v>264</v>
      </c>
      <c r="Y392" s="13" t="n">
        <v>182</v>
      </c>
      <c r="Z392" s="13" t="n">
        <v>74</v>
      </c>
      <c r="AA392" s="13" t="n">
        <v>8</v>
      </c>
      <c r="AB392" s="13" t="n">
        <v>9.4</v>
      </c>
      <c r="AC392" s="11" t="inlineStr">
        <is>
          <t xml:space="preserve"> Powder</t>
        </is>
      </c>
      <c r="AD392" s="13" t="n"/>
      <c r="AE392" s="13" t="n"/>
      <c r="AF392" s="13" t="n"/>
      <c r="AG392" s="13" t="n"/>
    </row>
    <row r="393">
      <c r="A393" s="9" t="inlineStr">
        <is>
          <t>21/22</t>
        </is>
      </c>
      <c r="B393" s="10" t="inlineStr">
        <is>
          <t xml:space="preserve"> Dynastar</t>
        </is>
      </c>
      <c r="C393" s="11" t="inlineStr">
        <is>
          <t>M-Free 118</t>
        </is>
      </c>
      <c r="D393" s="13" t="n">
        <v>189</v>
      </c>
      <c r="E393" s="11" t="inlineStr">
        <is>
          <t xml:space="preserve"> Unisex</t>
        </is>
      </c>
      <c r="F393" s="13" t="n">
        <v>189</v>
      </c>
      <c r="G393" s="13" t="n">
        <v>186.9</v>
      </c>
      <c r="H393" s="13" t="n">
        <v>125</v>
      </c>
      <c r="I393" s="13" t="n">
        <v>141</v>
      </c>
      <c r="J393" s="13" t="n">
        <v>144</v>
      </c>
      <c r="K393" s="13" t="n">
        <v>117</v>
      </c>
      <c r="L393" s="13" t="n">
        <v>134</v>
      </c>
      <c r="M393" s="13" t="n">
        <v>20.9</v>
      </c>
      <c r="N393" s="13" t="n">
        <v>2472</v>
      </c>
      <c r="O393" s="13" t="n">
        <v>0.9399999999999999</v>
      </c>
      <c r="P393" s="13" t="n">
        <v>2327</v>
      </c>
      <c r="Q393" s="13" t="n">
        <v>237</v>
      </c>
      <c r="R393" s="13" t="n">
        <v>122</v>
      </c>
      <c r="S393" s="13" t="n">
        <v>61</v>
      </c>
      <c r="T393" s="13" t="n">
        <v>352</v>
      </c>
      <c r="U393" s="13" t="n">
        <v>30</v>
      </c>
      <c r="V393" s="13" t="n">
        <v>268</v>
      </c>
      <c r="W393" s="13" t="n">
        <v>0.488</v>
      </c>
      <c r="X393" s="13" t="n">
        <v>271</v>
      </c>
      <c r="Y393" s="13" t="n">
        <v>189</v>
      </c>
      <c r="Z393" s="13" t="n">
        <v>82</v>
      </c>
      <c r="AA393" s="13" t="n">
        <v>10</v>
      </c>
      <c r="AB393" s="13" t="n">
        <v>9.9</v>
      </c>
      <c r="AC393" s="11" t="inlineStr">
        <is>
          <t xml:space="preserve"> Powder</t>
        </is>
      </c>
      <c r="AD393" s="13" t="n"/>
      <c r="AE393" s="13" t="n"/>
      <c r="AF393" s="13" t="n"/>
      <c r="AG393" s="13" t="n"/>
    </row>
    <row r="394">
      <c r="A394" s="9" t="inlineStr">
        <is>
          <t>21/22</t>
        </is>
      </c>
      <c r="B394" s="10" t="inlineStr">
        <is>
          <t xml:space="preserve"> Dynastar</t>
        </is>
      </c>
      <c r="C394" s="11" t="inlineStr">
        <is>
          <t>M-Free 99</t>
        </is>
      </c>
      <c r="D394" s="13" t="n">
        <v>171</v>
      </c>
      <c r="E394" s="11" t="inlineStr">
        <is>
          <t xml:space="preserve"> Unisex</t>
        </is>
      </c>
      <c r="F394" s="13" t="n">
        <v>171</v>
      </c>
      <c r="G394" s="13" t="n">
        <v>170</v>
      </c>
      <c r="H394" s="13" t="n">
        <v>102</v>
      </c>
      <c r="I394" s="13" t="n">
        <v>136</v>
      </c>
      <c r="J394" s="13" t="n">
        <v>127</v>
      </c>
      <c r="K394" s="13" t="n">
        <v>96</v>
      </c>
      <c r="L394" s="13" t="n">
        <v>119</v>
      </c>
      <c r="M394" s="13" t="n">
        <v>14.8</v>
      </c>
      <c r="N394" s="13" t="n">
        <v>1768</v>
      </c>
      <c r="O394" s="13" t="n">
        <v>1.03</v>
      </c>
      <c r="P394" s="13" t="n">
        <v>1829</v>
      </c>
      <c r="Q394" s="13" t="n">
        <v>181</v>
      </c>
      <c r="R394" s="13" t="n">
        <v>91</v>
      </c>
      <c r="S394" s="13" t="n">
        <v>57</v>
      </c>
      <c r="T394" s="13" t="n">
        <v>342</v>
      </c>
      <c r="U394" s="13" t="n">
        <v>44</v>
      </c>
      <c r="V394" s="13" t="n">
        <v>339</v>
      </c>
      <c r="W394" s="13" t="n">
        <v>0.764</v>
      </c>
      <c r="X394" s="13" t="n">
        <v>199</v>
      </c>
      <c r="Y394" s="13" t="n">
        <v>144</v>
      </c>
      <c r="Z394" s="13" t="n">
        <v>143</v>
      </c>
      <c r="AA394" s="13" t="n">
        <v>6</v>
      </c>
      <c r="AB394" s="13" t="n">
        <v>7.3</v>
      </c>
      <c r="AC394" s="11" t="inlineStr">
        <is>
          <t xml:space="preserve"> Resort Freeride</t>
        </is>
      </c>
      <c r="AD394" s="13" t="n"/>
      <c r="AE394" s="13" t="n"/>
      <c r="AF394" s="13" t="n"/>
      <c r="AG394" s="13" t="n"/>
    </row>
    <row r="395">
      <c r="A395" s="9" t="inlineStr">
        <is>
          <t>21/22</t>
        </is>
      </c>
      <c r="B395" s="10" t="inlineStr">
        <is>
          <t xml:space="preserve"> Dynastar</t>
        </is>
      </c>
      <c r="C395" s="11" t="inlineStr">
        <is>
          <t>M-Free 99</t>
        </is>
      </c>
      <c r="D395" s="13" t="n">
        <v>179</v>
      </c>
      <c r="E395" s="11" t="inlineStr">
        <is>
          <t xml:space="preserve"> Unisex</t>
        </is>
      </c>
      <c r="F395" s="13" t="n">
        <v>179</v>
      </c>
      <c r="G395" s="13" t="n">
        <v>177.9</v>
      </c>
      <c r="H395" s="13" t="n">
        <v>110</v>
      </c>
      <c r="I395" s="13" t="n">
        <v>143</v>
      </c>
      <c r="J395" s="13" t="n">
        <v>127</v>
      </c>
      <c r="K395" s="13" t="n">
        <v>97</v>
      </c>
      <c r="L395" s="13" t="n">
        <v>119</v>
      </c>
      <c r="M395" s="13" t="n">
        <v>16.7</v>
      </c>
      <c r="N395" s="13" t="n">
        <v>1935</v>
      </c>
      <c r="O395" s="13" t="n">
        <v>0.99</v>
      </c>
      <c r="P395" s="13" t="n">
        <v>1914</v>
      </c>
      <c r="Q395" s="13" t="n">
        <v>228</v>
      </c>
      <c r="R395" s="13" t="n">
        <v>106</v>
      </c>
      <c r="S395" s="13" t="n">
        <v>54</v>
      </c>
      <c r="T395" s="13" t="n">
        <v>335</v>
      </c>
      <c r="U395" s="13" t="n">
        <v>46</v>
      </c>
      <c r="V395" s="13" t="n">
        <v>343</v>
      </c>
      <c r="W395" s="13" t="n">
        <v>0.852</v>
      </c>
      <c r="X395" s="13" t="n">
        <v>198</v>
      </c>
      <c r="Y395" s="13" t="n">
        <v>155</v>
      </c>
      <c r="Z395" s="13" t="n">
        <v>137</v>
      </c>
      <c r="AA395" s="13" t="n">
        <v>7</v>
      </c>
      <c r="AB395" s="13" t="n">
        <v>8</v>
      </c>
      <c r="AC395" s="11" t="inlineStr">
        <is>
          <t xml:space="preserve"> Resort Freeride</t>
        </is>
      </c>
      <c r="AD395" s="11" t="inlineStr">
        <is>
          <t xml:space="preserve"> Freeski</t>
        </is>
      </c>
      <c r="AE395" s="13" t="n"/>
      <c r="AF395" s="13" t="n"/>
      <c r="AG395" s="13" t="n"/>
    </row>
    <row r="396">
      <c r="A396" s="9" t="inlineStr">
        <is>
          <t>21/22</t>
        </is>
      </c>
      <c r="B396" s="10" t="inlineStr">
        <is>
          <t xml:space="preserve"> Dynastar</t>
        </is>
      </c>
      <c r="C396" s="11" t="inlineStr">
        <is>
          <t>M-Free 99</t>
        </is>
      </c>
      <c r="D396" s="13" t="n">
        <v>185</v>
      </c>
      <c r="E396" s="11" t="inlineStr">
        <is>
          <t xml:space="preserve"> Unisex</t>
        </is>
      </c>
      <c r="F396" s="13" t="n">
        <v>185</v>
      </c>
      <c r="G396" s="13" t="n">
        <v>184.2</v>
      </c>
      <c r="H396" s="13" t="n">
        <v>112</v>
      </c>
      <c r="I396" s="13" t="n">
        <v>149</v>
      </c>
      <c r="J396" s="13" t="n">
        <v>127</v>
      </c>
      <c r="K396" s="13" t="n">
        <v>96</v>
      </c>
      <c r="L396" s="13" t="n">
        <v>119</v>
      </c>
      <c r="M396" s="13" t="n">
        <v>17.9</v>
      </c>
      <c r="N396" s="13" t="n">
        <v>1999</v>
      </c>
      <c r="O396" s="13" t="n">
        <v>0.98</v>
      </c>
      <c r="P396" s="13" t="n">
        <v>1968</v>
      </c>
      <c r="Q396" s="13" t="n">
        <v>242</v>
      </c>
      <c r="R396" s="13" t="n">
        <v>114</v>
      </c>
      <c r="S396" s="13" t="n">
        <v>59</v>
      </c>
      <c r="T396" s="13" t="n">
        <v>341</v>
      </c>
      <c r="U396" s="13" t="n">
        <v>60</v>
      </c>
      <c r="V396" s="13" t="n">
        <v>382</v>
      </c>
      <c r="W396" s="13" t="n">
        <v>1.028</v>
      </c>
      <c r="X396" s="13" t="n">
        <v>184</v>
      </c>
      <c r="Y396" s="13" t="n">
        <v>170</v>
      </c>
      <c r="Z396" s="13" t="n">
        <v>157</v>
      </c>
      <c r="AA396" s="13" t="n">
        <v>7</v>
      </c>
      <c r="AB396" s="13" t="n">
        <v>6.5</v>
      </c>
      <c r="AC396" s="11" t="inlineStr">
        <is>
          <t xml:space="preserve"> Freeski</t>
        </is>
      </c>
      <c r="AD396" s="13" t="n"/>
      <c r="AE396" s="13" t="n"/>
      <c r="AF396" s="13" t="n"/>
      <c r="AG396" s="13" t="n"/>
    </row>
    <row r="397">
      <c r="A397" s="9" t="inlineStr">
        <is>
          <t>21/22</t>
        </is>
      </c>
      <c r="B397" s="10" t="inlineStr">
        <is>
          <t xml:space="preserve"> Dynastar</t>
        </is>
      </c>
      <c r="C397" s="11" t="inlineStr">
        <is>
          <t>M-Menace 90</t>
        </is>
      </c>
      <c r="D397" s="13" t="n">
        <v>140</v>
      </c>
      <c r="E397" s="11" t="inlineStr">
        <is>
          <t xml:space="preserve"> Unisex</t>
        </is>
      </c>
      <c r="F397" s="13" t="n">
        <v>140</v>
      </c>
      <c r="G397" s="13" t="n">
        <v>138.6</v>
      </c>
      <c r="H397" s="13" t="n">
        <v>90</v>
      </c>
      <c r="I397" s="13" t="n">
        <v>115</v>
      </c>
      <c r="J397" s="13" t="n">
        <v>117</v>
      </c>
      <c r="K397" s="13" t="n">
        <v>89</v>
      </c>
      <c r="L397" s="13" t="n">
        <v>107</v>
      </c>
      <c r="M397" s="13" t="n">
        <v>13.4</v>
      </c>
      <c r="N397" s="13" t="n">
        <v>1412</v>
      </c>
      <c r="O397" s="13" t="n">
        <v>0.96</v>
      </c>
      <c r="P397" s="13" t="n">
        <v>1359</v>
      </c>
      <c r="Q397" s="13" t="n">
        <v>153</v>
      </c>
      <c r="R397" s="13" t="n">
        <v>67</v>
      </c>
      <c r="S397" s="13" t="n">
        <v>49</v>
      </c>
      <c r="T397" s="13" t="n">
        <v>259</v>
      </c>
      <c r="U397" s="13" t="n">
        <v>33</v>
      </c>
      <c r="V397" s="13" t="n">
        <v>223</v>
      </c>
      <c r="W397" s="13" t="n">
        <v>0.67</v>
      </c>
      <c r="X397" s="13" t="n">
        <v>114</v>
      </c>
      <c r="Y397" s="13" t="n">
        <v>124</v>
      </c>
      <c r="Z397" s="13" t="n">
        <v>145</v>
      </c>
      <c r="AA397" s="13" t="n">
        <v>5</v>
      </c>
      <c r="AB397" s="13" t="n">
        <v>6.8</v>
      </c>
      <c r="AC397" s="11" t="inlineStr">
        <is>
          <t xml:space="preserve"> Resort Freeride</t>
        </is>
      </c>
      <c r="AD397" s="13" t="n"/>
      <c r="AE397" s="13" t="n"/>
      <c r="AF397" s="13" t="n"/>
      <c r="AG397" s="13" t="n"/>
    </row>
    <row r="398">
      <c r="A398" s="9" t="inlineStr">
        <is>
          <t>21/22</t>
        </is>
      </c>
      <c r="B398" s="10" t="inlineStr">
        <is>
          <t xml:space="preserve"> Dynastar</t>
        </is>
      </c>
      <c r="C398" s="11" t="inlineStr">
        <is>
          <t>M-Menace 90</t>
        </is>
      </c>
      <c r="D398" s="13" t="n">
        <v>150</v>
      </c>
      <c r="E398" s="11" t="inlineStr">
        <is>
          <t xml:space="preserve"> Unisex</t>
        </is>
      </c>
      <c r="F398" s="13" t="n">
        <v>150</v>
      </c>
      <c r="G398" s="13" t="n">
        <v>148.5</v>
      </c>
      <c r="H398" s="13" t="n">
        <v>100</v>
      </c>
      <c r="I398" s="13" t="n">
        <v>123</v>
      </c>
      <c r="J398" s="13" t="n">
        <v>118</v>
      </c>
      <c r="K398" s="13" t="n">
        <v>89</v>
      </c>
      <c r="L398" s="13" t="n">
        <v>107</v>
      </c>
      <c r="M398" s="13" t="n">
        <v>17</v>
      </c>
      <c r="N398" s="13" t="n">
        <v>1464</v>
      </c>
      <c r="O398" s="13" t="n">
        <v>0.99</v>
      </c>
      <c r="P398" s="13" t="n">
        <v>1453</v>
      </c>
      <c r="Q398" s="13" t="n">
        <v>149</v>
      </c>
      <c r="R398" s="13" t="n">
        <v>60</v>
      </c>
      <c r="S398" s="13" t="n">
        <v>50</v>
      </c>
      <c r="T398" s="13" t="n">
        <v>258</v>
      </c>
      <c r="U398" s="13" t="n">
        <v>31</v>
      </c>
      <c r="V398" s="13" t="n">
        <v>227</v>
      </c>
      <c r="W398" s="13" t="n">
        <v>0.63</v>
      </c>
      <c r="X398" s="13" t="n">
        <v>126</v>
      </c>
      <c r="Y398" s="13" t="n">
        <v>132</v>
      </c>
      <c r="Z398" s="13" t="n">
        <v>132</v>
      </c>
      <c r="AA398" s="13" t="n">
        <v>5</v>
      </c>
      <c r="AB398" s="13" t="n">
        <v>6.8</v>
      </c>
      <c r="AC398" s="11" t="inlineStr">
        <is>
          <t xml:space="preserve"> Resort Freeride</t>
        </is>
      </c>
      <c r="AD398" s="13" t="n"/>
      <c r="AE398" s="13" t="n"/>
      <c r="AF398" s="13" t="n"/>
      <c r="AG398" s="13" t="n"/>
    </row>
    <row r="399">
      <c r="A399" s="9" t="inlineStr">
        <is>
          <t>21/22</t>
        </is>
      </c>
      <c r="B399" s="10" t="inlineStr">
        <is>
          <t xml:space="preserve"> Dynastar</t>
        </is>
      </c>
      <c r="C399" s="11" t="inlineStr">
        <is>
          <t>M-Menace 90</t>
        </is>
      </c>
      <c r="D399" s="13" t="n">
        <v>160</v>
      </c>
      <c r="E399" s="11" t="inlineStr">
        <is>
          <t xml:space="preserve"> Unisex</t>
        </is>
      </c>
      <c r="F399" s="13" t="n">
        <v>160</v>
      </c>
      <c r="G399" s="13" t="n">
        <v>158.5</v>
      </c>
      <c r="H399" s="13" t="n">
        <v>112</v>
      </c>
      <c r="I399" s="13" t="n">
        <v>134</v>
      </c>
      <c r="J399" s="13" t="n">
        <v>117</v>
      </c>
      <c r="K399" s="13" t="n">
        <v>89</v>
      </c>
      <c r="L399" s="13" t="n">
        <v>107</v>
      </c>
      <c r="M399" s="13" t="n">
        <v>20.5</v>
      </c>
      <c r="N399" s="13" t="n">
        <v>1535</v>
      </c>
      <c r="O399" s="13" t="n">
        <v>1.01</v>
      </c>
      <c r="P399" s="13" t="n">
        <v>1545</v>
      </c>
      <c r="Q399" s="13" t="n">
        <v>157</v>
      </c>
      <c r="R399" s="13" t="n">
        <v>59</v>
      </c>
      <c r="S399" s="13" t="n">
        <v>48</v>
      </c>
      <c r="T399" s="13" t="n">
        <v>257</v>
      </c>
      <c r="U399" s="13" t="n">
        <v>29</v>
      </c>
      <c r="V399" s="13" t="n">
        <v>212</v>
      </c>
      <c r="W399" s="13" t="n">
        <v>0.601</v>
      </c>
      <c r="X399" s="13" t="n">
        <v>117</v>
      </c>
      <c r="Y399" s="13" t="n">
        <v>126</v>
      </c>
      <c r="Z399" s="13" t="n">
        <v>140</v>
      </c>
      <c r="AA399" s="13" t="n">
        <v>5</v>
      </c>
      <c r="AB399" s="13" t="n">
        <v>7.2</v>
      </c>
      <c r="AC399" s="11" t="inlineStr">
        <is>
          <t xml:space="preserve"> Resort Freeride</t>
        </is>
      </c>
      <c r="AD399" s="13" t="n"/>
      <c r="AE399" s="13" t="n"/>
      <c r="AF399" s="13" t="n"/>
      <c r="AG399" s="13" t="n"/>
    </row>
    <row r="400">
      <c r="A400" s="9" t="inlineStr">
        <is>
          <t>21/22</t>
        </is>
      </c>
      <c r="B400" s="10" t="inlineStr">
        <is>
          <t xml:space="preserve"> Dynastar</t>
        </is>
      </c>
      <c r="C400" s="11" t="inlineStr">
        <is>
          <t>M-Menace 90</t>
        </is>
      </c>
      <c r="D400" s="13" t="n">
        <v>170</v>
      </c>
      <c r="E400" s="11" t="inlineStr">
        <is>
          <t xml:space="preserve"> Unisex</t>
        </is>
      </c>
      <c r="F400" s="13" t="n">
        <v>170</v>
      </c>
      <c r="G400" s="13" t="n">
        <v>168.5</v>
      </c>
      <c r="H400" s="13" t="n">
        <v>121</v>
      </c>
      <c r="I400" s="13" t="n">
        <v>142</v>
      </c>
      <c r="J400" s="13" t="n">
        <v>118</v>
      </c>
      <c r="K400" s="13" t="n">
        <v>91</v>
      </c>
      <c r="L400" s="13" t="n">
        <v>108</v>
      </c>
      <c r="M400" s="13" t="n">
        <v>22.3</v>
      </c>
      <c r="N400" s="13" t="n">
        <v>1662</v>
      </c>
      <c r="O400" s="13" t="n">
        <v>1.01</v>
      </c>
      <c r="P400" s="13" t="n">
        <v>1679</v>
      </c>
      <c r="Q400" s="13" t="n">
        <v>187</v>
      </c>
      <c r="R400" s="13" t="n">
        <v>74</v>
      </c>
      <c r="S400" s="13" t="n">
        <v>50</v>
      </c>
      <c r="T400" s="13" t="n">
        <v>249</v>
      </c>
      <c r="U400" s="13" t="n">
        <v>32</v>
      </c>
      <c r="V400" s="13" t="n">
        <v>223</v>
      </c>
      <c r="W400" s="13" t="n">
        <v>0.638</v>
      </c>
      <c r="X400" s="13" t="n">
        <v>132</v>
      </c>
      <c r="Y400" s="13" t="n">
        <v>134</v>
      </c>
      <c r="Z400" s="13" t="n">
        <v>118</v>
      </c>
      <c r="AA400" s="13" t="n">
        <v>8</v>
      </c>
      <c r="AB400" s="13" t="n">
        <v>7.4</v>
      </c>
      <c r="AC400" s="11" t="inlineStr">
        <is>
          <t xml:space="preserve"> Resort Freeride</t>
        </is>
      </c>
      <c r="AD400" s="13" t="n"/>
      <c r="AE400" s="13" t="n"/>
      <c r="AF400" s="13" t="n"/>
      <c r="AG400" s="13" t="n"/>
    </row>
    <row r="401">
      <c r="A401" s="9" t="inlineStr">
        <is>
          <t>21/22</t>
        </is>
      </c>
      <c r="B401" s="10" t="inlineStr">
        <is>
          <t xml:space="preserve"> Dynastar</t>
        </is>
      </c>
      <c r="C401" s="11" t="inlineStr">
        <is>
          <t>M-Pro 84</t>
        </is>
      </c>
      <c r="D401" s="13" t="n">
        <v>170</v>
      </c>
      <c r="E401" s="11" t="inlineStr">
        <is>
          <t xml:space="preserve"> Unisex</t>
        </is>
      </c>
      <c r="F401" s="13" t="n">
        <v>170</v>
      </c>
      <c r="G401" s="13" t="n">
        <v>171.1</v>
      </c>
      <c r="H401" s="13" t="n">
        <v>139</v>
      </c>
      <c r="I401" s="13" t="n">
        <v>140</v>
      </c>
      <c r="J401" s="13" t="n">
        <v>121</v>
      </c>
      <c r="K401" s="13" t="n">
        <v>82</v>
      </c>
      <c r="L401" s="13" t="n">
        <v>103</v>
      </c>
      <c r="M401" s="13" t="n">
        <v>15.6</v>
      </c>
      <c r="N401" s="13" t="n">
        <v>1610</v>
      </c>
      <c r="O401" s="13" t="n">
        <v>1</v>
      </c>
      <c r="P401" s="13" t="n">
        <v>1615</v>
      </c>
      <c r="Q401" s="13" t="n">
        <v>186</v>
      </c>
      <c r="R401" s="13" t="n">
        <v>84</v>
      </c>
      <c r="S401" s="13" t="n">
        <v>41</v>
      </c>
      <c r="T401" s="13" t="n">
        <v>260</v>
      </c>
      <c r="U401" s="13" t="n">
        <v>5</v>
      </c>
      <c r="V401" s="13" t="n">
        <v>59</v>
      </c>
      <c r="W401" s="13" t="n">
        <v>0.115</v>
      </c>
      <c r="X401" s="13" t="n">
        <v>164</v>
      </c>
      <c r="Y401" s="13" t="n">
        <v>148</v>
      </c>
      <c r="Z401" s="13" t="n">
        <v>96</v>
      </c>
      <c r="AA401" s="13" t="n">
        <v>11</v>
      </c>
      <c r="AB401" s="13" t="n">
        <v>6.2</v>
      </c>
      <c r="AC401" s="11" t="inlineStr">
        <is>
          <t xml:space="preserve"> On-Piste All-Mountain</t>
        </is>
      </c>
      <c r="AD401" s="11" t="inlineStr">
        <is>
          <t xml:space="preserve"> Resort Freeride</t>
        </is>
      </c>
      <c r="AE401" s="13" t="n"/>
      <c r="AF401" s="13" t="n"/>
      <c r="AG401" s="13" t="n"/>
    </row>
    <row r="402">
      <c r="A402" s="9" t="inlineStr">
        <is>
          <t>21/22</t>
        </is>
      </c>
      <c r="B402" s="10" t="inlineStr">
        <is>
          <t xml:space="preserve"> Dynastar</t>
        </is>
      </c>
      <c r="C402" s="11" t="inlineStr">
        <is>
          <t>M-Pro 84</t>
        </is>
      </c>
      <c r="D402" s="13" t="n">
        <v>177</v>
      </c>
      <c r="E402" s="11" t="inlineStr">
        <is>
          <t xml:space="preserve"> Unisex</t>
        </is>
      </c>
      <c r="F402" s="13" t="n">
        <v>177</v>
      </c>
      <c r="G402" s="13" t="n">
        <v>177</v>
      </c>
      <c r="H402" s="13" t="n">
        <v>146</v>
      </c>
      <c r="I402" s="13" t="n">
        <v>143</v>
      </c>
      <c r="J402" s="13" t="n">
        <v>120</v>
      </c>
      <c r="K402" s="13" t="n">
        <v>82</v>
      </c>
      <c r="L402" s="13" t="n">
        <v>105</v>
      </c>
      <c r="M402" s="13" t="n">
        <v>16.4</v>
      </c>
      <c r="N402" s="13" t="n">
        <v>1760</v>
      </c>
      <c r="O402" s="13" t="n">
        <v>0.95</v>
      </c>
      <c r="P402" s="13" t="n">
        <v>1670</v>
      </c>
      <c r="Q402" s="13" t="n">
        <v>223</v>
      </c>
      <c r="R402" s="13" t="n">
        <v>99</v>
      </c>
      <c r="S402" s="13" t="n">
        <v>40</v>
      </c>
      <c r="T402" s="13" t="n">
        <v>252</v>
      </c>
      <c r="U402" s="13" t="n">
        <v>5</v>
      </c>
      <c r="V402" s="13" t="n">
        <v>63</v>
      </c>
      <c r="W402" s="13" t="n">
        <v>0.137</v>
      </c>
      <c r="X402" s="13" t="n">
        <v>167</v>
      </c>
      <c r="Y402" s="13" t="n">
        <v>175</v>
      </c>
      <c r="Z402" s="13" t="n">
        <v>85</v>
      </c>
      <c r="AA402" s="13" t="n">
        <v>9</v>
      </c>
      <c r="AB402" s="13" t="n">
        <v>6.6</v>
      </c>
      <c r="AC402" s="11" t="inlineStr">
        <is>
          <t xml:space="preserve"> On-Piste Carving</t>
        </is>
      </c>
      <c r="AD402" s="11" t="inlineStr">
        <is>
          <t xml:space="preserve"> On-Piste All-Mountain</t>
        </is>
      </c>
      <c r="AE402" s="11" t="inlineStr">
        <is>
          <t xml:space="preserve"> Resort Freeride</t>
        </is>
      </c>
      <c r="AF402" s="13" t="n"/>
      <c r="AG402" s="13" t="n"/>
    </row>
    <row r="403">
      <c r="A403" s="9" t="inlineStr">
        <is>
          <t>21/22</t>
        </is>
      </c>
      <c r="B403" s="10" t="inlineStr">
        <is>
          <t xml:space="preserve"> Dynastar</t>
        </is>
      </c>
      <c r="C403" s="11" t="inlineStr">
        <is>
          <t>M-Pro 84</t>
        </is>
      </c>
      <c r="D403" s="13" t="n">
        <v>184</v>
      </c>
      <c r="E403" s="11" t="inlineStr">
        <is>
          <t xml:space="preserve"> Unisex</t>
        </is>
      </c>
      <c r="F403" s="13" t="n">
        <v>184</v>
      </c>
      <c r="G403" s="13" t="n">
        <v>184.4</v>
      </c>
      <c r="H403" s="13" t="n">
        <v>153</v>
      </c>
      <c r="I403" s="13" t="n">
        <v>152</v>
      </c>
      <c r="J403" s="13" t="n">
        <v>121</v>
      </c>
      <c r="K403" s="13" t="n">
        <v>82</v>
      </c>
      <c r="L403" s="13" t="n">
        <v>104</v>
      </c>
      <c r="M403" s="13" t="n">
        <v>18.6</v>
      </c>
      <c r="N403" s="13" t="n">
        <v>1884</v>
      </c>
      <c r="O403" s="13" t="n">
        <v>0.92</v>
      </c>
      <c r="P403" s="13" t="n">
        <v>1740</v>
      </c>
      <c r="Q403" s="13" t="n">
        <v>239</v>
      </c>
      <c r="R403" s="13" t="n">
        <v>113</v>
      </c>
      <c r="S403" s="13" t="n">
        <v>39</v>
      </c>
      <c r="T403" s="13" t="n">
        <v>249</v>
      </c>
      <c r="U403" s="13" t="n">
        <v>6</v>
      </c>
      <c r="V403" s="13" t="n">
        <v>65</v>
      </c>
      <c r="W403" s="13" t="n">
        <v>0.145</v>
      </c>
      <c r="X403" s="13" t="n">
        <v>164</v>
      </c>
      <c r="Y403" s="13" t="n">
        <v>162</v>
      </c>
      <c r="Z403" s="13" t="n">
        <v>85</v>
      </c>
      <c r="AA403" s="13" t="n">
        <v>10</v>
      </c>
      <c r="AB403" s="13" t="n">
        <v>6.9</v>
      </c>
      <c r="AC403" s="11" t="inlineStr">
        <is>
          <t xml:space="preserve"> On-Piste Carving</t>
        </is>
      </c>
      <c r="AD403" s="11" t="inlineStr">
        <is>
          <t xml:space="preserve"> On-Piste All-Mountain</t>
        </is>
      </c>
      <c r="AE403" s="11" t="inlineStr">
        <is>
          <t xml:space="preserve"> Resort Freeride</t>
        </is>
      </c>
      <c r="AF403" s="13" t="n"/>
      <c r="AG403" s="13" t="n"/>
    </row>
    <row r="404">
      <c r="A404" s="9" t="inlineStr">
        <is>
          <t>21/22</t>
        </is>
      </c>
      <c r="B404" s="10" t="inlineStr">
        <is>
          <t xml:space="preserve"> Dynastar</t>
        </is>
      </c>
      <c r="C404" s="11" t="inlineStr">
        <is>
          <t>M-Pro 84 W</t>
        </is>
      </c>
      <c r="D404" s="13" t="n">
        <v>149</v>
      </c>
      <c r="E404" s="11" t="inlineStr">
        <is>
          <t xml:space="preserve"> Women's</t>
        </is>
      </c>
      <c r="F404" s="13" t="n">
        <v>149</v>
      </c>
      <c r="G404" s="13" t="n">
        <v>148.7</v>
      </c>
      <c r="H404" s="13" t="n">
        <v>116</v>
      </c>
      <c r="I404" s="13" t="n">
        <v>119</v>
      </c>
      <c r="J404" s="13" t="n">
        <v>121</v>
      </c>
      <c r="K404" s="13" t="n">
        <v>82</v>
      </c>
      <c r="L404" s="13" t="n">
        <v>103</v>
      </c>
      <c r="M404" s="13" t="n">
        <v>10.8</v>
      </c>
      <c r="N404" s="13" t="n">
        <v>1401</v>
      </c>
      <c r="O404" s="13" t="n">
        <v>1.01</v>
      </c>
      <c r="P404" s="13" t="n">
        <v>1409</v>
      </c>
      <c r="Q404" s="13" t="n">
        <v>162</v>
      </c>
      <c r="R404" s="13" t="n">
        <v>78</v>
      </c>
      <c r="S404" s="13" t="n">
        <v>41</v>
      </c>
      <c r="T404" s="13" t="n">
        <v>266</v>
      </c>
      <c r="U404" s="13" t="n">
        <v>5</v>
      </c>
      <c r="V404" s="13" t="n">
        <v>60</v>
      </c>
      <c r="W404" s="13" t="n">
        <v>0.113</v>
      </c>
      <c r="X404" s="13" t="n">
        <v>156</v>
      </c>
      <c r="Y404" s="13" t="n">
        <v>140</v>
      </c>
      <c r="Z404" s="13" t="n">
        <v>110</v>
      </c>
      <c r="AA404" s="13" t="n">
        <v>8</v>
      </c>
      <c r="AB404" s="13" t="n">
        <v>6</v>
      </c>
      <c r="AC404" s="11" t="inlineStr">
        <is>
          <t xml:space="preserve"> On-Piste All-Mountain</t>
        </is>
      </c>
      <c r="AD404" s="11" t="inlineStr">
        <is>
          <t xml:space="preserve"> Resort Freeride</t>
        </is>
      </c>
      <c r="AE404" s="13" t="n"/>
      <c r="AF404" s="13" t="n"/>
      <c r="AG404" s="13" t="n"/>
    </row>
    <row r="405">
      <c r="A405" s="9" t="inlineStr">
        <is>
          <t>21/22</t>
        </is>
      </c>
      <c r="B405" s="10" t="inlineStr">
        <is>
          <t xml:space="preserve"> Dynastar</t>
        </is>
      </c>
      <c r="C405" s="11" t="inlineStr">
        <is>
          <t>M-Pro 84 W</t>
        </is>
      </c>
      <c r="D405" s="13" t="n">
        <v>156</v>
      </c>
      <c r="E405" s="11" t="inlineStr">
        <is>
          <t xml:space="preserve"> Women's</t>
        </is>
      </c>
      <c r="F405" s="13" t="n">
        <v>156</v>
      </c>
      <c r="G405" s="13" t="n">
        <v>156.7</v>
      </c>
      <c r="H405" s="13" t="n">
        <v>124</v>
      </c>
      <c r="I405" s="13" t="n">
        <v>125</v>
      </c>
      <c r="J405" s="13" t="n">
        <v>121</v>
      </c>
      <c r="K405" s="13" t="n">
        <v>82</v>
      </c>
      <c r="L405" s="13" t="n">
        <v>103</v>
      </c>
      <c r="M405" s="13" t="n">
        <v>12.3</v>
      </c>
      <c r="N405" s="13" t="n">
        <v>1435</v>
      </c>
      <c r="O405" s="13" t="n">
        <v>1.03</v>
      </c>
      <c r="P405" s="13" t="n">
        <v>1485</v>
      </c>
      <c r="Q405" s="13" t="n">
        <v>165</v>
      </c>
      <c r="R405" s="13" t="n">
        <v>70</v>
      </c>
      <c r="S405" s="13" t="n">
        <v>40</v>
      </c>
      <c r="T405" s="13" t="n">
        <v>266</v>
      </c>
      <c r="U405" s="13" t="n">
        <v>5</v>
      </c>
      <c r="V405" s="13" t="n">
        <v>62</v>
      </c>
      <c r="W405" s="13" t="n">
        <v>0.124</v>
      </c>
      <c r="X405" s="13" t="n">
        <v>169</v>
      </c>
      <c r="Y405" s="13" t="n">
        <v>143</v>
      </c>
      <c r="Z405" s="13" t="n">
        <v>96</v>
      </c>
      <c r="AA405" s="13" t="n">
        <v>8</v>
      </c>
      <c r="AB405" s="13" t="n">
        <v>6</v>
      </c>
      <c r="AC405" s="11" t="inlineStr">
        <is>
          <t xml:space="preserve"> On-Piste All-Mountain</t>
        </is>
      </c>
      <c r="AD405" s="11" t="inlineStr">
        <is>
          <t xml:space="preserve"> Resort Freeride</t>
        </is>
      </c>
      <c r="AE405" s="13" t="n"/>
      <c r="AF405" s="13" t="n"/>
      <c r="AG405" s="13" t="n"/>
    </row>
    <row r="406">
      <c r="A406" s="9" t="inlineStr">
        <is>
          <t>21/22</t>
        </is>
      </c>
      <c r="B406" s="10" t="inlineStr">
        <is>
          <t xml:space="preserve"> Dynastar</t>
        </is>
      </c>
      <c r="C406" s="11" t="inlineStr">
        <is>
          <t>M-Pro 84 W</t>
        </is>
      </c>
      <c r="D406" s="13" t="n">
        <v>163</v>
      </c>
      <c r="E406" s="11" t="inlineStr">
        <is>
          <t xml:space="preserve"> Women's</t>
        </is>
      </c>
      <c r="F406" s="13" t="n">
        <v>163</v>
      </c>
      <c r="G406" s="13" t="n">
        <v>163.9</v>
      </c>
      <c r="H406" s="13" t="n">
        <v>133</v>
      </c>
      <c r="I406" s="13" t="n">
        <v>133</v>
      </c>
      <c r="J406" s="13" t="n">
        <v>121</v>
      </c>
      <c r="K406" s="13" t="n">
        <v>82</v>
      </c>
      <c r="L406" s="13" t="n">
        <v>104</v>
      </c>
      <c r="M406" s="13" t="n">
        <v>13.8</v>
      </c>
      <c r="N406" s="13" t="n">
        <v>1543</v>
      </c>
      <c r="O406" s="13" t="n">
        <v>1</v>
      </c>
      <c r="P406" s="13" t="n">
        <v>1551</v>
      </c>
      <c r="Q406" s="13" t="n">
        <v>184</v>
      </c>
      <c r="R406" s="13" t="n">
        <v>74</v>
      </c>
      <c r="S406" s="13" t="n">
        <v>38</v>
      </c>
      <c r="T406" s="13" t="n">
        <v>248</v>
      </c>
      <c r="U406" s="13" t="n">
        <v>5</v>
      </c>
      <c r="V406" s="13" t="n">
        <v>64</v>
      </c>
      <c r="W406" s="13" t="n">
        <v>0.141</v>
      </c>
      <c r="X406" s="13" t="n">
        <v>159</v>
      </c>
      <c r="Y406" s="13" t="n">
        <v>147</v>
      </c>
      <c r="Z406" s="13" t="n">
        <v>90</v>
      </c>
      <c r="AA406" s="13" t="n">
        <v>8</v>
      </c>
      <c r="AB406" s="13" t="n">
        <v>6.6</v>
      </c>
      <c r="AC406" s="11" t="inlineStr">
        <is>
          <t xml:space="preserve"> On-Piste All-Mountain</t>
        </is>
      </c>
      <c r="AD406" s="11" t="inlineStr">
        <is>
          <t xml:space="preserve"> Resort Freeride</t>
        </is>
      </c>
      <c r="AE406" s="13" t="n"/>
      <c r="AF406" s="13" t="n"/>
      <c r="AG406" s="13" t="n"/>
    </row>
    <row r="407">
      <c r="A407" s="9" t="inlineStr">
        <is>
          <t>21/22</t>
        </is>
      </c>
      <c r="B407" s="10" t="inlineStr">
        <is>
          <t xml:space="preserve"> Dynastar</t>
        </is>
      </c>
      <c r="C407" s="11" t="inlineStr">
        <is>
          <t>M-Pro 90</t>
        </is>
      </c>
      <c r="D407" s="13" t="n">
        <v>170</v>
      </c>
      <c r="E407" s="11" t="inlineStr">
        <is>
          <t xml:space="preserve"> Unisex</t>
        </is>
      </c>
      <c r="F407" s="13" t="n">
        <v>170</v>
      </c>
      <c r="G407" s="13" t="n">
        <v>170</v>
      </c>
      <c r="H407" s="13" t="n">
        <v>121</v>
      </c>
      <c r="I407" s="13" t="n">
        <v>140</v>
      </c>
      <c r="J407" s="13" t="n">
        <v>118</v>
      </c>
      <c r="K407" s="13" t="n">
        <v>87</v>
      </c>
      <c r="L407" s="13" t="n">
        <v>108</v>
      </c>
      <c r="M407" s="13" t="n">
        <v>16.5</v>
      </c>
      <c r="N407" s="13" t="n">
        <v>1683</v>
      </c>
      <c r="O407" s="13" t="n">
        <v>0.99</v>
      </c>
      <c r="P407" s="13" t="n">
        <v>1668</v>
      </c>
      <c r="Q407" s="13" t="n">
        <v>223</v>
      </c>
      <c r="R407" s="13" t="n">
        <v>89</v>
      </c>
      <c r="S407" s="13" t="n">
        <v>62</v>
      </c>
      <c r="T407" s="13" t="n">
        <v>334</v>
      </c>
      <c r="U407" s="13" t="n">
        <v>15</v>
      </c>
      <c r="V407" s="13" t="n">
        <v>153</v>
      </c>
      <c r="W407" s="13" t="n">
        <v>0.234</v>
      </c>
      <c r="X407" s="13" t="n">
        <v>187</v>
      </c>
      <c r="Y407" s="13" t="n">
        <v>117</v>
      </c>
      <c r="Z407" s="13" t="n">
        <v>147</v>
      </c>
      <c r="AA407" s="13" t="n">
        <v>6</v>
      </c>
      <c r="AB407" s="13" t="n">
        <v>11.4</v>
      </c>
      <c r="AC407" s="11" t="inlineStr">
        <is>
          <t xml:space="preserve"> Resort Freeride</t>
        </is>
      </c>
      <c r="AD407" s="13" t="n"/>
      <c r="AE407" s="13" t="n"/>
      <c r="AF407" s="13" t="n"/>
      <c r="AG407" s="13" t="n"/>
    </row>
    <row r="408">
      <c r="A408" s="9" t="inlineStr">
        <is>
          <t>21/22</t>
        </is>
      </c>
      <c r="B408" s="10" t="inlineStr">
        <is>
          <t xml:space="preserve"> Dynastar</t>
        </is>
      </c>
      <c r="C408" s="11" t="inlineStr">
        <is>
          <t>M-Pro 90</t>
        </is>
      </c>
      <c r="D408" s="13" t="n">
        <v>178</v>
      </c>
      <c r="E408" s="11" t="inlineStr">
        <is>
          <t xml:space="preserve"> Unisex</t>
        </is>
      </c>
      <c r="F408" s="13" t="n">
        <v>178</v>
      </c>
      <c r="G408" s="13" t="n">
        <v>177.3</v>
      </c>
      <c r="H408" s="13" t="n">
        <v>130</v>
      </c>
      <c r="I408" s="13" t="n">
        <v>147</v>
      </c>
      <c r="J408" s="13" t="n">
        <v>119</v>
      </c>
      <c r="K408" s="13" t="n">
        <v>88</v>
      </c>
      <c r="L408" s="13" t="n">
        <v>109</v>
      </c>
      <c r="M408" s="13" t="n">
        <v>18.3</v>
      </c>
      <c r="N408" s="13" t="n">
        <v>1765</v>
      </c>
      <c r="O408" s="13" t="n">
        <v>1</v>
      </c>
      <c r="P408" s="13" t="n">
        <v>1756</v>
      </c>
      <c r="Q408" s="13" t="n">
        <v>245</v>
      </c>
      <c r="R408" s="13" t="n">
        <v>97</v>
      </c>
      <c r="S408" s="13" t="n">
        <v>60</v>
      </c>
      <c r="T408" s="13" t="n">
        <v>325</v>
      </c>
      <c r="U408" s="13" t="n">
        <v>13</v>
      </c>
      <c r="V408" s="13" t="n">
        <v>147</v>
      </c>
      <c r="W408" s="13" t="n">
        <v>0.22</v>
      </c>
      <c r="X408" s="13" t="n">
        <v>187</v>
      </c>
      <c r="Y408" s="13" t="n">
        <v>119</v>
      </c>
      <c r="Z408" s="13" t="n">
        <v>137</v>
      </c>
      <c r="AA408" s="13" t="n">
        <v>7</v>
      </c>
      <c r="AB408" s="13" t="n">
        <v>11.9</v>
      </c>
      <c r="AC408" s="11" t="inlineStr">
        <is>
          <t xml:space="preserve"> Resort Freeride</t>
        </is>
      </c>
      <c r="AD408" s="13" t="n"/>
      <c r="AE408" s="13" t="n"/>
      <c r="AF408" s="13" t="n"/>
      <c r="AG408" s="13" t="n"/>
    </row>
    <row r="409">
      <c r="A409" s="9" t="inlineStr">
        <is>
          <t>21/22</t>
        </is>
      </c>
      <c r="B409" s="10" t="inlineStr">
        <is>
          <t xml:space="preserve"> Dynastar</t>
        </is>
      </c>
      <c r="C409" s="11" t="inlineStr">
        <is>
          <t>M-Pro 90</t>
        </is>
      </c>
      <c r="D409" s="13" t="n">
        <v>186</v>
      </c>
      <c r="E409" s="11" t="inlineStr">
        <is>
          <t xml:space="preserve"> Unisex</t>
        </is>
      </c>
      <c r="F409" s="13" t="n">
        <v>186</v>
      </c>
      <c r="G409" s="13" t="n">
        <v>185.6</v>
      </c>
      <c r="H409" s="13" t="n">
        <v>137</v>
      </c>
      <c r="I409" s="13" t="n">
        <v>154</v>
      </c>
      <c r="J409" s="13" t="n">
        <v>119</v>
      </c>
      <c r="K409" s="13" t="n">
        <v>88</v>
      </c>
      <c r="L409" s="13" t="n">
        <v>108</v>
      </c>
      <c r="M409" s="13" t="n">
        <v>20.5</v>
      </c>
      <c r="N409" s="13" t="n">
        <v>1922</v>
      </c>
      <c r="O409" s="13" t="n">
        <v>0.95</v>
      </c>
      <c r="P409" s="13" t="n">
        <v>1834</v>
      </c>
      <c r="Q409" s="13" t="n">
        <v>286</v>
      </c>
      <c r="R409" s="13" t="n">
        <v>116</v>
      </c>
      <c r="S409" s="13" t="n">
        <v>66</v>
      </c>
      <c r="T409" s="13" t="n">
        <v>334</v>
      </c>
      <c r="U409" s="13" t="n">
        <v>14</v>
      </c>
      <c r="V409" s="13" t="n">
        <v>152</v>
      </c>
      <c r="W409" s="13" t="n">
        <v>0.219</v>
      </c>
      <c r="X409" s="13" t="n">
        <v>203</v>
      </c>
      <c r="Y409" s="13" t="n">
        <v>116</v>
      </c>
      <c r="Z409" s="13" t="n">
        <v>131</v>
      </c>
      <c r="AA409" s="13" t="n">
        <v>7</v>
      </c>
      <c r="AB409" s="13" t="n">
        <v>11.7</v>
      </c>
      <c r="AC409" s="11" t="inlineStr">
        <is>
          <t xml:space="preserve"> Resort Freeride</t>
        </is>
      </c>
      <c r="AD409" s="13" t="n"/>
      <c r="AE409" s="13" t="n"/>
      <c r="AF409" s="13" t="n"/>
      <c r="AG409" s="13" t="n"/>
    </row>
    <row r="410">
      <c r="A410" s="9" t="inlineStr">
        <is>
          <t>21/22</t>
        </is>
      </c>
      <c r="B410" s="10" t="inlineStr">
        <is>
          <t xml:space="preserve"> Dynastar</t>
        </is>
      </c>
      <c r="C410" s="11" t="inlineStr">
        <is>
          <t>M-Pro 90 W</t>
        </is>
      </c>
      <c r="D410" s="13" t="n">
        <v>154</v>
      </c>
      <c r="E410" s="11" t="inlineStr">
        <is>
          <t xml:space="preserve"> Women's</t>
        </is>
      </c>
      <c r="F410" s="13" t="n">
        <v>154</v>
      </c>
      <c r="G410" s="13" t="n">
        <v>153.5</v>
      </c>
      <c r="H410" s="13" t="n">
        <v>104</v>
      </c>
      <c r="I410" s="13" t="n">
        <v>123</v>
      </c>
      <c r="J410" s="13" t="n">
        <v>117</v>
      </c>
      <c r="K410" s="13" t="n">
        <v>86</v>
      </c>
      <c r="L410" s="13" t="n">
        <v>107</v>
      </c>
      <c r="M410" s="13" t="n">
        <v>12.5</v>
      </c>
      <c r="N410" s="13" t="n">
        <v>1460</v>
      </c>
      <c r="O410" s="13" t="n">
        <v>1.03</v>
      </c>
      <c r="P410" s="13" t="n">
        <v>1499</v>
      </c>
      <c r="Q410" s="13" t="n">
        <v>229</v>
      </c>
      <c r="R410" s="13" t="n">
        <v>85</v>
      </c>
      <c r="S410" s="13" t="n">
        <v>64</v>
      </c>
      <c r="T410" s="13" t="n">
        <v>334</v>
      </c>
      <c r="U410" s="13" t="n">
        <v>15</v>
      </c>
      <c r="V410" s="13" t="n">
        <v>160</v>
      </c>
      <c r="W410" s="13" t="n">
        <v>0.233</v>
      </c>
      <c r="X410" s="13" t="n">
        <v>210</v>
      </c>
      <c r="Y410" s="13" t="n">
        <v>99</v>
      </c>
      <c r="Z410" s="13" t="n">
        <v>125</v>
      </c>
      <c r="AA410" s="13" t="n">
        <v>4</v>
      </c>
      <c r="AB410" s="13" t="n">
        <v>11.6</v>
      </c>
      <c r="AC410" s="11" t="inlineStr">
        <is>
          <t xml:space="preserve"> Resort Freeride</t>
        </is>
      </c>
      <c r="AD410" s="13" t="n"/>
      <c r="AE410" s="13" t="n"/>
      <c r="AF410" s="13" t="n"/>
      <c r="AG410" s="13" t="n"/>
    </row>
    <row r="411">
      <c r="A411" s="9" t="inlineStr">
        <is>
          <t>21/22</t>
        </is>
      </c>
      <c r="B411" s="10" t="inlineStr">
        <is>
          <t xml:space="preserve"> Dynastar</t>
        </is>
      </c>
      <c r="C411" s="11" t="inlineStr">
        <is>
          <t>M-Pro 99</t>
        </is>
      </c>
      <c r="D411" s="13" t="n">
        <v>170</v>
      </c>
      <c r="E411" s="11" t="inlineStr">
        <is>
          <t xml:space="preserve"> Unisex</t>
        </is>
      </c>
      <c r="F411" s="13" t="n">
        <v>170</v>
      </c>
      <c r="G411" s="13" t="n">
        <v>169</v>
      </c>
      <c r="H411" s="13" t="n">
        <v>121</v>
      </c>
      <c r="I411" s="13" t="n">
        <v>137</v>
      </c>
      <c r="J411" s="13" t="n">
        <v>125</v>
      </c>
      <c r="K411" s="13" t="n">
        <v>96</v>
      </c>
      <c r="L411" s="13" t="n">
        <v>115</v>
      </c>
      <c r="M411" s="13" t="n">
        <v>17.6</v>
      </c>
      <c r="N411" s="13" t="n">
        <v>1830</v>
      </c>
      <c r="O411" s="13" t="n">
        <v>0.98</v>
      </c>
      <c r="P411" s="13" t="n">
        <v>1791</v>
      </c>
      <c r="Q411" s="13" t="n">
        <v>253</v>
      </c>
      <c r="R411" s="13" t="n">
        <v>93</v>
      </c>
      <c r="S411" s="13" t="n">
        <v>60</v>
      </c>
      <c r="T411" s="13" t="n">
        <v>330</v>
      </c>
      <c r="U411" s="13" t="n">
        <v>12</v>
      </c>
      <c r="V411" s="13" t="n">
        <v>146</v>
      </c>
      <c r="W411" s="13" t="n">
        <v>0.197</v>
      </c>
      <c r="X411" s="13" t="n">
        <v>202</v>
      </c>
      <c r="Y411" s="13" t="n">
        <v>116</v>
      </c>
      <c r="Z411" s="13" t="n">
        <v>127</v>
      </c>
      <c r="AA411" s="13" t="n">
        <v>6</v>
      </c>
      <c r="AB411" s="13" t="n">
        <v>12.1</v>
      </c>
      <c r="AC411" s="11" t="inlineStr">
        <is>
          <t xml:space="preserve"> Resort Freeride</t>
        </is>
      </c>
      <c r="AD411" s="13" t="n"/>
      <c r="AE411" s="13" t="n"/>
      <c r="AF411" s="13" t="n"/>
      <c r="AG411" s="13" t="n"/>
    </row>
    <row r="412">
      <c r="A412" s="9" t="inlineStr">
        <is>
          <t>21/22</t>
        </is>
      </c>
      <c r="B412" s="10" t="inlineStr">
        <is>
          <t xml:space="preserve"> Dynastar</t>
        </is>
      </c>
      <c r="C412" s="11" t="inlineStr">
        <is>
          <t>M-Pro 99</t>
        </is>
      </c>
      <c r="D412" s="13" t="n">
        <v>178</v>
      </c>
      <c r="E412" s="11" t="inlineStr">
        <is>
          <t xml:space="preserve"> Unisex</t>
        </is>
      </c>
      <c r="F412" s="13" t="n">
        <v>178</v>
      </c>
      <c r="G412" s="13" t="n">
        <v>177.3</v>
      </c>
      <c r="H412" s="13" t="n">
        <v>129</v>
      </c>
      <c r="I412" s="13" t="n">
        <v>146</v>
      </c>
      <c r="J412" s="13" t="n">
        <v>126</v>
      </c>
      <c r="K412" s="13" t="n">
        <v>97</v>
      </c>
      <c r="L412" s="13" t="n">
        <v>116</v>
      </c>
      <c r="M412" s="13" t="n">
        <v>19.7</v>
      </c>
      <c r="N412" s="13" t="n">
        <v>1920</v>
      </c>
      <c r="O412" s="13" t="n">
        <v>0.99</v>
      </c>
      <c r="P412" s="13" t="n">
        <v>1893</v>
      </c>
      <c r="Q412" s="13" t="n">
        <v>267</v>
      </c>
      <c r="R412" s="13" t="n">
        <v>109</v>
      </c>
      <c r="S412" s="13" t="n">
        <v>62</v>
      </c>
      <c r="T412" s="13" t="n">
        <v>327</v>
      </c>
      <c r="U412" s="13" t="n">
        <v>14</v>
      </c>
      <c r="V412" s="13" t="n">
        <v>151</v>
      </c>
      <c r="W412" s="13" t="n">
        <v>0.229</v>
      </c>
      <c r="X412" s="13" t="n">
        <v>189</v>
      </c>
      <c r="Y412" s="13" t="n">
        <v>125</v>
      </c>
      <c r="Z412" s="13" t="n">
        <v>138</v>
      </c>
      <c r="AA412" s="13" t="n">
        <v>6</v>
      </c>
      <c r="AB412" s="13" t="n">
        <v>12.2</v>
      </c>
      <c r="AC412" s="11" t="inlineStr">
        <is>
          <t xml:space="preserve"> Resort Freeride</t>
        </is>
      </c>
      <c r="AD412" s="13" t="n"/>
      <c r="AE412" s="13" t="n"/>
      <c r="AF412" s="13" t="n"/>
      <c r="AG412" s="13" t="n"/>
    </row>
    <row r="413">
      <c r="A413" s="9" t="inlineStr">
        <is>
          <t>21/22</t>
        </is>
      </c>
      <c r="B413" s="10" t="inlineStr">
        <is>
          <t xml:space="preserve"> Dynastar</t>
        </is>
      </c>
      <c r="C413" s="11" t="inlineStr">
        <is>
          <t>M-Pro 99</t>
        </is>
      </c>
      <c r="D413" s="13" t="n">
        <v>186</v>
      </c>
      <c r="E413" s="11" t="inlineStr">
        <is>
          <t xml:space="preserve"> Unisex</t>
        </is>
      </c>
      <c r="F413" s="13" t="n">
        <v>186</v>
      </c>
      <c r="G413" s="13" t="n">
        <v>185.2</v>
      </c>
      <c r="H413" s="13" t="n">
        <v>136</v>
      </c>
      <c r="I413" s="13" t="n">
        <v>153</v>
      </c>
      <c r="J413" s="13" t="n">
        <v>126</v>
      </c>
      <c r="K413" s="13" t="n">
        <v>97</v>
      </c>
      <c r="L413" s="13" t="n">
        <v>116</v>
      </c>
      <c r="M413" s="13" t="n">
        <v>21.9</v>
      </c>
      <c r="N413" s="13" t="n">
        <v>2038</v>
      </c>
      <c r="O413" s="13" t="n">
        <v>0.97</v>
      </c>
      <c r="P413" s="13" t="n">
        <v>1973</v>
      </c>
      <c r="Q413" s="13" t="n">
        <v>275</v>
      </c>
      <c r="R413" s="13" t="n">
        <v>118</v>
      </c>
      <c r="S413" s="13" t="n">
        <v>61</v>
      </c>
      <c r="T413" s="13" t="n">
        <v>330</v>
      </c>
      <c r="U413" s="13" t="n">
        <v>16</v>
      </c>
      <c r="V413" s="13" t="n">
        <v>162</v>
      </c>
      <c r="W413" s="13" t="n">
        <v>0.271</v>
      </c>
      <c r="X413" s="13" t="n">
        <v>202</v>
      </c>
      <c r="Y413" s="13" t="n">
        <v>123</v>
      </c>
      <c r="Z413" s="13" t="n">
        <v>128</v>
      </c>
      <c r="AA413" s="13" t="n">
        <v>5</v>
      </c>
      <c r="AB413" s="13" t="n">
        <v>12.4</v>
      </c>
      <c r="AC413" s="11" t="inlineStr">
        <is>
          <t xml:space="preserve"> Resort Freeride</t>
        </is>
      </c>
      <c r="AD413" s="13" t="n"/>
      <c r="AE413" s="13" t="n"/>
      <c r="AF413" s="13" t="n"/>
      <c r="AG413" s="13" t="n"/>
    </row>
    <row r="414">
      <c r="A414" s="9" t="inlineStr">
        <is>
          <t>21/22</t>
        </is>
      </c>
      <c r="B414" s="10" t="inlineStr">
        <is>
          <t xml:space="preserve"> Dynastar</t>
        </is>
      </c>
      <c r="C414" s="11" t="inlineStr">
        <is>
          <t>M-Pro 99 W</t>
        </is>
      </c>
      <c r="D414" s="13" t="n">
        <v>154</v>
      </c>
      <c r="E414" s="11" t="inlineStr">
        <is>
          <t xml:space="preserve"> Women's</t>
        </is>
      </c>
      <c r="F414" s="13" t="n">
        <v>154</v>
      </c>
      <c r="G414" s="13" t="n">
        <v>153.7</v>
      </c>
      <c r="H414" s="13" t="n">
        <v>105</v>
      </c>
      <c r="I414" s="13" t="n">
        <v>124</v>
      </c>
      <c r="J414" s="13" t="n">
        <v>124</v>
      </c>
      <c r="K414" s="13" t="n">
        <v>95</v>
      </c>
      <c r="L414" s="13" t="n">
        <v>114</v>
      </c>
      <c r="M414" s="13" t="n">
        <v>13.8</v>
      </c>
      <c r="N414" s="13" t="n">
        <v>1561</v>
      </c>
      <c r="O414" s="13" t="n">
        <v>1.03</v>
      </c>
      <c r="P414" s="13" t="n">
        <v>1614</v>
      </c>
      <c r="Q414" s="13" t="n">
        <v>205</v>
      </c>
      <c r="R414" s="13" t="n">
        <v>91</v>
      </c>
      <c r="S414" s="13" t="n">
        <v>64</v>
      </c>
      <c r="T414" s="13" t="n">
        <v>334</v>
      </c>
      <c r="U414" s="13" t="n">
        <v>14</v>
      </c>
      <c r="V414" s="13" t="n">
        <v>150</v>
      </c>
      <c r="W414" s="13" t="n">
        <v>0.225</v>
      </c>
      <c r="X414" s="13" t="n">
        <v>194</v>
      </c>
      <c r="Y414" s="13" t="n">
        <v>99</v>
      </c>
      <c r="Z414" s="13" t="n">
        <v>140</v>
      </c>
      <c r="AA414" s="13" t="n">
        <v>4</v>
      </c>
      <c r="AB414" s="13" t="n">
        <v>11.2</v>
      </c>
      <c r="AC414" s="11" t="inlineStr">
        <is>
          <t xml:space="preserve"> Resort Freeride</t>
        </is>
      </c>
      <c r="AD414" s="13" t="n"/>
      <c r="AE414" s="13" t="n"/>
      <c r="AF414" s="13" t="n"/>
      <c r="AG414" s="13" t="n"/>
    </row>
    <row r="415">
      <c r="A415" s="9" t="inlineStr">
        <is>
          <t>21/22</t>
        </is>
      </c>
      <c r="B415" s="10" t="inlineStr">
        <is>
          <t xml:space="preserve"> Dynastar</t>
        </is>
      </c>
      <c r="C415" s="11" t="inlineStr">
        <is>
          <t>M-Pro 99 W</t>
        </is>
      </c>
      <c r="D415" s="13" t="n">
        <v>162</v>
      </c>
      <c r="E415" s="11" t="inlineStr">
        <is>
          <t xml:space="preserve"> Women's</t>
        </is>
      </c>
      <c r="F415" s="13" t="n">
        <v>162</v>
      </c>
      <c r="G415" s="13" t="n">
        <v>161.4</v>
      </c>
      <c r="H415" s="13" t="n">
        <v>113</v>
      </c>
      <c r="I415" s="13" t="n">
        <v>132</v>
      </c>
      <c r="J415" s="13" t="n">
        <v>124</v>
      </c>
      <c r="K415" s="13" t="n">
        <v>95</v>
      </c>
      <c r="L415" s="13" t="n">
        <v>114</v>
      </c>
      <c r="M415" s="13" t="n">
        <v>15.4</v>
      </c>
      <c r="N415" s="13" t="n">
        <v>1710</v>
      </c>
      <c r="O415" s="13" t="n">
        <v>0.99</v>
      </c>
      <c r="P415" s="13" t="n">
        <v>1698</v>
      </c>
      <c r="Q415" s="13" t="n">
        <v>249</v>
      </c>
      <c r="R415" s="13" t="n">
        <v>95</v>
      </c>
      <c r="S415" s="13" t="n">
        <v>59</v>
      </c>
      <c r="T415" s="13" t="n">
        <v>332</v>
      </c>
      <c r="U415" s="13" t="n">
        <v>15</v>
      </c>
      <c r="V415" s="13" t="n">
        <v>157</v>
      </c>
      <c r="W415" s="13" t="n">
        <v>0.254</v>
      </c>
      <c r="X415" s="13" t="n">
        <v>192</v>
      </c>
      <c r="Y415" s="13" t="n">
        <v>105</v>
      </c>
      <c r="Z415" s="13" t="n">
        <v>140</v>
      </c>
      <c r="AA415" s="13" t="n">
        <v>5</v>
      </c>
      <c r="AB415" s="13" t="n">
        <v>12</v>
      </c>
      <c r="AC415" s="11" t="inlineStr">
        <is>
          <t xml:space="preserve"> Resort Freeride</t>
        </is>
      </c>
      <c r="AD415" s="13" t="n"/>
      <c r="AE415" s="13" t="n"/>
      <c r="AF415" s="13" t="n"/>
      <c r="AG415" s="13" t="n"/>
    </row>
    <row r="416">
      <c r="A416" s="9" t="inlineStr">
        <is>
          <t>21/22</t>
        </is>
      </c>
      <c r="B416" s="10" t="inlineStr">
        <is>
          <t xml:space="preserve"> Dynastar</t>
        </is>
      </c>
      <c r="C416" s="11" t="inlineStr">
        <is>
          <t>M-Pro 99 W</t>
        </is>
      </c>
      <c r="D416" s="13" t="n">
        <v>170</v>
      </c>
      <c r="E416" s="11" t="inlineStr">
        <is>
          <t xml:space="preserve"> Women's</t>
        </is>
      </c>
      <c r="F416" s="13" t="n">
        <v>170</v>
      </c>
      <c r="G416" s="13" t="n">
        <v>169.6</v>
      </c>
      <c r="H416" s="13" t="n">
        <v>122</v>
      </c>
      <c r="I416" s="13" t="n">
        <v>139</v>
      </c>
      <c r="J416" s="13" t="n">
        <v>125</v>
      </c>
      <c r="K416" s="13" t="n">
        <v>96</v>
      </c>
      <c r="L416" s="13" t="n">
        <v>114</v>
      </c>
      <c r="M416" s="13" t="n">
        <v>17.3</v>
      </c>
      <c r="N416" s="13" t="n">
        <v>1768</v>
      </c>
      <c r="O416" s="13" t="n">
        <v>1.01</v>
      </c>
      <c r="P416" s="13" t="n">
        <v>1789</v>
      </c>
      <c r="Q416" s="13" t="n">
        <v>227</v>
      </c>
      <c r="R416" s="13" t="n">
        <v>99</v>
      </c>
      <c r="S416" s="13" t="n">
        <v>60</v>
      </c>
      <c r="T416" s="13" t="n">
        <v>325</v>
      </c>
      <c r="U416" s="13" t="n">
        <v>14</v>
      </c>
      <c r="V416" s="13" t="n">
        <v>148</v>
      </c>
      <c r="W416" s="13" t="n">
        <v>0.229</v>
      </c>
      <c r="X416" s="13" t="n">
        <v>199</v>
      </c>
      <c r="Y416" s="13" t="n">
        <v>107</v>
      </c>
      <c r="Z416" s="13" t="n">
        <v>126</v>
      </c>
      <c r="AA416" s="13" t="n">
        <v>9</v>
      </c>
      <c r="AB416" s="13" t="n">
        <v>11.6</v>
      </c>
      <c r="AC416" s="11" t="inlineStr">
        <is>
          <t xml:space="preserve"> Resort Freeride</t>
        </is>
      </c>
      <c r="AD416" s="13" t="n"/>
      <c r="AE416" s="13" t="n"/>
      <c r="AF416" s="13" t="n"/>
      <c r="AG416" s="13" t="n"/>
    </row>
    <row r="417">
      <c r="A417" s="9" t="inlineStr">
        <is>
          <t>21/22</t>
        </is>
      </c>
      <c r="B417" s="10" t="inlineStr">
        <is>
          <t xml:space="preserve"> Dynastar</t>
        </is>
      </c>
      <c r="C417" s="11" t="inlineStr">
        <is>
          <t xml:space="preserve"> M-Pro Pro Rider</t>
        </is>
      </c>
      <c r="D417" s="13" t="n">
        <v>192</v>
      </c>
      <c r="E417" s="11" t="inlineStr">
        <is>
          <t xml:space="preserve"> Unisex</t>
        </is>
      </c>
      <c r="F417" s="13" t="n">
        <v>192</v>
      </c>
      <c r="G417" s="13" t="n">
        <v>191</v>
      </c>
      <c r="H417" s="13" t="n">
        <v>159</v>
      </c>
      <c r="I417" s="13" t="n">
        <v>161</v>
      </c>
      <c r="J417" s="13" t="n">
        <v>132</v>
      </c>
      <c r="K417" s="13" t="n">
        <v>104</v>
      </c>
      <c r="L417" s="13" t="n">
        <v>120</v>
      </c>
      <c r="M417" s="13" t="n">
        <v>27.9</v>
      </c>
      <c r="N417" s="13" t="n">
        <v>2657</v>
      </c>
      <c r="O417" s="13" t="n">
        <v>0.8100000000000001</v>
      </c>
      <c r="P417" s="13" t="n">
        <v>2147</v>
      </c>
      <c r="Q417" s="13" t="n">
        <v>276</v>
      </c>
      <c r="R417" s="13" t="n">
        <v>174</v>
      </c>
      <c r="S417" s="13" t="n">
        <v>33</v>
      </c>
      <c r="T417" s="13" t="n">
        <v>221</v>
      </c>
      <c r="U417" s="13" t="n">
        <v>11</v>
      </c>
      <c r="V417" s="13" t="n">
        <v>98</v>
      </c>
      <c r="W417" s="13" t="n">
        <v>0.32</v>
      </c>
      <c r="X417" s="13" t="n">
        <v>187</v>
      </c>
      <c r="Y417" s="13" t="n">
        <v>114</v>
      </c>
      <c r="Z417" s="13" t="n">
        <v>34</v>
      </c>
      <c r="AA417" s="13" t="n">
        <v>16</v>
      </c>
      <c r="AB417" s="13" t="n">
        <v>12.4</v>
      </c>
      <c r="AC417" s="11" t="inlineStr">
        <is>
          <t xml:space="preserve"> Resort Freeride</t>
        </is>
      </c>
      <c r="AD417" s="11" t="inlineStr">
        <is>
          <t xml:space="preserve"> Big Mountain</t>
        </is>
      </c>
      <c r="AE417" s="13" t="n"/>
      <c r="AF417" s="13" t="n"/>
      <c r="AG417" s="13" t="n"/>
    </row>
    <row r="418">
      <c r="A418" s="9" t="inlineStr">
        <is>
          <t>21/22</t>
        </is>
      </c>
      <c r="B418" s="10" t="inlineStr">
        <is>
          <t xml:space="preserve"> Dynastar</t>
        </is>
      </c>
      <c r="C418" s="11" t="inlineStr">
        <is>
          <t>M-Tour 87 Ca</t>
        </is>
      </c>
      <c r="D418" s="13" t="n">
        <v>171</v>
      </c>
      <c r="E418" s="11" t="inlineStr">
        <is>
          <t xml:space="preserve"> Unisex</t>
        </is>
      </c>
      <c r="F418" s="13" t="n">
        <v>171</v>
      </c>
      <c r="G418" s="13" t="n">
        <v>170.5</v>
      </c>
      <c r="H418" s="13" t="n">
        <v>130</v>
      </c>
      <c r="I418" s="13" t="n">
        <v>127</v>
      </c>
      <c r="J418" s="13" t="n">
        <v>127</v>
      </c>
      <c r="K418" s="13" t="n">
        <v>86</v>
      </c>
      <c r="L418" s="13" t="n">
        <v>103</v>
      </c>
      <c r="M418" s="13" t="n">
        <v>13.8</v>
      </c>
      <c r="N418" s="13" t="n">
        <v>1250</v>
      </c>
      <c r="O418" s="13" t="n">
        <v>1.34</v>
      </c>
      <c r="P418" s="13" t="n">
        <v>1673</v>
      </c>
      <c r="Q418" s="13" t="n">
        <v>223</v>
      </c>
      <c r="R418" s="13" t="n">
        <v>66</v>
      </c>
      <c r="S418" s="13" t="n">
        <v>74</v>
      </c>
      <c r="T418" s="13" t="n">
        <v>353</v>
      </c>
      <c r="U418" s="13" t="n">
        <v>4</v>
      </c>
      <c r="V418" s="13" t="n">
        <v>49</v>
      </c>
      <c r="W418" s="13" t="n">
        <v>0.048</v>
      </c>
      <c r="X418" s="13" t="n">
        <v>198</v>
      </c>
      <c r="Y418" s="13" t="n">
        <v>240</v>
      </c>
      <c r="Z418" s="13" t="n">
        <v>154</v>
      </c>
      <c r="AA418" s="13" t="n">
        <v>5</v>
      </c>
      <c r="AB418" s="13" t="n">
        <v>11.8</v>
      </c>
      <c r="AC418" s="11" t="inlineStr">
        <is>
          <t xml:space="preserve"> Touring</t>
        </is>
      </c>
      <c r="AD418" s="11" t="inlineStr">
        <is>
          <t xml:space="preserve"> Ultralight Touring</t>
        </is>
      </c>
      <c r="AE418" s="13" t="n"/>
      <c r="AF418" s="13" t="n"/>
      <c r="AG418" s="13" t="n"/>
    </row>
    <row r="419">
      <c r="A419" s="9" t="inlineStr">
        <is>
          <t>21/22</t>
        </is>
      </c>
      <c r="B419" s="10" t="inlineStr">
        <is>
          <t xml:space="preserve"> Dynastar</t>
        </is>
      </c>
      <c r="C419" s="11" t="inlineStr">
        <is>
          <t>M-Tour 87 Ca</t>
        </is>
      </c>
      <c r="D419" s="13" t="n">
        <v>179</v>
      </c>
      <c r="E419" s="11" t="inlineStr">
        <is>
          <t xml:space="preserve"> Unisex</t>
        </is>
      </c>
      <c r="F419" s="13" t="n">
        <v>179</v>
      </c>
      <c r="G419" s="13" t="n">
        <v>176.4</v>
      </c>
      <c r="H419" s="13" t="n">
        <v>138</v>
      </c>
      <c r="I419" s="13" t="n">
        <v>132</v>
      </c>
      <c r="J419" s="13" t="n">
        <v>127</v>
      </c>
      <c r="K419" s="13" t="n">
        <v>86</v>
      </c>
      <c r="L419" s="13" t="n">
        <v>102</v>
      </c>
      <c r="M419" s="13" t="n">
        <v>15.4</v>
      </c>
      <c r="N419" s="13" t="n">
        <v>1272</v>
      </c>
      <c r="O419" s="13" t="n">
        <v>1.36</v>
      </c>
      <c r="P419" s="13" t="n">
        <v>1734</v>
      </c>
      <c r="Q419" s="13" t="n">
        <v>236</v>
      </c>
      <c r="R419" s="13" t="n">
        <v>74</v>
      </c>
      <c r="S419" s="13" t="n">
        <v>72</v>
      </c>
      <c r="T419" s="13" t="n">
        <v>339</v>
      </c>
      <c r="U419" s="13" t="n">
        <v>5</v>
      </c>
      <c r="V419" s="13" t="n">
        <v>49</v>
      </c>
      <c r="W419" s="13" t="n">
        <v>0.068</v>
      </c>
      <c r="X419" s="13" t="n">
        <v>208</v>
      </c>
      <c r="Y419" s="13" t="n">
        <v>232</v>
      </c>
      <c r="Z419" s="13" t="n">
        <v>131</v>
      </c>
      <c r="AA419" s="13" t="n">
        <v>6</v>
      </c>
      <c r="AB419" s="13" t="n">
        <v>12.9</v>
      </c>
      <c r="AC419" s="11" t="inlineStr">
        <is>
          <t xml:space="preserve"> Touring</t>
        </is>
      </c>
      <c r="AD419" s="11" t="inlineStr">
        <is>
          <t xml:space="preserve"> Ultralight Touring</t>
        </is>
      </c>
      <c r="AE419" s="13" t="n"/>
      <c r="AF419" s="13" t="n"/>
      <c r="AG419" s="13" t="n"/>
    </row>
    <row r="420">
      <c r="A420" s="9" t="inlineStr">
        <is>
          <t>21/22</t>
        </is>
      </c>
      <c r="B420" s="10" t="inlineStr">
        <is>
          <t xml:space="preserve"> Dynastar</t>
        </is>
      </c>
      <c r="C420" s="11" t="inlineStr">
        <is>
          <t>M-Tour 99</t>
        </is>
      </c>
      <c r="D420" s="13" t="n">
        <v>170</v>
      </c>
      <c r="E420" s="11" t="inlineStr">
        <is>
          <t xml:space="preserve"> Unisex</t>
        </is>
      </c>
      <c r="F420" s="13" t="n">
        <v>170</v>
      </c>
      <c r="G420" s="13" t="n">
        <v>169.6</v>
      </c>
      <c r="H420" s="13" t="n">
        <v>123</v>
      </c>
      <c r="I420" s="13" t="n">
        <v>136</v>
      </c>
      <c r="J420" s="13" t="n">
        <v>125</v>
      </c>
      <c r="K420" s="13" t="n">
        <v>96</v>
      </c>
      <c r="L420" s="13" t="n">
        <v>115</v>
      </c>
      <c r="M420" s="13" t="n">
        <v>17.6</v>
      </c>
      <c r="N420" s="13" t="n">
        <v>1245</v>
      </c>
      <c r="O420" s="13" t="n">
        <v>1.44</v>
      </c>
      <c r="P420" s="13" t="n">
        <v>1796</v>
      </c>
      <c r="Q420" s="13" t="n">
        <v>189</v>
      </c>
      <c r="R420" s="13" t="n">
        <v>80</v>
      </c>
      <c r="S420" s="13" t="n">
        <v>55</v>
      </c>
      <c r="T420" s="13" t="n">
        <v>320</v>
      </c>
      <c r="U420" s="13" t="n">
        <v>14</v>
      </c>
      <c r="V420" s="13" t="n">
        <v>149</v>
      </c>
      <c r="W420" s="13" t="n">
        <v>0.255</v>
      </c>
      <c r="X420" s="13" t="n">
        <v>201</v>
      </c>
      <c r="Y420" s="13" t="n">
        <v>132</v>
      </c>
      <c r="Z420" s="13" t="n">
        <v>120</v>
      </c>
      <c r="AA420" s="13" t="n">
        <v>6</v>
      </c>
      <c r="AB420" s="13" t="n">
        <v>11.9</v>
      </c>
      <c r="AC420" s="11" t="inlineStr">
        <is>
          <t xml:space="preserve"> Touring</t>
        </is>
      </c>
      <c r="AD420" s="11" t="inlineStr">
        <is>
          <t xml:space="preserve"> Ultralight Touring</t>
        </is>
      </c>
      <c r="AE420" s="13" t="n"/>
      <c r="AF420" s="13" t="n"/>
      <c r="AG420" s="13" t="n"/>
    </row>
    <row r="421">
      <c r="A421" s="9" t="inlineStr">
        <is>
          <t>21/22</t>
        </is>
      </c>
      <c r="B421" s="10" t="inlineStr">
        <is>
          <t xml:space="preserve"> Dynastar</t>
        </is>
      </c>
      <c r="C421" s="11" t="inlineStr">
        <is>
          <t>M-Tour 99</t>
        </is>
      </c>
      <c r="D421" s="13" t="n">
        <v>178</v>
      </c>
      <c r="E421" s="11" t="inlineStr">
        <is>
          <t xml:space="preserve"> Unisex</t>
        </is>
      </c>
      <c r="F421" s="13" t="n">
        <v>178</v>
      </c>
      <c r="G421" s="13" t="n">
        <v>177.2</v>
      </c>
      <c r="H421" s="13" t="n">
        <v>131</v>
      </c>
      <c r="I421" s="13" t="n">
        <v>145</v>
      </c>
      <c r="J421" s="13" t="n">
        <v>126</v>
      </c>
      <c r="K421" s="13" t="n">
        <v>97</v>
      </c>
      <c r="L421" s="13" t="n">
        <v>116</v>
      </c>
      <c r="M421" s="13" t="n">
        <v>19.8</v>
      </c>
      <c r="N421" s="13" t="n">
        <v>1334</v>
      </c>
      <c r="O421" s="13" t="n">
        <v>1.42</v>
      </c>
      <c r="P421" s="13" t="n">
        <v>1897</v>
      </c>
      <c r="Q421" s="13" t="n">
        <v>243</v>
      </c>
      <c r="R421" s="13" t="n">
        <v>77</v>
      </c>
      <c r="S421" s="13" t="n">
        <v>59</v>
      </c>
      <c r="T421" s="13" t="n">
        <v>324</v>
      </c>
      <c r="U421" s="13" t="n">
        <v>11</v>
      </c>
      <c r="V421" s="13" t="n">
        <v>140</v>
      </c>
      <c r="W421" s="13" t="n">
        <v>0.181</v>
      </c>
      <c r="X421" s="13" t="n">
        <v>196</v>
      </c>
      <c r="Y421" s="13" t="n">
        <v>126</v>
      </c>
      <c r="Z421" s="13" t="n">
        <v>128</v>
      </c>
      <c r="AA421" s="13" t="n">
        <v>7</v>
      </c>
      <c r="AB421" s="13" t="n">
        <v>12.2</v>
      </c>
      <c r="AC421" s="11" t="inlineStr">
        <is>
          <t xml:space="preserve"> Touring</t>
        </is>
      </c>
      <c r="AD421" s="11" t="inlineStr">
        <is>
          <t xml:space="preserve"> Ultralight Touring</t>
        </is>
      </c>
      <c r="AE421" s="13" t="n"/>
      <c r="AF421" s="13" t="n"/>
      <c r="AG421" s="13" t="n"/>
    </row>
    <row r="422">
      <c r="A422" s="9" t="inlineStr">
        <is>
          <t>21/22</t>
        </is>
      </c>
      <c r="B422" s="10" t="inlineStr">
        <is>
          <t xml:space="preserve"> Dynastar</t>
        </is>
      </c>
      <c r="C422" s="11" t="inlineStr">
        <is>
          <t>M-Tour 99</t>
        </is>
      </c>
      <c r="D422" s="13" t="n">
        <v>186</v>
      </c>
      <c r="E422" s="11" t="inlineStr">
        <is>
          <t xml:space="preserve"> Unisex</t>
        </is>
      </c>
      <c r="F422" s="13" t="n">
        <v>186</v>
      </c>
      <c r="G422" s="13" t="n">
        <v>185.2</v>
      </c>
      <c r="H422" s="13" t="n">
        <v>138</v>
      </c>
      <c r="I422" s="13" t="n">
        <v>153</v>
      </c>
      <c r="J422" s="13" t="n">
        <v>126</v>
      </c>
      <c r="K422" s="13" t="n">
        <v>97</v>
      </c>
      <c r="L422" s="13" t="n">
        <v>116</v>
      </c>
      <c r="M422" s="13" t="n">
        <v>22.1</v>
      </c>
      <c r="N422" s="13" t="n">
        <v>1421</v>
      </c>
      <c r="O422" s="13" t="n">
        <v>1.39</v>
      </c>
      <c r="P422" s="13" t="n">
        <v>1975</v>
      </c>
      <c r="Q422" s="13" t="n">
        <v>278</v>
      </c>
      <c r="R422" s="13" t="n">
        <v>92</v>
      </c>
      <c r="S422" s="13" t="n">
        <v>56</v>
      </c>
      <c r="T422" s="13" t="n">
        <v>324</v>
      </c>
      <c r="U422" s="13" t="n">
        <v>12</v>
      </c>
      <c r="V422" s="13" t="n">
        <v>145</v>
      </c>
      <c r="W422" s="13" t="n">
        <v>0.214</v>
      </c>
      <c r="X422" s="13" t="n">
        <v>201</v>
      </c>
      <c r="Y422" s="13" t="n">
        <v>122</v>
      </c>
      <c r="Z422" s="13" t="n">
        <v>123</v>
      </c>
      <c r="AA422" s="13" t="n">
        <v>7</v>
      </c>
      <c r="AB422" s="13" t="n">
        <v>12.4</v>
      </c>
      <c r="AC422" s="11" t="inlineStr">
        <is>
          <t xml:space="preserve"> Touring</t>
        </is>
      </c>
      <c r="AD422" s="11" t="inlineStr">
        <is>
          <t xml:space="preserve"> Ultralight Touring</t>
        </is>
      </c>
      <c r="AE422" s="13" t="n"/>
      <c r="AF422" s="13" t="n"/>
      <c r="AG422" s="13" t="n"/>
    </row>
    <row r="423">
      <c r="A423" s="9" t="inlineStr">
        <is>
          <t>21/22</t>
        </is>
      </c>
      <c r="B423" s="10" t="inlineStr">
        <is>
          <t xml:space="preserve"> Dynastar</t>
        </is>
      </c>
      <c r="C423" s="11" t="inlineStr">
        <is>
          <t>Speed 563</t>
        </is>
      </c>
      <c r="D423" s="13" t="n">
        <v>155</v>
      </c>
      <c r="E423" s="11" t="inlineStr">
        <is>
          <t xml:space="preserve"> Unisex</t>
        </is>
      </c>
      <c r="F423" s="13" t="n">
        <v>155</v>
      </c>
      <c r="G423" s="13" t="n">
        <v>155.3</v>
      </c>
      <c r="H423" s="13" t="n">
        <v>135</v>
      </c>
      <c r="I423" s="13" t="n">
        <v>141</v>
      </c>
      <c r="J423" s="13" t="n">
        <v>123</v>
      </c>
      <c r="K423" s="13" t="n">
        <v>74</v>
      </c>
      <c r="L423" s="13" t="n">
        <v>109</v>
      </c>
      <c r="M423" s="13" t="n">
        <v>11.8</v>
      </c>
      <c r="N423" s="13" t="n">
        <v>1474</v>
      </c>
      <c r="O423" s="13" t="n">
        <v>0.9399999999999999</v>
      </c>
      <c r="P423" s="13" t="n">
        <v>1387</v>
      </c>
      <c r="Q423" s="13" t="n">
        <v>147</v>
      </c>
      <c r="R423" s="13" t="n">
        <v>50</v>
      </c>
      <c r="S423" s="13" t="n">
        <v>40</v>
      </c>
      <c r="T423" s="13" t="n">
        <v>147</v>
      </c>
      <c r="U423" s="13" t="n">
        <v>5</v>
      </c>
      <c r="V423" s="13" t="n">
        <v>54</v>
      </c>
      <c r="W423" s="13" t="n">
        <v>0.129</v>
      </c>
      <c r="X423" s="13" t="n">
        <v>84</v>
      </c>
      <c r="Y423" s="13" t="n">
        <v>58</v>
      </c>
      <c r="Z423" s="13" t="n">
        <v>63</v>
      </c>
      <c r="AA423" s="13" t="n">
        <v>7</v>
      </c>
      <c r="AB423" s="13" t="n">
        <v>9.9</v>
      </c>
      <c r="AC423" s="11" t="inlineStr">
        <is>
          <t xml:space="preserve"> On-Piste Carving</t>
        </is>
      </c>
      <c r="AD423" s="13" t="n"/>
      <c r="AE423" s="13" t="n"/>
      <c r="AF423" s="13" t="n"/>
      <c r="AG423" s="13" t="n"/>
    </row>
    <row r="424">
      <c r="A424" s="9" t="inlineStr">
        <is>
          <t>21/22</t>
        </is>
      </c>
      <c r="B424" s="10" t="inlineStr">
        <is>
          <t xml:space="preserve"> Dynastar</t>
        </is>
      </c>
      <c r="C424" s="11" t="inlineStr">
        <is>
          <t>Speed 563</t>
        </is>
      </c>
      <c r="D424" s="13" t="n">
        <v>170</v>
      </c>
      <c r="E424" s="11" t="inlineStr">
        <is>
          <t xml:space="preserve"> Unisex</t>
        </is>
      </c>
      <c r="F424" s="13" t="n">
        <v>170</v>
      </c>
      <c r="G424" s="13" t="n">
        <v>168.6</v>
      </c>
      <c r="H424" s="13" t="n">
        <v>148</v>
      </c>
      <c r="I424" s="13" t="n">
        <v>155</v>
      </c>
      <c r="J424" s="13" t="n">
        <v>123</v>
      </c>
      <c r="K424" s="13" t="n">
        <v>74</v>
      </c>
      <c r="L424" s="13" t="n">
        <v>110</v>
      </c>
      <c r="M424" s="13" t="n">
        <v>14.4</v>
      </c>
      <c r="N424" s="13" t="n">
        <v>1638</v>
      </c>
      <c r="O424" s="13" t="n">
        <v>0.92</v>
      </c>
      <c r="P424" s="13" t="n">
        <v>1502</v>
      </c>
      <c r="Q424" s="13" t="n">
        <v>194</v>
      </c>
      <c r="R424" s="13" t="n">
        <v>64</v>
      </c>
      <c r="S424" s="13" t="n">
        <v>43</v>
      </c>
      <c r="T424" s="13" t="n">
        <v>152</v>
      </c>
      <c r="U424" s="13" t="n">
        <v>4</v>
      </c>
      <c r="V424" s="13" t="n">
        <v>54</v>
      </c>
      <c r="W424" s="13" t="n">
        <v>0.098</v>
      </c>
      <c r="X424" s="13" t="n">
        <v>80</v>
      </c>
      <c r="Y424" s="13" t="n">
        <v>52</v>
      </c>
      <c r="Z424" s="13" t="n">
        <v>72</v>
      </c>
      <c r="AA424" s="13" t="n">
        <v>9</v>
      </c>
      <c r="AB424" s="13" t="n">
        <v>10.5</v>
      </c>
      <c r="AC424" s="11" t="inlineStr">
        <is>
          <t xml:space="preserve"> On-Piste Carving</t>
        </is>
      </c>
      <c r="AD424" s="13" t="n"/>
      <c r="AE424" s="13" t="n"/>
      <c r="AF424" s="13" t="n"/>
      <c r="AG424" s="13" t="n"/>
    </row>
    <row r="425">
      <c r="A425" s="9" t="inlineStr">
        <is>
          <t>21/22</t>
        </is>
      </c>
      <c r="B425" s="10" t="inlineStr">
        <is>
          <t xml:space="preserve"> Dynastar</t>
        </is>
      </c>
      <c r="C425" s="11" t="inlineStr">
        <is>
          <t>Speed 763</t>
        </is>
      </c>
      <c r="D425" s="13" t="n">
        <v>158</v>
      </c>
      <c r="E425" s="11" t="inlineStr">
        <is>
          <t xml:space="preserve"> Unisex</t>
        </is>
      </c>
      <c r="F425" s="13" t="n">
        <v>158</v>
      </c>
      <c r="G425" s="13" t="n">
        <v>157.5</v>
      </c>
      <c r="H425" s="13" t="n">
        <v>136</v>
      </c>
      <c r="I425" s="13" t="n">
        <v>143</v>
      </c>
      <c r="J425" s="13" t="n">
        <v>121</v>
      </c>
      <c r="K425" s="13" t="n">
        <v>72</v>
      </c>
      <c r="L425" s="13" t="n">
        <v>106</v>
      </c>
      <c r="M425" s="13" t="n">
        <v>12.1</v>
      </c>
      <c r="N425" s="13" t="n">
        <v>1913</v>
      </c>
      <c r="O425" s="13" t="n">
        <v>0.72</v>
      </c>
      <c r="P425" s="13" t="n">
        <v>1372</v>
      </c>
      <c r="Q425" s="13" t="n">
        <v>220</v>
      </c>
      <c r="R425" s="13" t="n">
        <v>115</v>
      </c>
      <c r="S425" s="13" t="n">
        <v>40</v>
      </c>
      <c r="T425" s="13" t="n">
        <v>151</v>
      </c>
      <c r="U425" s="13" t="n">
        <v>7</v>
      </c>
      <c r="V425" s="13" t="n">
        <v>62</v>
      </c>
      <c r="W425" s="13" t="n">
        <v>0.189</v>
      </c>
      <c r="X425" s="13" t="n">
        <v>84</v>
      </c>
      <c r="Y425" s="13" t="n">
        <v>64</v>
      </c>
      <c r="Z425" s="13" t="n">
        <v>67</v>
      </c>
      <c r="AA425" s="13" t="n">
        <v>10</v>
      </c>
      <c r="AB425" s="13" t="n">
        <v>11.1</v>
      </c>
      <c r="AC425" s="11" t="inlineStr">
        <is>
          <t xml:space="preserve"> On-Piste Carving</t>
        </is>
      </c>
      <c r="AD425" s="13" t="n"/>
      <c r="AE425" s="13" t="n"/>
      <c r="AF425" s="13" t="n"/>
      <c r="AG425" s="13" t="n"/>
    </row>
    <row r="426">
      <c r="A426" s="9" t="inlineStr">
        <is>
          <t>21/22</t>
        </is>
      </c>
      <c r="B426" s="10" t="inlineStr">
        <is>
          <t xml:space="preserve"> Dynastar</t>
        </is>
      </c>
      <c r="C426" s="11" t="inlineStr">
        <is>
          <t>Speed 763</t>
        </is>
      </c>
      <c r="D426" s="13" t="n">
        <v>166</v>
      </c>
      <c r="E426" s="11" t="inlineStr">
        <is>
          <t xml:space="preserve"> Unisex</t>
        </is>
      </c>
      <c r="F426" s="13" t="n">
        <v>166</v>
      </c>
      <c r="G426" s="13" t="n">
        <v>165.1</v>
      </c>
      <c r="H426" s="13" t="n">
        <v>144</v>
      </c>
      <c r="I426" s="13" t="n">
        <v>150</v>
      </c>
      <c r="J426" s="13" t="n">
        <v>120</v>
      </c>
      <c r="K426" s="13" t="n">
        <v>72</v>
      </c>
      <c r="L426" s="13" t="n">
        <v>106</v>
      </c>
      <c r="M426" s="13" t="n">
        <v>13.5</v>
      </c>
      <c r="N426" s="13" t="n">
        <v>1994</v>
      </c>
      <c r="O426" s="13" t="n">
        <v>0.72</v>
      </c>
      <c r="P426" s="13" t="n">
        <v>1439</v>
      </c>
      <c r="Q426" s="13" t="n">
        <v>213</v>
      </c>
      <c r="R426" s="13" t="n">
        <v>106</v>
      </c>
      <c r="S426" s="13" t="n">
        <v>41</v>
      </c>
      <c r="T426" s="13" t="n">
        <v>153</v>
      </c>
      <c r="U426" s="13" t="n">
        <v>7</v>
      </c>
      <c r="V426" s="13" t="n">
        <v>58</v>
      </c>
      <c r="W426" s="13" t="n">
        <v>0.164</v>
      </c>
      <c r="X426" s="13" t="n">
        <v>87</v>
      </c>
      <c r="Y426" s="13" t="n">
        <v>62</v>
      </c>
      <c r="Z426" s="13" t="n">
        <v>66</v>
      </c>
      <c r="AA426" s="13" t="n">
        <v>11</v>
      </c>
      <c r="AB426" s="13" t="n">
        <v>11.5</v>
      </c>
      <c r="AC426" s="11" t="inlineStr">
        <is>
          <t xml:space="preserve"> On-Piste Carving</t>
        </is>
      </c>
      <c r="AD426" s="13" t="n"/>
      <c r="AE426" s="13" t="n"/>
      <c r="AF426" s="13" t="n"/>
      <c r="AG426" s="13" t="n"/>
    </row>
    <row r="427">
      <c r="A427" s="9" t="inlineStr">
        <is>
          <t>21/22</t>
        </is>
      </c>
      <c r="B427" s="10" t="inlineStr">
        <is>
          <t xml:space="preserve"> Dynastar</t>
        </is>
      </c>
      <c r="C427" s="11" t="inlineStr">
        <is>
          <t>Speed 763</t>
        </is>
      </c>
      <c r="D427" s="13" t="n">
        <v>174</v>
      </c>
      <c r="E427" s="11" t="inlineStr">
        <is>
          <t xml:space="preserve"> Unisex</t>
        </is>
      </c>
      <c r="F427" s="13" t="n">
        <v>174</v>
      </c>
      <c r="G427" s="13" t="n">
        <v>173.1</v>
      </c>
      <c r="H427" s="13" t="n">
        <v>153</v>
      </c>
      <c r="I427" s="13" t="n">
        <v>159</v>
      </c>
      <c r="J427" s="13" t="n">
        <v>121</v>
      </c>
      <c r="K427" s="13" t="n">
        <v>72</v>
      </c>
      <c r="L427" s="13" t="n">
        <v>105</v>
      </c>
      <c r="M427" s="13" t="n">
        <v>15.1</v>
      </c>
      <c r="N427" s="13" t="n">
        <v>2102</v>
      </c>
      <c r="O427" s="13" t="n">
        <v>0.72</v>
      </c>
      <c r="P427" s="13" t="n">
        <v>1507</v>
      </c>
      <c r="Q427" s="13" t="n">
        <v>224</v>
      </c>
      <c r="R427" s="13" t="n">
        <v>112</v>
      </c>
      <c r="S427" s="13" t="n">
        <v>39</v>
      </c>
      <c r="T427" s="13" t="n">
        <v>144</v>
      </c>
      <c r="U427" s="13" t="n">
        <v>7</v>
      </c>
      <c r="V427" s="13" t="n">
        <v>58</v>
      </c>
      <c r="W427" s="13" t="n">
        <v>0.177</v>
      </c>
      <c r="X427" s="13" t="n">
        <v>82</v>
      </c>
      <c r="Y427" s="13" t="n">
        <v>62</v>
      </c>
      <c r="Z427" s="13" t="n">
        <v>62</v>
      </c>
      <c r="AA427" s="13" t="n">
        <v>12</v>
      </c>
      <c r="AB427" s="13" t="n">
        <v>11.8</v>
      </c>
      <c r="AC427" s="11" t="inlineStr">
        <is>
          <t xml:space="preserve"> On-Piste Carving</t>
        </is>
      </c>
      <c r="AD427" s="13" t="n"/>
      <c r="AE427" s="13" t="n"/>
      <c r="AF427" s="13" t="n"/>
      <c r="AG427" s="13" t="n"/>
    </row>
    <row r="428">
      <c r="A428" s="9" t="inlineStr">
        <is>
          <t>21/22</t>
        </is>
      </c>
      <c r="B428" s="10" t="inlineStr">
        <is>
          <t xml:space="preserve"> Elan</t>
        </is>
      </c>
      <c r="C428" s="11" t="inlineStr">
        <is>
          <t xml:space="preserve"> Ace SLX</t>
        </is>
      </c>
      <c r="D428" s="13" t="n">
        <v>159</v>
      </c>
      <c r="E428" s="11" t="inlineStr">
        <is>
          <t xml:space="preserve"> Unisex</t>
        </is>
      </c>
      <c r="F428" s="13" t="n">
        <v>159</v>
      </c>
      <c r="G428" s="13" t="n">
        <v>157.9</v>
      </c>
      <c r="H428" s="13" t="n">
        <v>141</v>
      </c>
      <c r="I428" s="13" t="n">
        <v>148</v>
      </c>
      <c r="J428" s="13" t="n">
        <v>118</v>
      </c>
      <c r="K428" s="13" t="n">
        <v>67</v>
      </c>
      <c r="L428" s="13" t="n">
        <v>102</v>
      </c>
      <c r="M428" s="13" t="n">
        <v>12.6</v>
      </c>
      <c r="N428" s="13" t="n">
        <v>2277</v>
      </c>
      <c r="O428" s="13" t="n">
        <v>0.58</v>
      </c>
      <c r="P428" s="13" t="n">
        <v>1309</v>
      </c>
      <c r="Q428" s="13" t="n">
        <v>217</v>
      </c>
      <c r="R428" s="13" t="n">
        <v>121</v>
      </c>
      <c r="S428" s="13" t="n">
        <v>36</v>
      </c>
      <c r="T428" s="13" t="n">
        <v>131</v>
      </c>
      <c r="U428" s="13" t="n">
        <v>3</v>
      </c>
      <c r="V428" s="13" t="n">
        <v>41</v>
      </c>
      <c r="W428" s="13" t="n">
        <v>0.092</v>
      </c>
      <c r="X428" s="13" t="n">
        <v>58</v>
      </c>
      <c r="Y428" s="13" t="n">
        <v>39</v>
      </c>
      <c r="Z428" s="13" t="n">
        <v>74</v>
      </c>
      <c r="AA428" s="13" t="n">
        <v>10</v>
      </c>
      <c r="AB428" s="13" t="n">
        <v>9</v>
      </c>
      <c r="AC428" s="11" t="inlineStr">
        <is>
          <t xml:space="preserve"> On-Piste Carving</t>
        </is>
      </c>
      <c r="AD428" s="13" t="n"/>
      <c r="AE428" s="13" t="n"/>
      <c r="AF428" s="13" t="n"/>
      <c r="AG428" s="13" t="n"/>
    </row>
    <row r="429">
      <c r="A429" s="9" t="inlineStr">
        <is>
          <t>21/22</t>
        </is>
      </c>
      <c r="B429" s="10" t="inlineStr">
        <is>
          <t xml:space="preserve"> Elan</t>
        </is>
      </c>
      <c r="C429" s="11" t="inlineStr">
        <is>
          <t xml:space="preserve"> Ace SLX</t>
        </is>
      </c>
      <c r="D429" s="13" t="n">
        <v>164</v>
      </c>
      <c r="E429" s="11" t="inlineStr">
        <is>
          <t xml:space="preserve"> Unisex</t>
        </is>
      </c>
      <c r="F429" s="13" t="n">
        <v>164</v>
      </c>
      <c r="G429" s="13" t="n">
        <v>162.9</v>
      </c>
      <c r="H429" s="13" t="n">
        <v>146</v>
      </c>
      <c r="I429" s="13" t="n">
        <v>153</v>
      </c>
      <c r="J429" s="13" t="n">
        <v>120</v>
      </c>
      <c r="K429" s="13" t="n">
        <v>67</v>
      </c>
      <c r="L429" s="13" t="n">
        <v>103</v>
      </c>
      <c r="M429" s="13" t="n">
        <v>12.8</v>
      </c>
      <c r="N429" s="11" t="inlineStr">
        <is>
          <t xml:space="preserve"> None</t>
        </is>
      </c>
      <c r="O429" s="11" t="inlineStr">
        <is>
          <t xml:space="preserve"> None</t>
        </is>
      </c>
      <c r="P429" s="13" t="n">
        <v>1363</v>
      </c>
      <c r="Q429" s="13" t="n">
        <v>216</v>
      </c>
      <c r="R429" s="13" t="n">
        <v>116</v>
      </c>
      <c r="S429" s="13" t="n">
        <v>37</v>
      </c>
      <c r="T429" s="13" t="n">
        <v>127</v>
      </c>
      <c r="U429" s="13" t="n">
        <v>3</v>
      </c>
      <c r="V429" s="13" t="n">
        <v>42</v>
      </c>
      <c r="W429" s="13" t="n">
        <v>0.075</v>
      </c>
      <c r="X429" s="13" t="n">
        <v>60</v>
      </c>
      <c r="Y429" s="13" t="n">
        <v>39</v>
      </c>
      <c r="Z429" s="13" t="n">
        <v>67</v>
      </c>
      <c r="AA429" s="13" t="n">
        <v>10</v>
      </c>
      <c r="AB429" s="13" t="n">
        <v>8.4</v>
      </c>
      <c r="AC429" s="11" t="inlineStr">
        <is>
          <t xml:space="preserve"> Other</t>
        </is>
      </c>
      <c r="AD429" s="13" t="n"/>
      <c r="AE429" s="13" t="n"/>
      <c r="AF429" s="13" t="n"/>
      <c r="AG429" s="13" t="n"/>
    </row>
    <row r="430">
      <c r="A430" s="9" t="inlineStr">
        <is>
          <t>21/22</t>
        </is>
      </c>
      <c r="B430" s="10" t="inlineStr">
        <is>
          <t xml:space="preserve"> Elan</t>
        </is>
      </c>
      <c r="C430" s="11" t="inlineStr">
        <is>
          <t xml:space="preserve"> Ace SLX</t>
        </is>
      </c>
      <c r="D430" s="13" t="n">
        <v>169</v>
      </c>
      <c r="E430" s="11" t="inlineStr">
        <is>
          <t xml:space="preserve"> Unisex</t>
        </is>
      </c>
      <c r="F430" s="13" t="n">
        <v>169</v>
      </c>
      <c r="G430" s="13" t="n">
        <v>168.1</v>
      </c>
      <c r="H430" s="13" t="n">
        <v>151</v>
      </c>
      <c r="I430" s="13" t="n">
        <v>158</v>
      </c>
      <c r="J430" s="13" t="n">
        <v>121</v>
      </c>
      <c r="K430" s="13" t="n">
        <v>67</v>
      </c>
      <c r="L430" s="13" t="n">
        <v>104</v>
      </c>
      <c r="M430" s="13" t="n">
        <v>13.3</v>
      </c>
      <c r="N430" s="13" t="n">
        <v>2460</v>
      </c>
      <c r="O430" s="13" t="n">
        <v>0.58</v>
      </c>
      <c r="P430" s="13" t="n">
        <v>1418</v>
      </c>
      <c r="Q430" s="13" t="n">
        <v>244</v>
      </c>
      <c r="R430" s="13" t="n">
        <v>136</v>
      </c>
      <c r="S430" s="13" t="n">
        <v>37</v>
      </c>
      <c r="T430" s="13" t="n">
        <v>131</v>
      </c>
      <c r="U430" s="13" t="n">
        <v>3</v>
      </c>
      <c r="V430" s="13" t="n">
        <v>42</v>
      </c>
      <c r="W430" s="13" t="n">
        <v>0.074</v>
      </c>
      <c r="X430" s="13" t="n">
        <v>56</v>
      </c>
      <c r="Y430" s="13" t="n">
        <v>41</v>
      </c>
      <c r="Z430" s="13" t="n">
        <v>75</v>
      </c>
      <c r="AA430" s="13" t="n">
        <v>11</v>
      </c>
      <c r="AB430" s="13" t="n">
        <v>8.6</v>
      </c>
      <c r="AC430" s="11" t="inlineStr">
        <is>
          <t xml:space="preserve"> On-Piste Carving</t>
        </is>
      </c>
      <c r="AD430" s="13" t="n"/>
      <c r="AE430" s="13" t="n"/>
      <c r="AF430" s="13" t="n"/>
      <c r="AG430" s="13" t="n"/>
    </row>
    <row r="431">
      <c r="A431" s="9" t="inlineStr">
        <is>
          <t>21/22</t>
        </is>
      </c>
      <c r="B431" s="10" t="inlineStr">
        <is>
          <t xml:space="preserve"> Elan</t>
        </is>
      </c>
      <c r="C431" s="11" t="inlineStr">
        <is>
          <t xml:space="preserve"> Ace Speed Magic</t>
        </is>
      </c>
      <c r="D431" s="13" t="n">
        <v>149</v>
      </c>
      <c r="E431" s="11" t="inlineStr">
        <is>
          <t xml:space="preserve"> Women's</t>
        </is>
      </c>
      <c r="F431" s="13" t="n">
        <v>149</v>
      </c>
      <c r="G431" s="13" t="n">
        <v>147.7</v>
      </c>
      <c r="H431" s="13" t="n">
        <v>131</v>
      </c>
      <c r="I431" s="13" t="n">
        <v>138</v>
      </c>
      <c r="J431" s="13" t="n">
        <v>109</v>
      </c>
      <c r="K431" s="13" t="n">
        <v>67</v>
      </c>
      <c r="L431" s="13" t="n">
        <v>95</v>
      </c>
      <c r="M431" s="13" t="n">
        <v>12.7</v>
      </c>
      <c r="N431" s="13" t="n">
        <v>1569</v>
      </c>
      <c r="O431" s="13" t="n">
        <v>0.76</v>
      </c>
      <c r="P431" s="13" t="n">
        <v>1185</v>
      </c>
      <c r="Q431" s="13" t="n">
        <v>222</v>
      </c>
      <c r="R431" s="13" t="n">
        <v>98</v>
      </c>
      <c r="S431" s="13" t="n">
        <v>34</v>
      </c>
      <c r="T431" s="13" t="n">
        <v>125</v>
      </c>
      <c r="U431" s="13" t="n">
        <v>3</v>
      </c>
      <c r="V431" s="13" t="n">
        <v>44</v>
      </c>
      <c r="W431" s="13" t="n">
        <v>0.079</v>
      </c>
      <c r="X431" s="13" t="n">
        <v>57</v>
      </c>
      <c r="Y431" s="13" t="n">
        <v>40</v>
      </c>
      <c r="Z431" s="13" t="n">
        <v>68</v>
      </c>
      <c r="AA431" s="13" t="n">
        <v>6</v>
      </c>
      <c r="AB431" s="13" t="n">
        <v>11</v>
      </c>
      <c r="AC431" s="11" t="inlineStr">
        <is>
          <t xml:space="preserve"> On-Piste Carving</t>
        </is>
      </c>
      <c r="AD431" s="13" t="n"/>
      <c r="AE431" s="13" t="n"/>
      <c r="AF431" s="13" t="n"/>
      <c r="AG431" s="13" t="n"/>
    </row>
    <row r="432">
      <c r="A432" s="9" t="inlineStr">
        <is>
          <t>21/22</t>
        </is>
      </c>
      <c r="B432" s="10" t="inlineStr">
        <is>
          <t xml:space="preserve"> Elan</t>
        </is>
      </c>
      <c r="C432" s="11" t="inlineStr">
        <is>
          <t xml:space="preserve"> Ace Speed Magic</t>
        </is>
      </c>
      <c r="D432" s="13" t="n">
        <v>155</v>
      </c>
      <c r="E432" s="11" t="inlineStr">
        <is>
          <t xml:space="preserve"> Women's</t>
        </is>
      </c>
      <c r="F432" s="13" t="n">
        <v>155</v>
      </c>
      <c r="G432" s="13" t="n">
        <v>153.6</v>
      </c>
      <c r="H432" s="13" t="n">
        <v>137</v>
      </c>
      <c r="I432" s="13" t="n">
        <v>143</v>
      </c>
      <c r="J432" s="13" t="n">
        <v>110</v>
      </c>
      <c r="K432" s="13" t="n">
        <v>66</v>
      </c>
      <c r="L432" s="13" t="n">
        <v>96</v>
      </c>
      <c r="M432" s="13" t="n">
        <v>13.5</v>
      </c>
      <c r="N432" s="13" t="n">
        <v>1676</v>
      </c>
      <c r="O432" s="13" t="n">
        <v>0.74</v>
      </c>
      <c r="P432" s="13" t="n">
        <v>1233</v>
      </c>
      <c r="Q432" s="13" t="n">
        <v>223</v>
      </c>
      <c r="R432" s="13" t="n">
        <v>107</v>
      </c>
      <c r="S432" s="13" t="n">
        <v>36</v>
      </c>
      <c r="T432" s="13" t="n">
        <v>126</v>
      </c>
      <c r="U432" s="13" t="n">
        <v>3</v>
      </c>
      <c r="V432" s="13" t="n">
        <v>40</v>
      </c>
      <c r="W432" s="13" t="n">
        <v>0.074</v>
      </c>
      <c r="X432" s="13" t="n">
        <v>64</v>
      </c>
      <c r="Y432" s="13" t="n">
        <v>40</v>
      </c>
      <c r="Z432" s="13" t="n">
        <v>62</v>
      </c>
      <c r="AA432" s="13" t="n">
        <v>8</v>
      </c>
      <c r="AB432" s="13" t="n">
        <v>10.4</v>
      </c>
      <c r="AC432" s="11" t="inlineStr">
        <is>
          <t xml:space="preserve"> On-Piste Carving</t>
        </is>
      </c>
      <c r="AD432" s="13" t="n"/>
      <c r="AE432" s="13" t="n"/>
      <c r="AF432" s="13" t="n"/>
      <c r="AG432" s="13" t="n"/>
    </row>
    <row r="433">
      <c r="A433" s="9" t="inlineStr">
        <is>
          <t>21/22</t>
        </is>
      </c>
      <c r="B433" s="10" t="inlineStr">
        <is>
          <t xml:space="preserve"> Elan</t>
        </is>
      </c>
      <c r="C433" s="11" t="inlineStr">
        <is>
          <t>Amphibio 14 Ti</t>
        </is>
      </c>
      <c r="D433" s="13" t="n">
        <v>160</v>
      </c>
      <c r="E433" s="11" t="inlineStr">
        <is>
          <t xml:space="preserve"> Unisex</t>
        </is>
      </c>
      <c r="F433" s="13" t="n">
        <v>160</v>
      </c>
      <c r="G433" s="13" t="n">
        <v>159.1</v>
      </c>
      <c r="H433" s="13" t="n">
        <v>138</v>
      </c>
      <c r="I433" s="13" t="n">
        <v>143</v>
      </c>
      <c r="J433" s="13" t="n">
        <v>125</v>
      </c>
      <c r="K433" s="13" t="n">
        <v>76</v>
      </c>
      <c r="L433" s="13" t="n">
        <v>104</v>
      </c>
      <c r="M433" s="13" t="n">
        <v>13.2</v>
      </c>
      <c r="N433" s="13" t="n">
        <v>1926</v>
      </c>
      <c r="O433" s="13" t="n">
        <v>0.75</v>
      </c>
      <c r="P433" s="13" t="n">
        <v>1448</v>
      </c>
      <c r="Q433" s="13" t="n">
        <v>176</v>
      </c>
      <c r="R433" s="13" t="n">
        <v>79</v>
      </c>
      <c r="S433" s="13" t="n">
        <v>32</v>
      </c>
      <c r="T433" s="13" t="n">
        <v>140</v>
      </c>
      <c r="U433" s="13" t="n">
        <v>10</v>
      </c>
      <c r="V433" s="13" t="n">
        <v>69</v>
      </c>
      <c r="W433" s="13" t="n">
        <v>0.307</v>
      </c>
      <c r="X433" s="13" t="n">
        <v>98</v>
      </c>
      <c r="Y433" s="13" t="n">
        <v>61</v>
      </c>
      <c r="Z433" s="13" t="n">
        <v>42</v>
      </c>
      <c r="AA433" s="13" t="n">
        <v>11</v>
      </c>
      <c r="AB433" s="13" t="n">
        <v>9.5</v>
      </c>
      <c r="AC433" s="11" t="inlineStr">
        <is>
          <t xml:space="preserve"> On-Piste Carving</t>
        </is>
      </c>
      <c r="AD433" s="11" t="inlineStr">
        <is>
          <t xml:space="preserve"> On-Piste All-Mountain</t>
        </is>
      </c>
      <c r="AE433" s="13" t="n"/>
      <c r="AF433" s="13" t="n"/>
      <c r="AG433" s="13" t="n"/>
    </row>
    <row r="434">
      <c r="A434" s="9" t="inlineStr">
        <is>
          <t>21/22</t>
        </is>
      </c>
      <c r="B434" s="10" t="inlineStr">
        <is>
          <t xml:space="preserve"> Elan</t>
        </is>
      </c>
      <c r="C434" s="11" t="inlineStr">
        <is>
          <t>Amphibio 14 Ti</t>
        </is>
      </c>
      <c r="D434" s="13" t="n">
        <v>168</v>
      </c>
      <c r="E434" s="11" t="inlineStr">
        <is>
          <t xml:space="preserve"> Unisex</t>
        </is>
      </c>
      <c r="F434" s="13" t="n">
        <v>168</v>
      </c>
      <c r="G434" s="13" t="n">
        <v>167.3</v>
      </c>
      <c r="H434" s="13" t="n">
        <v>146</v>
      </c>
      <c r="I434" s="13" t="n">
        <v>153</v>
      </c>
      <c r="J434" s="13" t="n">
        <v>124</v>
      </c>
      <c r="K434" s="13" t="n">
        <v>75</v>
      </c>
      <c r="L434" s="13" t="n">
        <v>103</v>
      </c>
      <c r="M434" s="13" t="n">
        <v>14.8</v>
      </c>
      <c r="N434" s="13" t="n">
        <v>2032</v>
      </c>
      <c r="O434" s="13" t="n">
        <v>0.74</v>
      </c>
      <c r="P434" s="13" t="n">
        <v>1498</v>
      </c>
      <c r="Q434" s="13" t="n">
        <v>208</v>
      </c>
      <c r="R434" s="13" t="n">
        <v>93</v>
      </c>
      <c r="S434" s="13" t="n">
        <v>31</v>
      </c>
      <c r="T434" s="13" t="n">
        <v>144</v>
      </c>
      <c r="U434" s="13" t="n">
        <v>10</v>
      </c>
      <c r="V434" s="13" t="n">
        <v>72</v>
      </c>
      <c r="W434" s="13" t="n">
        <v>0.322</v>
      </c>
      <c r="X434" s="13" t="n">
        <v>85</v>
      </c>
      <c r="Y434" s="13" t="n">
        <v>60</v>
      </c>
      <c r="Z434" s="13" t="n">
        <v>59</v>
      </c>
      <c r="AA434" s="13" t="n">
        <v>11</v>
      </c>
      <c r="AB434" s="13" t="n">
        <v>9.4</v>
      </c>
      <c r="AC434" s="11" t="inlineStr">
        <is>
          <t xml:space="preserve"> On-Piste Carving</t>
        </is>
      </c>
      <c r="AD434" s="13" t="n"/>
      <c r="AE434" s="13" t="n"/>
      <c r="AF434" s="13" t="n"/>
      <c r="AG434" s="13" t="n"/>
    </row>
    <row r="435">
      <c r="A435" s="9" t="inlineStr">
        <is>
          <t>21/22</t>
        </is>
      </c>
      <c r="B435" s="10" t="inlineStr">
        <is>
          <t xml:space="preserve"> Elan</t>
        </is>
      </c>
      <c r="C435" s="11" t="inlineStr">
        <is>
          <t xml:space="preserve"> Amphibio STI</t>
        </is>
      </c>
      <c r="D435" s="13" t="n">
        <v>160</v>
      </c>
      <c r="E435" s="11" t="inlineStr">
        <is>
          <t xml:space="preserve"> Unisex</t>
        </is>
      </c>
      <c r="F435" s="13" t="n">
        <v>160</v>
      </c>
      <c r="G435" s="13" t="n">
        <v>159</v>
      </c>
      <c r="H435" s="13" t="n">
        <v>138</v>
      </c>
      <c r="I435" s="13" t="n">
        <v>145</v>
      </c>
      <c r="J435" s="13" t="n">
        <v>126</v>
      </c>
      <c r="K435" s="13" t="n">
        <v>75</v>
      </c>
      <c r="L435" s="13" t="n">
        <v>104</v>
      </c>
      <c r="M435" s="13" t="n">
        <v>12.9</v>
      </c>
      <c r="N435" s="13" t="n">
        <v>1562</v>
      </c>
      <c r="O435" s="13" t="n">
        <v>0.92</v>
      </c>
      <c r="P435" s="13" t="n">
        <v>1434</v>
      </c>
      <c r="Q435" s="13" t="n">
        <v>153</v>
      </c>
      <c r="R435" s="13" t="n">
        <v>71</v>
      </c>
      <c r="S435" s="13" t="n">
        <v>40</v>
      </c>
      <c r="T435" s="13" t="n">
        <v>146</v>
      </c>
      <c r="U435" s="13" t="n">
        <v>6</v>
      </c>
      <c r="V435" s="13" t="n">
        <v>62</v>
      </c>
      <c r="W435" s="13" t="n">
        <v>0.154</v>
      </c>
      <c r="X435" s="13" t="n">
        <v>95</v>
      </c>
      <c r="Y435" s="13" t="n">
        <v>49</v>
      </c>
      <c r="Z435" s="13" t="n">
        <v>51</v>
      </c>
      <c r="AA435" s="13" t="n">
        <v>11</v>
      </c>
      <c r="AB435" s="13" t="n">
        <v>10</v>
      </c>
      <c r="AC435" s="11" t="inlineStr">
        <is>
          <t xml:space="preserve"> On-Piste Carving</t>
        </is>
      </c>
      <c r="AD435" s="13" t="n"/>
      <c r="AE435" s="13" t="n"/>
      <c r="AF435" s="13" t="n"/>
      <c r="AG435" s="13" t="n"/>
    </row>
    <row r="436">
      <c r="A436" s="9" t="inlineStr">
        <is>
          <t>21/22</t>
        </is>
      </c>
      <c r="B436" s="10" t="inlineStr">
        <is>
          <t xml:space="preserve"> Elan</t>
        </is>
      </c>
      <c r="C436" s="11" t="inlineStr">
        <is>
          <t xml:space="preserve"> Amphibio STI</t>
        </is>
      </c>
      <c r="D436" s="13" t="n">
        <v>176</v>
      </c>
      <c r="E436" s="11" t="inlineStr">
        <is>
          <t xml:space="preserve"> Unisex</t>
        </is>
      </c>
      <c r="F436" s="13" t="n">
        <v>176</v>
      </c>
      <c r="G436" s="13" t="n">
        <v>174.8</v>
      </c>
      <c r="H436" s="13" t="n">
        <v>154</v>
      </c>
      <c r="I436" s="13" t="n">
        <v>161</v>
      </c>
      <c r="J436" s="13" t="n">
        <v>126</v>
      </c>
      <c r="K436" s="13" t="n">
        <v>75</v>
      </c>
      <c r="L436" s="13" t="n">
        <v>104</v>
      </c>
      <c r="M436" s="13" t="n">
        <v>16.2</v>
      </c>
      <c r="N436" s="13" t="n">
        <v>1827</v>
      </c>
      <c r="O436" s="13" t="n">
        <v>0.86</v>
      </c>
      <c r="P436" s="13" t="n">
        <v>1572</v>
      </c>
      <c r="Q436" s="13" t="n">
        <v>232</v>
      </c>
      <c r="R436" s="13" t="n">
        <v>93</v>
      </c>
      <c r="S436" s="13" t="n">
        <v>39</v>
      </c>
      <c r="T436" s="13" t="n">
        <v>140</v>
      </c>
      <c r="U436" s="13" t="n">
        <v>7</v>
      </c>
      <c r="V436" s="13" t="n">
        <v>68</v>
      </c>
      <c r="W436" s="13" t="n">
        <v>0.176</v>
      </c>
      <c r="X436" s="13" t="n">
        <v>87</v>
      </c>
      <c r="Y436" s="13" t="n">
        <v>52</v>
      </c>
      <c r="Z436" s="13" t="n">
        <v>53</v>
      </c>
      <c r="AA436" s="13" t="n">
        <v>9</v>
      </c>
      <c r="AB436" s="13" t="n">
        <v>10.5</v>
      </c>
      <c r="AC436" s="11" t="inlineStr">
        <is>
          <t xml:space="preserve"> On-Piste Carving</t>
        </is>
      </c>
      <c r="AD436" s="13" t="n"/>
      <c r="AE436" s="13" t="n"/>
      <c r="AF436" s="13" t="n"/>
      <c r="AG436" s="13" t="n"/>
    </row>
    <row r="437">
      <c r="A437" s="9" t="inlineStr">
        <is>
          <t>21/22</t>
        </is>
      </c>
      <c r="B437" s="10" t="inlineStr">
        <is>
          <t xml:space="preserve"> Elan</t>
        </is>
      </c>
      <c r="C437" s="11" t="inlineStr">
        <is>
          <t xml:space="preserve"> Element</t>
        </is>
      </c>
      <c r="D437" s="13" t="n">
        <v>144</v>
      </c>
      <c r="E437" s="11" t="inlineStr">
        <is>
          <t xml:space="preserve"> Unisex</t>
        </is>
      </c>
      <c r="F437" s="13" t="n">
        <v>144</v>
      </c>
      <c r="G437" s="13" t="n">
        <v>143.2</v>
      </c>
      <c r="H437" s="13" t="n">
        <v>111</v>
      </c>
      <c r="I437" s="13" t="n">
        <v>130</v>
      </c>
      <c r="J437" s="13" t="n">
        <v>125</v>
      </c>
      <c r="K437" s="13" t="n">
        <v>74</v>
      </c>
      <c r="L437" s="13" t="n">
        <v>100</v>
      </c>
      <c r="M437" s="13" t="n">
        <v>10.5</v>
      </c>
      <c r="N437" s="13" t="n">
        <v>1485</v>
      </c>
      <c r="O437" s="13" t="n">
        <v>0.86</v>
      </c>
      <c r="P437" s="13" t="n">
        <v>1277</v>
      </c>
      <c r="Q437" s="13" t="n">
        <v>142</v>
      </c>
      <c r="R437" s="13" t="n">
        <v>51</v>
      </c>
      <c r="S437" s="13" t="n">
        <v>38</v>
      </c>
      <c r="T437" s="13" t="n">
        <v>186</v>
      </c>
      <c r="U437" s="13" t="n">
        <v>10</v>
      </c>
      <c r="V437" s="13" t="n">
        <v>132</v>
      </c>
      <c r="W437" s="13" t="n">
        <v>0.274</v>
      </c>
      <c r="X437" s="13" t="n">
        <v>81</v>
      </c>
      <c r="Y437" s="13" t="n">
        <v>55</v>
      </c>
      <c r="Z437" s="13" t="n">
        <v>105</v>
      </c>
      <c r="AA437" s="13" t="n">
        <v>3</v>
      </c>
      <c r="AB437" s="13" t="n">
        <v>10.1</v>
      </c>
      <c r="AC437" s="11" t="inlineStr">
        <is>
          <t xml:space="preserve"> Other</t>
        </is>
      </c>
      <c r="AD437" s="13" t="n"/>
      <c r="AE437" s="13" t="n"/>
      <c r="AF437" s="13" t="n"/>
      <c r="AG437" s="13" t="n"/>
    </row>
    <row r="438">
      <c r="A438" s="9" t="inlineStr">
        <is>
          <t>21/22</t>
        </is>
      </c>
      <c r="B438" s="10" t="inlineStr">
        <is>
          <t xml:space="preserve"> Elan</t>
        </is>
      </c>
      <c r="C438" s="11" t="inlineStr">
        <is>
          <t xml:space="preserve"> Element</t>
        </is>
      </c>
      <c r="D438" s="13" t="n">
        <v>152</v>
      </c>
      <c r="E438" s="11" t="inlineStr">
        <is>
          <t xml:space="preserve"> Unisex</t>
        </is>
      </c>
      <c r="F438" s="13" t="n">
        <v>152</v>
      </c>
      <c r="G438" s="13" t="n">
        <v>151.3</v>
      </c>
      <c r="H438" s="13" t="n">
        <v>128</v>
      </c>
      <c r="I438" s="13" t="n">
        <v>137</v>
      </c>
      <c r="J438" s="13" t="n">
        <v>125</v>
      </c>
      <c r="K438" s="13" t="n">
        <v>74</v>
      </c>
      <c r="L438" s="13" t="n">
        <v>100</v>
      </c>
      <c r="M438" s="13" t="n">
        <v>12</v>
      </c>
      <c r="N438" s="13" t="n">
        <v>1543</v>
      </c>
      <c r="O438" s="13" t="n">
        <v>0.87</v>
      </c>
      <c r="P438" s="13" t="n">
        <v>1349</v>
      </c>
      <c r="Q438" s="13" t="n">
        <v>144</v>
      </c>
      <c r="R438" s="13" t="n">
        <v>54</v>
      </c>
      <c r="S438" s="13" t="n">
        <v>35</v>
      </c>
      <c r="T438" s="13" t="n">
        <v>159</v>
      </c>
      <c r="U438" s="13" t="n">
        <v>9</v>
      </c>
      <c r="V438" s="13" t="n">
        <v>70</v>
      </c>
      <c r="W438" s="13" t="n">
        <v>0.256</v>
      </c>
      <c r="X438" s="13" t="n">
        <v>91</v>
      </c>
      <c r="Y438" s="13" t="n">
        <v>53</v>
      </c>
      <c r="Z438" s="13" t="n">
        <v>69</v>
      </c>
      <c r="AA438" s="13" t="n">
        <v>6</v>
      </c>
      <c r="AB438" s="13" t="n">
        <v>11.5</v>
      </c>
      <c r="AC438" s="11" t="inlineStr">
        <is>
          <t xml:space="preserve"> On-Piste Carving</t>
        </is>
      </c>
      <c r="AD438" s="13" t="n"/>
      <c r="AE438" s="13" t="n"/>
      <c r="AF438" s="13" t="n"/>
      <c r="AG438" s="13" t="n"/>
    </row>
    <row r="439">
      <c r="A439" s="9" t="inlineStr">
        <is>
          <t>21/22</t>
        </is>
      </c>
      <c r="B439" s="10" t="inlineStr">
        <is>
          <t xml:space="preserve"> Elan</t>
        </is>
      </c>
      <c r="C439" s="11" t="inlineStr">
        <is>
          <t xml:space="preserve"> Element</t>
        </is>
      </c>
      <c r="D439" s="13" t="n">
        <v>160</v>
      </c>
      <c r="E439" s="11" t="inlineStr">
        <is>
          <t xml:space="preserve"> Unisex</t>
        </is>
      </c>
      <c r="F439" s="13" t="n">
        <v>160</v>
      </c>
      <c r="G439" s="13" t="n">
        <v>159.5</v>
      </c>
      <c r="H439" s="13" t="n">
        <v>135</v>
      </c>
      <c r="I439" s="13" t="n">
        <v>146</v>
      </c>
      <c r="J439" s="13" t="n">
        <v>126</v>
      </c>
      <c r="K439" s="13" t="n">
        <v>75</v>
      </c>
      <c r="L439" s="13" t="n">
        <v>101</v>
      </c>
      <c r="M439" s="13" t="n">
        <v>13.5</v>
      </c>
      <c r="N439" s="13" t="n">
        <v>1710</v>
      </c>
      <c r="O439" s="13" t="n">
        <v>0.84</v>
      </c>
      <c r="P439" s="13" t="n">
        <v>1435</v>
      </c>
      <c r="Q439" s="13" t="n">
        <v>172</v>
      </c>
      <c r="R439" s="13" t="n">
        <v>63</v>
      </c>
      <c r="S439" s="13" t="n">
        <v>38</v>
      </c>
      <c r="T439" s="13" t="n">
        <v>167</v>
      </c>
      <c r="U439" s="13" t="n">
        <v>10</v>
      </c>
      <c r="V439" s="13" t="n">
        <v>74</v>
      </c>
      <c r="W439" s="13" t="n">
        <v>0.258</v>
      </c>
      <c r="X439" s="13" t="n">
        <v>80</v>
      </c>
      <c r="Y439" s="13" t="n">
        <v>56</v>
      </c>
      <c r="Z439" s="13" t="n">
        <v>87</v>
      </c>
      <c r="AA439" s="13" t="n">
        <v>6</v>
      </c>
      <c r="AB439" s="13" t="n">
        <v>11.3</v>
      </c>
      <c r="AC439" s="11" t="inlineStr">
        <is>
          <t xml:space="preserve"> On-Piste Carving</t>
        </is>
      </c>
      <c r="AD439" s="13" t="n"/>
      <c r="AE439" s="13" t="n"/>
      <c r="AF439" s="13" t="n"/>
      <c r="AG439" s="13" t="n"/>
    </row>
    <row r="440">
      <c r="A440" s="9" t="inlineStr">
        <is>
          <t>21/22</t>
        </is>
      </c>
      <c r="B440" s="10" t="inlineStr">
        <is>
          <t xml:space="preserve"> Elan</t>
        </is>
      </c>
      <c r="C440" s="11" t="inlineStr">
        <is>
          <t xml:space="preserve"> Element</t>
        </is>
      </c>
      <c r="D440" s="13" t="n">
        <v>168</v>
      </c>
      <c r="E440" s="11" t="inlineStr">
        <is>
          <t xml:space="preserve"> Unisex</t>
        </is>
      </c>
      <c r="F440" s="13" t="n">
        <v>168</v>
      </c>
      <c r="G440" s="13" t="n">
        <v>167.4</v>
      </c>
      <c r="H440" s="13" t="n">
        <v>144</v>
      </c>
      <c r="I440" s="13" t="n">
        <v>153</v>
      </c>
      <c r="J440" s="13" t="n">
        <v>126</v>
      </c>
      <c r="K440" s="13" t="n">
        <v>75</v>
      </c>
      <c r="L440" s="13" t="n">
        <v>101</v>
      </c>
      <c r="M440" s="13" t="n">
        <v>15.1</v>
      </c>
      <c r="N440" s="13" t="n">
        <v>1822</v>
      </c>
      <c r="O440" s="13" t="n">
        <v>0.83</v>
      </c>
      <c r="P440" s="13" t="n">
        <v>1504</v>
      </c>
      <c r="Q440" s="13" t="n">
        <v>203</v>
      </c>
      <c r="R440" s="13" t="n">
        <v>74</v>
      </c>
      <c r="S440" s="13" t="n">
        <v>34</v>
      </c>
      <c r="T440" s="13" t="n">
        <v>153</v>
      </c>
      <c r="U440" s="13" t="n">
        <v>10</v>
      </c>
      <c r="V440" s="13" t="n">
        <v>79</v>
      </c>
      <c r="W440" s="13" t="n">
        <v>0.296</v>
      </c>
      <c r="X440" s="13" t="n">
        <v>86</v>
      </c>
      <c r="Y440" s="13" t="n">
        <v>58</v>
      </c>
      <c r="Z440" s="13" t="n">
        <v>68</v>
      </c>
      <c r="AA440" s="13" t="n">
        <v>6</v>
      </c>
      <c r="AB440" s="13" t="n">
        <v>11.1</v>
      </c>
      <c r="AC440" s="11" t="inlineStr">
        <is>
          <t xml:space="preserve"> On-Piste Carving</t>
        </is>
      </c>
      <c r="AD440" s="13" t="n"/>
      <c r="AE440" s="13" t="n"/>
      <c r="AF440" s="13" t="n"/>
      <c r="AG440" s="13" t="n"/>
    </row>
    <row r="441">
      <c r="A441" s="9" t="inlineStr">
        <is>
          <t>21/22</t>
        </is>
      </c>
      <c r="B441" s="10" t="inlineStr">
        <is>
          <t xml:space="preserve"> Elan</t>
        </is>
      </c>
      <c r="C441" s="11" t="inlineStr">
        <is>
          <t xml:space="preserve"> Element</t>
        </is>
      </c>
      <c r="D441" s="13" t="n">
        <v>176</v>
      </c>
      <c r="E441" s="11" t="inlineStr">
        <is>
          <t xml:space="preserve"> Unisex</t>
        </is>
      </c>
      <c r="F441" s="13" t="n">
        <v>176</v>
      </c>
      <c r="G441" s="13" t="n">
        <v>175.4</v>
      </c>
      <c r="H441" s="13" t="n">
        <v>149</v>
      </c>
      <c r="I441" s="13" t="n">
        <v>161</v>
      </c>
      <c r="J441" s="13" t="n">
        <v>128</v>
      </c>
      <c r="K441" s="13" t="n">
        <v>77</v>
      </c>
      <c r="L441" s="13" t="n">
        <v>104</v>
      </c>
      <c r="M441" s="13" t="n">
        <v>16.8</v>
      </c>
      <c r="N441" s="13" t="n">
        <v>1957</v>
      </c>
      <c r="O441" s="13" t="n">
        <v>0.82</v>
      </c>
      <c r="P441" s="13" t="n">
        <v>1604</v>
      </c>
      <c r="Q441" s="13" t="n">
        <v>220</v>
      </c>
      <c r="R441" s="13" t="n">
        <v>73</v>
      </c>
      <c r="S441" s="13" t="n">
        <v>35</v>
      </c>
      <c r="T441" s="13" t="n">
        <v>170</v>
      </c>
      <c r="U441" s="13" t="n">
        <v>10</v>
      </c>
      <c r="V441" s="13" t="n">
        <v>92</v>
      </c>
      <c r="W441" s="13" t="n">
        <v>0.297</v>
      </c>
      <c r="X441" s="13" t="n">
        <v>85</v>
      </c>
      <c r="Y441" s="13" t="n">
        <v>58</v>
      </c>
      <c r="Z441" s="13" t="n">
        <v>85</v>
      </c>
      <c r="AA441" s="13" t="n">
        <v>5</v>
      </c>
      <c r="AB441" s="13" t="n">
        <v>11.2</v>
      </c>
      <c r="AC441" s="11" t="inlineStr">
        <is>
          <t xml:space="preserve"> On-Piste Carving</t>
        </is>
      </c>
      <c r="AD441" s="13" t="n"/>
      <c r="AE441" s="13" t="n"/>
      <c r="AF441" s="13" t="n"/>
      <c r="AG441" s="13" t="n"/>
    </row>
    <row r="442">
      <c r="A442" s="9" t="inlineStr">
        <is>
          <t>21/22</t>
        </is>
      </c>
      <c r="B442" s="10" t="inlineStr">
        <is>
          <t xml:space="preserve"> Elan</t>
        </is>
      </c>
      <c r="C442" s="11" t="inlineStr">
        <is>
          <t xml:space="preserve"> Element W</t>
        </is>
      </c>
      <c r="D442" s="13" t="n">
        <v>152</v>
      </c>
      <c r="E442" s="11" t="inlineStr">
        <is>
          <t xml:space="preserve"> Women's</t>
        </is>
      </c>
      <c r="F442" s="13" t="n">
        <v>152</v>
      </c>
      <c r="G442" s="13" t="n">
        <v>151.3</v>
      </c>
      <c r="H442" s="13" t="n">
        <v>124</v>
      </c>
      <c r="I442" s="13" t="n">
        <v>138</v>
      </c>
      <c r="J442" s="13" t="n">
        <v>126</v>
      </c>
      <c r="K442" s="13" t="n">
        <v>74</v>
      </c>
      <c r="L442" s="13" t="n">
        <v>101</v>
      </c>
      <c r="M442" s="13" t="n">
        <v>12</v>
      </c>
      <c r="N442" s="13" t="n">
        <v>1553</v>
      </c>
      <c r="O442" s="13" t="n">
        <v>0.87</v>
      </c>
      <c r="P442" s="13" t="n">
        <v>1355</v>
      </c>
      <c r="Q442" s="13" t="n">
        <v>160</v>
      </c>
      <c r="R442" s="13" t="n">
        <v>53</v>
      </c>
      <c r="S442" s="13" t="n">
        <v>38</v>
      </c>
      <c r="T442" s="13" t="n">
        <v>181</v>
      </c>
      <c r="U442" s="13" t="n">
        <v>11</v>
      </c>
      <c r="V442" s="13" t="n">
        <v>92</v>
      </c>
      <c r="W442" s="13" t="n">
        <v>0.278</v>
      </c>
      <c r="X442" s="13" t="n">
        <v>76</v>
      </c>
      <c r="Y442" s="13" t="n">
        <v>55</v>
      </c>
      <c r="Z442" s="13" t="n">
        <v>105</v>
      </c>
      <c r="AA442" s="13" t="n">
        <v>6</v>
      </c>
      <c r="AB442" s="13" t="n">
        <v>10.4</v>
      </c>
      <c r="AC442" s="11" t="inlineStr">
        <is>
          <t xml:space="preserve"> Other</t>
        </is>
      </c>
      <c r="AD442" s="13" t="n"/>
      <c r="AE442" s="13" t="n"/>
      <c r="AF442" s="13" t="n"/>
      <c r="AG442" s="13" t="n"/>
    </row>
    <row r="443">
      <c r="A443" s="9" t="inlineStr">
        <is>
          <t>21/22</t>
        </is>
      </c>
      <c r="B443" s="10" t="inlineStr">
        <is>
          <t xml:space="preserve"> Elan</t>
        </is>
      </c>
      <c r="C443" s="11" t="inlineStr">
        <is>
          <t xml:space="preserve"> Element W</t>
        </is>
      </c>
      <c r="D443" s="13" t="n">
        <v>160</v>
      </c>
      <c r="E443" s="11" t="inlineStr">
        <is>
          <t xml:space="preserve"> Women's</t>
        </is>
      </c>
      <c r="F443" s="13" t="n">
        <v>160</v>
      </c>
      <c r="G443" s="13" t="n">
        <v>159.5</v>
      </c>
      <c r="H443" s="13" t="n">
        <v>136</v>
      </c>
      <c r="I443" s="13" t="n">
        <v>145</v>
      </c>
      <c r="J443" s="13" t="n">
        <v>127</v>
      </c>
      <c r="K443" s="13" t="n">
        <v>75</v>
      </c>
      <c r="L443" s="13" t="n">
        <v>102</v>
      </c>
      <c r="M443" s="13" t="n">
        <v>13.4</v>
      </c>
      <c r="N443" s="13" t="n">
        <v>1737</v>
      </c>
      <c r="O443" s="13" t="n">
        <v>0.83</v>
      </c>
      <c r="P443" s="13" t="n">
        <v>1440</v>
      </c>
      <c r="Q443" s="13" t="n">
        <v>176</v>
      </c>
      <c r="R443" s="13" t="n">
        <v>61</v>
      </c>
      <c r="S443" s="13" t="n">
        <v>37</v>
      </c>
      <c r="T443" s="13" t="n">
        <v>164</v>
      </c>
      <c r="U443" s="13" t="n">
        <v>10</v>
      </c>
      <c r="V443" s="13" t="n">
        <v>73</v>
      </c>
      <c r="W443" s="13" t="n">
        <v>0.268</v>
      </c>
      <c r="X443" s="13" t="n">
        <v>82</v>
      </c>
      <c r="Y443" s="13" t="n">
        <v>59</v>
      </c>
      <c r="Z443" s="13" t="n">
        <v>82</v>
      </c>
      <c r="AA443" s="13" t="n">
        <v>8</v>
      </c>
      <c r="AB443" s="13" t="n">
        <v>10.5</v>
      </c>
      <c r="AC443" s="11" t="inlineStr">
        <is>
          <t xml:space="preserve"> On-Piste Carving</t>
        </is>
      </c>
      <c r="AD443" s="13" t="n"/>
      <c r="AE443" s="13" t="n"/>
      <c r="AF443" s="13" t="n"/>
      <c r="AG443" s="13" t="n"/>
    </row>
    <row r="444">
      <c r="A444" s="9" t="inlineStr">
        <is>
          <t>21/22</t>
        </is>
      </c>
      <c r="B444" s="10" t="inlineStr">
        <is>
          <t xml:space="preserve"> Elan</t>
        </is>
      </c>
      <c r="C444" s="11" t="inlineStr">
        <is>
          <t xml:space="preserve"> Element W</t>
        </is>
      </c>
      <c r="D444" s="13" t="n">
        <v>168</v>
      </c>
      <c r="E444" s="11" t="inlineStr">
        <is>
          <t xml:space="preserve"> Women's</t>
        </is>
      </c>
      <c r="F444" s="13" t="n">
        <v>168</v>
      </c>
      <c r="G444" s="13" t="n">
        <v>167.5</v>
      </c>
      <c r="H444" s="13" t="n">
        <v>144</v>
      </c>
      <c r="I444" s="13" t="n">
        <v>153</v>
      </c>
      <c r="J444" s="13" t="n">
        <v>127</v>
      </c>
      <c r="K444" s="13" t="n">
        <v>75</v>
      </c>
      <c r="L444" s="13" t="n">
        <v>102</v>
      </c>
      <c r="M444" s="13" t="n">
        <v>15.1</v>
      </c>
      <c r="N444" s="13" t="n">
        <v>1819</v>
      </c>
      <c r="O444" s="13" t="n">
        <v>0.83</v>
      </c>
      <c r="P444" s="13" t="n">
        <v>1513</v>
      </c>
      <c r="Q444" s="13" t="n">
        <v>203</v>
      </c>
      <c r="R444" s="13" t="n">
        <v>70</v>
      </c>
      <c r="S444" s="13" t="n">
        <v>34</v>
      </c>
      <c r="T444" s="13" t="n">
        <v>154</v>
      </c>
      <c r="U444" s="13" t="n">
        <v>10</v>
      </c>
      <c r="V444" s="13" t="n">
        <v>77</v>
      </c>
      <c r="W444" s="13" t="n">
        <v>0.286</v>
      </c>
      <c r="X444" s="13" t="n">
        <v>85</v>
      </c>
      <c r="Y444" s="13" t="n">
        <v>59</v>
      </c>
      <c r="Z444" s="13" t="n">
        <v>69</v>
      </c>
      <c r="AA444" s="13" t="n">
        <v>8</v>
      </c>
      <c r="AB444" s="13" t="n">
        <v>10.5</v>
      </c>
      <c r="AC444" s="11" t="inlineStr">
        <is>
          <t xml:space="preserve"> On-Piste Carving</t>
        </is>
      </c>
      <c r="AD444" s="13" t="n"/>
      <c r="AE444" s="13" t="n"/>
      <c r="AF444" s="13" t="n"/>
      <c r="AG444" s="13" t="n"/>
    </row>
    <row r="445">
      <c r="A445" s="9" t="inlineStr">
        <is>
          <t>21/22</t>
        </is>
      </c>
      <c r="B445" s="10" t="inlineStr">
        <is>
          <t xml:space="preserve"> Elan</t>
        </is>
      </c>
      <c r="C445" s="11" t="inlineStr">
        <is>
          <t>Insomnia 12 C</t>
        </is>
      </c>
      <c r="D445" s="13" t="n">
        <v>158</v>
      </c>
      <c r="E445" s="11" t="inlineStr">
        <is>
          <t xml:space="preserve"> Women's</t>
        </is>
      </c>
      <c r="F445" s="13" t="n">
        <v>158</v>
      </c>
      <c r="G445" s="13" t="n">
        <v>159.1</v>
      </c>
      <c r="H445" s="13" t="n">
        <v>138</v>
      </c>
      <c r="I445" s="13" t="n">
        <v>144</v>
      </c>
      <c r="J445" s="13" t="n">
        <v>125</v>
      </c>
      <c r="K445" s="13" t="n">
        <v>76</v>
      </c>
      <c r="L445" s="13" t="n">
        <v>105</v>
      </c>
      <c r="M445" s="13" t="n">
        <v>13.1</v>
      </c>
      <c r="N445" s="13" t="n">
        <v>1731</v>
      </c>
      <c r="O445" s="13" t="n">
        <v>0.84</v>
      </c>
      <c r="P445" s="13" t="n">
        <v>1451</v>
      </c>
      <c r="Q445" s="13" t="n">
        <v>161</v>
      </c>
      <c r="R445" s="13" t="n">
        <v>62</v>
      </c>
      <c r="S445" s="13" t="n">
        <v>32</v>
      </c>
      <c r="T445" s="13" t="n">
        <v>142</v>
      </c>
      <c r="U445" s="13" t="n">
        <v>10</v>
      </c>
      <c r="V445" s="13" t="n">
        <v>70</v>
      </c>
      <c r="W445" s="13" t="n">
        <v>0.302</v>
      </c>
      <c r="X445" s="13" t="n">
        <v>93</v>
      </c>
      <c r="Y445" s="13" t="n">
        <v>60</v>
      </c>
      <c r="Z445" s="13" t="n">
        <v>49</v>
      </c>
      <c r="AA445" s="13" t="n">
        <v>8</v>
      </c>
      <c r="AB445" s="13" t="n">
        <v>8.699999999999999</v>
      </c>
      <c r="AC445" s="11" t="inlineStr">
        <is>
          <t xml:space="preserve"> On-Piste Carving</t>
        </is>
      </c>
      <c r="AD445" s="13" t="n"/>
      <c r="AE445" s="13" t="n"/>
      <c r="AF445" s="13" t="n"/>
      <c r="AG445" s="13" t="n"/>
    </row>
    <row r="446">
      <c r="A446" s="9" t="inlineStr">
        <is>
          <t>21/22</t>
        </is>
      </c>
      <c r="B446" s="10" t="inlineStr">
        <is>
          <t xml:space="preserve"> Elan</t>
        </is>
      </c>
      <c r="C446" s="11" t="inlineStr">
        <is>
          <t>Insomnia 14 Ti</t>
        </is>
      </c>
      <c r="D446" s="13" t="n">
        <v>158</v>
      </c>
      <c r="E446" s="11" t="inlineStr">
        <is>
          <t xml:space="preserve"> Women's</t>
        </is>
      </c>
      <c r="F446" s="13" t="n">
        <v>158</v>
      </c>
      <c r="G446" s="13" t="n">
        <v>159.1</v>
      </c>
      <c r="H446" s="13" t="n">
        <v>138</v>
      </c>
      <c r="I446" s="13" t="n">
        <v>144</v>
      </c>
      <c r="J446" s="13" t="n">
        <v>125</v>
      </c>
      <c r="K446" s="13" t="n">
        <v>76</v>
      </c>
      <c r="L446" s="13" t="n">
        <v>105</v>
      </c>
      <c r="M446" s="13" t="n">
        <v>13.1</v>
      </c>
      <c r="N446" s="13" t="n">
        <v>1773</v>
      </c>
      <c r="O446" s="13" t="n">
        <v>0.82</v>
      </c>
      <c r="P446" s="13" t="n">
        <v>1451</v>
      </c>
      <c r="Q446" s="13" t="n">
        <v>182</v>
      </c>
      <c r="R446" s="13" t="n">
        <v>79</v>
      </c>
      <c r="S446" s="13" t="n">
        <v>32</v>
      </c>
      <c r="T446" s="13" t="n">
        <v>140</v>
      </c>
      <c r="U446" s="13" t="n">
        <v>10</v>
      </c>
      <c r="V446" s="13" t="n">
        <v>69</v>
      </c>
      <c r="W446" s="13" t="n">
        <v>0.302</v>
      </c>
      <c r="X446" s="13" t="n">
        <v>92</v>
      </c>
      <c r="Y446" s="13" t="n">
        <v>62</v>
      </c>
      <c r="Z446" s="13" t="n">
        <v>48</v>
      </c>
      <c r="AA446" s="13" t="n">
        <v>10</v>
      </c>
      <c r="AB446" s="13" t="n">
        <v>8.699999999999999</v>
      </c>
      <c r="AC446" s="11" t="inlineStr">
        <is>
          <t xml:space="preserve"> On-Piste Carving</t>
        </is>
      </c>
      <c r="AD446" s="13" t="n"/>
      <c r="AE446" s="13" t="n"/>
      <c r="AF446" s="13" t="n"/>
      <c r="AG446" s="13" t="n"/>
    </row>
    <row r="447">
      <c r="A447" s="9" t="inlineStr">
        <is>
          <t>21/22</t>
        </is>
      </c>
      <c r="B447" s="10" t="inlineStr">
        <is>
          <t xml:space="preserve"> Elan</t>
        </is>
      </c>
      <c r="C447" s="11" t="inlineStr">
        <is>
          <t>Insomnia 16 Ti</t>
        </is>
      </c>
      <c r="D447" s="13" t="n">
        <v>152</v>
      </c>
      <c r="E447" s="11" t="inlineStr">
        <is>
          <t xml:space="preserve"> Women's</t>
        </is>
      </c>
      <c r="F447" s="13" t="n">
        <v>152</v>
      </c>
      <c r="G447" s="13" t="n">
        <v>152.8</v>
      </c>
      <c r="H447" s="13" t="n">
        <v>134</v>
      </c>
      <c r="I447" s="13" t="n">
        <v>142</v>
      </c>
      <c r="J447" s="13" t="n">
        <v>121</v>
      </c>
      <c r="K447" s="13" t="n">
        <v>72</v>
      </c>
      <c r="L447" s="13" t="n">
        <v>103</v>
      </c>
      <c r="M447" s="13" t="n">
        <v>12.3</v>
      </c>
      <c r="N447" s="13" t="n">
        <v>1690</v>
      </c>
      <c r="O447" s="13" t="n">
        <v>0.79</v>
      </c>
      <c r="P447" s="13" t="n">
        <v>1337</v>
      </c>
      <c r="Q447" s="13" t="n">
        <v>183</v>
      </c>
      <c r="R447" s="13" t="n">
        <v>72</v>
      </c>
      <c r="S447" s="13" t="n">
        <v>41</v>
      </c>
      <c r="T447" s="13" t="n">
        <v>136</v>
      </c>
      <c r="U447" s="13" t="n">
        <v>4</v>
      </c>
      <c r="V447" s="13" t="n">
        <v>49</v>
      </c>
      <c r="W447" s="13" t="n">
        <v>0.096</v>
      </c>
      <c r="X447" s="13" t="n">
        <v>74</v>
      </c>
      <c r="Y447" s="13" t="n">
        <v>39</v>
      </c>
      <c r="Z447" s="13" t="n">
        <v>63</v>
      </c>
      <c r="AA447" s="13" t="n">
        <v>6</v>
      </c>
      <c r="AB447" s="13" t="n">
        <v>10.1</v>
      </c>
      <c r="AC447" s="11" t="inlineStr">
        <is>
          <t xml:space="preserve"> On-Piste Carving</t>
        </is>
      </c>
      <c r="AD447" s="13" t="n"/>
      <c r="AE447" s="13" t="n"/>
      <c r="AF447" s="13" t="n"/>
      <c r="AG447" s="13" t="n"/>
    </row>
    <row r="448">
      <c r="A448" s="9" t="inlineStr">
        <is>
          <t>21/22</t>
        </is>
      </c>
      <c r="B448" s="10" t="inlineStr">
        <is>
          <t xml:space="preserve"> Elan</t>
        </is>
      </c>
      <c r="C448" s="11" t="inlineStr">
        <is>
          <t>Insomnia 16 Ti</t>
        </is>
      </c>
      <c r="D448" s="13" t="n">
        <v>158</v>
      </c>
      <c r="E448" s="11" t="inlineStr">
        <is>
          <t xml:space="preserve"> Women's</t>
        </is>
      </c>
      <c r="F448" s="13" t="n">
        <v>158</v>
      </c>
      <c r="G448" s="13" t="n">
        <v>159</v>
      </c>
      <c r="H448" s="13" t="n">
        <v>140</v>
      </c>
      <c r="I448" s="13" t="n">
        <v>147</v>
      </c>
      <c r="J448" s="13" t="n">
        <v>122</v>
      </c>
      <c r="K448" s="13" t="n">
        <v>73</v>
      </c>
      <c r="L448" s="13" t="n">
        <v>104</v>
      </c>
      <c r="M448" s="13" t="n">
        <v>13.4</v>
      </c>
      <c r="N448" s="13" t="n">
        <v>1753</v>
      </c>
      <c r="O448" s="13" t="n">
        <v>0.8</v>
      </c>
      <c r="P448" s="13" t="n">
        <v>1395</v>
      </c>
      <c r="Q448" s="13" t="n">
        <v>186</v>
      </c>
      <c r="R448" s="13" t="n">
        <v>75</v>
      </c>
      <c r="S448" s="13" t="n">
        <v>41</v>
      </c>
      <c r="T448" s="13" t="n">
        <v>138</v>
      </c>
      <c r="U448" s="13" t="n">
        <v>3</v>
      </c>
      <c r="V448" s="13" t="n">
        <v>48</v>
      </c>
      <c r="W448" s="13" t="n">
        <v>0.076</v>
      </c>
      <c r="X448" s="13" t="n">
        <v>78</v>
      </c>
      <c r="Y448" s="13" t="n">
        <v>38</v>
      </c>
      <c r="Z448" s="13" t="n">
        <v>60</v>
      </c>
      <c r="AA448" s="13" t="n">
        <v>8</v>
      </c>
      <c r="AB448" s="13" t="n">
        <v>9.800000000000001</v>
      </c>
      <c r="AC448" s="11" t="inlineStr">
        <is>
          <t xml:space="preserve"> On-Piste Carving</t>
        </is>
      </c>
      <c r="AD448" s="13" t="n"/>
      <c r="AE448" s="13" t="n"/>
      <c r="AF448" s="13" t="n"/>
      <c r="AG448" s="13" t="n"/>
    </row>
    <row r="449">
      <c r="A449" s="9" t="inlineStr">
        <is>
          <t>21/22</t>
        </is>
      </c>
      <c r="B449" s="10" t="inlineStr">
        <is>
          <t xml:space="preserve"> Elan</t>
        </is>
      </c>
      <c r="C449" s="11" t="inlineStr">
        <is>
          <t>Insomnia 16 Ti</t>
        </is>
      </c>
      <c r="D449" s="13" t="n">
        <v>164</v>
      </c>
      <c r="E449" s="11" t="inlineStr">
        <is>
          <t xml:space="preserve"> Women's</t>
        </is>
      </c>
      <c r="F449" s="13" t="n">
        <v>164</v>
      </c>
      <c r="G449" s="13" t="n">
        <v>164.9</v>
      </c>
      <c r="H449" s="13" t="n">
        <v>147</v>
      </c>
      <c r="I449" s="13" t="n">
        <v>153</v>
      </c>
      <c r="J449" s="13" t="n">
        <v>121</v>
      </c>
      <c r="K449" s="13" t="n">
        <v>73</v>
      </c>
      <c r="L449" s="13" t="n">
        <v>104</v>
      </c>
      <c r="M449" s="13" t="n">
        <v>14.6</v>
      </c>
      <c r="N449" s="13" t="n">
        <v>1813</v>
      </c>
      <c r="O449" s="13" t="n">
        <v>0.8</v>
      </c>
      <c r="P449" s="13" t="n">
        <v>1444</v>
      </c>
      <c r="Q449" s="13" t="n">
        <v>207</v>
      </c>
      <c r="R449" s="13" t="n">
        <v>79</v>
      </c>
      <c r="S449" s="13" t="n">
        <v>41</v>
      </c>
      <c r="T449" s="13" t="n">
        <v>138</v>
      </c>
      <c r="U449" s="13" t="n">
        <v>3</v>
      </c>
      <c r="V449" s="13" t="n">
        <v>46</v>
      </c>
      <c r="W449" s="13" t="n">
        <v>0.06900000000000001</v>
      </c>
      <c r="X449" s="13" t="n">
        <v>82</v>
      </c>
      <c r="Y449" s="13" t="n">
        <v>38</v>
      </c>
      <c r="Z449" s="13" t="n">
        <v>56</v>
      </c>
      <c r="AA449" s="13" t="n">
        <v>9</v>
      </c>
      <c r="AB449" s="13" t="n">
        <v>9.6</v>
      </c>
      <c r="AC449" s="11" t="inlineStr">
        <is>
          <t xml:space="preserve"> On-Piste Carving</t>
        </is>
      </c>
      <c r="AD449" s="13" t="n"/>
      <c r="AE449" s="13" t="n"/>
      <c r="AF449" s="13" t="n"/>
      <c r="AG449" s="13" t="n"/>
    </row>
    <row r="450">
      <c r="A450" s="9" t="inlineStr">
        <is>
          <t>21/22</t>
        </is>
      </c>
      <c r="B450" s="10" t="inlineStr">
        <is>
          <t xml:space="preserve"> Elan</t>
        </is>
      </c>
      <c r="C450" s="11" t="inlineStr">
        <is>
          <t>Ripstick 102 W</t>
        </is>
      </c>
      <c r="D450" s="13" t="n">
        <v>154</v>
      </c>
      <c r="E450" s="11" t="inlineStr">
        <is>
          <t xml:space="preserve"> Women's</t>
        </is>
      </c>
      <c r="F450" s="13" t="n">
        <v>154</v>
      </c>
      <c r="G450" s="13" t="n">
        <v>154.8</v>
      </c>
      <c r="H450" s="13" t="n">
        <v>109</v>
      </c>
      <c r="I450" s="13" t="n">
        <v>123</v>
      </c>
      <c r="J450" s="13" t="n">
        <v>137</v>
      </c>
      <c r="K450" s="13" t="n">
        <v>101</v>
      </c>
      <c r="L450" s="13" t="n">
        <v>115</v>
      </c>
      <c r="M450" s="13" t="n">
        <v>14.8</v>
      </c>
      <c r="N450" s="13" t="n">
        <v>1507</v>
      </c>
      <c r="O450" s="13" t="n">
        <v>1.15</v>
      </c>
      <c r="P450" s="13" t="n">
        <v>1733</v>
      </c>
      <c r="Q450" s="13" t="n">
        <v>140</v>
      </c>
      <c r="R450" s="13" t="n">
        <v>68</v>
      </c>
      <c r="S450" s="13" t="n">
        <v>49</v>
      </c>
      <c r="T450" s="13" t="n">
        <v>296</v>
      </c>
      <c r="U450" s="13" t="n">
        <v>15</v>
      </c>
      <c r="V450" s="13" t="n">
        <v>159</v>
      </c>
      <c r="W450" s="13" t="n">
        <v>0.298</v>
      </c>
      <c r="X450" s="13" t="n">
        <v>166</v>
      </c>
      <c r="Y450" s="13" t="n">
        <v>156</v>
      </c>
      <c r="Z450" s="13" t="n">
        <v>130</v>
      </c>
      <c r="AA450" s="13" t="n">
        <v>4</v>
      </c>
      <c r="AB450" s="13" t="n">
        <v>9.1</v>
      </c>
      <c r="AC450" s="11" t="inlineStr">
        <is>
          <t xml:space="preserve"> Resort Freeride</t>
        </is>
      </c>
      <c r="AD450" s="11" t="inlineStr">
        <is>
          <t xml:space="preserve"> Big Mountain</t>
        </is>
      </c>
      <c r="AE450" s="11" t="inlineStr">
        <is>
          <t xml:space="preserve"> Touring</t>
        </is>
      </c>
      <c r="AF450" s="13" t="n"/>
      <c r="AG450" s="13" t="n"/>
    </row>
    <row r="451">
      <c r="A451" s="9" t="inlineStr">
        <is>
          <t>21/22</t>
        </is>
      </c>
      <c r="B451" s="10" t="inlineStr">
        <is>
          <t xml:space="preserve"> Elan</t>
        </is>
      </c>
      <c r="C451" s="11" t="inlineStr">
        <is>
          <t>Ripstick 102 W</t>
        </is>
      </c>
      <c r="D451" s="13" t="n">
        <v>162</v>
      </c>
      <c r="E451" s="11" t="inlineStr">
        <is>
          <t xml:space="preserve"> Women's</t>
        </is>
      </c>
      <c r="F451" s="13" t="n">
        <v>162</v>
      </c>
      <c r="G451" s="13" t="n">
        <v>161.8</v>
      </c>
      <c r="H451" s="13" t="n">
        <v>106</v>
      </c>
      <c r="I451" s="13" t="n">
        <v>129</v>
      </c>
      <c r="J451" s="13" t="n">
        <v>140</v>
      </c>
      <c r="K451" s="13" t="n">
        <v>103</v>
      </c>
      <c r="L451" s="13" t="n">
        <v>118</v>
      </c>
      <c r="M451" s="13" t="n">
        <v>15.6</v>
      </c>
      <c r="N451" s="13" t="n">
        <v>1581</v>
      </c>
      <c r="O451" s="13" t="n">
        <v>1.17</v>
      </c>
      <c r="P451" s="13" t="n">
        <v>1847</v>
      </c>
      <c r="Q451" s="13" t="n">
        <v>181</v>
      </c>
      <c r="R451" s="13" t="n">
        <v>78</v>
      </c>
      <c r="S451" s="13" t="n">
        <v>54</v>
      </c>
      <c r="T451" s="13" t="n">
        <v>320</v>
      </c>
      <c r="U451" s="13" t="n">
        <v>22</v>
      </c>
      <c r="V451" s="13" t="n">
        <v>241</v>
      </c>
      <c r="W451" s="13" t="n">
        <v>0.402</v>
      </c>
      <c r="X451" s="13" t="n">
        <v>166</v>
      </c>
      <c r="Y451" s="13" t="n">
        <v>164</v>
      </c>
      <c r="Z451" s="13" t="n">
        <v>154</v>
      </c>
      <c r="AA451" s="13" t="n">
        <v>2</v>
      </c>
      <c r="AB451" s="13" t="n">
        <v>6.1</v>
      </c>
      <c r="AC451" s="11" t="inlineStr">
        <is>
          <t xml:space="preserve"> Resort Freeride</t>
        </is>
      </c>
      <c r="AD451" s="11" t="inlineStr">
        <is>
          <t xml:space="preserve"> Powder</t>
        </is>
      </c>
      <c r="AE451" s="11" t="inlineStr">
        <is>
          <t xml:space="preserve"> Touring</t>
        </is>
      </c>
      <c r="AF451" s="13" t="n"/>
      <c r="AG451" s="13" t="n"/>
    </row>
    <row r="452">
      <c r="A452" s="9" t="inlineStr">
        <is>
          <t>21/22</t>
        </is>
      </c>
      <c r="B452" s="10" t="inlineStr">
        <is>
          <t xml:space="preserve"> Elan</t>
        </is>
      </c>
      <c r="C452" s="11" t="inlineStr">
        <is>
          <t>Ripstick 102 W</t>
        </is>
      </c>
      <c r="D452" s="13" t="n">
        <v>170</v>
      </c>
      <c r="E452" s="11" t="inlineStr">
        <is>
          <t xml:space="preserve"> Women's</t>
        </is>
      </c>
      <c r="F452" s="13" t="n">
        <v>170</v>
      </c>
      <c r="G452" s="13" t="n">
        <v>170.3</v>
      </c>
      <c r="H452" s="13" t="n">
        <v>127</v>
      </c>
      <c r="I452" s="13" t="n">
        <v>136</v>
      </c>
      <c r="J452" s="13" t="n">
        <v>143</v>
      </c>
      <c r="K452" s="13" t="n">
        <v>105</v>
      </c>
      <c r="L452" s="13" t="n">
        <v>120</v>
      </c>
      <c r="M452" s="13" t="n">
        <v>16.4</v>
      </c>
      <c r="N452" s="13" t="n">
        <v>1797</v>
      </c>
      <c r="O452" s="13" t="n">
        <v>1.1</v>
      </c>
      <c r="P452" s="13" t="n">
        <v>1982</v>
      </c>
      <c r="Q452" s="13" t="n">
        <v>205</v>
      </c>
      <c r="R452" s="13" t="n">
        <v>86</v>
      </c>
      <c r="S452" s="13" t="n">
        <v>47</v>
      </c>
      <c r="T452" s="13" t="n">
        <v>266</v>
      </c>
      <c r="U452" s="13" t="n">
        <v>17</v>
      </c>
      <c r="V452" s="13" t="n">
        <v>167</v>
      </c>
      <c r="W452" s="13" t="n">
        <v>0.355</v>
      </c>
      <c r="X452" s="13" t="n">
        <v>174</v>
      </c>
      <c r="Y452" s="13" t="n">
        <v>167</v>
      </c>
      <c r="Z452" s="13" t="n">
        <v>92</v>
      </c>
      <c r="AA452" s="13" t="n">
        <v>5</v>
      </c>
      <c r="AB452" s="13" t="n">
        <v>8.699999999999999</v>
      </c>
      <c r="AC452" s="11" t="inlineStr">
        <is>
          <t xml:space="preserve"> Resort Freeride</t>
        </is>
      </c>
      <c r="AD452" s="11" t="inlineStr">
        <is>
          <t xml:space="preserve"> Powder</t>
        </is>
      </c>
      <c r="AE452" s="11" t="inlineStr">
        <is>
          <t xml:space="preserve"> Big Mountain</t>
        </is>
      </c>
      <c r="AF452" s="11" t="inlineStr">
        <is>
          <t xml:space="preserve"> Touring</t>
        </is>
      </c>
      <c r="AG452" s="13" t="n"/>
    </row>
    <row r="453">
      <c r="A453" s="9" t="inlineStr">
        <is>
          <t>21/22</t>
        </is>
      </c>
      <c r="B453" s="10" t="inlineStr">
        <is>
          <t xml:space="preserve"> Elan</t>
        </is>
      </c>
      <c r="C453" s="11" t="inlineStr">
        <is>
          <t>Ripstick 106</t>
        </is>
      </c>
      <c r="D453" s="13" t="n">
        <v>172</v>
      </c>
      <c r="E453" s="11" t="inlineStr">
        <is>
          <t xml:space="preserve"> Unisex</t>
        </is>
      </c>
      <c r="F453" s="13" t="n">
        <v>172</v>
      </c>
      <c r="G453" s="13" t="n">
        <v>170.4</v>
      </c>
      <c r="H453" s="13" t="n">
        <v>128</v>
      </c>
      <c r="I453" s="13" t="n">
        <v>136</v>
      </c>
      <c r="J453" s="13" t="n">
        <v>143</v>
      </c>
      <c r="K453" s="13" t="n">
        <v>104</v>
      </c>
      <c r="L453" s="13" t="n">
        <v>120</v>
      </c>
      <c r="M453" s="13" t="n">
        <v>16.4</v>
      </c>
      <c r="N453" s="13" t="n">
        <v>1544</v>
      </c>
      <c r="O453" s="13" t="n">
        <v>1.28</v>
      </c>
      <c r="P453" s="13" t="n">
        <v>1975</v>
      </c>
      <c r="Q453" s="13" t="n">
        <v>199</v>
      </c>
      <c r="R453" s="13" t="n">
        <v>85</v>
      </c>
      <c r="S453" s="13" t="n">
        <v>48</v>
      </c>
      <c r="T453" s="13" t="n">
        <v>246</v>
      </c>
      <c r="U453" s="13" t="n">
        <v>17</v>
      </c>
      <c r="V453" s="13" t="n">
        <v>181</v>
      </c>
      <c r="W453" s="13" t="n">
        <v>0.351</v>
      </c>
      <c r="X453" s="13" t="n">
        <v>175</v>
      </c>
      <c r="Y453" s="13" t="n">
        <v>167</v>
      </c>
      <c r="Z453" s="13" t="n">
        <v>71</v>
      </c>
      <c r="AA453" s="13" t="n">
        <v>5</v>
      </c>
      <c r="AB453" s="13" t="n">
        <v>9.800000000000001</v>
      </c>
      <c r="AC453" s="11" t="inlineStr">
        <is>
          <t xml:space="preserve"> Resort Freeride</t>
        </is>
      </c>
      <c r="AD453" s="11" t="inlineStr">
        <is>
          <t xml:space="preserve"> Powder</t>
        </is>
      </c>
      <c r="AE453" s="11" t="inlineStr">
        <is>
          <t xml:space="preserve"> Big Mountain</t>
        </is>
      </c>
      <c r="AF453" s="11" t="inlineStr">
        <is>
          <t xml:space="preserve"> Touring</t>
        </is>
      </c>
      <c r="AG453" s="11" t="inlineStr">
        <is>
          <t xml:space="preserve"> Ultralight Touring</t>
        </is>
      </c>
    </row>
    <row r="454">
      <c r="A454" s="9" t="inlineStr">
        <is>
          <t>21/22</t>
        </is>
      </c>
      <c r="B454" s="10" t="inlineStr">
        <is>
          <t xml:space="preserve"> Elan</t>
        </is>
      </c>
      <c r="C454" s="11" t="inlineStr">
        <is>
          <t>Ripstick 106</t>
        </is>
      </c>
      <c r="D454" s="13" t="n">
        <v>180</v>
      </c>
      <c r="E454" s="11" t="inlineStr">
        <is>
          <t xml:space="preserve"> Unisex</t>
        </is>
      </c>
      <c r="F454" s="13" t="n">
        <v>180</v>
      </c>
      <c r="G454" s="13" t="n">
        <v>177.3</v>
      </c>
      <c r="H454" s="13" t="n">
        <v>125</v>
      </c>
      <c r="I454" s="13" t="n">
        <v>142</v>
      </c>
      <c r="J454" s="13" t="n">
        <v>143</v>
      </c>
      <c r="K454" s="13" t="n">
        <v>104</v>
      </c>
      <c r="L454" s="13" t="n">
        <v>119</v>
      </c>
      <c r="M454" s="13" t="n">
        <v>18.3</v>
      </c>
      <c r="N454" s="13" t="n">
        <v>1799</v>
      </c>
      <c r="O454" s="13" t="n">
        <v>1.14</v>
      </c>
      <c r="P454" s="13" t="n">
        <v>2050</v>
      </c>
      <c r="Q454" s="13" t="n">
        <v>242</v>
      </c>
      <c r="R454" s="13" t="n">
        <v>109</v>
      </c>
      <c r="S454" s="13" t="n">
        <v>52</v>
      </c>
      <c r="T454" s="13" t="n">
        <v>310</v>
      </c>
      <c r="U454" s="13" t="n">
        <v>17</v>
      </c>
      <c r="V454" s="13" t="n">
        <v>213</v>
      </c>
      <c r="W454" s="13" t="n">
        <v>0.324</v>
      </c>
      <c r="X454" s="13" t="n">
        <v>176</v>
      </c>
      <c r="Y454" s="13" t="n">
        <v>180</v>
      </c>
      <c r="Z454" s="13" t="n">
        <v>134</v>
      </c>
      <c r="AA454" s="13" t="n">
        <v>4</v>
      </c>
      <c r="AB454" s="13" t="n">
        <v>10</v>
      </c>
      <c r="AC454" s="11" t="inlineStr">
        <is>
          <t xml:space="preserve"> Resort Freeride</t>
        </is>
      </c>
      <c r="AD454" s="11" t="inlineStr">
        <is>
          <t xml:space="preserve"> Big Mountain</t>
        </is>
      </c>
      <c r="AE454" s="11" t="inlineStr">
        <is>
          <t xml:space="preserve"> Touring</t>
        </is>
      </c>
      <c r="AF454" s="13" t="n"/>
      <c r="AG454" s="13" t="n"/>
    </row>
    <row r="455">
      <c r="A455" s="9" t="inlineStr">
        <is>
          <t>21/22</t>
        </is>
      </c>
      <c r="B455" s="10" t="inlineStr">
        <is>
          <t xml:space="preserve"> Elan</t>
        </is>
      </c>
      <c r="C455" s="11" t="inlineStr">
        <is>
          <t>Ripstick 106</t>
        </is>
      </c>
      <c r="D455" s="13" t="n">
        <v>188</v>
      </c>
      <c r="E455" s="11" t="inlineStr">
        <is>
          <t xml:space="preserve"> Unisex</t>
        </is>
      </c>
      <c r="F455" s="13" t="n">
        <v>188</v>
      </c>
      <c r="G455" s="13" t="n">
        <v>184.7</v>
      </c>
      <c r="H455" s="13" t="n">
        <v>134</v>
      </c>
      <c r="I455" s="13" t="n">
        <v>150</v>
      </c>
      <c r="J455" s="13" t="n">
        <v>143</v>
      </c>
      <c r="K455" s="13" t="n">
        <v>104</v>
      </c>
      <c r="L455" s="13" t="n">
        <v>119</v>
      </c>
      <c r="M455" s="13" t="n">
        <v>20.3</v>
      </c>
      <c r="N455" s="13" t="n">
        <v>1959</v>
      </c>
      <c r="O455" s="13" t="n">
        <v>1.09</v>
      </c>
      <c r="P455" s="13" t="n">
        <v>2136</v>
      </c>
      <c r="Q455" s="13" t="n">
        <v>290</v>
      </c>
      <c r="R455" s="13" t="n">
        <v>109</v>
      </c>
      <c r="S455" s="13" t="n">
        <v>49</v>
      </c>
      <c r="T455" s="13" t="n">
        <v>235</v>
      </c>
      <c r="U455" s="13" t="n">
        <v>18</v>
      </c>
      <c r="V455" s="13" t="n">
        <v>274</v>
      </c>
      <c r="W455" s="13" t="n">
        <v>0.361</v>
      </c>
      <c r="X455" s="13" t="n">
        <v>179</v>
      </c>
      <c r="Y455" s="13" t="n">
        <v>173</v>
      </c>
      <c r="Z455" s="13" t="n">
        <v>55</v>
      </c>
      <c r="AA455" s="13" t="n">
        <v>4</v>
      </c>
      <c r="AB455" s="13" t="n">
        <v>10.3</v>
      </c>
      <c r="AC455" s="11" t="inlineStr">
        <is>
          <t xml:space="preserve"> Resort Freeride</t>
        </is>
      </c>
      <c r="AD455" s="11" t="inlineStr">
        <is>
          <t xml:space="preserve"> Powder</t>
        </is>
      </c>
      <c r="AE455" s="11" t="inlineStr">
        <is>
          <t xml:space="preserve"> Big Mountain</t>
        </is>
      </c>
      <c r="AF455" s="11" t="inlineStr">
        <is>
          <t xml:space="preserve"> Touring</t>
        </is>
      </c>
      <c r="AG455" s="13" t="n"/>
    </row>
    <row r="456">
      <c r="A456" s="9" t="inlineStr">
        <is>
          <t>21/22</t>
        </is>
      </c>
      <c r="B456" s="10" t="inlineStr">
        <is>
          <t xml:space="preserve"> Elan</t>
        </is>
      </c>
      <c r="C456" s="11" t="inlineStr">
        <is>
          <t>Ripstick 106 Black Edition</t>
        </is>
      </c>
      <c r="D456" s="13" t="n">
        <v>180</v>
      </c>
      <c r="E456" s="11" t="inlineStr">
        <is>
          <t xml:space="preserve"> Unisex</t>
        </is>
      </c>
      <c r="F456" s="13" t="n">
        <v>180</v>
      </c>
      <c r="G456" s="13" t="n">
        <v>177.3</v>
      </c>
      <c r="H456" s="13" t="n">
        <v>134</v>
      </c>
      <c r="I456" s="13" t="n">
        <v>143</v>
      </c>
      <c r="J456" s="13" t="n">
        <v>142</v>
      </c>
      <c r="K456" s="13" t="n">
        <v>104</v>
      </c>
      <c r="L456" s="13" t="n">
        <v>120</v>
      </c>
      <c r="M456" s="13" t="n">
        <v>18.5</v>
      </c>
      <c r="N456" s="13" t="n">
        <v>1929</v>
      </c>
      <c r="O456" s="13" t="n">
        <v>1.06</v>
      </c>
      <c r="P456" s="13" t="n">
        <v>2054</v>
      </c>
      <c r="Q456" s="13" t="n">
        <v>272</v>
      </c>
      <c r="R456" s="13" t="n">
        <v>120</v>
      </c>
      <c r="S456" s="13" t="n">
        <v>48</v>
      </c>
      <c r="T456" s="13" t="n">
        <v>269</v>
      </c>
      <c r="U456" s="13" t="n">
        <v>14</v>
      </c>
      <c r="V456" s="13" t="n">
        <v>165</v>
      </c>
      <c r="W456" s="13" t="n">
        <v>0.304</v>
      </c>
      <c r="X456" s="13" t="n">
        <v>174</v>
      </c>
      <c r="Y456" s="13" t="n">
        <v>173</v>
      </c>
      <c r="Z456" s="13" t="n">
        <v>95</v>
      </c>
      <c r="AA456" s="13" t="n">
        <v>5</v>
      </c>
      <c r="AB456" s="13" t="n">
        <v>10.1</v>
      </c>
      <c r="AC456" s="11" t="inlineStr">
        <is>
          <t xml:space="preserve"> Resort Freeride</t>
        </is>
      </c>
      <c r="AD456" s="11" t="inlineStr">
        <is>
          <t xml:space="preserve"> Big Mountain</t>
        </is>
      </c>
      <c r="AE456" s="11" t="inlineStr">
        <is>
          <t xml:space="preserve"> Touring</t>
        </is>
      </c>
      <c r="AF456" s="13" t="n"/>
      <c r="AG456" s="13" t="n"/>
    </row>
    <row r="457">
      <c r="A457" s="9" t="inlineStr">
        <is>
          <t>21/22</t>
        </is>
      </c>
      <c r="B457" s="10" t="inlineStr">
        <is>
          <t xml:space="preserve"> Elan</t>
        </is>
      </c>
      <c r="C457" s="11" t="inlineStr">
        <is>
          <t>Ripstick 106 Black Edition</t>
        </is>
      </c>
      <c r="D457" s="13" t="n">
        <v>188</v>
      </c>
      <c r="E457" s="11" t="inlineStr">
        <is>
          <t xml:space="preserve"> Unisex</t>
        </is>
      </c>
      <c r="F457" s="13" t="n">
        <v>188</v>
      </c>
      <c r="G457" s="13" t="n">
        <v>184.7</v>
      </c>
      <c r="H457" s="13" t="n">
        <v>129</v>
      </c>
      <c r="I457" s="13" t="n">
        <v>149</v>
      </c>
      <c r="J457" s="13" t="n">
        <v>143</v>
      </c>
      <c r="K457" s="13" t="n">
        <v>104</v>
      </c>
      <c r="L457" s="13" t="n">
        <v>120</v>
      </c>
      <c r="M457" s="13" t="n">
        <v>20.3</v>
      </c>
      <c r="N457" s="13" t="n">
        <v>2041</v>
      </c>
      <c r="O457" s="13" t="n">
        <v>1.05</v>
      </c>
      <c r="P457" s="13" t="n">
        <v>2137</v>
      </c>
      <c r="Q457" s="13" t="n">
        <v>290</v>
      </c>
      <c r="R457" s="13" t="n">
        <v>122</v>
      </c>
      <c r="S457" s="13" t="n">
        <v>51</v>
      </c>
      <c r="T457" s="13" t="n">
        <v>301</v>
      </c>
      <c r="U457" s="13" t="n">
        <v>17</v>
      </c>
      <c r="V457" s="13" t="n">
        <v>253</v>
      </c>
      <c r="W457" s="13" t="n">
        <v>0.332</v>
      </c>
      <c r="X457" s="13" t="n">
        <v>185</v>
      </c>
      <c r="Y457" s="13" t="n">
        <v>170</v>
      </c>
      <c r="Z457" s="13" t="n">
        <v>117</v>
      </c>
      <c r="AA457" s="13" t="n">
        <v>3</v>
      </c>
      <c r="AB457" s="13" t="n">
        <v>10</v>
      </c>
      <c r="AC457" s="11" t="inlineStr">
        <is>
          <t xml:space="preserve"> Resort Freeride</t>
        </is>
      </c>
      <c r="AD457" s="11" t="inlineStr">
        <is>
          <t xml:space="preserve"> Big Mountain</t>
        </is>
      </c>
      <c r="AE457" s="13" t="n"/>
      <c r="AF457" s="13" t="n"/>
      <c r="AG457" s="13" t="n"/>
    </row>
    <row r="458">
      <c r="A458" s="9" t="inlineStr">
        <is>
          <t>21/22</t>
        </is>
      </c>
      <c r="B458" s="10" t="inlineStr">
        <is>
          <t xml:space="preserve"> Elan</t>
        </is>
      </c>
      <c r="C458" s="11" t="inlineStr">
        <is>
          <t>Ripstick 116</t>
        </is>
      </c>
      <c r="D458" s="13" t="n">
        <v>185</v>
      </c>
      <c r="E458" s="11" t="inlineStr">
        <is>
          <t xml:space="preserve"> Unisex</t>
        </is>
      </c>
      <c r="F458" s="13" t="n">
        <v>185</v>
      </c>
      <c r="G458" s="13" t="n">
        <v>183.4</v>
      </c>
      <c r="H458" s="13" t="n">
        <v>133</v>
      </c>
      <c r="I458" s="13" t="n">
        <v>145</v>
      </c>
      <c r="J458" s="13" t="n">
        <v>145</v>
      </c>
      <c r="K458" s="13" t="n">
        <v>114</v>
      </c>
      <c r="L458" s="13" t="n">
        <v>131</v>
      </c>
      <c r="M458" s="13" t="n">
        <v>20.5</v>
      </c>
      <c r="N458" s="13" t="n">
        <v>2023</v>
      </c>
      <c r="O458" s="13" t="n">
        <v>1.12</v>
      </c>
      <c r="P458" s="13" t="n">
        <v>2266</v>
      </c>
      <c r="Q458" s="13" t="n">
        <v>241</v>
      </c>
      <c r="R458" s="13" t="n">
        <v>104</v>
      </c>
      <c r="S458" s="13" t="n">
        <v>41</v>
      </c>
      <c r="T458" s="13" t="n">
        <v>282</v>
      </c>
      <c r="U458" s="13" t="n">
        <v>26</v>
      </c>
      <c r="V458" s="13" t="n">
        <v>223</v>
      </c>
      <c r="W458" s="13" t="n">
        <v>0.617</v>
      </c>
      <c r="X458" s="13" t="n">
        <v>186</v>
      </c>
      <c r="Y458" s="13" t="n">
        <v>198</v>
      </c>
      <c r="Z458" s="13" t="n">
        <v>95</v>
      </c>
      <c r="AA458" s="13" t="n">
        <v>4</v>
      </c>
      <c r="AB458" s="13" t="n">
        <v>6</v>
      </c>
      <c r="AC458" s="11" t="inlineStr">
        <is>
          <t xml:space="preserve"> Powder</t>
        </is>
      </c>
      <c r="AD458" s="11" t="inlineStr">
        <is>
          <t xml:space="preserve"> Touring</t>
        </is>
      </c>
      <c r="AE458" s="13" t="n"/>
      <c r="AF458" s="13" t="n"/>
      <c r="AG458" s="13" t="n"/>
    </row>
    <row r="459">
      <c r="A459" s="9" t="inlineStr">
        <is>
          <t>21/22</t>
        </is>
      </c>
      <c r="B459" s="10" t="inlineStr">
        <is>
          <t xml:space="preserve"> Elan</t>
        </is>
      </c>
      <c r="C459" s="11" t="inlineStr">
        <is>
          <t>Ripstick 88</t>
        </is>
      </c>
      <c r="D459" s="13" t="n">
        <v>164</v>
      </c>
      <c r="E459" s="11" t="inlineStr">
        <is>
          <t xml:space="preserve"> Unisex</t>
        </is>
      </c>
      <c r="F459" s="13" t="n">
        <v>164</v>
      </c>
      <c r="G459" s="13" t="n">
        <v>163.8</v>
      </c>
      <c r="H459" s="13" t="n">
        <v>125</v>
      </c>
      <c r="I459" s="13" t="n">
        <v>134</v>
      </c>
      <c r="J459" s="13" t="n">
        <v>129</v>
      </c>
      <c r="K459" s="13" t="n">
        <v>87</v>
      </c>
      <c r="L459" s="13" t="n">
        <v>104</v>
      </c>
      <c r="M459" s="13" t="n">
        <v>14.2</v>
      </c>
      <c r="N459" s="13" t="n">
        <v>1383</v>
      </c>
      <c r="O459" s="13" t="n">
        <v>1.19</v>
      </c>
      <c r="P459" s="13" t="n">
        <v>1644</v>
      </c>
      <c r="Q459" s="13" t="n">
        <v>136</v>
      </c>
      <c r="R459" s="13" t="n">
        <v>57</v>
      </c>
      <c r="S459" s="13" t="n">
        <v>48</v>
      </c>
      <c r="T459" s="13" t="n">
        <v>229</v>
      </c>
      <c r="U459" s="13" t="n">
        <v>13</v>
      </c>
      <c r="V459" s="13" t="n">
        <v>160</v>
      </c>
      <c r="W459" s="13" t="n">
        <v>0.263</v>
      </c>
      <c r="X459" s="13" t="n">
        <v>159</v>
      </c>
      <c r="Y459" s="13" t="n">
        <v>141</v>
      </c>
      <c r="Z459" s="13" t="n">
        <v>70</v>
      </c>
      <c r="AA459" s="13" t="n">
        <v>5</v>
      </c>
      <c r="AB459" s="13" t="n">
        <v>9.6</v>
      </c>
      <c r="AC459" s="11" t="inlineStr">
        <is>
          <t xml:space="preserve"> Resort Freeride</t>
        </is>
      </c>
      <c r="AD459" s="11" t="inlineStr">
        <is>
          <t xml:space="preserve"> Touring</t>
        </is>
      </c>
      <c r="AE459" s="13" t="n"/>
      <c r="AF459" s="13" t="n"/>
      <c r="AG459" s="13" t="n"/>
    </row>
    <row r="460">
      <c r="A460" s="9" t="inlineStr">
        <is>
          <t>21/22</t>
        </is>
      </c>
      <c r="B460" s="10" t="inlineStr">
        <is>
          <t xml:space="preserve"> Elan</t>
        </is>
      </c>
      <c r="C460" s="11" t="inlineStr">
        <is>
          <t>Ripstick 88</t>
        </is>
      </c>
      <c r="D460" s="13" t="n">
        <v>172</v>
      </c>
      <c r="E460" s="11" t="inlineStr">
        <is>
          <t xml:space="preserve"> Unisex</t>
        </is>
      </c>
      <c r="F460" s="13" t="n">
        <v>172</v>
      </c>
      <c r="G460" s="13" t="n">
        <v>170.4</v>
      </c>
      <c r="H460" s="13" t="n">
        <v>128</v>
      </c>
      <c r="I460" s="13" t="n">
        <v>138</v>
      </c>
      <c r="J460" s="13" t="n">
        <v>129</v>
      </c>
      <c r="K460" s="13" t="n">
        <v>87</v>
      </c>
      <c r="L460" s="13" t="n">
        <v>104</v>
      </c>
      <c r="M460" s="13" t="n">
        <v>15.4</v>
      </c>
      <c r="N460" s="13" t="n">
        <v>1539</v>
      </c>
      <c r="O460" s="13" t="n">
        <v>1.11</v>
      </c>
      <c r="P460" s="13" t="n">
        <v>1713</v>
      </c>
      <c r="Q460" s="13" t="n">
        <v>182</v>
      </c>
      <c r="R460" s="13" t="n">
        <v>67</v>
      </c>
      <c r="S460" s="13" t="n">
        <v>49</v>
      </c>
      <c r="T460" s="13" t="n">
        <v>233</v>
      </c>
      <c r="U460" s="13" t="n">
        <v>16</v>
      </c>
      <c r="V460" s="13" t="n">
        <v>191</v>
      </c>
      <c r="W460" s="13" t="n">
        <v>0.324</v>
      </c>
      <c r="X460" s="13" t="n">
        <v>152</v>
      </c>
      <c r="Y460" s="13" t="n">
        <v>167</v>
      </c>
      <c r="Z460" s="13" t="n">
        <v>81</v>
      </c>
      <c r="AA460" s="13" t="n">
        <v>4</v>
      </c>
      <c r="AB460" s="13" t="n">
        <v>9.300000000000001</v>
      </c>
      <c r="AC460" s="11" t="inlineStr">
        <is>
          <t xml:space="preserve"> Resort Freeride</t>
        </is>
      </c>
      <c r="AD460" s="11" t="inlineStr">
        <is>
          <t xml:space="preserve"> Touring</t>
        </is>
      </c>
      <c r="AE460" s="13" t="n"/>
      <c r="AF460" s="13" t="n"/>
      <c r="AG460" s="13" t="n"/>
    </row>
    <row r="461">
      <c r="A461" s="9" t="inlineStr">
        <is>
          <t>21/22</t>
        </is>
      </c>
      <c r="B461" s="10" t="inlineStr">
        <is>
          <t xml:space="preserve"> Elan</t>
        </is>
      </c>
      <c r="C461" s="11" t="inlineStr">
        <is>
          <t>Ripstick 88</t>
        </is>
      </c>
      <c r="D461" s="13" t="n">
        <v>180</v>
      </c>
      <c r="E461" s="11" t="inlineStr">
        <is>
          <t xml:space="preserve"> Unisex</t>
        </is>
      </c>
      <c r="F461" s="13" t="n">
        <v>180</v>
      </c>
      <c r="G461" s="13" t="n">
        <v>177</v>
      </c>
      <c r="H461" s="13" t="n">
        <v>139</v>
      </c>
      <c r="I461" s="13" t="n">
        <v>144</v>
      </c>
      <c r="J461" s="13" t="n">
        <v>129</v>
      </c>
      <c r="K461" s="13" t="n">
        <v>87</v>
      </c>
      <c r="L461" s="13" t="n">
        <v>104</v>
      </c>
      <c r="M461" s="13" t="n">
        <v>17.1</v>
      </c>
      <c r="N461" s="13" t="n">
        <v>1569</v>
      </c>
      <c r="O461" s="13" t="n">
        <v>1.13</v>
      </c>
      <c r="P461" s="13" t="n">
        <v>1777</v>
      </c>
      <c r="Q461" s="13" t="n">
        <v>193</v>
      </c>
      <c r="R461" s="13" t="n">
        <v>71</v>
      </c>
      <c r="S461" s="13" t="n">
        <v>50</v>
      </c>
      <c r="T461" s="13" t="n">
        <v>230</v>
      </c>
      <c r="U461" s="13" t="n">
        <v>14</v>
      </c>
      <c r="V461" s="13" t="n">
        <v>154</v>
      </c>
      <c r="W461" s="13" t="n">
        <v>0.284</v>
      </c>
      <c r="X461" s="13" t="n">
        <v>161</v>
      </c>
      <c r="Y461" s="13" t="n">
        <v>174</v>
      </c>
      <c r="Z461" s="13" t="n">
        <v>69</v>
      </c>
      <c r="AA461" s="13" t="n">
        <v>5</v>
      </c>
      <c r="AB461" s="13" t="n">
        <v>9.1</v>
      </c>
      <c r="AC461" s="11" t="inlineStr">
        <is>
          <t xml:space="preserve"> Resort Freeride</t>
        </is>
      </c>
      <c r="AD461" s="11" t="inlineStr">
        <is>
          <t xml:space="preserve"> Touring</t>
        </is>
      </c>
      <c r="AE461" s="13" t="n"/>
      <c r="AF461" s="13" t="n"/>
      <c r="AG461" s="13" t="n"/>
    </row>
    <row r="462">
      <c r="A462" s="9" t="inlineStr">
        <is>
          <t>21/22</t>
        </is>
      </c>
      <c r="B462" s="10" t="inlineStr">
        <is>
          <t xml:space="preserve"> Elan</t>
        </is>
      </c>
      <c r="C462" s="11" t="inlineStr">
        <is>
          <t>Ripstick 88</t>
        </is>
      </c>
      <c r="D462" s="13" t="n">
        <v>188</v>
      </c>
      <c r="E462" s="11" t="inlineStr">
        <is>
          <t xml:space="preserve"> Unisex</t>
        </is>
      </c>
      <c r="F462" s="13" t="n">
        <v>188</v>
      </c>
      <c r="G462" s="13" t="n">
        <v>184.3</v>
      </c>
      <c r="H462" s="13" t="n">
        <v>142</v>
      </c>
      <c r="I462" s="13" t="n">
        <v>153</v>
      </c>
      <c r="J462" s="13" t="n">
        <v>129</v>
      </c>
      <c r="K462" s="13" t="n">
        <v>87</v>
      </c>
      <c r="L462" s="13" t="n">
        <v>104</v>
      </c>
      <c r="M462" s="13" t="n">
        <v>18.8</v>
      </c>
      <c r="N462" s="13" t="n">
        <v>1663</v>
      </c>
      <c r="O462" s="13" t="n">
        <v>1.11</v>
      </c>
      <c r="P462" s="13" t="n">
        <v>1848</v>
      </c>
      <c r="Q462" s="13" t="n">
        <v>176</v>
      </c>
      <c r="R462" s="13" t="n">
        <v>69</v>
      </c>
      <c r="S462" s="13" t="n">
        <v>49</v>
      </c>
      <c r="T462" s="13" t="n">
        <v>225</v>
      </c>
      <c r="U462" s="13" t="n">
        <v>16</v>
      </c>
      <c r="V462" s="13" t="n">
        <v>195</v>
      </c>
      <c r="W462" s="13" t="n">
        <v>0.321</v>
      </c>
      <c r="X462" s="13" t="n">
        <v>147</v>
      </c>
      <c r="Y462" s="13" t="n">
        <v>166</v>
      </c>
      <c r="Z462" s="13" t="n">
        <v>77</v>
      </c>
      <c r="AA462" s="13" t="n">
        <v>7</v>
      </c>
      <c r="AB462" s="13" t="n">
        <v>9.5</v>
      </c>
      <c r="AC462" s="11" t="inlineStr">
        <is>
          <t xml:space="preserve"> Resort Freeride</t>
        </is>
      </c>
      <c r="AD462" s="11" t="inlineStr">
        <is>
          <t xml:space="preserve"> Touring</t>
        </is>
      </c>
      <c r="AE462" s="13" t="n"/>
      <c r="AF462" s="13" t="n"/>
      <c r="AG462" s="13" t="n"/>
    </row>
    <row r="463">
      <c r="A463" s="9" t="inlineStr">
        <is>
          <t>21/22</t>
        </is>
      </c>
      <c r="B463" s="10" t="inlineStr">
        <is>
          <t xml:space="preserve"> Elan</t>
        </is>
      </c>
      <c r="C463" s="11" t="inlineStr">
        <is>
          <t>Ripstick 88 W</t>
        </is>
      </c>
      <c r="D463" s="13" t="n">
        <v>146</v>
      </c>
      <c r="E463" s="11" t="inlineStr">
        <is>
          <t xml:space="preserve"> Women's</t>
        </is>
      </c>
      <c r="F463" s="13" t="n">
        <v>146</v>
      </c>
      <c r="G463" s="13" t="n">
        <v>149.8</v>
      </c>
      <c r="H463" s="13" t="n">
        <v>106</v>
      </c>
      <c r="I463" s="13" t="n">
        <v>125</v>
      </c>
      <c r="J463" s="13" t="n">
        <v>130</v>
      </c>
      <c r="K463" s="13" t="n">
        <v>87</v>
      </c>
      <c r="L463" s="13" t="n">
        <v>104</v>
      </c>
      <c r="M463" s="13" t="n">
        <v>12.9</v>
      </c>
      <c r="N463" s="13" t="n">
        <v>1276</v>
      </c>
      <c r="O463" s="13" t="n">
        <v>1.18</v>
      </c>
      <c r="P463" s="13" t="n">
        <v>1503</v>
      </c>
      <c r="Q463" s="13" t="n">
        <v>125</v>
      </c>
      <c r="R463" s="13" t="n">
        <v>53</v>
      </c>
      <c r="S463" s="13" t="n">
        <v>50</v>
      </c>
      <c r="T463" s="13" t="n">
        <v>300</v>
      </c>
      <c r="U463" s="13" t="n">
        <v>12</v>
      </c>
      <c r="V463" s="13" t="n">
        <v>142</v>
      </c>
      <c r="W463" s="13" t="n">
        <v>0.239</v>
      </c>
      <c r="X463" s="13" t="n">
        <v>140</v>
      </c>
      <c r="Y463" s="13" t="n">
        <v>111</v>
      </c>
      <c r="Z463" s="13" t="n">
        <v>159</v>
      </c>
      <c r="AA463" s="13" t="n">
        <v>3</v>
      </c>
      <c r="AB463" s="13" t="n">
        <v>7.6</v>
      </c>
      <c r="AC463" s="11" t="inlineStr">
        <is>
          <t xml:space="preserve"> Resort Freeride</t>
        </is>
      </c>
      <c r="AD463" s="11" t="inlineStr">
        <is>
          <t xml:space="preserve"> Touring</t>
        </is>
      </c>
      <c r="AE463" s="13" t="n"/>
      <c r="AF463" s="13" t="n"/>
      <c r="AG463" s="13" t="n"/>
    </row>
    <row r="464">
      <c r="A464" s="9" t="inlineStr">
        <is>
          <t>21/22</t>
        </is>
      </c>
      <c r="B464" s="10" t="inlineStr">
        <is>
          <t xml:space="preserve"> Elan</t>
        </is>
      </c>
      <c r="C464" s="11" t="inlineStr">
        <is>
          <t>Ripstick 88 W</t>
        </is>
      </c>
      <c r="D464" s="13" t="n">
        <v>154</v>
      </c>
      <c r="E464" s="11" t="inlineStr">
        <is>
          <t xml:space="preserve"> Women's</t>
        </is>
      </c>
      <c r="F464" s="13" t="n">
        <v>154</v>
      </c>
      <c r="G464" s="13" t="n">
        <v>156.4</v>
      </c>
      <c r="H464" s="13" t="n">
        <v>121</v>
      </c>
      <c r="I464" s="13" t="n">
        <v>132</v>
      </c>
      <c r="J464" s="13" t="n">
        <v>129</v>
      </c>
      <c r="K464" s="13" t="n">
        <v>87</v>
      </c>
      <c r="L464" s="13" t="n">
        <v>105</v>
      </c>
      <c r="M464" s="13" t="n">
        <v>13.6</v>
      </c>
      <c r="N464" s="13" t="n">
        <v>1327</v>
      </c>
      <c r="O464" s="13" t="n">
        <v>1.18</v>
      </c>
      <c r="P464" s="13" t="n">
        <v>1572</v>
      </c>
      <c r="Q464" s="13" t="n">
        <v>121</v>
      </c>
      <c r="R464" s="13" t="n">
        <v>56</v>
      </c>
      <c r="S464" s="13" t="n">
        <v>46</v>
      </c>
      <c r="T464" s="13" t="n">
        <v>221</v>
      </c>
      <c r="U464" s="13" t="n">
        <v>11</v>
      </c>
      <c r="V464" s="13" t="n">
        <v>133</v>
      </c>
      <c r="W464" s="13" t="n">
        <v>0.243</v>
      </c>
      <c r="X464" s="13" t="n">
        <v>136</v>
      </c>
      <c r="Y464" s="13" t="n">
        <v>104</v>
      </c>
      <c r="Z464" s="13" t="n">
        <v>84</v>
      </c>
      <c r="AA464" s="13" t="n">
        <v>4</v>
      </c>
      <c r="AB464" s="13" t="n">
        <v>8.5</v>
      </c>
      <c r="AC464" s="11" t="inlineStr">
        <is>
          <t xml:space="preserve"> Resort Freeride</t>
        </is>
      </c>
      <c r="AD464" s="11" t="inlineStr">
        <is>
          <t xml:space="preserve"> Touring</t>
        </is>
      </c>
      <c r="AE464" s="13" t="n"/>
      <c r="AF464" s="13" t="n"/>
      <c r="AG464" s="13" t="n"/>
    </row>
    <row r="465">
      <c r="A465" s="9" t="inlineStr">
        <is>
          <t>21/22</t>
        </is>
      </c>
      <c r="B465" s="10" t="inlineStr">
        <is>
          <t xml:space="preserve"> Elan</t>
        </is>
      </c>
      <c r="C465" s="11" t="inlineStr">
        <is>
          <t>Ripstick 88 W</t>
        </is>
      </c>
      <c r="D465" s="13" t="n">
        <v>162</v>
      </c>
      <c r="E465" s="11" t="inlineStr">
        <is>
          <t xml:space="preserve"> Women's</t>
        </is>
      </c>
      <c r="F465" s="13" t="n">
        <v>162</v>
      </c>
      <c r="G465" s="13" t="n">
        <v>163.9</v>
      </c>
      <c r="H465" s="13" t="n">
        <v>123</v>
      </c>
      <c r="I465" s="13" t="n">
        <v>133</v>
      </c>
      <c r="J465" s="13" t="n">
        <v>130</v>
      </c>
      <c r="K465" s="13" t="n">
        <v>87</v>
      </c>
      <c r="L465" s="13" t="n">
        <v>105</v>
      </c>
      <c r="M465" s="13" t="n">
        <v>14.1</v>
      </c>
      <c r="N465" s="13" t="n">
        <v>1404</v>
      </c>
      <c r="O465" s="13" t="n">
        <v>1.18</v>
      </c>
      <c r="P465" s="13" t="n">
        <v>1651</v>
      </c>
      <c r="Q465" s="13" t="n">
        <v>130</v>
      </c>
      <c r="R465" s="13" t="n">
        <v>61</v>
      </c>
      <c r="S465" s="13" t="n">
        <v>46</v>
      </c>
      <c r="T465" s="13" t="n">
        <v>260</v>
      </c>
      <c r="U465" s="13" t="n">
        <v>13</v>
      </c>
      <c r="V465" s="13" t="n">
        <v>149</v>
      </c>
      <c r="W465" s="13" t="n">
        <v>0.275</v>
      </c>
      <c r="X465" s="13" t="n">
        <v>157</v>
      </c>
      <c r="Y465" s="13" t="n">
        <v>153</v>
      </c>
      <c r="Z465" s="13" t="n">
        <v>103</v>
      </c>
      <c r="AA465" s="13" t="n">
        <v>4</v>
      </c>
      <c r="AB465" s="13" t="n">
        <v>8.5</v>
      </c>
      <c r="AC465" s="11" t="inlineStr">
        <is>
          <t xml:space="preserve"> Resort Freeride</t>
        </is>
      </c>
      <c r="AD465" s="11" t="inlineStr">
        <is>
          <t xml:space="preserve"> Touring</t>
        </is>
      </c>
      <c r="AE465" s="13" t="n"/>
      <c r="AF465" s="13" t="n"/>
      <c r="AG465" s="13" t="n"/>
    </row>
    <row r="466">
      <c r="A466" s="9" t="inlineStr">
        <is>
          <t>21/22</t>
        </is>
      </c>
      <c r="B466" s="10" t="inlineStr">
        <is>
          <t xml:space="preserve"> Elan</t>
        </is>
      </c>
      <c r="C466" s="11" t="inlineStr">
        <is>
          <t>Ripstick 88 W</t>
        </is>
      </c>
      <c r="D466" s="13" t="n">
        <v>170</v>
      </c>
      <c r="E466" s="11" t="inlineStr">
        <is>
          <t xml:space="preserve"> Women's</t>
        </is>
      </c>
      <c r="F466" s="13" t="n">
        <v>170</v>
      </c>
      <c r="G466" s="13" t="n">
        <v>170.5</v>
      </c>
      <c r="H466" s="13" t="n">
        <v>128</v>
      </c>
      <c r="I466" s="13" t="n">
        <v>138</v>
      </c>
      <c r="J466" s="13" t="n">
        <v>129</v>
      </c>
      <c r="K466" s="13" t="n">
        <v>88</v>
      </c>
      <c r="L466" s="13" t="n">
        <v>105</v>
      </c>
      <c r="M466" s="13" t="n">
        <v>15.4</v>
      </c>
      <c r="N466" s="13" t="n">
        <v>1501</v>
      </c>
      <c r="O466" s="13" t="n">
        <v>1.14</v>
      </c>
      <c r="P466" s="13" t="n">
        <v>1718</v>
      </c>
      <c r="Q466" s="13" t="n">
        <v>157</v>
      </c>
      <c r="R466" s="13" t="n">
        <v>60</v>
      </c>
      <c r="S466" s="13" t="n">
        <v>49</v>
      </c>
      <c r="T466" s="13" t="n">
        <v>231</v>
      </c>
      <c r="U466" s="13" t="n">
        <v>16</v>
      </c>
      <c r="V466" s="13" t="n">
        <v>198</v>
      </c>
      <c r="W466" s="13" t="n">
        <v>0.338</v>
      </c>
      <c r="X466" s="13" t="n">
        <v>157</v>
      </c>
      <c r="Y466" s="13" t="n">
        <v>168</v>
      </c>
      <c r="Z466" s="13" t="n">
        <v>74</v>
      </c>
      <c r="AA466" s="13" t="n">
        <v>4</v>
      </c>
      <c r="AB466" s="13" t="n">
        <v>8.699999999999999</v>
      </c>
      <c r="AC466" s="11" t="inlineStr">
        <is>
          <t xml:space="preserve"> Resort Freeride</t>
        </is>
      </c>
      <c r="AD466" s="11" t="inlineStr">
        <is>
          <t xml:space="preserve"> Touring</t>
        </is>
      </c>
      <c r="AE466" s="13" t="n"/>
      <c r="AF466" s="13" t="n"/>
      <c r="AG466" s="13" t="n"/>
    </row>
    <row r="467">
      <c r="A467" s="9" t="inlineStr">
        <is>
          <t>21/22</t>
        </is>
      </c>
      <c r="B467" s="10" t="inlineStr">
        <is>
          <t xml:space="preserve"> Elan</t>
        </is>
      </c>
      <c r="C467" s="11" t="inlineStr">
        <is>
          <t>Ripstick 94 W</t>
        </is>
      </c>
      <c r="D467" s="13" t="n">
        <v>154</v>
      </c>
      <c r="E467" s="11" t="inlineStr">
        <is>
          <t xml:space="preserve"> Women's</t>
        </is>
      </c>
      <c r="F467" s="13" t="n">
        <v>154</v>
      </c>
      <c r="G467" s="13" t="n">
        <v>154.9</v>
      </c>
      <c r="H467" s="13" t="n">
        <v>105</v>
      </c>
      <c r="I467" s="13" t="n">
        <v>121</v>
      </c>
      <c r="J467" s="13" t="n">
        <v>131</v>
      </c>
      <c r="K467" s="13" t="n">
        <v>94</v>
      </c>
      <c r="L467" s="13" t="n">
        <v>107</v>
      </c>
      <c r="M467" s="13" t="n">
        <v>13.9</v>
      </c>
      <c r="N467" s="13" t="n">
        <v>1394</v>
      </c>
      <c r="O467" s="13" t="n">
        <v>1.17</v>
      </c>
      <c r="P467" s="13" t="n">
        <v>1628</v>
      </c>
      <c r="Q467" s="13" t="n">
        <v>146</v>
      </c>
      <c r="R467" s="13" t="n">
        <v>62</v>
      </c>
      <c r="S467" s="13" t="n">
        <v>49</v>
      </c>
      <c r="T467" s="13" t="n">
        <v>298</v>
      </c>
      <c r="U467" s="13" t="n">
        <v>16</v>
      </c>
      <c r="V467" s="13" t="n">
        <v>203</v>
      </c>
      <c r="W467" s="13" t="n">
        <v>0.322</v>
      </c>
      <c r="X467" s="13" t="n">
        <v>176</v>
      </c>
      <c r="Y467" s="13" t="n">
        <v>161</v>
      </c>
      <c r="Z467" s="13" t="n">
        <v>122</v>
      </c>
      <c r="AA467" s="13" t="n">
        <v>3</v>
      </c>
      <c r="AB467" s="13" t="n">
        <v>7</v>
      </c>
      <c r="AC467" s="11" t="inlineStr">
        <is>
          <t xml:space="preserve"> Resort Freeride</t>
        </is>
      </c>
      <c r="AD467" s="11" t="inlineStr">
        <is>
          <t xml:space="preserve"> Touring</t>
        </is>
      </c>
      <c r="AE467" s="13" t="n"/>
      <c r="AF467" s="13" t="n"/>
      <c r="AG467" s="13" t="n"/>
    </row>
    <row r="468">
      <c r="A468" s="9" t="inlineStr">
        <is>
          <t>21/22</t>
        </is>
      </c>
      <c r="B468" s="10" t="inlineStr">
        <is>
          <t xml:space="preserve"> Elan</t>
        </is>
      </c>
      <c r="C468" s="11" t="inlineStr">
        <is>
          <t>Ripstick 94 W</t>
        </is>
      </c>
      <c r="D468" s="13" t="n">
        <v>162</v>
      </c>
      <c r="E468" s="11" t="inlineStr">
        <is>
          <t xml:space="preserve"> Women's</t>
        </is>
      </c>
      <c r="F468" s="13" t="n">
        <v>162</v>
      </c>
      <c r="G468" s="13" t="n">
        <v>162.1</v>
      </c>
      <c r="H468" s="13" t="n">
        <v>116</v>
      </c>
      <c r="I468" s="13" t="n">
        <v>129</v>
      </c>
      <c r="J468" s="13" t="n">
        <v>133</v>
      </c>
      <c r="K468" s="13" t="n">
        <v>94</v>
      </c>
      <c r="L468" s="13" t="n">
        <v>108</v>
      </c>
      <c r="M468" s="13" t="n">
        <v>14.9</v>
      </c>
      <c r="N468" s="13" t="n">
        <v>1451</v>
      </c>
      <c r="O468" s="13" t="n">
        <v>1.18</v>
      </c>
      <c r="P468" s="13" t="n">
        <v>1717</v>
      </c>
      <c r="Q468" s="13" t="n">
        <v>156</v>
      </c>
      <c r="R468" s="13" t="n">
        <v>60</v>
      </c>
      <c r="S468" s="13" t="n">
        <v>45</v>
      </c>
      <c r="T468" s="13" t="n">
        <v>279</v>
      </c>
      <c r="U468" s="13" t="n">
        <v>14</v>
      </c>
      <c r="V468" s="13" t="n">
        <v>183</v>
      </c>
      <c r="W468" s="13" t="n">
        <v>0.31</v>
      </c>
      <c r="X468" s="13" t="n">
        <v>166</v>
      </c>
      <c r="Y468" s="13" t="n">
        <v>162</v>
      </c>
      <c r="Z468" s="13" t="n">
        <v>113</v>
      </c>
      <c r="AA468" s="13" t="n">
        <v>5</v>
      </c>
      <c r="AB468" s="13" t="n">
        <v>7.2</v>
      </c>
      <c r="AC468" s="11" t="inlineStr">
        <is>
          <t xml:space="preserve"> Resort Freeride</t>
        </is>
      </c>
      <c r="AD468" s="11" t="inlineStr">
        <is>
          <t xml:space="preserve"> Touring</t>
        </is>
      </c>
      <c r="AE468" s="13" t="n"/>
      <c r="AF468" s="13" t="n"/>
      <c r="AG468" s="13" t="n"/>
    </row>
    <row r="469">
      <c r="A469" s="9" t="inlineStr">
        <is>
          <t>21/22</t>
        </is>
      </c>
      <c r="B469" s="10" t="inlineStr">
        <is>
          <t xml:space="preserve"> Elan</t>
        </is>
      </c>
      <c r="C469" s="11" t="inlineStr">
        <is>
          <t>Ripstick 94 W</t>
        </is>
      </c>
      <c r="D469" s="13" t="n">
        <v>170</v>
      </c>
      <c r="E469" s="11" t="inlineStr">
        <is>
          <t xml:space="preserve"> Women's</t>
        </is>
      </c>
      <c r="F469" s="13" t="n">
        <v>170</v>
      </c>
      <c r="G469" s="13" t="n">
        <v>170.4</v>
      </c>
      <c r="H469" s="13" t="n">
        <v>128</v>
      </c>
      <c r="I469" s="13" t="n">
        <v>137</v>
      </c>
      <c r="J469" s="13" t="n">
        <v>136</v>
      </c>
      <c r="K469" s="13" t="n">
        <v>95</v>
      </c>
      <c r="L469" s="13" t="n">
        <v>111</v>
      </c>
      <c r="M469" s="13" t="n">
        <v>15.7</v>
      </c>
      <c r="N469" s="13" t="n">
        <v>1612</v>
      </c>
      <c r="O469" s="13" t="n">
        <v>1.13</v>
      </c>
      <c r="P469" s="13" t="n">
        <v>1827</v>
      </c>
      <c r="Q469" s="13" t="n">
        <v>187</v>
      </c>
      <c r="R469" s="13" t="n">
        <v>74</v>
      </c>
      <c r="S469" s="13" t="n">
        <v>47</v>
      </c>
      <c r="T469" s="13" t="n">
        <v>242</v>
      </c>
      <c r="U469" s="13" t="n">
        <v>16</v>
      </c>
      <c r="V469" s="13" t="n">
        <v>181</v>
      </c>
      <c r="W469" s="13" t="n">
        <v>0.347</v>
      </c>
      <c r="X469" s="13" t="n">
        <v>176</v>
      </c>
      <c r="Y469" s="13" t="n">
        <v>163</v>
      </c>
      <c r="Z469" s="13" t="n">
        <v>66</v>
      </c>
      <c r="AA469" s="13" t="n">
        <v>4</v>
      </c>
      <c r="AB469" s="13" t="n">
        <v>6.8</v>
      </c>
      <c r="AC469" s="11" t="inlineStr">
        <is>
          <t xml:space="preserve"> Resort Freeride</t>
        </is>
      </c>
      <c r="AD469" s="11" t="inlineStr">
        <is>
          <t xml:space="preserve"> Touring</t>
        </is>
      </c>
      <c r="AE469" s="13" t="n"/>
      <c r="AF469" s="13" t="n"/>
      <c r="AG469" s="13" t="n"/>
    </row>
    <row r="470">
      <c r="A470" s="9" t="inlineStr">
        <is>
          <t>21/22</t>
        </is>
      </c>
      <c r="B470" s="10" t="inlineStr">
        <is>
          <t xml:space="preserve"> Elan</t>
        </is>
      </c>
      <c r="C470" s="11" t="inlineStr">
        <is>
          <t>Ripstick 96</t>
        </is>
      </c>
      <c r="D470" s="13" t="n">
        <v>172</v>
      </c>
      <c r="E470" s="11" t="inlineStr">
        <is>
          <t xml:space="preserve"> Unisex</t>
        </is>
      </c>
      <c r="F470" s="13" t="n">
        <v>172</v>
      </c>
      <c r="G470" s="13" t="n">
        <v>170.3</v>
      </c>
      <c r="H470" s="13" t="n">
        <v>127</v>
      </c>
      <c r="I470" s="13" t="n">
        <v>136</v>
      </c>
      <c r="J470" s="13" t="n">
        <v>136</v>
      </c>
      <c r="K470" s="13" t="n">
        <v>94</v>
      </c>
      <c r="L470" s="13" t="n">
        <v>110</v>
      </c>
      <c r="M470" s="13" t="n">
        <v>15.6</v>
      </c>
      <c r="N470" s="13" t="n">
        <v>1577</v>
      </c>
      <c r="O470" s="13" t="n">
        <v>1.16</v>
      </c>
      <c r="P470" s="13" t="n">
        <v>1823</v>
      </c>
      <c r="Q470" s="13" t="n">
        <v>190</v>
      </c>
      <c r="R470" s="13" t="n">
        <v>74</v>
      </c>
      <c r="S470" s="13" t="n">
        <v>51</v>
      </c>
      <c r="T470" s="13" t="n">
        <v>274</v>
      </c>
      <c r="U470" s="13" t="n">
        <v>15</v>
      </c>
      <c r="V470" s="13" t="n">
        <v>159</v>
      </c>
      <c r="W470" s="13" t="n">
        <v>0.3</v>
      </c>
      <c r="X470" s="13" t="n">
        <v>178</v>
      </c>
      <c r="Y470" s="13" t="n">
        <v>166</v>
      </c>
      <c r="Z470" s="13" t="n">
        <v>96</v>
      </c>
      <c r="AA470" s="13" t="n">
        <v>4</v>
      </c>
      <c r="AB470" s="13" t="n">
        <v>7.7</v>
      </c>
      <c r="AC470" s="11" t="inlineStr">
        <is>
          <t xml:space="preserve"> Resort Freeride</t>
        </is>
      </c>
      <c r="AD470" s="11" t="inlineStr">
        <is>
          <t xml:space="preserve"> Touring</t>
        </is>
      </c>
      <c r="AE470" s="13" t="n"/>
      <c r="AF470" s="13" t="n"/>
      <c r="AG470" s="13" t="n"/>
    </row>
    <row r="471">
      <c r="A471" s="9" t="inlineStr">
        <is>
          <t>21/22</t>
        </is>
      </c>
      <c r="B471" s="10" t="inlineStr">
        <is>
          <t xml:space="preserve"> Elan</t>
        </is>
      </c>
      <c r="C471" s="11" t="inlineStr">
        <is>
          <t>Ripstick 96</t>
        </is>
      </c>
      <c r="D471" s="13" t="n">
        <v>180</v>
      </c>
      <c r="E471" s="11" t="inlineStr">
        <is>
          <t xml:space="preserve"> Unisex</t>
        </is>
      </c>
      <c r="F471" s="13" t="n">
        <v>180</v>
      </c>
      <c r="G471" s="13" t="n">
        <v>177.1</v>
      </c>
      <c r="H471" s="13" t="n">
        <v>139</v>
      </c>
      <c r="I471" s="13" t="n">
        <v>144</v>
      </c>
      <c r="J471" s="13" t="n">
        <v>136</v>
      </c>
      <c r="K471" s="13" t="n">
        <v>94</v>
      </c>
      <c r="L471" s="13" t="n">
        <v>110</v>
      </c>
      <c r="M471" s="13" t="n">
        <v>17.5</v>
      </c>
      <c r="N471" s="13" t="n">
        <v>1720</v>
      </c>
      <c r="O471" s="13" t="n">
        <v>1.1</v>
      </c>
      <c r="P471" s="13" t="n">
        <v>1895</v>
      </c>
      <c r="Q471" s="13" t="n">
        <v>187</v>
      </c>
      <c r="R471" s="13" t="n">
        <v>73</v>
      </c>
      <c r="S471" s="13" t="n">
        <v>44</v>
      </c>
      <c r="T471" s="13" t="n">
        <v>219</v>
      </c>
      <c r="U471" s="13" t="n">
        <v>16</v>
      </c>
      <c r="V471" s="13" t="n">
        <v>166</v>
      </c>
      <c r="W471" s="13" t="n">
        <v>0.352</v>
      </c>
      <c r="X471" s="13" t="n">
        <v>172</v>
      </c>
      <c r="Y471" s="13" t="n">
        <v>158</v>
      </c>
      <c r="Z471" s="13" t="n">
        <v>47</v>
      </c>
      <c r="AA471" s="13" t="n">
        <v>9</v>
      </c>
      <c r="AB471" s="13" t="n">
        <v>8.300000000000001</v>
      </c>
      <c r="AC471" s="11" t="inlineStr">
        <is>
          <t xml:space="preserve"> Resort Freeride</t>
        </is>
      </c>
      <c r="AD471" s="11" t="inlineStr">
        <is>
          <t xml:space="preserve"> Touring</t>
        </is>
      </c>
      <c r="AE471" s="13" t="n"/>
      <c r="AF471" s="13" t="n"/>
      <c r="AG471" s="13" t="n"/>
    </row>
    <row r="472">
      <c r="A472" s="9" t="inlineStr">
        <is>
          <t>21/22</t>
        </is>
      </c>
      <c r="B472" s="10" t="inlineStr">
        <is>
          <t xml:space="preserve"> Elan</t>
        </is>
      </c>
      <c r="C472" s="11" t="inlineStr">
        <is>
          <t>Ripstick 96</t>
        </is>
      </c>
      <c r="D472" s="13" t="n">
        <v>188</v>
      </c>
      <c r="E472" s="11" t="inlineStr">
        <is>
          <t xml:space="preserve"> Unisex</t>
        </is>
      </c>
      <c r="F472" s="13" t="n">
        <v>188</v>
      </c>
      <c r="G472" s="13" t="n">
        <v>184.2</v>
      </c>
      <c r="H472" s="13" t="n">
        <v>135</v>
      </c>
      <c r="I472" s="13" t="n">
        <v>150</v>
      </c>
      <c r="J472" s="13" t="n">
        <v>136</v>
      </c>
      <c r="K472" s="13" t="n">
        <v>94</v>
      </c>
      <c r="L472" s="13" t="n">
        <v>110</v>
      </c>
      <c r="M472" s="13" t="n">
        <v>19</v>
      </c>
      <c r="N472" s="13" t="n">
        <v>1789</v>
      </c>
      <c r="O472" s="13" t="n">
        <v>1.09</v>
      </c>
      <c r="P472" s="13" t="n">
        <v>1958</v>
      </c>
      <c r="Q472" s="13" t="n">
        <v>239</v>
      </c>
      <c r="R472" s="13" t="n">
        <v>92</v>
      </c>
      <c r="S472" s="13" t="n">
        <v>45</v>
      </c>
      <c r="T472" s="13" t="n">
        <v>259</v>
      </c>
      <c r="U472" s="13" t="n">
        <v>12</v>
      </c>
      <c r="V472" s="13" t="n">
        <v>233</v>
      </c>
      <c r="W472" s="13" t="n">
        <v>0.276</v>
      </c>
      <c r="X472" s="13" t="n">
        <v>170</v>
      </c>
      <c r="Y472" s="13" t="n">
        <v>168</v>
      </c>
      <c r="Z472" s="13" t="n">
        <v>88</v>
      </c>
      <c r="AA472" s="13" t="n">
        <v>4</v>
      </c>
      <c r="AB472" s="13" t="n">
        <v>7.7</v>
      </c>
      <c r="AC472" s="11" t="inlineStr">
        <is>
          <t xml:space="preserve"> Resort Freeride</t>
        </is>
      </c>
      <c r="AD472" s="11" t="inlineStr">
        <is>
          <t xml:space="preserve"> Touring</t>
        </is>
      </c>
      <c r="AE472" s="13" t="n"/>
      <c r="AF472" s="13" t="n"/>
      <c r="AG472" s="13" t="n"/>
    </row>
    <row r="473">
      <c r="A473" s="9" t="inlineStr">
        <is>
          <t>21/22</t>
        </is>
      </c>
      <c r="B473" s="10" t="inlineStr">
        <is>
          <t xml:space="preserve"> Elan</t>
        </is>
      </c>
      <c r="C473" s="11" t="inlineStr">
        <is>
          <t>Ripstick 96 Black Edition</t>
        </is>
      </c>
      <c r="D473" s="13" t="n">
        <v>188</v>
      </c>
      <c r="E473" s="11" t="inlineStr">
        <is>
          <t xml:space="preserve"> Unisex</t>
        </is>
      </c>
      <c r="F473" s="13" t="n">
        <v>188</v>
      </c>
      <c r="G473" s="13" t="n">
        <v>184</v>
      </c>
      <c r="H473" s="13" t="n">
        <v>132</v>
      </c>
      <c r="I473" s="13" t="n">
        <v>151</v>
      </c>
      <c r="J473" s="13" t="n">
        <v>136</v>
      </c>
      <c r="K473" s="13" t="n">
        <v>94</v>
      </c>
      <c r="L473" s="13" t="n">
        <v>110</v>
      </c>
      <c r="M473" s="13" t="n">
        <v>18.9</v>
      </c>
      <c r="N473" s="13" t="n">
        <v>1775</v>
      </c>
      <c r="O473" s="13" t="n">
        <v>1.1</v>
      </c>
      <c r="P473" s="13" t="n">
        <v>1957</v>
      </c>
      <c r="Q473" s="13" t="n">
        <v>261</v>
      </c>
      <c r="R473" s="13" t="n">
        <v>107</v>
      </c>
      <c r="S473" s="13" t="n">
        <v>49</v>
      </c>
      <c r="T473" s="13" t="n">
        <v>264</v>
      </c>
      <c r="U473" s="13" t="n">
        <v>18</v>
      </c>
      <c r="V473" s="13" t="n">
        <v>260</v>
      </c>
      <c r="W473" s="13" t="n">
        <v>0.371</v>
      </c>
      <c r="X473" s="13" t="n">
        <v>172</v>
      </c>
      <c r="Y473" s="13" t="n">
        <v>159</v>
      </c>
      <c r="Z473" s="13" t="n">
        <v>93</v>
      </c>
      <c r="AA473" s="13" t="n">
        <v>5</v>
      </c>
      <c r="AB473" s="13" t="n">
        <v>8.1</v>
      </c>
      <c r="AC473" s="11" t="inlineStr">
        <is>
          <t xml:space="preserve"> Resort Freeride</t>
        </is>
      </c>
      <c r="AD473" s="11" t="inlineStr">
        <is>
          <t xml:space="preserve"> Touring</t>
        </is>
      </c>
      <c r="AE473" s="13" t="n"/>
      <c r="AF473" s="13" t="n"/>
      <c r="AG473" s="13" t="n"/>
    </row>
    <row r="474">
      <c r="A474" s="9" t="inlineStr">
        <is>
          <t>21/22</t>
        </is>
      </c>
      <c r="B474" s="10" t="inlineStr">
        <is>
          <t xml:space="preserve"> Elan</t>
        </is>
      </c>
      <c r="C474" s="11" t="inlineStr">
        <is>
          <t xml:space="preserve"> Snow Black</t>
        </is>
      </c>
      <c r="D474" s="13" t="n">
        <v>146</v>
      </c>
      <c r="E474" s="11" t="inlineStr">
        <is>
          <t xml:space="preserve"> Women's</t>
        </is>
      </c>
      <c r="F474" s="13" t="n">
        <v>146</v>
      </c>
      <c r="G474" s="13" t="n">
        <v>145</v>
      </c>
      <c r="H474" s="13" t="n">
        <v>123</v>
      </c>
      <c r="I474" s="13" t="n">
        <v>133</v>
      </c>
      <c r="J474" s="13" t="n">
        <v>122</v>
      </c>
      <c r="K474" s="13" t="n">
        <v>73</v>
      </c>
      <c r="L474" s="13" t="n">
        <v>102</v>
      </c>
      <c r="M474" s="13" t="n">
        <v>11.5</v>
      </c>
      <c r="N474" s="13" t="n">
        <v>1356</v>
      </c>
      <c r="O474" s="13" t="n">
        <v>0.9399999999999999</v>
      </c>
      <c r="P474" s="13" t="n">
        <v>1273</v>
      </c>
      <c r="Q474" s="13" t="n">
        <v>135</v>
      </c>
      <c r="R474" s="13" t="n">
        <v>48</v>
      </c>
      <c r="S474" s="13" t="n">
        <v>33</v>
      </c>
      <c r="T474" s="13" t="n">
        <v>151</v>
      </c>
      <c r="U474" s="13" t="n">
        <v>6</v>
      </c>
      <c r="V474" s="13" t="n">
        <v>70</v>
      </c>
      <c r="W474" s="13" t="n">
        <v>0.175</v>
      </c>
      <c r="X474" s="13" t="n">
        <v>78</v>
      </c>
      <c r="Y474" s="13" t="n">
        <v>37</v>
      </c>
      <c r="Z474" s="13" t="n">
        <v>73</v>
      </c>
      <c r="AA474" s="13" t="n">
        <v>8</v>
      </c>
      <c r="AB474" s="13" t="n">
        <v>8.5</v>
      </c>
      <c r="AC474" s="11" t="inlineStr">
        <is>
          <t xml:space="preserve"> On-Piste Carving</t>
        </is>
      </c>
      <c r="AD474" s="13" t="n"/>
      <c r="AE474" s="13" t="n"/>
      <c r="AF474" s="13" t="n"/>
      <c r="AG474" s="13" t="n"/>
    </row>
    <row r="475">
      <c r="A475" s="9" t="inlineStr">
        <is>
          <t>21/22</t>
        </is>
      </c>
      <c r="B475" s="10" t="inlineStr">
        <is>
          <t xml:space="preserve"> Elan</t>
        </is>
      </c>
      <c r="C475" s="11" t="inlineStr">
        <is>
          <t xml:space="preserve"> Snow Black</t>
        </is>
      </c>
      <c r="D475" s="13" t="n">
        <v>158</v>
      </c>
      <c r="E475" s="11" t="inlineStr">
        <is>
          <t xml:space="preserve"> Women's</t>
        </is>
      </c>
      <c r="F475" s="13" t="n">
        <v>158</v>
      </c>
      <c r="G475" s="13" t="n">
        <v>159.2</v>
      </c>
      <c r="H475" s="13" t="n">
        <v>138</v>
      </c>
      <c r="I475" s="13" t="n">
        <v>147</v>
      </c>
      <c r="J475" s="13" t="n">
        <v>122</v>
      </c>
      <c r="K475" s="13" t="n">
        <v>74</v>
      </c>
      <c r="L475" s="13" t="n">
        <v>103</v>
      </c>
      <c r="M475" s="13" t="n">
        <v>13.9</v>
      </c>
      <c r="N475" s="13" t="n">
        <v>1522</v>
      </c>
      <c r="O475" s="13" t="n">
        <v>0.92</v>
      </c>
      <c r="P475" s="13" t="n">
        <v>1401</v>
      </c>
      <c r="Q475" s="13" t="n">
        <v>187</v>
      </c>
      <c r="R475" s="13" t="n">
        <v>60</v>
      </c>
      <c r="S475" s="13" t="n">
        <v>34</v>
      </c>
      <c r="T475" s="13" t="n">
        <v>141</v>
      </c>
      <c r="U475" s="13" t="n">
        <v>6</v>
      </c>
      <c r="V475" s="13" t="n">
        <v>71</v>
      </c>
      <c r="W475" s="13" t="n">
        <v>0.186</v>
      </c>
      <c r="X475" s="13" t="n">
        <v>79</v>
      </c>
      <c r="Y475" s="13" t="n">
        <v>39</v>
      </c>
      <c r="Z475" s="13" t="n">
        <v>62</v>
      </c>
      <c r="AA475" s="13" t="n">
        <v>9</v>
      </c>
      <c r="AB475" s="13" t="n">
        <v>9.1</v>
      </c>
      <c r="AC475" s="11" t="inlineStr">
        <is>
          <t xml:space="preserve"> On-Piste Carving</t>
        </is>
      </c>
      <c r="AD475" s="13" t="n"/>
      <c r="AE475" s="13" t="n"/>
      <c r="AF475" s="13" t="n"/>
      <c r="AG475" s="13" t="n"/>
    </row>
    <row r="476">
      <c r="A476" s="9" t="inlineStr">
        <is>
          <t>21/22</t>
        </is>
      </c>
      <c r="B476" s="10" t="inlineStr">
        <is>
          <t xml:space="preserve"> Elan</t>
        </is>
      </c>
      <c r="C476" s="11" t="inlineStr">
        <is>
          <t xml:space="preserve"> Voyager</t>
        </is>
      </c>
      <c r="D476" s="13" t="n">
        <v>166</v>
      </c>
      <c r="E476" s="11" t="inlineStr">
        <is>
          <t xml:space="preserve"> Unisex</t>
        </is>
      </c>
      <c r="F476" s="13" t="n">
        <v>166</v>
      </c>
      <c r="G476" s="13" t="n">
        <v>164.3</v>
      </c>
      <c r="H476" s="13" t="n">
        <v>145</v>
      </c>
      <c r="I476" s="13" t="n">
        <v>151</v>
      </c>
      <c r="J476" s="13" t="n">
        <v>127</v>
      </c>
      <c r="K476" s="13" t="n">
        <v>77</v>
      </c>
      <c r="L476" s="13" t="n">
        <v>110</v>
      </c>
      <c r="M476" s="13" t="n">
        <v>13.6</v>
      </c>
      <c r="N476" s="11" t="inlineStr">
        <is>
          <t xml:space="preserve"> None</t>
        </is>
      </c>
      <c r="O476" s="11" t="inlineStr">
        <is>
          <t xml:space="preserve"> None</t>
        </is>
      </c>
      <c r="P476" s="13" t="n">
        <v>1528</v>
      </c>
      <c r="Q476" s="13" t="n">
        <v>204</v>
      </c>
      <c r="R476" s="13" t="n">
        <v>76</v>
      </c>
      <c r="S476" s="13" t="n">
        <v>39</v>
      </c>
      <c r="T476" s="13" t="n">
        <v>133</v>
      </c>
      <c r="U476" s="13" t="n">
        <v>7</v>
      </c>
      <c r="V476" s="13" t="n">
        <v>57</v>
      </c>
      <c r="W476" s="13" t="n">
        <v>0.182</v>
      </c>
      <c r="X476" s="13" t="n">
        <v>84</v>
      </c>
      <c r="Y476" s="13" t="n">
        <v>47</v>
      </c>
      <c r="Z476" s="13" t="n">
        <v>49</v>
      </c>
      <c r="AA476" s="13" t="n">
        <v>15</v>
      </c>
      <c r="AB476" s="13" t="n">
        <v>7.5</v>
      </c>
      <c r="AC476" s="11" t="inlineStr">
        <is>
          <t xml:space="preserve"> Other</t>
        </is>
      </c>
      <c r="AD476" s="13" t="n"/>
      <c r="AE476" s="13" t="n"/>
      <c r="AF476" s="13" t="n"/>
      <c r="AG476" s="13" t="n"/>
    </row>
    <row r="477">
      <c r="A477" s="9" t="inlineStr">
        <is>
          <t>21/22</t>
        </is>
      </c>
      <c r="B477" s="10" t="inlineStr">
        <is>
          <t xml:space="preserve"> Elan</t>
        </is>
      </c>
      <c r="C477" s="11" t="inlineStr">
        <is>
          <t>Wildcat 76</t>
        </is>
      </c>
      <c r="D477" s="13" t="n">
        <v>150</v>
      </c>
      <c r="E477" s="11" t="inlineStr">
        <is>
          <t xml:space="preserve"> Women's</t>
        </is>
      </c>
      <c r="F477" s="13" t="n">
        <v>150</v>
      </c>
      <c r="G477" s="13" t="n">
        <v>150.2</v>
      </c>
      <c r="H477" s="13" t="n">
        <v>131</v>
      </c>
      <c r="I477" s="13" t="n">
        <v>136</v>
      </c>
      <c r="J477" s="13" t="n">
        <v>127</v>
      </c>
      <c r="K477" s="13" t="n">
        <v>75</v>
      </c>
      <c r="L477" s="13" t="n">
        <v>105</v>
      </c>
      <c r="M477" s="13" t="n">
        <v>11.5</v>
      </c>
      <c r="N477" s="13" t="n">
        <v>1415</v>
      </c>
      <c r="O477" s="13" t="n">
        <v>0.96</v>
      </c>
      <c r="P477" s="13" t="n">
        <v>1365</v>
      </c>
      <c r="Q477" s="13" t="n">
        <v>135</v>
      </c>
      <c r="R477" s="13" t="n">
        <v>60</v>
      </c>
      <c r="S477" s="13" t="n">
        <v>38</v>
      </c>
      <c r="T477" s="13" t="n">
        <v>132</v>
      </c>
      <c r="U477" s="13" t="n">
        <v>6</v>
      </c>
      <c r="V477" s="13" t="n">
        <v>63</v>
      </c>
      <c r="W477" s="13" t="n">
        <v>0.159</v>
      </c>
      <c r="X477" s="13" t="n">
        <v>89</v>
      </c>
      <c r="Y477" s="13" t="n">
        <v>49</v>
      </c>
      <c r="Z477" s="13" t="n">
        <v>43</v>
      </c>
      <c r="AA477" s="13" t="n">
        <v>8</v>
      </c>
      <c r="AB477" s="13" t="n">
        <v>9.699999999999999</v>
      </c>
      <c r="AC477" s="11" t="inlineStr">
        <is>
          <t xml:space="preserve"> On-Piste Carving</t>
        </is>
      </c>
      <c r="AD477" s="13" t="n"/>
      <c r="AE477" s="13" t="n"/>
      <c r="AF477" s="13" t="n"/>
      <c r="AG477" s="13" t="n"/>
    </row>
    <row r="478">
      <c r="A478" s="9" t="inlineStr">
        <is>
          <t>21/22</t>
        </is>
      </c>
      <c r="B478" s="10" t="inlineStr">
        <is>
          <t xml:space="preserve"> Elan</t>
        </is>
      </c>
      <c r="C478" s="11" t="inlineStr">
        <is>
          <t>Wildcat 76</t>
        </is>
      </c>
      <c r="D478" s="13" t="n">
        <v>158</v>
      </c>
      <c r="E478" s="11" t="inlineStr">
        <is>
          <t xml:space="preserve"> Women's</t>
        </is>
      </c>
      <c r="F478" s="13" t="n">
        <v>158</v>
      </c>
      <c r="G478" s="13" t="n">
        <v>158.4</v>
      </c>
      <c r="H478" s="13" t="n">
        <v>138</v>
      </c>
      <c r="I478" s="13" t="n">
        <v>145</v>
      </c>
      <c r="J478" s="13" t="n">
        <v>127</v>
      </c>
      <c r="K478" s="13" t="n">
        <v>75</v>
      </c>
      <c r="L478" s="13" t="n">
        <v>104</v>
      </c>
      <c r="M478" s="13" t="n">
        <v>13</v>
      </c>
      <c r="N478" s="13" t="n">
        <v>1515</v>
      </c>
      <c r="O478" s="13" t="n">
        <v>0.95</v>
      </c>
      <c r="P478" s="13" t="n">
        <v>1438</v>
      </c>
      <c r="Q478" s="13" t="n">
        <v>163</v>
      </c>
      <c r="R478" s="13" t="n">
        <v>69</v>
      </c>
      <c r="S478" s="13" t="n">
        <v>37</v>
      </c>
      <c r="T478" s="13" t="n">
        <v>141</v>
      </c>
      <c r="U478" s="13" t="n">
        <v>7</v>
      </c>
      <c r="V478" s="13" t="n">
        <v>68</v>
      </c>
      <c r="W478" s="13" t="n">
        <v>0.187</v>
      </c>
      <c r="X478" s="13" t="n">
        <v>88</v>
      </c>
      <c r="Y478" s="13" t="n">
        <v>49</v>
      </c>
      <c r="Z478" s="13" t="n">
        <v>53</v>
      </c>
      <c r="AA478" s="13" t="n">
        <v>9</v>
      </c>
      <c r="AB478" s="13" t="n">
        <v>9.199999999999999</v>
      </c>
      <c r="AC478" s="11" t="inlineStr">
        <is>
          <t xml:space="preserve"> On-Piste Carving</t>
        </is>
      </c>
      <c r="AD478" s="13" t="n"/>
      <c r="AE478" s="13" t="n"/>
      <c r="AF478" s="13" t="n"/>
      <c r="AG478" s="13" t="n"/>
    </row>
    <row r="479">
      <c r="A479" s="9" t="inlineStr">
        <is>
          <t>21/22</t>
        </is>
      </c>
      <c r="B479" s="10" t="inlineStr">
        <is>
          <t xml:space="preserve"> Elan</t>
        </is>
      </c>
      <c r="C479" s="11" t="inlineStr">
        <is>
          <t>Wildcat 82 C</t>
        </is>
      </c>
      <c r="D479" s="13" t="n">
        <v>152</v>
      </c>
      <c r="E479" s="11" t="inlineStr">
        <is>
          <t xml:space="preserve"> Women's</t>
        </is>
      </c>
      <c r="F479" s="13" t="n">
        <v>152</v>
      </c>
      <c r="G479" s="13" t="n">
        <v>153.1</v>
      </c>
      <c r="H479" s="13" t="n">
        <v>122</v>
      </c>
      <c r="I479" s="13" t="n">
        <v>133</v>
      </c>
      <c r="J479" s="13" t="n">
        <v>129</v>
      </c>
      <c r="K479" s="13" t="n">
        <v>81</v>
      </c>
      <c r="L479" s="13" t="n">
        <v>112</v>
      </c>
      <c r="M479" s="13" t="n">
        <v>10.9</v>
      </c>
      <c r="N479" s="13" t="n">
        <v>1695</v>
      </c>
      <c r="O479" s="13" t="n">
        <v>0.87</v>
      </c>
      <c r="P479" s="13" t="n">
        <v>1483</v>
      </c>
      <c r="Q479" s="13" t="n">
        <v>210</v>
      </c>
      <c r="R479" s="13" t="n">
        <v>81</v>
      </c>
      <c r="S479" s="13" t="n">
        <v>40</v>
      </c>
      <c r="T479" s="13" t="n">
        <v>190</v>
      </c>
      <c r="U479" s="13" t="n">
        <v>9</v>
      </c>
      <c r="V479" s="13" t="n">
        <v>121</v>
      </c>
      <c r="W479" s="13" t="n">
        <v>0.235</v>
      </c>
      <c r="X479" s="13" t="n">
        <v>110</v>
      </c>
      <c r="Y479" s="13" t="n">
        <v>92</v>
      </c>
      <c r="Z479" s="13" t="n">
        <v>80</v>
      </c>
      <c r="AA479" s="13" t="n">
        <v>6</v>
      </c>
      <c r="AB479" s="13" t="n">
        <v>8.5</v>
      </c>
      <c r="AC479" s="11" t="inlineStr">
        <is>
          <t xml:space="preserve"> On-Piste All-Mountain</t>
        </is>
      </c>
      <c r="AD479" s="11" t="inlineStr">
        <is>
          <t xml:space="preserve"> Resort Freeride</t>
        </is>
      </c>
      <c r="AE479" s="13" t="n"/>
      <c r="AF479" s="13" t="n"/>
      <c r="AG479" s="13" t="n"/>
    </row>
    <row r="480">
      <c r="A480" s="9" t="inlineStr">
        <is>
          <t>21/22</t>
        </is>
      </c>
      <c r="B480" s="10" t="inlineStr">
        <is>
          <t xml:space="preserve"> Elan</t>
        </is>
      </c>
      <c r="C480" s="11" t="inlineStr">
        <is>
          <t>Wildcat 82 C</t>
        </is>
      </c>
      <c r="D480" s="13" t="n">
        <v>158</v>
      </c>
      <c r="E480" s="11" t="inlineStr">
        <is>
          <t xml:space="preserve"> Women's</t>
        </is>
      </c>
      <c r="F480" s="13" t="n">
        <v>158</v>
      </c>
      <c r="G480" s="13" t="n">
        <v>161.7</v>
      </c>
      <c r="H480" s="13" t="n">
        <v>128</v>
      </c>
      <c r="I480" s="13" t="n">
        <v>139</v>
      </c>
      <c r="J480" s="13" t="n">
        <v>128</v>
      </c>
      <c r="K480" s="13" t="n">
        <v>81</v>
      </c>
      <c r="L480" s="13" t="n">
        <v>112</v>
      </c>
      <c r="M480" s="13" t="n">
        <v>12</v>
      </c>
      <c r="N480" s="13" t="n">
        <v>1726</v>
      </c>
      <c r="O480" s="13" t="n">
        <v>0.9</v>
      </c>
      <c r="P480" s="13" t="n">
        <v>1560</v>
      </c>
      <c r="Q480" s="13" t="n">
        <v>207</v>
      </c>
      <c r="R480" s="13" t="n">
        <v>81</v>
      </c>
      <c r="S480" s="13" t="n">
        <v>42</v>
      </c>
      <c r="T480" s="13" t="n">
        <v>188</v>
      </c>
      <c r="U480" s="13" t="n">
        <v>12</v>
      </c>
      <c r="V480" s="13" t="n">
        <v>145</v>
      </c>
      <c r="W480" s="13" t="n">
        <v>0.281</v>
      </c>
      <c r="X480" s="13" t="n">
        <v>110</v>
      </c>
      <c r="Y480" s="13" t="n">
        <v>115</v>
      </c>
      <c r="Z480" s="13" t="n">
        <v>78</v>
      </c>
      <c r="AA480" s="13" t="n">
        <v>6</v>
      </c>
      <c r="AB480" s="13" t="n">
        <v>7.4</v>
      </c>
      <c r="AC480" s="11" t="inlineStr">
        <is>
          <t xml:space="preserve"> On-Piste All-Mountain</t>
        </is>
      </c>
      <c r="AD480" s="11" t="inlineStr">
        <is>
          <t xml:space="preserve"> Resort Freeride</t>
        </is>
      </c>
      <c r="AE480" s="13" t="n"/>
      <c r="AF480" s="13" t="n"/>
      <c r="AG480" s="13" t="n"/>
    </row>
    <row r="481">
      <c r="A481" s="9" t="inlineStr">
        <is>
          <t>21/22</t>
        </is>
      </c>
      <c r="B481" s="10" t="inlineStr">
        <is>
          <t xml:space="preserve"> Elan</t>
        </is>
      </c>
      <c r="C481" s="11" t="inlineStr">
        <is>
          <t>Wildcat 82 C</t>
        </is>
      </c>
      <c r="D481" s="13" t="n">
        <v>164</v>
      </c>
      <c r="E481" s="11" t="inlineStr">
        <is>
          <t xml:space="preserve"> Women's</t>
        </is>
      </c>
      <c r="F481" s="13" t="n">
        <v>164</v>
      </c>
      <c r="G481" s="13" t="n">
        <v>165.1</v>
      </c>
      <c r="H481" s="13" t="n">
        <v>135</v>
      </c>
      <c r="I481" s="13" t="n">
        <v>145</v>
      </c>
      <c r="J481" s="13" t="n">
        <v>129</v>
      </c>
      <c r="K481" s="13" t="n">
        <v>82</v>
      </c>
      <c r="L481" s="13" t="n">
        <v>112</v>
      </c>
      <c r="M481" s="13" t="n">
        <v>13.1</v>
      </c>
      <c r="N481" s="13" t="n">
        <v>1818</v>
      </c>
      <c r="O481" s="13" t="n">
        <v>0.88</v>
      </c>
      <c r="P481" s="13" t="n">
        <v>1600</v>
      </c>
      <c r="Q481" s="13" t="n">
        <v>222</v>
      </c>
      <c r="R481" s="13" t="n">
        <v>89</v>
      </c>
      <c r="S481" s="13" t="n">
        <v>41</v>
      </c>
      <c r="T481" s="13" t="n">
        <v>185</v>
      </c>
      <c r="U481" s="13" t="n">
        <v>9</v>
      </c>
      <c r="V481" s="13" t="n">
        <v>117</v>
      </c>
      <c r="W481" s="13" t="n">
        <v>0.22</v>
      </c>
      <c r="X481" s="13" t="n">
        <v>109</v>
      </c>
      <c r="Y481" s="13" t="n">
        <v>91</v>
      </c>
      <c r="Z481" s="13" t="n">
        <v>76</v>
      </c>
      <c r="AA481" s="13" t="n">
        <v>8</v>
      </c>
      <c r="AB481" s="13" t="n">
        <v>8.6</v>
      </c>
      <c r="AC481" s="11" t="inlineStr">
        <is>
          <t xml:space="preserve"> On-Piste All-Mountain</t>
        </is>
      </c>
      <c r="AD481" s="11" t="inlineStr">
        <is>
          <t xml:space="preserve"> Resort Freeride</t>
        </is>
      </c>
      <c r="AE481" s="13" t="n"/>
      <c r="AF481" s="13" t="n"/>
      <c r="AG481" s="13" t="n"/>
    </row>
    <row r="482">
      <c r="A482" s="9" t="inlineStr">
        <is>
          <t>21/22</t>
        </is>
      </c>
      <c r="B482" s="10" t="inlineStr">
        <is>
          <t xml:space="preserve"> Elan</t>
        </is>
      </c>
      <c r="C482" s="11" t="inlineStr">
        <is>
          <t>Wildcat 82 CX</t>
        </is>
      </c>
      <c r="D482" s="13" t="n">
        <v>158</v>
      </c>
      <c r="E482" s="11" t="inlineStr">
        <is>
          <t xml:space="preserve"> Women's</t>
        </is>
      </c>
      <c r="F482" s="13" t="n">
        <v>158</v>
      </c>
      <c r="G482" s="13" t="n">
        <v>159.3</v>
      </c>
      <c r="H482" s="13" t="n">
        <v>126</v>
      </c>
      <c r="I482" s="13" t="n">
        <v>139</v>
      </c>
      <c r="J482" s="13" t="n">
        <v>129</v>
      </c>
      <c r="K482" s="13" t="n">
        <v>81</v>
      </c>
      <c r="L482" s="13" t="n">
        <v>112</v>
      </c>
      <c r="M482" s="13" t="n">
        <v>12</v>
      </c>
      <c r="N482" s="13" t="n">
        <v>1737</v>
      </c>
      <c r="O482" s="13" t="n">
        <v>0.89</v>
      </c>
      <c r="P482" s="13" t="n">
        <v>1543</v>
      </c>
      <c r="Q482" s="13" t="n">
        <v>192</v>
      </c>
      <c r="R482" s="13" t="n">
        <v>75</v>
      </c>
      <c r="S482" s="13" t="n">
        <v>45</v>
      </c>
      <c r="T482" s="13" t="n">
        <v>196</v>
      </c>
      <c r="U482" s="13" t="n">
        <v>11</v>
      </c>
      <c r="V482" s="13" t="n">
        <v>133</v>
      </c>
      <c r="W482" s="13" t="n">
        <v>0.24</v>
      </c>
      <c r="X482" s="13" t="n">
        <v>110</v>
      </c>
      <c r="Y482" s="13" t="n">
        <v>94</v>
      </c>
      <c r="Z482" s="13" t="n">
        <v>86</v>
      </c>
      <c r="AA482" s="13" t="n">
        <v>6</v>
      </c>
      <c r="AB482" s="13" t="n">
        <v>8.4</v>
      </c>
      <c r="AC482" s="11" t="inlineStr">
        <is>
          <t xml:space="preserve"> On-Piste All-Mountain</t>
        </is>
      </c>
      <c r="AD482" s="11" t="inlineStr">
        <is>
          <t xml:space="preserve"> Resort Freeride</t>
        </is>
      </c>
      <c r="AE482" s="13" t="n"/>
      <c r="AF482" s="13" t="n"/>
      <c r="AG482" s="13" t="n"/>
    </row>
    <row r="483">
      <c r="A483" s="9" t="inlineStr">
        <is>
          <t>21/22</t>
        </is>
      </c>
      <c r="B483" s="10" t="inlineStr">
        <is>
          <t xml:space="preserve"> Elan</t>
        </is>
      </c>
      <c r="C483" s="11" t="inlineStr">
        <is>
          <t>Wildcat 82 CX</t>
        </is>
      </c>
      <c r="D483" s="13" t="n">
        <v>164</v>
      </c>
      <c r="E483" s="11" t="inlineStr">
        <is>
          <t xml:space="preserve"> Women's</t>
        </is>
      </c>
      <c r="F483" s="13" t="n">
        <v>164</v>
      </c>
      <c r="G483" s="13" t="n">
        <v>165.2</v>
      </c>
      <c r="H483" s="13" t="n">
        <v>136</v>
      </c>
      <c r="I483" s="13" t="n">
        <v>145</v>
      </c>
      <c r="J483" s="13" t="n">
        <v>128</v>
      </c>
      <c r="K483" s="13" t="n">
        <v>82</v>
      </c>
      <c r="L483" s="13" t="n">
        <v>112</v>
      </c>
      <c r="M483" s="13" t="n">
        <v>13.1</v>
      </c>
      <c r="N483" s="13" t="n">
        <v>1790</v>
      </c>
      <c r="O483" s="13" t="n">
        <v>0.89</v>
      </c>
      <c r="P483" s="13" t="n">
        <v>1600</v>
      </c>
      <c r="Q483" s="13" t="n">
        <v>206</v>
      </c>
      <c r="R483" s="13" t="n">
        <v>91</v>
      </c>
      <c r="S483" s="13" t="n">
        <v>41</v>
      </c>
      <c r="T483" s="13" t="n">
        <v>179</v>
      </c>
      <c r="U483" s="13" t="n">
        <v>9</v>
      </c>
      <c r="V483" s="13" t="n">
        <v>118</v>
      </c>
      <c r="W483" s="13" t="n">
        <v>0.214</v>
      </c>
      <c r="X483" s="13" t="n">
        <v>106</v>
      </c>
      <c r="Y483" s="13" t="n">
        <v>92</v>
      </c>
      <c r="Z483" s="13" t="n">
        <v>72</v>
      </c>
      <c r="AA483" s="13" t="n">
        <v>8</v>
      </c>
      <c r="AB483" s="13" t="n">
        <v>8.4</v>
      </c>
      <c r="AC483" s="11" t="inlineStr">
        <is>
          <t xml:space="preserve"> On-Piste All-Mountain</t>
        </is>
      </c>
      <c r="AD483" s="11" t="inlineStr">
        <is>
          <t xml:space="preserve"> Resort Freeride</t>
        </is>
      </c>
      <c r="AE483" s="13" t="n"/>
      <c r="AF483" s="13" t="n"/>
      <c r="AG483" s="13" t="n"/>
    </row>
    <row r="484">
      <c r="A484" s="9" t="inlineStr">
        <is>
          <t>21/22</t>
        </is>
      </c>
      <c r="B484" s="10" t="inlineStr">
        <is>
          <t xml:space="preserve"> Elan</t>
        </is>
      </c>
      <c r="C484" s="11" t="inlineStr">
        <is>
          <t>Wingman 78 Ti</t>
        </is>
      </c>
      <c r="D484" s="13" t="n">
        <v>160</v>
      </c>
      <c r="E484" s="11" t="inlineStr">
        <is>
          <t xml:space="preserve"> Unisex</t>
        </is>
      </c>
      <c r="F484" s="13" t="n">
        <v>160</v>
      </c>
      <c r="G484" s="13" t="n">
        <v>158.5</v>
      </c>
      <c r="H484" s="13" t="n">
        <v>138</v>
      </c>
      <c r="I484" s="13" t="n">
        <v>144</v>
      </c>
      <c r="J484" s="13" t="n">
        <v>125</v>
      </c>
      <c r="K484" s="13" t="n">
        <v>76</v>
      </c>
      <c r="L484" s="13" t="n">
        <v>105</v>
      </c>
      <c r="M484" s="13" t="n">
        <v>13.2</v>
      </c>
      <c r="N484" s="13" t="n">
        <v>1808</v>
      </c>
      <c r="O484" s="13" t="n">
        <v>0.8</v>
      </c>
      <c r="P484" s="13" t="n">
        <v>1443</v>
      </c>
      <c r="Q484" s="13" t="n">
        <v>176</v>
      </c>
      <c r="R484" s="13" t="n">
        <v>81</v>
      </c>
      <c r="S484" s="13" t="n">
        <v>29</v>
      </c>
      <c r="T484" s="13" t="n">
        <v>138</v>
      </c>
      <c r="U484" s="13" t="n">
        <v>11</v>
      </c>
      <c r="V484" s="13" t="n">
        <v>72</v>
      </c>
      <c r="W484" s="13" t="n">
        <v>0.369</v>
      </c>
      <c r="X484" s="13" t="n">
        <v>86</v>
      </c>
      <c r="Y484" s="13" t="n">
        <v>60</v>
      </c>
      <c r="Z484" s="13" t="n">
        <v>52</v>
      </c>
      <c r="AA484" s="13" t="n">
        <v>9</v>
      </c>
      <c r="AB484" s="13" t="n">
        <v>8.9</v>
      </c>
      <c r="AC484" s="11" t="inlineStr">
        <is>
          <t xml:space="preserve"> On-Piste Carving</t>
        </is>
      </c>
      <c r="AD484" s="13" t="n"/>
      <c r="AE484" s="13" t="n"/>
      <c r="AF484" s="13" t="n"/>
      <c r="AG484" s="13" t="n"/>
    </row>
    <row r="485">
      <c r="A485" s="9" t="inlineStr">
        <is>
          <t>21/22</t>
        </is>
      </c>
      <c r="B485" s="10" t="inlineStr">
        <is>
          <t xml:space="preserve"> Elan</t>
        </is>
      </c>
      <c r="C485" s="11" t="inlineStr">
        <is>
          <t>Wingman 78 Ti</t>
        </is>
      </c>
      <c r="D485" s="13" t="n">
        <v>168</v>
      </c>
      <c r="E485" s="11" t="inlineStr">
        <is>
          <t xml:space="preserve"> Unisex</t>
        </is>
      </c>
      <c r="F485" s="13" t="n">
        <v>168</v>
      </c>
      <c r="G485" s="13" t="n">
        <v>166.3</v>
      </c>
      <c r="H485" s="13" t="n">
        <v>146</v>
      </c>
      <c r="I485" s="13" t="n">
        <v>153</v>
      </c>
      <c r="J485" s="13" t="n">
        <v>124</v>
      </c>
      <c r="K485" s="13" t="n">
        <v>75</v>
      </c>
      <c r="L485" s="13" t="n">
        <v>103</v>
      </c>
      <c r="M485" s="13" t="n">
        <v>14.8</v>
      </c>
      <c r="N485" s="13" t="n">
        <v>1913</v>
      </c>
      <c r="O485" s="13" t="n">
        <v>0.78</v>
      </c>
      <c r="P485" s="13" t="n">
        <v>1490</v>
      </c>
      <c r="Q485" s="13" t="n">
        <v>199</v>
      </c>
      <c r="R485" s="13" t="n">
        <v>88</v>
      </c>
      <c r="S485" s="13" t="n">
        <v>28</v>
      </c>
      <c r="T485" s="13" t="n">
        <v>132</v>
      </c>
      <c r="U485" s="13" t="n">
        <v>10</v>
      </c>
      <c r="V485" s="13" t="n">
        <v>70</v>
      </c>
      <c r="W485" s="13" t="n">
        <v>0.353</v>
      </c>
      <c r="X485" s="13" t="n">
        <v>76</v>
      </c>
      <c r="Y485" s="13" t="n">
        <v>56</v>
      </c>
      <c r="Z485" s="13" t="n">
        <v>56</v>
      </c>
      <c r="AA485" s="13" t="n">
        <v>10</v>
      </c>
      <c r="AB485" s="13" t="n">
        <v>9</v>
      </c>
      <c r="AC485" s="11" t="inlineStr">
        <is>
          <t xml:space="preserve"> On-Piste Carving</t>
        </is>
      </c>
      <c r="AD485" s="13" t="n"/>
      <c r="AE485" s="13" t="n"/>
      <c r="AF485" s="13" t="n"/>
      <c r="AG485" s="13" t="n"/>
    </row>
    <row r="486">
      <c r="A486" s="9" t="inlineStr">
        <is>
          <t>21/22</t>
        </is>
      </c>
      <c r="B486" s="10" t="inlineStr">
        <is>
          <t xml:space="preserve"> Elan</t>
        </is>
      </c>
      <c r="C486" s="11" t="inlineStr">
        <is>
          <t>Wingman 78 Ti</t>
        </is>
      </c>
      <c r="D486" s="13" t="n">
        <v>176</v>
      </c>
      <c r="E486" s="11" t="inlineStr">
        <is>
          <t xml:space="preserve"> Unisex</t>
        </is>
      </c>
      <c r="F486" s="13" t="n">
        <v>176</v>
      </c>
      <c r="G486" s="13" t="n">
        <v>174</v>
      </c>
      <c r="H486" s="13" t="n">
        <v>155</v>
      </c>
      <c r="I486" s="13" t="n">
        <v>160</v>
      </c>
      <c r="J486" s="13" t="n">
        <v>125</v>
      </c>
      <c r="K486" s="13" t="n">
        <v>76</v>
      </c>
      <c r="L486" s="13" t="n">
        <v>105</v>
      </c>
      <c r="M486" s="13" t="n">
        <v>16.2</v>
      </c>
      <c r="N486" s="13" t="n">
        <v>2041</v>
      </c>
      <c r="O486" s="13" t="n">
        <v>0.77</v>
      </c>
      <c r="P486" s="13" t="n">
        <v>1576</v>
      </c>
      <c r="Q486" s="13" t="n">
        <v>228</v>
      </c>
      <c r="R486" s="13" t="n">
        <v>102</v>
      </c>
      <c r="S486" s="13" t="n">
        <v>27</v>
      </c>
      <c r="T486" s="13" t="n">
        <v>127</v>
      </c>
      <c r="U486" s="13" t="n">
        <v>9</v>
      </c>
      <c r="V486" s="13" t="n">
        <v>67</v>
      </c>
      <c r="W486" s="13" t="n">
        <v>0.334</v>
      </c>
      <c r="X486" s="13" t="n">
        <v>79</v>
      </c>
      <c r="Y486" s="13" t="n">
        <v>60</v>
      </c>
      <c r="Z486" s="13" t="n">
        <v>49</v>
      </c>
      <c r="AA486" s="13" t="n">
        <v>14</v>
      </c>
      <c r="AB486" s="13" t="n">
        <v>9.199999999999999</v>
      </c>
      <c r="AC486" s="11" t="inlineStr">
        <is>
          <t xml:space="preserve"> On-Piste Carving</t>
        </is>
      </c>
      <c r="AD486" s="13" t="n"/>
      <c r="AE486" s="13" t="n"/>
      <c r="AF486" s="13" t="n"/>
      <c r="AG486" s="13" t="n"/>
    </row>
    <row r="487">
      <c r="A487" s="9" t="inlineStr">
        <is>
          <t>21/22</t>
        </is>
      </c>
      <c r="B487" s="10" t="inlineStr">
        <is>
          <t xml:space="preserve"> Elan</t>
        </is>
      </c>
      <c r="C487" s="11" t="inlineStr">
        <is>
          <t>Wingman 82 CTi</t>
        </is>
      </c>
      <c r="D487" s="13" t="n">
        <v>172</v>
      </c>
      <c r="E487" s="11" t="inlineStr">
        <is>
          <t xml:space="preserve"> Unisex</t>
        </is>
      </c>
      <c r="F487" s="13" t="n">
        <v>172</v>
      </c>
      <c r="G487" s="13" t="n">
        <v>171.3</v>
      </c>
      <c r="H487" s="13" t="n">
        <v>142</v>
      </c>
      <c r="I487" s="13" t="n">
        <v>151</v>
      </c>
      <c r="J487" s="13" t="n">
        <v>128</v>
      </c>
      <c r="K487" s="13" t="n">
        <v>81</v>
      </c>
      <c r="L487" s="13" t="n">
        <v>111</v>
      </c>
      <c r="M487" s="13" t="n">
        <v>14.2</v>
      </c>
      <c r="N487" s="13" t="n">
        <v>2130</v>
      </c>
      <c r="O487" s="13" t="n">
        <v>0.78</v>
      </c>
      <c r="P487" s="13" t="n">
        <v>1653</v>
      </c>
      <c r="Q487" s="13" t="n">
        <v>261</v>
      </c>
      <c r="R487" s="13" t="n">
        <v>113</v>
      </c>
      <c r="S487" s="13" t="n">
        <v>39</v>
      </c>
      <c r="T487" s="13" t="n">
        <v>175</v>
      </c>
      <c r="U487" s="13" t="n">
        <v>10</v>
      </c>
      <c r="V487" s="13" t="n">
        <v>120</v>
      </c>
      <c r="W487" s="13" t="n">
        <v>0.258</v>
      </c>
      <c r="X487" s="13" t="n">
        <v>110</v>
      </c>
      <c r="Y487" s="13" t="n">
        <v>92</v>
      </c>
      <c r="Z487" s="13" t="n">
        <v>66</v>
      </c>
      <c r="AA487" s="13" t="n">
        <v>9</v>
      </c>
      <c r="AB487" s="13" t="n">
        <v>10</v>
      </c>
      <c r="AC487" s="11" t="inlineStr">
        <is>
          <t xml:space="preserve"> On-Piste All-Mountain</t>
        </is>
      </c>
      <c r="AD487" s="11" t="inlineStr">
        <is>
          <t xml:space="preserve"> Resort Freeride</t>
        </is>
      </c>
      <c r="AE487" s="13" t="n"/>
      <c r="AF487" s="13" t="n"/>
      <c r="AG487" s="13" t="n"/>
    </row>
    <row r="488">
      <c r="A488" s="9" t="inlineStr">
        <is>
          <t>21/22</t>
        </is>
      </c>
      <c r="B488" s="10" t="inlineStr">
        <is>
          <t xml:space="preserve"> Elan</t>
        </is>
      </c>
      <c r="C488" s="11" t="inlineStr">
        <is>
          <t>Wingman 82 Ti</t>
        </is>
      </c>
      <c r="D488" s="13" t="n">
        <v>172</v>
      </c>
      <c r="E488" s="11" t="inlineStr">
        <is>
          <t xml:space="preserve"> Unisex</t>
        </is>
      </c>
      <c r="F488" s="13" t="n">
        <v>172</v>
      </c>
      <c r="G488" s="13" t="n">
        <v>171.3</v>
      </c>
      <c r="H488" s="13" t="n">
        <v>142</v>
      </c>
      <c r="I488" s="13" t="n">
        <v>151</v>
      </c>
      <c r="J488" s="13" t="n">
        <v>128</v>
      </c>
      <c r="K488" s="13" t="n">
        <v>81</v>
      </c>
      <c r="L488" s="13" t="n">
        <v>111</v>
      </c>
      <c r="M488" s="13" t="n">
        <v>14.3</v>
      </c>
      <c r="N488" s="13" t="n">
        <v>1910</v>
      </c>
      <c r="O488" s="13" t="n">
        <v>0.86</v>
      </c>
      <c r="P488" s="13" t="n">
        <v>1651</v>
      </c>
      <c r="Q488" s="13" t="n">
        <v>231</v>
      </c>
      <c r="R488" s="13" t="n">
        <v>99</v>
      </c>
      <c r="S488" s="13" t="n">
        <v>37</v>
      </c>
      <c r="T488" s="13" t="n">
        <v>170</v>
      </c>
      <c r="U488" s="13" t="n">
        <v>12</v>
      </c>
      <c r="V488" s="13" t="n">
        <v>122</v>
      </c>
      <c r="W488" s="13" t="n">
        <v>0.313</v>
      </c>
      <c r="X488" s="13" t="n">
        <v>105</v>
      </c>
      <c r="Y488" s="13" t="n">
        <v>95</v>
      </c>
      <c r="Z488" s="13" t="n">
        <v>66</v>
      </c>
      <c r="AA488" s="13" t="n">
        <v>11</v>
      </c>
      <c r="AB488" s="13" t="n">
        <v>10</v>
      </c>
      <c r="AC488" s="11" t="inlineStr">
        <is>
          <t xml:space="preserve"> On-Piste All-Mountain</t>
        </is>
      </c>
      <c r="AD488" s="11" t="inlineStr">
        <is>
          <t xml:space="preserve"> Resort Freeride</t>
        </is>
      </c>
      <c r="AE488" s="13" t="n"/>
      <c r="AF488" s="13" t="n"/>
      <c r="AG488" s="13" t="n"/>
    </row>
    <row r="489">
      <c r="A489" s="9" t="inlineStr">
        <is>
          <t>21/22</t>
        </is>
      </c>
      <c r="B489" s="10" t="inlineStr">
        <is>
          <t xml:space="preserve"> Elan</t>
        </is>
      </c>
      <c r="C489" s="11" t="inlineStr">
        <is>
          <t>Wingman 86 CTi</t>
        </is>
      </c>
      <c r="D489" s="13" t="n">
        <v>172</v>
      </c>
      <c r="E489" s="11" t="inlineStr">
        <is>
          <t xml:space="preserve"> Unisex</t>
        </is>
      </c>
      <c r="F489" s="13" t="n">
        <v>172</v>
      </c>
      <c r="G489" s="13" t="n">
        <v>171.4</v>
      </c>
      <c r="H489" s="13" t="n">
        <v>137</v>
      </c>
      <c r="I489" s="13" t="n">
        <v>152</v>
      </c>
      <c r="J489" s="13" t="n">
        <v>128</v>
      </c>
      <c r="K489" s="13" t="n">
        <v>85</v>
      </c>
      <c r="L489" s="13" t="n">
        <v>114</v>
      </c>
      <c r="M489" s="13" t="n">
        <v>15.4</v>
      </c>
      <c r="N489" s="13" t="n">
        <v>2080</v>
      </c>
      <c r="O489" s="13" t="n">
        <v>0.82</v>
      </c>
      <c r="P489" s="13" t="n">
        <v>1700</v>
      </c>
      <c r="Q489" s="13" t="n">
        <v>206</v>
      </c>
      <c r="R489" s="13" t="n">
        <v>92</v>
      </c>
      <c r="S489" s="13" t="n">
        <v>42</v>
      </c>
      <c r="T489" s="13" t="n">
        <v>214</v>
      </c>
      <c r="U489" s="13" t="n">
        <v>8</v>
      </c>
      <c r="V489" s="13" t="n">
        <v>130</v>
      </c>
      <c r="W489" s="13" t="n">
        <v>0.202</v>
      </c>
      <c r="X489" s="13" t="n">
        <v>102</v>
      </c>
      <c r="Y489" s="13" t="n">
        <v>93</v>
      </c>
      <c r="Z489" s="13" t="n">
        <v>112</v>
      </c>
      <c r="AA489" s="13" t="n">
        <v>8</v>
      </c>
      <c r="AB489" s="13" t="n">
        <v>8.9</v>
      </c>
      <c r="AC489" s="11" t="inlineStr">
        <is>
          <t xml:space="preserve"> Resort Freeride</t>
        </is>
      </c>
      <c r="AD489" s="13" t="n"/>
      <c r="AE489" s="13" t="n"/>
      <c r="AF489" s="13" t="n"/>
      <c r="AG489" s="13" t="n"/>
    </row>
    <row r="490">
      <c r="A490" s="9" t="inlineStr">
        <is>
          <t>21/22</t>
        </is>
      </c>
      <c r="B490" s="10" t="inlineStr">
        <is>
          <t xml:space="preserve"> Elan</t>
        </is>
      </c>
      <c r="C490" s="11" t="inlineStr">
        <is>
          <t>Wingman 86 CTi</t>
        </is>
      </c>
      <c r="D490" s="13" t="n">
        <v>178</v>
      </c>
      <c r="E490" s="11" t="inlineStr">
        <is>
          <t xml:space="preserve"> Unisex</t>
        </is>
      </c>
      <c r="F490" s="13" t="n">
        <v>178</v>
      </c>
      <c r="G490" s="13" t="n">
        <v>177.5</v>
      </c>
      <c r="H490" s="13" t="n">
        <v>144</v>
      </c>
      <c r="I490" s="13" t="n">
        <v>157</v>
      </c>
      <c r="J490" s="13" t="n">
        <v>130</v>
      </c>
      <c r="K490" s="13" t="n">
        <v>85</v>
      </c>
      <c r="L490" s="13" t="n">
        <v>114</v>
      </c>
      <c r="M490" s="13" t="n">
        <v>16.4</v>
      </c>
      <c r="N490" s="13" t="n">
        <v>2172</v>
      </c>
      <c r="O490" s="13" t="n">
        <v>0.8100000000000001</v>
      </c>
      <c r="P490" s="13" t="n">
        <v>1765</v>
      </c>
      <c r="Q490" s="13" t="n">
        <v>250</v>
      </c>
      <c r="R490" s="13" t="n">
        <v>106</v>
      </c>
      <c r="S490" s="13" t="n">
        <v>38</v>
      </c>
      <c r="T490" s="13" t="n">
        <v>207</v>
      </c>
      <c r="U490" s="13" t="n">
        <v>7</v>
      </c>
      <c r="V490" s="13" t="n">
        <v>130</v>
      </c>
      <c r="W490" s="13" t="n">
        <v>0.196</v>
      </c>
      <c r="X490" s="13" t="n">
        <v>106</v>
      </c>
      <c r="Y490" s="13" t="n">
        <v>97</v>
      </c>
      <c r="Z490" s="13" t="n">
        <v>100</v>
      </c>
      <c r="AA490" s="13" t="n">
        <v>9</v>
      </c>
      <c r="AB490" s="13" t="n">
        <v>9.199999999999999</v>
      </c>
      <c r="AC490" s="11" t="inlineStr">
        <is>
          <t xml:space="preserve"> Resort Freeride</t>
        </is>
      </c>
      <c r="AD490" s="13" t="n"/>
      <c r="AE490" s="13" t="n"/>
      <c r="AF490" s="13" t="n"/>
      <c r="AG490" s="13" t="n"/>
    </row>
    <row r="491">
      <c r="A491" s="9" t="inlineStr">
        <is>
          <t>21/22</t>
        </is>
      </c>
      <c r="B491" s="10" t="inlineStr">
        <is>
          <t xml:space="preserve"> Elan</t>
        </is>
      </c>
      <c r="C491" s="11" t="inlineStr">
        <is>
          <t>Wingman 86 Ti</t>
        </is>
      </c>
      <c r="D491" s="13" t="n">
        <v>166</v>
      </c>
      <c r="E491" s="11" t="inlineStr">
        <is>
          <t xml:space="preserve"> Unisex</t>
        </is>
      </c>
      <c r="F491" s="13" t="n">
        <v>166</v>
      </c>
      <c r="G491" s="13" t="n">
        <v>165.2</v>
      </c>
      <c r="H491" s="13" t="n">
        <v>134</v>
      </c>
      <c r="I491" s="13" t="n">
        <v>146</v>
      </c>
      <c r="J491" s="13" t="n">
        <v>127</v>
      </c>
      <c r="K491" s="13" t="n">
        <v>85</v>
      </c>
      <c r="L491" s="13" t="n">
        <v>113</v>
      </c>
      <c r="M491" s="13" t="n">
        <v>14.7</v>
      </c>
      <c r="N491" s="13" t="n">
        <v>2004</v>
      </c>
      <c r="O491" s="13" t="n">
        <v>0.82</v>
      </c>
      <c r="P491" s="13" t="n">
        <v>1638</v>
      </c>
      <c r="Q491" s="13" t="n">
        <v>191</v>
      </c>
      <c r="R491" s="13" t="n">
        <v>93</v>
      </c>
      <c r="S491" s="13" t="n">
        <v>41</v>
      </c>
      <c r="T491" s="13" t="n">
        <v>206</v>
      </c>
      <c r="U491" s="13" t="n">
        <v>7</v>
      </c>
      <c r="V491" s="13" t="n">
        <v>106</v>
      </c>
      <c r="W491" s="13" t="n">
        <v>0.166</v>
      </c>
      <c r="X491" s="13" t="n">
        <v>98</v>
      </c>
      <c r="Y491" s="13" t="n">
        <v>95</v>
      </c>
      <c r="Z491" s="13" t="n">
        <v>108</v>
      </c>
      <c r="AA491" s="13" t="n">
        <v>10</v>
      </c>
      <c r="AB491" s="13" t="n">
        <v>8.9</v>
      </c>
      <c r="AC491" s="11" t="inlineStr">
        <is>
          <t xml:space="preserve"> Resort Freeride</t>
        </is>
      </c>
      <c r="AD491" s="13" t="n"/>
      <c r="AE491" s="13" t="n"/>
      <c r="AF491" s="13" t="n"/>
      <c r="AG491" s="13" t="n"/>
    </row>
    <row r="492">
      <c r="A492" s="9" t="inlineStr">
        <is>
          <t>21/22</t>
        </is>
      </c>
      <c r="B492" s="10" t="inlineStr">
        <is>
          <t xml:space="preserve"> Elan</t>
        </is>
      </c>
      <c r="C492" s="11" t="inlineStr">
        <is>
          <t>Wingman 86 Ti</t>
        </is>
      </c>
      <c r="D492" s="13" t="n">
        <v>172</v>
      </c>
      <c r="E492" s="11" t="inlineStr">
        <is>
          <t xml:space="preserve"> Unisex</t>
        </is>
      </c>
      <c r="F492" s="13" t="n">
        <v>172</v>
      </c>
      <c r="G492" s="13" t="n">
        <v>171.3</v>
      </c>
      <c r="H492" s="13" t="n">
        <v>135</v>
      </c>
      <c r="I492" s="13" t="n">
        <v>152</v>
      </c>
      <c r="J492" s="13" t="n">
        <v>128</v>
      </c>
      <c r="K492" s="13" t="n">
        <v>85</v>
      </c>
      <c r="L492" s="13" t="n">
        <v>114</v>
      </c>
      <c r="M492" s="13" t="n">
        <v>15.5</v>
      </c>
      <c r="N492" s="13" t="n">
        <v>2093</v>
      </c>
      <c r="O492" s="13" t="n">
        <v>0.8100000000000001</v>
      </c>
      <c r="P492" s="13" t="n">
        <v>1700</v>
      </c>
      <c r="Q492" s="13" t="n">
        <v>205</v>
      </c>
      <c r="R492" s="13" t="n">
        <v>97</v>
      </c>
      <c r="S492" s="13" t="n">
        <v>41</v>
      </c>
      <c r="T492" s="13" t="n">
        <v>224</v>
      </c>
      <c r="U492" s="13" t="n">
        <v>8</v>
      </c>
      <c r="V492" s="13" t="n">
        <v>135</v>
      </c>
      <c r="W492" s="13" t="n">
        <v>0.204</v>
      </c>
      <c r="X492" s="13" t="n">
        <v>97</v>
      </c>
      <c r="Y492" s="13" t="n">
        <v>96</v>
      </c>
      <c r="Z492" s="13" t="n">
        <v>126</v>
      </c>
      <c r="AA492" s="13" t="n">
        <v>6</v>
      </c>
      <c r="AB492" s="13" t="n">
        <v>9.199999999999999</v>
      </c>
      <c r="AC492" s="11" t="inlineStr">
        <is>
          <t xml:space="preserve"> Resort Freeride</t>
        </is>
      </c>
      <c r="AD492" s="13" t="n"/>
      <c r="AE492" s="13" t="n"/>
      <c r="AF492" s="13" t="n"/>
      <c r="AG492" s="13" t="n"/>
    </row>
    <row r="493">
      <c r="A493" s="9" t="inlineStr">
        <is>
          <t>21/22</t>
        </is>
      </c>
      <c r="B493" s="10" t="inlineStr">
        <is>
          <t xml:space="preserve"> Elan</t>
        </is>
      </c>
      <c r="C493" s="11" t="inlineStr">
        <is>
          <t>Wingman 86 Ti</t>
        </is>
      </c>
      <c r="D493" s="13" t="n">
        <v>178</v>
      </c>
      <c r="E493" s="11" t="inlineStr">
        <is>
          <t xml:space="preserve"> Unisex</t>
        </is>
      </c>
      <c r="F493" s="13" t="n">
        <v>178</v>
      </c>
      <c r="G493" s="13" t="n">
        <v>177.4</v>
      </c>
      <c r="H493" s="13" t="n">
        <v>143</v>
      </c>
      <c r="I493" s="13" t="n">
        <v>158</v>
      </c>
      <c r="J493" s="13" t="n">
        <v>130</v>
      </c>
      <c r="K493" s="13" t="n">
        <v>86</v>
      </c>
      <c r="L493" s="13" t="n">
        <v>114</v>
      </c>
      <c r="M493" s="13" t="n">
        <v>16.4</v>
      </c>
      <c r="N493" s="13" t="n">
        <v>2178</v>
      </c>
      <c r="O493" s="13" t="n">
        <v>0.8100000000000001</v>
      </c>
      <c r="P493" s="13" t="n">
        <v>1770</v>
      </c>
      <c r="Q493" s="13" t="n">
        <v>222</v>
      </c>
      <c r="R493" s="13" t="n">
        <v>110</v>
      </c>
      <c r="S493" s="13" t="n">
        <v>39</v>
      </c>
      <c r="T493" s="13" t="n">
        <v>213</v>
      </c>
      <c r="U493" s="13" t="n">
        <v>8</v>
      </c>
      <c r="V493" s="13" t="n">
        <v>128</v>
      </c>
      <c r="W493" s="13" t="n">
        <v>0.205</v>
      </c>
      <c r="X493" s="13" t="n">
        <v>100</v>
      </c>
      <c r="Y493" s="13" t="n">
        <v>96</v>
      </c>
      <c r="Z493" s="13" t="n">
        <v>113</v>
      </c>
      <c r="AA493" s="13" t="n">
        <v>8</v>
      </c>
      <c r="AB493" s="13" t="n">
        <v>9</v>
      </c>
      <c r="AC493" s="11" t="inlineStr">
        <is>
          <t xml:space="preserve"> Resort Freeride</t>
        </is>
      </c>
      <c r="AD493" s="13" t="n"/>
      <c r="AE493" s="13" t="n"/>
      <c r="AF493" s="13" t="n"/>
      <c r="AG493" s="13" t="n"/>
    </row>
    <row r="494">
      <c r="A494" s="9" t="inlineStr">
        <is>
          <t>21/22</t>
        </is>
      </c>
      <c r="B494" s="10" t="inlineStr">
        <is>
          <t xml:space="preserve"> Faction</t>
        </is>
      </c>
      <c r="C494" s="11" t="inlineStr">
        <is>
          <t>Agent 1.0 X</t>
        </is>
      </c>
      <c r="D494" s="13" t="n">
        <v>154</v>
      </c>
      <c r="E494" s="11" t="inlineStr">
        <is>
          <t xml:space="preserve"> Women's</t>
        </is>
      </c>
      <c r="F494" s="13" t="n">
        <v>154</v>
      </c>
      <c r="G494" s="13" t="n">
        <v>152.2</v>
      </c>
      <c r="H494" s="13" t="n">
        <v>118</v>
      </c>
      <c r="I494" s="13" t="n">
        <v>129</v>
      </c>
      <c r="J494" s="13" t="n">
        <v>119</v>
      </c>
      <c r="K494" s="13" t="n">
        <v>85</v>
      </c>
      <c r="L494" s="13" t="n">
        <v>109</v>
      </c>
      <c r="M494" s="13" t="n">
        <v>13.2</v>
      </c>
      <c r="N494" s="13" t="n">
        <v>1297</v>
      </c>
      <c r="O494" s="13" t="n">
        <v>1.14</v>
      </c>
      <c r="P494" s="13" t="n">
        <v>1476</v>
      </c>
      <c r="Q494" s="13" t="n">
        <v>172</v>
      </c>
      <c r="R494" s="13" t="n">
        <v>76</v>
      </c>
      <c r="S494" s="13" t="n">
        <v>51</v>
      </c>
      <c r="T494" s="13" t="n">
        <v>206</v>
      </c>
      <c r="U494" s="13" t="n">
        <v>19</v>
      </c>
      <c r="V494" s="13" t="n">
        <v>133</v>
      </c>
      <c r="W494" s="13" t="n">
        <v>0.376</v>
      </c>
      <c r="X494" s="13" t="n">
        <v>138</v>
      </c>
      <c r="Y494" s="13" t="n">
        <v>96</v>
      </c>
      <c r="Z494" s="13" t="n">
        <v>68</v>
      </c>
      <c r="AA494" s="13" t="n">
        <v>6</v>
      </c>
      <c r="AB494" s="13" t="n">
        <v>9.199999999999999</v>
      </c>
      <c r="AC494" s="11" t="inlineStr">
        <is>
          <t xml:space="preserve"> Resort Freeride</t>
        </is>
      </c>
      <c r="AD494" s="11" t="inlineStr">
        <is>
          <t xml:space="preserve"> Touring</t>
        </is>
      </c>
      <c r="AE494" s="13" t="n"/>
      <c r="AF494" s="13" t="n"/>
      <c r="AG494" s="13" t="n"/>
    </row>
    <row r="495">
      <c r="A495" s="9" t="inlineStr">
        <is>
          <t>21/22</t>
        </is>
      </c>
      <c r="B495" s="10" t="inlineStr">
        <is>
          <t xml:space="preserve"> Faction</t>
        </is>
      </c>
      <c r="C495" s="11" t="inlineStr">
        <is>
          <t>Agent 1.0 X</t>
        </is>
      </c>
      <c r="D495" s="13" t="n">
        <v>162</v>
      </c>
      <c r="E495" s="11" t="inlineStr">
        <is>
          <t xml:space="preserve"> Women's</t>
        </is>
      </c>
      <c r="F495" s="13" t="n">
        <v>162</v>
      </c>
      <c r="G495" s="13" t="n">
        <v>160.3</v>
      </c>
      <c r="H495" s="13" t="n">
        <v>125</v>
      </c>
      <c r="I495" s="13" t="n">
        <v>137</v>
      </c>
      <c r="J495" s="13" t="n">
        <v>119</v>
      </c>
      <c r="K495" s="13" t="n">
        <v>85</v>
      </c>
      <c r="L495" s="13" t="n">
        <v>109</v>
      </c>
      <c r="M495" s="13" t="n">
        <v>14.9</v>
      </c>
      <c r="N495" s="13" t="n">
        <v>1390</v>
      </c>
      <c r="O495" s="13" t="n">
        <v>1.12</v>
      </c>
      <c r="P495" s="13" t="n">
        <v>1552</v>
      </c>
      <c r="Q495" s="13" t="n">
        <v>169</v>
      </c>
      <c r="R495" s="13" t="n">
        <v>80</v>
      </c>
      <c r="S495" s="13" t="n">
        <v>50</v>
      </c>
      <c r="T495" s="13" t="n">
        <v>212</v>
      </c>
      <c r="U495" s="13" t="n">
        <v>20</v>
      </c>
      <c r="V495" s="13" t="n">
        <v>142</v>
      </c>
      <c r="W495" s="13" t="n">
        <v>0.406</v>
      </c>
      <c r="X495" s="13" t="n">
        <v>150</v>
      </c>
      <c r="Y495" s="13" t="n">
        <v>86</v>
      </c>
      <c r="Z495" s="13" t="n">
        <v>63</v>
      </c>
      <c r="AA495" s="13" t="n">
        <v>7</v>
      </c>
      <c r="AB495" s="13" t="n">
        <v>9.5</v>
      </c>
      <c r="AC495" s="11" t="inlineStr">
        <is>
          <t xml:space="preserve"> Resort Freeride</t>
        </is>
      </c>
      <c r="AD495" s="11" t="inlineStr">
        <is>
          <t xml:space="preserve"> Touring</t>
        </is>
      </c>
      <c r="AE495" s="13" t="n"/>
      <c r="AF495" s="13" t="n"/>
      <c r="AG495" s="13" t="n"/>
    </row>
    <row r="496">
      <c r="A496" s="9" t="inlineStr">
        <is>
          <t>21/22</t>
        </is>
      </c>
      <c r="B496" s="10" t="inlineStr">
        <is>
          <t xml:space="preserve"> Faction</t>
        </is>
      </c>
      <c r="C496" s="11" t="inlineStr">
        <is>
          <t>Agent 1.0 X</t>
        </is>
      </c>
      <c r="D496" s="13" t="n">
        <v>170</v>
      </c>
      <c r="E496" s="11" t="inlineStr">
        <is>
          <t xml:space="preserve"> Women's</t>
        </is>
      </c>
      <c r="F496" s="13" t="n">
        <v>170</v>
      </c>
      <c r="G496" s="13" t="n">
        <v>168.4</v>
      </c>
      <c r="H496" s="13" t="n">
        <v>130</v>
      </c>
      <c r="I496" s="13" t="n">
        <v>143</v>
      </c>
      <c r="J496" s="13" t="n">
        <v>119</v>
      </c>
      <c r="K496" s="13" t="n">
        <v>85</v>
      </c>
      <c r="L496" s="13" t="n">
        <v>109</v>
      </c>
      <c r="M496" s="13" t="n">
        <v>16.8</v>
      </c>
      <c r="N496" s="13" t="n">
        <v>1447</v>
      </c>
      <c r="O496" s="13" t="n">
        <v>1.13</v>
      </c>
      <c r="P496" s="13" t="n">
        <v>1629</v>
      </c>
      <c r="Q496" s="13" t="n">
        <v>208</v>
      </c>
      <c r="R496" s="13" t="n">
        <v>96</v>
      </c>
      <c r="S496" s="13" t="n">
        <v>50</v>
      </c>
      <c r="T496" s="13" t="n">
        <v>228</v>
      </c>
      <c r="U496" s="13" t="n">
        <v>21</v>
      </c>
      <c r="V496" s="13" t="n">
        <v>157</v>
      </c>
      <c r="W496" s="13" t="n">
        <v>0.412</v>
      </c>
      <c r="X496" s="13" t="n">
        <v>148</v>
      </c>
      <c r="Y496" s="13" t="n">
        <v>103</v>
      </c>
      <c r="Z496" s="13" t="n">
        <v>80</v>
      </c>
      <c r="AA496" s="13" t="n">
        <v>8</v>
      </c>
      <c r="AB496" s="13" t="n">
        <v>9.9</v>
      </c>
      <c r="AC496" s="11" t="inlineStr">
        <is>
          <t xml:space="preserve"> Resort Freeride</t>
        </is>
      </c>
      <c r="AD496" s="11" t="inlineStr">
        <is>
          <t xml:space="preserve"> Touring</t>
        </is>
      </c>
      <c r="AE496" s="13" t="n"/>
      <c r="AF496" s="13" t="n"/>
      <c r="AG496" s="13" t="n"/>
    </row>
    <row r="497">
      <c r="A497" s="9" t="inlineStr">
        <is>
          <t>21/22</t>
        </is>
      </c>
      <c r="B497" s="10" t="inlineStr">
        <is>
          <t xml:space="preserve"> Faction</t>
        </is>
      </c>
      <c r="C497" s="11" t="inlineStr">
        <is>
          <t>Agent 2.0</t>
        </is>
      </c>
      <c r="D497" s="13" t="n">
        <v>171</v>
      </c>
      <c r="E497" s="11" t="inlineStr">
        <is>
          <t xml:space="preserve"> Unisex</t>
        </is>
      </c>
      <c r="F497" s="13" t="n">
        <v>171</v>
      </c>
      <c r="G497" s="13" t="n">
        <v>169.4</v>
      </c>
      <c r="H497" s="13" t="n">
        <v>126</v>
      </c>
      <c r="I497" s="13" t="n">
        <v>143</v>
      </c>
      <c r="J497" s="13" t="n">
        <v>127</v>
      </c>
      <c r="K497" s="13" t="n">
        <v>95</v>
      </c>
      <c r="L497" s="13" t="n">
        <v>117</v>
      </c>
      <c r="M497" s="13" t="n">
        <v>17.6</v>
      </c>
      <c r="N497" s="13" t="n">
        <v>1566</v>
      </c>
      <c r="O497" s="13" t="n">
        <v>1.15</v>
      </c>
      <c r="P497" s="13" t="n">
        <v>1801</v>
      </c>
      <c r="Q497" s="13" t="n">
        <v>206</v>
      </c>
      <c r="R497" s="13" t="n">
        <v>96</v>
      </c>
      <c r="S497" s="13" t="n">
        <v>52</v>
      </c>
      <c r="T497" s="13" t="n">
        <v>247</v>
      </c>
      <c r="U497" s="13" t="n">
        <v>20</v>
      </c>
      <c r="V497" s="13" t="n">
        <v>186</v>
      </c>
      <c r="W497" s="13" t="n">
        <v>0.388</v>
      </c>
      <c r="X497" s="13" t="n">
        <v>161</v>
      </c>
      <c r="Y497" s="13" t="n">
        <v>107</v>
      </c>
      <c r="Z497" s="13" t="n">
        <v>86</v>
      </c>
      <c r="AA497" s="13" t="n">
        <v>6</v>
      </c>
      <c r="AB497" s="13" t="n">
        <v>11.4</v>
      </c>
      <c r="AC497" s="11" t="inlineStr">
        <is>
          <t xml:space="preserve"> Resort Freeride</t>
        </is>
      </c>
      <c r="AD497" s="11" t="inlineStr">
        <is>
          <t xml:space="preserve"> Touring</t>
        </is>
      </c>
      <c r="AE497" s="13" t="n"/>
      <c r="AF497" s="13" t="n"/>
      <c r="AG497" s="13" t="n"/>
    </row>
    <row r="498">
      <c r="A498" s="9" t="inlineStr">
        <is>
          <t>21/22</t>
        </is>
      </c>
      <c r="B498" s="10" t="inlineStr">
        <is>
          <t xml:space="preserve"> Faction</t>
        </is>
      </c>
      <c r="C498" s="11" t="inlineStr">
        <is>
          <t>Agent 2.0</t>
        </is>
      </c>
      <c r="D498" s="13" t="n">
        <v>179</v>
      </c>
      <c r="E498" s="11" t="inlineStr">
        <is>
          <t xml:space="preserve"> Unisex</t>
        </is>
      </c>
      <c r="F498" s="13" t="n">
        <v>179</v>
      </c>
      <c r="G498" s="13" t="n">
        <v>177.3</v>
      </c>
      <c r="H498" s="13" t="n">
        <v>134</v>
      </c>
      <c r="I498" s="13" t="n">
        <v>149</v>
      </c>
      <c r="J498" s="13" t="n">
        <v>127</v>
      </c>
      <c r="K498" s="13" t="n">
        <v>95</v>
      </c>
      <c r="L498" s="13" t="n">
        <v>117</v>
      </c>
      <c r="M498" s="13" t="n">
        <v>19.7</v>
      </c>
      <c r="N498" s="13" t="n">
        <v>1630</v>
      </c>
      <c r="O498" s="13" t="n">
        <v>1.16</v>
      </c>
      <c r="P498" s="13" t="n">
        <v>1883</v>
      </c>
      <c r="Q498" s="13" t="n">
        <v>218</v>
      </c>
      <c r="R498" s="13" t="n">
        <v>115</v>
      </c>
      <c r="S498" s="13" t="n">
        <v>52</v>
      </c>
      <c r="T498" s="13" t="n">
        <v>259</v>
      </c>
      <c r="U498" s="13" t="n">
        <v>21</v>
      </c>
      <c r="V498" s="13" t="n">
        <v>177</v>
      </c>
      <c r="W498" s="13" t="n">
        <v>0.396</v>
      </c>
      <c r="X498" s="13" t="n">
        <v>174</v>
      </c>
      <c r="Y498" s="13" t="n">
        <v>104</v>
      </c>
      <c r="Z498" s="13" t="n">
        <v>85</v>
      </c>
      <c r="AA498" s="13" t="n">
        <v>8</v>
      </c>
      <c r="AB498" s="13" t="n">
        <v>11.3</v>
      </c>
      <c r="AC498" s="11" t="inlineStr">
        <is>
          <t xml:space="preserve"> Resort Freeride</t>
        </is>
      </c>
      <c r="AD498" s="11" t="inlineStr">
        <is>
          <t xml:space="preserve"> Touring</t>
        </is>
      </c>
      <c r="AE498" s="13" t="n"/>
      <c r="AF498" s="13" t="n"/>
      <c r="AG498" s="13" t="n"/>
    </row>
    <row r="499">
      <c r="A499" s="9" t="inlineStr">
        <is>
          <t>21/22</t>
        </is>
      </c>
      <c r="B499" s="10" t="inlineStr">
        <is>
          <t xml:space="preserve"> Faction</t>
        </is>
      </c>
      <c r="C499" s="11" t="inlineStr">
        <is>
          <t>Agent 2.0 X</t>
        </is>
      </c>
      <c r="D499" s="13" t="n">
        <v>155</v>
      </c>
      <c r="E499" s="11" t="inlineStr">
        <is>
          <t xml:space="preserve"> Women's</t>
        </is>
      </c>
      <c r="F499" s="13" t="n">
        <v>155</v>
      </c>
      <c r="G499" s="13" t="n">
        <v>153.3</v>
      </c>
      <c r="H499" s="13" t="n">
        <v>115</v>
      </c>
      <c r="I499" s="13" t="n">
        <v>127</v>
      </c>
      <c r="J499" s="13" t="n">
        <v>126</v>
      </c>
      <c r="K499" s="13" t="n">
        <v>95</v>
      </c>
      <c r="L499" s="13" t="n">
        <v>116</v>
      </c>
      <c r="M499" s="13" t="n">
        <v>13.9</v>
      </c>
      <c r="N499" s="13" t="n">
        <v>1418</v>
      </c>
      <c r="O499" s="13" t="n">
        <v>1.14</v>
      </c>
      <c r="P499" s="13" t="n">
        <v>1623</v>
      </c>
      <c r="Q499" s="13" t="n">
        <v>162</v>
      </c>
      <c r="R499" s="13" t="n">
        <v>84</v>
      </c>
      <c r="S499" s="13" t="n">
        <v>52</v>
      </c>
      <c r="T499" s="13" t="n">
        <v>229</v>
      </c>
      <c r="U499" s="13" t="n">
        <v>21</v>
      </c>
      <c r="V499" s="13" t="n">
        <v>155</v>
      </c>
      <c r="W499" s="13" t="n">
        <v>0.392</v>
      </c>
      <c r="X499" s="13" t="n">
        <v>172</v>
      </c>
      <c r="Y499" s="13" t="n">
        <v>92</v>
      </c>
      <c r="Z499" s="13" t="n">
        <v>57</v>
      </c>
      <c r="AA499" s="13" t="n">
        <v>7</v>
      </c>
      <c r="AB499" s="13" t="n">
        <v>10.6</v>
      </c>
      <c r="AC499" s="11" t="inlineStr">
        <is>
          <t xml:space="preserve"> Resort Freeride</t>
        </is>
      </c>
      <c r="AD499" s="11" t="inlineStr">
        <is>
          <t xml:space="preserve"> Touring</t>
        </is>
      </c>
      <c r="AE499" s="13" t="n"/>
      <c r="AF499" s="13" t="n"/>
      <c r="AG499" s="13" t="n"/>
    </row>
    <row r="500">
      <c r="A500" s="9" t="inlineStr">
        <is>
          <t>21/22</t>
        </is>
      </c>
      <c r="B500" s="10" t="inlineStr">
        <is>
          <t xml:space="preserve"> Faction</t>
        </is>
      </c>
      <c r="C500" s="11" t="inlineStr">
        <is>
          <t>Agent 2.0 X</t>
        </is>
      </c>
      <c r="D500" s="13" t="n">
        <v>163</v>
      </c>
      <c r="E500" s="11" t="inlineStr">
        <is>
          <t xml:space="preserve"> Women's</t>
        </is>
      </c>
      <c r="F500" s="13" t="n">
        <v>163</v>
      </c>
      <c r="G500" s="13" t="n">
        <v>169.5</v>
      </c>
      <c r="H500" s="13" t="n">
        <v>126</v>
      </c>
      <c r="I500" s="13" t="n">
        <v>140</v>
      </c>
      <c r="J500" s="13" t="n">
        <v>126</v>
      </c>
      <c r="K500" s="13" t="n">
        <v>95</v>
      </c>
      <c r="L500" s="13" t="n">
        <v>116</v>
      </c>
      <c r="M500" s="13" t="n">
        <v>17.6</v>
      </c>
      <c r="N500" s="13" t="n">
        <v>1528</v>
      </c>
      <c r="O500" s="13" t="n">
        <v>1.17</v>
      </c>
      <c r="P500" s="13" t="n">
        <v>1793</v>
      </c>
      <c r="Q500" s="13" t="n">
        <v>221</v>
      </c>
      <c r="R500" s="13" t="n">
        <v>107</v>
      </c>
      <c r="S500" s="13" t="n">
        <v>52</v>
      </c>
      <c r="T500" s="13" t="n">
        <v>247</v>
      </c>
      <c r="U500" s="13" t="n">
        <v>21</v>
      </c>
      <c r="V500" s="13" t="n">
        <v>186</v>
      </c>
      <c r="W500" s="13" t="n">
        <v>0.405</v>
      </c>
      <c r="X500" s="13" t="n">
        <v>173</v>
      </c>
      <c r="Y500" s="13" t="n">
        <v>120</v>
      </c>
      <c r="Z500" s="13" t="n">
        <v>74</v>
      </c>
      <c r="AA500" s="13" t="n">
        <v>6</v>
      </c>
      <c r="AB500" s="13" t="n">
        <v>10.9</v>
      </c>
      <c r="AC500" s="11" t="inlineStr">
        <is>
          <t xml:space="preserve"> Resort Freeride</t>
        </is>
      </c>
      <c r="AD500" s="11" t="inlineStr">
        <is>
          <t xml:space="preserve"> Touring</t>
        </is>
      </c>
      <c r="AE500" s="13" t="n"/>
      <c r="AF500" s="13" t="n"/>
      <c r="AG500" s="13" t="n"/>
    </row>
    <row r="501">
      <c r="A501" s="9" t="inlineStr">
        <is>
          <t>21/22</t>
        </is>
      </c>
      <c r="B501" s="10" t="inlineStr">
        <is>
          <t xml:space="preserve"> Faction</t>
        </is>
      </c>
      <c r="C501" s="11" t="inlineStr">
        <is>
          <t>Agent 2.0 X</t>
        </is>
      </c>
      <c r="D501" s="13" t="n">
        <v>171</v>
      </c>
      <c r="E501" s="11" t="inlineStr">
        <is>
          <t xml:space="preserve"> Women's</t>
        </is>
      </c>
      <c r="F501" s="13" t="n">
        <v>171</v>
      </c>
      <c r="G501" s="13" t="n">
        <v>153.3</v>
      </c>
      <c r="H501" s="13" t="n">
        <v>115</v>
      </c>
      <c r="I501" s="13" t="n">
        <v>127</v>
      </c>
      <c r="J501" s="13" t="n">
        <v>126</v>
      </c>
      <c r="K501" s="13" t="n">
        <v>95</v>
      </c>
      <c r="L501" s="13" t="n">
        <v>116</v>
      </c>
      <c r="M501" s="13" t="n">
        <v>13.9</v>
      </c>
      <c r="N501" s="13" t="n">
        <v>1641</v>
      </c>
      <c r="O501" s="13" t="n">
        <v>0.99</v>
      </c>
      <c r="P501" s="13" t="n">
        <v>1623</v>
      </c>
      <c r="Q501" s="13" t="n">
        <v>162</v>
      </c>
      <c r="R501" s="13" t="n">
        <v>84</v>
      </c>
      <c r="S501" s="13" t="n">
        <v>52</v>
      </c>
      <c r="T501" s="13" t="n">
        <v>229</v>
      </c>
      <c r="U501" s="13" t="n">
        <v>21</v>
      </c>
      <c r="V501" s="13" t="n">
        <v>155</v>
      </c>
      <c r="W501" s="13" t="n">
        <v>0.392</v>
      </c>
      <c r="X501" s="13" t="n">
        <v>172</v>
      </c>
      <c r="Y501" s="13" t="n">
        <v>92</v>
      </c>
      <c r="Z501" s="13" t="n">
        <v>57</v>
      </c>
      <c r="AA501" s="13" t="n">
        <v>7</v>
      </c>
      <c r="AB501" s="13" t="n">
        <v>10.6</v>
      </c>
      <c r="AC501" s="11" t="inlineStr">
        <is>
          <t xml:space="preserve"> Resort Freeride</t>
        </is>
      </c>
      <c r="AD501" s="13" t="n"/>
      <c r="AE501" s="13" t="n"/>
      <c r="AF501" s="13" t="n"/>
      <c r="AG501" s="13" t="n"/>
    </row>
    <row r="502">
      <c r="A502" s="9" t="inlineStr">
        <is>
          <t>21/22</t>
        </is>
      </c>
      <c r="B502" s="10" t="inlineStr">
        <is>
          <t xml:space="preserve"> Faction</t>
        </is>
      </c>
      <c r="C502" s="11" t="inlineStr">
        <is>
          <t>Agent 3.0</t>
        </is>
      </c>
      <c r="D502" s="13" t="n">
        <v>172</v>
      </c>
      <c r="E502" s="11" t="inlineStr">
        <is>
          <t xml:space="preserve"> Unisex</t>
        </is>
      </c>
      <c r="F502" s="13" t="n">
        <v>172</v>
      </c>
      <c r="G502" s="13" t="n">
        <v>170.6</v>
      </c>
      <c r="H502" s="13" t="n">
        <v>122</v>
      </c>
      <c r="I502" s="13" t="n">
        <v>139</v>
      </c>
      <c r="J502" s="13" t="n">
        <v>134</v>
      </c>
      <c r="K502" s="13" t="n">
        <v>106</v>
      </c>
      <c r="L502" s="13" t="n">
        <v>124</v>
      </c>
      <c r="M502" s="13" t="n">
        <v>18.8</v>
      </c>
      <c r="N502" s="13" t="n">
        <v>1724</v>
      </c>
      <c r="O502" s="13" t="n">
        <v>1.14</v>
      </c>
      <c r="P502" s="13" t="n">
        <v>1964</v>
      </c>
      <c r="Q502" s="13" t="n">
        <v>202</v>
      </c>
      <c r="R502" s="13" t="n">
        <v>107</v>
      </c>
      <c r="S502" s="13" t="n">
        <v>55</v>
      </c>
      <c r="T502" s="13" t="n">
        <v>291</v>
      </c>
      <c r="U502" s="13" t="n">
        <v>21</v>
      </c>
      <c r="V502" s="13" t="n">
        <v>198</v>
      </c>
      <c r="W502" s="13" t="n">
        <v>0.378</v>
      </c>
      <c r="X502" s="13" t="n">
        <v>200</v>
      </c>
      <c r="Y502" s="13" t="n">
        <v>121</v>
      </c>
      <c r="Z502" s="13" t="n">
        <v>91</v>
      </c>
      <c r="AA502" s="13" t="n">
        <v>6</v>
      </c>
      <c r="AB502" s="13" t="n">
        <v>11.1</v>
      </c>
      <c r="AC502" s="11" t="inlineStr">
        <is>
          <t xml:space="preserve"> Powder</t>
        </is>
      </c>
      <c r="AD502" s="11" t="inlineStr">
        <is>
          <t xml:space="preserve"> Big Mountain</t>
        </is>
      </c>
      <c r="AE502" s="11" t="inlineStr">
        <is>
          <t xml:space="preserve"> Touring</t>
        </is>
      </c>
      <c r="AF502" s="13" t="n"/>
      <c r="AG502" s="13" t="n"/>
    </row>
    <row r="503">
      <c r="A503" s="9" t="inlineStr">
        <is>
          <t>21/22</t>
        </is>
      </c>
      <c r="B503" s="10" t="inlineStr">
        <is>
          <t xml:space="preserve"> Faction</t>
        </is>
      </c>
      <c r="C503" s="11" t="inlineStr">
        <is>
          <t>Agent 3.0</t>
        </is>
      </c>
      <c r="D503" s="13" t="n">
        <v>180</v>
      </c>
      <c r="E503" s="11" t="inlineStr">
        <is>
          <t xml:space="preserve"> Unisex</t>
        </is>
      </c>
      <c r="F503" s="13" t="n">
        <v>180</v>
      </c>
      <c r="G503" s="13" t="n">
        <v>178.8</v>
      </c>
      <c r="H503" s="13" t="n">
        <v>132</v>
      </c>
      <c r="I503" s="13" t="n">
        <v>147</v>
      </c>
      <c r="J503" s="13" t="n">
        <v>134</v>
      </c>
      <c r="K503" s="13" t="n">
        <v>106</v>
      </c>
      <c r="L503" s="13" t="n">
        <v>124</v>
      </c>
      <c r="M503" s="13" t="n">
        <v>21</v>
      </c>
      <c r="N503" s="13" t="n">
        <v>1752</v>
      </c>
      <c r="O503" s="13" t="n">
        <v>1.18</v>
      </c>
      <c r="P503" s="13" t="n">
        <v>2059</v>
      </c>
      <c r="Q503" s="13" t="n">
        <v>223</v>
      </c>
      <c r="R503" s="13" t="n">
        <v>106</v>
      </c>
      <c r="S503" s="13" t="n">
        <v>51</v>
      </c>
      <c r="T503" s="13" t="n">
        <v>275</v>
      </c>
      <c r="U503" s="13" t="n">
        <v>20</v>
      </c>
      <c r="V503" s="13" t="n">
        <v>194</v>
      </c>
      <c r="W503" s="13" t="n">
        <v>0.391</v>
      </c>
      <c r="X503" s="13" t="n">
        <v>198</v>
      </c>
      <c r="Y503" s="13" t="n">
        <v>116</v>
      </c>
      <c r="Z503" s="13" t="n">
        <v>77</v>
      </c>
      <c r="AA503" s="13" t="n">
        <v>5</v>
      </c>
      <c r="AB503" s="13" t="n">
        <v>11.5</v>
      </c>
      <c r="AC503" s="11" t="inlineStr">
        <is>
          <t xml:space="preserve"> Powder</t>
        </is>
      </c>
      <c r="AD503" s="11" t="inlineStr">
        <is>
          <t xml:space="preserve"> Big Mountain</t>
        </is>
      </c>
      <c r="AE503" s="11" t="inlineStr">
        <is>
          <t xml:space="preserve"> Touring</t>
        </is>
      </c>
      <c r="AF503" s="13" t="n"/>
      <c r="AG503" s="13" t="n"/>
    </row>
    <row r="504">
      <c r="A504" s="9" t="inlineStr">
        <is>
          <t>21/22</t>
        </is>
      </c>
      <c r="B504" s="10" t="inlineStr">
        <is>
          <t xml:space="preserve"> Faction</t>
        </is>
      </c>
      <c r="C504" s="11" t="inlineStr">
        <is>
          <t>Agent 3.0</t>
        </is>
      </c>
      <c r="D504" s="13" t="n">
        <v>188</v>
      </c>
      <c r="E504" s="11" t="inlineStr">
        <is>
          <t xml:space="preserve"> Unisex</t>
        </is>
      </c>
      <c r="F504" s="13" t="n">
        <v>188</v>
      </c>
      <c r="G504" s="13" t="n">
        <v>186.5</v>
      </c>
      <c r="H504" s="13" t="n">
        <v>130</v>
      </c>
      <c r="I504" s="13" t="n">
        <v>156</v>
      </c>
      <c r="J504" s="13" t="n">
        <v>133</v>
      </c>
      <c r="K504" s="13" t="n">
        <v>105</v>
      </c>
      <c r="L504" s="13" t="n">
        <v>123</v>
      </c>
      <c r="M504" s="13" t="n">
        <v>23.5</v>
      </c>
      <c r="N504" s="13" t="n">
        <v>1873</v>
      </c>
      <c r="O504" s="13" t="n">
        <v>1.14</v>
      </c>
      <c r="P504" s="13" t="n">
        <v>2138</v>
      </c>
      <c r="Q504" s="13" t="n">
        <v>262</v>
      </c>
      <c r="R504" s="13" t="n">
        <v>127</v>
      </c>
      <c r="S504" s="13" t="n">
        <v>55</v>
      </c>
      <c r="T504" s="13" t="n">
        <v>339</v>
      </c>
      <c r="U504" s="13" t="n">
        <v>23</v>
      </c>
      <c r="V504" s="13" t="n">
        <v>227</v>
      </c>
      <c r="W504" s="13" t="n">
        <v>0.42</v>
      </c>
      <c r="X504" s="13" t="n">
        <v>191</v>
      </c>
      <c r="Y504" s="13" t="n">
        <v>114</v>
      </c>
      <c r="Z504" s="13" t="n">
        <v>148</v>
      </c>
      <c r="AA504" s="13" t="n">
        <v>4</v>
      </c>
      <c r="AB504" s="13" t="n">
        <v>11.7</v>
      </c>
      <c r="AC504" s="11" t="inlineStr">
        <is>
          <t xml:space="preserve"> Powder</t>
        </is>
      </c>
      <c r="AD504" s="11" t="inlineStr">
        <is>
          <t xml:space="preserve"> Touring</t>
        </is>
      </c>
      <c r="AE504" s="13" t="n"/>
      <c r="AF504" s="13" t="n"/>
      <c r="AG504" s="13" t="n"/>
    </row>
    <row r="505">
      <c r="A505" s="9" t="inlineStr">
        <is>
          <t>21/22</t>
        </is>
      </c>
      <c r="B505" s="10" t="inlineStr">
        <is>
          <t xml:space="preserve"> Faction</t>
        </is>
      </c>
      <c r="C505" s="11" t="inlineStr">
        <is>
          <t>Agent 3.0 X</t>
        </is>
      </c>
      <c r="D505" s="13" t="n">
        <v>164</v>
      </c>
      <c r="E505" s="11" t="inlineStr">
        <is>
          <t xml:space="preserve"> Women's</t>
        </is>
      </c>
      <c r="F505" s="13" t="n">
        <v>164</v>
      </c>
      <c r="G505" s="13" t="n">
        <v>162.6</v>
      </c>
      <c r="H505" s="13" t="n">
        <v>117</v>
      </c>
      <c r="I505" s="13" t="n">
        <v>134</v>
      </c>
      <c r="J505" s="13" t="n">
        <v>133</v>
      </c>
      <c r="K505" s="13" t="n">
        <v>106</v>
      </c>
      <c r="L505" s="13" t="n">
        <v>124</v>
      </c>
      <c r="M505" s="13" t="n">
        <v>16.8</v>
      </c>
      <c r="N505" s="13" t="n">
        <v>1604</v>
      </c>
      <c r="O505" s="13" t="n">
        <v>1.17</v>
      </c>
      <c r="P505" s="13" t="n">
        <v>1872</v>
      </c>
      <c r="Q505" s="13" t="n">
        <v>182</v>
      </c>
      <c r="R505" s="13" t="n">
        <v>88</v>
      </c>
      <c r="S505" s="13" t="n">
        <v>53</v>
      </c>
      <c r="T505" s="13" t="n">
        <v>275</v>
      </c>
      <c r="U505" s="13" t="n">
        <v>20</v>
      </c>
      <c r="V505" s="13" t="n">
        <v>179</v>
      </c>
      <c r="W505" s="13" t="n">
        <v>0.378</v>
      </c>
      <c r="X505" s="13" t="n">
        <v>179</v>
      </c>
      <c r="Y505" s="13" t="n">
        <v>111</v>
      </c>
      <c r="Z505" s="13" t="n">
        <v>96</v>
      </c>
      <c r="AA505" s="13" t="n">
        <v>5</v>
      </c>
      <c r="AB505" s="13" t="n">
        <v>10.6</v>
      </c>
      <c r="AC505" s="11" t="inlineStr">
        <is>
          <t xml:space="preserve"> Powder</t>
        </is>
      </c>
      <c r="AD505" s="11" t="inlineStr">
        <is>
          <t xml:space="preserve"> Big Mountain</t>
        </is>
      </c>
      <c r="AE505" s="11" t="inlineStr">
        <is>
          <t xml:space="preserve"> Touring</t>
        </is>
      </c>
      <c r="AF505" s="13" t="n"/>
      <c r="AG505" s="13" t="n"/>
    </row>
    <row r="506">
      <c r="A506" s="9" t="inlineStr">
        <is>
          <t>21/22</t>
        </is>
      </c>
      <c r="B506" s="10" t="inlineStr">
        <is>
          <t xml:space="preserve"> Faction</t>
        </is>
      </c>
      <c r="C506" s="11" t="inlineStr">
        <is>
          <t>Agent 3.0 X</t>
        </is>
      </c>
      <c r="D506" s="13" t="n">
        <v>172</v>
      </c>
      <c r="E506" s="11" t="inlineStr">
        <is>
          <t xml:space="preserve"> Women's</t>
        </is>
      </c>
      <c r="F506" s="13" t="n">
        <v>172</v>
      </c>
      <c r="G506" s="13" t="n">
        <v>170.6</v>
      </c>
      <c r="H506" s="13" t="n">
        <v>123</v>
      </c>
      <c r="I506" s="13" t="n">
        <v>139</v>
      </c>
      <c r="J506" s="13" t="n">
        <v>134</v>
      </c>
      <c r="K506" s="13" t="n">
        <v>106</v>
      </c>
      <c r="L506" s="13" t="n">
        <v>124</v>
      </c>
      <c r="M506" s="13" t="n">
        <v>19</v>
      </c>
      <c r="N506" s="13" t="n">
        <v>1685</v>
      </c>
      <c r="O506" s="13" t="n">
        <v>1.16</v>
      </c>
      <c r="P506" s="13" t="n">
        <v>1962</v>
      </c>
      <c r="Q506" s="13" t="n">
        <v>218</v>
      </c>
      <c r="R506" s="13" t="n">
        <v>103</v>
      </c>
      <c r="S506" s="13" t="n">
        <v>55</v>
      </c>
      <c r="T506" s="13" t="n">
        <v>296</v>
      </c>
      <c r="U506" s="13" t="n">
        <v>23</v>
      </c>
      <c r="V506" s="13" t="n">
        <v>184</v>
      </c>
      <c r="W506" s="13" t="n">
        <v>0.419</v>
      </c>
      <c r="X506" s="13" t="n">
        <v>194</v>
      </c>
      <c r="Y506" s="13" t="n">
        <v>121</v>
      </c>
      <c r="Z506" s="13" t="n">
        <v>102</v>
      </c>
      <c r="AA506" s="13" t="n">
        <v>6</v>
      </c>
      <c r="AB506" s="13" t="n">
        <v>11.1</v>
      </c>
      <c r="AC506" s="11" t="inlineStr">
        <is>
          <t xml:space="preserve"> Powder</t>
        </is>
      </c>
      <c r="AD506" s="11" t="inlineStr">
        <is>
          <t xml:space="preserve"> Touring</t>
        </is>
      </c>
      <c r="AE506" s="13" t="n"/>
      <c r="AF506" s="13" t="n"/>
      <c r="AG506" s="13" t="n"/>
    </row>
    <row r="507">
      <c r="A507" s="9" t="inlineStr">
        <is>
          <t>21/22</t>
        </is>
      </c>
      <c r="B507" s="10" t="inlineStr">
        <is>
          <t xml:space="preserve"> Faction</t>
        </is>
      </c>
      <c r="C507" s="11" t="inlineStr">
        <is>
          <t>Agent 4.0</t>
        </is>
      </c>
      <c r="D507" s="13" t="n">
        <v>179</v>
      </c>
      <c r="E507" s="11" t="inlineStr">
        <is>
          <t xml:space="preserve"> Unisex</t>
        </is>
      </c>
      <c r="F507" s="13" t="n">
        <v>179</v>
      </c>
      <c r="G507" s="13" t="n">
        <v>177.4</v>
      </c>
      <c r="H507" s="13" t="n">
        <v>111</v>
      </c>
      <c r="I507" s="13" t="n">
        <v>143</v>
      </c>
      <c r="J507" s="13" t="n">
        <v>140</v>
      </c>
      <c r="K507" s="13" t="n">
        <v>115</v>
      </c>
      <c r="L507" s="13" t="n">
        <v>131</v>
      </c>
      <c r="M507" s="13" t="n">
        <v>21.9</v>
      </c>
      <c r="N507" s="13" t="n">
        <v>1717</v>
      </c>
      <c r="O507" s="13" t="n">
        <v>1.28</v>
      </c>
      <c r="P507" s="13" t="n">
        <v>2191</v>
      </c>
      <c r="Q507" s="13" t="n">
        <v>207</v>
      </c>
      <c r="R507" s="13" t="n">
        <v>89</v>
      </c>
      <c r="S507" s="13" t="n">
        <v>64</v>
      </c>
      <c r="T507" s="13" t="n">
        <v>368</v>
      </c>
      <c r="U507" s="13" t="n">
        <v>20</v>
      </c>
      <c r="V507" s="13" t="n">
        <v>292</v>
      </c>
      <c r="W507" s="13" t="n">
        <v>0.315</v>
      </c>
      <c r="X507" s="13" t="n">
        <v>212</v>
      </c>
      <c r="Y507" s="13" t="n">
        <v>135</v>
      </c>
      <c r="Z507" s="13" t="n">
        <v>156</v>
      </c>
      <c r="AA507" s="13" t="n">
        <v>3</v>
      </c>
      <c r="AB507" s="13" t="n">
        <v>12.2</v>
      </c>
      <c r="AC507" s="11" t="inlineStr">
        <is>
          <t xml:space="preserve"> Big Mountain</t>
        </is>
      </c>
      <c r="AD507" s="11" t="inlineStr">
        <is>
          <t xml:space="preserve"> Touring</t>
        </is>
      </c>
      <c r="AE507" s="11" t="inlineStr">
        <is>
          <t xml:space="preserve"> Ultralight Touring</t>
        </is>
      </c>
      <c r="AF507" s="13" t="n"/>
      <c r="AG507" s="13" t="n"/>
    </row>
    <row r="508">
      <c r="A508" s="9" t="inlineStr">
        <is>
          <t>21/22</t>
        </is>
      </c>
      <c r="B508" s="10" t="inlineStr">
        <is>
          <t xml:space="preserve"> Faction</t>
        </is>
      </c>
      <c r="C508" s="11" t="inlineStr">
        <is>
          <t>CT 1.0 Jr</t>
        </is>
      </c>
      <c r="D508" s="13" t="n">
        <v>145</v>
      </c>
      <c r="E508" s="11" t="inlineStr">
        <is>
          <t xml:space="preserve"> Junior</t>
        </is>
      </c>
      <c r="F508" s="13" t="n">
        <v>145</v>
      </c>
      <c r="G508" s="13" t="n">
        <v>143.7</v>
      </c>
      <c r="H508" s="13" t="n">
        <v>103</v>
      </c>
      <c r="I508" s="13" t="n">
        <v>120</v>
      </c>
      <c r="J508" s="13" t="n">
        <v>114</v>
      </c>
      <c r="K508" s="13" t="n">
        <v>83</v>
      </c>
      <c r="L508" s="13" t="n">
        <v>110</v>
      </c>
      <c r="M508" s="13" t="n">
        <v>11.9</v>
      </c>
      <c r="N508" s="13" t="n">
        <v>1202</v>
      </c>
      <c r="O508" s="13" t="n">
        <v>1.13</v>
      </c>
      <c r="P508" s="13" t="n">
        <v>1355</v>
      </c>
      <c r="Q508" s="13" t="n">
        <v>108</v>
      </c>
      <c r="R508" s="13" t="n">
        <v>33</v>
      </c>
      <c r="S508" s="13" t="n">
        <v>44</v>
      </c>
      <c r="T508" s="13" t="n">
        <v>208</v>
      </c>
      <c r="U508" s="13" t="n">
        <v>38</v>
      </c>
      <c r="V508" s="13" t="n">
        <v>199</v>
      </c>
      <c r="W508" s="13" t="n">
        <v>0.856</v>
      </c>
      <c r="X508" s="13" t="n">
        <v>123</v>
      </c>
      <c r="Y508" s="13" t="n">
        <v>110</v>
      </c>
      <c r="Z508" s="13" t="n">
        <v>85</v>
      </c>
      <c r="AA508" s="13" t="n">
        <v>9</v>
      </c>
      <c r="AB508" s="13" t="n">
        <v>3</v>
      </c>
      <c r="AC508" s="11" t="inlineStr">
        <is>
          <t xml:space="preserve"> Resort Freeride</t>
        </is>
      </c>
      <c r="AD508" s="11" t="inlineStr">
        <is>
          <t xml:space="preserve"> Freeski</t>
        </is>
      </c>
      <c r="AE508" s="11" t="inlineStr">
        <is>
          <t xml:space="preserve"> Touring</t>
        </is>
      </c>
      <c r="AF508" s="13" t="n"/>
      <c r="AG508" s="13" t="n"/>
    </row>
    <row r="509">
      <c r="A509" s="9" t="inlineStr">
        <is>
          <t>21/22</t>
        </is>
      </c>
      <c r="B509" s="10" t="inlineStr">
        <is>
          <t xml:space="preserve"> Faction</t>
        </is>
      </c>
      <c r="C509" s="11" t="inlineStr">
        <is>
          <t>CT 2.0</t>
        </is>
      </c>
      <c r="D509" s="13" t="n">
        <v>166</v>
      </c>
      <c r="E509" s="11" t="inlineStr">
        <is>
          <t xml:space="preserve"> Unisex</t>
        </is>
      </c>
      <c r="F509" s="13" t="n">
        <v>166</v>
      </c>
      <c r="G509" s="13" t="n">
        <v>163.9</v>
      </c>
      <c r="H509" s="13" t="n">
        <v>108</v>
      </c>
      <c r="I509" s="13" t="n">
        <v>138</v>
      </c>
      <c r="J509" s="13" t="n">
        <v>131</v>
      </c>
      <c r="K509" s="13" t="n">
        <v>102</v>
      </c>
      <c r="L509" s="13" t="n">
        <v>127</v>
      </c>
      <c r="M509" s="13" t="n">
        <v>16.2</v>
      </c>
      <c r="N509" s="13" t="n">
        <v>1726</v>
      </c>
      <c r="O509" s="13" t="n">
        <v>1.06</v>
      </c>
      <c r="P509" s="13" t="n">
        <v>1831</v>
      </c>
      <c r="Q509" s="13" t="n">
        <v>204</v>
      </c>
      <c r="R509" s="13" t="n">
        <v>92</v>
      </c>
      <c r="S509" s="13" t="n">
        <v>51</v>
      </c>
      <c r="T509" s="13" t="n">
        <v>285</v>
      </c>
      <c r="U509" s="13" t="n">
        <v>51</v>
      </c>
      <c r="V509" s="13" t="n">
        <v>278</v>
      </c>
      <c r="W509" s="13" t="n">
        <v>0.993</v>
      </c>
      <c r="X509" s="13" t="n">
        <v>133</v>
      </c>
      <c r="Y509" s="13" t="n">
        <v>130</v>
      </c>
      <c r="Z509" s="13" t="n">
        <v>151</v>
      </c>
      <c r="AA509" s="13" t="n">
        <v>6</v>
      </c>
      <c r="AB509" s="13" t="n">
        <v>3.8</v>
      </c>
      <c r="AC509" s="11" t="inlineStr">
        <is>
          <t xml:space="preserve"> Freeski</t>
        </is>
      </c>
      <c r="AD509" s="11" t="inlineStr">
        <is>
          <t xml:space="preserve"> Powder</t>
        </is>
      </c>
      <c r="AE509" s="11" t="inlineStr">
        <is>
          <t xml:space="preserve"> Touring</t>
        </is>
      </c>
      <c r="AF509" s="13" t="n"/>
      <c r="AG509" s="13" t="n"/>
    </row>
    <row r="510">
      <c r="A510" s="9" t="inlineStr">
        <is>
          <t>21/22</t>
        </is>
      </c>
      <c r="B510" s="10" t="inlineStr">
        <is>
          <t xml:space="preserve"> Faction</t>
        </is>
      </c>
      <c r="C510" s="11" t="inlineStr">
        <is>
          <t>CT 2.0</t>
        </is>
      </c>
      <c r="D510" s="13" t="n">
        <v>173</v>
      </c>
      <c r="E510" s="11" t="inlineStr">
        <is>
          <t xml:space="preserve"> Unisex</t>
        </is>
      </c>
      <c r="F510" s="13" t="n">
        <v>173</v>
      </c>
      <c r="G510" s="13" t="n">
        <v>171.1</v>
      </c>
      <c r="H510" s="13" t="n">
        <v>112</v>
      </c>
      <c r="I510" s="13" t="n">
        <v>145</v>
      </c>
      <c r="J510" s="13" t="n">
        <v>131</v>
      </c>
      <c r="K510" s="13" t="n">
        <v>102</v>
      </c>
      <c r="L510" s="13" t="n">
        <v>127</v>
      </c>
      <c r="M510" s="13" t="n">
        <v>18.1</v>
      </c>
      <c r="N510" s="13" t="n">
        <v>1782</v>
      </c>
      <c r="O510" s="13" t="n">
        <v>1.07</v>
      </c>
      <c r="P510" s="13" t="n">
        <v>1913</v>
      </c>
      <c r="Q510" s="13" t="n">
        <v>213</v>
      </c>
      <c r="R510" s="13" t="n">
        <v>96</v>
      </c>
      <c r="S510" s="13" t="n">
        <v>57</v>
      </c>
      <c r="T510" s="13" t="n">
        <v>316</v>
      </c>
      <c r="U510" s="13" t="n">
        <v>51</v>
      </c>
      <c r="V510" s="13" t="n">
        <v>278</v>
      </c>
      <c r="W510" s="13" t="n">
        <v>0.887</v>
      </c>
      <c r="X510" s="13" t="n">
        <v>136</v>
      </c>
      <c r="Y510" s="13" t="n">
        <v>123</v>
      </c>
      <c r="Z510" s="13" t="n">
        <v>179</v>
      </c>
      <c r="AA510" s="13" t="n">
        <v>5</v>
      </c>
      <c r="AB510" s="13" t="n">
        <v>4</v>
      </c>
      <c r="AC510" s="11" t="inlineStr">
        <is>
          <t xml:space="preserve"> Freeski</t>
        </is>
      </c>
      <c r="AD510" s="11" t="inlineStr">
        <is>
          <t xml:space="preserve"> Powder</t>
        </is>
      </c>
      <c r="AE510" s="11" t="inlineStr">
        <is>
          <t xml:space="preserve"> Touring</t>
        </is>
      </c>
      <c r="AF510" s="13" t="n"/>
      <c r="AG510" s="13" t="n"/>
    </row>
    <row r="511">
      <c r="A511" s="9" t="inlineStr">
        <is>
          <t>21/22</t>
        </is>
      </c>
      <c r="B511" s="10" t="inlineStr">
        <is>
          <t xml:space="preserve"> Faction</t>
        </is>
      </c>
      <c r="C511" s="11" t="inlineStr">
        <is>
          <t>CT 2.0</t>
        </is>
      </c>
      <c r="D511" s="13" t="n">
        <v>178</v>
      </c>
      <c r="E511" s="11" t="inlineStr">
        <is>
          <t xml:space="preserve"> Unisex</t>
        </is>
      </c>
      <c r="F511" s="13" t="n">
        <v>178</v>
      </c>
      <c r="G511" s="13" t="n">
        <v>176.1</v>
      </c>
      <c r="H511" s="13" t="n">
        <v>119</v>
      </c>
      <c r="I511" s="13" t="n">
        <v>147</v>
      </c>
      <c r="J511" s="13" t="n">
        <v>131</v>
      </c>
      <c r="K511" s="13" t="n">
        <v>102</v>
      </c>
      <c r="L511" s="13" t="n">
        <v>127</v>
      </c>
      <c r="M511" s="13" t="n">
        <v>19.4</v>
      </c>
      <c r="N511" s="13" t="n">
        <v>1905</v>
      </c>
      <c r="O511" s="13" t="n">
        <v>1.03</v>
      </c>
      <c r="P511" s="13" t="n">
        <v>1969</v>
      </c>
      <c r="Q511" s="13" t="n">
        <v>227</v>
      </c>
      <c r="R511" s="13" t="n">
        <v>97</v>
      </c>
      <c r="S511" s="13" t="n">
        <v>55</v>
      </c>
      <c r="T511" s="13" t="n">
        <v>302</v>
      </c>
      <c r="U511" s="13" t="n">
        <v>49</v>
      </c>
      <c r="V511" s="13" t="n">
        <v>270</v>
      </c>
      <c r="W511" s="13" t="n">
        <v>0.891</v>
      </c>
      <c r="X511" s="13" t="n">
        <v>149</v>
      </c>
      <c r="Y511" s="13" t="n">
        <v>141</v>
      </c>
      <c r="Z511" s="13" t="n">
        <v>153</v>
      </c>
      <c r="AA511" s="13" t="n">
        <v>7</v>
      </c>
      <c r="AB511" s="13" t="n">
        <v>4.6</v>
      </c>
      <c r="AC511" s="11" t="inlineStr">
        <is>
          <t xml:space="preserve"> Freeski</t>
        </is>
      </c>
      <c r="AD511" s="11" t="inlineStr">
        <is>
          <t xml:space="preserve"> Powder</t>
        </is>
      </c>
      <c r="AE511" s="13" t="n"/>
      <c r="AF511" s="13" t="n"/>
      <c r="AG511" s="13" t="n"/>
    </row>
    <row r="512">
      <c r="A512" s="9" t="inlineStr">
        <is>
          <t>21/22</t>
        </is>
      </c>
      <c r="B512" s="10" t="inlineStr">
        <is>
          <t xml:space="preserve"> Faction</t>
        </is>
      </c>
      <c r="C512" s="11" t="inlineStr">
        <is>
          <t>CT 2.0</t>
        </is>
      </c>
      <c r="D512" s="13" t="n">
        <v>183</v>
      </c>
      <c r="E512" s="11" t="inlineStr">
        <is>
          <t xml:space="preserve"> Unisex</t>
        </is>
      </c>
      <c r="F512" s="13" t="n">
        <v>183</v>
      </c>
      <c r="G512" s="13" t="n">
        <v>181.1</v>
      </c>
      <c r="H512" s="13" t="n">
        <v>120</v>
      </c>
      <c r="I512" s="13" t="n">
        <v>154</v>
      </c>
      <c r="J512" s="13" t="n">
        <v>131</v>
      </c>
      <c r="K512" s="13" t="n">
        <v>101</v>
      </c>
      <c r="L512" s="13" t="n">
        <v>127</v>
      </c>
      <c r="M512" s="13" t="n">
        <v>20.7</v>
      </c>
      <c r="N512" s="13" t="n">
        <v>1912</v>
      </c>
      <c r="O512" s="13" t="n">
        <v>1.06</v>
      </c>
      <c r="P512" s="13" t="n">
        <v>2023</v>
      </c>
      <c r="Q512" s="13" t="n">
        <v>245</v>
      </c>
      <c r="R512" s="13" t="n">
        <v>102</v>
      </c>
      <c r="S512" s="13" t="n">
        <v>54</v>
      </c>
      <c r="T512" s="13" t="n">
        <v>320</v>
      </c>
      <c r="U512" s="13" t="n">
        <v>49</v>
      </c>
      <c r="V512" s="13" t="n">
        <v>291</v>
      </c>
      <c r="W512" s="13" t="n">
        <v>0.909</v>
      </c>
      <c r="X512" s="13" t="n">
        <v>143</v>
      </c>
      <c r="Y512" s="13" t="n">
        <v>130</v>
      </c>
      <c r="Z512" s="13" t="n">
        <v>177</v>
      </c>
      <c r="AA512" s="13" t="n">
        <v>6</v>
      </c>
      <c r="AB512" s="13" t="n">
        <v>4.1</v>
      </c>
      <c r="AC512" s="11" t="inlineStr">
        <is>
          <t xml:space="preserve"> Freeski</t>
        </is>
      </c>
      <c r="AD512" s="11" t="inlineStr">
        <is>
          <t xml:space="preserve"> Powder</t>
        </is>
      </c>
      <c r="AE512" s="11" t="inlineStr">
        <is>
          <t xml:space="preserve"> Touring</t>
        </is>
      </c>
      <c r="AF512" s="13" t="n"/>
      <c r="AG512" s="13" t="n"/>
    </row>
    <row r="513">
      <c r="A513" s="9" t="inlineStr">
        <is>
          <t>21/22</t>
        </is>
      </c>
      <c r="B513" s="10" t="inlineStr">
        <is>
          <t xml:space="preserve"> Faction</t>
        </is>
      </c>
      <c r="C513" s="11" t="inlineStr">
        <is>
          <t>CT 2.0 Jr</t>
        </is>
      </c>
      <c r="D513" s="13" t="n">
        <v>159</v>
      </c>
      <c r="E513" s="11" t="inlineStr">
        <is>
          <t xml:space="preserve"> Junior</t>
        </is>
      </c>
      <c r="F513" s="13" t="n">
        <v>159</v>
      </c>
      <c r="G513" s="13" t="n">
        <v>157.1</v>
      </c>
      <c r="H513" s="13" t="n">
        <v>110</v>
      </c>
      <c r="I513" s="13" t="n">
        <v>132</v>
      </c>
      <c r="J513" s="13" t="n">
        <v>128</v>
      </c>
      <c r="K513" s="13" t="n">
        <v>97</v>
      </c>
      <c r="L513" s="13" t="n">
        <v>124</v>
      </c>
      <c r="M513" s="13" t="n">
        <v>13.8</v>
      </c>
      <c r="N513" s="13" t="n">
        <v>1435</v>
      </c>
      <c r="O513" s="13" t="n">
        <v>1.18</v>
      </c>
      <c r="P513" s="13" t="n">
        <v>1700</v>
      </c>
      <c r="Q513" s="13" t="n">
        <v>130</v>
      </c>
      <c r="R513" s="13" t="n">
        <v>44</v>
      </c>
      <c r="S513" s="13" t="n">
        <v>55</v>
      </c>
      <c r="T513" s="13" t="n">
        <v>240</v>
      </c>
      <c r="U513" s="13" t="n">
        <v>46</v>
      </c>
      <c r="V513" s="13" t="n">
        <v>232</v>
      </c>
      <c r="W513" s="13" t="n">
        <v>0.837</v>
      </c>
      <c r="X513" s="13" t="n">
        <v>131</v>
      </c>
      <c r="Y513" s="13" t="n">
        <v>123</v>
      </c>
      <c r="Z513" s="13" t="n">
        <v>108</v>
      </c>
      <c r="AA513" s="13" t="n">
        <v>5</v>
      </c>
      <c r="AB513" s="13" t="n">
        <v>3.2</v>
      </c>
      <c r="AC513" s="11" t="inlineStr">
        <is>
          <t xml:space="preserve"> Resort Freeride</t>
        </is>
      </c>
      <c r="AD513" s="11" t="inlineStr">
        <is>
          <t xml:space="preserve"> Freeski</t>
        </is>
      </c>
      <c r="AE513" s="11" t="inlineStr">
        <is>
          <t xml:space="preserve"> Touring</t>
        </is>
      </c>
      <c r="AF513" s="13" t="n"/>
      <c r="AG513" s="13" t="n"/>
    </row>
    <row r="514">
      <c r="A514" s="9" t="inlineStr">
        <is>
          <t>21/22</t>
        </is>
      </c>
      <c r="B514" s="10" t="inlineStr">
        <is>
          <t xml:space="preserve"> Faction</t>
        </is>
      </c>
      <c r="C514" s="11" t="inlineStr">
        <is>
          <t>CT 3.0</t>
        </is>
      </c>
      <c r="D514" s="13" t="n">
        <v>178</v>
      </c>
      <c r="E514" s="11" t="inlineStr">
        <is>
          <t xml:space="preserve"> Unisex</t>
        </is>
      </c>
      <c r="F514" s="13" t="n">
        <v>178</v>
      </c>
      <c r="G514" s="13" t="n">
        <v>176.4</v>
      </c>
      <c r="H514" s="13" t="n">
        <v>111</v>
      </c>
      <c r="I514" s="13" t="n">
        <v>147</v>
      </c>
      <c r="J514" s="13" t="n">
        <v>139</v>
      </c>
      <c r="K514" s="13" t="n">
        <v>111</v>
      </c>
      <c r="L514" s="13" t="n">
        <v>133</v>
      </c>
      <c r="M514" s="13" t="n">
        <v>20</v>
      </c>
      <c r="N514" s="13" t="n">
        <v>1931</v>
      </c>
      <c r="O514" s="13" t="n">
        <v>1.1</v>
      </c>
      <c r="P514" s="13" t="n">
        <v>2119</v>
      </c>
      <c r="Q514" s="13" t="n">
        <v>221</v>
      </c>
      <c r="R514" s="13" t="n">
        <v>106</v>
      </c>
      <c r="S514" s="13" t="n">
        <v>59</v>
      </c>
      <c r="T514" s="13" t="n">
        <v>346</v>
      </c>
      <c r="U514" s="13" t="n">
        <v>52</v>
      </c>
      <c r="V514" s="13" t="n">
        <v>305</v>
      </c>
      <c r="W514" s="13" t="n">
        <v>0.882</v>
      </c>
      <c r="X514" s="13" t="n">
        <v>148</v>
      </c>
      <c r="Y514" s="13" t="n">
        <v>147</v>
      </c>
      <c r="Z514" s="13" t="n">
        <v>198</v>
      </c>
      <c r="AA514" s="13" t="n">
        <v>6</v>
      </c>
      <c r="AB514" s="13" t="n">
        <v>5.6</v>
      </c>
      <c r="AC514" s="11" t="inlineStr">
        <is>
          <t xml:space="preserve"> Freeski</t>
        </is>
      </c>
      <c r="AD514" s="11" t="inlineStr">
        <is>
          <t xml:space="preserve"> Powder</t>
        </is>
      </c>
      <c r="AE514" s="11" t="inlineStr">
        <is>
          <t xml:space="preserve"> Touring</t>
        </is>
      </c>
      <c r="AF514" s="13" t="n"/>
      <c r="AG514" s="13" t="n"/>
    </row>
    <row r="515">
      <c r="A515" s="9" t="inlineStr">
        <is>
          <t>21/22</t>
        </is>
      </c>
      <c r="B515" s="10" t="inlineStr">
        <is>
          <t xml:space="preserve"> Faction</t>
        </is>
      </c>
      <c r="C515" s="11" t="inlineStr">
        <is>
          <t>CT 3.0</t>
        </is>
      </c>
      <c r="D515" s="13" t="n">
        <v>184</v>
      </c>
      <c r="E515" s="11" t="inlineStr">
        <is>
          <t xml:space="preserve"> Unisex</t>
        </is>
      </c>
      <c r="F515" s="13" t="n">
        <v>184</v>
      </c>
      <c r="G515" s="13" t="n">
        <v>182.3</v>
      </c>
      <c r="H515" s="13" t="n">
        <v>113</v>
      </c>
      <c r="I515" s="13" t="n">
        <v>153</v>
      </c>
      <c r="J515" s="13" t="n">
        <v>139</v>
      </c>
      <c r="K515" s="13" t="n">
        <v>111</v>
      </c>
      <c r="L515" s="13" t="n">
        <v>133</v>
      </c>
      <c r="M515" s="13" t="n">
        <v>21.9</v>
      </c>
      <c r="N515" s="13" t="n">
        <v>2007</v>
      </c>
      <c r="O515" s="13" t="n">
        <v>1.09</v>
      </c>
      <c r="P515" s="13" t="n">
        <v>2189</v>
      </c>
      <c r="Q515" s="13" t="n">
        <v>237</v>
      </c>
      <c r="R515" s="13" t="n">
        <v>115</v>
      </c>
      <c r="S515" s="13" t="n">
        <v>57</v>
      </c>
      <c r="T515" s="13" t="n">
        <v>370</v>
      </c>
      <c r="U515" s="13" t="n">
        <v>52</v>
      </c>
      <c r="V515" s="13" t="n">
        <v>325</v>
      </c>
      <c r="W515" s="13" t="n">
        <v>0.922</v>
      </c>
      <c r="X515" s="13" t="n">
        <v>158</v>
      </c>
      <c r="Y515" s="13" t="n">
        <v>132</v>
      </c>
      <c r="Z515" s="13" t="n">
        <v>212</v>
      </c>
      <c r="AA515" s="13" t="n">
        <v>5</v>
      </c>
      <c r="AB515" s="13" t="n">
        <v>6.1</v>
      </c>
      <c r="AC515" s="11" t="inlineStr">
        <is>
          <t xml:space="preserve"> Freeski</t>
        </is>
      </c>
      <c r="AD515" s="11" t="inlineStr">
        <is>
          <t xml:space="preserve"> Powder</t>
        </is>
      </c>
      <c r="AE515" s="11" t="inlineStr">
        <is>
          <t xml:space="preserve"> Touring</t>
        </is>
      </c>
      <c r="AF515" s="13" t="n"/>
      <c r="AG515" s="13" t="n"/>
    </row>
    <row r="516">
      <c r="A516" s="9" t="inlineStr">
        <is>
          <t>21/22</t>
        </is>
      </c>
      <c r="B516" s="10" t="inlineStr">
        <is>
          <t xml:space="preserve"> Faction</t>
        </is>
      </c>
      <c r="C516" s="11" t="inlineStr">
        <is>
          <t>Dictator 1.0</t>
        </is>
      </c>
      <c r="D516" s="13" t="n">
        <v>170</v>
      </c>
      <c r="E516" s="11" t="inlineStr">
        <is>
          <t xml:space="preserve"> Unisex</t>
        </is>
      </c>
      <c r="F516" s="13" t="n">
        <v>170</v>
      </c>
      <c r="G516" s="13" t="n">
        <v>168.5</v>
      </c>
      <c r="H516" s="13" t="n">
        <v>130</v>
      </c>
      <c r="I516" s="13" t="n">
        <v>144</v>
      </c>
      <c r="J516" s="13" t="n">
        <v>119</v>
      </c>
      <c r="K516" s="13" t="n">
        <v>85</v>
      </c>
      <c r="L516" s="13" t="n">
        <v>109</v>
      </c>
      <c r="M516" s="13" t="n">
        <v>16.6</v>
      </c>
      <c r="N516" s="13" t="n">
        <v>1686</v>
      </c>
      <c r="O516" s="13" t="n">
        <v>0.97</v>
      </c>
      <c r="P516" s="13" t="n">
        <v>1628</v>
      </c>
      <c r="Q516" s="13" t="n">
        <v>208</v>
      </c>
      <c r="R516" s="13" t="n">
        <v>127</v>
      </c>
      <c r="S516" s="13" t="n">
        <v>49</v>
      </c>
      <c r="T516" s="13" t="n">
        <v>223</v>
      </c>
      <c r="U516" s="13" t="n">
        <v>20</v>
      </c>
      <c r="V516" s="13" t="n">
        <v>158</v>
      </c>
      <c r="W516" s="13" t="n">
        <v>0.412</v>
      </c>
      <c r="X516" s="13" t="n">
        <v>154</v>
      </c>
      <c r="Y516" s="13" t="n">
        <v>90</v>
      </c>
      <c r="Z516" s="13" t="n">
        <v>69</v>
      </c>
      <c r="AA516" s="13" t="n">
        <v>7</v>
      </c>
      <c r="AB516" s="13" t="n">
        <v>10.1</v>
      </c>
      <c r="AC516" s="11" t="inlineStr">
        <is>
          <t xml:space="preserve"> On-Piste All-Mountain</t>
        </is>
      </c>
      <c r="AD516" s="11" t="inlineStr">
        <is>
          <t xml:space="preserve"> Resort Freeride</t>
        </is>
      </c>
      <c r="AE516" s="13" t="n"/>
      <c r="AF516" s="13" t="n"/>
      <c r="AG516" s="13" t="n"/>
    </row>
    <row r="517">
      <c r="A517" s="9" t="inlineStr">
        <is>
          <t>21/22</t>
        </is>
      </c>
      <c r="B517" s="10" t="inlineStr">
        <is>
          <t xml:space="preserve"> Faction</t>
        </is>
      </c>
      <c r="C517" s="11" t="inlineStr">
        <is>
          <t>Dictator 1.0</t>
        </is>
      </c>
      <c r="D517" s="13" t="n">
        <v>178</v>
      </c>
      <c r="E517" s="11" t="inlineStr">
        <is>
          <t xml:space="preserve"> Unisex</t>
        </is>
      </c>
      <c r="F517" s="13" t="n">
        <v>178</v>
      </c>
      <c r="G517" s="13" t="n">
        <v>176.4</v>
      </c>
      <c r="H517" s="13" t="n">
        <v>135</v>
      </c>
      <c r="I517" s="13" t="n">
        <v>151</v>
      </c>
      <c r="J517" s="13" t="n">
        <v>119</v>
      </c>
      <c r="K517" s="13" t="n">
        <v>85</v>
      </c>
      <c r="L517" s="13" t="n">
        <v>109</v>
      </c>
      <c r="M517" s="13" t="n">
        <v>18.7</v>
      </c>
      <c r="N517" s="13" t="n">
        <v>1694</v>
      </c>
      <c r="O517" s="13" t="n">
        <v>1.01</v>
      </c>
      <c r="P517" s="13" t="n">
        <v>1703</v>
      </c>
      <c r="Q517" s="13" t="n">
        <v>243</v>
      </c>
      <c r="R517" s="13" t="n">
        <v>143</v>
      </c>
      <c r="S517" s="13" t="n">
        <v>51</v>
      </c>
      <c r="T517" s="13" t="n">
        <v>247</v>
      </c>
      <c r="U517" s="13" t="n">
        <v>20</v>
      </c>
      <c r="V517" s="13" t="n">
        <v>166</v>
      </c>
      <c r="W517" s="13" t="n">
        <v>0.39</v>
      </c>
      <c r="X517" s="13" t="n">
        <v>155</v>
      </c>
      <c r="Y517" s="13" t="n">
        <v>97</v>
      </c>
      <c r="Z517" s="13" t="n">
        <v>91</v>
      </c>
      <c r="AA517" s="13" t="n">
        <v>8</v>
      </c>
      <c r="AB517" s="13" t="n">
        <v>9.5</v>
      </c>
      <c r="AC517" s="11" t="inlineStr">
        <is>
          <t xml:space="preserve"> On-Piste All-Mountain</t>
        </is>
      </c>
      <c r="AD517" s="11" t="inlineStr">
        <is>
          <t xml:space="preserve"> Resort Freeride</t>
        </is>
      </c>
      <c r="AE517" s="13" t="n"/>
      <c r="AF517" s="13" t="n"/>
      <c r="AG517" s="13" t="n"/>
    </row>
    <row r="518">
      <c r="A518" s="9" t="inlineStr">
        <is>
          <t>21/22</t>
        </is>
      </c>
      <c r="B518" s="10" t="inlineStr">
        <is>
          <t xml:space="preserve"> Faction</t>
        </is>
      </c>
      <c r="C518" s="11" t="inlineStr">
        <is>
          <t>Dictator 1.0 X</t>
        </is>
      </c>
      <c r="D518" s="13" t="n">
        <v>162</v>
      </c>
      <c r="E518" s="11" t="inlineStr">
        <is>
          <t xml:space="preserve"> Women's</t>
        </is>
      </c>
      <c r="F518" s="13" t="n">
        <v>162</v>
      </c>
      <c r="G518" s="13" t="n">
        <v>160.3</v>
      </c>
      <c r="H518" s="13" t="n">
        <v>122</v>
      </c>
      <c r="I518" s="13" t="n">
        <v>136</v>
      </c>
      <c r="J518" s="13" t="n">
        <v>120</v>
      </c>
      <c r="K518" s="13" t="n">
        <v>86</v>
      </c>
      <c r="L518" s="13" t="n">
        <v>110</v>
      </c>
      <c r="M518" s="13" t="n">
        <v>15</v>
      </c>
      <c r="N518" s="13" t="n">
        <v>1574</v>
      </c>
      <c r="O518" s="13" t="n">
        <v>0.99</v>
      </c>
      <c r="P518" s="13" t="n">
        <v>1561</v>
      </c>
      <c r="Q518" s="13" t="n">
        <v>190</v>
      </c>
      <c r="R518" s="13" t="n">
        <v>116</v>
      </c>
      <c r="S518" s="13" t="n">
        <v>50</v>
      </c>
      <c r="T518" s="13" t="n">
        <v>230</v>
      </c>
      <c r="U518" s="13" t="n">
        <v>20</v>
      </c>
      <c r="V518" s="13" t="n">
        <v>150</v>
      </c>
      <c r="W518" s="13" t="n">
        <v>0.404</v>
      </c>
      <c r="X518" s="13" t="n">
        <v>154</v>
      </c>
      <c r="Y518" s="13" t="n">
        <v>88</v>
      </c>
      <c r="Z518" s="13" t="n">
        <v>76</v>
      </c>
      <c r="AA518" s="13" t="n">
        <v>6</v>
      </c>
      <c r="AB518" s="13" t="n">
        <v>9.4</v>
      </c>
      <c r="AC518" s="11" t="inlineStr">
        <is>
          <t xml:space="preserve"> Resort Freeride</t>
        </is>
      </c>
      <c r="AD518" s="13" t="n"/>
      <c r="AE518" s="13" t="n"/>
      <c r="AF518" s="13" t="n"/>
      <c r="AG518" s="13" t="n"/>
    </row>
    <row r="519">
      <c r="A519" s="9" t="inlineStr">
        <is>
          <t>21/22</t>
        </is>
      </c>
      <c r="B519" s="10" t="inlineStr">
        <is>
          <t xml:space="preserve"> Faction</t>
        </is>
      </c>
      <c r="C519" s="11" t="inlineStr">
        <is>
          <t>Dictator 2.0</t>
        </is>
      </c>
      <c r="D519" s="13" t="n">
        <v>163</v>
      </c>
      <c r="E519" s="11" t="inlineStr">
        <is>
          <t xml:space="preserve"> Unisex</t>
        </is>
      </c>
      <c r="F519" s="13" t="n">
        <v>163</v>
      </c>
      <c r="G519" s="13" t="n">
        <v>163</v>
      </c>
      <c r="H519" s="13" t="n">
        <v>119</v>
      </c>
      <c r="I519" s="13" t="n">
        <v>135</v>
      </c>
      <c r="J519" s="13" t="n">
        <v>127</v>
      </c>
      <c r="K519" s="13" t="n">
        <v>96</v>
      </c>
      <c r="L519" s="13" t="n">
        <v>117</v>
      </c>
      <c r="M519" s="13" t="n">
        <v>15.6</v>
      </c>
      <c r="N519" s="13" t="n">
        <v>1699</v>
      </c>
      <c r="O519" s="13" t="n">
        <v>1.02</v>
      </c>
      <c r="P519" s="13" t="n">
        <v>1730</v>
      </c>
      <c r="Q519" s="13" t="n">
        <v>183</v>
      </c>
      <c r="R519" s="13" t="n">
        <v>117</v>
      </c>
      <c r="S519" s="13" t="n">
        <v>56</v>
      </c>
      <c r="T519" s="13" t="n">
        <v>253</v>
      </c>
      <c r="U519" s="13" t="n">
        <v>25</v>
      </c>
      <c r="V519" s="13" t="n">
        <v>184</v>
      </c>
      <c r="W519" s="13" t="n">
        <v>0.456</v>
      </c>
      <c r="X519" s="13" t="n">
        <v>162</v>
      </c>
      <c r="Y519" s="13" t="n">
        <v>120</v>
      </c>
      <c r="Z519" s="13" t="n">
        <v>91</v>
      </c>
      <c r="AA519" s="13" t="n">
        <v>5</v>
      </c>
      <c r="AB519" s="13" t="n">
        <v>9.9</v>
      </c>
      <c r="AC519" s="11" t="inlineStr">
        <is>
          <t xml:space="preserve"> Resort Freeride</t>
        </is>
      </c>
      <c r="AD519" s="13" t="n"/>
      <c r="AE519" s="13" t="n"/>
      <c r="AF519" s="13" t="n"/>
      <c r="AG519" s="13" t="n"/>
    </row>
    <row r="520">
      <c r="A520" s="9" t="inlineStr">
        <is>
          <t>21/22</t>
        </is>
      </c>
      <c r="B520" s="10" t="inlineStr">
        <is>
          <t xml:space="preserve"> Faction</t>
        </is>
      </c>
      <c r="C520" s="11" t="inlineStr">
        <is>
          <t>Dictator 2.0</t>
        </is>
      </c>
      <c r="D520" s="13" t="n">
        <v>171</v>
      </c>
      <c r="E520" s="11" t="inlineStr">
        <is>
          <t xml:space="preserve"> Unisex</t>
        </is>
      </c>
      <c r="F520" s="13" t="n">
        <v>171</v>
      </c>
      <c r="G520" s="13" t="n">
        <v>169.5</v>
      </c>
      <c r="H520" s="13" t="n">
        <v>128</v>
      </c>
      <c r="I520" s="13" t="n">
        <v>141</v>
      </c>
      <c r="J520" s="13" t="n">
        <v>126</v>
      </c>
      <c r="K520" s="13" t="n">
        <v>95</v>
      </c>
      <c r="L520" s="13" t="n">
        <v>116</v>
      </c>
      <c r="M520" s="13" t="n">
        <v>17.6</v>
      </c>
      <c r="N520" s="13" t="n">
        <v>1848</v>
      </c>
      <c r="O520" s="13" t="n">
        <v>0.97</v>
      </c>
      <c r="P520" s="13" t="n">
        <v>1789</v>
      </c>
      <c r="Q520" s="13" t="n">
        <v>226</v>
      </c>
      <c r="R520" s="13" t="n">
        <v>130</v>
      </c>
      <c r="S520" s="13" t="n">
        <v>52</v>
      </c>
      <c r="T520" s="13" t="n">
        <v>240</v>
      </c>
      <c r="U520" s="13" t="n">
        <v>22</v>
      </c>
      <c r="V520" s="13" t="n">
        <v>177</v>
      </c>
      <c r="W520" s="13" t="n">
        <v>0.42</v>
      </c>
      <c r="X520" s="13" t="n">
        <v>176</v>
      </c>
      <c r="Y520" s="13" t="n">
        <v>105</v>
      </c>
      <c r="Z520" s="13" t="n">
        <v>64</v>
      </c>
      <c r="AA520" s="13" t="n">
        <v>8</v>
      </c>
      <c r="AB520" s="13" t="n">
        <v>10.9</v>
      </c>
      <c r="AC520" s="11" t="inlineStr">
        <is>
          <t xml:space="preserve"> Resort Freeride</t>
        </is>
      </c>
      <c r="AD520" s="13" t="n"/>
      <c r="AE520" s="13" t="n"/>
      <c r="AF520" s="13" t="n"/>
      <c r="AG520" s="13" t="n"/>
    </row>
    <row r="521">
      <c r="A521" s="9" t="inlineStr">
        <is>
          <t>21/22</t>
        </is>
      </c>
      <c r="B521" s="10" t="inlineStr">
        <is>
          <t xml:space="preserve"> Faction</t>
        </is>
      </c>
      <c r="C521" s="11" t="inlineStr">
        <is>
          <t>Dictator 2.0</t>
        </is>
      </c>
      <c r="D521" s="13" t="n">
        <v>179</v>
      </c>
      <c r="E521" s="11" t="inlineStr">
        <is>
          <t xml:space="preserve"> Unisex</t>
        </is>
      </c>
      <c r="F521" s="13" t="n">
        <v>179</v>
      </c>
      <c r="G521" s="13" t="n">
        <v>177.5</v>
      </c>
      <c r="H521" s="13" t="n">
        <v>135</v>
      </c>
      <c r="I521" s="13" t="n">
        <v>151</v>
      </c>
      <c r="J521" s="13" t="n">
        <v>127</v>
      </c>
      <c r="K521" s="13" t="n">
        <v>96</v>
      </c>
      <c r="L521" s="13" t="n">
        <v>117</v>
      </c>
      <c r="M521" s="13" t="n">
        <v>19.6</v>
      </c>
      <c r="N521" s="13" t="n">
        <v>1844</v>
      </c>
      <c r="O521" s="13" t="n">
        <v>1.02</v>
      </c>
      <c r="P521" s="13" t="n">
        <v>1887</v>
      </c>
      <c r="Q521" s="13" t="n">
        <v>241</v>
      </c>
      <c r="R521" s="13" t="n">
        <v>151</v>
      </c>
      <c r="S521" s="13" t="n">
        <v>53</v>
      </c>
      <c r="T521" s="13" t="n">
        <v>259</v>
      </c>
      <c r="U521" s="13" t="n">
        <v>19</v>
      </c>
      <c r="V521" s="13" t="n">
        <v>171</v>
      </c>
      <c r="W521" s="13" t="n">
        <v>0.358</v>
      </c>
      <c r="X521" s="13" t="n">
        <v>165</v>
      </c>
      <c r="Y521" s="13" t="n">
        <v>103</v>
      </c>
      <c r="Z521" s="13" t="n">
        <v>94</v>
      </c>
      <c r="AA521" s="13" t="n">
        <v>9</v>
      </c>
      <c r="AB521" s="13" t="n">
        <v>11.1</v>
      </c>
      <c r="AC521" s="11" t="inlineStr">
        <is>
          <t xml:space="preserve"> Resort Freeride</t>
        </is>
      </c>
      <c r="AD521" s="13" t="n"/>
      <c r="AE521" s="13" t="n"/>
      <c r="AF521" s="13" t="n"/>
      <c r="AG521" s="13" t="n"/>
    </row>
    <row r="522">
      <c r="A522" s="9" t="inlineStr">
        <is>
          <t>21/22</t>
        </is>
      </c>
      <c r="B522" s="10" t="inlineStr">
        <is>
          <t xml:space="preserve"> Faction</t>
        </is>
      </c>
      <c r="C522" s="11" t="inlineStr">
        <is>
          <t>Dictator 2.0 X</t>
        </is>
      </c>
      <c r="D522" s="13" t="n">
        <v>163</v>
      </c>
      <c r="E522" s="11" t="inlineStr">
        <is>
          <t xml:space="preserve"> Women's</t>
        </is>
      </c>
      <c r="F522" s="13" t="n">
        <v>163</v>
      </c>
      <c r="G522" s="13" t="n">
        <v>161.6</v>
      </c>
      <c r="H522" s="13" t="n">
        <v>119</v>
      </c>
      <c r="I522" s="13" t="n">
        <v>134</v>
      </c>
      <c r="J522" s="13" t="n">
        <v>127</v>
      </c>
      <c r="K522" s="13" t="n">
        <v>96</v>
      </c>
      <c r="L522" s="13" t="n">
        <v>117</v>
      </c>
      <c r="M522" s="13" t="n">
        <v>15.4</v>
      </c>
      <c r="N522" s="13" t="n">
        <v>1753</v>
      </c>
      <c r="O522" s="13" t="n">
        <v>0.98</v>
      </c>
      <c r="P522" s="13" t="n">
        <v>1719</v>
      </c>
      <c r="Q522" s="13" t="n">
        <v>197</v>
      </c>
      <c r="R522" s="13" t="n">
        <v>122</v>
      </c>
      <c r="S522" s="13" t="n">
        <v>54</v>
      </c>
      <c r="T522" s="13" t="n">
        <v>252</v>
      </c>
      <c r="U522" s="13" t="n">
        <v>20</v>
      </c>
      <c r="V522" s="13" t="n">
        <v>170</v>
      </c>
      <c r="W522" s="13" t="n">
        <v>0.377</v>
      </c>
      <c r="X522" s="13" t="n">
        <v>168</v>
      </c>
      <c r="Y522" s="13" t="n">
        <v>108</v>
      </c>
      <c r="Z522" s="13" t="n">
        <v>84</v>
      </c>
      <c r="AA522" s="13" t="n">
        <v>5</v>
      </c>
      <c r="AB522" s="13" t="n">
        <v>10.4</v>
      </c>
      <c r="AC522" s="11" t="inlineStr">
        <is>
          <t xml:space="preserve"> Resort Freeride</t>
        </is>
      </c>
      <c r="AD522" s="13" t="n"/>
      <c r="AE522" s="13" t="n"/>
      <c r="AF522" s="13" t="n"/>
      <c r="AG522" s="13" t="n"/>
    </row>
    <row r="523">
      <c r="A523" s="9" t="inlineStr">
        <is>
          <t>21/22</t>
        </is>
      </c>
      <c r="B523" s="10" t="inlineStr">
        <is>
          <t xml:space="preserve"> Faction</t>
        </is>
      </c>
      <c r="C523" s="11" t="inlineStr">
        <is>
          <t>Dictator 3.0</t>
        </is>
      </c>
      <c r="D523" s="13" t="n">
        <v>172</v>
      </c>
      <c r="E523" s="11" t="inlineStr">
        <is>
          <t xml:space="preserve"> Unisex</t>
        </is>
      </c>
      <c r="F523" s="13" t="n">
        <v>172</v>
      </c>
      <c r="G523" s="13" t="n">
        <v>170.3</v>
      </c>
      <c r="H523" s="13" t="n">
        <v>117</v>
      </c>
      <c r="I523" s="13" t="n">
        <v>139</v>
      </c>
      <c r="J523" s="13" t="n">
        <v>133</v>
      </c>
      <c r="K523" s="13" t="n">
        <v>106</v>
      </c>
      <c r="L523" s="13" t="n">
        <v>124</v>
      </c>
      <c r="M523" s="13" t="n">
        <v>18.9</v>
      </c>
      <c r="N523" s="13" t="n">
        <v>1898</v>
      </c>
      <c r="O523" s="13" t="n">
        <v>1.03</v>
      </c>
      <c r="P523" s="13" t="n">
        <v>1959</v>
      </c>
      <c r="Q523" s="13" t="n">
        <v>210</v>
      </c>
      <c r="R523" s="13" t="n">
        <v>136</v>
      </c>
      <c r="S523" s="13" t="n">
        <v>63</v>
      </c>
      <c r="T523" s="13" t="n">
        <v>325</v>
      </c>
      <c r="U523" s="13" t="n">
        <v>22</v>
      </c>
      <c r="V523" s="13" t="n">
        <v>212</v>
      </c>
      <c r="W523" s="13" t="n">
        <v>0.354</v>
      </c>
      <c r="X523" s="13" t="n">
        <v>186</v>
      </c>
      <c r="Y523" s="13" t="n">
        <v>124</v>
      </c>
      <c r="Z523" s="13" t="n">
        <v>138</v>
      </c>
      <c r="AA523" s="13" t="n">
        <v>4</v>
      </c>
      <c r="AB523" s="13" t="n">
        <v>10.8</v>
      </c>
      <c r="AC523" s="11" t="inlineStr">
        <is>
          <t xml:space="preserve"> Powder</t>
        </is>
      </c>
      <c r="AD523" s="11" t="inlineStr">
        <is>
          <t xml:space="preserve"> Big Mountain</t>
        </is>
      </c>
      <c r="AE523" s="13" t="n"/>
      <c r="AF523" s="13" t="n"/>
      <c r="AG523" s="13" t="n"/>
    </row>
    <row r="524">
      <c r="A524" s="9" t="inlineStr">
        <is>
          <t>21/22</t>
        </is>
      </c>
      <c r="B524" s="10" t="inlineStr">
        <is>
          <t xml:space="preserve"> Faction</t>
        </is>
      </c>
      <c r="C524" s="11" t="inlineStr">
        <is>
          <t>Dictator 3.0</t>
        </is>
      </c>
      <c r="D524" s="13" t="n">
        <v>180</v>
      </c>
      <c r="E524" s="11" t="inlineStr">
        <is>
          <t xml:space="preserve"> Unisex</t>
        </is>
      </c>
      <c r="F524" s="13" t="n">
        <v>180</v>
      </c>
      <c r="G524" s="13" t="n">
        <v>178.8</v>
      </c>
      <c r="H524" s="13" t="n">
        <v>130</v>
      </c>
      <c r="I524" s="13" t="n">
        <v>150</v>
      </c>
      <c r="J524" s="13" t="n">
        <v>134</v>
      </c>
      <c r="K524" s="13" t="n">
        <v>106</v>
      </c>
      <c r="L524" s="13" t="n">
        <v>123</v>
      </c>
      <c r="M524" s="13" t="n">
        <v>21.1</v>
      </c>
      <c r="N524" s="13" t="n">
        <v>2041</v>
      </c>
      <c r="O524" s="13" t="n">
        <v>1.01</v>
      </c>
      <c r="P524" s="13" t="n">
        <v>2057</v>
      </c>
      <c r="Q524" s="13" t="n">
        <v>234</v>
      </c>
      <c r="R524" s="13" t="n">
        <v>148</v>
      </c>
      <c r="S524" s="13" t="n">
        <v>56</v>
      </c>
      <c r="T524" s="13" t="n">
        <v>290</v>
      </c>
      <c r="U524" s="13" t="n">
        <v>20</v>
      </c>
      <c r="V524" s="13" t="n">
        <v>198</v>
      </c>
      <c r="W524" s="13" t="n">
        <v>0.352</v>
      </c>
      <c r="X524" s="13" t="n">
        <v>182</v>
      </c>
      <c r="Y524" s="13" t="n">
        <v>110</v>
      </c>
      <c r="Z524" s="13" t="n">
        <v>108</v>
      </c>
      <c r="AA524" s="13" t="n">
        <v>7</v>
      </c>
      <c r="AB524" s="13" t="n">
        <v>11.1</v>
      </c>
      <c r="AC524" s="11" t="inlineStr">
        <is>
          <t xml:space="preserve"> Powder</t>
        </is>
      </c>
      <c r="AD524" s="11" t="inlineStr">
        <is>
          <t xml:space="preserve"> Big Mountain</t>
        </is>
      </c>
      <c r="AE524" s="13" t="n"/>
      <c r="AF524" s="13" t="n"/>
      <c r="AG524" s="13" t="n"/>
    </row>
    <row r="525">
      <c r="A525" s="9" t="inlineStr">
        <is>
          <t>21/22</t>
        </is>
      </c>
      <c r="B525" s="10" t="inlineStr">
        <is>
          <t xml:space="preserve"> Faction</t>
        </is>
      </c>
      <c r="C525" s="11" t="inlineStr">
        <is>
          <t>Dictator FG 1.0</t>
        </is>
      </c>
      <c r="D525" s="13" t="n">
        <v>154</v>
      </c>
      <c r="E525" s="11" t="inlineStr">
        <is>
          <t xml:space="preserve"> Unisex</t>
        </is>
      </c>
      <c r="F525" s="13" t="n">
        <v>154</v>
      </c>
      <c r="G525" s="13" t="n">
        <v>152.3</v>
      </c>
      <c r="H525" s="13" t="n">
        <v>118</v>
      </c>
      <c r="I525" s="13" t="n">
        <v>128</v>
      </c>
      <c r="J525" s="13" t="n">
        <v>119</v>
      </c>
      <c r="K525" s="13" t="n">
        <v>85</v>
      </c>
      <c r="L525" s="13" t="n">
        <v>109</v>
      </c>
      <c r="M525" s="13" t="n">
        <v>13.2</v>
      </c>
      <c r="N525" s="13" t="n">
        <v>1380</v>
      </c>
      <c r="O525" s="13" t="n">
        <v>1.07</v>
      </c>
      <c r="P525" s="13" t="n">
        <v>1471</v>
      </c>
      <c r="Q525" s="13" t="n">
        <v>144</v>
      </c>
      <c r="R525" s="13" t="n">
        <v>66</v>
      </c>
      <c r="S525" s="13" t="n">
        <v>48</v>
      </c>
      <c r="T525" s="13" t="n">
        <v>211</v>
      </c>
      <c r="U525" s="13" t="n">
        <v>18</v>
      </c>
      <c r="V525" s="13" t="n">
        <v>132</v>
      </c>
      <c r="W525" s="13" t="n">
        <v>0.382</v>
      </c>
      <c r="X525" s="13" t="n">
        <v>151</v>
      </c>
      <c r="Y525" s="13" t="n">
        <v>95</v>
      </c>
      <c r="Z525" s="13" t="n">
        <v>59</v>
      </c>
      <c r="AA525" s="13" t="n">
        <v>10</v>
      </c>
      <c r="AB525" s="13" t="n">
        <v>9.1</v>
      </c>
      <c r="AC525" s="11" t="inlineStr">
        <is>
          <t xml:space="preserve"> On-Piste All-Mountain</t>
        </is>
      </c>
      <c r="AD525" s="11" t="inlineStr">
        <is>
          <t xml:space="preserve"> Resort Freeride</t>
        </is>
      </c>
      <c r="AE525" s="11" t="inlineStr">
        <is>
          <t xml:space="preserve"> Touring</t>
        </is>
      </c>
      <c r="AF525" s="13" t="n"/>
      <c r="AG525" s="13" t="n"/>
    </row>
    <row r="526">
      <c r="A526" s="9" t="inlineStr">
        <is>
          <t>21/22</t>
        </is>
      </c>
      <c r="B526" s="10" t="inlineStr">
        <is>
          <t xml:space="preserve"> Faction</t>
        </is>
      </c>
      <c r="C526" s="11" t="inlineStr">
        <is>
          <t>Dictator FG 1.0</t>
        </is>
      </c>
      <c r="D526" s="13" t="n">
        <v>162</v>
      </c>
      <c r="E526" s="11" t="inlineStr">
        <is>
          <t xml:space="preserve"> Unisex</t>
        </is>
      </c>
      <c r="F526" s="13" t="n">
        <v>162</v>
      </c>
      <c r="G526" s="13" t="n">
        <v>160.4</v>
      </c>
      <c r="H526" s="13" t="n">
        <v>125</v>
      </c>
      <c r="I526" s="13" t="n">
        <v>136</v>
      </c>
      <c r="J526" s="13" t="n">
        <v>119</v>
      </c>
      <c r="K526" s="13" t="n">
        <v>85</v>
      </c>
      <c r="L526" s="13" t="n">
        <v>109</v>
      </c>
      <c r="M526" s="13" t="n">
        <v>14.9</v>
      </c>
      <c r="N526" s="13" t="n">
        <v>1438</v>
      </c>
      <c r="O526" s="13" t="n">
        <v>1.08</v>
      </c>
      <c r="P526" s="13" t="n">
        <v>1548</v>
      </c>
      <c r="Q526" s="13" t="n">
        <v>156</v>
      </c>
      <c r="R526" s="13" t="n">
        <v>73</v>
      </c>
      <c r="S526" s="13" t="n">
        <v>52</v>
      </c>
      <c r="T526" s="13" t="n">
        <v>219</v>
      </c>
      <c r="U526" s="13" t="n">
        <v>18</v>
      </c>
      <c r="V526" s="13" t="n">
        <v>137</v>
      </c>
      <c r="W526" s="13" t="n">
        <v>0.337</v>
      </c>
      <c r="X526" s="13" t="n">
        <v>152</v>
      </c>
      <c r="Y526" s="13" t="n">
        <v>96</v>
      </c>
      <c r="Z526" s="13" t="n">
        <v>67</v>
      </c>
      <c r="AA526" s="13" t="n">
        <v>9</v>
      </c>
      <c r="AB526" s="13" t="n">
        <v>9.5</v>
      </c>
      <c r="AC526" s="11" t="inlineStr">
        <is>
          <t xml:space="preserve"> On-Piste All-Mountain</t>
        </is>
      </c>
      <c r="AD526" s="11" t="inlineStr">
        <is>
          <t xml:space="preserve"> Resort Freeride</t>
        </is>
      </c>
      <c r="AE526" s="11" t="inlineStr">
        <is>
          <t xml:space="preserve"> Touring</t>
        </is>
      </c>
      <c r="AF526" s="13" t="n"/>
      <c r="AG526" s="13" t="n"/>
    </row>
    <row r="527">
      <c r="A527" s="9" t="inlineStr">
        <is>
          <t>21/22</t>
        </is>
      </c>
      <c r="B527" s="10" t="inlineStr">
        <is>
          <t xml:space="preserve"> Faction</t>
        </is>
      </c>
      <c r="C527" s="11" t="inlineStr">
        <is>
          <t>Dictator FG 1.0</t>
        </is>
      </c>
      <c r="D527" s="13" t="n">
        <v>178</v>
      </c>
      <c r="E527" s="11" t="inlineStr">
        <is>
          <t xml:space="preserve"> Unisex</t>
        </is>
      </c>
      <c r="F527" s="13" t="n">
        <v>178</v>
      </c>
      <c r="G527" s="13" t="n">
        <v>176.5</v>
      </c>
      <c r="H527" s="13" t="n">
        <v>139</v>
      </c>
      <c r="I527" s="13" t="n">
        <v>151</v>
      </c>
      <c r="J527" s="13" t="n">
        <v>119</v>
      </c>
      <c r="K527" s="13" t="n">
        <v>85</v>
      </c>
      <c r="L527" s="13" t="n">
        <v>109</v>
      </c>
      <c r="M527" s="13" t="n">
        <v>18.8</v>
      </c>
      <c r="N527" s="13" t="n">
        <v>1648</v>
      </c>
      <c r="O527" s="13" t="n">
        <v>1.03</v>
      </c>
      <c r="P527" s="13" t="n">
        <v>1703</v>
      </c>
      <c r="Q527" s="13" t="n">
        <v>216</v>
      </c>
      <c r="R527" s="13" t="n">
        <v>96</v>
      </c>
      <c r="S527" s="13" t="n">
        <v>48</v>
      </c>
      <c r="T527" s="13" t="n">
        <v>226</v>
      </c>
      <c r="U527" s="13" t="n">
        <v>17</v>
      </c>
      <c r="V527" s="13" t="n">
        <v>146</v>
      </c>
      <c r="W527" s="13" t="n">
        <v>0.345</v>
      </c>
      <c r="X527" s="13" t="n">
        <v>157</v>
      </c>
      <c r="Y527" s="13" t="n">
        <v>97</v>
      </c>
      <c r="Z527" s="13" t="n">
        <v>69</v>
      </c>
      <c r="AA527" s="13" t="n">
        <v>9</v>
      </c>
      <c r="AB527" s="13" t="n">
        <v>10.3</v>
      </c>
      <c r="AC527" s="11" t="inlineStr">
        <is>
          <t xml:space="preserve"> On-Piste All-Mountain</t>
        </is>
      </c>
      <c r="AD527" s="11" t="inlineStr">
        <is>
          <t xml:space="preserve"> Resort Freeride</t>
        </is>
      </c>
      <c r="AE527" s="13" t="n"/>
      <c r="AF527" s="13" t="n"/>
      <c r="AG527" s="13" t="n"/>
    </row>
    <row r="528">
      <c r="A528" s="9" t="inlineStr">
        <is>
          <t>21/22</t>
        </is>
      </c>
      <c r="B528" s="10" t="inlineStr">
        <is>
          <t xml:space="preserve"> Faction</t>
        </is>
      </c>
      <c r="C528" s="11" t="inlineStr">
        <is>
          <t>Dictator FG 2.0</t>
        </is>
      </c>
      <c r="D528" s="13" t="n">
        <v>171</v>
      </c>
      <c r="E528" s="11" t="inlineStr">
        <is>
          <t xml:space="preserve"> Unisex</t>
        </is>
      </c>
      <c r="F528" s="13" t="n">
        <v>171</v>
      </c>
      <c r="G528" s="13" t="n">
        <v>169.4</v>
      </c>
      <c r="H528" s="13" t="n">
        <v>127</v>
      </c>
      <c r="I528" s="13" t="n">
        <v>142</v>
      </c>
      <c r="J528" s="13" t="n">
        <v>126</v>
      </c>
      <c r="K528" s="13" t="n">
        <v>94</v>
      </c>
      <c r="L528" s="13" t="n">
        <v>116</v>
      </c>
      <c r="M528" s="13" t="n">
        <v>17.4</v>
      </c>
      <c r="N528" s="13" t="n">
        <v>1721</v>
      </c>
      <c r="O528" s="13" t="n">
        <v>1.04</v>
      </c>
      <c r="P528" s="13" t="n">
        <v>1784</v>
      </c>
      <c r="Q528" s="13" t="n">
        <v>205</v>
      </c>
      <c r="R528" s="13" t="n">
        <v>87</v>
      </c>
      <c r="S528" s="13" t="n">
        <v>49</v>
      </c>
      <c r="T528" s="13" t="n">
        <v>248</v>
      </c>
      <c r="U528" s="13" t="n">
        <v>21</v>
      </c>
      <c r="V528" s="13" t="n">
        <v>174</v>
      </c>
      <c r="W528" s="13" t="n">
        <v>0.424</v>
      </c>
      <c r="X528" s="13" t="n">
        <v>172</v>
      </c>
      <c r="Y528" s="13" t="n">
        <v>107</v>
      </c>
      <c r="Z528" s="13" t="n">
        <v>76</v>
      </c>
      <c r="AA528" s="13" t="n">
        <v>9</v>
      </c>
      <c r="AB528" s="13" t="n">
        <v>10.9</v>
      </c>
      <c r="AC528" s="11" t="inlineStr">
        <is>
          <t xml:space="preserve"> Resort Freeride</t>
        </is>
      </c>
      <c r="AD528" s="13" t="n"/>
      <c r="AE528" s="13" t="n"/>
      <c r="AF528" s="13" t="n"/>
      <c r="AG528" s="13" t="n"/>
    </row>
    <row r="529">
      <c r="A529" s="9" t="inlineStr">
        <is>
          <t>21/22</t>
        </is>
      </c>
      <c r="B529" s="10" t="inlineStr">
        <is>
          <t xml:space="preserve"> Faction</t>
        </is>
      </c>
      <c r="C529" s="11" t="inlineStr">
        <is>
          <t>Dictator FG 2.0</t>
        </is>
      </c>
      <c r="D529" s="13" t="n">
        <v>179</v>
      </c>
      <c r="E529" s="11" t="inlineStr">
        <is>
          <t xml:space="preserve"> Unisex</t>
        </is>
      </c>
      <c r="F529" s="13" t="n">
        <v>179</v>
      </c>
      <c r="G529" s="13" t="n">
        <v>177.6</v>
      </c>
      <c r="H529" s="13" t="n">
        <v>134</v>
      </c>
      <c r="I529" s="13" t="n">
        <v>150</v>
      </c>
      <c r="J529" s="13" t="n">
        <v>126</v>
      </c>
      <c r="K529" s="13" t="n">
        <v>95</v>
      </c>
      <c r="L529" s="13" t="n">
        <v>116</v>
      </c>
      <c r="M529" s="13" t="n">
        <v>19.6</v>
      </c>
      <c r="N529" s="13" t="n">
        <v>1784</v>
      </c>
      <c r="O529" s="13" t="n">
        <v>1.05</v>
      </c>
      <c r="P529" s="13" t="n">
        <v>1869</v>
      </c>
      <c r="Q529" s="13" t="n">
        <v>220</v>
      </c>
      <c r="R529" s="13" t="n">
        <v>98</v>
      </c>
      <c r="S529" s="13" t="n">
        <v>52</v>
      </c>
      <c r="T529" s="13" t="n">
        <v>269</v>
      </c>
      <c r="U529" s="13" t="n">
        <v>19</v>
      </c>
      <c r="V529" s="13" t="n">
        <v>171</v>
      </c>
      <c r="W529" s="13" t="n">
        <v>0.365</v>
      </c>
      <c r="X529" s="13" t="n">
        <v>168</v>
      </c>
      <c r="Y529" s="13" t="n">
        <v>107</v>
      </c>
      <c r="Z529" s="13" t="n">
        <v>101</v>
      </c>
      <c r="AA529" s="13" t="n">
        <v>8</v>
      </c>
      <c r="AB529" s="13" t="n">
        <v>11.3</v>
      </c>
      <c r="AC529" s="11" t="inlineStr">
        <is>
          <t xml:space="preserve"> Resort Freeride</t>
        </is>
      </c>
      <c r="AD529" s="13" t="n"/>
      <c r="AE529" s="13" t="n"/>
      <c r="AF529" s="13" t="n"/>
      <c r="AG529" s="13" t="n"/>
    </row>
    <row r="530">
      <c r="A530" s="9" t="inlineStr">
        <is>
          <t>21/22</t>
        </is>
      </c>
      <c r="B530" s="10" t="inlineStr">
        <is>
          <t xml:space="preserve"> Faction</t>
        </is>
      </c>
      <c r="C530" s="11" t="inlineStr">
        <is>
          <t xml:space="preserve"> La Machine</t>
        </is>
      </c>
      <c r="D530" s="13" t="n">
        <v>178</v>
      </c>
      <c r="E530" s="11" t="inlineStr">
        <is>
          <t xml:space="preserve"> Unisex</t>
        </is>
      </c>
      <c r="F530" s="13" t="n">
        <v>178</v>
      </c>
      <c r="G530" s="13" t="n">
        <v>176.6</v>
      </c>
      <c r="H530" s="13" t="n">
        <v>8</v>
      </c>
      <c r="I530" s="13" t="n">
        <v>139</v>
      </c>
      <c r="J530" s="13" t="n">
        <v>147</v>
      </c>
      <c r="K530" s="13" t="n">
        <v>125</v>
      </c>
      <c r="L530" s="13" t="n">
        <v>138</v>
      </c>
      <c r="M530" s="13" t="n">
        <v>24.8</v>
      </c>
      <c r="N530" s="13" t="n">
        <v>1739</v>
      </c>
      <c r="O530" s="13" t="n">
        <v>1.34</v>
      </c>
      <c r="P530" s="13" t="n">
        <v>2328</v>
      </c>
      <c r="Q530" s="13" t="n">
        <v>213</v>
      </c>
      <c r="R530" s="13" t="n">
        <v>88</v>
      </c>
      <c r="S530" s="13" t="n">
        <v>68</v>
      </c>
      <c r="T530" s="13" t="n">
        <v>1012</v>
      </c>
      <c r="U530" s="13" t="n">
        <v>30</v>
      </c>
      <c r="V530" s="13" t="n">
        <v>676</v>
      </c>
      <c r="W530" s="13" t="n">
        <v>0.445</v>
      </c>
      <c r="X530" s="13" t="n">
        <v>224</v>
      </c>
      <c r="Y530" s="13" t="n">
        <v>151</v>
      </c>
      <c r="Z530" s="13" t="n">
        <v>788</v>
      </c>
      <c r="AA530" s="13" t="n">
        <v>1</v>
      </c>
      <c r="AB530" s="13" t="n">
        <v>12.9</v>
      </c>
      <c r="AC530" s="11" t="inlineStr">
        <is>
          <t xml:space="preserve"> Powder</t>
        </is>
      </c>
      <c r="AD530" s="11" t="inlineStr">
        <is>
          <t xml:space="preserve"> Touring</t>
        </is>
      </c>
      <c r="AE530" s="11" t="inlineStr">
        <is>
          <t xml:space="preserve"> Ultralight Touring</t>
        </is>
      </c>
      <c r="AF530" s="13" t="n"/>
      <c r="AG530" s="13" t="n"/>
    </row>
    <row r="531">
      <c r="A531" s="9" t="inlineStr">
        <is>
          <t>21/22</t>
        </is>
      </c>
      <c r="B531" s="10" t="inlineStr">
        <is>
          <t xml:space="preserve"> Faction</t>
        </is>
      </c>
      <c r="C531" s="11" t="inlineStr">
        <is>
          <t>Prodigy 0.0</t>
        </is>
      </c>
      <c r="D531" s="13" t="n">
        <v>150</v>
      </c>
      <c r="E531" s="11" t="inlineStr">
        <is>
          <t xml:space="preserve"> Unisex</t>
        </is>
      </c>
      <c r="F531" s="13" t="n">
        <v>150</v>
      </c>
      <c r="G531" s="13" t="n">
        <v>148.1</v>
      </c>
      <c r="H531" s="13" t="n">
        <v>102</v>
      </c>
      <c r="I531" s="13" t="n">
        <v>124</v>
      </c>
      <c r="J531" s="13" t="n">
        <v>116</v>
      </c>
      <c r="K531" s="13" t="n">
        <v>84</v>
      </c>
      <c r="L531" s="13" t="n">
        <v>108</v>
      </c>
      <c r="M531" s="13" t="n">
        <v>11.9</v>
      </c>
      <c r="N531" s="13" t="n">
        <v>1453</v>
      </c>
      <c r="O531" s="13" t="n">
        <v>0.97</v>
      </c>
      <c r="P531" s="13" t="n">
        <v>1415</v>
      </c>
      <c r="Q531" s="13" t="n">
        <v>123</v>
      </c>
      <c r="R531" s="13" t="n">
        <v>54</v>
      </c>
      <c r="S531" s="13" t="n">
        <v>50</v>
      </c>
      <c r="T531" s="13" t="n">
        <v>262</v>
      </c>
      <c r="U531" s="13" t="n">
        <v>37</v>
      </c>
      <c r="V531" s="13" t="n">
        <v>203</v>
      </c>
      <c r="W531" s="13" t="n">
        <v>0.743</v>
      </c>
      <c r="X531" s="13" t="n">
        <v>131</v>
      </c>
      <c r="Y531" s="13" t="n">
        <v>112</v>
      </c>
      <c r="Z531" s="13" t="n">
        <v>130</v>
      </c>
      <c r="AA531" s="13" t="n">
        <v>5</v>
      </c>
      <c r="AB531" s="13" t="n">
        <v>5.7</v>
      </c>
      <c r="AC531" s="11" t="inlineStr">
        <is>
          <t xml:space="preserve"> Resort Freeride</t>
        </is>
      </c>
      <c r="AD531" s="13" t="n"/>
      <c r="AE531" s="13" t="n"/>
      <c r="AF531" s="13" t="n"/>
      <c r="AG531" s="13" t="n"/>
    </row>
    <row r="532">
      <c r="A532" s="9" t="inlineStr">
        <is>
          <t>21/22</t>
        </is>
      </c>
      <c r="B532" s="10" t="inlineStr">
        <is>
          <t xml:space="preserve"> Faction</t>
        </is>
      </c>
      <c r="C532" s="11" t="inlineStr">
        <is>
          <t>Prodigy 0.0</t>
        </is>
      </c>
      <c r="D532" s="13" t="n">
        <v>157</v>
      </c>
      <c r="E532" s="11" t="inlineStr">
        <is>
          <t xml:space="preserve"> Unisex</t>
        </is>
      </c>
      <c r="F532" s="13" t="n">
        <v>157</v>
      </c>
      <c r="G532" s="13" t="n">
        <v>155.2</v>
      </c>
      <c r="H532" s="13" t="n">
        <v>108</v>
      </c>
      <c r="I532" s="13" t="n">
        <v>130</v>
      </c>
      <c r="J532" s="13" t="n">
        <v>116</v>
      </c>
      <c r="K532" s="13" t="n">
        <v>84</v>
      </c>
      <c r="L532" s="13" t="n">
        <v>108</v>
      </c>
      <c r="M532" s="13" t="n">
        <v>13.3</v>
      </c>
      <c r="N532" s="13" t="n">
        <v>1553</v>
      </c>
      <c r="O532" s="13" t="n">
        <v>0.95</v>
      </c>
      <c r="P532" s="13" t="n">
        <v>1480</v>
      </c>
      <c r="Q532" s="13" t="n">
        <v>127</v>
      </c>
      <c r="R532" s="13" t="n">
        <v>59</v>
      </c>
      <c r="S532" s="13" t="n">
        <v>47</v>
      </c>
      <c r="T532" s="13" t="n">
        <v>262</v>
      </c>
      <c r="U532" s="13" t="n">
        <v>36</v>
      </c>
      <c r="V532" s="13" t="n">
        <v>208</v>
      </c>
      <c r="W532" s="13" t="n">
        <v>0.763</v>
      </c>
      <c r="X532" s="13" t="n">
        <v>131</v>
      </c>
      <c r="Y532" s="13" t="n">
        <v>120</v>
      </c>
      <c r="Z532" s="13" t="n">
        <v>131</v>
      </c>
      <c r="AA532" s="13" t="n">
        <v>6</v>
      </c>
      <c r="AB532" s="13" t="n">
        <v>6.4</v>
      </c>
      <c r="AC532" s="11" t="inlineStr">
        <is>
          <t xml:space="preserve"> Resort Freeride</t>
        </is>
      </c>
      <c r="AD532" s="13" t="n"/>
      <c r="AE532" s="13" t="n"/>
      <c r="AF532" s="13" t="n"/>
      <c r="AG532" s="13" t="n"/>
    </row>
    <row r="533">
      <c r="A533" s="9" t="inlineStr">
        <is>
          <t>21/22</t>
        </is>
      </c>
      <c r="B533" s="10" t="inlineStr">
        <is>
          <t xml:space="preserve"> Faction</t>
        </is>
      </c>
      <c r="C533" s="11" t="inlineStr">
        <is>
          <t>Prodigy 0.0</t>
        </is>
      </c>
      <c r="D533" s="13" t="n">
        <v>164</v>
      </c>
      <c r="E533" s="11" t="inlineStr">
        <is>
          <t xml:space="preserve"> Unisex</t>
        </is>
      </c>
      <c r="F533" s="13" t="n">
        <v>164</v>
      </c>
      <c r="G533" s="13" t="n">
        <v>162.5</v>
      </c>
      <c r="H533" s="13" t="n">
        <v>112</v>
      </c>
      <c r="I533" s="13" t="n">
        <v>138</v>
      </c>
      <c r="J533" s="13" t="n">
        <v>117</v>
      </c>
      <c r="K533" s="13" t="n">
        <v>84</v>
      </c>
      <c r="L533" s="13" t="n">
        <v>109</v>
      </c>
      <c r="M533" s="13" t="n">
        <v>14.7</v>
      </c>
      <c r="N533" s="13" t="n">
        <v>1659</v>
      </c>
      <c r="O533" s="13" t="n">
        <v>0.9399999999999999</v>
      </c>
      <c r="P533" s="13" t="n">
        <v>1559</v>
      </c>
      <c r="Q533" s="13" t="n">
        <v>152</v>
      </c>
      <c r="R533" s="13" t="n">
        <v>69</v>
      </c>
      <c r="S533" s="13" t="n">
        <v>49</v>
      </c>
      <c r="T533" s="13" t="n">
        <v>282</v>
      </c>
      <c r="U533" s="13" t="n">
        <v>36</v>
      </c>
      <c r="V533" s="13" t="n">
        <v>221</v>
      </c>
      <c r="W533" s="13" t="n">
        <v>0.728</v>
      </c>
      <c r="X533" s="13" t="n">
        <v>136</v>
      </c>
      <c r="Y533" s="13" t="n">
        <v>114</v>
      </c>
      <c r="Z533" s="13" t="n">
        <v>146</v>
      </c>
      <c r="AA533" s="13" t="n">
        <v>5</v>
      </c>
      <c r="AB533" s="13" t="n">
        <v>6.9</v>
      </c>
      <c r="AC533" s="11" t="inlineStr">
        <is>
          <t xml:space="preserve"> Resort Freeride</t>
        </is>
      </c>
      <c r="AD533" s="13" t="n"/>
      <c r="AE533" s="13" t="n"/>
      <c r="AF533" s="13" t="n"/>
      <c r="AG533" s="13" t="n"/>
    </row>
    <row r="534">
      <c r="A534" s="9" t="inlineStr">
        <is>
          <t>21/22</t>
        </is>
      </c>
      <c r="B534" s="10" t="inlineStr">
        <is>
          <t xml:space="preserve"> Faction</t>
        </is>
      </c>
      <c r="C534" s="11" t="inlineStr">
        <is>
          <t>Prodigy 0.0</t>
        </is>
      </c>
      <c r="D534" s="13" t="n">
        <v>171</v>
      </c>
      <c r="E534" s="11" t="inlineStr">
        <is>
          <t xml:space="preserve"> Unisex</t>
        </is>
      </c>
      <c r="F534" s="13" t="n">
        <v>171</v>
      </c>
      <c r="G534" s="13" t="n">
        <v>169.5</v>
      </c>
      <c r="H534" s="13" t="n">
        <v>120</v>
      </c>
      <c r="I534" s="13" t="n">
        <v>143</v>
      </c>
      <c r="J534" s="13" t="n">
        <v>116</v>
      </c>
      <c r="K534" s="13" t="n">
        <v>84</v>
      </c>
      <c r="L534" s="13" t="n">
        <v>108</v>
      </c>
      <c r="M534" s="13" t="n">
        <v>16.4</v>
      </c>
      <c r="N534" s="13" t="n">
        <v>1766</v>
      </c>
      <c r="O534" s="13" t="n">
        <v>0.91</v>
      </c>
      <c r="P534" s="13" t="n">
        <v>1614</v>
      </c>
      <c r="Q534" s="13" t="n">
        <v>176</v>
      </c>
      <c r="R534" s="13" t="n">
        <v>81</v>
      </c>
      <c r="S534" s="13" t="n">
        <v>47</v>
      </c>
      <c r="T534" s="13" t="n">
        <v>281</v>
      </c>
      <c r="U534" s="13" t="n">
        <v>35</v>
      </c>
      <c r="V534" s="13" t="n">
        <v>209</v>
      </c>
      <c r="W534" s="13" t="n">
        <v>0.745</v>
      </c>
      <c r="X534" s="13" t="n">
        <v>145</v>
      </c>
      <c r="Y534" s="13" t="n">
        <v>118</v>
      </c>
      <c r="Z534" s="13" t="n">
        <v>136</v>
      </c>
      <c r="AA534" s="13" t="n">
        <v>9</v>
      </c>
      <c r="AB534" s="13" t="n">
        <v>6.9</v>
      </c>
      <c r="AC534" s="11" t="inlineStr">
        <is>
          <t xml:space="preserve"> Resort Freeride</t>
        </is>
      </c>
      <c r="AD534" s="13" t="n"/>
      <c r="AE534" s="13" t="n"/>
      <c r="AF534" s="13" t="n"/>
      <c r="AG534" s="13" t="n"/>
    </row>
    <row r="535">
      <c r="A535" s="9" t="inlineStr">
        <is>
          <t>21/22</t>
        </is>
      </c>
      <c r="B535" s="10" t="inlineStr">
        <is>
          <t xml:space="preserve"> Faction</t>
        </is>
      </c>
      <c r="C535" s="11" t="inlineStr">
        <is>
          <t>Prodigy 0.0 X</t>
        </is>
      </c>
      <c r="D535" s="13" t="n">
        <v>150</v>
      </c>
      <c r="E535" s="11" t="inlineStr">
        <is>
          <t xml:space="preserve"> Women's</t>
        </is>
      </c>
      <c r="F535" s="13" t="n">
        <v>150</v>
      </c>
      <c r="G535" s="13" t="n">
        <v>148</v>
      </c>
      <c r="H535" s="13" t="n">
        <v>104</v>
      </c>
      <c r="I535" s="13" t="n">
        <v>122</v>
      </c>
      <c r="J535" s="13" t="n">
        <v>116</v>
      </c>
      <c r="K535" s="13" t="n">
        <v>84</v>
      </c>
      <c r="L535" s="13" t="n">
        <v>108</v>
      </c>
      <c r="M535" s="13" t="n">
        <v>11.9</v>
      </c>
      <c r="N535" s="13" t="n">
        <v>1451</v>
      </c>
      <c r="O535" s="13" t="n">
        <v>0.98</v>
      </c>
      <c r="P535" s="13" t="n">
        <v>1416</v>
      </c>
      <c r="Q535" s="13" t="n">
        <v>124</v>
      </c>
      <c r="R535" s="13" t="n">
        <v>51</v>
      </c>
      <c r="S535" s="13" t="n">
        <v>46</v>
      </c>
      <c r="T535" s="13" t="n">
        <v>243</v>
      </c>
      <c r="U535" s="13" t="n">
        <v>38</v>
      </c>
      <c r="V535" s="13" t="n">
        <v>194</v>
      </c>
      <c r="W535" s="13" t="n">
        <v>0.8139999999999999</v>
      </c>
      <c r="X535" s="13" t="n">
        <v>135</v>
      </c>
      <c r="Y535" s="13" t="n">
        <v>122</v>
      </c>
      <c r="Z535" s="13" t="n">
        <v>108</v>
      </c>
      <c r="AA535" s="13" t="n">
        <v>8</v>
      </c>
      <c r="AB535" s="13" t="n">
        <v>6.4</v>
      </c>
      <c r="AC535" s="11" t="inlineStr">
        <is>
          <t xml:space="preserve"> Resort Freeride</t>
        </is>
      </c>
      <c r="AD535" s="11" t="inlineStr">
        <is>
          <t xml:space="preserve"> Freeski</t>
        </is>
      </c>
      <c r="AE535" s="13" t="n"/>
      <c r="AF535" s="13" t="n"/>
      <c r="AG535" s="13" t="n"/>
    </row>
    <row r="536">
      <c r="A536" s="9" t="inlineStr">
        <is>
          <t>21/22</t>
        </is>
      </c>
      <c r="B536" s="10" t="inlineStr">
        <is>
          <t xml:space="preserve"> Faction</t>
        </is>
      </c>
      <c r="C536" s="11" t="inlineStr">
        <is>
          <t>Prodigy 1.0</t>
        </is>
      </c>
      <c r="D536" s="13" t="n">
        <v>164</v>
      </c>
      <c r="E536" s="11" t="inlineStr">
        <is>
          <t xml:space="preserve"> Unisex</t>
        </is>
      </c>
      <c r="F536" s="13" t="n">
        <v>164</v>
      </c>
      <c r="G536" s="13" t="n">
        <v>161.9</v>
      </c>
      <c r="H536" s="13" t="n">
        <v>117</v>
      </c>
      <c r="I536" s="13" t="n">
        <v>136</v>
      </c>
      <c r="J536" s="13" t="n">
        <v>119</v>
      </c>
      <c r="K536" s="13" t="n">
        <v>87</v>
      </c>
      <c r="L536" s="13" t="n">
        <v>112</v>
      </c>
      <c r="M536" s="13" t="n">
        <v>14.6</v>
      </c>
      <c r="N536" s="13" t="n">
        <v>1587</v>
      </c>
      <c r="O536" s="13" t="n">
        <v>1.01</v>
      </c>
      <c r="P536" s="13" t="n">
        <v>1604</v>
      </c>
      <c r="Q536" s="13" t="n">
        <v>170</v>
      </c>
      <c r="R536" s="13" t="n">
        <v>70</v>
      </c>
      <c r="S536" s="13" t="n">
        <v>53</v>
      </c>
      <c r="T536" s="13" t="n">
        <v>265</v>
      </c>
      <c r="U536" s="13" t="n">
        <v>38</v>
      </c>
      <c r="V536" s="13" t="n">
        <v>188</v>
      </c>
      <c r="W536" s="13" t="n">
        <v>0.705</v>
      </c>
      <c r="X536" s="13" t="n">
        <v>134</v>
      </c>
      <c r="Y536" s="13" t="n">
        <v>126</v>
      </c>
      <c r="Z536" s="13" t="n">
        <v>131</v>
      </c>
      <c r="AA536" s="13" t="n">
        <v>9</v>
      </c>
      <c r="AB536" s="13" t="n">
        <v>6.5</v>
      </c>
      <c r="AC536" s="11" t="inlineStr">
        <is>
          <t xml:space="preserve"> Resort Freeride</t>
        </is>
      </c>
      <c r="AD536" s="13" t="n"/>
      <c r="AE536" s="13" t="n"/>
      <c r="AF536" s="13" t="n"/>
      <c r="AG536" s="13" t="n"/>
    </row>
    <row r="537">
      <c r="A537" s="9" t="inlineStr">
        <is>
          <t>21/22</t>
        </is>
      </c>
      <c r="B537" s="10" t="inlineStr">
        <is>
          <t xml:space="preserve"> Faction</t>
        </is>
      </c>
      <c r="C537" s="11" t="inlineStr">
        <is>
          <t>Prodigy 1.0</t>
        </is>
      </c>
      <c r="D537" s="13" t="n">
        <v>171</v>
      </c>
      <c r="E537" s="11" t="inlineStr">
        <is>
          <t xml:space="preserve"> Unisex</t>
        </is>
      </c>
      <c r="F537" s="13" t="n">
        <v>171</v>
      </c>
      <c r="G537" s="13" t="n">
        <v>169.3</v>
      </c>
      <c r="H537" s="13" t="n">
        <v>121</v>
      </c>
      <c r="I537" s="13" t="n">
        <v>142</v>
      </c>
      <c r="J537" s="13" t="n">
        <v>120</v>
      </c>
      <c r="K537" s="13" t="n">
        <v>87</v>
      </c>
      <c r="L537" s="13" t="n">
        <v>112</v>
      </c>
      <c r="M537" s="13" t="n">
        <v>16.3</v>
      </c>
      <c r="N537" s="13" t="n">
        <v>1794</v>
      </c>
      <c r="O537" s="13" t="n">
        <v>0.93</v>
      </c>
      <c r="P537" s="13" t="n">
        <v>1674</v>
      </c>
      <c r="Q537" s="13" t="n">
        <v>185</v>
      </c>
      <c r="R537" s="13" t="n">
        <v>87</v>
      </c>
      <c r="S537" s="13" t="n">
        <v>53</v>
      </c>
      <c r="T537" s="13" t="n">
        <v>277</v>
      </c>
      <c r="U537" s="13" t="n">
        <v>38</v>
      </c>
      <c r="V537" s="13" t="n">
        <v>203</v>
      </c>
      <c r="W537" s="13" t="n">
        <v>0.726</v>
      </c>
      <c r="X537" s="13" t="n">
        <v>147</v>
      </c>
      <c r="Y537" s="13" t="n">
        <v>122</v>
      </c>
      <c r="Z537" s="13" t="n">
        <v>129</v>
      </c>
      <c r="AA537" s="13" t="n">
        <v>7</v>
      </c>
      <c r="AB537" s="13" t="n">
        <v>7.1</v>
      </c>
      <c r="AC537" s="11" t="inlineStr">
        <is>
          <t xml:space="preserve"> Resort Freeride</t>
        </is>
      </c>
      <c r="AD537" s="13" t="n"/>
      <c r="AE537" s="13" t="n"/>
      <c r="AF537" s="13" t="n"/>
      <c r="AG537" s="13" t="n"/>
    </row>
    <row r="538">
      <c r="A538" s="9" t="inlineStr">
        <is>
          <t>21/22</t>
        </is>
      </c>
      <c r="B538" s="10" t="inlineStr">
        <is>
          <t xml:space="preserve"> Faction</t>
        </is>
      </c>
      <c r="C538" s="11" t="inlineStr">
        <is>
          <t>Prodigy 1.0</t>
        </is>
      </c>
      <c r="D538" s="13" t="n">
        <v>178</v>
      </c>
      <c r="E538" s="11" t="inlineStr">
        <is>
          <t xml:space="preserve"> Unisex</t>
        </is>
      </c>
      <c r="F538" s="13" t="n">
        <v>178</v>
      </c>
      <c r="G538" s="13" t="n">
        <v>176.4</v>
      </c>
      <c r="H538" s="13" t="n">
        <v>135</v>
      </c>
      <c r="I538" s="13" t="n">
        <v>149</v>
      </c>
      <c r="J538" s="13" t="n">
        <v>120</v>
      </c>
      <c r="K538" s="13" t="n">
        <v>88</v>
      </c>
      <c r="L538" s="13" t="n">
        <v>112</v>
      </c>
      <c r="M538" s="13" t="n">
        <v>17.9</v>
      </c>
      <c r="N538" s="13" t="n">
        <v>1894</v>
      </c>
      <c r="O538" s="13" t="n">
        <v>0.92</v>
      </c>
      <c r="P538" s="13" t="n">
        <v>1751</v>
      </c>
      <c r="Q538" s="13" t="n">
        <v>201</v>
      </c>
      <c r="R538" s="13" t="n">
        <v>88</v>
      </c>
      <c r="S538" s="13" t="n">
        <v>43</v>
      </c>
      <c r="T538" s="13" t="n">
        <v>223</v>
      </c>
      <c r="U538" s="13" t="n">
        <v>36</v>
      </c>
      <c r="V538" s="13" t="n">
        <v>187</v>
      </c>
      <c r="W538" s="13" t="n">
        <v>0.836</v>
      </c>
      <c r="X538" s="13" t="n">
        <v>145</v>
      </c>
      <c r="Y538" s="13" t="n">
        <v>124</v>
      </c>
      <c r="Z538" s="13" t="n">
        <v>78</v>
      </c>
      <c r="AA538" s="13" t="n">
        <v>14</v>
      </c>
      <c r="AB538" s="13" t="n">
        <v>7.7</v>
      </c>
      <c r="AC538" s="11" t="inlineStr">
        <is>
          <t xml:space="preserve"> Resort Freeride</t>
        </is>
      </c>
      <c r="AD538" s="11" t="inlineStr">
        <is>
          <t xml:space="preserve"> Freeski</t>
        </is>
      </c>
      <c r="AE538" s="13" t="n"/>
      <c r="AF538" s="13" t="n"/>
      <c r="AG538" s="13" t="n"/>
    </row>
    <row r="539">
      <c r="A539" s="9" t="inlineStr">
        <is>
          <t>21/22</t>
        </is>
      </c>
      <c r="B539" s="10" t="inlineStr">
        <is>
          <t xml:space="preserve"> Faction</t>
        </is>
      </c>
      <c r="C539" s="11" t="inlineStr">
        <is>
          <t>Prodigy 1.0 Jr</t>
        </is>
      </c>
      <c r="D539" s="13" t="n">
        <v>145</v>
      </c>
      <c r="E539" s="11" t="inlineStr">
        <is>
          <t xml:space="preserve"> Junior</t>
        </is>
      </c>
      <c r="F539" s="13" t="n">
        <v>145</v>
      </c>
      <c r="G539" s="13" t="n">
        <v>143.7</v>
      </c>
      <c r="H539" s="13" t="n">
        <v>103</v>
      </c>
      <c r="I539" s="13" t="n">
        <v>120</v>
      </c>
      <c r="J539" s="13" t="n">
        <v>114</v>
      </c>
      <c r="K539" s="13" t="n">
        <v>83</v>
      </c>
      <c r="L539" s="13" t="n">
        <v>110</v>
      </c>
      <c r="M539" s="13" t="n">
        <v>11.8</v>
      </c>
      <c r="N539" s="13" t="n">
        <v>1178</v>
      </c>
      <c r="O539" s="13" t="n">
        <v>1.15</v>
      </c>
      <c r="P539" s="13" t="n">
        <v>1358</v>
      </c>
      <c r="Q539" s="13" t="n">
        <v>104</v>
      </c>
      <c r="R539" s="13" t="n">
        <v>36</v>
      </c>
      <c r="S539" s="13" t="n">
        <v>43</v>
      </c>
      <c r="T539" s="13" t="n">
        <v>208</v>
      </c>
      <c r="U539" s="13" t="n">
        <v>38</v>
      </c>
      <c r="V539" s="13" t="n">
        <v>201</v>
      </c>
      <c r="W539" s="13" t="n">
        <v>0.884</v>
      </c>
      <c r="X539" s="13" t="n">
        <v>122</v>
      </c>
      <c r="Y539" s="13" t="n">
        <v>112</v>
      </c>
      <c r="Z539" s="13" t="n">
        <v>86</v>
      </c>
      <c r="AA539" s="13" t="n">
        <v>8</v>
      </c>
      <c r="AB539" s="13" t="n">
        <v>3</v>
      </c>
      <c r="AC539" s="11" t="inlineStr">
        <is>
          <t xml:space="preserve"> Freeski</t>
        </is>
      </c>
      <c r="AD539" s="11" t="inlineStr">
        <is>
          <t xml:space="preserve"> Touring</t>
        </is>
      </c>
      <c r="AE539" s="13" t="n"/>
      <c r="AF539" s="13" t="n"/>
      <c r="AG539" s="13" t="n"/>
    </row>
    <row r="540">
      <c r="A540" s="9" t="inlineStr">
        <is>
          <t>21/22</t>
        </is>
      </c>
      <c r="B540" s="10" t="inlineStr">
        <is>
          <t xml:space="preserve"> Faction</t>
        </is>
      </c>
      <c r="C540" s="11" t="inlineStr">
        <is>
          <t>Prodigy 1.0 Jr</t>
        </is>
      </c>
      <c r="D540" s="13" t="n">
        <v>155</v>
      </c>
      <c r="E540" s="11" t="inlineStr">
        <is>
          <t xml:space="preserve"> Junior</t>
        </is>
      </c>
      <c r="F540" s="13" t="n">
        <v>155</v>
      </c>
      <c r="G540" s="13" t="n">
        <v>153.4</v>
      </c>
      <c r="H540" s="13" t="n">
        <v>108</v>
      </c>
      <c r="I540" s="13" t="n">
        <v>130</v>
      </c>
      <c r="J540" s="13" t="n">
        <v>114</v>
      </c>
      <c r="K540" s="13" t="n">
        <v>83</v>
      </c>
      <c r="L540" s="13" t="n">
        <v>110</v>
      </c>
      <c r="M540" s="13" t="n">
        <v>14</v>
      </c>
      <c r="N540" s="13" t="n">
        <v>1307</v>
      </c>
      <c r="O540" s="13" t="n">
        <v>1.11</v>
      </c>
      <c r="P540" s="13" t="n">
        <v>1448</v>
      </c>
      <c r="Q540" s="13" t="n">
        <v>132</v>
      </c>
      <c r="R540" s="13" t="n">
        <v>45</v>
      </c>
      <c r="S540" s="13" t="n">
        <v>46</v>
      </c>
      <c r="T540" s="13" t="n">
        <v>229</v>
      </c>
      <c r="U540" s="13" t="n">
        <v>44</v>
      </c>
      <c r="V540" s="13" t="n">
        <v>220</v>
      </c>
      <c r="W540" s="13" t="n">
        <v>0.951</v>
      </c>
      <c r="X540" s="13" t="n">
        <v>118</v>
      </c>
      <c r="Y540" s="13" t="n">
        <v>113</v>
      </c>
      <c r="Z540" s="13" t="n">
        <v>111</v>
      </c>
      <c r="AA540" s="13" t="n">
        <v>6</v>
      </c>
      <c r="AB540" s="13" t="n">
        <v>3.2</v>
      </c>
      <c r="AC540" s="11" t="inlineStr">
        <is>
          <t xml:space="preserve"> Freeski</t>
        </is>
      </c>
      <c r="AD540" s="11" t="inlineStr">
        <is>
          <t xml:space="preserve"> Touring</t>
        </is>
      </c>
      <c r="AE540" s="13" t="n"/>
      <c r="AF540" s="13" t="n"/>
      <c r="AG540" s="13" t="n"/>
    </row>
    <row r="541">
      <c r="A541" s="9" t="inlineStr">
        <is>
          <t>21/22</t>
        </is>
      </c>
      <c r="B541" s="10" t="inlineStr">
        <is>
          <t xml:space="preserve"> Faction</t>
        </is>
      </c>
      <c r="C541" s="11" t="inlineStr">
        <is>
          <t>Prodigy 1.0 X</t>
        </is>
      </c>
      <c r="D541" s="13" t="n">
        <v>158</v>
      </c>
      <c r="E541" s="11" t="inlineStr">
        <is>
          <t xml:space="preserve"> Women's</t>
        </is>
      </c>
      <c r="F541" s="13" t="n">
        <v>158</v>
      </c>
      <c r="G541" s="13" t="n">
        <v>155.9</v>
      </c>
      <c r="H541" s="13" t="n">
        <v>111</v>
      </c>
      <c r="I541" s="13" t="n">
        <v>129</v>
      </c>
      <c r="J541" s="13" t="n">
        <v>119</v>
      </c>
      <c r="K541" s="13" t="n">
        <v>87</v>
      </c>
      <c r="L541" s="13" t="n">
        <v>112</v>
      </c>
      <c r="M541" s="13" t="n">
        <v>13</v>
      </c>
      <c r="N541" s="13" t="n">
        <v>1577</v>
      </c>
      <c r="O541" s="13" t="n">
        <v>0.98</v>
      </c>
      <c r="P541" s="13" t="n">
        <v>1544</v>
      </c>
      <c r="Q541" s="13" t="n">
        <v>159</v>
      </c>
      <c r="R541" s="13" t="n">
        <v>79</v>
      </c>
      <c r="S541" s="13" t="n">
        <v>53</v>
      </c>
      <c r="T541" s="13" t="n">
        <v>259</v>
      </c>
      <c r="U541" s="13" t="n">
        <v>39</v>
      </c>
      <c r="V541" s="13" t="n">
        <v>195</v>
      </c>
      <c r="W541" s="13" t="n">
        <v>0.734</v>
      </c>
      <c r="X541" s="13" t="n">
        <v>145</v>
      </c>
      <c r="Y541" s="13" t="n">
        <v>121</v>
      </c>
      <c r="Z541" s="13" t="n">
        <v>113</v>
      </c>
      <c r="AA541" s="13" t="n">
        <v>6</v>
      </c>
      <c r="AB541" s="13" t="n">
        <v>6.8</v>
      </c>
      <c r="AC541" s="11" t="inlineStr">
        <is>
          <t xml:space="preserve"> Resort Freeride</t>
        </is>
      </c>
      <c r="AD541" s="13" t="n"/>
      <c r="AE541" s="13" t="n"/>
      <c r="AF541" s="13" t="n"/>
      <c r="AG541" s="13" t="n"/>
    </row>
    <row r="542">
      <c r="A542" s="9" t="inlineStr">
        <is>
          <t>21/22</t>
        </is>
      </c>
      <c r="B542" s="10" t="inlineStr">
        <is>
          <t xml:space="preserve"> Faction</t>
        </is>
      </c>
      <c r="C542" s="11" t="inlineStr">
        <is>
          <t>Prodigy 1.0 X</t>
        </is>
      </c>
      <c r="D542" s="13" t="n">
        <v>164</v>
      </c>
      <c r="E542" s="11" t="inlineStr">
        <is>
          <t xml:space="preserve"> Women's</t>
        </is>
      </c>
      <c r="F542" s="13" t="n">
        <v>164</v>
      </c>
      <c r="G542" s="13" t="n">
        <v>162.1</v>
      </c>
      <c r="H542" s="13" t="n">
        <v>118</v>
      </c>
      <c r="I542" s="13" t="n">
        <v>135</v>
      </c>
      <c r="J542" s="13" t="n">
        <v>119</v>
      </c>
      <c r="K542" s="13" t="n">
        <v>87</v>
      </c>
      <c r="L542" s="13" t="n">
        <v>111</v>
      </c>
      <c r="M542" s="13" t="n">
        <v>14.7</v>
      </c>
      <c r="N542" s="13" t="n">
        <v>1614</v>
      </c>
      <c r="O542" s="13" t="n">
        <v>0.99</v>
      </c>
      <c r="P542" s="13" t="n">
        <v>1604</v>
      </c>
      <c r="Q542" s="13" t="n">
        <v>153</v>
      </c>
      <c r="R542" s="13" t="n">
        <v>61</v>
      </c>
      <c r="S542" s="13" t="n">
        <v>53</v>
      </c>
      <c r="T542" s="13" t="n">
        <v>259</v>
      </c>
      <c r="U542" s="13" t="n">
        <v>37</v>
      </c>
      <c r="V542" s="13" t="n">
        <v>179</v>
      </c>
      <c r="W542" s="13" t="n">
        <v>0.697</v>
      </c>
      <c r="X542" s="13" t="n">
        <v>143</v>
      </c>
      <c r="Y542" s="13" t="n">
        <v>129</v>
      </c>
      <c r="Z542" s="13" t="n">
        <v>117</v>
      </c>
      <c r="AA542" s="13" t="n">
        <v>9</v>
      </c>
      <c r="AB542" s="13" t="n">
        <v>7.2</v>
      </c>
      <c r="AC542" s="11" t="inlineStr">
        <is>
          <t xml:space="preserve"> Resort Freeride</t>
        </is>
      </c>
      <c r="AD542" s="13" t="n"/>
      <c r="AE542" s="13" t="n"/>
      <c r="AF542" s="13" t="n"/>
      <c r="AG542" s="13" t="n"/>
    </row>
    <row r="543">
      <c r="A543" s="9" t="inlineStr">
        <is>
          <t>21/22</t>
        </is>
      </c>
      <c r="B543" s="10" t="inlineStr">
        <is>
          <t xml:space="preserve"> Faction</t>
        </is>
      </c>
      <c r="C543" s="11" t="inlineStr">
        <is>
          <t>Prodigy 2.0</t>
        </is>
      </c>
      <c r="D543" s="13" t="n">
        <v>171</v>
      </c>
      <c r="E543" s="11" t="inlineStr">
        <is>
          <t xml:space="preserve"> Unisex</t>
        </is>
      </c>
      <c r="F543" s="13" t="n">
        <v>171</v>
      </c>
      <c r="G543" s="13" t="n">
        <v>169.3</v>
      </c>
      <c r="H543" s="13" t="n">
        <v>114</v>
      </c>
      <c r="I543" s="13" t="n">
        <v>139</v>
      </c>
      <c r="J543" s="13" t="n">
        <v>126</v>
      </c>
      <c r="K543" s="13" t="n">
        <v>97</v>
      </c>
      <c r="L543" s="13" t="n">
        <v>119</v>
      </c>
      <c r="M543" s="13" t="n">
        <v>17.3</v>
      </c>
      <c r="N543" s="13" t="n">
        <v>1904</v>
      </c>
      <c r="O543" s="13" t="n">
        <v>0.96</v>
      </c>
      <c r="P543" s="13" t="n">
        <v>1824</v>
      </c>
      <c r="Q543" s="13" t="n">
        <v>200</v>
      </c>
      <c r="R543" s="13" t="n">
        <v>90</v>
      </c>
      <c r="S543" s="13" t="n">
        <v>52</v>
      </c>
      <c r="T543" s="13" t="n">
        <v>304</v>
      </c>
      <c r="U543" s="13" t="n">
        <v>43</v>
      </c>
      <c r="V543" s="13" t="n">
        <v>250</v>
      </c>
      <c r="W543" s="13" t="n">
        <v>0.831</v>
      </c>
      <c r="X543" s="13" t="n">
        <v>162</v>
      </c>
      <c r="Y543" s="13" t="n">
        <v>144</v>
      </c>
      <c r="Z543" s="13" t="n">
        <v>142</v>
      </c>
      <c r="AA543" s="13" t="n">
        <v>5</v>
      </c>
      <c r="AB543" s="13" t="n">
        <v>8.1</v>
      </c>
      <c r="AC543" s="11" t="inlineStr">
        <is>
          <t xml:space="preserve"> Resort Freeride</t>
        </is>
      </c>
      <c r="AD543" s="11" t="inlineStr">
        <is>
          <t xml:space="preserve"> Freeski</t>
        </is>
      </c>
      <c r="AE543" s="13" t="n"/>
      <c r="AF543" s="13" t="n"/>
      <c r="AG543" s="13" t="n"/>
    </row>
    <row r="544">
      <c r="A544" s="9" t="inlineStr">
        <is>
          <t>21/22</t>
        </is>
      </c>
      <c r="B544" s="10" t="inlineStr">
        <is>
          <t xml:space="preserve"> Faction</t>
        </is>
      </c>
      <c r="C544" s="11" t="inlineStr">
        <is>
          <t>Prodigy 2.0</t>
        </is>
      </c>
      <c r="D544" s="13" t="n">
        <v>177</v>
      </c>
      <c r="E544" s="11" t="inlineStr">
        <is>
          <t xml:space="preserve"> Unisex</t>
        </is>
      </c>
      <c r="F544" s="13" t="n">
        <v>177</v>
      </c>
      <c r="G544" s="13" t="n">
        <v>175.3</v>
      </c>
      <c r="H544" s="13" t="n">
        <v>126</v>
      </c>
      <c r="I544" s="13" t="n">
        <v>145</v>
      </c>
      <c r="J544" s="13" t="n">
        <v>127</v>
      </c>
      <c r="K544" s="13" t="n">
        <v>97</v>
      </c>
      <c r="L544" s="13" t="n">
        <v>119</v>
      </c>
      <c r="M544" s="13" t="n">
        <v>18.7</v>
      </c>
      <c r="N544" s="13" t="n">
        <v>1891</v>
      </c>
      <c r="O544" s="13" t="n">
        <v>1</v>
      </c>
      <c r="P544" s="13" t="n">
        <v>1887</v>
      </c>
      <c r="Q544" s="13" t="n">
        <v>219</v>
      </c>
      <c r="R544" s="13" t="n">
        <v>99</v>
      </c>
      <c r="S544" s="13" t="n">
        <v>51</v>
      </c>
      <c r="T544" s="13" t="n">
        <v>272</v>
      </c>
      <c r="U544" s="13" t="n">
        <v>43</v>
      </c>
      <c r="V544" s="13" t="n">
        <v>225</v>
      </c>
      <c r="W544" s="13" t="n">
        <v>0.829</v>
      </c>
      <c r="X544" s="13" t="n">
        <v>167</v>
      </c>
      <c r="Y544" s="13" t="n">
        <v>138</v>
      </c>
      <c r="Z544" s="13" t="n">
        <v>105</v>
      </c>
      <c r="AA544" s="13" t="n">
        <v>8</v>
      </c>
      <c r="AB544" s="13" t="n">
        <v>7.6</v>
      </c>
      <c r="AC544" s="11" t="inlineStr">
        <is>
          <t xml:space="preserve"> Resort Freeride</t>
        </is>
      </c>
      <c r="AD544" s="11" t="inlineStr">
        <is>
          <t xml:space="preserve"> Freeski</t>
        </is>
      </c>
      <c r="AE544" s="13" t="n"/>
      <c r="AF544" s="13" t="n"/>
      <c r="AG544" s="13" t="n"/>
    </row>
    <row r="545">
      <c r="A545" s="9" t="inlineStr">
        <is>
          <t>21/22</t>
        </is>
      </c>
      <c r="B545" s="10" t="inlineStr">
        <is>
          <t xml:space="preserve"> Faction</t>
        </is>
      </c>
      <c r="C545" s="11" t="inlineStr">
        <is>
          <t>Prodigy 2.0</t>
        </is>
      </c>
      <c r="D545" s="13" t="n">
        <v>183</v>
      </c>
      <c r="E545" s="11" t="inlineStr">
        <is>
          <t xml:space="preserve"> Unisex</t>
        </is>
      </c>
      <c r="F545" s="13" t="n">
        <v>183</v>
      </c>
      <c r="G545" s="13" t="n">
        <v>181.4</v>
      </c>
      <c r="H545" s="13" t="n">
        <v>128</v>
      </c>
      <c r="I545" s="13" t="n">
        <v>150</v>
      </c>
      <c r="J545" s="13" t="n">
        <v>127</v>
      </c>
      <c r="K545" s="13" t="n">
        <v>97</v>
      </c>
      <c r="L545" s="13" t="n">
        <v>119</v>
      </c>
      <c r="M545" s="13" t="n">
        <v>20.1</v>
      </c>
      <c r="N545" s="13" t="n">
        <v>2125</v>
      </c>
      <c r="O545" s="13" t="n">
        <v>0.92</v>
      </c>
      <c r="P545" s="13" t="n">
        <v>1955</v>
      </c>
      <c r="Q545" s="13" t="n">
        <v>253</v>
      </c>
      <c r="R545" s="13" t="n">
        <v>118</v>
      </c>
      <c r="S545" s="13" t="n">
        <v>51</v>
      </c>
      <c r="T545" s="13" t="n">
        <v>282</v>
      </c>
      <c r="U545" s="13" t="n">
        <v>45</v>
      </c>
      <c r="V545" s="13" t="n">
        <v>254</v>
      </c>
      <c r="W545" s="13" t="n">
        <v>0.889</v>
      </c>
      <c r="X545" s="13" t="n">
        <v>169</v>
      </c>
      <c r="Y545" s="13" t="n">
        <v>146</v>
      </c>
      <c r="Z545" s="13" t="n">
        <v>113</v>
      </c>
      <c r="AA545" s="13" t="n">
        <v>6</v>
      </c>
      <c r="AB545" s="13" t="n">
        <v>8.4</v>
      </c>
      <c r="AC545" s="11" t="inlineStr">
        <is>
          <t xml:space="preserve"> Freeski</t>
        </is>
      </c>
      <c r="AD545" s="13" t="n"/>
      <c r="AE545" s="13" t="n"/>
      <c r="AF545" s="13" t="n"/>
      <c r="AG545" s="13" t="n"/>
    </row>
    <row r="546">
      <c r="A546" s="9" t="inlineStr">
        <is>
          <t>21/22</t>
        </is>
      </c>
      <c r="B546" s="10" t="inlineStr">
        <is>
          <t xml:space="preserve"> Faction</t>
        </is>
      </c>
      <c r="C546" s="11" t="inlineStr">
        <is>
          <t>Prodigy 2.0 Jr</t>
        </is>
      </c>
      <c r="D546" s="13" t="n">
        <v>149</v>
      </c>
      <c r="E546" s="11" t="inlineStr">
        <is>
          <t xml:space="preserve"> Junior</t>
        </is>
      </c>
      <c r="F546" s="13" t="n">
        <v>149</v>
      </c>
      <c r="G546" s="13" t="n">
        <v>147.3</v>
      </c>
      <c r="H546" s="13" t="n">
        <v>104</v>
      </c>
      <c r="I546" s="13" t="n">
        <v>123</v>
      </c>
      <c r="J546" s="13" t="n">
        <v>126</v>
      </c>
      <c r="K546" s="13" t="n">
        <v>95</v>
      </c>
      <c r="L546" s="13" t="n">
        <v>122</v>
      </c>
      <c r="M546" s="13" t="n">
        <v>11.8</v>
      </c>
      <c r="N546" s="13" t="n">
        <v>1277</v>
      </c>
      <c r="O546" s="13" t="n">
        <v>1.23</v>
      </c>
      <c r="P546" s="13" t="n">
        <v>1567</v>
      </c>
      <c r="Q546" s="13" t="n">
        <v>105</v>
      </c>
      <c r="R546" s="13" t="n">
        <v>37</v>
      </c>
      <c r="S546" s="13" t="n">
        <v>51</v>
      </c>
      <c r="T546" s="13" t="n">
        <v>221</v>
      </c>
      <c r="U546" s="13" t="n">
        <v>44</v>
      </c>
      <c r="V546" s="13" t="n">
        <v>208</v>
      </c>
      <c r="W546" s="13" t="n">
        <v>0.863</v>
      </c>
      <c r="X546" s="13" t="n">
        <v>124</v>
      </c>
      <c r="Y546" s="13" t="n">
        <v>119</v>
      </c>
      <c r="Z546" s="13" t="n">
        <v>97</v>
      </c>
      <c r="AA546" s="13" t="n">
        <v>7</v>
      </c>
      <c r="AB546" s="13" t="n">
        <v>3</v>
      </c>
      <c r="AC546" s="11" t="inlineStr">
        <is>
          <t xml:space="preserve"> Freeski</t>
        </is>
      </c>
      <c r="AD546" s="11" t="inlineStr">
        <is>
          <t xml:space="preserve"> Touring</t>
        </is>
      </c>
      <c r="AE546" s="13" t="n"/>
      <c r="AF546" s="13" t="n"/>
      <c r="AG546" s="13" t="n"/>
    </row>
    <row r="547">
      <c r="A547" s="9" t="inlineStr">
        <is>
          <t>21/22</t>
        </is>
      </c>
      <c r="B547" s="10" t="inlineStr">
        <is>
          <t xml:space="preserve"> Faction</t>
        </is>
      </c>
      <c r="C547" s="11" t="inlineStr">
        <is>
          <t>Prodigy 2.0 Jr</t>
        </is>
      </c>
      <c r="D547" s="13" t="n">
        <v>159</v>
      </c>
      <c r="E547" s="11" t="inlineStr">
        <is>
          <t xml:space="preserve"> Junior</t>
        </is>
      </c>
      <c r="F547" s="13" t="n">
        <v>159</v>
      </c>
      <c r="G547" s="13" t="n">
        <v>157.1</v>
      </c>
      <c r="H547" s="13" t="n">
        <v>113</v>
      </c>
      <c r="I547" s="13" t="n">
        <v>133</v>
      </c>
      <c r="J547" s="13" t="n">
        <v>128</v>
      </c>
      <c r="K547" s="13" t="n">
        <v>97</v>
      </c>
      <c r="L547" s="13" t="n">
        <v>124</v>
      </c>
      <c r="M547" s="13" t="n">
        <v>13.9</v>
      </c>
      <c r="N547" s="13" t="n">
        <v>1460</v>
      </c>
      <c r="O547" s="13" t="n">
        <v>1.16</v>
      </c>
      <c r="P547" s="13" t="n">
        <v>1699</v>
      </c>
      <c r="Q547" s="13" t="n">
        <v>131</v>
      </c>
      <c r="R547" s="13" t="n">
        <v>45</v>
      </c>
      <c r="S547" s="13" t="n">
        <v>52</v>
      </c>
      <c r="T547" s="13" t="n">
        <v>227</v>
      </c>
      <c r="U547" s="13" t="n">
        <v>45</v>
      </c>
      <c r="V547" s="13" t="n">
        <v>211</v>
      </c>
      <c r="W547" s="13" t="n">
        <v>0.874</v>
      </c>
      <c r="X547" s="13" t="n">
        <v>128</v>
      </c>
      <c r="Y547" s="13" t="n">
        <v>113</v>
      </c>
      <c r="Z547" s="13" t="n">
        <v>99</v>
      </c>
      <c r="AA547" s="13" t="n">
        <v>8</v>
      </c>
      <c r="AB547" s="13" t="n">
        <v>3.4</v>
      </c>
      <c r="AC547" s="11" t="inlineStr">
        <is>
          <t xml:space="preserve"> Freeski</t>
        </is>
      </c>
      <c r="AD547" s="11" t="inlineStr">
        <is>
          <t xml:space="preserve"> Touring</t>
        </is>
      </c>
      <c r="AE547" s="13" t="n"/>
      <c r="AF547" s="13" t="n"/>
      <c r="AG547" s="13" t="n"/>
    </row>
    <row r="548">
      <c r="A548" s="9" t="inlineStr">
        <is>
          <t>21/22</t>
        </is>
      </c>
      <c r="B548" s="10" t="inlineStr">
        <is>
          <t xml:space="preserve"> Faction</t>
        </is>
      </c>
      <c r="C548" s="11" t="inlineStr">
        <is>
          <t>Prodigy 3.0</t>
        </is>
      </c>
      <c r="D548" s="13" t="n">
        <v>172</v>
      </c>
      <c r="E548" s="11" t="inlineStr">
        <is>
          <t xml:space="preserve"> Unisex</t>
        </is>
      </c>
      <c r="F548" s="13" t="n">
        <v>172</v>
      </c>
      <c r="G548" s="13" t="n">
        <v>170.5</v>
      </c>
      <c r="H548" s="13" t="n">
        <v>118</v>
      </c>
      <c r="I548" s="13" t="n">
        <v>138</v>
      </c>
      <c r="J548" s="13" t="n">
        <v>132</v>
      </c>
      <c r="K548" s="13" t="n">
        <v>105</v>
      </c>
      <c r="L548" s="13" t="n">
        <v>125</v>
      </c>
      <c r="M548" s="13" t="n">
        <v>17.8</v>
      </c>
      <c r="N548" s="13" t="n">
        <v>1914</v>
      </c>
      <c r="O548" s="13" t="n">
        <v>1.02</v>
      </c>
      <c r="P548" s="13" t="n">
        <v>1960</v>
      </c>
      <c r="Q548" s="13" t="n">
        <v>152</v>
      </c>
      <c r="R548" s="13" t="n">
        <v>80</v>
      </c>
      <c r="S548" s="13" t="n">
        <v>51</v>
      </c>
      <c r="T548" s="13" t="n">
        <v>289</v>
      </c>
      <c r="U548" s="13" t="n">
        <v>43</v>
      </c>
      <c r="V548" s="13" t="n">
        <v>237</v>
      </c>
      <c r="W548" s="13" t="n">
        <v>0.843</v>
      </c>
      <c r="X548" s="13" t="n">
        <v>183</v>
      </c>
      <c r="Y548" s="13" t="n">
        <v>145</v>
      </c>
      <c r="Z548" s="13" t="n">
        <v>107</v>
      </c>
      <c r="AA548" s="13" t="n">
        <v>7</v>
      </c>
      <c r="AB548" s="13" t="n">
        <v>8.300000000000001</v>
      </c>
      <c r="AC548" s="11" t="inlineStr">
        <is>
          <t xml:space="preserve"> Freeski</t>
        </is>
      </c>
      <c r="AD548" s="11" t="inlineStr">
        <is>
          <t xml:space="preserve"> Powder</t>
        </is>
      </c>
      <c r="AE548" s="13" t="n"/>
      <c r="AF548" s="13" t="n"/>
      <c r="AG548" s="13" t="n"/>
    </row>
    <row r="549">
      <c r="A549" s="9" t="inlineStr">
        <is>
          <t>21/22</t>
        </is>
      </c>
      <c r="B549" s="10" t="inlineStr">
        <is>
          <t xml:space="preserve"> Faction</t>
        </is>
      </c>
      <c r="C549" s="11" t="inlineStr">
        <is>
          <t>Prodigy 3.0</t>
        </is>
      </c>
      <c r="D549" s="13" t="n">
        <v>178</v>
      </c>
      <c r="E549" s="11" t="inlineStr">
        <is>
          <t xml:space="preserve"> Unisex</t>
        </is>
      </c>
      <c r="F549" s="13" t="n">
        <v>178</v>
      </c>
      <c r="G549" s="13" t="n">
        <v>176.5</v>
      </c>
      <c r="H549" s="13" t="n">
        <v>122</v>
      </c>
      <c r="I549" s="13" t="n">
        <v>142</v>
      </c>
      <c r="J549" s="13" t="n">
        <v>132</v>
      </c>
      <c r="K549" s="13" t="n">
        <v>105</v>
      </c>
      <c r="L549" s="13" t="n">
        <v>125</v>
      </c>
      <c r="M549" s="13" t="n">
        <v>19.4</v>
      </c>
      <c r="N549" s="13" t="n">
        <v>2049</v>
      </c>
      <c r="O549" s="13" t="n">
        <v>0.99</v>
      </c>
      <c r="P549" s="13" t="n">
        <v>2028</v>
      </c>
      <c r="Q549" s="13" t="n">
        <v>211</v>
      </c>
      <c r="R549" s="13" t="n">
        <v>99</v>
      </c>
      <c r="S549" s="13" t="n">
        <v>52</v>
      </c>
      <c r="T549" s="13" t="n">
        <v>290</v>
      </c>
      <c r="U549" s="13" t="n">
        <v>43</v>
      </c>
      <c r="V549" s="13" t="n">
        <v>252</v>
      </c>
      <c r="W549" s="13" t="n">
        <v>0.833</v>
      </c>
      <c r="X549" s="13" t="n">
        <v>180</v>
      </c>
      <c r="Y549" s="13" t="n">
        <v>165</v>
      </c>
      <c r="Z549" s="13" t="n">
        <v>111</v>
      </c>
      <c r="AA549" s="13" t="n">
        <v>9</v>
      </c>
      <c r="AB549" s="13" t="n">
        <v>9</v>
      </c>
      <c r="AC549" s="11" t="inlineStr">
        <is>
          <t xml:space="preserve"> Freeski</t>
        </is>
      </c>
      <c r="AD549" s="11" t="inlineStr">
        <is>
          <t xml:space="preserve"> Powder</t>
        </is>
      </c>
      <c r="AE549" s="13" t="n"/>
      <c r="AF549" s="13" t="n"/>
      <c r="AG549" s="13" t="n"/>
    </row>
    <row r="550">
      <c r="A550" s="9" t="inlineStr">
        <is>
          <t>21/22</t>
        </is>
      </c>
      <c r="B550" s="10" t="inlineStr">
        <is>
          <t xml:space="preserve"> Faction</t>
        </is>
      </c>
      <c r="C550" s="11" t="inlineStr">
        <is>
          <t>Prodigy 3.0</t>
        </is>
      </c>
      <c r="D550" s="13" t="n">
        <v>184</v>
      </c>
      <c r="E550" s="11" t="inlineStr">
        <is>
          <t xml:space="preserve"> Unisex</t>
        </is>
      </c>
      <c r="F550" s="13" t="n">
        <v>184</v>
      </c>
      <c r="G550" s="13" t="n">
        <v>182.6</v>
      </c>
      <c r="H550" s="13" t="n">
        <v>124</v>
      </c>
      <c r="I550" s="13" t="n">
        <v>147</v>
      </c>
      <c r="J550" s="13" t="n">
        <v>132</v>
      </c>
      <c r="K550" s="13" t="n">
        <v>105</v>
      </c>
      <c r="L550" s="13" t="n">
        <v>125</v>
      </c>
      <c r="M550" s="13" t="n">
        <v>21</v>
      </c>
      <c r="N550" s="13" t="n">
        <v>2000</v>
      </c>
      <c r="O550" s="13" t="n">
        <v>1.05</v>
      </c>
      <c r="P550" s="13" t="n">
        <v>2096</v>
      </c>
      <c r="Q550" s="13" t="n">
        <v>206</v>
      </c>
      <c r="R550" s="13" t="n">
        <v>97</v>
      </c>
      <c r="S550" s="13" t="n">
        <v>51</v>
      </c>
      <c r="T550" s="13" t="n">
        <v>328</v>
      </c>
      <c r="U550" s="13" t="n">
        <v>43</v>
      </c>
      <c r="V550" s="13" t="n">
        <v>261</v>
      </c>
      <c r="W550" s="13" t="n">
        <v>0.846</v>
      </c>
      <c r="X550" s="13" t="n">
        <v>192</v>
      </c>
      <c r="Y550" s="13" t="n">
        <v>164</v>
      </c>
      <c r="Z550" s="13" t="n">
        <v>137</v>
      </c>
      <c r="AA550" s="13" t="n">
        <v>7</v>
      </c>
      <c r="AB550" s="13" t="n">
        <v>9.300000000000001</v>
      </c>
      <c r="AC550" s="11" t="inlineStr">
        <is>
          <t xml:space="preserve"> Freeski</t>
        </is>
      </c>
      <c r="AD550" s="11" t="inlineStr">
        <is>
          <t xml:space="preserve"> Powder</t>
        </is>
      </c>
      <c r="AE550" s="13" t="n"/>
      <c r="AF550" s="13" t="n"/>
      <c r="AG550" s="13" t="n"/>
    </row>
    <row r="551">
      <c r="A551" s="9" t="inlineStr">
        <is>
          <t>21/22</t>
        </is>
      </c>
      <c r="B551" s="10" t="inlineStr">
        <is>
          <t xml:space="preserve"> Ferreol</t>
        </is>
      </c>
      <c r="C551" s="11" t="inlineStr">
        <is>
          <t>Explo 96</t>
        </is>
      </c>
      <c r="D551" s="13" t="n">
        <v>162</v>
      </c>
      <c r="E551" s="11" t="inlineStr">
        <is>
          <t xml:space="preserve"> Unisex</t>
        </is>
      </c>
      <c r="F551" s="13" t="n">
        <v>162</v>
      </c>
      <c r="G551" s="13" t="n">
        <v>160.5</v>
      </c>
      <c r="H551" s="13" t="n">
        <v>115</v>
      </c>
      <c r="I551" s="13" t="n">
        <v>135</v>
      </c>
      <c r="J551" s="13" t="n">
        <v>129</v>
      </c>
      <c r="K551" s="13" t="n">
        <v>96</v>
      </c>
      <c r="L551" s="13" t="n">
        <v>118</v>
      </c>
      <c r="M551" s="13" t="n">
        <v>14.3</v>
      </c>
      <c r="N551" s="13" t="n">
        <v>1565</v>
      </c>
      <c r="O551" s="13" t="n">
        <v>1.11</v>
      </c>
      <c r="P551" s="13" t="n">
        <v>1734</v>
      </c>
      <c r="Q551" s="13" t="n">
        <v>197</v>
      </c>
      <c r="R551" s="13" t="n">
        <v>89</v>
      </c>
      <c r="S551" s="13" t="n">
        <v>59</v>
      </c>
      <c r="T551" s="13" t="n">
        <v>270</v>
      </c>
      <c r="U551" s="13" t="n">
        <v>27</v>
      </c>
      <c r="V551" s="13" t="n">
        <v>185</v>
      </c>
      <c r="W551" s="13" t="n">
        <v>0.464</v>
      </c>
      <c r="X551" s="13" t="n">
        <v>132</v>
      </c>
      <c r="Y551" s="13" t="n">
        <v>119</v>
      </c>
      <c r="Z551" s="13" t="n">
        <v>138</v>
      </c>
      <c r="AA551" s="13" t="n">
        <v>11</v>
      </c>
      <c r="AB551" s="13" t="n">
        <v>7.8</v>
      </c>
      <c r="AC551" s="11" t="inlineStr">
        <is>
          <t xml:space="preserve"> Resort Freeride</t>
        </is>
      </c>
      <c r="AD551" s="11" t="inlineStr">
        <is>
          <t xml:space="preserve"> Touring</t>
        </is>
      </c>
      <c r="AE551" s="13" t="n"/>
      <c r="AF551" s="13" t="n"/>
      <c r="AG551" s="13" t="n"/>
    </row>
    <row r="552">
      <c r="A552" s="9" t="inlineStr">
        <is>
          <t>21/22</t>
        </is>
      </c>
      <c r="B552" s="10" t="inlineStr">
        <is>
          <t xml:space="preserve"> Ferreol</t>
        </is>
      </c>
      <c r="C552" s="11" t="inlineStr">
        <is>
          <t>Explo 96</t>
        </is>
      </c>
      <c r="D552" s="13" t="n">
        <v>172</v>
      </c>
      <c r="E552" s="11" t="inlineStr">
        <is>
          <t xml:space="preserve"> Unisex</t>
        </is>
      </c>
      <c r="F552" s="13" t="n">
        <v>172</v>
      </c>
      <c r="G552" s="13" t="n">
        <v>170.1</v>
      </c>
      <c r="H552" s="13" t="n">
        <v>123</v>
      </c>
      <c r="I552" s="13" t="n">
        <v>145</v>
      </c>
      <c r="J552" s="13" t="n">
        <v>129</v>
      </c>
      <c r="K552" s="13" t="n">
        <v>96</v>
      </c>
      <c r="L552" s="13" t="n">
        <v>119</v>
      </c>
      <c r="M552" s="13" t="n">
        <v>15.4</v>
      </c>
      <c r="N552" s="13" t="n">
        <v>1584</v>
      </c>
      <c r="O552" s="13" t="n">
        <v>1.16</v>
      </c>
      <c r="P552" s="13" t="n">
        <v>1844</v>
      </c>
      <c r="Q552" s="13" t="n">
        <v>184</v>
      </c>
      <c r="R552" s="13" t="n">
        <v>87</v>
      </c>
      <c r="S552" s="13" t="n">
        <v>60</v>
      </c>
      <c r="T552" s="13" t="n">
        <v>275</v>
      </c>
      <c r="U552" s="13" t="n">
        <v>29</v>
      </c>
      <c r="V552" s="13" t="n">
        <v>195</v>
      </c>
      <c r="W552" s="13" t="n">
        <v>0.485</v>
      </c>
      <c r="X552" s="13" t="n">
        <v>136</v>
      </c>
      <c r="Y552" s="13" t="n">
        <v>120</v>
      </c>
      <c r="Z552" s="13" t="n">
        <v>139</v>
      </c>
      <c r="AA552" s="13" t="n">
        <v>9</v>
      </c>
      <c r="AB552" s="13" t="n">
        <v>8</v>
      </c>
      <c r="AC552" s="11" t="inlineStr">
        <is>
          <t xml:space="preserve"> Resort Freeride</t>
        </is>
      </c>
      <c r="AD552" s="11" t="inlineStr">
        <is>
          <t xml:space="preserve"> Touring</t>
        </is>
      </c>
      <c r="AE552" s="13" t="n"/>
      <c r="AF552" s="13" t="n"/>
      <c r="AG552" s="13" t="n"/>
    </row>
    <row r="553">
      <c r="A553" s="9" t="inlineStr">
        <is>
          <t>21/22</t>
        </is>
      </c>
      <c r="B553" s="10" t="inlineStr">
        <is>
          <t xml:space="preserve"> Ferreol</t>
        </is>
      </c>
      <c r="C553" s="11" t="inlineStr">
        <is>
          <t>Explo 96</t>
        </is>
      </c>
      <c r="D553" s="13" t="n">
        <v>182</v>
      </c>
      <c r="E553" s="11" t="inlineStr">
        <is>
          <t xml:space="preserve"> Unisex</t>
        </is>
      </c>
      <c r="F553" s="13" t="n">
        <v>182</v>
      </c>
      <c r="G553" s="13" t="n">
        <v>179.8</v>
      </c>
      <c r="H553" s="13" t="n">
        <v>134</v>
      </c>
      <c r="I553" s="13" t="n">
        <v>152</v>
      </c>
      <c r="J553" s="13" t="n">
        <v>130</v>
      </c>
      <c r="K553" s="13" t="n">
        <v>97</v>
      </c>
      <c r="L553" s="13" t="n">
        <v>120</v>
      </c>
      <c r="M553" s="13" t="n">
        <v>17</v>
      </c>
      <c r="N553" s="13" t="n">
        <v>1714</v>
      </c>
      <c r="O553" s="13" t="n">
        <v>1.15</v>
      </c>
      <c r="P553" s="13" t="n">
        <v>1972</v>
      </c>
      <c r="Q553" s="13" t="n">
        <v>195</v>
      </c>
      <c r="R553" s="13" t="n">
        <v>90</v>
      </c>
      <c r="S553" s="13" t="n">
        <v>56</v>
      </c>
      <c r="T553" s="13" t="n">
        <v>266</v>
      </c>
      <c r="U553" s="13" t="n">
        <v>28</v>
      </c>
      <c r="V553" s="13" t="n">
        <v>187</v>
      </c>
      <c r="W553" s="13" t="n">
        <v>0.501</v>
      </c>
      <c r="X553" s="13" t="n">
        <v>160</v>
      </c>
      <c r="Y553" s="13" t="n">
        <v>117</v>
      </c>
      <c r="Z553" s="13" t="n">
        <v>106</v>
      </c>
      <c r="AA553" s="13" t="n">
        <v>11</v>
      </c>
      <c r="AB553" s="13" t="n">
        <v>8</v>
      </c>
      <c r="AC553" s="11" t="inlineStr">
        <is>
          <t xml:space="preserve"> Resort Freeride</t>
        </is>
      </c>
      <c r="AD553" s="11" t="inlineStr">
        <is>
          <t xml:space="preserve"> Touring</t>
        </is>
      </c>
      <c r="AE553" s="13" t="n"/>
      <c r="AF553" s="13" t="n"/>
      <c r="AG553" s="13" t="n"/>
    </row>
    <row r="554">
      <c r="A554" s="9" t="inlineStr">
        <is>
          <t>21/22</t>
        </is>
      </c>
      <c r="B554" s="10" t="inlineStr">
        <is>
          <t xml:space="preserve"> Ferreol</t>
        </is>
      </c>
      <c r="C554" s="11" t="inlineStr">
        <is>
          <t>Pionnier 104</t>
        </is>
      </c>
      <c r="D554" s="13" t="n">
        <v>164</v>
      </c>
      <c r="E554" s="11" t="inlineStr">
        <is>
          <t xml:space="preserve"> Unisex</t>
        </is>
      </c>
      <c r="F554" s="13" t="n">
        <v>164</v>
      </c>
      <c r="G554" s="13" t="n">
        <v>164.8</v>
      </c>
      <c r="H554" s="13" t="n">
        <v>110</v>
      </c>
      <c r="I554" s="13" t="n">
        <v>131</v>
      </c>
      <c r="J554" s="13" t="n">
        <v>132</v>
      </c>
      <c r="K554" s="13" t="n">
        <v>103</v>
      </c>
      <c r="L554" s="13" t="n">
        <v>124</v>
      </c>
      <c r="M554" s="13" t="n">
        <v>14.2</v>
      </c>
      <c r="N554" s="13" t="n">
        <v>1634</v>
      </c>
      <c r="O554" s="13" t="n">
        <v>1.15</v>
      </c>
      <c r="P554" s="13" t="n">
        <v>1876</v>
      </c>
      <c r="Q554" s="13" t="n">
        <v>194</v>
      </c>
      <c r="R554" s="13" t="n">
        <v>73</v>
      </c>
      <c r="S554" s="13" t="n">
        <v>46</v>
      </c>
      <c r="T554" s="13" t="n">
        <v>324</v>
      </c>
      <c r="U554" s="13" t="n">
        <v>27</v>
      </c>
      <c r="V554" s="13" t="n">
        <v>222</v>
      </c>
      <c r="W554" s="13" t="n">
        <v>0.585</v>
      </c>
      <c r="X554" s="13" t="n">
        <v>227</v>
      </c>
      <c r="Y554" s="13" t="n">
        <v>107</v>
      </c>
      <c r="Z554" s="13" t="n">
        <v>97</v>
      </c>
      <c r="AA554" s="13" t="n">
        <v>10</v>
      </c>
      <c r="AB554" s="13" t="n">
        <v>7.9</v>
      </c>
      <c r="AC554" s="11" t="inlineStr">
        <is>
          <t xml:space="preserve"> Resort Freeride</t>
        </is>
      </c>
      <c r="AD554" s="11" t="inlineStr">
        <is>
          <t xml:space="preserve"> Powder</t>
        </is>
      </c>
      <c r="AE554" s="11" t="inlineStr">
        <is>
          <t xml:space="preserve"> Touring</t>
        </is>
      </c>
      <c r="AF554" s="13" t="n"/>
      <c r="AG554" s="13" t="n"/>
    </row>
    <row r="555">
      <c r="A555" s="9" t="inlineStr">
        <is>
          <t>21/22</t>
        </is>
      </c>
      <c r="B555" s="10" t="inlineStr">
        <is>
          <t xml:space="preserve"> Ferreol</t>
        </is>
      </c>
      <c r="C555" s="11" t="inlineStr">
        <is>
          <t>Pionnier 104</t>
        </is>
      </c>
      <c r="D555" s="13" t="n">
        <v>172</v>
      </c>
      <c r="E555" s="11" t="inlineStr">
        <is>
          <t xml:space="preserve"> Unisex</t>
        </is>
      </c>
      <c r="F555" s="13" t="n">
        <v>172</v>
      </c>
      <c r="G555" s="13" t="n">
        <v>172.7</v>
      </c>
      <c r="H555" s="13" t="n">
        <v>118</v>
      </c>
      <c r="I555" s="13" t="n">
        <v>136</v>
      </c>
      <c r="J555" s="13" t="n">
        <v>133</v>
      </c>
      <c r="K555" s="13" t="n">
        <v>103</v>
      </c>
      <c r="L555" s="13" t="n">
        <v>125</v>
      </c>
      <c r="M555" s="13" t="n">
        <v>14.8</v>
      </c>
      <c r="N555" s="13" t="n">
        <v>1660</v>
      </c>
      <c r="O555" s="13" t="n">
        <v>1.19</v>
      </c>
      <c r="P555" s="13" t="n">
        <v>1973</v>
      </c>
      <c r="Q555" s="13" t="n">
        <v>201</v>
      </c>
      <c r="R555" s="13" t="n">
        <v>84</v>
      </c>
      <c r="S555" s="13" t="n">
        <v>46</v>
      </c>
      <c r="T555" s="13" t="n">
        <v>328</v>
      </c>
      <c r="U555" s="13" t="n">
        <v>27</v>
      </c>
      <c r="V555" s="13" t="n">
        <v>220</v>
      </c>
      <c r="W555" s="13" t="n">
        <v>0.572</v>
      </c>
      <c r="X555" s="13" t="n">
        <v>250</v>
      </c>
      <c r="Y555" s="13" t="n">
        <v>116</v>
      </c>
      <c r="Z555" s="13" t="n">
        <v>78</v>
      </c>
      <c r="AA555" s="13" t="n">
        <v>10</v>
      </c>
      <c r="AB555" s="13" t="n">
        <v>9.5</v>
      </c>
      <c r="AC555" s="11" t="inlineStr">
        <is>
          <t xml:space="preserve"> Resort Freeride</t>
        </is>
      </c>
      <c r="AD555" s="11" t="inlineStr">
        <is>
          <t xml:space="preserve"> Powder</t>
        </is>
      </c>
      <c r="AE555" s="11" t="inlineStr">
        <is>
          <t xml:space="preserve"> Touring</t>
        </is>
      </c>
      <c r="AF555" s="13" t="n"/>
      <c r="AG555" s="13" t="n"/>
    </row>
    <row r="556">
      <c r="A556" s="9" t="inlineStr">
        <is>
          <t>21/22</t>
        </is>
      </c>
      <c r="B556" s="10" t="inlineStr">
        <is>
          <t xml:space="preserve"> Ferreol</t>
        </is>
      </c>
      <c r="C556" s="11" t="inlineStr">
        <is>
          <t>Pionnier 104</t>
        </is>
      </c>
      <c r="D556" s="13" t="n">
        <v>180</v>
      </c>
      <c r="E556" s="11" t="inlineStr">
        <is>
          <t xml:space="preserve"> Unisex</t>
        </is>
      </c>
      <c r="F556" s="13" t="n">
        <v>180</v>
      </c>
      <c r="G556" s="13" t="n">
        <v>179.2</v>
      </c>
      <c r="H556" s="13" t="n">
        <v>125</v>
      </c>
      <c r="I556" s="13" t="n">
        <v>143</v>
      </c>
      <c r="J556" s="13" t="n">
        <v>133</v>
      </c>
      <c r="K556" s="13" t="n">
        <v>103</v>
      </c>
      <c r="L556" s="13" t="n">
        <v>125</v>
      </c>
      <c r="M556" s="13" t="n">
        <v>16.4</v>
      </c>
      <c r="N556" s="13" t="n">
        <v>1720</v>
      </c>
      <c r="O556" s="13" t="n">
        <v>1.19</v>
      </c>
      <c r="P556" s="13" t="n">
        <v>2048</v>
      </c>
      <c r="Q556" s="13" t="n">
        <v>224</v>
      </c>
      <c r="R556" s="13" t="n">
        <v>88</v>
      </c>
      <c r="S556" s="13" t="n">
        <v>44</v>
      </c>
      <c r="T556" s="13" t="n">
        <v>326</v>
      </c>
      <c r="U556" s="13" t="n">
        <v>26</v>
      </c>
      <c r="V556" s="13" t="n">
        <v>219</v>
      </c>
      <c r="W556" s="13" t="n">
        <v>0.599</v>
      </c>
      <c r="X556" s="13" t="n">
        <v>244</v>
      </c>
      <c r="Y556" s="13" t="n">
        <v>116</v>
      </c>
      <c r="Z556" s="13" t="n">
        <v>82</v>
      </c>
      <c r="AA556" s="13" t="n">
        <v>10</v>
      </c>
      <c r="AB556" s="13" t="n">
        <v>9</v>
      </c>
      <c r="AC556" s="11" t="inlineStr">
        <is>
          <t xml:space="preserve"> Resort Freeride</t>
        </is>
      </c>
      <c r="AD556" s="11" t="inlineStr">
        <is>
          <t xml:space="preserve"> Powder</t>
        </is>
      </c>
      <c r="AE556" s="11" t="inlineStr">
        <is>
          <t xml:space="preserve"> Touring</t>
        </is>
      </c>
      <c r="AF556" s="13" t="n"/>
      <c r="AG556" s="13" t="n"/>
    </row>
    <row r="557">
      <c r="A557" s="9" t="inlineStr">
        <is>
          <t>21/22</t>
        </is>
      </c>
      <c r="B557" s="10" t="inlineStr">
        <is>
          <t xml:space="preserve"> Ferreol</t>
        </is>
      </c>
      <c r="C557" s="11" t="inlineStr">
        <is>
          <t>Pionnier 104</t>
        </is>
      </c>
      <c r="D557" s="13" t="n">
        <v>188</v>
      </c>
      <c r="E557" s="11" t="inlineStr">
        <is>
          <t xml:space="preserve"> Unisex</t>
        </is>
      </c>
      <c r="F557" s="13" t="n">
        <v>188</v>
      </c>
      <c r="G557" s="13" t="n">
        <v>188.6</v>
      </c>
      <c r="H557" s="13" t="n">
        <v>134</v>
      </c>
      <c r="I557" s="13" t="n">
        <v>149</v>
      </c>
      <c r="J557" s="13" t="n">
        <v>136</v>
      </c>
      <c r="K557" s="13" t="n">
        <v>104</v>
      </c>
      <c r="L557" s="13" t="n">
        <v>126</v>
      </c>
      <c r="M557" s="13" t="n">
        <v>17.4</v>
      </c>
      <c r="N557" s="13" t="n">
        <v>1891</v>
      </c>
      <c r="O557" s="13" t="n">
        <v>1.15</v>
      </c>
      <c r="P557" s="13" t="n">
        <v>2168</v>
      </c>
      <c r="Q557" s="13" t="n">
        <v>237</v>
      </c>
      <c r="R557" s="13" t="n">
        <v>89</v>
      </c>
      <c r="S557" s="13" t="n">
        <v>45</v>
      </c>
      <c r="T557" s="13" t="n">
        <v>322</v>
      </c>
      <c r="U557" s="13" t="n">
        <v>26</v>
      </c>
      <c r="V557" s="13" t="n">
        <v>221</v>
      </c>
      <c r="W557" s="13" t="n">
        <v>0.5679999999999999</v>
      </c>
      <c r="X557" s="13" t="n">
        <v>271</v>
      </c>
      <c r="Y557" s="13" t="n">
        <v>124</v>
      </c>
      <c r="Z557" s="13" t="n">
        <v>51</v>
      </c>
      <c r="AA557" s="13" t="n">
        <v>11</v>
      </c>
      <c r="AB557" s="13" t="n">
        <v>10.6</v>
      </c>
      <c r="AC557" s="11" t="inlineStr">
        <is>
          <t xml:space="preserve"> Resort Freeride</t>
        </is>
      </c>
      <c r="AD557" s="11" t="inlineStr">
        <is>
          <t xml:space="preserve"> Powder</t>
        </is>
      </c>
      <c r="AE557" s="11" t="inlineStr">
        <is>
          <t xml:space="preserve"> Touring</t>
        </is>
      </c>
      <c r="AF557" s="13" t="n"/>
      <c r="AG557" s="13" t="n"/>
    </row>
    <row r="558">
      <c r="A558" s="9" t="inlineStr">
        <is>
          <t>21/22</t>
        </is>
      </c>
      <c r="B558" s="10" t="inlineStr">
        <is>
          <t xml:space="preserve"> Ferreol</t>
        </is>
      </c>
      <c r="C558" s="11" t="inlineStr">
        <is>
          <t>Zigzag 92</t>
        </is>
      </c>
      <c r="D558" s="13" t="n">
        <v>177</v>
      </c>
      <c r="E558" s="11" t="inlineStr">
        <is>
          <t xml:space="preserve"> Unisex</t>
        </is>
      </c>
      <c r="F558" s="13" t="n">
        <v>177</v>
      </c>
      <c r="G558" s="13" t="n">
        <v>175.8</v>
      </c>
      <c r="H558" s="13" t="n">
        <v>117</v>
      </c>
      <c r="I558" s="13" t="n">
        <v>155</v>
      </c>
      <c r="J558" s="13" t="n">
        <v>127</v>
      </c>
      <c r="K558" s="13" t="n">
        <v>91</v>
      </c>
      <c r="L558" s="13" t="n">
        <v>124</v>
      </c>
      <c r="M558" s="13" t="n">
        <v>16.4</v>
      </c>
      <c r="N558" s="13" t="n">
        <v>1863</v>
      </c>
      <c r="O558" s="13" t="n">
        <v>0.98</v>
      </c>
      <c r="P558" s="13" t="n">
        <v>1825</v>
      </c>
      <c r="Q558" s="13" t="n">
        <v>186</v>
      </c>
      <c r="R558" s="13" t="n">
        <v>68</v>
      </c>
      <c r="S558" s="13" t="n">
        <v>46</v>
      </c>
      <c r="T558" s="13" t="n">
        <v>267</v>
      </c>
      <c r="U558" s="13" t="n">
        <v>41</v>
      </c>
      <c r="V558" s="13" t="n">
        <v>325</v>
      </c>
      <c r="W558" s="13" t="n">
        <v>0.892</v>
      </c>
      <c r="X558" s="13" t="n">
        <v>125</v>
      </c>
      <c r="Y558" s="13" t="n">
        <v>82</v>
      </c>
      <c r="Z558" s="13" t="n">
        <v>142</v>
      </c>
      <c r="AA558" s="13" t="n">
        <v>7</v>
      </c>
      <c r="AB558" s="13" t="n">
        <v>3.5</v>
      </c>
      <c r="AC558" s="11" t="inlineStr">
        <is>
          <t xml:space="preserve"> Freeski</t>
        </is>
      </c>
      <c r="AD558" s="13" t="n"/>
      <c r="AE558" s="13" t="n"/>
      <c r="AF558" s="13" t="n"/>
      <c r="AG558" s="13" t="n"/>
    </row>
    <row r="559">
      <c r="A559" s="9" t="inlineStr">
        <is>
          <t>21/22</t>
        </is>
      </c>
      <c r="B559" s="10" t="inlineStr">
        <is>
          <t xml:space="preserve"> Fischer</t>
        </is>
      </c>
      <c r="C559" s="11" t="inlineStr">
        <is>
          <t>Hannibal 106</t>
        </is>
      </c>
      <c r="D559" s="13" t="n">
        <v>171</v>
      </c>
      <c r="E559" s="11" t="inlineStr">
        <is>
          <t xml:space="preserve"> Unisex</t>
        </is>
      </c>
      <c r="F559" s="13" t="n">
        <v>171</v>
      </c>
      <c r="G559" s="13" t="n">
        <v>169.8</v>
      </c>
      <c r="H559" s="13" t="n">
        <v>111</v>
      </c>
      <c r="I559" s="13" t="n">
        <v>142</v>
      </c>
      <c r="J559" s="13" t="n">
        <v>135</v>
      </c>
      <c r="K559" s="13" t="n">
        <v>103</v>
      </c>
      <c r="L559" s="13" t="n">
        <v>118</v>
      </c>
      <c r="M559" s="13" t="n">
        <v>20.4</v>
      </c>
      <c r="N559" s="13" t="n">
        <v>1463</v>
      </c>
      <c r="O559" s="13" t="n">
        <v>1.3</v>
      </c>
      <c r="P559" s="13" t="n">
        <v>1895</v>
      </c>
      <c r="Q559" s="13" t="n">
        <v>216</v>
      </c>
      <c r="R559" s="13" t="n">
        <v>93</v>
      </c>
      <c r="S559" s="13" t="n">
        <v>65</v>
      </c>
      <c r="T559" s="13" t="n">
        <v>419</v>
      </c>
      <c r="U559" s="13" t="n">
        <v>14</v>
      </c>
      <c r="V559" s="13" t="n">
        <v>165</v>
      </c>
      <c r="W559" s="13" t="n">
        <v>0.216</v>
      </c>
      <c r="X559" s="13" t="n">
        <v>163</v>
      </c>
      <c r="Y559" s="13" t="n">
        <v>119</v>
      </c>
      <c r="Z559" s="13" t="n">
        <v>256</v>
      </c>
      <c r="AA559" s="13" t="n">
        <v>1</v>
      </c>
      <c r="AB559" s="13" t="n">
        <v>12.9</v>
      </c>
      <c r="AC559" s="11" t="inlineStr">
        <is>
          <t xml:space="preserve"> Big Mountain</t>
        </is>
      </c>
      <c r="AD559" s="11" t="inlineStr">
        <is>
          <t xml:space="preserve"> Touring</t>
        </is>
      </c>
      <c r="AE559" s="11" t="inlineStr">
        <is>
          <t xml:space="preserve"> Ultralight Touring</t>
        </is>
      </c>
      <c r="AF559" s="13" t="n"/>
      <c r="AG559" s="13" t="n"/>
    </row>
    <row r="560">
      <c r="A560" s="9" t="inlineStr">
        <is>
          <t>21/22</t>
        </is>
      </c>
      <c r="B560" s="10" t="inlineStr">
        <is>
          <t xml:space="preserve"> Fischer</t>
        </is>
      </c>
      <c r="C560" s="11" t="inlineStr">
        <is>
          <t>Hannibal 106</t>
        </is>
      </c>
      <c r="D560" s="13" t="n">
        <v>178</v>
      </c>
      <c r="E560" s="11" t="inlineStr">
        <is>
          <t xml:space="preserve"> Unisex</t>
        </is>
      </c>
      <c r="F560" s="13" t="n">
        <v>178</v>
      </c>
      <c r="G560" s="13" t="n">
        <v>176.9</v>
      </c>
      <c r="H560" s="13" t="n">
        <v>118</v>
      </c>
      <c r="I560" s="13" t="n">
        <v>148</v>
      </c>
      <c r="J560" s="13" t="n">
        <v>137</v>
      </c>
      <c r="K560" s="13" t="n">
        <v>104</v>
      </c>
      <c r="L560" s="13" t="n">
        <v>120</v>
      </c>
      <c r="M560" s="13" t="n">
        <v>21.7</v>
      </c>
      <c r="N560" s="13" t="n">
        <v>1560</v>
      </c>
      <c r="O560" s="13" t="n">
        <v>1.29</v>
      </c>
      <c r="P560" s="13" t="n">
        <v>2007</v>
      </c>
      <c r="Q560" s="13" t="n">
        <v>243</v>
      </c>
      <c r="R560" s="13" t="n">
        <v>107</v>
      </c>
      <c r="S560" s="13" t="n">
        <v>63</v>
      </c>
      <c r="T560" s="13" t="n">
        <v>411</v>
      </c>
      <c r="U560" s="13" t="n">
        <v>13</v>
      </c>
      <c r="V560" s="13" t="n">
        <v>175</v>
      </c>
      <c r="W560" s="13" t="n">
        <v>0.205</v>
      </c>
      <c r="X560" s="13" t="n">
        <v>164</v>
      </c>
      <c r="Y560" s="13" t="n">
        <v>126</v>
      </c>
      <c r="Z560" s="13" t="n">
        <v>247</v>
      </c>
      <c r="AA560" s="13" t="n">
        <v>4</v>
      </c>
      <c r="AB560" s="13" t="n">
        <v>11.4</v>
      </c>
      <c r="AC560" s="11" t="inlineStr">
        <is>
          <t xml:space="preserve"> Resort Freeride</t>
        </is>
      </c>
      <c r="AD560" s="11" t="inlineStr">
        <is>
          <t xml:space="preserve"> Big Mountain</t>
        </is>
      </c>
      <c r="AE560" s="11" t="inlineStr">
        <is>
          <t xml:space="preserve"> Touring</t>
        </is>
      </c>
      <c r="AF560" s="11" t="inlineStr">
        <is>
          <t xml:space="preserve"> Ultralight Touring</t>
        </is>
      </c>
      <c r="AG560" s="13" t="n"/>
    </row>
    <row r="561">
      <c r="A561" s="9" t="inlineStr">
        <is>
          <t>21/22</t>
        </is>
      </c>
      <c r="B561" s="10" t="inlineStr">
        <is>
          <t xml:space="preserve"> Fischer</t>
        </is>
      </c>
      <c r="C561" s="11" t="inlineStr">
        <is>
          <t>Hannibal 106</t>
        </is>
      </c>
      <c r="D561" s="13" t="n">
        <v>185</v>
      </c>
      <c r="E561" s="11" t="inlineStr">
        <is>
          <t xml:space="preserve"> Unisex</t>
        </is>
      </c>
      <c r="F561" s="13" t="n">
        <v>185</v>
      </c>
      <c r="G561" s="13" t="n">
        <v>183.6</v>
      </c>
      <c r="H561" s="13" t="n">
        <v>118</v>
      </c>
      <c r="I561" s="13" t="n">
        <v>152</v>
      </c>
      <c r="J561" s="13" t="n">
        <v>139</v>
      </c>
      <c r="K561" s="13" t="n">
        <v>107</v>
      </c>
      <c r="L561" s="13" t="n">
        <v>123</v>
      </c>
      <c r="M561" s="13" t="n">
        <v>22.7</v>
      </c>
      <c r="N561" s="13" t="n">
        <v>1692</v>
      </c>
      <c r="O561" s="13" t="n">
        <v>1.26</v>
      </c>
      <c r="P561" s="13" t="n">
        <v>2133</v>
      </c>
      <c r="Q561" s="13" t="n">
        <v>264</v>
      </c>
      <c r="R561" s="13" t="n">
        <v>124</v>
      </c>
      <c r="S561" s="13" t="n">
        <v>69</v>
      </c>
      <c r="T561" s="13" t="n">
        <v>464</v>
      </c>
      <c r="U561" s="13" t="n">
        <v>9</v>
      </c>
      <c r="V561" s="13" t="n">
        <v>189</v>
      </c>
      <c r="W561" s="13" t="n">
        <v>0.131</v>
      </c>
      <c r="X561" s="13" t="n">
        <v>185</v>
      </c>
      <c r="Y561" s="13" t="n">
        <v>135</v>
      </c>
      <c r="Z561" s="13" t="n">
        <v>280</v>
      </c>
      <c r="AA561" s="13" t="n">
        <v>4</v>
      </c>
      <c r="AB561" s="13" t="n">
        <v>11.8</v>
      </c>
      <c r="AC561" s="11" t="inlineStr">
        <is>
          <t xml:space="preserve"> Big Mountain</t>
        </is>
      </c>
      <c r="AD561" s="11" t="inlineStr">
        <is>
          <t xml:space="preserve"> Touring</t>
        </is>
      </c>
      <c r="AE561" s="11" t="inlineStr">
        <is>
          <t xml:space="preserve"> Ultralight Touring</t>
        </is>
      </c>
      <c r="AF561" s="13" t="n"/>
      <c r="AG561" s="13" t="n"/>
    </row>
    <row r="562">
      <c r="A562" s="9" t="inlineStr">
        <is>
          <t>21/22</t>
        </is>
      </c>
      <c r="B562" s="10" t="inlineStr">
        <is>
          <t xml:space="preserve"> Fischer</t>
        </is>
      </c>
      <c r="C562" s="11" t="inlineStr">
        <is>
          <t>Hannibal 96</t>
        </is>
      </c>
      <c r="D562" s="13" t="n">
        <v>162</v>
      </c>
      <c r="E562" s="11" t="inlineStr">
        <is>
          <t xml:space="preserve"> Unisex</t>
        </is>
      </c>
      <c r="F562" s="13" t="n">
        <v>162</v>
      </c>
      <c r="G562" s="13" t="n">
        <v>161</v>
      </c>
      <c r="H562" s="13" t="n">
        <v>116</v>
      </c>
      <c r="I562" s="13" t="n">
        <v>138</v>
      </c>
      <c r="J562" s="13" t="n">
        <v>124</v>
      </c>
      <c r="K562" s="13" t="n">
        <v>93</v>
      </c>
      <c r="L562" s="13" t="n">
        <v>111</v>
      </c>
      <c r="M562" s="13" t="n">
        <v>18.5</v>
      </c>
      <c r="N562" s="13" t="n">
        <v>1133</v>
      </c>
      <c r="O562" s="13" t="n">
        <v>1.45</v>
      </c>
      <c r="P562" s="13" t="n">
        <v>1640</v>
      </c>
      <c r="Q562" s="13" t="n">
        <v>118</v>
      </c>
      <c r="R562" s="13" t="n">
        <v>50</v>
      </c>
      <c r="S562" s="13" t="n">
        <v>58</v>
      </c>
      <c r="T562" s="13" t="n">
        <v>311</v>
      </c>
      <c r="U562" s="13" t="n">
        <v>5</v>
      </c>
      <c r="V562" s="13" t="n">
        <v>138</v>
      </c>
      <c r="W562" s="13" t="n">
        <v>0.08500000000000001</v>
      </c>
      <c r="X562" s="13" t="n">
        <v>150</v>
      </c>
      <c r="Y562" s="13" t="n">
        <v>76</v>
      </c>
      <c r="Z562" s="13" t="n">
        <v>161</v>
      </c>
      <c r="AA562" s="13" t="n">
        <v>2</v>
      </c>
      <c r="AB562" s="13" t="n">
        <v>10</v>
      </c>
      <c r="AC562" s="11" t="inlineStr">
        <is>
          <t xml:space="preserve"> Touring</t>
        </is>
      </c>
      <c r="AD562" s="11" t="inlineStr">
        <is>
          <t xml:space="preserve"> Ultralight Touring</t>
        </is>
      </c>
      <c r="AE562" s="13" t="n"/>
      <c r="AF562" s="13" t="n"/>
      <c r="AG562" s="13" t="n"/>
    </row>
    <row r="563">
      <c r="A563" s="9" t="inlineStr">
        <is>
          <t>21/22</t>
        </is>
      </c>
      <c r="B563" s="10" t="inlineStr">
        <is>
          <t xml:space="preserve"> Fischer</t>
        </is>
      </c>
      <c r="C563" s="11" t="inlineStr">
        <is>
          <t>Hannibal 96</t>
        </is>
      </c>
      <c r="D563" s="13" t="n">
        <v>169</v>
      </c>
      <c r="E563" s="11" t="inlineStr">
        <is>
          <t xml:space="preserve"> Unisex</t>
        </is>
      </c>
      <c r="F563" s="13" t="n">
        <v>169</v>
      </c>
      <c r="G563" s="13" t="n">
        <v>168.5</v>
      </c>
      <c r="H563" s="13" t="n">
        <v>130</v>
      </c>
      <c r="I563" s="13" t="n">
        <v>144</v>
      </c>
      <c r="J563" s="13" t="n">
        <v>125</v>
      </c>
      <c r="K563" s="13" t="n">
        <v>94</v>
      </c>
      <c r="L563" s="13" t="n">
        <v>111</v>
      </c>
      <c r="M563" s="13" t="n">
        <v>19.9</v>
      </c>
      <c r="N563" s="13" t="n">
        <v>1198</v>
      </c>
      <c r="O563" s="13" t="n">
        <v>1.45</v>
      </c>
      <c r="P563" s="13" t="n">
        <v>1735</v>
      </c>
      <c r="Q563" s="13" t="n">
        <v>136</v>
      </c>
      <c r="R563" s="13" t="n">
        <v>58</v>
      </c>
      <c r="S563" s="13" t="n">
        <v>54</v>
      </c>
      <c r="T563" s="13" t="n">
        <v>280</v>
      </c>
      <c r="U563" s="13" t="n">
        <v>3</v>
      </c>
      <c r="V563" s="13" t="n">
        <v>106</v>
      </c>
      <c r="W563" s="13" t="n">
        <v>0.062</v>
      </c>
      <c r="X563" s="13" t="n">
        <v>161</v>
      </c>
      <c r="Y563" s="13" t="n">
        <v>87</v>
      </c>
      <c r="Z563" s="13" t="n">
        <v>119</v>
      </c>
      <c r="AA563" s="13" t="n">
        <v>6</v>
      </c>
      <c r="AB563" s="13" t="n">
        <v>9.800000000000001</v>
      </c>
      <c r="AC563" s="11" t="inlineStr">
        <is>
          <t xml:space="preserve"> Touring</t>
        </is>
      </c>
      <c r="AD563" s="11" t="inlineStr">
        <is>
          <t xml:space="preserve"> Ultralight Touring</t>
        </is>
      </c>
      <c r="AE563" s="13" t="n"/>
      <c r="AF563" s="13" t="n"/>
      <c r="AG563" s="13" t="n"/>
    </row>
    <row r="564">
      <c r="A564" s="9" t="inlineStr">
        <is>
          <t>21/22</t>
        </is>
      </c>
      <c r="B564" s="10" t="inlineStr">
        <is>
          <t xml:space="preserve"> Fischer</t>
        </is>
      </c>
      <c r="C564" s="11" t="inlineStr">
        <is>
          <t>Hannibal 96</t>
        </is>
      </c>
      <c r="D564" s="13" t="n">
        <v>176</v>
      </c>
      <c r="E564" s="11" t="inlineStr">
        <is>
          <t xml:space="preserve"> Unisex</t>
        </is>
      </c>
      <c r="F564" s="13" t="n">
        <v>176</v>
      </c>
      <c r="G564" s="13" t="n">
        <v>174.7</v>
      </c>
      <c r="H564" s="13" t="n">
        <v>130</v>
      </c>
      <c r="I564" s="13" t="n">
        <v>150</v>
      </c>
      <c r="J564" s="13" t="n">
        <v>126</v>
      </c>
      <c r="K564" s="13" t="n">
        <v>95</v>
      </c>
      <c r="L564" s="13" t="n">
        <v>112</v>
      </c>
      <c r="M564" s="13" t="n">
        <v>21</v>
      </c>
      <c r="N564" s="13" t="n">
        <v>1265</v>
      </c>
      <c r="O564" s="13" t="n">
        <v>1.44</v>
      </c>
      <c r="P564" s="13" t="n">
        <v>1824</v>
      </c>
      <c r="Q564" s="13" t="n">
        <v>155</v>
      </c>
      <c r="R564" s="13" t="n">
        <v>66</v>
      </c>
      <c r="S564" s="13" t="n">
        <v>65</v>
      </c>
      <c r="T564" s="13" t="n">
        <v>301</v>
      </c>
      <c r="U564" s="13" t="n">
        <v>5</v>
      </c>
      <c r="V564" s="13" t="n">
        <v>149</v>
      </c>
      <c r="W564" s="13" t="n">
        <v>0.076</v>
      </c>
      <c r="X564" s="13" t="n">
        <v>161</v>
      </c>
      <c r="Y564" s="13" t="n">
        <v>90</v>
      </c>
      <c r="Z564" s="13" t="n">
        <v>140</v>
      </c>
      <c r="AA564" s="13" t="n">
        <v>5</v>
      </c>
      <c r="AB564" s="13" t="n">
        <v>9.300000000000001</v>
      </c>
      <c r="AC564" s="11" t="inlineStr">
        <is>
          <t xml:space="preserve"> Touring</t>
        </is>
      </c>
      <c r="AD564" s="11" t="inlineStr">
        <is>
          <t xml:space="preserve"> Ultralight Touring</t>
        </is>
      </c>
      <c r="AE564" s="13" t="n"/>
      <c r="AF564" s="13" t="n"/>
      <c r="AG564" s="13" t="n"/>
    </row>
    <row r="565">
      <c r="A565" s="9" t="inlineStr">
        <is>
          <t>21/22</t>
        </is>
      </c>
      <c r="B565" s="10" t="inlineStr">
        <is>
          <t xml:space="preserve"> Fischer</t>
        </is>
      </c>
      <c r="C565" s="11" t="inlineStr">
        <is>
          <t>Hannibal 96</t>
        </is>
      </c>
      <c r="D565" s="13" t="n">
        <v>183</v>
      </c>
      <c r="E565" s="11" t="inlineStr">
        <is>
          <t xml:space="preserve"> Unisex</t>
        </is>
      </c>
      <c r="F565" s="13" t="n">
        <v>183</v>
      </c>
      <c r="G565" s="13" t="n">
        <v>181.9</v>
      </c>
      <c r="H565" s="13" t="n">
        <v>139</v>
      </c>
      <c r="I565" s="13" t="n">
        <v>156</v>
      </c>
      <c r="J565" s="13" t="n">
        <v>127</v>
      </c>
      <c r="K565" s="13" t="n">
        <v>96</v>
      </c>
      <c r="L565" s="13" t="n">
        <v>114</v>
      </c>
      <c r="M565" s="13" t="n">
        <v>22.3</v>
      </c>
      <c r="N565" s="13" t="n">
        <v>1367</v>
      </c>
      <c r="O565" s="13" t="n">
        <v>1.4</v>
      </c>
      <c r="P565" s="13" t="n">
        <v>1919</v>
      </c>
      <c r="Q565" s="13" t="n">
        <v>179</v>
      </c>
      <c r="R565" s="13" t="n">
        <v>78</v>
      </c>
      <c r="S565" s="13" t="n">
        <v>60</v>
      </c>
      <c r="T565" s="13" t="n">
        <v>308</v>
      </c>
      <c r="U565" s="13" t="n">
        <v>3</v>
      </c>
      <c r="V565" s="13" t="n">
        <v>125</v>
      </c>
      <c r="W565" s="13" t="n">
        <v>0.058</v>
      </c>
      <c r="X565" s="13" t="n">
        <v>172</v>
      </c>
      <c r="Y565" s="13" t="n">
        <v>91</v>
      </c>
      <c r="Z565" s="13" t="n">
        <v>136</v>
      </c>
      <c r="AA565" s="13" t="n">
        <v>6</v>
      </c>
      <c r="AB565" s="13" t="n">
        <v>9.6</v>
      </c>
      <c r="AC565" s="11" t="inlineStr">
        <is>
          <t xml:space="preserve"> Touring</t>
        </is>
      </c>
      <c r="AD565" s="11" t="inlineStr">
        <is>
          <t xml:space="preserve"> Ultralight Touring</t>
        </is>
      </c>
      <c r="AE565" s="13" t="n"/>
      <c r="AF565" s="13" t="n"/>
      <c r="AG565" s="13" t="n"/>
    </row>
    <row r="566">
      <c r="A566" s="9" t="inlineStr">
        <is>
          <t>21/22</t>
        </is>
      </c>
      <c r="B566" s="10" t="inlineStr">
        <is>
          <t xml:space="preserve"> Fischer</t>
        </is>
      </c>
      <c r="C566" s="11" t="inlineStr">
        <is>
          <t xml:space="preserve"> Nightstick Team</t>
        </is>
      </c>
      <c r="D566" s="13" t="n">
        <v>151</v>
      </c>
      <c r="E566" s="11" t="inlineStr">
        <is>
          <t xml:space="preserve"> Junior</t>
        </is>
      </c>
      <c r="F566" s="13" t="n">
        <v>151</v>
      </c>
      <c r="G566" s="13" t="n">
        <v>149.2</v>
      </c>
      <c r="H566" s="13" t="n">
        <v>121</v>
      </c>
      <c r="I566" s="13" t="n">
        <v>130</v>
      </c>
      <c r="J566" s="13" t="n">
        <v>117</v>
      </c>
      <c r="K566" s="13" t="n">
        <v>81</v>
      </c>
      <c r="L566" s="13" t="n">
        <v>106</v>
      </c>
      <c r="M566" s="13" t="n">
        <v>14.1</v>
      </c>
      <c r="N566" s="13" t="n">
        <v>1365</v>
      </c>
      <c r="O566" s="13" t="n">
        <v>1</v>
      </c>
      <c r="P566" s="13" t="n">
        <v>1370</v>
      </c>
      <c r="Q566" s="13" t="n">
        <v>114</v>
      </c>
      <c r="R566" s="13" t="n">
        <v>43</v>
      </c>
      <c r="S566" s="13" t="n">
        <v>47</v>
      </c>
      <c r="T566" s="13" t="n">
        <v>151</v>
      </c>
      <c r="U566" s="13" t="n">
        <v>33</v>
      </c>
      <c r="V566" s="13" t="n">
        <v>127</v>
      </c>
      <c r="W566" s="13" t="n">
        <v>0.71</v>
      </c>
      <c r="X566" s="13" t="n">
        <v>100</v>
      </c>
      <c r="Y566" s="13" t="n">
        <v>91</v>
      </c>
      <c r="Z566" s="13" t="n">
        <v>51</v>
      </c>
      <c r="AA566" s="13" t="n">
        <v>12</v>
      </c>
      <c r="AB566" s="13" t="n">
        <v>-0.9</v>
      </c>
      <c r="AC566" s="11" t="inlineStr">
        <is>
          <t xml:space="preserve"> Resort Freeride</t>
        </is>
      </c>
      <c r="AD566" s="13" t="n"/>
      <c r="AE566" s="13" t="n"/>
      <c r="AF566" s="13" t="n"/>
      <c r="AG566" s="13" t="n"/>
    </row>
    <row r="567">
      <c r="A567" s="9" t="inlineStr">
        <is>
          <t>21/22</t>
        </is>
      </c>
      <c r="B567" s="10" t="inlineStr">
        <is>
          <t xml:space="preserve"> Fischer</t>
        </is>
      </c>
      <c r="C567" s="11" t="inlineStr">
        <is>
          <t xml:space="preserve"> Nightstick Team</t>
        </is>
      </c>
      <c r="D567" s="13" t="n">
        <v>161</v>
      </c>
      <c r="E567" s="11" t="inlineStr">
        <is>
          <t xml:space="preserve"> Junior</t>
        </is>
      </c>
      <c r="F567" s="13" t="n">
        <v>161</v>
      </c>
      <c r="G567" s="13" t="n">
        <v>159.1</v>
      </c>
      <c r="H567" s="13" t="n">
        <v>130</v>
      </c>
      <c r="I567" s="13" t="n">
        <v>141</v>
      </c>
      <c r="J567" s="13" t="n">
        <v>118</v>
      </c>
      <c r="K567" s="13" t="n">
        <v>82</v>
      </c>
      <c r="L567" s="13" t="n">
        <v>107</v>
      </c>
      <c r="M567" s="13" t="n">
        <v>15.7</v>
      </c>
      <c r="N567" s="13" t="n">
        <v>1564</v>
      </c>
      <c r="O567" s="13" t="n">
        <v>0.95</v>
      </c>
      <c r="P567" s="13" t="n">
        <v>1482</v>
      </c>
      <c r="Q567" s="13" t="n">
        <v>156</v>
      </c>
      <c r="R567" s="13" t="n">
        <v>56</v>
      </c>
      <c r="S567" s="13" t="n">
        <v>47</v>
      </c>
      <c r="T567" s="13" t="n">
        <v>156</v>
      </c>
      <c r="U567" s="13" t="n">
        <v>36</v>
      </c>
      <c r="V567" s="13" t="n">
        <v>139</v>
      </c>
      <c r="W567" s="13" t="n">
        <v>0.752</v>
      </c>
      <c r="X567" s="13" t="n">
        <v>94</v>
      </c>
      <c r="Y567" s="13" t="n">
        <v>90</v>
      </c>
      <c r="Z567" s="13" t="n">
        <v>62</v>
      </c>
      <c r="AA567" s="13" t="n">
        <v>9</v>
      </c>
      <c r="AB567" s="13" t="n">
        <v>-1.3</v>
      </c>
      <c r="AC567" s="11" t="inlineStr">
        <is>
          <t xml:space="preserve"> Resort Freeride</t>
        </is>
      </c>
      <c r="AD567" s="13" t="n"/>
      <c r="AE567" s="13" t="n"/>
      <c r="AF567" s="13" t="n"/>
      <c r="AG567" s="13" t="n"/>
    </row>
    <row r="568">
      <c r="A568" s="9" t="inlineStr">
        <is>
          <t>21/22</t>
        </is>
      </c>
      <c r="B568" s="10" t="inlineStr">
        <is>
          <t xml:space="preserve"> Fischer</t>
        </is>
      </c>
      <c r="C568" s="11" t="inlineStr">
        <is>
          <t>Ranger 102 FR</t>
        </is>
      </c>
      <c r="D568" s="13" t="n">
        <v>170</v>
      </c>
      <c r="E568" s="11" t="inlineStr">
        <is>
          <t xml:space="preserve"> Unisex</t>
        </is>
      </c>
      <c r="F568" s="13" t="n">
        <v>170</v>
      </c>
      <c r="G568" s="13" t="n">
        <v>168.7</v>
      </c>
      <c r="H568" s="13" t="n">
        <v>116</v>
      </c>
      <c r="I568" s="13" t="n">
        <v>139</v>
      </c>
      <c r="J568" s="13" t="n">
        <v>134</v>
      </c>
      <c r="K568" s="13" t="n">
        <v>100</v>
      </c>
      <c r="L568" s="13" t="n">
        <v>124</v>
      </c>
      <c r="M568" s="13" t="n">
        <v>13.9</v>
      </c>
      <c r="N568" s="13" t="n">
        <v>1664</v>
      </c>
      <c r="O568" s="13" t="n">
        <v>1.14</v>
      </c>
      <c r="P568" s="13" t="n">
        <v>1900</v>
      </c>
      <c r="Q568" s="13" t="n">
        <v>172</v>
      </c>
      <c r="R568" s="13" t="n">
        <v>89</v>
      </c>
      <c r="S568" s="13" t="n">
        <v>48</v>
      </c>
      <c r="T568" s="13" t="n">
        <v>342</v>
      </c>
      <c r="U568" s="13" t="n">
        <v>29</v>
      </c>
      <c r="V568" s="13" t="n">
        <v>182</v>
      </c>
      <c r="W568" s="13" t="n">
        <v>0.601</v>
      </c>
      <c r="X568" s="13" t="n">
        <v>153</v>
      </c>
      <c r="Y568" s="13" t="n">
        <v>145</v>
      </c>
      <c r="Z568" s="13" t="n">
        <v>189</v>
      </c>
      <c r="AA568" s="13" t="n">
        <v>7</v>
      </c>
      <c r="AB568" s="13" t="n">
        <v>9.5</v>
      </c>
      <c r="AC568" s="11" t="inlineStr">
        <is>
          <t xml:space="preserve"> Resort Freeride</t>
        </is>
      </c>
      <c r="AD568" s="11" t="inlineStr">
        <is>
          <t xml:space="preserve"> Touring</t>
        </is>
      </c>
      <c r="AE568" s="13" t="n"/>
      <c r="AF568" s="13" t="n"/>
      <c r="AG568" s="13" t="n"/>
    </row>
    <row r="569">
      <c r="A569" s="9" t="inlineStr">
        <is>
          <t>21/22</t>
        </is>
      </c>
      <c r="B569" s="10" t="inlineStr">
        <is>
          <t xml:space="preserve"> Fischer</t>
        </is>
      </c>
      <c r="C569" s="11" t="inlineStr">
        <is>
          <t>Ranger 102 FR</t>
        </is>
      </c>
      <c r="D569" s="13" t="n">
        <v>177</v>
      </c>
      <c r="E569" s="11" t="inlineStr">
        <is>
          <t xml:space="preserve"> Unisex</t>
        </is>
      </c>
      <c r="F569" s="13" t="n">
        <v>177</v>
      </c>
      <c r="G569" s="13" t="n">
        <v>176.8</v>
      </c>
      <c r="H569" s="13" t="n">
        <v>121</v>
      </c>
      <c r="I569" s="13" t="n">
        <v>146</v>
      </c>
      <c r="J569" s="13" t="n">
        <v>135</v>
      </c>
      <c r="K569" s="13" t="n">
        <v>101</v>
      </c>
      <c r="L569" s="13" t="n">
        <v>125</v>
      </c>
      <c r="M569" s="13" t="n">
        <v>15.4</v>
      </c>
      <c r="N569" s="13" t="n">
        <v>1850</v>
      </c>
      <c r="O569" s="13" t="n">
        <v>1.08</v>
      </c>
      <c r="P569" s="13" t="n">
        <v>2004</v>
      </c>
      <c r="Q569" s="13" t="n">
        <v>214</v>
      </c>
      <c r="R569" s="13" t="n">
        <v>104</v>
      </c>
      <c r="S569" s="13" t="n">
        <v>49</v>
      </c>
      <c r="T569" s="13" t="n">
        <v>368</v>
      </c>
      <c r="U569" s="13" t="n">
        <v>29</v>
      </c>
      <c r="V569" s="13" t="n">
        <v>195</v>
      </c>
      <c r="W569" s="13" t="n">
        <v>0.598</v>
      </c>
      <c r="X569" s="13" t="n">
        <v>158</v>
      </c>
      <c r="Y569" s="13" t="n">
        <v>154</v>
      </c>
      <c r="Z569" s="13" t="n">
        <v>210</v>
      </c>
      <c r="AA569" s="13" t="n">
        <v>6</v>
      </c>
      <c r="AB569" s="13" t="n">
        <v>9.199999999999999</v>
      </c>
      <c r="AC569" s="11" t="inlineStr">
        <is>
          <t xml:space="preserve"> Resort Freeride</t>
        </is>
      </c>
      <c r="AD569" s="11" t="inlineStr">
        <is>
          <t xml:space="preserve"> Powder</t>
        </is>
      </c>
      <c r="AE569" s="11" t="inlineStr">
        <is>
          <t xml:space="preserve"> Touring</t>
        </is>
      </c>
      <c r="AF569" s="13" t="n"/>
      <c r="AG569" s="13" t="n"/>
    </row>
    <row r="570">
      <c r="A570" s="9" t="inlineStr">
        <is>
          <t>21/22</t>
        </is>
      </c>
      <c r="B570" s="10" t="inlineStr">
        <is>
          <t xml:space="preserve"> Fischer</t>
        </is>
      </c>
      <c r="C570" s="11" t="inlineStr">
        <is>
          <t>Ranger 102 FR</t>
        </is>
      </c>
      <c r="D570" s="13" t="n">
        <v>191</v>
      </c>
      <c r="E570" s="11" t="inlineStr">
        <is>
          <t xml:space="preserve"> Unisex</t>
        </is>
      </c>
      <c r="F570" s="13" t="n">
        <v>191</v>
      </c>
      <c r="G570" s="13" t="n">
        <v>190.7</v>
      </c>
      <c r="H570" s="13" t="n">
        <v>132</v>
      </c>
      <c r="I570" s="13" t="n">
        <v>157</v>
      </c>
      <c r="J570" s="13" t="n">
        <v>137</v>
      </c>
      <c r="K570" s="13" t="n">
        <v>103</v>
      </c>
      <c r="L570" s="13" t="n">
        <v>127</v>
      </c>
      <c r="M570" s="13" t="n">
        <v>17.7</v>
      </c>
      <c r="N570" s="13" t="n">
        <v>2039</v>
      </c>
      <c r="O570" s="13" t="n">
        <v>1.08</v>
      </c>
      <c r="P570" s="13" t="n">
        <v>2209</v>
      </c>
      <c r="Q570" s="13" t="n">
        <v>251</v>
      </c>
      <c r="R570" s="13" t="n">
        <v>121</v>
      </c>
      <c r="S570" s="13" t="n">
        <v>50</v>
      </c>
      <c r="T570" s="13" t="n">
        <v>379</v>
      </c>
      <c r="U570" s="13" t="n">
        <v>28</v>
      </c>
      <c r="V570" s="13" t="n">
        <v>212</v>
      </c>
      <c r="W570" s="13" t="n">
        <v>0.552</v>
      </c>
      <c r="X570" s="13" t="n">
        <v>174</v>
      </c>
      <c r="Y570" s="13" t="n">
        <v>163</v>
      </c>
      <c r="Z570" s="13" t="n">
        <v>204</v>
      </c>
      <c r="AA570" s="13" t="n">
        <v>6</v>
      </c>
      <c r="AB570" s="13" t="n">
        <v>10.6</v>
      </c>
      <c r="AC570" s="11" t="inlineStr">
        <is>
          <t xml:space="preserve"> Resort Freeride</t>
        </is>
      </c>
      <c r="AD570" s="11" t="inlineStr">
        <is>
          <t xml:space="preserve"> Powder</t>
        </is>
      </c>
      <c r="AE570" s="11" t="inlineStr">
        <is>
          <t xml:space="preserve"> Touring</t>
        </is>
      </c>
      <c r="AF570" s="13" t="n"/>
      <c r="AG570" s="13" t="n"/>
    </row>
    <row r="571">
      <c r="A571" s="9" t="inlineStr">
        <is>
          <t>21/22</t>
        </is>
      </c>
      <c r="B571" s="10" t="inlineStr">
        <is>
          <t xml:space="preserve"> Fischer</t>
        </is>
      </c>
      <c r="C571" s="11" t="inlineStr">
        <is>
          <t>Ranger 102 FR W</t>
        </is>
      </c>
      <c r="D571" s="13" t="n">
        <v>156</v>
      </c>
      <c r="E571" s="11" t="inlineStr">
        <is>
          <t xml:space="preserve"> Women's</t>
        </is>
      </c>
      <c r="F571" s="13" t="n">
        <v>156</v>
      </c>
      <c r="G571" s="13" t="n">
        <v>154.8</v>
      </c>
      <c r="H571" s="13" t="n">
        <v>109</v>
      </c>
      <c r="I571" s="13" t="n">
        <v>128</v>
      </c>
      <c r="J571" s="13" t="n">
        <v>132</v>
      </c>
      <c r="K571" s="13" t="n">
        <v>98</v>
      </c>
      <c r="L571" s="13" t="n">
        <v>122</v>
      </c>
      <c r="M571" s="13" t="n">
        <v>11.9</v>
      </c>
      <c r="N571" s="13" t="n">
        <v>1519</v>
      </c>
      <c r="O571" s="13" t="n">
        <v>1.13</v>
      </c>
      <c r="P571" s="13" t="n">
        <v>1716</v>
      </c>
      <c r="Q571" s="13" t="n">
        <v>159</v>
      </c>
      <c r="R571" s="13" t="n">
        <v>80</v>
      </c>
      <c r="S571" s="13" t="n">
        <v>48</v>
      </c>
      <c r="T571" s="13" t="n">
        <v>257</v>
      </c>
      <c r="U571" s="13" t="n">
        <v>34</v>
      </c>
      <c r="V571" s="13" t="n">
        <v>198</v>
      </c>
      <c r="W571" s="13" t="n">
        <v>0.719</v>
      </c>
      <c r="X571" s="13" t="n">
        <v>132</v>
      </c>
      <c r="Y571" s="13" t="n">
        <v>137</v>
      </c>
      <c r="Z571" s="13" t="n">
        <v>125</v>
      </c>
      <c r="AA571" s="13" t="n">
        <v>4</v>
      </c>
      <c r="AB571" s="13" t="n">
        <v>9</v>
      </c>
      <c r="AC571" s="11" t="inlineStr">
        <is>
          <t xml:space="preserve"> Resort Freeride</t>
        </is>
      </c>
      <c r="AD571" s="11" t="inlineStr">
        <is>
          <t xml:space="preserve"> Touring</t>
        </is>
      </c>
      <c r="AE571" s="13" t="n"/>
      <c r="AF571" s="13" t="n"/>
      <c r="AG571" s="13" t="n"/>
    </row>
    <row r="572">
      <c r="A572" s="9" t="inlineStr">
        <is>
          <t>21/22</t>
        </is>
      </c>
      <c r="B572" s="10" t="inlineStr">
        <is>
          <t xml:space="preserve"> Fischer</t>
        </is>
      </c>
      <c r="C572" s="11" t="inlineStr">
        <is>
          <t>Ranger 102 FR W</t>
        </is>
      </c>
      <c r="D572" s="13" t="n">
        <v>163</v>
      </c>
      <c r="E572" s="11" t="inlineStr">
        <is>
          <t xml:space="preserve"> Women's</t>
        </is>
      </c>
      <c r="F572" s="13" t="n">
        <v>163</v>
      </c>
      <c r="G572" s="13" t="n">
        <v>162.4</v>
      </c>
      <c r="H572" s="13" t="n">
        <v>106</v>
      </c>
      <c r="I572" s="13" t="n">
        <v>134</v>
      </c>
      <c r="J572" s="13" t="n">
        <v>134</v>
      </c>
      <c r="K572" s="13" t="n">
        <v>99</v>
      </c>
      <c r="L572" s="13" t="n">
        <v>124</v>
      </c>
      <c r="M572" s="13" t="n">
        <v>12.7</v>
      </c>
      <c r="N572" s="13" t="n">
        <v>1609</v>
      </c>
      <c r="O572" s="13" t="n">
        <v>1.13</v>
      </c>
      <c r="P572" s="13" t="n">
        <v>1821</v>
      </c>
      <c r="Q572" s="13" t="n">
        <v>170</v>
      </c>
      <c r="R572" s="13" t="n">
        <v>82</v>
      </c>
      <c r="S572" s="13" t="n">
        <v>51</v>
      </c>
      <c r="T572" s="13" t="n">
        <v>345</v>
      </c>
      <c r="U572" s="13" t="n">
        <v>32</v>
      </c>
      <c r="V572" s="13" t="n">
        <v>218</v>
      </c>
      <c r="W572" s="13" t="n">
        <v>0.623</v>
      </c>
      <c r="X572" s="13" t="n">
        <v>143</v>
      </c>
      <c r="Y572" s="13" t="n">
        <v>145</v>
      </c>
      <c r="Z572" s="13" t="n">
        <v>202</v>
      </c>
      <c r="AA572" s="13" t="n">
        <v>5</v>
      </c>
      <c r="AB572" s="13" t="n">
        <v>9.9</v>
      </c>
      <c r="AC572" s="11" t="inlineStr">
        <is>
          <t xml:space="preserve"> Resort Freeride</t>
        </is>
      </c>
      <c r="AD572" s="11" t="inlineStr">
        <is>
          <t xml:space="preserve"> Touring</t>
        </is>
      </c>
      <c r="AE572" s="13" t="n"/>
      <c r="AF572" s="13" t="n"/>
      <c r="AG572" s="13" t="n"/>
    </row>
    <row r="573">
      <c r="A573" s="9" t="inlineStr">
        <is>
          <t>21/22</t>
        </is>
      </c>
      <c r="B573" s="10" t="inlineStr">
        <is>
          <t xml:space="preserve"> Fischer</t>
        </is>
      </c>
      <c r="C573" s="11" t="inlineStr">
        <is>
          <t>Ranger 102 FR W</t>
        </is>
      </c>
      <c r="D573" s="13" t="n">
        <v>170</v>
      </c>
      <c r="E573" s="11" t="inlineStr">
        <is>
          <t xml:space="preserve"> Women's</t>
        </is>
      </c>
      <c r="F573" s="13" t="n">
        <v>170</v>
      </c>
      <c r="G573" s="13" t="n">
        <v>168.3</v>
      </c>
      <c r="H573" s="13" t="n">
        <v>113</v>
      </c>
      <c r="I573" s="13" t="n">
        <v>139</v>
      </c>
      <c r="J573" s="13" t="n">
        <v>135</v>
      </c>
      <c r="K573" s="13" t="n">
        <v>100</v>
      </c>
      <c r="L573" s="13" t="n">
        <v>124</v>
      </c>
      <c r="M573" s="13" t="n">
        <v>13.7</v>
      </c>
      <c r="N573" s="13" t="n">
        <v>1700</v>
      </c>
      <c r="O573" s="13" t="n">
        <v>1.12</v>
      </c>
      <c r="P573" s="13" t="n">
        <v>1900</v>
      </c>
      <c r="Q573" s="13" t="n">
        <v>191</v>
      </c>
      <c r="R573" s="13" t="n">
        <v>86</v>
      </c>
      <c r="S573" s="13" t="n">
        <v>50</v>
      </c>
      <c r="T573" s="13" t="n">
        <v>361</v>
      </c>
      <c r="U573" s="13" t="n">
        <v>30</v>
      </c>
      <c r="V573" s="13" t="n">
        <v>189</v>
      </c>
      <c r="W573" s="13" t="n">
        <v>0.594</v>
      </c>
      <c r="X573" s="13" t="n">
        <v>153</v>
      </c>
      <c r="Y573" s="13" t="n">
        <v>139</v>
      </c>
      <c r="Z573" s="13" t="n">
        <v>208</v>
      </c>
      <c r="AA573" s="13" t="n">
        <v>6</v>
      </c>
      <c r="AB573" s="13" t="n">
        <v>10.5</v>
      </c>
      <c r="AC573" s="11" t="inlineStr">
        <is>
          <t xml:space="preserve"> Resort Freeride</t>
        </is>
      </c>
      <c r="AD573" s="11" t="inlineStr">
        <is>
          <t xml:space="preserve"> Touring</t>
        </is>
      </c>
      <c r="AE573" s="13" t="n"/>
      <c r="AF573" s="13" t="n"/>
      <c r="AG573" s="13" t="n"/>
    </row>
    <row r="574">
      <c r="A574" s="9" t="inlineStr">
        <is>
          <t>21/22</t>
        </is>
      </c>
      <c r="B574" s="10" t="inlineStr">
        <is>
          <t xml:space="preserve"> Fischer</t>
        </is>
      </c>
      <c r="C574" s="11" t="inlineStr">
        <is>
          <t>Ranger 102 FR W</t>
        </is>
      </c>
      <c r="D574" s="13" t="n">
        <v>177</v>
      </c>
      <c r="E574" s="11" t="inlineStr">
        <is>
          <t xml:space="preserve"> Women's</t>
        </is>
      </c>
      <c r="F574" s="13" t="n">
        <v>177</v>
      </c>
      <c r="G574" s="13" t="n">
        <v>176.5</v>
      </c>
      <c r="H574" s="13" t="n">
        <v>119</v>
      </c>
      <c r="I574" s="13" t="n">
        <v>147</v>
      </c>
      <c r="J574" s="13" t="n">
        <v>135</v>
      </c>
      <c r="K574" s="13" t="n">
        <v>101</v>
      </c>
      <c r="L574" s="13" t="n">
        <v>125</v>
      </c>
      <c r="M574" s="13" t="n">
        <v>15.2</v>
      </c>
      <c r="N574" s="13" t="n">
        <v>1771</v>
      </c>
      <c r="O574" s="13" t="n">
        <v>1.13</v>
      </c>
      <c r="P574" s="13" t="n">
        <v>2009</v>
      </c>
      <c r="Q574" s="13" t="n">
        <v>229</v>
      </c>
      <c r="R574" s="13" t="n">
        <v>105</v>
      </c>
      <c r="S574" s="13" t="n">
        <v>49</v>
      </c>
      <c r="T574" s="13" t="n">
        <v>380</v>
      </c>
      <c r="U574" s="13" t="n">
        <v>28</v>
      </c>
      <c r="V574" s="13" t="n">
        <v>192</v>
      </c>
      <c r="W574" s="13" t="n">
        <v>0.575</v>
      </c>
      <c r="X574" s="13" t="n">
        <v>148</v>
      </c>
      <c r="Y574" s="13" t="n">
        <v>152</v>
      </c>
      <c r="Z574" s="13" t="n">
        <v>232</v>
      </c>
      <c r="AA574" s="13" t="n">
        <v>6</v>
      </c>
      <c r="AB574" s="13" t="n">
        <v>10.7</v>
      </c>
      <c r="AC574" s="11" t="inlineStr">
        <is>
          <t xml:space="preserve"> Resort Freeride</t>
        </is>
      </c>
      <c r="AD574" s="11" t="inlineStr">
        <is>
          <t xml:space="preserve"> Powder</t>
        </is>
      </c>
      <c r="AE574" s="11" t="inlineStr">
        <is>
          <t xml:space="preserve"> Touring</t>
        </is>
      </c>
      <c r="AF574" s="13" t="n"/>
      <c r="AG574" s="13" t="n"/>
    </row>
    <row r="575">
      <c r="A575" s="9" t="inlineStr">
        <is>
          <t>21/22</t>
        </is>
      </c>
      <c r="B575" s="10" t="inlineStr">
        <is>
          <t xml:space="preserve"> Fischer</t>
        </is>
      </c>
      <c r="C575" s="11" t="inlineStr">
        <is>
          <t>Ranger 102 FR W</t>
        </is>
      </c>
      <c r="D575" s="13" t="n">
        <v>184</v>
      </c>
      <c r="E575" s="11" t="inlineStr">
        <is>
          <t xml:space="preserve"> Women's</t>
        </is>
      </c>
      <c r="F575" s="13" t="n">
        <v>184</v>
      </c>
      <c r="G575" s="13" t="n">
        <v>184.2</v>
      </c>
      <c r="H575" s="13" t="n">
        <v>125</v>
      </c>
      <c r="I575" s="13" t="n">
        <v>152</v>
      </c>
      <c r="J575" s="13" t="n">
        <v>137</v>
      </c>
      <c r="K575" s="13" t="n">
        <v>102</v>
      </c>
      <c r="L575" s="13" t="n">
        <v>127</v>
      </c>
      <c r="M575" s="13" t="n">
        <v>16.1</v>
      </c>
      <c r="N575" s="13" t="n">
        <v>1930</v>
      </c>
      <c r="O575" s="13" t="n">
        <v>1.1</v>
      </c>
      <c r="P575" s="13" t="n">
        <v>2127</v>
      </c>
      <c r="Q575" s="13" t="n">
        <v>230</v>
      </c>
      <c r="R575" s="13" t="n">
        <v>108</v>
      </c>
      <c r="S575" s="13" t="n">
        <v>51</v>
      </c>
      <c r="T575" s="13" t="n">
        <v>396</v>
      </c>
      <c r="U575" s="13" t="n">
        <v>28</v>
      </c>
      <c r="V575" s="13" t="n">
        <v>199</v>
      </c>
      <c r="W575" s="13" t="n">
        <v>0.552</v>
      </c>
      <c r="X575" s="13" t="n">
        <v>156</v>
      </c>
      <c r="Y575" s="13" t="n">
        <v>168</v>
      </c>
      <c r="Z575" s="13" t="n">
        <v>240</v>
      </c>
      <c r="AA575" s="13" t="n">
        <v>5</v>
      </c>
      <c r="AB575" s="13" t="n">
        <v>10</v>
      </c>
      <c r="AC575" s="11" t="inlineStr">
        <is>
          <t xml:space="preserve"> Resort Freeride</t>
        </is>
      </c>
      <c r="AD575" s="11" t="inlineStr">
        <is>
          <t xml:space="preserve"> Powder</t>
        </is>
      </c>
      <c r="AE575" s="11" t="inlineStr">
        <is>
          <t xml:space="preserve"> Touring</t>
        </is>
      </c>
      <c r="AF575" s="13" t="n"/>
      <c r="AG575" s="13" t="n"/>
    </row>
    <row r="576">
      <c r="A576" s="9" t="inlineStr">
        <is>
          <t>21/22</t>
        </is>
      </c>
      <c r="B576" s="10" t="inlineStr">
        <is>
          <t xml:space="preserve"> Fischer</t>
        </is>
      </c>
      <c r="C576" s="11" t="inlineStr">
        <is>
          <t>Ranger 102 FR W</t>
        </is>
      </c>
      <c r="D576" s="13" t="n">
        <v>191</v>
      </c>
      <c r="E576" s="11" t="inlineStr">
        <is>
          <t xml:space="preserve"> Women's</t>
        </is>
      </c>
      <c r="F576" s="13" t="n">
        <v>191</v>
      </c>
      <c r="G576" s="13" t="n">
        <v>190.3</v>
      </c>
      <c r="H576" s="13" t="n">
        <v>131</v>
      </c>
      <c r="I576" s="13" t="n">
        <v>157</v>
      </c>
      <c r="J576" s="13" t="n">
        <v>137</v>
      </c>
      <c r="K576" s="13" t="n">
        <v>103</v>
      </c>
      <c r="L576" s="13" t="n">
        <v>127</v>
      </c>
      <c r="M576" s="13" t="n">
        <v>17.7</v>
      </c>
      <c r="N576" s="13" t="n">
        <v>2039</v>
      </c>
      <c r="O576" s="13" t="n">
        <v>1.08</v>
      </c>
      <c r="P576" s="13" t="n">
        <v>2205</v>
      </c>
      <c r="Q576" s="13" t="n">
        <v>247</v>
      </c>
      <c r="R576" s="13" t="n">
        <v>126</v>
      </c>
      <c r="S576" s="13" t="n">
        <v>49</v>
      </c>
      <c r="T576" s="13" t="n">
        <v>379</v>
      </c>
      <c r="U576" s="13" t="n">
        <v>27</v>
      </c>
      <c r="V576" s="13" t="n">
        <v>212</v>
      </c>
      <c r="W576" s="13" t="n">
        <v>0.551</v>
      </c>
      <c r="X576" s="13" t="n">
        <v>174</v>
      </c>
      <c r="Y576" s="13" t="n">
        <v>155</v>
      </c>
      <c r="Z576" s="13" t="n">
        <v>205</v>
      </c>
      <c r="AA576" s="13" t="n">
        <v>7</v>
      </c>
      <c r="AB576" s="13" t="n">
        <v>10.7</v>
      </c>
      <c r="AC576" s="11" t="inlineStr">
        <is>
          <t xml:space="preserve"> Resort Freeride</t>
        </is>
      </c>
      <c r="AD576" s="11" t="inlineStr">
        <is>
          <t xml:space="preserve"> Powder</t>
        </is>
      </c>
      <c r="AE576" s="11" t="inlineStr">
        <is>
          <t xml:space="preserve"> Touring</t>
        </is>
      </c>
      <c r="AF576" s="13" t="n"/>
      <c r="AG576" s="13" t="n"/>
    </row>
    <row r="577">
      <c r="A577" s="9" t="inlineStr">
        <is>
          <t>21/22</t>
        </is>
      </c>
      <c r="B577" s="10" t="inlineStr">
        <is>
          <t xml:space="preserve"> Fischer</t>
        </is>
      </c>
      <c r="C577" s="11" t="inlineStr">
        <is>
          <t>Ranger 115 FR Big Stix</t>
        </is>
      </c>
      <c r="D577" s="13" t="n">
        <v>172</v>
      </c>
      <c r="E577" s="11" t="inlineStr">
        <is>
          <t xml:space="preserve"> Unisex</t>
        </is>
      </c>
      <c r="F577" s="13" t="n">
        <v>172</v>
      </c>
      <c r="G577" s="13" t="n">
        <v>171.2</v>
      </c>
      <c r="H577" s="13" t="n">
        <v>117</v>
      </c>
      <c r="I577" s="13" t="n">
        <v>140</v>
      </c>
      <c r="J577" s="13" t="n">
        <v>138</v>
      </c>
      <c r="K577" s="13" t="n">
        <v>109</v>
      </c>
      <c r="L577" s="13" t="n">
        <v>128</v>
      </c>
      <c r="M577" s="13" t="n">
        <v>17.3</v>
      </c>
      <c r="N577" s="13" t="n">
        <v>1827</v>
      </c>
      <c r="O577" s="13" t="n">
        <v>1.11</v>
      </c>
      <c r="P577" s="13" t="n">
        <v>2027</v>
      </c>
      <c r="Q577" s="13" t="n">
        <v>186</v>
      </c>
      <c r="R577" s="13" t="n">
        <v>91</v>
      </c>
      <c r="S577" s="13" t="n">
        <v>51</v>
      </c>
      <c r="T577" s="13" t="n">
        <v>340</v>
      </c>
      <c r="U577" s="13" t="n">
        <v>30</v>
      </c>
      <c r="V577" s="13" t="n">
        <v>205</v>
      </c>
      <c r="W577" s="13" t="n">
        <v>0.587</v>
      </c>
      <c r="X577" s="13" t="n">
        <v>159</v>
      </c>
      <c r="Y577" s="13" t="n">
        <v>152</v>
      </c>
      <c r="Z577" s="13" t="n">
        <v>180</v>
      </c>
      <c r="AA577" s="13" t="n">
        <v>7</v>
      </c>
      <c r="AB577" s="13" t="n">
        <v>9.6</v>
      </c>
      <c r="AC577" s="11" t="inlineStr">
        <is>
          <t xml:space="preserve"> Powder</t>
        </is>
      </c>
      <c r="AD577" s="11" t="inlineStr">
        <is>
          <t xml:space="preserve"> Touring</t>
        </is>
      </c>
      <c r="AE577" s="13" t="n"/>
      <c r="AF577" s="13" t="n"/>
      <c r="AG577" s="13" t="n"/>
    </row>
    <row r="578">
      <c r="A578" s="9" t="inlineStr">
        <is>
          <t>21/22</t>
        </is>
      </c>
      <c r="B578" s="10" t="inlineStr">
        <is>
          <t xml:space="preserve"> Fischer</t>
        </is>
      </c>
      <c r="C578" s="11" t="inlineStr">
        <is>
          <t>Ranger 115 FR Big Stix</t>
        </is>
      </c>
      <c r="D578" s="13" t="n">
        <v>178</v>
      </c>
      <c r="E578" s="11" t="inlineStr">
        <is>
          <t xml:space="preserve"> Unisex</t>
        </is>
      </c>
      <c r="F578" s="13" t="n">
        <v>178</v>
      </c>
      <c r="G578" s="13" t="n">
        <v>179</v>
      </c>
      <c r="H578" s="13" t="n">
        <v>130</v>
      </c>
      <c r="I578" s="13" t="n">
        <v>148</v>
      </c>
      <c r="J578" s="13" t="n">
        <v>140</v>
      </c>
      <c r="K578" s="13" t="n">
        <v>111</v>
      </c>
      <c r="L578" s="13" t="n">
        <v>130</v>
      </c>
      <c r="M578" s="13" t="n">
        <v>19</v>
      </c>
      <c r="N578" s="13" t="n">
        <v>1998</v>
      </c>
      <c r="O578" s="13" t="n">
        <v>1.08</v>
      </c>
      <c r="P578" s="13" t="n">
        <v>2157</v>
      </c>
      <c r="Q578" s="13" t="n">
        <v>203</v>
      </c>
      <c r="R578" s="13" t="n">
        <v>91</v>
      </c>
      <c r="S578" s="13" t="n">
        <v>46</v>
      </c>
      <c r="T578" s="13" t="n">
        <v>316</v>
      </c>
      <c r="U578" s="13" t="n">
        <v>31</v>
      </c>
      <c r="V578" s="13" t="n">
        <v>179</v>
      </c>
      <c r="W578" s="13" t="n">
        <v>0.674</v>
      </c>
      <c r="X578" s="13" t="n">
        <v>149</v>
      </c>
      <c r="Y578" s="13" t="n">
        <v>160</v>
      </c>
      <c r="Z578" s="13" t="n">
        <v>167</v>
      </c>
      <c r="AA578" s="13" t="n">
        <v>9</v>
      </c>
      <c r="AB578" s="13" t="n">
        <v>9.5</v>
      </c>
      <c r="AC578" s="11" t="inlineStr">
        <is>
          <t xml:space="preserve"> Powder</t>
        </is>
      </c>
      <c r="AD578" s="11" t="inlineStr">
        <is>
          <t xml:space="preserve"> Touring</t>
        </is>
      </c>
      <c r="AE578" s="13" t="n"/>
      <c r="AF578" s="13" t="n"/>
      <c r="AG578" s="13" t="n"/>
    </row>
    <row r="579">
      <c r="A579" s="9" t="inlineStr">
        <is>
          <t>21/22</t>
        </is>
      </c>
      <c r="B579" s="10" t="inlineStr">
        <is>
          <t xml:space="preserve"> Fischer</t>
        </is>
      </c>
      <c r="C579" s="11" t="inlineStr">
        <is>
          <t>Ranger 115 FR Big Stix</t>
        </is>
      </c>
      <c r="D579" s="13" t="n">
        <v>188</v>
      </c>
      <c r="E579" s="11" t="inlineStr">
        <is>
          <t xml:space="preserve"> Unisex</t>
        </is>
      </c>
      <c r="F579" s="13" t="n">
        <v>188</v>
      </c>
      <c r="G579" s="13" t="n">
        <v>186.8</v>
      </c>
      <c r="H579" s="13" t="n">
        <v>125</v>
      </c>
      <c r="I579" s="13" t="n">
        <v>152</v>
      </c>
      <c r="J579" s="13" t="n">
        <v>144</v>
      </c>
      <c r="K579" s="13" t="n">
        <v>114</v>
      </c>
      <c r="L579" s="13" t="n">
        <v>134</v>
      </c>
      <c r="M579" s="13" t="n">
        <v>20.2</v>
      </c>
      <c r="N579" s="13" t="n">
        <v>2104</v>
      </c>
      <c r="O579" s="13" t="n">
        <v>1.1</v>
      </c>
      <c r="P579" s="13" t="n">
        <v>2309</v>
      </c>
      <c r="Q579" s="13" t="n">
        <v>245</v>
      </c>
      <c r="R579" s="13" t="n">
        <v>101</v>
      </c>
      <c r="S579" s="13" t="n">
        <v>51</v>
      </c>
      <c r="T579" s="13" t="n">
        <v>401</v>
      </c>
      <c r="U579" s="13" t="n">
        <v>38</v>
      </c>
      <c r="V579" s="13" t="n">
        <v>214</v>
      </c>
      <c r="W579" s="13" t="n">
        <v>0.738</v>
      </c>
      <c r="X579" s="13" t="n">
        <v>173</v>
      </c>
      <c r="Y579" s="13" t="n">
        <v>175</v>
      </c>
      <c r="Z579" s="13" t="n">
        <v>228</v>
      </c>
      <c r="AA579" s="13" t="n">
        <v>7</v>
      </c>
      <c r="AB579" s="13" t="n">
        <v>9.300000000000001</v>
      </c>
      <c r="AC579" s="11" t="inlineStr">
        <is>
          <t xml:space="preserve"> Powder</t>
        </is>
      </c>
      <c r="AD579" s="11" t="inlineStr">
        <is>
          <t xml:space="preserve"> Touring</t>
        </is>
      </c>
      <c r="AE579" s="13" t="n"/>
      <c r="AF579" s="13" t="n"/>
      <c r="AG579" s="13" t="n"/>
    </row>
    <row r="580">
      <c r="A580" s="9" t="inlineStr">
        <is>
          <t>21/22</t>
        </is>
      </c>
      <c r="B580" s="10" t="inlineStr">
        <is>
          <t xml:space="preserve"> Fischer</t>
        </is>
      </c>
      <c r="C580" s="11" t="inlineStr">
        <is>
          <t>Ranger 115 FR Big Stix</t>
        </is>
      </c>
      <c r="D580" s="13" t="n">
        <v>196</v>
      </c>
      <c r="E580" s="11" t="inlineStr">
        <is>
          <t xml:space="preserve"> Unisex</t>
        </is>
      </c>
      <c r="F580" s="13" t="n">
        <v>196</v>
      </c>
      <c r="G580" s="13" t="n">
        <v>195.1</v>
      </c>
      <c r="H580" s="13" t="n">
        <v>136</v>
      </c>
      <c r="I580" s="13" t="n">
        <v>159</v>
      </c>
      <c r="J580" s="13" t="n">
        <v>146</v>
      </c>
      <c r="K580" s="13" t="n">
        <v>116</v>
      </c>
      <c r="L580" s="13" t="n">
        <v>136</v>
      </c>
      <c r="M580" s="13" t="n">
        <v>21.7</v>
      </c>
      <c r="N580" s="13" t="n">
        <v>2307</v>
      </c>
      <c r="O580" s="13" t="n">
        <v>1.07</v>
      </c>
      <c r="P580" s="13" t="n">
        <v>2465</v>
      </c>
      <c r="Q580" s="13" t="n">
        <v>240</v>
      </c>
      <c r="R580" s="13" t="n">
        <v>114</v>
      </c>
      <c r="S580" s="13" t="n">
        <v>51</v>
      </c>
      <c r="T580" s="13" t="n">
        <v>361</v>
      </c>
      <c r="U580" s="13" t="n">
        <v>38</v>
      </c>
      <c r="V580" s="13" t="n">
        <v>227</v>
      </c>
      <c r="W580" s="13" t="n">
        <v>0.757</v>
      </c>
      <c r="X580" s="13" t="n">
        <v>176</v>
      </c>
      <c r="Y580" s="13" t="n">
        <v>184</v>
      </c>
      <c r="Z580" s="13" t="n">
        <v>185</v>
      </c>
      <c r="AA580" s="13" t="n">
        <v>10</v>
      </c>
      <c r="AB580" s="13" t="n">
        <v>8.699999999999999</v>
      </c>
      <c r="AC580" s="11" t="inlineStr">
        <is>
          <t xml:space="preserve"> Powder</t>
        </is>
      </c>
      <c r="AD580" s="11" t="inlineStr">
        <is>
          <t xml:space="preserve"> Touring</t>
        </is>
      </c>
      <c r="AE580" s="13" t="n"/>
      <c r="AF580" s="13" t="n"/>
      <c r="AG580" s="13" t="n"/>
    </row>
    <row r="581">
      <c r="A581" s="9" t="inlineStr">
        <is>
          <t>21/22</t>
        </is>
      </c>
      <c r="B581" s="10" t="inlineStr">
        <is>
          <t xml:space="preserve"> Fischer</t>
        </is>
      </c>
      <c r="C581" s="11" t="inlineStr">
        <is>
          <t>Ranger 90 FR</t>
        </is>
      </c>
      <c r="D581" s="13" t="n">
        <v>172</v>
      </c>
      <c r="E581" s="11" t="inlineStr">
        <is>
          <t xml:space="preserve"> Unisex</t>
        </is>
      </c>
      <c r="F581" s="13" t="n">
        <v>172</v>
      </c>
      <c r="G581" s="13" t="n">
        <v>170.6</v>
      </c>
      <c r="H581" s="13" t="n">
        <v>138</v>
      </c>
      <c r="I581" s="13" t="n">
        <v>145</v>
      </c>
      <c r="J581" s="13" t="n">
        <v>129</v>
      </c>
      <c r="K581" s="13" t="n">
        <v>92</v>
      </c>
      <c r="L581" s="13" t="n">
        <v>117</v>
      </c>
      <c r="M581" s="13" t="n">
        <v>15.3</v>
      </c>
      <c r="N581" s="13" t="n">
        <v>1677</v>
      </c>
      <c r="O581" s="13" t="n">
        <v>1.06</v>
      </c>
      <c r="P581" s="13" t="n">
        <v>1782</v>
      </c>
      <c r="Q581" s="13" t="n">
        <v>214</v>
      </c>
      <c r="R581" s="13" t="n">
        <v>103</v>
      </c>
      <c r="S581" s="13" t="n">
        <v>56</v>
      </c>
      <c r="T581" s="13" t="n">
        <v>203</v>
      </c>
      <c r="U581" s="13" t="n">
        <v>22</v>
      </c>
      <c r="V581" s="13" t="n">
        <v>123</v>
      </c>
      <c r="W581" s="13" t="n">
        <v>0.392</v>
      </c>
      <c r="X581" s="13" t="n">
        <v>153</v>
      </c>
      <c r="Y581" s="13" t="n">
        <v>98</v>
      </c>
      <c r="Z581" s="13" t="n">
        <v>50</v>
      </c>
      <c r="AA581" s="13" t="n">
        <v>8</v>
      </c>
      <c r="AB581" s="13" t="n">
        <v>10.9</v>
      </c>
      <c r="AC581" s="11" t="inlineStr">
        <is>
          <t xml:space="preserve"> Resort Freeride</t>
        </is>
      </c>
      <c r="AD581" s="11" t="inlineStr">
        <is>
          <t xml:space="preserve"> Touring</t>
        </is>
      </c>
      <c r="AE581" s="13" t="n"/>
      <c r="AF581" s="13" t="n"/>
      <c r="AG581" s="13" t="n"/>
    </row>
    <row r="582">
      <c r="A582" s="9" t="inlineStr">
        <is>
          <t>21/22</t>
        </is>
      </c>
      <c r="B582" s="10" t="inlineStr">
        <is>
          <t xml:space="preserve"> Fischer</t>
        </is>
      </c>
      <c r="C582" s="11" t="inlineStr">
        <is>
          <t>Ranger 92 Ti</t>
        </is>
      </c>
      <c r="D582" s="13" t="n">
        <v>171</v>
      </c>
      <c r="E582" s="11" t="inlineStr">
        <is>
          <t xml:space="preserve"> Unisex</t>
        </is>
      </c>
      <c r="F582" s="13" t="n">
        <v>171</v>
      </c>
      <c r="G582" s="13" t="n">
        <v>170.8</v>
      </c>
      <c r="H582" s="13" t="n">
        <v>117</v>
      </c>
      <c r="I582" s="13" t="n">
        <v>144</v>
      </c>
      <c r="J582" s="13" t="n">
        <v>124</v>
      </c>
      <c r="K582" s="13" t="n">
        <v>89</v>
      </c>
      <c r="L582" s="13" t="n">
        <v>115</v>
      </c>
      <c r="M582" s="13" t="n">
        <v>14.3</v>
      </c>
      <c r="N582" s="13" t="n">
        <v>1645</v>
      </c>
      <c r="O582" s="13" t="n">
        <v>1.06</v>
      </c>
      <c r="P582" s="13" t="n">
        <v>1751</v>
      </c>
      <c r="Q582" s="13" t="n">
        <v>187</v>
      </c>
      <c r="R582" s="13" t="n">
        <v>116</v>
      </c>
      <c r="S582" s="13" t="n">
        <v>49</v>
      </c>
      <c r="T582" s="13" t="n">
        <v>317</v>
      </c>
      <c r="U582" s="13" t="n">
        <v>16</v>
      </c>
      <c r="V582" s="13" t="n">
        <v>216</v>
      </c>
      <c r="W582" s="13" t="n">
        <v>0.319</v>
      </c>
      <c r="X582" s="13" t="n">
        <v>132</v>
      </c>
      <c r="Y582" s="13" t="n">
        <v>138</v>
      </c>
      <c r="Z582" s="13" t="n">
        <v>186</v>
      </c>
      <c r="AA582" s="13" t="n">
        <v>4</v>
      </c>
      <c r="AB582" s="13" t="n">
        <v>9.800000000000001</v>
      </c>
      <c r="AC582" s="11" t="inlineStr">
        <is>
          <t xml:space="preserve"> Resort Freeride</t>
        </is>
      </c>
      <c r="AD582" s="11" t="inlineStr">
        <is>
          <t xml:space="preserve"> Touring</t>
        </is>
      </c>
      <c r="AE582" s="13" t="n"/>
      <c r="AF582" s="13" t="n"/>
      <c r="AG582" s="13" t="n"/>
    </row>
    <row r="583">
      <c r="A583" s="9" t="inlineStr">
        <is>
          <t>21/22</t>
        </is>
      </c>
      <c r="B583" s="10" t="inlineStr">
        <is>
          <t xml:space="preserve"> Fischer</t>
        </is>
      </c>
      <c r="C583" s="11" t="inlineStr">
        <is>
          <t>Ranger 92 Ti</t>
        </is>
      </c>
      <c r="D583" s="13" t="n">
        <v>178</v>
      </c>
      <c r="E583" s="11" t="inlineStr">
        <is>
          <t xml:space="preserve"> Unisex</t>
        </is>
      </c>
      <c r="F583" s="13" t="n">
        <v>178</v>
      </c>
      <c r="G583" s="13" t="n">
        <v>177.5</v>
      </c>
      <c r="H583" s="13" t="n">
        <v>125</v>
      </c>
      <c r="I583" s="13" t="n">
        <v>151</v>
      </c>
      <c r="J583" s="13" t="n">
        <v>125</v>
      </c>
      <c r="K583" s="13" t="n">
        <v>90</v>
      </c>
      <c r="L583" s="13" t="n">
        <v>116</v>
      </c>
      <c r="M583" s="13" t="n">
        <v>15.5</v>
      </c>
      <c r="N583" s="13" t="n">
        <v>1775</v>
      </c>
      <c r="O583" s="13" t="n">
        <v>1.04</v>
      </c>
      <c r="P583" s="13" t="n">
        <v>1839</v>
      </c>
      <c r="Q583" s="13" t="n">
        <v>228</v>
      </c>
      <c r="R583" s="13" t="n">
        <v>127</v>
      </c>
      <c r="S583" s="13" t="n">
        <v>48</v>
      </c>
      <c r="T583" s="13" t="n">
        <v>304</v>
      </c>
      <c r="U583" s="13" t="n">
        <v>15</v>
      </c>
      <c r="V583" s="13" t="n">
        <v>220</v>
      </c>
      <c r="W583" s="13" t="n">
        <v>0.317</v>
      </c>
      <c r="X583" s="13" t="n">
        <v>135</v>
      </c>
      <c r="Y583" s="13" t="n">
        <v>133</v>
      </c>
      <c r="Z583" s="13" t="n">
        <v>170</v>
      </c>
      <c r="AA583" s="13" t="n">
        <v>4</v>
      </c>
      <c r="AB583" s="13" t="n">
        <v>8.4</v>
      </c>
      <c r="AC583" s="11" t="inlineStr">
        <is>
          <t xml:space="preserve"> Resort Freeride</t>
        </is>
      </c>
      <c r="AD583" s="13" t="n"/>
      <c r="AE583" s="13" t="n"/>
      <c r="AF583" s="13" t="n"/>
      <c r="AG583" s="13" t="n"/>
    </row>
    <row r="584">
      <c r="A584" s="9" t="inlineStr">
        <is>
          <t>21/22</t>
        </is>
      </c>
      <c r="B584" s="10" t="inlineStr">
        <is>
          <t xml:space="preserve"> Fischer</t>
        </is>
      </c>
      <c r="C584" s="11" t="inlineStr">
        <is>
          <t>Ranger 92 Ti</t>
        </is>
      </c>
      <c r="D584" s="13" t="n">
        <v>185</v>
      </c>
      <c r="E584" s="11" t="inlineStr">
        <is>
          <t xml:space="preserve"> Unisex</t>
        </is>
      </c>
      <c r="F584" s="13" t="n">
        <v>185</v>
      </c>
      <c r="G584" s="13" t="n">
        <v>184.5</v>
      </c>
      <c r="H584" s="13" t="n">
        <v>131</v>
      </c>
      <c r="I584" s="13" t="n">
        <v>155</v>
      </c>
      <c r="J584" s="13" t="n">
        <v>126</v>
      </c>
      <c r="K584" s="13" t="n">
        <v>91</v>
      </c>
      <c r="L584" s="13" t="n">
        <v>117</v>
      </c>
      <c r="M584" s="13" t="n">
        <v>16.6</v>
      </c>
      <c r="N584" s="13" t="n">
        <v>1851</v>
      </c>
      <c r="O584" s="13" t="n">
        <v>1.04</v>
      </c>
      <c r="P584" s="13" t="n">
        <v>1932</v>
      </c>
      <c r="Q584" s="13" t="n">
        <v>266</v>
      </c>
      <c r="R584" s="13" t="n">
        <v>141</v>
      </c>
      <c r="S584" s="13" t="n">
        <v>49</v>
      </c>
      <c r="T584" s="13" t="n">
        <v>312</v>
      </c>
      <c r="U584" s="13" t="n">
        <v>19</v>
      </c>
      <c r="V584" s="13" t="n">
        <v>227</v>
      </c>
      <c r="W584" s="13" t="n">
        <v>0.393</v>
      </c>
      <c r="X584" s="13" t="n">
        <v>140</v>
      </c>
      <c r="Y584" s="13" t="n">
        <v>150</v>
      </c>
      <c r="Z584" s="13" t="n">
        <v>172</v>
      </c>
      <c r="AA584" s="13" t="n">
        <v>5</v>
      </c>
      <c r="AB584" s="13" t="n">
        <v>10.5</v>
      </c>
      <c r="AC584" s="11" t="inlineStr">
        <is>
          <t xml:space="preserve"> Resort Freeride</t>
        </is>
      </c>
      <c r="AD584" s="13" t="n"/>
      <c r="AE584" s="13" t="n"/>
      <c r="AF584" s="13" t="n"/>
      <c r="AG584" s="13" t="n"/>
    </row>
    <row r="585">
      <c r="A585" s="9" t="inlineStr">
        <is>
          <t>21/22</t>
        </is>
      </c>
      <c r="B585" s="10" t="inlineStr">
        <is>
          <t xml:space="preserve"> Fischer</t>
        </is>
      </c>
      <c r="C585" s="11" t="inlineStr">
        <is>
          <t>Ranger 92 Ti W</t>
        </is>
      </c>
      <c r="D585" s="13" t="n">
        <v>155</v>
      </c>
      <c r="E585" s="11" t="inlineStr">
        <is>
          <t xml:space="preserve"> Women's</t>
        </is>
      </c>
      <c r="F585" s="13" t="n">
        <v>155</v>
      </c>
      <c r="G585" s="13" t="n">
        <v>154.1</v>
      </c>
      <c r="H585" s="13" t="n">
        <v>109</v>
      </c>
      <c r="I585" s="13" t="n">
        <v>131</v>
      </c>
      <c r="J585" s="13" t="n">
        <v>120</v>
      </c>
      <c r="K585" s="13" t="n">
        <v>87</v>
      </c>
      <c r="L585" s="13" t="n">
        <v>109</v>
      </c>
      <c r="M585" s="13" t="n">
        <v>13.1</v>
      </c>
      <c r="N585" s="13" t="n">
        <v>1530</v>
      </c>
      <c r="O585" s="13" t="n">
        <v>1</v>
      </c>
      <c r="P585" s="13" t="n">
        <v>1525</v>
      </c>
      <c r="Q585" s="13" t="n">
        <v>179</v>
      </c>
      <c r="R585" s="13" t="n">
        <v>111</v>
      </c>
      <c r="S585" s="13" t="n">
        <v>48</v>
      </c>
      <c r="T585" s="13" t="n">
        <v>288</v>
      </c>
      <c r="U585" s="13" t="n">
        <v>15</v>
      </c>
      <c r="V585" s="13" t="n">
        <v>160</v>
      </c>
      <c r="W585" s="13" t="n">
        <v>0.308</v>
      </c>
      <c r="X585" s="13" t="n">
        <v>114</v>
      </c>
      <c r="Y585" s="13" t="n">
        <v>119</v>
      </c>
      <c r="Z585" s="13" t="n">
        <v>173</v>
      </c>
      <c r="AA585" s="13" t="n">
        <v>2</v>
      </c>
      <c r="AB585" s="13" t="n">
        <v>10.1</v>
      </c>
      <c r="AC585" s="11" t="inlineStr">
        <is>
          <t xml:space="preserve"> Resort Freeride</t>
        </is>
      </c>
      <c r="AD585" s="13" t="n"/>
      <c r="AE585" s="13" t="n"/>
      <c r="AF585" s="13" t="n"/>
      <c r="AG585" s="13" t="n"/>
    </row>
    <row r="586">
      <c r="A586" s="9" t="inlineStr">
        <is>
          <t>21/22</t>
        </is>
      </c>
      <c r="B586" s="10" t="inlineStr">
        <is>
          <t xml:space="preserve"> Fischer</t>
        </is>
      </c>
      <c r="C586" s="11" t="inlineStr">
        <is>
          <t>Ranger 92 Ti W</t>
        </is>
      </c>
      <c r="D586" s="13" t="n">
        <v>163</v>
      </c>
      <c r="E586" s="11" t="inlineStr">
        <is>
          <t xml:space="preserve"> Women's</t>
        </is>
      </c>
      <c r="F586" s="13" t="n">
        <v>163</v>
      </c>
      <c r="G586" s="13" t="n">
        <v>162.1</v>
      </c>
      <c r="H586" s="13" t="n">
        <v>113</v>
      </c>
      <c r="I586" s="13" t="n">
        <v>138</v>
      </c>
      <c r="J586" s="13" t="n">
        <v>123</v>
      </c>
      <c r="K586" s="13" t="n">
        <v>88</v>
      </c>
      <c r="L586" s="13" t="n">
        <v>113</v>
      </c>
      <c r="M586" s="13" t="n">
        <v>13.5</v>
      </c>
      <c r="N586" s="13" t="n">
        <v>1649</v>
      </c>
      <c r="O586" s="13" t="n">
        <v>1</v>
      </c>
      <c r="P586" s="13" t="n">
        <v>1642</v>
      </c>
      <c r="Q586" s="13" t="n">
        <v>176</v>
      </c>
      <c r="R586" s="13" t="n">
        <v>114</v>
      </c>
      <c r="S586" s="13" t="n">
        <v>49</v>
      </c>
      <c r="T586" s="13" t="n">
        <v>296</v>
      </c>
      <c r="U586" s="13" t="n">
        <v>15</v>
      </c>
      <c r="V586" s="13" t="n">
        <v>197</v>
      </c>
      <c r="W586" s="13" t="n">
        <v>0.3</v>
      </c>
      <c r="X586" s="13" t="n">
        <v>121</v>
      </c>
      <c r="Y586" s="13" t="n">
        <v>121</v>
      </c>
      <c r="Z586" s="13" t="n">
        <v>174</v>
      </c>
      <c r="AA586" s="13" t="n">
        <v>4</v>
      </c>
      <c r="AB586" s="13" t="n">
        <v>9.4</v>
      </c>
      <c r="AC586" s="11" t="inlineStr">
        <is>
          <t xml:space="preserve"> Resort Freeride</t>
        </is>
      </c>
      <c r="AD586" s="13" t="n"/>
      <c r="AE586" s="13" t="n"/>
      <c r="AF586" s="13" t="n"/>
      <c r="AG586" s="13" t="n"/>
    </row>
    <row r="587">
      <c r="A587" s="9" t="inlineStr">
        <is>
          <t>21/22</t>
        </is>
      </c>
      <c r="B587" s="10" t="inlineStr">
        <is>
          <t xml:space="preserve"> Fischer</t>
        </is>
      </c>
      <c r="C587" s="11" t="inlineStr">
        <is>
          <t>Ranger 92 Ti W</t>
        </is>
      </c>
      <c r="D587" s="13" t="n">
        <v>171</v>
      </c>
      <c r="E587" s="11" t="inlineStr">
        <is>
          <t xml:space="preserve"> Women's</t>
        </is>
      </c>
      <c r="F587" s="13" t="n">
        <v>171</v>
      </c>
      <c r="G587" s="13" t="n">
        <v>170.6</v>
      </c>
      <c r="H587" s="13" t="n">
        <v>119</v>
      </c>
      <c r="I587" s="13" t="n">
        <v>145</v>
      </c>
      <c r="J587" s="13" t="n">
        <v>124</v>
      </c>
      <c r="K587" s="13" t="n">
        <v>89</v>
      </c>
      <c r="L587" s="13" t="n">
        <v>115</v>
      </c>
      <c r="M587" s="13" t="n">
        <v>14.5</v>
      </c>
      <c r="N587" s="13" t="n">
        <v>1752</v>
      </c>
      <c r="O587" s="13" t="n">
        <v>1</v>
      </c>
      <c r="P587" s="13" t="n">
        <v>1748</v>
      </c>
      <c r="Q587" s="13" t="n">
        <v>185</v>
      </c>
      <c r="R587" s="13" t="n">
        <v>117</v>
      </c>
      <c r="S587" s="13" t="n">
        <v>47</v>
      </c>
      <c r="T587" s="13" t="n">
        <v>310</v>
      </c>
      <c r="U587" s="13" t="n">
        <v>16</v>
      </c>
      <c r="V587" s="13" t="n">
        <v>207</v>
      </c>
      <c r="W587" s="13" t="n">
        <v>0.339</v>
      </c>
      <c r="X587" s="13" t="n">
        <v>130</v>
      </c>
      <c r="Y587" s="13" t="n">
        <v>129</v>
      </c>
      <c r="Z587" s="13" t="n">
        <v>180</v>
      </c>
      <c r="AA587" s="13" t="n">
        <v>5</v>
      </c>
      <c r="AB587" s="13" t="n">
        <v>9.800000000000001</v>
      </c>
      <c r="AC587" s="11" t="inlineStr">
        <is>
          <t xml:space="preserve"> Resort Freeride</t>
        </is>
      </c>
      <c r="AD587" s="13" t="n"/>
      <c r="AE587" s="13" t="n"/>
      <c r="AF587" s="13" t="n"/>
      <c r="AG587" s="13" t="n"/>
    </row>
    <row r="588">
      <c r="A588" s="9" t="inlineStr">
        <is>
          <t>21/22</t>
        </is>
      </c>
      <c r="B588" s="10" t="inlineStr">
        <is>
          <t xml:space="preserve"> Fischer</t>
        </is>
      </c>
      <c r="C588" s="11" t="inlineStr">
        <is>
          <t>Ranger 94 FR</t>
        </is>
      </c>
      <c r="D588" s="13" t="n">
        <v>153</v>
      </c>
      <c r="E588" s="11" t="inlineStr">
        <is>
          <t xml:space="preserve"> Unisex</t>
        </is>
      </c>
      <c r="F588" s="13" t="n">
        <v>153</v>
      </c>
      <c r="G588" s="13" t="n">
        <v>152.5</v>
      </c>
      <c r="H588" s="13" t="n">
        <v>105</v>
      </c>
      <c r="I588" s="13" t="n">
        <v>126</v>
      </c>
      <c r="J588" s="13" t="n">
        <v>121</v>
      </c>
      <c r="K588" s="13" t="n">
        <v>88</v>
      </c>
      <c r="L588" s="13" t="n">
        <v>111</v>
      </c>
      <c r="M588" s="13" t="n">
        <v>11.9</v>
      </c>
      <c r="N588" s="13" t="n">
        <v>1451</v>
      </c>
      <c r="O588" s="13" t="n">
        <v>1.05</v>
      </c>
      <c r="P588" s="13" t="n">
        <v>1525</v>
      </c>
      <c r="Q588" s="13" t="n">
        <v>152</v>
      </c>
      <c r="R588" s="13" t="n">
        <v>79</v>
      </c>
      <c r="S588" s="13" t="n">
        <v>53</v>
      </c>
      <c r="T588" s="13" t="n">
        <v>294</v>
      </c>
      <c r="U588" s="13" t="n">
        <v>31</v>
      </c>
      <c r="V588" s="13" t="n">
        <v>184</v>
      </c>
      <c r="W588" s="13" t="n">
        <v>0.587</v>
      </c>
      <c r="X588" s="13" t="n">
        <v>135</v>
      </c>
      <c r="Y588" s="13" t="n">
        <v>131</v>
      </c>
      <c r="Z588" s="13" t="n">
        <v>159</v>
      </c>
      <c r="AA588" s="13" t="n">
        <v>5</v>
      </c>
      <c r="AB588" s="13" t="n">
        <v>6.8</v>
      </c>
      <c r="AC588" s="11" t="inlineStr">
        <is>
          <t xml:space="preserve"> Resort Freeride</t>
        </is>
      </c>
      <c r="AD588" s="11" t="inlineStr">
        <is>
          <t xml:space="preserve"> Touring</t>
        </is>
      </c>
      <c r="AE588" s="13" t="n"/>
      <c r="AF588" s="13" t="n"/>
      <c r="AG588" s="13" t="n"/>
    </row>
    <row r="589">
      <c r="A589" s="9" t="inlineStr">
        <is>
          <t>21/22</t>
        </is>
      </c>
      <c r="B589" s="10" t="inlineStr">
        <is>
          <t xml:space="preserve"> Fischer</t>
        </is>
      </c>
      <c r="C589" s="11" t="inlineStr">
        <is>
          <t>Ranger 94 FR</t>
        </is>
      </c>
      <c r="D589" s="13" t="n">
        <v>169</v>
      </c>
      <c r="E589" s="11" t="inlineStr">
        <is>
          <t xml:space="preserve"> Unisex</t>
        </is>
      </c>
      <c r="F589" s="13" t="n">
        <v>169</v>
      </c>
      <c r="G589" s="13" t="n">
        <v>168.3</v>
      </c>
      <c r="H589" s="13" t="n">
        <v>119</v>
      </c>
      <c r="I589" s="13" t="n">
        <v>137</v>
      </c>
      <c r="J589" s="13" t="n">
        <v>125</v>
      </c>
      <c r="K589" s="13" t="n">
        <v>90</v>
      </c>
      <c r="L589" s="13" t="n">
        <v>115</v>
      </c>
      <c r="M589" s="13" t="n">
        <v>13.2</v>
      </c>
      <c r="N589" s="13" t="n">
        <v>1713</v>
      </c>
      <c r="O589" s="13" t="n">
        <v>1.01</v>
      </c>
      <c r="P589" s="13" t="n">
        <v>1736</v>
      </c>
      <c r="Q589" s="13" t="n">
        <v>207</v>
      </c>
      <c r="R589" s="13" t="n">
        <v>104</v>
      </c>
      <c r="S589" s="13" t="n">
        <v>50</v>
      </c>
      <c r="T589" s="13" t="n">
        <v>299</v>
      </c>
      <c r="U589" s="13" t="n">
        <v>31</v>
      </c>
      <c r="V589" s="13" t="n">
        <v>190</v>
      </c>
      <c r="W589" s="13" t="n">
        <v>0.621</v>
      </c>
      <c r="X589" s="13" t="n">
        <v>167</v>
      </c>
      <c r="Y589" s="13" t="n">
        <v>145</v>
      </c>
      <c r="Z589" s="13" t="n">
        <v>132</v>
      </c>
      <c r="AA589" s="13" t="n">
        <v>6</v>
      </c>
      <c r="AB589" s="13" t="n">
        <v>8</v>
      </c>
      <c r="AC589" s="11" t="inlineStr">
        <is>
          <t xml:space="preserve"> Resort Freeride</t>
        </is>
      </c>
      <c r="AD589" s="13" t="n"/>
      <c r="AE589" s="13" t="n"/>
      <c r="AF589" s="13" t="n"/>
      <c r="AG589" s="13" t="n"/>
    </row>
    <row r="590">
      <c r="A590" s="9" t="inlineStr">
        <is>
          <t>21/22</t>
        </is>
      </c>
      <c r="B590" s="10" t="inlineStr">
        <is>
          <t xml:space="preserve"> Fischer</t>
        </is>
      </c>
      <c r="C590" s="11" t="inlineStr">
        <is>
          <t>Ranger 94 FR</t>
        </is>
      </c>
      <c r="D590" s="13" t="n">
        <v>177</v>
      </c>
      <c r="E590" s="11" t="inlineStr">
        <is>
          <t xml:space="preserve"> Unisex</t>
        </is>
      </c>
      <c r="F590" s="13" t="n">
        <v>177</v>
      </c>
      <c r="G590" s="13" t="n">
        <v>176</v>
      </c>
      <c r="H590" s="13" t="n">
        <v>113</v>
      </c>
      <c r="I590" s="13" t="n">
        <v>148</v>
      </c>
      <c r="J590" s="13" t="n">
        <v>125</v>
      </c>
      <c r="K590" s="13" t="n">
        <v>91</v>
      </c>
      <c r="L590" s="13" t="n">
        <v>116</v>
      </c>
      <c r="M590" s="13" t="n">
        <v>15</v>
      </c>
      <c r="N590" s="13" t="n">
        <v>1867</v>
      </c>
      <c r="O590" s="13" t="n">
        <v>0.98</v>
      </c>
      <c r="P590" s="13" t="n">
        <v>1837</v>
      </c>
      <c r="Q590" s="13" t="n">
        <v>221</v>
      </c>
      <c r="R590" s="13" t="n">
        <v>114</v>
      </c>
      <c r="S590" s="13" t="n">
        <v>56</v>
      </c>
      <c r="T590" s="13" t="n">
        <v>387</v>
      </c>
      <c r="U590" s="13" t="n">
        <v>34</v>
      </c>
      <c r="V590" s="13" t="n">
        <v>241</v>
      </c>
      <c r="W590" s="13" t="n">
        <v>0.607</v>
      </c>
      <c r="X590" s="13" t="n">
        <v>146</v>
      </c>
      <c r="Y590" s="13" t="n">
        <v>139</v>
      </c>
      <c r="Z590" s="13" t="n">
        <v>241</v>
      </c>
      <c r="AA590" s="13" t="n">
        <v>5</v>
      </c>
      <c r="AB590" s="13" t="n">
        <v>8.9</v>
      </c>
      <c r="AC590" s="11" t="inlineStr">
        <is>
          <t xml:space="preserve"> Resort Freeride</t>
        </is>
      </c>
      <c r="AD590" s="13" t="n"/>
      <c r="AE590" s="13" t="n"/>
      <c r="AF590" s="13" t="n"/>
      <c r="AG590" s="13" t="n"/>
    </row>
    <row r="591">
      <c r="A591" s="9" t="inlineStr">
        <is>
          <t>21/22</t>
        </is>
      </c>
      <c r="B591" s="10" t="inlineStr">
        <is>
          <t xml:space="preserve"> Fischer</t>
        </is>
      </c>
      <c r="C591" s="11" t="inlineStr">
        <is>
          <t>Ranger 94 FR W</t>
        </is>
      </c>
      <c r="D591" s="13" t="n">
        <v>161</v>
      </c>
      <c r="E591" s="11" t="inlineStr">
        <is>
          <t xml:space="preserve"> Women's</t>
        </is>
      </c>
      <c r="F591" s="13" t="n">
        <v>161</v>
      </c>
      <c r="G591" s="13" t="n">
        <v>160.1</v>
      </c>
      <c r="H591" s="13" t="n">
        <v>106</v>
      </c>
      <c r="I591" s="13" t="n">
        <v>131</v>
      </c>
      <c r="J591" s="13" t="n">
        <v>123</v>
      </c>
      <c r="K591" s="13" t="n">
        <v>89</v>
      </c>
      <c r="L591" s="13" t="n">
        <v>114</v>
      </c>
      <c r="M591" s="13" t="n">
        <v>12.4</v>
      </c>
      <c r="N591" s="13" t="n">
        <v>1454</v>
      </c>
      <c r="O591" s="13" t="n">
        <v>1.13</v>
      </c>
      <c r="P591" s="13" t="n">
        <v>1638</v>
      </c>
      <c r="Q591" s="13" t="n">
        <v>167</v>
      </c>
      <c r="R591" s="13" t="n">
        <v>83</v>
      </c>
      <c r="S591" s="13" t="n">
        <v>50</v>
      </c>
      <c r="T591" s="13" t="n">
        <v>334</v>
      </c>
      <c r="U591" s="13" t="n">
        <v>37</v>
      </c>
      <c r="V591" s="13" t="n">
        <v>204</v>
      </c>
      <c r="W591" s="13" t="n">
        <v>0.746</v>
      </c>
      <c r="X591" s="13" t="n">
        <v>142</v>
      </c>
      <c r="Y591" s="13" t="n">
        <v>145</v>
      </c>
      <c r="Z591" s="13" t="n">
        <v>192</v>
      </c>
      <c r="AA591" s="13" t="n">
        <v>2</v>
      </c>
      <c r="AB591" s="13" t="n">
        <v>8.1</v>
      </c>
      <c r="AC591" s="11" t="inlineStr">
        <is>
          <t xml:space="preserve"> Resort Freeride</t>
        </is>
      </c>
      <c r="AD591" s="11" t="inlineStr">
        <is>
          <t xml:space="preserve"> Touring</t>
        </is>
      </c>
      <c r="AE591" s="13" t="n"/>
      <c r="AF591" s="13" t="n"/>
      <c r="AG591" s="13" t="n"/>
    </row>
    <row r="592">
      <c r="A592" s="9" t="inlineStr">
        <is>
          <t>21/22</t>
        </is>
      </c>
      <c r="B592" s="10" t="inlineStr">
        <is>
          <t xml:space="preserve"> Fischer</t>
        </is>
      </c>
      <c r="C592" s="11" t="inlineStr">
        <is>
          <t>Ranger 94 FR W</t>
        </is>
      </c>
      <c r="D592" s="13" t="n">
        <v>169</v>
      </c>
      <c r="E592" s="11" t="inlineStr">
        <is>
          <t xml:space="preserve"> Women's</t>
        </is>
      </c>
      <c r="F592" s="13" t="n">
        <v>169</v>
      </c>
      <c r="G592" s="13" t="n">
        <v>168.1</v>
      </c>
      <c r="H592" s="13" t="n">
        <v>113</v>
      </c>
      <c r="I592" s="13" t="n">
        <v>139</v>
      </c>
      <c r="J592" s="13" t="n">
        <v>125</v>
      </c>
      <c r="K592" s="13" t="n">
        <v>90</v>
      </c>
      <c r="L592" s="13" t="n">
        <v>116</v>
      </c>
      <c r="M592" s="13" t="n">
        <v>13.2</v>
      </c>
      <c r="N592" s="13" t="n">
        <v>1593</v>
      </c>
      <c r="O592" s="13" t="n">
        <v>1.1</v>
      </c>
      <c r="P592" s="13" t="n">
        <v>1746</v>
      </c>
      <c r="Q592" s="13" t="n">
        <v>211</v>
      </c>
      <c r="R592" s="13" t="n">
        <v>100</v>
      </c>
      <c r="S592" s="13" t="n">
        <v>52</v>
      </c>
      <c r="T592" s="13" t="n">
        <v>359</v>
      </c>
      <c r="U592" s="13" t="n">
        <v>33</v>
      </c>
      <c r="V592" s="13" t="n">
        <v>190</v>
      </c>
      <c r="W592" s="13" t="n">
        <v>0.634</v>
      </c>
      <c r="X592" s="13" t="n">
        <v>147</v>
      </c>
      <c r="Y592" s="13" t="n">
        <v>145</v>
      </c>
      <c r="Z592" s="13" t="n">
        <v>212</v>
      </c>
      <c r="AA592" s="13" t="n">
        <v>5</v>
      </c>
      <c r="AB592" s="13" t="n">
        <v>5.9</v>
      </c>
      <c r="AC592" s="11" t="inlineStr">
        <is>
          <t xml:space="preserve"> Resort Freeride</t>
        </is>
      </c>
      <c r="AD592" s="11" t="inlineStr">
        <is>
          <t xml:space="preserve"> Touring</t>
        </is>
      </c>
      <c r="AE592" s="13" t="n"/>
      <c r="AF592" s="13" t="n"/>
      <c r="AG592" s="13" t="n"/>
    </row>
    <row r="593">
      <c r="A593" s="9" t="inlineStr">
        <is>
          <t>21/22</t>
        </is>
      </c>
      <c r="B593" s="10" t="inlineStr">
        <is>
          <t xml:space="preserve"> Fischer</t>
        </is>
      </c>
      <c r="C593" s="11" t="inlineStr">
        <is>
          <t>Ranger 99 Ti</t>
        </is>
      </c>
      <c r="D593" s="13" t="n">
        <v>174</v>
      </c>
      <c r="E593" s="11" t="inlineStr">
        <is>
          <t xml:space="preserve"> Unisex</t>
        </is>
      </c>
      <c r="F593" s="13" t="n">
        <v>174</v>
      </c>
      <c r="G593" s="13" t="n">
        <v>174.2</v>
      </c>
      <c r="H593" s="13" t="n">
        <v>123</v>
      </c>
      <c r="I593" s="13" t="n">
        <v>147</v>
      </c>
      <c r="J593" s="13" t="n">
        <v>127</v>
      </c>
      <c r="K593" s="13" t="n">
        <v>95</v>
      </c>
      <c r="L593" s="13" t="n">
        <v>118</v>
      </c>
      <c r="M593" s="13" t="n">
        <v>16.5</v>
      </c>
      <c r="N593" s="13" t="n">
        <v>1786</v>
      </c>
      <c r="O593" s="13" t="n">
        <v>1.04</v>
      </c>
      <c r="P593" s="13" t="n">
        <v>1857</v>
      </c>
      <c r="Q593" s="13" t="n">
        <v>210</v>
      </c>
      <c r="R593" s="13" t="n">
        <v>118</v>
      </c>
      <c r="S593" s="13" t="n">
        <v>49</v>
      </c>
      <c r="T593" s="13" t="n">
        <v>296</v>
      </c>
      <c r="U593" s="13" t="n">
        <v>18</v>
      </c>
      <c r="V593" s="13" t="n">
        <v>217</v>
      </c>
      <c r="W593" s="13" t="n">
        <v>0.373</v>
      </c>
      <c r="X593" s="13" t="n">
        <v>144</v>
      </c>
      <c r="Y593" s="13" t="n">
        <v>126</v>
      </c>
      <c r="Z593" s="13" t="n">
        <v>152</v>
      </c>
      <c r="AA593" s="13" t="n">
        <v>6</v>
      </c>
      <c r="AB593" s="13" t="n">
        <v>9.300000000000001</v>
      </c>
      <c r="AC593" s="11" t="inlineStr">
        <is>
          <t xml:space="preserve"> Resort Freeride</t>
        </is>
      </c>
      <c r="AD593" s="13" t="n"/>
      <c r="AE593" s="13" t="n"/>
      <c r="AF593" s="13" t="n"/>
      <c r="AG593" s="13" t="n"/>
    </row>
    <row r="594">
      <c r="A594" s="9" t="inlineStr">
        <is>
          <t>21/22</t>
        </is>
      </c>
      <c r="B594" s="10" t="inlineStr">
        <is>
          <t xml:space="preserve"> Fischer</t>
        </is>
      </c>
      <c r="C594" s="11" t="inlineStr">
        <is>
          <t>Ranger 99 Ti</t>
        </is>
      </c>
      <c r="D594" s="13" t="n">
        <v>181</v>
      </c>
      <c r="E594" s="11" t="inlineStr">
        <is>
          <t xml:space="preserve"> Unisex</t>
        </is>
      </c>
      <c r="F594" s="13" t="n">
        <v>181</v>
      </c>
      <c r="G594" s="13" t="n">
        <v>180.2</v>
      </c>
      <c r="H594" s="13" t="n">
        <v>123</v>
      </c>
      <c r="I594" s="13" t="n">
        <v>152</v>
      </c>
      <c r="J594" s="13" t="n">
        <v>129</v>
      </c>
      <c r="K594" s="13" t="n">
        <v>96</v>
      </c>
      <c r="L594" s="13" t="n">
        <v>121</v>
      </c>
      <c r="M594" s="13" t="n">
        <v>16.9</v>
      </c>
      <c r="N594" s="13" t="n">
        <v>1891</v>
      </c>
      <c r="O594" s="13" t="n">
        <v>1.04</v>
      </c>
      <c r="P594" s="13" t="n">
        <v>1962</v>
      </c>
      <c r="Q594" s="13" t="n">
        <v>253</v>
      </c>
      <c r="R594" s="13" t="n">
        <v>145</v>
      </c>
      <c r="S594" s="13" t="n">
        <v>52</v>
      </c>
      <c r="T594" s="13" t="n">
        <v>343</v>
      </c>
      <c r="U594" s="13" t="n">
        <v>18</v>
      </c>
      <c r="V594" s="13" t="n">
        <v>229</v>
      </c>
      <c r="W594" s="13" t="n">
        <v>0.347</v>
      </c>
      <c r="X594" s="13" t="n">
        <v>140</v>
      </c>
      <c r="Y594" s="13" t="n">
        <v>138</v>
      </c>
      <c r="Z594" s="13" t="n">
        <v>203</v>
      </c>
      <c r="AA594" s="13" t="n">
        <v>5</v>
      </c>
      <c r="AB594" s="13" t="n">
        <v>9.699999999999999</v>
      </c>
      <c r="AC594" s="11" t="inlineStr">
        <is>
          <t xml:space="preserve"> Resort Freeride</t>
        </is>
      </c>
      <c r="AD594" s="13" t="n"/>
      <c r="AE594" s="13" t="n"/>
      <c r="AF594" s="13" t="n"/>
      <c r="AG594" s="13" t="n"/>
    </row>
    <row r="595">
      <c r="A595" s="9" t="inlineStr">
        <is>
          <t>21/22</t>
        </is>
      </c>
      <c r="B595" s="10" t="inlineStr">
        <is>
          <t xml:space="preserve"> Fischer</t>
        </is>
      </c>
      <c r="C595" s="11" t="inlineStr">
        <is>
          <t>Ranger 99 Ti</t>
        </is>
      </c>
      <c r="D595" s="13" t="n">
        <v>188</v>
      </c>
      <c r="E595" s="11" t="inlineStr">
        <is>
          <t xml:space="preserve"> Unisex</t>
        </is>
      </c>
      <c r="F595" s="13" t="n">
        <v>188</v>
      </c>
      <c r="G595" s="13" t="n">
        <v>187.6</v>
      </c>
      <c r="H595" s="13" t="n">
        <v>127</v>
      </c>
      <c r="I595" s="13" t="n">
        <v>160</v>
      </c>
      <c r="J595" s="13" t="n">
        <v>130</v>
      </c>
      <c r="K595" s="13" t="n">
        <v>98</v>
      </c>
      <c r="L595" s="13" t="n">
        <v>122</v>
      </c>
      <c r="M595" s="13" t="n">
        <v>19.1</v>
      </c>
      <c r="N595" s="13" t="n">
        <v>2115</v>
      </c>
      <c r="O595" s="13" t="n">
        <v>0.97</v>
      </c>
      <c r="P595" s="13" t="n">
        <v>2062</v>
      </c>
      <c r="Q595" s="13" t="n">
        <v>235</v>
      </c>
      <c r="R595" s="13" t="n">
        <v>152</v>
      </c>
      <c r="S595" s="13" t="n">
        <v>50</v>
      </c>
      <c r="T595" s="13" t="n">
        <v>351</v>
      </c>
      <c r="U595" s="13" t="n">
        <v>22</v>
      </c>
      <c r="V595" s="13" t="n">
        <v>254</v>
      </c>
      <c r="W595" s="13" t="n">
        <v>0.438</v>
      </c>
      <c r="X595" s="13" t="n">
        <v>147</v>
      </c>
      <c r="Y595" s="13" t="n">
        <v>131</v>
      </c>
      <c r="Z595" s="13" t="n">
        <v>204</v>
      </c>
      <c r="AA595" s="13" t="n">
        <v>6</v>
      </c>
      <c r="AB595" s="13" t="n">
        <v>9.300000000000001</v>
      </c>
      <c r="AC595" s="11" t="inlineStr">
        <is>
          <t xml:space="preserve"> Resort Freeride</t>
        </is>
      </c>
      <c r="AD595" s="13" t="n"/>
      <c r="AE595" s="13" t="n"/>
      <c r="AF595" s="13" t="n"/>
      <c r="AG595" s="13" t="n"/>
    </row>
    <row r="596">
      <c r="A596" s="9" t="inlineStr">
        <is>
          <t>21/22</t>
        </is>
      </c>
      <c r="B596" s="10" t="inlineStr">
        <is>
          <t xml:space="preserve"> Fischer</t>
        </is>
      </c>
      <c r="C596" s="11" t="inlineStr">
        <is>
          <t>Ranger 99 Ti W</t>
        </is>
      </c>
      <c r="D596" s="13" t="n">
        <v>158</v>
      </c>
      <c r="E596" s="11" t="inlineStr">
        <is>
          <t xml:space="preserve"> Women's</t>
        </is>
      </c>
      <c r="F596" s="13" t="n">
        <v>158</v>
      </c>
      <c r="G596" s="13" t="n">
        <v>157.1</v>
      </c>
      <c r="H596" s="13" t="n">
        <v>102</v>
      </c>
      <c r="I596" s="13" t="n">
        <v>133</v>
      </c>
      <c r="J596" s="13" t="n">
        <v>124</v>
      </c>
      <c r="K596" s="13" t="n">
        <v>93</v>
      </c>
      <c r="L596" s="13" t="n">
        <v>115</v>
      </c>
      <c r="M596" s="13" t="n">
        <v>14.2</v>
      </c>
      <c r="N596" s="13" t="n">
        <v>1650</v>
      </c>
      <c r="O596" s="13" t="n">
        <v>0.99</v>
      </c>
      <c r="P596" s="13" t="n">
        <v>1633</v>
      </c>
      <c r="Q596" s="13" t="n">
        <v>190</v>
      </c>
      <c r="R596" s="13" t="n">
        <v>117</v>
      </c>
      <c r="S596" s="13" t="n">
        <v>50</v>
      </c>
      <c r="T596" s="13" t="n">
        <v>332</v>
      </c>
      <c r="U596" s="13" t="n">
        <v>19</v>
      </c>
      <c r="V596" s="13" t="n">
        <v>216</v>
      </c>
      <c r="W596" s="13" t="n">
        <v>0.374</v>
      </c>
      <c r="X596" s="13" t="n">
        <v>132</v>
      </c>
      <c r="Y596" s="13" t="n">
        <v>114</v>
      </c>
      <c r="Z596" s="13" t="n">
        <v>200</v>
      </c>
      <c r="AA596" s="13" t="n">
        <v>3</v>
      </c>
      <c r="AB596" s="13" t="n">
        <v>9</v>
      </c>
      <c r="AC596" s="11" t="inlineStr">
        <is>
          <t xml:space="preserve"> Resort Freeride</t>
        </is>
      </c>
      <c r="AD596" s="13" t="n"/>
      <c r="AE596" s="13" t="n"/>
      <c r="AF596" s="13" t="n"/>
      <c r="AG596" s="13" t="n"/>
    </row>
    <row r="597">
      <c r="A597" s="9" t="inlineStr">
        <is>
          <t>21/22</t>
        </is>
      </c>
      <c r="B597" s="10" t="inlineStr">
        <is>
          <t xml:space="preserve"> Fischer</t>
        </is>
      </c>
      <c r="C597" s="11" t="inlineStr">
        <is>
          <t>Ranger 99 Ti W</t>
        </is>
      </c>
      <c r="D597" s="13" t="n">
        <v>166</v>
      </c>
      <c r="E597" s="11" t="inlineStr">
        <is>
          <t xml:space="preserve"> Women's</t>
        </is>
      </c>
      <c r="F597" s="13" t="n">
        <v>166</v>
      </c>
      <c r="G597" s="13" t="n">
        <v>165.2</v>
      </c>
      <c r="H597" s="13" t="n">
        <v>114</v>
      </c>
      <c r="I597" s="13" t="n">
        <v>140</v>
      </c>
      <c r="J597" s="13" t="n">
        <v>126</v>
      </c>
      <c r="K597" s="13" t="n">
        <v>94</v>
      </c>
      <c r="L597" s="13" t="n">
        <v>117</v>
      </c>
      <c r="M597" s="13" t="n">
        <v>15.3</v>
      </c>
      <c r="N597" s="13" t="n">
        <v>1723</v>
      </c>
      <c r="O597" s="13" t="n">
        <v>1.01</v>
      </c>
      <c r="P597" s="13" t="n">
        <v>1740</v>
      </c>
      <c r="Q597" s="13" t="n">
        <v>189</v>
      </c>
      <c r="R597" s="13" t="n">
        <v>118</v>
      </c>
      <c r="S597" s="13" t="n">
        <v>45</v>
      </c>
      <c r="T597" s="13" t="n">
        <v>286</v>
      </c>
      <c r="U597" s="13" t="n">
        <v>19</v>
      </c>
      <c r="V597" s="13" t="n">
        <v>229</v>
      </c>
      <c r="W597" s="13" t="n">
        <v>0.409</v>
      </c>
      <c r="X597" s="13" t="n">
        <v>134</v>
      </c>
      <c r="Y597" s="13" t="n">
        <v>120</v>
      </c>
      <c r="Z597" s="13" t="n">
        <v>152</v>
      </c>
      <c r="AA597" s="13" t="n">
        <v>4</v>
      </c>
      <c r="AB597" s="13" t="n">
        <v>9.5</v>
      </c>
      <c r="AC597" s="11" t="inlineStr">
        <is>
          <t xml:space="preserve"> Resort Freeride</t>
        </is>
      </c>
      <c r="AD597" s="13" t="n"/>
      <c r="AE597" s="13" t="n"/>
      <c r="AF597" s="13" t="n"/>
      <c r="AG597" s="13" t="n"/>
    </row>
    <row r="598">
      <c r="A598" s="9" t="inlineStr">
        <is>
          <t>21/22</t>
        </is>
      </c>
      <c r="B598" s="10" t="inlineStr">
        <is>
          <t xml:space="preserve"> Fischer</t>
        </is>
      </c>
      <c r="C598" s="11" t="inlineStr">
        <is>
          <t>RC One 78 GT</t>
        </is>
      </c>
      <c r="D598" s="13" t="n">
        <v>159</v>
      </c>
      <c r="E598" s="11" t="inlineStr">
        <is>
          <t xml:space="preserve"> Unisex</t>
        </is>
      </c>
      <c r="F598" s="13" t="n">
        <v>159</v>
      </c>
      <c r="G598" s="13" t="n">
        <v>158.2</v>
      </c>
      <c r="H598" s="13" t="n">
        <v>129</v>
      </c>
      <c r="I598" s="13" t="n">
        <v>143</v>
      </c>
      <c r="J598" s="13" t="n">
        <v>124</v>
      </c>
      <c r="K598" s="13" t="n">
        <v>78</v>
      </c>
      <c r="L598" s="13" t="n">
        <v>109</v>
      </c>
      <c r="M598" s="13" t="n">
        <v>12.4</v>
      </c>
      <c r="N598" s="13" t="n">
        <v>1912</v>
      </c>
      <c r="O598" s="13" t="n">
        <v>0.77</v>
      </c>
      <c r="P598" s="13" t="n">
        <v>1475</v>
      </c>
      <c r="Q598" s="13" t="n">
        <v>208</v>
      </c>
      <c r="R598" s="13" t="n">
        <v>73</v>
      </c>
      <c r="S598" s="13" t="n">
        <v>43</v>
      </c>
      <c r="T598" s="13" t="n">
        <v>208</v>
      </c>
      <c r="U598" s="13" t="n">
        <v>14</v>
      </c>
      <c r="V598" s="13" t="n">
        <v>85</v>
      </c>
      <c r="W598" s="13" t="n">
        <v>0.33</v>
      </c>
      <c r="X598" s="13" t="n">
        <v>71</v>
      </c>
      <c r="Y598" s="13" t="n">
        <v>78</v>
      </c>
      <c r="Z598" s="13" t="n">
        <v>136</v>
      </c>
      <c r="AA598" s="13" t="n">
        <v>8</v>
      </c>
      <c r="AB598" s="13" t="n">
        <v>8.6</v>
      </c>
      <c r="AC598" s="11" t="inlineStr">
        <is>
          <t xml:space="preserve"> On-Piste Carving</t>
        </is>
      </c>
      <c r="AD598" s="13" t="n"/>
      <c r="AE598" s="13" t="n"/>
      <c r="AF598" s="13" t="n"/>
      <c r="AG598" s="13" t="n"/>
    </row>
    <row r="599">
      <c r="A599" s="9" t="inlineStr">
        <is>
          <t>21/22</t>
        </is>
      </c>
      <c r="B599" s="10" t="inlineStr">
        <is>
          <t xml:space="preserve"> Fischer</t>
        </is>
      </c>
      <c r="C599" s="11" t="inlineStr">
        <is>
          <t>RC One 78 GT</t>
        </is>
      </c>
      <c r="D599" s="13" t="n">
        <v>166</v>
      </c>
      <c r="E599" s="11" t="inlineStr">
        <is>
          <t xml:space="preserve"> Unisex</t>
        </is>
      </c>
      <c r="F599" s="13" t="n">
        <v>166</v>
      </c>
      <c r="G599" s="13" t="n">
        <v>167.4</v>
      </c>
      <c r="H599" s="13" t="n">
        <v>132</v>
      </c>
      <c r="I599" s="13" t="n">
        <v>151</v>
      </c>
      <c r="J599" s="13" t="n">
        <v>123</v>
      </c>
      <c r="K599" s="13" t="n">
        <v>78</v>
      </c>
      <c r="L599" s="13" t="n">
        <v>109</v>
      </c>
      <c r="M599" s="13" t="n">
        <v>13.7</v>
      </c>
      <c r="N599" s="13" t="n">
        <v>1950</v>
      </c>
      <c r="O599" s="13" t="n">
        <v>0.8</v>
      </c>
      <c r="P599" s="13" t="n">
        <v>1556</v>
      </c>
      <c r="Q599" s="13" t="n">
        <v>211</v>
      </c>
      <c r="R599" s="13" t="n">
        <v>69</v>
      </c>
      <c r="S599" s="13" t="n">
        <v>50</v>
      </c>
      <c r="T599" s="13" t="n">
        <v>243</v>
      </c>
      <c r="U599" s="13" t="n">
        <v>20</v>
      </c>
      <c r="V599" s="13" t="n">
        <v>109</v>
      </c>
      <c r="W599" s="13" t="n">
        <v>0.408</v>
      </c>
      <c r="X599" s="13" t="n">
        <v>68</v>
      </c>
      <c r="Y599" s="13" t="n">
        <v>96</v>
      </c>
      <c r="Z599" s="13" t="n">
        <v>175</v>
      </c>
      <c r="AA599" s="13" t="n">
        <v>9</v>
      </c>
      <c r="AB599" s="13" t="n">
        <v>7</v>
      </c>
      <c r="AC599" s="11" t="inlineStr">
        <is>
          <t xml:space="preserve"> Other</t>
        </is>
      </c>
      <c r="AD599" s="13" t="n"/>
      <c r="AE599" s="13" t="n"/>
      <c r="AF599" s="13" t="n"/>
      <c r="AG599" s="13" t="n"/>
    </row>
    <row r="600">
      <c r="A600" s="9" t="inlineStr">
        <is>
          <t>21/22</t>
        </is>
      </c>
      <c r="B600" s="10" t="inlineStr">
        <is>
          <t xml:space="preserve"> Fischer</t>
        </is>
      </c>
      <c r="C600" s="11" t="inlineStr">
        <is>
          <t>RC One 78 GT</t>
        </is>
      </c>
      <c r="D600" s="13" t="n">
        <v>173</v>
      </c>
      <c r="E600" s="11" t="inlineStr">
        <is>
          <t xml:space="preserve"> Unisex</t>
        </is>
      </c>
      <c r="F600" s="13" t="n">
        <v>173</v>
      </c>
      <c r="G600" s="13" t="n">
        <v>172</v>
      </c>
      <c r="H600" s="13" t="n">
        <v>139</v>
      </c>
      <c r="I600" s="13" t="n">
        <v>157</v>
      </c>
      <c r="J600" s="13" t="n">
        <v>125</v>
      </c>
      <c r="K600" s="13" t="n">
        <v>80</v>
      </c>
      <c r="L600" s="13" t="n">
        <v>111</v>
      </c>
      <c r="M600" s="13" t="n">
        <v>15</v>
      </c>
      <c r="N600" s="13" t="n">
        <v>2106</v>
      </c>
      <c r="O600" s="13" t="n">
        <v>0.77</v>
      </c>
      <c r="P600" s="13" t="n">
        <v>1622</v>
      </c>
      <c r="Q600" s="13" t="n">
        <v>233</v>
      </c>
      <c r="R600" s="13" t="n">
        <v>79</v>
      </c>
      <c r="S600" s="13" t="n">
        <v>49</v>
      </c>
      <c r="T600" s="13" t="n">
        <v>241</v>
      </c>
      <c r="U600" s="13" t="n">
        <v>14</v>
      </c>
      <c r="V600" s="13" t="n">
        <v>86</v>
      </c>
      <c r="W600" s="13" t="n">
        <v>0.288</v>
      </c>
      <c r="X600" s="13" t="n">
        <v>70</v>
      </c>
      <c r="Y600" s="13" t="n">
        <v>78</v>
      </c>
      <c r="Z600" s="13" t="n">
        <v>172</v>
      </c>
      <c r="AA600" s="13" t="n">
        <v>7</v>
      </c>
      <c r="AB600" s="13" t="n">
        <v>8.5</v>
      </c>
      <c r="AC600" s="11" t="inlineStr">
        <is>
          <t xml:space="preserve"> On-Piste Carving</t>
        </is>
      </c>
      <c r="AD600" s="13" t="n"/>
      <c r="AE600" s="13" t="n"/>
      <c r="AF600" s="13" t="n"/>
      <c r="AG600" s="13" t="n"/>
    </row>
    <row r="601">
      <c r="A601" s="9" t="inlineStr">
        <is>
          <t>21/22</t>
        </is>
      </c>
      <c r="B601" s="10" t="inlineStr">
        <is>
          <t xml:space="preserve"> Fischer</t>
        </is>
      </c>
      <c r="C601" s="11" t="inlineStr">
        <is>
          <t>RC One 82 GT</t>
        </is>
      </c>
      <c r="D601" s="13" t="n">
        <v>166</v>
      </c>
      <c r="E601" s="11" t="inlineStr">
        <is>
          <t xml:space="preserve"> Unisex</t>
        </is>
      </c>
      <c r="F601" s="13" t="n">
        <v>166</v>
      </c>
      <c r="G601" s="13" t="n">
        <v>165.6</v>
      </c>
      <c r="H601" s="13" t="n">
        <v>127</v>
      </c>
      <c r="I601" s="13" t="n">
        <v>148</v>
      </c>
      <c r="J601" s="13" t="n">
        <v>125</v>
      </c>
      <c r="K601" s="13" t="n">
        <v>82</v>
      </c>
      <c r="L601" s="13" t="n">
        <v>111</v>
      </c>
      <c r="M601" s="13" t="n">
        <v>13.8</v>
      </c>
      <c r="N601" s="13" t="n">
        <v>1915</v>
      </c>
      <c r="O601" s="13" t="n">
        <v>0.83</v>
      </c>
      <c r="P601" s="13" t="n">
        <v>1583</v>
      </c>
      <c r="Q601" s="13" t="n">
        <v>215</v>
      </c>
      <c r="R601" s="13" t="n">
        <v>123</v>
      </c>
      <c r="S601" s="13" t="n">
        <v>49</v>
      </c>
      <c r="T601" s="13" t="n">
        <v>280</v>
      </c>
      <c r="U601" s="13" t="n">
        <v>6</v>
      </c>
      <c r="V601" s="13" t="n">
        <v>106</v>
      </c>
      <c r="W601" s="13" t="n">
        <v>0.12</v>
      </c>
      <c r="X601" s="13" t="n">
        <v>84</v>
      </c>
      <c r="Y601" s="13" t="n">
        <v>95</v>
      </c>
      <c r="Z601" s="13" t="n">
        <v>197</v>
      </c>
      <c r="AA601" s="13" t="n">
        <v>4</v>
      </c>
      <c r="AB601" s="13" t="n">
        <v>9.300000000000001</v>
      </c>
      <c r="AC601" s="11" t="inlineStr">
        <is>
          <t xml:space="preserve"> On-Piste All-Mountain</t>
        </is>
      </c>
      <c r="AD601" s="11" t="inlineStr">
        <is>
          <t xml:space="preserve"> Resort Freeride</t>
        </is>
      </c>
      <c r="AE601" s="13" t="n"/>
      <c r="AF601" s="13" t="n"/>
      <c r="AG601" s="13" t="n"/>
    </row>
    <row r="602">
      <c r="A602" s="9" t="inlineStr">
        <is>
          <t>21/22</t>
        </is>
      </c>
      <c r="B602" s="10" t="inlineStr">
        <is>
          <t xml:space="preserve"> Fischer</t>
        </is>
      </c>
      <c r="C602" s="11" t="inlineStr">
        <is>
          <t>RC One 82 GT</t>
        </is>
      </c>
      <c r="D602" s="13" t="n">
        <v>173</v>
      </c>
      <c r="E602" s="11" t="inlineStr">
        <is>
          <t xml:space="preserve"> Unisex</t>
        </is>
      </c>
      <c r="F602" s="13" t="n">
        <v>173</v>
      </c>
      <c r="G602" s="13" t="n">
        <v>172.3</v>
      </c>
      <c r="H602" s="13" t="n">
        <v>133</v>
      </c>
      <c r="I602" s="13" t="n">
        <v>154</v>
      </c>
      <c r="J602" s="13" t="n">
        <v>125</v>
      </c>
      <c r="K602" s="13" t="n">
        <v>81</v>
      </c>
      <c r="L602" s="13" t="n">
        <v>112</v>
      </c>
      <c r="M602" s="13" t="n">
        <v>14.6</v>
      </c>
      <c r="N602" s="13" t="n">
        <v>2002</v>
      </c>
      <c r="O602" s="13" t="n">
        <v>0.82</v>
      </c>
      <c r="P602" s="13" t="n">
        <v>1650</v>
      </c>
      <c r="Q602" s="13" t="n">
        <v>255</v>
      </c>
      <c r="R602" s="13" t="n">
        <v>155</v>
      </c>
      <c r="S602" s="13" t="n">
        <v>50</v>
      </c>
      <c r="T602" s="13" t="n">
        <v>263</v>
      </c>
      <c r="U602" s="13" t="n">
        <v>9</v>
      </c>
      <c r="V602" s="13" t="n">
        <v>130</v>
      </c>
      <c r="W602" s="13" t="n">
        <v>0.178</v>
      </c>
      <c r="X602" s="13" t="n">
        <v>84</v>
      </c>
      <c r="Y602" s="13" t="n">
        <v>104</v>
      </c>
      <c r="Z602" s="13" t="n">
        <v>179</v>
      </c>
      <c r="AA602" s="13" t="n">
        <v>5</v>
      </c>
      <c r="AB602" s="13" t="n">
        <v>9.9</v>
      </c>
      <c r="AC602" s="11" t="inlineStr">
        <is>
          <t xml:space="preserve"> On-Piste All-Mountain</t>
        </is>
      </c>
      <c r="AD602" s="11" t="inlineStr">
        <is>
          <t xml:space="preserve"> Resort Freeride</t>
        </is>
      </c>
      <c r="AE602" s="13" t="n"/>
      <c r="AF602" s="13" t="n"/>
      <c r="AG602" s="13" t="n"/>
    </row>
    <row r="603">
      <c r="A603" s="9" t="inlineStr">
        <is>
          <t>21/22</t>
        </is>
      </c>
      <c r="B603" s="10" t="inlineStr">
        <is>
          <t xml:space="preserve"> Fischer</t>
        </is>
      </c>
      <c r="C603" s="11" t="inlineStr">
        <is>
          <t>RC4 WC SC</t>
        </is>
      </c>
      <c r="D603" s="13" t="n">
        <v>165</v>
      </c>
      <c r="E603" s="11" t="inlineStr">
        <is>
          <t xml:space="preserve"> Unisex</t>
        </is>
      </c>
      <c r="F603" s="13" t="n">
        <v>165</v>
      </c>
      <c r="G603" s="13" t="n">
        <v>164.5</v>
      </c>
      <c r="H603" s="13" t="n">
        <v>146</v>
      </c>
      <c r="I603" s="13" t="n">
        <v>155</v>
      </c>
      <c r="J603" s="13" t="n">
        <v>120</v>
      </c>
      <c r="K603" s="13" t="n">
        <v>66</v>
      </c>
      <c r="L603" s="13" t="n">
        <v>103</v>
      </c>
      <c r="M603" s="13" t="n">
        <v>12.6</v>
      </c>
      <c r="N603" s="13" t="n">
        <v>2012</v>
      </c>
      <c r="O603" s="13" t="n">
        <v>0.68</v>
      </c>
      <c r="P603" s="13" t="n">
        <v>1373</v>
      </c>
      <c r="Q603" s="13" t="n">
        <v>212</v>
      </c>
      <c r="R603" s="13" t="n">
        <v>130</v>
      </c>
      <c r="S603" s="13" t="n">
        <v>37</v>
      </c>
      <c r="T603" s="13" t="n">
        <v>139</v>
      </c>
      <c r="U603" s="13" t="n">
        <v>4</v>
      </c>
      <c r="V603" s="13" t="n">
        <v>48</v>
      </c>
      <c r="W603" s="13" t="n">
        <v>0.097</v>
      </c>
      <c r="X603" s="13" t="n">
        <v>47</v>
      </c>
      <c r="Y603" s="13" t="n">
        <v>45</v>
      </c>
      <c r="Z603" s="13" t="n">
        <v>92</v>
      </c>
      <c r="AA603" s="13" t="n">
        <v>9</v>
      </c>
      <c r="AB603" s="13" t="n">
        <v>12.9</v>
      </c>
      <c r="AC603" s="11" t="inlineStr">
        <is>
          <t xml:space="preserve"> On-Piste Carving</t>
        </is>
      </c>
      <c r="AD603" s="13" t="n"/>
      <c r="AE603" s="13" t="n"/>
      <c r="AF603" s="13" t="n"/>
      <c r="AG603" s="13" t="n"/>
    </row>
    <row r="604">
      <c r="A604" s="9" t="inlineStr">
        <is>
          <t>21/22</t>
        </is>
      </c>
      <c r="B604" s="10" t="inlineStr">
        <is>
          <t xml:space="preserve"> Fischer</t>
        </is>
      </c>
      <c r="C604" s="11" t="inlineStr">
        <is>
          <t>RC4 WC SC</t>
        </is>
      </c>
      <c r="D604" s="13" t="n">
        <v>170</v>
      </c>
      <c r="E604" s="11" t="inlineStr">
        <is>
          <t xml:space="preserve"> Unisex</t>
        </is>
      </c>
      <c r="F604" s="13" t="n">
        <v>170</v>
      </c>
      <c r="G604" s="13" t="n">
        <v>169.2</v>
      </c>
      <c r="H604" s="13" t="n">
        <v>150</v>
      </c>
      <c r="I604" s="13" t="n">
        <v>160</v>
      </c>
      <c r="J604" s="13" t="n">
        <v>121</v>
      </c>
      <c r="K604" s="13" t="n">
        <v>66</v>
      </c>
      <c r="L604" s="13" t="n">
        <v>104</v>
      </c>
      <c r="M604" s="13" t="n">
        <v>13.1</v>
      </c>
      <c r="N604" s="13" t="n">
        <v>2126</v>
      </c>
      <c r="O604" s="13" t="n">
        <v>0.67</v>
      </c>
      <c r="P604" s="13" t="n">
        <v>1419</v>
      </c>
      <c r="Q604" s="13" t="n">
        <v>246</v>
      </c>
      <c r="R604" s="13" t="n">
        <v>166</v>
      </c>
      <c r="S604" s="13" t="n">
        <v>36</v>
      </c>
      <c r="T604" s="13" t="n">
        <v>137</v>
      </c>
      <c r="U604" s="13" t="n">
        <v>4</v>
      </c>
      <c r="V604" s="13" t="n">
        <v>50</v>
      </c>
      <c r="W604" s="13" t="n">
        <v>0.107</v>
      </c>
      <c r="X604" s="13" t="n">
        <v>47</v>
      </c>
      <c r="Y604" s="13" t="n">
        <v>43</v>
      </c>
      <c r="Z604" s="13" t="n">
        <v>91</v>
      </c>
      <c r="AA604" s="13" t="n">
        <v>8</v>
      </c>
      <c r="AB604" s="13" t="n">
        <v>13.1</v>
      </c>
      <c r="AC604" s="11" t="inlineStr">
        <is>
          <t xml:space="preserve"> On-Piste Carving</t>
        </is>
      </c>
      <c r="AD604" s="13" t="n"/>
      <c r="AE604" s="13" t="n"/>
      <c r="AF604" s="13" t="n"/>
      <c r="AG604" s="13" t="n"/>
    </row>
    <row r="605">
      <c r="A605" s="9" t="inlineStr">
        <is>
          <t>21/22</t>
        </is>
      </c>
      <c r="B605" s="10" t="inlineStr">
        <is>
          <t xml:space="preserve"> Fischer</t>
        </is>
      </c>
      <c r="C605" s="11" t="inlineStr">
        <is>
          <t>Transalp 82</t>
        </is>
      </c>
      <c r="D605" s="13" t="n">
        <v>155</v>
      </c>
      <c r="E605" s="11" t="inlineStr">
        <is>
          <t xml:space="preserve"> Women's</t>
        </is>
      </c>
      <c r="F605" s="13" t="n">
        <v>155</v>
      </c>
      <c r="G605" s="13" t="n">
        <v>155.1</v>
      </c>
      <c r="H605" s="13" t="n">
        <v>123</v>
      </c>
      <c r="I605" s="13" t="n">
        <v>138</v>
      </c>
      <c r="J605" s="13" t="n">
        <v>116</v>
      </c>
      <c r="K605" s="13" t="n">
        <v>79</v>
      </c>
      <c r="L605" s="13" t="n">
        <v>105</v>
      </c>
      <c r="M605" s="13" t="n">
        <v>14.1</v>
      </c>
      <c r="N605" s="13" t="n">
        <v>1056</v>
      </c>
      <c r="O605" s="13" t="n">
        <v>1.34</v>
      </c>
      <c r="P605" s="13" t="n">
        <v>1415</v>
      </c>
      <c r="Q605" s="13" t="n">
        <v>182</v>
      </c>
      <c r="R605" s="13" t="n">
        <v>66</v>
      </c>
      <c r="S605" s="13" t="n">
        <v>54</v>
      </c>
      <c r="T605" s="13" t="n">
        <v>231</v>
      </c>
      <c r="U605" s="13" t="n">
        <v>10</v>
      </c>
      <c r="V605" s="13" t="n">
        <v>90</v>
      </c>
      <c r="W605" s="13" t="n">
        <v>0.184</v>
      </c>
      <c r="X605" s="13" t="n">
        <v>93</v>
      </c>
      <c r="Y605" s="13" t="n">
        <v>81</v>
      </c>
      <c r="Z605" s="13" t="n">
        <v>138</v>
      </c>
      <c r="AA605" s="13" t="n">
        <v>6</v>
      </c>
      <c r="AB605" s="13" t="n">
        <v>9.5</v>
      </c>
      <c r="AC605" s="11" t="inlineStr">
        <is>
          <t xml:space="preserve"> Touring</t>
        </is>
      </c>
      <c r="AD605" s="11" t="inlineStr">
        <is>
          <t xml:space="preserve"> Ultralight Touring</t>
        </is>
      </c>
      <c r="AE605" s="13" t="n"/>
      <c r="AF605" s="13" t="n"/>
      <c r="AG605" s="13" t="n"/>
    </row>
    <row r="606">
      <c r="A606" s="9" t="inlineStr">
        <is>
          <t>21/22</t>
        </is>
      </c>
      <c r="B606" s="10" t="inlineStr">
        <is>
          <t xml:space="preserve"> Fischer</t>
        </is>
      </c>
      <c r="C606" s="11" t="inlineStr">
        <is>
          <t>Transalp 82</t>
        </is>
      </c>
      <c r="D606" s="13" t="n">
        <v>162</v>
      </c>
      <c r="E606" s="11" t="inlineStr">
        <is>
          <t xml:space="preserve"> Women's</t>
        </is>
      </c>
      <c r="F606" s="13" t="n">
        <v>162</v>
      </c>
      <c r="G606" s="13" t="n">
        <v>160.7</v>
      </c>
      <c r="H606" s="13" t="n">
        <v>126</v>
      </c>
      <c r="I606" s="13" t="n">
        <v>143</v>
      </c>
      <c r="J606" s="13" t="n">
        <v>116</v>
      </c>
      <c r="K606" s="13" t="n">
        <v>80</v>
      </c>
      <c r="L606" s="13" t="n">
        <v>106</v>
      </c>
      <c r="M606" s="13" t="n">
        <v>15.4</v>
      </c>
      <c r="N606" s="13" t="n">
        <v>1092</v>
      </c>
      <c r="O606" s="13" t="n">
        <v>1.35</v>
      </c>
      <c r="P606" s="13" t="n">
        <v>1473</v>
      </c>
      <c r="Q606" s="13" t="n">
        <v>195</v>
      </c>
      <c r="R606" s="13" t="n">
        <v>80</v>
      </c>
      <c r="S606" s="13" t="n">
        <v>47</v>
      </c>
      <c r="T606" s="13" t="n">
        <v>250</v>
      </c>
      <c r="U606" s="13" t="n">
        <v>10</v>
      </c>
      <c r="V606" s="13" t="n">
        <v>95</v>
      </c>
      <c r="W606" s="13" t="n">
        <v>0.203</v>
      </c>
      <c r="X606" s="13" t="n">
        <v>74</v>
      </c>
      <c r="Y606" s="13" t="n">
        <v>103</v>
      </c>
      <c r="Z606" s="13" t="n">
        <v>175</v>
      </c>
      <c r="AA606" s="13" t="n">
        <v>7</v>
      </c>
      <c r="AB606" s="13" t="n">
        <v>9.9</v>
      </c>
      <c r="AC606" s="11" t="inlineStr">
        <is>
          <t xml:space="preserve"> Touring</t>
        </is>
      </c>
      <c r="AD606" s="11" t="inlineStr">
        <is>
          <t xml:space="preserve"> Ultralight Touring</t>
        </is>
      </c>
      <c r="AE606" s="13" t="n"/>
      <c r="AF606" s="13" t="n"/>
      <c r="AG606" s="13" t="n"/>
    </row>
    <row r="607">
      <c r="A607" s="9" t="inlineStr">
        <is>
          <t>21/22</t>
        </is>
      </c>
      <c r="B607" s="10" t="inlineStr">
        <is>
          <t xml:space="preserve"> Head</t>
        </is>
      </c>
      <c r="C607" s="11" t="inlineStr">
        <is>
          <t xml:space="preserve"> Absolut Joy</t>
        </is>
      </c>
      <c r="D607" s="13" t="n">
        <v>153</v>
      </c>
      <c r="E607" s="11" t="inlineStr">
        <is>
          <t xml:space="preserve"> Women's</t>
        </is>
      </c>
      <c r="F607" s="13" t="n">
        <v>153</v>
      </c>
      <c r="G607" s="13" t="n">
        <v>152.3</v>
      </c>
      <c r="H607" s="13" t="n">
        <v>131</v>
      </c>
      <c r="I607" s="13" t="n">
        <v>135</v>
      </c>
      <c r="J607" s="13" t="n">
        <v>130</v>
      </c>
      <c r="K607" s="13" t="n">
        <v>78</v>
      </c>
      <c r="L607" s="13" t="n">
        <v>108</v>
      </c>
      <c r="M607" s="13" t="n">
        <v>11.2</v>
      </c>
      <c r="N607" s="13" t="n">
        <v>1604</v>
      </c>
      <c r="O607" s="13" t="n">
        <v>0.89</v>
      </c>
      <c r="P607" s="13" t="n">
        <v>1425</v>
      </c>
      <c r="Q607" s="13" t="n">
        <v>122</v>
      </c>
      <c r="R607" s="13" t="n">
        <v>65</v>
      </c>
      <c r="S607" s="13" t="n">
        <v>34</v>
      </c>
      <c r="T607" s="13" t="n">
        <v>136</v>
      </c>
      <c r="U607" s="13" t="n">
        <v>11</v>
      </c>
      <c r="V607" s="13" t="n">
        <v>73</v>
      </c>
      <c r="W607" s="13" t="n">
        <v>0.338</v>
      </c>
      <c r="X607" s="13" t="n">
        <v>111</v>
      </c>
      <c r="Y607" s="13" t="n">
        <v>62</v>
      </c>
      <c r="Z607" s="13" t="n">
        <v>25</v>
      </c>
      <c r="AA607" s="13" t="n">
        <v>11</v>
      </c>
      <c r="AB607" s="13" t="n">
        <v>10.8</v>
      </c>
      <c r="AC607" s="11" t="inlineStr">
        <is>
          <t xml:space="preserve"> On-Piste Carving</t>
        </is>
      </c>
      <c r="AD607" s="11" t="inlineStr">
        <is>
          <t xml:space="preserve"> On-Piste All-Mountain</t>
        </is>
      </c>
      <c r="AE607" s="13" t="n"/>
      <c r="AF607" s="13" t="n"/>
      <c r="AG607" s="13" t="n"/>
    </row>
    <row r="608">
      <c r="A608" s="9" t="inlineStr">
        <is>
          <t>21/22</t>
        </is>
      </c>
      <c r="B608" s="10" t="inlineStr">
        <is>
          <t xml:space="preserve"> Head</t>
        </is>
      </c>
      <c r="C608" s="11" t="inlineStr">
        <is>
          <t>Kore 105</t>
        </is>
      </c>
      <c r="D608" s="13" t="n">
        <v>170</v>
      </c>
      <c r="E608" s="11" t="inlineStr">
        <is>
          <t xml:space="preserve"> Unisex</t>
        </is>
      </c>
      <c r="F608" s="13" t="n">
        <v>170</v>
      </c>
      <c r="G608" s="13" t="n">
        <v>170.1</v>
      </c>
      <c r="H608" s="13" t="n">
        <v>127</v>
      </c>
      <c r="I608" s="13" t="n">
        <v>131</v>
      </c>
      <c r="J608" s="13" t="n">
        <v>128</v>
      </c>
      <c r="K608" s="13" t="n">
        <v>100</v>
      </c>
      <c r="L608" s="13" t="n">
        <v>118</v>
      </c>
      <c r="M608" s="13" t="n">
        <v>15.9</v>
      </c>
      <c r="N608" s="13" t="n">
        <v>1636</v>
      </c>
      <c r="O608" s="13" t="n">
        <v>1.15</v>
      </c>
      <c r="P608" s="13" t="n">
        <v>1875</v>
      </c>
      <c r="Q608" s="13" t="n">
        <v>222</v>
      </c>
      <c r="R608" s="13" t="n">
        <v>108</v>
      </c>
      <c r="S608" s="13" t="n">
        <v>54</v>
      </c>
      <c r="T608" s="13" t="n">
        <v>253</v>
      </c>
      <c r="U608" s="13" t="n">
        <v>19</v>
      </c>
      <c r="V608" s="13" t="n">
        <v>176</v>
      </c>
      <c r="W608" s="13" t="n">
        <v>0.356</v>
      </c>
      <c r="X608" s="13" t="n">
        <v>230</v>
      </c>
      <c r="Y608" s="13" t="n">
        <v>161</v>
      </c>
      <c r="Z608" s="13" t="n">
        <v>23</v>
      </c>
      <c r="AA608" s="13" t="n">
        <v>6</v>
      </c>
      <c r="AB608" s="13" t="n">
        <v>9.800000000000001</v>
      </c>
      <c r="AC608" s="11" t="inlineStr">
        <is>
          <t xml:space="preserve"> Resort Freeride</t>
        </is>
      </c>
      <c r="AD608" s="11" t="inlineStr">
        <is>
          <t xml:space="preserve"> Touring</t>
        </is>
      </c>
      <c r="AE608" s="13" t="n"/>
      <c r="AF608" s="13" t="n"/>
      <c r="AG608" s="13" t="n"/>
    </row>
    <row r="609">
      <c r="A609" s="9" t="inlineStr">
        <is>
          <t>21/22</t>
        </is>
      </c>
      <c r="B609" s="10" t="inlineStr">
        <is>
          <t xml:space="preserve"> Head</t>
        </is>
      </c>
      <c r="C609" s="11" t="inlineStr">
        <is>
          <t>Kore 105</t>
        </is>
      </c>
      <c r="D609" s="13" t="n">
        <v>177</v>
      </c>
      <c r="E609" s="11" t="inlineStr">
        <is>
          <t xml:space="preserve"> Unisex</t>
        </is>
      </c>
      <c r="F609" s="13" t="n">
        <v>177</v>
      </c>
      <c r="G609" s="13" t="n">
        <v>176.6</v>
      </c>
      <c r="H609" s="13" t="n">
        <v>134</v>
      </c>
      <c r="I609" s="13" t="n">
        <v>137</v>
      </c>
      <c r="J609" s="13" t="n">
        <v>132</v>
      </c>
      <c r="K609" s="13" t="n">
        <v>102</v>
      </c>
      <c r="L609" s="13" t="n">
        <v>121</v>
      </c>
      <c r="M609" s="13" t="n">
        <v>17</v>
      </c>
      <c r="N609" s="13" t="n">
        <v>1686</v>
      </c>
      <c r="O609" s="13" t="n">
        <v>1.18</v>
      </c>
      <c r="P609" s="13" t="n">
        <v>1988</v>
      </c>
      <c r="Q609" s="13" t="n">
        <v>253</v>
      </c>
      <c r="R609" s="13" t="n">
        <v>129</v>
      </c>
      <c r="S609" s="13" t="n">
        <v>52</v>
      </c>
      <c r="T609" s="13" t="n">
        <v>246</v>
      </c>
      <c r="U609" s="13" t="n">
        <v>21</v>
      </c>
      <c r="V609" s="13" t="n">
        <v>175</v>
      </c>
      <c r="W609" s="13" t="n">
        <v>0.393</v>
      </c>
      <c r="X609" s="13" t="n">
        <v>231</v>
      </c>
      <c r="Y609" s="13" t="n">
        <v>167</v>
      </c>
      <c r="Z609" s="13" t="n">
        <v>16</v>
      </c>
      <c r="AA609" s="13" t="n">
        <v>8</v>
      </c>
      <c r="AB609" s="13" t="n">
        <v>10</v>
      </c>
      <c r="AC609" s="11" t="inlineStr">
        <is>
          <t xml:space="preserve"> Resort Freeride</t>
        </is>
      </c>
      <c r="AD609" s="11" t="inlineStr">
        <is>
          <t xml:space="preserve"> Powder</t>
        </is>
      </c>
      <c r="AE609" s="11" t="inlineStr">
        <is>
          <t xml:space="preserve"> Big Mountain</t>
        </is>
      </c>
      <c r="AF609" s="11" t="inlineStr">
        <is>
          <t xml:space="preserve"> Touring</t>
        </is>
      </c>
      <c r="AG609" s="13" t="n"/>
    </row>
    <row r="610">
      <c r="A610" s="9" t="inlineStr">
        <is>
          <t>21/22</t>
        </is>
      </c>
      <c r="B610" s="10" t="inlineStr">
        <is>
          <t xml:space="preserve"> Head</t>
        </is>
      </c>
      <c r="C610" s="11" t="inlineStr">
        <is>
          <t>Kore 105</t>
        </is>
      </c>
      <c r="D610" s="13" t="n">
        <v>184</v>
      </c>
      <c r="E610" s="11" t="inlineStr">
        <is>
          <t xml:space="preserve"> Unisex</t>
        </is>
      </c>
      <c r="F610" s="13" t="n">
        <v>184</v>
      </c>
      <c r="G610" s="13" t="n">
        <v>183.9</v>
      </c>
      <c r="H610" s="13" t="n">
        <v>141</v>
      </c>
      <c r="I610" s="13" t="n">
        <v>142</v>
      </c>
      <c r="J610" s="13" t="n">
        <v>135</v>
      </c>
      <c r="K610" s="13" t="n">
        <v>104</v>
      </c>
      <c r="L610" s="13" t="n">
        <v>123</v>
      </c>
      <c r="M610" s="13" t="n">
        <v>18.2</v>
      </c>
      <c r="N610" s="13" t="n">
        <v>1851</v>
      </c>
      <c r="O610" s="13" t="n">
        <v>1.14</v>
      </c>
      <c r="P610" s="13" t="n">
        <v>2105</v>
      </c>
      <c r="Q610" s="13" t="n">
        <v>302</v>
      </c>
      <c r="R610" s="13" t="n">
        <v>148</v>
      </c>
      <c r="S610" s="13" t="n">
        <v>52</v>
      </c>
      <c r="T610" s="13" t="n">
        <v>249</v>
      </c>
      <c r="U610" s="13" t="n">
        <v>22</v>
      </c>
      <c r="V610" s="13" t="n">
        <v>184</v>
      </c>
      <c r="W610" s="13" t="n">
        <v>0.417</v>
      </c>
      <c r="X610" s="13" t="n">
        <v>266</v>
      </c>
      <c r="Y610" s="13" t="n">
        <v>157</v>
      </c>
      <c r="Z610" s="13" t="n">
        <v>-17</v>
      </c>
      <c r="AA610" s="13" t="n">
        <v>8</v>
      </c>
      <c r="AB610" s="13" t="n">
        <v>11</v>
      </c>
      <c r="AC610" s="11" t="inlineStr">
        <is>
          <t xml:space="preserve"> Resort Freeride</t>
        </is>
      </c>
      <c r="AD610" s="11" t="inlineStr">
        <is>
          <t xml:space="preserve"> Powder</t>
        </is>
      </c>
      <c r="AE610" s="11" t="inlineStr">
        <is>
          <t xml:space="preserve"> Touring</t>
        </is>
      </c>
      <c r="AF610" s="13" t="n"/>
      <c r="AG610" s="13" t="n"/>
    </row>
    <row r="611">
      <c r="A611" s="9" t="inlineStr">
        <is>
          <t>21/22</t>
        </is>
      </c>
      <c r="B611" s="10" t="inlineStr">
        <is>
          <t xml:space="preserve"> Head</t>
        </is>
      </c>
      <c r="C611" s="11" t="inlineStr">
        <is>
          <t>Kore 105</t>
        </is>
      </c>
      <c r="D611" s="13" t="n">
        <v>191</v>
      </c>
      <c r="E611" s="11" t="inlineStr">
        <is>
          <t xml:space="preserve"> Unisex</t>
        </is>
      </c>
      <c r="F611" s="13" t="n">
        <v>191</v>
      </c>
      <c r="G611" s="13" t="n">
        <v>189.6</v>
      </c>
      <c r="H611" s="13" t="n">
        <v>148</v>
      </c>
      <c r="I611" s="13" t="n">
        <v>152</v>
      </c>
      <c r="J611" s="13" t="n">
        <v>136</v>
      </c>
      <c r="K611" s="13" t="n">
        <v>106</v>
      </c>
      <c r="L611" s="13" t="n">
        <v>126</v>
      </c>
      <c r="M611" s="13" t="n">
        <v>19.7</v>
      </c>
      <c r="N611" s="11" t="inlineStr">
        <is>
          <t xml:space="preserve"> None</t>
        </is>
      </c>
      <c r="O611" s="11" t="inlineStr">
        <is>
          <t xml:space="preserve"> None</t>
        </is>
      </c>
      <c r="P611" s="13" t="n">
        <v>2210</v>
      </c>
      <c r="Q611" s="13" t="n">
        <v>330</v>
      </c>
      <c r="R611" s="13" t="n">
        <v>152</v>
      </c>
      <c r="S611" s="13" t="n">
        <v>49</v>
      </c>
      <c r="T611" s="13" t="n">
        <v>238</v>
      </c>
      <c r="U611" s="13" t="n">
        <v>22</v>
      </c>
      <c r="V611" s="13" t="n">
        <v>180</v>
      </c>
      <c r="W611" s="13" t="n">
        <v>0.454</v>
      </c>
      <c r="X611" s="13" t="n">
        <v>229</v>
      </c>
      <c r="Y611" s="13" t="n">
        <v>148</v>
      </c>
      <c r="Z611" s="13" t="n">
        <v>9</v>
      </c>
      <c r="AA611" s="13" t="n">
        <v>10</v>
      </c>
      <c r="AB611" s="13" t="n">
        <v>11.3</v>
      </c>
      <c r="AC611" s="11" t="inlineStr">
        <is>
          <t xml:space="preserve"> Powder</t>
        </is>
      </c>
      <c r="AD611" s="13" t="n"/>
      <c r="AE611" s="13" t="n"/>
      <c r="AF611" s="13" t="n"/>
      <c r="AG611" s="13" t="n"/>
    </row>
    <row r="612">
      <c r="A612" s="9" t="inlineStr">
        <is>
          <t>21/22</t>
        </is>
      </c>
      <c r="B612" s="10" t="inlineStr">
        <is>
          <t xml:space="preserve"> Head</t>
        </is>
      </c>
      <c r="C612" s="11" t="inlineStr">
        <is>
          <t>Kore 111</t>
        </is>
      </c>
      <c r="D612" s="13" t="n">
        <v>177</v>
      </c>
      <c r="E612" s="11" t="inlineStr">
        <is>
          <t xml:space="preserve"> Unisex</t>
        </is>
      </c>
      <c r="F612" s="13" t="n">
        <v>177</v>
      </c>
      <c r="G612" s="13" t="n">
        <v>176.5</v>
      </c>
      <c r="H612" s="13" t="n">
        <v>123</v>
      </c>
      <c r="I612" s="13" t="n">
        <v>137</v>
      </c>
      <c r="J612" s="13" t="n">
        <v>137</v>
      </c>
      <c r="K612" s="13" t="n">
        <v>108</v>
      </c>
      <c r="L612" s="13" t="n">
        <v>124</v>
      </c>
      <c r="M612" s="13" t="n">
        <v>19.8</v>
      </c>
      <c r="N612" s="13" t="n">
        <v>1737</v>
      </c>
      <c r="O612" s="13" t="n">
        <v>1.2</v>
      </c>
      <c r="P612" s="13" t="n">
        <v>2077</v>
      </c>
      <c r="Q612" s="13" t="n">
        <v>288</v>
      </c>
      <c r="R612" s="13" t="n">
        <v>124</v>
      </c>
      <c r="S612" s="13" t="n">
        <v>56</v>
      </c>
      <c r="T612" s="13" t="n">
        <v>281</v>
      </c>
      <c r="U612" s="13" t="n">
        <v>20</v>
      </c>
      <c r="V612" s="13" t="n">
        <v>259</v>
      </c>
      <c r="W612" s="13" t="n">
        <v>0.358</v>
      </c>
      <c r="X612" s="13" t="n">
        <v>241</v>
      </c>
      <c r="Y612" s="13" t="n">
        <v>156</v>
      </c>
      <c r="Z612" s="13" t="n">
        <v>40</v>
      </c>
      <c r="AA612" s="13" t="n">
        <v>5</v>
      </c>
      <c r="AB612" s="13" t="n">
        <v>8.5</v>
      </c>
      <c r="AC612" s="11" t="inlineStr">
        <is>
          <t xml:space="preserve"> Powder</t>
        </is>
      </c>
      <c r="AD612" s="11" t="inlineStr">
        <is>
          <t xml:space="preserve"> Big Mountain</t>
        </is>
      </c>
      <c r="AE612" s="11" t="inlineStr">
        <is>
          <t xml:space="preserve"> Touring</t>
        </is>
      </c>
      <c r="AF612" s="13" t="n"/>
      <c r="AG612" s="13" t="n"/>
    </row>
    <row r="613">
      <c r="A613" s="9" t="inlineStr">
        <is>
          <t>21/22</t>
        </is>
      </c>
      <c r="B613" s="10" t="inlineStr">
        <is>
          <t xml:space="preserve"> Head</t>
        </is>
      </c>
      <c r="C613" s="11" t="inlineStr">
        <is>
          <t>Kore 111</t>
        </is>
      </c>
      <c r="D613" s="13" t="n">
        <v>184</v>
      </c>
      <c r="E613" s="11" t="inlineStr">
        <is>
          <t xml:space="preserve"> Unisex</t>
        </is>
      </c>
      <c r="F613" s="13" t="n">
        <v>184</v>
      </c>
      <c r="G613" s="13" t="n">
        <v>183.2</v>
      </c>
      <c r="H613" s="13" t="n">
        <v>129</v>
      </c>
      <c r="I613" s="13" t="n">
        <v>145</v>
      </c>
      <c r="J613" s="13" t="n">
        <v>139</v>
      </c>
      <c r="K613" s="13" t="n">
        <v>110</v>
      </c>
      <c r="L613" s="13" t="n">
        <v>126</v>
      </c>
      <c r="M613" s="13" t="n">
        <v>21.6</v>
      </c>
      <c r="N613" s="13" t="n">
        <v>1845</v>
      </c>
      <c r="O613" s="13" t="n">
        <v>1.19</v>
      </c>
      <c r="P613" s="13" t="n">
        <v>2191</v>
      </c>
      <c r="Q613" s="13" t="n">
        <v>316</v>
      </c>
      <c r="R613" s="13" t="n">
        <v>140</v>
      </c>
      <c r="S613" s="13" t="n">
        <v>58</v>
      </c>
      <c r="T613" s="13" t="n">
        <v>279</v>
      </c>
      <c r="U613" s="13" t="n">
        <v>20</v>
      </c>
      <c r="V613" s="13" t="n">
        <v>268</v>
      </c>
      <c r="W613" s="13" t="n">
        <v>0.342</v>
      </c>
      <c r="X613" s="13" t="n">
        <v>240</v>
      </c>
      <c r="Y613" s="13" t="n">
        <v>147</v>
      </c>
      <c r="Z613" s="13" t="n">
        <v>39</v>
      </c>
      <c r="AA613" s="13" t="n">
        <v>5</v>
      </c>
      <c r="AB613" s="13" t="n">
        <v>9.300000000000001</v>
      </c>
      <c r="AC613" s="11" t="inlineStr">
        <is>
          <t xml:space="preserve"> Big Mountain</t>
        </is>
      </c>
      <c r="AD613" s="11" t="inlineStr">
        <is>
          <t xml:space="preserve"> Touring</t>
        </is>
      </c>
      <c r="AE613" s="13" t="n"/>
      <c r="AF613" s="13" t="n"/>
      <c r="AG613" s="13" t="n"/>
    </row>
    <row r="614">
      <c r="A614" s="9" t="inlineStr">
        <is>
          <t>21/22</t>
        </is>
      </c>
      <c r="B614" s="10" t="inlineStr">
        <is>
          <t xml:space="preserve"> Head</t>
        </is>
      </c>
      <c r="C614" s="11" t="inlineStr">
        <is>
          <t>Kore 111</t>
        </is>
      </c>
      <c r="D614" s="13" t="n">
        <v>191</v>
      </c>
      <c r="E614" s="11" t="inlineStr">
        <is>
          <t xml:space="preserve"> Unisex</t>
        </is>
      </c>
      <c r="F614" s="13" t="n">
        <v>191</v>
      </c>
      <c r="G614" s="13" t="n">
        <v>190.2</v>
      </c>
      <c r="H614" s="13" t="n">
        <v>138</v>
      </c>
      <c r="I614" s="13" t="n">
        <v>153</v>
      </c>
      <c r="J614" s="13" t="n">
        <v>142</v>
      </c>
      <c r="K614" s="13" t="n">
        <v>112</v>
      </c>
      <c r="L614" s="13" t="n">
        <v>128</v>
      </c>
      <c r="M614" s="13" t="n">
        <v>23.7</v>
      </c>
      <c r="N614" s="13" t="n">
        <v>1946</v>
      </c>
      <c r="O614" s="13" t="n">
        <v>1.19</v>
      </c>
      <c r="P614" s="13" t="n">
        <v>2317</v>
      </c>
      <c r="Q614" s="13" t="n">
        <v>324</v>
      </c>
      <c r="R614" s="13" t="n">
        <v>176</v>
      </c>
      <c r="S614" s="13" t="n">
        <v>56</v>
      </c>
      <c r="T614" s="13" t="n">
        <v>269</v>
      </c>
      <c r="U614" s="13" t="n">
        <v>20</v>
      </c>
      <c r="V614" s="13" t="n">
        <v>255</v>
      </c>
      <c r="W614" s="13" t="n">
        <v>0.365</v>
      </c>
      <c r="X614" s="13" t="n">
        <v>230</v>
      </c>
      <c r="Y614" s="13" t="n">
        <v>142</v>
      </c>
      <c r="Z614" s="13" t="n">
        <v>39</v>
      </c>
      <c r="AA614" s="13" t="n">
        <v>8</v>
      </c>
      <c r="AB614" s="13" t="n">
        <v>9.9</v>
      </c>
      <c r="AC614" s="11" t="inlineStr">
        <is>
          <t xml:space="preserve"> Powder</t>
        </is>
      </c>
      <c r="AD614" s="11" t="inlineStr">
        <is>
          <t xml:space="preserve"> Big Mountain</t>
        </is>
      </c>
      <c r="AE614" s="11" t="inlineStr">
        <is>
          <t xml:space="preserve"> Touring</t>
        </is>
      </c>
      <c r="AF614" s="13" t="n"/>
      <c r="AG614" s="13" t="n"/>
    </row>
    <row r="615">
      <c r="A615" s="9" t="inlineStr">
        <is>
          <t>21/22</t>
        </is>
      </c>
      <c r="B615" s="10" t="inlineStr">
        <is>
          <t xml:space="preserve"> Head</t>
        </is>
      </c>
      <c r="C615" s="11" t="inlineStr">
        <is>
          <t>Kore 117</t>
        </is>
      </c>
      <c r="D615" s="13" t="n">
        <v>177</v>
      </c>
      <c r="E615" s="11" t="inlineStr">
        <is>
          <t xml:space="preserve"> Unisex</t>
        </is>
      </c>
      <c r="F615" s="13" t="n">
        <v>177</v>
      </c>
      <c r="G615" s="13" t="n">
        <v>175.7</v>
      </c>
      <c r="H615" s="13" t="n">
        <v>111</v>
      </c>
      <c r="I615" s="13" t="n">
        <v>137</v>
      </c>
      <c r="J615" s="13" t="n">
        <v>142</v>
      </c>
      <c r="K615" s="13" t="n">
        <v>114</v>
      </c>
      <c r="L615" s="13" t="n">
        <v>126</v>
      </c>
      <c r="M615" s="13" t="n">
        <v>23</v>
      </c>
      <c r="N615" s="13" t="n">
        <v>1835</v>
      </c>
      <c r="O615" s="13" t="n">
        <v>1.17</v>
      </c>
      <c r="P615" s="13" t="n">
        <v>2150</v>
      </c>
      <c r="Q615" s="13" t="n">
        <v>273</v>
      </c>
      <c r="R615" s="13" t="n">
        <v>138</v>
      </c>
      <c r="S615" s="13" t="n">
        <v>67</v>
      </c>
      <c r="T615" s="13" t="n">
        <v>285</v>
      </c>
      <c r="U615" s="13" t="n">
        <v>21</v>
      </c>
      <c r="V615" s="13" t="n">
        <v>365</v>
      </c>
      <c r="W615" s="13" t="n">
        <v>0.309</v>
      </c>
      <c r="X615" s="13" t="n">
        <v>233</v>
      </c>
      <c r="Y615" s="13" t="n">
        <v>152</v>
      </c>
      <c r="Z615" s="13" t="n">
        <v>52</v>
      </c>
      <c r="AA615" s="13" t="n">
        <v>4</v>
      </c>
      <c r="AB615" s="13" t="n">
        <v>6.6</v>
      </c>
      <c r="AC615" s="11" t="inlineStr">
        <is>
          <t xml:space="preserve"> Big Mountain</t>
        </is>
      </c>
      <c r="AD615" s="11" t="inlineStr">
        <is>
          <t xml:space="preserve"> Touring</t>
        </is>
      </c>
      <c r="AE615" s="13" t="n"/>
      <c r="AF615" s="13" t="n"/>
      <c r="AG615" s="13" t="n"/>
    </row>
    <row r="616">
      <c r="A616" s="9" t="inlineStr">
        <is>
          <t>21/22</t>
        </is>
      </c>
      <c r="B616" s="10" t="inlineStr">
        <is>
          <t xml:space="preserve"> Head</t>
        </is>
      </c>
      <c r="C616" s="11" t="inlineStr">
        <is>
          <t>Kore 117</t>
        </is>
      </c>
      <c r="D616" s="13" t="n">
        <v>184</v>
      </c>
      <c r="E616" s="11" t="inlineStr">
        <is>
          <t xml:space="preserve"> Unisex</t>
        </is>
      </c>
      <c r="F616" s="13" t="n">
        <v>184</v>
      </c>
      <c r="G616" s="13" t="n">
        <v>182.9</v>
      </c>
      <c r="H616" s="13" t="n">
        <v>118</v>
      </c>
      <c r="I616" s="13" t="n">
        <v>145</v>
      </c>
      <c r="J616" s="13" t="n">
        <v>144</v>
      </c>
      <c r="K616" s="13" t="n">
        <v>116</v>
      </c>
      <c r="L616" s="13" t="n">
        <v>128</v>
      </c>
      <c r="M616" s="13" t="n">
        <v>24.9</v>
      </c>
      <c r="N616" s="13" t="n">
        <v>1949</v>
      </c>
      <c r="O616" s="13" t="n">
        <v>1.17</v>
      </c>
      <c r="P616" s="13" t="n">
        <v>2275</v>
      </c>
      <c r="Q616" s="13" t="n">
        <v>335</v>
      </c>
      <c r="R616" s="13" t="n">
        <v>162</v>
      </c>
      <c r="S616" s="13" t="n">
        <v>63</v>
      </c>
      <c r="T616" s="13" t="n">
        <v>288</v>
      </c>
      <c r="U616" s="13" t="n">
        <v>22</v>
      </c>
      <c r="V616" s="13" t="n">
        <v>359</v>
      </c>
      <c r="W616" s="13" t="n">
        <v>0.355</v>
      </c>
      <c r="X616" s="13" t="n">
        <v>231</v>
      </c>
      <c r="Y616" s="13" t="n">
        <v>145</v>
      </c>
      <c r="Z616" s="13" t="n">
        <v>57</v>
      </c>
      <c r="AA616" s="13" t="n">
        <v>5</v>
      </c>
      <c r="AB616" s="13" t="n">
        <v>7.5</v>
      </c>
      <c r="AC616" s="11" t="inlineStr">
        <is>
          <t xml:space="preserve"> Powder</t>
        </is>
      </c>
      <c r="AD616" s="11" t="inlineStr">
        <is>
          <t xml:space="preserve"> Big Mountain</t>
        </is>
      </c>
      <c r="AE616" s="11" t="inlineStr">
        <is>
          <t xml:space="preserve"> Touring</t>
        </is>
      </c>
      <c r="AF616" s="13" t="n"/>
      <c r="AG616" s="13" t="n"/>
    </row>
    <row r="617">
      <c r="A617" s="9" t="inlineStr">
        <is>
          <t>21/22</t>
        </is>
      </c>
      <c r="B617" s="10" t="inlineStr">
        <is>
          <t xml:space="preserve"> Head</t>
        </is>
      </c>
      <c r="C617" s="11" t="inlineStr">
        <is>
          <t>Kore 80 X</t>
        </is>
      </c>
      <c r="D617" s="13" t="n">
        <v>156</v>
      </c>
      <c r="E617" s="11" t="inlineStr">
        <is>
          <t xml:space="preserve"> Unisex</t>
        </is>
      </c>
      <c r="F617" s="13" t="n">
        <v>156</v>
      </c>
      <c r="G617" s="13" t="n">
        <v>155.1</v>
      </c>
      <c r="H617" s="13" t="n">
        <v>127</v>
      </c>
      <c r="I617" s="13" t="n">
        <v>131</v>
      </c>
      <c r="J617" s="13" t="n">
        <v>122</v>
      </c>
      <c r="K617" s="13" t="n">
        <v>77</v>
      </c>
      <c r="L617" s="13" t="n">
        <v>102</v>
      </c>
      <c r="M617" s="13" t="n">
        <v>10.9</v>
      </c>
      <c r="N617" s="13" t="n">
        <v>1671</v>
      </c>
      <c r="O617" s="13" t="n">
        <v>0.86</v>
      </c>
      <c r="P617" s="13" t="n">
        <v>1429</v>
      </c>
      <c r="Q617" s="13" t="n">
        <v>124</v>
      </c>
      <c r="R617" s="13" t="n">
        <v>65</v>
      </c>
      <c r="S617" s="13" t="n">
        <v>41</v>
      </c>
      <c r="T617" s="13" t="n">
        <v>200</v>
      </c>
      <c r="U617" s="13" t="n">
        <v>7</v>
      </c>
      <c r="V617" s="13" t="n">
        <v>84</v>
      </c>
      <c r="W617" s="13" t="n">
        <v>0.171</v>
      </c>
      <c r="X617" s="13" t="n">
        <v>126</v>
      </c>
      <c r="Y617" s="13" t="n">
        <v>114</v>
      </c>
      <c r="Z617" s="13" t="n">
        <v>73</v>
      </c>
      <c r="AA617" s="13" t="n">
        <v>12</v>
      </c>
      <c r="AB617" s="13" t="n">
        <v>9.300000000000001</v>
      </c>
      <c r="AC617" s="11" t="inlineStr">
        <is>
          <t xml:space="preserve"> On-Piste Carving</t>
        </is>
      </c>
      <c r="AD617" s="11" t="inlineStr">
        <is>
          <t xml:space="preserve"> On-Piste All-Mountain</t>
        </is>
      </c>
      <c r="AE617" s="13" t="n"/>
      <c r="AF617" s="13" t="n"/>
      <c r="AG617" s="13" t="n"/>
    </row>
    <row r="618">
      <c r="A618" s="9" t="inlineStr">
        <is>
          <t>21/22</t>
        </is>
      </c>
      <c r="B618" s="10" t="inlineStr">
        <is>
          <t xml:space="preserve"> Head</t>
        </is>
      </c>
      <c r="C618" s="11" t="inlineStr">
        <is>
          <t>Kore 80 X</t>
        </is>
      </c>
      <c r="D618" s="13" t="n">
        <v>163</v>
      </c>
      <c r="E618" s="11" t="inlineStr">
        <is>
          <t xml:space="preserve"> Unisex</t>
        </is>
      </c>
      <c r="F618" s="13" t="n">
        <v>163</v>
      </c>
      <c r="G618" s="13" t="n">
        <v>162.6</v>
      </c>
      <c r="H618" s="13" t="n">
        <v>131</v>
      </c>
      <c r="I618" s="13" t="n">
        <v>138</v>
      </c>
      <c r="J618" s="13" t="n">
        <v>124</v>
      </c>
      <c r="K618" s="13" t="n">
        <v>78</v>
      </c>
      <c r="L618" s="13" t="n">
        <v>103</v>
      </c>
      <c r="M618" s="13" t="n">
        <v>12.1</v>
      </c>
      <c r="N618" s="13" t="n">
        <v>1773</v>
      </c>
      <c r="O618" s="13" t="n">
        <v>0.85</v>
      </c>
      <c r="P618" s="13" t="n">
        <v>1510</v>
      </c>
      <c r="Q618" s="13" t="n">
        <v>148</v>
      </c>
      <c r="R618" s="13" t="n">
        <v>76</v>
      </c>
      <c r="S618" s="13" t="n">
        <v>43</v>
      </c>
      <c r="T618" s="13" t="n">
        <v>202</v>
      </c>
      <c r="U618" s="13" t="n">
        <v>11</v>
      </c>
      <c r="V618" s="13" t="n">
        <v>116</v>
      </c>
      <c r="W618" s="13" t="n">
        <v>0.256</v>
      </c>
      <c r="X618" s="13" t="n">
        <v>129</v>
      </c>
      <c r="Y618" s="13" t="n">
        <v>112</v>
      </c>
      <c r="Z618" s="13" t="n">
        <v>73</v>
      </c>
      <c r="AA618" s="13" t="n">
        <v>10</v>
      </c>
      <c r="AB618" s="13" t="n">
        <v>10.4</v>
      </c>
      <c r="AC618" s="11" t="inlineStr">
        <is>
          <t xml:space="preserve"> On-Piste All-Mountain</t>
        </is>
      </c>
      <c r="AD618" s="13" t="n"/>
      <c r="AE618" s="13" t="n"/>
      <c r="AF618" s="13" t="n"/>
      <c r="AG618" s="13" t="n"/>
    </row>
    <row r="619">
      <c r="A619" s="9" t="inlineStr">
        <is>
          <t>21/22</t>
        </is>
      </c>
      <c r="B619" s="10" t="inlineStr">
        <is>
          <t xml:space="preserve"> Head</t>
        </is>
      </c>
      <c r="C619" s="11" t="inlineStr">
        <is>
          <t>Kore 80 X</t>
        </is>
      </c>
      <c r="D619" s="13" t="n">
        <v>170</v>
      </c>
      <c r="E619" s="11" t="inlineStr">
        <is>
          <t xml:space="preserve"> Unisex</t>
        </is>
      </c>
      <c r="F619" s="13" t="n">
        <v>170</v>
      </c>
      <c r="G619" s="13" t="n">
        <v>169.2</v>
      </c>
      <c r="H619" s="13" t="n">
        <v>139</v>
      </c>
      <c r="I619" s="13" t="n">
        <v>144</v>
      </c>
      <c r="J619" s="13" t="n">
        <v>125</v>
      </c>
      <c r="K619" s="13" t="n">
        <v>78</v>
      </c>
      <c r="L619" s="13" t="n">
        <v>104</v>
      </c>
      <c r="M619" s="13" t="n">
        <v>13.3</v>
      </c>
      <c r="N619" s="13" t="n">
        <v>1925</v>
      </c>
      <c r="O619" s="13" t="n">
        <v>0.82</v>
      </c>
      <c r="P619" s="13" t="n">
        <v>1581</v>
      </c>
      <c r="Q619" s="13" t="n">
        <v>173</v>
      </c>
      <c r="R619" s="13" t="n">
        <v>79</v>
      </c>
      <c r="S619" s="13" t="n">
        <v>41</v>
      </c>
      <c r="T619" s="13" t="n">
        <v>199</v>
      </c>
      <c r="U619" s="13" t="n">
        <v>8</v>
      </c>
      <c r="V619" s="13" t="n">
        <v>101</v>
      </c>
      <c r="W619" s="13" t="n">
        <v>0.19</v>
      </c>
      <c r="X619" s="13" t="n">
        <v>129</v>
      </c>
      <c r="Y619" s="13" t="n">
        <v>121</v>
      </c>
      <c r="Z619" s="13" t="n">
        <v>70</v>
      </c>
      <c r="AA619" s="13" t="n">
        <v>13</v>
      </c>
      <c r="AB619" s="13" t="n">
        <v>11.7</v>
      </c>
      <c r="AC619" s="11" t="inlineStr">
        <is>
          <t xml:space="preserve"> On-Piste Carving</t>
        </is>
      </c>
      <c r="AD619" s="11" t="inlineStr">
        <is>
          <t xml:space="preserve"> On-Piste All-Mountain</t>
        </is>
      </c>
      <c r="AE619" s="13" t="n"/>
      <c r="AF619" s="13" t="n"/>
      <c r="AG619" s="13" t="n"/>
    </row>
    <row r="620">
      <c r="A620" s="9" t="inlineStr">
        <is>
          <t>21/22</t>
        </is>
      </c>
      <c r="B620" s="10" t="inlineStr">
        <is>
          <t xml:space="preserve"> Head</t>
        </is>
      </c>
      <c r="C620" s="11" t="inlineStr">
        <is>
          <t>Kore 80 X</t>
        </is>
      </c>
      <c r="D620" s="13" t="n">
        <v>177</v>
      </c>
      <c r="E620" s="11" t="inlineStr">
        <is>
          <t xml:space="preserve"> Unisex</t>
        </is>
      </c>
      <c r="F620" s="13" t="n">
        <v>177</v>
      </c>
      <c r="G620" s="13" t="n">
        <v>176.3</v>
      </c>
      <c r="H620" s="13" t="n">
        <v>147</v>
      </c>
      <c r="I620" s="13" t="n">
        <v>150</v>
      </c>
      <c r="J620" s="13" t="n">
        <v>126</v>
      </c>
      <c r="K620" s="13" t="n">
        <v>79</v>
      </c>
      <c r="L620" s="13" t="n">
        <v>105</v>
      </c>
      <c r="M620" s="13" t="n">
        <v>14.4</v>
      </c>
      <c r="N620" s="13" t="n">
        <v>2084</v>
      </c>
      <c r="O620" s="13" t="n">
        <v>0.8</v>
      </c>
      <c r="P620" s="13" t="n">
        <v>1669</v>
      </c>
      <c r="Q620" s="13" t="n">
        <v>187</v>
      </c>
      <c r="R620" s="13" t="n">
        <v>98</v>
      </c>
      <c r="S620" s="13" t="n">
        <v>40</v>
      </c>
      <c r="T620" s="13" t="n">
        <v>200</v>
      </c>
      <c r="U620" s="13" t="n">
        <v>7</v>
      </c>
      <c r="V620" s="13" t="n">
        <v>96</v>
      </c>
      <c r="W620" s="13" t="n">
        <v>0.178</v>
      </c>
      <c r="X620" s="13" t="n">
        <v>135</v>
      </c>
      <c r="Y620" s="13" t="n">
        <v>124</v>
      </c>
      <c r="Z620" s="13" t="n">
        <v>65</v>
      </c>
      <c r="AA620" s="13" t="n">
        <v>13</v>
      </c>
      <c r="AB620" s="13" t="n">
        <v>11.4</v>
      </c>
      <c r="AC620" s="11" t="inlineStr">
        <is>
          <t xml:space="preserve"> On-Piste Carving</t>
        </is>
      </c>
      <c r="AD620" s="11" t="inlineStr">
        <is>
          <t xml:space="preserve"> On-Piste All-Mountain</t>
        </is>
      </c>
      <c r="AE620" s="13" t="n"/>
      <c r="AF620" s="13" t="n"/>
      <c r="AG620" s="13" t="n"/>
    </row>
    <row r="621">
      <c r="A621" s="9" t="inlineStr">
        <is>
          <t>21/22</t>
        </is>
      </c>
      <c r="B621" s="10" t="inlineStr">
        <is>
          <t xml:space="preserve"> Head</t>
        </is>
      </c>
      <c r="C621" s="11" t="inlineStr">
        <is>
          <t>Kore 85 W</t>
        </is>
      </c>
      <c r="D621" s="13" t="n">
        <v>163</v>
      </c>
      <c r="E621" s="11" t="inlineStr">
        <is>
          <t xml:space="preserve"> Women's</t>
        </is>
      </c>
      <c r="F621" s="13" t="n">
        <v>163</v>
      </c>
      <c r="G621" s="13" t="n">
        <v>162.6</v>
      </c>
      <c r="H621" s="13" t="n">
        <v>128</v>
      </c>
      <c r="I621" s="13" t="n">
        <v>135</v>
      </c>
      <c r="J621" s="13" t="n">
        <v>123</v>
      </c>
      <c r="K621" s="13" t="n">
        <v>82</v>
      </c>
      <c r="L621" s="13" t="n">
        <v>104</v>
      </c>
      <c r="M621" s="13" t="n">
        <v>13.7</v>
      </c>
      <c r="N621" s="13" t="n">
        <v>1444</v>
      </c>
      <c r="O621" s="13" t="n">
        <v>1.08</v>
      </c>
      <c r="P621" s="13" t="n">
        <v>1555</v>
      </c>
      <c r="Q621" s="13" t="n">
        <v>209</v>
      </c>
      <c r="R621" s="13" t="n">
        <v>96</v>
      </c>
      <c r="S621" s="13" t="n">
        <v>45</v>
      </c>
      <c r="T621" s="13" t="n">
        <v>210</v>
      </c>
      <c r="U621" s="13" t="n">
        <v>11</v>
      </c>
      <c r="V621" s="13" t="n">
        <v>135</v>
      </c>
      <c r="W621" s="13" t="n">
        <v>0.238</v>
      </c>
      <c r="X621" s="13" t="n">
        <v>140</v>
      </c>
      <c r="Y621" s="13" t="n">
        <v>132</v>
      </c>
      <c r="Z621" s="13" t="n">
        <v>70</v>
      </c>
      <c r="AA621" s="13" t="n">
        <v>6</v>
      </c>
      <c r="AB621" s="13" t="n">
        <v>8.699999999999999</v>
      </c>
      <c r="AC621" s="11" t="inlineStr">
        <is>
          <t xml:space="preserve"> On-Piste All-Mountain</t>
        </is>
      </c>
      <c r="AD621" s="11" t="inlineStr">
        <is>
          <t xml:space="preserve"> Resort Freeride</t>
        </is>
      </c>
      <c r="AE621" s="11" t="inlineStr">
        <is>
          <t xml:space="preserve"> Touring</t>
        </is>
      </c>
      <c r="AF621" s="13" t="n"/>
      <c r="AG621" s="13" t="n"/>
    </row>
    <row r="622">
      <c r="A622" s="9" t="inlineStr">
        <is>
          <t>21/22</t>
        </is>
      </c>
      <c r="B622" s="10" t="inlineStr">
        <is>
          <t xml:space="preserve"> Head</t>
        </is>
      </c>
      <c r="C622" s="11" t="inlineStr">
        <is>
          <t>Kore 90 X</t>
        </is>
      </c>
      <c r="D622" s="13" t="n">
        <v>156</v>
      </c>
      <c r="E622" s="11" t="inlineStr">
        <is>
          <t xml:space="preserve"> Unisex</t>
        </is>
      </c>
      <c r="F622" s="13" t="n">
        <v>156</v>
      </c>
      <c r="G622" s="13" t="n">
        <v>157.3</v>
      </c>
      <c r="H622" s="13" t="n">
        <v>121</v>
      </c>
      <c r="I622" s="13" t="n">
        <v>125</v>
      </c>
      <c r="J622" s="13" t="n">
        <v>124</v>
      </c>
      <c r="K622" s="13" t="n">
        <v>87</v>
      </c>
      <c r="L622" s="13" t="n">
        <v>107</v>
      </c>
      <c r="M622" s="13" t="n">
        <v>12.1</v>
      </c>
      <c r="N622" s="13" t="n">
        <v>1473</v>
      </c>
      <c r="O622" s="13" t="n">
        <v>1.06</v>
      </c>
      <c r="P622" s="13" t="n">
        <v>1557</v>
      </c>
      <c r="Q622" s="13" t="n">
        <v>156</v>
      </c>
      <c r="R622" s="13" t="n">
        <v>71</v>
      </c>
      <c r="S622" s="13" t="n">
        <v>48</v>
      </c>
      <c r="T622" s="13" t="n">
        <v>209</v>
      </c>
      <c r="U622" s="13" t="n">
        <v>15</v>
      </c>
      <c r="V622" s="13" t="n">
        <v>152</v>
      </c>
      <c r="W622" s="13" t="n">
        <v>0.308</v>
      </c>
      <c r="X622" s="13" t="n">
        <v>152</v>
      </c>
      <c r="Y622" s="13" t="n">
        <v>169</v>
      </c>
      <c r="Z622" s="13" t="n">
        <v>57</v>
      </c>
      <c r="AA622" s="13" t="n">
        <v>7</v>
      </c>
      <c r="AB622" s="13" t="n">
        <v>9.199999999999999</v>
      </c>
      <c r="AC622" s="11" t="inlineStr">
        <is>
          <t xml:space="preserve"> Resort Freeride</t>
        </is>
      </c>
      <c r="AD622" s="11" t="inlineStr">
        <is>
          <t xml:space="preserve"> Touring</t>
        </is>
      </c>
      <c r="AE622" s="13" t="n"/>
      <c r="AF622" s="13" t="n"/>
      <c r="AG622" s="13" t="n"/>
    </row>
    <row r="623">
      <c r="A623" s="9" t="inlineStr">
        <is>
          <t>21/22</t>
        </is>
      </c>
      <c r="B623" s="10" t="inlineStr">
        <is>
          <t xml:space="preserve"> Head</t>
        </is>
      </c>
      <c r="C623" s="11" t="inlineStr">
        <is>
          <t>Kore 90 X</t>
        </is>
      </c>
      <c r="D623" s="13" t="n">
        <v>163</v>
      </c>
      <c r="E623" s="11" t="inlineStr">
        <is>
          <t xml:space="preserve"> Unisex</t>
        </is>
      </c>
      <c r="F623" s="13" t="n">
        <v>163</v>
      </c>
      <c r="G623" s="13" t="n">
        <v>162.4</v>
      </c>
      <c r="H623" s="13" t="n">
        <v>128</v>
      </c>
      <c r="I623" s="13" t="n">
        <v>133</v>
      </c>
      <c r="J623" s="13" t="n">
        <v>127</v>
      </c>
      <c r="K623" s="13" t="n">
        <v>89</v>
      </c>
      <c r="L623" s="13" t="n">
        <v>109</v>
      </c>
      <c r="M623" s="13" t="n">
        <v>13.2</v>
      </c>
      <c r="N623" s="13" t="n">
        <v>1683</v>
      </c>
      <c r="O623" s="13" t="n">
        <v>0.98</v>
      </c>
      <c r="P623" s="13" t="n">
        <v>1645</v>
      </c>
      <c r="Q623" s="13" t="n">
        <v>188</v>
      </c>
      <c r="R623" s="13" t="n">
        <v>80</v>
      </c>
      <c r="S623" s="13" t="n">
        <v>46</v>
      </c>
      <c r="T623" s="13" t="n">
        <v>212</v>
      </c>
      <c r="U623" s="13" t="n">
        <v>11</v>
      </c>
      <c r="V623" s="13" t="n">
        <v>129</v>
      </c>
      <c r="W623" s="13" t="n">
        <v>0.238</v>
      </c>
      <c r="X623" s="13" t="n">
        <v>142</v>
      </c>
      <c r="Y623" s="13" t="n">
        <v>156</v>
      </c>
      <c r="Z623" s="13" t="n">
        <v>70</v>
      </c>
      <c r="AA623" s="13" t="n">
        <v>7</v>
      </c>
      <c r="AB623" s="13" t="n">
        <v>11.5</v>
      </c>
      <c r="AC623" s="11" t="inlineStr">
        <is>
          <t xml:space="preserve"> Resort Freeride</t>
        </is>
      </c>
      <c r="AD623" s="13" t="n"/>
      <c r="AE623" s="13" t="n"/>
      <c r="AF623" s="13" t="n"/>
      <c r="AG623" s="13" t="n"/>
    </row>
    <row r="624">
      <c r="A624" s="9" t="inlineStr">
        <is>
          <t>21/22</t>
        </is>
      </c>
      <c r="B624" s="10" t="inlineStr">
        <is>
          <t xml:space="preserve"> Head</t>
        </is>
      </c>
      <c r="C624" s="11" t="inlineStr">
        <is>
          <t>Kore 90 X</t>
        </is>
      </c>
      <c r="D624" s="13" t="n">
        <v>170</v>
      </c>
      <c r="E624" s="11" t="inlineStr">
        <is>
          <t xml:space="preserve"> Unisex</t>
        </is>
      </c>
      <c r="F624" s="13" t="n">
        <v>170</v>
      </c>
      <c r="G624" s="13" t="n">
        <v>169.6</v>
      </c>
      <c r="H624" s="13" t="n">
        <v>135</v>
      </c>
      <c r="I624" s="13" t="n">
        <v>140</v>
      </c>
      <c r="J624" s="13" t="n">
        <v>129</v>
      </c>
      <c r="K624" s="13" t="n">
        <v>90</v>
      </c>
      <c r="L624" s="13" t="n">
        <v>112</v>
      </c>
      <c r="M624" s="13" t="n">
        <v>14.6</v>
      </c>
      <c r="N624" s="13" t="n">
        <v>1873</v>
      </c>
      <c r="O624" s="13" t="n">
        <v>0.93</v>
      </c>
      <c r="P624" s="13" t="n">
        <v>1742</v>
      </c>
      <c r="Q624" s="13" t="n">
        <v>168</v>
      </c>
      <c r="R624" s="13" t="n">
        <v>74</v>
      </c>
      <c r="S624" s="13" t="n">
        <v>47</v>
      </c>
      <c r="T624" s="13" t="n">
        <v>216</v>
      </c>
      <c r="U624" s="13" t="n">
        <v>11</v>
      </c>
      <c r="V624" s="13" t="n">
        <v>130</v>
      </c>
      <c r="W624" s="13" t="n">
        <v>0.231</v>
      </c>
      <c r="X624" s="13" t="n">
        <v>148</v>
      </c>
      <c r="Y624" s="13" t="n">
        <v>151</v>
      </c>
      <c r="Z624" s="13" t="n">
        <v>67</v>
      </c>
      <c r="AA624" s="13" t="n">
        <v>10</v>
      </c>
      <c r="AB624" s="13" t="n">
        <v>9.9</v>
      </c>
      <c r="AC624" s="11" t="inlineStr">
        <is>
          <t xml:space="preserve"> Resort Freeride</t>
        </is>
      </c>
      <c r="AD624" s="13" t="n"/>
      <c r="AE624" s="13" t="n"/>
      <c r="AF624" s="13" t="n"/>
      <c r="AG624" s="13" t="n"/>
    </row>
    <row r="625">
      <c r="A625" s="9" t="inlineStr">
        <is>
          <t>21/22</t>
        </is>
      </c>
      <c r="B625" s="10" t="inlineStr">
        <is>
          <t xml:space="preserve"> Head</t>
        </is>
      </c>
      <c r="C625" s="11" t="inlineStr">
        <is>
          <t>Kore 90 X</t>
        </is>
      </c>
      <c r="D625" s="13" t="n">
        <v>177</v>
      </c>
      <c r="E625" s="11" t="inlineStr">
        <is>
          <t xml:space="preserve"> Unisex</t>
        </is>
      </c>
      <c r="F625" s="13" t="n">
        <v>177</v>
      </c>
      <c r="G625" s="13" t="n">
        <v>176.3</v>
      </c>
      <c r="H625" s="13" t="n">
        <v>140</v>
      </c>
      <c r="I625" s="13" t="n">
        <v>147</v>
      </c>
      <c r="J625" s="13" t="n">
        <v>132</v>
      </c>
      <c r="K625" s="13" t="n">
        <v>92</v>
      </c>
      <c r="L625" s="13" t="n">
        <v>114</v>
      </c>
      <c r="M625" s="13" t="n">
        <v>16.4</v>
      </c>
      <c r="N625" s="13" t="n">
        <v>1930</v>
      </c>
      <c r="O625" s="13" t="n">
        <v>0.96</v>
      </c>
      <c r="P625" s="13" t="n">
        <v>1845</v>
      </c>
      <c r="Q625" s="13" t="n">
        <v>216</v>
      </c>
      <c r="R625" s="13" t="n">
        <v>101</v>
      </c>
      <c r="S625" s="13" t="n">
        <v>51</v>
      </c>
      <c r="T625" s="13" t="n">
        <v>217</v>
      </c>
      <c r="U625" s="13" t="n">
        <v>12</v>
      </c>
      <c r="V625" s="13" t="n">
        <v>142</v>
      </c>
      <c r="W625" s="13" t="n">
        <v>0.241</v>
      </c>
      <c r="X625" s="13" t="n">
        <v>147</v>
      </c>
      <c r="Y625" s="13" t="n">
        <v>146</v>
      </c>
      <c r="Z625" s="13" t="n">
        <v>69</v>
      </c>
      <c r="AA625" s="13" t="n">
        <v>11</v>
      </c>
      <c r="AB625" s="13" t="n">
        <v>10.5</v>
      </c>
      <c r="AC625" s="11" t="inlineStr">
        <is>
          <t xml:space="preserve"> Resort Freeride</t>
        </is>
      </c>
      <c r="AD625" s="13" t="n"/>
      <c r="AE625" s="13" t="n"/>
      <c r="AF625" s="13" t="n"/>
      <c r="AG625" s="13" t="n"/>
    </row>
    <row r="626">
      <c r="A626" s="9" t="inlineStr">
        <is>
          <t>21/22</t>
        </is>
      </c>
      <c r="B626" s="10" t="inlineStr">
        <is>
          <t xml:space="preserve"> Head</t>
        </is>
      </c>
      <c r="C626" s="11" t="inlineStr">
        <is>
          <t>Kore 91 W</t>
        </is>
      </c>
      <c r="D626" s="13" t="n">
        <v>163</v>
      </c>
      <c r="E626" s="11" t="inlineStr">
        <is>
          <t xml:space="preserve"> Women's</t>
        </is>
      </c>
      <c r="F626" s="13" t="n">
        <v>163</v>
      </c>
      <c r="G626" s="13" t="n">
        <v>162.7</v>
      </c>
      <c r="H626" s="13" t="n">
        <v>127</v>
      </c>
      <c r="I626" s="13" t="n">
        <v>132</v>
      </c>
      <c r="J626" s="13" t="n">
        <v>126</v>
      </c>
      <c r="K626" s="13" t="n">
        <v>88</v>
      </c>
      <c r="L626" s="13" t="n">
        <v>108</v>
      </c>
      <c r="M626" s="13" t="n">
        <v>13.6</v>
      </c>
      <c r="N626" s="13" t="n">
        <v>1534</v>
      </c>
      <c r="O626" s="13" t="n">
        <v>1.07</v>
      </c>
      <c r="P626" s="13" t="n">
        <v>1635</v>
      </c>
      <c r="Q626" s="13" t="n">
        <v>211</v>
      </c>
      <c r="R626" s="13" t="n">
        <v>100</v>
      </c>
      <c r="S626" s="13" t="n">
        <v>47</v>
      </c>
      <c r="T626" s="13" t="n">
        <v>218</v>
      </c>
      <c r="U626" s="13" t="n">
        <v>11</v>
      </c>
      <c r="V626" s="13" t="n">
        <v>138</v>
      </c>
      <c r="W626" s="13" t="n">
        <v>0.242</v>
      </c>
      <c r="X626" s="13" t="n">
        <v>147</v>
      </c>
      <c r="Y626" s="13" t="n">
        <v>156</v>
      </c>
      <c r="Z626" s="13" t="n">
        <v>71</v>
      </c>
      <c r="AA626" s="13" t="n">
        <v>5</v>
      </c>
      <c r="AB626" s="13" t="n">
        <v>8.1</v>
      </c>
      <c r="AC626" s="11" t="inlineStr">
        <is>
          <t xml:space="preserve"> Resort Freeride</t>
        </is>
      </c>
      <c r="AD626" s="11" t="inlineStr">
        <is>
          <t xml:space="preserve"> Touring</t>
        </is>
      </c>
      <c r="AE626" s="13" t="n"/>
      <c r="AF626" s="13" t="n"/>
      <c r="AG626" s="13" t="n"/>
    </row>
    <row r="627">
      <c r="A627" s="9" t="inlineStr">
        <is>
          <t>21/22</t>
        </is>
      </c>
      <c r="B627" s="10" t="inlineStr">
        <is>
          <t xml:space="preserve"> Head</t>
        </is>
      </c>
      <c r="C627" s="11" t="inlineStr">
        <is>
          <t>Kore 91 W</t>
        </is>
      </c>
      <c r="D627" s="13" t="n">
        <v>170</v>
      </c>
      <c r="E627" s="11" t="inlineStr">
        <is>
          <t xml:space="preserve"> Women's</t>
        </is>
      </c>
      <c r="F627" s="13" t="n">
        <v>170</v>
      </c>
      <c r="G627" s="13" t="n">
        <v>169.7</v>
      </c>
      <c r="H627" s="13" t="n">
        <v>134</v>
      </c>
      <c r="I627" s="13" t="n">
        <v>139</v>
      </c>
      <c r="J627" s="13" t="n">
        <v>129</v>
      </c>
      <c r="K627" s="13" t="n">
        <v>90</v>
      </c>
      <c r="L627" s="13" t="n">
        <v>111</v>
      </c>
      <c r="M627" s="13" t="n">
        <v>15</v>
      </c>
      <c r="N627" s="13" t="n">
        <v>1551</v>
      </c>
      <c r="O627" s="13" t="n">
        <v>1.12</v>
      </c>
      <c r="P627" s="13" t="n">
        <v>1738</v>
      </c>
      <c r="Q627" s="13" t="n">
        <v>213</v>
      </c>
      <c r="R627" s="13" t="n">
        <v>104</v>
      </c>
      <c r="S627" s="13" t="n">
        <v>50</v>
      </c>
      <c r="T627" s="13" t="n">
        <v>217</v>
      </c>
      <c r="U627" s="13" t="n">
        <v>12</v>
      </c>
      <c r="V627" s="13" t="n">
        <v>140</v>
      </c>
      <c r="W627" s="13" t="n">
        <v>0.238</v>
      </c>
      <c r="X627" s="13" t="n">
        <v>150</v>
      </c>
      <c r="Y627" s="13" t="n">
        <v>158</v>
      </c>
      <c r="Z627" s="13" t="n">
        <v>67</v>
      </c>
      <c r="AA627" s="13" t="n">
        <v>5</v>
      </c>
      <c r="AB627" s="13" t="n">
        <v>9</v>
      </c>
      <c r="AC627" s="11" t="inlineStr">
        <is>
          <t xml:space="preserve"> Resort Freeride</t>
        </is>
      </c>
      <c r="AD627" s="11" t="inlineStr">
        <is>
          <t xml:space="preserve"> Touring</t>
        </is>
      </c>
      <c r="AE627" s="13" t="n"/>
      <c r="AF627" s="13" t="n"/>
      <c r="AG627" s="13" t="n"/>
    </row>
    <row r="628">
      <c r="A628" s="9" t="inlineStr">
        <is>
          <t>21/22</t>
        </is>
      </c>
      <c r="B628" s="10" t="inlineStr">
        <is>
          <t xml:space="preserve"> Head</t>
        </is>
      </c>
      <c r="C628" s="11" t="inlineStr">
        <is>
          <t>Kore 93</t>
        </is>
      </c>
      <c r="D628" s="13" t="n">
        <v>156</v>
      </c>
      <c r="E628" s="11" t="inlineStr">
        <is>
          <t xml:space="preserve"> Unisex</t>
        </is>
      </c>
      <c r="F628" s="13" t="n">
        <v>156</v>
      </c>
      <c r="G628" s="13" t="n">
        <v>155.4</v>
      </c>
      <c r="H628" s="13" t="n">
        <v>119</v>
      </c>
      <c r="I628" s="13" t="n">
        <v>126</v>
      </c>
      <c r="J628" s="13" t="n">
        <v>124</v>
      </c>
      <c r="K628" s="13" t="n">
        <v>86</v>
      </c>
      <c r="L628" s="13" t="n">
        <v>107</v>
      </c>
      <c r="M628" s="13" t="n">
        <v>12</v>
      </c>
      <c r="N628" s="13" t="n">
        <v>1410</v>
      </c>
      <c r="O628" s="13" t="n">
        <v>1.09</v>
      </c>
      <c r="P628" s="13" t="n">
        <v>1534</v>
      </c>
      <c r="Q628" s="13" t="n">
        <v>192</v>
      </c>
      <c r="R628" s="13" t="n">
        <v>82</v>
      </c>
      <c r="S628" s="13" t="n">
        <v>50</v>
      </c>
      <c r="T628" s="13" t="n">
        <v>230</v>
      </c>
      <c r="U628" s="13" t="n">
        <v>11</v>
      </c>
      <c r="V628" s="13" t="n">
        <v>134</v>
      </c>
      <c r="W628" s="13" t="n">
        <v>0.224</v>
      </c>
      <c r="X628" s="13" t="n">
        <v>143</v>
      </c>
      <c r="Y628" s="13" t="n">
        <v>155</v>
      </c>
      <c r="Z628" s="13" t="n">
        <v>87</v>
      </c>
      <c r="AA628" s="13" t="n">
        <v>5</v>
      </c>
      <c r="AB628" s="13" t="n">
        <v>8.6</v>
      </c>
      <c r="AC628" s="11" t="inlineStr">
        <is>
          <t xml:space="preserve"> Resort Freeride</t>
        </is>
      </c>
      <c r="AD628" s="11" t="inlineStr">
        <is>
          <t xml:space="preserve"> Touring</t>
        </is>
      </c>
      <c r="AE628" s="13" t="n"/>
      <c r="AF628" s="13" t="n"/>
      <c r="AG628" s="13" t="n"/>
    </row>
    <row r="629">
      <c r="A629" s="9" t="inlineStr">
        <is>
          <t>21/22</t>
        </is>
      </c>
      <c r="B629" s="10" t="inlineStr">
        <is>
          <t xml:space="preserve"> Head</t>
        </is>
      </c>
      <c r="C629" s="11" t="inlineStr">
        <is>
          <t>Kore 93</t>
        </is>
      </c>
      <c r="D629" s="13" t="n">
        <v>163</v>
      </c>
      <c r="E629" s="11" t="inlineStr">
        <is>
          <t xml:space="preserve"> Unisex</t>
        </is>
      </c>
      <c r="F629" s="13" t="n">
        <v>163</v>
      </c>
      <c r="G629" s="13" t="n">
        <v>162.7</v>
      </c>
      <c r="H629" s="13" t="n">
        <v>128</v>
      </c>
      <c r="I629" s="13" t="n">
        <v>132</v>
      </c>
      <c r="J629" s="13" t="n">
        <v>127</v>
      </c>
      <c r="K629" s="13" t="n">
        <v>88</v>
      </c>
      <c r="L629" s="13" t="n">
        <v>109</v>
      </c>
      <c r="M629" s="13" t="n">
        <v>13.2</v>
      </c>
      <c r="N629" s="13" t="n">
        <v>1474</v>
      </c>
      <c r="O629" s="13" t="n">
        <v>1.11</v>
      </c>
      <c r="P629" s="13" t="n">
        <v>1639</v>
      </c>
      <c r="Q629" s="13" t="n">
        <v>206</v>
      </c>
      <c r="R629" s="13" t="n">
        <v>93</v>
      </c>
      <c r="S629" s="13" t="n">
        <v>49</v>
      </c>
      <c r="T629" s="13" t="n">
        <v>218</v>
      </c>
      <c r="U629" s="13" t="n">
        <v>11</v>
      </c>
      <c r="V629" s="13" t="n">
        <v>130</v>
      </c>
      <c r="W629" s="13" t="n">
        <v>0.218</v>
      </c>
      <c r="X629" s="13" t="n">
        <v>152</v>
      </c>
      <c r="Y629" s="13" t="n">
        <v>159</v>
      </c>
      <c r="Z629" s="13" t="n">
        <v>65</v>
      </c>
      <c r="AA629" s="13" t="n">
        <v>7</v>
      </c>
      <c r="AB629" s="13" t="n">
        <v>9.199999999999999</v>
      </c>
      <c r="AC629" s="11" t="inlineStr">
        <is>
          <t xml:space="preserve"> Resort Freeride</t>
        </is>
      </c>
      <c r="AD629" s="11" t="inlineStr">
        <is>
          <t xml:space="preserve"> Touring</t>
        </is>
      </c>
      <c r="AE629" s="13" t="n"/>
      <c r="AF629" s="13" t="n"/>
      <c r="AG629" s="13" t="n"/>
    </row>
    <row r="630">
      <c r="A630" s="9" t="inlineStr">
        <is>
          <t>21/22</t>
        </is>
      </c>
      <c r="B630" s="10" t="inlineStr">
        <is>
          <t xml:space="preserve"> Head</t>
        </is>
      </c>
      <c r="C630" s="11" t="inlineStr">
        <is>
          <t>Kore 93</t>
        </is>
      </c>
      <c r="D630" s="13" t="n">
        <v>170</v>
      </c>
      <c r="E630" s="11" t="inlineStr">
        <is>
          <t xml:space="preserve"> Unisex</t>
        </is>
      </c>
      <c r="F630" s="13" t="n">
        <v>170</v>
      </c>
      <c r="G630" s="13" t="n">
        <v>169.7</v>
      </c>
      <c r="H630" s="13" t="n">
        <v>134</v>
      </c>
      <c r="I630" s="13" t="n">
        <v>140</v>
      </c>
      <c r="J630" s="13" t="n">
        <v>129</v>
      </c>
      <c r="K630" s="13" t="n">
        <v>90</v>
      </c>
      <c r="L630" s="13" t="n">
        <v>112</v>
      </c>
      <c r="M630" s="13" t="n">
        <v>14.6</v>
      </c>
      <c r="N630" s="13" t="n">
        <v>1582</v>
      </c>
      <c r="O630" s="13" t="n">
        <v>1.1</v>
      </c>
      <c r="P630" s="13" t="n">
        <v>1742</v>
      </c>
      <c r="Q630" s="13" t="n">
        <v>228</v>
      </c>
      <c r="R630" s="13" t="n">
        <v>101</v>
      </c>
      <c r="S630" s="13" t="n">
        <v>48</v>
      </c>
      <c r="T630" s="13" t="n">
        <v>217</v>
      </c>
      <c r="U630" s="13" t="n">
        <v>13</v>
      </c>
      <c r="V630" s="13" t="n">
        <v>142</v>
      </c>
      <c r="W630" s="13" t="n">
        <v>0.277</v>
      </c>
      <c r="X630" s="13" t="n">
        <v>145</v>
      </c>
      <c r="Y630" s="13" t="n">
        <v>153</v>
      </c>
      <c r="Z630" s="13" t="n">
        <v>71</v>
      </c>
      <c r="AA630" s="13" t="n">
        <v>6</v>
      </c>
      <c r="AB630" s="13" t="n">
        <v>10.3</v>
      </c>
      <c r="AC630" s="11" t="inlineStr">
        <is>
          <t xml:space="preserve"> Resort Freeride</t>
        </is>
      </c>
      <c r="AD630" s="11" t="inlineStr">
        <is>
          <t xml:space="preserve"> Touring</t>
        </is>
      </c>
      <c r="AE630" s="13" t="n"/>
      <c r="AF630" s="13" t="n"/>
      <c r="AG630" s="13" t="n"/>
    </row>
    <row r="631">
      <c r="A631" s="9" t="inlineStr">
        <is>
          <t>21/22</t>
        </is>
      </c>
      <c r="B631" s="10" t="inlineStr">
        <is>
          <t xml:space="preserve"> Head</t>
        </is>
      </c>
      <c r="C631" s="11" t="inlineStr">
        <is>
          <t>Kore 93</t>
        </is>
      </c>
      <c r="D631" s="13" t="n">
        <v>177</v>
      </c>
      <c r="E631" s="11" t="inlineStr">
        <is>
          <t xml:space="preserve"> Unisex</t>
        </is>
      </c>
      <c r="F631" s="13" t="n">
        <v>177</v>
      </c>
      <c r="G631" s="13" t="n">
        <v>176.3</v>
      </c>
      <c r="H631" s="13" t="n">
        <v>138</v>
      </c>
      <c r="I631" s="13" t="n">
        <v>146</v>
      </c>
      <c r="J631" s="13" t="n">
        <v>132</v>
      </c>
      <c r="K631" s="13" t="n">
        <v>92</v>
      </c>
      <c r="L631" s="13" t="n">
        <v>114</v>
      </c>
      <c r="M631" s="13" t="n">
        <v>16.4</v>
      </c>
      <c r="N631" s="13" t="n">
        <v>1660</v>
      </c>
      <c r="O631" s="13" t="n">
        <v>1.11</v>
      </c>
      <c r="P631" s="13" t="n">
        <v>1844</v>
      </c>
      <c r="Q631" s="13" t="n">
        <v>257</v>
      </c>
      <c r="R631" s="13" t="n">
        <v>119</v>
      </c>
      <c r="S631" s="13" t="n">
        <v>50</v>
      </c>
      <c r="T631" s="13" t="n">
        <v>221</v>
      </c>
      <c r="U631" s="13" t="n">
        <v>15</v>
      </c>
      <c r="V631" s="13" t="n">
        <v>160</v>
      </c>
      <c r="W631" s="13" t="n">
        <v>0.299</v>
      </c>
      <c r="X631" s="13" t="n">
        <v>147</v>
      </c>
      <c r="Y631" s="13" t="n">
        <v>151</v>
      </c>
      <c r="Z631" s="13" t="n">
        <v>74</v>
      </c>
      <c r="AA631" s="13" t="n">
        <v>8</v>
      </c>
      <c r="AB631" s="13" t="n">
        <v>10.2</v>
      </c>
      <c r="AC631" s="11" t="inlineStr">
        <is>
          <t xml:space="preserve"> Resort Freeride</t>
        </is>
      </c>
      <c r="AD631" s="11" t="inlineStr">
        <is>
          <t xml:space="preserve"> Touring</t>
        </is>
      </c>
      <c r="AE631" s="13" t="n"/>
      <c r="AF631" s="13" t="n"/>
      <c r="AG631" s="13" t="n"/>
    </row>
    <row r="632">
      <c r="A632" s="9" t="inlineStr">
        <is>
          <t>21/22</t>
        </is>
      </c>
      <c r="B632" s="10" t="inlineStr">
        <is>
          <t xml:space="preserve"> Head</t>
        </is>
      </c>
      <c r="C632" s="11" t="inlineStr">
        <is>
          <t>Kore 93</t>
        </is>
      </c>
      <c r="D632" s="13" t="n">
        <v>184</v>
      </c>
      <c r="E632" s="11" t="inlineStr">
        <is>
          <t xml:space="preserve"> Unisex</t>
        </is>
      </c>
      <c r="F632" s="13" t="n">
        <v>184</v>
      </c>
      <c r="G632" s="13" t="n">
        <v>183.3</v>
      </c>
      <c r="H632" s="13" t="n">
        <v>146</v>
      </c>
      <c r="I632" s="13" t="n">
        <v>154</v>
      </c>
      <c r="J632" s="13" t="n">
        <v>135</v>
      </c>
      <c r="K632" s="13" t="n">
        <v>94</v>
      </c>
      <c r="L632" s="13" t="n">
        <v>116</v>
      </c>
      <c r="M632" s="13" t="n">
        <v>17.6</v>
      </c>
      <c r="N632" s="13" t="n">
        <v>1828</v>
      </c>
      <c r="O632" s="13" t="n">
        <v>1.07</v>
      </c>
      <c r="P632" s="13" t="n">
        <v>1952</v>
      </c>
      <c r="Q632" s="13" t="n">
        <v>308</v>
      </c>
      <c r="R632" s="13" t="n">
        <v>140</v>
      </c>
      <c r="S632" s="13" t="n">
        <v>50</v>
      </c>
      <c r="T632" s="13" t="n">
        <v>221</v>
      </c>
      <c r="U632" s="13" t="n">
        <v>11</v>
      </c>
      <c r="V632" s="13" t="n">
        <v>150</v>
      </c>
      <c r="W632" s="13" t="n">
        <v>0.219</v>
      </c>
      <c r="X632" s="13" t="n">
        <v>146</v>
      </c>
      <c r="Y632" s="13" t="n">
        <v>152</v>
      </c>
      <c r="Z632" s="13" t="n">
        <v>75</v>
      </c>
      <c r="AA632" s="13" t="n">
        <v>7</v>
      </c>
      <c r="AB632" s="13" t="n">
        <v>11.8</v>
      </c>
      <c r="AC632" s="11" t="inlineStr">
        <is>
          <t xml:space="preserve"> Resort Freeride</t>
        </is>
      </c>
      <c r="AD632" s="11" t="inlineStr">
        <is>
          <t xml:space="preserve"> Touring</t>
        </is>
      </c>
      <c r="AE632" s="13" t="n"/>
      <c r="AF632" s="13" t="n"/>
      <c r="AG632" s="13" t="n"/>
    </row>
    <row r="633">
      <c r="A633" s="9" t="inlineStr">
        <is>
          <t>21/22</t>
        </is>
      </c>
      <c r="B633" s="10" t="inlineStr">
        <is>
          <t xml:space="preserve"> Head</t>
        </is>
      </c>
      <c r="C633" s="11" t="inlineStr">
        <is>
          <t>Kore 97 W</t>
        </is>
      </c>
      <c r="D633" s="13" t="n">
        <v>156</v>
      </c>
      <c r="E633" s="11" t="inlineStr">
        <is>
          <t xml:space="preserve"> Women's</t>
        </is>
      </c>
      <c r="F633" s="13" t="n">
        <v>156</v>
      </c>
      <c r="G633" s="13" t="n">
        <v>155.8</v>
      </c>
      <c r="H633" s="13" t="n">
        <v>119</v>
      </c>
      <c r="I633" s="13" t="n">
        <v>123</v>
      </c>
      <c r="J633" s="13" t="n">
        <v>124</v>
      </c>
      <c r="K633" s="13" t="n">
        <v>92</v>
      </c>
      <c r="L633" s="13" t="n">
        <v>111</v>
      </c>
      <c r="M633" s="13" t="n">
        <v>13.1</v>
      </c>
      <c r="N633" s="13" t="n">
        <v>1497</v>
      </c>
      <c r="O633" s="13" t="n">
        <v>1.08</v>
      </c>
      <c r="P633" s="13" t="n">
        <v>1614</v>
      </c>
      <c r="Q633" s="13" t="n">
        <v>225</v>
      </c>
      <c r="R633" s="13" t="n">
        <v>106</v>
      </c>
      <c r="S633" s="13" t="n">
        <v>48</v>
      </c>
      <c r="T633" s="13" t="n">
        <v>234</v>
      </c>
      <c r="U633" s="13" t="n">
        <v>13</v>
      </c>
      <c r="V633" s="13" t="n">
        <v>137</v>
      </c>
      <c r="W633" s="13" t="n">
        <v>0.272</v>
      </c>
      <c r="X633" s="13" t="n">
        <v>167</v>
      </c>
      <c r="Y633" s="13" t="n">
        <v>158</v>
      </c>
      <c r="Z633" s="13" t="n">
        <v>67</v>
      </c>
      <c r="AA633" s="13" t="n">
        <v>5</v>
      </c>
      <c r="AB633" s="13" t="n">
        <v>6.9</v>
      </c>
      <c r="AC633" s="11" t="inlineStr">
        <is>
          <t xml:space="preserve"> Resort Freeride</t>
        </is>
      </c>
      <c r="AD633" s="11" t="inlineStr">
        <is>
          <t xml:space="preserve"> Touring</t>
        </is>
      </c>
      <c r="AE633" s="13" t="n"/>
      <c r="AF633" s="13" t="n"/>
      <c r="AG633" s="13" t="n"/>
    </row>
    <row r="634">
      <c r="A634" s="9" t="inlineStr">
        <is>
          <t>21/22</t>
        </is>
      </c>
      <c r="B634" s="10" t="inlineStr">
        <is>
          <t xml:space="preserve"> Head</t>
        </is>
      </c>
      <c r="C634" s="11" t="inlineStr">
        <is>
          <t>Kore 97 W</t>
        </is>
      </c>
      <c r="D634" s="13" t="n">
        <v>170</v>
      </c>
      <c r="E634" s="11" t="inlineStr">
        <is>
          <t xml:space="preserve"> Women's</t>
        </is>
      </c>
      <c r="F634" s="13" t="n">
        <v>170</v>
      </c>
      <c r="G634" s="13" t="n">
        <v>169.9</v>
      </c>
      <c r="H634" s="13" t="n">
        <v>133</v>
      </c>
      <c r="I634" s="13" t="n">
        <v>135</v>
      </c>
      <c r="J634" s="13" t="n">
        <v>130</v>
      </c>
      <c r="K634" s="13" t="n">
        <v>96</v>
      </c>
      <c r="L634" s="13" t="n">
        <v>116</v>
      </c>
      <c r="M634" s="13" t="n">
        <v>15.9</v>
      </c>
      <c r="N634" s="13" t="n">
        <v>1626</v>
      </c>
      <c r="O634" s="13" t="n">
        <v>1.12</v>
      </c>
      <c r="P634" s="13" t="n">
        <v>1826</v>
      </c>
      <c r="Q634" s="13" t="n">
        <v>238</v>
      </c>
      <c r="R634" s="13" t="n">
        <v>118</v>
      </c>
      <c r="S634" s="13" t="n">
        <v>47</v>
      </c>
      <c r="T634" s="13" t="n">
        <v>230</v>
      </c>
      <c r="U634" s="13" t="n">
        <v>12</v>
      </c>
      <c r="V634" s="13" t="n">
        <v>138</v>
      </c>
      <c r="W634" s="13" t="n">
        <v>0.257</v>
      </c>
      <c r="X634" s="13" t="n">
        <v>186</v>
      </c>
      <c r="Y634" s="13" t="n">
        <v>161</v>
      </c>
      <c r="Z634" s="13" t="n">
        <v>44</v>
      </c>
      <c r="AA634" s="13" t="n">
        <v>7</v>
      </c>
      <c r="AB634" s="13" t="n">
        <v>8.800000000000001</v>
      </c>
      <c r="AC634" s="11" t="inlineStr">
        <is>
          <t xml:space="preserve"> Resort Freeride</t>
        </is>
      </c>
      <c r="AD634" s="11" t="inlineStr">
        <is>
          <t xml:space="preserve"> Touring</t>
        </is>
      </c>
      <c r="AE634" s="13" t="n"/>
      <c r="AF634" s="13" t="n"/>
      <c r="AG634" s="13" t="n"/>
    </row>
    <row r="635">
      <c r="A635" s="9" t="inlineStr">
        <is>
          <t>21/22</t>
        </is>
      </c>
      <c r="B635" s="10" t="inlineStr">
        <is>
          <t xml:space="preserve"> Head</t>
        </is>
      </c>
      <c r="C635" s="11" t="inlineStr">
        <is>
          <t>Kore 97 W</t>
        </is>
      </c>
      <c r="D635" s="13" t="n">
        <v>177</v>
      </c>
      <c r="E635" s="11" t="inlineStr">
        <is>
          <t xml:space="preserve"> Women's</t>
        </is>
      </c>
      <c r="F635" s="13" t="n">
        <v>177</v>
      </c>
      <c r="G635" s="13" t="n">
        <v>176.6</v>
      </c>
      <c r="H635" s="13" t="n">
        <v>137</v>
      </c>
      <c r="I635" s="13" t="n">
        <v>144</v>
      </c>
      <c r="J635" s="13" t="n">
        <v>132</v>
      </c>
      <c r="K635" s="13" t="n">
        <v>98</v>
      </c>
      <c r="L635" s="13" t="n">
        <v>118</v>
      </c>
      <c r="M635" s="13" t="n">
        <v>17.1</v>
      </c>
      <c r="N635" s="13" t="n">
        <v>1717</v>
      </c>
      <c r="O635" s="13" t="n">
        <v>1.12</v>
      </c>
      <c r="P635" s="13" t="n">
        <v>1928</v>
      </c>
      <c r="Q635" s="13" t="n">
        <v>266</v>
      </c>
      <c r="R635" s="13" t="n">
        <v>128</v>
      </c>
      <c r="S635" s="13" t="n">
        <v>53</v>
      </c>
      <c r="T635" s="13" t="n">
        <v>239</v>
      </c>
      <c r="U635" s="13" t="n">
        <v>14</v>
      </c>
      <c r="V635" s="13" t="n">
        <v>158</v>
      </c>
      <c r="W635" s="13" t="n">
        <v>0.268</v>
      </c>
      <c r="X635" s="13" t="n">
        <v>182</v>
      </c>
      <c r="Y635" s="13" t="n">
        <v>149</v>
      </c>
      <c r="Z635" s="13" t="n">
        <v>57</v>
      </c>
      <c r="AA635" s="13" t="n">
        <v>6</v>
      </c>
      <c r="AB635" s="13" t="n">
        <v>8.9</v>
      </c>
      <c r="AC635" s="11" t="inlineStr">
        <is>
          <t xml:space="preserve"> Resort Freeride</t>
        </is>
      </c>
      <c r="AD635" s="11" t="inlineStr">
        <is>
          <t xml:space="preserve"> Touring</t>
        </is>
      </c>
      <c r="AE635" s="13" t="n"/>
      <c r="AF635" s="13" t="n"/>
      <c r="AG635" s="13" t="n"/>
    </row>
    <row r="636">
      <c r="A636" s="9" t="inlineStr">
        <is>
          <t>21/22</t>
        </is>
      </c>
      <c r="B636" s="10" t="inlineStr">
        <is>
          <t xml:space="preserve"> Head</t>
        </is>
      </c>
      <c r="C636" s="11" t="inlineStr">
        <is>
          <t>Kore 99</t>
        </is>
      </c>
      <c r="D636" s="13" t="n">
        <v>163</v>
      </c>
      <c r="E636" s="11" t="inlineStr">
        <is>
          <t xml:space="preserve"> Unisex</t>
        </is>
      </c>
      <c r="F636" s="13" t="n">
        <v>163</v>
      </c>
      <c r="G636" s="13" t="n">
        <v>162.6</v>
      </c>
      <c r="H636" s="13" t="n">
        <v>126</v>
      </c>
      <c r="I636" s="13" t="n">
        <v>130</v>
      </c>
      <c r="J636" s="13" t="n">
        <v>127</v>
      </c>
      <c r="K636" s="13" t="n">
        <v>94</v>
      </c>
      <c r="L636" s="13" t="n">
        <v>114</v>
      </c>
      <c r="M636" s="13" t="n">
        <v>14.4</v>
      </c>
      <c r="N636" s="13" t="n">
        <v>1515</v>
      </c>
      <c r="O636" s="13" t="n">
        <v>1.13</v>
      </c>
      <c r="P636" s="13" t="n">
        <v>1718</v>
      </c>
      <c r="Q636" s="13" t="n">
        <v>198</v>
      </c>
      <c r="R636" s="13" t="n">
        <v>100</v>
      </c>
      <c r="S636" s="13" t="n">
        <v>49</v>
      </c>
      <c r="T636" s="13" t="n">
        <v>237</v>
      </c>
      <c r="U636" s="13" t="n">
        <v>11</v>
      </c>
      <c r="V636" s="13" t="n">
        <v>134</v>
      </c>
      <c r="W636" s="13" t="n">
        <v>0.219</v>
      </c>
      <c r="X636" s="13" t="n">
        <v>179</v>
      </c>
      <c r="Y636" s="13" t="n">
        <v>142</v>
      </c>
      <c r="Z636" s="13" t="n">
        <v>58</v>
      </c>
      <c r="AA636" s="13" t="n">
        <v>7</v>
      </c>
      <c r="AB636" s="13" t="n">
        <v>8.9</v>
      </c>
      <c r="AC636" s="11" t="inlineStr">
        <is>
          <t xml:space="preserve"> Resort Freeride</t>
        </is>
      </c>
      <c r="AD636" s="11" t="inlineStr">
        <is>
          <t xml:space="preserve"> Touring</t>
        </is>
      </c>
      <c r="AE636" s="13" t="n"/>
      <c r="AF636" s="13" t="n"/>
      <c r="AG636" s="13" t="n"/>
    </row>
    <row r="637">
      <c r="A637" s="9" t="inlineStr">
        <is>
          <t>21/22</t>
        </is>
      </c>
      <c r="B637" s="10" t="inlineStr">
        <is>
          <t xml:space="preserve"> Head</t>
        </is>
      </c>
      <c r="C637" s="11" t="inlineStr">
        <is>
          <t>Kore 99</t>
        </is>
      </c>
      <c r="D637" s="13" t="n">
        <v>170</v>
      </c>
      <c r="E637" s="11" t="inlineStr">
        <is>
          <t xml:space="preserve"> Unisex</t>
        </is>
      </c>
      <c r="F637" s="13" t="n">
        <v>170</v>
      </c>
      <c r="G637" s="13" t="n">
        <v>169.4</v>
      </c>
      <c r="H637" s="13" t="n">
        <v>133</v>
      </c>
      <c r="I637" s="13" t="n">
        <v>137</v>
      </c>
      <c r="J637" s="13" t="n">
        <v>130</v>
      </c>
      <c r="K637" s="13" t="n">
        <v>96</v>
      </c>
      <c r="L637" s="13" t="n">
        <v>117</v>
      </c>
      <c r="M637" s="13" t="n">
        <v>15.3</v>
      </c>
      <c r="N637" s="13" t="n">
        <v>1623</v>
      </c>
      <c r="O637" s="13" t="n">
        <v>1.12</v>
      </c>
      <c r="P637" s="13" t="n">
        <v>1824</v>
      </c>
      <c r="Q637" s="13" t="n">
        <v>238</v>
      </c>
      <c r="R637" s="13" t="n">
        <v>111</v>
      </c>
      <c r="S637" s="13" t="n">
        <v>48</v>
      </c>
      <c r="T637" s="13" t="n">
        <v>227</v>
      </c>
      <c r="U637" s="13" t="n">
        <v>12</v>
      </c>
      <c r="V637" s="13" t="n">
        <v>137</v>
      </c>
      <c r="W637" s="13" t="n">
        <v>0.259</v>
      </c>
      <c r="X637" s="13" t="n">
        <v>184</v>
      </c>
      <c r="Y637" s="13" t="n">
        <v>141</v>
      </c>
      <c r="Z637" s="13" t="n">
        <v>43</v>
      </c>
      <c r="AA637" s="13" t="n">
        <v>6</v>
      </c>
      <c r="AB637" s="13" t="n">
        <v>10.2</v>
      </c>
      <c r="AC637" s="11" t="inlineStr">
        <is>
          <t xml:space="preserve"> Resort Freeride</t>
        </is>
      </c>
      <c r="AD637" s="11" t="inlineStr">
        <is>
          <t xml:space="preserve"> Touring</t>
        </is>
      </c>
      <c r="AE637" s="13" t="n"/>
      <c r="AF637" s="13" t="n"/>
      <c r="AG637" s="13" t="n"/>
    </row>
    <row r="638">
      <c r="A638" s="9" t="inlineStr">
        <is>
          <t>21/22</t>
        </is>
      </c>
      <c r="B638" s="10" t="inlineStr">
        <is>
          <t xml:space="preserve"> Head</t>
        </is>
      </c>
      <c r="C638" s="11" t="inlineStr">
        <is>
          <t>Kore 99</t>
        </is>
      </c>
      <c r="D638" s="13" t="n">
        <v>177</v>
      </c>
      <c r="E638" s="11" t="inlineStr">
        <is>
          <t xml:space="preserve"> Unisex</t>
        </is>
      </c>
      <c r="F638" s="13" t="n">
        <v>177</v>
      </c>
      <c r="G638" s="13" t="n">
        <v>176.7</v>
      </c>
      <c r="H638" s="13" t="n">
        <v>137</v>
      </c>
      <c r="I638" s="13" t="n">
        <v>139</v>
      </c>
      <c r="J638" s="13" t="n">
        <v>133</v>
      </c>
      <c r="K638" s="13" t="n">
        <v>98</v>
      </c>
      <c r="L638" s="13" t="n">
        <v>119</v>
      </c>
      <c r="M638" s="13" t="n">
        <v>17.5</v>
      </c>
      <c r="N638" s="13" t="n">
        <v>1689</v>
      </c>
      <c r="O638" s="13" t="n">
        <v>1.14</v>
      </c>
      <c r="P638" s="13" t="n">
        <v>1933</v>
      </c>
      <c r="Q638" s="13" t="n">
        <v>259</v>
      </c>
      <c r="R638" s="13" t="n">
        <v>127</v>
      </c>
      <c r="S638" s="13" t="n">
        <v>53</v>
      </c>
      <c r="T638" s="13" t="n">
        <v>237</v>
      </c>
      <c r="U638" s="13" t="n">
        <v>16</v>
      </c>
      <c r="V638" s="13" t="n">
        <v>155</v>
      </c>
      <c r="W638" s="13" t="n">
        <v>0.308</v>
      </c>
      <c r="X638" s="13" t="n">
        <v>201</v>
      </c>
      <c r="Y638" s="13" t="n">
        <v>173</v>
      </c>
      <c r="Z638" s="13" t="n">
        <v>35</v>
      </c>
      <c r="AA638" s="13" t="n">
        <v>6</v>
      </c>
      <c r="AB638" s="13" t="n">
        <v>9.9</v>
      </c>
      <c r="AC638" s="11" t="inlineStr">
        <is>
          <t xml:space="preserve"> Resort Freeride</t>
        </is>
      </c>
      <c r="AD638" s="11" t="inlineStr">
        <is>
          <t xml:space="preserve"> Touring</t>
        </is>
      </c>
      <c r="AE638" s="13" t="n"/>
      <c r="AF638" s="13" t="n"/>
      <c r="AG638" s="13" t="n"/>
    </row>
    <row r="639">
      <c r="A639" s="9" t="inlineStr">
        <is>
          <t>21/22</t>
        </is>
      </c>
      <c r="B639" s="10" t="inlineStr">
        <is>
          <t xml:space="preserve"> Head</t>
        </is>
      </c>
      <c r="C639" s="11" t="inlineStr">
        <is>
          <t>Kore 99</t>
        </is>
      </c>
      <c r="D639" s="13" t="n">
        <v>184</v>
      </c>
      <c r="E639" s="11" t="inlineStr">
        <is>
          <t xml:space="preserve"> Unisex</t>
        </is>
      </c>
      <c r="F639" s="13" t="n">
        <v>184</v>
      </c>
      <c r="G639" s="13" t="n">
        <v>183.8</v>
      </c>
      <c r="H639" s="13" t="n">
        <v>144</v>
      </c>
      <c r="I639" s="13" t="n">
        <v>150</v>
      </c>
      <c r="J639" s="13" t="n">
        <v>135</v>
      </c>
      <c r="K639" s="13" t="n">
        <v>100</v>
      </c>
      <c r="L639" s="13" t="n">
        <v>121</v>
      </c>
      <c r="M639" s="13" t="n">
        <v>18.9</v>
      </c>
      <c r="N639" s="13" t="n">
        <v>1841</v>
      </c>
      <c r="O639" s="13" t="n">
        <v>1.11</v>
      </c>
      <c r="P639" s="13" t="n">
        <v>2046</v>
      </c>
      <c r="Q639" s="13" t="n">
        <v>293</v>
      </c>
      <c r="R639" s="13" t="n">
        <v>148</v>
      </c>
      <c r="S639" s="13" t="n">
        <v>51</v>
      </c>
      <c r="T639" s="13" t="n">
        <v>231</v>
      </c>
      <c r="U639" s="13" t="n">
        <v>17</v>
      </c>
      <c r="V639" s="13" t="n">
        <v>164</v>
      </c>
      <c r="W639" s="13" t="n">
        <v>0.338</v>
      </c>
      <c r="X639" s="13" t="n">
        <v>189</v>
      </c>
      <c r="Y639" s="13" t="n">
        <v>151</v>
      </c>
      <c r="Z639" s="13" t="n">
        <v>42</v>
      </c>
      <c r="AA639" s="13" t="n">
        <v>7</v>
      </c>
      <c r="AB639" s="13" t="n">
        <v>10.9</v>
      </c>
      <c r="AC639" s="11" t="inlineStr">
        <is>
          <t xml:space="preserve"> Resort Freeride</t>
        </is>
      </c>
      <c r="AD639" s="11" t="inlineStr">
        <is>
          <t xml:space="preserve"> Big Mountain</t>
        </is>
      </c>
      <c r="AE639" s="11" t="inlineStr">
        <is>
          <t xml:space="preserve"> Touring</t>
        </is>
      </c>
      <c r="AF639" s="13" t="n"/>
      <c r="AG639" s="13" t="n"/>
    </row>
    <row r="640">
      <c r="A640" s="9" t="inlineStr">
        <is>
          <t>21/22</t>
        </is>
      </c>
      <c r="B640" s="10" t="inlineStr">
        <is>
          <t xml:space="preserve"> Head</t>
        </is>
      </c>
      <c r="C640" s="11" t="inlineStr">
        <is>
          <t>Oblivion 84</t>
        </is>
      </c>
      <c r="D640" s="13" t="n">
        <v>171</v>
      </c>
      <c r="E640" s="11" t="inlineStr">
        <is>
          <t xml:space="preserve"> Unisex</t>
        </is>
      </c>
      <c r="F640" s="13" t="n">
        <v>171</v>
      </c>
      <c r="G640" s="13" t="n">
        <v>169.2</v>
      </c>
      <c r="H640" s="13" t="n">
        <v>140</v>
      </c>
      <c r="I640" s="13" t="n">
        <v>151</v>
      </c>
      <c r="J640" s="13" t="n">
        <v>119</v>
      </c>
      <c r="K640" s="13" t="n">
        <v>82</v>
      </c>
      <c r="L640" s="13" t="n">
        <v>108</v>
      </c>
      <c r="M640" s="13" t="n">
        <v>17.8</v>
      </c>
      <c r="N640" s="13" t="n">
        <v>1696</v>
      </c>
      <c r="O640" s="13" t="n">
        <v>0.9399999999999999</v>
      </c>
      <c r="P640" s="13" t="n">
        <v>1586</v>
      </c>
      <c r="Q640" s="13" t="n">
        <v>178</v>
      </c>
      <c r="R640" s="13" t="n">
        <v>62</v>
      </c>
      <c r="S640" s="13" t="n">
        <v>48</v>
      </c>
      <c r="T640" s="13" t="n">
        <v>156</v>
      </c>
      <c r="U640" s="13" t="n">
        <v>37</v>
      </c>
      <c r="V640" s="13" t="n">
        <v>133</v>
      </c>
      <c r="W640" s="13" t="n">
        <v>0.769</v>
      </c>
      <c r="X640" s="13" t="n">
        <v>96</v>
      </c>
      <c r="Y640" s="13" t="n">
        <v>89</v>
      </c>
      <c r="Z640" s="13" t="n">
        <v>60</v>
      </c>
      <c r="AA640" s="13" t="n">
        <v>11</v>
      </c>
      <c r="AB640" s="13" t="n">
        <v>5.4</v>
      </c>
      <c r="AC640" s="11" t="inlineStr">
        <is>
          <t xml:space="preserve"> Resort Freeride</t>
        </is>
      </c>
      <c r="AD640" s="13" t="n"/>
      <c r="AE640" s="13" t="n"/>
      <c r="AF640" s="13" t="n"/>
      <c r="AG640" s="13" t="n"/>
    </row>
    <row r="641">
      <c r="A641" s="9" t="inlineStr">
        <is>
          <t>21/22</t>
        </is>
      </c>
      <c r="B641" s="10" t="inlineStr">
        <is>
          <t xml:space="preserve"> Head</t>
        </is>
      </c>
      <c r="C641" s="11" t="inlineStr">
        <is>
          <t>Oblivion 84</t>
        </is>
      </c>
      <c r="D641" s="13" t="n">
        <v>176</v>
      </c>
      <c r="E641" s="11" t="inlineStr">
        <is>
          <t xml:space="preserve"> Unisex</t>
        </is>
      </c>
      <c r="F641" s="13" t="n">
        <v>176</v>
      </c>
      <c r="G641" s="13" t="n">
        <v>174.1</v>
      </c>
      <c r="H641" s="13" t="n">
        <v>145</v>
      </c>
      <c r="I641" s="13" t="n">
        <v>155</v>
      </c>
      <c r="J641" s="13" t="n">
        <v>120</v>
      </c>
      <c r="K641" s="13" t="n">
        <v>83</v>
      </c>
      <c r="L641" s="13" t="n">
        <v>109</v>
      </c>
      <c r="M641" s="13" t="n">
        <v>19.1</v>
      </c>
      <c r="N641" s="13" t="n">
        <v>1800</v>
      </c>
      <c r="O641" s="13" t="n">
        <v>0.91</v>
      </c>
      <c r="P641" s="13" t="n">
        <v>1639</v>
      </c>
      <c r="Q641" s="13" t="n">
        <v>211</v>
      </c>
      <c r="R641" s="13" t="n">
        <v>70</v>
      </c>
      <c r="S641" s="13" t="n">
        <v>46</v>
      </c>
      <c r="T641" s="13" t="n">
        <v>149</v>
      </c>
      <c r="U641" s="13" t="n">
        <v>37</v>
      </c>
      <c r="V641" s="13" t="n">
        <v>138</v>
      </c>
      <c r="W641" s="13" t="n">
        <v>0.8</v>
      </c>
      <c r="X641" s="13" t="n">
        <v>93</v>
      </c>
      <c r="Y641" s="13" t="n">
        <v>94</v>
      </c>
      <c r="Z641" s="13" t="n">
        <v>55</v>
      </c>
      <c r="AA641" s="13" t="n">
        <v>11</v>
      </c>
      <c r="AB641" s="13" t="n">
        <v>5.5</v>
      </c>
      <c r="AC641" s="11" t="inlineStr">
        <is>
          <t xml:space="preserve"> Resort Freeride</t>
        </is>
      </c>
      <c r="AD641" s="11" t="inlineStr">
        <is>
          <t xml:space="preserve"> Freeski</t>
        </is>
      </c>
      <c r="AE641" s="13" t="n"/>
      <c r="AF641" s="13" t="n"/>
      <c r="AG641" s="13" t="n"/>
    </row>
    <row r="642">
      <c r="A642" s="9" t="inlineStr">
        <is>
          <t>21/22</t>
        </is>
      </c>
      <c r="B642" s="10" t="inlineStr">
        <is>
          <t xml:space="preserve"> Head</t>
        </is>
      </c>
      <c r="C642" s="11" t="inlineStr">
        <is>
          <t>Oblivion 94</t>
        </is>
      </c>
      <c r="D642" s="13" t="n">
        <v>163</v>
      </c>
      <c r="E642" s="11" t="inlineStr">
        <is>
          <t xml:space="preserve"> Unisex</t>
        </is>
      </c>
      <c r="F642" s="13" t="n">
        <v>163</v>
      </c>
      <c r="G642" s="13" t="n">
        <v>161.1</v>
      </c>
      <c r="H642" s="13" t="n">
        <v>123</v>
      </c>
      <c r="I642" s="13" t="n">
        <v>142</v>
      </c>
      <c r="J642" s="13" t="n">
        <v>125</v>
      </c>
      <c r="K642" s="13" t="n">
        <v>91</v>
      </c>
      <c r="L642" s="13" t="n">
        <v>115</v>
      </c>
      <c r="M642" s="13" t="n">
        <v>17.7</v>
      </c>
      <c r="N642" s="13" t="n">
        <v>1584</v>
      </c>
      <c r="O642" s="13" t="n">
        <v>1.03</v>
      </c>
      <c r="P642" s="13" t="n">
        <v>1631</v>
      </c>
      <c r="Q642" s="13" t="n">
        <v>147</v>
      </c>
      <c r="R642" s="13" t="n">
        <v>63</v>
      </c>
      <c r="S642" s="13" t="n">
        <v>51</v>
      </c>
      <c r="T642" s="13" t="n">
        <v>243</v>
      </c>
      <c r="U642" s="13" t="n">
        <v>37</v>
      </c>
      <c r="V642" s="13" t="n">
        <v>133</v>
      </c>
      <c r="W642" s="13" t="n">
        <v>0.716</v>
      </c>
      <c r="X642" s="13" t="n">
        <v>100</v>
      </c>
      <c r="Y642" s="13" t="n">
        <v>88</v>
      </c>
      <c r="Z642" s="13" t="n">
        <v>143</v>
      </c>
      <c r="AA642" s="13" t="n">
        <v>10</v>
      </c>
      <c r="AB642" s="13" t="n">
        <v>5.5</v>
      </c>
      <c r="AC642" s="11" t="inlineStr">
        <is>
          <t xml:space="preserve"> Resort Freeride</t>
        </is>
      </c>
      <c r="AD642" s="13" t="n"/>
      <c r="AE642" s="13" t="n"/>
      <c r="AF642" s="13" t="n"/>
      <c r="AG642" s="13" t="n"/>
    </row>
    <row r="643">
      <c r="A643" s="9" t="inlineStr">
        <is>
          <t>21/22</t>
        </is>
      </c>
      <c r="B643" s="10" t="inlineStr">
        <is>
          <t xml:space="preserve"> Head</t>
        </is>
      </c>
      <c r="C643" s="11" t="inlineStr">
        <is>
          <t>Oblivion 94</t>
        </is>
      </c>
      <c r="D643" s="13" t="n">
        <v>170</v>
      </c>
      <c r="E643" s="11" t="inlineStr">
        <is>
          <t xml:space="preserve"> Unisex</t>
        </is>
      </c>
      <c r="F643" s="13" t="n">
        <v>170</v>
      </c>
      <c r="G643" s="13" t="n">
        <v>168.1</v>
      </c>
      <c r="H643" s="13" t="n">
        <v>130</v>
      </c>
      <c r="I643" s="13" t="n">
        <v>150</v>
      </c>
      <c r="J643" s="13" t="n">
        <v>125</v>
      </c>
      <c r="K643" s="13" t="n">
        <v>92</v>
      </c>
      <c r="L643" s="13" t="n">
        <v>116</v>
      </c>
      <c r="M643" s="13" t="n">
        <v>19.3</v>
      </c>
      <c r="N643" s="13" t="n">
        <v>1645</v>
      </c>
      <c r="O643" s="13" t="n">
        <v>1.04</v>
      </c>
      <c r="P643" s="13" t="n">
        <v>1712</v>
      </c>
      <c r="Q643" s="13" t="n">
        <v>149</v>
      </c>
      <c r="R643" s="13" t="n">
        <v>68</v>
      </c>
      <c r="S643" s="13" t="n">
        <v>53</v>
      </c>
      <c r="T643" s="13" t="n">
        <v>233</v>
      </c>
      <c r="U643" s="13" t="n">
        <v>37</v>
      </c>
      <c r="V643" s="13" t="n">
        <v>145</v>
      </c>
      <c r="W643" s="13" t="n">
        <v>0.703</v>
      </c>
      <c r="X643" s="13" t="n">
        <v>97</v>
      </c>
      <c r="Y643" s="13" t="n">
        <v>88</v>
      </c>
      <c r="Z643" s="13" t="n">
        <v>137</v>
      </c>
      <c r="AA643" s="13" t="n">
        <v>10</v>
      </c>
      <c r="AB643" s="13" t="n">
        <v>5.6</v>
      </c>
      <c r="AC643" s="11" t="inlineStr">
        <is>
          <t xml:space="preserve"> Resort Freeride</t>
        </is>
      </c>
      <c r="AD643" s="13" t="n"/>
      <c r="AE643" s="13" t="n"/>
      <c r="AF643" s="13" t="n"/>
      <c r="AG643" s="13" t="n"/>
    </row>
    <row r="644">
      <c r="A644" s="9" t="inlineStr">
        <is>
          <t>21/22</t>
        </is>
      </c>
      <c r="B644" s="10" t="inlineStr">
        <is>
          <t xml:space="preserve"> Head</t>
        </is>
      </c>
      <c r="C644" s="11" t="inlineStr">
        <is>
          <t>Oblivion 94</t>
        </is>
      </c>
      <c r="D644" s="13" t="n">
        <v>177</v>
      </c>
      <c r="E644" s="11" t="inlineStr">
        <is>
          <t xml:space="preserve"> Unisex</t>
        </is>
      </c>
      <c r="F644" s="13" t="n">
        <v>177</v>
      </c>
      <c r="G644" s="13" t="n">
        <v>175.2</v>
      </c>
      <c r="H644" s="13" t="n">
        <v>137</v>
      </c>
      <c r="I644" s="13" t="n">
        <v>156</v>
      </c>
      <c r="J644" s="13" t="n">
        <v>126</v>
      </c>
      <c r="K644" s="13" t="n">
        <v>92</v>
      </c>
      <c r="L644" s="13" t="n">
        <v>116</v>
      </c>
      <c r="M644" s="13" t="n">
        <v>20.9</v>
      </c>
      <c r="N644" s="13" t="n">
        <v>1773</v>
      </c>
      <c r="O644" s="13" t="n">
        <v>1.01</v>
      </c>
      <c r="P644" s="13" t="n">
        <v>1793</v>
      </c>
      <c r="Q644" s="13" t="n">
        <v>181</v>
      </c>
      <c r="R644" s="13" t="n">
        <v>75</v>
      </c>
      <c r="S644" s="13" t="n">
        <v>53</v>
      </c>
      <c r="T644" s="13" t="n">
        <v>237</v>
      </c>
      <c r="U644" s="13" t="n">
        <v>37</v>
      </c>
      <c r="V644" s="13" t="n">
        <v>141</v>
      </c>
      <c r="W644" s="13" t="n">
        <v>0.6909999999999999</v>
      </c>
      <c r="X644" s="13" t="n">
        <v>98</v>
      </c>
      <c r="Y644" s="13" t="n">
        <v>92</v>
      </c>
      <c r="Z644" s="13" t="n">
        <v>139</v>
      </c>
      <c r="AA644" s="13" t="n">
        <v>10</v>
      </c>
      <c r="AB644" s="13" t="n">
        <v>5.5</v>
      </c>
      <c r="AC644" s="11" t="inlineStr">
        <is>
          <t xml:space="preserve"> Resort Freeride</t>
        </is>
      </c>
      <c r="AD644" s="13" t="n"/>
      <c r="AE644" s="13" t="n"/>
      <c r="AF644" s="13" t="n"/>
      <c r="AG644" s="13" t="n"/>
    </row>
    <row r="645">
      <c r="A645" s="9" t="inlineStr">
        <is>
          <t>21/22</t>
        </is>
      </c>
      <c r="B645" s="10" t="inlineStr">
        <is>
          <t xml:space="preserve"> Head</t>
        </is>
      </c>
      <c r="C645" s="11" t="inlineStr">
        <is>
          <t>Oblivion 94</t>
        </is>
      </c>
      <c r="D645" s="13" t="n">
        <v>184</v>
      </c>
      <c r="E645" s="11" t="inlineStr">
        <is>
          <t xml:space="preserve"> Unisex</t>
        </is>
      </c>
      <c r="F645" s="13" t="n">
        <v>184</v>
      </c>
      <c r="G645" s="13" t="n">
        <v>181.9</v>
      </c>
      <c r="H645" s="13" t="n">
        <v>142</v>
      </c>
      <c r="I645" s="13" t="n">
        <v>164</v>
      </c>
      <c r="J645" s="13" t="n">
        <v>127</v>
      </c>
      <c r="K645" s="13" t="n">
        <v>93</v>
      </c>
      <c r="L645" s="13" t="n">
        <v>117</v>
      </c>
      <c r="M645" s="13" t="n">
        <v>22.6</v>
      </c>
      <c r="N645" s="13" t="n">
        <v>1830</v>
      </c>
      <c r="O645" s="13" t="n">
        <v>1.03</v>
      </c>
      <c r="P645" s="13" t="n">
        <v>1878</v>
      </c>
      <c r="Q645" s="13" t="n">
        <v>189</v>
      </c>
      <c r="R645" s="13" t="n">
        <v>83</v>
      </c>
      <c r="S645" s="13" t="n">
        <v>54</v>
      </c>
      <c r="T645" s="13" t="n">
        <v>254</v>
      </c>
      <c r="U645" s="13" t="n">
        <v>38</v>
      </c>
      <c r="V645" s="13" t="n">
        <v>145</v>
      </c>
      <c r="W645" s="13" t="n">
        <v>0.704</v>
      </c>
      <c r="X645" s="13" t="n">
        <v>95</v>
      </c>
      <c r="Y645" s="13" t="n">
        <v>87</v>
      </c>
      <c r="Z645" s="13" t="n">
        <v>159</v>
      </c>
      <c r="AA645" s="13" t="n">
        <v>9</v>
      </c>
      <c r="AB645" s="13" t="n">
        <v>5.6</v>
      </c>
      <c r="AC645" s="11" t="inlineStr">
        <is>
          <t xml:space="preserve"> Resort Freeride</t>
        </is>
      </c>
      <c r="AD645" s="13" t="n"/>
      <c r="AE645" s="13" t="n"/>
      <c r="AF645" s="13" t="n"/>
      <c r="AG645" s="13" t="n"/>
    </row>
    <row r="646">
      <c r="A646" s="9" t="inlineStr">
        <is>
          <t>21/22</t>
        </is>
      </c>
      <c r="B646" s="10" t="inlineStr">
        <is>
          <t xml:space="preserve"> Head</t>
        </is>
      </c>
      <c r="C646" s="11" t="inlineStr">
        <is>
          <t xml:space="preserve"> Power Joy</t>
        </is>
      </c>
      <c r="D646" s="13" t="n">
        <v>153</v>
      </c>
      <c r="E646" s="11" t="inlineStr">
        <is>
          <t xml:space="preserve"> Women's</t>
        </is>
      </c>
      <c r="F646" s="13" t="n">
        <v>153</v>
      </c>
      <c r="G646" s="13" t="n">
        <v>152.5</v>
      </c>
      <c r="H646" s="13" t="n">
        <v>132</v>
      </c>
      <c r="I646" s="13" t="n">
        <v>137</v>
      </c>
      <c r="J646" s="13" t="n">
        <v>121</v>
      </c>
      <c r="K646" s="13" t="n">
        <v>67</v>
      </c>
      <c r="L646" s="13" t="n">
        <v>100</v>
      </c>
      <c r="M646" s="13" t="n">
        <v>11</v>
      </c>
      <c r="N646" s="13" t="n">
        <v>1721</v>
      </c>
      <c r="O646" s="13" t="n">
        <v>0.74</v>
      </c>
      <c r="P646" s="13" t="n">
        <v>1269</v>
      </c>
      <c r="Q646" s="13" t="n">
        <v>123</v>
      </c>
      <c r="R646" s="13" t="n">
        <v>60</v>
      </c>
      <c r="S646" s="13" t="n">
        <v>39</v>
      </c>
      <c r="T646" s="13" t="n">
        <v>134</v>
      </c>
      <c r="U646" s="13" t="n">
        <v>12</v>
      </c>
      <c r="V646" s="13" t="n">
        <v>72</v>
      </c>
      <c r="W646" s="13" t="n">
        <v>0.308</v>
      </c>
      <c r="X646" s="13" t="n">
        <v>89</v>
      </c>
      <c r="Y646" s="13" t="n">
        <v>62</v>
      </c>
      <c r="Z646" s="13" t="n">
        <v>45</v>
      </c>
      <c r="AA646" s="13" t="n">
        <v>10</v>
      </c>
      <c r="AB646" s="13" t="n">
        <v>9.4</v>
      </c>
      <c r="AC646" s="11" t="inlineStr">
        <is>
          <t xml:space="preserve"> On-Piste Carving</t>
        </is>
      </c>
      <c r="AD646" s="13" t="n"/>
      <c r="AE646" s="13" t="n"/>
      <c r="AF646" s="13" t="n"/>
      <c r="AG646" s="13" t="n"/>
    </row>
    <row r="647">
      <c r="A647" s="9" t="inlineStr">
        <is>
          <t>21/22</t>
        </is>
      </c>
      <c r="B647" s="10" t="inlineStr">
        <is>
          <t xml:space="preserve"> Head</t>
        </is>
      </c>
      <c r="C647" s="11" t="inlineStr">
        <is>
          <t xml:space="preserve"> Power Joy</t>
        </is>
      </c>
      <c r="D647" s="13" t="n">
        <v>158</v>
      </c>
      <c r="E647" s="11" t="inlineStr">
        <is>
          <t xml:space="preserve"> Women's</t>
        </is>
      </c>
      <c r="F647" s="13" t="n">
        <v>158</v>
      </c>
      <c r="G647" s="13" t="n">
        <v>157.5</v>
      </c>
      <c r="H647" s="13" t="n">
        <v>136</v>
      </c>
      <c r="I647" s="13" t="n">
        <v>142</v>
      </c>
      <c r="J647" s="13" t="n">
        <v>121</v>
      </c>
      <c r="K647" s="13" t="n">
        <v>67</v>
      </c>
      <c r="L647" s="13" t="n">
        <v>101</v>
      </c>
      <c r="M647" s="13" t="n">
        <v>11.8</v>
      </c>
      <c r="N647" s="13" t="n">
        <v>1757</v>
      </c>
      <c r="O647" s="13" t="n">
        <v>0.75</v>
      </c>
      <c r="P647" s="13" t="n">
        <v>1310</v>
      </c>
      <c r="Q647" s="13" t="n">
        <v>138</v>
      </c>
      <c r="R647" s="13" t="n">
        <v>76</v>
      </c>
      <c r="S647" s="13" t="n">
        <v>39</v>
      </c>
      <c r="T647" s="13" t="n">
        <v>137</v>
      </c>
      <c r="U647" s="13" t="n">
        <v>12</v>
      </c>
      <c r="V647" s="13" t="n">
        <v>78</v>
      </c>
      <c r="W647" s="13" t="n">
        <v>0.311</v>
      </c>
      <c r="X647" s="13" t="n">
        <v>93</v>
      </c>
      <c r="Y647" s="13" t="n">
        <v>60</v>
      </c>
      <c r="Z647" s="13" t="n">
        <v>45</v>
      </c>
      <c r="AA647" s="13" t="n">
        <v>9</v>
      </c>
      <c r="AB647" s="13" t="n">
        <v>9.199999999999999</v>
      </c>
      <c r="AC647" s="11" t="inlineStr">
        <is>
          <t xml:space="preserve"> On-Piste Carving</t>
        </is>
      </c>
      <c r="AD647" s="13" t="n"/>
      <c r="AE647" s="13" t="n"/>
      <c r="AF647" s="13" t="n"/>
      <c r="AG647" s="13" t="n"/>
    </row>
    <row r="648">
      <c r="A648" s="9" t="inlineStr">
        <is>
          <t>21/22</t>
        </is>
      </c>
      <c r="B648" s="10" t="inlineStr">
        <is>
          <t xml:space="preserve"> Head</t>
        </is>
      </c>
      <c r="C648" s="11" t="inlineStr">
        <is>
          <t xml:space="preserve"> Pure Joy</t>
        </is>
      </c>
      <c r="D648" s="13" t="n">
        <v>153</v>
      </c>
      <c r="E648" s="11" t="inlineStr">
        <is>
          <t xml:space="preserve"> Women's</t>
        </is>
      </c>
      <c r="F648" s="13" t="n">
        <v>153</v>
      </c>
      <c r="G648" s="13" t="n">
        <v>152.1</v>
      </c>
      <c r="H648" s="13" t="n">
        <v>131</v>
      </c>
      <c r="I648" s="13" t="n">
        <v>136</v>
      </c>
      <c r="J648" s="13" t="n">
        <v>129</v>
      </c>
      <c r="K648" s="13" t="n">
        <v>72</v>
      </c>
      <c r="L648" s="13" t="n">
        <v>106</v>
      </c>
      <c r="M648" s="13" t="n">
        <v>10</v>
      </c>
      <c r="N648" s="13" t="n">
        <v>1635</v>
      </c>
      <c r="O648" s="13" t="n">
        <v>0.83</v>
      </c>
      <c r="P648" s="13" t="n">
        <v>1364</v>
      </c>
      <c r="Q648" s="13" t="n">
        <v>137</v>
      </c>
      <c r="R648" s="13" t="n">
        <v>66</v>
      </c>
      <c r="S648" s="13" t="n">
        <v>35</v>
      </c>
      <c r="T648" s="13" t="n">
        <v>139</v>
      </c>
      <c r="U648" s="13" t="n">
        <v>10</v>
      </c>
      <c r="V648" s="13" t="n">
        <v>69</v>
      </c>
      <c r="W648" s="13" t="n">
        <v>0.299</v>
      </c>
      <c r="X648" s="13" t="n">
        <v>103</v>
      </c>
      <c r="Y648" s="13" t="n">
        <v>53</v>
      </c>
      <c r="Z648" s="13" t="n">
        <v>36</v>
      </c>
      <c r="AA648" s="13" t="n">
        <v>11</v>
      </c>
      <c r="AB648" s="13" t="n">
        <v>11.4</v>
      </c>
      <c r="AC648" s="11" t="inlineStr">
        <is>
          <t xml:space="preserve"> On-Piste Carving</t>
        </is>
      </c>
      <c r="AD648" s="11" t="inlineStr">
        <is>
          <t xml:space="preserve"> On-Piste All-Mountain</t>
        </is>
      </c>
      <c r="AE648" s="13" t="n"/>
      <c r="AF648" s="13" t="n"/>
      <c r="AG648" s="13" t="n"/>
    </row>
    <row r="649">
      <c r="A649" s="9" t="inlineStr">
        <is>
          <t>21/22</t>
        </is>
      </c>
      <c r="B649" s="10" t="inlineStr">
        <is>
          <t xml:space="preserve"> Head</t>
        </is>
      </c>
      <c r="C649" s="11" t="inlineStr">
        <is>
          <t xml:space="preserve"> Pure Joy</t>
        </is>
      </c>
      <c r="D649" s="13" t="n">
        <v>158</v>
      </c>
      <c r="E649" s="11" t="inlineStr">
        <is>
          <t xml:space="preserve"> Women's</t>
        </is>
      </c>
      <c r="F649" s="13" t="n">
        <v>158</v>
      </c>
      <c r="G649" s="13" t="n">
        <v>157.4</v>
      </c>
      <c r="H649" s="13" t="n">
        <v>135</v>
      </c>
      <c r="I649" s="13" t="n">
        <v>141</v>
      </c>
      <c r="J649" s="13" t="n">
        <v>129</v>
      </c>
      <c r="K649" s="13" t="n">
        <v>72</v>
      </c>
      <c r="L649" s="13" t="n">
        <v>106</v>
      </c>
      <c r="M649" s="13" t="n">
        <v>10.8</v>
      </c>
      <c r="N649" s="13" t="n">
        <v>1707</v>
      </c>
      <c r="O649" s="13" t="n">
        <v>0.83</v>
      </c>
      <c r="P649" s="13" t="n">
        <v>1408</v>
      </c>
      <c r="Q649" s="13" t="n">
        <v>145</v>
      </c>
      <c r="R649" s="13" t="n">
        <v>72</v>
      </c>
      <c r="S649" s="13" t="n">
        <v>35</v>
      </c>
      <c r="T649" s="13" t="n">
        <v>147</v>
      </c>
      <c r="U649" s="13" t="n">
        <v>12</v>
      </c>
      <c r="V649" s="13" t="n">
        <v>78</v>
      </c>
      <c r="W649" s="13" t="n">
        <v>0.349</v>
      </c>
      <c r="X649" s="13" t="n">
        <v>105</v>
      </c>
      <c r="Y649" s="13" t="n">
        <v>58</v>
      </c>
      <c r="Z649" s="13" t="n">
        <v>42</v>
      </c>
      <c r="AA649" s="13" t="n">
        <v>10</v>
      </c>
      <c r="AB649" s="13" t="n">
        <v>10.8</v>
      </c>
      <c r="AC649" s="11" t="inlineStr">
        <is>
          <t xml:space="preserve"> On-Piste Carving</t>
        </is>
      </c>
      <c r="AD649" s="11" t="inlineStr">
        <is>
          <t xml:space="preserve"> On-Piste All-Mountain</t>
        </is>
      </c>
      <c r="AE649" s="13" t="n"/>
      <c r="AF649" s="13" t="n"/>
      <c r="AG649" s="13" t="n"/>
    </row>
    <row r="650">
      <c r="A650" s="9" t="inlineStr">
        <is>
          <t>21/22</t>
        </is>
      </c>
      <c r="B650" s="10" t="inlineStr">
        <is>
          <t xml:space="preserve"> Head</t>
        </is>
      </c>
      <c r="C650" s="11" t="inlineStr">
        <is>
          <t xml:space="preserve"> Real Joy</t>
        </is>
      </c>
      <c r="D650" s="13" t="n">
        <v>158</v>
      </c>
      <c r="E650" s="11" t="inlineStr">
        <is>
          <t xml:space="preserve"> Women's</t>
        </is>
      </c>
      <c r="F650" s="13" t="n">
        <v>158</v>
      </c>
      <c r="G650" s="13" t="n">
        <v>157.4</v>
      </c>
      <c r="H650" s="13" t="n">
        <v>137</v>
      </c>
      <c r="I650" s="13" t="n">
        <v>141</v>
      </c>
      <c r="J650" s="13" t="n">
        <v>129</v>
      </c>
      <c r="K650" s="13" t="n">
        <v>72</v>
      </c>
      <c r="L650" s="13" t="n">
        <v>106</v>
      </c>
      <c r="M650" s="13" t="n">
        <v>10.8</v>
      </c>
      <c r="N650" s="13" t="n">
        <v>1680</v>
      </c>
      <c r="O650" s="13" t="n">
        <v>0.84</v>
      </c>
      <c r="P650" s="13" t="n">
        <v>1409</v>
      </c>
      <c r="Q650" s="13" t="n">
        <v>153</v>
      </c>
      <c r="R650" s="13" t="n">
        <v>73</v>
      </c>
      <c r="S650" s="13" t="n">
        <v>34</v>
      </c>
      <c r="T650" s="13" t="n">
        <v>135</v>
      </c>
      <c r="U650" s="13" t="n">
        <v>11</v>
      </c>
      <c r="V650" s="13" t="n">
        <v>73</v>
      </c>
      <c r="W650" s="13" t="n">
        <v>0.329</v>
      </c>
      <c r="X650" s="13" t="n">
        <v>104</v>
      </c>
      <c r="Y650" s="13" t="n">
        <v>55</v>
      </c>
      <c r="Z650" s="13" t="n">
        <v>30</v>
      </c>
      <c r="AA650" s="13" t="n">
        <v>11</v>
      </c>
      <c r="AB650" s="13" t="n">
        <v>10.9</v>
      </c>
      <c r="AC650" s="11" t="inlineStr">
        <is>
          <t xml:space="preserve"> On-Piste Carving</t>
        </is>
      </c>
      <c r="AD650" s="11" t="inlineStr">
        <is>
          <t xml:space="preserve"> On-Piste All-Mountain</t>
        </is>
      </c>
      <c r="AE650" s="13" t="n"/>
      <c r="AF650" s="13" t="n"/>
      <c r="AG650" s="13" t="n"/>
    </row>
    <row r="651">
      <c r="A651" s="9" t="inlineStr">
        <is>
          <t>21/22</t>
        </is>
      </c>
      <c r="B651" s="10" t="inlineStr">
        <is>
          <t xml:space="preserve"> Head</t>
        </is>
      </c>
      <c r="C651" s="11" t="inlineStr">
        <is>
          <t xml:space="preserve"> Super Joy</t>
        </is>
      </c>
      <c r="D651" s="13" t="n">
        <v>153</v>
      </c>
      <c r="E651" s="11" t="inlineStr">
        <is>
          <t xml:space="preserve"> Women's</t>
        </is>
      </c>
      <c r="F651" s="13" t="n">
        <v>153</v>
      </c>
      <c r="G651" s="13" t="n">
        <v>152.4</v>
      </c>
      <c r="H651" s="13" t="n">
        <v>131</v>
      </c>
      <c r="I651" s="13" t="n">
        <v>137</v>
      </c>
      <c r="J651" s="13" t="n">
        <v>128</v>
      </c>
      <c r="K651" s="13" t="n">
        <v>74</v>
      </c>
      <c r="L651" s="13" t="n">
        <v>107</v>
      </c>
      <c r="M651" s="13" t="n">
        <v>10.6</v>
      </c>
      <c r="N651" s="13" t="n">
        <v>1454</v>
      </c>
      <c r="O651" s="13" t="n">
        <v>0.95</v>
      </c>
      <c r="P651" s="13" t="n">
        <v>1386</v>
      </c>
      <c r="Q651" s="13" t="n">
        <v>145</v>
      </c>
      <c r="R651" s="13" t="n">
        <v>48</v>
      </c>
      <c r="S651" s="13" t="n">
        <v>38</v>
      </c>
      <c r="T651" s="13" t="n">
        <v>143</v>
      </c>
      <c r="U651" s="13" t="n">
        <v>12</v>
      </c>
      <c r="V651" s="13" t="n">
        <v>75</v>
      </c>
      <c r="W651" s="13" t="n">
        <v>0.323</v>
      </c>
      <c r="X651" s="13" t="n">
        <v>96</v>
      </c>
      <c r="Y651" s="13" t="n">
        <v>62</v>
      </c>
      <c r="Z651" s="13" t="n">
        <v>47</v>
      </c>
      <c r="AA651" s="13" t="n">
        <v>11</v>
      </c>
      <c r="AB651" s="13" t="n">
        <v>11.1</v>
      </c>
      <c r="AC651" s="11" t="inlineStr">
        <is>
          <t xml:space="preserve"> On-Piste Carving</t>
        </is>
      </c>
      <c r="AD651" s="11" t="inlineStr">
        <is>
          <t xml:space="preserve"> On-Piste All-Mountain</t>
        </is>
      </c>
      <c r="AE651" s="13" t="n"/>
      <c r="AF651" s="13" t="n"/>
      <c r="AG651" s="13" t="n"/>
    </row>
    <row r="652">
      <c r="A652" s="9" t="inlineStr">
        <is>
          <t>21/22</t>
        </is>
      </c>
      <c r="B652" s="10" t="inlineStr">
        <is>
          <t xml:space="preserve"> Head</t>
        </is>
      </c>
      <c r="C652" s="11" t="inlineStr">
        <is>
          <t xml:space="preserve"> Super Joy</t>
        </is>
      </c>
      <c r="D652" s="13" t="n">
        <v>158</v>
      </c>
      <c r="E652" s="11" t="inlineStr">
        <is>
          <t xml:space="preserve"> Women's</t>
        </is>
      </c>
      <c r="F652" s="13" t="n">
        <v>158</v>
      </c>
      <c r="G652" s="13" t="n">
        <v>157.6</v>
      </c>
      <c r="H652" s="13" t="n">
        <v>136</v>
      </c>
      <c r="I652" s="13" t="n">
        <v>141</v>
      </c>
      <c r="J652" s="13" t="n">
        <v>128</v>
      </c>
      <c r="K652" s="13" t="n">
        <v>74</v>
      </c>
      <c r="L652" s="13" t="n">
        <v>107</v>
      </c>
      <c r="M652" s="13" t="n">
        <v>11.3</v>
      </c>
      <c r="N652" s="13" t="n">
        <v>1541</v>
      </c>
      <c r="O652" s="13" t="n">
        <v>0.93</v>
      </c>
      <c r="P652" s="13" t="n">
        <v>1432</v>
      </c>
      <c r="Q652" s="13" t="n">
        <v>163</v>
      </c>
      <c r="R652" s="13" t="n">
        <v>50</v>
      </c>
      <c r="S652" s="13" t="n">
        <v>38</v>
      </c>
      <c r="T652" s="13" t="n">
        <v>144</v>
      </c>
      <c r="U652" s="13" t="n">
        <v>14</v>
      </c>
      <c r="V652" s="13" t="n">
        <v>76</v>
      </c>
      <c r="W652" s="13" t="n">
        <v>0.358</v>
      </c>
      <c r="X652" s="13" t="n">
        <v>102</v>
      </c>
      <c r="Y652" s="13" t="n">
        <v>65</v>
      </c>
      <c r="Z652" s="13" t="n">
        <v>43</v>
      </c>
      <c r="AA652" s="13" t="n">
        <v>12</v>
      </c>
      <c r="AB652" s="13" t="n">
        <v>11.1</v>
      </c>
      <c r="AC652" s="11" t="inlineStr">
        <is>
          <t xml:space="preserve"> On-Piste Carving</t>
        </is>
      </c>
      <c r="AD652" s="11" t="inlineStr">
        <is>
          <t xml:space="preserve"> On-Piste All-Mountain</t>
        </is>
      </c>
      <c r="AE652" s="13" t="n"/>
      <c r="AF652" s="13" t="n"/>
      <c r="AG652" s="13" t="n"/>
    </row>
    <row r="653">
      <c r="A653" s="9" t="inlineStr">
        <is>
          <t>21/22</t>
        </is>
      </c>
      <c r="B653" s="10" t="inlineStr">
        <is>
          <t xml:space="preserve"> Head</t>
        </is>
      </c>
      <c r="C653" s="11" t="inlineStr">
        <is>
          <t xml:space="preserve"> Supershape e-Magnum</t>
        </is>
      </c>
      <c r="D653" s="13" t="n">
        <v>170</v>
      </c>
      <c r="E653" s="11" t="inlineStr">
        <is>
          <t xml:space="preserve"> Unisex</t>
        </is>
      </c>
      <c r="F653" s="13" t="n">
        <v>170</v>
      </c>
      <c r="G653" s="13" t="n">
        <v>169.3</v>
      </c>
      <c r="H653" s="13" t="n">
        <v>150</v>
      </c>
      <c r="I653" s="13" t="n">
        <v>158</v>
      </c>
      <c r="J653" s="13" t="n">
        <v>128</v>
      </c>
      <c r="K653" s="13" t="n">
        <v>71</v>
      </c>
      <c r="L653" s="13" t="n">
        <v>109</v>
      </c>
      <c r="M653" s="13" t="n">
        <v>13.1</v>
      </c>
      <c r="N653" s="13" t="n">
        <v>2206</v>
      </c>
      <c r="O653" s="13" t="n">
        <v>0.68</v>
      </c>
      <c r="P653" s="13" t="n">
        <v>1491</v>
      </c>
      <c r="Q653" s="13" t="n">
        <v>213</v>
      </c>
      <c r="R653" s="13" t="n">
        <v>105</v>
      </c>
      <c r="S653" s="13" t="n">
        <v>36</v>
      </c>
      <c r="T653" s="13" t="n">
        <v>149</v>
      </c>
      <c r="U653" s="13" t="n">
        <v>4</v>
      </c>
      <c r="V653" s="13" t="n">
        <v>45</v>
      </c>
      <c r="W653" s="13" t="n">
        <v>0.104</v>
      </c>
      <c r="X653" s="13" t="n">
        <v>65</v>
      </c>
      <c r="Y653" s="13" t="n">
        <v>51</v>
      </c>
      <c r="Z653" s="13" t="n">
        <v>84</v>
      </c>
      <c r="AA653" s="13" t="n">
        <v>9</v>
      </c>
      <c r="AB653" s="13" t="n">
        <v>12.9</v>
      </c>
      <c r="AC653" s="11" t="inlineStr">
        <is>
          <t xml:space="preserve"> On-Piste Carving</t>
        </is>
      </c>
      <c r="AD653" s="13" t="n"/>
      <c r="AE653" s="13" t="n"/>
      <c r="AF653" s="13" t="n"/>
      <c r="AG653" s="13" t="n"/>
    </row>
    <row r="654">
      <c r="A654" s="9" t="inlineStr">
        <is>
          <t>21/22</t>
        </is>
      </c>
      <c r="B654" s="10" t="inlineStr">
        <is>
          <t xml:space="preserve"> Head</t>
        </is>
      </c>
      <c r="C654" s="11" t="inlineStr">
        <is>
          <t xml:space="preserve"> Supershape e-Magnum</t>
        </is>
      </c>
      <c r="D654" s="13" t="n">
        <v>177</v>
      </c>
      <c r="E654" s="11" t="inlineStr">
        <is>
          <t xml:space="preserve"> Unisex</t>
        </is>
      </c>
      <c r="F654" s="13" t="n">
        <v>177</v>
      </c>
      <c r="G654" s="13" t="n">
        <v>176.3</v>
      </c>
      <c r="H654" s="13" t="n">
        <v>157</v>
      </c>
      <c r="I654" s="13" t="n">
        <v>164</v>
      </c>
      <c r="J654" s="13" t="n">
        <v>128</v>
      </c>
      <c r="K654" s="13" t="n">
        <v>71</v>
      </c>
      <c r="L654" s="13" t="n">
        <v>109</v>
      </c>
      <c r="M654" s="13" t="n">
        <v>14.4</v>
      </c>
      <c r="N654" s="13" t="n">
        <v>2247</v>
      </c>
      <c r="O654" s="13" t="n">
        <v>0.6899999999999999</v>
      </c>
      <c r="P654" s="13" t="n">
        <v>1551</v>
      </c>
      <c r="Q654" s="13" t="n">
        <v>229</v>
      </c>
      <c r="R654" s="13" t="n">
        <v>113</v>
      </c>
      <c r="S654" s="13" t="n">
        <v>36</v>
      </c>
      <c r="T654" s="13" t="n">
        <v>147</v>
      </c>
      <c r="U654" s="13" t="n">
        <v>3</v>
      </c>
      <c r="V654" s="13" t="n">
        <v>48</v>
      </c>
      <c r="W654" s="13" t="n">
        <v>0.09</v>
      </c>
      <c r="X654" s="13" t="n">
        <v>66</v>
      </c>
      <c r="Y654" s="13" t="n">
        <v>55</v>
      </c>
      <c r="Z654" s="13" t="n">
        <v>81</v>
      </c>
      <c r="AA654" s="13" t="n">
        <v>9</v>
      </c>
      <c r="AB654" s="13" t="n">
        <v>12.7</v>
      </c>
      <c r="AC654" s="11" t="inlineStr">
        <is>
          <t xml:space="preserve"> On-Piste Carving</t>
        </is>
      </c>
      <c r="AD654" s="13" t="n"/>
      <c r="AE654" s="13" t="n"/>
      <c r="AF654" s="13" t="n"/>
      <c r="AG654" s="13" t="n"/>
    </row>
    <row r="655">
      <c r="A655" s="9" t="inlineStr">
        <is>
          <t>21/22</t>
        </is>
      </c>
      <c r="B655" s="10" t="inlineStr">
        <is>
          <t xml:space="preserve"> Head</t>
        </is>
      </c>
      <c r="C655" s="11" t="inlineStr">
        <is>
          <t xml:space="preserve"> Supershape e-Speed</t>
        </is>
      </c>
      <c r="D655" s="13" t="n">
        <v>163</v>
      </c>
      <c r="E655" s="11" t="inlineStr">
        <is>
          <t xml:space="preserve"> Unisex</t>
        </is>
      </c>
      <c r="F655" s="13" t="n">
        <v>163</v>
      </c>
      <c r="G655" s="13" t="n">
        <v>162.4</v>
      </c>
      <c r="H655" s="13" t="n">
        <v>144</v>
      </c>
      <c r="I655" s="13" t="n">
        <v>151</v>
      </c>
      <c r="J655" s="13" t="n">
        <v>121</v>
      </c>
      <c r="K655" s="13" t="n">
        <v>67</v>
      </c>
      <c r="L655" s="13" t="n">
        <v>103</v>
      </c>
      <c r="M655" s="13" t="n">
        <v>12.7</v>
      </c>
      <c r="N655" s="13" t="n">
        <v>2043</v>
      </c>
      <c r="O655" s="13" t="n">
        <v>0.66</v>
      </c>
      <c r="P655" s="13" t="n">
        <v>1351</v>
      </c>
      <c r="Q655" s="13" t="n">
        <v>192</v>
      </c>
      <c r="R655" s="13" t="n">
        <v>93</v>
      </c>
      <c r="S655" s="13" t="n">
        <v>37</v>
      </c>
      <c r="T655" s="13" t="n">
        <v>137</v>
      </c>
      <c r="U655" s="13" t="n">
        <v>3</v>
      </c>
      <c r="V655" s="13" t="n">
        <v>44</v>
      </c>
      <c r="W655" s="13" t="n">
        <v>0.081</v>
      </c>
      <c r="X655" s="13" t="n">
        <v>62</v>
      </c>
      <c r="Y655" s="13" t="n">
        <v>52</v>
      </c>
      <c r="Z655" s="13" t="n">
        <v>75</v>
      </c>
      <c r="AA655" s="13" t="n">
        <v>11</v>
      </c>
      <c r="AB655" s="13" t="n">
        <v>12.4</v>
      </c>
      <c r="AC655" s="11" t="inlineStr">
        <is>
          <t xml:space="preserve"> On-Piste Carving</t>
        </is>
      </c>
      <c r="AD655" s="13" t="n"/>
      <c r="AE655" s="13" t="n"/>
      <c r="AF655" s="13" t="n"/>
      <c r="AG655" s="13" t="n"/>
    </row>
    <row r="656">
      <c r="A656" s="9" t="inlineStr">
        <is>
          <t>21/22</t>
        </is>
      </c>
      <c r="B656" s="10" t="inlineStr">
        <is>
          <t xml:space="preserve"> Head</t>
        </is>
      </c>
      <c r="C656" s="11" t="inlineStr">
        <is>
          <t xml:space="preserve"> Supershape e-Speed</t>
        </is>
      </c>
      <c r="D656" s="13" t="n">
        <v>177</v>
      </c>
      <c r="E656" s="11" t="inlineStr">
        <is>
          <t xml:space="preserve"> Unisex</t>
        </is>
      </c>
      <c r="F656" s="13" t="n">
        <v>177</v>
      </c>
      <c r="G656" s="13" t="n">
        <v>176.2</v>
      </c>
      <c r="H656" s="13" t="n">
        <v>158</v>
      </c>
      <c r="I656" s="13" t="n">
        <v>165</v>
      </c>
      <c r="J656" s="13" t="n">
        <v>121</v>
      </c>
      <c r="K656" s="13" t="n">
        <v>67</v>
      </c>
      <c r="L656" s="13" t="n">
        <v>102</v>
      </c>
      <c r="M656" s="13" t="n">
        <v>15.5</v>
      </c>
      <c r="N656" s="13" t="n">
        <v>2207</v>
      </c>
      <c r="O656" s="13" t="n">
        <v>0.66</v>
      </c>
      <c r="P656" s="13" t="n">
        <v>1461</v>
      </c>
      <c r="Q656" s="13" t="n">
        <v>234</v>
      </c>
      <c r="R656" s="13" t="n">
        <v>107</v>
      </c>
      <c r="S656" s="13" t="n">
        <v>37</v>
      </c>
      <c r="T656" s="13" t="n">
        <v>137</v>
      </c>
      <c r="U656" s="13" t="n">
        <v>3</v>
      </c>
      <c r="V656" s="13" t="n">
        <v>45</v>
      </c>
      <c r="W656" s="13" t="n">
        <v>0.092</v>
      </c>
      <c r="X656" s="13" t="n">
        <v>61</v>
      </c>
      <c r="Y656" s="13" t="n">
        <v>52</v>
      </c>
      <c r="Z656" s="13" t="n">
        <v>76</v>
      </c>
      <c r="AA656" s="13" t="n">
        <v>10</v>
      </c>
      <c r="AB656" s="13" t="n">
        <v>12.8</v>
      </c>
      <c r="AC656" s="11" t="inlineStr">
        <is>
          <t xml:space="preserve"> On-Piste Carving</t>
        </is>
      </c>
      <c r="AD656" s="13" t="n"/>
      <c r="AE656" s="13" t="n"/>
      <c r="AF656" s="13" t="n"/>
      <c r="AG656" s="13" t="n"/>
    </row>
    <row r="657">
      <c r="A657" s="9" t="inlineStr">
        <is>
          <t>21/22</t>
        </is>
      </c>
      <c r="B657" s="10" t="inlineStr">
        <is>
          <t xml:space="preserve"> Head</t>
        </is>
      </c>
      <c r="C657" s="11" t="inlineStr">
        <is>
          <t xml:space="preserve"> Supershape e-Titan</t>
        </is>
      </c>
      <c r="D657" s="13" t="n">
        <v>177</v>
      </c>
      <c r="E657" s="11" t="inlineStr">
        <is>
          <t xml:space="preserve"> Unisex</t>
        </is>
      </c>
      <c r="F657" s="13" t="n">
        <v>177</v>
      </c>
      <c r="G657" s="13" t="n">
        <v>175.7</v>
      </c>
      <c r="H657" s="13" t="n">
        <v>153</v>
      </c>
      <c r="I657" s="13" t="n">
        <v>164</v>
      </c>
      <c r="J657" s="13" t="n">
        <v>132</v>
      </c>
      <c r="K657" s="13" t="n">
        <v>83</v>
      </c>
      <c r="L657" s="13" t="n">
        <v>114</v>
      </c>
      <c r="M657" s="13" t="n">
        <v>17.1</v>
      </c>
      <c r="N657" s="13" t="n">
        <v>2234</v>
      </c>
      <c r="O657" s="13" t="n">
        <v>0.76</v>
      </c>
      <c r="P657" s="13" t="n">
        <v>1701</v>
      </c>
      <c r="Q657" s="13" t="n">
        <v>256</v>
      </c>
      <c r="R657" s="13" t="n">
        <v>125</v>
      </c>
      <c r="S657" s="13" t="n">
        <v>47</v>
      </c>
      <c r="T657" s="13" t="n">
        <v>165</v>
      </c>
      <c r="U657" s="13" t="n">
        <v>8</v>
      </c>
      <c r="V657" s="13" t="n">
        <v>65</v>
      </c>
      <c r="W657" s="13" t="n">
        <v>0.166</v>
      </c>
      <c r="X657" s="13" t="n">
        <v>69</v>
      </c>
      <c r="Y657" s="13" t="n">
        <v>48</v>
      </c>
      <c r="Z657" s="13" t="n">
        <v>96</v>
      </c>
      <c r="AA657" s="13" t="n">
        <v>10</v>
      </c>
      <c r="AB657" s="13" t="n">
        <v>13</v>
      </c>
      <c r="AC657" s="11" t="inlineStr">
        <is>
          <t xml:space="preserve"> On-Piste Carving</t>
        </is>
      </c>
      <c r="AD657" s="11" t="inlineStr">
        <is>
          <t xml:space="preserve"> Resort Freeride</t>
        </is>
      </c>
      <c r="AE657" s="13" t="n"/>
      <c r="AF657" s="13" t="n"/>
      <c r="AG657" s="13" t="n"/>
    </row>
    <row r="658">
      <c r="A658" s="9" t="inlineStr">
        <is>
          <t>21/22</t>
        </is>
      </c>
      <c r="B658" s="10" t="inlineStr">
        <is>
          <t xml:space="preserve"> Head</t>
        </is>
      </c>
      <c r="C658" s="11" t="inlineStr">
        <is>
          <t xml:space="preserve"> Total Joy</t>
        </is>
      </c>
      <c r="D658" s="13" t="n">
        <v>153</v>
      </c>
      <c r="E658" s="11" t="inlineStr">
        <is>
          <t xml:space="preserve"> Women's</t>
        </is>
      </c>
      <c r="F658" s="13" t="n">
        <v>153</v>
      </c>
      <c r="G658" s="13" t="n">
        <v>153.1</v>
      </c>
      <c r="H658" s="13" t="n">
        <v>129</v>
      </c>
      <c r="I658" s="13" t="n">
        <v>135</v>
      </c>
      <c r="J658" s="13" t="n">
        <v>132</v>
      </c>
      <c r="K658" s="13" t="n">
        <v>84</v>
      </c>
      <c r="L658" s="13" t="n">
        <v>111</v>
      </c>
      <c r="M658" s="13" t="n">
        <v>12.1</v>
      </c>
      <c r="N658" s="13" t="n">
        <v>1377</v>
      </c>
      <c r="O658" s="13" t="n">
        <v>1.09</v>
      </c>
      <c r="P658" s="13" t="n">
        <v>1506</v>
      </c>
      <c r="Q658" s="13" t="n">
        <v>137</v>
      </c>
      <c r="R658" s="13" t="n">
        <v>47</v>
      </c>
      <c r="S658" s="13" t="n">
        <v>44</v>
      </c>
      <c r="T658" s="13" t="n">
        <v>161</v>
      </c>
      <c r="U658" s="13" t="n">
        <v>13</v>
      </c>
      <c r="V658" s="13" t="n">
        <v>77</v>
      </c>
      <c r="W658" s="13" t="n">
        <v>0.303</v>
      </c>
      <c r="X658" s="13" t="n">
        <v>109</v>
      </c>
      <c r="Y658" s="13" t="n">
        <v>69</v>
      </c>
      <c r="Z658" s="13" t="n">
        <v>52</v>
      </c>
      <c r="AA658" s="13" t="n">
        <v>14</v>
      </c>
      <c r="AB658" s="13" t="n">
        <v>10.1</v>
      </c>
      <c r="AC658" s="11" t="inlineStr">
        <is>
          <t xml:space="preserve"> On-Piste All-Mountain</t>
        </is>
      </c>
      <c r="AD658" s="11" t="inlineStr">
        <is>
          <t xml:space="preserve"> Resort Freeride</t>
        </is>
      </c>
      <c r="AE658" s="11" t="inlineStr">
        <is>
          <t xml:space="preserve"> Touring</t>
        </is>
      </c>
      <c r="AF658" s="13" t="n"/>
      <c r="AG658" s="13" t="n"/>
    </row>
    <row r="659">
      <c r="A659" s="9" t="inlineStr">
        <is>
          <t>21/22</t>
        </is>
      </c>
      <c r="B659" s="10" t="inlineStr">
        <is>
          <t xml:space="preserve"> Head</t>
        </is>
      </c>
      <c r="C659" s="11" t="inlineStr">
        <is>
          <t xml:space="preserve"> Total Joy</t>
        </is>
      </c>
      <c r="D659" s="13" t="n">
        <v>158</v>
      </c>
      <c r="E659" s="11" t="inlineStr">
        <is>
          <t xml:space="preserve"> Women's</t>
        </is>
      </c>
      <c r="F659" s="13" t="n">
        <v>158</v>
      </c>
      <c r="G659" s="13" t="n">
        <v>157.6</v>
      </c>
      <c r="H659" s="13" t="n">
        <v>132</v>
      </c>
      <c r="I659" s="13" t="n">
        <v>140</v>
      </c>
      <c r="J659" s="13" t="n">
        <v>132</v>
      </c>
      <c r="K659" s="13" t="n">
        <v>84</v>
      </c>
      <c r="L659" s="13" t="n">
        <v>111</v>
      </c>
      <c r="M659" s="13" t="n">
        <v>12.9</v>
      </c>
      <c r="N659" s="13" t="n">
        <v>1435</v>
      </c>
      <c r="O659" s="13" t="n">
        <v>1.08</v>
      </c>
      <c r="P659" s="13" t="n">
        <v>1549</v>
      </c>
      <c r="Q659" s="13" t="n">
        <v>168</v>
      </c>
      <c r="R659" s="13" t="n">
        <v>59</v>
      </c>
      <c r="S659" s="13" t="n">
        <v>44</v>
      </c>
      <c r="T659" s="13" t="n">
        <v>185</v>
      </c>
      <c r="U659" s="13" t="n">
        <v>12</v>
      </c>
      <c r="V659" s="13" t="n">
        <v>72</v>
      </c>
      <c r="W659" s="13" t="n">
        <v>0.266</v>
      </c>
      <c r="X659" s="13" t="n">
        <v>111</v>
      </c>
      <c r="Y659" s="13" t="n">
        <v>66</v>
      </c>
      <c r="Z659" s="13" t="n">
        <v>74</v>
      </c>
      <c r="AA659" s="13" t="n">
        <v>10</v>
      </c>
      <c r="AB659" s="13" t="n">
        <v>10.1</v>
      </c>
      <c r="AC659" s="11" t="inlineStr">
        <is>
          <t xml:space="preserve"> On-Piste All-Mountain</t>
        </is>
      </c>
      <c r="AD659" s="11" t="inlineStr">
        <is>
          <t xml:space="preserve"> Resort Freeride</t>
        </is>
      </c>
      <c r="AE659" s="11" t="inlineStr">
        <is>
          <t xml:space="preserve"> Touring</t>
        </is>
      </c>
      <c r="AF659" s="13" t="n"/>
      <c r="AG659" s="13" t="n"/>
    </row>
    <row r="660">
      <c r="A660" s="9" t="inlineStr">
        <is>
          <t>21/22</t>
        </is>
      </c>
      <c r="B660" s="10" t="inlineStr">
        <is>
          <t xml:space="preserve"> Head</t>
        </is>
      </c>
      <c r="C660" s="11" t="inlineStr">
        <is>
          <t>V-Shape V10</t>
        </is>
      </c>
      <c r="D660" s="13" t="n">
        <v>163</v>
      </c>
      <c r="E660" s="11" t="inlineStr">
        <is>
          <t xml:space="preserve"> Unisex</t>
        </is>
      </c>
      <c r="F660" s="13" t="n">
        <v>163</v>
      </c>
      <c r="G660" s="13" t="n">
        <v>162.4</v>
      </c>
      <c r="H660" s="13" t="n">
        <v>140</v>
      </c>
      <c r="I660" s="13" t="n">
        <v>148</v>
      </c>
      <c r="J660" s="13" t="n">
        <v>138</v>
      </c>
      <c r="K660" s="13" t="n">
        <v>84</v>
      </c>
      <c r="L660" s="13" t="n">
        <v>120</v>
      </c>
      <c r="M660" s="13" t="n">
        <v>12.3</v>
      </c>
      <c r="N660" s="13" t="n">
        <v>1729</v>
      </c>
      <c r="O660" s="13" t="n">
        <v>0.9399999999999999</v>
      </c>
      <c r="P660" s="13" t="n">
        <v>1630</v>
      </c>
      <c r="Q660" s="13" t="n">
        <v>207</v>
      </c>
      <c r="R660" s="13" t="n">
        <v>53</v>
      </c>
      <c r="S660" s="13" t="n">
        <v>42</v>
      </c>
      <c r="T660" s="13" t="n">
        <v>156</v>
      </c>
      <c r="U660" s="13" t="n">
        <v>9</v>
      </c>
      <c r="V660" s="13" t="n">
        <v>64</v>
      </c>
      <c r="W660" s="13" t="n">
        <v>0.22</v>
      </c>
      <c r="X660" s="13" t="n">
        <v>87</v>
      </c>
      <c r="Y660" s="13" t="n">
        <v>54</v>
      </c>
      <c r="Z660" s="13" t="n">
        <v>69</v>
      </c>
      <c r="AA660" s="13" t="n">
        <v>10</v>
      </c>
      <c r="AB660" s="13" t="n">
        <v>12.1</v>
      </c>
      <c r="AC660" s="11" t="inlineStr">
        <is>
          <t xml:space="preserve"> On-Piste Carving</t>
        </is>
      </c>
      <c r="AD660" s="11" t="inlineStr">
        <is>
          <t xml:space="preserve"> Resort Freeride</t>
        </is>
      </c>
      <c r="AE660" s="13" t="n"/>
      <c r="AF660" s="13" t="n"/>
      <c r="AG660" s="13" t="n"/>
    </row>
    <row r="661">
      <c r="A661" s="9" t="inlineStr">
        <is>
          <t>21/22</t>
        </is>
      </c>
      <c r="B661" s="10" t="inlineStr">
        <is>
          <t xml:space="preserve"> Head</t>
        </is>
      </c>
      <c r="C661" s="11" t="inlineStr">
        <is>
          <t>V-Shape V10</t>
        </is>
      </c>
      <c r="D661" s="13" t="n">
        <v>170</v>
      </c>
      <c r="E661" s="11" t="inlineStr">
        <is>
          <t xml:space="preserve"> Unisex</t>
        </is>
      </c>
      <c r="F661" s="13" t="n">
        <v>170</v>
      </c>
      <c r="G661" s="13" t="n">
        <v>169.1</v>
      </c>
      <c r="H661" s="13" t="n">
        <v>147</v>
      </c>
      <c r="I661" s="13" t="n">
        <v>155</v>
      </c>
      <c r="J661" s="13" t="n">
        <v>138</v>
      </c>
      <c r="K661" s="13" t="n">
        <v>84</v>
      </c>
      <c r="L661" s="13" t="n">
        <v>120</v>
      </c>
      <c r="M661" s="13" t="n">
        <v>13.6</v>
      </c>
      <c r="N661" s="13" t="n">
        <v>1782</v>
      </c>
      <c r="O661" s="13" t="n">
        <v>0.95</v>
      </c>
      <c r="P661" s="13" t="n">
        <v>1695</v>
      </c>
      <c r="Q661" s="13" t="n">
        <v>208</v>
      </c>
      <c r="R661" s="13" t="n">
        <v>56</v>
      </c>
      <c r="S661" s="13" t="n">
        <v>44</v>
      </c>
      <c r="T661" s="13" t="n">
        <v>160</v>
      </c>
      <c r="U661" s="13" t="n">
        <v>8</v>
      </c>
      <c r="V661" s="13" t="n">
        <v>59</v>
      </c>
      <c r="W661" s="13" t="n">
        <v>0.188</v>
      </c>
      <c r="X661" s="13" t="n">
        <v>85</v>
      </c>
      <c r="Y661" s="13" t="n">
        <v>55</v>
      </c>
      <c r="Z661" s="13" t="n">
        <v>76</v>
      </c>
      <c r="AA661" s="13" t="n">
        <v>11</v>
      </c>
      <c r="AB661" s="13" t="n">
        <v>13.1</v>
      </c>
      <c r="AC661" s="11" t="inlineStr">
        <is>
          <t xml:space="preserve"> On-Piste Carving</t>
        </is>
      </c>
      <c r="AD661" s="11" t="inlineStr">
        <is>
          <t xml:space="preserve"> Resort Freeride</t>
        </is>
      </c>
      <c r="AE661" s="13" t="n"/>
      <c r="AF661" s="13" t="n"/>
      <c r="AG661" s="13" t="n"/>
    </row>
    <row r="662">
      <c r="A662" s="9" t="inlineStr">
        <is>
          <t>21/22</t>
        </is>
      </c>
      <c r="B662" s="10" t="inlineStr">
        <is>
          <t xml:space="preserve"> Head</t>
        </is>
      </c>
      <c r="C662" s="11" t="inlineStr">
        <is>
          <t>V-Shape V10</t>
        </is>
      </c>
      <c r="D662" s="13" t="n">
        <v>177</v>
      </c>
      <c r="E662" s="11" t="inlineStr">
        <is>
          <t xml:space="preserve"> Unisex</t>
        </is>
      </c>
      <c r="F662" s="13" t="n">
        <v>177</v>
      </c>
      <c r="G662" s="13" t="n">
        <v>176.4</v>
      </c>
      <c r="H662" s="13" t="n">
        <v>155</v>
      </c>
      <c r="I662" s="13" t="n">
        <v>162</v>
      </c>
      <c r="J662" s="13" t="n">
        <v>138</v>
      </c>
      <c r="K662" s="13" t="n">
        <v>84</v>
      </c>
      <c r="L662" s="13" t="n">
        <v>120</v>
      </c>
      <c r="M662" s="13" t="n">
        <v>14.8</v>
      </c>
      <c r="N662" s="13" t="n">
        <v>1881</v>
      </c>
      <c r="O662" s="13" t="n">
        <v>0.9399999999999999</v>
      </c>
      <c r="P662" s="13" t="n">
        <v>1768</v>
      </c>
      <c r="Q662" s="13" t="n">
        <v>227</v>
      </c>
      <c r="R662" s="13" t="n">
        <v>66</v>
      </c>
      <c r="S662" s="13" t="n">
        <v>39</v>
      </c>
      <c r="T662" s="13" t="n">
        <v>147</v>
      </c>
      <c r="U662" s="13" t="n">
        <v>9</v>
      </c>
      <c r="V662" s="13" t="n">
        <v>68</v>
      </c>
      <c r="W662" s="13" t="n">
        <v>0.227</v>
      </c>
      <c r="X662" s="13" t="n">
        <v>85</v>
      </c>
      <c r="Y662" s="13" t="n">
        <v>58</v>
      </c>
      <c r="Z662" s="13" t="n">
        <v>61</v>
      </c>
      <c r="AA662" s="13" t="n">
        <v>12</v>
      </c>
      <c r="AB662" s="13" t="n">
        <v>13.2</v>
      </c>
      <c r="AC662" s="11" t="inlineStr">
        <is>
          <t xml:space="preserve"> On-Piste Carving</t>
        </is>
      </c>
      <c r="AD662" s="11" t="inlineStr">
        <is>
          <t xml:space="preserve"> Resort Freeride</t>
        </is>
      </c>
      <c r="AE662" s="13" t="n"/>
      <c r="AF662" s="13" t="n"/>
      <c r="AG662" s="13" t="n"/>
    </row>
    <row r="663">
      <c r="A663" s="9" t="inlineStr">
        <is>
          <t>21/22</t>
        </is>
      </c>
      <c r="B663" s="10" t="inlineStr">
        <is>
          <t xml:space="preserve"> Head</t>
        </is>
      </c>
      <c r="C663" s="11" t="inlineStr">
        <is>
          <t>V-Shape V4</t>
        </is>
      </c>
      <c r="D663" s="13" t="n">
        <v>156</v>
      </c>
      <c r="E663" s="11" t="inlineStr">
        <is>
          <t xml:space="preserve"> Unisex</t>
        </is>
      </c>
      <c r="F663" s="13" t="n">
        <v>156</v>
      </c>
      <c r="G663" s="13" t="n">
        <v>155.2</v>
      </c>
      <c r="H663" s="13" t="n">
        <v>136</v>
      </c>
      <c r="I663" s="13" t="n">
        <v>142</v>
      </c>
      <c r="J663" s="13" t="n">
        <v>131</v>
      </c>
      <c r="K663" s="13" t="n">
        <v>72</v>
      </c>
      <c r="L663" s="13" t="n">
        <v>111</v>
      </c>
      <c r="M663" s="13" t="n">
        <v>10.3</v>
      </c>
      <c r="N663" s="13" t="n">
        <v>1682</v>
      </c>
      <c r="O663" s="13" t="n">
        <v>0.84</v>
      </c>
      <c r="P663" s="13" t="n">
        <v>1410</v>
      </c>
      <c r="Q663" s="13" t="n">
        <v>135</v>
      </c>
      <c r="R663" s="13" t="n">
        <v>69</v>
      </c>
      <c r="S663" s="13" t="n">
        <v>33</v>
      </c>
      <c r="T663" s="13" t="n">
        <v>138</v>
      </c>
      <c r="U663" s="13" t="n">
        <v>6</v>
      </c>
      <c r="V663" s="13" t="n">
        <v>54</v>
      </c>
      <c r="W663" s="13" t="n">
        <v>0.173</v>
      </c>
      <c r="X663" s="13" t="n">
        <v>83</v>
      </c>
      <c r="Y663" s="13" t="n">
        <v>45</v>
      </c>
      <c r="Z663" s="13" t="n">
        <v>55</v>
      </c>
      <c r="AA663" s="13" t="n">
        <v>13</v>
      </c>
      <c r="AB663" s="13" t="n">
        <v>12.2</v>
      </c>
      <c r="AC663" s="11" t="inlineStr">
        <is>
          <t xml:space="preserve"> On-Piste Carving</t>
        </is>
      </c>
      <c r="AD663" s="13" t="n"/>
      <c r="AE663" s="13" t="n"/>
      <c r="AF663" s="13" t="n"/>
      <c r="AG663" s="13" t="n"/>
    </row>
    <row r="664">
      <c r="A664" s="9" t="inlineStr">
        <is>
          <t>21/22</t>
        </is>
      </c>
      <c r="B664" s="10" t="inlineStr">
        <is>
          <t xml:space="preserve"> Head</t>
        </is>
      </c>
      <c r="C664" s="11" t="inlineStr">
        <is>
          <t>V-Shape V4</t>
        </is>
      </c>
      <c r="D664" s="13" t="n">
        <v>163</v>
      </c>
      <c r="E664" s="11" t="inlineStr">
        <is>
          <t xml:space="preserve"> Unisex</t>
        </is>
      </c>
      <c r="F664" s="13" t="n">
        <v>163</v>
      </c>
      <c r="G664" s="13" t="n">
        <v>162.6</v>
      </c>
      <c r="H664" s="13" t="n">
        <v>143</v>
      </c>
      <c r="I664" s="13" t="n">
        <v>150</v>
      </c>
      <c r="J664" s="13" t="n">
        <v>130</v>
      </c>
      <c r="K664" s="13" t="n">
        <v>72</v>
      </c>
      <c r="L664" s="13" t="n">
        <v>111</v>
      </c>
      <c r="M664" s="13" t="n">
        <v>11.4</v>
      </c>
      <c r="N664" s="13" t="n">
        <v>1796</v>
      </c>
      <c r="O664" s="13" t="n">
        <v>0.82</v>
      </c>
      <c r="P664" s="13" t="n">
        <v>1468</v>
      </c>
      <c r="Q664" s="13" t="n">
        <v>158</v>
      </c>
      <c r="R664" s="13" t="n">
        <v>78</v>
      </c>
      <c r="S664" s="13" t="n">
        <v>33</v>
      </c>
      <c r="T664" s="13" t="n">
        <v>138</v>
      </c>
      <c r="U664" s="13" t="n">
        <v>7</v>
      </c>
      <c r="V664" s="13" t="n">
        <v>57</v>
      </c>
      <c r="W664" s="13" t="n">
        <v>0.214</v>
      </c>
      <c r="X664" s="13" t="n">
        <v>83</v>
      </c>
      <c r="Y664" s="13" t="n">
        <v>48</v>
      </c>
      <c r="Z664" s="13" t="n">
        <v>55</v>
      </c>
      <c r="AA664" s="13" t="n">
        <v>12</v>
      </c>
      <c r="AB664" s="13" t="n">
        <v>12.8</v>
      </c>
      <c r="AC664" s="11" t="inlineStr">
        <is>
          <t xml:space="preserve"> On-Piste Carving</t>
        </is>
      </c>
      <c r="AD664" s="13" t="n"/>
      <c r="AE664" s="13" t="n"/>
      <c r="AF664" s="13" t="n"/>
      <c r="AG664" s="13" t="n"/>
    </row>
    <row r="665">
      <c r="A665" s="9" t="inlineStr">
        <is>
          <t>21/22</t>
        </is>
      </c>
      <c r="B665" s="10" t="inlineStr">
        <is>
          <t xml:space="preserve"> Head</t>
        </is>
      </c>
      <c r="C665" s="11" t="inlineStr">
        <is>
          <t>V-Shape V4</t>
        </is>
      </c>
      <c r="D665" s="13" t="n">
        <v>170</v>
      </c>
      <c r="E665" s="11" t="inlineStr">
        <is>
          <t xml:space="preserve"> Unisex</t>
        </is>
      </c>
      <c r="F665" s="13" t="n">
        <v>170</v>
      </c>
      <c r="G665" s="13" t="n">
        <v>169.4</v>
      </c>
      <c r="H665" s="13" t="n">
        <v>150</v>
      </c>
      <c r="I665" s="13" t="n">
        <v>157</v>
      </c>
      <c r="J665" s="13" t="n">
        <v>130</v>
      </c>
      <c r="K665" s="13" t="n">
        <v>72</v>
      </c>
      <c r="L665" s="13" t="n">
        <v>111</v>
      </c>
      <c r="M665" s="13" t="n">
        <v>12.5</v>
      </c>
      <c r="N665" s="13" t="n">
        <v>1868</v>
      </c>
      <c r="O665" s="13" t="n">
        <v>0.8100000000000001</v>
      </c>
      <c r="P665" s="13" t="n">
        <v>1522</v>
      </c>
      <c r="Q665" s="13" t="n">
        <v>175</v>
      </c>
      <c r="R665" s="13" t="n">
        <v>88</v>
      </c>
      <c r="S665" s="13" t="n">
        <v>32</v>
      </c>
      <c r="T665" s="13" t="n">
        <v>136</v>
      </c>
      <c r="U665" s="13" t="n">
        <v>6</v>
      </c>
      <c r="V665" s="13" t="n">
        <v>58</v>
      </c>
      <c r="W665" s="13" t="n">
        <v>0.186</v>
      </c>
      <c r="X665" s="13" t="n">
        <v>76</v>
      </c>
      <c r="Y665" s="13" t="n">
        <v>49</v>
      </c>
      <c r="Z665" s="13" t="n">
        <v>60</v>
      </c>
      <c r="AA665" s="13" t="n">
        <v>13</v>
      </c>
      <c r="AB665" s="13" t="n">
        <v>13.4</v>
      </c>
      <c r="AC665" s="11" t="inlineStr">
        <is>
          <t xml:space="preserve"> On-Piste Carving</t>
        </is>
      </c>
      <c r="AD665" s="13" t="n"/>
      <c r="AE665" s="13" t="n"/>
      <c r="AF665" s="13" t="n"/>
      <c r="AG665" s="13" t="n"/>
    </row>
    <row r="666">
      <c r="A666" s="9" t="inlineStr">
        <is>
          <t>21/22</t>
        </is>
      </c>
      <c r="B666" s="10" t="inlineStr">
        <is>
          <t xml:space="preserve"> Head</t>
        </is>
      </c>
      <c r="C666" s="11" t="inlineStr">
        <is>
          <t>V-Shape V4 XL</t>
        </is>
      </c>
      <c r="D666" s="13" t="n">
        <v>170</v>
      </c>
      <c r="E666" s="11" t="inlineStr">
        <is>
          <t xml:space="preserve"> Unisex</t>
        </is>
      </c>
      <c r="F666" s="13" t="n">
        <v>170</v>
      </c>
      <c r="G666" s="13" t="n">
        <v>169.4</v>
      </c>
      <c r="H666" s="13" t="n">
        <v>150</v>
      </c>
      <c r="I666" s="13" t="n">
        <v>156</v>
      </c>
      <c r="J666" s="13" t="n">
        <v>133</v>
      </c>
      <c r="K666" s="13" t="n">
        <v>82</v>
      </c>
      <c r="L666" s="13" t="n">
        <v>114</v>
      </c>
      <c r="M666" s="13" t="n">
        <v>14.5</v>
      </c>
      <c r="N666" s="13" t="n">
        <v>2000</v>
      </c>
      <c r="O666" s="13" t="n">
        <v>0.82</v>
      </c>
      <c r="P666" s="13" t="n">
        <v>1647</v>
      </c>
      <c r="Q666" s="13" t="n">
        <v>180</v>
      </c>
      <c r="R666" s="13" t="n">
        <v>91</v>
      </c>
      <c r="S666" s="13" t="n">
        <v>33</v>
      </c>
      <c r="T666" s="13" t="n">
        <v>138</v>
      </c>
      <c r="U666" s="13" t="n">
        <v>7</v>
      </c>
      <c r="V666" s="13" t="n">
        <v>58</v>
      </c>
      <c r="W666" s="13" t="n">
        <v>0.21</v>
      </c>
      <c r="X666" s="13" t="n">
        <v>83</v>
      </c>
      <c r="Y666" s="13" t="n">
        <v>55</v>
      </c>
      <c r="Z666" s="13" t="n">
        <v>55</v>
      </c>
      <c r="AA666" s="13" t="n">
        <v>14</v>
      </c>
      <c r="AB666" s="13" t="n">
        <v>13.4</v>
      </c>
      <c r="AC666" s="11" t="inlineStr">
        <is>
          <t xml:space="preserve"> On-Piste Carving</t>
        </is>
      </c>
      <c r="AD666" s="11" t="inlineStr">
        <is>
          <t xml:space="preserve"> Resort Freeride</t>
        </is>
      </c>
      <c r="AE666" s="13" t="n"/>
      <c r="AF666" s="13" t="n"/>
      <c r="AG666" s="13" t="n"/>
    </row>
    <row r="667">
      <c r="A667" s="9" t="inlineStr">
        <is>
          <t>21/22</t>
        </is>
      </c>
      <c r="B667" s="10" t="inlineStr">
        <is>
          <t xml:space="preserve"> Head</t>
        </is>
      </c>
      <c r="C667" s="11" t="inlineStr">
        <is>
          <t>V-Shape V6</t>
        </is>
      </c>
      <c r="D667" s="13" t="n">
        <v>163</v>
      </c>
      <c r="E667" s="11" t="inlineStr">
        <is>
          <t xml:space="preserve"> Unisex</t>
        </is>
      </c>
      <c r="F667" s="13" t="n">
        <v>163</v>
      </c>
      <c r="G667" s="13" t="n">
        <v>162.4</v>
      </c>
      <c r="H667" s="13" t="n">
        <v>143</v>
      </c>
      <c r="I667" s="13" t="n">
        <v>149</v>
      </c>
      <c r="J667" s="13" t="n">
        <v>131</v>
      </c>
      <c r="K667" s="13" t="n">
        <v>77</v>
      </c>
      <c r="L667" s="13" t="n">
        <v>111</v>
      </c>
      <c r="M667" s="13" t="n">
        <v>12.4</v>
      </c>
      <c r="N667" s="13" t="n">
        <v>1882</v>
      </c>
      <c r="O667" s="13" t="n">
        <v>0.8</v>
      </c>
      <c r="P667" s="13" t="n">
        <v>1514</v>
      </c>
      <c r="Q667" s="13" t="n">
        <v>169</v>
      </c>
      <c r="R667" s="13" t="n">
        <v>80</v>
      </c>
      <c r="S667" s="13" t="n">
        <v>34</v>
      </c>
      <c r="T667" s="13" t="n">
        <v>138</v>
      </c>
      <c r="U667" s="13" t="n">
        <v>7</v>
      </c>
      <c r="V667" s="13" t="n">
        <v>59</v>
      </c>
      <c r="W667" s="13" t="n">
        <v>0.209</v>
      </c>
      <c r="X667" s="13" t="n">
        <v>86</v>
      </c>
      <c r="Y667" s="13" t="n">
        <v>51</v>
      </c>
      <c r="Z667" s="13" t="n">
        <v>52</v>
      </c>
      <c r="AA667" s="13" t="n">
        <v>14</v>
      </c>
      <c r="AB667" s="13" t="n">
        <v>12.5</v>
      </c>
      <c r="AC667" s="11" t="inlineStr">
        <is>
          <t xml:space="preserve"> On-Piste Carving</t>
        </is>
      </c>
      <c r="AD667" s="13" t="n"/>
      <c r="AE667" s="13" t="n"/>
      <c r="AF667" s="13" t="n"/>
      <c r="AG667" s="13" t="n"/>
    </row>
    <row r="668">
      <c r="A668" s="9" t="inlineStr">
        <is>
          <t>21/22</t>
        </is>
      </c>
      <c r="B668" s="10" t="inlineStr">
        <is>
          <t xml:space="preserve"> Head</t>
        </is>
      </c>
      <c r="C668" s="11" t="inlineStr">
        <is>
          <t>V-Shape V6</t>
        </is>
      </c>
      <c r="D668" s="13" t="n">
        <v>177</v>
      </c>
      <c r="E668" s="11" t="inlineStr">
        <is>
          <t xml:space="preserve"> Unisex</t>
        </is>
      </c>
      <c r="F668" s="13" t="n">
        <v>177</v>
      </c>
      <c r="G668" s="13" t="n">
        <v>176.4</v>
      </c>
      <c r="H668" s="13" t="n">
        <v>157</v>
      </c>
      <c r="I668" s="13" t="n">
        <v>164</v>
      </c>
      <c r="J668" s="13" t="n">
        <v>130</v>
      </c>
      <c r="K668" s="13" t="n">
        <v>76</v>
      </c>
      <c r="L668" s="13" t="n">
        <v>112</v>
      </c>
      <c r="M668" s="13" t="n">
        <v>15</v>
      </c>
      <c r="N668" s="13" t="n">
        <v>2144</v>
      </c>
      <c r="O668" s="13" t="n">
        <v>0.76</v>
      </c>
      <c r="P668" s="13" t="n">
        <v>1628</v>
      </c>
      <c r="Q668" s="13" t="n">
        <v>208</v>
      </c>
      <c r="R668" s="13" t="n">
        <v>114</v>
      </c>
      <c r="S668" s="13" t="n">
        <v>33</v>
      </c>
      <c r="T668" s="13" t="n">
        <v>134</v>
      </c>
      <c r="U668" s="13" t="n">
        <v>6</v>
      </c>
      <c r="V668" s="13" t="n">
        <v>56</v>
      </c>
      <c r="W668" s="13" t="n">
        <v>0.188</v>
      </c>
      <c r="X668" s="13" t="n">
        <v>76</v>
      </c>
      <c r="Y668" s="13" t="n">
        <v>51</v>
      </c>
      <c r="Z668" s="13" t="n">
        <v>58</v>
      </c>
      <c r="AA668" s="13" t="n">
        <v>18</v>
      </c>
      <c r="AB668" s="13" t="n">
        <v>13.2</v>
      </c>
      <c r="AC668" s="11" t="inlineStr">
        <is>
          <t xml:space="preserve"> On-Piste Carving</t>
        </is>
      </c>
      <c r="AD668" s="13" t="n"/>
      <c r="AE668" s="13" t="n"/>
      <c r="AF668" s="13" t="n"/>
      <c r="AG668" s="13" t="n"/>
    </row>
    <row r="669">
      <c r="A669" s="9" t="inlineStr">
        <is>
          <t>21/22</t>
        </is>
      </c>
      <c r="B669" s="10" t="inlineStr">
        <is>
          <t xml:space="preserve"> Head</t>
        </is>
      </c>
      <c r="C669" s="11" t="inlineStr">
        <is>
          <t>V-Shape V8</t>
        </is>
      </c>
      <c r="D669" s="13" t="n">
        <v>156</v>
      </c>
      <c r="E669" s="11" t="inlineStr">
        <is>
          <t xml:space="preserve"> Unisex</t>
        </is>
      </c>
      <c r="F669" s="13" t="n">
        <v>156</v>
      </c>
      <c r="G669" s="13" t="n">
        <v>155.6</v>
      </c>
      <c r="H669" s="13" t="n">
        <v>132</v>
      </c>
      <c r="I669" s="13" t="n">
        <v>142</v>
      </c>
      <c r="J669" s="13" t="n">
        <v>128</v>
      </c>
      <c r="K669" s="13" t="n">
        <v>74</v>
      </c>
      <c r="L669" s="13" t="n">
        <v>110</v>
      </c>
      <c r="M669" s="13" t="n">
        <v>11.1</v>
      </c>
      <c r="N669" s="13" t="n">
        <v>1527</v>
      </c>
      <c r="O669" s="13" t="n">
        <v>0.93</v>
      </c>
      <c r="P669" s="13" t="n">
        <v>1414</v>
      </c>
      <c r="Q669" s="13" t="n">
        <v>156</v>
      </c>
      <c r="R669" s="13" t="n">
        <v>39</v>
      </c>
      <c r="S669" s="13" t="n">
        <v>41</v>
      </c>
      <c r="T669" s="13" t="n">
        <v>164</v>
      </c>
      <c r="U669" s="13" t="n">
        <v>10</v>
      </c>
      <c r="V669" s="13" t="n">
        <v>68</v>
      </c>
      <c r="W669" s="13" t="n">
        <v>0.234</v>
      </c>
      <c r="X669" s="13" t="n">
        <v>85</v>
      </c>
      <c r="Y669" s="13" t="n">
        <v>55</v>
      </c>
      <c r="Z669" s="13" t="n">
        <v>79</v>
      </c>
      <c r="AA669" s="13" t="n">
        <v>6</v>
      </c>
      <c r="AB669" s="13" t="n">
        <v>11.6</v>
      </c>
      <c r="AC669" s="11" t="inlineStr">
        <is>
          <t xml:space="preserve"> On-Piste Carving</t>
        </is>
      </c>
      <c r="AD669" s="13" t="n"/>
      <c r="AE669" s="13" t="n"/>
      <c r="AF669" s="13" t="n"/>
      <c r="AG669" s="13" t="n"/>
    </row>
    <row r="670">
      <c r="A670" s="9" t="inlineStr">
        <is>
          <t>21/22</t>
        </is>
      </c>
      <c r="B670" s="10" t="inlineStr">
        <is>
          <t xml:space="preserve"> Head</t>
        </is>
      </c>
      <c r="C670" s="11" t="inlineStr">
        <is>
          <t>V-Shape V8</t>
        </is>
      </c>
      <c r="D670" s="13" t="n">
        <v>163</v>
      </c>
      <c r="E670" s="11" t="inlineStr">
        <is>
          <t xml:space="preserve"> Unisex</t>
        </is>
      </c>
      <c r="F670" s="13" t="n">
        <v>163</v>
      </c>
      <c r="G670" s="13" t="n">
        <v>162.5</v>
      </c>
      <c r="H670" s="13" t="n">
        <v>142</v>
      </c>
      <c r="I670" s="13" t="n">
        <v>149</v>
      </c>
      <c r="J670" s="13" t="n">
        <v>129</v>
      </c>
      <c r="K670" s="13" t="n">
        <v>74</v>
      </c>
      <c r="L670" s="13" t="n">
        <v>110</v>
      </c>
      <c r="M670" s="13" t="n">
        <v>12.1</v>
      </c>
      <c r="N670" s="13" t="n">
        <v>1587</v>
      </c>
      <c r="O670" s="13" t="n">
        <v>0.93</v>
      </c>
      <c r="P670" s="13" t="n">
        <v>1476</v>
      </c>
      <c r="Q670" s="13" t="n">
        <v>175</v>
      </c>
      <c r="R670" s="13" t="n">
        <v>44</v>
      </c>
      <c r="S670" s="13" t="n">
        <v>37</v>
      </c>
      <c r="T670" s="13" t="n">
        <v>140</v>
      </c>
      <c r="U670" s="13" t="n">
        <v>9</v>
      </c>
      <c r="V670" s="13" t="n">
        <v>62</v>
      </c>
      <c r="W670" s="13" t="n">
        <v>0.233</v>
      </c>
      <c r="X670" s="13" t="n">
        <v>83</v>
      </c>
      <c r="Y670" s="13" t="n">
        <v>56</v>
      </c>
      <c r="Z670" s="13" t="n">
        <v>57</v>
      </c>
      <c r="AA670" s="13" t="n">
        <v>12</v>
      </c>
      <c r="AB670" s="13" t="n">
        <v>12.4</v>
      </c>
      <c r="AC670" s="11" t="inlineStr">
        <is>
          <t xml:space="preserve"> On-Piste Carving</t>
        </is>
      </c>
      <c r="AD670" s="13" t="n"/>
      <c r="AE670" s="13" t="n"/>
      <c r="AF670" s="13" t="n"/>
      <c r="AG670" s="13" t="n"/>
    </row>
    <row r="671">
      <c r="A671" s="9" t="inlineStr">
        <is>
          <t>21/22</t>
        </is>
      </c>
      <c r="B671" s="10" t="inlineStr">
        <is>
          <t xml:space="preserve"> Head</t>
        </is>
      </c>
      <c r="C671" s="11" t="inlineStr">
        <is>
          <t>V-Shape V8</t>
        </is>
      </c>
      <c r="D671" s="13" t="n">
        <v>170</v>
      </c>
      <c r="E671" s="11" t="inlineStr">
        <is>
          <t xml:space="preserve"> Unisex</t>
        </is>
      </c>
      <c r="F671" s="13" t="n">
        <v>170</v>
      </c>
      <c r="G671" s="13" t="n">
        <v>169.4</v>
      </c>
      <c r="H671" s="13" t="n">
        <v>148</v>
      </c>
      <c r="I671" s="13" t="n">
        <v>155</v>
      </c>
      <c r="J671" s="13" t="n">
        <v>129</v>
      </c>
      <c r="K671" s="13" t="n">
        <v>74</v>
      </c>
      <c r="L671" s="13" t="n">
        <v>110</v>
      </c>
      <c r="M671" s="13" t="n">
        <v>13.3</v>
      </c>
      <c r="N671" s="13" t="n">
        <v>1634</v>
      </c>
      <c r="O671" s="13" t="n">
        <v>0.9399999999999999</v>
      </c>
      <c r="P671" s="13" t="n">
        <v>1534</v>
      </c>
      <c r="Q671" s="13" t="n">
        <v>201</v>
      </c>
      <c r="R671" s="13" t="n">
        <v>51</v>
      </c>
      <c r="S671" s="13" t="n">
        <v>38</v>
      </c>
      <c r="T671" s="13" t="n">
        <v>147</v>
      </c>
      <c r="U671" s="13" t="n">
        <v>8</v>
      </c>
      <c r="V671" s="13" t="n">
        <v>63</v>
      </c>
      <c r="W671" s="13" t="n">
        <v>0.219</v>
      </c>
      <c r="X671" s="13" t="n">
        <v>84</v>
      </c>
      <c r="Y671" s="13" t="n">
        <v>55</v>
      </c>
      <c r="Z671" s="13" t="n">
        <v>62</v>
      </c>
      <c r="AA671" s="13" t="n">
        <v>9</v>
      </c>
      <c r="AB671" s="13" t="n">
        <v>13.5</v>
      </c>
      <c r="AC671" s="11" t="inlineStr">
        <is>
          <t xml:space="preserve"> On-Piste Carving</t>
        </is>
      </c>
      <c r="AD671" s="13" t="n"/>
      <c r="AE671" s="13" t="n"/>
      <c r="AF671" s="13" t="n"/>
      <c r="AG671" s="13" t="n"/>
    </row>
    <row r="672">
      <c r="A672" s="9" t="inlineStr">
        <is>
          <t>21/22</t>
        </is>
      </c>
      <c r="B672" s="10" t="inlineStr">
        <is>
          <t xml:space="preserve"> Head</t>
        </is>
      </c>
      <c r="C672" s="11" t="inlineStr">
        <is>
          <t xml:space="preserve"> Worldcup Rebels e-Race Pro</t>
        </is>
      </c>
      <c r="D672" s="13" t="n">
        <v>165</v>
      </c>
      <c r="E672" s="11" t="inlineStr">
        <is>
          <t xml:space="preserve"> Unisex</t>
        </is>
      </c>
      <c r="F672" s="13" t="n">
        <v>165</v>
      </c>
      <c r="G672" s="13" t="n">
        <v>164</v>
      </c>
      <c r="H672" s="13" t="n">
        <v>147</v>
      </c>
      <c r="I672" s="13" t="n">
        <v>154</v>
      </c>
      <c r="J672" s="13" t="n">
        <v>120</v>
      </c>
      <c r="K672" s="13" t="n">
        <v>67</v>
      </c>
      <c r="L672" s="13" t="n">
        <v>101</v>
      </c>
      <c r="M672" s="13" t="n">
        <v>13.4</v>
      </c>
      <c r="N672" s="13" t="n">
        <v>2233</v>
      </c>
      <c r="O672" s="13" t="n">
        <v>0.61</v>
      </c>
      <c r="P672" s="13" t="n">
        <v>1354</v>
      </c>
      <c r="Q672" s="13" t="n">
        <v>190</v>
      </c>
      <c r="R672" s="13" t="n">
        <v>96</v>
      </c>
      <c r="S672" s="13" t="n">
        <v>36</v>
      </c>
      <c r="T672" s="13" t="n">
        <v>134</v>
      </c>
      <c r="U672" s="13" t="n">
        <v>3</v>
      </c>
      <c r="V672" s="13" t="n">
        <v>41</v>
      </c>
      <c r="W672" s="13" t="n">
        <v>0.073</v>
      </c>
      <c r="X672" s="13" t="n">
        <v>59</v>
      </c>
      <c r="Y672" s="13" t="n">
        <v>39</v>
      </c>
      <c r="Z672" s="13" t="n">
        <v>75</v>
      </c>
      <c r="AA672" s="13" t="n">
        <v>13</v>
      </c>
      <c r="AB672" s="13" t="n">
        <v>11.1</v>
      </c>
      <c r="AC672" s="11" t="inlineStr">
        <is>
          <t xml:space="preserve"> On-Piste Carving</t>
        </is>
      </c>
      <c r="AD672" s="13" t="n"/>
      <c r="AE672" s="13" t="n"/>
      <c r="AF672" s="13" t="n"/>
      <c r="AG672" s="13" t="n"/>
    </row>
    <row r="673">
      <c r="A673" s="9" t="inlineStr">
        <is>
          <t>21/22</t>
        </is>
      </c>
      <c r="B673" s="10" t="inlineStr">
        <is>
          <t xml:space="preserve"> Head</t>
        </is>
      </c>
      <c r="C673" s="11" t="inlineStr">
        <is>
          <t xml:space="preserve"> Worldcup Rebels e-Race Pro</t>
        </is>
      </c>
      <c r="D673" s="13" t="n">
        <v>170</v>
      </c>
      <c r="E673" s="11" t="inlineStr">
        <is>
          <t xml:space="preserve"> Unisex</t>
        </is>
      </c>
      <c r="F673" s="13" t="n">
        <v>170</v>
      </c>
      <c r="G673" s="13" t="n">
        <v>169.3</v>
      </c>
      <c r="H673" s="13" t="n">
        <v>151</v>
      </c>
      <c r="I673" s="13" t="n">
        <v>159</v>
      </c>
      <c r="J673" s="13" t="n">
        <v>120</v>
      </c>
      <c r="K673" s="13" t="n">
        <v>67</v>
      </c>
      <c r="L673" s="13" t="n">
        <v>101</v>
      </c>
      <c r="M673" s="13" t="n">
        <v>14.5</v>
      </c>
      <c r="N673" s="13" t="n">
        <v>2312</v>
      </c>
      <c r="O673" s="13" t="n">
        <v>0.61</v>
      </c>
      <c r="P673" s="13" t="n">
        <v>1401</v>
      </c>
      <c r="Q673" s="13" t="n">
        <v>215</v>
      </c>
      <c r="R673" s="13" t="n">
        <v>104</v>
      </c>
      <c r="S673" s="13" t="n">
        <v>37</v>
      </c>
      <c r="T673" s="13" t="n">
        <v>140</v>
      </c>
      <c r="U673" s="13" t="n">
        <v>3</v>
      </c>
      <c r="V673" s="13" t="n">
        <v>44</v>
      </c>
      <c r="W673" s="13" t="n">
        <v>0.08</v>
      </c>
      <c r="X673" s="13" t="n">
        <v>60</v>
      </c>
      <c r="Y673" s="13" t="n">
        <v>46</v>
      </c>
      <c r="Z673" s="13" t="n">
        <v>80</v>
      </c>
      <c r="AA673" s="13" t="n">
        <v>13</v>
      </c>
      <c r="AB673" s="13" t="n">
        <v>12.3</v>
      </c>
      <c r="AC673" s="11" t="inlineStr">
        <is>
          <t xml:space="preserve"> On-Piste Carving</t>
        </is>
      </c>
      <c r="AD673" s="13" t="n"/>
      <c r="AE673" s="13" t="n"/>
      <c r="AF673" s="13" t="n"/>
      <c r="AG673" s="13" t="n"/>
    </row>
    <row r="674">
      <c r="A674" s="9" t="inlineStr">
        <is>
          <t>21/22</t>
        </is>
      </c>
      <c r="B674" s="10" t="inlineStr">
        <is>
          <t xml:space="preserve"> Head</t>
        </is>
      </c>
      <c r="C674" s="11" t="inlineStr">
        <is>
          <t xml:space="preserve"> Worldcup Rebels e-SL</t>
        </is>
      </c>
      <c r="D674" s="13" t="n">
        <v>160</v>
      </c>
      <c r="E674" s="11" t="inlineStr">
        <is>
          <t xml:space="preserve"> Unisex</t>
        </is>
      </c>
      <c r="F674" s="13" t="n">
        <v>160</v>
      </c>
      <c r="G674" s="13" t="n">
        <v>158.8</v>
      </c>
      <c r="H674" s="13" t="n">
        <v>140</v>
      </c>
      <c r="I674" s="13" t="n">
        <v>149</v>
      </c>
      <c r="J674" s="13" t="n">
        <v>122</v>
      </c>
      <c r="K674" s="13" t="n">
        <v>67</v>
      </c>
      <c r="L674" s="13" t="n">
        <v>107</v>
      </c>
      <c r="M674" s="13" t="n">
        <v>11.5</v>
      </c>
      <c r="N674" s="13" t="n">
        <v>2253</v>
      </c>
      <c r="O674" s="13" t="n">
        <v>0.59</v>
      </c>
      <c r="P674" s="13" t="n">
        <v>1338</v>
      </c>
      <c r="Q674" s="13" t="n">
        <v>205</v>
      </c>
      <c r="R674" s="13" t="n">
        <v>96</v>
      </c>
      <c r="S674" s="13" t="n">
        <v>42</v>
      </c>
      <c r="T674" s="13" t="n">
        <v>147</v>
      </c>
      <c r="U674" s="13" t="n">
        <v>3</v>
      </c>
      <c r="V674" s="13" t="n">
        <v>42</v>
      </c>
      <c r="W674" s="13" t="n">
        <v>0.063</v>
      </c>
      <c r="X674" s="13" t="n">
        <v>59</v>
      </c>
      <c r="Y674" s="13" t="n">
        <v>43</v>
      </c>
      <c r="Z674" s="13" t="n">
        <v>88</v>
      </c>
      <c r="AA674" s="13" t="n">
        <v>11</v>
      </c>
      <c r="AB674" s="13" t="n">
        <v>11.9</v>
      </c>
      <c r="AC674" s="11" t="inlineStr">
        <is>
          <t xml:space="preserve"> On-Piste Carving</t>
        </is>
      </c>
      <c r="AD674" s="13" t="n"/>
      <c r="AE674" s="13" t="n"/>
      <c r="AF674" s="13" t="n"/>
      <c r="AG674" s="13" t="n"/>
    </row>
    <row r="675">
      <c r="A675" s="9" t="inlineStr">
        <is>
          <t>21/22</t>
        </is>
      </c>
      <c r="B675" s="10" t="inlineStr">
        <is>
          <t xml:space="preserve"> Head</t>
        </is>
      </c>
      <c r="C675" s="11" t="inlineStr">
        <is>
          <t xml:space="preserve"> Worldcup Rebels e-SL</t>
        </is>
      </c>
      <c r="D675" s="13" t="n">
        <v>170</v>
      </c>
      <c r="E675" s="11" t="inlineStr">
        <is>
          <t xml:space="preserve"> Unisex</t>
        </is>
      </c>
      <c r="F675" s="13" t="n">
        <v>170</v>
      </c>
      <c r="G675" s="13" t="n">
        <v>168.9</v>
      </c>
      <c r="H675" s="13" t="n">
        <v>151</v>
      </c>
      <c r="I675" s="13" t="n">
        <v>159</v>
      </c>
      <c r="J675" s="13" t="n">
        <v>122</v>
      </c>
      <c r="K675" s="13" t="n">
        <v>67</v>
      </c>
      <c r="L675" s="13" t="n">
        <v>107</v>
      </c>
      <c r="M675" s="13" t="n">
        <v>13.2</v>
      </c>
      <c r="N675" s="13" t="n">
        <v>2386</v>
      </c>
      <c r="O675" s="13" t="n">
        <v>0.6</v>
      </c>
      <c r="P675" s="13" t="n">
        <v>1420</v>
      </c>
      <c r="Q675" s="13" t="n">
        <v>221</v>
      </c>
      <c r="R675" s="13" t="n">
        <v>97</v>
      </c>
      <c r="S675" s="13" t="n">
        <v>39</v>
      </c>
      <c r="T675" s="13" t="n">
        <v>141</v>
      </c>
      <c r="U675" s="13" t="n">
        <v>3</v>
      </c>
      <c r="V675" s="13" t="n">
        <v>41</v>
      </c>
      <c r="W675" s="13" t="n">
        <v>0.067</v>
      </c>
      <c r="X675" s="13" t="n">
        <v>58</v>
      </c>
      <c r="Y675" s="13" t="n">
        <v>36</v>
      </c>
      <c r="Z675" s="13" t="n">
        <v>83</v>
      </c>
      <c r="AA675" s="13" t="n">
        <v>10</v>
      </c>
      <c r="AB675" s="13" t="n">
        <v>12.5</v>
      </c>
      <c r="AC675" s="11" t="inlineStr">
        <is>
          <t xml:space="preserve"> On-Piste Carving</t>
        </is>
      </c>
      <c r="AD675" s="13" t="n"/>
      <c r="AE675" s="13" t="n"/>
      <c r="AF675" s="13" t="n"/>
      <c r="AG675" s="13" t="n"/>
    </row>
    <row r="676">
      <c r="A676" s="9" t="inlineStr">
        <is>
          <t>21/22</t>
        </is>
      </c>
      <c r="B676" s="10" t="inlineStr">
        <is>
          <t xml:space="preserve"> Head</t>
        </is>
      </c>
      <c r="C676" s="11" t="inlineStr">
        <is>
          <t xml:space="preserve"> Worldcup Rebels e-Speed Pro</t>
        </is>
      </c>
      <c r="D676" s="13" t="n">
        <v>180</v>
      </c>
      <c r="E676" s="11" t="inlineStr">
        <is>
          <t xml:space="preserve"> Unisex</t>
        </is>
      </c>
      <c r="F676" s="13" t="n">
        <v>180</v>
      </c>
      <c r="G676" s="13" t="n">
        <v>179</v>
      </c>
      <c r="H676" s="13" t="n">
        <v>162</v>
      </c>
      <c r="I676" s="13" t="n">
        <v>170</v>
      </c>
      <c r="J676" s="13" t="n">
        <v>116</v>
      </c>
      <c r="K676" s="13" t="n">
        <v>67</v>
      </c>
      <c r="L676" s="13" t="n">
        <v>98</v>
      </c>
      <c r="M676" s="13" t="n">
        <v>18</v>
      </c>
      <c r="N676" s="11" t="inlineStr">
        <is>
          <t xml:space="preserve"> None</t>
        </is>
      </c>
      <c r="O676" s="11" t="inlineStr">
        <is>
          <t xml:space="preserve"> None</t>
        </is>
      </c>
      <c r="P676" s="13" t="n">
        <v>1456</v>
      </c>
      <c r="Q676" s="13" t="n">
        <v>259</v>
      </c>
      <c r="R676" s="13" t="n">
        <v>143</v>
      </c>
      <c r="S676" s="13" t="n">
        <v>31</v>
      </c>
      <c r="T676" s="13" t="n">
        <v>123</v>
      </c>
      <c r="U676" s="13" t="n">
        <v>3</v>
      </c>
      <c r="V676" s="13" t="n">
        <v>43</v>
      </c>
      <c r="W676" s="13" t="n">
        <v>0.09</v>
      </c>
      <c r="X676" s="13" t="n">
        <v>59</v>
      </c>
      <c r="Y676" s="13" t="n">
        <v>33</v>
      </c>
      <c r="Z676" s="13" t="n">
        <v>63</v>
      </c>
      <c r="AA676" s="13" t="n">
        <v>13</v>
      </c>
      <c r="AB676" s="13" t="n">
        <v>13.3</v>
      </c>
      <c r="AC676" s="11" t="inlineStr">
        <is>
          <t xml:space="preserve"> Other</t>
        </is>
      </c>
      <c r="AD676" s="13" t="n"/>
      <c r="AE676" s="13" t="n"/>
      <c r="AF676" s="13" t="n"/>
      <c r="AG676" s="13" t="n"/>
    </row>
    <row r="677">
      <c r="A677" s="9" t="inlineStr">
        <is>
          <t>21/22</t>
        </is>
      </c>
      <c r="B677" s="10" t="inlineStr">
        <is>
          <t xml:space="preserve"> Head</t>
        </is>
      </c>
      <c r="C677" s="11" t="inlineStr">
        <is>
          <t xml:space="preserve"> Worldcup Rebels I.SLR</t>
        </is>
      </c>
      <c r="D677" s="13" t="n">
        <v>150</v>
      </c>
      <c r="E677" s="11" t="inlineStr">
        <is>
          <t xml:space="preserve"> Unisex</t>
        </is>
      </c>
      <c r="F677" s="13" t="n">
        <v>150</v>
      </c>
      <c r="G677" s="13" t="n">
        <v>149</v>
      </c>
      <c r="H677" s="13" t="n">
        <v>129</v>
      </c>
      <c r="I677" s="13" t="n">
        <v>135</v>
      </c>
      <c r="J677" s="13" t="n">
        <v>119</v>
      </c>
      <c r="K677" s="13" t="n">
        <v>64</v>
      </c>
      <c r="L677" s="13" t="n">
        <v>104</v>
      </c>
      <c r="M677" s="13" t="n">
        <v>9.4</v>
      </c>
      <c r="N677" s="13" t="n">
        <v>1708</v>
      </c>
      <c r="O677" s="13" t="n">
        <v>0.71</v>
      </c>
      <c r="P677" s="13" t="n">
        <v>1221</v>
      </c>
      <c r="Q677" s="13" t="n">
        <v>123</v>
      </c>
      <c r="R677" s="13" t="n">
        <v>58</v>
      </c>
      <c r="S677" s="13" t="n">
        <v>43</v>
      </c>
      <c r="T677" s="13" t="n">
        <v>141</v>
      </c>
      <c r="U677" s="13" t="n">
        <v>5</v>
      </c>
      <c r="V677" s="13" t="n">
        <v>54</v>
      </c>
      <c r="W677" s="13" t="n">
        <v>0.122</v>
      </c>
      <c r="X677" s="13" t="n">
        <v>78</v>
      </c>
      <c r="Y677" s="13" t="n">
        <v>59</v>
      </c>
      <c r="Z677" s="13" t="n">
        <v>63</v>
      </c>
      <c r="AA677" s="13" t="n">
        <v>9</v>
      </c>
      <c r="AB677" s="13" t="n">
        <v>12.4</v>
      </c>
      <c r="AC677" s="11" t="inlineStr">
        <is>
          <t xml:space="preserve"> On-Piste Carving</t>
        </is>
      </c>
      <c r="AD677" s="13" t="n"/>
      <c r="AE677" s="13" t="n"/>
      <c r="AF677" s="13" t="n"/>
      <c r="AG677" s="13" t="n"/>
    </row>
    <row r="678">
      <c r="A678" s="9" t="inlineStr">
        <is>
          <t>21/22</t>
        </is>
      </c>
      <c r="B678" s="10" t="inlineStr">
        <is>
          <t xml:space="preserve"> Head</t>
        </is>
      </c>
      <c r="C678" s="11" t="inlineStr">
        <is>
          <t xml:space="preserve"> Worldcup Rebels I.SLR</t>
        </is>
      </c>
      <c r="D678" s="13" t="n">
        <v>155</v>
      </c>
      <c r="E678" s="11" t="inlineStr">
        <is>
          <t xml:space="preserve"> Unisex</t>
        </is>
      </c>
      <c r="F678" s="13" t="n">
        <v>155</v>
      </c>
      <c r="G678" s="13" t="n">
        <v>154.3</v>
      </c>
      <c r="H678" s="13" t="n">
        <v>135</v>
      </c>
      <c r="I678" s="13" t="n">
        <v>140</v>
      </c>
      <c r="J678" s="13" t="n">
        <v>120</v>
      </c>
      <c r="K678" s="13" t="n">
        <v>65</v>
      </c>
      <c r="L678" s="13" t="n">
        <v>105</v>
      </c>
      <c r="M678" s="13" t="n">
        <v>10.1</v>
      </c>
      <c r="N678" s="13" t="n">
        <v>1796</v>
      </c>
      <c r="O678" s="13" t="n">
        <v>0.71</v>
      </c>
      <c r="P678" s="13" t="n">
        <v>1273</v>
      </c>
      <c r="Q678" s="13" t="n">
        <v>135</v>
      </c>
      <c r="R678" s="13" t="n">
        <v>65</v>
      </c>
      <c r="S678" s="13" t="n">
        <v>44</v>
      </c>
      <c r="T678" s="13" t="n">
        <v>141</v>
      </c>
      <c r="U678" s="13" t="n">
        <v>6</v>
      </c>
      <c r="V678" s="13" t="n">
        <v>56</v>
      </c>
      <c r="W678" s="13" t="n">
        <v>0.125</v>
      </c>
      <c r="X678" s="13" t="n">
        <v>78</v>
      </c>
      <c r="Y678" s="13" t="n">
        <v>65</v>
      </c>
      <c r="Z678" s="13" t="n">
        <v>63</v>
      </c>
      <c r="AA678" s="13" t="n">
        <v>10</v>
      </c>
      <c r="AB678" s="13" t="n">
        <v>12.4</v>
      </c>
      <c r="AC678" s="11" t="inlineStr">
        <is>
          <t xml:space="preserve"> On-Piste Carving</t>
        </is>
      </c>
      <c r="AD678" s="13" t="n"/>
      <c r="AE678" s="13" t="n"/>
      <c r="AF678" s="13" t="n"/>
      <c r="AG678" s="13" t="n"/>
    </row>
    <row r="679">
      <c r="A679" s="9" t="inlineStr">
        <is>
          <t>21/22</t>
        </is>
      </c>
      <c r="B679" s="10" t="inlineStr">
        <is>
          <t xml:space="preserve"> Head</t>
        </is>
      </c>
      <c r="C679" s="11" t="inlineStr">
        <is>
          <t xml:space="preserve"> Worldcup Rebels I.SLR</t>
        </is>
      </c>
      <c r="D679" s="13" t="n">
        <v>160</v>
      </c>
      <c r="E679" s="11" t="inlineStr">
        <is>
          <t xml:space="preserve"> Unisex</t>
        </is>
      </c>
      <c r="F679" s="13" t="n">
        <v>160</v>
      </c>
      <c r="G679" s="13" t="n">
        <v>159.2</v>
      </c>
      <c r="H679" s="13" t="n">
        <v>140</v>
      </c>
      <c r="I679" s="13" t="n">
        <v>145</v>
      </c>
      <c r="J679" s="13" t="n">
        <v>121</v>
      </c>
      <c r="K679" s="13" t="n">
        <v>65</v>
      </c>
      <c r="L679" s="13" t="n">
        <v>106</v>
      </c>
      <c r="M679" s="13" t="n">
        <v>11</v>
      </c>
      <c r="N679" s="13" t="n">
        <v>1871</v>
      </c>
      <c r="O679" s="13" t="n">
        <v>0.7</v>
      </c>
      <c r="P679" s="13" t="n">
        <v>1318</v>
      </c>
      <c r="Q679" s="13" t="n">
        <v>159</v>
      </c>
      <c r="R679" s="13" t="n">
        <v>79</v>
      </c>
      <c r="S679" s="13" t="n">
        <v>40</v>
      </c>
      <c r="T679" s="13" t="n">
        <v>143</v>
      </c>
      <c r="U679" s="13" t="n">
        <v>5</v>
      </c>
      <c r="V679" s="13" t="n">
        <v>52</v>
      </c>
      <c r="W679" s="13" t="n">
        <v>0.125</v>
      </c>
      <c r="X679" s="13" t="n">
        <v>80</v>
      </c>
      <c r="Y679" s="13" t="n">
        <v>60</v>
      </c>
      <c r="Z679" s="13" t="n">
        <v>63</v>
      </c>
      <c r="AA679" s="13" t="n">
        <v>9</v>
      </c>
      <c r="AB679" s="13" t="n">
        <v>12.8</v>
      </c>
      <c r="AC679" s="11" t="inlineStr">
        <is>
          <t xml:space="preserve"> On-Piste Carving</t>
        </is>
      </c>
      <c r="AD679" s="13" t="n"/>
      <c r="AE679" s="13" t="n"/>
      <c r="AF679" s="13" t="n"/>
      <c r="AG679" s="13" t="n"/>
    </row>
    <row r="680">
      <c r="A680" s="9" t="inlineStr">
        <is>
          <t>21/22</t>
        </is>
      </c>
      <c r="B680" s="10" t="inlineStr">
        <is>
          <t xml:space="preserve"> Head</t>
        </is>
      </c>
      <c r="C680" s="11" t="inlineStr">
        <is>
          <t xml:space="preserve"> Worldcup Rebels I.SLR</t>
        </is>
      </c>
      <c r="D680" s="13" t="n">
        <v>165</v>
      </c>
      <c r="E680" s="11" t="inlineStr">
        <is>
          <t xml:space="preserve"> Unisex</t>
        </is>
      </c>
      <c r="F680" s="13" t="n">
        <v>165</v>
      </c>
      <c r="G680" s="13" t="n">
        <v>164.1</v>
      </c>
      <c r="H680" s="13" t="n">
        <v>145</v>
      </c>
      <c r="I680" s="13" t="n">
        <v>150</v>
      </c>
      <c r="J680" s="13" t="n">
        <v>121</v>
      </c>
      <c r="K680" s="13" t="n">
        <v>65</v>
      </c>
      <c r="L680" s="13" t="n">
        <v>106</v>
      </c>
      <c r="M680" s="13" t="n">
        <v>11.5</v>
      </c>
      <c r="N680" s="13" t="n">
        <v>1940</v>
      </c>
      <c r="O680" s="13" t="n">
        <v>0.7</v>
      </c>
      <c r="P680" s="13" t="n">
        <v>1363</v>
      </c>
      <c r="Q680" s="13" t="n">
        <v>153</v>
      </c>
      <c r="R680" s="13" t="n">
        <v>79</v>
      </c>
      <c r="S680" s="13" t="n">
        <v>41</v>
      </c>
      <c r="T680" s="13" t="n">
        <v>139</v>
      </c>
      <c r="U680" s="13" t="n">
        <v>5</v>
      </c>
      <c r="V680" s="13" t="n">
        <v>51</v>
      </c>
      <c r="W680" s="13" t="n">
        <v>0.116</v>
      </c>
      <c r="X680" s="13" t="n">
        <v>77</v>
      </c>
      <c r="Y680" s="13" t="n">
        <v>59</v>
      </c>
      <c r="Z680" s="13" t="n">
        <v>62</v>
      </c>
      <c r="AA680" s="13" t="n">
        <v>11</v>
      </c>
      <c r="AB680" s="13" t="n">
        <v>12.8</v>
      </c>
      <c r="AC680" s="11" t="inlineStr">
        <is>
          <t xml:space="preserve"> On-Piste Carving</t>
        </is>
      </c>
      <c r="AD680" s="13" t="n"/>
      <c r="AE680" s="13" t="n"/>
      <c r="AF680" s="13" t="n"/>
      <c r="AG680" s="13" t="n"/>
    </row>
    <row r="681">
      <c r="A681" s="9" t="inlineStr">
        <is>
          <t>21/22</t>
        </is>
      </c>
      <c r="B681" s="10" t="inlineStr">
        <is>
          <t xml:space="preserve"> Icelantic</t>
        </is>
      </c>
      <c r="C681" s="11" t="inlineStr">
        <is>
          <t>Maiden 91</t>
        </is>
      </c>
      <c r="D681" s="13" t="n">
        <v>155</v>
      </c>
      <c r="E681" s="11" t="inlineStr">
        <is>
          <t xml:space="preserve"> Women's</t>
        </is>
      </c>
      <c r="F681" s="13" t="n">
        <v>155</v>
      </c>
      <c r="G681" s="13" t="n">
        <v>152.5</v>
      </c>
      <c r="H681" s="13" t="n">
        <v>84</v>
      </c>
      <c r="I681" s="13" t="n">
        <v>127</v>
      </c>
      <c r="J681" s="13" t="n">
        <v>126</v>
      </c>
      <c r="K681" s="13" t="n">
        <v>92</v>
      </c>
      <c r="L681" s="13" t="n">
        <v>117</v>
      </c>
      <c r="M681" s="13" t="n">
        <v>13</v>
      </c>
      <c r="N681" s="13" t="n">
        <v>1357</v>
      </c>
      <c r="O681" s="13" t="n">
        <v>1.16</v>
      </c>
      <c r="P681" s="13" t="n">
        <v>1574</v>
      </c>
      <c r="Q681" s="13" t="n">
        <v>151</v>
      </c>
      <c r="R681" s="13" t="n">
        <v>63</v>
      </c>
      <c r="S681" s="13" t="n">
        <v>61</v>
      </c>
      <c r="T681" s="13" t="n">
        <v>363</v>
      </c>
      <c r="U681" s="13" t="n">
        <v>59</v>
      </c>
      <c r="V681" s="13" t="n">
        <v>318</v>
      </c>
      <c r="W681" s="13" t="n">
        <v>0.961</v>
      </c>
      <c r="X681" s="13" t="n">
        <v>123</v>
      </c>
      <c r="Y681" s="13" t="n">
        <v>130</v>
      </c>
      <c r="Z681" s="13" t="n">
        <v>240</v>
      </c>
      <c r="AA681" s="13" t="n">
        <v>2</v>
      </c>
      <c r="AB681" s="13" t="n">
        <v>8.199999999999999</v>
      </c>
      <c r="AC681" s="11" t="inlineStr">
        <is>
          <t xml:space="preserve"> Freeski</t>
        </is>
      </c>
      <c r="AD681" s="11" t="inlineStr">
        <is>
          <t xml:space="preserve"> Touring</t>
        </is>
      </c>
      <c r="AE681" s="13" t="n"/>
      <c r="AF681" s="13" t="n"/>
      <c r="AG681" s="13" t="n"/>
    </row>
    <row r="682">
      <c r="A682" s="9" t="inlineStr">
        <is>
          <t>21/22</t>
        </is>
      </c>
      <c r="B682" s="10" t="inlineStr">
        <is>
          <t xml:space="preserve"> Icelantic</t>
        </is>
      </c>
      <c r="C682" s="11" t="inlineStr">
        <is>
          <t>Maiden 91</t>
        </is>
      </c>
      <c r="D682" s="13" t="n">
        <v>162</v>
      </c>
      <c r="E682" s="11" t="inlineStr">
        <is>
          <t xml:space="preserve"> Women's</t>
        </is>
      </c>
      <c r="F682" s="13" t="n">
        <v>162</v>
      </c>
      <c r="G682" s="13" t="n">
        <v>159.8</v>
      </c>
      <c r="H682" s="13" t="n">
        <v>91</v>
      </c>
      <c r="I682" s="13" t="n">
        <v>137</v>
      </c>
      <c r="J682" s="13" t="n">
        <v>126</v>
      </c>
      <c r="K682" s="13" t="n">
        <v>90</v>
      </c>
      <c r="L682" s="13" t="n">
        <v>116</v>
      </c>
      <c r="M682" s="13" t="n">
        <v>14.4</v>
      </c>
      <c r="N682" s="13" t="n">
        <v>1490</v>
      </c>
      <c r="O682" s="13" t="n">
        <v>1.09</v>
      </c>
      <c r="P682" s="13" t="n">
        <v>1627</v>
      </c>
      <c r="Q682" s="13" t="n">
        <v>154</v>
      </c>
      <c r="R682" s="13" t="n">
        <v>68</v>
      </c>
      <c r="S682" s="13" t="n">
        <v>58</v>
      </c>
      <c r="T682" s="13" t="n">
        <v>364</v>
      </c>
      <c r="U682" s="13" t="n">
        <v>59</v>
      </c>
      <c r="V682" s="13" t="n">
        <v>320</v>
      </c>
      <c r="W682" s="13" t="n">
        <v>1.02</v>
      </c>
      <c r="X682" s="13" t="n">
        <v>105</v>
      </c>
      <c r="Y682" s="13" t="n">
        <v>125</v>
      </c>
      <c r="Z682" s="13" t="n">
        <v>259</v>
      </c>
      <c r="AA682" s="13" t="n">
        <v>2</v>
      </c>
      <c r="AB682" s="13" t="n">
        <v>8</v>
      </c>
      <c r="AC682" s="11" t="inlineStr">
        <is>
          <t xml:space="preserve"> Freeski</t>
        </is>
      </c>
      <c r="AD682" s="11" t="inlineStr">
        <is>
          <t xml:space="preserve"> Touring</t>
        </is>
      </c>
      <c r="AE682" s="13" t="n"/>
      <c r="AF682" s="13" t="n"/>
      <c r="AG682" s="13" t="n"/>
    </row>
    <row r="683">
      <c r="A683" s="9" t="inlineStr">
        <is>
          <t>21/22</t>
        </is>
      </c>
      <c r="B683" s="10" t="inlineStr">
        <is>
          <t xml:space="preserve"> Icelantic</t>
        </is>
      </c>
      <c r="C683" s="11" t="inlineStr">
        <is>
          <t>Natural 101</t>
        </is>
      </c>
      <c r="D683" s="13" t="n">
        <v>171</v>
      </c>
      <c r="E683" s="11" t="inlineStr">
        <is>
          <t xml:space="preserve"> Unisex</t>
        </is>
      </c>
      <c r="F683" s="13" t="n">
        <v>171</v>
      </c>
      <c r="G683" s="13" t="n">
        <v>168.6</v>
      </c>
      <c r="H683" s="13" t="n">
        <v>118</v>
      </c>
      <c r="I683" s="13" t="n">
        <v>134</v>
      </c>
      <c r="J683" s="13" t="n">
        <v>132</v>
      </c>
      <c r="K683" s="13" t="n">
        <v>101</v>
      </c>
      <c r="L683" s="13" t="n">
        <v>116</v>
      </c>
      <c r="M683" s="13" t="n">
        <v>18.8</v>
      </c>
      <c r="N683" s="13" t="n">
        <v>1582</v>
      </c>
      <c r="O683" s="13" t="n">
        <v>1.17</v>
      </c>
      <c r="P683" s="13" t="n">
        <v>1854</v>
      </c>
      <c r="Q683" s="13" t="n">
        <v>211</v>
      </c>
      <c r="R683" s="13" t="n">
        <v>88</v>
      </c>
      <c r="S683" s="13" t="n">
        <v>64</v>
      </c>
      <c r="T683" s="13" t="n">
        <v>329</v>
      </c>
      <c r="U683" s="13" t="n">
        <v>25</v>
      </c>
      <c r="V683" s="13" t="n">
        <v>177</v>
      </c>
      <c r="W683" s="13" t="n">
        <v>0.395</v>
      </c>
      <c r="X683" s="13" t="n">
        <v>238</v>
      </c>
      <c r="Y683" s="13" t="n">
        <v>105</v>
      </c>
      <c r="Z683" s="13" t="n">
        <v>91</v>
      </c>
      <c r="AA683" s="13" t="n">
        <v>5</v>
      </c>
      <c r="AB683" s="13" t="n">
        <v>9.5</v>
      </c>
      <c r="AC683" s="11" t="inlineStr">
        <is>
          <t xml:space="preserve"> Resort Freeride</t>
        </is>
      </c>
      <c r="AD683" s="11" t="inlineStr">
        <is>
          <t xml:space="preserve"> Powder</t>
        </is>
      </c>
      <c r="AE683" s="11" t="inlineStr">
        <is>
          <t xml:space="preserve"> Big Mountain</t>
        </is>
      </c>
      <c r="AF683" s="11" t="inlineStr">
        <is>
          <t xml:space="preserve"> Touring</t>
        </is>
      </c>
      <c r="AG683" s="13" t="n"/>
    </row>
    <row r="684">
      <c r="A684" s="9" t="inlineStr">
        <is>
          <t>21/22</t>
        </is>
      </c>
      <c r="B684" s="10" t="inlineStr">
        <is>
          <t xml:space="preserve"> Icelantic</t>
        </is>
      </c>
      <c r="C684" s="11" t="inlineStr">
        <is>
          <t>Natural 101</t>
        </is>
      </c>
      <c r="D684" s="13" t="n">
        <v>178</v>
      </c>
      <c r="E684" s="11" t="inlineStr">
        <is>
          <t xml:space="preserve"> Unisex</t>
        </is>
      </c>
      <c r="F684" s="13" t="n">
        <v>178</v>
      </c>
      <c r="G684" s="13" t="n">
        <v>176.2</v>
      </c>
      <c r="H684" s="13" t="n">
        <v>128</v>
      </c>
      <c r="I684" s="13" t="n">
        <v>142</v>
      </c>
      <c r="J684" s="13" t="n">
        <v>132</v>
      </c>
      <c r="K684" s="13" t="n">
        <v>100</v>
      </c>
      <c r="L684" s="13" t="n">
        <v>117</v>
      </c>
      <c r="M684" s="13" t="n">
        <v>20.6</v>
      </c>
      <c r="N684" s="13" t="n">
        <v>1873</v>
      </c>
      <c r="O684" s="13" t="n">
        <v>1.03</v>
      </c>
      <c r="P684" s="13" t="n">
        <v>1937</v>
      </c>
      <c r="Q684" s="13" t="n">
        <v>262</v>
      </c>
      <c r="R684" s="13" t="n">
        <v>113</v>
      </c>
      <c r="S684" s="13" t="n">
        <v>58</v>
      </c>
      <c r="T684" s="13" t="n">
        <v>319</v>
      </c>
      <c r="U684" s="13" t="n">
        <v>24</v>
      </c>
      <c r="V684" s="13" t="n">
        <v>168</v>
      </c>
      <c r="W684" s="13" t="n">
        <v>0.414</v>
      </c>
      <c r="X684" s="13" t="n">
        <v>240</v>
      </c>
      <c r="Y684" s="13" t="n">
        <v>101</v>
      </c>
      <c r="Z684" s="13" t="n">
        <v>79</v>
      </c>
      <c r="AA684" s="13" t="n">
        <v>6</v>
      </c>
      <c r="AB684" s="13" t="n">
        <v>8.800000000000001</v>
      </c>
      <c r="AC684" s="11" t="inlineStr">
        <is>
          <t xml:space="preserve"> Resort Freeride</t>
        </is>
      </c>
      <c r="AD684" s="11" t="inlineStr">
        <is>
          <t xml:space="preserve"> Powder</t>
        </is>
      </c>
      <c r="AE684" s="13" t="n"/>
      <c r="AF684" s="13" t="n"/>
      <c r="AG684" s="13" t="n"/>
    </row>
    <row r="685">
      <c r="A685" s="9" t="inlineStr">
        <is>
          <t>21/22</t>
        </is>
      </c>
      <c r="B685" s="10" t="inlineStr">
        <is>
          <t xml:space="preserve"> Icelantic</t>
        </is>
      </c>
      <c r="C685" s="11" t="inlineStr">
        <is>
          <t>Nomad 105</t>
        </is>
      </c>
      <c r="D685" s="13" t="n">
        <v>171</v>
      </c>
      <c r="E685" s="11" t="inlineStr">
        <is>
          <t xml:space="preserve"> Unisex</t>
        </is>
      </c>
      <c r="F685" s="13" t="n">
        <v>171</v>
      </c>
      <c r="G685" s="13" t="n">
        <v>169</v>
      </c>
      <c r="H685" s="13" t="n">
        <v>103</v>
      </c>
      <c r="I685" s="13" t="n">
        <v>142</v>
      </c>
      <c r="J685" s="13" t="n">
        <v>146</v>
      </c>
      <c r="K685" s="13" t="n">
        <v>111</v>
      </c>
      <c r="L685" s="13" t="n">
        <v>136</v>
      </c>
      <c r="M685" s="13" t="n">
        <v>16.2</v>
      </c>
      <c r="N685" s="13" t="n">
        <v>1949</v>
      </c>
      <c r="O685" s="13" t="n">
        <v>1.06</v>
      </c>
      <c r="P685" s="13" t="n">
        <v>2060</v>
      </c>
      <c r="Q685" s="13" t="n">
        <v>213</v>
      </c>
      <c r="R685" s="13" t="n">
        <v>101</v>
      </c>
      <c r="S685" s="13" t="n">
        <v>57</v>
      </c>
      <c r="T685" s="13" t="n">
        <v>353</v>
      </c>
      <c r="U685" s="13" t="n">
        <v>55</v>
      </c>
      <c r="V685" s="13" t="n">
        <v>305</v>
      </c>
      <c r="W685" s="13" t="n">
        <v>0.964</v>
      </c>
      <c r="X685" s="13" t="n">
        <v>134</v>
      </c>
      <c r="Y685" s="13" t="n">
        <v>141</v>
      </c>
      <c r="Z685" s="13" t="n">
        <v>220</v>
      </c>
      <c r="AA685" s="13" t="n">
        <v>3</v>
      </c>
      <c r="AB685" s="13" t="n">
        <v>8.199999999999999</v>
      </c>
      <c r="AC685" s="11" t="inlineStr">
        <is>
          <t xml:space="preserve"> Freeski</t>
        </is>
      </c>
      <c r="AD685" s="11" t="inlineStr">
        <is>
          <t xml:space="preserve"> Powder</t>
        </is>
      </c>
      <c r="AE685" s="11" t="inlineStr">
        <is>
          <t xml:space="preserve"> Touring</t>
        </is>
      </c>
      <c r="AF685" s="13" t="n"/>
      <c r="AG685" s="13" t="n"/>
    </row>
    <row r="686">
      <c r="A686" s="9" t="inlineStr">
        <is>
          <t>21/22</t>
        </is>
      </c>
      <c r="B686" s="10" t="inlineStr">
        <is>
          <t xml:space="preserve"> Icelantic</t>
        </is>
      </c>
      <c r="C686" s="11" t="inlineStr">
        <is>
          <t>Nomad 105</t>
        </is>
      </c>
      <c r="D686" s="13" t="n">
        <v>176</v>
      </c>
      <c r="E686" s="11" t="inlineStr">
        <is>
          <t xml:space="preserve"> Unisex</t>
        </is>
      </c>
      <c r="F686" s="13" t="n">
        <v>176</v>
      </c>
      <c r="G686" s="13" t="n">
        <v>173.5</v>
      </c>
      <c r="H686" s="13" t="n">
        <v>107</v>
      </c>
      <c r="I686" s="13" t="n">
        <v>147</v>
      </c>
      <c r="J686" s="13" t="n">
        <v>145</v>
      </c>
      <c r="K686" s="13" t="n">
        <v>111</v>
      </c>
      <c r="L686" s="13" t="n">
        <v>135</v>
      </c>
      <c r="M686" s="13" t="n">
        <v>18</v>
      </c>
      <c r="N686" s="13" t="n">
        <v>1848</v>
      </c>
      <c r="O686" s="13" t="n">
        <v>1.14</v>
      </c>
      <c r="P686" s="13" t="n">
        <v>2103</v>
      </c>
      <c r="Q686" s="13" t="n">
        <v>216</v>
      </c>
      <c r="R686" s="13" t="n">
        <v>102</v>
      </c>
      <c r="S686" s="13" t="n">
        <v>58</v>
      </c>
      <c r="T686" s="13" t="n">
        <v>351</v>
      </c>
      <c r="U686" s="13" t="n">
        <v>57</v>
      </c>
      <c r="V686" s="13" t="n">
        <v>312</v>
      </c>
      <c r="W686" s="13" t="n">
        <v>0.975</v>
      </c>
      <c r="X686" s="13" t="n">
        <v>129</v>
      </c>
      <c r="Y686" s="13" t="n">
        <v>132</v>
      </c>
      <c r="Z686" s="13" t="n">
        <v>222</v>
      </c>
      <c r="AA686" s="13" t="n">
        <v>3</v>
      </c>
      <c r="AB686" s="13" t="n">
        <v>8.300000000000001</v>
      </c>
      <c r="AC686" s="11" t="inlineStr">
        <is>
          <t xml:space="preserve"> Freeski</t>
        </is>
      </c>
      <c r="AD686" s="11" t="inlineStr">
        <is>
          <t xml:space="preserve"> Powder</t>
        </is>
      </c>
      <c r="AE686" s="11" t="inlineStr">
        <is>
          <t xml:space="preserve"> Touring</t>
        </is>
      </c>
      <c r="AF686" s="13" t="n"/>
      <c r="AG686" s="13" t="n"/>
    </row>
    <row r="687">
      <c r="A687" s="9" t="inlineStr">
        <is>
          <t>21/22</t>
        </is>
      </c>
      <c r="B687" s="10" t="inlineStr">
        <is>
          <t xml:space="preserve"> Icelantic</t>
        </is>
      </c>
      <c r="C687" s="11" t="inlineStr">
        <is>
          <t>Nomad 105</t>
        </is>
      </c>
      <c r="D687" s="13" t="n">
        <v>181</v>
      </c>
      <c r="E687" s="11" t="inlineStr">
        <is>
          <t xml:space="preserve"> Unisex</t>
        </is>
      </c>
      <c r="F687" s="13" t="n">
        <v>181</v>
      </c>
      <c r="G687" s="13" t="n">
        <v>178.5</v>
      </c>
      <c r="H687" s="13" t="n">
        <v>109</v>
      </c>
      <c r="I687" s="13" t="n">
        <v>153</v>
      </c>
      <c r="J687" s="13" t="n">
        <v>145</v>
      </c>
      <c r="K687" s="13" t="n">
        <v>111</v>
      </c>
      <c r="L687" s="13" t="n">
        <v>135</v>
      </c>
      <c r="M687" s="13" t="n">
        <v>19.1</v>
      </c>
      <c r="N687" s="13" t="n">
        <v>2022</v>
      </c>
      <c r="O687" s="13" t="n">
        <v>1.08</v>
      </c>
      <c r="P687" s="13" t="n">
        <v>2176</v>
      </c>
      <c r="Q687" s="13" t="n">
        <v>229</v>
      </c>
      <c r="R687" s="13" t="n">
        <v>113</v>
      </c>
      <c r="S687" s="13" t="n">
        <v>60</v>
      </c>
      <c r="T687" s="13" t="n">
        <v>375</v>
      </c>
      <c r="U687" s="13" t="n">
        <v>56</v>
      </c>
      <c r="V687" s="13" t="n">
        <v>323</v>
      </c>
      <c r="W687" s="13" t="n">
        <v>0.9419999999999999</v>
      </c>
      <c r="X687" s="13" t="n">
        <v>128</v>
      </c>
      <c r="Y687" s="13" t="n">
        <v>128</v>
      </c>
      <c r="Z687" s="13" t="n">
        <v>248</v>
      </c>
      <c r="AA687" s="13" t="n">
        <v>1</v>
      </c>
      <c r="AB687" s="13" t="n">
        <v>9.699999999999999</v>
      </c>
      <c r="AC687" s="11" t="inlineStr">
        <is>
          <t xml:space="preserve"> Freeski</t>
        </is>
      </c>
      <c r="AD687" s="11" t="inlineStr">
        <is>
          <t xml:space="preserve"> Powder</t>
        </is>
      </c>
      <c r="AE687" s="11" t="inlineStr">
        <is>
          <t xml:space="preserve"> Touring</t>
        </is>
      </c>
      <c r="AF687" s="13" t="n"/>
      <c r="AG687" s="13" t="n"/>
    </row>
    <row r="688">
      <c r="A688" s="9" t="inlineStr">
        <is>
          <t>21/22</t>
        </is>
      </c>
      <c r="B688" s="10" t="inlineStr">
        <is>
          <t xml:space="preserve"> Icelantic</t>
        </is>
      </c>
      <c r="C688" s="11" t="inlineStr">
        <is>
          <t>Nomad 95</t>
        </is>
      </c>
      <c r="D688" s="13" t="n">
        <v>171</v>
      </c>
      <c r="E688" s="11" t="inlineStr">
        <is>
          <t xml:space="preserve"> Unisex</t>
        </is>
      </c>
      <c r="F688" s="13" t="n">
        <v>171</v>
      </c>
      <c r="G688" s="13" t="n">
        <v>168.3</v>
      </c>
      <c r="H688" s="13" t="n">
        <v>99</v>
      </c>
      <c r="I688" s="13" t="n">
        <v>143</v>
      </c>
      <c r="J688" s="13" t="n">
        <v>130</v>
      </c>
      <c r="K688" s="13" t="n">
        <v>95</v>
      </c>
      <c r="L688" s="13" t="n">
        <v>121</v>
      </c>
      <c r="M688" s="13" t="n">
        <v>16.3</v>
      </c>
      <c r="N688" s="13" t="n">
        <v>1539</v>
      </c>
      <c r="O688" s="13" t="n">
        <v>1.16</v>
      </c>
      <c r="P688" s="13" t="n">
        <v>1780</v>
      </c>
      <c r="Q688" s="13" t="n">
        <v>157</v>
      </c>
      <c r="R688" s="13" t="n">
        <v>69</v>
      </c>
      <c r="S688" s="13" t="n">
        <v>62</v>
      </c>
      <c r="T688" s="13" t="n">
        <v>376</v>
      </c>
      <c r="U688" s="13" t="n">
        <v>55</v>
      </c>
      <c r="V688" s="13" t="n">
        <v>314</v>
      </c>
      <c r="W688" s="13" t="n">
        <v>0.888</v>
      </c>
      <c r="X688" s="13" t="n">
        <v>119</v>
      </c>
      <c r="Y688" s="13" t="n">
        <v>130</v>
      </c>
      <c r="Z688" s="13" t="n">
        <v>257</v>
      </c>
      <c r="AA688" s="13" t="n">
        <v>2</v>
      </c>
      <c r="AB688" s="13" t="n">
        <v>7.2</v>
      </c>
      <c r="AC688" s="11" t="inlineStr">
        <is>
          <t xml:space="preserve"> Freeski</t>
        </is>
      </c>
      <c r="AD688" s="11" t="inlineStr">
        <is>
          <t xml:space="preserve"> Touring</t>
        </is>
      </c>
      <c r="AE688" s="13" t="n"/>
      <c r="AF688" s="13" t="n"/>
      <c r="AG688" s="13" t="n"/>
    </row>
    <row r="689">
      <c r="A689" s="9" t="inlineStr">
        <is>
          <t>21/22</t>
        </is>
      </c>
      <c r="B689" s="10" t="inlineStr">
        <is>
          <t xml:space="preserve"> Icelantic</t>
        </is>
      </c>
      <c r="C689" s="11" t="inlineStr">
        <is>
          <t>Nomad 95</t>
        </is>
      </c>
      <c r="D689" s="13" t="n">
        <v>176</v>
      </c>
      <c r="E689" s="11" t="inlineStr">
        <is>
          <t xml:space="preserve"> Unisex</t>
        </is>
      </c>
      <c r="F689" s="13" t="n">
        <v>176</v>
      </c>
      <c r="G689" s="13" t="n">
        <v>173.6</v>
      </c>
      <c r="H689" s="13" t="n">
        <v>107</v>
      </c>
      <c r="I689" s="13" t="n">
        <v>149</v>
      </c>
      <c r="J689" s="13" t="n">
        <v>129</v>
      </c>
      <c r="K689" s="13" t="n">
        <v>93</v>
      </c>
      <c r="L689" s="13" t="n">
        <v>119</v>
      </c>
      <c r="M689" s="13" t="n">
        <v>17.5</v>
      </c>
      <c r="N689" s="13" t="n">
        <v>1715</v>
      </c>
      <c r="O689" s="13" t="n">
        <v>1.06</v>
      </c>
      <c r="P689" s="13" t="n">
        <v>1816</v>
      </c>
      <c r="Q689" s="13" t="n">
        <v>175</v>
      </c>
      <c r="R689" s="13" t="n">
        <v>73</v>
      </c>
      <c r="S689" s="13" t="n">
        <v>58</v>
      </c>
      <c r="T689" s="13" t="n">
        <v>353</v>
      </c>
      <c r="U689" s="13" t="n">
        <v>56</v>
      </c>
      <c r="V689" s="13" t="n">
        <v>315</v>
      </c>
      <c r="W689" s="13" t="n">
        <v>0.969</v>
      </c>
      <c r="X689" s="13" t="n">
        <v>121</v>
      </c>
      <c r="Y689" s="13" t="n">
        <v>122</v>
      </c>
      <c r="Z689" s="13" t="n">
        <v>233</v>
      </c>
      <c r="AA689" s="13" t="n">
        <v>2</v>
      </c>
      <c r="AB689" s="13" t="n">
        <v>8.199999999999999</v>
      </c>
      <c r="AC689" s="11" t="inlineStr">
        <is>
          <t xml:space="preserve"> Freeski</t>
        </is>
      </c>
      <c r="AD689" s="11" t="inlineStr">
        <is>
          <t xml:space="preserve"> Touring</t>
        </is>
      </c>
      <c r="AE689" s="13" t="n"/>
      <c r="AF689" s="13" t="n"/>
      <c r="AG689" s="13" t="n"/>
    </row>
    <row r="690">
      <c r="A690" s="9" t="inlineStr">
        <is>
          <t>21/22</t>
        </is>
      </c>
      <c r="B690" s="10" t="inlineStr">
        <is>
          <t xml:space="preserve"> Icelantic</t>
        </is>
      </c>
      <c r="C690" s="11" t="inlineStr">
        <is>
          <t>Nomad 95</t>
        </is>
      </c>
      <c r="D690" s="13" t="n">
        <v>181</v>
      </c>
      <c r="E690" s="11" t="inlineStr">
        <is>
          <t xml:space="preserve"> Unisex</t>
        </is>
      </c>
      <c r="F690" s="13" t="n">
        <v>181</v>
      </c>
      <c r="G690" s="13" t="n">
        <v>178.6</v>
      </c>
      <c r="H690" s="13" t="n">
        <v>116</v>
      </c>
      <c r="I690" s="13" t="n">
        <v>155</v>
      </c>
      <c r="J690" s="13" t="n">
        <v>130</v>
      </c>
      <c r="K690" s="13" t="n">
        <v>95</v>
      </c>
      <c r="L690" s="13" t="n">
        <v>120</v>
      </c>
      <c r="M690" s="13" t="n">
        <v>19</v>
      </c>
      <c r="N690" s="13" t="n">
        <v>1662</v>
      </c>
      <c r="O690" s="13" t="n">
        <v>1.14</v>
      </c>
      <c r="P690" s="13" t="n">
        <v>1889</v>
      </c>
      <c r="Q690" s="13" t="n">
        <v>191</v>
      </c>
      <c r="R690" s="13" t="n">
        <v>75</v>
      </c>
      <c r="S690" s="13" t="n">
        <v>55</v>
      </c>
      <c r="T690" s="13" t="n">
        <v>338</v>
      </c>
      <c r="U690" s="13" t="n">
        <v>51</v>
      </c>
      <c r="V690" s="13" t="n">
        <v>290</v>
      </c>
      <c r="W690" s="13" t="n">
        <v>0.914</v>
      </c>
      <c r="X690" s="13" t="n">
        <v>112</v>
      </c>
      <c r="Y690" s="13" t="n">
        <v>128</v>
      </c>
      <c r="Z690" s="13" t="n">
        <v>226</v>
      </c>
      <c r="AA690" s="13" t="n">
        <v>4</v>
      </c>
      <c r="AB690" s="13" t="n">
        <v>9</v>
      </c>
      <c r="AC690" s="11" t="inlineStr">
        <is>
          <t xml:space="preserve"> Freeski</t>
        </is>
      </c>
      <c r="AD690" s="11" t="inlineStr">
        <is>
          <t xml:space="preserve"> Touring</t>
        </is>
      </c>
      <c r="AE690" s="13" t="n"/>
      <c r="AF690" s="13" t="n"/>
      <c r="AG690" s="13" t="n"/>
    </row>
    <row r="691">
      <c r="A691" s="9" t="inlineStr">
        <is>
          <t>21/22</t>
        </is>
      </c>
      <c r="B691" s="10" t="inlineStr">
        <is>
          <t xml:space="preserve"> Icelantic</t>
        </is>
      </c>
      <c r="C691" s="11" t="inlineStr">
        <is>
          <t>Nomad Lite 105</t>
        </is>
      </c>
      <c r="D691" s="13" t="n">
        <v>171</v>
      </c>
      <c r="E691" s="11" t="inlineStr">
        <is>
          <t xml:space="preserve"> Unisex</t>
        </is>
      </c>
      <c r="F691" s="13" t="n">
        <v>171</v>
      </c>
      <c r="G691" s="13" t="n">
        <v>168.7</v>
      </c>
      <c r="H691" s="13" t="n">
        <v>102</v>
      </c>
      <c r="I691" s="13" t="n">
        <v>142</v>
      </c>
      <c r="J691" s="13" t="n">
        <v>145</v>
      </c>
      <c r="K691" s="13" t="n">
        <v>111</v>
      </c>
      <c r="L691" s="13" t="n">
        <v>136</v>
      </c>
      <c r="M691" s="13" t="n">
        <v>16.3</v>
      </c>
      <c r="N691" s="13" t="n">
        <v>1797</v>
      </c>
      <c r="O691" s="13" t="n">
        <v>1.14</v>
      </c>
      <c r="P691" s="13" t="n">
        <v>2052</v>
      </c>
      <c r="Q691" s="13" t="n">
        <v>237</v>
      </c>
      <c r="R691" s="13" t="n">
        <v>109</v>
      </c>
      <c r="S691" s="13" t="n">
        <v>60</v>
      </c>
      <c r="T691" s="13" t="n">
        <v>364</v>
      </c>
      <c r="U691" s="13" t="n">
        <v>54</v>
      </c>
      <c r="V691" s="13" t="n">
        <v>304</v>
      </c>
      <c r="W691" s="13" t="n">
        <v>0.913</v>
      </c>
      <c r="X691" s="13" t="n">
        <v>134</v>
      </c>
      <c r="Y691" s="13" t="n">
        <v>136</v>
      </c>
      <c r="Z691" s="13" t="n">
        <v>230</v>
      </c>
      <c r="AA691" s="13" t="n">
        <v>2</v>
      </c>
      <c r="AB691" s="13" t="n">
        <v>8.6</v>
      </c>
      <c r="AC691" s="11" t="inlineStr">
        <is>
          <t xml:space="preserve"> Freeski</t>
        </is>
      </c>
      <c r="AD691" s="11" t="inlineStr">
        <is>
          <t xml:space="preserve"> Powder</t>
        </is>
      </c>
      <c r="AE691" s="11" t="inlineStr">
        <is>
          <t xml:space="preserve"> Touring</t>
        </is>
      </c>
      <c r="AF691" s="13" t="n"/>
      <c r="AG691" s="13" t="n"/>
    </row>
    <row r="692">
      <c r="A692" s="9" t="inlineStr">
        <is>
          <t>21/22</t>
        </is>
      </c>
      <c r="B692" s="10" t="inlineStr">
        <is>
          <t xml:space="preserve"> Icelantic</t>
        </is>
      </c>
      <c r="C692" s="11" t="inlineStr">
        <is>
          <t>Nomad Lite 105</t>
        </is>
      </c>
      <c r="D692" s="13" t="n">
        <v>176</v>
      </c>
      <c r="E692" s="11" t="inlineStr">
        <is>
          <t xml:space="preserve"> Unisex</t>
        </is>
      </c>
      <c r="F692" s="13" t="n">
        <v>176</v>
      </c>
      <c r="G692" s="13" t="n">
        <v>173.3</v>
      </c>
      <c r="H692" s="13" t="n">
        <v>108</v>
      </c>
      <c r="I692" s="13" t="n">
        <v>147</v>
      </c>
      <c r="J692" s="13" t="n">
        <v>145</v>
      </c>
      <c r="K692" s="13" t="n">
        <v>110</v>
      </c>
      <c r="L692" s="13" t="n">
        <v>135</v>
      </c>
      <c r="M692" s="13" t="n">
        <v>17.7</v>
      </c>
      <c r="N692" s="13" t="n">
        <v>1781</v>
      </c>
      <c r="O692" s="13" t="n">
        <v>1.18</v>
      </c>
      <c r="P692" s="13" t="n">
        <v>2096</v>
      </c>
      <c r="Q692" s="13" t="n">
        <v>247</v>
      </c>
      <c r="R692" s="13" t="n">
        <v>108</v>
      </c>
      <c r="S692" s="13" t="n">
        <v>57</v>
      </c>
      <c r="T692" s="13" t="n">
        <v>354</v>
      </c>
      <c r="U692" s="13" t="n">
        <v>53</v>
      </c>
      <c r="V692" s="13" t="n">
        <v>304</v>
      </c>
      <c r="W692" s="13" t="n">
        <v>0.924</v>
      </c>
      <c r="X692" s="13" t="n">
        <v>128</v>
      </c>
      <c r="Y692" s="13" t="n">
        <v>137</v>
      </c>
      <c r="Z692" s="13" t="n">
        <v>226</v>
      </c>
      <c r="AA692" s="13" t="n">
        <v>3</v>
      </c>
      <c r="AB692" s="13" t="n">
        <v>8.5</v>
      </c>
      <c r="AC692" s="11" t="inlineStr">
        <is>
          <t xml:space="preserve"> Freeski</t>
        </is>
      </c>
      <c r="AD692" s="11" t="inlineStr">
        <is>
          <t xml:space="preserve"> Powder</t>
        </is>
      </c>
      <c r="AE692" s="11" t="inlineStr">
        <is>
          <t xml:space="preserve"> Touring</t>
        </is>
      </c>
      <c r="AF692" s="13" t="n"/>
      <c r="AG692" s="13" t="n"/>
    </row>
    <row r="693">
      <c r="A693" s="9" t="inlineStr">
        <is>
          <t>21/22</t>
        </is>
      </c>
      <c r="B693" s="10" t="inlineStr">
        <is>
          <t xml:space="preserve"> Icelantic</t>
        </is>
      </c>
      <c r="C693" s="11" t="inlineStr">
        <is>
          <t>Nomad Lite 105</t>
        </is>
      </c>
      <c r="D693" s="13" t="n">
        <v>181</v>
      </c>
      <c r="E693" s="11" t="inlineStr">
        <is>
          <t xml:space="preserve"> Unisex</t>
        </is>
      </c>
      <c r="F693" s="13" t="n">
        <v>181</v>
      </c>
      <c r="G693" s="13" t="n">
        <v>178.5</v>
      </c>
      <c r="H693" s="13" t="n">
        <v>112</v>
      </c>
      <c r="I693" s="13" t="n">
        <v>153</v>
      </c>
      <c r="J693" s="13" t="n">
        <v>145</v>
      </c>
      <c r="K693" s="13" t="n">
        <v>111</v>
      </c>
      <c r="L693" s="13" t="n">
        <v>135</v>
      </c>
      <c r="M693" s="13" t="n">
        <v>19.2</v>
      </c>
      <c r="N693" s="13" t="n">
        <v>1902</v>
      </c>
      <c r="O693" s="13" t="n">
        <v>1.14</v>
      </c>
      <c r="P693" s="13" t="n">
        <v>2166</v>
      </c>
      <c r="Q693" s="13" t="n">
        <v>277</v>
      </c>
      <c r="R693" s="13" t="n">
        <v>115</v>
      </c>
      <c r="S693" s="13" t="n">
        <v>56</v>
      </c>
      <c r="T693" s="13" t="n">
        <v>357</v>
      </c>
      <c r="U693" s="13" t="n">
        <v>55</v>
      </c>
      <c r="V693" s="13" t="n">
        <v>308</v>
      </c>
      <c r="W693" s="13" t="n">
        <v>0.968</v>
      </c>
      <c r="X693" s="13" t="n">
        <v>127</v>
      </c>
      <c r="Y693" s="13" t="n">
        <v>130</v>
      </c>
      <c r="Z693" s="13" t="n">
        <v>230</v>
      </c>
      <c r="AA693" s="13" t="n">
        <v>3</v>
      </c>
      <c r="AB693" s="13" t="n">
        <v>9.4</v>
      </c>
      <c r="AC693" s="11" t="inlineStr">
        <is>
          <t xml:space="preserve"> Freeski</t>
        </is>
      </c>
      <c r="AD693" s="11" t="inlineStr">
        <is>
          <t xml:space="preserve"> Powder</t>
        </is>
      </c>
      <c r="AE693" s="11" t="inlineStr">
        <is>
          <t xml:space="preserve"> Touring</t>
        </is>
      </c>
      <c r="AF693" s="13" t="n"/>
      <c r="AG693" s="13" t="n"/>
    </row>
    <row r="694">
      <c r="A694" s="9" t="inlineStr">
        <is>
          <t>21/22</t>
        </is>
      </c>
      <c r="B694" s="10" t="inlineStr">
        <is>
          <t xml:space="preserve"> Icelantic</t>
        </is>
      </c>
      <c r="C694" s="11" t="inlineStr">
        <is>
          <t>Pioneer 96</t>
        </is>
      </c>
      <c r="D694" s="13" t="n">
        <v>166</v>
      </c>
      <c r="E694" s="11" t="inlineStr">
        <is>
          <t xml:space="preserve"> Unisex</t>
        </is>
      </c>
      <c r="F694" s="13" t="n">
        <v>166</v>
      </c>
      <c r="G694" s="13" t="n">
        <v>165.1</v>
      </c>
      <c r="H694" s="13" t="n">
        <v>112</v>
      </c>
      <c r="I694" s="13" t="n">
        <v>135</v>
      </c>
      <c r="J694" s="13" t="n">
        <v>131</v>
      </c>
      <c r="K694" s="13" t="n">
        <v>96</v>
      </c>
      <c r="L694" s="13" t="n">
        <v>117</v>
      </c>
      <c r="M694" s="13" t="n">
        <v>15.5</v>
      </c>
      <c r="N694" s="13" t="n">
        <v>1691</v>
      </c>
      <c r="O694" s="13" t="n">
        <v>1.04</v>
      </c>
      <c r="P694" s="13" t="n">
        <v>1757</v>
      </c>
      <c r="Q694" s="13" t="n">
        <v>200</v>
      </c>
      <c r="R694" s="13" t="n">
        <v>94</v>
      </c>
      <c r="S694" s="13" t="n">
        <v>53</v>
      </c>
      <c r="T694" s="13" t="n">
        <v>308</v>
      </c>
      <c r="U694" s="13" t="n">
        <v>17</v>
      </c>
      <c r="V694" s="13" t="n">
        <v>228</v>
      </c>
      <c r="W694" s="13" t="n">
        <v>0.328</v>
      </c>
      <c r="X694" s="13" t="n">
        <v>182</v>
      </c>
      <c r="Y694" s="13" t="n">
        <v>116</v>
      </c>
      <c r="Z694" s="13" t="n">
        <v>126</v>
      </c>
      <c r="AA694" s="13" t="n">
        <v>6</v>
      </c>
      <c r="AB694" s="13" t="n">
        <v>8.800000000000001</v>
      </c>
      <c r="AC694" s="11" t="inlineStr">
        <is>
          <t xml:space="preserve"> Resort Freeride</t>
        </is>
      </c>
      <c r="AD694" s="13" t="n"/>
      <c r="AE694" s="13" t="n"/>
      <c r="AF694" s="13" t="n"/>
      <c r="AG694" s="13" t="n"/>
    </row>
    <row r="695">
      <c r="A695" s="9" t="inlineStr">
        <is>
          <t>21/22</t>
        </is>
      </c>
      <c r="B695" s="10" t="inlineStr">
        <is>
          <t xml:space="preserve"> Icelantic</t>
        </is>
      </c>
      <c r="C695" s="11" t="inlineStr">
        <is>
          <t>Pioneer 96</t>
        </is>
      </c>
      <c r="D695" s="13" t="n">
        <v>182</v>
      </c>
      <c r="E695" s="11" t="inlineStr">
        <is>
          <t xml:space="preserve"> Unisex</t>
        </is>
      </c>
      <c r="F695" s="13" t="n">
        <v>182</v>
      </c>
      <c r="G695" s="13" t="n">
        <v>180.9</v>
      </c>
      <c r="H695" s="13" t="n">
        <v>126</v>
      </c>
      <c r="I695" s="13" t="n">
        <v>151</v>
      </c>
      <c r="J695" s="13" t="n">
        <v>131</v>
      </c>
      <c r="K695" s="13" t="n">
        <v>96</v>
      </c>
      <c r="L695" s="13" t="n">
        <v>118</v>
      </c>
      <c r="M695" s="13" t="n">
        <v>19.4</v>
      </c>
      <c r="N695" s="13" t="n">
        <v>1844</v>
      </c>
      <c r="O695" s="13" t="n">
        <v>1.05</v>
      </c>
      <c r="P695" s="13" t="n">
        <v>1930</v>
      </c>
      <c r="Q695" s="13" t="n">
        <v>224</v>
      </c>
      <c r="R695" s="13" t="n">
        <v>100</v>
      </c>
      <c r="S695" s="13" t="n">
        <v>59</v>
      </c>
      <c r="T695" s="13" t="n">
        <v>320</v>
      </c>
      <c r="U695" s="13" t="n">
        <v>19</v>
      </c>
      <c r="V695" s="13" t="n">
        <v>231</v>
      </c>
      <c r="W695" s="13" t="n">
        <v>0.329</v>
      </c>
      <c r="X695" s="13" t="n">
        <v>188</v>
      </c>
      <c r="Y695" s="13" t="n">
        <v>115</v>
      </c>
      <c r="Z695" s="13" t="n">
        <v>132</v>
      </c>
      <c r="AA695" s="13" t="n">
        <v>3</v>
      </c>
      <c r="AB695" s="13" t="n">
        <v>8.300000000000001</v>
      </c>
      <c r="AC695" s="11" t="inlineStr">
        <is>
          <t xml:space="preserve"> Resort Freeride</t>
        </is>
      </c>
      <c r="AD695" s="13" t="n"/>
      <c r="AE695" s="13" t="n"/>
      <c r="AF695" s="13" t="n"/>
      <c r="AG695" s="13" t="n"/>
    </row>
    <row r="696">
      <c r="A696" s="9" t="inlineStr">
        <is>
          <t>21/22</t>
        </is>
      </c>
      <c r="B696" s="10" t="inlineStr">
        <is>
          <t xml:space="preserve"> Icelantic</t>
        </is>
      </c>
      <c r="C696" s="11" t="inlineStr">
        <is>
          <t>Riveter 85</t>
        </is>
      </c>
      <c r="D696" s="13" t="n">
        <v>150</v>
      </c>
      <c r="E696" s="11" t="inlineStr">
        <is>
          <t xml:space="preserve"> Women's</t>
        </is>
      </c>
      <c r="F696" s="13" t="n">
        <v>150</v>
      </c>
      <c r="G696" s="13" t="n">
        <v>148.7</v>
      </c>
      <c r="H696" s="13" t="n">
        <v>100</v>
      </c>
      <c r="I696" s="13" t="n">
        <v>120</v>
      </c>
      <c r="J696" s="13" t="n">
        <v>119</v>
      </c>
      <c r="K696" s="13" t="n">
        <v>84</v>
      </c>
      <c r="L696" s="13" t="n">
        <v>107</v>
      </c>
      <c r="M696" s="13" t="n">
        <v>11.8</v>
      </c>
      <c r="N696" s="13" t="n">
        <v>1326</v>
      </c>
      <c r="O696" s="13" t="n">
        <v>1.08</v>
      </c>
      <c r="P696" s="13" t="n">
        <v>1426</v>
      </c>
      <c r="Q696" s="13" t="n">
        <v>134</v>
      </c>
      <c r="R696" s="13" t="n">
        <v>57</v>
      </c>
      <c r="S696" s="13" t="n">
        <v>54</v>
      </c>
      <c r="T696" s="13" t="n">
        <v>308</v>
      </c>
      <c r="U696" s="13" t="n">
        <v>11</v>
      </c>
      <c r="V696" s="13" t="n">
        <v>183</v>
      </c>
      <c r="W696" s="13" t="n">
        <v>0.199</v>
      </c>
      <c r="X696" s="13" t="n">
        <v>176</v>
      </c>
      <c r="Y696" s="13" t="n">
        <v>111</v>
      </c>
      <c r="Z696" s="13" t="n">
        <v>132</v>
      </c>
      <c r="AA696" s="13" t="n">
        <v>5</v>
      </c>
      <c r="AB696" s="13" t="n">
        <v>8.4</v>
      </c>
      <c r="AC696" s="11" t="inlineStr">
        <is>
          <t xml:space="preserve"> On-Piste All-Mountain</t>
        </is>
      </c>
      <c r="AD696" s="11" t="inlineStr">
        <is>
          <t xml:space="preserve"> Resort Freeride</t>
        </is>
      </c>
      <c r="AE696" s="11" t="inlineStr">
        <is>
          <t xml:space="preserve"> Touring</t>
        </is>
      </c>
      <c r="AF696" s="13" t="n"/>
      <c r="AG696" s="13" t="n"/>
    </row>
    <row r="697">
      <c r="A697" s="9" t="inlineStr">
        <is>
          <t>21/22</t>
        </is>
      </c>
      <c r="B697" s="10" t="inlineStr">
        <is>
          <t xml:space="preserve"> Icelantic</t>
        </is>
      </c>
      <c r="C697" s="11" t="inlineStr">
        <is>
          <t>Riveter 85</t>
        </is>
      </c>
      <c r="D697" s="13" t="n">
        <v>155</v>
      </c>
      <c r="E697" s="11" t="inlineStr">
        <is>
          <t xml:space="preserve"> Women's</t>
        </is>
      </c>
      <c r="F697" s="13" t="n">
        <v>155</v>
      </c>
      <c r="G697" s="13" t="n">
        <v>154.1</v>
      </c>
      <c r="H697" s="13" t="n">
        <v>99</v>
      </c>
      <c r="I697" s="13" t="n">
        <v>125</v>
      </c>
      <c r="J697" s="13" t="n">
        <v>120</v>
      </c>
      <c r="K697" s="13" t="n">
        <v>86</v>
      </c>
      <c r="L697" s="13" t="n">
        <v>107</v>
      </c>
      <c r="M697" s="13" t="n">
        <v>12.9</v>
      </c>
      <c r="N697" s="13" t="n">
        <v>1407</v>
      </c>
      <c r="O697" s="13" t="n">
        <v>1.06</v>
      </c>
      <c r="P697" s="13" t="n">
        <v>1492</v>
      </c>
      <c r="Q697" s="13" t="n">
        <v>151</v>
      </c>
      <c r="R697" s="13" t="n">
        <v>65</v>
      </c>
      <c r="S697" s="13" t="n">
        <v>57</v>
      </c>
      <c r="T697" s="13" t="n">
        <v>319</v>
      </c>
      <c r="U697" s="13" t="n">
        <v>16</v>
      </c>
      <c r="V697" s="13" t="n">
        <v>233</v>
      </c>
      <c r="W697" s="13" t="n">
        <v>0.29</v>
      </c>
      <c r="X697" s="13" t="n">
        <v>184</v>
      </c>
      <c r="Y697" s="13" t="n">
        <v>109</v>
      </c>
      <c r="Z697" s="13" t="n">
        <v>135</v>
      </c>
      <c r="AA697" s="13" t="n">
        <v>5</v>
      </c>
      <c r="AB697" s="13" t="n">
        <v>8.199999999999999</v>
      </c>
      <c r="AC697" s="11" t="inlineStr">
        <is>
          <t xml:space="preserve"> Resort Freeride</t>
        </is>
      </c>
      <c r="AD697" s="11" t="inlineStr">
        <is>
          <t xml:space="preserve"> Touring</t>
        </is>
      </c>
      <c r="AE697" s="13" t="n"/>
      <c r="AF697" s="13" t="n"/>
      <c r="AG697" s="13" t="n"/>
    </row>
    <row r="698">
      <c r="A698" s="9" t="inlineStr">
        <is>
          <t>21/22</t>
        </is>
      </c>
      <c r="B698" s="10" t="inlineStr">
        <is>
          <t xml:space="preserve"> Icelantic</t>
        </is>
      </c>
      <c r="C698" s="11" t="inlineStr">
        <is>
          <t>Riveter 85</t>
        </is>
      </c>
      <c r="D698" s="13" t="n">
        <v>162</v>
      </c>
      <c r="E698" s="11" t="inlineStr">
        <is>
          <t xml:space="preserve"> Women's</t>
        </is>
      </c>
      <c r="F698" s="13" t="n">
        <v>162</v>
      </c>
      <c r="G698" s="13" t="n">
        <v>161.1</v>
      </c>
      <c r="H698" s="13" t="n">
        <v>106</v>
      </c>
      <c r="I698" s="13" t="n">
        <v>131</v>
      </c>
      <c r="J698" s="13" t="n">
        <v>120</v>
      </c>
      <c r="K698" s="13" t="n">
        <v>84</v>
      </c>
      <c r="L698" s="13" t="n">
        <v>107</v>
      </c>
      <c r="M698" s="13" t="n">
        <v>14.6</v>
      </c>
      <c r="N698" s="13" t="n">
        <v>1465</v>
      </c>
      <c r="O698" s="13" t="n">
        <v>1.05</v>
      </c>
      <c r="P698" s="13" t="n">
        <v>1542</v>
      </c>
      <c r="Q698" s="13" t="n">
        <v>162</v>
      </c>
      <c r="R698" s="13" t="n">
        <v>73</v>
      </c>
      <c r="S698" s="13" t="n">
        <v>57</v>
      </c>
      <c r="T698" s="13" t="n">
        <v>321</v>
      </c>
      <c r="U698" s="13" t="n">
        <v>18</v>
      </c>
      <c r="V698" s="13" t="n">
        <v>234</v>
      </c>
      <c r="W698" s="13" t="n">
        <v>0.322</v>
      </c>
      <c r="X698" s="13" t="n">
        <v>190</v>
      </c>
      <c r="Y698" s="13" t="n">
        <v>108</v>
      </c>
      <c r="Z698" s="13" t="n">
        <v>131</v>
      </c>
      <c r="AA698" s="13" t="n">
        <v>5</v>
      </c>
      <c r="AB698" s="13" t="n">
        <v>8.4</v>
      </c>
      <c r="AC698" s="11" t="inlineStr">
        <is>
          <t xml:space="preserve"> On-Piste All-Mountain</t>
        </is>
      </c>
      <c r="AD698" s="11" t="inlineStr">
        <is>
          <t xml:space="preserve"> Resort Freeride</t>
        </is>
      </c>
      <c r="AE698" s="11" t="inlineStr">
        <is>
          <t xml:space="preserve"> Touring</t>
        </is>
      </c>
      <c r="AF698" s="13" t="n"/>
      <c r="AG698" s="13" t="n"/>
    </row>
    <row r="699">
      <c r="A699" s="9" t="inlineStr">
        <is>
          <t>21/22</t>
        </is>
      </c>
      <c r="B699" s="10" t="inlineStr">
        <is>
          <t xml:space="preserve"> Icelantic</t>
        </is>
      </c>
      <c r="C699" s="11" t="inlineStr">
        <is>
          <t>Riveter 95</t>
        </is>
      </c>
      <c r="D699" s="13" t="n">
        <v>155</v>
      </c>
      <c r="E699" s="11" t="inlineStr">
        <is>
          <t xml:space="preserve"> Women's</t>
        </is>
      </c>
      <c r="F699" s="13" t="n">
        <v>155</v>
      </c>
      <c r="G699" s="13" t="n">
        <v>154.2</v>
      </c>
      <c r="H699" s="13" t="n">
        <v>98</v>
      </c>
      <c r="I699" s="13" t="n">
        <v>125</v>
      </c>
      <c r="J699" s="13" t="n">
        <v>130</v>
      </c>
      <c r="K699" s="13" t="n">
        <v>95</v>
      </c>
      <c r="L699" s="13" t="n">
        <v>117</v>
      </c>
      <c r="M699" s="13" t="n">
        <v>13.1</v>
      </c>
      <c r="N699" s="13" t="n">
        <v>1500</v>
      </c>
      <c r="O699" s="13" t="n">
        <v>1.09</v>
      </c>
      <c r="P699" s="13" t="n">
        <v>1641</v>
      </c>
      <c r="Q699" s="13" t="n">
        <v>165</v>
      </c>
      <c r="R699" s="13" t="n">
        <v>70</v>
      </c>
      <c r="S699" s="13" t="n">
        <v>56</v>
      </c>
      <c r="T699" s="13" t="n">
        <v>322</v>
      </c>
      <c r="U699" s="13" t="n">
        <v>18</v>
      </c>
      <c r="V699" s="13" t="n">
        <v>239</v>
      </c>
      <c r="W699" s="13" t="n">
        <v>0.314</v>
      </c>
      <c r="X699" s="13" t="n">
        <v>187</v>
      </c>
      <c r="Y699" s="13" t="n">
        <v>109</v>
      </c>
      <c r="Z699" s="13" t="n">
        <v>135</v>
      </c>
      <c r="AA699" s="13" t="n">
        <v>4</v>
      </c>
      <c r="AB699" s="13" t="n">
        <v>8.199999999999999</v>
      </c>
      <c r="AC699" s="11" t="inlineStr">
        <is>
          <t xml:space="preserve"> Resort Freeride</t>
        </is>
      </c>
      <c r="AD699" s="11" t="inlineStr">
        <is>
          <t xml:space="preserve"> Touring</t>
        </is>
      </c>
      <c r="AE699" s="13" t="n"/>
      <c r="AF699" s="13" t="n"/>
      <c r="AG699" s="13" t="n"/>
    </row>
    <row r="700">
      <c r="A700" s="9" t="inlineStr">
        <is>
          <t>21/22</t>
        </is>
      </c>
      <c r="B700" s="10" t="inlineStr">
        <is>
          <t xml:space="preserve"> Icelantic</t>
        </is>
      </c>
      <c r="C700" s="11" t="inlineStr">
        <is>
          <t>Riveter 95</t>
        </is>
      </c>
      <c r="D700" s="13" t="n">
        <v>162</v>
      </c>
      <c r="E700" s="11" t="inlineStr">
        <is>
          <t xml:space="preserve"> Women's</t>
        </is>
      </c>
      <c r="F700" s="13" t="n">
        <v>162</v>
      </c>
      <c r="G700" s="13" t="n">
        <v>161.4</v>
      </c>
      <c r="H700" s="13" t="n">
        <v>109</v>
      </c>
      <c r="I700" s="13" t="n">
        <v>133</v>
      </c>
      <c r="J700" s="13" t="n">
        <v>130</v>
      </c>
      <c r="K700" s="13" t="n">
        <v>96</v>
      </c>
      <c r="L700" s="13" t="n">
        <v>117</v>
      </c>
      <c r="M700" s="13" t="n">
        <v>14.7</v>
      </c>
      <c r="N700" s="13" t="n">
        <v>1694</v>
      </c>
      <c r="O700" s="13" t="n">
        <v>1.01</v>
      </c>
      <c r="P700" s="13" t="n">
        <v>1716</v>
      </c>
      <c r="Q700" s="13" t="n">
        <v>185</v>
      </c>
      <c r="R700" s="13" t="n">
        <v>80</v>
      </c>
      <c r="S700" s="13" t="n">
        <v>51</v>
      </c>
      <c r="T700" s="13" t="n">
        <v>304</v>
      </c>
      <c r="U700" s="13" t="n">
        <v>15</v>
      </c>
      <c r="V700" s="13" t="n">
        <v>223</v>
      </c>
      <c r="W700" s="13" t="n">
        <v>0.295</v>
      </c>
      <c r="X700" s="13" t="n">
        <v>178</v>
      </c>
      <c r="Y700" s="13" t="n">
        <v>110</v>
      </c>
      <c r="Z700" s="13" t="n">
        <v>126</v>
      </c>
      <c r="AA700" s="13" t="n">
        <v>7</v>
      </c>
      <c r="AB700" s="13" t="n">
        <v>8.199999999999999</v>
      </c>
      <c r="AC700" s="11" t="inlineStr">
        <is>
          <t xml:space="preserve"> Resort Freeride</t>
        </is>
      </c>
      <c r="AD700" s="13" t="n"/>
      <c r="AE700" s="13" t="n"/>
      <c r="AF700" s="13" t="n"/>
      <c r="AG700" s="13" t="n"/>
    </row>
    <row r="701">
      <c r="A701" s="9" t="inlineStr">
        <is>
          <t>21/22</t>
        </is>
      </c>
      <c r="B701" s="10" t="inlineStr">
        <is>
          <t xml:space="preserve"> J Skis</t>
        </is>
      </c>
      <c r="C701" s="11" t="inlineStr">
        <is>
          <t xml:space="preserve"> The Allplay</t>
        </is>
      </c>
      <c r="D701" s="13" t="n">
        <v>178</v>
      </c>
      <c r="E701" s="11" t="inlineStr">
        <is>
          <t xml:space="preserve"> Unisex</t>
        </is>
      </c>
      <c r="F701" s="13" t="n">
        <v>178</v>
      </c>
      <c r="G701" s="13" t="n">
        <v>176</v>
      </c>
      <c r="H701" s="13" t="n">
        <v>130</v>
      </c>
      <c r="I701" s="13" t="n">
        <v>143</v>
      </c>
      <c r="J701" s="13" t="n">
        <v>118</v>
      </c>
      <c r="K701" s="13" t="n">
        <v>97</v>
      </c>
      <c r="L701" s="13" t="n">
        <v>117</v>
      </c>
      <c r="M701" s="13" t="n">
        <v>20.9</v>
      </c>
      <c r="N701" s="13" t="n">
        <v>1901</v>
      </c>
      <c r="O701" s="13" t="n">
        <v>0.97</v>
      </c>
      <c r="P701" s="13" t="n">
        <v>1852</v>
      </c>
      <c r="Q701" s="13" t="n">
        <v>167</v>
      </c>
      <c r="R701" s="13" t="n">
        <v>58</v>
      </c>
      <c r="S701" s="13" t="n">
        <v>43</v>
      </c>
      <c r="T701" s="13" t="n">
        <v>224</v>
      </c>
      <c r="U701" s="13" t="n">
        <v>45</v>
      </c>
      <c r="V701" s="13" t="n">
        <v>237</v>
      </c>
      <c r="W701" s="13" t="n">
        <v>1.042</v>
      </c>
      <c r="X701" s="13" t="n">
        <v>188</v>
      </c>
      <c r="Y701" s="13" t="n">
        <v>140</v>
      </c>
      <c r="Z701" s="13" t="n">
        <v>36</v>
      </c>
      <c r="AA701" s="13" t="n">
        <v>8</v>
      </c>
      <c r="AB701" s="13" t="n">
        <v>4.5</v>
      </c>
      <c r="AC701" s="11" t="inlineStr">
        <is>
          <t xml:space="preserve"> Freeski</t>
        </is>
      </c>
      <c r="AD701" s="13" t="n"/>
      <c r="AE701" s="13" t="n"/>
      <c r="AF701" s="13" t="n"/>
      <c r="AG701" s="13" t="n"/>
    </row>
    <row r="702">
      <c r="A702" s="9" t="inlineStr">
        <is>
          <t>21/22</t>
        </is>
      </c>
      <c r="B702" s="10" t="inlineStr">
        <is>
          <t xml:space="preserve"> J Skis</t>
        </is>
      </c>
      <c r="C702" s="11" t="inlineStr">
        <is>
          <t xml:space="preserve"> The Allplay</t>
        </is>
      </c>
      <c r="D702" s="13" t="n">
        <v>184</v>
      </c>
      <c r="E702" s="11" t="inlineStr">
        <is>
          <t xml:space="preserve"> Unisex</t>
        </is>
      </c>
      <c r="F702" s="13" t="n">
        <v>184</v>
      </c>
      <c r="G702" s="13" t="n">
        <v>181.8</v>
      </c>
      <c r="H702" s="13" t="n">
        <v>134</v>
      </c>
      <c r="I702" s="13" t="n">
        <v>147</v>
      </c>
      <c r="J702" s="13" t="n">
        <v>119</v>
      </c>
      <c r="K702" s="13" t="n">
        <v>97</v>
      </c>
      <c r="L702" s="13" t="n">
        <v>117</v>
      </c>
      <c r="M702" s="13" t="n">
        <v>22.9</v>
      </c>
      <c r="N702" s="13" t="n">
        <v>2079</v>
      </c>
      <c r="O702" s="13" t="n">
        <v>0.92</v>
      </c>
      <c r="P702" s="13" t="n">
        <v>1918</v>
      </c>
      <c r="Q702" s="13" t="n">
        <v>232</v>
      </c>
      <c r="R702" s="13" t="n">
        <v>80</v>
      </c>
      <c r="S702" s="13" t="n">
        <v>46</v>
      </c>
      <c r="T702" s="13" t="n">
        <v>240</v>
      </c>
      <c r="U702" s="13" t="n">
        <v>44</v>
      </c>
      <c r="V702" s="13" t="n">
        <v>240</v>
      </c>
      <c r="W702" s="13" t="n">
        <v>0.976</v>
      </c>
      <c r="X702" s="13" t="n">
        <v>188</v>
      </c>
      <c r="Y702" s="13" t="n">
        <v>165</v>
      </c>
      <c r="Z702" s="13" t="n">
        <v>52</v>
      </c>
      <c r="AA702" s="13" t="n">
        <v>6</v>
      </c>
      <c r="AB702" s="13" t="n">
        <v>3.3</v>
      </c>
      <c r="AC702" s="11" t="inlineStr">
        <is>
          <t xml:space="preserve"> Freeski</t>
        </is>
      </c>
      <c r="AD702" s="13" t="n"/>
      <c r="AE702" s="13" t="n"/>
      <c r="AF702" s="13" t="n"/>
      <c r="AG702" s="13" t="n"/>
    </row>
    <row r="703">
      <c r="A703" s="9" t="inlineStr">
        <is>
          <t>21/22</t>
        </is>
      </c>
      <c r="B703" s="10" t="inlineStr">
        <is>
          <t xml:space="preserve"> J Skis</t>
        </is>
      </c>
      <c r="C703" s="11" t="inlineStr">
        <is>
          <t xml:space="preserve"> The Friend</t>
        </is>
      </c>
      <c r="D703" s="13" t="n">
        <v>183</v>
      </c>
      <c r="E703" s="11" t="inlineStr">
        <is>
          <t xml:space="preserve"> Unisex</t>
        </is>
      </c>
      <c r="F703" s="13" t="n">
        <v>183</v>
      </c>
      <c r="G703" s="13" t="n">
        <v>180.7</v>
      </c>
      <c r="H703" s="13" t="n">
        <v>116</v>
      </c>
      <c r="I703" s="13" t="n">
        <v>140</v>
      </c>
      <c r="J703" s="13" t="n">
        <v>142</v>
      </c>
      <c r="K703" s="13" t="n">
        <v>117</v>
      </c>
      <c r="L703" s="13" t="n">
        <v>132</v>
      </c>
      <c r="M703" s="13" t="n">
        <v>20.1</v>
      </c>
      <c r="N703" s="13" t="n">
        <v>2414</v>
      </c>
      <c r="O703" s="13" t="n">
        <v>0.93</v>
      </c>
      <c r="P703" s="13" t="n">
        <v>2255</v>
      </c>
      <c r="Q703" s="13" t="n">
        <v>225</v>
      </c>
      <c r="R703" s="13" t="n">
        <v>86</v>
      </c>
      <c r="S703" s="13" t="n">
        <v>62</v>
      </c>
      <c r="T703" s="13" t="n">
        <v>438</v>
      </c>
      <c r="U703" s="13" t="n">
        <v>35</v>
      </c>
      <c r="V703" s="13" t="n">
        <v>213</v>
      </c>
      <c r="W703" s="13" t="n">
        <v>0.57</v>
      </c>
      <c r="X703" s="13" t="n">
        <v>205</v>
      </c>
      <c r="Y703" s="13" t="n">
        <v>205</v>
      </c>
      <c r="Z703" s="13" t="n">
        <v>233</v>
      </c>
      <c r="AA703" s="13" t="n">
        <v>5</v>
      </c>
      <c r="AB703" s="13" t="n">
        <v>7.8</v>
      </c>
      <c r="AC703" s="11" t="inlineStr">
        <is>
          <t xml:space="preserve"> Powder</t>
        </is>
      </c>
      <c r="AD703" s="13" t="n"/>
      <c r="AE703" s="13" t="n"/>
      <c r="AF703" s="13" t="n"/>
      <c r="AG703" s="13" t="n"/>
    </row>
    <row r="704">
      <c r="A704" s="9" t="inlineStr">
        <is>
          <t>21/22</t>
        </is>
      </c>
      <c r="B704" s="10" t="inlineStr">
        <is>
          <t xml:space="preserve"> J Skis</t>
        </is>
      </c>
      <c r="C704" s="11" t="inlineStr">
        <is>
          <t xml:space="preserve"> The Hotshot</t>
        </is>
      </c>
      <c r="D704" s="13" t="n">
        <v>183</v>
      </c>
      <c r="E704" s="11" t="inlineStr">
        <is>
          <t xml:space="preserve"> Unisex</t>
        </is>
      </c>
      <c r="F704" s="13" t="n">
        <v>183</v>
      </c>
      <c r="G704" s="13" t="n">
        <v>180.8</v>
      </c>
      <c r="H704" s="13" t="n">
        <v>110</v>
      </c>
      <c r="I704" s="13" t="n">
        <v>145</v>
      </c>
      <c r="J704" s="13" t="n">
        <v>134</v>
      </c>
      <c r="K704" s="13" t="n">
        <v>106</v>
      </c>
      <c r="L704" s="13" t="n">
        <v>124</v>
      </c>
      <c r="M704" s="13" t="n">
        <v>18.8</v>
      </c>
      <c r="N704" s="13" t="n">
        <v>2292</v>
      </c>
      <c r="O704" s="13" t="n">
        <v>0.91</v>
      </c>
      <c r="P704" s="13" t="n">
        <v>2087</v>
      </c>
      <c r="Q704" s="13" t="n">
        <v>227</v>
      </c>
      <c r="R704" s="13" t="n">
        <v>117</v>
      </c>
      <c r="S704" s="13" t="n">
        <v>59</v>
      </c>
      <c r="T704" s="13" t="n">
        <v>444</v>
      </c>
      <c r="U704" s="13" t="n">
        <v>39</v>
      </c>
      <c r="V704" s="13" t="n">
        <v>265</v>
      </c>
      <c r="W704" s="13" t="n">
        <v>0.658</v>
      </c>
      <c r="X704" s="13" t="n">
        <v>182</v>
      </c>
      <c r="Y704" s="13" t="n">
        <v>176</v>
      </c>
      <c r="Z704" s="13" t="n">
        <v>262</v>
      </c>
      <c r="AA704" s="13" t="n">
        <v>3</v>
      </c>
      <c r="AB704" s="13" t="n">
        <v>7.6</v>
      </c>
      <c r="AC704" s="11" t="inlineStr">
        <is>
          <t xml:space="preserve"> Powder</t>
        </is>
      </c>
      <c r="AD704" s="13" t="n"/>
      <c r="AE704" s="13" t="n"/>
      <c r="AF704" s="13" t="n"/>
      <c r="AG704" s="13" t="n"/>
    </row>
    <row r="705">
      <c r="A705" s="9" t="inlineStr">
        <is>
          <t>21/22</t>
        </is>
      </c>
      <c r="B705" s="10" t="inlineStr">
        <is>
          <t xml:space="preserve"> J Skis</t>
        </is>
      </c>
      <c r="C705" s="11" t="inlineStr">
        <is>
          <t xml:space="preserve"> The Masterblaster</t>
        </is>
      </c>
      <c r="D705" s="13" t="n">
        <v>181</v>
      </c>
      <c r="E705" s="11" t="inlineStr">
        <is>
          <t xml:space="preserve"> Unisex</t>
        </is>
      </c>
      <c r="F705" s="13" t="n">
        <v>181</v>
      </c>
      <c r="G705" s="13" t="n">
        <v>179</v>
      </c>
      <c r="H705" s="13" t="n">
        <v>124</v>
      </c>
      <c r="I705" s="13" t="n">
        <v>151</v>
      </c>
      <c r="J705" s="13" t="n">
        <v>132</v>
      </c>
      <c r="K705" s="13" t="n">
        <v>98</v>
      </c>
      <c r="L705" s="13" t="n">
        <v>117</v>
      </c>
      <c r="M705" s="13" t="n">
        <v>19.3</v>
      </c>
      <c r="N705" s="13" t="n">
        <v>2105</v>
      </c>
      <c r="O705" s="13" t="n">
        <v>0.92</v>
      </c>
      <c r="P705" s="13" t="n">
        <v>1944</v>
      </c>
      <c r="Q705" s="13" t="n">
        <v>232</v>
      </c>
      <c r="R705" s="13" t="n">
        <v>126</v>
      </c>
      <c r="S705" s="13" t="n">
        <v>56</v>
      </c>
      <c r="T705" s="13" t="n">
        <v>319</v>
      </c>
      <c r="U705" s="13" t="n">
        <v>29</v>
      </c>
      <c r="V705" s="13" t="n">
        <v>232</v>
      </c>
      <c r="W705" s="13" t="n">
        <v>0.515</v>
      </c>
      <c r="X705" s="13" t="n">
        <v>128</v>
      </c>
      <c r="Y705" s="13" t="n">
        <v>154</v>
      </c>
      <c r="Z705" s="13" t="n">
        <v>192</v>
      </c>
      <c r="AA705" s="13" t="n">
        <v>4</v>
      </c>
      <c r="AB705" s="13" t="n">
        <v>8</v>
      </c>
      <c r="AC705" s="11" t="inlineStr">
        <is>
          <t xml:space="preserve"> Resort Freeride</t>
        </is>
      </c>
      <c r="AD705" s="13" t="n"/>
      <c r="AE705" s="13" t="n"/>
      <c r="AF705" s="13" t="n"/>
      <c r="AG705" s="13" t="n"/>
    </row>
    <row r="706">
      <c r="A706" s="9" t="inlineStr">
        <is>
          <t>21/22</t>
        </is>
      </c>
      <c r="B706" s="10" t="inlineStr">
        <is>
          <t xml:space="preserve"> J Skis</t>
        </is>
      </c>
      <c r="C706" s="11" t="inlineStr">
        <is>
          <t xml:space="preserve"> The Metal</t>
        </is>
      </c>
      <c r="D706" s="13" t="n">
        <v>180</v>
      </c>
      <c r="E706" s="11" t="inlineStr">
        <is>
          <t xml:space="preserve"> Unisex</t>
        </is>
      </c>
      <c r="F706" s="13" t="n">
        <v>180</v>
      </c>
      <c r="G706" s="13" t="n">
        <v>177.4</v>
      </c>
      <c r="H706" s="13" t="n">
        <v>108</v>
      </c>
      <c r="I706" s="13" t="n">
        <v>141</v>
      </c>
      <c r="J706" s="13" t="n">
        <v>136</v>
      </c>
      <c r="K706" s="13" t="n">
        <v>105</v>
      </c>
      <c r="L706" s="13" t="n">
        <v>125</v>
      </c>
      <c r="M706" s="13" t="n">
        <v>17.7</v>
      </c>
      <c r="N706" s="13" t="n">
        <v>2242</v>
      </c>
      <c r="O706" s="13" t="n">
        <v>0.91</v>
      </c>
      <c r="P706" s="13" t="n">
        <v>2040</v>
      </c>
      <c r="Q706" s="13" t="n">
        <v>225</v>
      </c>
      <c r="R706" s="13" t="n">
        <v>127</v>
      </c>
      <c r="S706" s="13" t="n">
        <v>57</v>
      </c>
      <c r="T706" s="13" t="n">
        <v>408</v>
      </c>
      <c r="U706" s="13" t="n">
        <v>49</v>
      </c>
      <c r="V706" s="13" t="n">
        <v>283</v>
      </c>
      <c r="W706" s="13" t="n">
        <v>0.854</v>
      </c>
      <c r="X706" s="13" t="n">
        <v>164</v>
      </c>
      <c r="Y706" s="13" t="n">
        <v>205</v>
      </c>
      <c r="Z706" s="13" t="n">
        <v>244</v>
      </c>
      <c r="AA706" s="13" t="n">
        <v>3</v>
      </c>
      <c r="AB706" s="13" t="n">
        <v>5.7</v>
      </c>
      <c r="AC706" s="11" t="inlineStr">
        <is>
          <t xml:space="preserve"> Freeski</t>
        </is>
      </c>
      <c r="AD706" s="11" t="inlineStr">
        <is>
          <t xml:space="preserve"> Powder</t>
        </is>
      </c>
      <c r="AE706" s="13" t="n"/>
      <c r="AF706" s="13" t="n"/>
      <c r="AG706" s="13" t="n"/>
    </row>
    <row r="707">
      <c r="A707" s="9" t="inlineStr">
        <is>
          <t>21/22</t>
        </is>
      </c>
      <c r="B707" s="10" t="inlineStr">
        <is>
          <t xml:space="preserve"> J Skis</t>
        </is>
      </c>
      <c r="C707" s="11" t="inlineStr">
        <is>
          <t xml:space="preserve"> The Slacker</t>
        </is>
      </c>
      <c r="D707" s="13" t="n">
        <v>182</v>
      </c>
      <c r="E707" s="11" t="inlineStr">
        <is>
          <t xml:space="preserve"> Unisex</t>
        </is>
      </c>
      <c r="F707" s="13" t="n">
        <v>182</v>
      </c>
      <c r="G707" s="13" t="n">
        <v>179.9</v>
      </c>
      <c r="H707" s="13" t="n">
        <v>113</v>
      </c>
      <c r="I707" s="13" t="n">
        <v>147</v>
      </c>
      <c r="J707" s="13" t="n">
        <v>136</v>
      </c>
      <c r="K707" s="13" t="n">
        <v>109</v>
      </c>
      <c r="L707" s="13" t="n">
        <v>128</v>
      </c>
      <c r="M707" s="13" t="n">
        <v>20.4</v>
      </c>
      <c r="N707" s="13" t="n">
        <v>1946</v>
      </c>
      <c r="O707" s="13" t="n">
        <v>1.1</v>
      </c>
      <c r="P707" s="13" t="n">
        <v>2132</v>
      </c>
      <c r="Q707" s="13" t="n">
        <v>212</v>
      </c>
      <c r="R707" s="13" t="n">
        <v>99</v>
      </c>
      <c r="S707" s="13" t="n">
        <v>60</v>
      </c>
      <c r="T707" s="13" t="n">
        <v>447</v>
      </c>
      <c r="U707" s="13" t="n">
        <v>30</v>
      </c>
      <c r="V707" s="13" t="n">
        <v>218</v>
      </c>
      <c r="W707" s="13" t="n">
        <v>0.501</v>
      </c>
      <c r="X707" s="13" t="n">
        <v>175</v>
      </c>
      <c r="Y707" s="13" t="n">
        <v>151</v>
      </c>
      <c r="Z707" s="13" t="n">
        <v>271</v>
      </c>
      <c r="AA707" s="13" t="n">
        <v>5</v>
      </c>
      <c r="AB707" s="13" t="n">
        <v>8</v>
      </c>
      <c r="AC707" s="11" t="inlineStr">
        <is>
          <t xml:space="preserve"> Powder</t>
        </is>
      </c>
      <c r="AD707" s="11" t="inlineStr">
        <is>
          <t xml:space="preserve"> Touring</t>
        </is>
      </c>
      <c r="AE707" s="13" t="n"/>
      <c r="AF707" s="13" t="n"/>
      <c r="AG707" s="13" t="n"/>
    </row>
    <row r="708">
      <c r="A708" s="9" t="inlineStr">
        <is>
          <t>21/22</t>
        </is>
      </c>
      <c r="B708" s="10" t="inlineStr">
        <is>
          <t xml:space="preserve"> J Skis</t>
        </is>
      </c>
      <c r="C708" s="11" t="inlineStr">
        <is>
          <t xml:space="preserve"> The Slacker</t>
        </is>
      </c>
      <c r="D708" s="13" t="n">
        <v>188</v>
      </c>
      <c r="E708" s="11" t="inlineStr">
        <is>
          <t xml:space="preserve"> Unisex</t>
        </is>
      </c>
      <c r="F708" s="13" t="n">
        <v>188</v>
      </c>
      <c r="G708" s="13" t="n">
        <v>185.4</v>
      </c>
      <c r="H708" s="13" t="n">
        <v>118</v>
      </c>
      <c r="I708" s="13" t="n">
        <v>151</v>
      </c>
      <c r="J708" s="13" t="n">
        <v>136</v>
      </c>
      <c r="K708" s="13" t="n">
        <v>109</v>
      </c>
      <c r="L708" s="13" t="n">
        <v>127</v>
      </c>
      <c r="M708" s="13" t="n">
        <v>21.7</v>
      </c>
      <c r="N708" s="13" t="n">
        <v>1991</v>
      </c>
      <c r="O708" s="13" t="n">
        <v>1.1</v>
      </c>
      <c r="P708" s="13" t="n">
        <v>2196</v>
      </c>
      <c r="Q708" s="13" t="n">
        <v>227</v>
      </c>
      <c r="R708" s="13" t="n">
        <v>102</v>
      </c>
      <c r="S708" s="13" t="n">
        <v>57</v>
      </c>
      <c r="T708" s="13" t="n">
        <v>467</v>
      </c>
      <c r="U708" s="13" t="n">
        <v>29</v>
      </c>
      <c r="V708" s="13" t="n">
        <v>207</v>
      </c>
      <c r="W708" s="13" t="n">
        <v>0.512</v>
      </c>
      <c r="X708" s="13" t="n">
        <v>172</v>
      </c>
      <c r="Y708" s="13" t="n">
        <v>169</v>
      </c>
      <c r="Z708" s="13" t="n">
        <v>295</v>
      </c>
      <c r="AA708" s="13" t="n">
        <v>3</v>
      </c>
      <c r="AB708" s="13" t="n">
        <v>8.300000000000001</v>
      </c>
      <c r="AC708" s="11" t="inlineStr">
        <is>
          <t xml:space="preserve"> Powder</t>
        </is>
      </c>
      <c r="AD708" s="11" t="inlineStr">
        <is>
          <t xml:space="preserve"> Touring</t>
        </is>
      </c>
      <c r="AE708" s="13" t="n"/>
      <c r="AF708" s="13" t="n"/>
      <c r="AG708" s="13" t="n"/>
    </row>
    <row r="709">
      <c r="A709" s="9" t="inlineStr">
        <is>
          <t>21/22</t>
        </is>
      </c>
      <c r="B709" s="10" t="inlineStr">
        <is>
          <t xml:space="preserve"> J Skis</t>
        </is>
      </c>
      <c r="C709" s="11" t="inlineStr">
        <is>
          <t xml:space="preserve"> The Vacation</t>
        </is>
      </c>
      <c r="D709" s="13" t="n">
        <v>186</v>
      </c>
      <c r="E709" s="11" t="inlineStr">
        <is>
          <t xml:space="preserve"> Unisex</t>
        </is>
      </c>
      <c r="F709" s="13" t="n">
        <v>186</v>
      </c>
      <c r="G709" s="13" t="n">
        <v>183.7</v>
      </c>
      <c r="H709" s="13" t="n">
        <v>114</v>
      </c>
      <c r="I709" s="13" t="n">
        <v>149</v>
      </c>
      <c r="J709" s="13" t="n">
        <v>126</v>
      </c>
      <c r="K709" s="13" t="n">
        <v>103</v>
      </c>
      <c r="L709" s="13" t="n">
        <v>122</v>
      </c>
      <c r="M709" s="13" t="n">
        <v>23</v>
      </c>
      <c r="N709" s="13" t="n">
        <v>2069</v>
      </c>
      <c r="O709" s="13" t="n">
        <v>0.99</v>
      </c>
      <c r="P709" s="13" t="n">
        <v>2047</v>
      </c>
      <c r="Q709" s="13" t="n">
        <v>206</v>
      </c>
      <c r="R709" s="13" t="n">
        <v>71</v>
      </c>
      <c r="S709" s="13" t="n">
        <v>57</v>
      </c>
      <c r="T709" s="13" t="n">
        <v>477</v>
      </c>
      <c r="U709" s="13" t="n">
        <v>42</v>
      </c>
      <c r="V709" s="13" t="n">
        <v>223</v>
      </c>
      <c r="W709" s="13" t="n">
        <v>0.73</v>
      </c>
      <c r="X709" s="13" t="n">
        <v>177</v>
      </c>
      <c r="Y709" s="13" t="n">
        <v>168</v>
      </c>
      <c r="Z709" s="13" t="n">
        <v>300</v>
      </c>
      <c r="AA709" s="13" t="n">
        <v>3</v>
      </c>
      <c r="AB709" s="13" t="n">
        <v>4.8</v>
      </c>
      <c r="AC709" s="11" t="inlineStr">
        <is>
          <t xml:space="preserve"> Resort Freeride</t>
        </is>
      </c>
      <c r="AD709" s="11" t="inlineStr">
        <is>
          <t xml:space="preserve"> Powder</t>
        </is>
      </c>
      <c r="AE709" s="13" t="n"/>
      <c r="AF709" s="13" t="n"/>
      <c r="AG709" s="13" t="n"/>
    </row>
    <row r="710">
      <c r="A710" s="9" t="inlineStr">
        <is>
          <t>21/22</t>
        </is>
      </c>
      <c r="B710" s="10" t="inlineStr">
        <is>
          <t xml:space="preserve"> J Skis</t>
        </is>
      </c>
      <c r="C710" s="11" t="inlineStr">
        <is>
          <t xml:space="preserve"> The Whipit</t>
        </is>
      </c>
      <c r="D710" s="13" t="n">
        <v>178</v>
      </c>
      <c r="E710" s="11" t="inlineStr">
        <is>
          <t xml:space="preserve"> Unisex</t>
        </is>
      </c>
      <c r="F710" s="13" t="n">
        <v>178</v>
      </c>
      <c r="G710" s="13" t="n">
        <v>175.6</v>
      </c>
      <c r="H710" s="13" t="n">
        <v>122</v>
      </c>
      <c r="I710" s="13" t="n">
        <v>147</v>
      </c>
      <c r="J710" s="13" t="n">
        <v>113</v>
      </c>
      <c r="K710" s="13" t="n">
        <v>89</v>
      </c>
      <c r="L710" s="13" t="n">
        <v>110</v>
      </c>
      <c r="M710" s="13" t="n">
        <v>21.4</v>
      </c>
      <c r="N710" s="13" t="n">
        <v>1856</v>
      </c>
      <c r="O710" s="13" t="n">
        <v>0.92</v>
      </c>
      <c r="P710" s="13" t="n">
        <v>1716</v>
      </c>
      <c r="Q710" s="13" t="n">
        <v>194</v>
      </c>
      <c r="R710" s="13" t="n">
        <v>79</v>
      </c>
      <c r="S710" s="13" t="n">
        <v>50</v>
      </c>
      <c r="T710" s="13" t="n">
        <v>266</v>
      </c>
      <c r="U710" s="13" t="n">
        <v>49</v>
      </c>
      <c r="V710" s="13" t="n">
        <v>271</v>
      </c>
      <c r="W710" s="13" t="n">
        <v>0.977</v>
      </c>
      <c r="X710" s="13" t="n">
        <v>136</v>
      </c>
      <c r="Y710" s="13" t="n">
        <v>148</v>
      </c>
      <c r="Z710" s="13" t="n">
        <v>130</v>
      </c>
      <c r="AA710" s="13" t="n">
        <v>4</v>
      </c>
      <c r="AB710" s="13" t="n">
        <v>0.3</v>
      </c>
      <c r="AC710" s="11" t="inlineStr">
        <is>
          <t xml:space="preserve"> Freeski</t>
        </is>
      </c>
      <c r="AD710" s="13" t="n"/>
      <c r="AE710" s="13" t="n"/>
      <c r="AF710" s="13" t="n"/>
      <c r="AG710" s="13" t="n"/>
    </row>
    <row r="711">
      <c r="A711" s="9" t="inlineStr">
        <is>
          <t>21/22</t>
        </is>
      </c>
      <c r="B711" s="10" t="inlineStr">
        <is>
          <t>K2</t>
        </is>
      </c>
      <c r="C711" s="11" t="inlineStr">
        <is>
          <t>Disruption 78 Ti</t>
        </is>
      </c>
      <c r="D711" s="13" t="n">
        <v>177</v>
      </c>
      <c r="E711" s="11" t="inlineStr">
        <is>
          <t xml:space="preserve"> Unisex</t>
        </is>
      </c>
      <c r="F711" s="13" t="n">
        <v>177</v>
      </c>
      <c r="G711" s="13" t="n">
        <v>177.5</v>
      </c>
      <c r="H711" s="13" t="n">
        <v>154</v>
      </c>
      <c r="I711" s="13" t="n">
        <v>165</v>
      </c>
      <c r="J711" s="13" t="n">
        <v>123</v>
      </c>
      <c r="K711" s="13" t="n">
        <v>78</v>
      </c>
      <c r="L711" s="13" t="n">
        <v>109</v>
      </c>
      <c r="M711" s="13" t="n">
        <v>17.7</v>
      </c>
      <c r="N711" s="13" t="n">
        <v>2146</v>
      </c>
      <c r="O711" s="13" t="n">
        <v>0.76</v>
      </c>
      <c r="P711" s="13" t="n">
        <v>1624</v>
      </c>
      <c r="Q711" s="13" t="n">
        <v>249</v>
      </c>
      <c r="R711" s="13" t="n">
        <v>174</v>
      </c>
      <c r="S711" s="13" t="n">
        <v>35</v>
      </c>
      <c r="T711" s="13" t="n">
        <v>166</v>
      </c>
      <c r="U711" s="13" t="n">
        <v>7</v>
      </c>
      <c r="V711" s="13" t="n">
        <v>73</v>
      </c>
      <c r="W711" s="13" t="n">
        <v>0.204</v>
      </c>
      <c r="X711" s="13" t="n">
        <v>81</v>
      </c>
      <c r="Y711" s="13" t="n">
        <v>43</v>
      </c>
      <c r="Z711" s="13" t="n">
        <v>85</v>
      </c>
      <c r="AA711" s="13" t="n">
        <v>9</v>
      </c>
      <c r="AB711" s="13" t="n">
        <v>10.1</v>
      </c>
      <c r="AC711" s="11" t="inlineStr">
        <is>
          <t xml:space="preserve"> On-Piste Carving</t>
        </is>
      </c>
      <c r="AD711" s="13" t="n"/>
      <c r="AE711" s="13" t="n"/>
      <c r="AF711" s="13" t="n"/>
      <c r="AG711" s="13" t="n"/>
    </row>
    <row r="712">
      <c r="A712" s="9" t="inlineStr">
        <is>
          <t>21/22</t>
        </is>
      </c>
      <c r="B712" s="10" t="inlineStr">
        <is>
          <t>K2</t>
        </is>
      </c>
      <c r="C712" s="11" t="inlineStr">
        <is>
          <t>Disruption 78C</t>
        </is>
      </c>
      <c r="D712" s="13" t="n">
        <v>156</v>
      </c>
      <c r="E712" s="11" t="inlineStr">
        <is>
          <t xml:space="preserve"> Unisex</t>
        </is>
      </c>
      <c r="F712" s="13" t="n">
        <v>156</v>
      </c>
      <c r="G712" s="13" t="n">
        <v>157</v>
      </c>
      <c r="H712" s="13" t="n">
        <v>131</v>
      </c>
      <c r="I712" s="13" t="n">
        <v>144</v>
      </c>
      <c r="J712" s="13" t="n">
        <v>124</v>
      </c>
      <c r="K712" s="13" t="n">
        <v>77</v>
      </c>
      <c r="L712" s="13" t="n">
        <v>111</v>
      </c>
      <c r="M712" s="13" t="n">
        <v>12.6</v>
      </c>
      <c r="N712" s="13" t="n">
        <v>1719</v>
      </c>
      <c r="O712" s="13" t="n">
        <v>0.84</v>
      </c>
      <c r="P712" s="13" t="n">
        <v>1451</v>
      </c>
      <c r="Q712" s="13" t="n">
        <v>151</v>
      </c>
      <c r="R712" s="13" t="n">
        <v>73</v>
      </c>
      <c r="S712" s="13" t="n">
        <v>29</v>
      </c>
      <c r="T712" s="13" t="n">
        <v>166</v>
      </c>
      <c r="U712" s="13" t="n">
        <v>9</v>
      </c>
      <c r="V712" s="13" t="n">
        <v>93</v>
      </c>
      <c r="W712" s="13" t="n">
        <v>0.305</v>
      </c>
      <c r="X712" s="13" t="n">
        <v>82</v>
      </c>
      <c r="Y712" s="13" t="n">
        <v>44</v>
      </c>
      <c r="Z712" s="13" t="n">
        <v>84</v>
      </c>
      <c r="AA712" s="13" t="n">
        <v>7</v>
      </c>
      <c r="AB712" s="13" t="n">
        <v>10</v>
      </c>
      <c r="AC712" s="11" t="inlineStr">
        <is>
          <t xml:space="preserve"> On-Piste Carving</t>
        </is>
      </c>
      <c r="AD712" s="13" t="n"/>
      <c r="AE712" s="13" t="n"/>
      <c r="AF712" s="13" t="n"/>
      <c r="AG712" s="13" t="n"/>
    </row>
    <row r="713">
      <c r="A713" s="9" t="inlineStr">
        <is>
          <t>21/22</t>
        </is>
      </c>
      <c r="B713" s="10" t="inlineStr">
        <is>
          <t>K2</t>
        </is>
      </c>
      <c r="C713" s="11" t="inlineStr">
        <is>
          <t>Disruption 78C</t>
        </is>
      </c>
      <c r="D713" s="13" t="n">
        <v>163</v>
      </c>
      <c r="E713" s="11" t="inlineStr">
        <is>
          <t xml:space="preserve"> Unisex</t>
        </is>
      </c>
      <c r="F713" s="13" t="n">
        <v>163</v>
      </c>
      <c r="G713" s="13" t="n">
        <v>163.6</v>
      </c>
      <c r="H713" s="13" t="n">
        <v>144</v>
      </c>
      <c r="I713" s="13" t="n">
        <v>151</v>
      </c>
      <c r="J713" s="13" t="n">
        <v>124</v>
      </c>
      <c r="K713" s="13" t="n">
        <v>77</v>
      </c>
      <c r="L713" s="13" t="n">
        <v>110</v>
      </c>
      <c r="M713" s="13" t="n">
        <v>14.1</v>
      </c>
      <c r="N713" s="13" t="n">
        <v>1784</v>
      </c>
      <c r="O713" s="13" t="n">
        <v>0.85</v>
      </c>
      <c r="P713" s="13" t="n">
        <v>1508</v>
      </c>
      <c r="Q713" s="13" t="n">
        <v>183</v>
      </c>
      <c r="R713" s="13" t="n">
        <v>90</v>
      </c>
      <c r="S713" s="13" t="n">
        <v>33</v>
      </c>
      <c r="T713" s="13" t="n">
        <v>129</v>
      </c>
      <c r="U713" s="13" t="n">
        <v>7</v>
      </c>
      <c r="V713" s="13" t="n">
        <v>63</v>
      </c>
      <c r="W713" s="13" t="n">
        <v>0.2</v>
      </c>
      <c r="X713" s="13" t="n">
        <v>80</v>
      </c>
      <c r="Y713" s="13" t="n">
        <v>41</v>
      </c>
      <c r="Z713" s="13" t="n">
        <v>48</v>
      </c>
      <c r="AA713" s="13" t="n">
        <v>10</v>
      </c>
      <c r="AB713" s="13" t="n">
        <v>10.4</v>
      </c>
      <c r="AC713" s="11" t="inlineStr">
        <is>
          <t xml:space="preserve"> On-Piste Carving</t>
        </is>
      </c>
      <c r="AD713" s="13" t="n"/>
      <c r="AE713" s="13" t="n"/>
      <c r="AF713" s="13" t="n"/>
      <c r="AG713" s="13" t="n"/>
    </row>
    <row r="714">
      <c r="A714" s="9" t="inlineStr">
        <is>
          <t>21/22</t>
        </is>
      </c>
      <c r="B714" s="10" t="inlineStr">
        <is>
          <t>K2</t>
        </is>
      </c>
      <c r="C714" s="11" t="inlineStr">
        <is>
          <t>Disruption 78C</t>
        </is>
      </c>
      <c r="D714" s="13" t="n">
        <v>170</v>
      </c>
      <c r="E714" s="11" t="inlineStr">
        <is>
          <t xml:space="preserve"> Unisex</t>
        </is>
      </c>
      <c r="F714" s="13" t="n">
        <v>170</v>
      </c>
      <c r="G714" s="13" t="n">
        <v>170.7</v>
      </c>
      <c r="H714" s="13" t="n">
        <v>150</v>
      </c>
      <c r="I714" s="13" t="n">
        <v>159</v>
      </c>
      <c r="J714" s="13" t="n">
        <v>124</v>
      </c>
      <c r="K714" s="13" t="n">
        <v>77</v>
      </c>
      <c r="L714" s="13" t="n">
        <v>110</v>
      </c>
      <c r="M714" s="13" t="n">
        <v>15.4</v>
      </c>
      <c r="N714" s="13" t="n">
        <v>1835</v>
      </c>
      <c r="O714" s="13" t="n">
        <v>0.86</v>
      </c>
      <c r="P714" s="13" t="n">
        <v>1572</v>
      </c>
      <c r="Q714" s="13" t="n">
        <v>205</v>
      </c>
      <c r="R714" s="13" t="n">
        <v>93</v>
      </c>
      <c r="S714" s="13" t="n">
        <v>33</v>
      </c>
      <c r="T714" s="13" t="n">
        <v>144</v>
      </c>
      <c r="U714" s="13" t="n">
        <v>7</v>
      </c>
      <c r="V714" s="13" t="n">
        <v>65</v>
      </c>
      <c r="W714" s="13" t="n">
        <v>0.217</v>
      </c>
      <c r="X714" s="13" t="n">
        <v>76</v>
      </c>
      <c r="Y714" s="13" t="n">
        <v>44</v>
      </c>
      <c r="Z714" s="13" t="n">
        <v>68</v>
      </c>
      <c r="AA714" s="13" t="n">
        <v>11</v>
      </c>
      <c r="AB714" s="13" t="n">
        <v>10.7</v>
      </c>
      <c r="AC714" s="11" t="inlineStr">
        <is>
          <t xml:space="preserve"> On-Piste Carving</t>
        </is>
      </c>
      <c r="AD714" s="13" t="n"/>
      <c r="AE714" s="13" t="n"/>
      <c r="AF714" s="13" t="n"/>
      <c r="AG714" s="13" t="n"/>
    </row>
    <row r="715">
      <c r="A715" s="9" t="inlineStr">
        <is>
          <t>21/22</t>
        </is>
      </c>
      <c r="B715" s="10" t="inlineStr">
        <is>
          <t>K2</t>
        </is>
      </c>
      <c r="C715" s="11" t="inlineStr">
        <is>
          <t>Disruption 78C</t>
        </is>
      </c>
      <c r="D715" s="13" t="n">
        <v>177</v>
      </c>
      <c r="E715" s="11" t="inlineStr">
        <is>
          <t xml:space="preserve"> Unisex</t>
        </is>
      </c>
      <c r="F715" s="13" t="n">
        <v>177</v>
      </c>
      <c r="G715" s="13" t="n">
        <v>177.8</v>
      </c>
      <c r="H715" s="13" t="n">
        <v>159</v>
      </c>
      <c r="I715" s="13" t="n">
        <v>166</v>
      </c>
      <c r="J715" s="13" t="n">
        <v>124</v>
      </c>
      <c r="K715" s="13" t="n">
        <v>77</v>
      </c>
      <c r="L715" s="13" t="n">
        <v>110</v>
      </c>
      <c r="M715" s="13" t="n">
        <v>16.9</v>
      </c>
      <c r="N715" s="13" t="n">
        <v>2051</v>
      </c>
      <c r="O715" s="13" t="n">
        <v>0.79</v>
      </c>
      <c r="P715" s="13" t="n">
        <v>1627</v>
      </c>
      <c r="Q715" s="13" t="n">
        <v>230</v>
      </c>
      <c r="R715" s="13" t="n">
        <v>102</v>
      </c>
      <c r="S715" s="13" t="n">
        <v>33</v>
      </c>
      <c r="T715" s="13" t="n">
        <v>135</v>
      </c>
      <c r="U715" s="13" t="n">
        <v>6</v>
      </c>
      <c r="V715" s="13" t="n">
        <v>57</v>
      </c>
      <c r="W715" s="13" t="n">
        <v>0.191</v>
      </c>
      <c r="X715" s="13" t="n">
        <v>81</v>
      </c>
      <c r="Y715" s="13" t="n">
        <v>42</v>
      </c>
      <c r="Z715" s="13" t="n">
        <v>54</v>
      </c>
      <c r="AA715" s="13" t="n">
        <v>12</v>
      </c>
      <c r="AB715" s="13" t="n">
        <v>10.4</v>
      </c>
      <c r="AC715" s="11" t="inlineStr">
        <is>
          <t xml:space="preserve"> On-Piste Carving</t>
        </is>
      </c>
      <c r="AD715" s="13" t="n"/>
      <c r="AE715" s="13" t="n"/>
      <c r="AF715" s="13" t="n"/>
      <c r="AG715" s="13" t="n"/>
    </row>
    <row r="716">
      <c r="A716" s="9" t="inlineStr">
        <is>
          <t>21/22</t>
        </is>
      </c>
      <c r="B716" s="10" t="inlineStr">
        <is>
          <t>K2</t>
        </is>
      </c>
      <c r="C716" s="11" t="inlineStr">
        <is>
          <t>Disruption 82 Ti</t>
        </is>
      </c>
      <c r="D716" s="13" t="n">
        <v>170</v>
      </c>
      <c r="E716" s="11" t="inlineStr">
        <is>
          <t xml:space="preserve"> Unisex</t>
        </is>
      </c>
      <c r="F716" s="13" t="n">
        <v>170</v>
      </c>
      <c r="G716" s="13" t="n">
        <v>170.5</v>
      </c>
      <c r="H716" s="13" t="n">
        <v>149</v>
      </c>
      <c r="I716" s="13" t="n">
        <v>159</v>
      </c>
      <c r="J716" s="13" t="n">
        <v>125</v>
      </c>
      <c r="K716" s="13" t="n">
        <v>81</v>
      </c>
      <c r="L716" s="13" t="n">
        <v>111</v>
      </c>
      <c r="M716" s="13" t="n">
        <v>17</v>
      </c>
      <c r="N716" s="13" t="n">
        <v>2122</v>
      </c>
      <c r="O716" s="13" t="n">
        <v>0.76</v>
      </c>
      <c r="P716" s="13" t="n">
        <v>1613</v>
      </c>
      <c r="Q716" s="13" t="n">
        <v>233</v>
      </c>
      <c r="R716" s="13" t="n">
        <v>163</v>
      </c>
      <c r="S716" s="13" t="n">
        <v>32</v>
      </c>
      <c r="T716" s="13" t="n">
        <v>144</v>
      </c>
      <c r="U716" s="13" t="n">
        <v>7</v>
      </c>
      <c r="V716" s="13" t="n">
        <v>68</v>
      </c>
      <c r="W716" s="13" t="n">
        <v>0.217</v>
      </c>
      <c r="X716" s="13" t="n">
        <v>74</v>
      </c>
      <c r="Y716" s="13" t="n">
        <v>40</v>
      </c>
      <c r="Z716" s="13" t="n">
        <v>70</v>
      </c>
      <c r="AA716" s="13" t="n">
        <v>9</v>
      </c>
      <c r="AB716" s="13" t="n">
        <v>10.7</v>
      </c>
      <c r="AC716" s="11" t="inlineStr">
        <is>
          <t xml:space="preserve"> On-Piste Carving</t>
        </is>
      </c>
      <c r="AD716" s="11" t="inlineStr">
        <is>
          <t xml:space="preserve"> Resort Freeride</t>
        </is>
      </c>
      <c r="AE716" s="13" t="n"/>
      <c r="AF716" s="13" t="n"/>
      <c r="AG716" s="13" t="n"/>
    </row>
    <row r="717">
      <c r="A717" s="9" t="inlineStr">
        <is>
          <t>21/22</t>
        </is>
      </c>
      <c r="B717" s="10" t="inlineStr">
        <is>
          <t>K2</t>
        </is>
      </c>
      <c r="C717" s="11" t="inlineStr">
        <is>
          <t>Disruption 82 Ti</t>
        </is>
      </c>
      <c r="D717" s="13" t="n">
        <v>177</v>
      </c>
      <c r="E717" s="11" t="inlineStr">
        <is>
          <t xml:space="preserve"> Unisex</t>
        </is>
      </c>
      <c r="F717" s="13" t="n">
        <v>177</v>
      </c>
      <c r="G717" s="13" t="n">
        <v>177.6</v>
      </c>
      <c r="H717" s="13" t="n">
        <v>147</v>
      </c>
      <c r="I717" s="13" t="n">
        <v>165</v>
      </c>
      <c r="J717" s="13" t="n">
        <v>124</v>
      </c>
      <c r="K717" s="13" t="n">
        <v>81</v>
      </c>
      <c r="L717" s="13" t="n">
        <v>111</v>
      </c>
      <c r="M717" s="13" t="n">
        <v>18.4</v>
      </c>
      <c r="N717" s="13" t="n">
        <v>2209</v>
      </c>
      <c r="O717" s="13" t="n">
        <v>0.76</v>
      </c>
      <c r="P717" s="13" t="n">
        <v>1678</v>
      </c>
      <c r="Q717" s="13" t="n">
        <v>258</v>
      </c>
      <c r="R717" s="13" t="n">
        <v>188</v>
      </c>
      <c r="S717" s="13" t="n">
        <v>34</v>
      </c>
      <c r="T717" s="13" t="n">
        <v>176</v>
      </c>
      <c r="U717" s="13" t="n">
        <v>9</v>
      </c>
      <c r="V717" s="13" t="n">
        <v>128</v>
      </c>
      <c r="W717" s="13" t="n">
        <v>0.253</v>
      </c>
      <c r="X717" s="13" t="n">
        <v>81</v>
      </c>
      <c r="Y717" s="13" t="n">
        <v>44</v>
      </c>
      <c r="Z717" s="13" t="n">
        <v>95</v>
      </c>
      <c r="AA717" s="13" t="n">
        <v>8</v>
      </c>
      <c r="AB717" s="13" t="n">
        <v>11.5</v>
      </c>
      <c r="AC717" s="11" t="inlineStr">
        <is>
          <t xml:space="preserve"> Resort Freeride</t>
        </is>
      </c>
      <c r="AD717" s="13" t="n"/>
      <c r="AE717" s="13" t="n"/>
      <c r="AF717" s="13" t="n"/>
      <c r="AG717" s="13" t="n"/>
    </row>
    <row r="718">
      <c r="A718" s="9" t="inlineStr">
        <is>
          <t>21/22</t>
        </is>
      </c>
      <c r="B718" s="10" t="inlineStr">
        <is>
          <t>K2</t>
        </is>
      </c>
      <c r="C718" s="11" t="inlineStr">
        <is>
          <t>Disruption 82 Ti</t>
        </is>
      </c>
      <c r="D718" s="13" t="n">
        <v>184</v>
      </c>
      <c r="E718" s="11" t="inlineStr">
        <is>
          <t xml:space="preserve"> Unisex</t>
        </is>
      </c>
      <c r="F718" s="13" t="n">
        <v>184</v>
      </c>
      <c r="G718" s="13" t="n">
        <v>184.5</v>
      </c>
      <c r="H718" s="13" t="n">
        <v>152</v>
      </c>
      <c r="I718" s="13" t="n">
        <v>173</v>
      </c>
      <c r="J718" s="13" t="n">
        <v>125</v>
      </c>
      <c r="K718" s="13" t="n">
        <v>81</v>
      </c>
      <c r="L718" s="13" t="n">
        <v>111</v>
      </c>
      <c r="M718" s="13" t="n">
        <v>20.3</v>
      </c>
      <c r="N718" s="13" t="n">
        <v>2322</v>
      </c>
      <c r="O718" s="13" t="n">
        <v>0.75</v>
      </c>
      <c r="P718" s="13" t="n">
        <v>1743</v>
      </c>
      <c r="Q718" s="13" t="n">
        <v>301</v>
      </c>
      <c r="R718" s="13" t="n">
        <v>203</v>
      </c>
      <c r="S718" s="13" t="n">
        <v>35</v>
      </c>
      <c r="T718" s="13" t="n">
        <v>160</v>
      </c>
      <c r="U718" s="13" t="n">
        <v>8</v>
      </c>
      <c r="V718" s="13" t="n">
        <v>162</v>
      </c>
      <c r="W718" s="13" t="n">
        <v>0.233</v>
      </c>
      <c r="X718" s="13" t="n">
        <v>74</v>
      </c>
      <c r="Y718" s="13" t="n">
        <v>40</v>
      </c>
      <c r="Z718" s="13" t="n">
        <v>86</v>
      </c>
      <c r="AA718" s="13" t="n">
        <v>10</v>
      </c>
      <c r="AB718" s="13" t="n">
        <v>11.4</v>
      </c>
      <c r="AC718" s="11" t="inlineStr">
        <is>
          <t xml:space="preserve"> Resort Freeride</t>
        </is>
      </c>
      <c r="AD718" s="13" t="n"/>
      <c r="AE718" s="13" t="n"/>
      <c r="AF718" s="13" t="n"/>
      <c r="AG718" s="13" t="n"/>
    </row>
    <row r="719">
      <c r="A719" s="9" t="inlineStr">
        <is>
          <t>21/22</t>
        </is>
      </c>
      <c r="B719" s="10" t="inlineStr">
        <is>
          <t>K2</t>
        </is>
      </c>
      <c r="C719" s="11" t="inlineStr">
        <is>
          <t xml:space="preserve"> Disruption Mti</t>
        </is>
      </c>
      <c r="D719" s="13" t="n">
        <v>175</v>
      </c>
      <c r="E719" s="11" t="inlineStr">
        <is>
          <t xml:space="preserve"> Unisex</t>
        </is>
      </c>
      <c r="F719" s="13" t="n">
        <v>175</v>
      </c>
      <c r="G719" s="13" t="n">
        <v>175.6</v>
      </c>
      <c r="H719" s="13" t="n">
        <v>160</v>
      </c>
      <c r="I719" s="13" t="n">
        <v>165</v>
      </c>
      <c r="J719" s="13" t="n">
        <v>118</v>
      </c>
      <c r="K719" s="13" t="n">
        <v>73</v>
      </c>
      <c r="L719" s="13" t="n">
        <v>103</v>
      </c>
      <c r="M719" s="13" t="n">
        <v>18</v>
      </c>
      <c r="N719" s="13" t="n">
        <v>2280</v>
      </c>
      <c r="O719" s="13" t="n">
        <v>0.67</v>
      </c>
      <c r="P719" s="13" t="n">
        <v>1528</v>
      </c>
      <c r="Q719" s="13" t="n">
        <v>230</v>
      </c>
      <c r="R719" s="13" t="n">
        <v>153</v>
      </c>
      <c r="S719" s="13" t="n">
        <v>24</v>
      </c>
      <c r="T719" s="13" t="n">
        <v>110</v>
      </c>
      <c r="U719" s="13" t="n">
        <v>3</v>
      </c>
      <c r="V719" s="13" t="n">
        <v>43</v>
      </c>
      <c r="W719" s="13" t="n">
        <v>0.125</v>
      </c>
      <c r="X719" s="13" t="n">
        <v>73</v>
      </c>
      <c r="Y719" s="13" t="n">
        <v>30</v>
      </c>
      <c r="Z719" s="13" t="n">
        <v>37</v>
      </c>
      <c r="AA719" s="13" t="n">
        <v>12</v>
      </c>
      <c r="AB719" s="13" t="n">
        <v>12.7</v>
      </c>
      <c r="AC719" s="11" t="inlineStr">
        <is>
          <t xml:space="preserve"> On-Piste Carving</t>
        </is>
      </c>
      <c r="AD719" s="13" t="n"/>
      <c r="AE719" s="13" t="n"/>
      <c r="AF719" s="13" t="n"/>
      <c r="AG719" s="13" t="n"/>
    </row>
    <row r="720">
      <c r="A720" s="9" t="inlineStr">
        <is>
          <t>21/22</t>
        </is>
      </c>
      <c r="B720" s="10" t="inlineStr">
        <is>
          <t>K2</t>
        </is>
      </c>
      <c r="C720" s="11" t="inlineStr">
        <is>
          <t xml:space="preserve"> Disruption Mti Alliance</t>
        </is>
      </c>
      <c r="D720" s="13" t="n">
        <v>160</v>
      </c>
      <c r="E720" s="11" t="inlineStr">
        <is>
          <t xml:space="preserve"> Women's</t>
        </is>
      </c>
      <c r="F720" s="13" t="n">
        <v>160</v>
      </c>
      <c r="G720" s="13" t="n">
        <v>160.7</v>
      </c>
      <c r="H720" s="13" t="n">
        <v>143</v>
      </c>
      <c r="I720" s="13" t="n">
        <v>150</v>
      </c>
      <c r="J720" s="13" t="n">
        <v>115</v>
      </c>
      <c r="K720" s="13" t="n">
        <v>71</v>
      </c>
      <c r="L720" s="13" t="n">
        <v>103</v>
      </c>
      <c r="M720" s="13" t="n">
        <v>14.7</v>
      </c>
      <c r="N720" s="13" t="n">
        <v>1869</v>
      </c>
      <c r="O720" s="13" t="n">
        <v>0.73</v>
      </c>
      <c r="P720" s="13" t="n">
        <v>1368</v>
      </c>
      <c r="Q720" s="13" t="n">
        <v>188</v>
      </c>
      <c r="R720" s="13" t="n">
        <v>119</v>
      </c>
      <c r="S720" s="13" t="n">
        <v>31</v>
      </c>
      <c r="T720" s="13" t="n">
        <v>138</v>
      </c>
      <c r="U720" s="13" t="n">
        <v>3</v>
      </c>
      <c r="V720" s="13" t="n">
        <v>42</v>
      </c>
      <c r="W720" s="13" t="n">
        <v>0.091</v>
      </c>
      <c r="X720" s="13" t="n">
        <v>81</v>
      </c>
      <c r="Y720" s="13" t="n">
        <v>29</v>
      </c>
      <c r="Z720" s="13" t="n">
        <v>56</v>
      </c>
      <c r="AA720" s="13" t="n">
        <v>12</v>
      </c>
      <c r="AB720" s="13" t="n">
        <v>10.4</v>
      </c>
      <c r="AC720" s="11" t="inlineStr">
        <is>
          <t xml:space="preserve"> On-Piste Carving</t>
        </is>
      </c>
      <c r="AD720" s="13" t="n"/>
      <c r="AE720" s="13" t="n"/>
      <c r="AF720" s="13" t="n"/>
      <c r="AG720" s="13" t="n"/>
    </row>
    <row r="721">
      <c r="A721" s="9" t="inlineStr">
        <is>
          <t>21/22</t>
        </is>
      </c>
      <c r="B721" s="10" t="inlineStr">
        <is>
          <t>K2</t>
        </is>
      </c>
      <c r="C721" s="11" t="inlineStr">
        <is>
          <t xml:space="preserve"> Midnight</t>
        </is>
      </c>
      <c r="D721" s="13" t="n">
        <v>159</v>
      </c>
      <c r="E721" s="11" t="inlineStr">
        <is>
          <t xml:space="preserve"> Women's</t>
        </is>
      </c>
      <c r="F721" s="13" t="n">
        <v>159</v>
      </c>
      <c r="G721" s="13" t="n">
        <v>159.7</v>
      </c>
      <c r="H721" s="13" t="n">
        <v>111</v>
      </c>
      <c r="I721" s="13" t="n">
        <v>129</v>
      </c>
      <c r="J721" s="13" t="n">
        <v>117</v>
      </c>
      <c r="K721" s="13" t="n">
        <v>88</v>
      </c>
      <c r="L721" s="13" t="n">
        <v>111</v>
      </c>
      <c r="M721" s="13" t="n">
        <v>14.4</v>
      </c>
      <c r="N721" s="13" t="n">
        <v>1705</v>
      </c>
      <c r="O721" s="13" t="n">
        <v>0.92</v>
      </c>
      <c r="P721" s="13" t="n">
        <v>1573</v>
      </c>
      <c r="Q721" s="13" t="n">
        <v>173</v>
      </c>
      <c r="R721" s="13" t="n">
        <v>92</v>
      </c>
      <c r="S721" s="13" t="n">
        <v>50</v>
      </c>
      <c r="T721" s="13" t="n">
        <v>233</v>
      </c>
      <c r="U721" s="13" t="n">
        <v>47</v>
      </c>
      <c r="V721" s="13" t="n">
        <v>257</v>
      </c>
      <c r="W721" s="13" t="n">
        <v>0.9360000000000001</v>
      </c>
      <c r="X721" s="13" t="n">
        <v>156</v>
      </c>
      <c r="Y721" s="13" t="n">
        <v>154</v>
      </c>
      <c r="Z721" s="13" t="n">
        <v>77</v>
      </c>
      <c r="AA721" s="13" t="n">
        <v>5</v>
      </c>
      <c r="AB721" s="13" t="n">
        <v>3.5</v>
      </c>
      <c r="AC721" s="11" t="inlineStr">
        <is>
          <t xml:space="preserve"> Freeski</t>
        </is>
      </c>
      <c r="AD721" s="13" t="n"/>
      <c r="AE721" s="13" t="n"/>
      <c r="AF721" s="13" t="n"/>
      <c r="AG721" s="13" t="n"/>
    </row>
    <row r="722">
      <c r="A722" s="9" t="inlineStr">
        <is>
          <t>21/22</t>
        </is>
      </c>
      <c r="B722" s="10" t="inlineStr">
        <is>
          <t>K2</t>
        </is>
      </c>
      <c r="C722" s="11" t="inlineStr">
        <is>
          <t xml:space="preserve"> Midnight</t>
        </is>
      </c>
      <c r="D722" s="13" t="n">
        <v>169</v>
      </c>
      <c r="E722" s="11" t="inlineStr">
        <is>
          <t xml:space="preserve"> Women's</t>
        </is>
      </c>
      <c r="F722" s="13" t="n">
        <v>169</v>
      </c>
      <c r="G722" s="13" t="n">
        <v>169.8</v>
      </c>
      <c r="H722" s="13" t="n">
        <v>128</v>
      </c>
      <c r="I722" s="13" t="n">
        <v>139</v>
      </c>
      <c r="J722" s="13" t="n">
        <v>116</v>
      </c>
      <c r="K722" s="13" t="n">
        <v>87</v>
      </c>
      <c r="L722" s="13" t="n">
        <v>110</v>
      </c>
      <c r="M722" s="13" t="n">
        <v>17</v>
      </c>
      <c r="N722" s="13" t="n">
        <v>1786</v>
      </c>
      <c r="O722" s="13" t="n">
        <v>0.93</v>
      </c>
      <c r="P722" s="13" t="n">
        <v>1659</v>
      </c>
      <c r="Q722" s="13" t="n">
        <v>173</v>
      </c>
      <c r="R722" s="13" t="n">
        <v>78</v>
      </c>
      <c r="S722" s="13" t="n">
        <v>49</v>
      </c>
      <c r="T722" s="13" t="n">
        <v>209</v>
      </c>
      <c r="U722" s="13" t="n">
        <v>48</v>
      </c>
      <c r="V722" s="13" t="n">
        <v>210</v>
      </c>
      <c r="W722" s="13" t="n">
        <v>0.972</v>
      </c>
      <c r="X722" s="13" t="n">
        <v>160</v>
      </c>
      <c r="Y722" s="13" t="n">
        <v>149</v>
      </c>
      <c r="Z722" s="13" t="n">
        <v>49</v>
      </c>
      <c r="AA722" s="13" t="n">
        <v>6</v>
      </c>
      <c r="AB722" s="13" t="n">
        <v>3.8</v>
      </c>
      <c r="AC722" s="11" t="inlineStr">
        <is>
          <t xml:space="preserve"> Freeski</t>
        </is>
      </c>
      <c r="AD722" s="13" t="n"/>
      <c r="AE722" s="13" t="n"/>
      <c r="AF722" s="13" t="n"/>
      <c r="AG722" s="13" t="n"/>
    </row>
    <row r="723">
      <c r="A723" s="9" t="inlineStr">
        <is>
          <t>21/22</t>
        </is>
      </c>
      <c r="B723" s="10" t="inlineStr">
        <is>
          <t>K2</t>
        </is>
      </c>
      <c r="C723" s="11" t="inlineStr">
        <is>
          <t>Mindbender 106 C Alliance</t>
        </is>
      </c>
      <c r="D723" s="13" t="n">
        <v>159</v>
      </c>
      <c r="E723" s="11" t="inlineStr">
        <is>
          <t xml:space="preserve"> Women's</t>
        </is>
      </c>
      <c r="F723" s="13" t="n">
        <v>159</v>
      </c>
      <c r="G723" s="13" t="n">
        <v>159.8</v>
      </c>
      <c r="H723" s="13" t="n">
        <v>101</v>
      </c>
      <c r="I723" s="13" t="n">
        <v>121</v>
      </c>
      <c r="J723" s="13" t="n">
        <v>139</v>
      </c>
      <c r="K723" s="13" t="n">
        <v>105</v>
      </c>
      <c r="L723" s="13" t="n">
        <v>123</v>
      </c>
      <c r="M723" s="13" t="n">
        <v>13.5</v>
      </c>
      <c r="N723" s="13" t="n">
        <v>1535</v>
      </c>
      <c r="O723" s="13" t="n">
        <v>1.2</v>
      </c>
      <c r="P723" s="13" t="n">
        <v>1847</v>
      </c>
      <c r="Q723" s="13" t="n">
        <v>142</v>
      </c>
      <c r="R723" s="13" t="n">
        <v>67</v>
      </c>
      <c r="S723" s="13" t="n">
        <v>47</v>
      </c>
      <c r="T723" s="13" t="n">
        <v>329</v>
      </c>
      <c r="U723" s="13" t="n">
        <v>25</v>
      </c>
      <c r="V723" s="13" t="n">
        <v>263</v>
      </c>
      <c r="W723" s="13" t="n">
        <v>0.537</v>
      </c>
      <c r="X723" s="13" t="n">
        <v>190</v>
      </c>
      <c r="Y723" s="13" t="n">
        <v>196</v>
      </c>
      <c r="Z723" s="13" t="n">
        <v>139</v>
      </c>
      <c r="AA723" s="13" t="n">
        <v>7</v>
      </c>
      <c r="AB723" s="13" t="n">
        <v>9.199999999999999</v>
      </c>
      <c r="AC723" s="11" t="inlineStr">
        <is>
          <t xml:space="preserve"> Powder</t>
        </is>
      </c>
      <c r="AD723" s="11" t="inlineStr">
        <is>
          <t xml:space="preserve"> Touring</t>
        </is>
      </c>
      <c r="AE723" s="13" t="n"/>
      <c r="AF723" s="13" t="n"/>
      <c r="AG723" s="13" t="n"/>
    </row>
    <row r="724">
      <c r="A724" s="9" t="inlineStr">
        <is>
          <t>21/22</t>
        </is>
      </c>
      <c r="B724" s="10" t="inlineStr">
        <is>
          <t>K2</t>
        </is>
      </c>
      <c r="C724" s="11" t="inlineStr">
        <is>
          <t>Mindbender 106 C Alliance</t>
        </is>
      </c>
      <c r="D724" s="13" t="n">
        <v>167</v>
      </c>
      <c r="E724" s="11" t="inlineStr">
        <is>
          <t xml:space="preserve"> Women's</t>
        </is>
      </c>
      <c r="F724" s="13" t="n">
        <v>167</v>
      </c>
      <c r="G724" s="13" t="n">
        <v>167.8</v>
      </c>
      <c r="H724" s="13" t="n">
        <v>104</v>
      </c>
      <c r="I724" s="13" t="n">
        <v>129</v>
      </c>
      <c r="J724" s="13" t="n">
        <v>138</v>
      </c>
      <c r="K724" s="13" t="n">
        <v>105</v>
      </c>
      <c r="L724" s="13" t="n">
        <v>123</v>
      </c>
      <c r="M724" s="13" t="n">
        <v>15.2</v>
      </c>
      <c r="N724" s="13" t="n">
        <v>1686</v>
      </c>
      <c r="O724" s="13" t="n">
        <v>1.15</v>
      </c>
      <c r="P724" s="13" t="n">
        <v>1940</v>
      </c>
      <c r="Q724" s="13" t="n">
        <v>160</v>
      </c>
      <c r="R724" s="13" t="n">
        <v>75</v>
      </c>
      <c r="S724" s="13" t="n">
        <v>46</v>
      </c>
      <c r="T724" s="13" t="n">
        <v>379</v>
      </c>
      <c r="U724" s="13" t="n">
        <v>22</v>
      </c>
      <c r="V724" s="13" t="n">
        <v>255</v>
      </c>
      <c r="W724" s="13" t="n">
        <v>0.481</v>
      </c>
      <c r="X724" s="13" t="n">
        <v>190</v>
      </c>
      <c r="Y724" s="13" t="n">
        <v>195</v>
      </c>
      <c r="Z724" s="13" t="n">
        <v>189</v>
      </c>
      <c r="AA724" s="13" t="n">
        <v>6</v>
      </c>
      <c r="AB724" s="13" t="n">
        <v>9.9</v>
      </c>
      <c r="AC724" s="11" t="inlineStr">
        <is>
          <t xml:space="preserve"> Powder</t>
        </is>
      </c>
      <c r="AD724" s="11" t="inlineStr">
        <is>
          <t xml:space="preserve"> Touring</t>
        </is>
      </c>
      <c r="AE724" s="13" t="n"/>
      <c r="AF724" s="13" t="n"/>
      <c r="AG724" s="13" t="n"/>
    </row>
    <row r="725">
      <c r="A725" s="9" t="inlineStr">
        <is>
          <t>21/22</t>
        </is>
      </c>
      <c r="B725" s="10" t="inlineStr">
        <is>
          <t>K2</t>
        </is>
      </c>
      <c r="C725" s="11" t="inlineStr">
        <is>
          <t>Mindbender 108 Ti</t>
        </is>
      </c>
      <c r="D725" s="13" t="n">
        <v>172</v>
      </c>
      <c r="E725" s="11" t="inlineStr">
        <is>
          <t xml:space="preserve"> Unisex</t>
        </is>
      </c>
      <c r="F725" s="13" t="n">
        <v>172</v>
      </c>
      <c r="G725" s="13" t="n">
        <v>172.2</v>
      </c>
      <c r="H725" s="13" t="n">
        <v>100</v>
      </c>
      <c r="I725" s="13" t="n">
        <v>137</v>
      </c>
      <c r="J725" s="13" t="n">
        <v>136</v>
      </c>
      <c r="K725" s="13" t="n">
        <v>107</v>
      </c>
      <c r="L725" s="13" t="n">
        <v>124</v>
      </c>
      <c r="M725" s="13" t="n">
        <v>19.3</v>
      </c>
      <c r="N725" s="13" t="n">
        <v>1923</v>
      </c>
      <c r="O725" s="13" t="n">
        <v>1.04</v>
      </c>
      <c r="P725" s="13" t="n">
        <v>1999</v>
      </c>
      <c r="Q725" s="13" t="n">
        <v>182</v>
      </c>
      <c r="R725" s="13" t="n">
        <v>120</v>
      </c>
      <c r="S725" s="13" t="n">
        <v>48</v>
      </c>
      <c r="T725" s="13" t="n">
        <v>402</v>
      </c>
      <c r="U725" s="13" t="n">
        <v>25</v>
      </c>
      <c r="V725" s="13" t="n">
        <v>315</v>
      </c>
      <c r="W725" s="13" t="n">
        <v>0.521</v>
      </c>
      <c r="X725" s="13" t="n">
        <v>182</v>
      </c>
      <c r="Y725" s="13" t="n">
        <v>169</v>
      </c>
      <c r="Z725" s="13" t="n">
        <v>220</v>
      </c>
      <c r="AA725" s="13" t="n">
        <v>4</v>
      </c>
      <c r="AB725" s="13" t="n">
        <v>9.300000000000001</v>
      </c>
      <c r="AC725" s="11" t="inlineStr">
        <is>
          <t xml:space="preserve"> Powder</t>
        </is>
      </c>
      <c r="AD725" s="13" t="n"/>
      <c r="AE725" s="13" t="n"/>
      <c r="AF725" s="13" t="n"/>
      <c r="AG725" s="13" t="n"/>
    </row>
    <row r="726">
      <c r="A726" s="9" t="inlineStr">
        <is>
          <t>21/22</t>
        </is>
      </c>
      <c r="B726" s="10" t="inlineStr">
        <is>
          <t>K2</t>
        </is>
      </c>
      <c r="C726" s="11" t="inlineStr">
        <is>
          <t>Mindbender 108 Ti</t>
        </is>
      </c>
      <c r="D726" s="13" t="n">
        <v>179</v>
      </c>
      <c r="E726" s="11" t="inlineStr">
        <is>
          <t xml:space="preserve"> Unisex</t>
        </is>
      </c>
      <c r="F726" s="13" t="n">
        <v>179</v>
      </c>
      <c r="G726" s="13" t="n">
        <v>179.1</v>
      </c>
      <c r="H726" s="13" t="n">
        <v>111</v>
      </c>
      <c r="I726" s="13" t="n">
        <v>143</v>
      </c>
      <c r="J726" s="13" t="n">
        <v>136</v>
      </c>
      <c r="K726" s="13" t="n">
        <v>107</v>
      </c>
      <c r="L726" s="13" t="n">
        <v>124</v>
      </c>
      <c r="M726" s="13" t="n">
        <v>21</v>
      </c>
      <c r="N726" s="13" t="n">
        <v>1958</v>
      </c>
      <c r="O726" s="13" t="n">
        <v>1.06</v>
      </c>
      <c r="P726" s="13" t="n">
        <v>2083</v>
      </c>
      <c r="Q726" s="13" t="n">
        <v>210</v>
      </c>
      <c r="R726" s="13" t="n">
        <v>142</v>
      </c>
      <c r="S726" s="13" t="n">
        <v>47</v>
      </c>
      <c r="T726" s="13" t="n">
        <v>398</v>
      </c>
      <c r="U726" s="13" t="n">
        <v>24</v>
      </c>
      <c r="V726" s="13" t="n">
        <v>279</v>
      </c>
      <c r="W726" s="13" t="n">
        <v>0.523</v>
      </c>
      <c r="X726" s="13" t="n">
        <v>183</v>
      </c>
      <c r="Y726" s="13" t="n">
        <v>175</v>
      </c>
      <c r="Z726" s="13" t="n">
        <v>216</v>
      </c>
      <c r="AA726" s="13" t="n">
        <v>5</v>
      </c>
      <c r="AB726" s="13" t="n">
        <v>10</v>
      </c>
      <c r="AC726" s="11" t="inlineStr">
        <is>
          <t xml:space="preserve"> Powder</t>
        </is>
      </c>
      <c r="AD726" s="11" t="inlineStr">
        <is>
          <t xml:space="preserve"> Touring</t>
        </is>
      </c>
      <c r="AE726" s="13" t="n"/>
      <c r="AF726" s="13" t="n"/>
      <c r="AG726" s="13" t="n"/>
    </row>
    <row r="727">
      <c r="A727" s="9" t="inlineStr">
        <is>
          <t>21/22</t>
        </is>
      </c>
      <c r="B727" s="10" t="inlineStr">
        <is>
          <t>K2</t>
        </is>
      </c>
      <c r="C727" s="11" t="inlineStr">
        <is>
          <t>Mindbender 108 Ti</t>
        </is>
      </c>
      <c r="D727" s="13" t="n">
        <v>186</v>
      </c>
      <c r="E727" s="11" t="inlineStr">
        <is>
          <t xml:space="preserve"> Unisex</t>
        </is>
      </c>
      <c r="F727" s="13" t="n">
        <v>186</v>
      </c>
      <c r="G727" s="13" t="n">
        <v>185.9</v>
      </c>
      <c r="H727" s="13" t="n">
        <v>117</v>
      </c>
      <c r="I727" s="13" t="n">
        <v>150</v>
      </c>
      <c r="J727" s="13" t="n">
        <v>136</v>
      </c>
      <c r="K727" s="13" t="n">
        <v>107</v>
      </c>
      <c r="L727" s="13" t="n">
        <v>124</v>
      </c>
      <c r="M727" s="13" t="n">
        <v>23.1</v>
      </c>
      <c r="N727" s="13" t="n">
        <v>2141</v>
      </c>
      <c r="O727" s="13" t="n">
        <v>1.01</v>
      </c>
      <c r="P727" s="13" t="n">
        <v>2160</v>
      </c>
      <c r="Q727" s="13" t="n">
        <v>236</v>
      </c>
      <c r="R727" s="13" t="n">
        <v>172</v>
      </c>
      <c r="S727" s="13" t="n">
        <v>49</v>
      </c>
      <c r="T727" s="13" t="n">
        <v>408</v>
      </c>
      <c r="U727" s="13" t="n">
        <v>24</v>
      </c>
      <c r="V727" s="13" t="n">
        <v>279</v>
      </c>
      <c r="W727" s="13" t="n">
        <v>0.488</v>
      </c>
      <c r="X727" s="13" t="n">
        <v>182</v>
      </c>
      <c r="Y727" s="13" t="n">
        <v>180</v>
      </c>
      <c r="Z727" s="13" t="n">
        <v>225</v>
      </c>
      <c r="AA727" s="13" t="n">
        <v>5</v>
      </c>
      <c r="AB727" s="13" t="n">
        <v>10.5</v>
      </c>
      <c r="AC727" s="11" t="inlineStr">
        <is>
          <t xml:space="preserve"> Powder</t>
        </is>
      </c>
      <c r="AD727" s="13" t="n"/>
      <c r="AE727" s="13" t="n"/>
      <c r="AF727" s="13" t="n"/>
      <c r="AG727" s="13" t="n"/>
    </row>
    <row r="728">
      <c r="A728" s="9" t="inlineStr">
        <is>
          <t>21/22</t>
        </is>
      </c>
      <c r="B728" s="10" t="inlineStr">
        <is>
          <t>K2</t>
        </is>
      </c>
      <c r="C728" s="11" t="inlineStr">
        <is>
          <t>Mindbender 108 Ti</t>
        </is>
      </c>
      <c r="D728" s="13" t="n">
        <v>193</v>
      </c>
      <c r="E728" s="11" t="inlineStr">
        <is>
          <t xml:space="preserve"> Unisex</t>
        </is>
      </c>
      <c r="F728" s="13" t="n">
        <v>193</v>
      </c>
      <c r="G728" s="13" t="n">
        <v>193</v>
      </c>
      <c r="H728" s="13" t="n">
        <v>123</v>
      </c>
      <c r="I728" s="13" t="n">
        <v>156</v>
      </c>
      <c r="J728" s="13" t="n">
        <v>136</v>
      </c>
      <c r="K728" s="13" t="n">
        <v>107</v>
      </c>
      <c r="L728" s="13" t="n">
        <v>125</v>
      </c>
      <c r="M728" s="13" t="n">
        <v>24.9</v>
      </c>
      <c r="N728" s="13" t="n">
        <v>2265</v>
      </c>
      <c r="O728" s="13" t="n">
        <v>0.99</v>
      </c>
      <c r="P728" s="13" t="n">
        <v>2238</v>
      </c>
      <c r="Q728" s="13" t="n">
        <v>280</v>
      </c>
      <c r="R728" s="13" t="n">
        <v>196</v>
      </c>
      <c r="S728" s="13" t="n">
        <v>48</v>
      </c>
      <c r="T728" s="13" t="n">
        <v>399</v>
      </c>
      <c r="U728" s="13" t="n">
        <v>24</v>
      </c>
      <c r="V728" s="13" t="n">
        <v>302</v>
      </c>
      <c r="W728" s="13" t="n">
        <v>0.491</v>
      </c>
      <c r="X728" s="13" t="n">
        <v>181</v>
      </c>
      <c r="Y728" s="13" t="n">
        <v>184</v>
      </c>
      <c r="Z728" s="13" t="n">
        <v>217</v>
      </c>
      <c r="AA728" s="13" t="n">
        <v>6</v>
      </c>
      <c r="AB728" s="13" t="n">
        <v>11</v>
      </c>
      <c r="AC728" s="11" t="inlineStr">
        <is>
          <t xml:space="preserve"> Powder</t>
        </is>
      </c>
      <c r="AD728" s="13" t="n"/>
      <c r="AE728" s="13" t="n"/>
      <c r="AF728" s="13" t="n"/>
      <c r="AG728" s="13" t="n"/>
    </row>
    <row r="729">
      <c r="A729" s="9" t="inlineStr">
        <is>
          <t>21/22</t>
        </is>
      </c>
      <c r="B729" s="10" t="inlineStr">
        <is>
          <t>K2</t>
        </is>
      </c>
      <c r="C729" s="11" t="inlineStr">
        <is>
          <t>Mindbender 115 C Alliance</t>
        </is>
      </c>
      <c r="D729" s="13" t="n">
        <v>165</v>
      </c>
      <c r="E729" s="11" t="inlineStr">
        <is>
          <t xml:space="preserve"> Women's</t>
        </is>
      </c>
      <c r="F729" s="13" t="n">
        <v>165</v>
      </c>
      <c r="G729" s="13" t="n">
        <v>165.3</v>
      </c>
      <c r="H729" s="13" t="n">
        <v>97</v>
      </c>
      <c r="I729" s="13" t="n">
        <v>125</v>
      </c>
      <c r="J729" s="13" t="n">
        <v>138</v>
      </c>
      <c r="K729" s="13" t="n">
        <v>114</v>
      </c>
      <c r="L729" s="13" t="n">
        <v>128</v>
      </c>
      <c r="M729" s="13" t="n">
        <v>19</v>
      </c>
      <c r="N729" s="13" t="n">
        <v>1640</v>
      </c>
      <c r="O729" s="13" t="n">
        <v>1.22</v>
      </c>
      <c r="P729" s="13" t="n">
        <v>1993</v>
      </c>
      <c r="Q729" s="13" t="n">
        <v>142</v>
      </c>
      <c r="R729" s="13" t="n">
        <v>77</v>
      </c>
      <c r="S729" s="13" t="n">
        <v>52</v>
      </c>
      <c r="T729" s="13" t="n">
        <v>431</v>
      </c>
      <c r="U729" s="13" t="n">
        <v>23</v>
      </c>
      <c r="V729" s="13" t="n">
        <v>253</v>
      </c>
      <c r="W729" s="13" t="n">
        <v>0.435</v>
      </c>
      <c r="X729" s="13" t="n">
        <v>203</v>
      </c>
      <c r="Y729" s="13" t="n">
        <v>196</v>
      </c>
      <c r="Z729" s="13" t="n">
        <v>228</v>
      </c>
      <c r="AA729" s="13" t="n">
        <v>5</v>
      </c>
      <c r="AB729" s="13" t="n">
        <v>10.3</v>
      </c>
      <c r="AC729" s="11" t="inlineStr">
        <is>
          <t xml:space="preserve"> Powder</t>
        </is>
      </c>
      <c r="AD729" s="11" t="inlineStr">
        <is>
          <t xml:space="preserve"> Touring</t>
        </is>
      </c>
      <c r="AE729" s="13" t="n"/>
      <c r="AF729" s="13" t="n"/>
      <c r="AG729" s="13" t="n"/>
    </row>
    <row r="730">
      <c r="A730" s="9" t="inlineStr">
        <is>
          <t>21/22</t>
        </is>
      </c>
      <c r="B730" s="10" t="inlineStr">
        <is>
          <t>K2</t>
        </is>
      </c>
      <c r="C730" s="11" t="inlineStr">
        <is>
          <t>Mindbender 115 C Alliance</t>
        </is>
      </c>
      <c r="D730" s="13" t="n">
        <v>172</v>
      </c>
      <c r="E730" s="11" t="inlineStr">
        <is>
          <t xml:space="preserve"> Women's</t>
        </is>
      </c>
      <c r="F730" s="13" t="n">
        <v>172</v>
      </c>
      <c r="G730" s="13" t="n">
        <v>172.2</v>
      </c>
      <c r="H730" s="13" t="n">
        <v>101</v>
      </c>
      <c r="I730" s="13" t="n">
        <v>131</v>
      </c>
      <c r="J730" s="13" t="n">
        <v>139</v>
      </c>
      <c r="K730" s="13" t="n">
        <v>114</v>
      </c>
      <c r="L730" s="13" t="n">
        <v>128</v>
      </c>
      <c r="M730" s="13" t="n">
        <v>20.9</v>
      </c>
      <c r="N730" s="13" t="n">
        <v>1735</v>
      </c>
      <c r="O730" s="13" t="n">
        <v>1.2</v>
      </c>
      <c r="P730" s="13" t="n">
        <v>2078</v>
      </c>
      <c r="Q730" s="13" t="n">
        <v>166</v>
      </c>
      <c r="R730" s="13" t="n">
        <v>94</v>
      </c>
      <c r="S730" s="13" t="n">
        <v>55</v>
      </c>
      <c r="T730" s="13" t="n">
        <v>411</v>
      </c>
      <c r="U730" s="13" t="n">
        <v>21</v>
      </c>
      <c r="V730" s="13" t="n">
        <v>302</v>
      </c>
      <c r="W730" s="13" t="n">
        <v>0.39</v>
      </c>
      <c r="X730" s="13" t="n">
        <v>213</v>
      </c>
      <c r="Y730" s="13" t="n">
        <v>198</v>
      </c>
      <c r="Z730" s="13" t="n">
        <v>199</v>
      </c>
      <c r="AA730" s="13" t="n">
        <v>5</v>
      </c>
      <c r="AB730" s="13" t="n">
        <v>10.5</v>
      </c>
      <c r="AC730" s="11" t="inlineStr">
        <is>
          <t xml:space="preserve"> Powder</t>
        </is>
      </c>
      <c r="AD730" s="11" t="inlineStr">
        <is>
          <t xml:space="preserve"> Big Mountain</t>
        </is>
      </c>
      <c r="AE730" s="11" t="inlineStr">
        <is>
          <t xml:space="preserve"> Touring</t>
        </is>
      </c>
      <c r="AF730" s="13" t="n"/>
      <c r="AG730" s="13" t="n"/>
    </row>
    <row r="731">
      <c r="A731" s="9" t="inlineStr">
        <is>
          <t>21/22</t>
        </is>
      </c>
      <c r="B731" s="10" t="inlineStr">
        <is>
          <t>K2</t>
        </is>
      </c>
      <c r="C731" s="11" t="inlineStr">
        <is>
          <t>Mindbender 116 C</t>
        </is>
      </c>
      <c r="D731" s="13" t="n">
        <v>179</v>
      </c>
      <c r="E731" s="11" t="inlineStr">
        <is>
          <t xml:space="preserve"> Unisex</t>
        </is>
      </c>
      <c r="F731" s="13" t="n">
        <v>179</v>
      </c>
      <c r="G731" s="13" t="n">
        <v>179</v>
      </c>
      <c r="H731" s="13" t="n">
        <v>101</v>
      </c>
      <c r="I731" s="13" t="n">
        <v>141</v>
      </c>
      <c r="J731" s="13" t="n">
        <v>142</v>
      </c>
      <c r="K731" s="13" t="n">
        <v>115</v>
      </c>
      <c r="L731" s="13" t="n">
        <v>132</v>
      </c>
      <c r="M731" s="13" t="n">
        <v>21.5</v>
      </c>
      <c r="N731" s="13" t="n">
        <v>1821</v>
      </c>
      <c r="O731" s="13" t="n">
        <v>1.21</v>
      </c>
      <c r="P731" s="13" t="n">
        <v>2209</v>
      </c>
      <c r="Q731" s="13" t="n">
        <v>180</v>
      </c>
      <c r="R731" s="13" t="n">
        <v>110</v>
      </c>
      <c r="S731" s="13" t="n">
        <v>59</v>
      </c>
      <c r="T731" s="13" t="n">
        <v>461</v>
      </c>
      <c r="U731" s="13" t="n">
        <v>25</v>
      </c>
      <c r="V731" s="13" t="n">
        <v>317</v>
      </c>
      <c r="W731" s="13" t="n">
        <v>0.427</v>
      </c>
      <c r="X731" s="13" t="n">
        <v>204</v>
      </c>
      <c r="Y731" s="13" t="n">
        <v>175</v>
      </c>
      <c r="Z731" s="13" t="n">
        <v>257</v>
      </c>
      <c r="AA731" s="13" t="n">
        <v>4</v>
      </c>
      <c r="AB731" s="13" t="n">
        <v>10.4</v>
      </c>
      <c r="AC731" s="11" t="inlineStr">
        <is>
          <t xml:space="preserve"> Powder</t>
        </is>
      </c>
      <c r="AD731" s="11" t="inlineStr">
        <is>
          <t xml:space="preserve"> Touring</t>
        </is>
      </c>
      <c r="AE731" s="13" t="n"/>
      <c r="AF731" s="13" t="n"/>
      <c r="AG731" s="13" t="n"/>
    </row>
    <row r="732">
      <c r="A732" s="9" t="inlineStr">
        <is>
          <t>21/22</t>
        </is>
      </c>
      <c r="B732" s="10" t="inlineStr">
        <is>
          <t>K2</t>
        </is>
      </c>
      <c r="C732" s="11" t="inlineStr">
        <is>
          <t>Mindbender 116 C</t>
        </is>
      </c>
      <c r="D732" s="13" t="n">
        <v>186</v>
      </c>
      <c r="E732" s="11" t="inlineStr">
        <is>
          <t xml:space="preserve"> Unisex</t>
        </is>
      </c>
      <c r="F732" s="13" t="n">
        <v>186</v>
      </c>
      <c r="G732" s="13" t="n">
        <v>186</v>
      </c>
      <c r="H732" s="13" t="n">
        <v>113</v>
      </c>
      <c r="I732" s="13" t="n">
        <v>146</v>
      </c>
      <c r="J732" s="13" t="n">
        <v>143</v>
      </c>
      <c r="K732" s="13" t="n">
        <v>115</v>
      </c>
      <c r="L732" s="13" t="n">
        <v>132</v>
      </c>
      <c r="M732" s="13" t="n">
        <v>23.4</v>
      </c>
      <c r="N732" s="13" t="n">
        <v>1995</v>
      </c>
      <c r="O732" s="13" t="n">
        <v>1.15</v>
      </c>
      <c r="P732" s="13" t="n">
        <v>2298</v>
      </c>
      <c r="Q732" s="13" t="n">
        <v>211</v>
      </c>
      <c r="R732" s="13" t="n">
        <v>132</v>
      </c>
      <c r="S732" s="13" t="n">
        <v>58</v>
      </c>
      <c r="T732" s="13" t="n">
        <v>476</v>
      </c>
      <c r="U732" s="13" t="n">
        <v>25</v>
      </c>
      <c r="V732" s="13" t="n">
        <v>254</v>
      </c>
      <c r="W732" s="13" t="n">
        <v>0.431</v>
      </c>
      <c r="X732" s="13" t="n">
        <v>213</v>
      </c>
      <c r="Y732" s="13" t="n">
        <v>185</v>
      </c>
      <c r="Z732" s="13" t="n">
        <v>264</v>
      </c>
      <c r="AA732" s="13" t="n">
        <v>4</v>
      </c>
      <c r="AB732" s="13" t="n">
        <v>10.1</v>
      </c>
      <c r="AC732" s="11" t="inlineStr">
        <is>
          <t xml:space="preserve"> Powder</t>
        </is>
      </c>
      <c r="AD732" s="11" t="inlineStr">
        <is>
          <t xml:space="preserve"> Touring</t>
        </is>
      </c>
      <c r="AE732" s="13" t="n"/>
      <c r="AF732" s="13" t="n"/>
      <c r="AG732" s="13" t="n"/>
    </row>
    <row r="733">
      <c r="A733" s="9" t="inlineStr">
        <is>
          <t>21/22</t>
        </is>
      </c>
      <c r="B733" s="10" t="inlineStr">
        <is>
          <t>K2</t>
        </is>
      </c>
      <c r="C733" s="11" t="inlineStr">
        <is>
          <t>Mindbender 85</t>
        </is>
      </c>
      <c r="D733" s="13" t="n">
        <v>156</v>
      </c>
      <c r="E733" s="11" t="inlineStr">
        <is>
          <t xml:space="preserve"> Unisex</t>
        </is>
      </c>
      <c r="F733" s="13" t="n">
        <v>156</v>
      </c>
      <c r="G733" s="13" t="n">
        <v>156.7</v>
      </c>
      <c r="H733" s="13" t="n">
        <v>115</v>
      </c>
      <c r="I733" s="13" t="n">
        <v>128</v>
      </c>
      <c r="J733" s="13" t="n">
        <v>129</v>
      </c>
      <c r="K733" s="13" t="n">
        <v>84</v>
      </c>
      <c r="L733" s="13" t="n">
        <v>112</v>
      </c>
      <c r="M733" s="13" t="n">
        <v>10.8</v>
      </c>
      <c r="N733" s="13" t="n">
        <v>1534</v>
      </c>
      <c r="O733" s="13" t="n">
        <v>1.02</v>
      </c>
      <c r="P733" s="13" t="n">
        <v>1558</v>
      </c>
      <c r="Q733" s="13" t="n">
        <v>125</v>
      </c>
      <c r="R733" s="13" t="n">
        <v>74</v>
      </c>
      <c r="S733" s="13" t="n">
        <v>42</v>
      </c>
      <c r="T733" s="13" t="n">
        <v>252</v>
      </c>
      <c r="U733" s="13" t="n">
        <v>12</v>
      </c>
      <c r="V733" s="13" t="n">
        <v>165</v>
      </c>
      <c r="W733" s="13" t="n">
        <v>0.292</v>
      </c>
      <c r="X733" s="13" t="n">
        <v>176</v>
      </c>
      <c r="Y733" s="13" t="n">
        <v>112</v>
      </c>
      <c r="Z733" s="13" t="n">
        <v>76</v>
      </c>
      <c r="AA733" s="13" t="n">
        <v>10</v>
      </c>
      <c r="AB733" s="13" t="n">
        <v>10.3</v>
      </c>
      <c r="AC733" s="11" t="inlineStr">
        <is>
          <t xml:space="preserve"> On-Piste All-Mountain</t>
        </is>
      </c>
      <c r="AD733" s="11" t="inlineStr">
        <is>
          <t xml:space="preserve"> Resort Freeride</t>
        </is>
      </c>
      <c r="AE733" s="13" t="n"/>
      <c r="AF733" s="13" t="n"/>
      <c r="AG733" s="13" t="n"/>
    </row>
    <row r="734">
      <c r="A734" s="9" t="inlineStr">
        <is>
          <t>21/22</t>
        </is>
      </c>
      <c r="B734" s="10" t="inlineStr">
        <is>
          <t>K2</t>
        </is>
      </c>
      <c r="C734" s="11" t="inlineStr">
        <is>
          <t>Mindbender 85</t>
        </is>
      </c>
      <c r="D734" s="13" t="n">
        <v>163</v>
      </c>
      <c r="E734" s="11" t="inlineStr">
        <is>
          <t xml:space="preserve"> Unisex</t>
        </is>
      </c>
      <c r="F734" s="13" t="n">
        <v>163</v>
      </c>
      <c r="G734" s="13" t="n">
        <v>163.7</v>
      </c>
      <c r="H734" s="13" t="n">
        <v>120</v>
      </c>
      <c r="I734" s="13" t="n">
        <v>136</v>
      </c>
      <c r="J734" s="13" t="n">
        <v>129</v>
      </c>
      <c r="K734" s="13" t="n">
        <v>84</v>
      </c>
      <c r="L734" s="13" t="n">
        <v>112</v>
      </c>
      <c r="M734" s="13" t="n">
        <v>12</v>
      </c>
      <c r="N734" s="13" t="n">
        <v>1580</v>
      </c>
      <c r="O734" s="13" t="n">
        <v>1.03</v>
      </c>
      <c r="P734" s="13" t="n">
        <v>1627</v>
      </c>
      <c r="Q734" s="13" t="n">
        <v>151</v>
      </c>
      <c r="R734" s="13" t="n">
        <v>84</v>
      </c>
      <c r="S734" s="13" t="n">
        <v>46</v>
      </c>
      <c r="T734" s="13" t="n">
        <v>270</v>
      </c>
      <c r="U734" s="13" t="n">
        <v>12</v>
      </c>
      <c r="V734" s="13" t="n">
        <v>171</v>
      </c>
      <c r="W734" s="13" t="n">
        <v>0.268</v>
      </c>
      <c r="X734" s="13" t="n">
        <v>170</v>
      </c>
      <c r="Y734" s="13" t="n">
        <v>110</v>
      </c>
      <c r="Z734" s="13" t="n">
        <v>100</v>
      </c>
      <c r="AA734" s="13" t="n">
        <v>9</v>
      </c>
      <c r="AB734" s="13" t="n">
        <v>10.5</v>
      </c>
      <c r="AC734" s="11" t="inlineStr">
        <is>
          <t xml:space="preserve"> On-Piste All-Mountain</t>
        </is>
      </c>
      <c r="AD734" s="11" t="inlineStr">
        <is>
          <t xml:space="preserve"> Resort Freeride</t>
        </is>
      </c>
      <c r="AE734" s="13" t="n"/>
      <c r="AF734" s="13" t="n"/>
      <c r="AG734" s="13" t="n"/>
    </row>
    <row r="735">
      <c r="A735" s="9" t="inlineStr">
        <is>
          <t>21/22</t>
        </is>
      </c>
      <c r="B735" s="10" t="inlineStr">
        <is>
          <t>K2</t>
        </is>
      </c>
      <c r="C735" s="11" t="inlineStr">
        <is>
          <t>Mindbender 85</t>
        </is>
      </c>
      <c r="D735" s="13" t="n">
        <v>170</v>
      </c>
      <c r="E735" s="11" t="inlineStr">
        <is>
          <t xml:space="preserve"> Unisex</t>
        </is>
      </c>
      <c r="F735" s="13" t="n">
        <v>170</v>
      </c>
      <c r="G735" s="13" t="n">
        <v>170.7</v>
      </c>
      <c r="H735" s="13" t="n">
        <v>124</v>
      </c>
      <c r="I735" s="13" t="n">
        <v>141</v>
      </c>
      <c r="J735" s="13" t="n">
        <v>129</v>
      </c>
      <c r="K735" s="13" t="n">
        <v>84</v>
      </c>
      <c r="L735" s="13" t="n">
        <v>112</v>
      </c>
      <c r="M735" s="13" t="n">
        <v>13.1</v>
      </c>
      <c r="N735" s="13" t="n">
        <v>1702</v>
      </c>
      <c r="O735" s="13" t="n">
        <v>1</v>
      </c>
      <c r="P735" s="13" t="n">
        <v>1694</v>
      </c>
      <c r="Q735" s="13" t="n">
        <v>181</v>
      </c>
      <c r="R735" s="13" t="n">
        <v>97</v>
      </c>
      <c r="S735" s="13" t="n">
        <v>45</v>
      </c>
      <c r="T735" s="13" t="n">
        <v>288</v>
      </c>
      <c r="U735" s="13" t="n">
        <v>15</v>
      </c>
      <c r="V735" s="13" t="n">
        <v>177</v>
      </c>
      <c r="W735" s="13" t="n">
        <v>0.337</v>
      </c>
      <c r="X735" s="13" t="n">
        <v>182</v>
      </c>
      <c r="Y735" s="13" t="n">
        <v>112</v>
      </c>
      <c r="Z735" s="13" t="n">
        <v>107</v>
      </c>
      <c r="AA735" s="13" t="n">
        <v>7</v>
      </c>
      <c r="AB735" s="13" t="n">
        <v>10.8</v>
      </c>
      <c r="AC735" s="11" t="inlineStr">
        <is>
          <t xml:space="preserve"> On-Piste All-Mountain</t>
        </is>
      </c>
      <c r="AD735" s="11" t="inlineStr">
        <is>
          <t xml:space="preserve"> Resort Freeride</t>
        </is>
      </c>
      <c r="AE735" s="13" t="n"/>
      <c r="AF735" s="13" t="n"/>
      <c r="AG735" s="13" t="n"/>
    </row>
    <row r="736">
      <c r="A736" s="9" t="inlineStr">
        <is>
          <t>21/22</t>
        </is>
      </c>
      <c r="B736" s="10" t="inlineStr">
        <is>
          <t>K2</t>
        </is>
      </c>
      <c r="C736" s="11" t="inlineStr">
        <is>
          <t>Mindbender 85</t>
        </is>
      </c>
      <c r="D736" s="13" t="n">
        <v>177</v>
      </c>
      <c r="E736" s="11" t="inlineStr">
        <is>
          <t xml:space="preserve"> Unisex</t>
        </is>
      </c>
      <c r="F736" s="13" t="n">
        <v>177</v>
      </c>
      <c r="G736" s="13" t="n">
        <v>177.4</v>
      </c>
      <c r="H736" s="13" t="n">
        <v>135</v>
      </c>
      <c r="I736" s="13" t="n">
        <v>148</v>
      </c>
      <c r="J736" s="13" t="n">
        <v>129</v>
      </c>
      <c r="K736" s="13" t="n">
        <v>84</v>
      </c>
      <c r="L736" s="13" t="n">
        <v>112</v>
      </c>
      <c r="M736" s="13" t="n">
        <v>14.4</v>
      </c>
      <c r="N736" s="13" t="n">
        <v>1863</v>
      </c>
      <c r="O736" s="13" t="n">
        <v>0.9399999999999999</v>
      </c>
      <c r="P736" s="13" t="n">
        <v>1759</v>
      </c>
      <c r="Q736" s="13" t="n">
        <v>205</v>
      </c>
      <c r="R736" s="13" t="n">
        <v>108</v>
      </c>
      <c r="S736" s="13" t="n">
        <v>45</v>
      </c>
      <c r="T736" s="13" t="n">
        <v>265</v>
      </c>
      <c r="U736" s="13" t="n">
        <v>14</v>
      </c>
      <c r="V736" s="13" t="n">
        <v>156</v>
      </c>
      <c r="W736" s="13" t="n">
        <v>0.307</v>
      </c>
      <c r="X736" s="13" t="n">
        <v>176</v>
      </c>
      <c r="Y736" s="13" t="n">
        <v>116</v>
      </c>
      <c r="Z736" s="13" t="n">
        <v>89</v>
      </c>
      <c r="AA736" s="13" t="n">
        <v>10</v>
      </c>
      <c r="AB736" s="13" t="n">
        <v>11.2</v>
      </c>
      <c r="AC736" s="11" t="inlineStr">
        <is>
          <t xml:space="preserve"> On-Piste All-Mountain</t>
        </is>
      </c>
      <c r="AD736" s="11" t="inlineStr">
        <is>
          <t xml:space="preserve"> Resort Freeride</t>
        </is>
      </c>
      <c r="AE736" s="13" t="n"/>
      <c r="AF736" s="13" t="n"/>
      <c r="AG736" s="13" t="n"/>
    </row>
    <row r="737">
      <c r="A737" s="9" t="inlineStr">
        <is>
          <t>21/22</t>
        </is>
      </c>
      <c r="B737" s="10" t="inlineStr">
        <is>
          <t>K2</t>
        </is>
      </c>
      <c r="C737" s="11" t="inlineStr">
        <is>
          <t>Mindbender 85 Alliance</t>
        </is>
      </c>
      <c r="D737" s="13" t="n">
        <v>149</v>
      </c>
      <c r="E737" s="11" t="inlineStr">
        <is>
          <t xml:space="preserve"> Women's</t>
        </is>
      </c>
      <c r="F737" s="13" t="n">
        <v>149</v>
      </c>
      <c r="G737" s="13" t="n">
        <v>149.9</v>
      </c>
      <c r="H737" s="13" t="n">
        <v>116</v>
      </c>
      <c r="I737" s="13" t="n">
        <v>122</v>
      </c>
      <c r="J737" s="13" t="n">
        <v>129</v>
      </c>
      <c r="K737" s="13" t="n">
        <v>84</v>
      </c>
      <c r="L737" s="13" t="n">
        <v>112</v>
      </c>
      <c r="M737" s="13" t="n">
        <v>9.6</v>
      </c>
      <c r="N737" s="13" t="n">
        <v>1426</v>
      </c>
      <c r="O737" s="13" t="n">
        <v>1.04</v>
      </c>
      <c r="P737" s="13" t="n">
        <v>1489</v>
      </c>
      <c r="Q737" s="13" t="n">
        <v>109</v>
      </c>
      <c r="R737" s="13" t="n">
        <v>66</v>
      </c>
      <c r="S737" s="13" t="n">
        <v>40</v>
      </c>
      <c r="T737" s="13" t="n">
        <v>238</v>
      </c>
      <c r="U737" s="13" t="n">
        <v>10</v>
      </c>
      <c r="V737" s="13" t="n">
        <v>100</v>
      </c>
      <c r="W737" s="13" t="n">
        <v>0.248</v>
      </c>
      <c r="X737" s="13" t="n">
        <v>169</v>
      </c>
      <c r="Y737" s="13" t="n">
        <v>106</v>
      </c>
      <c r="Z737" s="13" t="n">
        <v>69</v>
      </c>
      <c r="AA737" s="13" t="n">
        <v>10</v>
      </c>
      <c r="AB737" s="13" t="n">
        <v>10.2</v>
      </c>
      <c r="AC737" s="11" t="inlineStr">
        <is>
          <t xml:space="preserve"> On-Piste All-Mountain</t>
        </is>
      </c>
      <c r="AD737" s="11" t="inlineStr">
        <is>
          <t xml:space="preserve"> Resort Freeride</t>
        </is>
      </c>
      <c r="AE737" s="13" t="n"/>
      <c r="AF737" s="13" t="n"/>
      <c r="AG737" s="13" t="n"/>
    </row>
    <row r="738">
      <c r="A738" s="9" t="inlineStr">
        <is>
          <t>21/22</t>
        </is>
      </c>
      <c r="B738" s="10" t="inlineStr">
        <is>
          <t>K2</t>
        </is>
      </c>
      <c r="C738" s="11" t="inlineStr">
        <is>
          <t>Mindbender 85 Alliance</t>
        </is>
      </c>
      <c r="D738" s="13" t="n">
        <v>159</v>
      </c>
      <c r="E738" s="11" t="inlineStr">
        <is>
          <t xml:space="preserve"> Women's</t>
        </is>
      </c>
      <c r="F738" s="13" t="n">
        <v>159</v>
      </c>
      <c r="G738" s="13" t="n">
        <v>156.9</v>
      </c>
      <c r="H738" s="13" t="n">
        <v>122</v>
      </c>
      <c r="I738" s="13" t="n">
        <v>128</v>
      </c>
      <c r="J738" s="13" t="n">
        <v>129</v>
      </c>
      <c r="K738" s="13" t="n">
        <v>84</v>
      </c>
      <c r="L738" s="13" t="n">
        <v>112</v>
      </c>
      <c r="M738" s="13" t="n">
        <v>10.7</v>
      </c>
      <c r="N738" s="13" t="n">
        <v>1508</v>
      </c>
      <c r="O738" s="13" t="n">
        <v>1.03</v>
      </c>
      <c r="P738" s="13" t="n">
        <v>1555</v>
      </c>
      <c r="Q738" s="13" t="n">
        <v>125</v>
      </c>
      <c r="R738" s="13" t="n">
        <v>72</v>
      </c>
      <c r="S738" s="13" t="n">
        <v>40</v>
      </c>
      <c r="T738" s="13" t="n">
        <v>243</v>
      </c>
      <c r="U738" s="13" t="n">
        <v>10</v>
      </c>
      <c r="V738" s="13" t="n">
        <v>102</v>
      </c>
      <c r="W738" s="13" t="n">
        <v>0.26</v>
      </c>
      <c r="X738" s="13" t="n">
        <v>176</v>
      </c>
      <c r="Y738" s="13" t="n">
        <v>111</v>
      </c>
      <c r="Z738" s="13" t="n">
        <v>67</v>
      </c>
      <c r="AA738" s="13" t="n">
        <v>8</v>
      </c>
      <c r="AB738" s="13" t="n">
        <v>10.5</v>
      </c>
      <c r="AC738" s="11" t="inlineStr">
        <is>
          <t xml:space="preserve"> On-Piste All-Mountain</t>
        </is>
      </c>
      <c r="AD738" s="11" t="inlineStr">
        <is>
          <t xml:space="preserve"> Resort Freeride</t>
        </is>
      </c>
      <c r="AE738" s="13" t="n"/>
      <c r="AF738" s="13" t="n"/>
      <c r="AG738" s="13" t="n"/>
    </row>
    <row r="739">
      <c r="A739" s="9" t="inlineStr">
        <is>
          <t>21/22</t>
        </is>
      </c>
      <c r="B739" s="10" t="inlineStr">
        <is>
          <t>K2</t>
        </is>
      </c>
      <c r="C739" s="11" t="inlineStr">
        <is>
          <t>Mindbender 85 Alliance</t>
        </is>
      </c>
      <c r="D739" s="13" t="n">
        <v>163</v>
      </c>
      <c r="E739" s="11" t="inlineStr">
        <is>
          <t xml:space="preserve"> Women's</t>
        </is>
      </c>
      <c r="F739" s="13" t="n">
        <v>163</v>
      </c>
      <c r="G739" s="13" t="n">
        <v>163.6</v>
      </c>
      <c r="H739" s="13" t="n">
        <v>116</v>
      </c>
      <c r="I739" s="13" t="n">
        <v>134</v>
      </c>
      <c r="J739" s="13" t="n">
        <v>129</v>
      </c>
      <c r="K739" s="13" t="n">
        <v>84</v>
      </c>
      <c r="L739" s="13" t="n">
        <v>112</v>
      </c>
      <c r="M739" s="13" t="n">
        <v>11.8</v>
      </c>
      <c r="N739" s="13" t="n">
        <v>1627</v>
      </c>
      <c r="O739" s="13" t="n">
        <v>1</v>
      </c>
      <c r="P739" s="13" t="n">
        <v>1623</v>
      </c>
      <c r="Q739" s="13" t="n">
        <v>165</v>
      </c>
      <c r="R739" s="13" t="n">
        <v>89</v>
      </c>
      <c r="S739" s="13" t="n">
        <v>49</v>
      </c>
      <c r="T739" s="13" t="n">
        <v>274</v>
      </c>
      <c r="U739" s="13" t="n">
        <v>13</v>
      </c>
      <c r="V739" s="13" t="n">
        <v>198</v>
      </c>
      <c r="W739" s="13" t="n">
        <v>0.267</v>
      </c>
      <c r="X739" s="13" t="n">
        <v>182</v>
      </c>
      <c r="Y739" s="13" t="n">
        <v>113</v>
      </c>
      <c r="Z739" s="13" t="n">
        <v>92</v>
      </c>
      <c r="AA739" s="13" t="n">
        <v>7</v>
      </c>
      <c r="AB739" s="13" t="n">
        <v>10.9</v>
      </c>
      <c r="AC739" s="11" t="inlineStr">
        <is>
          <t xml:space="preserve"> On-Piste All-Mountain</t>
        </is>
      </c>
      <c r="AD739" s="11" t="inlineStr">
        <is>
          <t xml:space="preserve"> Resort Freeride</t>
        </is>
      </c>
      <c r="AE739" s="13" t="n"/>
      <c r="AF739" s="13" t="n"/>
      <c r="AG739" s="13" t="n"/>
    </row>
    <row r="740">
      <c r="A740" s="9" t="inlineStr">
        <is>
          <t>21/22</t>
        </is>
      </c>
      <c r="B740" s="10" t="inlineStr">
        <is>
          <t>K2</t>
        </is>
      </c>
      <c r="C740" s="11" t="inlineStr">
        <is>
          <t>Mindbender 88 Ti Alliance</t>
        </is>
      </c>
      <c r="D740" s="13" t="n">
        <v>149</v>
      </c>
      <c r="E740" s="11" t="inlineStr">
        <is>
          <t xml:space="preserve"> Women's</t>
        </is>
      </c>
      <c r="F740" s="13" t="n">
        <v>149</v>
      </c>
      <c r="G740" s="13" t="n">
        <v>149.1</v>
      </c>
      <c r="H740" s="13" t="n">
        <v>114</v>
      </c>
      <c r="I740" s="13" t="n">
        <v>125</v>
      </c>
      <c r="J740" s="13" t="n">
        <v>125</v>
      </c>
      <c r="K740" s="13" t="n">
        <v>88</v>
      </c>
      <c r="L740" s="13" t="n">
        <v>111</v>
      </c>
      <c r="M740" s="13" t="n">
        <v>12.1</v>
      </c>
      <c r="N740" s="13" t="n">
        <v>1401</v>
      </c>
      <c r="O740" s="13" t="n">
        <v>1.07</v>
      </c>
      <c r="P740" s="13" t="n">
        <v>1493</v>
      </c>
      <c r="Q740" s="13" t="n">
        <v>138</v>
      </c>
      <c r="R740" s="13" t="n">
        <v>89</v>
      </c>
      <c r="S740" s="13" t="n">
        <v>43</v>
      </c>
      <c r="T740" s="13" t="n">
        <v>187</v>
      </c>
      <c r="U740" s="13" t="n">
        <v>19</v>
      </c>
      <c r="V740" s="13" t="n">
        <v>161</v>
      </c>
      <c r="W740" s="13" t="n">
        <v>0.431</v>
      </c>
      <c r="X740" s="13" t="n">
        <v>144</v>
      </c>
      <c r="Y740" s="13" t="n">
        <v>93</v>
      </c>
      <c r="Z740" s="13" t="n">
        <v>43</v>
      </c>
      <c r="AA740" s="13" t="n">
        <v>7</v>
      </c>
      <c r="AB740" s="13" t="n">
        <v>10.1</v>
      </c>
      <c r="AC740" s="11" t="inlineStr">
        <is>
          <t xml:space="preserve"> Resort Freeride</t>
        </is>
      </c>
      <c r="AD740" s="11" t="inlineStr">
        <is>
          <t xml:space="preserve"> Touring</t>
        </is>
      </c>
      <c r="AE740" s="13" t="n"/>
      <c r="AF740" s="13" t="n"/>
      <c r="AG740" s="13" t="n"/>
    </row>
    <row r="741">
      <c r="A741" s="9" t="inlineStr">
        <is>
          <t>21/22</t>
        </is>
      </c>
      <c r="B741" s="10" t="inlineStr">
        <is>
          <t>K2</t>
        </is>
      </c>
      <c r="C741" s="11" t="inlineStr">
        <is>
          <t>Mindbender 88 Ti Alliance</t>
        </is>
      </c>
      <c r="D741" s="13" t="n">
        <v>156</v>
      </c>
      <c r="E741" s="11" t="inlineStr">
        <is>
          <t xml:space="preserve"> Women's</t>
        </is>
      </c>
      <c r="F741" s="13" t="n">
        <v>156</v>
      </c>
      <c r="G741" s="13" t="n">
        <v>155.9</v>
      </c>
      <c r="H741" s="13" t="n">
        <v>120</v>
      </c>
      <c r="I741" s="13" t="n">
        <v>132</v>
      </c>
      <c r="J741" s="13" t="n">
        <v>125</v>
      </c>
      <c r="K741" s="13" t="n">
        <v>87</v>
      </c>
      <c r="L741" s="13" t="n">
        <v>111</v>
      </c>
      <c r="M741" s="13" t="n">
        <v>13.5</v>
      </c>
      <c r="N741" s="13" t="n">
        <v>1491</v>
      </c>
      <c r="O741" s="13" t="n">
        <v>1.04</v>
      </c>
      <c r="P741" s="13" t="n">
        <v>1548</v>
      </c>
      <c r="Q741" s="13" t="n">
        <v>132</v>
      </c>
      <c r="R741" s="13" t="n">
        <v>84</v>
      </c>
      <c r="S741" s="13" t="n">
        <v>46</v>
      </c>
      <c r="T741" s="13" t="n">
        <v>207</v>
      </c>
      <c r="U741" s="13" t="n">
        <v>18</v>
      </c>
      <c r="V741" s="13" t="n">
        <v>156</v>
      </c>
      <c r="W741" s="13" t="n">
        <v>0.401</v>
      </c>
      <c r="X741" s="13" t="n">
        <v>146</v>
      </c>
      <c r="Y741" s="13" t="n">
        <v>98</v>
      </c>
      <c r="Z741" s="13" t="n">
        <v>60</v>
      </c>
      <c r="AA741" s="13" t="n">
        <v>7</v>
      </c>
      <c r="AB741" s="13" t="n">
        <v>11</v>
      </c>
      <c r="AC741" s="11" t="inlineStr">
        <is>
          <t xml:space="preserve"> Resort Freeride</t>
        </is>
      </c>
      <c r="AD741" s="13" t="n"/>
      <c r="AE741" s="13" t="n"/>
      <c r="AF741" s="13" t="n"/>
      <c r="AG741" s="13" t="n"/>
    </row>
    <row r="742">
      <c r="A742" s="9" t="inlineStr">
        <is>
          <t>21/22</t>
        </is>
      </c>
      <c r="B742" s="10" t="inlineStr">
        <is>
          <t>K2</t>
        </is>
      </c>
      <c r="C742" s="11" t="inlineStr">
        <is>
          <t>Mindbender 88 Ti Alliance</t>
        </is>
      </c>
      <c r="D742" s="13" t="n">
        <v>163</v>
      </c>
      <c r="E742" s="11" t="inlineStr">
        <is>
          <t xml:space="preserve"> Women's</t>
        </is>
      </c>
      <c r="F742" s="13" t="n">
        <v>163</v>
      </c>
      <c r="G742" s="13" t="n">
        <v>162.7</v>
      </c>
      <c r="H742" s="13" t="n">
        <v>124</v>
      </c>
      <c r="I742" s="13" t="n">
        <v>139</v>
      </c>
      <c r="J742" s="13" t="n">
        <v>124</v>
      </c>
      <c r="K742" s="13" t="n">
        <v>87</v>
      </c>
      <c r="L742" s="13" t="n">
        <v>111</v>
      </c>
      <c r="M742" s="13" t="n">
        <v>15.1</v>
      </c>
      <c r="N742" s="13" t="n">
        <v>1585</v>
      </c>
      <c r="O742" s="13" t="n">
        <v>1.02</v>
      </c>
      <c r="P742" s="13" t="n">
        <v>1620</v>
      </c>
      <c r="Q742" s="13" t="n">
        <v>154</v>
      </c>
      <c r="R742" s="13" t="n">
        <v>82</v>
      </c>
      <c r="S742" s="13" t="n">
        <v>48</v>
      </c>
      <c r="T742" s="13" t="n">
        <v>218</v>
      </c>
      <c r="U742" s="13" t="n">
        <v>20</v>
      </c>
      <c r="V742" s="13" t="n">
        <v>166</v>
      </c>
      <c r="W742" s="13" t="n">
        <v>0.425</v>
      </c>
      <c r="X742" s="13" t="n">
        <v>134</v>
      </c>
      <c r="Y742" s="13" t="n">
        <v>101</v>
      </c>
      <c r="Z742" s="13" t="n">
        <v>83</v>
      </c>
      <c r="AA742" s="13" t="n">
        <v>9</v>
      </c>
      <c r="AB742" s="13" t="n">
        <v>11</v>
      </c>
      <c r="AC742" s="11" t="inlineStr">
        <is>
          <t xml:space="preserve"> Resort Freeride</t>
        </is>
      </c>
      <c r="AD742" s="13" t="n"/>
      <c r="AE742" s="13" t="n"/>
      <c r="AF742" s="13" t="n"/>
      <c r="AG742" s="13" t="n"/>
    </row>
    <row r="743">
      <c r="A743" s="9" t="inlineStr">
        <is>
          <t>21/22</t>
        </is>
      </c>
      <c r="B743" s="10" t="inlineStr">
        <is>
          <t>K2</t>
        </is>
      </c>
      <c r="C743" s="11" t="inlineStr">
        <is>
          <t>Mindbender 88 Ti Alliance</t>
        </is>
      </c>
      <c r="D743" s="13" t="n">
        <v>170</v>
      </c>
      <c r="E743" s="11" t="inlineStr">
        <is>
          <t xml:space="preserve"> Women's</t>
        </is>
      </c>
      <c r="F743" s="13" t="n">
        <v>170</v>
      </c>
      <c r="G743" s="13" t="n">
        <v>169.4</v>
      </c>
      <c r="H743" s="13" t="n">
        <v>125</v>
      </c>
      <c r="I743" s="13" t="n">
        <v>146</v>
      </c>
      <c r="J743" s="13" t="n">
        <v>125</v>
      </c>
      <c r="K743" s="13" t="n">
        <v>87</v>
      </c>
      <c r="L743" s="13" t="n">
        <v>111</v>
      </c>
      <c r="M743" s="13" t="n">
        <v>16.5</v>
      </c>
      <c r="N743" s="13" t="n">
        <v>1668</v>
      </c>
      <c r="O743" s="13" t="n">
        <v>1.01</v>
      </c>
      <c r="P743" s="13" t="n">
        <v>1685</v>
      </c>
      <c r="Q743" s="13" t="n">
        <v>176</v>
      </c>
      <c r="R743" s="13" t="n">
        <v>90</v>
      </c>
      <c r="S743" s="13" t="n">
        <v>52</v>
      </c>
      <c r="T743" s="13" t="n">
        <v>250</v>
      </c>
      <c r="U743" s="13" t="n">
        <v>26</v>
      </c>
      <c r="V743" s="13" t="n">
        <v>198</v>
      </c>
      <c r="W743" s="13" t="n">
        <v>0.495</v>
      </c>
      <c r="X743" s="13" t="n">
        <v>137</v>
      </c>
      <c r="Y743" s="13" t="n">
        <v>99</v>
      </c>
      <c r="Z743" s="13" t="n">
        <v>112</v>
      </c>
      <c r="AA743" s="13" t="n">
        <v>8</v>
      </c>
      <c r="AB743" s="13" t="n">
        <v>11.2</v>
      </c>
      <c r="AC743" s="11" t="inlineStr">
        <is>
          <t xml:space="preserve"> Resort Freeride</t>
        </is>
      </c>
      <c r="AD743" s="13" t="n"/>
      <c r="AE743" s="13" t="n"/>
      <c r="AF743" s="13" t="n"/>
      <c r="AG743" s="13" t="n"/>
    </row>
    <row r="744">
      <c r="A744" s="9" t="inlineStr">
        <is>
          <t>21/22</t>
        </is>
      </c>
      <c r="B744" s="10" t="inlineStr">
        <is>
          <t>K2</t>
        </is>
      </c>
      <c r="C744" s="11" t="inlineStr">
        <is>
          <t>Mindbender 90 C Alliance</t>
        </is>
      </c>
      <c r="D744" s="13" t="n">
        <v>149</v>
      </c>
      <c r="E744" s="11" t="inlineStr">
        <is>
          <t xml:space="preserve"> Women's</t>
        </is>
      </c>
      <c r="F744" s="13" t="n">
        <v>149</v>
      </c>
      <c r="G744" s="13" t="n">
        <v>150</v>
      </c>
      <c r="H744" s="13" t="n">
        <v>115</v>
      </c>
      <c r="I744" s="13" t="n">
        <v>123</v>
      </c>
      <c r="J744" s="13" t="n">
        <v>126</v>
      </c>
      <c r="K744" s="13" t="n">
        <v>89</v>
      </c>
      <c r="L744" s="13" t="n">
        <v>112</v>
      </c>
      <c r="M744" s="13" t="n">
        <v>11.7</v>
      </c>
      <c r="N744" s="13" t="n">
        <v>1333</v>
      </c>
      <c r="O744" s="13" t="n">
        <v>1.14</v>
      </c>
      <c r="P744" s="13" t="n">
        <v>1522</v>
      </c>
      <c r="Q744" s="13" t="n">
        <v>107</v>
      </c>
      <c r="R744" s="13" t="n">
        <v>58</v>
      </c>
      <c r="S744" s="13" t="n">
        <v>38</v>
      </c>
      <c r="T744" s="13" t="n">
        <v>216</v>
      </c>
      <c r="U744" s="13" t="n">
        <v>10</v>
      </c>
      <c r="V744" s="13" t="n">
        <v>135</v>
      </c>
      <c r="W744" s="13" t="n">
        <v>0.25</v>
      </c>
      <c r="X744" s="13" t="n">
        <v>156</v>
      </c>
      <c r="Y744" s="13" t="n">
        <v>109</v>
      </c>
      <c r="Z744" s="13" t="n">
        <v>59</v>
      </c>
      <c r="AA744" s="13" t="n">
        <v>9</v>
      </c>
      <c r="AB744" s="13" t="n">
        <v>9.699999999999999</v>
      </c>
      <c r="AC744" s="11" t="inlineStr">
        <is>
          <t xml:space="preserve"> Resort Freeride</t>
        </is>
      </c>
      <c r="AD744" s="11" t="inlineStr">
        <is>
          <t xml:space="preserve"> Touring</t>
        </is>
      </c>
      <c r="AE744" s="13" t="n"/>
      <c r="AF744" s="13" t="n"/>
      <c r="AG744" s="13" t="n"/>
    </row>
    <row r="745">
      <c r="A745" s="9" t="inlineStr">
        <is>
          <t>21/22</t>
        </is>
      </c>
      <c r="B745" s="10" t="inlineStr">
        <is>
          <t>K2</t>
        </is>
      </c>
      <c r="C745" s="11" t="inlineStr">
        <is>
          <t>Mindbender 90 C Alliance</t>
        </is>
      </c>
      <c r="D745" s="13" t="n">
        <v>156</v>
      </c>
      <c r="E745" s="11" t="inlineStr">
        <is>
          <t xml:space="preserve"> Women's</t>
        </is>
      </c>
      <c r="F745" s="13" t="n">
        <v>156</v>
      </c>
      <c r="G745" s="13" t="n">
        <v>156.5</v>
      </c>
      <c r="H745" s="13" t="n">
        <v>120</v>
      </c>
      <c r="I745" s="13" t="n">
        <v>130</v>
      </c>
      <c r="J745" s="13" t="n">
        <v>126</v>
      </c>
      <c r="K745" s="13" t="n">
        <v>89</v>
      </c>
      <c r="L745" s="13" t="n">
        <v>112</v>
      </c>
      <c r="M745" s="13" t="n">
        <v>13.2</v>
      </c>
      <c r="N745" s="13" t="n">
        <v>1409</v>
      </c>
      <c r="O745" s="13" t="n">
        <v>1.13</v>
      </c>
      <c r="P745" s="13" t="n">
        <v>1593</v>
      </c>
      <c r="Q745" s="13" t="n">
        <v>118</v>
      </c>
      <c r="R745" s="13" t="n">
        <v>60</v>
      </c>
      <c r="S745" s="13" t="n">
        <v>44</v>
      </c>
      <c r="T745" s="13" t="n">
        <v>221</v>
      </c>
      <c r="U745" s="13" t="n">
        <v>14</v>
      </c>
      <c r="V745" s="13" t="n">
        <v>144</v>
      </c>
      <c r="W745" s="13" t="n">
        <v>0.315</v>
      </c>
      <c r="X745" s="13" t="n">
        <v>145</v>
      </c>
      <c r="Y745" s="13" t="n">
        <v>120</v>
      </c>
      <c r="Z745" s="13" t="n">
        <v>76</v>
      </c>
      <c r="AA745" s="13" t="n">
        <v>8</v>
      </c>
      <c r="AB745" s="13" t="n">
        <v>10.1</v>
      </c>
      <c r="AC745" s="11" t="inlineStr">
        <is>
          <t xml:space="preserve"> Resort Freeride</t>
        </is>
      </c>
      <c r="AD745" s="11" t="inlineStr">
        <is>
          <t xml:space="preserve"> Touring</t>
        </is>
      </c>
      <c r="AE745" s="13" t="n"/>
      <c r="AF745" s="13" t="n"/>
      <c r="AG745" s="13" t="n"/>
    </row>
    <row r="746">
      <c r="A746" s="9" t="inlineStr">
        <is>
          <t>21/22</t>
        </is>
      </c>
      <c r="B746" s="10" t="inlineStr">
        <is>
          <t>K2</t>
        </is>
      </c>
      <c r="C746" s="11" t="inlineStr">
        <is>
          <t>Mindbender 90 C Alliance</t>
        </is>
      </c>
      <c r="D746" s="13" t="n">
        <v>163</v>
      </c>
      <c r="E746" s="11" t="inlineStr">
        <is>
          <t xml:space="preserve"> Women's</t>
        </is>
      </c>
      <c r="F746" s="13" t="n">
        <v>163</v>
      </c>
      <c r="G746" s="13" t="n">
        <v>163.4</v>
      </c>
      <c r="H746" s="13" t="n">
        <v>124</v>
      </c>
      <c r="I746" s="13" t="n">
        <v>138</v>
      </c>
      <c r="J746" s="13" t="n">
        <v>126</v>
      </c>
      <c r="K746" s="13" t="n">
        <v>89</v>
      </c>
      <c r="L746" s="13" t="n">
        <v>112</v>
      </c>
      <c r="M746" s="13" t="n">
        <v>14.7</v>
      </c>
      <c r="N746" s="13" t="n">
        <v>1490</v>
      </c>
      <c r="O746" s="13" t="n">
        <v>1.12</v>
      </c>
      <c r="P746" s="13" t="n">
        <v>1662</v>
      </c>
      <c r="Q746" s="13" t="n">
        <v>135</v>
      </c>
      <c r="R746" s="13" t="n">
        <v>66</v>
      </c>
      <c r="S746" s="13" t="n">
        <v>45</v>
      </c>
      <c r="T746" s="13" t="n">
        <v>229</v>
      </c>
      <c r="U746" s="13" t="n">
        <v>15</v>
      </c>
      <c r="V746" s="13" t="n">
        <v>169</v>
      </c>
      <c r="W746" s="13" t="n">
        <v>0.332</v>
      </c>
      <c r="X746" s="13" t="n">
        <v>142</v>
      </c>
      <c r="Y746" s="13" t="n">
        <v>114</v>
      </c>
      <c r="Z746" s="13" t="n">
        <v>86</v>
      </c>
      <c r="AA746" s="13" t="n">
        <v>6</v>
      </c>
      <c r="AB746" s="13" t="n">
        <v>10</v>
      </c>
      <c r="AC746" s="11" t="inlineStr">
        <is>
          <t xml:space="preserve"> Resort Freeride</t>
        </is>
      </c>
      <c r="AD746" s="11" t="inlineStr">
        <is>
          <t xml:space="preserve"> Touring</t>
        </is>
      </c>
      <c r="AE746" s="13" t="n"/>
      <c r="AF746" s="13" t="n"/>
      <c r="AG746" s="13" t="n"/>
    </row>
    <row r="747">
      <c r="A747" s="9" t="inlineStr">
        <is>
          <t>21/22</t>
        </is>
      </c>
      <c r="B747" s="10" t="inlineStr">
        <is>
          <t>K2</t>
        </is>
      </c>
      <c r="C747" s="11" t="inlineStr">
        <is>
          <t>Mindbender 90 Ti</t>
        </is>
      </c>
      <c r="D747" s="13" t="n">
        <v>163</v>
      </c>
      <c r="E747" s="11" t="inlineStr">
        <is>
          <t xml:space="preserve"> Unisex</t>
        </is>
      </c>
      <c r="F747" s="13" t="n">
        <v>163</v>
      </c>
      <c r="G747" s="13" t="n">
        <v>163</v>
      </c>
      <c r="H747" s="13" t="n">
        <v>122</v>
      </c>
      <c r="I747" s="13" t="n">
        <v>139</v>
      </c>
      <c r="J747" s="13" t="n">
        <v>126</v>
      </c>
      <c r="K747" s="13" t="n">
        <v>89</v>
      </c>
      <c r="L747" s="13" t="n">
        <v>112</v>
      </c>
      <c r="M747" s="13" t="n">
        <v>15</v>
      </c>
      <c r="N747" s="13" t="n">
        <v>1675</v>
      </c>
      <c r="O747" s="13" t="n">
        <v>0.98</v>
      </c>
      <c r="P747" s="13" t="n">
        <v>1650</v>
      </c>
      <c r="Q747" s="13" t="n">
        <v>155</v>
      </c>
      <c r="R747" s="13" t="n">
        <v>105</v>
      </c>
      <c r="S747" s="13" t="n">
        <v>43</v>
      </c>
      <c r="T747" s="13" t="n">
        <v>230</v>
      </c>
      <c r="U747" s="13" t="n">
        <v>20</v>
      </c>
      <c r="V747" s="13" t="n">
        <v>178</v>
      </c>
      <c r="W747" s="13" t="n">
        <v>0.479</v>
      </c>
      <c r="X747" s="13" t="n">
        <v>140</v>
      </c>
      <c r="Y747" s="13" t="n">
        <v>99</v>
      </c>
      <c r="Z747" s="13" t="n">
        <v>91</v>
      </c>
      <c r="AA747" s="13" t="n">
        <v>7</v>
      </c>
      <c r="AB747" s="13" t="n">
        <v>10.6</v>
      </c>
      <c r="AC747" s="11" t="inlineStr">
        <is>
          <t xml:space="preserve"> Resort Freeride</t>
        </is>
      </c>
      <c r="AD747" s="13" t="n"/>
      <c r="AE747" s="13" t="n"/>
      <c r="AF747" s="13" t="n"/>
      <c r="AG747" s="13" t="n"/>
    </row>
    <row r="748">
      <c r="A748" s="9" t="inlineStr">
        <is>
          <t>21/22</t>
        </is>
      </c>
      <c r="B748" s="10" t="inlineStr">
        <is>
          <t>K2</t>
        </is>
      </c>
      <c r="C748" s="11" t="inlineStr">
        <is>
          <t>Mindbender 90 Ti</t>
        </is>
      </c>
      <c r="D748" s="13" t="n">
        <v>170</v>
      </c>
      <c r="E748" s="11" t="inlineStr">
        <is>
          <t xml:space="preserve"> Unisex</t>
        </is>
      </c>
      <c r="F748" s="13" t="n">
        <v>170</v>
      </c>
      <c r="G748" s="13" t="n">
        <v>169.9</v>
      </c>
      <c r="H748" s="13" t="n">
        <v>119</v>
      </c>
      <c r="I748" s="13" t="n">
        <v>146</v>
      </c>
      <c r="J748" s="13" t="n">
        <v>127</v>
      </c>
      <c r="K748" s="13" t="n">
        <v>89</v>
      </c>
      <c r="L748" s="13" t="n">
        <v>113</v>
      </c>
      <c r="M748" s="13" t="n">
        <v>16.7</v>
      </c>
      <c r="N748" s="13" t="n">
        <v>1831</v>
      </c>
      <c r="O748" s="13" t="n">
        <v>0.9399999999999999</v>
      </c>
      <c r="P748" s="13" t="n">
        <v>1723</v>
      </c>
      <c r="Q748" s="13" t="n">
        <v>184</v>
      </c>
      <c r="R748" s="13" t="n">
        <v>120</v>
      </c>
      <c r="S748" s="13" t="n">
        <v>43</v>
      </c>
      <c r="T748" s="13" t="n">
        <v>329</v>
      </c>
      <c r="U748" s="13" t="n">
        <v>20</v>
      </c>
      <c r="V748" s="13" t="n">
        <v>180</v>
      </c>
      <c r="W748" s="13" t="n">
        <v>0.469</v>
      </c>
      <c r="X748" s="13" t="n">
        <v>139</v>
      </c>
      <c r="Y748" s="13" t="n">
        <v>98</v>
      </c>
      <c r="Z748" s="13" t="n">
        <v>190</v>
      </c>
      <c r="AA748" s="13" t="n">
        <v>4</v>
      </c>
      <c r="AB748" s="13" t="n">
        <v>10.9</v>
      </c>
      <c r="AC748" s="11" t="inlineStr">
        <is>
          <t xml:space="preserve"> Resort Freeride</t>
        </is>
      </c>
      <c r="AD748" s="13" t="n"/>
      <c r="AE748" s="13" t="n"/>
      <c r="AF748" s="13" t="n"/>
      <c r="AG748" s="13" t="n"/>
    </row>
    <row r="749">
      <c r="A749" s="9" t="inlineStr">
        <is>
          <t>21/22</t>
        </is>
      </c>
      <c r="B749" s="10" t="inlineStr">
        <is>
          <t>K2</t>
        </is>
      </c>
      <c r="C749" s="11" t="inlineStr">
        <is>
          <t>Mindbender 90 Ti</t>
        </is>
      </c>
      <c r="D749" s="13" t="n">
        <v>177</v>
      </c>
      <c r="E749" s="11" t="inlineStr">
        <is>
          <t xml:space="preserve"> Unisex</t>
        </is>
      </c>
      <c r="F749" s="13" t="n">
        <v>177</v>
      </c>
      <c r="G749" s="13" t="n">
        <v>176.9</v>
      </c>
      <c r="H749" s="13" t="n">
        <v>136</v>
      </c>
      <c r="I749" s="13" t="n">
        <v>152</v>
      </c>
      <c r="J749" s="13" t="n">
        <v>127</v>
      </c>
      <c r="K749" s="13" t="n">
        <v>89</v>
      </c>
      <c r="L749" s="13" t="n">
        <v>113</v>
      </c>
      <c r="M749" s="13" t="n">
        <v>18.2</v>
      </c>
      <c r="N749" s="13" t="n">
        <v>1906</v>
      </c>
      <c r="O749" s="13" t="n">
        <v>0.9399999999999999</v>
      </c>
      <c r="P749" s="13" t="n">
        <v>1794</v>
      </c>
      <c r="Q749" s="13" t="n">
        <v>190</v>
      </c>
      <c r="R749" s="13" t="n">
        <v>128</v>
      </c>
      <c r="S749" s="13" t="n">
        <v>41</v>
      </c>
      <c r="T749" s="13" t="n">
        <v>220</v>
      </c>
      <c r="U749" s="13" t="n">
        <v>17</v>
      </c>
      <c r="V749" s="13" t="n">
        <v>187</v>
      </c>
      <c r="W749" s="13" t="n">
        <v>0.426</v>
      </c>
      <c r="X749" s="13" t="n">
        <v>142</v>
      </c>
      <c r="Y749" s="13" t="n">
        <v>103</v>
      </c>
      <c r="Z749" s="13" t="n">
        <v>78</v>
      </c>
      <c r="AA749" s="13" t="n">
        <v>8</v>
      </c>
      <c r="AB749" s="13" t="n">
        <v>11.1</v>
      </c>
      <c r="AC749" s="11" t="inlineStr">
        <is>
          <t xml:space="preserve"> Resort Freeride</t>
        </is>
      </c>
      <c r="AD749" s="13" t="n"/>
      <c r="AE749" s="13" t="n"/>
      <c r="AF749" s="13" t="n"/>
      <c r="AG749" s="13" t="n"/>
    </row>
    <row r="750">
      <c r="A750" s="9" t="inlineStr">
        <is>
          <t>21/22</t>
        </is>
      </c>
      <c r="B750" s="10" t="inlineStr">
        <is>
          <t>K2</t>
        </is>
      </c>
      <c r="C750" s="11" t="inlineStr">
        <is>
          <t>Mindbender 90 Ti</t>
        </is>
      </c>
      <c r="D750" s="13" t="n">
        <v>184</v>
      </c>
      <c r="E750" s="11" t="inlineStr">
        <is>
          <t xml:space="preserve"> Unisex</t>
        </is>
      </c>
      <c r="F750" s="13" t="n">
        <v>184</v>
      </c>
      <c r="G750" s="13" t="n">
        <v>183.5</v>
      </c>
      <c r="H750" s="13" t="n">
        <v>143</v>
      </c>
      <c r="I750" s="13" t="n">
        <v>159</v>
      </c>
      <c r="J750" s="13" t="n">
        <v>126</v>
      </c>
      <c r="K750" s="13" t="n">
        <v>89</v>
      </c>
      <c r="L750" s="13" t="n">
        <v>113</v>
      </c>
      <c r="M750" s="13" t="n">
        <v>19.7</v>
      </c>
      <c r="N750" s="13" t="n">
        <v>2028</v>
      </c>
      <c r="O750" s="13" t="n">
        <v>0.91</v>
      </c>
      <c r="P750" s="13" t="n">
        <v>1854</v>
      </c>
      <c r="Q750" s="13" t="n">
        <v>222</v>
      </c>
      <c r="R750" s="13" t="n">
        <v>155</v>
      </c>
      <c r="S750" s="13" t="n">
        <v>47</v>
      </c>
      <c r="T750" s="13" t="n">
        <v>235</v>
      </c>
      <c r="U750" s="13" t="n">
        <v>19</v>
      </c>
      <c r="V750" s="13" t="n">
        <v>167</v>
      </c>
      <c r="W750" s="13" t="n">
        <v>0.415</v>
      </c>
      <c r="X750" s="13" t="n">
        <v>141</v>
      </c>
      <c r="Y750" s="13" t="n">
        <v>105</v>
      </c>
      <c r="Z750" s="13" t="n">
        <v>94</v>
      </c>
      <c r="AA750" s="13" t="n">
        <v>7</v>
      </c>
      <c r="AB750" s="13" t="n">
        <v>11.6</v>
      </c>
      <c r="AC750" s="11" t="inlineStr">
        <is>
          <t xml:space="preserve"> Resort Freeride</t>
        </is>
      </c>
      <c r="AD750" s="13" t="n"/>
      <c r="AE750" s="13" t="n"/>
      <c r="AF750" s="13" t="n"/>
      <c r="AG750" s="13" t="n"/>
    </row>
    <row r="751">
      <c r="A751" s="9" t="inlineStr">
        <is>
          <t>21/22</t>
        </is>
      </c>
      <c r="B751" s="10" t="inlineStr">
        <is>
          <t>K2</t>
        </is>
      </c>
      <c r="C751" s="11" t="inlineStr">
        <is>
          <t>Mindbender 90C</t>
        </is>
      </c>
      <c r="D751" s="13" t="n">
        <v>156</v>
      </c>
      <c r="E751" s="11" t="inlineStr">
        <is>
          <t xml:space="preserve"> Unisex</t>
        </is>
      </c>
      <c r="F751" s="13" t="n">
        <v>156</v>
      </c>
      <c r="G751" s="13" t="n">
        <v>156.7</v>
      </c>
      <c r="H751" s="13" t="n">
        <v>118</v>
      </c>
      <c r="I751" s="13" t="n">
        <v>130</v>
      </c>
      <c r="J751" s="13" t="n">
        <v>126</v>
      </c>
      <c r="K751" s="13" t="n">
        <v>89</v>
      </c>
      <c r="L751" s="13" t="n">
        <v>112</v>
      </c>
      <c r="M751" s="13" t="n">
        <v>13.5</v>
      </c>
      <c r="N751" s="13" t="n">
        <v>1373</v>
      </c>
      <c r="O751" s="13" t="n">
        <v>1.16</v>
      </c>
      <c r="P751" s="13" t="n">
        <v>1588</v>
      </c>
      <c r="Q751" s="13" t="n">
        <v>117</v>
      </c>
      <c r="R751" s="13" t="n">
        <v>60</v>
      </c>
      <c r="S751" s="13" t="n">
        <v>49</v>
      </c>
      <c r="T751" s="13" t="n">
        <v>225</v>
      </c>
      <c r="U751" s="13" t="n">
        <v>16</v>
      </c>
      <c r="V751" s="13" t="n">
        <v>161</v>
      </c>
      <c r="W751" s="13" t="n">
        <v>0.324</v>
      </c>
      <c r="X751" s="13" t="n">
        <v>155</v>
      </c>
      <c r="Y751" s="13" t="n">
        <v>116</v>
      </c>
      <c r="Z751" s="13" t="n">
        <v>71</v>
      </c>
      <c r="AA751" s="13" t="n">
        <v>9</v>
      </c>
      <c r="AB751" s="13" t="n">
        <v>9.699999999999999</v>
      </c>
      <c r="AC751" s="11" t="inlineStr">
        <is>
          <t xml:space="preserve"> Resort Freeride</t>
        </is>
      </c>
      <c r="AD751" s="11" t="inlineStr">
        <is>
          <t xml:space="preserve"> Touring</t>
        </is>
      </c>
      <c r="AE751" s="13" t="n"/>
      <c r="AF751" s="13" t="n"/>
      <c r="AG751" s="13" t="n"/>
    </row>
    <row r="752">
      <c r="A752" s="9" t="inlineStr">
        <is>
          <t>21/22</t>
        </is>
      </c>
      <c r="B752" s="10" t="inlineStr">
        <is>
          <t>K2</t>
        </is>
      </c>
      <c r="C752" s="11" t="inlineStr">
        <is>
          <t>Mindbender 90C</t>
        </is>
      </c>
      <c r="D752" s="13" t="n">
        <v>163</v>
      </c>
      <c r="E752" s="11" t="inlineStr">
        <is>
          <t xml:space="preserve"> Unisex</t>
        </is>
      </c>
      <c r="F752" s="13" t="n">
        <v>163</v>
      </c>
      <c r="G752" s="13" t="n">
        <v>163.6</v>
      </c>
      <c r="H752" s="13" t="n">
        <v>129</v>
      </c>
      <c r="I752" s="13" t="n">
        <v>137</v>
      </c>
      <c r="J752" s="13" t="n">
        <v>126</v>
      </c>
      <c r="K752" s="13" t="n">
        <v>89</v>
      </c>
      <c r="L752" s="13" t="n">
        <v>112</v>
      </c>
      <c r="M752" s="13" t="n">
        <v>14.6</v>
      </c>
      <c r="N752" s="13" t="n">
        <v>1462</v>
      </c>
      <c r="O752" s="13" t="n">
        <v>1.13</v>
      </c>
      <c r="P752" s="13" t="n">
        <v>1659</v>
      </c>
      <c r="Q752" s="13" t="n">
        <v>131</v>
      </c>
      <c r="R752" s="13" t="n">
        <v>68</v>
      </c>
      <c r="S752" s="13" t="n">
        <v>44</v>
      </c>
      <c r="T752" s="13" t="n">
        <v>208</v>
      </c>
      <c r="U752" s="13" t="n">
        <v>14</v>
      </c>
      <c r="V752" s="13" t="n">
        <v>141</v>
      </c>
      <c r="W752" s="13" t="n">
        <v>0.315</v>
      </c>
      <c r="X752" s="13" t="n">
        <v>156</v>
      </c>
      <c r="Y752" s="13" t="n">
        <v>111</v>
      </c>
      <c r="Z752" s="13" t="n">
        <v>52</v>
      </c>
      <c r="AA752" s="13" t="n">
        <v>8</v>
      </c>
      <c r="AB752" s="13" t="n">
        <v>10.3</v>
      </c>
      <c r="AC752" s="11" t="inlineStr">
        <is>
          <t xml:space="preserve"> Resort Freeride</t>
        </is>
      </c>
      <c r="AD752" s="11" t="inlineStr">
        <is>
          <t xml:space="preserve"> Touring</t>
        </is>
      </c>
      <c r="AE752" s="13" t="n"/>
      <c r="AF752" s="13" t="n"/>
      <c r="AG752" s="13" t="n"/>
    </row>
    <row r="753">
      <c r="A753" s="9" t="inlineStr">
        <is>
          <t>21/22</t>
        </is>
      </c>
      <c r="B753" s="10" t="inlineStr">
        <is>
          <t>K2</t>
        </is>
      </c>
      <c r="C753" s="11" t="inlineStr">
        <is>
          <t>Mindbender 90C</t>
        </is>
      </c>
      <c r="D753" s="13" t="n">
        <v>170</v>
      </c>
      <c r="E753" s="11" t="inlineStr">
        <is>
          <t xml:space="preserve"> Unisex</t>
        </is>
      </c>
      <c r="F753" s="13" t="n">
        <v>170</v>
      </c>
      <c r="G753" s="13" t="n">
        <v>170.2</v>
      </c>
      <c r="H753" s="13" t="n">
        <v>130</v>
      </c>
      <c r="I753" s="13" t="n">
        <v>142</v>
      </c>
      <c r="J753" s="13" t="n">
        <v>126</v>
      </c>
      <c r="K753" s="13" t="n">
        <v>89</v>
      </c>
      <c r="L753" s="13" t="n">
        <v>112</v>
      </c>
      <c r="M753" s="13" t="n">
        <v>16</v>
      </c>
      <c r="N753" s="13" t="n">
        <v>1562</v>
      </c>
      <c r="O753" s="13" t="n">
        <v>1.1</v>
      </c>
      <c r="P753" s="13" t="n">
        <v>1724</v>
      </c>
      <c r="Q753" s="13" t="n">
        <v>156</v>
      </c>
      <c r="R753" s="13" t="n">
        <v>80</v>
      </c>
      <c r="S753" s="13" t="n">
        <v>49</v>
      </c>
      <c r="T753" s="13" t="n">
        <v>236</v>
      </c>
      <c r="U753" s="13" t="n">
        <v>16</v>
      </c>
      <c r="V753" s="13" t="n">
        <v>171</v>
      </c>
      <c r="W753" s="13" t="n">
        <v>0.325</v>
      </c>
      <c r="X753" s="13" t="n">
        <v>155</v>
      </c>
      <c r="Y753" s="13" t="n">
        <v>126</v>
      </c>
      <c r="Z753" s="13" t="n">
        <v>81</v>
      </c>
      <c r="AA753" s="13" t="n">
        <v>7</v>
      </c>
      <c r="AB753" s="13" t="n">
        <v>10.6</v>
      </c>
      <c r="AC753" s="11" t="inlineStr">
        <is>
          <t xml:space="preserve"> Resort Freeride</t>
        </is>
      </c>
      <c r="AD753" s="11" t="inlineStr">
        <is>
          <t xml:space="preserve"> Touring</t>
        </is>
      </c>
      <c r="AE753" s="13" t="n"/>
      <c r="AF753" s="13" t="n"/>
      <c r="AG753" s="13" t="n"/>
    </row>
    <row r="754">
      <c r="A754" s="9" t="inlineStr">
        <is>
          <t>21/22</t>
        </is>
      </c>
      <c r="B754" s="10" t="inlineStr">
        <is>
          <t>K2</t>
        </is>
      </c>
      <c r="C754" s="11" t="inlineStr">
        <is>
          <t>Mindbender 90C</t>
        </is>
      </c>
      <c r="D754" s="13" t="n">
        <v>177</v>
      </c>
      <c r="E754" s="11" t="inlineStr">
        <is>
          <t xml:space="preserve"> Unisex</t>
        </is>
      </c>
      <c r="F754" s="13" t="n">
        <v>177</v>
      </c>
      <c r="G754" s="13" t="n">
        <v>177.4</v>
      </c>
      <c r="H754" s="13" t="n">
        <v>140</v>
      </c>
      <c r="I754" s="13" t="n">
        <v>149</v>
      </c>
      <c r="J754" s="13" t="n">
        <v>126</v>
      </c>
      <c r="K754" s="13" t="n">
        <v>89</v>
      </c>
      <c r="L754" s="13" t="n">
        <v>112</v>
      </c>
      <c r="M754" s="13" t="n">
        <v>17.6</v>
      </c>
      <c r="N754" s="13" t="n">
        <v>1716</v>
      </c>
      <c r="O754" s="13" t="n">
        <v>1.05</v>
      </c>
      <c r="P754" s="13" t="n">
        <v>1795</v>
      </c>
      <c r="Q754" s="13" t="n">
        <v>185</v>
      </c>
      <c r="R754" s="13" t="n">
        <v>93</v>
      </c>
      <c r="S754" s="13" t="n">
        <v>46</v>
      </c>
      <c r="T754" s="13" t="n">
        <v>216</v>
      </c>
      <c r="U754" s="13" t="n">
        <v>15</v>
      </c>
      <c r="V754" s="13" t="n">
        <v>159</v>
      </c>
      <c r="W754" s="13" t="n">
        <v>0.318</v>
      </c>
      <c r="X754" s="13" t="n">
        <v>166</v>
      </c>
      <c r="Y754" s="13" t="n">
        <v>119</v>
      </c>
      <c r="Z754" s="13" t="n">
        <v>50</v>
      </c>
      <c r="AA754" s="13" t="n">
        <v>8</v>
      </c>
      <c r="AB754" s="13" t="n">
        <v>11</v>
      </c>
      <c r="AC754" s="11" t="inlineStr">
        <is>
          <t xml:space="preserve"> Resort Freeride</t>
        </is>
      </c>
      <c r="AD754" s="13" t="n"/>
      <c r="AE754" s="13" t="n"/>
      <c r="AF754" s="13" t="n"/>
      <c r="AG754" s="13" t="n"/>
    </row>
    <row r="755">
      <c r="A755" s="9" t="inlineStr">
        <is>
          <t>21/22</t>
        </is>
      </c>
      <c r="B755" s="10" t="inlineStr">
        <is>
          <t>K2</t>
        </is>
      </c>
      <c r="C755" s="11" t="inlineStr">
        <is>
          <t>Mindbender 98 Ti Alliance</t>
        </is>
      </c>
      <c r="D755" s="13" t="n">
        <v>154</v>
      </c>
      <c r="E755" s="11" t="inlineStr">
        <is>
          <t xml:space="preserve"> Women's</t>
        </is>
      </c>
      <c r="F755" s="13" t="n">
        <v>154</v>
      </c>
      <c r="G755" s="13" t="n">
        <v>154.1</v>
      </c>
      <c r="H755" s="13" t="n">
        <v>108</v>
      </c>
      <c r="I755" s="13" t="n">
        <v>126</v>
      </c>
      <c r="J755" s="13" t="n">
        <v>133</v>
      </c>
      <c r="K755" s="13" t="n">
        <v>98</v>
      </c>
      <c r="L755" s="13" t="n">
        <v>119</v>
      </c>
      <c r="M755" s="13" t="n">
        <v>13.1</v>
      </c>
      <c r="N755" s="13" t="n">
        <v>1594</v>
      </c>
      <c r="O755" s="13" t="n">
        <v>1.06</v>
      </c>
      <c r="P755" s="13" t="n">
        <v>1683</v>
      </c>
      <c r="Q755" s="13" t="n">
        <v>117</v>
      </c>
      <c r="R755" s="13" t="n">
        <v>84</v>
      </c>
      <c r="S755" s="13" t="n">
        <v>44</v>
      </c>
      <c r="T755" s="13" t="n">
        <v>296</v>
      </c>
      <c r="U755" s="13" t="n">
        <v>14</v>
      </c>
      <c r="V755" s="13" t="n">
        <v>168</v>
      </c>
      <c r="W755" s="13" t="n">
        <v>0.324</v>
      </c>
      <c r="X755" s="13" t="n">
        <v>157</v>
      </c>
      <c r="Y755" s="13" t="n">
        <v>122</v>
      </c>
      <c r="Z755" s="13" t="n">
        <v>138</v>
      </c>
      <c r="AA755" s="13" t="n">
        <v>7</v>
      </c>
      <c r="AB755" s="13" t="n">
        <v>9.800000000000001</v>
      </c>
      <c r="AC755" s="11" t="inlineStr">
        <is>
          <t xml:space="preserve"> Resort Freeride</t>
        </is>
      </c>
      <c r="AD755" s="11" t="inlineStr">
        <is>
          <t xml:space="preserve"> Touring</t>
        </is>
      </c>
      <c r="AE755" s="13" t="n"/>
      <c r="AF755" s="13" t="n"/>
      <c r="AG755" s="13" t="n"/>
    </row>
    <row r="756">
      <c r="A756" s="9" t="inlineStr">
        <is>
          <t>21/22</t>
        </is>
      </c>
      <c r="B756" s="10" t="inlineStr">
        <is>
          <t>K2</t>
        </is>
      </c>
      <c r="C756" s="11" t="inlineStr">
        <is>
          <t>Mindbender 98 Ti Alliance</t>
        </is>
      </c>
      <c r="D756" s="13" t="n">
        <v>161</v>
      </c>
      <c r="E756" s="11" t="inlineStr">
        <is>
          <t xml:space="preserve"> Women's</t>
        </is>
      </c>
      <c r="F756" s="13" t="n">
        <v>161</v>
      </c>
      <c r="G756" s="13" t="n">
        <v>161.1</v>
      </c>
      <c r="H756" s="13" t="n">
        <v>114</v>
      </c>
      <c r="I756" s="13" t="n">
        <v>133</v>
      </c>
      <c r="J756" s="13" t="n">
        <v>133</v>
      </c>
      <c r="K756" s="13" t="n">
        <v>97</v>
      </c>
      <c r="L756" s="13" t="n">
        <v>119</v>
      </c>
      <c r="M756" s="13" t="n">
        <v>14.6</v>
      </c>
      <c r="N756" s="13" t="n">
        <v>1700</v>
      </c>
      <c r="O756" s="13" t="n">
        <v>1.03</v>
      </c>
      <c r="P756" s="13" t="n">
        <v>1752</v>
      </c>
      <c r="Q756" s="13" t="n">
        <v>144</v>
      </c>
      <c r="R756" s="13" t="n">
        <v>91</v>
      </c>
      <c r="S756" s="13" t="n">
        <v>48</v>
      </c>
      <c r="T756" s="13" t="n">
        <v>287</v>
      </c>
      <c r="U756" s="13" t="n">
        <v>15</v>
      </c>
      <c r="V756" s="13" t="n">
        <v>180</v>
      </c>
      <c r="W756" s="13" t="n">
        <v>0.309</v>
      </c>
      <c r="X756" s="13" t="n">
        <v>157</v>
      </c>
      <c r="Y756" s="13" t="n">
        <v>120</v>
      </c>
      <c r="Z756" s="13" t="n">
        <v>130</v>
      </c>
      <c r="AA756" s="13" t="n">
        <v>7</v>
      </c>
      <c r="AB756" s="13" t="n">
        <v>10.7</v>
      </c>
      <c r="AC756" s="11" t="inlineStr">
        <is>
          <t xml:space="preserve"> Resort Freeride</t>
        </is>
      </c>
      <c r="AD756" s="13" t="n"/>
      <c r="AE756" s="13" t="n"/>
      <c r="AF756" s="13" t="n"/>
      <c r="AG756" s="13" t="n"/>
    </row>
    <row r="757">
      <c r="A757" s="9" t="inlineStr">
        <is>
          <t>21/22</t>
        </is>
      </c>
      <c r="B757" s="10" t="inlineStr">
        <is>
          <t>K2</t>
        </is>
      </c>
      <c r="C757" s="11" t="inlineStr">
        <is>
          <t>Mindbender 98 Ti Alliance</t>
        </is>
      </c>
      <c r="D757" s="13" t="n">
        <v>168</v>
      </c>
      <c r="E757" s="11" t="inlineStr">
        <is>
          <t xml:space="preserve"> Women's</t>
        </is>
      </c>
      <c r="F757" s="13" t="n">
        <v>168</v>
      </c>
      <c r="G757" s="13" t="n">
        <v>167.8</v>
      </c>
      <c r="H757" s="13" t="n">
        <v>119</v>
      </c>
      <c r="I757" s="13" t="n">
        <v>139</v>
      </c>
      <c r="J757" s="13" t="n">
        <v>132</v>
      </c>
      <c r="K757" s="13" t="n">
        <v>97</v>
      </c>
      <c r="L757" s="13" t="n">
        <v>118</v>
      </c>
      <c r="M757" s="13" t="n">
        <v>16.3</v>
      </c>
      <c r="N757" s="13" t="n">
        <v>1803</v>
      </c>
      <c r="O757" s="13" t="n">
        <v>1.01</v>
      </c>
      <c r="P757" s="13" t="n">
        <v>1823</v>
      </c>
      <c r="Q757" s="13" t="n">
        <v>169</v>
      </c>
      <c r="R757" s="13" t="n">
        <v>106</v>
      </c>
      <c r="S757" s="13" t="n">
        <v>51</v>
      </c>
      <c r="T757" s="13" t="n">
        <v>294</v>
      </c>
      <c r="U757" s="13" t="n">
        <v>19</v>
      </c>
      <c r="V757" s="13" t="n">
        <v>197</v>
      </c>
      <c r="W757" s="13" t="n">
        <v>0.374</v>
      </c>
      <c r="X757" s="13" t="n">
        <v>157</v>
      </c>
      <c r="Y757" s="13" t="n">
        <v>128</v>
      </c>
      <c r="Z757" s="13" t="n">
        <v>137</v>
      </c>
      <c r="AA757" s="13" t="n">
        <v>7</v>
      </c>
      <c r="AB757" s="13" t="n">
        <v>10.3</v>
      </c>
      <c r="AC757" s="11" t="inlineStr">
        <is>
          <t xml:space="preserve"> Resort Freeride</t>
        </is>
      </c>
      <c r="AD757" s="13" t="n"/>
      <c r="AE757" s="13" t="n"/>
      <c r="AF757" s="13" t="n"/>
      <c r="AG757" s="13" t="n"/>
    </row>
    <row r="758">
      <c r="A758" s="9" t="inlineStr">
        <is>
          <t>21/22</t>
        </is>
      </c>
      <c r="B758" s="10" t="inlineStr">
        <is>
          <t>K2</t>
        </is>
      </c>
      <c r="C758" s="11" t="inlineStr">
        <is>
          <t>Mindbender 99 Ti</t>
        </is>
      </c>
      <c r="D758" s="13" t="n">
        <v>170</v>
      </c>
      <c r="E758" s="11" t="inlineStr">
        <is>
          <t xml:space="preserve"> Unisex</t>
        </is>
      </c>
      <c r="F758" s="13" t="n">
        <v>170</v>
      </c>
      <c r="G758" s="13" t="n">
        <v>169.9</v>
      </c>
      <c r="H758" s="13" t="n">
        <v>117</v>
      </c>
      <c r="I758" s="13" t="n">
        <v>143</v>
      </c>
      <c r="J758" s="13" t="n">
        <v>137</v>
      </c>
      <c r="K758" s="13" t="n">
        <v>98</v>
      </c>
      <c r="L758" s="13" t="n">
        <v>122</v>
      </c>
      <c r="M758" s="13" t="n">
        <v>16</v>
      </c>
      <c r="N758" s="13" t="n">
        <v>1901</v>
      </c>
      <c r="O758" s="13" t="n">
        <v>0.99</v>
      </c>
      <c r="P758" s="13" t="n">
        <v>1875</v>
      </c>
      <c r="Q758" s="13" t="n">
        <v>164</v>
      </c>
      <c r="R758" s="13" t="n">
        <v>107</v>
      </c>
      <c r="S758" s="13" t="n">
        <v>50</v>
      </c>
      <c r="T758" s="13" t="n">
        <v>315</v>
      </c>
      <c r="U758" s="13" t="n">
        <v>16</v>
      </c>
      <c r="V758" s="13" t="n">
        <v>215</v>
      </c>
      <c r="W758" s="13" t="n">
        <v>0.316</v>
      </c>
      <c r="X758" s="13" t="n">
        <v>154</v>
      </c>
      <c r="Y758" s="13" t="n">
        <v>117</v>
      </c>
      <c r="Z758" s="13" t="n">
        <v>161</v>
      </c>
      <c r="AA758" s="13" t="n">
        <v>6</v>
      </c>
      <c r="AB758" s="13" t="n">
        <v>10.8</v>
      </c>
      <c r="AC758" s="11" t="inlineStr">
        <is>
          <t xml:space="preserve"> Resort Freeride</t>
        </is>
      </c>
      <c r="AD758" s="13" t="n"/>
      <c r="AE758" s="13" t="n"/>
      <c r="AF758" s="13" t="n"/>
      <c r="AG758" s="13" t="n"/>
    </row>
    <row r="759">
      <c r="A759" s="9" t="inlineStr">
        <is>
          <t>21/22</t>
        </is>
      </c>
      <c r="B759" s="10" t="inlineStr">
        <is>
          <t>K2</t>
        </is>
      </c>
      <c r="C759" s="11" t="inlineStr">
        <is>
          <t>Mindbender 99 Ti</t>
        </is>
      </c>
      <c r="D759" s="13" t="n">
        <v>177</v>
      </c>
      <c r="E759" s="11" t="inlineStr">
        <is>
          <t xml:space="preserve"> Unisex</t>
        </is>
      </c>
      <c r="F759" s="13" t="n">
        <v>177</v>
      </c>
      <c r="G759" s="13" t="n">
        <v>176.9</v>
      </c>
      <c r="H759" s="13" t="n">
        <v>125</v>
      </c>
      <c r="I759" s="13" t="n">
        <v>150</v>
      </c>
      <c r="J759" s="13" t="n">
        <v>137</v>
      </c>
      <c r="K759" s="13" t="n">
        <v>99</v>
      </c>
      <c r="L759" s="13" t="n">
        <v>122</v>
      </c>
      <c r="M759" s="13" t="n">
        <v>17.5</v>
      </c>
      <c r="N759" s="13" t="n">
        <v>2031</v>
      </c>
      <c r="O759" s="13" t="n">
        <v>0.96</v>
      </c>
      <c r="P759" s="13" t="n">
        <v>1957</v>
      </c>
      <c r="Q759" s="13" t="n">
        <v>202</v>
      </c>
      <c r="R759" s="13" t="n">
        <v>122</v>
      </c>
      <c r="S759" s="13" t="n">
        <v>49</v>
      </c>
      <c r="T759" s="13" t="n">
        <v>319</v>
      </c>
      <c r="U759" s="13" t="n">
        <v>15</v>
      </c>
      <c r="V759" s="13" t="n">
        <v>202</v>
      </c>
      <c r="W759" s="13" t="n">
        <v>0.294</v>
      </c>
      <c r="X759" s="13" t="n">
        <v>152</v>
      </c>
      <c r="Y759" s="13" t="n">
        <v>122</v>
      </c>
      <c r="Z759" s="13" t="n">
        <v>167</v>
      </c>
      <c r="AA759" s="13" t="n">
        <v>7</v>
      </c>
      <c r="AB759" s="13" t="n">
        <v>11</v>
      </c>
      <c r="AC759" s="11" t="inlineStr">
        <is>
          <t xml:space="preserve"> Resort Freeride</t>
        </is>
      </c>
      <c r="AD759" s="13" t="n"/>
      <c r="AE759" s="13" t="n"/>
      <c r="AF759" s="13" t="n"/>
      <c r="AG759" s="13" t="n"/>
    </row>
    <row r="760">
      <c r="A760" s="9" t="inlineStr">
        <is>
          <t>21/22</t>
        </is>
      </c>
      <c r="B760" s="10" t="inlineStr">
        <is>
          <t>K2</t>
        </is>
      </c>
      <c r="C760" s="11" t="inlineStr">
        <is>
          <t>Mindbender 99 Ti</t>
        </is>
      </c>
      <c r="D760" s="13" t="n">
        <v>184</v>
      </c>
      <c r="E760" s="11" t="inlineStr">
        <is>
          <t xml:space="preserve"> Unisex</t>
        </is>
      </c>
      <c r="F760" s="13" t="n">
        <v>184</v>
      </c>
      <c r="G760" s="13" t="n">
        <v>183.8</v>
      </c>
      <c r="H760" s="13" t="n">
        <v>134</v>
      </c>
      <c r="I760" s="13" t="n">
        <v>157</v>
      </c>
      <c r="J760" s="13" t="n">
        <v>137</v>
      </c>
      <c r="K760" s="13" t="n">
        <v>98</v>
      </c>
      <c r="L760" s="13" t="n">
        <v>122</v>
      </c>
      <c r="M760" s="13" t="n">
        <v>19.2</v>
      </c>
      <c r="N760" s="13" t="n">
        <v>2191</v>
      </c>
      <c r="O760" s="13" t="n">
        <v>0.93</v>
      </c>
      <c r="P760" s="13" t="n">
        <v>2027</v>
      </c>
      <c r="Q760" s="13" t="n">
        <v>228</v>
      </c>
      <c r="R760" s="13" t="n">
        <v>136</v>
      </c>
      <c r="S760" s="13" t="n">
        <v>50</v>
      </c>
      <c r="T760" s="13" t="n">
        <v>312</v>
      </c>
      <c r="U760" s="13" t="n">
        <v>17</v>
      </c>
      <c r="V760" s="13" t="n">
        <v>190</v>
      </c>
      <c r="W760" s="13" t="n">
        <v>0.329</v>
      </c>
      <c r="X760" s="13" t="n">
        <v>149</v>
      </c>
      <c r="Y760" s="13" t="n">
        <v>120</v>
      </c>
      <c r="Z760" s="13" t="n">
        <v>163</v>
      </c>
      <c r="AA760" s="13" t="n">
        <v>7</v>
      </c>
      <c r="AB760" s="13" t="n">
        <v>11.3</v>
      </c>
      <c r="AC760" s="11" t="inlineStr">
        <is>
          <t xml:space="preserve"> Resort Freeride</t>
        </is>
      </c>
      <c r="AD760" s="13" t="n"/>
      <c r="AE760" s="13" t="n"/>
      <c r="AF760" s="13" t="n"/>
      <c r="AG760" s="13" t="n"/>
    </row>
    <row r="761">
      <c r="A761" s="9" t="inlineStr">
        <is>
          <t>21/22</t>
        </is>
      </c>
      <c r="B761" s="10" t="inlineStr">
        <is>
          <t>K2</t>
        </is>
      </c>
      <c r="C761" s="11" t="inlineStr">
        <is>
          <t>Mindbender 99 Ti</t>
        </is>
      </c>
      <c r="D761" s="13" t="n">
        <v>191</v>
      </c>
      <c r="E761" s="11" t="inlineStr">
        <is>
          <t xml:space="preserve"> Unisex</t>
        </is>
      </c>
      <c r="F761" s="13" t="n">
        <v>191</v>
      </c>
      <c r="G761" s="13" t="n">
        <v>190.8</v>
      </c>
      <c r="H761" s="13" t="n">
        <v>143</v>
      </c>
      <c r="I761" s="13" t="n">
        <v>163</v>
      </c>
      <c r="J761" s="13" t="n">
        <v>137</v>
      </c>
      <c r="K761" s="13" t="n">
        <v>98</v>
      </c>
      <c r="L761" s="13" t="n">
        <v>122</v>
      </c>
      <c r="M761" s="13" t="n">
        <v>20.8</v>
      </c>
      <c r="N761" s="13" t="n">
        <v>2358</v>
      </c>
      <c r="O761" s="13" t="n">
        <v>0.89</v>
      </c>
      <c r="P761" s="13" t="n">
        <v>2098</v>
      </c>
      <c r="Q761" s="13" t="n">
        <v>314</v>
      </c>
      <c r="R761" s="13" t="n">
        <v>180</v>
      </c>
      <c r="S761" s="13" t="n">
        <v>53</v>
      </c>
      <c r="T761" s="13" t="n">
        <v>301</v>
      </c>
      <c r="U761" s="13" t="n">
        <v>17</v>
      </c>
      <c r="V761" s="13" t="n">
        <v>182</v>
      </c>
      <c r="W761" s="13" t="n">
        <v>0.324</v>
      </c>
      <c r="X761" s="13" t="n">
        <v>151</v>
      </c>
      <c r="Y761" s="13" t="n">
        <v>123</v>
      </c>
      <c r="Z761" s="13" t="n">
        <v>149</v>
      </c>
      <c r="AA761" s="13" t="n">
        <v>8</v>
      </c>
      <c r="AB761" s="13" t="n">
        <v>12</v>
      </c>
      <c r="AC761" s="11" t="inlineStr">
        <is>
          <t xml:space="preserve"> Resort Freeride</t>
        </is>
      </c>
      <c r="AD761" s="13" t="n"/>
      <c r="AE761" s="13" t="n"/>
      <c r="AF761" s="13" t="n"/>
      <c r="AG761" s="13" t="n"/>
    </row>
    <row r="762">
      <c r="A762" s="9" t="inlineStr">
        <is>
          <t>21/22</t>
        </is>
      </c>
      <c r="B762" s="10" t="inlineStr">
        <is>
          <t>K2</t>
        </is>
      </c>
      <c r="C762" s="11" t="inlineStr">
        <is>
          <t xml:space="preserve"> Mindbender Team</t>
        </is>
      </c>
      <c r="D762" s="13" t="n">
        <v>145</v>
      </c>
      <c r="E762" s="11" t="inlineStr">
        <is>
          <t xml:space="preserve"> Junior</t>
        </is>
      </c>
      <c r="F762" s="13" t="n">
        <v>145</v>
      </c>
      <c r="G762" s="13" t="n">
        <v>145.1</v>
      </c>
      <c r="H762" s="13" t="n">
        <v>95</v>
      </c>
      <c r="I762" s="13" t="n">
        <v>110</v>
      </c>
      <c r="J762" s="13" t="n">
        <v>126</v>
      </c>
      <c r="K762" s="13" t="n">
        <v>98</v>
      </c>
      <c r="L762" s="13" t="n">
        <v>116</v>
      </c>
      <c r="M762" s="13" t="n">
        <v>12.2</v>
      </c>
      <c r="N762" s="13" t="n">
        <v>1310</v>
      </c>
      <c r="O762" s="13" t="n">
        <v>1.19</v>
      </c>
      <c r="P762" s="13" t="n">
        <v>1554</v>
      </c>
      <c r="Q762" s="13" t="n">
        <v>112</v>
      </c>
      <c r="R762" s="13" t="n">
        <v>70</v>
      </c>
      <c r="S762" s="13" t="n">
        <v>43</v>
      </c>
      <c r="T762" s="13" t="n">
        <v>310</v>
      </c>
      <c r="U762" s="13" t="n">
        <v>16</v>
      </c>
      <c r="V762" s="13" t="n">
        <v>192</v>
      </c>
      <c r="W762" s="13" t="n">
        <v>0.384</v>
      </c>
      <c r="X762" s="13" t="n">
        <v>192</v>
      </c>
      <c r="Y762" s="13" t="n">
        <v>156</v>
      </c>
      <c r="Z762" s="13" t="n">
        <v>119</v>
      </c>
      <c r="AA762" s="13" t="n">
        <v>4</v>
      </c>
      <c r="AB762" s="13" t="n">
        <v>8.1</v>
      </c>
      <c r="AC762" s="11" t="inlineStr">
        <is>
          <t xml:space="preserve"> Resort Freeride</t>
        </is>
      </c>
      <c r="AD762" s="11" t="inlineStr">
        <is>
          <t xml:space="preserve"> Touring</t>
        </is>
      </c>
      <c r="AE762" s="13" t="n"/>
      <c r="AF762" s="13" t="n"/>
      <c r="AG762" s="13" t="n"/>
    </row>
    <row r="763">
      <c r="A763" s="9" t="inlineStr">
        <is>
          <t>21/22</t>
        </is>
      </c>
      <c r="B763" s="10" t="inlineStr">
        <is>
          <t>K2</t>
        </is>
      </c>
      <c r="C763" s="11" t="inlineStr">
        <is>
          <t xml:space="preserve"> Mindbender Team</t>
        </is>
      </c>
      <c r="D763" s="13" t="n">
        <v>165</v>
      </c>
      <c r="E763" s="11" t="inlineStr">
        <is>
          <t xml:space="preserve"> Junior</t>
        </is>
      </c>
      <c r="F763" s="13" t="n">
        <v>165</v>
      </c>
      <c r="G763" s="13" t="n">
        <v>165.4</v>
      </c>
      <c r="H763" s="13" t="n">
        <v>109</v>
      </c>
      <c r="I763" s="13" t="n">
        <v>129</v>
      </c>
      <c r="J763" s="13" t="n">
        <v>126</v>
      </c>
      <c r="K763" s="13" t="n">
        <v>97</v>
      </c>
      <c r="L763" s="13" t="n">
        <v>115</v>
      </c>
      <c r="M763" s="13" t="n">
        <v>16.7</v>
      </c>
      <c r="N763" s="13" t="n">
        <v>1603</v>
      </c>
      <c r="O763" s="13" t="n">
        <v>1.1</v>
      </c>
      <c r="P763" s="13" t="n">
        <v>1765</v>
      </c>
      <c r="Q763" s="13" t="n">
        <v>167</v>
      </c>
      <c r="R763" s="13" t="n">
        <v>86</v>
      </c>
      <c r="S763" s="13" t="n">
        <v>45</v>
      </c>
      <c r="T763" s="13" t="n">
        <v>351</v>
      </c>
      <c r="U763" s="13" t="n">
        <v>19</v>
      </c>
      <c r="V763" s="13" t="n">
        <v>214</v>
      </c>
      <c r="W763" s="13" t="n">
        <v>0.434</v>
      </c>
      <c r="X763" s="13" t="n">
        <v>197</v>
      </c>
      <c r="Y763" s="13" t="n">
        <v>169</v>
      </c>
      <c r="Z763" s="13" t="n">
        <v>154</v>
      </c>
      <c r="AA763" s="13" t="n">
        <v>5</v>
      </c>
      <c r="AB763" s="13" t="n">
        <v>9.6</v>
      </c>
      <c r="AC763" s="11" t="inlineStr">
        <is>
          <t xml:space="preserve"> Resort Freeride</t>
        </is>
      </c>
      <c r="AD763" s="11" t="inlineStr">
        <is>
          <t xml:space="preserve"> Touring</t>
        </is>
      </c>
      <c r="AE763" s="13" t="n"/>
      <c r="AF763" s="13" t="n"/>
      <c r="AG763" s="13" t="n"/>
    </row>
    <row r="764">
      <c r="A764" s="9" t="inlineStr">
        <is>
          <t>21/22</t>
        </is>
      </c>
      <c r="B764" s="10" t="inlineStr">
        <is>
          <t>K2</t>
        </is>
      </c>
      <c r="C764" s="11" t="inlineStr">
        <is>
          <t xml:space="preserve"> Poacher</t>
        </is>
      </c>
      <c r="D764" s="13" t="n">
        <v>163</v>
      </c>
      <c r="E764" s="11" t="inlineStr">
        <is>
          <t xml:space="preserve"> Unisex</t>
        </is>
      </c>
      <c r="F764" s="13" t="n">
        <v>163</v>
      </c>
      <c r="G764" s="13" t="n">
        <v>160.6</v>
      </c>
      <c r="H764" s="13" t="n">
        <v>98</v>
      </c>
      <c r="I764" s="13" t="n">
        <v>123</v>
      </c>
      <c r="J764" s="13" t="n">
        <v>123</v>
      </c>
      <c r="K764" s="13" t="n">
        <v>95</v>
      </c>
      <c r="L764" s="13" t="n">
        <v>117</v>
      </c>
      <c r="M764" s="13" t="n">
        <v>13.7</v>
      </c>
      <c r="N764" s="13" t="n">
        <v>1883</v>
      </c>
      <c r="O764" s="13" t="n">
        <v>0.9</v>
      </c>
      <c r="P764" s="13" t="n">
        <v>1685</v>
      </c>
      <c r="Q764" s="13" t="n">
        <v>207</v>
      </c>
      <c r="R764" s="13" t="n">
        <v>110</v>
      </c>
      <c r="S764" s="13" t="n">
        <v>40</v>
      </c>
      <c r="T764" s="13" t="n">
        <v>306</v>
      </c>
      <c r="U764" s="13" t="n">
        <v>40</v>
      </c>
      <c r="V764" s="13" t="n">
        <v>317</v>
      </c>
      <c r="W764" s="13" t="n">
        <v>1.004</v>
      </c>
      <c r="X764" s="13" t="n">
        <v>182</v>
      </c>
      <c r="Y764" s="13" t="n">
        <v>192</v>
      </c>
      <c r="Z764" s="13" t="n">
        <v>125</v>
      </c>
      <c r="AA764" s="13" t="n">
        <v>6</v>
      </c>
      <c r="AB764" s="13" t="n">
        <v>5</v>
      </c>
      <c r="AC764" s="11" t="inlineStr">
        <is>
          <t xml:space="preserve"> Freeski</t>
        </is>
      </c>
      <c r="AD764" s="13" t="n"/>
      <c r="AE764" s="13" t="n"/>
      <c r="AF764" s="13" t="n"/>
      <c r="AG764" s="13" t="n"/>
    </row>
    <row r="765">
      <c r="A765" s="9" t="inlineStr">
        <is>
          <t>21/22</t>
        </is>
      </c>
      <c r="B765" s="10" t="inlineStr">
        <is>
          <t>K2</t>
        </is>
      </c>
      <c r="C765" s="11" t="inlineStr">
        <is>
          <t xml:space="preserve"> Poacher</t>
        </is>
      </c>
      <c r="D765" s="13" t="n">
        <v>170</v>
      </c>
      <c r="E765" s="11" t="inlineStr">
        <is>
          <t xml:space="preserve"> Unisex</t>
        </is>
      </c>
      <c r="F765" s="13" t="n">
        <v>170</v>
      </c>
      <c r="G765" s="13" t="n">
        <v>168.2</v>
      </c>
      <c r="H765" s="13" t="n">
        <v>97</v>
      </c>
      <c r="I765" s="13" t="n">
        <v>131</v>
      </c>
      <c r="J765" s="13" t="n">
        <v>123</v>
      </c>
      <c r="K765" s="13" t="n">
        <v>95</v>
      </c>
      <c r="L765" s="13" t="n">
        <v>117</v>
      </c>
      <c r="M765" s="13" t="n">
        <v>15.4</v>
      </c>
      <c r="N765" s="13" t="n">
        <v>1935</v>
      </c>
      <c r="O765" s="13" t="n">
        <v>0.91</v>
      </c>
      <c r="P765" s="13" t="n">
        <v>1769</v>
      </c>
      <c r="Q765" s="13" t="n">
        <v>202</v>
      </c>
      <c r="R765" s="13" t="n">
        <v>104</v>
      </c>
      <c r="S765" s="13" t="n">
        <v>43</v>
      </c>
      <c r="T765" s="13" t="n">
        <v>368</v>
      </c>
      <c r="U765" s="13" t="n">
        <v>42</v>
      </c>
      <c r="V765" s="13" t="n">
        <v>340</v>
      </c>
      <c r="W765" s="13" t="n">
        <v>0.984</v>
      </c>
      <c r="X765" s="13" t="n">
        <v>188</v>
      </c>
      <c r="Y765" s="13" t="n">
        <v>185</v>
      </c>
      <c r="Z765" s="13" t="n">
        <v>180</v>
      </c>
      <c r="AA765" s="13" t="n">
        <v>5</v>
      </c>
      <c r="AB765" s="13" t="n">
        <v>5.3</v>
      </c>
      <c r="AC765" s="11" t="inlineStr">
        <is>
          <t xml:space="preserve"> Freeski</t>
        </is>
      </c>
      <c r="AD765" s="13" t="n"/>
      <c r="AE765" s="13" t="n"/>
      <c r="AF765" s="13" t="n"/>
      <c r="AG765" s="13" t="n"/>
    </row>
    <row r="766">
      <c r="A766" s="9" t="inlineStr">
        <is>
          <t>21/22</t>
        </is>
      </c>
      <c r="B766" s="10" t="inlineStr">
        <is>
          <t>K2</t>
        </is>
      </c>
      <c r="C766" s="11" t="inlineStr">
        <is>
          <t xml:space="preserve"> Poacher</t>
        </is>
      </c>
      <c r="D766" s="13" t="n">
        <v>177</v>
      </c>
      <c r="E766" s="11" t="inlineStr">
        <is>
          <t xml:space="preserve"> Unisex</t>
        </is>
      </c>
      <c r="F766" s="13" t="n">
        <v>177</v>
      </c>
      <c r="G766" s="13" t="n">
        <v>175.6</v>
      </c>
      <c r="H766" s="13" t="n">
        <v>106</v>
      </c>
      <c r="I766" s="13" t="n">
        <v>138</v>
      </c>
      <c r="J766" s="13" t="n">
        <v>123</v>
      </c>
      <c r="K766" s="13" t="n">
        <v>95</v>
      </c>
      <c r="L766" s="13" t="n">
        <v>117</v>
      </c>
      <c r="M766" s="13" t="n">
        <v>17.3</v>
      </c>
      <c r="N766" s="13" t="n">
        <v>2037</v>
      </c>
      <c r="O766" s="13" t="n">
        <v>0.91</v>
      </c>
      <c r="P766" s="13" t="n">
        <v>1847</v>
      </c>
      <c r="Q766" s="13" t="n">
        <v>233</v>
      </c>
      <c r="R766" s="13" t="n">
        <v>108</v>
      </c>
      <c r="S766" s="13" t="n">
        <v>41</v>
      </c>
      <c r="T766" s="13" t="n">
        <v>328</v>
      </c>
      <c r="U766" s="13" t="n">
        <v>38</v>
      </c>
      <c r="V766" s="13" t="n">
        <v>370</v>
      </c>
      <c r="W766" s="13" t="n">
        <v>0.929</v>
      </c>
      <c r="X766" s="13" t="n">
        <v>190</v>
      </c>
      <c r="Y766" s="13" t="n">
        <v>184</v>
      </c>
      <c r="Z766" s="13" t="n">
        <v>137</v>
      </c>
      <c r="AA766" s="13" t="n">
        <v>6</v>
      </c>
      <c r="AB766" s="13" t="n">
        <v>5.5</v>
      </c>
      <c r="AC766" s="11" t="inlineStr">
        <is>
          <t xml:space="preserve"> Freeski</t>
        </is>
      </c>
      <c r="AD766" s="13" t="n"/>
      <c r="AE766" s="13" t="n"/>
      <c r="AF766" s="13" t="n"/>
      <c r="AG766" s="13" t="n"/>
    </row>
    <row r="767">
      <c r="A767" s="9" t="inlineStr">
        <is>
          <t>21/22</t>
        </is>
      </c>
      <c r="B767" s="10" t="inlineStr">
        <is>
          <t>K2</t>
        </is>
      </c>
      <c r="C767" s="11" t="inlineStr">
        <is>
          <t xml:space="preserve"> Poacher</t>
        </is>
      </c>
      <c r="D767" s="13" t="n">
        <v>184</v>
      </c>
      <c r="E767" s="11" t="inlineStr">
        <is>
          <t xml:space="preserve"> Unisex</t>
        </is>
      </c>
      <c r="F767" s="13" t="n">
        <v>184</v>
      </c>
      <c r="G767" s="13" t="n">
        <v>182.9</v>
      </c>
      <c r="H767" s="13" t="n">
        <v>110</v>
      </c>
      <c r="I767" s="13" t="n">
        <v>145</v>
      </c>
      <c r="J767" s="13" t="n">
        <v>124</v>
      </c>
      <c r="K767" s="13" t="n">
        <v>95</v>
      </c>
      <c r="L767" s="13" t="n">
        <v>117</v>
      </c>
      <c r="M767" s="13" t="n">
        <v>18.9</v>
      </c>
      <c r="N767" s="13" t="n">
        <v>2094</v>
      </c>
      <c r="O767" s="13" t="n">
        <v>0.92</v>
      </c>
      <c r="P767" s="13" t="n">
        <v>1922</v>
      </c>
      <c r="Q767" s="13" t="n">
        <v>212</v>
      </c>
      <c r="R767" s="13" t="n">
        <v>95</v>
      </c>
      <c r="S767" s="13" t="n">
        <v>42</v>
      </c>
      <c r="T767" s="13" t="n">
        <v>358</v>
      </c>
      <c r="U767" s="13" t="n">
        <v>39</v>
      </c>
      <c r="V767" s="13" t="n">
        <v>374</v>
      </c>
      <c r="W767" s="13" t="n">
        <v>0.925</v>
      </c>
      <c r="X767" s="13" t="n">
        <v>186</v>
      </c>
      <c r="Y767" s="13" t="n">
        <v>190</v>
      </c>
      <c r="Z767" s="13" t="n">
        <v>172</v>
      </c>
      <c r="AA767" s="13" t="n">
        <v>6</v>
      </c>
      <c r="AB767" s="13" t="n">
        <v>5.9</v>
      </c>
      <c r="AC767" s="11" t="inlineStr">
        <is>
          <t xml:space="preserve"> Freeski</t>
        </is>
      </c>
      <c r="AD767" s="13" t="n"/>
      <c r="AE767" s="13" t="n"/>
      <c r="AF767" s="13" t="n"/>
      <c r="AG767" s="13" t="n"/>
    </row>
    <row r="768">
      <c r="A768" s="9" t="inlineStr">
        <is>
          <t>21/22</t>
        </is>
      </c>
      <c r="B768" s="10" t="inlineStr">
        <is>
          <t>K2</t>
        </is>
      </c>
      <c r="C768" s="11" t="inlineStr">
        <is>
          <t xml:space="preserve"> Press</t>
        </is>
      </c>
      <c r="D768" s="13" t="n">
        <v>169</v>
      </c>
      <c r="E768" s="11" t="inlineStr">
        <is>
          <t xml:space="preserve"> Unisex</t>
        </is>
      </c>
      <c r="F768" s="13" t="n">
        <v>169</v>
      </c>
      <c r="G768" s="13" t="n">
        <v>169.1</v>
      </c>
      <c r="H768" s="13" t="n">
        <v>123</v>
      </c>
      <c r="I768" s="13" t="n">
        <v>135</v>
      </c>
      <c r="J768" s="13" t="n">
        <v>111</v>
      </c>
      <c r="K768" s="13" t="n">
        <v>85</v>
      </c>
      <c r="L768" s="13" t="n">
        <v>106</v>
      </c>
      <c r="M768" s="13" t="n">
        <v>18.4</v>
      </c>
      <c r="N768" s="13" t="n">
        <v>1677</v>
      </c>
      <c r="O768" s="13" t="n">
        <v>0.95</v>
      </c>
      <c r="P768" s="13" t="n">
        <v>1600</v>
      </c>
      <c r="Q768" s="13" t="n">
        <v>157</v>
      </c>
      <c r="R768" s="13" t="n">
        <v>87</v>
      </c>
      <c r="S768" s="13" t="n">
        <v>48</v>
      </c>
      <c r="T768" s="13" t="n">
        <v>220</v>
      </c>
      <c r="U768" s="13" t="n">
        <v>44</v>
      </c>
      <c r="V768" s="13" t="n">
        <v>237</v>
      </c>
      <c r="W768" s="13" t="n">
        <v>0.928</v>
      </c>
      <c r="X768" s="13" t="n">
        <v>161</v>
      </c>
      <c r="Y768" s="13" t="n">
        <v>183</v>
      </c>
      <c r="Z768" s="13" t="n">
        <v>59</v>
      </c>
      <c r="AA768" s="13" t="n">
        <v>5</v>
      </c>
      <c r="AB768" s="13" t="n">
        <v>4.7</v>
      </c>
      <c r="AC768" s="11" t="inlineStr">
        <is>
          <t xml:space="preserve"> Freeski</t>
        </is>
      </c>
      <c r="AD768" s="13" t="n"/>
      <c r="AE768" s="13" t="n"/>
      <c r="AF768" s="13" t="n"/>
      <c r="AG768" s="13" t="n"/>
    </row>
    <row r="769">
      <c r="A769" s="9" t="inlineStr">
        <is>
          <t>21/22</t>
        </is>
      </c>
      <c r="B769" s="10" t="inlineStr">
        <is>
          <t>K2</t>
        </is>
      </c>
      <c r="C769" s="11" t="inlineStr">
        <is>
          <t>Reckoner 102</t>
        </is>
      </c>
      <c r="D769" s="13" t="n">
        <v>163</v>
      </c>
      <c r="E769" s="11" t="inlineStr">
        <is>
          <t xml:space="preserve"> Unisex</t>
        </is>
      </c>
      <c r="F769" s="13" t="n">
        <v>163</v>
      </c>
      <c r="G769" s="13" t="n">
        <v>163.6</v>
      </c>
      <c r="H769" s="13" t="n">
        <v>95</v>
      </c>
      <c r="I769" s="13" t="n">
        <v>134</v>
      </c>
      <c r="J769" s="13" t="n">
        <v>133</v>
      </c>
      <c r="K769" s="13" t="n">
        <v>101</v>
      </c>
      <c r="L769" s="13" t="n">
        <v>125</v>
      </c>
      <c r="M769" s="13" t="n">
        <v>14.9</v>
      </c>
      <c r="N769" s="13" t="n">
        <v>1597</v>
      </c>
      <c r="O769" s="13" t="n">
        <v>1.14</v>
      </c>
      <c r="P769" s="13" t="n">
        <v>1828</v>
      </c>
      <c r="Q769" s="13" t="n">
        <v>143</v>
      </c>
      <c r="R769" s="13" t="n">
        <v>72</v>
      </c>
      <c r="S769" s="13" t="n">
        <v>53</v>
      </c>
      <c r="T769" s="13" t="n">
        <v>343</v>
      </c>
      <c r="U769" s="13" t="n">
        <v>50</v>
      </c>
      <c r="V769" s="13" t="n">
        <v>348</v>
      </c>
      <c r="W769" s="13" t="n">
        <v>0.9409999999999999</v>
      </c>
      <c r="X769" s="13" t="n">
        <v>147</v>
      </c>
      <c r="Y769" s="13" t="n">
        <v>145</v>
      </c>
      <c r="Z769" s="13" t="n">
        <v>196</v>
      </c>
      <c r="AA769" s="13" t="n">
        <v>4</v>
      </c>
      <c r="AB769" s="13" t="n">
        <v>3.7</v>
      </c>
      <c r="AC769" s="11" t="inlineStr">
        <is>
          <t xml:space="preserve"> Freeski</t>
        </is>
      </c>
      <c r="AD769" s="11" t="inlineStr">
        <is>
          <t xml:space="preserve"> Powder</t>
        </is>
      </c>
      <c r="AE769" s="11" t="inlineStr">
        <is>
          <t xml:space="preserve"> Touring</t>
        </is>
      </c>
      <c r="AF769" s="13" t="n"/>
      <c r="AG769" s="13" t="n"/>
    </row>
    <row r="770">
      <c r="A770" s="9" t="inlineStr">
        <is>
          <t>21/22</t>
        </is>
      </c>
      <c r="B770" s="10" t="inlineStr">
        <is>
          <t>K2</t>
        </is>
      </c>
      <c r="C770" s="11" t="inlineStr">
        <is>
          <t>Reckoner 102</t>
        </is>
      </c>
      <c r="D770" s="13" t="n">
        <v>170</v>
      </c>
      <c r="E770" s="11" t="inlineStr">
        <is>
          <t xml:space="preserve"> Unisex</t>
        </is>
      </c>
      <c r="F770" s="13" t="n">
        <v>170</v>
      </c>
      <c r="G770" s="13" t="n">
        <v>170.2</v>
      </c>
      <c r="H770" s="13" t="n">
        <v>100</v>
      </c>
      <c r="I770" s="13" t="n">
        <v>140</v>
      </c>
      <c r="J770" s="13" t="n">
        <v>133</v>
      </c>
      <c r="K770" s="13" t="n">
        <v>101</v>
      </c>
      <c r="L770" s="13" t="n">
        <v>126</v>
      </c>
      <c r="M770" s="13" t="n">
        <v>16.3</v>
      </c>
      <c r="N770" s="13" t="n">
        <v>1728</v>
      </c>
      <c r="O770" s="13" t="n">
        <v>1.11</v>
      </c>
      <c r="P770" s="13" t="n">
        <v>1911</v>
      </c>
      <c r="Q770" s="13" t="n">
        <v>175</v>
      </c>
      <c r="R770" s="13" t="n">
        <v>71</v>
      </c>
      <c r="S770" s="13" t="n">
        <v>52</v>
      </c>
      <c r="T770" s="13" t="n">
        <v>338</v>
      </c>
      <c r="U770" s="13" t="n">
        <v>50</v>
      </c>
      <c r="V770" s="13" t="n">
        <v>367</v>
      </c>
      <c r="W770" s="13" t="n">
        <v>0.959</v>
      </c>
      <c r="X770" s="13" t="n">
        <v>147</v>
      </c>
      <c r="Y770" s="13" t="n">
        <v>150</v>
      </c>
      <c r="Z770" s="13" t="n">
        <v>191</v>
      </c>
      <c r="AA770" s="13" t="n">
        <v>5</v>
      </c>
      <c r="AB770" s="13" t="n">
        <v>4.2</v>
      </c>
      <c r="AC770" s="11" t="inlineStr">
        <is>
          <t xml:space="preserve"> Freeski</t>
        </is>
      </c>
      <c r="AD770" s="11" t="inlineStr">
        <is>
          <t xml:space="preserve"> Powder</t>
        </is>
      </c>
      <c r="AE770" s="11" t="inlineStr">
        <is>
          <t xml:space="preserve"> Touring</t>
        </is>
      </c>
      <c r="AF770" s="13" t="n"/>
      <c r="AG770" s="13" t="n"/>
    </row>
    <row r="771">
      <c r="A771" s="9" t="inlineStr">
        <is>
          <t>21/22</t>
        </is>
      </c>
      <c r="B771" s="10" t="inlineStr">
        <is>
          <t>K2</t>
        </is>
      </c>
      <c r="C771" s="11" t="inlineStr">
        <is>
          <t>Reckoner 102</t>
        </is>
      </c>
      <c r="D771" s="13" t="n">
        <v>177</v>
      </c>
      <c r="E771" s="11" t="inlineStr">
        <is>
          <t xml:space="preserve"> Unisex</t>
        </is>
      </c>
      <c r="F771" s="13" t="n">
        <v>177</v>
      </c>
      <c r="G771" s="13" t="n">
        <v>177</v>
      </c>
      <c r="H771" s="13" t="n">
        <v>114</v>
      </c>
      <c r="I771" s="13" t="n">
        <v>148</v>
      </c>
      <c r="J771" s="13" t="n">
        <v>133</v>
      </c>
      <c r="K771" s="13" t="n">
        <v>101</v>
      </c>
      <c r="L771" s="13" t="n">
        <v>126</v>
      </c>
      <c r="M771" s="13" t="n">
        <v>18.1</v>
      </c>
      <c r="N771" s="13" t="n">
        <v>1773</v>
      </c>
      <c r="O771" s="13" t="n">
        <v>1.12</v>
      </c>
      <c r="P771" s="13" t="n">
        <v>1989</v>
      </c>
      <c r="Q771" s="13" t="n">
        <v>168</v>
      </c>
      <c r="R771" s="13" t="n">
        <v>69</v>
      </c>
      <c r="S771" s="13" t="n">
        <v>51</v>
      </c>
      <c r="T771" s="13" t="n">
        <v>316</v>
      </c>
      <c r="U771" s="13" t="n">
        <v>47</v>
      </c>
      <c r="V771" s="13" t="n">
        <v>315</v>
      </c>
      <c r="W771" s="13" t="n">
        <v>0.924</v>
      </c>
      <c r="X771" s="13" t="n">
        <v>147</v>
      </c>
      <c r="Y771" s="13" t="n">
        <v>139</v>
      </c>
      <c r="Z771" s="13" t="n">
        <v>169</v>
      </c>
      <c r="AA771" s="13" t="n">
        <v>6</v>
      </c>
      <c r="AB771" s="13" t="n">
        <v>4.4</v>
      </c>
      <c r="AC771" s="11" t="inlineStr">
        <is>
          <t xml:space="preserve"> Freeski</t>
        </is>
      </c>
      <c r="AD771" s="11" t="inlineStr">
        <is>
          <t xml:space="preserve"> Powder</t>
        </is>
      </c>
      <c r="AE771" s="11" t="inlineStr">
        <is>
          <t xml:space="preserve"> Touring</t>
        </is>
      </c>
      <c r="AF771" s="13" t="n"/>
      <c r="AG771" s="13" t="n"/>
    </row>
    <row r="772">
      <c r="A772" s="9" t="inlineStr">
        <is>
          <t>21/22</t>
        </is>
      </c>
      <c r="B772" s="10" t="inlineStr">
        <is>
          <t>K2</t>
        </is>
      </c>
      <c r="C772" s="11" t="inlineStr">
        <is>
          <t>Reckoner 102</t>
        </is>
      </c>
      <c r="D772" s="13" t="n">
        <v>184</v>
      </c>
      <c r="E772" s="11" t="inlineStr">
        <is>
          <t xml:space="preserve"> Unisex</t>
        </is>
      </c>
      <c r="F772" s="13" t="n">
        <v>184</v>
      </c>
      <c r="G772" s="13" t="n">
        <v>184.2</v>
      </c>
      <c r="H772" s="13" t="n">
        <v>121</v>
      </c>
      <c r="I772" s="13" t="n">
        <v>155</v>
      </c>
      <c r="J772" s="13" t="n">
        <v>134</v>
      </c>
      <c r="K772" s="13" t="n">
        <v>101</v>
      </c>
      <c r="L772" s="13" t="n">
        <v>126</v>
      </c>
      <c r="M772" s="13" t="n">
        <v>19.8</v>
      </c>
      <c r="N772" s="13" t="n">
        <v>1875</v>
      </c>
      <c r="O772" s="13" t="n">
        <v>1.1</v>
      </c>
      <c r="P772" s="13" t="n">
        <v>2065</v>
      </c>
      <c r="Q772" s="13" t="n">
        <v>210</v>
      </c>
      <c r="R772" s="13" t="n">
        <v>85</v>
      </c>
      <c r="S772" s="13" t="n">
        <v>46</v>
      </c>
      <c r="T772" s="13" t="n">
        <v>333</v>
      </c>
      <c r="U772" s="13" t="n">
        <v>43</v>
      </c>
      <c r="V772" s="13" t="n">
        <v>302</v>
      </c>
      <c r="W772" s="13" t="n">
        <v>0.927</v>
      </c>
      <c r="X772" s="13" t="n">
        <v>147</v>
      </c>
      <c r="Y772" s="13" t="n">
        <v>147</v>
      </c>
      <c r="Z772" s="13" t="n">
        <v>186</v>
      </c>
      <c r="AA772" s="13" t="n">
        <v>7</v>
      </c>
      <c r="AB772" s="13" t="n">
        <v>4.8</v>
      </c>
      <c r="AC772" s="11" t="inlineStr">
        <is>
          <t xml:space="preserve"> Freeski</t>
        </is>
      </c>
      <c r="AD772" s="11" t="inlineStr">
        <is>
          <t xml:space="preserve"> Powder</t>
        </is>
      </c>
      <c r="AE772" s="11" t="inlineStr">
        <is>
          <t xml:space="preserve"> Touring</t>
        </is>
      </c>
      <c r="AF772" s="13" t="n"/>
      <c r="AG772" s="13" t="n"/>
    </row>
    <row r="773">
      <c r="A773" s="9" t="inlineStr">
        <is>
          <t>21/22</t>
        </is>
      </c>
      <c r="B773" s="10" t="inlineStr">
        <is>
          <t>K2</t>
        </is>
      </c>
      <c r="C773" s="11" t="inlineStr">
        <is>
          <t>Reckoner 112</t>
        </is>
      </c>
      <c r="D773" s="13" t="n">
        <v>177</v>
      </c>
      <c r="E773" s="11" t="inlineStr">
        <is>
          <t xml:space="preserve"> Unisex</t>
        </is>
      </c>
      <c r="F773" s="13" t="n">
        <v>177</v>
      </c>
      <c r="G773" s="13" t="n">
        <v>177.5</v>
      </c>
      <c r="H773" s="13" t="n">
        <v>106</v>
      </c>
      <c r="I773" s="13" t="n">
        <v>133</v>
      </c>
      <c r="J773" s="13" t="n">
        <v>136</v>
      </c>
      <c r="K773" s="13" t="n">
        <v>111</v>
      </c>
      <c r="L773" s="13" t="n">
        <v>126</v>
      </c>
      <c r="M773" s="13" t="n">
        <v>20.9</v>
      </c>
      <c r="N773" s="13" t="n">
        <v>1827</v>
      </c>
      <c r="O773" s="13" t="n">
        <v>1.15</v>
      </c>
      <c r="P773" s="13" t="n">
        <v>2109</v>
      </c>
      <c r="Q773" s="13" t="n">
        <v>189</v>
      </c>
      <c r="R773" s="13" t="n">
        <v>81</v>
      </c>
      <c r="S773" s="13" t="n">
        <v>50</v>
      </c>
      <c r="T773" s="13" t="n">
        <v>380</v>
      </c>
      <c r="U773" s="13" t="n">
        <v>36</v>
      </c>
      <c r="V773" s="13" t="n">
        <v>340</v>
      </c>
      <c r="W773" s="13" t="n">
        <v>0.707</v>
      </c>
      <c r="X773" s="13" t="n">
        <v>218</v>
      </c>
      <c r="Y773" s="13" t="n">
        <v>226</v>
      </c>
      <c r="Z773" s="13" t="n">
        <v>162</v>
      </c>
      <c r="AA773" s="13" t="n">
        <v>5</v>
      </c>
      <c r="AB773" s="13" t="n">
        <v>5.7</v>
      </c>
      <c r="AC773" s="11" t="inlineStr">
        <is>
          <t xml:space="preserve"> Powder</t>
        </is>
      </c>
      <c r="AD773" s="11" t="inlineStr">
        <is>
          <t xml:space="preserve"> Touring</t>
        </is>
      </c>
      <c r="AE773" s="13" t="n"/>
      <c r="AF773" s="13" t="n"/>
      <c r="AG773" s="13" t="n"/>
    </row>
    <row r="774">
      <c r="A774" s="9" t="inlineStr">
        <is>
          <t>21/22</t>
        </is>
      </c>
      <c r="B774" s="10" t="inlineStr">
        <is>
          <t>K2</t>
        </is>
      </c>
      <c r="C774" s="11" t="inlineStr">
        <is>
          <t>Reckoner 112</t>
        </is>
      </c>
      <c r="D774" s="13" t="n">
        <v>184</v>
      </c>
      <c r="E774" s="11" t="inlineStr">
        <is>
          <t xml:space="preserve"> Unisex</t>
        </is>
      </c>
      <c r="F774" s="13" t="n">
        <v>184</v>
      </c>
      <c r="G774" s="13" t="n">
        <v>184.2</v>
      </c>
      <c r="H774" s="13" t="n">
        <v>110</v>
      </c>
      <c r="I774" s="13" t="n">
        <v>141</v>
      </c>
      <c r="J774" s="13" t="n">
        <v>136</v>
      </c>
      <c r="K774" s="13" t="n">
        <v>112</v>
      </c>
      <c r="L774" s="13" t="n">
        <v>126</v>
      </c>
      <c r="M774" s="13" t="n">
        <v>22.8</v>
      </c>
      <c r="N774" s="13" t="n">
        <v>2012</v>
      </c>
      <c r="O774" s="13" t="n">
        <v>1.09</v>
      </c>
      <c r="P774" s="13" t="n">
        <v>2190</v>
      </c>
      <c r="Q774" s="13" t="n">
        <v>202</v>
      </c>
      <c r="R774" s="13" t="n">
        <v>108</v>
      </c>
      <c r="S774" s="13" t="n">
        <v>53</v>
      </c>
      <c r="T774" s="13" t="n">
        <v>394</v>
      </c>
      <c r="U774" s="13" t="n">
        <v>40</v>
      </c>
      <c r="V774" s="13" t="n">
        <v>350</v>
      </c>
      <c r="W774" s="13" t="n">
        <v>0.75</v>
      </c>
      <c r="X774" s="13" t="n">
        <v>213</v>
      </c>
      <c r="Y774" s="13" t="n">
        <v>223</v>
      </c>
      <c r="Z774" s="13" t="n">
        <v>181</v>
      </c>
      <c r="AA774" s="13" t="n">
        <v>5</v>
      </c>
      <c r="AB774" s="13" t="n">
        <v>6.6</v>
      </c>
      <c r="AC774" s="11" t="inlineStr">
        <is>
          <t xml:space="preserve"> Powder</t>
        </is>
      </c>
      <c r="AD774" s="11" t="inlineStr">
        <is>
          <t xml:space="preserve"> Touring</t>
        </is>
      </c>
      <c r="AE774" s="13" t="n"/>
      <c r="AF774" s="13" t="n"/>
      <c r="AG774" s="13" t="n"/>
    </row>
    <row r="775">
      <c r="A775" s="9" t="inlineStr">
        <is>
          <t>21/22</t>
        </is>
      </c>
      <c r="B775" s="10" t="inlineStr">
        <is>
          <t>K2</t>
        </is>
      </c>
      <c r="C775" s="11" t="inlineStr">
        <is>
          <t>Reckoner 112</t>
        </is>
      </c>
      <c r="D775" s="13" t="n">
        <v>191</v>
      </c>
      <c r="E775" s="11" t="inlineStr">
        <is>
          <t xml:space="preserve"> Unisex</t>
        </is>
      </c>
      <c r="F775" s="13" t="n">
        <v>191</v>
      </c>
      <c r="G775" s="13" t="n">
        <v>191.7</v>
      </c>
      <c r="H775" s="13" t="n">
        <v>120</v>
      </c>
      <c r="I775" s="13" t="n">
        <v>145</v>
      </c>
      <c r="J775" s="13" t="n">
        <v>135</v>
      </c>
      <c r="K775" s="13" t="n">
        <v>111</v>
      </c>
      <c r="L775" s="13" t="n">
        <v>127</v>
      </c>
      <c r="M775" s="13" t="n">
        <v>25.1</v>
      </c>
      <c r="N775" s="13" t="n">
        <v>2141</v>
      </c>
      <c r="O775" s="13" t="n">
        <v>1.06</v>
      </c>
      <c r="P775" s="13" t="n">
        <v>2276</v>
      </c>
      <c r="Q775" s="13" t="n">
        <v>230</v>
      </c>
      <c r="R775" s="13" t="n">
        <v>121</v>
      </c>
      <c r="S775" s="13" t="n">
        <v>55</v>
      </c>
      <c r="T775" s="13" t="n">
        <v>378</v>
      </c>
      <c r="U775" s="13" t="n">
        <v>50</v>
      </c>
      <c r="V775" s="13" t="n">
        <v>335</v>
      </c>
      <c r="W775" s="13" t="n">
        <v>0.904</v>
      </c>
      <c r="X775" s="13" t="n">
        <v>218</v>
      </c>
      <c r="Y775" s="13" t="n">
        <v>244</v>
      </c>
      <c r="Z775" s="13" t="n">
        <v>159</v>
      </c>
      <c r="AA775" s="13" t="n">
        <v>7</v>
      </c>
      <c r="AB775" s="13" t="n">
        <v>5.9</v>
      </c>
      <c r="AC775" s="11" t="inlineStr">
        <is>
          <t xml:space="preserve"> Freeski</t>
        </is>
      </c>
      <c r="AD775" s="11" t="inlineStr">
        <is>
          <t xml:space="preserve"> Powder</t>
        </is>
      </c>
      <c r="AE775" s="11" t="inlineStr">
        <is>
          <t xml:space="preserve"> Touring</t>
        </is>
      </c>
      <c r="AF775" s="13" t="n"/>
      <c r="AG775" s="13" t="n"/>
    </row>
    <row r="776">
      <c r="A776" s="9" t="inlineStr">
        <is>
          <t>21/22</t>
        </is>
      </c>
      <c r="B776" s="10" t="inlineStr">
        <is>
          <t>K2</t>
        </is>
      </c>
      <c r="C776" s="11" t="inlineStr">
        <is>
          <t>Reckoner 122</t>
        </is>
      </c>
      <c r="D776" s="13" t="n">
        <v>177</v>
      </c>
      <c r="E776" s="11" t="inlineStr">
        <is>
          <t xml:space="preserve"> Unisex</t>
        </is>
      </c>
      <c r="F776" s="13" t="n">
        <v>177</v>
      </c>
      <c r="G776" s="13" t="n">
        <v>177.3</v>
      </c>
      <c r="H776" s="13" t="n">
        <v>93</v>
      </c>
      <c r="I776" s="13" t="n">
        <v>132</v>
      </c>
      <c r="J776" s="13" t="n">
        <v>144</v>
      </c>
      <c r="K776" s="13" t="n">
        <v>122</v>
      </c>
      <c r="L776" s="13" t="n">
        <v>135</v>
      </c>
      <c r="M776" s="13" t="n">
        <v>22.1</v>
      </c>
      <c r="N776" s="13" t="n">
        <v>2031</v>
      </c>
      <c r="O776" s="13" t="n">
        <v>1.12</v>
      </c>
      <c r="P776" s="13" t="n">
        <v>2267</v>
      </c>
      <c r="Q776" s="13" t="n">
        <v>168</v>
      </c>
      <c r="R776" s="13" t="n">
        <v>96</v>
      </c>
      <c r="S776" s="13" t="n">
        <v>65</v>
      </c>
      <c r="T776" s="13" t="n">
        <v>438</v>
      </c>
      <c r="U776" s="13" t="n">
        <v>52</v>
      </c>
      <c r="V776" s="13" t="n">
        <v>404</v>
      </c>
      <c r="W776" s="13" t="n">
        <v>0.793</v>
      </c>
      <c r="X776" s="13" t="n">
        <v>221</v>
      </c>
      <c r="Y776" s="13" t="n">
        <v>236</v>
      </c>
      <c r="Z776" s="13" t="n">
        <v>217</v>
      </c>
      <c r="AA776" s="13" t="n">
        <v>4</v>
      </c>
      <c r="AB776" s="13" t="n">
        <v>4.2</v>
      </c>
      <c r="AC776" s="11" t="inlineStr">
        <is>
          <t xml:space="preserve"> Powder</t>
        </is>
      </c>
      <c r="AD776" s="11" t="inlineStr">
        <is>
          <t xml:space="preserve"> Touring</t>
        </is>
      </c>
      <c r="AE776" s="13" t="n"/>
      <c r="AF776" s="13" t="n"/>
      <c r="AG776" s="13" t="n"/>
    </row>
    <row r="777">
      <c r="A777" s="9" t="inlineStr">
        <is>
          <t>21/22</t>
        </is>
      </c>
      <c r="B777" s="10" t="inlineStr">
        <is>
          <t>K2</t>
        </is>
      </c>
      <c r="C777" s="11" t="inlineStr">
        <is>
          <t>Reckoner 122</t>
        </is>
      </c>
      <c r="D777" s="13" t="n">
        <v>184</v>
      </c>
      <c r="E777" s="11" t="inlineStr">
        <is>
          <t xml:space="preserve"> Unisex</t>
        </is>
      </c>
      <c r="F777" s="13" t="n">
        <v>184</v>
      </c>
      <c r="G777" s="13" t="n">
        <v>183.1</v>
      </c>
      <c r="H777" s="13" t="n">
        <v>96</v>
      </c>
      <c r="I777" s="13" t="n">
        <v>139</v>
      </c>
      <c r="J777" s="13" t="n">
        <v>144</v>
      </c>
      <c r="K777" s="13" t="n">
        <v>122</v>
      </c>
      <c r="L777" s="13" t="n">
        <v>135</v>
      </c>
      <c r="M777" s="13" t="n">
        <v>24.6</v>
      </c>
      <c r="N777" s="13" t="n">
        <v>2076</v>
      </c>
      <c r="O777" s="13" t="n">
        <v>1.13</v>
      </c>
      <c r="P777" s="13" t="n">
        <v>2349</v>
      </c>
      <c r="Q777" s="13" t="n">
        <v>211</v>
      </c>
      <c r="R777" s="13" t="n">
        <v>107</v>
      </c>
      <c r="S777" s="13" t="n">
        <v>67</v>
      </c>
      <c r="T777" s="13" t="n">
        <v>459</v>
      </c>
      <c r="U777" s="13" t="n">
        <v>48</v>
      </c>
      <c r="V777" s="13" t="n">
        <v>414</v>
      </c>
      <c r="W777" s="13" t="n">
        <v>0.714</v>
      </c>
      <c r="X777" s="13" t="n">
        <v>221</v>
      </c>
      <c r="Y777" s="13" t="n">
        <v>221</v>
      </c>
      <c r="Z777" s="13" t="n">
        <v>238</v>
      </c>
      <c r="AA777" s="13" t="n">
        <v>3</v>
      </c>
      <c r="AB777" s="13" t="n">
        <v>5.1</v>
      </c>
      <c r="AC777" s="11" t="inlineStr">
        <is>
          <t xml:space="preserve"> Powder</t>
        </is>
      </c>
      <c r="AD777" s="11" t="inlineStr">
        <is>
          <t xml:space="preserve"> Touring</t>
        </is>
      </c>
      <c r="AE777" s="13" t="n"/>
      <c r="AF777" s="13" t="n"/>
      <c r="AG777" s="13" t="n"/>
    </row>
    <row r="778">
      <c r="A778" s="9" t="inlineStr">
        <is>
          <t>21/22</t>
        </is>
      </c>
      <c r="B778" s="10" t="inlineStr">
        <is>
          <t>K2</t>
        </is>
      </c>
      <c r="C778" s="11" t="inlineStr">
        <is>
          <t>Reckoner 122</t>
        </is>
      </c>
      <c r="D778" s="13" t="n">
        <v>191</v>
      </c>
      <c r="E778" s="11" t="inlineStr">
        <is>
          <t xml:space="preserve"> Unisex</t>
        </is>
      </c>
      <c r="F778" s="13" t="n">
        <v>191</v>
      </c>
      <c r="G778" s="13" t="n">
        <v>191.1</v>
      </c>
      <c r="H778" s="13" t="n">
        <v>106</v>
      </c>
      <c r="I778" s="13" t="n">
        <v>145</v>
      </c>
      <c r="J778" s="13" t="n">
        <v>144</v>
      </c>
      <c r="K778" s="13" t="n">
        <v>122</v>
      </c>
      <c r="L778" s="13" t="n">
        <v>135</v>
      </c>
      <c r="M778" s="13" t="n">
        <v>26.6</v>
      </c>
      <c r="N778" s="13" t="n">
        <v>2123</v>
      </c>
      <c r="O778" s="13" t="n">
        <v>1.15</v>
      </c>
      <c r="P778" s="13" t="n">
        <v>2445</v>
      </c>
      <c r="Q778" s="13" t="n">
        <v>217</v>
      </c>
      <c r="R778" s="13" t="n">
        <v>115</v>
      </c>
      <c r="S778" s="13" t="n">
        <v>67</v>
      </c>
      <c r="T778" s="13" t="n">
        <v>443</v>
      </c>
      <c r="U778" s="13" t="n">
        <v>56</v>
      </c>
      <c r="V778" s="13" t="n">
        <v>411</v>
      </c>
      <c r="W778" s="13" t="n">
        <v>0.841</v>
      </c>
      <c r="X778" s="13" t="n">
        <v>226</v>
      </c>
      <c r="Y778" s="13" t="n">
        <v>234</v>
      </c>
      <c r="Z778" s="13" t="n">
        <v>217</v>
      </c>
      <c r="AA778" s="13" t="n">
        <v>4</v>
      </c>
      <c r="AB778" s="13" t="n">
        <v>5.5</v>
      </c>
      <c r="AC778" s="11" t="inlineStr">
        <is>
          <t xml:space="preserve"> Freeski</t>
        </is>
      </c>
      <c r="AD778" s="11" t="inlineStr">
        <is>
          <t xml:space="preserve"> Powder</t>
        </is>
      </c>
      <c r="AE778" s="11" t="inlineStr">
        <is>
          <t xml:space="preserve"> Touring</t>
        </is>
      </c>
      <c r="AF778" s="13" t="n"/>
      <c r="AG778" s="13" t="n"/>
    </row>
    <row r="779">
      <c r="A779" s="9" t="inlineStr">
        <is>
          <t>21/22</t>
        </is>
      </c>
      <c r="B779" s="10" t="inlineStr">
        <is>
          <t>K2</t>
        </is>
      </c>
      <c r="C779" s="11" t="inlineStr">
        <is>
          <t>Reckoner 92</t>
        </is>
      </c>
      <c r="D779" s="13" t="n">
        <v>149</v>
      </c>
      <c r="E779" s="11" t="inlineStr">
        <is>
          <t xml:space="preserve"> Unisex</t>
        </is>
      </c>
      <c r="F779" s="13" t="n">
        <v>149</v>
      </c>
      <c r="G779" s="13" t="n">
        <v>148.9</v>
      </c>
      <c r="H779" s="13" t="n">
        <v>93</v>
      </c>
      <c r="I779" s="13" t="n">
        <v>124</v>
      </c>
      <c r="J779" s="13" t="n">
        <v>124</v>
      </c>
      <c r="K779" s="13" t="n">
        <v>91</v>
      </c>
      <c r="L779" s="13" t="n">
        <v>113</v>
      </c>
      <c r="M779" s="13" t="n">
        <v>12.6</v>
      </c>
      <c r="N779" s="13" t="n">
        <v>1499</v>
      </c>
      <c r="O779" s="13" t="n">
        <v>1.01</v>
      </c>
      <c r="P779" s="13" t="n">
        <v>1518</v>
      </c>
      <c r="Q779" s="13" t="n">
        <v>171</v>
      </c>
      <c r="R779" s="13" t="n">
        <v>84</v>
      </c>
      <c r="S779" s="13" t="n">
        <v>47</v>
      </c>
      <c r="T779" s="13" t="n">
        <v>288</v>
      </c>
      <c r="U779" s="13" t="n">
        <v>43</v>
      </c>
      <c r="V779" s="13" t="n">
        <v>272</v>
      </c>
      <c r="W779" s="13" t="n">
        <v>0.915</v>
      </c>
      <c r="X779" s="13" t="n">
        <v>115</v>
      </c>
      <c r="Y779" s="13" t="n">
        <v>138</v>
      </c>
      <c r="Z779" s="13" t="n">
        <v>173</v>
      </c>
      <c r="AA779" s="13" t="n">
        <v>3</v>
      </c>
      <c r="AB779" s="13" t="n">
        <v>4.1</v>
      </c>
      <c r="AC779" s="11" t="inlineStr">
        <is>
          <t xml:space="preserve"> Freeski</t>
        </is>
      </c>
      <c r="AD779" s="13" t="n"/>
      <c r="AE779" s="13" t="n"/>
      <c r="AF779" s="13" t="n"/>
      <c r="AG779" s="13" t="n"/>
    </row>
    <row r="780">
      <c r="A780" s="9" t="inlineStr">
        <is>
          <t>21/22</t>
        </is>
      </c>
      <c r="B780" s="10" t="inlineStr">
        <is>
          <t>K2</t>
        </is>
      </c>
      <c r="C780" s="11" t="inlineStr">
        <is>
          <t>Reckoner 92</t>
        </is>
      </c>
      <c r="D780" s="13" t="n">
        <v>159</v>
      </c>
      <c r="E780" s="11" t="inlineStr">
        <is>
          <t xml:space="preserve"> Unisex</t>
        </is>
      </c>
      <c r="F780" s="13" t="n">
        <v>159</v>
      </c>
      <c r="G780" s="13" t="n">
        <v>158.8</v>
      </c>
      <c r="H780" s="13" t="n">
        <v>104</v>
      </c>
      <c r="I780" s="13" t="n">
        <v>133</v>
      </c>
      <c r="J780" s="13" t="n">
        <v>123</v>
      </c>
      <c r="K780" s="13" t="n">
        <v>91</v>
      </c>
      <c r="L780" s="13" t="n">
        <v>113</v>
      </c>
      <c r="M780" s="13" t="n">
        <v>14.8</v>
      </c>
      <c r="N780" s="13" t="n">
        <v>1522</v>
      </c>
      <c r="O780" s="13" t="n">
        <v>1.06</v>
      </c>
      <c r="P780" s="13" t="n">
        <v>1615</v>
      </c>
      <c r="Q780" s="13" t="n">
        <v>150</v>
      </c>
      <c r="R780" s="13" t="n">
        <v>68</v>
      </c>
      <c r="S780" s="13" t="n">
        <v>49</v>
      </c>
      <c r="T780" s="13" t="n">
        <v>278</v>
      </c>
      <c r="U780" s="13" t="n">
        <v>42</v>
      </c>
      <c r="V780" s="13" t="n">
        <v>274</v>
      </c>
      <c r="W780" s="13" t="n">
        <v>0.865</v>
      </c>
      <c r="X780" s="13" t="n">
        <v>113</v>
      </c>
      <c r="Y780" s="13" t="n">
        <v>143</v>
      </c>
      <c r="Z780" s="13" t="n">
        <v>165</v>
      </c>
      <c r="AA780" s="13" t="n">
        <v>5</v>
      </c>
      <c r="AB780" s="13" t="n">
        <v>4.3</v>
      </c>
      <c r="AC780" s="11" t="inlineStr">
        <is>
          <t xml:space="preserve"> Freeski</t>
        </is>
      </c>
      <c r="AD780" s="11" t="inlineStr">
        <is>
          <t xml:space="preserve"> Touring</t>
        </is>
      </c>
      <c r="AE780" s="13" t="n"/>
      <c r="AF780" s="13" t="n"/>
      <c r="AG780" s="13" t="n"/>
    </row>
    <row r="781">
      <c r="A781" s="9" t="inlineStr">
        <is>
          <t>21/22</t>
        </is>
      </c>
      <c r="B781" s="10" t="inlineStr">
        <is>
          <t>K2</t>
        </is>
      </c>
      <c r="C781" s="11" t="inlineStr">
        <is>
          <t>Reckoner 92</t>
        </is>
      </c>
      <c r="D781" s="13" t="n">
        <v>169</v>
      </c>
      <c r="E781" s="11" t="inlineStr">
        <is>
          <t xml:space="preserve"> Unisex</t>
        </is>
      </c>
      <c r="F781" s="13" t="n">
        <v>169</v>
      </c>
      <c r="G781" s="13" t="n">
        <v>169</v>
      </c>
      <c r="H781" s="13" t="n">
        <v>113</v>
      </c>
      <c r="I781" s="13" t="n">
        <v>142</v>
      </c>
      <c r="J781" s="13" t="n">
        <v>124</v>
      </c>
      <c r="K781" s="13" t="n">
        <v>91</v>
      </c>
      <c r="L781" s="13" t="n">
        <v>113</v>
      </c>
      <c r="M781" s="13" t="n">
        <v>17.2</v>
      </c>
      <c r="N781" s="13" t="n">
        <v>1669</v>
      </c>
      <c r="O781" s="13" t="n">
        <v>1.03</v>
      </c>
      <c r="P781" s="13" t="n">
        <v>1717</v>
      </c>
      <c r="Q781" s="13" t="n">
        <v>148</v>
      </c>
      <c r="R781" s="13" t="n">
        <v>76</v>
      </c>
      <c r="S781" s="13" t="n">
        <v>51</v>
      </c>
      <c r="T781" s="13" t="n">
        <v>287</v>
      </c>
      <c r="U781" s="13" t="n">
        <v>45</v>
      </c>
      <c r="V781" s="13" t="n">
        <v>274</v>
      </c>
      <c r="W781" s="13" t="n">
        <v>0.886</v>
      </c>
      <c r="X781" s="13" t="n">
        <v>121</v>
      </c>
      <c r="Y781" s="13" t="n">
        <v>150</v>
      </c>
      <c r="Z781" s="13" t="n">
        <v>167</v>
      </c>
      <c r="AA781" s="13" t="n">
        <v>6</v>
      </c>
      <c r="AB781" s="13" t="n">
        <v>4.8</v>
      </c>
      <c r="AC781" s="11" t="inlineStr">
        <is>
          <t xml:space="preserve"> Freeski</t>
        </is>
      </c>
      <c r="AD781" s="13" t="n"/>
      <c r="AE781" s="13" t="n"/>
      <c r="AF781" s="13" t="n"/>
      <c r="AG781" s="13" t="n"/>
    </row>
    <row r="782">
      <c r="A782" s="9" t="inlineStr">
        <is>
          <t>21/22</t>
        </is>
      </c>
      <c r="B782" s="10" t="inlineStr">
        <is>
          <t>K2</t>
        </is>
      </c>
      <c r="C782" s="11" t="inlineStr">
        <is>
          <t>Reckoner 92</t>
        </is>
      </c>
      <c r="D782" s="13" t="n">
        <v>179</v>
      </c>
      <c r="E782" s="11" t="inlineStr">
        <is>
          <t xml:space="preserve"> Unisex</t>
        </is>
      </c>
      <c r="F782" s="13" t="n">
        <v>179</v>
      </c>
      <c r="G782" s="13" t="n">
        <v>178.8</v>
      </c>
      <c r="H782" s="13" t="n">
        <v>121</v>
      </c>
      <c r="I782" s="13" t="n">
        <v>153</v>
      </c>
      <c r="J782" s="13" t="n">
        <v>123</v>
      </c>
      <c r="K782" s="13" t="n">
        <v>90</v>
      </c>
      <c r="L782" s="13" t="n">
        <v>113</v>
      </c>
      <c r="M782" s="13" t="n">
        <v>19.8</v>
      </c>
      <c r="N782" s="13" t="n">
        <v>1790</v>
      </c>
      <c r="O782" s="13" t="n">
        <v>1.01</v>
      </c>
      <c r="P782" s="13" t="n">
        <v>1806</v>
      </c>
      <c r="Q782" s="13" t="n">
        <v>185</v>
      </c>
      <c r="R782" s="13" t="n">
        <v>84</v>
      </c>
      <c r="S782" s="13" t="n">
        <v>47</v>
      </c>
      <c r="T782" s="13" t="n">
        <v>303</v>
      </c>
      <c r="U782" s="13" t="n">
        <v>44</v>
      </c>
      <c r="V782" s="13" t="n">
        <v>280</v>
      </c>
      <c r="W782" s="13" t="n">
        <v>0.921</v>
      </c>
      <c r="X782" s="13" t="n">
        <v>115</v>
      </c>
      <c r="Y782" s="13" t="n">
        <v>146</v>
      </c>
      <c r="Z782" s="13" t="n">
        <v>187</v>
      </c>
      <c r="AA782" s="13" t="n">
        <v>8</v>
      </c>
      <c r="AB782" s="13" t="n">
        <v>5.5</v>
      </c>
      <c r="AC782" s="11" t="inlineStr">
        <is>
          <t xml:space="preserve"> Freeski</t>
        </is>
      </c>
      <c r="AD782" s="13" t="n"/>
      <c r="AE782" s="13" t="n"/>
      <c r="AF782" s="13" t="n"/>
      <c r="AG782" s="13" t="n"/>
    </row>
    <row r="783">
      <c r="A783" s="9" t="inlineStr">
        <is>
          <t>21/22</t>
        </is>
      </c>
      <c r="B783" s="10" t="inlineStr">
        <is>
          <t>K2</t>
        </is>
      </c>
      <c r="C783" s="11" t="inlineStr">
        <is>
          <t>Reckoner 92 Alliance</t>
        </is>
      </c>
      <c r="D783" s="13" t="n">
        <v>149</v>
      </c>
      <c r="E783" s="11" t="inlineStr">
        <is>
          <t xml:space="preserve"> Women's</t>
        </is>
      </c>
      <c r="F783" s="13" t="n">
        <v>149</v>
      </c>
      <c r="G783" s="13" t="n">
        <v>148.9</v>
      </c>
      <c r="H783" s="13" t="n">
        <v>98</v>
      </c>
      <c r="I783" s="13" t="n">
        <v>123</v>
      </c>
      <c r="J783" s="13" t="n">
        <v>124</v>
      </c>
      <c r="K783" s="13" t="n">
        <v>91</v>
      </c>
      <c r="L783" s="13" t="n">
        <v>113</v>
      </c>
      <c r="M783" s="13" t="n">
        <v>12.6</v>
      </c>
      <c r="N783" s="13" t="n">
        <v>1525</v>
      </c>
      <c r="O783" s="13" t="n">
        <v>0.99</v>
      </c>
      <c r="P783" s="13" t="n">
        <v>1516</v>
      </c>
      <c r="Q783" s="13" t="n">
        <v>164</v>
      </c>
      <c r="R783" s="13" t="n">
        <v>86</v>
      </c>
      <c r="S783" s="13" t="n">
        <v>47</v>
      </c>
      <c r="T783" s="13" t="n">
        <v>250</v>
      </c>
      <c r="U783" s="13" t="n">
        <v>41</v>
      </c>
      <c r="V783" s="13" t="n">
        <v>257</v>
      </c>
      <c r="W783" s="13" t="n">
        <v>0.881</v>
      </c>
      <c r="X783" s="13" t="n">
        <v>120</v>
      </c>
      <c r="Y783" s="13" t="n">
        <v>142</v>
      </c>
      <c r="Z783" s="13" t="n">
        <v>129</v>
      </c>
      <c r="AA783" s="13" t="n">
        <v>3</v>
      </c>
      <c r="AB783" s="13" t="n">
        <v>4</v>
      </c>
      <c r="AC783" s="11" t="inlineStr">
        <is>
          <t xml:space="preserve"> Freeski</t>
        </is>
      </c>
      <c r="AD783" s="13" t="n"/>
      <c r="AE783" s="13" t="n"/>
      <c r="AF783" s="13" t="n"/>
      <c r="AG783" s="13" t="n"/>
    </row>
    <row r="784">
      <c r="A784" s="9" t="inlineStr">
        <is>
          <t>21/22</t>
        </is>
      </c>
      <c r="B784" s="10" t="inlineStr">
        <is>
          <t>K2</t>
        </is>
      </c>
      <c r="C784" s="11" t="inlineStr">
        <is>
          <t>Reckoner 92 Alliance</t>
        </is>
      </c>
      <c r="D784" s="13" t="n">
        <v>159</v>
      </c>
      <c r="E784" s="11" t="inlineStr">
        <is>
          <t xml:space="preserve"> Women's</t>
        </is>
      </c>
      <c r="F784" s="13" t="n">
        <v>159</v>
      </c>
      <c r="G784" s="13" t="n">
        <v>158.9</v>
      </c>
      <c r="H784" s="13" t="n">
        <v>106</v>
      </c>
      <c r="I784" s="13" t="n">
        <v>134</v>
      </c>
      <c r="J784" s="13" t="n">
        <v>124</v>
      </c>
      <c r="K784" s="13" t="n">
        <v>91</v>
      </c>
      <c r="L784" s="13" t="n">
        <v>113</v>
      </c>
      <c r="M784" s="13" t="n">
        <v>14.9</v>
      </c>
      <c r="N784" s="13" t="n">
        <v>1562</v>
      </c>
      <c r="O784" s="13" t="n">
        <v>1.04</v>
      </c>
      <c r="P784" s="13" t="n">
        <v>1617</v>
      </c>
      <c r="Q784" s="13" t="n">
        <v>163</v>
      </c>
      <c r="R784" s="13" t="n">
        <v>75</v>
      </c>
      <c r="S784" s="13" t="n">
        <v>48</v>
      </c>
      <c r="T784" s="13" t="n">
        <v>270</v>
      </c>
      <c r="U784" s="13" t="n">
        <v>43</v>
      </c>
      <c r="V784" s="13" t="n">
        <v>262</v>
      </c>
      <c r="W784" s="13" t="n">
        <v>0.894</v>
      </c>
      <c r="X784" s="13" t="n">
        <v>116</v>
      </c>
      <c r="Y784" s="13" t="n">
        <v>131</v>
      </c>
      <c r="Z784" s="13" t="n">
        <v>154</v>
      </c>
      <c r="AA784" s="13" t="n">
        <v>6</v>
      </c>
      <c r="AB784" s="13" t="n">
        <v>4.8</v>
      </c>
      <c r="AC784" s="11" t="inlineStr">
        <is>
          <t xml:space="preserve"> Freeski</t>
        </is>
      </c>
      <c r="AD784" s="13" t="n"/>
      <c r="AE784" s="13" t="n"/>
      <c r="AF784" s="13" t="n"/>
      <c r="AG784" s="13" t="n"/>
    </row>
    <row r="785">
      <c r="A785" s="9" t="inlineStr">
        <is>
          <t>21/22</t>
        </is>
      </c>
      <c r="B785" s="10" t="inlineStr">
        <is>
          <t>K2</t>
        </is>
      </c>
      <c r="C785" s="11" t="inlineStr">
        <is>
          <t>Reckoner 92 Alliance</t>
        </is>
      </c>
      <c r="D785" s="13" t="n">
        <v>169</v>
      </c>
      <c r="E785" s="11" t="inlineStr">
        <is>
          <t xml:space="preserve"> Women's</t>
        </is>
      </c>
      <c r="F785" s="13" t="n">
        <v>169</v>
      </c>
      <c r="G785" s="13" t="n">
        <v>168.9</v>
      </c>
      <c r="H785" s="13" t="n">
        <v>117</v>
      </c>
      <c r="I785" s="13" t="n">
        <v>143</v>
      </c>
      <c r="J785" s="13" t="n">
        <v>123</v>
      </c>
      <c r="K785" s="13" t="n">
        <v>91</v>
      </c>
      <c r="L785" s="13" t="n">
        <v>113</v>
      </c>
      <c r="M785" s="13" t="n">
        <v>17.4</v>
      </c>
      <c r="N785" s="13" t="n">
        <v>1680</v>
      </c>
      <c r="O785" s="13" t="n">
        <v>1.02</v>
      </c>
      <c r="P785" s="13" t="n">
        <v>1716</v>
      </c>
      <c r="Q785" s="13" t="n">
        <v>155</v>
      </c>
      <c r="R785" s="13" t="n">
        <v>79</v>
      </c>
      <c r="S785" s="13" t="n">
        <v>49</v>
      </c>
      <c r="T785" s="13" t="n">
        <v>265</v>
      </c>
      <c r="U785" s="13" t="n">
        <v>40</v>
      </c>
      <c r="V785" s="13" t="n">
        <v>252</v>
      </c>
      <c r="W785" s="13" t="n">
        <v>0.831</v>
      </c>
      <c r="X785" s="13" t="n">
        <v>118</v>
      </c>
      <c r="Y785" s="13" t="n">
        <v>142</v>
      </c>
      <c r="Z785" s="13" t="n">
        <v>147</v>
      </c>
      <c r="AA785" s="13" t="n">
        <v>7</v>
      </c>
      <c r="AB785" s="13" t="n">
        <v>4.8</v>
      </c>
      <c r="AC785" s="11" t="inlineStr">
        <is>
          <t xml:space="preserve"> Resort Freeride</t>
        </is>
      </c>
      <c r="AD785" s="11" t="inlineStr">
        <is>
          <t xml:space="preserve"> Freeski</t>
        </is>
      </c>
      <c r="AE785" s="13" t="n"/>
      <c r="AF785" s="13" t="n"/>
      <c r="AG785" s="13" t="n"/>
    </row>
    <row r="786">
      <c r="A786" s="9" t="inlineStr">
        <is>
          <t>21/22</t>
        </is>
      </c>
      <c r="B786" s="10" t="inlineStr">
        <is>
          <t>K2</t>
        </is>
      </c>
      <c r="C786" s="11" t="inlineStr">
        <is>
          <t xml:space="preserve"> Sight</t>
        </is>
      </c>
      <c r="D786" s="13" t="n">
        <v>159</v>
      </c>
      <c r="E786" s="11" t="inlineStr">
        <is>
          <t xml:space="preserve"> Unisex</t>
        </is>
      </c>
      <c r="F786" s="13" t="n">
        <v>159</v>
      </c>
      <c r="G786" s="13" t="n">
        <v>159.9</v>
      </c>
      <c r="H786" s="13" t="n">
        <v>123</v>
      </c>
      <c r="I786" s="13" t="n">
        <v>128</v>
      </c>
      <c r="J786" s="13" t="n">
        <v>116</v>
      </c>
      <c r="K786" s="13" t="n">
        <v>87</v>
      </c>
      <c r="L786" s="13" t="n">
        <v>110</v>
      </c>
      <c r="M786" s="13" t="n">
        <v>14.4</v>
      </c>
      <c r="N786" s="13" t="n">
        <v>1658</v>
      </c>
      <c r="O786" s="13" t="n">
        <v>0.9399999999999999</v>
      </c>
      <c r="P786" s="13" t="n">
        <v>1557</v>
      </c>
      <c r="Q786" s="13" t="n">
        <v>154</v>
      </c>
      <c r="R786" s="13" t="n">
        <v>78</v>
      </c>
      <c r="S786" s="13" t="n">
        <v>46</v>
      </c>
      <c r="T786" s="13" t="n">
        <v>181</v>
      </c>
      <c r="U786" s="13" t="n">
        <v>44</v>
      </c>
      <c r="V786" s="13" t="n">
        <v>189</v>
      </c>
      <c r="W786" s="13" t="n">
        <v>0.951</v>
      </c>
      <c r="X786" s="13" t="n">
        <v>162</v>
      </c>
      <c r="Y786" s="13" t="n">
        <v>159</v>
      </c>
      <c r="Z786" s="13" t="n">
        <v>19</v>
      </c>
      <c r="AA786" s="13" t="n">
        <v>7</v>
      </c>
      <c r="AB786" s="13" t="n">
        <v>3.7</v>
      </c>
      <c r="AC786" s="11" t="inlineStr">
        <is>
          <t xml:space="preserve"> Freeski</t>
        </is>
      </c>
      <c r="AD786" s="13" t="n"/>
      <c r="AE786" s="13" t="n"/>
      <c r="AF786" s="13" t="n"/>
      <c r="AG786" s="13" t="n"/>
    </row>
    <row r="787">
      <c r="A787" s="9" t="inlineStr">
        <is>
          <t>21/22</t>
        </is>
      </c>
      <c r="B787" s="10" t="inlineStr">
        <is>
          <t>K2</t>
        </is>
      </c>
      <c r="C787" s="11" t="inlineStr">
        <is>
          <t xml:space="preserve"> Sight</t>
        </is>
      </c>
      <c r="D787" s="13" t="n">
        <v>169</v>
      </c>
      <c r="E787" s="11" t="inlineStr">
        <is>
          <t xml:space="preserve"> Unisex</t>
        </is>
      </c>
      <c r="F787" s="13" t="n">
        <v>169</v>
      </c>
      <c r="G787" s="13" t="n">
        <v>169.7</v>
      </c>
      <c r="H787" s="13" t="n">
        <v>131</v>
      </c>
      <c r="I787" s="13" t="n">
        <v>137</v>
      </c>
      <c r="J787" s="13" t="n">
        <v>116</v>
      </c>
      <c r="K787" s="13" t="n">
        <v>87</v>
      </c>
      <c r="L787" s="13" t="n">
        <v>110</v>
      </c>
      <c r="M787" s="13" t="n">
        <v>16.9</v>
      </c>
      <c r="N787" s="13" t="n">
        <v>1772</v>
      </c>
      <c r="O787" s="13" t="n">
        <v>0.9399999999999999</v>
      </c>
      <c r="P787" s="13" t="n">
        <v>1663</v>
      </c>
      <c r="Q787" s="13" t="n">
        <v>166</v>
      </c>
      <c r="R787" s="13" t="n">
        <v>85</v>
      </c>
      <c r="S787" s="13" t="n">
        <v>49</v>
      </c>
      <c r="T787" s="13" t="n">
        <v>190</v>
      </c>
      <c r="U787" s="13" t="n">
        <v>48</v>
      </c>
      <c r="V787" s="13" t="n">
        <v>200</v>
      </c>
      <c r="W787" s="13" t="n">
        <v>0.963</v>
      </c>
      <c r="X787" s="13" t="n">
        <v>163</v>
      </c>
      <c r="Y787" s="13" t="n">
        <v>167</v>
      </c>
      <c r="Z787" s="13" t="n">
        <v>26</v>
      </c>
      <c r="AA787" s="13" t="n">
        <v>7</v>
      </c>
      <c r="AB787" s="13" t="n">
        <v>4</v>
      </c>
      <c r="AC787" s="11" t="inlineStr">
        <is>
          <t xml:space="preserve"> Freeski</t>
        </is>
      </c>
      <c r="AD787" s="13" t="n"/>
      <c r="AE787" s="13" t="n"/>
      <c r="AF787" s="13" t="n"/>
      <c r="AG787" s="13" t="n"/>
    </row>
    <row r="788">
      <c r="A788" s="9" t="inlineStr">
        <is>
          <t>21/22</t>
        </is>
      </c>
      <c r="B788" s="10" t="inlineStr">
        <is>
          <t>K2</t>
        </is>
      </c>
      <c r="C788" s="11" t="inlineStr">
        <is>
          <t xml:space="preserve"> Sight</t>
        </is>
      </c>
      <c r="D788" s="13" t="n">
        <v>179</v>
      </c>
      <c r="E788" s="11" t="inlineStr">
        <is>
          <t xml:space="preserve"> Unisex</t>
        </is>
      </c>
      <c r="F788" s="13" t="n">
        <v>179</v>
      </c>
      <c r="G788" s="13" t="n">
        <v>180.1</v>
      </c>
      <c r="H788" s="13" t="n">
        <v>143</v>
      </c>
      <c r="I788" s="13" t="n">
        <v>148</v>
      </c>
      <c r="J788" s="13" t="n">
        <v>116</v>
      </c>
      <c r="K788" s="13" t="n">
        <v>87</v>
      </c>
      <c r="L788" s="13" t="n">
        <v>110</v>
      </c>
      <c r="M788" s="13" t="n">
        <v>19.4</v>
      </c>
      <c r="N788" s="13" t="n">
        <v>1948</v>
      </c>
      <c r="O788" s="13" t="n">
        <v>0.9</v>
      </c>
      <c r="P788" s="13" t="n">
        <v>1759</v>
      </c>
      <c r="Q788" s="13" t="n">
        <v>190</v>
      </c>
      <c r="R788" s="13" t="n">
        <v>90</v>
      </c>
      <c r="S788" s="13" t="n">
        <v>46</v>
      </c>
      <c r="T788" s="13" t="n">
        <v>176</v>
      </c>
      <c r="U788" s="13" t="n">
        <v>43</v>
      </c>
      <c r="V788" s="13" t="n">
        <v>198</v>
      </c>
      <c r="W788" s="13" t="n">
        <v>0.945</v>
      </c>
      <c r="X788" s="13" t="n">
        <v>157</v>
      </c>
      <c r="Y788" s="13" t="n">
        <v>160</v>
      </c>
      <c r="Z788" s="13" t="n">
        <v>19</v>
      </c>
      <c r="AA788" s="13" t="n">
        <v>10</v>
      </c>
      <c r="AB788" s="13" t="n">
        <v>4.6</v>
      </c>
      <c r="AC788" s="11" t="inlineStr">
        <is>
          <t xml:space="preserve"> Freeski</t>
        </is>
      </c>
      <c r="AD788" s="13" t="n"/>
      <c r="AE788" s="13" t="n"/>
      <c r="AF788" s="13" t="n"/>
      <c r="AG788" s="13" t="n"/>
    </row>
    <row r="789">
      <c r="A789" s="9" t="inlineStr">
        <is>
          <t>21/22</t>
        </is>
      </c>
      <c r="B789" s="10" t="inlineStr">
        <is>
          <t>K2</t>
        </is>
      </c>
      <c r="C789" s="11" t="inlineStr">
        <is>
          <t>Talkback 88</t>
        </is>
      </c>
      <c r="D789" s="13" t="n">
        <v>153</v>
      </c>
      <c r="E789" s="11" t="inlineStr">
        <is>
          <t xml:space="preserve"> Women's</t>
        </is>
      </c>
      <c r="F789" s="13" t="n">
        <v>153</v>
      </c>
      <c r="G789" s="13" t="n">
        <v>151.7</v>
      </c>
      <c r="H789" s="13" t="n">
        <v>114</v>
      </c>
      <c r="I789" s="13" t="n">
        <v>127</v>
      </c>
      <c r="J789" s="13" t="n">
        <v>120</v>
      </c>
      <c r="K789" s="13" t="n">
        <v>87</v>
      </c>
      <c r="L789" s="13" t="n">
        <v>108</v>
      </c>
      <c r="M789" s="13" t="n">
        <v>15</v>
      </c>
      <c r="N789" s="13" t="n">
        <v>1048</v>
      </c>
      <c r="O789" s="13" t="n">
        <v>1.41</v>
      </c>
      <c r="P789" s="13" t="n">
        <v>1477</v>
      </c>
      <c r="Q789" s="13" t="n">
        <v>128</v>
      </c>
      <c r="R789" s="13" t="n">
        <v>53</v>
      </c>
      <c r="S789" s="13" t="n">
        <v>43</v>
      </c>
      <c r="T789" s="13" t="n">
        <v>257</v>
      </c>
      <c r="U789" s="13" t="n">
        <v>6</v>
      </c>
      <c r="V789" s="13" t="n">
        <v>120</v>
      </c>
      <c r="W789" s="13" t="n">
        <v>0.141</v>
      </c>
      <c r="X789" s="13" t="n">
        <v>145</v>
      </c>
      <c r="Y789" s="13" t="n">
        <v>97</v>
      </c>
      <c r="Z789" s="13" t="n">
        <v>111</v>
      </c>
      <c r="AA789" s="13" t="n">
        <v>9</v>
      </c>
      <c r="AB789" s="13" t="n">
        <v>11</v>
      </c>
      <c r="AC789" s="11" t="inlineStr">
        <is>
          <t xml:space="preserve"> Touring</t>
        </is>
      </c>
      <c r="AD789" s="11" t="inlineStr">
        <is>
          <t xml:space="preserve"> Ultralight Touring</t>
        </is>
      </c>
      <c r="AE789" s="13" t="n"/>
      <c r="AF789" s="13" t="n"/>
      <c r="AG789" s="13" t="n"/>
    </row>
    <row r="790">
      <c r="A790" s="9" t="inlineStr">
        <is>
          <t>21/22</t>
        </is>
      </c>
      <c r="B790" s="10" t="inlineStr">
        <is>
          <t>K2</t>
        </is>
      </c>
      <c r="C790" s="11" t="inlineStr">
        <is>
          <t>Talkback 88</t>
        </is>
      </c>
      <c r="D790" s="13" t="n">
        <v>160</v>
      </c>
      <c r="E790" s="11" t="inlineStr">
        <is>
          <t xml:space="preserve"> Women's</t>
        </is>
      </c>
      <c r="F790" s="13" t="n">
        <v>160</v>
      </c>
      <c r="G790" s="13" t="n">
        <v>159.7</v>
      </c>
      <c r="H790" s="13" t="n">
        <v>120</v>
      </c>
      <c r="I790" s="13" t="n">
        <v>134</v>
      </c>
      <c r="J790" s="13" t="n">
        <v>120</v>
      </c>
      <c r="K790" s="13" t="n">
        <v>87</v>
      </c>
      <c r="L790" s="13" t="n">
        <v>108</v>
      </c>
      <c r="M790" s="13" t="n">
        <v>16.3</v>
      </c>
      <c r="N790" s="13" t="n">
        <v>1117</v>
      </c>
      <c r="O790" s="13" t="n">
        <v>1.39</v>
      </c>
      <c r="P790" s="13" t="n">
        <v>1552</v>
      </c>
      <c r="Q790" s="13" t="n">
        <v>136</v>
      </c>
      <c r="R790" s="13" t="n">
        <v>59</v>
      </c>
      <c r="S790" s="13" t="n">
        <v>44</v>
      </c>
      <c r="T790" s="13" t="n">
        <v>297</v>
      </c>
      <c r="U790" s="13" t="n">
        <v>5</v>
      </c>
      <c r="V790" s="13" t="n">
        <v>99</v>
      </c>
      <c r="W790" s="13" t="n">
        <v>0.114</v>
      </c>
      <c r="X790" s="13" t="n">
        <v>158</v>
      </c>
      <c r="Y790" s="13" t="n">
        <v>97</v>
      </c>
      <c r="Z790" s="13" t="n">
        <v>139</v>
      </c>
      <c r="AA790" s="13" t="n">
        <v>8</v>
      </c>
      <c r="AB790" s="13" t="n">
        <v>12</v>
      </c>
      <c r="AC790" s="11" t="inlineStr">
        <is>
          <t xml:space="preserve"> Touring</t>
        </is>
      </c>
      <c r="AD790" s="11" t="inlineStr">
        <is>
          <t xml:space="preserve"> Ultralight Touring</t>
        </is>
      </c>
      <c r="AE790" s="13" t="n"/>
      <c r="AF790" s="13" t="n"/>
      <c r="AG790" s="13" t="n"/>
    </row>
    <row r="791">
      <c r="A791" s="9" t="inlineStr">
        <is>
          <t>21/22</t>
        </is>
      </c>
      <c r="B791" s="10" t="inlineStr">
        <is>
          <t>K2</t>
        </is>
      </c>
      <c r="C791" s="11" t="inlineStr">
        <is>
          <t>Talkback 88</t>
        </is>
      </c>
      <c r="D791" s="13" t="n">
        <v>167</v>
      </c>
      <c r="E791" s="11" t="inlineStr">
        <is>
          <t xml:space="preserve"> Women's</t>
        </is>
      </c>
      <c r="F791" s="13" t="n">
        <v>167</v>
      </c>
      <c r="G791" s="13" t="n">
        <v>166.6</v>
      </c>
      <c r="H791" s="13" t="n">
        <v>130</v>
      </c>
      <c r="I791" s="13" t="n">
        <v>141</v>
      </c>
      <c r="J791" s="13" t="n">
        <v>120</v>
      </c>
      <c r="K791" s="13" t="n">
        <v>87</v>
      </c>
      <c r="L791" s="13" t="n">
        <v>108</v>
      </c>
      <c r="M791" s="13" t="n">
        <v>18</v>
      </c>
      <c r="N791" s="13" t="n">
        <v>1185</v>
      </c>
      <c r="O791" s="13" t="n">
        <v>1.37</v>
      </c>
      <c r="P791" s="13" t="n">
        <v>1625</v>
      </c>
      <c r="Q791" s="13" t="n">
        <v>158</v>
      </c>
      <c r="R791" s="13" t="n">
        <v>69</v>
      </c>
      <c r="S791" s="13" t="n">
        <v>46</v>
      </c>
      <c r="T791" s="13" t="n">
        <v>255</v>
      </c>
      <c r="U791" s="13" t="n">
        <v>7</v>
      </c>
      <c r="V791" s="13" t="n">
        <v>114</v>
      </c>
      <c r="W791" s="13" t="n">
        <v>0.159</v>
      </c>
      <c r="X791" s="13" t="n">
        <v>154</v>
      </c>
      <c r="Y791" s="13" t="n">
        <v>101</v>
      </c>
      <c r="Z791" s="13" t="n">
        <v>101</v>
      </c>
      <c r="AA791" s="13" t="n">
        <v>9</v>
      </c>
      <c r="AB791" s="13" t="n">
        <v>11.8</v>
      </c>
      <c r="AC791" s="11" t="inlineStr">
        <is>
          <t xml:space="preserve"> Touring</t>
        </is>
      </c>
      <c r="AD791" s="11" t="inlineStr">
        <is>
          <t xml:space="preserve"> Ultralight Touring</t>
        </is>
      </c>
      <c r="AE791" s="13" t="n"/>
      <c r="AF791" s="13" t="n"/>
      <c r="AG791" s="13" t="n"/>
    </row>
    <row r="792">
      <c r="A792" s="9" t="inlineStr">
        <is>
          <t>21/22</t>
        </is>
      </c>
      <c r="B792" s="10" t="inlineStr">
        <is>
          <t>K2</t>
        </is>
      </c>
      <c r="C792" s="11" t="inlineStr">
        <is>
          <t>Talkback 96</t>
        </is>
      </c>
      <c r="D792" s="13" t="n">
        <v>156</v>
      </c>
      <c r="E792" s="11" t="inlineStr">
        <is>
          <t xml:space="preserve"> Women's</t>
        </is>
      </c>
      <c r="F792" s="13" t="n">
        <v>156</v>
      </c>
      <c r="G792" s="13" t="n">
        <v>155.7</v>
      </c>
      <c r="H792" s="13" t="n">
        <v>116</v>
      </c>
      <c r="I792" s="13" t="n">
        <v>129</v>
      </c>
      <c r="J792" s="13" t="n">
        <v>127</v>
      </c>
      <c r="K792" s="13" t="n">
        <v>95</v>
      </c>
      <c r="L792" s="13" t="n">
        <v>114</v>
      </c>
      <c r="M792" s="13" t="n">
        <v>16.3</v>
      </c>
      <c r="N792" s="13" t="n">
        <v>1129</v>
      </c>
      <c r="O792" s="13" t="n">
        <v>1.44</v>
      </c>
      <c r="P792" s="13" t="n">
        <v>1626</v>
      </c>
      <c r="Q792" s="13" t="n">
        <v>127</v>
      </c>
      <c r="R792" s="13" t="n">
        <v>57</v>
      </c>
      <c r="S792" s="13" t="n">
        <v>51</v>
      </c>
      <c r="T792" s="13" t="n">
        <v>273</v>
      </c>
      <c r="U792" s="13" t="n">
        <v>7</v>
      </c>
      <c r="V792" s="13" t="n">
        <v>129</v>
      </c>
      <c r="W792" s="13" t="n">
        <v>0.135</v>
      </c>
      <c r="X792" s="13" t="n">
        <v>159</v>
      </c>
      <c r="Y792" s="13" t="n">
        <v>109</v>
      </c>
      <c r="Z792" s="13" t="n">
        <v>114</v>
      </c>
      <c r="AA792" s="13" t="n">
        <v>7</v>
      </c>
      <c r="AB792" s="13" t="n">
        <v>12</v>
      </c>
      <c r="AC792" s="11" t="inlineStr">
        <is>
          <t xml:space="preserve"> Touring</t>
        </is>
      </c>
      <c r="AD792" s="11" t="inlineStr">
        <is>
          <t xml:space="preserve"> Ultralight Touring</t>
        </is>
      </c>
      <c r="AE792" s="13" t="n"/>
      <c r="AF792" s="13" t="n"/>
      <c r="AG792" s="13" t="n"/>
    </row>
    <row r="793">
      <c r="A793" s="9" t="inlineStr">
        <is>
          <t>21/22</t>
        </is>
      </c>
      <c r="B793" s="10" t="inlineStr">
        <is>
          <t>K2</t>
        </is>
      </c>
      <c r="C793" s="11" t="inlineStr">
        <is>
          <t>Talkback 96</t>
        </is>
      </c>
      <c r="D793" s="13" t="n">
        <v>163</v>
      </c>
      <c r="E793" s="11" t="inlineStr">
        <is>
          <t xml:space="preserve"> Women's</t>
        </is>
      </c>
      <c r="F793" s="13" t="n">
        <v>163</v>
      </c>
      <c r="G793" s="13" t="n">
        <v>162.7</v>
      </c>
      <c r="H793" s="13" t="n">
        <v>116</v>
      </c>
      <c r="I793" s="13" t="n">
        <v>136</v>
      </c>
      <c r="J793" s="13" t="n">
        <v>126</v>
      </c>
      <c r="K793" s="13" t="n">
        <v>95</v>
      </c>
      <c r="L793" s="13" t="n">
        <v>114</v>
      </c>
      <c r="M793" s="13" t="n">
        <v>18</v>
      </c>
      <c r="N793" s="13" t="n">
        <v>1206</v>
      </c>
      <c r="O793" s="13" t="n">
        <v>1.41</v>
      </c>
      <c r="P793" s="13" t="n">
        <v>1700</v>
      </c>
      <c r="Q793" s="13" t="n">
        <v>151</v>
      </c>
      <c r="R793" s="13" t="n">
        <v>65</v>
      </c>
      <c r="S793" s="13" t="n">
        <v>51</v>
      </c>
      <c r="T793" s="13" t="n">
        <v>304</v>
      </c>
      <c r="U793" s="13" t="n">
        <v>11</v>
      </c>
      <c r="V793" s="13" t="n">
        <v>165</v>
      </c>
      <c r="W793" s="13" t="n">
        <v>0.226</v>
      </c>
      <c r="X793" s="13" t="n">
        <v>160</v>
      </c>
      <c r="Y793" s="13" t="n">
        <v>108</v>
      </c>
      <c r="Z793" s="13" t="n">
        <v>144</v>
      </c>
      <c r="AA793" s="13" t="n">
        <v>5</v>
      </c>
      <c r="AB793" s="13" t="n">
        <v>11.8</v>
      </c>
      <c r="AC793" s="11" t="inlineStr">
        <is>
          <t xml:space="preserve"> Touring</t>
        </is>
      </c>
      <c r="AD793" s="11" t="inlineStr">
        <is>
          <t xml:space="preserve"> Ultralight Touring</t>
        </is>
      </c>
      <c r="AE793" s="13" t="n"/>
      <c r="AF793" s="13" t="n"/>
      <c r="AG793" s="13" t="n"/>
    </row>
    <row r="794">
      <c r="A794" s="9" t="inlineStr">
        <is>
          <t>21/22</t>
        </is>
      </c>
      <c r="B794" s="10" t="inlineStr">
        <is>
          <t>K2</t>
        </is>
      </c>
      <c r="C794" s="11" t="inlineStr">
        <is>
          <t>Talkback 96</t>
        </is>
      </c>
      <c r="D794" s="13" t="n">
        <v>170</v>
      </c>
      <c r="E794" s="11" t="inlineStr">
        <is>
          <t xml:space="preserve"> Women's</t>
        </is>
      </c>
      <c r="F794" s="13" t="n">
        <v>170</v>
      </c>
      <c r="G794" s="13" t="n">
        <v>169.7</v>
      </c>
      <c r="H794" s="13" t="n">
        <v>124</v>
      </c>
      <c r="I794" s="13" t="n">
        <v>143</v>
      </c>
      <c r="J794" s="13" t="n">
        <v>127</v>
      </c>
      <c r="K794" s="13" t="n">
        <v>95</v>
      </c>
      <c r="L794" s="13" t="n">
        <v>114</v>
      </c>
      <c r="M794" s="13" t="n">
        <v>19.8</v>
      </c>
      <c r="N794" s="13" t="n">
        <v>1305</v>
      </c>
      <c r="O794" s="13" t="n">
        <v>1.36</v>
      </c>
      <c r="P794" s="13" t="n">
        <v>1773</v>
      </c>
      <c r="Q794" s="13" t="n">
        <v>173</v>
      </c>
      <c r="R794" s="13" t="n">
        <v>80</v>
      </c>
      <c r="S794" s="13" t="n">
        <v>49</v>
      </c>
      <c r="T794" s="13" t="n">
        <v>295</v>
      </c>
      <c r="U794" s="13" t="n">
        <v>8</v>
      </c>
      <c r="V794" s="13" t="n">
        <v>164</v>
      </c>
      <c r="W794" s="13" t="n">
        <v>0.162</v>
      </c>
      <c r="X794" s="13" t="n">
        <v>161</v>
      </c>
      <c r="Y794" s="13" t="n">
        <v>109</v>
      </c>
      <c r="Z794" s="13" t="n">
        <v>134</v>
      </c>
      <c r="AA794" s="13" t="n">
        <v>5</v>
      </c>
      <c r="AB794" s="13" t="n">
        <v>11.7</v>
      </c>
      <c r="AC794" s="11" t="inlineStr">
        <is>
          <t xml:space="preserve"> Touring</t>
        </is>
      </c>
      <c r="AD794" s="11" t="inlineStr">
        <is>
          <t xml:space="preserve"> Ultralight Touring</t>
        </is>
      </c>
      <c r="AE794" s="13" t="n"/>
      <c r="AF794" s="13" t="n"/>
      <c r="AG794" s="13" t="n"/>
    </row>
    <row r="795">
      <c r="A795" s="9" t="inlineStr">
        <is>
          <t>21/22</t>
        </is>
      </c>
      <c r="B795" s="10" t="inlineStr">
        <is>
          <t>K2</t>
        </is>
      </c>
      <c r="C795" s="11" t="inlineStr">
        <is>
          <t>Wayback 106</t>
        </is>
      </c>
      <c r="D795" s="13" t="n">
        <v>172</v>
      </c>
      <c r="E795" s="11" t="inlineStr">
        <is>
          <t xml:space="preserve"> Unisex</t>
        </is>
      </c>
      <c r="F795" s="13" t="n">
        <v>172</v>
      </c>
      <c r="G795" s="13" t="n">
        <v>171.9</v>
      </c>
      <c r="H795" s="13" t="n">
        <v>114</v>
      </c>
      <c r="I795" s="13" t="n">
        <v>141</v>
      </c>
      <c r="J795" s="13" t="n">
        <v>135</v>
      </c>
      <c r="K795" s="13" t="n">
        <v>105</v>
      </c>
      <c r="L795" s="13" t="n">
        <v>123</v>
      </c>
      <c r="M795" s="13" t="n">
        <v>19.9</v>
      </c>
      <c r="N795" s="13" t="n">
        <v>1456</v>
      </c>
      <c r="O795" s="13" t="n">
        <v>1.34</v>
      </c>
      <c r="P795" s="13" t="n">
        <v>1957</v>
      </c>
      <c r="Q795" s="13" t="n">
        <v>169</v>
      </c>
      <c r="R795" s="13" t="n">
        <v>88</v>
      </c>
      <c r="S795" s="13" t="n">
        <v>45</v>
      </c>
      <c r="T795" s="13" t="n">
        <v>351</v>
      </c>
      <c r="U795" s="13" t="n">
        <v>11</v>
      </c>
      <c r="V795" s="13" t="n">
        <v>233</v>
      </c>
      <c r="W795" s="13" t="n">
        <v>0.247</v>
      </c>
      <c r="X795" s="13" t="n">
        <v>175</v>
      </c>
      <c r="Y795" s="13" t="n">
        <v>130</v>
      </c>
      <c r="Z795" s="13" t="n">
        <v>176</v>
      </c>
      <c r="AA795" s="13" t="n">
        <v>6</v>
      </c>
      <c r="AB795" s="13" t="n">
        <v>13.5</v>
      </c>
      <c r="AC795" s="11" t="inlineStr">
        <is>
          <t xml:space="preserve"> Big Mountain</t>
        </is>
      </c>
      <c r="AD795" s="11" t="inlineStr">
        <is>
          <t xml:space="preserve"> Touring</t>
        </is>
      </c>
      <c r="AE795" s="11" t="inlineStr">
        <is>
          <t xml:space="preserve"> Ultralight Touring</t>
        </is>
      </c>
      <c r="AF795" s="13" t="n"/>
      <c r="AG795" s="13" t="n"/>
    </row>
    <row r="796">
      <c r="A796" s="9" t="inlineStr">
        <is>
          <t>21/22</t>
        </is>
      </c>
      <c r="B796" s="10" t="inlineStr">
        <is>
          <t>K2</t>
        </is>
      </c>
      <c r="C796" s="11" t="inlineStr">
        <is>
          <t>Wayback 106</t>
        </is>
      </c>
      <c r="D796" s="13" t="n">
        <v>179</v>
      </c>
      <c r="E796" s="11" t="inlineStr">
        <is>
          <t xml:space="preserve"> Unisex</t>
        </is>
      </c>
      <c r="F796" s="13" t="n">
        <v>179</v>
      </c>
      <c r="G796" s="13" t="n">
        <v>178.9</v>
      </c>
      <c r="H796" s="13" t="n">
        <v>108</v>
      </c>
      <c r="I796" s="13" t="n">
        <v>148</v>
      </c>
      <c r="J796" s="13" t="n">
        <v>135</v>
      </c>
      <c r="K796" s="13" t="n">
        <v>105</v>
      </c>
      <c r="L796" s="13" t="n">
        <v>123</v>
      </c>
      <c r="M796" s="13" t="n">
        <v>21.6</v>
      </c>
      <c r="N796" s="13" t="n">
        <v>1522</v>
      </c>
      <c r="O796" s="13" t="n">
        <v>1.34</v>
      </c>
      <c r="P796" s="13" t="n">
        <v>2039</v>
      </c>
      <c r="Q796" s="13" t="n">
        <v>195</v>
      </c>
      <c r="R796" s="13" t="n">
        <v>96</v>
      </c>
      <c r="S796" s="13" t="n">
        <v>47</v>
      </c>
      <c r="T796" s="13" t="n">
        <v>458</v>
      </c>
      <c r="U796" s="13" t="n">
        <v>16</v>
      </c>
      <c r="V796" s="13" t="n">
        <v>255</v>
      </c>
      <c r="W796" s="13" t="n">
        <v>0.34</v>
      </c>
      <c r="X796" s="13" t="n">
        <v>181</v>
      </c>
      <c r="Y796" s="13" t="n">
        <v>133</v>
      </c>
      <c r="Z796" s="13" t="n">
        <v>276</v>
      </c>
      <c r="AA796" s="13" t="n">
        <v>3</v>
      </c>
      <c r="AB796" s="13" t="n">
        <v>13.2</v>
      </c>
      <c r="AC796" s="11" t="inlineStr">
        <is>
          <t xml:space="preserve"> Big Mountain</t>
        </is>
      </c>
      <c r="AD796" s="11" t="inlineStr">
        <is>
          <t xml:space="preserve"> Touring</t>
        </is>
      </c>
      <c r="AE796" s="11" t="inlineStr">
        <is>
          <t xml:space="preserve"> Ultralight Touring</t>
        </is>
      </c>
      <c r="AF796" s="13" t="n"/>
      <c r="AG796" s="13" t="n"/>
    </row>
    <row r="797">
      <c r="A797" s="9" t="inlineStr">
        <is>
          <t>21/22</t>
        </is>
      </c>
      <c r="B797" s="10" t="inlineStr">
        <is>
          <t>K2</t>
        </is>
      </c>
      <c r="C797" s="11" t="inlineStr">
        <is>
          <t>Wayback 106</t>
        </is>
      </c>
      <c r="D797" s="13" t="n">
        <v>186</v>
      </c>
      <c r="E797" s="11" t="inlineStr">
        <is>
          <t xml:space="preserve"> Unisex</t>
        </is>
      </c>
      <c r="F797" s="13" t="n">
        <v>186</v>
      </c>
      <c r="G797" s="13" t="n">
        <v>185.7</v>
      </c>
      <c r="H797" s="13" t="n">
        <v>129</v>
      </c>
      <c r="I797" s="13" t="n">
        <v>152</v>
      </c>
      <c r="J797" s="13" t="n">
        <v>136</v>
      </c>
      <c r="K797" s="13" t="n">
        <v>105</v>
      </c>
      <c r="L797" s="13" t="n">
        <v>123</v>
      </c>
      <c r="M797" s="13" t="n">
        <v>23.7</v>
      </c>
      <c r="N797" s="13" t="n">
        <v>1680</v>
      </c>
      <c r="O797" s="13" t="n">
        <v>1.26</v>
      </c>
      <c r="P797" s="13" t="n">
        <v>2121</v>
      </c>
      <c r="Q797" s="13" t="n">
        <v>224</v>
      </c>
      <c r="R797" s="13" t="n">
        <v>115</v>
      </c>
      <c r="S797" s="13" t="n">
        <v>42</v>
      </c>
      <c r="T797" s="13" t="n">
        <v>358</v>
      </c>
      <c r="U797" s="13" t="n">
        <v>13</v>
      </c>
      <c r="V797" s="13" t="n">
        <v>210</v>
      </c>
      <c r="W797" s="13" t="n">
        <v>0.318</v>
      </c>
      <c r="X797" s="13" t="n">
        <v>195</v>
      </c>
      <c r="Y797" s="13" t="n">
        <v>138</v>
      </c>
      <c r="Z797" s="13" t="n">
        <v>163</v>
      </c>
      <c r="AA797" s="13" t="n">
        <v>6</v>
      </c>
      <c r="AB797" s="13" t="n">
        <v>12.9</v>
      </c>
      <c r="AC797" s="11" t="inlineStr">
        <is>
          <t xml:space="preserve"> Big Mountain</t>
        </is>
      </c>
      <c r="AD797" s="11" t="inlineStr">
        <is>
          <t xml:space="preserve"> Touring</t>
        </is>
      </c>
      <c r="AE797" s="11" t="inlineStr">
        <is>
          <t xml:space="preserve"> Ultralight Touring</t>
        </is>
      </c>
      <c r="AF797" s="13" t="n"/>
      <c r="AG797" s="13" t="n"/>
    </row>
    <row r="798">
      <c r="A798" s="9" t="inlineStr">
        <is>
          <t>21/22</t>
        </is>
      </c>
      <c r="B798" s="10" t="inlineStr">
        <is>
          <t>K2</t>
        </is>
      </c>
      <c r="C798" s="11" t="inlineStr">
        <is>
          <t>Wayback 88</t>
        </is>
      </c>
      <c r="D798" s="13" t="n">
        <v>160</v>
      </c>
      <c r="E798" s="11" t="inlineStr">
        <is>
          <t xml:space="preserve"> Unisex</t>
        </is>
      </c>
      <c r="F798" s="13" t="n">
        <v>160</v>
      </c>
      <c r="G798" s="13" t="n">
        <v>159.4</v>
      </c>
      <c r="H798" s="13" t="n">
        <v>115</v>
      </c>
      <c r="I798" s="13" t="n">
        <v>134</v>
      </c>
      <c r="J798" s="13" t="n">
        <v>120</v>
      </c>
      <c r="K798" s="13" t="n">
        <v>87</v>
      </c>
      <c r="L798" s="13" t="n">
        <v>108</v>
      </c>
      <c r="M798" s="13" t="n">
        <v>16.5</v>
      </c>
      <c r="N798" s="13" t="n">
        <v>1100</v>
      </c>
      <c r="O798" s="13" t="n">
        <v>1.41</v>
      </c>
      <c r="P798" s="13" t="n">
        <v>1554</v>
      </c>
      <c r="Q798" s="13" t="n">
        <v>149</v>
      </c>
      <c r="R798" s="13" t="n">
        <v>62</v>
      </c>
      <c r="S798" s="13" t="n">
        <v>46</v>
      </c>
      <c r="T798" s="13" t="n">
        <v>295</v>
      </c>
      <c r="U798" s="13" t="n">
        <v>7</v>
      </c>
      <c r="V798" s="13" t="n">
        <v>147</v>
      </c>
      <c r="W798" s="13" t="n">
        <v>0.161</v>
      </c>
      <c r="X798" s="13" t="n">
        <v>153</v>
      </c>
      <c r="Y798" s="13" t="n">
        <v>98</v>
      </c>
      <c r="Z798" s="13" t="n">
        <v>142</v>
      </c>
      <c r="AA798" s="13" t="n">
        <v>8</v>
      </c>
      <c r="AB798" s="13" t="n">
        <v>10.6</v>
      </c>
      <c r="AC798" s="11" t="inlineStr">
        <is>
          <t xml:space="preserve"> Touring</t>
        </is>
      </c>
      <c r="AD798" s="11" t="inlineStr">
        <is>
          <t xml:space="preserve"> Ultralight Touring</t>
        </is>
      </c>
      <c r="AE798" s="13" t="n"/>
      <c r="AF798" s="13" t="n"/>
      <c r="AG798" s="13" t="n"/>
    </row>
    <row r="799">
      <c r="A799" s="9" t="inlineStr">
        <is>
          <t>21/22</t>
        </is>
      </c>
      <c r="B799" s="10" t="inlineStr">
        <is>
          <t>K2</t>
        </is>
      </c>
      <c r="C799" s="11" t="inlineStr">
        <is>
          <t>Wayback 88</t>
        </is>
      </c>
      <c r="D799" s="13" t="n">
        <v>167</v>
      </c>
      <c r="E799" s="11" t="inlineStr">
        <is>
          <t xml:space="preserve"> Unisex</t>
        </is>
      </c>
      <c r="F799" s="13" t="n">
        <v>167</v>
      </c>
      <c r="G799" s="13" t="n">
        <v>167</v>
      </c>
      <c r="H799" s="13" t="n">
        <v>126</v>
      </c>
      <c r="I799" s="13" t="n">
        <v>141</v>
      </c>
      <c r="J799" s="13" t="n">
        <v>120</v>
      </c>
      <c r="K799" s="13" t="n">
        <v>87</v>
      </c>
      <c r="L799" s="13" t="n">
        <v>108</v>
      </c>
      <c r="M799" s="13" t="n">
        <v>18.2</v>
      </c>
      <c r="N799" s="13" t="n">
        <v>1154</v>
      </c>
      <c r="O799" s="13" t="n">
        <v>1.41</v>
      </c>
      <c r="P799" s="13" t="n">
        <v>1623</v>
      </c>
      <c r="Q799" s="13" t="n">
        <v>154</v>
      </c>
      <c r="R799" s="13" t="n">
        <v>64</v>
      </c>
      <c r="S799" s="13" t="n">
        <v>46</v>
      </c>
      <c r="T799" s="13" t="n">
        <v>290</v>
      </c>
      <c r="U799" s="13" t="n">
        <v>7</v>
      </c>
      <c r="V799" s="13" t="n">
        <v>119</v>
      </c>
      <c r="W799" s="13" t="n">
        <v>0.158</v>
      </c>
      <c r="X799" s="13" t="n">
        <v>159</v>
      </c>
      <c r="Y799" s="13" t="n">
        <v>100</v>
      </c>
      <c r="Z799" s="13" t="n">
        <v>131</v>
      </c>
      <c r="AA799" s="13" t="n">
        <v>8</v>
      </c>
      <c r="AB799" s="13" t="n">
        <v>11.3</v>
      </c>
      <c r="AC799" s="11" t="inlineStr">
        <is>
          <t xml:space="preserve"> Touring</t>
        </is>
      </c>
      <c r="AD799" s="11" t="inlineStr">
        <is>
          <t xml:space="preserve"> Ultralight Touring</t>
        </is>
      </c>
      <c r="AE799" s="13" t="n"/>
      <c r="AF799" s="13" t="n"/>
      <c r="AG799" s="13" t="n"/>
    </row>
    <row r="800">
      <c r="A800" s="9" t="inlineStr">
        <is>
          <t>21/22</t>
        </is>
      </c>
      <c r="B800" s="10" t="inlineStr">
        <is>
          <t>K2</t>
        </is>
      </c>
      <c r="C800" s="11" t="inlineStr">
        <is>
          <t>Wayback 88</t>
        </is>
      </c>
      <c r="D800" s="13" t="n">
        <v>174</v>
      </c>
      <c r="E800" s="11" t="inlineStr">
        <is>
          <t xml:space="preserve"> Unisex</t>
        </is>
      </c>
      <c r="F800" s="13" t="n">
        <v>174</v>
      </c>
      <c r="G800" s="13" t="n">
        <v>173.8</v>
      </c>
      <c r="H800" s="13" t="n">
        <v>133</v>
      </c>
      <c r="I800" s="13" t="n">
        <v>148</v>
      </c>
      <c r="J800" s="13" t="n">
        <v>120</v>
      </c>
      <c r="K800" s="13" t="n">
        <v>87</v>
      </c>
      <c r="L800" s="13" t="n">
        <v>108</v>
      </c>
      <c r="M800" s="13" t="n">
        <v>19.7</v>
      </c>
      <c r="N800" s="13" t="n">
        <v>1235</v>
      </c>
      <c r="O800" s="13" t="n">
        <v>1.37</v>
      </c>
      <c r="P800" s="13" t="n">
        <v>1691</v>
      </c>
      <c r="Q800" s="13" t="n">
        <v>179</v>
      </c>
      <c r="R800" s="13" t="n">
        <v>75</v>
      </c>
      <c r="S800" s="13" t="n">
        <v>45</v>
      </c>
      <c r="T800" s="13" t="n">
        <v>273</v>
      </c>
      <c r="U800" s="13" t="n">
        <v>7</v>
      </c>
      <c r="V800" s="13" t="n">
        <v>133</v>
      </c>
      <c r="W800" s="13" t="n">
        <v>0.156</v>
      </c>
      <c r="X800" s="13" t="n">
        <v>154</v>
      </c>
      <c r="Y800" s="13" t="n">
        <v>102</v>
      </c>
      <c r="Z800" s="13" t="n">
        <v>118</v>
      </c>
      <c r="AA800" s="13" t="n">
        <v>7</v>
      </c>
      <c r="AB800" s="13" t="n">
        <v>11.4</v>
      </c>
      <c r="AC800" s="11" t="inlineStr">
        <is>
          <t xml:space="preserve"> Touring</t>
        </is>
      </c>
      <c r="AD800" s="11" t="inlineStr">
        <is>
          <t xml:space="preserve"> Ultralight Touring</t>
        </is>
      </c>
      <c r="AE800" s="13" t="n"/>
      <c r="AF800" s="13" t="n"/>
      <c r="AG800" s="13" t="n"/>
    </row>
    <row r="801">
      <c r="A801" s="9" t="inlineStr">
        <is>
          <t>21/22</t>
        </is>
      </c>
      <c r="B801" s="10" t="inlineStr">
        <is>
          <t>K2</t>
        </is>
      </c>
      <c r="C801" s="11" t="inlineStr">
        <is>
          <t>Wayback 96</t>
        </is>
      </c>
      <c r="D801" s="13" t="n">
        <v>170</v>
      </c>
      <c r="E801" s="11" t="inlineStr">
        <is>
          <t xml:space="preserve"> Unisex</t>
        </is>
      </c>
      <c r="F801" s="13" t="n">
        <v>170</v>
      </c>
      <c r="G801" s="13" t="n">
        <v>169.8</v>
      </c>
      <c r="H801" s="13" t="n">
        <v>124</v>
      </c>
      <c r="I801" s="13" t="n">
        <v>143</v>
      </c>
      <c r="J801" s="13" t="n">
        <v>127</v>
      </c>
      <c r="K801" s="13" t="n">
        <v>95</v>
      </c>
      <c r="L801" s="13" t="n">
        <v>114</v>
      </c>
      <c r="M801" s="13" t="n">
        <v>19.7</v>
      </c>
      <c r="N801" s="13" t="n">
        <v>1266</v>
      </c>
      <c r="O801" s="13" t="n">
        <v>1.4</v>
      </c>
      <c r="P801" s="13" t="n">
        <v>1773</v>
      </c>
      <c r="Q801" s="13" t="n">
        <v>170</v>
      </c>
      <c r="R801" s="13" t="n">
        <v>78</v>
      </c>
      <c r="S801" s="13" t="n">
        <v>49</v>
      </c>
      <c r="T801" s="13" t="n">
        <v>310</v>
      </c>
      <c r="U801" s="13" t="n">
        <v>6</v>
      </c>
      <c r="V801" s="13" t="n">
        <v>152</v>
      </c>
      <c r="W801" s="13" t="n">
        <v>0.119</v>
      </c>
      <c r="X801" s="13" t="n">
        <v>157</v>
      </c>
      <c r="Y801" s="13" t="n">
        <v>107</v>
      </c>
      <c r="Z801" s="13" t="n">
        <v>154</v>
      </c>
      <c r="AA801" s="13" t="n">
        <v>4</v>
      </c>
      <c r="AB801" s="13" t="n">
        <v>12.4</v>
      </c>
      <c r="AC801" s="11" t="inlineStr">
        <is>
          <t xml:space="preserve"> Touring</t>
        </is>
      </c>
      <c r="AD801" s="11" t="inlineStr">
        <is>
          <t xml:space="preserve"> Ultralight Touring</t>
        </is>
      </c>
      <c r="AE801" s="13" t="n"/>
      <c r="AF801" s="13" t="n"/>
      <c r="AG801" s="13" t="n"/>
    </row>
    <row r="802">
      <c r="A802" s="9" t="inlineStr">
        <is>
          <t>21/22</t>
        </is>
      </c>
      <c r="B802" s="10" t="inlineStr">
        <is>
          <t>K2</t>
        </is>
      </c>
      <c r="C802" s="11" t="inlineStr">
        <is>
          <t>Wayback 96</t>
        </is>
      </c>
      <c r="D802" s="13" t="n">
        <v>177</v>
      </c>
      <c r="E802" s="11" t="inlineStr">
        <is>
          <t xml:space="preserve"> Unisex</t>
        </is>
      </c>
      <c r="F802" s="13" t="n">
        <v>177</v>
      </c>
      <c r="G802" s="13" t="n">
        <v>176.8</v>
      </c>
      <c r="H802" s="13" t="n">
        <v>129</v>
      </c>
      <c r="I802" s="13" t="n">
        <v>149</v>
      </c>
      <c r="J802" s="13" t="n">
        <v>127</v>
      </c>
      <c r="K802" s="13" t="n">
        <v>95</v>
      </c>
      <c r="L802" s="13" t="n">
        <v>113</v>
      </c>
      <c r="M802" s="13" t="n">
        <v>21.6</v>
      </c>
      <c r="N802" s="13" t="n">
        <v>1389</v>
      </c>
      <c r="O802" s="13" t="n">
        <v>1.33</v>
      </c>
      <c r="P802" s="13" t="n">
        <v>1844</v>
      </c>
      <c r="Q802" s="13" t="n">
        <v>213</v>
      </c>
      <c r="R802" s="13" t="n">
        <v>96</v>
      </c>
      <c r="S802" s="13" t="n">
        <v>51</v>
      </c>
      <c r="T802" s="13" t="n">
        <v>300</v>
      </c>
      <c r="U802" s="13" t="n">
        <v>9</v>
      </c>
      <c r="V802" s="13" t="n">
        <v>180</v>
      </c>
      <c r="W802" s="13" t="n">
        <v>0.172</v>
      </c>
      <c r="X802" s="13" t="n">
        <v>164</v>
      </c>
      <c r="Y802" s="13" t="n">
        <v>114</v>
      </c>
      <c r="Z802" s="13" t="n">
        <v>136</v>
      </c>
      <c r="AA802" s="13" t="n">
        <v>5</v>
      </c>
      <c r="AB802" s="13" t="n">
        <v>11.4</v>
      </c>
      <c r="AC802" s="11" t="inlineStr">
        <is>
          <t xml:space="preserve"> Touring</t>
        </is>
      </c>
      <c r="AD802" s="11" t="inlineStr">
        <is>
          <t xml:space="preserve"> Ultralight Touring</t>
        </is>
      </c>
      <c r="AE802" s="13" t="n"/>
      <c r="AF802" s="13" t="n"/>
      <c r="AG802" s="13" t="n"/>
    </row>
    <row r="803">
      <c r="A803" s="9" t="inlineStr">
        <is>
          <t>21/22</t>
        </is>
      </c>
      <c r="B803" s="10" t="inlineStr">
        <is>
          <t>K2</t>
        </is>
      </c>
      <c r="C803" s="11" t="inlineStr">
        <is>
          <t>Wayback 96</t>
        </is>
      </c>
      <c r="D803" s="13" t="n">
        <v>184</v>
      </c>
      <c r="E803" s="11" t="inlineStr">
        <is>
          <t xml:space="preserve"> Unisex</t>
        </is>
      </c>
      <c r="F803" s="13" t="n">
        <v>184</v>
      </c>
      <c r="G803" s="13" t="n">
        <v>183.5</v>
      </c>
      <c r="H803" s="13" t="n">
        <v>136</v>
      </c>
      <c r="I803" s="13" t="n">
        <v>157</v>
      </c>
      <c r="J803" s="13" t="n">
        <v>127</v>
      </c>
      <c r="K803" s="13" t="n">
        <v>95</v>
      </c>
      <c r="L803" s="13" t="n">
        <v>114</v>
      </c>
      <c r="M803" s="13" t="n">
        <v>23.7</v>
      </c>
      <c r="N803" s="13" t="n">
        <v>1482</v>
      </c>
      <c r="O803" s="13" t="n">
        <v>1.29</v>
      </c>
      <c r="P803" s="13" t="n">
        <v>1919</v>
      </c>
      <c r="Q803" s="13" t="n">
        <v>228</v>
      </c>
      <c r="R803" s="13" t="n">
        <v>100</v>
      </c>
      <c r="S803" s="13" t="n">
        <v>51</v>
      </c>
      <c r="T803" s="13" t="n">
        <v>309</v>
      </c>
      <c r="U803" s="13" t="n">
        <v>8</v>
      </c>
      <c r="V803" s="13" t="n">
        <v>167</v>
      </c>
      <c r="W803" s="13" t="n">
        <v>0.159</v>
      </c>
      <c r="X803" s="13" t="n">
        <v>156</v>
      </c>
      <c r="Y803" s="13" t="n">
        <v>112</v>
      </c>
      <c r="Z803" s="13" t="n">
        <v>153</v>
      </c>
      <c r="AA803" s="13" t="n">
        <v>7</v>
      </c>
      <c r="AB803" s="13" t="n">
        <v>12.6</v>
      </c>
      <c r="AC803" s="11" t="inlineStr">
        <is>
          <t xml:space="preserve"> Touring</t>
        </is>
      </c>
      <c r="AD803" s="11" t="inlineStr">
        <is>
          <t xml:space="preserve"> Ultralight Touring</t>
        </is>
      </c>
      <c r="AE803" s="13" t="n"/>
      <c r="AF803" s="13" t="n"/>
      <c r="AG803" s="13" t="n"/>
    </row>
    <row r="804">
      <c r="A804" s="9" t="inlineStr">
        <is>
          <t>21/22</t>
        </is>
      </c>
      <c r="B804" s="10" t="inlineStr">
        <is>
          <t xml:space="preserve"> Liberty</t>
        </is>
      </c>
      <c r="C804" s="11" t="inlineStr">
        <is>
          <t>Evolv 100</t>
        </is>
      </c>
      <c r="D804" s="13" t="n">
        <v>172</v>
      </c>
      <c r="E804" s="11" t="inlineStr">
        <is>
          <t xml:space="preserve"> Unisex</t>
        </is>
      </c>
      <c r="F804" s="13" t="n">
        <v>172</v>
      </c>
      <c r="G804" s="13" t="n">
        <v>171.4</v>
      </c>
      <c r="H804" s="13" t="n">
        <v>139</v>
      </c>
      <c r="I804" s="13" t="n">
        <v>150</v>
      </c>
      <c r="J804" s="13" t="n">
        <v>137</v>
      </c>
      <c r="K804" s="13" t="n">
        <v>99</v>
      </c>
      <c r="L804" s="13" t="n">
        <v>121</v>
      </c>
      <c r="M804" s="13" t="n">
        <v>17.6</v>
      </c>
      <c r="N804" s="13" t="n">
        <v>1830</v>
      </c>
      <c r="O804" s="13" t="n">
        <v>1.04</v>
      </c>
      <c r="P804" s="13" t="n">
        <v>1898</v>
      </c>
      <c r="Q804" s="13" t="n">
        <v>211</v>
      </c>
      <c r="R804" s="13" t="n">
        <v>102</v>
      </c>
      <c r="S804" s="13" t="n">
        <v>38</v>
      </c>
      <c r="T804" s="13" t="n">
        <v>223</v>
      </c>
      <c r="U804" s="13" t="n">
        <v>10</v>
      </c>
      <c r="V804" s="13" t="n">
        <v>103</v>
      </c>
      <c r="W804" s="13" t="n">
        <v>0.256</v>
      </c>
      <c r="X804" s="13" t="n">
        <v>125</v>
      </c>
      <c r="Y804" s="13" t="n">
        <v>85</v>
      </c>
      <c r="Z804" s="13" t="n">
        <v>98</v>
      </c>
      <c r="AA804" s="13" t="n">
        <v>10</v>
      </c>
      <c r="AB804" s="13" t="n">
        <v>11</v>
      </c>
      <c r="AC804" s="11" t="inlineStr">
        <is>
          <t xml:space="preserve"> Resort Freeride</t>
        </is>
      </c>
      <c r="AD804" s="13" t="n"/>
      <c r="AE804" s="13" t="n"/>
      <c r="AF804" s="13" t="n"/>
      <c r="AG804" s="13" t="n"/>
    </row>
    <row r="805">
      <c r="A805" s="9" t="inlineStr">
        <is>
          <t>21/22</t>
        </is>
      </c>
      <c r="B805" s="10" t="inlineStr">
        <is>
          <t xml:space="preserve"> Liberty</t>
        </is>
      </c>
      <c r="C805" s="11" t="inlineStr">
        <is>
          <t>Evolv 100</t>
        </is>
      </c>
      <c r="D805" s="13" t="n">
        <v>179</v>
      </c>
      <c r="E805" s="11" t="inlineStr">
        <is>
          <t xml:space="preserve"> Unisex</t>
        </is>
      </c>
      <c r="F805" s="13" t="n">
        <v>179</v>
      </c>
      <c r="G805" s="13" t="n">
        <v>178.9</v>
      </c>
      <c r="H805" s="13" t="n">
        <v>145</v>
      </c>
      <c r="I805" s="13" t="n">
        <v>158</v>
      </c>
      <c r="J805" s="13" t="n">
        <v>138</v>
      </c>
      <c r="K805" s="13" t="n">
        <v>99</v>
      </c>
      <c r="L805" s="13" t="n">
        <v>121</v>
      </c>
      <c r="M805" s="13" t="n">
        <v>19.1</v>
      </c>
      <c r="N805" s="13" t="n">
        <v>1983</v>
      </c>
      <c r="O805" s="13" t="n">
        <v>1</v>
      </c>
      <c r="P805" s="13" t="n">
        <v>1978</v>
      </c>
      <c r="Q805" s="13" t="n">
        <v>239</v>
      </c>
      <c r="R805" s="13" t="n">
        <v>124</v>
      </c>
      <c r="S805" s="13" t="n">
        <v>36</v>
      </c>
      <c r="T805" s="13" t="n">
        <v>204</v>
      </c>
      <c r="U805" s="13" t="n">
        <v>10</v>
      </c>
      <c r="V805" s="13" t="n">
        <v>133</v>
      </c>
      <c r="W805" s="13" t="n">
        <v>0.287</v>
      </c>
      <c r="X805" s="13" t="n">
        <v>116</v>
      </c>
      <c r="Y805" s="13" t="n">
        <v>88</v>
      </c>
      <c r="Z805" s="13" t="n">
        <v>88</v>
      </c>
      <c r="AA805" s="13" t="n">
        <v>10</v>
      </c>
      <c r="AB805" s="13" t="n">
        <v>10.4</v>
      </c>
      <c r="AC805" s="11" t="inlineStr">
        <is>
          <t xml:space="preserve"> Resort Freeride</t>
        </is>
      </c>
      <c r="AD805" s="13" t="n"/>
      <c r="AE805" s="13" t="n"/>
      <c r="AF805" s="13" t="n"/>
      <c r="AG805" s="13" t="n"/>
    </row>
    <row r="806">
      <c r="A806" s="9" t="inlineStr">
        <is>
          <t>21/22</t>
        </is>
      </c>
      <c r="B806" s="10" t="inlineStr">
        <is>
          <t xml:space="preserve"> Liberty</t>
        </is>
      </c>
      <c r="C806" s="11" t="inlineStr">
        <is>
          <t>Evolv 100</t>
        </is>
      </c>
      <c r="D806" s="13" t="n">
        <v>186</v>
      </c>
      <c r="E806" s="11" t="inlineStr">
        <is>
          <t xml:space="preserve"> Unisex</t>
        </is>
      </c>
      <c r="F806" s="13" t="n">
        <v>186</v>
      </c>
      <c r="G806" s="13" t="n">
        <v>185.9</v>
      </c>
      <c r="H806" s="13" t="n">
        <v>150</v>
      </c>
      <c r="I806" s="13" t="n">
        <v>165</v>
      </c>
      <c r="J806" s="13" t="n">
        <v>137</v>
      </c>
      <c r="K806" s="13" t="n">
        <v>99</v>
      </c>
      <c r="L806" s="13" t="n">
        <v>121</v>
      </c>
      <c r="M806" s="13" t="n">
        <v>21.5</v>
      </c>
      <c r="N806" s="13" t="n">
        <v>1980</v>
      </c>
      <c r="O806" s="13" t="n">
        <v>1.04</v>
      </c>
      <c r="P806" s="13" t="n">
        <v>2055</v>
      </c>
      <c r="Q806" s="13" t="n">
        <v>240</v>
      </c>
      <c r="R806" s="13" t="n">
        <v>121</v>
      </c>
      <c r="S806" s="13" t="n">
        <v>38</v>
      </c>
      <c r="T806" s="13" t="n">
        <v>218</v>
      </c>
      <c r="U806" s="13" t="n">
        <v>11</v>
      </c>
      <c r="V806" s="13" t="n">
        <v>141</v>
      </c>
      <c r="W806" s="13" t="n">
        <v>0.3</v>
      </c>
      <c r="X806" s="13" t="n">
        <v>119</v>
      </c>
      <c r="Y806" s="13" t="n">
        <v>92</v>
      </c>
      <c r="Z806" s="13" t="n">
        <v>99</v>
      </c>
      <c r="AA806" s="13" t="n">
        <v>10</v>
      </c>
      <c r="AB806" s="13" t="n">
        <v>10.6</v>
      </c>
      <c r="AC806" s="11" t="inlineStr">
        <is>
          <t xml:space="preserve"> Resort Freeride</t>
        </is>
      </c>
      <c r="AD806" s="13" t="n"/>
      <c r="AE806" s="13" t="n"/>
      <c r="AF806" s="13" t="n"/>
      <c r="AG806" s="13" t="n"/>
    </row>
    <row r="807">
      <c r="A807" s="9" t="inlineStr">
        <is>
          <t>21/22</t>
        </is>
      </c>
      <c r="B807" s="10" t="inlineStr">
        <is>
          <t xml:space="preserve"> Liberty</t>
        </is>
      </c>
      <c r="C807" s="11" t="inlineStr">
        <is>
          <t>Evolv 90</t>
        </is>
      </c>
      <c r="D807" s="13" t="n">
        <v>165</v>
      </c>
      <c r="E807" s="11" t="inlineStr">
        <is>
          <t xml:space="preserve"> Unisex</t>
        </is>
      </c>
      <c r="F807" s="13" t="n">
        <v>165</v>
      </c>
      <c r="G807" s="13" t="n">
        <v>165.1</v>
      </c>
      <c r="H807" s="13" t="n">
        <v>133</v>
      </c>
      <c r="I807" s="13" t="n">
        <v>146</v>
      </c>
      <c r="J807" s="13" t="n">
        <v>130</v>
      </c>
      <c r="K807" s="13" t="n">
        <v>89</v>
      </c>
      <c r="L807" s="13" t="n">
        <v>112</v>
      </c>
      <c r="M807" s="13" t="n">
        <v>15.6</v>
      </c>
      <c r="N807" s="13" t="n">
        <v>1638</v>
      </c>
      <c r="O807" s="13" t="n">
        <v>1.02</v>
      </c>
      <c r="P807" s="13" t="n">
        <v>1679</v>
      </c>
      <c r="Q807" s="13" t="n">
        <v>195</v>
      </c>
      <c r="R807" s="13" t="n">
        <v>100</v>
      </c>
      <c r="S807" s="13" t="n">
        <v>38</v>
      </c>
      <c r="T807" s="13" t="n">
        <v>203</v>
      </c>
      <c r="U807" s="13" t="n">
        <v>10</v>
      </c>
      <c r="V807" s="13" t="n">
        <v>120</v>
      </c>
      <c r="W807" s="13" t="n">
        <v>0.257</v>
      </c>
      <c r="X807" s="13" t="n">
        <v>103</v>
      </c>
      <c r="Y807" s="13" t="n">
        <v>88</v>
      </c>
      <c r="Z807" s="13" t="n">
        <v>100</v>
      </c>
      <c r="AA807" s="13" t="n">
        <v>8</v>
      </c>
      <c r="AB807" s="13" t="n">
        <v>10.5</v>
      </c>
      <c r="AC807" s="11" t="inlineStr">
        <is>
          <t xml:space="preserve"> Resort Freeride</t>
        </is>
      </c>
      <c r="AD807" s="13" t="n"/>
      <c r="AE807" s="13" t="n"/>
      <c r="AF807" s="13" t="n"/>
      <c r="AG807" s="13" t="n"/>
    </row>
    <row r="808">
      <c r="A808" s="9" t="inlineStr">
        <is>
          <t>21/22</t>
        </is>
      </c>
      <c r="B808" s="10" t="inlineStr">
        <is>
          <t xml:space="preserve"> Liberty</t>
        </is>
      </c>
      <c r="C808" s="11" t="inlineStr">
        <is>
          <t>Evolv 90</t>
        </is>
      </c>
      <c r="D808" s="13" t="n">
        <v>172</v>
      </c>
      <c r="E808" s="11" t="inlineStr">
        <is>
          <t xml:space="preserve"> Unisex</t>
        </is>
      </c>
      <c r="F808" s="13" t="n">
        <v>172</v>
      </c>
      <c r="G808" s="13" t="n">
        <v>171.9</v>
      </c>
      <c r="H808" s="13" t="n">
        <v>140</v>
      </c>
      <c r="I808" s="13" t="n">
        <v>152</v>
      </c>
      <c r="J808" s="13" t="n">
        <v>130</v>
      </c>
      <c r="K808" s="13" t="n">
        <v>89</v>
      </c>
      <c r="L808" s="13" t="n">
        <v>113</v>
      </c>
      <c r="M808" s="13" t="n">
        <v>17.3</v>
      </c>
      <c r="N808" s="13" t="n">
        <v>1655</v>
      </c>
      <c r="O808" s="13" t="n">
        <v>1.06</v>
      </c>
      <c r="P808" s="13" t="n">
        <v>1748</v>
      </c>
      <c r="Q808" s="13" t="n">
        <v>199</v>
      </c>
      <c r="R808" s="13" t="n">
        <v>101</v>
      </c>
      <c r="S808" s="13" t="n">
        <v>36</v>
      </c>
      <c r="T808" s="13" t="n">
        <v>192</v>
      </c>
      <c r="U808" s="13" t="n">
        <v>9</v>
      </c>
      <c r="V808" s="13" t="n">
        <v>128</v>
      </c>
      <c r="W808" s="13" t="n">
        <v>0.253</v>
      </c>
      <c r="X808" s="13" t="n">
        <v>114</v>
      </c>
      <c r="Y808" s="13" t="n">
        <v>84</v>
      </c>
      <c r="Z808" s="13" t="n">
        <v>79</v>
      </c>
      <c r="AA808" s="13" t="n">
        <v>11</v>
      </c>
      <c r="AB808" s="13" t="n">
        <v>10.4</v>
      </c>
      <c r="AC808" s="11" t="inlineStr">
        <is>
          <t xml:space="preserve"> Resort Freeride</t>
        </is>
      </c>
      <c r="AD808" s="11" t="inlineStr">
        <is>
          <t xml:space="preserve"> Touring</t>
        </is>
      </c>
      <c r="AE808" s="13" t="n"/>
      <c r="AF808" s="13" t="n"/>
      <c r="AG808" s="13" t="n"/>
    </row>
    <row r="809">
      <c r="A809" s="9" t="inlineStr">
        <is>
          <t>21/22</t>
        </is>
      </c>
      <c r="B809" s="10" t="inlineStr">
        <is>
          <t xml:space="preserve"> Liberty</t>
        </is>
      </c>
      <c r="C809" s="11" t="inlineStr">
        <is>
          <t>Evolv 90</t>
        </is>
      </c>
      <c r="D809" s="13" t="n">
        <v>179</v>
      </c>
      <c r="E809" s="11" t="inlineStr">
        <is>
          <t xml:space="preserve"> Unisex</t>
        </is>
      </c>
      <c r="F809" s="13" t="n">
        <v>179</v>
      </c>
      <c r="G809" s="13" t="n">
        <v>178.6</v>
      </c>
      <c r="H809" s="13" t="n">
        <v>145</v>
      </c>
      <c r="I809" s="13" t="n">
        <v>158</v>
      </c>
      <c r="J809" s="13" t="n">
        <v>130</v>
      </c>
      <c r="K809" s="13" t="n">
        <v>89</v>
      </c>
      <c r="L809" s="13" t="n">
        <v>113</v>
      </c>
      <c r="M809" s="13" t="n">
        <v>18.3</v>
      </c>
      <c r="N809" s="13" t="n">
        <v>1787</v>
      </c>
      <c r="O809" s="13" t="n">
        <v>1.02</v>
      </c>
      <c r="P809" s="13" t="n">
        <v>1815</v>
      </c>
      <c r="Q809" s="13" t="n">
        <v>208</v>
      </c>
      <c r="R809" s="13" t="n">
        <v>103</v>
      </c>
      <c r="S809" s="13" t="n">
        <v>39</v>
      </c>
      <c r="T809" s="13" t="n">
        <v>205</v>
      </c>
      <c r="U809" s="13" t="n">
        <v>10</v>
      </c>
      <c r="V809" s="13" t="n">
        <v>130</v>
      </c>
      <c r="W809" s="13" t="n">
        <v>0.257</v>
      </c>
      <c r="X809" s="13" t="n">
        <v>119</v>
      </c>
      <c r="Y809" s="13" t="n">
        <v>86</v>
      </c>
      <c r="Z809" s="13" t="n">
        <v>86</v>
      </c>
      <c r="AA809" s="13" t="n">
        <v>9</v>
      </c>
      <c r="AB809" s="13" t="n">
        <v>10.5</v>
      </c>
      <c r="AC809" s="11" t="inlineStr">
        <is>
          <t xml:space="preserve"> Resort Freeride</t>
        </is>
      </c>
      <c r="AD809" s="13" t="n"/>
      <c r="AE809" s="13" t="n"/>
      <c r="AF809" s="13" t="n"/>
      <c r="AG809" s="13" t="n"/>
    </row>
    <row r="810">
      <c r="A810" s="9" t="inlineStr">
        <is>
          <t>21/22</t>
        </is>
      </c>
      <c r="B810" s="10" t="inlineStr">
        <is>
          <t xml:space="preserve"> Liberty</t>
        </is>
      </c>
      <c r="C810" s="11" t="inlineStr">
        <is>
          <t>Evolv 90</t>
        </is>
      </c>
      <c r="D810" s="13" t="n">
        <v>186</v>
      </c>
      <c r="E810" s="11" t="inlineStr">
        <is>
          <t xml:space="preserve"> Unisex</t>
        </is>
      </c>
      <c r="F810" s="13" t="n">
        <v>186</v>
      </c>
      <c r="G810" s="13" t="n">
        <v>185.8</v>
      </c>
      <c r="H810" s="13" t="n">
        <v>157</v>
      </c>
      <c r="I810" s="13" t="n">
        <v>166</v>
      </c>
      <c r="J810" s="13" t="n">
        <v>130</v>
      </c>
      <c r="K810" s="13" t="n">
        <v>89</v>
      </c>
      <c r="L810" s="13" t="n">
        <v>113</v>
      </c>
      <c r="M810" s="13" t="n">
        <v>20.4</v>
      </c>
      <c r="N810" s="13" t="n">
        <v>1895</v>
      </c>
      <c r="O810" s="13" t="n">
        <v>0.99</v>
      </c>
      <c r="P810" s="13" t="n">
        <v>1881</v>
      </c>
      <c r="Q810" s="13" t="n">
        <v>227</v>
      </c>
      <c r="R810" s="13" t="n">
        <v>111</v>
      </c>
      <c r="S810" s="13" t="n">
        <v>37</v>
      </c>
      <c r="T810" s="13" t="n">
        <v>179</v>
      </c>
      <c r="U810" s="13" t="n">
        <v>8</v>
      </c>
      <c r="V810" s="13" t="n">
        <v>108</v>
      </c>
      <c r="W810" s="13" t="n">
        <v>0.228</v>
      </c>
      <c r="X810" s="13" t="n">
        <v>106</v>
      </c>
      <c r="Y810" s="13" t="n">
        <v>92</v>
      </c>
      <c r="Z810" s="13" t="n">
        <v>73</v>
      </c>
      <c r="AA810" s="13" t="n">
        <v>13</v>
      </c>
      <c r="AB810" s="13" t="n">
        <v>11.4</v>
      </c>
      <c r="AC810" s="11" t="inlineStr">
        <is>
          <t xml:space="preserve"> Resort Freeride</t>
        </is>
      </c>
      <c r="AD810" s="13" t="n"/>
      <c r="AE810" s="13" t="n"/>
      <c r="AF810" s="13" t="n"/>
      <c r="AG810" s="13" t="n"/>
    </row>
    <row r="811">
      <c r="A811" s="9" t="inlineStr">
        <is>
          <t>21/22</t>
        </is>
      </c>
      <c r="B811" s="10" t="inlineStr">
        <is>
          <t xml:space="preserve"> Liberty</t>
        </is>
      </c>
      <c r="C811" s="11" t="inlineStr">
        <is>
          <t>Evolv 90W</t>
        </is>
      </c>
      <c r="D811" s="13" t="n">
        <v>151</v>
      </c>
      <c r="E811" s="11" t="inlineStr">
        <is>
          <t xml:space="preserve"> Women's</t>
        </is>
      </c>
      <c r="F811" s="13" t="n">
        <v>151</v>
      </c>
      <c r="G811" s="13" t="n">
        <v>150.4</v>
      </c>
      <c r="H811" s="13" t="n">
        <v>117</v>
      </c>
      <c r="I811" s="13" t="n">
        <v>131</v>
      </c>
      <c r="J811" s="13" t="n">
        <v>131</v>
      </c>
      <c r="K811" s="13" t="n">
        <v>89</v>
      </c>
      <c r="L811" s="13" t="n">
        <v>114</v>
      </c>
      <c r="M811" s="13" t="n">
        <v>12.4</v>
      </c>
      <c r="N811" s="13" t="n">
        <v>1457</v>
      </c>
      <c r="O811" s="13" t="n">
        <v>1.06</v>
      </c>
      <c r="P811" s="13" t="n">
        <v>1541</v>
      </c>
      <c r="Q811" s="13" t="n">
        <v>196</v>
      </c>
      <c r="R811" s="13" t="n">
        <v>94</v>
      </c>
      <c r="S811" s="13" t="n">
        <v>37</v>
      </c>
      <c r="T811" s="13" t="n">
        <v>205</v>
      </c>
      <c r="U811" s="13" t="n">
        <v>10</v>
      </c>
      <c r="V811" s="13" t="n">
        <v>130</v>
      </c>
      <c r="W811" s="13" t="n">
        <v>0.274</v>
      </c>
      <c r="X811" s="13" t="n">
        <v>112</v>
      </c>
      <c r="Y811" s="13" t="n">
        <v>85</v>
      </c>
      <c r="Z811" s="13" t="n">
        <v>93</v>
      </c>
      <c r="AA811" s="13" t="n">
        <v>7</v>
      </c>
      <c r="AB811" s="13" t="n">
        <v>9.699999999999999</v>
      </c>
      <c r="AC811" s="11" t="inlineStr">
        <is>
          <t xml:space="preserve"> Resort Freeride</t>
        </is>
      </c>
      <c r="AD811" s="11" t="inlineStr">
        <is>
          <t xml:space="preserve"> Touring</t>
        </is>
      </c>
      <c r="AE811" s="13" t="n"/>
      <c r="AF811" s="13" t="n"/>
      <c r="AG811" s="13" t="n"/>
    </row>
    <row r="812">
      <c r="A812" s="9" t="inlineStr">
        <is>
          <t>21/22</t>
        </is>
      </c>
      <c r="B812" s="10" t="inlineStr">
        <is>
          <t xml:space="preserve"> Liberty</t>
        </is>
      </c>
      <c r="C812" s="11" t="inlineStr">
        <is>
          <t>Evolv 90W</t>
        </is>
      </c>
      <c r="D812" s="13" t="n">
        <v>158</v>
      </c>
      <c r="E812" s="11" t="inlineStr">
        <is>
          <t xml:space="preserve"> Women's</t>
        </is>
      </c>
      <c r="F812" s="13" t="n">
        <v>158</v>
      </c>
      <c r="G812" s="13" t="n">
        <v>157.5</v>
      </c>
      <c r="H812" s="13" t="n">
        <v>125</v>
      </c>
      <c r="I812" s="13" t="n">
        <v>137</v>
      </c>
      <c r="J812" s="13" t="n">
        <v>131</v>
      </c>
      <c r="K812" s="13" t="n">
        <v>90</v>
      </c>
      <c r="L812" s="13" t="n">
        <v>113</v>
      </c>
      <c r="M812" s="13" t="n">
        <v>14</v>
      </c>
      <c r="N812" s="13" t="n">
        <v>1547</v>
      </c>
      <c r="O812" s="13" t="n">
        <v>1.04</v>
      </c>
      <c r="P812" s="13" t="n">
        <v>1614</v>
      </c>
      <c r="Q812" s="13" t="n">
        <v>178</v>
      </c>
      <c r="R812" s="13" t="n">
        <v>97</v>
      </c>
      <c r="S812" s="13" t="n">
        <v>36</v>
      </c>
      <c r="T812" s="13" t="n">
        <v>202</v>
      </c>
      <c r="U812" s="13" t="n">
        <v>11</v>
      </c>
      <c r="V812" s="13" t="n">
        <v>120</v>
      </c>
      <c r="W812" s="13" t="n">
        <v>0.296</v>
      </c>
      <c r="X812" s="13" t="n">
        <v>111</v>
      </c>
      <c r="Y812" s="13" t="n">
        <v>91</v>
      </c>
      <c r="Z812" s="13" t="n">
        <v>91</v>
      </c>
      <c r="AA812" s="13" t="n">
        <v>7</v>
      </c>
      <c r="AB812" s="13" t="n">
        <v>11</v>
      </c>
      <c r="AC812" s="11" t="inlineStr">
        <is>
          <t xml:space="preserve"> Resort Freeride</t>
        </is>
      </c>
      <c r="AD812" s="13" t="n"/>
      <c r="AE812" s="13" t="n"/>
      <c r="AF812" s="13" t="n"/>
      <c r="AG812" s="13" t="n"/>
    </row>
    <row r="813">
      <c r="A813" s="9" t="inlineStr">
        <is>
          <t>21/22</t>
        </is>
      </c>
      <c r="B813" s="10" t="inlineStr">
        <is>
          <t xml:space="preserve"> Liberty</t>
        </is>
      </c>
      <c r="C813" s="11" t="inlineStr">
        <is>
          <t>Evolv 90W</t>
        </is>
      </c>
      <c r="D813" s="13" t="n">
        <v>165</v>
      </c>
      <c r="E813" s="11" t="inlineStr">
        <is>
          <t xml:space="preserve"> Women's</t>
        </is>
      </c>
      <c r="F813" s="13" t="n">
        <v>165</v>
      </c>
      <c r="G813" s="13" t="n">
        <v>164.2</v>
      </c>
      <c r="H813" s="13" t="n">
        <v>131</v>
      </c>
      <c r="I813" s="13" t="n">
        <v>145</v>
      </c>
      <c r="J813" s="13" t="n">
        <v>131</v>
      </c>
      <c r="K813" s="13" t="n">
        <v>90</v>
      </c>
      <c r="L813" s="13" t="n">
        <v>113</v>
      </c>
      <c r="M813" s="13" t="n">
        <v>15.4</v>
      </c>
      <c r="N813" s="13" t="n">
        <v>1591</v>
      </c>
      <c r="O813" s="13" t="n">
        <v>1.06</v>
      </c>
      <c r="P813" s="13" t="n">
        <v>1679</v>
      </c>
      <c r="Q813" s="13" t="n">
        <v>208</v>
      </c>
      <c r="R813" s="13" t="n">
        <v>99</v>
      </c>
      <c r="S813" s="13" t="n">
        <v>37</v>
      </c>
      <c r="T813" s="13" t="n">
        <v>206</v>
      </c>
      <c r="U813" s="13" t="n">
        <v>10</v>
      </c>
      <c r="V813" s="13" t="n">
        <v>130</v>
      </c>
      <c r="W813" s="13" t="n">
        <v>0.262</v>
      </c>
      <c r="X813" s="13" t="n">
        <v>108</v>
      </c>
      <c r="Y813" s="13" t="n">
        <v>79</v>
      </c>
      <c r="Z813" s="13" t="n">
        <v>98</v>
      </c>
      <c r="AA813" s="13" t="n">
        <v>8</v>
      </c>
      <c r="AB813" s="13" t="n">
        <v>7.1</v>
      </c>
      <c r="AC813" s="11" t="inlineStr">
        <is>
          <t xml:space="preserve"> Resort Freeride</t>
        </is>
      </c>
      <c r="AD813" s="11" t="inlineStr">
        <is>
          <t xml:space="preserve"> Touring</t>
        </is>
      </c>
      <c r="AE813" s="13" t="n"/>
      <c r="AF813" s="13" t="n"/>
      <c r="AG813" s="13" t="n"/>
    </row>
    <row r="814">
      <c r="A814" s="9" t="inlineStr">
        <is>
          <t>21/22</t>
        </is>
      </c>
      <c r="B814" s="10" t="inlineStr">
        <is>
          <t xml:space="preserve"> Liberty</t>
        </is>
      </c>
      <c r="C814" s="11" t="inlineStr">
        <is>
          <t>Genesis 101</t>
        </is>
      </c>
      <c r="D814" s="13" t="n">
        <v>151</v>
      </c>
      <c r="E814" s="11" t="inlineStr">
        <is>
          <t xml:space="preserve"> Women's</t>
        </is>
      </c>
      <c r="F814" s="13" t="n">
        <v>151</v>
      </c>
      <c r="G814" s="13" t="n">
        <v>150.1</v>
      </c>
      <c r="H814" s="13" t="n">
        <v>90</v>
      </c>
      <c r="I814" s="13" t="n">
        <v>123</v>
      </c>
      <c r="J814" s="13" t="n">
        <v>134</v>
      </c>
      <c r="K814" s="13" t="n">
        <v>101</v>
      </c>
      <c r="L814" s="13" t="n">
        <v>121</v>
      </c>
      <c r="M814" s="13" t="n">
        <v>12.5</v>
      </c>
      <c r="N814" s="13" t="n">
        <v>1483</v>
      </c>
      <c r="O814" s="13" t="n">
        <v>1.13</v>
      </c>
      <c r="P814" s="13" t="n">
        <v>1669</v>
      </c>
      <c r="Q814" s="13" t="n">
        <v>170</v>
      </c>
      <c r="R814" s="13" t="n">
        <v>84</v>
      </c>
      <c r="S814" s="13" t="n">
        <v>44</v>
      </c>
      <c r="T814" s="13" t="n">
        <v>339</v>
      </c>
      <c r="U814" s="13" t="n">
        <v>34</v>
      </c>
      <c r="V814" s="13" t="n">
        <v>258</v>
      </c>
      <c r="W814" s="13" t="n">
        <v>0.759</v>
      </c>
      <c r="X814" s="13" t="n">
        <v>139</v>
      </c>
      <c r="Y814" s="13" t="n">
        <v>136</v>
      </c>
      <c r="Z814" s="13" t="n">
        <v>201</v>
      </c>
      <c r="AA814" s="13" t="n">
        <v>4</v>
      </c>
      <c r="AB814" s="13" t="n">
        <v>6.5</v>
      </c>
      <c r="AC814" s="11" t="inlineStr">
        <is>
          <t xml:space="preserve"> Resort Freeride</t>
        </is>
      </c>
      <c r="AD814" s="11" t="inlineStr">
        <is>
          <t xml:space="preserve"> Powder</t>
        </is>
      </c>
      <c r="AE814" s="11" t="inlineStr">
        <is>
          <t xml:space="preserve"> Touring</t>
        </is>
      </c>
      <c r="AF814" s="13" t="n"/>
      <c r="AG814" s="13" t="n"/>
    </row>
    <row r="815">
      <c r="A815" s="9" t="inlineStr">
        <is>
          <t>21/22</t>
        </is>
      </c>
      <c r="B815" s="10" t="inlineStr">
        <is>
          <t xml:space="preserve"> Liberty</t>
        </is>
      </c>
      <c r="C815" s="11" t="inlineStr">
        <is>
          <t>Genesis 101</t>
        </is>
      </c>
      <c r="D815" s="13" t="n">
        <v>165</v>
      </c>
      <c r="E815" s="11" t="inlineStr">
        <is>
          <t xml:space="preserve"> Women's</t>
        </is>
      </c>
      <c r="F815" s="13" t="n">
        <v>165</v>
      </c>
      <c r="G815" s="13" t="n">
        <v>164.4</v>
      </c>
      <c r="H815" s="13" t="n">
        <v>104</v>
      </c>
      <c r="I815" s="13" t="n">
        <v>135</v>
      </c>
      <c r="J815" s="13" t="n">
        <v>134</v>
      </c>
      <c r="K815" s="13" t="n">
        <v>100</v>
      </c>
      <c r="L815" s="13" t="n">
        <v>121</v>
      </c>
      <c r="M815" s="13" t="n">
        <v>15</v>
      </c>
      <c r="N815" s="13" t="n">
        <v>1740</v>
      </c>
      <c r="O815" s="13" t="n">
        <v>1.05</v>
      </c>
      <c r="P815" s="13" t="n">
        <v>1822</v>
      </c>
      <c r="Q815" s="13" t="n">
        <v>166</v>
      </c>
      <c r="R815" s="13" t="n">
        <v>86</v>
      </c>
      <c r="S815" s="13" t="n">
        <v>53</v>
      </c>
      <c r="T815" s="13" t="n">
        <v>367</v>
      </c>
      <c r="U815" s="13" t="n">
        <v>27</v>
      </c>
      <c r="V815" s="13" t="n">
        <v>240</v>
      </c>
      <c r="W815" s="13" t="n">
        <v>0.519</v>
      </c>
      <c r="X815" s="13" t="n">
        <v>140</v>
      </c>
      <c r="Y815" s="13" t="n">
        <v>155</v>
      </c>
      <c r="Z815" s="13" t="n">
        <v>228</v>
      </c>
      <c r="AA815" s="13" t="n">
        <v>4</v>
      </c>
      <c r="AB815" s="13" t="n">
        <v>7.5</v>
      </c>
      <c r="AC815" s="11" t="inlineStr">
        <is>
          <t xml:space="preserve"> Resort Freeride</t>
        </is>
      </c>
      <c r="AD815" s="11" t="inlineStr">
        <is>
          <t xml:space="preserve"> Powder</t>
        </is>
      </c>
      <c r="AE815" s="13" t="n"/>
      <c r="AF815" s="13" t="n"/>
      <c r="AG815" s="13" t="n"/>
    </row>
    <row r="816">
      <c r="A816" s="9" t="inlineStr">
        <is>
          <t>21/22</t>
        </is>
      </c>
      <c r="B816" s="10" t="inlineStr">
        <is>
          <t xml:space="preserve"> Liberty</t>
        </is>
      </c>
      <c r="C816" s="11" t="inlineStr">
        <is>
          <t>Genesis 101</t>
        </is>
      </c>
      <c r="D816" s="13" t="n">
        <v>171</v>
      </c>
      <c r="E816" s="11" t="inlineStr">
        <is>
          <t xml:space="preserve"> Women's</t>
        </is>
      </c>
      <c r="F816" s="13" t="n">
        <v>171</v>
      </c>
      <c r="G816" s="13" t="n">
        <v>170</v>
      </c>
      <c r="H816" s="13" t="n">
        <v>111</v>
      </c>
      <c r="I816" s="13" t="n">
        <v>141</v>
      </c>
      <c r="J816" s="13" t="n">
        <v>135</v>
      </c>
      <c r="K816" s="13" t="n">
        <v>101</v>
      </c>
      <c r="L816" s="13" t="n">
        <v>122</v>
      </c>
      <c r="M816" s="13" t="n">
        <v>16.6</v>
      </c>
      <c r="N816" s="13" t="n">
        <v>1723</v>
      </c>
      <c r="O816" s="13" t="n">
        <v>1.1</v>
      </c>
      <c r="P816" s="13" t="n">
        <v>1895</v>
      </c>
      <c r="Q816" s="13" t="n">
        <v>171</v>
      </c>
      <c r="R816" s="13" t="n">
        <v>81</v>
      </c>
      <c r="S816" s="13" t="n">
        <v>51</v>
      </c>
      <c r="T816" s="13" t="n">
        <v>339</v>
      </c>
      <c r="U816" s="13" t="n">
        <v>28</v>
      </c>
      <c r="V816" s="13" t="n">
        <v>248</v>
      </c>
      <c r="W816" s="13" t="n">
        <v>0.55</v>
      </c>
      <c r="X816" s="13" t="n">
        <v>142</v>
      </c>
      <c r="Y816" s="13" t="n">
        <v>148</v>
      </c>
      <c r="Z816" s="13" t="n">
        <v>197</v>
      </c>
      <c r="AA816" s="13" t="n">
        <v>6</v>
      </c>
      <c r="AB816" s="13" t="n">
        <v>8.300000000000001</v>
      </c>
      <c r="AC816" s="11" t="inlineStr">
        <is>
          <t xml:space="preserve"> Resort Freeride</t>
        </is>
      </c>
      <c r="AD816" s="11" t="inlineStr">
        <is>
          <t xml:space="preserve"> Powder</t>
        </is>
      </c>
      <c r="AE816" s="11" t="inlineStr">
        <is>
          <t xml:space="preserve"> Touring</t>
        </is>
      </c>
      <c r="AF816" s="13" t="n"/>
      <c r="AG816" s="13" t="n"/>
    </row>
    <row r="817">
      <c r="A817" s="9" t="inlineStr">
        <is>
          <t>21/22</t>
        </is>
      </c>
      <c r="B817" s="10" t="inlineStr">
        <is>
          <t xml:space="preserve"> Liberty</t>
        </is>
      </c>
      <c r="C817" s="11" t="inlineStr">
        <is>
          <t>Genesis 90</t>
        </is>
      </c>
      <c r="D817" s="13" t="n">
        <v>151</v>
      </c>
      <c r="E817" s="11" t="inlineStr">
        <is>
          <t xml:space="preserve"> Women's</t>
        </is>
      </c>
      <c r="F817" s="13" t="n">
        <v>151</v>
      </c>
      <c r="G817" s="13" t="n">
        <v>150.2</v>
      </c>
      <c r="H817" s="13" t="n">
        <v>91</v>
      </c>
      <c r="I817" s="13" t="n">
        <v>121</v>
      </c>
      <c r="J817" s="13" t="n">
        <v>125</v>
      </c>
      <c r="K817" s="13" t="n">
        <v>90</v>
      </c>
      <c r="L817" s="13" t="n">
        <v>111</v>
      </c>
      <c r="M817" s="13" t="n">
        <v>11.8</v>
      </c>
      <c r="N817" s="13" t="n">
        <v>1420</v>
      </c>
      <c r="O817" s="13" t="n">
        <v>1.07</v>
      </c>
      <c r="P817" s="13" t="n">
        <v>1516</v>
      </c>
      <c r="Q817" s="13" t="n">
        <v>144</v>
      </c>
      <c r="R817" s="13" t="n">
        <v>72</v>
      </c>
      <c r="S817" s="13" t="n">
        <v>44</v>
      </c>
      <c r="T817" s="13" t="n">
        <v>351</v>
      </c>
      <c r="U817" s="13" t="n">
        <v>21</v>
      </c>
      <c r="V817" s="13" t="n">
        <v>243</v>
      </c>
      <c r="W817" s="13" t="n">
        <v>0.486</v>
      </c>
      <c r="X817" s="13" t="n">
        <v>135</v>
      </c>
      <c r="Y817" s="13" t="n">
        <v>157</v>
      </c>
      <c r="Z817" s="13" t="n">
        <v>216</v>
      </c>
      <c r="AA817" s="13" t="n">
        <v>4</v>
      </c>
      <c r="AB817" s="13" t="n">
        <v>7.8</v>
      </c>
      <c r="AC817" s="11" t="inlineStr">
        <is>
          <t xml:space="preserve"> Resort Freeride</t>
        </is>
      </c>
      <c r="AD817" s="11" t="inlineStr">
        <is>
          <t xml:space="preserve"> Touring</t>
        </is>
      </c>
      <c r="AE817" s="13" t="n"/>
      <c r="AF817" s="13" t="n"/>
      <c r="AG817" s="13" t="n"/>
    </row>
    <row r="818">
      <c r="A818" s="9" t="inlineStr">
        <is>
          <t>21/22</t>
        </is>
      </c>
      <c r="B818" s="10" t="inlineStr">
        <is>
          <t xml:space="preserve"> Liberty</t>
        </is>
      </c>
      <c r="C818" s="11" t="inlineStr">
        <is>
          <t>Genesis 90</t>
        </is>
      </c>
      <c r="D818" s="13" t="n">
        <v>158</v>
      </c>
      <c r="E818" s="11" t="inlineStr">
        <is>
          <t xml:space="preserve"> Women's</t>
        </is>
      </c>
      <c r="F818" s="13" t="n">
        <v>158</v>
      </c>
      <c r="G818" s="13" t="n">
        <v>157.1</v>
      </c>
      <c r="H818" s="13" t="n">
        <v>97</v>
      </c>
      <c r="I818" s="13" t="n">
        <v>127</v>
      </c>
      <c r="J818" s="13" t="n">
        <v>125</v>
      </c>
      <c r="K818" s="13" t="n">
        <v>89</v>
      </c>
      <c r="L818" s="13" t="n">
        <v>111</v>
      </c>
      <c r="M818" s="13" t="n">
        <v>13</v>
      </c>
      <c r="N818" s="13" t="n">
        <v>1431</v>
      </c>
      <c r="O818" s="13" t="n">
        <v>1.1</v>
      </c>
      <c r="P818" s="13" t="n">
        <v>1572</v>
      </c>
      <c r="Q818" s="13" t="n">
        <v>162</v>
      </c>
      <c r="R818" s="13" t="n">
        <v>75</v>
      </c>
      <c r="S818" s="13" t="n">
        <v>44</v>
      </c>
      <c r="T818" s="13" t="n">
        <v>352</v>
      </c>
      <c r="U818" s="13" t="n">
        <v>23</v>
      </c>
      <c r="V818" s="13" t="n">
        <v>246</v>
      </c>
      <c r="W818" s="13" t="n">
        <v>0.518</v>
      </c>
      <c r="X818" s="13" t="n">
        <v>136</v>
      </c>
      <c r="Y818" s="13" t="n">
        <v>160</v>
      </c>
      <c r="Z818" s="13" t="n">
        <v>216</v>
      </c>
      <c r="AA818" s="13" t="n">
        <v>4</v>
      </c>
      <c r="AB818" s="13" t="n">
        <v>8.300000000000001</v>
      </c>
      <c r="AC818" s="11" t="inlineStr">
        <is>
          <t xml:space="preserve"> Resort Freeride</t>
        </is>
      </c>
      <c r="AD818" s="11" t="inlineStr">
        <is>
          <t xml:space="preserve"> Touring</t>
        </is>
      </c>
      <c r="AE818" s="13" t="n"/>
      <c r="AF818" s="13" t="n"/>
      <c r="AG818" s="13" t="n"/>
    </row>
    <row r="819">
      <c r="A819" s="9" t="inlineStr">
        <is>
          <t>21/22</t>
        </is>
      </c>
      <c r="B819" s="10" t="inlineStr">
        <is>
          <t xml:space="preserve"> Liberty</t>
        </is>
      </c>
      <c r="C819" s="11" t="inlineStr">
        <is>
          <t>Genesis 90</t>
        </is>
      </c>
      <c r="D819" s="13" t="n">
        <v>165</v>
      </c>
      <c r="E819" s="11" t="inlineStr">
        <is>
          <t xml:space="preserve"> Women's</t>
        </is>
      </c>
      <c r="F819" s="13" t="n">
        <v>165</v>
      </c>
      <c r="G819" s="13" t="n">
        <v>164.5</v>
      </c>
      <c r="H819" s="13" t="n">
        <v>105</v>
      </c>
      <c r="I819" s="13" t="n">
        <v>136</v>
      </c>
      <c r="J819" s="13" t="n">
        <v>125</v>
      </c>
      <c r="K819" s="13" t="n">
        <v>90</v>
      </c>
      <c r="L819" s="13" t="n">
        <v>111</v>
      </c>
      <c r="M819" s="13" t="n">
        <v>14.8</v>
      </c>
      <c r="N819" s="13" t="n">
        <v>1554</v>
      </c>
      <c r="O819" s="13" t="n">
        <v>1.06</v>
      </c>
      <c r="P819" s="13" t="n">
        <v>1649</v>
      </c>
      <c r="Q819" s="13" t="n">
        <v>173</v>
      </c>
      <c r="R819" s="13" t="n">
        <v>78</v>
      </c>
      <c r="S819" s="13" t="n">
        <v>43</v>
      </c>
      <c r="T819" s="13" t="n">
        <v>345</v>
      </c>
      <c r="U819" s="13" t="n">
        <v>21</v>
      </c>
      <c r="V819" s="13" t="n">
        <v>246</v>
      </c>
      <c r="W819" s="13" t="n">
        <v>0.484</v>
      </c>
      <c r="X819" s="13" t="n">
        <v>133</v>
      </c>
      <c r="Y819" s="13" t="n">
        <v>152</v>
      </c>
      <c r="Z819" s="13" t="n">
        <v>213</v>
      </c>
      <c r="AA819" s="13" t="n">
        <v>5</v>
      </c>
      <c r="AB819" s="13" t="n">
        <v>7.7</v>
      </c>
      <c r="AC819" s="11" t="inlineStr">
        <is>
          <t xml:space="preserve"> Resort Freeride</t>
        </is>
      </c>
      <c r="AD819" s="11" t="inlineStr">
        <is>
          <t xml:space="preserve"> Touring</t>
        </is>
      </c>
      <c r="AE819" s="13" t="n"/>
      <c r="AF819" s="13" t="n"/>
      <c r="AG819" s="13" t="n"/>
    </row>
    <row r="820">
      <c r="A820" s="9" t="inlineStr">
        <is>
          <t>21/22</t>
        </is>
      </c>
      <c r="B820" s="10" t="inlineStr">
        <is>
          <t xml:space="preserve"> Liberty</t>
        </is>
      </c>
      <c r="C820" s="11" t="inlineStr">
        <is>
          <t>Origin 101</t>
        </is>
      </c>
      <c r="D820" s="13" t="n">
        <v>171</v>
      </c>
      <c r="E820" s="11" t="inlineStr">
        <is>
          <t xml:space="preserve"> Unisex</t>
        </is>
      </c>
      <c r="F820" s="13" t="n">
        <v>171</v>
      </c>
      <c r="G820" s="13" t="n">
        <v>169.9</v>
      </c>
      <c r="H820" s="13" t="n">
        <v>110</v>
      </c>
      <c r="I820" s="13" t="n">
        <v>141</v>
      </c>
      <c r="J820" s="13" t="n">
        <v>134</v>
      </c>
      <c r="K820" s="13" t="n">
        <v>101</v>
      </c>
      <c r="L820" s="13" t="n">
        <v>121</v>
      </c>
      <c r="M820" s="13" t="n">
        <v>16.4</v>
      </c>
      <c r="N820" s="13" t="n">
        <v>1707</v>
      </c>
      <c r="O820" s="13" t="n">
        <v>1.11</v>
      </c>
      <c r="P820" s="13" t="n">
        <v>1889</v>
      </c>
      <c r="Q820" s="13" t="n">
        <v>172</v>
      </c>
      <c r="R820" s="13" t="n">
        <v>84</v>
      </c>
      <c r="S820" s="13" t="n">
        <v>52</v>
      </c>
      <c r="T820" s="13" t="n">
        <v>340</v>
      </c>
      <c r="U820" s="13" t="n">
        <v>30</v>
      </c>
      <c r="V820" s="13" t="n">
        <v>257</v>
      </c>
      <c r="W820" s="13" t="n">
        <v>0.5679999999999999</v>
      </c>
      <c r="X820" s="13" t="n">
        <v>136</v>
      </c>
      <c r="Y820" s="13" t="n">
        <v>158</v>
      </c>
      <c r="Z820" s="13" t="n">
        <v>204</v>
      </c>
      <c r="AA820" s="13" t="n">
        <v>5</v>
      </c>
      <c r="AB820" s="13" t="n">
        <v>8.300000000000001</v>
      </c>
      <c r="AC820" s="11" t="inlineStr">
        <is>
          <t xml:space="preserve"> Resort Freeride</t>
        </is>
      </c>
      <c r="AD820" s="11" t="inlineStr">
        <is>
          <t xml:space="preserve"> Powder</t>
        </is>
      </c>
      <c r="AE820" s="11" t="inlineStr">
        <is>
          <t xml:space="preserve"> Touring</t>
        </is>
      </c>
      <c r="AF820" s="13" t="n"/>
      <c r="AG820" s="13" t="n"/>
    </row>
    <row r="821">
      <c r="A821" s="9" t="inlineStr">
        <is>
          <t>21/22</t>
        </is>
      </c>
      <c r="B821" s="10" t="inlineStr">
        <is>
          <t xml:space="preserve"> Liberty</t>
        </is>
      </c>
      <c r="C821" s="11" t="inlineStr">
        <is>
          <t>Origin 101</t>
        </is>
      </c>
      <c r="D821" s="13" t="n">
        <v>176</v>
      </c>
      <c r="E821" s="11" t="inlineStr">
        <is>
          <t xml:space="preserve"> Unisex</t>
        </is>
      </c>
      <c r="F821" s="13" t="n">
        <v>176</v>
      </c>
      <c r="G821" s="13" t="n">
        <v>174.8</v>
      </c>
      <c r="H821" s="13" t="n">
        <v>108</v>
      </c>
      <c r="I821" s="13" t="n">
        <v>145</v>
      </c>
      <c r="J821" s="13" t="n">
        <v>134</v>
      </c>
      <c r="K821" s="13" t="n">
        <v>101</v>
      </c>
      <c r="L821" s="13" t="n">
        <v>122</v>
      </c>
      <c r="M821" s="13" t="n">
        <v>17.4</v>
      </c>
      <c r="N821" s="13" t="n">
        <v>1821</v>
      </c>
      <c r="O821" s="13" t="n">
        <v>1.07</v>
      </c>
      <c r="P821" s="13" t="n">
        <v>1944</v>
      </c>
      <c r="Q821" s="13" t="n">
        <v>183</v>
      </c>
      <c r="R821" s="13" t="n">
        <v>92</v>
      </c>
      <c r="S821" s="13" t="n">
        <v>52</v>
      </c>
      <c r="T821" s="13" t="n">
        <v>385</v>
      </c>
      <c r="U821" s="13" t="n">
        <v>32</v>
      </c>
      <c r="V821" s="13" t="n">
        <v>288</v>
      </c>
      <c r="W821" s="13" t="n">
        <v>0.621</v>
      </c>
      <c r="X821" s="13" t="n">
        <v>142</v>
      </c>
      <c r="Y821" s="13" t="n">
        <v>156</v>
      </c>
      <c r="Z821" s="13" t="n">
        <v>243</v>
      </c>
      <c r="AA821" s="13" t="n">
        <v>4</v>
      </c>
      <c r="AB821" s="13" t="n">
        <v>7.8</v>
      </c>
      <c r="AC821" s="11" t="inlineStr">
        <is>
          <t xml:space="preserve"> Resort Freeride</t>
        </is>
      </c>
      <c r="AD821" s="11" t="inlineStr">
        <is>
          <t xml:space="preserve"> Powder</t>
        </is>
      </c>
      <c r="AE821" s="11" t="inlineStr">
        <is>
          <t xml:space="preserve"> Touring</t>
        </is>
      </c>
      <c r="AF821" s="13" t="n"/>
      <c r="AG821" s="13" t="n"/>
    </row>
    <row r="822">
      <c r="A822" s="9" t="inlineStr">
        <is>
          <t>21/22</t>
        </is>
      </c>
      <c r="B822" s="10" t="inlineStr">
        <is>
          <t xml:space="preserve"> Liberty</t>
        </is>
      </c>
      <c r="C822" s="11" t="inlineStr">
        <is>
          <t>Origin 106</t>
        </is>
      </c>
      <c r="D822" s="13" t="n">
        <v>176</v>
      </c>
      <c r="E822" s="11" t="inlineStr">
        <is>
          <t xml:space="preserve"> Unisex</t>
        </is>
      </c>
      <c r="F822" s="13" t="n">
        <v>176</v>
      </c>
      <c r="G822" s="13" t="n">
        <v>175.2</v>
      </c>
      <c r="H822" s="13" t="n">
        <v>98</v>
      </c>
      <c r="I822" s="13" t="n">
        <v>145</v>
      </c>
      <c r="J822" s="13" t="n">
        <v>137</v>
      </c>
      <c r="K822" s="13" t="n">
        <v>106</v>
      </c>
      <c r="L822" s="13" t="n">
        <v>127</v>
      </c>
      <c r="M822" s="13" t="n">
        <v>18.3</v>
      </c>
      <c r="N822" s="13" t="n">
        <v>1983</v>
      </c>
      <c r="O822" s="13" t="n">
        <v>1.02</v>
      </c>
      <c r="P822" s="13" t="n">
        <v>2014</v>
      </c>
      <c r="Q822" s="13" t="n">
        <v>211</v>
      </c>
      <c r="R822" s="13" t="n">
        <v>102</v>
      </c>
      <c r="S822" s="13" t="n">
        <v>54</v>
      </c>
      <c r="T822" s="13" t="n">
        <v>459</v>
      </c>
      <c r="U822" s="13" t="n">
        <v>39</v>
      </c>
      <c r="V822" s="13" t="n">
        <v>311</v>
      </c>
      <c r="W822" s="13" t="n">
        <v>0.72</v>
      </c>
      <c r="X822" s="13" t="n">
        <v>139</v>
      </c>
      <c r="Y822" s="13" t="n">
        <v>165</v>
      </c>
      <c r="Z822" s="13" t="n">
        <v>320</v>
      </c>
      <c r="AA822" s="13" t="n">
        <v>4</v>
      </c>
      <c r="AB822" s="13" t="n">
        <v>8.1</v>
      </c>
      <c r="AC822" s="11" t="inlineStr">
        <is>
          <t xml:space="preserve"> Powder</t>
        </is>
      </c>
      <c r="AD822" s="13" t="n"/>
      <c r="AE822" s="13" t="n"/>
      <c r="AF822" s="13" t="n"/>
      <c r="AG822" s="13" t="n"/>
    </row>
    <row r="823">
      <c r="A823" s="9" t="inlineStr">
        <is>
          <t>21/22</t>
        </is>
      </c>
      <c r="B823" s="10" t="inlineStr">
        <is>
          <t xml:space="preserve"> Liberty</t>
        </is>
      </c>
      <c r="C823" s="11" t="inlineStr">
        <is>
          <t>Origin 106</t>
        </is>
      </c>
      <c r="D823" s="13" t="n">
        <v>182</v>
      </c>
      <c r="E823" s="11" t="inlineStr">
        <is>
          <t xml:space="preserve"> Unisex</t>
        </is>
      </c>
      <c r="F823" s="13" t="n">
        <v>182</v>
      </c>
      <c r="G823" s="13" t="n">
        <v>180.9</v>
      </c>
      <c r="H823" s="13" t="n">
        <v>103</v>
      </c>
      <c r="I823" s="13" t="n">
        <v>152</v>
      </c>
      <c r="J823" s="13" t="n">
        <v>137</v>
      </c>
      <c r="K823" s="13" t="n">
        <v>106</v>
      </c>
      <c r="L823" s="13" t="n">
        <v>127</v>
      </c>
      <c r="M823" s="13" t="n">
        <v>20.4</v>
      </c>
      <c r="N823" s="13" t="n">
        <v>2023</v>
      </c>
      <c r="O823" s="13" t="n">
        <v>1.03</v>
      </c>
      <c r="P823" s="13" t="n">
        <v>2084</v>
      </c>
      <c r="Q823" s="13" t="n">
        <v>226</v>
      </c>
      <c r="R823" s="13" t="n">
        <v>107</v>
      </c>
      <c r="S823" s="13" t="n">
        <v>57</v>
      </c>
      <c r="T823" s="13" t="n">
        <v>462</v>
      </c>
      <c r="U823" s="13" t="n">
        <v>42</v>
      </c>
      <c r="V823" s="13" t="n">
        <v>321</v>
      </c>
      <c r="W823" s="13" t="n">
        <v>0.747</v>
      </c>
      <c r="X823" s="13" t="n">
        <v>141</v>
      </c>
      <c r="Y823" s="13" t="n">
        <v>153</v>
      </c>
      <c r="Z823" s="13" t="n">
        <v>321</v>
      </c>
      <c r="AA823" s="13" t="n">
        <v>4</v>
      </c>
      <c r="AB823" s="13" t="n">
        <v>7.9</v>
      </c>
      <c r="AC823" s="11" t="inlineStr">
        <is>
          <t xml:space="preserve"> Powder</t>
        </is>
      </c>
      <c r="AD823" s="13" t="n"/>
      <c r="AE823" s="13" t="n"/>
      <c r="AF823" s="13" t="n"/>
      <c r="AG823" s="13" t="n"/>
    </row>
    <row r="824">
      <c r="A824" s="9" t="inlineStr">
        <is>
          <t>21/22</t>
        </is>
      </c>
      <c r="B824" s="10" t="inlineStr">
        <is>
          <t xml:space="preserve"> Liberty</t>
        </is>
      </c>
      <c r="C824" s="11" t="inlineStr">
        <is>
          <t>Origin 106</t>
        </is>
      </c>
      <c r="D824" s="13" t="n">
        <v>187</v>
      </c>
      <c r="E824" s="11" t="inlineStr">
        <is>
          <t xml:space="preserve"> Unisex</t>
        </is>
      </c>
      <c r="F824" s="13" t="n">
        <v>187</v>
      </c>
      <c r="G824" s="13" t="n">
        <v>186.2</v>
      </c>
      <c r="H824" s="13" t="n">
        <v>108</v>
      </c>
      <c r="I824" s="13" t="n">
        <v>156</v>
      </c>
      <c r="J824" s="13" t="n">
        <v>137</v>
      </c>
      <c r="K824" s="13" t="n">
        <v>106</v>
      </c>
      <c r="L824" s="13" t="n">
        <v>127</v>
      </c>
      <c r="M824" s="13" t="n">
        <v>21.8</v>
      </c>
      <c r="N824" s="13" t="n">
        <v>2108</v>
      </c>
      <c r="O824" s="13" t="n">
        <v>1.02</v>
      </c>
      <c r="P824" s="13" t="n">
        <v>2140</v>
      </c>
      <c r="Q824" s="13" t="n">
        <v>217</v>
      </c>
      <c r="R824" s="13" t="n">
        <v>109</v>
      </c>
      <c r="S824" s="13" t="n">
        <v>56</v>
      </c>
      <c r="T824" s="13" t="n">
        <v>471</v>
      </c>
      <c r="U824" s="13" t="n">
        <v>40</v>
      </c>
      <c r="V824" s="13" t="n">
        <v>311</v>
      </c>
      <c r="W824" s="13" t="n">
        <v>0.721</v>
      </c>
      <c r="X824" s="13" t="n">
        <v>142</v>
      </c>
      <c r="Y824" s="13" t="n">
        <v>161</v>
      </c>
      <c r="Z824" s="13" t="n">
        <v>328</v>
      </c>
      <c r="AA824" s="13" t="n">
        <v>4</v>
      </c>
      <c r="AB824" s="13" t="n">
        <v>8.199999999999999</v>
      </c>
      <c r="AC824" s="11" t="inlineStr">
        <is>
          <t xml:space="preserve"> Powder</t>
        </is>
      </c>
      <c r="AD824" s="13" t="n"/>
      <c r="AE824" s="13" t="n"/>
      <c r="AF824" s="13" t="n"/>
      <c r="AG824" s="13" t="n"/>
    </row>
    <row r="825">
      <c r="A825" s="9" t="inlineStr">
        <is>
          <t>21/22</t>
        </is>
      </c>
      <c r="B825" s="10" t="inlineStr">
        <is>
          <t xml:space="preserve"> Liberty</t>
        </is>
      </c>
      <c r="C825" s="11" t="inlineStr">
        <is>
          <t>Origin 96</t>
        </is>
      </c>
      <c r="D825" s="13" t="n">
        <v>171</v>
      </c>
      <c r="E825" s="11" t="inlineStr">
        <is>
          <t xml:space="preserve"> Unisex</t>
        </is>
      </c>
      <c r="F825" s="13" t="n">
        <v>171</v>
      </c>
      <c r="G825" s="13" t="n">
        <v>170</v>
      </c>
      <c r="H825" s="13" t="n">
        <v>109</v>
      </c>
      <c r="I825" s="13" t="n">
        <v>140</v>
      </c>
      <c r="J825" s="13" t="n">
        <v>130</v>
      </c>
      <c r="K825" s="13" t="n">
        <v>96</v>
      </c>
      <c r="L825" s="13" t="n">
        <v>118</v>
      </c>
      <c r="M825" s="13" t="n">
        <v>16.5</v>
      </c>
      <c r="N825" s="13" t="n">
        <v>1732</v>
      </c>
      <c r="O825" s="13" t="n">
        <v>1.05</v>
      </c>
      <c r="P825" s="13" t="n">
        <v>1813</v>
      </c>
      <c r="Q825" s="13" t="n">
        <v>188</v>
      </c>
      <c r="R825" s="13" t="n">
        <v>89</v>
      </c>
      <c r="S825" s="13" t="n">
        <v>50</v>
      </c>
      <c r="T825" s="13" t="n">
        <v>344</v>
      </c>
      <c r="U825" s="13" t="n">
        <v>30</v>
      </c>
      <c r="V825" s="13" t="n">
        <v>261</v>
      </c>
      <c r="W825" s="13" t="n">
        <v>0.611</v>
      </c>
      <c r="X825" s="13" t="n">
        <v>136</v>
      </c>
      <c r="Y825" s="13" t="n">
        <v>165</v>
      </c>
      <c r="Z825" s="13" t="n">
        <v>209</v>
      </c>
      <c r="AA825" s="13" t="n">
        <v>5</v>
      </c>
      <c r="AB825" s="13" t="n">
        <v>8.1</v>
      </c>
      <c r="AC825" s="11" t="inlineStr">
        <is>
          <t xml:space="preserve"> Resort Freeride</t>
        </is>
      </c>
      <c r="AD825" s="13" t="n"/>
      <c r="AE825" s="13" t="n"/>
      <c r="AF825" s="13" t="n"/>
      <c r="AG825" s="13" t="n"/>
    </row>
    <row r="826">
      <c r="A826" s="9" t="inlineStr">
        <is>
          <t>21/22</t>
        </is>
      </c>
      <c r="B826" s="10" t="inlineStr">
        <is>
          <t xml:space="preserve"> Liberty</t>
        </is>
      </c>
      <c r="C826" s="11" t="inlineStr">
        <is>
          <t>Origin 96</t>
        </is>
      </c>
      <c r="D826" s="13" t="n">
        <v>176</v>
      </c>
      <c r="E826" s="11" t="inlineStr">
        <is>
          <t xml:space="preserve"> Unisex</t>
        </is>
      </c>
      <c r="F826" s="13" t="n">
        <v>176</v>
      </c>
      <c r="G826" s="13" t="n">
        <v>174.9</v>
      </c>
      <c r="H826" s="13" t="n">
        <v>117</v>
      </c>
      <c r="I826" s="13" t="n">
        <v>145</v>
      </c>
      <c r="J826" s="13" t="n">
        <v>129</v>
      </c>
      <c r="K826" s="13" t="n">
        <v>96</v>
      </c>
      <c r="L826" s="13" t="n">
        <v>117</v>
      </c>
      <c r="M826" s="13" t="n">
        <v>17.3</v>
      </c>
      <c r="N826" s="13" t="n">
        <v>1772</v>
      </c>
      <c r="O826" s="13" t="n">
        <v>1.05</v>
      </c>
      <c r="P826" s="13" t="n">
        <v>1865</v>
      </c>
      <c r="Q826" s="13" t="n">
        <v>213</v>
      </c>
      <c r="R826" s="13" t="n">
        <v>98</v>
      </c>
      <c r="S826" s="13" t="n">
        <v>47</v>
      </c>
      <c r="T826" s="13" t="n">
        <v>307</v>
      </c>
      <c r="U826" s="13" t="n">
        <v>30</v>
      </c>
      <c r="V826" s="13" t="n">
        <v>272</v>
      </c>
      <c r="W826" s="13" t="n">
        <v>0.645</v>
      </c>
      <c r="X826" s="13" t="n">
        <v>136</v>
      </c>
      <c r="Y826" s="13" t="n">
        <v>168</v>
      </c>
      <c r="Z826" s="13" t="n">
        <v>171</v>
      </c>
      <c r="AA826" s="13" t="n">
        <v>4</v>
      </c>
      <c r="AB826" s="13" t="n">
        <v>7.9</v>
      </c>
      <c r="AC826" s="11" t="inlineStr">
        <is>
          <t xml:space="preserve"> Resort Freeride</t>
        </is>
      </c>
      <c r="AD826" s="11" t="inlineStr">
        <is>
          <t xml:space="preserve"> Touring</t>
        </is>
      </c>
      <c r="AE826" s="13" t="n"/>
      <c r="AF826" s="13" t="n"/>
      <c r="AG826" s="13" t="n"/>
    </row>
    <row r="827">
      <c r="A827" s="9" t="inlineStr">
        <is>
          <t>21/22</t>
        </is>
      </c>
      <c r="B827" s="10" t="inlineStr">
        <is>
          <t xml:space="preserve"> Liberty</t>
        </is>
      </c>
      <c r="C827" s="11" t="inlineStr">
        <is>
          <t>Origin 96</t>
        </is>
      </c>
      <c r="D827" s="13" t="n">
        <v>182</v>
      </c>
      <c r="E827" s="11" t="inlineStr">
        <is>
          <t xml:space="preserve"> Unisex</t>
        </is>
      </c>
      <c r="F827" s="13" t="n">
        <v>182</v>
      </c>
      <c r="G827" s="13" t="n">
        <v>180.8</v>
      </c>
      <c r="H827" s="13" t="n">
        <v>123</v>
      </c>
      <c r="I827" s="13" t="n">
        <v>151</v>
      </c>
      <c r="J827" s="13" t="n">
        <v>129</v>
      </c>
      <c r="K827" s="13" t="n">
        <v>96</v>
      </c>
      <c r="L827" s="13" t="n">
        <v>117</v>
      </c>
      <c r="M827" s="13" t="n">
        <v>18.7</v>
      </c>
      <c r="N827" s="13" t="n">
        <v>1860</v>
      </c>
      <c r="O827" s="13" t="n">
        <v>1.03</v>
      </c>
      <c r="P827" s="13" t="n">
        <v>1919</v>
      </c>
      <c r="Q827" s="13" t="n">
        <v>205</v>
      </c>
      <c r="R827" s="13" t="n">
        <v>97</v>
      </c>
      <c r="S827" s="13" t="n">
        <v>47</v>
      </c>
      <c r="T827" s="13" t="n">
        <v>332</v>
      </c>
      <c r="U827" s="13" t="n">
        <v>30</v>
      </c>
      <c r="V827" s="13" t="n">
        <v>243</v>
      </c>
      <c r="W827" s="13" t="n">
        <v>0.646</v>
      </c>
      <c r="X827" s="13" t="n">
        <v>136</v>
      </c>
      <c r="Y827" s="13" t="n">
        <v>164</v>
      </c>
      <c r="Z827" s="13" t="n">
        <v>195</v>
      </c>
      <c r="AA827" s="13" t="n">
        <v>6</v>
      </c>
      <c r="AB827" s="13" t="n">
        <v>8.6</v>
      </c>
      <c r="AC827" s="11" t="inlineStr">
        <is>
          <t xml:space="preserve"> Resort Freeride</t>
        </is>
      </c>
      <c r="AD827" s="13" t="n"/>
      <c r="AE827" s="13" t="n"/>
      <c r="AF827" s="13" t="n"/>
      <c r="AG827" s="13" t="n"/>
    </row>
    <row r="828">
      <c r="A828" s="9" t="inlineStr">
        <is>
          <t>21/22</t>
        </is>
      </c>
      <c r="B828" s="10" t="inlineStr">
        <is>
          <t xml:space="preserve"> Liberty</t>
        </is>
      </c>
      <c r="C828" s="11" t="inlineStr">
        <is>
          <t>Origin 96</t>
        </is>
      </c>
      <c r="D828" s="13" t="n">
        <v>187</v>
      </c>
      <c r="E828" s="11" t="inlineStr">
        <is>
          <t xml:space="preserve"> Unisex</t>
        </is>
      </c>
      <c r="F828" s="13" t="n">
        <v>187</v>
      </c>
      <c r="G828" s="13" t="n">
        <v>185.8</v>
      </c>
      <c r="H828" s="13" t="n">
        <v>126</v>
      </c>
      <c r="I828" s="13" t="n">
        <v>156</v>
      </c>
      <c r="J828" s="13" t="n">
        <v>129</v>
      </c>
      <c r="K828" s="13" t="n">
        <v>96</v>
      </c>
      <c r="L828" s="13" t="n">
        <v>117</v>
      </c>
      <c r="M828" s="13" t="n">
        <v>19.9</v>
      </c>
      <c r="N828" s="13" t="n">
        <v>1972</v>
      </c>
      <c r="O828" s="13" t="n">
        <v>1</v>
      </c>
      <c r="P828" s="13" t="n">
        <v>1972</v>
      </c>
      <c r="Q828" s="13" t="n">
        <v>247</v>
      </c>
      <c r="R828" s="13" t="n">
        <v>108</v>
      </c>
      <c r="S828" s="13" t="n">
        <v>44</v>
      </c>
      <c r="T828" s="13" t="n">
        <v>327</v>
      </c>
      <c r="U828" s="13" t="n">
        <v>31</v>
      </c>
      <c r="V828" s="13" t="n">
        <v>272</v>
      </c>
      <c r="W828" s="13" t="n">
        <v>0.71</v>
      </c>
      <c r="X828" s="13" t="n">
        <v>136</v>
      </c>
      <c r="Y828" s="13" t="n">
        <v>167</v>
      </c>
      <c r="Z828" s="13" t="n">
        <v>191</v>
      </c>
      <c r="AA828" s="13" t="n">
        <v>7</v>
      </c>
      <c r="AB828" s="13" t="n">
        <v>8.300000000000001</v>
      </c>
      <c r="AC828" s="11" t="inlineStr">
        <is>
          <t xml:space="preserve"> Resort Freeride</t>
        </is>
      </c>
      <c r="AD828" s="13" t="n"/>
      <c r="AE828" s="13" t="n"/>
      <c r="AF828" s="13" t="n"/>
      <c r="AG828" s="13" t="n"/>
    </row>
    <row r="829">
      <c r="A829" s="9" t="inlineStr">
        <is>
          <t>21/22</t>
        </is>
      </c>
      <c r="B829" s="10" t="inlineStr">
        <is>
          <t xml:space="preserve"> Line</t>
        </is>
      </c>
      <c r="C829" s="11" t="inlineStr">
        <is>
          <t xml:space="preserve"> Blade</t>
        </is>
      </c>
      <c r="D829" s="13" t="n">
        <v>169</v>
      </c>
      <c r="E829" s="11" t="inlineStr">
        <is>
          <t xml:space="preserve"> Unisex</t>
        </is>
      </c>
      <c r="F829" s="13" t="n">
        <v>169</v>
      </c>
      <c r="G829" s="13" t="n">
        <v>168.2</v>
      </c>
      <c r="H829" s="13" t="n">
        <v>133</v>
      </c>
      <c r="I829" s="13" t="n">
        <v>153</v>
      </c>
      <c r="J829" s="13" t="n">
        <v>153</v>
      </c>
      <c r="K829" s="13" t="n">
        <v>94</v>
      </c>
      <c r="L829" s="13" t="n">
        <v>123</v>
      </c>
      <c r="M829" s="13" t="n">
        <v>12.6</v>
      </c>
      <c r="N829" s="13" t="n">
        <v>1833</v>
      </c>
      <c r="O829" s="13" t="n">
        <v>1.03</v>
      </c>
      <c r="P829" s="13" t="n">
        <v>1892</v>
      </c>
      <c r="Q829" s="13" t="n">
        <v>155</v>
      </c>
      <c r="R829" s="13" t="n">
        <v>104</v>
      </c>
      <c r="S829" s="13" t="n">
        <v>43</v>
      </c>
      <c r="T829" s="13" t="n">
        <v>207</v>
      </c>
      <c r="U829" s="13" t="n">
        <v>26</v>
      </c>
      <c r="V829" s="13" t="n">
        <v>150</v>
      </c>
      <c r="W829" s="13" t="n">
        <v>0.614</v>
      </c>
      <c r="X829" s="13" t="n">
        <v>130</v>
      </c>
      <c r="Y829" s="13" t="n">
        <v>23</v>
      </c>
      <c r="Z829" s="13" t="n">
        <v>76</v>
      </c>
      <c r="AA829" s="13" t="n">
        <v>9</v>
      </c>
      <c r="AB829" s="13" t="n">
        <v>5.6</v>
      </c>
      <c r="AC829" s="11" t="inlineStr">
        <is>
          <t xml:space="preserve"> Resort Freeride</t>
        </is>
      </c>
      <c r="AD829" s="13" t="n"/>
      <c r="AE829" s="13" t="n"/>
      <c r="AF829" s="13" t="n"/>
      <c r="AG829" s="13" t="n"/>
    </row>
    <row r="830">
      <c r="A830" s="9" t="inlineStr">
        <is>
          <t>21/22</t>
        </is>
      </c>
      <c r="B830" s="10" t="inlineStr">
        <is>
          <t xml:space="preserve"> Line</t>
        </is>
      </c>
      <c r="C830" s="11" t="inlineStr">
        <is>
          <t xml:space="preserve"> Blade</t>
        </is>
      </c>
      <c r="D830" s="13" t="n">
        <v>176</v>
      </c>
      <c r="E830" s="11" t="inlineStr">
        <is>
          <t xml:space="preserve"> Unisex</t>
        </is>
      </c>
      <c r="F830" s="13" t="n">
        <v>176</v>
      </c>
      <c r="G830" s="13" t="n">
        <v>175</v>
      </c>
      <c r="H830" s="13" t="n">
        <v>141</v>
      </c>
      <c r="I830" s="13" t="n">
        <v>160</v>
      </c>
      <c r="J830" s="13" t="n">
        <v>154</v>
      </c>
      <c r="K830" s="13" t="n">
        <v>94</v>
      </c>
      <c r="L830" s="13" t="n">
        <v>124</v>
      </c>
      <c r="M830" s="13" t="n">
        <v>13.6</v>
      </c>
      <c r="N830" s="13" t="n">
        <v>1970</v>
      </c>
      <c r="O830" s="13" t="n">
        <v>1</v>
      </c>
      <c r="P830" s="13" t="n">
        <v>1975</v>
      </c>
      <c r="Q830" s="13" t="n">
        <v>166</v>
      </c>
      <c r="R830" s="13" t="n">
        <v>114</v>
      </c>
      <c r="S830" s="13" t="n">
        <v>34</v>
      </c>
      <c r="T830" s="13" t="n">
        <v>182</v>
      </c>
      <c r="U830" s="13" t="n">
        <v>25</v>
      </c>
      <c r="V830" s="13" t="n">
        <v>155</v>
      </c>
      <c r="W830" s="13" t="n">
        <v>0.737</v>
      </c>
      <c r="X830" s="13" t="n">
        <v>130</v>
      </c>
      <c r="Y830" s="13" t="n">
        <v>22</v>
      </c>
      <c r="Z830" s="13" t="n">
        <v>52</v>
      </c>
      <c r="AA830" s="13" t="n">
        <v>10</v>
      </c>
      <c r="AB830" s="13" t="n">
        <v>6.7</v>
      </c>
      <c r="AC830" s="11" t="inlineStr">
        <is>
          <t xml:space="preserve"> Resort Freeride</t>
        </is>
      </c>
      <c r="AD830" s="13" t="n"/>
      <c r="AE830" s="13" t="n"/>
      <c r="AF830" s="13" t="n"/>
      <c r="AG830" s="13" t="n"/>
    </row>
    <row r="831">
      <c r="A831" s="9" t="inlineStr">
        <is>
          <t>21/22</t>
        </is>
      </c>
      <c r="B831" s="10" t="inlineStr">
        <is>
          <t xml:space="preserve"> Line</t>
        </is>
      </c>
      <c r="C831" s="11" t="inlineStr">
        <is>
          <t xml:space="preserve"> Blade</t>
        </is>
      </c>
      <c r="D831" s="13" t="n">
        <v>181</v>
      </c>
      <c r="E831" s="11" t="inlineStr">
        <is>
          <t xml:space="preserve"> Unisex</t>
        </is>
      </c>
      <c r="F831" s="13" t="n">
        <v>181</v>
      </c>
      <c r="G831" s="13" t="n">
        <v>179.7</v>
      </c>
      <c r="H831" s="13" t="n">
        <v>140</v>
      </c>
      <c r="I831" s="13" t="n">
        <v>164</v>
      </c>
      <c r="J831" s="13" t="n">
        <v>154</v>
      </c>
      <c r="K831" s="13" t="n">
        <v>95</v>
      </c>
      <c r="L831" s="13" t="n">
        <v>124</v>
      </c>
      <c r="M831" s="13" t="n">
        <v>14.6</v>
      </c>
      <c r="N831" s="13" t="n">
        <v>2051</v>
      </c>
      <c r="O831" s="13" t="n">
        <v>0.99</v>
      </c>
      <c r="P831" s="13" t="n">
        <v>2027</v>
      </c>
      <c r="Q831" s="13" t="n">
        <v>193</v>
      </c>
      <c r="R831" s="13" t="n">
        <v>137</v>
      </c>
      <c r="S831" s="13" t="n">
        <v>35</v>
      </c>
      <c r="T831" s="13" t="n">
        <v>257</v>
      </c>
      <c r="U831" s="13" t="n">
        <v>22</v>
      </c>
      <c r="V831" s="13" t="n">
        <v>140</v>
      </c>
      <c r="W831" s="13" t="n">
        <v>0.628</v>
      </c>
      <c r="X831" s="13" t="n">
        <v>127</v>
      </c>
      <c r="Y831" s="13" t="n">
        <v>26</v>
      </c>
      <c r="Z831" s="13" t="n">
        <v>130</v>
      </c>
      <c r="AA831" s="13" t="n">
        <v>8</v>
      </c>
      <c r="AB831" s="13" t="n">
        <v>6.8</v>
      </c>
      <c r="AC831" s="11" t="inlineStr">
        <is>
          <t xml:space="preserve"> Resort Freeride</t>
        </is>
      </c>
      <c r="AD831" s="13" t="n"/>
      <c r="AE831" s="13" t="n"/>
      <c r="AF831" s="13" t="n"/>
      <c r="AG831" s="13" t="n"/>
    </row>
    <row r="832">
      <c r="A832" s="9" t="inlineStr">
        <is>
          <t>21/22</t>
        </is>
      </c>
      <c r="B832" s="10" t="inlineStr">
        <is>
          <t xml:space="preserve"> Line</t>
        </is>
      </c>
      <c r="C832" s="11" t="inlineStr">
        <is>
          <t xml:space="preserve"> Blade W</t>
        </is>
      </c>
      <c r="D832" s="13" t="n">
        <v>153</v>
      </c>
      <c r="E832" s="11" t="inlineStr">
        <is>
          <t xml:space="preserve"> Women's</t>
        </is>
      </c>
      <c r="F832" s="13" t="n">
        <v>153</v>
      </c>
      <c r="G832" s="13" t="n">
        <v>152.2</v>
      </c>
      <c r="H832" s="13" t="n">
        <v>121</v>
      </c>
      <c r="I832" s="13" t="n">
        <v>137</v>
      </c>
      <c r="J832" s="13" t="n">
        <v>139</v>
      </c>
      <c r="K832" s="13" t="n">
        <v>90</v>
      </c>
      <c r="L832" s="13" t="n">
        <v>113</v>
      </c>
      <c r="M832" s="13" t="n">
        <v>13.2</v>
      </c>
      <c r="N832" s="13" t="n">
        <v>1555</v>
      </c>
      <c r="O832" s="13" t="n">
        <v>1.02</v>
      </c>
      <c r="P832" s="13" t="n">
        <v>1593</v>
      </c>
      <c r="Q832" s="13" t="n">
        <v>136</v>
      </c>
      <c r="R832" s="13" t="n">
        <v>92</v>
      </c>
      <c r="S832" s="13" t="n">
        <v>30</v>
      </c>
      <c r="T832" s="13" t="n">
        <v>192</v>
      </c>
      <c r="U832" s="13" t="n">
        <v>22</v>
      </c>
      <c r="V832" s="13" t="n">
        <v>120</v>
      </c>
      <c r="W832" s="13" t="n">
        <v>0.746</v>
      </c>
      <c r="X832" s="13" t="n">
        <v>131</v>
      </c>
      <c r="Y832" s="13" t="n">
        <v>22</v>
      </c>
      <c r="Z832" s="13" t="n">
        <v>61</v>
      </c>
      <c r="AA832" s="13" t="n">
        <v>8</v>
      </c>
      <c r="AB832" s="13" t="n">
        <v>6</v>
      </c>
      <c r="AC832" s="11" t="inlineStr">
        <is>
          <t xml:space="preserve"> Resort Freeride</t>
        </is>
      </c>
      <c r="AD832" s="13" t="n"/>
      <c r="AE832" s="13" t="n"/>
      <c r="AF832" s="13" t="n"/>
      <c r="AG832" s="13" t="n"/>
    </row>
    <row r="833">
      <c r="A833" s="9" t="inlineStr">
        <is>
          <t>21/22</t>
        </is>
      </c>
      <c r="B833" s="10" t="inlineStr">
        <is>
          <t xml:space="preserve"> Line</t>
        </is>
      </c>
      <c r="C833" s="11" t="inlineStr">
        <is>
          <t xml:space="preserve"> Blade W</t>
        </is>
      </c>
      <c r="D833" s="13" t="n">
        <v>160</v>
      </c>
      <c r="E833" s="11" t="inlineStr">
        <is>
          <t xml:space="preserve"> Women's</t>
        </is>
      </c>
      <c r="F833" s="13" t="n">
        <v>160</v>
      </c>
      <c r="G833" s="13" t="n">
        <v>159.5</v>
      </c>
      <c r="H833" s="13" t="n">
        <v>126</v>
      </c>
      <c r="I833" s="13" t="n">
        <v>144</v>
      </c>
      <c r="J833" s="13" t="n">
        <v>139</v>
      </c>
      <c r="K833" s="13" t="n">
        <v>90</v>
      </c>
      <c r="L833" s="13" t="n">
        <v>113</v>
      </c>
      <c r="M833" s="13" t="n">
        <v>14.7</v>
      </c>
      <c r="N833" s="13" t="n">
        <v>1624</v>
      </c>
      <c r="O833" s="13" t="n">
        <v>1.02</v>
      </c>
      <c r="P833" s="13" t="n">
        <v>1664</v>
      </c>
      <c r="Q833" s="13" t="n">
        <v>139</v>
      </c>
      <c r="R833" s="13" t="n">
        <v>87</v>
      </c>
      <c r="S833" s="13" t="n">
        <v>32</v>
      </c>
      <c r="T833" s="13" t="n">
        <v>208</v>
      </c>
      <c r="U833" s="13" t="n">
        <v>15</v>
      </c>
      <c r="V833" s="13" t="n">
        <v>132</v>
      </c>
      <c r="W833" s="13" t="n">
        <v>0.465</v>
      </c>
      <c r="X833" s="13" t="n">
        <v>129</v>
      </c>
      <c r="Y833" s="13" t="n">
        <v>22</v>
      </c>
      <c r="Z833" s="13" t="n">
        <v>79</v>
      </c>
      <c r="AA833" s="13" t="n">
        <v>8</v>
      </c>
      <c r="AB833" s="13" t="n">
        <v>6.4</v>
      </c>
      <c r="AC833" s="11" t="inlineStr">
        <is>
          <t xml:space="preserve"> Resort Freeride</t>
        </is>
      </c>
      <c r="AD833" s="13" t="n"/>
      <c r="AE833" s="13" t="n"/>
      <c r="AF833" s="13" t="n"/>
      <c r="AG833" s="13" t="n"/>
    </row>
    <row r="834">
      <c r="A834" s="9" t="inlineStr">
        <is>
          <t>21/22</t>
        </is>
      </c>
      <c r="B834" s="10" t="inlineStr">
        <is>
          <t xml:space="preserve"> Line</t>
        </is>
      </c>
      <c r="C834" s="11" t="inlineStr">
        <is>
          <t xml:space="preserve"> Blade W</t>
        </is>
      </c>
      <c r="D834" s="13" t="n">
        <v>167</v>
      </c>
      <c r="E834" s="11" t="inlineStr">
        <is>
          <t xml:space="preserve"> Women's</t>
        </is>
      </c>
      <c r="F834" s="13" t="n">
        <v>167</v>
      </c>
      <c r="G834" s="13" t="n">
        <v>166.7</v>
      </c>
      <c r="H834" s="13" t="n">
        <v>134</v>
      </c>
      <c r="I834" s="13" t="n">
        <v>152</v>
      </c>
      <c r="J834" s="13" t="n">
        <v>139</v>
      </c>
      <c r="K834" s="13" t="n">
        <v>90</v>
      </c>
      <c r="L834" s="13" t="n">
        <v>113</v>
      </c>
      <c r="M834" s="13" t="n">
        <v>16.3</v>
      </c>
      <c r="N834" s="13" t="n">
        <v>1752</v>
      </c>
      <c r="O834" s="13" t="n">
        <v>0.99</v>
      </c>
      <c r="P834" s="13" t="n">
        <v>1743</v>
      </c>
      <c r="Q834" s="13" t="n">
        <v>174</v>
      </c>
      <c r="R834" s="13" t="n">
        <v>116</v>
      </c>
      <c r="S834" s="13" t="n">
        <v>39</v>
      </c>
      <c r="T834" s="13" t="n">
        <v>211</v>
      </c>
      <c r="U834" s="13" t="n">
        <v>16</v>
      </c>
      <c r="V834" s="13" t="n">
        <v>121</v>
      </c>
      <c r="W834" s="13" t="n">
        <v>0.401</v>
      </c>
      <c r="X834" s="13" t="n">
        <v>128</v>
      </c>
      <c r="Y834" s="13" t="n">
        <v>23</v>
      </c>
      <c r="Z834" s="13" t="n">
        <v>82</v>
      </c>
      <c r="AA834" s="13" t="n">
        <v>10</v>
      </c>
      <c r="AB834" s="13" t="n">
        <v>6.9</v>
      </c>
      <c r="AC834" s="11" t="inlineStr">
        <is>
          <t xml:space="preserve"> Resort Freeride</t>
        </is>
      </c>
      <c r="AD834" s="13" t="n"/>
      <c r="AE834" s="13" t="n"/>
      <c r="AF834" s="13" t="n"/>
      <c r="AG834" s="13" t="n"/>
    </row>
    <row r="835">
      <c r="A835" s="9" t="inlineStr">
        <is>
          <t>21/22</t>
        </is>
      </c>
      <c r="B835" s="10" t="inlineStr">
        <is>
          <t xml:space="preserve"> Line</t>
        </is>
      </c>
      <c r="C835" s="11" t="inlineStr">
        <is>
          <t xml:space="preserve"> Blend</t>
        </is>
      </c>
      <c r="D835" s="13" t="n">
        <v>171</v>
      </c>
      <c r="E835" s="11" t="inlineStr">
        <is>
          <t xml:space="preserve"> Unisex</t>
        </is>
      </c>
      <c r="F835" s="13" t="n">
        <v>171</v>
      </c>
      <c r="G835" s="13" t="n">
        <v>171.7</v>
      </c>
      <c r="H835" s="13" t="n">
        <v>119</v>
      </c>
      <c r="I835" s="13" t="n">
        <v>147</v>
      </c>
      <c r="J835" s="13" t="n">
        <v>132</v>
      </c>
      <c r="K835" s="13" t="n">
        <v>99</v>
      </c>
      <c r="L835" s="13" t="n">
        <v>122</v>
      </c>
      <c r="M835" s="13" t="n">
        <v>18.7</v>
      </c>
      <c r="N835" s="13" t="n">
        <v>1651</v>
      </c>
      <c r="O835" s="13" t="n">
        <v>1.14</v>
      </c>
      <c r="P835" s="13" t="n">
        <v>1881</v>
      </c>
      <c r="Q835" s="13" t="n">
        <v>130</v>
      </c>
      <c r="R835" s="13" t="n">
        <v>58</v>
      </c>
      <c r="S835" s="13" t="n">
        <v>41</v>
      </c>
      <c r="T835" s="13" t="n">
        <v>249</v>
      </c>
      <c r="U835" s="13" t="n">
        <v>38</v>
      </c>
      <c r="V835" s="13" t="n">
        <v>276</v>
      </c>
      <c r="W835" s="13" t="n">
        <v>0.9370000000000001</v>
      </c>
      <c r="X835" s="13" t="n">
        <v>106</v>
      </c>
      <c r="Y835" s="13" t="n">
        <v>137</v>
      </c>
      <c r="Z835" s="13" t="n">
        <v>143</v>
      </c>
      <c r="AA835" s="13" t="n">
        <v>6</v>
      </c>
      <c r="AB835" s="13" t="n">
        <v>4.5</v>
      </c>
      <c r="AC835" s="11" t="inlineStr">
        <is>
          <t xml:space="preserve"> Freeski</t>
        </is>
      </c>
      <c r="AD835" s="11" t="inlineStr">
        <is>
          <t xml:space="preserve"> Touring</t>
        </is>
      </c>
      <c r="AE835" s="13" t="n"/>
      <c r="AF835" s="13" t="n"/>
      <c r="AG835" s="13" t="n"/>
    </row>
    <row r="836">
      <c r="A836" s="9" t="inlineStr">
        <is>
          <t>21/22</t>
        </is>
      </c>
      <c r="B836" s="10" t="inlineStr">
        <is>
          <t xml:space="preserve"> Line</t>
        </is>
      </c>
      <c r="C836" s="11" t="inlineStr">
        <is>
          <t xml:space="preserve"> Blend</t>
        </is>
      </c>
      <c r="D836" s="13" t="n">
        <v>178</v>
      </c>
      <c r="E836" s="11" t="inlineStr">
        <is>
          <t xml:space="preserve"> Unisex</t>
        </is>
      </c>
      <c r="F836" s="13" t="n">
        <v>178</v>
      </c>
      <c r="G836" s="13" t="n">
        <v>178</v>
      </c>
      <c r="H836" s="13" t="n">
        <v>138</v>
      </c>
      <c r="I836" s="13" t="n">
        <v>155</v>
      </c>
      <c r="J836" s="13" t="n">
        <v>132</v>
      </c>
      <c r="K836" s="13" t="n">
        <v>99</v>
      </c>
      <c r="L836" s="13" t="n">
        <v>121</v>
      </c>
      <c r="M836" s="13" t="n">
        <v>20.6</v>
      </c>
      <c r="N836" s="13" t="n">
        <v>1783</v>
      </c>
      <c r="O836" s="13" t="n">
        <v>1.09</v>
      </c>
      <c r="P836" s="13" t="n">
        <v>1948</v>
      </c>
      <c r="Q836" s="13" t="n">
        <v>162</v>
      </c>
      <c r="R836" s="13" t="n">
        <v>75</v>
      </c>
      <c r="S836" s="13" t="n">
        <v>44</v>
      </c>
      <c r="T836" s="13" t="n">
        <v>208</v>
      </c>
      <c r="U836" s="13" t="n">
        <v>42</v>
      </c>
      <c r="V836" s="13" t="n">
        <v>195</v>
      </c>
      <c r="W836" s="13" t="n">
        <v>0.965</v>
      </c>
      <c r="X836" s="13" t="n">
        <v>104</v>
      </c>
      <c r="Y836" s="13" t="n">
        <v>131</v>
      </c>
      <c r="Z836" s="13" t="n">
        <v>104</v>
      </c>
      <c r="AA836" s="13" t="n">
        <v>9</v>
      </c>
      <c r="AB836" s="13" t="n">
        <v>4.3</v>
      </c>
      <c r="AC836" s="11" t="inlineStr">
        <is>
          <t xml:space="preserve"> Freeski</t>
        </is>
      </c>
      <c r="AD836" s="11" t="inlineStr">
        <is>
          <t xml:space="preserve"> Touring</t>
        </is>
      </c>
      <c r="AE836" s="13" t="n"/>
      <c r="AF836" s="13" t="n"/>
      <c r="AG836" s="13" t="n"/>
    </row>
    <row r="837">
      <c r="A837" s="9" t="inlineStr">
        <is>
          <t>21/22</t>
        </is>
      </c>
      <c r="B837" s="10" t="inlineStr">
        <is>
          <t xml:space="preserve"> Line</t>
        </is>
      </c>
      <c r="C837" s="11" t="inlineStr">
        <is>
          <t xml:space="preserve"> Blend</t>
        </is>
      </c>
      <c r="D837" s="13" t="n">
        <v>185</v>
      </c>
      <c r="E837" s="11" t="inlineStr">
        <is>
          <t xml:space="preserve"> Unisex</t>
        </is>
      </c>
      <c r="F837" s="13" t="n">
        <v>185</v>
      </c>
      <c r="G837" s="13" t="n">
        <v>185.5</v>
      </c>
      <c r="H837" s="13" t="n">
        <v>140</v>
      </c>
      <c r="I837" s="13" t="n">
        <v>161</v>
      </c>
      <c r="J837" s="13" t="n">
        <v>132</v>
      </c>
      <c r="K837" s="13" t="n">
        <v>99</v>
      </c>
      <c r="L837" s="13" t="n">
        <v>121</v>
      </c>
      <c r="M837" s="13" t="n">
        <v>23.6</v>
      </c>
      <c r="N837" s="13" t="n">
        <v>1873</v>
      </c>
      <c r="O837" s="13" t="n">
        <v>1.08</v>
      </c>
      <c r="P837" s="13" t="n">
        <v>2021</v>
      </c>
      <c r="Q837" s="13" t="n">
        <v>154</v>
      </c>
      <c r="R837" s="13" t="n">
        <v>73</v>
      </c>
      <c r="S837" s="13" t="n">
        <v>42</v>
      </c>
      <c r="T837" s="13" t="n">
        <v>218</v>
      </c>
      <c r="U837" s="13" t="n">
        <v>34</v>
      </c>
      <c r="V837" s="13" t="n">
        <v>234</v>
      </c>
      <c r="W837" s="13" t="n">
        <v>0.8</v>
      </c>
      <c r="X837" s="13" t="n">
        <v>113</v>
      </c>
      <c r="Y837" s="13" t="n">
        <v>135</v>
      </c>
      <c r="Z837" s="13" t="n">
        <v>106</v>
      </c>
      <c r="AA837" s="13" t="n">
        <v>8</v>
      </c>
      <c r="AB837" s="13" t="n">
        <v>3.9</v>
      </c>
      <c r="AC837" s="11" t="inlineStr">
        <is>
          <t xml:space="preserve"> Resort Freeride</t>
        </is>
      </c>
      <c r="AD837" s="11" t="inlineStr">
        <is>
          <t xml:space="preserve"> Freeski</t>
        </is>
      </c>
      <c r="AE837" s="11" t="inlineStr">
        <is>
          <t xml:space="preserve"> Touring</t>
        </is>
      </c>
      <c r="AF837" s="13" t="n"/>
      <c r="AG837" s="13" t="n"/>
    </row>
    <row r="838">
      <c r="A838" s="9" t="inlineStr">
        <is>
          <t>21/22</t>
        </is>
      </c>
      <c r="B838" s="10" t="inlineStr">
        <is>
          <t xml:space="preserve"> Line</t>
        </is>
      </c>
      <c r="C838" s="11" t="inlineStr">
        <is>
          <t xml:space="preserve"> Chronic</t>
        </is>
      </c>
      <c r="D838" s="13" t="n">
        <v>164</v>
      </c>
      <c r="E838" s="11" t="inlineStr">
        <is>
          <t xml:space="preserve"> Unisex</t>
        </is>
      </c>
      <c r="F838" s="13" t="n">
        <v>164</v>
      </c>
      <c r="G838" s="13" t="n">
        <v>164.8</v>
      </c>
      <c r="H838" s="13" t="n">
        <v>132</v>
      </c>
      <c r="I838" s="13" t="n">
        <v>131</v>
      </c>
      <c r="J838" s="13" t="n">
        <v>128</v>
      </c>
      <c r="K838" s="13" t="n">
        <v>94</v>
      </c>
      <c r="L838" s="13" t="n">
        <v>119</v>
      </c>
      <c r="M838" s="13" t="n">
        <v>13.8</v>
      </c>
      <c r="N838" s="13" t="n">
        <v>1581</v>
      </c>
      <c r="O838" s="13" t="n">
        <v>1.1</v>
      </c>
      <c r="P838" s="13" t="n">
        <v>1736</v>
      </c>
      <c r="Q838" s="13" t="n">
        <v>108</v>
      </c>
      <c r="R838" s="13" t="n">
        <v>66</v>
      </c>
      <c r="S838" s="13" t="n">
        <v>36</v>
      </c>
      <c r="T838" s="13" t="n">
        <v>161</v>
      </c>
      <c r="U838" s="13" t="n">
        <v>34</v>
      </c>
      <c r="V838" s="13" t="n">
        <v>165</v>
      </c>
      <c r="W838" s="13" t="n">
        <v>0.963</v>
      </c>
      <c r="X838" s="13" t="n">
        <v>165</v>
      </c>
      <c r="Y838" s="13" t="n">
        <v>178</v>
      </c>
      <c r="Z838" s="13" t="n">
        <v>-4</v>
      </c>
      <c r="AA838" s="13" t="n">
        <v>9</v>
      </c>
      <c r="AB838" s="13" t="n">
        <v>3.6</v>
      </c>
      <c r="AC838" s="11" t="inlineStr">
        <is>
          <t xml:space="preserve"> Freeski</t>
        </is>
      </c>
      <c r="AD838" s="11" t="inlineStr">
        <is>
          <t xml:space="preserve"> Touring</t>
        </is>
      </c>
      <c r="AE838" s="13" t="n"/>
      <c r="AF838" s="13" t="n"/>
      <c r="AG838" s="13" t="n"/>
    </row>
    <row r="839">
      <c r="A839" s="9" t="inlineStr">
        <is>
          <t>21/22</t>
        </is>
      </c>
      <c r="B839" s="10" t="inlineStr">
        <is>
          <t xml:space="preserve"> Line</t>
        </is>
      </c>
      <c r="C839" s="11" t="inlineStr">
        <is>
          <t xml:space="preserve"> Chronic</t>
        </is>
      </c>
      <c r="D839" s="13" t="n">
        <v>171</v>
      </c>
      <c r="E839" s="11" t="inlineStr">
        <is>
          <t xml:space="preserve"> Unisex</t>
        </is>
      </c>
      <c r="F839" s="13" t="n">
        <v>171</v>
      </c>
      <c r="G839" s="13" t="n">
        <v>171.6</v>
      </c>
      <c r="H839" s="13" t="n">
        <v>136</v>
      </c>
      <c r="I839" s="13" t="n">
        <v>138</v>
      </c>
      <c r="J839" s="13" t="n">
        <v>128</v>
      </c>
      <c r="K839" s="13" t="n">
        <v>94</v>
      </c>
      <c r="L839" s="13" t="n">
        <v>119</v>
      </c>
      <c r="M839" s="13" t="n">
        <v>15.3</v>
      </c>
      <c r="N839" s="13" t="n">
        <v>1704</v>
      </c>
      <c r="O839" s="13" t="n">
        <v>1.06</v>
      </c>
      <c r="P839" s="13" t="n">
        <v>1808</v>
      </c>
      <c r="Q839" s="13" t="n">
        <v>136</v>
      </c>
      <c r="R839" s="13" t="n">
        <v>74</v>
      </c>
      <c r="S839" s="13" t="n">
        <v>41</v>
      </c>
      <c r="T839" s="13" t="n">
        <v>174</v>
      </c>
      <c r="U839" s="13" t="n">
        <v>40</v>
      </c>
      <c r="V839" s="13" t="n">
        <v>178</v>
      </c>
      <c r="W839" s="13" t="n">
        <v>0.958</v>
      </c>
      <c r="X839" s="13" t="n">
        <v>167</v>
      </c>
      <c r="Y839" s="13" t="n">
        <v>167</v>
      </c>
      <c r="Z839" s="13" t="n">
        <v>6</v>
      </c>
      <c r="AA839" s="13" t="n">
        <v>10</v>
      </c>
      <c r="AB839" s="13" t="n">
        <v>3.5</v>
      </c>
      <c r="AC839" s="11" t="inlineStr">
        <is>
          <t xml:space="preserve"> Freeski</t>
        </is>
      </c>
      <c r="AD839" s="11" t="inlineStr">
        <is>
          <t xml:space="preserve"> Touring</t>
        </is>
      </c>
      <c r="AE839" s="13" t="n"/>
      <c r="AF839" s="13" t="n"/>
      <c r="AG839" s="13" t="n"/>
    </row>
    <row r="840">
      <c r="A840" s="9" t="inlineStr">
        <is>
          <t>21/22</t>
        </is>
      </c>
      <c r="B840" s="10" t="inlineStr">
        <is>
          <t xml:space="preserve"> Line</t>
        </is>
      </c>
      <c r="C840" s="11" t="inlineStr">
        <is>
          <t xml:space="preserve"> Chronic</t>
        </is>
      </c>
      <c r="D840" s="13" t="n">
        <v>178</v>
      </c>
      <c r="E840" s="11" t="inlineStr">
        <is>
          <t xml:space="preserve"> Unisex</t>
        </is>
      </c>
      <c r="F840" s="13" t="n">
        <v>178</v>
      </c>
      <c r="G840" s="13" t="n">
        <v>178.7</v>
      </c>
      <c r="H840" s="13" t="n">
        <v>143</v>
      </c>
      <c r="I840" s="13" t="n">
        <v>145</v>
      </c>
      <c r="J840" s="13" t="n">
        <v>128</v>
      </c>
      <c r="K840" s="13" t="n">
        <v>94</v>
      </c>
      <c r="L840" s="13" t="n">
        <v>119</v>
      </c>
      <c r="M840" s="13" t="n">
        <v>16.9</v>
      </c>
      <c r="N840" s="13" t="n">
        <v>1852</v>
      </c>
      <c r="O840" s="13" t="n">
        <v>1.02</v>
      </c>
      <c r="P840" s="13" t="n">
        <v>1884</v>
      </c>
      <c r="Q840" s="13" t="n">
        <v>156</v>
      </c>
      <c r="R840" s="13" t="n">
        <v>85</v>
      </c>
      <c r="S840" s="13" t="n">
        <v>38</v>
      </c>
      <c r="T840" s="13" t="n">
        <v>179</v>
      </c>
      <c r="U840" s="13" t="n">
        <v>37</v>
      </c>
      <c r="V840" s="13" t="n">
        <v>179</v>
      </c>
      <c r="W840" s="13" t="n">
        <v>0.981</v>
      </c>
      <c r="X840" s="13" t="n">
        <v>167</v>
      </c>
      <c r="Y840" s="13" t="n">
        <v>170</v>
      </c>
      <c r="Z840" s="13" t="n">
        <v>12</v>
      </c>
      <c r="AA840" s="13" t="n">
        <v>10</v>
      </c>
      <c r="AB840" s="13" t="n">
        <v>4.8</v>
      </c>
      <c r="AC840" s="11" t="inlineStr">
        <is>
          <t xml:space="preserve"> Freeski</t>
        </is>
      </c>
      <c r="AD840" s="13" t="n"/>
      <c r="AE840" s="13" t="n"/>
      <c r="AF840" s="13" t="n"/>
      <c r="AG840" s="13" t="n"/>
    </row>
    <row r="841">
      <c r="A841" s="9" t="inlineStr">
        <is>
          <t>21/22</t>
        </is>
      </c>
      <c r="B841" s="10" t="inlineStr">
        <is>
          <t xml:space="preserve"> Line</t>
        </is>
      </c>
      <c r="C841" s="11" t="inlineStr">
        <is>
          <t xml:space="preserve"> Chronic</t>
        </is>
      </c>
      <c r="D841" s="13" t="n">
        <v>185</v>
      </c>
      <c r="E841" s="11" t="inlineStr">
        <is>
          <t xml:space="preserve"> Unisex</t>
        </is>
      </c>
      <c r="F841" s="13" t="n">
        <v>185</v>
      </c>
      <c r="G841" s="13" t="n">
        <v>185.3</v>
      </c>
      <c r="H841" s="13" t="n">
        <v>148</v>
      </c>
      <c r="I841" s="13" t="n">
        <v>151</v>
      </c>
      <c r="J841" s="13" t="n">
        <v>128</v>
      </c>
      <c r="K841" s="13" t="n">
        <v>94</v>
      </c>
      <c r="L841" s="13" t="n">
        <v>119</v>
      </c>
      <c r="M841" s="13" t="n">
        <v>18.6</v>
      </c>
      <c r="N841" s="13" t="n">
        <v>1982</v>
      </c>
      <c r="O841" s="13" t="n">
        <v>0.99</v>
      </c>
      <c r="P841" s="13" t="n">
        <v>1954</v>
      </c>
      <c r="Q841" s="13" t="n">
        <v>179</v>
      </c>
      <c r="R841" s="13" t="n">
        <v>107</v>
      </c>
      <c r="S841" s="13" t="n">
        <v>37</v>
      </c>
      <c r="T841" s="13" t="n">
        <v>178</v>
      </c>
      <c r="U841" s="13" t="n">
        <v>38</v>
      </c>
      <c r="V841" s="13" t="n">
        <v>198</v>
      </c>
      <c r="W841" s="13" t="n">
        <v>1.026</v>
      </c>
      <c r="X841" s="13" t="n">
        <v>164</v>
      </c>
      <c r="Y841" s="13" t="n">
        <v>176</v>
      </c>
      <c r="Z841" s="13" t="n">
        <v>14</v>
      </c>
      <c r="AA841" s="13" t="n">
        <v>10</v>
      </c>
      <c r="AB841" s="13" t="n">
        <v>5.2</v>
      </c>
      <c r="AC841" s="11" t="inlineStr">
        <is>
          <t xml:space="preserve"> Freeski</t>
        </is>
      </c>
      <c r="AD841" s="13" t="n"/>
      <c r="AE841" s="13" t="n"/>
      <c r="AF841" s="13" t="n"/>
      <c r="AG841" s="13" t="n"/>
    </row>
    <row r="842">
      <c r="A842" s="9" t="inlineStr">
        <is>
          <t>21/22</t>
        </is>
      </c>
      <c r="B842" s="10" t="inlineStr">
        <is>
          <t xml:space="preserve"> Line</t>
        </is>
      </c>
      <c r="C842" s="11" t="inlineStr">
        <is>
          <t xml:space="preserve"> Honey Badger</t>
        </is>
      </c>
      <c r="D842" s="13" t="n">
        <v>155</v>
      </c>
      <c r="E842" s="11" t="inlineStr">
        <is>
          <t xml:space="preserve"> Unisex</t>
        </is>
      </c>
      <c r="F842" s="13" t="n">
        <v>155</v>
      </c>
      <c r="G842" s="13" t="n">
        <v>153.8</v>
      </c>
      <c r="H842" s="13" t="n">
        <v>92</v>
      </c>
      <c r="I842" s="13" t="n">
        <v>129</v>
      </c>
      <c r="J842" s="13" t="n">
        <v>120</v>
      </c>
      <c r="K842" s="13" t="n">
        <v>91</v>
      </c>
      <c r="L842" s="13" t="n">
        <v>117</v>
      </c>
      <c r="M842" s="13" t="n">
        <v>14.5</v>
      </c>
      <c r="N842" s="13" t="n">
        <v>1516</v>
      </c>
      <c r="O842" s="13" t="n">
        <v>1.03</v>
      </c>
      <c r="P842" s="13" t="n">
        <v>1555</v>
      </c>
      <c r="Q842" s="13" t="n">
        <v>143</v>
      </c>
      <c r="R842" s="13" t="n">
        <v>59</v>
      </c>
      <c r="S842" s="13" t="n">
        <v>48</v>
      </c>
      <c r="T842" s="13" t="n">
        <v>281</v>
      </c>
      <c r="U842" s="13" t="n">
        <v>47</v>
      </c>
      <c r="V842" s="13" t="n">
        <v>342</v>
      </c>
      <c r="W842" s="13" t="n">
        <v>0.972</v>
      </c>
      <c r="X842" s="13" t="n">
        <v>128</v>
      </c>
      <c r="Y842" s="13" t="n">
        <v>117</v>
      </c>
      <c r="Z842" s="13" t="n">
        <v>153</v>
      </c>
      <c r="AA842" s="13" t="n">
        <v>3</v>
      </c>
      <c r="AB842" s="13" t="n">
        <v>3.6</v>
      </c>
      <c r="AC842" s="11" t="inlineStr">
        <is>
          <t xml:space="preserve"> Freeski</t>
        </is>
      </c>
      <c r="AD842" s="13" t="n"/>
      <c r="AE842" s="13" t="n"/>
      <c r="AF842" s="13" t="n"/>
      <c r="AG842" s="13" t="n"/>
    </row>
    <row r="843">
      <c r="A843" s="9" t="inlineStr">
        <is>
          <t>21/22</t>
        </is>
      </c>
      <c r="B843" s="10" t="inlineStr">
        <is>
          <t xml:space="preserve"> Line</t>
        </is>
      </c>
      <c r="C843" s="11" t="inlineStr">
        <is>
          <t xml:space="preserve"> Honey Badger</t>
        </is>
      </c>
      <c r="D843" s="13" t="n">
        <v>166</v>
      </c>
      <c r="E843" s="11" t="inlineStr">
        <is>
          <t xml:space="preserve"> Unisex</t>
        </is>
      </c>
      <c r="F843" s="13" t="n">
        <v>166</v>
      </c>
      <c r="G843" s="13" t="n">
        <v>165.4</v>
      </c>
      <c r="H843" s="13" t="n">
        <v>129</v>
      </c>
      <c r="I843" s="13" t="n">
        <v>140</v>
      </c>
      <c r="J843" s="13" t="n">
        <v>120</v>
      </c>
      <c r="K843" s="13" t="n">
        <v>91</v>
      </c>
      <c r="L843" s="13" t="n">
        <v>117</v>
      </c>
      <c r="M843" s="13" t="n">
        <v>17.3</v>
      </c>
      <c r="N843" s="13" t="n">
        <v>1523</v>
      </c>
      <c r="O843" s="13" t="n">
        <v>1.09</v>
      </c>
      <c r="P843" s="13" t="n">
        <v>1667</v>
      </c>
      <c r="Q843" s="13" t="n">
        <v>134</v>
      </c>
      <c r="R843" s="13" t="n">
        <v>51</v>
      </c>
      <c r="S843" s="13" t="n">
        <v>41</v>
      </c>
      <c r="T843" s="13" t="n">
        <v>185</v>
      </c>
      <c r="U843" s="13" t="n">
        <v>42</v>
      </c>
      <c r="V843" s="13" t="n">
        <v>180</v>
      </c>
      <c r="W843" s="13" t="n">
        <v>1.011</v>
      </c>
      <c r="X843" s="13" t="n">
        <v>129</v>
      </c>
      <c r="Y843" s="13" t="n">
        <v>124</v>
      </c>
      <c r="Z843" s="13" t="n">
        <v>56</v>
      </c>
      <c r="AA843" s="13" t="n">
        <v>4</v>
      </c>
      <c r="AB843" s="13" t="n">
        <v>3.3</v>
      </c>
      <c r="AC843" s="11" t="inlineStr">
        <is>
          <t xml:space="preserve"> Freeski</t>
        </is>
      </c>
      <c r="AD843" s="11" t="inlineStr">
        <is>
          <t xml:space="preserve"> Touring</t>
        </is>
      </c>
      <c r="AE843" s="13" t="n"/>
      <c r="AF843" s="13" t="n"/>
      <c r="AG843" s="13" t="n"/>
    </row>
    <row r="844">
      <c r="A844" s="9" t="inlineStr">
        <is>
          <t>21/22</t>
        </is>
      </c>
      <c r="B844" s="10" t="inlineStr">
        <is>
          <t xml:space="preserve"> Line</t>
        </is>
      </c>
      <c r="C844" s="11" t="inlineStr">
        <is>
          <t xml:space="preserve"> Honey Badger</t>
        </is>
      </c>
      <c r="D844" s="13" t="n">
        <v>172</v>
      </c>
      <c r="E844" s="11" t="inlineStr">
        <is>
          <t xml:space="preserve"> Unisex</t>
        </is>
      </c>
      <c r="F844" s="13" t="n">
        <v>172</v>
      </c>
      <c r="G844" s="13" t="n">
        <v>171.4</v>
      </c>
      <c r="H844" s="13" t="n">
        <v>133</v>
      </c>
      <c r="I844" s="13" t="n">
        <v>147</v>
      </c>
      <c r="J844" s="13" t="n">
        <v>120</v>
      </c>
      <c r="K844" s="13" t="n">
        <v>91</v>
      </c>
      <c r="L844" s="13" t="n">
        <v>117</v>
      </c>
      <c r="M844" s="13" t="n">
        <v>18.9</v>
      </c>
      <c r="N844" s="13" t="n">
        <v>1661</v>
      </c>
      <c r="O844" s="13" t="n">
        <v>1.04</v>
      </c>
      <c r="P844" s="13" t="n">
        <v>1728</v>
      </c>
      <c r="Q844" s="13" t="n">
        <v>141</v>
      </c>
      <c r="R844" s="13" t="n">
        <v>63</v>
      </c>
      <c r="S844" s="13" t="n">
        <v>46</v>
      </c>
      <c r="T844" s="13" t="n">
        <v>199</v>
      </c>
      <c r="U844" s="13" t="n">
        <v>40</v>
      </c>
      <c r="V844" s="13" t="n">
        <v>190</v>
      </c>
      <c r="W844" s="13" t="n">
        <v>0.885</v>
      </c>
      <c r="X844" s="13" t="n">
        <v>123</v>
      </c>
      <c r="Y844" s="13" t="n">
        <v>126</v>
      </c>
      <c r="Z844" s="13" t="n">
        <v>76</v>
      </c>
      <c r="AA844" s="13" t="n">
        <v>7</v>
      </c>
      <c r="AB844" s="13" t="n">
        <v>3.4</v>
      </c>
      <c r="AC844" s="11" t="inlineStr">
        <is>
          <t xml:space="preserve"> Freeski</t>
        </is>
      </c>
      <c r="AD844" s="13" t="n"/>
      <c r="AE844" s="13" t="n"/>
      <c r="AF844" s="13" t="n"/>
      <c r="AG844" s="13" t="n"/>
    </row>
    <row r="845">
      <c r="A845" s="9" t="inlineStr">
        <is>
          <t>21/22</t>
        </is>
      </c>
      <c r="B845" s="10" t="inlineStr">
        <is>
          <t xml:space="preserve"> Line</t>
        </is>
      </c>
      <c r="C845" s="11" t="inlineStr">
        <is>
          <t xml:space="preserve"> Honey Badger</t>
        </is>
      </c>
      <c r="D845" s="13" t="n">
        <v>177</v>
      </c>
      <c r="E845" s="11" t="inlineStr">
        <is>
          <t xml:space="preserve"> Unisex</t>
        </is>
      </c>
      <c r="F845" s="13" t="n">
        <v>177</v>
      </c>
      <c r="G845" s="13" t="n">
        <v>176.2</v>
      </c>
      <c r="H845" s="13" t="n">
        <v>136</v>
      </c>
      <c r="I845" s="13" t="n">
        <v>152</v>
      </c>
      <c r="J845" s="13" t="n">
        <v>120</v>
      </c>
      <c r="K845" s="13" t="n">
        <v>91</v>
      </c>
      <c r="L845" s="13" t="n">
        <v>117</v>
      </c>
      <c r="M845" s="13" t="n">
        <v>20.4</v>
      </c>
      <c r="N845" s="13" t="n">
        <v>1704</v>
      </c>
      <c r="O845" s="13" t="n">
        <v>1.05</v>
      </c>
      <c r="P845" s="13" t="n">
        <v>1784</v>
      </c>
      <c r="Q845" s="13" t="n">
        <v>164</v>
      </c>
      <c r="R845" s="13" t="n">
        <v>71</v>
      </c>
      <c r="S845" s="13" t="n">
        <v>44</v>
      </c>
      <c r="T845" s="13" t="n">
        <v>195</v>
      </c>
      <c r="U845" s="13" t="n">
        <v>44</v>
      </c>
      <c r="V845" s="13" t="n">
        <v>210</v>
      </c>
      <c r="W845" s="13" t="n">
        <v>0.986</v>
      </c>
      <c r="X845" s="13" t="n">
        <v>120</v>
      </c>
      <c r="Y845" s="13" t="n">
        <v>122</v>
      </c>
      <c r="Z845" s="13" t="n">
        <v>75</v>
      </c>
      <c r="AA845" s="13" t="n">
        <v>5</v>
      </c>
      <c r="AB845" s="13" t="n">
        <v>3.3</v>
      </c>
      <c r="AC845" s="11" t="inlineStr">
        <is>
          <t xml:space="preserve"> Freeski</t>
        </is>
      </c>
      <c r="AD845" s="13" t="n"/>
      <c r="AE845" s="13" t="n"/>
      <c r="AF845" s="13" t="n"/>
      <c r="AG845" s="13" t="n"/>
    </row>
    <row r="846">
      <c r="A846" s="9" t="inlineStr">
        <is>
          <t>21/22</t>
        </is>
      </c>
      <c r="B846" s="10" t="inlineStr">
        <is>
          <t xml:space="preserve"> Line</t>
        </is>
      </c>
      <c r="C846" s="11" t="inlineStr">
        <is>
          <t xml:space="preserve"> Honey Bee</t>
        </is>
      </c>
      <c r="D846" s="13" t="n">
        <v>144</v>
      </c>
      <c r="E846" s="11" t="inlineStr">
        <is>
          <t xml:space="preserve"> Women's</t>
        </is>
      </c>
      <c r="F846" s="13" t="n">
        <v>144</v>
      </c>
      <c r="G846" s="13" t="n">
        <v>143.2</v>
      </c>
      <c r="H846" s="13" t="n">
        <v>100</v>
      </c>
      <c r="I846" s="13" t="n">
        <v>119</v>
      </c>
      <c r="J846" s="13" t="n">
        <v>120</v>
      </c>
      <c r="K846" s="13" t="n">
        <v>91</v>
      </c>
      <c r="L846" s="13" t="n">
        <v>117</v>
      </c>
      <c r="M846" s="13" t="n">
        <v>12</v>
      </c>
      <c r="N846" s="13" t="n">
        <v>1344</v>
      </c>
      <c r="O846" s="13" t="n">
        <v>1.08</v>
      </c>
      <c r="P846" s="13" t="n">
        <v>1448</v>
      </c>
      <c r="Q846" s="13" t="n">
        <v>139</v>
      </c>
      <c r="R846" s="13" t="n">
        <v>56</v>
      </c>
      <c r="S846" s="13" t="n">
        <v>46</v>
      </c>
      <c r="T846" s="13" t="n">
        <v>220</v>
      </c>
      <c r="U846" s="13" t="n">
        <v>41</v>
      </c>
      <c r="V846" s="13" t="n">
        <v>212</v>
      </c>
      <c r="W846" s="13" t="n">
        <v>0.905</v>
      </c>
      <c r="X846" s="13" t="n">
        <v>124</v>
      </c>
      <c r="Y846" s="13" t="n">
        <v>114</v>
      </c>
      <c r="Z846" s="13" t="n">
        <v>96</v>
      </c>
      <c r="AA846" s="13" t="n">
        <v>5</v>
      </c>
      <c r="AB846" s="13" t="n">
        <v>3.5</v>
      </c>
      <c r="AC846" s="11" t="inlineStr">
        <is>
          <t xml:space="preserve"> Freeski</t>
        </is>
      </c>
      <c r="AD846" s="11" t="inlineStr">
        <is>
          <t xml:space="preserve"> Touring</t>
        </is>
      </c>
      <c r="AE846" s="13" t="n"/>
      <c r="AF846" s="13" t="n"/>
      <c r="AG846" s="13" t="n"/>
    </row>
    <row r="847">
      <c r="A847" s="9" t="inlineStr">
        <is>
          <t>21/22</t>
        </is>
      </c>
      <c r="B847" s="10" t="inlineStr">
        <is>
          <t xml:space="preserve"> Line</t>
        </is>
      </c>
      <c r="C847" s="11" t="inlineStr">
        <is>
          <t xml:space="preserve"> Honey Bee</t>
        </is>
      </c>
      <c r="D847" s="13" t="n">
        <v>155</v>
      </c>
      <c r="E847" s="11" t="inlineStr">
        <is>
          <t xml:space="preserve"> Women's</t>
        </is>
      </c>
      <c r="F847" s="13" t="n">
        <v>155</v>
      </c>
      <c r="G847" s="13" t="n">
        <v>154.4</v>
      </c>
      <c r="H847" s="13" t="n">
        <v>118</v>
      </c>
      <c r="I847" s="13" t="n">
        <v>130</v>
      </c>
      <c r="J847" s="13" t="n">
        <v>120</v>
      </c>
      <c r="K847" s="13" t="n">
        <v>91</v>
      </c>
      <c r="L847" s="13" t="n">
        <v>117</v>
      </c>
      <c r="M847" s="13" t="n">
        <v>14.6</v>
      </c>
      <c r="N847" s="13" t="n">
        <v>1416</v>
      </c>
      <c r="O847" s="13" t="n">
        <v>1.1</v>
      </c>
      <c r="P847" s="13" t="n">
        <v>1559</v>
      </c>
      <c r="Q847" s="13" t="n">
        <v>126</v>
      </c>
      <c r="R847" s="13" t="n">
        <v>51</v>
      </c>
      <c r="S847" s="13" t="n">
        <v>40</v>
      </c>
      <c r="T847" s="13" t="n">
        <v>183</v>
      </c>
      <c r="U847" s="13" t="n">
        <v>40</v>
      </c>
      <c r="V847" s="13" t="n">
        <v>184</v>
      </c>
      <c r="W847" s="13" t="n">
        <v>0.992</v>
      </c>
      <c r="X847" s="13" t="n">
        <v>119</v>
      </c>
      <c r="Y847" s="13" t="n">
        <v>123</v>
      </c>
      <c r="Z847" s="13" t="n">
        <v>64</v>
      </c>
      <c r="AA847" s="13" t="n">
        <v>6</v>
      </c>
      <c r="AB847" s="13" t="n">
        <v>3.2</v>
      </c>
      <c r="AC847" s="11" t="inlineStr">
        <is>
          <t xml:space="preserve"> Freeski</t>
        </is>
      </c>
      <c r="AD847" s="11" t="inlineStr">
        <is>
          <t xml:space="preserve"> Touring</t>
        </is>
      </c>
      <c r="AE847" s="13" t="n"/>
      <c r="AF847" s="13" t="n"/>
      <c r="AG847" s="13" t="n"/>
    </row>
    <row r="848">
      <c r="A848" s="9" t="inlineStr">
        <is>
          <t>21/22</t>
        </is>
      </c>
      <c r="B848" s="10" t="inlineStr">
        <is>
          <t xml:space="preserve"> Line</t>
        </is>
      </c>
      <c r="C848" s="11" t="inlineStr">
        <is>
          <t xml:space="preserve"> Honey Bee</t>
        </is>
      </c>
      <c r="D848" s="13" t="n">
        <v>166</v>
      </c>
      <c r="E848" s="11" t="inlineStr">
        <is>
          <t xml:space="preserve"> Women's</t>
        </is>
      </c>
      <c r="F848" s="13" t="n">
        <v>166</v>
      </c>
      <c r="G848" s="13" t="n">
        <v>165.3</v>
      </c>
      <c r="H848" s="13" t="n">
        <v>129</v>
      </c>
      <c r="I848" s="13" t="n">
        <v>141</v>
      </c>
      <c r="J848" s="13" t="n">
        <v>120</v>
      </c>
      <c r="K848" s="13" t="n">
        <v>91</v>
      </c>
      <c r="L848" s="13" t="n">
        <v>117</v>
      </c>
      <c r="M848" s="13" t="n">
        <v>17.3</v>
      </c>
      <c r="N848" s="13" t="n">
        <v>1542</v>
      </c>
      <c r="O848" s="13" t="n">
        <v>1.08</v>
      </c>
      <c r="P848" s="13" t="n">
        <v>1668</v>
      </c>
      <c r="Q848" s="13" t="n">
        <v>116</v>
      </c>
      <c r="R848" s="13" t="n">
        <v>53</v>
      </c>
      <c r="S848" s="13" t="n">
        <v>42</v>
      </c>
      <c r="T848" s="13" t="n">
        <v>178</v>
      </c>
      <c r="U848" s="13" t="n">
        <v>41</v>
      </c>
      <c r="V848" s="13" t="n">
        <v>183</v>
      </c>
      <c r="W848" s="13" t="n">
        <v>0.986</v>
      </c>
      <c r="X848" s="13" t="n">
        <v>125</v>
      </c>
      <c r="Y848" s="13" t="n">
        <v>115</v>
      </c>
      <c r="Z848" s="13" t="n">
        <v>53</v>
      </c>
      <c r="AA848" s="13" t="n">
        <v>9</v>
      </c>
      <c r="AB848" s="13" t="n">
        <v>3.5</v>
      </c>
      <c r="AC848" s="11" t="inlineStr">
        <is>
          <t xml:space="preserve"> Freeski</t>
        </is>
      </c>
      <c r="AD848" s="11" t="inlineStr">
        <is>
          <t xml:space="preserve"> Touring</t>
        </is>
      </c>
      <c r="AE848" s="13" t="n"/>
      <c r="AF848" s="13" t="n"/>
      <c r="AG848" s="13" t="n"/>
    </row>
    <row r="849">
      <c r="A849" s="9" t="inlineStr">
        <is>
          <t>21/22</t>
        </is>
      </c>
      <c r="B849" s="10" t="inlineStr">
        <is>
          <t xml:space="preserve"> Line</t>
        </is>
      </c>
      <c r="C849" s="11" t="inlineStr">
        <is>
          <t xml:space="preserve"> Outline</t>
        </is>
      </c>
      <c r="D849" s="13" t="n">
        <v>178</v>
      </c>
      <c r="E849" s="11" t="inlineStr">
        <is>
          <t xml:space="preserve"> Unisex</t>
        </is>
      </c>
      <c r="F849" s="13" t="n">
        <v>178</v>
      </c>
      <c r="G849" s="13" t="n">
        <v>176.2</v>
      </c>
      <c r="H849" s="13" t="n">
        <v>94</v>
      </c>
      <c r="I849" s="13" t="n">
        <v>142</v>
      </c>
      <c r="J849" s="13" t="n">
        <v>151</v>
      </c>
      <c r="K849" s="13" t="n">
        <v>116</v>
      </c>
      <c r="L849" s="13" t="n">
        <v>139</v>
      </c>
      <c r="M849" s="13" t="n">
        <v>17.4</v>
      </c>
      <c r="N849" s="13" t="n">
        <v>1842</v>
      </c>
      <c r="O849" s="13" t="n">
        <v>1.18</v>
      </c>
      <c r="P849" s="13" t="n">
        <v>2179</v>
      </c>
      <c r="Q849" s="13" t="n">
        <v>145</v>
      </c>
      <c r="R849" s="13" t="n">
        <v>83</v>
      </c>
      <c r="S849" s="13" t="n">
        <v>70</v>
      </c>
      <c r="T849" s="13" t="n">
        <v>413</v>
      </c>
      <c r="U849" s="13" t="n">
        <v>64</v>
      </c>
      <c r="V849" s="13" t="n">
        <v>407</v>
      </c>
      <c r="W849" s="13" t="n">
        <v>0.921</v>
      </c>
      <c r="X849" s="13" t="n">
        <v>164</v>
      </c>
      <c r="Y849" s="13" t="n">
        <v>176</v>
      </c>
      <c r="Z849" s="13" t="n">
        <v>249</v>
      </c>
      <c r="AA849" s="13" t="n">
        <v>4</v>
      </c>
      <c r="AB849" s="13" t="n">
        <v>4.4</v>
      </c>
      <c r="AC849" s="11" t="inlineStr">
        <is>
          <t xml:space="preserve"> Freeski</t>
        </is>
      </c>
      <c r="AD849" s="11" t="inlineStr">
        <is>
          <t xml:space="preserve"> Powder</t>
        </is>
      </c>
      <c r="AE849" s="11" t="inlineStr">
        <is>
          <t xml:space="preserve"> Touring</t>
        </is>
      </c>
      <c r="AF849" s="13" t="n"/>
      <c r="AG849" s="13" t="n"/>
    </row>
    <row r="850">
      <c r="A850" s="9" t="inlineStr">
        <is>
          <t>21/22</t>
        </is>
      </c>
      <c r="B850" s="10" t="inlineStr">
        <is>
          <t xml:space="preserve"> Line</t>
        </is>
      </c>
      <c r="C850" s="11" t="inlineStr">
        <is>
          <t xml:space="preserve"> Outline</t>
        </is>
      </c>
      <c r="D850" s="13" t="n">
        <v>186</v>
      </c>
      <c r="E850" s="11" t="inlineStr">
        <is>
          <t xml:space="preserve"> Unisex</t>
        </is>
      </c>
      <c r="F850" s="13" t="n">
        <v>186</v>
      </c>
      <c r="G850" s="13" t="n">
        <v>184.1</v>
      </c>
      <c r="H850" s="13" t="n">
        <v>104</v>
      </c>
      <c r="I850" s="13" t="n">
        <v>152</v>
      </c>
      <c r="J850" s="13" t="n">
        <v>151</v>
      </c>
      <c r="K850" s="13" t="n">
        <v>116</v>
      </c>
      <c r="L850" s="13" t="n">
        <v>140</v>
      </c>
      <c r="M850" s="13" t="n">
        <v>19.4</v>
      </c>
      <c r="N850" s="13" t="n">
        <v>2017</v>
      </c>
      <c r="O850" s="13" t="n">
        <v>1.14</v>
      </c>
      <c r="P850" s="13" t="n">
        <v>2292</v>
      </c>
      <c r="Q850" s="13" t="n">
        <v>182</v>
      </c>
      <c r="R850" s="13" t="n">
        <v>82</v>
      </c>
      <c r="S850" s="13" t="n">
        <v>57</v>
      </c>
      <c r="T850" s="13" t="n">
        <v>400</v>
      </c>
      <c r="U850" s="13" t="n">
        <v>55</v>
      </c>
      <c r="V850" s="13" t="n">
        <v>400</v>
      </c>
      <c r="W850" s="13" t="n">
        <v>0.967</v>
      </c>
      <c r="X850" s="13" t="n">
        <v>170</v>
      </c>
      <c r="Y850" s="13" t="n">
        <v>152</v>
      </c>
      <c r="Z850" s="13" t="n">
        <v>229</v>
      </c>
      <c r="AA850" s="13" t="n">
        <v>5</v>
      </c>
      <c r="AB850" s="13" t="n">
        <v>4.6</v>
      </c>
      <c r="AC850" s="11" t="inlineStr">
        <is>
          <t xml:space="preserve"> Freeski</t>
        </is>
      </c>
      <c r="AD850" s="11" t="inlineStr">
        <is>
          <t xml:space="preserve"> Powder</t>
        </is>
      </c>
      <c r="AE850" s="11" t="inlineStr">
        <is>
          <t xml:space="preserve"> Touring</t>
        </is>
      </c>
      <c r="AF850" s="13" t="n"/>
      <c r="AG850" s="13" t="n"/>
    </row>
    <row r="851">
      <c r="A851" s="9" t="inlineStr">
        <is>
          <t>21/22</t>
        </is>
      </c>
      <c r="B851" s="10" t="inlineStr">
        <is>
          <t xml:space="preserve"> Line</t>
        </is>
      </c>
      <c r="C851" s="11" t="inlineStr">
        <is>
          <t>Pandora 104</t>
        </is>
      </c>
      <c r="D851" s="13" t="n">
        <v>158</v>
      </c>
      <c r="E851" s="11" t="inlineStr">
        <is>
          <t xml:space="preserve"> Women's</t>
        </is>
      </c>
      <c r="F851" s="13" t="n">
        <v>158</v>
      </c>
      <c r="G851" s="13" t="n">
        <v>158.2</v>
      </c>
      <c r="H851" s="13" t="n">
        <v>112</v>
      </c>
      <c r="I851" s="13" t="n">
        <v>122</v>
      </c>
      <c r="J851" s="13" t="n">
        <v>136</v>
      </c>
      <c r="K851" s="13" t="n">
        <v>103</v>
      </c>
      <c r="L851" s="13" t="n">
        <v>121</v>
      </c>
      <c r="M851" s="13" t="n">
        <v>13.5</v>
      </c>
      <c r="N851" s="13" t="n">
        <v>1478</v>
      </c>
      <c r="O851" s="13" t="n">
        <v>1.21</v>
      </c>
      <c r="P851" s="13" t="n">
        <v>1792</v>
      </c>
      <c r="Q851" s="13" t="n">
        <v>122</v>
      </c>
      <c r="R851" s="13" t="n">
        <v>69</v>
      </c>
      <c r="S851" s="13" t="n">
        <v>46</v>
      </c>
      <c r="T851" s="13" t="n">
        <v>295</v>
      </c>
      <c r="U851" s="13" t="n">
        <v>14</v>
      </c>
      <c r="V851" s="13" t="n">
        <v>164</v>
      </c>
      <c r="W851" s="13" t="n">
        <v>0.305</v>
      </c>
      <c r="X851" s="13" t="n">
        <v>185</v>
      </c>
      <c r="Y851" s="13" t="n">
        <v>181</v>
      </c>
      <c r="Z851" s="13" t="n">
        <v>109</v>
      </c>
      <c r="AA851" s="13" t="n">
        <v>6</v>
      </c>
      <c r="AB851" s="13" t="n">
        <v>9.6</v>
      </c>
      <c r="AC851" s="11" t="inlineStr">
        <is>
          <t xml:space="preserve"> Resort Freeride</t>
        </is>
      </c>
      <c r="AD851" s="11" t="inlineStr">
        <is>
          <t xml:space="preserve"> Big Mountain</t>
        </is>
      </c>
      <c r="AE851" s="11" t="inlineStr">
        <is>
          <t xml:space="preserve"> Touring</t>
        </is>
      </c>
      <c r="AF851" s="13" t="n"/>
      <c r="AG851" s="13" t="n"/>
    </row>
    <row r="852">
      <c r="A852" s="9" t="inlineStr">
        <is>
          <t>21/22</t>
        </is>
      </c>
      <c r="B852" s="10" t="inlineStr">
        <is>
          <t xml:space="preserve"> Line</t>
        </is>
      </c>
      <c r="C852" s="11" t="inlineStr">
        <is>
          <t>Pandora 104</t>
        </is>
      </c>
      <c r="D852" s="13" t="n">
        <v>165</v>
      </c>
      <c r="E852" s="11" t="inlineStr">
        <is>
          <t xml:space="preserve"> Women's</t>
        </is>
      </c>
      <c r="F852" s="13" t="n">
        <v>165</v>
      </c>
      <c r="G852" s="13" t="n">
        <v>160</v>
      </c>
      <c r="H852" s="13" t="n">
        <v>98</v>
      </c>
      <c r="I852" s="13" t="n">
        <v>126</v>
      </c>
      <c r="J852" s="13" t="n">
        <v>143</v>
      </c>
      <c r="K852" s="13" t="n">
        <v>109</v>
      </c>
      <c r="L852" s="13" t="n">
        <v>129</v>
      </c>
      <c r="M852" s="13" t="n">
        <v>14</v>
      </c>
      <c r="N852" s="13" t="n">
        <v>1557</v>
      </c>
      <c r="O852" s="13" t="n">
        <v>1.22</v>
      </c>
      <c r="P852" s="13" t="n">
        <v>1902</v>
      </c>
      <c r="Q852" s="13" t="n">
        <v>131</v>
      </c>
      <c r="R852" s="13" t="n">
        <v>52</v>
      </c>
      <c r="S852" s="13" t="n">
        <v>47</v>
      </c>
      <c r="T852" s="13" t="n">
        <v>332</v>
      </c>
      <c r="U852" s="13" t="n">
        <v>27</v>
      </c>
      <c r="V852" s="13" t="n">
        <v>290</v>
      </c>
      <c r="W852" s="13" t="n">
        <v>0.579</v>
      </c>
      <c r="X852" s="13" t="n">
        <v>169</v>
      </c>
      <c r="Y852" s="13" t="n">
        <v>168</v>
      </c>
      <c r="Z852" s="13" t="n">
        <v>163</v>
      </c>
      <c r="AA852" s="13" t="n">
        <v>5</v>
      </c>
      <c r="AB852" s="13" t="n">
        <v>6.3</v>
      </c>
      <c r="AC852" s="11" t="inlineStr">
        <is>
          <t xml:space="preserve"> Powder</t>
        </is>
      </c>
      <c r="AD852" s="11" t="inlineStr">
        <is>
          <t xml:space="preserve"> Touring</t>
        </is>
      </c>
      <c r="AE852" s="13" t="n"/>
      <c r="AF852" s="13" t="n"/>
      <c r="AG852" s="13" t="n"/>
    </row>
    <row r="853">
      <c r="A853" s="9" t="inlineStr">
        <is>
          <t>21/22</t>
        </is>
      </c>
      <c r="B853" s="10" t="inlineStr">
        <is>
          <t xml:space="preserve"> Line</t>
        </is>
      </c>
      <c r="C853" s="11" t="inlineStr">
        <is>
          <t>Pandora 104</t>
        </is>
      </c>
      <c r="D853" s="13" t="n">
        <v>172</v>
      </c>
      <c r="E853" s="11" t="inlineStr">
        <is>
          <t xml:space="preserve"> Women's</t>
        </is>
      </c>
      <c r="F853" s="13" t="n">
        <v>172</v>
      </c>
      <c r="G853" s="13" t="n">
        <v>171.7</v>
      </c>
      <c r="H853" s="13" t="n">
        <v>117</v>
      </c>
      <c r="I853" s="13" t="n">
        <v>134</v>
      </c>
      <c r="J853" s="13" t="n">
        <v>136</v>
      </c>
      <c r="K853" s="13" t="n">
        <v>103</v>
      </c>
      <c r="L853" s="13" t="n">
        <v>121</v>
      </c>
      <c r="M853" s="13" t="n">
        <v>16.4</v>
      </c>
      <c r="N853" s="13" t="n">
        <v>1624</v>
      </c>
      <c r="O853" s="13" t="n">
        <v>1.2</v>
      </c>
      <c r="P853" s="13" t="n">
        <v>1947</v>
      </c>
      <c r="Q853" s="13" t="n">
        <v>150</v>
      </c>
      <c r="R853" s="13" t="n">
        <v>78</v>
      </c>
      <c r="S853" s="13" t="n">
        <v>53</v>
      </c>
      <c r="T853" s="13" t="n">
        <v>342</v>
      </c>
      <c r="U853" s="13" t="n">
        <v>21</v>
      </c>
      <c r="V853" s="13" t="n">
        <v>208</v>
      </c>
      <c r="W853" s="13" t="n">
        <v>0.385</v>
      </c>
      <c r="X853" s="13" t="n">
        <v>184</v>
      </c>
      <c r="Y853" s="13" t="n">
        <v>195</v>
      </c>
      <c r="Z853" s="13" t="n">
        <v>158</v>
      </c>
      <c r="AA853" s="13" t="n">
        <v>5</v>
      </c>
      <c r="AB853" s="13" t="n">
        <v>9.9</v>
      </c>
      <c r="AC853" s="11" t="inlineStr">
        <is>
          <t xml:space="preserve"> Resort Freeride</t>
        </is>
      </c>
      <c r="AD853" s="11" t="inlineStr">
        <is>
          <t xml:space="preserve"> Powder</t>
        </is>
      </c>
      <c r="AE853" s="11" t="inlineStr">
        <is>
          <t xml:space="preserve"> Big Mountain</t>
        </is>
      </c>
      <c r="AF853" s="11" t="inlineStr">
        <is>
          <t xml:space="preserve"> Touring</t>
        </is>
      </c>
      <c r="AG853" s="13" t="n"/>
    </row>
    <row r="854">
      <c r="A854" s="9" t="inlineStr">
        <is>
          <t>21/22</t>
        </is>
      </c>
      <c r="B854" s="10" t="inlineStr">
        <is>
          <t xml:space="preserve"> Line</t>
        </is>
      </c>
      <c r="C854" s="11" t="inlineStr">
        <is>
          <t>Pandora 110</t>
        </is>
      </c>
      <c r="D854" s="13" t="n">
        <v>165</v>
      </c>
      <c r="E854" s="11" t="inlineStr">
        <is>
          <t xml:space="preserve"> Women's</t>
        </is>
      </c>
      <c r="F854" s="13" t="n">
        <v>165</v>
      </c>
      <c r="G854" s="13" t="n">
        <v>160</v>
      </c>
      <c r="H854" s="13" t="n">
        <v>98</v>
      </c>
      <c r="I854" s="13" t="n">
        <v>126</v>
      </c>
      <c r="J854" s="13" t="n">
        <v>143</v>
      </c>
      <c r="K854" s="13" t="n">
        <v>109</v>
      </c>
      <c r="L854" s="13" t="n">
        <v>129</v>
      </c>
      <c r="M854" s="13" t="n">
        <v>14</v>
      </c>
      <c r="N854" s="13" t="n">
        <v>1284</v>
      </c>
      <c r="O854" s="13" t="n">
        <v>1.48</v>
      </c>
      <c r="P854" s="13" t="n">
        <v>1902</v>
      </c>
      <c r="Q854" s="13" t="n">
        <v>131</v>
      </c>
      <c r="R854" s="13" t="n">
        <v>52</v>
      </c>
      <c r="S854" s="13" t="n">
        <v>47</v>
      </c>
      <c r="T854" s="13" t="n">
        <v>332</v>
      </c>
      <c r="U854" s="13" t="n">
        <v>27</v>
      </c>
      <c r="V854" s="13" t="n">
        <v>290</v>
      </c>
      <c r="W854" s="13" t="n">
        <v>0.579</v>
      </c>
      <c r="X854" s="13" t="n">
        <v>169</v>
      </c>
      <c r="Y854" s="13" t="n">
        <v>168</v>
      </c>
      <c r="Z854" s="13" t="n">
        <v>163</v>
      </c>
      <c r="AA854" s="13" t="n">
        <v>5</v>
      </c>
      <c r="AB854" s="13" t="n">
        <v>6.3</v>
      </c>
      <c r="AC854" s="11" t="inlineStr">
        <is>
          <t xml:space="preserve"> Powder</t>
        </is>
      </c>
      <c r="AD854" s="11" t="inlineStr">
        <is>
          <t xml:space="preserve"> Touring</t>
        </is>
      </c>
      <c r="AE854" s="11" t="inlineStr">
        <is>
          <t xml:space="preserve"> Ultralight Touring</t>
        </is>
      </c>
      <c r="AF854" s="13" t="n"/>
      <c r="AG854" s="13" t="n"/>
    </row>
    <row r="855">
      <c r="A855" s="9" t="inlineStr">
        <is>
          <t>21/22</t>
        </is>
      </c>
      <c r="B855" s="10" t="inlineStr">
        <is>
          <t xml:space="preserve"> Line</t>
        </is>
      </c>
      <c r="C855" s="11" t="inlineStr">
        <is>
          <t>Pandora 110</t>
        </is>
      </c>
      <c r="D855" s="13" t="n">
        <v>170</v>
      </c>
      <c r="E855" s="11" t="inlineStr">
        <is>
          <t xml:space="preserve"> Women's</t>
        </is>
      </c>
      <c r="F855" s="13" t="n">
        <v>170</v>
      </c>
      <c r="G855" s="13" t="n">
        <v>169.7</v>
      </c>
      <c r="H855" s="13" t="n">
        <v>108</v>
      </c>
      <c r="I855" s="13" t="n">
        <v>137</v>
      </c>
      <c r="J855" s="13" t="n">
        <v>143</v>
      </c>
      <c r="K855" s="13" t="n">
        <v>109</v>
      </c>
      <c r="L855" s="13" t="n">
        <v>129</v>
      </c>
      <c r="M855" s="13" t="n">
        <v>16.2</v>
      </c>
      <c r="N855" s="13" t="n">
        <v>1410</v>
      </c>
      <c r="O855" s="13" t="n">
        <v>1.43</v>
      </c>
      <c r="P855" s="13" t="n">
        <v>2019</v>
      </c>
      <c r="Q855" s="13" t="n">
        <v>147</v>
      </c>
      <c r="R855" s="13" t="n">
        <v>67</v>
      </c>
      <c r="S855" s="13" t="n">
        <v>52</v>
      </c>
      <c r="T855" s="13" t="n">
        <v>342</v>
      </c>
      <c r="U855" s="13" t="n">
        <v>33</v>
      </c>
      <c r="V855" s="13" t="n">
        <v>273</v>
      </c>
      <c r="W855" s="13" t="n">
        <v>0.63</v>
      </c>
      <c r="X855" s="13" t="n">
        <v>160</v>
      </c>
      <c r="Y855" s="13" t="n">
        <v>167</v>
      </c>
      <c r="Z855" s="13" t="n">
        <v>181</v>
      </c>
      <c r="AA855" s="13" t="n">
        <v>6</v>
      </c>
      <c r="AB855" s="13" t="n">
        <v>6.4</v>
      </c>
      <c r="AC855" s="11" t="inlineStr">
        <is>
          <t xml:space="preserve"> Powder</t>
        </is>
      </c>
      <c r="AD855" s="11" t="inlineStr">
        <is>
          <t xml:space="preserve"> Touring</t>
        </is>
      </c>
      <c r="AE855" s="11" t="inlineStr">
        <is>
          <t xml:space="preserve"> Ultralight Touring</t>
        </is>
      </c>
      <c r="AF855" s="13" t="n"/>
      <c r="AG855" s="13" t="n"/>
    </row>
    <row r="856">
      <c r="A856" s="9" t="inlineStr">
        <is>
          <t>21/22</t>
        </is>
      </c>
      <c r="B856" s="10" t="inlineStr">
        <is>
          <t xml:space="preserve"> Line</t>
        </is>
      </c>
      <c r="C856" s="11" t="inlineStr">
        <is>
          <t>Pandora 110</t>
        </is>
      </c>
      <c r="D856" s="13" t="n">
        <v>178</v>
      </c>
      <c r="E856" s="11" t="inlineStr">
        <is>
          <t xml:space="preserve"> Women's</t>
        </is>
      </c>
      <c r="F856" s="13" t="n">
        <v>178</v>
      </c>
      <c r="G856" s="13" t="n">
        <v>178.5</v>
      </c>
      <c r="H856" s="13" t="n">
        <v>115</v>
      </c>
      <c r="I856" s="13" t="n">
        <v>145</v>
      </c>
      <c r="J856" s="13" t="n">
        <v>142</v>
      </c>
      <c r="K856" s="13" t="n">
        <v>109</v>
      </c>
      <c r="L856" s="13" t="n">
        <v>128</v>
      </c>
      <c r="M856" s="13" t="n">
        <v>18.3</v>
      </c>
      <c r="N856" s="13" t="n">
        <v>1529</v>
      </c>
      <c r="O856" s="13" t="n">
        <v>1.38</v>
      </c>
      <c r="P856" s="13" t="n">
        <v>2115</v>
      </c>
      <c r="Q856" s="13" t="n">
        <v>167</v>
      </c>
      <c r="R856" s="13" t="n">
        <v>81</v>
      </c>
      <c r="S856" s="13" t="n">
        <v>54</v>
      </c>
      <c r="T856" s="13" t="n">
        <v>353</v>
      </c>
      <c r="U856" s="13" t="n">
        <v>32</v>
      </c>
      <c r="V856" s="13" t="n">
        <v>285</v>
      </c>
      <c r="W856" s="13" t="n">
        <v>0.6</v>
      </c>
      <c r="X856" s="13" t="n">
        <v>162</v>
      </c>
      <c r="Y856" s="13" t="n">
        <v>177</v>
      </c>
      <c r="Z856" s="13" t="n">
        <v>191</v>
      </c>
      <c r="AA856" s="13" t="n">
        <v>5</v>
      </c>
      <c r="AB856" s="13" t="n">
        <v>5.5</v>
      </c>
      <c r="AC856" s="11" t="inlineStr">
        <is>
          <t xml:space="preserve"> Powder</t>
        </is>
      </c>
      <c r="AD856" s="11" t="inlineStr">
        <is>
          <t xml:space="preserve"> Touring</t>
        </is>
      </c>
      <c r="AE856" s="11" t="inlineStr">
        <is>
          <t xml:space="preserve"> Ultralight Touring</t>
        </is>
      </c>
      <c r="AF856" s="13" t="n"/>
      <c r="AG856" s="13" t="n"/>
    </row>
    <row r="857">
      <c r="A857" s="9" t="inlineStr">
        <is>
          <t>21/22</t>
        </is>
      </c>
      <c r="B857" s="10" t="inlineStr">
        <is>
          <t xml:space="preserve"> Line</t>
        </is>
      </c>
      <c r="C857" s="11" t="inlineStr">
        <is>
          <t>Pandora 84</t>
        </is>
      </c>
      <c r="D857" s="13" t="n">
        <v>151</v>
      </c>
      <c r="E857" s="11" t="inlineStr">
        <is>
          <t xml:space="preserve"> Women's</t>
        </is>
      </c>
      <c r="F857" s="13" t="n">
        <v>151</v>
      </c>
      <c r="G857" s="13" t="n">
        <v>150.5</v>
      </c>
      <c r="H857" s="13" t="n">
        <v>119</v>
      </c>
      <c r="I857" s="13" t="n">
        <v>127</v>
      </c>
      <c r="J857" s="13" t="n">
        <v>121</v>
      </c>
      <c r="K857" s="13" t="n">
        <v>83</v>
      </c>
      <c r="L857" s="13" t="n">
        <v>109</v>
      </c>
      <c r="M857" s="13" t="n">
        <v>12.1</v>
      </c>
      <c r="N857" s="13" t="n">
        <v>1252</v>
      </c>
      <c r="O857" s="13" t="n">
        <v>1.15</v>
      </c>
      <c r="P857" s="13" t="n">
        <v>1443</v>
      </c>
      <c r="Q857" s="13" t="n">
        <v>110</v>
      </c>
      <c r="R857" s="13" t="n">
        <v>59</v>
      </c>
      <c r="S857" s="13" t="n">
        <v>43</v>
      </c>
      <c r="T857" s="13" t="n">
        <v>170</v>
      </c>
      <c r="U857" s="13" t="n">
        <v>19</v>
      </c>
      <c r="V857" s="13" t="n">
        <v>149</v>
      </c>
      <c r="W857" s="13" t="n">
        <v>0.433</v>
      </c>
      <c r="X857" s="13" t="n">
        <v>133</v>
      </c>
      <c r="Y857" s="13" t="n">
        <v>104</v>
      </c>
      <c r="Z857" s="13" t="n">
        <v>37</v>
      </c>
      <c r="AA857" s="13" t="n">
        <v>8</v>
      </c>
      <c r="AB857" s="13" t="n">
        <v>8.5</v>
      </c>
      <c r="AC857" s="11" t="inlineStr">
        <is>
          <t xml:space="preserve"> On-Piste All-Mountain</t>
        </is>
      </c>
      <c r="AD857" s="11" t="inlineStr">
        <is>
          <t xml:space="preserve"> Resort Freeride</t>
        </is>
      </c>
      <c r="AE857" s="11" t="inlineStr">
        <is>
          <t xml:space="preserve"> Touring</t>
        </is>
      </c>
      <c r="AF857" s="13" t="n"/>
      <c r="AG857" s="13" t="n"/>
    </row>
    <row r="858">
      <c r="A858" s="9" t="inlineStr">
        <is>
          <t>21/22</t>
        </is>
      </c>
      <c r="B858" s="10" t="inlineStr">
        <is>
          <t xml:space="preserve"> Line</t>
        </is>
      </c>
      <c r="C858" s="11" t="inlineStr">
        <is>
          <t>Pandora 84</t>
        </is>
      </c>
      <c r="D858" s="13" t="n">
        <v>158</v>
      </c>
      <c r="E858" s="11" t="inlineStr">
        <is>
          <t xml:space="preserve"> Women's</t>
        </is>
      </c>
      <c r="F858" s="13" t="n">
        <v>158</v>
      </c>
      <c r="G858" s="13" t="n">
        <v>157.6</v>
      </c>
      <c r="H858" s="13" t="n">
        <v>128</v>
      </c>
      <c r="I858" s="13" t="n">
        <v>135</v>
      </c>
      <c r="J858" s="13" t="n">
        <v>121</v>
      </c>
      <c r="K858" s="13" t="n">
        <v>83</v>
      </c>
      <c r="L858" s="13" t="n">
        <v>109</v>
      </c>
      <c r="M858" s="13" t="n">
        <v>13.4</v>
      </c>
      <c r="N858" s="13" t="n">
        <v>1343</v>
      </c>
      <c r="O858" s="13" t="n">
        <v>1.12</v>
      </c>
      <c r="P858" s="13" t="n">
        <v>1509</v>
      </c>
      <c r="Q858" s="13" t="n">
        <v>116</v>
      </c>
      <c r="R858" s="13" t="n">
        <v>69</v>
      </c>
      <c r="S858" s="13" t="n">
        <v>44</v>
      </c>
      <c r="T858" s="13" t="n">
        <v>187</v>
      </c>
      <c r="U858" s="13" t="n">
        <v>16</v>
      </c>
      <c r="V858" s="13" t="n">
        <v>112</v>
      </c>
      <c r="W858" s="13" t="n">
        <v>0.358</v>
      </c>
      <c r="X858" s="13" t="n">
        <v>132</v>
      </c>
      <c r="Y858" s="13" t="n">
        <v>96</v>
      </c>
      <c r="Z858" s="13" t="n">
        <v>55</v>
      </c>
      <c r="AA858" s="13" t="n">
        <v>6</v>
      </c>
      <c r="AB858" s="13" t="n">
        <v>9.300000000000001</v>
      </c>
      <c r="AC858" s="11" t="inlineStr">
        <is>
          <t xml:space="preserve"> On-Piste All-Mountain</t>
        </is>
      </c>
      <c r="AD858" s="11" t="inlineStr">
        <is>
          <t xml:space="preserve"> Resort Freeride</t>
        </is>
      </c>
      <c r="AE858" s="11" t="inlineStr">
        <is>
          <t xml:space="preserve"> Touring</t>
        </is>
      </c>
      <c r="AF858" s="13" t="n"/>
      <c r="AG858" s="13" t="n"/>
    </row>
    <row r="859">
      <c r="A859" s="9" t="inlineStr">
        <is>
          <t>21/22</t>
        </is>
      </c>
      <c r="B859" s="10" t="inlineStr">
        <is>
          <t xml:space="preserve"> Line</t>
        </is>
      </c>
      <c r="C859" s="11" t="inlineStr">
        <is>
          <t>Pandora 84</t>
        </is>
      </c>
      <c r="D859" s="13" t="n">
        <v>165</v>
      </c>
      <c r="E859" s="11" t="inlineStr">
        <is>
          <t xml:space="preserve"> Women's</t>
        </is>
      </c>
      <c r="F859" s="13" t="n">
        <v>165</v>
      </c>
      <c r="G859" s="13" t="n">
        <v>164.6</v>
      </c>
      <c r="H859" s="13" t="n">
        <v>130</v>
      </c>
      <c r="I859" s="13" t="n">
        <v>139</v>
      </c>
      <c r="J859" s="13" t="n">
        <v>121</v>
      </c>
      <c r="K859" s="13" t="n">
        <v>83</v>
      </c>
      <c r="L859" s="13" t="n">
        <v>109</v>
      </c>
      <c r="M859" s="13" t="n">
        <v>14.8</v>
      </c>
      <c r="N859" s="13" t="n">
        <v>1404</v>
      </c>
      <c r="O859" s="13" t="n">
        <v>1.12</v>
      </c>
      <c r="P859" s="13" t="n">
        <v>1574</v>
      </c>
      <c r="Q859" s="13" t="n">
        <v>143</v>
      </c>
      <c r="R859" s="13" t="n">
        <v>65</v>
      </c>
      <c r="S859" s="13" t="n">
        <v>45</v>
      </c>
      <c r="T859" s="13" t="n">
        <v>210</v>
      </c>
      <c r="U859" s="13" t="n">
        <v>19</v>
      </c>
      <c r="V859" s="13" t="n">
        <v>140</v>
      </c>
      <c r="W859" s="13" t="n">
        <v>0.423</v>
      </c>
      <c r="X859" s="13" t="n">
        <v>146</v>
      </c>
      <c r="Y859" s="13" t="n">
        <v>108</v>
      </c>
      <c r="Z859" s="13" t="n">
        <v>64</v>
      </c>
      <c r="AA859" s="13" t="n">
        <v>7</v>
      </c>
      <c r="AB859" s="13" t="n">
        <v>9.1</v>
      </c>
      <c r="AC859" s="11" t="inlineStr">
        <is>
          <t xml:space="preserve"> On-Piste All-Mountain</t>
        </is>
      </c>
      <c r="AD859" s="11" t="inlineStr">
        <is>
          <t xml:space="preserve"> Resort Freeride</t>
        </is>
      </c>
      <c r="AE859" s="11" t="inlineStr">
        <is>
          <t xml:space="preserve"> Touring</t>
        </is>
      </c>
      <c r="AF859" s="13" t="n"/>
      <c r="AG859" s="13" t="n"/>
    </row>
    <row r="860">
      <c r="A860" s="9" t="inlineStr">
        <is>
          <t>21/22</t>
        </is>
      </c>
      <c r="B860" s="10" t="inlineStr">
        <is>
          <t xml:space="preserve"> Line</t>
        </is>
      </c>
      <c r="C860" s="11" t="inlineStr">
        <is>
          <t>Pandora 94</t>
        </is>
      </c>
      <c r="D860" s="13" t="n">
        <v>151</v>
      </c>
      <c r="E860" s="11" t="inlineStr">
        <is>
          <t xml:space="preserve"> Women's</t>
        </is>
      </c>
      <c r="F860" s="13" t="n">
        <v>151</v>
      </c>
      <c r="G860" s="13" t="n">
        <v>151.1</v>
      </c>
      <c r="H860" s="13" t="n">
        <v>111</v>
      </c>
      <c r="I860" s="13" t="n">
        <v>125</v>
      </c>
      <c r="J860" s="13" t="n">
        <v>130</v>
      </c>
      <c r="K860" s="13" t="n">
        <v>93</v>
      </c>
      <c r="L860" s="13" t="n">
        <v>116</v>
      </c>
      <c r="M860" s="13" t="n">
        <v>12.4</v>
      </c>
      <c r="N860" s="13" t="n">
        <v>1354</v>
      </c>
      <c r="O860" s="13" t="n">
        <v>1.17</v>
      </c>
      <c r="P860" s="13" t="n">
        <v>1586</v>
      </c>
      <c r="Q860" s="13" t="n">
        <v>117</v>
      </c>
      <c r="R860" s="13" t="n">
        <v>60</v>
      </c>
      <c r="S860" s="13" t="n">
        <v>44</v>
      </c>
      <c r="T860" s="13" t="n">
        <v>265</v>
      </c>
      <c r="U860" s="13" t="n">
        <v>17</v>
      </c>
      <c r="V860" s="13" t="n">
        <v>135</v>
      </c>
      <c r="W860" s="13" t="n">
        <v>0.388</v>
      </c>
      <c r="X860" s="13" t="n">
        <v>141</v>
      </c>
      <c r="Y860" s="13" t="n">
        <v>117</v>
      </c>
      <c r="Z860" s="13" t="n">
        <v>124</v>
      </c>
      <c r="AA860" s="13" t="n">
        <v>7</v>
      </c>
      <c r="AB860" s="13" t="n">
        <v>8.300000000000001</v>
      </c>
      <c r="AC860" s="11" t="inlineStr">
        <is>
          <t xml:space="preserve"> Resort Freeride</t>
        </is>
      </c>
      <c r="AD860" s="11" t="inlineStr">
        <is>
          <t xml:space="preserve"> Touring</t>
        </is>
      </c>
      <c r="AE860" s="13" t="n"/>
      <c r="AF860" s="13" t="n"/>
      <c r="AG860" s="13" t="n"/>
    </row>
    <row r="861">
      <c r="A861" s="9" t="inlineStr">
        <is>
          <t>21/22</t>
        </is>
      </c>
      <c r="B861" s="10" t="inlineStr">
        <is>
          <t xml:space="preserve"> Line</t>
        </is>
      </c>
      <c r="C861" s="11" t="inlineStr">
        <is>
          <t>Pandora 94</t>
        </is>
      </c>
      <c r="D861" s="13" t="n">
        <v>158</v>
      </c>
      <c r="E861" s="11" t="inlineStr">
        <is>
          <t xml:space="preserve"> Women's</t>
        </is>
      </c>
      <c r="F861" s="13" t="n">
        <v>158</v>
      </c>
      <c r="G861" s="13" t="n">
        <v>158.2</v>
      </c>
      <c r="H861" s="13" t="n">
        <v>118</v>
      </c>
      <c r="I861" s="13" t="n">
        <v>133</v>
      </c>
      <c r="J861" s="13" t="n">
        <v>130</v>
      </c>
      <c r="K861" s="13" t="n">
        <v>93</v>
      </c>
      <c r="L861" s="13" t="n">
        <v>116</v>
      </c>
      <c r="M861" s="13" t="n">
        <v>13.4</v>
      </c>
      <c r="N861" s="13" t="n">
        <v>1310</v>
      </c>
      <c r="O861" s="13" t="n">
        <v>1.27</v>
      </c>
      <c r="P861" s="13" t="n">
        <v>1663</v>
      </c>
      <c r="Q861" s="13" t="n">
        <v>122</v>
      </c>
      <c r="R861" s="13" t="n">
        <v>57</v>
      </c>
      <c r="S861" s="13" t="n">
        <v>38</v>
      </c>
      <c r="T861" s="13" t="n">
        <v>278</v>
      </c>
      <c r="U861" s="13" t="n">
        <v>13</v>
      </c>
      <c r="V861" s="13" t="n">
        <v>119</v>
      </c>
      <c r="W861" s="13" t="n">
        <v>0.346</v>
      </c>
      <c r="X861" s="13" t="n">
        <v>135</v>
      </c>
      <c r="Y861" s="13" t="n">
        <v>117</v>
      </c>
      <c r="Z861" s="13" t="n">
        <v>143</v>
      </c>
      <c r="AA861" s="13" t="n">
        <v>6</v>
      </c>
      <c r="AB861" s="13" t="n">
        <v>9</v>
      </c>
      <c r="AC861" s="11" t="inlineStr">
        <is>
          <t xml:space="preserve"> Resort Freeride</t>
        </is>
      </c>
      <c r="AD861" s="11" t="inlineStr">
        <is>
          <t xml:space="preserve"> Touring</t>
        </is>
      </c>
      <c r="AE861" s="11" t="inlineStr">
        <is>
          <t xml:space="preserve"> Ultralight Touring</t>
        </is>
      </c>
      <c r="AF861" s="13" t="n"/>
      <c r="AG861" s="13" t="n"/>
    </row>
    <row r="862">
      <c r="A862" s="9" t="inlineStr">
        <is>
          <t>21/22</t>
        </is>
      </c>
      <c r="B862" s="10" t="inlineStr">
        <is>
          <t xml:space="preserve"> Line</t>
        </is>
      </c>
      <c r="C862" s="11" t="inlineStr">
        <is>
          <t>Pandora 94</t>
        </is>
      </c>
      <c r="D862" s="13" t="n">
        <v>165</v>
      </c>
      <c r="E862" s="11" t="inlineStr">
        <is>
          <t xml:space="preserve"> Women's</t>
        </is>
      </c>
      <c r="F862" s="13" t="n">
        <v>165</v>
      </c>
      <c r="G862" s="13" t="n">
        <v>165</v>
      </c>
      <c r="H862" s="13" t="n">
        <v>122</v>
      </c>
      <c r="I862" s="13" t="n">
        <v>138</v>
      </c>
      <c r="J862" s="13" t="n">
        <v>130</v>
      </c>
      <c r="K862" s="13" t="n">
        <v>93</v>
      </c>
      <c r="L862" s="13" t="n">
        <v>116</v>
      </c>
      <c r="M862" s="13" t="n">
        <v>14.8</v>
      </c>
      <c r="N862" s="13" t="n">
        <v>1441</v>
      </c>
      <c r="O862" s="13" t="n">
        <v>1.2</v>
      </c>
      <c r="P862" s="13" t="n">
        <v>1736</v>
      </c>
      <c r="Q862" s="13" t="n">
        <v>129</v>
      </c>
      <c r="R862" s="13" t="n">
        <v>65</v>
      </c>
      <c r="S862" s="13" t="n">
        <v>47</v>
      </c>
      <c r="T862" s="13" t="n">
        <v>306</v>
      </c>
      <c r="U862" s="13" t="n">
        <v>15</v>
      </c>
      <c r="V862" s="13" t="n">
        <v>128</v>
      </c>
      <c r="W862" s="13" t="n">
        <v>0.318</v>
      </c>
      <c r="X862" s="13" t="n">
        <v>146</v>
      </c>
      <c r="Y862" s="13" t="n">
        <v>125</v>
      </c>
      <c r="Z862" s="13" t="n">
        <v>160</v>
      </c>
      <c r="AA862" s="13" t="n">
        <v>6</v>
      </c>
      <c r="AB862" s="13" t="n">
        <v>9.1</v>
      </c>
      <c r="AC862" s="11" t="inlineStr">
        <is>
          <t xml:space="preserve"> Resort Freeride</t>
        </is>
      </c>
      <c r="AD862" s="11" t="inlineStr">
        <is>
          <t xml:space="preserve"> Touring</t>
        </is>
      </c>
      <c r="AE862" s="13" t="n"/>
      <c r="AF862" s="13" t="n"/>
      <c r="AG862" s="13" t="n"/>
    </row>
    <row r="863">
      <c r="A863" s="9" t="inlineStr">
        <is>
          <t>21/22</t>
        </is>
      </c>
      <c r="B863" s="10" t="inlineStr">
        <is>
          <t xml:space="preserve"> Line</t>
        </is>
      </c>
      <c r="C863" s="11" t="inlineStr">
        <is>
          <t>Pandora 94</t>
        </is>
      </c>
      <c r="D863" s="13" t="n">
        <v>172</v>
      </c>
      <c r="E863" s="11" t="inlineStr">
        <is>
          <t xml:space="preserve"> Women's</t>
        </is>
      </c>
      <c r="F863" s="13" t="n">
        <v>172</v>
      </c>
      <c r="G863" s="13" t="n">
        <v>172</v>
      </c>
      <c r="H863" s="13" t="n">
        <v>132</v>
      </c>
      <c r="I863" s="13" t="n">
        <v>144</v>
      </c>
      <c r="J863" s="13" t="n">
        <v>131</v>
      </c>
      <c r="K863" s="13" t="n">
        <v>93</v>
      </c>
      <c r="L863" s="13" t="n">
        <v>116</v>
      </c>
      <c r="M863" s="13" t="n">
        <v>16.3</v>
      </c>
      <c r="N863" s="13" t="n">
        <v>1539</v>
      </c>
      <c r="O863" s="13" t="n">
        <v>1.18</v>
      </c>
      <c r="P863" s="13" t="n">
        <v>1809</v>
      </c>
      <c r="Q863" s="13" t="n">
        <v>148</v>
      </c>
      <c r="R863" s="13" t="n">
        <v>77</v>
      </c>
      <c r="S863" s="13" t="n">
        <v>47</v>
      </c>
      <c r="T863" s="13" t="n">
        <v>273</v>
      </c>
      <c r="U863" s="13" t="n">
        <v>14</v>
      </c>
      <c r="V863" s="13" t="n">
        <v>129</v>
      </c>
      <c r="W863" s="13" t="n">
        <v>0.298</v>
      </c>
      <c r="X863" s="13" t="n">
        <v>144</v>
      </c>
      <c r="Y863" s="13" t="n">
        <v>133</v>
      </c>
      <c r="Z863" s="13" t="n">
        <v>129</v>
      </c>
      <c r="AA863" s="13" t="n">
        <v>8</v>
      </c>
      <c r="AB863" s="13" t="n">
        <v>9.6</v>
      </c>
      <c r="AC863" s="11" t="inlineStr">
        <is>
          <t xml:space="preserve"> Resort Freeride</t>
        </is>
      </c>
      <c r="AD863" s="11" t="inlineStr">
        <is>
          <t xml:space="preserve"> Touring</t>
        </is>
      </c>
      <c r="AE863" s="13" t="n"/>
      <c r="AF863" s="13" t="n"/>
      <c r="AG863" s="13" t="n"/>
    </row>
    <row r="864">
      <c r="A864" s="9" t="inlineStr">
        <is>
          <t>21/22</t>
        </is>
      </c>
      <c r="B864" s="10" t="inlineStr">
        <is>
          <t xml:space="preserve"> Line</t>
        </is>
      </c>
      <c r="C864" s="11" t="inlineStr">
        <is>
          <t xml:space="preserve"> Pescado</t>
        </is>
      </c>
      <c r="D864" s="13" t="n">
        <v>180</v>
      </c>
      <c r="E864" s="11" t="inlineStr">
        <is>
          <t xml:space="preserve"> Unisex</t>
        </is>
      </c>
      <c r="F864" s="13" t="n">
        <v>180</v>
      </c>
      <c r="G864" s="13" t="n">
        <v>178.7</v>
      </c>
      <c r="H864" s="13" t="n">
        <v>128</v>
      </c>
      <c r="I864" s="13" t="n">
        <v>145</v>
      </c>
      <c r="J864" s="13" t="n">
        <v>158</v>
      </c>
      <c r="K864" s="13" t="n">
        <v>124</v>
      </c>
      <c r="L864" s="13" t="n">
        <v>144</v>
      </c>
      <c r="M864" s="13" t="n">
        <v>18.4</v>
      </c>
      <c r="N864" s="13" t="n">
        <v>1828</v>
      </c>
      <c r="O864" s="13" t="n">
        <v>1.3</v>
      </c>
      <c r="P864" s="13" t="n">
        <v>2380</v>
      </c>
      <c r="Q864" s="13" t="n">
        <v>156</v>
      </c>
      <c r="R864" s="13" t="n">
        <v>87</v>
      </c>
      <c r="S864" s="13" t="n">
        <v>61</v>
      </c>
      <c r="T864" s="13" t="n">
        <v>374</v>
      </c>
      <c r="U864" s="13" t="n">
        <v>16</v>
      </c>
      <c r="V864" s="13" t="n">
        <v>131</v>
      </c>
      <c r="W864" s="13" t="n">
        <v>0.263</v>
      </c>
      <c r="X864" s="13" t="n">
        <v>217</v>
      </c>
      <c r="Y864" s="13" t="n">
        <v>119</v>
      </c>
      <c r="Z864" s="13" t="n">
        <v>157</v>
      </c>
      <c r="AA864" s="13" t="n">
        <v>9</v>
      </c>
      <c r="AB864" s="13" t="n">
        <v>10</v>
      </c>
      <c r="AC864" s="11" t="inlineStr">
        <is>
          <t xml:space="preserve"> Big Mountain</t>
        </is>
      </c>
      <c r="AD864" s="11" t="inlineStr">
        <is>
          <t xml:space="preserve"> Touring</t>
        </is>
      </c>
      <c r="AE864" s="11" t="inlineStr">
        <is>
          <t xml:space="preserve"> Ultralight Touring</t>
        </is>
      </c>
      <c r="AF864" s="13" t="n"/>
      <c r="AG864" s="13" t="n"/>
    </row>
    <row r="865">
      <c r="A865" s="9" t="inlineStr">
        <is>
          <t>21/22</t>
        </is>
      </c>
      <c r="B865" s="10" t="inlineStr">
        <is>
          <t xml:space="preserve"> Line</t>
        </is>
      </c>
      <c r="C865" s="11" t="inlineStr">
        <is>
          <t xml:space="preserve"> Sakana</t>
        </is>
      </c>
      <c r="D865" s="13" t="n">
        <v>166</v>
      </c>
      <c r="E865" s="11" t="inlineStr">
        <is>
          <t xml:space="preserve"> Unisex</t>
        </is>
      </c>
      <c r="F865" s="13" t="n">
        <v>166</v>
      </c>
      <c r="G865" s="13" t="n">
        <v>166.2</v>
      </c>
      <c r="H865" s="13" t="n">
        <v>114</v>
      </c>
      <c r="I865" s="13" t="n">
        <v>136</v>
      </c>
      <c r="J865" s="13" t="n">
        <v>149</v>
      </c>
      <c r="K865" s="13" t="n">
        <v>104</v>
      </c>
      <c r="L865" s="13" t="n">
        <v>128</v>
      </c>
      <c r="M865" s="13" t="n">
        <v>12.8</v>
      </c>
      <c r="N865" s="13" t="n">
        <v>1650</v>
      </c>
      <c r="O865" s="13" t="n">
        <v>1.17</v>
      </c>
      <c r="P865" s="13" t="n">
        <v>1928</v>
      </c>
      <c r="Q865" s="13" t="n">
        <v>147</v>
      </c>
      <c r="R865" s="13" t="n">
        <v>74</v>
      </c>
      <c r="S865" s="13" t="n">
        <v>48</v>
      </c>
      <c r="T865" s="13" t="n">
        <v>383</v>
      </c>
      <c r="U865" s="13" t="n">
        <v>0</v>
      </c>
      <c r="V865" s="13" t="n">
        <v>139</v>
      </c>
      <c r="W865" s="13" t="n">
        <v>0.008999999999999999</v>
      </c>
      <c r="X865" s="13" t="n">
        <v>159</v>
      </c>
      <c r="Y865" s="13" t="n">
        <v>146</v>
      </c>
      <c r="Z865" s="13" t="n">
        <v>223</v>
      </c>
      <c r="AA865" s="13" t="n">
        <v>6</v>
      </c>
      <c r="AB865" s="13" t="n">
        <v>10.4</v>
      </c>
      <c r="AC865" s="11" t="inlineStr">
        <is>
          <t xml:space="preserve"> Resort Freeride</t>
        </is>
      </c>
      <c r="AD865" s="11" t="inlineStr">
        <is>
          <t xml:space="preserve"> Big Mountain</t>
        </is>
      </c>
      <c r="AE865" s="11" t="inlineStr">
        <is>
          <t xml:space="preserve"> Touring</t>
        </is>
      </c>
      <c r="AF865" s="13" t="n"/>
      <c r="AG865" s="13" t="n"/>
    </row>
    <row r="866">
      <c r="A866" s="9" t="inlineStr">
        <is>
          <t>21/22</t>
        </is>
      </c>
      <c r="B866" s="10" t="inlineStr">
        <is>
          <t xml:space="preserve"> Line</t>
        </is>
      </c>
      <c r="C866" s="11" t="inlineStr">
        <is>
          <t xml:space="preserve"> Sakana</t>
        </is>
      </c>
      <c r="D866" s="13" t="n">
        <v>174</v>
      </c>
      <c r="E866" s="11" t="inlineStr">
        <is>
          <t xml:space="preserve"> Unisex</t>
        </is>
      </c>
      <c r="F866" s="13" t="n">
        <v>174</v>
      </c>
      <c r="G866" s="13" t="n">
        <v>174</v>
      </c>
      <c r="H866" s="13" t="n">
        <v>137</v>
      </c>
      <c r="I866" s="13" t="n">
        <v>142</v>
      </c>
      <c r="J866" s="13" t="n">
        <v>149</v>
      </c>
      <c r="K866" s="13" t="n">
        <v>104</v>
      </c>
      <c r="L866" s="13" t="n">
        <v>128</v>
      </c>
      <c r="M866" s="13" t="n">
        <v>14.4</v>
      </c>
      <c r="N866" s="13" t="n">
        <v>1720</v>
      </c>
      <c r="O866" s="13" t="n">
        <v>1.17</v>
      </c>
      <c r="P866" s="13" t="n">
        <v>2017</v>
      </c>
      <c r="Q866" s="13" t="n">
        <v>145</v>
      </c>
      <c r="R866" s="13" t="n">
        <v>84</v>
      </c>
      <c r="S866" s="13" t="n">
        <v>48</v>
      </c>
      <c r="T866" s="13" t="n">
        <v>368</v>
      </c>
      <c r="U866" s="13" t="n">
        <v>0</v>
      </c>
      <c r="V866" s="13" t="n">
        <v>0</v>
      </c>
      <c r="W866" s="13" t="n">
        <v>0.001</v>
      </c>
      <c r="X866" s="13" t="n">
        <v>169</v>
      </c>
      <c r="Y866" s="13" t="n">
        <v>148</v>
      </c>
      <c r="Z866" s="13" t="n">
        <v>200</v>
      </c>
      <c r="AA866" s="13" t="n">
        <v>6</v>
      </c>
      <c r="AB866" s="13" t="n">
        <v>10.7</v>
      </c>
      <c r="AC866" s="11" t="inlineStr">
        <is>
          <t xml:space="preserve"> Resort Freeride</t>
        </is>
      </c>
      <c r="AD866" s="11" t="inlineStr">
        <is>
          <t xml:space="preserve"> Big Mountain</t>
        </is>
      </c>
      <c r="AE866" s="11" t="inlineStr">
        <is>
          <t xml:space="preserve"> Touring</t>
        </is>
      </c>
      <c r="AF866" s="13" t="n"/>
      <c r="AG866" s="13" t="n"/>
    </row>
    <row r="867">
      <c r="A867" s="9" t="inlineStr">
        <is>
          <t>21/22</t>
        </is>
      </c>
      <c r="B867" s="10" t="inlineStr">
        <is>
          <t xml:space="preserve"> Line</t>
        </is>
      </c>
      <c r="C867" s="11" t="inlineStr">
        <is>
          <t xml:space="preserve"> Sakana</t>
        </is>
      </c>
      <c r="D867" s="13" t="n">
        <v>181</v>
      </c>
      <c r="E867" s="11" t="inlineStr">
        <is>
          <t xml:space="preserve"> Unisex</t>
        </is>
      </c>
      <c r="F867" s="13" t="n">
        <v>181</v>
      </c>
      <c r="G867" s="13" t="n">
        <v>180.9</v>
      </c>
      <c r="H867" s="13" t="n">
        <v>130</v>
      </c>
      <c r="I867" s="13" t="n">
        <v>160</v>
      </c>
      <c r="J867" s="13" t="n">
        <v>149</v>
      </c>
      <c r="K867" s="13" t="n">
        <v>104</v>
      </c>
      <c r="L867" s="13" t="n">
        <v>136</v>
      </c>
      <c r="M867" s="13" t="n">
        <v>16.2</v>
      </c>
      <c r="N867" s="13" t="n">
        <v>1801</v>
      </c>
      <c r="O867" s="13" t="n">
        <v>1.19</v>
      </c>
      <c r="P867" s="13" t="n">
        <v>2142</v>
      </c>
      <c r="Q867" s="13" t="n">
        <v>168</v>
      </c>
      <c r="R867" s="13" t="n">
        <v>92</v>
      </c>
      <c r="S867" s="13" t="n">
        <v>45</v>
      </c>
      <c r="T867" s="13" t="n">
        <v>382</v>
      </c>
      <c r="U867" s="13" t="n">
        <v>14</v>
      </c>
      <c r="V867" s="13" t="n">
        <v>130</v>
      </c>
      <c r="W867" s="13" t="n">
        <v>0.301</v>
      </c>
      <c r="X867" s="13" t="n">
        <v>164</v>
      </c>
      <c r="Y867" s="13" t="n">
        <v>40</v>
      </c>
      <c r="Z867" s="13" t="n">
        <v>218</v>
      </c>
      <c r="AA867" s="13" t="n">
        <v>6</v>
      </c>
      <c r="AB867" s="13" t="n">
        <v>11.2</v>
      </c>
      <c r="AC867" s="11" t="inlineStr">
        <is>
          <t xml:space="preserve"> Resort Freeride</t>
        </is>
      </c>
      <c r="AD867" s="11" t="inlineStr">
        <is>
          <t xml:space="preserve"> Big Mountain</t>
        </is>
      </c>
      <c r="AE867" s="11" t="inlineStr">
        <is>
          <t xml:space="preserve"> Touring</t>
        </is>
      </c>
      <c r="AF867" s="13" t="n"/>
      <c r="AG867" s="13" t="n"/>
    </row>
    <row r="868">
      <c r="A868" s="9" t="inlineStr">
        <is>
          <t>21/22</t>
        </is>
      </c>
      <c r="B868" s="10" t="inlineStr">
        <is>
          <t xml:space="preserve"> Line</t>
        </is>
      </c>
      <c r="C868" s="11" t="inlineStr">
        <is>
          <t>Sick Day 104</t>
        </is>
      </c>
      <c r="D868" s="13" t="n">
        <v>172</v>
      </c>
      <c r="E868" s="11" t="inlineStr">
        <is>
          <t xml:space="preserve"> Unisex</t>
        </is>
      </c>
      <c r="F868" s="13" t="n">
        <v>172</v>
      </c>
      <c r="G868" s="13" t="n">
        <v>171.8</v>
      </c>
      <c r="H868" s="13" t="n">
        <v>113</v>
      </c>
      <c r="I868" s="13" t="n">
        <v>133</v>
      </c>
      <c r="J868" s="13" t="n">
        <v>136</v>
      </c>
      <c r="K868" s="13" t="n">
        <v>103</v>
      </c>
      <c r="L868" s="13" t="n">
        <v>120</v>
      </c>
      <c r="M868" s="13" t="n">
        <v>16.5</v>
      </c>
      <c r="N868" s="13" t="n">
        <v>1625</v>
      </c>
      <c r="O868" s="13" t="n">
        <v>1.2</v>
      </c>
      <c r="P868" s="13" t="n">
        <v>1949</v>
      </c>
      <c r="Q868" s="13" t="n">
        <v>158</v>
      </c>
      <c r="R868" s="13" t="n">
        <v>92</v>
      </c>
      <c r="S868" s="13" t="n">
        <v>50</v>
      </c>
      <c r="T868" s="13" t="n">
        <v>365</v>
      </c>
      <c r="U868" s="13" t="n">
        <v>20</v>
      </c>
      <c r="V868" s="13" t="n">
        <v>220</v>
      </c>
      <c r="W868" s="13" t="n">
        <v>0.402</v>
      </c>
      <c r="X868" s="13" t="n">
        <v>189</v>
      </c>
      <c r="Y868" s="13" t="n">
        <v>198</v>
      </c>
      <c r="Z868" s="13" t="n">
        <v>176</v>
      </c>
      <c r="AA868" s="13" t="n">
        <v>6</v>
      </c>
      <c r="AB868" s="13" t="n">
        <v>10.2</v>
      </c>
      <c r="AC868" s="11" t="inlineStr">
        <is>
          <t xml:space="preserve"> Resort Freeride</t>
        </is>
      </c>
      <c r="AD868" s="11" t="inlineStr">
        <is>
          <t xml:space="preserve"> Powder</t>
        </is>
      </c>
      <c r="AE868" s="11" t="inlineStr">
        <is>
          <t xml:space="preserve"> Touring</t>
        </is>
      </c>
      <c r="AF868" s="13" t="n"/>
      <c r="AG868" s="13" t="n"/>
    </row>
    <row r="869">
      <c r="A869" s="9" t="inlineStr">
        <is>
          <t>21/22</t>
        </is>
      </c>
      <c r="B869" s="10" t="inlineStr">
        <is>
          <t xml:space="preserve"> Line</t>
        </is>
      </c>
      <c r="C869" s="11" t="inlineStr">
        <is>
          <t>Sick Day 104</t>
        </is>
      </c>
      <c r="D869" s="13" t="n">
        <v>179</v>
      </c>
      <c r="E869" s="11" t="inlineStr">
        <is>
          <t xml:space="preserve"> Unisex</t>
        </is>
      </c>
      <c r="F869" s="13" t="n">
        <v>179</v>
      </c>
      <c r="G869" s="13" t="n">
        <v>179</v>
      </c>
      <c r="H869" s="13" t="n">
        <v>126</v>
      </c>
      <c r="I869" s="13" t="n">
        <v>140</v>
      </c>
      <c r="J869" s="13" t="n">
        <v>136</v>
      </c>
      <c r="K869" s="13" t="n">
        <v>103</v>
      </c>
      <c r="L869" s="13" t="n">
        <v>121</v>
      </c>
      <c r="M869" s="13" t="n">
        <v>18.1</v>
      </c>
      <c r="N869" s="13" t="n">
        <v>1769</v>
      </c>
      <c r="O869" s="13" t="n">
        <v>1.15</v>
      </c>
      <c r="P869" s="13" t="n">
        <v>2031</v>
      </c>
      <c r="Q869" s="13" t="n">
        <v>183</v>
      </c>
      <c r="R869" s="13" t="n">
        <v>98</v>
      </c>
      <c r="S869" s="13" t="n">
        <v>47</v>
      </c>
      <c r="T869" s="13" t="n">
        <v>326</v>
      </c>
      <c r="U869" s="13" t="n">
        <v>19</v>
      </c>
      <c r="V869" s="13" t="n">
        <v>202</v>
      </c>
      <c r="W869" s="13" t="n">
        <v>0.41</v>
      </c>
      <c r="X869" s="13" t="n">
        <v>193</v>
      </c>
      <c r="Y869" s="13" t="n">
        <v>198</v>
      </c>
      <c r="Z869" s="13" t="n">
        <v>133</v>
      </c>
      <c r="AA869" s="13" t="n">
        <v>6</v>
      </c>
      <c r="AB869" s="13" t="n">
        <v>10.6</v>
      </c>
      <c r="AC869" s="11" t="inlineStr">
        <is>
          <t xml:space="preserve"> Resort Freeride</t>
        </is>
      </c>
      <c r="AD869" s="11" t="inlineStr">
        <is>
          <t xml:space="preserve"> Powder</t>
        </is>
      </c>
      <c r="AE869" s="11" t="inlineStr">
        <is>
          <t xml:space="preserve"> Touring</t>
        </is>
      </c>
      <c r="AF869" s="13" t="n"/>
      <c r="AG869" s="13" t="n"/>
    </row>
    <row r="870">
      <c r="A870" s="9" t="inlineStr">
        <is>
          <t>21/22</t>
        </is>
      </c>
      <c r="B870" s="10" t="inlineStr">
        <is>
          <t xml:space="preserve"> Line</t>
        </is>
      </c>
      <c r="C870" s="11" t="inlineStr">
        <is>
          <t>Sick Day 88</t>
        </is>
      </c>
      <c r="D870" s="13" t="n">
        <v>165</v>
      </c>
      <c r="E870" s="11" t="inlineStr">
        <is>
          <t xml:space="preserve"> Unisex</t>
        </is>
      </c>
      <c r="F870" s="13" t="n">
        <v>165</v>
      </c>
      <c r="G870" s="13" t="n">
        <v>165</v>
      </c>
      <c r="H870" s="13" t="n">
        <v>119</v>
      </c>
      <c r="I870" s="13" t="n">
        <v>140</v>
      </c>
      <c r="J870" s="13" t="n">
        <v>125</v>
      </c>
      <c r="K870" s="13" t="n">
        <v>87</v>
      </c>
      <c r="L870" s="13" t="n">
        <v>112</v>
      </c>
      <c r="M870" s="13" t="n">
        <v>15</v>
      </c>
      <c r="N870" s="13" t="n">
        <v>1453</v>
      </c>
      <c r="O870" s="13" t="n">
        <v>1.13</v>
      </c>
      <c r="P870" s="13" t="n">
        <v>1638</v>
      </c>
      <c r="Q870" s="13" t="n">
        <v>150</v>
      </c>
      <c r="R870" s="13" t="n">
        <v>78</v>
      </c>
      <c r="S870" s="13" t="n">
        <v>48</v>
      </c>
      <c r="T870" s="13" t="n">
        <v>295</v>
      </c>
      <c r="U870" s="13" t="n">
        <v>16</v>
      </c>
      <c r="V870" s="13" t="n">
        <v>161</v>
      </c>
      <c r="W870" s="13" t="n">
        <v>0.329</v>
      </c>
      <c r="X870" s="13" t="n">
        <v>148</v>
      </c>
      <c r="Y870" s="13" t="n">
        <v>100</v>
      </c>
      <c r="Z870" s="13" t="n">
        <v>148</v>
      </c>
      <c r="AA870" s="13" t="n">
        <v>5</v>
      </c>
      <c r="AB870" s="13" t="n">
        <v>8.5</v>
      </c>
      <c r="AC870" s="11" t="inlineStr">
        <is>
          <t xml:space="preserve"> Resort Freeride</t>
        </is>
      </c>
      <c r="AD870" s="11" t="inlineStr">
        <is>
          <t xml:space="preserve"> Touring</t>
        </is>
      </c>
      <c r="AE870" s="13" t="n"/>
      <c r="AF870" s="13" t="n"/>
      <c r="AG870" s="13" t="n"/>
    </row>
    <row r="871">
      <c r="A871" s="9" t="inlineStr">
        <is>
          <t>21/22</t>
        </is>
      </c>
      <c r="B871" s="10" t="inlineStr">
        <is>
          <t xml:space="preserve"> Line</t>
        </is>
      </c>
      <c r="C871" s="11" t="inlineStr">
        <is>
          <t>Sick Day 88</t>
        </is>
      </c>
      <c r="D871" s="13" t="n">
        <v>172</v>
      </c>
      <c r="E871" s="11" t="inlineStr">
        <is>
          <t xml:space="preserve"> Unisex</t>
        </is>
      </c>
      <c r="F871" s="13" t="n">
        <v>172</v>
      </c>
      <c r="G871" s="13" t="n">
        <v>171.9</v>
      </c>
      <c r="H871" s="13" t="n">
        <v>127</v>
      </c>
      <c r="I871" s="13" t="n">
        <v>146</v>
      </c>
      <c r="J871" s="13" t="n">
        <v>126</v>
      </c>
      <c r="K871" s="13" t="n">
        <v>87</v>
      </c>
      <c r="L871" s="13" t="n">
        <v>112</v>
      </c>
      <c r="M871" s="13" t="n">
        <v>16.2</v>
      </c>
      <c r="N871" s="13" t="n">
        <v>1588</v>
      </c>
      <c r="O871" s="13" t="n">
        <v>1.08</v>
      </c>
      <c r="P871" s="13" t="n">
        <v>1709</v>
      </c>
      <c r="Q871" s="13" t="n">
        <v>183</v>
      </c>
      <c r="R871" s="13" t="n">
        <v>96</v>
      </c>
      <c r="S871" s="13" t="n">
        <v>44</v>
      </c>
      <c r="T871" s="13" t="n">
        <v>284</v>
      </c>
      <c r="U871" s="13" t="n">
        <v>16</v>
      </c>
      <c r="V871" s="13" t="n">
        <v>160</v>
      </c>
      <c r="W871" s="13" t="n">
        <v>0.359</v>
      </c>
      <c r="X871" s="13" t="n">
        <v>147</v>
      </c>
      <c r="Y871" s="13" t="n">
        <v>108</v>
      </c>
      <c r="Z871" s="13" t="n">
        <v>138</v>
      </c>
      <c r="AA871" s="13" t="n">
        <v>6</v>
      </c>
      <c r="AB871" s="13" t="n">
        <v>9.699999999999999</v>
      </c>
      <c r="AC871" s="11" t="inlineStr">
        <is>
          <t xml:space="preserve"> Resort Freeride</t>
        </is>
      </c>
      <c r="AD871" s="11" t="inlineStr">
        <is>
          <t xml:space="preserve"> Touring</t>
        </is>
      </c>
      <c r="AE871" s="13" t="n"/>
      <c r="AF871" s="13" t="n"/>
      <c r="AG871" s="13" t="n"/>
    </row>
    <row r="872">
      <c r="A872" s="9" t="inlineStr">
        <is>
          <t>21/22</t>
        </is>
      </c>
      <c r="B872" s="10" t="inlineStr">
        <is>
          <t xml:space="preserve"> Line</t>
        </is>
      </c>
      <c r="C872" s="11" t="inlineStr">
        <is>
          <t>Sick Day 88</t>
        </is>
      </c>
      <c r="D872" s="13" t="n">
        <v>179</v>
      </c>
      <c r="E872" s="11" t="inlineStr">
        <is>
          <t xml:space="preserve"> Unisex</t>
        </is>
      </c>
      <c r="F872" s="13" t="n">
        <v>179</v>
      </c>
      <c r="G872" s="13" t="n">
        <v>179</v>
      </c>
      <c r="H872" s="13" t="n">
        <v>135</v>
      </c>
      <c r="I872" s="13" t="n">
        <v>154</v>
      </c>
      <c r="J872" s="13" t="n">
        <v>126</v>
      </c>
      <c r="K872" s="13" t="n">
        <v>87</v>
      </c>
      <c r="L872" s="13" t="n">
        <v>113</v>
      </c>
      <c r="M872" s="13" t="n">
        <v>18.1</v>
      </c>
      <c r="N872" s="13" t="n">
        <v>1635</v>
      </c>
      <c r="O872" s="13" t="n">
        <v>1.09</v>
      </c>
      <c r="P872" s="13" t="n">
        <v>1784</v>
      </c>
      <c r="Q872" s="13" t="n">
        <v>191</v>
      </c>
      <c r="R872" s="13" t="n">
        <v>101</v>
      </c>
      <c r="S872" s="13" t="n">
        <v>44</v>
      </c>
      <c r="T872" s="13" t="n">
        <v>282</v>
      </c>
      <c r="U872" s="13" t="n">
        <v>17</v>
      </c>
      <c r="V872" s="13" t="n">
        <v>155</v>
      </c>
      <c r="W872" s="13" t="n">
        <v>0.376</v>
      </c>
      <c r="X872" s="13" t="n">
        <v>146</v>
      </c>
      <c r="Y872" s="13" t="n">
        <v>102</v>
      </c>
      <c r="Z872" s="13" t="n">
        <v>136</v>
      </c>
      <c r="AA872" s="13" t="n">
        <v>7</v>
      </c>
      <c r="AB872" s="13" t="n">
        <v>10.3</v>
      </c>
      <c r="AC872" s="11" t="inlineStr">
        <is>
          <t xml:space="preserve"> Resort Freeride</t>
        </is>
      </c>
      <c r="AD872" s="11" t="inlineStr">
        <is>
          <t xml:space="preserve"> Touring</t>
        </is>
      </c>
      <c r="AE872" s="13" t="n"/>
      <c r="AF872" s="13" t="n"/>
      <c r="AG872" s="13" t="n"/>
    </row>
    <row r="873">
      <c r="A873" s="9" t="inlineStr">
        <is>
          <t>21/22</t>
        </is>
      </c>
      <c r="B873" s="10" t="inlineStr">
        <is>
          <t xml:space="preserve"> Line</t>
        </is>
      </c>
      <c r="C873" s="11" t="inlineStr">
        <is>
          <t>Sick Day 94</t>
        </is>
      </c>
      <c r="D873" s="13" t="n">
        <v>172</v>
      </c>
      <c r="E873" s="11" t="inlineStr">
        <is>
          <t xml:space="preserve"> Unisex</t>
        </is>
      </c>
      <c r="F873" s="13" t="n">
        <v>172</v>
      </c>
      <c r="G873" s="13" t="n">
        <v>172.2</v>
      </c>
      <c r="H873" s="13" t="n">
        <v>129</v>
      </c>
      <c r="I873" s="13" t="n">
        <v>144</v>
      </c>
      <c r="J873" s="13" t="n">
        <v>131</v>
      </c>
      <c r="K873" s="13" t="n">
        <v>93</v>
      </c>
      <c r="L873" s="13" t="n">
        <v>116</v>
      </c>
      <c r="M873" s="13" t="n">
        <v>16.4</v>
      </c>
      <c r="N873" s="13" t="n">
        <v>1500</v>
      </c>
      <c r="O873" s="13" t="n">
        <v>1.21</v>
      </c>
      <c r="P873" s="13" t="n">
        <v>1811</v>
      </c>
      <c r="Q873" s="13" t="n">
        <v>146</v>
      </c>
      <c r="R873" s="13" t="n">
        <v>77</v>
      </c>
      <c r="S873" s="13" t="n">
        <v>48</v>
      </c>
      <c r="T873" s="13" t="n">
        <v>277</v>
      </c>
      <c r="U873" s="13" t="n">
        <v>19</v>
      </c>
      <c r="V873" s="13" t="n">
        <v>155</v>
      </c>
      <c r="W873" s="13" t="n">
        <v>0.394</v>
      </c>
      <c r="X873" s="13" t="n">
        <v>153</v>
      </c>
      <c r="Y873" s="13" t="n">
        <v>126</v>
      </c>
      <c r="Z873" s="13" t="n">
        <v>124</v>
      </c>
      <c r="AA873" s="13" t="n">
        <v>7</v>
      </c>
      <c r="AB873" s="13" t="n">
        <v>9.199999999999999</v>
      </c>
      <c r="AC873" s="11" t="inlineStr">
        <is>
          <t xml:space="preserve"> Resort Freeride</t>
        </is>
      </c>
      <c r="AD873" s="11" t="inlineStr">
        <is>
          <t xml:space="preserve"> Touring</t>
        </is>
      </c>
      <c r="AE873" s="13" t="n"/>
      <c r="AF873" s="13" t="n"/>
      <c r="AG873" s="13" t="n"/>
    </row>
    <row r="874">
      <c r="A874" s="9" t="inlineStr">
        <is>
          <t>21/22</t>
        </is>
      </c>
      <c r="B874" s="10" t="inlineStr">
        <is>
          <t xml:space="preserve"> Line</t>
        </is>
      </c>
      <c r="C874" s="11" t="inlineStr">
        <is>
          <t>Sick Day 94</t>
        </is>
      </c>
      <c r="D874" s="13" t="n">
        <v>179</v>
      </c>
      <c r="E874" s="11" t="inlineStr">
        <is>
          <t xml:space="preserve"> Unisex</t>
        </is>
      </c>
      <c r="F874" s="13" t="n">
        <v>179</v>
      </c>
      <c r="G874" s="13" t="n">
        <v>178.8</v>
      </c>
      <c r="H874" s="13" t="n">
        <v>138</v>
      </c>
      <c r="I874" s="13" t="n">
        <v>151</v>
      </c>
      <c r="J874" s="13" t="n">
        <v>131</v>
      </c>
      <c r="K874" s="13" t="n">
        <v>93</v>
      </c>
      <c r="L874" s="13" t="n">
        <v>116</v>
      </c>
      <c r="M874" s="13" t="n">
        <v>18</v>
      </c>
      <c r="N874" s="13" t="n">
        <v>1763</v>
      </c>
      <c r="O874" s="13" t="n">
        <v>1.07</v>
      </c>
      <c r="P874" s="13" t="n">
        <v>1883</v>
      </c>
      <c r="Q874" s="13" t="n">
        <v>196</v>
      </c>
      <c r="R874" s="13" t="n">
        <v>93</v>
      </c>
      <c r="S874" s="13" t="n">
        <v>42</v>
      </c>
      <c r="T874" s="13" t="n">
        <v>280</v>
      </c>
      <c r="U874" s="13" t="n">
        <v>15</v>
      </c>
      <c r="V874" s="13" t="n">
        <v>129</v>
      </c>
      <c r="W874" s="13" t="n">
        <v>0.357</v>
      </c>
      <c r="X874" s="13" t="n">
        <v>147</v>
      </c>
      <c r="Y874" s="13" t="n">
        <v>127</v>
      </c>
      <c r="Z874" s="13" t="n">
        <v>133</v>
      </c>
      <c r="AA874" s="13" t="n">
        <v>9</v>
      </c>
      <c r="AB874" s="13" t="n">
        <v>9.6</v>
      </c>
      <c r="AC874" s="11" t="inlineStr">
        <is>
          <t xml:space="preserve"> Resort Freeride</t>
        </is>
      </c>
      <c r="AD874" s="11" t="inlineStr">
        <is>
          <t xml:space="preserve"> Touring</t>
        </is>
      </c>
      <c r="AE874" s="13" t="n"/>
      <c r="AF874" s="13" t="n"/>
      <c r="AG874" s="13" t="n"/>
    </row>
    <row r="875">
      <c r="A875" s="9" t="inlineStr">
        <is>
          <t>21/22</t>
        </is>
      </c>
      <c r="B875" s="10" t="inlineStr">
        <is>
          <t xml:space="preserve"> Line</t>
        </is>
      </c>
      <c r="C875" s="11" t="inlineStr">
        <is>
          <t>Sick Day 94</t>
        </is>
      </c>
      <c r="D875" s="13" t="n">
        <v>186</v>
      </c>
      <c r="E875" s="11" t="inlineStr">
        <is>
          <t xml:space="preserve"> Unisex</t>
        </is>
      </c>
      <c r="F875" s="13" t="n">
        <v>186</v>
      </c>
      <c r="G875" s="13" t="n">
        <v>185.7</v>
      </c>
      <c r="H875" s="13" t="n">
        <v>147</v>
      </c>
      <c r="I875" s="13" t="n">
        <v>161</v>
      </c>
      <c r="J875" s="13" t="n">
        <v>131</v>
      </c>
      <c r="K875" s="13" t="n">
        <v>93</v>
      </c>
      <c r="L875" s="13" t="n">
        <v>116</v>
      </c>
      <c r="M875" s="13" t="n">
        <v>19.6</v>
      </c>
      <c r="N875" s="13" t="n">
        <v>1736</v>
      </c>
      <c r="O875" s="13" t="n">
        <v>1.12</v>
      </c>
      <c r="P875" s="13" t="n">
        <v>1952</v>
      </c>
      <c r="Q875" s="13" t="n">
        <v>191</v>
      </c>
      <c r="R875" s="13" t="n">
        <v>102</v>
      </c>
      <c r="S875" s="13" t="n">
        <v>45</v>
      </c>
      <c r="T875" s="13" t="n">
        <v>252</v>
      </c>
      <c r="U875" s="13" t="n">
        <v>17</v>
      </c>
      <c r="V875" s="13" t="n">
        <v>133</v>
      </c>
      <c r="W875" s="13" t="n">
        <v>0.372</v>
      </c>
      <c r="X875" s="13" t="n">
        <v>135</v>
      </c>
      <c r="Y875" s="13" t="n">
        <v>113</v>
      </c>
      <c r="Z875" s="13" t="n">
        <v>117</v>
      </c>
      <c r="AA875" s="13" t="n">
        <v>10</v>
      </c>
      <c r="AB875" s="13" t="n">
        <v>9.9</v>
      </c>
      <c r="AC875" s="11" t="inlineStr">
        <is>
          <t xml:space="preserve"> Resort Freeride</t>
        </is>
      </c>
      <c r="AD875" s="11" t="inlineStr">
        <is>
          <t xml:space="preserve"> Touring</t>
        </is>
      </c>
      <c r="AE875" s="13" t="n"/>
      <c r="AF875" s="13" t="n"/>
      <c r="AG875" s="13" t="n"/>
    </row>
    <row r="876">
      <c r="A876" s="9" t="inlineStr">
        <is>
          <t>21/22</t>
        </is>
      </c>
      <c r="B876" s="10" t="inlineStr">
        <is>
          <t xml:space="preserve"> Line</t>
        </is>
      </c>
      <c r="C876" s="11" t="inlineStr">
        <is>
          <t xml:space="preserve"> Sir Francis Bacon</t>
        </is>
      </c>
      <c r="D876" s="13" t="n">
        <v>176</v>
      </c>
      <c r="E876" s="11" t="inlineStr">
        <is>
          <t xml:space="preserve"> Unisex</t>
        </is>
      </c>
      <c r="F876" s="13" t="n">
        <v>176</v>
      </c>
      <c r="G876" s="13" t="n">
        <v>175</v>
      </c>
      <c r="H876" s="13" t="n">
        <v>101</v>
      </c>
      <c r="I876" s="13" t="n">
        <v>143</v>
      </c>
      <c r="J876" s="13" t="n">
        <v>142</v>
      </c>
      <c r="K876" s="13" t="n">
        <v>106</v>
      </c>
      <c r="L876" s="13" t="n">
        <v>138</v>
      </c>
      <c r="M876" s="13" t="n">
        <v>14.9</v>
      </c>
      <c r="N876" s="13" t="n">
        <v>1738</v>
      </c>
      <c r="O876" s="13" t="n">
        <v>1.16</v>
      </c>
      <c r="P876" s="13" t="n">
        <v>2020</v>
      </c>
      <c r="Q876" s="13" t="n">
        <v>135</v>
      </c>
      <c r="R876" s="13" t="n">
        <v>69</v>
      </c>
      <c r="S876" s="13" t="n">
        <v>47</v>
      </c>
      <c r="T876" s="13" t="n">
        <v>397</v>
      </c>
      <c r="U876" s="13" t="n">
        <v>47</v>
      </c>
      <c r="V876" s="13" t="n">
        <v>347</v>
      </c>
      <c r="W876" s="13" t="n">
        <v>1.004</v>
      </c>
      <c r="X876" s="13" t="n">
        <v>159</v>
      </c>
      <c r="Y876" s="13" t="n">
        <v>161</v>
      </c>
      <c r="Z876" s="13" t="n">
        <v>238</v>
      </c>
      <c r="AA876" s="13" t="n">
        <v>3</v>
      </c>
      <c r="AB876" s="13" t="n">
        <v>2.3</v>
      </c>
      <c r="AC876" s="11" t="inlineStr">
        <is>
          <t xml:space="preserve"> Freeski</t>
        </is>
      </c>
      <c r="AD876" s="11" t="inlineStr">
        <is>
          <t xml:space="preserve"> Powder</t>
        </is>
      </c>
      <c r="AE876" s="11" t="inlineStr">
        <is>
          <t xml:space="preserve"> Touring</t>
        </is>
      </c>
      <c r="AF876" s="13" t="n"/>
      <c r="AG876" s="13" t="n"/>
    </row>
    <row r="877">
      <c r="A877" s="9" t="inlineStr">
        <is>
          <t>21/22</t>
        </is>
      </c>
      <c r="B877" s="10" t="inlineStr">
        <is>
          <t xml:space="preserve"> Line</t>
        </is>
      </c>
      <c r="C877" s="11" t="inlineStr">
        <is>
          <t xml:space="preserve"> Sir Francis Bacon</t>
        </is>
      </c>
      <c r="D877" s="13" t="n">
        <v>184</v>
      </c>
      <c r="E877" s="11" t="inlineStr">
        <is>
          <t xml:space="preserve"> Unisex</t>
        </is>
      </c>
      <c r="F877" s="13" t="n">
        <v>184</v>
      </c>
      <c r="G877" s="13" t="n">
        <v>183.2</v>
      </c>
      <c r="H877" s="13" t="n">
        <v>134</v>
      </c>
      <c r="I877" s="13" t="n">
        <v>150</v>
      </c>
      <c r="J877" s="13" t="n">
        <v>142</v>
      </c>
      <c r="K877" s="13" t="n">
        <v>106</v>
      </c>
      <c r="L877" s="13" t="n">
        <v>138</v>
      </c>
      <c r="M877" s="13" t="n">
        <v>16.6</v>
      </c>
      <c r="N877" s="13" t="n">
        <v>1801</v>
      </c>
      <c r="O877" s="13" t="n">
        <v>1.17</v>
      </c>
      <c r="P877" s="13" t="n">
        <v>2110</v>
      </c>
      <c r="Q877" s="13" t="n">
        <v>155</v>
      </c>
      <c r="R877" s="13" t="n">
        <v>85</v>
      </c>
      <c r="S877" s="13" t="n">
        <v>40</v>
      </c>
      <c r="T877" s="13" t="n">
        <v>303</v>
      </c>
      <c r="U877" s="13" t="n">
        <v>41</v>
      </c>
      <c r="V877" s="13" t="n">
        <v>191</v>
      </c>
      <c r="W877" s="13" t="n">
        <v>1.025</v>
      </c>
      <c r="X877" s="13" t="n">
        <v>160</v>
      </c>
      <c r="Y877" s="13" t="n">
        <v>176</v>
      </c>
      <c r="Z877" s="13" t="n">
        <v>143</v>
      </c>
      <c r="AA877" s="13" t="n">
        <v>7</v>
      </c>
      <c r="AB877" s="13" t="n">
        <v>2.4</v>
      </c>
      <c r="AC877" s="11" t="inlineStr">
        <is>
          <t xml:space="preserve"> Freeski</t>
        </is>
      </c>
      <c r="AD877" s="11" t="inlineStr">
        <is>
          <t xml:space="preserve"> Powder</t>
        </is>
      </c>
      <c r="AE877" s="11" t="inlineStr">
        <is>
          <t xml:space="preserve"> Touring</t>
        </is>
      </c>
      <c r="AF877" s="13" t="n"/>
      <c r="AG877" s="13" t="n"/>
    </row>
    <row r="878">
      <c r="A878" s="9" t="inlineStr">
        <is>
          <t>21/22</t>
        </is>
      </c>
      <c r="B878" s="10" t="inlineStr">
        <is>
          <t xml:space="preserve"> Line</t>
        </is>
      </c>
      <c r="C878" s="11" t="inlineStr">
        <is>
          <t xml:space="preserve"> Sir Francis Bacon</t>
        </is>
      </c>
      <c r="D878" s="13" t="n">
        <v>190</v>
      </c>
      <c r="E878" s="11" t="inlineStr">
        <is>
          <t xml:space="preserve"> Unisex</t>
        </is>
      </c>
      <c r="F878" s="13" t="n">
        <v>190</v>
      </c>
      <c r="G878" s="13" t="n">
        <v>188.8</v>
      </c>
      <c r="H878" s="13" t="n">
        <v>135</v>
      </c>
      <c r="I878" s="13" t="n">
        <v>157</v>
      </c>
      <c r="J878" s="13" t="n">
        <v>142</v>
      </c>
      <c r="K878" s="13" t="n">
        <v>106</v>
      </c>
      <c r="L878" s="13" t="n">
        <v>138</v>
      </c>
      <c r="M878" s="13" t="n">
        <v>17.8</v>
      </c>
      <c r="N878" s="13" t="n">
        <v>1910</v>
      </c>
      <c r="O878" s="13" t="n">
        <v>1.15</v>
      </c>
      <c r="P878" s="13" t="n">
        <v>2188</v>
      </c>
      <c r="Q878" s="13" t="n">
        <v>177</v>
      </c>
      <c r="R878" s="13" t="n">
        <v>95</v>
      </c>
      <c r="S878" s="13" t="n">
        <v>44</v>
      </c>
      <c r="T878" s="13" t="n">
        <v>346</v>
      </c>
      <c r="U878" s="13" t="n">
        <v>44</v>
      </c>
      <c r="V878" s="13" t="n">
        <v>190</v>
      </c>
      <c r="W878" s="13" t="n">
        <v>1.004</v>
      </c>
      <c r="X878" s="13" t="n">
        <v>157</v>
      </c>
      <c r="Y878" s="13" t="n">
        <v>163</v>
      </c>
      <c r="Z878" s="13" t="n">
        <v>189</v>
      </c>
      <c r="AA878" s="13" t="n">
        <v>6</v>
      </c>
      <c r="AB878" s="13" t="n">
        <v>4.1</v>
      </c>
      <c r="AC878" s="11" t="inlineStr">
        <is>
          <t xml:space="preserve"> Freeski</t>
        </is>
      </c>
      <c r="AD878" s="11" t="inlineStr">
        <is>
          <t xml:space="preserve"> Powder</t>
        </is>
      </c>
      <c r="AE878" s="11" t="inlineStr">
        <is>
          <t xml:space="preserve"> Touring</t>
        </is>
      </c>
      <c r="AF878" s="13" t="n"/>
      <c r="AG878" s="13" t="n"/>
    </row>
    <row r="879">
      <c r="A879" s="9" t="inlineStr">
        <is>
          <t>21/22</t>
        </is>
      </c>
      <c r="B879" s="10" t="inlineStr">
        <is>
          <t xml:space="preserve"> Line</t>
        </is>
      </c>
      <c r="C879" s="11" t="inlineStr">
        <is>
          <t xml:space="preserve"> Sir Francis Bacon Shorty</t>
        </is>
      </c>
      <c r="D879" s="13" t="n">
        <v>155</v>
      </c>
      <c r="E879" s="11" t="inlineStr">
        <is>
          <t xml:space="preserve"> Junior</t>
        </is>
      </c>
      <c r="F879" s="13" t="n">
        <v>155</v>
      </c>
      <c r="G879" s="13" t="n">
        <v>152.3</v>
      </c>
      <c r="H879" s="13" t="n">
        <v>76</v>
      </c>
      <c r="I879" s="13" t="n">
        <v>119</v>
      </c>
      <c r="J879" s="13" t="n">
        <v>132</v>
      </c>
      <c r="K879" s="13" t="n">
        <v>106</v>
      </c>
      <c r="L879" s="13" t="n">
        <v>129</v>
      </c>
      <c r="M879" s="13" t="n">
        <v>13.2</v>
      </c>
      <c r="N879" s="13" t="n">
        <v>1682</v>
      </c>
      <c r="O879" s="13" t="n">
        <v>1.05</v>
      </c>
      <c r="P879" s="13" t="n">
        <v>1761</v>
      </c>
      <c r="Q879" s="13" t="n">
        <v>177</v>
      </c>
      <c r="R879" s="13" t="n">
        <v>87</v>
      </c>
      <c r="S879" s="13" t="n">
        <v>52</v>
      </c>
      <c r="T879" s="13" t="n">
        <v>366</v>
      </c>
      <c r="U879" s="13" t="n">
        <v>50</v>
      </c>
      <c r="V879" s="13" t="n">
        <v>400</v>
      </c>
      <c r="W879" s="13" t="n">
        <v>0.957</v>
      </c>
      <c r="X879" s="13" t="n">
        <v>179</v>
      </c>
      <c r="Y879" s="13" t="n">
        <v>158</v>
      </c>
      <c r="Z879" s="13" t="n">
        <v>186</v>
      </c>
      <c r="AA879" s="13" t="n">
        <v>1</v>
      </c>
      <c r="AB879" s="13" t="n">
        <v>3.5</v>
      </c>
      <c r="AC879" s="11" t="inlineStr">
        <is>
          <t xml:space="preserve"> Freeski</t>
        </is>
      </c>
      <c r="AD879" s="11" t="inlineStr">
        <is>
          <t xml:space="preserve"> Powder</t>
        </is>
      </c>
      <c r="AE879" s="13" t="n"/>
      <c r="AF879" s="13" t="n"/>
      <c r="AG879" s="13" t="n"/>
    </row>
    <row r="880">
      <c r="A880" s="9" t="inlineStr">
        <is>
          <t>21/22</t>
        </is>
      </c>
      <c r="B880" s="10" t="inlineStr">
        <is>
          <t xml:space="preserve"> Line</t>
        </is>
      </c>
      <c r="C880" s="11" t="inlineStr">
        <is>
          <t xml:space="preserve"> Tom Wallisch Pro</t>
        </is>
      </c>
      <c r="D880" s="13" t="n">
        <v>157</v>
      </c>
      <c r="E880" s="11" t="inlineStr">
        <is>
          <t xml:space="preserve"> Unisex</t>
        </is>
      </c>
      <c r="F880" s="13" t="n">
        <v>157</v>
      </c>
      <c r="G880" s="13" t="n">
        <v>157.4</v>
      </c>
      <c r="H880" s="13" t="n">
        <v>112</v>
      </c>
      <c r="I880" s="13" t="n">
        <v>131</v>
      </c>
      <c r="J880" s="13" t="n">
        <v>117</v>
      </c>
      <c r="K880" s="13" t="n">
        <v>89</v>
      </c>
      <c r="L880" s="13" t="n">
        <v>116</v>
      </c>
      <c r="M880" s="13" t="n">
        <v>14.6</v>
      </c>
      <c r="N880" s="13" t="n">
        <v>1435</v>
      </c>
      <c r="O880" s="13" t="n">
        <v>1.09</v>
      </c>
      <c r="P880" s="13" t="n">
        <v>1562</v>
      </c>
      <c r="Q880" s="13" t="n">
        <v>124</v>
      </c>
      <c r="R880" s="13" t="n">
        <v>66</v>
      </c>
      <c r="S880" s="13" t="n">
        <v>36</v>
      </c>
      <c r="T880" s="13" t="n">
        <v>201</v>
      </c>
      <c r="U880" s="13" t="n">
        <v>39</v>
      </c>
      <c r="V880" s="13" t="n">
        <v>254</v>
      </c>
      <c r="W880" s="13" t="n">
        <v>1.095</v>
      </c>
      <c r="X880" s="13" t="n">
        <v>123</v>
      </c>
      <c r="Y880" s="13" t="n">
        <v>141</v>
      </c>
      <c r="Z880" s="13" t="n">
        <v>78</v>
      </c>
      <c r="AA880" s="13" t="n">
        <v>5</v>
      </c>
      <c r="AB880" s="13" t="n">
        <v>1.9</v>
      </c>
      <c r="AC880" s="11" t="inlineStr">
        <is>
          <t xml:space="preserve"> Freeski</t>
        </is>
      </c>
      <c r="AD880" s="11" t="inlineStr">
        <is>
          <t xml:space="preserve"> Touring</t>
        </is>
      </c>
      <c r="AE880" s="13" t="n"/>
      <c r="AF880" s="13" t="n"/>
      <c r="AG880" s="13" t="n"/>
    </row>
    <row r="881">
      <c r="A881" s="9" t="inlineStr">
        <is>
          <t>21/22</t>
        </is>
      </c>
      <c r="B881" s="10" t="inlineStr">
        <is>
          <t xml:space="preserve"> Line</t>
        </is>
      </c>
      <c r="C881" s="11" t="inlineStr">
        <is>
          <t xml:space="preserve"> Tom Wallisch Pro</t>
        </is>
      </c>
      <c r="D881" s="13" t="n">
        <v>164</v>
      </c>
      <c r="E881" s="11" t="inlineStr">
        <is>
          <t xml:space="preserve"> Unisex</t>
        </is>
      </c>
      <c r="F881" s="13" t="n">
        <v>164</v>
      </c>
      <c r="G881" s="13" t="n">
        <v>164.1</v>
      </c>
      <c r="H881" s="13" t="n">
        <v>118</v>
      </c>
      <c r="I881" s="13" t="n">
        <v>138</v>
      </c>
      <c r="J881" s="13" t="n">
        <v>117</v>
      </c>
      <c r="K881" s="13" t="n">
        <v>89</v>
      </c>
      <c r="L881" s="13" t="n">
        <v>116</v>
      </c>
      <c r="M881" s="13" t="n">
        <v>16.3</v>
      </c>
      <c r="N881" s="13" t="n">
        <v>1518</v>
      </c>
      <c r="O881" s="13" t="n">
        <v>1.07</v>
      </c>
      <c r="P881" s="13" t="n">
        <v>1627</v>
      </c>
      <c r="Q881" s="13" t="n">
        <v>163</v>
      </c>
      <c r="R881" s="13" t="n">
        <v>72</v>
      </c>
      <c r="S881" s="13" t="n">
        <v>38</v>
      </c>
      <c r="T881" s="13" t="n">
        <v>229</v>
      </c>
      <c r="U881" s="13" t="n">
        <v>37</v>
      </c>
      <c r="V881" s="13" t="n">
        <v>234</v>
      </c>
      <c r="W881" s="13" t="n">
        <v>0.986</v>
      </c>
      <c r="X881" s="13" t="n">
        <v>123</v>
      </c>
      <c r="Y881" s="13" t="n">
        <v>134</v>
      </c>
      <c r="Z881" s="13" t="n">
        <v>106</v>
      </c>
      <c r="AA881" s="13" t="n">
        <v>5</v>
      </c>
      <c r="AB881" s="13" t="n">
        <v>2.4</v>
      </c>
      <c r="AC881" s="11" t="inlineStr">
        <is>
          <t xml:space="preserve"> Freeski</t>
        </is>
      </c>
      <c r="AD881" s="11" t="inlineStr">
        <is>
          <t xml:space="preserve"> Touring</t>
        </is>
      </c>
      <c r="AE881" s="13" t="n"/>
      <c r="AF881" s="13" t="n"/>
      <c r="AG881" s="13" t="n"/>
    </row>
    <row r="882">
      <c r="A882" s="9" t="inlineStr">
        <is>
          <t>21/22</t>
        </is>
      </c>
      <c r="B882" s="10" t="inlineStr">
        <is>
          <t xml:space="preserve"> Line</t>
        </is>
      </c>
      <c r="C882" s="11" t="inlineStr">
        <is>
          <t xml:space="preserve"> Tom Wallisch Pro</t>
        </is>
      </c>
      <c r="D882" s="13" t="n">
        <v>171</v>
      </c>
      <c r="E882" s="11" t="inlineStr">
        <is>
          <t xml:space="preserve"> Unisex</t>
        </is>
      </c>
      <c r="F882" s="13" t="n">
        <v>171</v>
      </c>
      <c r="G882" s="13" t="n">
        <v>171.1</v>
      </c>
      <c r="H882" s="13" t="n">
        <v>126</v>
      </c>
      <c r="I882" s="13" t="n">
        <v>144</v>
      </c>
      <c r="J882" s="13" t="n">
        <v>116</v>
      </c>
      <c r="K882" s="13" t="n">
        <v>89</v>
      </c>
      <c r="L882" s="13" t="n">
        <v>116</v>
      </c>
      <c r="M882" s="13" t="n">
        <v>18.4</v>
      </c>
      <c r="N882" s="13" t="n">
        <v>1633</v>
      </c>
      <c r="O882" s="13" t="n">
        <v>1.04</v>
      </c>
      <c r="P882" s="13" t="n">
        <v>1696</v>
      </c>
      <c r="Q882" s="13" t="n">
        <v>153</v>
      </c>
      <c r="R882" s="13" t="n">
        <v>81</v>
      </c>
      <c r="S882" s="13" t="n">
        <v>46</v>
      </c>
      <c r="T882" s="13" t="n">
        <v>225</v>
      </c>
      <c r="U882" s="13" t="n">
        <v>41</v>
      </c>
      <c r="V882" s="13" t="n">
        <v>222</v>
      </c>
      <c r="W882" s="13" t="n">
        <v>0.895</v>
      </c>
      <c r="X882" s="13" t="n">
        <v>130</v>
      </c>
      <c r="Y882" s="13" t="n">
        <v>145</v>
      </c>
      <c r="Z882" s="13" t="n">
        <v>95</v>
      </c>
      <c r="AA882" s="13" t="n">
        <v>7</v>
      </c>
      <c r="AB882" s="13" t="n">
        <v>1.8</v>
      </c>
      <c r="AC882" s="11" t="inlineStr">
        <is>
          <t xml:space="preserve"> Freeski</t>
        </is>
      </c>
      <c r="AD882" s="13" t="n"/>
      <c r="AE882" s="13" t="n"/>
      <c r="AF882" s="13" t="n"/>
      <c r="AG882" s="13" t="n"/>
    </row>
    <row r="883">
      <c r="A883" s="9" t="inlineStr">
        <is>
          <t>21/22</t>
        </is>
      </c>
      <c r="B883" s="10" t="inlineStr">
        <is>
          <t xml:space="preserve"> Line</t>
        </is>
      </c>
      <c r="C883" s="11" t="inlineStr">
        <is>
          <t xml:space="preserve"> Tom Wallisch Pro</t>
        </is>
      </c>
      <c r="D883" s="13" t="n">
        <v>178</v>
      </c>
      <c r="E883" s="11" t="inlineStr">
        <is>
          <t xml:space="preserve"> Unisex</t>
        </is>
      </c>
      <c r="F883" s="13" t="n">
        <v>178</v>
      </c>
      <c r="G883" s="13" t="n">
        <v>177.7</v>
      </c>
      <c r="H883" s="13" t="n">
        <v>131</v>
      </c>
      <c r="I883" s="13" t="n">
        <v>151</v>
      </c>
      <c r="J883" s="13" t="n">
        <v>117</v>
      </c>
      <c r="K883" s="13" t="n">
        <v>89</v>
      </c>
      <c r="L883" s="13" t="n">
        <v>116</v>
      </c>
      <c r="M883" s="13" t="n">
        <v>19.9</v>
      </c>
      <c r="N883" s="13" t="n">
        <v>1752</v>
      </c>
      <c r="O883" s="13" t="n">
        <v>1.01</v>
      </c>
      <c r="P883" s="13" t="n">
        <v>1763</v>
      </c>
      <c r="Q883" s="13" t="n">
        <v>200</v>
      </c>
      <c r="R883" s="13" t="n">
        <v>91</v>
      </c>
      <c r="S883" s="13" t="n">
        <v>42</v>
      </c>
      <c r="T883" s="13" t="n">
        <v>235</v>
      </c>
      <c r="U883" s="13" t="n">
        <v>44</v>
      </c>
      <c r="V883" s="13" t="n">
        <v>228</v>
      </c>
      <c r="W883" s="13" t="n">
        <v>1.031</v>
      </c>
      <c r="X883" s="13" t="n">
        <v>125</v>
      </c>
      <c r="Y883" s="13" t="n">
        <v>139</v>
      </c>
      <c r="Z883" s="13" t="n">
        <v>110</v>
      </c>
      <c r="AA883" s="13" t="n">
        <v>8</v>
      </c>
      <c r="AB883" s="13" t="n">
        <v>2.4</v>
      </c>
      <c r="AC883" s="11" t="inlineStr">
        <is>
          <t xml:space="preserve"> Freeski</t>
        </is>
      </c>
      <c r="AD883" s="13" t="n"/>
      <c r="AE883" s="13" t="n"/>
      <c r="AF883" s="13" t="n"/>
      <c r="AG883" s="13" t="n"/>
    </row>
    <row r="884">
      <c r="A884" s="9" t="inlineStr">
        <is>
          <t>21/22</t>
        </is>
      </c>
      <c r="B884" s="10" t="inlineStr">
        <is>
          <t xml:space="preserve"> Line</t>
        </is>
      </c>
      <c r="C884" s="11" t="inlineStr">
        <is>
          <t>Vision 108</t>
        </is>
      </c>
      <c r="D884" s="13" t="n">
        <v>175</v>
      </c>
      <c r="E884" s="11" t="inlineStr">
        <is>
          <t xml:space="preserve"> Unisex</t>
        </is>
      </c>
      <c r="F884" s="13" t="n">
        <v>175</v>
      </c>
      <c r="G884" s="13" t="n">
        <v>174.6</v>
      </c>
      <c r="H884" s="13" t="n">
        <v>91</v>
      </c>
      <c r="I884" s="13" t="n">
        <v>141</v>
      </c>
      <c r="J884" s="13" t="n">
        <v>141</v>
      </c>
      <c r="K884" s="13" t="n">
        <v>107</v>
      </c>
      <c r="L884" s="13" t="n">
        <v>127</v>
      </c>
      <c r="M884" s="13" t="n">
        <v>17.3</v>
      </c>
      <c r="N884" s="13" t="n">
        <v>1517</v>
      </c>
      <c r="O884" s="13" t="n">
        <v>1.35</v>
      </c>
      <c r="P884" s="13" t="n">
        <v>2043</v>
      </c>
      <c r="Q884" s="13" t="n">
        <v>188</v>
      </c>
      <c r="R884" s="13" t="n">
        <v>81</v>
      </c>
      <c r="S884" s="13" t="n">
        <v>52</v>
      </c>
      <c r="T884" s="13" t="n">
        <v>460</v>
      </c>
      <c r="U884" s="13" t="n">
        <v>34</v>
      </c>
      <c r="V884" s="13" t="n">
        <v>378</v>
      </c>
      <c r="W884" s="13" t="n">
        <v>0.654</v>
      </c>
      <c r="X884" s="13" t="n">
        <v>173</v>
      </c>
      <c r="Y884" s="13" t="n">
        <v>168</v>
      </c>
      <c r="Z884" s="13" t="n">
        <v>287</v>
      </c>
      <c r="AA884" s="13" t="n">
        <v>2</v>
      </c>
      <c r="AB884" s="13" t="n">
        <v>6.4</v>
      </c>
      <c r="AC884" s="11" t="inlineStr">
        <is>
          <t xml:space="preserve"> Powder</t>
        </is>
      </c>
      <c r="AD884" s="11" t="inlineStr">
        <is>
          <t xml:space="preserve"> Touring</t>
        </is>
      </c>
      <c r="AE884" s="11" t="inlineStr">
        <is>
          <t xml:space="preserve"> Ultralight Touring</t>
        </is>
      </c>
      <c r="AF884" s="13" t="n"/>
      <c r="AG884" s="13" t="n"/>
    </row>
    <row r="885">
      <c r="A885" s="9" t="inlineStr">
        <is>
          <t>21/22</t>
        </is>
      </c>
      <c r="B885" s="10" t="inlineStr">
        <is>
          <t xml:space="preserve"> Line</t>
        </is>
      </c>
      <c r="C885" s="11" t="inlineStr">
        <is>
          <t>Vision 108</t>
        </is>
      </c>
      <c r="D885" s="13" t="n">
        <v>183</v>
      </c>
      <c r="E885" s="11" t="inlineStr">
        <is>
          <t xml:space="preserve"> Unisex</t>
        </is>
      </c>
      <c r="F885" s="13" t="n">
        <v>183</v>
      </c>
      <c r="G885" s="13" t="n">
        <v>181.7</v>
      </c>
      <c r="H885" s="13" t="n">
        <v>97</v>
      </c>
      <c r="I885" s="13" t="n">
        <v>148</v>
      </c>
      <c r="J885" s="13" t="n">
        <v>141</v>
      </c>
      <c r="K885" s="13" t="n">
        <v>107</v>
      </c>
      <c r="L885" s="13" t="n">
        <v>127</v>
      </c>
      <c r="M885" s="13" t="n">
        <v>19</v>
      </c>
      <c r="N885" s="13" t="n">
        <v>1627</v>
      </c>
      <c r="O885" s="13" t="n">
        <v>1.31</v>
      </c>
      <c r="P885" s="13" t="n">
        <v>2125</v>
      </c>
      <c r="Q885" s="13" t="n">
        <v>186</v>
      </c>
      <c r="R885" s="13" t="n">
        <v>92</v>
      </c>
      <c r="S885" s="13" t="n">
        <v>55</v>
      </c>
      <c r="T885" s="13" t="n">
        <v>465</v>
      </c>
      <c r="U885" s="13" t="n">
        <v>35</v>
      </c>
      <c r="V885" s="13" t="n">
        <v>380</v>
      </c>
      <c r="W885" s="13" t="n">
        <v>0.643</v>
      </c>
      <c r="X885" s="13" t="n">
        <v>164</v>
      </c>
      <c r="Y885" s="13" t="n">
        <v>173</v>
      </c>
      <c r="Z885" s="13" t="n">
        <v>302</v>
      </c>
      <c r="AA885" s="13" t="n">
        <v>3</v>
      </c>
      <c r="AB885" s="13" t="n">
        <v>6.8</v>
      </c>
      <c r="AC885" s="11" t="inlineStr">
        <is>
          <t xml:space="preserve"> Powder</t>
        </is>
      </c>
      <c r="AD885" s="11" t="inlineStr">
        <is>
          <t xml:space="preserve"> Touring</t>
        </is>
      </c>
      <c r="AE885" s="11" t="inlineStr">
        <is>
          <t xml:space="preserve"> Ultralight Touring</t>
        </is>
      </c>
      <c r="AF885" s="13" t="n"/>
      <c r="AG885" s="13" t="n"/>
    </row>
    <row r="886">
      <c r="A886" s="9" t="inlineStr">
        <is>
          <t>21/22</t>
        </is>
      </c>
      <c r="B886" s="10" t="inlineStr">
        <is>
          <t xml:space="preserve"> Line</t>
        </is>
      </c>
      <c r="C886" s="11" t="inlineStr">
        <is>
          <t>Vision 118</t>
        </is>
      </c>
      <c r="D886" s="13" t="n">
        <v>175</v>
      </c>
      <c r="E886" s="11" t="inlineStr">
        <is>
          <t xml:space="preserve"> Unisex</t>
        </is>
      </c>
      <c r="F886" s="13" t="n">
        <v>175</v>
      </c>
      <c r="G886" s="13" t="n">
        <v>175.3</v>
      </c>
      <c r="H886" s="13" t="n">
        <v>85</v>
      </c>
      <c r="I886" s="13" t="n">
        <v>140</v>
      </c>
      <c r="J886" s="13" t="n">
        <v>151</v>
      </c>
      <c r="K886" s="13" t="n">
        <v>117</v>
      </c>
      <c r="L886" s="13" t="n">
        <v>137</v>
      </c>
      <c r="M886" s="13" t="n">
        <v>17.2</v>
      </c>
      <c r="N886" s="13" t="n">
        <v>1758</v>
      </c>
      <c r="O886" s="13" t="n">
        <v>1.26</v>
      </c>
      <c r="P886" s="13" t="n">
        <v>2223</v>
      </c>
      <c r="Q886" s="13" t="n">
        <v>175</v>
      </c>
      <c r="R886" s="13" t="n">
        <v>92</v>
      </c>
      <c r="S886" s="13" t="n">
        <v>52</v>
      </c>
      <c r="T886" s="13" t="n">
        <v>495</v>
      </c>
      <c r="U886" s="13" t="n">
        <v>34</v>
      </c>
      <c r="V886" s="13" t="n">
        <v>411</v>
      </c>
      <c r="W886" s="13" t="n">
        <v>0.639</v>
      </c>
      <c r="X886" s="13" t="n">
        <v>180</v>
      </c>
      <c r="Y886" s="13" t="n">
        <v>177</v>
      </c>
      <c r="Z886" s="13" t="n">
        <v>315</v>
      </c>
      <c r="AA886" s="13" t="n">
        <v>3</v>
      </c>
      <c r="AB886" s="13" t="n">
        <v>6.7</v>
      </c>
      <c r="AC886" s="11" t="inlineStr">
        <is>
          <t xml:space="preserve"> Powder</t>
        </is>
      </c>
      <c r="AD886" s="11" t="inlineStr">
        <is>
          <t xml:space="preserve"> Touring</t>
        </is>
      </c>
      <c r="AE886" s="11" t="inlineStr">
        <is>
          <t xml:space="preserve"> Ultralight Touring</t>
        </is>
      </c>
      <c r="AF886" s="13" t="n"/>
      <c r="AG886" s="13" t="n"/>
    </row>
    <row r="887">
      <c r="A887" s="9" t="inlineStr">
        <is>
          <t>21/22</t>
        </is>
      </c>
      <c r="B887" s="10" t="inlineStr">
        <is>
          <t xml:space="preserve"> Line</t>
        </is>
      </c>
      <c r="C887" s="11" t="inlineStr">
        <is>
          <t>Vision 118</t>
        </is>
      </c>
      <c r="D887" s="13" t="n">
        <v>183</v>
      </c>
      <c r="E887" s="11" t="inlineStr">
        <is>
          <t xml:space="preserve"> Unisex</t>
        </is>
      </c>
      <c r="F887" s="13" t="n">
        <v>183</v>
      </c>
      <c r="G887" s="13" t="n">
        <v>182.6</v>
      </c>
      <c r="H887" s="13" t="n">
        <v>102</v>
      </c>
      <c r="I887" s="13" t="n">
        <v>147</v>
      </c>
      <c r="J887" s="13" t="n">
        <v>151</v>
      </c>
      <c r="K887" s="13" t="n">
        <v>117</v>
      </c>
      <c r="L887" s="13" t="n">
        <v>137</v>
      </c>
      <c r="M887" s="13" t="n">
        <v>19.1</v>
      </c>
      <c r="N887" s="13" t="n">
        <v>1854</v>
      </c>
      <c r="O887" s="13" t="n">
        <v>1.25</v>
      </c>
      <c r="P887" s="13" t="n">
        <v>2318</v>
      </c>
      <c r="Q887" s="13" t="n">
        <v>210</v>
      </c>
      <c r="R887" s="13" t="n">
        <v>102</v>
      </c>
      <c r="S887" s="13" t="n">
        <v>56</v>
      </c>
      <c r="T887" s="13" t="n">
        <v>430</v>
      </c>
      <c r="U887" s="13" t="n">
        <v>37</v>
      </c>
      <c r="V887" s="13" t="n">
        <v>376</v>
      </c>
      <c r="W887" s="13" t="n">
        <v>0.657</v>
      </c>
      <c r="X887" s="13" t="n">
        <v>177</v>
      </c>
      <c r="Y887" s="13" t="n">
        <v>179</v>
      </c>
      <c r="Z887" s="13" t="n">
        <v>252</v>
      </c>
      <c r="AA887" s="13" t="n">
        <v>3</v>
      </c>
      <c r="AB887" s="13" t="n">
        <v>6.1</v>
      </c>
      <c r="AC887" s="11" t="inlineStr">
        <is>
          <t xml:space="preserve"> Powder</t>
        </is>
      </c>
      <c r="AD887" s="11" t="inlineStr">
        <is>
          <t xml:space="preserve"> Touring</t>
        </is>
      </c>
      <c r="AE887" s="11" t="inlineStr">
        <is>
          <t xml:space="preserve"> Ultralight Touring</t>
        </is>
      </c>
      <c r="AF887" s="13" t="n"/>
      <c r="AG887" s="13" t="n"/>
    </row>
    <row r="888">
      <c r="A888" s="9" t="inlineStr">
        <is>
          <t>21/22</t>
        </is>
      </c>
      <c r="B888" s="10" t="inlineStr">
        <is>
          <t xml:space="preserve"> Line</t>
        </is>
      </c>
      <c r="C888" s="11" t="inlineStr">
        <is>
          <t>Vision 118</t>
        </is>
      </c>
      <c r="D888" s="13" t="n">
        <v>189</v>
      </c>
      <c r="E888" s="11" t="inlineStr">
        <is>
          <t xml:space="preserve"> Unisex</t>
        </is>
      </c>
      <c r="F888" s="13" t="n">
        <v>189</v>
      </c>
      <c r="G888" s="13" t="n">
        <v>188.4</v>
      </c>
      <c r="H888" s="13" t="n">
        <v>114</v>
      </c>
      <c r="I888" s="13" t="n">
        <v>153</v>
      </c>
      <c r="J888" s="13" t="n">
        <v>151</v>
      </c>
      <c r="K888" s="13" t="n">
        <v>117</v>
      </c>
      <c r="L888" s="13" t="n">
        <v>137</v>
      </c>
      <c r="M888" s="13" t="n">
        <v>20.5</v>
      </c>
      <c r="N888" s="13" t="n">
        <v>1974</v>
      </c>
      <c r="O888" s="13" t="n">
        <v>1.21</v>
      </c>
      <c r="P888" s="13" t="n">
        <v>2392</v>
      </c>
      <c r="Q888" s="13" t="n">
        <v>247</v>
      </c>
      <c r="R888" s="13" t="n">
        <v>112</v>
      </c>
      <c r="S888" s="13" t="n">
        <v>52</v>
      </c>
      <c r="T888" s="13" t="n">
        <v>384</v>
      </c>
      <c r="U888" s="13" t="n">
        <v>33</v>
      </c>
      <c r="V888" s="13" t="n">
        <v>362</v>
      </c>
      <c r="W888" s="13" t="n">
        <v>0.639</v>
      </c>
      <c r="X888" s="13" t="n">
        <v>172</v>
      </c>
      <c r="Y888" s="13" t="n">
        <v>181</v>
      </c>
      <c r="Z888" s="13" t="n">
        <v>212</v>
      </c>
      <c r="AA888" s="13" t="n">
        <v>3</v>
      </c>
      <c r="AB888" s="13" t="n">
        <v>7.4</v>
      </c>
      <c r="AC888" s="11" t="inlineStr">
        <is>
          <t xml:space="preserve"> Powder</t>
        </is>
      </c>
      <c r="AD888" s="11" t="inlineStr">
        <is>
          <t xml:space="preserve"> Touring</t>
        </is>
      </c>
      <c r="AE888" s="13" t="n"/>
      <c r="AF888" s="13" t="n"/>
      <c r="AG888" s="13" t="n"/>
    </row>
    <row r="889">
      <c r="A889" s="9" t="inlineStr">
        <is>
          <t>21/22</t>
        </is>
      </c>
      <c r="B889" s="10" t="inlineStr">
        <is>
          <t xml:space="preserve"> Line</t>
        </is>
      </c>
      <c r="C889" s="11" t="inlineStr">
        <is>
          <t>Vision 98</t>
        </is>
      </c>
      <c r="D889" s="13" t="n">
        <v>172</v>
      </c>
      <c r="E889" s="11" t="inlineStr">
        <is>
          <t xml:space="preserve"> Unisex</t>
        </is>
      </c>
      <c r="F889" s="13" t="n">
        <v>172</v>
      </c>
      <c r="G889" s="13" t="n">
        <v>171.9</v>
      </c>
      <c r="H889" s="13" t="n">
        <v>111</v>
      </c>
      <c r="I889" s="13" t="n">
        <v>138</v>
      </c>
      <c r="J889" s="13" t="n">
        <v>130</v>
      </c>
      <c r="K889" s="13" t="n">
        <v>97</v>
      </c>
      <c r="L889" s="13" t="n">
        <v>117</v>
      </c>
      <c r="M889" s="13" t="n">
        <v>16.5</v>
      </c>
      <c r="N889" s="13" t="n">
        <v>1347</v>
      </c>
      <c r="O889" s="13" t="n">
        <v>1.37</v>
      </c>
      <c r="P889" s="13" t="n">
        <v>1840</v>
      </c>
      <c r="Q889" s="13" t="n">
        <v>156</v>
      </c>
      <c r="R889" s="13" t="n">
        <v>64</v>
      </c>
      <c r="S889" s="13" t="n">
        <v>51</v>
      </c>
      <c r="T889" s="13" t="n">
        <v>333</v>
      </c>
      <c r="U889" s="13" t="n">
        <v>33</v>
      </c>
      <c r="V889" s="13" t="n">
        <v>280</v>
      </c>
      <c r="W889" s="13" t="n">
        <v>0.65</v>
      </c>
      <c r="X889" s="13" t="n">
        <v>167</v>
      </c>
      <c r="Y889" s="13" t="n">
        <v>173</v>
      </c>
      <c r="Z889" s="13" t="n">
        <v>166</v>
      </c>
      <c r="AA889" s="13" t="n">
        <v>4</v>
      </c>
      <c r="AB889" s="13" t="n">
        <v>6.3</v>
      </c>
      <c r="AC889" s="11" t="inlineStr">
        <is>
          <t xml:space="preserve"> Touring</t>
        </is>
      </c>
      <c r="AD889" s="11" t="inlineStr">
        <is>
          <t xml:space="preserve"> Ultralight Touring</t>
        </is>
      </c>
      <c r="AE889" s="13" t="n"/>
      <c r="AF889" s="13" t="n"/>
      <c r="AG889" s="13" t="n"/>
    </row>
    <row r="890">
      <c r="A890" s="9" t="inlineStr">
        <is>
          <t>21/22</t>
        </is>
      </c>
      <c r="B890" s="10" t="inlineStr">
        <is>
          <t xml:space="preserve"> Line</t>
        </is>
      </c>
      <c r="C890" s="11" t="inlineStr">
        <is>
          <t>Vision 98</t>
        </is>
      </c>
      <c r="D890" s="13" t="n">
        <v>179</v>
      </c>
      <c r="E890" s="11" t="inlineStr">
        <is>
          <t xml:space="preserve"> Unisex</t>
        </is>
      </c>
      <c r="F890" s="13" t="n">
        <v>179</v>
      </c>
      <c r="G890" s="13" t="n">
        <v>178.3</v>
      </c>
      <c r="H890" s="13" t="n">
        <v>117</v>
      </c>
      <c r="I890" s="13" t="n">
        <v>145</v>
      </c>
      <c r="J890" s="13" t="n">
        <v>130</v>
      </c>
      <c r="K890" s="13" t="n">
        <v>97</v>
      </c>
      <c r="L890" s="13" t="n">
        <v>117</v>
      </c>
      <c r="M890" s="13" t="n">
        <v>18.1</v>
      </c>
      <c r="N890" s="13" t="n">
        <v>1452</v>
      </c>
      <c r="O890" s="13" t="n">
        <v>1.32</v>
      </c>
      <c r="P890" s="13" t="n">
        <v>1910</v>
      </c>
      <c r="Q890" s="13" t="n">
        <v>192</v>
      </c>
      <c r="R890" s="13" t="n">
        <v>80</v>
      </c>
      <c r="S890" s="13" t="n">
        <v>52</v>
      </c>
      <c r="T890" s="13" t="n">
        <v>341</v>
      </c>
      <c r="U890" s="13" t="n">
        <v>32</v>
      </c>
      <c r="V890" s="13" t="n">
        <v>271</v>
      </c>
      <c r="W890" s="13" t="n">
        <v>0.619</v>
      </c>
      <c r="X890" s="13" t="n">
        <v>165</v>
      </c>
      <c r="Y890" s="13" t="n">
        <v>171</v>
      </c>
      <c r="Z890" s="13" t="n">
        <v>176</v>
      </c>
      <c r="AA890" s="13" t="n">
        <v>5</v>
      </c>
      <c r="AB890" s="13" t="n">
        <v>6.3</v>
      </c>
      <c r="AC890" s="11" t="inlineStr">
        <is>
          <t xml:space="preserve"> Touring</t>
        </is>
      </c>
      <c r="AD890" s="11" t="inlineStr">
        <is>
          <t xml:space="preserve"> Ultralight Touring</t>
        </is>
      </c>
      <c r="AE890" s="13" t="n"/>
      <c r="AF890" s="13" t="n"/>
      <c r="AG890" s="13" t="n"/>
    </row>
    <row r="891">
      <c r="A891" s="9" t="inlineStr">
        <is>
          <t>21/22</t>
        </is>
      </c>
      <c r="B891" s="10" t="inlineStr">
        <is>
          <t xml:space="preserve"> Line</t>
        </is>
      </c>
      <c r="C891" s="11" t="inlineStr">
        <is>
          <t>Vision 98</t>
        </is>
      </c>
      <c r="D891" s="13" t="n">
        <v>186</v>
      </c>
      <c r="E891" s="11" t="inlineStr">
        <is>
          <t xml:space="preserve"> Unisex</t>
        </is>
      </c>
      <c r="F891" s="13" t="n">
        <v>186</v>
      </c>
      <c r="G891" s="13" t="n">
        <v>185.2</v>
      </c>
      <c r="H891" s="13" t="n">
        <v>112</v>
      </c>
      <c r="I891" s="13" t="n">
        <v>151</v>
      </c>
      <c r="J891" s="13" t="n">
        <v>130</v>
      </c>
      <c r="K891" s="13" t="n">
        <v>97</v>
      </c>
      <c r="L891" s="13" t="n">
        <v>117</v>
      </c>
      <c r="M891" s="13" t="n">
        <v>19.8</v>
      </c>
      <c r="N891" s="13" t="n">
        <v>1531</v>
      </c>
      <c r="O891" s="13" t="n">
        <v>1.29</v>
      </c>
      <c r="P891" s="13" t="n">
        <v>1982</v>
      </c>
      <c r="Q891" s="13" t="n">
        <v>202</v>
      </c>
      <c r="R891" s="13" t="n">
        <v>88</v>
      </c>
      <c r="S891" s="13" t="n">
        <v>52</v>
      </c>
      <c r="T891" s="13" t="n">
        <v>383</v>
      </c>
      <c r="U891" s="13" t="n">
        <v>35</v>
      </c>
      <c r="V891" s="13" t="n">
        <v>349</v>
      </c>
      <c r="W891" s="13" t="n">
        <v>0.665</v>
      </c>
      <c r="X891" s="13" t="n">
        <v>168</v>
      </c>
      <c r="Y891" s="13" t="n">
        <v>176</v>
      </c>
      <c r="Z891" s="13" t="n">
        <v>215</v>
      </c>
      <c r="AA891" s="13" t="n">
        <v>5</v>
      </c>
      <c r="AB891" s="13" t="n">
        <v>6.6</v>
      </c>
      <c r="AC891" s="11" t="inlineStr">
        <is>
          <t xml:space="preserve"> Touring</t>
        </is>
      </c>
      <c r="AD891" s="11" t="inlineStr">
        <is>
          <t xml:space="preserve"> Ultralight Touring</t>
        </is>
      </c>
      <c r="AE891" s="13" t="n"/>
      <c r="AF891" s="13" t="n"/>
      <c r="AG891" s="13" t="n"/>
    </row>
    <row r="892">
      <c r="A892" s="9" t="inlineStr">
        <is>
          <t>21/22</t>
        </is>
      </c>
      <c r="B892" s="10" t="inlineStr">
        <is>
          <t xml:space="preserve"> Nordica</t>
        </is>
      </c>
      <c r="C892" s="11" t="inlineStr">
        <is>
          <t>Belle 72 Ca</t>
        </is>
      </c>
      <c r="D892" s="13" t="n">
        <v>156</v>
      </c>
      <c r="E892" s="11" t="inlineStr">
        <is>
          <t xml:space="preserve"> Women's</t>
        </is>
      </c>
      <c r="F892" s="13" t="n">
        <v>156</v>
      </c>
      <c r="G892" s="13" t="n">
        <v>155.6</v>
      </c>
      <c r="H892" s="13" t="n">
        <v>133</v>
      </c>
      <c r="I892" s="13" t="n">
        <v>140</v>
      </c>
      <c r="J892" s="13" t="n">
        <v>119</v>
      </c>
      <c r="K892" s="13" t="n">
        <v>71</v>
      </c>
      <c r="L892" s="13" t="n">
        <v>98</v>
      </c>
      <c r="M892" s="13" t="n">
        <v>12.7</v>
      </c>
      <c r="N892" s="13" t="n">
        <v>1661</v>
      </c>
      <c r="O892" s="13" t="n">
        <v>0.8</v>
      </c>
      <c r="P892" s="13" t="n">
        <v>1327</v>
      </c>
      <c r="Q892" s="13" t="n">
        <v>156</v>
      </c>
      <c r="R892" s="13" t="n">
        <v>53</v>
      </c>
      <c r="S892" s="13" t="n">
        <v>36</v>
      </c>
      <c r="T892" s="13" t="n">
        <v>144</v>
      </c>
      <c r="U892" s="13" t="n">
        <v>9</v>
      </c>
      <c r="V892" s="13" t="n">
        <v>86</v>
      </c>
      <c r="W892" s="13" t="n">
        <v>0.246</v>
      </c>
      <c r="X892" s="13" t="n">
        <v>65</v>
      </c>
      <c r="Y892" s="13" t="n">
        <v>86</v>
      </c>
      <c r="Z892" s="13" t="n">
        <v>79</v>
      </c>
      <c r="AA892" s="13" t="n">
        <v>9</v>
      </c>
      <c r="AB892" s="13" t="n">
        <v>9.300000000000001</v>
      </c>
      <c r="AC892" s="11" t="inlineStr">
        <is>
          <t xml:space="preserve"> On-Piste Carving</t>
        </is>
      </c>
      <c r="AD892" s="13" t="n"/>
      <c r="AE892" s="13" t="n"/>
      <c r="AF892" s="13" t="n"/>
      <c r="AG892" s="13" t="n"/>
    </row>
    <row r="893">
      <c r="A893" s="9" t="inlineStr">
        <is>
          <t>21/22</t>
        </is>
      </c>
      <c r="B893" s="10" t="inlineStr">
        <is>
          <t xml:space="preserve"> Nordica</t>
        </is>
      </c>
      <c r="C893" s="11" t="inlineStr">
        <is>
          <t>Belle 72 Ca</t>
        </is>
      </c>
      <c r="D893" s="13" t="n">
        <v>162</v>
      </c>
      <c r="E893" s="11" t="inlineStr">
        <is>
          <t xml:space="preserve"> Women's</t>
        </is>
      </c>
      <c r="F893" s="13" t="n">
        <v>162</v>
      </c>
      <c r="G893" s="13" t="n">
        <v>161.3</v>
      </c>
      <c r="H893" s="13" t="n">
        <v>137</v>
      </c>
      <c r="I893" s="13" t="n">
        <v>146</v>
      </c>
      <c r="J893" s="13" t="n">
        <v>120</v>
      </c>
      <c r="K893" s="13" t="n">
        <v>71</v>
      </c>
      <c r="L893" s="13" t="n">
        <v>99</v>
      </c>
      <c r="M893" s="13" t="n">
        <v>13.5</v>
      </c>
      <c r="N893" s="13" t="n">
        <v>1813</v>
      </c>
      <c r="O893" s="13" t="n">
        <v>0.76</v>
      </c>
      <c r="P893" s="13" t="n">
        <v>1384</v>
      </c>
      <c r="Q893" s="13" t="n">
        <v>190</v>
      </c>
      <c r="R893" s="13" t="n">
        <v>63</v>
      </c>
      <c r="S893" s="13" t="n">
        <v>39</v>
      </c>
      <c r="T893" s="13" t="n">
        <v>164</v>
      </c>
      <c r="U893" s="13" t="n">
        <v>8</v>
      </c>
      <c r="V893" s="13" t="n">
        <v>84</v>
      </c>
      <c r="W893" s="13" t="n">
        <v>0.214</v>
      </c>
      <c r="X893" s="13" t="n">
        <v>64</v>
      </c>
      <c r="Y893" s="13" t="n">
        <v>86</v>
      </c>
      <c r="Z893" s="13" t="n">
        <v>99</v>
      </c>
      <c r="AA893" s="13" t="n">
        <v>8</v>
      </c>
      <c r="AB893" s="13" t="n">
        <v>9.1</v>
      </c>
      <c r="AC893" s="11" t="inlineStr">
        <is>
          <t xml:space="preserve"> On-Piste Carving</t>
        </is>
      </c>
      <c r="AD893" s="13" t="n"/>
      <c r="AE893" s="13" t="n"/>
      <c r="AF893" s="13" t="n"/>
      <c r="AG893" s="13" t="n"/>
    </row>
    <row r="894">
      <c r="A894" s="9" t="inlineStr">
        <is>
          <t>21/22</t>
        </is>
      </c>
      <c r="B894" s="10" t="inlineStr">
        <is>
          <t xml:space="preserve"> Nordica</t>
        </is>
      </c>
      <c r="C894" s="11" t="inlineStr">
        <is>
          <t>Belle 73</t>
        </is>
      </c>
      <c r="D894" s="13" t="n">
        <v>144</v>
      </c>
      <c r="E894" s="11" t="inlineStr">
        <is>
          <t xml:space="preserve"> Women's</t>
        </is>
      </c>
      <c r="F894" s="13" t="n">
        <v>144</v>
      </c>
      <c r="G894" s="13" t="n">
        <v>143.2</v>
      </c>
      <c r="H894" s="13" t="n">
        <v>119</v>
      </c>
      <c r="I894" s="13" t="n">
        <v>129</v>
      </c>
      <c r="J894" s="13" t="n">
        <v>119</v>
      </c>
      <c r="K894" s="13" t="n">
        <v>72</v>
      </c>
      <c r="L894" s="13" t="n">
        <v>96</v>
      </c>
      <c r="M894" s="13" t="n">
        <v>11.7</v>
      </c>
      <c r="N894" s="13" t="n">
        <v>1520</v>
      </c>
      <c r="O894" s="13" t="n">
        <v>0.8</v>
      </c>
      <c r="P894" s="13" t="n">
        <v>1224</v>
      </c>
      <c r="Q894" s="13" t="n">
        <v>131</v>
      </c>
      <c r="R894" s="13" t="n">
        <v>54</v>
      </c>
      <c r="S894" s="13" t="n">
        <v>38</v>
      </c>
      <c r="T894" s="13" t="n">
        <v>147</v>
      </c>
      <c r="U894" s="13" t="n">
        <v>9</v>
      </c>
      <c r="V894" s="13" t="n">
        <v>91</v>
      </c>
      <c r="W894" s="13" t="n">
        <v>0.248</v>
      </c>
      <c r="X894" s="13" t="n">
        <v>66</v>
      </c>
      <c r="Y894" s="13" t="n">
        <v>79</v>
      </c>
      <c r="Z894" s="13" t="n">
        <v>81</v>
      </c>
      <c r="AA894" s="13" t="n">
        <v>7</v>
      </c>
      <c r="AB894" s="13" t="n">
        <v>9.300000000000001</v>
      </c>
      <c r="AC894" s="11" t="inlineStr">
        <is>
          <t xml:space="preserve"> On-Piste All-Mountain</t>
        </is>
      </c>
      <c r="AD894" s="13" t="n"/>
      <c r="AE894" s="13" t="n"/>
      <c r="AF894" s="13" t="n"/>
      <c r="AG894" s="13" t="n"/>
    </row>
    <row r="895">
      <c r="A895" s="9" t="inlineStr">
        <is>
          <t>21/22</t>
        </is>
      </c>
      <c r="B895" s="10" t="inlineStr">
        <is>
          <t xml:space="preserve"> Nordica</t>
        </is>
      </c>
      <c r="C895" s="11" t="inlineStr">
        <is>
          <t>Belle 73</t>
        </is>
      </c>
      <c r="D895" s="13" t="n">
        <v>150</v>
      </c>
      <c r="E895" s="11" t="inlineStr">
        <is>
          <t xml:space="preserve"> Women's</t>
        </is>
      </c>
      <c r="F895" s="13" t="n">
        <v>150</v>
      </c>
      <c r="G895" s="13" t="n">
        <v>149.2</v>
      </c>
      <c r="H895" s="13" t="n">
        <v>127</v>
      </c>
      <c r="I895" s="13" t="n">
        <v>135</v>
      </c>
      <c r="J895" s="13" t="n">
        <v>121</v>
      </c>
      <c r="K895" s="13" t="n">
        <v>72</v>
      </c>
      <c r="L895" s="13" t="n">
        <v>98</v>
      </c>
      <c r="M895" s="13" t="n">
        <v>12.1</v>
      </c>
      <c r="N895" s="13" t="n">
        <v>1601</v>
      </c>
      <c r="O895" s="13" t="n">
        <v>0.8</v>
      </c>
      <c r="P895" s="13" t="n">
        <v>1287</v>
      </c>
      <c r="Q895" s="13" t="n">
        <v>141</v>
      </c>
      <c r="R895" s="13" t="n">
        <v>57</v>
      </c>
      <c r="S895" s="13" t="n">
        <v>36</v>
      </c>
      <c r="T895" s="13" t="n">
        <v>137</v>
      </c>
      <c r="U895" s="13" t="n">
        <v>9</v>
      </c>
      <c r="V895" s="13" t="n">
        <v>87</v>
      </c>
      <c r="W895" s="13" t="n">
        <v>0.255</v>
      </c>
      <c r="X895" s="13" t="n">
        <v>65</v>
      </c>
      <c r="Y895" s="13" t="n">
        <v>82</v>
      </c>
      <c r="Z895" s="13" t="n">
        <v>72</v>
      </c>
      <c r="AA895" s="13" t="n">
        <v>7</v>
      </c>
      <c r="AB895" s="13" t="n">
        <v>9.199999999999999</v>
      </c>
      <c r="AC895" s="11" t="inlineStr">
        <is>
          <t xml:space="preserve"> On-Piste Carving</t>
        </is>
      </c>
      <c r="AD895" s="13" t="n"/>
      <c r="AE895" s="13" t="n"/>
      <c r="AF895" s="13" t="n"/>
      <c r="AG895" s="13" t="n"/>
    </row>
    <row r="896">
      <c r="A896" s="9" t="inlineStr">
        <is>
          <t>21/22</t>
        </is>
      </c>
      <c r="B896" s="10" t="inlineStr">
        <is>
          <t xml:space="preserve"> Nordica</t>
        </is>
      </c>
      <c r="C896" s="11" t="inlineStr">
        <is>
          <t>Belle 73</t>
        </is>
      </c>
      <c r="D896" s="13" t="n">
        <v>156</v>
      </c>
      <c r="E896" s="11" t="inlineStr">
        <is>
          <t xml:space="preserve"> Women's</t>
        </is>
      </c>
      <c r="F896" s="13" t="n">
        <v>156</v>
      </c>
      <c r="G896" s="13" t="n">
        <v>155.2</v>
      </c>
      <c r="H896" s="13" t="n">
        <v>130</v>
      </c>
      <c r="I896" s="13" t="n">
        <v>141</v>
      </c>
      <c r="J896" s="13" t="n">
        <v>122</v>
      </c>
      <c r="K896" s="13" t="n">
        <v>73</v>
      </c>
      <c r="L896" s="13" t="n">
        <v>99</v>
      </c>
      <c r="M896" s="13" t="n">
        <v>12.6</v>
      </c>
      <c r="N896" s="13" t="n">
        <v>1691</v>
      </c>
      <c r="O896" s="13" t="n">
        <v>0.8</v>
      </c>
      <c r="P896" s="13" t="n">
        <v>1346</v>
      </c>
      <c r="Q896" s="13" t="n">
        <v>164</v>
      </c>
      <c r="R896" s="13" t="n">
        <v>65</v>
      </c>
      <c r="S896" s="13" t="n">
        <v>38</v>
      </c>
      <c r="T896" s="13" t="n">
        <v>159</v>
      </c>
      <c r="U896" s="13" t="n">
        <v>10</v>
      </c>
      <c r="V896" s="13" t="n">
        <v>94</v>
      </c>
      <c r="W896" s="13" t="n">
        <v>0.263</v>
      </c>
      <c r="X896" s="13" t="n">
        <v>64</v>
      </c>
      <c r="Y896" s="13" t="n">
        <v>82</v>
      </c>
      <c r="Z896" s="13" t="n">
        <v>95</v>
      </c>
      <c r="AA896" s="13" t="n">
        <v>5</v>
      </c>
      <c r="AB896" s="13" t="n">
        <v>9.1</v>
      </c>
      <c r="AC896" s="11" t="inlineStr">
        <is>
          <t xml:space="preserve"> Other</t>
        </is>
      </c>
      <c r="AD896" s="13" t="n"/>
      <c r="AE896" s="13" t="n"/>
      <c r="AF896" s="13" t="n"/>
      <c r="AG896" s="13" t="n"/>
    </row>
    <row r="897">
      <c r="A897" s="9" t="inlineStr">
        <is>
          <t>21/22</t>
        </is>
      </c>
      <c r="B897" s="10" t="inlineStr">
        <is>
          <t xml:space="preserve"> Nordica</t>
        </is>
      </c>
      <c r="C897" s="11" t="inlineStr">
        <is>
          <t>Belle 73</t>
        </is>
      </c>
      <c r="D897" s="13" t="n">
        <v>162</v>
      </c>
      <c r="E897" s="11" t="inlineStr">
        <is>
          <t xml:space="preserve"> Women's</t>
        </is>
      </c>
      <c r="F897" s="13" t="n">
        <v>162</v>
      </c>
      <c r="G897" s="13" t="n">
        <v>161.3</v>
      </c>
      <c r="H897" s="13" t="n">
        <v>138</v>
      </c>
      <c r="I897" s="13" t="n">
        <v>147</v>
      </c>
      <c r="J897" s="13" t="n">
        <v>123</v>
      </c>
      <c r="K897" s="13" t="n">
        <v>72</v>
      </c>
      <c r="L897" s="13" t="n">
        <v>100</v>
      </c>
      <c r="M897" s="13" t="n">
        <v>13.4</v>
      </c>
      <c r="N897" s="13" t="n">
        <v>1750</v>
      </c>
      <c r="O897" s="13" t="n">
        <v>0.8</v>
      </c>
      <c r="P897" s="13" t="n">
        <v>1404</v>
      </c>
      <c r="Q897" s="13" t="n">
        <v>191</v>
      </c>
      <c r="R897" s="13" t="n">
        <v>77</v>
      </c>
      <c r="S897" s="13" t="n">
        <v>37</v>
      </c>
      <c r="T897" s="13" t="n">
        <v>144</v>
      </c>
      <c r="U897" s="13" t="n">
        <v>9</v>
      </c>
      <c r="V897" s="13" t="n">
        <v>88</v>
      </c>
      <c r="W897" s="13" t="n">
        <v>0.251</v>
      </c>
      <c r="X897" s="13" t="n">
        <v>66</v>
      </c>
      <c r="Y897" s="13" t="n">
        <v>79</v>
      </c>
      <c r="Z897" s="13" t="n">
        <v>78</v>
      </c>
      <c r="AA897" s="13" t="n">
        <v>7</v>
      </c>
      <c r="AB897" s="13" t="n">
        <v>9</v>
      </c>
      <c r="AC897" s="11" t="inlineStr">
        <is>
          <t xml:space="preserve"> On-Piste Carving</t>
        </is>
      </c>
      <c r="AD897" s="13" t="n"/>
      <c r="AE897" s="13" t="n"/>
      <c r="AF897" s="13" t="n"/>
      <c r="AG897" s="13" t="n"/>
    </row>
    <row r="898">
      <c r="A898" s="9" t="inlineStr">
        <is>
          <t>21/22</t>
        </is>
      </c>
      <c r="B898" s="10" t="inlineStr">
        <is>
          <t xml:space="preserve"> Nordica</t>
        </is>
      </c>
      <c r="C898" s="11" t="inlineStr">
        <is>
          <t xml:space="preserve"> Dobermann SLR Rb</t>
        </is>
      </c>
      <c r="D898" s="13" t="n">
        <v>165</v>
      </c>
      <c r="E898" s="11" t="inlineStr">
        <is>
          <t xml:space="preserve"> Unisex</t>
        </is>
      </c>
      <c r="F898" s="13" t="n">
        <v>165</v>
      </c>
      <c r="G898" s="13" t="n">
        <v>165.6</v>
      </c>
      <c r="H898" s="13" t="n">
        <v>145</v>
      </c>
      <c r="I898" s="13" t="n">
        <v>152</v>
      </c>
      <c r="J898" s="13" t="n">
        <v>120</v>
      </c>
      <c r="K898" s="13" t="n">
        <v>68</v>
      </c>
      <c r="L898" s="13" t="n">
        <v>103</v>
      </c>
      <c r="M898" s="13" t="n">
        <v>13</v>
      </c>
      <c r="N898" s="13" t="n">
        <v>2021</v>
      </c>
      <c r="O898" s="13" t="n">
        <v>0.6899999999999999</v>
      </c>
      <c r="P898" s="13" t="n">
        <v>1400</v>
      </c>
      <c r="Q898" s="13" t="n">
        <v>207</v>
      </c>
      <c r="R898" s="13" t="n">
        <v>101</v>
      </c>
      <c r="S898" s="13" t="n">
        <v>43</v>
      </c>
      <c r="T898" s="13" t="n">
        <v>144</v>
      </c>
      <c r="U898" s="13" t="n">
        <v>14</v>
      </c>
      <c r="V898" s="13" t="n">
        <v>67</v>
      </c>
      <c r="W898" s="13" t="n">
        <v>0.335</v>
      </c>
      <c r="X898" s="13" t="n">
        <v>63</v>
      </c>
      <c r="Y898" s="13" t="n">
        <v>70</v>
      </c>
      <c r="Z898" s="13" t="n">
        <v>81</v>
      </c>
      <c r="AA898" s="13" t="n">
        <v>11</v>
      </c>
      <c r="AB898" s="13" t="n">
        <v>11.4</v>
      </c>
      <c r="AC898" s="11" t="inlineStr">
        <is>
          <t xml:space="preserve"> On-Piste Carving</t>
        </is>
      </c>
      <c r="AD898" s="13" t="n"/>
      <c r="AE898" s="13" t="n"/>
      <c r="AF898" s="13" t="n"/>
      <c r="AG898" s="13" t="n"/>
    </row>
    <row r="899">
      <c r="A899" s="9" t="inlineStr">
        <is>
          <t>21/22</t>
        </is>
      </c>
      <c r="B899" s="10" t="inlineStr">
        <is>
          <t xml:space="preserve"> Nordica</t>
        </is>
      </c>
      <c r="C899" s="11" t="inlineStr">
        <is>
          <t xml:space="preserve"> Dobermann SLR Rb</t>
        </is>
      </c>
      <c r="D899" s="13" t="n">
        <v>170</v>
      </c>
      <c r="E899" s="11" t="inlineStr">
        <is>
          <t xml:space="preserve"> Unisex</t>
        </is>
      </c>
      <c r="F899" s="13" t="n">
        <v>170</v>
      </c>
      <c r="G899" s="13" t="n">
        <v>168.9</v>
      </c>
      <c r="H899" s="13" t="n">
        <v>149</v>
      </c>
      <c r="I899" s="13" t="n">
        <v>157</v>
      </c>
      <c r="J899" s="13" t="n">
        <v>120</v>
      </c>
      <c r="K899" s="13" t="n">
        <v>69</v>
      </c>
      <c r="L899" s="13" t="n">
        <v>103</v>
      </c>
      <c r="M899" s="13" t="n">
        <v>14</v>
      </c>
      <c r="N899" s="13" t="n">
        <v>2053</v>
      </c>
      <c r="O899" s="13" t="n">
        <v>0.7</v>
      </c>
      <c r="P899" s="13" t="n">
        <v>1428</v>
      </c>
      <c r="Q899" s="13" t="n">
        <v>242</v>
      </c>
      <c r="R899" s="13" t="n">
        <v>109</v>
      </c>
      <c r="S899" s="13" t="n">
        <v>45</v>
      </c>
      <c r="T899" s="13" t="n">
        <v>150</v>
      </c>
      <c r="U899" s="13" t="n">
        <v>6</v>
      </c>
      <c r="V899" s="13" t="n">
        <v>49</v>
      </c>
      <c r="W899" s="13" t="n">
        <v>0.127</v>
      </c>
      <c r="X899" s="13" t="n">
        <v>62</v>
      </c>
      <c r="Y899" s="13" t="n">
        <v>55</v>
      </c>
      <c r="Z899" s="13" t="n">
        <v>89</v>
      </c>
      <c r="AA899" s="13" t="n">
        <v>7</v>
      </c>
      <c r="AB899" s="13" t="n">
        <v>12.1</v>
      </c>
      <c r="AC899" s="11" t="inlineStr">
        <is>
          <t xml:space="preserve"> On-Piste Carving</t>
        </is>
      </c>
      <c r="AD899" s="13" t="n"/>
      <c r="AE899" s="13" t="n"/>
      <c r="AF899" s="13" t="n"/>
      <c r="AG899" s="13" t="n"/>
    </row>
    <row r="900">
      <c r="A900" s="9" t="inlineStr">
        <is>
          <t>21/22</t>
        </is>
      </c>
      <c r="B900" s="10" t="inlineStr">
        <is>
          <t xml:space="preserve"> Nordica</t>
        </is>
      </c>
      <c r="C900" s="11" t="inlineStr">
        <is>
          <t>Enforcer 100</t>
        </is>
      </c>
      <c r="D900" s="13" t="n">
        <v>172</v>
      </c>
      <c r="E900" s="11" t="inlineStr">
        <is>
          <t xml:space="preserve"> Unisex</t>
        </is>
      </c>
      <c r="F900" s="13" t="n">
        <v>172</v>
      </c>
      <c r="G900" s="13" t="n">
        <v>171.3</v>
      </c>
      <c r="H900" s="13" t="n">
        <v>125</v>
      </c>
      <c r="I900" s="13" t="n">
        <v>142</v>
      </c>
      <c r="J900" s="13" t="n">
        <v>132</v>
      </c>
      <c r="K900" s="13" t="n">
        <v>99</v>
      </c>
      <c r="L900" s="13" t="n">
        <v>119</v>
      </c>
      <c r="M900" s="13" t="n">
        <v>16.8</v>
      </c>
      <c r="N900" s="13" t="n">
        <v>2123</v>
      </c>
      <c r="O900" s="13" t="n">
        <v>0.89</v>
      </c>
      <c r="P900" s="13" t="n">
        <v>1882</v>
      </c>
      <c r="Q900" s="13" t="n">
        <v>212</v>
      </c>
      <c r="R900" s="13" t="n">
        <v>137</v>
      </c>
      <c r="S900" s="13" t="n">
        <v>50</v>
      </c>
      <c r="T900" s="13" t="n">
        <v>273</v>
      </c>
      <c r="U900" s="13" t="n">
        <v>12</v>
      </c>
      <c r="V900" s="13" t="n">
        <v>193</v>
      </c>
      <c r="W900" s="13" t="n">
        <v>0.238</v>
      </c>
      <c r="X900" s="13" t="n">
        <v>134</v>
      </c>
      <c r="Y900" s="13" t="n">
        <v>158</v>
      </c>
      <c r="Z900" s="13" t="n">
        <v>138</v>
      </c>
      <c r="AA900" s="13" t="n">
        <v>7</v>
      </c>
      <c r="AB900" s="13" t="n">
        <v>8.9</v>
      </c>
      <c r="AC900" s="11" t="inlineStr">
        <is>
          <t xml:space="preserve"> Resort Freeride</t>
        </is>
      </c>
      <c r="AD900" s="13" t="n"/>
      <c r="AE900" s="13" t="n"/>
      <c r="AF900" s="13" t="n"/>
      <c r="AG900" s="13" t="n"/>
    </row>
    <row r="901">
      <c r="A901" s="9" t="inlineStr">
        <is>
          <t>21/22</t>
        </is>
      </c>
      <c r="B901" s="10" t="inlineStr">
        <is>
          <t xml:space="preserve"> Nordica</t>
        </is>
      </c>
      <c r="C901" s="11" t="inlineStr">
        <is>
          <t>Enforcer 100</t>
        </is>
      </c>
      <c r="D901" s="13" t="n">
        <v>179</v>
      </c>
      <c r="E901" s="11" t="inlineStr">
        <is>
          <t xml:space="preserve"> Unisex</t>
        </is>
      </c>
      <c r="F901" s="13" t="n">
        <v>179</v>
      </c>
      <c r="G901" s="13" t="n">
        <v>178.5</v>
      </c>
      <c r="H901" s="13" t="n">
        <v>131</v>
      </c>
      <c r="I901" s="13" t="n">
        <v>148</v>
      </c>
      <c r="J901" s="13" t="n">
        <v>134</v>
      </c>
      <c r="K901" s="13" t="n">
        <v>100</v>
      </c>
      <c r="L901" s="13" t="n">
        <v>120</v>
      </c>
      <c r="M901" s="13" t="n">
        <v>17.3</v>
      </c>
      <c r="N901" s="13" t="n">
        <v>2178</v>
      </c>
      <c r="O901" s="13" t="n">
        <v>0.91</v>
      </c>
      <c r="P901" s="13" t="n">
        <v>1975</v>
      </c>
      <c r="Q901" s="13" t="n">
        <v>226</v>
      </c>
      <c r="R901" s="13" t="n">
        <v>145</v>
      </c>
      <c r="S901" s="13" t="n">
        <v>54</v>
      </c>
      <c r="T901" s="13" t="n">
        <v>275</v>
      </c>
      <c r="U901" s="13" t="n">
        <v>16</v>
      </c>
      <c r="V901" s="13" t="n">
        <v>198</v>
      </c>
      <c r="W901" s="13" t="n">
        <v>0.297</v>
      </c>
      <c r="X901" s="13" t="n">
        <v>146</v>
      </c>
      <c r="Y901" s="13" t="n">
        <v>162</v>
      </c>
      <c r="Z901" s="13" t="n">
        <v>129</v>
      </c>
      <c r="AA901" s="13" t="n">
        <v>9</v>
      </c>
      <c r="AB901" s="13" t="n">
        <v>8.4</v>
      </c>
      <c r="AC901" s="11" t="inlineStr">
        <is>
          <t xml:space="preserve"> Resort Freeride</t>
        </is>
      </c>
      <c r="AD901" s="13" t="n"/>
      <c r="AE901" s="13" t="n"/>
      <c r="AF901" s="13" t="n"/>
      <c r="AG901" s="13" t="n"/>
    </row>
    <row r="902">
      <c r="A902" s="9" t="inlineStr">
        <is>
          <t>21/22</t>
        </is>
      </c>
      <c r="B902" s="10" t="inlineStr">
        <is>
          <t xml:space="preserve"> Nordica</t>
        </is>
      </c>
      <c r="C902" s="11" t="inlineStr">
        <is>
          <t>Enforcer 100</t>
        </is>
      </c>
      <c r="D902" s="13" t="n">
        <v>186</v>
      </c>
      <c r="E902" s="11" t="inlineStr">
        <is>
          <t xml:space="preserve"> Unisex</t>
        </is>
      </c>
      <c r="F902" s="13" t="n">
        <v>186</v>
      </c>
      <c r="G902" s="13" t="n">
        <v>185.3</v>
      </c>
      <c r="H902" s="13" t="n">
        <v>136</v>
      </c>
      <c r="I902" s="13" t="n">
        <v>154</v>
      </c>
      <c r="J902" s="13" t="n">
        <v>134</v>
      </c>
      <c r="K902" s="13" t="n">
        <v>99</v>
      </c>
      <c r="L902" s="13" t="n">
        <v>120</v>
      </c>
      <c r="M902" s="13" t="n">
        <v>18.3</v>
      </c>
      <c r="N902" s="13" t="n">
        <v>2347</v>
      </c>
      <c r="O902" s="13" t="n">
        <v>0.87</v>
      </c>
      <c r="P902" s="13" t="n">
        <v>2048</v>
      </c>
      <c r="Q902" s="13" t="n">
        <v>263</v>
      </c>
      <c r="R902" s="13" t="n">
        <v>167</v>
      </c>
      <c r="S902" s="13" t="n">
        <v>49</v>
      </c>
      <c r="T902" s="13" t="n">
        <v>284</v>
      </c>
      <c r="U902" s="13" t="n">
        <v>14</v>
      </c>
      <c r="V902" s="13" t="n">
        <v>209</v>
      </c>
      <c r="W902" s="13" t="n">
        <v>0.291</v>
      </c>
      <c r="X902" s="13" t="n">
        <v>143</v>
      </c>
      <c r="Y902" s="13" t="n">
        <v>169</v>
      </c>
      <c r="Z902" s="13" t="n">
        <v>141</v>
      </c>
      <c r="AA902" s="13" t="n">
        <v>7</v>
      </c>
      <c r="AB902" s="13" t="n">
        <v>8.800000000000001</v>
      </c>
      <c r="AC902" s="11" t="inlineStr">
        <is>
          <t xml:space="preserve"> Resort Freeride</t>
        </is>
      </c>
      <c r="AD902" s="13" t="n"/>
      <c r="AE902" s="13" t="n"/>
      <c r="AF902" s="13" t="n"/>
      <c r="AG902" s="13" t="n"/>
    </row>
    <row r="903">
      <c r="A903" s="9" t="inlineStr">
        <is>
          <t>21/22</t>
        </is>
      </c>
      <c r="B903" s="10" t="inlineStr">
        <is>
          <t xml:space="preserve"> Nordica</t>
        </is>
      </c>
      <c r="C903" s="11" t="inlineStr">
        <is>
          <t>Enforcer 104 Free</t>
        </is>
      </c>
      <c r="D903" s="13" t="n">
        <v>165</v>
      </c>
      <c r="E903" s="11" t="inlineStr">
        <is>
          <t xml:space="preserve"> Unisex</t>
        </is>
      </c>
      <c r="F903" s="13" t="n">
        <v>165</v>
      </c>
      <c r="G903" s="13" t="n">
        <v>164.2</v>
      </c>
      <c r="H903" s="13" t="n">
        <v>114</v>
      </c>
      <c r="I903" s="13" t="n">
        <v>135</v>
      </c>
      <c r="J903" s="13" t="n">
        <v>133</v>
      </c>
      <c r="K903" s="13" t="n">
        <v>103</v>
      </c>
      <c r="L903" s="13" t="n">
        <v>123</v>
      </c>
      <c r="M903" s="13" t="n">
        <v>16.2</v>
      </c>
      <c r="N903" s="13" t="n">
        <v>1945</v>
      </c>
      <c r="O903" s="13" t="n">
        <v>0.95</v>
      </c>
      <c r="P903" s="13" t="n">
        <v>1851</v>
      </c>
      <c r="Q903" s="13" t="n">
        <v>182</v>
      </c>
      <c r="R903" s="13" t="n">
        <v>130</v>
      </c>
      <c r="S903" s="13" t="n">
        <v>47</v>
      </c>
      <c r="T903" s="13" t="n">
        <v>280</v>
      </c>
      <c r="U903" s="13" t="n">
        <v>28</v>
      </c>
      <c r="V903" s="13" t="n">
        <v>220</v>
      </c>
      <c r="W903" s="13" t="n">
        <v>0.596</v>
      </c>
      <c r="X903" s="13" t="n">
        <v>146</v>
      </c>
      <c r="Y903" s="13" t="n">
        <v>145</v>
      </c>
      <c r="Z903" s="13" t="n">
        <v>134</v>
      </c>
      <c r="AA903" s="13" t="n">
        <v>9</v>
      </c>
      <c r="AB903" s="13" t="n">
        <v>8.4</v>
      </c>
      <c r="AC903" s="11" t="inlineStr">
        <is>
          <t xml:space="preserve"> Resort Freeride</t>
        </is>
      </c>
      <c r="AD903" s="11" t="inlineStr">
        <is>
          <t xml:space="preserve"> Powder</t>
        </is>
      </c>
      <c r="AE903" s="13" t="n"/>
      <c r="AF903" s="13" t="n"/>
      <c r="AG903" s="13" t="n"/>
    </row>
    <row r="904">
      <c r="A904" s="9" t="inlineStr">
        <is>
          <t>21/22</t>
        </is>
      </c>
      <c r="B904" s="10" t="inlineStr">
        <is>
          <t xml:space="preserve"> Nordica</t>
        </is>
      </c>
      <c r="C904" s="11" t="inlineStr">
        <is>
          <t>Enforcer 104 Free</t>
        </is>
      </c>
      <c r="D904" s="13" t="n">
        <v>172</v>
      </c>
      <c r="E904" s="11" t="inlineStr">
        <is>
          <t xml:space="preserve"> Unisex</t>
        </is>
      </c>
      <c r="F904" s="13" t="n">
        <v>172</v>
      </c>
      <c r="G904" s="13" t="n">
        <v>171.4</v>
      </c>
      <c r="H904" s="13" t="n">
        <v>119</v>
      </c>
      <c r="I904" s="13" t="n">
        <v>140</v>
      </c>
      <c r="J904" s="13" t="n">
        <v>135</v>
      </c>
      <c r="K904" s="13" t="n">
        <v>104</v>
      </c>
      <c r="L904" s="13" t="n">
        <v>125</v>
      </c>
      <c r="M904" s="13" t="n">
        <v>16.4</v>
      </c>
      <c r="N904" s="13" t="n">
        <v>2045</v>
      </c>
      <c r="O904" s="13" t="n">
        <v>0.96</v>
      </c>
      <c r="P904" s="13" t="n">
        <v>1954</v>
      </c>
      <c r="Q904" s="13" t="n">
        <v>203</v>
      </c>
      <c r="R904" s="13" t="n">
        <v>141</v>
      </c>
      <c r="S904" s="13" t="n">
        <v>52</v>
      </c>
      <c r="T904" s="13" t="n">
        <v>293</v>
      </c>
      <c r="U904" s="13" t="n">
        <v>32</v>
      </c>
      <c r="V904" s="13" t="n">
        <v>234</v>
      </c>
      <c r="W904" s="13" t="n">
        <v>0.621</v>
      </c>
      <c r="X904" s="13" t="n">
        <v>151</v>
      </c>
      <c r="Y904" s="13" t="n">
        <v>164</v>
      </c>
      <c r="Z904" s="13" t="n">
        <v>142</v>
      </c>
      <c r="AA904" s="13" t="n">
        <v>7</v>
      </c>
      <c r="AB904" s="13" t="n">
        <v>8.800000000000001</v>
      </c>
      <c r="AC904" s="11" t="inlineStr">
        <is>
          <t xml:space="preserve"> Resort Freeride</t>
        </is>
      </c>
      <c r="AD904" s="11" t="inlineStr">
        <is>
          <t xml:space="preserve"> Powder</t>
        </is>
      </c>
      <c r="AE904" s="13" t="n"/>
      <c r="AF904" s="13" t="n"/>
      <c r="AG904" s="13" t="n"/>
    </row>
    <row r="905">
      <c r="A905" s="9" t="inlineStr">
        <is>
          <t>21/22</t>
        </is>
      </c>
      <c r="B905" s="10" t="inlineStr">
        <is>
          <t xml:space="preserve"> Nordica</t>
        </is>
      </c>
      <c r="C905" s="11" t="inlineStr">
        <is>
          <t>Enforcer 104 Free</t>
        </is>
      </c>
      <c r="D905" s="13" t="n">
        <v>179</v>
      </c>
      <c r="E905" s="11" t="inlineStr">
        <is>
          <t xml:space="preserve"> Unisex</t>
        </is>
      </c>
      <c r="F905" s="13" t="n">
        <v>179</v>
      </c>
      <c r="G905" s="13" t="n">
        <v>178</v>
      </c>
      <c r="H905" s="13" t="n">
        <v>123</v>
      </c>
      <c r="I905" s="13" t="n">
        <v>148</v>
      </c>
      <c r="J905" s="13" t="n">
        <v>135</v>
      </c>
      <c r="K905" s="13" t="n">
        <v>103</v>
      </c>
      <c r="L905" s="13" t="n">
        <v>126</v>
      </c>
      <c r="M905" s="13" t="n">
        <v>17.3</v>
      </c>
      <c r="N905" s="13" t="n">
        <v>2115</v>
      </c>
      <c r="O905" s="13" t="n">
        <v>0.96</v>
      </c>
      <c r="P905" s="13" t="n">
        <v>2030</v>
      </c>
      <c r="Q905" s="13" t="n">
        <v>209</v>
      </c>
      <c r="R905" s="13" t="n">
        <v>131</v>
      </c>
      <c r="S905" s="13" t="n">
        <v>53</v>
      </c>
      <c r="T905" s="13" t="n">
        <v>304</v>
      </c>
      <c r="U905" s="13" t="n">
        <v>36</v>
      </c>
      <c r="V905" s="13" t="n">
        <v>248</v>
      </c>
      <c r="W905" s="13" t="n">
        <v>0.669</v>
      </c>
      <c r="X905" s="13" t="n">
        <v>150</v>
      </c>
      <c r="Y905" s="13" t="n">
        <v>148</v>
      </c>
      <c r="Z905" s="13" t="n">
        <v>155</v>
      </c>
      <c r="AA905" s="13" t="n">
        <v>7</v>
      </c>
      <c r="AB905" s="13" t="n">
        <v>9</v>
      </c>
      <c r="AC905" s="11" t="inlineStr">
        <is>
          <t xml:space="preserve"> Resort Freeride</t>
        </is>
      </c>
      <c r="AD905" s="11" t="inlineStr">
        <is>
          <t xml:space="preserve"> Powder</t>
        </is>
      </c>
      <c r="AE905" s="13" t="n"/>
      <c r="AF905" s="13" t="n"/>
      <c r="AG905" s="13" t="n"/>
    </row>
    <row r="906">
      <c r="A906" s="9" t="inlineStr">
        <is>
          <t>21/22</t>
        </is>
      </c>
      <c r="B906" s="10" t="inlineStr">
        <is>
          <t xml:space="preserve"> Nordica</t>
        </is>
      </c>
      <c r="C906" s="11" t="inlineStr">
        <is>
          <t>Enforcer 104 Free</t>
        </is>
      </c>
      <c r="D906" s="13" t="n">
        <v>186</v>
      </c>
      <c r="E906" s="11" t="inlineStr">
        <is>
          <t xml:space="preserve"> Unisex</t>
        </is>
      </c>
      <c r="F906" s="13" t="n">
        <v>186</v>
      </c>
      <c r="G906" s="13" t="n">
        <v>184.9</v>
      </c>
      <c r="H906" s="13" t="n">
        <v>127</v>
      </c>
      <c r="I906" s="13" t="n">
        <v>154</v>
      </c>
      <c r="J906" s="13" t="n">
        <v>136</v>
      </c>
      <c r="K906" s="13" t="n">
        <v>103</v>
      </c>
      <c r="L906" s="13" t="n">
        <v>126</v>
      </c>
      <c r="M906" s="13" t="n">
        <v>18.4</v>
      </c>
      <c r="N906" s="13" t="n">
        <v>2246</v>
      </c>
      <c r="O906" s="13" t="n">
        <v>0.9399999999999999</v>
      </c>
      <c r="P906" s="13" t="n">
        <v>2117</v>
      </c>
      <c r="Q906" s="13" t="n">
        <v>231</v>
      </c>
      <c r="R906" s="13" t="n">
        <v>156</v>
      </c>
      <c r="S906" s="13" t="n">
        <v>56</v>
      </c>
      <c r="T906" s="13" t="n">
        <v>314</v>
      </c>
      <c r="U906" s="13" t="n">
        <v>39</v>
      </c>
      <c r="V906" s="13" t="n">
        <v>262</v>
      </c>
      <c r="W906" s="13" t="n">
        <v>0.6909999999999999</v>
      </c>
      <c r="X906" s="13" t="n">
        <v>162</v>
      </c>
      <c r="Y906" s="13" t="n">
        <v>151</v>
      </c>
      <c r="Z906" s="13" t="n">
        <v>151</v>
      </c>
      <c r="AA906" s="13" t="n">
        <v>7</v>
      </c>
      <c r="AB906" s="13" t="n">
        <v>9.199999999999999</v>
      </c>
      <c r="AC906" s="11" t="inlineStr">
        <is>
          <t xml:space="preserve"> Resort Freeride</t>
        </is>
      </c>
      <c r="AD906" s="11" t="inlineStr">
        <is>
          <t xml:space="preserve"> Powder</t>
        </is>
      </c>
      <c r="AE906" s="13" t="n"/>
      <c r="AF906" s="13" t="n"/>
      <c r="AG906" s="13" t="n"/>
    </row>
    <row r="907">
      <c r="A907" s="9" t="inlineStr">
        <is>
          <t>21/22</t>
        </is>
      </c>
      <c r="B907" s="10" t="inlineStr">
        <is>
          <t xml:space="preserve"> Nordica</t>
        </is>
      </c>
      <c r="C907" s="11" t="inlineStr">
        <is>
          <t>Enforcer 104 Free</t>
        </is>
      </c>
      <c r="D907" s="13" t="n">
        <v>191</v>
      </c>
      <c r="E907" s="11" t="inlineStr">
        <is>
          <t xml:space="preserve"> Unisex</t>
        </is>
      </c>
      <c r="F907" s="13" t="n">
        <v>191</v>
      </c>
      <c r="G907" s="13" t="n">
        <v>189.9</v>
      </c>
      <c r="H907" s="13" t="n">
        <v>132</v>
      </c>
      <c r="I907" s="13" t="n">
        <v>158</v>
      </c>
      <c r="J907" s="13" t="n">
        <v>135</v>
      </c>
      <c r="K907" s="13" t="n">
        <v>103</v>
      </c>
      <c r="L907" s="13" t="n">
        <v>126</v>
      </c>
      <c r="M907" s="13" t="n">
        <v>19.8</v>
      </c>
      <c r="N907" s="13" t="n">
        <v>2364</v>
      </c>
      <c r="O907" s="13" t="n">
        <v>0.92</v>
      </c>
      <c r="P907" s="13" t="n">
        <v>2165</v>
      </c>
      <c r="Q907" s="13" t="n">
        <v>274</v>
      </c>
      <c r="R907" s="13" t="n">
        <v>182</v>
      </c>
      <c r="S907" s="13" t="n">
        <v>62</v>
      </c>
      <c r="T907" s="13" t="n">
        <v>328</v>
      </c>
      <c r="U907" s="13" t="n">
        <v>35</v>
      </c>
      <c r="V907" s="13" t="n">
        <v>247</v>
      </c>
      <c r="W907" s="13" t="n">
        <v>0.5659999999999999</v>
      </c>
      <c r="X907" s="13" t="n">
        <v>167</v>
      </c>
      <c r="Y907" s="13" t="n">
        <v>155</v>
      </c>
      <c r="Z907" s="13" t="n">
        <v>160</v>
      </c>
      <c r="AA907" s="13" t="n">
        <v>10</v>
      </c>
      <c r="AB907" s="13" t="n">
        <v>9.1</v>
      </c>
      <c r="AC907" s="11" t="inlineStr">
        <is>
          <t xml:space="preserve"> Resort Freeride</t>
        </is>
      </c>
      <c r="AD907" s="11" t="inlineStr">
        <is>
          <t xml:space="preserve"> Powder</t>
        </is>
      </c>
      <c r="AE907" s="13" t="n"/>
      <c r="AF907" s="13" t="n"/>
      <c r="AG907" s="13" t="n"/>
    </row>
    <row r="908">
      <c r="A908" s="9" t="inlineStr">
        <is>
          <t>21/22</t>
        </is>
      </c>
      <c r="B908" s="10" t="inlineStr">
        <is>
          <t xml:space="preserve"> Nordica</t>
        </is>
      </c>
      <c r="C908" s="11" t="inlineStr">
        <is>
          <t>Enforcer 110 Free</t>
        </is>
      </c>
      <c r="D908" s="13" t="n">
        <v>169</v>
      </c>
      <c r="E908" s="11" t="inlineStr">
        <is>
          <t xml:space="preserve"> Unisex</t>
        </is>
      </c>
      <c r="F908" s="13" t="n">
        <v>169</v>
      </c>
      <c r="G908" s="13" t="n">
        <v>168.4</v>
      </c>
      <c r="H908" s="13" t="n">
        <v>113</v>
      </c>
      <c r="I908" s="13" t="n">
        <v>137</v>
      </c>
      <c r="J908" s="13" t="n">
        <v>139</v>
      </c>
      <c r="K908" s="13" t="n">
        <v>109</v>
      </c>
      <c r="L908" s="13" t="n">
        <v>129</v>
      </c>
      <c r="M908" s="13" t="n">
        <v>16.1</v>
      </c>
      <c r="N908" s="13" t="n">
        <v>2165</v>
      </c>
      <c r="O908" s="13" t="n">
        <v>0.92</v>
      </c>
      <c r="P908" s="13" t="n">
        <v>1995</v>
      </c>
      <c r="Q908" s="13" t="n">
        <v>223</v>
      </c>
      <c r="R908" s="13" t="n">
        <v>152</v>
      </c>
      <c r="S908" s="13" t="n">
        <v>55</v>
      </c>
      <c r="T908" s="13" t="n">
        <v>302</v>
      </c>
      <c r="U908" s="13" t="n">
        <v>35</v>
      </c>
      <c r="V908" s="13" t="n">
        <v>250</v>
      </c>
      <c r="W908" s="13" t="n">
        <v>0.641</v>
      </c>
      <c r="X908" s="13" t="n">
        <v>156</v>
      </c>
      <c r="Y908" s="13" t="n">
        <v>157</v>
      </c>
      <c r="Z908" s="13" t="n">
        <v>146</v>
      </c>
      <c r="AA908" s="13" t="n">
        <v>8</v>
      </c>
      <c r="AB908" s="13" t="n">
        <v>8.9</v>
      </c>
      <c r="AC908" s="11" t="inlineStr">
        <is>
          <t xml:space="preserve"> Powder</t>
        </is>
      </c>
      <c r="AD908" s="13" t="n"/>
      <c r="AE908" s="13" t="n"/>
      <c r="AF908" s="13" t="n"/>
      <c r="AG908" s="13" t="n"/>
    </row>
    <row r="909">
      <c r="A909" s="9" t="inlineStr">
        <is>
          <t>21/22</t>
        </is>
      </c>
      <c r="B909" s="10" t="inlineStr">
        <is>
          <t xml:space="preserve"> Nordica</t>
        </is>
      </c>
      <c r="C909" s="11" t="inlineStr">
        <is>
          <t>Enforcer 110 Free</t>
        </is>
      </c>
      <c r="D909" s="13" t="n">
        <v>177</v>
      </c>
      <c r="E909" s="11" t="inlineStr">
        <is>
          <t xml:space="preserve"> Unisex</t>
        </is>
      </c>
      <c r="F909" s="13" t="n">
        <v>177</v>
      </c>
      <c r="G909" s="13" t="n">
        <v>176.4</v>
      </c>
      <c r="H909" s="13" t="n">
        <v>119</v>
      </c>
      <c r="I909" s="13" t="n">
        <v>145</v>
      </c>
      <c r="J909" s="13" t="n">
        <v>140</v>
      </c>
      <c r="K909" s="13" t="n">
        <v>109</v>
      </c>
      <c r="L909" s="13" t="n">
        <v>130</v>
      </c>
      <c r="M909" s="13" t="n">
        <v>16.9</v>
      </c>
      <c r="N909" s="13" t="n">
        <v>2155</v>
      </c>
      <c r="O909" s="13" t="n">
        <v>0.97</v>
      </c>
      <c r="P909" s="13" t="n">
        <v>2101</v>
      </c>
      <c r="Q909" s="13" t="n">
        <v>190</v>
      </c>
      <c r="R909" s="13" t="n">
        <v>139</v>
      </c>
      <c r="S909" s="13" t="n">
        <v>56</v>
      </c>
      <c r="T909" s="13" t="n">
        <v>314</v>
      </c>
      <c r="U909" s="13" t="n">
        <v>37</v>
      </c>
      <c r="V909" s="13" t="n">
        <v>257</v>
      </c>
      <c r="W909" s="13" t="n">
        <v>0.656</v>
      </c>
      <c r="X909" s="13" t="n">
        <v>159</v>
      </c>
      <c r="Y909" s="13" t="n">
        <v>152</v>
      </c>
      <c r="Z909" s="13" t="n">
        <v>155</v>
      </c>
      <c r="AA909" s="13" t="n">
        <v>7</v>
      </c>
      <c r="AB909" s="13" t="n">
        <v>8.4</v>
      </c>
      <c r="AC909" s="11" t="inlineStr">
        <is>
          <t xml:space="preserve"> Powder</t>
        </is>
      </c>
      <c r="AD909" s="13" t="n"/>
      <c r="AE909" s="13" t="n"/>
      <c r="AF909" s="13" t="n"/>
      <c r="AG909" s="13" t="n"/>
    </row>
    <row r="910">
      <c r="A910" s="9" t="inlineStr">
        <is>
          <t>21/22</t>
        </is>
      </c>
      <c r="B910" s="10" t="inlineStr">
        <is>
          <t xml:space="preserve"> Nordica</t>
        </is>
      </c>
      <c r="C910" s="11" t="inlineStr">
        <is>
          <t>Enforcer 110 Free</t>
        </is>
      </c>
      <c r="D910" s="13" t="n">
        <v>185</v>
      </c>
      <c r="E910" s="11" t="inlineStr">
        <is>
          <t xml:space="preserve"> Unisex</t>
        </is>
      </c>
      <c r="F910" s="13" t="n">
        <v>185</v>
      </c>
      <c r="G910" s="13" t="n">
        <v>184.1</v>
      </c>
      <c r="H910" s="13" t="n">
        <v>125</v>
      </c>
      <c r="I910" s="13" t="n">
        <v>151</v>
      </c>
      <c r="J910" s="13" t="n">
        <v>140</v>
      </c>
      <c r="K910" s="13" t="n">
        <v>109</v>
      </c>
      <c r="L910" s="13" t="n">
        <v>131</v>
      </c>
      <c r="M910" s="13" t="n">
        <v>18.8</v>
      </c>
      <c r="N910" s="13" t="n">
        <v>2292</v>
      </c>
      <c r="O910" s="13" t="n">
        <v>0.96</v>
      </c>
      <c r="P910" s="13" t="n">
        <v>2194</v>
      </c>
      <c r="Q910" s="13" t="n">
        <v>209</v>
      </c>
      <c r="R910" s="13" t="n">
        <v>149</v>
      </c>
      <c r="S910" s="13" t="n">
        <v>58</v>
      </c>
      <c r="T910" s="13" t="n">
        <v>326</v>
      </c>
      <c r="U910" s="13" t="n">
        <v>39</v>
      </c>
      <c r="V910" s="13" t="n">
        <v>261</v>
      </c>
      <c r="W910" s="13" t="n">
        <v>0.66</v>
      </c>
      <c r="X910" s="13" t="n">
        <v>170</v>
      </c>
      <c r="Y910" s="13" t="n">
        <v>161</v>
      </c>
      <c r="Z910" s="13" t="n">
        <v>157</v>
      </c>
      <c r="AA910" s="13" t="n">
        <v>10</v>
      </c>
      <c r="AB910" s="13" t="n">
        <v>8.800000000000001</v>
      </c>
      <c r="AC910" s="11" t="inlineStr">
        <is>
          <t xml:space="preserve"> Powder</t>
        </is>
      </c>
      <c r="AD910" s="13" t="n"/>
      <c r="AE910" s="13" t="n"/>
      <c r="AF910" s="13" t="n"/>
      <c r="AG910" s="13" t="n"/>
    </row>
    <row r="911">
      <c r="A911" s="9" t="inlineStr">
        <is>
          <t>21/22</t>
        </is>
      </c>
      <c r="B911" s="10" t="inlineStr">
        <is>
          <t xml:space="preserve"> Nordica</t>
        </is>
      </c>
      <c r="C911" s="11" t="inlineStr">
        <is>
          <t>Enforcer 115 Free</t>
        </is>
      </c>
      <c r="D911" s="13" t="n">
        <v>191</v>
      </c>
      <c r="E911" s="11" t="inlineStr">
        <is>
          <t xml:space="preserve"> Unisex</t>
        </is>
      </c>
      <c r="F911" s="13" t="n">
        <v>191</v>
      </c>
      <c r="G911" s="13" t="n">
        <v>189.6</v>
      </c>
      <c r="H911" s="13" t="n">
        <v>128</v>
      </c>
      <c r="I911" s="13" t="n">
        <v>154</v>
      </c>
      <c r="J911" s="13" t="n">
        <v>144</v>
      </c>
      <c r="K911" s="13" t="n">
        <v>114</v>
      </c>
      <c r="L911" s="13" t="n">
        <v>134</v>
      </c>
      <c r="M911" s="13" t="n">
        <v>21.5</v>
      </c>
      <c r="N911" s="13" t="n">
        <v>2292</v>
      </c>
      <c r="O911" s="13" t="n">
        <v>1.02</v>
      </c>
      <c r="P911" s="13" t="n">
        <v>2347</v>
      </c>
      <c r="Q911" s="13" t="n">
        <v>283</v>
      </c>
      <c r="R911" s="13" t="n">
        <v>142</v>
      </c>
      <c r="S911" s="13" t="n">
        <v>67</v>
      </c>
      <c r="T911" s="13" t="n">
        <v>338</v>
      </c>
      <c r="U911" s="13" t="n">
        <v>42</v>
      </c>
      <c r="V911" s="13" t="n">
        <v>275</v>
      </c>
      <c r="W911" s="13" t="n">
        <v>0.632</v>
      </c>
      <c r="X911" s="13" t="n">
        <v>182</v>
      </c>
      <c r="Y911" s="13" t="n">
        <v>175</v>
      </c>
      <c r="Z911" s="13" t="n">
        <v>156</v>
      </c>
      <c r="AA911" s="13" t="n">
        <v>7</v>
      </c>
      <c r="AB911" s="13" t="n">
        <v>9.4</v>
      </c>
      <c r="AC911" s="11" t="inlineStr">
        <is>
          <t xml:space="preserve"> Powder</t>
        </is>
      </c>
      <c r="AD911" s="13" t="n"/>
      <c r="AE911" s="13" t="n"/>
      <c r="AF911" s="13" t="n"/>
      <c r="AG911" s="13" t="n"/>
    </row>
    <row r="912">
      <c r="A912" s="9" t="inlineStr">
        <is>
          <t>21/22</t>
        </is>
      </c>
      <c r="B912" s="10" t="inlineStr">
        <is>
          <t xml:space="preserve"> Nordica</t>
        </is>
      </c>
      <c r="C912" s="11" t="inlineStr">
        <is>
          <t>Enforcer 88</t>
        </is>
      </c>
      <c r="D912" s="13" t="n">
        <v>165</v>
      </c>
      <c r="E912" s="11" t="inlineStr">
        <is>
          <t xml:space="preserve"> Unisex</t>
        </is>
      </c>
      <c r="F912" s="13" t="n">
        <v>165</v>
      </c>
      <c r="G912" s="13" t="n">
        <v>164.5</v>
      </c>
      <c r="H912" s="13" t="n">
        <v>122</v>
      </c>
      <c r="I912" s="13" t="n">
        <v>137</v>
      </c>
      <c r="J912" s="13" t="n">
        <v>121</v>
      </c>
      <c r="K912" s="13" t="n">
        <v>87</v>
      </c>
      <c r="L912" s="13" t="n">
        <v>107</v>
      </c>
      <c r="M912" s="13" t="n">
        <v>15.3</v>
      </c>
      <c r="N912" s="13" t="n">
        <v>1820</v>
      </c>
      <c r="O912" s="13" t="n">
        <v>0.89</v>
      </c>
      <c r="P912" s="13" t="n">
        <v>1620</v>
      </c>
      <c r="Q912" s="13" t="n">
        <v>178</v>
      </c>
      <c r="R912" s="13" t="n">
        <v>121</v>
      </c>
      <c r="S912" s="13" t="n">
        <v>52</v>
      </c>
      <c r="T912" s="13" t="n">
        <v>258</v>
      </c>
      <c r="U912" s="13" t="n">
        <v>11</v>
      </c>
      <c r="V912" s="13" t="n">
        <v>166</v>
      </c>
      <c r="W912" s="13" t="n">
        <v>0.215</v>
      </c>
      <c r="X912" s="13" t="n">
        <v>128</v>
      </c>
      <c r="Y912" s="13" t="n">
        <v>148</v>
      </c>
      <c r="Z912" s="13" t="n">
        <v>130</v>
      </c>
      <c r="AA912" s="13" t="n">
        <v>8</v>
      </c>
      <c r="AB912" s="13" t="n">
        <v>8.699999999999999</v>
      </c>
      <c r="AC912" s="11" t="inlineStr">
        <is>
          <t xml:space="preserve"> Resort Freeride</t>
        </is>
      </c>
      <c r="AD912" s="13" t="n"/>
      <c r="AE912" s="13" t="n"/>
      <c r="AF912" s="13" t="n"/>
      <c r="AG912" s="13" t="n"/>
    </row>
    <row r="913">
      <c r="A913" s="9" t="inlineStr">
        <is>
          <t>21/22</t>
        </is>
      </c>
      <c r="B913" s="10" t="inlineStr">
        <is>
          <t xml:space="preserve"> Nordica</t>
        </is>
      </c>
      <c r="C913" s="11" t="inlineStr">
        <is>
          <t>Enforcer 88</t>
        </is>
      </c>
      <c r="D913" s="13" t="n">
        <v>172</v>
      </c>
      <c r="E913" s="11" t="inlineStr">
        <is>
          <t xml:space="preserve"> Unisex</t>
        </is>
      </c>
      <c r="F913" s="13" t="n">
        <v>172</v>
      </c>
      <c r="G913" s="13" t="n">
        <v>171.3</v>
      </c>
      <c r="H913" s="13" t="n">
        <v>128</v>
      </c>
      <c r="I913" s="13" t="n">
        <v>144</v>
      </c>
      <c r="J913" s="13" t="n">
        <v>123</v>
      </c>
      <c r="K913" s="13" t="n">
        <v>87</v>
      </c>
      <c r="L913" s="13" t="n">
        <v>109</v>
      </c>
      <c r="M913" s="13" t="n">
        <v>15.6</v>
      </c>
      <c r="N913" s="13" t="n">
        <v>1963</v>
      </c>
      <c r="O913" s="13" t="n">
        <v>0.87</v>
      </c>
      <c r="P913" s="13" t="n">
        <v>1704</v>
      </c>
      <c r="Q913" s="13" t="n">
        <v>200</v>
      </c>
      <c r="R913" s="13" t="n">
        <v>125</v>
      </c>
      <c r="S913" s="13" t="n">
        <v>54</v>
      </c>
      <c r="T913" s="13" t="n">
        <v>264</v>
      </c>
      <c r="U913" s="13" t="n">
        <v>9</v>
      </c>
      <c r="V913" s="13" t="n">
        <v>168</v>
      </c>
      <c r="W913" s="13" t="n">
        <v>0.176</v>
      </c>
      <c r="X913" s="13" t="n">
        <v>124</v>
      </c>
      <c r="Y913" s="13" t="n">
        <v>152</v>
      </c>
      <c r="Z913" s="13" t="n">
        <v>140</v>
      </c>
      <c r="AA913" s="13" t="n">
        <v>9</v>
      </c>
      <c r="AB913" s="13" t="n">
        <v>7.9</v>
      </c>
      <c r="AC913" s="11" t="inlineStr">
        <is>
          <t xml:space="preserve"> Resort Freeride</t>
        </is>
      </c>
      <c r="AD913" s="13" t="n"/>
      <c r="AE913" s="13" t="n"/>
      <c r="AF913" s="13" t="n"/>
      <c r="AG913" s="13" t="n"/>
    </row>
    <row r="914">
      <c r="A914" s="9" t="inlineStr">
        <is>
          <t>21/22</t>
        </is>
      </c>
      <c r="B914" s="10" t="inlineStr">
        <is>
          <t xml:space="preserve"> Nordica</t>
        </is>
      </c>
      <c r="C914" s="11" t="inlineStr">
        <is>
          <t>Enforcer 88</t>
        </is>
      </c>
      <c r="D914" s="13" t="n">
        <v>179</v>
      </c>
      <c r="E914" s="11" t="inlineStr">
        <is>
          <t xml:space="preserve"> Unisex</t>
        </is>
      </c>
      <c r="F914" s="13" t="n">
        <v>179</v>
      </c>
      <c r="G914" s="13" t="n">
        <v>178.5</v>
      </c>
      <c r="H914" s="13" t="n">
        <v>133</v>
      </c>
      <c r="I914" s="13" t="n">
        <v>150</v>
      </c>
      <c r="J914" s="13" t="n">
        <v>123</v>
      </c>
      <c r="K914" s="13" t="n">
        <v>87</v>
      </c>
      <c r="L914" s="13" t="n">
        <v>109</v>
      </c>
      <c r="M914" s="13" t="n">
        <v>16.7</v>
      </c>
      <c r="N914" s="13" t="n">
        <v>2013</v>
      </c>
      <c r="O914" s="13" t="n">
        <v>0.88</v>
      </c>
      <c r="P914" s="13" t="n">
        <v>1773</v>
      </c>
      <c r="Q914" s="13" t="n">
        <v>201</v>
      </c>
      <c r="R914" s="13" t="n">
        <v>130</v>
      </c>
      <c r="S914" s="13" t="n">
        <v>52</v>
      </c>
      <c r="T914" s="13" t="n">
        <v>271</v>
      </c>
      <c r="U914" s="13" t="n">
        <v>12</v>
      </c>
      <c r="V914" s="13" t="n">
        <v>185</v>
      </c>
      <c r="W914" s="13" t="n">
        <v>0.235</v>
      </c>
      <c r="X914" s="13" t="n">
        <v>132</v>
      </c>
      <c r="Y914" s="13" t="n">
        <v>152</v>
      </c>
      <c r="Z914" s="13" t="n">
        <v>139</v>
      </c>
      <c r="AA914" s="13" t="n">
        <v>8</v>
      </c>
      <c r="AB914" s="13" t="n">
        <v>8.300000000000001</v>
      </c>
      <c r="AC914" s="11" t="inlineStr">
        <is>
          <t xml:space="preserve"> Resort Freeride</t>
        </is>
      </c>
      <c r="AD914" s="13" t="n"/>
      <c r="AE914" s="13" t="n"/>
      <c r="AF914" s="13" t="n"/>
      <c r="AG914" s="13" t="n"/>
    </row>
    <row r="915">
      <c r="A915" s="9" t="inlineStr">
        <is>
          <t>21/22</t>
        </is>
      </c>
      <c r="B915" s="10" t="inlineStr">
        <is>
          <t xml:space="preserve"> Nordica</t>
        </is>
      </c>
      <c r="C915" s="11" t="inlineStr">
        <is>
          <t>Enforcer 88</t>
        </is>
      </c>
      <c r="D915" s="13" t="n">
        <v>186</v>
      </c>
      <c r="E915" s="11" t="inlineStr">
        <is>
          <t xml:space="preserve"> Unisex</t>
        </is>
      </c>
      <c r="F915" s="13" t="n">
        <v>186</v>
      </c>
      <c r="G915" s="13" t="n">
        <v>185.2</v>
      </c>
      <c r="H915" s="13" t="n">
        <v>139</v>
      </c>
      <c r="I915" s="13" t="n">
        <v>157</v>
      </c>
      <c r="J915" s="13" t="n">
        <v>124</v>
      </c>
      <c r="K915" s="13" t="n">
        <v>87</v>
      </c>
      <c r="L915" s="13" t="n">
        <v>110</v>
      </c>
      <c r="M915" s="13" t="n">
        <v>17.9</v>
      </c>
      <c r="N915" s="13" t="n">
        <v>2137</v>
      </c>
      <c r="O915" s="13" t="n">
        <v>0.87</v>
      </c>
      <c r="P915" s="13" t="n">
        <v>1851</v>
      </c>
      <c r="Q915" s="13" t="n">
        <v>286</v>
      </c>
      <c r="R915" s="13" t="n">
        <v>162</v>
      </c>
      <c r="S915" s="13" t="n">
        <v>54</v>
      </c>
      <c r="T915" s="13" t="n">
        <v>274</v>
      </c>
      <c r="U915" s="13" t="n">
        <v>11</v>
      </c>
      <c r="V915" s="13" t="n">
        <v>191</v>
      </c>
      <c r="W915" s="13" t="n">
        <v>0.208</v>
      </c>
      <c r="X915" s="13" t="n">
        <v>124</v>
      </c>
      <c r="Y915" s="13" t="n">
        <v>155</v>
      </c>
      <c r="Z915" s="13" t="n">
        <v>150</v>
      </c>
      <c r="AA915" s="13" t="n">
        <v>8</v>
      </c>
      <c r="AB915" s="13" t="n">
        <v>8.5</v>
      </c>
      <c r="AC915" s="11" t="inlineStr">
        <is>
          <t xml:space="preserve"> Resort Freeride</t>
        </is>
      </c>
      <c r="AD915" s="13" t="n"/>
      <c r="AE915" s="13" t="n"/>
      <c r="AF915" s="13" t="n"/>
      <c r="AG915" s="13" t="n"/>
    </row>
    <row r="916">
      <c r="A916" s="9" t="inlineStr">
        <is>
          <t>21/22</t>
        </is>
      </c>
      <c r="B916" s="10" t="inlineStr">
        <is>
          <t xml:space="preserve"> Nordica</t>
        </is>
      </c>
      <c r="C916" s="11" t="inlineStr">
        <is>
          <t>Enforcer 94</t>
        </is>
      </c>
      <c r="D916" s="13" t="n">
        <v>165</v>
      </c>
      <c r="E916" s="11" t="inlineStr">
        <is>
          <t xml:space="preserve"> Unisex</t>
        </is>
      </c>
      <c r="F916" s="13" t="n">
        <v>165</v>
      </c>
      <c r="G916" s="13" t="n">
        <v>164.6</v>
      </c>
      <c r="H916" s="13" t="n">
        <v>118</v>
      </c>
      <c r="I916" s="13" t="n">
        <v>135</v>
      </c>
      <c r="J916" s="13" t="n">
        <v>126</v>
      </c>
      <c r="K916" s="13" t="n">
        <v>92</v>
      </c>
      <c r="L916" s="13" t="n">
        <v>112</v>
      </c>
      <c r="M916" s="13" t="n">
        <v>15.3</v>
      </c>
      <c r="N916" s="13" t="n">
        <v>1927</v>
      </c>
      <c r="O916" s="13" t="n">
        <v>0.88</v>
      </c>
      <c r="P916" s="13" t="n">
        <v>1701</v>
      </c>
      <c r="Q916" s="13" t="n">
        <v>196</v>
      </c>
      <c r="R916" s="13" t="n">
        <v>138</v>
      </c>
      <c r="S916" s="13" t="n">
        <v>53</v>
      </c>
      <c r="T916" s="13" t="n">
        <v>280</v>
      </c>
      <c r="U916" s="13" t="n">
        <v>12</v>
      </c>
      <c r="V916" s="13" t="n">
        <v>190</v>
      </c>
      <c r="W916" s="13" t="n">
        <v>0.226</v>
      </c>
      <c r="X916" s="13" t="n">
        <v>142</v>
      </c>
      <c r="Y916" s="13" t="n">
        <v>154</v>
      </c>
      <c r="Z916" s="13" t="n">
        <v>138</v>
      </c>
      <c r="AA916" s="13" t="n">
        <v>6</v>
      </c>
      <c r="AB916" s="13" t="n">
        <v>8.4</v>
      </c>
      <c r="AC916" s="11" t="inlineStr">
        <is>
          <t xml:space="preserve"> Resort Freeride</t>
        </is>
      </c>
      <c r="AD916" s="13" t="n"/>
      <c r="AE916" s="13" t="n"/>
      <c r="AF916" s="13" t="n"/>
      <c r="AG916" s="13" t="n"/>
    </row>
    <row r="917">
      <c r="A917" s="9" t="inlineStr">
        <is>
          <t>21/22</t>
        </is>
      </c>
      <c r="B917" s="10" t="inlineStr">
        <is>
          <t xml:space="preserve"> Nordica</t>
        </is>
      </c>
      <c r="C917" s="11" t="inlineStr">
        <is>
          <t>Enforcer 94</t>
        </is>
      </c>
      <c r="D917" s="13" t="n">
        <v>172</v>
      </c>
      <c r="E917" s="11" t="inlineStr">
        <is>
          <t xml:space="preserve"> Unisex</t>
        </is>
      </c>
      <c r="F917" s="13" t="n">
        <v>172</v>
      </c>
      <c r="G917" s="13" t="n">
        <v>171.3</v>
      </c>
      <c r="H917" s="13" t="n">
        <v>124</v>
      </c>
      <c r="I917" s="13" t="n">
        <v>143</v>
      </c>
      <c r="J917" s="13" t="n">
        <v>127</v>
      </c>
      <c r="K917" s="13" t="n">
        <v>92</v>
      </c>
      <c r="L917" s="13" t="n">
        <v>113</v>
      </c>
      <c r="M917" s="13" t="n">
        <v>15.9</v>
      </c>
      <c r="N917" s="13" t="n">
        <v>2044</v>
      </c>
      <c r="O917" s="13" t="n">
        <v>0.87</v>
      </c>
      <c r="P917" s="13" t="n">
        <v>1774</v>
      </c>
      <c r="Q917" s="13" t="n">
        <v>226</v>
      </c>
      <c r="R917" s="13" t="n">
        <v>144</v>
      </c>
      <c r="S917" s="13" t="n">
        <v>54</v>
      </c>
      <c r="T917" s="13" t="n">
        <v>276</v>
      </c>
      <c r="U917" s="13" t="n">
        <v>15</v>
      </c>
      <c r="V917" s="13" t="n">
        <v>196</v>
      </c>
      <c r="W917" s="13" t="n">
        <v>0.279</v>
      </c>
      <c r="X917" s="13" t="n">
        <v>132</v>
      </c>
      <c r="Y917" s="13" t="n">
        <v>150</v>
      </c>
      <c r="Z917" s="13" t="n">
        <v>144</v>
      </c>
      <c r="AA917" s="13" t="n">
        <v>6</v>
      </c>
      <c r="AB917" s="13" t="n">
        <v>9.1</v>
      </c>
      <c r="AC917" s="11" t="inlineStr">
        <is>
          <t xml:space="preserve"> Resort Freeride</t>
        </is>
      </c>
      <c r="AD917" s="13" t="n"/>
      <c r="AE917" s="13" t="n"/>
      <c r="AF917" s="13" t="n"/>
      <c r="AG917" s="13" t="n"/>
    </row>
    <row r="918">
      <c r="A918" s="9" t="inlineStr">
        <is>
          <t>21/22</t>
        </is>
      </c>
      <c r="B918" s="10" t="inlineStr">
        <is>
          <t xml:space="preserve"> Nordica</t>
        </is>
      </c>
      <c r="C918" s="11" t="inlineStr">
        <is>
          <t>Enforcer 94</t>
        </is>
      </c>
      <c r="D918" s="13" t="n">
        <v>179</v>
      </c>
      <c r="E918" s="11" t="inlineStr">
        <is>
          <t xml:space="preserve"> Unisex</t>
        </is>
      </c>
      <c r="F918" s="13" t="n">
        <v>179</v>
      </c>
      <c r="G918" s="13" t="n">
        <v>178.3</v>
      </c>
      <c r="H918" s="13" t="n">
        <v>131</v>
      </c>
      <c r="I918" s="13" t="n">
        <v>147</v>
      </c>
      <c r="J918" s="13" t="n">
        <v>128</v>
      </c>
      <c r="K918" s="13" t="n">
        <v>93</v>
      </c>
      <c r="L918" s="13" t="n">
        <v>114</v>
      </c>
      <c r="M918" s="13" t="n">
        <v>17</v>
      </c>
      <c r="N918" s="13" t="n">
        <v>2178</v>
      </c>
      <c r="O918" s="13" t="n">
        <v>0.86</v>
      </c>
      <c r="P918" s="13" t="n">
        <v>1867</v>
      </c>
      <c r="Q918" s="13" t="n">
        <v>234</v>
      </c>
      <c r="R918" s="13" t="n">
        <v>145</v>
      </c>
      <c r="S918" s="13" t="n">
        <v>55</v>
      </c>
      <c r="T918" s="13" t="n">
        <v>286</v>
      </c>
      <c r="U918" s="13" t="n">
        <v>13</v>
      </c>
      <c r="V918" s="13" t="n">
        <v>186</v>
      </c>
      <c r="W918" s="13" t="n">
        <v>0.235</v>
      </c>
      <c r="X918" s="13" t="n">
        <v>152</v>
      </c>
      <c r="Y918" s="13" t="n">
        <v>159</v>
      </c>
      <c r="Z918" s="13" t="n">
        <v>134</v>
      </c>
      <c r="AA918" s="13" t="n">
        <v>7</v>
      </c>
      <c r="AB918" s="13" t="n">
        <v>8.5</v>
      </c>
      <c r="AC918" s="11" t="inlineStr">
        <is>
          <t xml:space="preserve"> Resort Freeride</t>
        </is>
      </c>
      <c r="AD918" s="13" t="n"/>
      <c r="AE918" s="13" t="n"/>
      <c r="AF918" s="13" t="n"/>
      <c r="AG918" s="13" t="n"/>
    </row>
    <row r="919">
      <c r="A919" s="9" t="inlineStr">
        <is>
          <t>21/22</t>
        </is>
      </c>
      <c r="B919" s="10" t="inlineStr">
        <is>
          <t xml:space="preserve"> Nordica</t>
        </is>
      </c>
      <c r="C919" s="11" t="inlineStr">
        <is>
          <t>Enforcer 94</t>
        </is>
      </c>
      <c r="D919" s="13" t="n">
        <v>186</v>
      </c>
      <c r="E919" s="11" t="inlineStr">
        <is>
          <t xml:space="preserve"> Unisex</t>
        </is>
      </c>
      <c r="F919" s="13" t="n">
        <v>186</v>
      </c>
      <c r="G919" s="13" t="n">
        <v>185.1</v>
      </c>
      <c r="H919" s="13" t="n">
        <v>137</v>
      </c>
      <c r="I919" s="13" t="n">
        <v>155</v>
      </c>
      <c r="J919" s="13" t="n">
        <v>129</v>
      </c>
      <c r="K919" s="13" t="n">
        <v>93</v>
      </c>
      <c r="L919" s="13" t="n">
        <v>115</v>
      </c>
      <c r="M919" s="13" t="n">
        <v>18.1</v>
      </c>
      <c r="N919" s="13" t="n">
        <v>2299</v>
      </c>
      <c r="O919" s="13" t="n">
        <v>0.85</v>
      </c>
      <c r="P919" s="13" t="n">
        <v>1945</v>
      </c>
      <c r="Q919" s="13" t="n">
        <v>276</v>
      </c>
      <c r="R919" s="13" t="n">
        <v>172</v>
      </c>
      <c r="S919" s="13" t="n">
        <v>53</v>
      </c>
      <c r="T919" s="13" t="n">
        <v>277</v>
      </c>
      <c r="U919" s="13" t="n">
        <v>15</v>
      </c>
      <c r="V919" s="13" t="n">
        <v>207</v>
      </c>
      <c r="W919" s="13" t="n">
        <v>0.283</v>
      </c>
      <c r="X919" s="13" t="n">
        <v>140</v>
      </c>
      <c r="Y919" s="13" t="n">
        <v>162</v>
      </c>
      <c r="Z919" s="13" t="n">
        <v>137</v>
      </c>
      <c r="AA919" s="13" t="n">
        <v>7</v>
      </c>
      <c r="AB919" s="13" t="n">
        <v>8.5</v>
      </c>
      <c r="AC919" s="11" t="inlineStr">
        <is>
          <t xml:space="preserve"> Resort Freeride</t>
        </is>
      </c>
      <c r="AD919" s="13" t="n"/>
      <c r="AE919" s="13" t="n"/>
      <c r="AF919" s="13" t="n"/>
      <c r="AG919" s="13" t="n"/>
    </row>
    <row r="920">
      <c r="A920" s="9" t="inlineStr">
        <is>
          <t>21/22</t>
        </is>
      </c>
      <c r="B920" s="10" t="inlineStr">
        <is>
          <t xml:space="preserve"> Nordica</t>
        </is>
      </c>
      <c r="C920" s="11" t="inlineStr">
        <is>
          <t>Santa Ana 104 Free</t>
        </is>
      </c>
      <c r="D920" s="13" t="n">
        <v>158</v>
      </c>
      <c r="E920" s="11" t="inlineStr">
        <is>
          <t xml:space="preserve"> Women's</t>
        </is>
      </c>
      <c r="F920" s="13" t="n">
        <v>158</v>
      </c>
      <c r="G920" s="13" t="n">
        <v>157.3</v>
      </c>
      <c r="H920" s="13" t="n">
        <v>109</v>
      </c>
      <c r="I920" s="13" t="n">
        <v>130</v>
      </c>
      <c r="J920" s="13" t="n">
        <v>132</v>
      </c>
      <c r="K920" s="13" t="n">
        <v>103</v>
      </c>
      <c r="L920" s="13" t="n">
        <v>123</v>
      </c>
      <c r="M920" s="13" t="n">
        <v>15.3</v>
      </c>
      <c r="N920" s="13" t="n">
        <v>1713</v>
      </c>
      <c r="O920" s="13" t="n">
        <v>1.03</v>
      </c>
      <c r="P920" s="13" t="n">
        <v>1771</v>
      </c>
      <c r="Q920" s="13" t="n">
        <v>174</v>
      </c>
      <c r="R920" s="13" t="n">
        <v>88</v>
      </c>
      <c r="S920" s="13" t="n">
        <v>44</v>
      </c>
      <c r="T920" s="13" t="n">
        <v>263</v>
      </c>
      <c r="U920" s="13" t="n">
        <v>32</v>
      </c>
      <c r="V920" s="13" t="n">
        <v>219</v>
      </c>
      <c r="W920" s="13" t="n">
        <v>0.719</v>
      </c>
      <c r="X920" s="13" t="n">
        <v>133</v>
      </c>
      <c r="Y920" s="13" t="n">
        <v>144</v>
      </c>
      <c r="Z920" s="13" t="n">
        <v>131</v>
      </c>
      <c r="AA920" s="13" t="n">
        <v>8</v>
      </c>
      <c r="AB920" s="13" t="n">
        <v>8.5</v>
      </c>
      <c r="AC920" s="11" t="inlineStr">
        <is>
          <t xml:space="preserve"> Resort Freeride</t>
        </is>
      </c>
      <c r="AD920" s="11" t="inlineStr">
        <is>
          <t xml:space="preserve"> Powder</t>
        </is>
      </c>
      <c r="AE920" s="13" t="n"/>
      <c r="AF920" s="13" t="n"/>
      <c r="AG920" s="13" t="n"/>
    </row>
    <row r="921">
      <c r="A921" s="9" t="inlineStr">
        <is>
          <t>21/22</t>
        </is>
      </c>
      <c r="B921" s="10" t="inlineStr">
        <is>
          <t xml:space="preserve"> Nordica</t>
        </is>
      </c>
      <c r="C921" s="11" t="inlineStr">
        <is>
          <t>Santa Ana 104 Free</t>
        </is>
      </c>
      <c r="D921" s="13" t="n">
        <v>165</v>
      </c>
      <c r="E921" s="11" t="inlineStr">
        <is>
          <t xml:space="preserve"> Women's</t>
        </is>
      </c>
      <c r="F921" s="13" t="n">
        <v>165</v>
      </c>
      <c r="G921" s="13" t="n">
        <v>164.1</v>
      </c>
      <c r="H921" s="13" t="n">
        <v>110</v>
      </c>
      <c r="I921" s="13" t="n">
        <v>135</v>
      </c>
      <c r="J921" s="13" t="n">
        <v>134</v>
      </c>
      <c r="K921" s="13" t="n">
        <v>103</v>
      </c>
      <c r="L921" s="13" t="n">
        <v>124</v>
      </c>
      <c r="M921" s="13" t="n">
        <v>15.6</v>
      </c>
      <c r="N921" s="13" t="n">
        <v>1715</v>
      </c>
      <c r="O921" s="13" t="n">
        <v>1.08</v>
      </c>
      <c r="P921" s="13" t="n">
        <v>1857</v>
      </c>
      <c r="Q921" s="13" t="n">
        <v>174</v>
      </c>
      <c r="R921" s="13" t="n">
        <v>94</v>
      </c>
      <c r="S921" s="13" t="n">
        <v>57</v>
      </c>
      <c r="T921" s="13" t="n">
        <v>297</v>
      </c>
      <c r="U921" s="13" t="n">
        <v>39</v>
      </c>
      <c r="V921" s="13" t="n">
        <v>241</v>
      </c>
      <c r="W921" s="13" t="n">
        <v>0.6870000000000001</v>
      </c>
      <c r="X921" s="13" t="n">
        <v>134</v>
      </c>
      <c r="Y921" s="13" t="n">
        <v>160</v>
      </c>
      <c r="Z921" s="13" t="n">
        <v>163</v>
      </c>
      <c r="AA921" s="13" t="n">
        <v>5</v>
      </c>
      <c r="AB921" s="13" t="n">
        <v>8.4</v>
      </c>
      <c r="AC921" s="11" t="inlineStr">
        <is>
          <t xml:space="preserve"> Resort Freeride</t>
        </is>
      </c>
      <c r="AD921" s="11" t="inlineStr">
        <is>
          <t xml:space="preserve"> Powder</t>
        </is>
      </c>
      <c r="AE921" s="11" t="inlineStr">
        <is>
          <t xml:space="preserve"> Touring</t>
        </is>
      </c>
      <c r="AF921" s="13" t="n"/>
      <c r="AG921" s="13" t="n"/>
    </row>
    <row r="922">
      <c r="A922" s="9" t="inlineStr">
        <is>
          <t>21/22</t>
        </is>
      </c>
      <c r="B922" s="10" t="inlineStr">
        <is>
          <t xml:space="preserve"> Nordica</t>
        </is>
      </c>
      <c r="C922" s="11" t="inlineStr">
        <is>
          <t>Santa Ana 104 Free</t>
        </is>
      </c>
      <c r="D922" s="13" t="n">
        <v>172</v>
      </c>
      <c r="E922" s="11" t="inlineStr">
        <is>
          <t xml:space="preserve"> Women's</t>
        </is>
      </c>
      <c r="F922" s="13" t="n">
        <v>172</v>
      </c>
      <c r="G922" s="13" t="n">
        <v>170.6</v>
      </c>
      <c r="H922" s="13" t="n">
        <v>116</v>
      </c>
      <c r="I922" s="13" t="n">
        <v>142</v>
      </c>
      <c r="J922" s="13" t="n">
        <v>135</v>
      </c>
      <c r="K922" s="13" t="n">
        <v>103</v>
      </c>
      <c r="L922" s="13" t="n">
        <v>125</v>
      </c>
      <c r="M922" s="13" t="n">
        <v>16.3</v>
      </c>
      <c r="N922" s="13" t="n">
        <v>1787</v>
      </c>
      <c r="O922" s="13" t="n">
        <v>1.09</v>
      </c>
      <c r="P922" s="13" t="n">
        <v>1945</v>
      </c>
      <c r="Q922" s="13" t="n">
        <v>182</v>
      </c>
      <c r="R922" s="13" t="n">
        <v>99</v>
      </c>
      <c r="S922" s="13" t="n">
        <v>62</v>
      </c>
      <c r="T922" s="13" t="n">
        <v>298</v>
      </c>
      <c r="U922" s="13" t="n">
        <v>44</v>
      </c>
      <c r="V922" s="13" t="n">
        <v>248</v>
      </c>
      <c r="W922" s="13" t="n">
        <v>0.713</v>
      </c>
      <c r="X922" s="13" t="n">
        <v>140</v>
      </c>
      <c r="Y922" s="13" t="n">
        <v>151</v>
      </c>
      <c r="Z922" s="13" t="n">
        <v>159</v>
      </c>
      <c r="AA922" s="13" t="n">
        <v>7</v>
      </c>
      <c r="AB922" s="13" t="n">
        <v>8.800000000000001</v>
      </c>
      <c r="AC922" s="11" t="inlineStr">
        <is>
          <t xml:space="preserve"> Resort Freeride</t>
        </is>
      </c>
      <c r="AD922" s="11" t="inlineStr">
        <is>
          <t xml:space="preserve"> Powder</t>
        </is>
      </c>
      <c r="AE922" s="11" t="inlineStr">
        <is>
          <t xml:space="preserve"> Touring</t>
        </is>
      </c>
      <c r="AF922" s="13" t="n"/>
      <c r="AG922" s="13" t="n"/>
    </row>
    <row r="923">
      <c r="A923" s="9" t="inlineStr">
        <is>
          <t>21/22</t>
        </is>
      </c>
      <c r="B923" s="10" t="inlineStr">
        <is>
          <t xml:space="preserve"> Nordica</t>
        </is>
      </c>
      <c r="C923" s="11" t="inlineStr">
        <is>
          <t>Santa Ana 104 Free</t>
        </is>
      </c>
      <c r="D923" s="13" t="n">
        <v>179</v>
      </c>
      <c r="E923" s="11" t="inlineStr">
        <is>
          <t xml:space="preserve"> Women's</t>
        </is>
      </c>
      <c r="F923" s="13" t="n">
        <v>179</v>
      </c>
      <c r="G923" s="13" t="n">
        <v>177.6</v>
      </c>
      <c r="H923" s="13" t="n">
        <v>122</v>
      </c>
      <c r="I923" s="13" t="n">
        <v>147</v>
      </c>
      <c r="J923" s="13" t="n">
        <v>135</v>
      </c>
      <c r="K923" s="13" t="n">
        <v>103</v>
      </c>
      <c r="L923" s="13" t="n">
        <v>126</v>
      </c>
      <c r="M923" s="13" t="n">
        <v>17.5</v>
      </c>
      <c r="N923" s="13" t="n">
        <v>1898</v>
      </c>
      <c r="O923" s="13" t="n">
        <v>1.07</v>
      </c>
      <c r="P923" s="13" t="n">
        <v>2026</v>
      </c>
      <c r="Q923" s="13" t="n">
        <v>220</v>
      </c>
      <c r="R923" s="13" t="n">
        <v>108</v>
      </c>
      <c r="S923" s="13" t="n">
        <v>64</v>
      </c>
      <c r="T923" s="13" t="n">
        <v>307</v>
      </c>
      <c r="U923" s="13" t="n">
        <v>42</v>
      </c>
      <c r="V923" s="13" t="n">
        <v>248</v>
      </c>
      <c r="W923" s="13" t="n">
        <v>0.645</v>
      </c>
      <c r="X923" s="13" t="n">
        <v>155</v>
      </c>
      <c r="Y923" s="13" t="n">
        <v>154</v>
      </c>
      <c r="Z923" s="13" t="n">
        <v>152</v>
      </c>
      <c r="AA923" s="13" t="n">
        <v>6</v>
      </c>
      <c r="AB923" s="13" t="n">
        <v>8.699999999999999</v>
      </c>
      <c r="AC923" s="11" t="inlineStr">
        <is>
          <t xml:space="preserve"> Resort Freeride</t>
        </is>
      </c>
      <c r="AD923" s="11" t="inlineStr">
        <is>
          <t xml:space="preserve"> Powder</t>
        </is>
      </c>
      <c r="AE923" s="11" t="inlineStr">
        <is>
          <t xml:space="preserve"> Touring</t>
        </is>
      </c>
      <c r="AF923" s="13" t="n"/>
      <c r="AG923" s="13" t="n"/>
    </row>
    <row r="924">
      <c r="A924" s="9" t="inlineStr">
        <is>
          <t>21/22</t>
        </is>
      </c>
      <c r="B924" s="10" t="inlineStr">
        <is>
          <t xml:space="preserve"> Nordica</t>
        </is>
      </c>
      <c r="C924" s="11" t="inlineStr">
        <is>
          <t>Santa Ana 110 Free</t>
        </is>
      </c>
      <c r="D924" s="13" t="n">
        <v>169</v>
      </c>
      <c r="E924" s="11" t="inlineStr">
        <is>
          <t xml:space="preserve"> Women's</t>
        </is>
      </c>
      <c r="F924" s="13" t="n">
        <v>169</v>
      </c>
      <c r="G924" s="13" t="n">
        <v>167.7</v>
      </c>
      <c r="H924" s="13" t="n">
        <v>110</v>
      </c>
      <c r="I924" s="13" t="n">
        <v>136</v>
      </c>
      <c r="J924" s="13" t="n">
        <v>140</v>
      </c>
      <c r="K924" s="13" t="n">
        <v>109</v>
      </c>
      <c r="L924" s="13" t="n">
        <v>130</v>
      </c>
      <c r="M924" s="13" t="n">
        <v>15.7</v>
      </c>
      <c r="N924" s="13" t="n">
        <v>1839</v>
      </c>
      <c r="O924" s="13" t="n">
        <v>1.09</v>
      </c>
      <c r="P924" s="13" t="n">
        <v>1999</v>
      </c>
      <c r="Q924" s="13" t="n">
        <v>197</v>
      </c>
      <c r="R924" s="13" t="n">
        <v>103</v>
      </c>
      <c r="S924" s="13" t="n">
        <v>64</v>
      </c>
      <c r="T924" s="13" t="n">
        <v>312</v>
      </c>
      <c r="U924" s="13" t="n">
        <v>45</v>
      </c>
      <c r="V924" s="13" t="n">
        <v>262</v>
      </c>
      <c r="W924" s="13" t="n">
        <v>0.71</v>
      </c>
      <c r="X924" s="13" t="n">
        <v>156</v>
      </c>
      <c r="Y924" s="13" t="n">
        <v>162</v>
      </c>
      <c r="Z924" s="13" t="n">
        <v>156</v>
      </c>
      <c r="AA924" s="13" t="n">
        <v>5</v>
      </c>
      <c r="AB924" s="13" t="n">
        <v>9.300000000000001</v>
      </c>
      <c r="AC924" s="11" t="inlineStr">
        <is>
          <t xml:space="preserve"> Powder</t>
        </is>
      </c>
      <c r="AD924" s="11" t="inlineStr">
        <is>
          <t xml:space="preserve"> Touring</t>
        </is>
      </c>
      <c r="AE924" s="13" t="n"/>
      <c r="AF924" s="13" t="n"/>
      <c r="AG924" s="13" t="n"/>
    </row>
    <row r="925">
      <c r="A925" s="9" t="inlineStr">
        <is>
          <t>21/22</t>
        </is>
      </c>
      <c r="B925" s="10" t="inlineStr">
        <is>
          <t xml:space="preserve"> Nordica</t>
        </is>
      </c>
      <c r="C925" s="11" t="inlineStr">
        <is>
          <t>Santa Ana 110 Free</t>
        </is>
      </c>
      <c r="D925" s="13" t="n">
        <v>177</v>
      </c>
      <c r="E925" s="11" t="inlineStr">
        <is>
          <t xml:space="preserve"> Women's</t>
        </is>
      </c>
      <c r="F925" s="13" t="n">
        <v>177</v>
      </c>
      <c r="G925" s="13" t="n">
        <v>175.5</v>
      </c>
      <c r="H925" s="13" t="n">
        <v>116</v>
      </c>
      <c r="I925" s="13" t="n">
        <v>145</v>
      </c>
      <c r="J925" s="13" t="n">
        <v>140</v>
      </c>
      <c r="K925" s="13" t="n">
        <v>108</v>
      </c>
      <c r="L925" s="13" t="n">
        <v>131</v>
      </c>
      <c r="M925" s="13" t="n">
        <v>16.7</v>
      </c>
      <c r="N925" s="13" t="n">
        <v>1908</v>
      </c>
      <c r="O925" s="13" t="n">
        <v>1.09</v>
      </c>
      <c r="P925" s="13" t="n">
        <v>2087</v>
      </c>
      <c r="Q925" s="13" t="n">
        <v>199</v>
      </c>
      <c r="R925" s="13" t="n">
        <v>103</v>
      </c>
      <c r="S925" s="13" t="n">
        <v>71</v>
      </c>
      <c r="T925" s="13" t="n">
        <v>323</v>
      </c>
      <c r="U925" s="13" t="n">
        <v>50</v>
      </c>
      <c r="V925" s="13" t="n">
        <v>268</v>
      </c>
      <c r="W925" s="13" t="n">
        <v>0.708</v>
      </c>
      <c r="X925" s="13" t="n">
        <v>156</v>
      </c>
      <c r="Y925" s="13" t="n">
        <v>153</v>
      </c>
      <c r="Z925" s="13" t="n">
        <v>167</v>
      </c>
      <c r="AA925" s="13" t="n">
        <v>6</v>
      </c>
      <c r="AB925" s="13" t="n">
        <v>8.4</v>
      </c>
      <c r="AC925" s="11" t="inlineStr">
        <is>
          <t xml:space="preserve"> Powder</t>
        </is>
      </c>
      <c r="AD925" s="11" t="inlineStr">
        <is>
          <t xml:space="preserve"> Touring</t>
        </is>
      </c>
      <c r="AE925" s="13" t="n"/>
      <c r="AF925" s="13" t="n"/>
      <c r="AG925" s="13" t="n"/>
    </row>
    <row r="926">
      <c r="A926" s="9" t="inlineStr">
        <is>
          <t>21/22</t>
        </is>
      </c>
      <c r="B926" s="10" t="inlineStr">
        <is>
          <t xml:space="preserve"> Nordica</t>
        </is>
      </c>
      <c r="C926" s="11" t="inlineStr">
        <is>
          <t>Santa Ana 84</t>
        </is>
      </c>
      <c r="D926" s="13" t="n">
        <v>151</v>
      </c>
      <c r="E926" s="11" t="inlineStr">
        <is>
          <t xml:space="preserve"> Women's</t>
        </is>
      </c>
      <c r="F926" s="13" t="n">
        <v>151</v>
      </c>
      <c r="G926" s="13" t="n">
        <v>149.7</v>
      </c>
      <c r="H926" s="13" t="n">
        <v>109</v>
      </c>
      <c r="I926" s="13" t="n">
        <v>128</v>
      </c>
      <c r="J926" s="13" t="n">
        <v>119</v>
      </c>
      <c r="K926" s="13" t="n">
        <v>83</v>
      </c>
      <c r="L926" s="13" t="n">
        <v>104</v>
      </c>
      <c r="M926" s="13" t="n">
        <v>12.8</v>
      </c>
      <c r="N926" s="13" t="n">
        <v>1399</v>
      </c>
      <c r="O926" s="13" t="n">
        <v>1.02</v>
      </c>
      <c r="P926" s="13" t="n">
        <v>1427</v>
      </c>
      <c r="Q926" s="13" t="n">
        <v>163</v>
      </c>
      <c r="R926" s="13" t="n">
        <v>75</v>
      </c>
      <c r="S926" s="13" t="n">
        <v>60</v>
      </c>
      <c r="T926" s="13" t="n">
        <v>257</v>
      </c>
      <c r="U926" s="13" t="n">
        <v>17</v>
      </c>
      <c r="V926" s="13" t="n">
        <v>150</v>
      </c>
      <c r="W926" s="13" t="n">
        <v>0.29</v>
      </c>
      <c r="X926" s="13" t="n">
        <v>129</v>
      </c>
      <c r="Y926" s="13" t="n">
        <v>91</v>
      </c>
      <c r="Z926" s="13" t="n">
        <v>128</v>
      </c>
      <c r="AA926" s="13" t="n">
        <v>3</v>
      </c>
      <c r="AB926" s="13" t="n">
        <v>10</v>
      </c>
      <c r="AC926" s="11" t="inlineStr">
        <is>
          <t xml:space="preserve"> On-Piste All-Mountain</t>
        </is>
      </c>
      <c r="AD926" s="11" t="inlineStr">
        <is>
          <t xml:space="preserve"> Resort Freeride</t>
        </is>
      </c>
      <c r="AE926" s="13" t="n"/>
      <c r="AF926" s="13" t="n"/>
      <c r="AG926" s="13" t="n"/>
    </row>
    <row r="927">
      <c r="A927" s="9" t="inlineStr">
        <is>
          <t>21/22</t>
        </is>
      </c>
      <c r="B927" s="10" t="inlineStr">
        <is>
          <t xml:space="preserve"> Nordica</t>
        </is>
      </c>
      <c r="C927" s="11" t="inlineStr">
        <is>
          <t>Santa Ana 84</t>
        </is>
      </c>
      <c r="D927" s="13" t="n">
        <v>158</v>
      </c>
      <c r="E927" s="11" t="inlineStr">
        <is>
          <t xml:space="preserve"> Women's</t>
        </is>
      </c>
      <c r="F927" s="13" t="n">
        <v>158</v>
      </c>
      <c r="G927" s="13" t="n">
        <v>157.2</v>
      </c>
      <c r="H927" s="13" t="n">
        <v>118</v>
      </c>
      <c r="I927" s="13" t="n">
        <v>133</v>
      </c>
      <c r="J927" s="13" t="n">
        <v>120</v>
      </c>
      <c r="K927" s="13" t="n">
        <v>83</v>
      </c>
      <c r="L927" s="13" t="n">
        <v>105</v>
      </c>
      <c r="M927" s="13" t="n">
        <v>14</v>
      </c>
      <c r="N927" s="13" t="n">
        <v>1529</v>
      </c>
      <c r="O927" s="13" t="n">
        <v>0.98</v>
      </c>
      <c r="P927" s="13" t="n">
        <v>1505</v>
      </c>
      <c r="Q927" s="13" t="n">
        <v>174</v>
      </c>
      <c r="R927" s="13" t="n">
        <v>79</v>
      </c>
      <c r="S927" s="13" t="n">
        <v>59</v>
      </c>
      <c r="T927" s="13" t="n">
        <v>254</v>
      </c>
      <c r="U927" s="13" t="n">
        <v>15</v>
      </c>
      <c r="V927" s="13" t="n">
        <v>141</v>
      </c>
      <c r="W927" s="13" t="n">
        <v>0.263</v>
      </c>
      <c r="X927" s="13" t="n">
        <v>141</v>
      </c>
      <c r="Y927" s="13" t="n">
        <v>98</v>
      </c>
      <c r="Z927" s="13" t="n">
        <v>113</v>
      </c>
      <c r="AA927" s="13" t="n">
        <v>5</v>
      </c>
      <c r="AB927" s="13" t="n">
        <v>10.1</v>
      </c>
      <c r="AC927" s="11" t="inlineStr">
        <is>
          <t xml:space="preserve"> On-Piste All-Mountain</t>
        </is>
      </c>
      <c r="AD927" s="11" t="inlineStr">
        <is>
          <t xml:space="preserve"> Resort Freeride</t>
        </is>
      </c>
      <c r="AE927" s="13" t="n"/>
      <c r="AF927" s="13" t="n"/>
      <c r="AG927" s="13" t="n"/>
    </row>
    <row r="928">
      <c r="A928" s="9" t="inlineStr">
        <is>
          <t>21/22</t>
        </is>
      </c>
      <c r="B928" s="10" t="inlineStr">
        <is>
          <t xml:space="preserve"> Nordica</t>
        </is>
      </c>
      <c r="C928" s="11" t="inlineStr">
        <is>
          <t>Santa Ana 84</t>
        </is>
      </c>
      <c r="D928" s="13" t="n">
        <v>165</v>
      </c>
      <c r="E928" s="11" t="inlineStr">
        <is>
          <t xml:space="preserve"> Women's</t>
        </is>
      </c>
      <c r="F928" s="13" t="n">
        <v>165</v>
      </c>
      <c r="G928" s="13" t="n">
        <v>164.1</v>
      </c>
      <c r="H928" s="13" t="n">
        <v>123</v>
      </c>
      <c r="I928" s="13" t="n">
        <v>139</v>
      </c>
      <c r="J928" s="13" t="n">
        <v>121</v>
      </c>
      <c r="K928" s="13" t="n">
        <v>83</v>
      </c>
      <c r="L928" s="13" t="n">
        <v>105</v>
      </c>
      <c r="M928" s="13" t="n">
        <v>15.3</v>
      </c>
      <c r="N928" s="13" t="n">
        <v>1560</v>
      </c>
      <c r="O928" s="13" t="n">
        <v>1.01</v>
      </c>
      <c r="P928" s="13" t="n">
        <v>1572</v>
      </c>
      <c r="Q928" s="13" t="n">
        <v>164</v>
      </c>
      <c r="R928" s="13" t="n">
        <v>75</v>
      </c>
      <c r="S928" s="13" t="n">
        <v>58</v>
      </c>
      <c r="T928" s="13" t="n">
        <v>259</v>
      </c>
      <c r="U928" s="13" t="n">
        <v>17</v>
      </c>
      <c r="V928" s="13" t="n">
        <v>150</v>
      </c>
      <c r="W928" s="13" t="n">
        <v>0.286</v>
      </c>
      <c r="X928" s="13" t="n">
        <v>142</v>
      </c>
      <c r="Y928" s="13" t="n">
        <v>104</v>
      </c>
      <c r="Z928" s="13" t="n">
        <v>117</v>
      </c>
      <c r="AA928" s="13" t="n">
        <v>3</v>
      </c>
      <c r="AB928" s="13" t="n">
        <v>10.4</v>
      </c>
      <c r="AC928" s="11" t="inlineStr">
        <is>
          <t xml:space="preserve"> On-Piste All-Mountain</t>
        </is>
      </c>
      <c r="AD928" s="11" t="inlineStr">
        <is>
          <t xml:space="preserve"> Resort Freeride</t>
        </is>
      </c>
      <c r="AE928" s="13" t="n"/>
      <c r="AF928" s="13" t="n"/>
      <c r="AG928" s="13" t="n"/>
    </row>
    <row r="929">
      <c r="A929" s="9" t="inlineStr">
        <is>
          <t>21/22</t>
        </is>
      </c>
      <c r="B929" s="10" t="inlineStr">
        <is>
          <t xml:space="preserve"> Nordica</t>
        </is>
      </c>
      <c r="C929" s="11" t="inlineStr">
        <is>
          <t>Santa Ana 88</t>
        </is>
      </c>
      <c r="D929" s="13" t="n">
        <v>151</v>
      </c>
      <c r="E929" s="11" t="inlineStr">
        <is>
          <t xml:space="preserve"> Women's</t>
        </is>
      </c>
      <c r="F929" s="13" t="n">
        <v>151</v>
      </c>
      <c r="G929" s="13" t="n">
        <v>150.6</v>
      </c>
      <c r="H929" s="13" t="n">
        <v>108</v>
      </c>
      <c r="I929" s="13" t="n">
        <v>126</v>
      </c>
      <c r="J929" s="13" t="n">
        <v>119</v>
      </c>
      <c r="K929" s="13" t="n">
        <v>87</v>
      </c>
      <c r="L929" s="13" t="n">
        <v>105</v>
      </c>
      <c r="M929" s="13" t="n">
        <v>13.5</v>
      </c>
      <c r="N929" s="13" t="n">
        <v>1585</v>
      </c>
      <c r="O929" s="13" t="n">
        <v>0.93</v>
      </c>
      <c r="P929" s="13" t="n">
        <v>1469</v>
      </c>
      <c r="Q929" s="13" t="n">
        <v>158</v>
      </c>
      <c r="R929" s="13" t="n">
        <v>85</v>
      </c>
      <c r="S929" s="13" t="n">
        <v>51</v>
      </c>
      <c r="T929" s="13" t="n">
        <v>245</v>
      </c>
      <c r="U929" s="13" t="n">
        <v>13</v>
      </c>
      <c r="V929" s="13" t="n">
        <v>178</v>
      </c>
      <c r="W929" s="13" t="n">
        <v>0.26</v>
      </c>
      <c r="X929" s="13" t="n">
        <v>122</v>
      </c>
      <c r="Y929" s="13" t="n">
        <v>125</v>
      </c>
      <c r="Z929" s="13" t="n">
        <v>123</v>
      </c>
      <c r="AA929" s="13" t="n">
        <v>6</v>
      </c>
      <c r="AB929" s="13" t="n">
        <v>7.9</v>
      </c>
      <c r="AC929" s="11" t="inlineStr">
        <is>
          <t xml:space="preserve"> Resort Freeride</t>
        </is>
      </c>
      <c r="AD929" s="13" t="n"/>
      <c r="AE929" s="13" t="n"/>
      <c r="AF929" s="13" t="n"/>
      <c r="AG929" s="13" t="n"/>
    </row>
    <row r="930">
      <c r="A930" s="9" t="inlineStr">
        <is>
          <t>21/22</t>
        </is>
      </c>
      <c r="B930" s="10" t="inlineStr">
        <is>
          <t xml:space="preserve"> Nordica</t>
        </is>
      </c>
      <c r="C930" s="11" t="inlineStr">
        <is>
          <t>Santa Ana 88</t>
        </is>
      </c>
      <c r="D930" s="13" t="n">
        <v>158</v>
      </c>
      <c r="E930" s="11" t="inlineStr">
        <is>
          <t xml:space="preserve"> Women's</t>
        </is>
      </c>
      <c r="F930" s="13" t="n">
        <v>158</v>
      </c>
      <c r="G930" s="13" t="n">
        <v>157.4</v>
      </c>
      <c r="H930" s="13" t="n">
        <v>114</v>
      </c>
      <c r="I930" s="13" t="n">
        <v>129</v>
      </c>
      <c r="J930" s="13" t="n">
        <v>119</v>
      </c>
      <c r="K930" s="13" t="n">
        <v>87</v>
      </c>
      <c r="L930" s="13" t="n">
        <v>106</v>
      </c>
      <c r="M930" s="13" t="n">
        <v>14.5</v>
      </c>
      <c r="N930" s="13" t="n">
        <v>1654</v>
      </c>
      <c r="O930" s="13" t="n">
        <v>0.93</v>
      </c>
      <c r="P930" s="13" t="n">
        <v>1540</v>
      </c>
      <c r="Q930" s="13" t="n">
        <v>173</v>
      </c>
      <c r="R930" s="13" t="n">
        <v>86</v>
      </c>
      <c r="S930" s="13" t="n">
        <v>60</v>
      </c>
      <c r="T930" s="13" t="n">
        <v>260</v>
      </c>
      <c r="U930" s="13" t="n">
        <v>11</v>
      </c>
      <c r="V930" s="13" t="n">
        <v>174</v>
      </c>
      <c r="W930" s="13" t="n">
        <v>0.183</v>
      </c>
      <c r="X930" s="13" t="n">
        <v>128</v>
      </c>
      <c r="Y930" s="13" t="n">
        <v>154</v>
      </c>
      <c r="Z930" s="13" t="n">
        <v>132</v>
      </c>
      <c r="AA930" s="13" t="n">
        <v>7</v>
      </c>
      <c r="AB930" s="13" t="n">
        <v>8.300000000000001</v>
      </c>
      <c r="AC930" s="11" t="inlineStr">
        <is>
          <t xml:space="preserve"> Resort Freeride</t>
        </is>
      </c>
      <c r="AD930" s="13" t="n"/>
      <c r="AE930" s="13" t="n"/>
      <c r="AF930" s="13" t="n"/>
      <c r="AG930" s="13" t="n"/>
    </row>
    <row r="931">
      <c r="A931" s="9" t="inlineStr">
        <is>
          <t>21/22</t>
        </is>
      </c>
      <c r="B931" s="10" t="inlineStr">
        <is>
          <t xml:space="preserve"> Nordica</t>
        </is>
      </c>
      <c r="C931" s="11" t="inlineStr">
        <is>
          <t>Santa Ana 88</t>
        </is>
      </c>
      <c r="D931" s="13" t="n">
        <v>165</v>
      </c>
      <c r="E931" s="11" t="inlineStr">
        <is>
          <t xml:space="preserve"> Women's</t>
        </is>
      </c>
      <c r="F931" s="13" t="n">
        <v>165</v>
      </c>
      <c r="G931" s="13" t="n">
        <v>164.5</v>
      </c>
      <c r="H931" s="13" t="n">
        <v>122</v>
      </c>
      <c r="I931" s="13" t="n">
        <v>138</v>
      </c>
      <c r="J931" s="13" t="n">
        <v>120</v>
      </c>
      <c r="K931" s="13" t="n">
        <v>87</v>
      </c>
      <c r="L931" s="13" t="n">
        <v>106</v>
      </c>
      <c r="M931" s="13" t="n">
        <v>15.7</v>
      </c>
      <c r="N931" s="13" t="n">
        <v>1783</v>
      </c>
      <c r="O931" s="13" t="n">
        <v>0.9</v>
      </c>
      <c r="P931" s="13" t="n">
        <v>1614</v>
      </c>
      <c r="Q931" s="13" t="n">
        <v>177</v>
      </c>
      <c r="R931" s="13" t="n">
        <v>89</v>
      </c>
      <c r="S931" s="13" t="n">
        <v>52</v>
      </c>
      <c r="T931" s="13" t="n">
        <v>253</v>
      </c>
      <c r="U931" s="13" t="n">
        <v>12</v>
      </c>
      <c r="V931" s="13" t="n">
        <v>168</v>
      </c>
      <c r="W931" s="13" t="n">
        <v>0.229</v>
      </c>
      <c r="X931" s="13" t="n">
        <v>128</v>
      </c>
      <c r="Y931" s="13" t="n">
        <v>141</v>
      </c>
      <c r="Z931" s="13" t="n">
        <v>125</v>
      </c>
      <c r="AA931" s="13" t="n">
        <v>9</v>
      </c>
      <c r="AB931" s="13" t="n">
        <v>8.300000000000001</v>
      </c>
      <c r="AC931" s="11" t="inlineStr">
        <is>
          <t xml:space="preserve"> Resort Freeride</t>
        </is>
      </c>
      <c r="AD931" s="13" t="n"/>
      <c r="AE931" s="13" t="n"/>
      <c r="AF931" s="13" t="n"/>
      <c r="AG931" s="13" t="n"/>
    </row>
    <row r="932">
      <c r="A932" s="9" t="inlineStr">
        <is>
          <t>21/22</t>
        </is>
      </c>
      <c r="B932" s="10" t="inlineStr">
        <is>
          <t xml:space="preserve"> Nordica</t>
        </is>
      </c>
      <c r="C932" s="11" t="inlineStr">
        <is>
          <t>Santa Ana 88</t>
        </is>
      </c>
      <c r="D932" s="13" t="n">
        <v>172</v>
      </c>
      <c r="E932" s="11" t="inlineStr">
        <is>
          <t xml:space="preserve"> Women's</t>
        </is>
      </c>
      <c r="F932" s="13" t="n">
        <v>172</v>
      </c>
      <c r="G932" s="13" t="n">
        <v>172</v>
      </c>
      <c r="H932" s="13" t="n">
        <v>126</v>
      </c>
      <c r="I932" s="13" t="n">
        <v>143</v>
      </c>
      <c r="J932" s="13" t="n">
        <v>122</v>
      </c>
      <c r="K932" s="13" t="n">
        <v>87</v>
      </c>
      <c r="L932" s="13" t="n">
        <v>108</v>
      </c>
      <c r="M932" s="13" t="n">
        <v>16.1</v>
      </c>
      <c r="N932" s="13" t="n">
        <v>1894</v>
      </c>
      <c r="O932" s="13" t="n">
        <v>0.9</v>
      </c>
      <c r="P932" s="13" t="n">
        <v>1697</v>
      </c>
      <c r="Q932" s="13" t="n">
        <v>205</v>
      </c>
      <c r="R932" s="13" t="n">
        <v>101</v>
      </c>
      <c r="S932" s="13" t="n">
        <v>59</v>
      </c>
      <c r="T932" s="13" t="n">
        <v>266</v>
      </c>
      <c r="U932" s="13" t="n">
        <v>16</v>
      </c>
      <c r="V932" s="13" t="n">
        <v>198</v>
      </c>
      <c r="W932" s="13" t="n">
        <v>0.267</v>
      </c>
      <c r="X932" s="13" t="n">
        <v>134</v>
      </c>
      <c r="Y932" s="13" t="n">
        <v>152</v>
      </c>
      <c r="Z932" s="13" t="n">
        <v>132</v>
      </c>
      <c r="AA932" s="13" t="n">
        <v>7</v>
      </c>
      <c r="AB932" s="13" t="n">
        <v>8.5</v>
      </c>
      <c r="AC932" s="11" t="inlineStr">
        <is>
          <t xml:space="preserve"> Resort Freeride</t>
        </is>
      </c>
      <c r="AD932" s="13" t="n"/>
      <c r="AE932" s="13" t="n"/>
      <c r="AF932" s="13" t="n"/>
      <c r="AG932" s="13" t="n"/>
    </row>
    <row r="933">
      <c r="A933" s="9" t="inlineStr">
        <is>
          <t>21/22</t>
        </is>
      </c>
      <c r="B933" s="10" t="inlineStr">
        <is>
          <t xml:space="preserve"> Nordica</t>
        </is>
      </c>
      <c r="C933" s="11" t="inlineStr">
        <is>
          <t>Santa Ana 93</t>
        </is>
      </c>
      <c r="D933" s="13" t="n">
        <v>151</v>
      </c>
      <c r="E933" s="11" t="inlineStr">
        <is>
          <t xml:space="preserve"> Women's</t>
        </is>
      </c>
      <c r="F933" s="13" t="n">
        <v>151</v>
      </c>
      <c r="G933" s="13" t="n">
        <v>150.3</v>
      </c>
      <c r="H933" s="13" t="n">
        <v>106</v>
      </c>
      <c r="I933" s="13" t="n">
        <v>123</v>
      </c>
      <c r="J933" s="13" t="n">
        <v>125</v>
      </c>
      <c r="K933" s="13" t="n">
        <v>92</v>
      </c>
      <c r="L933" s="13" t="n">
        <v>110</v>
      </c>
      <c r="M933" s="13" t="n">
        <v>13.1</v>
      </c>
      <c r="N933" s="13" t="n">
        <v>1607</v>
      </c>
      <c r="O933" s="13" t="n">
        <v>0.96</v>
      </c>
      <c r="P933" s="13" t="n">
        <v>1547</v>
      </c>
      <c r="Q933" s="13" t="n">
        <v>148</v>
      </c>
      <c r="R933" s="13" t="n">
        <v>84</v>
      </c>
      <c r="S933" s="13" t="n">
        <v>53</v>
      </c>
      <c r="T933" s="13" t="n">
        <v>253</v>
      </c>
      <c r="U933" s="13" t="n">
        <v>15</v>
      </c>
      <c r="V933" s="13" t="n">
        <v>190</v>
      </c>
      <c r="W933" s="13" t="n">
        <v>0.284</v>
      </c>
      <c r="X933" s="13" t="n">
        <v>127</v>
      </c>
      <c r="Y933" s="13" t="n">
        <v>145</v>
      </c>
      <c r="Z933" s="13" t="n">
        <v>127</v>
      </c>
      <c r="AA933" s="13" t="n">
        <v>6</v>
      </c>
      <c r="AB933" s="13" t="n">
        <v>8.6</v>
      </c>
      <c r="AC933" s="11" t="inlineStr">
        <is>
          <t xml:space="preserve"> Resort Freeride</t>
        </is>
      </c>
      <c r="AD933" s="13" t="n"/>
      <c r="AE933" s="13" t="n"/>
      <c r="AF933" s="13" t="n"/>
      <c r="AG933" s="13" t="n"/>
    </row>
    <row r="934">
      <c r="A934" s="9" t="inlineStr">
        <is>
          <t>21/22</t>
        </is>
      </c>
      <c r="B934" s="10" t="inlineStr">
        <is>
          <t xml:space="preserve"> Nordica</t>
        </is>
      </c>
      <c r="C934" s="11" t="inlineStr">
        <is>
          <t>Santa Ana 93</t>
        </is>
      </c>
      <c r="D934" s="13" t="n">
        <v>158</v>
      </c>
      <c r="E934" s="11" t="inlineStr">
        <is>
          <t xml:space="preserve"> Women's</t>
        </is>
      </c>
      <c r="F934" s="13" t="n">
        <v>158</v>
      </c>
      <c r="G934" s="13" t="n">
        <v>157.2</v>
      </c>
      <c r="H934" s="13" t="n">
        <v>111</v>
      </c>
      <c r="I934" s="13" t="n">
        <v>128</v>
      </c>
      <c r="J934" s="13" t="n">
        <v>126</v>
      </c>
      <c r="K934" s="13" t="n">
        <v>93</v>
      </c>
      <c r="L934" s="13" t="n">
        <v>112</v>
      </c>
      <c r="M934" s="13" t="n">
        <v>14.3</v>
      </c>
      <c r="N934" s="13" t="n">
        <v>1755</v>
      </c>
      <c r="O934" s="13" t="n">
        <v>0.93</v>
      </c>
      <c r="P934" s="13" t="n">
        <v>1634</v>
      </c>
      <c r="Q934" s="13" t="n">
        <v>173</v>
      </c>
      <c r="R934" s="13" t="n">
        <v>97</v>
      </c>
      <c r="S934" s="13" t="n">
        <v>60</v>
      </c>
      <c r="T934" s="13" t="n">
        <v>270</v>
      </c>
      <c r="U934" s="13" t="n">
        <v>18</v>
      </c>
      <c r="V934" s="13" t="n">
        <v>193</v>
      </c>
      <c r="W934" s="13" t="n">
        <v>0.303</v>
      </c>
      <c r="X934" s="13" t="n">
        <v>150</v>
      </c>
      <c r="Y934" s="13" t="n">
        <v>143</v>
      </c>
      <c r="Z934" s="13" t="n">
        <v>120</v>
      </c>
      <c r="AA934" s="13" t="n">
        <v>6</v>
      </c>
      <c r="AB934" s="13" t="n">
        <v>8.699999999999999</v>
      </c>
      <c r="AC934" s="11" t="inlineStr">
        <is>
          <t xml:space="preserve"> Resort Freeride</t>
        </is>
      </c>
      <c r="AD934" s="13" t="n"/>
      <c r="AE934" s="13" t="n"/>
      <c r="AF934" s="13" t="n"/>
      <c r="AG934" s="13" t="n"/>
    </row>
    <row r="935">
      <c r="A935" s="9" t="inlineStr">
        <is>
          <t>21/22</t>
        </is>
      </c>
      <c r="B935" s="10" t="inlineStr">
        <is>
          <t xml:space="preserve"> Nordica</t>
        </is>
      </c>
      <c r="C935" s="11" t="inlineStr">
        <is>
          <t>Santa Ana 93</t>
        </is>
      </c>
      <c r="D935" s="13" t="n">
        <v>165</v>
      </c>
      <c r="E935" s="11" t="inlineStr">
        <is>
          <t xml:space="preserve"> Women's</t>
        </is>
      </c>
      <c r="F935" s="13" t="n">
        <v>165</v>
      </c>
      <c r="G935" s="13" t="n">
        <v>164.2</v>
      </c>
      <c r="H935" s="13" t="n">
        <v>117</v>
      </c>
      <c r="I935" s="13" t="n">
        <v>137</v>
      </c>
      <c r="J935" s="13" t="n">
        <v>126</v>
      </c>
      <c r="K935" s="13" t="n">
        <v>93</v>
      </c>
      <c r="L935" s="13" t="n">
        <v>112</v>
      </c>
      <c r="M935" s="13" t="n">
        <v>15.4</v>
      </c>
      <c r="N935" s="13" t="n">
        <v>1825</v>
      </c>
      <c r="O935" s="13" t="n">
        <v>0.93</v>
      </c>
      <c r="P935" s="13" t="n">
        <v>1699</v>
      </c>
      <c r="Q935" s="13" t="n">
        <v>205</v>
      </c>
      <c r="R935" s="13" t="n">
        <v>91</v>
      </c>
      <c r="S935" s="13" t="n">
        <v>60</v>
      </c>
      <c r="T935" s="13" t="n">
        <v>283</v>
      </c>
      <c r="U935" s="13" t="n">
        <v>14</v>
      </c>
      <c r="V935" s="13" t="n">
        <v>186</v>
      </c>
      <c r="W935" s="13" t="n">
        <v>0.23</v>
      </c>
      <c r="X935" s="13" t="n">
        <v>130</v>
      </c>
      <c r="Y935" s="13" t="n">
        <v>137</v>
      </c>
      <c r="Z935" s="13" t="n">
        <v>153</v>
      </c>
      <c r="AA935" s="13" t="n">
        <v>6</v>
      </c>
      <c r="AB935" s="13" t="n">
        <v>8.5</v>
      </c>
      <c r="AC935" s="11" t="inlineStr">
        <is>
          <t xml:space="preserve"> Resort Freeride</t>
        </is>
      </c>
      <c r="AD935" s="13" t="n"/>
      <c r="AE935" s="13" t="n"/>
      <c r="AF935" s="13" t="n"/>
      <c r="AG935" s="13" t="n"/>
    </row>
    <row r="936">
      <c r="A936" s="9" t="inlineStr">
        <is>
          <t>21/22</t>
        </is>
      </c>
      <c r="B936" s="10" t="inlineStr">
        <is>
          <t xml:space="preserve"> Nordica</t>
        </is>
      </c>
      <c r="C936" s="11" t="inlineStr">
        <is>
          <t>Santa Ana 93</t>
        </is>
      </c>
      <c r="D936" s="13" t="n">
        <v>172</v>
      </c>
      <c r="E936" s="11" t="inlineStr">
        <is>
          <t xml:space="preserve"> Women's</t>
        </is>
      </c>
      <c r="F936" s="13" t="n">
        <v>172</v>
      </c>
      <c r="G936" s="13" t="n">
        <v>171.2</v>
      </c>
      <c r="H936" s="13" t="n">
        <v>123</v>
      </c>
      <c r="I936" s="13" t="n">
        <v>142</v>
      </c>
      <c r="J936" s="13" t="n">
        <v>127</v>
      </c>
      <c r="K936" s="13" t="n">
        <v>92</v>
      </c>
      <c r="L936" s="13" t="n">
        <v>113</v>
      </c>
      <c r="M936" s="13" t="n">
        <v>15.9</v>
      </c>
      <c r="N936" s="13" t="n">
        <v>2016</v>
      </c>
      <c r="O936" s="13" t="n">
        <v>0.88</v>
      </c>
      <c r="P936" s="13" t="n">
        <v>1775</v>
      </c>
      <c r="Q936" s="13" t="n">
        <v>250</v>
      </c>
      <c r="R936" s="13" t="n">
        <v>118</v>
      </c>
      <c r="S936" s="13" t="n">
        <v>61</v>
      </c>
      <c r="T936" s="13" t="n">
        <v>287</v>
      </c>
      <c r="U936" s="13" t="n">
        <v>16</v>
      </c>
      <c r="V936" s="13" t="n">
        <v>197</v>
      </c>
      <c r="W936" s="13" t="n">
        <v>0.256</v>
      </c>
      <c r="X936" s="13" t="n">
        <v>137</v>
      </c>
      <c r="Y936" s="13" t="n">
        <v>155</v>
      </c>
      <c r="Z936" s="13" t="n">
        <v>150</v>
      </c>
      <c r="AA936" s="13" t="n">
        <v>5</v>
      </c>
      <c r="AB936" s="13" t="n">
        <v>8.5</v>
      </c>
      <c r="AC936" s="11" t="inlineStr">
        <is>
          <t xml:space="preserve"> Resort Freeride</t>
        </is>
      </c>
      <c r="AD936" s="13" t="n"/>
      <c r="AE936" s="13" t="n"/>
      <c r="AF936" s="13" t="n"/>
      <c r="AG936" s="13" t="n"/>
    </row>
    <row r="937">
      <c r="A937" s="9" t="inlineStr">
        <is>
          <t>21/22</t>
        </is>
      </c>
      <c r="B937" s="10" t="inlineStr">
        <is>
          <t xml:space="preserve"> Nordica</t>
        </is>
      </c>
      <c r="C937" s="11" t="inlineStr">
        <is>
          <t>Santa Ana 98</t>
        </is>
      </c>
      <c r="D937" s="13" t="n">
        <v>165</v>
      </c>
      <c r="E937" s="11" t="inlineStr">
        <is>
          <t xml:space="preserve"> Women's</t>
        </is>
      </c>
      <c r="F937" s="13" t="n">
        <v>165</v>
      </c>
      <c r="G937" s="13" t="n">
        <v>164.4</v>
      </c>
      <c r="H937" s="13" t="n">
        <v>119</v>
      </c>
      <c r="I937" s="13" t="n">
        <v>135</v>
      </c>
      <c r="J937" s="13" t="n">
        <v>131</v>
      </c>
      <c r="K937" s="13" t="n">
        <v>99</v>
      </c>
      <c r="L937" s="13" t="n">
        <v>117</v>
      </c>
      <c r="M937" s="13" t="n">
        <v>16.2</v>
      </c>
      <c r="N937" s="13" t="n">
        <v>1783</v>
      </c>
      <c r="O937" s="13" t="n">
        <v>1.01</v>
      </c>
      <c r="P937" s="13" t="n">
        <v>1798</v>
      </c>
      <c r="Q937" s="13" t="n">
        <v>172</v>
      </c>
      <c r="R937" s="13" t="n">
        <v>91</v>
      </c>
      <c r="S937" s="13" t="n">
        <v>51</v>
      </c>
      <c r="T937" s="13" t="n">
        <v>252</v>
      </c>
      <c r="U937" s="13" t="n">
        <v>18</v>
      </c>
      <c r="V937" s="13" t="n">
        <v>200</v>
      </c>
      <c r="W937" s="13" t="n">
        <v>0.356</v>
      </c>
      <c r="X937" s="13" t="n">
        <v>154</v>
      </c>
      <c r="Y937" s="13" t="n">
        <v>143</v>
      </c>
      <c r="Z937" s="13" t="n">
        <v>98</v>
      </c>
      <c r="AA937" s="13" t="n">
        <v>7</v>
      </c>
      <c r="AB937" s="13" t="n">
        <v>8.5</v>
      </c>
      <c r="AC937" s="11" t="inlineStr">
        <is>
          <t xml:space="preserve"> Resort Freeride</t>
        </is>
      </c>
      <c r="AD937" s="13" t="n"/>
      <c r="AE937" s="13" t="n"/>
      <c r="AF937" s="13" t="n"/>
      <c r="AG937" s="13" t="n"/>
    </row>
    <row r="938">
      <c r="A938" s="9" t="inlineStr">
        <is>
          <t>21/22</t>
        </is>
      </c>
      <c r="B938" s="10" t="inlineStr">
        <is>
          <t xml:space="preserve"> Nordica</t>
        </is>
      </c>
      <c r="C938" s="11" t="inlineStr">
        <is>
          <t>Santa Ana 98</t>
        </is>
      </c>
      <c r="D938" s="13" t="n">
        <v>172</v>
      </c>
      <c r="E938" s="11" t="inlineStr">
        <is>
          <t xml:space="preserve"> Women's</t>
        </is>
      </c>
      <c r="F938" s="13" t="n">
        <v>172</v>
      </c>
      <c r="G938" s="13" t="n">
        <v>171.1</v>
      </c>
      <c r="H938" s="13" t="n">
        <v>120</v>
      </c>
      <c r="I938" s="13" t="n">
        <v>142</v>
      </c>
      <c r="J938" s="13" t="n">
        <v>132</v>
      </c>
      <c r="K938" s="13" t="n">
        <v>99</v>
      </c>
      <c r="L938" s="13" t="n">
        <v>119</v>
      </c>
      <c r="M938" s="13" t="n">
        <v>16.9</v>
      </c>
      <c r="N938" s="13" t="n">
        <v>1927</v>
      </c>
      <c r="O938" s="13" t="n">
        <v>0.97</v>
      </c>
      <c r="P938" s="13" t="n">
        <v>1877</v>
      </c>
      <c r="Q938" s="13" t="n">
        <v>192</v>
      </c>
      <c r="R938" s="13" t="n">
        <v>99</v>
      </c>
      <c r="S938" s="13" t="n">
        <v>62</v>
      </c>
      <c r="T938" s="13" t="n">
        <v>296</v>
      </c>
      <c r="U938" s="13" t="n">
        <v>21</v>
      </c>
      <c r="V938" s="13" t="n">
        <v>213</v>
      </c>
      <c r="W938" s="13" t="n">
        <v>0.344</v>
      </c>
      <c r="X938" s="13" t="n">
        <v>142</v>
      </c>
      <c r="Y938" s="13" t="n">
        <v>150</v>
      </c>
      <c r="Z938" s="13" t="n">
        <v>154</v>
      </c>
      <c r="AA938" s="13" t="n">
        <v>5</v>
      </c>
      <c r="AB938" s="13" t="n">
        <v>8.199999999999999</v>
      </c>
      <c r="AC938" s="11" t="inlineStr">
        <is>
          <t xml:space="preserve"> Resort Freeride</t>
        </is>
      </c>
      <c r="AD938" s="13" t="n"/>
      <c r="AE938" s="13" t="n"/>
      <c r="AF938" s="13" t="n"/>
      <c r="AG938" s="13" t="n"/>
    </row>
    <row r="939">
      <c r="A939" s="9" t="inlineStr">
        <is>
          <t>21/22</t>
        </is>
      </c>
      <c r="B939" s="10" t="inlineStr">
        <is>
          <t xml:space="preserve"> Nordica</t>
        </is>
      </c>
      <c r="C939" s="11" t="inlineStr">
        <is>
          <t>Soul Rider 84</t>
        </is>
      </c>
      <c r="D939" s="13" t="n">
        <v>149</v>
      </c>
      <c r="E939" s="11" t="inlineStr">
        <is>
          <t xml:space="preserve"> Unisex</t>
        </is>
      </c>
      <c r="F939" s="13" t="n">
        <v>149</v>
      </c>
      <c r="G939" s="13" t="n">
        <v>147.3</v>
      </c>
      <c r="H939" s="13" t="n">
        <v>117</v>
      </c>
      <c r="I939" s="13" t="n">
        <v>131</v>
      </c>
      <c r="J939" s="13" t="n">
        <v>115</v>
      </c>
      <c r="K939" s="13" t="n">
        <v>81</v>
      </c>
      <c r="L939" s="13" t="n">
        <v>106</v>
      </c>
      <c r="M939" s="13" t="n">
        <v>14.4</v>
      </c>
      <c r="N939" s="13" t="n">
        <v>1359</v>
      </c>
      <c r="O939" s="13" t="n">
        <v>0.99</v>
      </c>
      <c r="P939" s="13" t="n">
        <v>1352</v>
      </c>
      <c r="Q939" s="13" t="n">
        <v>114</v>
      </c>
      <c r="R939" s="13" t="n">
        <v>59</v>
      </c>
      <c r="S939" s="13" t="n">
        <v>47</v>
      </c>
      <c r="T939" s="13" t="n">
        <v>156</v>
      </c>
      <c r="U939" s="13" t="n">
        <v>41</v>
      </c>
      <c r="V939" s="13" t="n">
        <v>148</v>
      </c>
      <c r="W939" s="13" t="n">
        <v>0.863</v>
      </c>
      <c r="X939" s="13" t="n">
        <v>91</v>
      </c>
      <c r="Y939" s="13" t="n">
        <v>76</v>
      </c>
      <c r="Z939" s="13" t="n">
        <v>65</v>
      </c>
      <c r="AA939" s="13" t="n">
        <v>10</v>
      </c>
      <c r="AB939" s="13" t="n">
        <v>8.199999999999999</v>
      </c>
      <c r="AC939" s="11" t="inlineStr">
        <is>
          <t xml:space="preserve"> Freeski</t>
        </is>
      </c>
      <c r="AD939" s="13" t="n"/>
      <c r="AE939" s="13" t="n"/>
      <c r="AF939" s="13" t="n"/>
      <c r="AG939" s="13" t="n"/>
    </row>
    <row r="940">
      <c r="A940" s="9" t="inlineStr">
        <is>
          <t>21/22</t>
        </is>
      </c>
      <c r="B940" s="10" t="inlineStr">
        <is>
          <t xml:space="preserve"> Nordica</t>
        </is>
      </c>
      <c r="C940" s="11" t="inlineStr">
        <is>
          <t>Soul Rider 84</t>
        </is>
      </c>
      <c r="D940" s="13" t="n">
        <v>156</v>
      </c>
      <c r="E940" s="11" t="inlineStr">
        <is>
          <t xml:space="preserve"> Unisex</t>
        </is>
      </c>
      <c r="F940" s="13" t="n">
        <v>156</v>
      </c>
      <c r="G940" s="13" t="n">
        <v>154.4</v>
      </c>
      <c r="H940" s="13" t="n">
        <v>124</v>
      </c>
      <c r="I940" s="13" t="n">
        <v>138</v>
      </c>
      <c r="J940" s="13" t="n">
        <v>115</v>
      </c>
      <c r="K940" s="13" t="n">
        <v>81</v>
      </c>
      <c r="L940" s="13" t="n">
        <v>106</v>
      </c>
      <c r="M940" s="13" t="n">
        <v>15.9</v>
      </c>
      <c r="N940" s="13" t="n">
        <v>1426</v>
      </c>
      <c r="O940" s="13" t="n">
        <v>0.99</v>
      </c>
      <c r="P940" s="13" t="n">
        <v>1417</v>
      </c>
      <c r="Q940" s="13" t="n">
        <v>135</v>
      </c>
      <c r="R940" s="13" t="n">
        <v>69</v>
      </c>
      <c r="S940" s="13" t="n">
        <v>48</v>
      </c>
      <c r="T940" s="13" t="n">
        <v>154</v>
      </c>
      <c r="U940" s="13" t="n">
        <v>41</v>
      </c>
      <c r="V940" s="13" t="n">
        <v>148</v>
      </c>
      <c r="W940" s="13" t="n">
        <v>0.855</v>
      </c>
      <c r="X940" s="13" t="n">
        <v>92</v>
      </c>
      <c r="Y940" s="13" t="n">
        <v>72</v>
      </c>
      <c r="Z940" s="13" t="n">
        <v>62</v>
      </c>
      <c r="AA940" s="13" t="n">
        <v>10</v>
      </c>
      <c r="AB940" s="13" t="n">
        <v>8.699999999999999</v>
      </c>
      <c r="AC940" s="11" t="inlineStr">
        <is>
          <t xml:space="preserve"> Resort Freeride</t>
        </is>
      </c>
      <c r="AD940" s="11" t="inlineStr">
        <is>
          <t xml:space="preserve"> Freeski</t>
        </is>
      </c>
      <c r="AE940" s="13" t="n"/>
      <c r="AF940" s="13" t="n"/>
      <c r="AG940" s="13" t="n"/>
    </row>
    <row r="941">
      <c r="A941" s="9" t="inlineStr">
        <is>
          <t>21/22</t>
        </is>
      </c>
      <c r="B941" s="10" t="inlineStr">
        <is>
          <t xml:space="preserve"> Nordica</t>
        </is>
      </c>
      <c r="C941" s="11" t="inlineStr">
        <is>
          <t>Soul Rider 84</t>
        </is>
      </c>
      <c r="D941" s="13" t="n">
        <v>163</v>
      </c>
      <c r="E941" s="11" t="inlineStr">
        <is>
          <t xml:space="preserve"> Unisex</t>
        </is>
      </c>
      <c r="F941" s="13" t="n">
        <v>163</v>
      </c>
      <c r="G941" s="13" t="n">
        <v>161.4</v>
      </c>
      <c r="H941" s="13" t="n">
        <v>132</v>
      </c>
      <c r="I941" s="13" t="n">
        <v>145</v>
      </c>
      <c r="J941" s="13" t="n">
        <v>120</v>
      </c>
      <c r="K941" s="13" t="n">
        <v>83</v>
      </c>
      <c r="L941" s="13" t="n">
        <v>109</v>
      </c>
      <c r="M941" s="13" t="n">
        <v>16</v>
      </c>
      <c r="N941" s="13" t="n">
        <v>1565</v>
      </c>
      <c r="O941" s="13" t="n">
        <v>0.98</v>
      </c>
      <c r="P941" s="13" t="n">
        <v>1527</v>
      </c>
      <c r="Q941" s="13" t="n">
        <v>160</v>
      </c>
      <c r="R941" s="13" t="n">
        <v>86</v>
      </c>
      <c r="S941" s="13" t="n">
        <v>45</v>
      </c>
      <c r="T941" s="13" t="n">
        <v>152</v>
      </c>
      <c r="U941" s="13" t="n">
        <v>39</v>
      </c>
      <c r="V941" s="13" t="n">
        <v>140</v>
      </c>
      <c r="W941" s="13" t="n">
        <v>0.866</v>
      </c>
      <c r="X941" s="13" t="n">
        <v>90</v>
      </c>
      <c r="Y941" s="13" t="n">
        <v>76</v>
      </c>
      <c r="Z941" s="13" t="n">
        <v>62</v>
      </c>
      <c r="AA941" s="13" t="n">
        <v>9</v>
      </c>
      <c r="AB941" s="13" t="n">
        <v>9.300000000000001</v>
      </c>
      <c r="AC941" s="11" t="inlineStr">
        <is>
          <t xml:space="preserve"> Freeski</t>
        </is>
      </c>
      <c r="AD941" s="13" t="n"/>
      <c r="AE941" s="13" t="n"/>
      <c r="AF941" s="13" t="n"/>
      <c r="AG941" s="13" t="n"/>
    </row>
    <row r="942">
      <c r="A942" s="9" t="inlineStr">
        <is>
          <t>21/22</t>
        </is>
      </c>
      <c r="B942" s="10" t="inlineStr">
        <is>
          <t xml:space="preserve"> Nordica</t>
        </is>
      </c>
      <c r="C942" s="11" t="inlineStr">
        <is>
          <t>Soul Rider 84</t>
        </is>
      </c>
      <c r="D942" s="13" t="n">
        <v>170</v>
      </c>
      <c r="E942" s="11" t="inlineStr">
        <is>
          <t xml:space="preserve"> Unisex</t>
        </is>
      </c>
      <c r="F942" s="13" t="n">
        <v>170</v>
      </c>
      <c r="G942" s="13" t="n">
        <v>168.6</v>
      </c>
      <c r="H942" s="13" t="n">
        <v>138</v>
      </c>
      <c r="I942" s="13" t="n">
        <v>151</v>
      </c>
      <c r="J942" s="13" t="n">
        <v>120</v>
      </c>
      <c r="K942" s="13" t="n">
        <v>83</v>
      </c>
      <c r="L942" s="13" t="n">
        <v>109</v>
      </c>
      <c r="M942" s="13" t="n">
        <v>18</v>
      </c>
      <c r="N942" s="13" t="n">
        <v>1690</v>
      </c>
      <c r="O942" s="13" t="n">
        <v>0.9399999999999999</v>
      </c>
      <c r="P942" s="13" t="n">
        <v>1593</v>
      </c>
      <c r="Q942" s="13" t="n">
        <v>200</v>
      </c>
      <c r="R942" s="13" t="n">
        <v>103</v>
      </c>
      <c r="S942" s="13" t="n">
        <v>48</v>
      </c>
      <c r="T942" s="13" t="n">
        <v>159</v>
      </c>
      <c r="U942" s="13" t="n">
        <v>41</v>
      </c>
      <c r="V942" s="13" t="n">
        <v>143</v>
      </c>
      <c r="W942" s="13" t="n">
        <v>0.853</v>
      </c>
      <c r="X942" s="13" t="n">
        <v>94</v>
      </c>
      <c r="Y942" s="13" t="n">
        <v>78</v>
      </c>
      <c r="Z942" s="13" t="n">
        <v>65</v>
      </c>
      <c r="AA942" s="13" t="n">
        <v>11</v>
      </c>
      <c r="AB942" s="13" t="n">
        <v>9.699999999999999</v>
      </c>
      <c r="AC942" s="11" t="inlineStr">
        <is>
          <t xml:space="preserve"> Resort Freeride</t>
        </is>
      </c>
      <c r="AD942" s="11" t="inlineStr">
        <is>
          <t xml:space="preserve"> Freeski</t>
        </is>
      </c>
      <c r="AE942" s="13" t="n"/>
      <c r="AF942" s="13" t="n"/>
      <c r="AG942" s="13" t="n"/>
    </row>
    <row r="943">
      <c r="A943" s="9" t="inlineStr">
        <is>
          <t>21/22</t>
        </is>
      </c>
      <c r="B943" s="10" t="inlineStr">
        <is>
          <t xml:space="preserve"> Nordica</t>
        </is>
      </c>
      <c r="C943" s="11" t="inlineStr">
        <is>
          <t>Soul Rider 87</t>
        </is>
      </c>
      <c r="D943" s="13" t="n">
        <v>169</v>
      </c>
      <c r="E943" s="11" t="inlineStr">
        <is>
          <t xml:space="preserve"> Unisex</t>
        </is>
      </c>
      <c r="F943" s="13" t="n">
        <v>169</v>
      </c>
      <c r="G943" s="13" t="n">
        <v>167.6</v>
      </c>
      <c r="H943" s="13" t="n">
        <v>133</v>
      </c>
      <c r="I943" s="13" t="n">
        <v>145</v>
      </c>
      <c r="J943" s="13" t="n">
        <v>123</v>
      </c>
      <c r="K943" s="13" t="n">
        <v>86</v>
      </c>
      <c r="L943" s="13" t="n">
        <v>113</v>
      </c>
      <c r="M943" s="13" t="n">
        <v>15.3</v>
      </c>
      <c r="N943" s="13" t="n">
        <v>1841</v>
      </c>
      <c r="O943" s="13" t="n">
        <v>0.9</v>
      </c>
      <c r="P943" s="13" t="n">
        <v>1654</v>
      </c>
      <c r="Q943" s="13" t="n">
        <v>156</v>
      </c>
      <c r="R943" s="13" t="n">
        <v>77</v>
      </c>
      <c r="S943" s="13" t="n">
        <v>46</v>
      </c>
      <c r="T943" s="13" t="n">
        <v>174</v>
      </c>
      <c r="U943" s="13" t="n">
        <v>44</v>
      </c>
      <c r="V943" s="13" t="n">
        <v>176</v>
      </c>
      <c r="W943" s="13" t="n">
        <v>0.957</v>
      </c>
      <c r="X943" s="13" t="n">
        <v>106</v>
      </c>
      <c r="Y943" s="13" t="n">
        <v>122</v>
      </c>
      <c r="Z943" s="13" t="n">
        <v>67</v>
      </c>
      <c r="AA943" s="13" t="n">
        <v>12</v>
      </c>
      <c r="AB943" s="13" t="n">
        <v>5.2</v>
      </c>
      <c r="AC943" s="11" t="inlineStr">
        <is>
          <t xml:space="preserve"> Freeski</t>
        </is>
      </c>
      <c r="AD943" s="13" t="n"/>
      <c r="AE943" s="13" t="n"/>
      <c r="AF943" s="13" t="n"/>
      <c r="AG943" s="13" t="n"/>
    </row>
    <row r="944">
      <c r="A944" s="9" t="inlineStr">
        <is>
          <t>21/22</t>
        </is>
      </c>
      <c r="B944" s="10" t="inlineStr">
        <is>
          <t xml:space="preserve"> Nordica</t>
        </is>
      </c>
      <c r="C944" s="11" t="inlineStr">
        <is>
          <t>Soul Rider 87</t>
        </is>
      </c>
      <c r="D944" s="13" t="n">
        <v>177</v>
      </c>
      <c r="E944" s="11" t="inlineStr">
        <is>
          <t xml:space="preserve"> Unisex</t>
        </is>
      </c>
      <c r="F944" s="13" t="n">
        <v>177</v>
      </c>
      <c r="G944" s="13" t="n">
        <v>175</v>
      </c>
      <c r="H944" s="13" t="n">
        <v>138</v>
      </c>
      <c r="I944" s="13" t="n">
        <v>153</v>
      </c>
      <c r="J944" s="13" t="n">
        <v>124</v>
      </c>
      <c r="K944" s="13" t="n">
        <v>86</v>
      </c>
      <c r="L944" s="13" t="n">
        <v>114</v>
      </c>
      <c r="M944" s="13" t="n">
        <v>16.5</v>
      </c>
      <c r="N944" s="13" t="n">
        <v>1946</v>
      </c>
      <c r="O944" s="13" t="n">
        <v>0.89</v>
      </c>
      <c r="P944" s="13" t="n">
        <v>1727</v>
      </c>
      <c r="Q944" s="13" t="n">
        <v>218</v>
      </c>
      <c r="R944" s="13" t="n">
        <v>96</v>
      </c>
      <c r="S944" s="13" t="n">
        <v>47</v>
      </c>
      <c r="T944" s="13" t="n">
        <v>180</v>
      </c>
      <c r="U944" s="13" t="n">
        <v>48</v>
      </c>
      <c r="V944" s="13" t="n">
        <v>185</v>
      </c>
      <c r="W944" s="13" t="n">
        <v>1.011</v>
      </c>
      <c r="X944" s="13" t="n">
        <v>103</v>
      </c>
      <c r="Y944" s="13" t="n">
        <v>115</v>
      </c>
      <c r="Z944" s="13" t="n">
        <v>78</v>
      </c>
      <c r="AA944" s="13" t="n">
        <v>8</v>
      </c>
      <c r="AB944" s="13" t="n">
        <v>6.6</v>
      </c>
      <c r="AC944" s="11" t="inlineStr">
        <is>
          <t xml:space="preserve"> Freeski</t>
        </is>
      </c>
      <c r="AD944" s="13" t="n"/>
      <c r="AE944" s="13" t="n"/>
      <c r="AF944" s="13" t="n"/>
      <c r="AG944" s="13" t="n"/>
    </row>
    <row r="945">
      <c r="A945" s="9" t="inlineStr">
        <is>
          <t>21/22</t>
        </is>
      </c>
      <c r="B945" s="10" t="inlineStr">
        <is>
          <t xml:space="preserve"> Nordica</t>
        </is>
      </c>
      <c r="C945" s="11" t="inlineStr">
        <is>
          <t>Soul Rider 87</t>
        </is>
      </c>
      <c r="D945" s="13" t="n">
        <v>185</v>
      </c>
      <c r="E945" s="11" t="inlineStr">
        <is>
          <t xml:space="preserve"> Unisex</t>
        </is>
      </c>
      <c r="F945" s="13" t="n">
        <v>185</v>
      </c>
      <c r="G945" s="13" t="n">
        <v>185</v>
      </c>
      <c r="H945" s="13" t="n">
        <v>147</v>
      </c>
      <c r="I945" s="13" t="n">
        <v>160</v>
      </c>
      <c r="J945" s="13" t="n">
        <v>124</v>
      </c>
      <c r="K945" s="13" t="n">
        <v>86</v>
      </c>
      <c r="L945" s="13" t="n">
        <v>114</v>
      </c>
      <c r="M945" s="13" t="n">
        <v>18.5</v>
      </c>
      <c r="N945" s="13" t="n">
        <v>2107</v>
      </c>
      <c r="O945" s="13" t="n">
        <v>0.86</v>
      </c>
      <c r="P945" s="13" t="n">
        <v>1819</v>
      </c>
      <c r="Q945" s="13" t="n">
        <v>239</v>
      </c>
      <c r="R945" s="13" t="n">
        <v>106</v>
      </c>
      <c r="S945" s="13" t="n">
        <v>50</v>
      </c>
      <c r="T945" s="13" t="n">
        <v>180</v>
      </c>
      <c r="U945" s="13" t="n">
        <v>59</v>
      </c>
      <c r="V945" s="13" t="n">
        <v>203</v>
      </c>
      <c r="W945" s="13" t="n">
        <v>1.19</v>
      </c>
      <c r="X945" s="13" t="n">
        <v>98</v>
      </c>
      <c r="Y945" s="13" t="n">
        <v>152</v>
      </c>
      <c r="Z945" s="13" t="n">
        <v>83</v>
      </c>
      <c r="AA945" s="13" t="n">
        <v>11</v>
      </c>
      <c r="AB945" s="13" t="n">
        <v>5.9</v>
      </c>
      <c r="AC945" s="11" t="inlineStr">
        <is>
          <t xml:space="preserve"> Freeski</t>
        </is>
      </c>
      <c r="AD945" s="13" t="n"/>
      <c r="AE945" s="13" t="n"/>
      <c r="AF945" s="13" t="n"/>
      <c r="AG945" s="13" t="n"/>
    </row>
    <row r="946">
      <c r="A946" s="9" t="inlineStr">
        <is>
          <t>21/22</t>
        </is>
      </c>
      <c r="B946" s="10" t="inlineStr">
        <is>
          <t xml:space="preserve"> Nordica</t>
        </is>
      </c>
      <c r="C946" s="11" t="inlineStr">
        <is>
          <t>Soul Rider 97</t>
        </is>
      </c>
      <c r="D946" s="13" t="n">
        <v>169</v>
      </c>
      <c r="E946" s="11" t="inlineStr">
        <is>
          <t xml:space="preserve"> Unisex</t>
        </is>
      </c>
      <c r="F946" s="13" t="n">
        <v>169</v>
      </c>
      <c r="G946" s="13" t="n">
        <v>167.4</v>
      </c>
      <c r="H946" s="13" t="n">
        <v>132</v>
      </c>
      <c r="I946" s="13" t="n">
        <v>143</v>
      </c>
      <c r="J946" s="13" t="n">
        <v>134</v>
      </c>
      <c r="K946" s="13" t="n">
        <v>96</v>
      </c>
      <c r="L946" s="13" t="n">
        <v>124</v>
      </c>
      <c r="M946" s="13" t="n">
        <v>14.8</v>
      </c>
      <c r="N946" s="13" t="n">
        <v>1913</v>
      </c>
      <c r="O946" s="13" t="n">
        <v>0.95</v>
      </c>
      <c r="P946" s="13" t="n">
        <v>1821</v>
      </c>
      <c r="Q946" s="13" t="n">
        <v>168</v>
      </c>
      <c r="R946" s="13" t="n">
        <v>81</v>
      </c>
      <c r="S946" s="13" t="n">
        <v>45</v>
      </c>
      <c r="T946" s="13" t="n">
        <v>175</v>
      </c>
      <c r="U946" s="13" t="n">
        <v>47</v>
      </c>
      <c r="V946" s="13" t="n">
        <v>177</v>
      </c>
      <c r="W946" s="13" t="n">
        <v>1.047</v>
      </c>
      <c r="X946" s="13" t="n">
        <v>105</v>
      </c>
      <c r="Y946" s="13" t="n">
        <v>135</v>
      </c>
      <c r="Z946" s="13" t="n">
        <v>70</v>
      </c>
      <c r="AA946" s="13" t="n">
        <v>11</v>
      </c>
      <c r="AB946" s="13" t="n">
        <v>6</v>
      </c>
      <c r="AC946" s="11" t="inlineStr">
        <is>
          <t xml:space="preserve"> Freeski</t>
        </is>
      </c>
      <c r="AD946" s="13" t="n"/>
      <c r="AE946" s="13" t="n"/>
      <c r="AF946" s="13" t="n"/>
      <c r="AG946" s="13" t="n"/>
    </row>
    <row r="947">
      <c r="A947" s="9" t="inlineStr">
        <is>
          <t>21/22</t>
        </is>
      </c>
      <c r="B947" s="10" t="inlineStr">
        <is>
          <t xml:space="preserve"> Nordica</t>
        </is>
      </c>
      <c r="C947" s="11" t="inlineStr">
        <is>
          <t>Soul Rider 97</t>
        </is>
      </c>
      <c r="D947" s="13" t="n">
        <v>177</v>
      </c>
      <c r="E947" s="11" t="inlineStr">
        <is>
          <t xml:space="preserve"> Unisex</t>
        </is>
      </c>
      <c r="F947" s="13" t="n">
        <v>177</v>
      </c>
      <c r="G947" s="13" t="n">
        <v>175.3</v>
      </c>
      <c r="H947" s="13" t="n">
        <v>140</v>
      </c>
      <c r="I947" s="13" t="n">
        <v>152</v>
      </c>
      <c r="J947" s="13" t="n">
        <v>133</v>
      </c>
      <c r="K947" s="13" t="n">
        <v>96</v>
      </c>
      <c r="L947" s="13" t="n">
        <v>123</v>
      </c>
      <c r="M947" s="13" t="n">
        <v>16.9</v>
      </c>
      <c r="N947" s="13" t="n">
        <v>1992</v>
      </c>
      <c r="O947" s="13" t="n">
        <v>0.95</v>
      </c>
      <c r="P947" s="13" t="n">
        <v>1896</v>
      </c>
      <c r="Q947" s="13" t="n">
        <v>184</v>
      </c>
      <c r="R947" s="13" t="n">
        <v>91</v>
      </c>
      <c r="S947" s="13" t="n">
        <v>48</v>
      </c>
      <c r="T947" s="13" t="n">
        <v>177</v>
      </c>
      <c r="U947" s="13" t="n">
        <v>44</v>
      </c>
      <c r="V947" s="13" t="n">
        <v>175</v>
      </c>
      <c r="W947" s="13" t="n">
        <v>0.922</v>
      </c>
      <c r="X947" s="13" t="n">
        <v>103</v>
      </c>
      <c r="Y947" s="13" t="n">
        <v>128</v>
      </c>
      <c r="Z947" s="13" t="n">
        <v>74</v>
      </c>
      <c r="AA947" s="13" t="n">
        <v>11</v>
      </c>
      <c r="AB947" s="13" t="n">
        <v>6</v>
      </c>
      <c r="AC947" s="11" t="inlineStr">
        <is>
          <t xml:space="preserve"> Freeski</t>
        </is>
      </c>
      <c r="AD947" s="13" t="n"/>
      <c r="AE947" s="13" t="n"/>
      <c r="AF947" s="13" t="n"/>
      <c r="AG947" s="13" t="n"/>
    </row>
    <row r="948">
      <c r="A948" s="9" t="inlineStr">
        <is>
          <t>21/22</t>
        </is>
      </c>
      <c r="B948" s="10" t="inlineStr">
        <is>
          <t xml:space="preserve"> Nordica</t>
        </is>
      </c>
      <c r="C948" s="11" t="inlineStr">
        <is>
          <t>Soul Rider 97</t>
        </is>
      </c>
      <c r="D948" s="13" t="n">
        <v>185</v>
      </c>
      <c r="E948" s="11" t="inlineStr">
        <is>
          <t xml:space="preserve"> Unisex</t>
        </is>
      </c>
      <c r="F948" s="13" t="n">
        <v>185</v>
      </c>
      <c r="G948" s="13" t="n">
        <v>183.1</v>
      </c>
      <c r="H948" s="13" t="n">
        <v>148</v>
      </c>
      <c r="I948" s="13" t="n">
        <v>160</v>
      </c>
      <c r="J948" s="13" t="n">
        <v>133</v>
      </c>
      <c r="K948" s="13" t="n">
        <v>96</v>
      </c>
      <c r="L948" s="13" t="n">
        <v>123</v>
      </c>
      <c r="M948" s="13" t="n">
        <v>19</v>
      </c>
      <c r="N948" s="13" t="n">
        <v>2129</v>
      </c>
      <c r="O948" s="13" t="n">
        <v>0.93</v>
      </c>
      <c r="P948" s="13" t="n">
        <v>1975</v>
      </c>
      <c r="Q948" s="13" t="n">
        <v>202</v>
      </c>
      <c r="R948" s="13" t="n">
        <v>101</v>
      </c>
      <c r="S948" s="13" t="n">
        <v>52</v>
      </c>
      <c r="T948" s="13" t="n">
        <v>178</v>
      </c>
      <c r="U948" s="13" t="n">
        <v>48</v>
      </c>
      <c r="V948" s="13" t="n">
        <v>175</v>
      </c>
      <c r="W948" s="13" t="n">
        <v>0.92</v>
      </c>
      <c r="X948" s="13" t="n">
        <v>105</v>
      </c>
      <c r="Y948" s="13" t="n">
        <v>126</v>
      </c>
      <c r="Z948" s="13" t="n">
        <v>74</v>
      </c>
      <c r="AA948" s="13" t="n">
        <v>11</v>
      </c>
      <c r="AB948" s="13" t="n">
        <v>6.3</v>
      </c>
      <c r="AC948" s="11" t="inlineStr">
        <is>
          <t xml:space="preserve"> Freeski</t>
        </is>
      </c>
      <c r="AD948" s="13" t="n"/>
      <c r="AE948" s="13" t="n"/>
      <c r="AF948" s="13" t="n"/>
      <c r="AG948" s="13" t="n"/>
    </row>
    <row r="949">
      <c r="A949" s="9" t="inlineStr">
        <is>
          <t>21/22</t>
        </is>
      </c>
      <c r="B949" s="10" t="inlineStr">
        <is>
          <t xml:space="preserve"> Nordica</t>
        </is>
      </c>
      <c r="C949" s="11" t="inlineStr">
        <is>
          <t>Spitfire 70 Pro</t>
        </is>
      </c>
      <c r="D949" s="13" t="n">
        <v>160</v>
      </c>
      <c r="E949" s="11" t="inlineStr">
        <is>
          <t xml:space="preserve"> Unisex</t>
        </is>
      </c>
      <c r="F949" s="13" t="n">
        <v>160</v>
      </c>
      <c r="G949" s="13" t="n">
        <v>159.2</v>
      </c>
      <c r="H949" s="13" t="n">
        <v>141</v>
      </c>
      <c r="I949" s="13" t="n">
        <v>148</v>
      </c>
      <c r="J949" s="13" t="n">
        <v>117</v>
      </c>
      <c r="K949" s="13" t="n">
        <v>69</v>
      </c>
      <c r="L949" s="13" t="n">
        <v>98</v>
      </c>
      <c r="M949" s="13" t="n">
        <v>14.2</v>
      </c>
      <c r="N949" s="13" t="n">
        <v>1892</v>
      </c>
      <c r="O949" s="13" t="n">
        <v>0.7</v>
      </c>
      <c r="P949" s="13" t="n">
        <v>1328</v>
      </c>
      <c r="Q949" s="13" t="n">
        <v>168</v>
      </c>
      <c r="R949" s="13" t="n">
        <v>103</v>
      </c>
      <c r="S949" s="13" t="n">
        <v>36</v>
      </c>
      <c r="T949" s="13" t="n">
        <v>131</v>
      </c>
      <c r="U949" s="13" t="n">
        <v>6</v>
      </c>
      <c r="V949" s="13" t="n">
        <v>52</v>
      </c>
      <c r="W949" s="13" t="n">
        <v>0.174</v>
      </c>
      <c r="X949" s="13" t="n">
        <v>63</v>
      </c>
      <c r="Y949" s="13" t="n">
        <v>45</v>
      </c>
      <c r="Z949" s="13" t="n">
        <v>68</v>
      </c>
      <c r="AA949" s="13" t="n">
        <v>8</v>
      </c>
      <c r="AB949" s="13" t="n">
        <v>12.6</v>
      </c>
      <c r="AC949" s="11" t="inlineStr">
        <is>
          <t xml:space="preserve"> On-Piste Carving</t>
        </is>
      </c>
      <c r="AD949" s="13" t="n"/>
      <c r="AE949" s="13" t="n"/>
      <c r="AF949" s="13" t="n"/>
      <c r="AG949" s="13" t="n"/>
    </row>
    <row r="950">
      <c r="A950" s="9" t="inlineStr">
        <is>
          <t>21/22</t>
        </is>
      </c>
      <c r="B950" s="10" t="inlineStr">
        <is>
          <t xml:space="preserve"> Nordica</t>
        </is>
      </c>
      <c r="C950" s="11" t="inlineStr">
        <is>
          <t>Spitfire 70 Pro</t>
        </is>
      </c>
      <c r="D950" s="13" t="n">
        <v>165</v>
      </c>
      <c r="E950" s="11" t="inlineStr">
        <is>
          <t xml:space="preserve"> Unisex</t>
        </is>
      </c>
      <c r="F950" s="13" t="n">
        <v>165</v>
      </c>
      <c r="G950" s="13" t="n">
        <v>164.6</v>
      </c>
      <c r="H950" s="13" t="n">
        <v>146</v>
      </c>
      <c r="I950" s="13" t="n">
        <v>153</v>
      </c>
      <c r="J950" s="13" t="n">
        <v>118</v>
      </c>
      <c r="K950" s="13" t="n">
        <v>69</v>
      </c>
      <c r="L950" s="13" t="n">
        <v>97</v>
      </c>
      <c r="M950" s="13" t="n">
        <v>15</v>
      </c>
      <c r="N950" s="13" t="n">
        <v>1999</v>
      </c>
      <c r="O950" s="13" t="n">
        <v>0.6899999999999999</v>
      </c>
      <c r="P950" s="13" t="n">
        <v>1377</v>
      </c>
      <c r="Q950" s="13" t="n">
        <v>167</v>
      </c>
      <c r="R950" s="13" t="n">
        <v>109</v>
      </c>
      <c r="S950" s="13" t="n">
        <v>35</v>
      </c>
      <c r="T950" s="13" t="n">
        <v>129</v>
      </c>
      <c r="U950" s="13" t="n">
        <v>7</v>
      </c>
      <c r="V950" s="13" t="n">
        <v>52</v>
      </c>
      <c r="W950" s="13" t="n">
        <v>0.189</v>
      </c>
      <c r="X950" s="13" t="n">
        <v>61</v>
      </c>
      <c r="Y950" s="13" t="n">
        <v>57</v>
      </c>
      <c r="Z950" s="13" t="n">
        <v>68</v>
      </c>
      <c r="AA950" s="13" t="n">
        <v>9</v>
      </c>
      <c r="AB950" s="13" t="n">
        <v>13</v>
      </c>
      <c r="AC950" s="11" t="inlineStr">
        <is>
          <t xml:space="preserve"> On-Piste Carving</t>
        </is>
      </c>
      <c r="AD950" s="13" t="n"/>
      <c r="AE950" s="13" t="n"/>
      <c r="AF950" s="13" t="n"/>
      <c r="AG950" s="13" t="n"/>
    </row>
    <row r="951">
      <c r="A951" s="9" t="inlineStr">
        <is>
          <t>21/22</t>
        </is>
      </c>
      <c r="B951" s="10" t="inlineStr">
        <is>
          <t xml:space="preserve"> Nordica</t>
        </is>
      </c>
      <c r="C951" s="11" t="inlineStr">
        <is>
          <t>Spitfire 70 Pro</t>
        </is>
      </c>
      <c r="D951" s="13" t="n">
        <v>170</v>
      </c>
      <c r="E951" s="11" t="inlineStr">
        <is>
          <t xml:space="preserve"> Unisex</t>
        </is>
      </c>
      <c r="F951" s="13" t="n">
        <v>170</v>
      </c>
      <c r="G951" s="13" t="n">
        <v>169.2</v>
      </c>
      <c r="H951" s="13" t="n">
        <v>151</v>
      </c>
      <c r="I951" s="13" t="n">
        <v>157</v>
      </c>
      <c r="J951" s="13" t="n">
        <v>120</v>
      </c>
      <c r="K951" s="13" t="n">
        <v>69</v>
      </c>
      <c r="L951" s="13" t="n">
        <v>100</v>
      </c>
      <c r="M951" s="13" t="n">
        <v>15.2</v>
      </c>
      <c r="N951" s="13" t="n">
        <v>2064</v>
      </c>
      <c r="O951" s="13" t="n">
        <v>0.6899999999999999</v>
      </c>
      <c r="P951" s="13" t="n">
        <v>1427</v>
      </c>
      <c r="Q951" s="13" t="n">
        <v>198</v>
      </c>
      <c r="R951" s="13" t="n">
        <v>125</v>
      </c>
      <c r="S951" s="13" t="n">
        <v>36</v>
      </c>
      <c r="T951" s="13" t="n">
        <v>133</v>
      </c>
      <c r="U951" s="13" t="n">
        <v>6</v>
      </c>
      <c r="V951" s="13" t="n">
        <v>49</v>
      </c>
      <c r="W951" s="13" t="n">
        <v>0.164</v>
      </c>
      <c r="X951" s="13" t="n">
        <v>67</v>
      </c>
      <c r="Y951" s="13" t="n">
        <v>52</v>
      </c>
      <c r="Z951" s="13" t="n">
        <v>66</v>
      </c>
      <c r="AA951" s="13" t="n">
        <v>9</v>
      </c>
      <c r="AB951" s="13" t="n">
        <v>13.2</v>
      </c>
      <c r="AC951" s="11" t="inlineStr">
        <is>
          <t xml:space="preserve"> On-Piste Carving</t>
        </is>
      </c>
      <c r="AD951" s="13" t="n"/>
      <c r="AE951" s="13" t="n"/>
      <c r="AF951" s="13" t="n"/>
      <c r="AG951" s="13" t="n"/>
    </row>
    <row r="952">
      <c r="A952" s="9" t="inlineStr">
        <is>
          <t>21/22</t>
        </is>
      </c>
      <c r="B952" s="10" t="inlineStr">
        <is>
          <t xml:space="preserve"> Nordica</t>
        </is>
      </c>
      <c r="C952" s="11" t="inlineStr">
        <is>
          <t>Spitfire 70 Ti</t>
        </is>
      </c>
      <c r="D952" s="13" t="n">
        <v>165</v>
      </c>
      <c r="E952" s="11" t="inlineStr">
        <is>
          <t xml:space="preserve"> Unisex</t>
        </is>
      </c>
      <c r="F952" s="13" t="n">
        <v>165</v>
      </c>
      <c r="G952" s="13" t="n">
        <v>164.2</v>
      </c>
      <c r="H952" s="13" t="n">
        <v>146</v>
      </c>
      <c r="I952" s="13" t="n">
        <v>154</v>
      </c>
      <c r="J952" s="13" t="n">
        <v>119</v>
      </c>
      <c r="K952" s="13" t="n">
        <v>70</v>
      </c>
      <c r="L952" s="13" t="n">
        <v>98</v>
      </c>
      <c r="M952" s="13" t="n">
        <v>15</v>
      </c>
      <c r="N952" s="13" t="n">
        <v>1954</v>
      </c>
      <c r="O952" s="13" t="n">
        <v>0.71</v>
      </c>
      <c r="P952" s="13" t="n">
        <v>1380</v>
      </c>
      <c r="Q952" s="13" t="n">
        <v>185</v>
      </c>
      <c r="R952" s="13" t="n">
        <v>98</v>
      </c>
      <c r="S952" s="13" t="n">
        <v>36</v>
      </c>
      <c r="T952" s="13" t="n">
        <v>131</v>
      </c>
      <c r="U952" s="13" t="n">
        <v>5</v>
      </c>
      <c r="V952" s="13" t="n">
        <v>49</v>
      </c>
      <c r="W952" s="13" t="n">
        <v>0.145</v>
      </c>
      <c r="X952" s="13" t="n">
        <v>62</v>
      </c>
      <c r="Y952" s="13" t="n">
        <v>44</v>
      </c>
      <c r="Z952" s="13" t="n">
        <v>69</v>
      </c>
      <c r="AA952" s="13" t="n">
        <v>9</v>
      </c>
      <c r="AB952" s="13" t="n">
        <v>13.1</v>
      </c>
      <c r="AC952" s="11" t="inlineStr">
        <is>
          <t xml:space="preserve"> On-Piste Carving</t>
        </is>
      </c>
      <c r="AD952" s="13" t="n"/>
      <c r="AE952" s="13" t="n"/>
      <c r="AF952" s="13" t="n"/>
      <c r="AG952" s="13" t="n"/>
    </row>
    <row r="953">
      <c r="A953" s="9" t="inlineStr">
        <is>
          <t>21/22</t>
        </is>
      </c>
      <c r="B953" s="10" t="inlineStr">
        <is>
          <t xml:space="preserve"> Nordica</t>
        </is>
      </c>
      <c r="C953" s="11" t="inlineStr">
        <is>
          <t>Spitfire 70 Ti</t>
        </is>
      </c>
      <c r="D953" s="13" t="n">
        <v>170</v>
      </c>
      <c r="E953" s="11" t="inlineStr">
        <is>
          <t xml:space="preserve"> Unisex</t>
        </is>
      </c>
      <c r="F953" s="13" t="n">
        <v>170</v>
      </c>
      <c r="G953" s="13" t="n">
        <v>168.9</v>
      </c>
      <c r="H953" s="13" t="n">
        <v>150</v>
      </c>
      <c r="I953" s="13" t="n">
        <v>158</v>
      </c>
      <c r="J953" s="13" t="n">
        <v>121</v>
      </c>
      <c r="K953" s="13" t="n">
        <v>69</v>
      </c>
      <c r="L953" s="13" t="n">
        <v>100</v>
      </c>
      <c r="M953" s="13" t="n">
        <v>15.3</v>
      </c>
      <c r="N953" s="13" t="n">
        <v>2112</v>
      </c>
      <c r="O953" s="13" t="n">
        <v>0.68</v>
      </c>
      <c r="P953" s="13" t="n">
        <v>1428</v>
      </c>
      <c r="Q953" s="13" t="n">
        <v>227</v>
      </c>
      <c r="R953" s="13" t="n">
        <v>111</v>
      </c>
      <c r="S953" s="13" t="n">
        <v>40</v>
      </c>
      <c r="T953" s="13" t="n">
        <v>139</v>
      </c>
      <c r="U953" s="13" t="n">
        <v>6</v>
      </c>
      <c r="V953" s="13" t="n">
        <v>54</v>
      </c>
      <c r="W953" s="13" t="n">
        <v>0.153</v>
      </c>
      <c r="X953" s="13" t="n">
        <v>66</v>
      </c>
      <c r="Y953" s="13" t="n">
        <v>48</v>
      </c>
      <c r="Z953" s="13" t="n">
        <v>73</v>
      </c>
      <c r="AA953" s="13" t="n">
        <v>5</v>
      </c>
      <c r="AB953" s="13" t="n">
        <v>12.9</v>
      </c>
      <c r="AC953" s="11" t="inlineStr">
        <is>
          <t xml:space="preserve"> On-Piste Carving</t>
        </is>
      </c>
      <c r="AD953" s="13" t="n"/>
      <c r="AE953" s="13" t="n"/>
      <c r="AF953" s="13" t="n"/>
      <c r="AG953" s="13" t="n"/>
    </row>
    <row r="954">
      <c r="A954" s="9" t="inlineStr">
        <is>
          <t>21/22</t>
        </is>
      </c>
      <c r="B954" s="10" t="inlineStr">
        <is>
          <t xml:space="preserve"> Nordica</t>
        </is>
      </c>
      <c r="C954" s="11" t="inlineStr">
        <is>
          <t>Wild Belle 74</t>
        </is>
      </c>
      <c r="D954" s="13" t="n">
        <v>150</v>
      </c>
      <c r="E954" s="11" t="inlineStr">
        <is>
          <t xml:space="preserve"> Women's</t>
        </is>
      </c>
      <c r="F954" s="13" t="n">
        <v>150</v>
      </c>
      <c r="G954" s="13" t="n">
        <v>148.9</v>
      </c>
      <c r="H954" s="13" t="n">
        <v>125</v>
      </c>
      <c r="I954" s="13" t="n">
        <v>136</v>
      </c>
      <c r="J954" s="13" t="n">
        <v>123</v>
      </c>
      <c r="K954" s="13" t="n">
        <v>74</v>
      </c>
      <c r="L954" s="13" t="n">
        <v>103</v>
      </c>
      <c r="M954" s="13" t="n">
        <v>11.9</v>
      </c>
      <c r="N954" s="13" t="n">
        <v>1528</v>
      </c>
      <c r="O954" s="13" t="n">
        <v>0.87</v>
      </c>
      <c r="P954" s="13" t="n">
        <v>1323</v>
      </c>
      <c r="Q954" s="13" t="n">
        <v>153</v>
      </c>
      <c r="R954" s="13" t="n">
        <v>60</v>
      </c>
      <c r="S954" s="13" t="n">
        <v>39</v>
      </c>
      <c r="T954" s="13" t="n">
        <v>170</v>
      </c>
      <c r="U954" s="13" t="n">
        <v>12</v>
      </c>
      <c r="V954" s="13" t="n">
        <v>69</v>
      </c>
      <c r="W954" s="13" t="n">
        <v>0.31</v>
      </c>
      <c r="X954" s="13" t="n">
        <v>62</v>
      </c>
      <c r="Y954" s="13" t="n">
        <v>67</v>
      </c>
      <c r="Z954" s="13" t="n">
        <v>108</v>
      </c>
      <c r="AA954" s="13" t="n">
        <v>6</v>
      </c>
      <c r="AB954" s="13" t="n">
        <v>9.300000000000001</v>
      </c>
      <c r="AC954" s="11" t="inlineStr">
        <is>
          <t xml:space="preserve"> On-Piste Carving</t>
        </is>
      </c>
      <c r="AD954" s="13" t="n"/>
      <c r="AE954" s="13" t="n"/>
      <c r="AF954" s="13" t="n"/>
      <c r="AG954" s="13" t="n"/>
    </row>
    <row r="955">
      <c r="A955" s="9" t="inlineStr">
        <is>
          <t>21/22</t>
        </is>
      </c>
      <c r="B955" s="10" t="inlineStr">
        <is>
          <t xml:space="preserve"> Nordica</t>
        </is>
      </c>
      <c r="C955" s="11" t="inlineStr">
        <is>
          <t>Wild Belle 74</t>
        </is>
      </c>
      <c r="D955" s="13" t="n">
        <v>156</v>
      </c>
      <c r="E955" s="11" t="inlineStr">
        <is>
          <t xml:space="preserve"> Women's</t>
        </is>
      </c>
      <c r="F955" s="13" t="n">
        <v>156</v>
      </c>
      <c r="G955" s="13" t="n">
        <v>155</v>
      </c>
      <c r="H955" s="13" t="n">
        <v>132</v>
      </c>
      <c r="I955" s="13" t="n">
        <v>141</v>
      </c>
      <c r="J955" s="13" t="n">
        <v>124</v>
      </c>
      <c r="K955" s="13" t="n">
        <v>74</v>
      </c>
      <c r="L955" s="13" t="n">
        <v>103</v>
      </c>
      <c r="M955" s="13" t="n">
        <v>12.6</v>
      </c>
      <c r="N955" s="13" t="n">
        <v>1654</v>
      </c>
      <c r="O955" s="13" t="n">
        <v>0.83</v>
      </c>
      <c r="P955" s="13" t="n">
        <v>1379</v>
      </c>
      <c r="Q955" s="13" t="n">
        <v>165</v>
      </c>
      <c r="R955" s="13" t="n">
        <v>65</v>
      </c>
      <c r="S955" s="13" t="n">
        <v>39</v>
      </c>
      <c r="T955" s="13" t="n">
        <v>164</v>
      </c>
      <c r="U955" s="13" t="n">
        <v>12</v>
      </c>
      <c r="V955" s="13" t="n">
        <v>68</v>
      </c>
      <c r="W955" s="13" t="n">
        <v>0.301</v>
      </c>
      <c r="X955" s="13" t="n">
        <v>65</v>
      </c>
      <c r="Y955" s="13" t="n">
        <v>70</v>
      </c>
      <c r="Z955" s="13" t="n">
        <v>98</v>
      </c>
      <c r="AA955" s="13" t="n">
        <v>7</v>
      </c>
      <c r="AB955" s="13" t="n">
        <v>9.699999999999999</v>
      </c>
      <c r="AC955" s="11" t="inlineStr">
        <is>
          <t xml:space="preserve"> On-Piste Carving</t>
        </is>
      </c>
      <c r="AD955" s="13" t="n"/>
      <c r="AE955" s="13" t="n"/>
      <c r="AF955" s="13" t="n"/>
      <c r="AG955" s="13" t="n"/>
    </row>
    <row r="956">
      <c r="A956" s="9" t="inlineStr">
        <is>
          <t>21/22</t>
        </is>
      </c>
      <c r="B956" s="10" t="inlineStr">
        <is>
          <t xml:space="preserve"> Nordica</t>
        </is>
      </c>
      <c r="C956" s="11" t="inlineStr">
        <is>
          <t>Wild Belle 74</t>
        </is>
      </c>
      <c r="D956" s="13" t="n">
        <v>162</v>
      </c>
      <c r="E956" s="11" t="inlineStr">
        <is>
          <t xml:space="preserve"> Women's</t>
        </is>
      </c>
      <c r="F956" s="13" t="n">
        <v>162</v>
      </c>
      <c r="G956" s="13" t="n">
        <v>160.9</v>
      </c>
      <c r="H956" s="13" t="n">
        <v>135</v>
      </c>
      <c r="I956" s="13" t="n">
        <v>148</v>
      </c>
      <c r="J956" s="13" t="n">
        <v>124</v>
      </c>
      <c r="K956" s="13" t="n">
        <v>74</v>
      </c>
      <c r="L956" s="13" t="n">
        <v>104</v>
      </c>
      <c r="M956" s="13" t="n">
        <v>13.8</v>
      </c>
      <c r="N956" s="13" t="n">
        <v>1727</v>
      </c>
      <c r="O956" s="13" t="n">
        <v>0.83</v>
      </c>
      <c r="P956" s="13" t="n">
        <v>1433</v>
      </c>
      <c r="Q956" s="13" t="n">
        <v>196</v>
      </c>
      <c r="R956" s="13" t="n">
        <v>71</v>
      </c>
      <c r="S956" s="13" t="n">
        <v>43</v>
      </c>
      <c r="T956" s="13" t="n">
        <v>190</v>
      </c>
      <c r="U956" s="13" t="n">
        <v>12</v>
      </c>
      <c r="V956" s="13" t="n">
        <v>72</v>
      </c>
      <c r="W956" s="13" t="n">
        <v>0.278</v>
      </c>
      <c r="X956" s="13" t="n">
        <v>63</v>
      </c>
      <c r="Y956" s="13" t="n">
        <v>68</v>
      </c>
      <c r="Z956" s="13" t="n">
        <v>128</v>
      </c>
      <c r="AA956" s="13" t="n">
        <v>6</v>
      </c>
      <c r="AB956" s="13" t="n">
        <v>9.300000000000001</v>
      </c>
      <c r="AC956" s="11" t="inlineStr">
        <is>
          <t xml:space="preserve"> On-Piste Carving</t>
        </is>
      </c>
      <c r="AD956" s="13" t="n"/>
      <c r="AE956" s="13" t="n"/>
      <c r="AF956" s="13" t="n"/>
      <c r="AG956" s="13" t="n"/>
    </row>
    <row r="957">
      <c r="A957" s="9" t="inlineStr">
        <is>
          <t>21/22</t>
        </is>
      </c>
      <c r="B957" s="10" t="inlineStr">
        <is>
          <t xml:space="preserve"> Raccoon</t>
        </is>
      </c>
      <c r="C957" s="11" t="inlineStr">
        <is>
          <t>Chinook 108</t>
        </is>
      </c>
      <c r="D957" s="13" t="n">
        <v>180</v>
      </c>
      <c r="E957" s="11" t="inlineStr">
        <is>
          <t xml:space="preserve"> Unisex</t>
        </is>
      </c>
      <c r="F957" s="13" t="n">
        <v>180</v>
      </c>
      <c r="G957" s="13" t="n">
        <v>178.1</v>
      </c>
      <c r="H957" s="13" t="n">
        <v>119</v>
      </c>
      <c r="I957" s="13" t="n">
        <v>149</v>
      </c>
      <c r="J957" s="13" t="n">
        <v>137</v>
      </c>
      <c r="K957" s="13" t="n">
        <v>108</v>
      </c>
      <c r="L957" s="13" t="n">
        <v>128</v>
      </c>
      <c r="M957" s="13" t="n">
        <v>19.4</v>
      </c>
      <c r="N957" s="13" t="n">
        <v>1606</v>
      </c>
      <c r="O957" s="13" t="n">
        <v>1.31</v>
      </c>
      <c r="P957" s="13" t="n">
        <v>2103</v>
      </c>
      <c r="Q957" s="13" t="n">
        <v>226</v>
      </c>
      <c r="R957" s="13" t="n">
        <v>55</v>
      </c>
      <c r="S957" s="13" t="n">
        <v>70</v>
      </c>
      <c r="T957" s="13" t="n">
        <v>324</v>
      </c>
      <c r="U957" s="13" t="n">
        <v>33</v>
      </c>
      <c r="V957" s="13" t="n">
        <v>268</v>
      </c>
      <c r="W957" s="13" t="n">
        <v>0.475</v>
      </c>
      <c r="X957" s="13" t="n">
        <v>161</v>
      </c>
      <c r="Y957" s="13" t="n">
        <v>129</v>
      </c>
      <c r="Z957" s="13" t="n">
        <v>163</v>
      </c>
      <c r="AA957" s="13" t="n">
        <v>6</v>
      </c>
      <c r="AB957" s="13" t="n">
        <v>11.5</v>
      </c>
      <c r="AC957" s="11" t="inlineStr">
        <is>
          <t xml:space="preserve"> Powder</t>
        </is>
      </c>
      <c r="AD957" s="11" t="inlineStr">
        <is>
          <t xml:space="preserve"> Touring</t>
        </is>
      </c>
      <c r="AE957" s="11" t="inlineStr">
        <is>
          <t xml:space="preserve"> Ultralight Touring</t>
        </is>
      </c>
      <c r="AF957" s="13" t="n"/>
      <c r="AG957" s="13" t="n"/>
    </row>
    <row r="958">
      <c r="A958" s="9" t="inlineStr">
        <is>
          <t>21/22</t>
        </is>
      </c>
      <c r="B958" s="10" t="inlineStr">
        <is>
          <t xml:space="preserve"> Raccoon</t>
        </is>
      </c>
      <c r="C958" s="11" t="inlineStr">
        <is>
          <t>Chinook 108</t>
        </is>
      </c>
      <c r="D958" s="13" t="n">
        <v>188</v>
      </c>
      <c r="E958" s="11" t="inlineStr">
        <is>
          <t xml:space="preserve"> Unisex</t>
        </is>
      </c>
      <c r="F958" s="13" t="n">
        <v>188</v>
      </c>
      <c r="G958" s="13" t="n">
        <v>186.2</v>
      </c>
      <c r="H958" s="13" t="n">
        <v>125</v>
      </c>
      <c r="I958" s="13" t="n">
        <v>154</v>
      </c>
      <c r="J958" s="13" t="n">
        <v>138</v>
      </c>
      <c r="K958" s="13" t="n">
        <v>108</v>
      </c>
      <c r="L958" s="13" t="n">
        <v>128</v>
      </c>
      <c r="M958" s="13" t="n">
        <v>20.8</v>
      </c>
      <c r="N958" s="13" t="n">
        <v>1682</v>
      </c>
      <c r="O958" s="13" t="n">
        <v>1.31</v>
      </c>
      <c r="P958" s="13" t="n">
        <v>2205</v>
      </c>
      <c r="Q958" s="13" t="n">
        <v>218</v>
      </c>
      <c r="R958" s="13" t="n">
        <v>57</v>
      </c>
      <c r="S958" s="13" t="n">
        <v>71</v>
      </c>
      <c r="T958" s="13" t="n">
        <v>381</v>
      </c>
      <c r="U958" s="13" t="n">
        <v>30</v>
      </c>
      <c r="V958" s="13" t="n">
        <v>228</v>
      </c>
      <c r="W958" s="13" t="n">
        <v>0.418</v>
      </c>
      <c r="X958" s="13" t="n">
        <v>175</v>
      </c>
      <c r="Y958" s="13" t="n">
        <v>142</v>
      </c>
      <c r="Z958" s="13" t="n">
        <v>206</v>
      </c>
      <c r="AA958" s="13" t="n">
        <v>5</v>
      </c>
      <c r="AB958" s="13" t="n">
        <v>11.8</v>
      </c>
      <c r="AC958" s="11" t="inlineStr">
        <is>
          <t xml:space="preserve"> Powder</t>
        </is>
      </c>
      <c r="AD958" s="11" t="inlineStr">
        <is>
          <t xml:space="preserve"> Touring</t>
        </is>
      </c>
      <c r="AE958" s="11" t="inlineStr">
        <is>
          <t xml:space="preserve"> Ultralight Touring</t>
        </is>
      </c>
      <c r="AF958" s="13" t="n"/>
      <c r="AG958" s="13" t="n"/>
    </row>
    <row r="959">
      <c r="A959" s="9" t="inlineStr">
        <is>
          <t>21/22</t>
        </is>
      </c>
      <c r="B959" s="10" t="inlineStr">
        <is>
          <t xml:space="preserve"> Raccoon</t>
        </is>
      </c>
      <c r="C959" s="11" t="inlineStr">
        <is>
          <t>Chinook 99</t>
        </is>
      </c>
      <c r="D959" s="13" t="n">
        <v>164</v>
      </c>
      <c r="E959" s="11" t="inlineStr">
        <is>
          <t xml:space="preserve"> Unisex</t>
        </is>
      </c>
      <c r="F959" s="13" t="n">
        <v>164</v>
      </c>
      <c r="G959" s="13" t="n">
        <v>162.3</v>
      </c>
      <c r="H959" s="13" t="n">
        <v>99</v>
      </c>
      <c r="I959" s="13" t="n">
        <v>135</v>
      </c>
      <c r="J959" s="13" t="n">
        <v>129</v>
      </c>
      <c r="K959" s="13" t="n">
        <v>98</v>
      </c>
      <c r="L959" s="13" t="n">
        <v>120</v>
      </c>
      <c r="M959" s="13" t="n">
        <v>16</v>
      </c>
      <c r="N959" s="13" t="n">
        <v>1345</v>
      </c>
      <c r="O959" s="13" t="n">
        <v>1.31</v>
      </c>
      <c r="P959" s="13" t="n">
        <v>1767</v>
      </c>
      <c r="Q959" s="13" t="n">
        <v>177</v>
      </c>
      <c r="R959" s="13" t="n">
        <v>44</v>
      </c>
      <c r="S959" s="13" t="n">
        <v>72</v>
      </c>
      <c r="T959" s="13" t="n">
        <v>387</v>
      </c>
      <c r="U959" s="13" t="n">
        <v>30</v>
      </c>
      <c r="V959" s="13" t="n">
        <v>249</v>
      </c>
      <c r="W959" s="13" t="n">
        <v>0.411</v>
      </c>
      <c r="X959" s="13" t="n">
        <v>147</v>
      </c>
      <c r="Y959" s="13" t="n">
        <v>122</v>
      </c>
      <c r="Z959" s="13" t="n">
        <v>240</v>
      </c>
      <c r="AA959" s="13" t="n">
        <v>5</v>
      </c>
      <c r="AB959" s="13" t="n">
        <v>10.5</v>
      </c>
      <c r="AC959" s="11" t="inlineStr">
        <is>
          <t xml:space="preserve"> Touring</t>
        </is>
      </c>
      <c r="AD959" s="11" t="inlineStr">
        <is>
          <t xml:space="preserve"> Ultralight Touring</t>
        </is>
      </c>
      <c r="AE959" s="13" t="n"/>
      <c r="AF959" s="13" t="n"/>
      <c r="AG959" s="13" t="n"/>
    </row>
    <row r="960">
      <c r="A960" s="9" t="inlineStr">
        <is>
          <t>21/22</t>
        </is>
      </c>
      <c r="B960" s="10" t="inlineStr">
        <is>
          <t xml:space="preserve"> Raccoon</t>
        </is>
      </c>
      <c r="C960" s="11" t="inlineStr">
        <is>
          <t>Chinook 99</t>
        </is>
      </c>
      <c r="D960" s="13" t="n">
        <v>172</v>
      </c>
      <c r="E960" s="11" t="inlineStr">
        <is>
          <t xml:space="preserve"> Unisex</t>
        </is>
      </c>
      <c r="F960" s="13" t="n">
        <v>172</v>
      </c>
      <c r="G960" s="13" t="n">
        <v>170.3</v>
      </c>
      <c r="H960" s="13" t="n">
        <v>105</v>
      </c>
      <c r="I960" s="13" t="n">
        <v>142</v>
      </c>
      <c r="J960" s="13" t="n">
        <v>129</v>
      </c>
      <c r="K960" s="13" t="n">
        <v>98</v>
      </c>
      <c r="L960" s="13" t="n">
        <v>120</v>
      </c>
      <c r="M960" s="13" t="n">
        <v>17.5</v>
      </c>
      <c r="N960" s="13" t="n">
        <v>1483</v>
      </c>
      <c r="O960" s="13" t="n">
        <v>1.26</v>
      </c>
      <c r="P960" s="13" t="n">
        <v>1862</v>
      </c>
      <c r="Q960" s="13" t="n">
        <v>196</v>
      </c>
      <c r="R960" s="13" t="n">
        <v>48</v>
      </c>
      <c r="S960" s="13" t="n">
        <v>73</v>
      </c>
      <c r="T960" s="13" t="n">
        <v>405</v>
      </c>
      <c r="U960" s="13" t="n">
        <v>29</v>
      </c>
      <c r="V960" s="13" t="n">
        <v>248</v>
      </c>
      <c r="W960" s="13" t="n">
        <v>0.399</v>
      </c>
      <c r="X960" s="13" t="n">
        <v>155</v>
      </c>
      <c r="Y960" s="13" t="n">
        <v>131</v>
      </c>
      <c r="Z960" s="13" t="n">
        <v>249</v>
      </c>
      <c r="AA960" s="13" t="n">
        <v>5</v>
      </c>
      <c r="AB960" s="13" t="n">
        <v>10.8</v>
      </c>
      <c r="AC960" s="11" t="inlineStr">
        <is>
          <t xml:space="preserve"> Resort Freeride</t>
        </is>
      </c>
      <c r="AD960" s="11" t="inlineStr">
        <is>
          <t xml:space="preserve"> Touring</t>
        </is>
      </c>
      <c r="AE960" s="11" t="inlineStr">
        <is>
          <t xml:space="preserve"> Ultralight Touring</t>
        </is>
      </c>
      <c r="AF960" s="13" t="n"/>
      <c r="AG960" s="13" t="n"/>
    </row>
    <row r="961">
      <c r="A961" s="9" t="inlineStr">
        <is>
          <t>21/22</t>
        </is>
      </c>
      <c r="B961" s="10" t="inlineStr">
        <is>
          <t xml:space="preserve"> Raccoon</t>
        </is>
      </c>
      <c r="C961" s="11" t="inlineStr">
        <is>
          <t>Chinook 99</t>
        </is>
      </c>
      <c r="D961" s="13" t="n">
        <v>180</v>
      </c>
      <c r="E961" s="11" t="inlineStr">
        <is>
          <t xml:space="preserve"> Unisex</t>
        </is>
      </c>
      <c r="F961" s="13" t="n">
        <v>180</v>
      </c>
      <c r="G961" s="13" t="n">
        <v>178.2</v>
      </c>
      <c r="H961" s="13" t="n">
        <v>119</v>
      </c>
      <c r="I961" s="13" t="n">
        <v>149</v>
      </c>
      <c r="J961" s="13" t="n">
        <v>130</v>
      </c>
      <c r="K961" s="13" t="n">
        <v>99</v>
      </c>
      <c r="L961" s="13" t="n">
        <v>120</v>
      </c>
      <c r="M961" s="13" t="n">
        <v>19.2</v>
      </c>
      <c r="N961" s="13" t="n">
        <v>1481</v>
      </c>
      <c r="O961" s="13" t="n">
        <v>1.32</v>
      </c>
      <c r="P961" s="13" t="n">
        <v>1952</v>
      </c>
      <c r="Q961" s="13" t="n">
        <v>221</v>
      </c>
      <c r="R961" s="13" t="n">
        <v>54</v>
      </c>
      <c r="S961" s="13" t="n">
        <v>75</v>
      </c>
      <c r="T961" s="13" t="n">
        <v>330</v>
      </c>
      <c r="U961" s="13" t="n">
        <v>31</v>
      </c>
      <c r="V961" s="13" t="n">
        <v>262</v>
      </c>
      <c r="W961" s="13" t="n">
        <v>0.417</v>
      </c>
      <c r="X961" s="13" t="n">
        <v>157</v>
      </c>
      <c r="Y961" s="13" t="n">
        <v>131</v>
      </c>
      <c r="Z961" s="13" t="n">
        <v>173</v>
      </c>
      <c r="AA961" s="13" t="n">
        <v>5</v>
      </c>
      <c r="AB961" s="13" t="n">
        <v>11.5</v>
      </c>
      <c r="AC961" s="11" t="inlineStr">
        <is>
          <t xml:space="preserve"> Touring</t>
        </is>
      </c>
      <c r="AD961" s="11" t="inlineStr">
        <is>
          <t xml:space="preserve"> Ultralight Touring</t>
        </is>
      </c>
      <c r="AE961" s="13" t="n"/>
      <c r="AF961" s="13" t="n"/>
      <c r="AG961" s="13" t="n"/>
    </row>
    <row r="962">
      <c r="A962" s="9" t="inlineStr">
        <is>
          <t>21/22</t>
        </is>
      </c>
      <c r="B962" s="10" t="inlineStr">
        <is>
          <t xml:space="preserve"> Raccoon</t>
        </is>
      </c>
      <c r="C962" s="11" t="inlineStr">
        <is>
          <t>Chinook 99</t>
        </is>
      </c>
      <c r="D962" s="13" t="n">
        <v>188</v>
      </c>
      <c r="E962" s="11" t="inlineStr">
        <is>
          <t xml:space="preserve"> Unisex</t>
        </is>
      </c>
      <c r="F962" s="13" t="n">
        <v>188</v>
      </c>
      <c r="G962" s="13" t="n">
        <v>186.1</v>
      </c>
      <c r="H962" s="13" t="n">
        <v>127</v>
      </c>
      <c r="I962" s="13" t="n">
        <v>154</v>
      </c>
      <c r="J962" s="13" t="n">
        <v>130</v>
      </c>
      <c r="K962" s="13" t="n">
        <v>98</v>
      </c>
      <c r="L962" s="13" t="n">
        <v>120</v>
      </c>
      <c r="M962" s="13" t="n">
        <v>20.8</v>
      </c>
      <c r="N962" s="13" t="n">
        <v>1601</v>
      </c>
      <c r="O962" s="13" t="n">
        <v>1.27</v>
      </c>
      <c r="P962" s="13" t="n">
        <v>2033</v>
      </c>
      <c r="Q962" s="13" t="n">
        <v>217</v>
      </c>
      <c r="R962" s="13" t="n">
        <v>51</v>
      </c>
      <c r="S962" s="13" t="n">
        <v>69</v>
      </c>
      <c r="T962" s="13" t="n">
        <v>370</v>
      </c>
      <c r="U962" s="13" t="n">
        <v>29</v>
      </c>
      <c r="V962" s="13" t="n">
        <v>217</v>
      </c>
      <c r="W962" s="13" t="n">
        <v>0.413</v>
      </c>
      <c r="X962" s="13" t="n">
        <v>185</v>
      </c>
      <c r="Y962" s="13" t="n">
        <v>137</v>
      </c>
      <c r="Z962" s="13" t="n">
        <v>185</v>
      </c>
      <c r="AA962" s="13" t="n">
        <v>7</v>
      </c>
      <c r="AB962" s="13" t="n">
        <v>11.8</v>
      </c>
      <c r="AC962" s="11" t="inlineStr">
        <is>
          <t xml:space="preserve"> Resort Freeride</t>
        </is>
      </c>
      <c r="AD962" s="11" t="inlineStr">
        <is>
          <t xml:space="preserve"> Touring</t>
        </is>
      </c>
      <c r="AE962" s="11" t="inlineStr">
        <is>
          <t xml:space="preserve"> Ultralight Touring</t>
        </is>
      </c>
      <c r="AF962" s="13" t="n"/>
      <c r="AG962" s="13" t="n"/>
    </row>
    <row r="963">
      <c r="A963" s="9" t="inlineStr">
        <is>
          <t>21/22</t>
        </is>
      </c>
      <c r="B963" s="10" t="inlineStr">
        <is>
          <t xml:space="preserve"> Raccoon</t>
        </is>
      </c>
      <c r="C963" s="11" t="inlineStr">
        <is>
          <t xml:space="preserve"> Le Condor Ti</t>
        </is>
      </c>
      <c r="D963" s="13" t="n">
        <v>171</v>
      </c>
      <c r="E963" s="11" t="inlineStr">
        <is>
          <t xml:space="preserve"> Unisex</t>
        </is>
      </c>
      <c r="F963" s="13" t="n">
        <v>171</v>
      </c>
      <c r="G963" s="13" t="n">
        <v>169.6</v>
      </c>
      <c r="H963" s="13" t="n">
        <v>142</v>
      </c>
      <c r="I963" s="13" t="n">
        <v>160</v>
      </c>
      <c r="J963" s="13" t="n">
        <v>131</v>
      </c>
      <c r="K963" s="13" t="n">
        <v>75</v>
      </c>
      <c r="L963" s="13" t="n">
        <v>115</v>
      </c>
      <c r="M963" s="13" t="n">
        <v>13.4</v>
      </c>
      <c r="N963" s="13" t="n">
        <v>1759</v>
      </c>
      <c r="O963" s="13" t="n">
        <v>0.89</v>
      </c>
      <c r="P963" s="13" t="n">
        <v>1567</v>
      </c>
      <c r="Q963" s="13" t="n">
        <v>212</v>
      </c>
      <c r="R963" s="13" t="n">
        <v>128</v>
      </c>
      <c r="S963" s="13" t="n">
        <v>49</v>
      </c>
      <c r="T963" s="13" t="n">
        <v>207</v>
      </c>
      <c r="U963" s="13" t="n">
        <v>7</v>
      </c>
      <c r="V963" s="13" t="n">
        <v>72</v>
      </c>
      <c r="W963" s="13" t="n">
        <v>0.138</v>
      </c>
      <c r="X963" s="13" t="n">
        <v>51</v>
      </c>
      <c r="Y963" s="13" t="n">
        <v>42</v>
      </c>
      <c r="Z963" s="13" t="n">
        <v>156</v>
      </c>
      <c r="AA963" s="13" t="n">
        <v>8</v>
      </c>
      <c r="AB963" s="13" t="n">
        <v>12.2</v>
      </c>
      <c r="AC963" s="11" t="inlineStr">
        <is>
          <t xml:space="preserve"> On-Piste Carving</t>
        </is>
      </c>
      <c r="AD963" s="13" t="n"/>
      <c r="AE963" s="13" t="n"/>
      <c r="AF963" s="13" t="n"/>
      <c r="AG963" s="13" t="n"/>
    </row>
    <row r="964">
      <c r="A964" s="9" t="inlineStr">
        <is>
          <t>21/22</t>
        </is>
      </c>
      <c r="B964" s="10" t="inlineStr">
        <is>
          <t xml:space="preserve"> Raccoon</t>
        </is>
      </c>
      <c r="C964" s="11" t="inlineStr">
        <is>
          <t xml:space="preserve"> Le Condor Ti</t>
        </is>
      </c>
      <c r="D964" s="13" t="n">
        <v>178</v>
      </c>
      <c r="E964" s="11" t="inlineStr">
        <is>
          <t xml:space="preserve"> Unisex</t>
        </is>
      </c>
      <c r="F964" s="13" t="n">
        <v>178</v>
      </c>
      <c r="G964" s="13" t="n">
        <v>176.6</v>
      </c>
      <c r="H964" s="13" t="n">
        <v>148</v>
      </c>
      <c r="I964" s="13" t="n">
        <v>167</v>
      </c>
      <c r="J964" s="13" t="n">
        <v>131</v>
      </c>
      <c r="K964" s="13" t="n">
        <v>75</v>
      </c>
      <c r="L964" s="13" t="n">
        <v>115</v>
      </c>
      <c r="M964" s="13" t="n">
        <v>14.6</v>
      </c>
      <c r="N964" s="13" t="n">
        <v>1796</v>
      </c>
      <c r="O964" s="13" t="n">
        <v>0.91</v>
      </c>
      <c r="P964" s="13" t="n">
        <v>1632</v>
      </c>
      <c r="Q964" s="13" t="n">
        <v>220</v>
      </c>
      <c r="R964" s="13" t="n">
        <v>146</v>
      </c>
      <c r="S964" s="13" t="n">
        <v>48</v>
      </c>
      <c r="T964" s="13" t="n">
        <v>207</v>
      </c>
      <c r="U964" s="13" t="n">
        <v>9</v>
      </c>
      <c r="V964" s="13" t="n">
        <v>83</v>
      </c>
      <c r="W964" s="13" t="n">
        <v>0.182</v>
      </c>
      <c r="X964" s="13" t="n">
        <v>52</v>
      </c>
      <c r="Y964" s="13" t="n">
        <v>47</v>
      </c>
      <c r="Z964" s="13" t="n">
        <v>155</v>
      </c>
      <c r="AA964" s="13" t="n">
        <v>7</v>
      </c>
      <c r="AB964" s="13" t="n">
        <v>12.8</v>
      </c>
      <c r="AC964" s="11" t="inlineStr">
        <is>
          <t xml:space="preserve"> On-Piste Carving</t>
        </is>
      </c>
      <c r="AD964" s="13" t="n"/>
      <c r="AE964" s="13" t="n"/>
      <c r="AF964" s="13" t="n"/>
      <c r="AG964" s="13" t="n"/>
    </row>
    <row r="965">
      <c r="A965" s="9" t="inlineStr">
        <is>
          <t>21/22</t>
        </is>
      </c>
      <c r="B965" s="10" t="inlineStr">
        <is>
          <t xml:space="preserve"> Raccoon</t>
        </is>
      </c>
      <c r="C965" s="11" t="inlineStr">
        <is>
          <t xml:space="preserve"> Le Grizzly</t>
        </is>
      </c>
      <c r="D965" s="13" t="n">
        <v>172</v>
      </c>
      <c r="E965" s="11" t="inlineStr">
        <is>
          <t xml:space="preserve"> Unisex</t>
        </is>
      </c>
      <c r="F965" s="13" t="n">
        <v>172</v>
      </c>
      <c r="G965" s="13" t="n">
        <v>170.4</v>
      </c>
      <c r="H965" s="13" t="n">
        <v>107</v>
      </c>
      <c r="I965" s="13" t="n">
        <v>142</v>
      </c>
      <c r="J965" s="13" t="n">
        <v>129</v>
      </c>
      <c r="K965" s="13" t="n">
        <v>98</v>
      </c>
      <c r="L965" s="13" t="n">
        <v>120</v>
      </c>
      <c r="M965" s="13" t="n">
        <v>17.3</v>
      </c>
      <c r="N965" s="13" t="n">
        <v>1585</v>
      </c>
      <c r="O965" s="13" t="n">
        <v>1.18</v>
      </c>
      <c r="P965" s="13" t="n">
        <v>1866</v>
      </c>
      <c r="Q965" s="13" t="n">
        <v>176</v>
      </c>
      <c r="R965" s="13" t="n">
        <v>81</v>
      </c>
      <c r="S965" s="13" t="n">
        <v>66</v>
      </c>
      <c r="T965" s="13" t="n">
        <v>384</v>
      </c>
      <c r="U965" s="13" t="n">
        <v>27</v>
      </c>
      <c r="V965" s="13" t="n">
        <v>245</v>
      </c>
      <c r="W965" s="13" t="n">
        <v>0.409</v>
      </c>
      <c r="X965" s="13" t="n">
        <v>164</v>
      </c>
      <c r="Y965" s="13" t="n">
        <v>124</v>
      </c>
      <c r="Z965" s="13" t="n">
        <v>220</v>
      </c>
      <c r="AA965" s="13" t="n">
        <v>5</v>
      </c>
      <c r="AB965" s="13" t="n">
        <v>10.8</v>
      </c>
      <c r="AC965" s="11" t="inlineStr">
        <is>
          <t xml:space="preserve"> Resort Freeride</t>
        </is>
      </c>
      <c r="AD965" s="11" t="inlineStr">
        <is>
          <t xml:space="preserve"> Touring</t>
        </is>
      </c>
      <c r="AE965" s="13" t="n"/>
      <c r="AF965" s="13" t="n"/>
      <c r="AG965" s="13" t="n"/>
    </row>
    <row r="966">
      <c r="A966" s="9" t="inlineStr">
        <is>
          <t>21/22</t>
        </is>
      </c>
      <c r="B966" s="10" t="inlineStr">
        <is>
          <t xml:space="preserve"> Raccoon</t>
        </is>
      </c>
      <c r="C966" s="11" t="inlineStr">
        <is>
          <t xml:space="preserve"> Le Grizzly</t>
        </is>
      </c>
      <c r="D966" s="13" t="n">
        <v>180</v>
      </c>
      <c r="E966" s="11" t="inlineStr">
        <is>
          <t xml:space="preserve"> Unisex</t>
        </is>
      </c>
      <c r="F966" s="13" t="n">
        <v>180</v>
      </c>
      <c r="G966" s="13" t="n">
        <v>178.1</v>
      </c>
      <c r="H966" s="13" t="n">
        <v>121</v>
      </c>
      <c r="I966" s="13" t="n">
        <v>149</v>
      </c>
      <c r="J966" s="13" t="n">
        <v>129</v>
      </c>
      <c r="K966" s="13" t="n">
        <v>99</v>
      </c>
      <c r="L966" s="13" t="n">
        <v>120</v>
      </c>
      <c r="M966" s="13" t="n">
        <v>19.3</v>
      </c>
      <c r="N966" s="13" t="n">
        <v>1678</v>
      </c>
      <c r="O966" s="13" t="n">
        <v>1.16</v>
      </c>
      <c r="P966" s="13" t="n">
        <v>1949</v>
      </c>
      <c r="Q966" s="13" t="n">
        <v>212</v>
      </c>
      <c r="R966" s="13" t="n">
        <v>101</v>
      </c>
      <c r="S966" s="13" t="n">
        <v>72</v>
      </c>
      <c r="T966" s="13" t="n">
        <v>328</v>
      </c>
      <c r="U966" s="13" t="n">
        <v>27</v>
      </c>
      <c r="V966" s="13" t="n">
        <v>247</v>
      </c>
      <c r="W966" s="13" t="n">
        <v>0.376</v>
      </c>
      <c r="X966" s="13" t="n">
        <v>169</v>
      </c>
      <c r="Y966" s="13" t="n">
        <v>123</v>
      </c>
      <c r="Z966" s="13" t="n">
        <v>159</v>
      </c>
      <c r="AA966" s="13" t="n">
        <v>5</v>
      </c>
      <c r="AB966" s="13" t="n">
        <v>11.5</v>
      </c>
      <c r="AC966" s="11" t="inlineStr">
        <is>
          <t xml:space="preserve"> Resort Freeride</t>
        </is>
      </c>
      <c r="AD966" s="11" t="inlineStr">
        <is>
          <t xml:space="preserve"> Touring</t>
        </is>
      </c>
      <c r="AE966" s="13" t="n"/>
      <c r="AF966" s="13" t="n"/>
      <c r="AG966" s="13" t="n"/>
    </row>
    <row r="967">
      <c r="A967" s="9" t="inlineStr">
        <is>
          <t>21/22</t>
        </is>
      </c>
      <c r="B967" s="10" t="inlineStr">
        <is>
          <t xml:space="preserve"> Raccoon</t>
        </is>
      </c>
      <c r="C967" s="11" t="inlineStr">
        <is>
          <t xml:space="preserve"> Le Grizzly</t>
        </is>
      </c>
      <c r="D967" s="13" t="n">
        <v>188</v>
      </c>
      <c r="E967" s="11" t="inlineStr">
        <is>
          <t xml:space="preserve"> Unisex</t>
        </is>
      </c>
      <c r="F967" s="13" t="n">
        <v>188</v>
      </c>
      <c r="G967" s="13" t="n">
        <v>186.4</v>
      </c>
      <c r="H967" s="13" t="n">
        <v>129</v>
      </c>
      <c r="I967" s="13" t="n">
        <v>154</v>
      </c>
      <c r="J967" s="13" t="n">
        <v>130</v>
      </c>
      <c r="K967" s="13" t="n">
        <v>98</v>
      </c>
      <c r="L967" s="13" t="n">
        <v>120</v>
      </c>
      <c r="M967" s="13" t="n">
        <v>20.9</v>
      </c>
      <c r="N967" s="13" t="n">
        <v>1803</v>
      </c>
      <c r="O967" s="13" t="n">
        <v>1.13</v>
      </c>
      <c r="P967" s="13" t="n">
        <v>2039</v>
      </c>
      <c r="Q967" s="13" t="n">
        <v>220</v>
      </c>
      <c r="R967" s="13" t="n">
        <v>102</v>
      </c>
      <c r="S967" s="13" t="n">
        <v>66</v>
      </c>
      <c r="T967" s="13" t="n">
        <v>365</v>
      </c>
      <c r="U967" s="13" t="n">
        <v>26</v>
      </c>
      <c r="V967" s="13" t="n">
        <v>211</v>
      </c>
      <c r="W967" s="13" t="n">
        <v>0.404</v>
      </c>
      <c r="X967" s="13" t="n">
        <v>181</v>
      </c>
      <c r="Y967" s="13" t="n">
        <v>139</v>
      </c>
      <c r="Z967" s="13" t="n">
        <v>184</v>
      </c>
      <c r="AA967" s="13" t="n">
        <v>6</v>
      </c>
      <c r="AB967" s="13" t="n">
        <v>11.8</v>
      </c>
      <c r="AC967" s="11" t="inlineStr">
        <is>
          <t xml:space="preserve"> Resort Freeride</t>
        </is>
      </c>
      <c r="AD967" s="11" t="inlineStr">
        <is>
          <t xml:space="preserve"> Touring</t>
        </is>
      </c>
      <c r="AE967" s="13" t="n"/>
      <c r="AF967" s="13" t="n"/>
      <c r="AG967" s="13" t="n"/>
    </row>
    <row r="968">
      <c r="A968" s="9" t="inlineStr">
        <is>
          <t>21/22</t>
        </is>
      </c>
      <c r="B968" s="10" t="inlineStr">
        <is>
          <t xml:space="preserve"> Raccoon</t>
        </is>
      </c>
      <c r="C968" s="11" t="inlineStr">
        <is>
          <t>Le Grizzly 99 W</t>
        </is>
      </c>
      <c r="D968" s="13" t="n">
        <v>164</v>
      </c>
      <c r="E968" s="11" t="inlineStr">
        <is>
          <t xml:space="preserve"> Women's</t>
        </is>
      </c>
      <c r="F968" s="13" t="n">
        <v>164</v>
      </c>
      <c r="G968" s="13" t="n">
        <v>162.3</v>
      </c>
      <c r="H968" s="13" t="n">
        <v>104</v>
      </c>
      <c r="I968" s="13" t="n">
        <v>136</v>
      </c>
      <c r="J968" s="13" t="n">
        <v>129</v>
      </c>
      <c r="K968" s="13" t="n">
        <v>99</v>
      </c>
      <c r="L968" s="13" t="n">
        <v>120</v>
      </c>
      <c r="M968" s="13" t="n">
        <v>16</v>
      </c>
      <c r="N968" s="13" t="n">
        <v>1505</v>
      </c>
      <c r="O968" s="13" t="n">
        <v>1.18</v>
      </c>
      <c r="P968" s="13" t="n">
        <v>1776</v>
      </c>
      <c r="Q968" s="13" t="n">
        <v>152</v>
      </c>
      <c r="R968" s="13" t="n">
        <v>75</v>
      </c>
      <c r="S968" s="13" t="n">
        <v>64</v>
      </c>
      <c r="T968" s="13" t="n">
        <v>363</v>
      </c>
      <c r="U968" s="13" t="n">
        <v>26</v>
      </c>
      <c r="V968" s="13" t="n">
        <v>219</v>
      </c>
      <c r="W968" s="13" t="n">
        <v>0.411</v>
      </c>
      <c r="X968" s="13" t="n">
        <v>151</v>
      </c>
      <c r="Y968" s="13" t="n">
        <v>114</v>
      </c>
      <c r="Z968" s="13" t="n">
        <v>212</v>
      </c>
      <c r="AA968" s="13" t="n">
        <v>6</v>
      </c>
      <c r="AB968" s="13" t="n">
        <v>10.6</v>
      </c>
      <c r="AC968" s="11" t="inlineStr">
        <is>
          <t xml:space="preserve"> Resort Freeride</t>
        </is>
      </c>
      <c r="AD968" s="11" t="inlineStr">
        <is>
          <t xml:space="preserve"> Touring</t>
        </is>
      </c>
      <c r="AE968" s="13" t="n"/>
      <c r="AF968" s="13" t="n"/>
      <c r="AG968" s="13" t="n"/>
    </row>
    <row r="969">
      <c r="A969" s="9" t="inlineStr">
        <is>
          <t>21/22</t>
        </is>
      </c>
      <c r="B969" s="10" t="inlineStr">
        <is>
          <t xml:space="preserve"> Raccoon</t>
        </is>
      </c>
      <c r="C969" s="11" t="inlineStr">
        <is>
          <t xml:space="preserve"> Le Nomade Ti</t>
        </is>
      </c>
      <c r="D969" s="13" t="n">
        <v>171</v>
      </c>
      <c r="E969" s="11" t="inlineStr">
        <is>
          <t xml:space="preserve"> Unisex</t>
        </is>
      </c>
      <c r="F969" s="13" t="n">
        <v>171</v>
      </c>
      <c r="G969" s="13" t="n">
        <v>170.2</v>
      </c>
      <c r="H969" s="13" t="n">
        <v>141</v>
      </c>
      <c r="I969" s="13" t="n">
        <v>158</v>
      </c>
      <c r="J969" s="13" t="n">
        <v>136</v>
      </c>
      <c r="K969" s="13" t="n">
        <v>89</v>
      </c>
      <c r="L969" s="13" t="n">
        <v>125</v>
      </c>
      <c r="M969" s="13" t="n">
        <v>14.6</v>
      </c>
      <c r="N969" s="13" t="n">
        <v>2001</v>
      </c>
      <c r="O969" s="13" t="n">
        <v>0.89</v>
      </c>
      <c r="P969" s="13" t="n">
        <v>1773</v>
      </c>
      <c r="Q969" s="13" t="n">
        <v>251</v>
      </c>
      <c r="R969" s="13" t="n">
        <v>178</v>
      </c>
      <c r="S969" s="13" t="n">
        <v>51</v>
      </c>
      <c r="T969" s="13" t="n">
        <v>213</v>
      </c>
      <c r="U969" s="13" t="n">
        <v>9</v>
      </c>
      <c r="V969" s="13" t="n">
        <v>75</v>
      </c>
      <c r="W969" s="13" t="n">
        <v>0.166</v>
      </c>
      <c r="X969" s="13" t="n">
        <v>65</v>
      </c>
      <c r="Y969" s="13" t="n">
        <v>61</v>
      </c>
      <c r="Z969" s="13" t="n">
        <v>148</v>
      </c>
      <c r="AA969" s="13" t="n">
        <v>7</v>
      </c>
      <c r="AB969" s="13" t="n">
        <v>10.5</v>
      </c>
      <c r="AC969" s="11" t="inlineStr">
        <is>
          <t xml:space="preserve"> Resort Freeride</t>
        </is>
      </c>
      <c r="AD969" s="13" t="n"/>
      <c r="AE969" s="13" t="n"/>
      <c r="AF969" s="13" t="n"/>
      <c r="AG969" s="13" t="n"/>
    </row>
    <row r="970">
      <c r="A970" s="9" t="inlineStr">
        <is>
          <t>21/22</t>
        </is>
      </c>
      <c r="B970" s="10" t="inlineStr">
        <is>
          <t xml:space="preserve"> Raccoon</t>
        </is>
      </c>
      <c r="C970" s="11" t="inlineStr">
        <is>
          <t xml:space="preserve"> Le Nomade Ti</t>
        </is>
      </c>
      <c r="D970" s="13" t="n">
        <v>178</v>
      </c>
      <c r="E970" s="11" t="inlineStr">
        <is>
          <t xml:space="preserve"> Unisex</t>
        </is>
      </c>
      <c r="F970" s="13" t="n">
        <v>178</v>
      </c>
      <c r="G970" s="13" t="n">
        <v>177.3</v>
      </c>
      <c r="H970" s="13" t="n">
        <v>147</v>
      </c>
      <c r="I970" s="13" t="n">
        <v>165</v>
      </c>
      <c r="J970" s="13" t="n">
        <v>136</v>
      </c>
      <c r="K970" s="13" t="n">
        <v>89</v>
      </c>
      <c r="L970" s="13" t="n">
        <v>124</v>
      </c>
      <c r="M970" s="13" t="n">
        <v>16</v>
      </c>
      <c r="N970" s="13" t="n">
        <v>2110</v>
      </c>
      <c r="O970" s="13" t="n">
        <v>0.87</v>
      </c>
      <c r="P970" s="13" t="n">
        <v>1838</v>
      </c>
      <c r="Q970" s="13" t="n">
        <v>273</v>
      </c>
      <c r="R970" s="13" t="n">
        <v>201</v>
      </c>
      <c r="S970" s="13" t="n">
        <v>51</v>
      </c>
      <c r="T970" s="13" t="n">
        <v>221</v>
      </c>
      <c r="U970" s="13" t="n">
        <v>9</v>
      </c>
      <c r="V970" s="13" t="n">
        <v>82</v>
      </c>
      <c r="W970" s="13" t="n">
        <v>0.183</v>
      </c>
      <c r="X970" s="13" t="n">
        <v>62</v>
      </c>
      <c r="Y970" s="13" t="n">
        <v>58</v>
      </c>
      <c r="Z970" s="13" t="n">
        <v>159</v>
      </c>
      <c r="AA970" s="13" t="n">
        <v>8</v>
      </c>
      <c r="AB970" s="13" t="n">
        <v>13.2</v>
      </c>
      <c r="AC970" s="11" t="inlineStr">
        <is>
          <t xml:space="preserve"> Resort Freeride</t>
        </is>
      </c>
      <c r="AD970" s="13" t="n"/>
      <c r="AE970" s="13" t="n"/>
      <c r="AF970" s="13" t="n"/>
      <c r="AG970" s="13" t="n"/>
    </row>
    <row r="971">
      <c r="A971" s="9" t="inlineStr">
        <is>
          <t>21/22</t>
        </is>
      </c>
      <c r="B971" s="10" t="inlineStr">
        <is>
          <t xml:space="preserve"> Rossignol</t>
        </is>
      </c>
      <c r="C971" s="11" t="inlineStr">
        <is>
          <t>Blackops Alpineer 96</t>
        </is>
      </c>
      <c r="D971" s="13" t="n">
        <v>169</v>
      </c>
      <c r="E971" s="11" t="inlineStr">
        <is>
          <t xml:space="preserve"> Unisex</t>
        </is>
      </c>
      <c r="F971" s="13" t="n">
        <v>169</v>
      </c>
      <c r="G971" s="13" t="n">
        <v>169.2</v>
      </c>
      <c r="H971" s="13" t="n">
        <v>123</v>
      </c>
      <c r="I971" s="13" t="n">
        <v>137</v>
      </c>
      <c r="J971" s="13" t="n">
        <v>126</v>
      </c>
      <c r="K971" s="13" t="n">
        <v>96</v>
      </c>
      <c r="L971" s="13" t="n">
        <v>115</v>
      </c>
      <c r="M971" s="13" t="n">
        <v>17.5</v>
      </c>
      <c r="N971" s="13" t="n">
        <v>1285</v>
      </c>
      <c r="O971" s="13" t="n">
        <v>1.4</v>
      </c>
      <c r="P971" s="13" t="n">
        <v>1798</v>
      </c>
      <c r="Q971" s="13" t="n">
        <v>196</v>
      </c>
      <c r="R971" s="13" t="n">
        <v>83</v>
      </c>
      <c r="S971" s="13" t="n">
        <v>58</v>
      </c>
      <c r="T971" s="13" t="n">
        <v>322</v>
      </c>
      <c r="U971" s="13" t="n">
        <v>12</v>
      </c>
      <c r="V971" s="13" t="n">
        <v>142</v>
      </c>
      <c r="W971" s="13" t="n">
        <v>0.213</v>
      </c>
      <c r="X971" s="13" t="n">
        <v>195</v>
      </c>
      <c r="Y971" s="13" t="n">
        <v>123</v>
      </c>
      <c r="Z971" s="13" t="n">
        <v>126</v>
      </c>
      <c r="AA971" s="13" t="n">
        <v>6</v>
      </c>
      <c r="AB971" s="13" t="n">
        <v>12.1</v>
      </c>
      <c r="AC971" s="11" t="inlineStr">
        <is>
          <t xml:space="preserve"> Touring</t>
        </is>
      </c>
      <c r="AD971" s="11" t="inlineStr">
        <is>
          <t xml:space="preserve"> Ultralight Touring</t>
        </is>
      </c>
      <c r="AE971" s="13" t="n"/>
      <c r="AF971" s="13" t="n"/>
      <c r="AG971" s="13" t="n"/>
    </row>
    <row r="972">
      <c r="A972" s="9" t="inlineStr">
        <is>
          <t>21/22</t>
        </is>
      </c>
      <c r="B972" s="10" t="inlineStr">
        <is>
          <t xml:space="preserve"> Rossignol</t>
        </is>
      </c>
      <c r="C972" s="11" t="inlineStr">
        <is>
          <t>Blackops Alpineer 96</t>
        </is>
      </c>
      <c r="D972" s="13" t="n">
        <v>177</v>
      </c>
      <c r="E972" s="11" t="inlineStr">
        <is>
          <t xml:space="preserve"> Unisex</t>
        </is>
      </c>
      <c r="F972" s="13" t="n">
        <v>177</v>
      </c>
      <c r="G972" s="13" t="n">
        <v>177.3</v>
      </c>
      <c r="H972" s="13" t="n">
        <v>130</v>
      </c>
      <c r="I972" s="13" t="n">
        <v>145</v>
      </c>
      <c r="J972" s="13" t="n">
        <v>126</v>
      </c>
      <c r="K972" s="13" t="n">
        <v>97</v>
      </c>
      <c r="L972" s="13" t="n">
        <v>115</v>
      </c>
      <c r="M972" s="13" t="n">
        <v>19.8</v>
      </c>
      <c r="N972" s="13" t="n">
        <v>1319</v>
      </c>
      <c r="O972" s="13" t="n">
        <v>1.43</v>
      </c>
      <c r="P972" s="13" t="n">
        <v>1886</v>
      </c>
      <c r="Q972" s="13" t="n">
        <v>233</v>
      </c>
      <c r="R972" s="13" t="n">
        <v>85</v>
      </c>
      <c r="S972" s="13" t="n">
        <v>56</v>
      </c>
      <c r="T972" s="13" t="n">
        <v>319</v>
      </c>
      <c r="U972" s="13" t="n">
        <v>13</v>
      </c>
      <c r="V972" s="13" t="n">
        <v>151</v>
      </c>
      <c r="W972" s="13" t="n">
        <v>0.23</v>
      </c>
      <c r="X972" s="13" t="n">
        <v>204</v>
      </c>
      <c r="Y972" s="13" t="n">
        <v>122</v>
      </c>
      <c r="Z972" s="13" t="n">
        <v>115</v>
      </c>
      <c r="AA972" s="13" t="n">
        <v>6</v>
      </c>
      <c r="AB972" s="13" t="n">
        <v>12.2</v>
      </c>
      <c r="AC972" s="11" t="inlineStr">
        <is>
          <t xml:space="preserve"> Touring</t>
        </is>
      </c>
      <c r="AD972" s="11" t="inlineStr">
        <is>
          <t xml:space="preserve"> Ultralight Touring</t>
        </is>
      </c>
      <c r="AE972" s="13" t="n"/>
      <c r="AF972" s="13" t="n"/>
      <c r="AG972" s="13" t="n"/>
    </row>
    <row r="973">
      <c r="A973" s="9" t="inlineStr">
        <is>
          <t>21/22</t>
        </is>
      </c>
      <c r="B973" s="10" t="inlineStr">
        <is>
          <t xml:space="preserve"> Rossignol</t>
        </is>
      </c>
      <c r="C973" s="11" t="inlineStr">
        <is>
          <t xml:space="preserve"> Blackops Blazer W</t>
        </is>
      </c>
      <c r="D973" s="13" t="n">
        <v>160</v>
      </c>
      <c r="E973" s="11" t="inlineStr">
        <is>
          <t xml:space="preserve"> Women's</t>
        </is>
      </c>
      <c r="F973" s="13" t="n">
        <v>160</v>
      </c>
      <c r="G973" s="13" t="n">
        <v>159.3</v>
      </c>
      <c r="H973" s="13" t="n">
        <v>113</v>
      </c>
      <c r="I973" s="13" t="n">
        <v>136</v>
      </c>
      <c r="J973" s="13" t="n">
        <v>130</v>
      </c>
      <c r="K973" s="13" t="n">
        <v>97</v>
      </c>
      <c r="L973" s="13" t="n">
        <v>120</v>
      </c>
      <c r="M973" s="13" t="n">
        <v>14.1</v>
      </c>
      <c r="N973" s="13" t="n">
        <v>1775</v>
      </c>
      <c r="O973" s="13" t="n">
        <v>0.97</v>
      </c>
      <c r="P973" s="13" t="n">
        <v>1726</v>
      </c>
      <c r="Q973" s="13" t="n">
        <v>200</v>
      </c>
      <c r="R973" s="13" t="n">
        <v>108</v>
      </c>
      <c r="S973" s="13" t="n">
        <v>49</v>
      </c>
      <c r="T973" s="13" t="n">
        <v>239</v>
      </c>
      <c r="U973" s="13" t="n">
        <v>35</v>
      </c>
      <c r="V973" s="13" t="n">
        <v>225</v>
      </c>
      <c r="W973" s="13" t="n">
        <v>0.706</v>
      </c>
      <c r="X973" s="13" t="n">
        <v>131</v>
      </c>
      <c r="Y973" s="13" t="n">
        <v>105</v>
      </c>
      <c r="Z973" s="13" t="n">
        <v>108</v>
      </c>
      <c r="AA973" s="13" t="n">
        <v>8</v>
      </c>
      <c r="AB973" s="13" t="n">
        <v>4.2</v>
      </c>
      <c r="AC973" s="11" t="inlineStr">
        <is>
          <t xml:space="preserve"> Resort Freeride</t>
        </is>
      </c>
      <c r="AD973" s="13" t="n"/>
      <c r="AE973" s="13" t="n"/>
      <c r="AF973" s="13" t="n"/>
      <c r="AG973" s="13" t="n"/>
    </row>
    <row r="974">
      <c r="A974" s="9" t="inlineStr">
        <is>
          <t>21/22</t>
        </is>
      </c>
      <c r="B974" s="10" t="inlineStr">
        <is>
          <t xml:space="preserve"> Rossignol</t>
        </is>
      </c>
      <c r="C974" s="11" t="inlineStr">
        <is>
          <t xml:space="preserve"> Blackops Blazer W</t>
        </is>
      </c>
      <c r="D974" s="13" t="n">
        <v>170</v>
      </c>
      <c r="E974" s="11" t="inlineStr">
        <is>
          <t xml:space="preserve"> Women's</t>
        </is>
      </c>
      <c r="F974" s="13" t="n">
        <v>170</v>
      </c>
      <c r="G974" s="13" t="n">
        <v>169</v>
      </c>
      <c r="H974" s="13" t="n">
        <v>120</v>
      </c>
      <c r="I974" s="13" t="n">
        <v>146</v>
      </c>
      <c r="J974" s="13" t="n">
        <v>130</v>
      </c>
      <c r="K974" s="13" t="n">
        <v>97</v>
      </c>
      <c r="L974" s="13" t="n">
        <v>120</v>
      </c>
      <c r="M974" s="13" t="n">
        <v>16.7</v>
      </c>
      <c r="N974" s="13" t="n">
        <v>1920</v>
      </c>
      <c r="O974" s="13" t="n">
        <v>0.95</v>
      </c>
      <c r="P974" s="13" t="n">
        <v>1827</v>
      </c>
      <c r="Q974" s="13" t="n">
        <v>205</v>
      </c>
      <c r="R974" s="13" t="n">
        <v>115</v>
      </c>
      <c r="S974" s="13" t="n">
        <v>56</v>
      </c>
      <c r="T974" s="13" t="n">
        <v>264</v>
      </c>
      <c r="U974" s="13" t="n">
        <v>36</v>
      </c>
      <c r="V974" s="13" t="n">
        <v>230</v>
      </c>
      <c r="W974" s="13" t="n">
        <v>0.637</v>
      </c>
      <c r="X974" s="13" t="n">
        <v>134</v>
      </c>
      <c r="Y974" s="13" t="n">
        <v>100</v>
      </c>
      <c r="Z974" s="13" t="n">
        <v>130</v>
      </c>
      <c r="AA974" s="13" t="n">
        <v>6</v>
      </c>
      <c r="AB974" s="13" t="n">
        <v>4.9</v>
      </c>
      <c r="AC974" s="11" t="inlineStr">
        <is>
          <t xml:space="preserve"> Resort Freeride</t>
        </is>
      </c>
      <c r="AD974" s="13" t="n"/>
      <c r="AE974" s="13" t="n"/>
      <c r="AF974" s="13" t="n"/>
      <c r="AG974" s="13" t="n"/>
    </row>
    <row r="975">
      <c r="A975" s="9" t="inlineStr">
        <is>
          <t>21/22</t>
        </is>
      </c>
      <c r="B975" s="10" t="inlineStr">
        <is>
          <t xml:space="preserve"> Rossignol</t>
        </is>
      </c>
      <c r="C975" s="11" t="inlineStr">
        <is>
          <t xml:space="preserve"> Blackops Dreamer W</t>
        </is>
      </c>
      <c r="D975" s="13" t="n">
        <v>140</v>
      </c>
      <c r="E975" s="11" t="inlineStr">
        <is>
          <t xml:space="preserve"> Women's</t>
        </is>
      </c>
      <c r="F975" s="13" t="n">
        <v>140</v>
      </c>
      <c r="G975" s="13" t="n">
        <v>138.6</v>
      </c>
      <c r="H975" s="13" t="n">
        <v>89</v>
      </c>
      <c r="I975" s="13" t="n">
        <v>114</v>
      </c>
      <c r="J975" s="13" t="n">
        <v>118</v>
      </c>
      <c r="K975" s="13" t="n">
        <v>89</v>
      </c>
      <c r="L975" s="13" t="n">
        <v>107</v>
      </c>
      <c r="M975" s="13" t="n">
        <v>13.8</v>
      </c>
      <c r="N975" s="13" t="n">
        <v>1559</v>
      </c>
      <c r="O975" s="13" t="n">
        <v>0.87</v>
      </c>
      <c r="P975" s="13" t="n">
        <v>1361</v>
      </c>
      <c r="Q975" s="13" t="n">
        <v>155</v>
      </c>
      <c r="R975" s="13" t="n">
        <v>57</v>
      </c>
      <c r="S975" s="13" t="n">
        <v>52</v>
      </c>
      <c r="T975" s="13" t="n">
        <v>263</v>
      </c>
      <c r="U975" s="13" t="n">
        <v>33</v>
      </c>
      <c r="V975" s="13" t="n">
        <v>232</v>
      </c>
      <c r="W975" s="13" t="n">
        <v>0.623</v>
      </c>
      <c r="X975" s="13" t="n">
        <v>118</v>
      </c>
      <c r="Y975" s="13" t="n">
        <v>124</v>
      </c>
      <c r="Z975" s="13" t="n">
        <v>145</v>
      </c>
      <c r="AA975" s="13" t="n">
        <v>5</v>
      </c>
      <c r="AB975" s="13" t="n">
        <v>5</v>
      </c>
      <c r="AC975" s="11" t="inlineStr">
        <is>
          <t xml:space="preserve"> Resort Freeride</t>
        </is>
      </c>
      <c r="AD975" s="13" t="n"/>
      <c r="AE975" s="13" t="n"/>
      <c r="AF975" s="13" t="n"/>
      <c r="AG975" s="13" t="n"/>
    </row>
    <row r="976">
      <c r="A976" s="9" t="inlineStr">
        <is>
          <t>21/22</t>
        </is>
      </c>
      <c r="B976" s="10" t="inlineStr">
        <is>
          <t xml:space="preserve"> Rossignol</t>
        </is>
      </c>
      <c r="C976" s="11" t="inlineStr">
        <is>
          <t xml:space="preserve"> Blackops Dreamer W</t>
        </is>
      </c>
      <c r="D976" s="13" t="n">
        <v>150</v>
      </c>
      <c r="E976" s="11" t="inlineStr">
        <is>
          <t xml:space="preserve"> Women's</t>
        </is>
      </c>
      <c r="F976" s="13" t="n">
        <v>150</v>
      </c>
      <c r="G976" s="13" t="n">
        <v>148.5</v>
      </c>
      <c r="H976" s="13" t="n">
        <v>100</v>
      </c>
      <c r="I976" s="13" t="n">
        <v>125</v>
      </c>
      <c r="J976" s="13" t="n">
        <v>117</v>
      </c>
      <c r="K976" s="13" t="n">
        <v>89</v>
      </c>
      <c r="L976" s="13" t="n">
        <v>107</v>
      </c>
      <c r="M976" s="13" t="n">
        <v>16.8</v>
      </c>
      <c r="N976" s="13" t="n">
        <v>1628</v>
      </c>
      <c r="O976" s="13" t="n">
        <v>0.89</v>
      </c>
      <c r="P976" s="13" t="n">
        <v>1448</v>
      </c>
      <c r="Q976" s="13" t="n">
        <v>148</v>
      </c>
      <c r="R976" s="13" t="n">
        <v>57</v>
      </c>
      <c r="S976" s="13" t="n">
        <v>50</v>
      </c>
      <c r="T976" s="13" t="n">
        <v>259</v>
      </c>
      <c r="U976" s="13" t="n">
        <v>32</v>
      </c>
      <c r="V976" s="13" t="n">
        <v>222</v>
      </c>
      <c r="W976" s="13" t="n">
        <v>0.638</v>
      </c>
      <c r="X976" s="13" t="n">
        <v>110</v>
      </c>
      <c r="Y976" s="13" t="n">
        <v>128</v>
      </c>
      <c r="Z976" s="13" t="n">
        <v>149</v>
      </c>
      <c r="AA976" s="13" t="n">
        <v>5</v>
      </c>
      <c r="AB976" s="13" t="n">
        <v>5</v>
      </c>
      <c r="AC976" s="11" t="inlineStr">
        <is>
          <t xml:space="preserve"> Resort Freeride</t>
        </is>
      </c>
      <c r="AD976" s="13" t="n"/>
      <c r="AE976" s="13" t="n"/>
      <c r="AF976" s="13" t="n"/>
      <c r="AG976" s="13" t="n"/>
    </row>
    <row r="977">
      <c r="A977" s="9" t="inlineStr">
        <is>
          <t>21/22</t>
        </is>
      </c>
      <c r="B977" s="10" t="inlineStr">
        <is>
          <t xml:space="preserve"> Rossignol</t>
        </is>
      </c>
      <c r="C977" s="11" t="inlineStr">
        <is>
          <t xml:space="preserve"> Blackops Dreamer W</t>
        </is>
      </c>
      <c r="D977" s="13" t="n">
        <v>160</v>
      </c>
      <c r="E977" s="11" t="inlineStr">
        <is>
          <t xml:space="preserve"> Women's</t>
        </is>
      </c>
      <c r="F977" s="13" t="n">
        <v>160</v>
      </c>
      <c r="G977" s="13" t="n">
        <v>158.5</v>
      </c>
      <c r="H977" s="13" t="n">
        <v>111</v>
      </c>
      <c r="I977" s="13" t="n">
        <v>133</v>
      </c>
      <c r="J977" s="13" t="n">
        <v>117</v>
      </c>
      <c r="K977" s="13" t="n">
        <v>89</v>
      </c>
      <c r="L977" s="13" t="n">
        <v>107</v>
      </c>
      <c r="M977" s="13" t="n">
        <v>20.8</v>
      </c>
      <c r="N977" s="13" t="n">
        <v>1764</v>
      </c>
      <c r="O977" s="13" t="n">
        <v>0.87</v>
      </c>
      <c r="P977" s="13" t="n">
        <v>1541</v>
      </c>
      <c r="Q977" s="13" t="n">
        <v>153</v>
      </c>
      <c r="R977" s="13" t="n">
        <v>59</v>
      </c>
      <c r="S977" s="13" t="n">
        <v>51</v>
      </c>
      <c r="T977" s="13" t="n">
        <v>261</v>
      </c>
      <c r="U977" s="13" t="n">
        <v>29</v>
      </c>
      <c r="V977" s="13" t="n">
        <v>214</v>
      </c>
      <c r="W977" s="13" t="n">
        <v>0.5669999999999999</v>
      </c>
      <c r="X977" s="13" t="n">
        <v>126</v>
      </c>
      <c r="Y977" s="13" t="n">
        <v>133</v>
      </c>
      <c r="Z977" s="13" t="n">
        <v>135</v>
      </c>
      <c r="AA977" s="13" t="n">
        <v>7</v>
      </c>
      <c r="AB977" s="13" t="n">
        <v>5.3</v>
      </c>
      <c r="AC977" s="11" t="inlineStr">
        <is>
          <t xml:space="preserve"> Resort Freeride</t>
        </is>
      </c>
      <c r="AD977" s="13" t="n"/>
      <c r="AE977" s="13" t="n"/>
      <c r="AF977" s="13" t="n"/>
      <c r="AG977" s="13" t="n"/>
    </row>
    <row r="978">
      <c r="A978" s="9" t="inlineStr">
        <is>
          <t>21/22</t>
        </is>
      </c>
      <c r="B978" s="10" t="inlineStr">
        <is>
          <t xml:space="preserve"> Rossignol</t>
        </is>
      </c>
      <c r="C978" s="11" t="inlineStr">
        <is>
          <t xml:space="preserve"> Blackops Escaper</t>
        </is>
      </c>
      <c r="D978" s="13" t="n">
        <v>156</v>
      </c>
      <c r="E978" s="11" t="inlineStr">
        <is>
          <t xml:space="preserve"> Unisex</t>
        </is>
      </c>
      <c r="F978" s="13" t="n">
        <v>156</v>
      </c>
      <c r="G978" s="13" t="n">
        <v>155</v>
      </c>
      <c r="H978" s="13" t="n">
        <v>107</v>
      </c>
      <c r="I978" s="13" t="n">
        <v>129</v>
      </c>
      <c r="J978" s="13" t="n">
        <v>125</v>
      </c>
      <c r="K978" s="13" t="n">
        <v>89</v>
      </c>
      <c r="L978" s="13" t="n">
        <v>116</v>
      </c>
      <c r="M978" s="13" t="n">
        <v>11.7</v>
      </c>
      <c r="N978" s="13" t="n">
        <v>1471</v>
      </c>
      <c r="O978" s="13" t="n">
        <v>1.08</v>
      </c>
      <c r="P978" s="13" t="n">
        <v>1590</v>
      </c>
      <c r="Q978" s="13" t="n">
        <v>153</v>
      </c>
      <c r="R978" s="13" t="n">
        <v>75</v>
      </c>
      <c r="S978" s="13" t="n">
        <v>52</v>
      </c>
      <c r="T978" s="13" t="n">
        <v>307</v>
      </c>
      <c r="U978" s="13" t="n">
        <v>13</v>
      </c>
      <c r="V978" s="13" t="n">
        <v>173</v>
      </c>
      <c r="W978" s="13" t="n">
        <v>0.243</v>
      </c>
      <c r="X978" s="13" t="n">
        <v>158</v>
      </c>
      <c r="Y978" s="13" t="n">
        <v>100</v>
      </c>
      <c r="Z978" s="13" t="n">
        <v>149</v>
      </c>
      <c r="AA978" s="13" t="n">
        <v>6</v>
      </c>
      <c r="AB978" s="13" t="n">
        <v>5.5</v>
      </c>
      <c r="AC978" s="11" t="inlineStr">
        <is>
          <t xml:space="preserve"> Resort Freeride</t>
        </is>
      </c>
      <c r="AD978" s="11" t="inlineStr">
        <is>
          <t xml:space="preserve"> Touring</t>
        </is>
      </c>
      <c r="AE978" s="13" t="n"/>
      <c r="AF978" s="13" t="n"/>
      <c r="AG978" s="13" t="n"/>
    </row>
    <row r="979">
      <c r="A979" s="9" t="inlineStr">
        <is>
          <t>21/22</t>
        </is>
      </c>
      <c r="B979" s="10" t="inlineStr">
        <is>
          <t xml:space="preserve"> Rossignol</t>
        </is>
      </c>
      <c r="C979" s="11" t="inlineStr">
        <is>
          <t xml:space="preserve"> Blackops Escaper</t>
        </is>
      </c>
      <c r="D979" s="13" t="n">
        <v>164</v>
      </c>
      <c r="E979" s="11" t="inlineStr">
        <is>
          <t xml:space="preserve"> Unisex</t>
        </is>
      </c>
      <c r="F979" s="13" t="n">
        <v>164</v>
      </c>
      <c r="G979" s="13" t="n">
        <v>162.6</v>
      </c>
      <c r="H979" s="13" t="n">
        <v>115</v>
      </c>
      <c r="I979" s="13" t="n">
        <v>137</v>
      </c>
      <c r="J979" s="13" t="n">
        <v>126</v>
      </c>
      <c r="K979" s="13" t="n">
        <v>91</v>
      </c>
      <c r="L979" s="13" t="n">
        <v>116</v>
      </c>
      <c r="M979" s="13" t="n">
        <v>13.8</v>
      </c>
      <c r="N979" s="13" t="n">
        <v>1555</v>
      </c>
      <c r="O979" s="13" t="n">
        <v>1.08</v>
      </c>
      <c r="P979" s="13" t="n">
        <v>1680</v>
      </c>
      <c r="Q979" s="13" t="n">
        <v>183</v>
      </c>
      <c r="R979" s="13" t="n">
        <v>80</v>
      </c>
      <c r="S979" s="13" t="n">
        <v>52</v>
      </c>
      <c r="T979" s="13" t="n">
        <v>307</v>
      </c>
      <c r="U979" s="13" t="n">
        <v>12</v>
      </c>
      <c r="V979" s="13" t="n">
        <v>170</v>
      </c>
      <c r="W979" s="13" t="n">
        <v>0.225</v>
      </c>
      <c r="X979" s="13" t="n">
        <v>143</v>
      </c>
      <c r="Y979" s="13" t="n">
        <v>109</v>
      </c>
      <c r="Z979" s="13" t="n">
        <v>164</v>
      </c>
      <c r="AA979" s="13" t="n">
        <v>6</v>
      </c>
      <c r="AB979" s="13" t="n">
        <v>6.2</v>
      </c>
      <c r="AC979" s="11" t="inlineStr">
        <is>
          <t xml:space="preserve"> Resort Freeride</t>
        </is>
      </c>
      <c r="AD979" s="11" t="inlineStr">
        <is>
          <t xml:space="preserve"> Touring</t>
        </is>
      </c>
      <c r="AE979" s="13" t="n"/>
      <c r="AF979" s="13" t="n"/>
      <c r="AG979" s="13" t="n"/>
    </row>
    <row r="980">
      <c r="A980" s="9" t="inlineStr">
        <is>
          <t>21/22</t>
        </is>
      </c>
      <c r="B980" s="10" t="inlineStr">
        <is>
          <t xml:space="preserve"> Rossignol</t>
        </is>
      </c>
      <c r="C980" s="11" t="inlineStr">
        <is>
          <t xml:space="preserve"> Blackops Escaper</t>
        </is>
      </c>
      <c r="D980" s="13" t="n">
        <v>172</v>
      </c>
      <c r="E980" s="11" t="inlineStr">
        <is>
          <t xml:space="preserve"> Unisex</t>
        </is>
      </c>
      <c r="F980" s="13" t="n">
        <v>172</v>
      </c>
      <c r="G980" s="13" t="n">
        <v>170.8</v>
      </c>
      <c r="H980" s="13" t="n">
        <v>124</v>
      </c>
      <c r="I980" s="13" t="n">
        <v>146</v>
      </c>
      <c r="J980" s="13" t="n">
        <v>126</v>
      </c>
      <c r="K980" s="13" t="n">
        <v>92</v>
      </c>
      <c r="L980" s="13" t="n">
        <v>116</v>
      </c>
      <c r="M980" s="13" t="n">
        <v>16</v>
      </c>
      <c r="N980" s="13" t="n">
        <v>1632</v>
      </c>
      <c r="O980" s="13" t="n">
        <v>1.08</v>
      </c>
      <c r="P980" s="13" t="n">
        <v>1769</v>
      </c>
      <c r="Q980" s="13" t="n">
        <v>204</v>
      </c>
      <c r="R980" s="13" t="n">
        <v>90</v>
      </c>
      <c r="S980" s="13" t="n">
        <v>47</v>
      </c>
      <c r="T980" s="13" t="n">
        <v>291</v>
      </c>
      <c r="U980" s="13" t="n">
        <v>12</v>
      </c>
      <c r="V980" s="13" t="n">
        <v>174</v>
      </c>
      <c r="W980" s="13" t="n">
        <v>0.26</v>
      </c>
      <c r="X980" s="13" t="n">
        <v>153</v>
      </c>
      <c r="Y980" s="13" t="n">
        <v>98</v>
      </c>
      <c r="Z980" s="13" t="n">
        <v>138</v>
      </c>
      <c r="AA980" s="13" t="n">
        <v>6</v>
      </c>
      <c r="AB980" s="13" t="n">
        <v>6.5</v>
      </c>
      <c r="AC980" s="11" t="inlineStr">
        <is>
          <t xml:space="preserve"> Resort Freeride</t>
        </is>
      </c>
      <c r="AD980" s="11" t="inlineStr">
        <is>
          <t xml:space="preserve"> Touring</t>
        </is>
      </c>
      <c r="AE980" s="13" t="n"/>
      <c r="AF980" s="13" t="n"/>
      <c r="AG980" s="13" t="n"/>
    </row>
    <row r="981">
      <c r="A981" s="9" t="inlineStr">
        <is>
          <t>21/22</t>
        </is>
      </c>
      <c r="B981" s="10" t="inlineStr">
        <is>
          <t xml:space="preserve"> Rossignol</t>
        </is>
      </c>
      <c r="C981" s="11" t="inlineStr">
        <is>
          <t xml:space="preserve"> Blackops Escaper</t>
        </is>
      </c>
      <c r="D981" s="13" t="n">
        <v>178</v>
      </c>
      <c r="E981" s="11" t="inlineStr">
        <is>
          <t xml:space="preserve"> Unisex</t>
        </is>
      </c>
      <c r="F981" s="13" t="n">
        <v>178</v>
      </c>
      <c r="G981" s="13" t="n">
        <v>178.4</v>
      </c>
      <c r="H981" s="13" t="n">
        <v>131</v>
      </c>
      <c r="I981" s="13" t="n">
        <v>154</v>
      </c>
      <c r="J981" s="13" t="n">
        <v>126</v>
      </c>
      <c r="K981" s="13" t="n">
        <v>93</v>
      </c>
      <c r="L981" s="13" t="n">
        <v>116</v>
      </c>
      <c r="M981" s="13" t="n">
        <v>18.6</v>
      </c>
      <c r="N981" s="13" t="n">
        <v>1801</v>
      </c>
      <c r="O981" s="13" t="n">
        <v>1.03</v>
      </c>
      <c r="P981" s="13" t="n">
        <v>1857</v>
      </c>
      <c r="Q981" s="13" t="n">
        <v>251</v>
      </c>
      <c r="R981" s="13" t="n">
        <v>125</v>
      </c>
      <c r="S981" s="13" t="n">
        <v>49</v>
      </c>
      <c r="T981" s="13" t="n">
        <v>307</v>
      </c>
      <c r="U981" s="13" t="n">
        <v>11</v>
      </c>
      <c r="V981" s="13" t="n">
        <v>171</v>
      </c>
      <c r="W981" s="13" t="n">
        <v>0.22</v>
      </c>
      <c r="X981" s="13" t="n">
        <v>142</v>
      </c>
      <c r="Y981" s="13" t="n">
        <v>104</v>
      </c>
      <c r="Z981" s="13" t="n">
        <v>165</v>
      </c>
      <c r="AA981" s="13" t="n">
        <v>8</v>
      </c>
      <c r="AB981" s="13" t="n">
        <v>7.6</v>
      </c>
      <c r="AC981" s="11" t="inlineStr">
        <is>
          <t xml:space="preserve"> Resort Freeride</t>
        </is>
      </c>
      <c r="AD981" s="13" t="n"/>
      <c r="AE981" s="13" t="n"/>
      <c r="AF981" s="13" t="n"/>
      <c r="AG981" s="13" t="n"/>
    </row>
    <row r="982">
      <c r="A982" s="9" t="inlineStr">
        <is>
          <t>21/22</t>
        </is>
      </c>
      <c r="B982" s="10" t="inlineStr">
        <is>
          <t xml:space="preserve"> Rossignol</t>
        </is>
      </c>
      <c r="C982" s="11" t="inlineStr">
        <is>
          <t xml:space="preserve"> Blackops Escaper</t>
        </is>
      </c>
      <c r="D982" s="13" t="n">
        <v>186</v>
      </c>
      <c r="E982" s="11" t="inlineStr">
        <is>
          <t xml:space="preserve"> Unisex</t>
        </is>
      </c>
      <c r="F982" s="13" t="n">
        <v>186</v>
      </c>
      <c r="G982" s="13" t="n">
        <v>186.5</v>
      </c>
      <c r="H982" s="13" t="n">
        <v>140</v>
      </c>
      <c r="I982" s="13" t="n">
        <v>161</v>
      </c>
      <c r="J982" s="13" t="n">
        <v>126</v>
      </c>
      <c r="K982" s="13" t="n">
        <v>93</v>
      </c>
      <c r="L982" s="13" t="n">
        <v>116</v>
      </c>
      <c r="M982" s="13" t="n">
        <v>21.4</v>
      </c>
      <c r="N982" s="13" t="n">
        <v>1870</v>
      </c>
      <c r="O982" s="13" t="n">
        <v>1.04</v>
      </c>
      <c r="P982" s="13" t="n">
        <v>1948</v>
      </c>
      <c r="Q982" s="13" t="n">
        <v>295</v>
      </c>
      <c r="R982" s="13" t="n">
        <v>138</v>
      </c>
      <c r="S982" s="13" t="n">
        <v>46</v>
      </c>
      <c r="T982" s="13" t="n">
        <v>286</v>
      </c>
      <c r="U982" s="13" t="n">
        <v>14</v>
      </c>
      <c r="V982" s="13" t="n">
        <v>178</v>
      </c>
      <c r="W982" s="13" t="n">
        <v>0.31</v>
      </c>
      <c r="X982" s="13" t="n">
        <v>148</v>
      </c>
      <c r="Y982" s="13" t="n">
        <v>103</v>
      </c>
      <c r="Z982" s="13" t="n">
        <v>138</v>
      </c>
      <c r="AA982" s="13" t="n">
        <v>7</v>
      </c>
      <c r="AB982" s="13" t="n">
        <v>8.300000000000001</v>
      </c>
      <c r="AC982" s="11" t="inlineStr">
        <is>
          <t xml:space="preserve"> Resort Freeride</t>
        </is>
      </c>
      <c r="AD982" s="13" t="n"/>
      <c r="AE982" s="13" t="n"/>
      <c r="AF982" s="13" t="n"/>
      <c r="AG982" s="13" t="n"/>
    </row>
    <row r="983">
      <c r="A983" s="9" t="inlineStr">
        <is>
          <t>21/22</t>
        </is>
      </c>
      <c r="B983" s="10" t="inlineStr">
        <is>
          <t xml:space="preserve"> Rossignol</t>
        </is>
      </c>
      <c r="C983" s="11" t="inlineStr">
        <is>
          <t xml:space="preserve"> Blackops Gamer</t>
        </is>
      </c>
      <c r="D983" s="13" t="n">
        <v>176</v>
      </c>
      <c r="E983" s="11" t="inlineStr">
        <is>
          <t xml:space="preserve"> Unisex</t>
        </is>
      </c>
      <c r="F983" s="13" t="n">
        <v>176</v>
      </c>
      <c r="G983" s="13" t="n">
        <v>174.7</v>
      </c>
      <c r="H983" s="13" t="n">
        <v>102</v>
      </c>
      <c r="I983" s="13" t="n">
        <v>147</v>
      </c>
      <c r="J983" s="13" t="n">
        <v>144</v>
      </c>
      <c r="K983" s="13" t="n">
        <v>117</v>
      </c>
      <c r="L983" s="13" t="n">
        <v>139</v>
      </c>
      <c r="M983" s="13" t="n">
        <v>19.2</v>
      </c>
      <c r="N983" s="13" t="n">
        <v>2255</v>
      </c>
      <c r="O983" s="13" t="n">
        <v>0.98</v>
      </c>
      <c r="P983" s="13" t="n">
        <v>2199</v>
      </c>
      <c r="Q983" s="13" t="n">
        <v>217</v>
      </c>
      <c r="R983" s="13" t="n">
        <v>105</v>
      </c>
      <c r="S983" s="13" t="n">
        <v>69</v>
      </c>
      <c r="T983" s="13" t="n">
        <v>368</v>
      </c>
      <c r="U983" s="13" t="n">
        <v>53</v>
      </c>
      <c r="V983" s="13" t="n">
        <v>355</v>
      </c>
      <c r="W983" s="13" t="n">
        <v>0.766</v>
      </c>
      <c r="X983" s="13" t="n">
        <v>149</v>
      </c>
      <c r="Y983" s="13" t="n">
        <v>130</v>
      </c>
      <c r="Z983" s="13" t="n">
        <v>219</v>
      </c>
      <c r="AA983" s="13" t="n">
        <v>5</v>
      </c>
      <c r="AB983" s="13" t="n">
        <v>2.3</v>
      </c>
      <c r="AC983" s="11" t="inlineStr">
        <is>
          <t xml:space="preserve"> Powder</t>
        </is>
      </c>
      <c r="AD983" s="13" t="n"/>
      <c r="AE983" s="13" t="n"/>
      <c r="AF983" s="13" t="n"/>
      <c r="AG983" s="13" t="n"/>
    </row>
    <row r="984">
      <c r="A984" s="9" t="inlineStr">
        <is>
          <t>21/22</t>
        </is>
      </c>
      <c r="B984" s="10" t="inlineStr">
        <is>
          <t xml:space="preserve"> Rossignol</t>
        </is>
      </c>
      <c r="C984" s="11" t="inlineStr">
        <is>
          <t xml:space="preserve"> Blackops Gamer</t>
        </is>
      </c>
      <c r="D984" s="13" t="n">
        <v>186</v>
      </c>
      <c r="E984" s="11" t="inlineStr">
        <is>
          <t xml:space="preserve"> Unisex</t>
        </is>
      </c>
      <c r="F984" s="13" t="n">
        <v>186</v>
      </c>
      <c r="G984" s="13" t="n">
        <v>184.6</v>
      </c>
      <c r="H984" s="13" t="n">
        <v>112</v>
      </c>
      <c r="I984" s="13" t="n">
        <v>157</v>
      </c>
      <c r="J984" s="13" t="n">
        <v>144</v>
      </c>
      <c r="K984" s="13" t="n">
        <v>116</v>
      </c>
      <c r="L984" s="13" t="n">
        <v>139</v>
      </c>
      <c r="M984" s="13" t="n">
        <v>21.2</v>
      </c>
      <c r="N984" s="13" t="n">
        <v>2470</v>
      </c>
      <c r="O984" s="13" t="n">
        <v>0.9399999999999999</v>
      </c>
      <c r="P984" s="13" t="n">
        <v>2327</v>
      </c>
      <c r="Q984" s="13" t="n">
        <v>255</v>
      </c>
      <c r="R984" s="13" t="n">
        <v>127</v>
      </c>
      <c r="S984" s="13" t="n">
        <v>63</v>
      </c>
      <c r="T984" s="13" t="n">
        <v>367</v>
      </c>
      <c r="U984" s="13" t="n">
        <v>52</v>
      </c>
      <c r="V984" s="13" t="n">
        <v>356</v>
      </c>
      <c r="W984" s="13" t="n">
        <v>0.824</v>
      </c>
      <c r="X984" s="13" t="n">
        <v>147</v>
      </c>
      <c r="Y984" s="13" t="n">
        <v>127</v>
      </c>
      <c r="Z984" s="13" t="n">
        <v>220</v>
      </c>
      <c r="AA984" s="13" t="n">
        <v>5</v>
      </c>
      <c r="AB984" s="13" t="n">
        <v>2.4</v>
      </c>
      <c r="AC984" s="11" t="inlineStr">
        <is>
          <t xml:space="preserve"> Freeski</t>
        </is>
      </c>
      <c r="AD984" s="11" t="inlineStr">
        <is>
          <t xml:space="preserve"> Powder</t>
        </is>
      </c>
      <c r="AE984" s="13" t="n"/>
      <c r="AF984" s="13" t="n"/>
      <c r="AG984" s="13" t="n"/>
    </row>
    <row r="985">
      <c r="A985" s="9" t="inlineStr">
        <is>
          <t>21/22</t>
        </is>
      </c>
      <c r="B985" s="10" t="inlineStr">
        <is>
          <t xml:space="preserve"> Rossignol</t>
        </is>
      </c>
      <c r="C985" s="11" t="inlineStr">
        <is>
          <t xml:space="preserve"> Blackops Holyshred</t>
        </is>
      </c>
      <c r="D985" s="13" t="n">
        <v>162</v>
      </c>
      <c r="E985" s="11" t="inlineStr">
        <is>
          <t xml:space="preserve"> Unisex</t>
        </is>
      </c>
      <c r="F985" s="13" t="n">
        <v>162</v>
      </c>
      <c r="G985" s="13" t="n">
        <v>159.5</v>
      </c>
      <c r="H985" s="13" t="n">
        <v>112</v>
      </c>
      <c r="I985" s="13" t="n">
        <v>136</v>
      </c>
      <c r="J985" s="13" t="n">
        <v>129</v>
      </c>
      <c r="K985" s="13" t="n">
        <v>97</v>
      </c>
      <c r="L985" s="13" t="n">
        <v>120</v>
      </c>
      <c r="M985" s="13" t="n">
        <v>14.4</v>
      </c>
      <c r="N985" s="13" t="n">
        <v>1731</v>
      </c>
      <c r="O985" s="13" t="n">
        <v>1</v>
      </c>
      <c r="P985" s="13" t="n">
        <v>1723</v>
      </c>
      <c r="Q985" s="13" t="n">
        <v>192</v>
      </c>
      <c r="R985" s="13" t="n">
        <v>101</v>
      </c>
      <c r="S985" s="13" t="n">
        <v>53</v>
      </c>
      <c r="T985" s="13" t="n">
        <v>255</v>
      </c>
      <c r="U985" s="13" t="n">
        <v>35</v>
      </c>
      <c r="V985" s="13" t="n">
        <v>221</v>
      </c>
      <c r="W985" s="13" t="n">
        <v>0.663</v>
      </c>
      <c r="X985" s="13" t="n">
        <v>137</v>
      </c>
      <c r="Y985" s="13" t="n">
        <v>94</v>
      </c>
      <c r="Z985" s="13" t="n">
        <v>118</v>
      </c>
      <c r="AA985" s="13" t="n">
        <v>7</v>
      </c>
      <c r="AB985" s="13" t="n">
        <v>4.1</v>
      </c>
      <c r="AC985" s="11" t="inlineStr">
        <is>
          <t xml:space="preserve"> Resort Freeride</t>
        </is>
      </c>
      <c r="AD985" s="13" t="n"/>
      <c r="AE985" s="13" t="n"/>
      <c r="AF985" s="13" t="n"/>
      <c r="AG985" s="13" t="n"/>
    </row>
    <row r="986">
      <c r="A986" s="9" t="inlineStr">
        <is>
          <t>21/22</t>
        </is>
      </c>
      <c r="B986" s="10" t="inlineStr">
        <is>
          <t xml:space="preserve"> Rossignol</t>
        </is>
      </c>
      <c r="C986" s="11" t="inlineStr">
        <is>
          <t xml:space="preserve"> Blackops Holyshred</t>
        </is>
      </c>
      <c r="D986" s="13" t="n">
        <v>172</v>
      </c>
      <c r="E986" s="11" t="inlineStr">
        <is>
          <t xml:space="preserve"> Unisex</t>
        </is>
      </c>
      <c r="F986" s="13" t="n">
        <v>172</v>
      </c>
      <c r="G986" s="13" t="n">
        <v>169.3</v>
      </c>
      <c r="H986" s="13" t="n">
        <v>121</v>
      </c>
      <c r="I986" s="13" t="n">
        <v>146</v>
      </c>
      <c r="J986" s="13" t="n">
        <v>129</v>
      </c>
      <c r="K986" s="13" t="n">
        <v>97</v>
      </c>
      <c r="L986" s="13" t="n">
        <v>120</v>
      </c>
      <c r="M986" s="13" t="n">
        <v>17</v>
      </c>
      <c r="N986" s="13" t="n">
        <v>1850</v>
      </c>
      <c r="O986" s="13" t="n">
        <v>0.99</v>
      </c>
      <c r="P986" s="13" t="n">
        <v>1826</v>
      </c>
      <c r="Q986" s="13" t="n">
        <v>196</v>
      </c>
      <c r="R986" s="13" t="n">
        <v>107</v>
      </c>
      <c r="S986" s="13" t="n">
        <v>57</v>
      </c>
      <c r="T986" s="13" t="n">
        <v>260</v>
      </c>
      <c r="U986" s="13" t="n">
        <v>37</v>
      </c>
      <c r="V986" s="13" t="n">
        <v>226</v>
      </c>
      <c r="W986" s="13" t="n">
        <v>0.65</v>
      </c>
      <c r="X986" s="13" t="n">
        <v>136</v>
      </c>
      <c r="Y986" s="13" t="n">
        <v>97</v>
      </c>
      <c r="Z986" s="13" t="n">
        <v>125</v>
      </c>
      <c r="AA986" s="13" t="n">
        <v>8</v>
      </c>
      <c r="AB986" s="13" t="n">
        <v>4.3</v>
      </c>
      <c r="AC986" s="11" t="inlineStr">
        <is>
          <t xml:space="preserve"> Resort Freeride</t>
        </is>
      </c>
      <c r="AD986" s="13" t="n"/>
      <c r="AE986" s="13" t="n"/>
      <c r="AF986" s="13" t="n"/>
      <c r="AG986" s="13" t="n"/>
    </row>
    <row r="987">
      <c r="A987" s="9" t="inlineStr">
        <is>
          <t>21/22</t>
        </is>
      </c>
      <c r="B987" s="10" t="inlineStr">
        <is>
          <t xml:space="preserve"> Rossignol</t>
        </is>
      </c>
      <c r="C987" s="11" t="inlineStr">
        <is>
          <t xml:space="preserve"> Blackops Holyshred</t>
        </is>
      </c>
      <c r="D987" s="13" t="n">
        <v>182</v>
      </c>
      <c r="E987" s="11" t="inlineStr">
        <is>
          <t xml:space="preserve"> Unisex</t>
        </is>
      </c>
      <c r="F987" s="13" t="n">
        <v>182</v>
      </c>
      <c r="G987" s="13" t="n">
        <v>179.6</v>
      </c>
      <c r="H987" s="13" t="n">
        <v>132</v>
      </c>
      <c r="I987" s="13" t="n">
        <v>156</v>
      </c>
      <c r="J987" s="13" t="n">
        <v>129</v>
      </c>
      <c r="K987" s="13" t="n">
        <v>97</v>
      </c>
      <c r="L987" s="13" t="n">
        <v>120</v>
      </c>
      <c r="M987" s="13" t="n">
        <v>19.7</v>
      </c>
      <c r="N987" s="13" t="n">
        <v>2021</v>
      </c>
      <c r="O987" s="13" t="n">
        <v>0.96</v>
      </c>
      <c r="P987" s="13" t="n">
        <v>1938</v>
      </c>
      <c r="Q987" s="13" t="n">
        <v>238</v>
      </c>
      <c r="R987" s="13" t="n">
        <v>123</v>
      </c>
      <c r="S987" s="13" t="n">
        <v>52</v>
      </c>
      <c r="T987" s="13" t="n">
        <v>255</v>
      </c>
      <c r="U987" s="13" t="n">
        <v>35</v>
      </c>
      <c r="V987" s="13" t="n">
        <v>222</v>
      </c>
      <c r="W987" s="13" t="n">
        <v>0.667</v>
      </c>
      <c r="X987" s="13" t="n">
        <v>137</v>
      </c>
      <c r="Y987" s="13" t="n">
        <v>99</v>
      </c>
      <c r="Z987" s="13" t="n">
        <v>118</v>
      </c>
      <c r="AA987" s="13" t="n">
        <v>9</v>
      </c>
      <c r="AB987" s="13" t="n">
        <v>4.4</v>
      </c>
      <c r="AC987" s="11" t="inlineStr">
        <is>
          <t xml:space="preserve"> Resort Freeride</t>
        </is>
      </c>
      <c r="AD987" s="13" t="n"/>
      <c r="AE987" s="13" t="n"/>
      <c r="AF987" s="13" t="n"/>
      <c r="AG987" s="13" t="n"/>
    </row>
    <row r="988">
      <c r="A988" s="9" t="inlineStr">
        <is>
          <t>21/22</t>
        </is>
      </c>
      <c r="B988" s="10" t="inlineStr">
        <is>
          <t xml:space="preserve"> Rossignol</t>
        </is>
      </c>
      <c r="C988" s="11" t="inlineStr">
        <is>
          <t xml:space="preserve"> Blackops Rallybird Ti W</t>
        </is>
      </c>
      <c r="D988" s="13" t="n">
        <v>163</v>
      </c>
      <c r="E988" s="11" t="inlineStr">
        <is>
          <t xml:space="preserve"> Women's</t>
        </is>
      </c>
      <c r="F988" s="13" t="n">
        <v>163</v>
      </c>
      <c r="G988" s="13" t="n">
        <v>162.7</v>
      </c>
      <c r="H988" s="13" t="n">
        <v>107</v>
      </c>
      <c r="I988" s="13" t="n">
        <v>136</v>
      </c>
      <c r="J988" s="13" t="n">
        <v>136</v>
      </c>
      <c r="K988" s="13" t="n">
        <v>100</v>
      </c>
      <c r="L988" s="13" t="n">
        <v>127</v>
      </c>
      <c r="M988" s="13" t="n">
        <v>13</v>
      </c>
      <c r="N988" s="13" t="n">
        <v>1742</v>
      </c>
      <c r="O988" s="13" t="n">
        <v>1.06</v>
      </c>
      <c r="P988" s="13" t="n">
        <v>1841</v>
      </c>
      <c r="Q988" s="13" t="n">
        <v>190</v>
      </c>
      <c r="R988" s="13" t="n">
        <v>98</v>
      </c>
      <c r="S988" s="13" t="n">
        <v>50</v>
      </c>
      <c r="T988" s="13" t="n">
        <v>304</v>
      </c>
      <c r="U988" s="13" t="n">
        <v>16</v>
      </c>
      <c r="V988" s="13" t="n">
        <v>251</v>
      </c>
      <c r="W988" s="13" t="n">
        <v>0.322</v>
      </c>
      <c r="X988" s="13" t="n">
        <v>157</v>
      </c>
      <c r="Y988" s="13" t="n">
        <v>108</v>
      </c>
      <c r="Z988" s="13" t="n">
        <v>147</v>
      </c>
      <c r="AA988" s="13" t="n">
        <v>3</v>
      </c>
      <c r="AB988" s="13" t="n">
        <v>6.3</v>
      </c>
      <c r="AC988" s="11" t="inlineStr">
        <is>
          <t xml:space="preserve"> Resort Freeride</t>
        </is>
      </c>
      <c r="AD988" s="11" t="inlineStr">
        <is>
          <t xml:space="preserve"> Big Mountain</t>
        </is>
      </c>
      <c r="AE988" s="11" t="inlineStr">
        <is>
          <t xml:space="preserve"> Touring</t>
        </is>
      </c>
      <c r="AF988" s="13" t="n"/>
      <c r="AG988" s="13" t="n"/>
    </row>
    <row r="989">
      <c r="A989" s="9" t="inlineStr">
        <is>
          <t>21/22</t>
        </is>
      </c>
      <c r="B989" s="10" t="inlineStr">
        <is>
          <t xml:space="preserve"> Rossignol</t>
        </is>
      </c>
      <c r="C989" s="11" t="inlineStr">
        <is>
          <t xml:space="preserve"> Blackops Rallybird Ti W</t>
        </is>
      </c>
      <c r="D989" s="13" t="n">
        <v>171</v>
      </c>
      <c r="E989" s="11" t="inlineStr">
        <is>
          <t xml:space="preserve"> Women's</t>
        </is>
      </c>
      <c r="F989" s="13" t="n">
        <v>171</v>
      </c>
      <c r="G989" s="13" t="n">
        <v>170.6</v>
      </c>
      <c r="H989" s="13" t="n">
        <v>117</v>
      </c>
      <c r="I989" s="13" t="n">
        <v>146</v>
      </c>
      <c r="J989" s="13" t="n">
        <v>137</v>
      </c>
      <c r="K989" s="13" t="n">
        <v>101</v>
      </c>
      <c r="L989" s="13" t="n">
        <v>127</v>
      </c>
      <c r="M989" s="13" t="n">
        <v>15.3</v>
      </c>
      <c r="N989" s="13" t="n">
        <v>1829</v>
      </c>
      <c r="O989" s="13" t="n">
        <v>1.06</v>
      </c>
      <c r="P989" s="13" t="n">
        <v>1938</v>
      </c>
      <c r="Q989" s="13" t="n">
        <v>232</v>
      </c>
      <c r="R989" s="13" t="n">
        <v>94</v>
      </c>
      <c r="S989" s="13" t="n">
        <v>47</v>
      </c>
      <c r="T989" s="13" t="n">
        <v>300</v>
      </c>
      <c r="U989" s="13" t="n">
        <v>14</v>
      </c>
      <c r="V989" s="13" t="n">
        <v>233</v>
      </c>
      <c r="W989" s="13" t="n">
        <v>0.307</v>
      </c>
      <c r="X989" s="13" t="n">
        <v>151</v>
      </c>
      <c r="Y989" s="13" t="n">
        <v>99</v>
      </c>
      <c r="Z989" s="13" t="n">
        <v>149</v>
      </c>
      <c r="AA989" s="13" t="n">
        <v>4</v>
      </c>
      <c r="AB989" s="13" t="n">
        <v>6.9</v>
      </c>
      <c r="AC989" s="11" t="inlineStr">
        <is>
          <t xml:space="preserve"> Resort Freeride</t>
        </is>
      </c>
      <c r="AD989" s="11" t="inlineStr">
        <is>
          <t xml:space="preserve"> Big Mountain</t>
        </is>
      </c>
      <c r="AE989" s="11" t="inlineStr">
        <is>
          <t xml:space="preserve"> Touring</t>
        </is>
      </c>
      <c r="AF989" s="13" t="n"/>
      <c r="AG989" s="13" t="n"/>
    </row>
    <row r="990">
      <c r="A990" s="9" t="inlineStr">
        <is>
          <t>21/22</t>
        </is>
      </c>
      <c r="B990" s="10" t="inlineStr">
        <is>
          <t xml:space="preserve"> Rossignol</t>
        </is>
      </c>
      <c r="C990" s="11" t="inlineStr">
        <is>
          <t xml:space="preserve"> Blackops Rallybird W</t>
        </is>
      </c>
      <c r="D990" s="13" t="n">
        <v>154</v>
      </c>
      <c r="E990" s="11" t="inlineStr">
        <is>
          <t xml:space="preserve"> Women's</t>
        </is>
      </c>
      <c r="F990" s="13" t="n">
        <v>154</v>
      </c>
      <c r="G990" s="13" t="n">
        <v>154.4</v>
      </c>
      <c r="H990" s="13" t="n">
        <v>100</v>
      </c>
      <c r="I990" s="13" t="n">
        <v>129</v>
      </c>
      <c r="J990" s="13" t="n">
        <v>136</v>
      </c>
      <c r="K990" s="13" t="n">
        <v>99</v>
      </c>
      <c r="L990" s="13" t="n">
        <v>127</v>
      </c>
      <c r="M990" s="13" t="n">
        <v>11.1</v>
      </c>
      <c r="N990" s="13" t="n">
        <v>1623</v>
      </c>
      <c r="O990" s="13" t="n">
        <v>1.07</v>
      </c>
      <c r="P990" s="13" t="n">
        <v>1736</v>
      </c>
      <c r="Q990" s="13" t="n">
        <v>205</v>
      </c>
      <c r="R990" s="13" t="n">
        <v>81</v>
      </c>
      <c r="S990" s="13" t="n">
        <v>49</v>
      </c>
      <c r="T990" s="13" t="n">
        <v>304</v>
      </c>
      <c r="U990" s="13" t="n">
        <v>14</v>
      </c>
      <c r="V990" s="13" t="n">
        <v>237</v>
      </c>
      <c r="W990" s="13" t="n">
        <v>0.275</v>
      </c>
      <c r="X990" s="13" t="n">
        <v>147</v>
      </c>
      <c r="Y990" s="13" t="n">
        <v>106</v>
      </c>
      <c r="Z990" s="13" t="n">
        <v>157</v>
      </c>
      <c r="AA990" s="13" t="n">
        <v>3</v>
      </c>
      <c r="AB990" s="13" t="n">
        <v>6</v>
      </c>
      <c r="AC990" s="11" t="inlineStr">
        <is>
          <t xml:space="preserve"> Resort Freeride</t>
        </is>
      </c>
      <c r="AD990" s="11" t="inlineStr">
        <is>
          <t xml:space="preserve"> Touring</t>
        </is>
      </c>
      <c r="AE990" s="13" t="n"/>
      <c r="AF990" s="13" t="n"/>
      <c r="AG990" s="13" t="n"/>
    </row>
    <row r="991">
      <c r="A991" s="9" t="inlineStr">
        <is>
          <t>21/22</t>
        </is>
      </c>
      <c r="B991" s="10" t="inlineStr">
        <is>
          <t xml:space="preserve"> Rossignol</t>
        </is>
      </c>
      <c r="C991" s="11" t="inlineStr">
        <is>
          <t xml:space="preserve"> Blackops Rallybird W</t>
        </is>
      </c>
      <c r="D991" s="13" t="n">
        <v>162</v>
      </c>
      <c r="E991" s="11" t="inlineStr">
        <is>
          <t xml:space="preserve"> Women's</t>
        </is>
      </c>
      <c r="F991" s="13" t="n">
        <v>162</v>
      </c>
      <c r="G991" s="13" t="n">
        <v>162.7</v>
      </c>
      <c r="H991" s="13" t="n">
        <v>111</v>
      </c>
      <c r="I991" s="13" t="n">
        <v>136</v>
      </c>
      <c r="J991" s="13" t="n">
        <v>136</v>
      </c>
      <c r="K991" s="13" t="n">
        <v>100</v>
      </c>
      <c r="L991" s="13" t="n">
        <v>127</v>
      </c>
      <c r="M991" s="13" t="n">
        <v>13</v>
      </c>
      <c r="N991" s="13" t="n">
        <v>1690</v>
      </c>
      <c r="O991" s="13" t="n">
        <v>1.09</v>
      </c>
      <c r="P991" s="13" t="n">
        <v>1839</v>
      </c>
      <c r="Q991" s="13" t="n">
        <v>200</v>
      </c>
      <c r="R991" s="13" t="n">
        <v>97</v>
      </c>
      <c r="S991" s="13" t="n">
        <v>48</v>
      </c>
      <c r="T991" s="13" t="n">
        <v>297</v>
      </c>
      <c r="U991" s="13" t="n">
        <v>14</v>
      </c>
      <c r="V991" s="13" t="n">
        <v>223</v>
      </c>
      <c r="W991" s="13" t="n">
        <v>0.29</v>
      </c>
      <c r="X991" s="13" t="n">
        <v>161</v>
      </c>
      <c r="Y991" s="13" t="n">
        <v>107</v>
      </c>
      <c r="Z991" s="13" t="n">
        <v>136</v>
      </c>
      <c r="AA991" s="13" t="n">
        <v>5</v>
      </c>
      <c r="AB991" s="13" t="n">
        <v>6.3</v>
      </c>
      <c r="AC991" s="11" t="inlineStr">
        <is>
          <t xml:space="preserve"> Resort Freeride</t>
        </is>
      </c>
      <c r="AD991" s="11" t="inlineStr">
        <is>
          <t xml:space="preserve"> Big Mountain</t>
        </is>
      </c>
      <c r="AE991" s="11" t="inlineStr">
        <is>
          <t xml:space="preserve"> Touring</t>
        </is>
      </c>
      <c r="AF991" s="13" t="n"/>
      <c r="AG991" s="13" t="n"/>
    </row>
    <row r="992">
      <c r="A992" s="9" t="inlineStr">
        <is>
          <t>21/22</t>
        </is>
      </c>
      <c r="B992" s="10" t="inlineStr">
        <is>
          <t xml:space="preserve"> Rossignol</t>
        </is>
      </c>
      <c r="C992" s="11" t="inlineStr">
        <is>
          <t xml:space="preserve"> Blackops Sender</t>
        </is>
      </c>
      <c r="D992" s="13" t="n">
        <v>164</v>
      </c>
      <c r="E992" s="11" t="inlineStr">
        <is>
          <t xml:space="preserve"> Unisex</t>
        </is>
      </c>
      <c r="F992" s="13" t="n">
        <v>164</v>
      </c>
      <c r="G992" s="13" t="n">
        <v>162.6</v>
      </c>
      <c r="H992" s="13" t="n">
        <v>113</v>
      </c>
      <c r="I992" s="13" t="n">
        <v>137</v>
      </c>
      <c r="J992" s="13" t="n">
        <v>137</v>
      </c>
      <c r="K992" s="13" t="n">
        <v>100</v>
      </c>
      <c r="L992" s="13" t="n">
        <v>127</v>
      </c>
      <c r="M992" s="13" t="n">
        <v>12.9</v>
      </c>
      <c r="N992" s="13" t="n">
        <v>1700</v>
      </c>
      <c r="O992" s="13" t="n">
        <v>1.08</v>
      </c>
      <c r="P992" s="13" t="n">
        <v>1839</v>
      </c>
      <c r="Q992" s="13" t="n">
        <v>201</v>
      </c>
      <c r="R992" s="13" t="n">
        <v>91</v>
      </c>
      <c r="S992" s="13" t="n">
        <v>48</v>
      </c>
      <c r="T992" s="13" t="n">
        <v>291</v>
      </c>
      <c r="U992" s="13" t="n">
        <v>13</v>
      </c>
      <c r="V992" s="13" t="n">
        <v>207</v>
      </c>
      <c r="W992" s="13" t="n">
        <v>0.282</v>
      </c>
      <c r="X992" s="13" t="n">
        <v>143</v>
      </c>
      <c r="Y992" s="13" t="n">
        <v>113</v>
      </c>
      <c r="Z992" s="13" t="n">
        <v>148</v>
      </c>
      <c r="AA992" s="13" t="n">
        <v>6</v>
      </c>
      <c r="AB992" s="13" t="n">
        <v>5.9</v>
      </c>
      <c r="AC992" s="11" t="inlineStr">
        <is>
          <t xml:space="preserve"> Resort Freeride</t>
        </is>
      </c>
      <c r="AD992" s="11" t="inlineStr">
        <is>
          <t xml:space="preserve"> Big Mountain</t>
        </is>
      </c>
      <c r="AE992" s="11" t="inlineStr">
        <is>
          <t xml:space="preserve"> Touring</t>
        </is>
      </c>
      <c r="AF992" s="13" t="n"/>
      <c r="AG992" s="13" t="n"/>
    </row>
    <row r="993">
      <c r="A993" s="9" t="inlineStr">
        <is>
          <t>21/22</t>
        </is>
      </c>
      <c r="B993" s="10" t="inlineStr">
        <is>
          <t xml:space="preserve"> Rossignol</t>
        </is>
      </c>
      <c r="C993" s="11" t="inlineStr">
        <is>
          <t xml:space="preserve"> Blackops Sender</t>
        </is>
      </c>
      <c r="D993" s="13" t="n">
        <v>172</v>
      </c>
      <c r="E993" s="11" t="inlineStr">
        <is>
          <t xml:space="preserve"> Unisex</t>
        </is>
      </c>
      <c r="F993" s="13" t="n">
        <v>172</v>
      </c>
      <c r="G993" s="13" t="n">
        <v>170.6</v>
      </c>
      <c r="H993" s="13" t="n">
        <v>121</v>
      </c>
      <c r="I993" s="13" t="n">
        <v>145</v>
      </c>
      <c r="J993" s="13" t="n">
        <v>136</v>
      </c>
      <c r="K993" s="13" t="n">
        <v>101</v>
      </c>
      <c r="L993" s="13" t="n">
        <v>127</v>
      </c>
      <c r="M993" s="13" t="n">
        <v>15.4</v>
      </c>
      <c r="N993" s="13" t="n">
        <v>1793</v>
      </c>
      <c r="O993" s="13" t="n">
        <v>1.08</v>
      </c>
      <c r="P993" s="13" t="n">
        <v>1935</v>
      </c>
      <c r="Q993" s="13" t="n">
        <v>212</v>
      </c>
      <c r="R993" s="13" t="n">
        <v>94</v>
      </c>
      <c r="S993" s="13" t="n">
        <v>48</v>
      </c>
      <c r="T993" s="13" t="n">
        <v>298</v>
      </c>
      <c r="U993" s="13" t="n">
        <v>12</v>
      </c>
      <c r="V993" s="13" t="n">
        <v>197</v>
      </c>
      <c r="W993" s="13" t="n">
        <v>0.251</v>
      </c>
      <c r="X993" s="13" t="n">
        <v>146</v>
      </c>
      <c r="Y993" s="13" t="n">
        <v>109</v>
      </c>
      <c r="Z993" s="13" t="n">
        <v>153</v>
      </c>
      <c r="AA993" s="13" t="n">
        <v>6</v>
      </c>
      <c r="AB993" s="13" t="n">
        <v>6.5</v>
      </c>
      <c r="AC993" s="11" t="inlineStr">
        <is>
          <t xml:space="preserve"> Resort Freeride</t>
        </is>
      </c>
      <c r="AD993" s="11" t="inlineStr">
        <is>
          <t xml:space="preserve"> Big Mountain</t>
        </is>
      </c>
      <c r="AE993" s="11" t="inlineStr">
        <is>
          <t xml:space="preserve"> Touring</t>
        </is>
      </c>
      <c r="AF993" s="13" t="n"/>
      <c r="AG993" s="13" t="n"/>
    </row>
    <row r="994">
      <c r="A994" s="9" t="inlineStr">
        <is>
          <t>21/22</t>
        </is>
      </c>
      <c r="B994" s="10" t="inlineStr">
        <is>
          <t xml:space="preserve"> Rossignol</t>
        </is>
      </c>
      <c r="C994" s="11" t="inlineStr">
        <is>
          <t xml:space="preserve"> Blackops Sender</t>
        </is>
      </c>
      <c r="D994" s="13" t="n">
        <v>178</v>
      </c>
      <c r="E994" s="11" t="inlineStr">
        <is>
          <t xml:space="preserve"> Unisex</t>
        </is>
      </c>
      <c r="F994" s="13" t="n">
        <v>178</v>
      </c>
      <c r="G994" s="13" t="n">
        <v>178.3</v>
      </c>
      <c r="H994" s="13" t="n">
        <v>128</v>
      </c>
      <c r="I994" s="13" t="n">
        <v>152</v>
      </c>
      <c r="J994" s="13" t="n">
        <v>137</v>
      </c>
      <c r="K994" s="13" t="n">
        <v>103</v>
      </c>
      <c r="L994" s="13" t="n">
        <v>127</v>
      </c>
      <c r="M994" s="13" t="n">
        <v>18</v>
      </c>
      <c r="N994" s="13" t="n">
        <v>1950</v>
      </c>
      <c r="O994" s="13" t="n">
        <v>1.05</v>
      </c>
      <c r="P994" s="13" t="n">
        <v>2041</v>
      </c>
      <c r="Q994" s="13" t="n">
        <v>246</v>
      </c>
      <c r="R994" s="13" t="n">
        <v>109</v>
      </c>
      <c r="S994" s="13" t="n">
        <v>51</v>
      </c>
      <c r="T994" s="13" t="n">
        <v>304</v>
      </c>
      <c r="U994" s="13" t="n">
        <v>12</v>
      </c>
      <c r="V994" s="13" t="n">
        <v>203</v>
      </c>
      <c r="W994" s="13" t="n">
        <v>0.236</v>
      </c>
      <c r="X994" s="13" t="n">
        <v>153</v>
      </c>
      <c r="Y994" s="13" t="n">
        <v>112</v>
      </c>
      <c r="Z994" s="13" t="n">
        <v>152</v>
      </c>
      <c r="AA994" s="13" t="n">
        <v>6</v>
      </c>
      <c r="AB994" s="13" t="n">
        <v>7.2</v>
      </c>
      <c r="AC994" s="11" t="inlineStr">
        <is>
          <t xml:space="preserve"> Resort Freeride</t>
        </is>
      </c>
      <c r="AD994" s="11" t="inlineStr">
        <is>
          <t xml:space="preserve"> Big Mountain</t>
        </is>
      </c>
      <c r="AE994" s="13" t="n"/>
      <c r="AF994" s="13" t="n"/>
      <c r="AG994" s="13" t="n"/>
    </row>
    <row r="995">
      <c r="A995" s="9" t="inlineStr">
        <is>
          <t>21/22</t>
        </is>
      </c>
      <c r="B995" s="10" t="inlineStr">
        <is>
          <t xml:space="preserve"> Rossignol</t>
        </is>
      </c>
      <c r="C995" s="11" t="inlineStr">
        <is>
          <t xml:space="preserve"> Blackops Sender</t>
        </is>
      </c>
      <c r="D995" s="13" t="n">
        <v>186</v>
      </c>
      <c r="E995" s="11" t="inlineStr">
        <is>
          <t xml:space="preserve"> Unisex</t>
        </is>
      </c>
      <c r="F995" s="13" t="n">
        <v>186</v>
      </c>
      <c r="G995" s="13" t="n">
        <v>186.4</v>
      </c>
      <c r="H995" s="13" t="n">
        <v>138</v>
      </c>
      <c r="I995" s="13" t="n">
        <v>159</v>
      </c>
      <c r="J995" s="13" t="n">
        <v>137</v>
      </c>
      <c r="K995" s="13" t="n">
        <v>104</v>
      </c>
      <c r="L995" s="13" t="n">
        <v>127</v>
      </c>
      <c r="M995" s="13" t="n">
        <v>20.9</v>
      </c>
      <c r="N995" s="13" t="n">
        <v>2060</v>
      </c>
      <c r="O995" s="13" t="n">
        <v>1.04</v>
      </c>
      <c r="P995" s="13" t="n">
        <v>2141</v>
      </c>
      <c r="Q995" s="13" t="n">
        <v>287</v>
      </c>
      <c r="R995" s="13" t="n">
        <v>138</v>
      </c>
      <c r="S995" s="13" t="n">
        <v>50</v>
      </c>
      <c r="T995" s="13" t="n">
        <v>301</v>
      </c>
      <c r="U995" s="13" t="n">
        <v>12</v>
      </c>
      <c r="V995" s="13" t="n">
        <v>182</v>
      </c>
      <c r="W995" s="13" t="n">
        <v>0.228</v>
      </c>
      <c r="X995" s="13" t="n">
        <v>163</v>
      </c>
      <c r="Y995" s="13" t="n">
        <v>107</v>
      </c>
      <c r="Z995" s="13" t="n">
        <v>138</v>
      </c>
      <c r="AA995" s="13" t="n">
        <v>6</v>
      </c>
      <c r="AB995" s="13" t="n">
        <v>7.5</v>
      </c>
      <c r="AC995" s="11" t="inlineStr">
        <is>
          <t xml:space="preserve"> Resort Freeride</t>
        </is>
      </c>
      <c r="AD995" s="11" t="inlineStr">
        <is>
          <t xml:space="preserve"> Big Mountain</t>
        </is>
      </c>
      <c r="AE995" s="13" t="n"/>
      <c r="AF995" s="13" t="n"/>
      <c r="AG995" s="13" t="n"/>
    </row>
    <row r="996">
      <c r="A996" s="9" t="inlineStr">
        <is>
          <t>21/22</t>
        </is>
      </c>
      <c r="B996" s="10" t="inlineStr">
        <is>
          <t xml:space="preserve"> Rossignol</t>
        </is>
      </c>
      <c r="C996" s="11" t="inlineStr">
        <is>
          <t xml:space="preserve"> Blackops Sender Ti</t>
        </is>
      </c>
      <c r="D996" s="13" t="n">
        <v>180</v>
      </c>
      <c r="E996" s="11" t="inlineStr">
        <is>
          <t xml:space="preserve"> Unisex</t>
        </is>
      </c>
      <c r="F996" s="13" t="n">
        <v>180</v>
      </c>
      <c r="G996" s="13" t="n">
        <v>178.2</v>
      </c>
      <c r="H996" s="13" t="n">
        <v>136</v>
      </c>
      <c r="I996" s="13" t="n">
        <v>153</v>
      </c>
      <c r="J996" s="13" t="n">
        <v>137</v>
      </c>
      <c r="K996" s="13" t="n">
        <v>103</v>
      </c>
      <c r="L996" s="13" t="n">
        <v>127</v>
      </c>
      <c r="M996" s="13" t="n">
        <v>18.1</v>
      </c>
      <c r="N996" s="13" t="n">
        <v>2054</v>
      </c>
      <c r="O996" s="13" t="n">
        <v>0.99</v>
      </c>
      <c r="P996" s="13" t="n">
        <v>2039</v>
      </c>
      <c r="Q996" s="13" t="n">
        <v>227</v>
      </c>
      <c r="R996" s="13" t="n">
        <v>101</v>
      </c>
      <c r="S996" s="13" t="n">
        <v>49</v>
      </c>
      <c r="T996" s="13" t="n">
        <v>298</v>
      </c>
      <c r="U996" s="13" t="n">
        <v>10</v>
      </c>
      <c r="V996" s="13" t="n">
        <v>129</v>
      </c>
      <c r="W996" s="13" t="n">
        <v>0.207</v>
      </c>
      <c r="X996" s="13" t="n">
        <v>144</v>
      </c>
      <c r="Y996" s="13" t="n">
        <v>110</v>
      </c>
      <c r="Z996" s="13" t="n">
        <v>154</v>
      </c>
      <c r="AA996" s="13" t="n">
        <v>7</v>
      </c>
      <c r="AB996" s="13" t="n">
        <v>7.1</v>
      </c>
      <c r="AC996" s="11" t="inlineStr">
        <is>
          <t xml:space="preserve"> Resort Freeride</t>
        </is>
      </c>
      <c r="AD996" s="11" t="inlineStr">
        <is>
          <t xml:space="preserve"> Big Mountain</t>
        </is>
      </c>
      <c r="AE996" s="13" t="n"/>
      <c r="AF996" s="13" t="n"/>
      <c r="AG996" s="13" t="n"/>
    </row>
    <row r="997">
      <c r="A997" s="9" t="inlineStr">
        <is>
          <t>21/22</t>
        </is>
      </c>
      <c r="B997" s="10" t="inlineStr">
        <is>
          <t xml:space="preserve"> Rossignol</t>
        </is>
      </c>
      <c r="C997" s="11" t="inlineStr">
        <is>
          <t xml:space="preserve"> Blackops Sender Ti</t>
        </is>
      </c>
      <c r="D997" s="13" t="n">
        <v>187</v>
      </c>
      <c r="E997" s="11" t="inlineStr">
        <is>
          <t xml:space="preserve"> Unisex</t>
        </is>
      </c>
      <c r="F997" s="13" t="n">
        <v>187</v>
      </c>
      <c r="G997" s="13" t="n">
        <v>186.4</v>
      </c>
      <c r="H997" s="13" t="n">
        <v>136</v>
      </c>
      <c r="I997" s="13" t="n">
        <v>160</v>
      </c>
      <c r="J997" s="13" t="n">
        <v>137</v>
      </c>
      <c r="K997" s="13" t="n">
        <v>104</v>
      </c>
      <c r="L997" s="13" t="n">
        <v>127</v>
      </c>
      <c r="M997" s="13" t="n">
        <v>20.9</v>
      </c>
      <c r="N997" s="13" t="n">
        <v>2157</v>
      </c>
      <c r="O997" s="13" t="n">
        <v>0.99</v>
      </c>
      <c r="P997" s="13" t="n">
        <v>2140</v>
      </c>
      <c r="Q997" s="13" t="n">
        <v>258</v>
      </c>
      <c r="R997" s="13" t="n">
        <v>112</v>
      </c>
      <c r="S997" s="13" t="n">
        <v>48</v>
      </c>
      <c r="T997" s="13" t="n">
        <v>295</v>
      </c>
      <c r="U997" s="13" t="n">
        <v>13</v>
      </c>
      <c r="V997" s="13" t="n">
        <v>206</v>
      </c>
      <c r="W997" s="13" t="n">
        <v>0.268</v>
      </c>
      <c r="X997" s="13" t="n">
        <v>156</v>
      </c>
      <c r="Y997" s="13" t="n">
        <v>107</v>
      </c>
      <c r="Z997" s="13" t="n">
        <v>139</v>
      </c>
      <c r="AA997" s="13" t="n">
        <v>6</v>
      </c>
      <c r="AB997" s="13" t="n">
        <v>7.5</v>
      </c>
      <c r="AC997" s="11" t="inlineStr">
        <is>
          <t xml:space="preserve"> Resort Freeride</t>
        </is>
      </c>
      <c r="AD997" s="11" t="inlineStr">
        <is>
          <t xml:space="preserve"> Big Mountain</t>
        </is>
      </c>
      <c r="AE997" s="13" t="n"/>
      <c r="AF997" s="13" t="n"/>
      <c r="AG997" s="13" t="n"/>
    </row>
    <row r="998">
      <c r="A998" s="9" t="inlineStr">
        <is>
          <t>21/22</t>
        </is>
      </c>
      <c r="B998" s="10" t="inlineStr">
        <is>
          <t xml:space="preserve"> Rossignol</t>
        </is>
      </c>
      <c r="C998" s="11" t="inlineStr">
        <is>
          <t xml:space="preserve"> Blackops Sender Ti</t>
        </is>
      </c>
      <c r="D998" s="13" t="n">
        <v>194</v>
      </c>
      <c r="E998" s="11" t="inlineStr">
        <is>
          <t xml:space="preserve"> Unisex</t>
        </is>
      </c>
      <c r="F998" s="13" t="n">
        <v>194</v>
      </c>
      <c r="G998" s="13" t="n">
        <v>193.9</v>
      </c>
      <c r="H998" s="13" t="n">
        <v>145</v>
      </c>
      <c r="I998" s="13" t="n">
        <v>167</v>
      </c>
      <c r="J998" s="13" t="n">
        <v>136</v>
      </c>
      <c r="K998" s="13" t="n">
        <v>105</v>
      </c>
      <c r="L998" s="13" t="n">
        <v>127</v>
      </c>
      <c r="M998" s="13" t="n">
        <v>23.9</v>
      </c>
      <c r="N998" s="13" t="n">
        <v>2286</v>
      </c>
      <c r="O998" s="13" t="n">
        <v>0.98</v>
      </c>
      <c r="P998" s="13" t="n">
        <v>2231</v>
      </c>
      <c r="Q998" s="13" t="n">
        <v>293</v>
      </c>
      <c r="R998" s="13" t="n">
        <v>126</v>
      </c>
      <c r="S998" s="13" t="n">
        <v>51</v>
      </c>
      <c r="T998" s="13" t="n">
        <v>304</v>
      </c>
      <c r="U998" s="13" t="n">
        <v>12</v>
      </c>
      <c r="V998" s="13" t="n">
        <v>185</v>
      </c>
      <c r="W998" s="13" t="n">
        <v>0.226</v>
      </c>
      <c r="X998" s="13" t="n">
        <v>161</v>
      </c>
      <c r="Y998" s="13" t="n">
        <v>104</v>
      </c>
      <c r="Z998" s="13" t="n">
        <v>142</v>
      </c>
      <c r="AA998" s="13" t="n">
        <v>7</v>
      </c>
      <c r="AB998" s="13" t="n">
        <v>7.9</v>
      </c>
      <c r="AC998" s="11" t="inlineStr">
        <is>
          <t xml:space="preserve"> Resort Freeride</t>
        </is>
      </c>
      <c r="AD998" s="11" t="inlineStr">
        <is>
          <t xml:space="preserve"> Big Mountain</t>
        </is>
      </c>
      <c r="AE998" s="13" t="n"/>
      <c r="AF998" s="13" t="n"/>
      <c r="AG998" s="13" t="n"/>
    </row>
    <row r="999">
      <c r="A999" s="9" t="inlineStr">
        <is>
          <t>21/22</t>
        </is>
      </c>
      <c r="B999" s="10" t="inlineStr">
        <is>
          <t xml:space="preserve"> Rossignol</t>
        </is>
      </c>
      <c r="C999" s="11" t="inlineStr">
        <is>
          <t xml:space="preserve"> Blackops Smasher</t>
        </is>
      </c>
      <c r="D999" s="13" t="n">
        <v>140</v>
      </c>
      <c r="E999" s="11" t="inlineStr">
        <is>
          <t xml:space="preserve"> Unisex</t>
        </is>
      </c>
      <c r="F999" s="13" t="n">
        <v>140</v>
      </c>
      <c r="G999" s="13" t="n">
        <v>138.6</v>
      </c>
      <c r="H999" s="13" t="n">
        <v>91</v>
      </c>
      <c r="I999" s="13" t="n">
        <v>116</v>
      </c>
      <c r="J999" s="13" t="n">
        <v>117</v>
      </c>
      <c r="K999" s="13" t="n">
        <v>89</v>
      </c>
      <c r="L999" s="13" t="n">
        <v>107</v>
      </c>
      <c r="M999" s="13" t="n">
        <v>13.4</v>
      </c>
      <c r="N999" s="13" t="n">
        <v>1345</v>
      </c>
      <c r="O999" s="13" t="n">
        <v>1.01</v>
      </c>
      <c r="P999" s="13" t="n">
        <v>1352</v>
      </c>
      <c r="Q999" s="13" t="n">
        <v>146</v>
      </c>
      <c r="R999" s="13" t="n">
        <v>55</v>
      </c>
      <c r="S999" s="13" t="n">
        <v>49</v>
      </c>
      <c r="T999" s="13" t="n">
        <v>258</v>
      </c>
      <c r="U999" s="13" t="n">
        <v>32</v>
      </c>
      <c r="V999" s="13" t="n">
        <v>220</v>
      </c>
      <c r="W999" s="13" t="n">
        <v>0.647</v>
      </c>
      <c r="X999" s="13" t="n">
        <v>119</v>
      </c>
      <c r="Y999" s="13" t="n">
        <v>111</v>
      </c>
      <c r="Z999" s="13" t="n">
        <v>139</v>
      </c>
      <c r="AA999" s="13" t="n">
        <v>6</v>
      </c>
      <c r="AB999" s="13" t="n">
        <v>4.6</v>
      </c>
      <c r="AC999" s="11" t="inlineStr">
        <is>
          <t xml:space="preserve"> Resort Freeride</t>
        </is>
      </c>
      <c r="AD999" s="13" t="n"/>
      <c r="AE999" s="13" t="n"/>
      <c r="AF999" s="13" t="n"/>
      <c r="AG999" s="13" t="n"/>
    </row>
    <row r="1000">
      <c r="A1000" s="9" t="inlineStr">
        <is>
          <t>21/22</t>
        </is>
      </c>
      <c r="B1000" s="10" t="inlineStr">
        <is>
          <t xml:space="preserve"> Rossignol</t>
        </is>
      </c>
      <c r="C1000" s="11" t="inlineStr">
        <is>
          <t xml:space="preserve"> Blackops Smasher</t>
        </is>
      </c>
      <c r="D1000" s="13" t="n">
        <v>150</v>
      </c>
      <c r="E1000" s="11" t="inlineStr">
        <is>
          <t xml:space="preserve"> Unisex</t>
        </is>
      </c>
      <c r="F1000" s="13" t="n">
        <v>150</v>
      </c>
      <c r="G1000" s="13" t="n">
        <v>148.8</v>
      </c>
      <c r="H1000" s="13" t="n">
        <v>102</v>
      </c>
      <c r="I1000" s="13" t="n">
        <v>122</v>
      </c>
      <c r="J1000" s="13" t="n">
        <v>117</v>
      </c>
      <c r="K1000" s="13" t="n">
        <v>89</v>
      </c>
      <c r="L1000" s="13" t="n">
        <v>107</v>
      </c>
      <c r="M1000" s="13" t="n">
        <v>17.2</v>
      </c>
      <c r="N1000" s="13" t="n">
        <v>1452</v>
      </c>
      <c r="O1000" s="13" t="n">
        <v>1</v>
      </c>
      <c r="P1000" s="13" t="n">
        <v>1449</v>
      </c>
      <c r="Q1000" s="13" t="n">
        <v>141</v>
      </c>
      <c r="R1000" s="13" t="n">
        <v>54</v>
      </c>
      <c r="S1000" s="13" t="n">
        <v>48</v>
      </c>
      <c r="T1000" s="13" t="n">
        <v>251</v>
      </c>
      <c r="U1000" s="13" t="n">
        <v>30</v>
      </c>
      <c r="V1000" s="13" t="n">
        <v>216</v>
      </c>
      <c r="W1000" s="13" t="n">
        <v>0.626</v>
      </c>
      <c r="X1000" s="13" t="n">
        <v>128</v>
      </c>
      <c r="Y1000" s="13" t="n">
        <v>137</v>
      </c>
      <c r="Z1000" s="13" t="n">
        <v>123</v>
      </c>
      <c r="AA1000" s="13" t="n">
        <v>7</v>
      </c>
      <c r="AB1000" s="13" t="n">
        <v>5.4</v>
      </c>
      <c r="AC1000" s="11" t="inlineStr">
        <is>
          <t xml:space="preserve"> Resort Freeride</t>
        </is>
      </c>
      <c r="AD1000" s="13" t="n"/>
      <c r="AE1000" s="13" t="n"/>
      <c r="AF1000" s="13" t="n"/>
      <c r="AG1000" s="13" t="n"/>
    </row>
    <row r="1001">
      <c r="A1001" s="9" t="inlineStr">
        <is>
          <t>21/22</t>
        </is>
      </c>
      <c r="B1001" s="10" t="inlineStr">
        <is>
          <t xml:space="preserve"> Rossignol</t>
        </is>
      </c>
      <c r="C1001" s="11" t="inlineStr">
        <is>
          <t xml:space="preserve"> Blackops Smasher</t>
        </is>
      </c>
      <c r="D1001" s="13" t="n">
        <v>160</v>
      </c>
      <c r="E1001" s="11" t="inlineStr">
        <is>
          <t xml:space="preserve"> Unisex</t>
        </is>
      </c>
      <c r="F1001" s="13" t="n">
        <v>160</v>
      </c>
      <c r="G1001" s="13" t="n">
        <v>158.7</v>
      </c>
      <c r="H1001" s="13" t="n">
        <v>113</v>
      </c>
      <c r="I1001" s="13" t="n">
        <v>133</v>
      </c>
      <c r="J1001" s="13" t="n">
        <v>117</v>
      </c>
      <c r="K1001" s="13" t="n">
        <v>89</v>
      </c>
      <c r="L1001" s="13" t="n">
        <v>107</v>
      </c>
      <c r="M1001" s="13" t="n">
        <v>20.8</v>
      </c>
      <c r="N1001" s="13" t="n">
        <v>1572</v>
      </c>
      <c r="O1001" s="13" t="n">
        <v>0.98</v>
      </c>
      <c r="P1001" s="13" t="n">
        <v>1540</v>
      </c>
      <c r="Q1001" s="13" t="n">
        <v>155</v>
      </c>
      <c r="R1001" s="13" t="n">
        <v>64</v>
      </c>
      <c r="S1001" s="13" t="n">
        <v>46</v>
      </c>
      <c r="T1001" s="13" t="n">
        <v>252</v>
      </c>
      <c r="U1001" s="13" t="n">
        <v>28</v>
      </c>
      <c r="V1001" s="13" t="n">
        <v>208</v>
      </c>
      <c r="W1001" s="13" t="n">
        <v>0.611</v>
      </c>
      <c r="X1001" s="13" t="n">
        <v>131</v>
      </c>
      <c r="Y1001" s="13" t="n">
        <v>127</v>
      </c>
      <c r="Z1001" s="13" t="n">
        <v>121</v>
      </c>
      <c r="AA1001" s="13" t="n">
        <v>8</v>
      </c>
      <c r="AB1001" s="13" t="n">
        <v>5</v>
      </c>
      <c r="AC1001" s="11" t="inlineStr">
        <is>
          <t xml:space="preserve"> Resort Freeride</t>
        </is>
      </c>
      <c r="AD1001" s="13" t="n"/>
      <c r="AE1001" s="13" t="n"/>
      <c r="AF1001" s="13" t="n"/>
      <c r="AG1001" s="13" t="n"/>
    </row>
    <row r="1002">
      <c r="A1002" s="9" t="inlineStr">
        <is>
          <t>21/22</t>
        </is>
      </c>
      <c r="B1002" s="10" t="inlineStr">
        <is>
          <t xml:space="preserve"> Rossignol</t>
        </is>
      </c>
      <c r="C1002" s="11" t="inlineStr">
        <is>
          <t xml:space="preserve"> Blackops Stargazer W</t>
        </is>
      </c>
      <c r="D1002" s="13" t="n">
        <v>162</v>
      </c>
      <c r="E1002" s="11" t="inlineStr">
        <is>
          <t xml:space="preserve"> Women's</t>
        </is>
      </c>
      <c r="F1002" s="13" t="n">
        <v>162</v>
      </c>
      <c r="G1002" s="13" t="n">
        <v>162.6</v>
      </c>
      <c r="H1002" s="13" t="n">
        <v>116</v>
      </c>
      <c r="I1002" s="13" t="n">
        <v>138</v>
      </c>
      <c r="J1002" s="13" t="n">
        <v>126</v>
      </c>
      <c r="K1002" s="13" t="n">
        <v>91</v>
      </c>
      <c r="L1002" s="13" t="n">
        <v>117</v>
      </c>
      <c r="M1002" s="13" t="n">
        <v>13.6</v>
      </c>
      <c r="N1002" s="13" t="n">
        <v>1546</v>
      </c>
      <c r="O1002" s="13" t="n">
        <v>1.09</v>
      </c>
      <c r="P1002" s="13" t="n">
        <v>1690</v>
      </c>
      <c r="Q1002" s="13" t="n">
        <v>170</v>
      </c>
      <c r="R1002" s="13" t="n">
        <v>85</v>
      </c>
      <c r="S1002" s="13" t="n">
        <v>51</v>
      </c>
      <c r="T1002" s="13" t="n">
        <v>301</v>
      </c>
      <c r="U1002" s="13" t="n">
        <v>11</v>
      </c>
      <c r="V1002" s="13" t="n">
        <v>167</v>
      </c>
      <c r="W1002" s="13" t="n">
        <v>0.226</v>
      </c>
      <c r="X1002" s="13" t="n">
        <v>138</v>
      </c>
      <c r="Y1002" s="13" t="n">
        <v>107</v>
      </c>
      <c r="Z1002" s="13" t="n">
        <v>163</v>
      </c>
      <c r="AA1002" s="13" t="n">
        <v>7</v>
      </c>
      <c r="AB1002" s="13" t="n">
        <v>8.4</v>
      </c>
      <c r="AC1002" s="11" t="inlineStr">
        <is>
          <t xml:space="preserve"> Resort Freeride</t>
        </is>
      </c>
      <c r="AD1002" s="11" t="inlineStr">
        <is>
          <t xml:space="preserve"> Touring</t>
        </is>
      </c>
      <c r="AE1002" s="13" t="n"/>
      <c r="AF1002" s="13" t="n"/>
      <c r="AG1002" s="13" t="n"/>
    </row>
    <row r="1003">
      <c r="A1003" s="9" t="inlineStr">
        <is>
          <t>21/22</t>
        </is>
      </c>
      <c r="B1003" s="10" t="inlineStr">
        <is>
          <t xml:space="preserve"> Rossignol</t>
        </is>
      </c>
      <c r="C1003" s="11" t="inlineStr">
        <is>
          <t xml:space="preserve"> Blackops Stargazer W</t>
        </is>
      </c>
      <c r="D1003" s="13" t="n">
        <v>170</v>
      </c>
      <c r="E1003" s="11" t="inlineStr">
        <is>
          <t xml:space="preserve"> Women's</t>
        </is>
      </c>
      <c r="F1003" s="13" t="n">
        <v>170</v>
      </c>
      <c r="G1003" s="13" t="n">
        <v>170.6</v>
      </c>
      <c r="H1003" s="13" t="n">
        <v>124</v>
      </c>
      <c r="I1003" s="13" t="n">
        <v>146</v>
      </c>
      <c r="J1003" s="13" t="n">
        <v>126</v>
      </c>
      <c r="K1003" s="13" t="n">
        <v>92</v>
      </c>
      <c r="L1003" s="13" t="n">
        <v>116</v>
      </c>
      <c r="M1003" s="13" t="n">
        <v>16</v>
      </c>
      <c r="N1003" s="13" t="n">
        <v>1654</v>
      </c>
      <c r="O1003" s="13" t="n">
        <v>1.07</v>
      </c>
      <c r="P1003" s="13" t="n">
        <v>1771</v>
      </c>
      <c r="Q1003" s="13" t="n">
        <v>211</v>
      </c>
      <c r="R1003" s="13" t="n">
        <v>99</v>
      </c>
      <c r="S1003" s="13" t="n">
        <v>46</v>
      </c>
      <c r="T1003" s="13" t="n">
        <v>293</v>
      </c>
      <c r="U1003" s="13" t="n">
        <v>12</v>
      </c>
      <c r="V1003" s="13" t="n">
        <v>172</v>
      </c>
      <c r="W1003" s="13" t="n">
        <v>0.252</v>
      </c>
      <c r="X1003" s="13" t="n">
        <v>144</v>
      </c>
      <c r="Y1003" s="13" t="n">
        <v>106</v>
      </c>
      <c r="Z1003" s="13" t="n">
        <v>150</v>
      </c>
      <c r="AA1003" s="13" t="n">
        <v>7</v>
      </c>
      <c r="AB1003" s="13" t="n">
        <v>7</v>
      </c>
      <c r="AC1003" s="11" t="inlineStr">
        <is>
          <t xml:space="preserve"> Resort Freeride</t>
        </is>
      </c>
      <c r="AD1003" s="11" t="inlineStr">
        <is>
          <t xml:space="preserve"> Touring</t>
        </is>
      </c>
      <c r="AE1003" s="13" t="n"/>
      <c r="AF1003" s="13" t="n"/>
      <c r="AG1003" s="13" t="n"/>
    </row>
    <row r="1004">
      <c r="A1004" s="9" t="inlineStr">
        <is>
          <t>21/22</t>
        </is>
      </c>
      <c r="B1004" s="10" t="inlineStr">
        <is>
          <t xml:space="preserve"> Rossignol</t>
        </is>
      </c>
      <c r="C1004" s="11" t="inlineStr">
        <is>
          <t xml:space="preserve"> Blackops Whizbanger</t>
        </is>
      </c>
      <c r="D1004" s="13" t="n">
        <v>148</v>
      </c>
      <c r="E1004" s="11" t="inlineStr">
        <is>
          <t xml:space="preserve"> Unisex</t>
        </is>
      </c>
      <c r="F1004" s="13" t="n">
        <v>148</v>
      </c>
      <c r="G1004" s="13" t="n">
        <v>147.3</v>
      </c>
      <c r="H1004" s="13" t="n">
        <v>119</v>
      </c>
      <c r="I1004" s="13" t="n">
        <v>129</v>
      </c>
      <c r="J1004" s="13" t="n">
        <v>105</v>
      </c>
      <c r="K1004" s="13" t="n">
        <v>75</v>
      </c>
      <c r="L1004" s="13" t="n">
        <v>99</v>
      </c>
      <c r="M1004" s="13" t="n">
        <v>14.7</v>
      </c>
      <c r="N1004" s="13" t="n">
        <v>1161</v>
      </c>
      <c r="O1004" s="13" t="n">
        <v>1.08</v>
      </c>
      <c r="P1004" s="13" t="n">
        <v>1252</v>
      </c>
      <c r="Q1004" s="13" t="n">
        <v>117</v>
      </c>
      <c r="R1004" s="13" t="n">
        <v>45</v>
      </c>
      <c r="S1004" s="13" t="n">
        <v>40</v>
      </c>
      <c r="T1004" s="13" t="n">
        <v>144</v>
      </c>
      <c r="U1004" s="13" t="n">
        <v>36</v>
      </c>
      <c r="V1004" s="13" t="n">
        <v>136</v>
      </c>
      <c r="W1004" s="13" t="n">
        <v>0.896</v>
      </c>
      <c r="X1004" s="13" t="n">
        <v>95</v>
      </c>
      <c r="Y1004" s="13" t="n">
        <v>90</v>
      </c>
      <c r="Z1004" s="13" t="n">
        <v>49</v>
      </c>
      <c r="AA1004" s="13" t="n">
        <v>11</v>
      </c>
      <c r="AB1004" s="13" t="n">
        <v>5.4</v>
      </c>
      <c r="AC1004" s="11" t="inlineStr">
        <is>
          <t xml:space="preserve"> Freeski</t>
        </is>
      </c>
      <c r="AD1004" s="11" t="inlineStr">
        <is>
          <t xml:space="preserve"> Touring</t>
        </is>
      </c>
      <c r="AE1004" s="13" t="n"/>
      <c r="AF1004" s="13" t="n"/>
      <c r="AG1004" s="13" t="n"/>
    </row>
    <row r="1005">
      <c r="A1005" s="9" t="inlineStr">
        <is>
          <t>21/22</t>
        </is>
      </c>
      <c r="B1005" s="10" t="inlineStr">
        <is>
          <t xml:space="preserve"> Rossignol</t>
        </is>
      </c>
      <c r="C1005" s="11" t="inlineStr">
        <is>
          <t>Experience 76</t>
        </is>
      </c>
      <c r="D1005" s="13" t="n">
        <v>152</v>
      </c>
      <c r="E1005" s="11" t="inlineStr">
        <is>
          <t xml:space="preserve"> Unisex</t>
        </is>
      </c>
      <c r="F1005" s="13" t="n">
        <v>152</v>
      </c>
      <c r="G1005" s="13" t="n">
        <v>152.3</v>
      </c>
      <c r="H1005" s="13" t="n">
        <v>131</v>
      </c>
      <c r="I1005" s="13" t="n">
        <v>137</v>
      </c>
      <c r="J1005" s="13" t="n">
        <v>123</v>
      </c>
      <c r="K1005" s="13" t="n">
        <v>76</v>
      </c>
      <c r="L1005" s="13" t="n">
        <v>110</v>
      </c>
      <c r="M1005" s="13" t="n">
        <v>11.2</v>
      </c>
      <c r="N1005" s="13" t="n">
        <v>1525</v>
      </c>
      <c r="O1005" s="13" t="n">
        <v>0.92</v>
      </c>
      <c r="P1005" s="13" t="n">
        <v>1397</v>
      </c>
      <c r="Q1005" s="13" t="n">
        <v>160</v>
      </c>
      <c r="R1005" s="13" t="n">
        <v>59</v>
      </c>
      <c r="S1005" s="13" t="n">
        <v>36</v>
      </c>
      <c r="T1005" s="13" t="n">
        <v>146</v>
      </c>
      <c r="U1005" s="13" t="n">
        <v>5</v>
      </c>
      <c r="V1005" s="13" t="n">
        <v>67</v>
      </c>
      <c r="W1005" s="13" t="n">
        <v>0.143</v>
      </c>
      <c r="X1005" s="13" t="n">
        <v>73</v>
      </c>
      <c r="Y1005" s="13" t="n">
        <v>83</v>
      </c>
      <c r="Z1005" s="13" t="n">
        <v>73</v>
      </c>
      <c r="AA1005" s="13" t="n">
        <v>10</v>
      </c>
      <c r="AB1005" s="13" t="n">
        <v>7.6</v>
      </c>
      <c r="AC1005" s="11" t="inlineStr">
        <is>
          <t xml:space="preserve"> On-Piste Carving</t>
        </is>
      </c>
      <c r="AD1005" s="11" t="inlineStr">
        <is>
          <t xml:space="preserve"> On-Piste All-Mountain</t>
        </is>
      </c>
      <c r="AE1005" s="13" t="n"/>
      <c r="AF1005" s="13" t="n"/>
      <c r="AG1005" s="13" t="n"/>
    </row>
    <row r="1006">
      <c r="A1006" s="9" t="inlineStr">
        <is>
          <t>21/22</t>
        </is>
      </c>
      <c r="B1006" s="10" t="inlineStr">
        <is>
          <t xml:space="preserve"> Rossignol</t>
        </is>
      </c>
      <c r="C1006" s="11" t="inlineStr">
        <is>
          <t>Experience 76</t>
        </is>
      </c>
      <c r="D1006" s="13" t="n">
        <v>160</v>
      </c>
      <c r="E1006" s="11" t="inlineStr">
        <is>
          <t xml:space="preserve"> Unisex</t>
        </is>
      </c>
      <c r="F1006" s="13" t="n">
        <v>160</v>
      </c>
      <c r="G1006" s="13" t="n">
        <v>160.4</v>
      </c>
      <c r="H1006" s="13" t="n">
        <v>139</v>
      </c>
      <c r="I1006" s="13" t="n">
        <v>145</v>
      </c>
      <c r="J1006" s="13" t="n">
        <v>124</v>
      </c>
      <c r="K1006" s="13" t="n">
        <v>76</v>
      </c>
      <c r="L1006" s="13" t="n">
        <v>110</v>
      </c>
      <c r="M1006" s="13" t="n">
        <v>12.7</v>
      </c>
      <c r="N1006" s="13" t="n">
        <v>1597</v>
      </c>
      <c r="O1006" s="13" t="n">
        <v>0.92</v>
      </c>
      <c r="P1006" s="13" t="n">
        <v>1470</v>
      </c>
      <c r="Q1006" s="13" t="n">
        <v>158</v>
      </c>
      <c r="R1006" s="13" t="n">
        <v>55</v>
      </c>
      <c r="S1006" s="13" t="n">
        <v>36</v>
      </c>
      <c r="T1006" s="13" t="n">
        <v>148</v>
      </c>
      <c r="U1006" s="13" t="n">
        <v>6</v>
      </c>
      <c r="V1006" s="13" t="n">
        <v>69</v>
      </c>
      <c r="W1006" s="13" t="n">
        <v>0.176</v>
      </c>
      <c r="X1006" s="13" t="n">
        <v>74</v>
      </c>
      <c r="Y1006" s="13" t="n">
        <v>82</v>
      </c>
      <c r="Z1006" s="13" t="n">
        <v>74</v>
      </c>
      <c r="AA1006" s="13" t="n">
        <v>11</v>
      </c>
      <c r="AB1006" s="13" t="n">
        <v>8.199999999999999</v>
      </c>
      <c r="AC1006" s="11" t="inlineStr">
        <is>
          <t xml:space="preserve"> On-Piste Carving</t>
        </is>
      </c>
      <c r="AD1006" s="13" t="n"/>
      <c r="AE1006" s="13" t="n"/>
      <c r="AF1006" s="13" t="n"/>
      <c r="AG1006" s="13" t="n"/>
    </row>
    <row r="1007">
      <c r="A1007" s="9" t="inlineStr">
        <is>
          <t>21/22</t>
        </is>
      </c>
      <c r="B1007" s="10" t="inlineStr">
        <is>
          <t xml:space="preserve"> Rossignol</t>
        </is>
      </c>
      <c r="C1007" s="11" t="inlineStr">
        <is>
          <t>Experience 76</t>
        </is>
      </c>
      <c r="D1007" s="13" t="n">
        <v>168</v>
      </c>
      <c r="E1007" s="11" t="inlineStr">
        <is>
          <t xml:space="preserve"> Unisex</t>
        </is>
      </c>
      <c r="F1007" s="13" t="n">
        <v>168</v>
      </c>
      <c r="G1007" s="13" t="n">
        <v>168.6</v>
      </c>
      <c r="H1007" s="13" t="n">
        <v>148</v>
      </c>
      <c r="I1007" s="13" t="n">
        <v>154</v>
      </c>
      <c r="J1007" s="13" t="n">
        <v>123</v>
      </c>
      <c r="K1007" s="13" t="n">
        <v>76</v>
      </c>
      <c r="L1007" s="13" t="n">
        <v>109</v>
      </c>
      <c r="M1007" s="13" t="n">
        <v>14.3</v>
      </c>
      <c r="N1007" s="13" t="n">
        <v>1613</v>
      </c>
      <c r="O1007" s="13" t="n">
        <v>0.95</v>
      </c>
      <c r="P1007" s="13" t="n">
        <v>1537</v>
      </c>
      <c r="Q1007" s="13" t="n">
        <v>153</v>
      </c>
      <c r="R1007" s="13" t="n">
        <v>57</v>
      </c>
      <c r="S1007" s="13" t="n">
        <v>35</v>
      </c>
      <c r="T1007" s="13" t="n">
        <v>143</v>
      </c>
      <c r="U1007" s="13" t="n">
        <v>5</v>
      </c>
      <c r="V1007" s="13" t="n">
        <v>68</v>
      </c>
      <c r="W1007" s="13" t="n">
        <v>0.155</v>
      </c>
      <c r="X1007" s="13" t="n">
        <v>69</v>
      </c>
      <c r="Y1007" s="13" t="n">
        <v>82</v>
      </c>
      <c r="Z1007" s="13" t="n">
        <v>74</v>
      </c>
      <c r="AA1007" s="13" t="n">
        <v>14</v>
      </c>
      <c r="AB1007" s="13" t="n">
        <v>8.699999999999999</v>
      </c>
      <c r="AC1007" s="11" t="inlineStr">
        <is>
          <t xml:space="preserve"> On-Piste Carving</t>
        </is>
      </c>
      <c r="AD1007" s="13" t="n"/>
      <c r="AE1007" s="13" t="n"/>
      <c r="AF1007" s="13" t="n"/>
      <c r="AG1007" s="13" t="n"/>
    </row>
    <row r="1008">
      <c r="A1008" s="9" t="inlineStr">
        <is>
          <t>21/22</t>
        </is>
      </c>
      <c r="B1008" s="10" t="inlineStr">
        <is>
          <t xml:space="preserve"> Rossignol</t>
        </is>
      </c>
      <c r="C1008" s="11" t="inlineStr">
        <is>
          <t>Experience 76</t>
        </is>
      </c>
      <c r="D1008" s="13" t="n">
        <v>176</v>
      </c>
      <c r="E1008" s="11" t="inlineStr">
        <is>
          <t xml:space="preserve"> Unisex</t>
        </is>
      </c>
      <c r="F1008" s="13" t="n">
        <v>176</v>
      </c>
      <c r="G1008" s="13" t="n">
        <v>176.4</v>
      </c>
      <c r="H1008" s="13" t="n">
        <v>155</v>
      </c>
      <c r="I1008" s="13" t="n">
        <v>161</v>
      </c>
      <c r="J1008" s="13" t="n">
        <v>123</v>
      </c>
      <c r="K1008" s="13" t="n">
        <v>76</v>
      </c>
      <c r="L1008" s="13" t="n">
        <v>109</v>
      </c>
      <c r="M1008" s="13" t="n">
        <v>16</v>
      </c>
      <c r="N1008" s="13" t="n">
        <v>1737</v>
      </c>
      <c r="O1008" s="13" t="n">
        <v>0.93</v>
      </c>
      <c r="P1008" s="13" t="n">
        <v>1610</v>
      </c>
      <c r="Q1008" s="13" t="n">
        <v>171</v>
      </c>
      <c r="R1008" s="13" t="n">
        <v>65</v>
      </c>
      <c r="S1008" s="13" t="n">
        <v>36</v>
      </c>
      <c r="T1008" s="13" t="n">
        <v>145</v>
      </c>
      <c r="U1008" s="13" t="n">
        <v>5</v>
      </c>
      <c r="V1008" s="13" t="n">
        <v>66</v>
      </c>
      <c r="W1008" s="13" t="n">
        <v>0.144</v>
      </c>
      <c r="X1008" s="13" t="n">
        <v>75</v>
      </c>
      <c r="Y1008" s="13" t="n">
        <v>81</v>
      </c>
      <c r="Z1008" s="13" t="n">
        <v>70</v>
      </c>
      <c r="AA1008" s="13" t="n">
        <v>13</v>
      </c>
      <c r="AB1008" s="13" t="n">
        <v>8.6</v>
      </c>
      <c r="AC1008" s="11" t="inlineStr">
        <is>
          <t xml:space="preserve"> On-Piste Carving</t>
        </is>
      </c>
      <c r="AD1008" s="13" t="n"/>
      <c r="AE1008" s="13" t="n"/>
      <c r="AF1008" s="13" t="n"/>
      <c r="AG1008" s="13" t="n"/>
    </row>
    <row r="1009">
      <c r="A1009" s="9" t="inlineStr">
        <is>
          <t>21/22</t>
        </is>
      </c>
      <c r="B1009" s="10" t="inlineStr">
        <is>
          <t xml:space="preserve"> Rossignol</t>
        </is>
      </c>
      <c r="C1009" s="11" t="inlineStr">
        <is>
          <t>Experience 76 W</t>
        </is>
      </c>
      <c r="D1009" s="13" t="n">
        <v>144</v>
      </c>
      <c r="E1009" s="11" t="inlineStr">
        <is>
          <t xml:space="preserve"> Women's</t>
        </is>
      </c>
      <c r="F1009" s="13" t="n">
        <v>144</v>
      </c>
      <c r="G1009" s="13" t="n">
        <v>144.3</v>
      </c>
      <c r="H1009" s="13" t="n">
        <v>118</v>
      </c>
      <c r="I1009" s="13" t="n">
        <v>129</v>
      </c>
      <c r="J1009" s="13" t="n">
        <v>123</v>
      </c>
      <c r="K1009" s="13" t="n">
        <v>76</v>
      </c>
      <c r="L1009" s="13" t="n">
        <v>109</v>
      </c>
      <c r="M1009" s="13" t="n">
        <v>9.9</v>
      </c>
      <c r="N1009" s="13" t="n">
        <v>1483</v>
      </c>
      <c r="O1009" s="13" t="n">
        <v>0.89</v>
      </c>
      <c r="P1009" s="13" t="n">
        <v>1325</v>
      </c>
      <c r="Q1009" s="13" t="n">
        <v>162</v>
      </c>
      <c r="R1009" s="13" t="n">
        <v>60</v>
      </c>
      <c r="S1009" s="13" t="n">
        <v>38</v>
      </c>
      <c r="T1009" s="13" t="n">
        <v>186</v>
      </c>
      <c r="U1009" s="13" t="n">
        <v>6</v>
      </c>
      <c r="V1009" s="13" t="n">
        <v>73</v>
      </c>
      <c r="W1009" s="13" t="n">
        <v>0.157</v>
      </c>
      <c r="X1009" s="13" t="n">
        <v>72</v>
      </c>
      <c r="Y1009" s="13" t="n">
        <v>83</v>
      </c>
      <c r="Z1009" s="13" t="n">
        <v>114</v>
      </c>
      <c r="AA1009" s="13" t="n">
        <v>6</v>
      </c>
      <c r="AB1009" s="13" t="n">
        <v>8</v>
      </c>
      <c r="AC1009" s="11" t="inlineStr">
        <is>
          <t xml:space="preserve"> On-Piste Carving</t>
        </is>
      </c>
      <c r="AD1009" s="11" t="inlineStr">
        <is>
          <t xml:space="preserve"> On-Piste All-Mountain</t>
        </is>
      </c>
      <c r="AE1009" s="13" t="n"/>
      <c r="AF1009" s="13" t="n"/>
      <c r="AG1009" s="13" t="n"/>
    </row>
    <row r="1010">
      <c r="A1010" s="9" t="inlineStr">
        <is>
          <t>21/22</t>
        </is>
      </c>
      <c r="B1010" s="10" t="inlineStr">
        <is>
          <t xml:space="preserve"> Rossignol</t>
        </is>
      </c>
      <c r="C1010" s="11" t="inlineStr">
        <is>
          <t>Experience 76 W</t>
        </is>
      </c>
      <c r="D1010" s="13" t="n">
        <v>152</v>
      </c>
      <c r="E1010" s="11" t="inlineStr">
        <is>
          <t xml:space="preserve"> Women's</t>
        </is>
      </c>
      <c r="F1010" s="13" t="n">
        <v>152</v>
      </c>
      <c r="G1010" s="13" t="n">
        <v>152.4</v>
      </c>
      <c r="H1010" s="13" t="n">
        <v>131</v>
      </c>
      <c r="I1010" s="13" t="n">
        <v>137</v>
      </c>
      <c r="J1010" s="13" t="n">
        <v>123</v>
      </c>
      <c r="K1010" s="13" t="n">
        <v>76</v>
      </c>
      <c r="L1010" s="13" t="n">
        <v>109</v>
      </c>
      <c r="M1010" s="13" t="n">
        <v>11.4</v>
      </c>
      <c r="N1010" s="13" t="n">
        <v>1534</v>
      </c>
      <c r="O1010" s="13" t="n">
        <v>0.91</v>
      </c>
      <c r="P1010" s="13" t="n">
        <v>1393</v>
      </c>
      <c r="Q1010" s="13" t="n">
        <v>153</v>
      </c>
      <c r="R1010" s="13" t="n">
        <v>59</v>
      </c>
      <c r="S1010" s="13" t="n">
        <v>35</v>
      </c>
      <c r="T1010" s="13" t="n">
        <v>146</v>
      </c>
      <c r="U1010" s="13" t="n">
        <v>6</v>
      </c>
      <c r="V1010" s="13" t="n">
        <v>71</v>
      </c>
      <c r="W1010" s="13" t="n">
        <v>0.166</v>
      </c>
      <c r="X1010" s="13" t="n">
        <v>71</v>
      </c>
      <c r="Y1010" s="13" t="n">
        <v>82</v>
      </c>
      <c r="Z1010" s="13" t="n">
        <v>75</v>
      </c>
      <c r="AA1010" s="13" t="n">
        <v>8</v>
      </c>
      <c r="AB1010" s="13" t="n">
        <v>8.4</v>
      </c>
      <c r="AC1010" s="11" t="inlineStr">
        <is>
          <t xml:space="preserve"> On-Piste Carving</t>
        </is>
      </c>
      <c r="AD1010" s="11" t="inlineStr">
        <is>
          <t xml:space="preserve"> On-Piste All-Mountain</t>
        </is>
      </c>
      <c r="AE1010" s="13" t="n"/>
      <c r="AF1010" s="13" t="n"/>
      <c r="AG1010" s="13" t="n"/>
    </row>
    <row r="1011">
      <c r="A1011" s="9" t="inlineStr">
        <is>
          <t>21/22</t>
        </is>
      </c>
      <c r="B1011" s="10" t="inlineStr">
        <is>
          <t xml:space="preserve"> Rossignol</t>
        </is>
      </c>
      <c r="C1011" s="11" t="inlineStr">
        <is>
          <t>Experience 76 W</t>
        </is>
      </c>
      <c r="D1011" s="13" t="n">
        <v>160</v>
      </c>
      <c r="E1011" s="11" t="inlineStr">
        <is>
          <t xml:space="preserve"> Women's</t>
        </is>
      </c>
      <c r="F1011" s="13" t="n">
        <v>160</v>
      </c>
      <c r="G1011" s="13" t="n">
        <v>160.3</v>
      </c>
      <c r="H1011" s="13" t="n">
        <v>139</v>
      </c>
      <c r="I1011" s="13" t="n">
        <v>145</v>
      </c>
      <c r="J1011" s="13" t="n">
        <v>124</v>
      </c>
      <c r="K1011" s="13" t="n">
        <v>77</v>
      </c>
      <c r="L1011" s="13" t="n">
        <v>110</v>
      </c>
      <c r="M1011" s="13" t="n">
        <v>12.7</v>
      </c>
      <c r="N1011" s="13" t="n">
        <v>1624</v>
      </c>
      <c r="O1011" s="13" t="n">
        <v>0.91</v>
      </c>
      <c r="P1011" s="13" t="n">
        <v>1471</v>
      </c>
      <c r="Q1011" s="13" t="n">
        <v>151</v>
      </c>
      <c r="R1011" s="13" t="n">
        <v>56</v>
      </c>
      <c r="S1011" s="13" t="n">
        <v>35</v>
      </c>
      <c r="T1011" s="13" t="n">
        <v>144</v>
      </c>
      <c r="U1011" s="13" t="n">
        <v>5</v>
      </c>
      <c r="V1011" s="13" t="n">
        <v>68</v>
      </c>
      <c r="W1011" s="13" t="n">
        <v>0.155</v>
      </c>
      <c r="X1011" s="13" t="n">
        <v>77</v>
      </c>
      <c r="Y1011" s="13" t="n">
        <v>80</v>
      </c>
      <c r="Z1011" s="13" t="n">
        <v>66</v>
      </c>
      <c r="AA1011" s="13" t="n">
        <v>12</v>
      </c>
      <c r="AB1011" s="13" t="n">
        <v>8.199999999999999</v>
      </c>
      <c r="AC1011" s="11" t="inlineStr">
        <is>
          <t xml:space="preserve"> On-Piste Carving</t>
        </is>
      </c>
      <c r="AD1011" s="13" t="n"/>
      <c r="AE1011" s="13" t="n"/>
      <c r="AF1011" s="13" t="n"/>
      <c r="AG1011" s="13" t="n"/>
    </row>
    <row r="1012">
      <c r="A1012" s="9" t="inlineStr">
        <is>
          <t>21/22</t>
        </is>
      </c>
      <c r="B1012" s="10" t="inlineStr">
        <is>
          <t xml:space="preserve"> Rossignol</t>
        </is>
      </c>
      <c r="C1012" s="11" t="inlineStr">
        <is>
          <t>Experience 80 Carbon</t>
        </is>
      </c>
      <c r="D1012" s="13" t="n">
        <v>166</v>
      </c>
      <c r="E1012" s="11" t="inlineStr">
        <is>
          <t xml:space="preserve"> Unisex</t>
        </is>
      </c>
      <c r="F1012" s="13" t="n">
        <v>166</v>
      </c>
      <c r="G1012" s="13" t="n">
        <v>166.6</v>
      </c>
      <c r="H1012" s="13" t="n">
        <v>128</v>
      </c>
      <c r="I1012" s="13" t="n">
        <v>152</v>
      </c>
      <c r="J1012" s="13" t="n">
        <v>125</v>
      </c>
      <c r="K1012" s="13" t="n">
        <v>80</v>
      </c>
      <c r="L1012" s="13" t="n">
        <v>113</v>
      </c>
      <c r="M1012" s="13" t="n">
        <v>14.4</v>
      </c>
      <c r="N1012" s="13" t="n">
        <v>1734</v>
      </c>
      <c r="O1012" s="13" t="n">
        <v>0.91</v>
      </c>
      <c r="P1012" s="13" t="n">
        <v>1575</v>
      </c>
      <c r="Q1012" s="13" t="n">
        <v>215</v>
      </c>
      <c r="R1012" s="13" t="n">
        <v>91</v>
      </c>
      <c r="S1012" s="13" t="n">
        <v>47</v>
      </c>
      <c r="T1012" s="13" t="n">
        <v>261</v>
      </c>
      <c r="U1012" s="13" t="n">
        <v>12</v>
      </c>
      <c r="V1012" s="13" t="n">
        <v>127</v>
      </c>
      <c r="W1012" s="13" t="n">
        <v>0.261</v>
      </c>
      <c r="X1012" s="13" t="n">
        <v>80</v>
      </c>
      <c r="Y1012" s="13" t="n">
        <v>66</v>
      </c>
      <c r="Z1012" s="13" t="n">
        <v>181</v>
      </c>
      <c r="AA1012" s="13" t="n">
        <v>10</v>
      </c>
      <c r="AB1012" s="13" t="n">
        <v>7</v>
      </c>
      <c r="AC1012" s="11" t="inlineStr">
        <is>
          <t xml:space="preserve"> Resort Freeride</t>
        </is>
      </c>
      <c r="AD1012" s="13" t="n"/>
      <c r="AE1012" s="13" t="n"/>
      <c r="AF1012" s="13" t="n"/>
      <c r="AG1012" s="13" t="n"/>
    </row>
    <row r="1013">
      <c r="A1013" s="9" t="inlineStr">
        <is>
          <t>21/22</t>
        </is>
      </c>
      <c r="B1013" s="10" t="inlineStr">
        <is>
          <t xml:space="preserve"> Rossignol</t>
        </is>
      </c>
      <c r="C1013" s="11" t="inlineStr">
        <is>
          <t>Experience 80 Carbon</t>
        </is>
      </c>
      <c r="D1013" s="13" t="n">
        <v>174</v>
      </c>
      <c r="E1013" s="11" t="inlineStr">
        <is>
          <t xml:space="preserve"> Unisex</t>
        </is>
      </c>
      <c r="F1013" s="13" t="n">
        <v>174</v>
      </c>
      <c r="G1013" s="13" t="n">
        <v>174.4</v>
      </c>
      <c r="H1013" s="13" t="n">
        <v>134</v>
      </c>
      <c r="I1013" s="13" t="n">
        <v>160</v>
      </c>
      <c r="J1013" s="13" t="n">
        <v>125</v>
      </c>
      <c r="K1013" s="13" t="n">
        <v>80</v>
      </c>
      <c r="L1013" s="13" t="n">
        <v>113</v>
      </c>
      <c r="M1013" s="13" t="n">
        <v>16.1</v>
      </c>
      <c r="N1013" s="13" t="n">
        <v>1830</v>
      </c>
      <c r="O1013" s="13" t="n">
        <v>0.9</v>
      </c>
      <c r="P1013" s="13" t="n">
        <v>1643</v>
      </c>
      <c r="Q1013" s="13" t="n">
        <v>254</v>
      </c>
      <c r="R1013" s="13" t="n">
        <v>72</v>
      </c>
      <c r="S1013" s="13" t="n">
        <v>50</v>
      </c>
      <c r="T1013" s="13" t="n">
        <v>266</v>
      </c>
      <c r="U1013" s="13" t="n">
        <v>15</v>
      </c>
      <c r="V1013" s="13" t="n">
        <v>137</v>
      </c>
      <c r="W1013" s="13" t="n">
        <v>0.306</v>
      </c>
      <c r="X1013" s="13" t="n">
        <v>84</v>
      </c>
      <c r="Y1013" s="13" t="n">
        <v>62</v>
      </c>
      <c r="Z1013" s="13" t="n">
        <v>182</v>
      </c>
      <c r="AA1013" s="13" t="n">
        <v>7</v>
      </c>
      <c r="AB1013" s="13" t="n">
        <v>6.4</v>
      </c>
      <c r="AC1013" s="11" t="inlineStr">
        <is>
          <t xml:space="preserve"> Other</t>
        </is>
      </c>
      <c r="AD1013" s="13" t="n"/>
      <c r="AE1013" s="13" t="n"/>
      <c r="AF1013" s="13" t="n"/>
      <c r="AG1013" s="13" t="n"/>
    </row>
    <row r="1014">
      <c r="A1014" s="9" t="inlineStr">
        <is>
          <t>21/22</t>
        </is>
      </c>
      <c r="B1014" s="10" t="inlineStr">
        <is>
          <t xml:space="preserve"> Rossignol</t>
        </is>
      </c>
      <c r="C1014" s="11" t="inlineStr">
        <is>
          <t>Experience 80 Carbon W</t>
        </is>
      </c>
      <c r="D1014" s="13" t="n">
        <v>150</v>
      </c>
      <c r="E1014" s="11" t="inlineStr">
        <is>
          <t xml:space="preserve"> Women's</t>
        </is>
      </c>
      <c r="F1014" s="13" t="n">
        <v>150</v>
      </c>
      <c r="G1014" s="13" t="n">
        <v>150.3</v>
      </c>
      <c r="H1014" s="13" t="n">
        <v>112</v>
      </c>
      <c r="I1014" s="13" t="n">
        <v>136</v>
      </c>
      <c r="J1014" s="13" t="n">
        <v>125</v>
      </c>
      <c r="K1014" s="13" t="n">
        <v>80</v>
      </c>
      <c r="L1014" s="13" t="n">
        <v>113</v>
      </c>
      <c r="M1014" s="13" t="n">
        <v>11.2</v>
      </c>
      <c r="N1014" s="13" t="n">
        <v>1598</v>
      </c>
      <c r="O1014" s="13" t="n">
        <v>0.89</v>
      </c>
      <c r="P1014" s="13" t="n">
        <v>1429</v>
      </c>
      <c r="Q1014" s="13" t="n">
        <v>167</v>
      </c>
      <c r="R1014" s="13" t="n">
        <v>72</v>
      </c>
      <c r="S1014" s="13" t="n">
        <v>47</v>
      </c>
      <c r="T1014" s="13" t="n">
        <v>260</v>
      </c>
      <c r="U1014" s="13" t="n">
        <v>12</v>
      </c>
      <c r="V1014" s="13" t="n">
        <v>126</v>
      </c>
      <c r="W1014" s="13" t="n">
        <v>0.266</v>
      </c>
      <c r="X1014" s="13" t="n">
        <v>80</v>
      </c>
      <c r="Y1014" s="13" t="n">
        <v>65</v>
      </c>
      <c r="Z1014" s="13" t="n">
        <v>181</v>
      </c>
      <c r="AA1014" s="13" t="n">
        <v>9</v>
      </c>
      <c r="AB1014" s="13" t="n">
        <v>6.6</v>
      </c>
      <c r="AC1014" s="11" t="inlineStr">
        <is>
          <t xml:space="preserve"> Resort Freeride</t>
        </is>
      </c>
      <c r="AD1014" s="13" t="n"/>
      <c r="AE1014" s="13" t="n"/>
      <c r="AF1014" s="13" t="n"/>
      <c r="AG1014" s="13" t="n"/>
    </row>
    <row r="1015">
      <c r="A1015" s="9" t="inlineStr">
        <is>
          <t>21/22</t>
        </is>
      </c>
      <c r="B1015" s="10" t="inlineStr">
        <is>
          <t xml:space="preserve"> Rossignol</t>
        </is>
      </c>
      <c r="C1015" s="11" t="inlineStr">
        <is>
          <t>Experience 80 Carbon W</t>
        </is>
      </c>
      <c r="D1015" s="13" t="n">
        <v>158</v>
      </c>
      <c r="E1015" s="11" t="inlineStr">
        <is>
          <t xml:space="preserve"> Women's</t>
        </is>
      </c>
      <c r="F1015" s="13" t="n">
        <v>158</v>
      </c>
      <c r="G1015" s="13" t="n">
        <v>158.2</v>
      </c>
      <c r="H1015" s="13" t="n">
        <v>120</v>
      </c>
      <c r="I1015" s="13" t="n">
        <v>144</v>
      </c>
      <c r="J1015" s="13" t="n">
        <v>125</v>
      </c>
      <c r="K1015" s="13" t="n">
        <v>80</v>
      </c>
      <c r="L1015" s="13" t="n">
        <v>114</v>
      </c>
      <c r="M1015" s="13" t="n">
        <v>12.7</v>
      </c>
      <c r="N1015" s="13" t="n">
        <v>1684</v>
      </c>
      <c r="O1015" s="13" t="n">
        <v>0.89</v>
      </c>
      <c r="P1015" s="13" t="n">
        <v>1503</v>
      </c>
      <c r="Q1015" s="13" t="n">
        <v>198</v>
      </c>
      <c r="R1015" s="13" t="n">
        <v>76</v>
      </c>
      <c r="S1015" s="13" t="n">
        <v>48</v>
      </c>
      <c r="T1015" s="13" t="n">
        <v>261</v>
      </c>
      <c r="U1015" s="13" t="n">
        <v>13</v>
      </c>
      <c r="V1015" s="13" t="n">
        <v>126</v>
      </c>
      <c r="W1015" s="13" t="n">
        <v>0.266</v>
      </c>
      <c r="X1015" s="13" t="n">
        <v>79</v>
      </c>
      <c r="Y1015" s="13" t="n">
        <v>63</v>
      </c>
      <c r="Z1015" s="13" t="n">
        <v>182</v>
      </c>
      <c r="AA1015" s="13" t="n">
        <v>8</v>
      </c>
      <c r="AB1015" s="13" t="n">
        <v>7.1</v>
      </c>
      <c r="AC1015" s="11" t="inlineStr">
        <is>
          <t xml:space="preserve"> Resort Freeride</t>
        </is>
      </c>
      <c r="AD1015" s="13" t="n"/>
      <c r="AE1015" s="13" t="n"/>
      <c r="AF1015" s="13" t="n"/>
      <c r="AG1015" s="13" t="n"/>
    </row>
    <row r="1016">
      <c r="A1016" s="9" t="inlineStr">
        <is>
          <t>21/22</t>
        </is>
      </c>
      <c r="B1016" s="10" t="inlineStr">
        <is>
          <t xml:space="preserve"> Rossignol</t>
        </is>
      </c>
      <c r="C1016" s="11" t="inlineStr">
        <is>
          <t>Experience 80 Carbon W</t>
        </is>
      </c>
      <c r="D1016" s="13" t="n">
        <v>166</v>
      </c>
      <c r="E1016" s="11" t="inlineStr">
        <is>
          <t xml:space="preserve"> Women's</t>
        </is>
      </c>
      <c r="F1016" s="13" t="n">
        <v>166</v>
      </c>
      <c r="G1016" s="13" t="n">
        <v>166.6</v>
      </c>
      <c r="H1016" s="13" t="n">
        <v>127</v>
      </c>
      <c r="I1016" s="13" t="n">
        <v>152</v>
      </c>
      <c r="J1016" s="13" t="n">
        <v>125</v>
      </c>
      <c r="K1016" s="13" t="n">
        <v>80</v>
      </c>
      <c r="L1016" s="13" t="n">
        <v>113</v>
      </c>
      <c r="M1016" s="13" t="n">
        <v>14.3</v>
      </c>
      <c r="N1016" s="13" t="n">
        <v>1759</v>
      </c>
      <c r="O1016" s="13" t="n">
        <v>0.9</v>
      </c>
      <c r="P1016" s="13" t="n">
        <v>1579</v>
      </c>
      <c r="Q1016" s="13" t="n">
        <v>214</v>
      </c>
      <c r="R1016" s="13" t="n">
        <v>78</v>
      </c>
      <c r="S1016" s="13" t="n">
        <v>48</v>
      </c>
      <c r="T1016" s="13" t="n">
        <v>265</v>
      </c>
      <c r="U1016" s="13" t="n">
        <v>13</v>
      </c>
      <c r="V1016" s="13" t="n">
        <v>129</v>
      </c>
      <c r="W1016" s="13" t="n">
        <v>0.264</v>
      </c>
      <c r="X1016" s="13" t="n">
        <v>83</v>
      </c>
      <c r="Y1016" s="13" t="n">
        <v>65</v>
      </c>
      <c r="Z1016" s="13" t="n">
        <v>182</v>
      </c>
      <c r="AA1016" s="13" t="n">
        <v>11</v>
      </c>
      <c r="AB1016" s="13" t="n">
        <v>7.5</v>
      </c>
      <c r="AC1016" s="11" t="inlineStr">
        <is>
          <t xml:space="preserve"> Resort Freeride</t>
        </is>
      </c>
      <c r="AD1016" s="13" t="n"/>
      <c r="AE1016" s="13" t="n"/>
      <c r="AF1016" s="13" t="n"/>
      <c r="AG1016" s="13" t="n"/>
    </row>
    <row r="1017">
      <c r="A1017" s="9" t="inlineStr">
        <is>
          <t>21/22</t>
        </is>
      </c>
      <c r="B1017" s="10" t="inlineStr">
        <is>
          <t xml:space="preserve"> Rossignol</t>
        </is>
      </c>
      <c r="C1017" s="11" t="inlineStr">
        <is>
          <t>Experience 82 Basalt</t>
        </is>
      </c>
      <c r="D1017" s="13" t="n">
        <v>160</v>
      </c>
      <c r="E1017" s="11" t="inlineStr">
        <is>
          <t xml:space="preserve"> Unisex</t>
        </is>
      </c>
      <c r="F1017" s="13" t="n">
        <v>160</v>
      </c>
      <c r="G1017" s="13" t="n">
        <v>158.5</v>
      </c>
      <c r="H1017" s="13" t="n">
        <v>120</v>
      </c>
      <c r="I1017" s="13" t="n">
        <v>143</v>
      </c>
      <c r="J1017" s="13" t="n">
        <v>124</v>
      </c>
      <c r="K1017" s="13" t="n">
        <v>80</v>
      </c>
      <c r="L1017" s="13" t="n">
        <v>113</v>
      </c>
      <c r="M1017" s="13" t="n">
        <v>12.8</v>
      </c>
      <c r="N1017" s="13" t="n">
        <v>1651</v>
      </c>
      <c r="O1017" s="13" t="n">
        <v>0.9</v>
      </c>
      <c r="P1017" s="13" t="n">
        <v>1493</v>
      </c>
      <c r="Q1017" s="13" t="n">
        <v>179</v>
      </c>
      <c r="R1017" s="13" t="n">
        <v>72</v>
      </c>
      <c r="S1017" s="13" t="n">
        <v>47</v>
      </c>
      <c r="T1017" s="13" t="n">
        <v>258</v>
      </c>
      <c r="U1017" s="13" t="n">
        <v>12</v>
      </c>
      <c r="V1017" s="13" t="n">
        <v>123</v>
      </c>
      <c r="W1017" s="13" t="n">
        <v>0.26</v>
      </c>
      <c r="X1017" s="13" t="n">
        <v>88</v>
      </c>
      <c r="Y1017" s="13" t="n">
        <v>63</v>
      </c>
      <c r="Z1017" s="13" t="n">
        <v>170</v>
      </c>
      <c r="AA1017" s="13" t="n">
        <v>10</v>
      </c>
      <c r="AB1017" s="13" t="n">
        <v>7.1</v>
      </c>
      <c r="AC1017" s="11" t="inlineStr">
        <is>
          <t xml:space="preserve"> Other</t>
        </is>
      </c>
      <c r="AD1017" s="13" t="n"/>
      <c r="AE1017" s="13" t="n"/>
      <c r="AF1017" s="13" t="n"/>
      <c r="AG1017" s="13" t="n"/>
    </row>
    <row r="1018">
      <c r="A1018" s="9" t="inlineStr">
        <is>
          <t>21/22</t>
        </is>
      </c>
      <c r="B1018" s="10" t="inlineStr">
        <is>
          <t xml:space="preserve"> Rossignol</t>
        </is>
      </c>
      <c r="C1018" s="11" t="inlineStr">
        <is>
          <t>Experience 82 Basalt</t>
        </is>
      </c>
      <c r="D1018" s="13" t="n">
        <v>168</v>
      </c>
      <c r="E1018" s="11" t="inlineStr">
        <is>
          <t xml:space="preserve"> Unisex</t>
        </is>
      </c>
      <c r="F1018" s="13" t="n">
        <v>168</v>
      </c>
      <c r="G1018" s="13" t="n">
        <v>166.7</v>
      </c>
      <c r="H1018" s="13" t="n">
        <v>128</v>
      </c>
      <c r="I1018" s="13" t="n">
        <v>152</v>
      </c>
      <c r="J1018" s="13" t="n">
        <v>125</v>
      </c>
      <c r="K1018" s="13" t="n">
        <v>80</v>
      </c>
      <c r="L1018" s="13" t="n">
        <v>113</v>
      </c>
      <c r="M1018" s="13" t="n">
        <v>14.4</v>
      </c>
      <c r="N1018" s="13" t="n">
        <v>1742</v>
      </c>
      <c r="O1018" s="13" t="n">
        <v>0.9</v>
      </c>
      <c r="P1018" s="13" t="n">
        <v>1572</v>
      </c>
      <c r="Q1018" s="13" t="n">
        <v>202</v>
      </c>
      <c r="R1018" s="13" t="n">
        <v>82</v>
      </c>
      <c r="S1018" s="13" t="n">
        <v>47</v>
      </c>
      <c r="T1018" s="13" t="n">
        <v>257</v>
      </c>
      <c r="U1018" s="13" t="n">
        <v>13</v>
      </c>
      <c r="V1018" s="13" t="n">
        <v>132</v>
      </c>
      <c r="W1018" s="13" t="n">
        <v>0.269</v>
      </c>
      <c r="X1018" s="13" t="n">
        <v>83</v>
      </c>
      <c r="Y1018" s="13" t="n">
        <v>60</v>
      </c>
      <c r="Z1018" s="13" t="n">
        <v>175</v>
      </c>
      <c r="AA1018" s="13" t="n">
        <v>10</v>
      </c>
      <c r="AB1018" s="13" t="n">
        <v>7.5</v>
      </c>
      <c r="AC1018" s="11" t="inlineStr">
        <is>
          <t xml:space="preserve"> Other</t>
        </is>
      </c>
      <c r="AD1018" s="13" t="n"/>
      <c r="AE1018" s="13" t="n"/>
      <c r="AF1018" s="13" t="n"/>
      <c r="AG1018" s="13" t="n"/>
    </row>
    <row r="1019">
      <c r="A1019" s="9" t="inlineStr">
        <is>
          <t>21/22</t>
        </is>
      </c>
      <c r="B1019" s="10" t="inlineStr">
        <is>
          <t xml:space="preserve"> Rossignol</t>
        </is>
      </c>
      <c r="C1019" s="11" t="inlineStr">
        <is>
          <t>Experience 82 Basalt</t>
        </is>
      </c>
      <c r="D1019" s="13" t="n">
        <v>176</v>
      </c>
      <c r="E1019" s="11" t="inlineStr">
        <is>
          <t xml:space="preserve"> Unisex</t>
        </is>
      </c>
      <c r="F1019" s="13" t="n">
        <v>176</v>
      </c>
      <c r="G1019" s="13" t="n">
        <v>174.4</v>
      </c>
      <c r="H1019" s="13" t="n">
        <v>134</v>
      </c>
      <c r="I1019" s="13" t="n">
        <v>160</v>
      </c>
      <c r="J1019" s="13" t="n">
        <v>125</v>
      </c>
      <c r="K1019" s="13" t="n">
        <v>80</v>
      </c>
      <c r="L1019" s="13" t="n">
        <v>113</v>
      </c>
      <c r="M1019" s="13" t="n">
        <v>16</v>
      </c>
      <c r="N1019" s="13" t="n">
        <v>1805</v>
      </c>
      <c r="O1019" s="13" t="n">
        <v>0.91</v>
      </c>
      <c r="P1019" s="13" t="n">
        <v>1639</v>
      </c>
      <c r="Q1019" s="13" t="n">
        <v>241</v>
      </c>
      <c r="R1019" s="13" t="n">
        <v>89</v>
      </c>
      <c r="S1019" s="13" t="n">
        <v>48</v>
      </c>
      <c r="T1019" s="13" t="n">
        <v>266</v>
      </c>
      <c r="U1019" s="13" t="n">
        <v>14</v>
      </c>
      <c r="V1019" s="13" t="n">
        <v>134</v>
      </c>
      <c r="W1019" s="13" t="n">
        <v>0.285</v>
      </c>
      <c r="X1019" s="13" t="n">
        <v>77</v>
      </c>
      <c r="Y1019" s="13" t="n">
        <v>65</v>
      </c>
      <c r="Z1019" s="13" t="n">
        <v>189</v>
      </c>
      <c r="AA1019" s="13" t="n">
        <v>7</v>
      </c>
      <c r="AB1019" s="13" t="n">
        <v>6.1</v>
      </c>
      <c r="AC1019" s="11" t="inlineStr">
        <is>
          <t xml:space="preserve"> Other</t>
        </is>
      </c>
      <c r="AD1019" s="13" t="n"/>
      <c r="AE1019" s="13" t="n"/>
      <c r="AF1019" s="13" t="n"/>
      <c r="AG1019" s="13" t="n"/>
    </row>
    <row r="1020">
      <c r="A1020" s="9" t="inlineStr">
        <is>
          <t>21/22</t>
        </is>
      </c>
      <c r="B1020" s="10" t="inlineStr">
        <is>
          <t xml:space="preserve"> Rossignol</t>
        </is>
      </c>
      <c r="C1020" s="11" t="inlineStr">
        <is>
          <t>Experience 82 Basalt W</t>
        </is>
      </c>
      <c r="D1020" s="13" t="n">
        <v>151</v>
      </c>
      <c r="E1020" s="11" t="inlineStr">
        <is>
          <t xml:space="preserve"> Women's</t>
        </is>
      </c>
      <c r="F1020" s="13" t="n">
        <v>151</v>
      </c>
      <c r="G1020" s="13" t="n">
        <v>150.4</v>
      </c>
      <c r="H1020" s="13" t="n">
        <v>111</v>
      </c>
      <c r="I1020" s="13" t="n">
        <v>136</v>
      </c>
      <c r="J1020" s="13" t="n">
        <v>125</v>
      </c>
      <c r="K1020" s="13" t="n">
        <v>80</v>
      </c>
      <c r="L1020" s="13" t="n">
        <v>113</v>
      </c>
      <c r="M1020" s="13" t="n">
        <v>11.4</v>
      </c>
      <c r="N1020" s="13" t="n">
        <v>1601</v>
      </c>
      <c r="O1020" s="13" t="n">
        <v>0.89</v>
      </c>
      <c r="P1020" s="13" t="n">
        <v>1425</v>
      </c>
      <c r="Q1020" s="13" t="n">
        <v>174</v>
      </c>
      <c r="R1020" s="13" t="n">
        <v>61</v>
      </c>
      <c r="S1020" s="13" t="n">
        <v>49</v>
      </c>
      <c r="T1020" s="13" t="n">
        <v>263</v>
      </c>
      <c r="U1020" s="13" t="n">
        <v>13</v>
      </c>
      <c r="V1020" s="13" t="n">
        <v>127</v>
      </c>
      <c r="W1020" s="13" t="n">
        <v>0.259</v>
      </c>
      <c r="X1020" s="13" t="n">
        <v>76</v>
      </c>
      <c r="Y1020" s="13" t="n">
        <v>68</v>
      </c>
      <c r="Z1020" s="13" t="n">
        <v>187</v>
      </c>
      <c r="AA1020" s="13" t="n">
        <v>8</v>
      </c>
      <c r="AB1020" s="13" t="n">
        <v>6.8</v>
      </c>
      <c r="AC1020" s="11" t="inlineStr">
        <is>
          <t xml:space="preserve"> Other</t>
        </is>
      </c>
      <c r="AD1020" s="13" t="n"/>
      <c r="AE1020" s="13" t="n"/>
      <c r="AF1020" s="13" t="n"/>
      <c r="AG1020" s="13" t="n"/>
    </row>
    <row r="1021">
      <c r="A1021" s="9" t="inlineStr">
        <is>
          <t>21/22</t>
        </is>
      </c>
      <c r="B1021" s="10" t="inlineStr">
        <is>
          <t xml:space="preserve"> Rossignol</t>
        </is>
      </c>
      <c r="C1021" s="11" t="inlineStr">
        <is>
          <t>Experience 82 Basalt W</t>
        </is>
      </c>
      <c r="D1021" s="13" t="n">
        <v>159</v>
      </c>
      <c r="E1021" s="11" t="inlineStr">
        <is>
          <t xml:space="preserve"> Women's</t>
        </is>
      </c>
      <c r="F1021" s="13" t="n">
        <v>159</v>
      </c>
      <c r="G1021" s="13" t="n">
        <v>158.4</v>
      </c>
      <c r="H1021" s="13" t="n">
        <v>119</v>
      </c>
      <c r="I1021" s="13" t="n">
        <v>144</v>
      </c>
      <c r="J1021" s="13" t="n">
        <v>125</v>
      </c>
      <c r="K1021" s="13" t="n">
        <v>80</v>
      </c>
      <c r="L1021" s="13" t="n">
        <v>113</v>
      </c>
      <c r="M1021" s="13" t="n">
        <v>12.8</v>
      </c>
      <c r="N1021" s="13" t="n">
        <v>1645</v>
      </c>
      <c r="O1021" s="13" t="n">
        <v>0.91</v>
      </c>
      <c r="P1021" s="13" t="n">
        <v>1501</v>
      </c>
      <c r="Q1021" s="13" t="n">
        <v>182</v>
      </c>
      <c r="R1021" s="13" t="n">
        <v>79</v>
      </c>
      <c r="S1021" s="13" t="n">
        <v>47</v>
      </c>
      <c r="T1021" s="13" t="n">
        <v>262</v>
      </c>
      <c r="U1021" s="13" t="n">
        <v>14</v>
      </c>
      <c r="V1021" s="13" t="n">
        <v>128</v>
      </c>
      <c r="W1021" s="13" t="n">
        <v>0.291</v>
      </c>
      <c r="X1021" s="13" t="n">
        <v>84</v>
      </c>
      <c r="Y1021" s="13" t="n">
        <v>65</v>
      </c>
      <c r="Z1021" s="13" t="n">
        <v>178</v>
      </c>
      <c r="AA1021" s="13" t="n">
        <v>8</v>
      </c>
      <c r="AB1021" s="13" t="n">
        <v>7</v>
      </c>
      <c r="AC1021" s="11" t="inlineStr">
        <is>
          <t xml:space="preserve"> Resort Freeride</t>
        </is>
      </c>
      <c r="AD1021" s="13" t="n"/>
      <c r="AE1021" s="13" t="n"/>
      <c r="AF1021" s="13" t="n"/>
      <c r="AG1021" s="13" t="n"/>
    </row>
    <row r="1022">
      <c r="A1022" s="9" t="inlineStr">
        <is>
          <t>21/22</t>
        </is>
      </c>
      <c r="B1022" s="10" t="inlineStr">
        <is>
          <t xml:space="preserve"> Rossignol</t>
        </is>
      </c>
      <c r="C1022" s="11" t="inlineStr">
        <is>
          <t>Experience 82 Ti</t>
        </is>
      </c>
      <c r="D1022" s="13" t="n">
        <v>160</v>
      </c>
      <c r="E1022" s="11" t="inlineStr">
        <is>
          <t xml:space="preserve"> Unisex</t>
        </is>
      </c>
      <c r="F1022" s="13" t="n">
        <v>160</v>
      </c>
      <c r="G1022" s="13" t="n">
        <v>158.4</v>
      </c>
      <c r="H1022" s="13" t="n">
        <v>119</v>
      </c>
      <c r="I1022" s="13" t="n">
        <v>144</v>
      </c>
      <c r="J1022" s="13" t="n">
        <v>125</v>
      </c>
      <c r="K1022" s="13" t="n">
        <v>79</v>
      </c>
      <c r="L1022" s="13" t="n">
        <v>113</v>
      </c>
      <c r="M1022" s="13" t="n">
        <v>12.7</v>
      </c>
      <c r="N1022" s="13" t="n">
        <v>1703</v>
      </c>
      <c r="O1022" s="13" t="n">
        <v>0.88</v>
      </c>
      <c r="P1022" s="13" t="n">
        <v>1490</v>
      </c>
      <c r="Q1022" s="13" t="n">
        <v>167</v>
      </c>
      <c r="R1022" s="13" t="n">
        <v>88</v>
      </c>
      <c r="S1022" s="13" t="n">
        <v>49</v>
      </c>
      <c r="T1022" s="13" t="n">
        <v>261</v>
      </c>
      <c r="U1022" s="13" t="n">
        <v>14</v>
      </c>
      <c r="V1022" s="13" t="n">
        <v>136</v>
      </c>
      <c r="W1022" s="13" t="n">
        <v>0.291</v>
      </c>
      <c r="X1022" s="13" t="n">
        <v>80</v>
      </c>
      <c r="Y1022" s="13" t="n">
        <v>63</v>
      </c>
      <c r="Z1022" s="13" t="n">
        <v>182</v>
      </c>
      <c r="AA1022" s="13" t="n">
        <v>7</v>
      </c>
      <c r="AB1022" s="13" t="n">
        <v>7</v>
      </c>
      <c r="AC1022" s="11" t="inlineStr">
        <is>
          <t xml:space="preserve"> Other</t>
        </is>
      </c>
      <c r="AD1022" s="13" t="n"/>
      <c r="AE1022" s="13" t="n"/>
      <c r="AF1022" s="13" t="n"/>
      <c r="AG1022" s="13" t="n"/>
    </row>
    <row r="1023">
      <c r="A1023" s="9" t="inlineStr">
        <is>
          <t>21/22</t>
        </is>
      </c>
      <c r="B1023" s="10" t="inlineStr">
        <is>
          <t xml:space="preserve"> Rossignol</t>
        </is>
      </c>
      <c r="C1023" s="11" t="inlineStr">
        <is>
          <t>Experience 82 Ti W</t>
        </is>
      </c>
      <c r="D1023" s="13" t="n">
        <v>151</v>
      </c>
      <c r="E1023" s="11" t="inlineStr">
        <is>
          <t xml:space="preserve"> Women's</t>
        </is>
      </c>
      <c r="F1023" s="13" t="n">
        <v>151</v>
      </c>
      <c r="G1023" s="13" t="n">
        <v>150.4</v>
      </c>
      <c r="H1023" s="13" t="n">
        <v>111</v>
      </c>
      <c r="I1023" s="13" t="n">
        <v>136</v>
      </c>
      <c r="J1023" s="13" t="n">
        <v>125</v>
      </c>
      <c r="K1023" s="13" t="n">
        <v>80</v>
      </c>
      <c r="L1023" s="13" t="n">
        <v>113</v>
      </c>
      <c r="M1023" s="13" t="n">
        <v>11.3</v>
      </c>
      <c r="N1023" s="13" t="n">
        <v>1660</v>
      </c>
      <c r="O1023" s="13" t="n">
        <v>0.86</v>
      </c>
      <c r="P1023" s="13" t="n">
        <v>1425</v>
      </c>
      <c r="Q1023" s="13" t="n">
        <v>162</v>
      </c>
      <c r="R1023" s="13" t="n">
        <v>88</v>
      </c>
      <c r="S1023" s="13" t="n">
        <v>47</v>
      </c>
      <c r="T1023" s="13" t="n">
        <v>261</v>
      </c>
      <c r="U1023" s="13" t="n">
        <v>14</v>
      </c>
      <c r="V1023" s="13" t="n">
        <v>134</v>
      </c>
      <c r="W1023" s="13" t="n">
        <v>0.291</v>
      </c>
      <c r="X1023" s="13" t="n">
        <v>78</v>
      </c>
      <c r="Y1023" s="13" t="n">
        <v>63</v>
      </c>
      <c r="Z1023" s="13" t="n">
        <v>183</v>
      </c>
      <c r="AA1023" s="13" t="n">
        <v>8</v>
      </c>
      <c r="AB1023" s="13" t="n">
        <v>6.6</v>
      </c>
      <c r="AC1023" s="11" t="inlineStr">
        <is>
          <t xml:space="preserve"> Other</t>
        </is>
      </c>
      <c r="AD1023" s="13" t="n"/>
      <c r="AE1023" s="13" t="n"/>
      <c r="AF1023" s="13" t="n"/>
      <c r="AG1023" s="13" t="n"/>
    </row>
    <row r="1024">
      <c r="A1024" s="9" t="inlineStr">
        <is>
          <t>21/22</t>
        </is>
      </c>
      <c r="B1024" s="10" t="inlineStr">
        <is>
          <t xml:space="preserve"> Rossignol</t>
        </is>
      </c>
      <c r="C1024" s="11" t="inlineStr">
        <is>
          <t>Experience 82 Ti W</t>
        </is>
      </c>
      <c r="D1024" s="13" t="n">
        <v>159</v>
      </c>
      <c r="E1024" s="11" t="inlineStr">
        <is>
          <t xml:space="preserve"> Women's</t>
        </is>
      </c>
      <c r="F1024" s="13" t="n">
        <v>159</v>
      </c>
      <c r="G1024" s="13" t="n">
        <v>158.2</v>
      </c>
      <c r="H1024" s="13" t="n">
        <v>119</v>
      </c>
      <c r="I1024" s="13" t="n">
        <v>144</v>
      </c>
      <c r="J1024" s="13" t="n">
        <v>125</v>
      </c>
      <c r="K1024" s="13" t="n">
        <v>80</v>
      </c>
      <c r="L1024" s="13" t="n">
        <v>114</v>
      </c>
      <c r="M1024" s="13" t="n">
        <v>12.7</v>
      </c>
      <c r="N1024" s="13" t="n">
        <v>1746</v>
      </c>
      <c r="O1024" s="13" t="n">
        <v>0.86</v>
      </c>
      <c r="P1024" s="13" t="n">
        <v>1498</v>
      </c>
      <c r="Q1024" s="13" t="n">
        <v>180</v>
      </c>
      <c r="R1024" s="13" t="n">
        <v>94</v>
      </c>
      <c r="S1024" s="13" t="n">
        <v>49</v>
      </c>
      <c r="T1024" s="13" t="n">
        <v>261</v>
      </c>
      <c r="U1024" s="13" t="n">
        <v>15</v>
      </c>
      <c r="V1024" s="13" t="n">
        <v>135</v>
      </c>
      <c r="W1024" s="13" t="n">
        <v>0.304</v>
      </c>
      <c r="X1024" s="13" t="n">
        <v>80</v>
      </c>
      <c r="Y1024" s="13" t="n">
        <v>62</v>
      </c>
      <c r="Z1024" s="13" t="n">
        <v>181</v>
      </c>
      <c r="AA1024" s="13" t="n">
        <v>8</v>
      </c>
      <c r="AB1024" s="13" t="n">
        <v>6.9</v>
      </c>
      <c r="AC1024" s="11" t="inlineStr">
        <is>
          <t xml:space="preserve"> Other</t>
        </is>
      </c>
      <c r="AD1024" s="13" t="n"/>
      <c r="AE1024" s="13" t="n"/>
      <c r="AF1024" s="13" t="n"/>
      <c r="AG1024" s="13" t="n"/>
    </row>
    <row r="1025">
      <c r="A1025" s="9" t="inlineStr">
        <is>
          <t>21/22</t>
        </is>
      </c>
      <c r="B1025" s="10" t="inlineStr">
        <is>
          <t xml:space="preserve"> Rossignol</t>
        </is>
      </c>
      <c r="C1025" s="11" t="inlineStr">
        <is>
          <t>Experience 86 Basalt</t>
        </is>
      </c>
      <c r="D1025" s="13" t="n">
        <v>158</v>
      </c>
      <c r="E1025" s="11" t="inlineStr">
        <is>
          <t xml:space="preserve"> Unisex</t>
        </is>
      </c>
      <c r="F1025" s="13" t="n">
        <v>158</v>
      </c>
      <c r="G1025" s="13" t="n">
        <v>157.5</v>
      </c>
      <c r="H1025" s="13" t="n">
        <v>118</v>
      </c>
      <c r="I1025" s="13" t="n">
        <v>143</v>
      </c>
      <c r="J1025" s="13" t="n">
        <v>131</v>
      </c>
      <c r="K1025" s="13" t="n">
        <v>83</v>
      </c>
      <c r="L1025" s="13" t="n">
        <v>118</v>
      </c>
      <c r="M1025" s="13" t="n">
        <v>12</v>
      </c>
      <c r="N1025" s="13" t="n">
        <v>1662</v>
      </c>
      <c r="O1025" s="13" t="n">
        <v>0.9399999999999999</v>
      </c>
      <c r="P1025" s="13" t="n">
        <v>1556</v>
      </c>
      <c r="Q1025" s="13" t="n">
        <v>179</v>
      </c>
      <c r="R1025" s="13" t="n">
        <v>71</v>
      </c>
      <c r="S1025" s="13" t="n">
        <v>48</v>
      </c>
      <c r="T1025" s="13" t="n">
        <v>264</v>
      </c>
      <c r="U1025" s="13" t="n">
        <v>13</v>
      </c>
      <c r="V1025" s="13" t="n">
        <v>132</v>
      </c>
      <c r="W1025" s="13" t="n">
        <v>0.283</v>
      </c>
      <c r="X1025" s="13" t="n">
        <v>79</v>
      </c>
      <c r="Y1025" s="13" t="n">
        <v>67</v>
      </c>
      <c r="Z1025" s="13" t="n">
        <v>185</v>
      </c>
      <c r="AA1025" s="13" t="n">
        <v>7</v>
      </c>
      <c r="AB1025" s="13" t="n">
        <v>6.8</v>
      </c>
      <c r="AC1025" s="11" t="inlineStr">
        <is>
          <t xml:space="preserve"> Resort Freeride</t>
        </is>
      </c>
      <c r="AD1025" s="13" t="n"/>
      <c r="AE1025" s="13" t="n"/>
      <c r="AF1025" s="13" t="n"/>
      <c r="AG1025" s="13" t="n"/>
    </row>
    <row r="1026">
      <c r="A1026" s="9" t="inlineStr">
        <is>
          <t>21/22</t>
        </is>
      </c>
      <c r="B1026" s="10" t="inlineStr">
        <is>
          <t xml:space="preserve"> Rossignol</t>
        </is>
      </c>
      <c r="C1026" s="11" t="inlineStr">
        <is>
          <t>Experience 86 Basalt</t>
        </is>
      </c>
      <c r="D1026" s="13" t="n">
        <v>167</v>
      </c>
      <c r="E1026" s="11" t="inlineStr">
        <is>
          <t xml:space="preserve"> Unisex</t>
        </is>
      </c>
      <c r="F1026" s="13" t="n">
        <v>167</v>
      </c>
      <c r="G1026" s="13" t="n">
        <v>166.4</v>
      </c>
      <c r="H1026" s="13" t="n">
        <v>127</v>
      </c>
      <c r="I1026" s="13" t="n">
        <v>152</v>
      </c>
      <c r="J1026" s="13" t="n">
        <v>131</v>
      </c>
      <c r="K1026" s="13" t="n">
        <v>83</v>
      </c>
      <c r="L1026" s="13" t="n">
        <v>119</v>
      </c>
      <c r="M1026" s="13" t="n">
        <v>13.4</v>
      </c>
      <c r="N1026" s="13" t="n">
        <v>1799</v>
      </c>
      <c r="O1026" s="13" t="n">
        <v>0.91</v>
      </c>
      <c r="P1026" s="13" t="n">
        <v>1643</v>
      </c>
      <c r="Q1026" s="13" t="n">
        <v>198</v>
      </c>
      <c r="R1026" s="13" t="n">
        <v>80</v>
      </c>
      <c r="S1026" s="13" t="n">
        <v>46</v>
      </c>
      <c r="T1026" s="13" t="n">
        <v>261</v>
      </c>
      <c r="U1026" s="13" t="n">
        <v>13</v>
      </c>
      <c r="V1026" s="13" t="n">
        <v>129</v>
      </c>
      <c r="W1026" s="13" t="n">
        <v>0.278</v>
      </c>
      <c r="X1026" s="13" t="n">
        <v>74</v>
      </c>
      <c r="Y1026" s="13" t="n">
        <v>67</v>
      </c>
      <c r="Z1026" s="13" t="n">
        <v>186</v>
      </c>
      <c r="AA1026" s="13" t="n">
        <v>8</v>
      </c>
      <c r="AB1026" s="13" t="n">
        <v>6.7</v>
      </c>
      <c r="AC1026" s="11" t="inlineStr">
        <is>
          <t xml:space="preserve"> Resort Freeride</t>
        </is>
      </c>
      <c r="AD1026" s="13" t="n"/>
      <c r="AE1026" s="13" t="n"/>
      <c r="AF1026" s="13" t="n"/>
      <c r="AG1026" s="13" t="n"/>
    </row>
    <row r="1027">
      <c r="A1027" s="9" t="inlineStr">
        <is>
          <t>21/22</t>
        </is>
      </c>
      <c r="B1027" s="10" t="inlineStr">
        <is>
          <t xml:space="preserve"> Rossignol</t>
        </is>
      </c>
      <c r="C1027" s="11" t="inlineStr">
        <is>
          <t>Experience 86 Basalt</t>
        </is>
      </c>
      <c r="D1027" s="13" t="n">
        <v>176</v>
      </c>
      <c r="E1027" s="11" t="inlineStr">
        <is>
          <t xml:space="preserve"> Unisex</t>
        </is>
      </c>
      <c r="F1027" s="13" t="n">
        <v>176</v>
      </c>
      <c r="G1027" s="13" t="n">
        <v>175.5</v>
      </c>
      <c r="H1027" s="13" t="n">
        <v>137</v>
      </c>
      <c r="I1027" s="13" t="n">
        <v>161</v>
      </c>
      <c r="J1027" s="13" t="n">
        <v>131</v>
      </c>
      <c r="K1027" s="13" t="n">
        <v>84</v>
      </c>
      <c r="L1027" s="13" t="n">
        <v>119</v>
      </c>
      <c r="M1027" s="13" t="n">
        <v>15.4</v>
      </c>
      <c r="N1027" s="13" t="n">
        <v>1911</v>
      </c>
      <c r="O1027" s="13" t="n">
        <v>0.91</v>
      </c>
      <c r="P1027" s="13" t="n">
        <v>1733</v>
      </c>
      <c r="Q1027" s="13" t="n">
        <v>230</v>
      </c>
      <c r="R1027" s="13" t="n">
        <v>92</v>
      </c>
      <c r="S1027" s="13" t="n">
        <v>47</v>
      </c>
      <c r="T1027" s="13" t="n">
        <v>258</v>
      </c>
      <c r="U1027" s="13" t="n">
        <v>13</v>
      </c>
      <c r="V1027" s="13" t="n">
        <v>126</v>
      </c>
      <c r="W1027" s="13" t="n">
        <v>0.269</v>
      </c>
      <c r="X1027" s="13" t="n">
        <v>73</v>
      </c>
      <c r="Y1027" s="13" t="n">
        <v>67</v>
      </c>
      <c r="Z1027" s="13" t="n">
        <v>184</v>
      </c>
      <c r="AA1027" s="13" t="n">
        <v>10</v>
      </c>
      <c r="AB1027" s="13" t="n">
        <v>6.9</v>
      </c>
      <c r="AC1027" s="11" t="inlineStr">
        <is>
          <t xml:space="preserve"> Resort Freeride</t>
        </is>
      </c>
      <c r="AD1027" s="13" t="n"/>
      <c r="AE1027" s="13" t="n"/>
      <c r="AF1027" s="13" t="n"/>
      <c r="AG1027" s="13" t="n"/>
    </row>
    <row r="1028">
      <c r="A1028" s="9" t="inlineStr">
        <is>
          <t>21/22</t>
        </is>
      </c>
      <c r="B1028" s="10" t="inlineStr">
        <is>
          <t xml:space="preserve"> Rossignol</t>
        </is>
      </c>
      <c r="C1028" s="11" t="inlineStr">
        <is>
          <t>Experience 86 Basalt W</t>
        </is>
      </c>
      <c r="D1028" s="13" t="n">
        <v>148</v>
      </c>
      <c r="E1028" s="11" t="inlineStr">
        <is>
          <t xml:space="preserve"> Women's</t>
        </is>
      </c>
      <c r="F1028" s="13" t="n">
        <v>148</v>
      </c>
      <c r="G1028" s="13" t="n">
        <v>148.4</v>
      </c>
      <c r="H1028" s="13" t="n">
        <v>109</v>
      </c>
      <c r="I1028" s="13" t="n">
        <v>134</v>
      </c>
      <c r="J1028" s="13" t="n">
        <v>131</v>
      </c>
      <c r="K1028" s="13" t="n">
        <v>84</v>
      </c>
      <c r="L1028" s="13" t="n">
        <v>119</v>
      </c>
      <c r="M1028" s="13" t="n">
        <v>10.4</v>
      </c>
      <c r="N1028" s="13" t="n">
        <v>1654</v>
      </c>
      <c r="O1028" s="13" t="n">
        <v>0.89</v>
      </c>
      <c r="P1028" s="13" t="n">
        <v>1474</v>
      </c>
      <c r="Q1028" s="13" t="n">
        <v>178</v>
      </c>
      <c r="R1028" s="13" t="n">
        <v>74</v>
      </c>
      <c r="S1028" s="13" t="n">
        <v>51</v>
      </c>
      <c r="T1028" s="13" t="n">
        <v>263</v>
      </c>
      <c r="U1028" s="13" t="n">
        <v>13</v>
      </c>
      <c r="V1028" s="13" t="n">
        <v>129</v>
      </c>
      <c r="W1028" s="13" t="n">
        <v>0.264</v>
      </c>
      <c r="X1028" s="13" t="n">
        <v>78</v>
      </c>
      <c r="Y1028" s="13" t="n">
        <v>66</v>
      </c>
      <c r="Z1028" s="13" t="n">
        <v>185</v>
      </c>
      <c r="AA1028" s="13" t="n">
        <v>8</v>
      </c>
      <c r="AB1028" s="13" t="n">
        <v>6.4</v>
      </c>
      <c r="AC1028" s="11" t="inlineStr">
        <is>
          <t xml:space="preserve"> Resort Freeride</t>
        </is>
      </c>
      <c r="AD1028" s="13" t="n"/>
      <c r="AE1028" s="13" t="n"/>
      <c r="AF1028" s="13" t="n"/>
      <c r="AG1028" s="13" t="n"/>
    </row>
    <row r="1029">
      <c r="A1029" s="9" t="inlineStr">
        <is>
          <t>21/22</t>
        </is>
      </c>
      <c r="B1029" s="10" t="inlineStr">
        <is>
          <t xml:space="preserve"> Rossignol</t>
        </is>
      </c>
      <c r="C1029" s="11" t="inlineStr">
        <is>
          <t>Experience 86 Basalt W</t>
        </is>
      </c>
      <c r="D1029" s="13" t="n">
        <v>166</v>
      </c>
      <c r="E1029" s="11" t="inlineStr">
        <is>
          <t xml:space="preserve"> Women's</t>
        </is>
      </c>
      <c r="F1029" s="13" t="n">
        <v>166</v>
      </c>
      <c r="G1029" s="13" t="n">
        <v>166.5</v>
      </c>
      <c r="H1029" s="13" t="n">
        <v>128</v>
      </c>
      <c r="I1029" s="13" t="n">
        <v>153</v>
      </c>
      <c r="J1029" s="13" t="n">
        <v>131</v>
      </c>
      <c r="K1029" s="13" t="n">
        <v>84</v>
      </c>
      <c r="L1029" s="13" t="n">
        <v>120</v>
      </c>
      <c r="M1029" s="13" t="n">
        <v>13.6</v>
      </c>
      <c r="N1029" s="13" t="n">
        <v>1821</v>
      </c>
      <c r="O1029" s="13" t="n">
        <v>0.91</v>
      </c>
      <c r="P1029" s="13" t="n">
        <v>1657</v>
      </c>
      <c r="Q1029" s="13" t="n">
        <v>202</v>
      </c>
      <c r="R1029" s="13" t="n">
        <v>87</v>
      </c>
      <c r="S1029" s="13" t="n">
        <v>46</v>
      </c>
      <c r="T1029" s="13" t="n">
        <v>259</v>
      </c>
      <c r="U1029" s="13" t="n">
        <v>13</v>
      </c>
      <c r="V1029" s="13" t="n">
        <v>129</v>
      </c>
      <c r="W1029" s="13" t="n">
        <v>0.273</v>
      </c>
      <c r="X1029" s="13" t="n">
        <v>73</v>
      </c>
      <c r="Y1029" s="13" t="n">
        <v>64</v>
      </c>
      <c r="Z1029" s="13" t="n">
        <v>186</v>
      </c>
      <c r="AA1029" s="13" t="n">
        <v>9</v>
      </c>
      <c r="AB1029" s="13" t="n">
        <v>6.8</v>
      </c>
      <c r="AC1029" s="11" t="inlineStr">
        <is>
          <t xml:space="preserve"> Resort Freeride</t>
        </is>
      </c>
      <c r="AD1029" s="13" t="n"/>
      <c r="AE1029" s="13" t="n"/>
      <c r="AF1029" s="13" t="n"/>
      <c r="AG1029" s="13" t="n"/>
    </row>
    <row r="1030">
      <c r="A1030" s="9" t="inlineStr">
        <is>
          <t>21/22</t>
        </is>
      </c>
      <c r="B1030" s="10" t="inlineStr">
        <is>
          <t xml:space="preserve"> Rossignol</t>
        </is>
      </c>
      <c r="C1030" s="11" t="inlineStr">
        <is>
          <t>Experience 86 Ti</t>
        </is>
      </c>
      <c r="D1030" s="13" t="n">
        <v>167</v>
      </c>
      <c r="E1030" s="11" t="inlineStr">
        <is>
          <t xml:space="preserve"> Unisex</t>
        </is>
      </c>
      <c r="F1030" s="13" t="n">
        <v>167</v>
      </c>
      <c r="G1030" s="13" t="n">
        <v>166.4</v>
      </c>
      <c r="H1030" s="13" t="n">
        <v>128</v>
      </c>
      <c r="I1030" s="13" t="n">
        <v>152</v>
      </c>
      <c r="J1030" s="13" t="n">
        <v>131</v>
      </c>
      <c r="K1030" s="13" t="n">
        <v>83</v>
      </c>
      <c r="L1030" s="13" t="n">
        <v>119</v>
      </c>
      <c r="M1030" s="13" t="n">
        <v>13.6</v>
      </c>
      <c r="N1030" s="11" t="inlineStr">
        <is>
          <t xml:space="preserve"> None</t>
        </is>
      </c>
      <c r="O1030" s="11" t="inlineStr">
        <is>
          <t xml:space="preserve"> None</t>
        </is>
      </c>
      <c r="P1030" s="13" t="n">
        <v>1643</v>
      </c>
      <c r="Q1030" s="13" t="n">
        <v>184</v>
      </c>
      <c r="R1030" s="13" t="n">
        <v>113</v>
      </c>
      <c r="S1030" s="13" t="n">
        <v>47</v>
      </c>
      <c r="T1030" s="13" t="n">
        <v>250</v>
      </c>
      <c r="U1030" s="13" t="n">
        <v>14</v>
      </c>
      <c r="V1030" s="13" t="n">
        <v>133</v>
      </c>
      <c r="W1030" s="13" t="n">
        <v>0.304</v>
      </c>
      <c r="X1030" s="13" t="n">
        <v>82</v>
      </c>
      <c r="Y1030" s="13" t="n">
        <v>64</v>
      </c>
      <c r="Z1030" s="13" t="n">
        <v>168</v>
      </c>
      <c r="AA1030" s="13" t="n">
        <v>11</v>
      </c>
      <c r="AB1030" s="13" t="n">
        <v>6.9</v>
      </c>
      <c r="AC1030" s="11" t="inlineStr">
        <is>
          <t xml:space="preserve"> Other</t>
        </is>
      </c>
      <c r="AD1030" s="13" t="n"/>
      <c r="AE1030" s="13" t="n"/>
      <c r="AF1030" s="13" t="n"/>
      <c r="AG1030" s="13" t="n"/>
    </row>
    <row r="1031">
      <c r="A1031" s="9" t="inlineStr">
        <is>
          <t>21/22</t>
        </is>
      </c>
      <c r="B1031" s="10" t="inlineStr">
        <is>
          <t xml:space="preserve"> Rossignol</t>
        </is>
      </c>
      <c r="C1031" s="11" t="inlineStr">
        <is>
          <t>Experience 86 Ti</t>
        </is>
      </c>
      <c r="D1031" s="13" t="n">
        <v>176</v>
      </c>
      <c r="E1031" s="11" t="inlineStr">
        <is>
          <t xml:space="preserve"> Unisex</t>
        </is>
      </c>
      <c r="F1031" s="13" t="n">
        <v>176</v>
      </c>
      <c r="G1031" s="13" t="n">
        <v>175.5</v>
      </c>
      <c r="H1031" s="13" t="n">
        <v>136</v>
      </c>
      <c r="I1031" s="13" t="n">
        <v>161</v>
      </c>
      <c r="J1031" s="13" t="n">
        <v>131</v>
      </c>
      <c r="K1031" s="13" t="n">
        <v>84</v>
      </c>
      <c r="L1031" s="13" t="n">
        <v>119</v>
      </c>
      <c r="M1031" s="13" t="n">
        <v>15.4</v>
      </c>
      <c r="N1031" s="13" t="n">
        <v>2061</v>
      </c>
      <c r="O1031" s="13" t="n">
        <v>0.84</v>
      </c>
      <c r="P1031" s="13" t="n">
        <v>1732</v>
      </c>
      <c r="Q1031" s="13" t="n">
        <v>234</v>
      </c>
      <c r="R1031" s="13" t="n">
        <v>137</v>
      </c>
      <c r="S1031" s="13" t="n">
        <v>49</v>
      </c>
      <c r="T1031" s="13" t="n">
        <v>259</v>
      </c>
      <c r="U1031" s="13" t="n">
        <v>14</v>
      </c>
      <c r="V1031" s="13" t="n">
        <v>136</v>
      </c>
      <c r="W1031" s="13" t="n">
        <v>0.29</v>
      </c>
      <c r="X1031" s="13" t="n">
        <v>76</v>
      </c>
      <c r="Y1031" s="13" t="n">
        <v>64</v>
      </c>
      <c r="Z1031" s="13" t="n">
        <v>183</v>
      </c>
      <c r="AA1031" s="13" t="n">
        <v>10</v>
      </c>
      <c r="AB1031" s="13" t="n">
        <v>6.9</v>
      </c>
      <c r="AC1031" s="11" t="inlineStr">
        <is>
          <t xml:space="preserve"> Resort Freeride</t>
        </is>
      </c>
      <c r="AD1031" s="13" t="n"/>
      <c r="AE1031" s="13" t="n"/>
      <c r="AF1031" s="13" t="n"/>
      <c r="AG1031" s="13" t="n"/>
    </row>
    <row r="1032">
      <c r="A1032" s="9" t="inlineStr">
        <is>
          <t>21/22</t>
        </is>
      </c>
      <c r="B1032" s="10" t="inlineStr">
        <is>
          <t xml:space="preserve"> Rossignol</t>
        </is>
      </c>
      <c r="C1032" s="11" t="inlineStr">
        <is>
          <t xml:space="preserve"> Hero Elite Long Turn Ti</t>
        </is>
      </c>
      <c r="D1032" s="13" t="n">
        <v>167</v>
      </c>
      <c r="E1032" s="11" t="inlineStr">
        <is>
          <t xml:space="preserve"> Unisex</t>
        </is>
      </c>
      <c r="F1032" s="13" t="n">
        <v>167</v>
      </c>
      <c r="G1032" s="13" t="n">
        <v>166.3</v>
      </c>
      <c r="H1032" s="13" t="n">
        <v>145</v>
      </c>
      <c r="I1032" s="13" t="n">
        <v>155</v>
      </c>
      <c r="J1032" s="13" t="n">
        <v>118</v>
      </c>
      <c r="K1032" s="13" t="n">
        <v>70</v>
      </c>
      <c r="L1032" s="13" t="n">
        <v>100</v>
      </c>
      <c r="M1032" s="13" t="n">
        <v>15.3</v>
      </c>
      <c r="N1032" s="13" t="n">
        <v>1969</v>
      </c>
      <c r="O1032" s="13" t="n">
        <v>0.71</v>
      </c>
      <c r="P1032" s="13" t="n">
        <v>1398</v>
      </c>
      <c r="Q1032" s="13" t="n">
        <v>240</v>
      </c>
      <c r="R1032" s="13" t="n">
        <v>135</v>
      </c>
      <c r="S1032" s="13" t="n">
        <v>42</v>
      </c>
      <c r="T1032" s="13" t="n">
        <v>161</v>
      </c>
      <c r="U1032" s="13" t="n">
        <v>5</v>
      </c>
      <c r="V1032" s="13" t="n">
        <v>54</v>
      </c>
      <c r="W1032" s="13" t="n">
        <v>0.118</v>
      </c>
      <c r="X1032" s="13" t="n">
        <v>69</v>
      </c>
      <c r="Y1032" s="13" t="n">
        <v>41</v>
      </c>
      <c r="Z1032" s="13" t="n">
        <v>93</v>
      </c>
      <c r="AA1032" s="13" t="n">
        <v>10</v>
      </c>
      <c r="AB1032" s="13" t="n">
        <v>11.1</v>
      </c>
      <c r="AC1032" s="11" t="inlineStr">
        <is>
          <t xml:space="preserve"> On-Piste Carving</t>
        </is>
      </c>
      <c r="AD1032" s="13" t="n"/>
      <c r="AE1032" s="13" t="n"/>
      <c r="AF1032" s="13" t="n"/>
      <c r="AG1032" s="13" t="n"/>
    </row>
    <row r="1033">
      <c r="A1033" s="9" t="inlineStr">
        <is>
          <t>21/22</t>
        </is>
      </c>
      <c r="B1033" s="10" t="inlineStr">
        <is>
          <t xml:space="preserve"> Rossignol</t>
        </is>
      </c>
      <c r="C1033" s="11" t="inlineStr">
        <is>
          <t xml:space="preserve"> Hero Elite Long Turn Ti</t>
        </is>
      </c>
      <c r="D1033" s="13" t="n">
        <v>172</v>
      </c>
      <c r="E1033" s="11" t="inlineStr">
        <is>
          <t xml:space="preserve"> Unisex</t>
        </is>
      </c>
      <c r="F1033" s="13" t="n">
        <v>172</v>
      </c>
      <c r="G1033" s="13" t="n">
        <v>171.4</v>
      </c>
      <c r="H1033" s="13" t="n">
        <v>151</v>
      </c>
      <c r="I1033" s="13" t="n">
        <v>160</v>
      </c>
      <c r="J1033" s="13" t="n">
        <v>118</v>
      </c>
      <c r="K1033" s="13" t="n">
        <v>69</v>
      </c>
      <c r="L1033" s="13" t="n">
        <v>100</v>
      </c>
      <c r="M1033" s="13" t="n">
        <v>16.4</v>
      </c>
      <c r="N1033" s="13" t="n">
        <v>2051</v>
      </c>
      <c r="O1033" s="13" t="n">
        <v>0.7</v>
      </c>
      <c r="P1033" s="13" t="n">
        <v>1435</v>
      </c>
      <c r="Q1033" s="13" t="n">
        <v>263</v>
      </c>
      <c r="R1033" s="13" t="n">
        <v>145</v>
      </c>
      <c r="S1033" s="13" t="n">
        <v>39</v>
      </c>
      <c r="T1033" s="13" t="n">
        <v>147</v>
      </c>
      <c r="U1033" s="13" t="n">
        <v>4</v>
      </c>
      <c r="V1033" s="13" t="n">
        <v>52</v>
      </c>
      <c r="W1033" s="13" t="n">
        <v>0.115</v>
      </c>
      <c r="X1033" s="13" t="n">
        <v>71</v>
      </c>
      <c r="Y1033" s="13" t="n">
        <v>44</v>
      </c>
      <c r="Z1033" s="13" t="n">
        <v>76</v>
      </c>
      <c r="AA1033" s="13" t="n">
        <v>11</v>
      </c>
      <c r="AB1033" s="13" t="n">
        <v>11.4</v>
      </c>
      <c r="AC1033" s="11" t="inlineStr">
        <is>
          <t xml:space="preserve"> On-Piste Carving</t>
        </is>
      </c>
      <c r="AD1033" s="13" t="n"/>
      <c r="AE1033" s="13" t="n"/>
      <c r="AF1033" s="13" t="n"/>
      <c r="AG1033" s="13" t="n"/>
    </row>
    <row r="1034">
      <c r="A1034" s="9" t="inlineStr">
        <is>
          <t>21/22</t>
        </is>
      </c>
      <c r="B1034" s="10" t="inlineStr">
        <is>
          <t xml:space="preserve"> Rossignol</t>
        </is>
      </c>
      <c r="C1034" s="11" t="inlineStr">
        <is>
          <t xml:space="preserve"> Hero Elite Multi Turn Ca</t>
        </is>
      </c>
      <c r="D1034" s="13" t="n">
        <v>167</v>
      </c>
      <c r="E1034" s="11" t="inlineStr">
        <is>
          <t xml:space="preserve"> Unisex</t>
        </is>
      </c>
      <c r="F1034" s="13" t="n">
        <v>167</v>
      </c>
      <c r="G1034" s="13" t="n">
        <v>167.5</v>
      </c>
      <c r="H1034" s="13" t="n">
        <v>147</v>
      </c>
      <c r="I1034" s="13" t="n">
        <v>154</v>
      </c>
      <c r="J1034" s="13" t="n">
        <v>122</v>
      </c>
      <c r="K1034" s="13" t="n">
        <v>73</v>
      </c>
      <c r="L1034" s="13" t="n">
        <v>108</v>
      </c>
      <c r="M1034" s="13" t="n">
        <v>13.9</v>
      </c>
      <c r="N1034" s="13" t="n">
        <v>1803</v>
      </c>
      <c r="O1034" s="13" t="n">
        <v>0.83</v>
      </c>
      <c r="P1034" s="13" t="n">
        <v>1491</v>
      </c>
      <c r="Q1034" s="13" t="n">
        <v>209</v>
      </c>
      <c r="R1034" s="13" t="n">
        <v>85</v>
      </c>
      <c r="S1034" s="13" t="n">
        <v>39</v>
      </c>
      <c r="T1034" s="13" t="n">
        <v>141</v>
      </c>
      <c r="U1034" s="13" t="n">
        <v>4</v>
      </c>
      <c r="V1034" s="13" t="n">
        <v>66</v>
      </c>
      <c r="W1034" s="13" t="n">
        <v>0.111</v>
      </c>
      <c r="X1034" s="13" t="n">
        <v>79</v>
      </c>
      <c r="Y1034" s="13" t="n">
        <v>59</v>
      </c>
      <c r="Z1034" s="13" t="n">
        <v>63</v>
      </c>
      <c r="AA1034" s="13" t="n">
        <v>11</v>
      </c>
      <c r="AB1034" s="13" t="n">
        <v>10.5</v>
      </c>
      <c r="AC1034" s="11" t="inlineStr">
        <is>
          <t xml:space="preserve"> On-Piste Carving</t>
        </is>
      </c>
      <c r="AD1034" s="13" t="n"/>
      <c r="AE1034" s="13" t="n"/>
      <c r="AF1034" s="13" t="n"/>
      <c r="AG1034" s="13" t="n"/>
    </row>
    <row r="1035">
      <c r="A1035" s="9" t="inlineStr">
        <is>
          <t>21/22</t>
        </is>
      </c>
      <c r="B1035" s="10" t="inlineStr">
        <is>
          <t xml:space="preserve"> Rossignol</t>
        </is>
      </c>
      <c r="C1035" s="11" t="inlineStr">
        <is>
          <t xml:space="preserve"> Hero Elite Multi Turn Ca</t>
        </is>
      </c>
      <c r="D1035" s="13" t="n">
        <v>175</v>
      </c>
      <c r="E1035" s="11" t="inlineStr">
        <is>
          <t xml:space="preserve"> Unisex</t>
        </is>
      </c>
      <c r="F1035" s="13" t="n">
        <v>175</v>
      </c>
      <c r="G1035" s="13" t="n">
        <v>174.4</v>
      </c>
      <c r="H1035" s="13" t="n">
        <v>148</v>
      </c>
      <c r="I1035" s="13" t="n">
        <v>161</v>
      </c>
      <c r="J1035" s="13" t="n">
        <v>122</v>
      </c>
      <c r="K1035" s="13" t="n">
        <v>73</v>
      </c>
      <c r="L1035" s="13" t="n">
        <v>108</v>
      </c>
      <c r="M1035" s="13" t="n">
        <v>15.2</v>
      </c>
      <c r="N1035" s="13" t="n">
        <v>1895</v>
      </c>
      <c r="O1035" s="13" t="n">
        <v>0.82</v>
      </c>
      <c r="P1035" s="13" t="n">
        <v>1550</v>
      </c>
      <c r="Q1035" s="13" t="n">
        <v>233</v>
      </c>
      <c r="R1035" s="13" t="n">
        <v>87</v>
      </c>
      <c r="S1035" s="13" t="n">
        <v>40</v>
      </c>
      <c r="T1035" s="13" t="n">
        <v>196</v>
      </c>
      <c r="U1035" s="13" t="n">
        <v>4</v>
      </c>
      <c r="V1035" s="13" t="n">
        <v>66</v>
      </c>
      <c r="W1035" s="13" t="n">
        <v>0.109</v>
      </c>
      <c r="X1035" s="13" t="n">
        <v>73</v>
      </c>
      <c r="Y1035" s="13" t="n">
        <v>60</v>
      </c>
      <c r="Z1035" s="13" t="n">
        <v>122</v>
      </c>
      <c r="AA1035" s="13" t="n">
        <v>10</v>
      </c>
      <c r="AB1035" s="13" t="n">
        <v>10.2</v>
      </c>
      <c r="AC1035" s="11" t="inlineStr">
        <is>
          <t xml:space="preserve"> On-Piste Carving</t>
        </is>
      </c>
      <c r="AD1035" s="13" t="n"/>
      <c r="AE1035" s="13" t="n"/>
      <c r="AF1035" s="13" t="n"/>
      <c r="AG1035" s="13" t="n"/>
    </row>
    <row r="1036">
      <c r="A1036" s="9" t="inlineStr">
        <is>
          <t>21/22</t>
        </is>
      </c>
      <c r="B1036" s="10" t="inlineStr">
        <is>
          <t xml:space="preserve"> Rossignol</t>
        </is>
      </c>
      <c r="C1036" s="11" t="inlineStr">
        <is>
          <t xml:space="preserve"> Hero Elite Multi Turn Ti</t>
        </is>
      </c>
      <c r="D1036" s="13" t="n">
        <v>159</v>
      </c>
      <c r="E1036" s="11" t="inlineStr">
        <is>
          <t xml:space="preserve"> Unisex</t>
        </is>
      </c>
      <c r="F1036" s="13" t="n">
        <v>159</v>
      </c>
      <c r="G1036" s="13" t="n">
        <v>158.6</v>
      </c>
      <c r="H1036" s="13" t="n">
        <v>135</v>
      </c>
      <c r="I1036" s="13" t="n">
        <v>145</v>
      </c>
      <c r="J1036" s="13" t="n">
        <v>122</v>
      </c>
      <c r="K1036" s="13" t="n">
        <v>73</v>
      </c>
      <c r="L1036" s="13" t="n">
        <v>109</v>
      </c>
      <c r="M1036" s="13" t="n">
        <v>12.2</v>
      </c>
      <c r="N1036" s="13" t="n">
        <v>1687</v>
      </c>
      <c r="O1036" s="13" t="n">
        <v>0.84</v>
      </c>
      <c r="P1036" s="13" t="n">
        <v>1412</v>
      </c>
      <c r="Q1036" s="13" t="n">
        <v>184</v>
      </c>
      <c r="R1036" s="13" t="n">
        <v>74</v>
      </c>
      <c r="S1036" s="13" t="n">
        <v>41</v>
      </c>
      <c r="T1036" s="13" t="n">
        <v>170</v>
      </c>
      <c r="U1036" s="13" t="n">
        <v>4</v>
      </c>
      <c r="V1036" s="13" t="n">
        <v>65</v>
      </c>
      <c r="W1036" s="13" t="n">
        <v>0.104</v>
      </c>
      <c r="X1036" s="13" t="n">
        <v>79</v>
      </c>
      <c r="Y1036" s="13" t="n">
        <v>61</v>
      </c>
      <c r="Z1036" s="13" t="n">
        <v>91</v>
      </c>
      <c r="AA1036" s="13" t="n">
        <v>11</v>
      </c>
      <c r="AB1036" s="13" t="n">
        <v>10.2</v>
      </c>
      <c r="AC1036" s="11" t="inlineStr">
        <is>
          <t xml:space="preserve"> On-Piste Carving</t>
        </is>
      </c>
      <c r="AD1036" s="13" t="n"/>
      <c r="AE1036" s="13" t="n"/>
      <c r="AF1036" s="13" t="n"/>
      <c r="AG1036" s="13" t="n"/>
    </row>
    <row r="1037">
      <c r="A1037" s="9" t="inlineStr">
        <is>
          <t>21/22</t>
        </is>
      </c>
      <c r="B1037" s="10" t="inlineStr">
        <is>
          <t xml:space="preserve"> Rossignol</t>
        </is>
      </c>
      <c r="C1037" s="11" t="inlineStr">
        <is>
          <t xml:space="preserve"> Hero Elite Multi Turn Ti</t>
        </is>
      </c>
      <c r="D1037" s="13" t="n">
        <v>167</v>
      </c>
      <c r="E1037" s="11" t="inlineStr">
        <is>
          <t xml:space="preserve"> Unisex</t>
        </is>
      </c>
      <c r="F1037" s="13" t="n">
        <v>167</v>
      </c>
      <c r="G1037" s="13" t="n">
        <v>167.5</v>
      </c>
      <c r="H1037" s="13" t="n">
        <v>147</v>
      </c>
      <c r="I1037" s="13" t="n">
        <v>154</v>
      </c>
      <c r="J1037" s="13" t="n">
        <v>122</v>
      </c>
      <c r="K1037" s="13" t="n">
        <v>73</v>
      </c>
      <c r="L1037" s="13" t="n">
        <v>108</v>
      </c>
      <c r="M1037" s="13" t="n">
        <v>14</v>
      </c>
      <c r="N1037" s="13" t="n">
        <v>1813</v>
      </c>
      <c r="O1037" s="13" t="n">
        <v>0.82</v>
      </c>
      <c r="P1037" s="13" t="n">
        <v>1492</v>
      </c>
      <c r="Q1037" s="13" t="n">
        <v>198</v>
      </c>
      <c r="R1037" s="13" t="n">
        <v>74</v>
      </c>
      <c r="S1037" s="13" t="n">
        <v>38</v>
      </c>
      <c r="T1037" s="13" t="n">
        <v>136</v>
      </c>
      <c r="U1037" s="13" t="n">
        <v>5</v>
      </c>
      <c r="V1037" s="13" t="n">
        <v>68</v>
      </c>
      <c r="W1037" s="13" t="n">
        <v>0.131</v>
      </c>
      <c r="X1037" s="13" t="n">
        <v>79</v>
      </c>
      <c r="Y1037" s="13" t="n">
        <v>59</v>
      </c>
      <c r="Z1037" s="13" t="n">
        <v>57</v>
      </c>
      <c r="AA1037" s="13" t="n">
        <v>10</v>
      </c>
      <c r="AB1037" s="13" t="n">
        <v>10.2</v>
      </c>
      <c r="AC1037" s="11" t="inlineStr">
        <is>
          <t xml:space="preserve"> On-Piste Carving</t>
        </is>
      </c>
      <c r="AD1037" s="13" t="n"/>
      <c r="AE1037" s="13" t="n"/>
      <c r="AF1037" s="13" t="n"/>
      <c r="AG1037" s="13" t="n"/>
    </row>
    <row r="1038">
      <c r="A1038" s="9" t="inlineStr">
        <is>
          <t>21/22</t>
        </is>
      </c>
      <c r="B1038" s="10" t="inlineStr">
        <is>
          <t xml:space="preserve"> Rossignol</t>
        </is>
      </c>
      <c r="C1038" s="11" t="inlineStr">
        <is>
          <t xml:space="preserve"> Hero Elite Multi Turn Ti</t>
        </is>
      </c>
      <c r="D1038" s="13" t="n">
        <v>175</v>
      </c>
      <c r="E1038" s="11" t="inlineStr">
        <is>
          <t xml:space="preserve"> Unisex</t>
        </is>
      </c>
      <c r="F1038" s="13" t="n">
        <v>175</v>
      </c>
      <c r="G1038" s="13" t="n">
        <v>174.6</v>
      </c>
      <c r="H1038" s="13" t="n">
        <v>154</v>
      </c>
      <c r="I1038" s="13" t="n">
        <v>161</v>
      </c>
      <c r="J1038" s="13" t="n">
        <v>122</v>
      </c>
      <c r="K1038" s="13" t="n">
        <v>73</v>
      </c>
      <c r="L1038" s="13" t="n">
        <v>108</v>
      </c>
      <c r="M1038" s="13" t="n">
        <v>15.3</v>
      </c>
      <c r="N1038" s="13" t="n">
        <v>1880</v>
      </c>
      <c r="O1038" s="13" t="n">
        <v>0.82</v>
      </c>
      <c r="P1038" s="13" t="n">
        <v>1542</v>
      </c>
      <c r="Q1038" s="13" t="n">
        <v>222</v>
      </c>
      <c r="R1038" s="13" t="n">
        <v>93</v>
      </c>
      <c r="S1038" s="13" t="n">
        <v>37</v>
      </c>
      <c r="T1038" s="13" t="n">
        <v>137</v>
      </c>
      <c r="U1038" s="13" t="n">
        <v>5</v>
      </c>
      <c r="V1038" s="13" t="n">
        <v>67</v>
      </c>
      <c r="W1038" s="13" t="n">
        <v>0.13</v>
      </c>
      <c r="X1038" s="13" t="n">
        <v>75</v>
      </c>
      <c r="Y1038" s="13" t="n">
        <v>62</v>
      </c>
      <c r="Z1038" s="13" t="n">
        <v>62</v>
      </c>
      <c r="AA1038" s="13" t="n">
        <v>11</v>
      </c>
      <c r="AB1038" s="13" t="n">
        <v>10.3</v>
      </c>
      <c r="AC1038" s="11" t="inlineStr">
        <is>
          <t xml:space="preserve"> On-Piste Carving</t>
        </is>
      </c>
      <c r="AD1038" s="13" t="n"/>
      <c r="AE1038" s="13" t="n"/>
      <c r="AF1038" s="13" t="n"/>
      <c r="AG1038" s="13" t="n"/>
    </row>
    <row r="1039">
      <c r="A1039" s="9" t="inlineStr">
        <is>
          <t>21/22</t>
        </is>
      </c>
      <c r="B1039" s="10" t="inlineStr">
        <is>
          <t xml:space="preserve"> Rossignol</t>
        </is>
      </c>
      <c r="C1039" s="11" t="inlineStr">
        <is>
          <t xml:space="preserve"> Hero Elite Plus Ti</t>
        </is>
      </c>
      <c r="D1039" s="13" t="n">
        <v>160</v>
      </c>
      <c r="E1039" s="11" t="inlineStr">
        <is>
          <t xml:space="preserve"> Unisex</t>
        </is>
      </c>
      <c r="F1039" s="13" t="n">
        <v>160</v>
      </c>
      <c r="G1039" s="13" t="n">
        <v>159.7</v>
      </c>
      <c r="H1039" s="13" t="n">
        <v>140</v>
      </c>
      <c r="I1039" s="13" t="n">
        <v>144</v>
      </c>
      <c r="J1039" s="13" t="n">
        <v>128</v>
      </c>
      <c r="K1039" s="13" t="n">
        <v>76</v>
      </c>
      <c r="L1039" s="13" t="n">
        <v>108</v>
      </c>
      <c r="M1039" s="13" t="n">
        <v>12.1</v>
      </c>
      <c r="N1039" s="13" t="n">
        <v>1969</v>
      </c>
      <c r="O1039" s="13" t="n">
        <v>0.75</v>
      </c>
      <c r="P1039" s="13" t="n">
        <v>1471</v>
      </c>
      <c r="Q1039" s="13" t="n">
        <v>187</v>
      </c>
      <c r="R1039" s="13" t="n">
        <v>91</v>
      </c>
      <c r="S1039" s="13" t="n">
        <v>39</v>
      </c>
      <c r="T1039" s="13" t="n">
        <v>137</v>
      </c>
      <c r="U1039" s="13" t="n">
        <v>5</v>
      </c>
      <c r="V1039" s="13" t="n">
        <v>65</v>
      </c>
      <c r="W1039" s="13" t="n">
        <v>0.119</v>
      </c>
      <c r="X1039" s="13" t="n">
        <v>91</v>
      </c>
      <c r="Y1039" s="13" t="n">
        <v>63</v>
      </c>
      <c r="Z1039" s="13" t="n">
        <v>46</v>
      </c>
      <c r="AA1039" s="13" t="n">
        <v>12</v>
      </c>
      <c r="AB1039" s="13" t="n">
        <v>10</v>
      </c>
      <c r="AC1039" s="11" t="inlineStr">
        <is>
          <t xml:space="preserve"> On-Piste Carving</t>
        </is>
      </c>
      <c r="AD1039" s="13" t="n"/>
      <c r="AE1039" s="13" t="n"/>
      <c r="AF1039" s="13" t="n"/>
      <c r="AG1039" s="13" t="n"/>
    </row>
    <row r="1040">
      <c r="A1040" s="9" t="inlineStr">
        <is>
          <t>21/22</t>
        </is>
      </c>
      <c r="B1040" s="10" t="inlineStr">
        <is>
          <t xml:space="preserve"> Rossignol</t>
        </is>
      </c>
      <c r="C1040" s="11" t="inlineStr">
        <is>
          <t xml:space="preserve"> Hero Elite Plus Ti</t>
        </is>
      </c>
      <c r="D1040" s="13" t="n">
        <v>167</v>
      </c>
      <c r="E1040" s="11" t="inlineStr">
        <is>
          <t xml:space="preserve"> Unisex</t>
        </is>
      </c>
      <c r="F1040" s="13" t="n">
        <v>167</v>
      </c>
      <c r="G1040" s="13" t="n">
        <v>166.3</v>
      </c>
      <c r="H1040" s="13" t="n">
        <v>145</v>
      </c>
      <c r="I1040" s="13" t="n">
        <v>151</v>
      </c>
      <c r="J1040" s="13" t="n">
        <v>128</v>
      </c>
      <c r="K1040" s="13" t="n">
        <v>76</v>
      </c>
      <c r="L1040" s="13" t="n">
        <v>108</v>
      </c>
      <c r="M1040" s="13" t="n">
        <v>13.4</v>
      </c>
      <c r="N1040" s="13" t="n">
        <v>2051</v>
      </c>
      <c r="O1040" s="13" t="n">
        <v>0.74</v>
      </c>
      <c r="P1040" s="13" t="n">
        <v>1528</v>
      </c>
      <c r="Q1040" s="13" t="n">
        <v>212</v>
      </c>
      <c r="R1040" s="13" t="n">
        <v>92</v>
      </c>
      <c r="S1040" s="13" t="n">
        <v>40</v>
      </c>
      <c r="T1040" s="13" t="n">
        <v>145</v>
      </c>
      <c r="U1040" s="13" t="n">
        <v>4</v>
      </c>
      <c r="V1040" s="13" t="n">
        <v>63</v>
      </c>
      <c r="W1040" s="13" t="n">
        <v>0.103</v>
      </c>
      <c r="X1040" s="13" t="n">
        <v>90</v>
      </c>
      <c r="Y1040" s="13" t="n">
        <v>61</v>
      </c>
      <c r="Z1040" s="13" t="n">
        <v>55</v>
      </c>
      <c r="AA1040" s="13" t="n">
        <v>13</v>
      </c>
      <c r="AB1040" s="13" t="n">
        <v>10.1</v>
      </c>
      <c r="AC1040" s="11" t="inlineStr">
        <is>
          <t xml:space="preserve"> On-Piste Carving</t>
        </is>
      </c>
      <c r="AD1040" s="13" t="n"/>
      <c r="AE1040" s="13" t="n"/>
      <c r="AF1040" s="13" t="n"/>
      <c r="AG1040" s="13" t="n"/>
    </row>
    <row r="1041">
      <c r="A1041" s="9" t="inlineStr">
        <is>
          <t>21/22</t>
        </is>
      </c>
      <c r="B1041" s="10" t="inlineStr">
        <is>
          <t xml:space="preserve"> Rossignol</t>
        </is>
      </c>
      <c r="C1041" s="11" t="inlineStr">
        <is>
          <t xml:space="preserve"> Hero Elite Plus Ti</t>
        </is>
      </c>
      <c r="D1041" s="13" t="n">
        <v>174</v>
      </c>
      <c r="E1041" s="11" t="inlineStr">
        <is>
          <t xml:space="preserve"> Unisex</t>
        </is>
      </c>
      <c r="F1041" s="13" t="n">
        <v>174</v>
      </c>
      <c r="G1041" s="13" t="n">
        <v>173.6</v>
      </c>
      <c r="H1041" s="13" t="n">
        <v>153</v>
      </c>
      <c r="I1041" s="13" t="n">
        <v>159</v>
      </c>
      <c r="J1041" s="13" t="n">
        <v>128</v>
      </c>
      <c r="K1041" s="13" t="n">
        <v>76</v>
      </c>
      <c r="L1041" s="13" t="n">
        <v>108</v>
      </c>
      <c r="M1041" s="13" t="n">
        <v>14.6</v>
      </c>
      <c r="N1041" s="13" t="n">
        <v>2198</v>
      </c>
      <c r="O1041" s="13" t="n">
        <v>0.73</v>
      </c>
      <c r="P1041" s="13" t="n">
        <v>1595</v>
      </c>
      <c r="Q1041" s="13" t="n">
        <v>239</v>
      </c>
      <c r="R1041" s="13" t="n">
        <v>103</v>
      </c>
      <c r="S1041" s="13" t="n">
        <v>38</v>
      </c>
      <c r="T1041" s="13" t="n">
        <v>141</v>
      </c>
      <c r="U1041" s="13" t="n">
        <v>4</v>
      </c>
      <c r="V1041" s="13" t="n">
        <v>64</v>
      </c>
      <c r="W1041" s="13" t="n">
        <v>0.115</v>
      </c>
      <c r="X1041" s="13" t="n">
        <v>85</v>
      </c>
      <c r="Y1041" s="13" t="n">
        <v>64</v>
      </c>
      <c r="Z1041" s="13" t="n">
        <v>56</v>
      </c>
      <c r="AA1041" s="13" t="n">
        <v>14</v>
      </c>
      <c r="AB1041" s="13" t="n">
        <v>10.1</v>
      </c>
      <c r="AC1041" s="11" t="inlineStr">
        <is>
          <t xml:space="preserve"> On-Piste Carving</t>
        </is>
      </c>
      <c r="AD1041" s="13" t="n"/>
      <c r="AE1041" s="13" t="n"/>
      <c r="AF1041" s="13" t="n"/>
      <c r="AG1041" s="13" t="n"/>
    </row>
    <row r="1042">
      <c r="A1042" s="9" t="inlineStr">
        <is>
          <t>21/22</t>
        </is>
      </c>
      <c r="B1042" s="10" t="inlineStr">
        <is>
          <t xml:space="preserve"> Rossignol</t>
        </is>
      </c>
      <c r="C1042" s="11" t="inlineStr">
        <is>
          <t xml:space="preserve"> Hero Elite Short Turn Ti</t>
        </is>
      </c>
      <c r="D1042" s="13" t="n">
        <v>162</v>
      </c>
      <c r="E1042" s="11" t="inlineStr">
        <is>
          <t xml:space="preserve"> Unisex</t>
        </is>
      </c>
      <c r="F1042" s="13" t="n">
        <v>162</v>
      </c>
      <c r="G1042" s="13" t="n">
        <v>160.6</v>
      </c>
      <c r="H1042" s="13" t="n">
        <v>140</v>
      </c>
      <c r="I1042" s="13" t="n">
        <v>146</v>
      </c>
      <c r="J1042" s="13" t="n">
        <v>121</v>
      </c>
      <c r="K1042" s="13" t="n">
        <v>67</v>
      </c>
      <c r="L1042" s="13" t="n">
        <v>102</v>
      </c>
      <c r="M1042" s="13" t="n">
        <v>11.6</v>
      </c>
      <c r="N1042" s="13" t="n">
        <v>1904</v>
      </c>
      <c r="O1042" s="13" t="n">
        <v>0.71</v>
      </c>
      <c r="P1042" s="13" t="n">
        <v>1351</v>
      </c>
      <c r="Q1042" s="13" t="n">
        <v>199</v>
      </c>
      <c r="R1042" s="13" t="n">
        <v>87</v>
      </c>
      <c r="S1042" s="13" t="n">
        <v>40</v>
      </c>
      <c r="T1042" s="13" t="n">
        <v>141</v>
      </c>
      <c r="U1042" s="13" t="n">
        <v>4</v>
      </c>
      <c r="V1042" s="13" t="n">
        <v>65</v>
      </c>
      <c r="W1042" s="13" t="n">
        <v>0.104</v>
      </c>
      <c r="X1042" s="13" t="n">
        <v>79</v>
      </c>
      <c r="Y1042" s="13" t="n">
        <v>63</v>
      </c>
      <c r="Z1042" s="13" t="n">
        <v>62</v>
      </c>
      <c r="AA1042" s="13" t="n">
        <v>12</v>
      </c>
      <c r="AB1042" s="13" t="n">
        <v>8.9</v>
      </c>
      <c r="AC1042" s="11" t="inlineStr">
        <is>
          <t xml:space="preserve"> On-Piste Carving</t>
        </is>
      </c>
      <c r="AD1042" s="13" t="n"/>
      <c r="AE1042" s="13" t="n"/>
      <c r="AF1042" s="13" t="n"/>
      <c r="AG1042" s="13" t="n"/>
    </row>
    <row r="1043">
      <c r="A1043" s="9" t="inlineStr">
        <is>
          <t>21/22</t>
        </is>
      </c>
      <c r="B1043" s="10" t="inlineStr">
        <is>
          <t xml:space="preserve"> Rossignol</t>
        </is>
      </c>
      <c r="C1043" s="11" t="inlineStr">
        <is>
          <t xml:space="preserve"> Hero Elite Short Turn Ti</t>
        </is>
      </c>
      <c r="D1043" s="13" t="n">
        <v>167</v>
      </c>
      <c r="E1043" s="11" t="inlineStr">
        <is>
          <t xml:space="preserve"> Unisex</t>
        </is>
      </c>
      <c r="F1043" s="13" t="n">
        <v>167</v>
      </c>
      <c r="G1043" s="13" t="n">
        <v>165.5</v>
      </c>
      <c r="H1043" s="13" t="n">
        <v>143</v>
      </c>
      <c r="I1043" s="13" t="n">
        <v>151</v>
      </c>
      <c r="J1043" s="13" t="n">
        <v>122</v>
      </c>
      <c r="K1043" s="13" t="n">
        <v>67</v>
      </c>
      <c r="L1043" s="13" t="n">
        <v>103</v>
      </c>
      <c r="M1043" s="13" t="n">
        <v>12.4</v>
      </c>
      <c r="N1043" s="13" t="n">
        <v>1963</v>
      </c>
      <c r="O1043" s="13" t="n">
        <v>0.71</v>
      </c>
      <c r="P1043" s="13" t="n">
        <v>1399</v>
      </c>
      <c r="Q1043" s="13" t="n">
        <v>209</v>
      </c>
      <c r="R1043" s="13" t="n">
        <v>86</v>
      </c>
      <c r="S1043" s="13" t="n">
        <v>40</v>
      </c>
      <c r="T1043" s="13" t="n">
        <v>157</v>
      </c>
      <c r="U1043" s="13" t="n">
        <v>5</v>
      </c>
      <c r="V1043" s="13" t="n">
        <v>70</v>
      </c>
      <c r="W1043" s="13" t="n">
        <v>0.129</v>
      </c>
      <c r="X1043" s="13" t="n">
        <v>76</v>
      </c>
      <c r="Y1043" s="13" t="n">
        <v>66</v>
      </c>
      <c r="Z1043" s="13" t="n">
        <v>81</v>
      </c>
      <c r="AA1043" s="13" t="n">
        <v>12</v>
      </c>
      <c r="AB1043" s="13" t="n">
        <v>10.5</v>
      </c>
      <c r="AC1043" s="11" t="inlineStr">
        <is>
          <t xml:space="preserve"> On-Piste Carving</t>
        </is>
      </c>
      <c r="AD1043" s="13" t="n"/>
      <c r="AE1043" s="13" t="n"/>
      <c r="AF1043" s="13" t="n"/>
      <c r="AG1043" s="13" t="n"/>
    </row>
    <row r="1044">
      <c r="A1044" s="9" t="inlineStr">
        <is>
          <t>21/22</t>
        </is>
      </c>
      <c r="B1044" s="10" t="inlineStr">
        <is>
          <t xml:space="preserve"> Rossignol</t>
        </is>
      </c>
      <c r="C1044" s="11" t="inlineStr">
        <is>
          <t xml:space="preserve"> Hero Elite Short Turn Ti</t>
        </is>
      </c>
      <c r="D1044" s="13" t="n">
        <v>172</v>
      </c>
      <c r="E1044" s="11" t="inlineStr">
        <is>
          <t xml:space="preserve"> Unisex</t>
        </is>
      </c>
      <c r="F1044" s="13" t="n">
        <v>172</v>
      </c>
      <c r="G1044" s="13" t="n">
        <v>170.5</v>
      </c>
      <c r="H1044" s="13" t="n">
        <v>150</v>
      </c>
      <c r="I1044" s="13" t="n">
        <v>157</v>
      </c>
      <c r="J1044" s="13" t="n">
        <v>121</v>
      </c>
      <c r="K1044" s="13" t="n">
        <v>66</v>
      </c>
      <c r="L1044" s="13" t="n">
        <v>102</v>
      </c>
      <c r="M1044" s="13" t="n">
        <v>13.3</v>
      </c>
      <c r="N1044" s="13" t="n">
        <v>2064</v>
      </c>
      <c r="O1044" s="13" t="n">
        <v>0.6899999999999999</v>
      </c>
      <c r="P1044" s="13" t="n">
        <v>1425</v>
      </c>
      <c r="Q1044" s="13" t="n">
        <v>229</v>
      </c>
      <c r="R1044" s="13" t="n">
        <v>103</v>
      </c>
      <c r="S1044" s="13" t="n">
        <v>40</v>
      </c>
      <c r="T1044" s="13" t="n">
        <v>141</v>
      </c>
      <c r="U1044" s="13" t="n">
        <v>4</v>
      </c>
      <c r="V1044" s="13" t="n">
        <v>64</v>
      </c>
      <c r="W1044" s="13" t="n">
        <v>0.11</v>
      </c>
      <c r="X1044" s="13" t="n">
        <v>76</v>
      </c>
      <c r="Y1044" s="13" t="n">
        <v>63</v>
      </c>
      <c r="Z1044" s="13" t="n">
        <v>65</v>
      </c>
      <c r="AA1044" s="13" t="n">
        <v>13</v>
      </c>
      <c r="AB1044" s="13" t="n">
        <v>11.1</v>
      </c>
      <c r="AC1044" s="11" t="inlineStr">
        <is>
          <t xml:space="preserve"> On-Piste Carving</t>
        </is>
      </c>
      <c r="AD1044" s="13" t="n"/>
      <c r="AE1044" s="13" t="n"/>
      <c r="AF1044" s="13" t="n"/>
      <c r="AG1044" s="13" t="n"/>
    </row>
    <row r="1045">
      <c r="A1045" s="9" t="inlineStr">
        <is>
          <t>21/22</t>
        </is>
      </c>
      <c r="B1045" s="10" t="inlineStr">
        <is>
          <t xml:space="preserve"> Rossignol</t>
        </is>
      </c>
      <c r="C1045" s="11" t="inlineStr">
        <is>
          <t>Hero Elite ST Ti (R22)</t>
        </is>
      </c>
      <c r="D1045" s="13" t="n">
        <v>157</v>
      </c>
      <c r="E1045" s="11" t="inlineStr">
        <is>
          <t xml:space="preserve"> Unisex</t>
        </is>
      </c>
      <c r="F1045" s="13" t="n">
        <v>157</v>
      </c>
      <c r="G1045" s="13" t="n">
        <v>155.4</v>
      </c>
      <c r="H1045" s="13" t="n">
        <v>135</v>
      </c>
      <c r="I1045" s="13" t="n">
        <v>142</v>
      </c>
      <c r="J1045" s="13" t="n">
        <v>121</v>
      </c>
      <c r="K1045" s="13" t="n">
        <v>67</v>
      </c>
      <c r="L1045" s="13" t="n">
        <v>102</v>
      </c>
      <c r="M1045" s="13" t="n">
        <v>10.8</v>
      </c>
      <c r="N1045" s="13" t="n">
        <v>2008</v>
      </c>
      <c r="O1045" s="13" t="n">
        <v>0.65</v>
      </c>
      <c r="P1045" s="13" t="n">
        <v>1308</v>
      </c>
      <c r="Q1045" s="13" t="n">
        <v>187</v>
      </c>
      <c r="R1045" s="13" t="n">
        <v>93</v>
      </c>
      <c r="S1045" s="13" t="n">
        <v>39</v>
      </c>
      <c r="T1045" s="13" t="n">
        <v>137</v>
      </c>
      <c r="U1045" s="13" t="n">
        <v>4</v>
      </c>
      <c r="V1045" s="13" t="n">
        <v>66</v>
      </c>
      <c r="W1045" s="13" t="n">
        <v>0.114</v>
      </c>
      <c r="X1045" s="13" t="n">
        <v>74</v>
      </c>
      <c r="Y1045" s="13" t="n">
        <v>62</v>
      </c>
      <c r="Z1045" s="13" t="n">
        <v>64</v>
      </c>
      <c r="AA1045" s="13" t="n">
        <v>11</v>
      </c>
      <c r="AB1045" s="13" t="n">
        <v>8.1</v>
      </c>
      <c r="AC1045" s="11" t="inlineStr">
        <is>
          <t xml:space="preserve"> On-Piste Carving</t>
        </is>
      </c>
      <c r="AD1045" s="13" t="n"/>
      <c r="AE1045" s="13" t="n"/>
      <c r="AF1045" s="13" t="n"/>
      <c r="AG1045" s="13" t="n"/>
    </row>
    <row r="1046">
      <c r="A1046" s="9" t="inlineStr">
        <is>
          <t>21/22</t>
        </is>
      </c>
      <c r="B1046" s="10" t="inlineStr">
        <is>
          <t xml:space="preserve"> Rossignol</t>
        </is>
      </c>
      <c r="C1046" s="11" t="inlineStr">
        <is>
          <t>Hero Elite ST Ti (R22)</t>
        </is>
      </c>
      <c r="D1046" s="13" t="n">
        <v>162</v>
      </c>
      <c r="E1046" s="11" t="inlineStr">
        <is>
          <t xml:space="preserve"> Unisex</t>
        </is>
      </c>
      <c r="F1046" s="13" t="n">
        <v>162</v>
      </c>
      <c r="G1046" s="13" t="n">
        <v>160.6</v>
      </c>
      <c r="H1046" s="13" t="n">
        <v>140</v>
      </c>
      <c r="I1046" s="13" t="n">
        <v>146</v>
      </c>
      <c r="J1046" s="13" t="n">
        <v>121</v>
      </c>
      <c r="K1046" s="13" t="n">
        <v>67</v>
      </c>
      <c r="L1046" s="13" t="n">
        <v>102</v>
      </c>
      <c r="M1046" s="13" t="n">
        <v>11.6</v>
      </c>
      <c r="N1046" s="13" t="n">
        <v>2056</v>
      </c>
      <c r="O1046" s="13" t="n">
        <v>0.66</v>
      </c>
      <c r="P1046" s="13" t="n">
        <v>1348</v>
      </c>
      <c r="Q1046" s="13" t="n">
        <v>197</v>
      </c>
      <c r="R1046" s="13" t="n">
        <v>90</v>
      </c>
      <c r="S1046" s="13" t="n">
        <v>39</v>
      </c>
      <c r="T1046" s="13" t="n">
        <v>137</v>
      </c>
      <c r="U1046" s="13" t="n">
        <v>4</v>
      </c>
      <c r="V1046" s="13" t="n">
        <v>65</v>
      </c>
      <c r="W1046" s="13" t="n">
        <v>0.111</v>
      </c>
      <c r="X1046" s="13" t="n">
        <v>78</v>
      </c>
      <c r="Y1046" s="13" t="n">
        <v>63</v>
      </c>
      <c r="Z1046" s="13" t="n">
        <v>59</v>
      </c>
      <c r="AA1046" s="13" t="n">
        <v>13</v>
      </c>
      <c r="AB1046" s="13" t="n">
        <v>8.9</v>
      </c>
      <c r="AC1046" s="11" t="inlineStr">
        <is>
          <t xml:space="preserve"> On-Piste Carving</t>
        </is>
      </c>
      <c r="AD1046" s="13" t="n"/>
      <c r="AE1046" s="13" t="n"/>
      <c r="AF1046" s="13" t="n"/>
      <c r="AG1046" s="13" t="n"/>
    </row>
    <row r="1047">
      <c r="A1047" s="9" t="inlineStr">
        <is>
          <t>21/22</t>
        </is>
      </c>
      <c r="B1047" s="10" t="inlineStr">
        <is>
          <t xml:space="preserve"> Rossignol</t>
        </is>
      </c>
      <c r="C1047" s="11" t="inlineStr">
        <is>
          <t>Hero Master M15 (R22)</t>
        </is>
      </c>
      <c r="D1047" s="13" t="n">
        <v>169</v>
      </c>
      <c r="E1047" s="11" t="inlineStr">
        <is>
          <t xml:space="preserve"> Unisex</t>
        </is>
      </c>
      <c r="F1047" s="13" t="n">
        <v>169</v>
      </c>
      <c r="G1047" s="13" t="n">
        <v>168.5</v>
      </c>
      <c r="H1047" s="13" t="n">
        <v>151</v>
      </c>
      <c r="I1047" s="13" t="n">
        <v>162</v>
      </c>
      <c r="J1047" s="13" t="n">
        <v>114</v>
      </c>
      <c r="K1047" s="13" t="n">
        <v>69</v>
      </c>
      <c r="L1047" s="13" t="n">
        <v>97</v>
      </c>
      <c r="M1047" s="13" t="n">
        <v>17.7</v>
      </c>
      <c r="N1047" s="13" t="n">
        <v>2109</v>
      </c>
      <c r="O1047" s="13" t="n">
        <v>0.65</v>
      </c>
      <c r="P1047" s="13" t="n">
        <v>1378</v>
      </c>
      <c r="Q1047" s="13" t="n">
        <v>236</v>
      </c>
      <c r="R1047" s="13" t="n">
        <v>138</v>
      </c>
      <c r="S1047" s="13" t="n">
        <v>32</v>
      </c>
      <c r="T1047" s="13" t="n">
        <v>119</v>
      </c>
      <c r="U1047" s="13" t="n">
        <v>5</v>
      </c>
      <c r="V1047" s="13" t="n">
        <v>60</v>
      </c>
      <c r="W1047" s="13" t="n">
        <v>0.167</v>
      </c>
      <c r="X1047" s="13" t="n">
        <v>29</v>
      </c>
      <c r="Y1047" s="13" t="n">
        <v>40</v>
      </c>
      <c r="Z1047" s="13" t="n">
        <v>90</v>
      </c>
      <c r="AA1047" s="13" t="n">
        <v>10</v>
      </c>
      <c r="AB1047" s="13" t="n">
        <v>8.199999999999999</v>
      </c>
      <c r="AC1047" s="11" t="inlineStr">
        <is>
          <t xml:space="preserve"> On-Piste Carving</t>
        </is>
      </c>
      <c r="AD1047" s="13" t="n"/>
      <c r="AE1047" s="13" t="n"/>
      <c r="AF1047" s="13" t="n"/>
      <c r="AG1047" s="13" t="n"/>
    </row>
    <row r="1048">
      <c r="A1048" s="9" t="inlineStr">
        <is>
          <t>21/22</t>
        </is>
      </c>
      <c r="B1048" s="10" t="inlineStr">
        <is>
          <t xml:space="preserve"> Rossignol</t>
        </is>
      </c>
      <c r="C1048" s="11" t="inlineStr">
        <is>
          <t>Hero Master M17 (R22)</t>
        </is>
      </c>
      <c r="D1048" s="13" t="n">
        <v>173</v>
      </c>
      <c r="E1048" s="11" t="inlineStr">
        <is>
          <t xml:space="preserve"> Unisex</t>
        </is>
      </c>
      <c r="F1048" s="13" t="n">
        <v>173</v>
      </c>
      <c r="G1048" s="13" t="n">
        <v>172.3</v>
      </c>
      <c r="H1048" s="13" t="n">
        <v>156</v>
      </c>
      <c r="I1048" s="13" t="n">
        <v>164</v>
      </c>
      <c r="J1048" s="13" t="n">
        <v>113</v>
      </c>
      <c r="K1048" s="13" t="n">
        <v>69</v>
      </c>
      <c r="L1048" s="13" t="n">
        <v>97</v>
      </c>
      <c r="M1048" s="13" t="n">
        <v>18.3</v>
      </c>
      <c r="N1048" s="13" t="n">
        <v>2175</v>
      </c>
      <c r="O1048" s="13" t="n">
        <v>0.65</v>
      </c>
      <c r="P1048" s="13" t="n">
        <v>1413</v>
      </c>
      <c r="Q1048" s="13" t="n">
        <v>249</v>
      </c>
      <c r="R1048" s="13" t="n">
        <v>143</v>
      </c>
      <c r="S1048" s="13" t="n">
        <v>30</v>
      </c>
      <c r="T1048" s="13" t="n">
        <v>111</v>
      </c>
      <c r="U1048" s="13" t="n">
        <v>4</v>
      </c>
      <c r="V1048" s="13" t="n">
        <v>54</v>
      </c>
      <c r="W1048" s="13" t="n">
        <v>0.148</v>
      </c>
      <c r="X1048" s="13" t="n">
        <v>41</v>
      </c>
      <c r="Y1048" s="13" t="n">
        <v>45</v>
      </c>
      <c r="Z1048" s="13" t="n">
        <v>70</v>
      </c>
      <c r="AA1048" s="13" t="n">
        <v>14</v>
      </c>
      <c r="AB1048" s="13" t="n">
        <v>8.300000000000001</v>
      </c>
      <c r="AC1048" s="11" t="inlineStr">
        <is>
          <t xml:space="preserve"> On-Piste Carving</t>
        </is>
      </c>
      <c r="AD1048" s="13" t="n"/>
      <c r="AE1048" s="13" t="n"/>
      <c r="AF1048" s="13" t="n"/>
      <c r="AG1048" s="13" t="n"/>
    </row>
    <row r="1049">
      <c r="A1049" s="9" t="inlineStr">
        <is>
          <t>21/22</t>
        </is>
      </c>
      <c r="B1049" s="10" t="inlineStr">
        <is>
          <t xml:space="preserve"> Rossignol</t>
        </is>
      </c>
      <c r="C1049" s="11" t="inlineStr">
        <is>
          <t>Hero Master M19 (R22)</t>
        </is>
      </c>
      <c r="D1049" s="13" t="n">
        <v>179</v>
      </c>
      <c r="E1049" s="11" t="inlineStr">
        <is>
          <t xml:space="preserve"> Unisex</t>
        </is>
      </c>
      <c r="F1049" s="13" t="n">
        <v>179</v>
      </c>
      <c r="G1049" s="13" t="n">
        <v>177.8</v>
      </c>
      <c r="H1049" s="13" t="n">
        <v>160</v>
      </c>
      <c r="I1049" s="13" t="n">
        <v>171</v>
      </c>
      <c r="J1049" s="13" t="n">
        <v>114</v>
      </c>
      <c r="K1049" s="13" t="n">
        <v>69</v>
      </c>
      <c r="L1049" s="13" t="n">
        <v>96</v>
      </c>
      <c r="M1049" s="13" t="n">
        <v>20.2</v>
      </c>
      <c r="N1049" s="13" t="n">
        <v>2241</v>
      </c>
      <c r="O1049" s="13" t="n">
        <v>0.65</v>
      </c>
      <c r="P1049" s="13" t="n">
        <v>1447</v>
      </c>
      <c r="Q1049" s="13" t="n">
        <v>271</v>
      </c>
      <c r="R1049" s="13" t="n">
        <v>164</v>
      </c>
      <c r="S1049" s="13" t="n">
        <v>31</v>
      </c>
      <c r="T1049" s="13" t="n">
        <v>121</v>
      </c>
      <c r="U1049" s="13" t="n">
        <v>5</v>
      </c>
      <c r="V1049" s="13" t="n">
        <v>58</v>
      </c>
      <c r="W1049" s="13" t="n">
        <v>0.156</v>
      </c>
      <c r="X1049" s="13" t="n">
        <v>30</v>
      </c>
      <c r="Y1049" s="13" t="n">
        <v>35</v>
      </c>
      <c r="Z1049" s="13" t="n">
        <v>91</v>
      </c>
      <c r="AA1049" s="13" t="n">
        <v>10</v>
      </c>
      <c r="AB1049" s="13" t="n">
        <v>8.800000000000001</v>
      </c>
      <c r="AC1049" s="11" t="inlineStr">
        <is>
          <t xml:space="preserve"> On-Piste Carving</t>
        </is>
      </c>
      <c r="AD1049" s="13" t="n"/>
      <c r="AE1049" s="13" t="n"/>
      <c r="AF1049" s="13" t="n"/>
      <c r="AG1049" s="13" t="n"/>
    </row>
    <row r="1050">
      <c r="A1050" s="9" t="inlineStr">
        <is>
          <t>21/22</t>
        </is>
      </c>
      <c r="B1050" s="10" t="inlineStr">
        <is>
          <t xml:space="preserve"> Rossignol</t>
        </is>
      </c>
      <c r="C1050" s="11" t="inlineStr">
        <is>
          <t>Hero Master M21 (R22)</t>
        </is>
      </c>
      <c r="D1050" s="13" t="n">
        <v>183</v>
      </c>
      <c r="E1050" s="11" t="inlineStr">
        <is>
          <t xml:space="preserve"> Unisex</t>
        </is>
      </c>
      <c r="F1050" s="13" t="n">
        <v>183</v>
      </c>
      <c r="G1050" s="13" t="n">
        <v>183.1</v>
      </c>
      <c r="H1050" s="13" t="n">
        <v>166</v>
      </c>
      <c r="I1050" s="13" t="n">
        <v>175</v>
      </c>
      <c r="J1050" s="13" t="n">
        <v>114</v>
      </c>
      <c r="K1050" s="13" t="n">
        <v>70</v>
      </c>
      <c r="L1050" s="13" t="n">
        <v>95</v>
      </c>
      <c r="M1050" s="13" t="n">
        <v>22.8</v>
      </c>
      <c r="N1050" s="13" t="n">
        <v>2376</v>
      </c>
      <c r="O1050" s="13" t="n">
        <v>0.63</v>
      </c>
      <c r="P1050" s="13" t="n">
        <v>1500</v>
      </c>
      <c r="Q1050" s="13" t="n">
        <v>306</v>
      </c>
      <c r="R1050" s="13" t="n">
        <v>173</v>
      </c>
      <c r="S1050" s="13" t="n">
        <v>31</v>
      </c>
      <c r="T1050" s="13" t="n">
        <v>113</v>
      </c>
      <c r="U1050" s="13" t="n">
        <v>5</v>
      </c>
      <c r="V1050" s="13" t="n">
        <v>53</v>
      </c>
      <c r="W1050" s="13" t="n">
        <v>0.153</v>
      </c>
      <c r="X1050" s="13" t="n">
        <v>32</v>
      </c>
      <c r="Y1050" s="13" t="n">
        <v>48</v>
      </c>
      <c r="Z1050" s="13" t="n">
        <v>82</v>
      </c>
      <c r="AA1050" s="13" t="n">
        <v>12</v>
      </c>
      <c r="AB1050" s="13" t="n">
        <v>8.9</v>
      </c>
      <c r="AC1050" s="11" t="inlineStr">
        <is>
          <t xml:space="preserve"> On-Piste Carving</t>
        </is>
      </c>
      <c r="AD1050" s="13" t="n"/>
      <c r="AE1050" s="13" t="n"/>
      <c r="AF1050" s="13" t="n"/>
      <c r="AG1050" s="13" t="n"/>
    </row>
    <row r="1051">
      <c r="A1051" s="9" t="inlineStr">
        <is>
          <t>21/22</t>
        </is>
      </c>
      <c r="B1051" s="10" t="inlineStr">
        <is>
          <t xml:space="preserve"> Rossignol</t>
        </is>
      </c>
      <c r="C1051" s="11" t="inlineStr">
        <is>
          <t>Nova 10 Ti</t>
        </is>
      </c>
      <c r="D1051" s="13" t="n">
        <v>153</v>
      </c>
      <c r="E1051" s="11" t="inlineStr">
        <is>
          <t xml:space="preserve"> Women's</t>
        </is>
      </c>
      <c r="F1051" s="13" t="n">
        <v>153</v>
      </c>
      <c r="G1051" s="13" t="n">
        <v>152.5</v>
      </c>
      <c r="H1051" s="13" t="n">
        <v>130</v>
      </c>
      <c r="I1051" s="13" t="n">
        <v>139</v>
      </c>
      <c r="J1051" s="13" t="n">
        <v>122</v>
      </c>
      <c r="K1051" s="13" t="n">
        <v>73</v>
      </c>
      <c r="L1051" s="13" t="n">
        <v>108</v>
      </c>
      <c r="M1051" s="13" t="n">
        <v>11.2</v>
      </c>
      <c r="N1051" s="13" t="n">
        <v>1630</v>
      </c>
      <c r="O1051" s="13" t="n">
        <v>0.83</v>
      </c>
      <c r="P1051" s="13" t="n">
        <v>1359</v>
      </c>
      <c r="Q1051" s="13" t="n">
        <v>180</v>
      </c>
      <c r="R1051" s="13" t="n">
        <v>77</v>
      </c>
      <c r="S1051" s="13" t="n">
        <v>39</v>
      </c>
      <c r="T1051" s="13" t="n">
        <v>149</v>
      </c>
      <c r="U1051" s="13" t="n">
        <v>6</v>
      </c>
      <c r="V1051" s="13" t="n">
        <v>73</v>
      </c>
      <c r="W1051" s="13" t="n">
        <v>0.15</v>
      </c>
      <c r="X1051" s="13" t="n">
        <v>75</v>
      </c>
      <c r="Y1051" s="13" t="n">
        <v>63</v>
      </c>
      <c r="Z1051" s="13" t="n">
        <v>74</v>
      </c>
      <c r="AA1051" s="13" t="n">
        <v>7</v>
      </c>
      <c r="AB1051" s="13" t="n">
        <v>9.6</v>
      </c>
      <c r="AC1051" s="11" t="inlineStr">
        <is>
          <t xml:space="preserve"> On-Piste Carving</t>
        </is>
      </c>
      <c r="AD1051" s="13" t="n"/>
      <c r="AE1051" s="13" t="n"/>
      <c r="AF1051" s="13" t="n"/>
      <c r="AG1051" s="13" t="n"/>
    </row>
    <row r="1052">
      <c r="A1052" s="9" t="inlineStr">
        <is>
          <t>21/22</t>
        </is>
      </c>
      <c r="B1052" s="10" t="inlineStr">
        <is>
          <t xml:space="preserve"> Rossignol</t>
        </is>
      </c>
      <c r="C1052" s="11" t="inlineStr">
        <is>
          <t>Nova 10 Ti</t>
        </is>
      </c>
      <c r="D1052" s="13" t="n">
        <v>160</v>
      </c>
      <c r="E1052" s="11" t="inlineStr">
        <is>
          <t xml:space="preserve"> Women's</t>
        </is>
      </c>
      <c r="F1052" s="13" t="n">
        <v>160</v>
      </c>
      <c r="G1052" s="13" t="n">
        <v>158.7</v>
      </c>
      <c r="H1052" s="13" t="n">
        <v>135</v>
      </c>
      <c r="I1052" s="13" t="n">
        <v>145</v>
      </c>
      <c r="J1052" s="13" t="n">
        <v>122</v>
      </c>
      <c r="K1052" s="13" t="n">
        <v>73</v>
      </c>
      <c r="L1052" s="13" t="n">
        <v>108</v>
      </c>
      <c r="M1052" s="13" t="n">
        <v>12.3</v>
      </c>
      <c r="N1052" s="13" t="n">
        <v>1660</v>
      </c>
      <c r="O1052" s="13" t="n">
        <v>0.85</v>
      </c>
      <c r="P1052" s="13" t="n">
        <v>1414</v>
      </c>
      <c r="Q1052" s="13" t="n">
        <v>171</v>
      </c>
      <c r="R1052" s="13" t="n">
        <v>72</v>
      </c>
      <c r="S1052" s="13" t="n">
        <v>39</v>
      </c>
      <c r="T1052" s="13" t="n">
        <v>169</v>
      </c>
      <c r="U1052" s="13" t="n">
        <v>5</v>
      </c>
      <c r="V1052" s="13" t="n">
        <v>67</v>
      </c>
      <c r="W1052" s="13" t="n">
        <v>0.119</v>
      </c>
      <c r="X1052" s="13" t="n">
        <v>80</v>
      </c>
      <c r="Y1052" s="13" t="n">
        <v>61</v>
      </c>
      <c r="Z1052" s="13" t="n">
        <v>90</v>
      </c>
      <c r="AA1052" s="13" t="n">
        <v>9</v>
      </c>
      <c r="AB1052" s="13" t="n">
        <v>9.4</v>
      </c>
      <c r="AC1052" s="11" t="inlineStr">
        <is>
          <t xml:space="preserve"> On-Piste Carving</t>
        </is>
      </c>
      <c r="AD1052" s="13" t="n"/>
      <c r="AE1052" s="13" t="n"/>
      <c r="AF1052" s="13" t="n"/>
      <c r="AG1052" s="13" t="n"/>
    </row>
    <row r="1053">
      <c r="A1053" s="9" t="inlineStr">
        <is>
          <t>21/22</t>
        </is>
      </c>
      <c r="B1053" s="10" t="inlineStr">
        <is>
          <t xml:space="preserve"> Rossignol</t>
        </is>
      </c>
      <c r="C1053" s="11" t="inlineStr">
        <is>
          <t>Nova 14 Ti</t>
        </is>
      </c>
      <c r="D1053" s="13" t="n">
        <v>160</v>
      </c>
      <c r="E1053" s="11" t="inlineStr">
        <is>
          <t xml:space="preserve"> Women's</t>
        </is>
      </c>
      <c r="F1053" s="13" t="n">
        <v>160</v>
      </c>
      <c r="G1053" s="13" t="n">
        <v>158.8</v>
      </c>
      <c r="H1053" s="13" t="n">
        <v>138</v>
      </c>
      <c r="I1053" s="13" t="n">
        <v>145</v>
      </c>
      <c r="J1053" s="13" t="n">
        <v>122</v>
      </c>
      <c r="K1053" s="13" t="n">
        <v>73</v>
      </c>
      <c r="L1053" s="13" t="n">
        <v>108</v>
      </c>
      <c r="M1053" s="13" t="n">
        <v>12.4</v>
      </c>
      <c r="N1053" s="13" t="n">
        <v>1739</v>
      </c>
      <c r="O1053" s="13" t="n">
        <v>0.8100000000000001</v>
      </c>
      <c r="P1053" s="13" t="n">
        <v>1410</v>
      </c>
      <c r="Q1053" s="13" t="n">
        <v>184</v>
      </c>
      <c r="R1053" s="13" t="n">
        <v>77</v>
      </c>
      <c r="S1053" s="13" t="n">
        <v>37</v>
      </c>
      <c r="T1053" s="13" t="n">
        <v>141</v>
      </c>
      <c r="U1053" s="13" t="n">
        <v>5</v>
      </c>
      <c r="V1053" s="13" t="n">
        <v>65</v>
      </c>
      <c r="W1053" s="13" t="n">
        <v>0.125</v>
      </c>
      <c r="X1053" s="13" t="n">
        <v>81</v>
      </c>
      <c r="Y1053" s="13" t="n">
        <v>59</v>
      </c>
      <c r="Z1053" s="13" t="n">
        <v>60</v>
      </c>
      <c r="AA1053" s="13" t="n">
        <v>9</v>
      </c>
      <c r="AB1053" s="13" t="n">
        <v>9.800000000000001</v>
      </c>
      <c r="AC1053" s="11" t="inlineStr">
        <is>
          <t xml:space="preserve"> On-Piste Carving</t>
        </is>
      </c>
      <c r="AD1053" s="13" t="n"/>
      <c r="AE1053" s="13" t="n"/>
      <c r="AF1053" s="13" t="n"/>
      <c r="AG1053" s="13" t="n"/>
    </row>
    <row r="1054">
      <c r="A1054" s="9" t="inlineStr">
        <is>
          <t>21/22</t>
        </is>
      </c>
      <c r="B1054" s="10" t="inlineStr">
        <is>
          <t xml:space="preserve"> Rossignol</t>
        </is>
      </c>
      <c r="C1054" s="11" t="inlineStr">
        <is>
          <t>Nova 2</t>
        </is>
      </c>
      <c r="D1054" s="13" t="n">
        <v>144</v>
      </c>
      <c r="E1054" s="11" t="inlineStr">
        <is>
          <t xml:space="preserve"> Women's</t>
        </is>
      </c>
      <c r="F1054" s="13" t="n">
        <v>144</v>
      </c>
      <c r="G1054" s="13" t="n">
        <v>144.3</v>
      </c>
      <c r="H1054" s="13" t="n">
        <v>124</v>
      </c>
      <c r="I1054" s="13" t="n">
        <v>129</v>
      </c>
      <c r="J1054" s="13" t="n">
        <v>121</v>
      </c>
      <c r="K1054" s="13" t="n">
        <v>74</v>
      </c>
      <c r="L1054" s="13" t="n">
        <v>107</v>
      </c>
      <c r="M1054" s="13" t="n">
        <v>10.2</v>
      </c>
      <c r="N1054" s="13" t="n">
        <v>1399</v>
      </c>
      <c r="O1054" s="13" t="n">
        <v>0.92</v>
      </c>
      <c r="P1054" s="13" t="n">
        <v>1285</v>
      </c>
      <c r="Q1054" s="13" t="n">
        <v>138</v>
      </c>
      <c r="R1054" s="13" t="n">
        <v>46</v>
      </c>
      <c r="S1054" s="13" t="n">
        <v>33</v>
      </c>
      <c r="T1054" s="13" t="n">
        <v>139</v>
      </c>
      <c r="U1054" s="13" t="n">
        <v>5</v>
      </c>
      <c r="V1054" s="13" t="n">
        <v>68</v>
      </c>
      <c r="W1054" s="13" t="n">
        <v>0.155</v>
      </c>
      <c r="X1054" s="13" t="n">
        <v>78</v>
      </c>
      <c r="Y1054" s="13" t="n">
        <v>79</v>
      </c>
      <c r="Z1054" s="13" t="n">
        <v>61</v>
      </c>
      <c r="AA1054" s="13" t="n">
        <v>8</v>
      </c>
      <c r="AB1054" s="13" t="n">
        <v>8</v>
      </c>
      <c r="AC1054" s="11" t="inlineStr">
        <is>
          <t xml:space="preserve"> On-Piste Carving</t>
        </is>
      </c>
      <c r="AD1054" s="11" t="inlineStr">
        <is>
          <t xml:space="preserve"> On-Piste All-Mountain</t>
        </is>
      </c>
      <c r="AE1054" s="13" t="n"/>
      <c r="AF1054" s="13" t="n"/>
      <c r="AG1054" s="13" t="n"/>
    </row>
    <row r="1055">
      <c r="A1055" s="9" t="inlineStr">
        <is>
          <t>21/22</t>
        </is>
      </c>
      <c r="B1055" s="10" t="inlineStr">
        <is>
          <t xml:space="preserve"> Rossignol</t>
        </is>
      </c>
      <c r="C1055" s="11" t="inlineStr">
        <is>
          <t>Nova 2</t>
        </is>
      </c>
      <c r="D1055" s="13" t="n">
        <v>152</v>
      </c>
      <c r="E1055" s="11" t="inlineStr">
        <is>
          <t xml:space="preserve"> Women's</t>
        </is>
      </c>
      <c r="F1055" s="13" t="n">
        <v>152</v>
      </c>
      <c r="G1055" s="13" t="n">
        <v>152.4</v>
      </c>
      <c r="H1055" s="13" t="n">
        <v>131</v>
      </c>
      <c r="I1055" s="13" t="n">
        <v>136</v>
      </c>
      <c r="J1055" s="13" t="n">
        <v>121</v>
      </c>
      <c r="K1055" s="13" t="n">
        <v>74</v>
      </c>
      <c r="L1055" s="13" t="n">
        <v>107</v>
      </c>
      <c r="M1055" s="13" t="n">
        <v>11.7</v>
      </c>
      <c r="N1055" s="13" t="n">
        <v>1433</v>
      </c>
      <c r="O1055" s="13" t="n">
        <v>0.95</v>
      </c>
      <c r="P1055" s="13" t="n">
        <v>1357</v>
      </c>
      <c r="Q1055" s="13" t="n">
        <v>134</v>
      </c>
      <c r="R1055" s="13" t="n">
        <v>45</v>
      </c>
      <c r="S1055" s="13" t="n">
        <v>35</v>
      </c>
      <c r="T1055" s="13" t="n">
        <v>143</v>
      </c>
      <c r="U1055" s="13" t="n">
        <v>6</v>
      </c>
      <c r="V1055" s="13" t="n">
        <v>69</v>
      </c>
      <c r="W1055" s="13" t="n">
        <v>0.157</v>
      </c>
      <c r="X1055" s="13" t="n">
        <v>81</v>
      </c>
      <c r="Y1055" s="13" t="n">
        <v>79</v>
      </c>
      <c r="Z1055" s="13" t="n">
        <v>62</v>
      </c>
      <c r="AA1055" s="13" t="n">
        <v>9</v>
      </c>
      <c r="AB1055" s="13" t="n">
        <v>8.1</v>
      </c>
      <c r="AC1055" s="11" t="inlineStr">
        <is>
          <t xml:space="preserve"> On-Piste Carving</t>
        </is>
      </c>
      <c r="AD1055" s="11" t="inlineStr">
        <is>
          <t xml:space="preserve"> On-Piste All-Mountain</t>
        </is>
      </c>
      <c r="AE1055" s="13" t="n"/>
      <c r="AF1055" s="13" t="n"/>
      <c r="AG1055" s="13" t="n"/>
    </row>
    <row r="1056">
      <c r="A1056" s="9" t="inlineStr">
        <is>
          <t>21/22</t>
        </is>
      </c>
      <c r="B1056" s="10" t="inlineStr">
        <is>
          <t xml:space="preserve"> Rossignol</t>
        </is>
      </c>
      <c r="C1056" s="11" t="inlineStr">
        <is>
          <t>Nova 2</t>
        </is>
      </c>
      <c r="D1056" s="13" t="n">
        <v>160</v>
      </c>
      <c r="E1056" s="11" t="inlineStr">
        <is>
          <t xml:space="preserve"> Women's</t>
        </is>
      </c>
      <c r="F1056" s="13" t="n">
        <v>160</v>
      </c>
      <c r="G1056" s="13" t="n">
        <v>160.5</v>
      </c>
      <c r="H1056" s="13" t="n">
        <v>139</v>
      </c>
      <c r="I1056" s="13" t="n">
        <v>145</v>
      </c>
      <c r="J1056" s="13" t="n">
        <v>121</v>
      </c>
      <c r="K1056" s="13" t="n">
        <v>74</v>
      </c>
      <c r="L1056" s="13" t="n">
        <v>107</v>
      </c>
      <c r="M1056" s="13" t="n">
        <v>13</v>
      </c>
      <c r="N1056" s="13" t="n">
        <v>1546</v>
      </c>
      <c r="O1056" s="13" t="n">
        <v>0.92</v>
      </c>
      <c r="P1056" s="13" t="n">
        <v>1427</v>
      </c>
      <c r="Q1056" s="13" t="n">
        <v>151</v>
      </c>
      <c r="R1056" s="13" t="n">
        <v>51</v>
      </c>
      <c r="S1056" s="13" t="n">
        <v>38</v>
      </c>
      <c r="T1056" s="13" t="n">
        <v>148</v>
      </c>
      <c r="U1056" s="13" t="n">
        <v>5</v>
      </c>
      <c r="V1056" s="13" t="n">
        <v>71</v>
      </c>
      <c r="W1056" s="13" t="n">
        <v>0.139</v>
      </c>
      <c r="X1056" s="13" t="n">
        <v>81</v>
      </c>
      <c r="Y1056" s="13" t="n">
        <v>79</v>
      </c>
      <c r="Z1056" s="13" t="n">
        <v>67</v>
      </c>
      <c r="AA1056" s="13" t="n">
        <v>9</v>
      </c>
      <c r="AB1056" s="13" t="n">
        <v>8.5</v>
      </c>
      <c r="AC1056" s="11" t="inlineStr">
        <is>
          <t xml:space="preserve"> On-Piste Carving</t>
        </is>
      </c>
      <c r="AD1056" s="13" t="n"/>
      <c r="AE1056" s="13" t="n"/>
      <c r="AF1056" s="13" t="n"/>
      <c r="AG1056" s="13" t="n"/>
    </row>
    <row r="1057">
      <c r="A1057" s="9" t="inlineStr">
        <is>
          <t>21/22</t>
        </is>
      </c>
      <c r="B1057" s="10" t="inlineStr">
        <is>
          <t xml:space="preserve"> Rossignol</t>
        </is>
      </c>
      <c r="C1057" s="11" t="inlineStr">
        <is>
          <t>Nova 6</t>
        </is>
      </c>
      <c r="D1057" s="13" t="n">
        <v>149</v>
      </c>
      <c r="E1057" s="11" t="inlineStr">
        <is>
          <t xml:space="preserve"> Women's</t>
        </is>
      </c>
      <c r="F1057" s="13" t="n">
        <v>149</v>
      </c>
      <c r="G1057" s="13" t="n">
        <v>148.9</v>
      </c>
      <c r="H1057" s="13" t="n">
        <v>128</v>
      </c>
      <c r="I1057" s="13" t="n">
        <v>135</v>
      </c>
      <c r="J1057" s="13" t="n">
        <v>122</v>
      </c>
      <c r="K1057" s="13" t="n">
        <v>73</v>
      </c>
      <c r="L1057" s="13" t="n">
        <v>109</v>
      </c>
      <c r="M1057" s="13" t="n">
        <v>10.5</v>
      </c>
      <c r="N1057" s="13" t="n">
        <v>1459</v>
      </c>
      <c r="O1057" s="13" t="n">
        <v>0.91</v>
      </c>
      <c r="P1057" s="13" t="n">
        <v>1325</v>
      </c>
      <c r="Q1057" s="13" t="n">
        <v>133</v>
      </c>
      <c r="R1057" s="13" t="n">
        <v>48</v>
      </c>
      <c r="S1057" s="13" t="n">
        <v>38</v>
      </c>
      <c r="T1057" s="13" t="n">
        <v>150</v>
      </c>
      <c r="U1057" s="13" t="n">
        <v>6</v>
      </c>
      <c r="V1057" s="13" t="n">
        <v>59</v>
      </c>
      <c r="W1057" s="13" t="n">
        <v>0.162</v>
      </c>
      <c r="X1057" s="13" t="n">
        <v>73</v>
      </c>
      <c r="Y1057" s="13" t="n">
        <v>62</v>
      </c>
      <c r="Z1057" s="13" t="n">
        <v>77</v>
      </c>
      <c r="AA1057" s="13" t="n">
        <v>9</v>
      </c>
      <c r="AB1057" s="13" t="n">
        <v>10</v>
      </c>
      <c r="AC1057" s="11" t="inlineStr">
        <is>
          <t xml:space="preserve"> On-Piste Carving</t>
        </is>
      </c>
      <c r="AD1057" s="13" t="n"/>
      <c r="AE1057" s="13" t="n"/>
      <c r="AF1057" s="13" t="n"/>
      <c r="AG1057" s="13" t="n"/>
    </row>
    <row r="1058">
      <c r="A1058" s="9" t="inlineStr">
        <is>
          <t>21/22</t>
        </is>
      </c>
      <c r="B1058" s="10" t="inlineStr">
        <is>
          <t xml:space="preserve"> Rossignol</t>
        </is>
      </c>
      <c r="C1058" s="11" t="inlineStr">
        <is>
          <t>Nova 6</t>
        </is>
      </c>
      <c r="D1058" s="13" t="n">
        <v>156</v>
      </c>
      <c r="E1058" s="11" t="inlineStr">
        <is>
          <t xml:space="preserve"> Women's</t>
        </is>
      </c>
      <c r="F1058" s="13" t="n">
        <v>156</v>
      </c>
      <c r="G1058" s="13" t="n">
        <v>155.7</v>
      </c>
      <c r="H1058" s="13" t="n">
        <v>136</v>
      </c>
      <c r="I1058" s="13" t="n">
        <v>142</v>
      </c>
      <c r="J1058" s="13" t="n">
        <v>122</v>
      </c>
      <c r="K1058" s="13" t="n">
        <v>73</v>
      </c>
      <c r="L1058" s="13" t="n">
        <v>109</v>
      </c>
      <c r="M1058" s="13" t="n">
        <v>11.7</v>
      </c>
      <c r="N1058" s="13" t="n">
        <v>1516</v>
      </c>
      <c r="O1058" s="13" t="n">
        <v>0.91</v>
      </c>
      <c r="P1058" s="13" t="n">
        <v>1383</v>
      </c>
      <c r="Q1058" s="13" t="n">
        <v>135</v>
      </c>
      <c r="R1058" s="13" t="n">
        <v>55</v>
      </c>
      <c r="S1058" s="13" t="n">
        <v>37</v>
      </c>
      <c r="T1058" s="13" t="n">
        <v>145</v>
      </c>
      <c r="U1058" s="13" t="n">
        <v>4</v>
      </c>
      <c r="V1058" s="13" t="n">
        <v>53</v>
      </c>
      <c r="W1058" s="13" t="n">
        <v>0.121</v>
      </c>
      <c r="X1058" s="13" t="n">
        <v>72</v>
      </c>
      <c r="Y1058" s="13" t="n">
        <v>61</v>
      </c>
      <c r="Z1058" s="13" t="n">
        <v>74</v>
      </c>
      <c r="AA1058" s="13" t="n">
        <v>11</v>
      </c>
      <c r="AB1058" s="13" t="n">
        <v>9.5</v>
      </c>
      <c r="AC1058" s="11" t="inlineStr">
        <is>
          <t xml:space="preserve"> On-Piste Carving</t>
        </is>
      </c>
      <c r="AD1058" s="13" t="n"/>
      <c r="AE1058" s="13" t="n"/>
      <c r="AF1058" s="13" t="n"/>
      <c r="AG1058" s="13" t="n"/>
    </row>
    <row r="1059">
      <c r="A1059" s="9" t="inlineStr">
        <is>
          <t>21/22</t>
        </is>
      </c>
      <c r="B1059" s="10" t="inlineStr">
        <is>
          <t xml:space="preserve"> Rossignol</t>
        </is>
      </c>
      <c r="C1059" s="11" t="inlineStr">
        <is>
          <t>Nova 6</t>
        </is>
      </c>
      <c r="D1059" s="13" t="n">
        <v>163</v>
      </c>
      <c r="E1059" s="11" t="inlineStr">
        <is>
          <t xml:space="preserve"> Women's</t>
        </is>
      </c>
      <c r="F1059" s="13" t="n">
        <v>163</v>
      </c>
      <c r="G1059" s="13" t="n">
        <v>162.5</v>
      </c>
      <c r="H1059" s="13" t="n">
        <v>142</v>
      </c>
      <c r="I1059" s="13" t="n">
        <v>150</v>
      </c>
      <c r="J1059" s="13" t="n">
        <v>123</v>
      </c>
      <c r="K1059" s="13" t="n">
        <v>73</v>
      </c>
      <c r="L1059" s="13" t="n">
        <v>109</v>
      </c>
      <c r="M1059" s="13" t="n">
        <v>13</v>
      </c>
      <c r="N1059" s="13" t="n">
        <v>1615</v>
      </c>
      <c r="O1059" s="13" t="n">
        <v>0.89</v>
      </c>
      <c r="P1059" s="13" t="n">
        <v>1444</v>
      </c>
      <c r="Q1059" s="13" t="n">
        <v>149</v>
      </c>
      <c r="R1059" s="13" t="n">
        <v>60</v>
      </c>
      <c r="S1059" s="13" t="n">
        <v>38</v>
      </c>
      <c r="T1059" s="13" t="n">
        <v>154</v>
      </c>
      <c r="U1059" s="13" t="n">
        <v>4</v>
      </c>
      <c r="V1059" s="13" t="n">
        <v>54</v>
      </c>
      <c r="W1059" s="13" t="n">
        <v>0.118</v>
      </c>
      <c r="X1059" s="13" t="n">
        <v>69</v>
      </c>
      <c r="Y1059" s="13" t="n">
        <v>61</v>
      </c>
      <c r="Z1059" s="13" t="n">
        <v>85</v>
      </c>
      <c r="AA1059" s="13" t="n">
        <v>12</v>
      </c>
      <c r="AB1059" s="13" t="n">
        <v>9.5</v>
      </c>
      <c r="AC1059" s="11" t="inlineStr">
        <is>
          <t xml:space="preserve"> On-Piste Carving</t>
        </is>
      </c>
      <c r="AD1059" s="13" t="n"/>
      <c r="AE1059" s="13" t="n"/>
      <c r="AF1059" s="13" t="n"/>
      <c r="AG1059" s="13" t="n"/>
    </row>
    <row r="1060">
      <c r="A1060" s="9" t="inlineStr">
        <is>
          <t>21/22</t>
        </is>
      </c>
      <c r="B1060" s="10" t="inlineStr">
        <is>
          <t xml:space="preserve"> Rossignol</t>
        </is>
      </c>
      <c r="C1060" s="11" t="inlineStr">
        <is>
          <t>React 2</t>
        </is>
      </c>
      <c r="D1060" s="13" t="n">
        <v>154</v>
      </c>
      <c r="E1060" s="11" t="inlineStr">
        <is>
          <t xml:space="preserve"> Unisex</t>
        </is>
      </c>
      <c r="F1060" s="13" t="n">
        <v>154</v>
      </c>
      <c r="G1060" s="13" t="n">
        <v>152.3</v>
      </c>
      <c r="H1060" s="13" t="n">
        <v>132</v>
      </c>
      <c r="I1060" s="13" t="n">
        <v>137</v>
      </c>
      <c r="J1060" s="13" t="n">
        <v>121</v>
      </c>
      <c r="K1060" s="13" t="n">
        <v>74</v>
      </c>
      <c r="L1060" s="13" t="n">
        <v>107</v>
      </c>
      <c r="M1060" s="13" t="n">
        <v>11.7</v>
      </c>
      <c r="N1060" s="13" t="n">
        <v>1410</v>
      </c>
      <c r="O1060" s="13" t="n">
        <v>0.96</v>
      </c>
      <c r="P1060" s="13" t="n">
        <v>1356</v>
      </c>
      <c r="Q1060" s="13" t="n">
        <v>140</v>
      </c>
      <c r="R1060" s="13" t="n">
        <v>51</v>
      </c>
      <c r="S1060" s="13" t="n">
        <v>33</v>
      </c>
      <c r="T1060" s="13" t="n">
        <v>136</v>
      </c>
      <c r="U1060" s="13" t="n">
        <v>5</v>
      </c>
      <c r="V1060" s="13" t="n">
        <v>64</v>
      </c>
      <c r="W1060" s="13" t="n">
        <v>0.143</v>
      </c>
      <c r="X1060" s="13" t="n">
        <v>78</v>
      </c>
      <c r="Y1060" s="13" t="n">
        <v>80</v>
      </c>
      <c r="Z1060" s="13" t="n">
        <v>58</v>
      </c>
      <c r="AA1060" s="13" t="n">
        <v>12</v>
      </c>
      <c r="AB1060" s="13" t="n">
        <v>8</v>
      </c>
      <c r="AC1060" s="11" t="inlineStr">
        <is>
          <t xml:space="preserve"> On-Piste Carving</t>
        </is>
      </c>
      <c r="AD1060" s="11" t="inlineStr">
        <is>
          <t xml:space="preserve"> On-Piste All-Mountain</t>
        </is>
      </c>
      <c r="AE1060" s="13" t="n"/>
      <c r="AF1060" s="13" t="n"/>
      <c r="AG1060" s="13" t="n"/>
    </row>
    <row r="1061">
      <c r="A1061" s="9" t="inlineStr">
        <is>
          <t>21/22</t>
        </is>
      </c>
      <c r="B1061" s="10" t="inlineStr">
        <is>
          <t xml:space="preserve"> Rossignol</t>
        </is>
      </c>
      <c r="C1061" s="11" t="inlineStr">
        <is>
          <t>React 2</t>
        </is>
      </c>
      <c r="D1061" s="13" t="n">
        <v>162</v>
      </c>
      <c r="E1061" s="11" t="inlineStr">
        <is>
          <t xml:space="preserve"> Unisex</t>
        </is>
      </c>
      <c r="F1061" s="13" t="n">
        <v>162</v>
      </c>
      <c r="G1061" s="13" t="n">
        <v>160.3</v>
      </c>
      <c r="H1061" s="13" t="n">
        <v>139</v>
      </c>
      <c r="I1061" s="13" t="n">
        <v>144</v>
      </c>
      <c r="J1061" s="13" t="n">
        <v>121</v>
      </c>
      <c r="K1061" s="13" t="n">
        <v>74</v>
      </c>
      <c r="L1061" s="13" t="n">
        <v>107</v>
      </c>
      <c r="M1061" s="13" t="n">
        <v>13.1</v>
      </c>
      <c r="N1061" s="13" t="n">
        <v>1527</v>
      </c>
      <c r="O1061" s="13" t="n">
        <v>0.93</v>
      </c>
      <c r="P1061" s="13" t="n">
        <v>1426</v>
      </c>
      <c r="Q1061" s="13" t="n">
        <v>158</v>
      </c>
      <c r="R1061" s="13" t="n">
        <v>55</v>
      </c>
      <c r="S1061" s="13" t="n">
        <v>36</v>
      </c>
      <c r="T1061" s="13" t="n">
        <v>142</v>
      </c>
      <c r="U1061" s="13" t="n">
        <v>5</v>
      </c>
      <c r="V1061" s="13" t="n">
        <v>68</v>
      </c>
      <c r="W1061" s="13" t="n">
        <v>0.144</v>
      </c>
      <c r="X1061" s="13" t="n">
        <v>81</v>
      </c>
      <c r="Y1061" s="13" t="n">
        <v>78</v>
      </c>
      <c r="Z1061" s="13" t="n">
        <v>61</v>
      </c>
      <c r="AA1061" s="13" t="n">
        <v>11</v>
      </c>
      <c r="AB1061" s="13" t="n">
        <v>8.199999999999999</v>
      </c>
      <c r="AC1061" s="11" t="inlineStr">
        <is>
          <t xml:space="preserve"> On-Piste Carving</t>
        </is>
      </c>
      <c r="AD1061" s="13" t="n"/>
      <c r="AE1061" s="13" t="n"/>
      <c r="AF1061" s="13" t="n"/>
      <c r="AG1061" s="13" t="n"/>
    </row>
    <row r="1062">
      <c r="A1062" s="9" t="inlineStr">
        <is>
          <t>21/22</t>
        </is>
      </c>
      <c r="B1062" s="10" t="inlineStr">
        <is>
          <t xml:space="preserve"> Rossignol</t>
        </is>
      </c>
      <c r="C1062" s="11" t="inlineStr">
        <is>
          <t>React 2</t>
        </is>
      </c>
      <c r="D1062" s="13" t="n">
        <v>170</v>
      </c>
      <c r="E1062" s="11" t="inlineStr">
        <is>
          <t xml:space="preserve"> Unisex</t>
        </is>
      </c>
      <c r="F1062" s="13" t="n">
        <v>170</v>
      </c>
      <c r="G1062" s="13" t="n">
        <v>168.4</v>
      </c>
      <c r="H1062" s="13" t="n">
        <v>148</v>
      </c>
      <c r="I1062" s="13" t="n">
        <v>153</v>
      </c>
      <c r="J1062" s="13" t="n">
        <v>121</v>
      </c>
      <c r="K1062" s="13" t="n">
        <v>74</v>
      </c>
      <c r="L1062" s="13" t="n">
        <v>107</v>
      </c>
      <c r="M1062" s="13" t="n">
        <v>14.6</v>
      </c>
      <c r="N1062" s="13" t="n">
        <v>1594</v>
      </c>
      <c r="O1062" s="13" t="n">
        <v>0.9399999999999999</v>
      </c>
      <c r="P1062" s="13" t="n">
        <v>1497</v>
      </c>
      <c r="Q1062" s="13" t="n">
        <v>179</v>
      </c>
      <c r="R1062" s="13" t="n">
        <v>61</v>
      </c>
      <c r="S1062" s="13" t="n">
        <v>35</v>
      </c>
      <c r="T1062" s="13" t="n">
        <v>141</v>
      </c>
      <c r="U1062" s="13" t="n">
        <v>5</v>
      </c>
      <c r="V1062" s="13" t="n">
        <v>64</v>
      </c>
      <c r="W1062" s="13" t="n">
        <v>0.141</v>
      </c>
      <c r="X1062" s="13" t="n">
        <v>78</v>
      </c>
      <c r="Y1062" s="13" t="n">
        <v>80</v>
      </c>
      <c r="Z1062" s="13" t="n">
        <v>63</v>
      </c>
      <c r="AA1062" s="13" t="n">
        <v>12</v>
      </c>
      <c r="AB1062" s="13" t="n">
        <v>8.5</v>
      </c>
      <c r="AC1062" s="11" t="inlineStr">
        <is>
          <t xml:space="preserve"> On-Piste Carving</t>
        </is>
      </c>
      <c r="AD1062" s="13" t="n"/>
      <c r="AE1062" s="13" t="n"/>
      <c r="AF1062" s="13" t="n"/>
      <c r="AG1062" s="13" t="n"/>
    </row>
    <row r="1063">
      <c r="A1063" s="9" t="inlineStr">
        <is>
          <t>21/22</t>
        </is>
      </c>
      <c r="B1063" s="10" t="inlineStr">
        <is>
          <t xml:space="preserve"> Rossignol</t>
        </is>
      </c>
      <c r="C1063" s="11" t="inlineStr">
        <is>
          <t>React 2</t>
        </is>
      </c>
      <c r="D1063" s="13" t="n">
        <v>176</v>
      </c>
      <c r="E1063" s="11" t="inlineStr">
        <is>
          <t xml:space="preserve"> Unisex</t>
        </is>
      </c>
      <c r="F1063" s="13" t="n">
        <v>176</v>
      </c>
      <c r="G1063" s="13" t="n">
        <v>176.3</v>
      </c>
      <c r="H1063" s="13" t="n">
        <v>156</v>
      </c>
      <c r="I1063" s="13" t="n">
        <v>160</v>
      </c>
      <c r="J1063" s="13" t="n">
        <v>121</v>
      </c>
      <c r="K1063" s="13" t="n">
        <v>74</v>
      </c>
      <c r="L1063" s="13" t="n">
        <v>107</v>
      </c>
      <c r="M1063" s="13" t="n">
        <v>16.5</v>
      </c>
      <c r="N1063" s="13" t="n">
        <v>1646</v>
      </c>
      <c r="O1063" s="13" t="n">
        <v>0.95</v>
      </c>
      <c r="P1063" s="13" t="n">
        <v>1563</v>
      </c>
      <c r="Q1063" s="13" t="n">
        <v>191</v>
      </c>
      <c r="R1063" s="13" t="n">
        <v>67</v>
      </c>
      <c r="S1063" s="13" t="n">
        <v>35</v>
      </c>
      <c r="T1063" s="13" t="n">
        <v>141</v>
      </c>
      <c r="U1063" s="13" t="n">
        <v>5</v>
      </c>
      <c r="V1063" s="13" t="n">
        <v>66</v>
      </c>
      <c r="W1063" s="13" t="n">
        <v>0.142</v>
      </c>
      <c r="X1063" s="13" t="n">
        <v>81</v>
      </c>
      <c r="Y1063" s="13" t="n">
        <v>83</v>
      </c>
      <c r="Z1063" s="13" t="n">
        <v>60</v>
      </c>
      <c r="AA1063" s="13" t="n">
        <v>13</v>
      </c>
      <c r="AB1063" s="13" t="n">
        <v>8.699999999999999</v>
      </c>
      <c r="AC1063" s="11" t="inlineStr">
        <is>
          <t xml:space="preserve"> On-Piste Carving</t>
        </is>
      </c>
      <c r="AD1063" s="13" t="n"/>
      <c r="AE1063" s="13" t="n"/>
      <c r="AF1063" s="13" t="n"/>
      <c r="AG1063" s="13" t="n"/>
    </row>
    <row r="1064">
      <c r="A1064" s="9" t="inlineStr">
        <is>
          <t>21/22</t>
        </is>
      </c>
      <c r="B1064" s="10" t="inlineStr">
        <is>
          <t xml:space="preserve"> Rossignol</t>
        </is>
      </c>
      <c r="C1064" s="11" t="inlineStr">
        <is>
          <t>React 6 Compact</t>
        </is>
      </c>
      <c r="D1064" s="13" t="n">
        <v>163</v>
      </c>
      <c r="E1064" s="11" t="inlineStr">
        <is>
          <t xml:space="preserve"> Unisex</t>
        </is>
      </c>
      <c r="F1064" s="13" t="n">
        <v>163</v>
      </c>
      <c r="G1064" s="13" t="n">
        <v>162.5</v>
      </c>
      <c r="H1064" s="13" t="n">
        <v>142</v>
      </c>
      <c r="I1064" s="13" t="n">
        <v>149</v>
      </c>
      <c r="J1064" s="13" t="n">
        <v>122</v>
      </c>
      <c r="K1064" s="13" t="n">
        <v>73</v>
      </c>
      <c r="L1064" s="13" t="n">
        <v>108</v>
      </c>
      <c r="M1064" s="13" t="n">
        <v>13.1</v>
      </c>
      <c r="N1064" s="13" t="n">
        <v>1596</v>
      </c>
      <c r="O1064" s="13" t="n">
        <v>0.9</v>
      </c>
      <c r="P1064" s="13" t="n">
        <v>1441</v>
      </c>
      <c r="Q1064" s="13" t="n">
        <v>172</v>
      </c>
      <c r="R1064" s="13" t="n">
        <v>63</v>
      </c>
      <c r="S1064" s="13" t="n">
        <v>37</v>
      </c>
      <c r="T1064" s="13" t="n">
        <v>152</v>
      </c>
      <c r="U1064" s="13" t="n">
        <v>5</v>
      </c>
      <c r="V1064" s="13" t="n">
        <v>57</v>
      </c>
      <c r="W1064" s="13" t="n">
        <v>0.144</v>
      </c>
      <c r="X1064" s="13" t="n">
        <v>69</v>
      </c>
      <c r="Y1064" s="13" t="n">
        <v>61</v>
      </c>
      <c r="Z1064" s="13" t="n">
        <v>83</v>
      </c>
      <c r="AA1064" s="13" t="n">
        <v>9</v>
      </c>
      <c r="AB1064" s="13" t="n">
        <v>10.2</v>
      </c>
      <c r="AC1064" s="11" t="inlineStr">
        <is>
          <t xml:space="preserve"> On-Piste Carving</t>
        </is>
      </c>
      <c r="AD1064" s="13" t="n"/>
      <c r="AE1064" s="13" t="n"/>
      <c r="AF1064" s="13" t="n"/>
      <c r="AG1064" s="13" t="n"/>
    </row>
    <row r="1065">
      <c r="A1065" s="9" t="inlineStr">
        <is>
          <t>21/22</t>
        </is>
      </c>
      <c r="B1065" s="10" t="inlineStr">
        <is>
          <t xml:space="preserve"> Rossignol</t>
        </is>
      </c>
      <c r="C1065" s="11" t="inlineStr">
        <is>
          <t>React 6 Compact</t>
        </is>
      </c>
      <c r="D1065" s="13" t="n">
        <v>170</v>
      </c>
      <c r="E1065" s="11" t="inlineStr">
        <is>
          <t xml:space="preserve"> Unisex</t>
        </is>
      </c>
      <c r="F1065" s="13" t="n">
        <v>170</v>
      </c>
      <c r="G1065" s="13" t="n">
        <v>169.6</v>
      </c>
      <c r="H1065" s="13" t="n">
        <v>150</v>
      </c>
      <c r="I1065" s="13" t="n">
        <v>157</v>
      </c>
      <c r="J1065" s="13" t="n">
        <v>122</v>
      </c>
      <c r="K1065" s="13" t="n">
        <v>73</v>
      </c>
      <c r="L1065" s="13" t="n">
        <v>108</v>
      </c>
      <c r="M1065" s="13" t="n">
        <v>14.5</v>
      </c>
      <c r="N1065" s="13" t="n">
        <v>1710</v>
      </c>
      <c r="O1065" s="13" t="n">
        <v>0.88</v>
      </c>
      <c r="P1065" s="13" t="n">
        <v>1499</v>
      </c>
      <c r="Q1065" s="13" t="n">
        <v>185</v>
      </c>
      <c r="R1065" s="13" t="n">
        <v>73</v>
      </c>
      <c r="S1065" s="13" t="n">
        <v>35</v>
      </c>
      <c r="T1065" s="13" t="n">
        <v>144</v>
      </c>
      <c r="U1065" s="13" t="n">
        <v>4</v>
      </c>
      <c r="V1065" s="13" t="n">
        <v>50</v>
      </c>
      <c r="W1065" s="13" t="n">
        <v>0.123</v>
      </c>
      <c r="X1065" s="13" t="n">
        <v>71</v>
      </c>
      <c r="Y1065" s="13" t="n">
        <v>60</v>
      </c>
      <c r="Z1065" s="13" t="n">
        <v>74</v>
      </c>
      <c r="AA1065" s="13" t="n">
        <v>13</v>
      </c>
      <c r="AB1065" s="13" t="n">
        <v>9.9</v>
      </c>
      <c r="AC1065" s="11" t="inlineStr">
        <is>
          <t xml:space="preserve"> On-Piste Carving</t>
        </is>
      </c>
      <c r="AD1065" s="13" t="n"/>
      <c r="AE1065" s="13" t="n"/>
      <c r="AF1065" s="13" t="n"/>
      <c r="AG1065" s="13" t="n"/>
    </row>
    <row r="1066">
      <c r="A1066" s="9" t="inlineStr">
        <is>
          <t>21/22</t>
        </is>
      </c>
      <c r="B1066" s="10" t="inlineStr">
        <is>
          <t xml:space="preserve"> Rossignol</t>
        </is>
      </c>
      <c r="C1066" s="11" t="inlineStr">
        <is>
          <t>React 6 Compact</t>
        </is>
      </c>
      <c r="D1066" s="13" t="n">
        <v>177</v>
      </c>
      <c r="E1066" s="11" t="inlineStr">
        <is>
          <t xml:space="preserve"> Unisex</t>
        </is>
      </c>
      <c r="F1066" s="13" t="n">
        <v>177</v>
      </c>
      <c r="G1066" s="13" t="n">
        <v>176.5</v>
      </c>
      <c r="H1066" s="13" t="n">
        <v>157</v>
      </c>
      <c r="I1066" s="13" t="n">
        <v>163</v>
      </c>
      <c r="J1066" s="13" t="n">
        <v>122</v>
      </c>
      <c r="K1066" s="13" t="n">
        <v>73</v>
      </c>
      <c r="L1066" s="13" t="n">
        <v>108</v>
      </c>
      <c r="M1066" s="13" t="n">
        <v>15.8</v>
      </c>
      <c r="N1066" s="13" t="n">
        <v>1737</v>
      </c>
      <c r="O1066" s="13" t="n">
        <v>0.9</v>
      </c>
      <c r="P1066" s="13" t="n">
        <v>1558</v>
      </c>
      <c r="Q1066" s="13" t="n">
        <v>207</v>
      </c>
      <c r="R1066" s="13" t="n">
        <v>73</v>
      </c>
      <c r="S1066" s="13" t="n">
        <v>36</v>
      </c>
      <c r="T1066" s="13" t="n">
        <v>148</v>
      </c>
      <c r="U1066" s="13" t="n">
        <v>5</v>
      </c>
      <c r="V1066" s="13" t="n">
        <v>52</v>
      </c>
      <c r="W1066" s="13" t="n">
        <v>0.14</v>
      </c>
      <c r="X1066" s="13" t="n">
        <v>72</v>
      </c>
      <c r="Y1066" s="13" t="n">
        <v>61</v>
      </c>
      <c r="Z1066" s="13" t="n">
        <v>76</v>
      </c>
      <c r="AA1066" s="13" t="n">
        <v>13</v>
      </c>
      <c r="AB1066" s="13" t="n">
        <v>9.800000000000001</v>
      </c>
      <c r="AC1066" s="11" t="inlineStr">
        <is>
          <t xml:space="preserve"> On-Piste Carving</t>
        </is>
      </c>
      <c r="AD1066" s="13" t="n"/>
      <c r="AE1066" s="13" t="n"/>
      <c r="AF1066" s="13" t="n"/>
      <c r="AG1066" s="13" t="n"/>
    </row>
    <row r="1067">
      <c r="A1067" s="9" t="inlineStr">
        <is>
          <t>21/22</t>
        </is>
      </c>
      <c r="B1067" s="10" t="inlineStr">
        <is>
          <t xml:space="preserve"> Salomon</t>
        </is>
      </c>
      <c r="C1067" s="11" t="inlineStr">
        <is>
          <t>MTN Explore 88</t>
        </is>
      </c>
      <c r="D1067" s="13" t="n">
        <v>169</v>
      </c>
      <c r="E1067" s="11" t="inlineStr">
        <is>
          <t xml:space="preserve"> Unisex</t>
        </is>
      </c>
      <c r="F1067" s="13" t="n">
        <v>169</v>
      </c>
      <c r="G1067" s="13" t="n">
        <v>167.7</v>
      </c>
      <c r="H1067" s="13" t="n">
        <v>134</v>
      </c>
      <c r="I1067" s="13" t="n">
        <v>146</v>
      </c>
      <c r="J1067" s="13" t="n">
        <v>123</v>
      </c>
      <c r="K1067" s="13" t="n">
        <v>88</v>
      </c>
      <c r="L1067" s="13" t="n">
        <v>109</v>
      </c>
      <c r="M1067" s="13" t="n">
        <v>18.4</v>
      </c>
      <c r="N1067" s="13" t="n">
        <v>1319</v>
      </c>
      <c r="O1067" s="13" t="n">
        <v>1.27</v>
      </c>
      <c r="P1067" s="13" t="n">
        <v>1673</v>
      </c>
      <c r="Q1067" s="13" t="n">
        <v>169</v>
      </c>
      <c r="R1067" s="13" t="n">
        <v>66</v>
      </c>
      <c r="S1067" s="13" t="n">
        <v>50</v>
      </c>
      <c r="T1067" s="13" t="n">
        <v>204</v>
      </c>
      <c r="U1067" s="13" t="n">
        <v>14</v>
      </c>
      <c r="V1067" s="13" t="n">
        <v>138</v>
      </c>
      <c r="W1067" s="13" t="n">
        <v>0.283</v>
      </c>
      <c r="X1067" s="13" t="n">
        <v>137</v>
      </c>
      <c r="Y1067" s="13" t="n">
        <v>76</v>
      </c>
      <c r="Z1067" s="13" t="n">
        <v>66</v>
      </c>
      <c r="AA1067" s="13" t="n">
        <v>8</v>
      </c>
      <c r="AB1067" s="13" t="n">
        <v>11.6</v>
      </c>
      <c r="AC1067" s="11" t="inlineStr">
        <is>
          <t xml:space="preserve"> Resort Freeride</t>
        </is>
      </c>
      <c r="AD1067" s="11" t="inlineStr">
        <is>
          <t xml:space="preserve"> Touring</t>
        </is>
      </c>
      <c r="AE1067" s="11" t="inlineStr">
        <is>
          <t xml:space="preserve"> Ultralight Touring</t>
        </is>
      </c>
      <c r="AF1067" s="13" t="n"/>
      <c r="AG1067" s="13" t="n"/>
    </row>
    <row r="1068">
      <c r="A1068" s="9" t="inlineStr">
        <is>
          <t>21/22</t>
        </is>
      </c>
      <c r="B1068" s="10" t="inlineStr">
        <is>
          <t xml:space="preserve"> Salomon</t>
        </is>
      </c>
      <c r="C1068" s="11" t="inlineStr">
        <is>
          <t>MTN Explore 88</t>
        </is>
      </c>
      <c r="D1068" s="13" t="n">
        <v>177</v>
      </c>
      <c r="E1068" s="11" t="inlineStr">
        <is>
          <t xml:space="preserve"> Unisex</t>
        </is>
      </c>
      <c r="F1068" s="13" t="n">
        <v>177</v>
      </c>
      <c r="G1068" s="13" t="n">
        <v>175.7</v>
      </c>
      <c r="H1068" s="13" t="n">
        <v>139</v>
      </c>
      <c r="I1068" s="13" t="n">
        <v>153</v>
      </c>
      <c r="J1068" s="13" t="n">
        <v>125</v>
      </c>
      <c r="K1068" s="13" t="n">
        <v>88</v>
      </c>
      <c r="L1068" s="13" t="n">
        <v>111</v>
      </c>
      <c r="M1068" s="13" t="n">
        <v>18.5</v>
      </c>
      <c r="N1068" s="13" t="n">
        <v>1397</v>
      </c>
      <c r="O1068" s="13" t="n">
        <v>1.27</v>
      </c>
      <c r="P1068" s="13" t="n">
        <v>1768</v>
      </c>
      <c r="Q1068" s="13" t="n">
        <v>173</v>
      </c>
      <c r="R1068" s="13" t="n">
        <v>76</v>
      </c>
      <c r="S1068" s="13" t="n">
        <v>50</v>
      </c>
      <c r="T1068" s="13" t="n">
        <v>205</v>
      </c>
      <c r="U1068" s="13" t="n">
        <v>12</v>
      </c>
      <c r="V1068" s="13" t="n">
        <v>162</v>
      </c>
      <c r="W1068" s="13" t="n">
        <v>0.251</v>
      </c>
      <c r="X1068" s="13" t="n">
        <v>149</v>
      </c>
      <c r="Y1068" s="13" t="n">
        <v>78</v>
      </c>
      <c r="Z1068" s="13" t="n">
        <v>56</v>
      </c>
      <c r="AA1068" s="13" t="n">
        <v>8</v>
      </c>
      <c r="AB1068" s="13" t="n">
        <v>11.6</v>
      </c>
      <c r="AC1068" s="11" t="inlineStr">
        <is>
          <t xml:space="preserve"> Resort Freeride</t>
        </is>
      </c>
      <c r="AD1068" s="11" t="inlineStr">
        <is>
          <t xml:space="preserve"> Touring</t>
        </is>
      </c>
      <c r="AE1068" s="11" t="inlineStr">
        <is>
          <t xml:space="preserve"> Ultralight Touring</t>
        </is>
      </c>
      <c r="AF1068" s="13" t="n"/>
      <c r="AG1068" s="13" t="n"/>
    </row>
    <row r="1069">
      <c r="A1069" s="9" t="inlineStr">
        <is>
          <t>21/22</t>
        </is>
      </c>
      <c r="B1069" s="10" t="inlineStr">
        <is>
          <t xml:space="preserve"> Salomon</t>
        </is>
      </c>
      <c r="C1069" s="11" t="inlineStr">
        <is>
          <t>MTN Explore 88 W</t>
        </is>
      </c>
      <c r="D1069" s="13" t="n">
        <v>153</v>
      </c>
      <c r="E1069" s="11" t="inlineStr">
        <is>
          <t xml:space="preserve"> Women's</t>
        </is>
      </c>
      <c r="F1069" s="13" t="n">
        <v>153</v>
      </c>
      <c r="G1069" s="13" t="n">
        <v>151.7</v>
      </c>
      <c r="H1069" s="13" t="n">
        <v>124</v>
      </c>
      <c r="I1069" s="13" t="n">
        <v>132</v>
      </c>
      <c r="J1069" s="13" t="n">
        <v>121</v>
      </c>
      <c r="K1069" s="13" t="n">
        <v>88</v>
      </c>
      <c r="L1069" s="13" t="n">
        <v>106</v>
      </c>
      <c r="M1069" s="13" t="n">
        <v>16.7</v>
      </c>
      <c r="N1069" s="13" t="n">
        <v>1155</v>
      </c>
      <c r="O1069" s="13" t="n">
        <v>1.29</v>
      </c>
      <c r="P1069" s="13" t="n">
        <v>1492</v>
      </c>
      <c r="Q1069" s="13" t="n">
        <v>109</v>
      </c>
      <c r="R1069" s="13" t="n">
        <v>50</v>
      </c>
      <c r="S1069" s="13" t="n">
        <v>47</v>
      </c>
      <c r="T1069" s="13" t="n">
        <v>197</v>
      </c>
      <c r="U1069" s="13" t="n">
        <v>12</v>
      </c>
      <c r="V1069" s="13" t="n">
        <v>83</v>
      </c>
      <c r="W1069" s="13" t="n">
        <v>0.253</v>
      </c>
      <c r="X1069" s="13" t="n">
        <v>121</v>
      </c>
      <c r="Y1069" s="13" t="n">
        <v>74</v>
      </c>
      <c r="Z1069" s="13" t="n">
        <v>76</v>
      </c>
      <c r="AA1069" s="13" t="n">
        <v>8</v>
      </c>
      <c r="AB1069" s="13" t="n">
        <v>10.2</v>
      </c>
      <c r="AC1069" s="11" t="inlineStr">
        <is>
          <t xml:space="preserve"> Touring</t>
        </is>
      </c>
      <c r="AD1069" s="11" t="inlineStr">
        <is>
          <t xml:space="preserve"> Ultralight Touring</t>
        </is>
      </c>
      <c r="AE1069" s="13" t="n"/>
      <c r="AF1069" s="13" t="n"/>
      <c r="AG1069" s="13" t="n"/>
    </row>
    <row r="1070">
      <c r="A1070" s="9" t="inlineStr">
        <is>
          <t>21/22</t>
        </is>
      </c>
      <c r="B1070" s="10" t="inlineStr">
        <is>
          <t xml:space="preserve"> Salomon</t>
        </is>
      </c>
      <c r="C1070" s="11" t="inlineStr">
        <is>
          <t>MTN Explore 95</t>
        </is>
      </c>
      <c r="D1070" s="13" t="n">
        <v>169</v>
      </c>
      <c r="E1070" s="11" t="inlineStr">
        <is>
          <t xml:space="preserve"> Unisex</t>
        </is>
      </c>
      <c r="F1070" s="13" t="n">
        <v>169</v>
      </c>
      <c r="G1070" s="13" t="n">
        <v>168.7</v>
      </c>
      <c r="H1070" s="13" t="n">
        <v>125</v>
      </c>
      <c r="I1070" s="13" t="n">
        <v>140</v>
      </c>
      <c r="J1070" s="13" t="n">
        <v>128</v>
      </c>
      <c r="K1070" s="13" t="n">
        <v>94</v>
      </c>
      <c r="L1070" s="13" t="n">
        <v>115</v>
      </c>
      <c r="M1070" s="13" t="n">
        <v>16.6</v>
      </c>
      <c r="N1070" s="13" t="n">
        <v>1450</v>
      </c>
      <c r="O1070" s="13" t="n">
        <v>1.23</v>
      </c>
      <c r="P1070" s="13" t="n">
        <v>1780</v>
      </c>
      <c r="Q1070" s="13" t="n">
        <v>169</v>
      </c>
      <c r="R1070" s="13" t="n">
        <v>67</v>
      </c>
      <c r="S1070" s="13" t="n">
        <v>55</v>
      </c>
      <c r="T1070" s="13" t="n">
        <v>321</v>
      </c>
      <c r="U1070" s="13" t="n">
        <v>7</v>
      </c>
      <c r="V1070" s="13" t="n">
        <v>115</v>
      </c>
      <c r="W1070" s="13" t="n">
        <v>0.119</v>
      </c>
      <c r="X1070" s="13" t="n">
        <v>181</v>
      </c>
      <c r="Y1070" s="13" t="n">
        <v>111</v>
      </c>
      <c r="Z1070" s="13" t="n">
        <v>140</v>
      </c>
      <c r="AA1070" s="13" t="n">
        <v>4</v>
      </c>
      <c r="AB1070" s="13" t="n">
        <v>10.6</v>
      </c>
      <c r="AC1070" s="11" t="inlineStr">
        <is>
          <t xml:space="preserve"> Resort Freeride</t>
        </is>
      </c>
      <c r="AD1070" s="11" t="inlineStr">
        <is>
          <t xml:space="preserve"> Touring</t>
        </is>
      </c>
      <c r="AE1070" s="13" t="n"/>
      <c r="AF1070" s="13" t="n"/>
      <c r="AG1070" s="13" t="n"/>
    </row>
    <row r="1071">
      <c r="A1071" s="9" t="inlineStr">
        <is>
          <t>21/22</t>
        </is>
      </c>
      <c r="B1071" s="10" t="inlineStr">
        <is>
          <t xml:space="preserve"> Salomon</t>
        </is>
      </c>
      <c r="C1071" s="11" t="inlineStr">
        <is>
          <t>MTN Explore 95</t>
        </is>
      </c>
      <c r="D1071" s="13" t="n">
        <v>177</v>
      </c>
      <c r="E1071" s="11" t="inlineStr">
        <is>
          <t xml:space="preserve"> Unisex</t>
        </is>
      </c>
      <c r="F1071" s="13" t="n">
        <v>177</v>
      </c>
      <c r="G1071" s="13" t="n">
        <v>176.3</v>
      </c>
      <c r="H1071" s="13" t="n">
        <v>143</v>
      </c>
      <c r="I1071" s="13" t="n">
        <v>146</v>
      </c>
      <c r="J1071" s="13" t="n">
        <v>130</v>
      </c>
      <c r="K1071" s="13" t="n">
        <v>95</v>
      </c>
      <c r="L1071" s="13" t="n">
        <v>116</v>
      </c>
      <c r="M1071" s="13" t="n">
        <v>17.6</v>
      </c>
      <c r="N1071" s="13" t="n">
        <v>1550</v>
      </c>
      <c r="O1071" s="13" t="n">
        <v>1.21</v>
      </c>
      <c r="P1071" s="13" t="n">
        <v>1874</v>
      </c>
      <c r="Q1071" s="13" t="n">
        <v>186</v>
      </c>
      <c r="R1071" s="13" t="n">
        <v>77</v>
      </c>
      <c r="S1071" s="13" t="n">
        <v>52</v>
      </c>
      <c r="T1071" s="13" t="n">
        <v>258</v>
      </c>
      <c r="U1071" s="13" t="n">
        <v>6</v>
      </c>
      <c r="V1071" s="13" t="n">
        <v>75</v>
      </c>
      <c r="W1071" s="13" t="n">
        <v>0.107</v>
      </c>
      <c r="X1071" s="13" t="n">
        <v>200</v>
      </c>
      <c r="Y1071" s="13" t="n">
        <v>107</v>
      </c>
      <c r="Z1071" s="13" t="n">
        <v>58</v>
      </c>
      <c r="AA1071" s="13" t="n">
        <v>8</v>
      </c>
      <c r="AB1071" s="13" t="n">
        <v>10.9</v>
      </c>
      <c r="AC1071" s="11" t="inlineStr">
        <is>
          <t xml:space="preserve"> Resort Freeride</t>
        </is>
      </c>
      <c r="AD1071" s="11" t="inlineStr">
        <is>
          <t xml:space="preserve"> Touring</t>
        </is>
      </c>
      <c r="AE1071" s="13" t="n"/>
      <c r="AF1071" s="13" t="n"/>
      <c r="AG1071" s="13" t="n"/>
    </row>
    <row r="1072">
      <c r="A1072" s="9" t="inlineStr">
        <is>
          <t>21/22</t>
        </is>
      </c>
      <c r="B1072" s="10" t="inlineStr">
        <is>
          <t xml:space="preserve"> Salomon</t>
        </is>
      </c>
      <c r="C1072" s="11" t="inlineStr">
        <is>
          <t>MTN Explore 95</t>
        </is>
      </c>
      <c r="D1072" s="13" t="n">
        <v>184</v>
      </c>
      <c r="E1072" s="11" t="inlineStr">
        <is>
          <t xml:space="preserve"> Unisex</t>
        </is>
      </c>
      <c r="F1072" s="13" t="n">
        <v>184</v>
      </c>
      <c r="G1072" s="13" t="n">
        <v>183.6</v>
      </c>
      <c r="H1072" s="13" t="n">
        <v>145</v>
      </c>
      <c r="I1072" s="13" t="n">
        <v>153</v>
      </c>
      <c r="J1072" s="13" t="n">
        <v>131</v>
      </c>
      <c r="K1072" s="13" t="n">
        <v>95</v>
      </c>
      <c r="L1072" s="13" t="n">
        <v>117</v>
      </c>
      <c r="M1072" s="13" t="n">
        <v>18.9</v>
      </c>
      <c r="N1072" s="13" t="n">
        <v>1701</v>
      </c>
      <c r="O1072" s="13" t="n">
        <v>1.15</v>
      </c>
      <c r="P1072" s="13" t="n">
        <v>1959</v>
      </c>
      <c r="Q1072" s="13" t="n">
        <v>219</v>
      </c>
      <c r="R1072" s="13" t="n">
        <v>88</v>
      </c>
      <c r="S1072" s="13" t="n">
        <v>50</v>
      </c>
      <c r="T1072" s="13" t="n">
        <v>289</v>
      </c>
      <c r="U1072" s="13" t="n">
        <v>7</v>
      </c>
      <c r="V1072" s="13" t="n">
        <v>99</v>
      </c>
      <c r="W1072" s="13" t="n">
        <v>0.142</v>
      </c>
      <c r="X1072" s="13" t="n">
        <v>199</v>
      </c>
      <c r="Y1072" s="13" t="n">
        <v>110</v>
      </c>
      <c r="Z1072" s="13" t="n">
        <v>90</v>
      </c>
      <c r="AA1072" s="13" t="n">
        <v>10</v>
      </c>
      <c r="AB1072" s="13" t="n">
        <v>10.9</v>
      </c>
      <c r="AC1072" s="11" t="inlineStr">
        <is>
          <t xml:space="preserve"> Resort Freeride</t>
        </is>
      </c>
      <c r="AD1072" s="11" t="inlineStr">
        <is>
          <t xml:space="preserve"> Touring</t>
        </is>
      </c>
      <c r="AE1072" s="13" t="n"/>
      <c r="AF1072" s="13" t="n"/>
      <c r="AG1072" s="13" t="n"/>
    </row>
    <row r="1073">
      <c r="A1073" s="9" t="inlineStr">
        <is>
          <t>21/22</t>
        </is>
      </c>
      <c r="B1073" s="10" t="inlineStr">
        <is>
          <t xml:space="preserve"> Salomon</t>
        </is>
      </c>
      <c r="C1073" s="11" t="inlineStr">
        <is>
          <t>QST 106</t>
        </is>
      </c>
      <c r="D1073" s="13" t="n">
        <v>167</v>
      </c>
      <c r="E1073" s="11" t="inlineStr">
        <is>
          <t xml:space="preserve"> Unisex</t>
        </is>
      </c>
      <c r="F1073" s="13" t="n">
        <v>167</v>
      </c>
      <c r="G1073" s="13" t="n">
        <v>166.8</v>
      </c>
      <c r="H1073" s="13" t="n">
        <v>105</v>
      </c>
      <c r="I1073" s="13" t="n">
        <v>135</v>
      </c>
      <c r="J1073" s="13" t="n">
        <v>136</v>
      </c>
      <c r="K1073" s="13" t="n">
        <v>104</v>
      </c>
      <c r="L1073" s="13" t="n">
        <v>122</v>
      </c>
      <c r="M1073" s="13" t="n">
        <v>18.1</v>
      </c>
      <c r="N1073" s="13" t="n">
        <v>1881</v>
      </c>
      <c r="O1073" s="13" t="n">
        <v>1.02</v>
      </c>
      <c r="P1073" s="13" t="n">
        <v>1912</v>
      </c>
      <c r="Q1073" s="13" t="n">
        <v>174</v>
      </c>
      <c r="R1073" s="13" t="n">
        <v>83</v>
      </c>
      <c r="S1073" s="13" t="n">
        <v>59</v>
      </c>
      <c r="T1073" s="13" t="n">
        <v>353</v>
      </c>
      <c r="U1073" s="13" t="n">
        <v>22</v>
      </c>
      <c r="V1073" s="13" t="n">
        <v>262</v>
      </c>
      <c r="W1073" s="13" t="n">
        <v>0.368</v>
      </c>
      <c r="X1073" s="13" t="n">
        <v>189</v>
      </c>
      <c r="Y1073" s="13" t="n">
        <v>124</v>
      </c>
      <c r="Z1073" s="13" t="n">
        <v>164</v>
      </c>
      <c r="AA1073" s="13" t="n">
        <v>6</v>
      </c>
      <c r="AB1073" s="13" t="n">
        <v>9.300000000000001</v>
      </c>
      <c r="AC1073" s="11" t="inlineStr">
        <is>
          <t xml:space="preserve"> Resort Freeride</t>
        </is>
      </c>
      <c r="AD1073" s="11" t="inlineStr">
        <is>
          <t xml:space="preserve"> Powder</t>
        </is>
      </c>
      <c r="AE1073" s="11" t="inlineStr">
        <is>
          <t xml:space="preserve"> Big Mountain</t>
        </is>
      </c>
      <c r="AF1073" s="13" t="n"/>
      <c r="AG1073" s="13" t="n"/>
    </row>
    <row r="1074">
      <c r="A1074" s="9" t="inlineStr">
        <is>
          <t>21/22</t>
        </is>
      </c>
      <c r="B1074" s="10" t="inlineStr">
        <is>
          <t xml:space="preserve"> Salomon</t>
        </is>
      </c>
      <c r="C1074" s="11" t="inlineStr">
        <is>
          <t>QST 106</t>
        </is>
      </c>
      <c r="D1074" s="13" t="n">
        <v>174</v>
      </c>
      <c r="E1074" s="11" t="inlineStr">
        <is>
          <t xml:space="preserve"> Unisex</t>
        </is>
      </c>
      <c r="F1074" s="13" t="n">
        <v>174</v>
      </c>
      <c r="G1074" s="13" t="n">
        <v>173.9</v>
      </c>
      <c r="H1074" s="13" t="n">
        <v>109</v>
      </c>
      <c r="I1074" s="13" t="n">
        <v>144</v>
      </c>
      <c r="J1074" s="13" t="n">
        <v>137</v>
      </c>
      <c r="K1074" s="13" t="n">
        <v>105</v>
      </c>
      <c r="L1074" s="13" t="n">
        <v>123</v>
      </c>
      <c r="M1074" s="13" t="n">
        <v>19.1</v>
      </c>
      <c r="N1074" s="13" t="n">
        <v>2014</v>
      </c>
      <c r="O1074" s="13" t="n">
        <v>0.99</v>
      </c>
      <c r="P1074" s="13" t="n">
        <v>2000</v>
      </c>
      <c r="Q1074" s="13" t="n">
        <v>211</v>
      </c>
      <c r="R1074" s="13" t="n">
        <v>97</v>
      </c>
      <c r="S1074" s="13" t="n">
        <v>59</v>
      </c>
      <c r="T1074" s="13" t="n">
        <v>365</v>
      </c>
      <c r="U1074" s="13" t="n">
        <v>22</v>
      </c>
      <c r="V1074" s="13" t="n">
        <v>282</v>
      </c>
      <c r="W1074" s="13" t="n">
        <v>0.378</v>
      </c>
      <c r="X1074" s="13" t="n">
        <v>181</v>
      </c>
      <c r="Y1074" s="13" t="n">
        <v>119</v>
      </c>
      <c r="Z1074" s="13" t="n">
        <v>183</v>
      </c>
      <c r="AA1074" s="13" t="n">
        <v>6</v>
      </c>
      <c r="AB1074" s="13" t="n">
        <v>9.4</v>
      </c>
      <c r="AC1074" s="11" t="inlineStr">
        <is>
          <t xml:space="preserve"> Resort Freeride</t>
        </is>
      </c>
      <c r="AD1074" s="11" t="inlineStr">
        <is>
          <t xml:space="preserve"> Powder</t>
        </is>
      </c>
      <c r="AE1074" s="11" t="inlineStr">
        <is>
          <t xml:space="preserve"> Big Mountain</t>
        </is>
      </c>
      <c r="AF1074" s="13" t="n"/>
      <c r="AG1074" s="13" t="n"/>
    </row>
    <row r="1075">
      <c r="A1075" s="9" t="inlineStr">
        <is>
          <t>21/22</t>
        </is>
      </c>
      <c r="B1075" s="10" t="inlineStr">
        <is>
          <t xml:space="preserve"> Salomon</t>
        </is>
      </c>
      <c r="C1075" s="11" t="inlineStr">
        <is>
          <t>QST 106</t>
        </is>
      </c>
      <c r="D1075" s="13" t="n">
        <v>181</v>
      </c>
      <c r="E1075" s="11" t="inlineStr">
        <is>
          <t xml:space="preserve"> Unisex</t>
        </is>
      </c>
      <c r="F1075" s="13" t="n">
        <v>181</v>
      </c>
      <c r="G1075" s="13" t="n">
        <v>180.9</v>
      </c>
      <c r="H1075" s="13" t="n">
        <v>114</v>
      </c>
      <c r="I1075" s="13" t="n">
        <v>151</v>
      </c>
      <c r="J1075" s="13" t="n">
        <v>138</v>
      </c>
      <c r="K1075" s="13" t="n">
        <v>105</v>
      </c>
      <c r="L1075" s="13" t="n">
        <v>124</v>
      </c>
      <c r="M1075" s="13" t="n">
        <v>19.9</v>
      </c>
      <c r="N1075" s="13" t="n">
        <v>2130</v>
      </c>
      <c r="O1075" s="13" t="n">
        <v>0.98</v>
      </c>
      <c r="P1075" s="13" t="n">
        <v>2088</v>
      </c>
      <c r="Q1075" s="13" t="n">
        <v>231</v>
      </c>
      <c r="R1075" s="13" t="n">
        <v>105</v>
      </c>
      <c r="S1075" s="13" t="n">
        <v>56</v>
      </c>
      <c r="T1075" s="13" t="n">
        <v>381</v>
      </c>
      <c r="U1075" s="13" t="n">
        <v>20</v>
      </c>
      <c r="V1075" s="13" t="n">
        <v>291</v>
      </c>
      <c r="W1075" s="13" t="n">
        <v>0.348</v>
      </c>
      <c r="X1075" s="13" t="n">
        <v>179</v>
      </c>
      <c r="Y1075" s="13" t="n">
        <v>115</v>
      </c>
      <c r="Z1075" s="13" t="n">
        <v>201</v>
      </c>
      <c r="AA1075" s="13" t="n">
        <v>8</v>
      </c>
      <c r="AB1075" s="13" t="n">
        <v>8</v>
      </c>
      <c r="AC1075" s="11" t="inlineStr">
        <is>
          <t xml:space="preserve"> Resort Freeride</t>
        </is>
      </c>
      <c r="AD1075" s="11" t="inlineStr">
        <is>
          <t xml:space="preserve"> Big Mountain</t>
        </is>
      </c>
      <c r="AE1075" s="13" t="n"/>
      <c r="AF1075" s="13" t="n"/>
      <c r="AG1075" s="13" t="n"/>
    </row>
    <row r="1076">
      <c r="A1076" s="9" t="inlineStr">
        <is>
          <t>21/22</t>
        </is>
      </c>
      <c r="B1076" s="10" t="inlineStr">
        <is>
          <t xml:space="preserve"> Salomon</t>
        </is>
      </c>
      <c r="C1076" s="11" t="inlineStr">
        <is>
          <t>QST 106</t>
        </is>
      </c>
      <c r="D1076" s="13" t="n">
        <v>188</v>
      </c>
      <c r="E1076" s="11" t="inlineStr">
        <is>
          <t xml:space="preserve"> Unisex</t>
        </is>
      </c>
      <c r="F1076" s="13" t="n">
        <v>188</v>
      </c>
      <c r="G1076" s="13" t="n">
        <v>187.7</v>
      </c>
      <c r="H1076" s="13" t="n">
        <v>113</v>
      </c>
      <c r="I1076" s="13" t="n">
        <v>157</v>
      </c>
      <c r="J1076" s="13" t="n">
        <v>139</v>
      </c>
      <c r="K1076" s="13" t="n">
        <v>104</v>
      </c>
      <c r="L1076" s="13" t="n">
        <v>125</v>
      </c>
      <c r="M1076" s="13" t="n">
        <v>21.5</v>
      </c>
      <c r="N1076" s="13" t="n">
        <v>2224</v>
      </c>
      <c r="O1076" s="13" t="n">
        <v>0.97</v>
      </c>
      <c r="P1076" s="13" t="n">
        <v>2167</v>
      </c>
      <c r="Q1076" s="13" t="n">
        <v>279</v>
      </c>
      <c r="R1076" s="13" t="n">
        <v>125</v>
      </c>
      <c r="S1076" s="13" t="n">
        <v>61</v>
      </c>
      <c r="T1076" s="13" t="n">
        <v>432</v>
      </c>
      <c r="U1076" s="13" t="n">
        <v>23</v>
      </c>
      <c r="V1076" s="13" t="n">
        <v>315</v>
      </c>
      <c r="W1076" s="13" t="n">
        <v>0.377</v>
      </c>
      <c r="X1076" s="13" t="n">
        <v>183</v>
      </c>
      <c r="Y1076" s="13" t="n">
        <v>125</v>
      </c>
      <c r="Z1076" s="13" t="n">
        <v>249</v>
      </c>
      <c r="AA1076" s="13" t="n">
        <v>6</v>
      </c>
      <c r="AB1076" s="13" t="n">
        <v>7.6</v>
      </c>
      <c r="AC1076" s="11" t="inlineStr">
        <is>
          <t xml:space="preserve"> Resort Freeride</t>
        </is>
      </c>
      <c r="AD1076" s="11" t="inlineStr">
        <is>
          <t xml:space="preserve"> Powder</t>
        </is>
      </c>
      <c r="AE1076" s="11" t="inlineStr">
        <is>
          <t xml:space="preserve"> Big Mountain</t>
        </is>
      </c>
      <c r="AF1076" s="13" t="n"/>
      <c r="AG1076" s="13" t="n"/>
    </row>
    <row r="1077">
      <c r="A1077" s="9" t="inlineStr">
        <is>
          <t>21/22</t>
        </is>
      </c>
      <c r="B1077" s="10" t="inlineStr">
        <is>
          <t xml:space="preserve"> Salomon</t>
        </is>
      </c>
      <c r="C1077" s="11" t="inlineStr">
        <is>
          <t>QST 85</t>
        </is>
      </c>
      <c r="D1077" s="13" t="n">
        <v>185</v>
      </c>
      <c r="E1077" s="11" t="inlineStr">
        <is>
          <t xml:space="preserve"> Unisex</t>
        </is>
      </c>
      <c r="F1077" s="13" t="n">
        <v>185</v>
      </c>
      <c r="G1077" s="13" t="n">
        <v>184.3</v>
      </c>
      <c r="H1077" s="13" t="n">
        <v>146</v>
      </c>
      <c r="I1077" s="13" t="n">
        <v>152</v>
      </c>
      <c r="J1077" s="13" t="n">
        <v>130</v>
      </c>
      <c r="K1077" s="13" t="n">
        <v>84</v>
      </c>
      <c r="L1077" s="13" t="n">
        <v>114</v>
      </c>
      <c r="M1077" s="13" t="n">
        <v>14</v>
      </c>
      <c r="N1077" s="13" t="n">
        <v>2285</v>
      </c>
      <c r="O1077" s="13" t="n">
        <v>0.8100000000000001</v>
      </c>
      <c r="P1077" s="13" t="n">
        <v>1843</v>
      </c>
      <c r="Q1077" s="13" t="n">
        <v>279</v>
      </c>
      <c r="R1077" s="13" t="n">
        <v>127</v>
      </c>
      <c r="S1077" s="13" t="n">
        <v>35</v>
      </c>
      <c r="T1077" s="13" t="n">
        <v>257</v>
      </c>
      <c r="U1077" s="13" t="n">
        <v>6</v>
      </c>
      <c r="V1077" s="13" t="n">
        <v>128</v>
      </c>
      <c r="W1077" s="13" t="n">
        <v>0.161</v>
      </c>
      <c r="X1077" s="13" t="n">
        <v>196</v>
      </c>
      <c r="Y1077" s="13" t="n">
        <v>127</v>
      </c>
      <c r="Z1077" s="13" t="n">
        <v>61</v>
      </c>
      <c r="AA1077" s="13" t="n">
        <v>12</v>
      </c>
      <c r="AB1077" s="13" t="n">
        <v>7.7</v>
      </c>
      <c r="AC1077" s="11" t="inlineStr">
        <is>
          <t xml:space="preserve"> On-Piste All-Mountain</t>
        </is>
      </c>
      <c r="AD1077" s="11" t="inlineStr">
        <is>
          <t xml:space="preserve"> Resort Freeride</t>
        </is>
      </c>
      <c r="AE1077" s="13" t="n"/>
      <c r="AF1077" s="13" t="n"/>
      <c r="AG1077" s="13" t="n"/>
    </row>
    <row r="1078">
      <c r="A1078" s="9" t="inlineStr">
        <is>
          <t>21/22</t>
        </is>
      </c>
      <c r="B1078" s="10" t="inlineStr">
        <is>
          <t xml:space="preserve"> Salomon</t>
        </is>
      </c>
      <c r="C1078" s="11" t="inlineStr">
        <is>
          <t>QST 92</t>
        </is>
      </c>
      <c r="D1078" s="13" t="n">
        <v>153</v>
      </c>
      <c r="E1078" s="11" t="inlineStr">
        <is>
          <t xml:space="preserve"> Unisex</t>
        </is>
      </c>
      <c r="F1078" s="13" t="n">
        <v>153</v>
      </c>
      <c r="G1078" s="13" t="n">
        <v>151.9</v>
      </c>
      <c r="H1078" s="13" t="n">
        <v>112</v>
      </c>
      <c r="I1078" s="13" t="n">
        <v>127</v>
      </c>
      <c r="J1078" s="13" t="n">
        <v>128</v>
      </c>
      <c r="K1078" s="13" t="n">
        <v>91</v>
      </c>
      <c r="L1078" s="13" t="n">
        <v>111</v>
      </c>
      <c r="M1078" s="13" t="n">
        <v>12.7</v>
      </c>
      <c r="N1078" s="13" t="n">
        <v>1579</v>
      </c>
      <c r="O1078" s="13" t="n">
        <v>0.99</v>
      </c>
      <c r="P1078" s="13" t="n">
        <v>1571</v>
      </c>
      <c r="Q1078" s="13" t="n">
        <v>172</v>
      </c>
      <c r="R1078" s="13" t="n">
        <v>84</v>
      </c>
      <c r="S1078" s="13" t="n">
        <v>54</v>
      </c>
      <c r="T1078" s="13" t="n">
        <v>254</v>
      </c>
      <c r="U1078" s="13" t="n">
        <v>16</v>
      </c>
      <c r="V1078" s="13" t="n">
        <v>147</v>
      </c>
      <c r="W1078" s="13" t="n">
        <v>0.301</v>
      </c>
      <c r="X1078" s="13" t="n">
        <v>131</v>
      </c>
      <c r="Y1078" s="13" t="n">
        <v>118</v>
      </c>
      <c r="Z1078" s="13" t="n">
        <v>123</v>
      </c>
      <c r="AA1078" s="13" t="n">
        <v>6</v>
      </c>
      <c r="AB1078" s="13" t="n">
        <v>8.5</v>
      </c>
      <c r="AC1078" s="11" t="inlineStr">
        <is>
          <t xml:space="preserve"> Resort Freeride</t>
        </is>
      </c>
      <c r="AD1078" s="13" t="n"/>
      <c r="AE1078" s="13" t="n"/>
      <c r="AF1078" s="13" t="n"/>
      <c r="AG1078" s="13" t="n"/>
    </row>
    <row r="1079">
      <c r="A1079" s="9" t="inlineStr">
        <is>
          <t>21/22</t>
        </is>
      </c>
      <c r="B1079" s="10" t="inlineStr">
        <is>
          <t xml:space="preserve"> Salomon</t>
        </is>
      </c>
      <c r="C1079" s="11" t="inlineStr">
        <is>
          <t>QST 92</t>
        </is>
      </c>
      <c r="D1079" s="13" t="n">
        <v>169</v>
      </c>
      <c r="E1079" s="11" t="inlineStr">
        <is>
          <t xml:space="preserve"> Unisex</t>
        </is>
      </c>
      <c r="F1079" s="13" t="n">
        <v>169</v>
      </c>
      <c r="G1079" s="13" t="n">
        <v>168.2</v>
      </c>
      <c r="H1079" s="13" t="n">
        <v>130</v>
      </c>
      <c r="I1079" s="13" t="n">
        <v>140</v>
      </c>
      <c r="J1079" s="13" t="n">
        <v>129</v>
      </c>
      <c r="K1079" s="13" t="n">
        <v>91</v>
      </c>
      <c r="L1079" s="13" t="n">
        <v>112</v>
      </c>
      <c r="M1079" s="13" t="n">
        <v>15.4</v>
      </c>
      <c r="N1079" s="13" t="n">
        <v>1763</v>
      </c>
      <c r="O1079" s="13" t="n">
        <v>0.99</v>
      </c>
      <c r="P1079" s="13" t="n">
        <v>1750</v>
      </c>
      <c r="Q1079" s="13" t="n">
        <v>190</v>
      </c>
      <c r="R1079" s="13" t="n">
        <v>91</v>
      </c>
      <c r="S1079" s="13" t="n">
        <v>48</v>
      </c>
      <c r="T1079" s="13" t="n">
        <v>257</v>
      </c>
      <c r="U1079" s="13" t="n">
        <v>11</v>
      </c>
      <c r="V1079" s="13" t="n">
        <v>129</v>
      </c>
      <c r="W1079" s="13" t="n">
        <v>0.226</v>
      </c>
      <c r="X1079" s="13" t="n">
        <v>157</v>
      </c>
      <c r="Y1079" s="13" t="n">
        <v>127</v>
      </c>
      <c r="Z1079" s="13" t="n">
        <v>99</v>
      </c>
      <c r="AA1079" s="13" t="n">
        <v>10</v>
      </c>
      <c r="AB1079" s="13" t="n">
        <v>9.800000000000001</v>
      </c>
      <c r="AC1079" s="11" t="inlineStr">
        <is>
          <t xml:space="preserve"> Resort Freeride</t>
        </is>
      </c>
      <c r="AD1079" s="13" t="n"/>
      <c r="AE1079" s="13" t="n"/>
      <c r="AF1079" s="13" t="n"/>
      <c r="AG1079" s="13" t="n"/>
    </row>
    <row r="1080">
      <c r="A1080" s="9" t="inlineStr">
        <is>
          <t>21/22</t>
        </is>
      </c>
      <c r="B1080" s="10" t="inlineStr">
        <is>
          <t xml:space="preserve"> Salomon</t>
        </is>
      </c>
      <c r="C1080" s="11" t="inlineStr">
        <is>
          <t>QST 92</t>
        </is>
      </c>
      <c r="D1080" s="13" t="n">
        <v>177</v>
      </c>
      <c r="E1080" s="11" t="inlineStr">
        <is>
          <t xml:space="preserve"> Unisex</t>
        </is>
      </c>
      <c r="F1080" s="13" t="n">
        <v>177</v>
      </c>
      <c r="G1080" s="13" t="n">
        <v>176.4</v>
      </c>
      <c r="H1080" s="13" t="n">
        <v>136</v>
      </c>
      <c r="I1080" s="13" t="n">
        <v>148</v>
      </c>
      <c r="J1080" s="13" t="n">
        <v>131</v>
      </c>
      <c r="K1080" s="13" t="n">
        <v>91</v>
      </c>
      <c r="L1080" s="13" t="n">
        <v>114</v>
      </c>
      <c r="M1080" s="13" t="n">
        <v>16.5</v>
      </c>
      <c r="N1080" s="13" t="n">
        <v>1860</v>
      </c>
      <c r="O1080" s="13" t="n">
        <v>0.99</v>
      </c>
      <c r="P1080" s="13" t="n">
        <v>1843</v>
      </c>
      <c r="Q1080" s="13" t="n">
        <v>219</v>
      </c>
      <c r="R1080" s="13" t="n">
        <v>94</v>
      </c>
      <c r="S1080" s="13" t="n">
        <v>49</v>
      </c>
      <c r="T1080" s="13" t="n">
        <v>273</v>
      </c>
      <c r="U1080" s="13" t="n">
        <v>11</v>
      </c>
      <c r="V1080" s="13" t="n">
        <v>130</v>
      </c>
      <c r="W1080" s="13" t="n">
        <v>0.217</v>
      </c>
      <c r="X1080" s="13" t="n">
        <v>152</v>
      </c>
      <c r="Y1080" s="13" t="n">
        <v>128</v>
      </c>
      <c r="Z1080" s="13" t="n">
        <v>121</v>
      </c>
      <c r="AA1080" s="13" t="n">
        <v>11</v>
      </c>
      <c r="AB1080" s="13" t="n">
        <v>10</v>
      </c>
      <c r="AC1080" s="11" t="inlineStr">
        <is>
          <t xml:space="preserve"> Resort Freeride</t>
        </is>
      </c>
      <c r="AD1080" s="13" t="n"/>
      <c r="AE1080" s="13" t="n"/>
      <c r="AF1080" s="13" t="n"/>
      <c r="AG1080" s="13" t="n"/>
    </row>
    <row r="1081">
      <c r="A1081" s="9" t="inlineStr">
        <is>
          <t>21/22</t>
        </is>
      </c>
      <c r="B1081" s="10" t="inlineStr">
        <is>
          <t xml:space="preserve"> Salomon</t>
        </is>
      </c>
      <c r="C1081" s="11" t="inlineStr">
        <is>
          <t>QST 92</t>
        </is>
      </c>
      <c r="D1081" s="13" t="n">
        <v>185</v>
      </c>
      <c r="E1081" s="11" t="inlineStr">
        <is>
          <t xml:space="preserve"> Unisex</t>
        </is>
      </c>
      <c r="F1081" s="13" t="n">
        <v>185</v>
      </c>
      <c r="G1081" s="13" t="n">
        <v>184.3</v>
      </c>
      <c r="H1081" s="13" t="n">
        <v>141</v>
      </c>
      <c r="I1081" s="13" t="n">
        <v>156</v>
      </c>
      <c r="J1081" s="13" t="n">
        <v>132</v>
      </c>
      <c r="K1081" s="13" t="n">
        <v>91</v>
      </c>
      <c r="L1081" s="13" t="n">
        <v>115</v>
      </c>
      <c r="M1081" s="13" t="n">
        <v>17.8</v>
      </c>
      <c r="N1081" s="13" t="n">
        <v>2002</v>
      </c>
      <c r="O1081" s="13" t="n">
        <v>0.97</v>
      </c>
      <c r="P1081" s="13" t="n">
        <v>1932</v>
      </c>
      <c r="Q1081" s="13" t="n">
        <v>246</v>
      </c>
      <c r="R1081" s="13" t="n">
        <v>108</v>
      </c>
      <c r="S1081" s="13" t="n">
        <v>49</v>
      </c>
      <c r="T1081" s="13" t="n">
        <v>288</v>
      </c>
      <c r="U1081" s="13" t="n">
        <v>11</v>
      </c>
      <c r="V1081" s="13" t="n">
        <v>141</v>
      </c>
      <c r="W1081" s="13" t="n">
        <v>0.231</v>
      </c>
      <c r="X1081" s="13" t="n">
        <v>149</v>
      </c>
      <c r="Y1081" s="13" t="n">
        <v>130</v>
      </c>
      <c r="Z1081" s="13" t="n">
        <v>139</v>
      </c>
      <c r="AA1081" s="13" t="n">
        <v>10</v>
      </c>
      <c r="AB1081" s="13" t="n">
        <v>10.3</v>
      </c>
      <c r="AC1081" s="11" t="inlineStr">
        <is>
          <t xml:space="preserve"> Resort Freeride</t>
        </is>
      </c>
      <c r="AD1081" s="13" t="n"/>
      <c r="AE1081" s="13" t="n"/>
      <c r="AF1081" s="13" t="n"/>
      <c r="AG1081" s="13" t="n"/>
    </row>
    <row r="1082">
      <c r="A1082" s="9" t="inlineStr">
        <is>
          <t>21/22</t>
        </is>
      </c>
      <c r="B1082" s="10" t="inlineStr">
        <is>
          <t xml:space="preserve"> Salomon</t>
        </is>
      </c>
      <c r="C1082" s="11" t="inlineStr">
        <is>
          <t>QST 98</t>
        </is>
      </c>
      <c r="D1082" s="13" t="n">
        <v>169</v>
      </c>
      <c r="E1082" s="11" t="inlineStr">
        <is>
          <t xml:space="preserve"> Unisex</t>
        </is>
      </c>
      <c r="F1082" s="13" t="n">
        <v>169</v>
      </c>
      <c r="G1082" s="13" t="n">
        <v>168.8</v>
      </c>
      <c r="H1082" s="13" t="n">
        <v>94</v>
      </c>
      <c r="I1082" s="13" t="n">
        <v>127</v>
      </c>
      <c r="J1082" s="13" t="n">
        <v>130</v>
      </c>
      <c r="K1082" s="13" t="n">
        <v>97</v>
      </c>
      <c r="L1082" s="13" t="n">
        <v>118</v>
      </c>
      <c r="M1082" s="13" t="n">
        <v>12.5</v>
      </c>
      <c r="N1082" s="13" t="n">
        <v>1813</v>
      </c>
      <c r="O1082" s="13" t="n">
        <v>1.01</v>
      </c>
      <c r="P1082" s="13" t="n">
        <v>1839</v>
      </c>
      <c r="Q1082" s="13" t="n">
        <v>159</v>
      </c>
      <c r="R1082" s="13" t="n">
        <v>73</v>
      </c>
      <c r="S1082" s="13" t="n">
        <v>58</v>
      </c>
      <c r="T1082" s="13" t="n">
        <v>389</v>
      </c>
      <c r="U1082" s="13" t="n">
        <v>32</v>
      </c>
      <c r="V1082" s="13" t="n">
        <v>363</v>
      </c>
      <c r="W1082" s="13" t="n">
        <v>0.541</v>
      </c>
      <c r="X1082" s="13" t="n">
        <v>241</v>
      </c>
      <c r="Y1082" s="13" t="n">
        <v>180</v>
      </c>
      <c r="Z1082" s="13" t="n">
        <v>148</v>
      </c>
      <c r="AA1082" s="13" t="n">
        <v>5</v>
      </c>
      <c r="AB1082" s="13" t="n">
        <v>7.6</v>
      </c>
      <c r="AC1082" s="11" t="inlineStr">
        <is>
          <t xml:space="preserve"> Resort Freeride</t>
        </is>
      </c>
      <c r="AD1082" s="13" t="n"/>
      <c r="AE1082" s="13" t="n"/>
      <c r="AF1082" s="13" t="n"/>
      <c r="AG1082" s="13" t="n"/>
    </row>
    <row r="1083">
      <c r="A1083" s="9" t="inlineStr">
        <is>
          <t>21/22</t>
        </is>
      </c>
      <c r="B1083" s="10" t="inlineStr">
        <is>
          <t xml:space="preserve"> Salomon</t>
        </is>
      </c>
      <c r="C1083" s="11" t="inlineStr">
        <is>
          <t>QST 98</t>
        </is>
      </c>
      <c r="D1083" s="13" t="n">
        <v>176</v>
      </c>
      <c r="E1083" s="11" t="inlineStr">
        <is>
          <t xml:space="preserve"> Unisex</t>
        </is>
      </c>
      <c r="F1083" s="13" t="n">
        <v>176</v>
      </c>
      <c r="G1083" s="13" t="n">
        <v>177.6</v>
      </c>
      <c r="H1083" s="13" t="n">
        <v>102</v>
      </c>
      <c r="I1083" s="13" t="n">
        <v>134</v>
      </c>
      <c r="J1083" s="13" t="n">
        <v>131</v>
      </c>
      <c r="K1083" s="13" t="n">
        <v>97</v>
      </c>
      <c r="L1083" s="13" t="n">
        <v>119</v>
      </c>
      <c r="M1083" s="13" t="n">
        <v>13.4</v>
      </c>
      <c r="N1083" s="13" t="n">
        <v>1987</v>
      </c>
      <c r="O1083" s="13" t="n">
        <v>0.98</v>
      </c>
      <c r="P1083" s="13" t="n">
        <v>1941</v>
      </c>
      <c r="Q1083" s="13" t="n">
        <v>190</v>
      </c>
      <c r="R1083" s="13" t="n">
        <v>88</v>
      </c>
      <c r="S1083" s="13" t="n">
        <v>57</v>
      </c>
      <c r="T1083" s="13" t="n">
        <v>394</v>
      </c>
      <c r="U1083" s="13" t="n">
        <v>29</v>
      </c>
      <c r="V1083" s="13" t="n">
        <v>364</v>
      </c>
      <c r="W1083" s="13" t="n">
        <v>0.507</v>
      </c>
      <c r="X1083" s="13" t="n">
        <v>248</v>
      </c>
      <c r="Y1083" s="13" t="n">
        <v>186</v>
      </c>
      <c r="Z1083" s="13" t="n">
        <v>146</v>
      </c>
      <c r="AA1083" s="13" t="n">
        <v>6</v>
      </c>
      <c r="AB1083" s="13" t="n">
        <v>8.6</v>
      </c>
      <c r="AC1083" s="11" t="inlineStr">
        <is>
          <t xml:space="preserve"> Resort Freeride</t>
        </is>
      </c>
      <c r="AD1083" s="13" t="n"/>
      <c r="AE1083" s="13" t="n"/>
      <c r="AF1083" s="13" t="n"/>
      <c r="AG1083" s="13" t="n"/>
    </row>
    <row r="1084">
      <c r="A1084" s="9" t="inlineStr">
        <is>
          <t>21/22</t>
        </is>
      </c>
      <c r="B1084" s="10" t="inlineStr">
        <is>
          <t xml:space="preserve"> Salomon</t>
        </is>
      </c>
      <c r="C1084" s="11" t="inlineStr">
        <is>
          <t>QST 98</t>
        </is>
      </c>
      <c r="D1084" s="13" t="n">
        <v>183</v>
      </c>
      <c r="E1084" s="11" t="inlineStr">
        <is>
          <t xml:space="preserve"> Unisex</t>
        </is>
      </c>
      <c r="F1084" s="13" t="n">
        <v>183</v>
      </c>
      <c r="G1084" s="13" t="n">
        <v>182.6</v>
      </c>
      <c r="H1084" s="13" t="n">
        <v>101</v>
      </c>
      <c r="I1084" s="13" t="n">
        <v>137</v>
      </c>
      <c r="J1084" s="13" t="n">
        <v>132</v>
      </c>
      <c r="K1084" s="13" t="n">
        <v>98</v>
      </c>
      <c r="L1084" s="13" t="n">
        <v>120</v>
      </c>
      <c r="M1084" s="13" t="n">
        <v>14.2</v>
      </c>
      <c r="N1084" s="13" t="n">
        <v>2030</v>
      </c>
      <c r="O1084" s="13" t="n">
        <v>0.99</v>
      </c>
      <c r="P1084" s="13" t="n">
        <v>2008</v>
      </c>
      <c r="Q1084" s="13" t="n">
        <v>210</v>
      </c>
      <c r="R1084" s="13" t="n">
        <v>105</v>
      </c>
      <c r="S1084" s="13" t="n">
        <v>52</v>
      </c>
      <c r="T1084" s="13" t="n">
        <v>414</v>
      </c>
      <c r="U1084" s="13" t="n">
        <v>33</v>
      </c>
      <c r="V1084" s="13" t="n">
        <v>406</v>
      </c>
      <c r="W1084" s="13" t="n">
        <v>0.629</v>
      </c>
      <c r="X1084" s="13" t="n">
        <v>276</v>
      </c>
      <c r="Y1084" s="13" t="n">
        <v>182</v>
      </c>
      <c r="Z1084" s="13" t="n">
        <v>138</v>
      </c>
      <c r="AA1084" s="13" t="n">
        <v>6</v>
      </c>
      <c r="AB1084" s="13" t="n">
        <v>8.699999999999999</v>
      </c>
      <c r="AC1084" s="11" t="inlineStr">
        <is>
          <t xml:space="preserve"> Resort Freeride</t>
        </is>
      </c>
      <c r="AD1084" s="13" t="n"/>
      <c r="AE1084" s="13" t="n"/>
      <c r="AF1084" s="13" t="n"/>
      <c r="AG1084" s="13" t="n"/>
    </row>
    <row r="1085">
      <c r="A1085" s="9" t="inlineStr">
        <is>
          <t>21/22</t>
        </is>
      </c>
      <c r="B1085" s="10" t="inlineStr">
        <is>
          <t xml:space="preserve"> Salomon</t>
        </is>
      </c>
      <c r="C1085" s="11" t="inlineStr">
        <is>
          <t>QST 99</t>
        </is>
      </c>
      <c r="D1085" s="13" t="n">
        <v>167</v>
      </c>
      <c r="E1085" s="11" t="inlineStr">
        <is>
          <t xml:space="preserve"> Unisex</t>
        </is>
      </c>
      <c r="F1085" s="13" t="n">
        <v>167</v>
      </c>
      <c r="G1085" s="13" t="n">
        <v>166</v>
      </c>
      <c r="H1085" s="13" t="n">
        <v>130</v>
      </c>
      <c r="I1085" s="13" t="n">
        <v>130</v>
      </c>
      <c r="J1085" s="13" t="n">
        <v>133</v>
      </c>
      <c r="K1085" s="13" t="n">
        <v>98</v>
      </c>
      <c r="L1085" s="13" t="n">
        <v>116</v>
      </c>
      <c r="M1085" s="13" t="n">
        <v>14</v>
      </c>
      <c r="N1085" s="13" t="n">
        <v>1882</v>
      </c>
      <c r="O1085" s="13" t="n">
        <v>0.97</v>
      </c>
      <c r="P1085" s="13" t="n">
        <v>1828</v>
      </c>
      <c r="Q1085" s="13" t="n">
        <v>191</v>
      </c>
      <c r="R1085" s="13" t="n">
        <v>88</v>
      </c>
      <c r="S1085" s="13" t="n">
        <v>51</v>
      </c>
      <c r="T1085" s="13" t="n">
        <v>194</v>
      </c>
      <c r="U1085" s="13" t="n">
        <v>19</v>
      </c>
      <c r="V1085" s="13" t="n">
        <v>169</v>
      </c>
      <c r="W1085" s="13" t="n">
        <v>0.375</v>
      </c>
      <c r="X1085" s="13" t="n">
        <v>212</v>
      </c>
      <c r="Y1085" s="13" t="n">
        <v>153</v>
      </c>
      <c r="Z1085" s="13" t="n">
        <v>-18</v>
      </c>
      <c r="AA1085" s="13" t="n">
        <v>14</v>
      </c>
      <c r="AB1085" s="13" t="n">
        <v>8.6</v>
      </c>
      <c r="AC1085" s="11" t="inlineStr">
        <is>
          <t xml:space="preserve"> Resort Freeride</t>
        </is>
      </c>
      <c r="AD1085" s="13" t="n"/>
      <c r="AE1085" s="13" t="n"/>
      <c r="AF1085" s="13" t="n"/>
      <c r="AG1085" s="13" t="n"/>
    </row>
    <row r="1086">
      <c r="A1086" s="9" t="inlineStr">
        <is>
          <t>21/22</t>
        </is>
      </c>
      <c r="B1086" s="10" t="inlineStr">
        <is>
          <t xml:space="preserve"> Salomon</t>
        </is>
      </c>
      <c r="C1086" s="11" t="inlineStr">
        <is>
          <t>QST 99</t>
        </is>
      </c>
      <c r="D1086" s="13" t="n">
        <v>181</v>
      </c>
      <c r="E1086" s="11" t="inlineStr">
        <is>
          <t xml:space="preserve"> Unisex</t>
        </is>
      </c>
      <c r="F1086" s="13" t="n">
        <v>181</v>
      </c>
      <c r="G1086" s="13" t="n">
        <v>180.4</v>
      </c>
      <c r="H1086" s="13" t="n">
        <v>125</v>
      </c>
      <c r="I1086" s="13" t="n">
        <v>144</v>
      </c>
      <c r="J1086" s="13" t="n">
        <v>136</v>
      </c>
      <c r="K1086" s="13" t="n">
        <v>98</v>
      </c>
      <c r="L1086" s="13" t="n">
        <v>119</v>
      </c>
      <c r="M1086" s="13" t="n">
        <v>15.3</v>
      </c>
      <c r="N1086" s="13" t="n">
        <v>2085</v>
      </c>
      <c r="O1086" s="13" t="n">
        <v>0.96</v>
      </c>
      <c r="P1086" s="13" t="n">
        <v>2011</v>
      </c>
      <c r="Q1086" s="13" t="n">
        <v>253</v>
      </c>
      <c r="R1086" s="13" t="n">
        <v>114</v>
      </c>
      <c r="S1086" s="13" t="n">
        <v>55</v>
      </c>
      <c r="T1086" s="13" t="n">
        <v>295</v>
      </c>
      <c r="U1086" s="13" t="n">
        <v>23</v>
      </c>
      <c r="V1086" s="13" t="n">
        <v>263</v>
      </c>
      <c r="W1086" s="13" t="n">
        <v>0.419</v>
      </c>
      <c r="X1086" s="13" t="n">
        <v>208</v>
      </c>
      <c r="Y1086" s="13" t="n">
        <v>156</v>
      </c>
      <c r="Z1086" s="13" t="n">
        <v>87</v>
      </c>
      <c r="AA1086" s="13" t="n">
        <v>9</v>
      </c>
      <c r="AB1086" s="13" t="n">
        <v>9.800000000000001</v>
      </c>
      <c r="AC1086" s="11" t="inlineStr">
        <is>
          <t xml:space="preserve"> Resort Freeride</t>
        </is>
      </c>
      <c r="AD1086" s="13" t="n"/>
      <c r="AE1086" s="13" t="n"/>
      <c r="AF1086" s="13" t="n"/>
      <c r="AG1086" s="13" t="n"/>
    </row>
    <row r="1087">
      <c r="A1087" s="9" t="inlineStr">
        <is>
          <t>21/22</t>
        </is>
      </c>
      <c r="B1087" s="10" t="inlineStr">
        <is>
          <t xml:space="preserve"> Salomon</t>
        </is>
      </c>
      <c r="C1087" s="11" t="inlineStr">
        <is>
          <t>QST 99</t>
        </is>
      </c>
      <c r="D1087" s="13" t="n">
        <v>188</v>
      </c>
      <c r="E1087" s="11" t="inlineStr">
        <is>
          <t xml:space="preserve"> Unisex</t>
        </is>
      </c>
      <c r="F1087" s="13" t="n">
        <v>188</v>
      </c>
      <c r="G1087" s="13" t="n">
        <v>187.2</v>
      </c>
      <c r="H1087" s="13" t="n">
        <v>126</v>
      </c>
      <c r="I1087" s="13" t="n">
        <v>148</v>
      </c>
      <c r="J1087" s="13" t="n">
        <v>139</v>
      </c>
      <c r="K1087" s="13" t="n">
        <v>98</v>
      </c>
      <c r="L1087" s="13" t="n">
        <v>121</v>
      </c>
      <c r="M1087" s="13" t="n">
        <v>15.4</v>
      </c>
      <c r="N1087" s="13" t="n">
        <v>2297</v>
      </c>
      <c r="O1087" s="13" t="n">
        <v>0.92</v>
      </c>
      <c r="P1087" s="13" t="n">
        <v>2102</v>
      </c>
      <c r="Q1087" s="13" t="n">
        <v>277</v>
      </c>
      <c r="R1087" s="13" t="n">
        <v>124</v>
      </c>
      <c r="S1087" s="13" t="n">
        <v>60</v>
      </c>
      <c r="T1087" s="13" t="n">
        <v>342</v>
      </c>
      <c r="U1087" s="13" t="n">
        <v>22</v>
      </c>
      <c r="V1087" s="13" t="n">
        <v>271</v>
      </c>
      <c r="W1087" s="13" t="n">
        <v>0.369</v>
      </c>
      <c r="X1087" s="13" t="n">
        <v>236</v>
      </c>
      <c r="Y1087" s="13" t="n">
        <v>155</v>
      </c>
      <c r="Z1087" s="13" t="n">
        <v>106</v>
      </c>
      <c r="AA1087" s="13" t="n">
        <v>7</v>
      </c>
      <c r="AB1087" s="13" t="n">
        <v>10.3</v>
      </c>
      <c r="AC1087" s="11" t="inlineStr">
        <is>
          <t xml:space="preserve"> Resort Freeride</t>
        </is>
      </c>
      <c r="AD1087" s="13" t="n"/>
      <c r="AE1087" s="13" t="n"/>
      <c r="AF1087" s="13" t="n"/>
      <c r="AG1087" s="13" t="n"/>
    </row>
    <row r="1088">
      <c r="A1088" s="9" t="inlineStr">
        <is>
          <t>21/22</t>
        </is>
      </c>
      <c r="B1088" s="10" t="inlineStr">
        <is>
          <t xml:space="preserve"> Salomon</t>
        </is>
      </c>
      <c r="C1088" s="11" t="inlineStr">
        <is>
          <t xml:space="preserve"> QST Blank</t>
        </is>
      </c>
      <c r="D1088" s="13" t="n">
        <v>186</v>
      </c>
      <c r="E1088" s="11" t="inlineStr">
        <is>
          <t xml:space="preserve"> Unisex</t>
        </is>
      </c>
      <c r="F1088" s="13" t="n">
        <v>186</v>
      </c>
      <c r="G1088" s="13" t="n">
        <v>185.2</v>
      </c>
      <c r="H1088" s="13" t="n">
        <v>86</v>
      </c>
      <c r="I1088" s="13" t="n">
        <v>139</v>
      </c>
      <c r="J1088" s="13" t="n">
        <v>137</v>
      </c>
      <c r="K1088" s="13" t="n">
        <v>111</v>
      </c>
      <c r="L1088" s="13" t="n">
        <v>126</v>
      </c>
      <c r="M1088" s="13" t="n">
        <v>17.9</v>
      </c>
      <c r="N1088" s="13" t="n">
        <v>2172</v>
      </c>
      <c r="O1088" s="13" t="n">
        <v>1.03</v>
      </c>
      <c r="P1088" s="13" t="n">
        <v>2237</v>
      </c>
      <c r="Q1088" s="13" t="n">
        <v>227</v>
      </c>
      <c r="R1088" s="13" t="n">
        <v>111</v>
      </c>
      <c r="S1088" s="13" t="n">
        <v>62</v>
      </c>
      <c r="T1088" s="13" t="n">
        <v>489</v>
      </c>
      <c r="U1088" s="13" t="n">
        <v>33</v>
      </c>
      <c r="V1088" s="13" t="n">
        <v>500</v>
      </c>
      <c r="W1088" s="13" t="n">
        <v>0.544</v>
      </c>
      <c r="X1088" s="13" t="n">
        <v>209</v>
      </c>
      <c r="Y1088" s="13" t="n">
        <v>256</v>
      </c>
      <c r="Z1088" s="13" t="n">
        <v>280</v>
      </c>
      <c r="AA1088" s="13" t="n">
        <v>3</v>
      </c>
      <c r="AB1088" s="13" t="n">
        <v>8.5</v>
      </c>
      <c r="AC1088" s="11" t="inlineStr">
        <is>
          <t xml:space="preserve"> Powder</t>
        </is>
      </c>
      <c r="AD1088" s="13" t="n"/>
      <c r="AE1088" s="13" t="n"/>
      <c r="AF1088" s="13" t="n"/>
      <c r="AG1088" s="13" t="n"/>
    </row>
    <row r="1089">
      <c r="A1089" s="9" t="inlineStr">
        <is>
          <t>21/22</t>
        </is>
      </c>
      <c r="B1089" s="10" t="inlineStr">
        <is>
          <t xml:space="preserve"> Salomon</t>
        </is>
      </c>
      <c r="C1089" s="11" t="inlineStr">
        <is>
          <t xml:space="preserve"> QST Blank</t>
        </is>
      </c>
      <c r="D1089" s="13" t="n">
        <v>194</v>
      </c>
      <c r="E1089" s="11" t="inlineStr">
        <is>
          <t xml:space="preserve"> Unisex</t>
        </is>
      </c>
      <c r="F1089" s="13" t="n">
        <v>194</v>
      </c>
      <c r="G1089" s="13" t="n">
        <v>193.2</v>
      </c>
      <c r="H1089" s="13" t="n">
        <v>91</v>
      </c>
      <c r="I1089" s="13" t="n">
        <v>148</v>
      </c>
      <c r="J1089" s="13" t="n">
        <v>138</v>
      </c>
      <c r="K1089" s="13" t="n">
        <v>111</v>
      </c>
      <c r="L1089" s="13" t="n">
        <v>127</v>
      </c>
      <c r="M1089" s="13" t="n">
        <v>19.3</v>
      </c>
      <c r="N1089" s="13" t="n">
        <v>2330</v>
      </c>
      <c r="O1089" s="13" t="n">
        <v>1</v>
      </c>
      <c r="P1089" s="13" t="n">
        <v>2337</v>
      </c>
      <c r="Q1089" s="13" t="n">
        <v>265</v>
      </c>
      <c r="R1089" s="13" t="n">
        <v>134</v>
      </c>
      <c r="S1089" s="13" t="n">
        <v>63</v>
      </c>
      <c r="T1089" s="13" t="n">
        <v>519</v>
      </c>
      <c r="U1089" s="13" t="n">
        <v>34</v>
      </c>
      <c r="V1089" s="13" t="n">
        <v>505</v>
      </c>
      <c r="W1089" s="13" t="n">
        <v>0.54</v>
      </c>
      <c r="X1089" s="13" t="n">
        <v>244</v>
      </c>
      <c r="Y1089" s="13" t="n">
        <v>207</v>
      </c>
      <c r="Z1089" s="13" t="n">
        <v>275</v>
      </c>
      <c r="AA1089" s="13" t="n">
        <v>3</v>
      </c>
      <c r="AB1089" s="13" t="n">
        <v>7.1</v>
      </c>
      <c r="AC1089" s="11" t="inlineStr">
        <is>
          <t xml:space="preserve"> Powder</t>
        </is>
      </c>
      <c r="AD1089" s="13" t="n"/>
      <c r="AE1089" s="13" t="n"/>
      <c r="AF1089" s="13" t="n"/>
      <c r="AG1089" s="13" t="n"/>
    </row>
    <row r="1090">
      <c r="A1090" s="9" t="inlineStr">
        <is>
          <t>21/22</t>
        </is>
      </c>
      <c r="B1090" s="10" t="inlineStr">
        <is>
          <t xml:space="preserve"> Salomon</t>
        </is>
      </c>
      <c r="C1090" s="11" t="inlineStr">
        <is>
          <t>QST Lumen 99</t>
        </is>
      </c>
      <c r="D1090" s="13" t="n">
        <v>167</v>
      </c>
      <c r="E1090" s="11" t="inlineStr">
        <is>
          <t xml:space="preserve"> Women's</t>
        </is>
      </c>
      <c r="F1090" s="13" t="n">
        <v>167</v>
      </c>
      <c r="G1090" s="13" t="n">
        <v>165.8</v>
      </c>
      <c r="H1090" s="13" t="n">
        <v>124</v>
      </c>
      <c r="I1090" s="13" t="n">
        <v>129</v>
      </c>
      <c r="J1090" s="13" t="n">
        <v>134</v>
      </c>
      <c r="K1090" s="13" t="n">
        <v>98</v>
      </c>
      <c r="L1090" s="13" t="n">
        <v>116</v>
      </c>
      <c r="M1090" s="13" t="n">
        <v>13.6</v>
      </c>
      <c r="N1090" s="11" t="inlineStr">
        <is>
          <t xml:space="preserve"> None</t>
        </is>
      </c>
      <c r="O1090" s="11" t="inlineStr">
        <is>
          <t xml:space="preserve"> None</t>
        </is>
      </c>
      <c r="P1090" s="13" t="n">
        <v>1829</v>
      </c>
      <c r="Q1090" s="13" t="n">
        <v>191</v>
      </c>
      <c r="R1090" s="13" t="n">
        <v>91</v>
      </c>
      <c r="S1090" s="13" t="n">
        <v>52</v>
      </c>
      <c r="T1090" s="13" t="n">
        <v>220</v>
      </c>
      <c r="U1090" s="13" t="n">
        <v>22</v>
      </c>
      <c r="V1090" s="13" t="n">
        <v>203</v>
      </c>
      <c r="W1090" s="13" t="n">
        <v>0.418</v>
      </c>
      <c r="X1090" s="13" t="n">
        <v>218</v>
      </c>
      <c r="Y1090" s="13" t="n">
        <v>145</v>
      </c>
      <c r="Z1090" s="13" t="n">
        <v>2</v>
      </c>
      <c r="AA1090" s="13" t="n">
        <v>10</v>
      </c>
      <c r="AB1090" s="13" t="n">
        <v>9.300000000000001</v>
      </c>
      <c r="AC1090" s="11" t="inlineStr">
        <is>
          <t xml:space="preserve"> Other</t>
        </is>
      </c>
      <c r="AD1090" s="13" t="n"/>
      <c r="AE1090" s="13" t="n"/>
      <c r="AF1090" s="13" t="n"/>
      <c r="AG1090" s="13" t="n"/>
    </row>
    <row r="1091">
      <c r="A1091" s="9" t="inlineStr">
        <is>
          <t>21/22</t>
        </is>
      </c>
      <c r="B1091" s="10" t="inlineStr">
        <is>
          <t xml:space="preserve"> Salomon</t>
        </is>
      </c>
      <c r="C1091" s="11" t="inlineStr">
        <is>
          <t>QST Lumen 99</t>
        </is>
      </c>
      <c r="D1091" s="13" t="n">
        <v>174</v>
      </c>
      <c r="E1091" s="11" t="inlineStr">
        <is>
          <t xml:space="preserve"> Women's</t>
        </is>
      </c>
      <c r="F1091" s="13" t="n">
        <v>174</v>
      </c>
      <c r="G1091" s="13" t="n">
        <v>172.6</v>
      </c>
      <c r="H1091" s="13" t="n">
        <v>127</v>
      </c>
      <c r="I1091" s="13" t="n">
        <v>134</v>
      </c>
      <c r="J1091" s="13" t="n">
        <v>135</v>
      </c>
      <c r="K1091" s="13" t="n">
        <v>99</v>
      </c>
      <c r="L1091" s="13" t="n">
        <v>117</v>
      </c>
      <c r="M1091" s="13" t="n">
        <v>14.2</v>
      </c>
      <c r="N1091" s="13" t="n">
        <v>1830</v>
      </c>
      <c r="O1091" s="13" t="n">
        <v>1.05</v>
      </c>
      <c r="P1091" s="13" t="n">
        <v>1919</v>
      </c>
      <c r="Q1091" s="13" t="n">
        <v>223</v>
      </c>
      <c r="R1091" s="13" t="n">
        <v>109</v>
      </c>
      <c r="S1091" s="13" t="n">
        <v>53</v>
      </c>
      <c r="T1091" s="13" t="n">
        <v>258</v>
      </c>
      <c r="U1091" s="13" t="n">
        <v>19</v>
      </c>
      <c r="V1091" s="13" t="n">
        <v>201</v>
      </c>
      <c r="W1091" s="13" t="n">
        <v>0.356</v>
      </c>
      <c r="X1091" s="13" t="n">
        <v>227</v>
      </c>
      <c r="Y1091" s="13" t="n">
        <v>155</v>
      </c>
      <c r="Z1091" s="13" t="n">
        <v>32</v>
      </c>
      <c r="AA1091" s="13" t="n">
        <v>10</v>
      </c>
      <c r="AB1091" s="13" t="n">
        <v>10.6</v>
      </c>
      <c r="AC1091" s="11" t="inlineStr">
        <is>
          <t xml:space="preserve"> Resort Freeride</t>
        </is>
      </c>
      <c r="AD1091" s="13" t="n"/>
      <c r="AE1091" s="13" t="n"/>
      <c r="AF1091" s="13" t="n"/>
      <c r="AG1091" s="13" t="n"/>
    </row>
    <row r="1092">
      <c r="A1092" s="9" t="inlineStr">
        <is>
          <t>21/22</t>
        </is>
      </c>
      <c r="B1092" s="10" t="inlineStr">
        <is>
          <t xml:space="preserve"> Salomon</t>
        </is>
      </c>
      <c r="C1092" s="11" t="inlineStr">
        <is>
          <t>QST Lux 92</t>
        </is>
      </c>
      <c r="D1092" s="13" t="n">
        <v>153</v>
      </c>
      <c r="E1092" s="11" t="inlineStr">
        <is>
          <t xml:space="preserve"> Women's</t>
        </is>
      </c>
      <c r="F1092" s="13" t="n">
        <v>153</v>
      </c>
      <c r="G1092" s="13" t="n">
        <v>152.2</v>
      </c>
      <c r="H1092" s="13" t="n">
        <v>115</v>
      </c>
      <c r="I1092" s="13" t="n">
        <v>128</v>
      </c>
      <c r="J1092" s="13" t="n">
        <v>127</v>
      </c>
      <c r="K1092" s="13" t="n">
        <v>92</v>
      </c>
      <c r="L1092" s="13" t="n">
        <v>110</v>
      </c>
      <c r="M1092" s="13" t="n">
        <v>13.2</v>
      </c>
      <c r="N1092" s="13" t="n">
        <v>1584</v>
      </c>
      <c r="O1092" s="13" t="n">
        <v>1</v>
      </c>
      <c r="P1092" s="13" t="n">
        <v>1576</v>
      </c>
      <c r="Q1092" s="13" t="n">
        <v>160</v>
      </c>
      <c r="R1092" s="13" t="n">
        <v>78</v>
      </c>
      <c r="S1092" s="13" t="n">
        <v>55</v>
      </c>
      <c r="T1092" s="13" t="n">
        <v>262</v>
      </c>
      <c r="U1092" s="13" t="n">
        <v>13</v>
      </c>
      <c r="V1092" s="13" t="n">
        <v>107</v>
      </c>
      <c r="W1092" s="13" t="n">
        <v>0.24</v>
      </c>
      <c r="X1092" s="13" t="n">
        <v>136</v>
      </c>
      <c r="Y1092" s="13" t="n">
        <v>106</v>
      </c>
      <c r="Z1092" s="13" t="n">
        <v>125</v>
      </c>
      <c r="AA1092" s="13" t="n">
        <v>10</v>
      </c>
      <c r="AB1092" s="13" t="n">
        <v>7.7</v>
      </c>
      <c r="AC1092" s="11" t="inlineStr">
        <is>
          <t xml:space="preserve"> Resort Freeride</t>
        </is>
      </c>
      <c r="AD1092" s="13" t="n"/>
      <c r="AE1092" s="13" t="n"/>
      <c r="AF1092" s="13" t="n"/>
      <c r="AG1092" s="13" t="n"/>
    </row>
    <row r="1093">
      <c r="A1093" s="9" t="inlineStr">
        <is>
          <t>21/22</t>
        </is>
      </c>
      <c r="B1093" s="10" t="inlineStr">
        <is>
          <t xml:space="preserve"> Salomon</t>
        </is>
      </c>
      <c r="C1093" s="11" t="inlineStr">
        <is>
          <t>QST Lux 92</t>
        </is>
      </c>
      <c r="D1093" s="13" t="n">
        <v>161</v>
      </c>
      <c r="E1093" s="11" t="inlineStr">
        <is>
          <t xml:space="preserve"> Women's</t>
        </is>
      </c>
      <c r="F1093" s="13" t="n">
        <v>161</v>
      </c>
      <c r="G1093" s="13" t="n">
        <v>160.1</v>
      </c>
      <c r="H1093" s="13" t="n">
        <v>120</v>
      </c>
      <c r="I1093" s="13" t="n">
        <v>134</v>
      </c>
      <c r="J1093" s="13" t="n">
        <v>128</v>
      </c>
      <c r="K1093" s="13" t="n">
        <v>92</v>
      </c>
      <c r="L1093" s="13" t="n">
        <v>111</v>
      </c>
      <c r="M1093" s="13" t="n">
        <v>14.4</v>
      </c>
      <c r="N1093" s="13" t="n">
        <v>1647</v>
      </c>
      <c r="O1093" s="13" t="n">
        <v>1.01</v>
      </c>
      <c r="P1093" s="13" t="n">
        <v>1660</v>
      </c>
      <c r="Q1093" s="13" t="n">
        <v>170</v>
      </c>
      <c r="R1093" s="13" t="n">
        <v>77</v>
      </c>
      <c r="S1093" s="13" t="n">
        <v>56</v>
      </c>
      <c r="T1093" s="13" t="n">
        <v>278</v>
      </c>
      <c r="U1093" s="13" t="n">
        <v>13</v>
      </c>
      <c r="V1093" s="13" t="n">
        <v>128</v>
      </c>
      <c r="W1093" s="13" t="n">
        <v>0.231</v>
      </c>
      <c r="X1093" s="13" t="n">
        <v>149</v>
      </c>
      <c r="Y1093" s="13" t="n">
        <v>115</v>
      </c>
      <c r="Z1093" s="13" t="n">
        <v>129</v>
      </c>
      <c r="AA1093" s="13" t="n">
        <v>9</v>
      </c>
      <c r="AB1093" s="13" t="n">
        <v>8.9</v>
      </c>
      <c r="AC1093" s="11" t="inlineStr">
        <is>
          <t xml:space="preserve"> Resort Freeride</t>
        </is>
      </c>
      <c r="AD1093" s="13" t="n"/>
      <c r="AE1093" s="13" t="n"/>
      <c r="AF1093" s="13" t="n"/>
      <c r="AG1093" s="13" t="n"/>
    </row>
    <row r="1094">
      <c r="A1094" s="9" t="inlineStr">
        <is>
          <t>21/22</t>
        </is>
      </c>
      <c r="B1094" s="10" t="inlineStr">
        <is>
          <t xml:space="preserve"> Salomon</t>
        </is>
      </c>
      <c r="C1094" s="11" t="inlineStr">
        <is>
          <t>QST Lux 92</t>
        </is>
      </c>
      <c r="D1094" s="13" t="n">
        <v>169</v>
      </c>
      <c r="E1094" s="11" t="inlineStr">
        <is>
          <t xml:space="preserve"> Women's</t>
        </is>
      </c>
      <c r="F1094" s="13" t="n">
        <v>169</v>
      </c>
      <c r="G1094" s="13" t="n">
        <v>168.6</v>
      </c>
      <c r="H1094" s="13" t="n">
        <v>125</v>
      </c>
      <c r="I1094" s="13" t="n">
        <v>140</v>
      </c>
      <c r="J1094" s="13" t="n">
        <v>129</v>
      </c>
      <c r="K1094" s="13" t="n">
        <v>92</v>
      </c>
      <c r="L1094" s="13" t="n">
        <v>112</v>
      </c>
      <c r="M1094" s="13" t="n">
        <v>15.5</v>
      </c>
      <c r="N1094" s="13" t="n">
        <v>1722</v>
      </c>
      <c r="O1094" s="13" t="n">
        <v>1.02</v>
      </c>
      <c r="P1094" s="13" t="n">
        <v>1752</v>
      </c>
      <c r="Q1094" s="13" t="n">
        <v>183</v>
      </c>
      <c r="R1094" s="13" t="n">
        <v>82</v>
      </c>
      <c r="S1094" s="13" t="n">
        <v>56</v>
      </c>
      <c r="T1094" s="13" t="n">
        <v>288</v>
      </c>
      <c r="U1094" s="13" t="n">
        <v>13</v>
      </c>
      <c r="V1094" s="13" t="n">
        <v>147</v>
      </c>
      <c r="W1094" s="13" t="n">
        <v>0.238</v>
      </c>
      <c r="X1094" s="13" t="n">
        <v>156</v>
      </c>
      <c r="Y1094" s="13" t="n">
        <v>128</v>
      </c>
      <c r="Z1094" s="13" t="n">
        <v>132</v>
      </c>
      <c r="AA1094" s="13" t="n">
        <v>8</v>
      </c>
      <c r="AB1094" s="13" t="n">
        <v>9.1</v>
      </c>
      <c r="AC1094" s="11" t="inlineStr">
        <is>
          <t xml:space="preserve"> Resort Freeride</t>
        </is>
      </c>
      <c r="AD1094" s="13" t="n"/>
      <c r="AE1094" s="13" t="n"/>
      <c r="AF1094" s="13" t="n"/>
      <c r="AG1094" s="13" t="n"/>
    </row>
    <row r="1095">
      <c r="A1095" s="9" t="inlineStr">
        <is>
          <t>21/22</t>
        </is>
      </c>
      <c r="B1095" s="10" t="inlineStr">
        <is>
          <t xml:space="preserve"> Salomon</t>
        </is>
      </c>
      <c r="C1095" s="11" t="inlineStr">
        <is>
          <t>QST Stella 106</t>
        </is>
      </c>
      <c r="D1095" s="13" t="n">
        <v>159</v>
      </c>
      <c r="E1095" s="11" t="inlineStr">
        <is>
          <t xml:space="preserve"> Women's</t>
        </is>
      </c>
      <c r="F1095" s="13" t="n">
        <v>159</v>
      </c>
      <c r="G1095" s="13" t="n">
        <v>158.2</v>
      </c>
      <c r="H1095" s="13" t="n">
        <v>99</v>
      </c>
      <c r="I1095" s="13" t="n">
        <v>129</v>
      </c>
      <c r="J1095" s="13" t="n">
        <v>136</v>
      </c>
      <c r="K1095" s="13" t="n">
        <v>104</v>
      </c>
      <c r="L1095" s="13" t="n">
        <v>122</v>
      </c>
      <c r="M1095" s="13" t="n">
        <v>16.4</v>
      </c>
      <c r="N1095" s="13" t="n">
        <v>1771</v>
      </c>
      <c r="O1095" s="13" t="n">
        <v>1.02</v>
      </c>
      <c r="P1095" s="13" t="n">
        <v>1814</v>
      </c>
      <c r="Q1095" s="13" t="n">
        <v>176</v>
      </c>
      <c r="R1095" s="13" t="n">
        <v>68</v>
      </c>
      <c r="S1095" s="13" t="n">
        <v>58</v>
      </c>
      <c r="T1095" s="13" t="n">
        <v>340</v>
      </c>
      <c r="U1095" s="13" t="n">
        <v>26</v>
      </c>
      <c r="V1095" s="13" t="n">
        <v>254</v>
      </c>
      <c r="W1095" s="13" t="n">
        <v>0.445</v>
      </c>
      <c r="X1095" s="13" t="n">
        <v>176</v>
      </c>
      <c r="Y1095" s="13" t="n">
        <v>113</v>
      </c>
      <c r="Z1095" s="13" t="n">
        <v>164</v>
      </c>
      <c r="AA1095" s="13" t="n">
        <v>5</v>
      </c>
      <c r="AB1095" s="13" t="n">
        <v>9.6</v>
      </c>
      <c r="AC1095" s="11" t="inlineStr">
        <is>
          <t xml:space="preserve"> Resort Freeride</t>
        </is>
      </c>
      <c r="AD1095" s="11" t="inlineStr">
        <is>
          <t xml:space="preserve"> Powder</t>
        </is>
      </c>
      <c r="AE1095" s="13" t="n"/>
      <c r="AF1095" s="13" t="n"/>
      <c r="AG1095" s="13" t="n"/>
    </row>
    <row r="1096">
      <c r="A1096" s="9" t="inlineStr">
        <is>
          <t>21/22</t>
        </is>
      </c>
      <c r="B1096" s="10" t="inlineStr">
        <is>
          <t xml:space="preserve"> Salomon</t>
        </is>
      </c>
      <c r="C1096" s="11" t="inlineStr">
        <is>
          <t>QST Stella 106</t>
        </is>
      </c>
      <c r="D1096" s="13" t="n">
        <v>167</v>
      </c>
      <c r="E1096" s="11" t="inlineStr">
        <is>
          <t xml:space="preserve"> Women's</t>
        </is>
      </c>
      <c r="F1096" s="13" t="n">
        <v>167</v>
      </c>
      <c r="G1096" s="13" t="n">
        <v>166.4</v>
      </c>
      <c r="H1096" s="13" t="n">
        <v>105</v>
      </c>
      <c r="I1096" s="13" t="n">
        <v>136</v>
      </c>
      <c r="J1096" s="13" t="n">
        <v>136</v>
      </c>
      <c r="K1096" s="13" t="n">
        <v>104</v>
      </c>
      <c r="L1096" s="13" t="n">
        <v>123</v>
      </c>
      <c r="M1096" s="13" t="n">
        <v>17.6</v>
      </c>
      <c r="N1096" s="13" t="n">
        <v>1843</v>
      </c>
      <c r="O1096" s="13" t="n">
        <v>1.04</v>
      </c>
      <c r="P1096" s="13" t="n">
        <v>1912</v>
      </c>
      <c r="Q1096" s="13" t="n">
        <v>207</v>
      </c>
      <c r="R1096" s="13" t="n">
        <v>85</v>
      </c>
      <c r="S1096" s="13" t="n">
        <v>56</v>
      </c>
      <c r="T1096" s="13" t="n">
        <v>343</v>
      </c>
      <c r="U1096" s="13" t="n">
        <v>24</v>
      </c>
      <c r="V1096" s="13" t="n">
        <v>266</v>
      </c>
      <c r="W1096" s="13" t="n">
        <v>0.436</v>
      </c>
      <c r="X1096" s="13" t="n">
        <v>186</v>
      </c>
      <c r="Y1096" s="13" t="n">
        <v>115</v>
      </c>
      <c r="Z1096" s="13" t="n">
        <v>158</v>
      </c>
      <c r="AA1096" s="13" t="n">
        <v>6</v>
      </c>
      <c r="AB1096" s="13" t="n">
        <v>9.9</v>
      </c>
      <c r="AC1096" s="11" t="inlineStr">
        <is>
          <t xml:space="preserve"> Resort Freeride</t>
        </is>
      </c>
      <c r="AD1096" s="11" t="inlineStr">
        <is>
          <t xml:space="preserve"> Powder</t>
        </is>
      </c>
      <c r="AE1096" s="13" t="n"/>
      <c r="AF1096" s="13" t="n"/>
      <c r="AG1096" s="13" t="n"/>
    </row>
    <row r="1097">
      <c r="A1097" s="9" t="inlineStr">
        <is>
          <t>21/22</t>
        </is>
      </c>
      <c r="B1097" s="10" t="inlineStr">
        <is>
          <t xml:space="preserve"> Salomon</t>
        </is>
      </c>
      <c r="C1097" s="11" t="inlineStr">
        <is>
          <t>S/Force 80FX</t>
        </is>
      </c>
      <c r="D1097" s="13" t="n">
        <v>156</v>
      </c>
      <c r="E1097" s="11" t="inlineStr">
        <is>
          <t xml:space="preserve"> Unisex</t>
        </is>
      </c>
      <c r="F1097" s="13" t="n">
        <v>156</v>
      </c>
      <c r="G1097" s="13" t="n">
        <v>155.3</v>
      </c>
      <c r="H1097" s="13" t="n">
        <v>132</v>
      </c>
      <c r="I1097" s="13" t="n">
        <v>143</v>
      </c>
      <c r="J1097" s="13" t="n">
        <v>126</v>
      </c>
      <c r="K1097" s="13" t="n">
        <v>80</v>
      </c>
      <c r="L1097" s="13" t="n">
        <v>109</v>
      </c>
      <c r="M1097" s="13" t="n">
        <v>12.9</v>
      </c>
      <c r="N1097" s="13" t="n">
        <v>1853</v>
      </c>
      <c r="O1097" s="13" t="n">
        <v>0.79</v>
      </c>
      <c r="P1097" s="13" t="n">
        <v>1472</v>
      </c>
      <c r="Q1097" s="13" t="n">
        <v>180</v>
      </c>
      <c r="R1097" s="13" t="n">
        <v>84</v>
      </c>
      <c r="S1097" s="13" t="n">
        <v>40</v>
      </c>
      <c r="T1097" s="13" t="n">
        <v>151</v>
      </c>
      <c r="U1097" s="13" t="n">
        <v>4</v>
      </c>
      <c r="V1097" s="13" t="n">
        <v>79</v>
      </c>
      <c r="W1097" s="13" t="n">
        <v>0.08799999999999999</v>
      </c>
      <c r="X1097" s="13" t="n">
        <v>86</v>
      </c>
      <c r="Y1097" s="13" t="n">
        <v>33</v>
      </c>
      <c r="Z1097" s="13" t="n">
        <v>66</v>
      </c>
      <c r="AA1097" s="13" t="n">
        <v>8</v>
      </c>
      <c r="AB1097" s="13" t="n">
        <v>10.5</v>
      </c>
      <c r="AC1097" s="11" t="inlineStr">
        <is>
          <t xml:space="preserve"> On-Piste Carving</t>
        </is>
      </c>
      <c r="AD1097" s="13" t="n"/>
      <c r="AE1097" s="13" t="n"/>
      <c r="AF1097" s="13" t="n"/>
      <c r="AG1097" s="13" t="n"/>
    </row>
    <row r="1098">
      <c r="A1098" s="9" t="inlineStr">
        <is>
          <t>21/22</t>
        </is>
      </c>
      <c r="B1098" s="10" t="inlineStr">
        <is>
          <t xml:space="preserve"> Salomon</t>
        </is>
      </c>
      <c r="C1098" s="11" t="inlineStr">
        <is>
          <t>S/Force 80FX</t>
        </is>
      </c>
      <c r="D1098" s="13" t="n">
        <v>170</v>
      </c>
      <c r="E1098" s="11" t="inlineStr">
        <is>
          <t xml:space="preserve"> Unisex</t>
        </is>
      </c>
      <c r="F1098" s="13" t="n">
        <v>170</v>
      </c>
      <c r="G1098" s="13" t="n">
        <v>169.4</v>
      </c>
      <c r="H1098" s="13" t="n">
        <v>142</v>
      </c>
      <c r="I1098" s="13" t="n">
        <v>156</v>
      </c>
      <c r="J1098" s="13" t="n">
        <v>127</v>
      </c>
      <c r="K1098" s="13" t="n">
        <v>80</v>
      </c>
      <c r="L1098" s="13" t="n">
        <v>109</v>
      </c>
      <c r="M1098" s="13" t="n">
        <v>15.2</v>
      </c>
      <c r="N1098" s="13" t="n">
        <v>2185</v>
      </c>
      <c r="O1098" s="13" t="n">
        <v>0.74</v>
      </c>
      <c r="P1098" s="13" t="n">
        <v>1608</v>
      </c>
      <c r="Q1098" s="13" t="n">
        <v>254</v>
      </c>
      <c r="R1098" s="13" t="n">
        <v>116</v>
      </c>
      <c r="S1098" s="13" t="n">
        <v>44</v>
      </c>
      <c r="T1098" s="13" t="n">
        <v>188</v>
      </c>
      <c r="U1098" s="13" t="n">
        <v>4</v>
      </c>
      <c r="V1098" s="13" t="n">
        <v>87</v>
      </c>
      <c r="W1098" s="13" t="n">
        <v>0.08500000000000001</v>
      </c>
      <c r="X1098" s="13" t="n">
        <v>88</v>
      </c>
      <c r="Y1098" s="13" t="n">
        <v>45</v>
      </c>
      <c r="Z1098" s="13" t="n">
        <v>100</v>
      </c>
      <c r="AA1098" s="13" t="n">
        <v>7</v>
      </c>
      <c r="AB1098" s="13" t="n">
        <v>11.6</v>
      </c>
      <c r="AC1098" s="11" t="inlineStr">
        <is>
          <t xml:space="preserve"> On-Piste Carving</t>
        </is>
      </c>
      <c r="AD1098" s="11" t="inlineStr">
        <is>
          <t xml:space="preserve"> Resort Freeride</t>
        </is>
      </c>
      <c r="AE1098" s="13" t="n"/>
      <c r="AF1098" s="13" t="n"/>
      <c r="AG1098" s="13" t="n"/>
    </row>
    <row r="1099">
      <c r="A1099" s="9" t="inlineStr">
        <is>
          <t>21/22</t>
        </is>
      </c>
      <c r="B1099" s="10" t="inlineStr">
        <is>
          <t xml:space="preserve"> Salomon</t>
        </is>
      </c>
      <c r="C1099" s="11" t="inlineStr">
        <is>
          <t>S/Force 80Ti</t>
        </is>
      </c>
      <c r="D1099" s="13" t="n">
        <v>163</v>
      </c>
      <c r="E1099" s="11" t="inlineStr">
        <is>
          <t xml:space="preserve"> Unisex</t>
        </is>
      </c>
      <c r="F1099" s="13" t="n">
        <v>163</v>
      </c>
      <c r="G1099" s="13" t="n">
        <v>162</v>
      </c>
      <c r="H1099" s="13" t="n">
        <v>140</v>
      </c>
      <c r="I1099" s="13" t="n">
        <v>149</v>
      </c>
      <c r="J1099" s="13" t="n">
        <v>127</v>
      </c>
      <c r="K1099" s="13" t="n">
        <v>80</v>
      </c>
      <c r="L1099" s="13" t="n">
        <v>111</v>
      </c>
      <c r="M1099" s="13" t="n">
        <v>14</v>
      </c>
      <c r="N1099" s="13" t="n">
        <v>2091</v>
      </c>
      <c r="O1099" s="13" t="n">
        <v>0.74</v>
      </c>
      <c r="P1099" s="13" t="n">
        <v>1549</v>
      </c>
      <c r="Q1099" s="13" t="n">
        <v>186</v>
      </c>
      <c r="R1099" s="13" t="n">
        <v>125</v>
      </c>
      <c r="S1099" s="13" t="n">
        <v>43</v>
      </c>
      <c r="T1099" s="13" t="n">
        <v>169</v>
      </c>
      <c r="U1099" s="13" t="n">
        <v>4</v>
      </c>
      <c r="V1099" s="13" t="n">
        <v>53</v>
      </c>
      <c r="W1099" s="13" t="n">
        <v>0.103</v>
      </c>
      <c r="X1099" s="13" t="n">
        <v>87</v>
      </c>
      <c r="Y1099" s="13" t="n">
        <v>40</v>
      </c>
      <c r="Z1099" s="13" t="n">
        <v>82</v>
      </c>
      <c r="AA1099" s="13" t="n">
        <v>11</v>
      </c>
      <c r="AB1099" s="13" t="n">
        <v>11.7</v>
      </c>
      <c r="AC1099" s="11" t="inlineStr">
        <is>
          <t xml:space="preserve"> On-Piste Carving</t>
        </is>
      </c>
      <c r="AD1099" s="11" t="inlineStr">
        <is>
          <t xml:space="preserve"> Resort Freeride</t>
        </is>
      </c>
      <c r="AE1099" s="13" t="n"/>
      <c r="AF1099" s="13" t="n"/>
      <c r="AG1099" s="13" t="n"/>
    </row>
    <row r="1100">
      <c r="A1100" s="9" t="inlineStr">
        <is>
          <t>21/22</t>
        </is>
      </c>
      <c r="B1100" s="10" t="inlineStr">
        <is>
          <t xml:space="preserve"> Salomon</t>
        </is>
      </c>
      <c r="C1100" s="11" t="inlineStr">
        <is>
          <t>S/Max 12</t>
        </is>
      </c>
      <c r="D1100" s="13" t="n">
        <v>165</v>
      </c>
      <c r="E1100" s="11" t="inlineStr">
        <is>
          <t xml:space="preserve"> Unisex</t>
        </is>
      </c>
      <c r="F1100" s="13" t="n">
        <v>165</v>
      </c>
      <c r="G1100" s="13" t="n">
        <v>164.4</v>
      </c>
      <c r="H1100" s="13" t="n">
        <v>145</v>
      </c>
      <c r="I1100" s="13" t="n">
        <v>153</v>
      </c>
      <c r="J1100" s="13" t="n">
        <v>121</v>
      </c>
      <c r="K1100" s="13" t="n">
        <v>72</v>
      </c>
      <c r="L1100" s="13" t="n">
        <v>107</v>
      </c>
      <c r="M1100" s="13" t="n">
        <v>14.2</v>
      </c>
      <c r="N1100" s="13" t="n">
        <v>1991</v>
      </c>
      <c r="O1100" s="13" t="n">
        <v>0.73</v>
      </c>
      <c r="P1100" s="13" t="n">
        <v>1450</v>
      </c>
      <c r="Q1100" s="13" t="n">
        <v>222</v>
      </c>
      <c r="R1100" s="13" t="n">
        <v>146</v>
      </c>
      <c r="S1100" s="13" t="n">
        <v>36</v>
      </c>
      <c r="T1100" s="13" t="n">
        <v>138</v>
      </c>
      <c r="U1100" s="13" t="n">
        <v>4</v>
      </c>
      <c r="V1100" s="13" t="n">
        <v>51</v>
      </c>
      <c r="W1100" s="13" t="n">
        <v>0.11</v>
      </c>
      <c r="X1100" s="13" t="n">
        <v>79</v>
      </c>
      <c r="Y1100" s="13" t="n">
        <v>31</v>
      </c>
      <c r="Z1100" s="13" t="n">
        <v>60</v>
      </c>
      <c r="AA1100" s="13" t="n">
        <v>13</v>
      </c>
      <c r="AB1100" s="13" t="n">
        <v>11.3</v>
      </c>
      <c r="AC1100" s="11" t="inlineStr">
        <is>
          <t xml:space="preserve"> On-Piste Carving</t>
        </is>
      </c>
      <c r="AD1100" s="13" t="n"/>
      <c r="AE1100" s="13" t="n"/>
      <c r="AF1100" s="13" t="n"/>
      <c r="AG1100" s="13" t="n"/>
    </row>
    <row r="1101">
      <c r="A1101" s="9" t="inlineStr">
        <is>
          <t>21/22</t>
        </is>
      </c>
      <c r="B1101" s="10" t="inlineStr">
        <is>
          <t xml:space="preserve"> Salomon</t>
        </is>
      </c>
      <c r="C1101" s="11" t="inlineStr">
        <is>
          <t>S/Max 12</t>
        </is>
      </c>
      <c r="D1101" s="13" t="n">
        <v>170</v>
      </c>
      <c r="E1101" s="11" t="inlineStr">
        <is>
          <t xml:space="preserve"> Unisex</t>
        </is>
      </c>
      <c r="F1101" s="13" t="n">
        <v>170</v>
      </c>
      <c r="G1101" s="13" t="n">
        <v>169.4</v>
      </c>
      <c r="H1101" s="13" t="n">
        <v>151</v>
      </c>
      <c r="I1101" s="13" t="n">
        <v>159</v>
      </c>
      <c r="J1101" s="13" t="n">
        <v>121</v>
      </c>
      <c r="K1101" s="13" t="n">
        <v>72</v>
      </c>
      <c r="L1101" s="13" t="n">
        <v>106</v>
      </c>
      <c r="M1101" s="13" t="n">
        <v>15</v>
      </c>
      <c r="N1101" s="13" t="n">
        <v>2055</v>
      </c>
      <c r="O1101" s="13" t="n">
        <v>0.73</v>
      </c>
      <c r="P1101" s="13" t="n">
        <v>1494</v>
      </c>
      <c r="Q1101" s="13" t="n">
        <v>233</v>
      </c>
      <c r="R1101" s="13" t="n">
        <v>150</v>
      </c>
      <c r="S1101" s="13" t="n">
        <v>32</v>
      </c>
      <c r="T1101" s="13" t="n">
        <v>132</v>
      </c>
      <c r="U1101" s="13" t="n">
        <v>4</v>
      </c>
      <c r="V1101" s="13" t="n">
        <v>53</v>
      </c>
      <c r="W1101" s="13" t="n">
        <v>0.134</v>
      </c>
      <c r="X1101" s="13" t="n">
        <v>73</v>
      </c>
      <c r="Y1101" s="13" t="n">
        <v>32</v>
      </c>
      <c r="Z1101" s="13" t="n">
        <v>59</v>
      </c>
      <c r="AA1101" s="13" t="n">
        <v>13</v>
      </c>
      <c r="AB1101" s="13" t="n">
        <v>11.6</v>
      </c>
      <c r="AC1101" s="11" t="inlineStr">
        <is>
          <t xml:space="preserve"> On-Piste Carving</t>
        </is>
      </c>
      <c r="AD1101" s="13" t="n"/>
      <c r="AE1101" s="13" t="n"/>
      <c r="AF1101" s="13" t="n"/>
      <c r="AG1101" s="13" t="n"/>
    </row>
    <row r="1102">
      <c r="A1102" s="9" t="inlineStr">
        <is>
          <t>21/22</t>
        </is>
      </c>
      <c r="B1102" s="10" t="inlineStr">
        <is>
          <t xml:space="preserve"> Salomon</t>
        </is>
      </c>
      <c r="C1102" s="11" t="inlineStr">
        <is>
          <t>S/Max 12</t>
        </is>
      </c>
      <c r="D1102" s="13" t="n">
        <v>175</v>
      </c>
      <c r="E1102" s="11" t="inlineStr">
        <is>
          <t xml:space="preserve"> Unisex</t>
        </is>
      </c>
      <c r="F1102" s="13" t="n">
        <v>175</v>
      </c>
      <c r="G1102" s="13" t="n">
        <v>174.2</v>
      </c>
      <c r="H1102" s="13" t="n">
        <v>155</v>
      </c>
      <c r="I1102" s="13" t="n">
        <v>163</v>
      </c>
      <c r="J1102" s="13" t="n">
        <v>121</v>
      </c>
      <c r="K1102" s="13" t="n">
        <v>72</v>
      </c>
      <c r="L1102" s="13" t="n">
        <v>107</v>
      </c>
      <c r="M1102" s="13" t="n">
        <v>15.8</v>
      </c>
      <c r="N1102" s="13" t="n">
        <v>2067</v>
      </c>
      <c r="O1102" s="13" t="n">
        <v>0.74</v>
      </c>
      <c r="P1102" s="13" t="n">
        <v>1533</v>
      </c>
      <c r="Q1102" s="13" t="n">
        <v>236</v>
      </c>
      <c r="R1102" s="13" t="n">
        <v>149</v>
      </c>
      <c r="S1102" s="13" t="n">
        <v>37</v>
      </c>
      <c r="T1102" s="13" t="n">
        <v>137</v>
      </c>
      <c r="U1102" s="13" t="n">
        <v>5</v>
      </c>
      <c r="V1102" s="13" t="n">
        <v>51</v>
      </c>
      <c r="W1102" s="13" t="n">
        <v>0.127</v>
      </c>
      <c r="X1102" s="13" t="n">
        <v>80</v>
      </c>
      <c r="Y1102" s="13" t="n">
        <v>34</v>
      </c>
      <c r="Z1102" s="13" t="n">
        <v>58</v>
      </c>
      <c r="AA1102" s="13" t="n">
        <v>13</v>
      </c>
      <c r="AB1102" s="13" t="n">
        <v>12</v>
      </c>
      <c r="AC1102" s="11" t="inlineStr">
        <is>
          <t xml:space="preserve"> On-Piste Carving</t>
        </is>
      </c>
      <c r="AD1102" s="13" t="n"/>
      <c r="AE1102" s="13" t="n"/>
      <c r="AF1102" s="13" t="n"/>
      <c r="AG1102" s="13" t="n"/>
    </row>
    <row r="1103">
      <c r="A1103" s="9" t="inlineStr">
        <is>
          <t>21/22</t>
        </is>
      </c>
      <c r="B1103" s="10" t="inlineStr">
        <is>
          <t xml:space="preserve"> Salomon</t>
        </is>
      </c>
      <c r="C1103" s="11" t="inlineStr">
        <is>
          <t>S/Max 8</t>
        </is>
      </c>
      <c r="D1103" s="13" t="n">
        <v>160</v>
      </c>
      <c r="E1103" s="11" t="inlineStr">
        <is>
          <t xml:space="preserve"> Unisex</t>
        </is>
      </c>
      <c r="F1103" s="13" t="n">
        <v>160</v>
      </c>
      <c r="G1103" s="13" t="n">
        <v>159.5</v>
      </c>
      <c r="H1103" s="13" t="n">
        <v>139</v>
      </c>
      <c r="I1103" s="13" t="n">
        <v>148</v>
      </c>
      <c r="J1103" s="13" t="n">
        <v>119</v>
      </c>
      <c r="K1103" s="13" t="n">
        <v>73</v>
      </c>
      <c r="L1103" s="13" t="n">
        <v>102</v>
      </c>
      <c r="M1103" s="13" t="n">
        <v>13.8</v>
      </c>
      <c r="N1103" s="13" t="n">
        <v>1901</v>
      </c>
      <c r="O1103" s="13" t="n">
        <v>0.74</v>
      </c>
      <c r="P1103" s="13" t="n">
        <v>1404</v>
      </c>
      <c r="Q1103" s="13" t="n">
        <v>207</v>
      </c>
      <c r="R1103" s="13" t="n">
        <v>91</v>
      </c>
      <c r="S1103" s="13" t="n">
        <v>31</v>
      </c>
      <c r="T1103" s="13" t="n">
        <v>130</v>
      </c>
      <c r="U1103" s="13" t="n">
        <v>5</v>
      </c>
      <c r="V1103" s="13" t="n">
        <v>77</v>
      </c>
      <c r="W1103" s="13" t="n">
        <v>0.146</v>
      </c>
      <c r="X1103" s="13" t="n">
        <v>84</v>
      </c>
      <c r="Y1103" s="13" t="n">
        <v>32</v>
      </c>
      <c r="Z1103" s="13" t="n">
        <v>45</v>
      </c>
      <c r="AA1103" s="13" t="n">
        <v>9</v>
      </c>
      <c r="AB1103" s="13" t="n">
        <v>11.1</v>
      </c>
      <c r="AC1103" s="11" t="inlineStr">
        <is>
          <t xml:space="preserve"> On-Piste Carving</t>
        </is>
      </c>
      <c r="AD1103" s="13" t="n"/>
      <c r="AE1103" s="13" t="n"/>
      <c r="AF1103" s="13" t="n"/>
      <c r="AG1103" s="13" t="n"/>
    </row>
    <row r="1104">
      <c r="A1104" s="9" t="inlineStr">
        <is>
          <t>21/22</t>
        </is>
      </c>
      <c r="B1104" s="10" t="inlineStr">
        <is>
          <t xml:space="preserve"> Salomon</t>
        </is>
      </c>
      <c r="C1104" s="11" t="inlineStr">
        <is>
          <t>S/Max 8</t>
        </is>
      </c>
      <c r="D1104" s="13" t="n">
        <v>165</v>
      </c>
      <c r="E1104" s="11" t="inlineStr">
        <is>
          <t xml:space="preserve"> Unisex</t>
        </is>
      </c>
      <c r="F1104" s="13" t="n">
        <v>165</v>
      </c>
      <c r="G1104" s="13" t="n">
        <v>164.4</v>
      </c>
      <c r="H1104" s="13" t="n">
        <v>145</v>
      </c>
      <c r="I1104" s="13" t="n">
        <v>152</v>
      </c>
      <c r="J1104" s="13" t="n">
        <v>120</v>
      </c>
      <c r="K1104" s="13" t="n">
        <v>73</v>
      </c>
      <c r="L1104" s="13" t="n">
        <v>103</v>
      </c>
      <c r="M1104" s="13" t="n">
        <v>14.5</v>
      </c>
      <c r="N1104" s="13" t="n">
        <v>1962</v>
      </c>
      <c r="O1104" s="13" t="n">
        <v>0.74</v>
      </c>
      <c r="P1104" s="13" t="n">
        <v>1451</v>
      </c>
      <c r="Q1104" s="13" t="n">
        <v>195</v>
      </c>
      <c r="R1104" s="13" t="n">
        <v>91</v>
      </c>
      <c r="S1104" s="13" t="n">
        <v>32</v>
      </c>
      <c r="T1104" s="13" t="n">
        <v>130</v>
      </c>
      <c r="U1104" s="13" t="n">
        <v>4</v>
      </c>
      <c r="V1104" s="13" t="n">
        <v>68</v>
      </c>
      <c r="W1104" s="13" t="n">
        <v>0.138</v>
      </c>
      <c r="X1104" s="13" t="n">
        <v>86</v>
      </c>
      <c r="Y1104" s="13" t="n">
        <v>35</v>
      </c>
      <c r="Z1104" s="13" t="n">
        <v>43</v>
      </c>
      <c r="AA1104" s="13" t="n">
        <v>12</v>
      </c>
      <c r="AB1104" s="13" t="n">
        <v>11.1</v>
      </c>
      <c r="AC1104" s="11" t="inlineStr">
        <is>
          <t xml:space="preserve"> On-Piste Carving</t>
        </is>
      </c>
      <c r="AD1104" s="13" t="n"/>
      <c r="AE1104" s="13" t="n"/>
      <c r="AF1104" s="13" t="n"/>
      <c r="AG1104" s="13" t="n"/>
    </row>
    <row r="1105">
      <c r="A1105" s="9" t="inlineStr">
        <is>
          <t>21/22</t>
        </is>
      </c>
      <c r="B1105" s="10" t="inlineStr">
        <is>
          <t xml:space="preserve"> Salomon</t>
        </is>
      </c>
      <c r="C1105" s="11" t="inlineStr">
        <is>
          <t>S/Max 8</t>
        </is>
      </c>
      <c r="D1105" s="13" t="n">
        <v>170</v>
      </c>
      <c r="E1105" s="11" t="inlineStr">
        <is>
          <t xml:space="preserve"> Unisex</t>
        </is>
      </c>
      <c r="F1105" s="13" t="n">
        <v>170</v>
      </c>
      <c r="G1105" s="13" t="n">
        <v>169.4</v>
      </c>
      <c r="H1105" s="13" t="n">
        <v>149</v>
      </c>
      <c r="I1105" s="13" t="n">
        <v>158</v>
      </c>
      <c r="J1105" s="13" t="n">
        <v>121</v>
      </c>
      <c r="K1105" s="13" t="n">
        <v>72</v>
      </c>
      <c r="L1105" s="13" t="n">
        <v>104</v>
      </c>
      <c r="M1105" s="13" t="n">
        <v>14.6</v>
      </c>
      <c r="N1105" s="13" t="n">
        <v>2037</v>
      </c>
      <c r="O1105" s="13" t="n">
        <v>0.73</v>
      </c>
      <c r="P1105" s="13" t="n">
        <v>1494</v>
      </c>
      <c r="Q1105" s="13" t="n">
        <v>234</v>
      </c>
      <c r="R1105" s="13" t="n">
        <v>102</v>
      </c>
      <c r="S1105" s="13" t="n">
        <v>30</v>
      </c>
      <c r="T1105" s="13" t="n">
        <v>130</v>
      </c>
      <c r="U1105" s="13" t="n">
        <v>4</v>
      </c>
      <c r="V1105" s="13" t="n">
        <v>71</v>
      </c>
      <c r="W1105" s="13" t="n">
        <v>0.146</v>
      </c>
      <c r="X1105" s="13" t="n">
        <v>81</v>
      </c>
      <c r="Y1105" s="13" t="n">
        <v>38</v>
      </c>
      <c r="Z1105" s="13" t="n">
        <v>49</v>
      </c>
      <c r="AA1105" s="13" t="n">
        <v>11</v>
      </c>
      <c r="AB1105" s="13" t="n">
        <v>11.4</v>
      </c>
      <c r="AC1105" s="11" t="inlineStr">
        <is>
          <t xml:space="preserve"> On-Piste Carving</t>
        </is>
      </c>
      <c r="AD1105" s="13" t="n"/>
      <c r="AE1105" s="13" t="n"/>
      <c r="AF1105" s="13" t="n"/>
      <c r="AG1105" s="13" t="n"/>
    </row>
    <row r="1106">
      <c r="A1106" s="9" t="inlineStr">
        <is>
          <t>21/22</t>
        </is>
      </c>
      <c r="B1106" s="10" t="inlineStr">
        <is>
          <t xml:space="preserve"> Salomon</t>
        </is>
      </c>
      <c r="C1106" s="11" t="inlineStr">
        <is>
          <t>Stance 102</t>
        </is>
      </c>
      <c r="D1106" s="13" t="n">
        <v>176</v>
      </c>
      <c r="E1106" s="11" t="inlineStr">
        <is>
          <t xml:space="preserve"> Unisex</t>
        </is>
      </c>
      <c r="F1106" s="13" t="n">
        <v>176</v>
      </c>
      <c r="G1106" s="13" t="n">
        <v>175.6</v>
      </c>
      <c r="H1106" s="13" t="n">
        <v>117</v>
      </c>
      <c r="I1106" s="13" t="n">
        <v>151</v>
      </c>
      <c r="J1106" s="13" t="n">
        <v>131</v>
      </c>
      <c r="K1106" s="13" t="n">
        <v>102</v>
      </c>
      <c r="L1106" s="13" t="n">
        <v>119</v>
      </c>
      <c r="M1106" s="13" t="n">
        <v>23.5</v>
      </c>
      <c r="N1106" s="11" t="inlineStr">
        <is>
          <t xml:space="preserve"> None</t>
        </is>
      </c>
      <c r="O1106" s="11" t="inlineStr">
        <is>
          <t xml:space="preserve"> None</t>
        </is>
      </c>
      <c r="P1106" s="13" t="n">
        <v>1939</v>
      </c>
      <c r="Q1106" s="13" t="n">
        <v>197</v>
      </c>
      <c r="R1106" s="13" t="n">
        <v>123</v>
      </c>
      <c r="S1106" s="13" t="n">
        <v>49</v>
      </c>
      <c r="T1106" s="13" t="n">
        <v>345</v>
      </c>
      <c r="U1106" s="13" t="n">
        <v>8</v>
      </c>
      <c r="V1106" s="13" t="n">
        <v>244</v>
      </c>
      <c r="W1106" s="13" t="n">
        <v>0.163</v>
      </c>
      <c r="X1106" s="13" t="n">
        <v>134</v>
      </c>
      <c r="Y1106" s="13" t="n">
        <v>108</v>
      </c>
      <c r="Z1106" s="13" t="n">
        <v>212</v>
      </c>
      <c r="AA1106" s="13" t="n">
        <v>8</v>
      </c>
      <c r="AB1106" s="13" t="n">
        <v>10.5</v>
      </c>
      <c r="AC1106" s="11" t="inlineStr">
        <is>
          <t xml:space="preserve"> Big Mountain</t>
        </is>
      </c>
      <c r="AD1106" s="13" t="n"/>
      <c r="AE1106" s="13" t="n"/>
      <c r="AF1106" s="13" t="n"/>
      <c r="AG1106" s="13" t="n"/>
    </row>
    <row r="1107">
      <c r="A1107" s="9" t="inlineStr">
        <is>
          <t>21/22</t>
        </is>
      </c>
      <c r="B1107" s="10" t="inlineStr">
        <is>
          <t xml:space="preserve"> Salomon</t>
        </is>
      </c>
      <c r="C1107" s="11" t="inlineStr">
        <is>
          <t>Stance 102</t>
        </is>
      </c>
      <c r="D1107" s="13" t="n">
        <v>183</v>
      </c>
      <c r="E1107" s="11" t="inlineStr">
        <is>
          <t xml:space="preserve"> Unisex</t>
        </is>
      </c>
      <c r="F1107" s="13" t="n">
        <v>183</v>
      </c>
      <c r="G1107" s="13" t="n">
        <v>182.5</v>
      </c>
      <c r="H1107" s="13" t="n">
        <v>119</v>
      </c>
      <c r="I1107" s="13" t="n">
        <v>158</v>
      </c>
      <c r="J1107" s="13" t="n">
        <v>133</v>
      </c>
      <c r="K1107" s="13" t="n">
        <v>101</v>
      </c>
      <c r="L1107" s="13" t="n">
        <v>120</v>
      </c>
      <c r="M1107" s="13" t="n">
        <v>23.9</v>
      </c>
      <c r="N1107" s="11" t="inlineStr">
        <is>
          <t xml:space="preserve"> None</t>
        </is>
      </c>
      <c r="O1107" s="11" t="inlineStr">
        <is>
          <t xml:space="preserve"> None</t>
        </is>
      </c>
      <c r="P1107" s="13" t="n">
        <v>2026</v>
      </c>
      <c r="Q1107" s="13" t="n">
        <v>218</v>
      </c>
      <c r="R1107" s="13" t="n">
        <v>139</v>
      </c>
      <c r="S1107" s="13" t="n">
        <v>48</v>
      </c>
      <c r="T1107" s="13" t="n">
        <v>369</v>
      </c>
      <c r="U1107" s="13" t="n">
        <v>4</v>
      </c>
      <c r="V1107" s="13" t="n">
        <v>263</v>
      </c>
      <c r="W1107" s="13" t="n">
        <v>0.081</v>
      </c>
      <c r="X1107" s="13" t="n">
        <v>142</v>
      </c>
      <c r="Y1107" s="13" t="n">
        <v>106</v>
      </c>
      <c r="Z1107" s="13" t="n">
        <v>227</v>
      </c>
      <c r="AA1107" s="13" t="n">
        <v>7</v>
      </c>
      <c r="AB1107" s="13" t="n">
        <v>10.6</v>
      </c>
      <c r="AC1107" s="11" t="inlineStr">
        <is>
          <t xml:space="preserve"> Big Mountain</t>
        </is>
      </c>
      <c r="AD1107" s="13" t="n"/>
      <c r="AE1107" s="13" t="n"/>
      <c r="AF1107" s="13" t="n"/>
      <c r="AG1107" s="13" t="n"/>
    </row>
    <row r="1108">
      <c r="A1108" s="9" t="inlineStr">
        <is>
          <t>21/22</t>
        </is>
      </c>
      <c r="B1108" s="10" t="inlineStr">
        <is>
          <t xml:space="preserve"> Salomon</t>
        </is>
      </c>
      <c r="C1108" s="11" t="inlineStr">
        <is>
          <t>Stance 102</t>
        </is>
      </c>
      <c r="D1108" s="13" t="n">
        <v>190</v>
      </c>
      <c r="E1108" s="11" t="inlineStr">
        <is>
          <t xml:space="preserve"> Unisex</t>
        </is>
      </c>
      <c r="F1108" s="13" t="n">
        <v>190</v>
      </c>
      <c r="G1108" s="13" t="n">
        <v>189.9</v>
      </c>
      <c r="H1108" s="13" t="n">
        <v>141</v>
      </c>
      <c r="I1108" s="13" t="n">
        <v>165</v>
      </c>
      <c r="J1108" s="13" t="n">
        <v>133</v>
      </c>
      <c r="K1108" s="13" t="n">
        <v>102</v>
      </c>
      <c r="L1108" s="13" t="n">
        <v>120</v>
      </c>
      <c r="M1108" s="13" t="n">
        <v>25.8</v>
      </c>
      <c r="N1108" s="11" t="inlineStr">
        <is>
          <t xml:space="preserve"> None</t>
        </is>
      </c>
      <c r="O1108" s="11" t="inlineStr">
        <is>
          <t xml:space="preserve"> None</t>
        </is>
      </c>
      <c r="P1108" s="13" t="n">
        <v>2108</v>
      </c>
      <c r="Q1108" s="13" t="n">
        <v>254</v>
      </c>
      <c r="R1108" s="13" t="n">
        <v>158</v>
      </c>
      <c r="S1108" s="13" t="n">
        <v>46</v>
      </c>
      <c r="T1108" s="13" t="n">
        <v>379</v>
      </c>
      <c r="U1108" s="13" t="n">
        <v>4</v>
      </c>
      <c r="V1108" s="13" t="n">
        <v>107</v>
      </c>
      <c r="W1108" s="13" t="n">
        <v>0.08500000000000001</v>
      </c>
      <c r="X1108" s="13" t="n">
        <v>142</v>
      </c>
      <c r="Y1108" s="13" t="n">
        <v>111</v>
      </c>
      <c r="Z1108" s="13" t="n">
        <v>237</v>
      </c>
      <c r="AA1108" s="13" t="n">
        <v>9</v>
      </c>
      <c r="AB1108" s="13" t="n">
        <v>9.800000000000001</v>
      </c>
      <c r="AC1108" s="11" t="inlineStr">
        <is>
          <t xml:space="preserve"> Big Mountain</t>
        </is>
      </c>
      <c r="AD1108" s="13" t="n"/>
      <c r="AE1108" s="13" t="n"/>
      <c r="AF1108" s="13" t="n"/>
      <c r="AG1108" s="13" t="n"/>
    </row>
    <row r="1109">
      <c r="A1109" s="9" t="inlineStr">
        <is>
          <t>21/22</t>
        </is>
      </c>
      <c r="B1109" s="10" t="inlineStr">
        <is>
          <t xml:space="preserve"> Salomon</t>
        </is>
      </c>
      <c r="C1109" s="11" t="inlineStr">
        <is>
          <t>Stance 84</t>
        </is>
      </c>
      <c r="D1109" s="13" t="n">
        <v>161</v>
      </c>
      <c r="E1109" s="11" t="inlineStr">
        <is>
          <t xml:space="preserve"> Unisex</t>
        </is>
      </c>
      <c r="F1109" s="13" t="n">
        <v>161</v>
      </c>
      <c r="G1109" s="13" t="n">
        <v>160</v>
      </c>
      <c r="H1109" s="13" t="n">
        <v>121</v>
      </c>
      <c r="I1109" s="13" t="n">
        <v>132</v>
      </c>
      <c r="J1109" s="13" t="n">
        <v>120</v>
      </c>
      <c r="K1109" s="13" t="n">
        <v>83</v>
      </c>
      <c r="L1109" s="13" t="n">
        <v>104</v>
      </c>
      <c r="M1109" s="13" t="n">
        <v>13.7</v>
      </c>
      <c r="N1109" s="13" t="n">
        <v>1417</v>
      </c>
      <c r="O1109" s="13" t="n">
        <v>1.09</v>
      </c>
      <c r="P1109" s="13" t="n">
        <v>1542</v>
      </c>
      <c r="Q1109" s="13" t="n">
        <v>157</v>
      </c>
      <c r="R1109" s="13" t="n">
        <v>71</v>
      </c>
      <c r="S1109" s="13" t="n">
        <v>51</v>
      </c>
      <c r="T1109" s="13" t="n">
        <v>216</v>
      </c>
      <c r="U1109" s="13" t="n">
        <v>9</v>
      </c>
      <c r="V1109" s="13" t="n">
        <v>170</v>
      </c>
      <c r="W1109" s="13" t="n">
        <v>0.176</v>
      </c>
      <c r="X1109" s="13" t="n">
        <v>162</v>
      </c>
      <c r="Y1109" s="13" t="n">
        <v>118</v>
      </c>
      <c r="Z1109" s="13" t="n">
        <v>54</v>
      </c>
      <c r="AA1109" s="13" t="n">
        <v>6</v>
      </c>
      <c r="AB1109" s="13" t="n">
        <v>8.9</v>
      </c>
      <c r="AC1109" s="11" t="inlineStr">
        <is>
          <t xml:space="preserve"> On-Piste All-Mountain</t>
        </is>
      </c>
      <c r="AD1109" s="11" t="inlineStr">
        <is>
          <t xml:space="preserve"> Resort Freeride</t>
        </is>
      </c>
      <c r="AE1109" s="11" t="inlineStr">
        <is>
          <t xml:space="preserve"> Touring</t>
        </is>
      </c>
      <c r="AF1109" s="13" t="n"/>
      <c r="AG1109" s="13" t="n"/>
    </row>
    <row r="1110">
      <c r="A1110" s="9" t="inlineStr">
        <is>
          <t>21/22</t>
        </is>
      </c>
      <c r="B1110" s="10" t="inlineStr">
        <is>
          <t xml:space="preserve"> Salomon</t>
        </is>
      </c>
      <c r="C1110" s="11" t="inlineStr">
        <is>
          <t>Stance 84</t>
        </is>
      </c>
      <c r="D1110" s="13" t="n">
        <v>169</v>
      </c>
      <c r="E1110" s="11" t="inlineStr">
        <is>
          <t xml:space="preserve"> Unisex</t>
        </is>
      </c>
      <c r="F1110" s="13" t="n">
        <v>169</v>
      </c>
      <c r="G1110" s="13" t="n">
        <v>168</v>
      </c>
      <c r="H1110" s="13" t="n">
        <v>122</v>
      </c>
      <c r="I1110" s="13" t="n">
        <v>140</v>
      </c>
      <c r="J1110" s="13" t="n">
        <v>121</v>
      </c>
      <c r="K1110" s="13" t="n">
        <v>83</v>
      </c>
      <c r="L1110" s="13" t="n">
        <v>104</v>
      </c>
      <c r="M1110" s="13" t="n">
        <v>15</v>
      </c>
      <c r="N1110" s="13" t="n">
        <v>1513</v>
      </c>
      <c r="O1110" s="13" t="n">
        <v>1.07</v>
      </c>
      <c r="P1110" s="13" t="n">
        <v>1623</v>
      </c>
      <c r="Q1110" s="13" t="n">
        <v>179</v>
      </c>
      <c r="R1110" s="13" t="n">
        <v>77</v>
      </c>
      <c r="S1110" s="13" t="n">
        <v>52</v>
      </c>
      <c r="T1110" s="13" t="n">
        <v>251</v>
      </c>
      <c r="U1110" s="13" t="n">
        <v>13</v>
      </c>
      <c r="V1110" s="13" t="n">
        <v>206</v>
      </c>
      <c r="W1110" s="13" t="n">
        <v>0.245</v>
      </c>
      <c r="X1110" s="13" t="n">
        <v>163</v>
      </c>
      <c r="Y1110" s="13" t="n">
        <v>117</v>
      </c>
      <c r="Z1110" s="13" t="n">
        <v>88</v>
      </c>
      <c r="AA1110" s="13" t="n">
        <v>6</v>
      </c>
      <c r="AB1110" s="13" t="n">
        <v>10.1</v>
      </c>
      <c r="AC1110" s="11" t="inlineStr">
        <is>
          <t xml:space="preserve"> On-Piste All-Mountain</t>
        </is>
      </c>
      <c r="AD1110" s="11" t="inlineStr">
        <is>
          <t xml:space="preserve"> Resort Freeride</t>
        </is>
      </c>
      <c r="AE1110" s="11" t="inlineStr">
        <is>
          <t xml:space="preserve"> Touring</t>
        </is>
      </c>
      <c r="AF1110" s="13" t="n"/>
      <c r="AG1110" s="13" t="n"/>
    </row>
    <row r="1111">
      <c r="A1111" s="9" t="inlineStr">
        <is>
          <t>21/22</t>
        </is>
      </c>
      <c r="B1111" s="10" t="inlineStr">
        <is>
          <t xml:space="preserve"> Salomon</t>
        </is>
      </c>
      <c r="C1111" s="11" t="inlineStr">
        <is>
          <t>Stance 84</t>
        </is>
      </c>
      <c r="D1111" s="13" t="n">
        <v>177</v>
      </c>
      <c r="E1111" s="11" t="inlineStr">
        <is>
          <t xml:space="preserve"> Unisex</t>
        </is>
      </c>
      <c r="F1111" s="13" t="n">
        <v>177</v>
      </c>
      <c r="G1111" s="13" t="n">
        <v>175.9</v>
      </c>
      <c r="H1111" s="13" t="n">
        <v>131</v>
      </c>
      <c r="I1111" s="13" t="n">
        <v>148</v>
      </c>
      <c r="J1111" s="13" t="n">
        <v>122</v>
      </c>
      <c r="K1111" s="13" t="n">
        <v>84</v>
      </c>
      <c r="L1111" s="13" t="n">
        <v>105</v>
      </c>
      <c r="M1111" s="13" t="n">
        <v>16.2</v>
      </c>
      <c r="N1111" s="13" t="n">
        <v>1616</v>
      </c>
      <c r="O1111" s="13" t="n">
        <v>1.06</v>
      </c>
      <c r="P1111" s="13" t="n">
        <v>1708</v>
      </c>
      <c r="Q1111" s="13" t="n">
        <v>205</v>
      </c>
      <c r="R1111" s="13" t="n">
        <v>88</v>
      </c>
      <c r="S1111" s="13" t="n">
        <v>49</v>
      </c>
      <c r="T1111" s="13" t="n">
        <v>256</v>
      </c>
      <c r="U1111" s="13" t="n">
        <v>12</v>
      </c>
      <c r="V1111" s="13" t="n">
        <v>198</v>
      </c>
      <c r="W1111" s="13" t="n">
        <v>0.238</v>
      </c>
      <c r="X1111" s="13" t="n">
        <v>162</v>
      </c>
      <c r="Y1111" s="13" t="n">
        <v>115</v>
      </c>
      <c r="Z1111" s="13" t="n">
        <v>93</v>
      </c>
      <c r="AA1111" s="13" t="n">
        <v>7</v>
      </c>
      <c r="AB1111" s="13" t="n">
        <v>9.9</v>
      </c>
      <c r="AC1111" s="11" t="inlineStr">
        <is>
          <t xml:space="preserve"> On-Piste All-Mountain</t>
        </is>
      </c>
      <c r="AD1111" s="11" t="inlineStr">
        <is>
          <t xml:space="preserve"> Resort Freeride</t>
        </is>
      </c>
      <c r="AE1111" s="11" t="inlineStr">
        <is>
          <t xml:space="preserve"> Touring</t>
        </is>
      </c>
      <c r="AF1111" s="13" t="n"/>
      <c r="AG1111" s="13" t="n"/>
    </row>
    <row r="1112">
      <c r="A1112" s="9" t="inlineStr">
        <is>
          <t>21/22</t>
        </is>
      </c>
      <c r="B1112" s="10" t="inlineStr">
        <is>
          <t xml:space="preserve"> Salomon</t>
        </is>
      </c>
      <c r="C1112" s="11" t="inlineStr">
        <is>
          <t>Stance 84</t>
        </is>
      </c>
      <c r="D1112" s="13" t="n">
        <v>185</v>
      </c>
      <c r="E1112" s="11" t="inlineStr">
        <is>
          <t xml:space="preserve"> Unisex</t>
        </is>
      </c>
      <c r="F1112" s="13" t="n">
        <v>185</v>
      </c>
      <c r="G1112" s="13" t="n">
        <v>184.7</v>
      </c>
      <c r="H1112" s="13" t="n">
        <v>134</v>
      </c>
      <c r="I1112" s="13" t="n">
        <v>156</v>
      </c>
      <c r="J1112" s="13" t="n">
        <v>122</v>
      </c>
      <c r="K1112" s="13" t="n">
        <v>83</v>
      </c>
      <c r="L1112" s="13" t="n">
        <v>105</v>
      </c>
      <c r="M1112" s="13" t="n">
        <v>18.1</v>
      </c>
      <c r="N1112" s="13" t="n">
        <v>1657</v>
      </c>
      <c r="O1112" s="13" t="n">
        <v>1.07</v>
      </c>
      <c r="P1112" s="13" t="n">
        <v>1779</v>
      </c>
      <c r="Q1112" s="13" t="n">
        <v>242</v>
      </c>
      <c r="R1112" s="13" t="n">
        <v>95</v>
      </c>
      <c r="S1112" s="13" t="n">
        <v>48</v>
      </c>
      <c r="T1112" s="13" t="n">
        <v>288</v>
      </c>
      <c r="U1112" s="13" t="n">
        <v>12</v>
      </c>
      <c r="V1112" s="13" t="n">
        <v>218</v>
      </c>
      <c r="W1112" s="13" t="n">
        <v>0.257</v>
      </c>
      <c r="X1112" s="13" t="n">
        <v>160</v>
      </c>
      <c r="Y1112" s="13" t="n">
        <v>128</v>
      </c>
      <c r="Z1112" s="13" t="n">
        <v>128</v>
      </c>
      <c r="AA1112" s="13" t="n">
        <v>5</v>
      </c>
      <c r="AB1112" s="13" t="n">
        <v>9.300000000000001</v>
      </c>
      <c r="AC1112" s="11" t="inlineStr">
        <is>
          <t xml:space="preserve"> On-Piste All-Mountain</t>
        </is>
      </c>
      <c r="AD1112" s="11" t="inlineStr">
        <is>
          <t xml:space="preserve"> Resort Freeride</t>
        </is>
      </c>
      <c r="AE1112" s="11" t="inlineStr">
        <is>
          <t xml:space="preserve"> Touring</t>
        </is>
      </c>
      <c r="AF1112" s="13" t="n"/>
      <c r="AG1112" s="13" t="n"/>
    </row>
    <row r="1113">
      <c r="A1113" s="9" t="inlineStr">
        <is>
          <t>21/22</t>
        </is>
      </c>
      <c r="B1113" s="10" t="inlineStr">
        <is>
          <t xml:space="preserve"> Salomon</t>
        </is>
      </c>
      <c r="C1113" s="11" t="inlineStr">
        <is>
          <t>Stance 88 W</t>
        </is>
      </c>
      <c r="D1113" s="13" t="n">
        <v>154</v>
      </c>
      <c r="E1113" s="11" t="inlineStr">
        <is>
          <t xml:space="preserve"> Women's</t>
        </is>
      </c>
      <c r="F1113" s="13" t="n">
        <v>154</v>
      </c>
      <c r="G1113" s="13" t="n">
        <v>153.2</v>
      </c>
      <c r="H1113" s="13" t="n">
        <v>116</v>
      </c>
      <c r="I1113" s="13" t="n">
        <v>130</v>
      </c>
      <c r="J1113" s="13" t="n">
        <v>117</v>
      </c>
      <c r="K1113" s="13" t="n">
        <v>88</v>
      </c>
      <c r="L1113" s="13" t="n">
        <v>100</v>
      </c>
      <c r="M1113" s="13" t="n">
        <v>16.5</v>
      </c>
      <c r="N1113" s="13" t="n">
        <v>1463</v>
      </c>
      <c r="O1113" s="13" t="n">
        <v>1.02</v>
      </c>
      <c r="P1113" s="13" t="n">
        <v>1488</v>
      </c>
      <c r="Q1113" s="13" t="n">
        <v>134</v>
      </c>
      <c r="R1113" s="13" t="n">
        <v>73</v>
      </c>
      <c r="S1113" s="13" t="n">
        <v>55</v>
      </c>
      <c r="T1113" s="13" t="n">
        <v>216</v>
      </c>
      <c r="U1113" s="13" t="n">
        <v>11</v>
      </c>
      <c r="V1113" s="13" t="n">
        <v>154</v>
      </c>
      <c r="W1113" s="13" t="n">
        <v>0.204</v>
      </c>
      <c r="X1113" s="13" t="n">
        <v>150</v>
      </c>
      <c r="Y1113" s="13" t="n">
        <v>83</v>
      </c>
      <c r="Z1113" s="13" t="n">
        <v>66</v>
      </c>
      <c r="AA1113" s="13" t="n">
        <v>6</v>
      </c>
      <c r="AB1113" s="13" t="n">
        <v>7.9</v>
      </c>
      <c r="AC1113" s="11" t="inlineStr">
        <is>
          <t xml:space="preserve"> Resort Freeride</t>
        </is>
      </c>
      <c r="AD1113" s="13" t="n"/>
      <c r="AE1113" s="13" t="n"/>
      <c r="AF1113" s="13" t="n"/>
      <c r="AG1113" s="13" t="n"/>
    </row>
    <row r="1114">
      <c r="A1114" s="9" t="inlineStr">
        <is>
          <t>21/22</t>
        </is>
      </c>
      <c r="B1114" s="10" t="inlineStr">
        <is>
          <t xml:space="preserve"> Salomon</t>
        </is>
      </c>
      <c r="C1114" s="11" t="inlineStr">
        <is>
          <t>Stance 88 W</t>
        </is>
      </c>
      <c r="D1114" s="13" t="n">
        <v>161</v>
      </c>
      <c r="E1114" s="11" t="inlineStr">
        <is>
          <t xml:space="preserve"> Women's</t>
        </is>
      </c>
      <c r="F1114" s="13" t="n">
        <v>161</v>
      </c>
      <c r="G1114" s="13" t="n">
        <v>160.1</v>
      </c>
      <c r="H1114" s="13" t="n">
        <v>123</v>
      </c>
      <c r="I1114" s="13" t="n">
        <v>136</v>
      </c>
      <c r="J1114" s="13" t="n">
        <v>119</v>
      </c>
      <c r="K1114" s="13" t="n">
        <v>88</v>
      </c>
      <c r="L1114" s="13" t="n">
        <v>101</v>
      </c>
      <c r="M1114" s="13" t="n">
        <v>17.2</v>
      </c>
      <c r="N1114" s="13" t="n">
        <v>1530</v>
      </c>
      <c r="O1114" s="13" t="n">
        <v>1.02</v>
      </c>
      <c r="P1114" s="13" t="n">
        <v>1563</v>
      </c>
      <c r="Q1114" s="13" t="n">
        <v>140</v>
      </c>
      <c r="R1114" s="13" t="n">
        <v>86</v>
      </c>
      <c r="S1114" s="13" t="n">
        <v>55</v>
      </c>
      <c r="T1114" s="13" t="n">
        <v>223</v>
      </c>
      <c r="U1114" s="13" t="n">
        <v>8</v>
      </c>
      <c r="V1114" s="13" t="n">
        <v>151</v>
      </c>
      <c r="W1114" s="13" t="n">
        <v>0.147</v>
      </c>
      <c r="X1114" s="13" t="n">
        <v>153</v>
      </c>
      <c r="Y1114" s="13" t="n">
        <v>87</v>
      </c>
      <c r="Z1114" s="13" t="n">
        <v>70</v>
      </c>
      <c r="AA1114" s="13" t="n">
        <v>9</v>
      </c>
      <c r="AB1114" s="13" t="n">
        <v>9.300000000000001</v>
      </c>
      <c r="AC1114" s="11" t="inlineStr">
        <is>
          <t xml:space="preserve"> Resort Freeride</t>
        </is>
      </c>
      <c r="AD1114" s="13" t="n"/>
      <c r="AE1114" s="13" t="n"/>
      <c r="AF1114" s="13" t="n"/>
      <c r="AG1114" s="13" t="n"/>
    </row>
    <row r="1115">
      <c r="A1115" s="9" t="inlineStr">
        <is>
          <t>21/22</t>
        </is>
      </c>
      <c r="B1115" s="10" t="inlineStr">
        <is>
          <t xml:space="preserve"> Salomon</t>
        </is>
      </c>
      <c r="C1115" s="11" t="inlineStr">
        <is>
          <t>Stance 88 W</t>
        </is>
      </c>
      <c r="D1115" s="13" t="n">
        <v>168</v>
      </c>
      <c r="E1115" s="11" t="inlineStr">
        <is>
          <t xml:space="preserve"> Women's</t>
        </is>
      </c>
      <c r="F1115" s="13" t="n">
        <v>168</v>
      </c>
      <c r="G1115" s="13" t="n">
        <v>166.9</v>
      </c>
      <c r="H1115" s="13" t="n">
        <v>126</v>
      </c>
      <c r="I1115" s="13" t="n">
        <v>140</v>
      </c>
      <c r="J1115" s="13" t="n">
        <v>122</v>
      </c>
      <c r="K1115" s="13" t="n">
        <v>87</v>
      </c>
      <c r="L1115" s="13" t="n">
        <v>103</v>
      </c>
      <c r="M1115" s="13" t="n">
        <v>16.9</v>
      </c>
      <c r="N1115" s="13" t="n">
        <v>1650</v>
      </c>
      <c r="O1115" s="13" t="n">
        <v>1</v>
      </c>
      <c r="P1115" s="13" t="n">
        <v>1649</v>
      </c>
      <c r="Q1115" s="13" t="n">
        <v>155</v>
      </c>
      <c r="R1115" s="13" t="n">
        <v>96</v>
      </c>
      <c r="S1115" s="13" t="n">
        <v>52</v>
      </c>
      <c r="T1115" s="13" t="n">
        <v>234</v>
      </c>
      <c r="U1115" s="13" t="n">
        <v>9</v>
      </c>
      <c r="V1115" s="13" t="n">
        <v>175</v>
      </c>
      <c r="W1115" s="13" t="n">
        <v>0.17</v>
      </c>
      <c r="X1115" s="13" t="n">
        <v>157</v>
      </c>
      <c r="Y1115" s="13" t="n">
        <v>112</v>
      </c>
      <c r="Z1115" s="13" t="n">
        <v>76</v>
      </c>
      <c r="AA1115" s="13" t="n">
        <v>7</v>
      </c>
      <c r="AB1115" s="13" t="n">
        <v>9.199999999999999</v>
      </c>
      <c r="AC1115" s="11" t="inlineStr">
        <is>
          <t xml:space="preserve"> Resort Freeride</t>
        </is>
      </c>
      <c r="AD1115" s="13" t="n"/>
      <c r="AE1115" s="13" t="n"/>
      <c r="AF1115" s="13" t="n"/>
      <c r="AG1115" s="13" t="n"/>
    </row>
    <row r="1116">
      <c r="A1116" s="9" t="inlineStr">
        <is>
          <t>21/22</t>
        </is>
      </c>
      <c r="B1116" s="10" t="inlineStr">
        <is>
          <t xml:space="preserve"> Salomon</t>
        </is>
      </c>
      <c r="C1116" s="11" t="inlineStr">
        <is>
          <t>Stance 90</t>
        </is>
      </c>
      <c r="D1116" s="13" t="n">
        <v>168</v>
      </c>
      <c r="E1116" s="11" t="inlineStr">
        <is>
          <t xml:space="preserve"> Unisex</t>
        </is>
      </c>
      <c r="F1116" s="13" t="n">
        <v>168</v>
      </c>
      <c r="G1116" s="13" t="n">
        <v>167</v>
      </c>
      <c r="H1116" s="13" t="n">
        <v>129</v>
      </c>
      <c r="I1116" s="13" t="n">
        <v>138</v>
      </c>
      <c r="J1116" s="13" t="n">
        <v>122</v>
      </c>
      <c r="K1116" s="13" t="n">
        <v>88</v>
      </c>
      <c r="L1116" s="13" t="n">
        <v>104</v>
      </c>
      <c r="M1116" s="13" t="n">
        <v>16.9</v>
      </c>
      <c r="N1116" s="13" t="n">
        <v>1643</v>
      </c>
      <c r="O1116" s="13" t="n">
        <v>1</v>
      </c>
      <c r="P1116" s="13" t="n">
        <v>1650</v>
      </c>
      <c r="Q1116" s="13" t="n">
        <v>164</v>
      </c>
      <c r="R1116" s="13" t="n">
        <v>91</v>
      </c>
      <c r="S1116" s="13" t="n">
        <v>47</v>
      </c>
      <c r="T1116" s="13" t="n">
        <v>220</v>
      </c>
      <c r="U1116" s="13" t="n">
        <v>8</v>
      </c>
      <c r="V1116" s="13" t="n">
        <v>158</v>
      </c>
      <c r="W1116" s="13" t="n">
        <v>0.161</v>
      </c>
      <c r="X1116" s="13" t="n">
        <v>168</v>
      </c>
      <c r="Y1116" s="13" t="n">
        <v>124</v>
      </c>
      <c r="Z1116" s="13" t="n">
        <v>53</v>
      </c>
      <c r="AA1116" s="13" t="n">
        <v>9</v>
      </c>
      <c r="AB1116" s="13" t="n">
        <v>9.699999999999999</v>
      </c>
      <c r="AC1116" s="11" t="inlineStr">
        <is>
          <t xml:space="preserve"> Resort Freeride</t>
        </is>
      </c>
      <c r="AD1116" s="13" t="n"/>
      <c r="AE1116" s="13" t="n"/>
      <c r="AF1116" s="13" t="n"/>
      <c r="AG1116" s="13" t="n"/>
    </row>
    <row r="1117">
      <c r="A1117" s="9" t="inlineStr">
        <is>
          <t>21/22</t>
        </is>
      </c>
      <c r="B1117" s="10" t="inlineStr">
        <is>
          <t xml:space="preserve"> Salomon</t>
        </is>
      </c>
      <c r="C1117" s="11" t="inlineStr">
        <is>
          <t>Stance 94 W</t>
        </is>
      </c>
      <c r="D1117" s="13" t="n">
        <v>168</v>
      </c>
      <c r="E1117" s="11" t="inlineStr">
        <is>
          <t xml:space="preserve"> Women's</t>
        </is>
      </c>
      <c r="F1117" s="13" t="n">
        <v>168</v>
      </c>
      <c r="G1117" s="13" t="n">
        <v>167.1</v>
      </c>
      <c r="H1117" s="13" t="n">
        <v>133</v>
      </c>
      <c r="I1117" s="13" t="n">
        <v>138</v>
      </c>
      <c r="J1117" s="13" t="n">
        <v>126</v>
      </c>
      <c r="K1117" s="13" t="n">
        <v>94</v>
      </c>
      <c r="L1117" s="13" t="n">
        <v>108</v>
      </c>
      <c r="M1117" s="13" t="n">
        <v>18.5</v>
      </c>
      <c r="N1117" s="13" t="n">
        <v>1700</v>
      </c>
      <c r="O1117" s="13" t="n">
        <v>1.02</v>
      </c>
      <c r="P1117" s="13" t="n">
        <v>1733</v>
      </c>
      <c r="Q1117" s="13" t="n">
        <v>171</v>
      </c>
      <c r="R1117" s="13" t="n">
        <v>106</v>
      </c>
      <c r="S1117" s="13" t="n">
        <v>49</v>
      </c>
      <c r="T1117" s="13" t="n">
        <v>212</v>
      </c>
      <c r="U1117" s="13" t="n">
        <v>6</v>
      </c>
      <c r="V1117" s="13" t="n">
        <v>134</v>
      </c>
      <c r="W1117" s="13" t="n">
        <v>0.114</v>
      </c>
      <c r="X1117" s="13" t="n">
        <v>160</v>
      </c>
      <c r="Y1117" s="13" t="n">
        <v>130</v>
      </c>
      <c r="Z1117" s="13" t="n">
        <v>51</v>
      </c>
      <c r="AA1117" s="13" t="n">
        <v>10</v>
      </c>
      <c r="AB1117" s="13" t="n">
        <v>9.6</v>
      </c>
      <c r="AC1117" s="11" t="inlineStr">
        <is>
          <t xml:space="preserve"> Resort Freeride</t>
        </is>
      </c>
      <c r="AD1117" s="13" t="n"/>
      <c r="AE1117" s="13" t="n"/>
      <c r="AF1117" s="13" t="n"/>
      <c r="AG1117" s="13" t="n"/>
    </row>
    <row r="1118">
      <c r="A1118" s="9" t="inlineStr">
        <is>
          <t>21/22</t>
        </is>
      </c>
      <c r="B1118" s="10" t="inlineStr">
        <is>
          <t xml:space="preserve"> Salomon</t>
        </is>
      </c>
      <c r="C1118" s="11" t="inlineStr">
        <is>
          <t>Stance 96</t>
        </is>
      </c>
      <c r="D1118" s="13" t="n">
        <v>168</v>
      </c>
      <c r="E1118" s="11" t="inlineStr">
        <is>
          <t xml:space="preserve"> Unisex</t>
        </is>
      </c>
      <c r="F1118" s="13" t="n">
        <v>168</v>
      </c>
      <c r="G1118" s="13" t="n">
        <v>167.4</v>
      </c>
      <c r="H1118" s="13" t="n">
        <v>128</v>
      </c>
      <c r="I1118" s="13" t="n">
        <v>137</v>
      </c>
      <c r="J1118" s="13" t="n">
        <v>126</v>
      </c>
      <c r="K1118" s="13" t="n">
        <v>93</v>
      </c>
      <c r="L1118" s="13" t="n">
        <v>107</v>
      </c>
      <c r="M1118" s="13" t="n">
        <v>18.5</v>
      </c>
      <c r="N1118" s="13" t="n">
        <v>1767</v>
      </c>
      <c r="O1118" s="13" t="n">
        <v>0.98</v>
      </c>
      <c r="P1118" s="13" t="n">
        <v>1734</v>
      </c>
      <c r="Q1118" s="13" t="n">
        <v>180</v>
      </c>
      <c r="R1118" s="13" t="n">
        <v>111</v>
      </c>
      <c r="S1118" s="13" t="n">
        <v>48</v>
      </c>
      <c r="T1118" s="13" t="n">
        <v>225</v>
      </c>
      <c r="U1118" s="13" t="n">
        <v>9</v>
      </c>
      <c r="V1118" s="13" t="n">
        <v>167</v>
      </c>
      <c r="W1118" s="13" t="n">
        <v>0.189</v>
      </c>
      <c r="X1118" s="13" t="n">
        <v>166</v>
      </c>
      <c r="Y1118" s="13" t="n">
        <v>138</v>
      </c>
      <c r="Z1118" s="13" t="n">
        <v>58</v>
      </c>
      <c r="AA1118" s="13" t="n">
        <v>9</v>
      </c>
      <c r="AB1118" s="13" t="n">
        <v>9.4</v>
      </c>
      <c r="AC1118" s="11" t="inlineStr">
        <is>
          <t xml:space="preserve"> Resort Freeride</t>
        </is>
      </c>
      <c r="AD1118" s="13" t="n"/>
      <c r="AE1118" s="13" t="n"/>
      <c r="AF1118" s="13" t="n"/>
      <c r="AG1118" s="13" t="n"/>
    </row>
    <row r="1119">
      <c r="A1119" s="9" t="inlineStr">
        <is>
          <t>21/22</t>
        </is>
      </c>
      <c r="B1119" s="10" t="inlineStr">
        <is>
          <t xml:space="preserve"> Salomon</t>
        </is>
      </c>
      <c r="C1119" s="11" t="inlineStr">
        <is>
          <t>Stance 96</t>
        </is>
      </c>
      <c r="D1119" s="13" t="n">
        <v>176</v>
      </c>
      <c r="E1119" s="11" t="inlineStr">
        <is>
          <t xml:space="preserve"> Unisex</t>
        </is>
      </c>
      <c r="F1119" s="13" t="n">
        <v>176</v>
      </c>
      <c r="G1119" s="13" t="n">
        <v>174.3</v>
      </c>
      <c r="H1119" s="13" t="n">
        <v>134</v>
      </c>
      <c r="I1119" s="13" t="n">
        <v>145</v>
      </c>
      <c r="J1119" s="13" t="n">
        <v>130</v>
      </c>
      <c r="K1119" s="13" t="n">
        <v>95</v>
      </c>
      <c r="L1119" s="13" t="n">
        <v>112</v>
      </c>
      <c r="M1119" s="13" t="n">
        <v>18.8</v>
      </c>
      <c r="N1119" s="13" t="n">
        <v>1862</v>
      </c>
      <c r="O1119" s="13" t="n">
        <v>1</v>
      </c>
      <c r="P1119" s="13" t="n">
        <v>1853</v>
      </c>
      <c r="Q1119" s="13" t="n">
        <v>179</v>
      </c>
      <c r="R1119" s="13" t="n">
        <v>110</v>
      </c>
      <c r="S1119" s="13" t="n">
        <v>48</v>
      </c>
      <c r="T1119" s="13" t="n">
        <v>227</v>
      </c>
      <c r="U1119" s="13" t="n">
        <v>8</v>
      </c>
      <c r="V1119" s="13" t="n">
        <v>172</v>
      </c>
      <c r="W1119" s="13" t="n">
        <v>0.165</v>
      </c>
      <c r="X1119" s="13" t="n">
        <v>165</v>
      </c>
      <c r="Y1119" s="13" t="n">
        <v>132</v>
      </c>
      <c r="Z1119" s="13" t="n">
        <v>63</v>
      </c>
      <c r="AA1119" s="13" t="n">
        <v>9</v>
      </c>
      <c r="AB1119" s="13" t="n">
        <v>10</v>
      </c>
      <c r="AC1119" s="11" t="inlineStr">
        <is>
          <t xml:space="preserve"> Resort Freeride</t>
        </is>
      </c>
      <c r="AD1119" s="13" t="n"/>
      <c r="AE1119" s="13" t="n"/>
      <c r="AF1119" s="13" t="n"/>
      <c r="AG1119" s="13" t="n"/>
    </row>
    <row r="1120">
      <c r="A1120" s="9" t="inlineStr">
        <is>
          <t>21/22</t>
        </is>
      </c>
      <c r="B1120" s="10" t="inlineStr">
        <is>
          <t xml:space="preserve"> Salomon</t>
        </is>
      </c>
      <c r="C1120" s="11" t="inlineStr">
        <is>
          <t>Stance 96</t>
        </is>
      </c>
      <c r="D1120" s="13" t="n">
        <v>182</v>
      </c>
      <c r="E1120" s="11" t="inlineStr">
        <is>
          <t xml:space="preserve"> Unisex</t>
        </is>
      </c>
      <c r="F1120" s="13" t="n">
        <v>182</v>
      </c>
      <c r="G1120" s="13" t="n">
        <v>181</v>
      </c>
      <c r="H1120" s="13" t="n">
        <v>137</v>
      </c>
      <c r="I1120" s="13" t="n">
        <v>152</v>
      </c>
      <c r="J1120" s="13" t="n">
        <v>132</v>
      </c>
      <c r="K1120" s="13" t="n">
        <v>95</v>
      </c>
      <c r="L1120" s="13" t="n">
        <v>113</v>
      </c>
      <c r="M1120" s="13" t="n">
        <v>19.2</v>
      </c>
      <c r="N1120" s="13" t="n">
        <v>2111</v>
      </c>
      <c r="O1120" s="13" t="n">
        <v>0.92</v>
      </c>
      <c r="P1120" s="13" t="n">
        <v>1936</v>
      </c>
      <c r="Q1120" s="13" t="n">
        <v>238</v>
      </c>
      <c r="R1120" s="13" t="n">
        <v>133</v>
      </c>
      <c r="S1120" s="13" t="n">
        <v>49</v>
      </c>
      <c r="T1120" s="13" t="n">
        <v>245</v>
      </c>
      <c r="U1120" s="13" t="n">
        <v>9</v>
      </c>
      <c r="V1120" s="13" t="n">
        <v>193</v>
      </c>
      <c r="W1120" s="13" t="n">
        <v>0.191</v>
      </c>
      <c r="X1120" s="13" t="n">
        <v>159</v>
      </c>
      <c r="Y1120" s="13" t="n">
        <v>134</v>
      </c>
      <c r="Z1120" s="13" t="n">
        <v>86</v>
      </c>
      <c r="AA1120" s="13" t="n">
        <v>9</v>
      </c>
      <c r="AB1120" s="13" t="n">
        <v>9.6</v>
      </c>
      <c r="AC1120" s="11" t="inlineStr">
        <is>
          <t xml:space="preserve"> Resort Freeride</t>
        </is>
      </c>
      <c r="AD1120" s="13" t="n"/>
      <c r="AE1120" s="13" t="n"/>
      <c r="AF1120" s="13" t="n"/>
      <c r="AG1120" s="13" t="n"/>
    </row>
    <row r="1121">
      <c r="A1121" s="9" t="inlineStr">
        <is>
          <t>21/22</t>
        </is>
      </c>
      <c r="B1121" s="10" t="inlineStr">
        <is>
          <t xml:space="preserve"> Salomon</t>
        </is>
      </c>
      <c r="C1121" s="11" t="inlineStr">
        <is>
          <t>Stance 96</t>
        </is>
      </c>
      <c r="D1121" s="13" t="n">
        <v>188</v>
      </c>
      <c r="E1121" s="11" t="inlineStr">
        <is>
          <t xml:space="preserve"> Unisex</t>
        </is>
      </c>
      <c r="F1121" s="13" t="n">
        <v>188</v>
      </c>
      <c r="G1121" s="13" t="n">
        <v>187.1</v>
      </c>
      <c r="H1121" s="13" t="n">
        <v>146</v>
      </c>
      <c r="I1121" s="13" t="n">
        <v>157</v>
      </c>
      <c r="J1121" s="13" t="n">
        <v>134</v>
      </c>
      <c r="K1121" s="13" t="n">
        <v>95</v>
      </c>
      <c r="L1121" s="13" t="n">
        <v>116</v>
      </c>
      <c r="M1121" s="13" t="n">
        <v>19.1</v>
      </c>
      <c r="N1121" s="13" t="n">
        <v>2106</v>
      </c>
      <c r="O1121" s="13" t="n">
        <v>0.96</v>
      </c>
      <c r="P1121" s="13" t="n">
        <v>2016</v>
      </c>
      <c r="Q1121" s="13" t="n">
        <v>236</v>
      </c>
      <c r="R1121" s="13" t="n">
        <v>159</v>
      </c>
      <c r="S1121" s="13" t="n">
        <v>48</v>
      </c>
      <c r="T1121" s="13" t="n">
        <v>254</v>
      </c>
      <c r="U1121" s="13" t="n">
        <v>6</v>
      </c>
      <c r="V1121" s="13" t="n">
        <v>154</v>
      </c>
      <c r="W1121" s="13" t="n">
        <v>0.127</v>
      </c>
      <c r="X1121" s="13" t="n">
        <v>158</v>
      </c>
      <c r="Y1121" s="13" t="n">
        <v>142</v>
      </c>
      <c r="Z1121" s="13" t="n">
        <v>95</v>
      </c>
      <c r="AA1121" s="13" t="n">
        <v>12</v>
      </c>
      <c r="AB1121" s="13" t="n">
        <v>10.5</v>
      </c>
      <c r="AC1121" s="11" t="inlineStr">
        <is>
          <t xml:space="preserve"> Resort Freeride</t>
        </is>
      </c>
      <c r="AD1121" s="13" t="n"/>
      <c r="AE1121" s="13" t="n"/>
      <c r="AF1121" s="13" t="n"/>
      <c r="AG1121" s="13" t="n"/>
    </row>
    <row r="1122">
      <c r="A1122" s="9" t="inlineStr">
        <is>
          <t>21/22</t>
        </is>
      </c>
      <c r="B1122" s="10" t="inlineStr">
        <is>
          <t xml:space="preserve"> Scott</t>
        </is>
      </c>
      <c r="C1122" s="11" t="inlineStr">
        <is>
          <t>Scrapper 105</t>
        </is>
      </c>
      <c r="D1122" s="13" t="n">
        <v>175</v>
      </c>
      <c r="E1122" s="11" t="inlineStr">
        <is>
          <t xml:space="preserve"> Unisex</t>
        </is>
      </c>
      <c r="F1122" s="13" t="n">
        <v>175</v>
      </c>
      <c r="G1122" s="13" t="n">
        <v>173.4</v>
      </c>
      <c r="H1122" s="13" t="n">
        <v>124</v>
      </c>
      <c r="I1122" s="13" t="n">
        <v>156</v>
      </c>
      <c r="J1122" s="13" t="n">
        <v>135</v>
      </c>
      <c r="K1122" s="13" t="n">
        <v>100</v>
      </c>
      <c r="L1122" s="13" t="n">
        <v>123</v>
      </c>
      <c r="M1122" s="13" t="n">
        <v>22.6</v>
      </c>
      <c r="N1122" s="13" t="n">
        <v>1547</v>
      </c>
      <c r="O1122" s="13" t="n">
        <v>1.21</v>
      </c>
      <c r="P1122" s="13" t="n">
        <v>1877</v>
      </c>
      <c r="Q1122" s="13" t="n">
        <v>224</v>
      </c>
      <c r="R1122" s="13" t="n">
        <v>98</v>
      </c>
      <c r="S1122" s="13" t="n">
        <v>60</v>
      </c>
      <c r="T1122" s="13" t="n">
        <v>306</v>
      </c>
      <c r="U1122" s="13" t="n">
        <v>39</v>
      </c>
      <c r="V1122" s="13" t="n">
        <v>188</v>
      </c>
      <c r="W1122" s="13" t="n">
        <v>0.64</v>
      </c>
      <c r="X1122" s="13" t="n">
        <v>99</v>
      </c>
      <c r="Y1122" s="13" t="n">
        <v>74</v>
      </c>
      <c r="Z1122" s="13" t="n">
        <v>207</v>
      </c>
      <c r="AA1122" s="13" t="n">
        <v>4</v>
      </c>
      <c r="AB1122" s="13" t="n">
        <v>11.1</v>
      </c>
      <c r="AC1122" s="11" t="inlineStr">
        <is>
          <t xml:space="preserve"> Resort Freeride</t>
        </is>
      </c>
      <c r="AD1122" s="11" t="inlineStr">
        <is>
          <t xml:space="preserve"> Powder</t>
        </is>
      </c>
      <c r="AE1122" s="11" t="inlineStr">
        <is>
          <t xml:space="preserve"> Touring</t>
        </is>
      </c>
      <c r="AF1122" s="13" t="n"/>
      <c r="AG1122" s="13" t="n"/>
    </row>
    <row r="1123">
      <c r="A1123" s="9" t="inlineStr">
        <is>
          <t>21/22</t>
        </is>
      </c>
      <c r="B1123" s="10" t="inlineStr">
        <is>
          <t xml:space="preserve"> Scott</t>
        </is>
      </c>
      <c r="C1123" s="11" t="inlineStr">
        <is>
          <t>Scrapper 105</t>
        </is>
      </c>
      <c r="D1123" s="13" t="n">
        <v>183</v>
      </c>
      <c r="E1123" s="11" t="inlineStr">
        <is>
          <t xml:space="preserve"> Unisex</t>
        </is>
      </c>
      <c r="F1123" s="13" t="n">
        <v>183</v>
      </c>
      <c r="G1123" s="13" t="n">
        <v>181.3</v>
      </c>
      <c r="H1123" s="13" t="n">
        <v>132</v>
      </c>
      <c r="I1123" s="13" t="n">
        <v>163</v>
      </c>
      <c r="J1123" s="13" t="n">
        <v>137</v>
      </c>
      <c r="K1123" s="13" t="n">
        <v>102</v>
      </c>
      <c r="L1123" s="13" t="n">
        <v>126</v>
      </c>
      <c r="M1123" s="13" t="n">
        <v>24</v>
      </c>
      <c r="N1123" s="13" t="n">
        <v>1718</v>
      </c>
      <c r="O1123" s="13" t="n">
        <v>1.16</v>
      </c>
      <c r="P1123" s="13" t="n">
        <v>1999</v>
      </c>
      <c r="Q1123" s="13" t="n">
        <v>295</v>
      </c>
      <c r="R1123" s="13" t="n">
        <v>126</v>
      </c>
      <c r="S1123" s="13" t="n">
        <v>60</v>
      </c>
      <c r="T1123" s="13" t="n">
        <v>301</v>
      </c>
      <c r="U1123" s="13" t="n">
        <v>40</v>
      </c>
      <c r="V1123" s="13" t="n">
        <v>192</v>
      </c>
      <c r="W1123" s="13" t="n">
        <v>0.662</v>
      </c>
      <c r="X1123" s="13" t="n">
        <v>110</v>
      </c>
      <c r="Y1123" s="13" t="n">
        <v>76</v>
      </c>
      <c r="Z1123" s="13" t="n">
        <v>191</v>
      </c>
      <c r="AA1123" s="13" t="n">
        <v>4</v>
      </c>
      <c r="AB1123" s="13" t="n">
        <v>11.9</v>
      </c>
      <c r="AC1123" s="11" t="inlineStr">
        <is>
          <t xml:space="preserve"> Resort Freeride</t>
        </is>
      </c>
      <c r="AD1123" s="11" t="inlineStr">
        <is>
          <t xml:space="preserve"> Powder</t>
        </is>
      </c>
      <c r="AE1123" s="11" t="inlineStr">
        <is>
          <t xml:space="preserve"> Touring</t>
        </is>
      </c>
      <c r="AF1123" s="13" t="n"/>
      <c r="AG1123" s="13" t="n"/>
    </row>
    <row r="1124">
      <c r="A1124" s="9" t="inlineStr">
        <is>
          <t>21/22</t>
        </is>
      </c>
      <c r="B1124" s="10" t="inlineStr">
        <is>
          <t xml:space="preserve"> Scott</t>
        </is>
      </c>
      <c r="C1124" s="11" t="inlineStr">
        <is>
          <t>Scrapper 95</t>
        </is>
      </c>
      <c r="D1124" s="13" t="n">
        <v>168</v>
      </c>
      <c r="E1124" s="11" t="inlineStr">
        <is>
          <t xml:space="preserve"> Unisex</t>
        </is>
      </c>
      <c r="F1124" s="13" t="n">
        <v>168</v>
      </c>
      <c r="G1124" s="13" t="n">
        <v>166.4</v>
      </c>
      <c r="H1124" s="13" t="n">
        <v>125</v>
      </c>
      <c r="I1124" s="13" t="n">
        <v>149</v>
      </c>
      <c r="J1124" s="13" t="n">
        <v>129</v>
      </c>
      <c r="K1124" s="13" t="n">
        <v>93</v>
      </c>
      <c r="L1124" s="13" t="n">
        <v>117</v>
      </c>
      <c r="M1124" s="13" t="n">
        <v>19.7</v>
      </c>
      <c r="N1124" s="13" t="n">
        <v>1380</v>
      </c>
      <c r="O1124" s="13" t="n">
        <v>1.23</v>
      </c>
      <c r="P1124" s="13" t="n">
        <v>1698</v>
      </c>
      <c r="Q1124" s="13" t="n">
        <v>166</v>
      </c>
      <c r="R1124" s="13" t="n">
        <v>74</v>
      </c>
      <c r="S1124" s="13" t="n">
        <v>57</v>
      </c>
      <c r="T1124" s="13" t="n">
        <v>267</v>
      </c>
      <c r="U1124" s="13" t="n">
        <v>31</v>
      </c>
      <c r="V1124" s="13" t="n">
        <v>150</v>
      </c>
      <c r="W1124" s="13" t="n">
        <v>0.546</v>
      </c>
      <c r="X1124" s="13" t="n">
        <v>102</v>
      </c>
      <c r="Y1124" s="13" t="n">
        <v>73</v>
      </c>
      <c r="Z1124" s="13" t="n">
        <v>165</v>
      </c>
      <c r="AA1124" s="13" t="n">
        <v>6</v>
      </c>
      <c r="AB1124" s="13" t="n">
        <v>9.1</v>
      </c>
      <c r="AC1124" s="11" t="inlineStr">
        <is>
          <t xml:space="preserve"> Resort Freeride</t>
        </is>
      </c>
      <c r="AD1124" s="11" t="inlineStr">
        <is>
          <t xml:space="preserve"> Touring</t>
        </is>
      </c>
      <c r="AE1124" s="13" t="n"/>
      <c r="AF1124" s="13" t="n"/>
      <c r="AG1124" s="13" t="n"/>
    </row>
    <row r="1125">
      <c r="A1125" s="9" t="inlineStr">
        <is>
          <t>21/22</t>
        </is>
      </c>
      <c r="B1125" s="10" t="inlineStr">
        <is>
          <t xml:space="preserve"> Scott</t>
        </is>
      </c>
      <c r="C1125" s="11" t="inlineStr">
        <is>
          <t>Scrapper 95</t>
        </is>
      </c>
      <c r="D1125" s="13" t="n">
        <v>184</v>
      </c>
      <c r="E1125" s="11" t="inlineStr">
        <is>
          <t xml:space="preserve"> Unisex</t>
        </is>
      </c>
      <c r="F1125" s="13" t="n">
        <v>184</v>
      </c>
      <c r="G1125" s="13" t="n">
        <v>182.4</v>
      </c>
      <c r="H1125" s="13" t="n">
        <v>141</v>
      </c>
      <c r="I1125" s="13" t="n">
        <v>166</v>
      </c>
      <c r="J1125" s="13" t="n">
        <v>133</v>
      </c>
      <c r="K1125" s="13" t="n">
        <v>95</v>
      </c>
      <c r="L1125" s="13" t="n">
        <v>121</v>
      </c>
      <c r="M1125" s="13" t="n">
        <v>22.9</v>
      </c>
      <c r="N1125" s="13" t="n">
        <v>1583</v>
      </c>
      <c r="O1125" s="13" t="n">
        <v>1.2</v>
      </c>
      <c r="P1125" s="13" t="n">
        <v>1901</v>
      </c>
      <c r="Q1125" s="13" t="n">
        <v>259</v>
      </c>
      <c r="R1125" s="13" t="n">
        <v>105</v>
      </c>
      <c r="S1125" s="13" t="n">
        <v>56</v>
      </c>
      <c r="T1125" s="13" t="n">
        <v>247</v>
      </c>
      <c r="U1125" s="13" t="n">
        <v>33</v>
      </c>
      <c r="V1125" s="13" t="n">
        <v>171</v>
      </c>
      <c r="W1125" s="13" t="n">
        <v>0.589</v>
      </c>
      <c r="X1125" s="13" t="n">
        <v>95</v>
      </c>
      <c r="Y1125" s="13" t="n">
        <v>74</v>
      </c>
      <c r="Z1125" s="13" t="n">
        <v>152</v>
      </c>
      <c r="AA1125" s="13" t="n">
        <v>7</v>
      </c>
      <c r="AB1125" s="13" t="n">
        <v>9.1</v>
      </c>
      <c r="AC1125" s="11" t="inlineStr">
        <is>
          <t xml:space="preserve"> Resort Freeride</t>
        </is>
      </c>
      <c r="AD1125" s="11" t="inlineStr">
        <is>
          <t xml:space="preserve"> Touring</t>
        </is>
      </c>
      <c r="AE1125" s="13" t="n"/>
      <c r="AF1125" s="13" t="n"/>
      <c r="AG1125" s="13" t="n"/>
    </row>
    <row r="1126">
      <c r="A1126" s="9" t="inlineStr">
        <is>
          <t>21/22</t>
        </is>
      </c>
      <c r="B1126" s="10" t="inlineStr">
        <is>
          <t xml:space="preserve"> Scott</t>
        </is>
      </c>
      <c r="C1126" s="11" t="inlineStr">
        <is>
          <t>Scrapper 95 W</t>
        </is>
      </c>
      <c r="D1126" s="13" t="n">
        <v>160</v>
      </c>
      <c r="E1126" s="11" t="inlineStr">
        <is>
          <t xml:space="preserve"> Women's</t>
        </is>
      </c>
      <c r="F1126" s="13" t="n">
        <v>160</v>
      </c>
      <c r="G1126" s="13" t="n">
        <v>158.3</v>
      </c>
      <c r="H1126" s="13" t="n">
        <v>114</v>
      </c>
      <c r="I1126" s="13" t="n">
        <v>141</v>
      </c>
      <c r="J1126" s="13" t="n">
        <v>126</v>
      </c>
      <c r="K1126" s="13" t="n">
        <v>92</v>
      </c>
      <c r="L1126" s="13" t="n">
        <v>115</v>
      </c>
      <c r="M1126" s="13" t="n">
        <v>18</v>
      </c>
      <c r="N1126" s="11" t="inlineStr">
        <is>
          <t xml:space="preserve"> None</t>
        </is>
      </c>
      <c r="O1126" s="11" t="inlineStr">
        <is>
          <t xml:space="preserve"> None</t>
        </is>
      </c>
      <c r="P1126" s="13" t="n">
        <v>1594</v>
      </c>
      <c r="Q1126" s="13" t="n">
        <v>148</v>
      </c>
      <c r="R1126" s="13" t="n">
        <v>62</v>
      </c>
      <c r="S1126" s="13" t="n">
        <v>56</v>
      </c>
      <c r="T1126" s="13" t="n">
        <v>269</v>
      </c>
      <c r="U1126" s="13" t="n">
        <v>33</v>
      </c>
      <c r="V1126" s="13" t="n">
        <v>175</v>
      </c>
      <c r="W1126" s="13" t="n">
        <v>0.594</v>
      </c>
      <c r="X1126" s="13" t="n">
        <v>96</v>
      </c>
      <c r="Y1126" s="13" t="n">
        <v>74</v>
      </c>
      <c r="Z1126" s="13" t="n">
        <v>173</v>
      </c>
      <c r="AA1126" s="13" t="n">
        <v>4</v>
      </c>
      <c r="AB1126" s="13" t="n">
        <v>6.9</v>
      </c>
      <c r="AC1126" s="11" t="inlineStr">
        <is>
          <t xml:space="preserve"> Other</t>
        </is>
      </c>
      <c r="AD1126" s="13" t="n"/>
      <c r="AE1126" s="13" t="n"/>
      <c r="AF1126" s="13" t="n"/>
      <c r="AG1126" s="13" t="n"/>
    </row>
    <row r="1127">
      <c r="A1127" s="9" t="inlineStr">
        <is>
          <t>21/22</t>
        </is>
      </c>
      <c r="B1127" s="10" t="inlineStr">
        <is>
          <t xml:space="preserve"> Scott</t>
        </is>
      </c>
      <c r="C1127" s="11" t="inlineStr">
        <is>
          <t>Scrapper 95 W</t>
        </is>
      </c>
      <c r="D1127" s="13" t="n">
        <v>168</v>
      </c>
      <c r="E1127" s="11" t="inlineStr">
        <is>
          <t xml:space="preserve"> Women's</t>
        </is>
      </c>
      <c r="F1127" s="13" t="n">
        <v>168</v>
      </c>
      <c r="G1127" s="13" t="n">
        <v>166.5</v>
      </c>
      <c r="H1127" s="13" t="n">
        <v>120</v>
      </c>
      <c r="I1127" s="13" t="n">
        <v>149</v>
      </c>
      <c r="J1127" s="13" t="n">
        <v>128</v>
      </c>
      <c r="K1127" s="13" t="n">
        <v>93</v>
      </c>
      <c r="L1127" s="13" t="n">
        <v>117</v>
      </c>
      <c r="M1127" s="13" t="n">
        <v>19.6</v>
      </c>
      <c r="N1127" s="11" t="inlineStr">
        <is>
          <t xml:space="preserve"> None</t>
        </is>
      </c>
      <c r="O1127" s="11" t="inlineStr">
        <is>
          <t xml:space="preserve"> None</t>
        </is>
      </c>
      <c r="P1127" s="13" t="n">
        <v>1695</v>
      </c>
      <c r="Q1127" s="13" t="n">
        <v>145</v>
      </c>
      <c r="R1127" s="13" t="n">
        <v>64</v>
      </c>
      <c r="S1127" s="13" t="n">
        <v>59</v>
      </c>
      <c r="T1127" s="13" t="n">
        <v>295</v>
      </c>
      <c r="U1127" s="13" t="n">
        <v>34</v>
      </c>
      <c r="V1127" s="13" t="n">
        <v>165</v>
      </c>
      <c r="W1127" s="13" t="n">
        <v>0.578</v>
      </c>
      <c r="X1127" s="13" t="n">
        <v>105</v>
      </c>
      <c r="Y1127" s="13" t="n">
        <v>75</v>
      </c>
      <c r="Z1127" s="13" t="n">
        <v>190</v>
      </c>
      <c r="AA1127" s="13" t="n">
        <v>5</v>
      </c>
      <c r="AB1127" s="13" t="n">
        <v>7</v>
      </c>
      <c r="AC1127" s="11" t="inlineStr">
        <is>
          <t xml:space="preserve"> Other</t>
        </is>
      </c>
      <c r="AD1127" s="13" t="n"/>
      <c r="AE1127" s="13" t="n"/>
      <c r="AF1127" s="13" t="n"/>
      <c r="AG1127" s="13" t="n"/>
    </row>
    <row r="1128">
      <c r="A1128" s="9" t="inlineStr">
        <is>
          <t>21/22</t>
        </is>
      </c>
      <c r="B1128" s="10" t="inlineStr">
        <is>
          <t xml:space="preserve"> Scott</t>
        </is>
      </c>
      <c r="C1128" s="11" t="inlineStr">
        <is>
          <t>Slight 93</t>
        </is>
      </c>
      <c r="D1128" s="13" t="n">
        <v>170</v>
      </c>
      <c r="E1128" s="11" t="inlineStr">
        <is>
          <t xml:space="preserve"> Unisex</t>
        </is>
      </c>
      <c r="F1128" s="13" t="n">
        <v>170</v>
      </c>
      <c r="G1128" s="13" t="n">
        <v>168.5</v>
      </c>
      <c r="H1128" s="13" t="n">
        <v>128</v>
      </c>
      <c r="I1128" s="13" t="n">
        <v>149</v>
      </c>
      <c r="J1128" s="13" t="n">
        <v>134</v>
      </c>
      <c r="K1128" s="13" t="n">
        <v>90</v>
      </c>
      <c r="L1128" s="13" t="n">
        <v>121</v>
      </c>
      <c r="M1128" s="13" t="n">
        <v>15.1</v>
      </c>
      <c r="N1128" s="13" t="n">
        <v>1472</v>
      </c>
      <c r="O1128" s="13" t="n">
        <v>1.19</v>
      </c>
      <c r="P1128" s="13" t="n">
        <v>1746</v>
      </c>
      <c r="Q1128" s="13" t="n">
        <v>229</v>
      </c>
      <c r="R1128" s="13" t="n">
        <v>90</v>
      </c>
      <c r="S1128" s="13" t="n">
        <v>57</v>
      </c>
      <c r="T1128" s="13" t="n">
        <v>272</v>
      </c>
      <c r="U1128" s="13" t="n">
        <v>21</v>
      </c>
      <c r="V1128" s="13" t="n">
        <v>134</v>
      </c>
      <c r="W1128" s="13" t="n">
        <v>0.362</v>
      </c>
      <c r="X1128" s="13" t="n">
        <v>122</v>
      </c>
      <c r="Y1128" s="13" t="n">
        <v>73</v>
      </c>
      <c r="Z1128" s="13" t="n">
        <v>150</v>
      </c>
      <c r="AA1128" s="13" t="n">
        <v>4</v>
      </c>
      <c r="AB1128" s="13" t="n">
        <v>12.2</v>
      </c>
      <c r="AC1128" s="11" t="inlineStr">
        <is>
          <t xml:space="preserve"> Resort Freeride</t>
        </is>
      </c>
      <c r="AD1128" s="11" t="inlineStr">
        <is>
          <t xml:space="preserve"> Touring</t>
        </is>
      </c>
      <c r="AE1128" s="13" t="n"/>
      <c r="AF1128" s="13" t="n"/>
      <c r="AG1128" s="13" t="n"/>
    </row>
    <row r="1129">
      <c r="A1129" s="9" t="inlineStr">
        <is>
          <t>21/22</t>
        </is>
      </c>
      <c r="B1129" s="10" t="inlineStr">
        <is>
          <t xml:space="preserve"> Scott</t>
        </is>
      </c>
      <c r="C1129" s="11" t="inlineStr">
        <is>
          <t>Slight 93</t>
        </is>
      </c>
      <c r="D1129" s="13" t="n">
        <v>180</v>
      </c>
      <c r="E1129" s="11" t="inlineStr">
        <is>
          <t xml:space="preserve"> Unisex</t>
        </is>
      </c>
      <c r="F1129" s="13" t="n">
        <v>180</v>
      </c>
      <c r="G1129" s="13" t="n">
        <v>178.5</v>
      </c>
      <c r="H1129" s="13" t="n">
        <v>139</v>
      </c>
      <c r="I1129" s="13" t="n">
        <v>157</v>
      </c>
      <c r="J1129" s="13" t="n">
        <v>137</v>
      </c>
      <c r="K1129" s="13" t="n">
        <v>94</v>
      </c>
      <c r="L1129" s="13" t="n">
        <v>124</v>
      </c>
      <c r="M1129" s="13" t="n">
        <v>17</v>
      </c>
      <c r="N1129" s="13" t="n">
        <v>1609</v>
      </c>
      <c r="O1129" s="13" t="n">
        <v>1.19</v>
      </c>
      <c r="P1129" s="13" t="n">
        <v>1921</v>
      </c>
      <c r="Q1129" s="13" t="n">
        <v>242</v>
      </c>
      <c r="R1129" s="13" t="n">
        <v>103</v>
      </c>
      <c r="S1129" s="13" t="n">
        <v>56</v>
      </c>
      <c r="T1129" s="13" t="n">
        <v>265</v>
      </c>
      <c r="U1129" s="13" t="n">
        <v>19</v>
      </c>
      <c r="V1129" s="13" t="n">
        <v>130</v>
      </c>
      <c r="W1129" s="13" t="n">
        <v>0.338</v>
      </c>
      <c r="X1129" s="13" t="n">
        <v>123</v>
      </c>
      <c r="Y1129" s="13" t="n">
        <v>88</v>
      </c>
      <c r="Z1129" s="13" t="n">
        <v>142</v>
      </c>
      <c r="AA1129" s="13" t="n">
        <v>6</v>
      </c>
      <c r="AB1129" s="13" t="n">
        <v>12.4</v>
      </c>
      <c r="AC1129" s="11" t="inlineStr">
        <is>
          <t xml:space="preserve"> Resort Freeride</t>
        </is>
      </c>
      <c r="AD1129" s="11" t="inlineStr">
        <is>
          <t xml:space="preserve"> Touring</t>
        </is>
      </c>
      <c r="AE1129" s="13" t="n"/>
      <c r="AF1129" s="13" t="n"/>
      <c r="AG1129" s="13" t="n"/>
    </row>
    <row r="1130">
      <c r="A1130" s="9" t="inlineStr">
        <is>
          <t>21/22</t>
        </is>
      </c>
      <c r="B1130" s="10" t="inlineStr">
        <is>
          <t xml:space="preserve"> Scott</t>
        </is>
      </c>
      <c r="C1130" s="11" t="inlineStr">
        <is>
          <t>Superguide 88</t>
        </is>
      </c>
      <c r="D1130" s="13" t="n">
        <v>162</v>
      </c>
      <c r="E1130" s="11" t="inlineStr">
        <is>
          <t xml:space="preserve"> Unisex</t>
        </is>
      </c>
      <c r="F1130" s="13" t="n">
        <v>162</v>
      </c>
      <c r="G1130" s="13" t="n">
        <v>159.9</v>
      </c>
      <c r="H1130" s="13" t="n">
        <v>123</v>
      </c>
      <c r="I1130" s="13" t="n">
        <v>141</v>
      </c>
      <c r="J1130" s="13" t="n">
        <v>121</v>
      </c>
      <c r="K1130" s="13" t="n">
        <v>83</v>
      </c>
      <c r="L1130" s="13" t="n">
        <v>105</v>
      </c>
      <c r="M1130" s="13" t="n">
        <v>16</v>
      </c>
      <c r="N1130" s="13" t="n">
        <v>1234</v>
      </c>
      <c r="O1130" s="13" t="n">
        <v>1.23</v>
      </c>
      <c r="P1130" s="13" t="n">
        <v>1519</v>
      </c>
      <c r="Q1130" s="13" t="n">
        <v>190</v>
      </c>
      <c r="R1130" s="13" t="n">
        <v>65</v>
      </c>
      <c r="S1130" s="13" t="n">
        <v>57</v>
      </c>
      <c r="T1130" s="13" t="n">
        <v>266</v>
      </c>
      <c r="U1130" s="13" t="n">
        <v>15</v>
      </c>
      <c r="V1130" s="13" t="n">
        <v>106</v>
      </c>
      <c r="W1130" s="13" t="n">
        <v>0.272</v>
      </c>
      <c r="X1130" s="13" t="n">
        <v>106</v>
      </c>
      <c r="Y1130" s="13" t="n">
        <v>88</v>
      </c>
      <c r="Z1130" s="13" t="n">
        <v>160</v>
      </c>
      <c r="AA1130" s="13" t="n">
        <v>7</v>
      </c>
      <c r="AB1130" s="13" t="n">
        <v>11</v>
      </c>
      <c r="AC1130" s="11" t="inlineStr">
        <is>
          <t xml:space="preserve"> Resort Freeride</t>
        </is>
      </c>
      <c r="AD1130" s="11" t="inlineStr">
        <is>
          <t xml:space="preserve"> Touring</t>
        </is>
      </c>
      <c r="AE1130" s="13" t="n"/>
      <c r="AF1130" s="13" t="n"/>
      <c r="AG1130" s="13" t="n"/>
    </row>
    <row r="1131">
      <c r="A1131" s="9" t="inlineStr">
        <is>
          <t>21/22</t>
        </is>
      </c>
      <c r="B1131" s="10" t="inlineStr">
        <is>
          <t xml:space="preserve"> Scott</t>
        </is>
      </c>
      <c r="C1131" s="11" t="inlineStr">
        <is>
          <t>Superguide 88</t>
        </is>
      </c>
      <c r="D1131" s="13" t="n">
        <v>170</v>
      </c>
      <c r="E1131" s="11" t="inlineStr">
        <is>
          <t xml:space="preserve"> Unisex</t>
        </is>
      </c>
      <c r="F1131" s="13" t="n">
        <v>170</v>
      </c>
      <c r="G1131" s="13" t="n">
        <v>167.7</v>
      </c>
      <c r="H1131" s="13" t="n">
        <v>131</v>
      </c>
      <c r="I1131" s="13" t="n">
        <v>148</v>
      </c>
      <c r="J1131" s="13" t="n">
        <v>123</v>
      </c>
      <c r="K1131" s="13" t="n">
        <v>85</v>
      </c>
      <c r="L1131" s="13" t="n">
        <v>108</v>
      </c>
      <c r="M1131" s="13" t="n">
        <v>17.7</v>
      </c>
      <c r="N1131" s="13" t="n">
        <v>1317</v>
      </c>
      <c r="O1131" s="13" t="n">
        <v>1.23</v>
      </c>
      <c r="P1131" s="13" t="n">
        <v>1624</v>
      </c>
      <c r="Q1131" s="13" t="n">
        <v>252</v>
      </c>
      <c r="R1131" s="13" t="n">
        <v>90</v>
      </c>
      <c r="S1131" s="13" t="n">
        <v>56</v>
      </c>
      <c r="T1131" s="13" t="n">
        <v>270</v>
      </c>
      <c r="U1131" s="13" t="n">
        <v>14</v>
      </c>
      <c r="V1131" s="13" t="n">
        <v>100</v>
      </c>
      <c r="W1131" s="13" t="n">
        <v>0.25</v>
      </c>
      <c r="X1131" s="13" t="n">
        <v>116</v>
      </c>
      <c r="Y1131" s="13" t="n">
        <v>79</v>
      </c>
      <c r="Z1131" s="13" t="n">
        <v>154</v>
      </c>
      <c r="AA1131" s="13" t="n">
        <v>8</v>
      </c>
      <c r="AB1131" s="13" t="n">
        <v>11.2</v>
      </c>
      <c r="AC1131" s="11" t="inlineStr">
        <is>
          <t xml:space="preserve"> Resort Freeride</t>
        </is>
      </c>
      <c r="AD1131" s="11" t="inlineStr">
        <is>
          <t xml:space="preserve"> Touring</t>
        </is>
      </c>
      <c r="AE1131" s="13" t="n"/>
      <c r="AF1131" s="13" t="n"/>
      <c r="AG1131" s="13" t="n"/>
    </row>
    <row r="1132">
      <c r="A1132" s="9" t="inlineStr">
        <is>
          <t>21/22</t>
        </is>
      </c>
      <c r="B1132" s="10" t="inlineStr">
        <is>
          <t xml:space="preserve"> Scott</t>
        </is>
      </c>
      <c r="C1132" s="11" t="inlineStr">
        <is>
          <t>Superguide 88</t>
        </is>
      </c>
      <c r="D1132" s="13" t="n">
        <v>178</v>
      </c>
      <c r="E1132" s="11" t="inlineStr">
        <is>
          <t xml:space="preserve"> Unisex</t>
        </is>
      </c>
      <c r="F1132" s="13" t="n">
        <v>178</v>
      </c>
      <c r="G1132" s="13" t="n">
        <v>176.9</v>
      </c>
      <c r="H1132" s="13" t="n">
        <v>136</v>
      </c>
      <c r="I1132" s="13" t="n">
        <v>157</v>
      </c>
      <c r="J1132" s="13" t="n">
        <v>125</v>
      </c>
      <c r="K1132" s="13" t="n">
        <v>88</v>
      </c>
      <c r="L1132" s="13" t="n">
        <v>110</v>
      </c>
      <c r="M1132" s="13" t="n">
        <v>19.2</v>
      </c>
      <c r="N1132" s="13" t="n">
        <v>1470</v>
      </c>
      <c r="O1132" s="13" t="n">
        <v>1.19</v>
      </c>
      <c r="P1132" s="13" t="n">
        <v>1753</v>
      </c>
      <c r="Q1132" s="13" t="n">
        <v>301</v>
      </c>
      <c r="R1132" s="13" t="n">
        <v>112</v>
      </c>
      <c r="S1132" s="13" t="n">
        <v>55</v>
      </c>
      <c r="T1132" s="13" t="n">
        <v>272</v>
      </c>
      <c r="U1132" s="13" t="n">
        <v>18</v>
      </c>
      <c r="V1132" s="13" t="n">
        <v>139</v>
      </c>
      <c r="W1132" s="13" t="n">
        <v>0.322</v>
      </c>
      <c r="X1132" s="13" t="n">
        <v>112</v>
      </c>
      <c r="Y1132" s="13" t="n">
        <v>87</v>
      </c>
      <c r="Z1132" s="13" t="n">
        <v>159</v>
      </c>
      <c r="AA1132" s="13" t="n">
        <v>5</v>
      </c>
      <c r="AB1132" s="13" t="n">
        <v>10.8</v>
      </c>
      <c r="AC1132" s="11" t="inlineStr">
        <is>
          <t xml:space="preserve"> Resort Freeride</t>
        </is>
      </c>
      <c r="AD1132" s="11" t="inlineStr">
        <is>
          <t xml:space="preserve"> Touring</t>
        </is>
      </c>
      <c r="AE1132" s="13" t="n"/>
      <c r="AF1132" s="13" t="n"/>
      <c r="AG1132" s="13" t="n"/>
    </row>
    <row r="1133">
      <c r="A1133" s="9" t="inlineStr">
        <is>
          <t>21/22</t>
        </is>
      </c>
      <c r="B1133" s="10" t="inlineStr">
        <is>
          <t xml:space="preserve"> Scott</t>
        </is>
      </c>
      <c r="C1133" s="11" t="inlineStr">
        <is>
          <t>Superguide 88 W</t>
        </is>
      </c>
      <c r="D1133" s="13" t="n">
        <v>152</v>
      </c>
      <c r="E1133" s="11" t="inlineStr">
        <is>
          <t xml:space="preserve"> Women's</t>
        </is>
      </c>
      <c r="F1133" s="13" t="n">
        <v>152</v>
      </c>
      <c r="G1133" s="13" t="n">
        <v>150.8</v>
      </c>
      <c r="H1133" s="13" t="n">
        <v>111</v>
      </c>
      <c r="I1133" s="13" t="n">
        <v>133</v>
      </c>
      <c r="J1133" s="13" t="n">
        <v>120</v>
      </c>
      <c r="K1133" s="13" t="n">
        <v>82</v>
      </c>
      <c r="L1133" s="13" t="n">
        <v>105</v>
      </c>
      <c r="M1133" s="13" t="n">
        <v>14.6</v>
      </c>
      <c r="N1133" s="13" t="n">
        <v>1093</v>
      </c>
      <c r="O1133" s="13" t="n">
        <v>1.29</v>
      </c>
      <c r="P1133" s="13" t="n">
        <v>1414</v>
      </c>
      <c r="Q1133" s="13" t="n">
        <v>145</v>
      </c>
      <c r="R1133" s="13" t="n">
        <v>54</v>
      </c>
      <c r="S1133" s="13" t="n">
        <v>58</v>
      </c>
      <c r="T1133" s="13" t="n">
        <v>286</v>
      </c>
      <c r="U1133" s="13" t="n">
        <v>15</v>
      </c>
      <c r="V1133" s="13" t="n">
        <v>107</v>
      </c>
      <c r="W1133" s="13" t="n">
        <v>0.257</v>
      </c>
      <c r="X1133" s="13" t="n">
        <v>104</v>
      </c>
      <c r="Y1133" s="13" t="n">
        <v>76</v>
      </c>
      <c r="Z1133" s="13" t="n">
        <v>183</v>
      </c>
      <c r="AA1133" s="13" t="n">
        <v>5</v>
      </c>
      <c r="AB1133" s="13" t="n">
        <v>11</v>
      </c>
      <c r="AC1133" s="11" t="inlineStr">
        <is>
          <t xml:space="preserve"> Touring</t>
        </is>
      </c>
      <c r="AD1133" s="11" t="inlineStr">
        <is>
          <t xml:space="preserve"> Ultralight Touring</t>
        </is>
      </c>
      <c r="AE1133" s="13" t="n"/>
      <c r="AF1133" s="13" t="n"/>
      <c r="AG1133" s="13" t="n"/>
    </row>
    <row r="1134">
      <c r="A1134" s="9" t="inlineStr">
        <is>
          <t>21/22</t>
        </is>
      </c>
      <c r="B1134" s="10" t="inlineStr">
        <is>
          <t xml:space="preserve"> Scott</t>
        </is>
      </c>
      <c r="C1134" s="11" t="inlineStr">
        <is>
          <t>Superguide 95 W</t>
        </is>
      </c>
      <c r="D1134" s="13" t="n">
        <v>160</v>
      </c>
      <c r="E1134" s="11" t="inlineStr">
        <is>
          <t xml:space="preserve"> Women's</t>
        </is>
      </c>
      <c r="F1134" s="13" t="n">
        <v>160</v>
      </c>
      <c r="G1134" s="13" t="n">
        <v>160.8</v>
      </c>
      <c r="H1134" s="13" t="n">
        <v>120</v>
      </c>
      <c r="I1134" s="13" t="n">
        <v>142</v>
      </c>
      <c r="J1134" s="13" t="n">
        <v>128</v>
      </c>
      <c r="K1134" s="13" t="n">
        <v>92</v>
      </c>
      <c r="L1134" s="13" t="n">
        <v>112</v>
      </c>
      <c r="M1134" s="13" t="n">
        <v>17.7</v>
      </c>
      <c r="N1134" s="13" t="n">
        <v>1301</v>
      </c>
      <c r="O1134" s="13" t="n">
        <v>1.27</v>
      </c>
      <c r="P1134" s="13" t="n">
        <v>1656</v>
      </c>
      <c r="Q1134" s="13" t="n">
        <v>231</v>
      </c>
      <c r="R1134" s="13" t="n">
        <v>91</v>
      </c>
      <c r="S1134" s="13" t="n">
        <v>59</v>
      </c>
      <c r="T1134" s="13" t="n">
        <v>288</v>
      </c>
      <c r="U1134" s="13" t="n">
        <v>18</v>
      </c>
      <c r="V1134" s="13" t="n">
        <v>121</v>
      </c>
      <c r="W1134" s="13" t="n">
        <v>0.312</v>
      </c>
      <c r="X1134" s="13" t="n">
        <v>109</v>
      </c>
      <c r="Y1134" s="13" t="n">
        <v>81</v>
      </c>
      <c r="Z1134" s="13" t="n">
        <v>179</v>
      </c>
      <c r="AA1134" s="13" t="n">
        <v>4</v>
      </c>
      <c r="AB1134" s="13" t="n">
        <v>12.7</v>
      </c>
      <c r="AC1134" s="11" t="inlineStr">
        <is>
          <t xml:space="preserve"> Resort Freeride</t>
        </is>
      </c>
      <c r="AD1134" s="11" t="inlineStr">
        <is>
          <t xml:space="preserve"> Touring</t>
        </is>
      </c>
      <c r="AE1134" s="11" t="inlineStr">
        <is>
          <t xml:space="preserve"> Ultralight Touring</t>
        </is>
      </c>
      <c r="AF1134" s="13" t="n"/>
      <c r="AG1134" s="13" t="n"/>
    </row>
    <row r="1135">
      <c r="A1135" s="9" t="inlineStr">
        <is>
          <t>21/22</t>
        </is>
      </c>
      <c r="B1135" s="10" t="inlineStr">
        <is>
          <t xml:space="preserve"> Stöckli</t>
        </is>
      </c>
      <c r="C1135" s="11" t="inlineStr">
        <is>
          <t>Edge 88</t>
        </is>
      </c>
      <c r="D1135" s="13" t="n">
        <v>165</v>
      </c>
      <c r="E1135" s="11" t="inlineStr">
        <is>
          <t xml:space="preserve"> Unisex</t>
        </is>
      </c>
      <c r="F1135" s="13" t="n">
        <v>165</v>
      </c>
      <c r="G1135" s="13" t="n">
        <v>164.2</v>
      </c>
      <c r="H1135" s="13" t="n">
        <v>137</v>
      </c>
      <c r="I1135" s="13" t="n">
        <v>144</v>
      </c>
      <c r="J1135" s="13" t="n">
        <v>123</v>
      </c>
      <c r="K1135" s="13" t="n">
        <v>87</v>
      </c>
      <c r="L1135" s="13" t="n">
        <v>111</v>
      </c>
      <c r="M1135" s="13" t="n">
        <v>17.1</v>
      </c>
      <c r="N1135" s="13" t="n">
        <v>1478</v>
      </c>
      <c r="O1135" s="13" t="n">
        <v>1.09</v>
      </c>
      <c r="P1135" s="13" t="n">
        <v>1613</v>
      </c>
      <c r="Q1135" s="13" t="n">
        <v>146</v>
      </c>
      <c r="R1135" s="13" t="n">
        <v>80</v>
      </c>
      <c r="S1135" s="13" t="n">
        <v>40</v>
      </c>
      <c r="T1135" s="13" t="n">
        <v>195</v>
      </c>
      <c r="U1135" s="13" t="n">
        <v>9</v>
      </c>
      <c r="V1135" s="13" t="n">
        <v>73</v>
      </c>
      <c r="W1135" s="13" t="n">
        <v>0.223</v>
      </c>
      <c r="X1135" s="13" t="n">
        <v>140</v>
      </c>
      <c r="Y1135" s="13" t="n">
        <v>59</v>
      </c>
      <c r="Z1135" s="13" t="n">
        <v>56</v>
      </c>
      <c r="AA1135" s="13" t="n">
        <v>8</v>
      </c>
      <c r="AB1135" s="13" t="n">
        <v>13.4</v>
      </c>
      <c r="AC1135" s="11" t="inlineStr">
        <is>
          <t xml:space="preserve"> Resort Freeride</t>
        </is>
      </c>
      <c r="AD1135" s="11" t="inlineStr">
        <is>
          <t xml:space="preserve"> Touring</t>
        </is>
      </c>
      <c r="AE1135" s="13" t="n"/>
      <c r="AF1135" s="13" t="n"/>
      <c r="AG1135" s="13" t="n"/>
    </row>
    <row r="1136">
      <c r="A1136" s="9" t="inlineStr">
        <is>
          <t>21/22</t>
        </is>
      </c>
      <c r="B1136" s="10" t="inlineStr">
        <is>
          <t xml:space="preserve"> Stöckli</t>
        </is>
      </c>
      <c r="C1136" s="11" t="inlineStr">
        <is>
          <t>Edge 88</t>
        </is>
      </c>
      <c r="D1136" s="13" t="n">
        <v>174</v>
      </c>
      <c r="E1136" s="11" t="inlineStr">
        <is>
          <t xml:space="preserve"> Unisex</t>
        </is>
      </c>
      <c r="F1136" s="13" t="n">
        <v>174</v>
      </c>
      <c r="G1136" s="13" t="n">
        <v>173.1</v>
      </c>
      <c r="H1136" s="13" t="n">
        <v>145</v>
      </c>
      <c r="I1136" s="13" t="n">
        <v>153</v>
      </c>
      <c r="J1136" s="13" t="n">
        <v>123</v>
      </c>
      <c r="K1136" s="13" t="n">
        <v>87</v>
      </c>
      <c r="L1136" s="13" t="n">
        <v>110</v>
      </c>
      <c r="M1136" s="13" t="n">
        <v>19.1</v>
      </c>
      <c r="N1136" s="13" t="n">
        <v>1613</v>
      </c>
      <c r="O1136" s="13" t="n">
        <v>1.05</v>
      </c>
      <c r="P1136" s="13" t="n">
        <v>1697</v>
      </c>
      <c r="Q1136" s="13" t="n">
        <v>206</v>
      </c>
      <c r="R1136" s="13" t="n">
        <v>106</v>
      </c>
      <c r="S1136" s="13" t="n">
        <v>44</v>
      </c>
      <c r="T1136" s="13" t="n">
        <v>204</v>
      </c>
      <c r="U1136" s="13" t="n">
        <v>8</v>
      </c>
      <c r="V1136" s="13" t="n">
        <v>74</v>
      </c>
      <c r="W1136" s="13" t="n">
        <v>0.186</v>
      </c>
      <c r="X1136" s="13" t="n">
        <v>141</v>
      </c>
      <c r="Y1136" s="13" t="n">
        <v>59</v>
      </c>
      <c r="Z1136" s="13" t="n">
        <v>63</v>
      </c>
      <c r="AA1136" s="13" t="n">
        <v>7</v>
      </c>
      <c r="AB1136" s="13" t="n">
        <v>13.5</v>
      </c>
      <c r="AC1136" s="11" t="inlineStr">
        <is>
          <t xml:space="preserve"> Resort Freeride</t>
        </is>
      </c>
      <c r="AD1136" s="11" t="inlineStr">
        <is>
          <t xml:space="preserve"> Touring</t>
        </is>
      </c>
      <c r="AE1136" s="13" t="n"/>
      <c r="AF1136" s="13" t="n"/>
      <c r="AG1136" s="13" t="n"/>
    </row>
    <row r="1137">
      <c r="A1137" s="9" t="inlineStr">
        <is>
          <t>21/22</t>
        </is>
      </c>
      <c r="B1137" s="10" t="inlineStr">
        <is>
          <t xml:space="preserve"> Stöckli</t>
        </is>
      </c>
      <c r="C1137" s="11" t="inlineStr">
        <is>
          <t xml:space="preserve"> Edge FT</t>
        </is>
      </c>
      <c r="D1137" s="13" t="n">
        <v>167</v>
      </c>
      <c r="E1137" s="11" t="inlineStr">
        <is>
          <t xml:space="preserve"> Unisex</t>
        </is>
      </c>
      <c r="F1137" s="13" t="n">
        <v>167</v>
      </c>
      <c r="G1137" s="13" t="n">
        <v>166.2</v>
      </c>
      <c r="H1137" s="13" t="n">
        <v>139</v>
      </c>
      <c r="I1137" s="13" t="n">
        <v>144</v>
      </c>
      <c r="J1137" s="13" t="n">
        <v>127</v>
      </c>
      <c r="K1137" s="13" t="n">
        <v>91</v>
      </c>
      <c r="L1137" s="13" t="n">
        <v>117</v>
      </c>
      <c r="M1137" s="13" t="n">
        <v>16.1</v>
      </c>
      <c r="N1137" s="13" t="n">
        <v>1544</v>
      </c>
      <c r="O1137" s="13" t="n">
        <v>1.11</v>
      </c>
      <c r="P1137" s="13" t="n">
        <v>1714</v>
      </c>
      <c r="Q1137" s="13" t="n">
        <v>164</v>
      </c>
      <c r="R1137" s="13" t="n">
        <v>88</v>
      </c>
      <c r="S1137" s="13" t="n">
        <v>44</v>
      </c>
      <c r="T1137" s="13" t="n">
        <v>201</v>
      </c>
      <c r="U1137" s="13" t="n">
        <v>9</v>
      </c>
      <c r="V1137" s="13" t="n">
        <v>75</v>
      </c>
      <c r="W1137" s="13" t="n">
        <v>0.198</v>
      </c>
      <c r="X1137" s="13" t="n">
        <v>168</v>
      </c>
      <c r="Y1137" s="13" t="n">
        <v>54</v>
      </c>
      <c r="Z1137" s="13" t="n">
        <v>33</v>
      </c>
      <c r="AA1137" s="13" t="n">
        <v>6</v>
      </c>
      <c r="AB1137" s="13" t="n">
        <v>13.3</v>
      </c>
      <c r="AC1137" s="11" t="inlineStr">
        <is>
          <t xml:space="preserve"> Resort Freeride</t>
        </is>
      </c>
      <c r="AD1137" s="11" t="inlineStr">
        <is>
          <t xml:space="preserve"> Touring</t>
        </is>
      </c>
      <c r="AE1137" s="13" t="n"/>
      <c r="AF1137" s="13" t="n"/>
      <c r="AG1137" s="13" t="n"/>
    </row>
    <row r="1138">
      <c r="A1138" s="9" t="inlineStr">
        <is>
          <t>21/22</t>
        </is>
      </c>
      <c r="B1138" s="10" t="inlineStr">
        <is>
          <t xml:space="preserve"> Stöckli</t>
        </is>
      </c>
      <c r="C1138" s="11" t="inlineStr">
        <is>
          <t xml:space="preserve"> Laser AR</t>
        </is>
      </c>
      <c r="D1138" s="13" t="n">
        <v>175</v>
      </c>
      <c r="E1138" s="11" t="inlineStr">
        <is>
          <t xml:space="preserve"> Unisex</t>
        </is>
      </c>
      <c r="F1138" s="13" t="n">
        <v>175</v>
      </c>
      <c r="G1138" s="13" t="n">
        <v>174.2</v>
      </c>
      <c r="H1138" s="13" t="n">
        <v>149</v>
      </c>
      <c r="I1138" s="13" t="n">
        <v>159</v>
      </c>
      <c r="J1138" s="13" t="n">
        <v>130</v>
      </c>
      <c r="K1138" s="13" t="n">
        <v>82</v>
      </c>
      <c r="L1138" s="13" t="n">
        <v>112</v>
      </c>
      <c r="M1138" s="13" t="n">
        <v>16.2</v>
      </c>
      <c r="N1138" s="13" t="n">
        <v>1927</v>
      </c>
      <c r="O1138" s="13" t="n">
        <v>0.87</v>
      </c>
      <c r="P1138" s="13" t="n">
        <v>1679</v>
      </c>
      <c r="Q1138" s="13" t="n">
        <v>220</v>
      </c>
      <c r="R1138" s="13" t="n">
        <v>128</v>
      </c>
      <c r="S1138" s="13" t="n">
        <v>42</v>
      </c>
      <c r="T1138" s="13" t="n">
        <v>185</v>
      </c>
      <c r="U1138" s="13" t="n">
        <v>5</v>
      </c>
      <c r="V1138" s="13" t="n">
        <v>64</v>
      </c>
      <c r="W1138" s="13" t="n">
        <v>0.114</v>
      </c>
      <c r="X1138" s="13" t="n">
        <v>97</v>
      </c>
      <c r="Y1138" s="13" t="n">
        <v>54</v>
      </c>
      <c r="Z1138" s="13" t="n">
        <v>88</v>
      </c>
      <c r="AA1138" s="13" t="n">
        <v>9</v>
      </c>
      <c r="AB1138" s="13" t="n">
        <v>14.4</v>
      </c>
      <c r="AC1138" s="11" t="inlineStr">
        <is>
          <t xml:space="preserve"> On-Piste Carving</t>
        </is>
      </c>
      <c r="AD1138" s="11" t="inlineStr">
        <is>
          <t xml:space="preserve"> Resort Freeride</t>
        </is>
      </c>
      <c r="AE1138" s="13" t="n"/>
      <c r="AF1138" s="13" t="n"/>
      <c r="AG1138" s="13" t="n"/>
    </row>
    <row r="1139">
      <c r="A1139" s="9" t="inlineStr">
        <is>
          <t>21/22</t>
        </is>
      </c>
      <c r="B1139" s="10" t="inlineStr">
        <is>
          <t xml:space="preserve"> Stöckli</t>
        </is>
      </c>
      <c r="C1139" s="11" t="inlineStr">
        <is>
          <t xml:space="preserve"> Laser SC</t>
        </is>
      </c>
      <c r="D1139" s="13" t="n">
        <v>156</v>
      </c>
      <c r="E1139" s="11" t="inlineStr">
        <is>
          <t xml:space="preserve"> Unisex</t>
        </is>
      </c>
      <c r="F1139" s="13" t="n">
        <v>156</v>
      </c>
      <c r="G1139" s="13" t="n">
        <v>154.8</v>
      </c>
      <c r="H1139" s="13" t="n">
        <v>134</v>
      </c>
      <c r="I1139" s="13" t="n">
        <v>142</v>
      </c>
      <c r="J1139" s="13" t="n">
        <v>122</v>
      </c>
      <c r="K1139" s="13" t="n">
        <v>71</v>
      </c>
      <c r="L1139" s="13" t="n">
        <v>103</v>
      </c>
      <c r="M1139" s="13" t="n">
        <v>12.1</v>
      </c>
      <c r="N1139" s="13" t="n">
        <v>1577</v>
      </c>
      <c r="O1139" s="13" t="n">
        <v>0.85</v>
      </c>
      <c r="P1139" s="13" t="n">
        <v>1343</v>
      </c>
      <c r="Q1139" s="13" t="n">
        <v>160</v>
      </c>
      <c r="R1139" s="13" t="n">
        <v>92</v>
      </c>
      <c r="S1139" s="13" t="n">
        <v>42</v>
      </c>
      <c r="T1139" s="13" t="n">
        <v>151</v>
      </c>
      <c r="U1139" s="13" t="n">
        <v>6</v>
      </c>
      <c r="V1139" s="13" t="n">
        <v>57</v>
      </c>
      <c r="W1139" s="13" t="n">
        <v>0.135</v>
      </c>
      <c r="X1139" s="13" t="n">
        <v>75</v>
      </c>
      <c r="Y1139" s="13" t="n">
        <v>55</v>
      </c>
      <c r="Z1139" s="13" t="n">
        <v>77</v>
      </c>
      <c r="AA1139" s="13" t="n">
        <v>7</v>
      </c>
      <c r="AB1139" s="13" t="n">
        <v>12.1</v>
      </c>
      <c r="AC1139" s="11" t="inlineStr">
        <is>
          <t xml:space="preserve"> On-Piste Carving</t>
        </is>
      </c>
      <c r="AD1139" s="13" t="n"/>
      <c r="AE1139" s="13" t="n"/>
      <c r="AF1139" s="13" t="n"/>
      <c r="AG1139" s="13" t="n"/>
    </row>
    <row r="1140">
      <c r="A1140" s="9" t="inlineStr">
        <is>
          <t>21/22</t>
        </is>
      </c>
      <c r="B1140" s="10" t="inlineStr">
        <is>
          <t xml:space="preserve"> Stöckli</t>
        </is>
      </c>
      <c r="C1140" s="11" t="inlineStr">
        <is>
          <t xml:space="preserve"> Laser SC</t>
        </is>
      </c>
      <c r="D1140" s="13" t="n">
        <v>170</v>
      </c>
      <c r="E1140" s="11" t="inlineStr">
        <is>
          <t xml:space="preserve"> Unisex</t>
        </is>
      </c>
      <c r="F1140" s="13" t="n">
        <v>170</v>
      </c>
      <c r="G1140" s="13" t="n">
        <v>168.7</v>
      </c>
      <c r="H1140" s="13" t="n">
        <v>148</v>
      </c>
      <c r="I1140" s="13" t="n">
        <v>156</v>
      </c>
      <c r="J1140" s="13" t="n">
        <v>122</v>
      </c>
      <c r="K1140" s="13" t="n">
        <v>71</v>
      </c>
      <c r="L1140" s="13" t="n">
        <v>103</v>
      </c>
      <c r="M1140" s="13" t="n">
        <v>14.7</v>
      </c>
      <c r="N1140" s="13" t="n">
        <v>1818</v>
      </c>
      <c r="O1140" s="13" t="n">
        <v>0.8</v>
      </c>
      <c r="P1140" s="13" t="n">
        <v>1463</v>
      </c>
      <c r="Q1140" s="13" t="n">
        <v>206</v>
      </c>
      <c r="R1140" s="13" t="n">
        <v>114</v>
      </c>
      <c r="S1140" s="13" t="n">
        <v>39</v>
      </c>
      <c r="T1140" s="13" t="n">
        <v>146</v>
      </c>
      <c r="U1140" s="13" t="n">
        <v>6</v>
      </c>
      <c r="V1140" s="13" t="n">
        <v>61</v>
      </c>
      <c r="W1140" s="13" t="n">
        <v>0.142</v>
      </c>
      <c r="X1140" s="13" t="n">
        <v>72</v>
      </c>
      <c r="Y1140" s="13" t="n">
        <v>57</v>
      </c>
      <c r="Z1140" s="13" t="n">
        <v>74</v>
      </c>
      <c r="AA1140" s="13" t="n">
        <v>8</v>
      </c>
      <c r="AB1140" s="13" t="n">
        <v>12.2</v>
      </c>
      <c r="AC1140" s="11" t="inlineStr">
        <is>
          <t xml:space="preserve"> On-Piste Carving</t>
        </is>
      </c>
      <c r="AD1140" s="13" t="n"/>
      <c r="AE1140" s="13" t="n"/>
      <c r="AF1140" s="13" t="n"/>
      <c r="AG1140" s="13" t="n"/>
    </row>
    <row r="1141">
      <c r="A1141" s="9" t="inlineStr">
        <is>
          <t>21/22</t>
        </is>
      </c>
      <c r="B1141" s="10" t="inlineStr">
        <is>
          <t xml:space="preserve"> Stöckli</t>
        </is>
      </c>
      <c r="C1141" s="11" t="inlineStr">
        <is>
          <t xml:space="preserve"> Laser SC Orea</t>
        </is>
      </c>
      <c r="D1141" s="13" t="n">
        <v>163</v>
      </c>
      <c r="E1141" s="11" t="inlineStr">
        <is>
          <t xml:space="preserve"> Unisex</t>
        </is>
      </c>
      <c r="F1141" s="13" t="n">
        <v>163</v>
      </c>
      <c r="G1141" s="13" t="n">
        <v>162</v>
      </c>
      <c r="H1141" s="13" t="n">
        <v>141</v>
      </c>
      <c r="I1141" s="13" t="n">
        <v>148</v>
      </c>
      <c r="J1141" s="13" t="n">
        <v>122</v>
      </c>
      <c r="K1141" s="13" t="n">
        <v>72</v>
      </c>
      <c r="L1141" s="13" t="n">
        <v>103</v>
      </c>
      <c r="M1141" s="13" t="n">
        <v>13.5</v>
      </c>
      <c r="N1141" s="13" t="n">
        <v>1671</v>
      </c>
      <c r="O1141" s="13" t="n">
        <v>0.84</v>
      </c>
      <c r="P1141" s="13" t="n">
        <v>1405</v>
      </c>
      <c r="Q1141" s="13" t="n">
        <v>170</v>
      </c>
      <c r="R1141" s="13" t="n">
        <v>106</v>
      </c>
      <c r="S1141" s="13" t="n">
        <v>40</v>
      </c>
      <c r="T1141" s="13" t="n">
        <v>144</v>
      </c>
      <c r="U1141" s="13" t="n">
        <v>7</v>
      </c>
      <c r="V1141" s="13" t="n">
        <v>66</v>
      </c>
      <c r="W1141" s="13" t="n">
        <v>0.179</v>
      </c>
      <c r="X1141" s="13" t="n">
        <v>78</v>
      </c>
      <c r="Y1141" s="13" t="n">
        <v>57</v>
      </c>
      <c r="Z1141" s="13" t="n">
        <v>66</v>
      </c>
      <c r="AA1141" s="13" t="n">
        <v>8</v>
      </c>
      <c r="AB1141" s="13" t="n">
        <v>12.1</v>
      </c>
      <c r="AC1141" s="11" t="inlineStr">
        <is>
          <t xml:space="preserve"> On-Piste Carving</t>
        </is>
      </c>
      <c r="AD1141" s="13" t="n"/>
      <c r="AE1141" s="13" t="n"/>
      <c r="AF1141" s="13" t="n"/>
      <c r="AG1141" s="13" t="n"/>
    </row>
    <row r="1142">
      <c r="A1142" s="9" t="inlineStr">
        <is>
          <t>21/22</t>
        </is>
      </c>
      <c r="B1142" s="10" t="inlineStr">
        <is>
          <t xml:space="preserve"> Stöckli</t>
        </is>
      </c>
      <c r="C1142" s="11" t="inlineStr">
        <is>
          <t xml:space="preserve"> Laser SC Orea</t>
        </is>
      </c>
      <c r="D1142" s="13" t="n">
        <v>170</v>
      </c>
      <c r="E1142" s="11" t="inlineStr">
        <is>
          <t xml:space="preserve"> Unisex</t>
        </is>
      </c>
      <c r="F1142" s="13" t="n">
        <v>170</v>
      </c>
      <c r="G1142" s="13" t="n">
        <v>169.2</v>
      </c>
      <c r="H1142" s="13" t="n">
        <v>149</v>
      </c>
      <c r="I1142" s="13" t="n">
        <v>156</v>
      </c>
      <c r="J1142" s="13" t="n">
        <v>122</v>
      </c>
      <c r="K1142" s="13" t="n">
        <v>72</v>
      </c>
      <c r="L1142" s="13" t="n">
        <v>103</v>
      </c>
      <c r="M1142" s="13" t="n">
        <v>14.8</v>
      </c>
      <c r="N1142" s="13" t="n">
        <v>1751</v>
      </c>
      <c r="O1142" s="13" t="n">
        <v>0.84</v>
      </c>
      <c r="P1142" s="13" t="n">
        <v>1467</v>
      </c>
      <c r="Q1142" s="13" t="n">
        <v>200</v>
      </c>
      <c r="R1142" s="13" t="n">
        <v>110</v>
      </c>
      <c r="S1142" s="13" t="n">
        <v>39</v>
      </c>
      <c r="T1142" s="13" t="n">
        <v>140</v>
      </c>
      <c r="U1142" s="13" t="n">
        <v>6</v>
      </c>
      <c r="V1142" s="13" t="n">
        <v>61</v>
      </c>
      <c r="W1142" s="13" t="n">
        <v>0.157</v>
      </c>
      <c r="X1142" s="13" t="n">
        <v>73</v>
      </c>
      <c r="Y1142" s="13" t="n">
        <v>59</v>
      </c>
      <c r="Z1142" s="13" t="n">
        <v>68</v>
      </c>
      <c r="AA1142" s="13" t="n">
        <v>10</v>
      </c>
      <c r="AB1142" s="13" t="n">
        <v>13.9</v>
      </c>
      <c r="AC1142" s="11" t="inlineStr">
        <is>
          <t xml:space="preserve"> On-Piste Carving</t>
        </is>
      </c>
      <c r="AD1142" s="13" t="n"/>
      <c r="AE1142" s="13" t="n"/>
      <c r="AF1142" s="13" t="n"/>
      <c r="AG1142" s="13" t="n"/>
    </row>
    <row r="1143">
      <c r="A1143" s="9" t="inlineStr">
        <is>
          <t>21/22</t>
        </is>
      </c>
      <c r="B1143" s="10" t="inlineStr">
        <is>
          <t xml:space="preserve"> Stöckli</t>
        </is>
      </c>
      <c r="C1143" s="11" t="inlineStr">
        <is>
          <t xml:space="preserve"> Laser SL</t>
        </is>
      </c>
      <c r="D1143" s="13" t="n">
        <v>160</v>
      </c>
      <c r="E1143" s="11" t="inlineStr">
        <is>
          <t xml:space="preserve"> Unisex</t>
        </is>
      </c>
      <c r="F1143" s="13" t="n">
        <v>160</v>
      </c>
      <c r="G1143" s="13" t="n">
        <v>159.1</v>
      </c>
      <c r="H1143" s="13" t="n">
        <v>137</v>
      </c>
      <c r="I1143" s="13" t="n">
        <v>147</v>
      </c>
      <c r="J1143" s="13" t="n">
        <v>119</v>
      </c>
      <c r="K1143" s="13" t="n">
        <v>66</v>
      </c>
      <c r="L1143" s="13" t="n">
        <v>97</v>
      </c>
      <c r="M1143" s="13" t="n">
        <v>12.9</v>
      </c>
      <c r="N1143" s="13" t="n">
        <v>1666</v>
      </c>
      <c r="O1143" s="13" t="n">
        <v>0.78</v>
      </c>
      <c r="P1143" s="13" t="n">
        <v>1292</v>
      </c>
      <c r="Q1143" s="13" t="n">
        <v>196</v>
      </c>
      <c r="R1143" s="13" t="n">
        <v>119</v>
      </c>
      <c r="S1143" s="13" t="n">
        <v>40</v>
      </c>
      <c r="T1143" s="13" t="n">
        <v>156</v>
      </c>
      <c r="U1143" s="13" t="n">
        <v>7</v>
      </c>
      <c r="V1143" s="13" t="n">
        <v>63</v>
      </c>
      <c r="W1143" s="13" t="n">
        <v>0.162</v>
      </c>
      <c r="X1143" s="13" t="n">
        <v>67</v>
      </c>
      <c r="Y1143" s="13" t="n">
        <v>50</v>
      </c>
      <c r="Z1143" s="13" t="n">
        <v>89</v>
      </c>
      <c r="AA1143" s="13" t="n">
        <v>8</v>
      </c>
      <c r="AB1143" s="13" t="n">
        <v>12.6</v>
      </c>
      <c r="AC1143" s="11" t="inlineStr">
        <is>
          <t xml:space="preserve"> On-Piste Carving</t>
        </is>
      </c>
      <c r="AD1143" s="13" t="n"/>
      <c r="AE1143" s="13" t="n"/>
      <c r="AF1143" s="13" t="n"/>
      <c r="AG1143" s="13" t="n"/>
    </row>
    <row r="1144">
      <c r="A1144" s="9" t="inlineStr">
        <is>
          <t>21/22</t>
        </is>
      </c>
      <c r="B1144" s="10" t="inlineStr">
        <is>
          <t xml:space="preserve"> Stöckli</t>
        </is>
      </c>
      <c r="C1144" s="11" t="inlineStr">
        <is>
          <t>Nela 88</t>
        </is>
      </c>
      <c r="D1144" s="13" t="n">
        <v>152</v>
      </c>
      <c r="E1144" s="11" t="inlineStr">
        <is>
          <t xml:space="preserve"> Women's</t>
        </is>
      </c>
      <c r="F1144" s="13" t="n">
        <v>152</v>
      </c>
      <c r="G1144" s="13" t="n">
        <v>151.3</v>
      </c>
      <c r="H1144" s="13" t="n">
        <v>124</v>
      </c>
      <c r="I1144" s="13" t="n">
        <v>132</v>
      </c>
      <c r="J1144" s="13" t="n">
        <v>127</v>
      </c>
      <c r="K1144" s="13" t="n">
        <v>88</v>
      </c>
      <c r="L1144" s="13" t="n">
        <v>113</v>
      </c>
      <c r="M1144" s="13" t="n">
        <v>13.1</v>
      </c>
      <c r="N1144" s="13" t="n">
        <v>1419</v>
      </c>
      <c r="O1144" s="13" t="n">
        <v>1.06</v>
      </c>
      <c r="P1144" s="13" t="n">
        <v>1510</v>
      </c>
      <c r="Q1144" s="13" t="n">
        <v>158</v>
      </c>
      <c r="R1144" s="13" t="n">
        <v>89</v>
      </c>
      <c r="S1144" s="13" t="n">
        <v>43</v>
      </c>
      <c r="T1144" s="13" t="n">
        <v>199</v>
      </c>
      <c r="U1144" s="13" t="n">
        <v>9</v>
      </c>
      <c r="V1144" s="13" t="n">
        <v>78</v>
      </c>
      <c r="W1144" s="13" t="n">
        <v>0.206</v>
      </c>
      <c r="X1144" s="13" t="n">
        <v>135</v>
      </c>
      <c r="Y1144" s="13" t="n">
        <v>56</v>
      </c>
      <c r="Z1144" s="13" t="n">
        <v>64</v>
      </c>
      <c r="AA1144" s="13" t="n">
        <v>5</v>
      </c>
      <c r="AB1144" s="13" t="n">
        <v>12.6</v>
      </c>
      <c r="AC1144" s="11" t="inlineStr">
        <is>
          <t xml:space="preserve"> Resort Freeride</t>
        </is>
      </c>
      <c r="AD1144" s="11" t="inlineStr">
        <is>
          <t xml:space="preserve"> Touring</t>
        </is>
      </c>
      <c r="AE1144" s="13" t="n"/>
      <c r="AF1144" s="13" t="n"/>
      <c r="AG1144" s="13" t="n"/>
    </row>
    <row r="1145">
      <c r="A1145" s="9" t="inlineStr">
        <is>
          <t>21/22</t>
        </is>
      </c>
      <c r="B1145" s="10" t="inlineStr">
        <is>
          <t xml:space="preserve"> Stöckli</t>
        </is>
      </c>
      <c r="C1145" s="11" t="inlineStr">
        <is>
          <t>Nela 88</t>
        </is>
      </c>
      <c r="D1145" s="13" t="n">
        <v>160</v>
      </c>
      <c r="E1145" s="11" t="inlineStr">
        <is>
          <t xml:space="preserve"> Women's</t>
        </is>
      </c>
      <c r="F1145" s="13" t="n">
        <v>160</v>
      </c>
      <c r="G1145" s="13" t="n">
        <v>159.4</v>
      </c>
      <c r="H1145" s="13" t="n">
        <v>132</v>
      </c>
      <c r="I1145" s="13" t="n">
        <v>140</v>
      </c>
      <c r="J1145" s="13" t="n">
        <v>127</v>
      </c>
      <c r="K1145" s="13" t="n">
        <v>88</v>
      </c>
      <c r="L1145" s="13" t="n">
        <v>113</v>
      </c>
      <c r="M1145" s="13" t="n">
        <v>14.9</v>
      </c>
      <c r="N1145" s="13" t="n">
        <v>1532</v>
      </c>
      <c r="O1145" s="13" t="n">
        <v>1.04</v>
      </c>
      <c r="P1145" s="13" t="n">
        <v>1591</v>
      </c>
      <c r="Q1145" s="13" t="n">
        <v>159</v>
      </c>
      <c r="R1145" s="13" t="n">
        <v>81</v>
      </c>
      <c r="S1145" s="13" t="n">
        <v>43</v>
      </c>
      <c r="T1145" s="13" t="n">
        <v>197</v>
      </c>
      <c r="U1145" s="13" t="n">
        <v>9</v>
      </c>
      <c r="V1145" s="13" t="n">
        <v>80</v>
      </c>
      <c r="W1145" s="13" t="n">
        <v>0.202</v>
      </c>
      <c r="X1145" s="13" t="n">
        <v>134</v>
      </c>
      <c r="Y1145" s="13" t="n">
        <v>56</v>
      </c>
      <c r="Z1145" s="13" t="n">
        <v>62</v>
      </c>
      <c r="AA1145" s="13" t="n">
        <v>5</v>
      </c>
      <c r="AB1145" s="13" t="n">
        <v>13.2</v>
      </c>
      <c r="AC1145" s="11" t="inlineStr">
        <is>
          <t xml:space="preserve"> Resort Freeride</t>
        </is>
      </c>
      <c r="AD1145" s="13" t="n"/>
      <c r="AE1145" s="13" t="n"/>
      <c r="AF1145" s="13" t="n"/>
      <c r="AG1145" s="13" t="n"/>
    </row>
    <row r="1146">
      <c r="A1146" s="9" t="inlineStr">
        <is>
          <t>21/22</t>
        </is>
      </c>
      <c r="B1146" s="10" t="inlineStr">
        <is>
          <t xml:space="preserve"> Stöckli</t>
        </is>
      </c>
      <c r="C1146" s="11" t="inlineStr">
        <is>
          <t>Nela 96</t>
        </is>
      </c>
      <c r="D1146" s="13" t="n">
        <v>156</v>
      </c>
      <c r="E1146" s="11" t="inlineStr">
        <is>
          <t xml:space="preserve"> Women's</t>
        </is>
      </c>
      <c r="F1146" s="13" t="n">
        <v>156</v>
      </c>
      <c r="G1146" s="13" t="n">
        <v>155.3</v>
      </c>
      <c r="H1146" s="13" t="n">
        <v>126</v>
      </c>
      <c r="I1146" s="13" t="n">
        <v>134</v>
      </c>
      <c r="J1146" s="13" t="n">
        <v>133</v>
      </c>
      <c r="K1146" s="13" t="n">
        <v>96</v>
      </c>
      <c r="L1146" s="13" t="n">
        <v>120</v>
      </c>
      <c r="M1146" s="13" t="n">
        <v>13.6</v>
      </c>
      <c r="N1146" s="13" t="n">
        <v>1585</v>
      </c>
      <c r="O1146" s="13" t="n">
        <v>1.06</v>
      </c>
      <c r="P1146" s="13" t="n">
        <v>1673</v>
      </c>
      <c r="Q1146" s="13" t="n">
        <v>168</v>
      </c>
      <c r="R1146" s="13" t="n">
        <v>95</v>
      </c>
      <c r="S1146" s="13" t="n">
        <v>45</v>
      </c>
      <c r="T1146" s="13" t="n">
        <v>211</v>
      </c>
      <c r="U1146" s="13" t="n">
        <v>9</v>
      </c>
      <c r="V1146" s="13" t="n">
        <v>79</v>
      </c>
      <c r="W1146" s="13" t="n">
        <v>0.197</v>
      </c>
      <c r="X1146" s="13" t="n">
        <v>155</v>
      </c>
      <c r="Y1146" s="13" t="n">
        <v>55</v>
      </c>
      <c r="Z1146" s="13" t="n">
        <v>55</v>
      </c>
      <c r="AA1146" s="13" t="n">
        <v>4</v>
      </c>
      <c r="AB1146" s="13" t="n">
        <v>12.7</v>
      </c>
      <c r="AC1146" s="11" t="inlineStr">
        <is>
          <t xml:space="preserve"> Resort Freeride</t>
        </is>
      </c>
      <c r="AD1146" s="11" t="inlineStr">
        <is>
          <t xml:space="preserve"> Touring</t>
        </is>
      </c>
      <c r="AE1146" s="13" t="n"/>
      <c r="AF1146" s="13" t="n"/>
      <c r="AG1146" s="13" t="n"/>
    </row>
    <row r="1147">
      <c r="A1147" s="9" t="inlineStr">
        <is>
          <t>21/22</t>
        </is>
      </c>
      <c r="B1147" s="10" t="inlineStr">
        <is>
          <t xml:space="preserve"> Stöckli</t>
        </is>
      </c>
      <c r="C1147" s="11" t="inlineStr">
        <is>
          <t>Nela 96</t>
        </is>
      </c>
      <c r="D1147" s="13" t="n">
        <v>164</v>
      </c>
      <c r="E1147" s="11" t="inlineStr">
        <is>
          <t xml:space="preserve"> Women's</t>
        </is>
      </c>
      <c r="F1147" s="13" t="n">
        <v>164</v>
      </c>
      <c r="G1147" s="13" t="n">
        <v>163.4</v>
      </c>
      <c r="H1147" s="13" t="n">
        <v>135</v>
      </c>
      <c r="I1147" s="13" t="n">
        <v>141</v>
      </c>
      <c r="J1147" s="13" t="n">
        <v>133</v>
      </c>
      <c r="K1147" s="13" t="n">
        <v>96</v>
      </c>
      <c r="L1147" s="13" t="n">
        <v>121</v>
      </c>
      <c r="M1147" s="13" t="n">
        <v>15.3</v>
      </c>
      <c r="N1147" s="13" t="n">
        <v>1665</v>
      </c>
      <c r="O1147" s="13" t="n">
        <v>1.06</v>
      </c>
      <c r="P1147" s="13" t="n">
        <v>1760</v>
      </c>
      <c r="Q1147" s="13" t="n">
        <v>169</v>
      </c>
      <c r="R1147" s="13" t="n">
        <v>102</v>
      </c>
      <c r="S1147" s="13" t="n">
        <v>45</v>
      </c>
      <c r="T1147" s="13" t="n">
        <v>204</v>
      </c>
      <c r="U1147" s="13" t="n">
        <v>8</v>
      </c>
      <c r="V1147" s="13" t="n">
        <v>78</v>
      </c>
      <c r="W1147" s="13" t="n">
        <v>0.189</v>
      </c>
      <c r="X1147" s="13" t="n">
        <v>160</v>
      </c>
      <c r="Y1147" s="13" t="n">
        <v>59</v>
      </c>
      <c r="Z1147" s="13" t="n">
        <v>44</v>
      </c>
      <c r="AA1147" s="13" t="n">
        <v>6</v>
      </c>
      <c r="AB1147" s="13" t="n">
        <v>13</v>
      </c>
      <c r="AC1147" s="11" t="inlineStr">
        <is>
          <t xml:space="preserve"> Resort Freeride</t>
        </is>
      </c>
      <c r="AD1147" s="11" t="inlineStr">
        <is>
          <t xml:space="preserve"> Touring</t>
        </is>
      </c>
      <c r="AE1147" s="13" t="n"/>
      <c r="AF1147" s="13" t="n"/>
      <c r="AG1147" s="13" t="n"/>
    </row>
    <row r="1148">
      <c r="A1148" s="9" t="inlineStr">
        <is>
          <t>21/22</t>
        </is>
      </c>
      <c r="B1148" s="10" t="inlineStr">
        <is>
          <t xml:space="preserve"> Stöckli</t>
        </is>
      </c>
      <c r="C1148" s="11" t="inlineStr">
        <is>
          <t>Stormrider 102</t>
        </is>
      </c>
      <c r="D1148" s="13" t="n">
        <v>173</v>
      </c>
      <c r="E1148" s="11" t="inlineStr">
        <is>
          <t xml:space="preserve"> Unisex</t>
        </is>
      </c>
      <c r="F1148" s="13" t="n">
        <v>173</v>
      </c>
      <c r="G1148" s="13" t="n">
        <v>171.2</v>
      </c>
      <c r="H1148" s="13" t="n">
        <v>135</v>
      </c>
      <c r="I1148" s="13" t="n">
        <v>143</v>
      </c>
      <c r="J1148" s="13" t="n">
        <v>135</v>
      </c>
      <c r="K1148" s="13" t="n">
        <v>102</v>
      </c>
      <c r="L1148" s="13" t="n">
        <v>124</v>
      </c>
      <c r="M1148" s="13" t="n">
        <v>16.9</v>
      </c>
      <c r="N1148" s="13" t="n">
        <v>1817</v>
      </c>
      <c r="O1148" s="13" t="n">
        <v>1.06</v>
      </c>
      <c r="P1148" s="13" t="n">
        <v>1933</v>
      </c>
      <c r="Q1148" s="13" t="n">
        <v>190</v>
      </c>
      <c r="R1148" s="13" t="n">
        <v>104</v>
      </c>
      <c r="S1148" s="13" t="n">
        <v>58</v>
      </c>
      <c r="T1148" s="13" t="n">
        <v>252</v>
      </c>
      <c r="U1148" s="13" t="n">
        <v>10</v>
      </c>
      <c r="V1148" s="13" t="n">
        <v>107</v>
      </c>
      <c r="W1148" s="13" t="n">
        <v>0.178</v>
      </c>
      <c r="X1148" s="13" t="n">
        <v>193</v>
      </c>
      <c r="Y1148" s="13" t="n">
        <v>87</v>
      </c>
      <c r="Z1148" s="13" t="n">
        <v>59</v>
      </c>
      <c r="AA1148" s="13" t="n">
        <v>4</v>
      </c>
      <c r="AB1148" s="13" t="n">
        <v>12.6</v>
      </c>
      <c r="AC1148" s="11" t="inlineStr">
        <is>
          <t xml:space="preserve"> Resort Freeride</t>
        </is>
      </c>
      <c r="AD1148" s="11" t="inlineStr">
        <is>
          <t xml:space="preserve"> Big Mountain</t>
        </is>
      </c>
      <c r="AE1148" s="11" t="inlineStr">
        <is>
          <t xml:space="preserve"> Touring</t>
        </is>
      </c>
      <c r="AF1148" s="13" t="n"/>
      <c r="AG1148" s="13" t="n"/>
    </row>
    <row r="1149">
      <c r="A1149" s="9" t="inlineStr">
        <is>
          <t>21/22</t>
        </is>
      </c>
      <c r="B1149" s="10" t="inlineStr">
        <is>
          <t xml:space="preserve"> Stöckli</t>
        </is>
      </c>
      <c r="C1149" s="11" t="inlineStr">
        <is>
          <t>Stormrider 88</t>
        </is>
      </c>
      <c r="D1149" s="13" t="n">
        <v>175</v>
      </c>
      <c r="E1149" s="11" t="inlineStr">
        <is>
          <t xml:space="preserve"> Unisex</t>
        </is>
      </c>
      <c r="F1149" s="13" t="n">
        <v>175</v>
      </c>
      <c r="G1149" s="13" t="n">
        <v>174.2</v>
      </c>
      <c r="H1149" s="13" t="n">
        <v>148</v>
      </c>
      <c r="I1149" s="13" t="n">
        <v>155</v>
      </c>
      <c r="J1149" s="13" t="n">
        <v>128</v>
      </c>
      <c r="K1149" s="13" t="n">
        <v>88</v>
      </c>
      <c r="L1149" s="13" t="n">
        <v>113</v>
      </c>
      <c r="M1149" s="13" t="n">
        <v>18.1</v>
      </c>
      <c r="N1149" s="13" t="n">
        <v>1741</v>
      </c>
      <c r="O1149" s="13" t="n">
        <v>1</v>
      </c>
      <c r="P1149" s="13" t="n">
        <v>1743</v>
      </c>
      <c r="Q1149" s="13" t="n">
        <v>188</v>
      </c>
      <c r="R1149" s="13" t="n">
        <v>104</v>
      </c>
      <c r="S1149" s="13" t="n">
        <v>42</v>
      </c>
      <c r="T1149" s="13" t="n">
        <v>183</v>
      </c>
      <c r="U1149" s="13" t="n">
        <v>9</v>
      </c>
      <c r="V1149" s="13" t="n">
        <v>76</v>
      </c>
      <c r="W1149" s="13" t="n">
        <v>0.213</v>
      </c>
      <c r="X1149" s="13" t="n">
        <v>132</v>
      </c>
      <c r="Y1149" s="13" t="n">
        <v>56</v>
      </c>
      <c r="Z1149" s="13" t="n">
        <v>51</v>
      </c>
      <c r="AA1149" s="13" t="n">
        <v>9</v>
      </c>
      <c r="AB1149" s="13" t="n">
        <v>13.1</v>
      </c>
      <c r="AC1149" s="11" t="inlineStr">
        <is>
          <t xml:space="preserve"> Resort Freeride</t>
        </is>
      </c>
      <c r="AD1149" s="13" t="n"/>
      <c r="AE1149" s="13" t="n"/>
      <c r="AF1149" s="13" t="n"/>
      <c r="AG1149" s="13" t="n"/>
    </row>
    <row r="1150">
      <c r="A1150" s="9" t="inlineStr">
        <is>
          <t>21/22</t>
        </is>
      </c>
      <c r="B1150" s="10" t="inlineStr">
        <is>
          <t xml:space="preserve"> Stöckli</t>
        </is>
      </c>
      <c r="C1150" s="11" t="inlineStr">
        <is>
          <t>Stormrider 95</t>
        </is>
      </c>
      <c r="D1150" s="13" t="n">
        <v>166</v>
      </c>
      <c r="E1150" s="11" t="inlineStr">
        <is>
          <t xml:space="preserve"> Unisex</t>
        </is>
      </c>
      <c r="F1150" s="13" t="n">
        <v>166</v>
      </c>
      <c r="G1150" s="13" t="n">
        <v>165.3</v>
      </c>
      <c r="H1150" s="13" t="n">
        <v>134</v>
      </c>
      <c r="I1150" s="13" t="n">
        <v>144</v>
      </c>
      <c r="J1150" s="13" t="n">
        <v>131</v>
      </c>
      <c r="K1150" s="13" t="n">
        <v>94</v>
      </c>
      <c r="L1150" s="13" t="n">
        <v>122</v>
      </c>
      <c r="M1150" s="13" t="n">
        <v>14.8</v>
      </c>
      <c r="N1150" s="13" t="n">
        <v>1691</v>
      </c>
      <c r="O1150" s="13" t="n">
        <v>1.04</v>
      </c>
      <c r="P1150" s="13" t="n">
        <v>1762</v>
      </c>
      <c r="Q1150" s="13" t="n">
        <v>171</v>
      </c>
      <c r="R1150" s="13" t="n">
        <v>104</v>
      </c>
      <c r="S1150" s="13" t="n">
        <v>48</v>
      </c>
      <c r="T1150" s="13" t="n">
        <v>229</v>
      </c>
      <c r="U1150" s="13" t="n">
        <v>10</v>
      </c>
      <c r="V1150" s="13" t="n">
        <v>87</v>
      </c>
      <c r="W1150" s="13" t="n">
        <v>0.203</v>
      </c>
      <c r="X1150" s="13" t="n">
        <v>157</v>
      </c>
      <c r="Y1150" s="13" t="n">
        <v>61</v>
      </c>
      <c r="Z1150" s="13" t="n">
        <v>72</v>
      </c>
      <c r="AA1150" s="13" t="n">
        <v>4</v>
      </c>
      <c r="AB1150" s="13" t="n">
        <v>13.3</v>
      </c>
      <c r="AC1150" s="11" t="inlineStr">
        <is>
          <t xml:space="preserve"> Resort Freeride</t>
        </is>
      </c>
      <c r="AD1150" s="13" t="n"/>
      <c r="AE1150" s="13" t="n"/>
      <c r="AF1150" s="13" t="n"/>
      <c r="AG1150" s="13" t="n"/>
    </row>
    <row r="1151">
      <c r="A1151" s="9" t="inlineStr">
        <is>
          <t>21/22</t>
        </is>
      </c>
      <c r="B1151" s="10" t="inlineStr">
        <is>
          <t xml:space="preserve"> Stöckli</t>
        </is>
      </c>
      <c r="C1151" s="11" t="inlineStr">
        <is>
          <t>Stormrider 95</t>
        </is>
      </c>
      <c r="D1151" s="13" t="n">
        <v>175</v>
      </c>
      <c r="E1151" s="11" t="inlineStr">
        <is>
          <t xml:space="preserve"> Unisex</t>
        </is>
      </c>
      <c r="F1151" s="13" t="n">
        <v>175</v>
      </c>
      <c r="G1151" s="13" t="n">
        <v>174</v>
      </c>
      <c r="H1151" s="13" t="n">
        <v>145</v>
      </c>
      <c r="I1151" s="13" t="n">
        <v>151</v>
      </c>
      <c r="J1151" s="13" t="n">
        <v>131</v>
      </c>
      <c r="K1151" s="13" t="n">
        <v>95</v>
      </c>
      <c r="L1151" s="13" t="n">
        <v>122</v>
      </c>
      <c r="M1151" s="13" t="n">
        <v>16.8</v>
      </c>
      <c r="N1151" s="13" t="n">
        <v>1793</v>
      </c>
      <c r="O1151" s="13" t="n">
        <v>1.04</v>
      </c>
      <c r="P1151" s="13" t="n">
        <v>1857</v>
      </c>
      <c r="Q1151" s="13" t="n">
        <v>188</v>
      </c>
      <c r="R1151" s="13" t="n">
        <v>110</v>
      </c>
      <c r="S1151" s="13" t="n">
        <v>44</v>
      </c>
      <c r="T1151" s="13" t="n">
        <v>204</v>
      </c>
      <c r="U1151" s="13" t="n">
        <v>9</v>
      </c>
      <c r="V1151" s="13" t="n">
        <v>87</v>
      </c>
      <c r="W1151" s="13" t="n">
        <v>0.209</v>
      </c>
      <c r="X1151" s="13" t="n">
        <v>168</v>
      </c>
      <c r="Y1151" s="13" t="n">
        <v>60</v>
      </c>
      <c r="Z1151" s="13" t="n">
        <v>36</v>
      </c>
      <c r="AA1151" s="13" t="n">
        <v>5</v>
      </c>
      <c r="AB1151" s="13" t="n">
        <v>13.4</v>
      </c>
      <c r="AC1151" s="11" t="inlineStr">
        <is>
          <t xml:space="preserve"> Resort Freeride</t>
        </is>
      </c>
      <c r="AD1151" s="13" t="n"/>
      <c r="AE1151" s="13" t="n"/>
      <c r="AF1151" s="13" t="n"/>
      <c r="AG1151" s="13" t="n"/>
    </row>
    <row r="1152">
      <c r="A1152" s="9" t="inlineStr">
        <is>
          <t>21/22</t>
        </is>
      </c>
      <c r="B1152" s="10" t="inlineStr">
        <is>
          <t xml:space="preserve"> Völkl</t>
        </is>
      </c>
      <c r="C1152" s="11" t="inlineStr">
        <is>
          <t>Bash 81</t>
        </is>
      </c>
      <c r="D1152" s="13" t="n">
        <v>148</v>
      </c>
      <c r="E1152" s="11" t="inlineStr">
        <is>
          <t xml:space="preserve"> Unisex</t>
        </is>
      </c>
      <c r="F1152" s="13" t="n">
        <v>148</v>
      </c>
      <c r="G1152" s="13" t="n">
        <v>146.9</v>
      </c>
      <c r="H1152" s="13" t="n">
        <v>117</v>
      </c>
      <c r="I1152" s="13" t="n">
        <v>125</v>
      </c>
      <c r="J1152" s="13" t="n">
        <v>111</v>
      </c>
      <c r="K1152" s="13" t="n">
        <v>80</v>
      </c>
      <c r="L1152" s="13" t="n">
        <v>104</v>
      </c>
      <c r="M1152" s="13" t="n">
        <v>13.8</v>
      </c>
      <c r="N1152" s="13" t="n">
        <v>1433</v>
      </c>
      <c r="O1152" s="13" t="n">
        <v>0.93</v>
      </c>
      <c r="P1152" s="13" t="n">
        <v>1329</v>
      </c>
      <c r="Q1152" s="13" t="n">
        <v>154</v>
      </c>
      <c r="R1152" s="13" t="n">
        <v>77</v>
      </c>
      <c r="S1152" s="13" t="n">
        <v>46</v>
      </c>
      <c r="T1152" s="13" t="n">
        <v>160</v>
      </c>
      <c r="U1152" s="13" t="n">
        <v>38</v>
      </c>
      <c r="V1152" s="13" t="n">
        <v>140</v>
      </c>
      <c r="W1152" s="13" t="n">
        <v>0.8179999999999999</v>
      </c>
      <c r="X1152" s="13" t="n">
        <v>86</v>
      </c>
      <c r="Y1152" s="13" t="n">
        <v>130</v>
      </c>
      <c r="Z1152" s="13" t="n">
        <v>74</v>
      </c>
      <c r="AA1152" s="13" t="n">
        <v>5</v>
      </c>
      <c r="AB1152" s="13" t="n">
        <v>1.9</v>
      </c>
      <c r="AC1152" s="11" t="inlineStr">
        <is>
          <t xml:space="preserve"> Resort Freeride</t>
        </is>
      </c>
      <c r="AD1152" s="11" t="inlineStr">
        <is>
          <t xml:space="preserve"> Freeski</t>
        </is>
      </c>
      <c r="AE1152" s="13" t="n"/>
      <c r="AF1152" s="13" t="n"/>
      <c r="AG1152" s="13" t="n"/>
    </row>
    <row r="1153">
      <c r="A1153" s="9" t="inlineStr">
        <is>
          <t>21/22</t>
        </is>
      </c>
      <c r="B1153" s="10" t="inlineStr">
        <is>
          <t xml:space="preserve"> Völkl</t>
        </is>
      </c>
      <c r="C1153" s="11" t="inlineStr">
        <is>
          <t>Bash 81</t>
        </is>
      </c>
      <c r="D1153" s="13" t="n">
        <v>158</v>
      </c>
      <c r="E1153" s="11" t="inlineStr">
        <is>
          <t xml:space="preserve"> Unisex</t>
        </is>
      </c>
      <c r="F1153" s="13" t="n">
        <v>158</v>
      </c>
      <c r="G1153" s="13" t="n">
        <v>157.1</v>
      </c>
      <c r="H1153" s="13" t="n">
        <v>128</v>
      </c>
      <c r="I1153" s="13" t="n">
        <v>134</v>
      </c>
      <c r="J1153" s="13" t="n">
        <v>111</v>
      </c>
      <c r="K1153" s="13" t="n">
        <v>80</v>
      </c>
      <c r="L1153" s="13" t="n">
        <v>104</v>
      </c>
      <c r="M1153" s="13" t="n">
        <v>16.3</v>
      </c>
      <c r="N1153" s="13" t="n">
        <v>1564</v>
      </c>
      <c r="O1153" s="13" t="n">
        <v>0.91</v>
      </c>
      <c r="P1153" s="13" t="n">
        <v>1423</v>
      </c>
      <c r="Q1153" s="13" t="n">
        <v>173</v>
      </c>
      <c r="R1153" s="13" t="n">
        <v>87</v>
      </c>
      <c r="S1153" s="13" t="n">
        <v>43</v>
      </c>
      <c r="T1153" s="13" t="n">
        <v>152</v>
      </c>
      <c r="U1153" s="13" t="n">
        <v>36</v>
      </c>
      <c r="V1153" s="13" t="n">
        <v>138</v>
      </c>
      <c r="W1153" s="13" t="n">
        <v>0.838</v>
      </c>
      <c r="X1153" s="13" t="n">
        <v>91</v>
      </c>
      <c r="Y1153" s="13" t="n">
        <v>137</v>
      </c>
      <c r="Z1153" s="13" t="n">
        <v>61</v>
      </c>
      <c r="AA1153" s="13" t="n">
        <v>8</v>
      </c>
      <c r="AB1153" s="13" t="n">
        <v>2.5</v>
      </c>
      <c r="AC1153" s="11" t="inlineStr">
        <is>
          <t xml:space="preserve"> Resort Freeride</t>
        </is>
      </c>
      <c r="AD1153" s="11" t="inlineStr">
        <is>
          <t xml:space="preserve"> Freeski</t>
        </is>
      </c>
      <c r="AE1153" s="13" t="n"/>
      <c r="AF1153" s="13" t="n"/>
      <c r="AG1153" s="13" t="n"/>
    </row>
    <row r="1154">
      <c r="A1154" s="9" t="inlineStr">
        <is>
          <t>21/22</t>
        </is>
      </c>
      <c r="B1154" s="10" t="inlineStr">
        <is>
          <t xml:space="preserve"> Völkl</t>
        </is>
      </c>
      <c r="C1154" s="11" t="inlineStr">
        <is>
          <t>Bash 81</t>
        </is>
      </c>
      <c r="D1154" s="13" t="n">
        <v>168</v>
      </c>
      <c r="E1154" s="11" t="inlineStr">
        <is>
          <t xml:space="preserve"> Unisex</t>
        </is>
      </c>
      <c r="F1154" s="13" t="n">
        <v>168</v>
      </c>
      <c r="G1154" s="13" t="n">
        <v>166.9</v>
      </c>
      <c r="H1154" s="13" t="n">
        <v>138</v>
      </c>
      <c r="I1154" s="13" t="n">
        <v>145</v>
      </c>
      <c r="J1154" s="13" t="n">
        <v>110</v>
      </c>
      <c r="K1154" s="13" t="n">
        <v>80</v>
      </c>
      <c r="L1154" s="13" t="n">
        <v>104</v>
      </c>
      <c r="M1154" s="13" t="n">
        <v>19.1</v>
      </c>
      <c r="N1154" s="13" t="n">
        <v>1640</v>
      </c>
      <c r="O1154" s="13" t="n">
        <v>0.92</v>
      </c>
      <c r="P1154" s="13" t="n">
        <v>1505</v>
      </c>
      <c r="Q1154" s="13" t="n">
        <v>193</v>
      </c>
      <c r="R1154" s="13" t="n">
        <v>107</v>
      </c>
      <c r="S1154" s="13" t="n">
        <v>45</v>
      </c>
      <c r="T1154" s="13" t="n">
        <v>153</v>
      </c>
      <c r="U1154" s="13" t="n">
        <v>34</v>
      </c>
      <c r="V1154" s="13" t="n">
        <v>135</v>
      </c>
      <c r="W1154" s="13" t="n">
        <v>0.763</v>
      </c>
      <c r="X1154" s="13" t="n">
        <v>93</v>
      </c>
      <c r="Y1154" s="13" t="n">
        <v>129</v>
      </c>
      <c r="Z1154" s="13" t="n">
        <v>60</v>
      </c>
      <c r="AA1154" s="13" t="n">
        <v>9</v>
      </c>
      <c r="AB1154" s="13" t="n">
        <v>2.2</v>
      </c>
      <c r="AC1154" s="11" t="inlineStr">
        <is>
          <t xml:space="preserve"> Resort Freeride</t>
        </is>
      </c>
      <c r="AD1154" s="13" t="n"/>
      <c r="AE1154" s="13" t="n"/>
      <c r="AF1154" s="13" t="n"/>
      <c r="AG1154" s="13" t="n"/>
    </row>
    <row r="1155">
      <c r="A1155" s="9" t="inlineStr">
        <is>
          <t>21/22</t>
        </is>
      </c>
      <c r="B1155" s="10" t="inlineStr">
        <is>
          <t xml:space="preserve"> Völkl</t>
        </is>
      </c>
      <c r="C1155" s="11" t="inlineStr">
        <is>
          <t>Bash 86</t>
        </is>
      </c>
      <c r="D1155" s="13" t="n">
        <v>148</v>
      </c>
      <c r="E1155" s="11" t="inlineStr">
        <is>
          <t xml:space="preserve"> Unisex</t>
        </is>
      </c>
      <c r="F1155" s="13" t="n">
        <v>148</v>
      </c>
      <c r="G1155" s="13" t="n">
        <v>148.2</v>
      </c>
      <c r="H1155" s="13" t="n">
        <v>111</v>
      </c>
      <c r="I1155" s="13" t="n">
        <v>133</v>
      </c>
      <c r="J1155" s="13" t="n">
        <v>119</v>
      </c>
      <c r="K1155" s="13" t="n">
        <v>85</v>
      </c>
      <c r="L1155" s="13" t="n">
        <v>109</v>
      </c>
      <c r="M1155" s="13" t="n">
        <v>14.9</v>
      </c>
      <c r="N1155" s="13" t="n">
        <v>1462</v>
      </c>
      <c r="O1155" s="13" t="n">
        <v>0.97</v>
      </c>
      <c r="P1155" s="13" t="n">
        <v>1418</v>
      </c>
      <c r="Q1155" s="13" t="n">
        <v>145</v>
      </c>
      <c r="R1155" s="13" t="n">
        <v>72</v>
      </c>
      <c r="S1155" s="13" t="n">
        <v>41</v>
      </c>
      <c r="T1155" s="13" t="n">
        <v>188</v>
      </c>
      <c r="U1155" s="13" t="n">
        <v>40</v>
      </c>
      <c r="V1155" s="13" t="n">
        <v>184</v>
      </c>
      <c r="W1155" s="13" t="n">
        <v>0.987</v>
      </c>
      <c r="X1155" s="13" t="n">
        <v>82</v>
      </c>
      <c r="Y1155" s="13" t="n">
        <v>70</v>
      </c>
      <c r="Z1155" s="13" t="n">
        <v>106</v>
      </c>
      <c r="AA1155" s="13" t="n">
        <v>3</v>
      </c>
      <c r="AB1155" s="13" t="n">
        <v>1.6</v>
      </c>
      <c r="AC1155" s="11" t="inlineStr">
        <is>
          <t xml:space="preserve"> Freeski</t>
        </is>
      </c>
      <c r="AD1155" s="13" t="n"/>
      <c r="AE1155" s="13" t="n"/>
      <c r="AF1155" s="13" t="n"/>
      <c r="AG1155" s="13" t="n"/>
    </row>
    <row r="1156">
      <c r="A1156" s="9" t="inlineStr">
        <is>
          <t>21/22</t>
        </is>
      </c>
      <c r="B1156" s="10" t="inlineStr">
        <is>
          <t xml:space="preserve"> Völkl</t>
        </is>
      </c>
      <c r="C1156" s="11" t="inlineStr">
        <is>
          <t>Bash 86</t>
        </is>
      </c>
      <c r="D1156" s="13" t="n">
        <v>156</v>
      </c>
      <c r="E1156" s="11" t="inlineStr">
        <is>
          <t xml:space="preserve"> Unisex</t>
        </is>
      </c>
      <c r="F1156" s="13" t="n">
        <v>156</v>
      </c>
      <c r="G1156" s="13" t="n">
        <v>155.5</v>
      </c>
      <c r="H1156" s="13" t="n">
        <v>113</v>
      </c>
      <c r="I1156" s="13" t="n">
        <v>141</v>
      </c>
      <c r="J1156" s="13" t="n">
        <v>119</v>
      </c>
      <c r="K1156" s="13" t="n">
        <v>85</v>
      </c>
      <c r="L1156" s="13" t="n">
        <v>109</v>
      </c>
      <c r="M1156" s="13" t="n">
        <v>16.6</v>
      </c>
      <c r="N1156" s="13" t="n">
        <v>1556</v>
      </c>
      <c r="O1156" s="13" t="n">
        <v>0.96</v>
      </c>
      <c r="P1156" s="13" t="n">
        <v>1487</v>
      </c>
      <c r="Q1156" s="13" t="n">
        <v>155</v>
      </c>
      <c r="R1156" s="13" t="n">
        <v>73</v>
      </c>
      <c r="S1156" s="13" t="n">
        <v>41</v>
      </c>
      <c r="T1156" s="13" t="n">
        <v>234</v>
      </c>
      <c r="U1156" s="13" t="n">
        <v>39</v>
      </c>
      <c r="V1156" s="13" t="n">
        <v>189</v>
      </c>
      <c r="W1156" s="13" t="n">
        <v>0.963</v>
      </c>
      <c r="X1156" s="13" t="n">
        <v>79</v>
      </c>
      <c r="Y1156" s="13" t="n">
        <v>71</v>
      </c>
      <c r="Z1156" s="13" t="n">
        <v>155</v>
      </c>
      <c r="AA1156" s="13" t="n">
        <v>3</v>
      </c>
      <c r="AB1156" s="13" t="n">
        <v>1.3</v>
      </c>
      <c r="AC1156" s="11" t="inlineStr">
        <is>
          <t xml:space="preserve"> Freeski</t>
        </is>
      </c>
      <c r="AD1156" s="13" t="n"/>
      <c r="AE1156" s="13" t="n"/>
      <c r="AF1156" s="13" t="n"/>
      <c r="AG1156" s="13" t="n"/>
    </row>
    <row r="1157">
      <c r="A1157" s="9" t="inlineStr">
        <is>
          <t>21/22</t>
        </is>
      </c>
      <c r="B1157" s="10" t="inlineStr">
        <is>
          <t xml:space="preserve"> Völkl</t>
        </is>
      </c>
      <c r="C1157" s="11" t="inlineStr">
        <is>
          <t>Bash 86</t>
        </is>
      </c>
      <c r="D1157" s="13" t="n">
        <v>164</v>
      </c>
      <c r="E1157" s="11" t="inlineStr">
        <is>
          <t xml:space="preserve"> Unisex</t>
        </is>
      </c>
      <c r="F1157" s="13" t="n">
        <v>164</v>
      </c>
      <c r="G1157" s="13" t="n">
        <v>163</v>
      </c>
      <c r="H1157" s="13" t="n">
        <v>118</v>
      </c>
      <c r="I1157" s="13" t="n">
        <v>148</v>
      </c>
      <c r="J1157" s="13" t="n">
        <v>119</v>
      </c>
      <c r="K1157" s="13" t="n">
        <v>85</v>
      </c>
      <c r="L1157" s="13" t="n">
        <v>109</v>
      </c>
      <c r="M1157" s="13" t="n">
        <v>18</v>
      </c>
      <c r="N1157" s="13" t="n">
        <v>1603</v>
      </c>
      <c r="O1157" s="13" t="n">
        <v>0.97</v>
      </c>
      <c r="P1157" s="13" t="n">
        <v>1560</v>
      </c>
      <c r="Q1157" s="13" t="n">
        <v>159</v>
      </c>
      <c r="R1157" s="13" t="n">
        <v>79</v>
      </c>
      <c r="S1157" s="13" t="n">
        <v>42</v>
      </c>
      <c r="T1157" s="13" t="n">
        <v>239</v>
      </c>
      <c r="U1157" s="13" t="n">
        <v>40</v>
      </c>
      <c r="V1157" s="13" t="n">
        <v>216</v>
      </c>
      <c r="W1157" s="13" t="n">
        <v>0.96</v>
      </c>
      <c r="X1157" s="13" t="n">
        <v>82</v>
      </c>
      <c r="Y1157" s="13" t="n">
        <v>68</v>
      </c>
      <c r="Z1157" s="13" t="n">
        <v>157</v>
      </c>
      <c r="AA1157" s="13" t="n">
        <v>3</v>
      </c>
      <c r="AB1157" s="13" t="n">
        <v>1.6</v>
      </c>
      <c r="AC1157" s="11" t="inlineStr">
        <is>
          <t xml:space="preserve"> Freeski</t>
        </is>
      </c>
      <c r="AD1157" s="13" t="n"/>
      <c r="AE1157" s="13" t="n"/>
      <c r="AF1157" s="13" t="n"/>
      <c r="AG1157" s="13" t="n"/>
    </row>
    <row r="1158">
      <c r="A1158" s="9" t="inlineStr">
        <is>
          <t>21/22</t>
        </is>
      </c>
      <c r="B1158" s="10" t="inlineStr">
        <is>
          <t xml:space="preserve"> Völkl</t>
        </is>
      </c>
      <c r="C1158" s="11" t="inlineStr">
        <is>
          <t>Bash 86</t>
        </is>
      </c>
      <c r="D1158" s="13" t="n">
        <v>172</v>
      </c>
      <c r="E1158" s="11" t="inlineStr">
        <is>
          <t xml:space="preserve"> Unisex</t>
        </is>
      </c>
      <c r="F1158" s="13" t="n">
        <v>172</v>
      </c>
      <c r="G1158" s="13" t="n">
        <v>173</v>
      </c>
      <c r="H1158" s="13" t="n">
        <v>129</v>
      </c>
      <c r="I1158" s="13" t="n">
        <v>159</v>
      </c>
      <c r="J1158" s="13" t="n">
        <v>119</v>
      </c>
      <c r="K1158" s="13" t="n">
        <v>85</v>
      </c>
      <c r="L1158" s="13" t="n">
        <v>109</v>
      </c>
      <c r="M1158" s="13" t="n">
        <v>21.2</v>
      </c>
      <c r="N1158" s="13" t="n">
        <v>1754</v>
      </c>
      <c r="O1158" s="13" t="n">
        <v>0.9399999999999999</v>
      </c>
      <c r="P1158" s="13" t="n">
        <v>1655</v>
      </c>
      <c r="Q1158" s="13" t="n">
        <v>188</v>
      </c>
      <c r="R1158" s="13" t="n">
        <v>92</v>
      </c>
      <c r="S1158" s="13" t="n">
        <v>42</v>
      </c>
      <c r="T1158" s="13" t="n">
        <v>226</v>
      </c>
      <c r="U1158" s="13" t="n">
        <v>36</v>
      </c>
      <c r="V1158" s="13" t="n">
        <v>210</v>
      </c>
      <c r="W1158" s="13" t="n">
        <v>0.861</v>
      </c>
      <c r="X1158" s="13" t="n">
        <v>81</v>
      </c>
      <c r="Y1158" s="13" t="n">
        <v>62</v>
      </c>
      <c r="Z1158" s="13" t="n">
        <v>145</v>
      </c>
      <c r="AA1158" s="13" t="n">
        <v>6</v>
      </c>
      <c r="AB1158" s="13" t="n">
        <v>2</v>
      </c>
      <c r="AC1158" s="11" t="inlineStr">
        <is>
          <t xml:space="preserve"> Freeski</t>
        </is>
      </c>
      <c r="AD1158" s="13" t="n"/>
      <c r="AE1158" s="13" t="n"/>
      <c r="AF1158" s="13" t="n"/>
      <c r="AG1158" s="13" t="n"/>
    </row>
    <row r="1159">
      <c r="A1159" s="9" t="inlineStr">
        <is>
          <t>21/22</t>
        </is>
      </c>
      <c r="B1159" s="10" t="inlineStr">
        <is>
          <t xml:space="preserve"> Völkl</t>
        </is>
      </c>
      <c r="C1159" s="11" t="inlineStr">
        <is>
          <t>Bash 86</t>
        </is>
      </c>
      <c r="D1159" s="13" t="n">
        <v>180</v>
      </c>
      <c r="E1159" s="11" t="inlineStr">
        <is>
          <t xml:space="preserve"> Unisex</t>
        </is>
      </c>
      <c r="F1159" s="13" t="n">
        <v>180</v>
      </c>
      <c r="G1159" s="13" t="n">
        <v>180.3</v>
      </c>
      <c r="H1159" s="13" t="n">
        <v>122</v>
      </c>
      <c r="I1159" s="13" t="n">
        <v>166</v>
      </c>
      <c r="J1159" s="13" t="n">
        <v>119</v>
      </c>
      <c r="K1159" s="13" t="n">
        <v>85</v>
      </c>
      <c r="L1159" s="13" t="n">
        <v>109</v>
      </c>
      <c r="M1159" s="13" t="n">
        <v>23.5</v>
      </c>
      <c r="N1159" s="13" t="n">
        <v>1832</v>
      </c>
      <c r="O1159" s="13" t="n">
        <v>0.9399999999999999</v>
      </c>
      <c r="P1159" s="13" t="n">
        <v>1724</v>
      </c>
      <c r="Q1159" s="13" t="n">
        <v>205</v>
      </c>
      <c r="R1159" s="13" t="n">
        <v>99</v>
      </c>
      <c r="S1159" s="13" t="n">
        <v>43</v>
      </c>
      <c r="T1159" s="13" t="n">
        <v>285</v>
      </c>
      <c r="U1159" s="13" t="n">
        <v>39</v>
      </c>
      <c r="V1159" s="13" t="n">
        <v>295</v>
      </c>
      <c r="W1159" s="13" t="n">
        <v>0.902</v>
      </c>
      <c r="X1159" s="13" t="n">
        <v>79</v>
      </c>
      <c r="Y1159" s="13" t="n">
        <v>68</v>
      </c>
      <c r="Z1159" s="13" t="n">
        <v>206</v>
      </c>
      <c r="AA1159" s="13" t="n">
        <v>4</v>
      </c>
      <c r="AB1159" s="13" t="n">
        <v>1.6</v>
      </c>
      <c r="AC1159" s="11" t="inlineStr">
        <is>
          <t xml:space="preserve"> Freeski</t>
        </is>
      </c>
      <c r="AD1159" s="13" t="n"/>
      <c r="AE1159" s="13" t="n"/>
      <c r="AF1159" s="13" t="n"/>
      <c r="AG1159" s="13" t="n"/>
    </row>
    <row r="1160">
      <c r="A1160" s="9" t="inlineStr">
        <is>
          <t>21/22</t>
        </is>
      </c>
      <c r="B1160" s="10" t="inlineStr">
        <is>
          <t xml:space="preserve"> Völkl</t>
        </is>
      </c>
      <c r="C1160" s="11" t="inlineStr">
        <is>
          <t>Bash 86 W</t>
        </is>
      </c>
      <c r="D1160" s="13" t="n">
        <v>148</v>
      </c>
      <c r="E1160" s="11" t="inlineStr">
        <is>
          <t xml:space="preserve"> Women's</t>
        </is>
      </c>
      <c r="F1160" s="13" t="n">
        <v>148</v>
      </c>
      <c r="G1160" s="13" t="n">
        <v>147.8</v>
      </c>
      <c r="H1160" s="13" t="n">
        <v>110</v>
      </c>
      <c r="I1160" s="13" t="n">
        <v>133</v>
      </c>
      <c r="J1160" s="13" t="n">
        <v>119</v>
      </c>
      <c r="K1160" s="13" t="n">
        <v>85</v>
      </c>
      <c r="L1160" s="13" t="n">
        <v>109</v>
      </c>
      <c r="M1160" s="13" t="n">
        <v>14.7</v>
      </c>
      <c r="N1160" s="13" t="n">
        <v>1429</v>
      </c>
      <c r="O1160" s="13" t="n">
        <v>0.99</v>
      </c>
      <c r="P1160" s="13" t="n">
        <v>1414</v>
      </c>
      <c r="Q1160" s="13" t="n">
        <v>144</v>
      </c>
      <c r="R1160" s="13" t="n">
        <v>68</v>
      </c>
      <c r="S1160" s="13" t="n">
        <v>39</v>
      </c>
      <c r="T1160" s="13" t="n">
        <v>205</v>
      </c>
      <c r="U1160" s="13" t="n">
        <v>39</v>
      </c>
      <c r="V1160" s="13" t="n">
        <v>177</v>
      </c>
      <c r="W1160" s="13" t="n">
        <v>1.003</v>
      </c>
      <c r="X1160" s="13" t="n">
        <v>78</v>
      </c>
      <c r="Y1160" s="13" t="n">
        <v>71</v>
      </c>
      <c r="Z1160" s="13" t="n">
        <v>127</v>
      </c>
      <c r="AA1160" s="13" t="n">
        <v>3</v>
      </c>
      <c r="AB1160" s="13" t="n">
        <v>1.9</v>
      </c>
      <c r="AC1160" s="11" t="inlineStr">
        <is>
          <t xml:space="preserve"> Freeski</t>
        </is>
      </c>
      <c r="AD1160" s="13" t="n"/>
      <c r="AE1160" s="13" t="n"/>
      <c r="AF1160" s="13" t="n"/>
      <c r="AG1160" s="13" t="n"/>
    </row>
    <row r="1161">
      <c r="A1161" s="9" t="inlineStr">
        <is>
          <t>21/22</t>
        </is>
      </c>
      <c r="B1161" s="10" t="inlineStr">
        <is>
          <t xml:space="preserve"> Völkl</t>
        </is>
      </c>
      <c r="C1161" s="11" t="inlineStr">
        <is>
          <t>Bash 86 W</t>
        </is>
      </c>
      <c r="D1161" s="13" t="n">
        <v>156</v>
      </c>
      <c r="E1161" s="11" t="inlineStr">
        <is>
          <t xml:space="preserve"> Women's</t>
        </is>
      </c>
      <c r="F1161" s="13" t="n">
        <v>156</v>
      </c>
      <c r="G1161" s="13" t="n">
        <v>155.1</v>
      </c>
      <c r="H1161" s="13" t="n">
        <v>116</v>
      </c>
      <c r="I1161" s="13" t="n">
        <v>141</v>
      </c>
      <c r="J1161" s="13" t="n">
        <v>120</v>
      </c>
      <c r="K1161" s="13" t="n">
        <v>86</v>
      </c>
      <c r="L1161" s="13" t="n">
        <v>109</v>
      </c>
      <c r="M1161" s="13" t="n">
        <v>16.5</v>
      </c>
      <c r="N1161" s="13" t="n">
        <v>1578</v>
      </c>
      <c r="O1161" s="13" t="n">
        <v>0.95</v>
      </c>
      <c r="P1161" s="13" t="n">
        <v>1493</v>
      </c>
      <c r="Q1161" s="13" t="n">
        <v>164</v>
      </c>
      <c r="R1161" s="13" t="n">
        <v>77</v>
      </c>
      <c r="S1161" s="13" t="n">
        <v>39</v>
      </c>
      <c r="T1161" s="13" t="n">
        <v>210</v>
      </c>
      <c r="U1161" s="13" t="n">
        <v>38</v>
      </c>
      <c r="V1161" s="13" t="n">
        <v>177</v>
      </c>
      <c r="W1161" s="13" t="n">
        <v>0.983</v>
      </c>
      <c r="X1161" s="13" t="n">
        <v>72</v>
      </c>
      <c r="Y1161" s="13" t="n">
        <v>72</v>
      </c>
      <c r="Z1161" s="13" t="n">
        <v>138</v>
      </c>
      <c r="AA1161" s="13" t="n">
        <v>3</v>
      </c>
      <c r="AB1161" s="13" t="n">
        <v>2.1</v>
      </c>
      <c r="AC1161" s="11" t="inlineStr">
        <is>
          <t xml:space="preserve"> Freeski</t>
        </is>
      </c>
      <c r="AD1161" s="13" t="n"/>
      <c r="AE1161" s="13" t="n"/>
      <c r="AF1161" s="13" t="n"/>
      <c r="AG1161" s="13" t="n"/>
    </row>
    <row r="1162">
      <c r="A1162" s="9" t="inlineStr">
        <is>
          <t>21/22</t>
        </is>
      </c>
      <c r="B1162" s="10" t="inlineStr">
        <is>
          <t xml:space="preserve"> Völkl</t>
        </is>
      </c>
      <c r="C1162" s="11" t="inlineStr">
        <is>
          <t>Bash 86 W</t>
        </is>
      </c>
      <c r="D1162" s="13" t="n">
        <v>164</v>
      </c>
      <c r="E1162" s="11" t="inlineStr">
        <is>
          <t xml:space="preserve"> Women's</t>
        </is>
      </c>
      <c r="F1162" s="13" t="n">
        <v>164</v>
      </c>
      <c r="G1162" s="13" t="n">
        <v>162.5</v>
      </c>
      <c r="H1162" s="13" t="n">
        <v>110</v>
      </c>
      <c r="I1162" s="13" t="n">
        <v>147</v>
      </c>
      <c r="J1162" s="13" t="n">
        <v>120</v>
      </c>
      <c r="K1162" s="13" t="n">
        <v>86</v>
      </c>
      <c r="L1162" s="13" t="n">
        <v>110</v>
      </c>
      <c r="M1162" s="13" t="n">
        <v>18.2</v>
      </c>
      <c r="N1162" s="13" t="n">
        <v>1600</v>
      </c>
      <c r="O1162" s="13" t="n">
        <v>0.98</v>
      </c>
      <c r="P1162" s="13" t="n">
        <v>1562</v>
      </c>
      <c r="Q1162" s="13" t="n">
        <v>171</v>
      </c>
      <c r="R1162" s="13" t="n">
        <v>78</v>
      </c>
      <c r="S1162" s="13" t="n">
        <v>41</v>
      </c>
      <c r="T1162" s="13" t="n">
        <v>269</v>
      </c>
      <c r="U1162" s="13" t="n">
        <v>40</v>
      </c>
      <c r="V1162" s="13" t="n">
        <v>254</v>
      </c>
      <c r="W1162" s="13" t="n">
        <v>0.973</v>
      </c>
      <c r="X1162" s="13" t="n">
        <v>78</v>
      </c>
      <c r="Y1162" s="13" t="n">
        <v>76</v>
      </c>
      <c r="Z1162" s="13" t="n">
        <v>191</v>
      </c>
      <c r="AA1162" s="13" t="n">
        <v>2</v>
      </c>
      <c r="AB1162" s="13" t="n">
        <v>2.2</v>
      </c>
      <c r="AC1162" s="11" t="inlineStr">
        <is>
          <t xml:space="preserve"> Freeski</t>
        </is>
      </c>
      <c r="AD1162" s="13" t="n"/>
      <c r="AE1162" s="13" t="n"/>
      <c r="AF1162" s="13" t="n"/>
      <c r="AG1162" s="13" t="n"/>
    </row>
    <row r="1163">
      <c r="A1163" s="9" t="inlineStr">
        <is>
          <t>21/22</t>
        </is>
      </c>
      <c r="B1163" s="10" t="inlineStr">
        <is>
          <t xml:space="preserve"> Völkl</t>
        </is>
      </c>
      <c r="C1163" s="11" t="inlineStr">
        <is>
          <t>Bash 86 W</t>
        </is>
      </c>
      <c r="D1163" s="13" t="n">
        <v>172</v>
      </c>
      <c r="E1163" s="11" t="inlineStr">
        <is>
          <t xml:space="preserve"> Women's</t>
        </is>
      </c>
      <c r="F1163" s="13" t="n">
        <v>172</v>
      </c>
      <c r="G1163" s="13" t="n">
        <v>172.6</v>
      </c>
      <c r="H1163" s="13" t="n">
        <v>123</v>
      </c>
      <c r="I1163" s="13" t="n">
        <v>158</v>
      </c>
      <c r="J1163" s="13" t="n">
        <v>119</v>
      </c>
      <c r="K1163" s="13" t="n">
        <v>85</v>
      </c>
      <c r="L1163" s="13" t="n">
        <v>109</v>
      </c>
      <c r="M1163" s="13" t="n">
        <v>21.1</v>
      </c>
      <c r="N1163" s="13" t="n">
        <v>1733</v>
      </c>
      <c r="O1163" s="13" t="n">
        <v>0.95</v>
      </c>
      <c r="P1163" s="13" t="n">
        <v>1652</v>
      </c>
      <c r="Q1163" s="13" t="n">
        <v>193</v>
      </c>
      <c r="R1163" s="13" t="n">
        <v>89</v>
      </c>
      <c r="S1163" s="13" t="n">
        <v>42</v>
      </c>
      <c r="T1163" s="13" t="n">
        <v>271</v>
      </c>
      <c r="U1163" s="13" t="n">
        <v>37</v>
      </c>
      <c r="V1163" s="13" t="n">
        <v>228</v>
      </c>
      <c r="W1163" s="13" t="n">
        <v>0.881</v>
      </c>
      <c r="X1163" s="13" t="n">
        <v>75</v>
      </c>
      <c r="Y1163" s="13" t="n">
        <v>74</v>
      </c>
      <c r="Z1163" s="13" t="n">
        <v>196</v>
      </c>
      <c r="AA1163" s="13" t="n">
        <v>4</v>
      </c>
      <c r="AB1163" s="13" t="n">
        <v>1.7</v>
      </c>
      <c r="AC1163" s="11" t="inlineStr">
        <is>
          <t xml:space="preserve"> Freeski</t>
        </is>
      </c>
      <c r="AD1163" s="13" t="n"/>
      <c r="AE1163" s="13" t="n"/>
      <c r="AF1163" s="13" t="n"/>
      <c r="AG1163" s="13" t="n"/>
    </row>
    <row r="1164">
      <c r="A1164" s="9" t="inlineStr">
        <is>
          <t>21/22</t>
        </is>
      </c>
      <c r="B1164" s="10" t="inlineStr">
        <is>
          <t xml:space="preserve"> Völkl</t>
        </is>
      </c>
      <c r="C1164" s="11" t="inlineStr">
        <is>
          <t>Blaze 106</t>
        </is>
      </c>
      <c r="D1164" s="13" t="n">
        <v>165</v>
      </c>
      <c r="E1164" s="11" t="inlineStr">
        <is>
          <t xml:space="preserve"> Unisex</t>
        </is>
      </c>
      <c r="F1164" s="13" t="n">
        <v>165</v>
      </c>
      <c r="G1164" s="13" t="n">
        <v>164.5</v>
      </c>
      <c r="H1164" s="13" t="n">
        <v>94</v>
      </c>
      <c r="I1164" s="13" t="n">
        <v>141</v>
      </c>
      <c r="J1164" s="13" t="n">
        <v>144</v>
      </c>
      <c r="K1164" s="13" t="n">
        <v>105</v>
      </c>
      <c r="L1164" s="13" t="n">
        <v>127</v>
      </c>
      <c r="M1164" s="13" t="n">
        <v>15.2</v>
      </c>
      <c r="N1164" s="13" t="n">
        <v>1606</v>
      </c>
      <c r="O1164" s="13" t="n">
        <v>1.2</v>
      </c>
      <c r="P1164" s="13" t="n">
        <v>1927</v>
      </c>
      <c r="Q1164" s="13" t="n">
        <v>176</v>
      </c>
      <c r="R1164" s="13" t="n">
        <v>90</v>
      </c>
      <c r="S1164" s="13" t="n">
        <v>54</v>
      </c>
      <c r="T1164" s="13" t="n">
        <v>444</v>
      </c>
      <c r="U1164" s="13" t="n">
        <v>23</v>
      </c>
      <c r="V1164" s="13" t="n">
        <v>263</v>
      </c>
      <c r="W1164" s="13" t="n">
        <v>0.434</v>
      </c>
      <c r="X1164" s="13" t="n">
        <v>139</v>
      </c>
      <c r="Y1164" s="13" t="n">
        <v>99</v>
      </c>
      <c r="Z1164" s="13" t="n">
        <v>304</v>
      </c>
      <c r="AA1164" s="13" t="n">
        <v>2</v>
      </c>
      <c r="AB1164" s="13" t="n">
        <v>11.5</v>
      </c>
      <c r="AC1164" s="11" t="inlineStr">
        <is>
          <t xml:space="preserve"> Powder</t>
        </is>
      </c>
      <c r="AD1164" s="11" t="inlineStr">
        <is>
          <t xml:space="preserve"> Touring</t>
        </is>
      </c>
      <c r="AE1164" s="13" t="n"/>
      <c r="AF1164" s="13" t="n"/>
      <c r="AG1164" s="13" t="n"/>
    </row>
    <row r="1165">
      <c r="A1165" s="9" t="inlineStr">
        <is>
          <t>21/22</t>
        </is>
      </c>
      <c r="B1165" s="10" t="inlineStr">
        <is>
          <t xml:space="preserve"> Völkl</t>
        </is>
      </c>
      <c r="C1165" s="11" t="inlineStr">
        <is>
          <t>Blaze 106</t>
        </is>
      </c>
      <c r="D1165" s="13" t="n">
        <v>172</v>
      </c>
      <c r="E1165" s="11" t="inlineStr">
        <is>
          <t xml:space="preserve"> Unisex</t>
        </is>
      </c>
      <c r="F1165" s="13" t="n">
        <v>172</v>
      </c>
      <c r="G1165" s="13" t="n">
        <v>171.7</v>
      </c>
      <c r="H1165" s="13" t="n">
        <v>96</v>
      </c>
      <c r="I1165" s="13" t="n">
        <v>148</v>
      </c>
      <c r="J1165" s="13" t="n">
        <v>144</v>
      </c>
      <c r="K1165" s="13" t="n">
        <v>105</v>
      </c>
      <c r="L1165" s="13" t="n">
        <v>127</v>
      </c>
      <c r="M1165" s="13" t="n">
        <v>16.9</v>
      </c>
      <c r="N1165" s="13" t="n">
        <v>1642</v>
      </c>
      <c r="O1165" s="13" t="n">
        <v>1.23</v>
      </c>
      <c r="P1165" s="13" t="n">
        <v>2013</v>
      </c>
      <c r="Q1165" s="13" t="n">
        <v>192</v>
      </c>
      <c r="R1165" s="13" t="n">
        <v>95</v>
      </c>
      <c r="S1165" s="13" t="n">
        <v>54</v>
      </c>
      <c r="T1165" s="13" t="n">
        <v>475</v>
      </c>
      <c r="U1165" s="13" t="n">
        <v>24</v>
      </c>
      <c r="V1165" s="13" t="n">
        <v>277</v>
      </c>
      <c r="W1165" s="13" t="n">
        <v>0.44</v>
      </c>
      <c r="X1165" s="13" t="n">
        <v>138</v>
      </c>
      <c r="Y1165" s="13" t="n">
        <v>96</v>
      </c>
      <c r="Z1165" s="13" t="n">
        <v>337</v>
      </c>
      <c r="AA1165" s="13" t="n">
        <v>1</v>
      </c>
      <c r="AB1165" s="13" t="n">
        <v>11.6</v>
      </c>
      <c r="AC1165" s="11" t="inlineStr">
        <is>
          <t xml:space="preserve"> Powder</t>
        </is>
      </c>
      <c r="AD1165" s="11" t="inlineStr">
        <is>
          <t xml:space="preserve"> Touring</t>
        </is>
      </c>
      <c r="AE1165" s="13" t="n"/>
      <c r="AF1165" s="13" t="n"/>
      <c r="AG1165" s="13" t="n"/>
    </row>
    <row r="1166">
      <c r="A1166" s="9" t="inlineStr">
        <is>
          <t>21/22</t>
        </is>
      </c>
      <c r="B1166" s="10" t="inlineStr">
        <is>
          <t xml:space="preserve"> Völkl</t>
        </is>
      </c>
      <c r="C1166" s="11" t="inlineStr">
        <is>
          <t>Blaze 106</t>
        </is>
      </c>
      <c r="D1166" s="13" t="n">
        <v>179</v>
      </c>
      <c r="E1166" s="11" t="inlineStr">
        <is>
          <t xml:space="preserve"> Unisex</t>
        </is>
      </c>
      <c r="F1166" s="13" t="n">
        <v>179</v>
      </c>
      <c r="G1166" s="13" t="n">
        <v>179.4</v>
      </c>
      <c r="H1166" s="13" t="n">
        <v>111</v>
      </c>
      <c r="I1166" s="13" t="n">
        <v>155</v>
      </c>
      <c r="J1166" s="13" t="n">
        <v>145</v>
      </c>
      <c r="K1166" s="13" t="n">
        <v>105</v>
      </c>
      <c r="L1166" s="13" t="n">
        <v>127</v>
      </c>
      <c r="M1166" s="13" t="n">
        <v>18.7</v>
      </c>
      <c r="N1166" s="13" t="n">
        <v>1763</v>
      </c>
      <c r="O1166" s="13" t="n">
        <v>1.19</v>
      </c>
      <c r="P1166" s="13" t="n">
        <v>2103</v>
      </c>
      <c r="Q1166" s="13" t="n">
        <v>187</v>
      </c>
      <c r="R1166" s="13" t="n">
        <v>95</v>
      </c>
      <c r="S1166" s="13" t="n">
        <v>52</v>
      </c>
      <c r="T1166" s="13" t="n">
        <v>434</v>
      </c>
      <c r="U1166" s="13" t="n">
        <v>22</v>
      </c>
      <c r="V1166" s="13" t="n">
        <v>248</v>
      </c>
      <c r="W1166" s="13" t="n">
        <v>0.42</v>
      </c>
      <c r="X1166" s="13" t="n">
        <v>145</v>
      </c>
      <c r="Y1166" s="13" t="n">
        <v>97</v>
      </c>
      <c r="Z1166" s="13" t="n">
        <v>290</v>
      </c>
      <c r="AA1166" s="13" t="n">
        <v>2</v>
      </c>
      <c r="AB1166" s="13" t="n">
        <v>13</v>
      </c>
      <c r="AC1166" s="11" t="inlineStr">
        <is>
          <t xml:space="preserve"> Powder</t>
        </is>
      </c>
      <c r="AD1166" s="11" t="inlineStr">
        <is>
          <t xml:space="preserve"> Touring</t>
        </is>
      </c>
      <c r="AE1166" s="13" t="n"/>
      <c r="AF1166" s="13" t="n"/>
      <c r="AG1166" s="13" t="n"/>
    </row>
    <row r="1167">
      <c r="A1167" s="9" t="inlineStr">
        <is>
          <t>21/22</t>
        </is>
      </c>
      <c r="B1167" s="10" t="inlineStr">
        <is>
          <t xml:space="preserve"> Völkl</t>
        </is>
      </c>
      <c r="C1167" s="11" t="inlineStr">
        <is>
          <t>Blaze 106</t>
        </is>
      </c>
      <c r="D1167" s="13" t="n">
        <v>186</v>
      </c>
      <c r="E1167" s="11" t="inlineStr">
        <is>
          <t xml:space="preserve"> Unisex</t>
        </is>
      </c>
      <c r="F1167" s="13" t="n">
        <v>186</v>
      </c>
      <c r="G1167" s="13" t="n">
        <v>186.9</v>
      </c>
      <c r="H1167" s="13" t="n">
        <v>114</v>
      </c>
      <c r="I1167" s="13" t="n">
        <v>162</v>
      </c>
      <c r="J1167" s="13" t="n">
        <v>145</v>
      </c>
      <c r="K1167" s="13" t="n">
        <v>105</v>
      </c>
      <c r="L1167" s="13" t="n">
        <v>127</v>
      </c>
      <c r="M1167" s="13" t="n">
        <v>20.6</v>
      </c>
      <c r="N1167" s="13" t="n">
        <v>1845</v>
      </c>
      <c r="O1167" s="13" t="n">
        <v>1.19</v>
      </c>
      <c r="P1167" s="13" t="n">
        <v>2189</v>
      </c>
      <c r="Q1167" s="13" t="n">
        <v>200</v>
      </c>
      <c r="R1167" s="13" t="n">
        <v>102</v>
      </c>
      <c r="S1167" s="13" t="n">
        <v>55</v>
      </c>
      <c r="T1167" s="13" t="n">
        <v>475</v>
      </c>
      <c r="U1167" s="13" t="n">
        <v>23</v>
      </c>
      <c r="V1167" s="13" t="n">
        <v>257</v>
      </c>
      <c r="W1167" s="13" t="n">
        <v>0.417</v>
      </c>
      <c r="X1167" s="13" t="n">
        <v>145</v>
      </c>
      <c r="Y1167" s="13" t="n">
        <v>103</v>
      </c>
      <c r="Z1167" s="13" t="n">
        <v>330</v>
      </c>
      <c r="AA1167" s="13" t="n">
        <v>2</v>
      </c>
      <c r="AB1167" s="13" t="n">
        <v>11.3</v>
      </c>
      <c r="AC1167" s="11" t="inlineStr">
        <is>
          <t xml:space="preserve"> Powder</t>
        </is>
      </c>
      <c r="AD1167" s="11" t="inlineStr">
        <is>
          <t xml:space="preserve"> Touring</t>
        </is>
      </c>
      <c r="AE1167" s="13" t="n"/>
      <c r="AF1167" s="13" t="n"/>
      <c r="AG1167" s="13" t="n"/>
    </row>
    <row r="1168">
      <c r="A1168" s="9" t="inlineStr">
        <is>
          <t>21/22</t>
        </is>
      </c>
      <c r="B1168" s="10" t="inlineStr">
        <is>
          <t xml:space="preserve"> Völkl</t>
        </is>
      </c>
      <c r="C1168" s="11" t="inlineStr">
        <is>
          <t>Blaze 106 W</t>
        </is>
      </c>
      <c r="D1168" s="13" t="n">
        <v>158</v>
      </c>
      <c r="E1168" s="11" t="inlineStr">
        <is>
          <t xml:space="preserve"> Women's</t>
        </is>
      </c>
      <c r="F1168" s="13" t="n">
        <v>158</v>
      </c>
      <c r="G1168" s="13" t="n">
        <v>159.2</v>
      </c>
      <c r="H1168" s="13" t="n">
        <v>85</v>
      </c>
      <c r="I1168" s="13" t="n">
        <v>135</v>
      </c>
      <c r="J1168" s="13" t="n">
        <v>145</v>
      </c>
      <c r="K1168" s="13" t="n">
        <v>105</v>
      </c>
      <c r="L1168" s="13" t="n">
        <v>127</v>
      </c>
      <c r="M1168" s="13" t="n">
        <v>13.8</v>
      </c>
      <c r="N1168" s="13" t="n">
        <v>1526</v>
      </c>
      <c r="O1168" s="13" t="n">
        <v>1.23</v>
      </c>
      <c r="P1168" s="13" t="n">
        <v>1873</v>
      </c>
      <c r="Q1168" s="13" t="n">
        <v>189</v>
      </c>
      <c r="R1168" s="13" t="n">
        <v>101</v>
      </c>
      <c r="S1168" s="13" t="n">
        <v>50</v>
      </c>
      <c r="T1168" s="13" t="n">
        <v>441</v>
      </c>
      <c r="U1168" s="13" t="n">
        <v>23</v>
      </c>
      <c r="V1168" s="13" t="n">
        <v>297</v>
      </c>
      <c r="W1168" s="13" t="n">
        <v>0.466</v>
      </c>
      <c r="X1168" s="13" t="n">
        <v>139</v>
      </c>
      <c r="Y1168" s="13" t="n">
        <v>101</v>
      </c>
      <c r="Z1168" s="13" t="n">
        <v>302</v>
      </c>
      <c r="AA1168" s="13" t="n">
        <v>1</v>
      </c>
      <c r="AB1168" s="13" t="n">
        <v>11.6</v>
      </c>
      <c r="AC1168" s="11" t="inlineStr">
        <is>
          <t xml:space="preserve"> Powder</t>
        </is>
      </c>
      <c r="AD1168" s="11" t="inlineStr">
        <is>
          <t xml:space="preserve"> Touring</t>
        </is>
      </c>
      <c r="AE1168" s="13" t="n"/>
      <c r="AF1168" s="13" t="n"/>
      <c r="AG1168" s="13" t="n"/>
    </row>
    <row r="1169">
      <c r="A1169" s="9" t="inlineStr">
        <is>
          <t>21/22</t>
        </is>
      </c>
      <c r="B1169" s="10" t="inlineStr">
        <is>
          <t xml:space="preserve"> Völkl</t>
        </is>
      </c>
      <c r="C1169" s="11" t="inlineStr">
        <is>
          <t>Blaze 106 W</t>
        </is>
      </c>
      <c r="D1169" s="13" t="n">
        <v>165</v>
      </c>
      <c r="E1169" s="11" t="inlineStr">
        <is>
          <t xml:space="preserve"> Women's</t>
        </is>
      </c>
      <c r="F1169" s="13" t="n">
        <v>165</v>
      </c>
      <c r="G1169" s="13" t="n">
        <v>164.2</v>
      </c>
      <c r="H1169" s="13" t="n">
        <v>90</v>
      </c>
      <c r="I1169" s="13" t="n">
        <v>140</v>
      </c>
      <c r="J1169" s="13" t="n">
        <v>145</v>
      </c>
      <c r="K1169" s="13" t="n">
        <v>105</v>
      </c>
      <c r="L1169" s="13" t="n">
        <v>127</v>
      </c>
      <c r="M1169" s="13" t="n">
        <v>15</v>
      </c>
      <c r="N1169" s="13" t="n">
        <v>1626</v>
      </c>
      <c r="O1169" s="13" t="n">
        <v>1.19</v>
      </c>
      <c r="P1169" s="13" t="n">
        <v>1933</v>
      </c>
      <c r="Q1169" s="13" t="n">
        <v>176</v>
      </c>
      <c r="R1169" s="13" t="n">
        <v>100</v>
      </c>
      <c r="S1169" s="13" t="n">
        <v>53</v>
      </c>
      <c r="T1169" s="13" t="n">
        <v>458</v>
      </c>
      <c r="U1169" s="13" t="n">
        <v>23</v>
      </c>
      <c r="V1169" s="13" t="n">
        <v>289</v>
      </c>
      <c r="W1169" s="13" t="n">
        <v>0.438</v>
      </c>
      <c r="X1169" s="13" t="n">
        <v>137</v>
      </c>
      <c r="Y1169" s="13" t="n">
        <v>107</v>
      </c>
      <c r="Z1169" s="13" t="n">
        <v>321</v>
      </c>
      <c r="AA1169" s="13" t="n">
        <v>1</v>
      </c>
      <c r="AB1169" s="13" t="n">
        <v>12.4</v>
      </c>
      <c r="AC1169" s="11" t="inlineStr">
        <is>
          <t xml:space="preserve"> Powder</t>
        </is>
      </c>
      <c r="AD1169" s="11" t="inlineStr">
        <is>
          <t xml:space="preserve"> Touring</t>
        </is>
      </c>
      <c r="AE1169" s="13" t="n"/>
      <c r="AF1169" s="13" t="n"/>
      <c r="AG1169" s="13" t="n"/>
    </row>
    <row r="1170">
      <c r="A1170" s="9" t="inlineStr">
        <is>
          <t>21/22</t>
        </is>
      </c>
      <c r="B1170" s="10" t="inlineStr">
        <is>
          <t xml:space="preserve"> Völkl</t>
        </is>
      </c>
      <c r="C1170" s="11" t="inlineStr">
        <is>
          <t>Blaze 106 W</t>
        </is>
      </c>
      <c r="D1170" s="13" t="n">
        <v>172</v>
      </c>
      <c r="E1170" s="11" t="inlineStr">
        <is>
          <t xml:space="preserve"> Women's</t>
        </is>
      </c>
      <c r="F1170" s="13" t="n">
        <v>172</v>
      </c>
      <c r="G1170" s="13" t="n">
        <v>171.5</v>
      </c>
      <c r="H1170" s="13" t="n">
        <v>95</v>
      </c>
      <c r="I1170" s="13" t="n">
        <v>147</v>
      </c>
      <c r="J1170" s="13" t="n">
        <v>145</v>
      </c>
      <c r="K1170" s="13" t="n">
        <v>106</v>
      </c>
      <c r="L1170" s="13" t="n">
        <v>127</v>
      </c>
      <c r="M1170" s="13" t="n">
        <v>16.6</v>
      </c>
      <c r="N1170" s="13" t="n">
        <v>1688</v>
      </c>
      <c r="O1170" s="13" t="n">
        <v>1.2</v>
      </c>
      <c r="P1170" s="13" t="n">
        <v>2017</v>
      </c>
      <c r="Q1170" s="13" t="n">
        <v>196</v>
      </c>
      <c r="R1170" s="13" t="n">
        <v>98</v>
      </c>
      <c r="S1170" s="13" t="n">
        <v>54</v>
      </c>
      <c r="T1170" s="13" t="n">
        <v>465</v>
      </c>
      <c r="U1170" s="13" t="n">
        <v>25</v>
      </c>
      <c r="V1170" s="13" t="n">
        <v>296</v>
      </c>
      <c r="W1170" s="13" t="n">
        <v>0.461</v>
      </c>
      <c r="X1170" s="13" t="n">
        <v>136</v>
      </c>
      <c r="Y1170" s="13" t="n">
        <v>105</v>
      </c>
      <c r="Z1170" s="13" t="n">
        <v>329</v>
      </c>
      <c r="AA1170" s="13" t="n">
        <v>1</v>
      </c>
      <c r="AB1170" s="13" t="n">
        <v>12</v>
      </c>
      <c r="AC1170" s="11" t="inlineStr">
        <is>
          <t xml:space="preserve"> Powder</t>
        </is>
      </c>
      <c r="AD1170" s="11" t="inlineStr">
        <is>
          <t xml:space="preserve"> Touring</t>
        </is>
      </c>
      <c r="AE1170" s="13" t="n"/>
      <c r="AF1170" s="13" t="n"/>
      <c r="AG1170" s="13" t="n"/>
    </row>
    <row r="1171">
      <c r="A1171" s="9" t="inlineStr">
        <is>
          <t>21/22</t>
        </is>
      </c>
      <c r="B1171" s="10" t="inlineStr">
        <is>
          <t xml:space="preserve"> Völkl</t>
        </is>
      </c>
      <c r="C1171" s="11" t="inlineStr">
        <is>
          <t>Blaze 86</t>
        </is>
      </c>
      <c r="D1171" s="13" t="n">
        <v>159</v>
      </c>
      <c r="E1171" s="11" t="inlineStr">
        <is>
          <t xml:space="preserve"> Unisex</t>
        </is>
      </c>
      <c r="F1171" s="13" t="n">
        <v>159</v>
      </c>
      <c r="G1171" s="13" t="n">
        <v>159.7</v>
      </c>
      <c r="H1171" s="13" t="n">
        <v>115</v>
      </c>
      <c r="I1171" s="13" t="n">
        <v>135</v>
      </c>
      <c r="J1171" s="13" t="n">
        <v>128</v>
      </c>
      <c r="K1171" s="13" t="n">
        <v>85</v>
      </c>
      <c r="L1171" s="13" t="n">
        <v>110</v>
      </c>
      <c r="M1171" s="13" t="n">
        <v>12.8</v>
      </c>
      <c r="N1171" s="13" t="n">
        <v>1264</v>
      </c>
      <c r="O1171" s="13" t="n">
        <v>1.26</v>
      </c>
      <c r="P1171" s="13" t="n">
        <v>1587</v>
      </c>
      <c r="Q1171" s="13" t="n">
        <v>156</v>
      </c>
      <c r="R1171" s="13" t="n">
        <v>74</v>
      </c>
      <c r="S1171" s="13" t="n">
        <v>47</v>
      </c>
      <c r="T1171" s="13" t="n">
        <v>277</v>
      </c>
      <c r="U1171" s="13" t="n">
        <v>17</v>
      </c>
      <c r="V1171" s="13" t="n">
        <v>170</v>
      </c>
      <c r="W1171" s="13" t="n">
        <v>0.368</v>
      </c>
      <c r="X1171" s="13" t="n">
        <v>145</v>
      </c>
      <c r="Y1171" s="13" t="n">
        <v>98</v>
      </c>
      <c r="Z1171" s="13" t="n">
        <v>133</v>
      </c>
      <c r="AA1171" s="13" t="n">
        <v>3</v>
      </c>
      <c r="AB1171" s="13" t="n">
        <v>11.6</v>
      </c>
      <c r="AC1171" s="11" t="inlineStr">
        <is>
          <t xml:space="preserve"> Resort Freeride</t>
        </is>
      </c>
      <c r="AD1171" s="11" t="inlineStr">
        <is>
          <t xml:space="preserve"> Touring</t>
        </is>
      </c>
      <c r="AE1171" s="11" t="inlineStr">
        <is>
          <t xml:space="preserve"> Ultralight Touring</t>
        </is>
      </c>
      <c r="AF1171" s="13" t="n"/>
      <c r="AG1171" s="13" t="n"/>
    </row>
    <row r="1172">
      <c r="A1172" s="9" t="inlineStr">
        <is>
          <t>21/22</t>
        </is>
      </c>
      <c r="B1172" s="10" t="inlineStr">
        <is>
          <t xml:space="preserve"> Völkl</t>
        </is>
      </c>
      <c r="C1172" s="11" t="inlineStr">
        <is>
          <t>Blaze 86</t>
        </is>
      </c>
      <c r="D1172" s="13" t="n">
        <v>166</v>
      </c>
      <c r="E1172" s="11" t="inlineStr">
        <is>
          <t xml:space="preserve"> Unisex</t>
        </is>
      </c>
      <c r="F1172" s="13" t="n">
        <v>166</v>
      </c>
      <c r="G1172" s="13" t="n">
        <v>167.2</v>
      </c>
      <c r="H1172" s="13" t="n">
        <v>121</v>
      </c>
      <c r="I1172" s="13" t="n">
        <v>143</v>
      </c>
      <c r="J1172" s="13" t="n">
        <v>128</v>
      </c>
      <c r="K1172" s="13" t="n">
        <v>86</v>
      </c>
      <c r="L1172" s="13" t="n">
        <v>110</v>
      </c>
      <c r="M1172" s="13" t="n">
        <v>14.2</v>
      </c>
      <c r="N1172" s="13" t="n">
        <v>1380</v>
      </c>
      <c r="O1172" s="13" t="n">
        <v>1.2</v>
      </c>
      <c r="P1172" s="13" t="n">
        <v>1662</v>
      </c>
      <c r="Q1172" s="13" t="n">
        <v>163</v>
      </c>
      <c r="R1172" s="13" t="n">
        <v>74</v>
      </c>
      <c r="S1172" s="13" t="n">
        <v>45</v>
      </c>
      <c r="T1172" s="13" t="n">
        <v>286</v>
      </c>
      <c r="U1172" s="13" t="n">
        <v>18</v>
      </c>
      <c r="V1172" s="13" t="n">
        <v>177</v>
      </c>
      <c r="W1172" s="13" t="n">
        <v>0.39</v>
      </c>
      <c r="X1172" s="13" t="n">
        <v>146</v>
      </c>
      <c r="Y1172" s="13" t="n">
        <v>100</v>
      </c>
      <c r="Z1172" s="13" t="n">
        <v>140</v>
      </c>
      <c r="AA1172" s="13" t="n">
        <v>3</v>
      </c>
      <c r="AB1172" s="13" t="n">
        <v>11.9</v>
      </c>
      <c r="AC1172" s="11" t="inlineStr">
        <is>
          <t xml:space="preserve"> Resort Freeride</t>
        </is>
      </c>
      <c r="AD1172" s="11" t="inlineStr">
        <is>
          <t xml:space="preserve"> Touring</t>
        </is>
      </c>
      <c r="AE1172" s="13" t="n"/>
      <c r="AF1172" s="13" t="n"/>
      <c r="AG1172" s="13" t="n"/>
    </row>
    <row r="1173">
      <c r="A1173" s="9" t="inlineStr">
        <is>
          <t>21/22</t>
        </is>
      </c>
      <c r="B1173" s="10" t="inlineStr">
        <is>
          <t xml:space="preserve"> Völkl</t>
        </is>
      </c>
      <c r="C1173" s="11" t="inlineStr">
        <is>
          <t>Blaze 86</t>
        </is>
      </c>
      <c r="D1173" s="13" t="n">
        <v>173</v>
      </c>
      <c r="E1173" s="11" t="inlineStr">
        <is>
          <t xml:space="preserve"> Unisex</t>
        </is>
      </c>
      <c r="F1173" s="13" t="n">
        <v>173</v>
      </c>
      <c r="G1173" s="13" t="n">
        <v>174.7</v>
      </c>
      <c r="H1173" s="13" t="n">
        <v>129</v>
      </c>
      <c r="I1173" s="13" t="n">
        <v>150</v>
      </c>
      <c r="J1173" s="13" t="n">
        <v>128</v>
      </c>
      <c r="K1173" s="13" t="n">
        <v>85</v>
      </c>
      <c r="L1173" s="13" t="n">
        <v>110</v>
      </c>
      <c r="M1173" s="13" t="n">
        <v>15.9</v>
      </c>
      <c r="N1173" s="13" t="n">
        <v>1451</v>
      </c>
      <c r="O1173" s="13" t="n">
        <v>1.19</v>
      </c>
      <c r="P1173" s="13" t="n">
        <v>1732</v>
      </c>
      <c r="Q1173" s="13" t="n">
        <v>186</v>
      </c>
      <c r="R1173" s="13" t="n">
        <v>81</v>
      </c>
      <c r="S1173" s="13" t="n">
        <v>46</v>
      </c>
      <c r="T1173" s="13" t="n">
        <v>268</v>
      </c>
      <c r="U1173" s="13" t="n">
        <v>17</v>
      </c>
      <c r="V1173" s="13" t="n">
        <v>191</v>
      </c>
      <c r="W1173" s="13" t="n">
        <v>0.38</v>
      </c>
      <c r="X1173" s="13" t="n">
        <v>144</v>
      </c>
      <c r="Y1173" s="13" t="n">
        <v>102</v>
      </c>
      <c r="Z1173" s="13" t="n">
        <v>124</v>
      </c>
      <c r="AA1173" s="13" t="n">
        <v>3</v>
      </c>
      <c r="AB1173" s="13" t="n">
        <v>11.9</v>
      </c>
      <c r="AC1173" s="11" t="inlineStr">
        <is>
          <t xml:space="preserve"> Resort Freeride</t>
        </is>
      </c>
      <c r="AD1173" s="11" t="inlineStr">
        <is>
          <t xml:space="preserve"> Touring</t>
        </is>
      </c>
      <c r="AE1173" s="13" t="n"/>
      <c r="AF1173" s="13" t="n"/>
      <c r="AG1173" s="13" t="n"/>
    </row>
    <row r="1174">
      <c r="A1174" s="9" t="inlineStr">
        <is>
          <t>21/22</t>
        </is>
      </c>
      <c r="B1174" s="10" t="inlineStr">
        <is>
          <t xml:space="preserve"> Völkl</t>
        </is>
      </c>
      <c r="C1174" s="11" t="inlineStr">
        <is>
          <t>Blaze 86</t>
        </is>
      </c>
      <c r="D1174" s="13" t="n">
        <v>180</v>
      </c>
      <c r="E1174" s="11" t="inlineStr">
        <is>
          <t xml:space="preserve"> Unisex</t>
        </is>
      </c>
      <c r="F1174" s="13" t="n">
        <v>180</v>
      </c>
      <c r="G1174" s="13" t="n">
        <v>179.6</v>
      </c>
      <c r="H1174" s="13" t="n">
        <v>129</v>
      </c>
      <c r="I1174" s="13" t="n">
        <v>155</v>
      </c>
      <c r="J1174" s="13" t="n">
        <v>128</v>
      </c>
      <c r="K1174" s="13" t="n">
        <v>85</v>
      </c>
      <c r="L1174" s="13" t="n">
        <v>110</v>
      </c>
      <c r="M1174" s="13" t="n">
        <v>16.9</v>
      </c>
      <c r="N1174" s="13" t="n">
        <v>1483</v>
      </c>
      <c r="O1174" s="13" t="n">
        <v>1.2</v>
      </c>
      <c r="P1174" s="13" t="n">
        <v>1780</v>
      </c>
      <c r="Q1174" s="13" t="n">
        <v>189</v>
      </c>
      <c r="R1174" s="13" t="n">
        <v>84</v>
      </c>
      <c r="S1174" s="13" t="n">
        <v>46</v>
      </c>
      <c r="T1174" s="13" t="n">
        <v>302</v>
      </c>
      <c r="U1174" s="13" t="n">
        <v>18</v>
      </c>
      <c r="V1174" s="13" t="n">
        <v>206</v>
      </c>
      <c r="W1174" s="13" t="n">
        <v>0.399</v>
      </c>
      <c r="X1174" s="13" t="n">
        <v>149</v>
      </c>
      <c r="Y1174" s="13" t="n">
        <v>99</v>
      </c>
      <c r="Z1174" s="13" t="n">
        <v>154</v>
      </c>
      <c r="AA1174" s="13" t="n">
        <v>2</v>
      </c>
      <c r="AB1174" s="13" t="n">
        <v>11</v>
      </c>
      <c r="AC1174" s="11" t="inlineStr">
        <is>
          <t xml:space="preserve"> Resort Freeride</t>
        </is>
      </c>
      <c r="AD1174" s="11" t="inlineStr">
        <is>
          <t xml:space="preserve"> Touring</t>
        </is>
      </c>
      <c r="AE1174" s="13" t="n"/>
      <c r="AF1174" s="13" t="n"/>
      <c r="AG1174" s="13" t="n"/>
    </row>
    <row r="1175">
      <c r="A1175" s="9" t="inlineStr">
        <is>
          <t>21/22</t>
        </is>
      </c>
      <c r="B1175" s="10" t="inlineStr">
        <is>
          <t xml:space="preserve"> Völkl</t>
        </is>
      </c>
      <c r="C1175" s="11" t="inlineStr">
        <is>
          <t>Blaze 86 W</t>
        </is>
      </c>
      <c r="D1175" s="13" t="n">
        <v>146</v>
      </c>
      <c r="E1175" s="11" t="inlineStr">
        <is>
          <t xml:space="preserve"> Women's</t>
        </is>
      </c>
      <c r="F1175" s="13" t="n">
        <v>146</v>
      </c>
      <c r="G1175" s="13" t="n">
        <v>147.3</v>
      </c>
      <c r="H1175" s="13" t="n">
        <v>92</v>
      </c>
      <c r="I1175" s="13" t="n">
        <v>122</v>
      </c>
      <c r="J1175" s="13" t="n">
        <v>128</v>
      </c>
      <c r="K1175" s="13" t="n">
        <v>85</v>
      </c>
      <c r="L1175" s="13" t="n">
        <v>109</v>
      </c>
      <c r="M1175" s="13" t="n">
        <v>10.1</v>
      </c>
      <c r="N1175" s="13" t="n">
        <v>1211</v>
      </c>
      <c r="O1175" s="13" t="n">
        <v>1.21</v>
      </c>
      <c r="P1175" s="13" t="n">
        <v>1467</v>
      </c>
      <c r="Q1175" s="13" t="n">
        <v>156</v>
      </c>
      <c r="R1175" s="13" t="n">
        <v>75</v>
      </c>
      <c r="S1175" s="13" t="n">
        <v>48</v>
      </c>
      <c r="T1175" s="13" t="n">
        <v>337</v>
      </c>
      <c r="U1175" s="13" t="n">
        <v>18</v>
      </c>
      <c r="V1175" s="13" t="n">
        <v>218</v>
      </c>
      <c r="W1175" s="13" t="n">
        <v>0.373</v>
      </c>
      <c r="X1175" s="13" t="n">
        <v>149</v>
      </c>
      <c r="Y1175" s="13" t="n">
        <v>105</v>
      </c>
      <c r="Z1175" s="13" t="n">
        <v>188</v>
      </c>
      <c r="AA1175" s="13" t="n">
        <v>1</v>
      </c>
      <c r="AB1175" s="13" t="n">
        <v>11.5</v>
      </c>
      <c r="AC1175" s="11" t="inlineStr">
        <is>
          <t xml:space="preserve"> Resort Freeride</t>
        </is>
      </c>
      <c r="AD1175" s="11" t="inlineStr">
        <is>
          <t xml:space="preserve"> Touring</t>
        </is>
      </c>
      <c r="AE1175" s="13" t="n"/>
      <c r="AF1175" s="13" t="n"/>
      <c r="AG1175" s="13" t="n"/>
    </row>
    <row r="1176">
      <c r="A1176" s="9" t="inlineStr">
        <is>
          <t>21/22</t>
        </is>
      </c>
      <c r="B1176" s="10" t="inlineStr">
        <is>
          <t xml:space="preserve"> Völkl</t>
        </is>
      </c>
      <c r="C1176" s="11" t="inlineStr">
        <is>
          <t>Blaze 86 W</t>
        </is>
      </c>
      <c r="D1176" s="13" t="n">
        <v>152</v>
      </c>
      <c r="E1176" s="11" t="inlineStr">
        <is>
          <t xml:space="preserve"> Women's</t>
        </is>
      </c>
      <c r="F1176" s="13" t="n">
        <v>152</v>
      </c>
      <c r="G1176" s="13" t="n">
        <v>152</v>
      </c>
      <c r="H1176" s="13" t="n">
        <v>91</v>
      </c>
      <c r="I1176" s="13" t="n">
        <v>127</v>
      </c>
      <c r="J1176" s="13" t="n">
        <v>129</v>
      </c>
      <c r="K1176" s="13" t="n">
        <v>86</v>
      </c>
      <c r="L1176" s="13" t="n">
        <v>110</v>
      </c>
      <c r="M1176" s="13" t="n">
        <v>11.1</v>
      </c>
      <c r="N1176" s="13" t="n">
        <v>1234</v>
      </c>
      <c r="O1176" s="13" t="n">
        <v>1.23</v>
      </c>
      <c r="P1176" s="13" t="n">
        <v>1520</v>
      </c>
      <c r="Q1176" s="13" t="n">
        <v>156</v>
      </c>
      <c r="R1176" s="13" t="n">
        <v>75</v>
      </c>
      <c r="S1176" s="13" t="n">
        <v>47</v>
      </c>
      <c r="T1176" s="13" t="n">
        <v>370</v>
      </c>
      <c r="U1176" s="13" t="n">
        <v>19</v>
      </c>
      <c r="V1176" s="13" t="n">
        <v>241</v>
      </c>
      <c r="W1176" s="13" t="n">
        <v>0.397</v>
      </c>
      <c r="X1176" s="13" t="n">
        <v>141</v>
      </c>
      <c r="Y1176" s="13" t="n">
        <v>104</v>
      </c>
      <c r="Z1176" s="13" t="n">
        <v>228</v>
      </c>
      <c r="AA1176" s="13" t="n">
        <v>1</v>
      </c>
      <c r="AB1176" s="13" t="n">
        <v>11.9</v>
      </c>
      <c r="AC1176" s="11" t="inlineStr">
        <is>
          <t xml:space="preserve"> Resort Freeride</t>
        </is>
      </c>
      <c r="AD1176" s="11" t="inlineStr">
        <is>
          <t xml:space="preserve"> Touring</t>
        </is>
      </c>
      <c r="AE1176" s="13" t="n"/>
      <c r="AF1176" s="13" t="n"/>
      <c r="AG1176" s="13" t="n"/>
    </row>
    <row r="1177">
      <c r="A1177" s="9" t="inlineStr">
        <is>
          <t>21/22</t>
        </is>
      </c>
      <c r="B1177" s="10" t="inlineStr">
        <is>
          <t xml:space="preserve"> Völkl</t>
        </is>
      </c>
      <c r="C1177" s="11" t="inlineStr">
        <is>
          <t>Blaze 86 W</t>
        </is>
      </c>
      <c r="D1177" s="13" t="n">
        <v>159</v>
      </c>
      <c r="E1177" s="11" t="inlineStr">
        <is>
          <t xml:space="preserve"> Women's</t>
        </is>
      </c>
      <c r="F1177" s="13" t="n">
        <v>159</v>
      </c>
      <c r="G1177" s="13" t="n">
        <v>160.2</v>
      </c>
      <c r="H1177" s="13" t="n">
        <v>100</v>
      </c>
      <c r="I1177" s="13" t="n">
        <v>136</v>
      </c>
      <c r="J1177" s="13" t="n">
        <v>128</v>
      </c>
      <c r="K1177" s="13" t="n">
        <v>85</v>
      </c>
      <c r="L1177" s="13" t="n">
        <v>110</v>
      </c>
      <c r="M1177" s="13" t="n">
        <v>12.7</v>
      </c>
      <c r="N1177" s="13" t="n">
        <v>1259</v>
      </c>
      <c r="O1177" s="13" t="n">
        <v>1.26</v>
      </c>
      <c r="P1177" s="13" t="n">
        <v>1589</v>
      </c>
      <c r="Q1177" s="13" t="n">
        <v>157</v>
      </c>
      <c r="R1177" s="13" t="n">
        <v>74</v>
      </c>
      <c r="S1177" s="13" t="n">
        <v>49</v>
      </c>
      <c r="T1177" s="13" t="n">
        <v>374</v>
      </c>
      <c r="U1177" s="13" t="n">
        <v>20</v>
      </c>
      <c r="V1177" s="13" t="n">
        <v>227</v>
      </c>
      <c r="W1177" s="13" t="n">
        <v>0.403</v>
      </c>
      <c r="X1177" s="13" t="n">
        <v>143</v>
      </c>
      <c r="Y1177" s="13" t="n">
        <v>101</v>
      </c>
      <c r="Z1177" s="13" t="n">
        <v>231</v>
      </c>
      <c r="AA1177" s="13" t="n">
        <v>1</v>
      </c>
      <c r="AB1177" s="13" t="n">
        <v>11.5</v>
      </c>
      <c r="AC1177" s="11" t="inlineStr">
        <is>
          <t xml:space="preserve"> Resort Freeride</t>
        </is>
      </c>
      <c r="AD1177" s="11" t="inlineStr">
        <is>
          <t xml:space="preserve"> Touring</t>
        </is>
      </c>
      <c r="AE1177" s="11" t="inlineStr">
        <is>
          <t xml:space="preserve"> Ultralight Touring</t>
        </is>
      </c>
      <c r="AF1177" s="13" t="n"/>
      <c r="AG1177" s="13" t="n"/>
    </row>
    <row r="1178">
      <c r="A1178" s="9" t="inlineStr">
        <is>
          <t>21/22</t>
        </is>
      </c>
      <c r="B1178" s="10" t="inlineStr">
        <is>
          <t xml:space="preserve"> Völkl</t>
        </is>
      </c>
      <c r="C1178" s="11" t="inlineStr">
        <is>
          <t>Blaze 86 W</t>
        </is>
      </c>
      <c r="D1178" s="13" t="n">
        <v>166</v>
      </c>
      <c r="E1178" s="11" t="inlineStr">
        <is>
          <t xml:space="preserve"> Women's</t>
        </is>
      </c>
      <c r="F1178" s="13" t="n">
        <v>166</v>
      </c>
      <c r="G1178" s="13" t="n">
        <v>167.3</v>
      </c>
      <c r="H1178" s="13" t="n">
        <v>97</v>
      </c>
      <c r="I1178" s="13" t="n">
        <v>143</v>
      </c>
      <c r="J1178" s="13" t="n">
        <v>128</v>
      </c>
      <c r="K1178" s="13" t="n">
        <v>85</v>
      </c>
      <c r="L1178" s="13" t="n">
        <v>110</v>
      </c>
      <c r="M1178" s="13" t="n">
        <v>14.2</v>
      </c>
      <c r="N1178" s="13" t="n">
        <v>1411</v>
      </c>
      <c r="O1178" s="13" t="n">
        <v>1.18</v>
      </c>
      <c r="P1178" s="13" t="n">
        <v>1660</v>
      </c>
      <c r="Q1178" s="13" t="n">
        <v>170</v>
      </c>
      <c r="R1178" s="13" t="n">
        <v>79</v>
      </c>
      <c r="S1178" s="13" t="n">
        <v>48</v>
      </c>
      <c r="T1178" s="13" t="n">
        <v>408</v>
      </c>
      <c r="U1178" s="13" t="n">
        <v>18</v>
      </c>
      <c r="V1178" s="13" t="n">
        <v>295</v>
      </c>
      <c r="W1178" s="13" t="n">
        <v>0.375</v>
      </c>
      <c r="X1178" s="13" t="n">
        <v>144</v>
      </c>
      <c r="Y1178" s="13" t="n">
        <v>100</v>
      </c>
      <c r="Z1178" s="13" t="n">
        <v>265</v>
      </c>
      <c r="AA1178" s="13" t="n">
        <v>1</v>
      </c>
      <c r="AB1178" s="13" t="n">
        <v>11.7</v>
      </c>
      <c r="AC1178" s="11" t="inlineStr">
        <is>
          <t xml:space="preserve"> Resort Freeride</t>
        </is>
      </c>
      <c r="AD1178" s="11" t="inlineStr">
        <is>
          <t xml:space="preserve"> Touring</t>
        </is>
      </c>
      <c r="AE1178" s="13" t="n"/>
      <c r="AF1178" s="13" t="n"/>
      <c r="AG1178" s="13" t="n"/>
    </row>
    <row r="1179">
      <c r="A1179" s="9" t="inlineStr">
        <is>
          <t>21/22</t>
        </is>
      </c>
      <c r="B1179" s="10" t="inlineStr">
        <is>
          <t xml:space="preserve"> Völkl</t>
        </is>
      </c>
      <c r="C1179" s="11" t="inlineStr">
        <is>
          <t>Blaze 94</t>
        </is>
      </c>
      <c r="D1179" s="13" t="n">
        <v>158</v>
      </c>
      <c r="E1179" s="11" t="inlineStr">
        <is>
          <t xml:space="preserve"> Unisex</t>
        </is>
      </c>
      <c r="F1179" s="13" t="n">
        <v>158</v>
      </c>
      <c r="G1179" s="13" t="n">
        <v>159.4</v>
      </c>
      <c r="H1179" s="13" t="n">
        <v>80</v>
      </c>
      <c r="I1179" s="13" t="n">
        <v>135</v>
      </c>
      <c r="J1179" s="13" t="n">
        <v>133</v>
      </c>
      <c r="K1179" s="13" t="n">
        <v>93</v>
      </c>
      <c r="L1179" s="13" t="n">
        <v>115</v>
      </c>
      <c r="M1179" s="13" t="n">
        <v>13.6</v>
      </c>
      <c r="N1179" s="13" t="n">
        <v>1430</v>
      </c>
      <c r="O1179" s="13" t="n">
        <v>1.18</v>
      </c>
      <c r="P1179" s="13" t="n">
        <v>1692</v>
      </c>
      <c r="Q1179" s="13" t="n">
        <v>169</v>
      </c>
      <c r="R1179" s="13" t="n">
        <v>90</v>
      </c>
      <c r="S1179" s="13" t="n">
        <v>48</v>
      </c>
      <c r="T1179" s="13" t="n">
        <v>456</v>
      </c>
      <c r="U1179" s="13" t="n">
        <v>21</v>
      </c>
      <c r="V1179" s="13" t="n">
        <v>337</v>
      </c>
      <c r="W1179" s="13" t="n">
        <v>0.435</v>
      </c>
      <c r="X1179" s="13" t="n">
        <v>141</v>
      </c>
      <c r="Y1179" s="13" t="n">
        <v>104</v>
      </c>
      <c r="Z1179" s="13" t="n">
        <v>315</v>
      </c>
      <c r="AA1179" s="13" t="n">
        <v>1</v>
      </c>
      <c r="AB1179" s="13" t="n">
        <v>12.3</v>
      </c>
      <c r="AC1179" s="11" t="inlineStr">
        <is>
          <t xml:space="preserve"> Resort Freeride</t>
        </is>
      </c>
      <c r="AD1179" s="11" t="inlineStr">
        <is>
          <t xml:space="preserve"> Touring</t>
        </is>
      </c>
      <c r="AE1179" s="13" t="n"/>
      <c r="AF1179" s="13" t="n"/>
      <c r="AG1179" s="13" t="n"/>
    </row>
    <row r="1180">
      <c r="A1180" s="9" t="inlineStr">
        <is>
          <t>21/22</t>
        </is>
      </c>
      <c r="B1180" s="10" t="inlineStr">
        <is>
          <t xml:space="preserve"> Völkl</t>
        </is>
      </c>
      <c r="C1180" s="11" t="inlineStr">
        <is>
          <t>Blaze 94</t>
        </is>
      </c>
      <c r="D1180" s="13" t="n">
        <v>165</v>
      </c>
      <c r="E1180" s="11" t="inlineStr">
        <is>
          <t xml:space="preserve"> Unisex</t>
        </is>
      </c>
      <c r="F1180" s="13" t="n">
        <v>165</v>
      </c>
      <c r="G1180" s="13" t="n">
        <v>164.4</v>
      </c>
      <c r="H1180" s="13" t="n">
        <v>83</v>
      </c>
      <c r="I1180" s="13" t="n">
        <v>140</v>
      </c>
      <c r="J1180" s="13" t="n">
        <v>133</v>
      </c>
      <c r="K1180" s="13" t="n">
        <v>93</v>
      </c>
      <c r="L1180" s="13" t="n">
        <v>116</v>
      </c>
      <c r="M1180" s="13" t="n">
        <v>14.8</v>
      </c>
      <c r="N1180" s="13" t="n">
        <v>1448</v>
      </c>
      <c r="O1180" s="13" t="n">
        <v>1.2</v>
      </c>
      <c r="P1180" s="13" t="n">
        <v>1744</v>
      </c>
      <c r="Q1180" s="13" t="n">
        <v>182</v>
      </c>
      <c r="R1180" s="13" t="n">
        <v>90</v>
      </c>
      <c r="S1180" s="13" t="n">
        <v>48</v>
      </c>
      <c r="T1180" s="13" t="n">
        <v>465</v>
      </c>
      <c r="U1180" s="13" t="n">
        <v>21</v>
      </c>
      <c r="V1180" s="13" t="n">
        <v>345</v>
      </c>
      <c r="W1180" s="13" t="n">
        <v>0.442</v>
      </c>
      <c r="X1180" s="13" t="n">
        <v>139</v>
      </c>
      <c r="Y1180" s="13" t="n">
        <v>103</v>
      </c>
      <c r="Z1180" s="13" t="n">
        <v>326</v>
      </c>
      <c r="AA1180" s="13" t="n">
        <v>1</v>
      </c>
      <c r="AB1180" s="13" t="n">
        <v>12</v>
      </c>
      <c r="AC1180" s="11" t="inlineStr">
        <is>
          <t xml:space="preserve"> Resort Freeride</t>
        </is>
      </c>
      <c r="AD1180" s="11" t="inlineStr">
        <is>
          <t xml:space="preserve"> Touring</t>
        </is>
      </c>
      <c r="AE1180" s="13" t="n"/>
      <c r="AF1180" s="13" t="n"/>
      <c r="AG1180" s="13" t="n"/>
    </row>
    <row r="1181">
      <c r="A1181" s="9" t="inlineStr">
        <is>
          <t>21/22</t>
        </is>
      </c>
      <c r="B1181" s="10" t="inlineStr">
        <is>
          <t xml:space="preserve"> Völkl</t>
        </is>
      </c>
      <c r="C1181" s="11" t="inlineStr">
        <is>
          <t>Blaze 94</t>
        </is>
      </c>
      <c r="D1181" s="13" t="n">
        <v>172</v>
      </c>
      <c r="E1181" s="11" t="inlineStr">
        <is>
          <t xml:space="preserve"> Unisex</t>
        </is>
      </c>
      <c r="F1181" s="13" t="n">
        <v>172</v>
      </c>
      <c r="G1181" s="13" t="n">
        <v>171.7</v>
      </c>
      <c r="H1181" s="13" t="n">
        <v>74</v>
      </c>
      <c r="I1181" s="13" t="n">
        <v>147</v>
      </c>
      <c r="J1181" s="13" t="n">
        <v>133</v>
      </c>
      <c r="K1181" s="13" t="n">
        <v>93</v>
      </c>
      <c r="L1181" s="13" t="n">
        <v>115</v>
      </c>
      <c r="M1181" s="13" t="n">
        <v>16.4</v>
      </c>
      <c r="N1181" s="13" t="n">
        <v>1513</v>
      </c>
      <c r="O1181" s="13" t="n">
        <v>1.2</v>
      </c>
      <c r="P1181" s="13" t="n">
        <v>1820</v>
      </c>
      <c r="Q1181" s="13" t="n">
        <v>157</v>
      </c>
      <c r="R1181" s="13" t="n">
        <v>90</v>
      </c>
      <c r="S1181" s="13" t="n">
        <v>48</v>
      </c>
      <c r="T1181" s="13" t="n">
        <v>536</v>
      </c>
      <c r="U1181" s="13" t="n">
        <v>22</v>
      </c>
      <c r="V1181" s="13" t="n">
        <v>436</v>
      </c>
      <c r="W1181" s="13" t="n">
        <v>0.45</v>
      </c>
      <c r="X1181" s="13" t="n">
        <v>138</v>
      </c>
      <c r="Y1181" s="13" t="n">
        <v>105</v>
      </c>
      <c r="Z1181" s="13" t="n">
        <v>397</v>
      </c>
      <c r="AA1181" s="13" t="n">
        <v>1</v>
      </c>
      <c r="AB1181" s="13" t="n">
        <v>12.2</v>
      </c>
      <c r="AC1181" s="11" t="inlineStr">
        <is>
          <t xml:space="preserve"> Resort Freeride</t>
        </is>
      </c>
      <c r="AD1181" s="11" t="inlineStr">
        <is>
          <t xml:space="preserve"> Touring</t>
        </is>
      </c>
      <c r="AE1181" s="13" t="n"/>
      <c r="AF1181" s="13" t="n"/>
      <c r="AG1181" s="13" t="n"/>
    </row>
    <row r="1182">
      <c r="A1182" s="9" t="inlineStr">
        <is>
          <t>21/22</t>
        </is>
      </c>
      <c r="B1182" s="10" t="inlineStr">
        <is>
          <t xml:space="preserve"> Völkl</t>
        </is>
      </c>
      <c r="C1182" s="11" t="inlineStr">
        <is>
          <t>Blaze 94</t>
        </is>
      </c>
      <c r="D1182" s="13" t="n">
        <v>179</v>
      </c>
      <c r="E1182" s="11" t="inlineStr">
        <is>
          <t xml:space="preserve"> Unisex</t>
        </is>
      </c>
      <c r="F1182" s="13" t="n">
        <v>179</v>
      </c>
      <c r="G1182" s="13" t="n">
        <v>177.1</v>
      </c>
      <c r="H1182" s="13" t="n">
        <v>89</v>
      </c>
      <c r="I1182" s="13" t="n">
        <v>155</v>
      </c>
      <c r="J1182" s="13" t="n">
        <v>133</v>
      </c>
      <c r="K1182" s="13" t="n">
        <v>93</v>
      </c>
      <c r="L1182" s="13" t="n">
        <v>115</v>
      </c>
      <c r="M1182" s="13" t="n">
        <v>18.2</v>
      </c>
      <c r="N1182" s="13" t="n">
        <v>1546</v>
      </c>
      <c r="O1182" s="13" t="n">
        <v>1.21</v>
      </c>
      <c r="P1182" s="13" t="n">
        <v>1878</v>
      </c>
      <c r="Q1182" s="13" t="n">
        <v>168</v>
      </c>
      <c r="R1182" s="13" t="n">
        <v>92</v>
      </c>
      <c r="S1182" s="13" t="n">
        <v>39</v>
      </c>
      <c r="T1182" s="13" t="n">
        <v>506</v>
      </c>
      <c r="U1182" s="13" t="n">
        <v>23</v>
      </c>
      <c r="V1182" s="13" t="n">
        <v>374</v>
      </c>
      <c r="W1182" s="13" t="n">
        <v>0.581</v>
      </c>
      <c r="X1182" s="13" t="n">
        <v>118</v>
      </c>
      <c r="Y1182" s="13" t="n">
        <v>102</v>
      </c>
      <c r="Z1182" s="13" t="n">
        <v>388</v>
      </c>
      <c r="AA1182" s="13" t="n">
        <v>1</v>
      </c>
      <c r="AB1182" s="13" t="n">
        <v>12.5</v>
      </c>
      <c r="AC1182" s="11" t="inlineStr">
        <is>
          <t xml:space="preserve"> Resort Freeride</t>
        </is>
      </c>
      <c r="AD1182" s="11" t="inlineStr">
        <is>
          <t xml:space="preserve"> Touring</t>
        </is>
      </c>
      <c r="AE1182" s="13" t="n"/>
      <c r="AF1182" s="13" t="n"/>
      <c r="AG1182" s="13" t="n"/>
    </row>
    <row r="1183">
      <c r="A1183" s="9" t="inlineStr">
        <is>
          <t>21/22</t>
        </is>
      </c>
      <c r="B1183" s="10" t="inlineStr">
        <is>
          <t xml:space="preserve"> Völkl</t>
        </is>
      </c>
      <c r="C1183" s="11" t="inlineStr">
        <is>
          <t>Blaze 94</t>
        </is>
      </c>
      <c r="D1183" s="13" t="n">
        <v>186</v>
      </c>
      <c r="E1183" s="11" t="inlineStr">
        <is>
          <t xml:space="preserve"> Unisex</t>
        </is>
      </c>
      <c r="F1183" s="13" t="n">
        <v>186</v>
      </c>
      <c r="G1183" s="13" t="n">
        <v>186.6</v>
      </c>
      <c r="H1183" s="13" t="n">
        <v>104</v>
      </c>
      <c r="I1183" s="13" t="n">
        <v>163</v>
      </c>
      <c r="J1183" s="13" t="n">
        <v>133</v>
      </c>
      <c r="K1183" s="13" t="n">
        <v>93</v>
      </c>
      <c r="L1183" s="13" t="n">
        <v>116</v>
      </c>
      <c r="M1183" s="13" t="n">
        <v>20</v>
      </c>
      <c r="N1183" s="13" t="n">
        <v>1699</v>
      </c>
      <c r="O1183" s="13" t="n">
        <v>1.16</v>
      </c>
      <c r="P1183" s="13" t="n">
        <v>1976</v>
      </c>
      <c r="Q1183" s="13" t="n">
        <v>232</v>
      </c>
      <c r="R1183" s="13" t="n">
        <v>111</v>
      </c>
      <c r="S1183" s="13" t="n">
        <v>47</v>
      </c>
      <c r="T1183" s="13" t="n">
        <v>477</v>
      </c>
      <c r="U1183" s="13" t="n">
        <v>22</v>
      </c>
      <c r="V1183" s="13" t="n">
        <v>345</v>
      </c>
      <c r="W1183" s="13" t="n">
        <v>0.46</v>
      </c>
      <c r="X1183" s="13" t="n">
        <v>138</v>
      </c>
      <c r="Y1183" s="13" t="n">
        <v>102</v>
      </c>
      <c r="Z1183" s="13" t="n">
        <v>338</v>
      </c>
      <c r="AA1183" s="13" t="n">
        <v>2</v>
      </c>
      <c r="AB1183" s="13" t="n">
        <v>11.6</v>
      </c>
      <c r="AC1183" s="11" t="inlineStr">
        <is>
          <t xml:space="preserve"> Resort Freeride</t>
        </is>
      </c>
      <c r="AD1183" s="11" t="inlineStr">
        <is>
          <t xml:space="preserve"> Touring</t>
        </is>
      </c>
      <c r="AE1183" s="13" t="n"/>
      <c r="AF1183" s="13" t="n"/>
      <c r="AG1183" s="13" t="n"/>
    </row>
    <row r="1184">
      <c r="A1184" s="9" t="inlineStr">
        <is>
          <t>21/22</t>
        </is>
      </c>
      <c r="B1184" s="10" t="inlineStr">
        <is>
          <t xml:space="preserve"> Völkl</t>
        </is>
      </c>
      <c r="C1184" s="11" t="inlineStr">
        <is>
          <t>Blaze 94 W</t>
        </is>
      </c>
      <c r="D1184" s="13" t="n">
        <v>151</v>
      </c>
      <c r="E1184" s="11" t="inlineStr">
        <is>
          <t xml:space="preserve"> Women's</t>
        </is>
      </c>
      <c r="F1184" s="13" t="n">
        <v>151</v>
      </c>
      <c r="G1184" s="13" t="n">
        <v>152.7</v>
      </c>
      <c r="H1184" s="13" t="n">
        <v>76</v>
      </c>
      <c r="I1184" s="13" t="n">
        <v>128</v>
      </c>
      <c r="J1184" s="13" t="n">
        <v>133</v>
      </c>
      <c r="K1184" s="13" t="n">
        <v>93</v>
      </c>
      <c r="L1184" s="13" t="n">
        <v>115</v>
      </c>
      <c r="M1184" s="13" t="n">
        <v>12.4</v>
      </c>
      <c r="N1184" s="13" t="n">
        <v>1354</v>
      </c>
      <c r="O1184" s="13" t="n">
        <v>1.2</v>
      </c>
      <c r="P1184" s="13" t="n">
        <v>1618</v>
      </c>
      <c r="Q1184" s="13" t="n">
        <v>162</v>
      </c>
      <c r="R1184" s="13" t="n">
        <v>79</v>
      </c>
      <c r="S1184" s="13" t="n">
        <v>50</v>
      </c>
      <c r="T1184" s="13" t="n">
        <v>443</v>
      </c>
      <c r="U1184" s="13" t="n">
        <v>22</v>
      </c>
      <c r="V1184" s="13" t="n">
        <v>323</v>
      </c>
      <c r="W1184" s="13" t="n">
        <v>0.442</v>
      </c>
      <c r="X1184" s="13" t="n">
        <v>144</v>
      </c>
      <c r="Y1184" s="13" t="n">
        <v>106</v>
      </c>
      <c r="Z1184" s="13" t="n">
        <v>299</v>
      </c>
      <c r="AA1184" s="13" t="n">
        <v>2</v>
      </c>
      <c r="AB1184" s="13" t="n">
        <v>11.4</v>
      </c>
      <c r="AC1184" s="11" t="inlineStr">
        <is>
          <t xml:space="preserve"> Resort Freeride</t>
        </is>
      </c>
      <c r="AD1184" s="11" t="inlineStr">
        <is>
          <t xml:space="preserve"> Touring</t>
        </is>
      </c>
      <c r="AE1184" s="13" t="n"/>
      <c r="AF1184" s="13" t="n"/>
      <c r="AG1184" s="13" t="n"/>
    </row>
    <row r="1185">
      <c r="A1185" s="9" t="inlineStr">
        <is>
          <t>21/22</t>
        </is>
      </c>
      <c r="B1185" s="10" t="inlineStr">
        <is>
          <t xml:space="preserve"> Völkl</t>
        </is>
      </c>
      <c r="C1185" s="11" t="inlineStr">
        <is>
          <t>Blaze 94 W</t>
        </is>
      </c>
      <c r="D1185" s="13" t="n">
        <v>158</v>
      </c>
      <c r="E1185" s="11" t="inlineStr">
        <is>
          <t xml:space="preserve"> Women's</t>
        </is>
      </c>
      <c r="F1185" s="13" t="n">
        <v>158</v>
      </c>
      <c r="G1185" s="13" t="n">
        <v>159.7</v>
      </c>
      <c r="H1185" s="13" t="n">
        <v>81</v>
      </c>
      <c r="I1185" s="13" t="n">
        <v>136</v>
      </c>
      <c r="J1185" s="13" t="n">
        <v>133</v>
      </c>
      <c r="K1185" s="13" t="n">
        <v>93</v>
      </c>
      <c r="L1185" s="13" t="n">
        <v>115</v>
      </c>
      <c r="M1185" s="13" t="n">
        <v>14</v>
      </c>
      <c r="N1185" s="13" t="n">
        <v>1399</v>
      </c>
      <c r="O1185" s="13" t="n">
        <v>1.21</v>
      </c>
      <c r="P1185" s="13" t="n">
        <v>1689</v>
      </c>
      <c r="Q1185" s="13" t="n">
        <v>166</v>
      </c>
      <c r="R1185" s="13" t="n">
        <v>80</v>
      </c>
      <c r="S1185" s="13" t="n">
        <v>51</v>
      </c>
      <c r="T1185" s="13" t="n">
        <v>455</v>
      </c>
      <c r="U1185" s="13" t="n">
        <v>22</v>
      </c>
      <c r="V1185" s="13" t="n">
        <v>331</v>
      </c>
      <c r="W1185" s="13" t="n">
        <v>0.431</v>
      </c>
      <c r="X1185" s="13" t="n">
        <v>137</v>
      </c>
      <c r="Y1185" s="13" t="n">
        <v>103</v>
      </c>
      <c r="Z1185" s="13" t="n">
        <v>318</v>
      </c>
      <c r="AA1185" s="13" t="n">
        <v>2</v>
      </c>
      <c r="AB1185" s="13" t="n">
        <v>11.5</v>
      </c>
      <c r="AC1185" s="11" t="inlineStr">
        <is>
          <t xml:space="preserve"> Resort Freeride</t>
        </is>
      </c>
      <c r="AD1185" s="11" t="inlineStr">
        <is>
          <t xml:space="preserve"> Touring</t>
        </is>
      </c>
      <c r="AE1185" s="13" t="n"/>
      <c r="AF1185" s="13" t="n"/>
      <c r="AG1185" s="13" t="n"/>
    </row>
    <row r="1186">
      <c r="A1186" s="9" t="inlineStr">
        <is>
          <t>21/22</t>
        </is>
      </c>
      <c r="B1186" s="10" t="inlineStr">
        <is>
          <t xml:space="preserve"> Völkl</t>
        </is>
      </c>
      <c r="C1186" s="11" t="inlineStr">
        <is>
          <t>Blaze 94 W</t>
        </is>
      </c>
      <c r="D1186" s="13" t="n">
        <v>165</v>
      </c>
      <c r="E1186" s="11" t="inlineStr">
        <is>
          <t xml:space="preserve"> Women's</t>
        </is>
      </c>
      <c r="F1186" s="13" t="n">
        <v>165</v>
      </c>
      <c r="G1186" s="13" t="n">
        <v>164.5</v>
      </c>
      <c r="H1186" s="13" t="n">
        <v>75</v>
      </c>
      <c r="I1186" s="13" t="n">
        <v>140</v>
      </c>
      <c r="J1186" s="13" t="n">
        <v>133</v>
      </c>
      <c r="K1186" s="13" t="n">
        <v>93</v>
      </c>
      <c r="L1186" s="13" t="n">
        <v>115</v>
      </c>
      <c r="M1186" s="13" t="n">
        <v>15.1</v>
      </c>
      <c r="N1186" s="13" t="n">
        <v>1458</v>
      </c>
      <c r="O1186" s="13" t="n">
        <v>1.19</v>
      </c>
      <c r="P1186" s="13" t="n">
        <v>1740</v>
      </c>
      <c r="Q1186" s="13" t="n">
        <v>177</v>
      </c>
      <c r="R1186" s="13" t="n">
        <v>86</v>
      </c>
      <c r="S1186" s="13" t="n">
        <v>53</v>
      </c>
      <c r="T1186" s="13" t="n">
        <v>532</v>
      </c>
      <c r="U1186" s="13" t="n">
        <v>23</v>
      </c>
      <c r="V1186" s="13" t="n">
        <v>360</v>
      </c>
      <c r="W1186" s="13" t="n">
        <v>0.429</v>
      </c>
      <c r="X1186" s="13" t="n">
        <v>140</v>
      </c>
      <c r="Y1186" s="13" t="n">
        <v>101</v>
      </c>
      <c r="Z1186" s="13" t="n">
        <v>391</v>
      </c>
      <c r="AA1186" s="13" t="n">
        <v>1</v>
      </c>
      <c r="AB1186" s="13" t="n">
        <v>11.9</v>
      </c>
      <c r="AC1186" s="11" t="inlineStr">
        <is>
          <t xml:space="preserve"> Resort Freeride</t>
        </is>
      </c>
      <c r="AD1186" s="11" t="inlineStr">
        <is>
          <t xml:space="preserve"> Touring</t>
        </is>
      </c>
      <c r="AE1186" s="13" t="n"/>
      <c r="AF1186" s="13" t="n"/>
      <c r="AG1186" s="13" t="n"/>
    </row>
    <row r="1187">
      <c r="A1187" s="9" t="inlineStr">
        <is>
          <t>21/22</t>
        </is>
      </c>
      <c r="B1187" s="10" t="inlineStr">
        <is>
          <t xml:space="preserve"> Völkl</t>
        </is>
      </c>
      <c r="C1187" s="11" t="inlineStr">
        <is>
          <t>Blaze 94 W</t>
        </is>
      </c>
      <c r="D1187" s="13" t="n">
        <v>172</v>
      </c>
      <c r="E1187" s="11" t="inlineStr">
        <is>
          <t xml:space="preserve"> Women's</t>
        </is>
      </c>
      <c r="F1187" s="13" t="n">
        <v>172</v>
      </c>
      <c r="G1187" s="13" t="n">
        <v>171.9</v>
      </c>
      <c r="H1187" s="13" t="n">
        <v>70</v>
      </c>
      <c r="I1187" s="13" t="n">
        <v>148</v>
      </c>
      <c r="J1187" s="13" t="n">
        <v>133</v>
      </c>
      <c r="K1187" s="13" t="n">
        <v>93</v>
      </c>
      <c r="L1187" s="13" t="n">
        <v>115</v>
      </c>
      <c r="M1187" s="13" t="n">
        <v>16.8</v>
      </c>
      <c r="N1187" s="13" t="n">
        <v>1508</v>
      </c>
      <c r="O1187" s="13" t="n">
        <v>1.21</v>
      </c>
      <c r="P1187" s="13" t="n">
        <v>1817</v>
      </c>
      <c r="Q1187" s="13" t="n">
        <v>164</v>
      </c>
      <c r="R1187" s="13" t="n">
        <v>81</v>
      </c>
      <c r="S1187" s="13" t="n">
        <v>53</v>
      </c>
      <c r="T1187" s="13" t="n">
        <v>589</v>
      </c>
      <c r="U1187" s="13" t="n">
        <v>23</v>
      </c>
      <c r="V1187" s="13" t="n">
        <v>432</v>
      </c>
      <c r="W1187" s="13" t="n">
        <v>0.437</v>
      </c>
      <c r="X1187" s="13" t="n">
        <v>136</v>
      </c>
      <c r="Y1187" s="13" t="n">
        <v>104</v>
      </c>
      <c r="Z1187" s="13" t="n">
        <v>453</v>
      </c>
      <c r="AA1187" s="13" t="n">
        <v>1</v>
      </c>
      <c r="AB1187" s="13" t="n">
        <v>11</v>
      </c>
      <c r="AC1187" s="11" t="inlineStr">
        <is>
          <t xml:space="preserve"> Resort Freeride</t>
        </is>
      </c>
      <c r="AD1187" s="11" t="inlineStr">
        <is>
          <t xml:space="preserve"> Touring</t>
        </is>
      </c>
      <c r="AE1187" s="13" t="n"/>
      <c r="AF1187" s="13" t="n"/>
      <c r="AG1187" s="13" t="n"/>
    </row>
    <row r="1188">
      <c r="A1188" s="9" t="inlineStr">
        <is>
          <t>21/22</t>
        </is>
      </c>
      <c r="B1188" s="10" t="inlineStr">
        <is>
          <t xml:space="preserve"> Völkl</t>
        </is>
      </c>
      <c r="C1188" s="11" t="inlineStr">
        <is>
          <t>BMT109</t>
        </is>
      </c>
      <c r="D1188" s="13" t="n">
        <v>186</v>
      </c>
      <c r="E1188" s="11" t="inlineStr">
        <is>
          <t xml:space="preserve"> Unisex</t>
        </is>
      </c>
      <c r="F1188" s="13" t="n">
        <v>186</v>
      </c>
      <c r="G1188" s="13" t="n">
        <v>187.2</v>
      </c>
      <c r="H1188" s="13" t="n">
        <v>0</v>
      </c>
      <c r="I1188" s="13" t="n">
        <v>146</v>
      </c>
      <c r="J1188" s="13" t="n">
        <v>133</v>
      </c>
      <c r="K1188" s="13" t="n">
        <v>108</v>
      </c>
      <c r="L1188" s="13" t="n">
        <v>118</v>
      </c>
      <c r="M1188" s="13" t="n">
        <v>27.1</v>
      </c>
      <c r="N1188" s="13" t="n">
        <v>1741</v>
      </c>
      <c r="O1188" s="13" t="n">
        <v>1.25</v>
      </c>
      <c r="P1188" s="13" t="n">
        <v>2170</v>
      </c>
      <c r="Q1188" s="13" t="n">
        <v>207</v>
      </c>
      <c r="R1188" s="13" t="n">
        <v>138</v>
      </c>
      <c r="S1188" s="13" t="n">
        <v>52</v>
      </c>
      <c r="T1188" s="13" t="n">
        <v>1038</v>
      </c>
      <c r="U1188" s="13" t="n">
        <v>28</v>
      </c>
      <c r="V1188" s="13" t="n">
        <v>834</v>
      </c>
      <c r="W1188" s="13" t="n">
        <v>0.528</v>
      </c>
      <c r="X1188" s="13" t="n">
        <v>205</v>
      </c>
      <c r="Y1188" s="13" t="n">
        <v>210</v>
      </c>
      <c r="Z1188" s="13" t="n">
        <v>833</v>
      </c>
      <c r="AA1188" s="13" t="n">
        <v>-6</v>
      </c>
      <c r="AB1188" s="13" t="n">
        <v>10.2</v>
      </c>
      <c r="AC1188" s="11" t="inlineStr">
        <is>
          <t xml:space="preserve"> Powder</t>
        </is>
      </c>
      <c r="AD1188" s="11" t="inlineStr">
        <is>
          <t xml:space="preserve"> Touring</t>
        </is>
      </c>
      <c r="AE1188" s="13" t="n"/>
      <c r="AF1188" s="13" t="n"/>
      <c r="AG1188" s="13" t="n"/>
    </row>
    <row r="1189">
      <c r="A1189" s="9" t="inlineStr">
        <is>
          <t>21/22</t>
        </is>
      </c>
      <c r="B1189" s="10" t="inlineStr">
        <is>
          <t xml:space="preserve"> Völkl</t>
        </is>
      </c>
      <c r="C1189" s="11" t="inlineStr">
        <is>
          <t>Deacon 79</t>
        </is>
      </c>
      <c r="D1189" s="13" t="n">
        <v>170</v>
      </c>
      <c r="E1189" s="11" t="inlineStr">
        <is>
          <t xml:space="preserve"> Unisex</t>
        </is>
      </c>
      <c r="F1189" s="13" t="n">
        <v>170</v>
      </c>
      <c r="G1189" s="13" t="n">
        <v>169.3</v>
      </c>
      <c r="H1189" s="13" t="n">
        <v>144</v>
      </c>
      <c r="I1189" s="13" t="n">
        <v>157</v>
      </c>
      <c r="J1189" s="13" t="n">
        <v>128</v>
      </c>
      <c r="K1189" s="13" t="n">
        <v>78</v>
      </c>
      <c r="L1189" s="13" t="n">
        <v>108</v>
      </c>
      <c r="M1189" s="13" t="n">
        <v>15.5</v>
      </c>
      <c r="N1189" s="13" t="n">
        <v>1717</v>
      </c>
      <c r="O1189" s="13" t="n">
        <v>0.91</v>
      </c>
      <c r="P1189" s="13" t="n">
        <v>1568</v>
      </c>
      <c r="Q1189" s="13" t="n">
        <v>189</v>
      </c>
      <c r="R1189" s="13" t="n">
        <v>73</v>
      </c>
      <c r="S1189" s="13" t="n">
        <v>35</v>
      </c>
      <c r="T1189" s="13" t="n">
        <v>174</v>
      </c>
      <c r="U1189" s="13" t="n">
        <v>5</v>
      </c>
      <c r="V1189" s="13" t="n">
        <v>83</v>
      </c>
      <c r="W1189" s="13" t="n">
        <v>0.136</v>
      </c>
      <c r="X1189" s="13" t="n">
        <v>69</v>
      </c>
      <c r="Y1189" s="13" t="n">
        <v>51</v>
      </c>
      <c r="Z1189" s="13" t="n">
        <v>105</v>
      </c>
      <c r="AA1189" s="13" t="n">
        <v>10</v>
      </c>
      <c r="AB1189" s="13" t="n">
        <v>11.4</v>
      </c>
      <c r="AC1189" s="11" t="inlineStr">
        <is>
          <t xml:space="preserve"> On-Piste Carving</t>
        </is>
      </c>
      <c r="AD1189" s="13" t="n"/>
      <c r="AE1189" s="13" t="n"/>
      <c r="AF1189" s="13" t="n"/>
      <c r="AG1189" s="13" t="n"/>
    </row>
    <row r="1190">
      <c r="A1190" s="9" t="inlineStr">
        <is>
          <t>21/22</t>
        </is>
      </c>
      <c r="B1190" s="10" t="inlineStr">
        <is>
          <t xml:space="preserve"> Völkl</t>
        </is>
      </c>
      <c r="C1190" s="11" t="inlineStr">
        <is>
          <t>Deacon 79</t>
        </is>
      </c>
      <c r="D1190" s="13" t="n">
        <v>177</v>
      </c>
      <c r="E1190" s="11" t="inlineStr">
        <is>
          <t xml:space="preserve"> Unisex</t>
        </is>
      </c>
      <c r="F1190" s="13" t="n">
        <v>177</v>
      </c>
      <c r="G1190" s="13" t="n">
        <v>177</v>
      </c>
      <c r="H1190" s="13" t="n">
        <v>158</v>
      </c>
      <c r="I1190" s="13" t="n">
        <v>165</v>
      </c>
      <c r="J1190" s="13" t="n">
        <v>128</v>
      </c>
      <c r="K1190" s="13" t="n">
        <v>78</v>
      </c>
      <c r="L1190" s="13" t="n">
        <v>108</v>
      </c>
      <c r="M1190" s="13" t="n">
        <v>17.1</v>
      </c>
      <c r="N1190" s="13" t="n">
        <v>1831</v>
      </c>
      <c r="O1190" s="13" t="n">
        <v>0.89</v>
      </c>
      <c r="P1190" s="13" t="n">
        <v>1637</v>
      </c>
      <c r="Q1190" s="13" t="n">
        <v>215</v>
      </c>
      <c r="R1190" s="13" t="n">
        <v>79</v>
      </c>
      <c r="S1190" s="13" t="n">
        <v>34</v>
      </c>
      <c r="T1190" s="13" t="n">
        <v>126</v>
      </c>
      <c r="U1190" s="13" t="n">
        <v>5</v>
      </c>
      <c r="V1190" s="13" t="n">
        <v>65</v>
      </c>
      <c r="W1190" s="13" t="n">
        <v>0.159</v>
      </c>
      <c r="X1190" s="13" t="n">
        <v>69</v>
      </c>
      <c r="Y1190" s="13" t="n">
        <v>50</v>
      </c>
      <c r="Z1190" s="13" t="n">
        <v>57</v>
      </c>
      <c r="AA1190" s="13" t="n">
        <v>7</v>
      </c>
      <c r="AB1190" s="13" t="n">
        <v>11.6</v>
      </c>
      <c r="AC1190" s="11" t="inlineStr">
        <is>
          <t xml:space="preserve"> On-Piste Carving</t>
        </is>
      </c>
      <c r="AD1190" s="13" t="n"/>
      <c r="AE1190" s="13" t="n"/>
      <c r="AF1190" s="13" t="n"/>
      <c r="AG1190" s="13" t="n"/>
    </row>
    <row r="1191">
      <c r="A1191" s="9" t="inlineStr">
        <is>
          <t>21/22</t>
        </is>
      </c>
      <c r="B1191" s="10" t="inlineStr">
        <is>
          <t xml:space="preserve"> Völkl</t>
        </is>
      </c>
      <c r="C1191" s="11" t="inlineStr">
        <is>
          <t>Deacon 80</t>
        </is>
      </c>
      <c r="D1191" s="13" t="n">
        <v>167</v>
      </c>
      <c r="E1191" s="11" t="inlineStr">
        <is>
          <t xml:space="preserve"> Unisex</t>
        </is>
      </c>
      <c r="F1191" s="13" t="n">
        <v>167</v>
      </c>
      <c r="G1191" s="13" t="n">
        <v>166.9</v>
      </c>
      <c r="H1191" s="13" t="n">
        <v>147</v>
      </c>
      <c r="I1191" s="13" t="n">
        <v>153</v>
      </c>
      <c r="J1191" s="13" t="n">
        <v>127</v>
      </c>
      <c r="K1191" s="13" t="n">
        <v>79</v>
      </c>
      <c r="L1191" s="13" t="n">
        <v>110</v>
      </c>
      <c r="M1191" s="13" t="n">
        <v>14.4</v>
      </c>
      <c r="N1191" s="13" t="n">
        <v>1855</v>
      </c>
      <c r="O1191" s="13" t="n">
        <v>0.85</v>
      </c>
      <c r="P1191" s="13" t="n">
        <v>1579</v>
      </c>
      <c r="Q1191" s="13" t="n">
        <v>214</v>
      </c>
      <c r="R1191" s="13" t="n">
        <v>66</v>
      </c>
      <c r="S1191" s="13" t="n">
        <v>40</v>
      </c>
      <c r="T1191" s="13" t="n">
        <v>134</v>
      </c>
      <c r="U1191" s="13" t="n">
        <v>7</v>
      </c>
      <c r="V1191" s="13" t="n">
        <v>61</v>
      </c>
      <c r="W1191" s="13" t="n">
        <v>0.175</v>
      </c>
      <c r="X1191" s="13" t="n">
        <v>73</v>
      </c>
      <c r="Y1191" s="13" t="n">
        <v>63</v>
      </c>
      <c r="Z1191" s="13" t="n">
        <v>61</v>
      </c>
      <c r="AA1191" s="13" t="n">
        <v>4</v>
      </c>
      <c r="AB1191" s="13" t="n">
        <v>10</v>
      </c>
      <c r="AC1191" s="11" t="inlineStr">
        <is>
          <t xml:space="preserve"> On-Piste Carving</t>
        </is>
      </c>
      <c r="AD1191" s="13" t="n"/>
      <c r="AE1191" s="13" t="n"/>
      <c r="AF1191" s="13" t="n"/>
      <c r="AG1191" s="13" t="n"/>
    </row>
    <row r="1192">
      <c r="A1192" s="9" t="inlineStr">
        <is>
          <t>21/22</t>
        </is>
      </c>
      <c r="B1192" s="10" t="inlineStr">
        <is>
          <t xml:space="preserve"> Völkl</t>
        </is>
      </c>
      <c r="C1192" s="11" t="inlineStr">
        <is>
          <t>Deacon 80</t>
        </is>
      </c>
      <c r="D1192" s="13" t="n">
        <v>172</v>
      </c>
      <c r="E1192" s="11" t="inlineStr">
        <is>
          <t xml:space="preserve"> Unisex</t>
        </is>
      </c>
      <c r="F1192" s="13" t="n">
        <v>172</v>
      </c>
      <c r="G1192" s="13" t="n">
        <v>171.9</v>
      </c>
      <c r="H1192" s="13" t="n">
        <v>152</v>
      </c>
      <c r="I1192" s="13" t="n">
        <v>159</v>
      </c>
      <c r="J1192" s="13" t="n">
        <v>127</v>
      </c>
      <c r="K1192" s="13" t="n">
        <v>79</v>
      </c>
      <c r="L1192" s="13" t="n">
        <v>110</v>
      </c>
      <c r="M1192" s="13" t="n">
        <v>15.5</v>
      </c>
      <c r="N1192" s="13" t="n">
        <v>1962</v>
      </c>
      <c r="O1192" s="13" t="n">
        <v>0.83</v>
      </c>
      <c r="P1192" s="13" t="n">
        <v>1626</v>
      </c>
      <c r="Q1192" s="13" t="n">
        <v>219</v>
      </c>
      <c r="R1192" s="13" t="n">
        <v>68</v>
      </c>
      <c r="S1192" s="13" t="n">
        <v>40</v>
      </c>
      <c r="T1192" s="13" t="n">
        <v>139</v>
      </c>
      <c r="U1192" s="13" t="n">
        <v>7</v>
      </c>
      <c r="V1192" s="13" t="n">
        <v>65</v>
      </c>
      <c r="W1192" s="13" t="n">
        <v>0.174</v>
      </c>
      <c r="X1192" s="13" t="n">
        <v>71</v>
      </c>
      <c r="Y1192" s="13" t="n">
        <v>62</v>
      </c>
      <c r="Z1192" s="13" t="n">
        <v>67</v>
      </c>
      <c r="AA1192" s="13" t="n">
        <v>5</v>
      </c>
      <c r="AB1192" s="13" t="n">
        <v>10.1</v>
      </c>
      <c r="AC1192" s="11" t="inlineStr">
        <is>
          <t xml:space="preserve"> On-Piste Carving</t>
        </is>
      </c>
      <c r="AD1192" s="13" t="n"/>
      <c r="AE1192" s="13" t="n"/>
      <c r="AF1192" s="13" t="n"/>
      <c r="AG1192" s="13" t="n"/>
    </row>
    <row r="1193">
      <c r="A1193" s="9" t="inlineStr">
        <is>
          <t>21/22</t>
        </is>
      </c>
      <c r="B1193" s="10" t="inlineStr">
        <is>
          <t xml:space="preserve"> Völkl</t>
        </is>
      </c>
      <c r="C1193" s="11" t="inlineStr">
        <is>
          <t>Deacon 80</t>
        </is>
      </c>
      <c r="D1193" s="13" t="n">
        <v>177</v>
      </c>
      <c r="E1193" s="11" t="inlineStr">
        <is>
          <t xml:space="preserve"> Unisex</t>
        </is>
      </c>
      <c r="F1193" s="13" t="n">
        <v>177</v>
      </c>
      <c r="G1193" s="13" t="n">
        <v>176.9</v>
      </c>
      <c r="H1193" s="13" t="n">
        <v>156</v>
      </c>
      <c r="I1193" s="13" t="n">
        <v>163</v>
      </c>
      <c r="J1193" s="13" t="n">
        <v>127</v>
      </c>
      <c r="K1193" s="13" t="n">
        <v>79</v>
      </c>
      <c r="L1193" s="13" t="n">
        <v>110</v>
      </c>
      <c r="M1193" s="13" t="n">
        <v>16.3</v>
      </c>
      <c r="N1193" s="13" t="n">
        <v>2026</v>
      </c>
      <c r="O1193" s="13" t="n">
        <v>0.82</v>
      </c>
      <c r="P1193" s="13" t="n">
        <v>1671</v>
      </c>
      <c r="Q1193" s="13" t="n">
        <v>252</v>
      </c>
      <c r="R1193" s="13" t="n">
        <v>76</v>
      </c>
      <c r="S1193" s="13" t="n">
        <v>40</v>
      </c>
      <c r="T1193" s="13" t="n">
        <v>139</v>
      </c>
      <c r="U1193" s="13" t="n">
        <v>7</v>
      </c>
      <c r="V1193" s="13" t="n">
        <v>69</v>
      </c>
      <c r="W1193" s="13" t="n">
        <v>0.189</v>
      </c>
      <c r="X1193" s="13" t="n">
        <v>70</v>
      </c>
      <c r="Y1193" s="13" t="n">
        <v>64</v>
      </c>
      <c r="Z1193" s="13" t="n">
        <v>69</v>
      </c>
      <c r="AA1193" s="13" t="n">
        <v>5</v>
      </c>
      <c r="AB1193" s="13" t="n">
        <v>10.5</v>
      </c>
      <c r="AC1193" s="11" t="inlineStr">
        <is>
          <t xml:space="preserve"> On-Piste Carving</t>
        </is>
      </c>
      <c r="AD1193" s="13" t="n"/>
      <c r="AE1193" s="13" t="n"/>
      <c r="AF1193" s="13" t="n"/>
      <c r="AG1193" s="13" t="n"/>
    </row>
    <row r="1194">
      <c r="A1194" s="9" t="inlineStr">
        <is>
          <t>21/22</t>
        </is>
      </c>
      <c r="B1194" s="10" t="inlineStr">
        <is>
          <t xml:space="preserve"> Völkl</t>
        </is>
      </c>
      <c r="C1194" s="11" t="inlineStr">
        <is>
          <t>Deacon 84</t>
        </is>
      </c>
      <c r="D1194" s="13" t="n">
        <v>172</v>
      </c>
      <c r="E1194" s="11" t="inlineStr">
        <is>
          <t xml:space="preserve"> Unisex</t>
        </is>
      </c>
      <c r="F1194" s="13" t="n">
        <v>172</v>
      </c>
      <c r="G1194" s="13" t="n">
        <v>171.7</v>
      </c>
      <c r="H1194" s="13" t="n">
        <v>137</v>
      </c>
      <c r="I1194" s="13" t="n">
        <v>158</v>
      </c>
      <c r="J1194" s="13" t="n">
        <v>131</v>
      </c>
      <c r="K1194" s="13" t="n">
        <v>83</v>
      </c>
      <c r="L1194" s="13" t="n">
        <v>114</v>
      </c>
      <c r="M1194" s="13" t="n">
        <v>15.5</v>
      </c>
      <c r="N1194" s="13" t="n">
        <v>1982</v>
      </c>
      <c r="O1194" s="13" t="n">
        <v>0.85</v>
      </c>
      <c r="P1194" s="13" t="n">
        <v>1691</v>
      </c>
      <c r="Q1194" s="13" t="n">
        <v>214</v>
      </c>
      <c r="R1194" s="13" t="n">
        <v>67</v>
      </c>
      <c r="S1194" s="13" t="n">
        <v>42</v>
      </c>
      <c r="T1194" s="13" t="n">
        <v>218</v>
      </c>
      <c r="U1194" s="13" t="n">
        <v>8</v>
      </c>
      <c r="V1194" s="13" t="n">
        <v>128</v>
      </c>
      <c r="W1194" s="13" t="n">
        <v>0.201</v>
      </c>
      <c r="X1194" s="13" t="n">
        <v>73</v>
      </c>
      <c r="Y1194" s="13" t="n">
        <v>62</v>
      </c>
      <c r="Z1194" s="13" t="n">
        <v>145</v>
      </c>
      <c r="AA1194" s="13" t="n">
        <v>4</v>
      </c>
      <c r="AB1194" s="13" t="n">
        <v>11</v>
      </c>
      <c r="AC1194" s="11" t="inlineStr">
        <is>
          <t xml:space="preserve"> Resort Freeride</t>
        </is>
      </c>
      <c r="AD1194" s="13" t="n"/>
      <c r="AE1194" s="13" t="n"/>
      <c r="AF1194" s="13" t="n"/>
      <c r="AG1194" s="13" t="n"/>
    </row>
    <row r="1195">
      <c r="A1195" s="9" t="inlineStr">
        <is>
          <t>21/22</t>
        </is>
      </c>
      <c r="B1195" s="10" t="inlineStr">
        <is>
          <t xml:space="preserve"> Völkl</t>
        </is>
      </c>
      <c r="C1195" s="11" t="inlineStr">
        <is>
          <t xml:space="preserve"> Deacon XTD</t>
        </is>
      </c>
      <c r="D1195" s="13" t="n">
        <v>161</v>
      </c>
      <c r="E1195" s="11" t="inlineStr">
        <is>
          <t xml:space="preserve"> Unisex</t>
        </is>
      </c>
      <c r="F1195" s="13" t="n">
        <v>161</v>
      </c>
      <c r="G1195" s="13" t="n">
        <v>160.5</v>
      </c>
      <c r="H1195" s="13" t="n">
        <v>141</v>
      </c>
      <c r="I1195" s="13" t="n">
        <v>148</v>
      </c>
      <c r="J1195" s="13" t="n">
        <v>123</v>
      </c>
      <c r="K1195" s="13" t="n">
        <v>75</v>
      </c>
      <c r="L1195" s="13" t="n">
        <v>104</v>
      </c>
      <c r="M1195" s="13" t="n">
        <v>14.1</v>
      </c>
      <c r="N1195" s="13" t="n">
        <v>1745</v>
      </c>
      <c r="O1195" s="13" t="n">
        <v>0.82</v>
      </c>
      <c r="P1195" s="13" t="n">
        <v>1428</v>
      </c>
      <c r="Q1195" s="13" t="n">
        <v>159</v>
      </c>
      <c r="R1195" s="13" t="n">
        <v>76</v>
      </c>
      <c r="S1195" s="13" t="n">
        <v>35</v>
      </c>
      <c r="T1195" s="13" t="n">
        <v>144</v>
      </c>
      <c r="U1195" s="13" t="n">
        <v>5</v>
      </c>
      <c r="V1195" s="13" t="n">
        <v>54</v>
      </c>
      <c r="W1195" s="13" t="n">
        <v>0.129</v>
      </c>
      <c r="X1195" s="13" t="n">
        <v>74</v>
      </c>
      <c r="Y1195" s="13" t="n">
        <v>51</v>
      </c>
      <c r="Z1195" s="13" t="n">
        <v>71</v>
      </c>
      <c r="AA1195" s="13" t="n">
        <v>8</v>
      </c>
      <c r="AB1195" s="13" t="n">
        <v>12.7</v>
      </c>
      <c r="AC1195" s="11" t="inlineStr">
        <is>
          <t xml:space="preserve"> On-Piste Carving</t>
        </is>
      </c>
      <c r="AD1195" s="13" t="n"/>
      <c r="AE1195" s="13" t="n"/>
      <c r="AF1195" s="13" t="n"/>
      <c r="AG1195" s="13" t="n"/>
    </row>
    <row r="1196">
      <c r="A1196" s="9" t="inlineStr">
        <is>
          <t>21/22</t>
        </is>
      </c>
      <c r="B1196" s="10" t="inlineStr">
        <is>
          <t xml:space="preserve"> Völkl</t>
        </is>
      </c>
      <c r="C1196" s="11" t="inlineStr">
        <is>
          <t xml:space="preserve"> Deacon XTD</t>
        </is>
      </c>
      <c r="D1196" s="13" t="n">
        <v>168</v>
      </c>
      <c r="E1196" s="11" t="inlineStr">
        <is>
          <t xml:space="preserve"> Unisex</t>
        </is>
      </c>
      <c r="F1196" s="13" t="n">
        <v>168</v>
      </c>
      <c r="G1196" s="13" t="n">
        <v>168.1</v>
      </c>
      <c r="H1196" s="13" t="n">
        <v>148</v>
      </c>
      <c r="I1196" s="13" t="n">
        <v>156</v>
      </c>
      <c r="J1196" s="13" t="n">
        <v>123</v>
      </c>
      <c r="K1196" s="13" t="n">
        <v>75</v>
      </c>
      <c r="L1196" s="13" t="n">
        <v>104</v>
      </c>
      <c r="M1196" s="13" t="n">
        <v>15.5</v>
      </c>
      <c r="N1196" s="13" t="n">
        <v>1802</v>
      </c>
      <c r="O1196" s="13" t="n">
        <v>0.83</v>
      </c>
      <c r="P1196" s="13" t="n">
        <v>1497</v>
      </c>
      <c r="Q1196" s="13" t="n">
        <v>176</v>
      </c>
      <c r="R1196" s="13" t="n">
        <v>76</v>
      </c>
      <c r="S1196" s="13" t="n">
        <v>36</v>
      </c>
      <c r="T1196" s="13" t="n">
        <v>147</v>
      </c>
      <c r="U1196" s="13" t="n">
        <v>5</v>
      </c>
      <c r="V1196" s="13" t="n">
        <v>54</v>
      </c>
      <c r="W1196" s="13" t="n">
        <v>0.127</v>
      </c>
      <c r="X1196" s="13" t="n">
        <v>75</v>
      </c>
      <c r="Y1196" s="13" t="n">
        <v>51</v>
      </c>
      <c r="Z1196" s="13" t="n">
        <v>72</v>
      </c>
      <c r="AA1196" s="13" t="n">
        <v>8</v>
      </c>
      <c r="AB1196" s="13" t="n">
        <v>13.1</v>
      </c>
      <c r="AC1196" s="11" t="inlineStr">
        <is>
          <t xml:space="preserve"> On-Piste Carving</t>
        </is>
      </c>
      <c r="AD1196" s="13" t="n"/>
      <c r="AE1196" s="13" t="n"/>
      <c r="AF1196" s="13" t="n"/>
      <c r="AG1196" s="13" t="n"/>
    </row>
    <row r="1197">
      <c r="A1197" s="9" t="inlineStr">
        <is>
          <t>21/22</t>
        </is>
      </c>
      <c r="B1197" s="10" t="inlineStr">
        <is>
          <t xml:space="preserve"> Völkl</t>
        </is>
      </c>
      <c r="C1197" s="11" t="inlineStr">
        <is>
          <t xml:space="preserve"> Deacon XTD</t>
        </is>
      </c>
      <c r="D1197" s="13" t="n">
        <v>175</v>
      </c>
      <c r="E1197" s="11" t="inlineStr">
        <is>
          <t xml:space="preserve"> Unisex</t>
        </is>
      </c>
      <c r="F1197" s="13" t="n">
        <v>175</v>
      </c>
      <c r="G1197" s="13" t="n">
        <v>175.5</v>
      </c>
      <c r="H1197" s="13" t="n">
        <v>156</v>
      </c>
      <c r="I1197" s="13" t="n">
        <v>163</v>
      </c>
      <c r="J1197" s="13" t="n">
        <v>123</v>
      </c>
      <c r="K1197" s="13" t="n">
        <v>75</v>
      </c>
      <c r="L1197" s="13" t="n">
        <v>104</v>
      </c>
      <c r="M1197" s="13" t="n">
        <v>17</v>
      </c>
      <c r="N1197" s="13" t="n">
        <v>1931</v>
      </c>
      <c r="O1197" s="13" t="n">
        <v>0.8100000000000001</v>
      </c>
      <c r="P1197" s="13" t="n">
        <v>1565</v>
      </c>
      <c r="Q1197" s="13" t="n">
        <v>204</v>
      </c>
      <c r="R1197" s="13" t="n">
        <v>87</v>
      </c>
      <c r="S1197" s="13" t="n">
        <v>35</v>
      </c>
      <c r="T1197" s="13" t="n">
        <v>141</v>
      </c>
      <c r="U1197" s="13" t="n">
        <v>5</v>
      </c>
      <c r="V1197" s="13" t="n">
        <v>52</v>
      </c>
      <c r="W1197" s="13" t="n">
        <v>0.127</v>
      </c>
      <c r="X1197" s="13" t="n">
        <v>73</v>
      </c>
      <c r="Y1197" s="13" t="n">
        <v>49</v>
      </c>
      <c r="Z1197" s="13" t="n">
        <v>67</v>
      </c>
      <c r="AA1197" s="13" t="n">
        <v>9</v>
      </c>
      <c r="AB1197" s="13" t="n">
        <v>12.7</v>
      </c>
      <c r="AC1197" s="11" t="inlineStr">
        <is>
          <t xml:space="preserve"> On-Piste Carving</t>
        </is>
      </c>
      <c r="AD1197" s="13" t="n"/>
      <c r="AE1197" s="13" t="n"/>
      <c r="AF1197" s="13" t="n"/>
      <c r="AG1197" s="13" t="n"/>
    </row>
    <row r="1198">
      <c r="A1198" s="9" t="inlineStr">
        <is>
          <t>21/22</t>
        </is>
      </c>
      <c r="B1198" s="10" t="inlineStr">
        <is>
          <t xml:space="preserve"> Völkl</t>
        </is>
      </c>
      <c r="C1198" s="11" t="inlineStr">
        <is>
          <t>Flair 75</t>
        </is>
      </c>
      <c r="D1198" s="13" t="n">
        <v>147</v>
      </c>
      <c r="E1198" s="11" t="inlineStr">
        <is>
          <t xml:space="preserve"> Women's</t>
        </is>
      </c>
      <c r="F1198" s="13" t="n">
        <v>147</v>
      </c>
      <c r="G1198" s="13" t="n">
        <v>148</v>
      </c>
      <c r="H1198" s="13" t="n">
        <v>130</v>
      </c>
      <c r="I1198" s="13" t="n">
        <v>136</v>
      </c>
      <c r="J1198" s="13" t="n">
        <v>125</v>
      </c>
      <c r="K1198" s="13" t="n">
        <v>74</v>
      </c>
      <c r="L1198" s="13" t="n">
        <v>104</v>
      </c>
      <c r="M1198" s="13" t="n">
        <v>11.3</v>
      </c>
      <c r="N1198" s="13" t="n">
        <v>1633</v>
      </c>
      <c r="O1198" s="13" t="n">
        <v>0.8100000000000001</v>
      </c>
      <c r="P1198" s="13" t="n">
        <v>1324</v>
      </c>
      <c r="Q1198" s="13" t="n">
        <v>158</v>
      </c>
      <c r="R1198" s="13" t="n">
        <v>61</v>
      </c>
      <c r="S1198" s="13" t="n">
        <v>33</v>
      </c>
      <c r="T1198" s="13" t="n">
        <v>124</v>
      </c>
      <c r="U1198" s="13" t="n">
        <v>5</v>
      </c>
      <c r="V1198" s="13" t="n">
        <v>53</v>
      </c>
      <c r="W1198" s="13" t="n">
        <v>0.163</v>
      </c>
      <c r="X1198" s="13" t="n">
        <v>65</v>
      </c>
      <c r="Y1198" s="13" t="n">
        <v>57</v>
      </c>
      <c r="Z1198" s="13" t="n">
        <v>59</v>
      </c>
      <c r="AA1198" s="13" t="n">
        <v>6</v>
      </c>
      <c r="AB1198" s="13" t="n">
        <v>11.4</v>
      </c>
      <c r="AC1198" s="11" t="inlineStr">
        <is>
          <t xml:space="preserve"> On-Piste Carving</t>
        </is>
      </c>
      <c r="AD1198" s="13" t="n"/>
      <c r="AE1198" s="13" t="n"/>
      <c r="AF1198" s="13" t="n"/>
      <c r="AG1198" s="13" t="n"/>
    </row>
    <row r="1199">
      <c r="A1199" s="9" t="inlineStr">
        <is>
          <t>21/22</t>
        </is>
      </c>
      <c r="B1199" s="10" t="inlineStr">
        <is>
          <t xml:space="preserve"> Völkl</t>
        </is>
      </c>
      <c r="C1199" s="11" t="inlineStr">
        <is>
          <t>Flair 75</t>
        </is>
      </c>
      <c r="D1199" s="13" t="n">
        <v>154</v>
      </c>
      <c r="E1199" s="11" t="inlineStr">
        <is>
          <t xml:space="preserve"> Women's</t>
        </is>
      </c>
      <c r="F1199" s="13" t="n">
        <v>154</v>
      </c>
      <c r="G1199" s="13" t="n">
        <v>153</v>
      </c>
      <c r="H1199" s="13" t="n">
        <v>135</v>
      </c>
      <c r="I1199" s="13" t="n">
        <v>140</v>
      </c>
      <c r="J1199" s="13" t="n">
        <v>125</v>
      </c>
      <c r="K1199" s="13" t="n">
        <v>74</v>
      </c>
      <c r="L1199" s="13" t="n">
        <v>104</v>
      </c>
      <c r="M1199" s="13" t="n">
        <v>12.2</v>
      </c>
      <c r="N1199" s="13" t="n">
        <v>1683</v>
      </c>
      <c r="O1199" s="13" t="n">
        <v>0.8100000000000001</v>
      </c>
      <c r="P1199" s="13" t="n">
        <v>1365</v>
      </c>
      <c r="Q1199" s="13" t="n">
        <v>166</v>
      </c>
      <c r="R1199" s="13" t="n">
        <v>63</v>
      </c>
      <c r="S1199" s="13" t="n">
        <v>33</v>
      </c>
      <c r="T1199" s="13" t="n">
        <v>122</v>
      </c>
      <c r="U1199" s="13" t="n">
        <v>5</v>
      </c>
      <c r="V1199" s="13" t="n">
        <v>54</v>
      </c>
      <c r="W1199" s="13" t="n">
        <v>0.136</v>
      </c>
      <c r="X1199" s="13" t="n">
        <v>69</v>
      </c>
      <c r="Y1199" s="13" t="n">
        <v>59</v>
      </c>
      <c r="Z1199" s="13" t="n">
        <v>53</v>
      </c>
      <c r="AA1199" s="13" t="n">
        <v>7</v>
      </c>
      <c r="AB1199" s="13" t="n">
        <v>11.4</v>
      </c>
      <c r="AC1199" s="11" t="inlineStr">
        <is>
          <t xml:space="preserve"> On-Piste Carving</t>
        </is>
      </c>
      <c r="AD1199" s="13" t="n"/>
      <c r="AE1199" s="13" t="n"/>
      <c r="AF1199" s="13" t="n"/>
      <c r="AG1199" s="13" t="n"/>
    </row>
    <row r="1200">
      <c r="A1200" s="9" t="inlineStr">
        <is>
          <t>21/22</t>
        </is>
      </c>
      <c r="B1200" s="10" t="inlineStr">
        <is>
          <t xml:space="preserve"> Völkl</t>
        </is>
      </c>
      <c r="C1200" s="11" t="inlineStr">
        <is>
          <t>Flair 75</t>
        </is>
      </c>
      <c r="D1200" s="13" t="n">
        <v>161</v>
      </c>
      <c r="E1200" s="11" t="inlineStr">
        <is>
          <t xml:space="preserve"> Women's</t>
        </is>
      </c>
      <c r="F1200" s="13" t="n">
        <v>161</v>
      </c>
      <c r="G1200" s="13" t="n">
        <v>160.5</v>
      </c>
      <c r="H1200" s="13" t="n">
        <v>141</v>
      </c>
      <c r="I1200" s="13" t="n">
        <v>148</v>
      </c>
      <c r="J1200" s="13" t="n">
        <v>125</v>
      </c>
      <c r="K1200" s="13" t="n">
        <v>74</v>
      </c>
      <c r="L1200" s="13" t="n">
        <v>105</v>
      </c>
      <c r="M1200" s="13" t="n">
        <v>13.6</v>
      </c>
      <c r="N1200" s="13" t="n">
        <v>1793</v>
      </c>
      <c r="O1200" s="13" t="n">
        <v>0.8</v>
      </c>
      <c r="P1200" s="13" t="n">
        <v>1433</v>
      </c>
      <c r="Q1200" s="13" t="n">
        <v>162</v>
      </c>
      <c r="R1200" s="13" t="n">
        <v>69</v>
      </c>
      <c r="S1200" s="13" t="n">
        <v>35</v>
      </c>
      <c r="T1200" s="13" t="n">
        <v>133</v>
      </c>
      <c r="U1200" s="13" t="n">
        <v>5</v>
      </c>
      <c r="V1200" s="13" t="n">
        <v>61</v>
      </c>
      <c r="W1200" s="13" t="n">
        <v>0.147</v>
      </c>
      <c r="X1200" s="13" t="n">
        <v>71</v>
      </c>
      <c r="Y1200" s="13" t="n">
        <v>58</v>
      </c>
      <c r="Z1200" s="13" t="n">
        <v>62</v>
      </c>
      <c r="AA1200" s="13" t="n">
        <v>4</v>
      </c>
      <c r="AB1200" s="13" t="n">
        <v>11.7</v>
      </c>
      <c r="AC1200" s="11" t="inlineStr">
        <is>
          <t xml:space="preserve"> On-Piste Carving</t>
        </is>
      </c>
      <c r="AD1200" s="13" t="n"/>
      <c r="AE1200" s="13" t="n"/>
      <c r="AF1200" s="13" t="n"/>
      <c r="AG1200" s="13" t="n"/>
    </row>
    <row r="1201">
      <c r="A1201" s="9" t="inlineStr">
        <is>
          <t>21/22</t>
        </is>
      </c>
      <c r="B1201" s="10" t="inlineStr">
        <is>
          <t xml:space="preserve"> Völkl</t>
        </is>
      </c>
      <c r="C1201" s="11" t="inlineStr">
        <is>
          <t>Flair 79</t>
        </is>
      </c>
      <c r="D1201" s="13" t="n">
        <v>149</v>
      </c>
      <c r="E1201" s="11" t="inlineStr">
        <is>
          <t xml:space="preserve"> Women's</t>
        </is>
      </c>
      <c r="F1201" s="13" t="n">
        <v>149</v>
      </c>
      <c r="G1201" s="13" t="n">
        <v>149.4</v>
      </c>
      <c r="H1201" s="13" t="n">
        <v>106</v>
      </c>
      <c r="I1201" s="13" t="n">
        <v>138</v>
      </c>
      <c r="J1201" s="13" t="n">
        <v>128</v>
      </c>
      <c r="K1201" s="13" t="n">
        <v>79</v>
      </c>
      <c r="L1201" s="13" t="n">
        <v>109</v>
      </c>
      <c r="M1201" s="13" t="n">
        <v>11.9</v>
      </c>
      <c r="N1201" s="13" t="n">
        <v>1397</v>
      </c>
      <c r="O1201" s="13" t="n">
        <v>1</v>
      </c>
      <c r="P1201" s="13" t="n">
        <v>1393</v>
      </c>
      <c r="Q1201" s="13" t="n">
        <v>140</v>
      </c>
      <c r="R1201" s="13" t="n">
        <v>51</v>
      </c>
      <c r="S1201" s="13" t="n">
        <v>37</v>
      </c>
      <c r="T1201" s="13" t="n">
        <v>229</v>
      </c>
      <c r="U1201" s="13" t="n">
        <v>7</v>
      </c>
      <c r="V1201" s="13" t="n">
        <v>204</v>
      </c>
      <c r="W1201" s="13" t="n">
        <v>0.181</v>
      </c>
      <c r="X1201" s="13" t="n">
        <v>67</v>
      </c>
      <c r="Y1201" s="13" t="n">
        <v>47</v>
      </c>
      <c r="Z1201" s="13" t="n">
        <v>161</v>
      </c>
      <c r="AA1201" s="13" t="n">
        <v>3</v>
      </c>
      <c r="AB1201" s="13" t="n">
        <v>11.4</v>
      </c>
      <c r="AC1201" s="11" t="inlineStr">
        <is>
          <t xml:space="preserve"> Other</t>
        </is>
      </c>
      <c r="AD1201" s="13" t="n"/>
      <c r="AE1201" s="13" t="n"/>
      <c r="AF1201" s="13" t="n"/>
      <c r="AG1201" s="13" t="n"/>
    </row>
    <row r="1202">
      <c r="A1202" s="9" t="inlineStr">
        <is>
          <t>21/22</t>
        </is>
      </c>
      <c r="B1202" s="10" t="inlineStr">
        <is>
          <t xml:space="preserve"> Völkl</t>
        </is>
      </c>
      <c r="C1202" s="11" t="inlineStr">
        <is>
          <t>Flair 79</t>
        </is>
      </c>
      <c r="D1202" s="13" t="n">
        <v>156</v>
      </c>
      <c r="E1202" s="11" t="inlineStr">
        <is>
          <t xml:space="preserve"> Women's</t>
        </is>
      </c>
      <c r="F1202" s="13" t="n">
        <v>156</v>
      </c>
      <c r="G1202" s="13" t="n">
        <v>154.7</v>
      </c>
      <c r="H1202" s="13" t="n">
        <v>136</v>
      </c>
      <c r="I1202" s="13" t="n">
        <v>143</v>
      </c>
      <c r="J1202" s="13" t="n">
        <v>128</v>
      </c>
      <c r="K1202" s="13" t="n">
        <v>79</v>
      </c>
      <c r="L1202" s="13" t="n">
        <v>109</v>
      </c>
      <c r="M1202" s="13" t="n">
        <v>12.8</v>
      </c>
      <c r="N1202" s="13" t="n">
        <v>1452</v>
      </c>
      <c r="O1202" s="13" t="n">
        <v>0.99</v>
      </c>
      <c r="P1202" s="13" t="n">
        <v>1442</v>
      </c>
      <c r="Q1202" s="13" t="n">
        <v>150</v>
      </c>
      <c r="R1202" s="13" t="n">
        <v>62</v>
      </c>
      <c r="S1202" s="13" t="n">
        <v>36</v>
      </c>
      <c r="T1202" s="13" t="n">
        <v>133</v>
      </c>
      <c r="U1202" s="13" t="n">
        <v>5</v>
      </c>
      <c r="V1202" s="13" t="n">
        <v>56</v>
      </c>
      <c r="W1202" s="13" t="n">
        <v>0.146</v>
      </c>
      <c r="X1202" s="13" t="n">
        <v>68</v>
      </c>
      <c r="Y1202" s="13" t="n">
        <v>49</v>
      </c>
      <c r="Z1202" s="13" t="n">
        <v>65</v>
      </c>
      <c r="AA1202" s="13" t="n">
        <v>6</v>
      </c>
      <c r="AB1202" s="13" t="n">
        <v>10.8</v>
      </c>
      <c r="AC1202" s="11" t="inlineStr">
        <is>
          <t xml:space="preserve"> On-Piste Carving</t>
        </is>
      </c>
      <c r="AD1202" s="13" t="n"/>
      <c r="AE1202" s="13" t="n"/>
      <c r="AF1202" s="13" t="n"/>
      <c r="AG1202" s="13" t="n"/>
    </row>
    <row r="1203">
      <c r="A1203" s="9" t="inlineStr">
        <is>
          <t>21/22</t>
        </is>
      </c>
      <c r="B1203" s="10" t="inlineStr">
        <is>
          <t xml:space="preserve"> Völkl</t>
        </is>
      </c>
      <c r="C1203" s="11" t="inlineStr">
        <is>
          <t>Flair 79</t>
        </is>
      </c>
      <c r="D1203" s="13" t="n">
        <v>163</v>
      </c>
      <c r="E1203" s="11" t="inlineStr">
        <is>
          <t xml:space="preserve"> Women's</t>
        </is>
      </c>
      <c r="F1203" s="13" t="n">
        <v>163</v>
      </c>
      <c r="G1203" s="13" t="n">
        <v>162.1</v>
      </c>
      <c r="H1203" s="13" t="n">
        <v>131</v>
      </c>
      <c r="I1203" s="13" t="n">
        <v>150</v>
      </c>
      <c r="J1203" s="13" t="n">
        <v>128</v>
      </c>
      <c r="K1203" s="13" t="n">
        <v>79</v>
      </c>
      <c r="L1203" s="13" t="n">
        <v>109</v>
      </c>
      <c r="M1203" s="13" t="n">
        <v>14.1</v>
      </c>
      <c r="N1203" s="13" t="n">
        <v>1630</v>
      </c>
      <c r="O1203" s="13" t="n">
        <v>0.93</v>
      </c>
      <c r="P1203" s="13" t="n">
        <v>1512</v>
      </c>
      <c r="Q1203" s="13" t="n">
        <v>172</v>
      </c>
      <c r="R1203" s="13" t="n">
        <v>70</v>
      </c>
      <c r="S1203" s="13" t="n">
        <v>37</v>
      </c>
      <c r="T1203" s="13" t="n">
        <v>188</v>
      </c>
      <c r="U1203" s="13" t="n">
        <v>6</v>
      </c>
      <c r="V1203" s="13" t="n">
        <v>118</v>
      </c>
      <c r="W1203" s="13" t="n">
        <v>0.173</v>
      </c>
      <c r="X1203" s="13" t="n">
        <v>72</v>
      </c>
      <c r="Y1203" s="13" t="n">
        <v>49</v>
      </c>
      <c r="Z1203" s="13" t="n">
        <v>116</v>
      </c>
      <c r="AA1203" s="13" t="n">
        <v>5</v>
      </c>
      <c r="AB1203" s="13" t="n">
        <v>10.9</v>
      </c>
      <c r="AC1203" s="11" t="inlineStr">
        <is>
          <t xml:space="preserve"> Other</t>
        </is>
      </c>
      <c r="AD1203" s="13" t="n"/>
      <c r="AE1203" s="13" t="n"/>
      <c r="AF1203" s="13" t="n"/>
      <c r="AG1203" s="13" t="n"/>
    </row>
    <row r="1204">
      <c r="A1204" s="9" t="inlineStr">
        <is>
          <t>21/22</t>
        </is>
      </c>
      <c r="B1204" s="10" t="inlineStr">
        <is>
          <t xml:space="preserve"> Völkl</t>
        </is>
      </c>
      <c r="C1204" s="11" t="inlineStr">
        <is>
          <t xml:space="preserve"> Flair SC Carbon</t>
        </is>
      </c>
      <c r="D1204" s="13" t="n">
        <v>150</v>
      </c>
      <c r="E1204" s="11" t="inlineStr">
        <is>
          <t xml:space="preserve"> Women's</t>
        </is>
      </c>
      <c r="F1204" s="13" t="n">
        <v>150</v>
      </c>
      <c r="G1204" s="13" t="n">
        <v>149.3</v>
      </c>
      <c r="H1204" s="13" t="n">
        <v>128</v>
      </c>
      <c r="I1204" s="13" t="n">
        <v>135</v>
      </c>
      <c r="J1204" s="13" t="n">
        <v>122</v>
      </c>
      <c r="K1204" s="13" t="n">
        <v>70</v>
      </c>
      <c r="L1204" s="13" t="n">
        <v>103</v>
      </c>
      <c r="M1204" s="13" t="n">
        <v>10.4</v>
      </c>
      <c r="N1204" s="13" t="n">
        <v>1572</v>
      </c>
      <c r="O1204" s="13" t="n">
        <v>0.82</v>
      </c>
      <c r="P1204" s="13" t="n">
        <v>1282</v>
      </c>
      <c r="Q1204" s="13" t="n">
        <v>199</v>
      </c>
      <c r="R1204" s="13" t="n">
        <v>69</v>
      </c>
      <c r="S1204" s="13" t="n">
        <v>41</v>
      </c>
      <c r="T1204" s="13" t="n">
        <v>163</v>
      </c>
      <c r="U1204" s="13" t="n">
        <v>6</v>
      </c>
      <c r="V1204" s="13" t="n">
        <v>55</v>
      </c>
      <c r="W1204" s="13" t="n">
        <v>0.146</v>
      </c>
      <c r="X1204" s="13" t="n">
        <v>70</v>
      </c>
      <c r="Y1204" s="13" t="n">
        <v>75</v>
      </c>
      <c r="Z1204" s="13" t="n">
        <v>93</v>
      </c>
      <c r="AA1204" s="13" t="n">
        <v>4</v>
      </c>
      <c r="AB1204" s="13" t="n">
        <v>12.4</v>
      </c>
      <c r="AC1204" s="11" t="inlineStr">
        <is>
          <t xml:space="preserve"> On-Piste Carving</t>
        </is>
      </c>
      <c r="AD1204" s="13" t="n"/>
      <c r="AE1204" s="13" t="n"/>
      <c r="AF1204" s="13" t="n"/>
      <c r="AG1204" s="13" t="n"/>
    </row>
    <row r="1205">
      <c r="A1205" s="9" t="inlineStr">
        <is>
          <t>21/22</t>
        </is>
      </c>
      <c r="B1205" s="10" t="inlineStr">
        <is>
          <t xml:space="preserve"> Völkl</t>
        </is>
      </c>
      <c r="C1205" s="11" t="inlineStr">
        <is>
          <t xml:space="preserve"> Flair SC Carbon</t>
        </is>
      </c>
      <c r="D1205" s="13" t="n">
        <v>155</v>
      </c>
      <c r="E1205" s="11" t="inlineStr">
        <is>
          <t xml:space="preserve"> Women's</t>
        </is>
      </c>
      <c r="F1205" s="13" t="n">
        <v>155</v>
      </c>
      <c r="G1205" s="13" t="n">
        <v>154.5</v>
      </c>
      <c r="H1205" s="13" t="n">
        <v>132</v>
      </c>
      <c r="I1205" s="13" t="n">
        <v>140</v>
      </c>
      <c r="J1205" s="13" t="n">
        <v>123</v>
      </c>
      <c r="K1205" s="13" t="n">
        <v>70</v>
      </c>
      <c r="L1205" s="13" t="n">
        <v>103</v>
      </c>
      <c r="M1205" s="13" t="n">
        <v>11.4</v>
      </c>
      <c r="N1205" s="13" t="n">
        <v>1587</v>
      </c>
      <c r="O1205" s="13" t="n">
        <v>0.84</v>
      </c>
      <c r="P1205" s="13" t="n">
        <v>1328</v>
      </c>
      <c r="Q1205" s="13" t="n">
        <v>193</v>
      </c>
      <c r="R1205" s="13" t="n">
        <v>71</v>
      </c>
      <c r="S1205" s="13" t="n">
        <v>47</v>
      </c>
      <c r="T1205" s="13" t="n">
        <v>168</v>
      </c>
      <c r="U1205" s="13" t="n">
        <v>6</v>
      </c>
      <c r="V1205" s="13" t="n">
        <v>57</v>
      </c>
      <c r="W1205" s="13" t="n">
        <v>0.129</v>
      </c>
      <c r="X1205" s="13" t="n">
        <v>70</v>
      </c>
      <c r="Y1205" s="13" t="n">
        <v>77</v>
      </c>
      <c r="Z1205" s="13" t="n">
        <v>98</v>
      </c>
      <c r="AA1205" s="13" t="n">
        <v>4</v>
      </c>
      <c r="AB1205" s="13" t="n">
        <v>13.1</v>
      </c>
      <c r="AC1205" s="11" t="inlineStr">
        <is>
          <t xml:space="preserve"> On-Piste Carving</t>
        </is>
      </c>
      <c r="AD1205" s="13" t="n"/>
      <c r="AE1205" s="13" t="n"/>
      <c r="AF1205" s="13" t="n"/>
      <c r="AG1205" s="13" t="n"/>
    </row>
    <row r="1206">
      <c r="A1206" s="9" t="inlineStr">
        <is>
          <t>21/22</t>
        </is>
      </c>
      <c r="B1206" s="10" t="inlineStr">
        <is>
          <t xml:space="preserve"> Völkl</t>
        </is>
      </c>
      <c r="C1206" s="11" t="inlineStr">
        <is>
          <t xml:space="preserve"> Flair SC Carbon</t>
        </is>
      </c>
      <c r="D1206" s="13" t="n">
        <v>160</v>
      </c>
      <c r="E1206" s="11" t="inlineStr">
        <is>
          <t xml:space="preserve"> Women's</t>
        </is>
      </c>
      <c r="F1206" s="13" t="n">
        <v>160</v>
      </c>
      <c r="G1206" s="13" t="n">
        <v>159.6</v>
      </c>
      <c r="H1206" s="13" t="n">
        <v>137</v>
      </c>
      <c r="I1206" s="13" t="n">
        <v>144</v>
      </c>
      <c r="J1206" s="13" t="n">
        <v>122</v>
      </c>
      <c r="K1206" s="13" t="n">
        <v>70</v>
      </c>
      <c r="L1206" s="13" t="n">
        <v>102</v>
      </c>
      <c r="M1206" s="13" t="n">
        <v>12.2</v>
      </c>
      <c r="N1206" s="13" t="n">
        <v>1647</v>
      </c>
      <c r="O1206" s="13" t="n">
        <v>0.83</v>
      </c>
      <c r="P1206" s="13" t="n">
        <v>1370</v>
      </c>
      <c r="Q1206" s="13" t="n">
        <v>203</v>
      </c>
      <c r="R1206" s="13" t="n">
        <v>71</v>
      </c>
      <c r="S1206" s="13" t="n">
        <v>42</v>
      </c>
      <c r="T1206" s="13" t="n">
        <v>166</v>
      </c>
      <c r="U1206" s="13" t="n">
        <v>7</v>
      </c>
      <c r="V1206" s="13" t="n">
        <v>56</v>
      </c>
      <c r="W1206" s="13" t="n">
        <v>0.157</v>
      </c>
      <c r="X1206" s="13" t="n">
        <v>72</v>
      </c>
      <c r="Y1206" s="13" t="n">
        <v>79</v>
      </c>
      <c r="Z1206" s="13" t="n">
        <v>94</v>
      </c>
      <c r="AA1206" s="13" t="n">
        <v>4</v>
      </c>
      <c r="AB1206" s="13" t="n">
        <v>11.5</v>
      </c>
      <c r="AC1206" s="11" t="inlineStr">
        <is>
          <t xml:space="preserve"> On-Piste Carving</t>
        </is>
      </c>
      <c r="AD1206" s="13" t="n"/>
      <c r="AE1206" s="13" t="n"/>
      <c r="AF1206" s="13" t="n"/>
      <c r="AG1206" s="13" t="n"/>
    </row>
    <row r="1207">
      <c r="A1207" s="9" t="inlineStr">
        <is>
          <t>21/22</t>
        </is>
      </c>
      <c r="B1207" s="10" t="inlineStr">
        <is>
          <t xml:space="preserve"> Völkl</t>
        </is>
      </c>
      <c r="C1207" s="11" t="inlineStr">
        <is>
          <t>Kanjo 84</t>
        </is>
      </c>
      <c r="D1207" s="13" t="n">
        <v>161</v>
      </c>
      <c r="E1207" s="11" t="inlineStr">
        <is>
          <t xml:space="preserve"> Unisex</t>
        </is>
      </c>
      <c r="F1207" s="13" t="n">
        <v>161</v>
      </c>
      <c r="G1207" s="13" t="n">
        <v>161.2</v>
      </c>
      <c r="H1207" s="13" t="n">
        <v>115</v>
      </c>
      <c r="I1207" s="13" t="n">
        <v>137</v>
      </c>
      <c r="J1207" s="13" t="n">
        <v>124</v>
      </c>
      <c r="K1207" s="13" t="n">
        <v>83</v>
      </c>
      <c r="L1207" s="13" t="n">
        <v>106</v>
      </c>
      <c r="M1207" s="13" t="n">
        <v>14.2</v>
      </c>
      <c r="N1207" s="13" t="n">
        <v>1402</v>
      </c>
      <c r="O1207" s="13" t="n">
        <v>1.11</v>
      </c>
      <c r="P1207" s="13" t="n">
        <v>1549</v>
      </c>
      <c r="Q1207" s="13" t="n">
        <v>176</v>
      </c>
      <c r="R1207" s="13" t="n">
        <v>70</v>
      </c>
      <c r="S1207" s="13" t="n">
        <v>38</v>
      </c>
      <c r="T1207" s="13" t="n">
        <v>279</v>
      </c>
      <c r="U1207" s="13" t="n">
        <v>13</v>
      </c>
      <c r="V1207" s="13" t="n">
        <v>185</v>
      </c>
      <c r="W1207" s="13" t="n">
        <v>0.349</v>
      </c>
      <c r="X1207" s="13" t="n">
        <v>132</v>
      </c>
      <c r="Y1207" s="13" t="n">
        <v>108</v>
      </c>
      <c r="Z1207" s="13" t="n">
        <v>147</v>
      </c>
      <c r="AA1207" s="13" t="n">
        <v>3</v>
      </c>
      <c r="AB1207" s="13" t="n">
        <v>11.8</v>
      </c>
      <c r="AC1207" s="11" t="inlineStr">
        <is>
          <t xml:space="preserve"> On-Piste All-Mountain</t>
        </is>
      </c>
      <c r="AD1207" s="11" t="inlineStr">
        <is>
          <t xml:space="preserve"> Resort Freeride</t>
        </is>
      </c>
      <c r="AE1207" s="11" t="inlineStr">
        <is>
          <t xml:space="preserve"> Touring</t>
        </is>
      </c>
      <c r="AF1207" s="13" t="n"/>
      <c r="AG1207" s="13" t="n"/>
    </row>
    <row r="1208">
      <c r="A1208" s="9" t="inlineStr">
        <is>
          <t>21/22</t>
        </is>
      </c>
      <c r="B1208" s="10" t="inlineStr">
        <is>
          <t xml:space="preserve"> Völkl</t>
        </is>
      </c>
      <c r="C1208" s="11" t="inlineStr">
        <is>
          <t>Kanjo 84</t>
        </is>
      </c>
      <c r="D1208" s="13" t="n">
        <v>168</v>
      </c>
      <c r="E1208" s="11" t="inlineStr">
        <is>
          <t xml:space="preserve"> Unisex</t>
        </is>
      </c>
      <c r="F1208" s="13" t="n">
        <v>168</v>
      </c>
      <c r="G1208" s="13" t="n">
        <v>168.7</v>
      </c>
      <c r="H1208" s="13" t="n">
        <v>132</v>
      </c>
      <c r="I1208" s="13" t="n">
        <v>145</v>
      </c>
      <c r="J1208" s="13" t="n">
        <v>124</v>
      </c>
      <c r="K1208" s="13" t="n">
        <v>83</v>
      </c>
      <c r="L1208" s="13" t="n">
        <v>106</v>
      </c>
      <c r="M1208" s="13" t="n">
        <v>15.8</v>
      </c>
      <c r="N1208" s="13" t="n">
        <v>1495</v>
      </c>
      <c r="O1208" s="13" t="n">
        <v>1.09</v>
      </c>
      <c r="P1208" s="13" t="n">
        <v>1623</v>
      </c>
      <c r="Q1208" s="13" t="n">
        <v>185</v>
      </c>
      <c r="R1208" s="13" t="n">
        <v>70</v>
      </c>
      <c r="S1208" s="13" t="n">
        <v>36</v>
      </c>
      <c r="T1208" s="13" t="n">
        <v>229</v>
      </c>
      <c r="U1208" s="13" t="n">
        <v>13</v>
      </c>
      <c r="V1208" s="13" t="n">
        <v>141</v>
      </c>
      <c r="W1208" s="13" t="n">
        <v>0.348</v>
      </c>
      <c r="X1208" s="13" t="n">
        <v>134</v>
      </c>
      <c r="Y1208" s="13" t="n">
        <v>107</v>
      </c>
      <c r="Z1208" s="13" t="n">
        <v>95</v>
      </c>
      <c r="AA1208" s="13" t="n">
        <v>3</v>
      </c>
      <c r="AB1208" s="13" t="n">
        <v>11.6</v>
      </c>
      <c r="AC1208" s="11" t="inlineStr">
        <is>
          <t xml:space="preserve"> On-Piste All-Mountain</t>
        </is>
      </c>
      <c r="AD1208" s="11" t="inlineStr">
        <is>
          <t xml:space="preserve"> Resort Freeride</t>
        </is>
      </c>
      <c r="AE1208" s="11" t="inlineStr">
        <is>
          <t xml:space="preserve"> Touring</t>
        </is>
      </c>
      <c r="AF1208" s="13" t="n"/>
      <c r="AG1208" s="13" t="n"/>
    </row>
    <row r="1209">
      <c r="A1209" s="9" t="inlineStr">
        <is>
          <t>21/22</t>
        </is>
      </c>
      <c r="B1209" s="10" t="inlineStr">
        <is>
          <t xml:space="preserve"> Völkl</t>
        </is>
      </c>
      <c r="C1209" s="11" t="inlineStr">
        <is>
          <t>Kanjo 84</t>
        </is>
      </c>
      <c r="D1209" s="13" t="n">
        <v>175</v>
      </c>
      <c r="E1209" s="11" t="inlineStr">
        <is>
          <t xml:space="preserve"> Unisex</t>
        </is>
      </c>
      <c r="F1209" s="13" t="n">
        <v>175</v>
      </c>
      <c r="G1209" s="13" t="n">
        <v>176.1</v>
      </c>
      <c r="H1209" s="13" t="n">
        <v>131</v>
      </c>
      <c r="I1209" s="13" t="n">
        <v>152</v>
      </c>
      <c r="J1209" s="13" t="n">
        <v>124</v>
      </c>
      <c r="K1209" s="13" t="n">
        <v>83</v>
      </c>
      <c r="L1209" s="13" t="n">
        <v>106</v>
      </c>
      <c r="M1209" s="13" t="n">
        <v>17.5</v>
      </c>
      <c r="N1209" s="13" t="n">
        <v>1609</v>
      </c>
      <c r="O1209" s="13" t="n">
        <v>1.05</v>
      </c>
      <c r="P1209" s="13" t="n">
        <v>1691</v>
      </c>
      <c r="Q1209" s="13" t="n">
        <v>194</v>
      </c>
      <c r="R1209" s="13" t="n">
        <v>75</v>
      </c>
      <c r="S1209" s="13" t="n">
        <v>38</v>
      </c>
      <c r="T1209" s="13" t="n">
        <v>290</v>
      </c>
      <c r="U1209" s="13" t="n">
        <v>12</v>
      </c>
      <c r="V1209" s="13" t="n">
        <v>161</v>
      </c>
      <c r="W1209" s="13" t="n">
        <v>0.319</v>
      </c>
      <c r="X1209" s="13" t="n">
        <v>135</v>
      </c>
      <c r="Y1209" s="13" t="n">
        <v>106</v>
      </c>
      <c r="Z1209" s="13" t="n">
        <v>155</v>
      </c>
      <c r="AA1209" s="13" t="n">
        <v>2</v>
      </c>
      <c r="AB1209" s="13" t="n">
        <v>11.7</v>
      </c>
      <c r="AC1209" s="11" t="inlineStr">
        <is>
          <t xml:space="preserve"> On-Piste All-Mountain</t>
        </is>
      </c>
      <c r="AD1209" s="11" t="inlineStr">
        <is>
          <t xml:space="preserve"> Resort Freeride</t>
        </is>
      </c>
      <c r="AE1209" s="11" t="inlineStr">
        <is>
          <t xml:space="preserve"> Touring</t>
        </is>
      </c>
      <c r="AF1209" s="13" t="n"/>
      <c r="AG1209" s="13" t="n"/>
    </row>
    <row r="1210">
      <c r="A1210" s="9" t="inlineStr">
        <is>
          <t>21/22</t>
        </is>
      </c>
      <c r="B1210" s="10" t="inlineStr">
        <is>
          <t xml:space="preserve"> Völkl</t>
        </is>
      </c>
      <c r="C1210" s="11" t="inlineStr">
        <is>
          <t>Kanjo 84</t>
        </is>
      </c>
      <c r="D1210" s="13" t="n">
        <v>182</v>
      </c>
      <c r="E1210" s="11" t="inlineStr">
        <is>
          <t xml:space="preserve"> Unisex</t>
        </is>
      </c>
      <c r="F1210" s="13" t="n">
        <v>182</v>
      </c>
      <c r="G1210" s="13" t="n">
        <v>183.5</v>
      </c>
      <c r="H1210" s="13" t="n">
        <v>157</v>
      </c>
      <c r="I1210" s="13" t="n">
        <v>160</v>
      </c>
      <c r="J1210" s="13" t="n">
        <v>124</v>
      </c>
      <c r="K1210" s="13" t="n">
        <v>83</v>
      </c>
      <c r="L1210" s="13" t="n">
        <v>106</v>
      </c>
      <c r="M1210" s="13" t="n">
        <v>19.4</v>
      </c>
      <c r="N1210" s="13" t="n">
        <v>1668</v>
      </c>
      <c r="O1210" s="13" t="n">
        <v>1.06</v>
      </c>
      <c r="P1210" s="13" t="n">
        <v>1763</v>
      </c>
      <c r="Q1210" s="13" t="n">
        <v>196</v>
      </c>
      <c r="R1210" s="13" t="n">
        <v>76</v>
      </c>
      <c r="S1210" s="13" t="n">
        <v>34</v>
      </c>
      <c r="T1210" s="13" t="n">
        <v>166</v>
      </c>
      <c r="U1210" s="13" t="n">
        <v>12</v>
      </c>
      <c r="V1210" s="13" t="n">
        <v>96</v>
      </c>
      <c r="W1210" s="13" t="n">
        <v>0.35</v>
      </c>
      <c r="X1210" s="13" t="n">
        <v>132</v>
      </c>
      <c r="Y1210" s="13" t="n">
        <v>104</v>
      </c>
      <c r="Z1210" s="13" t="n">
        <v>34</v>
      </c>
      <c r="AA1210" s="13" t="n">
        <v>4</v>
      </c>
      <c r="AB1210" s="13" t="n">
        <v>11.8</v>
      </c>
      <c r="AC1210" s="11" t="inlineStr">
        <is>
          <t xml:space="preserve"> On-Piste All-Mountain</t>
        </is>
      </c>
      <c r="AD1210" s="11" t="inlineStr">
        <is>
          <t xml:space="preserve"> Resort Freeride</t>
        </is>
      </c>
      <c r="AE1210" s="11" t="inlineStr">
        <is>
          <t xml:space="preserve"> Touring</t>
        </is>
      </c>
      <c r="AF1210" s="13" t="n"/>
      <c r="AG1210" s="13" t="n"/>
    </row>
    <row r="1211">
      <c r="A1211" s="9" t="inlineStr">
        <is>
          <t>21/22</t>
        </is>
      </c>
      <c r="B1211" s="10" t="inlineStr">
        <is>
          <t xml:space="preserve"> Völkl</t>
        </is>
      </c>
      <c r="C1211" s="11" t="inlineStr">
        <is>
          <t>Katana 108</t>
        </is>
      </c>
      <c r="D1211" s="13" t="n">
        <v>170</v>
      </c>
      <c r="E1211" s="11" t="inlineStr">
        <is>
          <t xml:space="preserve"> Unisex</t>
        </is>
      </c>
      <c r="F1211" s="13" t="n">
        <v>170</v>
      </c>
      <c r="G1211" s="13" t="n">
        <v>170.7</v>
      </c>
      <c r="H1211" s="13" t="n">
        <v>114</v>
      </c>
      <c r="I1211" s="13" t="n">
        <v>147</v>
      </c>
      <c r="J1211" s="13" t="n">
        <v>145</v>
      </c>
      <c r="K1211" s="13" t="n">
        <v>107</v>
      </c>
      <c r="L1211" s="13" t="n">
        <v>128</v>
      </c>
      <c r="M1211" s="13" t="n">
        <v>17.5</v>
      </c>
      <c r="N1211" s="13" t="n">
        <v>2106</v>
      </c>
      <c r="O1211" s="13" t="n">
        <v>0.96</v>
      </c>
      <c r="P1211" s="13" t="n">
        <v>2025</v>
      </c>
      <c r="Q1211" s="13" t="n">
        <v>232</v>
      </c>
      <c r="R1211" s="13" t="n">
        <v>158</v>
      </c>
      <c r="S1211" s="13" t="n">
        <v>52</v>
      </c>
      <c r="T1211" s="13" t="n">
        <v>337</v>
      </c>
      <c r="U1211" s="13" t="n">
        <v>17</v>
      </c>
      <c r="V1211" s="13" t="n">
        <v>228</v>
      </c>
      <c r="W1211" s="13" t="n">
        <v>0.327</v>
      </c>
      <c r="X1211" s="13" t="n">
        <v>136</v>
      </c>
      <c r="Y1211" s="13" t="n">
        <v>100</v>
      </c>
      <c r="Z1211" s="13" t="n">
        <v>201</v>
      </c>
      <c r="AA1211" s="13" t="n">
        <v>3</v>
      </c>
      <c r="AB1211" s="13" t="n">
        <v>11.7</v>
      </c>
      <c r="AC1211" s="11" t="inlineStr">
        <is>
          <t xml:space="preserve"> Big Mountain</t>
        </is>
      </c>
      <c r="AD1211" s="13" t="n"/>
      <c r="AE1211" s="13" t="n"/>
      <c r="AF1211" s="13" t="n"/>
      <c r="AG1211" s="13" t="n"/>
    </row>
    <row r="1212">
      <c r="A1212" s="9" t="inlineStr">
        <is>
          <t>21/22</t>
        </is>
      </c>
      <c r="B1212" s="10" t="inlineStr">
        <is>
          <t xml:space="preserve"> Völkl</t>
        </is>
      </c>
      <c r="C1212" s="11" t="inlineStr">
        <is>
          <t>Katana 108</t>
        </is>
      </c>
      <c r="D1212" s="13" t="n">
        <v>177</v>
      </c>
      <c r="E1212" s="11" t="inlineStr">
        <is>
          <t xml:space="preserve"> Unisex</t>
        </is>
      </c>
      <c r="F1212" s="13" t="n">
        <v>177</v>
      </c>
      <c r="G1212" s="13" t="n">
        <v>178.1</v>
      </c>
      <c r="H1212" s="13" t="n">
        <v>135</v>
      </c>
      <c r="I1212" s="13" t="n">
        <v>155</v>
      </c>
      <c r="J1212" s="13" t="n">
        <v>145</v>
      </c>
      <c r="K1212" s="13" t="n">
        <v>107</v>
      </c>
      <c r="L1212" s="13" t="n">
        <v>128</v>
      </c>
      <c r="M1212" s="13" t="n">
        <v>19.4</v>
      </c>
      <c r="N1212" s="13" t="n">
        <v>2237</v>
      </c>
      <c r="O1212" s="13" t="n">
        <v>0.95</v>
      </c>
      <c r="P1212" s="13" t="n">
        <v>2115</v>
      </c>
      <c r="Q1212" s="13" t="n">
        <v>229</v>
      </c>
      <c r="R1212" s="13" t="n">
        <v>162</v>
      </c>
      <c r="S1212" s="13" t="n">
        <v>49</v>
      </c>
      <c r="T1212" s="13" t="n">
        <v>249</v>
      </c>
      <c r="U1212" s="13" t="n">
        <v>17</v>
      </c>
      <c r="V1212" s="13" t="n">
        <v>184</v>
      </c>
      <c r="W1212" s="13" t="n">
        <v>0.35</v>
      </c>
      <c r="X1212" s="13" t="n">
        <v>131</v>
      </c>
      <c r="Y1212" s="13" t="n">
        <v>104</v>
      </c>
      <c r="Z1212" s="13" t="n">
        <v>118</v>
      </c>
      <c r="AA1212" s="13" t="n">
        <v>4</v>
      </c>
      <c r="AB1212" s="13" t="n">
        <v>11.5</v>
      </c>
      <c r="AC1212" s="11" t="inlineStr">
        <is>
          <t xml:space="preserve"> Powder</t>
        </is>
      </c>
      <c r="AD1212" s="11" t="inlineStr">
        <is>
          <t xml:space="preserve"> Big Mountain</t>
        </is>
      </c>
      <c r="AE1212" s="13" t="n"/>
      <c r="AF1212" s="13" t="n"/>
      <c r="AG1212" s="13" t="n"/>
    </row>
    <row r="1213">
      <c r="A1213" s="9" t="inlineStr">
        <is>
          <t>21/22</t>
        </is>
      </c>
      <c r="B1213" s="10" t="inlineStr">
        <is>
          <t xml:space="preserve"> Völkl</t>
        </is>
      </c>
      <c r="C1213" s="11" t="inlineStr">
        <is>
          <t>Katana 108</t>
        </is>
      </c>
      <c r="D1213" s="13" t="n">
        <v>184</v>
      </c>
      <c r="E1213" s="11" t="inlineStr">
        <is>
          <t xml:space="preserve"> Unisex</t>
        </is>
      </c>
      <c r="F1213" s="13" t="n">
        <v>184</v>
      </c>
      <c r="G1213" s="13" t="n">
        <v>183.1</v>
      </c>
      <c r="H1213" s="13" t="n">
        <v>129</v>
      </c>
      <c r="I1213" s="13" t="n">
        <v>160</v>
      </c>
      <c r="J1213" s="13" t="n">
        <v>145</v>
      </c>
      <c r="K1213" s="13" t="n">
        <v>107</v>
      </c>
      <c r="L1213" s="13" t="n">
        <v>128</v>
      </c>
      <c r="M1213" s="13" t="n">
        <v>20.5</v>
      </c>
      <c r="N1213" s="13" t="n">
        <v>2321</v>
      </c>
      <c r="O1213" s="13" t="n">
        <v>0.9399999999999999</v>
      </c>
      <c r="P1213" s="13" t="n">
        <v>2175</v>
      </c>
      <c r="Q1213" s="13" t="n">
        <v>234</v>
      </c>
      <c r="R1213" s="13" t="n">
        <v>157</v>
      </c>
      <c r="S1213" s="13" t="n">
        <v>50</v>
      </c>
      <c r="T1213" s="13" t="n">
        <v>304</v>
      </c>
      <c r="U1213" s="13" t="n">
        <v>19</v>
      </c>
      <c r="V1213" s="13" t="n">
        <v>241</v>
      </c>
      <c r="W1213" s="13" t="n">
        <v>0.388</v>
      </c>
      <c r="X1213" s="13" t="n">
        <v>128</v>
      </c>
      <c r="Y1213" s="13" t="n">
        <v>104</v>
      </c>
      <c r="Z1213" s="13" t="n">
        <v>176</v>
      </c>
      <c r="AA1213" s="13" t="n">
        <v>4</v>
      </c>
      <c r="AB1213" s="13" t="n">
        <v>11.8</v>
      </c>
      <c r="AC1213" s="11" t="inlineStr">
        <is>
          <t xml:space="preserve"> Powder</t>
        </is>
      </c>
      <c r="AD1213" s="11" t="inlineStr">
        <is>
          <t xml:space="preserve"> Big Mountain</t>
        </is>
      </c>
      <c r="AE1213" s="13" t="n"/>
      <c r="AF1213" s="13" t="n"/>
      <c r="AG1213" s="13" t="n"/>
    </row>
    <row r="1214">
      <c r="A1214" s="9" t="inlineStr">
        <is>
          <t>21/22</t>
        </is>
      </c>
      <c r="B1214" s="10" t="inlineStr">
        <is>
          <t xml:space="preserve"> Völkl</t>
        </is>
      </c>
      <c r="C1214" s="11" t="inlineStr">
        <is>
          <t>Katana 108</t>
        </is>
      </c>
      <c r="D1214" s="13" t="n">
        <v>191</v>
      </c>
      <c r="E1214" s="11" t="inlineStr">
        <is>
          <t xml:space="preserve"> Unisex</t>
        </is>
      </c>
      <c r="F1214" s="13" t="n">
        <v>191</v>
      </c>
      <c r="G1214" s="13" t="n">
        <v>191.2</v>
      </c>
      <c r="H1214" s="13" t="n">
        <v>112</v>
      </c>
      <c r="I1214" s="13" t="n">
        <v>167</v>
      </c>
      <c r="J1214" s="13" t="n">
        <v>145</v>
      </c>
      <c r="K1214" s="13" t="n">
        <v>108</v>
      </c>
      <c r="L1214" s="13" t="n">
        <v>129</v>
      </c>
      <c r="M1214" s="13" t="n">
        <v>22.7</v>
      </c>
      <c r="N1214" s="13" t="n">
        <v>2405</v>
      </c>
      <c r="O1214" s="13" t="n">
        <v>0.9399999999999999</v>
      </c>
      <c r="P1214" s="13" t="n">
        <v>2270</v>
      </c>
      <c r="Q1214" s="13" t="n">
        <v>265</v>
      </c>
      <c r="R1214" s="13" t="n">
        <v>173</v>
      </c>
      <c r="S1214" s="13" t="n">
        <v>53</v>
      </c>
      <c r="T1214" s="13" t="n">
        <v>457</v>
      </c>
      <c r="U1214" s="13" t="n">
        <v>24</v>
      </c>
      <c r="V1214" s="13" t="n">
        <v>332</v>
      </c>
      <c r="W1214" s="13" t="n">
        <v>0.46</v>
      </c>
      <c r="X1214" s="13" t="n">
        <v>130</v>
      </c>
      <c r="Y1214" s="13" t="n">
        <v>110</v>
      </c>
      <c r="Z1214" s="13" t="n">
        <v>327</v>
      </c>
      <c r="AA1214" s="13" t="n">
        <v>1</v>
      </c>
      <c r="AB1214" s="13" t="n">
        <v>11.9</v>
      </c>
      <c r="AC1214" s="11" t="inlineStr">
        <is>
          <t xml:space="preserve"> Powder</t>
        </is>
      </c>
      <c r="AD1214" s="13" t="n"/>
      <c r="AE1214" s="13" t="n"/>
      <c r="AF1214" s="13" t="n"/>
      <c r="AG1214" s="13" t="n"/>
    </row>
    <row r="1215">
      <c r="A1215" s="9" t="inlineStr">
        <is>
          <t>21/22</t>
        </is>
      </c>
      <c r="B1215" s="10" t="inlineStr">
        <is>
          <t xml:space="preserve"> Völkl</t>
        </is>
      </c>
      <c r="C1215" s="11" t="inlineStr">
        <is>
          <t xml:space="preserve"> Katana V.Werks</t>
        </is>
      </c>
      <c r="D1215" s="13" t="n">
        <v>191</v>
      </c>
      <c r="E1215" s="11" t="inlineStr">
        <is>
          <t xml:space="preserve"> Unisex</t>
        </is>
      </c>
      <c r="F1215" s="13" t="n">
        <v>191</v>
      </c>
      <c r="G1215" s="13" t="n">
        <v>188.9</v>
      </c>
      <c r="H1215" s="13" t="n">
        <v>0</v>
      </c>
      <c r="I1215" s="13" t="n">
        <v>165</v>
      </c>
      <c r="J1215" s="13" t="n">
        <v>142</v>
      </c>
      <c r="K1215" s="13" t="n">
        <v>111</v>
      </c>
      <c r="L1215" s="13" t="n">
        <v>131</v>
      </c>
      <c r="M1215" s="13" t="n">
        <v>26.4</v>
      </c>
      <c r="N1215" s="13" t="n">
        <v>2013</v>
      </c>
      <c r="O1215" s="13" t="n">
        <v>1.13</v>
      </c>
      <c r="P1215" s="13" t="n">
        <v>2278</v>
      </c>
      <c r="Q1215" s="13" t="n">
        <v>302</v>
      </c>
      <c r="R1215" s="13" t="n">
        <v>195</v>
      </c>
      <c r="S1215" s="13" t="n">
        <v>49</v>
      </c>
      <c r="T1215" s="13" t="n">
        <v>1077</v>
      </c>
      <c r="U1215" s="13" t="n">
        <v>17</v>
      </c>
      <c r="V1215" s="13" t="n">
        <v>812</v>
      </c>
      <c r="W1215" s="13" t="n">
        <v>0.341</v>
      </c>
      <c r="X1215" s="13" t="n">
        <v>142</v>
      </c>
      <c r="Y1215" s="13" t="n">
        <v>99</v>
      </c>
      <c r="Z1215" s="13" t="n">
        <v>935</v>
      </c>
      <c r="AA1215" s="13" t="n">
        <v>-5</v>
      </c>
      <c r="AB1215" s="13" t="n">
        <v>13.3</v>
      </c>
      <c r="AC1215" s="11" t="inlineStr">
        <is>
          <t xml:space="preserve"> Big Mountain</t>
        </is>
      </c>
      <c r="AD1215" s="11" t="inlineStr">
        <is>
          <t xml:space="preserve"> Touring</t>
        </is>
      </c>
      <c r="AE1215" s="13" t="n"/>
      <c r="AF1215" s="13" t="n"/>
      <c r="AG1215" s="13" t="n"/>
    </row>
    <row r="1216">
      <c r="A1216" s="9" t="inlineStr">
        <is>
          <t>21/22</t>
        </is>
      </c>
      <c r="B1216" s="10" t="inlineStr">
        <is>
          <t xml:space="preserve"> Völkl</t>
        </is>
      </c>
      <c r="C1216" s="11" t="inlineStr">
        <is>
          <t>Kendo 88</t>
        </is>
      </c>
      <c r="D1216" s="13" t="n">
        <v>163</v>
      </c>
      <c r="E1216" s="11" t="inlineStr">
        <is>
          <t xml:space="preserve"> Unisex</t>
        </is>
      </c>
      <c r="F1216" s="13" t="n">
        <v>163</v>
      </c>
      <c r="G1216" s="13" t="n">
        <v>163.4</v>
      </c>
      <c r="H1216" s="13" t="n">
        <v>106</v>
      </c>
      <c r="I1216" s="13" t="n">
        <v>140</v>
      </c>
      <c r="J1216" s="13" t="n">
        <v>128</v>
      </c>
      <c r="K1216" s="13" t="n">
        <v>87</v>
      </c>
      <c r="L1216" s="13" t="n">
        <v>110</v>
      </c>
      <c r="M1216" s="13" t="n">
        <v>14.6</v>
      </c>
      <c r="N1216" s="13" t="n">
        <v>1722</v>
      </c>
      <c r="O1216" s="13" t="n">
        <v>0.95</v>
      </c>
      <c r="P1216" s="13" t="n">
        <v>1637</v>
      </c>
      <c r="Q1216" s="13" t="n">
        <v>202</v>
      </c>
      <c r="R1216" s="13" t="n">
        <v>128</v>
      </c>
      <c r="S1216" s="13" t="n">
        <v>40</v>
      </c>
      <c r="T1216" s="13" t="n">
        <v>345</v>
      </c>
      <c r="U1216" s="13" t="n">
        <v>17</v>
      </c>
      <c r="V1216" s="13" t="n">
        <v>228</v>
      </c>
      <c r="W1216" s="13" t="n">
        <v>0.416</v>
      </c>
      <c r="X1216" s="13" t="n">
        <v>130</v>
      </c>
      <c r="Y1216" s="13" t="n">
        <v>106</v>
      </c>
      <c r="Z1216" s="13" t="n">
        <v>215</v>
      </c>
      <c r="AA1216" s="13" t="n">
        <v>3</v>
      </c>
      <c r="AB1216" s="13" t="n">
        <v>11.8</v>
      </c>
      <c r="AC1216" s="11" t="inlineStr">
        <is>
          <t xml:space="preserve"> Resort Freeride</t>
        </is>
      </c>
      <c r="AD1216" s="13" t="n"/>
      <c r="AE1216" s="13" t="n"/>
      <c r="AF1216" s="13" t="n"/>
      <c r="AG1216" s="13" t="n"/>
    </row>
    <row r="1217">
      <c r="A1217" s="9" t="inlineStr">
        <is>
          <t>21/22</t>
        </is>
      </c>
      <c r="B1217" s="10" t="inlineStr">
        <is>
          <t xml:space="preserve"> Völkl</t>
        </is>
      </c>
      <c r="C1217" s="11" t="inlineStr">
        <is>
          <t>Kendo 88</t>
        </is>
      </c>
      <c r="D1217" s="13" t="n">
        <v>170</v>
      </c>
      <c r="E1217" s="11" t="inlineStr">
        <is>
          <t xml:space="preserve"> Unisex</t>
        </is>
      </c>
      <c r="F1217" s="13" t="n">
        <v>170</v>
      </c>
      <c r="G1217" s="13" t="n">
        <v>171.1</v>
      </c>
      <c r="H1217" s="13" t="n">
        <v>125</v>
      </c>
      <c r="I1217" s="13" t="n">
        <v>147</v>
      </c>
      <c r="J1217" s="13" t="n">
        <v>128</v>
      </c>
      <c r="K1217" s="13" t="n">
        <v>87</v>
      </c>
      <c r="L1217" s="13" t="n">
        <v>110</v>
      </c>
      <c r="M1217" s="13" t="n">
        <v>16.2</v>
      </c>
      <c r="N1217" s="13" t="n">
        <v>1816</v>
      </c>
      <c r="O1217" s="13" t="n">
        <v>0.9399999999999999</v>
      </c>
      <c r="P1217" s="13" t="n">
        <v>1714</v>
      </c>
      <c r="Q1217" s="13" t="n">
        <v>197</v>
      </c>
      <c r="R1217" s="13" t="n">
        <v>129</v>
      </c>
      <c r="S1217" s="13" t="n">
        <v>45</v>
      </c>
      <c r="T1217" s="13" t="n">
        <v>300</v>
      </c>
      <c r="U1217" s="13" t="n">
        <v>14</v>
      </c>
      <c r="V1217" s="13" t="n">
        <v>159</v>
      </c>
      <c r="W1217" s="13" t="n">
        <v>0.322</v>
      </c>
      <c r="X1217" s="13" t="n">
        <v>133</v>
      </c>
      <c r="Y1217" s="13" t="n">
        <v>105</v>
      </c>
      <c r="Z1217" s="13" t="n">
        <v>166</v>
      </c>
      <c r="AA1217" s="13" t="n">
        <v>3</v>
      </c>
      <c r="AB1217" s="13" t="n">
        <v>11.9</v>
      </c>
      <c r="AC1217" s="11" t="inlineStr">
        <is>
          <t xml:space="preserve"> Resort Freeride</t>
        </is>
      </c>
      <c r="AD1217" s="13" t="n"/>
      <c r="AE1217" s="13" t="n"/>
      <c r="AF1217" s="13" t="n"/>
      <c r="AG1217" s="13" t="n"/>
    </row>
    <row r="1218">
      <c r="A1218" s="9" t="inlineStr">
        <is>
          <t>21/22</t>
        </is>
      </c>
      <c r="B1218" s="10" t="inlineStr">
        <is>
          <t xml:space="preserve"> Völkl</t>
        </is>
      </c>
      <c r="C1218" s="11" t="inlineStr">
        <is>
          <t>Kendo 88</t>
        </is>
      </c>
      <c r="D1218" s="13" t="n">
        <v>177</v>
      </c>
      <c r="E1218" s="11" t="inlineStr">
        <is>
          <t xml:space="preserve"> Unisex</t>
        </is>
      </c>
      <c r="F1218" s="13" t="n">
        <v>177</v>
      </c>
      <c r="G1218" s="13" t="n">
        <v>178.3</v>
      </c>
      <c r="H1218" s="13" t="n">
        <v>101</v>
      </c>
      <c r="I1218" s="13" t="n">
        <v>154</v>
      </c>
      <c r="J1218" s="13" t="n">
        <v>128</v>
      </c>
      <c r="K1218" s="13" t="n">
        <v>88</v>
      </c>
      <c r="L1218" s="13" t="n">
        <v>111</v>
      </c>
      <c r="M1218" s="13" t="n">
        <v>17.8</v>
      </c>
      <c r="N1218" s="13" t="n">
        <v>1957</v>
      </c>
      <c r="O1218" s="13" t="n">
        <v>0.91</v>
      </c>
      <c r="P1218" s="13" t="n">
        <v>1790</v>
      </c>
      <c r="Q1218" s="13" t="n">
        <v>227</v>
      </c>
      <c r="R1218" s="13" t="n">
        <v>145</v>
      </c>
      <c r="S1218" s="13" t="n">
        <v>44</v>
      </c>
      <c r="T1218" s="13" t="n">
        <v>418</v>
      </c>
      <c r="U1218" s="13" t="n">
        <v>16</v>
      </c>
      <c r="V1218" s="13" t="n">
        <v>355</v>
      </c>
      <c r="W1218" s="13" t="n">
        <v>0.363</v>
      </c>
      <c r="X1218" s="13" t="n">
        <v>133</v>
      </c>
      <c r="Y1218" s="13" t="n">
        <v>106</v>
      </c>
      <c r="Z1218" s="13" t="n">
        <v>285</v>
      </c>
      <c r="AA1218" s="13" t="n">
        <v>2</v>
      </c>
      <c r="AB1218" s="13" t="n">
        <v>11.9</v>
      </c>
      <c r="AC1218" s="11" t="inlineStr">
        <is>
          <t xml:space="preserve"> Resort Freeride</t>
        </is>
      </c>
      <c r="AD1218" s="13" t="n"/>
      <c r="AE1218" s="13" t="n"/>
      <c r="AF1218" s="13" t="n"/>
      <c r="AG1218" s="13" t="n"/>
    </row>
    <row r="1219">
      <c r="A1219" s="9" t="inlineStr">
        <is>
          <t>21/22</t>
        </is>
      </c>
      <c r="B1219" s="10" t="inlineStr">
        <is>
          <t xml:space="preserve"> Völkl</t>
        </is>
      </c>
      <c r="C1219" s="11" t="inlineStr">
        <is>
          <t>Kendo 88</t>
        </is>
      </c>
      <c r="D1219" s="13" t="n">
        <v>184</v>
      </c>
      <c r="E1219" s="11" t="inlineStr">
        <is>
          <t xml:space="preserve"> Unisex</t>
        </is>
      </c>
      <c r="F1219" s="13" t="n">
        <v>184</v>
      </c>
      <c r="G1219" s="13" t="n">
        <v>183.4</v>
      </c>
      <c r="H1219" s="13" t="n">
        <v>118</v>
      </c>
      <c r="I1219" s="13" t="n">
        <v>160</v>
      </c>
      <c r="J1219" s="13" t="n">
        <v>128</v>
      </c>
      <c r="K1219" s="13" t="n">
        <v>87</v>
      </c>
      <c r="L1219" s="13" t="n">
        <v>110</v>
      </c>
      <c r="M1219" s="13" t="n">
        <v>19.1</v>
      </c>
      <c r="N1219" s="13" t="n">
        <v>1939</v>
      </c>
      <c r="O1219" s="13" t="n">
        <v>0.95</v>
      </c>
      <c r="P1219" s="13" t="n">
        <v>1837</v>
      </c>
      <c r="Q1219" s="13" t="n">
        <v>209</v>
      </c>
      <c r="R1219" s="13" t="n">
        <v>128</v>
      </c>
      <c r="S1219" s="13" t="n">
        <v>44</v>
      </c>
      <c r="T1219" s="13" t="n">
        <v>333</v>
      </c>
      <c r="U1219" s="13" t="n">
        <v>18</v>
      </c>
      <c r="V1219" s="13" t="n">
        <v>318</v>
      </c>
      <c r="W1219" s="13" t="n">
        <v>0.406</v>
      </c>
      <c r="X1219" s="13" t="n">
        <v>127</v>
      </c>
      <c r="Y1219" s="13" t="n">
        <v>103</v>
      </c>
      <c r="Z1219" s="13" t="n">
        <v>206</v>
      </c>
      <c r="AA1219" s="13" t="n">
        <v>3</v>
      </c>
      <c r="AB1219" s="13" t="n">
        <v>11.7</v>
      </c>
      <c r="AC1219" s="11" t="inlineStr">
        <is>
          <t xml:space="preserve"> Resort Freeride</t>
        </is>
      </c>
      <c r="AD1219" s="13" t="n"/>
      <c r="AE1219" s="13" t="n"/>
      <c r="AF1219" s="13" t="n"/>
      <c r="AG1219" s="13" t="n"/>
    </row>
    <row r="1220">
      <c r="A1220" s="9" t="inlineStr">
        <is>
          <t>21/22</t>
        </is>
      </c>
      <c r="B1220" s="10" t="inlineStr">
        <is>
          <t xml:space="preserve"> Völkl</t>
        </is>
      </c>
      <c r="C1220" s="11" t="inlineStr">
        <is>
          <t>Kenja 88</t>
        </is>
      </c>
      <c r="D1220" s="13" t="n">
        <v>149</v>
      </c>
      <c r="E1220" s="11" t="inlineStr">
        <is>
          <t xml:space="preserve"> Women's</t>
        </is>
      </c>
      <c r="F1220" s="13" t="n">
        <v>149</v>
      </c>
      <c r="G1220" s="13" t="n">
        <v>149.1</v>
      </c>
      <c r="H1220" s="13" t="n">
        <v>100</v>
      </c>
      <c r="I1220" s="13" t="n">
        <v>125</v>
      </c>
      <c r="J1220" s="13" t="n">
        <v>128</v>
      </c>
      <c r="K1220" s="13" t="n">
        <v>88</v>
      </c>
      <c r="L1220" s="13" t="n">
        <v>110</v>
      </c>
      <c r="M1220" s="13" t="n">
        <v>11.7</v>
      </c>
      <c r="N1220" s="13" t="n">
        <v>1544</v>
      </c>
      <c r="O1220" s="13" t="n">
        <v>0.97</v>
      </c>
      <c r="P1220" s="13" t="n">
        <v>1497</v>
      </c>
      <c r="Q1220" s="13" t="n">
        <v>177</v>
      </c>
      <c r="R1220" s="13" t="n">
        <v>115</v>
      </c>
      <c r="S1220" s="13" t="n">
        <v>43</v>
      </c>
      <c r="T1220" s="13" t="n">
        <v>300</v>
      </c>
      <c r="U1220" s="13" t="n">
        <v>16</v>
      </c>
      <c r="V1220" s="13" t="n">
        <v>196</v>
      </c>
      <c r="W1220" s="13" t="n">
        <v>0.37</v>
      </c>
      <c r="X1220" s="13" t="n">
        <v>135</v>
      </c>
      <c r="Y1220" s="13" t="n">
        <v>103</v>
      </c>
      <c r="Z1220" s="13" t="n">
        <v>164</v>
      </c>
      <c r="AA1220" s="13" t="n">
        <v>3</v>
      </c>
      <c r="AB1220" s="13" t="n">
        <v>11</v>
      </c>
      <c r="AC1220" s="11" t="inlineStr">
        <is>
          <t xml:space="preserve"> Resort Freeride</t>
        </is>
      </c>
      <c r="AD1220" s="13" t="n"/>
      <c r="AE1220" s="13" t="n"/>
      <c r="AF1220" s="13" t="n"/>
      <c r="AG1220" s="13" t="n"/>
    </row>
    <row r="1221">
      <c r="A1221" s="9" t="inlineStr">
        <is>
          <t>21/22</t>
        </is>
      </c>
      <c r="B1221" s="10" t="inlineStr">
        <is>
          <t xml:space="preserve"> Völkl</t>
        </is>
      </c>
      <c r="C1221" s="11" t="inlineStr">
        <is>
          <t>Kenja 88</t>
        </is>
      </c>
      <c r="D1221" s="13" t="n">
        <v>156</v>
      </c>
      <c r="E1221" s="11" t="inlineStr">
        <is>
          <t xml:space="preserve"> Women's</t>
        </is>
      </c>
      <c r="F1221" s="13" t="n">
        <v>156</v>
      </c>
      <c r="G1221" s="13" t="n">
        <v>156.1</v>
      </c>
      <c r="H1221" s="13" t="n">
        <v>108</v>
      </c>
      <c r="I1221" s="13" t="n">
        <v>132</v>
      </c>
      <c r="J1221" s="13" t="n">
        <v>128</v>
      </c>
      <c r="K1221" s="13" t="n">
        <v>87</v>
      </c>
      <c r="L1221" s="13" t="n">
        <v>110</v>
      </c>
      <c r="M1221" s="13" t="n">
        <v>12.9</v>
      </c>
      <c r="N1221" s="13" t="n">
        <v>1675</v>
      </c>
      <c r="O1221" s="13" t="n">
        <v>0.9399999999999999</v>
      </c>
      <c r="P1221" s="13" t="n">
        <v>1567</v>
      </c>
      <c r="Q1221" s="13" t="n">
        <v>194</v>
      </c>
      <c r="R1221" s="13" t="n">
        <v>132</v>
      </c>
      <c r="S1221" s="13" t="n">
        <v>43</v>
      </c>
      <c r="T1221" s="13" t="n">
        <v>283</v>
      </c>
      <c r="U1221" s="13" t="n">
        <v>16</v>
      </c>
      <c r="V1221" s="13" t="n">
        <v>202</v>
      </c>
      <c r="W1221" s="13" t="n">
        <v>0.374</v>
      </c>
      <c r="X1221" s="13" t="n">
        <v>132</v>
      </c>
      <c r="Y1221" s="13" t="n">
        <v>104</v>
      </c>
      <c r="Z1221" s="13" t="n">
        <v>151</v>
      </c>
      <c r="AA1221" s="13" t="n">
        <v>3</v>
      </c>
      <c r="AB1221" s="13" t="n">
        <v>11.6</v>
      </c>
      <c r="AC1221" s="11" t="inlineStr">
        <is>
          <t xml:space="preserve"> Resort Freeride</t>
        </is>
      </c>
      <c r="AD1221" s="13" t="n"/>
      <c r="AE1221" s="13" t="n"/>
      <c r="AF1221" s="13" t="n"/>
      <c r="AG1221" s="13" t="n"/>
    </row>
    <row r="1222">
      <c r="A1222" s="9" t="inlineStr">
        <is>
          <t>21/22</t>
        </is>
      </c>
      <c r="B1222" s="10" t="inlineStr">
        <is>
          <t xml:space="preserve"> Völkl</t>
        </is>
      </c>
      <c r="C1222" s="11" t="inlineStr">
        <is>
          <t>Kenja 88</t>
        </is>
      </c>
      <c r="D1222" s="13" t="n">
        <v>163</v>
      </c>
      <c r="E1222" s="11" t="inlineStr">
        <is>
          <t xml:space="preserve"> Women's</t>
        </is>
      </c>
      <c r="F1222" s="13" t="n">
        <v>163</v>
      </c>
      <c r="G1222" s="13" t="n">
        <v>164</v>
      </c>
      <c r="H1222" s="13" t="n">
        <v>104</v>
      </c>
      <c r="I1222" s="13" t="n">
        <v>140</v>
      </c>
      <c r="J1222" s="13" t="n">
        <v>128</v>
      </c>
      <c r="K1222" s="13" t="n">
        <v>87</v>
      </c>
      <c r="L1222" s="13" t="n">
        <v>110</v>
      </c>
      <c r="M1222" s="13" t="n">
        <v>14.7</v>
      </c>
      <c r="N1222" s="13" t="n">
        <v>1707</v>
      </c>
      <c r="O1222" s="13" t="n">
        <v>0.96</v>
      </c>
      <c r="P1222" s="13" t="n">
        <v>1644</v>
      </c>
      <c r="Q1222" s="13" t="n">
        <v>195</v>
      </c>
      <c r="R1222" s="13" t="n">
        <v>125</v>
      </c>
      <c r="S1222" s="13" t="n">
        <v>44</v>
      </c>
      <c r="T1222" s="13" t="n">
        <v>361</v>
      </c>
      <c r="U1222" s="13" t="n">
        <v>18</v>
      </c>
      <c r="V1222" s="13" t="n">
        <v>238</v>
      </c>
      <c r="W1222" s="13" t="n">
        <v>0.401</v>
      </c>
      <c r="X1222" s="13" t="n">
        <v>133</v>
      </c>
      <c r="Y1222" s="13" t="n">
        <v>105</v>
      </c>
      <c r="Z1222" s="13" t="n">
        <v>228</v>
      </c>
      <c r="AA1222" s="13" t="n">
        <v>3</v>
      </c>
      <c r="AB1222" s="13" t="n">
        <v>11</v>
      </c>
      <c r="AC1222" s="11" t="inlineStr">
        <is>
          <t xml:space="preserve"> Resort Freeride</t>
        </is>
      </c>
      <c r="AD1222" s="13" t="n"/>
      <c r="AE1222" s="13" t="n"/>
      <c r="AF1222" s="13" t="n"/>
      <c r="AG1222" s="13" t="n"/>
    </row>
    <row r="1223">
      <c r="A1223" s="9" t="inlineStr">
        <is>
          <t>21/22</t>
        </is>
      </c>
      <c r="B1223" s="10" t="inlineStr">
        <is>
          <t xml:space="preserve"> Völkl</t>
        </is>
      </c>
      <c r="C1223" s="11" t="inlineStr">
        <is>
          <t>Kenja 88</t>
        </is>
      </c>
      <c r="D1223" s="13" t="n">
        <v>170</v>
      </c>
      <c r="E1223" s="11" t="inlineStr">
        <is>
          <t xml:space="preserve"> Women's</t>
        </is>
      </c>
      <c r="F1223" s="13" t="n">
        <v>170</v>
      </c>
      <c r="G1223" s="13" t="n">
        <v>171.2</v>
      </c>
      <c r="H1223" s="13" t="n">
        <v>123</v>
      </c>
      <c r="I1223" s="13" t="n">
        <v>148</v>
      </c>
      <c r="J1223" s="13" t="n">
        <v>128</v>
      </c>
      <c r="K1223" s="13" t="n">
        <v>87</v>
      </c>
      <c r="L1223" s="13" t="n">
        <v>110</v>
      </c>
      <c r="M1223" s="13" t="n">
        <v>16.4</v>
      </c>
      <c r="N1223" s="13" t="n">
        <v>1843</v>
      </c>
      <c r="O1223" s="13" t="n">
        <v>0.93</v>
      </c>
      <c r="P1223" s="13" t="n">
        <v>1713</v>
      </c>
      <c r="Q1223" s="13" t="n">
        <v>189</v>
      </c>
      <c r="R1223" s="13" t="n">
        <v>126</v>
      </c>
      <c r="S1223" s="13" t="n">
        <v>45</v>
      </c>
      <c r="T1223" s="13" t="n">
        <v>296</v>
      </c>
      <c r="U1223" s="13" t="n">
        <v>15</v>
      </c>
      <c r="V1223" s="13" t="n">
        <v>187</v>
      </c>
      <c r="W1223" s="13" t="n">
        <v>0.321</v>
      </c>
      <c r="X1223" s="13" t="n">
        <v>134</v>
      </c>
      <c r="Y1223" s="13" t="n">
        <v>102</v>
      </c>
      <c r="Z1223" s="13" t="n">
        <v>163</v>
      </c>
      <c r="AA1223" s="13" t="n">
        <v>3</v>
      </c>
      <c r="AB1223" s="13" t="n">
        <v>11.3</v>
      </c>
      <c r="AC1223" s="11" t="inlineStr">
        <is>
          <t xml:space="preserve"> Resort Freeride</t>
        </is>
      </c>
      <c r="AD1223" s="13" t="n"/>
      <c r="AE1223" s="13" t="n"/>
      <c r="AF1223" s="13" t="n"/>
      <c r="AG1223" s="13" t="n"/>
    </row>
    <row r="1224">
      <c r="A1224" s="9" t="inlineStr">
        <is>
          <t>21/22</t>
        </is>
      </c>
      <c r="B1224" s="10" t="inlineStr">
        <is>
          <t xml:space="preserve"> Völkl</t>
        </is>
      </c>
      <c r="C1224" s="11" t="inlineStr">
        <is>
          <t>M6 Mantra</t>
        </is>
      </c>
      <c r="D1224" s="13" t="n">
        <v>163</v>
      </c>
      <c r="E1224" s="11" t="inlineStr">
        <is>
          <t xml:space="preserve"> Unisex</t>
        </is>
      </c>
      <c r="F1224" s="13" t="n">
        <v>163</v>
      </c>
      <c r="G1224" s="13" t="n">
        <v>163.4</v>
      </c>
      <c r="H1224" s="13" t="n">
        <v>124</v>
      </c>
      <c r="I1224" s="13" t="n">
        <v>140</v>
      </c>
      <c r="J1224" s="13" t="n">
        <v>134</v>
      </c>
      <c r="K1224" s="13" t="n">
        <v>95</v>
      </c>
      <c r="L1224" s="13" t="n">
        <v>118</v>
      </c>
      <c r="M1224" s="13" t="n">
        <v>15.2</v>
      </c>
      <c r="N1224" s="13" t="n">
        <v>1813</v>
      </c>
      <c r="O1224" s="13" t="n">
        <v>0.97</v>
      </c>
      <c r="P1224" s="13" t="n">
        <v>1756</v>
      </c>
      <c r="Q1224" s="13" t="n">
        <v>181</v>
      </c>
      <c r="R1224" s="13" t="n">
        <v>119</v>
      </c>
      <c r="S1224" s="13" t="n">
        <v>46</v>
      </c>
      <c r="T1224" s="13" t="n">
        <v>234</v>
      </c>
      <c r="U1224" s="13" t="n">
        <v>15</v>
      </c>
      <c r="V1224" s="13" t="n">
        <v>163</v>
      </c>
      <c r="W1224" s="13" t="n">
        <v>0.326</v>
      </c>
      <c r="X1224" s="13" t="n">
        <v>133</v>
      </c>
      <c r="Y1224" s="13" t="n">
        <v>100</v>
      </c>
      <c r="Z1224" s="13" t="n">
        <v>101</v>
      </c>
      <c r="AA1224" s="13" t="n">
        <v>4</v>
      </c>
      <c r="AB1224" s="13" t="n">
        <v>11.1</v>
      </c>
      <c r="AC1224" s="11" t="inlineStr">
        <is>
          <t xml:space="preserve"> Resort Freeride</t>
        </is>
      </c>
      <c r="AD1224" s="13" t="n"/>
      <c r="AE1224" s="13" t="n"/>
      <c r="AF1224" s="13" t="n"/>
      <c r="AG1224" s="13" t="n"/>
    </row>
    <row r="1225">
      <c r="A1225" s="9" t="inlineStr">
        <is>
          <t>21/22</t>
        </is>
      </c>
      <c r="B1225" s="10" t="inlineStr">
        <is>
          <t xml:space="preserve"> Völkl</t>
        </is>
      </c>
      <c r="C1225" s="11" t="inlineStr">
        <is>
          <t>M6 Mantra</t>
        </is>
      </c>
      <c r="D1225" s="13" t="n">
        <v>170</v>
      </c>
      <c r="E1225" s="11" t="inlineStr">
        <is>
          <t xml:space="preserve"> Unisex</t>
        </is>
      </c>
      <c r="F1225" s="13" t="n">
        <v>170</v>
      </c>
      <c r="G1225" s="13" t="n">
        <v>170.8</v>
      </c>
      <c r="H1225" s="13" t="n">
        <v>125</v>
      </c>
      <c r="I1225" s="13" t="n">
        <v>148</v>
      </c>
      <c r="J1225" s="13" t="n">
        <v>134</v>
      </c>
      <c r="K1225" s="13" t="n">
        <v>95</v>
      </c>
      <c r="L1225" s="13" t="n">
        <v>118</v>
      </c>
      <c r="M1225" s="13" t="n">
        <v>17</v>
      </c>
      <c r="N1225" s="13" t="n">
        <v>1885</v>
      </c>
      <c r="O1225" s="13" t="n">
        <v>0.97</v>
      </c>
      <c r="P1225" s="13" t="n">
        <v>1836</v>
      </c>
      <c r="Q1225" s="13" t="n">
        <v>203</v>
      </c>
      <c r="R1225" s="13" t="n">
        <v>131</v>
      </c>
      <c r="S1225" s="13" t="n">
        <v>44</v>
      </c>
      <c r="T1225" s="13" t="n">
        <v>278</v>
      </c>
      <c r="U1225" s="13" t="n">
        <v>16</v>
      </c>
      <c r="V1225" s="13" t="n">
        <v>178</v>
      </c>
      <c r="W1225" s="13" t="n">
        <v>0.375</v>
      </c>
      <c r="X1225" s="13" t="n">
        <v>131</v>
      </c>
      <c r="Y1225" s="13" t="n">
        <v>99</v>
      </c>
      <c r="Z1225" s="13" t="n">
        <v>147</v>
      </c>
      <c r="AA1225" s="13" t="n">
        <v>3</v>
      </c>
      <c r="AB1225" s="13" t="n">
        <v>11.1</v>
      </c>
      <c r="AC1225" s="11" t="inlineStr">
        <is>
          <t xml:space="preserve"> Resort Freeride</t>
        </is>
      </c>
      <c r="AD1225" s="13" t="n"/>
      <c r="AE1225" s="13" t="n"/>
      <c r="AF1225" s="13" t="n"/>
      <c r="AG1225" s="13" t="n"/>
    </row>
    <row r="1226">
      <c r="A1226" s="9" t="inlineStr">
        <is>
          <t>21/22</t>
        </is>
      </c>
      <c r="B1226" s="10" t="inlineStr">
        <is>
          <t xml:space="preserve"> Völkl</t>
        </is>
      </c>
      <c r="C1226" s="11" t="inlineStr">
        <is>
          <t>M6 Mantra</t>
        </is>
      </c>
      <c r="D1226" s="13" t="n">
        <v>177</v>
      </c>
      <c r="E1226" s="11" t="inlineStr">
        <is>
          <t xml:space="preserve"> Unisex</t>
        </is>
      </c>
      <c r="F1226" s="13" t="n">
        <v>177</v>
      </c>
      <c r="G1226" s="13" t="n">
        <v>178.6</v>
      </c>
      <c r="H1226" s="13" t="n">
        <v>141</v>
      </c>
      <c r="I1226" s="13" t="n">
        <v>155</v>
      </c>
      <c r="J1226" s="13" t="n">
        <v>134</v>
      </c>
      <c r="K1226" s="13" t="n">
        <v>95</v>
      </c>
      <c r="L1226" s="13" t="n">
        <v>118</v>
      </c>
      <c r="M1226" s="13" t="n">
        <v>18.7</v>
      </c>
      <c r="N1226" s="13" t="n">
        <v>2102</v>
      </c>
      <c r="O1226" s="13" t="n">
        <v>0.91</v>
      </c>
      <c r="P1226" s="13" t="n">
        <v>1916</v>
      </c>
      <c r="Q1226" s="13" t="n">
        <v>217</v>
      </c>
      <c r="R1226" s="13" t="n">
        <v>138</v>
      </c>
      <c r="S1226" s="13" t="n">
        <v>42</v>
      </c>
      <c r="T1226" s="13" t="n">
        <v>227</v>
      </c>
      <c r="U1226" s="13" t="n">
        <v>14</v>
      </c>
      <c r="V1226" s="13" t="n">
        <v>146</v>
      </c>
      <c r="W1226" s="13" t="n">
        <v>0.336</v>
      </c>
      <c r="X1226" s="13" t="n">
        <v>135</v>
      </c>
      <c r="Y1226" s="13" t="n">
        <v>103</v>
      </c>
      <c r="Z1226" s="13" t="n">
        <v>92</v>
      </c>
      <c r="AA1226" s="13" t="n">
        <v>6</v>
      </c>
      <c r="AB1226" s="13" t="n">
        <v>11.2</v>
      </c>
      <c r="AC1226" s="11" t="inlineStr">
        <is>
          <t xml:space="preserve"> Resort Freeride</t>
        </is>
      </c>
      <c r="AD1226" s="13" t="n"/>
      <c r="AE1226" s="13" t="n"/>
      <c r="AF1226" s="13" t="n"/>
      <c r="AG1226" s="13" t="n"/>
    </row>
    <row r="1227">
      <c r="A1227" s="9" t="inlineStr">
        <is>
          <t>21/22</t>
        </is>
      </c>
      <c r="B1227" s="10" t="inlineStr">
        <is>
          <t xml:space="preserve"> Völkl</t>
        </is>
      </c>
      <c r="C1227" s="11" t="inlineStr">
        <is>
          <t>M6 Mantra</t>
        </is>
      </c>
      <c r="D1227" s="13" t="n">
        <v>184</v>
      </c>
      <c r="E1227" s="11" t="inlineStr">
        <is>
          <t xml:space="preserve"> Unisex</t>
        </is>
      </c>
      <c r="F1227" s="13" t="n">
        <v>184</v>
      </c>
      <c r="G1227" s="13" t="n">
        <v>183.8</v>
      </c>
      <c r="H1227" s="13" t="n">
        <v>141</v>
      </c>
      <c r="I1227" s="13" t="n">
        <v>160</v>
      </c>
      <c r="J1227" s="13" t="n">
        <v>134</v>
      </c>
      <c r="K1227" s="13" t="n">
        <v>95</v>
      </c>
      <c r="L1227" s="13" t="n">
        <v>118</v>
      </c>
      <c r="M1227" s="13" t="n">
        <v>20.1</v>
      </c>
      <c r="N1227" s="13" t="n">
        <v>2140</v>
      </c>
      <c r="O1227" s="13" t="n">
        <v>0.92</v>
      </c>
      <c r="P1227" s="13" t="n">
        <v>1974</v>
      </c>
      <c r="Q1227" s="13" t="n">
        <v>230</v>
      </c>
      <c r="R1227" s="13" t="n">
        <v>147</v>
      </c>
      <c r="S1227" s="13" t="n">
        <v>45</v>
      </c>
      <c r="T1227" s="13" t="n">
        <v>254</v>
      </c>
      <c r="U1227" s="13" t="n">
        <v>16</v>
      </c>
      <c r="V1227" s="13" t="n">
        <v>174</v>
      </c>
      <c r="W1227" s="13" t="n">
        <v>0.359</v>
      </c>
      <c r="X1227" s="13" t="n">
        <v>135</v>
      </c>
      <c r="Y1227" s="13" t="n">
        <v>107</v>
      </c>
      <c r="Z1227" s="13" t="n">
        <v>119</v>
      </c>
      <c r="AA1227" s="13" t="n">
        <v>5</v>
      </c>
      <c r="AB1227" s="13" t="n">
        <v>11.6</v>
      </c>
      <c r="AC1227" s="11" t="inlineStr">
        <is>
          <t xml:space="preserve"> Resort Freeride</t>
        </is>
      </c>
      <c r="AD1227" s="13" t="n"/>
      <c r="AE1227" s="13" t="n"/>
      <c r="AF1227" s="13" t="n"/>
      <c r="AG1227" s="13" t="n"/>
    </row>
    <row r="1228">
      <c r="A1228" s="9" t="inlineStr">
        <is>
          <t>21/22</t>
        </is>
      </c>
      <c r="B1228" s="10" t="inlineStr">
        <is>
          <t xml:space="preserve"> Völkl</t>
        </is>
      </c>
      <c r="C1228" s="11" t="inlineStr">
        <is>
          <t>M6 Mantra</t>
        </is>
      </c>
      <c r="D1228" s="13" t="n">
        <v>191</v>
      </c>
      <c r="E1228" s="11" t="inlineStr">
        <is>
          <t xml:space="preserve"> Unisex</t>
        </is>
      </c>
      <c r="F1228" s="13" t="n">
        <v>191</v>
      </c>
      <c r="G1228" s="13" t="n">
        <v>190.4</v>
      </c>
      <c r="H1228" s="13" t="n">
        <v>140</v>
      </c>
      <c r="I1228" s="13" t="n">
        <v>168</v>
      </c>
      <c r="J1228" s="13" t="n">
        <v>134</v>
      </c>
      <c r="K1228" s="13" t="n">
        <v>95</v>
      </c>
      <c r="L1228" s="13" t="n">
        <v>118</v>
      </c>
      <c r="M1228" s="13" t="n">
        <v>22</v>
      </c>
      <c r="N1228" s="13" t="n">
        <v>2238</v>
      </c>
      <c r="O1228" s="13" t="n">
        <v>0.91</v>
      </c>
      <c r="P1228" s="13" t="n">
        <v>2046</v>
      </c>
      <c r="Q1228" s="13" t="n">
        <v>230</v>
      </c>
      <c r="R1228" s="13" t="n">
        <v>148</v>
      </c>
      <c r="S1228" s="13" t="n">
        <v>45</v>
      </c>
      <c r="T1228" s="13" t="n">
        <v>283</v>
      </c>
      <c r="U1228" s="13" t="n">
        <v>17</v>
      </c>
      <c r="V1228" s="13" t="n">
        <v>225</v>
      </c>
      <c r="W1228" s="13" t="n">
        <v>0.38</v>
      </c>
      <c r="X1228" s="13" t="n">
        <v>126</v>
      </c>
      <c r="Y1228" s="13" t="n">
        <v>102</v>
      </c>
      <c r="Z1228" s="13" t="n">
        <v>157</v>
      </c>
      <c r="AA1228" s="13" t="n">
        <v>5</v>
      </c>
      <c r="AB1228" s="13" t="n">
        <v>11.1</v>
      </c>
      <c r="AC1228" s="11" t="inlineStr">
        <is>
          <t xml:space="preserve"> Resort Freeride</t>
        </is>
      </c>
      <c r="AD1228" s="13" t="n"/>
      <c r="AE1228" s="13" t="n"/>
      <c r="AF1228" s="13" t="n"/>
      <c r="AG1228" s="13" t="n"/>
    </row>
    <row r="1229">
      <c r="A1229" s="9" t="inlineStr">
        <is>
          <t>21/22</t>
        </is>
      </c>
      <c r="B1229" s="10" t="inlineStr">
        <is>
          <t xml:space="preserve"> Völkl</t>
        </is>
      </c>
      <c r="C1229" s="11" t="inlineStr">
        <is>
          <t>Mantra 102</t>
        </is>
      </c>
      <c r="D1229" s="13" t="n">
        <v>170</v>
      </c>
      <c r="E1229" s="11" t="inlineStr">
        <is>
          <t xml:space="preserve"> Unisex</t>
        </is>
      </c>
      <c r="F1229" s="13" t="n">
        <v>170</v>
      </c>
      <c r="G1229" s="13" t="n">
        <v>171</v>
      </c>
      <c r="H1229" s="13" t="n">
        <v>121</v>
      </c>
      <c r="I1229" s="13" t="n">
        <v>148</v>
      </c>
      <c r="J1229" s="13" t="n">
        <v>139</v>
      </c>
      <c r="K1229" s="13" t="n">
        <v>101</v>
      </c>
      <c r="L1229" s="13" t="n">
        <v>122</v>
      </c>
      <c r="M1229" s="13" t="n">
        <v>18.1</v>
      </c>
      <c r="N1229" s="13" t="n">
        <v>2065</v>
      </c>
      <c r="O1229" s="13" t="n">
        <v>0.93</v>
      </c>
      <c r="P1229" s="13" t="n">
        <v>1928</v>
      </c>
      <c r="Q1229" s="13" t="n">
        <v>235</v>
      </c>
      <c r="R1229" s="13" t="n">
        <v>161</v>
      </c>
      <c r="S1229" s="13" t="n">
        <v>46</v>
      </c>
      <c r="T1229" s="13" t="n">
        <v>283</v>
      </c>
      <c r="U1229" s="13" t="n">
        <v>19</v>
      </c>
      <c r="V1229" s="13" t="n">
        <v>220</v>
      </c>
      <c r="W1229" s="13" t="n">
        <v>0.421</v>
      </c>
      <c r="X1229" s="13" t="n">
        <v>130</v>
      </c>
      <c r="Y1229" s="13" t="n">
        <v>100</v>
      </c>
      <c r="Z1229" s="13" t="n">
        <v>152</v>
      </c>
      <c r="AA1229" s="13" t="n">
        <v>5</v>
      </c>
      <c r="AB1229" s="13" t="n">
        <v>11.3</v>
      </c>
      <c r="AC1229" s="11" t="inlineStr">
        <is>
          <t xml:space="preserve"> Resort Freeride</t>
        </is>
      </c>
      <c r="AD1229" s="11" t="inlineStr">
        <is>
          <t xml:space="preserve"> Powder</t>
        </is>
      </c>
      <c r="AE1229" s="13" t="n"/>
      <c r="AF1229" s="13" t="n"/>
      <c r="AG1229" s="13" t="n"/>
    </row>
    <row r="1230">
      <c r="A1230" s="9" t="inlineStr">
        <is>
          <t>21/22</t>
        </is>
      </c>
      <c r="B1230" s="10" t="inlineStr">
        <is>
          <t xml:space="preserve"> Völkl</t>
        </is>
      </c>
      <c r="C1230" s="11" t="inlineStr">
        <is>
          <t>Mantra 102</t>
        </is>
      </c>
      <c r="D1230" s="13" t="n">
        <v>177</v>
      </c>
      <c r="E1230" s="11" t="inlineStr">
        <is>
          <t xml:space="preserve"> Unisex</t>
        </is>
      </c>
      <c r="F1230" s="13" t="n">
        <v>177</v>
      </c>
      <c r="G1230" s="13" t="n">
        <v>178.2</v>
      </c>
      <c r="H1230" s="13" t="n">
        <v>130</v>
      </c>
      <c r="I1230" s="13" t="n">
        <v>155</v>
      </c>
      <c r="J1230" s="13" t="n">
        <v>139</v>
      </c>
      <c r="K1230" s="13" t="n">
        <v>101</v>
      </c>
      <c r="L1230" s="13" t="n">
        <v>122</v>
      </c>
      <c r="M1230" s="13" t="n">
        <v>20.1</v>
      </c>
      <c r="N1230" s="13" t="n">
        <v>2138</v>
      </c>
      <c r="O1230" s="13" t="n">
        <v>0.9399999999999999</v>
      </c>
      <c r="P1230" s="13" t="n">
        <v>2008</v>
      </c>
      <c r="Q1230" s="13" t="n">
        <v>209</v>
      </c>
      <c r="R1230" s="13" t="n">
        <v>150</v>
      </c>
      <c r="S1230" s="13" t="n">
        <v>53</v>
      </c>
      <c r="T1230" s="13" t="n">
        <v>281</v>
      </c>
      <c r="U1230" s="13" t="n">
        <v>17</v>
      </c>
      <c r="V1230" s="13" t="n">
        <v>201</v>
      </c>
      <c r="W1230" s="13" t="n">
        <v>0.33</v>
      </c>
      <c r="X1230" s="13" t="n">
        <v>132</v>
      </c>
      <c r="Y1230" s="13" t="n">
        <v>102</v>
      </c>
      <c r="Z1230" s="13" t="n">
        <v>149</v>
      </c>
      <c r="AA1230" s="13" t="n">
        <v>5</v>
      </c>
      <c r="AB1230" s="13" t="n">
        <v>11.1</v>
      </c>
      <c r="AC1230" s="11" t="inlineStr">
        <is>
          <t xml:space="preserve"> Resort Freeride</t>
        </is>
      </c>
      <c r="AD1230" s="11" t="inlineStr">
        <is>
          <t xml:space="preserve"> Big Mountain</t>
        </is>
      </c>
      <c r="AE1230" s="13" t="n"/>
      <c r="AF1230" s="13" t="n"/>
      <c r="AG1230" s="13" t="n"/>
    </row>
    <row r="1231">
      <c r="A1231" s="9" t="inlineStr">
        <is>
          <t>21/22</t>
        </is>
      </c>
      <c r="B1231" s="10" t="inlineStr">
        <is>
          <t xml:space="preserve"> Völkl</t>
        </is>
      </c>
      <c r="C1231" s="11" t="inlineStr">
        <is>
          <t>Mantra 102</t>
        </is>
      </c>
      <c r="D1231" s="13" t="n">
        <v>184</v>
      </c>
      <c r="E1231" s="11" t="inlineStr">
        <is>
          <t xml:space="preserve"> Unisex</t>
        </is>
      </c>
      <c r="F1231" s="13" t="n">
        <v>184</v>
      </c>
      <c r="G1231" s="13" t="n">
        <v>183.6</v>
      </c>
      <c r="H1231" s="13" t="n">
        <v>119</v>
      </c>
      <c r="I1231" s="13" t="n">
        <v>161</v>
      </c>
      <c r="J1231" s="13" t="n">
        <v>139</v>
      </c>
      <c r="K1231" s="13" t="n">
        <v>101</v>
      </c>
      <c r="L1231" s="13" t="n">
        <v>123</v>
      </c>
      <c r="M1231" s="13" t="n">
        <v>21.3</v>
      </c>
      <c r="N1231" s="13" t="n">
        <v>2217</v>
      </c>
      <c r="O1231" s="13" t="n">
        <v>0.93</v>
      </c>
      <c r="P1231" s="13" t="n">
        <v>2069</v>
      </c>
      <c r="Q1231" s="13" t="n">
        <v>229</v>
      </c>
      <c r="R1231" s="13" t="n">
        <v>160</v>
      </c>
      <c r="S1231" s="13" t="n">
        <v>48</v>
      </c>
      <c r="T1231" s="13" t="n">
        <v>375</v>
      </c>
      <c r="U1231" s="13" t="n">
        <v>19</v>
      </c>
      <c r="V1231" s="13" t="n">
        <v>267</v>
      </c>
      <c r="W1231" s="13" t="n">
        <v>0.383</v>
      </c>
      <c r="X1231" s="13" t="n">
        <v>131</v>
      </c>
      <c r="Y1231" s="13" t="n">
        <v>100</v>
      </c>
      <c r="Z1231" s="13" t="n">
        <v>244</v>
      </c>
      <c r="AA1231" s="13" t="n">
        <v>3</v>
      </c>
      <c r="AB1231" s="13" t="n">
        <v>11.6</v>
      </c>
      <c r="AC1231" s="11" t="inlineStr">
        <is>
          <t xml:space="preserve"> Resort Freeride</t>
        </is>
      </c>
      <c r="AD1231" s="11" t="inlineStr">
        <is>
          <t xml:space="preserve"> Powder</t>
        </is>
      </c>
      <c r="AE1231" s="11" t="inlineStr">
        <is>
          <t xml:space="preserve"> Big Mountain</t>
        </is>
      </c>
      <c r="AF1231" s="13" t="n"/>
      <c r="AG1231" s="13" t="n"/>
    </row>
    <row r="1232">
      <c r="A1232" s="9" t="inlineStr">
        <is>
          <t>21/22</t>
        </is>
      </c>
      <c r="B1232" s="10" t="inlineStr">
        <is>
          <t xml:space="preserve"> Völkl</t>
        </is>
      </c>
      <c r="C1232" s="11" t="inlineStr">
        <is>
          <t>Mantra 102</t>
        </is>
      </c>
      <c r="D1232" s="13" t="n">
        <v>191</v>
      </c>
      <c r="E1232" s="11" t="inlineStr">
        <is>
          <t xml:space="preserve"> Unisex</t>
        </is>
      </c>
      <c r="F1232" s="13" t="n">
        <v>191</v>
      </c>
      <c r="G1232" s="13" t="n">
        <v>191.5</v>
      </c>
      <c r="H1232" s="13" t="n">
        <v>150</v>
      </c>
      <c r="I1232" s="13" t="n">
        <v>169</v>
      </c>
      <c r="J1232" s="13" t="n">
        <v>139</v>
      </c>
      <c r="K1232" s="13" t="n">
        <v>101</v>
      </c>
      <c r="L1232" s="13" t="n">
        <v>122</v>
      </c>
      <c r="M1232" s="13" t="n">
        <v>23.4</v>
      </c>
      <c r="N1232" s="13" t="n">
        <v>2410</v>
      </c>
      <c r="O1232" s="13" t="n">
        <v>0.89</v>
      </c>
      <c r="P1232" s="13" t="n">
        <v>2155</v>
      </c>
      <c r="Q1232" s="13" t="n">
        <v>263</v>
      </c>
      <c r="R1232" s="13" t="n">
        <v>184</v>
      </c>
      <c r="S1232" s="13" t="n">
        <v>44</v>
      </c>
      <c r="T1232" s="13" t="n">
        <v>251</v>
      </c>
      <c r="U1232" s="13" t="n">
        <v>15</v>
      </c>
      <c r="V1232" s="13" t="n">
        <v>163</v>
      </c>
      <c r="W1232" s="13" t="n">
        <v>0.343</v>
      </c>
      <c r="X1232" s="13" t="n">
        <v>130</v>
      </c>
      <c r="Y1232" s="13" t="n">
        <v>98</v>
      </c>
      <c r="Z1232" s="13" t="n">
        <v>122</v>
      </c>
      <c r="AA1232" s="13" t="n">
        <v>5</v>
      </c>
      <c r="AB1232" s="13" t="n">
        <v>11.8</v>
      </c>
      <c r="AC1232" s="11" t="inlineStr">
        <is>
          <t xml:space="preserve"> Resort Freeride</t>
        </is>
      </c>
      <c r="AD1232" s="11" t="inlineStr">
        <is>
          <t xml:space="preserve"> Big Mountain</t>
        </is>
      </c>
      <c r="AE1232" s="13" t="n"/>
      <c r="AF1232" s="13" t="n"/>
      <c r="AG1232" s="13" t="n"/>
    </row>
    <row r="1233">
      <c r="A1233" s="9" t="inlineStr">
        <is>
          <t>21/22</t>
        </is>
      </c>
      <c r="B1233" s="10" t="inlineStr">
        <is>
          <t xml:space="preserve"> Völkl</t>
        </is>
      </c>
      <c r="C1233" s="11" t="inlineStr">
        <is>
          <t>Mantra M5</t>
        </is>
      </c>
      <c r="D1233" s="13" t="n">
        <v>170</v>
      </c>
      <c r="E1233" s="11" t="inlineStr">
        <is>
          <t xml:space="preserve"> Unisex</t>
        </is>
      </c>
      <c r="F1233" s="13" t="n">
        <v>170</v>
      </c>
      <c r="G1233" s="13" t="n">
        <v>171.3</v>
      </c>
      <c r="H1233" s="13" t="n">
        <v>129</v>
      </c>
      <c r="I1233" s="13" t="n">
        <v>148</v>
      </c>
      <c r="J1233" s="13" t="n">
        <v>133</v>
      </c>
      <c r="K1233" s="13" t="n">
        <v>95</v>
      </c>
      <c r="L1233" s="13" t="n">
        <v>116</v>
      </c>
      <c r="M1233" s="13" t="n">
        <v>18</v>
      </c>
      <c r="N1233" s="13" t="n">
        <v>1971</v>
      </c>
      <c r="O1233" s="13" t="n">
        <v>0.93</v>
      </c>
      <c r="P1233" s="13" t="n">
        <v>1826</v>
      </c>
      <c r="Q1233" s="13" t="n">
        <v>223</v>
      </c>
      <c r="R1233" s="13" t="n">
        <v>150</v>
      </c>
      <c r="S1233" s="13" t="n">
        <v>45</v>
      </c>
      <c r="T1233" s="13" t="n">
        <v>245</v>
      </c>
      <c r="U1233" s="13" t="n">
        <v>16</v>
      </c>
      <c r="V1233" s="13" t="n">
        <v>176</v>
      </c>
      <c r="W1233" s="13" t="n">
        <v>0.351</v>
      </c>
      <c r="X1233" s="13" t="n">
        <v>127</v>
      </c>
      <c r="Y1233" s="13" t="n">
        <v>103</v>
      </c>
      <c r="Z1233" s="13" t="n">
        <v>117</v>
      </c>
      <c r="AA1233" s="13" t="n">
        <v>4</v>
      </c>
      <c r="AB1233" s="13" t="n">
        <v>11.7</v>
      </c>
      <c r="AC1233" s="11" t="inlineStr">
        <is>
          <t xml:space="preserve"> Resort Freeride</t>
        </is>
      </c>
      <c r="AD1233" s="13" t="n"/>
      <c r="AE1233" s="13" t="n"/>
      <c r="AF1233" s="13" t="n"/>
      <c r="AG1233" s="13" t="n"/>
    </row>
    <row r="1234">
      <c r="A1234" s="9" t="inlineStr">
        <is>
          <t>21/22</t>
        </is>
      </c>
      <c r="B1234" s="10" t="inlineStr">
        <is>
          <t xml:space="preserve"> Völkl</t>
        </is>
      </c>
      <c r="C1234" s="11" t="inlineStr">
        <is>
          <t>Mantra M5</t>
        </is>
      </c>
      <c r="D1234" s="13" t="n">
        <v>177</v>
      </c>
      <c r="E1234" s="11" t="inlineStr">
        <is>
          <t xml:space="preserve"> Unisex</t>
        </is>
      </c>
      <c r="F1234" s="13" t="n">
        <v>177</v>
      </c>
      <c r="G1234" s="13" t="n">
        <v>177.9</v>
      </c>
      <c r="H1234" s="13" t="n">
        <v>138</v>
      </c>
      <c r="I1234" s="13" t="n">
        <v>155</v>
      </c>
      <c r="J1234" s="13" t="n">
        <v>133</v>
      </c>
      <c r="K1234" s="13" t="n">
        <v>95</v>
      </c>
      <c r="L1234" s="13" t="n">
        <v>116</v>
      </c>
      <c r="M1234" s="13" t="n">
        <v>20.2</v>
      </c>
      <c r="N1234" s="13" t="n">
        <v>2082</v>
      </c>
      <c r="O1234" s="13" t="n">
        <v>0.91</v>
      </c>
      <c r="P1234" s="13" t="n">
        <v>1895</v>
      </c>
      <c r="Q1234" s="13" t="n">
        <v>224</v>
      </c>
      <c r="R1234" s="13" t="n">
        <v>145</v>
      </c>
      <c r="S1234" s="13" t="n">
        <v>44</v>
      </c>
      <c r="T1234" s="13" t="n">
        <v>256</v>
      </c>
      <c r="U1234" s="13" t="n">
        <v>13</v>
      </c>
      <c r="V1234" s="13" t="n">
        <v>144</v>
      </c>
      <c r="W1234" s="13" t="n">
        <v>0.295</v>
      </c>
      <c r="X1234" s="13" t="n">
        <v>133</v>
      </c>
      <c r="Y1234" s="13" t="n">
        <v>95</v>
      </c>
      <c r="Z1234" s="13" t="n">
        <v>123</v>
      </c>
      <c r="AA1234" s="13" t="n">
        <v>5</v>
      </c>
      <c r="AB1234" s="13" t="n">
        <v>11.6</v>
      </c>
      <c r="AC1234" s="11" t="inlineStr">
        <is>
          <t xml:space="preserve"> Resort Freeride</t>
        </is>
      </c>
      <c r="AD1234" s="13" t="n"/>
      <c r="AE1234" s="13" t="n"/>
      <c r="AF1234" s="13" t="n"/>
      <c r="AG1234" s="13" t="n"/>
    </row>
    <row r="1235">
      <c r="A1235" s="9" t="inlineStr">
        <is>
          <t>21/22</t>
        </is>
      </c>
      <c r="B1235" s="10" t="inlineStr">
        <is>
          <t xml:space="preserve"> Völkl</t>
        </is>
      </c>
      <c r="C1235" s="11" t="inlineStr">
        <is>
          <t>Mantra M5</t>
        </is>
      </c>
      <c r="D1235" s="13" t="n">
        <v>184</v>
      </c>
      <c r="E1235" s="11" t="inlineStr">
        <is>
          <t xml:space="preserve"> Unisex</t>
        </is>
      </c>
      <c r="F1235" s="13" t="n">
        <v>184</v>
      </c>
      <c r="G1235" s="13" t="n">
        <v>183.9</v>
      </c>
      <c r="H1235" s="13" t="n">
        <v>144</v>
      </c>
      <c r="I1235" s="13" t="n">
        <v>160</v>
      </c>
      <c r="J1235" s="13" t="n">
        <v>133</v>
      </c>
      <c r="K1235" s="13" t="n">
        <v>95</v>
      </c>
      <c r="L1235" s="13" t="n">
        <v>116</v>
      </c>
      <c r="M1235" s="13" t="n">
        <v>21.4</v>
      </c>
      <c r="N1235" s="13" t="n">
        <v>2122</v>
      </c>
      <c r="O1235" s="13" t="n">
        <v>0.92</v>
      </c>
      <c r="P1235" s="13" t="n">
        <v>1958</v>
      </c>
      <c r="Q1235" s="13" t="n">
        <v>239</v>
      </c>
      <c r="R1235" s="13" t="n">
        <v>147</v>
      </c>
      <c r="S1235" s="13" t="n">
        <v>44</v>
      </c>
      <c r="T1235" s="13" t="n">
        <v>230</v>
      </c>
      <c r="U1235" s="13" t="n">
        <v>15</v>
      </c>
      <c r="V1235" s="13" t="n">
        <v>166</v>
      </c>
      <c r="W1235" s="13" t="n">
        <v>0.347</v>
      </c>
      <c r="X1235" s="13" t="n">
        <v>138</v>
      </c>
      <c r="Y1235" s="13" t="n">
        <v>106</v>
      </c>
      <c r="Z1235" s="13" t="n">
        <v>92</v>
      </c>
      <c r="AA1235" s="13" t="n">
        <v>6</v>
      </c>
      <c r="AB1235" s="13" t="n">
        <v>11.2</v>
      </c>
      <c r="AC1235" s="11" t="inlineStr">
        <is>
          <t xml:space="preserve"> Resort Freeride</t>
        </is>
      </c>
      <c r="AD1235" s="13" t="n"/>
      <c r="AE1235" s="13" t="n"/>
      <c r="AF1235" s="13" t="n"/>
      <c r="AG1235" s="13" t="n"/>
    </row>
    <row r="1236">
      <c r="A1236" s="9" t="inlineStr">
        <is>
          <t>21/22</t>
        </is>
      </c>
      <c r="B1236" s="10" t="inlineStr">
        <is>
          <t xml:space="preserve"> Völkl</t>
        </is>
      </c>
      <c r="C1236" s="11" t="inlineStr">
        <is>
          <t>Mantra M5</t>
        </is>
      </c>
      <c r="D1236" s="13" t="n">
        <v>191</v>
      </c>
      <c r="E1236" s="11" t="inlineStr">
        <is>
          <t xml:space="preserve"> Unisex</t>
        </is>
      </c>
      <c r="F1236" s="13" t="n">
        <v>191</v>
      </c>
      <c r="G1236" s="13" t="n">
        <v>190.2</v>
      </c>
      <c r="H1236" s="13" t="n">
        <v>136</v>
      </c>
      <c r="I1236" s="13" t="n">
        <v>168</v>
      </c>
      <c r="J1236" s="13" t="n">
        <v>133</v>
      </c>
      <c r="K1236" s="13" t="n">
        <v>95</v>
      </c>
      <c r="L1236" s="13" t="n">
        <v>116</v>
      </c>
      <c r="M1236" s="13" t="n">
        <v>23.7</v>
      </c>
      <c r="N1236" s="13" t="n">
        <v>2258</v>
      </c>
      <c r="O1236" s="13" t="n">
        <v>0.9</v>
      </c>
      <c r="P1236" s="13" t="n">
        <v>2026</v>
      </c>
      <c r="Q1236" s="13" t="n">
        <v>247</v>
      </c>
      <c r="R1236" s="13" t="n">
        <v>155</v>
      </c>
      <c r="S1236" s="13" t="n">
        <v>40</v>
      </c>
      <c r="T1236" s="13" t="n">
        <v>330</v>
      </c>
      <c r="U1236" s="13" t="n">
        <v>18</v>
      </c>
      <c r="V1236" s="13" t="n">
        <v>215</v>
      </c>
      <c r="W1236" s="13" t="n">
        <v>0.45</v>
      </c>
      <c r="X1236" s="13" t="n">
        <v>123</v>
      </c>
      <c r="Y1236" s="13" t="n">
        <v>100</v>
      </c>
      <c r="Z1236" s="13" t="n">
        <v>207</v>
      </c>
      <c r="AA1236" s="13" t="n">
        <v>5</v>
      </c>
      <c r="AB1236" s="13" t="n">
        <v>11.2</v>
      </c>
      <c r="AC1236" s="11" t="inlineStr">
        <is>
          <t xml:space="preserve"> Resort Freeride</t>
        </is>
      </c>
      <c r="AD1236" s="13" t="n"/>
      <c r="AE1236" s="13" t="n"/>
      <c r="AF1236" s="13" t="n"/>
      <c r="AG1236" s="13" t="n"/>
    </row>
    <row r="1237">
      <c r="A1237" s="9" t="inlineStr">
        <is>
          <t>21/22</t>
        </is>
      </c>
      <c r="B1237" s="10" t="inlineStr">
        <is>
          <t xml:space="preserve"> Völkl</t>
        </is>
      </c>
      <c r="C1237" s="11" t="inlineStr">
        <is>
          <t xml:space="preserve"> Mantra V.Werks</t>
        </is>
      </c>
      <c r="D1237" s="13" t="n">
        <v>170</v>
      </c>
      <c r="E1237" s="11" t="inlineStr">
        <is>
          <t xml:space="preserve"> Unisex</t>
        </is>
      </c>
      <c r="F1237" s="13" t="n">
        <v>170</v>
      </c>
      <c r="G1237" s="13" t="n">
        <v>169.7</v>
      </c>
      <c r="H1237" s="13" t="n">
        <v>113</v>
      </c>
      <c r="I1237" s="13" t="n">
        <v>142</v>
      </c>
      <c r="J1237" s="13" t="n">
        <v>134</v>
      </c>
      <c r="K1237" s="13" t="n">
        <v>98</v>
      </c>
      <c r="L1237" s="13" t="n">
        <v>116</v>
      </c>
      <c r="M1237" s="13" t="n">
        <v>18.4</v>
      </c>
      <c r="N1237" s="13" t="n">
        <v>1583</v>
      </c>
      <c r="O1237" s="13" t="n">
        <v>1.17</v>
      </c>
      <c r="P1237" s="13" t="n">
        <v>1849</v>
      </c>
      <c r="Q1237" s="13" t="n">
        <v>174</v>
      </c>
      <c r="R1237" s="13" t="n">
        <v>147</v>
      </c>
      <c r="S1237" s="13" t="n">
        <v>47</v>
      </c>
      <c r="T1237" s="13" t="n">
        <v>321</v>
      </c>
      <c r="U1237" s="13" t="n">
        <v>17</v>
      </c>
      <c r="V1237" s="13" t="n">
        <v>242</v>
      </c>
      <c r="W1237" s="13" t="n">
        <v>0.363</v>
      </c>
      <c r="X1237" s="13" t="n">
        <v>155</v>
      </c>
      <c r="Y1237" s="13" t="n">
        <v>121</v>
      </c>
      <c r="Z1237" s="13" t="n">
        <v>166</v>
      </c>
      <c r="AA1237" s="13" t="n">
        <v>2</v>
      </c>
      <c r="AB1237" s="13" t="n">
        <v>10.6</v>
      </c>
      <c r="AC1237" s="11" t="inlineStr">
        <is>
          <t xml:space="preserve"> Resort Freeride</t>
        </is>
      </c>
      <c r="AD1237" s="11" t="inlineStr">
        <is>
          <t xml:space="preserve"> Touring</t>
        </is>
      </c>
      <c r="AE1237" s="13" t="n"/>
      <c r="AF1237" s="13" t="n"/>
      <c r="AG1237" s="13" t="n"/>
    </row>
    <row r="1238">
      <c r="A1238" s="9" t="inlineStr">
        <is>
          <t>21/22</t>
        </is>
      </c>
      <c r="B1238" s="10" t="inlineStr">
        <is>
          <t xml:space="preserve"> Völkl</t>
        </is>
      </c>
      <c r="C1238" s="11" t="inlineStr">
        <is>
          <t xml:space="preserve"> Mantra V.Werks</t>
        </is>
      </c>
      <c r="D1238" s="13" t="n">
        <v>178</v>
      </c>
      <c r="E1238" s="11" t="inlineStr">
        <is>
          <t xml:space="preserve"> Unisex</t>
        </is>
      </c>
      <c r="F1238" s="13" t="n">
        <v>178</v>
      </c>
      <c r="G1238" s="13" t="n">
        <v>179.8</v>
      </c>
      <c r="H1238" s="13" t="n">
        <v>130</v>
      </c>
      <c r="I1238" s="13" t="n">
        <v>151</v>
      </c>
      <c r="J1238" s="13" t="n">
        <v>134</v>
      </c>
      <c r="K1238" s="13" t="n">
        <v>98</v>
      </c>
      <c r="L1238" s="13" t="n">
        <v>116</v>
      </c>
      <c r="M1238" s="13" t="n">
        <v>21.2</v>
      </c>
      <c r="N1238" s="13" t="n">
        <v>1653</v>
      </c>
      <c r="O1238" s="13" t="n">
        <v>1.18</v>
      </c>
      <c r="P1238" s="13" t="n">
        <v>1955</v>
      </c>
      <c r="Q1238" s="13" t="n">
        <v>190</v>
      </c>
      <c r="R1238" s="13" t="n">
        <v>150</v>
      </c>
      <c r="S1238" s="13" t="n">
        <v>49</v>
      </c>
      <c r="T1238" s="13" t="n">
        <v>294</v>
      </c>
      <c r="U1238" s="13" t="n">
        <v>17</v>
      </c>
      <c r="V1238" s="13" t="n">
        <v>208</v>
      </c>
      <c r="W1238" s="13" t="n">
        <v>0.354</v>
      </c>
      <c r="X1238" s="13" t="n">
        <v>155</v>
      </c>
      <c r="Y1238" s="13" t="n">
        <v>129</v>
      </c>
      <c r="Z1238" s="13" t="n">
        <v>139</v>
      </c>
      <c r="AA1238" s="13" t="n">
        <v>2</v>
      </c>
      <c r="AB1238" s="13" t="n">
        <v>10.5</v>
      </c>
      <c r="AC1238" s="11" t="inlineStr">
        <is>
          <t xml:space="preserve"> Resort Freeride</t>
        </is>
      </c>
      <c r="AD1238" s="11" t="inlineStr">
        <is>
          <t xml:space="preserve"> Touring</t>
        </is>
      </c>
      <c r="AE1238" s="13" t="n"/>
      <c r="AF1238" s="13" t="n"/>
      <c r="AG1238" s="13" t="n"/>
    </row>
    <row r="1239">
      <c r="A1239" s="9" t="inlineStr">
        <is>
          <t>21/22</t>
        </is>
      </c>
      <c r="B1239" s="10" t="inlineStr">
        <is>
          <t xml:space="preserve"> Völkl</t>
        </is>
      </c>
      <c r="C1239" s="11" t="inlineStr">
        <is>
          <t xml:space="preserve"> Mantra V.Werks</t>
        </is>
      </c>
      <c r="D1239" s="13" t="n">
        <v>186</v>
      </c>
      <c r="E1239" s="11" t="inlineStr">
        <is>
          <t xml:space="preserve"> Unisex</t>
        </is>
      </c>
      <c r="F1239" s="13" t="n">
        <v>186</v>
      </c>
      <c r="G1239" s="13" t="n">
        <v>187.1</v>
      </c>
      <c r="H1239" s="13" t="n">
        <v>131</v>
      </c>
      <c r="I1239" s="13" t="n">
        <v>159</v>
      </c>
      <c r="J1239" s="13" t="n">
        <v>134</v>
      </c>
      <c r="K1239" s="13" t="n">
        <v>98</v>
      </c>
      <c r="L1239" s="13" t="n">
        <v>116</v>
      </c>
      <c r="M1239" s="13" t="n">
        <v>23.4</v>
      </c>
      <c r="N1239" s="13" t="n">
        <v>1775</v>
      </c>
      <c r="O1239" s="13" t="n">
        <v>1.15</v>
      </c>
      <c r="P1239" s="13" t="n">
        <v>2038</v>
      </c>
      <c r="Q1239" s="13" t="n">
        <v>190</v>
      </c>
      <c r="R1239" s="13" t="n">
        <v>147</v>
      </c>
      <c r="S1239" s="13" t="n">
        <v>49</v>
      </c>
      <c r="T1239" s="13" t="n">
        <v>327</v>
      </c>
      <c r="U1239" s="13" t="n">
        <v>18</v>
      </c>
      <c r="V1239" s="13" t="n">
        <v>235</v>
      </c>
      <c r="W1239" s="13" t="n">
        <v>0.367</v>
      </c>
      <c r="X1239" s="13" t="n">
        <v>151</v>
      </c>
      <c r="Y1239" s="13" t="n">
        <v>126</v>
      </c>
      <c r="Z1239" s="13" t="n">
        <v>177</v>
      </c>
      <c r="AA1239" s="13" t="n">
        <v>3</v>
      </c>
      <c r="AB1239" s="13" t="n">
        <v>10.7</v>
      </c>
      <c r="AC1239" s="11" t="inlineStr">
        <is>
          <t xml:space="preserve"> Resort Freeride</t>
        </is>
      </c>
      <c r="AD1239" s="11" t="inlineStr">
        <is>
          <t xml:space="preserve"> Touring</t>
        </is>
      </c>
      <c r="AE1239" s="13" t="n"/>
      <c r="AF1239" s="13" t="n"/>
      <c r="AG1239" s="13" t="n"/>
    </row>
    <row r="1240">
      <c r="A1240" s="9" t="inlineStr">
        <is>
          <t>21/22</t>
        </is>
      </c>
      <c r="B1240" s="10" t="inlineStr">
        <is>
          <t xml:space="preserve"> Völkl</t>
        </is>
      </c>
      <c r="C1240" s="11" t="inlineStr">
        <is>
          <t xml:space="preserve"> Racetiger SC</t>
        </is>
      </c>
      <c r="D1240" s="13" t="n">
        <v>170</v>
      </c>
      <c r="E1240" s="11" t="inlineStr">
        <is>
          <t xml:space="preserve"> Unisex</t>
        </is>
      </c>
      <c r="F1240" s="13" t="n">
        <v>170</v>
      </c>
      <c r="G1240" s="13" t="n">
        <v>169.3</v>
      </c>
      <c r="H1240" s="13" t="n">
        <v>149</v>
      </c>
      <c r="I1240" s="13" t="n">
        <v>154</v>
      </c>
      <c r="J1240" s="13" t="n">
        <v>122</v>
      </c>
      <c r="K1240" s="13" t="n">
        <v>69</v>
      </c>
      <c r="L1240" s="13" t="n">
        <v>102</v>
      </c>
      <c r="M1240" s="13" t="n">
        <v>13.9</v>
      </c>
      <c r="N1240" s="13" t="n">
        <v>1987</v>
      </c>
      <c r="O1240" s="13" t="n">
        <v>0.73</v>
      </c>
      <c r="P1240" s="13" t="n">
        <v>1441</v>
      </c>
      <c r="Q1240" s="13" t="n">
        <v>244</v>
      </c>
      <c r="R1240" s="13" t="n">
        <v>102</v>
      </c>
      <c r="S1240" s="13" t="n">
        <v>41</v>
      </c>
      <c r="T1240" s="13" t="n">
        <v>149</v>
      </c>
      <c r="U1240" s="13" t="n">
        <v>6</v>
      </c>
      <c r="V1240" s="13" t="n">
        <v>53</v>
      </c>
      <c r="W1240" s="13" t="n">
        <v>0.141</v>
      </c>
      <c r="X1240" s="13" t="n">
        <v>71</v>
      </c>
      <c r="Y1240" s="13" t="n">
        <v>79</v>
      </c>
      <c r="Z1240" s="13" t="n">
        <v>78</v>
      </c>
      <c r="AA1240" s="13" t="n">
        <v>6</v>
      </c>
      <c r="AB1240" s="13" t="n">
        <v>11.5</v>
      </c>
      <c r="AC1240" s="11" t="inlineStr">
        <is>
          <t xml:space="preserve"> On-Piste Carving</t>
        </is>
      </c>
      <c r="AD1240" s="13" t="n"/>
      <c r="AE1240" s="13" t="n"/>
      <c r="AF1240" s="13" t="n"/>
      <c r="AG1240" s="13" t="n"/>
    </row>
    <row r="1241">
      <c r="A1241" s="9" t="inlineStr">
        <is>
          <t>21/22</t>
        </is>
      </c>
      <c r="B1241" s="10" t="inlineStr">
        <is>
          <t xml:space="preserve"> Völkl</t>
        </is>
      </c>
      <c r="C1241" s="11" t="inlineStr">
        <is>
          <t xml:space="preserve"> Racetiger SL</t>
        </is>
      </c>
      <c r="D1241" s="13" t="n">
        <v>155</v>
      </c>
      <c r="E1241" s="11" t="inlineStr">
        <is>
          <t xml:space="preserve"> Unisex</t>
        </is>
      </c>
      <c r="F1241" s="13" t="n">
        <v>155</v>
      </c>
      <c r="G1241" s="13" t="n">
        <v>154.6</v>
      </c>
      <c r="H1241" s="13" t="n">
        <v>130</v>
      </c>
      <c r="I1241" s="13" t="n">
        <v>144</v>
      </c>
      <c r="J1241" s="13" t="n">
        <v>126</v>
      </c>
      <c r="K1241" s="13" t="n">
        <v>67</v>
      </c>
      <c r="L1241" s="13" t="n">
        <v>102</v>
      </c>
      <c r="M1241" s="13" t="n">
        <v>11</v>
      </c>
      <c r="N1241" s="13" t="n">
        <v>1934</v>
      </c>
      <c r="O1241" s="13" t="n">
        <v>0.68</v>
      </c>
      <c r="P1241" s="13" t="n">
        <v>1306</v>
      </c>
      <c r="Q1241" s="13" t="n">
        <v>190</v>
      </c>
      <c r="R1241" s="13" t="n">
        <v>124</v>
      </c>
      <c r="S1241" s="13" t="n">
        <v>43</v>
      </c>
      <c r="T1241" s="13" t="n">
        <v>186</v>
      </c>
      <c r="U1241" s="13" t="n">
        <v>6</v>
      </c>
      <c r="V1241" s="13" t="n">
        <v>58</v>
      </c>
      <c r="W1241" s="13" t="n">
        <v>0.133</v>
      </c>
      <c r="X1241" s="13" t="n">
        <v>63</v>
      </c>
      <c r="Y1241" s="13" t="n">
        <v>48</v>
      </c>
      <c r="Z1241" s="13" t="n">
        <v>123</v>
      </c>
      <c r="AA1241" s="13" t="n">
        <v>4</v>
      </c>
      <c r="AB1241" s="13" t="n">
        <v>13.2</v>
      </c>
      <c r="AC1241" s="11" t="inlineStr">
        <is>
          <t xml:space="preserve"> On-Piste Carving</t>
        </is>
      </c>
      <c r="AD1241" s="13" t="n"/>
      <c r="AE1241" s="13" t="n"/>
      <c r="AF1241" s="13" t="n"/>
      <c r="AG1241" s="13" t="n"/>
    </row>
    <row r="1242">
      <c r="A1242" s="9" t="inlineStr">
        <is>
          <t>21/22</t>
        </is>
      </c>
      <c r="B1242" s="10" t="inlineStr">
        <is>
          <t xml:space="preserve"> Völkl</t>
        </is>
      </c>
      <c r="C1242" s="11" t="inlineStr">
        <is>
          <t xml:space="preserve"> Racetiger SL</t>
        </is>
      </c>
      <c r="D1242" s="13" t="n">
        <v>160</v>
      </c>
      <c r="E1242" s="11" t="inlineStr">
        <is>
          <t xml:space="preserve"> Unisex</t>
        </is>
      </c>
      <c r="F1242" s="13" t="n">
        <v>160</v>
      </c>
      <c r="G1242" s="13" t="n">
        <v>159.7</v>
      </c>
      <c r="H1242" s="13" t="n">
        <v>138</v>
      </c>
      <c r="I1242" s="13" t="n">
        <v>148</v>
      </c>
      <c r="J1242" s="13" t="n">
        <v>125</v>
      </c>
      <c r="K1242" s="13" t="n">
        <v>67</v>
      </c>
      <c r="L1242" s="13" t="n">
        <v>102</v>
      </c>
      <c r="M1242" s="13" t="n">
        <v>11.7</v>
      </c>
      <c r="N1242" s="13" t="n">
        <v>1979</v>
      </c>
      <c r="O1242" s="13" t="n">
        <v>0.68</v>
      </c>
      <c r="P1242" s="13" t="n">
        <v>1351</v>
      </c>
      <c r="Q1242" s="13" t="n">
        <v>184</v>
      </c>
      <c r="R1242" s="13" t="n">
        <v>124</v>
      </c>
      <c r="S1242" s="13" t="n">
        <v>41</v>
      </c>
      <c r="T1242" s="13" t="n">
        <v>157</v>
      </c>
      <c r="U1242" s="13" t="n">
        <v>7</v>
      </c>
      <c r="V1242" s="13" t="n">
        <v>59</v>
      </c>
      <c r="W1242" s="13" t="n">
        <v>0.176</v>
      </c>
      <c r="X1242" s="13" t="n">
        <v>60</v>
      </c>
      <c r="Y1242" s="13" t="n">
        <v>53</v>
      </c>
      <c r="Z1242" s="13" t="n">
        <v>97</v>
      </c>
      <c r="AA1242" s="13" t="n">
        <v>5</v>
      </c>
      <c r="AB1242" s="13" t="n">
        <v>11.9</v>
      </c>
      <c r="AC1242" s="11" t="inlineStr">
        <is>
          <t xml:space="preserve"> On-Piste Carving</t>
        </is>
      </c>
      <c r="AD1242" s="13" t="n"/>
      <c r="AE1242" s="13" t="n"/>
      <c r="AF1242" s="13" t="n"/>
      <c r="AG1242" s="13" t="n"/>
    </row>
    <row r="1243">
      <c r="A1243" s="9" t="inlineStr">
        <is>
          <t>21/22</t>
        </is>
      </c>
      <c r="B1243" s="10" t="inlineStr">
        <is>
          <t xml:space="preserve"> Völkl</t>
        </is>
      </c>
      <c r="C1243" s="11" t="inlineStr">
        <is>
          <t xml:space="preserve"> Racetiger SL</t>
        </is>
      </c>
      <c r="D1243" s="13" t="n">
        <v>170</v>
      </c>
      <c r="E1243" s="11" t="inlineStr">
        <is>
          <t xml:space="preserve"> Unisex</t>
        </is>
      </c>
      <c r="F1243" s="13" t="n">
        <v>170</v>
      </c>
      <c r="G1243" s="13" t="n">
        <v>169.2</v>
      </c>
      <c r="H1243" s="13" t="n">
        <v>146</v>
      </c>
      <c r="I1243" s="13" t="n">
        <v>158</v>
      </c>
      <c r="J1243" s="13" t="n">
        <v>126</v>
      </c>
      <c r="K1243" s="13" t="n">
        <v>67</v>
      </c>
      <c r="L1243" s="13" t="n">
        <v>102</v>
      </c>
      <c r="M1243" s="13" t="n">
        <v>13.4</v>
      </c>
      <c r="N1243" s="13" t="n">
        <v>2068</v>
      </c>
      <c r="O1243" s="13" t="n">
        <v>0.6899999999999999</v>
      </c>
      <c r="P1243" s="13" t="n">
        <v>1425</v>
      </c>
      <c r="Q1243" s="13" t="n">
        <v>229</v>
      </c>
      <c r="R1243" s="13" t="n">
        <v>150</v>
      </c>
      <c r="S1243" s="13" t="n">
        <v>43</v>
      </c>
      <c r="T1243" s="13" t="n">
        <v>174</v>
      </c>
      <c r="U1243" s="13" t="n">
        <v>6</v>
      </c>
      <c r="V1243" s="13" t="n">
        <v>61</v>
      </c>
      <c r="W1243" s="13" t="n">
        <v>0.151</v>
      </c>
      <c r="X1243" s="13" t="n">
        <v>57</v>
      </c>
      <c r="Y1243" s="13" t="n">
        <v>50</v>
      </c>
      <c r="Z1243" s="13" t="n">
        <v>117</v>
      </c>
      <c r="AA1243" s="13" t="n">
        <v>5</v>
      </c>
      <c r="AB1243" s="13" t="n">
        <v>11.5</v>
      </c>
      <c r="AC1243" s="11" t="inlineStr">
        <is>
          <t xml:space="preserve"> On-Piste Carving</t>
        </is>
      </c>
      <c r="AD1243" s="13" t="n"/>
      <c r="AE1243" s="13" t="n"/>
      <c r="AF1243" s="13" t="n"/>
      <c r="AG1243" s="13" t="n"/>
    </row>
    <row r="1244">
      <c r="A1244" s="9" t="inlineStr">
        <is>
          <t>21/22</t>
        </is>
      </c>
      <c r="B1244" s="10" t="inlineStr">
        <is>
          <t xml:space="preserve"> Völkl</t>
        </is>
      </c>
      <c r="C1244" s="11" t="inlineStr">
        <is>
          <t>Revolt 104</t>
        </is>
      </c>
      <c r="D1244" s="13" t="n">
        <v>180</v>
      </c>
      <c r="E1244" s="11" t="inlineStr">
        <is>
          <t xml:space="preserve"> Unisex</t>
        </is>
      </c>
      <c r="F1244" s="13" t="n">
        <v>180</v>
      </c>
      <c r="G1244" s="13" t="n">
        <v>179.9</v>
      </c>
      <c r="H1244" s="13" t="n">
        <v>96</v>
      </c>
      <c r="I1244" s="13" t="n">
        <v>142</v>
      </c>
      <c r="J1244" s="13" t="n">
        <v>131</v>
      </c>
      <c r="K1244" s="13" t="n">
        <v>103</v>
      </c>
      <c r="L1244" s="13" t="n">
        <v>121</v>
      </c>
      <c r="M1244" s="13" t="n">
        <v>20.4</v>
      </c>
      <c r="N1244" s="13" t="n">
        <v>1958</v>
      </c>
      <c r="O1244" s="13" t="n">
        <v>1.03</v>
      </c>
      <c r="P1244" s="13" t="n">
        <v>2014</v>
      </c>
      <c r="Q1244" s="13" t="n">
        <v>168</v>
      </c>
      <c r="R1244" s="13" t="n">
        <v>82</v>
      </c>
      <c r="S1244" s="13" t="n">
        <v>56</v>
      </c>
      <c r="T1244" s="13" t="n">
        <v>462</v>
      </c>
      <c r="U1244" s="13" t="n">
        <v>39</v>
      </c>
      <c r="V1244" s="13" t="n">
        <v>374</v>
      </c>
      <c r="W1244" s="13" t="n">
        <v>0.704</v>
      </c>
      <c r="X1244" s="13" t="n">
        <v>172</v>
      </c>
      <c r="Y1244" s="13" t="n">
        <v>209</v>
      </c>
      <c r="Z1244" s="13" t="n">
        <v>290</v>
      </c>
      <c r="AA1244" s="13" t="n">
        <v>5</v>
      </c>
      <c r="AB1244" s="13" t="n">
        <v>1.6</v>
      </c>
      <c r="AC1244" s="11" t="inlineStr">
        <is>
          <t xml:space="preserve"> Resort Freeride</t>
        </is>
      </c>
      <c r="AD1244" s="11" t="inlineStr">
        <is>
          <t xml:space="preserve"> Powder</t>
        </is>
      </c>
      <c r="AE1244" s="13" t="n"/>
      <c r="AF1244" s="13" t="n"/>
      <c r="AG1244" s="13" t="n"/>
    </row>
    <row r="1245">
      <c r="A1245" s="9" t="inlineStr">
        <is>
          <t>21/22</t>
        </is>
      </c>
      <c r="B1245" s="10" t="inlineStr">
        <is>
          <t xml:space="preserve"> Völkl</t>
        </is>
      </c>
      <c r="C1245" s="11" t="inlineStr">
        <is>
          <t>Revolt 104</t>
        </is>
      </c>
      <c r="D1245" s="13" t="n">
        <v>188</v>
      </c>
      <c r="E1245" s="11" t="inlineStr">
        <is>
          <t xml:space="preserve"> Unisex</t>
        </is>
      </c>
      <c r="F1245" s="13" t="n">
        <v>188</v>
      </c>
      <c r="G1245" s="13" t="n">
        <v>186.7</v>
      </c>
      <c r="H1245" s="13" t="n">
        <v>106</v>
      </c>
      <c r="I1245" s="13" t="n">
        <v>148</v>
      </c>
      <c r="J1245" s="13" t="n">
        <v>131</v>
      </c>
      <c r="K1245" s="13" t="n">
        <v>103</v>
      </c>
      <c r="L1245" s="13" t="n">
        <v>120</v>
      </c>
      <c r="M1245" s="13" t="n">
        <v>22.6</v>
      </c>
      <c r="N1245" s="13" t="n">
        <v>2095</v>
      </c>
      <c r="O1245" s="13" t="n">
        <v>1</v>
      </c>
      <c r="P1245" s="13" t="n">
        <v>2094</v>
      </c>
      <c r="Q1245" s="13" t="n">
        <v>182</v>
      </c>
      <c r="R1245" s="13" t="n">
        <v>88</v>
      </c>
      <c r="S1245" s="13" t="n">
        <v>57</v>
      </c>
      <c r="T1245" s="13" t="n">
        <v>399</v>
      </c>
      <c r="U1245" s="13" t="n">
        <v>41</v>
      </c>
      <c r="V1245" s="13" t="n">
        <v>406</v>
      </c>
      <c r="W1245" s="13" t="n">
        <v>0.721</v>
      </c>
      <c r="X1245" s="13" t="n">
        <v>194</v>
      </c>
      <c r="Y1245" s="13" t="n">
        <v>193</v>
      </c>
      <c r="Z1245" s="13" t="n">
        <v>205</v>
      </c>
      <c r="AA1245" s="13" t="n">
        <v>5</v>
      </c>
      <c r="AB1245" s="13" t="n">
        <v>2.5</v>
      </c>
      <c r="AC1245" s="11" t="inlineStr">
        <is>
          <t xml:space="preserve"> Resort Freeride</t>
        </is>
      </c>
      <c r="AD1245" s="11" t="inlineStr">
        <is>
          <t xml:space="preserve"> Powder</t>
        </is>
      </c>
      <c r="AE1245" s="13" t="n"/>
      <c r="AF1245" s="13" t="n"/>
      <c r="AG1245" s="13" t="n"/>
    </row>
    <row r="1246">
      <c r="A1246" s="9" t="inlineStr">
        <is>
          <t>21/22</t>
        </is>
      </c>
      <c r="B1246" s="10" t="inlineStr">
        <is>
          <t xml:space="preserve"> Völkl</t>
        </is>
      </c>
      <c r="C1246" s="11" t="inlineStr">
        <is>
          <t>Revolt 121</t>
        </is>
      </c>
      <c r="D1246" s="13" t="n">
        <v>177</v>
      </c>
      <c r="E1246" s="11" t="inlineStr">
        <is>
          <t xml:space="preserve"> Unisex</t>
        </is>
      </c>
      <c r="F1246" s="13" t="n">
        <v>177</v>
      </c>
      <c r="G1246" s="13" t="n">
        <v>177.4</v>
      </c>
      <c r="H1246" s="13" t="n">
        <v>82</v>
      </c>
      <c r="I1246" s="13" t="n">
        <v>118</v>
      </c>
      <c r="J1246" s="13" t="n">
        <v>141</v>
      </c>
      <c r="K1246" s="13" t="n">
        <v>120</v>
      </c>
      <c r="L1246" s="13" t="n">
        <v>133</v>
      </c>
      <c r="M1246" s="13" t="n">
        <v>17.7</v>
      </c>
      <c r="N1246" s="13" t="n">
        <v>2158</v>
      </c>
      <c r="O1246" s="13" t="n">
        <v>1.04</v>
      </c>
      <c r="P1246" s="13" t="n">
        <v>2242</v>
      </c>
      <c r="Q1246" s="13" t="n">
        <v>193</v>
      </c>
      <c r="R1246" s="13" t="n">
        <v>94</v>
      </c>
      <c r="S1246" s="13" t="n">
        <v>77</v>
      </c>
      <c r="T1246" s="13" t="n">
        <v>487</v>
      </c>
      <c r="U1246" s="13" t="n">
        <v>45</v>
      </c>
      <c r="V1246" s="13" t="n">
        <v>465</v>
      </c>
      <c r="W1246" s="13" t="n">
        <v>0.585</v>
      </c>
      <c r="X1246" s="13" t="n">
        <v>298</v>
      </c>
      <c r="Y1246" s="13" t="n">
        <v>298</v>
      </c>
      <c r="Z1246" s="13" t="n">
        <v>189</v>
      </c>
      <c r="AA1246" s="13" t="n">
        <v>5</v>
      </c>
      <c r="AB1246" s="13" t="n">
        <v>3.4</v>
      </c>
      <c r="AC1246" s="11" t="inlineStr">
        <is>
          <t xml:space="preserve"> Powder</t>
        </is>
      </c>
      <c r="AD1246" s="13" t="n"/>
      <c r="AE1246" s="13" t="n"/>
      <c r="AF1246" s="13" t="n"/>
      <c r="AG1246" s="13" t="n"/>
    </row>
    <row r="1247">
      <c r="A1247" s="9" t="inlineStr">
        <is>
          <t>21/22</t>
        </is>
      </c>
      <c r="B1247" s="10" t="inlineStr">
        <is>
          <t xml:space="preserve"> Völkl</t>
        </is>
      </c>
      <c r="C1247" s="11" t="inlineStr">
        <is>
          <t>Revolt 87</t>
        </is>
      </c>
      <c r="D1247" s="13" t="n">
        <v>169</v>
      </c>
      <c r="E1247" s="11" t="inlineStr">
        <is>
          <t xml:space="preserve"> Unisex</t>
        </is>
      </c>
      <c r="F1247" s="13" t="n">
        <v>169</v>
      </c>
      <c r="G1247" s="13" t="n">
        <v>166.1</v>
      </c>
      <c r="H1247" s="13" t="n">
        <v>133</v>
      </c>
      <c r="I1247" s="13" t="n">
        <v>145</v>
      </c>
      <c r="J1247" s="13" t="n">
        <v>115</v>
      </c>
      <c r="K1247" s="13" t="n">
        <v>86</v>
      </c>
      <c r="L1247" s="13" t="n">
        <v>115</v>
      </c>
      <c r="M1247" s="13" t="n">
        <v>18</v>
      </c>
      <c r="N1247" s="13" t="n">
        <v>1834</v>
      </c>
      <c r="O1247" s="13" t="n">
        <v>0.87</v>
      </c>
      <c r="P1247" s="13" t="n">
        <v>1604</v>
      </c>
      <c r="Q1247" s="13" t="n">
        <v>221</v>
      </c>
      <c r="R1247" s="13" t="n">
        <v>103</v>
      </c>
      <c r="S1247" s="13" t="n">
        <v>45</v>
      </c>
      <c r="T1247" s="13" t="n">
        <v>169</v>
      </c>
      <c r="U1247" s="13" t="n">
        <v>42</v>
      </c>
      <c r="V1247" s="13" t="n">
        <v>166</v>
      </c>
      <c r="W1247" s="13" t="n">
        <v>0.929</v>
      </c>
      <c r="X1247" s="13" t="n">
        <v>103</v>
      </c>
      <c r="Y1247" s="13" t="n">
        <v>110</v>
      </c>
      <c r="Z1247" s="13" t="n">
        <v>67</v>
      </c>
      <c r="AA1247" s="13" t="n">
        <v>7</v>
      </c>
      <c r="AB1247" s="13" t="n">
        <v>0.4</v>
      </c>
      <c r="AC1247" s="11" t="inlineStr">
        <is>
          <t xml:space="preserve"> Freeski</t>
        </is>
      </c>
      <c r="AD1247" s="13" t="n"/>
      <c r="AE1247" s="13" t="n"/>
      <c r="AF1247" s="13" t="n"/>
      <c r="AG1247" s="13" t="n"/>
    </row>
    <row r="1248">
      <c r="A1248" s="9" t="inlineStr">
        <is>
          <t>21/22</t>
        </is>
      </c>
      <c r="B1248" s="10" t="inlineStr">
        <is>
          <t xml:space="preserve"> Völkl</t>
        </is>
      </c>
      <c r="C1248" s="11" t="inlineStr">
        <is>
          <t>Revolt 87</t>
        </is>
      </c>
      <c r="D1248" s="13" t="n">
        <v>177</v>
      </c>
      <c r="E1248" s="11" t="inlineStr">
        <is>
          <t xml:space="preserve"> Unisex</t>
        </is>
      </c>
      <c r="F1248" s="13" t="n">
        <v>177</v>
      </c>
      <c r="G1248" s="13" t="n">
        <v>173.4</v>
      </c>
      <c r="H1248" s="13" t="n">
        <v>139</v>
      </c>
      <c r="I1248" s="13" t="n">
        <v>152</v>
      </c>
      <c r="J1248" s="13" t="n">
        <v>115</v>
      </c>
      <c r="K1248" s="13" t="n">
        <v>86</v>
      </c>
      <c r="L1248" s="13" t="n">
        <v>114</v>
      </c>
      <c r="M1248" s="13" t="n">
        <v>20</v>
      </c>
      <c r="N1248" s="13" t="n">
        <v>1911</v>
      </c>
      <c r="O1248" s="13" t="n">
        <v>0.87</v>
      </c>
      <c r="P1248" s="13" t="n">
        <v>1670</v>
      </c>
      <c r="Q1248" s="13" t="n">
        <v>234</v>
      </c>
      <c r="R1248" s="13" t="n">
        <v>113</v>
      </c>
      <c r="S1248" s="13" t="n">
        <v>45</v>
      </c>
      <c r="T1248" s="13" t="n">
        <v>175</v>
      </c>
      <c r="U1248" s="13" t="n">
        <v>42</v>
      </c>
      <c r="V1248" s="13" t="n">
        <v>167</v>
      </c>
      <c r="W1248" s="13" t="n">
        <v>0.9409999999999999</v>
      </c>
      <c r="X1248" s="13" t="n">
        <v>103</v>
      </c>
      <c r="Y1248" s="13" t="n">
        <v>108</v>
      </c>
      <c r="Z1248" s="13" t="n">
        <v>72</v>
      </c>
      <c r="AA1248" s="13" t="n">
        <v>6</v>
      </c>
      <c r="AB1248" s="13" t="n">
        <v>0.5</v>
      </c>
      <c r="AC1248" s="11" t="inlineStr">
        <is>
          <t xml:space="preserve"> Freeski</t>
        </is>
      </c>
      <c r="AD1248" s="13" t="n"/>
      <c r="AE1248" s="13" t="n"/>
      <c r="AF1248" s="13" t="n"/>
      <c r="AG1248" s="13" t="n"/>
    </row>
    <row r="1249">
      <c r="A1249" s="9" t="inlineStr">
        <is>
          <t>21/22</t>
        </is>
      </c>
      <c r="B1249" s="10" t="inlineStr">
        <is>
          <t xml:space="preserve"> Völkl</t>
        </is>
      </c>
      <c r="C1249" s="11" t="inlineStr">
        <is>
          <t>Revolt 95</t>
        </is>
      </c>
      <c r="D1249" s="13" t="n">
        <v>157</v>
      </c>
      <c r="E1249" s="11" t="inlineStr">
        <is>
          <t xml:space="preserve"> Unisex</t>
        </is>
      </c>
      <c r="F1249" s="13" t="n">
        <v>157</v>
      </c>
      <c r="G1249" s="13" t="n">
        <v>156.1</v>
      </c>
      <c r="H1249" s="13" t="n">
        <v>120</v>
      </c>
      <c r="I1249" s="13" t="n">
        <v>141</v>
      </c>
      <c r="J1249" s="13" t="n">
        <v>128</v>
      </c>
      <c r="K1249" s="13" t="n">
        <v>94</v>
      </c>
      <c r="L1249" s="13" t="n">
        <v>118</v>
      </c>
      <c r="M1249" s="13" t="n">
        <v>16.9</v>
      </c>
      <c r="N1249" s="13" t="n">
        <v>1681</v>
      </c>
      <c r="O1249" s="13" t="n">
        <v>0.97</v>
      </c>
      <c r="P1249" s="13" t="n">
        <v>1624</v>
      </c>
      <c r="Q1249" s="13" t="n">
        <v>156</v>
      </c>
      <c r="R1249" s="13" t="n">
        <v>82</v>
      </c>
      <c r="S1249" s="13" t="n">
        <v>39</v>
      </c>
      <c r="T1249" s="13" t="n">
        <v>218</v>
      </c>
      <c r="U1249" s="13" t="n">
        <v>36</v>
      </c>
      <c r="V1249" s="13" t="n">
        <v>147</v>
      </c>
      <c r="W1249" s="13" t="n">
        <v>0.946</v>
      </c>
      <c r="X1249" s="13" t="n">
        <v>81</v>
      </c>
      <c r="Y1249" s="13" t="n">
        <v>69</v>
      </c>
      <c r="Z1249" s="13" t="n">
        <v>137</v>
      </c>
      <c r="AA1249" s="13" t="n">
        <v>6</v>
      </c>
      <c r="AB1249" s="13" t="n">
        <v>0.1</v>
      </c>
      <c r="AC1249" s="11" t="inlineStr">
        <is>
          <t xml:space="preserve"> Freeski</t>
        </is>
      </c>
      <c r="AD1249" s="13" t="n"/>
      <c r="AE1249" s="13" t="n"/>
      <c r="AF1249" s="13" t="n"/>
      <c r="AG1249" s="13" t="n"/>
    </row>
    <row r="1250">
      <c r="A1250" s="9" t="inlineStr">
        <is>
          <t>21/22</t>
        </is>
      </c>
      <c r="B1250" s="10" t="inlineStr">
        <is>
          <t xml:space="preserve"> Völkl</t>
        </is>
      </c>
      <c r="C1250" s="11" t="inlineStr">
        <is>
          <t>Revolt 95</t>
        </is>
      </c>
      <c r="D1250" s="13" t="n">
        <v>165</v>
      </c>
      <c r="E1250" s="11" t="inlineStr">
        <is>
          <t xml:space="preserve"> Unisex</t>
        </is>
      </c>
      <c r="F1250" s="13" t="n">
        <v>165</v>
      </c>
      <c r="G1250" s="13" t="n">
        <v>163.6</v>
      </c>
      <c r="H1250" s="13" t="n">
        <v>132</v>
      </c>
      <c r="I1250" s="13" t="n">
        <v>149</v>
      </c>
      <c r="J1250" s="13" t="n">
        <v>128</v>
      </c>
      <c r="K1250" s="13" t="n">
        <v>94</v>
      </c>
      <c r="L1250" s="13" t="n">
        <v>118</v>
      </c>
      <c r="M1250" s="13" t="n">
        <v>19</v>
      </c>
      <c r="N1250" s="13" t="n">
        <v>1806</v>
      </c>
      <c r="O1250" s="13" t="n">
        <v>0.9399999999999999</v>
      </c>
      <c r="P1250" s="13" t="n">
        <v>1702</v>
      </c>
      <c r="Q1250" s="13" t="n">
        <v>170</v>
      </c>
      <c r="R1250" s="13" t="n">
        <v>85</v>
      </c>
      <c r="S1250" s="13" t="n">
        <v>40</v>
      </c>
      <c r="T1250" s="13" t="n">
        <v>163</v>
      </c>
      <c r="U1250" s="13" t="n">
        <v>36</v>
      </c>
      <c r="V1250" s="13" t="n">
        <v>149</v>
      </c>
      <c r="W1250" s="13" t="n">
        <v>0.894</v>
      </c>
      <c r="X1250" s="13" t="n">
        <v>80</v>
      </c>
      <c r="Y1250" s="13" t="n">
        <v>70</v>
      </c>
      <c r="Z1250" s="13" t="n">
        <v>83</v>
      </c>
      <c r="AA1250" s="13" t="n">
        <v>5</v>
      </c>
      <c r="AB1250" s="13" t="n">
        <v>0.6</v>
      </c>
      <c r="AC1250" s="11" t="inlineStr">
        <is>
          <t xml:space="preserve"> Freeski</t>
        </is>
      </c>
      <c r="AD1250" s="13" t="n"/>
      <c r="AE1250" s="13" t="n"/>
      <c r="AF1250" s="13" t="n"/>
      <c r="AG1250" s="13" t="n"/>
    </row>
    <row r="1251">
      <c r="A1251" s="9" t="inlineStr">
        <is>
          <t>21/22</t>
        </is>
      </c>
      <c r="B1251" s="10" t="inlineStr">
        <is>
          <t xml:space="preserve"> Völkl</t>
        </is>
      </c>
      <c r="C1251" s="11" t="inlineStr">
        <is>
          <t>Revolt 95</t>
        </is>
      </c>
      <c r="D1251" s="13" t="n">
        <v>173</v>
      </c>
      <c r="E1251" s="11" t="inlineStr">
        <is>
          <t xml:space="preserve"> Unisex</t>
        </is>
      </c>
      <c r="F1251" s="13" t="n">
        <v>173</v>
      </c>
      <c r="G1251" s="13" t="n">
        <v>173.4</v>
      </c>
      <c r="H1251" s="13" t="n">
        <v>130</v>
      </c>
      <c r="I1251" s="13" t="n">
        <v>159</v>
      </c>
      <c r="J1251" s="13" t="n">
        <v>128</v>
      </c>
      <c r="K1251" s="13" t="n">
        <v>94</v>
      </c>
      <c r="L1251" s="13" t="n">
        <v>118</v>
      </c>
      <c r="M1251" s="13" t="n">
        <v>21.6</v>
      </c>
      <c r="N1251" s="13" t="n">
        <v>1979</v>
      </c>
      <c r="O1251" s="13" t="n">
        <v>0.91</v>
      </c>
      <c r="P1251" s="13" t="n">
        <v>1806</v>
      </c>
      <c r="Q1251" s="13" t="n">
        <v>192</v>
      </c>
      <c r="R1251" s="13" t="n">
        <v>104</v>
      </c>
      <c r="S1251" s="13" t="n">
        <v>41</v>
      </c>
      <c r="T1251" s="13" t="n">
        <v>222</v>
      </c>
      <c r="U1251" s="13" t="n">
        <v>37</v>
      </c>
      <c r="V1251" s="13" t="n">
        <v>209</v>
      </c>
      <c r="W1251" s="13" t="n">
        <v>0.912</v>
      </c>
      <c r="X1251" s="13" t="n">
        <v>81</v>
      </c>
      <c r="Y1251" s="13" t="n">
        <v>62</v>
      </c>
      <c r="Z1251" s="13" t="n">
        <v>141</v>
      </c>
      <c r="AA1251" s="13" t="n">
        <v>5</v>
      </c>
      <c r="AB1251" s="13" t="n">
        <v>0.1</v>
      </c>
      <c r="AC1251" s="11" t="inlineStr">
        <is>
          <t xml:space="preserve"> Freeski</t>
        </is>
      </c>
      <c r="AD1251" s="13" t="n"/>
      <c r="AE1251" s="13" t="n"/>
      <c r="AF1251" s="13" t="n"/>
      <c r="AG1251" s="13" t="n"/>
    </row>
    <row r="1252">
      <c r="A1252" s="9" t="inlineStr">
        <is>
          <t>21/22</t>
        </is>
      </c>
      <c r="B1252" s="10" t="inlineStr">
        <is>
          <t xml:space="preserve"> Völkl</t>
        </is>
      </c>
      <c r="C1252" s="11" t="inlineStr">
        <is>
          <t>Revolt 95</t>
        </is>
      </c>
      <c r="D1252" s="13" t="n">
        <v>181</v>
      </c>
      <c r="E1252" s="11" t="inlineStr">
        <is>
          <t xml:space="preserve"> Unisex</t>
        </is>
      </c>
      <c r="F1252" s="13" t="n">
        <v>181</v>
      </c>
      <c r="G1252" s="13" t="n">
        <v>181.3</v>
      </c>
      <c r="H1252" s="13" t="n">
        <v>145</v>
      </c>
      <c r="I1252" s="13" t="n">
        <v>166</v>
      </c>
      <c r="J1252" s="13" t="n">
        <v>128</v>
      </c>
      <c r="K1252" s="13" t="n">
        <v>94</v>
      </c>
      <c r="L1252" s="13" t="n">
        <v>118</v>
      </c>
      <c r="M1252" s="13" t="n">
        <v>23.8</v>
      </c>
      <c r="N1252" s="13" t="n">
        <v>2034</v>
      </c>
      <c r="O1252" s="13" t="n">
        <v>0.93</v>
      </c>
      <c r="P1252" s="13" t="n">
        <v>1886</v>
      </c>
      <c r="Q1252" s="13" t="n">
        <v>209</v>
      </c>
      <c r="R1252" s="13" t="n">
        <v>106</v>
      </c>
      <c r="S1252" s="13" t="n">
        <v>38</v>
      </c>
      <c r="T1252" s="13" t="n">
        <v>204</v>
      </c>
      <c r="U1252" s="13" t="n">
        <v>37</v>
      </c>
      <c r="V1252" s="13" t="n">
        <v>156</v>
      </c>
      <c r="W1252" s="13" t="n">
        <v>0.96</v>
      </c>
      <c r="X1252" s="13" t="n">
        <v>83</v>
      </c>
      <c r="Y1252" s="13" t="n">
        <v>72</v>
      </c>
      <c r="Z1252" s="13" t="n">
        <v>120</v>
      </c>
      <c r="AA1252" s="13" t="n">
        <v>6</v>
      </c>
      <c r="AB1252" s="13" t="n">
        <v>0.2</v>
      </c>
      <c r="AC1252" s="11" t="inlineStr">
        <is>
          <t xml:space="preserve"> Freeski</t>
        </is>
      </c>
      <c r="AD1252" s="13" t="n"/>
      <c r="AE1252" s="13" t="n"/>
      <c r="AF1252" s="13" t="n"/>
      <c r="AG1252" s="13" t="n"/>
    </row>
    <row r="1253">
      <c r="A1253" s="9" t="inlineStr">
        <is>
          <t>21/22</t>
        </is>
      </c>
      <c r="B1253" s="10" t="inlineStr">
        <is>
          <t xml:space="preserve"> Völkl</t>
        </is>
      </c>
      <c r="C1253" s="11" t="inlineStr">
        <is>
          <t>Rise Above 88</t>
        </is>
      </c>
      <c r="D1253" s="13" t="n">
        <v>170</v>
      </c>
      <c r="E1253" s="11" t="inlineStr">
        <is>
          <t xml:space="preserve"> Unisex</t>
        </is>
      </c>
      <c r="F1253" s="13" t="n">
        <v>170</v>
      </c>
      <c r="G1253" s="13" t="n">
        <v>169.3</v>
      </c>
      <c r="H1253" s="13" t="n">
        <v>140</v>
      </c>
      <c r="I1253" s="13" t="n">
        <v>147</v>
      </c>
      <c r="J1253" s="13" t="n">
        <v>130</v>
      </c>
      <c r="K1253" s="13" t="n">
        <v>87</v>
      </c>
      <c r="L1253" s="13" t="n">
        <v>111</v>
      </c>
      <c r="M1253" s="13" t="n">
        <v>15.7</v>
      </c>
      <c r="N1253" s="13" t="n">
        <v>1167</v>
      </c>
      <c r="O1253" s="13" t="n">
        <v>1.46</v>
      </c>
      <c r="P1253" s="13" t="n">
        <v>1700</v>
      </c>
      <c r="Q1253" s="13" t="n">
        <v>150</v>
      </c>
      <c r="R1253" s="13" t="n">
        <v>57</v>
      </c>
      <c r="S1253" s="13" t="n">
        <v>43</v>
      </c>
      <c r="T1253" s="13" t="n">
        <v>230</v>
      </c>
      <c r="U1253" s="13" t="n">
        <v>4</v>
      </c>
      <c r="V1253" s="13" t="n">
        <v>66</v>
      </c>
      <c r="W1253" s="13" t="n">
        <v>0.104</v>
      </c>
      <c r="X1253" s="13" t="n">
        <v>124</v>
      </c>
      <c r="Y1253" s="13" t="n">
        <v>95</v>
      </c>
      <c r="Z1253" s="13" t="n">
        <v>106</v>
      </c>
      <c r="AA1253" s="13" t="n">
        <v>6</v>
      </c>
      <c r="AB1253" s="13" t="n">
        <v>11.6</v>
      </c>
      <c r="AC1253" s="11" t="inlineStr">
        <is>
          <t xml:space="preserve"> Touring</t>
        </is>
      </c>
      <c r="AD1253" s="11" t="inlineStr">
        <is>
          <t xml:space="preserve"> Ultralight Touring</t>
        </is>
      </c>
      <c r="AE1253" s="13" t="n"/>
      <c r="AF1253" s="13" t="n"/>
      <c r="AG1253" s="13" t="n"/>
    </row>
    <row r="1254">
      <c r="A1254" s="9" t="inlineStr">
        <is>
          <t>21/22</t>
        </is>
      </c>
      <c r="B1254" s="10" t="inlineStr">
        <is>
          <t xml:space="preserve"> Völkl</t>
        </is>
      </c>
      <c r="C1254" s="11" t="inlineStr">
        <is>
          <t>Rise Above 88</t>
        </is>
      </c>
      <c r="D1254" s="13" t="n">
        <v>177</v>
      </c>
      <c r="E1254" s="11" t="inlineStr">
        <is>
          <t xml:space="preserve"> Unisex</t>
        </is>
      </c>
      <c r="F1254" s="13" t="n">
        <v>177</v>
      </c>
      <c r="G1254" s="13" t="n">
        <v>176.7</v>
      </c>
      <c r="H1254" s="13" t="n">
        <v>147</v>
      </c>
      <c r="I1254" s="13" t="n">
        <v>156</v>
      </c>
      <c r="J1254" s="13" t="n">
        <v>130</v>
      </c>
      <c r="K1254" s="13" t="n">
        <v>87</v>
      </c>
      <c r="L1254" s="13" t="n">
        <v>111</v>
      </c>
      <c r="M1254" s="13" t="n">
        <v>17.5</v>
      </c>
      <c r="N1254" s="13" t="n">
        <v>1279</v>
      </c>
      <c r="O1254" s="13" t="n">
        <v>1.39</v>
      </c>
      <c r="P1254" s="13" t="n">
        <v>1773</v>
      </c>
      <c r="Q1254" s="13" t="n">
        <v>171</v>
      </c>
      <c r="R1254" s="13" t="n">
        <v>76</v>
      </c>
      <c r="S1254" s="13" t="n">
        <v>42</v>
      </c>
      <c r="T1254" s="13" t="n">
        <v>236</v>
      </c>
      <c r="U1254" s="13" t="n">
        <v>4</v>
      </c>
      <c r="V1254" s="13" t="n">
        <v>62</v>
      </c>
      <c r="W1254" s="13" t="n">
        <v>0.096</v>
      </c>
      <c r="X1254" s="13" t="n">
        <v>120</v>
      </c>
      <c r="Y1254" s="13" t="n">
        <v>89</v>
      </c>
      <c r="Z1254" s="13" t="n">
        <v>116</v>
      </c>
      <c r="AA1254" s="13" t="n">
        <v>6</v>
      </c>
      <c r="AB1254" s="13" t="n">
        <v>12.2</v>
      </c>
      <c r="AC1254" s="11" t="inlineStr">
        <is>
          <t xml:space="preserve"> Touring</t>
        </is>
      </c>
      <c r="AD1254" s="11" t="inlineStr">
        <is>
          <t xml:space="preserve"> Ultralight Touring</t>
        </is>
      </c>
      <c r="AE1254" s="13" t="n"/>
      <c r="AF1254" s="13" t="n"/>
      <c r="AG1254" s="13" t="n"/>
    </row>
    <row r="1255">
      <c r="A1255" s="9" t="inlineStr">
        <is>
          <t>21/22</t>
        </is>
      </c>
      <c r="B1255" s="10" t="inlineStr">
        <is>
          <t xml:space="preserve"> Völkl</t>
        </is>
      </c>
      <c r="C1255" s="11" t="inlineStr">
        <is>
          <t>Rise Above 88</t>
        </is>
      </c>
      <c r="D1255" s="13" t="n">
        <v>184</v>
      </c>
      <c r="E1255" s="11" t="inlineStr">
        <is>
          <t xml:space="preserve"> Unisex</t>
        </is>
      </c>
      <c r="F1255" s="13" t="n">
        <v>184</v>
      </c>
      <c r="G1255" s="13" t="n">
        <v>184</v>
      </c>
      <c r="H1255" s="13" t="n">
        <v>149</v>
      </c>
      <c r="I1255" s="13" t="n">
        <v>163</v>
      </c>
      <c r="J1255" s="13" t="n">
        <v>130</v>
      </c>
      <c r="K1255" s="13" t="n">
        <v>87</v>
      </c>
      <c r="L1255" s="13" t="n">
        <v>111</v>
      </c>
      <c r="M1255" s="13" t="n">
        <v>19.2</v>
      </c>
      <c r="N1255" s="13" t="n">
        <v>1357</v>
      </c>
      <c r="O1255" s="13" t="n">
        <v>1.36</v>
      </c>
      <c r="P1255" s="13" t="n">
        <v>1847</v>
      </c>
      <c r="Q1255" s="13" t="n">
        <v>195</v>
      </c>
      <c r="R1255" s="13" t="n">
        <v>76</v>
      </c>
      <c r="S1255" s="13" t="n">
        <v>47</v>
      </c>
      <c r="T1255" s="13" t="n">
        <v>285</v>
      </c>
      <c r="U1255" s="13" t="n">
        <v>4</v>
      </c>
      <c r="V1255" s="13" t="n">
        <v>64</v>
      </c>
      <c r="W1255" s="13" t="n">
        <v>0.08699999999999999</v>
      </c>
      <c r="X1255" s="13" t="n">
        <v>122</v>
      </c>
      <c r="Y1255" s="13" t="n">
        <v>90</v>
      </c>
      <c r="Z1255" s="13" t="n">
        <v>164</v>
      </c>
      <c r="AA1255" s="13" t="n">
        <v>6</v>
      </c>
      <c r="AB1255" s="13" t="n">
        <v>12.5</v>
      </c>
      <c r="AC1255" s="11" t="inlineStr">
        <is>
          <t xml:space="preserve"> Touring</t>
        </is>
      </c>
      <c r="AD1255" s="11" t="inlineStr">
        <is>
          <t xml:space="preserve"> Ultralight Touring</t>
        </is>
      </c>
      <c r="AE1255" s="13" t="n"/>
      <c r="AF1255" s="13" t="n"/>
      <c r="AG1255" s="13" t="n"/>
    </row>
    <row r="1256">
      <c r="A1256" s="9" t="inlineStr">
        <is>
          <t>21/22</t>
        </is>
      </c>
      <c r="B1256" s="10" t="inlineStr">
        <is>
          <t xml:space="preserve"> Völkl</t>
        </is>
      </c>
      <c r="C1256" s="11" t="inlineStr">
        <is>
          <t>Rise Above 88 W</t>
        </is>
      </c>
      <c r="D1256" s="13" t="n">
        <v>156</v>
      </c>
      <c r="E1256" s="11" t="inlineStr">
        <is>
          <t xml:space="preserve"> Women's</t>
        </is>
      </c>
      <c r="F1256" s="13" t="n">
        <v>156</v>
      </c>
      <c r="G1256" s="13" t="n">
        <v>154.6</v>
      </c>
      <c r="H1256" s="13" t="n">
        <v>127</v>
      </c>
      <c r="I1256" s="13" t="n">
        <v>132</v>
      </c>
      <c r="J1256" s="13" t="n">
        <v>130</v>
      </c>
      <c r="K1256" s="13" t="n">
        <v>87</v>
      </c>
      <c r="L1256" s="13" t="n">
        <v>111</v>
      </c>
      <c r="M1256" s="13" t="n">
        <v>12.7</v>
      </c>
      <c r="N1256" s="13" t="n">
        <v>1111</v>
      </c>
      <c r="O1256" s="13" t="n">
        <v>1.4</v>
      </c>
      <c r="P1256" s="13" t="n">
        <v>1555</v>
      </c>
      <c r="Q1256" s="13" t="n">
        <v>135</v>
      </c>
      <c r="R1256" s="13" t="n">
        <v>59</v>
      </c>
      <c r="S1256" s="13" t="n">
        <v>42</v>
      </c>
      <c r="T1256" s="13" t="n">
        <v>212</v>
      </c>
      <c r="U1256" s="13" t="n">
        <v>4</v>
      </c>
      <c r="V1256" s="13" t="n">
        <v>65</v>
      </c>
      <c r="W1256" s="13" t="n">
        <v>0.104</v>
      </c>
      <c r="X1256" s="13" t="n">
        <v>131</v>
      </c>
      <c r="Y1256" s="13" t="n">
        <v>93</v>
      </c>
      <c r="Z1256" s="13" t="n">
        <v>81</v>
      </c>
      <c r="AA1256" s="13" t="n">
        <v>5</v>
      </c>
      <c r="AB1256" s="13" t="n">
        <v>11.4</v>
      </c>
      <c r="AC1256" s="11" t="inlineStr">
        <is>
          <t xml:space="preserve"> Touring</t>
        </is>
      </c>
      <c r="AD1256" s="11" t="inlineStr">
        <is>
          <t xml:space="preserve"> Ultralight Touring</t>
        </is>
      </c>
      <c r="AE1256" s="13" t="n"/>
      <c r="AF1256" s="13" t="n"/>
      <c r="AG1256" s="13" t="n"/>
    </row>
    <row r="1257">
      <c r="A1257" s="9" t="inlineStr">
        <is>
          <t>21/22</t>
        </is>
      </c>
      <c r="B1257" s="10" t="inlineStr">
        <is>
          <t xml:space="preserve"> Völkl</t>
        </is>
      </c>
      <c r="C1257" s="11" t="inlineStr">
        <is>
          <t>Rise Above 88 W</t>
        </is>
      </c>
      <c r="D1257" s="13" t="n">
        <v>163</v>
      </c>
      <c r="E1257" s="11" t="inlineStr">
        <is>
          <t xml:space="preserve"> Women's</t>
        </is>
      </c>
      <c r="F1257" s="13" t="n">
        <v>163</v>
      </c>
      <c r="G1257" s="13" t="n">
        <v>162.1</v>
      </c>
      <c r="H1257" s="13" t="n">
        <v>133</v>
      </c>
      <c r="I1257" s="13" t="n">
        <v>140</v>
      </c>
      <c r="J1257" s="13" t="n">
        <v>130</v>
      </c>
      <c r="K1257" s="13" t="n">
        <v>87</v>
      </c>
      <c r="L1257" s="13" t="n">
        <v>111</v>
      </c>
      <c r="M1257" s="13" t="n">
        <v>14.2</v>
      </c>
      <c r="N1257" s="13" t="n">
        <v>1165</v>
      </c>
      <c r="O1257" s="13" t="n">
        <v>1.4</v>
      </c>
      <c r="P1257" s="13" t="n">
        <v>1630</v>
      </c>
      <c r="Q1257" s="13" t="n">
        <v>149</v>
      </c>
      <c r="R1257" s="13" t="n">
        <v>62</v>
      </c>
      <c r="S1257" s="13" t="n">
        <v>43</v>
      </c>
      <c r="T1257" s="13" t="n">
        <v>221</v>
      </c>
      <c r="U1257" s="13" t="n">
        <v>5</v>
      </c>
      <c r="V1257" s="13" t="n">
        <v>72</v>
      </c>
      <c r="W1257" s="13" t="n">
        <v>0.113</v>
      </c>
      <c r="X1257" s="13" t="n">
        <v>130</v>
      </c>
      <c r="Y1257" s="13" t="n">
        <v>95</v>
      </c>
      <c r="Z1257" s="13" t="n">
        <v>91</v>
      </c>
      <c r="AA1257" s="13" t="n">
        <v>4</v>
      </c>
      <c r="AB1257" s="13" t="n">
        <v>10.8</v>
      </c>
      <c r="AC1257" s="11" t="inlineStr">
        <is>
          <t xml:space="preserve"> Touring</t>
        </is>
      </c>
      <c r="AD1257" s="11" t="inlineStr">
        <is>
          <t xml:space="preserve"> Ultralight Touring</t>
        </is>
      </c>
      <c r="AE1257" s="13" t="n"/>
      <c r="AF1257" s="13" t="n"/>
      <c r="AG1257" s="13" t="n"/>
    </row>
    <row r="1258">
      <c r="A1258" s="9" t="inlineStr">
        <is>
          <t>21/22</t>
        </is>
      </c>
      <c r="B1258" s="10" t="inlineStr">
        <is>
          <t xml:space="preserve"> Völkl</t>
        </is>
      </c>
      <c r="C1258" s="11" t="inlineStr">
        <is>
          <t>Rise Beyond 96</t>
        </is>
      </c>
      <c r="D1258" s="13" t="n">
        <v>156</v>
      </c>
      <c r="E1258" s="11" t="inlineStr">
        <is>
          <t xml:space="preserve"> Unisex</t>
        </is>
      </c>
      <c r="F1258" s="13" t="n">
        <v>156</v>
      </c>
      <c r="G1258" s="13" t="n">
        <v>154.5</v>
      </c>
      <c r="H1258" s="13" t="n">
        <v>122</v>
      </c>
      <c r="I1258" s="13" t="n">
        <v>133</v>
      </c>
      <c r="J1258" s="13" t="n">
        <v>137</v>
      </c>
      <c r="K1258" s="13" t="n">
        <v>95</v>
      </c>
      <c r="L1258" s="13" t="n">
        <v>118</v>
      </c>
      <c r="M1258" s="13" t="n">
        <v>12.6</v>
      </c>
      <c r="N1258" s="13" t="n">
        <v>1110</v>
      </c>
      <c r="O1258" s="13" t="n">
        <v>1.5</v>
      </c>
      <c r="P1258" s="13" t="n">
        <v>1669</v>
      </c>
      <c r="Q1258" s="13" t="n">
        <v>134</v>
      </c>
      <c r="R1258" s="13" t="n">
        <v>66</v>
      </c>
      <c r="S1258" s="13" t="n">
        <v>37</v>
      </c>
      <c r="T1258" s="13" t="n">
        <v>261</v>
      </c>
      <c r="U1258" s="13" t="n">
        <v>5</v>
      </c>
      <c r="V1258" s="13" t="n">
        <v>68</v>
      </c>
      <c r="W1258" s="13" t="n">
        <v>0.123</v>
      </c>
      <c r="X1258" s="13" t="n">
        <v>125</v>
      </c>
      <c r="Y1258" s="13" t="n">
        <v>95</v>
      </c>
      <c r="Z1258" s="13" t="n">
        <v>136</v>
      </c>
      <c r="AA1258" s="13" t="n">
        <v>4</v>
      </c>
      <c r="AB1258" s="13" t="n">
        <v>10.6</v>
      </c>
      <c r="AC1258" s="11" t="inlineStr">
        <is>
          <t xml:space="preserve"> Touring</t>
        </is>
      </c>
      <c r="AD1258" s="11" t="inlineStr">
        <is>
          <t xml:space="preserve"> Ultralight Touring</t>
        </is>
      </c>
      <c r="AE1258" s="13" t="n"/>
      <c r="AF1258" s="13" t="n"/>
      <c r="AG1258" s="13" t="n"/>
    </row>
    <row r="1259">
      <c r="A1259" s="9" t="inlineStr">
        <is>
          <t>21/22</t>
        </is>
      </c>
      <c r="B1259" s="10" t="inlineStr">
        <is>
          <t xml:space="preserve"> Völkl</t>
        </is>
      </c>
      <c r="C1259" s="11" t="inlineStr">
        <is>
          <t>Rise Beyond 96</t>
        </is>
      </c>
      <c r="D1259" s="13" t="n">
        <v>163</v>
      </c>
      <c r="E1259" s="11" t="inlineStr">
        <is>
          <t xml:space="preserve"> Unisex</t>
        </is>
      </c>
      <c r="F1259" s="13" t="n">
        <v>163</v>
      </c>
      <c r="G1259" s="13" t="n">
        <v>162</v>
      </c>
      <c r="H1259" s="13" t="n">
        <v>126</v>
      </c>
      <c r="I1259" s="13" t="n">
        <v>140</v>
      </c>
      <c r="J1259" s="13" t="n">
        <v>137</v>
      </c>
      <c r="K1259" s="13" t="n">
        <v>95</v>
      </c>
      <c r="L1259" s="13" t="n">
        <v>118</v>
      </c>
      <c r="M1259" s="13" t="n">
        <v>14.4</v>
      </c>
      <c r="N1259" s="13" t="n">
        <v>1158</v>
      </c>
      <c r="O1259" s="13" t="n">
        <v>1.51</v>
      </c>
      <c r="P1259" s="13" t="n">
        <v>1751</v>
      </c>
      <c r="Q1259" s="13" t="n">
        <v>143</v>
      </c>
      <c r="R1259" s="13" t="n">
        <v>67</v>
      </c>
      <c r="S1259" s="13" t="n">
        <v>38</v>
      </c>
      <c r="T1259" s="13" t="n">
        <v>292</v>
      </c>
      <c r="U1259" s="13" t="n">
        <v>5</v>
      </c>
      <c r="V1259" s="13" t="n">
        <v>67</v>
      </c>
      <c r="W1259" s="13" t="n">
        <v>0.129</v>
      </c>
      <c r="X1259" s="13" t="n">
        <v>129</v>
      </c>
      <c r="Y1259" s="13" t="n">
        <v>93</v>
      </c>
      <c r="Z1259" s="13" t="n">
        <v>162</v>
      </c>
      <c r="AA1259" s="13" t="n">
        <v>3</v>
      </c>
      <c r="AB1259" s="13" t="n">
        <v>11.6</v>
      </c>
      <c r="AC1259" s="11" t="inlineStr">
        <is>
          <t xml:space="preserve"> Touring</t>
        </is>
      </c>
      <c r="AD1259" s="11" t="inlineStr">
        <is>
          <t xml:space="preserve"> Ultralight Touring</t>
        </is>
      </c>
      <c r="AE1259" s="13" t="n"/>
      <c r="AF1259" s="13" t="n"/>
      <c r="AG1259" s="13" t="n"/>
    </row>
    <row r="1260">
      <c r="A1260" s="9" t="inlineStr">
        <is>
          <t>21/22</t>
        </is>
      </c>
      <c r="B1260" s="10" t="inlineStr">
        <is>
          <t xml:space="preserve"> Völkl</t>
        </is>
      </c>
      <c r="C1260" s="11" t="inlineStr">
        <is>
          <t>Rise Beyond 96</t>
        </is>
      </c>
      <c r="D1260" s="13" t="n">
        <v>170</v>
      </c>
      <c r="E1260" s="11" t="inlineStr">
        <is>
          <t xml:space="preserve"> Unisex</t>
        </is>
      </c>
      <c r="F1260" s="13" t="n">
        <v>170</v>
      </c>
      <c r="G1260" s="13" t="n">
        <v>169.5</v>
      </c>
      <c r="H1260" s="13" t="n">
        <v>130</v>
      </c>
      <c r="I1260" s="13" t="n">
        <v>148</v>
      </c>
      <c r="J1260" s="13" t="n">
        <v>137</v>
      </c>
      <c r="K1260" s="13" t="n">
        <v>95</v>
      </c>
      <c r="L1260" s="13" t="n">
        <v>118</v>
      </c>
      <c r="M1260" s="13" t="n">
        <v>15.9</v>
      </c>
      <c r="N1260" s="13" t="n">
        <v>1260</v>
      </c>
      <c r="O1260" s="13" t="n">
        <v>1.45</v>
      </c>
      <c r="P1260" s="13" t="n">
        <v>1830</v>
      </c>
      <c r="Q1260" s="13" t="n">
        <v>155</v>
      </c>
      <c r="R1260" s="13" t="n">
        <v>70</v>
      </c>
      <c r="S1260" s="13" t="n">
        <v>39</v>
      </c>
      <c r="T1260" s="13" t="n">
        <v>326</v>
      </c>
      <c r="U1260" s="13" t="n">
        <v>5</v>
      </c>
      <c r="V1260" s="13" t="n">
        <v>72</v>
      </c>
      <c r="W1260" s="13" t="n">
        <v>0.135</v>
      </c>
      <c r="X1260" s="13" t="n">
        <v>123</v>
      </c>
      <c r="Y1260" s="13" t="n">
        <v>89</v>
      </c>
      <c r="Z1260" s="13" t="n">
        <v>204</v>
      </c>
      <c r="AA1260" s="13" t="n">
        <v>3</v>
      </c>
      <c r="AB1260" s="13" t="n">
        <v>11.3</v>
      </c>
      <c r="AC1260" s="11" t="inlineStr">
        <is>
          <t xml:space="preserve"> Touring</t>
        </is>
      </c>
      <c r="AD1260" s="11" t="inlineStr">
        <is>
          <t xml:space="preserve"> Ultralight Touring</t>
        </is>
      </c>
      <c r="AE1260" s="13" t="n"/>
      <c r="AF1260" s="13" t="n"/>
      <c r="AG1260" s="13" t="n"/>
    </row>
    <row r="1261">
      <c r="A1261" s="9" t="inlineStr">
        <is>
          <t>21/22</t>
        </is>
      </c>
      <c r="B1261" s="10" t="inlineStr">
        <is>
          <t xml:space="preserve"> Völkl</t>
        </is>
      </c>
      <c r="C1261" s="11" t="inlineStr">
        <is>
          <t>Rise Beyond 96</t>
        </is>
      </c>
      <c r="D1261" s="13" t="n">
        <v>177</v>
      </c>
      <c r="E1261" s="11" t="inlineStr">
        <is>
          <t xml:space="preserve"> Unisex</t>
        </is>
      </c>
      <c r="F1261" s="13" t="n">
        <v>177</v>
      </c>
      <c r="G1261" s="13" t="n">
        <v>176.9</v>
      </c>
      <c r="H1261" s="13" t="n">
        <v>145</v>
      </c>
      <c r="I1261" s="13" t="n">
        <v>154</v>
      </c>
      <c r="J1261" s="13" t="n">
        <v>138</v>
      </c>
      <c r="K1261" s="13" t="n">
        <v>96</v>
      </c>
      <c r="L1261" s="13" t="n">
        <v>119</v>
      </c>
      <c r="M1261" s="13" t="n">
        <v>17.7</v>
      </c>
      <c r="N1261" s="13" t="n">
        <v>1347</v>
      </c>
      <c r="O1261" s="13" t="n">
        <v>1.43</v>
      </c>
      <c r="P1261" s="13" t="n">
        <v>1921</v>
      </c>
      <c r="Q1261" s="13" t="n">
        <v>174</v>
      </c>
      <c r="R1261" s="13" t="n">
        <v>73</v>
      </c>
      <c r="S1261" s="13" t="n">
        <v>36</v>
      </c>
      <c r="T1261" s="13" t="n">
        <v>260</v>
      </c>
      <c r="U1261" s="13" t="n">
        <v>5</v>
      </c>
      <c r="V1261" s="13" t="n">
        <v>63</v>
      </c>
      <c r="W1261" s="13" t="n">
        <v>0.13</v>
      </c>
      <c r="X1261" s="13" t="n">
        <v>130</v>
      </c>
      <c r="Y1261" s="13" t="n">
        <v>96</v>
      </c>
      <c r="Z1261" s="13" t="n">
        <v>130</v>
      </c>
      <c r="AA1261" s="13" t="n">
        <v>6</v>
      </c>
      <c r="AB1261" s="13" t="n">
        <v>11.8</v>
      </c>
      <c r="AC1261" s="11" t="inlineStr">
        <is>
          <t xml:space="preserve"> Touring</t>
        </is>
      </c>
      <c r="AD1261" s="11" t="inlineStr">
        <is>
          <t xml:space="preserve"> Ultralight Touring</t>
        </is>
      </c>
      <c r="AE1261" s="13" t="n"/>
      <c r="AF1261" s="13" t="n"/>
      <c r="AG1261" s="13" t="n"/>
    </row>
    <row r="1262">
      <c r="A1262" s="9" t="inlineStr">
        <is>
          <t>21/22</t>
        </is>
      </c>
      <c r="B1262" s="10" t="inlineStr">
        <is>
          <t xml:space="preserve"> Völkl</t>
        </is>
      </c>
      <c r="C1262" s="11" t="inlineStr">
        <is>
          <t>Rise Beyond 96</t>
        </is>
      </c>
      <c r="D1262" s="13" t="n">
        <v>184</v>
      </c>
      <c r="E1262" s="11" t="inlineStr">
        <is>
          <t xml:space="preserve"> Unisex</t>
        </is>
      </c>
      <c r="F1262" s="13" t="n">
        <v>184</v>
      </c>
      <c r="G1262" s="13" t="n">
        <v>184</v>
      </c>
      <c r="H1262" s="13" t="n">
        <v>142</v>
      </c>
      <c r="I1262" s="13" t="n">
        <v>162</v>
      </c>
      <c r="J1262" s="13" t="n">
        <v>138</v>
      </c>
      <c r="K1262" s="13" t="n">
        <v>96</v>
      </c>
      <c r="L1262" s="13" t="n">
        <v>119</v>
      </c>
      <c r="M1262" s="13" t="n">
        <v>19.5</v>
      </c>
      <c r="N1262" s="13" t="n">
        <v>1366</v>
      </c>
      <c r="O1262" s="13" t="n">
        <v>1.46</v>
      </c>
      <c r="P1262" s="13" t="n">
        <v>1997</v>
      </c>
      <c r="Q1262" s="13" t="n">
        <v>192</v>
      </c>
      <c r="R1262" s="13" t="n">
        <v>82</v>
      </c>
      <c r="S1262" s="13" t="n">
        <v>40</v>
      </c>
      <c r="T1262" s="13" t="n">
        <v>346</v>
      </c>
      <c r="U1262" s="13" t="n">
        <v>5</v>
      </c>
      <c r="V1262" s="13" t="n">
        <v>69</v>
      </c>
      <c r="W1262" s="13" t="n">
        <v>0.119</v>
      </c>
      <c r="X1262" s="13" t="n">
        <v>127</v>
      </c>
      <c r="Y1262" s="13" t="n">
        <v>88</v>
      </c>
      <c r="Z1262" s="13" t="n">
        <v>219</v>
      </c>
      <c r="AA1262" s="13" t="n">
        <v>2</v>
      </c>
      <c r="AB1262" s="13" t="n">
        <v>12.1</v>
      </c>
      <c r="AC1262" s="11" t="inlineStr">
        <is>
          <t xml:space="preserve"> Touring</t>
        </is>
      </c>
      <c r="AD1262" s="11" t="inlineStr">
        <is>
          <t xml:space="preserve"> Ultralight Touring</t>
        </is>
      </c>
      <c r="AE1262" s="13" t="n"/>
      <c r="AF1262" s="13" t="n"/>
      <c r="AG1262" s="13" t="n"/>
    </row>
    <row r="1263">
      <c r="A1263" s="9" t="inlineStr">
        <is>
          <t>21/22</t>
        </is>
      </c>
      <c r="B1263" s="10" t="inlineStr">
        <is>
          <t xml:space="preserve"> Völkl</t>
        </is>
      </c>
      <c r="C1263" s="11" t="inlineStr">
        <is>
          <t>Rise Beyond 96 W</t>
        </is>
      </c>
      <c r="D1263" s="13" t="n">
        <v>156</v>
      </c>
      <c r="E1263" s="11" t="inlineStr">
        <is>
          <t xml:space="preserve"> Women's</t>
        </is>
      </c>
      <c r="F1263" s="13" t="n">
        <v>156</v>
      </c>
      <c r="G1263" s="13" t="n">
        <v>154.7</v>
      </c>
      <c r="H1263" s="13" t="n">
        <v>119</v>
      </c>
      <c r="I1263" s="13" t="n">
        <v>133</v>
      </c>
      <c r="J1263" s="13" t="n">
        <v>137</v>
      </c>
      <c r="K1263" s="13" t="n">
        <v>95</v>
      </c>
      <c r="L1263" s="13" t="n">
        <v>118</v>
      </c>
      <c r="M1263" s="13" t="n">
        <v>13</v>
      </c>
      <c r="N1263" s="13" t="n">
        <v>1129</v>
      </c>
      <c r="O1263" s="13" t="n">
        <v>1.48</v>
      </c>
      <c r="P1263" s="13" t="n">
        <v>1672</v>
      </c>
      <c r="Q1263" s="13" t="n">
        <v>140</v>
      </c>
      <c r="R1263" s="13" t="n">
        <v>64</v>
      </c>
      <c r="S1263" s="13" t="n">
        <v>40</v>
      </c>
      <c r="T1263" s="13" t="n">
        <v>292</v>
      </c>
      <c r="U1263" s="13" t="n">
        <v>4</v>
      </c>
      <c r="V1263" s="13" t="n">
        <v>68</v>
      </c>
      <c r="W1263" s="13" t="n">
        <v>0.104</v>
      </c>
      <c r="X1263" s="13" t="n">
        <v>129</v>
      </c>
      <c r="Y1263" s="13" t="n">
        <v>88</v>
      </c>
      <c r="Z1263" s="13" t="n">
        <v>163</v>
      </c>
      <c r="AA1263" s="13" t="n">
        <v>4</v>
      </c>
      <c r="AB1263" s="13" t="n">
        <v>10.3</v>
      </c>
      <c r="AC1263" s="11" t="inlineStr">
        <is>
          <t xml:space="preserve"> Touring</t>
        </is>
      </c>
      <c r="AD1263" s="11" t="inlineStr">
        <is>
          <t xml:space="preserve"> Ultralight Touring</t>
        </is>
      </c>
      <c r="AE1263" s="13" t="n"/>
      <c r="AF1263" s="13" t="n"/>
      <c r="AG1263" s="13" t="n"/>
    </row>
    <row r="1264">
      <c r="A1264" s="9" t="inlineStr">
        <is>
          <t>21/22</t>
        </is>
      </c>
      <c r="B1264" s="10" t="inlineStr">
        <is>
          <t xml:space="preserve"> Völkl</t>
        </is>
      </c>
      <c r="C1264" s="11" t="inlineStr">
        <is>
          <t>Rise Beyond 96 W</t>
        </is>
      </c>
      <c r="D1264" s="13" t="n">
        <v>163</v>
      </c>
      <c r="E1264" s="11" t="inlineStr">
        <is>
          <t xml:space="preserve"> Women's</t>
        </is>
      </c>
      <c r="F1264" s="13" t="n">
        <v>163</v>
      </c>
      <c r="G1264" s="13" t="n">
        <v>162.2</v>
      </c>
      <c r="H1264" s="13" t="n">
        <v>129</v>
      </c>
      <c r="I1264" s="13" t="n">
        <v>140</v>
      </c>
      <c r="J1264" s="13" t="n">
        <v>137</v>
      </c>
      <c r="K1264" s="13" t="n">
        <v>95</v>
      </c>
      <c r="L1264" s="13" t="n">
        <v>118</v>
      </c>
      <c r="M1264" s="13" t="n">
        <v>14.7</v>
      </c>
      <c r="N1264" s="13" t="n">
        <v>1205</v>
      </c>
      <c r="O1264" s="13" t="n">
        <v>1.45</v>
      </c>
      <c r="P1264" s="13" t="n">
        <v>1750</v>
      </c>
      <c r="Q1264" s="13" t="n">
        <v>142</v>
      </c>
      <c r="R1264" s="13" t="n">
        <v>67</v>
      </c>
      <c r="S1264" s="13" t="n">
        <v>37</v>
      </c>
      <c r="T1264" s="13" t="n">
        <v>271</v>
      </c>
      <c r="U1264" s="13" t="n">
        <v>4</v>
      </c>
      <c r="V1264" s="13" t="n">
        <v>64</v>
      </c>
      <c r="W1264" s="13" t="n">
        <v>0.117</v>
      </c>
      <c r="X1264" s="13" t="n">
        <v>128</v>
      </c>
      <c r="Y1264" s="13" t="n">
        <v>92</v>
      </c>
      <c r="Z1264" s="13" t="n">
        <v>144</v>
      </c>
      <c r="AA1264" s="13" t="n">
        <v>5</v>
      </c>
      <c r="AB1264" s="13" t="n">
        <v>10.6</v>
      </c>
      <c r="AC1264" s="11" t="inlineStr">
        <is>
          <t xml:space="preserve"> Touring</t>
        </is>
      </c>
      <c r="AD1264" s="11" t="inlineStr">
        <is>
          <t xml:space="preserve"> Ultralight Touring</t>
        </is>
      </c>
      <c r="AE1264" s="13" t="n"/>
      <c r="AF1264" s="13" t="n"/>
      <c r="AG1264" s="13" t="n"/>
    </row>
    <row r="1265">
      <c r="A1265" s="9" t="inlineStr">
        <is>
          <t>21/22</t>
        </is>
      </c>
      <c r="B1265" s="10" t="inlineStr">
        <is>
          <t xml:space="preserve"> Völkl</t>
        </is>
      </c>
      <c r="C1265" s="11" t="inlineStr">
        <is>
          <t>Rise Beyond 96 W</t>
        </is>
      </c>
      <c r="D1265" s="13" t="n">
        <v>170</v>
      </c>
      <c r="E1265" s="11" t="inlineStr">
        <is>
          <t xml:space="preserve"> Women's</t>
        </is>
      </c>
      <c r="F1265" s="13" t="n">
        <v>170</v>
      </c>
      <c r="G1265" s="13" t="n">
        <v>169.7</v>
      </c>
      <c r="H1265" s="13" t="n">
        <v>133</v>
      </c>
      <c r="I1265" s="13" t="n">
        <v>149</v>
      </c>
      <c r="J1265" s="13" t="n">
        <v>137</v>
      </c>
      <c r="K1265" s="13" t="n">
        <v>95</v>
      </c>
      <c r="L1265" s="13" t="n">
        <v>118</v>
      </c>
      <c r="M1265" s="13" t="n">
        <v>16.2</v>
      </c>
      <c r="N1265" s="13" t="n">
        <v>1250</v>
      </c>
      <c r="O1265" s="13" t="n">
        <v>1.46</v>
      </c>
      <c r="P1265" s="13" t="n">
        <v>1828</v>
      </c>
      <c r="Q1265" s="13" t="n">
        <v>147</v>
      </c>
      <c r="R1265" s="13" t="n">
        <v>66</v>
      </c>
      <c r="S1265" s="13" t="n">
        <v>39</v>
      </c>
      <c r="T1265" s="13" t="n">
        <v>301</v>
      </c>
      <c r="U1265" s="13" t="n">
        <v>4</v>
      </c>
      <c r="V1265" s="13" t="n">
        <v>65</v>
      </c>
      <c r="W1265" s="13" t="n">
        <v>0.109</v>
      </c>
      <c r="X1265" s="13" t="n">
        <v>123</v>
      </c>
      <c r="Y1265" s="13" t="n">
        <v>89</v>
      </c>
      <c r="Z1265" s="13" t="n">
        <v>179</v>
      </c>
      <c r="AA1265" s="13" t="n">
        <v>4</v>
      </c>
      <c r="AB1265" s="13" t="n">
        <v>11.1</v>
      </c>
      <c r="AC1265" s="11" t="inlineStr">
        <is>
          <t xml:space="preserve"> Touring</t>
        </is>
      </c>
      <c r="AD1265" s="11" t="inlineStr">
        <is>
          <t xml:space="preserve"> Ultralight Touring</t>
        </is>
      </c>
      <c r="AE1265" s="13" t="n"/>
      <c r="AF1265" s="13" t="n"/>
      <c r="AG1265" s="13" t="n"/>
    </row>
    <row r="1266">
      <c r="A1266" s="9" t="inlineStr">
        <is>
          <t>21/22</t>
        </is>
      </c>
      <c r="B1266" s="10" t="inlineStr">
        <is>
          <t xml:space="preserve"> Völkl</t>
        </is>
      </c>
      <c r="C1266" s="11" t="inlineStr">
        <is>
          <t>Secret 102</t>
        </is>
      </c>
      <c r="D1266" s="13" t="n">
        <v>156</v>
      </c>
      <c r="E1266" s="11" t="inlineStr">
        <is>
          <t xml:space="preserve"> Women's</t>
        </is>
      </c>
      <c r="F1266" s="13" t="n">
        <v>156</v>
      </c>
      <c r="G1266" s="13" t="n">
        <v>155.9</v>
      </c>
      <c r="H1266" s="13" t="n">
        <v>107</v>
      </c>
      <c r="I1266" s="13" t="n">
        <v>133</v>
      </c>
      <c r="J1266" s="13" t="n">
        <v>139</v>
      </c>
      <c r="K1266" s="13" t="n">
        <v>101</v>
      </c>
      <c r="L1266" s="13" t="n">
        <v>123</v>
      </c>
      <c r="M1266" s="13" t="n">
        <v>14.1</v>
      </c>
      <c r="N1266" s="13" t="n">
        <v>1846</v>
      </c>
      <c r="O1266" s="13" t="n">
        <v>0.96</v>
      </c>
      <c r="P1266" s="13" t="n">
        <v>1763</v>
      </c>
      <c r="Q1266" s="13" t="n">
        <v>205</v>
      </c>
      <c r="R1266" s="13" t="n">
        <v>132</v>
      </c>
      <c r="S1266" s="13" t="n">
        <v>49</v>
      </c>
      <c r="T1266" s="13" t="n">
        <v>310</v>
      </c>
      <c r="U1266" s="13" t="n">
        <v>17</v>
      </c>
      <c r="V1266" s="13" t="n">
        <v>174</v>
      </c>
      <c r="W1266" s="13" t="n">
        <v>0.34</v>
      </c>
      <c r="X1266" s="13" t="n">
        <v>131</v>
      </c>
      <c r="Y1266" s="13" t="n">
        <v>101</v>
      </c>
      <c r="Z1266" s="13" t="n">
        <v>178</v>
      </c>
      <c r="AA1266" s="13" t="n">
        <v>3</v>
      </c>
      <c r="AB1266" s="13" t="n">
        <v>11.4</v>
      </c>
      <c r="AC1266" s="11" t="inlineStr">
        <is>
          <t xml:space="preserve"> Resort Freeride</t>
        </is>
      </c>
      <c r="AD1266" s="11" t="inlineStr">
        <is>
          <t xml:space="preserve"> Big Mountain</t>
        </is>
      </c>
      <c r="AE1266" s="13" t="n"/>
      <c r="AF1266" s="13" t="n"/>
      <c r="AG1266" s="13" t="n"/>
    </row>
    <row r="1267">
      <c r="A1267" s="9" t="inlineStr">
        <is>
          <t>21/22</t>
        </is>
      </c>
      <c r="B1267" s="10" t="inlineStr">
        <is>
          <t xml:space="preserve"> Völkl</t>
        </is>
      </c>
      <c r="C1267" s="11" t="inlineStr">
        <is>
          <t>Secret 102</t>
        </is>
      </c>
      <c r="D1267" s="13" t="n">
        <v>163</v>
      </c>
      <c r="E1267" s="11" t="inlineStr">
        <is>
          <t xml:space="preserve"> Women's</t>
        </is>
      </c>
      <c r="F1267" s="13" t="n">
        <v>163</v>
      </c>
      <c r="G1267" s="13" t="n">
        <v>163.5</v>
      </c>
      <c r="H1267" s="13" t="n">
        <v>104</v>
      </c>
      <c r="I1267" s="13" t="n">
        <v>140</v>
      </c>
      <c r="J1267" s="13" t="n">
        <v>139</v>
      </c>
      <c r="K1267" s="13" t="n">
        <v>101</v>
      </c>
      <c r="L1267" s="13" t="n">
        <v>123</v>
      </c>
      <c r="M1267" s="13" t="n">
        <v>15.8</v>
      </c>
      <c r="N1267" s="13" t="n">
        <v>1941</v>
      </c>
      <c r="O1267" s="13" t="n">
        <v>0.95</v>
      </c>
      <c r="P1267" s="13" t="n">
        <v>1848</v>
      </c>
      <c r="Q1267" s="13" t="n">
        <v>216</v>
      </c>
      <c r="R1267" s="13" t="n">
        <v>144</v>
      </c>
      <c r="S1267" s="13" t="n">
        <v>50</v>
      </c>
      <c r="T1267" s="13" t="n">
        <v>342</v>
      </c>
      <c r="U1267" s="13" t="n">
        <v>21</v>
      </c>
      <c r="V1267" s="13" t="n">
        <v>253</v>
      </c>
      <c r="W1267" s="13" t="n">
        <v>0.412</v>
      </c>
      <c r="X1267" s="13" t="n">
        <v>131</v>
      </c>
      <c r="Y1267" s="13" t="n">
        <v>101</v>
      </c>
      <c r="Z1267" s="13" t="n">
        <v>211</v>
      </c>
      <c r="AA1267" s="13" t="n">
        <v>3</v>
      </c>
      <c r="AB1267" s="13" t="n">
        <v>11.4</v>
      </c>
      <c r="AC1267" s="11" t="inlineStr">
        <is>
          <t xml:space="preserve"> Resort Freeride</t>
        </is>
      </c>
      <c r="AD1267" s="11" t="inlineStr">
        <is>
          <t xml:space="preserve"> Powder</t>
        </is>
      </c>
      <c r="AE1267" s="13" t="n"/>
      <c r="AF1267" s="13" t="n"/>
      <c r="AG1267" s="13" t="n"/>
    </row>
    <row r="1268">
      <c r="A1268" s="9" t="inlineStr">
        <is>
          <t>21/22</t>
        </is>
      </c>
      <c r="B1268" s="10" t="inlineStr">
        <is>
          <t xml:space="preserve"> Völkl</t>
        </is>
      </c>
      <c r="C1268" s="11" t="inlineStr">
        <is>
          <t>Secret 102</t>
        </is>
      </c>
      <c r="D1268" s="13" t="n">
        <v>170</v>
      </c>
      <c r="E1268" s="11" t="inlineStr">
        <is>
          <t xml:space="preserve"> Women's</t>
        </is>
      </c>
      <c r="F1268" s="13" t="n">
        <v>170</v>
      </c>
      <c r="G1268" s="13" t="n">
        <v>171.1</v>
      </c>
      <c r="H1268" s="13" t="n">
        <v>111</v>
      </c>
      <c r="I1268" s="13" t="n">
        <v>147</v>
      </c>
      <c r="J1268" s="13" t="n">
        <v>139</v>
      </c>
      <c r="K1268" s="13" t="n">
        <v>101</v>
      </c>
      <c r="L1268" s="13" t="n">
        <v>123</v>
      </c>
      <c r="M1268" s="13" t="n">
        <v>17.6</v>
      </c>
      <c r="N1268" s="13" t="n">
        <v>2084</v>
      </c>
      <c r="O1268" s="13" t="n">
        <v>0.93</v>
      </c>
      <c r="P1268" s="13" t="n">
        <v>1934</v>
      </c>
      <c r="Q1268" s="13" t="n">
        <v>245</v>
      </c>
      <c r="R1268" s="13" t="n">
        <v>165</v>
      </c>
      <c r="S1268" s="13" t="n">
        <v>46</v>
      </c>
      <c r="T1268" s="13" t="n">
        <v>351</v>
      </c>
      <c r="U1268" s="13" t="n">
        <v>18</v>
      </c>
      <c r="V1268" s="13" t="n">
        <v>249</v>
      </c>
      <c r="W1268" s="13" t="n">
        <v>0.388</v>
      </c>
      <c r="X1268" s="13" t="n">
        <v>133</v>
      </c>
      <c r="Y1268" s="13" t="n">
        <v>103</v>
      </c>
      <c r="Z1268" s="13" t="n">
        <v>217</v>
      </c>
      <c r="AA1268" s="13" t="n">
        <v>4</v>
      </c>
      <c r="AB1268" s="13" t="n">
        <v>11.8</v>
      </c>
      <c r="AC1268" s="11" t="inlineStr">
        <is>
          <t xml:space="preserve"> Resort Freeride</t>
        </is>
      </c>
      <c r="AD1268" s="11" t="inlineStr">
        <is>
          <t xml:space="preserve"> Powder</t>
        </is>
      </c>
      <c r="AE1268" s="11" t="inlineStr">
        <is>
          <t xml:space="preserve"> Big Mountain</t>
        </is>
      </c>
      <c r="AF1268" s="13" t="n"/>
      <c r="AG1268" s="13" t="n"/>
    </row>
    <row r="1269">
      <c r="A1269" s="9" t="inlineStr">
        <is>
          <t>21/22</t>
        </is>
      </c>
      <c r="B1269" s="10" t="inlineStr">
        <is>
          <t xml:space="preserve"> Völkl</t>
        </is>
      </c>
      <c r="C1269" s="11" t="inlineStr">
        <is>
          <t>Secret 92</t>
        </is>
      </c>
      <c r="D1269" s="13" t="n">
        <v>163</v>
      </c>
      <c r="E1269" s="11" t="inlineStr">
        <is>
          <t xml:space="preserve"> Women's</t>
        </is>
      </c>
      <c r="F1269" s="13" t="n">
        <v>163</v>
      </c>
      <c r="G1269" s="13" t="n">
        <v>164.1</v>
      </c>
      <c r="H1269" s="13" t="n">
        <v>129</v>
      </c>
      <c r="I1269" s="13" t="n">
        <v>140</v>
      </c>
      <c r="J1269" s="13" t="n">
        <v>129</v>
      </c>
      <c r="K1269" s="13" t="n">
        <v>91</v>
      </c>
      <c r="L1269" s="13" t="n">
        <v>112</v>
      </c>
      <c r="M1269" s="13" t="n">
        <v>16.1</v>
      </c>
      <c r="N1269" s="13" t="n">
        <v>1738</v>
      </c>
      <c r="O1269" s="13" t="n">
        <v>0.97</v>
      </c>
      <c r="P1269" s="13" t="n">
        <v>1690</v>
      </c>
      <c r="Q1269" s="13" t="n">
        <v>193</v>
      </c>
      <c r="R1269" s="13" t="n">
        <v>135</v>
      </c>
      <c r="S1269" s="13" t="n">
        <v>42</v>
      </c>
      <c r="T1269" s="13" t="n">
        <v>235</v>
      </c>
      <c r="U1269" s="13" t="n">
        <v>14</v>
      </c>
      <c r="V1269" s="13" t="n">
        <v>115</v>
      </c>
      <c r="W1269" s="13" t="n">
        <v>0.336</v>
      </c>
      <c r="X1269" s="13" t="n">
        <v>136</v>
      </c>
      <c r="Y1269" s="13" t="n">
        <v>106</v>
      </c>
      <c r="Z1269" s="13" t="n">
        <v>99</v>
      </c>
      <c r="AA1269" s="13" t="n">
        <v>4</v>
      </c>
      <c r="AB1269" s="13" t="n">
        <v>10.6</v>
      </c>
      <c r="AC1269" s="11" t="inlineStr">
        <is>
          <t xml:space="preserve"> Resort Freeride</t>
        </is>
      </c>
      <c r="AD1269" s="13" t="n"/>
      <c r="AE1269" s="13" t="n"/>
      <c r="AF1269" s="13" t="n"/>
      <c r="AG1269" s="13" t="n"/>
    </row>
    <row r="1270">
      <c r="A1270" s="9" t="inlineStr">
        <is>
          <t>21/22</t>
        </is>
      </c>
      <c r="B1270" s="10" t="inlineStr">
        <is>
          <t xml:space="preserve"> Völkl</t>
        </is>
      </c>
      <c r="C1270" s="11" t="inlineStr">
        <is>
          <t>Secret 96</t>
        </is>
      </c>
      <c r="D1270" s="13" t="n">
        <v>149</v>
      </c>
      <c r="E1270" s="11" t="inlineStr">
        <is>
          <t xml:space="preserve"> Women's</t>
        </is>
      </c>
      <c r="F1270" s="13" t="n">
        <v>149</v>
      </c>
      <c r="G1270" s="13" t="n">
        <v>148.4</v>
      </c>
      <c r="H1270" s="13" t="n">
        <v>107</v>
      </c>
      <c r="I1270" s="13" t="n">
        <v>125</v>
      </c>
      <c r="J1270" s="13" t="n">
        <v>134</v>
      </c>
      <c r="K1270" s="13" t="n">
        <v>95</v>
      </c>
      <c r="L1270" s="13" t="n">
        <v>118</v>
      </c>
      <c r="M1270" s="13" t="n">
        <v>12.1</v>
      </c>
      <c r="N1270" s="13" t="n">
        <v>1621</v>
      </c>
      <c r="O1270" s="13" t="n">
        <v>0.98</v>
      </c>
      <c r="P1270" s="13" t="n">
        <v>1596</v>
      </c>
      <c r="Q1270" s="13" t="n">
        <v>181</v>
      </c>
      <c r="R1270" s="13" t="n">
        <v>121</v>
      </c>
      <c r="S1270" s="13" t="n">
        <v>45</v>
      </c>
      <c r="T1270" s="13" t="n">
        <v>254</v>
      </c>
      <c r="U1270" s="13" t="n">
        <v>15</v>
      </c>
      <c r="V1270" s="13" t="n">
        <v>163</v>
      </c>
      <c r="W1270" s="13" t="n">
        <v>0.328</v>
      </c>
      <c r="X1270" s="13" t="n">
        <v>133</v>
      </c>
      <c r="Y1270" s="13" t="n">
        <v>99</v>
      </c>
      <c r="Z1270" s="13" t="n">
        <v>121</v>
      </c>
      <c r="AA1270" s="13" t="n">
        <v>3</v>
      </c>
      <c r="AB1270" s="13" t="n">
        <v>11.2</v>
      </c>
      <c r="AC1270" s="11" t="inlineStr">
        <is>
          <t xml:space="preserve"> Resort Freeride</t>
        </is>
      </c>
      <c r="AD1270" s="13" t="n"/>
      <c r="AE1270" s="13" t="n"/>
      <c r="AF1270" s="13" t="n"/>
      <c r="AG1270" s="13" t="n"/>
    </row>
    <row r="1271">
      <c r="A1271" s="9" t="inlineStr">
        <is>
          <t>21/22</t>
        </is>
      </c>
      <c r="B1271" s="10" t="inlineStr">
        <is>
          <t xml:space="preserve"> Völkl</t>
        </is>
      </c>
      <c r="C1271" s="11" t="inlineStr">
        <is>
          <t>Secret 96</t>
        </is>
      </c>
      <c r="D1271" s="13" t="n">
        <v>156</v>
      </c>
      <c r="E1271" s="11" t="inlineStr">
        <is>
          <t xml:space="preserve"> Women's</t>
        </is>
      </c>
      <c r="F1271" s="13" t="n">
        <v>156</v>
      </c>
      <c r="G1271" s="13" t="n">
        <v>155.8</v>
      </c>
      <c r="H1271" s="13" t="n">
        <v>112</v>
      </c>
      <c r="I1271" s="13" t="n">
        <v>133</v>
      </c>
      <c r="J1271" s="13" t="n">
        <v>135</v>
      </c>
      <c r="K1271" s="13" t="n">
        <v>95</v>
      </c>
      <c r="L1271" s="13" t="n">
        <v>118</v>
      </c>
      <c r="M1271" s="13" t="n">
        <v>13.2</v>
      </c>
      <c r="N1271" s="13" t="n">
        <v>1700</v>
      </c>
      <c r="O1271" s="13" t="n">
        <v>0.99</v>
      </c>
      <c r="P1271" s="13" t="n">
        <v>1679</v>
      </c>
      <c r="Q1271" s="13" t="n">
        <v>173</v>
      </c>
      <c r="R1271" s="13" t="n">
        <v>120</v>
      </c>
      <c r="S1271" s="13" t="n">
        <v>44</v>
      </c>
      <c r="T1271" s="13" t="n">
        <v>257</v>
      </c>
      <c r="U1271" s="13" t="n">
        <v>16</v>
      </c>
      <c r="V1271" s="13" t="n">
        <v>177</v>
      </c>
      <c r="W1271" s="13" t="n">
        <v>0.357</v>
      </c>
      <c r="X1271" s="13" t="n">
        <v>125</v>
      </c>
      <c r="Y1271" s="13" t="n">
        <v>101</v>
      </c>
      <c r="Z1271" s="13" t="n">
        <v>132</v>
      </c>
      <c r="AA1271" s="13" t="n">
        <v>3</v>
      </c>
      <c r="AB1271" s="13" t="n">
        <v>11.8</v>
      </c>
      <c r="AC1271" s="11" t="inlineStr">
        <is>
          <t xml:space="preserve"> Resort Freeride</t>
        </is>
      </c>
      <c r="AD1271" s="13" t="n"/>
      <c r="AE1271" s="13" t="n"/>
      <c r="AF1271" s="13" t="n"/>
      <c r="AG1271" s="13" t="n"/>
    </row>
    <row r="1272">
      <c r="A1272" s="9" t="inlineStr">
        <is>
          <t>21/22</t>
        </is>
      </c>
      <c r="B1272" s="10" t="inlineStr">
        <is>
          <t xml:space="preserve"> Völkl</t>
        </is>
      </c>
      <c r="C1272" s="11" t="inlineStr">
        <is>
          <t>Secret 96</t>
        </is>
      </c>
      <c r="D1272" s="13" t="n">
        <v>163</v>
      </c>
      <c r="E1272" s="11" t="inlineStr">
        <is>
          <t xml:space="preserve"> Women's</t>
        </is>
      </c>
      <c r="F1272" s="13" t="n">
        <v>163</v>
      </c>
      <c r="G1272" s="13" t="n">
        <v>163.2</v>
      </c>
      <c r="H1272" s="13" t="n">
        <v>122</v>
      </c>
      <c r="I1272" s="13" t="n">
        <v>140</v>
      </c>
      <c r="J1272" s="13" t="n">
        <v>135</v>
      </c>
      <c r="K1272" s="13" t="n">
        <v>95</v>
      </c>
      <c r="L1272" s="13" t="n">
        <v>118</v>
      </c>
      <c r="M1272" s="13" t="n">
        <v>14.8</v>
      </c>
      <c r="N1272" s="13" t="n">
        <v>1809</v>
      </c>
      <c r="O1272" s="13" t="n">
        <v>0.97</v>
      </c>
      <c r="P1272" s="13" t="n">
        <v>1757</v>
      </c>
      <c r="Q1272" s="13" t="n">
        <v>180</v>
      </c>
      <c r="R1272" s="13" t="n">
        <v>125</v>
      </c>
      <c r="S1272" s="13" t="n">
        <v>43</v>
      </c>
      <c r="T1272" s="13" t="n">
        <v>245</v>
      </c>
      <c r="U1272" s="13" t="n">
        <v>16</v>
      </c>
      <c r="V1272" s="13" t="n">
        <v>171</v>
      </c>
      <c r="W1272" s="13" t="n">
        <v>0.362</v>
      </c>
      <c r="X1272" s="13" t="n">
        <v>130</v>
      </c>
      <c r="Y1272" s="13" t="n">
        <v>103</v>
      </c>
      <c r="Z1272" s="13" t="n">
        <v>115</v>
      </c>
      <c r="AA1272" s="13" t="n">
        <v>4</v>
      </c>
      <c r="AB1272" s="13" t="n">
        <v>11.6</v>
      </c>
      <c r="AC1272" s="11" t="inlineStr">
        <is>
          <t xml:space="preserve"> Resort Freeride</t>
        </is>
      </c>
      <c r="AD1272" s="13" t="n"/>
      <c r="AE1272" s="13" t="n"/>
      <c r="AF1272" s="13" t="n"/>
      <c r="AG1272" s="13" t="n"/>
    </row>
    <row r="1273">
      <c r="A1273" s="9" t="inlineStr">
        <is>
          <t>21/22</t>
        </is>
      </c>
      <c r="B1273" s="10" t="inlineStr">
        <is>
          <t xml:space="preserve"> Völkl</t>
        </is>
      </c>
      <c r="C1273" s="11" t="inlineStr">
        <is>
          <t>Secret 96</t>
        </is>
      </c>
      <c r="D1273" s="13" t="n">
        <v>170</v>
      </c>
      <c r="E1273" s="11" t="inlineStr">
        <is>
          <t xml:space="preserve"> Women's</t>
        </is>
      </c>
      <c r="F1273" s="13" t="n">
        <v>170</v>
      </c>
      <c r="G1273" s="13" t="n">
        <v>170.8</v>
      </c>
      <c r="H1273" s="13" t="n">
        <v>123</v>
      </c>
      <c r="I1273" s="13" t="n">
        <v>147</v>
      </c>
      <c r="J1273" s="13" t="n">
        <v>134</v>
      </c>
      <c r="K1273" s="13" t="n">
        <v>95</v>
      </c>
      <c r="L1273" s="13" t="n">
        <v>118</v>
      </c>
      <c r="M1273" s="13" t="n">
        <v>16.7</v>
      </c>
      <c r="N1273" s="13" t="n">
        <v>1931</v>
      </c>
      <c r="O1273" s="13" t="n">
        <v>0.95</v>
      </c>
      <c r="P1273" s="13" t="n">
        <v>1838</v>
      </c>
      <c r="Q1273" s="13" t="n">
        <v>203</v>
      </c>
      <c r="R1273" s="13" t="n">
        <v>140</v>
      </c>
      <c r="S1273" s="13" t="n">
        <v>44</v>
      </c>
      <c r="T1273" s="13" t="n">
        <v>290</v>
      </c>
      <c r="U1273" s="13" t="n">
        <v>17</v>
      </c>
      <c r="V1273" s="13" t="n">
        <v>192</v>
      </c>
      <c r="W1273" s="13" t="n">
        <v>0.386</v>
      </c>
      <c r="X1273" s="13" t="n">
        <v>129</v>
      </c>
      <c r="Y1273" s="13" t="n">
        <v>106</v>
      </c>
      <c r="Z1273" s="13" t="n">
        <v>161</v>
      </c>
      <c r="AA1273" s="13" t="n">
        <v>2</v>
      </c>
      <c r="AB1273" s="13" t="n">
        <v>11.7</v>
      </c>
      <c r="AC1273" s="11" t="inlineStr">
        <is>
          <t xml:space="preserve"> Resort Freeride</t>
        </is>
      </c>
      <c r="AD1273" s="13" t="n"/>
      <c r="AE1273" s="13" t="n"/>
      <c r="AF1273" s="13" t="n"/>
      <c r="AG1273" s="13" t="n"/>
    </row>
    <row r="1274">
      <c r="A1274" s="9" t="inlineStr">
        <is>
          <t>21/22</t>
        </is>
      </c>
      <c r="B1274" s="10" t="inlineStr">
        <is>
          <t xml:space="preserve"> Völkl</t>
        </is>
      </c>
      <c r="C1274" s="11" t="inlineStr">
        <is>
          <t>Yumi 80</t>
        </is>
      </c>
      <c r="D1274" s="13" t="n">
        <v>147</v>
      </c>
      <c r="E1274" s="11" t="inlineStr">
        <is>
          <t xml:space="preserve"> Women's</t>
        </is>
      </c>
      <c r="F1274" s="13" t="n">
        <v>147</v>
      </c>
      <c r="G1274" s="13" t="n">
        <v>148.8</v>
      </c>
      <c r="H1274" s="13" t="n">
        <v>113</v>
      </c>
      <c r="I1274" s="13" t="n">
        <v>124</v>
      </c>
      <c r="J1274" s="13" t="n">
        <v>120</v>
      </c>
      <c r="K1274" s="13" t="n">
        <v>79</v>
      </c>
      <c r="L1274" s="13" t="n">
        <v>102</v>
      </c>
      <c r="M1274" s="13" t="n">
        <v>11.7</v>
      </c>
      <c r="N1274" s="13" t="n">
        <v>1221</v>
      </c>
      <c r="O1274" s="13" t="n">
        <v>1.13</v>
      </c>
      <c r="P1274" s="13" t="n">
        <v>1377</v>
      </c>
      <c r="Q1274" s="13" t="n">
        <v>142</v>
      </c>
      <c r="R1274" s="13" t="n">
        <v>62</v>
      </c>
      <c r="S1274" s="13" t="n">
        <v>43</v>
      </c>
      <c r="T1274" s="13" t="n">
        <v>210</v>
      </c>
      <c r="U1274" s="13" t="n">
        <v>15</v>
      </c>
      <c r="V1274" s="13" t="n">
        <v>148</v>
      </c>
      <c r="W1274" s="13" t="n">
        <v>0.343</v>
      </c>
      <c r="X1274" s="13" t="n">
        <v>136</v>
      </c>
      <c r="Y1274" s="13" t="n">
        <v>108</v>
      </c>
      <c r="Z1274" s="13" t="n">
        <v>74</v>
      </c>
      <c r="AA1274" s="13" t="n">
        <v>3</v>
      </c>
      <c r="AB1274" s="13" t="n">
        <v>11.2</v>
      </c>
      <c r="AC1274" s="11" t="inlineStr">
        <is>
          <t xml:space="preserve"> On-Piste All-Mountain</t>
        </is>
      </c>
      <c r="AD1274" s="11" t="inlineStr">
        <is>
          <t xml:space="preserve"> Touring</t>
        </is>
      </c>
      <c r="AE1274" s="13" t="n"/>
      <c r="AF1274" s="13" t="n"/>
      <c r="AG1274" s="13" t="n"/>
    </row>
    <row r="1275">
      <c r="A1275" s="9" t="inlineStr">
        <is>
          <t>21/22</t>
        </is>
      </c>
      <c r="B1275" s="10" t="inlineStr">
        <is>
          <t xml:space="preserve"> Völkl</t>
        </is>
      </c>
      <c r="C1275" s="11" t="inlineStr">
        <is>
          <t>Yumi 80</t>
        </is>
      </c>
      <c r="D1275" s="13" t="n">
        <v>154</v>
      </c>
      <c r="E1275" s="11" t="inlineStr">
        <is>
          <t xml:space="preserve"> Women's</t>
        </is>
      </c>
      <c r="F1275" s="13" t="n">
        <v>154</v>
      </c>
      <c r="G1275" s="13" t="n">
        <v>156.4</v>
      </c>
      <c r="H1275" s="13" t="n">
        <v>129</v>
      </c>
      <c r="I1275" s="13" t="n">
        <v>131</v>
      </c>
      <c r="J1275" s="13" t="n">
        <v>120</v>
      </c>
      <c r="K1275" s="13" t="n">
        <v>79</v>
      </c>
      <c r="L1275" s="13" t="n">
        <v>102</v>
      </c>
      <c r="M1275" s="13" t="n">
        <v>13.2</v>
      </c>
      <c r="N1275" s="13" t="n">
        <v>1262</v>
      </c>
      <c r="O1275" s="13" t="n">
        <v>1.14</v>
      </c>
      <c r="P1275" s="13" t="n">
        <v>1445</v>
      </c>
      <c r="Q1275" s="13" t="n">
        <v>149</v>
      </c>
      <c r="R1275" s="13" t="n">
        <v>62</v>
      </c>
      <c r="S1275" s="13" t="n">
        <v>41</v>
      </c>
      <c r="T1275" s="13" t="n">
        <v>176</v>
      </c>
      <c r="U1275" s="13" t="n">
        <v>13</v>
      </c>
      <c r="V1275" s="13" t="n">
        <v>98</v>
      </c>
      <c r="W1275" s="13" t="n">
        <v>0.311</v>
      </c>
      <c r="X1275" s="13" t="n">
        <v>142</v>
      </c>
      <c r="Y1275" s="13" t="n">
        <v>108</v>
      </c>
      <c r="Z1275" s="13" t="n">
        <v>34</v>
      </c>
      <c r="AA1275" s="13" t="n">
        <v>4</v>
      </c>
      <c r="AB1275" s="13" t="n">
        <v>11.4</v>
      </c>
      <c r="AC1275" s="11" t="inlineStr">
        <is>
          <t xml:space="preserve"> On-Piste All-Mountain</t>
        </is>
      </c>
      <c r="AD1275" s="11" t="inlineStr">
        <is>
          <t xml:space="preserve"> Touring</t>
        </is>
      </c>
      <c r="AE1275" s="13" t="n"/>
      <c r="AF1275" s="13" t="n"/>
      <c r="AG1275" s="13" t="n"/>
    </row>
    <row r="1276">
      <c r="A1276" s="9" t="inlineStr">
        <is>
          <t>21/22</t>
        </is>
      </c>
      <c r="B1276" s="10" t="inlineStr">
        <is>
          <t xml:space="preserve"> Völkl</t>
        </is>
      </c>
      <c r="C1276" s="11" t="inlineStr">
        <is>
          <t>Yumi 80</t>
        </is>
      </c>
      <c r="D1276" s="13" t="n">
        <v>161</v>
      </c>
      <c r="E1276" s="11" t="inlineStr">
        <is>
          <t xml:space="preserve"> Women's</t>
        </is>
      </c>
      <c r="F1276" s="13" t="n">
        <v>161</v>
      </c>
      <c r="G1276" s="13" t="n">
        <v>161.3</v>
      </c>
      <c r="H1276" s="13" t="n">
        <v>124</v>
      </c>
      <c r="I1276" s="13" t="n">
        <v>137</v>
      </c>
      <c r="J1276" s="13" t="n">
        <v>120</v>
      </c>
      <c r="K1276" s="13" t="n">
        <v>79</v>
      </c>
      <c r="L1276" s="13" t="n">
        <v>102</v>
      </c>
      <c r="M1276" s="13" t="n">
        <v>14.3</v>
      </c>
      <c r="N1276" s="13" t="n">
        <v>1359</v>
      </c>
      <c r="O1276" s="13" t="n">
        <v>1.09</v>
      </c>
      <c r="P1276" s="13" t="n">
        <v>1488</v>
      </c>
      <c r="Q1276" s="13" t="n">
        <v>156</v>
      </c>
      <c r="R1276" s="13" t="n">
        <v>71</v>
      </c>
      <c r="S1276" s="13" t="n">
        <v>38</v>
      </c>
      <c r="T1276" s="13" t="n">
        <v>208</v>
      </c>
      <c r="U1276" s="13" t="n">
        <v>13</v>
      </c>
      <c r="V1276" s="13" t="n">
        <v>161</v>
      </c>
      <c r="W1276" s="13" t="n">
        <v>0.348</v>
      </c>
      <c r="X1276" s="13" t="n">
        <v>136</v>
      </c>
      <c r="Y1276" s="13" t="n">
        <v>103</v>
      </c>
      <c r="Z1276" s="13" t="n">
        <v>72</v>
      </c>
      <c r="AA1276" s="13" t="n">
        <v>3</v>
      </c>
      <c r="AB1276" s="13" t="n">
        <v>11.7</v>
      </c>
      <c r="AC1276" s="11" t="inlineStr">
        <is>
          <t xml:space="preserve"> On-Piste All-Mountain</t>
        </is>
      </c>
      <c r="AD1276" s="11" t="inlineStr">
        <is>
          <t xml:space="preserve"> Touring</t>
        </is>
      </c>
      <c r="AE1276" s="13" t="n"/>
      <c r="AF1276" s="13" t="n"/>
      <c r="AG1276" s="13" t="n"/>
    </row>
    <row r="1277">
      <c r="A1277" s="9" t="inlineStr">
        <is>
          <t>21/22</t>
        </is>
      </c>
      <c r="B1277" s="10" t="inlineStr">
        <is>
          <t xml:space="preserve"> Völkl</t>
        </is>
      </c>
      <c r="C1277" s="11" t="inlineStr">
        <is>
          <t>Yumi 80</t>
        </is>
      </c>
      <c r="D1277" s="13" t="n">
        <v>168</v>
      </c>
      <c r="E1277" s="11" t="inlineStr">
        <is>
          <t xml:space="preserve"> Women's</t>
        </is>
      </c>
      <c r="F1277" s="13" t="n">
        <v>168</v>
      </c>
      <c r="G1277" s="13" t="n">
        <v>168.7</v>
      </c>
      <c r="H1277" s="13" t="n">
        <v>114</v>
      </c>
      <c r="I1277" s="13" t="n">
        <v>144</v>
      </c>
      <c r="J1277" s="13" t="n">
        <v>120</v>
      </c>
      <c r="K1277" s="13" t="n">
        <v>79</v>
      </c>
      <c r="L1277" s="13" t="n">
        <v>102</v>
      </c>
      <c r="M1277" s="13" t="n">
        <v>15.9</v>
      </c>
      <c r="N1277" s="13" t="n">
        <v>1435</v>
      </c>
      <c r="O1277" s="13" t="n">
        <v>1.08</v>
      </c>
      <c r="P1277" s="13" t="n">
        <v>1556</v>
      </c>
      <c r="Q1277" s="13" t="n">
        <v>172</v>
      </c>
      <c r="R1277" s="13" t="n">
        <v>65</v>
      </c>
      <c r="S1277" s="13" t="n">
        <v>40</v>
      </c>
      <c r="T1277" s="13" t="n">
        <v>336</v>
      </c>
      <c r="U1277" s="13" t="n">
        <v>14</v>
      </c>
      <c r="V1277" s="13" t="n">
        <v>209</v>
      </c>
      <c r="W1277" s="13" t="n">
        <v>0.354</v>
      </c>
      <c r="X1277" s="13" t="n">
        <v>137</v>
      </c>
      <c r="Y1277" s="13" t="n">
        <v>108</v>
      </c>
      <c r="Z1277" s="13" t="n">
        <v>200</v>
      </c>
      <c r="AA1277" s="13" t="n">
        <v>1</v>
      </c>
      <c r="AB1277" s="13" t="n">
        <v>12</v>
      </c>
      <c r="AC1277" s="11" t="inlineStr">
        <is>
          <t xml:space="preserve"> On-Piste All-Mountain</t>
        </is>
      </c>
      <c r="AD1277" s="11" t="inlineStr">
        <is>
          <t xml:space="preserve"> Touring</t>
        </is>
      </c>
      <c r="AE1277" s="13" t="n"/>
      <c r="AF1277" s="13" t="n"/>
      <c r="AG1277" s="13" t="n"/>
    </row>
    <row r="1278">
      <c r="A1278" s="9" t="inlineStr">
        <is>
          <t>21/22</t>
        </is>
      </c>
      <c r="B1278" s="10" t="inlineStr">
        <is>
          <t xml:space="preserve"> Völkl</t>
        </is>
      </c>
      <c r="C1278" s="11" t="inlineStr">
        <is>
          <t>Yumi 84</t>
        </is>
      </c>
      <c r="D1278" s="13" t="n">
        <v>147</v>
      </c>
      <c r="E1278" s="11" t="inlineStr">
        <is>
          <t xml:space="preserve"> Women's</t>
        </is>
      </c>
      <c r="F1278" s="13" t="n">
        <v>147</v>
      </c>
      <c r="G1278" s="13" t="n">
        <v>148.8</v>
      </c>
      <c r="H1278" s="13" t="n">
        <v>88</v>
      </c>
      <c r="I1278" s="13" t="n">
        <v>125</v>
      </c>
      <c r="J1278" s="13" t="n">
        <v>124</v>
      </c>
      <c r="K1278" s="13" t="n">
        <v>83</v>
      </c>
      <c r="L1278" s="13" t="n">
        <v>106</v>
      </c>
      <c r="M1278" s="13" t="n">
        <v>11.7</v>
      </c>
      <c r="N1278" s="13" t="n">
        <v>1295</v>
      </c>
      <c r="O1278" s="13" t="n">
        <v>1.11</v>
      </c>
      <c r="P1278" s="13" t="n">
        <v>1435</v>
      </c>
      <c r="Q1278" s="13" t="n">
        <v>158</v>
      </c>
      <c r="R1278" s="13" t="n">
        <v>60</v>
      </c>
      <c r="S1278" s="13" t="n">
        <v>42</v>
      </c>
      <c r="T1278" s="13" t="n">
        <v>282</v>
      </c>
      <c r="U1278" s="13" t="n">
        <v>19</v>
      </c>
      <c r="V1278" s="13" t="n">
        <v>326</v>
      </c>
      <c r="W1278" s="13" t="n">
        <v>0.447</v>
      </c>
      <c r="X1278" s="13" t="n">
        <v>134</v>
      </c>
      <c r="Y1278" s="13" t="n">
        <v>103</v>
      </c>
      <c r="Z1278" s="13" t="n">
        <v>148</v>
      </c>
      <c r="AA1278" s="13" t="n">
        <v>2</v>
      </c>
      <c r="AB1278" s="13" t="n">
        <v>11.2</v>
      </c>
      <c r="AC1278" s="11" t="inlineStr">
        <is>
          <t xml:space="preserve"> On-Piste All-Mountain</t>
        </is>
      </c>
      <c r="AD1278" s="11" t="inlineStr">
        <is>
          <t xml:space="preserve"> Resort Freeride</t>
        </is>
      </c>
      <c r="AE1278" s="11" t="inlineStr">
        <is>
          <t xml:space="preserve"> Touring</t>
        </is>
      </c>
      <c r="AF1278" s="13" t="n"/>
      <c r="AG1278" s="13" t="n"/>
    </row>
    <row r="1279">
      <c r="A1279" s="9" t="inlineStr">
        <is>
          <t>21/22</t>
        </is>
      </c>
      <c r="B1279" s="10" t="inlineStr">
        <is>
          <t xml:space="preserve"> Völkl</t>
        </is>
      </c>
      <c r="C1279" s="11" t="inlineStr">
        <is>
          <t>Yumi 84</t>
        </is>
      </c>
      <c r="D1279" s="13" t="n">
        <v>154</v>
      </c>
      <c r="E1279" s="11" t="inlineStr">
        <is>
          <t xml:space="preserve"> Women's</t>
        </is>
      </c>
      <c r="F1279" s="13" t="n">
        <v>154</v>
      </c>
      <c r="G1279" s="13" t="n">
        <v>156.2</v>
      </c>
      <c r="H1279" s="13" t="n">
        <v>107</v>
      </c>
      <c r="I1279" s="13" t="n">
        <v>132</v>
      </c>
      <c r="J1279" s="13" t="n">
        <v>124</v>
      </c>
      <c r="K1279" s="13" t="n">
        <v>83</v>
      </c>
      <c r="L1279" s="13" t="n">
        <v>106</v>
      </c>
      <c r="M1279" s="13" t="n">
        <v>13.1</v>
      </c>
      <c r="N1279" s="13" t="n">
        <v>1349</v>
      </c>
      <c r="O1279" s="13" t="n">
        <v>1.11</v>
      </c>
      <c r="P1279" s="13" t="n">
        <v>1503</v>
      </c>
      <c r="Q1279" s="13" t="n">
        <v>163</v>
      </c>
      <c r="R1279" s="13" t="n">
        <v>60</v>
      </c>
      <c r="S1279" s="13" t="n">
        <v>42</v>
      </c>
      <c r="T1279" s="13" t="n">
        <v>287</v>
      </c>
      <c r="U1279" s="13" t="n">
        <v>16</v>
      </c>
      <c r="V1279" s="13" t="n">
        <v>201</v>
      </c>
      <c r="W1279" s="13" t="n">
        <v>0.368</v>
      </c>
      <c r="X1279" s="13" t="n">
        <v>135</v>
      </c>
      <c r="Y1279" s="13" t="n">
        <v>102</v>
      </c>
      <c r="Z1279" s="13" t="n">
        <v>152</v>
      </c>
      <c r="AA1279" s="13" t="n">
        <v>2</v>
      </c>
      <c r="AB1279" s="13" t="n">
        <v>11.6</v>
      </c>
      <c r="AC1279" s="11" t="inlineStr">
        <is>
          <t xml:space="preserve"> On-Piste All-Mountain</t>
        </is>
      </c>
      <c r="AD1279" s="11" t="inlineStr">
        <is>
          <t xml:space="preserve"> Resort Freeride</t>
        </is>
      </c>
      <c r="AE1279" s="11" t="inlineStr">
        <is>
          <t xml:space="preserve"> Touring</t>
        </is>
      </c>
      <c r="AF1279" s="13" t="n"/>
      <c r="AG1279" s="13" t="n"/>
    </row>
    <row r="1280">
      <c r="A1280" s="9" t="inlineStr">
        <is>
          <t>21/22</t>
        </is>
      </c>
      <c r="B1280" s="10" t="inlineStr">
        <is>
          <t xml:space="preserve"> Völkl</t>
        </is>
      </c>
      <c r="C1280" s="11" t="inlineStr">
        <is>
          <t>Yumi 84</t>
        </is>
      </c>
      <c r="D1280" s="13" t="n">
        <v>161</v>
      </c>
      <c r="E1280" s="11" t="inlineStr">
        <is>
          <t xml:space="preserve"> Women's</t>
        </is>
      </c>
      <c r="F1280" s="13" t="n">
        <v>161</v>
      </c>
      <c r="G1280" s="13" t="n">
        <v>161.3</v>
      </c>
      <c r="H1280" s="13" t="n">
        <v>122</v>
      </c>
      <c r="I1280" s="13" t="n">
        <v>138</v>
      </c>
      <c r="J1280" s="13" t="n">
        <v>124</v>
      </c>
      <c r="K1280" s="13" t="n">
        <v>83</v>
      </c>
      <c r="L1280" s="13" t="n">
        <v>106</v>
      </c>
      <c r="M1280" s="13" t="n">
        <v>14.3</v>
      </c>
      <c r="N1280" s="13" t="n">
        <v>1411</v>
      </c>
      <c r="O1280" s="13" t="n">
        <v>1.1</v>
      </c>
      <c r="P1280" s="13" t="n">
        <v>1552</v>
      </c>
      <c r="Q1280" s="13" t="n">
        <v>169</v>
      </c>
      <c r="R1280" s="13" t="n">
        <v>67</v>
      </c>
      <c r="S1280" s="13" t="n">
        <v>38</v>
      </c>
      <c r="T1280" s="13" t="n">
        <v>211</v>
      </c>
      <c r="U1280" s="13" t="n">
        <v>14</v>
      </c>
      <c r="V1280" s="13" t="n">
        <v>183</v>
      </c>
      <c r="W1280" s="13" t="n">
        <v>0.365</v>
      </c>
      <c r="X1280" s="13" t="n">
        <v>130</v>
      </c>
      <c r="Y1280" s="13" t="n">
        <v>106</v>
      </c>
      <c r="Z1280" s="13" t="n">
        <v>81</v>
      </c>
      <c r="AA1280" s="13" t="n">
        <v>2</v>
      </c>
      <c r="AB1280" s="13" t="n">
        <v>11.8</v>
      </c>
      <c r="AC1280" s="11" t="inlineStr">
        <is>
          <t xml:space="preserve"> On-Piste All-Mountain</t>
        </is>
      </c>
      <c r="AD1280" s="11" t="inlineStr">
        <is>
          <t xml:space="preserve"> Resort Freeride</t>
        </is>
      </c>
      <c r="AE1280" s="11" t="inlineStr">
        <is>
          <t xml:space="preserve"> Touring</t>
        </is>
      </c>
      <c r="AF1280" s="13" t="n"/>
      <c r="AG1280" s="13" t="n"/>
    </row>
    <row r="1281">
      <c r="A1281" s="9" t="inlineStr">
        <is>
          <t>21/22</t>
        </is>
      </c>
      <c r="B1281" s="10" t="inlineStr">
        <is>
          <t xml:space="preserve"> Völkl</t>
        </is>
      </c>
      <c r="C1281" s="11" t="inlineStr">
        <is>
          <t>Yumi 84</t>
        </is>
      </c>
      <c r="D1281" s="13" t="n">
        <v>168</v>
      </c>
      <c r="E1281" s="11" t="inlineStr">
        <is>
          <t xml:space="preserve"> Women's</t>
        </is>
      </c>
      <c r="F1281" s="13" t="n">
        <v>168</v>
      </c>
      <c r="G1281" s="13" t="n">
        <v>168.5</v>
      </c>
      <c r="H1281" s="13" t="n">
        <v>115</v>
      </c>
      <c r="I1281" s="13" t="n">
        <v>145</v>
      </c>
      <c r="J1281" s="13" t="n">
        <v>124</v>
      </c>
      <c r="K1281" s="13" t="n">
        <v>83</v>
      </c>
      <c r="L1281" s="13" t="n">
        <v>106</v>
      </c>
      <c r="M1281" s="13" t="n">
        <v>15.8</v>
      </c>
      <c r="N1281" s="13" t="n">
        <v>1464</v>
      </c>
      <c r="O1281" s="13" t="n">
        <v>1.11</v>
      </c>
      <c r="P1281" s="13" t="n">
        <v>1623</v>
      </c>
      <c r="Q1281" s="13" t="n">
        <v>176</v>
      </c>
      <c r="R1281" s="13" t="n">
        <v>65</v>
      </c>
      <c r="S1281" s="13" t="n">
        <v>38</v>
      </c>
      <c r="T1281" s="13" t="n">
        <v>312</v>
      </c>
      <c r="U1281" s="13" t="n">
        <v>15</v>
      </c>
      <c r="V1281" s="13" t="n">
        <v>220</v>
      </c>
      <c r="W1281" s="13" t="n">
        <v>0.387</v>
      </c>
      <c r="X1281" s="13" t="n">
        <v>134</v>
      </c>
      <c r="Y1281" s="13" t="n">
        <v>103</v>
      </c>
      <c r="Z1281" s="13" t="n">
        <v>178</v>
      </c>
      <c r="AA1281" s="13" t="n">
        <v>2</v>
      </c>
      <c r="AB1281" s="13" t="n">
        <v>11.8</v>
      </c>
      <c r="AC1281" s="11" t="inlineStr">
        <is>
          <t xml:space="preserve"> On-Piste All-Mountain</t>
        </is>
      </c>
      <c r="AD1281" s="11" t="inlineStr">
        <is>
          <t xml:space="preserve"> Resort Freeride</t>
        </is>
      </c>
      <c r="AE1281" s="11" t="inlineStr">
        <is>
          <t xml:space="preserve"> Touring</t>
        </is>
      </c>
      <c r="AF1281" s="13" t="n"/>
      <c r="AG1281" s="13" t="n"/>
    </row>
  </sheetData>
  <autoFilter ref="A16:AG1281"/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J17"/>
  <sheetViews>
    <sheetView showGridLines="0" workbookViewId="0">
      <selection activeCell="G24" sqref="G24"/>
    </sheetView>
  </sheetViews>
  <sheetFormatPr baseColWidth="8" defaultColWidth="8.77734375" defaultRowHeight="13.2" outlineLevelCol="0"/>
  <cols>
    <col width="3.44140625" customWidth="1" style="184" min="1" max="1"/>
    <col width="19.21875" customWidth="1" style="184" min="2" max="2"/>
    <col width="17.77734375" bestFit="1" customWidth="1" style="184" min="3" max="3"/>
    <col width="14.33203125" bestFit="1" customWidth="1" style="184" min="4" max="4"/>
  </cols>
  <sheetData>
    <row r="1" ht="13.8" customHeight="1" s="184" thickBot="1"/>
    <row r="2" ht="53.4" customHeight="1" s="184" thickBot="1">
      <c r="B2" s="24" t="inlineStr">
        <is>
          <t>SKIER HEIGHT IN FEET &amp; INCHES</t>
        </is>
      </c>
      <c r="C2" s="24" t="inlineStr">
        <is>
          <t>SKIER HEIGHT IN CENTIMETERS (CM)</t>
        </is>
      </c>
      <c r="D2" s="24" t="inlineStr">
        <is>
          <t>SUGGESTED SKI LENGTHS (CM)</t>
        </is>
      </c>
      <c r="E2" s="24" t="inlineStr">
        <is>
          <t>Min</t>
        </is>
      </c>
      <c r="F2" s="24" t="inlineStr">
        <is>
          <t>Max</t>
        </is>
      </c>
      <c r="G2" s="303" t="inlineStr">
        <is>
          <t>Min below height</t>
        </is>
      </c>
      <c r="H2" s="303" t="inlineStr">
        <is>
          <t>Max above height</t>
        </is>
      </c>
      <c r="I2" s="303" t="inlineStr">
        <is>
          <t>Min below height (%)</t>
        </is>
      </c>
      <c r="J2" s="303" t="inlineStr">
        <is>
          <t>Max above height (%)</t>
        </is>
      </c>
    </row>
    <row r="3" ht="14.4" customHeight="1" s="184" thickBot="1">
      <c r="B3" s="24" t="inlineStr">
        <is>
          <t>4'4"</t>
        </is>
      </c>
      <c r="C3" s="24" t="inlineStr">
        <is>
          <t>132&lt;</t>
        </is>
      </c>
      <c r="D3" s="24" t="inlineStr">
        <is>
          <t>115-130</t>
        </is>
      </c>
      <c r="E3" s="24">
        <f>LEFT(D3,3)</f>
        <v/>
      </c>
      <c r="F3" s="24">
        <f>RIGHT(D3,3)</f>
        <v/>
      </c>
      <c r="G3" s="303">
        <f>E3-$C3</f>
        <v/>
      </c>
      <c r="H3" s="303">
        <f>F3-$C3</f>
        <v/>
      </c>
      <c r="I3" s="25">
        <f>E3/$C3-1</f>
        <v/>
      </c>
      <c r="J3" s="25">
        <f>F3/$C3-1</f>
        <v/>
      </c>
    </row>
    <row r="4" ht="14.4" customHeight="1" s="184" thickBot="1">
      <c r="B4" s="24" t="inlineStr">
        <is>
          <t>4'6"</t>
        </is>
      </c>
      <c r="C4" s="24" t="n">
        <v>137</v>
      </c>
      <c r="D4" s="24" t="inlineStr">
        <is>
          <t>125-140</t>
        </is>
      </c>
      <c r="E4" s="24">
        <f>LEFT(D4,3)</f>
        <v/>
      </c>
      <c r="F4" s="24">
        <f>RIGHT(D4,3)</f>
        <v/>
      </c>
      <c r="G4" s="303">
        <f>E4-$C4</f>
        <v/>
      </c>
      <c r="H4" s="303">
        <f>F4-$C4</f>
        <v/>
      </c>
      <c r="I4" s="25">
        <f>E4/$C4-1</f>
        <v/>
      </c>
      <c r="J4" s="25">
        <f>F4/$C4-1</f>
        <v/>
      </c>
    </row>
    <row r="5" ht="14.4" customHeight="1" s="184" thickBot="1">
      <c r="B5" s="24" t="inlineStr">
        <is>
          <t>4'8"</t>
        </is>
      </c>
      <c r="C5" s="24" t="n">
        <v>142</v>
      </c>
      <c r="D5" s="24" t="inlineStr">
        <is>
          <t>130-145</t>
        </is>
      </c>
      <c r="E5" s="24">
        <f>LEFT(D5,3)</f>
        <v/>
      </c>
      <c r="F5" s="24">
        <f>RIGHT(D5,3)</f>
        <v/>
      </c>
      <c r="G5" s="303">
        <f>E5-$C5</f>
        <v/>
      </c>
      <c r="H5" s="303">
        <f>F5-$C5</f>
        <v/>
      </c>
      <c r="I5" s="25">
        <f>E5/$C5-1</f>
        <v/>
      </c>
      <c r="J5" s="25">
        <f>F5/$C5-1</f>
        <v/>
      </c>
    </row>
    <row r="6" ht="14.4" customHeight="1" s="184" thickBot="1">
      <c r="B6" s="24" t="inlineStr">
        <is>
          <t>4'10"</t>
        </is>
      </c>
      <c r="C6" s="24" t="n">
        <v>147</v>
      </c>
      <c r="D6" s="24" t="inlineStr">
        <is>
          <t>135-150</t>
        </is>
      </c>
      <c r="E6" s="24">
        <f>LEFT(D6,3)</f>
        <v/>
      </c>
      <c r="F6" s="24">
        <f>RIGHT(D6,3)</f>
        <v/>
      </c>
      <c r="G6" s="303">
        <f>E6-$C6</f>
        <v/>
      </c>
      <c r="H6" s="303">
        <f>F6-$C6</f>
        <v/>
      </c>
      <c r="I6" s="25">
        <f>E6/$C6-1</f>
        <v/>
      </c>
      <c r="J6" s="25">
        <f>F6/$C6-1</f>
        <v/>
      </c>
    </row>
    <row r="7" ht="14.4" customHeight="1" s="184" thickBot="1">
      <c r="B7" s="24" t="inlineStr">
        <is>
          <t>5'</t>
        </is>
      </c>
      <c r="C7" s="24" t="n">
        <v>152</v>
      </c>
      <c r="D7" s="24" t="inlineStr">
        <is>
          <t>140-155</t>
        </is>
      </c>
      <c r="E7" s="24">
        <f>LEFT(D7,3)</f>
        <v/>
      </c>
      <c r="F7" s="24">
        <f>RIGHT(D7,3)</f>
        <v/>
      </c>
      <c r="G7" s="303">
        <f>E7-$C7</f>
        <v/>
      </c>
      <c r="H7" s="303">
        <f>F7-$C7</f>
        <v/>
      </c>
      <c r="I7" s="25">
        <f>E7/$C7-1</f>
        <v/>
      </c>
      <c r="J7" s="25">
        <f>F7/$C7-1</f>
        <v/>
      </c>
    </row>
    <row r="8" ht="14.4" customHeight="1" s="184" thickBot="1">
      <c r="B8" s="24" t="inlineStr">
        <is>
          <t>5'2"</t>
        </is>
      </c>
      <c r="C8" s="24" t="n">
        <v>158</v>
      </c>
      <c r="D8" s="24" t="inlineStr">
        <is>
          <t>145-165</t>
        </is>
      </c>
      <c r="E8" s="24">
        <f>LEFT(D8,3)</f>
        <v/>
      </c>
      <c r="F8" s="24">
        <f>RIGHT(D8,3)</f>
        <v/>
      </c>
      <c r="G8" s="303">
        <f>E8-$C8</f>
        <v/>
      </c>
      <c r="H8" s="303">
        <f>F8-$C8</f>
        <v/>
      </c>
      <c r="I8" s="25">
        <f>E8/$C8-1</f>
        <v/>
      </c>
      <c r="J8" s="25">
        <f>F8/$C8-1</f>
        <v/>
      </c>
    </row>
    <row r="9" ht="14.4" customHeight="1" s="184" thickBot="1">
      <c r="B9" s="24" t="inlineStr">
        <is>
          <t>5'4"</t>
        </is>
      </c>
      <c r="C9" s="24" t="n">
        <v>163</v>
      </c>
      <c r="D9" s="24" t="inlineStr">
        <is>
          <t>150-170</t>
        </is>
      </c>
      <c r="E9" s="24">
        <f>LEFT(D9,3)</f>
        <v/>
      </c>
      <c r="F9" s="24">
        <f>RIGHT(D9,3)</f>
        <v/>
      </c>
      <c r="G9" s="303">
        <f>E9-$C9</f>
        <v/>
      </c>
      <c r="H9" s="303">
        <f>F9-$C9</f>
        <v/>
      </c>
      <c r="I9" s="25">
        <f>E9/$C9-1</f>
        <v/>
      </c>
      <c r="J9" s="25">
        <f>F9/$C9-1</f>
        <v/>
      </c>
    </row>
    <row r="10" ht="14.4" customHeight="1" s="184" thickBot="1">
      <c r="B10" s="24" t="inlineStr">
        <is>
          <t>5'6"</t>
        </is>
      </c>
      <c r="C10" s="24" t="n">
        <v>168</v>
      </c>
      <c r="D10" s="24" t="inlineStr">
        <is>
          <t>155-175</t>
        </is>
      </c>
      <c r="E10" s="24">
        <f>LEFT(D10,3)</f>
        <v/>
      </c>
      <c r="F10" s="24">
        <f>RIGHT(D10,3)</f>
        <v/>
      </c>
      <c r="G10" s="303">
        <f>E10-$C10</f>
        <v/>
      </c>
      <c r="H10" s="303">
        <f>F10-$C10</f>
        <v/>
      </c>
      <c r="I10" s="25">
        <f>E10/$C10-1</f>
        <v/>
      </c>
      <c r="J10" s="25">
        <f>F10/$C10-1</f>
        <v/>
      </c>
    </row>
    <row r="11" ht="14.4" customHeight="1" s="184" thickBot="1">
      <c r="B11" s="24" t="inlineStr">
        <is>
          <t>5'8"</t>
        </is>
      </c>
      <c r="C11" s="24" t="n">
        <v>173</v>
      </c>
      <c r="D11" s="24" t="inlineStr">
        <is>
          <t>160-180</t>
        </is>
      </c>
      <c r="E11" s="24">
        <f>LEFT(D11,3)</f>
        <v/>
      </c>
      <c r="F11" s="24">
        <f>RIGHT(D11,3)</f>
        <v/>
      </c>
      <c r="G11" s="303">
        <f>E11-$C11</f>
        <v/>
      </c>
      <c r="H11" s="303">
        <f>F11-$C11</f>
        <v/>
      </c>
      <c r="I11" s="25">
        <f>E11/$C11-1</f>
        <v/>
      </c>
      <c r="J11" s="25">
        <f>F11/$C11-1</f>
        <v/>
      </c>
    </row>
    <row r="12" ht="14.4" customHeight="1" s="184" thickBot="1">
      <c r="B12" s="24" t="inlineStr">
        <is>
          <t>5'10"</t>
        </is>
      </c>
      <c r="C12" s="24" t="n">
        <v>178</v>
      </c>
      <c r="D12" s="24" t="inlineStr">
        <is>
          <t>165-185</t>
        </is>
      </c>
      <c r="E12" s="24">
        <f>LEFT(D12,3)</f>
        <v/>
      </c>
      <c r="F12" s="24">
        <f>RIGHT(D12,3)</f>
        <v/>
      </c>
      <c r="G12" s="303">
        <f>E12-$C12</f>
        <v/>
      </c>
      <c r="H12" s="303">
        <f>F12-$C12</f>
        <v/>
      </c>
      <c r="I12" s="25">
        <f>E12/$C12-1</f>
        <v/>
      </c>
      <c r="J12" s="25">
        <f>F12/$C12-1</f>
        <v/>
      </c>
    </row>
    <row r="13" ht="14.4" customHeight="1" s="184" thickBot="1">
      <c r="B13" s="24" t="inlineStr">
        <is>
          <t>6'</t>
        </is>
      </c>
      <c r="C13" s="24" t="n">
        <v>183</v>
      </c>
      <c r="D13" s="24" t="inlineStr">
        <is>
          <t>170-190</t>
        </is>
      </c>
      <c r="E13" s="24">
        <f>LEFT(D13,3)</f>
        <v/>
      </c>
      <c r="F13" s="24">
        <f>RIGHT(D13,3)</f>
        <v/>
      </c>
      <c r="G13" s="303">
        <f>E13-$C13</f>
        <v/>
      </c>
      <c r="H13" s="303">
        <f>F13-$C13</f>
        <v/>
      </c>
      <c r="I13" s="25">
        <f>E13/$C13-1</f>
        <v/>
      </c>
      <c r="J13" s="25">
        <f>F13/$C13-1</f>
        <v/>
      </c>
    </row>
    <row r="14" ht="14.4" customHeight="1" s="184" thickBot="1">
      <c r="B14" s="24" t="inlineStr">
        <is>
          <t>6'2"</t>
        </is>
      </c>
      <c r="C14" s="24" t="n">
        <v>188</v>
      </c>
      <c r="D14" s="24" t="inlineStr">
        <is>
          <t>175-195</t>
        </is>
      </c>
      <c r="E14" s="24">
        <f>LEFT(D14,3)</f>
        <v/>
      </c>
      <c r="F14" s="24">
        <f>RIGHT(D14,3)</f>
        <v/>
      </c>
      <c r="G14" s="303">
        <f>E14-$C14</f>
        <v/>
      </c>
      <c r="H14" s="303">
        <f>F14-$C14</f>
        <v/>
      </c>
      <c r="I14" s="25">
        <f>E14/$C14-1</f>
        <v/>
      </c>
      <c r="J14" s="25">
        <f>F14/$C14-1</f>
        <v/>
      </c>
    </row>
    <row r="15" ht="14.4" customHeight="1" s="184" thickBot="1">
      <c r="B15" s="24" t="inlineStr">
        <is>
          <t>6'4"</t>
        </is>
      </c>
      <c r="C15" s="24" t="n">
        <v>193</v>
      </c>
      <c r="D15" s="24" t="inlineStr">
        <is>
          <t>180-200</t>
        </is>
      </c>
      <c r="E15" s="24">
        <f>LEFT(D15,3)</f>
        <v/>
      </c>
      <c r="F15" s="24">
        <f>RIGHT(D15,3)</f>
        <v/>
      </c>
      <c r="G15" s="303">
        <f>E15-$C15</f>
        <v/>
      </c>
      <c r="H15" s="303">
        <f>F15-$C15</f>
        <v/>
      </c>
      <c r="I15" s="25">
        <f>E15/$C15-1</f>
        <v/>
      </c>
      <c r="J15" s="25">
        <f>F15/$C15-1</f>
        <v/>
      </c>
    </row>
    <row r="17" ht="26.4" customHeight="1" s="184">
      <c r="H17" s="303" t="inlineStr">
        <is>
          <t>Max range</t>
        </is>
      </c>
      <c r="I17" s="26">
        <f>MIN(I4:I15)</f>
        <v/>
      </c>
      <c r="J17" s="26">
        <f>MAX(J4:J15)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Aaron Blacker</dc:creator>
  <dcterms:created xmlns:dcterms="http://purl.org/dc/terms/" xmlns:xsi="http://www.w3.org/2001/XMLSchema-instance" xsi:type="dcterms:W3CDTF">2022-01-23T20:33:30Z</dcterms:created>
  <dcterms:modified xmlns:dcterms="http://purl.org/dc/terms/" xmlns:xsi="http://www.w3.org/2001/XMLSchema-instance" xsi:type="dcterms:W3CDTF">2022-04-02T02:01:33Z</dcterms:modified>
  <cp:lastModifiedBy>DHRUVA BANSAL</cp:lastModifiedBy>
  <cp:lastPrinted>2022-03-01T04:04:07Z</cp:lastPrinted>
</cp:coreProperties>
</file>